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yaovchinnikova/Desktop/"/>
    </mc:Choice>
  </mc:AlternateContent>
  <xr:revisionPtr revIDLastSave="0" documentId="13_ncr:1_{926FCB76-1ABA-F944-9CD4-BBE74FFB5087}" xr6:coauthVersionLast="47" xr6:coauthVersionMax="47" xr10:uidLastSave="{00000000-0000-0000-0000-000000000000}"/>
  <bookViews>
    <workbookView xWindow="0" yWindow="760" windowWidth="29400" windowHeight="17160" activeTab="3" xr2:uid="{0E8B2C95-79F9-D946-B3D9-22284F2233EE}"/>
  </bookViews>
  <sheets>
    <sheet name="Sheet1" sheetId="8" r:id="rId1"/>
    <sheet name="Sheet2" sheetId="7" r:id="rId2"/>
    <sheet name="Sheet4" sheetId="9" r:id="rId3"/>
    <sheet name="Sheet3" sheetId="5" r:id="rId4"/>
    <sheet name="Дивиденды по годам" sheetId="4" r:id="rId5"/>
    <sheet name="Показатели" sheetId="1" r:id="rId6"/>
    <sheet name="Дивиденды" sheetId="3" r:id="rId7"/>
    <sheet name="USD RUB" sheetId="2" r:id="rId8"/>
  </sheets>
  <definedNames>
    <definedName name="_xlnm._FilterDatabase" localSheetId="3" hidden="1">Sheet3!$A$1:$AE$1073</definedName>
    <definedName name="_xlnm._FilterDatabase" localSheetId="5" hidden="1">Показатели!$A$1:$X$2139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7" i="5" l="1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2" i="5"/>
  <c r="P2" i="5"/>
  <c r="W344" i="1" l="1"/>
  <c r="V344" i="1"/>
  <c r="M344" i="1"/>
  <c r="M342" i="1"/>
  <c r="M338" i="1"/>
  <c r="V297" i="1"/>
  <c r="W297" i="1"/>
  <c r="M297" i="1"/>
  <c r="M293" i="1"/>
  <c r="M289" i="1"/>
  <c r="M285" i="1"/>
  <c r="W229" i="1"/>
  <c r="V229" i="1"/>
  <c r="R229" i="1"/>
  <c r="Q229" i="1"/>
  <c r="P229" i="1"/>
  <c r="O229" i="1"/>
  <c r="N229" i="1"/>
  <c r="M229" i="1"/>
  <c r="L229" i="1"/>
  <c r="K229" i="1"/>
  <c r="J229" i="1"/>
  <c r="H229" i="1"/>
  <c r="G229" i="1"/>
  <c r="F229" i="1"/>
  <c r="M225" i="1"/>
  <c r="M221" i="1"/>
  <c r="W111" i="1"/>
  <c r="V111" i="1"/>
  <c r="F19" i="2"/>
  <c r="R159" i="1"/>
  <c r="Q159" i="1"/>
  <c r="P159" i="1"/>
  <c r="O159" i="1"/>
  <c r="N159" i="1"/>
  <c r="M159" i="1"/>
  <c r="L159" i="1"/>
  <c r="K159" i="1"/>
  <c r="J159" i="1"/>
  <c r="H159" i="1"/>
  <c r="G159" i="1"/>
  <c r="F159" i="1"/>
  <c r="V159" i="1"/>
  <c r="W159" i="1"/>
  <c r="A159" i="1"/>
  <c r="R158" i="1"/>
  <c r="Q158" i="1"/>
  <c r="P158" i="1"/>
  <c r="O158" i="1"/>
  <c r="N158" i="1"/>
  <c r="M158" i="1"/>
  <c r="L158" i="1"/>
  <c r="K158" i="1"/>
  <c r="J158" i="1"/>
  <c r="H158" i="1"/>
  <c r="G158" i="1"/>
  <c r="F158" i="1"/>
  <c r="V158" i="1"/>
  <c r="W158" i="1"/>
  <c r="C158" i="1"/>
  <c r="A158" i="1"/>
  <c r="M157" i="1"/>
  <c r="M153" i="1"/>
  <c r="M149" i="1"/>
  <c r="M107" i="1"/>
  <c r="M103" i="1"/>
  <c r="M99" i="1"/>
  <c r="R111" i="1"/>
  <c r="Q111" i="1"/>
  <c r="P111" i="1"/>
  <c r="O111" i="1"/>
  <c r="N111" i="1"/>
  <c r="M111" i="1"/>
  <c r="L111" i="1"/>
  <c r="K111" i="1"/>
  <c r="J111" i="1"/>
  <c r="H111" i="1"/>
  <c r="G111" i="1"/>
  <c r="F111" i="1"/>
  <c r="A111" i="1"/>
  <c r="C625" i="3"/>
  <c r="C624" i="3"/>
  <c r="C623" i="3"/>
  <c r="M57" i="1"/>
  <c r="M53" i="1"/>
  <c r="M45" i="1"/>
  <c r="U1239" i="1"/>
  <c r="S1239" i="1"/>
  <c r="R1239" i="1"/>
  <c r="Q1239" i="1"/>
  <c r="P1239" i="1"/>
  <c r="O1239" i="1"/>
  <c r="N1239" i="1"/>
  <c r="M1239" i="1"/>
  <c r="L1239" i="1"/>
  <c r="K1239" i="1"/>
  <c r="J1239" i="1"/>
  <c r="H1239" i="1"/>
  <c r="G1239" i="1"/>
  <c r="F1239" i="1"/>
  <c r="B1239" i="1"/>
  <c r="U1921" i="1" l="1"/>
  <c r="S1921" i="1"/>
  <c r="F1921" i="1"/>
  <c r="G1921" i="1"/>
  <c r="H1921" i="1"/>
  <c r="J1921" i="1"/>
  <c r="K1921" i="1"/>
  <c r="L1921" i="1"/>
  <c r="M1921" i="1"/>
  <c r="N1921" i="1"/>
  <c r="R1921" i="1"/>
  <c r="Q1921" i="1"/>
  <c r="P1921" i="1"/>
  <c r="O1921" i="1"/>
  <c r="U1419" i="1"/>
  <c r="S1419" i="1"/>
  <c r="R1419" i="1"/>
  <c r="Q1419" i="1"/>
  <c r="F1419" i="1"/>
  <c r="G1419" i="1"/>
  <c r="H1419" i="1"/>
  <c r="J1419" i="1"/>
  <c r="K1419" i="1"/>
  <c r="L1419" i="1"/>
  <c r="M1419" i="1"/>
  <c r="N1419" i="1"/>
  <c r="P1419" i="1"/>
  <c r="O1419" i="1"/>
  <c r="U1423" i="1"/>
  <c r="S1423" i="1"/>
  <c r="R1423" i="1"/>
  <c r="Q1423" i="1"/>
  <c r="P1423" i="1"/>
  <c r="F1423" i="1"/>
  <c r="H1423" i="1"/>
  <c r="G1423" i="1"/>
  <c r="J1423" i="1"/>
  <c r="K1423" i="1"/>
  <c r="L1423" i="1"/>
  <c r="M1423" i="1"/>
  <c r="N1423" i="1"/>
  <c r="O1423" i="1"/>
  <c r="U1199" i="1"/>
  <c r="S1199" i="1"/>
  <c r="R1199" i="1"/>
  <c r="Q1199" i="1"/>
  <c r="P1199" i="1"/>
  <c r="N1199" i="1"/>
  <c r="M1199" i="1"/>
  <c r="J1199" i="1"/>
  <c r="H1199" i="1"/>
  <c r="G1199" i="1"/>
  <c r="F1199" i="1"/>
  <c r="L1199" i="1"/>
  <c r="K1199" i="1"/>
  <c r="I9" i="2"/>
  <c r="I5" i="2"/>
  <c r="I6" i="2"/>
  <c r="I7" i="2"/>
  <c r="I8" i="2"/>
  <c r="I10" i="2"/>
  <c r="I11" i="2"/>
  <c r="I12" i="2"/>
  <c r="I13" i="2"/>
  <c r="I14" i="2"/>
  <c r="I15" i="2"/>
  <c r="I16" i="2"/>
  <c r="I17" i="2"/>
  <c r="I18" i="2"/>
  <c r="I19" i="2"/>
  <c r="I4" i="2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F3" i="2"/>
  <c r="H4" i="2"/>
  <c r="J17" i="8"/>
  <c r="J33" i="8"/>
  <c r="J49" i="8"/>
  <c r="J65" i="8"/>
  <c r="J81" i="8"/>
  <c r="J97" i="8"/>
  <c r="J113" i="8"/>
  <c r="J129" i="8"/>
  <c r="J145" i="8"/>
  <c r="J161" i="8"/>
  <c r="J177" i="8"/>
  <c r="J193" i="8"/>
  <c r="J209" i="8"/>
  <c r="J225" i="8"/>
  <c r="J241" i="8"/>
  <c r="J257" i="8"/>
  <c r="J273" i="8"/>
  <c r="J289" i="8"/>
  <c r="J305" i="8"/>
  <c r="J321" i="8"/>
  <c r="J337" i="8"/>
  <c r="J353" i="8"/>
  <c r="J369" i="8"/>
  <c r="J385" i="8"/>
  <c r="J401" i="8"/>
  <c r="J417" i="8"/>
  <c r="J433" i="8"/>
  <c r="J449" i="8"/>
  <c r="J465" i="8"/>
  <c r="J481" i="8"/>
  <c r="J497" i="8"/>
  <c r="J513" i="8"/>
  <c r="J529" i="8"/>
  <c r="J545" i="8"/>
  <c r="J561" i="8"/>
  <c r="J577" i="8"/>
  <c r="J593" i="8"/>
  <c r="J609" i="8"/>
  <c r="J625" i="8"/>
  <c r="J641" i="8"/>
  <c r="J657" i="8"/>
  <c r="J673" i="8"/>
  <c r="J689" i="8"/>
  <c r="J705" i="8"/>
  <c r="J721" i="8"/>
  <c r="J737" i="8"/>
  <c r="J753" i="8"/>
  <c r="J769" i="8"/>
  <c r="J785" i="8"/>
  <c r="J801" i="8"/>
  <c r="J817" i="8"/>
  <c r="J833" i="8"/>
  <c r="J849" i="8"/>
  <c r="J865" i="8"/>
  <c r="J881" i="8"/>
  <c r="J897" i="8"/>
  <c r="J913" i="8"/>
  <c r="J929" i="8"/>
  <c r="J945" i="8"/>
  <c r="J961" i="8"/>
  <c r="J977" i="8"/>
  <c r="J993" i="8"/>
  <c r="J1009" i="8"/>
  <c r="J1025" i="8"/>
  <c r="J1041" i="8"/>
  <c r="J1057" i="8"/>
  <c r="J1073" i="8"/>
  <c r="J17" i="5"/>
  <c r="J33" i="5"/>
  <c r="J49" i="5"/>
  <c r="J65" i="5"/>
  <c r="J81" i="5"/>
  <c r="J97" i="5"/>
  <c r="J113" i="5"/>
  <c r="J129" i="5"/>
  <c r="J145" i="5"/>
  <c r="J161" i="5"/>
  <c r="J177" i="5"/>
  <c r="J193" i="5"/>
  <c r="J209" i="5"/>
  <c r="J225" i="5"/>
  <c r="J241" i="5"/>
  <c r="J257" i="5"/>
  <c r="J273" i="5"/>
  <c r="J289" i="5"/>
  <c r="J305" i="5"/>
  <c r="J321" i="5"/>
  <c r="J337" i="5"/>
  <c r="J353" i="5"/>
  <c r="J369" i="5"/>
  <c r="J385" i="5"/>
  <c r="J401" i="5"/>
  <c r="J417" i="5"/>
  <c r="J433" i="5"/>
  <c r="J449" i="5"/>
  <c r="J465" i="5"/>
  <c r="J481" i="5"/>
  <c r="J497" i="5"/>
  <c r="J513" i="5"/>
  <c r="J529" i="5"/>
  <c r="J545" i="5"/>
  <c r="J561" i="5"/>
  <c r="J577" i="5"/>
  <c r="J593" i="5"/>
  <c r="J609" i="5"/>
  <c r="J625" i="5"/>
  <c r="J641" i="5"/>
  <c r="J657" i="5"/>
  <c r="J673" i="5"/>
  <c r="J689" i="5"/>
  <c r="J705" i="5"/>
  <c r="J721" i="5"/>
  <c r="J737" i="5"/>
  <c r="J753" i="5"/>
  <c r="J769" i="5"/>
  <c r="J785" i="5"/>
  <c r="J801" i="5"/>
  <c r="J817" i="5"/>
  <c r="J833" i="5"/>
  <c r="J849" i="5"/>
  <c r="J865" i="5"/>
  <c r="J881" i="5"/>
  <c r="J897" i="5"/>
  <c r="J913" i="5"/>
  <c r="J929" i="5"/>
  <c r="J945" i="5"/>
  <c r="J961" i="5"/>
  <c r="J977" i="5"/>
  <c r="J993" i="5"/>
  <c r="J1009" i="5"/>
  <c r="J1025" i="5"/>
  <c r="J1041" i="5"/>
  <c r="J1057" i="5"/>
  <c r="J1073" i="5"/>
  <c r="D1073" i="8"/>
  <c r="H1073" i="8" s="1"/>
  <c r="B1073" i="8"/>
  <c r="D1072" i="8"/>
  <c r="F1072" i="8" s="1"/>
  <c r="B1072" i="8"/>
  <c r="D1071" i="8"/>
  <c r="B1071" i="8"/>
  <c r="D1070" i="8"/>
  <c r="F1070" i="8" s="1"/>
  <c r="B1070" i="8"/>
  <c r="D1069" i="8"/>
  <c r="H1069" i="8" s="1"/>
  <c r="B1069" i="8"/>
  <c r="D1068" i="8"/>
  <c r="F1068" i="8" s="1"/>
  <c r="B1068" i="8"/>
  <c r="D1067" i="8"/>
  <c r="H1067" i="8" s="1"/>
  <c r="B1067" i="8"/>
  <c r="D1066" i="8"/>
  <c r="F1066" i="8" s="1"/>
  <c r="B1066" i="8"/>
  <c r="D1065" i="8"/>
  <c r="B1065" i="8"/>
  <c r="D1064" i="8"/>
  <c r="F1064" i="8" s="1"/>
  <c r="B1064" i="8"/>
  <c r="D1063" i="8"/>
  <c r="B1063" i="8"/>
  <c r="D1062" i="8"/>
  <c r="F1062" i="8" s="1"/>
  <c r="B1062" i="8"/>
  <c r="D1061" i="8"/>
  <c r="H1061" i="8" s="1"/>
  <c r="B1061" i="8"/>
  <c r="D1060" i="8"/>
  <c r="F1060" i="8" s="1"/>
  <c r="B1060" i="8"/>
  <c r="D1059" i="8"/>
  <c r="H1059" i="8" s="1"/>
  <c r="B1059" i="8"/>
  <c r="D1058" i="8"/>
  <c r="F1058" i="8" s="1"/>
  <c r="B1058" i="8"/>
  <c r="D1057" i="8"/>
  <c r="H1057" i="8" s="1"/>
  <c r="B1057" i="8"/>
  <c r="H1056" i="8"/>
  <c r="D1056" i="8"/>
  <c r="B1056" i="8"/>
  <c r="D1055" i="8"/>
  <c r="B1055" i="8"/>
  <c r="D1054" i="8"/>
  <c r="F1054" i="8" s="1"/>
  <c r="B1054" i="8"/>
  <c r="D1053" i="8"/>
  <c r="H1053" i="8" s="1"/>
  <c r="B1053" i="8"/>
  <c r="D1052" i="8"/>
  <c r="B1052" i="8"/>
  <c r="D1051" i="8"/>
  <c r="H1051" i="8" s="1"/>
  <c r="B1051" i="8"/>
  <c r="D1050" i="8"/>
  <c r="H1050" i="8" s="1"/>
  <c r="B1050" i="8"/>
  <c r="D1049" i="8"/>
  <c r="F1049" i="8" s="1"/>
  <c r="B1049" i="8"/>
  <c r="D1048" i="8"/>
  <c r="B1048" i="8"/>
  <c r="D1047" i="8"/>
  <c r="B1047" i="8"/>
  <c r="D1046" i="8"/>
  <c r="H1046" i="8" s="1"/>
  <c r="B1046" i="8"/>
  <c r="D1045" i="8"/>
  <c r="H1045" i="8" s="1"/>
  <c r="B1045" i="8"/>
  <c r="D1044" i="8"/>
  <c r="H1044" i="8" s="1"/>
  <c r="B1044" i="8"/>
  <c r="D1043" i="8"/>
  <c r="F1043" i="8" s="1"/>
  <c r="B1043" i="8"/>
  <c r="D1042" i="8"/>
  <c r="F1042" i="8" s="1"/>
  <c r="B1042" i="8"/>
  <c r="D1041" i="8"/>
  <c r="H1041" i="8" s="1"/>
  <c r="B1041" i="8"/>
  <c r="D1040" i="8"/>
  <c r="H1040" i="8" s="1"/>
  <c r="B1040" i="8"/>
  <c r="D1039" i="8"/>
  <c r="B1039" i="8"/>
  <c r="D1038" i="8"/>
  <c r="H1038" i="8" s="1"/>
  <c r="B1038" i="8"/>
  <c r="D1037" i="8"/>
  <c r="H1037" i="8" s="1"/>
  <c r="B1037" i="8"/>
  <c r="D1036" i="8"/>
  <c r="H1036" i="8" s="1"/>
  <c r="B1036" i="8"/>
  <c r="D1035" i="8"/>
  <c r="H1035" i="8" s="1"/>
  <c r="B1035" i="8"/>
  <c r="D1034" i="8"/>
  <c r="B1034" i="8"/>
  <c r="D1033" i="8"/>
  <c r="B1033" i="8"/>
  <c r="D1032" i="8"/>
  <c r="B1032" i="8"/>
  <c r="D1031" i="8"/>
  <c r="B1031" i="8"/>
  <c r="D1030" i="8"/>
  <c r="H1030" i="8" s="1"/>
  <c r="B1030" i="8"/>
  <c r="D1029" i="8"/>
  <c r="H1029" i="8" s="1"/>
  <c r="B1029" i="8"/>
  <c r="D1028" i="8"/>
  <c r="H1028" i="8" s="1"/>
  <c r="B1028" i="8"/>
  <c r="D1027" i="8"/>
  <c r="B1027" i="8"/>
  <c r="D1026" i="8"/>
  <c r="F1026" i="8" s="1"/>
  <c r="B1026" i="8"/>
  <c r="K1025" i="8"/>
  <c r="D1025" i="8"/>
  <c r="B1025" i="8"/>
  <c r="D1024" i="8"/>
  <c r="B1024" i="8"/>
  <c r="D1023" i="8"/>
  <c r="H1023" i="8" s="1"/>
  <c r="B1023" i="8"/>
  <c r="D1022" i="8"/>
  <c r="B1022" i="8"/>
  <c r="D1021" i="8"/>
  <c r="F1021" i="8" s="1"/>
  <c r="B1021" i="8"/>
  <c r="D1020" i="8"/>
  <c r="F1020" i="8" s="1"/>
  <c r="B1020" i="8"/>
  <c r="D1019" i="8"/>
  <c r="H1019" i="8" s="1"/>
  <c r="B1019" i="8"/>
  <c r="D1018" i="8"/>
  <c r="H1018" i="8" s="1"/>
  <c r="B1018" i="8"/>
  <c r="D1017" i="8"/>
  <c r="B1017" i="8"/>
  <c r="D1016" i="8"/>
  <c r="F1016" i="8" s="1"/>
  <c r="B1016" i="8"/>
  <c r="D1015" i="8"/>
  <c r="B1015" i="8"/>
  <c r="D1014" i="8"/>
  <c r="H1014" i="8" s="1"/>
  <c r="B1014" i="8"/>
  <c r="D1013" i="8"/>
  <c r="B1013" i="8"/>
  <c r="D1012" i="8"/>
  <c r="B1012" i="8"/>
  <c r="D1011" i="8"/>
  <c r="H1011" i="8" s="1"/>
  <c r="B1011" i="8"/>
  <c r="D1010" i="8"/>
  <c r="H1010" i="8" s="1"/>
  <c r="B1010" i="8"/>
  <c r="D1009" i="8"/>
  <c r="H1009" i="8" s="1"/>
  <c r="B1009" i="8"/>
  <c r="D1008" i="8"/>
  <c r="H1008" i="8" s="1"/>
  <c r="B1008" i="8"/>
  <c r="D1007" i="8"/>
  <c r="B1007" i="8"/>
  <c r="D1006" i="8"/>
  <c r="B1006" i="8"/>
  <c r="D1005" i="8"/>
  <c r="F1005" i="8" s="1"/>
  <c r="B1005" i="8"/>
  <c r="D1004" i="8"/>
  <c r="F1004" i="8" s="1"/>
  <c r="B1004" i="8"/>
  <c r="D1003" i="8"/>
  <c r="H1003" i="8" s="1"/>
  <c r="B1003" i="8"/>
  <c r="D1002" i="8"/>
  <c r="H1002" i="8" s="1"/>
  <c r="B1002" i="8"/>
  <c r="D1001" i="8"/>
  <c r="F1001" i="8" s="1"/>
  <c r="B1001" i="8"/>
  <c r="D1000" i="8"/>
  <c r="F1000" i="8" s="1"/>
  <c r="B1000" i="8"/>
  <c r="D999" i="8"/>
  <c r="B999" i="8"/>
  <c r="D998" i="8"/>
  <c r="H998" i="8" s="1"/>
  <c r="B998" i="8"/>
  <c r="D997" i="8"/>
  <c r="H997" i="8" s="1"/>
  <c r="B997" i="8"/>
  <c r="D996" i="8"/>
  <c r="H996" i="8" s="1"/>
  <c r="B996" i="8"/>
  <c r="D995" i="8"/>
  <c r="F995" i="8" s="1"/>
  <c r="B995" i="8"/>
  <c r="D994" i="8"/>
  <c r="F994" i="8" s="1"/>
  <c r="B994" i="8"/>
  <c r="D993" i="8"/>
  <c r="H993" i="8" s="1"/>
  <c r="B993" i="8"/>
  <c r="D992" i="8"/>
  <c r="B992" i="8"/>
  <c r="D991" i="8"/>
  <c r="B991" i="8"/>
  <c r="D990" i="8"/>
  <c r="F990" i="8" s="1"/>
  <c r="B990" i="8"/>
  <c r="D989" i="8"/>
  <c r="B989" i="8"/>
  <c r="D988" i="8"/>
  <c r="F988" i="8" s="1"/>
  <c r="B988" i="8"/>
  <c r="D987" i="8"/>
  <c r="B987" i="8"/>
  <c r="D986" i="8"/>
  <c r="B986" i="8"/>
  <c r="D985" i="8"/>
  <c r="F985" i="8" s="1"/>
  <c r="B985" i="8"/>
  <c r="D984" i="8"/>
  <c r="H984" i="8" s="1"/>
  <c r="B984" i="8"/>
  <c r="D983" i="8"/>
  <c r="B983" i="8"/>
  <c r="D982" i="8"/>
  <c r="F982" i="8" s="1"/>
  <c r="B982" i="8"/>
  <c r="D981" i="8"/>
  <c r="B981" i="8"/>
  <c r="D980" i="8"/>
  <c r="H980" i="8" s="1"/>
  <c r="B980" i="8"/>
  <c r="D979" i="8"/>
  <c r="H979" i="8" s="1"/>
  <c r="B979" i="8"/>
  <c r="D978" i="8"/>
  <c r="H978" i="8" s="1"/>
  <c r="B978" i="8"/>
  <c r="D977" i="8"/>
  <c r="H977" i="8" s="1"/>
  <c r="B977" i="8"/>
  <c r="D976" i="8"/>
  <c r="F976" i="8" s="1"/>
  <c r="B976" i="8"/>
  <c r="D975" i="8"/>
  <c r="B975" i="8"/>
  <c r="D974" i="8"/>
  <c r="F974" i="8" s="1"/>
  <c r="B974" i="8"/>
  <c r="D973" i="8"/>
  <c r="H973" i="8" s="1"/>
  <c r="B973" i="8"/>
  <c r="D972" i="8"/>
  <c r="B972" i="8"/>
  <c r="D971" i="8"/>
  <c r="H971" i="8" s="1"/>
  <c r="B971" i="8"/>
  <c r="D970" i="8"/>
  <c r="H970" i="8" s="1"/>
  <c r="B970" i="8"/>
  <c r="D969" i="8"/>
  <c r="H969" i="8" s="1"/>
  <c r="B969" i="8"/>
  <c r="D968" i="8"/>
  <c r="F968" i="8" s="1"/>
  <c r="B968" i="8"/>
  <c r="D967" i="8"/>
  <c r="B967" i="8"/>
  <c r="D966" i="8"/>
  <c r="B966" i="8"/>
  <c r="D965" i="8"/>
  <c r="B965" i="8"/>
  <c r="D964" i="8"/>
  <c r="H964" i="8" s="1"/>
  <c r="B964" i="8"/>
  <c r="D963" i="8"/>
  <c r="H963" i="8" s="1"/>
  <c r="B963" i="8"/>
  <c r="D962" i="8"/>
  <c r="B962" i="8"/>
  <c r="D961" i="8"/>
  <c r="H961" i="8" s="1"/>
  <c r="B961" i="8"/>
  <c r="D960" i="8"/>
  <c r="B960" i="8"/>
  <c r="D959" i="8"/>
  <c r="B959" i="8"/>
  <c r="D958" i="8"/>
  <c r="H958" i="8" s="1"/>
  <c r="B958" i="8"/>
  <c r="D957" i="8"/>
  <c r="F957" i="8" s="1"/>
  <c r="B957" i="8"/>
  <c r="D956" i="8"/>
  <c r="B956" i="8"/>
  <c r="D955" i="8"/>
  <c r="F955" i="8" s="1"/>
  <c r="B955" i="8"/>
  <c r="D954" i="8"/>
  <c r="B954" i="8"/>
  <c r="D953" i="8"/>
  <c r="B953" i="8"/>
  <c r="D952" i="8"/>
  <c r="F952" i="8" s="1"/>
  <c r="B952" i="8"/>
  <c r="D951" i="8"/>
  <c r="B951" i="8"/>
  <c r="D950" i="8"/>
  <c r="B950" i="8"/>
  <c r="D949" i="8"/>
  <c r="B949" i="8"/>
  <c r="D948" i="8"/>
  <c r="B948" i="8"/>
  <c r="D947" i="8"/>
  <c r="F947" i="8" s="1"/>
  <c r="B947" i="8"/>
  <c r="D946" i="8"/>
  <c r="H946" i="8" s="1"/>
  <c r="B946" i="8"/>
  <c r="K945" i="8"/>
  <c r="D945" i="8"/>
  <c r="B945" i="8"/>
  <c r="D944" i="8"/>
  <c r="F944" i="8" s="1"/>
  <c r="B944" i="8"/>
  <c r="D943" i="8"/>
  <c r="B943" i="8"/>
  <c r="D942" i="8"/>
  <c r="B942" i="8"/>
  <c r="D941" i="8"/>
  <c r="B941" i="8"/>
  <c r="D940" i="8"/>
  <c r="B940" i="8"/>
  <c r="D939" i="8"/>
  <c r="B939" i="8"/>
  <c r="D938" i="8"/>
  <c r="B938" i="8"/>
  <c r="D937" i="8"/>
  <c r="B937" i="8"/>
  <c r="D936" i="8"/>
  <c r="B936" i="8"/>
  <c r="D935" i="8"/>
  <c r="B935" i="8"/>
  <c r="D934" i="8"/>
  <c r="B934" i="8"/>
  <c r="D933" i="8"/>
  <c r="F933" i="8" s="1"/>
  <c r="B933" i="8"/>
  <c r="D932" i="8"/>
  <c r="B932" i="8"/>
  <c r="D931" i="8"/>
  <c r="F931" i="8" s="1"/>
  <c r="B931" i="8"/>
  <c r="D930" i="8"/>
  <c r="F930" i="8" s="1"/>
  <c r="B930" i="8"/>
  <c r="K913" i="8"/>
  <c r="D929" i="8"/>
  <c r="F929" i="8" s="1"/>
  <c r="B929" i="8"/>
  <c r="D928" i="8"/>
  <c r="B928" i="8"/>
  <c r="D927" i="8"/>
  <c r="B927" i="8"/>
  <c r="D926" i="8"/>
  <c r="H926" i="8" s="1"/>
  <c r="B926" i="8"/>
  <c r="D925" i="8"/>
  <c r="F925" i="8" s="1"/>
  <c r="B925" i="8"/>
  <c r="D924" i="8"/>
  <c r="B924" i="8"/>
  <c r="D923" i="8"/>
  <c r="G907" i="8" s="1"/>
  <c r="B923" i="8"/>
  <c r="D922" i="8"/>
  <c r="B922" i="8"/>
  <c r="D921" i="8"/>
  <c r="H921" i="8" s="1"/>
  <c r="B921" i="8"/>
  <c r="D920" i="8"/>
  <c r="H920" i="8" s="1"/>
  <c r="B920" i="8"/>
  <c r="D919" i="8"/>
  <c r="H919" i="8" s="1"/>
  <c r="B919" i="8"/>
  <c r="D918" i="8"/>
  <c r="B918" i="8"/>
  <c r="D917" i="8"/>
  <c r="H917" i="8" s="1"/>
  <c r="B917" i="8"/>
  <c r="D916" i="8"/>
  <c r="B916" i="8"/>
  <c r="D915" i="8"/>
  <c r="H915" i="8" s="1"/>
  <c r="B915" i="8"/>
  <c r="D914" i="8"/>
  <c r="F914" i="8" s="1"/>
  <c r="B914" i="8"/>
  <c r="K929" i="8"/>
  <c r="D913" i="8"/>
  <c r="F913" i="8" s="1"/>
  <c r="B913" i="8"/>
  <c r="D912" i="8"/>
  <c r="G928" i="8" s="1"/>
  <c r="B912" i="8"/>
  <c r="D911" i="8"/>
  <c r="B911" i="8"/>
  <c r="D910" i="8"/>
  <c r="H910" i="8" s="1"/>
  <c r="B910" i="8"/>
  <c r="D909" i="8"/>
  <c r="H909" i="8" s="1"/>
  <c r="B909" i="8"/>
  <c r="D908" i="8"/>
  <c r="B908" i="8"/>
  <c r="D907" i="8"/>
  <c r="B907" i="8"/>
  <c r="D906" i="8"/>
  <c r="G922" i="8" s="1"/>
  <c r="B906" i="8"/>
  <c r="D905" i="8"/>
  <c r="B905" i="8"/>
  <c r="D904" i="8"/>
  <c r="B904" i="8"/>
  <c r="D903" i="8"/>
  <c r="B903" i="8"/>
  <c r="D902" i="8"/>
  <c r="G918" i="8" s="1"/>
  <c r="B902" i="8"/>
  <c r="D901" i="8"/>
  <c r="B901" i="8"/>
  <c r="D900" i="8"/>
  <c r="H900" i="8" s="1"/>
  <c r="B900" i="8"/>
  <c r="D899" i="8"/>
  <c r="B899" i="8"/>
  <c r="D898" i="8"/>
  <c r="B898" i="8"/>
  <c r="D897" i="8"/>
  <c r="H897" i="8" s="1"/>
  <c r="B897" i="8"/>
  <c r="D896" i="8"/>
  <c r="B896" i="8"/>
  <c r="D895" i="8"/>
  <c r="B895" i="8"/>
  <c r="D894" i="8"/>
  <c r="B894" i="8"/>
  <c r="D893" i="8"/>
  <c r="H893" i="8" s="1"/>
  <c r="B893" i="8"/>
  <c r="D892" i="8"/>
  <c r="H892" i="8" s="1"/>
  <c r="B892" i="8"/>
  <c r="D891" i="8"/>
  <c r="F891" i="8" s="1"/>
  <c r="B891" i="8"/>
  <c r="D890" i="8"/>
  <c r="B890" i="8"/>
  <c r="D889" i="8"/>
  <c r="H889" i="8" s="1"/>
  <c r="B889" i="8"/>
  <c r="D888" i="8"/>
  <c r="H888" i="8" s="1"/>
  <c r="B888" i="8"/>
  <c r="D887" i="8"/>
  <c r="B887" i="8"/>
  <c r="D886" i="8"/>
  <c r="H886" i="8" s="1"/>
  <c r="B886" i="8"/>
  <c r="D885" i="8"/>
  <c r="H885" i="8" s="1"/>
  <c r="B885" i="8"/>
  <c r="D884" i="8"/>
  <c r="B884" i="8"/>
  <c r="D883" i="8"/>
  <c r="B883" i="8"/>
  <c r="D882" i="8"/>
  <c r="H882" i="8" s="1"/>
  <c r="B882" i="8"/>
  <c r="D881" i="8"/>
  <c r="B881" i="8"/>
  <c r="D880" i="8"/>
  <c r="H880" i="8" s="1"/>
  <c r="B880" i="8"/>
  <c r="D879" i="8"/>
  <c r="B879" i="8"/>
  <c r="D878" i="8"/>
  <c r="H878" i="8" s="1"/>
  <c r="B878" i="8"/>
  <c r="D877" i="8"/>
  <c r="B877" i="8"/>
  <c r="D876" i="8"/>
  <c r="B876" i="8"/>
  <c r="D875" i="8"/>
  <c r="F875" i="8" s="1"/>
  <c r="B875" i="8"/>
  <c r="D874" i="8"/>
  <c r="B874" i="8"/>
  <c r="D873" i="8"/>
  <c r="B873" i="8"/>
  <c r="D872" i="8"/>
  <c r="F872" i="8" s="1"/>
  <c r="B872" i="8"/>
  <c r="D871" i="8"/>
  <c r="B871" i="8"/>
  <c r="D870" i="8"/>
  <c r="F870" i="8" s="1"/>
  <c r="B870" i="8"/>
  <c r="D869" i="8"/>
  <c r="B869" i="8"/>
  <c r="D868" i="8"/>
  <c r="B868" i="8"/>
  <c r="D867" i="8"/>
  <c r="H867" i="8" s="1"/>
  <c r="B867" i="8"/>
  <c r="D866" i="8"/>
  <c r="H866" i="8" s="1"/>
  <c r="B866" i="8"/>
  <c r="D865" i="8"/>
  <c r="F865" i="8" s="1"/>
  <c r="B865" i="8"/>
  <c r="D864" i="8"/>
  <c r="F864" i="8" s="1"/>
  <c r="B864" i="8"/>
  <c r="D863" i="8"/>
  <c r="H863" i="8" s="1"/>
  <c r="B863" i="8"/>
  <c r="D862" i="8"/>
  <c r="B862" i="8"/>
  <c r="D861" i="8"/>
  <c r="B861" i="8"/>
  <c r="D860" i="8"/>
  <c r="H860" i="8" s="1"/>
  <c r="B860" i="8"/>
  <c r="D859" i="8"/>
  <c r="B859" i="8"/>
  <c r="D858" i="8"/>
  <c r="H858" i="8" s="1"/>
  <c r="B858" i="8"/>
  <c r="D857" i="8"/>
  <c r="B857" i="8"/>
  <c r="D856" i="8"/>
  <c r="F856" i="8" s="1"/>
  <c r="B856" i="8"/>
  <c r="D855" i="8"/>
  <c r="B855" i="8"/>
  <c r="D854" i="8"/>
  <c r="F854" i="8" s="1"/>
  <c r="B854" i="8"/>
  <c r="D853" i="8"/>
  <c r="B853" i="8"/>
  <c r="D852" i="8"/>
  <c r="H852" i="8" s="1"/>
  <c r="B852" i="8"/>
  <c r="D851" i="8"/>
  <c r="H851" i="8" s="1"/>
  <c r="B851" i="8"/>
  <c r="D850" i="8"/>
  <c r="B850" i="8"/>
  <c r="D849" i="8"/>
  <c r="H849" i="8" s="1"/>
  <c r="B849" i="8"/>
  <c r="D848" i="8"/>
  <c r="H848" i="8" s="1"/>
  <c r="B848" i="8"/>
  <c r="D847" i="8"/>
  <c r="B847" i="8"/>
  <c r="D846" i="8"/>
  <c r="H846" i="8" s="1"/>
  <c r="B846" i="8"/>
  <c r="D845" i="8"/>
  <c r="H845" i="8" s="1"/>
  <c r="B845" i="8"/>
  <c r="D844" i="8"/>
  <c r="B844" i="8"/>
  <c r="D843" i="8"/>
  <c r="B843" i="8"/>
  <c r="D842" i="8"/>
  <c r="H842" i="8" s="1"/>
  <c r="B842" i="8"/>
  <c r="D841" i="8"/>
  <c r="B841" i="8"/>
  <c r="D840" i="8"/>
  <c r="B840" i="8"/>
  <c r="D839" i="8"/>
  <c r="B839" i="8"/>
  <c r="D838" i="8"/>
  <c r="H838" i="8" s="1"/>
  <c r="B838" i="8"/>
  <c r="D837" i="8"/>
  <c r="B837" i="8"/>
  <c r="D836" i="8"/>
  <c r="F836" i="8" s="1"/>
  <c r="B836" i="8"/>
  <c r="D835" i="8"/>
  <c r="H835" i="8" s="1"/>
  <c r="B835" i="8"/>
  <c r="D834" i="8"/>
  <c r="H834" i="8" s="1"/>
  <c r="B834" i="8"/>
  <c r="D833" i="8"/>
  <c r="H833" i="8" s="1"/>
  <c r="B833" i="8"/>
  <c r="D832" i="8"/>
  <c r="F832" i="8" s="1"/>
  <c r="B832" i="8"/>
  <c r="D831" i="8"/>
  <c r="B831" i="8"/>
  <c r="D830" i="8"/>
  <c r="H830" i="8" s="1"/>
  <c r="B830" i="8"/>
  <c r="D829" i="8"/>
  <c r="F829" i="8" s="1"/>
  <c r="B829" i="8"/>
  <c r="D828" i="8"/>
  <c r="B828" i="8"/>
  <c r="D827" i="8"/>
  <c r="H827" i="8" s="1"/>
  <c r="B827" i="8"/>
  <c r="D826" i="8"/>
  <c r="B826" i="8"/>
  <c r="D825" i="8"/>
  <c r="H825" i="8" s="1"/>
  <c r="B825" i="8"/>
  <c r="D824" i="8"/>
  <c r="H824" i="8" s="1"/>
  <c r="B824" i="8"/>
  <c r="D823" i="8"/>
  <c r="B823" i="8"/>
  <c r="D822" i="8"/>
  <c r="H822" i="8" s="1"/>
  <c r="B822" i="8"/>
  <c r="D821" i="8"/>
  <c r="B821" i="8"/>
  <c r="D820" i="8"/>
  <c r="F820" i="8" s="1"/>
  <c r="B820" i="8"/>
  <c r="D819" i="8"/>
  <c r="H819" i="8" s="1"/>
  <c r="B819" i="8"/>
  <c r="D818" i="8"/>
  <c r="H818" i="8" s="1"/>
  <c r="B818" i="8"/>
  <c r="D817" i="8"/>
  <c r="H817" i="8" s="1"/>
  <c r="B817" i="8"/>
  <c r="D816" i="8"/>
  <c r="H816" i="8" s="1"/>
  <c r="B816" i="8"/>
  <c r="D815" i="8"/>
  <c r="H815" i="8" s="1"/>
  <c r="B815" i="8"/>
  <c r="D814" i="8"/>
  <c r="H814" i="8" s="1"/>
  <c r="B814" i="8"/>
  <c r="D813" i="8"/>
  <c r="H813" i="8" s="1"/>
  <c r="B813" i="8"/>
  <c r="D812" i="8"/>
  <c r="B812" i="8"/>
  <c r="D811" i="8"/>
  <c r="H811" i="8" s="1"/>
  <c r="B811" i="8"/>
  <c r="D810" i="8"/>
  <c r="F810" i="8" s="1"/>
  <c r="B810" i="8"/>
  <c r="D809" i="8"/>
  <c r="B809" i="8"/>
  <c r="D808" i="8"/>
  <c r="F808" i="8" s="1"/>
  <c r="B808" i="8"/>
  <c r="D807" i="8"/>
  <c r="F807" i="8" s="1"/>
  <c r="B807" i="8"/>
  <c r="D806" i="8"/>
  <c r="B806" i="8"/>
  <c r="D805" i="8"/>
  <c r="F805" i="8" s="1"/>
  <c r="B805" i="8"/>
  <c r="D804" i="8"/>
  <c r="B804" i="8"/>
  <c r="D803" i="8"/>
  <c r="H803" i="8" s="1"/>
  <c r="B803" i="8"/>
  <c r="D802" i="8"/>
  <c r="H802" i="8" s="1"/>
  <c r="B802" i="8"/>
  <c r="D801" i="8"/>
  <c r="H801" i="8" s="1"/>
  <c r="B801" i="8"/>
  <c r="D800" i="8"/>
  <c r="B800" i="8"/>
  <c r="D799" i="8"/>
  <c r="H799" i="8" s="1"/>
  <c r="B799" i="8"/>
  <c r="D798" i="8"/>
  <c r="B798" i="8"/>
  <c r="D797" i="8"/>
  <c r="B797" i="8"/>
  <c r="D796" i="8"/>
  <c r="H796" i="8" s="1"/>
  <c r="B796" i="8"/>
  <c r="D795" i="8"/>
  <c r="H795" i="8" s="1"/>
  <c r="B795" i="8"/>
  <c r="D794" i="8"/>
  <c r="B794" i="8"/>
  <c r="D793" i="8"/>
  <c r="B793" i="8"/>
  <c r="D792" i="8"/>
  <c r="B792" i="8"/>
  <c r="D791" i="8"/>
  <c r="B791" i="8"/>
  <c r="D790" i="8"/>
  <c r="H790" i="8" s="1"/>
  <c r="B790" i="8"/>
  <c r="D789" i="8"/>
  <c r="H789" i="8" s="1"/>
  <c r="B789" i="8"/>
  <c r="D788" i="8"/>
  <c r="B788" i="8"/>
  <c r="D787" i="8"/>
  <c r="B787" i="8"/>
  <c r="D786" i="8"/>
  <c r="F786" i="8" s="1"/>
  <c r="B786" i="8"/>
  <c r="D785" i="8"/>
  <c r="H785" i="8" s="1"/>
  <c r="B785" i="8"/>
  <c r="D784" i="8"/>
  <c r="B784" i="8"/>
  <c r="D783" i="8"/>
  <c r="F783" i="8" s="1"/>
  <c r="B783" i="8"/>
  <c r="D782" i="8"/>
  <c r="B782" i="8"/>
  <c r="D781" i="8"/>
  <c r="F781" i="8" s="1"/>
  <c r="B781" i="8"/>
  <c r="D780" i="8"/>
  <c r="B780" i="8"/>
  <c r="D779" i="8"/>
  <c r="B779" i="8"/>
  <c r="D778" i="8"/>
  <c r="F778" i="8" s="1"/>
  <c r="B778" i="8"/>
  <c r="D777" i="8"/>
  <c r="B777" i="8"/>
  <c r="D776" i="8"/>
  <c r="B776" i="8"/>
  <c r="D775" i="8"/>
  <c r="H775" i="8" s="1"/>
  <c r="B775" i="8"/>
  <c r="D774" i="8"/>
  <c r="B774" i="8"/>
  <c r="D773" i="8"/>
  <c r="H773" i="8" s="1"/>
  <c r="B773" i="8"/>
  <c r="D772" i="8"/>
  <c r="B772" i="8"/>
  <c r="D771" i="8"/>
  <c r="B771" i="8"/>
  <c r="D770" i="8"/>
  <c r="F770" i="8" s="1"/>
  <c r="B770" i="8"/>
  <c r="D769" i="8"/>
  <c r="B769" i="8"/>
  <c r="D768" i="8"/>
  <c r="B768" i="8"/>
  <c r="D767" i="8"/>
  <c r="H767" i="8" s="1"/>
  <c r="B767" i="8"/>
  <c r="D766" i="8"/>
  <c r="B766" i="8"/>
  <c r="D765" i="8"/>
  <c r="B765" i="8"/>
  <c r="D764" i="8"/>
  <c r="F764" i="8" s="1"/>
  <c r="B764" i="8"/>
  <c r="D763" i="8"/>
  <c r="H763" i="8" s="1"/>
  <c r="B763" i="8"/>
  <c r="D762" i="8"/>
  <c r="B762" i="8"/>
  <c r="D761" i="8"/>
  <c r="F761" i="8" s="1"/>
  <c r="B761" i="8"/>
  <c r="D760" i="8"/>
  <c r="B760" i="8"/>
  <c r="D759" i="8"/>
  <c r="B759" i="8"/>
  <c r="D758" i="8"/>
  <c r="B758" i="8"/>
  <c r="D757" i="8"/>
  <c r="H757" i="8" s="1"/>
  <c r="B757" i="8"/>
  <c r="D756" i="8"/>
  <c r="H756" i="8" s="1"/>
  <c r="B756" i="8"/>
  <c r="D755" i="8"/>
  <c r="F755" i="8" s="1"/>
  <c r="B755" i="8"/>
  <c r="D754" i="8"/>
  <c r="F754" i="8" s="1"/>
  <c r="B754" i="8"/>
  <c r="K753" i="8"/>
  <c r="D753" i="8"/>
  <c r="F753" i="8" s="1"/>
  <c r="B753" i="8"/>
  <c r="D752" i="8"/>
  <c r="B752" i="8"/>
  <c r="D751" i="8"/>
  <c r="B751" i="8"/>
  <c r="D750" i="8"/>
  <c r="F750" i="8" s="1"/>
  <c r="B750" i="8"/>
  <c r="D749" i="8"/>
  <c r="B749" i="8"/>
  <c r="D748" i="8"/>
  <c r="F748" i="8" s="1"/>
  <c r="B748" i="8"/>
  <c r="D747" i="8"/>
  <c r="B747" i="8"/>
  <c r="D746" i="8"/>
  <c r="H746" i="8" s="1"/>
  <c r="B746" i="8"/>
  <c r="D745" i="8"/>
  <c r="B745" i="8"/>
  <c r="D744" i="8"/>
  <c r="B744" i="8"/>
  <c r="D743" i="8"/>
  <c r="B743" i="8"/>
  <c r="D742" i="8"/>
  <c r="B742" i="8"/>
  <c r="D741" i="8"/>
  <c r="B741" i="8"/>
  <c r="D740" i="8"/>
  <c r="H740" i="8" s="1"/>
  <c r="B740" i="8"/>
  <c r="D739" i="8"/>
  <c r="B739" i="8"/>
  <c r="D738" i="8"/>
  <c r="B738" i="8"/>
  <c r="D737" i="8"/>
  <c r="B737" i="8"/>
  <c r="D736" i="8"/>
  <c r="B736" i="8"/>
  <c r="D735" i="8"/>
  <c r="H735" i="8" s="1"/>
  <c r="B735" i="8"/>
  <c r="D734" i="8"/>
  <c r="B734" i="8"/>
  <c r="D733" i="8"/>
  <c r="B733" i="8"/>
  <c r="D732" i="8"/>
  <c r="B732" i="8"/>
  <c r="D731" i="8"/>
  <c r="B731" i="8"/>
  <c r="D730" i="8"/>
  <c r="B730" i="8"/>
  <c r="D729" i="8"/>
  <c r="F729" i="8" s="1"/>
  <c r="B729" i="8"/>
  <c r="D728" i="8"/>
  <c r="H728" i="8" s="1"/>
  <c r="B728" i="8"/>
  <c r="D727" i="8"/>
  <c r="B727" i="8"/>
  <c r="D726" i="8"/>
  <c r="F726" i="8" s="1"/>
  <c r="B726" i="8"/>
  <c r="D725" i="8"/>
  <c r="B725" i="8"/>
  <c r="D724" i="8"/>
  <c r="B724" i="8"/>
  <c r="D723" i="8"/>
  <c r="F723" i="8" s="1"/>
  <c r="B723" i="8"/>
  <c r="D722" i="8"/>
  <c r="B722" i="8"/>
  <c r="D721" i="8"/>
  <c r="F721" i="8" s="1"/>
  <c r="B721" i="8"/>
  <c r="D720" i="8"/>
  <c r="F720" i="8" s="1"/>
  <c r="B720" i="8"/>
  <c r="D719" i="8"/>
  <c r="H719" i="8" s="1"/>
  <c r="B719" i="8"/>
  <c r="D718" i="8"/>
  <c r="H718" i="8" s="1"/>
  <c r="B718" i="8"/>
  <c r="D717" i="8"/>
  <c r="B717" i="8"/>
  <c r="D716" i="8"/>
  <c r="H716" i="8" s="1"/>
  <c r="B716" i="8"/>
  <c r="D715" i="8"/>
  <c r="H715" i="8" s="1"/>
  <c r="B715" i="8"/>
  <c r="D714" i="8"/>
  <c r="F714" i="8" s="1"/>
  <c r="B714" i="8"/>
  <c r="D713" i="8"/>
  <c r="B713" i="8"/>
  <c r="D712" i="8"/>
  <c r="B712" i="8"/>
  <c r="D711" i="8"/>
  <c r="H711" i="8" s="1"/>
  <c r="B711" i="8"/>
  <c r="D710" i="8"/>
  <c r="B710" i="8"/>
  <c r="D709" i="8"/>
  <c r="B709" i="8"/>
  <c r="D708" i="8"/>
  <c r="H708" i="8" s="1"/>
  <c r="B708" i="8"/>
  <c r="D707" i="8"/>
  <c r="H707" i="8" s="1"/>
  <c r="B707" i="8"/>
  <c r="D706" i="8"/>
  <c r="H706" i="8" s="1"/>
  <c r="B706" i="8"/>
  <c r="D705" i="8"/>
  <c r="H705" i="8" s="1"/>
  <c r="B705" i="8"/>
  <c r="D704" i="8"/>
  <c r="F704" i="8" s="1"/>
  <c r="B704" i="8"/>
  <c r="D703" i="8"/>
  <c r="B703" i="8"/>
  <c r="D702" i="8"/>
  <c r="F702" i="8" s="1"/>
  <c r="B702" i="8"/>
  <c r="D701" i="8"/>
  <c r="B701" i="8"/>
  <c r="D700" i="8"/>
  <c r="H700" i="8" s="1"/>
  <c r="B700" i="8"/>
  <c r="D699" i="8"/>
  <c r="B699" i="8"/>
  <c r="D698" i="8"/>
  <c r="B698" i="8"/>
  <c r="D697" i="8"/>
  <c r="B697" i="8"/>
  <c r="D696" i="8"/>
  <c r="H696" i="8" s="1"/>
  <c r="B696" i="8"/>
  <c r="D695" i="8"/>
  <c r="B695" i="8"/>
  <c r="D694" i="8"/>
  <c r="B694" i="8"/>
  <c r="D693" i="8"/>
  <c r="H693" i="8" s="1"/>
  <c r="B693" i="8"/>
  <c r="D692" i="8"/>
  <c r="B692" i="8"/>
  <c r="D691" i="8"/>
  <c r="H691" i="8" s="1"/>
  <c r="B691" i="8"/>
  <c r="D690" i="8"/>
  <c r="B690" i="8"/>
  <c r="D689" i="8"/>
  <c r="H689" i="8" s="1"/>
  <c r="B689" i="8"/>
  <c r="D688" i="8"/>
  <c r="B688" i="8"/>
  <c r="D687" i="8"/>
  <c r="F687" i="8" s="1"/>
  <c r="B687" i="8"/>
  <c r="D686" i="8"/>
  <c r="B686" i="8"/>
  <c r="D685" i="8"/>
  <c r="F685" i="8" s="1"/>
  <c r="B685" i="8"/>
  <c r="D684" i="8"/>
  <c r="B684" i="8"/>
  <c r="D683" i="8"/>
  <c r="B683" i="8"/>
  <c r="D682" i="8"/>
  <c r="B682" i="8"/>
  <c r="D681" i="8"/>
  <c r="H681" i="8" s="1"/>
  <c r="B681" i="8"/>
  <c r="D680" i="8"/>
  <c r="H680" i="8" s="1"/>
  <c r="B680" i="8"/>
  <c r="D679" i="8"/>
  <c r="B679" i="8"/>
  <c r="D678" i="8"/>
  <c r="F678" i="8" s="1"/>
  <c r="B678" i="8"/>
  <c r="D677" i="8"/>
  <c r="B677" i="8"/>
  <c r="D676" i="8"/>
  <c r="F676" i="8" s="1"/>
  <c r="B676" i="8"/>
  <c r="D675" i="8"/>
  <c r="B675" i="8"/>
  <c r="D674" i="8"/>
  <c r="H674" i="8" s="1"/>
  <c r="B674" i="8"/>
  <c r="D673" i="8"/>
  <c r="B673" i="8"/>
  <c r="D672" i="8"/>
  <c r="H672" i="8" s="1"/>
  <c r="B672" i="8"/>
  <c r="D671" i="8"/>
  <c r="B671" i="8"/>
  <c r="D670" i="8"/>
  <c r="B670" i="8"/>
  <c r="D669" i="8"/>
  <c r="F669" i="8" s="1"/>
  <c r="B669" i="8"/>
  <c r="D668" i="8"/>
  <c r="H668" i="8" s="1"/>
  <c r="B668" i="8"/>
  <c r="D667" i="8"/>
  <c r="B667" i="8"/>
  <c r="D666" i="8"/>
  <c r="B666" i="8"/>
  <c r="D665" i="8"/>
  <c r="F665" i="8" s="1"/>
  <c r="B665" i="8"/>
  <c r="D664" i="8"/>
  <c r="B664" i="8"/>
  <c r="D663" i="8"/>
  <c r="F663" i="8" s="1"/>
  <c r="B663" i="8"/>
  <c r="D662" i="8"/>
  <c r="B662" i="8"/>
  <c r="D661" i="8"/>
  <c r="F661" i="8" s="1"/>
  <c r="B661" i="8"/>
  <c r="D660" i="8"/>
  <c r="H660" i="8" s="1"/>
  <c r="B660" i="8"/>
  <c r="D659" i="8"/>
  <c r="F659" i="8" s="1"/>
  <c r="B659" i="8"/>
  <c r="D658" i="8"/>
  <c r="B658" i="8"/>
  <c r="D657" i="8"/>
  <c r="H657" i="8" s="1"/>
  <c r="B657" i="8"/>
  <c r="D656" i="8"/>
  <c r="B656" i="8"/>
  <c r="D655" i="8"/>
  <c r="F655" i="8" s="1"/>
  <c r="B655" i="8"/>
  <c r="D654" i="8"/>
  <c r="B654" i="8"/>
  <c r="D653" i="8"/>
  <c r="F653" i="8" s="1"/>
  <c r="B653" i="8"/>
  <c r="D652" i="8"/>
  <c r="H652" i="8" s="1"/>
  <c r="B652" i="8"/>
  <c r="D651" i="8"/>
  <c r="B651" i="8"/>
  <c r="D650" i="8"/>
  <c r="H650" i="8" s="1"/>
  <c r="B650" i="8"/>
  <c r="D649" i="8"/>
  <c r="B649" i="8"/>
  <c r="D648" i="8"/>
  <c r="B648" i="8"/>
  <c r="D647" i="8"/>
  <c r="B647" i="8"/>
  <c r="D646" i="8"/>
  <c r="F646" i="8" s="1"/>
  <c r="B646" i="8"/>
  <c r="D645" i="8"/>
  <c r="B645" i="8"/>
  <c r="D644" i="8"/>
  <c r="F644" i="8" s="1"/>
  <c r="B644" i="8"/>
  <c r="D643" i="8"/>
  <c r="B643" i="8"/>
  <c r="D642" i="8"/>
  <c r="H642" i="8" s="1"/>
  <c r="B642" i="8"/>
  <c r="D641" i="8"/>
  <c r="F641" i="8" s="1"/>
  <c r="B641" i="8"/>
  <c r="D640" i="8"/>
  <c r="B640" i="8"/>
  <c r="D639" i="8"/>
  <c r="B639" i="8"/>
  <c r="D638" i="8"/>
  <c r="H638" i="8" s="1"/>
  <c r="B638" i="8"/>
  <c r="D637" i="8"/>
  <c r="B637" i="8"/>
  <c r="D636" i="8"/>
  <c r="H636" i="8" s="1"/>
  <c r="B636" i="8"/>
  <c r="D635" i="8"/>
  <c r="F635" i="8" s="1"/>
  <c r="B635" i="8"/>
  <c r="D634" i="8"/>
  <c r="H634" i="8" s="1"/>
  <c r="B634" i="8"/>
  <c r="D633" i="8"/>
  <c r="F633" i="8" s="1"/>
  <c r="B633" i="8"/>
  <c r="D632" i="8"/>
  <c r="B632" i="8"/>
  <c r="D631" i="8"/>
  <c r="B631" i="8"/>
  <c r="D630" i="8"/>
  <c r="F630" i="8" s="1"/>
  <c r="B630" i="8"/>
  <c r="D629" i="8"/>
  <c r="B629" i="8"/>
  <c r="D628" i="8"/>
  <c r="B628" i="8"/>
  <c r="D627" i="8"/>
  <c r="B627" i="8"/>
  <c r="D626" i="8"/>
  <c r="H626" i="8" s="1"/>
  <c r="B626" i="8"/>
  <c r="D625" i="8"/>
  <c r="H625" i="8" s="1"/>
  <c r="B625" i="8"/>
  <c r="D624" i="8"/>
  <c r="H624" i="8" s="1"/>
  <c r="B624" i="8"/>
  <c r="D623" i="8"/>
  <c r="B623" i="8"/>
  <c r="D622" i="8"/>
  <c r="H622" i="8" s="1"/>
  <c r="B622" i="8"/>
  <c r="D621" i="8"/>
  <c r="F621" i="8" s="1"/>
  <c r="B621" i="8"/>
  <c r="D620" i="8"/>
  <c r="H620" i="8" s="1"/>
  <c r="B620" i="8"/>
  <c r="D619" i="8"/>
  <c r="F619" i="8" s="1"/>
  <c r="B619" i="8"/>
  <c r="D618" i="8"/>
  <c r="B618" i="8"/>
  <c r="D617" i="8"/>
  <c r="B617" i="8"/>
  <c r="D616" i="8"/>
  <c r="B616" i="8"/>
  <c r="D615" i="8"/>
  <c r="B615" i="8"/>
  <c r="D614" i="8"/>
  <c r="B614" i="8"/>
  <c r="D613" i="8"/>
  <c r="H613" i="8" s="1"/>
  <c r="B613" i="8"/>
  <c r="D612" i="8"/>
  <c r="B612" i="8"/>
  <c r="D611" i="8"/>
  <c r="B611" i="8"/>
  <c r="D610" i="8"/>
  <c r="B610" i="8"/>
  <c r="D609" i="8"/>
  <c r="F609" i="8" s="1"/>
  <c r="B609" i="8"/>
  <c r="D608" i="8"/>
  <c r="B608" i="8"/>
  <c r="D607" i="8"/>
  <c r="B607" i="8"/>
  <c r="D606" i="8"/>
  <c r="H606" i="8" s="1"/>
  <c r="B606" i="8"/>
  <c r="D605" i="8"/>
  <c r="H605" i="8" s="1"/>
  <c r="B605" i="8"/>
  <c r="D604" i="8"/>
  <c r="F604" i="8" s="1"/>
  <c r="B604" i="8"/>
  <c r="D603" i="8"/>
  <c r="B603" i="8"/>
  <c r="D602" i="8"/>
  <c r="B602" i="8"/>
  <c r="D601" i="8"/>
  <c r="H601" i="8" s="1"/>
  <c r="B601" i="8"/>
  <c r="D600" i="8"/>
  <c r="B600" i="8"/>
  <c r="D599" i="8"/>
  <c r="B599" i="8"/>
  <c r="D598" i="8"/>
  <c r="F598" i="8" s="1"/>
  <c r="B598" i="8"/>
  <c r="D597" i="8"/>
  <c r="F597" i="8" s="1"/>
  <c r="B597" i="8"/>
  <c r="D596" i="8"/>
  <c r="F596" i="8" s="1"/>
  <c r="B596" i="8"/>
  <c r="D595" i="8"/>
  <c r="H595" i="8" s="1"/>
  <c r="B595" i="8"/>
  <c r="D594" i="8"/>
  <c r="F594" i="8" s="1"/>
  <c r="B594" i="8"/>
  <c r="D593" i="8"/>
  <c r="B593" i="8"/>
  <c r="D592" i="8"/>
  <c r="F592" i="8" s="1"/>
  <c r="B592" i="8"/>
  <c r="D591" i="8"/>
  <c r="B591" i="8"/>
  <c r="D590" i="8"/>
  <c r="B590" i="8"/>
  <c r="D589" i="8"/>
  <c r="B589" i="8"/>
  <c r="D588" i="8"/>
  <c r="B588" i="8"/>
  <c r="D587" i="8"/>
  <c r="B587" i="8"/>
  <c r="D586" i="8"/>
  <c r="B586" i="8"/>
  <c r="D585" i="8"/>
  <c r="H585" i="8" s="1"/>
  <c r="B585" i="8"/>
  <c r="D584" i="8"/>
  <c r="H584" i="8" s="1"/>
  <c r="B584" i="8"/>
  <c r="D583" i="8"/>
  <c r="H583" i="8" s="1"/>
  <c r="B583" i="8"/>
  <c r="D582" i="8"/>
  <c r="B582" i="8"/>
  <c r="D581" i="8"/>
  <c r="F581" i="8" s="1"/>
  <c r="B581" i="8"/>
  <c r="D580" i="8"/>
  <c r="H580" i="8" s="1"/>
  <c r="B580" i="8"/>
  <c r="D579" i="8"/>
  <c r="H579" i="8" s="1"/>
  <c r="B579" i="8"/>
  <c r="D578" i="8"/>
  <c r="F578" i="8" s="1"/>
  <c r="B578" i="8"/>
  <c r="D577" i="8"/>
  <c r="B577" i="8"/>
  <c r="D576" i="8"/>
  <c r="B576" i="8"/>
  <c r="D575" i="8"/>
  <c r="H575" i="8" s="1"/>
  <c r="B575" i="8"/>
  <c r="D574" i="8"/>
  <c r="H574" i="8" s="1"/>
  <c r="B574" i="8"/>
  <c r="D573" i="8"/>
  <c r="B573" i="8"/>
  <c r="D572" i="8"/>
  <c r="B572" i="8"/>
  <c r="D571" i="8"/>
  <c r="B571" i="8"/>
  <c r="D570" i="8"/>
  <c r="B570" i="8"/>
  <c r="D569" i="8"/>
  <c r="B569" i="8"/>
  <c r="D568" i="8"/>
  <c r="H568" i="8" s="1"/>
  <c r="B568" i="8"/>
  <c r="D567" i="8"/>
  <c r="B567" i="8"/>
  <c r="D566" i="8"/>
  <c r="B566" i="8"/>
  <c r="D565" i="8"/>
  <c r="B565" i="8"/>
  <c r="D564" i="8"/>
  <c r="B564" i="8"/>
  <c r="D563" i="8"/>
  <c r="H563" i="8" s="1"/>
  <c r="B563" i="8"/>
  <c r="D562" i="8"/>
  <c r="H562" i="8" s="1"/>
  <c r="B562" i="8"/>
  <c r="D561" i="8"/>
  <c r="F561" i="8" s="1"/>
  <c r="B561" i="8"/>
  <c r="D560" i="8"/>
  <c r="F560" i="8" s="1"/>
  <c r="B560" i="8"/>
  <c r="D559" i="8"/>
  <c r="B559" i="8"/>
  <c r="D558" i="8"/>
  <c r="F558" i="8" s="1"/>
  <c r="B558" i="8"/>
  <c r="D557" i="8"/>
  <c r="H557" i="8" s="1"/>
  <c r="B557" i="8"/>
  <c r="D556" i="8"/>
  <c r="F556" i="8" s="1"/>
  <c r="B556" i="8"/>
  <c r="D555" i="8"/>
  <c r="H555" i="8" s="1"/>
  <c r="B555" i="8"/>
  <c r="D554" i="8"/>
  <c r="B554" i="8"/>
  <c r="D553" i="8"/>
  <c r="F553" i="8" s="1"/>
  <c r="B553" i="8"/>
  <c r="D552" i="8"/>
  <c r="F552" i="8" s="1"/>
  <c r="B552" i="8"/>
  <c r="D551" i="8"/>
  <c r="H551" i="8" s="1"/>
  <c r="B551" i="8"/>
  <c r="D550" i="8"/>
  <c r="F550" i="8" s="1"/>
  <c r="B550" i="8"/>
  <c r="D549" i="8"/>
  <c r="B549" i="8"/>
  <c r="D548" i="8"/>
  <c r="B548" i="8"/>
  <c r="D547" i="8"/>
  <c r="F547" i="8" s="1"/>
  <c r="B547" i="8"/>
  <c r="D546" i="8"/>
  <c r="H546" i="8" s="1"/>
  <c r="B546" i="8"/>
  <c r="D545" i="8"/>
  <c r="H545" i="8" s="1"/>
  <c r="B545" i="8"/>
  <c r="D544" i="8"/>
  <c r="B544" i="8"/>
  <c r="D543" i="8"/>
  <c r="B543" i="8"/>
  <c r="D542" i="8"/>
  <c r="B542" i="8"/>
  <c r="D541" i="8"/>
  <c r="B541" i="8"/>
  <c r="D540" i="8"/>
  <c r="F540" i="8" s="1"/>
  <c r="B540" i="8"/>
  <c r="D539" i="8"/>
  <c r="B539" i="8"/>
  <c r="D538" i="8"/>
  <c r="B538" i="8"/>
  <c r="D537" i="8"/>
  <c r="B537" i="8"/>
  <c r="D536" i="8"/>
  <c r="B536" i="8"/>
  <c r="D535" i="8"/>
  <c r="B535" i="8"/>
  <c r="D534" i="8"/>
  <c r="F534" i="8" s="1"/>
  <c r="B534" i="8"/>
  <c r="D533" i="8"/>
  <c r="B533" i="8"/>
  <c r="D532" i="8"/>
  <c r="B532" i="8"/>
  <c r="D531" i="8"/>
  <c r="F531" i="8" s="1"/>
  <c r="B531" i="8"/>
  <c r="D530" i="8"/>
  <c r="B530" i="8"/>
  <c r="D529" i="8"/>
  <c r="H529" i="8" s="1"/>
  <c r="B529" i="8"/>
  <c r="D528" i="8"/>
  <c r="H528" i="8" s="1"/>
  <c r="B528" i="8"/>
  <c r="D527" i="8"/>
  <c r="F527" i="8" s="1"/>
  <c r="B527" i="8"/>
  <c r="D526" i="8"/>
  <c r="B526" i="8"/>
  <c r="D525" i="8"/>
  <c r="B525" i="8"/>
  <c r="D524" i="8"/>
  <c r="F524" i="8" s="1"/>
  <c r="B524" i="8"/>
  <c r="D523" i="8"/>
  <c r="B523" i="8"/>
  <c r="D522" i="8"/>
  <c r="B522" i="8"/>
  <c r="D521" i="8"/>
  <c r="B521" i="8"/>
  <c r="D520" i="8"/>
  <c r="B520" i="8"/>
  <c r="D519" i="8"/>
  <c r="B519" i="8"/>
  <c r="D518" i="8"/>
  <c r="B518" i="8"/>
  <c r="D517" i="8"/>
  <c r="F517" i="8" s="1"/>
  <c r="B517" i="8"/>
  <c r="D516" i="8"/>
  <c r="B516" i="8"/>
  <c r="D515" i="8"/>
  <c r="B515" i="8"/>
  <c r="D514" i="8"/>
  <c r="B514" i="8"/>
  <c r="K513" i="8"/>
  <c r="D513" i="8"/>
  <c r="B513" i="8"/>
  <c r="D512" i="8"/>
  <c r="F512" i="8" s="1"/>
  <c r="B512" i="8"/>
  <c r="D511" i="8"/>
  <c r="B511" i="8"/>
  <c r="D510" i="8"/>
  <c r="B510" i="8"/>
  <c r="D509" i="8"/>
  <c r="B509" i="8"/>
  <c r="D508" i="8"/>
  <c r="F508" i="8" s="1"/>
  <c r="B508" i="8"/>
  <c r="D507" i="8"/>
  <c r="H507" i="8" s="1"/>
  <c r="B507" i="8"/>
  <c r="D506" i="8"/>
  <c r="B506" i="8"/>
  <c r="D505" i="8"/>
  <c r="B505" i="8"/>
  <c r="D504" i="8"/>
  <c r="B504" i="8"/>
  <c r="D503" i="8"/>
  <c r="B503" i="8"/>
  <c r="D502" i="8"/>
  <c r="H502" i="8" s="1"/>
  <c r="B502" i="8"/>
  <c r="D501" i="8"/>
  <c r="B501" i="8"/>
  <c r="D500" i="8"/>
  <c r="B500" i="8"/>
  <c r="D499" i="8"/>
  <c r="B499" i="8"/>
  <c r="D498" i="8"/>
  <c r="B498" i="8"/>
  <c r="D497" i="8"/>
  <c r="F497" i="8" s="1"/>
  <c r="B497" i="8"/>
  <c r="D496" i="8"/>
  <c r="B496" i="8"/>
  <c r="D495" i="8"/>
  <c r="B495" i="8"/>
  <c r="D494" i="8"/>
  <c r="B494" i="8"/>
  <c r="D493" i="8"/>
  <c r="B493" i="8"/>
  <c r="D492" i="8"/>
  <c r="B492" i="8"/>
  <c r="D491" i="8"/>
  <c r="F491" i="8" s="1"/>
  <c r="B491" i="8"/>
  <c r="D490" i="8"/>
  <c r="B490" i="8"/>
  <c r="D489" i="8"/>
  <c r="B489" i="8"/>
  <c r="D488" i="8"/>
  <c r="H488" i="8" s="1"/>
  <c r="B488" i="8"/>
  <c r="D487" i="8"/>
  <c r="H487" i="8" s="1"/>
  <c r="B487" i="8"/>
  <c r="D486" i="8"/>
  <c r="B486" i="8"/>
  <c r="D485" i="8"/>
  <c r="B485" i="8"/>
  <c r="D484" i="8"/>
  <c r="B484" i="8"/>
  <c r="D483" i="8"/>
  <c r="H483" i="8" s="1"/>
  <c r="B483" i="8"/>
  <c r="D482" i="8"/>
  <c r="B482" i="8"/>
  <c r="D481" i="8"/>
  <c r="H481" i="8" s="1"/>
  <c r="B481" i="8"/>
  <c r="D480" i="8"/>
  <c r="F480" i="8" s="1"/>
  <c r="B480" i="8"/>
  <c r="D479" i="8"/>
  <c r="F479" i="8" s="1"/>
  <c r="B479" i="8"/>
  <c r="D478" i="8"/>
  <c r="H478" i="8" s="1"/>
  <c r="B478" i="8"/>
  <c r="D477" i="8"/>
  <c r="B477" i="8"/>
  <c r="D476" i="8"/>
  <c r="B476" i="8"/>
  <c r="D475" i="8"/>
  <c r="B475" i="8"/>
  <c r="D474" i="8"/>
  <c r="B474" i="8"/>
  <c r="D473" i="8"/>
  <c r="F473" i="8" s="1"/>
  <c r="B473" i="8"/>
  <c r="D472" i="8"/>
  <c r="F472" i="8" s="1"/>
  <c r="B472" i="8"/>
  <c r="D471" i="8"/>
  <c r="B471" i="8"/>
  <c r="D470" i="8"/>
  <c r="B470" i="8"/>
  <c r="D469" i="8"/>
  <c r="B469" i="8"/>
  <c r="D468" i="8"/>
  <c r="B468" i="8"/>
  <c r="D467" i="8"/>
  <c r="B467" i="8"/>
  <c r="D466" i="8"/>
  <c r="B466" i="8"/>
  <c r="D465" i="8"/>
  <c r="F465" i="8" s="1"/>
  <c r="B465" i="8"/>
  <c r="D464" i="8"/>
  <c r="B464" i="8"/>
  <c r="D463" i="8"/>
  <c r="H463" i="8" s="1"/>
  <c r="B463" i="8"/>
  <c r="D462" i="8"/>
  <c r="F462" i="8" s="1"/>
  <c r="B462" i="8"/>
  <c r="D461" i="8"/>
  <c r="B461" i="8"/>
  <c r="D460" i="8"/>
  <c r="B460" i="8"/>
  <c r="D459" i="8"/>
  <c r="F459" i="8" s="1"/>
  <c r="B459" i="8"/>
  <c r="D458" i="8"/>
  <c r="B458" i="8"/>
  <c r="D457" i="8"/>
  <c r="B457" i="8"/>
  <c r="D456" i="8"/>
  <c r="B456" i="8"/>
  <c r="D455" i="8"/>
  <c r="H455" i="8" s="1"/>
  <c r="B455" i="8"/>
  <c r="D454" i="8"/>
  <c r="B454" i="8"/>
  <c r="D453" i="8"/>
  <c r="B453" i="8"/>
  <c r="D452" i="8"/>
  <c r="B452" i="8"/>
  <c r="D451" i="8"/>
  <c r="H451" i="8" s="1"/>
  <c r="B451" i="8"/>
  <c r="D450" i="8"/>
  <c r="B450" i="8"/>
  <c r="D449" i="8"/>
  <c r="F449" i="8" s="1"/>
  <c r="B449" i="8"/>
  <c r="D448" i="8"/>
  <c r="F448" i="8" s="1"/>
  <c r="B448" i="8"/>
  <c r="D447" i="8"/>
  <c r="F447" i="8" s="1"/>
  <c r="B447" i="8"/>
  <c r="D446" i="8"/>
  <c r="B446" i="8"/>
  <c r="D445" i="8"/>
  <c r="B445" i="8"/>
  <c r="D444" i="8"/>
  <c r="B444" i="8"/>
  <c r="D443" i="8"/>
  <c r="F443" i="8" s="1"/>
  <c r="B443" i="8"/>
  <c r="D442" i="8"/>
  <c r="B442" i="8"/>
  <c r="D441" i="8"/>
  <c r="B441" i="8"/>
  <c r="D440" i="8"/>
  <c r="H440" i="8" s="1"/>
  <c r="B440" i="8"/>
  <c r="D439" i="8"/>
  <c r="B439" i="8"/>
  <c r="D438" i="8"/>
  <c r="H438" i="8" s="1"/>
  <c r="B438" i="8"/>
  <c r="D437" i="8"/>
  <c r="F437" i="8" s="1"/>
  <c r="B437" i="8"/>
  <c r="D436" i="8"/>
  <c r="B436" i="8"/>
  <c r="D435" i="8"/>
  <c r="H435" i="8" s="1"/>
  <c r="B435" i="8"/>
  <c r="D434" i="8"/>
  <c r="B434" i="8"/>
  <c r="D433" i="8"/>
  <c r="F433" i="8" s="1"/>
  <c r="B433" i="8"/>
  <c r="D432" i="8"/>
  <c r="B432" i="8"/>
  <c r="D431" i="8"/>
  <c r="B431" i="8"/>
  <c r="D430" i="8"/>
  <c r="B430" i="8"/>
  <c r="D429" i="8"/>
  <c r="B429" i="8"/>
  <c r="D428" i="8"/>
  <c r="B428" i="8"/>
  <c r="D427" i="8"/>
  <c r="B427" i="8"/>
  <c r="D426" i="8"/>
  <c r="F426" i="8" s="1"/>
  <c r="B426" i="8"/>
  <c r="D425" i="8"/>
  <c r="F425" i="8" s="1"/>
  <c r="B425" i="8"/>
  <c r="D424" i="8"/>
  <c r="H424" i="8" s="1"/>
  <c r="B424" i="8"/>
  <c r="D423" i="8"/>
  <c r="B423" i="8"/>
  <c r="D422" i="8"/>
  <c r="B422" i="8"/>
  <c r="D421" i="8"/>
  <c r="B421" i="8"/>
  <c r="D420" i="8"/>
  <c r="B420" i="8"/>
  <c r="D419" i="8"/>
  <c r="B419" i="8"/>
  <c r="D418" i="8"/>
  <c r="B418" i="8"/>
  <c r="D417" i="8"/>
  <c r="H417" i="8" s="1"/>
  <c r="B417" i="8"/>
  <c r="D416" i="8"/>
  <c r="B416" i="8"/>
  <c r="D415" i="8"/>
  <c r="B415" i="8"/>
  <c r="D414" i="8"/>
  <c r="B414" i="8"/>
  <c r="D413" i="8"/>
  <c r="B413" i="8"/>
  <c r="D412" i="8"/>
  <c r="B412" i="8"/>
  <c r="D411" i="8"/>
  <c r="B411" i="8"/>
  <c r="D410" i="8"/>
  <c r="B410" i="8"/>
  <c r="D409" i="8"/>
  <c r="B409" i="8"/>
  <c r="D408" i="8"/>
  <c r="B408" i="8"/>
  <c r="D407" i="8"/>
  <c r="B407" i="8"/>
  <c r="D406" i="8"/>
  <c r="B406" i="8"/>
  <c r="D405" i="8"/>
  <c r="B405" i="8"/>
  <c r="D404" i="8"/>
  <c r="F404" i="8" s="1"/>
  <c r="B404" i="8"/>
  <c r="D403" i="8"/>
  <c r="B403" i="8"/>
  <c r="D402" i="8"/>
  <c r="B402" i="8"/>
  <c r="D401" i="8"/>
  <c r="F401" i="8" s="1"/>
  <c r="B401" i="8"/>
  <c r="D400" i="8"/>
  <c r="H400" i="8" s="1"/>
  <c r="B400" i="8"/>
  <c r="D399" i="8"/>
  <c r="F399" i="8" s="1"/>
  <c r="B399" i="8"/>
  <c r="D398" i="8"/>
  <c r="B398" i="8"/>
  <c r="D397" i="8"/>
  <c r="B397" i="8"/>
  <c r="D396" i="8"/>
  <c r="B396" i="8"/>
  <c r="D395" i="8"/>
  <c r="B395" i="8"/>
  <c r="D394" i="8"/>
  <c r="F394" i="8" s="1"/>
  <c r="B394" i="8"/>
  <c r="D393" i="8"/>
  <c r="B393" i="8"/>
  <c r="D392" i="8"/>
  <c r="H392" i="8" s="1"/>
  <c r="B392" i="8"/>
  <c r="D391" i="8"/>
  <c r="B391" i="8"/>
  <c r="D390" i="8"/>
  <c r="B390" i="8"/>
  <c r="D389" i="8"/>
  <c r="B389" i="8"/>
  <c r="D388" i="8"/>
  <c r="H388" i="8" s="1"/>
  <c r="B388" i="8"/>
  <c r="D387" i="8"/>
  <c r="B387" i="8"/>
  <c r="D386" i="8"/>
  <c r="B386" i="8"/>
  <c r="D385" i="8"/>
  <c r="H385" i="8" s="1"/>
  <c r="B385" i="8"/>
  <c r="D384" i="8"/>
  <c r="H384" i="8" s="1"/>
  <c r="B384" i="8"/>
  <c r="D383" i="8"/>
  <c r="B383" i="8"/>
  <c r="D382" i="8"/>
  <c r="B382" i="8"/>
  <c r="D381" i="8"/>
  <c r="B381" i="8"/>
  <c r="D380" i="8"/>
  <c r="B380" i="8"/>
  <c r="D379" i="8"/>
  <c r="B379" i="8"/>
  <c r="D378" i="8"/>
  <c r="H378" i="8" s="1"/>
  <c r="B378" i="8"/>
  <c r="D377" i="8"/>
  <c r="B377" i="8"/>
  <c r="D376" i="8"/>
  <c r="H376" i="8" s="1"/>
  <c r="B376" i="8"/>
  <c r="D375" i="8"/>
  <c r="F375" i="8" s="1"/>
  <c r="B375" i="8"/>
  <c r="D374" i="8"/>
  <c r="F374" i="8" s="1"/>
  <c r="B374" i="8"/>
  <c r="D373" i="8"/>
  <c r="B373" i="8"/>
  <c r="D372" i="8"/>
  <c r="B372" i="8"/>
  <c r="D371" i="8"/>
  <c r="H371" i="8" s="1"/>
  <c r="B371" i="8"/>
  <c r="D370" i="8"/>
  <c r="B370" i="8"/>
  <c r="D369" i="8"/>
  <c r="H369" i="8" s="1"/>
  <c r="B369" i="8"/>
  <c r="D368" i="8"/>
  <c r="H368" i="8" s="1"/>
  <c r="B368" i="8"/>
  <c r="D367" i="8"/>
  <c r="H367" i="8" s="1"/>
  <c r="B367" i="8"/>
  <c r="D366" i="8"/>
  <c r="H366" i="8" s="1"/>
  <c r="B366" i="8"/>
  <c r="D365" i="8"/>
  <c r="B365" i="8"/>
  <c r="D364" i="8"/>
  <c r="B364" i="8"/>
  <c r="D363" i="8"/>
  <c r="B363" i="8"/>
  <c r="D362" i="8"/>
  <c r="H362" i="8" s="1"/>
  <c r="B362" i="8"/>
  <c r="D361" i="8"/>
  <c r="H361" i="8" s="1"/>
  <c r="B361" i="8"/>
  <c r="D360" i="8"/>
  <c r="B360" i="8"/>
  <c r="D359" i="8"/>
  <c r="F359" i="8" s="1"/>
  <c r="B359" i="8"/>
  <c r="D358" i="8"/>
  <c r="B358" i="8"/>
  <c r="D357" i="8"/>
  <c r="B357" i="8"/>
  <c r="D356" i="8"/>
  <c r="B356" i="8"/>
  <c r="D355" i="8"/>
  <c r="H355" i="8" s="1"/>
  <c r="B355" i="8"/>
  <c r="D354" i="8"/>
  <c r="B354" i="8"/>
  <c r="D353" i="8"/>
  <c r="H353" i="8" s="1"/>
  <c r="B353" i="8"/>
  <c r="D352" i="8"/>
  <c r="F352" i="8" s="1"/>
  <c r="B352" i="8"/>
  <c r="D351" i="8"/>
  <c r="B351" i="8"/>
  <c r="D350" i="8"/>
  <c r="H350" i="8" s="1"/>
  <c r="B350" i="8"/>
  <c r="D349" i="8"/>
  <c r="B349" i="8"/>
  <c r="D348" i="8"/>
  <c r="B348" i="8"/>
  <c r="D347" i="8"/>
  <c r="B347" i="8"/>
  <c r="D346" i="8"/>
  <c r="F346" i="8" s="1"/>
  <c r="B346" i="8"/>
  <c r="D345" i="8"/>
  <c r="B345" i="8"/>
  <c r="D344" i="8"/>
  <c r="H344" i="8" s="1"/>
  <c r="B344" i="8"/>
  <c r="D343" i="8"/>
  <c r="B343" i="8"/>
  <c r="D342" i="8"/>
  <c r="B342" i="8"/>
  <c r="D341" i="8"/>
  <c r="B341" i="8"/>
  <c r="D340" i="8"/>
  <c r="B340" i="8"/>
  <c r="D339" i="8"/>
  <c r="B339" i="8"/>
  <c r="D338" i="8"/>
  <c r="F338" i="8" s="1"/>
  <c r="B338" i="8"/>
  <c r="K385" i="8"/>
  <c r="D337" i="8"/>
  <c r="B337" i="8"/>
  <c r="D336" i="8"/>
  <c r="B336" i="8"/>
  <c r="D335" i="8"/>
  <c r="B335" i="8"/>
  <c r="D334" i="8"/>
  <c r="H334" i="8" s="1"/>
  <c r="B334" i="8"/>
  <c r="D333" i="8"/>
  <c r="F333" i="8" s="1"/>
  <c r="B333" i="8"/>
  <c r="D332" i="8"/>
  <c r="B332" i="8"/>
  <c r="D331" i="8"/>
  <c r="B331" i="8"/>
  <c r="D330" i="8"/>
  <c r="B330" i="8"/>
  <c r="D329" i="8"/>
  <c r="B329" i="8"/>
  <c r="D328" i="8"/>
  <c r="B328" i="8"/>
  <c r="D327" i="8"/>
  <c r="B327" i="8"/>
  <c r="D326" i="8"/>
  <c r="B326" i="8"/>
  <c r="D325" i="8"/>
  <c r="B325" i="8"/>
  <c r="D324" i="8"/>
  <c r="B324" i="8"/>
  <c r="D323" i="8"/>
  <c r="B323" i="8"/>
  <c r="D322" i="8"/>
  <c r="B322" i="8"/>
  <c r="D321" i="8"/>
  <c r="H321" i="8" s="1"/>
  <c r="B321" i="8"/>
  <c r="D320" i="8"/>
  <c r="B320" i="8"/>
  <c r="D319" i="8"/>
  <c r="B319" i="8"/>
  <c r="D318" i="8"/>
  <c r="B318" i="8"/>
  <c r="D317" i="8"/>
  <c r="B317" i="8"/>
  <c r="D316" i="8"/>
  <c r="B316" i="8"/>
  <c r="D315" i="8"/>
  <c r="H315" i="8" s="1"/>
  <c r="B315" i="8"/>
  <c r="D314" i="8"/>
  <c r="H314" i="8" s="1"/>
  <c r="B314" i="8"/>
  <c r="D313" i="8"/>
  <c r="H313" i="8" s="1"/>
  <c r="B313" i="8"/>
  <c r="D312" i="8"/>
  <c r="B312" i="8"/>
  <c r="D311" i="8"/>
  <c r="F311" i="8" s="1"/>
  <c r="B311" i="8"/>
  <c r="D310" i="8"/>
  <c r="B310" i="8"/>
  <c r="D309" i="8"/>
  <c r="F309" i="8" s="1"/>
  <c r="B309" i="8"/>
  <c r="D308" i="8"/>
  <c r="B308" i="8"/>
  <c r="D307" i="8"/>
  <c r="B307" i="8"/>
  <c r="D306" i="8"/>
  <c r="B306" i="8"/>
  <c r="D305" i="8"/>
  <c r="H305" i="8" s="1"/>
  <c r="B305" i="8"/>
  <c r="D304" i="8"/>
  <c r="B304" i="8"/>
  <c r="D303" i="8"/>
  <c r="B303" i="8"/>
  <c r="D302" i="8"/>
  <c r="F302" i="8" s="1"/>
  <c r="B302" i="8"/>
  <c r="D301" i="8"/>
  <c r="F301" i="8" s="1"/>
  <c r="B301" i="8"/>
  <c r="D300" i="8"/>
  <c r="B300" i="8"/>
  <c r="D299" i="8"/>
  <c r="B299" i="8"/>
  <c r="D298" i="8"/>
  <c r="B298" i="8"/>
  <c r="D297" i="8"/>
  <c r="B297" i="8"/>
  <c r="D296" i="8"/>
  <c r="F296" i="8" s="1"/>
  <c r="B296" i="8"/>
  <c r="D295" i="8"/>
  <c r="B295" i="8"/>
  <c r="D294" i="8"/>
  <c r="H294" i="8" s="1"/>
  <c r="B294" i="8"/>
  <c r="D293" i="8"/>
  <c r="H293" i="8" s="1"/>
  <c r="B293" i="8"/>
  <c r="D292" i="8"/>
  <c r="H292" i="8" s="1"/>
  <c r="B292" i="8"/>
  <c r="D291" i="8"/>
  <c r="F291" i="8" s="1"/>
  <c r="B291" i="8"/>
  <c r="D290" i="8"/>
  <c r="B290" i="8"/>
  <c r="D289" i="8"/>
  <c r="F289" i="8" s="1"/>
  <c r="B289" i="8"/>
  <c r="D288" i="8"/>
  <c r="B288" i="8"/>
  <c r="D287" i="8"/>
  <c r="B287" i="8"/>
  <c r="D286" i="8"/>
  <c r="B286" i="8"/>
  <c r="D285" i="8"/>
  <c r="B285" i="8"/>
  <c r="D284" i="8"/>
  <c r="F284" i="8" s="1"/>
  <c r="B284" i="8"/>
  <c r="D283" i="8"/>
  <c r="F283" i="8" s="1"/>
  <c r="B283" i="8"/>
  <c r="D282" i="8"/>
  <c r="B282" i="8"/>
  <c r="D281" i="8"/>
  <c r="B281" i="8"/>
  <c r="D280" i="8"/>
  <c r="B280" i="8"/>
  <c r="D279" i="8"/>
  <c r="B279" i="8"/>
  <c r="D278" i="8"/>
  <c r="H278" i="8" s="1"/>
  <c r="B278" i="8"/>
  <c r="D277" i="8"/>
  <c r="B277" i="8"/>
  <c r="D276" i="8"/>
  <c r="B276" i="8"/>
  <c r="D275" i="8"/>
  <c r="B275" i="8"/>
  <c r="D274" i="8"/>
  <c r="H274" i="8" s="1"/>
  <c r="B274" i="8"/>
  <c r="D273" i="8"/>
  <c r="H273" i="8" s="1"/>
  <c r="B273" i="8"/>
  <c r="D272" i="8"/>
  <c r="H272" i="8" s="1"/>
  <c r="B272" i="8"/>
  <c r="D271" i="8"/>
  <c r="B271" i="8"/>
  <c r="D270" i="8"/>
  <c r="H270" i="8" s="1"/>
  <c r="B270" i="8"/>
  <c r="D269" i="8"/>
  <c r="H269" i="8" s="1"/>
  <c r="B269" i="8"/>
  <c r="D268" i="8"/>
  <c r="F268" i="8" s="1"/>
  <c r="B268" i="8"/>
  <c r="D267" i="8"/>
  <c r="B267" i="8"/>
  <c r="D266" i="8"/>
  <c r="B266" i="8"/>
  <c r="D265" i="8"/>
  <c r="B265" i="8"/>
  <c r="D264" i="8"/>
  <c r="H264" i="8" s="1"/>
  <c r="B264" i="8"/>
  <c r="D263" i="8"/>
  <c r="F263" i="8" s="1"/>
  <c r="B263" i="8"/>
  <c r="D262" i="8"/>
  <c r="F262" i="8" s="1"/>
  <c r="B262" i="8"/>
  <c r="D261" i="8"/>
  <c r="F261" i="8" s="1"/>
  <c r="B261" i="8"/>
  <c r="D260" i="8"/>
  <c r="H260" i="8" s="1"/>
  <c r="B260" i="8"/>
  <c r="D259" i="8"/>
  <c r="B259" i="8"/>
  <c r="D258" i="8"/>
  <c r="B258" i="8"/>
  <c r="D257" i="8"/>
  <c r="H257" i="8" s="1"/>
  <c r="B257" i="8"/>
  <c r="D256" i="8"/>
  <c r="F256" i="8" s="1"/>
  <c r="B256" i="8"/>
  <c r="D255" i="8"/>
  <c r="B255" i="8"/>
  <c r="D254" i="8"/>
  <c r="B254" i="8"/>
  <c r="D253" i="8"/>
  <c r="H253" i="8" s="1"/>
  <c r="B253" i="8"/>
  <c r="D252" i="8"/>
  <c r="B252" i="8"/>
  <c r="D251" i="8"/>
  <c r="B251" i="8"/>
  <c r="D250" i="8"/>
  <c r="H250" i="8" s="1"/>
  <c r="B250" i="8"/>
  <c r="D249" i="8"/>
  <c r="B249" i="8"/>
  <c r="D248" i="8"/>
  <c r="F248" i="8" s="1"/>
  <c r="B248" i="8"/>
  <c r="D247" i="8"/>
  <c r="B247" i="8"/>
  <c r="D246" i="8"/>
  <c r="F246" i="8" s="1"/>
  <c r="B246" i="8"/>
  <c r="D245" i="8"/>
  <c r="B245" i="8"/>
  <c r="D244" i="8"/>
  <c r="B244" i="8"/>
  <c r="D243" i="8"/>
  <c r="B243" i="8"/>
  <c r="D242" i="8"/>
  <c r="B242" i="8"/>
  <c r="D241" i="8"/>
  <c r="H241" i="8" s="1"/>
  <c r="B241" i="8"/>
  <c r="D240" i="8"/>
  <c r="B240" i="8"/>
  <c r="D239" i="8"/>
  <c r="B239" i="8"/>
  <c r="D238" i="8"/>
  <c r="B238" i="8"/>
  <c r="D237" i="8"/>
  <c r="B237" i="8"/>
  <c r="D236" i="8"/>
  <c r="B236" i="8"/>
  <c r="D235" i="8"/>
  <c r="F235" i="8" s="1"/>
  <c r="B235" i="8"/>
  <c r="D234" i="8"/>
  <c r="H234" i="8" s="1"/>
  <c r="B234" i="8"/>
  <c r="D233" i="8"/>
  <c r="B233" i="8"/>
  <c r="D232" i="8"/>
  <c r="B232" i="8"/>
  <c r="D231" i="8"/>
  <c r="F231" i="8" s="1"/>
  <c r="B231" i="8"/>
  <c r="D230" i="8"/>
  <c r="F230" i="8" s="1"/>
  <c r="B230" i="8"/>
  <c r="D229" i="8"/>
  <c r="F229" i="8" s="1"/>
  <c r="B229" i="8"/>
  <c r="D228" i="8"/>
  <c r="B228" i="8"/>
  <c r="D227" i="8"/>
  <c r="H227" i="8" s="1"/>
  <c r="B227" i="8"/>
  <c r="D226" i="8"/>
  <c r="H226" i="8" s="1"/>
  <c r="B226" i="8"/>
  <c r="D225" i="8"/>
  <c r="F225" i="8" s="1"/>
  <c r="B225" i="8"/>
  <c r="D224" i="8"/>
  <c r="B224" i="8"/>
  <c r="D223" i="8"/>
  <c r="H223" i="8" s="1"/>
  <c r="B223" i="8"/>
  <c r="D222" i="8"/>
  <c r="B222" i="8"/>
  <c r="D221" i="8"/>
  <c r="H221" i="8" s="1"/>
  <c r="B221" i="8"/>
  <c r="D220" i="8"/>
  <c r="B220" i="8"/>
  <c r="D219" i="8"/>
  <c r="B219" i="8"/>
  <c r="D218" i="8"/>
  <c r="B218" i="8"/>
  <c r="D217" i="8"/>
  <c r="B217" i="8"/>
  <c r="D216" i="8"/>
  <c r="B216" i="8"/>
  <c r="D215" i="8"/>
  <c r="F215" i="8" s="1"/>
  <c r="B215" i="8"/>
  <c r="D214" i="8"/>
  <c r="B214" i="8"/>
  <c r="D213" i="8"/>
  <c r="B213" i="8"/>
  <c r="D212" i="8"/>
  <c r="B212" i="8"/>
  <c r="D211" i="8"/>
  <c r="B211" i="8"/>
  <c r="D210" i="8"/>
  <c r="F210" i="8" s="1"/>
  <c r="B210" i="8"/>
  <c r="D209" i="8"/>
  <c r="H209" i="8" s="1"/>
  <c r="B209" i="8"/>
  <c r="D208" i="8"/>
  <c r="H208" i="8" s="1"/>
  <c r="B208" i="8"/>
  <c r="D207" i="8"/>
  <c r="B207" i="8"/>
  <c r="D206" i="8"/>
  <c r="F206" i="8" s="1"/>
  <c r="B206" i="8"/>
  <c r="D205" i="8"/>
  <c r="B205" i="8"/>
  <c r="D204" i="8"/>
  <c r="F204" i="8" s="1"/>
  <c r="B204" i="8"/>
  <c r="D203" i="8"/>
  <c r="B203" i="8"/>
  <c r="D202" i="8"/>
  <c r="B202" i="8"/>
  <c r="D201" i="8"/>
  <c r="B201" i="8"/>
  <c r="D200" i="8"/>
  <c r="B200" i="8"/>
  <c r="D199" i="8"/>
  <c r="F199" i="8" s="1"/>
  <c r="B199" i="8"/>
  <c r="D198" i="8"/>
  <c r="B198" i="8"/>
  <c r="D197" i="8"/>
  <c r="F197" i="8" s="1"/>
  <c r="B197" i="8"/>
  <c r="D196" i="8"/>
  <c r="H196" i="8" s="1"/>
  <c r="B196" i="8"/>
  <c r="D195" i="8"/>
  <c r="H195" i="8" s="1"/>
  <c r="B195" i="8"/>
  <c r="D194" i="8"/>
  <c r="F194" i="8" s="1"/>
  <c r="B194" i="8"/>
  <c r="D193" i="8"/>
  <c r="H193" i="8" s="1"/>
  <c r="B193" i="8"/>
  <c r="D192" i="8"/>
  <c r="F192" i="8" s="1"/>
  <c r="B192" i="8"/>
  <c r="D191" i="8"/>
  <c r="B191" i="8"/>
  <c r="D190" i="8"/>
  <c r="F190" i="8" s="1"/>
  <c r="B190" i="8"/>
  <c r="D189" i="8"/>
  <c r="B189" i="8"/>
  <c r="D188" i="8"/>
  <c r="F188" i="8" s="1"/>
  <c r="B188" i="8"/>
  <c r="D187" i="8"/>
  <c r="B187" i="8"/>
  <c r="D186" i="8"/>
  <c r="B186" i="8"/>
  <c r="D185" i="8"/>
  <c r="B185" i="8"/>
  <c r="D184" i="8"/>
  <c r="B184" i="8"/>
  <c r="D183" i="8"/>
  <c r="F183" i="8" s="1"/>
  <c r="B183" i="8"/>
  <c r="D182" i="8"/>
  <c r="B182" i="8"/>
  <c r="D181" i="8"/>
  <c r="F181" i="8" s="1"/>
  <c r="B181" i="8"/>
  <c r="D180" i="8"/>
  <c r="B180" i="8"/>
  <c r="D179" i="8"/>
  <c r="F179" i="8" s="1"/>
  <c r="B179" i="8"/>
  <c r="D178" i="8"/>
  <c r="B178" i="8"/>
  <c r="D177" i="8"/>
  <c r="F177" i="8" s="1"/>
  <c r="B177" i="8"/>
  <c r="D176" i="8"/>
  <c r="B176" i="8"/>
  <c r="D175" i="8"/>
  <c r="B175" i="8"/>
  <c r="D174" i="8"/>
  <c r="B174" i="8"/>
  <c r="D173" i="8"/>
  <c r="B173" i="8"/>
  <c r="D172" i="8"/>
  <c r="H172" i="8" s="1"/>
  <c r="B172" i="8"/>
  <c r="D171" i="8"/>
  <c r="F171" i="8" s="1"/>
  <c r="B171" i="8"/>
  <c r="D170" i="8"/>
  <c r="B170" i="8"/>
  <c r="D169" i="8"/>
  <c r="B169" i="8"/>
  <c r="D168" i="8"/>
  <c r="B168" i="8"/>
  <c r="D167" i="8"/>
  <c r="F167" i="8" s="1"/>
  <c r="B167" i="8"/>
  <c r="D166" i="8"/>
  <c r="B166" i="8"/>
  <c r="D165" i="8"/>
  <c r="F165" i="8" s="1"/>
  <c r="B165" i="8"/>
  <c r="D164" i="8"/>
  <c r="B164" i="8"/>
  <c r="D163" i="8"/>
  <c r="F163" i="8" s="1"/>
  <c r="B163" i="8"/>
  <c r="D162" i="8"/>
  <c r="B162" i="8"/>
  <c r="D161" i="8"/>
  <c r="B161" i="8"/>
  <c r="D160" i="8"/>
  <c r="B160" i="8"/>
  <c r="D159" i="8"/>
  <c r="H159" i="8" s="1"/>
  <c r="B159" i="8"/>
  <c r="D158" i="8"/>
  <c r="F158" i="8" s="1"/>
  <c r="B158" i="8"/>
  <c r="D157" i="8"/>
  <c r="F157" i="8" s="1"/>
  <c r="B157" i="8"/>
  <c r="D156" i="8"/>
  <c r="F156" i="8" s="1"/>
  <c r="B156" i="8"/>
  <c r="D155" i="8"/>
  <c r="B155" i="8"/>
  <c r="D154" i="8"/>
  <c r="B154" i="8"/>
  <c r="D153" i="8"/>
  <c r="B153" i="8"/>
  <c r="D152" i="8"/>
  <c r="B152" i="8"/>
  <c r="D151" i="8"/>
  <c r="B151" i="8"/>
  <c r="D150" i="8"/>
  <c r="B150" i="8"/>
  <c r="D149" i="8"/>
  <c r="F149" i="8" s="1"/>
  <c r="B149" i="8"/>
  <c r="D148" i="8"/>
  <c r="B148" i="8"/>
  <c r="D147" i="8"/>
  <c r="H147" i="8" s="1"/>
  <c r="B147" i="8"/>
  <c r="D146" i="8"/>
  <c r="F146" i="8" s="1"/>
  <c r="B146" i="8"/>
  <c r="D145" i="8"/>
  <c r="H145" i="8" s="1"/>
  <c r="B145" i="8"/>
  <c r="D144" i="8"/>
  <c r="H144" i="8" s="1"/>
  <c r="B144" i="8"/>
  <c r="D143" i="8"/>
  <c r="B143" i="8"/>
  <c r="D142" i="8"/>
  <c r="B142" i="8"/>
  <c r="D141" i="8"/>
  <c r="H141" i="8" s="1"/>
  <c r="B141" i="8"/>
  <c r="D140" i="8"/>
  <c r="B140" i="8"/>
  <c r="D139" i="8"/>
  <c r="B139" i="8"/>
  <c r="D138" i="8"/>
  <c r="B138" i="8"/>
  <c r="D137" i="8"/>
  <c r="B137" i="8"/>
  <c r="D136" i="8"/>
  <c r="B136" i="8"/>
  <c r="D135" i="8"/>
  <c r="B135" i="8"/>
  <c r="D134" i="8"/>
  <c r="F134" i="8" s="1"/>
  <c r="B134" i="8"/>
  <c r="D133" i="8"/>
  <c r="B133" i="8"/>
  <c r="D132" i="8"/>
  <c r="B132" i="8"/>
  <c r="D131" i="8"/>
  <c r="F131" i="8" s="1"/>
  <c r="B131" i="8"/>
  <c r="D130" i="8"/>
  <c r="H130" i="8" s="1"/>
  <c r="B130" i="8"/>
  <c r="D129" i="8"/>
  <c r="F129" i="8" s="1"/>
  <c r="B129" i="8"/>
  <c r="D128" i="8"/>
  <c r="B128" i="8"/>
  <c r="D127" i="8"/>
  <c r="B127" i="8"/>
  <c r="D126" i="8"/>
  <c r="H126" i="8" s="1"/>
  <c r="B126" i="8"/>
  <c r="D125" i="8"/>
  <c r="B125" i="8"/>
  <c r="D124" i="8"/>
  <c r="B124" i="8"/>
  <c r="D123" i="8"/>
  <c r="B123" i="8"/>
  <c r="D122" i="8"/>
  <c r="B122" i="8"/>
  <c r="D121" i="8"/>
  <c r="H121" i="8" s="1"/>
  <c r="B121" i="8"/>
  <c r="D120" i="8"/>
  <c r="H120" i="8" s="1"/>
  <c r="B120" i="8"/>
  <c r="D119" i="8"/>
  <c r="B119" i="8"/>
  <c r="D118" i="8"/>
  <c r="B118" i="8"/>
  <c r="D117" i="8"/>
  <c r="B117" i="8"/>
  <c r="D116" i="8"/>
  <c r="F116" i="8" s="1"/>
  <c r="B116" i="8"/>
  <c r="D115" i="8"/>
  <c r="B115" i="8"/>
  <c r="D114" i="8"/>
  <c r="B114" i="8"/>
  <c r="D113" i="8"/>
  <c r="F113" i="8" s="1"/>
  <c r="B113" i="8"/>
  <c r="D112" i="8"/>
  <c r="B112" i="8"/>
  <c r="D111" i="8"/>
  <c r="H111" i="8" s="1"/>
  <c r="B111" i="8"/>
  <c r="D110" i="8"/>
  <c r="B110" i="8"/>
  <c r="D109" i="8"/>
  <c r="B109" i="8"/>
  <c r="D108" i="8"/>
  <c r="B108" i="8"/>
  <c r="D107" i="8"/>
  <c r="H107" i="8" s="1"/>
  <c r="B107" i="8"/>
  <c r="D106" i="8"/>
  <c r="B106" i="8"/>
  <c r="D105" i="8"/>
  <c r="B105" i="8"/>
  <c r="D104" i="8"/>
  <c r="B104" i="8"/>
  <c r="D103" i="8"/>
  <c r="H103" i="8" s="1"/>
  <c r="B103" i="8"/>
  <c r="D102" i="8"/>
  <c r="F102" i="8" s="1"/>
  <c r="B102" i="8"/>
  <c r="D101" i="8"/>
  <c r="B101" i="8"/>
  <c r="D100" i="8"/>
  <c r="B100" i="8"/>
  <c r="D99" i="8"/>
  <c r="B99" i="8"/>
  <c r="D98" i="8"/>
  <c r="F98" i="8" s="1"/>
  <c r="B98" i="8"/>
  <c r="D97" i="8"/>
  <c r="B97" i="8"/>
  <c r="D96" i="8"/>
  <c r="H96" i="8" s="1"/>
  <c r="B96" i="8"/>
  <c r="D95" i="8"/>
  <c r="B95" i="8"/>
  <c r="D94" i="8"/>
  <c r="H94" i="8" s="1"/>
  <c r="B94" i="8"/>
  <c r="D93" i="8"/>
  <c r="B93" i="8"/>
  <c r="D92" i="8"/>
  <c r="F92" i="8" s="1"/>
  <c r="B92" i="8"/>
  <c r="D91" i="8"/>
  <c r="F91" i="8" s="1"/>
  <c r="B91" i="8"/>
  <c r="D90" i="8"/>
  <c r="B90" i="8"/>
  <c r="D89" i="8"/>
  <c r="B89" i="8"/>
  <c r="D88" i="8"/>
  <c r="B88" i="8"/>
  <c r="D87" i="8"/>
  <c r="H87" i="8" s="1"/>
  <c r="B87" i="8"/>
  <c r="D86" i="8"/>
  <c r="H86" i="8" s="1"/>
  <c r="B86" i="8"/>
  <c r="D85" i="8"/>
  <c r="B85" i="8"/>
  <c r="D84" i="8"/>
  <c r="F84" i="8" s="1"/>
  <c r="B84" i="8"/>
  <c r="D83" i="8"/>
  <c r="B83" i="8"/>
  <c r="D82" i="8"/>
  <c r="B82" i="8"/>
  <c r="D81" i="8"/>
  <c r="H81" i="8" s="1"/>
  <c r="B81" i="8"/>
  <c r="D80" i="8"/>
  <c r="F80" i="8" s="1"/>
  <c r="B80" i="8"/>
  <c r="D79" i="8"/>
  <c r="H79" i="8" s="1"/>
  <c r="B79" i="8"/>
  <c r="D78" i="8"/>
  <c r="B78" i="8"/>
  <c r="D77" i="8"/>
  <c r="H77" i="8" s="1"/>
  <c r="B77" i="8"/>
  <c r="D76" i="8"/>
  <c r="B76" i="8"/>
  <c r="D75" i="8"/>
  <c r="H75" i="8" s="1"/>
  <c r="B75" i="8"/>
  <c r="D74" i="8"/>
  <c r="H74" i="8" s="1"/>
  <c r="B74" i="8"/>
  <c r="D73" i="8"/>
  <c r="B73" i="8"/>
  <c r="D72" i="8"/>
  <c r="F72" i="8" s="1"/>
  <c r="B72" i="8"/>
  <c r="D71" i="8"/>
  <c r="B71" i="8"/>
  <c r="D70" i="8"/>
  <c r="H70" i="8" s="1"/>
  <c r="B70" i="8"/>
  <c r="D69" i="8"/>
  <c r="B69" i="8"/>
  <c r="D68" i="8"/>
  <c r="F68" i="8" s="1"/>
  <c r="B68" i="8"/>
  <c r="D67" i="8"/>
  <c r="B67" i="8"/>
  <c r="D66" i="8"/>
  <c r="B66" i="8"/>
  <c r="D65" i="8"/>
  <c r="F65" i="8" s="1"/>
  <c r="B65" i="8"/>
  <c r="D64" i="8"/>
  <c r="H64" i="8" s="1"/>
  <c r="B64" i="8"/>
  <c r="D63" i="8"/>
  <c r="F63" i="8" s="1"/>
  <c r="B63" i="8"/>
  <c r="D62" i="8"/>
  <c r="H62" i="8" s="1"/>
  <c r="B62" i="8"/>
  <c r="D61" i="8"/>
  <c r="B61" i="8"/>
  <c r="D60" i="8"/>
  <c r="H60" i="8" s="1"/>
  <c r="B60" i="8"/>
  <c r="D59" i="8"/>
  <c r="B59" i="8"/>
  <c r="D58" i="8"/>
  <c r="F58" i="8" s="1"/>
  <c r="B58" i="8"/>
  <c r="D57" i="8"/>
  <c r="B57" i="8"/>
  <c r="D56" i="8"/>
  <c r="B56" i="8"/>
  <c r="D55" i="8"/>
  <c r="F55" i="8" s="1"/>
  <c r="B55" i="8"/>
  <c r="D54" i="8"/>
  <c r="B54" i="8"/>
  <c r="D53" i="8"/>
  <c r="H53" i="8" s="1"/>
  <c r="B53" i="8"/>
  <c r="D52" i="8"/>
  <c r="H52" i="8" s="1"/>
  <c r="B52" i="8"/>
  <c r="D51" i="8"/>
  <c r="F51" i="8" s="1"/>
  <c r="B51" i="8"/>
  <c r="D50" i="8"/>
  <c r="H50" i="8" s="1"/>
  <c r="B50" i="8"/>
  <c r="D49" i="8"/>
  <c r="F49" i="8" s="1"/>
  <c r="B49" i="8"/>
  <c r="D48" i="8"/>
  <c r="F48" i="8" s="1"/>
  <c r="B48" i="8"/>
  <c r="D47" i="8"/>
  <c r="B47" i="8"/>
  <c r="D46" i="8"/>
  <c r="B46" i="8"/>
  <c r="D45" i="8"/>
  <c r="B45" i="8"/>
  <c r="D44" i="8"/>
  <c r="H44" i="8" s="1"/>
  <c r="B44" i="8"/>
  <c r="D43" i="8"/>
  <c r="B43" i="8"/>
  <c r="D42" i="8"/>
  <c r="B42" i="8"/>
  <c r="D41" i="8"/>
  <c r="B41" i="8"/>
  <c r="D40" i="8"/>
  <c r="B40" i="8"/>
  <c r="D39" i="8"/>
  <c r="H39" i="8" s="1"/>
  <c r="B39" i="8"/>
  <c r="D38" i="8"/>
  <c r="F38" i="8" s="1"/>
  <c r="B38" i="8"/>
  <c r="D37" i="8"/>
  <c r="F37" i="8" s="1"/>
  <c r="B37" i="8"/>
  <c r="D36" i="8"/>
  <c r="F36" i="8" s="1"/>
  <c r="B36" i="8"/>
  <c r="D35" i="8"/>
  <c r="B35" i="8"/>
  <c r="D34" i="8"/>
  <c r="B34" i="8"/>
  <c r="K17" i="8"/>
  <c r="D33" i="8"/>
  <c r="F33" i="8" s="1"/>
  <c r="B33" i="8"/>
  <c r="D32" i="8"/>
  <c r="B32" i="8"/>
  <c r="D31" i="8"/>
  <c r="H31" i="8" s="1"/>
  <c r="B31" i="8"/>
  <c r="D30" i="8"/>
  <c r="B30" i="8"/>
  <c r="D29" i="8"/>
  <c r="B29" i="8"/>
  <c r="D28" i="8"/>
  <c r="B28" i="8"/>
  <c r="D27" i="8"/>
  <c r="B27" i="8"/>
  <c r="D26" i="8"/>
  <c r="F26" i="8" s="1"/>
  <c r="B26" i="8"/>
  <c r="D25" i="8"/>
  <c r="H25" i="8" s="1"/>
  <c r="B25" i="8"/>
  <c r="D24" i="8"/>
  <c r="F24" i="8" s="1"/>
  <c r="B24" i="8"/>
  <c r="D23" i="8"/>
  <c r="B23" i="8"/>
  <c r="D22" i="8"/>
  <c r="B22" i="8"/>
  <c r="D21" i="8"/>
  <c r="B21" i="8"/>
  <c r="D20" i="8"/>
  <c r="B20" i="8"/>
  <c r="D19" i="8"/>
  <c r="F19" i="8" s="1"/>
  <c r="B19" i="8"/>
  <c r="D18" i="8"/>
  <c r="B18" i="8"/>
  <c r="D17" i="8"/>
  <c r="H17" i="8" s="1"/>
  <c r="B17" i="8"/>
  <c r="D16" i="8"/>
  <c r="H16" i="8" s="1"/>
  <c r="B16" i="8"/>
  <c r="D15" i="8"/>
  <c r="F15" i="8" s="1"/>
  <c r="B15" i="8"/>
  <c r="D14" i="8"/>
  <c r="F14" i="8" s="1"/>
  <c r="B14" i="8"/>
  <c r="D13" i="8"/>
  <c r="F13" i="8" s="1"/>
  <c r="B13" i="8"/>
  <c r="D12" i="8"/>
  <c r="B12" i="8"/>
  <c r="D11" i="8"/>
  <c r="H11" i="8" s="1"/>
  <c r="B11" i="8"/>
  <c r="D10" i="8"/>
  <c r="B10" i="8"/>
  <c r="D9" i="8"/>
  <c r="B9" i="8"/>
  <c r="D8" i="8"/>
  <c r="B8" i="8"/>
  <c r="D7" i="8"/>
  <c r="B7" i="8"/>
  <c r="D6" i="8"/>
  <c r="B6" i="8"/>
  <c r="D5" i="8"/>
  <c r="B5" i="8"/>
  <c r="D4" i="8"/>
  <c r="B4" i="8"/>
  <c r="D3" i="8"/>
  <c r="F3" i="8" s="1"/>
  <c r="B3" i="8"/>
  <c r="D2" i="8"/>
  <c r="B2" i="8"/>
  <c r="G901" i="8" l="1"/>
  <c r="G1040" i="8"/>
  <c r="G1016" i="8"/>
  <c r="G1024" i="8"/>
  <c r="F562" i="8"/>
  <c r="J916" i="8"/>
  <c r="K900" i="8" s="1"/>
  <c r="J1065" i="8"/>
  <c r="G1018" i="8"/>
  <c r="G1022" i="8"/>
  <c r="G1013" i="8"/>
  <c r="H225" i="8"/>
  <c r="H55" i="8"/>
  <c r="F274" i="8"/>
  <c r="H473" i="8"/>
  <c r="J699" i="8"/>
  <c r="G1020" i="8"/>
  <c r="G1011" i="8"/>
  <c r="G1023" i="8"/>
  <c r="G120" i="8"/>
  <c r="J82" i="8"/>
  <c r="J332" i="8"/>
  <c r="H534" i="8"/>
  <c r="J651" i="8"/>
  <c r="H729" i="8"/>
  <c r="H854" i="8"/>
  <c r="G1010" i="8"/>
  <c r="J1017" i="8"/>
  <c r="N1017" i="8" s="1"/>
  <c r="H157" i="8"/>
  <c r="J189" i="8"/>
  <c r="J722" i="8"/>
  <c r="F917" i="8"/>
  <c r="G499" i="8"/>
  <c r="J868" i="8"/>
  <c r="J876" i="8"/>
  <c r="J853" i="8"/>
  <c r="N853" i="8" s="1"/>
  <c r="J101" i="8"/>
  <c r="J105" i="8"/>
  <c r="F314" i="8"/>
  <c r="J318" i="8"/>
  <c r="J322" i="8"/>
  <c r="F681" i="8"/>
  <c r="H755" i="8"/>
  <c r="G8" i="8"/>
  <c r="F87" i="8"/>
  <c r="H333" i="8"/>
  <c r="H581" i="8"/>
  <c r="F1011" i="8"/>
  <c r="J1055" i="8"/>
  <c r="H134" i="8"/>
  <c r="F392" i="8"/>
  <c r="F555" i="8"/>
  <c r="H753" i="8"/>
  <c r="F763" i="8"/>
  <c r="J948" i="8"/>
  <c r="G940" i="8"/>
  <c r="F971" i="8"/>
  <c r="F1009" i="8"/>
  <c r="J186" i="8"/>
  <c r="J354" i="8"/>
  <c r="N354" i="8" s="1"/>
  <c r="I1019" i="8"/>
  <c r="J170" i="8"/>
  <c r="H491" i="8"/>
  <c r="H723" i="8"/>
  <c r="F834" i="8"/>
  <c r="J942" i="8"/>
  <c r="J991" i="8"/>
  <c r="F355" i="8"/>
  <c r="J504" i="8"/>
  <c r="J667" i="8"/>
  <c r="F674" i="8"/>
  <c r="J59" i="8"/>
  <c r="J67" i="8"/>
  <c r="J282" i="8"/>
  <c r="J379" i="8"/>
  <c r="J387" i="8"/>
  <c r="N387" i="8" s="1"/>
  <c r="J539" i="8"/>
  <c r="J640" i="8"/>
  <c r="J752" i="8"/>
  <c r="J762" i="8"/>
  <c r="J765" i="8"/>
  <c r="J777" i="8"/>
  <c r="J890" i="8"/>
  <c r="G909" i="8"/>
  <c r="F973" i="8"/>
  <c r="J989" i="8"/>
  <c r="J42" i="8"/>
  <c r="J140" i="8"/>
  <c r="G92" i="8"/>
  <c r="J35" i="8"/>
  <c r="F50" i="8"/>
  <c r="H68" i="8"/>
  <c r="G170" i="8"/>
  <c r="H129" i="8"/>
  <c r="G116" i="8"/>
  <c r="J191" i="8"/>
  <c r="J295" i="8"/>
  <c r="J299" i="8"/>
  <c r="H359" i="8"/>
  <c r="H531" i="8"/>
  <c r="J586" i="8"/>
  <c r="H726" i="8"/>
  <c r="J774" i="8"/>
  <c r="J793" i="8"/>
  <c r="J809" i="8"/>
  <c r="F893" i="8"/>
  <c r="G904" i="8"/>
  <c r="H925" i="8"/>
  <c r="I909" i="8" s="1"/>
  <c r="G16" i="8"/>
  <c r="J54" i="8"/>
  <c r="J119" i="8"/>
  <c r="H230" i="8"/>
  <c r="H311" i="8"/>
  <c r="H517" i="8"/>
  <c r="J551" i="8"/>
  <c r="F672" i="8"/>
  <c r="H750" i="8"/>
  <c r="H786" i="8"/>
  <c r="F852" i="8"/>
  <c r="J879" i="8"/>
  <c r="J905" i="8"/>
  <c r="G941" i="8"/>
  <c r="F1040" i="8"/>
  <c r="J1063" i="8"/>
  <c r="N1063" i="8" s="1"/>
  <c r="J1071" i="8"/>
  <c r="G122" i="8"/>
  <c r="J419" i="8"/>
  <c r="J450" i="8"/>
  <c r="G531" i="8"/>
  <c r="J731" i="8"/>
  <c r="J747" i="8"/>
  <c r="J887" i="8"/>
  <c r="N887" i="8" s="1"/>
  <c r="G905" i="8"/>
  <c r="J1033" i="8"/>
  <c r="G506" i="8"/>
  <c r="G501" i="8"/>
  <c r="J125" i="8"/>
  <c r="H158" i="8"/>
  <c r="G323" i="8"/>
  <c r="F455" i="8"/>
  <c r="G503" i="8"/>
  <c r="H865" i="8"/>
  <c r="H968" i="8"/>
  <c r="J46" i="8"/>
  <c r="L46" i="8" s="1"/>
  <c r="J444" i="8"/>
  <c r="G952" i="8"/>
  <c r="G943" i="8"/>
  <c r="J1031" i="8"/>
  <c r="N1031" i="8" s="1"/>
  <c r="J1039" i="8"/>
  <c r="J27" i="8"/>
  <c r="N27" i="8" s="1"/>
  <c r="H91" i="8"/>
  <c r="J109" i="8"/>
  <c r="N109" i="8" s="1"/>
  <c r="J20" i="8"/>
  <c r="N20" i="8" s="1"/>
  <c r="J95" i="8"/>
  <c r="H113" i="8"/>
  <c r="J123" i="8"/>
  <c r="L123" i="8" s="1"/>
  <c r="G142" i="8"/>
  <c r="G129" i="8"/>
  <c r="H149" i="8"/>
  <c r="H194" i="8"/>
  <c r="H210" i="8"/>
  <c r="H289" i="8"/>
  <c r="F292" i="8"/>
  <c r="J357" i="8"/>
  <c r="N357" i="8" s="1"/>
  <c r="J373" i="8"/>
  <c r="H401" i="8"/>
  <c r="G502" i="8"/>
  <c r="H547" i="8"/>
  <c r="H641" i="8"/>
  <c r="J649" i="8"/>
  <c r="J701" i="8"/>
  <c r="H748" i="8"/>
  <c r="J751" i="8"/>
  <c r="F773" i="8"/>
  <c r="J780" i="8"/>
  <c r="J787" i="8"/>
  <c r="F827" i="8"/>
  <c r="J855" i="8"/>
  <c r="J884" i="8"/>
  <c r="J932" i="8"/>
  <c r="N932" i="8" s="1"/>
  <c r="J953" i="8"/>
  <c r="J992" i="8"/>
  <c r="G515" i="8"/>
  <c r="J1000" i="8"/>
  <c r="F79" i="8"/>
  <c r="F107" i="8"/>
  <c r="F140" i="8"/>
  <c r="F208" i="8"/>
  <c r="F226" i="8"/>
  <c r="F250" i="8"/>
  <c r="F253" i="8"/>
  <c r="G433" i="8"/>
  <c r="F339" i="8"/>
  <c r="F361" i="8"/>
  <c r="F499" i="8"/>
  <c r="H870" i="8"/>
  <c r="H912" i="8"/>
  <c r="J922" i="8"/>
  <c r="J1015" i="8"/>
  <c r="J1052" i="8"/>
  <c r="J47" i="8"/>
  <c r="J83" i="8"/>
  <c r="G124" i="8"/>
  <c r="H188" i="8"/>
  <c r="J312" i="8"/>
  <c r="G337" i="8"/>
  <c r="H339" i="8"/>
  <c r="J364" i="8"/>
  <c r="F367" i="8"/>
  <c r="J395" i="8"/>
  <c r="J406" i="8"/>
  <c r="J414" i="8"/>
  <c r="J492" i="8"/>
  <c r="F579" i="8"/>
  <c r="J582" i="8"/>
  <c r="J599" i="8"/>
  <c r="F699" i="8"/>
  <c r="J730" i="8"/>
  <c r="G786" i="8"/>
  <c r="F767" i="8"/>
  <c r="F814" i="8"/>
  <c r="J850" i="8"/>
  <c r="F889" i="8"/>
  <c r="J937" i="8"/>
  <c r="J962" i="8"/>
  <c r="J966" i="8"/>
  <c r="J972" i="8"/>
  <c r="G1012" i="8"/>
  <c r="F1038" i="8"/>
  <c r="F1045" i="8"/>
  <c r="J18" i="8"/>
  <c r="J43" i="8"/>
  <c r="J56" i="8"/>
  <c r="J69" i="8"/>
  <c r="J90" i="8"/>
  <c r="J127" i="8"/>
  <c r="J8" i="8"/>
  <c r="J22" i="8"/>
  <c r="N22" i="8" s="1"/>
  <c r="J115" i="8"/>
  <c r="J220" i="8"/>
  <c r="J224" i="8"/>
  <c r="J298" i="8"/>
  <c r="J302" i="8"/>
  <c r="H309" i="8"/>
  <c r="J327" i="8"/>
  <c r="J441" i="8"/>
  <c r="J456" i="8"/>
  <c r="J510" i="8"/>
  <c r="J692" i="8"/>
  <c r="J843" i="8"/>
  <c r="J987" i="8"/>
  <c r="G114" i="8"/>
  <c r="G742" i="8"/>
  <c r="F775" i="8"/>
  <c r="F818" i="8"/>
  <c r="F910" i="8"/>
  <c r="F970" i="8"/>
  <c r="J984" i="8"/>
  <c r="H1005" i="8"/>
  <c r="J1011" i="8"/>
  <c r="N1011" i="8" s="1"/>
  <c r="H19" i="8"/>
  <c r="G7" i="8"/>
  <c r="H48" i="8"/>
  <c r="F64" i="8"/>
  <c r="F74" i="8"/>
  <c r="G125" i="8"/>
  <c r="F186" i="8"/>
  <c r="F241" i="8"/>
  <c r="J252" i="8"/>
  <c r="H262" i="8"/>
  <c r="F362" i="8"/>
  <c r="H375" i="8"/>
  <c r="F378" i="8"/>
  <c r="G505" i="8"/>
  <c r="F583" i="8"/>
  <c r="J142" i="8"/>
  <c r="N142" i="8" s="1"/>
  <c r="H252" i="8"/>
  <c r="J266" i="8"/>
  <c r="J285" i="8"/>
  <c r="J307" i="8"/>
  <c r="J341" i="8"/>
  <c r="J345" i="8"/>
  <c r="J349" i="8"/>
  <c r="J360" i="8"/>
  <c r="N360" i="8" s="1"/>
  <c r="J366" i="8"/>
  <c r="J382" i="8"/>
  <c r="J390" i="8"/>
  <c r="J397" i="8"/>
  <c r="H404" i="8"/>
  <c r="J412" i="8"/>
  <c r="J416" i="8"/>
  <c r="J424" i="8"/>
  <c r="N424" i="8" s="1"/>
  <c r="J431" i="8"/>
  <c r="H521" i="8"/>
  <c r="J532" i="8"/>
  <c r="J543" i="8"/>
  <c r="J608" i="8"/>
  <c r="J675" i="8"/>
  <c r="J679" i="8"/>
  <c r="J682" i="8"/>
  <c r="N682" i="8" s="1"/>
  <c r="J744" i="8"/>
  <c r="J806" i="8"/>
  <c r="J841" i="8"/>
  <c r="J908" i="8"/>
  <c r="J914" i="8"/>
  <c r="J939" i="8"/>
  <c r="J999" i="8"/>
  <c r="J1006" i="8"/>
  <c r="N1006" i="8" s="1"/>
  <c r="J1047" i="8"/>
  <c r="H1054" i="8"/>
  <c r="G3" i="8"/>
  <c r="G100" i="8"/>
  <c r="H72" i="8"/>
  <c r="G62" i="8"/>
  <c r="G30" i="8"/>
  <c r="J61" i="8"/>
  <c r="J74" i="8"/>
  <c r="J76" i="8"/>
  <c r="L76" i="8" s="1"/>
  <c r="J85" i="8"/>
  <c r="J91" i="8"/>
  <c r="N91" i="8" s="1"/>
  <c r="G118" i="8"/>
  <c r="G126" i="8"/>
  <c r="H146" i="8"/>
  <c r="F193" i="8"/>
  <c r="J226" i="8"/>
  <c r="J310" i="8"/>
  <c r="J313" i="8"/>
  <c r="J323" i="8"/>
  <c r="N323" i="8" s="1"/>
  <c r="J339" i="8"/>
  <c r="J365" i="8"/>
  <c r="H373" i="8"/>
  <c r="J376" i="8"/>
  <c r="N376" i="8" s="1"/>
  <c r="H382" i="8"/>
  <c r="F388" i="8"/>
  <c r="H433" i="8"/>
  <c r="H443" i="8"/>
  <c r="H456" i="8"/>
  <c r="H459" i="8"/>
  <c r="J567" i="8"/>
  <c r="F567" i="8"/>
  <c r="J454" i="8"/>
  <c r="H454" i="8"/>
  <c r="G498" i="8"/>
  <c r="F530" i="8"/>
  <c r="F69" i="8"/>
  <c r="F159" i="8"/>
  <c r="H191" i="8"/>
  <c r="H248" i="8"/>
  <c r="F257" i="8"/>
  <c r="F278" i="8"/>
  <c r="J304" i="8"/>
  <c r="J320" i="8"/>
  <c r="F334" i="8"/>
  <c r="J343" i="8"/>
  <c r="J347" i="8"/>
  <c r="J351" i="8"/>
  <c r="H357" i="8"/>
  <c r="H360" i="8"/>
  <c r="F368" i="8"/>
  <c r="F371" i="8"/>
  <c r="H383" i="8"/>
  <c r="F383" i="8"/>
  <c r="J405" i="8"/>
  <c r="H416" i="8"/>
  <c r="H530" i="8"/>
  <c r="H564" i="8"/>
  <c r="F564" i="8"/>
  <c r="F39" i="8"/>
  <c r="G70" i="8"/>
  <c r="H67" i="8"/>
  <c r="F77" i="8"/>
  <c r="F86" i="8"/>
  <c r="F172" i="8"/>
  <c r="F220" i="8"/>
  <c r="F272" i="8"/>
  <c r="F285" i="8"/>
  <c r="F294" i="8"/>
  <c r="H301" i="8"/>
  <c r="J377" i="8"/>
  <c r="F377" i="8"/>
  <c r="J486" i="8"/>
  <c r="H486" i="8"/>
  <c r="H527" i="8"/>
  <c r="F142" i="8"/>
  <c r="H163" i="8"/>
  <c r="F170" i="8"/>
  <c r="H186" i="8"/>
  <c r="F189" i="8"/>
  <c r="J358" i="8"/>
  <c r="F358" i="8"/>
  <c r="H593" i="8"/>
  <c r="F593" i="8"/>
  <c r="H49" i="8"/>
  <c r="G6" i="8"/>
  <c r="F4" i="8"/>
  <c r="G20" i="8"/>
  <c r="F23" i="8"/>
  <c r="J32" i="8"/>
  <c r="N32" i="8" s="1"/>
  <c r="J40" i="8"/>
  <c r="F52" i="8"/>
  <c r="H54" i="8"/>
  <c r="J57" i="8"/>
  <c r="L57" i="8" s="1"/>
  <c r="F60" i="8"/>
  <c r="J63" i="8"/>
  <c r="L63" i="8" s="1"/>
  <c r="H65" i="8"/>
  <c r="F70" i="8"/>
  <c r="F75" i="8"/>
  <c r="G117" i="8"/>
  <c r="H125" i="8"/>
  <c r="F130" i="8"/>
  <c r="J158" i="8"/>
  <c r="J160" i="8"/>
  <c r="N160" i="8" s="1"/>
  <c r="H170" i="8"/>
  <c r="J195" i="8"/>
  <c r="N195" i="8" s="1"/>
  <c r="J201" i="8"/>
  <c r="F227" i="8"/>
  <c r="J230" i="8"/>
  <c r="H246" i="8"/>
  <c r="J270" i="8"/>
  <c r="F305" i="8"/>
  <c r="J325" i="8"/>
  <c r="H352" i="8"/>
  <c r="J367" i="8"/>
  <c r="J381" i="8"/>
  <c r="F384" i="8"/>
  <c r="H387" i="8"/>
  <c r="H390" i="8"/>
  <c r="F400" i="8"/>
  <c r="H406" i="8"/>
  <c r="F417" i="8"/>
  <c r="J439" i="8"/>
  <c r="H577" i="8"/>
  <c r="F577" i="8"/>
  <c r="G14" i="8"/>
  <c r="F22" i="8"/>
  <c r="F67" i="8"/>
  <c r="F20" i="8"/>
  <c r="F54" i="8"/>
  <c r="G4" i="8"/>
  <c r="G15" i="8"/>
  <c r="H23" i="8"/>
  <c r="H32" i="8"/>
  <c r="F123" i="8"/>
  <c r="H142" i="8"/>
  <c r="J164" i="8"/>
  <c r="J211" i="8"/>
  <c r="J256" i="8"/>
  <c r="J446" i="8"/>
  <c r="G519" i="8"/>
  <c r="H535" i="8"/>
  <c r="F535" i="8"/>
  <c r="H590" i="8"/>
  <c r="F590" i="8"/>
  <c r="H47" i="8"/>
  <c r="G98" i="8"/>
  <c r="H2" i="8"/>
  <c r="H4" i="8"/>
  <c r="G10" i="8"/>
  <c r="J30" i="8"/>
  <c r="J121" i="8"/>
  <c r="N121" i="8" s="1"/>
  <c r="G190" i="8"/>
  <c r="F164" i="8"/>
  <c r="H177" i="8"/>
  <c r="H190" i="8"/>
  <c r="H211" i="8"/>
  <c r="J259" i="8"/>
  <c r="J262" i="8"/>
  <c r="J277" i="8"/>
  <c r="N277" i="8" s="1"/>
  <c r="J287" i="8"/>
  <c r="J293" i="8"/>
  <c r="J315" i="8"/>
  <c r="J336" i="8"/>
  <c r="J370" i="8"/>
  <c r="J422" i="8"/>
  <c r="H446" i="8"/>
  <c r="H449" i="8"/>
  <c r="J495" i="8"/>
  <c r="H522" i="8"/>
  <c r="F522" i="8"/>
  <c r="H948" i="8"/>
  <c r="J983" i="8"/>
  <c r="J1013" i="8"/>
  <c r="G1017" i="8"/>
  <c r="J1027" i="8"/>
  <c r="N1027" i="8" s="1"/>
  <c r="J1034" i="8"/>
  <c r="J476" i="8"/>
  <c r="G511" i="8"/>
  <c r="J639" i="8"/>
  <c r="L639" i="8" s="1"/>
  <c r="F691" i="8"/>
  <c r="F711" i="8"/>
  <c r="F740" i="8"/>
  <c r="F751" i="8"/>
  <c r="H758" i="8"/>
  <c r="F796" i="8"/>
  <c r="H808" i="8"/>
  <c r="F860" i="8"/>
  <c r="F863" i="8"/>
  <c r="G900" i="8"/>
  <c r="F902" i="8"/>
  <c r="J1016" i="8"/>
  <c r="L1016" i="8" s="1"/>
  <c r="H1052" i="8"/>
  <c r="H1055" i="8"/>
  <c r="H902" i="8"/>
  <c r="F919" i="8"/>
  <c r="G932" i="8"/>
  <c r="G939" i="8"/>
  <c r="G931" i="8"/>
  <c r="F956" i="8"/>
  <c r="F958" i="8"/>
  <c r="F987" i="8"/>
  <c r="F989" i="8"/>
  <c r="G1025" i="8"/>
  <c r="F1031" i="8"/>
  <c r="F582" i="8"/>
  <c r="F606" i="8"/>
  <c r="H609" i="8"/>
  <c r="F642" i="8"/>
  <c r="F667" i="8"/>
  <c r="H699" i="8"/>
  <c r="F728" i="8"/>
  <c r="F747" i="8"/>
  <c r="F762" i="8"/>
  <c r="H774" i="8"/>
  <c r="F790" i="8"/>
  <c r="J794" i="8"/>
  <c r="J800" i="8"/>
  <c r="N800" i="8" s="1"/>
  <c r="H806" i="8"/>
  <c r="F830" i="8"/>
  <c r="F843" i="8"/>
  <c r="F846" i="8"/>
  <c r="F858" i="8"/>
  <c r="H872" i="8"/>
  <c r="F882" i="8"/>
  <c r="F885" i="8"/>
  <c r="H905" i="8"/>
  <c r="I905" i="8" s="1"/>
  <c r="G942" i="8"/>
  <c r="H956" i="8"/>
  <c r="H987" i="8"/>
  <c r="H989" i="8"/>
  <c r="J1050" i="8"/>
  <c r="N1050" i="8" s="1"/>
  <c r="J1056" i="8"/>
  <c r="J361" i="8"/>
  <c r="J363" i="8"/>
  <c r="J380" i="8"/>
  <c r="J398" i="8"/>
  <c r="J428" i="8"/>
  <c r="J467" i="8"/>
  <c r="J471" i="8"/>
  <c r="N471" i="8" s="1"/>
  <c r="F487" i="8"/>
  <c r="H499" i="8"/>
  <c r="G527" i="8"/>
  <c r="J536" i="8"/>
  <c r="F543" i="8"/>
  <c r="J549" i="8"/>
  <c r="J555" i="8"/>
  <c r="J572" i="8"/>
  <c r="L572" i="8" s="1"/>
  <c r="J578" i="8"/>
  <c r="H582" i="8"/>
  <c r="J591" i="8"/>
  <c r="J604" i="8"/>
  <c r="N604" i="8" s="1"/>
  <c r="J627" i="8"/>
  <c r="F640" i="8"/>
  <c r="F649" i="8"/>
  <c r="F689" i="8"/>
  <c r="F731" i="8"/>
  <c r="H738" i="8"/>
  <c r="J741" i="8"/>
  <c r="H747" i="8"/>
  <c r="G766" i="8"/>
  <c r="F752" i="8"/>
  <c r="J754" i="8"/>
  <c r="H765" i="8"/>
  <c r="J778" i="8"/>
  <c r="H794" i="8"/>
  <c r="F800" i="8"/>
  <c r="F803" i="8"/>
  <c r="F822" i="8"/>
  <c r="F825" i="8"/>
  <c r="F850" i="8"/>
  <c r="J867" i="8"/>
  <c r="N867" i="8" s="1"/>
  <c r="J880" i="8"/>
  <c r="J889" i="8"/>
  <c r="L889" i="8" s="1"/>
  <c r="J892" i="8"/>
  <c r="G898" i="8"/>
  <c r="G930" i="8"/>
  <c r="G945" i="8"/>
  <c r="H947" i="8"/>
  <c r="J950" i="8"/>
  <c r="N950" i="8" s="1"/>
  <c r="G938" i="8"/>
  <c r="F972" i="8"/>
  <c r="J981" i="8"/>
  <c r="J1007" i="8"/>
  <c r="J1010" i="8"/>
  <c r="F1014" i="8"/>
  <c r="H1016" i="8"/>
  <c r="G1021" i="8"/>
  <c r="J1032" i="8"/>
  <c r="J415" i="8"/>
  <c r="J460" i="8"/>
  <c r="J478" i="8"/>
  <c r="H511" i="8"/>
  <c r="H543" i="8"/>
  <c r="J563" i="8"/>
  <c r="J610" i="8"/>
  <c r="L610" i="8" s="1"/>
  <c r="H640" i="8"/>
  <c r="H649" i="8"/>
  <c r="J665" i="8"/>
  <c r="J671" i="8"/>
  <c r="J674" i="8"/>
  <c r="J700" i="8"/>
  <c r="J703" i="8"/>
  <c r="J729" i="8"/>
  <c r="N729" i="8" s="1"/>
  <c r="H731" i="8"/>
  <c r="H752" i="8"/>
  <c r="J760" i="8"/>
  <c r="J763" i="8"/>
  <c r="L763" i="8" s="1"/>
  <c r="J768" i="8"/>
  <c r="J772" i="8"/>
  <c r="J788" i="8"/>
  <c r="J807" i="8"/>
  <c r="N807" i="8" s="1"/>
  <c r="J810" i="8"/>
  <c r="G751" i="8"/>
  <c r="H850" i="8"/>
  <c r="J856" i="8"/>
  <c r="F867" i="8"/>
  <c r="F880" i="8"/>
  <c r="J901" i="8"/>
  <c r="J915" i="8"/>
  <c r="L915" i="8" s="1"/>
  <c r="J943" i="8"/>
  <c r="J957" i="8"/>
  <c r="H972" i="8"/>
  <c r="J988" i="8"/>
  <c r="J990" i="8"/>
  <c r="J1012" i="8"/>
  <c r="G1035" i="8"/>
  <c r="H1021" i="8"/>
  <c r="I1021" i="8" s="1"/>
  <c r="J1026" i="8"/>
  <c r="F1029" i="8"/>
  <c r="J464" i="8"/>
  <c r="J472" i="8"/>
  <c r="L472" i="8" s="1"/>
  <c r="J498" i="8"/>
  <c r="J500" i="8"/>
  <c r="J523" i="8"/>
  <c r="G510" i="8"/>
  <c r="J573" i="8"/>
  <c r="J576" i="8"/>
  <c r="L576" i="8" s="1"/>
  <c r="J589" i="8"/>
  <c r="J643" i="8"/>
  <c r="J707" i="8"/>
  <c r="J713" i="8"/>
  <c r="G758" i="8"/>
  <c r="G745" i="8"/>
  <c r="J766" i="8"/>
  <c r="J782" i="8"/>
  <c r="J798" i="8"/>
  <c r="J804" i="8"/>
  <c r="J831" i="8"/>
  <c r="J862" i="8"/>
  <c r="J896" i="8"/>
  <c r="J904" i="8"/>
  <c r="N904" i="8" s="1"/>
  <c r="J918" i="8"/>
  <c r="J928" i="8"/>
  <c r="N928" i="8" s="1"/>
  <c r="O912" i="8" s="1"/>
  <c r="J475" i="8"/>
  <c r="J482" i="8"/>
  <c r="J488" i="8"/>
  <c r="G535" i="8"/>
  <c r="J506" i="8"/>
  <c r="J521" i="8"/>
  <c r="N521" i="8" s="1"/>
  <c r="H523" i="8"/>
  <c r="J541" i="8"/>
  <c r="H561" i="8"/>
  <c r="F573" i="8"/>
  <c r="J595" i="8"/>
  <c r="J615" i="8"/>
  <c r="J619" i="8"/>
  <c r="J632" i="8"/>
  <c r="J647" i="8"/>
  <c r="J681" i="8"/>
  <c r="J698" i="8"/>
  <c r="J704" i="8"/>
  <c r="F707" i="8"/>
  <c r="J717" i="8"/>
  <c r="J736" i="8"/>
  <c r="H742" i="8"/>
  <c r="I758" i="8" s="1"/>
  <c r="J755" i="8"/>
  <c r="J761" i="8"/>
  <c r="F766" i="8"/>
  <c r="J786" i="8"/>
  <c r="F801" i="8"/>
  <c r="J823" i="8"/>
  <c r="F838" i="8"/>
  <c r="J842" i="8"/>
  <c r="N842" i="8" s="1"/>
  <c r="J874" i="8"/>
  <c r="J878" i="8"/>
  <c r="F896" i="8"/>
  <c r="J907" i="8"/>
  <c r="I910" i="8"/>
  <c r="H931" i="8"/>
  <c r="J934" i="8"/>
  <c r="G954" i="8"/>
  <c r="H943" i="8"/>
  <c r="J946" i="8"/>
  <c r="F948" i="8"/>
  <c r="H955" i="8"/>
  <c r="H957" i="8"/>
  <c r="J960" i="8"/>
  <c r="J971" i="8"/>
  <c r="F979" i="8"/>
  <c r="J986" i="8"/>
  <c r="H988" i="8"/>
  <c r="H990" i="8"/>
  <c r="J994" i="8"/>
  <c r="G1015" i="8"/>
  <c r="F1017" i="8"/>
  <c r="J1022" i="8"/>
  <c r="H1024" i="8"/>
  <c r="J1048" i="8"/>
  <c r="G106" i="8"/>
  <c r="J10" i="8"/>
  <c r="G18" i="8"/>
  <c r="J28" i="8"/>
  <c r="N30" i="8"/>
  <c r="L30" i="8"/>
  <c r="N35" i="8"/>
  <c r="L35" i="8"/>
  <c r="H40" i="8"/>
  <c r="H42" i="8"/>
  <c r="G44" i="8"/>
  <c r="G46" i="8"/>
  <c r="N56" i="8"/>
  <c r="L56" i="8"/>
  <c r="J66" i="8"/>
  <c r="F66" i="8"/>
  <c r="N82" i="8"/>
  <c r="L82" i="8"/>
  <c r="J88" i="8"/>
  <c r="H88" i="8"/>
  <c r="G90" i="8"/>
  <c r="J99" i="8"/>
  <c r="H99" i="8"/>
  <c r="G104" i="8"/>
  <c r="J114" i="8"/>
  <c r="G274" i="8"/>
  <c r="G258" i="8"/>
  <c r="G242" i="8"/>
  <c r="G226" i="8"/>
  <c r="G130" i="8"/>
  <c r="J118" i="8"/>
  <c r="G278" i="8"/>
  <c r="G262" i="8"/>
  <c r="H118" i="8"/>
  <c r="G182" i="8"/>
  <c r="G230" i="8"/>
  <c r="G214" i="8"/>
  <c r="G198" i="8"/>
  <c r="G150" i="8"/>
  <c r="H133" i="8"/>
  <c r="J133" i="8"/>
  <c r="F135" i="8"/>
  <c r="J135" i="8"/>
  <c r="G138" i="8"/>
  <c r="H151" i="8"/>
  <c r="J151" i="8"/>
  <c r="G154" i="8"/>
  <c r="J169" i="8"/>
  <c r="F169" i="8"/>
  <c r="G186" i="8"/>
  <c r="F205" i="8"/>
  <c r="J205" i="8"/>
  <c r="H205" i="8"/>
  <c r="J214" i="8"/>
  <c r="F214" i="8"/>
  <c r="H217" i="8"/>
  <c r="J217" i="8"/>
  <c r="N224" i="8"/>
  <c r="L224" i="8"/>
  <c r="G238" i="8"/>
  <c r="L8" i="8"/>
  <c r="N8" i="8"/>
  <c r="H6" i="8"/>
  <c r="F8" i="8"/>
  <c r="F10" i="8"/>
  <c r="H13" i="8"/>
  <c r="J13" i="8"/>
  <c r="G111" i="8"/>
  <c r="J15" i="8"/>
  <c r="H18" i="8"/>
  <c r="L20" i="8"/>
  <c r="L22" i="8"/>
  <c r="G9" i="8"/>
  <c r="J25" i="8"/>
  <c r="F28" i="8"/>
  <c r="F30" i="8"/>
  <c r="F35" i="8"/>
  <c r="H37" i="8"/>
  <c r="J37" i="8"/>
  <c r="J39" i="8"/>
  <c r="H46" i="8"/>
  <c r="G50" i="8"/>
  <c r="G52" i="8"/>
  <c r="G54" i="8"/>
  <c r="F56" i="8"/>
  <c r="J58" i="8"/>
  <c r="H58" i="8"/>
  <c r="I106" i="8" s="1"/>
  <c r="J60" i="8"/>
  <c r="J62" i="8"/>
  <c r="F62" i="8"/>
  <c r="G66" i="8"/>
  <c r="J70" i="8"/>
  <c r="J72" i="8"/>
  <c r="N74" i="8"/>
  <c r="L74" i="8"/>
  <c r="F82" i="8"/>
  <c r="J84" i="8"/>
  <c r="H84" i="8"/>
  <c r="G86" i="8"/>
  <c r="F88" i="8"/>
  <c r="H90" i="8"/>
  <c r="J107" i="8"/>
  <c r="F109" i="8"/>
  <c r="F114" i="8"/>
  <c r="J116" i="8"/>
  <c r="H116" i="8"/>
  <c r="F118" i="8"/>
  <c r="H122" i="8"/>
  <c r="F133" i="8"/>
  <c r="G146" i="8"/>
  <c r="J149" i="8"/>
  <c r="F151" i="8"/>
  <c r="J166" i="8"/>
  <c r="H166" i="8"/>
  <c r="F166" i="8"/>
  <c r="H169" i="8"/>
  <c r="J174" i="8"/>
  <c r="F174" i="8"/>
  <c r="G194" i="8"/>
  <c r="G202" i="8"/>
  <c r="H214" i="8"/>
  <c r="G108" i="8"/>
  <c r="J12" i="8"/>
  <c r="G60" i="8"/>
  <c r="L27" i="8"/>
  <c r="G28" i="8"/>
  <c r="H35" i="8"/>
  <c r="H41" i="8"/>
  <c r="J41" i="8"/>
  <c r="N43" i="8"/>
  <c r="L43" i="8"/>
  <c r="G56" i="8"/>
  <c r="H66" i="8"/>
  <c r="G68" i="8"/>
  <c r="N76" i="8"/>
  <c r="G82" i="8"/>
  <c r="G88" i="8"/>
  <c r="N95" i="8"/>
  <c r="L95" i="8"/>
  <c r="H100" i="8"/>
  <c r="J100" i="8"/>
  <c r="G102" i="8"/>
  <c r="N105" i="8"/>
  <c r="L105" i="8"/>
  <c r="H112" i="8"/>
  <c r="J112" i="8"/>
  <c r="N125" i="8"/>
  <c r="L125" i="8"/>
  <c r="F136" i="8"/>
  <c r="J136" i="8"/>
  <c r="H136" i="8"/>
  <c r="G123" i="8"/>
  <c r="J139" i="8"/>
  <c r="J144" i="8"/>
  <c r="H155" i="8"/>
  <c r="J155" i="8"/>
  <c r="G166" i="8"/>
  <c r="H174" i="8"/>
  <c r="J184" i="8"/>
  <c r="H184" i="8"/>
  <c r="F184" i="8"/>
  <c r="J206" i="8"/>
  <c r="H206" i="8"/>
  <c r="H239" i="8"/>
  <c r="J239" i="8"/>
  <c r="J242" i="8"/>
  <c r="H242" i="8"/>
  <c r="F242" i="8"/>
  <c r="G22" i="8"/>
  <c r="F27" i="8"/>
  <c r="H28" i="8"/>
  <c r="H30" i="8"/>
  <c r="L32" i="8"/>
  <c r="J34" i="8"/>
  <c r="F41" i="8"/>
  <c r="F43" i="8"/>
  <c r="H45" i="8"/>
  <c r="J45" i="8"/>
  <c r="N47" i="8"/>
  <c r="L47" i="8"/>
  <c r="H56" i="8"/>
  <c r="G58" i="8"/>
  <c r="G72" i="8"/>
  <c r="G74" i="8"/>
  <c r="F76" i="8"/>
  <c r="J78" i="8"/>
  <c r="H78" i="8"/>
  <c r="J80" i="8"/>
  <c r="H80" i="8"/>
  <c r="H82" i="8"/>
  <c r="G84" i="8"/>
  <c r="J93" i="8"/>
  <c r="F95" i="8"/>
  <c r="F100" i="8"/>
  <c r="F105" i="8"/>
  <c r="J110" i="8"/>
  <c r="H110" i="8"/>
  <c r="H114" i="8"/>
  <c r="F125" i="8"/>
  <c r="J131" i="8"/>
  <c r="H131" i="8"/>
  <c r="J152" i="8"/>
  <c r="F152" i="8"/>
  <c r="H152" i="8"/>
  <c r="F200" i="8"/>
  <c r="J200" i="8"/>
  <c r="H200" i="8"/>
  <c r="H203" i="8"/>
  <c r="J203" i="8"/>
  <c r="G218" i="8"/>
  <c r="J236" i="8"/>
  <c r="F236" i="8"/>
  <c r="H236" i="8"/>
  <c r="G246" i="8"/>
  <c r="J255" i="8"/>
  <c r="H255" i="8"/>
  <c r="F255" i="8"/>
  <c r="G103" i="8"/>
  <c r="J7" i="8"/>
  <c r="H8" i="8"/>
  <c r="H10" i="8"/>
  <c r="F12" i="8"/>
  <c r="J5" i="8"/>
  <c r="K101" i="8" s="1"/>
  <c r="F7" i="8"/>
  <c r="G12" i="8"/>
  <c r="G110" i="8"/>
  <c r="J14" i="8"/>
  <c r="H15" i="8"/>
  <c r="J19" i="8"/>
  <c r="H20" i="8"/>
  <c r="H22" i="8"/>
  <c r="J24" i="8"/>
  <c r="J26" i="8"/>
  <c r="H27" i="8"/>
  <c r="F32" i="8"/>
  <c r="F34" i="8"/>
  <c r="J36" i="8"/>
  <c r="J38" i="8"/>
  <c r="H43" i="8"/>
  <c r="F45" i="8"/>
  <c r="F47" i="8"/>
  <c r="J51" i="8"/>
  <c r="H51" i="8"/>
  <c r="J53" i="8"/>
  <c r="F53" i="8"/>
  <c r="N67" i="8"/>
  <c r="L67" i="8"/>
  <c r="G76" i="8"/>
  <c r="F78" i="8"/>
  <c r="J87" i="8"/>
  <c r="J89" i="8"/>
  <c r="H95" i="8"/>
  <c r="J98" i="8"/>
  <c r="F103" i="8"/>
  <c r="J103" i="8"/>
  <c r="H105" i="8"/>
  <c r="F110" i="8"/>
  <c r="N119" i="8"/>
  <c r="L119" i="8"/>
  <c r="J137" i="8"/>
  <c r="H137" i="8"/>
  <c r="N140" i="8"/>
  <c r="L140" i="8"/>
  <c r="J147" i="8"/>
  <c r="F147" i="8"/>
  <c r="J156" i="8"/>
  <c r="H156" i="8"/>
  <c r="F161" i="8"/>
  <c r="H161" i="8"/>
  <c r="J178" i="8"/>
  <c r="H178" i="8"/>
  <c r="F178" i="8"/>
  <c r="H185" i="8"/>
  <c r="J185" i="8"/>
  <c r="J222" i="8"/>
  <c r="H222" i="8"/>
  <c r="F222" i="8"/>
  <c r="J243" i="8"/>
  <c r="F243" i="8"/>
  <c r="H243" i="8"/>
  <c r="G99" i="8"/>
  <c r="J3" i="8"/>
  <c r="G107" i="8"/>
  <c r="J11" i="8"/>
  <c r="H12" i="8"/>
  <c r="G13" i="8"/>
  <c r="J29" i="8"/>
  <c r="G34" i="8"/>
  <c r="N40" i="8"/>
  <c r="L40" i="8"/>
  <c r="N42" i="8"/>
  <c r="L42" i="8"/>
  <c r="N57" i="8"/>
  <c r="N59" i="8"/>
  <c r="L59" i="8"/>
  <c r="N69" i="8"/>
  <c r="L69" i="8"/>
  <c r="H76" i="8"/>
  <c r="G78" i="8"/>
  <c r="N83" i="8"/>
  <c r="L83" i="8"/>
  <c r="N85" i="8"/>
  <c r="L85" i="8"/>
  <c r="J94" i="8"/>
  <c r="K78" i="8" s="1"/>
  <c r="J108" i="8"/>
  <c r="F108" i="8"/>
  <c r="N115" i="8"/>
  <c r="L115" i="8"/>
  <c r="J117" i="8"/>
  <c r="G134" i="8"/>
  <c r="J150" i="8"/>
  <c r="F150" i="8"/>
  <c r="H153" i="8"/>
  <c r="J153" i="8"/>
  <c r="G178" i="8"/>
  <c r="J198" i="8"/>
  <c r="F198" i="8"/>
  <c r="N201" i="8"/>
  <c r="L201" i="8"/>
  <c r="H207" i="8"/>
  <c r="J207" i="8"/>
  <c r="H219" i="8"/>
  <c r="J219" i="8"/>
  <c r="J228" i="8"/>
  <c r="H228" i="8"/>
  <c r="F228" i="8"/>
  <c r="J234" i="8"/>
  <c r="F234" i="8"/>
  <c r="J6" i="8"/>
  <c r="H7" i="8"/>
  <c r="N18" i="8"/>
  <c r="L18" i="8"/>
  <c r="G26" i="8"/>
  <c r="J31" i="8"/>
  <c r="H34" i="8"/>
  <c r="G38" i="8"/>
  <c r="F40" i="8"/>
  <c r="F42" i="8"/>
  <c r="N46" i="8"/>
  <c r="F57" i="8"/>
  <c r="F59" i="8"/>
  <c r="F61" i="8"/>
  <c r="J71" i="8"/>
  <c r="H71" i="8"/>
  <c r="J73" i="8"/>
  <c r="F73" i="8"/>
  <c r="F83" i="8"/>
  <c r="N90" i="8"/>
  <c r="L90" i="8"/>
  <c r="F94" i="8"/>
  <c r="J96" i="8"/>
  <c r="N101" i="8"/>
  <c r="L101" i="8"/>
  <c r="J106" i="8"/>
  <c r="F106" i="8"/>
  <c r="H108" i="8"/>
  <c r="J111" i="8"/>
  <c r="F115" i="8"/>
  <c r="J120" i="8"/>
  <c r="J122" i="8"/>
  <c r="G250" i="8"/>
  <c r="G266" i="8"/>
  <c r="G234" i="8"/>
  <c r="G268" i="8"/>
  <c r="J124" i="8"/>
  <c r="H124" i="8"/>
  <c r="J128" i="8"/>
  <c r="F128" i="8"/>
  <c r="F132" i="8"/>
  <c r="J132" i="8"/>
  <c r="H132" i="8"/>
  <c r="J138" i="8"/>
  <c r="H138" i="8"/>
  <c r="G140" i="8"/>
  <c r="F145" i="8"/>
  <c r="H150" i="8"/>
  <c r="J162" i="8"/>
  <c r="H162" i="8"/>
  <c r="F162" i="8"/>
  <c r="F168" i="8"/>
  <c r="J168" i="8"/>
  <c r="J182" i="8"/>
  <c r="H182" i="8"/>
  <c r="F182" i="8"/>
  <c r="H198" i="8"/>
  <c r="H201" i="8"/>
  <c r="G210" i="8"/>
  <c r="J213" i="8"/>
  <c r="H213" i="8"/>
  <c r="F213" i="8"/>
  <c r="J216" i="8"/>
  <c r="F216" i="8"/>
  <c r="H216" i="8"/>
  <c r="J2" i="8"/>
  <c r="H3" i="8"/>
  <c r="F2" i="8"/>
  <c r="J9" i="8"/>
  <c r="F11" i="8"/>
  <c r="G112" i="8"/>
  <c r="J16" i="8"/>
  <c r="G5" i="8"/>
  <c r="J21" i="8"/>
  <c r="G24" i="8"/>
  <c r="H29" i="8"/>
  <c r="G36" i="8"/>
  <c r="J44" i="8"/>
  <c r="G2" i="8"/>
  <c r="J4" i="8"/>
  <c r="F6" i="8"/>
  <c r="G11" i="8"/>
  <c r="H14" i="8"/>
  <c r="F16" i="8"/>
  <c r="F18" i="8"/>
  <c r="H21" i="8"/>
  <c r="J23" i="8"/>
  <c r="H24" i="8"/>
  <c r="H26" i="8"/>
  <c r="F31" i="8"/>
  <c r="G17" i="8"/>
  <c r="H36" i="8"/>
  <c r="H38" i="8"/>
  <c r="G40" i="8"/>
  <c r="G42" i="8"/>
  <c r="F44" i="8"/>
  <c r="F46" i="8"/>
  <c r="J48" i="8"/>
  <c r="J50" i="8"/>
  <c r="J52" i="8"/>
  <c r="N54" i="8"/>
  <c r="L54" i="8"/>
  <c r="H57" i="8"/>
  <c r="H59" i="8"/>
  <c r="H61" i="8"/>
  <c r="H63" i="8"/>
  <c r="H69" i="8"/>
  <c r="F71" i="8"/>
  <c r="H73" i="8"/>
  <c r="J77" i="8"/>
  <c r="J79" i="8"/>
  <c r="H83" i="8"/>
  <c r="J86" i="8"/>
  <c r="F90" i="8"/>
  <c r="J92" i="8"/>
  <c r="H92" i="8"/>
  <c r="G94" i="8"/>
  <c r="F96" i="8"/>
  <c r="J104" i="8"/>
  <c r="F104" i="8"/>
  <c r="H106" i="8"/>
  <c r="F111" i="8"/>
  <c r="H115" i="8"/>
  <c r="F120" i="8"/>
  <c r="F122" i="8"/>
  <c r="F124" i="8"/>
  <c r="J126" i="8"/>
  <c r="G254" i="8"/>
  <c r="G158" i="8"/>
  <c r="F126" i="8"/>
  <c r="G222" i="8"/>
  <c r="G206" i="8"/>
  <c r="G270" i="8"/>
  <c r="G174" i="8"/>
  <c r="G128" i="8"/>
  <c r="J130" i="8"/>
  <c r="F138" i="8"/>
  <c r="J154" i="8"/>
  <c r="H154" i="8"/>
  <c r="F154" i="8"/>
  <c r="G162" i="8"/>
  <c r="F173" i="8"/>
  <c r="J173" i="8"/>
  <c r="J179" i="8"/>
  <c r="H179" i="8"/>
  <c r="G273" i="8"/>
  <c r="F144" i="8"/>
  <c r="J148" i="8"/>
  <c r="J159" i="8"/>
  <c r="N170" i="8"/>
  <c r="L170" i="8"/>
  <c r="J172" i="8"/>
  <c r="N186" i="8"/>
  <c r="L186" i="8"/>
  <c r="J192" i="8"/>
  <c r="F196" i="8"/>
  <c r="J196" i="8"/>
  <c r="J208" i="8"/>
  <c r="H212" i="8"/>
  <c r="J212" i="8"/>
  <c r="N226" i="8"/>
  <c r="L226" i="8"/>
  <c r="N230" i="8"/>
  <c r="L230" i="8"/>
  <c r="F232" i="8"/>
  <c r="J232" i="8"/>
  <c r="J253" i="8"/>
  <c r="H261" i="8"/>
  <c r="J261" i="8"/>
  <c r="J263" i="8"/>
  <c r="J268" i="8"/>
  <c r="H284" i="8"/>
  <c r="J284" i="8"/>
  <c r="J292" i="8"/>
  <c r="J294" i="8"/>
  <c r="H298" i="8"/>
  <c r="J314" i="8"/>
  <c r="J316" i="8"/>
  <c r="H318" i="8"/>
  <c r="H320" i="8"/>
  <c r="H322" i="8"/>
  <c r="G429" i="8"/>
  <c r="J333" i="8"/>
  <c r="H336" i="8"/>
  <c r="G322" i="8"/>
  <c r="J338" i="8"/>
  <c r="G324" i="8"/>
  <c r="J340" i="8"/>
  <c r="G357" i="8"/>
  <c r="N361" i="8"/>
  <c r="L361" i="8"/>
  <c r="H364" i="8"/>
  <c r="F366" i="8"/>
  <c r="J368" i="8"/>
  <c r="G373" i="8"/>
  <c r="N377" i="8"/>
  <c r="L377" i="8"/>
  <c r="H380" i="8"/>
  <c r="F382" i="8"/>
  <c r="J384" i="8"/>
  <c r="J388" i="8"/>
  <c r="F390" i="8"/>
  <c r="H395" i="8"/>
  <c r="H397" i="8"/>
  <c r="J400" i="8"/>
  <c r="H402" i="8"/>
  <c r="J402" i="8"/>
  <c r="J407" i="8"/>
  <c r="J410" i="8"/>
  <c r="H412" i="8"/>
  <c r="H414" i="8"/>
  <c r="H419" i="8"/>
  <c r="F424" i="8"/>
  <c r="H428" i="8"/>
  <c r="H431" i="8"/>
  <c r="J434" i="8"/>
  <c r="J437" i="8"/>
  <c r="H439" i="8"/>
  <c r="H441" i="8"/>
  <c r="F446" i="8"/>
  <c r="H450" i="8"/>
  <c r="J455" i="8"/>
  <c r="H457" i="8"/>
  <c r="J457" i="8"/>
  <c r="H464" i="8"/>
  <c r="H467" i="8"/>
  <c r="J473" i="8"/>
  <c r="H475" i="8"/>
  <c r="F478" i="8"/>
  <c r="H482" i="8"/>
  <c r="J487" i="8"/>
  <c r="H489" i="8"/>
  <c r="J489" i="8"/>
  <c r="H497" i="8"/>
  <c r="G534" i="8"/>
  <c r="J502" i="8"/>
  <c r="G507" i="8"/>
  <c r="J522" i="8"/>
  <c r="H532" i="8"/>
  <c r="H536" i="8"/>
  <c r="F539" i="8"/>
  <c r="H541" i="8"/>
  <c r="H544" i="8"/>
  <c r="J544" i="8"/>
  <c r="J547" i="8"/>
  <c r="J552" i="8"/>
  <c r="H552" i="8"/>
  <c r="J557" i="8"/>
  <c r="F557" i="8"/>
  <c r="J562" i="8"/>
  <c r="J564" i="8"/>
  <c r="H569" i="8"/>
  <c r="J569" i="8"/>
  <c r="N582" i="8"/>
  <c r="L582" i="8"/>
  <c r="J584" i="8"/>
  <c r="H586" i="8"/>
  <c r="F589" i="8"/>
  <c r="F591" i="8"/>
  <c r="J596" i="8"/>
  <c r="H596" i="8"/>
  <c r="J606" i="8"/>
  <c r="F608" i="8"/>
  <c r="H610" i="8"/>
  <c r="J616" i="8"/>
  <c r="J621" i="8"/>
  <c r="H621" i="8"/>
  <c r="J633" i="8"/>
  <c r="H633" i="8"/>
  <c r="J652" i="8"/>
  <c r="F652" i="8"/>
  <c r="F657" i="8"/>
  <c r="J660" i="8"/>
  <c r="F660" i="8"/>
  <c r="J668" i="8"/>
  <c r="F668" i="8"/>
  <c r="J686" i="8"/>
  <c r="H686" i="8"/>
  <c r="F686" i="8"/>
  <c r="F692" i="8"/>
  <c r="N730" i="8"/>
  <c r="L730" i="8"/>
  <c r="J776" i="8"/>
  <c r="J857" i="8"/>
  <c r="H857" i="8"/>
  <c r="F857" i="8"/>
  <c r="H881" i="8"/>
  <c r="F881" i="8"/>
  <c r="G753" i="8"/>
  <c r="N890" i="8"/>
  <c r="L890" i="8"/>
  <c r="N1013" i="8"/>
  <c r="L1013" i="8"/>
  <c r="N1034" i="8"/>
  <c r="L1034" i="8"/>
  <c r="N1052" i="8"/>
  <c r="L1052" i="8"/>
  <c r="N1055" i="8"/>
  <c r="L1055" i="8"/>
  <c r="N259" i="8"/>
  <c r="L259" i="8"/>
  <c r="N266" i="8"/>
  <c r="L266" i="8"/>
  <c r="N282" i="8"/>
  <c r="L282" i="8"/>
  <c r="N287" i="8"/>
  <c r="L287" i="8"/>
  <c r="N304" i="8"/>
  <c r="L304" i="8"/>
  <c r="N307" i="8"/>
  <c r="L307" i="8"/>
  <c r="N312" i="8"/>
  <c r="L312" i="8"/>
  <c r="N325" i="8"/>
  <c r="L325" i="8"/>
  <c r="N327" i="8"/>
  <c r="L327" i="8"/>
  <c r="G425" i="8"/>
  <c r="J329" i="8"/>
  <c r="G427" i="8"/>
  <c r="J331" i="8"/>
  <c r="G399" i="8"/>
  <c r="J335" i="8"/>
  <c r="N343" i="8"/>
  <c r="L343" i="8"/>
  <c r="N349" i="8"/>
  <c r="L349" i="8"/>
  <c r="G359" i="8"/>
  <c r="N363" i="8"/>
  <c r="L363" i="8"/>
  <c r="N370" i="8"/>
  <c r="L370" i="8"/>
  <c r="G375" i="8"/>
  <c r="N379" i="8"/>
  <c r="L379" i="8"/>
  <c r="H386" i="8"/>
  <c r="J386" i="8"/>
  <c r="H393" i="8"/>
  <c r="J393" i="8"/>
  <c r="N405" i="8"/>
  <c r="L405" i="8"/>
  <c r="N422" i="8"/>
  <c r="L422" i="8"/>
  <c r="N444" i="8"/>
  <c r="L444" i="8"/>
  <c r="H453" i="8"/>
  <c r="J453" i="8"/>
  <c r="N460" i="8"/>
  <c r="L460" i="8"/>
  <c r="H485" i="8"/>
  <c r="J485" i="8"/>
  <c r="N492" i="8"/>
  <c r="L492" i="8"/>
  <c r="N495" i="8"/>
  <c r="L495" i="8"/>
  <c r="N504" i="8"/>
  <c r="L504" i="8"/>
  <c r="N506" i="8"/>
  <c r="L506" i="8"/>
  <c r="N510" i="8"/>
  <c r="L510" i="8"/>
  <c r="G500" i="8"/>
  <c r="J516" i="8"/>
  <c r="F518" i="8"/>
  <c r="J518" i="8"/>
  <c r="G504" i="8"/>
  <c r="J520" i="8"/>
  <c r="G508" i="8"/>
  <c r="J524" i="8"/>
  <c r="J527" i="8"/>
  <c r="J531" i="8"/>
  <c r="J535" i="8"/>
  <c r="H539" i="8"/>
  <c r="J550" i="8"/>
  <c r="H550" i="8"/>
  <c r="N555" i="8"/>
  <c r="L555" i="8"/>
  <c r="H560" i="8"/>
  <c r="J560" i="8"/>
  <c r="N567" i="8"/>
  <c r="L567" i="8"/>
  <c r="N573" i="8"/>
  <c r="L573" i="8"/>
  <c r="N578" i="8"/>
  <c r="L578" i="8"/>
  <c r="F580" i="8"/>
  <c r="J580" i="8"/>
  <c r="H589" i="8"/>
  <c r="H591" i="8"/>
  <c r="J594" i="8"/>
  <c r="H594" i="8"/>
  <c r="L604" i="8"/>
  <c r="H608" i="8"/>
  <c r="N619" i="8"/>
  <c r="L619" i="8"/>
  <c r="F624" i="8"/>
  <c r="J624" i="8"/>
  <c r="J630" i="8"/>
  <c r="H630" i="8"/>
  <c r="J636" i="8"/>
  <c r="F636" i="8"/>
  <c r="J644" i="8"/>
  <c r="H644" i="8"/>
  <c r="J655" i="8"/>
  <c r="H655" i="8"/>
  <c r="J663" i="8"/>
  <c r="N674" i="8"/>
  <c r="L674" i="8"/>
  <c r="J683" i="8"/>
  <c r="J719" i="8"/>
  <c r="F719" i="8"/>
  <c r="N722" i="8"/>
  <c r="L722" i="8"/>
  <c r="H737" i="8"/>
  <c r="F737" i="8"/>
  <c r="J743" i="8"/>
  <c r="H743" i="8"/>
  <c r="G759" i="8"/>
  <c r="F743" i="8"/>
  <c r="N793" i="8"/>
  <c r="L793" i="8"/>
  <c r="J827" i="8"/>
  <c r="N905" i="8"/>
  <c r="L905" i="8"/>
  <c r="N922" i="8"/>
  <c r="L922" i="8"/>
  <c r="N939" i="8"/>
  <c r="L939" i="8"/>
  <c r="N987" i="8"/>
  <c r="L987" i="8"/>
  <c r="N989" i="8"/>
  <c r="L989" i="8"/>
  <c r="N991" i="8"/>
  <c r="L991" i="8"/>
  <c r="J233" i="8"/>
  <c r="F237" i="8"/>
  <c r="J237" i="8"/>
  <c r="H244" i="8"/>
  <c r="J244" i="8"/>
  <c r="H251" i="8"/>
  <c r="J251" i="8"/>
  <c r="F259" i="8"/>
  <c r="F266" i="8"/>
  <c r="F273" i="8"/>
  <c r="J275" i="8"/>
  <c r="F277" i="8"/>
  <c r="F279" i="8"/>
  <c r="J279" i="8"/>
  <c r="F282" i="8"/>
  <c r="F287" i="8"/>
  <c r="J297" i="8"/>
  <c r="N299" i="8"/>
  <c r="L299" i="8"/>
  <c r="F307" i="8"/>
  <c r="H312" i="8"/>
  <c r="J317" i="8"/>
  <c r="J319" i="8"/>
  <c r="L323" i="8"/>
  <c r="F325" i="8"/>
  <c r="F327" i="8"/>
  <c r="F329" i="8"/>
  <c r="F331" i="8"/>
  <c r="G333" i="8"/>
  <c r="F335" i="8"/>
  <c r="N341" i="8"/>
  <c r="L341" i="8"/>
  <c r="F343" i="8"/>
  <c r="N345" i="8"/>
  <c r="L345" i="8"/>
  <c r="N347" i="8"/>
  <c r="L347" i="8"/>
  <c r="F349" i="8"/>
  <c r="F354" i="8"/>
  <c r="J356" i="8"/>
  <c r="G361" i="8"/>
  <c r="F363" i="8"/>
  <c r="N365" i="8"/>
  <c r="L365" i="8"/>
  <c r="F370" i="8"/>
  <c r="J372" i="8"/>
  <c r="G377" i="8"/>
  <c r="F379" i="8"/>
  <c r="N381" i="8"/>
  <c r="L381" i="8"/>
  <c r="F386" i="8"/>
  <c r="J396" i="8"/>
  <c r="N398" i="8"/>
  <c r="L398" i="8"/>
  <c r="H403" i="8"/>
  <c r="J403" i="8"/>
  <c r="F405" i="8"/>
  <c r="J408" i="8"/>
  <c r="J411" i="8"/>
  <c r="J413" i="8"/>
  <c r="N415" i="8"/>
  <c r="L415" i="8"/>
  <c r="J420" i="8"/>
  <c r="F422" i="8"/>
  <c r="J427" i="8"/>
  <c r="F429" i="8"/>
  <c r="J429" i="8"/>
  <c r="H432" i="8"/>
  <c r="J432" i="8"/>
  <c r="J435" i="8"/>
  <c r="J440" i="8"/>
  <c r="H442" i="8"/>
  <c r="J442" i="8"/>
  <c r="F444" i="8"/>
  <c r="J451" i="8"/>
  <c r="F453" i="8"/>
  <c r="H458" i="8"/>
  <c r="J458" i="8"/>
  <c r="F460" i="8"/>
  <c r="J463" i="8"/>
  <c r="F468" i="8"/>
  <c r="J468" i="8"/>
  <c r="F471" i="8"/>
  <c r="N476" i="8"/>
  <c r="L476" i="8"/>
  <c r="J483" i="8"/>
  <c r="F485" i="8"/>
  <c r="H490" i="8"/>
  <c r="J490" i="8"/>
  <c r="F492" i="8"/>
  <c r="F495" i="8"/>
  <c r="N498" i="8"/>
  <c r="L498" i="8"/>
  <c r="N500" i="8"/>
  <c r="L500" i="8"/>
  <c r="H504" i="8"/>
  <c r="F506" i="8"/>
  <c r="F510" i="8"/>
  <c r="H514" i="8"/>
  <c r="J514" i="8"/>
  <c r="F516" i="8"/>
  <c r="H518" i="8"/>
  <c r="F520" i="8"/>
  <c r="H533" i="8"/>
  <c r="J533" i="8"/>
  <c r="J537" i="8"/>
  <c r="H542" i="8"/>
  <c r="J542" i="8"/>
  <c r="H570" i="8"/>
  <c r="J570" i="8"/>
  <c r="N576" i="8"/>
  <c r="H587" i="8"/>
  <c r="J587" i="8"/>
  <c r="N599" i="8"/>
  <c r="L599" i="8"/>
  <c r="J602" i="8"/>
  <c r="J611" i="8"/>
  <c r="F611" i="8"/>
  <c r="J614" i="8"/>
  <c r="J617" i="8"/>
  <c r="N627" i="8"/>
  <c r="L627" i="8"/>
  <c r="N639" i="8"/>
  <c r="N647" i="8"/>
  <c r="L647" i="8"/>
  <c r="F658" i="8"/>
  <c r="J658" i="8"/>
  <c r="J666" i="8"/>
  <c r="F666" i="8"/>
  <c r="J677" i="8"/>
  <c r="H677" i="8"/>
  <c r="F677" i="8"/>
  <c r="H690" i="8"/>
  <c r="F690" i="8"/>
  <c r="J690" i="8"/>
  <c r="J697" i="8"/>
  <c r="F697" i="8"/>
  <c r="F709" i="8"/>
  <c r="J709" i="8"/>
  <c r="H712" i="8"/>
  <c r="F712" i="8"/>
  <c r="J712" i="8"/>
  <c r="N731" i="8"/>
  <c r="L731" i="8"/>
  <c r="J734" i="8"/>
  <c r="F734" i="8"/>
  <c r="N747" i="8"/>
  <c r="L747" i="8"/>
  <c r="J749" i="8"/>
  <c r="H749" i="8"/>
  <c r="F749" i="8"/>
  <c r="N762" i="8"/>
  <c r="L762" i="8"/>
  <c r="N777" i="8"/>
  <c r="L777" i="8"/>
  <c r="J812" i="8"/>
  <c r="H812" i="8"/>
  <c r="F812" i="8"/>
  <c r="N843" i="8"/>
  <c r="L843" i="8"/>
  <c r="J858" i="8"/>
  <c r="J882" i="8"/>
  <c r="N914" i="8"/>
  <c r="L914" i="8"/>
  <c r="K898" i="8"/>
  <c r="N953" i="8"/>
  <c r="L953" i="8"/>
  <c r="N984" i="8"/>
  <c r="L984" i="8"/>
  <c r="N999" i="8"/>
  <c r="L999" i="8"/>
  <c r="N1071" i="8"/>
  <c r="L1071" i="8"/>
  <c r="N158" i="8"/>
  <c r="L158" i="8"/>
  <c r="N164" i="8"/>
  <c r="L164" i="8"/>
  <c r="H175" i="8"/>
  <c r="J175" i="8"/>
  <c r="N189" i="8"/>
  <c r="L189" i="8"/>
  <c r="H197" i="8"/>
  <c r="J197" i="8"/>
  <c r="J199" i="8"/>
  <c r="J204" i="8"/>
  <c r="H215" i="8"/>
  <c r="J215" i="8"/>
  <c r="N220" i="8"/>
  <c r="L220" i="8"/>
  <c r="F233" i="8"/>
  <c r="H235" i="8"/>
  <c r="J235" i="8"/>
  <c r="H240" i="8"/>
  <c r="J240" i="8"/>
  <c r="H249" i="8"/>
  <c r="J249" i="8"/>
  <c r="H259" i="8"/>
  <c r="N262" i="8"/>
  <c r="L262" i="8"/>
  <c r="F264" i="8"/>
  <c r="J264" i="8"/>
  <c r="F269" i="8"/>
  <c r="J269" i="8"/>
  <c r="H271" i="8"/>
  <c r="J271" i="8"/>
  <c r="F275" i="8"/>
  <c r="H277" i="8"/>
  <c r="H279" i="8"/>
  <c r="H282" i="8"/>
  <c r="N285" i="8"/>
  <c r="L285" i="8"/>
  <c r="H287" i="8"/>
  <c r="H290" i="8"/>
  <c r="J290" i="8"/>
  <c r="F297" i="8"/>
  <c r="N302" i="8"/>
  <c r="L302" i="8"/>
  <c r="H307" i="8"/>
  <c r="N310" i="8"/>
  <c r="L310" i="8"/>
  <c r="F317" i="8"/>
  <c r="F319" i="8"/>
  <c r="F321" i="8"/>
  <c r="F323" i="8"/>
  <c r="G325" i="8"/>
  <c r="G327" i="8"/>
  <c r="G329" i="8"/>
  <c r="G331" i="8"/>
  <c r="G335" i="8"/>
  <c r="F337" i="8"/>
  <c r="N339" i="8"/>
  <c r="L339" i="8"/>
  <c r="F341" i="8"/>
  <c r="G343" i="8"/>
  <c r="F345" i="8"/>
  <c r="F347" i="8"/>
  <c r="G349" i="8"/>
  <c r="F351" i="8"/>
  <c r="H354" i="8"/>
  <c r="F356" i="8"/>
  <c r="N358" i="8"/>
  <c r="L358" i="8"/>
  <c r="G363" i="8"/>
  <c r="F365" i="8"/>
  <c r="N367" i="8"/>
  <c r="L367" i="8"/>
  <c r="H370" i="8"/>
  <c r="F372" i="8"/>
  <c r="J374" i="8"/>
  <c r="H377" i="8"/>
  <c r="G379" i="8"/>
  <c r="F381" i="8"/>
  <c r="J383" i="8"/>
  <c r="J391" i="8"/>
  <c r="H394" i="8"/>
  <c r="J394" i="8"/>
  <c r="F396" i="8"/>
  <c r="F398" i="8"/>
  <c r="F403" i="8"/>
  <c r="F408" i="8"/>
  <c r="F411" i="8"/>
  <c r="F413" i="8"/>
  <c r="F420" i="8"/>
  <c r="H422" i="8"/>
  <c r="J425" i="8"/>
  <c r="F427" i="8"/>
  <c r="F432" i="8"/>
  <c r="F435" i="8"/>
  <c r="F438" i="8"/>
  <c r="J438" i="8"/>
  <c r="F440" i="8"/>
  <c r="F442" i="8"/>
  <c r="J447" i="8"/>
  <c r="F451" i="8"/>
  <c r="F458" i="8"/>
  <c r="H460" i="8"/>
  <c r="F463" i="8"/>
  <c r="H468" i="8"/>
  <c r="H471" i="8"/>
  <c r="J479" i="8"/>
  <c r="F481" i="8"/>
  <c r="F483" i="8"/>
  <c r="F490" i="8"/>
  <c r="H492" i="8"/>
  <c r="H495" i="8"/>
  <c r="H500" i="8"/>
  <c r="J508" i="8"/>
  <c r="J512" i="8"/>
  <c r="H516" i="8"/>
  <c r="H520" i="8"/>
  <c r="H524" i="8"/>
  <c r="F533" i="8"/>
  <c r="J540" i="8"/>
  <c r="F545" i="8"/>
  <c r="H553" i="8"/>
  <c r="J553" i="8"/>
  <c r="J558" i="8"/>
  <c r="H567" i="8"/>
  <c r="F576" i="8"/>
  <c r="H578" i="8"/>
  <c r="J585" i="8"/>
  <c r="F585" i="8"/>
  <c r="J597" i="8"/>
  <c r="F602" i="8"/>
  <c r="H604" i="8"/>
  <c r="F614" i="8"/>
  <c r="F617" i="8"/>
  <c r="H619" i="8"/>
  <c r="J622" i="8"/>
  <c r="F622" i="8"/>
  <c r="J634" i="8"/>
  <c r="F634" i="8"/>
  <c r="J642" i="8"/>
  <c r="J650" i="8"/>
  <c r="F650" i="8"/>
  <c r="J653" i="8"/>
  <c r="H653" i="8"/>
  <c r="H658" i="8"/>
  <c r="J661" i="8"/>
  <c r="H661" i="8"/>
  <c r="H666" i="8"/>
  <c r="J672" i="8"/>
  <c r="N681" i="8"/>
  <c r="L681" i="8"/>
  <c r="J684" i="8"/>
  <c r="H684" i="8"/>
  <c r="F684" i="8"/>
  <c r="H697" i="8"/>
  <c r="N700" i="8"/>
  <c r="L700" i="8"/>
  <c r="N703" i="8"/>
  <c r="L703" i="8"/>
  <c r="J723" i="8"/>
  <c r="H734" i="8"/>
  <c r="N744" i="8"/>
  <c r="L744" i="8"/>
  <c r="N752" i="8"/>
  <c r="L752" i="8"/>
  <c r="J759" i="8"/>
  <c r="H759" i="8"/>
  <c r="G743" i="8"/>
  <c r="F759" i="8"/>
  <c r="J771" i="8"/>
  <c r="F784" i="8"/>
  <c r="G752" i="8"/>
  <c r="J784" i="8"/>
  <c r="N787" i="8"/>
  <c r="L787" i="8"/>
  <c r="N794" i="8"/>
  <c r="L794" i="8"/>
  <c r="L800" i="8"/>
  <c r="N809" i="8"/>
  <c r="L809" i="8"/>
  <c r="J825" i="8"/>
  <c r="F840" i="8"/>
  <c r="H840" i="8"/>
  <c r="J840" i="8"/>
  <c r="N850" i="8"/>
  <c r="L850" i="8"/>
  <c r="H898" i="8"/>
  <c r="F898" i="8"/>
  <c r="J898" i="8"/>
  <c r="G914" i="8"/>
  <c r="N962" i="8"/>
  <c r="L962" i="8"/>
  <c r="N992" i="8"/>
  <c r="L992" i="8"/>
  <c r="N1039" i="8"/>
  <c r="L1039" i="8"/>
  <c r="N1056" i="8"/>
  <c r="L1056" i="8"/>
  <c r="N191" i="8"/>
  <c r="L191" i="8"/>
  <c r="L195" i="8"/>
  <c r="J202" i="8"/>
  <c r="N211" i="8"/>
  <c r="L211" i="8"/>
  <c r="J218" i="8"/>
  <c r="H233" i="8"/>
  <c r="J238" i="8"/>
  <c r="H245" i="8"/>
  <c r="J245" i="8"/>
  <c r="H247" i="8"/>
  <c r="J247" i="8"/>
  <c r="N252" i="8"/>
  <c r="L252" i="8"/>
  <c r="J254" i="8"/>
  <c r="J258" i="8"/>
  <c r="H266" i="8"/>
  <c r="H275" i="8"/>
  <c r="N293" i="8"/>
  <c r="L293" i="8"/>
  <c r="N295" i="8"/>
  <c r="L295" i="8"/>
  <c r="H297" i="8"/>
  <c r="H300" i="8"/>
  <c r="J300" i="8"/>
  <c r="N313" i="8"/>
  <c r="L313" i="8"/>
  <c r="N315" i="8"/>
  <c r="L315" i="8"/>
  <c r="H317" i="8"/>
  <c r="H319" i="8"/>
  <c r="H325" i="8"/>
  <c r="H327" i="8"/>
  <c r="H329" i="8"/>
  <c r="H331" i="8"/>
  <c r="H335" i="8"/>
  <c r="G341" i="8"/>
  <c r="H343" i="8"/>
  <c r="G345" i="8"/>
  <c r="G347" i="8"/>
  <c r="H349" i="8"/>
  <c r="G351" i="8"/>
  <c r="H356" i="8"/>
  <c r="H363" i="8"/>
  <c r="G365" i="8"/>
  <c r="H372" i="8"/>
  <c r="H379" i="8"/>
  <c r="G381" i="8"/>
  <c r="L387" i="8"/>
  <c r="H389" i="8"/>
  <c r="J389" i="8"/>
  <c r="H396" i="8"/>
  <c r="N406" i="8"/>
  <c r="L406" i="8"/>
  <c r="H408" i="8"/>
  <c r="H411" i="8"/>
  <c r="H413" i="8"/>
  <c r="N416" i="8"/>
  <c r="L416" i="8"/>
  <c r="H418" i="8"/>
  <c r="J418" i="8"/>
  <c r="H420" i="8"/>
  <c r="H427" i="8"/>
  <c r="H430" i="8"/>
  <c r="J430" i="8"/>
  <c r="F445" i="8"/>
  <c r="J445" i="8"/>
  <c r="N454" i="8"/>
  <c r="L454" i="8"/>
  <c r="N456" i="8"/>
  <c r="L456" i="8"/>
  <c r="H466" i="8"/>
  <c r="J466" i="8"/>
  <c r="H474" i="8"/>
  <c r="J474" i="8"/>
  <c r="H477" i="8"/>
  <c r="J477" i="8"/>
  <c r="N486" i="8"/>
  <c r="L486" i="8"/>
  <c r="N488" i="8"/>
  <c r="L488" i="8"/>
  <c r="G551" i="8"/>
  <c r="J503" i="8"/>
  <c r="J505" i="8"/>
  <c r="H506" i="8"/>
  <c r="H510" i="8"/>
  <c r="J515" i="8"/>
  <c r="J519" i="8"/>
  <c r="N523" i="8"/>
  <c r="L523" i="8"/>
  <c r="H538" i="8"/>
  <c r="J538" i="8"/>
  <c r="N543" i="8"/>
  <c r="L543" i="8"/>
  <c r="J548" i="8"/>
  <c r="N551" i="8"/>
  <c r="L551" i="8"/>
  <c r="N563" i="8"/>
  <c r="L563" i="8"/>
  <c r="J565" i="8"/>
  <c r="J571" i="8"/>
  <c r="F571" i="8"/>
  <c r="H588" i="8"/>
  <c r="J588" i="8"/>
  <c r="N595" i="8"/>
  <c r="L595" i="8"/>
  <c r="J600" i="8"/>
  <c r="H602" i="8"/>
  <c r="J607" i="8"/>
  <c r="F607" i="8"/>
  <c r="J612" i="8"/>
  <c r="H614" i="8"/>
  <c r="H617" i="8"/>
  <c r="J631" i="8"/>
  <c r="J637" i="8"/>
  <c r="H637" i="8"/>
  <c r="N640" i="8"/>
  <c r="L640" i="8"/>
  <c r="J645" i="8"/>
  <c r="F645" i="8"/>
  <c r="J648" i="8"/>
  <c r="F648" i="8"/>
  <c r="F656" i="8"/>
  <c r="J656" i="8"/>
  <c r="F664" i="8"/>
  <c r="J664" i="8"/>
  <c r="J694" i="8"/>
  <c r="H694" i="8"/>
  <c r="N707" i="8"/>
  <c r="L707" i="8"/>
  <c r="J710" i="8"/>
  <c r="H710" i="8"/>
  <c r="F710" i="8"/>
  <c r="N713" i="8"/>
  <c r="L713" i="8"/>
  <c r="N741" i="8"/>
  <c r="L741" i="8"/>
  <c r="N754" i="8"/>
  <c r="L754" i="8"/>
  <c r="N778" i="8"/>
  <c r="L778" i="8"/>
  <c r="J797" i="8"/>
  <c r="H797" i="8"/>
  <c r="F837" i="8"/>
  <c r="J837" i="8"/>
  <c r="G741" i="8"/>
  <c r="H861" i="8"/>
  <c r="J861" i="8"/>
  <c r="F861" i="8"/>
  <c r="N880" i="8"/>
  <c r="L880" i="8"/>
  <c r="N889" i="8"/>
  <c r="H895" i="8"/>
  <c r="J895" i="8"/>
  <c r="N981" i="8"/>
  <c r="L981" i="8"/>
  <c r="N1000" i="8"/>
  <c r="L1000" i="8"/>
  <c r="N1007" i="8"/>
  <c r="L1007" i="8"/>
  <c r="N1010" i="8"/>
  <c r="L1010" i="8"/>
  <c r="N1032" i="8"/>
  <c r="L1032" i="8"/>
  <c r="J55" i="8"/>
  <c r="J64" i="8"/>
  <c r="J68" i="8"/>
  <c r="K100" i="8" s="1"/>
  <c r="J75" i="8"/>
  <c r="J102" i="8"/>
  <c r="J134" i="8"/>
  <c r="F141" i="8"/>
  <c r="J141" i="8"/>
  <c r="G127" i="8"/>
  <c r="J143" i="8"/>
  <c r="G145" i="8"/>
  <c r="H164" i="8"/>
  <c r="H171" i="8"/>
  <c r="J171" i="8"/>
  <c r="H176" i="8"/>
  <c r="J176" i="8"/>
  <c r="H180" i="8"/>
  <c r="J180" i="8"/>
  <c r="H187" i="8"/>
  <c r="J187" i="8"/>
  <c r="H189" i="8"/>
  <c r="F191" i="8"/>
  <c r="F195" i="8"/>
  <c r="F202" i="8"/>
  <c r="F209" i="8"/>
  <c r="F211" i="8"/>
  <c r="F218" i="8"/>
  <c r="H220" i="8"/>
  <c r="J227" i="8"/>
  <c r="H229" i="8"/>
  <c r="J229" i="8"/>
  <c r="J231" i="8"/>
  <c r="F238" i="8"/>
  <c r="F245" i="8"/>
  <c r="F247" i="8"/>
  <c r="J250" i="8"/>
  <c r="F252" i="8"/>
  <c r="F254" i="8"/>
  <c r="N256" i="8"/>
  <c r="L256" i="8"/>
  <c r="F258" i="8"/>
  <c r="F260" i="8"/>
  <c r="J260" i="8"/>
  <c r="J272" i="8"/>
  <c r="J274" i="8"/>
  <c r="J278" i="8"/>
  <c r="H280" i="8"/>
  <c r="J280" i="8"/>
  <c r="J283" i="8"/>
  <c r="H285" i="8"/>
  <c r="J288" i="8"/>
  <c r="J291" i="8"/>
  <c r="F293" i="8"/>
  <c r="F295" i="8"/>
  <c r="F300" i="8"/>
  <c r="H302" i="8"/>
  <c r="J308" i="8"/>
  <c r="J311" i="8"/>
  <c r="F313" i="8"/>
  <c r="F315" i="8"/>
  <c r="H323" i="8"/>
  <c r="J334" i="8"/>
  <c r="H337" i="8"/>
  <c r="G339" i="8"/>
  <c r="H341" i="8"/>
  <c r="H345" i="8"/>
  <c r="H347" i="8"/>
  <c r="H351" i="8"/>
  <c r="F353" i="8"/>
  <c r="J355" i="8"/>
  <c r="H358" i="8"/>
  <c r="F360" i="8"/>
  <c r="J362" i="8"/>
  <c r="H365" i="8"/>
  <c r="G367" i="8"/>
  <c r="F369" i="8"/>
  <c r="J371" i="8"/>
  <c r="H374" i="8"/>
  <c r="F376" i="8"/>
  <c r="J378" i="8"/>
  <c r="H381" i="8"/>
  <c r="G383" i="8"/>
  <c r="F385" i="8"/>
  <c r="F387" i="8"/>
  <c r="F389" i="8"/>
  <c r="J392" i="8"/>
  <c r="H399" i="8"/>
  <c r="J399" i="8"/>
  <c r="J404" i="8"/>
  <c r="F406" i="8"/>
  <c r="F416" i="8"/>
  <c r="H423" i="8"/>
  <c r="J423" i="8"/>
  <c r="H425" i="8"/>
  <c r="J443" i="8"/>
  <c r="H445" i="8"/>
  <c r="H447" i="8"/>
  <c r="F454" i="8"/>
  <c r="F456" i="8"/>
  <c r="J459" i="8"/>
  <c r="H461" i="8"/>
  <c r="J461" i="8"/>
  <c r="J469" i="8"/>
  <c r="N472" i="8"/>
  <c r="F477" i="8"/>
  <c r="H479" i="8"/>
  <c r="F486" i="8"/>
  <c r="F488" i="8"/>
  <c r="J491" i="8"/>
  <c r="J493" i="8"/>
  <c r="H496" i="8"/>
  <c r="J496" i="8"/>
  <c r="G563" i="8"/>
  <c r="J499" i="8"/>
  <c r="G533" i="8"/>
  <c r="J501" i="8"/>
  <c r="F503" i="8"/>
  <c r="F505" i="8"/>
  <c r="H508" i="8"/>
  <c r="H512" i="8"/>
  <c r="F515" i="8"/>
  <c r="J517" i="8"/>
  <c r="F519" i="8"/>
  <c r="F523" i="8"/>
  <c r="G509" i="8"/>
  <c r="J525" i="8"/>
  <c r="J530" i="8"/>
  <c r="J534" i="8"/>
  <c r="F538" i="8"/>
  <c r="H540" i="8"/>
  <c r="J546" i="8"/>
  <c r="F551" i="8"/>
  <c r="H556" i="8"/>
  <c r="J556" i="8"/>
  <c r="F563" i="8"/>
  <c r="J568" i="8"/>
  <c r="F568" i="8"/>
  <c r="H571" i="8"/>
  <c r="J579" i="8"/>
  <c r="F588" i="8"/>
  <c r="F595" i="8"/>
  <c r="H597" i="8"/>
  <c r="F600" i="8"/>
  <c r="J605" i="8"/>
  <c r="F605" i="8"/>
  <c r="H607" i="8"/>
  <c r="F612" i="8"/>
  <c r="J620" i="8"/>
  <c r="F620" i="8"/>
  <c r="F625" i="8"/>
  <c r="F637" i="8"/>
  <c r="H645" i="8"/>
  <c r="H648" i="8"/>
  <c r="H656" i="8"/>
  <c r="H659" i="8"/>
  <c r="J659" i="8"/>
  <c r="H664" i="8"/>
  <c r="N667" i="8"/>
  <c r="L667" i="8"/>
  <c r="N675" i="8"/>
  <c r="L675" i="8"/>
  <c r="H688" i="8"/>
  <c r="F688" i="8"/>
  <c r="J688" i="8"/>
  <c r="N698" i="8"/>
  <c r="L698" i="8"/>
  <c r="N704" i="8"/>
  <c r="L704" i="8"/>
  <c r="N717" i="8"/>
  <c r="L717" i="8"/>
  <c r="N760" i="8"/>
  <c r="L760" i="8"/>
  <c r="N763" i="8"/>
  <c r="N768" i="8"/>
  <c r="L768" i="8"/>
  <c r="N772" i="8"/>
  <c r="L772" i="8"/>
  <c r="N810" i="8"/>
  <c r="L810" i="8"/>
  <c r="J828" i="8"/>
  <c r="H828" i="8"/>
  <c r="F828" i="8"/>
  <c r="N841" i="8"/>
  <c r="L841" i="8"/>
  <c r="N856" i="8"/>
  <c r="L856" i="8"/>
  <c r="F873" i="8"/>
  <c r="J873" i="8"/>
  <c r="H873" i="8"/>
  <c r="N937" i="8"/>
  <c r="L937" i="8"/>
  <c r="N988" i="8"/>
  <c r="L988" i="8"/>
  <c r="N990" i="8"/>
  <c r="L990" i="8"/>
  <c r="N1012" i="8"/>
  <c r="L1012" i="8"/>
  <c r="N1026" i="8"/>
  <c r="L1026" i="8"/>
  <c r="N1047" i="8"/>
  <c r="L1047" i="8"/>
  <c r="J265" i="8"/>
  <c r="H267" i="8"/>
  <c r="J267" i="8"/>
  <c r="N270" i="8"/>
  <c r="L270" i="8"/>
  <c r="H276" i="8"/>
  <c r="J276" i="8"/>
  <c r="N298" i="8"/>
  <c r="L298" i="8"/>
  <c r="N318" i="8"/>
  <c r="L318" i="8"/>
  <c r="N320" i="8"/>
  <c r="L320" i="8"/>
  <c r="N322" i="8"/>
  <c r="L322" i="8"/>
  <c r="J326" i="8"/>
  <c r="J328" i="8"/>
  <c r="J330" i="8"/>
  <c r="N332" i="8"/>
  <c r="L332" i="8"/>
  <c r="N336" i="8"/>
  <c r="L336" i="8"/>
  <c r="G328" i="8"/>
  <c r="J344" i="8"/>
  <c r="G334" i="8"/>
  <c r="J350" i="8"/>
  <c r="G353" i="8"/>
  <c r="N364" i="8"/>
  <c r="L364" i="8"/>
  <c r="G369" i="8"/>
  <c r="N373" i="8"/>
  <c r="L373" i="8"/>
  <c r="N380" i="8"/>
  <c r="L380" i="8"/>
  <c r="G385" i="8"/>
  <c r="N395" i="8"/>
  <c r="L395" i="8"/>
  <c r="N397" i="8"/>
  <c r="L397" i="8"/>
  <c r="H409" i="8"/>
  <c r="J409" i="8"/>
  <c r="N412" i="8"/>
  <c r="L412" i="8"/>
  <c r="N419" i="8"/>
  <c r="L419" i="8"/>
  <c r="H421" i="8"/>
  <c r="J421" i="8"/>
  <c r="N428" i="8"/>
  <c r="L428" i="8"/>
  <c r="N431" i="8"/>
  <c r="L431" i="8"/>
  <c r="H436" i="8"/>
  <c r="J436" i="8"/>
  <c r="N439" i="8"/>
  <c r="L439" i="8"/>
  <c r="N441" i="8"/>
  <c r="L441" i="8"/>
  <c r="N450" i="8"/>
  <c r="L450" i="8"/>
  <c r="H452" i="8"/>
  <c r="J452" i="8"/>
  <c r="N464" i="8"/>
  <c r="L464" i="8"/>
  <c r="N467" i="8"/>
  <c r="L467" i="8"/>
  <c r="N475" i="8"/>
  <c r="L475" i="8"/>
  <c r="N482" i="8"/>
  <c r="L482" i="8"/>
  <c r="H484" i="8"/>
  <c r="J484" i="8"/>
  <c r="G571" i="8"/>
  <c r="J507" i="8"/>
  <c r="G543" i="8"/>
  <c r="J511" i="8"/>
  <c r="G523" i="8"/>
  <c r="G512" i="8"/>
  <c r="J528" i="8"/>
  <c r="N532" i="8"/>
  <c r="L532" i="8"/>
  <c r="N536" i="8"/>
  <c r="L536" i="8"/>
  <c r="N549" i="8"/>
  <c r="L549" i="8"/>
  <c r="H554" i="8"/>
  <c r="J554" i="8"/>
  <c r="J559" i="8"/>
  <c r="H559" i="8"/>
  <c r="J566" i="8"/>
  <c r="F566" i="8"/>
  <c r="N586" i="8"/>
  <c r="L586" i="8"/>
  <c r="J603" i="8"/>
  <c r="F603" i="8"/>
  <c r="N615" i="8"/>
  <c r="L615" i="8"/>
  <c r="J618" i="8"/>
  <c r="F618" i="8"/>
  <c r="J623" i="8"/>
  <c r="H623" i="8"/>
  <c r="J629" i="8"/>
  <c r="F629" i="8"/>
  <c r="J635" i="8"/>
  <c r="H635" i="8"/>
  <c r="N651" i="8"/>
  <c r="L651" i="8"/>
  <c r="J654" i="8"/>
  <c r="F654" i="8"/>
  <c r="J662" i="8"/>
  <c r="F662" i="8"/>
  <c r="J670" i="8"/>
  <c r="F670" i="8"/>
  <c r="H695" i="8"/>
  <c r="J695" i="8"/>
  <c r="H739" i="8"/>
  <c r="F739" i="8"/>
  <c r="J739" i="8"/>
  <c r="H859" i="8"/>
  <c r="J859" i="8"/>
  <c r="F859" i="8"/>
  <c r="H883" i="8"/>
  <c r="F883" i="8"/>
  <c r="J883" i="8"/>
  <c r="N896" i="8"/>
  <c r="L896" i="8"/>
  <c r="G915" i="8"/>
  <c r="H899" i="8"/>
  <c r="I899" i="8" s="1"/>
  <c r="F899" i="8"/>
  <c r="J899" i="8"/>
  <c r="L928" i="8"/>
  <c r="K912" i="8"/>
  <c r="N1015" i="8"/>
  <c r="L1015" i="8"/>
  <c r="N1033" i="8"/>
  <c r="L1033" i="8"/>
  <c r="N1065" i="8"/>
  <c r="L1065" i="8"/>
  <c r="J146" i="8"/>
  <c r="J157" i="8"/>
  <c r="J163" i="8"/>
  <c r="H165" i="8"/>
  <c r="J165" i="8"/>
  <c r="J167" i="8"/>
  <c r="H181" i="8"/>
  <c r="J181" i="8"/>
  <c r="H183" i="8"/>
  <c r="J183" i="8"/>
  <c r="J188" i="8"/>
  <c r="J190" i="8"/>
  <c r="J194" i="8"/>
  <c r="H202" i="8"/>
  <c r="J210" i="8"/>
  <c r="H218" i="8"/>
  <c r="J221" i="8"/>
  <c r="F223" i="8"/>
  <c r="J223" i="8"/>
  <c r="H238" i="8"/>
  <c r="J246" i="8"/>
  <c r="J248" i="8"/>
  <c r="H254" i="8"/>
  <c r="H258" i="8"/>
  <c r="H265" i="8"/>
  <c r="F270" i="8"/>
  <c r="F276" i="8"/>
  <c r="J281" i="8"/>
  <c r="H286" i="8"/>
  <c r="J286" i="8"/>
  <c r="H296" i="8"/>
  <c r="J296" i="8"/>
  <c r="F298" i="8"/>
  <c r="J301" i="8"/>
  <c r="J303" i="8"/>
  <c r="J306" i="8"/>
  <c r="J309" i="8"/>
  <c r="F318" i="8"/>
  <c r="F320" i="8"/>
  <c r="F322" i="8"/>
  <c r="J324" i="8"/>
  <c r="F326" i="8"/>
  <c r="H328" i="8"/>
  <c r="F330" i="8"/>
  <c r="F336" i="8"/>
  <c r="G326" i="8"/>
  <c r="J342" i="8"/>
  <c r="F344" i="8"/>
  <c r="G330" i="8"/>
  <c r="J346" i="8"/>
  <c r="G332" i="8"/>
  <c r="J348" i="8"/>
  <c r="F350" i="8"/>
  <c r="G336" i="8"/>
  <c r="J352" i="8"/>
  <c r="G355" i="8"/>
  <c r="F357" i="8"/>
  <c r="J359" i="8"/>
  <c r="F364" i="8"/>
  <c r="N366" i="8"/>
  <c r="L366" i="8"/>
  <c r="G371" i="8"/>
  <c r="F373" i="8"/>
  <c r="J375" i="8"/>
  <c r="F380" i="8"/>
  <c r="N382" i="8"/>
  <c r="L382" i="8"/>
  <c r="N390" i="8"/>
  <c r="L390" i="8"/>
  <c r="F395" i="8"/>
  <c r="F397" i="8"/>
  <c r="F412" i="8"/>
  <c r="F414" i="8"/>
  <c r="F419" i="8"/>
  <c r="F421" i="8"/>
  <c r="H426" i="8"/>
  <c r="J426" i="8"/>
  <c r="F428" i="8"/>
  <c r="F431" i="8"/>
  <c r="F439" i="8"/>
  <c r="F441" i="8"/>
  <c r="N446" i="8"/>
  <c r="L446" i="8"/>
  <c r="H448" i="8"/>
  <c r="J448" i="8"/>
  <c r="F450" i="8"/>
  <c r="F452" i="8"/>
  <c r="H462" i="8"/>
  <c r="J462" i="8"/>
  <c r="F464" i="8"/>
  <c r="F467" i="8"/>
  <c r="F470" i="8"/>
  <c r="J470" i="8"/>
  <c r="F475" i="8"/>
  <c r="N478" i="8"/>
  <c r="L478" i="8"/>
  <c r="H480" i="8"/>
  <c r="J480" i="8"/>
  <c r="F482" i="8"/>
  <c r="F484" i="8"/>
  <c r="H494" i="8"/>
  <c r="J494" i="8"/>
  <c r="H503" i="8"/>
  <c r="H505" i="8"/>
  <c r="F507" i="8"/>
  <c r="J509" i="8"/>
  <c r="F511" i="8"/>
  <c r="H515" i="8"/>
  <c r="H519" i="8"/>
  <c r="H526" i="8"/>
  <c r="J526" i="8"/>
  <c r="F528" i="8"/>
  <c r="F532" i="8"/>
  <c r="F536" i="8"/>
  <c r="N539" i="8"/>
  <c r="L539" i="8"/>
  <c r="N541" i="8"/>
  <c r="L541" i="8"/>
  <c r="F549" i="8"/>
  <c r="F554" i="8"/>
  <c r="F559" i="8"/>
  <c r="H566" i="8"/>
  <c r="F575" i="8"/>
  <c r="J575" i="8"/>
  <c r="F586" i="8"/>
  <c r="N589" i="8"/>
  <c r="L589" i="8"/>
  <c r="N591" i="8"/>
  <c r="L591" i="8"/>
  <c r="J598" i="8"/>
  <c r="H598" i="8"/>
  <c r="J601" i="8"/>
  <c r="F601" i="8"/>
  <c r="H603" i="8"/>
  <c r="N608" i="8"/>
  <c r="L608" i="8"/>
  <c r="F610" i="8"/>
  <c r="J613" i="8"/>
  <c r="F613" i="8"/>
  <c r="H618" i="8"/>
  <c r="F623" i="8"/>
  <c r="F626" i="8"/>
  <c r="J626" i="8"/>
  <c r="H629" i="8"/>
  <c r="J638" i="8"/>
  <c r="F638" i="8"/>
  <c r="N643" i="8"/>
  <c r="L643" i="8"/>
  <c r="J646" i="8"/>
  <c r="H646" i="8"/>
  <c r="N649" i="8"/>
  <c r="L649" i="8"/>
  <c r="H654" i="8"/>
  <c r="H662" i="8"/>
  <c r="N665" i="8"/>
  <c r="L665" i="8"/>
  <c r="H670" i="8"/>
  <c r="H673" i="8"/>
  <c r="F673" i="8"/>
  <c r="N679" i="8"/>
  <c r="L679" i="8"/>
  <c r="N692" i="8"/>
  <c r="L692" i="8"/>
  <c r="N699" i="8"/>
  <c r="L699" i="8"/>
  <c r="H721" i="8"/>
  <c r="H724" i="8"/>
  <c r="J724" i="8"/>
  <c r="J727" i="8"/>
  <c r="H727" i="8"/>
  <c r="F727" i="8"/>
  <c r="N736" i="8"/>
  <c r="L736" i="8"/>
  <c r="N755" i="8"/>
  <c r="L755" i="8"/>
  <c r="N761" i="8"/>
  <c r="L761" i="8"/>
  <c r="N786" i="8"/>
  <c r="L786" i="8"/>
  <c r="H792" i="8"/>
  <c r="F792" i="8"/>
  <c r="J792" i="8"/>
  <c r="N823" i="8"/>
  <c r="L823" i="8"/>
  <c r="J826" i="8"/>
  <c r="H826" i="8"/>
  <c r="F826" i="8"/>
  <c r="N874" i="8"/>
  <c r="L874" i="8"/>
  <c r="N907" i="8"/>
  <c r="L907" i="8"/>
  <c r="N946" i="8"/>
  <c r="L946" i="8"/>
  <c r="N960" i="8"/>
  <c r="L960" i="8"/>
  <c r="N971" i="8"/>
  <c r="L971" i="8"/>
  <c r="N986" i="8"/>
  <c r="L986" i="8"/>
  <c r="N994" i="8"/>
  <c r="L994" i="8"/>
  <c r="N1022" i="8"/>
  <c r="L1022" i="8"/>
  <c r="N1048" i="8"/>
  <c r="L1048" i="8"/>
  <c r="J574" i="8"/>
  <c r="J581" i="8"/>
  <c r="J583" i="8"/>
  <c r="J590" i="8"/>
  <c r="F680" i="8"/>
  <c r="F682" i="8"/>
  <c r="F696" i="8"/>
  <c r="J711" i="8"/>
  <c r="F713" i="8"/>
  <c r="H720" i="8"/>
  <c r="J726" i="8"/>
  <c r="J733" i="8"/>
  <c r="F738" i="8"/>
  <c r="J740" i="8"/>
  <c r="F742" i="8"/>
  <c r="G746" i="8"/>
  <c r="G780" i="8"/>
  <c r="J748" i="8"/>
  <c r="G754" i="8"/>
  <c r="F756" i="8"/>
  <c r="F758" i="8"/>
  <c r="G762" i="8"/>
  <c r="F768" i="8"/>
  <c r="H770" i="8"/>
  <c r="G778" i="8"/>
  <c r="F785" i="8"/>
  <c r="J796" i="8"/>
  <c r="F798" i="8"/>
  <c r="H810" i="8"/>
  <c r="F813" i="8"/>
  <c r="J813" i="8"/>
  <c r="J822" i="8"/>
  <c r="J829" i="8"/>
  <c r="F831" i="8"/>
  <c r="F841" i="8"/>
  <c r="J860" i="8"/>
  <c r="F862" i="8"/>
  <c r="F874" i="8"/>
  <c r="J877" i="8"/>
  <c r="F884" i="8"/>
  <c r="H891" i="8"/>
  <c r="H896" i="8"/>
  <c r="J909" i="8"/>
  <c r="G910" i="8"/>
  <c r="H918" i="8"/>
  <c r="I902" i="8" s="1"/>
  <c r="F920" i="8"/>
  <c r="H922" i="8"/>
  <c r="H930" i="8"/>
  <c r="H934" i="8"/>
  <c r="H936" i="8"/>
  <c r="H938" i="8"/>
  <c r="H942" i="8"/>
  <c r="G944" i="8"/>
  <c r="F946" i="8"/>
  <c r="N948" i="8"/>
  <c r="L948" i="8"/>
  <c r="G950" i="8"/>
  <c r="H952" i="8"/>
  <c r="N957" i="8"/>
  <c r="L957" i="8"/>
  <c r="J959" i="8"/>
  <c r="N972" i="8"/>
  <c r="L972" i="8"/>
  <c r="J974" i="8"/>
  <c r="H976" i="8"/>
  <c r="F981" i="8"/>
  <c r="F984" i="8"/>
  <c r="F1002" i="8"/>
  <c r="H1007" i="8"/>
  <c r="F1015" i="8"/>
  <c r="H1020" i="8"/>
  <c r="F1024" i="8"/>
  <c r="F1033" i="8"/>
  <c r="H1042" i="8"/>
  <c r="H1047" i="8"/>
  <c r="H1058" i="8"/>
  <c r="H1060" i="8"/>
  <c r="H1062" i="8"/>
  <c r="H1064" i="8"/>
  <c r="H1066" i="8"/>
  <c r="H1068" i="8"/>
  <c r="H1070" i="8"/>
  <c r="J1070" i="8"/>
  <c r="J1062" i="8"/>
  <c r="J1054" i="8"/>
  <c r="J1046" i="8"/>
  <c r="J1038" i="8"/>
  <c r="J1030" i="8"/>
  <c r="J1014" i="8"/>
  <c r="J998" i="8"/>
  <c r="J968" i="8"/>
  <c r="J952" i="8"/>
  <c r="J936" i="8"/>
  <c r="J920" i="8"/>
  <c r="J888" i="8"/>
  <c r="J872" i="8"/>
  <c r="J824" i="8"/>
  <c r="J808" i="8"/>
  <c r="J728" i="8"/>
  <c r="J696" i="8"/>
  <c r="J680" i="8"/>
  <c r="N49" i="8"/>
  <c r="L49" i="8"/>
  <c r="J669" i="8"/>
  <c r="N671" i="8"/>
  <c r="L671" i="8"/>
  <c r="J676" i="8"/>
  <c r="J678" i="8"/>
  <c r="H682" i="8"/>
  <c r="J685" i="8"/>
  <c r="J687" i="8"/>
  <c r="J702" i="8"/>
  <c r="H713" i="8"/>
  <c r="F716" i="8"/>
  <c r="J716" i="8"/>
  <c r="G738" i="8"/>
  <c r="G798" i="8"/>
  <c r="J750" i="8"/>
  <c r="H751" i="8"/>
  <c r="H754" i="8"/>
  <c r="I738" i="8" s="1"/>
  <c r="G744" i="8"/>
  <c r="H762" i="8"/>
  <c r="H766" i="8"/>
  <c r="H768" i="8"/>
  <c r="H778" i="8"/>
  <c r="J781" i="8"/>
  <c r="J783" i="8"/>
  <c r="N788" i="8"/>
  <c r="L788" i="8"/>
  <c r="H798" i="8"/>
  <c r="J820" i="8"/>
  <c r="H831" i="8"/>
  <c r="J836" i="8"/>
  <c r="H844" i="8"/>
  <c r="J844" i="8"/>
  <c r="J852" i="8"/>
  <c r="J854" i="8"/>
  <c r="H862" i="8"/>
  <c r="J870" i="8"/>
  <c r="H874" i="8"/>
  <c r="H884" i="8"/>
  <c r="J900" i="8"/>
  <c r="J902" i="8"/>
  <c r="F909" i="8"/>
  <c r="G913" i="8"/>
  <c r="H914" i="8"/>
  <c r="J917" i="8"/>
  <c r="G925" i="8"/>
  <c r="J933" i="8"/>
  <c r="H944" i="8"/>
  <c r="G946" i="8"/>
  <c r="H950" i="8"/>
  <c r="H967" i="8"/>
  <c r="J967" i="8"/>
  <c r="G1019" i="8"/>
  <c r="H1033" i="8"/>
  <c r="F1036" i="8"/>
  <c r="F1050" i="8"/>
  <c r="F1052" i="8"/>
  <c r="F1056" i="8"/>
  <c r="J1069" i="8"/>
  <c r="J1061" i="8"/>
  <c r="J1053" i="8"/>
  <c r="J1045" i="8"/>
  <c r="J1037" i="8"/>
  <c r="J1029" i="8"/>
  <c r="J1021" i="8"/>
  <c r="J1005" i="8"/>
  <c r="J997" i="8"/>
  <c r="J979" i="8"/>
  <c r="J963" i="8"/>
  <c r="J947" i="8"/>
  <c r="J931" i="8"/>
  <c r="J851" i="8"/>
  <c r="J835" i="8"/>
  <c r="J819" i="8"/>
  <c r="J803" i="8"/>
  <c r="J691" i="8"/>
  <c r="N765" i="8"/>
  <c r="L765" i="8"/>
  <c r="N774" i="8"/>
  <c r="L774" i="8"/>
  <c r="J791" i="8"/>
  <c r="N806" i="8"/>
  <c r="L806" i="8"/>
  <c r="H839" i="8"/>
  <c r="J839" i="8"/>
  <c r="F847" i="8"/>
  <c r="J847" i="8"/>
  <c r="N878" i="8"/>
  <c r="L878" i="8"/>
  <c r="N892" i="8"/>
  <c r="L892" i="8"/>
  <c r="J894" i="8"/>
  <c r="G919" i="8"/>
  <c r="J903" i="8"/>
  <c r="J935" i="8"/>
  <c r="H941" i="8"/>
  <c r="J941" i="8"/>
  <c r="N943" i="8"/>
  <c r="L943" i="8"/>
  <c r="H965" i="8"/>
  <c r="J965" i="8"/>
  <c r="G1036" i="8"/>
  <c r="J1068" i="8"/>
  <c r="J1060" i="8"/>
  <c r="J1044" i="8"/>
  <c r="J1036" i="8"/>
  <c r="J1028" i="8"/>
  <c r="J1020" i="8"/>
  <c r="J1004" i="8"/>
  <c r="J996" i="8"/>
  <c r="J978" i="8"/>
  <c r="J930" i="8"/>
  <c r="J866" i="8"/>
  <c r="J834" i="8"/>
  <c r="J818" i="8"/>
  <c r="J802" i="8"/>
  <c r="J770" i="8"/>
  <c r="J738" i="8"/>
  <c r="J706" i="8"/>
  <c r="N33" i="8"/>
  <c r="L33" i="8"/>
  <c r="J628" i="8"/>
  <c r="H663" i="8"/>
  <c r="H665" i="8"/>
  <c r="H667" i="8"/>
  <c r="H669" i="8"/>
  <c r="H676" i="8"/>
  <c r="H678" i="8"/>
  <c r="H685" i="8"/>
  <c r="H687" i="8"/>
  <c r="H702" i="8"/>
  <c r="H704" i="8"/>
  <c r="G761" i="8"/>
  <c r="G750" i="8"/>
  <c r="F757" i="8"/>
  <c r="J757" i="8"/>
  <c r="F765" i="8"/>
  <c r="J767" i="8"/>
  <c r="F774" i="8"/>
  <c r="G763" i="8"/>
  <c r="H781" i="8"/>
  <c r="F789" i="8"/>
  <c r="J789" i="8"/>
  <c r="F794" i="8"/>
  <c r="J799" i="8"/>
  <c r="F806" i="8"/>
  <c r="J814" i="8"/>
  <c r="F816" i="8"/>
  <c r="H820" i="8"/>
  <c r="J830" i="8"/>
  <c r="F842" i="8"/>
  <c r="F845" i="8"/>
  <c r="J845" i="8"/>
  <c r="H847" i="8"/>
  <c r="J863" i="8"/>
  <c r="F878" i="8"/>
  <c r="J885" i="8"/>
  <c r="F887" i="8"/>
  <c r="F892" i="8"/>
  <c r="G902" i="8"/>
  <c r="H907" i="8"/>
  <c r="F912" i="8"/>
  <c r="G903" i="8"/>
  <c r="J919" i="8"/>
  <c r="I921" i="8"/>
  <c r="G933" i="8"/>
  <c r="F935" i="8"/>
  <c r="G937" i="8"/>
  <c r="J951" i="8"/>
  <c r="H953" i="8"/>
  <c r="F960" i="8"/>
  <c r="F963" i="8"/>
  <c r="F965" i="8"/>
  <c r="H975" i="8"/>
  <c r="J975" i="8"/>
  <c r="F977" i="8"/>
  <c r="J980" i="8"/>
  <c r="H982" i="8"/>
  <c r="F992" i="8"/>
  <c r="F998" i="8"/>
  <c r="H1000" i="8"/>
  <c r="F1003" i="8"/>
  <c r="G1014" i="8"/>
  <c r="H1017" i="8"/>
  <c r="H1031" i="8"/>
  <c r="F1041" i="8"/>
  <c r="H1043" i="8"/>
  <c r="F1046" i="8"/>
  <c r="F1048" i="8"/>
  <c r="F1059" i="8"/>
  <c r="F1061" i="8"/>
  <c r="F1063" i="8"/>
  <c r="F1065" i="8"/>
  <c r="F1067" i="8"/>
  <c r="F1069" i="8"/>
  <c r="F1071" i="8"/>
  <c r="J1067" i="8"/>
  <c r="J1059" i="8"/>
  <c r="J1051" i="8"/>
  <c r="J1043" i="8"/>
  <c r="J1035" i="8"/>
  <c r="J1019" i="8"/>
  <c r="J1003" i="8"/>
  <c r="J995" i="8"/>
  <c r="N977" i="8"/>
  <c r="L977" i="8"/>
  <c r="N961" i="8"/>
  <c r="L961" i="8"/>
  <c r="N945" i="8"/>
  <c r="L945" i="8"/>
  <c r="N929" i="8"/>
  <c r="L929" i="8"/>
  <c r="N913" i="8"/>
  <c r="O929" i="8" s="1"/>
  <c r="L913" i="8"/>
  <c r="M929" i="8" s="1"/>
  <c r="N897" i="8"/>
  <c r="L897" i="8"/>
  <c r="N881" i="8"/>
  <c r="L881" i="8"/>
  <c r="N865" i="8"/>
  <c r="L865" i="8"/>
  <c r="N849" i="8"/>
  <c r="L849" i="8"/>
  <c r="N833" i="8"/>
  <c r="L833" i="8"/>
  <c r="N817" i="8"/>
  <c r="L817" i="8"/>
  <c r="N801" i="8"/>
  <c r="L801" i="8"/>
  <c r="N785" i="8"/>
  <c r="L785" i="8"/>
  <c r="N769" i="8"/>
  <c r="L769" i="8"/>
  <c r="N753" i="8"/>
  <c r="L753" i="8"/>
  <c r="N737" i="8"/>
  <c r="L737" i="8"/>
  <c r="N721" i="8"/>
  <c r="L721" i="8"/>
  <c r="N705" i="8"/>
  <c r="L705" i="8"/>
  <c r="N689" i="8"/>
  <c r="L689" i="8"/>
  <c r="N673" i="8"/>
  <c r="L673" i="8"/>
  <c r="N657" i="8"/>
  <c r="L657" i="8"/>
  <c r="N641" i="8"/>
  <c r="L641" i="8"/>
  <c r="N625" i="8"/>
  <c r="L625" i="8"/>
  <c r="N609" i="8"/>
  <c r="L609" i="8"/>
  <c r="N593" i="8"/>
  <c r="L593" i="8"/>
  <c r="N577" i="8"/>
  <c r="L577" i="8"/>
  <c r="N561" i="8"/>
  <c r="L561" i="8"/>
  <c r="N545" i="8"/>
  <c r="L545" i="8"/>
  <c r="N529" i="8"/>
  <c r="L529" i="8"/>
  <c r="N513" i="8"/>
  <c r="L513" i="8"/>
  <c r="N497" i="8"/>
  <c r="L497" i="8"/>
  <c r="N481" i="8"/>
  <c r="L481" i="8"/>
  <c r="N465" i="8"/>
  <c r="L465" i="8"/>
  <c r="N449" i="8"/>
  <c r="L449" i="8"/>
  <c r="N433" i="8"/>
  <c r="L433" i="8"/>
  <c r="N417" i="8"/>
  <c r="L417" i="8"/>
  <c r="N401" i="8"/>
  <c r="L401" i="8"/>
  <c r="N385" i="8"/>
  <c r="L385" i="8"/>
  <c r="N369" i="8"/>
  <c r="L369" i="8"/>
  <c r="N353" i="8"/>
  <c r="L353" i="8"/>
  <c r="N337" i="8"/>
  <c r="L337" i="8"/>
  <c r="N321" i="8"/>
  <c r="L321" i="8"/>
  <c r="N305" i="8"/>
  <c r="L305" i="8"/>
  <c r="N289" i="8"/>
  <c r="L289" i="8"/>
  <c r="N273" i="8"/>
  <c r="L273" i="8"/>
  <c r="N257" i="8"/>
  <c r="L257" i="8"/>
  <c r="N241" i="8"/>
  <c r="L241" i="8"/>
  <c r="N225" i="8"/>
  <c r="L225" i="8"/>
  <c r="N209" i="8"/>
  <c r="L209" i="8"/>
  <c r="N193" i="8"/>
  <c r="L193" i="8"/>
  <c r="N177" i="8"/>
  <c r="L177" i="8"/>
  <c r="N161" i="8"/>
  <c r="L161" i="8"/>
  <c r="N145" i="8"/>
  <c r="L145" i="8"/>
  <c r="N129" i="8"/>
  <c r="L129" i="8"/>
  <c r="N113" i="8"/>
  <c r="L113" i="8"/>
  <c r="N97" i="8"/>
  <c r="L97" i="8"/>
  <c r="N81" i="8"/>
  <c r="L81" i="8"/>
  <c r="N65" i="8"/>
  <c r="L65" i="8"/>
  <c r="F924" i="8"/>
  <c r="J924" i="8"/>
  <c r="G911" i="8"/>
  <c r="J927" i="8"/>
  <c r="J949" i="8"/>
  <c r="F951" i="8"/>
  <c r="J956" i="8"/>
  <c r="J958" i="8"/>
  <c r="H960" i="8"/>
  <c r="J973" i="8"/>
  <c r="F975" i="8"/>
  <c r="F980" i="8"/>
  <c r="H985" i="8"/>
  <c r="H992" i="8"/>
  <c r="H1048" i="8"/>
  <c r="H1063" i="8"/>
  <c r="H1065" i="8"/>
  <c r="H1071" i="8"/>
  <c r="J1066" i="8"/>
  <c r="J1058" i="8"/>
  <c r="J1042" i="8"/>
  <c r="J1018" i="8"/>
  <c r="J1002" i="8"/>
  <c r="J976" i="8"/>
  <c r="J944" i="8"/>
  <c r="J912" i="8"/>
  <c r="J864" i="8"/>
  <c r="J848" i="8"/>
  <c r="J832" i="8"/>
  <c r="J816" i="8"/>
  <c r="J720" i="8"/>
  <c r="J592" i="8"/>
  <c r="F732" i="8"/>
  <c r="J732" i="8"/>
  <c r="N780" i="8"/>
  <c r="L780" i="8"/>
  <c r="N782" i="8"/>
  <c r="L782" i="8"/>
  <c r="N804" i="8"/>
  <c r="L804" i="8"/>
  <c r="H821" i="8"/>
  <c r="J821" i="8"/>
  <c r="N855" i="8"/>
  <c r="L855" i="8"/>
  <c r="N868" i="8"/>
  <c r="L868" i="8"/>
  <c r="F871" i="8"/>
  <c r="J871" i="8"/>
  <c r="N876" i="8"/>
  <c r="L876" i="8"/>
  <c r="F906" i="8"/>
  <c r="N908" i="8"/>
  <c r="L908" i="8"/>
  <c r="G927" i="8"/>
  <c r="J911" i="8"/>
  <c r="N918" i="8"/>
  <c r="O902" i="8" s="1"/>
  <c r="L918" i="8"/>
  <c r="M902" i="8" s="1"/>
  <c r="J926" i="8"/>
  <c r="F927" i="8"/>
  <c r="N934" i="8"/>
  <c r="L934" i="8"/>
  <c r="N942" i="8"/>
  <c r="L942" i="8"/>
  <c r="N966" i="8"/>
  <c r="L966" i="8"/>
  <c r="N983" i="8"/>
  <c r="L983" i="8"/>
  <c r="F1051" i="8"/>
  <c r="F1053" i="8"/>
  <c r="F1055" i="8"/>
  <c r="N1073" i="8"/>
  <c r="L1073" i="8"/>
  <c r="N1057" i="8"/>
  <c r="L1057" i="8"/>
  <c r="J1049" i="8"/>
  <c r="N1041" i="8"/>
  <c r="L1041" i="8"/>
  <c r="N1025" i="8"/>
  <c r="L1025" i="8"/>
  <c r="N1009" i="8"/>
  <c r="L1009" i="8"/>
  <c r="J1001" i="8"/>
  <c r="N993" i="8"/>
  <c r="L993" i="8"/>
  <c r="J985" i="8"/>
  <c r="J955" i="8"/>
  <c r="J923" i="8"/>
  <c r="J891" i="8"/>
  <c r="J875" i="8"/>
  <c r="J811" i="8"/>
  <c r="J795" i="8"/>
  <c r="J779" i="8"/>
  <c r="J715" i="8"/>
  <c r="F703" i="8"/>
  <c r="F705" i="8"/>
  <c r="F715" i="8"/>
  <c r="J718" i="8"/>
  <c r="H725" i="8"/>
  <c r="J725" i="8"/>
  <c r="H732" i="8"/>
  <c r="J735" i="8"/>
  <c r="G794" i="8"/>
  <c r="G749" i="8"/>
  <c r="N751" i="8"/>
  <c r="L751" i="8"/>
  <c r="N766" i="8"/>
  <c r="L766" i="8"/>
  <c r="J773" i="8"/>
  <c r="J775" i="8"/>
  <c r="F780" i="8"/>
  <c r="F782" i="8"/>
  <c r="J790" i="8"/>
  <c r="F802" i="8"/>
  <c r="F817" i="8"/>
  <c r="F819" i="8"/>
  <c r="F821" i="8"/>
  <c r="F833" i="8"/>
  <c r="F835" i="8"/>
  <c r="J838" i="8"/>
  <c r="J846" i="8"/>
  <c r="F848" i="8"/>
  <c r="F853" i="8"/>
  <c r="F855" i="8"/>
  <c r="F866" i="8"/>
  <c r="H871" i="8"/>
  <c r="F876" i="8"/>
  <c r="N879" i="8"/>
  <c r="L879" i="8"/>
  <c r="F888" i="8"/>
  <c r="J893" i="8"/>
  <c r="N901" i="8"/>
  <c r="L901" i="8"/>
  <c r="K902" i="8"/>
  <c r="G906" i="8"/>
  <c r="G908" i="8"/>
  <c r="J910" i="8"/>
  <c r="F911" i="8"/>
  <c r="N916" i="8"/>
  <c r="O900" i="8" s="1"/>
  <c r="L916" i="8"/>
  <c r="F918" i="8"/>
  <c r="F922" i="8"/>
  <c r="F926" i="8"/>
  <c r="H927" i="8"/>
  <c r="F934" i="8"/>
  <c r="F936" i="8"/>
  <c r="F938" i="8"/>
  <c r="G956" i="8"/>
  <c r="J940" i="8"/>
  <c r="F942" i="8"/>
  <c r="F954" i="8"/>
  <c r="J964" i="8"/>
  <c r="F966" i="8"/>
  <c r="F996" i="8"/>
  <c r="F999" i="8"/>
  <c r="F1028" i="8"/>
  <c r="F1030" i="8"/>
  <c r="F1035" i="8"/>
  <c r="F1037" i="8"/>
  <c r="J1072" i="8"/>
  <c r="J1064" i="8"/>
  <c r="J1040" i="8"/>
  <c r="J1024" i="8"/>
  <c r="J1008" i="8"/>
  <c r="J970" i="8"/>
  <c r="J954" i="8"/>
  <c r="J938" i="8"/>
  <c r="J906" i="8"/>
  <c r="J746" i="8"/>
  <c r="J714" i="8"/>
  <c r="F693" i="8"/>
  <c r="J693" i="8"/>
  <c r="N701" i="8"/>
  <c r="L701" i="8"/>
  <c r="H703" i="8"/>
  <c r="F708" i="8"/>
  <c r="J708" i="8"/>
  <c r="F718" i="8"/>
  <c r="F735" i="8"/>
  <c r="G774" i="8"/>
  <c r="J742" i="8"/>
  <c r="F746" i="8"/>
  <c r="G740" i="8"/>
  <c r="J756" i="8"/>
  <c r="J758" i="8"/>
  <c r="J764" i="8"/>
  <c r="G770" i="8"/>
  <c r="H780" i="8"/>
  <c r="H782" i="8"/>
  <c r="N798" i="8"/>
  <c r="L798" i="8"/>
  <c r="H805" i="8"/>
  <c r="J805" i="8"/>
  <c r="F815" i="8"/>
  <c r="J815" i="8"/>
  <c r="N831" i="8"/>
  <c r="L831" i="8"/>
  <c r="H853" i="8"/>
  <c r="H855" i="8"/>
  <c r="N862" i="8"/>
  <c r="L862" i="8"/>
  <c r="F869" i="8"/>
  <c r="J869" i="8"/>
  <c r="N884" i="8"/>
  <c r="L884" i="8"/>
  <c r="F886" i="8"/>
  <c r="J886" i="8"/>
  <c r="H906" i="8"/>
  <c r="J925" i="8"/>
  <c r="G926" i="8"/>
  <c r="G934" i="8"/>
  <c r="G936" i="8"/>
  <c r="F940" i="8"/>
  <c r="F950" i="8"/>
  <c r="F964" i="8"/>
  <c r="H966" i="8"/>
  <c r="H999" i="8"/>
  <c r="F1007" i="8"/>
  <c r="F1047" i="8"/>
  <c r="J1023" i="8"/>
  <c r="J982" i="8"/>
  <c r="J969" i="8"/>
  <c r="J921" i="8"/>
  <c r="J745" i="8"/>
  <c r="L17" i="8"/>
  <c r="N17" i="8"/>
  <c r="N817" i="5"/>
  <c r="L817" i="5"/>
  <c r="N753" i="5"/>
  <c r="L753" i="5"/>
  <c r="N689" i="5"/>
  <c r="L689" i="5"/>
  <c r="N801" i="5"/>
  <c r="L801" i="5"/>
  <c r="N737" i="5"/>
  <c r="L737" i="5"/>
  <c r="N673" i="5"/>
  <c r="L673" i="5"/>
  <c r="N1073" i="5"/>
  <c r="L1073" i="5"/>
  <c r="N1057" i="5"/>
  <c r="L1057" i="5"/>
  <c r="N1041" i="5"/>
  <c r="L1041" i="5"/>
  <c r="N1025" i="5"/>
  <c r="L1025" i="5"/>
  <c r="N1009" i="5"/>
  <c r="L1009" i="5"/>
  <c r="N993" i="5"/>
  <c r="L993" i="5"/>
  <c r="N977" i="5"/>
  <c r="L977" i="5"/>
  <c r="N961" i="5"/>
  <c r="L961" i="5"/>
  <c r="N945" i="5"/>
  <c r="L945" i="5"/>
  <c r="N929" i="5"/>
  <c r="L929" i="5"/>
  <c r="N913" i="5"/>
  <c r="L913" i="5"/>
  <c r="N897" i="5"/>
  <c r="L897" i="5"/>
  <c r="N881" i="5"/>
  <c r="L881" i="5"/>
  <c r="N865" i="5"/>
  <c r="L865" i="5"/>
  <c r="N849" i="5"/>
  <c r="L849" i="5"/>
  <c r="N833" i="5"/>
  <c r="L833" i="5"/>
  <c r="N785" i="5"/>
  <c r="L785" i="5"/>
  <c r="N721" i="5"/>
  <c r="L721" i="5"/>
  <c r="N657" i="5"/>
  <c r="L657" i="5"/>
  <c r="N769" i="5"/>
  <c r="L769" i="5"/>
  <c r="N705" i="5"/>
  <c r="L705" i="5"/>
  <c r="N305" i="5"/>
  <c r="L305" i="5"/>
  <c r="N257" i="5"/>
  <c r="L257" i="5"/>
  <c r="N225" i="5"/>
  <c r="L225" i="5"/>
  <c r="N193" i="5"/>
  <c r="L193" i="5"/>
  <c r="N321" i="5"/>
  <c r="L321" i="5"/>
  <c r="N641" i="5"/>
  <c r="L641" i="5"/>
  <c r="N625" i="5"/>
  <c r="L625" i="5"/>
  <c r="N609" i="5"/>
  <c r="L609" i="5"/>
  <c r="N593" i="5"/>
  <c r="L593" i="5"/>
  <c r="N577" i="5"/>
  <c r="L577" i="5"/>
  <c r="N561" i="5"/>
  <c r="L561" i="5"/>
  <c r="N545" i="5"/>
  <c r="L545" i="5"/>
  <c r="N529" i="5"/>
  <c r="L529" i="5"/>
  <c r="N513" i="5"/>
  <c r="L513" i="5"/>
  <c r="N497" i="5"/>
  <c r="L497" i="5"/>
  <c r="N481" i="5"/>
  <c r="L481" i="5"/>
  <c r="N465" i="5"/>
  <c r="L465" i="5"/>
  <c r="N449" i="5"/>
  <c r="L449" i="5"/>
  <c r="N433" i="5"/>
  <c r="L433" i="5"/>
  <c r="N417" i="5"/>
  <c r="L417" i="5"/>
  <c r="N401" i="5"/>
  <c r="L401" i="5"/>
  <c r="N385" i="5"/>
  <c r="L385" i="5"/>
  <c r="N369" i="5"/>
  <c r="L369" i="5"/>
  <c r="N353" i="5"/>
  <c r="L353" i="5"/>
  <c r="N337" i="5"/>
  <c r="L337" i="5"/>
  <c r="N273" i="5"/>
  <c r="L273" i="5"/>
  <c r="N241" i="5"/>
  <c r="L241" i="5"/>
  <c r="N209" i="5"/>
  <c r="L209" i="5"/>
  <c r="N177" i="5"/>
  <c r="L177" i="5"/>
  <c r="N289" i="5"/>
  <c r="L289" i="5"/>
  <c r="N161" i="5"/>
  <c r="L161" i="5"/>
  <c r="N145" i="5"/>
  <c r="L145" i="5"/>
  <c r="N129" i="5"/>
  <c r="L129" i="5"/>
  <c r="N113" i="5"/>
  <c r="L113" i="5"/>
  <c r="N97" i="5"/>
  <c r="L97" i="5"/>
  <c r="N81" i="5"/>
  <c r="L81" i="5"/>
  <c r="N65" i="5"/>
  <c r="L65" i="5"/>
  <c r="N49" i="5"/>
  <c r="L49" i="5"/>
  <c r="N33" i="5"/>
  <c r="L33" i="5"/>
  <c r="N17" i="5"/>
  <c r="L17" i="5"/>
  <c r="K89" i="8"/>
  <c r="K94" i="8"/>
  <c r="G97" i="8"/>
  <c r="G81" i="8"/>
  <c r="G65" i="8"/>
  <c r="G49" i="8"/>
  <c r="G33" i="8"/>
  <c r="G113" i="8"/>
  <c r="I26" i="8"/>
  <c r="H97" i="8"/>
  <c r="F97" i="8"/>
  <c r="K83" i="8"/>
  <c r="K67" i="8"/>
  <c r="K51" i="8"/>
  <c r="H9" i="8"/>
  <c r="F17" i="8"/>
  <c r="F21" i="8"/>
  <c r="F25" i="8"/>
  <c r="F29" i="8"/>
  <c r="H33" i="8"/>
  <c r="H101" i="8"/>
  <c r="F101" i="8"/>
  <c r="K85" i="8"/>
  <c r="I111" i="8"/>
  <c r="I112" i="8"/>
  <c r="I64" i="8"/>
  <c r="I76" i="8"/>
  <c r="I92" i="8"/>
  <c r="K113" i="8"/>
  <c r="K97" i="8"/>
  <c r="K81" i="8"/>
  <c r="K65" i="8"/>
  <c r="K49" i="8"/>
  <c r="K33" i="8"/>
  <c r="K5" i="8"/>
  <c r="I48" i="8"/>
  <c r="I60" i="8"/>
  <c r="I32" i="8"/>
  <c r="I44" i="8"/>
  <c r="K104" i="8"/>
  <c r="G101" i="8"/>
  <c r="G85" i="8"/>
  <c r="G69" i="8"/>
  <c r="G53" i="8"/>
  <c r="G37" i="8"/>
  <c r="G21" i="8"/>
  <c r="I28" i="8"/>
  <c r="I74" i="8"/>
  <c r="I78" i="8"/>
  <c r="F81" i="8"/>
  <c r="F85" i="8"/>
  <c r="F5" i="8"/>
  <c r="G105" i="8"/>
  <c r="G89" i="8"/>
  <c r="G73" i="8"/>
  <c r="G57" i="8"/>
  <c r="G41" i="8"/>
  <c r="G25" i="8"/>
  <c r="I58" i="8"/>
  <c r="H85" i="8"/>
  <c r="F93" i="8"/>
  <c r="H93" i="8"/>
  <c r="H5" i="8"/>
  <c r="F9" i="8"/>
  <c r="K58" i="8"/>
  <c r="K26" i="8"/>
  <c r="G93" i="8"/>
  <c r="G77" i="8"/>
  <c r="G61" i="8"/>
  <c r="G45" i="8"/>
  <c r="G29" i="8"/>
  <c r="G109" i="8"/>
  <c r="I14" i="8"/>
  <c r="I110" i="8"/>
  <c r="I15" i="8"/>
  <c r="I46" i="8"/>
  <c r="F89" i="8"/>
  <c r="K41" i="8"/>
  <c r="H89" i="8"/>
  <c r="G32" i="8"/>
  <c r="G48" i="8"/>
  <c r="G64" i="8"/>
  <c r="G80" i="8"/>
  <c r="G96" i="8"/>
  <c r="G121" i="8"/>
  <c r="F137" i="8"/>
  <c r="F99" i="8"/>
  <c r="G308" i="8"/>
  <c r="G244" i="8"/>
  <c r="G212" i="8"/>
  <c r="G180" i="8"/>
  <c r="G148" i="8"/>
  <c r="G276" i="8"/>
  <c r="G292" i="8"/>
  <c r="G260" i="8"/>
  <c r="G228" i="8"/>
  <c r="G196" i="8"/>
  <c r="G164" i="8"/>
  <c r="G299" i="8"/>
  <c r="G267" i="8"/>
  <c r="G251" i="8"/>
  <c r="G235" i="8"/>
  <c r="G219" i="8"/>
  <c r="G203" i="8"/>
  <c r="G187" i="8"/>
  <c r="G171" i="8"/>
  <c r="G155" i="8"/>
  <c r="G139" i="8"/>
  <c r="G315" i="8"/>
  <c r="H123" i="8"/>
  <c r="G283" i="8"/>
  <c r="G317" i="8"/>
  <c r="G301" i="8"/>
  <c r="G269" i="8"/>
  <c r="G237" i="8"/>
  <c r="G205" i="8"/>
  <c r="G173" i="8"/>
  <c r="G141" i="8"/>
  <c r="G253" i="8"/>
  <c r="G221" i="8"/>
  <c r="G189" i="8"/>
  <c r="G157" i="8"/>
  <c r="G285" i="8"/>
  <c r="G19" i="8"/>
  <c r="G23" i="8"/>
  <c r="G27" i="8"/>
  <c r="G31" i="8"/>
  <c r="G35" i="8"/>
  <c r="G39" i="8"/>
  <c r="G43" i="8"/>
  <c r="G47" i="8"/>
  <c r="G51" i="8"/>
  <c r="G55" i="8"/>
  <c r="G59" i="8"/>
  <c r="G63" i="8"/>
  <c r="G67" i="8"/>
  <c r="G71" i="8"/>
  <c r="G75" i="8"/>
  <c r="G79" i="8"/>
  <c r="G83" i="8"/>
  <c r="G87" i="8"/>
  <c r="G91" i="8"/>
  <c r="G95" i="8"/>
  <c r="I108" i="8"/>
  <c r="G320" i="8"/>
  <c r="G304" i="8"/>
  <c r="G288" i="8"/>
  <c r="H128" i="8"/>
  <c r="G256" i="8"/>
  <c r="G224" i="8"/>
  <c r="G192" i="8"/>
  <c r="G160" i="8"/>
  <c r="G272" i="8"/>
  <c r="G240" i="8"/>
  <c r="G208" i="8"/>
  <c r="G176" i="8"/>
  <c r="G144" i="8"/>
  <c r="H148" i="8"/>
  <c r="F148" i="8"/>
  <c r="G293" i="8"/>
  <c r="G309" i="8"/>
  <c r="G261" i="8"/>
  <c r="G229" i="8"/>
  <c r="G197" i="8"/>
  <c r="G165" i="8"/>
  <c r="G277" i="8"/>
  <c r="G245" i="8"/>
  <c r="G213" i="8"/>
  <c r="G181" i="8"/>
  <c r="G149" i="8"/>
  <c r="G279" i="8"/>
  <c r="G263" i="8"/>
  <c r="G247" i="8"/>
  <c r="G231" i="8"/>
  <c r="G215" i="8"/>
  <c r="G199" i="8"/>
  <c r="G183" i="8"/>
  <c r="G167" i="8"/>
  <c r="G151" i="8"/>
  <c r="G135" i="8"/>
  <c r="G311" i="8"/>
  <c r="G295" i="8"/>
  <c r="G319" i="8"/>
  <c r="G271" i="8"/>
  <c r="G255" i="8"/>
  <c r="G239" i="8"/>
  <c r="G223" i="8"/>
  <c r="G207" i="8"/>
  <c r="G191" i="8"/>
  <c r="G175" i="8"/>
  <c r="G159" i="8"/>
  <c r="G143" i="8"/>
  <c r="G303" i="8"/>
  <c r="G287" i="8"/>
  <c r="H98" i="8"/>
  <c r="H102" i="8"/>
  <c r="H104" i="8"/>
  <c r="I104" i="8" s="1"/>
  <c r="H109" i="8"/>
  <c r="F112" i="8"/>
  <c r="F117" i="8"/>
  <c r="F119" i="8"/>
  <c r="G312" i="8"/>
  <c r="G264" i="8"/>
  <c r="G232" i="8"/>
  <c r="G200" i="8"/>
  <c r="G168" i="8"/>
  <c r="G136" i="8"/>
  <c r="G296" i="8"/>
  <c r="G280" i="8"/>
  <c r="G248" i="8"/>
  <c r="G216" i="8"/>
  <c r="G184" i="8"/>
  <c r="F127" i="8"/>
  <c r="G133" i="8"/>
  <c r="H119" i="8"/>
  <c r="G313" i="8"/>
  <c r="G281" i="8"/>
  <c r="G249" i="8"/>
  <c r="G217" i="8"/>
  <c r="G185" i="8"/>
  <c r="G153" i="8"/>
  <c r="G265" i="8"/>
  <c r="G233" i="8"/>
  <c r="G201" i="8"/>
  <c r="G169" i="8"/>
  <c r="G137" i="8"/>
  <c r="G297" i="8"/>
  <c r="H127" i="8"/>
  <c r="K305" i="8"/>
  <c r="K273" i="8"/>
  <c r="K257" i="8"/>
  <c r="K241" i="8"/>
  <c r="K225" i="8"/>
  <c r="K209" i="8"/>
  <c r="K193" i="8"/>
  <c r="K177" i="8"/>
  <c r="K161" i="8"/>
  <c r="K145" i="8"/>
  <c r="K321" i="8"/>
  <c r="K289" i="8"/>
  <c r="G275" i="8"/>
  <c r="G259" i="8"/>
  <c r="G243" i="8"/>
  <c r="G227" i="8"/>
  <c r="G211" i="8"/>
  <c r="G195" i="8"/>
  <c r="G179" i="8"/>
  <c r="G163" i="8"/>
  <c r="G147" i="8"/>
  <c r="G131" i="8"/>
  <c r="G307" i="8"/>
  <c r="G291" i="8"/>
  <c r="H117" i="8"/>
  <c r="F121" i="8"/>
  <c r="G132" i="8"/>
  <c r="G119" i="8"/>
  <c r="H135" i="8"/>
  <c r="K227" i="8"/>
  <c r="G152" i="8"/>
  <c r="G156" i="8"/>
  <c r="G161" i="8"/>
  <c r="H168" i="8"/>
  <c r="H173" i="8"/>
  <c r="F176" i="8"/>
  <c r="G188" i="8"/>
  <c r="G193" i="8"/>
  <c r="G220" i="8"/>
  <c r="G225" i="8"/>
  <c r="H232" i="8"/>
  <c r="H237" i="8"/>
  <c r="F240" i="8"/>
  <c r="G252" i="8"/>
  <c r="G257" i="8"/>
  <c r="H288" i="8"/>
  <c r="F303" i="8"/>
  <c r="H308" i="8"/>
  <c r="F139" i="8"/>
  <c r="F201" i="8"/>
  <c r="F203" i="8"/>
  <c r="F265" i="8"/>
  <c r="F267" i="8"/>
  <c r="F288" i="8"/>
  <c r="H295" i="8"/>
  <c r="H299" i="8"/>
  <c r="F299" i="8"/>
  <c r="H303" i="8"/>
  <c r="F308" i="8"/>
  <c r="H139" i="8"/>
  <c r="K316" i="8"/>
  <c r="F221" i="8"/>
  <c r="G300" i="8"/>
  <c r="H306" i="8"/>
  <c r="I306" i="8" s="1"/>
  <c r="F306" i="8"/>
  <c r="F160" i="8"/>
  <c r="G172" i="8"/>
  <c r="G177" i="8"/>
  <c r="G204" i="8"/>
  <c r="G209" i="8"/>
  <c r="F224" i="8"/>
  <c r="G236" i="8"/>
  <c r="G241" i="8"/>
  <c r="I302" i="8"/>
  <c r="H140" i="8"/>
  <c r="F153" i="8"/>
  <c r="F155" i="8"/>
  <c r="H167" i="8"/>
  <c r="F180" i="8"/>
  <c r="F185" i="8"/>
  <c r="F187" i="8"/>
  <c r="H199" i="8"/>
  <c r="H204" i="8"/>
  <c r="F212" i="8"/>
  <c r="F217" i="8"/>
  <c r="F219" i="8"/>
  <c r="H231" i="8"/>
  <c r="F244" i="8"/>
  <c r="F249" i="8"/>
  <c r="F251" i="8"/>
  <c r="H263" i="8"/>
  <c r="H268" i="8"/>
  <c r="F280" i="8"/>
  <c r="F281" i="8"/>
  <c r="H283" i="8"/>
  <c r="G316" i="8"/>
  <c r="G284" i="8"/>
  <c r="G289" i="8"/>
  <c r="G305" i="8"/>
  <c r="G321" i="8"/>
  <c r="G115" i="8"/>
  <c r="F143" i="8"/>
  <c r="H160" i="8"/>
  <c r="F175" i="8"/>
  <c r="H192" i="8"/>
  <c r="F207" i="8"/>
  <c r="H224" i="8"/>
  <c r="F239" i="8"/>
  <c r="H256" i="8"/>
  <c r="F271" i="8"/>
  <c r="F290" i="8"/>
  <c r="H143" i="8"/>
  <c r="K129" i="8"/>
  <c r="H281" i="8"/>
  <c r="I281" i="8" s="1"/>
  <c r="F286" i="8"/>
  <c r="H304" i="8"/>
  <c r="F304" i="8"/>
  <c r="G484" i="8"/>
  <c r="G468" i="8"/>
  <c r="G452" i="8"/>
  <c r="G436" i="8"/>
  <c r="G420" i="8"/>
  <c r="G388" i="8"/>
  <c r="G404" i="8"/>
  <c r="G372" i="8"/>
  <c r="G356" i="8"/>
  <c r="G340" i="8"/>
  <c r="K492" i="8"/>
  <c r="K460" i="8"/>
  <c r="K444" i="8"/>
  <c r="K412" i="8"/>
  <c r="K380" i="8"/>
  <c r="K364" i="8"/>
  <c r="K348" i="8"/>
  <c r="K396" i="8"/>
  <c r="K428" i="8"/>
  <c r="K429" i="8"/>
  <c r="K413" i="8"/>
  <c r="K332" i="8"/>
  <c r="F324" i="8"/>
  <c r="G486" i="8"/>
  <c r="G454" i="8"/>
  <c r="G470" i="8"/>
  <c r="G406" i="8"/>
  <c r="G438" i="8"/>
  <c r="G374" i="8"/>
  <c r="G358" i="8"/>
  <c r="G342" i="8"/>
  <c r="G422" i="8"/>
  <c r="G390" i="8"/>
  <c r="K495" i="8"/>
  <c r="K383" i="8"/>
  <c r="H338" i="8"/>
  <c r="F340" i="8"/>
  <c r="K353" i="8"/>
  <c r="K369" i="8"/>
  <c r="H391" i="8"/>
  <c r="F391" i="8"/>
  <c r="I393" i="8"/>
  <c r="F310" i="8"/>
  <c r="I323" i="8"/>
  <c r="I419" i="8"/>
  <c r="H324" i="8"/>
  <c r="G488" i="8"/>
  <c r="G472" i="8"/>
  <c r="G456" i="8"/>
  <c r="G440" i="8"/>
  <c r="G424" i="8"/>
  <c r="G408" i="8"/>
  <c r="G392" i="8"/>
  <c r="G376" i="8"/>
  <c r="G360" i="8"/>
  <c r="G344" i="8"/>
  <c r="K384" i="8"/>
  <c r="K400" i="8"/>
  <c r="K481" i="8"/>
  <c r="K449" i="8"/>
  <c r="K497" i="8"/>
  <c r="K465" i="8"/>
  <c r="K417" i="8"/>
  <c r="K433" i="8"/>
  <c r="K401" i="8"/>
  <c r="I339" i="8"/>
  <c r="H340" i="8"/>
  <c r="F342" i="8"/>
  <c r="I355" i="8"/>
  <c r="I371" i="8"/>
  <c r="I411" i="8"/>
  <c r="H310" i="8"/>
  <c r="F312" i="8"/>
  <c r="H326" i="8"/>
  <c r="F328" i="8"/>
  <c r="G474" i="8"/>
  <c r="G442" i="8"/>
  <c r="G490" i="8"/>
  <c r="G458" i="8"/>
  <c r="G378" i="8"/>
  <c r="G362" i="8"/>
  <c r="G346" i="8"/>
  <c r="G410" i="8"/>
  <c r="G426" i="8"/>
  <c r="K337" i="8"/>
  <c r="H342" i="8"/>
  <c r="K469" i="8"/>
  <c r="G492" i="8"/>
  <c r="G476" i="8"/>
  <c r="G460" i="8"/>
  <c r="G444" i="8"/>
  <c r="G428" i="8"/>
  <c r="G396" i="8"/>
  <c r="G412" i="8"/>
  <c r="G380" i="8"/>
  <c r="G364" i="8"/>
  <c r="G348" i="8"/>
  <c r="M481" i="8"/>
  <c r="H291" i="8"/>
  <c r="I163" i="8" s="1"/>
  <c r="F316" i="8"/>
  <c r="H330" i="8"/>
  <c r="F332" i="8"/>
  <c r="G494" i="8"/>
  <c r="G462" i="8"/>
  <c r="G478" i="8"/>
  <c r="G446" i="8"/>
  <c r="G398" i="8"/>
  <c r="G382" i="8"/>
  <c r="G366" i="8"/>
  <c r="G350" i="8"/>
  <c r="G430" i="8"/>
  <c r="G414" i="8"/>
  <c r="I345" i="8"/>
  <c r="H346" i="8"/>
  <c r="F348" i="8"/>
  <c r="G394" i="8"/>
  <c r="I403" i="8"/>
  <c r="I435" i="8"/>
  <c r="G306" i="8"/>
  <c r="G290" i="8"/>
  <c r="G310" i="8"/>
  <c r="G294" i="8"/>
  <c r="G314" i="8"/>
  <c r="G298" i="8"/>
  <c r="G282" i="8"/>
  <c r="G318" i="8"/>
  <c r="G302" i="8"/>
  <c r="G286" i="8"/>
  <c r="H316" i="8"/>
  <c r="H332" i="8"/>
  <c r="G496" i="8"/>
  <c r="G480" i="8"/>
  <c r="G464" i="8"/>
  <c r="G448" i="8"/>
  <c r="G432" i="8"/>
  <c r="G400" i="8"/>
  <c r="G384" i="8"/>
  <c r="G368" i="8"/>
  <c r="G352" i="8"/>
  <c r="G416" i="8"/>
  <c r="H348" i="8"/>
  <c r="G482" i="8"/>
  <c r="G450" i="8"/>
  <c r="G466" i="8"/>
  <c r="G418" i="8"/>
  <c r="G386" i="8"/>
  <c r="G370" i="8"/>
  <c r="G354" i="8"/>
  <c r="G338" i="8"/>
  <c r="G434" i="8"/>
  <c r="G402" i="8"/>
  <c r="K474" i="8"/>
  <c r="K378" i="8"/>
  <c r="K427" i="8"/>
  <c r="I361" i="8"/>
  <c r="I377" i="8"/>
  <c r="I409" i="8"/>
  <c r="I457" i="8"/>
  <c r="G467" i="8"/>
  <c r="G435" i="8"/>
  <c r="G483" i="8"/>
  <c r="G451" i="8"/>
  <c r="G471" i="8"/>
  <c r="G487" i="8"/>
  <c r="G455" i="8"/>
  <c r="G491" i="8"/>
  <c r="G459" i="8"/>
  <c r="G475" i="8"/>
  <c r="G479" i="8"/>
  <c r="G447" i="8"/>
  <c r="G495" i="8"/>
  <c r="G463" i="8"/>
  <c r="G431" i="8"/>
  <c r="G387" i="8"/>
  <c r="F402" i="8"/>
  <c r="F407" i="8"/>
  <c r="F409" i="8"/>
  <c r="G419" i="8"/>
  <c r="F430" i="8"/>
  <c r="H437" i="8"/>
  <c r="I483" i="8"/>
  <c r="G407" i="8"/>
  <c r="I425" i="8"/>
  <c r="I489" i="8"/>
  <c r="K501" i="8"/>
  <c r="G395" i="8"/>
  <c r="H407" i="8"/>
  <c r="F410" i="8"/>
  <c r="K382" i="8"/>
  <c r="F415" i="8"/>
  <c r="F434" i="8"/>
  <c r="G443" i="8"/>
  <c r="I467" i="8"/>
  <c r="G415" i="8"/>
  <c r="H444" i="8"/>
  <c r="I464" i="8"/>
  <c r="G469" i="8"/>
  <c r="G437" i="8"/>
  <c r="G421" i="8"/>
  <c r="G405" i="8"/>
  <c r="G389" i="8"/>
  <c r="G485" i="8"/>
  <c r="G453" i="8"/>
  <c r="G489" i="8"/>
  <c r="G457" i="8"/>
  <c r="G473" i="8"/>
  <c r="G441" i="8"/>
  <c r="G409" i="8"/>
  <c r="G393" i="8"/>
  <c r="G477" i="8"/>
  <c r="G445" i="8"/>
  <c r="G493" i="8"/>
  <c r="G461" i="8"/>
  <c r="G413" i="8"/>
  <c r="G397" i="8"/>
  <c r="G481" i="8"/>
  <c r="G449" i="8"/>
  <c r="G417" i="8"/>
  <c r="G401" i="8"/>
  <c r="G497" i="8"/>
  <c r="G465" i="8"/>
  <c r="F393" i="8"/>
  <c r="G403" i="8"/>
  <c r="H405" i="8"/>
  <c r="H410" i="8"/>
  <c r="H415" i="8"/>
  <c r="I415" i="8" s="1"/>
  <c r="F418" i="8"/>
  <c r="F423" i="8"/>
  <c r="H429" i="8"/>
  <c r="H434" i="8"/>
  <c r="I441" i="8"/>
  <c r="I451" i="8"/>
  <c r="G391" i="8"/>
  <c r="H398" i="8"/>
  <c r="I446" i="8" s="1"/>
  <c r="G423" i="8"/>
  <c r="G411" i="8"/>
  <c r="F436" i="8"/>
  <c r="G439" i="8"/>
  <c r="I496" i="8"/>
  <c r="H472" i="8"/>
  <c r="I472" i="8" s="1"/>
  <c r="G713" i="8"/>
  <c r="G729" i="8"/>
  <c r="G697" i="8"/>
  <c r="G681" i="8"/>
  <c r="G665" i="8"/>
  <c r="G649" i="8"/>
  <c r="G633" i="8"/>
  <c r="G617" i="8"/>
  <c r="G601" i="8"/>
  <c r="G585" i="8"/>
  <c r="G569" i="8"/>
  <c r="G537" i="8"/>
  <c r="G521" i="8"/>
  <c r="G553" i="8"/>
  <c r="G714" i="8"/>
  <c r="G730" i="8"/>
  <c r="G682" i="8"/>
  <c r="G666" i="8"/>
  <c r="G650" i="8"/>
  <c r="G634" i="8"/>
  <c r="G618" i="8"/>
  <c r="G602" i="8"/>
  <c r="G586" i="8"/>
  <c r="G698" i="8"/>
  <c r="G554" i="8"/>
  <c r="G570" i="8"/>
  <c r="G538" i="8"/>
  <c r="K527" i="8"/>
  <c r="K737" i="8"/>
  <c r="K705" i="8"/>
  <c r="K721" i="8"/>
  <c r="K689" i="8"/>
  <c r="K673" i="8"/>
  <c r="K657" i="8"/>
  <c r="K641" i="8"/>
  <c r="K625" i="8"/>
  <c r="K609" i="8"/>
  <c r="K593" i="8"/>
  <c r="K577" i="8"/>
  <c r="K561" i="8"/>
  <c r="K545" i="8"/>
  <c r="G518" i="8"/>
  <c r="H465" i="8"/>
  <c r="I465" i="8" s="1"/>
  <c r="H470" i="8"/>
  <c r="G706" i="8"/>
  <c r="G722" i="8"/>
  <c r="G690" i="8"/>
  <c r="G674" i="8"/>
  <c r="G658" i="8"/>
  <c r="G642" i="8"/>
  <c r="G626" i="8"/>
  <c r="G610" i="8"/>
  <c r="G594" i="8"/>
  <c r="G578" i="8"/>
  <c r="G562" i="8"/>
  <c r="G546" i="8"/>
  <c r="G724" i="8"/>
  <c r="G708" i="8"/>
  <c r="G692" i="8"/>
  <c r="G660" i="8"/>
  <c r="G628" i="8"/>
  <c r="G676" i="8"/>
  <c r="G644" i="8"/>
  <c r="G612" i="8"/>
  <c r="G596" i="8"/>
  <c r="G564" i="8"/>
  <c r="G548" i="8"/>
  <c r="G532" i="8"/>
  <c r="G516" i="8"/>
  <c r="G580" i="8"/>
  <c r="I630" i="8"/>
  <c r="I614" i="8"/>
  <c r="I598" i="8"/>
  <c r="I694" i="8"/>
  <c r="I566" i="8"/>
  <c r="I534" i="8"/>
  <c r="K736" i="8"/>
  <c r="K592" i="8"/>
  <c r="K560" i="8"/>
  <c r="K544" i="8"/>
  <c r="I518" i="8"/>
  <c r="G513" i="8"/>
  <c r="F529" i="8"/>
  <c r="F461" i="8"/>
  <c r="F466" i="8"/>
  <c r="F493" i="8"/>
  <c r="F498" i="8"/>
  <c r="F500" i="8"/>
  <c r="I502" i="8"/>
  <c r="G718" i="8"/>
  <c r="G734" i="8"/>
  <c r="G702" i="8"/>
  <c r="G686" i="8"/>
  <c r="G670" i="8"/>
  <c r="G654" i="8"/>
  <c r="G638" i="8"/>
  <c r="G622" i="8"/>
  <c r="G606" i="8"/>
  <c r="G590" i="8"/>
  <c r="G542" i="8"/>
  <c r="G574" i="8"/>
  <c r="G558" i="8"/>
  <c r="K694" i="8"/>
  <c r="F521" i="8"/>
  <c r="G522" i="8"/>
  <c r="F526" i="8"/>
  <c r="I473" i="8"/>
  <c r="G709" i="8"/>
  <c r="G725" i="8"/>
  <c r="G693" i="8"/>
  <c r="G677" i="8"/>
  <c r="G661" i="8"/>
  <c r="G645" i="8"/>
  <c r="G629" i="8"/>
  <c r="G613" i="8"/>
  <c r="G597" i="8"/>
  <c r="G581" i="8"/>
  <c r="G549" i="8"/>
  <c r="G517" i="8"/>
  <c r="G565" i="8"/>
  <c r="K726" i="8"/>
  <c r="K710" i="8"/>
  <c r="K630" i="8"/>
  <c r="K614" i="8"/>
  <c r="K582" i="8"/>
  <c r="G733" i="8"/>
  <c r="G701" i="8"/>
  <c r="G717" i="8"/>
  <c r="G685" i="8"/>
  <c r="G669" i="8"/>
  <c r="G653" i="8"/>
  <c r="G637" i="8"/>
  <c r="G621" i="8"/>
  <c r="G605" i="8"/>
  <c r="G589" i="8"/>
  <c r="G557" i="8"/>
  <c r="G573" i="8"/>
  <c r="G541" i="8"/>
  <c r="G525" i="8"/>
  <c r="G526" i="8"/>
  <c r="G530" i="8"/>
  <c r="F469" i="8"/>
  <c r="F474" i="8"/>
  <c r="K459" i="8"/>
  <c r="F476" i="8"/>
  <c r="H493" i="8"/>
  <c r="H498" i="8"/>
  <c r="F501" i="8"/>
  <c r="K730" i="8"/>
  <c r="K666" i="8"/>
  <c r="K602" i="8"/>
  <c r="K522" i="8"/>
  <c r="F509" i="8"/>
  <c r="O705" i="8"/>
  <c r="F525" i="8"/>
  <c r="K529" i="8"/>
  <c r="F457" i="8"/>
  <c r="H476" i="8"/>
  <c r="F489" i="8"/>
  <c r="F494" i="8"/>
  <c r="K463" i="8"/>
  <c r="F496" i="8"/>
  <c r="H509" i="8"/>
  <c r="G721" i="8"/>
  <c r="G705" i="8"/>
  <c r="G737" i="8"/>
  <c r="G689" i="8"/>
  <c r="G673" i="8"/>
  <c r="G657" i="8"/>
  <c r="G641" i="8"/>
  <c r="G625" i="8"/>
  <c r="G593" i="8"/>
  <c r="G609" i="8"/>
  <c r="G577" i="8"/>
  <c r="G561" i="8"/>
  <c r="G529" i="8"/>
  <c r="G545" i="8"/>
  <c r="F514" i="8"/>
  <c r="H525" i="8"/>
  <c r="I550" i="8"/>
  <c r="H469" i="8"/>
  <c r="H501" i="8"/>
  <c r="G726" i="8"/>
  <c r="G710" i="8"/>
  <c r="G678" i="8"/>
  <c r="G662" i="8"/>
  <c r="G646" i="8"/>
  <c r="G630" i="8"/>
  <c r="G614" i="8"/>
  <c r="G598" i="8"/>
  <c r="G582" i="8"/>
  <c r="G694" i="8"/>
  <c r="G566" i="8"/>
  <c r="G550" i="8"/>
  <c r="G728" i="8"/>
  <c r="G712" i="8"/>
  <c r="G696" i="8"/>
  <c r="G664" i="8"/>
  <c r="G632" i="8"/>
  <c r="G616" i="8"/>
  <c r="G600" i="8"/>
  <c r="G680" i="8"/>
  <c r="G648" i="8"/>
  <c r="G568" i="8"/>
  <c r="G552" i="8"/>
  <c r="G536" i="8"/>
  <c r="G584" i="8"/>
  <c r="G520" i="8"/>
  <c r="K667" i="8"/>
  <c r="K635" i="8"/>
  <c r="K619" i="8"/>
  <c r="K523" i="8"/>
  <c r="K734" i="8"/>
  <c r="K622" i="8"/>
  <c r="K590" i="8"/>
  <c r="K670" i="8"/>
  <c r="F513" i="8"/>
  <c r="G514" i="8"/>
  <c r="F502" i="8"/>
  <c r="F504" i="8"/>
  <c r="H513" i="8"/>
  <c r="I529" i="8" s="1"/>
  <c r="H537" i="8"/>
  <c r="F537" i="8"/>
  <c r="F565" i="8"/>
  <c r="G567" i="8"/>
  <c r="F570" i="8"/>
  <c r="F572" i="8"/>
  <c r="H572" i="8"/>
  <c r="I572" i="8" s="1"/>
  <c r="I582" i="8"/>
  <c r="G555" i="8"/>
  <c r="G575" i="8"/>
  <c r="F541" i="8"/>
  <c r="F546" i="8"/>
  <c r="F548" i="8"/>
  <c r="H565" i="8"/>
  <c r="F574" i="8"/>
  <c r="G732" i="8"/>
  <c r="G716" i="8"/>
  <c r="G700" i="8"/>
  <c r="G684" i="8"/>
  <c r="G652" i="8"/>
  <c r="G620" i="8"/>
  <c r="G604" i="8"/>
  <c r="G668" i="8"/>
  <c r="G636" i="8"/>
  <c r="G588" i="8"/>
  <c r="G572" i="8"/>
  <c r="G556" i="8"/>
  <c r="G540" i="8"/>
  <c r="G736" i="8"/>
  <c r="G720" i="8"/>
  <c r="G704" i="8"/>
  <c r="G688" i="8"/>
  <c r="G656" i="8"/>
  <c r="G672" i="8"/>
  <c r="G640" i="8"/>
  <c r="G624" i="8"/>
  <c r="G592" i="8"/>
  <c r="G608" i="8"/>
  <c r="G560" i="8"/>
  <c r="G544" i="8"/>
  <c r="H548" i="8"/>
  <c r="H558" i="8"/>
  <c r="I558" i="8" s="1"/>
  <c r="H573" i="8"/>
  <c r="H576" i="8"/>
  <c r="G723" i="8"/>
  <c r="G707" i="8"/>
  <c r="G691" i="8"/>
  <c r="G675" i="8"/>
  <c r="G659" i="8"/>
  <c r="G643" i="8"/>
  <c r="G627" i="8"/>
  <c r="G611" i="8"/>
  <c r="G595" i="8"/>
  <c r="G579" i="8"/>
  <c r="G711" i="8"/>
  <c r="G727" i="8"/>
  <c r="G679" i="8"/>
  <c r="G663" i="8"/>
  <c r="G647" i="8"/>
  <c r="G631" i="8"/>
  <c r="G615" i="8"/>
  <c r="G599" i="8"/>
  <c r="G583" i="8"/>
  <c r="G695" i="8"/>
  <c r="G731" i="8"/>
  <c r="G715" i="8"/>
  <c r="G683" i="8"/>
  <c r="G667" i="8"/>
  <c r="G651" i="8"/>
  <c r="G635" i="8"/>
  <c r="G619" i="8"/>
  <c r="G603" i="8"/>
  <c r="G587" i="8"/>
  <c r="G699" i="8"/>
  <c r="G735" i="8"/>
  <c r="G703" i="8"/>
  <c r="G719" i="8"/>
  <c r="G687" i="8"/>
  <c r="G671" i="8"/>
  <c r="G655" i="8"/>
  <c r="G639" i="8"/>
  <c r="G623" i="8"/>
  <c r="G607" i="8"/>
  <c r="G591" i="8"/>
  <c r="G524" i="8"/>
  <c r="G528" i="8"/>
  <c r="G539" i="8"/>
  <c r="F542" i="8"/>
  <c r="F544" i="8"/>
  <c r="F569" i="8"/>
  <c r="G576" i="8"/>
  <c r="H549" i="8"/>
  <c r="G559" i="8"/>
  <c r="G547" i="8"/>
  <c r="H592" i="8"/>
  <c r="K698" i="8"/>
  <c r="H600" i="8"/>
  <c r="F584" i="8"/>
  <c r="H599" i="8"/>
  <c r="F599" i="8"/>
  <c r="H612" i="8"/>
  <c r="F587" i="8"/>
  <c r="H611" i="8"/>
  <c r="F628" i="8"/>
  <c r="F651" i="8"/>
  <c r="F683" i="8"/>
  <c r="F627" i="8"/>
  <c r="F647" i="8"/>
  <c r="H651" i="8"/>
  <c r="I662" i="8"/>
  <c r="F679" i="8"/>
  <c r="H683" i="8"/>
  <c r="F616" i="8"/>
  <c r="H627" i="8"/>
  <c r="H628" i="8"/>
  <c r="F632" i="8"/>
  <c r="F643" i="8"/>
  <c r="H647" i="8"/>
  <c r="F675" i="8"/>
  <c r="H679" i="8"/>
  <c r="F615" i="8"/>
  <c r="F631" i="8"/>
  <c r="F639" i="8"/>
  <c r="H643" i="8"/>
  <c r="F671" i="8"/>
  <c r="H675" i="8"/>
  <c r="H615" i="8"/>
  <c r="H616" i="8"/>
  <c r="H631" i="8"/>
  <c r="H632" i="8"/>
  <c r="H639" i="8"/>
  <c r="H671" i="8"/>
  <c r="I646" i="8"/>
  <c r="I678" i="8"/>
  <c r="F695" i="8"/>
  <c r="I710" i="8"/>
  <c r="H692" i="8"/>
  <c r="I726" i="8"/>
  <c r="H698" i="8"/>
  <c r="F698" i="8"/>
  <c r="H701" i="8"/>
  <c r="F701" i="8"/>
  <c r="F700" i="8"/>
  <c r="K518" i="8"/>
  <c r="F694" i="8"/>
  <c r="O673" i="8"/>
  <c r="H709" i="8"/>
  <c r="H714" i="8"/>
  <c r="F717" i="8"/>
  <c r="F722" i="8"/>
  <c r="F724" i="8"/>
  <c r="K889" i="8"/>
  <c r="K857" i="8"/>
  <c r="K809" i="8"/>
  <c r="K777" i="8"/>
  <c r="K761" i="8"/>
  <c r="G764" i="8"/>
  <c r="G755" i="8"/>
  <c r="G739" i="8"/>
  <c r="F771" i="8"/>
  <c r="K738" i="8"/>
  <c r="I774" i="8"/>
  <c r="F736" i="8"/>
  <c r="G885" i="8"/>
  <c r="G869" i="8"/>
  <c r="G837" i="8"/>
  <c r="G853" i="8"/>
  <c r="G805" i="8"/>
  <c r="G821" i="8"/>
  <c r="G789" i="8"/>
  <c r="H771" i="8"/>
  <c r="H717" i="8"/>
  <c r="H722" i="8"/>
  <c r="F725" i="8"/>
  <c r="F730" i="8"/>
  <c r="H736" i="8"/>
  <c r="G884" i="8"/>
  <c r="G868" i="8"/>
  <c r="G836" i="8"/>
  <c r="G852" i="8"/>
  <c r="G820" i="8"/>
  <c r="G788" i="8"/>
  <c r="G804" i="8"/>
  <c r="G772" i="8"/>
  <c r="G756" i="8"/>
  <c r="F741" i="8"/>
  <c r="K810" i="8"/>
  <c r="G896" i="8"/>
  <c r="G864" i="8"/>
  <c r="G880" i="8"/>
  <c r="G848" i="8"/>
  <c r="G800" i="8"/>
  <c r="G832" i="8"/>
  <c r="G816" i="8"/>
  <c r="G784" i="8"/>
  <c r="G881" i="8"/>
  <c r="G897" i="8"/>
  <c r="G849" i="8"/>
  <c r="G865" i="8"/>
  <c r="G833" i="8"/>
  <c r="G817" i="8"/>
  <c r="G801" i="8"/>
  <c r="O833" i="8"/>
  <c r="F760" i="8"/>
  <c r="H772" i="8"/>
  <c r="F772" i="8"/>
  <c r="F776" i="8"/>
  <c r="G785" i="8"/>
  <c r="K891" i="8"/>
  <c r="K843" i="8"/>
  <c r="K811" i="8"/>
  <c r="K779" i="8"/>
  <c r="H760" i="8"/>
  <c r="H761" i="8"/>
  <c r="G768" i="8"/>
  <c r="H769" i="8"/>
  <c r="I769" i="8" s="1"/>
  <c r="F769" i="8"/>
  <c r="K770" i="8"/>
  <c r="H776" i="8"/>
  <c r="I786" i="8"/>
  <c r="F706" i="8"/>
  <c r="H730" i="8"/>
  <c r="F733" i="8"/>
  <c r="H741" i="8"/>
  <c r="G889" i="8"/>
  <c r="G841" i="8"/>
  <c r="G873" i="8"/>
  <c r="G857" i="8"/>
  <c r="G825" i="8"/>
  <c r="G793" i="8"/>
  <c r="G809" i="8"/>
  <c r="G777" i="8"/>
  <c r="G769" i="8"/>
  <c r="H777" i="8"/>
  <c r="F777" i="8"/>
  <c r="K850" i="8"/>
  <c r="K866" i="8"/>
  <c r="K818" i="8"/>
  <c r="I854" i="8"/>
  <c r="I822" i="8"/>
  <c r="I806" i="8"/>
  <c r="I790" i="8"/>
  <c r="G888" i="8"/>
  <c r="G856" i="8"/>
  <c r="G840" i="8"/>
  <c r="G872" i="8"/>
  <c r="G824" i="8"/>
  <c r="G808" i="8"/>
  <c r="G760" i="8"/>
  <c r="G792" i="8"/>
  <c r="G776" i="8"/>
  <c r="F745" i="8"/>
  <c r="G773" i="8"/>
  <c r="K731" i="8"/>
  <c r="H733" i="8"/>
  <c r="I742" i="8"/>
  <c r="F744" i="8"/>
  <c r="G893" i="8"/>
  <c r="G877" i="8"/>
  <c r="G861" i="8"/>
  <c r="G845" i="8"/>
  <c r="G813" i="8"/>
  <c r="G829" i="8"/>
  <c r="G797" i="8"/>
  <c r="G765" i="8"/>
  <c r="G781" i="8"/>
  <c r="K897" i="8"/>
  <c r="K865" i="8"/>
  <c r="K849" i="8"/>
  <c r="K833" i="8"/>
  <c r="K817" i="8"/>
  <c r="K801" i="8"/>
  <c r="K785" i="8"/>
  <c r="K769" i="8"/>
  <c r="K881" i="8"/>
  <c r="H764" i="8"/>
  <c r="G748" i="8"/>
  <c r="H744" i="8"/>
  <c r="H745" i="8"/>
  <c r="G892" i="8"/>
  <c r="G876" i="8"/>
  <c r="G844" i="8"/>
  <c r="G860" i="8"/>
  <c r="G812" i="8"/>
  <c r="G828" i="8"/>
  <c r="G796" i="8"/>
  <c r="G757" i="8"/>
  <c r="G802" i="8"/>
  <c r="G790" i="8"/>
  <c r="H800" i="8"/>
  <c r="I802" i="8"/>
  <c r="H783" i="8"/>
  <c r="F791" i="8"/>
  <c r="F793" i="8"/>
  <c r="H791" i="8"/>
  <c r="H793" i="8"/>
  <c r="G806" i="8"/>
  <c r="K873" i="8"/>
  <c r="F809" i="8"/>
  <c r="G867" i="8"/>
  <c r="G851" i="8"/>
  <c r="G835" i="8"/>
  <c r="G819" i="8"/>
  <c r="G803" i="8"/>
  <c r="G787" i="8"/>
  <c r="G771" i="8"/>
  <c r="G883" i="8"/>
  <c r="G871" i="8"/>
  <c r="G855" i="8"/>
  <c r="G839" i="8"/>
  <c r="G823" i="8"/>
  <c r="G807" i="8"/>
  <c r="G791" i="8"/>
  <c r="G775" i="8"/>
  <c r="G887" i="8"/>
  <c r="G891" i="8"/>
  <c r="G875" i="8"/>
  <c r="G859" i="8"/>
  <c r="G843" i="8"/>
  <c r="G827" i="8"/>
  <c r="G811" i="8"/>
  <c r="G795" i="8"/>
  <c r="G779" i="8"/>
  <c r="G895" i="8"/>
  <c r="G879" i="8"/>
  <c r="G863" i="8"/>
  <c r="G847" i="8"/>
  <c r="G831" i="8"/>
  <c r="G815" i="8"/>
  <c r="G799" i="8"/>
  <c r="G783" i="8"/>
  <c r="G767" i="8"/>
  <c r="F779" i="8"/>
  <c r="F787" i="8"/>
  <c r="F788" i="8"/>
  <c r="F804" i="8"/>
  <c r="H809" i="8"/>
  <c r="H779" i="8"/>
  <c r="H784" i="8"/>
  <c r="H787" i="8"/>
  <c r="H788" i="8"/>
  <c r="F795" i="8"/>
  <c r="F797" i="8"/>
  <c r="H804" i="8"/>
  <c r="H807" i="8"/>
  <c r="G882" i="8"/>
  <c r="G866" i="8"/>
  <c r="G834" i="8"/>
  <c r="G850" i="8"/>
  <c r="G818" i="8"/>
  <c r="G886" i="8"/>
  <c r="G854" i="8"/>
  <c r="G870" i="8"/>
  <c r="G838" i="8"/>
  <c r="G822" i="8"/>
  <c r="G890" i="8"/>
  <c r="G858" i="8"/>
  <c r="G874" i="8"/>
  <c r="G842" i="8"/>
  <c r="G810" i="8"/>
  <c r="G826" i="8"/>
  <c r="G747" i="8"/>
  <c r="G894" i="8"/>
  <c r="G878" i="8"/>
  <c r="G846" i="8"/>
  <c r="G862" i="8"/>
  <c r="G814" i="8"/>
  <c r="G830" i="8"/>
  <c r="G782" i="8"/>
  <c r="F799" i="8"/>
  <c r="I838" i="8"/>
  <c r="K890" i="8"/>
  <c r="F811" i="8"/>
  <c r="F823" i="8"/>
  <c r="K861" i="8"/>
  <c r="H823" i="8"/>
  <c r="H836" i="8"/>
  <c r="I870" i="8"/>
  <c r="K766" i="8"/>
  <c r="F824" i="8"/>
  <c r="H829" i="8"/>
  <c r="K749" i="8"/>
  <c r="H832" i="8"/>
  <c r="O785" i="8"/>
  <c r="H837" i="8"/>
  <c r="H864" i="8"/>
  <c r="H869" i="8"/>
  <c r="K839" i="8"/>
  <c r="H879" i="8"/>
  <c r="F879" i="8"/>
  <c r="F868" i="8"/>
  <c r="H876" i="8"/>
  <c r="H843" i="8"/>
  <c r="H877" i="8"/>
  <c r="F877" i="8"/>
  <c r="H841" i="8"/>
  <c r="F844" i="8"/>
  <c r="F849" i="8"/>
  <c r="F851" i="8"/>
  <c r="H868" i="8"/>
  <c r="F839" i="8"/>
  <c r="H856" i="8"/>
  <c r="K792" i="8"/>
  <c r="H875" i="8"/>
  <c r="I886" i="8"/>
  <c r="K825" i="8"/>
  <c r="H890" i="8"/>
  <c r="I890" i="8" s="1"/>
  <c r="F890" i="8"/>
  <c r="K917" i="8"/>
  <c r="M917" i="8"/>
  <c r="O917" i="8"/>
  <c r="M801" i="8"/>
  <c r="H887" i="8"/>
  <c r="H894" i="8"/>
  <c r="I830" i="8" s="1"/>
  <c r="F894" i="8"/>
  <c r="G916" i="8"/>
  <c r="F900" i="8"/>
  <c r="K901" i="8"/>
  <c r="K907" i="8"/>
  <c r="K932" i="8"/>
  <c r="I918" i="8"/>
  <c r="I925" i="8"/>
  <c r="M912" i="8"/>
  <c r="K918" i="8"/>
  <c r="H913" i="8"/>
  <c r="G929" i="8"/>
  <c r="G899" i="8"/>
  <c r="K916" i="8"/>
  <c r="F904" i="8"/>
  <c r="G923" i="8"/>
  <c r="F907" i="8"/>
  <c r="K925" i="8"/>
  <c r="K928" i="8"/>
  <c r="I914" i="8"/>
  <c r="F915" i="8"/>
  <c r="H916" i="8"/>
  <c r="I916" i="8" s="1"/>
  <c r="F916" i="8"/>
  <c r="F897" i="8"/>
  <c r="H908" i="8"/>
  <c r="G924" i="8"/>
  <c r="O898" i="8"/>
  <c r="M898" i="8"/>
  <c r="I915" i="8"/>
  <c r="F895" i="8"/>
  <c r="H901" i="8"/>
  <c r="I901" i="8" s="1"/>
  <c r="G917" i="8"/>
  <c r="H904" i="8"/>
  <c r="I904" i="8" s="1"/>
  <c r="G921" i="8"/>
  <c r="F905" i="8"/>
  <c r="F908" i="8"/>
  <c r="K914" i="8"/>
  <c r="M900" i="8"/>
  <c r="I926" i="8"/>
  <c r="K915" i="8"/>
  <c r="F901" i="8"/>
  <c r="F903" i="8"/>
  <c r="G920" i="8"/>
  <c r="H903" i="8"/>
  <c r="I973" i="8"/>
  <c r="I989" i="8"/>
  <c r="I957" i="8"/>
  <c r="I941" i="8"/>
  <c r="G996" i="8"/>
  <c r="G964" i="8"/>
  <c r="G980" i="8"/>
  <c r="K997" i="8"/>
  <c r="I968" i="8"/>
  <c r="I984" i="8"/>
  <c r="I936" i="8"/>
  <c r="G985" i="8"/>
  <c r="G969" i="8"/>
  <c r="G953" i="8"/>
  <c r="G1001" i="8"/>
  <c r="G1003" i="8"/>
  <c r="G987" i="8"/>
  <c r="G971" i="8"/>
  <c r="G955" i="8"/>
  <c r="G912" i="8"/>
  <c r="H924" i="8"/>
  <c r="I924" i="8" s="1"/>
  <c r="H929" i="8"/>
  <c r="F932" i="8"/>
  <c r="F937" i="8"/>
  <c r="F939" i="8"/>
  <c r="G1008" i="8"/>
  <c r="G976" i="8"/>
  <c r="G992" i="8"/>
  <c r="G960" i="8"/>
  <c r="K1009" i="8"/>
  <c r="K993" i="8"/>
  <c r="K961" i="8"/>
  <c r="K977" i="8"/>
  <c r="G948" i="8"/>
  <c r="K995" i="8"/>
  <c r="K979" i="8"/>
  <c r="H932" i="8"/>
  <c r="I996" i="8" s="1"/>
  <c r="G981" i="8"/>
  <c r="G965" i="8"/>
  <c r="G997" i="8"/>
  <c r="G967" i="8"/>
  <c r="G999" i="8"/>
  <c r="G983" i="8"/>
  <c r="G951" i="8"/>
  <c r="H937" i="8"/>
  <c r="H939" i="8"/>
  <c r="I939" i="8" s="1"/>
  <c r="G1004" i="8"/>
  <c r="G972" i="8"/>
  <c r="G988" i="8"/>
  <c r="F949" i="8"/>
  <c r="F928" i="8"/>
  <c r="M913" i="8"/>
  <c r="K998" i="8"/>
  <c r="K982" i="8"/>
  <c r="I992" i="8"/>
  <c r="I1008" i="8"/>
  <c r="I944" i="8"/>
  <c r="G993" i="8"/>
  <c r="G977" i="8"/>
  <c r="G961" i="8"/>
  <c r="G1009" i="8"/>
  <c r="G949" i="8"/>
  <c r="H954" i="8"/>
  <c r="F921" i="8"/>
  <c r="F923" i="8"/>
  <c r="H935" i="8"/>
  <c r="G1000" i="8"/>
  <c r="G984" i="8"/>
  <c r="G968" i="8"/>
  <c r="F945" i="8"/>
  <c r="H949" i="8"/>
  <c r="H951" i="8"/>
  <c r="G935" i="8"/>
  <c r="I952" i="8"/>
  <c r="H923" i="8"/>
  <c r="I923" i="8" s="1"/>
  <c r="H928" i="8"/>
  <c r="I928" i="8" s="1"/>
  <c r="O913" i="8"/>
  <c r="G995" i="8"/>
  <c r="G979" i="8"/>
  <c r="G963" i="8"/>
  <c r="G947" i="8"/>
  <c r="H933" i="8"/>
  <c r="H940" i="8"/>
  <c r="G1005" i="8"/>
  <c r="G989" i="8"/>
  <c r="G973" i="8"/>
  <c r="G957" i="8"/>
  <c r="G1007" i="8"/>
  <c r="G991" i="8"/>
  <c r="G975" i="8"/>
  <c r="G959" i="8"/>
  <c r="K937" i="8"/>
  <c r="H911" i="8"/>
  <c r="I911" i="8" s="1"/>
  <c r="K978" i="8"/>
  <c r="K962" i="8"/>
  <c r="K994" i="8"/>
  <c r="F941" i="8"/>
  <c r="F943" i="8"/>
  <c r="H945" i="8"/>
  <c r="I945" i="8" s="1"/>
  <c r="K946" i="8"/>
  <c r="H959" i="8"/>
  <c r="F961" i="8"/>
  <c r="G962" i="8"/>
  <c r="G994" i="8"/>
  <c r="G978" i="8"/>
  <c r="G982" i="8"/>
  <c r="G998" i="8"/>
  <c r="G966" i="8"/>
  <c r="G1002" i="8"/>
  <c r="G986" i="8"/>
  <c r="G970" i="8"/>
  <c r="G1006" i="8"/>
  <c r="G974" i="8"/>
  <c r="G990" i="8"/>
  <c r="G958" i="8"/>
  <c r="F959" i="8"/>
  <c r="H962" i="8"/>
  <c r="F962" i="8"/>
  <c r="F953" i="8"/>
  <c r="K947" i="8"/>
  <c r="K1062" i="8"/>
  <c r="K1046" i="8"/>
  <c r="K1030" i="8"/>
  <c r="F978" i="8"/>
  <c r="F983" i="8"/>
  <c r="H1001" i="8"/>
  <c r="K1058" i="8"/>
  <c r="K1026" i="8"/>
  <c r="K1042" i="8"/>
  <c r="H983" i="8"/>
  <c r="F986" i="8"/>
  <c r="F991" i="8"/>
  <c r="F993" i="8"/>
  <c r="H1004" i="8"/>
  <c r="I966" i="8"/>
  <c r="M945" i="8"/>
  <c r="I1000" i="8"/>
  <c r="F1006" i="8"/>
  <c r="F967" i="8"/>
  <c r="F969" i="8"/>
  <c r="H981" i="8"/>
  <c r="H986" i="8"/>
  <c r="H991" i="8"/>
  <c r="F997" i="8"/>
  <c r="H1006" i="8"/>
  <c r="H974" i="8"/>
  <c r="H994" i="8"/>
  <c r="H995" i="8"/>
  <c r="I995" i="8" s="1"/>
  <c r="I1005" i="8"/>
  <c r="K1069" i="8"/>
  <c r="K1053" i="8"/>
  <c r="K1037" i="8"/>
  <c r="F1008" i="8"/>
  <c r="H1015" i="8"/>
  <c r="I1063" i="8" s="1"/>
  <c r="K1032" i="8"/>
  <c r="G1065" i="8"/>
  <c r="G1049" i="8"/>
  <c r="G1033" i="8"/>
  <c r="G1061" i="8"/>
  <c r="G1045" i="8"/>
  <c r="G1029" i="8"/>
  <c r="G1060" i="8"/>
  <c r="G1044" i="8"/>
  <c r="G1028" i="8"/>
  <c r="F1013" i="8"/>
  <c r="G1058" i="8"/>
  <c r="G1042" i="8"/>
  <c r="G1026" i="8"/>
  <c r="F1012" i="8"/>
  <c r="I1046" i="8"/>
  <c r="I1014" i="8"/>
  <c r="I1030" i="8"/>
  <c r="G1070" i="8"/>
  <c r="G1054" i="8"/>
  <c r="G1038" i="8"/>
  <c r="H1022" i="8"/>
  <c r="I1022" i="8" s="1"/>
  <c r="F1022" i="8"/>
  <c r="F1010" i="8"/>
  <c r="H1013" i="8"/>
  <c r="I1013" i="8" s="1"/>
  <c r="K1067" i="8"/>
  <c r="K1051" i="8"/>
  <c r="K1035" i="8"/>
  <c r="K1071" i="8"/>
  <c r="K1055" i="8"/>
  <c r="K1039" i="8"/>
  <c r="H1012" i="8"/>
  <c r="I1012" i="8" s="1"/>
  <c r="G1063" i="8"/>
  <c r="G1047" i="8"/>
  <c r="G1031" i="8"/>
  <c r="G1066" i="8"/>
  <c r="G1034" i="8"/>
  <c r="G1050" i="8"/>
  <c r="F1018" i="8"/>
  <c r="F1019" i="8"/>
  <c r="G1073" i="8"/>
  <c r="G1057" i="8"/>
  <c r="H1025" i="8"/>
  <c r="I1025" i="8" s="1"/>
  <c r="F1025" i="8"/>
  <c r="G1041" i="8"/>
  <c r="H1039" i="8"/>
  <c r="I1071" i="8" s="1"/>
  <c r="F1039" i="8"/>
  <c r="H1034" i="8"/>
  <c r="I1034" i="8" s="1"/>
  <c r="F1034" i="8"/>
  <c r="I1035" i="8"/>
  <c r="K1073" i="8"/>
  <c r="K1057" i="8"/>
  <c r="K1041" i="8"/>
  <c r="H1027" i="8"/>
  <c r="I1027" i="8" s="1"/>
  <c r="F1027" i="8"/>
  <c r="I1036" i="8"/>
  <c r="G1059" i="8"/>
  <c r="G1027" i="8"/>
  <c r="G1043" i="8"/>
  <c r="G1071" i="8"/>
  <c r="G1055" i="8"/>
  <c r="G1039" i="8"/>
  <c r="H1026" i="8"/>
  <c r="I1026" i="8" s="1"/>
  <c r="K1019" i="8"/>
  <c r="G1062" i="8"/>
  <c r="G1046" i="8"/>
  <c r="G1030" i="8"/>
  <c r="F1023" i="8"/>
  <c r="H1032" i="8"/>
  <c r="I1048" i="8" s="1"/>
  <c r="F1032" i="8"/>
  <c r="K1064" i="8"/>
  <c r="G1067" i="8"/>
  <c r="G1051" i="8"/>
  <c r="G1069" i="8"/>
  <c r="G1053" i="8"/>
  <c r="G1037" i="8"/>
  <c r="I1037" i="8"/>
  <c r="F1044" i="8"/>
  <c r="H1049" i="8"/>
  <c r="I1049" i="8" s="1"/>
  <c r="G1064" i="8"/>
  <c r="G1048" i="8"/>
  <c r="G1068" i="8"/>
  <c r="G1052" i="8"/>
  <c r="G1072" i="8"/>
  <c r="G1056" i="8"/>
  <c r="G1032" i="8"/>
  <c r="I1051" i="8"/>
  <c r="I1053" i="8"/>
  <c r="I1052" i="8"/>
  <c r="I1067" i="8"/>
  <c r="I1062" i="8"/>
  <c r="I1068" i="8"/>
  <c r="F1057" i="8"/>
  <c r="I1069" i="8"/>
  <c r="H1072" i="8"/>
  <c r="F1073" i="8"/>
  <c r="O929" i="5"/>
  <c r="K929" i="5"/>
  <c r="K913" i="5"/>
  <c r="K1025" i="5"/>
  <c r="K1041" i="5"/>
  <c r="K1057" i="5"/>
  <c r="K1073" i="5"/>
  <c r="K945" i="5"/>
  <c r="K961" i="5"/>
  <c r="K977" i="5"/>
  <c r="K993" i="5"/>
  <c r="K1009" i="5"/>
  <c r="K769" i="5"/>
  <c r="K785" i="5"/>
  <c r="K801" i="5"/>
  <c r="K817" i="5"/>
  <c r="K833" i="5"/>
  <c r="K849" i="5"/>
  <c r="K865" i="5"/>
  <c r="K881" i="5"/>
  <c r="K897" i="5"/>
  <c r="K17" i="5"/>
  <c r="K753" i="5"/>
  <c r="K529" i="5"/>
  <c r="K545" i="5"/>
  <c r="K561" i="5"/>
  <c r="K577" i="5"/>
  <c r="K593" i="5"/>
  <c r="K609" i="5"/>
  <c r="K625" i="5"/>
  <c r="K641" i="5"/>
  <c r="K657" i="5"/>
  <c r="K673" i="5"/>
  <c r="K689" i="5"/>
  <c r="K705" i="5"/>
  <c r="K721" i="5"/>
  <c r="K737" i="5"/>
  <c r="K129" i="5"/>
  <c r="K33" i="5"/>
  <c r="K49" i="5"/>
  <c r="K65" i="5"/>
  <c r="K81" i="5"/>
  <c r="K97" i="5"/>
  <c r="K113" i="5"/>
  <c r="K513" i="5"/>
  <c r="K353" i="5"/>
  <c r="K369" i="5"/>
  <c r="K385" i="5"/>
  <c r="K401" i="5"/>
  <c r="K417" i="5"/>
  <c r="K433" i="5"/>
  <c r="K449" i="5"/>
  <c r="K465" i="5"/>
  <c r="K481" i="5"/>
  <c r="K497" i="5"/>
  <c r="K145" i="5"/>
  <c r="K161" i="5"/>
  <c r="K177" i="5"/>
  <c r="K193" i="5"/>
  <c r="K209" i="5"/>
  <c r="K225" i="5"/>
  <c r="K241" i="5"/>
  <c r="K257" i="5"/>
  <c r="K273" i="5"/>
  <c r="K289" i="5"/>
  <c r="K305" i="5"/>
  <c r="K321" i="5"/>
  <c r="K337" i="5"/>
  <c r="M929" i="5" l="1"/>
  <c r="O913" i="5"/>
  <c r="M913" i="5"/>
  <c r="N572" i="8"/>
  <c r="L424" i="8"/>
  <c r="N915" i="8"/>
  <c r="I7" i="8"/>
  <c r="I218" i="8"/>
  <c r="N1016" i="8"/>
  <c r="K84" i="8"/>
  <c r="L277" i="8"/>
  <c r="I96" i="8"/>
  <c r="K99" i="8"/>
  <c r="I30" i="8"/>
  <c r="K82" i="8"/>
  <c r="I90" i="8"/>
  <c r="K28" i="8"/>
  <c r="K8" i="8"/>
  <c r="K63" i="8"/>
  <c r="I250" i="8"/>
  <c r="K44" i="8"/>
  <c r="K35" i="8"/>
  <c r="K797" i="8"/>
  <c r="K973" i="8"/>
  <c r="K854" i="8"/>
  <c r="K430" i="8"/>
  <c r="K448" i="8"/>
  <c r="L904" i="8"/>
  <c r="K147" i="8"/>
  <c r="K54" i="8"/>
  <c r="I395" i="8"/>
  <c r="K288" i="8"/>
  <c r="K381" i="8"/>
  <c r="K36" i="8"/>
  <c r="K62" i="8"/>
  <c r="K93" i="8"/>
  <c r="I266" i="8"/>
  <c r="K92" i="8"/>
  <c r="I11" i="8"/>
  <c r="K76" i="8"/>
  <c r="I68" i="8"/>
  <c r="I234" i="8"/>
  <c r="I42" i="8"/>
  <c r="K60" i="8"/>
  <c r="N610" i="8"/>
  <c r="L729" i="8"/>
  <c r="L1011" i="8"/>
  <c r="I298" i="8"/>
  <c r="I186" i="8"/>
  <c r="K98" i="8"/>
  <c r="L867" i="8"/>
  <c r="K68" i="8"/>
  <c r="K19" i="8"/>
  <c r="K106" i="8"/>
  <c r="I99" i="8"/>
  <c r="K680" i="8"/>
  <c r="I174" i="8"/>
  <c r="K79" i="8"/>
  <c r="I336" i="8"/>
  <c r="K367" i="8"/>
  <c r="K77" i="8"/>
  <c r="K143" i="8"/>
  <c r="K366" i="8"/>
  <c r="K155" i="8"/>
  <c r="I305" i="8"/>
  <c r="I982" i="8"/>
  <c r="K754" i="8"/>
  <c r="K363" i="8"/>
  <c r="K855" i="8"/>
  <c r="K87" i="8"/>
  <c r="K240" i="8"/>
  <c r="K232" i="8"/>
  <c r="K32" i="8"/>
  <c r="K23" i="8"/>
  <c r="K242" i="8"/>
  <c r="K133" i="8"/>
  <c r="K338" i="8"/>
  <c r="K414" i="8"/>
  <c r="K688" i="8"/>
  <c r="K368" i="8"/>
  <c r="K220" i="8"/>
  <c r="K223" i="8"/>
  <c r="K102" i="8"/>
  <c r="I91" i="8"/>
  <c r="I960" i="8"/>
  <c r="M385" i="8"/>
  <c r="K574" i="8"/>
  <c r="K719" i="8"/>
  <c r="K485" i="8"/>
  <c r="K872" i="8"/>
  <c r="I80" i="8"/>
  <c r="K46" i="8"/>
  <c r="K479" i="8"/>
  <c r="K458" i="8"/>
  <c r="K135" i="8"/>
  <c r="K125" i="8"/>
  <c r="K66" i="8"/>
  <c r="I94" i="8"/>
  <c r="K75" i="8"/>
  <c r="K875" i="8"/>
  <c r="K314" i="8"/>
  <c r="I55" i="8"/>
  <c r="K475" i="8"/>
  <c r="K490" i="8"/>
  <c r="I331" i="8"/>
  <c r="M465" i="8"/>
  <c r="K453" i="8"/>
  <c r="M449" i="8"/>
  <c r="K432" i="8"/>
  <c r="K357" i="8"/>
  <c r="K415" i="8"/>
  <c r="K462" i="8"/>
  <c r="K347" i="8"/>
  <c r="I286" i="8"/>
  <c r="K290" i="8"/>
  <c r="I193" i="8"/>
  <c r="K247" i="8"/>
  <c r="I109" i="8"/>
  <c r="I273" i="8"/>
  <c r="K24" i="8"/>
  <c r="K42" i="8"/>
  <c r="K112" i="8"/>
  <c r="K40" i="8"/>
  <c r="K86" i="8"/>
  <c r="L950" i="8"/>
  <c r="L932" i="8"/>
  <c r="L807" i="8"/>
  <c r="L1017" i="8"/>
  <c r="L360" i="8"/>
  <c r="N63" i="8"/>
  <c r="L127" i="8"/>
  <c r="N123" i="8"/>
  <c r="K607" i="8"/>
  <c r="I491" i="8"/>
  <c r="K346" i="8"/>
  <c r="I443" i="8"/>
  <c r="K446" i="8"/>
  <c r="M497" i="8"/>
  <c r="K464" i="8"/>
  <c r="K478" i="8"/>
  <c r="I416" i="8"/>
  <c r="I161" i="8"/>
  <c r="K153" i="8"/>
  <c r="I190" i="8"/>
  <c r="I142" i="8"/>
  <c r="K103" i="8"/>
  <c r="I52" i="8"/>
  <c r="L853" i="8"/>
  <c r="L842" i="8"/>
  <c r="L1050" i="8"/>
  <c r="L61" i="8"/>
  <c r="N127" i="8"/>
  <c r="L121" i="8"/>
  <c r="I998" i="8"/>
  <c r="I834" i="8"/>
  <c r="I818" i="8"/>
  <c r="K795" i="8"/>
  <c r="K575" i="8"/>
  <c r="K702" i="8"/>
  <c r="K618" i="8"/>
  <c r="I480" i="8"/>
  <c r="I427" i="8"/>
  <c r="K389" i="8"/>
  <c r="K362" i="8"/>
  <c r="I475" i="8"/>
  <c r="I448" i="8"/>
  <c r="I246" i="8"/>
  <c r="K496" i="8"/>
  <c r="K349" i="8"/>
  <c r="K431" i="8"/>
  <c r="I400" i="8"/>
  <c r="K373" i="8"/>
  <c r="K265" i="8"/>
  <c r="I102" i="8"/>
  <c r="I289" i="8"/>
  <c r="I89" i="8"/>
  <c r="K107" i="8"/>
  <c r="K74" i="8"/>
  <c r="L521" i="8"/>
  <c r="K22" i="8"/>
  <c r="L1063" i="8"/>
  <c r="L142" i="8"/>
  <c r="N61" i="8"/>
  <c r="I98" i="8"/>
  <c r="I209" i="8"/>
  <c r="K27" i="8"/>
  <c r="K90" i="8"/>
  <c r="K39" i="8"/>
  <c r="I100" i="8"/>
  <c r="K56" i="8"/>
  <c r="K18" i="8"/>
  <c r="K31" i="8"/>
  <c r="L414" i="8"/>
  <c r="K91" i="8"/>
  <c r="L376" i="8"/>
  <c r="L1027" i="8"/>
  <c r="K763" i="8"/>
  <c r="K827" i="8"/>
  <c r="K526" i="8"/>
  <c r="K640" i="8"/>
  <c r="I434" i="8"/>
  <c r="K477" i="8"/>
  <c r="K410" i="8"/>
  <c r="I347" i="8"/>
  <c r="M417" i="8"/>
  <c r="K405" i="8"/>
  <c r="K482" i="8"/>
  <c r="I379" i="8"/>
  <c r="K416" i="8"/>
  <c r="K480" i="8"/>
  <c r="K398" i="8"/>
  <c r="K418" i="8"/>
  <c r="K203" i="8"/>
  <c r="I133" i="8"/>
  <c r="I238" i="8"/>
  <c r="I158" i="8"/>
  <c r="K43" i="8"/>
  <c r="K55" i="8"/>
  <c r="I36" i="8"/>
  <c r="K88" i="8"/>
  <c r="K34" i="8"/>
  <c r="K47" i="8"/>
  <c r="I138" i="8"/>
  <c r="L632" i="8"/>
  <c r="N414" i="8"/>
  <c r="L1006" i="8"/>
  <c r="L351" i="8"/>
  <c r="L1031" i="8"/>
  <c r="M1015" i="8" s="1"/>
  <c r="I866" i="8"/>
  <c r="K859" i="8"/>
  <c r="K654" i="8"/>
  <c r="K712" i="8"/>
  <c r="K542" i="8"/>
  <c r="K672" i="8"/>
  <c r="I432" i="8"/>
  <c r="K426" i="8"/>
  <c r="K341" i="8"/>
  <c r="M353" i="8"/>
  <c r="K437" i="8"/>
  <c r="K352" i="8"/>
  <c r="I321" i="8"/>
  <c r="K136" i="8"/>
  <c r="K59" i="8"/>
  <c r="I62" i="8"/>
  <c r="K71" i="8"/>
  <c r="I20" i="8"/>
  <c r="K45" i="8"/>
  <c r="I84" i="8"/>
  <c r="K50" i="8"/>
  <c r="L887" i="8"/>
  <c r="L682" i="8"/>
  <c r="N632" i="8"/>
  <c r="L357" i="8"/>
  <c r="N351" i="8"/>
  <c r="L471" i="8"/>
  <c r="L354" i="8"/>
  <c r="L160" i="8"/>
  <c r="I976" i="8"/>
  <c r="I882" i="8"/>
  <c r="I850" i="8"/>
  <c r="I754" i="8"/>
  <c r="I537" i="8"/>
  <c r="K394" i="8"/>
  <c r="I459" i="8"/>
  <c r="K330" i="8"/>
  <c r="K421" i="8"/>
  <c r="I363" i="8"/>
  <c r="I129" i="8"/>
  <c r="K111" i="8"/>
  <c r="K138" i="8"/>
  <c r="I16" i="8"/>
  <c r="I881" i="8"/>
  <c r="K245" i="8"/>
  <c r="I206" i="8"/>
  <c r="I314" i="8"/>
  <c r="K110" i="8"/>
  <c r="I170" i="8"/>
  <c r="K38" i="8"/>
  <c r="M81" i="8"/>
  <c r="K70" i="8"/>
  <c r="I270" i="8"/>
  <c r="I241" i="8"/>
  <c r="L109" i="8"/>
  <c r="I254" i="8"/>
  <c r="L91" i="8"/>
  <c r="I721" i="8"/>
  <c r="I282" i="8"/>
  <c r="I202" i="8"/>
  <c r="K52" i="8"/>
  <c r="K30" i="8"/>
  <c r="I222" i="8"/>
  <c r="I317" i="8"/>
  <c r="I4" i="8"/>
  <c r="I407" i="8"/>
  <c r="I154" i="8"/>
  <c r="K95" i="8"/>
  <c r="I63" i="8"/>
  <c r="I620" i="8"/>
  <c r="I673" i="8"/>
  <c r="I841" i="8"/>
  <c r="I831" i="8"/>
  <c r="I449" i="8"/>
  <c r="I71" i="8"/>
  <c r="I481" i="8"/>
  <c r="I438" i="8"/>
  <c r="I880" i="8"/>
  <c r="I67" i="8"/>
  <c r="I860" i="8"/>
  <c r="I709" i="8"/>
  <c r="I145" i="8"/>
  <c r="O17" i="8"/>
  <c r="I257" i="8"/>
  <c r="I1066" i="8"/>
  <c r="I624" i="8"/>
  <c r="I577" i="8"/>
  <c r="I452" i="8"/>
  <c r="I1050" i="8"/>
  <c r="I164" i="8"/>
  <c r="I1061" i="8"/>
  <c r="I1031" i="8"/>
  <c r="I1029" i="8"/>
  <c r="I665" i="8"/>
  <c r="I561" i="8"/>
  <c r="I315" i="8"/>
  <c r="I5" i="8"/>
  <c r="I716" i="8"/>
  <c r="I493" i="8"/>
  <c r="I484" i="8"/>
  <c r="I17" i="8"/>
  <c r="M1025" i="8"/>
  <c r="I1057" i="8"/>
  <c r="I636" i="8"/>
  <c r="I609" i="8"/>
  <c r="I588" i="8"/>
  <c r="I319" i="8"/>
  <c r="M113" i="8"/>
  <c r="I980" i="8"/>
  <c r="I929" i="8"/>
  <c r="I1003" i="8"/>
  <c r="I940" i="8"/>
  <c r="I604" i="8"/>
  <c r="I580" i="8"/>
  <c r="I720" i="8"/>
  <c r="K14" i="8"/>
  <c r="I1058" i="8"/>
  <c r="I700" i="8"/>
  <c r="I684" i="8"/>
  <c r="I468" i="8"/>
  <c r="I228" i="8"/>
  <c r="I906" i="8"/>
  <c r="I876" i="8"/>
  <c r="I787" i="8"/>
  <c r="I884" i="8"/>
  <c r="I722" i="8"/>
  <c r="I697" i="8"/>
  <c r="I652" i="8"/>
  <c r="I487" i="8"/>
  <c r="I410" i="8"/>
  <c r="I224" i="8"/>
  <c r="I196" i="8"/>
  <c r="I308" i="8"/>
  <c r="I975" i="8"/>
  <c r="I757" i="8"/>
  <c r="I639" i="8"/>
  <c r="I640" i="8"/>
  <c r="I667" i="8"/>
  <c r="I638" i="8"/>
  <c r="I65" i="8"/>
  <c r="I981" i="8"/>
  <c r="I837" i="8"/>
  <c r="I740" i="8"/>
  <c r="I713" i="8"/>
  <c r="I736" i="8"/>
  <c r="I732" i="8"/>
  <c r="I668" i="8"/>
  <c r="I625" i="8"/>
  <c r="I585" i="8"/>
  <c r="I553" i="8"/>
  <c r="I495" i="8"/>
  <c r="I340" i="8"/>
  <c r="O129" i="8"/>
  <c r="O337" i="8"/>
  <c r="I318" i="8"/>
  <c r="I907" i="8"/>
  <c r="I560" i="8"/>
  <c r="I276" i="8"/>
  <c r="I165" i="8"/>
  <c r="I767" i="8"/>
  <c r="O1025" i="8"/>
  <c r="I47" i="8"/>
  <c r="I12" i="8"/>
  <c r="I827" i="8"/>
  <c r="I824" i="8"/>
  <c r="I263" i="8"/>
  <c r="I368" i="8"/>
  <c r="I979" i="8"/>
  <c r="I917" i="8"/>
  <c r="I895" i="8"/>
  <c r="I861" i="8"/>
  <c r="I648" i="8"/>
  <c r="I264" i="8"/>
  <c r="I1064" i="8"/>
  <c r="I515" i="8"/>
  <c r="I593" i="8"/>
  <c r="I293" i="8"/>
  <c r="I83" i="8"/>
  <c r="I59" i="8"/>
  <c r="I983" i="8"/>
  <c r="I1073" i="8"/>
  <c r="I1070" i="8"/>
  <c r="I1041" i="8"/>
  <c r="I1017" i="8"/>
  <c r="I1009" i="8"/>
  <c r="I991" i="8"/>
  <c r="I780" i="8"/>
  <c r="I892" i="8"/>
  <c r="I675" i="8"/>
  <c r="I641" i="8"/>
  <c r="I333" i="8"/>
  <c r="I220" i="8"/>
  <c r="O945" i="8"/>
  <c r="I39" i="8"/>
  <c r="I79" i="8"/>
  <c r="I1055" i="8"/>
  <c r="I1028" i="8"/>
  <c r="I849" i="8"/>
  <c r="I729" i="8"/>
  <c r="I734" i="8"/>
  <c r="I691" i="8"/>
  <c r="I633" i="8"/>
  <c r="I696" i="8"/>
  <c r="I540" i="8"/>
  <c r="I171" i="8"/>
  <c r="I33" i="8"/>
  <c r="I352" i="8"/>
  <c r="I1006" i="8"/>
  <c r="I948" i="8"/>
  <c r="I896" i="8"/>
  <c r="I864" i="8"/>
  <c r="I889" i="8"/>
  <c r="I766" i="8"/>
  <c r="I548" i="8"/>
  <c r="I543" i="8"/>
  <c r="I601" i="8"/>
  <c r="I520" i="8"/>
  <c r="I437" i="8"/>
  <c r="I463" i="8"/>
  <c r="I332" i="8"/>
  <c r="I436" i="8"/>
  <c r="I366" i="8"/>
  <c r="I367" i="8"/>
  <c r="I181" i="8"/>
  <c r="I151" i="8"/>
  <c r="I240" i="8"/>
  <c r="N921" i="8"/>
  <c r="L921" i="8"/>
  <c r="M905" i="8" s="1"/>
  <c r="N886" i="8"/>
  <c r="L886" i="8"/>
  <c r="N938" i="8"/>
  <c r="L938" i="8"/>
  <c r="N964" i="8"/>
  <c r="L964" i="8"/>
  <c r="N775" i="8"/>
  <c r="L775" i="8"/>
  <c r="N735" i="8"/>
  <c r="L735" i="8"/>
  <c r="N715" i="8"/>
  <c r="L715" i="8"/>
  <c r="N985" i="8"/>
  <c r="L985" i="8"/>
  <c r="N592" i="8"/>
  <c r="L592" i="8"/>
  <c r="N976" i="8"/>
  <c r="L976" i="8"/>
  <c r="N958" i="8"/>
  <c r="L958" i="8"/>
  <c r="M942" i="8" s="1"/>
  <c r="N1035" i="8"/>
  <c r="L1035" i="8"/>
  <c r="N980" i="8"/>
  <c r="L980" i="8"/>
  <c r="N951" i="8"/>
  <c r="L951" i="8"/>
  <c r="N767" i="8"/>
  <c r="L767" i="8"/>
  <c r="N628" i="8"/>
  <c r="L628" i="8"/>
  <c r="N834" i="8"/>
  <c r="L834" i="8"/>
  <c r="N1036" i="8"/>
  <c r="L1036" i="8"/>
  <c r="K1020" i="8"/>
  <c r="N947" i="8"/>
  <c r="L947" i="8"/>
  <c r="N1045" i="8"/>
  <c r="L1045" i="8"/>
  <c r="N678" i="8"/>
  <c r="L678" i="8"/>
  <c r="N696" i="8"/>
  <c r="L696" i="8"/>
  <c r="N952" i="8"/>
  <c r="L952" i="8"/>
  <c r="N1062" i="8"/>
  <c r="L1062" i="8"/>
  <c r="N860" i="8"/>
  <c r="L860" i="8"/>
  <c r="N733" i="8"/>
  <c r="L733" i="8"/>
  <c r="N590" i="8"/>
  <c r="L590" i="8"/>
  <c r="N646" i="8"/>
  <c r="L646" i="8"/>
  <c r="N526" i="8"/>
  <c r="L526" i="8"/>
  <c r="N324" i="8"/>
  <c r="L324" i="8"/>
  <c r="N183" i="8"/>
  <c r="L183" i="8"/>
  <c r="N157" i="8"/>
  <c r="L157" i="8"/>
  <c r="N344" i="8"/>
  <c r="L344" i="8"/>
  <c r="N326" i="8"/>
  <c r="L326" i="8"/>
  <c r="N399" i="8"/>
  <c r="L399" i="8"/>
  <c r="N378" i="8"/>
  <c r="L378" i="8"/>
  <c r="N280" i="8"/>
  <c r="L280" i="8"/>
  <c r="N231" i="8"/>
  <c r="L231" i="8"/>
  <c r="N176" i="8"/>
  <c r="L176" i="8"/>
  <c r="N141" i="8"/>
  <c r="L141" i="8"/>
  <c r="N648" i="8"/>
  <c r="L648" i="8"/>
  <c r="N466" i="8"/>
  <c r="L466" i="8"/>
  <c r="N430" i="8"/>
  <c r="L430" i="8"/>
  <c r="N218" i="8"/>
  <c r="L218" i="8"/>
  <c r="N840" i="8"/>
  <c r="L840" i="8"/>
  <c r="N438" i="8"/>
  <c r="L438" i="8"/>
  <c r="N391" i="8"/>
  <c r="L391" i="8"/>
  <c r="N290" i="8"/>
  <c r="L290" i="8"/>
  <c r="N709" i="8"/>
  <c r="L709" i="8"/>
  <c r="N602" i="8"/>
  <c r="L602" i="8"/>
  <c r="N432" i="8"/>
  <c r="L432" i="8"/>
  <c r="N372" i="8"/>
  <c r="L372" i="8"/>
  <c r="N743" i="8"/>
  <c r="L743" i="8"/>
  <c r="N636" i="8"/>
  <c r="L636" i="8"/>
  <c r="N524" i="8"/>
  <c r="L524" i="8"/>
  <c r="N453" i="8"/>
  <c r="L453" i="8"/>
  <c r="N393" i="8"/>
  <c r="L393" i="8"/>
  <c r="N857" i="8"/>
  <c r="L857" i="8"/>
  <c r="N633" i="8"/>
  <c r="L633" i="8"/>
  <c r="N596" i="8"/>
  <c r="L596" i="8"/>
  <c r="N544" i="8"/>
  <c r="L544" i="8"/>
  <c r="N502" i="8"/>
  <c r="L502" i="8"/>
  <c r="N340" i="8"/>
  <c r="L340" i="8"/>
  <c r="N148" i="8"/>
  <c r="L148" i="8"/>
  <c r="N77" i="8"/>
  <c r="L77" i="8"/>
  <c r="N44" i="8"/>
  <c r="L44" i="8"/>
  <c r="N216" i="8"/>
  <c r="L216" i="8"/>
  <c r="N128" i="8"/>
  <c r="L128" i="8"/>
  <c r="N120" i="8"/>
  <c r="L120" i="8"/>
  <c r="N96" i="8"/>
  <c r="L96" i="8"/>
  <c r="N228" i="8"/>
  <c r="L228" i="8"/>
  <c r="N198" i="8"/>
  <c r="L198" i="8"/>
  <c r="N117" i="8"/>
  <c r="L117" i="8"/>
  <c r="N222" i="8"/>
  <c r="L222" i="8"/>
  <c r="N38" i="8"/>
  <c r="L38" i="8"/>
  <c r="K6" i="8"/>
  <c r="N203" i="8"/>
  <c r="L203" i="8"/>
  <c r="N60" i="8"/>
  <c r="L60" i="8"/>
  <c r="N39" i="8"/>
  <c r="L39" i="8"/>
  <c r="I23" i="8"/>
  <c r="L13" i="8"/>
  <c r="N13" i="8"/>
  <c r="N135" i="8"/>
  <c r="L135" i="8"/>
  <c r="I749" i="8"/>
  <c r="I762" i="8"/>
  <c r="I617" i="8"/>
  <c r="I504" i="8"/>
  <c r="I494" i="8"/>
  <c r="I433" i="8"/>
  <c r="I350" i="8"/>
  <c r="I431" i="8"/>
  <c r="I335" i="8"/>
  <c r="I303" i="8"/>
  <c r="I252" i="8"/>
  <c r="I180" i="8"/>
  <c r="I134" i="8"/>
  <c r="N969" i="8"/>
  <c r="L969" i="8"/>
  <c r="N954" i="8"/>
  <c r="L954" i="8"/>
  <c r="N893" i="8"/>
  <c r="L893" i="8"/>
  <c r="N773" i="8"/>
  <c r="L773" i="8"/>
  <c r="N779" i="8"/>
  <c r="L779" i="8"/>
  <c r="N720" i="8"/>
  <c r="L720" i="8"/>
  <c r="N1002" i="8"/>
  <c r="L1002" i="8"/>
  <c r="N956" i="8"/>
  <c r="L956" i="8"/>
  <c r="N1043" i="8"/>
  <c r="L1043" i="8"/>
  <c r="N845" i="8"/>
  <c r="L845" i="8"/>
  <c r="N799" i="8"/>
  <c r="L799" i="8"/>
  <c r="N866" i="8"/>
  <c r="L866" i="8"/>
  <c r="N1044" i="8"/>
  <c r="L1044" i="8"/>
  <c r="N941" i="8"/>
  <c r="L941" i="8"/>
  <c r="N963" i="8"/>
  <c r="L963" i="8"/>
  <c r="N1053" i="8"/>
  <c r="L1053" i="8"/>
  <c r="N917" i="8"/>
  <c r="O901" i="8" s="1"/>
  <c r="L917" i="8"/>
  <c r="M901" i="8" s="1"/>
  <c r="N870" i="8"/>
  <c r="L870" i="8"/>
  <c r="N820" i="8"/>
  <c r="L820" i="8"/>
  <c r="N716" i="8"/>
  <c r="L716" i="8"/>
  <c r="N676" i="8"/>
  <c r="L676" i="8"/>
  <c r="N728" i="8"/>
  <c r="L728" i="8"/>
  <c r="N968" i="8"/>
  <c r="L968" i="8"/>
  <c r="N1070" i="8"/>
  <c r="L1070" i="8"/>
  <c r="N909" i="8"/>
  <c r="O925" i="8" s="1"/>
  <c r="L909" i="8"/>
  <c r="M925" i="8" s="1"/>
  <c r="N796" i="8"/>
  <c r="L796" i="8"/>
  <c r="N726" i="8"/>
  <c r="L726" i="8"/>
  <c r="N583" i="8"/>
  <c r="L583" i="8"/>
  <c r="N601" i="8"/>
  <c r="L601" i="8"/>
  <c r="N575" i="8"/>
  <c r="L575" i="8"/>
  <c r="N494" i="8"/>
  <c r="L494" i="8"/>
  <c r="N375" i="8"/>
  <c r="L375" i="8"/>
  <c r="N296" i="8"/>
  <c r="L296" i="8"/>
  <c r="N221" i="8"/>
  <c r="L221" i="8"/>
  <c r="N146" i="8"/>
  <c r="L146" i="8"/>
  <c r="N859" i="8"/>
  <c r="L859" i="8"/>
  <c r="N670" i="8"/>
  <c r="L670" i="8"/>
  <c r="N635" i="8"/>
  <c r="L635" i="8"/>
  <c r="N618" i="8"/>
  <c r="L618" i="8"/>
  <c r="N511" i="8"/>
  <c r="L511" i="8"/>
  <c r="N276" i="8"/>
  <c r="L276" i="8"/>
  <c r="N688" i="8"/>
  <c r="L688" i="8"/>
  <c r="N659" i="8"/>
  <c r="L659" i="8"/>
  <c r="N620" i="8"/>
  <c r="L620" i="8"/>
  <c r="N493" i="8"/>
  <c r="L493" i="8"/>
  <c r="N469" i="8"/>
  <c r="L469" i="8"/>
  <c r="N443" i="8"/>
  <c r="L443" i="8"/>
  <c r="N229" i="8"/>
  <c r="L229" i="8"/>
  <c r="N797" i="8"/>
  <c r="L797" i="8"/>
  <c r="N588" i="8"/>
  <c r="L588" i="8"/>
  <c r="N519" i="8"/>
  <c r="L519" i="8"/>
  <c r="N723" i="8"/>
  <c r="L723" i="8"/>
  <c r="N684" i="8"/>
  <c r="L684" i="8"/>
  <c r="N622" i="8"/>
  <c r="L622" i="8"/>
  <c r="N585" i="8"/>
  <c r="L585" i="8"/>
  <c r="N540" i="8"/>
  <c r="L540" i="8"/>
  <c r="N383" i="8"/>
  <c r="L383" i="8"/>
  <c r="N271" i="8"/>
  <c r="L271" i="8"/>
  <c r="N882" i="8"/>
  <c r="L882" i="8"/>
  <c r="N677" i="8"/>
  <c r="L677" i="8"/>
  <c r="N542" i="8"/>
  <c r="L542" i="8"/>
  <c r="N514" i="8"/>
  <c r="L514" i="8"/>
  <c r="N413" i="8"/>
  <c r="L413" i="8"/>
  <c r="N396" i="8"/>
  <c r="L396" i="8"/>
  <c r="N297" i="8"/>
  <c r="L297" i="8"/>
  <c r="N233" i="8"/>
  <c r="L233" i="8"/>
  <c r="N776" i="8"/>
  <c r="L776" i="8"/>
  <c r="N668" i="8"/>
  <c r="L668" i="8"/>
  <c r="N564" i="8"/>
  <c r="L564" i="8"/>
  <c r="N473" i="8"/>
  <c r="L473" i="8"/>
  <c r="N268" i="8"/>
  <c r="L268" i="8"/>
  <c r="N192" i="8"/>
  <c r="L192" i="8"/>
  <c r="L9" i="8"/>
  <c r="N9" i="8"/>
  <c r="N182" i="8"/>
  <c r="L182" i="8"/>
  <c r="N71" i="8"/>
  <c r="L71" i="8"/>
  <c r="N219" i="8"/>
  <c r="L219" i="8"/>
  <c r="L3" i="8"/>
  <c r="N3" i="8"/>
  <c r="N185" i="8"/>
  <c r="L185" i="8"/>
  <c r="N156" i="8"/>
  <c r="L156" i="8"/>
  <c r="N98" i="8"/>
  <c r="L98" i="8"/>
  <c r="N36" i="8"/>
  <c r="L36" i="8"/>
  <c r="L5" i="8"/>
  <c r="N5" i="8"/>
  <c r="N255" i="8"/>
  <c r="L255" i="8"/>
  <c r="N131" i="8"/>
  <c r="L131" i="8"/>
  <c r="N110" i="8"/>
  <c r="L110" i="8"/>
  <c r="N144" i="8"/>
  <c r="L144" i="8"/>
  <c r="N112" i="8"/>
  <c r="L112" i="8"/>
  <c r="N174" i="8"/>
  <c r="L174" i="8"/>
  <c r="N107" i="8"/>
  <c r="L107" i="8"/>
  <c r="N37" i="8"/>
  <c r="L37" i="8"/>
  <c r="I813" i="8"/>
  <c r="I798" i="8"/>
  <c r="I845" i="8"/>
  <c r="I353" i="8"/>
  <c r="I420" i="8"/>
  <c r="I359" i="8"/>
  <c r="I479" i="8"/>
  <c r="I160" i="8"/>
  <c r="I236" i="8"/>
  <c r="I179" i="8"/>
  <c r="N982" i="8"/>
  <c r="L982" i="8"/>
  <c r="N742" i="8"/>
  <c r="L742" i="8"/>
  <c r="N970" i="8"/>
  <c r="L970" i="8"/>
  <c r="N725" i="8"/>
  <c r="L725" i="8"/>
  <c r="N795" i="8"/>
  <c r="L795" i="8"/>
  <c r="N816" i="8"/>
  <c r="L816" i="8"/>
  <c r="N1018" i="8"/>
  <c r="L1018" i="8"/>
  <c r="N1051" i="8"/>
  <c r="L1051" i="8"/>
  <c r="N975" i="8"/>
  <c r="O959" i="8" s="1"/>
  <c r="L975" i="8"/>
  <c r="N757" i="8"/>
  <c r="L757" i="8"/>
  <c r="K741" i="8"/>
  <c r="N930" i="8"/>
  <c r="L930" i="8"/>
  <c r="N1060" i="8"/>
  <c r="L1060" i="8"/>
  <c r="N691" i="8"/>
  <c r="L691" i="8"/>
  <c r="N979" i="8"/>
  <c r="L979" i="8"/>
  <c r="N1061" i="8"/>
  <c r="L1061" i="8"/>
  <c r="N967" i="8"/>
  <c r="O935" i="8" s="1"/>
  <c r="L967" i="8"/>
  <c r="N808" i="8"/>
  <c r="L808" i="8"/>
  <c r="N998" i="8"/>
  <c r="L998" i="8"/>
  <c r="N748" i="8"/>
  <c r="L748" i="8"/>
  <c r="N581" i="8"/>
  <c r="L581" i="8"/>
  <c r="N826" i="8"/>
  <c r="L826" i="8"/>
  <c r="N727" i="8"/>
  <c r="L727" i="8"/>
  <c r="N470" i="8"/>
  <c r="L470" i="8"/>
  <c r="N448" i="8"/>
  <c r="L448" i="8"/>
  <c r="N426" i="8"/>
  <c r="L426" i="8"/>
  <c r="N352" i="8"/>
  <c r="L352" i="8"/>
  <c r="K336" i="8"/>
  <c r="N342" i="8"/>
  <c r="L342" i="8"/>
  <c r="N181" i="8"/>
  <c r="L181" i="8"/>
  <c r="N579" i="8"/>
  <c r="L579" i="8"/>
  <c r="N546" i="8"/>
  <c r="L546" i="8"/>
  <c r="N491" i="8"/>
  <c r="L491" i="8"/>
  <c r="N461" i="8"/>
  <c r="L461" i="8"/>
  <c r="N392" i="8"/>
  <c r="L392" i="8"/>
  <c r="N355" i="8"/>
  <c r="L355" i="8"/>
  <c r="N334" i="8"/>
  <c r="L334" i="8"/>
  <c r="N278" i="8"/>
  <c r="L278" i="8"/>
  <c r="N171" i="8"/>
  <c r="L171" i="8"/>
  <c r="N134" i="8"/>
  <c r="L134" i="8"/>
  <c r="N895" i="8"/>
  <c r="L895" i="8"/>
  <c r="N694" i="8"/>
  <c r="L694" i="8"/>
  <c r="N645" i="8"/>
  <c r="L645" i="8"/>
  <c r="N612" i="8"/>
  <c r="L612" i="8"/>
  <c r="N548" i="8"/>
  <c r="L548" i="8"/>
  <c r="N515" i="8"/>
  <c r="L515" i="8"/>
  <c r="N247" i="8"/>
  <c r="L247" i="8"/>
  <c r="N653" i="8"/>
  <c r="L653" i="8"/>
  <c r="N249" i="8"/>
  <c r="L249" i="8"/>
  <c r="N858" i="8"/>
  <c r="L858" i="8"/>
  <c r="N734" i="8"/>
  <c r="L734" i="8"/>
  <c r="N451" i="8"/>
  <c r="L451" i="8"/>
  <c r="N429" i="8"/>
  <c r="L429" i="8"/>
  <c r="N411" i="8"/>
  <c r="L411" i="8"/>
  <c r="N827" i="8"/>
  <c r="L827" i="8"/>
  <c r="N663" i="8"/>
  <c r="L663" i="8"/>
  <c r="N630" i="8"/>
  <c r="L630" i="8"/>
  <c r="N520" i="8"/>
  <c r="L520" i="8"/>
  <c r="N485" i="8"/>
  <c r="L485" i="8"/>
  <c r="N386" i="8"/>
  <c r="L386" i="8"/>
  <c r="N621" i="8"/>
  <c r="L621" i="8"/>
  <c r="N562" i="8"/>
  <c r="L562" i="8"/>
  <c r="N368" i="8"/>
  <c r="L368" i="8"/>
  <c r="N338" i="8"/>
  <c r="L338" i="8"/>
  <c r="N316" i="8"/>
  <c r="L316" i="8"/>
  <c r="N263" i="8"/>
  <c r="L263" i="8"/>
  <c r="N52" i="8"/>
  <c r="L52" i="8"/>
  <c r="N168" i="8"/>
  <c r="L168" i="8"/>
  <c r="N124" i="8"/>
  <c r="L124" i="8"/>
  <c r="N111" i="8"/>
  <c r="L111" i="8"/>
  <c r="I103" i="8"/>
  <c r="N153" i="8"/>
  <c r="L153" i="8"/>
  <c r="I95" i="8"/>
  <c r="N53" i="8"/>
  <c r="L53" i="8"/>
  <c r="M101" i="8" s="1"/>
  <c r="N19" i="8"/>
  <c r="L19" i="8"/>
  <c r="K3" i="8"/>
  <c r="N34" i="8"/>
  <c r="L34" i="8"/>
  <c r="K2" i="8"/>
  <c r="N184" i="8"/>
  <c r="L184" i="8"/>
  <c r="N139" i="8"/>
  <c r="L139" i="8"/>
  <c r="L12" i="8"/>
  <c r="N12" i="8"/>
  <c r="K108" i="8"/>
  <c r="N58" i="8"/>
  <c r="L58" i="8"/>
  <c r="N217" i="8"/>
  <c r="L217" i="8"/>
  <c r="N133" i="8"/>
  <c r="L133" i="8"/>
  <c r="N114" i="8"/>
  <c r="L114" i="8"/>
  <c r="N88" i="8"/>
  <c r="L88" i="8"/>
  <c r="N28" i="8"/>
  <c r="L28" i="8"/>
  <c r="K12" i="8"/>
  <c r="I1011" i="8"/>
  <c r="I962" i="8"/>
  <c r="I947" i="8"/>
  <c r="I900" i="8"/>
  <c r="I836" i="8"/>
  <c r="I801" i="8"/>
  <c r="I768" i="8"/>
  <c r="I773" i="8"/>
  <c r="I799" i="8"/>
  <c r="I878" i="8"/>
  <c r="I701" i="8"/>
  <c r="I615" i="8"/>
  <c r="I600" i="8"/>
  <c r="I645" i="8"/>
  <c r="I545" i="8"/>
  <c r="I669" i="8"/>
  <c r="I622" i="8"/>
  <c r="I417" i="8"/>
  <c r="I404" i="8"/>
  <c r="I430" i="8"/>
  <c r="I140" i="8"/>
  <c r="I207" i="8"/>
  <c r="N1023" i="8"/>
  <c r="O1055" i="8" s="1"/>
  <c r="L1023" i="8"/>
  <c r="M1039" i="8" s="1"/>
  <c r="N693" i="8"/>
  <c r="L693" i="8"/>
  <c r="N1008" i="8"/>
  <c r="L1008" i="8"/>
  <c r="N910" i="8"/>
  <c r="O926" i="8" s="1"/>
  <c r="L910" i="8"/>
  <c r="M926" i="8" s="1"/>
  <c r="K926" i="8"/>
  <c r="N846" i="8"/>
  <c r="L846" i="8"/>
  <c r="N811" i="8"/>
  <c r="L811" i="8"/>
  <c r="N1001" i="8"/>
  <c r="L1001" i="8"/>
  <c r="N1049" i="8"/>
  <c r="L1049" i="8"/>
  <c r="N832" i="8"/>
  <c r="L832" i="8"/>
  <c r="N1042" i="8"/>
  <c r="L1042" i="8"/>
  <c r="M1058" i="8" s="1"/>
  <c r="N949" i="8"/>
  <c r="L949" i="8"/>
  <c r="N1059" i="8"/>
  <c r="O1011" i="8" s="1"/>
  <c r="L1059" i="8"/>
  <c r="N789" i="8"/>
  <c r="L789" i="8"/>
  <c r="N706" i="8"/>
  <c r="L706" i="8"/>
  <c r="N978" i="8"/>
  <c r="L978" i="8"/>
  <c r="N1068" i="8"/>
  <c r="L1068" i="8"/>
  <c r="N935" i="8"/>
  <c r="L935" i="8"/>
  <c r="N791" i="8"/>
  <c r="L791" i="8"/>
  <c r="N803" i="8"/>
  <c r="L803" i="8"/>
  <c r="N997" i="8"/>
  <c r="L997" i="8"/>
  <c r="N1069" i="8"/>
  <c r="L1069" i="8"/>
  <c r="N854" i="8"/>
  <c r="L854" i="8"/>
  <c r="N824" i="8"/>
  <c r="L824" i="8"/>
  <c r="N1014" i="8"/>
  <c r="L1014" i="8"/>
  <c r="I934" i="8"/>
  <c r="N829" i="8"/>
  <c r="L829" i="8"/>
  <c r="N574" i="8"/>
  <c r="L574" i="8"/>
  <c r="N724" i="8"/>
  <c r="L724" i="8"/>
  <c r="N613" i="8"/>
  <c r="L613" i="8"/>
  <c r="N598" i="8"/>
  <c r="L598" i="8"/>
  <c r="N286" i="8"/>
  <c r="L286" i="8"/>
  <c r="N248" i="8"/>
  <c r="L248" i="8"/>
  <c r="N210" i="8"/>
  <c r="L210" i="8"/>
  <c r="N739" i="8"/>
  <c r="L739" i="8"/>
  <c r="N662" i="8"/>
  <c r="L662" i="8"/>
  <c r="N566" i="8"/>
  <c r="L566" i="8"/>
  <c r="N507" i="8"/>
  <c r="L507" i="8"/>
  <c r="N501" i="8"/>
  <c r="L501" i="8"/>
  <c r="N423" i="8"/>
  <c r="L423" i="8"/>
  <c r="N371" i="8"/>
  <c r="L371" i="8"/>
  <c r="I387" i="8"/>
  <c r="N274" i="8"/>
  <c r="L274" i="8"/>
  <c r="N227" i="8"/>
  <c r="L227" i="8"/>
  <c r="N102" i="8"/>
  <c r="L102" i="8"/>
  <c r="N861" i="8"/>
  <c r="L861" i="8"/>
  <c r="N664" i="8"/>
  <c r="L664" i="8"/>
  <c r="N202" i="8"/>
  <c r="L202" i="8"/>
  <c r="N898" i="8"/>
  <c r="O914" i="8" s="1"/>
  <c r="L898" i="8"/>
  <c r="M914" i="8" s="1"/>
  <c r="N825" i="8"/>
  <c r="L825" i="8"/>
  <c r="N759" i="8"/>
  <c r="L759" i="8"/>
  <c r="N269" i="8"/>
  <c r="L269" i="8"/>
  <c r="N215" i="8"/>
  <c r="L215" i="8"/>
  <c r="N175" i="8"/>
  <c r="L175" i="8"/>
  <c r="N697" i="8"/>
  <c r="L697" i="8"/>
  <c r="N666" i="8"/>
  <c r="L666" i="8"/>
  <c r="N587" i="8"/>
  <c r="L587" i="8"/>
  <c r="N537" i="8"/>
  <c r="L537" i="8"/>
  <c r="N468" i="8"/>
  <c r="L468" i="8"/>
  <c r="N408" i="8"/>
  <c r="L408" i="8"/>
  <c r="I384" i="8"/>
  <c r="N319" i="8"/>
  <c r="L319" i="8"/>
  <c r="N251" i="8"/>
  <c r="L251" i="8"/>
  <c r="N624" i="8"/>
  <c r="L624" i="8"/>
  <c r="N594" i="8"/>
  <c r="L594" i="8"/>
  <c r="N550" i="8"/>
  <c r="L550" i="8"/>
  <c r="N335" i="8"/>
  <c r="L335" i="8"/>
  <c r="N660" i="8"/>
  <c r="L660" i="8"/>
  <c r="N616" i="8"/>
  <c r="L616" i="8"/>
  <c r="N489" i="8"/>
  <c r="L489" i="8"/>
  <c r="N437" i="8"/>
  <c r="L437" i="8"/>
  <c r="N410" i="8"/>
  <c r="L410" i="8"/>
  <c r="N388" i="8"/>
  <c r="L388" i="8"/>
  <c r="N314" i="8"/>
  <c r="L314" i="8"/>
  <c r="N261" i="8"/>
  <c r="L261" i="8"/>
  <c r="N92" i="8"/>
  <c r="L92" i="8"/>
  <c r="N50" i="8"/>
  <c r="L50" i="8"/>
  <c r="I3" i="8"/>
  <c r="N213" i="8"/>
  <c r="L213" i="8"/>
  <c r="N138" i="8"/>
  <c r="L138" i="8"/>
  <c r="N6" i="8"/>
  <c r="L6" i="8"/>
  <c r="N207" i="8"/>
  <c r="L207" i="8"/>
  <c r="N147" i="8"/>
  <c r="L147" i="8"/>
  <c r="N89" i="8"/>
  <c r="L89" i="8"/>
  <c r="I51" i="8"/>
  <c r="I31" i="8"/>
  <c r="I10" i="8"/>
  <c r="N200" i="8"/>
  <c r="L200" i="8"/>
  <c r="N80" i="8"/>
  <c r="L80" i="8"/>
  <c r="N242" i="8"/>
  <c r="L242" i="8"/>
  <c r="I126" i="8"/>
  <c r="N41" i="8"/>
  <c r="L41" i="8"/>
  <c r="I122" i="8"/>
  <c r="N72" i="8"/>
  <c r="L72" i="8"/>
  <c r="N169" i="8"/>
  <c r="L169" i="8"/>
  <c r="I885" i="8"/>
  <c r="I816" i="8"/>
  <c r="I888" i="8"/>
  <c r="I846" i="8"/>
  <c r="I712" i="8"/>
  <c r="I728" i="8"/>
  <c r="I608" i="8"/>
  <c r="I536" i="8"/>
  <c r="I478" i="8"/>
  <c r="I406" i="8"/>
  <c r="I378" i="8"/>
  <c r="I351" i="8"/>
  <c r="I172" i="8"/>
  <c r="I307" i="8"/>
  <c r="I259" i="8"/>
  <c r="I292" i="8"/>
  <c r="N869" i="8"/>
  <c r="L869" i="8"/>
  <c r="N815" i="8"/>
  <c r="L815" i="8"/>
  <c r="N1024" i="8"/>
  <c r="L1024" i="8"/>
  <c r="N838" i="8"/>
  <c r="L838" i="8"/>
  <c r="N718" i="8"/>
  <c r="L718" i="8"/>
  <c r="N875" i="8"/>
  <c r="L875" i="8"/>
  <c r="N926" i="8"/>
  <c r="O910" i="8" s="1"/>
  <c r="L926" i="8"/>
  <c r="M910" i="8" s="1"/>
  <c r="K910" i="8"/>
  <c r="N848" i="8"/>
  <c r="L848" i="8"/>
  <c r="N1058" i="8"/>
  <c r="L1058" i="8"/>
  <c r="N927" i="8"/>
  <c r="O911" i="8" s="1"/>
  <c r="L927" i="8"/>
  <c r="M911" i="8" s="1"/>
  <c r="N1067" i="8"/>
  <c r="L1067" i="8"/>
  <c r="N830" i="8"/>
  <c r="L830" i="8"/>
  <c r="N738" i="8"/>
  <c r="L738" i="8"/>
  <c r="N996" i="8"/>
  <c r="O932" i="8" s="1"/>
  <c r="L996" i="8"/>
  <c r="N903" i="8"/>
  <c r="L903" i="8"/>
  <c r="N819" i="8"/>
  <c r="L819" i="8"/>
  <c r="N1005" i="8"/>
  <c r="L1005" i="8"/>
  <c r="I950" i="8"/>
  <c r="N852" i="8"/>
  <c r="L852" i="8"/>
  <c r="N702" i="8"/>
  <c r="L702" i="8"/>
  <c r="N669" i="8"/>
  <c r="L669" i="8"/>
  <c r="N872" i="8"/>
  <c r="L872" i="8"/>
  <c r="M776" i="8" s="1"/>
  <c r="N1030" i="8"/>
  <c r="L1030" i="8"/>
  <c r="K1014" i="8"/>
  <c r="N974" i="8"/>
  <c r="L974" i="8"/>
  <c r="N822" i="8"/>
  <c r="L822" i="8"/>
  <c r="I770" i="8"/>
  <c r="N711" i="8"/>
  <c r="L711" i="8"/>
  <c r="N638" i="8"/>
  <c r="L638" i="8"/>
  <c r="N309" i="8"/>
  <c r="L309" i="8"/>
  <c r="N246" i="8"/>
  <c r="L246" i="8"/>
  <c r="N167" i="8"/>
  <c r="L167" i="8"/>
  <c r="N459" i="8"/>
  <c r="L459" i="8"/>
  <c r="N291" i="8"/>
  <c r="L291" i="8"/>
  <c r="N272" i="8"/>
  <c r="L272" i="8"/>
  <c r="N250" i="8"/>
  <c r="L250" i="8"/>
  <c r="N187" i="8"/>
  <c r="L187" i="8"/>
  <c r="N75" i="8"/>
  <c r="L75" i="8"/>
  <c r="K11" i="8"/>
  <c r="N607" i="8"/>
  <c r="L607" i="8"/>
  <c r="N571" i="8"/>
  <c r="L571" i="8"/>
  <c r="N477" i="8"/>
  <c r="L477" i="8"/>
  <c r="N418" i="8"/>
  <c r="L418" i="8"/>
  <c r="I329" i="8"/>
  <c r="N245" i="8"/>
  <c r="L245" i="8"/>
  <c r="N784" i="8"/>
  <c r="L784" i="8"/>
  <c r="N672" i="8"/>
  <c r="L672" i="8"/>
  <c r="N650" i="8"/>
  <c r="L650" i="8"/>
  <c r="N240" i="8"/>
  <c r="L240" i="8"/>
  <c r="N690" i="8"/>
  <c r="L690" i="8"/>
  <c r="N658" i="8"/>
  <c r="L658" i="8"/>
  <c r="N617" i="8"/>
  <c r="L617" i="8"/>
  <c r="N533" i="8"/>
  <c r="L533" i="8"/>
  <c r="N490" i="8"/>
  <c r="L490" i="8"/>
  <c r="N442" i="8"/>
  <c r="L442" i="8"/>
  <c r="N427" i="8"/>
  <c r="L427" i="8"/>
  <c r="N317" i="8"/>
  <c r="L317" i="8"/>
  <c r="N279" i="8"/>
  <c r="L279" i="8"/>
  <c r="N655" i="8"/>
  <c r="L655" i="8"/>
  <c r="N518" i="8"/>
  <c r="L518" i="8"/>
  <c r="N584" i="8"/>
  <c r="L584" i="8"/>
  <c r="N557" i="8"/>
  <c r="L557" i="8"/>
  <c r="N457" i="8"/>
  <c r="L457" i="8"/>
  <c r="N434" i="8"/>
  <c r="L434" i="8"/>
  <c r="N407" i="8"/>
  <c r="L407" i="8"/>
  <c r="N384" i="8"/>
  <c r="L384" i="8"/>
  <c r="N212" i="8"/>
  <c r="L212" i="8"/>
  <c r="N172" i="8"/>
  <c r="L172" i="8"/>
  <c r="N154" i="8"/>
  <c r="L154" i="8"/>
  <c r="N48" i="8"/>
  <c r="L48" i="8"/>
  <c r="N21" i="8"/>
  <c r="L21" i="8"/>
  <c r="N2" i="8"/>
  <c r="L2" i="8"/>
  <c r="I87" i="8"/>
  <c r="N108" i="8"/>
  <c r="L108" i="8"/>
  <c r="N29" i="8"/>
  <c r="L29" i="8"/>
  <c r="N87" i="8"/>
  <c r="L87" i="8"/>
  <c r="N51" i="8"/>
  <c r="L51" i="8"/>
  <c r="N14" i="8"/>
  <c r="L14" i="8"/>
  <c r="N239" i="8"/>
  <c r="L239" i="8"/>
  <c r="N70" i="8"/>
  <c r="L70" i="8"/>
  <c r="N118" i="8"/>
  <c r="L118" i="8"/>
  <c r="L10" i="8"/>
  <c r="N10" i="8"/>
  <c r="I887" i="8"/>
  <c r="I862" i="8"/>
  <c r="I826" i="8"/>
  <c r="I814" i="8"/>
  <c r="I783" i="8"/>
  <c r="I753" i="8"/>
  <c r="I782" i="8"/>
  <c r="I778" i="8"/>
  <c r="I794" i="8"/>
  <c r="I698" i="8"/>
  <c r="I680" i="8"/>
  <c r="I569" i="8"/>
  <c r="I524" i="8"/>
  <c r="I462" i="8"/>
  <c r="I413" i="8"/>
  <c r="I383" i="8"/>
  <c r="I139" i="8"/>
  <c r="I188" i="8"/>
  <c r="I244" i="8"/>
  <c r="N764" i="8"/>
  <c r="L764" i="8"/>
  <c r="N714" i="8"/>
  <c r="L714" i="8"/>
  <c r="N1040" i="8"/>
  <c r="L1040" i="8"/>
  <c r="N940" i="8"/>
  <c r="L940" i="8"/>
  <c r="N790" i="8"/>
  <c r="L790" i="8"/>
  <c r="N891" i="8"/>
  <c r="L891" i="8"/>
  <c r="N864" i="8"/>
  <c r="L864" i="8"/>
  <c r="N1066" i="8"/>
  <c r="O1018" i="8" s="1"/>
  <c r="L1066" i="8"/>
  <c r="N995" i="8"/>
  <c r="L995" i="8"/>
  <c r="N919" i="8"/>
  <c r="O903" i="8" s="1"/>
  <c r="L919" i="8"/>
  <c r="M903" i="8" s="1"/>
  <c r="K903" i="8"/>
  <c r="N885" i="8"/>
  <c r="L885" i="8"/>
  <c r="N770" i="8"/>
  <c r="L770" i="8"/>
  <c r="N1004" i="8"/>
  <c r="L1004" i="8"/>
  <c r="N965" i="8"/>
  <c r="L965" i="8"/>
  <c r="N847" i="8"/>
  <c r="L847" i="8"/>
  <c r="N835" i="8"/>
  <c r="L835" i="8"/>
  <c r="N1021" i="8"/>
  <c r="L1021" i="8"/>
  <c r="N902" i="8"/>
  <c r="O918" i="8" s="1"/>
  <c r="L902" i="8"/>
  <c r="M918" i="8" s="1"/>
  <c r="N844" i="8"/>
  <c r="L844" i="8"/>
  <c r="N783" i="8"/>
  <c r="L783" i="8"/>
  <c r="N687" i="8"/>
  <c r="L687" i="8"/>
  <c r="N888" i="8"/>
  <c r="L888" i="8"/>
  <c r="N1038" i="8"/>
  <c r="L1038" i="8"/>
  <c r="I1020" i="8"/>
  <c r="I922" i="8"/>
  <c r="N877" i="8"/>
  <c r="L877" i="8"/>
  <c r="N813" i="8"/>
  <c r="L813" i="8"/>
  <c r="N792" i="8"/>
  <c r="L792" i="8"/>
  <c r="N509" i="8"/>
  <c r="L509" i="8"/>
  <c r="N480" i="8"/>
  <c r="O400" i="8" s="1"/>
  <c r="L480" i="8"/>
  <c r="N348" i="8"/>
  <c r="L348" i="8"/>
  <c r="N306" i="8"/>
  <c r="L306" i="8"/>
  <c r="N281" i="8"/>
  <c r="L281" i="8"/>
  <c r="N194" i="8"/>
  <c r="L194" i="8"/>
  <c r="N165" i="8"/>
  <c r="L165" i="8"/>
  <c r="N883" i="8"/>
  <c r="L883" i="8"/>
  <c r="N654" i="8"/>
  <c r="L654" i="8"/>
  <c r="N629" i="8"/>
  <c r="L629" i="8"/>
  <c r="N559" i="8"/>
  <c r="L559" i="8"/>
  <c r="N484" i="8"/>
  <c r="L484" i="8"/>
  <c r="N421" i="8"/>
  <c r="L421" i="8"/>
  <c r="N409" i="8"/>
  <c r="L409" i="8"/>
  <c r="N267" i="8"/>
  <c r="L267" i="8"/>
  <c r="N605" i="8"/>
  <c r="L605" i="8"/>
  <c r="N568" i="8"/>
  <c r="L568" i="8"/>
  <c r="N534" i="8"/>
  <c r="L534" i="8"/>
  <c r="N517" i="8"/>
  <c r="L517" i="8"/>
  <c r="N499" i="8"/>
  <c r="L499" i="8"/>
  <c r="N288" i="8"/>
  <c r="L288" i="8"/>
  <c r="N260" i="8"/>
  <c r="L260" i="8"/>
  <c r="N68" i="8"/>
  <c r="L68" i="8"/>
  <c r="N656" i="8"/>
  <c r="L656" i="8"/>
  <c r="N565" i="8"/>
  <c r="L565" i="8"/>
  <c r="N538" i="8"/>
  <c r="L538" i="8"/>
  <c r="N505" i="8"/>
  <c r="L505" i="8"/>
  <c r="N300" i="8"/>
  <c r="L300" i="8"/>
  <c r="I898" i="8"/>
  <c r="N642" i="8"/>
  <c r="L642" i="8"/>
  <c r="N558" i="8"/>
  <c r="L558" i="8"/>
  <c r="N447" i="8"/>
  <c r="L447" i="8"/>
  <c r="N425" i="8"/>
  <c r="L425" i="8"/>
  <c r="N374" i="8"/>
  <c r="L374" i="8"/>
  <c r="N264" i="8"/>
  <c r="L264" i="8"/>
  <c r="N204" i="8"/>
  <c r="L204" i="8"/>
  <c r="N712" i="8"/>
  <c r="L712" i="8"/>
  <c r="N614" i="8"/>
  <c r="L614" i="8"/>
  <c r="N463" i="8"/>
  <c r="L463" i="8"/>
  <c r="N403" i="8"/>
  <c r="L403" i="8"/>
  <c r="N244" i="8"/>
  <c r="L244" i="8"/>
  <c r="N535" i="8"/>
  <c r="L535" i="8"/>
  <c r="N331" i="8"/>
  <c r="L331" i="8"/>
  <c r="N487" i="8"/>
  <c r="L487" i="8"/>
  <c r="N402" i="8"/>
  <c r="L402" i="8"/>
  <c r="N333" i="8"/>
  <c r="L333" i="8"/>
  <c r="M413" i="8" s="1"/>
  <c r="N294" i="8"/>
  <c r="L294" i="8"/>
  <c r="N253" i="8"/>
  <c r="L253" i="8"/>
  <c r="N86" i="8"/>
  <c r="O38" i="8" s="1"/>
  <c r="L86" i="8"/>
  <c r="N132" i="8"/>
  <c r="L132" i="8"/>
  <c r="N106" i="8"/>
  <c r="L106" i="8"/>
  <c r="N31" i="8"/>
  <c r="L31" i="8"/>
  <c r="K15" i="8"/>
  <c r="N234" i="8"/>
  <c r="L234" i="8"/>
  <c r="N150" i="8"/>
  <c r="L150" i="8"/>
  <c r="N94" i="8"/>
  <c r="L94" i="8"/>
  <c r="N243" i="8"/>
  <c r="L243" i="8"/>
  <c r="N178" i="8"/>
  <c r="L178" i="8"/>
  <c r="I27" i="8"/>
  <c r="L7" i="8"/>
  <c r="N7" i="8"/>
  <c r="N236" i="8"/>
  <c r="L236" i="8"/>
  <c r="N93" i="8"/>
  <c r="O45" i="8" s="1"/>
  <c r="L93" i="8"/>
  <c r="N78" i="8"/>
  <c r="L78" i="8"/>
  <c r="M94" i="8" s="1"/>
  <c r="N45" i="8"/>
  <c r="L45" i="8"/>
  <c r="N136" i="8"/>
  <c r="L136" i="8"/>
  <c r="I35" i="8"/>
  <c r="N166" i="8"/>
  <c r="L166" i="8"/>
  <c r="N214" i="8"/>
  <c r="L214" i="8"/>
  <c r="N151" i="8"/>
  <c r="L151" i="8"/>
  <c r="I75" i="8"/>
  <c r="I1045" i="8"/>
  <c r="I972" i="8"/>
  <c r="I937" i="8"/>
  <c r="I856" i="8"/>
  <c r="I877" i="8"/>
  <c r="I796" i="8"/>
  <c r="I865" i="8"/>
  <c r="I847" i="8"/>
  <c r="I810" i="8"/>
  <c r="I664" i="8"/>
  <c r="I672" i="8"/>
  <c r="I683" i="8"/>
  <c r="I499" i="8"/>
  <c r="I649" i="8"/>
  <c r="I568" i="8"/>
  <c r="I173" i="8"/>
  <c r="I243" i="8"/>
  <c r="N925" i="8"/>
  <c r="O909" i="8" s="1"/>
  <c r="L925" i="8"/>
  <c r="M909" i="8" s="1"/>
  <c r="K909" i="8"/>
  <c r="N805" i="8"/>
  <c r="L805" i="8"/>
  <c r="N758" i="8"/>
  <c r="L758" i="8"/>
  <c r="N708" i="8"/>
  <c r="L708" i="8"/>
  <c r="N746" i="8"/>
  <c r="L746" i="8"/>
  <c r="N1064" i="8"/>
  <c r="L1064" i="8"/>
  <c r="N923" i="8"/>
  <c r="O907" i="8" s="1"/>
  <c r="L923" i="8"/>
  <c r="M907" i="8" s="1"/>
  <c r="N871" i="8"/>
  <c r="L871" i="8"/>
  <c r="N821" i="8"/>
  <c r="L821" i="8"/>
  <c r="M741" i="8" s="1"/>
  <c r="N732" i="8"/>
  <c r="L732" i="8"/>
  <c r="N912" i="8"/>
  <c r="O928" i="8" s="1"/>
  <c r="L912" i="8"/>
  <c r="M928" i="8" s="1"/>
  <c r="N973" i="8"/>
  <c r="L973" i="8"/>
  <c r="N924" i="8"/>
  <c r="O908" i="8" s="1"/>
  <c r="L924" i="8"/>
  <c r="M908" i="8" s="1"/>
  <c r="K908" i="8"/>
  <c r="N1003" i="8"/>
  <c r="L1003" i="8"/>
  <c r="N802" i="8"/>
  <c r="L802" i="8"/>
  <c r="N1020" i="8"/>
  <c r="L1020" i="8"/>
  <c r="N894" i="8"/>
  <c r="L894" i="8"/>
  <c r="N851" i="8"/>
  <c r="L851" i="8"/>
  <c r="N1029" i="8"/>
  <c r="L1029" i="8"/>
  <c r="K1013" i="8"/>
  <c r="N900" i="8"/>
  <c r="O916" i="8" s="1"/>
  <c r="L900" i="8"/>
  <c r="M916" i="8" s="1"/>
  <c r="N781" i="8"/>
  <c r="L781" i="8"/>
  <c r="N750" i="8"/>
  <c r="L750" i="8"/>
  <c r="N685" i="8"/>
  <c r="L685" i="8"/>
  <c r="N920" i="8"/>
  <c r="L920" i="8"/>
  <c r="M904" i="8" s="1"/>
  <c r="N1046" i="8"/>
  <c r="L1046" i="8"/>
  <c r="N740" i="8"/>
  <c r="L740" i="8"/>
  <c r="N626" i="8"/>
  <c r="L626" i="8"/>
  <c r="N462" i="8"/>
  <c r="L462" i="8"/>
  <c r="M334" i="8" s="1"/>
  <c r="N303" i="8"/>
  <c r="L303" i="8"/>
  <c r="N190" i="8"/>
  <c r="L190" i="8"/>
  <c r="N695" i="8"/>
  <c r="L695" i="8"/>
  <c r="N554" i="8"/>
  <c r="L554" i="8"/>
  <c r="N528" i="8"/>
  <c r="L528" i="8"/>
  <c r="N350" i="8"/>
  <c r="L350" i="8"/>
  <c r="N330" i="8"/>
  <c r="L330" i="8"/>
  <c r="K747" i="8"/>
  <c r="N530" i="8"/>
  <c r="L530" i="8"/>
  <c r="N311" i="8"/>
  <c r="L311" i="8"/>
  <c r="N180" i="8"/>
  <c r="L180" i="8"/>
  <c r="N143" i="8"/>
  <c r="L143" i="8"/>
  <c r="N64" i="8"/>
  <c r="L64" i="8"/>
  <c r="N837" i="8"/>
  <c r="L837" i="8"/>
  <c r="N710" i="8"/>
  <c r="L710" i="8"/>
  <c r="N637" i="8"/>
  <c r="L637" i="8"/>
  <c r="N600" i="8"/>
  <c r="L600" i="8"/>
  <c r="N503" i="8"/>
  <c r="L503" i="8"/>
  <c r="N474" i="8"/>
  <c r="L474" i="8"/>
  <c r="N445" i="8"/>
  <c r="L445" i="8"/>
  <c r="N389" i="8"/>
  <c r="L389" i="8"/>
  <c r="N258" i="8"/>
  <c r="L258" i="8"/>
  <c r="N238" i="8"/>
  <c r="L238" i="8"/>
  <c r="N553" i="8"/>
  <c r="L553" i="8"/>
  <c r="N512" i="8"/>
  <c r="L512" i="8"/>
  <c r="N479" i="8"/>
  <c r="L479" i="8"/>
  <c r="N394" i="8"/>
  <c r="L394" i="8"/>
  <c r="N235" i="8"/>
  <c r="L235" i="8"/>
  <c r="N199" i="8"/>
  <c r="L199" i="8"/>
  <c r="N749" i="8"/>
  <c r="L749" i="8"/>
  <c r="N440" i="8"/>
  <c r="L440" i="8"/>
  <c r="N420" i="8"/>
  <c r="L420" i="8"/>
  <c r="N719" i="8"/>
  <c r="L719" i="8"/>
  <c r="N644" i="8"/>
  <c r="L644" i="8"/>
  <c r="N580" i="8"/>
  <c r="L580" i="8"/>
  <c r="N560" i="8"/>
  <c r="L560" i="8"/>
  <c r="N531" i="8"/>
  <c r="L531" i="8"/>
  <c r="N516" i="8"/>
  <c r="L516" i="8"/>
  <c r="N652" i="8"/>
  <c r="L652" i="8"/>
  <c r="N606" i="8"/>
  <c r="L606" i="8"/>
  <c r="N552" i="8"/>
  <c r="L552" i="8"/>
  <c r="N522" i="8"/>
  <c r="L522" i="8"/>
  <c r="N455" i="8"/>
  <c r="L455" i="8"/>
  <c r="N292" i="8"/>
  <c r="L292" i="8"/>
  <c r="N232" i="8"/>
  <c r="L232" i="8"/>
  <c r="N208" i="8"/>
  <c r="L208" i="8"/>
  <c r="N179" i="8"/>
  <c r="L179" i="8"/>
  <c r="N130" i="8"/>
  <c r="L130" i="8"/>
  <c r="L4" i="8"/>
  <c r="M20" i="8" s="1"/>
  <c r="N4" i="8"/>
  <c r="L16" i="8"/>
  <c r="N16" i="8"/>
  <c r="N162" i="8"/>
  <c r="L162" i="8"/>
  <c r="N26" i="8"/>
  <c r="L26" i="8"/>
  <c r="K10" i="8"/>
  <c r="I225" i="8"/>
  <c r="N100" i="8"/>
  <c r="L100" i="8"/>
  <c r="N116" i="8"/>
  <c r="L116" i="8"/>
  <c r="N84" i="8"/>
  <c r="L84" i="8"/>
  <c r="N25" i="8"/>
  <c r="O41" i="8" s="1"/>
  <c r="L25" i="8"/>
  <c r="L15" i="8"/>
  <c r="N15" i="8"/>
  <c r="I843" i="8"/>
  <c r="I867" i="8"/>
  <c r="I858" i="8"/>
  <c r="I751" i="8"/>
  <c r="I805" i="8"/>
  <c r="I842" i="8"/>
  <c r="I591" i="8"/>
  <c r="I575" i="8"/>
  <c r="I546" i="8"/>
  <c r="I521" i="8"/>
  <c r="I681" i="8"/>
  <c r="I385" i="8"/>
  <c r="I382" i="8"/>
  <c r="I422" i="8"/>
  <c r="I399" i="8"/>
  <c r="I300" i="8"/>
  <c r="I168" i="8"/>
  <c r="I195" i="8"/>
  <c r="N745" i="8"/>
  <c r="L745" i="8"/>
  <c r="N756" i="8"/>
  <c r="L756" i="8"/>
  <c r="N906" i="8"/>
  <c r="O922" i="8" s="1"/>
  <c r="L906" i="8"/>
  <c r="N1072" i="8"/>
  <c r="L1072" i="8"/>
  <c r="N955" i="8"/>
  <c r="L955" i="8"/>
  <c r="K939" i="8"/>
  <c r="N911" i="8"/>
  <c r="O927" i="8" s="1"/>
  <c r="L911" i="8"/>
  <c r="M927" i="8" s="1"/>
  <c r="K927" i="8"/>
  <c r="N944" i="8"/>
  <c r="L944" i="8"/>
  <c r="N1019" i="8"/>
  <c r="L1019" i="8"/>
  <c r="N863" i="8"/>
  <c r="O751" i="8" s="1"/>
  <c r="L863" i="8"/>
  <c r="N814" i="8"/>
  <c r="L814" i="8"/>
  <c r="N818" i="8"/>
  <c r="L818" i="8"/>
  <c r="N1028" i="8"/>
  <c r="L1028" i="8"/>
  <c r="K1012" i="8"/>
  <c r="N839" i="8"/>
  <c r="L839" i="8"/>
  <c r="N931" i="8"/>
  <c r="L931" i="8"/>
  <c r="N1037" i="8"/>
  <c r="L1037" i="8"/>
  <c r="K1021" i="8"/>
  <c r="N933" i="8"/>
  <c r="O965" i="8" s="1"/>
  <c r="L933" i="8"/>
  <c r="N836" i="8"/>
  <c r="L836" i="8"/>
  <c r="N680" i="8"/>
  <c r="L680" i="8"/>
  <c r="N936" i="8"/>
  <c r="L936" i="8"/>
  <c r="N1054" i="8"/>
  <c r="L1054" i="8"/>
  <c r="N959" i="8"/>
  <c r="L959" i="8"/>
  <c r="N359" i="8"/>
  <c r="L359" i="8"/>
  <c r="N346" i="8"/>
  <c r="L346" i="8"/>
  <c r="N301" i="8"/>
  <c r="L301" i="8"/>
  <c r="N223" i="8"/>
  <c r="L223" i="8"/>
  <c r="N188" i="8"/>
  <c r="L188" i="8"/>
  <c r="N163" i="8"/>
  <c r="L163" i="8"/>
  <c r="N899" i="8"/>
  <c r="O915" i="8" s="1"/>
  <c r="L899" i="8"/>
  <c r="M915" i="8" s="1"/>
  <c r="N623" i="8"/>
  <c r="L623" i="8"/>
  <c r="N603" i="8"/>
  <c r="L603" i="8"/>
  <c r="N452" i="8"/>
  <c r="L452" i="8"/>
  <c r="N436" i="8"/>
  <c r="L436" i="8"/>
  <c r="N328" i="8"/>
  <c r="L328" i="8"/>
  <c r="N265" i="8"/>
  <c r="L265" i="8"/>
  <c r="N873" i="8"/>
  <c r="L873" i="8"/>
  <c r="N828" i="8"/>
  <c r="L828" i="8"/>
  <c r="N556" i="8"/>
  <c r="L556" i="8"/>
  <c r="N525" i="8"/>
  <c r="L525" i="8"/>
  <c r="N496" i="8"/>
  <c r="L496" i="8"/>
  <c r="N404" i="8"/>
  <c r="L404" i="8"/>
  <c r="N362" i="8"/>
  <c r="L362" i="8"/>
  <c r="N308" i="8"/>
  <c r="L308" i="8"/>
  <c r="N283" i="8"/>
  <c r="L283" i="8"/>
  <c r="N55" i="8"/>
  <c r="L55" i="8"/>
  <c r="N631" i="8"/>
  <c r="L631" i="8"/>
  <c r="N254" i="8"/>
  <c r="L254" i="8"/>
  <c r="N771" i="8"/>
  <c r="L771" i="8"/>
  <c r="N661" i="8"/>
  <c r="L661" i="8"/>
  <c r="N634" i="8"/>
  <c r="L634" i="8"/>
  <c r="N597" i="8"/>
  <c r="L597" i="8"/>
  <c r="N508" i="8"/>
  <c r="L508" i="8"/>
  <c r="N197" i="8"/>
  <c r="O165" i="8" s="1"/>
  <c r="L197" i="8"/>
  <c r="N812" i="8"/>
  <c r="L812" i="8"/>
  <c r="N611" i="8"/>
  <c r="L611" i="8"/>
  <c r="N570" i="8"/>
  <c r="L570" i="8"/>
  <c r="N483" i="8"/>
  <c r="L483" i="8"/>
  <c r="N458" i="8"/>
  <c r="L458" i="8"/>
  <c r="N435" i="8"/>
  <c r="L435" i="8"/>
  <c r="N356" i="8"/>
  <c r="L356" i="8"/>
  <c r="N275" i="8"/>
  <c r="L275" i="8"/>
  <c r="N237" i="8"/>
  <c r="L237" i="8"/>
  <c r="N683" i="8"/>
  <c r="L683" i="8"/>
  <c r="N527" i="8"/>
  <c r="L527" i="8"/>
  <c r="N329" i="8"/>
  <c r="L329" i="8"/>
  <c r="N686" i="8"/>
  <c r="L686" i="8"/>
  <c r="N569" i="8"/>
  <c r="L569" i="8"/>
  <c r="N547" i="8"/>
  <c r="L547" i="8"/>
  <c r="N400" i="8"/>
  <c r="O384" i="8" s="1"/>
  <c r="L400" i="8"/>
  <c r="N284" i="8"/>
  <c r="L284" i="8"/>
  <c r="N196" i="8"/>
  <c r="L196" i="8"/>
  <c r="N159" i="8"/>
  <c r="L159" i="8"/>
  <c r="N173" i="8"/>
  <c r="L173" i="8"/>
  <c r="N126" i="8"/>
  <c r="L126" i="8"/>
  <c r="N104" i="8"/>
  <c r="L104" i="8"/>
  <c r="N79" i="8"/>
  <c r="L79" i="8"/>
  <c r="N23" i="8"/>
  <c r="O39" i="8" s="1"/>
  <c r="L23" i="8"/>
  <c r="K7" i="8"/>
  <c r="N122" i="8"/>
  <c r="L122" i="8"/>
  <c r="N73" i="8"/>
  <c r="L73" i="8"/>
  <c r="I19" i="8"/>
  <c r="L11" i="8"/>
  <c r="N11" i="8"/>
  <c r="N137" i="8"/>
  <c r="L137" i="8"/>
  <c r="N103" i="8"/>
  <c r="L103" i="8"/>
  <c r="I43" i="8"/>
  <c r="N24" i="8"/>
  <c r="L24" i="8"/>
  <c r="M72" i="8" s="1"/>
  <c r="K72" i="8"/>
  <c r="N152" i="8"/>
  <c r="L152" i="8"/>
  <c r="N206" i="8"/>
  <c r="L206" i="8"/>
  <c r="N155" i="8"/>
  <c r="L155" i="8"/>
  <c r="I177" i="8"/>
  <c r="N149" i="8"/>
  <c r="L149" i="8"/>
  <c r="N62" i="8"/>
  <c r="L62" i="8"/>
  <c r="N205" i="8"/>
  <c r="L205" i="8"/>
  <c r="N99" i="8"/>
  <c r="L99" i="8"/>
  <c r="M3" i="8" s="1"/>
  <c r="N66" i="8"/>
  <c r="L66" i="8"/>
  <c r="I107" i="8"/>
  <c r="M753" i="8"/>
  <c r="O817" i="8"/>
  <c r="O865" i="8"/>
  <c r="O849" i="8"/>
  <c r="O897" i="8"/>
  <c r="M369" i="8"/>
  <c r="O881" i="8"/>
  <c r="O769" i="8"/>
  <c r="M513" i="8"/>
  <c r="M401" i="8"/>
  <c r="M433" i="8"/>
  <c r="O1073" i="8"/>
  <c r="O1057" i="8"/>
  <c r="O1041" i="8"/>
  <c r="I954" i="8"/>
  <c r="I938" i="8"/>
  <c r="K1022" i="8"/>
  <c r="I997" i="8"/>
  <c r="K985" i="8"/>
  <c r="K953" i="8"/>
  <c r="K1001" i="8"/>
  <c r="K969" i="8"/>
  <c r="M906" i="8"/>
  <c r="O906" i="8"/>
  <c r="K906" i="8"/>
  <c r="M924" i="8"/>
  <c r="K924" i="8"/>
  <c r="O924" i="8"/>
  <c r="K899" i="8"/>
  <c r="O899" i="8"/>
  <c r="M899" i="8"/>
  <c r="I871" i="8"/>
  <c r="K845" i="8"/>
  <c r="M881" i="8"/>
  <c r="O545" i="8"/>
  <c r="I506" i="8"/>
  <c r="I176" i="8"/>
  <c r="K172" i="8"/>
  <c r="I301" i="8"/>
  <c r="K299" i="8"/>
  <c r="K218" i="8"/>
  <c r="I212" i="8"/>
  <c r="I155" i="8"/>
  <c r="I150" i="8"/>
  <c r="K195" i="8"/>
  <c r="K307" i="8"/>
  <c r="I185" i="8"/>
  <c r="K297" i="8"/>
  <c r="K249" i="8"/>
  <c r="I223" i="8"/>
  <c r="K162" i="8"/>
  <c r="K306" i="8"/>
  <c r="K309" i="8"/>
  <c r="I34" i="8"/>
  <c r="I85" i="8"/>
  <c r="I54" i="8"/>
  <c r="I24" i="8"/>
  <c r="I82" i="8"/>
  <c r="K280" i="8"/>
  <c r="K248" i="8"/>
  <c r="K231" i="8"/>
  <c r="K311" i="8"/>
  <c r="K4" i="8"/>
  <c r="I49" i="8"/>
  <c r="K37" i="8"/>
  <c r="K1063" i="8"/>
  <c r="K1047" i="8"/>
  <c r="K1031" i="8"/>
  <c r="K1061" i="8"/>
  <c r="K1045" i="8"/>
  <c r="K1029" i="8"/>
  <c r="K943" i="8"/>
  <c r="K883" i="8"/>
  <c r="K867" i="8"/>
  <c r="K835" i="8"/>
  <c r="K851" i="8"/>
  <c r="K819" i="8"/>
  <c r="K803" i="8"/>
  <c r="K771" i="8"/>
  <c r="K787" i="8"/>
  <c r="K755" i="8"/>
  <c r="I771" i="8"/>
  <c r="I626" i="8"/>
  <c r="I394" i="8"/>
  <c r="K1024" i="8"/>
  <c r="I1065" i="8"/>
  <c r="I1039" i="8"/>
  <c r="I1023" i="8"/>
  <c r="I985" i="8"/>
  <c r="K942" i="8"/>
  <c r="I958" i="8"/>
  <c r="I951" i="8"/>
  <c r="K981" i="8"/>
  <c r="I793" i="8"/>
  <c r="I800" i="8"/>
  <c r="M769" i="8"/>
  <c r="K758" i="8"/>
  <c r="K896" i="8"/>
  <c r="K880" i="8"/>
  <c r="K848" i="8"/>
  <c r="K864" i="8"/>
  <c r="K832" i="8"/>
  <c r="K816" i="8"/>
  <c r="K800" i="8"/>
  <c r="K784" i="8"/>
  <c r="K768" i="8"/>
  <c r="K760" i="8"/>
  <c r="K885" i="8"/>
  <c r="K869" i="8"/>
  <c r="K853" i="8"/>
  <c r="K837" i="8"/>
  <c r="K821" i="8"/>
  <c r="K805" i="8"/>
  <c r="K789" i="8"/>
  <c r="K773" i="8"/>
  <c r="K757" i="8"/>
  <c r="K798" i="8"/>
  <c r="K894" i="8"/>
  <c r="K794" i="8"/>
  <c r="K871" i="8"/>
  <c r="K739" i="8"/>
  <c r="M785" i="8"/>
  <c r="K824" i="8"/>
  <c r="I765" i="8"/>
  <c r="I635" i="8"/>
  <c r="I693" i="8"/>
  <c r="I679" i="8"/>
  <c r="I647" i="8"/>
  <c r="I655" i="8"/>
  <c r="I579" i="8"/>
  <c r="I607" i="8"/>
  <c r="I594" i="8"/>
  <c r="K512" i="8"/>
  <c r="I689" i="8"/>
  <c r="I657" i="8"/>
  <c r="I513" i="8"/>
  <c r="K509" i="8"/>
  <c r="K555" i="8"/>
  <c r="K683" i="8"/>
  <c r="I661" i="8"/>
  <c r="I629" i="8"/>
  <c r="I613" i="8"/>
  <c r="I597" i="8"/>
  <c r="I501" i="8"/>
  <c r="I581" i="8"/>
  <c r="I685" i="8"/>
  <c r="I653" i="8"/>
  <c r="I589" i="8"/>
  <c r="I509" i="8"/>
  <c r="O593" i="8"/>
  <c r="K538" i="8"/>
  <c r="K650" i="8"/>
  <c r="I500" i="8"/>
  <c r="I522" i="8"/>
  <c r="I586" i="8"/>
  <c r="K646" i="8"/>
  <c r="I563" i="8"/>
  <c r="I526" i="8"/>
  <c r="K608" i="8"/>
  <c r="K720" i="8"/>
  <c r="I470" i="8"/>
  <c r="K591" i="8"/>
  <c r="K735" i="8"/>
  <c r="I485" i="8"/>
  <c r="I429" i="8"/>
  <c r="I405" i="8"/>
  <c r="K504" i="8"/>
  <c r="I461" i="8"/>
  <c r="K696" i="8"/>
  <c r="K728" i="8"/>
  <c r="I349" i="8"/>
  <c r="I346" i="8"/>
  <c r="I313" i="8"/>
  <c r="I388" i="8"/>
  <c r="I338" i="8"/>
  <c r="K447" i="8"/>
  <c r="K445" i="8"/>
  <c r="I389" i="8"/>
  <c r="I231" i="8"/>
  <c r="I167" i="8"/>
  <c r="I216" i="8"/>
  <c r="I152" i="8"/>
  <c r="I287" i="8"/>
  <c r="K402" i="8"/>
  <c r="K127" i="8"/>
  <c r="K117" i="8"/>
  <c r="I247" i="8"/>
  <c r="I175" i="8"/>
  <c r="K176" i="8"/>
  <c r="I125" i="8"/>
  <c r="K204" i="8"/>
  <c r="K308" i="8"/>
  <c r="K292" i="8"/>
  <c r="K276" i="8"/>
  <c r="K260" i="8"/>
  <c r="K228" i="8"/>
  <c r="K196" i="8"/>
  <c r="K164" i="8"/>
  <c r="K244" i="8"/>
  <c r="K212" i="8"/>
  <c r="K180" i="8"/>
  <c r="K148" i="8"/>
  <c r="K132" i="8"/>
  <c r="I130" i="8"/>
  <c r="K139" i="8"/>
  <c r="K170" i="8"/>
  <c r="K250" i="8"/>
  <c r="I261" i="8"/>
  <c r="I211" i="8"/>
  <c r="I182" i="8"/>
  <c r="K137" i="8"/>
  <c r="I159" i="8"/>
  <c r="I123" i="8"/>
  <c r="I277" i="8"/>
  <c r="K118" i="8"/>
  <c r="K194" i="8"/>
  <c r="K261" i="8"/>
  <c r="I8" i="8"/>
  <c r="I93" i="8"/>
  <c r="K255" i="8"/>
  <c r="K168" i="8"/>
  <c r="K296" i="8"/>
  <c r="K263" i="8"/>
  <c r="K80" i="8"/>
  <c r="I61" i="8"/>
  <c r="K57" i="8"/>
  <c r="K53" i="8"/>
  <c r="I81" i="8"/>
  <c r="K1066" i="8"/>
  <c r="K1050" i="8"/>
  <c r="K1034" i="8"/>
  <c r="K936" i="8"/>
  <c r="K886" i="8"/>
  <c r="K878" i="8"/>
  <c r="I386" i="8"/>
  <c r="I208" i="8"/>
  <c r="K115" i="8"/>
  <c r="I1054" i="8"/>
  <c r="K1015" i="8"/>
  <c r="O1015" i="8"/>
  <c r="I1042" i="8"/>
  <c r="K1070" i="8"/>
  <c r="K1054" i="8"/>
  <c r="K1038" i="8"/>
  <c r="K1048" i="8"/>
  <c r="I999" i="8"/>
  <c r="I1002" i="8"/>
  <c r="K980" i="8"/>
  <c r="K996" i="8"/>
  <c r="K964" i="8"/>
  <c r="K948" i="8"/>
  <c r="M1009" i="8"/>
  <c r="M977" i="8"/>
  <c r="M993" i="8"/>
  <c r="M961" i="8"/>
  <c r="K1005" i="8"/>
  <c r="K905" i="8"/>
  <c r="O905" i="8"/>
  <c r="I893" i="8"/>
  <c r="I852" i="8"/>
  <c r="I853" i="8"/>
  <c r="I784" i="8"/>
  <c r="I1072" i="8"/>
  <c r="I1024" i="8"/>
  <c r="M1018" i="8"/>
  <c r="K1018" i="8"/>
  <c r="K1017" i="8"/>
  <c r="K1023" i="8"/>
  <c r="M1023" i="8"/>
  <c r="O1023" i="8"/>
  <c r="I994" i="8"/>
  <c r="K934" i="8"/>
  <c r="I993" i="8"/>
  <c r="I956" i="8"/>
  <c r="I988" i="8"/>
  <c r="I971" i="8"/>
  <c r="I949" i="8"/>
  <c r="O904" i="8"/>
  <c r="K904" i="8"/>
  <c r="K1007" i="8"/>
  <c r="K950" i="8"/>
  <c r="I927" i="8"/>
  <c r="I875" i="8"/>
  <c r="I869" i="8"/>
  <c r="I851" i="8"/>
  <c r="I807" i="8"/>
  <c r="I779" i="8"/>
  <c r="I792" i="8"/>
  <c r="I833" i="8"/>
  <c r="K790" i="8"/>
  <c r="I797" i="8"/>
  <c r="I764" i="8"/>
  <c r="K895" i="8"/>
  <c r="K879" i="8"/>
  <c r="K847" i="8"/>
  <c r="K863" i="8"/>
  <c r="K831" i="8"/>
  <c r="K799" i="8"/>
  <c r="K815" i="8"/>
  <c r="K783" i="8"/>
  <c r="K767" i="8"/>
  <c r="I733" i="8"/>
  <c r="K743" i="8"/>
  <c r="K884" i="8"/>
  <c r="K868" i="8"/>
  <c r="K836" i="8"/>
  <c r="K852" i="8"/>
  <c r="K804" i="8"/>
  <c r="K820" i="8"/>
  <c r="K788" i="8"/>
  <c r="K772" i="8"/>
  <c r="K756" i="8"/>
  <c r="K882" i="8"/>
  <c r="K750" i="8"/>
  <c r="K744" i="8"/>
  <c r="K782" i="8"/>
  <c r="I730" i="8"/>
  <c r="K877" i="8"/>
  <c r="K826" i="8"/>
  <c r="I717" i="8"/>
  <c r="I859" i="8"/>
  <c r="K823" i="8"/>
  <c r="M817" i="8"/>
  <c r="K841" i="8"/>
  <c r="K856" i="8"/>
  <c r="I785" i="8"/>
  <c r="K745" i="8"/>
  <c r="I708" i="8"/>
  <c r="I619" i="8"/>
  <c r="I650" i="8"/>
  <c r="I686" i="8"/>
  <c r="I654" i="8"/>
  <c r="I612" i="8"/>
  <c r="I599" i="8"/>
  <c r="I592" i="8"/>
  <c r="I590" i="8"/>
  <c r="I583" i="8"/>
  <c r="I576" i="8"/>
  <c r="I512" i="8"/>
  <c r="K499" i="8"/>
  <c r="I564" i="8"/>
  <c r="I704" i="8"/>
  <c r="K727" i="8"/>
  <c r="K711" i="8"/>
  <c r="K695" i="8"/>
  <c r="K679" i="8"/>
  <c r="K663" i="8"/>
  <c r="K647" i="8"/>
  <c r="K631" i="8"/>
  <c r="K615" i="8"/>
  <c r="K599" i="8"/>
  <c r="K583" i="8"/>
  <c r="K567" i="8"/>
  <c r="K519" i="8"/>
  <c r="K551" i="8"/>
  <c r="K535" i="8"/>
  <c r="K507" i="8"/>
  <c r="K558" i="8"/>
  <c r="K686" i="8"/>
  <c r="K571" i="8"/>
  <c r="K699" i="8"/>
  <c r="K722" i="8"/>
  <c r="K706" i="8"/>
  <c r="K626" i="8"/>
  <c r="K610" i="8"/>
  <c r="K594" i="8"/>
  <c r="K690" i="8"/>
  <c r="K658" i="8"/>
  <c r="K674" i="8"/>
  <c r="K642" i="8"/>
  <c r="K562" i="8"/>
  <c r="K546" i="8"/>
  <c r="K530" i="8"/>
  <c r="K578" i="8"/>
  <c r="K514" i="8"/>
  <c r="I507" i="8"/>
  <c r="K510" i="8"/>
  <c r="O577" i="8"/>
  <c r="O721" i="8"/>
  <c r="K554" i="8"/>
  <c r="K682" i="8"/>
  <c r="I578" i="8"/>
  <c r="I562" i="8"/>
  <c r="I530" i="8"/>
  <c r="I498" i="8"/>
  <c r="I602" i="8"/>
  <c r="K534" i="8"/>
  <c r="K678" i="8"/>
  <c r="K624" i="8"/>
  <c r="I542" i="8"/>
  <c r="K623" i="8"/>
  <c r="I552" i="8"/>
  <c r="I445" i="8"/>
  <c r="I455" i="8"/>
  <c r="I458" i="8"/>
  <c r="K584" i="8"/>
  <c r="I440" i="8"/>
  <c r="I373" i="8"/>
  <c r="K331" i="8"/>
  <c r="K379" i="8"/>
  <c r="I348" i="8"/>
  <c r="I412" i="8"/>
  <c r="I401" i="8"/>
  <c r="I324" i="8"/>
  <c r="K365" i="8"/>
  <c r="I337" i="8"/>
  <c r="K126" i="8"/>
  <c r="I344" i="8"/>
  <c r="I380" i="8"/>
  <c r="I320" i="8"/>
  <c r="I296" i="8"/>
  <c r="K434" i="8"/>
  <c r="I299" i="8"/>
  <c r="I232" i="8"/>
  <c r="I200" i="8"/>
  <c r="I229" i="8"/>
  <c r="I114" i="8"/>
  <c r="I235" i="8"/>
  <c r="I239" i="8"/>
  <c r="K131" i="8"/>
  <c r="K208" i="8"/>
  <c r="K156" i="8"/>
  <c r="K236" i="8"/>
  <c r="I178" i="8"/>
  <c r="I284" i="8"/>
  <c r="K171" i="8"/>
  <c r="K202" i="8"/>
  <c r="K298" i="8"/>
  <c r="I258" i="8"/>
  <c r="I197" i="8"/>
  <c r="I131" i="8"/>
  <c r="I278" i="8"/>
  <c r="I214" i="8"/>
  <c r="K259" i="8"/>
  <c r="I136" i="8"/>
  <c r="K281" i="8"/>
  <c r="I274" i="8"/>
  <c r="I157" i="8"/>
  <c r="I169" i="8"/>
  <c r="K226" i="8"/>
  <c r="K149" i="8"/>
  <c r="K277" i="8"/>
  <c r="I77" i="8"/>
  <c r="K109" i="8"/>
  <c r="K64" i="8"/>
  <c r="K175" i="8"/>
  <c r="K287" i="8"/>
  <c r="K200" i="8"/>
  <c r="K312" i="8"/>
  <c r="K279" i="8"/>
  <c r="K13" i="8"/>
  <c r="I72" i="8"/>
  <c r="I21" i="8"/>
  <c r="I113" i="8"/>
  <c r="I101" i="8"/>
  <c r="I88" i="8"/>
  <c r="M4" i="8"/>
  <c r="K20" i="8"/>
  <c r="K73" i="8"/>
  <c r="K69" i="8"/>
  <c r="K949" i="8"/>
  <c r="M923" i="8"/>
  <c r="K923" i="8"/>
  <c r="O923" i="8"/>
  <c r="I642" i="8"/>
  <c r="K503" i="8"/>
  <c r="O689" i="8"/>
  <c r="K568" i="8"/>
  <c r="I354" i="8"/>
  <c r="K931" i="8"/>
  <c r="K965" i="8"/>
  <c r="I913" i="8"/>
  <c r="I819" i="8"/>
  <c r="I791" i="8"/>
  <c r="I743" i="8"/>
  <c r="K748" i="8"/>
  <c r="I739" i="8"/>
  <c r="K858" i="8"/>
  <c r="I891" i="8"/>
  <c r="I706" i="8"/>
  <c r="I687" i="8"/>
  <c r="I670" i="8"/>
  <c r="I637" i="8"/>
  <c r="K500" i="8"/>
  <c r="I555" i="8"/>
  <c r="I618" i="8"/>
  <c r="I551" i="8"/>
  <c r="I477" i="8"/>
  <c r="K333" i="8"/>
  <c r="K327" i="8"/>
  <c r="I374" i="8"/>
  <c r="I408" i="8"/>
  <c r="I312" i="8"/>
  <c r="I280" i="8"/>
  <c r="K188" i="8"/>
  <c r="K268" i="8"/>
  <c r="I124" i="8"/>
  <c r="K234" i="8"/>
  <c r="I194" i="8"/>
  <c r="I294" i="8"/>
  <c r="I249" i="8"/>
  <c r="K169" i="8"/>
  <c r="K313" i="8"/>
  <c r="I269" i="8"/>
  <c r="I147" i="8"/>
  <c r="I153" i="8"/>
  <c r="I132" i="8"/>
  <c r="I201" i="8"/>
  <c r="K258" i="8"/>
  <c r="K165" i="8"/>
  <c r="O97" i="8"/>
  <c r="O81" i="8"/>
  <c r="O65" i="8"/>
  <c r="O49" i="8"/>
  <c r="O33" i="8"/>
  <c r="O113" i="8"/>
  <c r="I86" i="8"/>
  <c r="K207" i="8"/>
  <c r="K319" i="8"/>
  <c r="K151" i="8"/>
  <c r="I56" i="8"/>
  <c r="M65" i="8"/>
  <c r="I25" i="8"/>
  <c r="I53" i="8"/>
  <c r="I37" i="8"/>
  <c r="K1068" i="8"/>
  <c r="K1052" i="8"/>
  <c r="K1036" i="8"/>
  <c r="M1073" i="8"/>
  <c r="M1041" i="8"/>
  <c r="M1057" i="8"/>
  <c r="K988" i="8"/>
  <c r="K1004" i="8"/>
  <c r="K972" i="8"/>
  <c r="K956" i="8"/>
  <c r="K957" i="8"/>
  <c r="K1016" i="8"/>
  <c r="I823" i="8"/>
  <c r="I855" i="8"/>
  <c r="I514" i="8"/>
  <c r="I466" i="8"/>
  <c r="K483" i="8"/>
  <c r="K451" i="8"/>
  <c r="K467" i="8"/>
  <c r="K419" i="8"/>
  <c r="K403" i="8"/>
  <c r="K387" i="8"/>
  <c r="K371" i="8"/>
  <c r="K355" i="8"/>
  <c r="K435" i="8"/>
  <c r="K339" i="8"/>
  <c r="I424" i="8"/>
  <c r="I1032" i="8"/>
  <c r="I1016" i="8"/>
  <c r="K1060" i="8"/>
  <c r="K1028" i="8"/>
  <c r="K1044" i="8"/>
  <c r="I969" i="8"/>
  <c r="I965" i="8"/>
  <c r="I933" i="8"/>
  <c r="O993" i="8"/>
  <c r="O977" i="8"/>
  <c r="O961" i="8"/>
  <c r="O1009" i="8"/>
  <c r="K959" i="8"/>
  <c r="I1007" i="8"/>
  <c r="I920" i="8"/>
  <c r="K806" i="8"/>
  <c r="I759" i="8"/>
  <c r="I741" i="8"/>
  <c r="I776" i="8"/>
  <c r="K765" i="8"/>
  <c r="K893" i="8"/>
  <c r="I727" i="8"/>
  <c r="K774" i="8"/>
  <c r="I763" i="8"/>
  <c r="I611" i="8"/>
  <c r="I549" i="8"/>
  <c r="I605" i="8"/>
  <c r="I554" i="8"/>
  <c r="K587" i="8"/>
  <c r="I503" i="8"/>
  <c r="I525" i="8"/>
  <c r="O609" i="8"/>
  <c r="O737" i="8"/>
  <c r="K570" i="8"/>
  <c r="K550" i="8"/>
  <c r="K662" i="8"/>
  <c r="I538" i="8"/>
  <c r="K639" i="8"/>
  <c r="I527" i="8"/>
  <c r="I471" i="8"/>
  <c r="I456" i="8"/>
  <c r="I444" i="8"/>
  <c r="I453" i="8"/>
  <c r="K600" i="8"/>
  <c r="I519" i="8"/>
  <c r="I423" i="8"/>
  <c r="I369" i="8"/>
  <c r="I426" i="8"/>
  <c r="I330" i="8"/>
  <c r="I342" i="8"/>
  <c r="I310" i="8"/>
  <c r="I118" i="8"/>
  <c r="K461" i="8"/>
  <c r="I143" i="8"/>
  <c r="I376" i="8"/>
  <c r="I272" i="8"/>
  <c r="K450" i="8"/>
  <c r="I297" i="8"/>
  <c r="K122" i="8"/>
  <c r="I288" i="8"/>
  <c r="K123" i="8"/>
  <c r="I226" i="8"/>
  <c r="I213" i="8"/>
  <c r="I149" i="8"/>
  <c r="I117" i="8"/>
  <c r="I1060" i="8"/>
  <c r="I1059" i="8"/>
  <c r="I1043" i="8"/>
  <c r="I1044" i="8"/>
  <c r="K1011" i="8"/>
  <c r="O1010" i="8"/>
  <c r="M1010" i="8"/>
  <c r="K1010" i="8"/>
  <c r="I1047" i="8"/>
  <c r="I1015" i="8"/>
  <c r="I974" i="8"/>
  <c r="I942" i="8"/>
  <c r="I986" i="8"/>
  <c r="I1010" i="8"/>
  <c r="I1004" i="8"/>
  <c r="I1018" i="8"/>
  <c r="I990" i="8"/>
  <c r="I970" i="8"/>
  <c r="I977" i="8"/>
  <c r="I955" i="8"/>
  <c r="K1006" i="8"/>
  <c r="K990" i="8"/>
  <c r="K974" i="8"/>
  <c r="K958" i="8"/>
  <c r="O1005" i="8"/>
  <c r="O947" i="8"/>
  <c r="I967" i="8"/>
  <c r="I935" i="8"/>
  <c r="I961" i="8"/>
  <c r="K975" i="8"/>
  <c r="K963" i="8"/>
  <c r="K921" i="8"/>
  <c r="M921" i="8"/>
  <c r="O921" i="8"/>
  <c r="K922" i="8"/>
  <c r="M922" i="8"/>
  <c r="I912" i="8"/>
  <c r="I894" i="8"/>
  <c r="I750" i="8"/>
  <c r="I879" i="8"/>
  <c r="O753" i="8"/>
  <c r="I829" i="8"/>
  <c r="I828" i="8"/>
  <c r="I844" i="8"/>
  <c r="I820" i="8"/>
  <c r="I804" i="8"/>
  <c r="I809" i="8"/>
  <c r="I817" i="8"/>
  <c r="I821" i="8"/>
  <c r="K822" i="8"/>
  <c r="K802" i="8"/>
  <c r="I781" i="8"/>
  <c r="K830" i="8"/>
  <c r="I705" i="8"/>
  <c r="I772" i="8"/>
  <c r="O801" i="8"/>
  <c r="K781" i="8"/>
  <c r="K876" i="8"/>
  <c r="K892" i="8"/>
  <c r="K860" i="8"/>
  <c r="K844" i="8"/>
  <c r="K812" i="8"/>
  <c r="K828" i="8"/>
  <c r="K764" i="8"/>
  <c r="K780" i="8"/>
  <c r="K796" i="8"/>
  <c r="K842" i="8"/>
  <c r="I789" i="8"/>
  <c r="I746" i="8"/>
  <c r="K887" i="8"/>
  <c r="M849" i="8"/>
  <c r="I874" i="8"/>
  <c r="K840" i="8"/>
  <c r="I714" i="8"/>
  <c r="I724" i="8"/>
  <c r="I737" i="8"/>
  <c r="I703" i="8"/>
  <c r="I719" i="8"/>
  <c r="I755" i="8"/>
  <c r="I688" i="8"/>
  <c r="I603" i="8"/>
  <c r="I632" i="8"/>
  <c r="I651" i="8"/>
  <c r="I634" i="8"/>
  <c r="I659" i="8"/>
  <c r="I610" i="8"/>
  <c r="I677" i="8"/>
  <c r="I573" i="8"/>
  <c r="I584" i="8"/>
  <c r="I511" i="8"/>
  <c r="K725" i="8"/>
  <c r="K709" i="8"/>
  <c r="K677" i="8"/>
  <c r="K661" i="8"/>
  <c r="K645" i="8"/>
  <c r="K629" i="8"/>
  <c r="K613" i="8"/>
  <c r="K597" i="8"/>
  <c r="K581" i="8"/>
  <c r="K693" i="8"/>
  <c r="K565" i="8"/>
  <c r="K549" i="8"/>
  <c r="K533" i="8"/>
  <c r="K517" i="8"/>
  <c r="K638" i="8"/>
  <c r="K718" i="8"/>
  <c r="K603" i="8"/>
  <c r="K715" i="8"/>
  <c r="I469" i="8"/>
  <c r="I695" i="8"/>
  <c r="K506" i="8"/>
  <c r="O625" i="8"/>
  <c r="I539" i="8"/>
  <c r="K586" i="8"/>
  <c r="K714" i="8"/>
  <c r="I531" i="8"/>
  <c r="I505" i="8"/>
  <c r="K566" i="8"/>
  <c r="I532" i="8"/>
  <c r="I535" i="8"/>
  <c r="I517" i="8"/>
  <c r="K656" i="8"/>
  <c r="I533" i="8"/>
  <c r="K559" i="8"/>
  <c r="K655" i="8"/>
  <c r="I707" i="8"/>
  <c r="I508" i="8"/>
  <c r="M412" i="8"/>
  <c r="I528" i="8"/>
  <c r="I414" i="8"/>
  <c r="K616" i="8"/>
  <c r="I439" i="8"/>
  <c r="I365" i="8"/>
  <c r="K491" i="8"/>
  <c r="K329" i="8"/>
  <c r="K473" i="8"/>
  <c r="K441" i="8"/>
  <c r="K489" i="8"/>
  <c r="K457" i="8"/>
  <c r="K409" i="8"/>
  <c r="K425" i="8"/>
  <c r="K393" i="8"/>
  <c r="K345" i="8"/>
  <c r="K377" i="8"/>
  <c r="K361" i="8"/>
  <c r="K326" i="8"/>
  <c r="I328" i="8"/>
  <c r="I291" i="8"/>
  <c r="I115" i="8"/>
  <c r="I370" i="8"/>
  <c r="I343" i="8"/>
  <c r="I392" i="8"/>
  <c r="K468" i="8"/>
  <c r="K436" i="8"/>
  <c r="K484" i="8"/>
  <c r="K452" i="8"/>
  <c r="K404" i="8"/>
  <c r="K372" i="8"/>
  <c r="K356" i="8"/>
  <c r="K340" i="8"/>
  <c r="K420" i="8"/>
  <c r="K388" i="8"/>
  <c r="I341" i="8"/>
  <c r="I309" i="8"/>
  <c r="I375" i="8"/>
  <c r="K351" i="8"/>
  <c r="I447" i="8"/>
  <c r="K493" i="8"/>
  <c r="K476" i="8"/>
  <c r="I256" i="8"/>
  <c r="I192" i="8"/>
  <c r="I290" i="8"/>
  <c r="I268" i="8"/>
  <c r="I204" i="8"/>
  <c r="I372" i="8"/>
  <c r="I248" i="8"/>
  <c r="I184" i="8"/>
  <c r="I260" i="8"/>
  <c r="I144" i="8"/>
  <c r="K466" i="8"/>
  <c r="I295" i="8"/>
  <c r="K120" i="8"/>
  <c r="K128" i="8"/>
  <c r="I217" i="8"/>
  <c r="I162" i="8"/>
  <c r="I146" i="8"/>
  <c r="I221" i="8"/>
  <c r="K146" i="8"/>
  <c r="K160" i="8"/>
  <c r="K272" i="8"/>
  <c r="K284" i="8"/>
  <c r="I275" i="8"/>
  <c r="K235" i="8"/>
  <c r="K266" i="8"/>
  <c r="I166" i="8"/>
  <c r="K179" i="8"/>
  <c r="I219" i="8"/>
  <c r="K185" i="8"/>
  <c r="I205" i="8"/>
  <c r="I227" i="8"/>
  <c r="I233" i="8"/>
  <c r="K178" i="8"/>
  <c r="K181" i="8"/>
  <c r="I69" i="8"/>
  <c r="I38" i="8"/>
  <c r="O24" i="8"/>
  <c r="I66" i="8"/>
  <c r="I40" i="8"/>
  <c r="K239" i="8"/>
  <c r="K303" i="8"/>
  <c r="K264" i="8"/>
  <c r="K183" i="8"/>
  <c r="M49" i="8"/>
  <c r="I29" i="8"/>
  <c r="M52" i="8"/>
  <c r="I18" i="8"/>
  <c r="M17" i="8"/>
  <c r="K48" i="8"/>
  <c r="K105" i="8"/>
  <c r="K1059" i="8"/>
  <c r="K1043" i="8"/>
  <c r="K1027" i="8"/>
  <c r="K1065" i="8"/>
  <c r="K1049" i="8"/>
  <c r="K1033" i="8"/>
  <c r="K940" i="8"/>
  <c r="M1026" i="8"/>
  <c r="I1001" i="8"/>
  <c r="I978" i="8"/>
  <c r="I953" i="8"/>
  <c r="K1008" i="8"/>
  <c r="K992" i="8"/>
  <c r="K976" i="8"/>
  <c r="K960" i="8"/>
  <c r="K911" i="8"/>
  <c r="K991" i="8"/>
  <c r="K1002" i="8"/>
  <c r="K986" i="8"/>
  <c r="K970" i="8"/>
  <c r="K954" i="8"/>
  <c r="K933" i="8"/>
  <c r="I840" i="8"/>
  <c r="I832" i="8"/>
  <c r="I839" i="8"/>
  <c r="I811" i="8"/>
  <c r="K746" i="8"/>
  <c r="O875" i="8"/>
  <c r="I803" i="8"/>
  <c r="K814" i="8"/>
  <c r="I835" i="8"/>
  <c r="K740" i="8"/>
  <c r="I761" i="8"/>
  <c r="I795" i="8"/>
  <c r="I747" i="8"/>
  <c r="K874" i="8"/>
  <c r="M809" i="8"/>
  <c r="M833" i="8"/>
  <c r="K888" i="8"/>
  <c r="I711" i="8"/>
  <c r="I775" i="8"/>
  <c r="I674" i="8"/>
  <c r="I631" i="8"/>
  <c r="I643" i="8"/>
  <c r="I658" i="8"/>
  <c r="I595" i="8"/>
  <c r="M590" i="8"/>
  <c r="I571" i="8"/>
  <c r="K724" i="8"/>
  <c r="K708" i="8"/>
  <c r="K676" i="8"/>
  <c r="K660" i="8"/>
  <c r="K644" i="8"/>
  <c r="K628" i="8"/>
  <c r="K612" i="8"/>
  <c r="K596" i="8"/>
  <c r="K580" i="8"/>
  <c r="K692" i="8"/>
  <c r="K548" i="8"/>
  <c r="K564" i="8"/>
  <c r="K532" i="8"/>
  <c r="K516" i="8"/>
  <c r="K505" i="8"/>
  <c r="O641" i="8"/>
  <c r="I699" i="8"/>
  <c r="O347" i="8"/>
  <c r="K502" i="8"/>
  <c r="I574" i="8"/>
  <c r="K671" i="8"/>
  <c r="I723" i="8"/>
  <c r="I492" i="8"/>
  <c r="I488" i="8"/>
  <c r="K520" i="8"/>
  <c r="K632" i="8"/>
  <c r="I428" i="8"/>
  <c r="K395" i="8"/>
  <c r="K328" i="8"/>
  <c r="K488" i="8"/>
  <c r="K456" i="8"/>
  <c r="K472" i="8"/>
  <c r="K440" i="8"/>
  <c r="K392" i="8"/>
  <c r="K424" i="8"/>
  <c r="K376" i="8"/>
  <c r="K360" i="8"/>
  <c r="K344" i="8"/>
  <c r="K408" i="8"/>
  <c r="K487" i="8"/>
  <c r="K455" i="8"/>
  <c r="K423" i="8"/>
  <c r="K407" i="8"/>
  <c r="K391" i="8"/>
  <c r="K471" i="8"/>
  <c r="K375" i="8"/>
  <c r="K359" i="8"/>
  <c r="K439" i="8"/>
  <c r="K343" i="8"/>
  <c r="I402" i="8"/>
  <c r="K324" i="8"/>
  <c r="I327" i="8"/>
  <c r="K323" i="8"/>
  <c r="I322" i="8"/>
  <c r="I450" i="8"/>
  <c r="I304" i="8"/>
  <c r="I199" i="8"/>
  <c r="I364" i="8"/>
  <c r="K354" i="8"/>
  <c r="I311" i="8"/>
  <c r="I135" i="8"/>
  <c r="M321" i="8"/>
  <c r="M305" i="8"/>
  <c r="M289" i="8"/>
  <c r="M257" i="8"/>
  <c r="M225" i="8"/>
  <c r="M193" i="8"/>
  <c r="M161" i="8"/>
  <c r="M273" i="8"/>
  <c r="M241" i="8"/>
  <c r="M209" i="8"/>
  <c r="M177" i="8"/>
  <c r="M145" i="8"/>
  <c r="I271" i="8"/>
  <c r="I203" i="8"/>
  <c r="K130" i="8"/>
  <c r="I255" i="8"/>
  <c r="I191" i="8"/>
  <c r="I127" i="8"/>
  <c r="I210" i="8"/>
  <c r="I187" i="8"/>
  <c r="K192" i="8"/>
  <c r="K252" i="8"/>
  <c r="K300" i="8"/>
  <c r="I242" i="8"/>
  <c r="K187" i="8"/>
  <c r="K267" i="8"/>
  <c r="K282" i="8"/>
  <c r="I116" i="8"/>
  <c r="I253" i="8"/>
  <c r="I148" i="8"/>
  <c r="I198" i="8"/>
  <c r="K211" i="8"/>
  <c r="I128" i="8"/>
  <c r="K201" i="8"/>
  <c r="I141" i="8"/>
  <c r="I265" i="8"/>
  <c r="K210" i="8"/>
  <c r="K197" i="8"/>
  <c r="K96" i="8"/>
  <c r="K144" i="8"/>
  <c r="I50" i="8"/>
  <c r="I6" i="8"/>
  <c r="O61" i="8"/>
  <c r="K29" i="8"/>
  <c r="M33" i="8"/>
  <c r="K271" i="8"/>
  <c r="K152" i="8"/>
  <c r="K215" i="8"/>
  <c r="K9" i="8"/>
  <c r="I9" i="8"/>
  <c r="I2" i="8"/>
  <c r="I41" i="8"/>
  <c r="O25" i="8"/>
  <c r="I903" i="8"/>
  <c r="I919" i="8"/>
  <c r="O774" i="8"/>
  <c r="I808" i="8"/>
  <c r="K751" i="8"/>
  <c r="I857" i="8"/>
  <c r="I825" i="8"/>
  <c r="I745" i="8"/>
  <c r="K838" i="8"/>
  <c r="K759" i="8"/>
  <c r="I777" i="8"/>
  <c r="K846" i="8"/>
  <c r="K762" i="8"/>
  <c r="K807" i="8"/>
  <c r="M865" i="8"/>
  <c r="K776" i="8"/>
  <c r="I692" i="8"/>
  <c r="I725" i="8"/>
  <c r="I628" i="8"/>
  <c r="I644" i="8"/>
  <c r="K508" i="8"/>
  <c r="K732" i="8"/>
  <c r="K700" i="8"/>
  <c r="K716" i="8"/>
  <c r="K684" i="8"/>
  <c r="K668" i="8"/>
  <c r="K652" i="8"/>
  <c r="K636" i="8"/>
  <c r="K620" i="8"/>
  <c r="K604" i="8"/>
  <c r="K588" i="8"/>
  <c r="K540" i="8"/>
  <c r="K572" i="8"/>
  <c r="K556" i="8"/>
  <c r="K524" i="8"/>
  <c r="K717" i="8"/>
  <c r="K733" i="8"/>
  <c r="K701" i="8"/>
  <c r="K685" i="8"/>
  <c r="K669" i="8"/>
  <c r="K653" i="8"/>
  <c r="K637" i="8"/>
  <c r="K621" i="8"/>
  <c r="K605" i="8"/>
  <c r="K589" i="8"/>
  <c r="K573" i="8"/>
  <c r="K541" i="8"/>
  <c r="K557" i="8"/>
  <c r="K525" i="8"/>
  <c r="I567" i="8"/>
  <c r="O657" i="8"/>
  <c r="K713" i="8"/>
  <c r="K729" i="8"/>
  <c r="K697" i="8"/>
  <c r="K681" i="8"/>
  <c r="K665" i="8"/>
  <c r="K649" i="8"/>
  <c r="K633" i="8"/>
  <c r="K617" i="8"/>
  <c r="K601" i="8"/>
  <c r="K585" i="8"/>
  <c r="K553" i="8"/>
  <c r="K569" i="8"/>
  <c r="K537" i="8"/>
  <c r="K521" i="8"/>
  <c r="I547" i="8"/>
  <c r="M705" i="8"/>
  <c r="M737" i="8"/>
  <c r="M721" i="8"/>
  <c r="M689" i="8"/>
  <c r="M673" i="8"/>
  <c r="M657" i="8"/>
  <c r="M641" i="8"/>
  <c r="M625" i="8"/>
  <c r="M609" i="8"/>
  <c r="M593" i="8"/>
  <c r="M577" i="8"/>
  <c r="M545" i="8"/>
  <c r="M561" i="8"/>
  <c r="M529" i="8"/>
  <c r="K498" i="8"/>
  <c r="K552" i="8"/>
  <c r="K648" i="8"/>
  <c r="K411" i="8"/>
  <c r="O497" i="8"/>
  <c r="O465" i="8"/>
  <c r="O433" i="8"/>
  <c r="O481" i="8"/>
  <c r="O417" i="8"/>
  <c r="O401" i="8"/>
  <c r="O385" i="8"/>
  <c r="O369" i="8"/>
  <c r="O353" i="8"/>
  <c r="O449" i="8"/>
  <c r="I396" i="8"/>
  <c r="I482" i="8"/>
  <c r="I251" i="8"/>
  <c r="K224" i="8"/>
  <c r="K304" i="8"/>
  <c r="K310" i="8"/>
  <c r="K294" i="8"/>
  <c r="K262" i="8"/>
  <c r="K230" i="8"/>
  <c r="K198" i="8"/>
  <c r="K166" i="8"/>
  <c r="K278" i="8"/>
  <c r="K246" i="8"/>
  <c r="K214" i="8"/>
  <c r="K182" i="8"/>
  <c r="K150" i="8"/>
  <c r="K134" i="8"/>
  <c r="K219" i="8"/>
  <c r="K315" i="8"/>
  <c r="K154" i="8"/>
  <c r="I189" i="8"/>
  <c r="I230" i="8"/>
  <c r="K291" i="8"/>
  <c r="K243" i="8"/>
  <c r="K217" i="8"/>
  <c r="K116" i="8"/>
  <c r="O116" i="8"/>
  <c r="I121" i="8"/>
  <c r="K318" i="8"/>
  <c r="K270" i="8"/>
  <c r="K238" i="8"/>
  <c r="K206" i="8"/>
  <c r="K174" i="8"/>
  <c r="K142" i="8"/>
  <c r="K302" i="8"/>
  <c r="K254" i="8"/>
  <c r="K222" i="8"/>
  <c r="K190" i="8"/>
  <c r="K158" i="8"/>
  <c r="K286" i="8"/>
  <c r="I120" i="8"/>
  <c r="K213" i="8"/>
  <c r="M76" i="8"/>
  <c r="M60" i="8"/>
  <c r="M44" i="8"/>
  <c r="M28" i="8"/>
  <c r="I105" i="8"/>
  <c r="K159" i="8"/>
  <c r="K184" i="8"/>
  <c r="K167" i="8"/>
  <c r="M97" i="8"/>
  <c r="M78" i="8"/>
  <c r="M46" i="8"/>
  <c r="I97" i="8"/>
  <c r="I57" i="8"/>
  <c r="M105" i="8"/>
  <c r="M25" i="8"/>
  <c r="M73" i="8"/>
  <c r="O101" i="8"/>
  <c r="I13" i="8"/>
  <c r="O66" i="8"/>
  <c r="I45" i="8"/>
  <c r="M1007" i="8"/>
  <c r="M975" i="8"/>
  <c r="M991" i="8"/>
  <c r="M959" i="8"/>
  <c r="I930" i="8"/>
  <c r="I946" i="8"/>
  <c r="O778" i="8"/>
  <c r="M778" i="8"/>
  <c r="I883" i="8"/>
  <c r="I760" i="8"/>
  <c r="K813" i="8"/>
  <c r="I663" i="8"/>
  <c r="I682" i="8"/>
  <c r="I690" i="8"/>
  <c r="I666" i="8"/>
  <c r="I621" i="8"/>
  <c r="K511" i="8"/>
  <c r="I510" i="8"/>
  <c r="O529" i="8"/>
  <c r="I731" i="8"/>
  <c r="O513" i="8"/>
  <c r="I570" i="8"/>
  <c r="K687" i="8"/>
  <c r="I490" i="8"/>
  <c r="K486" i="8"/>
  <c r="K470" i="8"/>
  <c r="K454" i="8"/>
  <c r="K438" i="8"/>
  <c r="K422" i="8"/>
  <c r="K390" i="8"/>
  <c r="K406" i="8"/>
  <c r="K374" i="8"/>
  <c r="K358" i="8"/>
  <c r="K342" i="8"/>
  <c r="I362" i="8"/>
  <c r="K322" i="8"/>
  <c r="O354" i="8"/>
  <c r="M418" i="8"/>
  <c r="I486" i="8"/>
  <c r="I454" i="8"/>
  <c r="I326" i="8"/>
  <c r="K114" i="8"/>
  <c r="I360" i="8"/>
  <c r="K370" i="8"/>
  <c r="K119" i="8"/>
  <c r="M1032" i="8"/>
  <c r="O1032" i="8"/>
  <c r="I1056" i="8"/>
  <c r="I1038" i="8"/>
  <c r="K1072" i="8"/>
  <c r="K1040" i="8"/>
  <c r="K1056" i="8"/>
  <c r="I1033" i="8"/>
  <c r="M1067" i="8"/>
  <c r="M1051" i="8"/>
  <c r="I1040" i="8"/>
  <c r="O973" i="8"/>
  <c r="K930" i="8"/>
  <c r="O944" i="8"/>
  <c r="M944" i="8"/>
  <c r="K944" i="8"/>
  <c r="K941" i="8"/>
  <c r="I959" i="8"/>
  <c r="I943" i="8"/>
  <c r="I987" i="8"/>
  <c r="I963" i="8"/>
  <c r="K983" i="8"/>
  <c r="K967" i="8"/>
  <c r="K999" i="8"/>
  <c r="K951" i="8"/>
  <c r="M937" i="8"/>
  <c r="M935" i="8"/>
  <c r="K935" i="8"/>
  <c r="K987" i="8"/>
  <c r="K971" i="8"/>
  <c r="K955" i="8"/>
  <c r="K1003" i="8"/>
  <c r="M938" i="8"/>
  <c r="O938" i="8"/>
  <c r="K938" i="8"/>
  <c r="K966" i="8"/>
  <c r="K989" i="8"/>
  <c r="I964" i="8"/>
  <c r="I932" i="8"/>
  <c r="K1000" i="8"/>
  <c r="K968" i="8"/>
  <c r="K984" i="8"/>
  <c r="K952" i="8"/>
  <c r="I908" i="8"/>
  <c r="K920" i="8"/>
  <c r="M920" i="8"/>
  <c r="O920" i="8"/>
  <c r="I931" i="8"/>
  <c r="M919" i="8"/>
  <c r="O919" i="8"/>
  <c r="K919" i="8"/>
  <c r="I897" i="8"/>
  <c r="I868" i="8"/>
  <c r="I848" i="8"/>
  <c r="I872" i="8"/>
  <c r="I873" i="8"/>
  <c r="I812" i="8"/>
  <c r="I863" i="8"/>
  <c r="O770" i="8"/>
  <c r="I788" i="8"/>
  <c r="M793" i="8"/>
  <c r="O841" i="8"/>
  <c r="I744" i="8"/>
  <c r="K870" i="8"/>
  <c r="K775" i="8"/>
  <c r="I752" i="8"/>
  <c r="O861" i="8"/>
  <c r="K834" i="8"/>
  <c r="I815" i="8"/>
  <c r="K862" i="8"/>
  <c r="O752" i="8"/>
  <c r="M752" i="8"/>
  <c r="K752" i="8"/>
  <c r="K742" i="8"/>
  <c r="M893" i="8"/>
  <c r="K829" i="8"/>
  <c r="K778" i="8"/>
  <c r="M840" i="8"/>
  <c r="M872" i="8"/>
  <c r="O760" i="8"/>
  <c r="I748" i="8"/>
  <c r="K791" i="8"/>
  <c r="O501" i="8"/>
  <c r="M866" i="8"/>
  <c r="I756" i="8"/>
  <c r="M897" i="8"/>
  <c r="K793" i="8"/>
  <c r="K808" i="8"/>
  <c r="K786" i="8"/>
  <c r="I702" i="8"/>
  <c r="I718" i="8"/>
  <c r="I656" i="8"/>
  <c r="I660" i="8"/>
  <c r="I671" i="8"/>
  <c r="I616" i="8"/>
  <c r="O507" i="8"/>
  <c r="I627" i="8"/>
  <c r="I676" i="8"/>
  <c r="I623" i="8"/>
  <c r="I596" i="8"/>
  <c r="I587" i="8"/>
  <c r="I541" i="8"/>
  <c r="I565" i="8"/>
  <c r="I557" i="8"/>
  <c r="M699" i="8"/>
  <c r="I559" i="8"/>
  <c r="I735" i="8"/>
  <c r="K606" i="8"/>
  <c r="K539" i="8"/>
  <c r="K651" i="8"/>
  <c r="I556" i="8"/>
  <c r="I606" i="8"/>
  <c r="M367" i="8"/>
  <c r="K335" i="8"/>
  <c r="I476" i="8"/>
  <c r="O561" i="8"/>
  <c r="I715" i="8"/>
  <c r="K634" i="8"/>
  <c r="K528" i="8"/>
  <c r="K598" i="8"/>
  <c r="I544" i="8"/>
  <c r="O735" i="8"/>
  <c r="O719" i="8"/>
  <c r="O671" i="8"/>
  <c r="O591" i="8"/>
  <c r="O543" i="8"/>
  <c r="O527" i="8"/>
  <c r="K707" i="8"/>
  <c r="K723" i="8"/>
  <c r="K691" i="8"/>
  <c r="K675" i="8"/>
  <c r="K659" i="8"/>
  <c r="K643" i="8"/>
  <c r="K627" i="8"/>
  <c r="K611" i="8"/>
  <c r="K595" i="8"/>
  <c r="K563" i="8"/>
  <c r="K531" i="8"/>
  <c r="K579" i="8"/>
  <c r="K547" i="8"/>
  <c r="K515" i="8"/>
  <c r="K576" i="8"/>
  <c r="K704" i="8"/>
  <c r="O654" i="8"/>
  <c r="I497" i="8"/>
  <c r="K543" i="8"/>
  <c r="K703" i="8"/>
  <c r="O378" i="8"/>
  <c r="M458" i="8"/>
  <c r="I442" i="8"/>
  <c r="I398" i="8"/>
  <c r="I334" i="8"/>
  <c r="I474" i="8"/>
  <c r="I523" i="8"/>
  <c r="I460" i="8"/>
  <c r="I516" i="8"/>
  <c r="O325" i="8"/>
  <c r="M421" i="8"/>
  <c r="K536" i="8"/>
  <c r="K664" i="8"/>
  <c r="I381" i="8"/>
  <c r="I357" i="8"/>
  <c r="I397" i="8"/>
  <c r="K443" i="8"/>
  <c r="K442" i="8"/>
  <c r="O383" i="8"/>
  <c r="I316" i="8"/>
  <c r="I418" i="8"/>
  <c r="K334" i="8"/>
  <c r="O464" i="8"/>
  <c r="O448" i="8"/>
  <c r="O432" i="8"/>
  <c r="O416" i="8"/>
  <c r="K325" i="8"/>
  <c r="I390" i="8"/>
  <c r="I358" i="8"/>
  <c r="I421" i="8"/>
  <c r="I325" i="8"/>
  <c r="M337" i="8"/>
  <c r="M461" i="8"/>
  <c r="M445" i="8"/>
  <c r="M381" i="8"/>
  <c r="M365" i="8"/>
  <c r="I391" i="8"/>
  <c r="K399" i="8"/>
  <c r="K350" i="8"/>
  <c r="K494" i="8"/>
  <c r="K397" i="8"/>
  <c r="M410" i="8"/>
  <c r="I283" i="8"/>
  <c r="I356" i="8"/>
  <c r="M129" i="8"/>
  <c r="O156" i="8"/>
  <c r="M188" i="8"/>
  <c r="K124" i="8"/>
  <c r="K386" i="8"/>
  <c r="M135" i="8"/>
  <c r="I156" i="8"/>
  <c r="M149" i="8"/>
  <c r="I237" i="8"/>
  <c r="O155" i="8"/>
  <c r="M203" i="8"/>
  <c r="M309" i="8"/>
  <c r="I245" i="8"/>
  <c r="I267" i="8"/>
  <c r="I183" i="8"/>
  <c r="O321" i="8"/>
  <c r="O289" i="8"/>
  <c r="O257" i="8"/>
  <c r="O225" i="8"/>
  <c r="O193" i="8"/>
  <c r="O161" i="8"/>
  <c r="O305" i="8"/>
  <c r="O273" i="8"/>
  <c r="O241" i="8"/>
  <c r="O209" i="8"/>
  <c r="O177" i="8"/>
  <c r="O145" i="8"/>
  <c r="M235" i="8"/>
  <c r="M219" i="8"/>
  <c r="I279" i="8"/>
  <c r="I119" i="8"/>
  <c r="K256" i="8"/>
  <c r="K320" i="8"/>
  <c r="K140" i="8"/>
  <c r="M266" i="8"/>
  <c r="M250" i="8"/>
  <c r="M234" i="8"/>
  <c r="M218" i="8"/>
  <c r="M138" i="8"/>
  <c r="M282" i="8"/>
  <c r="M314" i="8"/>
  <c r="M298" i="8"/>
  <c r="I285" i="8"/>
  <c r="K251" i="8"/>
  <c r="K283" i="8"/>
  <c r="K186" i="8"/>
  <c r="I215" i="8"/>
  <c r="O128" i="8"/>
  <c r="I262" i="8"/>
  <c r="K163" i="8"/>
  <c r="K275" i="8"/>
  <c r="K233" i="8"/>
  <c r="K269" i="8"/>
  <c r="K253" i="8"/>
  <c r="K237" i="8"/>
  <c r="K221" i="8"/>
  <c r="K205" i="8"/>
  <c r="K189" i="8"/>
  <c r="K173" i="8"/>
  <c r="K157" i="8"/>
  <c r="K141" i="8"/>
  <c r="K285" i="8"/>
  <c r="K317" i="8"/>
  <c r="K301" i="8"/>
  <c r="K121" i="8"/>
  <c r="O185" i="8"/>
  <c r="K274" i="8"/>
  <c r="K293" i="8"/>
  <c r="K229" i="8"/>
  <c r="I73" i="8"/>
  <c r="O64" i="8"/>
  <c r="M64" i="8"/>
  <c r="K16" i="8"/>
  <c r="I70" i="8"/>
  <c r="K61" i="8"/>
  <c r="M287" i="8"/>
  <c r="M271" i="8"/>
  <c r="M191" i="8"/>
  <c r="M159" i="8"/>
  <c r="K191" i="8"/>
  <c r="O264" i="8"/>
  <c r="O232" i="8"/>
  <c r="O200" i="8"/>
  <c r="O168" i="8"/>
  <c r="O184" i="8"/>
  <c r="K216" i="8"/>
  <c r="K199" i="8"/>
  <c r="K295" i="8"/>
  <c r="I137" i="8"/>
  <c r="O69" i="8"/>
  <c r="M21" i="8"/>
  <c r="I22" i="8"/>
  <c r="K25" i="8"/>
  <c r="K21" i="8"/>
  <c r="O86" i="8"/>
  <c r="M1025" i="5"/>
  <c r="O1025" i="5"/>
  <c r="O337" i="5"/>
  <c r="O129" i="5"/>
  <c r="O689" i="5"/>
  <c r="O705" i="5"/>
  <c r="O721" i="5"/>
  <c r="O737" i="5"/>
  <c r="O673" i="5"/>
  <c r="O529" i="5"/>
  <c r="O545" i="5"/>
  <c r="O561" i="5"/>
  <c r="O577" i="5"/>
  <c r="O625" i="5"/>
  <c r="O657" i="5"/>
  <c r="O593" i="5"/>
  <c r="O609" i="5"/>
  <c r="O641" i="5"/>
  <c r="O1041" i="5"/>
  <c r="O1057" i="5"/>
  <c r="O1073" i="5"/>
  <c r="O33" i="5"/>
  <c r="O49" i="5"/>
  <c r="O65" i="5"/>
  <c r="O81" i="5"/>
  <c r="O97" i="5"/>
  <c r="O113" i="5"/>
  <c r="O753" i="5"/>
  <c r="O769" i="5"/>
  <c r="O785" i="5"/>
  <c r="O801" i="5"/>
  <c r="O817" i="5"/>
  <c r="O833" i="5"/>
  <c r="O849" i="5"/>
  <c r="O865" i="5"/>
  <c r="O881" i="5"/>
  <c r="O897" i="5"/>
  <c r="O961" i="5"/>
  <c r="O977" i="5"/>
  <c r="O993" i="5"/>
  <c r="O1009" i="5"/>
  <c r="O17" i="5"/>
  <c r="O513" i="5"/>
  <c r="O145" i="5"/>
  <c r="O161" i="5"/>
  <c r="O177" i="5"/>
  <c r="O193" i="5"/>
  <c r="O209" i="5"/>
  <c r="O225" i="5"/>
  <c r="O241" i="5"/>
  <c r="O257" i="5"/>
  <c r="O273" i="5"/>
  <c r="O289" i="5"/>
  <c r="O305" i="5"/>
  <c r="O321" i="5"/>
  <c r="O353" i="5"/>
  <c r="O369" i="5"/>
  <c r="O385" i="5"/>
  <c r="O401" i="5"/>
  <c r="O417" i="5"/>
  <c r="O433" i="5"/>
  <c r="O449" i="5"/>
  <c r="O465" i="5"/>
  <c r="O481" i="5"/>
  <c r="O497" i="5"/>
  <c r="O945" i="5"/>
  <c r="M753" i="5"/>
  <c r="M337" i="5"/>
  <c r="M129" i="5"/>
  <c r="M529" i="5"/>
  <c r="M545" i="5"/>
  <c r="M561" i="5"/>
  <c r="M625" i="5"/>
  <c r="M673" i="5"/>
  <c r="M657" i="5"/>
  <c r="M721" i="5"/>
  <c r="M737" i="5"/>
  <c r="M641" i="5"/>
  <c r="M705" i="5"/>
  <c r="M593" i="5"/>
  <c r="M577" i="5"/>
  <c r="M609" i="5"/>
  <c r="M689" i="5"/>
  <c r="M1041" i="5"/>
  <c r="M1057" i="5"/>
  <c r="M1073" i="5"/>
  <c r="M49" i="5"/>
  <c r="M65" i="5"/>
  <c r="M81" i="5"/>
  <c r="M97" i="5"/>
  <c r="M113" i="5"/>
  <c r="M33" i="5"/>
  <c r="M769" i="5"/>
  <c r="M785" i="5"/>
  <c r="M801" i="5"/>
  <c r="M817" i="5"/>
  <c r="M833" i="5"/>
  <c r="M849" i="5"/>
  <c r="M865" i="5"/>
  <c r="M881" i="5"/>
  <c r="M897" i="5"/>
  <c r="M961" i="5"/>
  <c r="M977" i="5"/>
  <c r="M993" i="5"/>
  <c r="M1009" i="5"/>
  <c r="M17" i="5"/>
  <c r="M513" i="5"/>
  <c r="M145" i="5"/>
  <c r="M161" i="5"/>
  <c r="M177" i="5"/>
  <c r="M193" i="5"/>
  <c r="M209" i="5"/>
  <c r="M225" i="5"/>
  <c r="M241" i="5"/>
  <c r="M257" i="5"/>
  <c r="M273" i="5"/>
  <c r="M289" i="5"/>
  <c r="M305" i="5"/>
  <c r="M321" i="5"/>
  <c r="M353" i="5"/>
  <c r="M369" i="5"/>
  <c r="M385" i="5"/>
  <c r="M401" i="5"/>
  <c r="M417" i="5"/>
  <c r="M433" i="5"/>
  <c r="M449" i="5"/>
  <c r="M465" i="5"/>
  <c r="M481" i="5"/>
  <c r="M497" i="5"/>
  <c r="M945" i="5"/>
  <c r="M1035" i="8" l="1"/>
  <c r="O350" i="8"/>
  <c r="O995" i="8"/>
  <c r="O11" i="8"/>
  <c r="O607" i="8"/>
  <c r="M534" i="8"/>
  <c r="O639" i="8"/>
  <c r="O307" i="8"/>
  <c r="M239" i="8"/>
  <c r="O136" i="8"/>
  <c r="M349" i="8"/>
  <c r="O655" i="8"/>
  <c r="M110" i="8"/>
  <c r="M36" i="8"/>
  <c r="M68" i="8"/>
  <c r="M30" i="8"/>
  <c r="M350" i="8"/>
  <c r="M84" i="8"/>
  <c r="O963" i="8"/>
  <c r="O1012" i="8"/>
  <c r="M100" i="8"/>
  <c r="M39" i="8"/>
  <c r="O89" i="8"/>
  <c r="M8" i="8"/>
  <c r="M501" i="8"/>
  <c r="M220" i="8"/>
  <c r="M500" i="8"/>
  <c r="M662" i="8"/>
  <c r="M397" i="8"/>
  <c r="M493" i="8"/>
  <c r="O352" i="8"/>
  <c r="O480" i="8"/>
  <c r="M62" i="8"/>
  <c r="M104" i="8"/>
  <c r="M429" i="8"/>
  <c r="M477" i="8"/>
  <c r="O368" i="8"/>
  <c r="O496" i="8"/>
  <c r="O623" i="8"/>
  <c r="O1026" i="8"/>
  <c r="M571" i="8"/>
  <c r="M116" i="8"/>
  <c r="M770" i="8"/>
  <c r="O163" i="8"/>
  <c r="M102" i="8"/>
  <c r="O638" i="8"/>
  <c r="M742" i="8"/>
  <c r="O498" i="8"/>
  <c r="O108" i="8"/>
  <c r="M965" i="8"/>
  <c r="O1030" i="8"/>
  <c r="M646" i="8"/>
  <c r="M715" i="8"/>
  <c r="M22" i="8"/>
  <c r="M731" i="8"/>
  <c r="M38" i="8"/>
  <c r="M932" i="8"/>
  <c r="O809" i="8"/>
  <c r="O962" i="8"/>
  <c r="M79" i="8"/>
  <c r="O34" i="8"/>
  <c r="M751" i="8"/>
  <c r="O93" i="8"/>
  <c r="M1011" i="8"/>
  <c r="O261" i="8"/>
  <c r="M1013" i="8"/>
  <c r="M98" i="8"/>
  <c r="M347" i="8"/>
  <c r="O1024" i="8"/>
  <c r="O942" i="8"/>
  <c r="O140" i="8"/>
  <c r="O511" i="8"/>
  <c r="O798" i="8"/>
  <c r="O781" i="8"/>
  <c r="O933" i="8"/>
  <c r="O44" i="8"/>
  <c r="M966" i="8"/>
  <c r="M125" i="8"/>
  <c r="M89" i="8"/>
  <c r="M437" i="8"/>
  <c r="M798" i="8"/>
  <c r="M87" i="8"/>
  <c r="M518" i="8"/>
  <c r="M274" i="8"/>
  <c r="M1053" i="8"/>
  <c r="O135" i="8"/>
  <c r="O1062" i="8"/>
  <c r="O88" i="8"/>
  <c r="O96" i="8"/>
  <c r="M163" i="8"/>
  <c r="O415" i="8"/>
  <c r="M505" i="8"/>
  <c r="O146" i="8"/>
  <c r="M933" i="8"/>
  <c r="M108" i="8"/>
  <c r="O79" i="8"/>
  <c r="O779" i="8"/>
  <c r="O795" i="8"/>
  <c r="O940" i="8"/>
  <c r="M86" i="8"/>
  <c r="M702" i="8"/>
  <c r="M103" i="8"/>
  <c r="M558" i="8"/>
  <c r="O811" i="8"/>
  <c r="O63" i="8"/>
  <c r="O104" i="8"/>
  <c r="M9" i="8"/>
  <c r="M57" i="8"/>
  <c r="O2" i="8"/>
  <c r="O109" i="8"/>
  <c r="O827" i="8"/>
  <c r="O1071" i="8"/>
  <c r="M41" i="8"/>
  <c r="O18" i="8"/>
  <c r="O29" i="8"/>
  <c r="O843" i="8"/>
  <c r="M23" i="8"/>
  <c r="O859" i="8"/>
  <c r="O13" i="8"/>
  <c r="O510" i="8"/>
  <c r="O290" i="8"/>
  <c r="M1030" i="8"/>
  <c r="M813" i="8"/>
  <c r="O23" i="8"/>
  <c r="M654" i="8"/>
  <c r="O332" i="8"/>
  <c r="M202" i="8"/>
  <c r="M1046" i="8"/>
  <c r="M56" i="8"/>
  <c r="O105" i="8"/>
  <c r="O536" i="8"/>
  <c r="M290" i="8"/>
  <c r="O741" i="8"/>
  <c r="M632" i="8"/>
  <c r="M502" i="8"/>
  <c r="M827" i="8"/>
  <c r="M66" i="8"/>
  <c r="M304" i="8"/>
  <c r="M503" i="8"/>
  <c r="O304" i="8"/>
  <c r="O437" i="8"/>
  <c r="O502" i="8"/>
  <c r="M1019" i="8"/>
  <c r="M54" i="8"/>
  <c r="M92" i="8"/>
  <c r="O77" i="8"/>
  <c r="M55" i="8"/>
  <c r="O763" i="8"/>
  <c r="O891" i="8"/>
  <c r="O40" i="8"/>
  <c r="O1046" i="8"/>
  <c r="M70" i="8"/>
  <c r="M71" i="8"/>
  <c r="O56" i="8"/>
  <c r="O220" i="8"/>
  <c r="M542" i="8"/>
  <c r="M670" i="8"/>
  <c r="M1062" i="8"/>
  <c r="O60" i="8"/>
  <c r="M95" i="8"/>
  <c r="M88" i="8"/>
  <c r="M574" i="8"/>
  <c r="M686" i="8"/>
  <c r="O76" i="8"/>
  <c r="M111" i="8"/>
  <c r="M718" i="8"/>
  <c r="O92" i="8"/>
  <c r="M536" i="8"/>
  <c r="M877" i="8"/>
  <c r="O57" i="8"/>
  <c r="M606" i="8"/>
  <c r="M734" i="8"/>
  <c r="M31" i="8"/>
  <c r="M24" i="8"/>
  <c r="O288" i="8"/>
  <c r="M50" i="8"/>
  <c r="M648" i="8"/>
  <c r="O606" i="8"/>
  <c r="M506" i="8"/>
  <c r="M1037" i="8"/>
  <c r="M940" i="8"/>
  <c r="O586" i="8"/>
  <c r="O680" i="8"/>
  <c r="O272" i="8"/>
  <c r="O495" i="8"/>
  <c r="O83" i="8"/>
  <c r="O31" i="8"/>
  <c r="O648" i="8"/>
  <c r="O413" i="8"/>
  <c r="M1012" i="8"/>
  <c r="O1069" i="8"/>
  <c r="O1067" i="8"/>
  <c r="O937" i="8"/>
  <c r="O73" i="8"/>
  <c r="O622" i="8"/>
  <c r="M622" i="8"/>
  <c r="M47" i="8"/>
  <c r="M40" i="8"/>
  <c r="M638" i="8"/>
  <c r="O28" i="8"/>
  <c r="M63" i="8"/>
  <c r="M82" i="8"/>
  <c r="M526" i="8"/>
  <c r="M664" i="8"/>
  <c r="O47" i="8"/>
  <c r="O82" i="8"/>
  <c r="O664" i="8"/>
  <c r="M949" i="8"/>
  <c r="O51" i="8"/>
  <c r="M997" i="8"/>
  <c r="O72" i="8"/>
  <c r="O552" i="8"/>
  <c r="M963" i="8"/>
  <c r="O518" i="8"/>
  <c r="M1024" i="8"/>
  <c r="O429" i="8"/>
  <c r="O70" i="8"/>
  <c r="M12" i="8"/>
  <c r="M474" i="8"/>
  <c r="M448" i="8"/>
  <c r="O934" i="8"/>
  <c r="O931" i="8"/>
  <c r="M11" i="8"/>
  <c r="O67" i="8"/>
  <c r="M333" i="8"/>
  <c r="O1039" i="8"/>
  <c r="M981" i="8"/>
  <c r="O1007" i="8"/>
  <c r="O68" i="8"/>
  <c r="O444" i="8"/>
  <c r="M730" i="8"/>
  <c r="M19" i="8"/>
  <c r="O461" i="8"/>
  <c r="M995" i="8"/>
  <c r="O734" i="8"/>
  <c r="O474" i="8"/>
  <c r="M96" i="8"/>
  <c r="O714" i="8"/>
  <c r="O500" i="8"/>
  <c r="O87" i="8"/>
  <c r="M510" i="8"/>
  <c r="O4" i="8"/>
  <c r="O981" i="8"/>
  <c r="M520" i="8"/>
  <c r="M1014" i="8"/>
  <c r="O1051" i="8"/>
  <c r="O9" i="8"/>
  <c r="M495" i="8"/>
  <c r="O1053" i="8"/>
  <c r="M51" i="8"/>
  <c r="M118" i="8"/>
  <c r="M843" i="8"/>
  <c r="M307" i="8"/>
  <c r="M18" i="8"/>
  <c r="M288" i="8"/>
  <c r="M444" i="8"/>
  <c r="M527" i="8"/>
  <c r="M795" i="8"/>
  <c r="M1069" i="8"/>
  <c r="O118" i="8"/>
  <c r="O616" i="8"/>
  <c r="O99" i="8"/>
  <c r="O966" i="8"/>
  <c r="M384" i="8"/>
  <c r="O22" i="8"/>
  <c r="M496" i="8"/>
  <c r="O54" i="8"/>
  <c r="M432" i="8"/>
  <c r="O1022" i="8"/>
  <c r="O397" i="8"/>
  <c r="M464" i="8"/>
  <c r="O19" i="8"/>
  <c r="O520" i="8"/>
  <c r="O35" i="8"/>
  <c r="M34" i="8"/>
  <c r="M586" i="8"/>
  <c r="O949" i="8"/>
  <c r="O542" i="8"/>
  <c r="M875" i="8"/>
  <c r="M1071" i="8"/>
  <c r="M67" i="8"/>
  <c r="O36" i="8"/>
  <c r="O997" i="8"/>
  <c r="M859" i="8"/>
  <c r="M83" i="8"/>
  <c r="M1021" i="8"/>
  <c r="M779" i="8"/>
  <c r="M891" i="8"/>
  <c r="O991" i="8"/>
  <c r="M99" i="8"/>
  <c r="O943" i="8"/>
  <c r="O84" i="8"/>
  <c r="O1021" i="8"/>
  <c r="O590" i="8"/>
  <c r="O702" i="8"/>
  <c r="O975" i="8"/>
  <c r="O1035" i="8"/>
  <c r="O1037" i="8"/>
  <c r="O100" i="8"/>
  <c r="O14" i="8"/>
  <c r="O1013" i="8"/>
  <c r="M15" i="8"/>
  <c r="M763" i="8"/>
  <c r="O15" i="8"/>
  <c r="M811" i="8"/>
  <c r="M35" i="8"/>
  <c r="M747" i="8"/>
  <c r="M1022" i="8"/>
  <c r="O52" i="8"/>
  <c r="M400" i="8"/>
  <c r="O747" i="8"/>
  <c r="O20" i="8"/>
  <c r="O71" i="8"/>
  <c r="M480" i="8"/>
  <c r="M352" i="8"/>
  <c r="M368" i="8"/>
  <c r="M14" i="8"/>
  <c r="M416" i="8"/>
  <c r="M336" i="8"/>
  <c r="M939" i="8"/>
  <c r="M10" i="8"/>
  <c r="O939" i="8"/>
  <c r="O10" i="8"/>
  <c r="M2" i="8"/>
  <c r="M1020" i="8"/>
  <c r="O102" i="8"/>
  <c r="O336" i="8"/>
  <c r="O1020" i="8"/>
  <c r="O111" i="8"/>
  <c r="O95" i="8"/>
  <c r="O106" i="8"/>
  <c r="O26" i="8"/>
  <c r="O42" i="8"/>
  <c r="O58" i="8"/>
  <c r="O90" i="8"/>
  <c r="O74" i="8"/>
  <c r="O103" i="8"/>
  <c r="O55" i="8"/>
  <c r="M74" i="8"/>
  <c r="M58" i="8"/>
  <c r="M42" i="8"/>
  <c r="M26" i="8"/>
  <c r="M106" i="8"/>
  <c r="M90" i="8"/>
  <c r="O78" i="8"/>
  <c r="O110" i="8"/>
  <c r="O94" i="8"/>
  <c r="O30" i="8"/>
  <c r="O62" i="8"/>
  <c r="O46" i="8"/>
  <c r="M93" i="8"/>
  <c r="O107" i="8"/>
  <c r="O91" i="8"/>
  <c r="O75" i="8"/>
  <c r="O59" i="8"/>
  <c r="O43" i="8"/>
  <c r="O27" i="8"/>
  <c r="M7" i="8"/>
  <c r="O1014" i="8"/>
  <c r="O3" i="8"/>
  <c r="M6" i="8"/>
  <c r="M107" i="8"/>
  <c r="M91" i="8"/>
  <c r="M75" i="8"/>
  <c r="M59" i="8"/>
  <c r="M43" i="8"/>
  <c r="M27" i="8"/>
  <c r="O7" i="8"/>
  <c r="O12" i="8"/>
  <c r="O6" i="8"/>
  <c r="O1019" i="8"/>
  <c r="O8" i="8"/>
  <c r="O98" i="8"/>
  <c r="O50" i="8"/>
  <c r="M962" i="8"/>
  <c r="O213" i="8"/>
  <c r="M162" i="8"/>
  <c r="O284" i="8"/>
  <c r="M398" i="8"/>
  <c r="M261" i="8"/>
  <c r="M223" i="8"/>
  <c r="O160" i="8"/>
  <c r="O326" i="8"/>
  <c r="O329" i="8"/>
  <c r="O854" i="8"/>
  <c r="M327" i="8"/>
  <c r="M934" i="8"/>
  <c r="M943" i="8"/>
  <c r="O559" i="8"/>
  <c r="O687" i="8"/>
  <c r="O245" i="8"/>
  <c r="O172" i="8"/>
  <c r="M430" i="8"/>
  <c r="M338" i="8"/>
  <c r="M112" i="8"/>
  <c r="M330" i="8"/>
  <c r="O328" i="8"/>
  <c r="M845" i="8"/>
  <c r="M616" i="8"/>
  <c r="M293" i="8"/>
  <c r="O152" i="8"/>
  <c r="O575" i="8"/>
  <c r="O703" i="8"/>
  <c r="O873" i="8"/>
  <c r="O466" i="8"/>
  <c r="O309" i="8"/>
  <c r="O204" i="8"/>
  <c r="M414" i="8"/>
  <c r="O338" i="8"/>
  <c r="M323" i="8"/>
  <c r="M328" i="8"/>
  <c r="M777" i="8"/>
  <c r="M568" i="8"/>
  <c r="O632" i="8"/>
  <c r="O125" i="8"/>
  <c r="O840" i="8"/>
  <c r="M950" i="8"/>
  <c r="O137" i="8"/>
  <c r="M346" i="8"/>
  <c r="M683" i="8"/>
  <c r="O119" i="8"/>
  <c r="M280" i="8"/>
  <c r="O277" i="8"/>
  <c r="O188" i="8"/>
  <c r="M462" i="8"/>
  <c r="O179" i="8"/>
  <c r="O216" i="8"/>
  <c r="O323" i="8"/>
  <c r="M825" i="8"/>
  <c r="M740" i="8"/>
  <c r="M124" i="8"/>
  <c r="O138" i="8"/>
  <c r="O775" i="8"/>
  <c r="O718" i="8"/>
  <c r="O223" i="8"/>
  <c r="M603" i="8"/>
  <c r="M119" i="8"/>
  <c r="O293" i="8"/>
  <c r="O807" i="8"/>
  <c r="M5" i="8"/>
  <c r="O195" i="8"/>
  <c r="M782" i="8"/>
  <c r="M765" i="8"/>
  <c r="M931" i="8"/>
  <c r="M427" i="8"/>
  <c r="O790" i="8"/>
  <c r="O544" i="8"/>
  <c r="M587" i="8"/>
  <c r="M651" i="8"/>
  <c r="O85" i="8"/>
  <c r="O252" i="8"/>
  <c r="M498" i="8"/>
  <c r="M16" i="8"/>
  <c r="O211" i="8"/>
  <c r="M841" i="8"/>
  <c r="O830" i="8"/>
  <c r="O749" i="8"/>
  <c r="O316" i="8"/>
  <c r="M85" i="8"/>
  <c r="M197" i="8"/>
  <c r="O227" i="8"/>
  <c r="O240" i="8"/>
  <c r="O143" i="8"/>
  <c r="M69" i="8"/>
  <c r="M229" i="8"/>
  <c r="M329" i="8"/>
  <c r="M165" i="8"/>
  <c r="O202" i="8"/>
  <c r="O434" i="8"/>
  <c r="O1064" i="8"/>
  <c r="M999" i="8"/>
  <c r="M983" i="8"/>
  <c r="M967" i="8"/>
  <c r="M951" i="8"/>
  <c r="M1002" i="8"/>
  <c r="M970" i="8"/>
  <c r="M986" i="8"/>
  <c r="M954" i="8"/>
  <c r="M183" i="8"/>
  <c r="O320" i="8"/>
  <c r="M484" i="8"/>
  <c r="M452" i="8"/>
  <c r="M420" i="8"/>
  <c r="M404" i="8"/>
  <c r="M388" i="8"/>
  <c r="M468" i="8"/>
  <c r="M372" i="8"/>
  <c r="M356" i="8"/>
  <c r="M436" i="8"/>
  <c r="M340" i="8"/>
  <c r="O598" i="8"/>
  <c r="O635" i="8"/>
  <c r="O571" i="8"/>
  <c r="O989" i="8"/>
  <c r="O418" i="8"/>
  <c r="O362" i="8"/>
  <c r="O380" i="8"/>
  <c r="O485" i="8"/>
  <c r="O750" i="8"/>
  <c r="O862" i="8"/>
  <c r="M1060" i="8"/>
  <c r="M1028" i="8"/>
  <c r="M1044" i="8"/>
  <c r="O1004" i="8"/>
  <c r="O972" i="8"/>
  <c r="O988" i="8"/>
  <c r="O956" i="8"/>
  <c r="M1068" i="8"/>
  <c r="M1052" i="8"/>
  <c r="M1036" i="8"/>
  <c r="O16" i="8"/>
  <c r="O226" i="8"/>
  <c r="O327" i="8"/>
  <c r="M714" i="8"/>
  <c r="O80" i="8"/>
  <c r="M77" i="8"/>
  <c r="M109" i="8"/>
  <c r="M13" i="8"/>
  <c r="M29" i="8"/>
  <c r="M45" i="8"/>
  <c r="M61" i="8"/>
  <c r="M131" i="8"/>
  <c r="M195" i="8"/>
  <c r="M450" i="8"/>
  <c r="M442" i="8"/>
  <c r="O399" i="8"/>
  <c r="O331" i="8"/>
  <c r="O475" i="8"/>
  <c r="O443" i="8"/>
  <c r="O411" i="8"/>
  <c r="O427" i="8"/>
  <c r="O395" i="8"/>
  <c r="O379" i="8"/>
  <c r="O459" i="8"/>
  <c r="O491" i="8"/>
  <c r="O363" i="8"/>
  <c r="M499" i="8"/>
  <c r="O777" i="8"/>
  <c r="O823" i="8"/>
  <c r="M743" i="8"/>
  <c r="M839" i="8"/>
  <c r="M855" i="8"/>
  <c r="M823" i="8"/>
  <c r="M791" i="8"/>
  <c r="M807" i="8"/>
  <c r="M775" i="8"/>
  <c r="M887" i="8"/>
  <c r="M871" i="8"/>
  <c r="O1070" i="8"/>
  <c r="O1038" i="8"/>
  <c r="O1054" i="8"/>
  <c r="O618" i="8"/>
  <c r="M745" i="8"/>
  <c r="M80" i="8"/>
  <c r="M308" i="8"/>
  <c r="M292" i="8"/>
  <c r="M260" i="8"/>
  <c r="M228" i="8"/>
  <c r="M196" i="8"/>
  <c r="M164" i="8"/>
  <c r="M244" i="8"/>
  <c r="M212" i="8"/>
  <c r="M180" i="8"/>
  <c r="M276" i="8"/>
  <c r="M148" i="8"/>
  <c r="M132" i="8"/>
  <c r="O265" i="8"/>
  <c r="M459" i="8"/>
  <c r="M383" i="8"/>
  <c r="M544" i="8"/>
  <c r="M739" i="8"/>
  <c r="O792" i="8"/>
  <c r="M814" i="8"/>
  <c r="M882" i="8"/>
  <c r="M896" i="8"/>
  <c r="M880" i="8"/>
  <c r="M864" i="8"/>
  <c r="M848" i="8"/>
  <c r="M832" i="8"/>
  <c r="M816" i="8"/>
  <c r="M800" i="8"/>
  <c r="M768" i="8"/>
  <c r="M784" i="8"/>
  <c r="M858" i="8"/>
  <c r="M842" i="8"/>
  <c r="M826" i="8"/>
  <c r="M746" i="8"/>
  <c r="M810" i="8"/>
  <c r="M794" i="8"/>
  <c r="M890" i="8"/>
  <c r="M874" i="8"/>
  <c r="M762" i="8"/>
  <c r="O367" i="8"/>
  <c r="M883" i="8"/>
  <c r="M867" i="8"/>
  <c r="M835" i="8"/>
  <c r="M851" i="8"/>
  <c r="M803" i="8"/>
  <c r="M819" i="8"/>
  <c r="M755" i="8"/>
  <c r="M771" i="8"/>
  <c r="M787" i="8"/>
  <c r="M973" i="8"/>
  <c r="O1063" i="8"/>
  <c r="O1047" i="8"/>
  <c r="O1031" i="8"/>
  <c r="O191" i="8"/>
  <c r="M256" i="8"/>
  <c r="M320" i="8"/>
  <c r="O1058" i="8"/>
  <c r="M335" i="8"/>
  <c r="M296" i="8"/>
  <c r="O970" i="8"/>
  <c r="O986" i="8"/>
  <c r="O1002" i="8"/>
  <c r="O954" i="8"/>
  <c r="M1059" i="8"/>
  <c r="M1043" i="8"/>
  <c r="M1027" i="8"/>
  <c r="M215" i="8"/>
  <c r="O484" i="8"/>
  <c r="O468" i="8"/>
  <c r="O452" i="8"/>
  <c r="O436" i="8"/>
  <c r="O420" i="8"/>
  <c r="O372" i="8"/>
  <c r="O356" i="8"/>
  <c r="O340" i="8"/>
  <c r="O404" i="8"/>
  <c r="O388" i="8"/>
  <c r="O614" i="8"/>
  <c r="O829" i="8"/>
  <c r="O412" i="8"/>
  <c r="O389" i="8"/>
  <c r="O878" i="8"/>
  <c r="O1060" i="8"/>
  <c r="O1044" i="8"/>
  <c r="O1028" i="8"/>
  <c r="O1068" i="8"/>
  <c r="O1052" i="8"/>
  <c r="O1036" i="8"/>
  <c r="M115" i="8"/>
  <c r="M602" i="8"/>
  <c r="M476" i="8"/>
  <c r="M147" i="8"/>
  <c r="M227" i="8"/>
  <c r="M354" i="8"/>
  <c r="M482" i="8"/>
  <c r="M504" i="8"/>
  <c r="M727" i="8"/>
  <c r="M711" i="8"/>
  <c r="M695" i="8"/>
  <c r="M679" i="8"/>
  <c r="M647" i="8"/>
  <c r="M663" i="8"/>
  <c r="M631" i="8"/>
  <c r="M615" i="8"/>
  <c r="M599" i="8"/>
  <c r="M583" i="8"/>
  <c r="M567" i="8"/>
  <c r="M551" i="8"/>
  <c r="M535" i="8"/>
  <c r="M519" i="8"/>
  <c r="O499" i="8"/>
  <c r="M829" i="8"/>
  <c r="O839" i="8"/>
  <c r="M947" i="8"/>
  <c r="M1070" i="8"/>
  <c r="M1054" i="8"/>
  <c r="M1038" i="8"/>
  <c r="O634" i="8"/>
  <c r="O998" i="8"/>
  <c r="O281" i="8"/>
  <c r="O170" i="8"/>
  <c r="M140" i="8"/>
  <c r="M252" i="8"/>
  <c r="O442" i="8"/>
  <c r="M395" i="8"/>
  <c r="M475" i="8"/>
  <c r="M415" i="8"/>
  <c r="O431" i="8"/>
  <c r="O739" i="8"/>
  <c r="M830" i="8"/>
  <c r="O880" i="8"/>
  <c r="O896" i="8"/>
  <c r="O864" i="8"/>
  <c r="O832" i="8"/>
  <c r="O848" i="8"/>
  <c r="O816" i="8"/>
  <c r="O800" i="8"/>
  <c r="O784" i="8"/>
  <c r="O768" i="8"/>
  <c r="O883" i="8"/>
  <c r="O867" i="8"/>
  <c r="O851" i="8"/>
  <c r="O835" i="8"/>
  <c r="O819" i="8"/>
  <c r="O803" i="8"/>
  <c r="O787" i="8"/>
  <c r="O771" i="8"/>
  <c r="O755" i="8"/>
  <c r="O1048" i="8"/>
  <c r="O207" i="8"/>
  <c r="O335" i="8"/>
  <c r="M325" i="8"/>
  <c r="M114" i="8"/>
  <c r="O178" i="8"/>
  <c r="M469" i="8"/>
  <c r="M302" i="8"/>
  <c r="M270" i="8"/>
  <c r="M254" i="8"/>
  <c r="M238" i="8"/>
  <c r="M222" i="8"/>
  <c r="M206" i="8"/>
  <c r="M190" i="8"/>
  <c r="M174" i="8"/>
  <c r="M158" i="8"/>
  <c r="M142" i="8"/>
  <c r="M318" i="8"/>
  <c r="M286" i="8"/>
  <c r="O487" i="8"/>
  <c r="O455" i="8"/>
  <c r="O471" i="8"/>
  <c r="O423" i="8"/>
  <c r="O391" i="8"/>
  <c r="O439" i="8"/>
  <c r="O407" i="8"/>
  <c r="O375" i="8"/>
  <c r="O359" i="8"/>
  <c r="O343" i="8"/>
  <c r="O1008" i="8"/>
  <c r="O992" i="8"/>
  <c r="O960" i="8"/>
  <c r="O976" i="8"/>
  <c r="O1059" i="8"/>
  <c r="O1043" i="8"/>
  <c r="O1027" i="8"/>
  <c r="M167" i="8"/>
  <c r="M247" i="8"/>
  <c r="O114" i="8"/>
  <c r="O630" i="8"/>
  <c r="M1006" i="8"/>
  <c r="M990" i="8"/>
  <c r="M958" i="8"/>
  <c r="M974" i="8"/>
  <c r="O139" i="8"/>
  <c r="M122" i="8"/>
  <c r="O396" i="8"/>
  <c r="O405" i="8"/>
  <c r="O846" i="8"/>
  <c r="O813" i="8"/>
  <c r="M618" i="8"/>
  <c r="O742" i="8"/>
  <c r="M348" i="8"/>
  <c r="M460" i="8"/>
  <c r="O112" i="8"/>
  <c r="M179" i="8"/>
  <c r="M259" i="8"/>
  <c r="M370" i="8"/>
  <c r="M126" i="8"/>
  <c r="O711" i="8"/>
  <c r="O727" i="8"/>
  <c r="O695" i="8"/>
  <c r="O679" i="8"/>
  <c r="O663" i="8"/>
  <c r="O647" i="8"/>
  <c r="O631" i="8"/>
  <c r="O615" i="8"/>
  <c r="O599" i="8"/>
  <c r="O583" i="8"/>
  <c r="O567" i="8"/>
  <c r="O535" i="8"/>
  <c r="O551" i="8"/>
  <c r="O519" i="8"/>
  <c r="O855" i="8"/>
  <c r="O884" i="8"/>
  <c r="O852" i="8"/>
  <c r="O868" i="8"/>
  <c r="O836" i="8"/>
  <c r="O820" i="8"/>
  <c r="O772" i="8"/>
  <c r="O756" i="8"/>
  <c r="O788" i="8"/>
  <c r="O804" i="8"/>
  <c r="M895" i="8"/>
  <c r="M879" i="8"/>
  <c r="M847" i="8"/>
  <c r="M863" i="8"/>
  <c r="M815" i="8"/>
  <c r="M831" i="8"/>
  <c r="M799" i="8"/>
  <c r="M767" i="8"/>
  <c r="M783" i="8"/>
  <c r="M979" i="8"/>
  <c r="O996" i="8"/>
  <c r="O980" i="8"/>
  <c r="O964" i="8"/>
  <c r="O948" i="8"/>
  <c r="O522" i="8"/>
  <c r="O650" i="8"/>
  <c r="O982" i="8"/>
  <c r="O235" i="8"/>
  <c r="O297" i="8"/>
  <c r="M172" i="8"/>
  <c r="M284" i="8"/>
  <c r="M127" i="8"/>
  <c r="M491" i="8"/>
  <c r="M399" i="8"/>
  <c r="O686" i="8"/>
  <c r="O745" i="8"/>
  <c r="O824" i="8"/>
  <c r="O885" i="8"/>
  <c r="O869" i="8"/>
  <c r="O837" i="8"/>
  <c r="O853" i="8"/>
  <c r="O821" i="8"/>
  <c r="O789" i="8"/>
  <c r="O805" i="8"/>
  <c r="O757" i="8"/>
  <c r="O773" i="8"/>
  <c r="M846" i="8"/>
  <c r="M786" i="8"/>
  <c r="O941" i="8"/>
  <c r="O219" i="8"/>
  <c r="M144" i="8"/>
  <c r="O985" i="8"/>
  <c r="O969" i="8"/>
  <c r="O953" i="8"/>
  <c r="O1001" i="8"/>
  <c r="O479" i="8"/>
  <c r="O247" i="8"/>
  <c r="O1000" i="8"/>
  <c r="O984" i="8"/>
  <c r="O968" i="8"/>
  <c r="O952" i="8"/>
  <c r="M178" i="8"/>
  <c r="M635" i="8"/>
  <c r="M405" i="8"/>
  <c r="M199" i="8"/>
  <c r="M123" i="8"/>
  <c r="M120" i="8"/>
  <c r="O534" i="8"/>
  <c r="O646" i="8"/>
  <c r="O1006" i="8"/>
  <c r="O974" i="8"/>
  <c r="O990" i="8"/>
  <c r="O958" i="8"/>
  <c r="O122" i="8"/>
  <c r="O402" i="8"/>
  <c r="O450" i="8"/>
  <c r="O428" i="8"/>
  <c r="O341" i="8"/>
  <c r="O421" i="8"/>
  <c r="M680" i="8"/>
  <c r="O886" i="8"/>
  <c r="O766" i="8"/>
  <c r="O894" i="8"/>
  <c r="M522" i="8"/>
  <c r="M634" i="8"/>
  <c r="M748" i="8"/>
  <c r="M428" i="8"/>
  <c r="M492" i="8"/>
  <c r="O251" i="8"/>
  <c r="M211" i="8"/>
  <c r="M386" i="8"/>
  <c r="O126" i="8"/>
  <c r="O759" i="8"/>
  <c r="O871" i="8"/>
  <c r="O895" i="8"/>
  <c r="O879" i="8"/>
  <c r="O863" i="8"/>
  <c r="O847" i="8"/>
  <c r="O831" i="8"/>
  <c r="O815" i="8"/>
  <c r="O799" i="8"/>
  <c r="O783" i="8"/>
  <c r="O767" i="8"/>
  <c r="M998" i="8"/>
  <c r="O538" i="8"/>
  <c r="O666" i="8"/>
  <c r="O315" i="8"/>
  <c r="O153" i="8"/>
  <c r="O234" i="8"/>
  <c r="M204" i="8"/>
  <c r="M316" i="8"/>
  <c r="O127" i="8"/>
  <c r="M363" i="8"/>
  <c r="M431" i="8"/>
  <c r="O558" i="8"/>
  <c r="M509" i="8"/>
  <c r="O822" i="8"/>
  <c r="O808" i="8"/>
  <c r="M885" i="8"/>
  <c r="M869" i="8"/>
  <c r="M837" i="8"/>
  <c r="M853" i="8"/>
  <c r="M821" i="8"/>
  <c r="M789" i="8"/>
  <c r="M805" i="8"/>
  <c r="M773" i="8"/>
  <c r="M757" i="8"/>
  <c r="M862" i="8"/>
  <c r="M802" i="8"/>
  <c r="O1061" i="8"/>
  <c r="O1045" i="8"/>
  <c r="O1029" i="8"/>
  <c r="M941" i="8"/>
  <c r="M989" i="8"/>
  <c r="M1005" i="8"/>
  <c r="M957" i="8"/>
  <c r="O283" i="8"/>
  <c r="O303" i="8"/>
  <c r="O239" i="8"/>
  <c r="O242" i="8"/>
  <c r="M176" i="8"/>
  <c r="M985" i="8"/>
  <c r="M1001" i="8"/>
  <c r="M969" i="8"/>
  <c r="M953" i="8"/>
  <c r="O306" i="8"/>
  <c r="M984" i="8"/>
  <c r="M968" i="8"/>
  <c r="M952" i="8"/>
  <c r="M1000" i="8"/>
  <c r="M1072" i="8"/>
  <c r="M1056" i="8"/>
  <c r="M1040" i="8"/>
  <c r="M248" i="8"/>
  <c r="O967" i="8"/>
  <c r="O999" i="8"/>
  <c r="O983" i="8"/>
  <c r="O951" i="8"/>
  <c r="M319" i="8"/>
  <c r="M566" i="8"/>
  <c r="O603" i="8"/>
  <c r="M194" i="8"/>
  <c r="O724" i="8"/>
  <c r="O708" i="8"/>
  <c r="O692" i="8"/>
  <c r="O676" i="8"/>
  <c r="O644" i="8"/>
  <c r="O660" i="8"/>
  <c r="O628" i="8"/>
  <c r="O612" i="8"/>
  <c r="O596" i="8"/>
  <c r="O580" i="8"/>
  <c r="O564" i="8"/>
  <c r="O548" i="8"/>
  <c r="O532" i="8"/>
  <c r="O516" i="8"/>
  <c r="M694" i="8"/>
  <c r="M667" i="8"/>
  <c r="M808" i="8"/>
  <c r="M210" i="8"/>
  <c r="M485" i="8"/>
  <c r="M168" i="8"/>
  <c r="O334" i="8"/>
  <c r="O462" i="8"/>
  <c r="O414" i="8"/>
  <c r="O478" i="8"/>
  <c r="O430" i="8"/>
  <c r="O446" i="8"/>
  <c r="O382" i="8"/>
  <c r="O398" i="8"/>
  <c r="O366" i="8"/>
  <c r="O494" i="8"/>
  <c r="M378" i="8"/>
  <c r="M394" i="8"/>
  <c r="M582" i="8"/>
  <c r="M726" i="8"/>
  <c r="M523" i="8"/>
  <c r="M619" i="8"/>
  <c r="O838" i="8"/>
  <c r="M792" i="8"/>
  <c r="M738" i="8"/>
  <c r="O21" i="8"/>
  <c r="M226" i="8"/>
  <c r="M310" i="8"/>
  <c r="M278" i="8"/>
  <c r="M262" i="8"/>
  <c r="M246" i="8"/>
  <c r="M230" i="8"/>
  <c r="M214" i="8"/>
  <c r="M198" i="8"/>
  <c r="M182" i="8"/>
  <c r="M166" i="8"/>
  <c r="M150" i="8"/>
  <c r="M134" i="8"/>
  <c r="M294" i="8"/>
  <c r="O236" i="8"/>
  <c r="M332" i="8"/>
  <c r="M494" i="8"/>
  <c r="M357" i="8"/>
  <c r="O183" i="8"/>
  <c r="M136" i="8"/>
  <c r="M200" i="8"/>
  <c r="M181" i="8"/>
  <c r="O124" i="8"/>
  <c r="O291" i="8"/>
  <c r="O243" i="8"/>
  <c r="M487" i="8"/>
  <c r="M471" i="8"/>
  <c r="M455" i="8"/>
  <c r="M439" i="8"/>
  <c r="M407" i="8"/>
  <c r="M423" i="8"/>
  <c r="M391" i="8"/>
  <c r="M375" i="8"/>
  <c r="M359" i="8"/>
  <c r="M343" i="8"/>
  <c r="M724" i="8"/>
  <c r="M708" i="8"/>
  <c r="M676" i="8"/>
  <c r="M660" i="8"/>
  <c r="M644" i="8"/>
  <c r="M692" i="8"/>
  <c r="M628" i="8"/>
  <c r="M612" i="8"/>
  <c r="M596" i="8"/>
  <c r="M580" i="8"/>
  <c r="M564" i="8"/>
  <c r="M516" i="8"/>
  <c r="M548" i="8"/>
  <c r="M532" i="8"/>
  <c r="M857" i="8"/>
  <c r="O1065" i="8"/>
  <c r="O1049" i="8"/>
  <c r="O1033" i="8"/>
  <c r="M231" i="8"/>
  <c r="M311" i="8"/>
  <c r="O224" i="8"/>
  <c r="O120" i="8"/>
  <c r="M326" i="8"/>
  <c r="O568" i="8"/>
  <c r="O696" i="8"/>
  <c r="O566" i="8"/>
  <c r="O662" i="8"/>
  <c r="M709" i="8"/>
  <c r="M725" i="8"/>
  <c r="M677" i="8"/>
  <c r="M661" i="8"/>
  <c r="M645" i="8"/>
  <c r="M629" i="8"/>
  <c r="M613" i="8"/>
  <c r="M597" i="8"/>
  <c r="M581" i="8"/>
  <c r="M693" i="8"/>
  <c r="M565" i="8"/>
  <c r="M533" i="8"/>
  <c r="M549" i="8"/>
  <c r="M517" i="8"/>
  <c r="M854" i="8"/>
  <c r="M892" i="8"/>
  <c r="M860" i="8"/>
  <c r="M876" i="8"/>
  <c r="M828" i="8"/>
  <c r="M844" i="8"/>
  <c r="M812" i="8"/>
  <c r="M780" i="8"/>
  <c r="M796" i="8"/>
  <c r="M764" i="8"/>
  <c r="M861" i="8"/>
  <c r="O482" i="8"/>
  <c r="O469" i="8"/>
  <c r="M552" i="8"/>
  <c r="M696" i="8"/>
  <c r="O782" i="8"/>
  <c r="M483" i="8"/>
  <c r="M467" i="8"/>
  <c r="M451" i="8"/>
  <c r="M435" i="8"/>
  <c r="M419" i="8"/>
  <c r="M403" i="8"/>
  <c r="M371" i="8"/>
  <c r="M355" i="8"/>
  <c r="M339" i="8"/>
  <c r="M387" i="8"/>
  <c r="M1016" i="8"/>
  <c r="M1064" i="8"/>
  <c r="M1048" i="8"/>
  <c r="O333" i="8"/>
  <c r="M554" i="8"/>
  <c r="M650" i="8"/>
  <c r="M364" i="8"/>
  <c r="O503" i="8"/>
  <c r="O299" i="8"/>
  <c r="O194" i="8"/>
  <c r="M243" i="8"/>
  <c r="O493" i="8"/>
  <c r="O706" i="8"/>
  <c r="O722" i="8"/>
  <c r="O690" i="8"/>
  <c r="O674" i="8"/>
  <c r="O658" i="8"/>
  <c r="O642" i="8"/>
  <c r="O626" i="8"/>
  <c r="O610" i="8"/>
  <c r="O594" i="8"/>
  <c r="O578" i="8"/>
  <c r="O562" i="8"/>
  <c r="O530" i="8"/>
  <c r="O546" i="8"/>
  <c r="O514" i="8"/>
  <c r="O887" i="8"/>
  <c r="M982" i="8"/>
  <c r="M996" i="8"/>
  <c r="M980" i="8"/>
  <c r="M964" i="8"/>
  <c r="M948" i="8"/>
  <c r="M137" i="8"/>
  <c r="O570" i="8"/>
  <c r="O682" i="8"/>
  <c r="M936" i="8"/>
  <c r="O154" i="8"/>
  <c r="O266" i="8"/>
  <c r="M236" i="8"/>
  <c r="M300" i="8"/>
  <c r="M379" i="8"/>
  <c r="M447" i="8"/>
  <c r="O351" i="8"/>
  <c r="O509" i="8"/>
  <c r="M720" i="8"/>
  <c r="M576" i="8"/>
  <c r="M688" i="8"/>
  <c r="M560" i="8"/>
  <c r="M672" i="8"/>
  <c r="M656" i="8"/>
  <c r="M528" i="8"/>
  <c r="M640" i="8"/>
  <c r="M592" i="8"/>
  <c r="M624" i="8"/>
  <c r="M704" i="8"/>
  <c r="M512" i="8"/>
  <c r="M736" i="8"/>
  <c r="M608" i="8"/>
  <c r="M878" i="8"/>
  <c r="M818" i="8"/>
  <c r="M1061" i="8"/>
  <c r="M1029" i="8"/>
  <c r="M1045" i="8"/>
  <c r="O319" i="8"/>
  <c r="O255" i="8"/>
  <c r="M208" i="8"/>
  <c r="O506" i="8"/>
  <c r="M750" i="8"/>
  <c r="O731" i="8"/>
  <c r="O311" i="8"/>
  <c r="M267" i="8"/>
  <c r="M888" i="8"/>
  <c r="O470" i="8"/>
  <c r="O438" i="8"/>
  <c r="O486" i="8"/>
  <c r="O454" i="8"/>
  <c r="O406" i="8"/>
  <c r="O374" i="8"/>
  <c r="O358" i="8"/>
  <c r="O342" i="8"/>
  <c r="O422" i="8"/>
  <c r="O390" i="8"/>
  <c r="O263" i="8"/>
  <c r="M678" i="8"/>
  <c r="M507" i="8"/>
  <c r="M760" i="8"/>
  <c r="M470" i="8"/>
  <c r="M438" i="8"/>
  <c r="M486" i="8"/>
  <c r="M454" i="8"/>
  <c r="M406" i="8"/>
  <c r="M422" i="8"/>
  <c r="M374" i="8"/>
  <c r="M358" i="8"/>
  <c r="M342" i="8"/>
  <c r="M390" i="8"/>
  <c r="O171" i="8"/>
  <c r="O587" i="8"/>
  <c r="O187" i="8"/>
  <c r="O318" i="8"/>
  <c r="O302" i="8"/>
  <c r="O286" i="8"/>
  <c r="O254" i="8"/>
  <c r="O222" i="8"/>
  <c r="O190" i="8"/>
  <c r="O158" i="8"/>
  <c r="O270" i="8"/>
  <c r="O238" i="8"/>
  <c r="O206" i="8"/>
  <c r="O174" i="8"/>
  <c r="O142" i="8"/>
  <c r="M341" i="8"/>
  <c r="O296" i="8"/>
  <c r="O121" i="8"/>
  <c r="M251" i="8"/>
  <c r="O248" i="8"/>
  <c r="O312" i="8"/>
  <c r="M175" i="8"/>
  <c r="M121" i="8"/>
  <c r="M265" i="8"/>
  <c r="M153" i="8"/>
  <c r="M233" i="8"/>
  <c r="M281" i="8"/>
  <c r="M201" i="8"/>
  <c r="M169" i="8"/>
  <c r="M249" i="8"/>
  <c r="M313" i="8"/>
  <c r="M217" i="8"/>
  <c r="M297" i="8"/>
  <c r="M185" i="8"/>
  <c r="M170" i="8"/>
  <c r="M139" i="8"/>
  <c r="O394" i="8"/>
  <c r="O426" i="8"/>
  <c r="O490" i="8"/>
  <c r="O410" i="8"/>
  <c r="M723" i="8"/>
  <c r="M707" i="8"/>
  <c r="M675" i="8"/>
  <c r="M643" i="8"/>
  <c r="M627" i="8"/>
  <c r="M611" i="8"/>
  <c r="M659" i="8"/>
  <c r="M691" i="8"/>
  <c r="M579" i="8"/>
  <c r="M595" i="8"/>
  <c r="M563" i="8"/>
  <c r="M547" i="8"/>
  <c r="M531" i="8"/>
  <c r="M515" i="8"/>
  <c r="M598" i="8"/>
  <c r="M710" i="8"/>
  <c r="M539" i="8"/>
  <c r="M824" i="8"/>
  <c r="O761" i="8"/>
  <c r="O857" i="8"/>
  <c r="O825" i="8"/>
  <c r="O889" i="8"/>
  <c r="O793" i="8"/>
  <c r="O1003" i="8"/>
  <c r="O987" i="8"/>
  <c r="O955" i="8"/>
  <c r="O971" i="8"/>
  <c r="M322" i="8"/>
  <c r="O37" i="8"/>
  <c r="O133" i="8"/>
  <c r="O197" i="8"/>
  <c r="M306" i="8"/>
  <c r="M242" i="8"/>
  <c r="M128" i="8"/>
  <c r="O268" i="8"/>
  <c r="M446" i="8"/>
  <c r="M373" i="8"/>
  <c r="M729" i="8"/>
  <c r="M713" i="8"/>
  <c r="M681" i="8"/>
  <c r="M665" i="8"/>
  <c r="M649" i="8"/>
  <c r="M633" i="8"/>
  <c r="M617" i="8"/>
  <c r="M601" i="8"/>
  <c r="M585" i="8"/>
  <c r="M697" i="8"/>
  <c r="M553" i="8"/>
  <c r="M569" i="8"/>
  <c r="M537" i="8"/>
  <c r="M521" i="8"/>
  <c r="M717" i="8"/>
  <c r="M733" i="8"/>
  <c r="M701" i="8"/>
  <c r="M685" i="8"/>
  <c r="M669" i="8"/>
  <c r="M653" i="8"/>
  <c r="M637" i="8"/>
  <c r="M621" i="8"/>
  <c r="M605" i="8"/>
  <c r="M589" i="8"/>
  <c r="M557" i="8"/>
  <c r="M573" i="8"/>
  <c r="M541" i="8"/>
  <c r="M525" i="8"/>
  <c r="M53" i="8"/>
  <c r="O199" i="8"/>
  <c r="M152" i="8"/>
  <c r="M232" i="8"/>
  <c r="M133" i="8"/>
  <c r="M213" i="8"/>
  <c r="O131" i="8"/>
  <c r="O259" i="8"/>
  <c r="O447" i="8"/>
  <c r="M873" i="8"/>
  <c r="M1065" i="8"/>
  <c r="M1049" i="8"/>
  <c r="M1033" i="8"/>
  <c r="M263" i="8"/>
  <c r="O144" i="8"/>
  <c r="O256" i="8"/>
  <c r="O584" i="8"/>
  <c r="O712" i="8"/>
  <c r="O715" i="8"/>
  <c r="O550" i="8"/>
  <c r="O678" i="8"/>
  <c r="O709" i="8"/>
  <c r="O725" i="8"/>
  <c r="O693" i="8"/>
  <c r="O677" i="8"/>
  <c r="O661" i="8"/>
  <c r="O645" i="8"/>
  <c r="O629" i="8"/>
  <c r="O613" i="8"/>
  <c r="O597" i="8"/>
  <c r="O581" i="8"/>
  <c r="O549" i="8"/>
  <c r="O517" i="8"/>
  <c r="O565" i="8"/>
  <c r="O533" i="8"/>
  <c r="O892" i="8"/>
  <c r="O876" i="8"/>
  <c r="O844" i="8"/>
  <c r="O860" i="8"/>
  <c r="O828" i="8"/>
  <c r="O812" i="8"/>
  <c r="O780" i="8"/>
  <c r="O796" i="8"/>
  <c r="O764" i="8"/>
  <c r="O979" i="8"/>
  <c r="O460" i="8"/>
  <c r="O357" i="8"/>
  <c r="M584" i="8"/>
  <c r="M728" i="8"/>
  <c r="O814" i="8"/>
  <c r="O467" i="8"/>
  <c r="O435" i="8"/>
  <c r="O483" i="8"/>
  <c r="O451" i="8"/>
  <c r="O403" i="8"/>
  <c r="O419" i="8"/>
  <c r="O339" i="8"/>
  <c r="O371" i="8"/>
  <c r="O355" i="8"/>
  <c r="O387" i="8"/>
  <c r="O1016" i="8"/>
  <c r="M538" i="8"/>
  <c r="M666" i="8"/>
  <c r="O748" i="8"/>
  <c r="M380" i="8"/>
  <c r="O32" i="8"/>
  <c r="M275" i="8"/>
  <c r="M402" i="8"/>
  <c r="O349" i="8"/>
  <c r="O445" i="8"/>
  <c r="O523" i="8"/>
  <c r="M722" i="8"/>
  <c r="M706" i="8"/>
  <c r="M690" i="8"/>
  <c r="M674" i="8"/>
  <c r="M658" i="8"/>
  <c r="M642" i="8"/>
  <c r="M626" i="8"/>
  <c r="M610" i="8"/>
  <c r="M594" i="8"/>
  <c r="M578" i="8"/>
  <c r="M562" i="8"/>
  <c r="M546" i="8"/>
  <c r="M530" i="8"/>
  <c r="M514" i="8"/>
  <c r="O744" i="8"/>
  <c r="M884" i="8"/>
  <c r="M852" i="8"/>
  <c r="M868" i="8"/>
  <c r="M804" i="8"/>
  <c r="M836" i="8"/>
  <c r="M820" i="8"/>
  <c r="M772" i="8"/>
  <c r="M788" i="8"/>
  <c r="M756" i="8"/>
  <c r="O1017" i="8"/>
  <c r="M781" i="8"/>
  <c r="O554" i="8"/>
  <c r="O698" i="8"/>
  <c r="O936" i="8"/>
  <c r="O274" i="8"/>
  <c r="O169" i="8"/>
  <c r="O217" i="8"/>
  <c r="O186" i="8"/>
  <c r="O282" i="8"/>
  <c r="M268" i="8"/>
  <c r="O117" i="8"/>
  <c r="O330" i="8"/>
  <c r="M411" i="8"/>
  <c r="M463" i="8"/>
  <c r="O704" i="8"/>
  <c r="O560" i="8"/>
  <c r="O672" i="8"/>
  <c r="O640" i="8"/>
  <c r="O528" i="8"/>
  <c r="O624" i="8"/>
  <c r="O576" i="8"/>
  <c r="O608" i="8"/>
  <c r="O688" i="8"/>
  <c r="O720" i="8"/>
  <c r="O736" i="8"/>
  <c r="O656" i="8"/>
  <c r="O512" i="8"/>
  <c r="O592" i="8"/>
  <c r="O856" i="8"/>
  <c r="M766" i="8"/>
  <c r="M894" i="8"/>
  <c r="M834" i="8"/>
  <c r="O271" i="8"/>
  <c r="M160" i="8"/>
  <c r="M240" i="8"/>
  <c r="M48" i="8"/>
  <c r="O699" i="8"/>
  <c r="M187" i="8"/>
  <c r="O310" i="8"/>
  <c r="O294" i="8"/>
  <c r="O278" i="8"/>
  <c r="O246" i="8"/>
  <c r="O214" i="8"/>
  <c r="O182" i="8"/>
  <c r="O150" i="8"/>
  <c r="O262" i="8"/>
  <c r="O230" i="8"/>
  <c r="O198" i="8"/>
  <c r="O166" i="8"/>
  <c r="O134" i="8"/>
  <c r="M453" i="8"/>
  <c r="O279" i="8"/>
  <c r="M299" i="8"/>
  <c r="M550" i="8"/>
  <c r="O729" i="8"/>
  <c r="O713" i="8"/>
  <c r="O697" i="8"/>
  <c r="O681" i="8"/>
  <c r="O665" i="8"/>
  <c r="O649" i="8"/>
  <c r="O633" i="8"/>
  <c r="O617" i="8"/>
  <c r="O585" i="8"/>
  <c r="O601" i="8"/>
  <c r="O569" i="8"/>
  <c r="O537" i="8"/>
  <c r="O521" i="8"/>
  <c r="O553" i="8"/>
  <c r="M1008" i="8"/>
  <c r="M992" i="8"/>
  <c r="M976" i="8"/>
  <c r="M960" i="8"/>
  <c r="M303" i="8"/>
  <c r="M154" i="8"/>
  <c r="M315" i="8"/>
  <c r="O280" i="8"/>
  <c r="M207" i="8"/>
  <c r="O210" i="8"/>
  <c r="M186" i="8"/>
  <c r="M171" i="8"/>
  <c r="O619" i="8"/>
  <c r="O723" i="8"/>
  <c r="O707" i="8"/>
  <c r="O691" i="8"/>
  <c r="O675" i="8"/>
  <c r="O659" i="8"/>
  <c r="O643" i="8"/>
  <c r="O627" i="8"/>
  <c r="O611" i="8"/>
  <c r="O595" i="8"/>
  <c r="O579" i="8"/>
  <c r="O547" i="8"/>
  <c r="O563" i="8"/>
  <c r="O531" i="8"/>
  <c r="O515" i="8"/>
  <c r="M614" i="8"/>
  <c r="M555" i="8"/>
  <c r="M856" i="8"/>
  <c r="M1003" i="8"/>
  <c r="M987" i="8"/>
  <c r="M971" i="8"/>
  <c r="M955" i="8"/>
  <c r="O930" i="8"/>
  <c r="O978" i="8"/>
  <c r="O946" i="8"/>
  <c r="O994" i="8"/>
  <c r="O1072" i="8"/>
  <c r="O1056" i="8"/>
  <c r="O1040" i="8"/>
  <c r="O322" i="8"/>
  <c r="O53" i="8"/>
  <c r="O5" i="8"/>
  <c r="O149" i="8"/>
  <c r="O229" i="8"/>
  <c r="M130" i="8"/>
  <c r="M258" i="8"/>
  <c r="O300" i="8"/>
  <c r="M366" i="8"/>
  <c r="M478" i="8"/>
  <c r="M389" i="8"/>
  <c r="O733" i="8"/>
  <c r="O701" i="8"/>
  <c r="O717" i="8"/>
  <c r="O685" i="8"/>
  <c r="O669" i="8"/>
  <c r="O653" i="8"/>
  <c r="O637" i="8"/>
  <c r="O621" i="8"/>
  <c r="O605" i="8"/>
  <c r="O589" i="8"/>
  <c r="O557" i="8"/>
  <c r="O525" i="8"/>
  <c r="O573" i="8"/>
  <c r="O541" i="8"/>
  <c r="M716" i="8"/>
  <c r="M732" i="8"/>
  <c r="M700" i="8"/>
  <c r="M684" i="8"/>
  <c r="M668" i="8"/>
  <c r="M652" i="8"/>
  <c r="M636" i="8"/>
  <c r="M620" i="8"/>
  <c r="M588" i="8"/>
  <c r="M604" i="8"/>
  <c r="M540" i="8"/>
  <c r="M572" i="8"/>
  <c r="M524" i="8"/>
  <c r="M556" i="8"/>
  <c r="M508" i="8"/>
  <c r="M37" i="8"/>
  <c r="O215" i="8"/>
  <c r="M184" i="8"/>
  <c r="M264" i="8"/>
  <c r="M277" i="8"/>
  <c r="M245" i="8"/>
  <c r="O147" i="8"/>
  <c r="O275" i="8"/>
  <c r="M324" i="8"/>
  <c r="O488" i="8"/>
  <c r="O472" i="8"/>
  <c r="O456" i="8"/>
  <c r="O440" i="8"/>
  <c r="O424" i="8"/>
  <c r="O408" i="8"/>
  <c r="O392" i="8"/>
  <c r="O376" i="8"/>
  <c r="O360" i="8"/>
  <c r="O344" i="8"/>
  <c r="M362" i="8"/>
  <c r="M761" i="8"/>
  <c r="M889" i="8"/>
  <c r="O740" i="8"/>
  <c r="M279" i="8"/>
  <c r="O176" i="8"/>
  <c r="O258" i="8"/>
  <c r="M473" i="8"/>
  <c r="M441" i="8"/>
  <c r="M489" i="8"/>
  <c r="M457" i="8"/>
  <c r="M409" i="8"/>
  <c r="M425" i="8"/>
  <c r="M377" i="8"/>
  <c r="M361" i="8"/>
  <c r="M345" i="8"/>
  <c r="M393" i="8"/>
  <c r="O600" i="8"/>
  <c r="O728" i="8"/>
  <c r="O539" i="8"/>
  <c r="O694" i="8"/>
  <c r="O710" i="8"/>
  <c r="M774" i="8"/>
  <c r="M758" i="8"/>
  <c r="M886" i="8"/>
  <c r="M870" i="8"/>
  <c r="M838" i="8"/>
  <c r="M822" i="8"/>
  <c r="M806" i="8"/>
  <c r="O957" i="8"/>
  <c r="O123" i="8"/>
  <c r="O370" i="8"/>
  <c r="O348" i="8"/>
  <c r="O476" i="8"/>
  <c r="O373" i="8"/>
  <c r="M600" i="8"/>
  <c r="M712" i="8"/>
  <c r="O683" i="8"/>
  <c r="O463" i="8"/>
  <c r="M570" i="8"/>
  <c r="M682" i="8"/>
  <c r="M396" i="8"/>
  <c r="O504" i="8"/>
  <c r="O48" i="8"/>
  <c r="M291" i="8"/>
  <c r="M434" i="8"/>
  <c r="O346" i="8"/>
  <c r="O365" i="8"/>
  <c r="O477" i="8"/>
  <c r="O667" i="8"/>
  <c r="O670" i="8"/>
  <c r="O526" i="8"/>
  <c r="O574" i="8"/>
  <c r="O791" i="8"/>
  <c r="O743" i="8"/>
  <c r="M1017" i="8"/>
  <c r="O845" i="8"/>
  <c r="O797" i="8"/>
  <c r="O765" i="8"/>
  <c r="O893" i="8"/>
  <c r="O877" i="8"/>
  <c r="O730" i="8"/>
  <c r="M1066" i="8"/>
  <c r="M1050" i="8"/>
  <c r="M1034" i="8"/>
  <c r="O162" i="8"/>
  <c r="O308" i="8"/>
  <c r="O292" i="8"/>
  <c r="O244" i="8"/>
  <c r="O212" i="8"/>
  <c r="O180" i="8"/>
  <c r="O148" i="8"/>
  <c r="O276" i="8"/>
  <c r="O260" i="8"/>
  <c r="O228" i="8"/>
  <c r="O196" i="8"/>
  <c r="O164" i="8"/>
  <c r="O132" i="8"/>
  <c r="O201" i="8"/>
  <c r="O249" i="8"/>
  <c r="O218" i="8"/>
  <c r="O298" i="8"/>
  <c r="M156" i="8"/>
  <c r="M117" i="8"/>
  <c r="M351" i="8"/>
  <c r="M479" i="8"/>
  <c r="O651" i="8"/>
  <c r="M797" i="8"/>
  <c r="O872" i="8"/>
  <c r="M850" i="8"/>
  <c r="O159" i="8"/>
  <c r="O287" i="8"/>
  <c r="M192" i="8"/>
  <c r="M272" i="8"/>
  <c r="M32" i="8"/>
  <c r="O130" i="8"/>
  <c r="M317" i="8"/>
  <c r="M301" i="8"/>
  <c r="M285" i="8"/>
  <c r="M269" i="8"/>
  <c r="M237" i="8"/>
  <c r="M205" i="8"/>
  <c r="M173" i="8"/>
  <c r="M253" i="8"/>
  <c r="M221" i="8"/>
  <c r="M189" i="8"/>
  <c r="M157" i="8"/>
  <c r="M141" i="8"/>
  <c r="M155" i="8"/>
  <c r="O738" i="8"/>
  <c r="O866" i="8"/>
  <c r="O834" i="8"/>
  <c r="O850" i="8"/>
  <c r="O818" i="8"/>
  <c r="O754" i="8"/>
  <c r="O802" i="8"/>
  <c r="O786" i="8"/>
  <c r="O882" i="8"/>
  <c r="O203" i="8"/>
  <c r="M283" i="8"/>
  <c r="O151" i="8"/>
  <c r="M255" i="8"/>
  <c r="M511" i="8"/>
  <c r="M735" i="8"/>
  <c r="M639" i="8"/>
  <c r="M719" i="8"/>
  <c r="M591" i="8"/>
  <c r="M703" i="8"/>
  <c r="M575" i="8"/>
  <c r="M623" i="8"/>
  <c r="M559" i="8"/>
  <c r="M607" i="8"/>
  <c r="M543" i="8"/>
  <c r="M687" i="8"/>
  <c r="M655" i="8"/>
  <c r="M671" i="8"/>
  <c r="O167" i="8"/>
  <c r="M295" i="8"/>
  <c r="O192" i="8"/>
  <c r="M143" i="8"/>
  <c r="O317" i="8"/>
  <c r="O301" i="8"/>
  <c r="O285" i="8"/>
  <c r="O269" i="8"/>
  <c r="O237" i="8"/>
  <c r="O205" i="8"/>
  <c r="O173" i="8"/>
  <c r="O141" i="8"/>
  <c r="O253" i="8"/>
  <c r="O221" i="8"/>
  <c r="O189" i="8"/>
  <c r="O157" i="8"/>
  <c r="M630" i="8"/>
  <c r="M978" i="8"/>
  <c r="M930" i="8"/>
  <c r="M994" i="8"/>
  <c r="M946" i="8"/>
  <c r="O181" i="8"/>
  <c r="M146" i="8"/>
  <c r="M382" i="8"/>
  <c r="O732" i="8"/>
  <c r="O716" i="8"/>
  <c r="O700" i="8"/>
  <c r="O684" i="8"/>
  <c r="O652" i="8"/>
  <c r="O620" i="8"/>
  <c r="O604" i="8"/>
  <c r="O668" i="8"/>
  <c r="O636" i="8"/>
  <c r="O588" i="8"/>
  <c r="O572" i="8"/>
  <c r="O556" i="8"/>
  <c r="O540" i="8"/>
  <c r="O524" i="8"/>
  <c r="O508" i="8"/>
  <c r="M759" i="8"/>
  <c r="O295" i="8"/>
  <c r="O231" i="8"/>
  <c r="M216" i="8"/>
  <c r="M312" i="8"/>
  <c r="O324" i="8"/>
  <c r="M472" i="8"/>
  <c r="M440" i="8"/>
  <c r="M408" i="8"/>
  <c r="M392" i="8"/>
  <c r="M488" i="8"/>
  <c r="M456" i="8"/>
  <c r="M424" i="8"/>
  <c r="M376" i="8"/>
  <c r="M360" i="8"/>
  <c r="M344" i="8"/>
  <c r="O505" i="8"/>
  <c r="M1042" i="8"/>
  <c r="M151" i="8"/>
  <c r="O208" i="8"/>
  <c r="O489" i="8"/>
  <c r="O457" i="8"/>
  <c r="O409" i="8"/>
  <c r="O393" i="8"/>
  <c r="O473" i="8"/>
  <c r="O425" i="8"/>
  <c r="O377" i="8"/>
  <c r="O361" i="8"/>
  <c r="O441" i="8"/>
  <c r="O345" i="8"/>
  <c r="O582" i="8"/>
  <c r="O726" i="8"/>
  <c r="O758" i="8"/>
  <c r="O806" i="8"/>
  <c r="O870" i="8"/>
  <c r="O386" i="8"/>
  <c r="O364" i="8"/>
  <c r="O492" i="8"/>
  <c r="O453" i="8"/>
  <c r="M988" i="8"/>
  <c r="M972" i="8"/>
  <c r="M956" i="8"/>
  <c r="M1004" i="8"/>
  <c r="M698" i="8"/>
  <c r="M466" i="8"/>
  <c r="O381" i="8"/>
  <c r="M331" i="8"/>
  <c r="O555" i="8"/>
  <c r="M744" i="8"/>
  <c r="M790" i="8"/>
  <c r="M1055" i="8"/>
  <c r="O115" i="8"/>
  <c r="O602" i="8"/>
  <c r="O950" i="8"/>
  <c r="O1066" i="8"/>
  <c r="O1050" i="8"/>
  <c r="O1034" i="8"/>
  <c r="O233" i="8"/>
  <c r="O313" i="8"/>
  <c r="O250" i="8"/>
  <c r="O314" i="8"/>
  <c r="M426" i="8"/>
  <c r="M443" i="8"/>
  <c r="O776" i="8"/>
  <c r="O888" i="8"/>
  <c r="M754" i="8"/>
  <c r="O746" i="8"/>
  <c r="O874" i="8"/>
  <c r="O842" i="8"/>
  <c r="O858" i="8"/>
  <c r="O810" i="8"/>
  <c r="O762" i="8"/>
  <c r="O826" i="8"/>
  <c r="O794" i="8"/>
  <c r="O890" i="8"/>
  <c r="M749" i="8"/>
  <c r="M1063" i="8"/>
  <c r="M1047" i="8"/>
  <c r="M1031" i="8"/>
  <c r="O175" i="8"/>
  <c r="M224" i="8"/>
  <c r="O1042" i="8"/>
  <c r="M490" i="8"/>
  <c r="O267" i="8"/>
  <c r="O458" i="8"/>
  <c r="D1073" i="5"/>
  <c r="B1073" i="5"/>
  <c r="D1072" i="5"/>
  <c r="B1072" i="5"/>
  <c r="D1071" i="5"/>
  <c r="B1071" i="5"/>
  <c r="D1070" i="5"/>
  <c r="B1070" i="5"/>
  <c r="D1069" i="5"/>
  <c r="B1069" i="5"/>
  <c r="D1068" i="5"/>
  <c r="B1068" i="5"/>
  <c r="D1067" i="5"/>
  <c r="B1067" i="5"/>
  <c r="D1066" i="5"/>
  <c r="B1066" i="5"/>
  <c r="D1065" i="5"/>
  <c r="B1065" i="5"/>
  <c r="D1064" i="5"/>
  <c r="B1064" i="5"/>
  <c r="D1063" i="5"/>
  <c r="B1063" i="5"/>
  <c r="D1062" i="5"/>
  <c r="B1062" i="5"/>
  <c r="D1061" i="5"/>
  <c r="B1061" i="5"/>
  <c r="D1060" i="5"/>
  <c r="B1060" i="5"/>
  <c r="D1059" i="5"/>
  <c r="B1059" i="5"/>
  <c r="D1058" i="5"/>
  <c r="B1058" i="5"/>
  <c r="D1057" i="5"/>
  <c r="B1057" i="5"/>
  <c r="D1056" i="5"/>
  <c r="B1056" i="5"/>
  <c r="D1055" i="5"/>
  <c r="B1055" i="5"/>
  <c r="D1054" i="5"/>
  <c r="B1054" i="5"/>
  <c r="D1053" i="5"/>
  <c r="B1053" i="5"/>
  <c r="D1052" i="5"/>
  <c r="B1052" i="5"/>
  <c r="D1051" i="5"/>
  <c r="B1051" i="5"/>
  <c r="D1050" i="5"/>
  <c r="B1050" i="5"/>
  <c r="D1049" i="5"/>
  <c r="B1049" i="5"/>
  <c r="D1048" i="5"/>
  <c r="B1048" i="5"/>
  <c r="D1047" i="5"/>
  <c r="B1047" i="5"/>
  <c r="D1046" i="5"/>
  <c r="B1046" i="5"/>
  <c r="D1045" i="5"/>
  <c r="B1045" i="5"/>
  <c r="D1044" i="5"/>
  <c r="B1044" i="5"/>
  <c r="D1043" i="5"/>
  <c r="B1043" i="5"/>
  <c r="D1042" i="5"/>
  <c r="B1042" i="5"/>
  <c r="D1041" i="5"/>
  <c r="B1041" i="5"/>
  <c r="D1040" i="5"/>
  <c r="B1040" i="5"/>
  <c r="D1039" i="5"/>
  <c r="B1039" i="5"/>
  <c r="D1038" i="5"/>
  <c r="B1038" i="5"/>
  <c r="D1037" i="5"/>
  <c r="B1037" i="5"/>
  <c r="D1036" i="5"/>
  <c r="B1036" i="5"/>
  <c r="D1035" i="5"/>
  <c r="B1035" i="5"/>
  <c r="D1034" i="5"/>
  <c r="B1034" i="5"/>
  <c r="D1033" i="5"/>
  <c r="B1033" i="5"/>
  <c r="D1032" i="5"/>
  <c r="B1032" i="5"/>
  <c r="D1031" i="5"/>
  <c r="B1031" i="5"/>
  <c r="D1030" i="5"/>
  <c r="B1030" i="5"/>
  <c r="D1029" i="5"/>
  <c r="B1029" i="5"/>
  <c r="D1028" i="5"/>
  <c r="B1028" i="5"/>
  <c r="D1027" i="5"/>
  <c r="B1027" i="5"/>
  <c r="D1026" i="5"/>
  <c r="B1026" i="5"/>
  <c r="D1025" i="5"/>
  <c r="B1025" i="5"/>
  <c r="D1024" i="5"/>
  <c r="B1024" i="5"/>
  <c r="D1023" i="5"/>
  <c r="B1023" i="5"/>
  <c r="D1022" i="5"/>
  <c r="B1022" i="5"/>
  <c r="D1021" i="5"/>
  <c r="B1021" i="5"/>
  <c r="D1020" i="5"/>
  <c r="B1020" i="5"/>
  <c r="D1019" i="5"/>
  <c r="B1019" i="5"/>
  <c r="D1018" i="5"/>
  <c r="B1018" i="5"/>
  <c r="D1017" i="5"/>
  <c r="B1017" i="5"/>
  <c r="D1016" i="5"/>
  <c r="B1016" i="5"/>
  <c r="D1015" i="5"/>
  <c r="B1015" i="5"/>
  <c r="D1014" i="5"/>
  <c r="B1014" i="5"/>
  <c r="D1013" i="5"/>
  <c r="B1013" i="5"/>
  <c r="D1012" i="5"/>
  <c r="B1012" i="5"/>
  <c r="D1011" i="5"/>
  <c r="B1011" i="5"/>
  <c r="D1010" i="5"/>
  <c r="B1010" i="5"/>
  <c r="D1009" i="5"/>
  <c r="B1009" i="5"/>
  <c r="D1008" i="5"/>
  <c r="B1008" i="5"/>
  <c r="D1007" i="5"/>
  <c r="B1007" i="5"/>
  <c r="D1006" i="5"/>
  <c r="B1006" i="5"/>
  <c r="D1005" i="5"/>
  <c r="B1005" i="5"/>
  <c r="D1004" i="5"/>
  <c r="B1004" i="5"/>
  <c r="D1003" i="5"/>
  <c r="B1003" i="5"/>
  <c r="D1002" i="5"/>
  <c r="B1002" i="5"/>
  <c r="D1001" i="5"/>
  <c r="B1001" i="5"/>
  <c r="D1000" i="5"/>
  <c r="B1000" i="5"/>
  <c r="D999" i="5"/>
  <c r="B999" i="5"/>
  <c r="D998" i="5"/>
  <c r="B998" i="5"/>
  <c r="D997" i="5"/>
  <c r="B997" i="5"/>
  <c r="D996" i="5"/>
  <c r="B996" i="5"/>
  <c r="D995" i="5"/>
  <c r="B995" i="5"/>
  <c r="D994" i="5"/>
  <c r="B994" i="5"/>
  <c r="D993" i="5"/>
  <c r="B993" i="5"/>
  <c r="D992" i="5"/>
  <c r="B992" i="5"/>
  <c r="D991" i="5"/>
  <c r="B991" i="5"/>
  <c r="D990" i="5"/>
  <c r="B990" i="5"/>
  <c r="D989" i="5"/>
  <c r="B989" i="5"/>
  <c r="D988" i="5"/>
  <c r="B988" i="5"/>
  <c r="D987" i="5"/>
  <c r="B987" i="5"/>
  <c r="D986" i="5"/>
  <c r="B986" i="5"/>
  <c r="D985" i="5"/>
  <c r="B985" i="5"/>
  <c r="D984" i="5"/>
  <c r="B984" i="5"/>
  <c r="D983" i="5"/>
  <c r="B983" i="5"/>
  <c r="D982" i="5"/>
  <c r="B982" i="5"/>
  <c r="D981" i="5"/>
  <c r="B981" i="5"/>
  <c r="D980" i="5"/>
  <c r="B980" i="5"/>
  <c r="D979" i="5"/>
  <c r="B979" i="5"/>
  <c r="D978" i="5"/>
  <c r="B978" i="5"/>
  <c r="D977" i="5"/>
  <c r="B977" i="5"/>
  <c r="D976" i="5"/>
  <c r="B976" i="5"/>
  <c r="D975" i="5"/>
  <c r="B975" i="5"/>
  <c r="D974" i="5"/>
  <c r="B974" i="5"/>
  <c r="D973" i="5"/>
  <c r="B973" i="5"/>
  <c r="D972" i="5"/>
  <c r="B972" i="5"/>
  <c r="D971" i="5"/>
  <c r="B971" i="5"/>
  <c r="D970" i="5"/>
  <c r="B970" i="5"/>
  <c r="D969" i="5"/>
  <c r="B969" i="5"/>
  <c r="D968" i="5"/>
  <c r="B968" i="5"/>
  <c r="D967" i="5"/>
  <c r="B967" i="5"/>
  <c r="D966" i="5"/>
  <c r="B966" i="5"/>
  <c r="D965" i="5"/>
  <c r="B965" i="5"/>
  <c r="D964" i="5"/>
  <c r="B964" i="5"/>
  <c r="D963" i="5"/>
  <c r="B963" i="5"/>
  <c r="D962" i="5"/>
  <c r="B962" i="5"/>
  <c r="D961" i="5"/>
  <c r="B961" i="5"/>
  <c r="D960" i="5"/>
  <c r="B960" i="5"/>
  <c r="D959" i="5"/>
  <c r="B959" i="5"/>
  <c r="D958" i="5"/>
  <c r="B958" i="5"/>
  <c r="D957" i="5"/>
  <c r="B957" i="5"/>
  <c r="D956" i="5"/>
  <c r="B956" i="5"/>
  <c r="D955" i="5"/>
  <c r="B955" i="5"/>
  <c r="D954" i="5"/>
  <c r="B954" i="5"/>
  <c r="D953" i="5"/>
  <c r="B953" i="5"/>
  <c r="D952" i="5"/>
  <c r="B952" i="5"/>
  <c r="D951" i="5"/>
  <c r="B951" i="5"/>
  <c r="D950" i="5"/>
  <c r="B950" i="5"/>
  <c r="D949" i="5"/>
  <c r="B949" i="5"/>
  <c r="D948" i="5"/>
  <c r="B948" i="5"/>
  <c r="D947" i="5"/>
  <c r="B947" i="5"/>
  <c r="D946" i="5"/>
  <c r="B946" i="5"/>
  <c r="D945" i="5"/>
  <c r="B945" i="5"/>
  <c r="D944" i="5"/>
  <c r="B944" i="5"/>
  <c r="D943" i="5"/>
  <c r="B943" i="5"/>
  <c r="D942" i="5"/>
  <c r="B942" i="5"/>
  <c r="D941" i="5"/>
  <c r="B941" i="5"/>
  <c r="D940" i="5"/>
  <c r="B940" i="5"/>
  <c r="D939" i="5"/>
  <c r="B939" i="5"/>
  <c r="D938" i="5"/>
  <c r="B938" i="5"/>
  <c r="D937" i="5"/>
  <c r="B937" i="5"/>
  <c r="D936" i="5"/>
  <c r="B936" i="5"/>
  <c r="D935" i="5"/>
  <c r="B935" i="5"/>
  <c r="D934" i="5"/>
  <c r="B934" i="5"/>
  <c r="D933" i="5"/>
  <c r="B933" i="5"/>
  <c r="D932" i="5"/>
  <c r="B932" i="5"/>
  <c r="D931" i="5"/>
  <c r="B931" i="5"/>
  <c r="D930" i="5"/>
  <c r="B930" i="5"/>
  <c r="D929" i="5"/>
  <c r="B929" i="5"/>
  <c r="D928" i="5"/>
  <c r="B928" i="5"/>
  <c r="D927" i="5"/>
  <c r="B927" i="5"/>
  <c r="D926" i="5"/>
  <c r="B926" i="5"/>
  <c r="D925" i="5"/>
  <c r="B925" i="5"/>
  <c r="D924" i="5"/>
  <c r="B924" i="5"/>
  <c r="D923" i="5"/>
  <c r="B923" i="5"/>
  <c r="D922" i="5"/>
  <c r="B922" i="5"/>
  <c r="D921" i="5"/>
  <c r="B921" i="5"/>
  <c r="D920" i="5"/>
  <c r="B920" i="5"/>
  <c r="D919" i="5"/>
  <c r="B919" i="5"/>
  <c r="D918" i="5"/>
  <c r="B918" i="5"/>
  <c r="D917" i="5"/>
  <c r="B917" i="5"/>
  <c r="D916" i="5"/>
  <c r="B916" i="5"/>
  <c r="D915" i="5"/>
  <c r="B915" i="5"/>
  <c r="D914" i="5"/>
  <c r="B914" i="5"/>
  <c r="D913" i="5"/>
  <c r="B913" i="5"/>
  <c r="D912" i="5"/>
  <c r="B912" i="5"/>
  <c r="D911" i="5"/>
  <c r="B911" i="5"/>
  <c r="D910" i="5"/>
  <c r="B910" i="5"/>
  <c r="D909" i="5"/>
  <c r="B909" i="5"/>
  <c r="D908" i="5"/>
  <c r="B908" i="5"/>
  <c r="D907" i="5"/>
  <c r="B907" i="5"/>
  <c r="D906" i="5"/>
  <c r="B906" i="5"/>
  <c r="D905" i="5"/>
  <c r="B905" i="5"/>
  <c r="D904" i="5"/>
  <c r="B904" i="5"/>
  <c r="D903" i="5"/>
  <c r="B903" i="5"/>
  <c r="D902" i="5"/>
  <c r="B902" i="5"/>
  <c r="D901" i="5"/>
  <c r="B901" i="5"/>
  <c r="D900" i="5"/>
  <c r="B900" i="5"/>
  <c r="D899" i="5"/>
  <c r="B899" i="5"/>
  <c r="D898" i="5"/>
  <c r="B898" i="5"/>
  <c r="D897" i="5"/>
  <c r="B897" i="5"/>
  <c r="D896" i="5"/>
  <c r="B896" i="5"/>
  <c r="D895" i="5"/>
  <c r="B895" i="5"/>
  <c r="D894" i="5"/>
  <c r="B894" i="5"/>
  <c r="D893" i="5"/>
  <c r="B893" i="5"/>
  <c r="D892" i="5"/>
  <c r="B892" i="5"/>
  <c r="D891" i="5"/>
  <c r="B891" i="5"/>
  <c r="D890" i="5"/>
  <c r="B890" i="5"/>
  <c r="D889" i="5"/>
  <c r="B889" i="5"/>
  <c r="D888" i="5"/>
  <c r="B888" i="5"/>
  <c r="D887" i="5"/>
  <c r="B887" i="5"/>
  <c r="D886" i="5"/>
  <c r="B886" i="5"/>
  <c r="D885" i="5"/>
  <c r="B885" i="5"/>
  <c r="D884" i="5"/>
  <c r="B884" i="5"/>
  <c r="D883" i="5"/>
  <c r="B883" i="5"/>
  <c r="D882" i="5"/>
  <c r="B882" i="5"/>
  <c r="D881" i="5"/>
  <c r="B881" i="5"/>
  <c r="D880" i="5"/>
  <c r="B880" i="5"/>
  <c r="D879" i="5"/>
  <c r="B879" i="5"/>
  <c r="D878" i="5"/>
  <c r="B878" i="5"/>
  <c r="D877" i="5"/>
  <c r="B877" i="5"/>
  <c r="D876" i="5"/>
  <c r="B876" i="5"/>
  <c r="D875" i="5"/>
  <c r="B875" i="5"/>
  <c r="D874" i="5"/>
  <c r="B874" i="5"/>
  <c r="D873" i="5"/>
  <c r="B873" i="5"/>
  <c r="D872" i="5"/>
  <c r="B872" i="5"/>
  <c r="D871" i="5"/>
  <c r="B871" i="5"/>
  <c r="D870" i="5"/>
  <c r="B870" i="5"/>
  <c r="D869" i="5"/>
  <c r="B869" i="5"/>
  <c r="D868" i="5"/>
  <c r="B868" i="5"/>
  <c r="D867" i="5"/>
  <c r="B867" i="5"/>
  <c r="D866" i="5"/>
  <c r="B866" i="5"/>
  <c r="D865" i="5"/>
  <c r="B865" i="5"/>
  <c r="D864" i="5"/>
  <c r="B864" i="5"/>
  <c r="D863" i="5"/>
  <c r="B863" i="5"/>
  <c r="D862" i="5"/>
  <c r="B862" i="5"/>
  <c r="D861" i="5"/>
  <c r="B861" i="5"/>
  <c r="D860" i="5"/>
  <c r="B860" i="5"/>
  <c r="D859" i="5"/>
  <c r="B859" i="5"/>
  <c r="D858" i="5"/>
  <c r="B858" i="5"/>
  <c r="D857" i="5"/>
  <c r="B857" i="5"/>
  <c r="D856" i="5"/>
  <c r="B856" i="5"/>
  <c r="D855" i="5"/>
  <c r="B855" i="5"/>
  <c r="D854" i="5"/>
  <c r="B854" i="5"/>
  <c r="D853" i="5"/>
  <c r="B853" i="5"/>
  <c r="D852" i="5"/>
  <c r="B852" i="5"/>
  <c r="D851" i="5"/>
  <c r="B851" i="5"/>
  <c r="D850" i="5"/>
  <c r="B850" i="5"/>
  <c r="D849" i="5"/>
  <c r="B849" i="5"/>
  <c r="D848" i="5"/>
  <c r="B848" i="5"/>
  <c r="D847" i="5"/>
  <c r="B847" i="5"/>
  <c r="D846" i="5"/>
  <c r="B846" i="5"/>
  <c r="D845" i="5"/>
  <c r="B845" i="5"/>
  <c r="D844" i="5"/>
  <c r="B844" i="5"/>
  <c r="D843" i="5"/>
  <c r="B843" i="5"/>
  <c r="D842" i="5"/>
  <c r="B842" i="5"/>
  <c r="D841" i="5"/>
  <c r="B841" i="5"/>
  <c r="D840" i="5"/>
  <c r="B840" i="5"/>
  <c r="D839" i="5"/>
  <c r="B839" i="5"/>
  <c r="D838" i="5"/>
  <c r="B838" i="5"/>
  <c r="D837" i="5"/>
  <c r="B837" i="5"/>
  <c r="D836" i="5"/>
  <c r="B836" i="5"/>
  <c r="D835" i="5"/>
  <c r="B835" i="5"/>
  <c r="D834" i="5"/>
  <c r="B834" i="5"/>
  <c r="D833" i="5"/>
  <c r="B833" i="5"/>
  <c r="D832" i="5"/>
  <c r="B832" i="5"/>
  <c r="D831" i="5"/>
  <c r="B831" i="5"/>
  <c r="D830" i="5"/>
  <c r="B830" i="5"/>
  <c r="D829" i="5"/>
  <c r="B829" i="5"/>
  <c r="D828" i="5"/>
  <c r="B828" i="5"/>
  <c r="D827" i="5"/>
  <c r="B827" i="5"/>
  <c r="D826" i="5"/>
  <c r="B826" i="5"/>
  <c r="D825" i="5"/>
  <c r="B825" i="5"/>
  <c r="D824" i="5"/>
  <c r="B824" i="5"/>
  <c r="D823" i="5"/>
  <c r="B823" i="5"/>
  <c r="D822" i="5"/>
  <c r="B822" i="5"/>
  <c r="D821" i="5"/>
  <c r="B821" i="5"/>
  <c r="D820" i="5"/>
  <c r="B820" i="5"/>
  <c r="D819" i="5"/>
  <c r="B819" i="5"/>
  <c r="D818" i="5"/>
  <c r="B818" i="5"/>
  <c r="D817" i="5"/>
  <c r="B817" i="5"/>
  <c r="D816" i="5"/>
  <c r="B816" i="5"/>
  <c r="D815" i="5"/>
  <c r="B815" i="5"/>
  <c r="D814" i="5"/>
  <c r="B814" i="5"/>
  <c r="D813" i="5"/>
  <c r="B813" i="5"/>
  <c r="D812" i="5"/>
  <c r="B812" i="5"/>
  <c r="D811" i="5"/>
  <c r="B811" i="5"/>
  <c r="D810" i="5"/>
  <c r="B810" i="5"/>
  <c r="D809" i="5"/>
  <c r="B809" i="5"/>
  <c r="D808" i="5"/>
  <c r="B808" i="5"/>
  <c r="D807" i="5"/>
  <c r="B807" i="5"/>
  <c r="D806" i="5"/>
  <c r="B806" i="5"/>
  <c r="D805" i="5"/>
  <c r="B805" i="5"/>
  <c r="D804" i="5"/>
  <c r="B804" i="5"/>
  <c r="D803" i="5"/>
  <c r="B803" i="5"/>
  <c r="D802" i="5"/>
  <c r="B802" i="5"/>
  <c r="D801" i="5"/>
  <c r="B801" i="5"/>
  <c r="D800" i="5"/>
  <c r="B800" i="5"/>
  <c r="D799" i="5"/>
  <c r="B799" i="5"/>
  <c r="D798" i="5"/>
  <c r="B798" i="5"/>
  <c r="D797" i="5"/>
  <c r="B797" i="5"/>
  <c r="D796" i="5"/>
  <c r="B796" i="5"/>
  <c r="D795" i="5"/>
  <c r="B795" i="5"/>
  <c r="D794" i="5"/>
  <c r="B794" i="5"/>
  <c r="D793" i="5"/>
  <c r="B793" i="5"/>
  <c r="D792" i="5"/>
  <c r="B792" i="5"/>
  <c r="D791" i="5"/>
  <c r="B791" i="5"/>
  <c r="D790" i="5"/>
  <c r="B790" i="5"/>
  <c r="D789" i="5"/>
  <c r="B789" i="5"/>
  <c r="D788" i="5"/>
  <c r="B788" i="5"/>
  <c r="D787" i="5"/>
  <c r="B787" i="5"/>
  <c r="D786" i="5"/>
  <c r="B786" i="5"/>
  <c r="D785" i="5"/>
  <c r="B785" i="5"/>
  <c r="D784" i="5"/>
  <c r="B784" i="5"/>
  <c r="D783" i="5"/>
  <c r="B783" i="5"/>
  <c r="D782" i="5"/>
  <c r="B782" i="5"/>
  <c r="D781" i="5"/>
  <c r="B781" i="5"/>
  <c r="D780" i="5"/>
  <c r="B780" i="5"/>
  <c r="D779" i="5"/>
  <c r="B779" i="5"/>
  <c r="D778" i="5"/>
  <c r="B778" i="5"/>
  <c r="D777" i="5"/>
  <c r="B777" i="5"/>
  <c r="D776" i="5"/>
  <c r="B776" i="5"/>
  <c r="D775" i="5"/>
  <c r="B775" i="5"/>
  <c r="D774" i="5"/>
  <c r="B774" i="5"/>
  <c r="D773" i="5"/>
  <c r="B773" i="5"/>
  <c r="D772" i="5"/>
  <c r="B772" i="5"/>
  <c r="D771" i="5"/>
  <c r="B771" i="5"/>
  <c r="D770" i="5"/>
  <c r="B770" i="5"/>
  <c r="D769" i="5"/>
  <c r="B769" i="5"/>
  <c r="D768" i="5"/>
  <c r="B768" i="5"/>
  <c r="D767" i="5"/>
  <c r="B767" i="5"/>
  <c r="D766" i="5"/>
  <c r="B766" i="5"/>
  <c r="D765" i="5"/>
  <c r="B765" i="5"/>
  <c r="D764" i="5"/>
  <c r="B764" i="5"/>
  <c r="D763" i="5"/>
  <c r="B763" i="5"/>
  <c r="D762" i="5"/>
  <c r="B762" i="5"/>
  <c r="D761" i="5"/>
  <c r="B761" i="5"/>
  <c r="D760" i="5"/>
  <c r="B760" i="5"/>
  <c r="D759" i="5"/>
  <c r="B759" i="5"/>
  <c r="D758" i="5"/>
  <c r="B758" i="5"/>
  <c r="D757" i="5"/>
  <c r="B757" i="5"/>
  <c r="D756" i="5"/>
  <c r="B756" i="5"/>
  <c r="D755" i="5"/>
  <c r="B755" i="5"/>
  <c r="D754" i="5"/>
  <c r="B754" i="5"/>
  <c r="D753" i="5"/>
  <c r="B753" i="5"/>
  <c r="D752" i="5"/>
  <c r="B752" i="5"/>
  <c r="D751" i="5"/>
  <c r="B751" i="5"/>
  <c r="D750" i="5"/>
  <c r="B750" i="5"/>
  <c r="D749" i="5"/>
  <c r="B749" i="5"/>
  <c r="D748" i="5"/>
  <c r="B748" i="5"/>
  <c r="D747" i="5"/>
  <c r="B747" i="5"/>
  <c r="D746" i="5"/>
  <c r="B746" i="5"/>
  <c r="D745" i="5"/>
  <c r="B745" i="5"/>
  <c r="D744" i="5"/>
  <c r="B744" i="5"/>
  <c r="D743" i="5"/>
  <c r="B743" i="5"/>
  <c r="D742" i="5"/>
  <c r="B742" i="5"/>
  <c r="D741" i="5"/>
  <c r="B741" i="5"/>
  <c r="D740" i="5"/>
  <c r="B740" i="5"/>
  <c r="D739" i="5"/>
  <c r="B739" i="5"/>
  <c r="D738" i="5"/>
  <c r="B738" i="5"/>
  <c r="D737" i="5"/>
  <c r="B737" i="5"/>
  <c r="D736" i="5"/>
  <c r="B736" i="5"/>
  <c r="D735" i="5"/>
  <c r="B735" i="5"/>
  <c r="D734" i="5"/>
  <c r="B734" i="5"/>
  <c r="D733" i="5"/>
  <c r="B733" i="5"/>
  <c r="D732" i="5"/>
  <c r="B732" i="5"/>
  <c r="D731" i="5"/>
  <c r="B731" i="5"/>
  <c r="D730" i="5"/>
  <c r="B730" i="5"/>
  <c r="D729" i="5"/>
  <c r="B729" i="5"/>
  <c r="D728" i="5"/>
  <c r="B728" i="5"/>
  <c r="D727" i="5"/>
  <c r="B727" i="5"/>
  <c r="D726" i="5"/>
  <c r="B726" i="5"/>
  <c r="D725" i="5"/>
  <c r="B725" i="5"/>
  <c r="D724" i="5"/>
  <c r="B724" i="5"/>
  <c r="D723" i="5"/>
  <c r="B723" i="5"/>
  <c r="D722" i="5"/>
  <c r="B722" i="5"/>
  <c r="D721" i="5"/>
  <c r="B721" i="5"/>
  <c r="D720" i="5"/>
  <c r="B720" i="5"/>
  <c r="D719" i="5"/>
  <c r="B719" i="5"/>
  <c r="D718" i="5"/>
  <c r="B718" i="5"/>
  <c r="D717" i="5"/>
  <c r="B717" i="5"/>
  <c r="D716" i="5"/>
  <c r="B716" i="5"/>
  <c r="D715" i="5"/>
  <c r="B715" i="5"/>
  <c r="D714" i="5"/>
  <c r="B714" i="5"/>
  <c r="D713" i="5"/>
  <c r="B713" i="5"/>
  <c r="D712" i="5"/>
  <c r="B712" i="5"/>
  <c r="D711" i="5"/>
  <c r="B711" i="5"/>
  <c r="D710" i="5"/>
  <c r="B710" i="5"/>
  <c r="D709" i="5"/>
  <c r="B709" i="5"/>
  <c r="D708" i="5"/>
  <c r="B708" i="5"/>
  <c r="D707" i="5"/>
  <c r="B707" i="5"/>
  <c r="D706" i="5"/>
  <c r="B706" i="5"/>
  <c r="D705" i="5"/>
  <c r="B705" i="5"/>
  <c r="D704" i="5"/>
  <c r="B704" i="5"/>
  <c r="D703" i="5"/>
  <c r="B703" i="5"/>
  <c r="D702" i="5"/>
  <c r="B702" i="5"/>
  <c r="D701" i="5"/>
  <c r="B701" i="5"/>
  <c r="D700" i="5"/>
  <c r="B700" i="5"/>
  <c r="D699" i="5"/>
  <c r="B699" i="5"/>
  <c r="D698" i="5"/>
  <c r="B698" i="5"/>
  <c r="D697" i="5"/>
  <c r="B697" i="5"/>
  <c r="D696" i="5"/>
  <c r="B696" i="5"/>
  <c r="D695" i="5"/>
  <c r="B695" i="5"/>
  <c r="D694" i="5"/>
  <c r="B694" i="5"/>
  <c r="D693" i="5"/>
  <c r="B693" i="5"/>
  <c r="D692" i="5"/>
  <c r="B692" i="5"/>
  <c r="D691" i="5"/>
  <c r="B691" i="5"/>
  <c r="D690" i="5"/>
  <c r="B690" i="5"/>
  <c r="D689" i="5"/>
  <c r="B689" i="5"/>
  <c r="D688" i="5"/>
  <c r="B688" i="5"/>
  <c r="D687" i="5"/>
  <c r="B687" i="5"/>
  <c r="D686" i="5"/>
  <c r="B686" i="5"/>
  <c r="D685" i="5"/>
  <c r="B685" i="5"/>
  <c r="D684" i="5"/>
  <c r="B684" i="5"/>
  <c r="D683" i="5"/>
  <c r="B683" i="5"/>
  <c r="D682" i="5"/>
  <c r="B682" i="5"/>
  <c r="D681" i="5"/>
  <c r="B681" i="5"/>
  <c r="D680" i="5"/>
  <c r="B680" i="5"/>
  <c r="D679" i="5"/>
  <c r="B679" i="5"/>
  <c r="D678" i="5"/>
  <c r="B678" i="5"/>
  <c r="D677" i="5"/>
  <c r="B677" i="5"/>
  <c r="D676" i="5"/>
  <c r="B676" i="5"/>
  <c r="D675" i="5"/>
  <c r="B675" i="5"/>
  <c r="D674" i="5"/>
  <c r="B674" i="5"/>
  <c r="D673" i="5"/>
  <c r="B673" i="5"/>
  <c r="D672" i="5"/>
  <c r="B672" i="5"/>
  <c r="D671" i="5"/>
  <c r="B671" i="5"/>
  <c r="D670" i="5"/>
  <c r="B670" i="5"/>
  <c r="D669" i="5"/>
  <c r="B669" i="5"/>
  <c r="D668" i="5"/>
  <c r="B668" i="5"/>
  <c r="D667" i="5"/>
  <c r="B667" i="5"/>
  <c r="D666" i="5"/>
  <c r="B666" i="5"/>
  <c r="D665" i="5"/>
  <c r="B665" i="5"/>
  <c r="D664" i="5"/>
  <c r="B664" i="5"/>
  <c r="D663" i="5"/>
  <c r="B663" i="5"/>
  <c r="D662" i="5"/>
  <c r="B662" i="5"/>
  <c r="D661" i="5"/>
  <c r="B661" i="5"/>
  <c r="D660" i="5"/>
  <c r="B660" i="5"/>
  <c r="D659" i="5"/>
  <c r="B659" i="5"/>
  <c r="D658" i="5"/>
  <c r="B658" i="5"/>
  <c r="D657" i="5"/>
  <c r="B657" i="5"/>
  <c r="D656" i="5"/>
  <c r="B656" i="5"/>
  <c r="D655" i="5"/>
  <c r="B655" i="5"/>
  <c r="D654" i="5"/>
  <c r="B654" i="5"/>
  <c r="D653" i="5"/>
  <c r="B653" i="5"/>
  <c r="D652" i="5"/>
  <c r="B652" i="5"/>
  <c r="D651" i="5"/>
  <c r="B651" i="5"/>
  <c r="D650" i="5"/>
  <c r="B650" i="5"/>
  <c r="D649" i="5"/>
  <c r="B649" i="5"/>
  <c r="D648" i="5"/>
  <c r="B648" i="5"/>
  <c r="D647" i="5"/>
  <c r="B647" i="5"/>
  <c r="D646" i="5"/>
  <c r="B646" i="5"/>
  <c r="D645" i="5"/>
  <c r="B645" i="5"/>
  <c r="D644" i="5"/>
  <c r="B644" i="5"/>
  <c r="D643" i="5"/>
  <c r="B643" i="5"/>
  <c r="D642" i="5"/>
  <c r="B642" i="5"/>
  <c r="D641" i="5"/>
  <c r="B641" i="5"/>
  <c r="D640" i="5"/>
  <c r="B640" i="5"/>
  <c r="D639" i="5"/>
  <c r="B639" i="5"/>
  <c r="D638" i="5"/>
  <c r="B638" i="5"/>
  <c r="D637" i="5"/>
  <c r="B637" i="5"/>
  <c r="D636" i="5"/>
  <c r="B636" i="5"/>
  <c r="D635" i="5"/>
  <c r="B635" i="5"/>
  <c r="D634" i="5"/>
  <c r="B634" i="5"/>
  <c r="D633" i="5"/>
  <c r="B633" i="5"/>
  <c r="D632" i="5"/>
  <c r="B632" i="5"/>
  <c r="D631" i="5"/>
  <c r="B631" i="5"/>
  <c r="D630" i="5"/>
  <c r="B630" i="5"/>
  <c r="D629" i="5"/>
  <c r="B629" i="5"/>
  <c r="D628" i="5"/>
  <c r="B628" i="5"/>
  <c r="D627" i="5"/>
  <c r="B627" i="5"/>
  <c r="D626" i="5"/>
  <c r="B626" i="5"/>
  <c r="D625" i="5"/>
  <c r="B625" i="5"/>
  <c r="D624" i="5"/>
  <c r="B624" i="5"/>
  <c r="D623" i="5"/>
  <c r="B623" i="5"/>
  <c r="D622" i="5"/>
  <c r="B622" i="5"/>
  <c r="D621" i="5"/>
  <c r="B621" i="5"/>
  <c r="D620" i="5"/>
  <c r="B620" i="5"/>
  <c r="D619" i="5"/>
  <c r="B619" i="5"/>
  <c r="D618" i="5"/>
  <c r="B618" i="5"/>
  <c r="D617" i="5"/>
  <c r="B617" i="5"/>
  <c r="D616" i="5"/>
  <c r="B616" i="5"/>
  <c r="D615" i="5"/>
  <c r="B615" i="5"/>
  <c r="D614" i="5"/>
  <c r="B614" i="5"/>
  <c r="D613" i="5"/>
  <c r="B613" i="5"/>
  <c r="D612" i="5"/>
  <c r="B612" i="5"/>
  <c r="D611" i="5"/>
  <c r="B611" i="5"/>
  <c r="D610" i="5"/>
  <c r="B610" i="5"/>
  <c r="D609" i="5"/>
  <c r="B609" i="5"/>
  <c r="D608" i="5"/>
  <c r="B608" i="5"/>
  <c r="D607" i="5"/>
  <c r="B607" i="5"/>
  <c r="D606" i="5"/>
  <c r="B606" i="5"/>
  <c r="D605" i="5"/>
  <c r="B605" i="5"/>
  <c r="D604" i="5"/>
  <c r="B604" i="5"/>
  <c r="D603" i="5"/>
  <c r="B603" i="5"/>
  <c r="D602" i="5"/>
  <c r="B602" i="5"/>
  <c r="D601" i="5"/>
  <c r="B601" i="5"/>
  <c r="D600" i="5"/>
  <c r="B600" i="5"/>
  <c r="D599" i="5"/>
  <c r="B599" i="5"/>
  <c r="D598" i="5"/>
  <c r="B598" i="5"/>
  <c r="D597" i="5"/>
  <c r="B597" i="5"/>
  <c r="D596" i="5"/>
  <c r="B596" i="5"/>
  <c r="D595" i="5"/>
  <c r="B595" i="5"/>
  <c r="D594" i="5"/>
  <c r="B594" i="5"/>
  <c r="D593" i="5"/>
  <c r="B593" i="5"/>
  <c r="D592" i="5"/>
  <c r="B592" i="5"/>
  <c r="D591" i="5"/>
  <c r="B591" i="5"/>
  <c r="D590" i="5"/>
  <c r="B590" i="5"/>
  <c r="D589" i="5"/>
  <c r="B589" i="5"/>
  <c r="D588" i="5"/>
  <c r="B588" i="5"/>
  <c r="D587" i="5"/>
  <c r="B587" i="5"/>
  <c r="D586" i="5"/>
  <c r="B586" i="5"/>
  <c r="D585" i="5"/>
  <c r="B585" i="5"/>
  <c r="D584" i="5"/>
  <c r="B584" i="5"/>
  <c r="D583" i="5"/>
  <c r="B583" i="5"/>
  <c r="D582" i="5"/>
  <c r="B582" i="5"/>
  <c r="D581" i="5"/>
  <c r="B581" i="5"/>
  <c r="D580" i="5"/>
  <c r="B580" i="5"/>
  <c r="D579" i="5"/>
  <c r="B579" i="5"/>
  <c r="D578" i="5"/>
  <c r="B578" i="5"/>
  <c r="D577" i="5"/>
  <c r="B577" i="5"/>
  <c r="D576" i="5"/>
  <c r="B576" i="5"/>
  <c r="D575" i="5"/>
  <c r="B575" i="5"/>
  <c r="D574" i="5"/>
  <c r="B574" i="5"/>
  <c r="D573" i="5"/>
  <c r="B573" i="5"/>
  <c r="D572" i="5"/>
  <c r="B572" i="5"/>
  <c r="D571" i="5"/>
  <c r="B571" i="5"/>
  <c r="D570" i="5"/>
  <c r="B570" i="5"/>
  <c r="D569" i="5"/>
  <c r="B569" i="5"/>
  <c r="D568" i="5"/>
  <c r="B568" i="5"/>
  <c r="D567" i="5"/>
  <c r="B567" i="5"/>
  <c r="D566" i="5"/>
  <c r="B566" i="5"/>
  <c r="D565" i="5"/>
  <c r="B565" i="5"/>
  <c r="D564" i="5"/>
  <c r="B564" i="5"/>
  <c r="D563" i="5"/>
  <c r="B563" i="5"/>
  <c r="D562" i="5"/>
  <c r="B562" i="5"/>
  <c r="D561" i="5"/>
  <c r="B561" i="5"/>
  <c r="D560" i="5"/>
  <c r="B560" i="5"/>
  <c r="D559" i="5"/>
  <c r="B559" i="5"/>
  <c r="D558" i="5"/>
  <c r="B558" i="5"/>
  <c r="D557" i="5"/>
  <c r="B557" i="5"/>
  <c r="D556" i="5"/>
  <c r="B556" i="5"/>
  <c r="D555" i="5"/>
  <c r="B555" i="5"/>
  <c r="D554" i="5"/>
  <c r="B554" i="5"/>
  <c r="D553" i="5"/>
  <c r="B553" i="5"/>
  <c r="D552" i="5"/>
  <c r="B552" i="5"/>
  <c r="D551" i="5"/>
  <c r="B551" i="5"/>
  <c r="D550" i="5"/>
  <c r="B550" i="5"/>
  <c r="D549" i="5"/>
  <c r="B549" i="5"/>
  <c r="D548" i="5"/>
  <c r="B548" i="5"/>
  <c r="D547" i="5"/>
  <c r="B547" i="5"/>
  <c r="D546" i="5"/>
  <c r="B546" i="5"/>
  <c r="D545" i="5"/>
  <c r="B545" i="5"/>
  <c r="D544" i="5"/>
  <c r="B544" i="5"/>
  <c r="D543" i="5"/>
  <c r="B543" i="5"/>
  <c r="D542" i="5"/>
  <c r="B542" i="5"/>
  <c r="D541" i="5"/>
  <c r="B541" i="5"/>
  <c r="D540" i="5"/>
  <c r="B540" i="5"/>
  <c r="D539" i="5"/>
  <c r="B539" i="5"/>
  <c r="D538" i="5"/>
  <c r="B538" i="5"/>
  <c r="D537" i="5"/>
  <c r="B537" i="5"/>
  <c r="D536" i="5"/>
  <c r="B536" i="5"/>
  <c r="D535" i="5"/>
  <c r="B535" i="5"/>
  <c r="D534" i="5"/>
  <c r="B534" i="5"/>
  <c r="D533" i="5"/>
  <c r="B533" i="5"/>
  <c r="D532" i="5"/>
  <c r="B532" i="5"/>
  <c r="D531" i="5"/>
  <c r="B531" i="5"/>
  <c r="D530" i="5"/>
  <c r="B530" i="5"/>
  <c r="D529" i="5"/>
  <c r="B529" i="5"/>
  <c r="D528" i="5"/>
  <c r="B528" i="5"/>
  <c r="D527" i="5"/>
  <c r="B527" i="5"/>
  <c r="D526" i="5"/>
  <c r="B526" i="5"/>
  <c r="D525" i="5"/>
  <c r="B525" i="5"/>
  <c r="D524" i="5"/>
  <c r="B524" i="5"/>
  <c r="D523" i="5"/>
  <c r="B523" i="5"/>
  <c r="D522" i="5"/>
  <c r="B522" i="5"/>
  <c r="D521" i="5"/>
  <c r="B521" i="5"/>
  <c r="D520" i="5"/>
  <c r="B520" i="5"/>
  <c r="D519" i="5"/>
  <c r="B519" i="5"/>
  <c r="D518" i="5"/>
  <c r="B518" i="5"/>
  <c r="D517" i="5"/>
  <c r="B517" i="5"/>
  <c r="D516" i="5"/>
  <c r="B516" i="5"/>
  <c r="D515" i="5"/>
  <c r="B515" i="5"/>
  <c r="D514" i="5"/>
  <c r="B514" i="5"/>
  <c r="D513" i="5"/>
  <c r="B513" i="5"/>
  <c r="D512" i="5"/>
  <c r="B512" i="5"/>
  <c r="D511" i="5"/>
  <c r="B511" i="5"/>
  <c r="D510" i="5"/>
  <c r="B510" i="5"/>
  <c r="D509" i="5"/>
  <c r="B509" i="5"/>
  <c r="D508" i="5"/>
  <c r="B508" i="5"/>
  <c r="D507" i="5"/>
  <c r="B507" i="5"/>
  <c r="D506" i="5"/>
  <c r="B506" i="5"/>
  <c r="D505" i="5"/>
  <c r="B505" i="5"/>
  <c r="D504" i="5"/>
  <c r="B504" i="5"/>
  <c r="D503" i="5"/>
  <c r="B503" i="5"/>
  <c r="D502" i="5"/>
  <c r="B502" i="5"/>
  <c r="D501" i="5"/>
  <c r="B501" i="5"/>
  <c r="D500" i="5"/>
  <c r="B500" i="5"/>
  <c r="D499" i="5"/>
  <c r="B499" i="5"/>
  <c r="D498" i="5"/>
  <c r="B498" i="5"/>
  <c r="D497" i="5"/>
  <c r="B497" i="5"/>
  <c r="D496" i="5"/>
  <c r="B496" i="5"/>
  <c r="D495" i="5"/>
  <c r="B495" i="5"/>
  <c r="D494" i="5"/>
  <c r="B494" i="5"/>
  <c r="D493" i="5"/>
  <c r="B493" i="5"/>
  <c r="D492" i="5"/>
  <c r="B492" i="5"/>
  <c r="D491" i="5"/>
  <c r="B491" i="5"/>
  <c r="D490" i="5"/>
  <c r="B490" i="5"/>
  <c r="D489" i="5"/>
  <c r="B489" i="5"/>
  <c r="D488" i="5"/>
  <c r="B488" i="5"/>
  <c r="D487" i="5"/>
  <c r="B487" i="5"/>
  <c r="D486" i="5"/>
  <c r="B486" i="5"/>
  <c r="D485" i="5"/>
  <c r="B485" i="5"/>
  <c r="D484" i="5"/>
  <c r="B484" i="5"/>
  <c r="D483" i="5"/>
  <c r="B483" i="5"/>
  <c r="D482" i="5"/>
  <c r="B482" i="5"/>
  <c r="D481" i="5"/>
  <c r="B481" i="5"/>
  <c r="D480" i="5"/>
  <c r="B480" i="5"/>
  <c r="D479" i="5"/>
  <c r="B479" i="5"/>
  <c r="D478" i="5"/>
  <c r="B478" i="5"/>
  <c r="D477" i="5"/>
  <c r="B477" i="5"/>
  <c r="D476" i="5"/>
  <c r="B476" i="5"/>
  <c r="D475" i="5"/>
  <c r="B475" i="5"/>
  <c r="D474" i="5"/>
  <c r="B474" i="5"/>
  <c r="D473" i="5"/>
  <c r="B473" i="5"/>
  <c r="D472" i="5"/>
  <c r="B472" i="5"/>
  <c r="D471" i="5"/>
  <c r="B471" i="5"/>
  <c r="D470" i="5"/>
  <c r="B470" i="5"/>
  <c r="D469" i="5"/>
  <c r="B469" i="5"/>
  <c r="D468" i="5"/>
  <c r="B468" i="5"/>
  <c r="D467" i="5"/>
  <c r="B467" i="5"/>
  <c r="D466" i="5"/>
  <c r="B466" i="5"/>
  <c r="D465" i="5"/>
  <c r="B465" i="5"/>
  <c r="D464" i="5"/>
  <c r="B464" i="5"/>
  <c r="D463" i="5"/>
  <c r="B463" i="5"/>
  <c r="D462" i="5"/>
  <c r="B462" i="5"/>
  <c r="D461" i="5"/>
  <c r="B461" i="5"/>
  <c r="D460" i="5"/>
  <c r="B460" i="5"/>
  <c r="D459" i="5"/>
  <c r="B459" i="5"/>
  <c r="D458" i="5"/>
  <c r="B458" i="5"/>
  <c r="D457" i="5"/>
  <c r="B457" i="5"/>
  <c r="D456" i="5"/>
  <c r="B456" i="5"/>
  <c r="D455" i="5"/>
  <c r="B455" i="5"/>
  <c r="D454" i="5"/>
  <c r="B454" i="5"/>
  <c r="D453" i="5"/>
  <c r="B453" i="5"/>
  <c r="D452" i="5"/>
  <c r="B452" i="5"/>
  <c r="D451" i="5"/>
  <c r="B451" i="5"/>
  <c r="D450" i="5"/>
  <c r="B450" i="5"/>
  <c r="D449" i="5"/>
  <c r="B449" i="5"/>
  <c r="D448" i="5"/>
  <c r="B448" i="5"/>
  <c r="D447" i="5"/>
  <c r="B447" i="5"/>
  <c r="D446" i="5"/>
  <c r="B446" i="5"/>
  <c r="D445" i="5"/>
  <c r="B445" i="5"/>
  <c r="D444" i="5"/>
  <c r="B444" i="5"/>
  <c r="D443" i="5"/>
  <c r="B443" i="5"/>
  <c r="D442" i="5"/>
  <c r="B442" i="5"/>
  <c r="D441" i="5"/>
  <c r="B441" i="5"/>
  <c r="D440" i="5"/>
  <c r="B440" i="5"/>
  <c r="D439" i="5"/>
  <c r="B439" i="5"/>
  <c r="D438" i="5"/>
  <c r="B438" i="5"/>
  <c r="D437" i="5"/>
  <c r="B437" i="5"/>
  <c r="D436" i="5"/>
  <c r="B436" i="5"/>
  <c r="D435" i="5"/>
  <c r="B435" i="5"/>
  <c r="D434" i="5"/>
  <c r="B434" i="5"/>
  <c r="D433" i="5"/>
  <c r="B433" i="5"/>
  <c r="D432" i="5"/>
  <c r="B432" i="5"/>
  <c r="D431" i="5"/>
  <c r="B431" i="5"/>
  <c r="D430" i="5"/>
  <c r="B430" i="5"/>
  <c r="D429" i="5"/>
  <c r="B429" i="5"/>
  <c r="D428" i="5"/>
  <c r="B428" i="5"/>
  <c r="D427" i="5"/>
  <c r="B427" i="5"/>
  <c r="D426" i="5"/>
  <c r="B426" i="5"/>
  <c r="D425" i="5"/>
  <c r="B425" i="5"/>
  <c r="D424" i="5"/>
  <c r="B424" i="5"/>
  <c r="D423" i="5"/>
  <c r="B423" i="5"/>
  <c r="D422" i="5"/>
  <c r="B422" i="5"/>
  <c r="D421" i="5"/>
  <c r="B421" i="5"/>
  <c r="D420" i="5"/>
  <c r="B420" i="5"/>
  <c r="D419" i="5"/>
  <c r="B419" i="5"/>
  <c r="D418" i="5"/>
  <c r="B418" i="5"/>
  <c r="D417" i="5"/>
  <c r="B417" i="5"/>
  <c r="D416" i="5"/>
  <c r="B416" i="5"/>
  <c r="D415" i="5"/>
  <c r="B415" i="5"/>
  <c r="D414" i="5"/>
  <c r="B414" i="5"/>
  <c r="D413" i="5"/>
  <c r="B413" i="5"/>
  <c r="D412" i="5"/>
  <c r="B412" i="5"/>
  <c r="D411" i="5"/>
  <c r="B411" i="5"/>
  <c r="D410" i="5"/>
  <c r="B410" i="5"/>
  <c r="D409" i="5"/>
  <c r="B409" i="5"/>
  <c r="D408" i="5"/>
  <c r="B408" i="5"/>
  <c r="D407" i="5"/>
  <c r="B407" i="5"/>
  <c r="D406" i="5"/>
  <c r="B406" i="5"/>
  <c r="D405" i="5"/>
  <c r="B405" i="5"/>
  <c r="D404" i="5"/>
  <c r="B404" i="5"/>
  <c r="D403" i="5"/>
  <c r="B403" i="5"/>
  <c r="D402" i="5"/>
  <c r="B402" i="5"/>
  <c r="D401" i="5"/>
  <c r="B401" i="5"/>
  <c r="D400" i="5"/>
  <c r="B400" i="5"/>
  <c r="D399" i="5"/>
  <c r="B399" i="5"/>
  <c r="D398" i="5"/>
  <c r="B398" i="5"/>
  <c r="D397" i="5"/>
  <c r="B397" i="5"/>
  <c r="D396" i="5"/>
  <c r="B396" i="5"/>
  <c r="D395" i="5"/>
  <c r="B395" i="5"/>
  <c r="D394" i="5"/>
  <c r="B394" i="5"/>
  <c r="D393" i="5"/>
  <c r="B393" i="5"/>
  <c r="D392" i="5"/>
  <c r="B392" i="5"/>
  <c r="D391" i="5"/>
  <c r="B391" i="5"/>
  <c r="D390" i="5"/>
  <c r="B390" i="5"/>
  <c r="D389" i="5"/>
  <c r="B389" i="5"/>
  <c r="D388" i="5"/>
  <c r="B388" i="5"/>
  <c r="D387" i="5"/>
  <c r="B387" i="5"/>
  <c r="D386" i="5"/>
  <c r="B386" i="5"/>
  <c r="D385" i="5"/>
  <c r="B385" i="5"/>
  <c r="D384" i="5"/>
  <c r="B384" i="5"/>
  <c r="D383" i="5"/>
  <c r="B383" i="5"/>
  <c r="D382" i="5"/>
  <c r="B382" i="5"/>
  <c r="D381" i="5"/>
  <c r="B381" i="5"/>
  <c r="D380" i="5"/>
  <c r="B380" i="5"/>
  <c r="D379" i="5"/>
  <c r="B379" i="5"/>
  <c r="D378" i="5"/>
  <c r="B378" i="5"/>
  <c r="D377" i="5"/>
  <c r="B377" i="5"/>
  <c r="D376" i="5"/>
  <c r="B376" i="5"/>
  <c r="D375" i="5"/>
  <c r="B375" i="5"/>
  <c r="D374" i="5"/>
  <c r="B374" i="5"/>
  <c r="D373" i="5"/>
  <c r="B373" i="5"/>
  <c r="D372" i="5"/>
  <c r="B372" i="5"/>
  <c r="D371" i="5"/>
  <c r="B371" i="5"/>
  <c r="D370" i="5"/>
  <c r="B370" i="5"/>
  <c r="D369" i="5"/>
  <c r="B369" i="5"/>
  <c r="D368" i="5"/>
  <c r="B368" i="5"/>
  <c r="D367" i="5"/>
  <c r="B367" i="5"/>
  <c r="D366" i="5"/>
  <c r="B366" i="5"/>
  <c r="D365" i="5"/>
  <c r="B365" i="5"/>
  <c r="D364" i="5"/>
  <c r="B364" i="5"/>
  <c r="D363" i="5"/>
  <c r="B363" i="5"/>
  <c r="D362" i="5"/>
  <c r="B362" i="5"/>
  <c r="D361" i="5"/>
  <c r="B361" i="5"/>
  <c r="D360" i="5"/>
  <c r="B360" i="5"/>
  <c r="D359" i="5"/>
  <c r="B359" i="5"/>
  <c r="D358" i="5"/>
  <c r="B358" i="5"/>
  <c r="D357" i="5"/>
  <c r="B357" i="5"/>
  <c r="D356" i="5"/>
  <c r="B356" i="5"/>
  <c r="D355" i="5"/>
  <c r="B355" i="5"/>
  <c r="D354" i="5"/>
  <c r="B354" i="5"/>
  <c r="D353" i="5"/>
  <c r="B353" i="5"/>
  <c r="D352" i="5"/>
  <c r="B352" i="5"/>
  <c r="D351" i="5"/>
  <c r="B351" i="5"/>
  <c r="D350" i="5"/>
  <c r="B350" i="5"/>
  <c r="D349" i="5"/>
  <c r="B349" i="5"/>
  <c r="D348" i="5"/>
  <c r="B348" i="5"/>
  <c r="D347" i="5"/>
  <c r="B347" i="5"/>
  <c r="D346" i="5"/>
  <c r="B346" i="5"/>
  <c r="D345" i="5"/>
  <c r="B345" i="5"/>
  <c r="D344" i="5"/>
  <c r="B344" i="5"/>
  <c r="D343" i="5"/>
  <c r="B343" i="5"/>
  <c r="D342" i="5"/>
  <c r="B342" i="5"/>
  <c r="D341" i="5"/>
  <c r="B341" i="5"/>
  <c r="D340" i="5"/>
  <c r="B340" i="5"/>
  <c r="D339" i="5"/>
  <c r="B339" i="5"/>
  <c r="D338" i="5"/>
  <c r="B338" i="5"/>
  <c r="D337" i="5"/>
  <c r="B337" i="5"/>
  <c r="D336" i="5"/>
  <c r="B336" i="5"/>
  <c r="D335" i="5"/>
  <c r="B335" i="5"/>
  <c r="D334" i="5"/>
  <c r="B334" i="5"/>
  <c r="D333" i="5"/>
  <c r="B333" i="5"/>
  <c r="D332" i="5"/>
  <c r="B332" i="5"/>
  <c r="D331" i="5"/>
  <c r="B331" i="5"/>
  <c r="D330" i="5"/>
  <c r="B330" i="5"/>
  <c r="D329" i="5"/>
  <c r="B329" i="5"/>
  <c r="D328" i="5"/>
  <c r="B328" i="5"/>
  <c r="D327" i="5"/>
  <c r="B327" i="5"/>
  <c r="D326" i="5"/>
  <c r="B326" i="5"/>
  <c r="D325" i="5"/>
  <c r="B325" i="5"/>
  <c r="D324" i="5"/>
  <c r="B324" i="5"/>
  <c r="D323" i="5"/>
  <c r="B323" i="5"/>
  <c r="D322" i="5"/>
  <c r="B322" i="5"/>
  <c r="D321" i="5"/>
  <c r="B321" i="5"/>
  <c r="D320" i="5"/>
  <c r="B320" i="5"/>
  <c r="D319" i="5"/>
  <c r="B319" i="5"/>
  <c r="D318" i="5"/>
  <c r="B318" i="5"/>
  <c r="D317" i="5"/>
  <c r="B317" i="5"/>
  <c r="D316" i="5"/>
  <c r="B316" i="5"/>
  <c r="D315" i="5"/>
  <c r="B315" i="5"/>
  <c r="D314" i="5"/>
  <c r="B314" i="5"/>
  <c r="D313" i="5"/>
  <c r="B313" i="5"/>
  <c r="D312" i="5"/>
  <c r="B312" i="5"/>
  <c r="D311" i="5"/>
  <c r="B311" i="5"/>
  <c r="D310" i="5"/>
  <c r="B310" i="5"/>
  <c r="D309" i="5"/>
  <c r="B309" i="5"/>
  <c r="D308" i="5"/>
  <c r="B308" i="5"/>
  <c r="D307" i="5"/>
  <c r="B307" i="5"/>
  <c r="D306" i="5"/>
  <c r="B306" i="5"/>
  <c r="D305" i="5"/>
  <c r="B305" i="5"/>
  <c r="D304" i="5"/>
  <c r="B304" i="5"/>
  <c r="D303" i="5"/>
  <c r="B303" i="5"/>
  <c r="D302" i="5"/>
  <c r="B302" i="5"/>
  <c r="D301" i="5"/>
  <c r="B301" i="5"/>
  <c r="D300" i="5"/>
  <c r="B300" i="5"/>
  <c r="D299" i="5"/>
  <c r="B299" i="5"/>
  <c r="D298" i="5"/>
  <c r="B298" i="5"/>
  <c r="D297" i="5"/>
  <c r="B297" i="5"/>
  <c r="D296" i="5"/>
  <c r="B296" i="5"/>
  <c r="D295" i="5"/>
  <c r="B295" i="5"/>
  <c r="D294" i="5"/>
  <c r="B294" i="5"/>
  <c r="D293" i="5"/>
  <c r="B293" i="5"/>
  <c r="D292" i="5"/>
  <c r="B292" i="5"/>
  <c r="D291" i="5"/>
  <c r="B291" i="5"/>
  <c r="D290" i="5"/>
  <c r="B290" i="5"/>
  <c r="D289" i="5"/>
  <c r="B289" i="5"/>
  <c r="D288" i="5"/>
  <c r="B288" i="5"/>
  <c r="D287" i="5"/>
  <c r="B287" i="5"/>
  <c r="D286" i="5"/>
  <c r="B286" i="5"/>
  <c r="D285" i="5"/>
  <c r="B285" i="5"/>
  <c r="D284" i="5"/>
  <c r="B284" i="5"/>
  <c r="D283" i="5"/>
  <c r="B283" i="5"/>
  <c r="D282" i="5"/>
  <c r="B282" i="5"/>
  <c r="D281" i="5"/>
  <c r="B281" i="5"/>
  <c r="D280" i="5"/>
  <c r="B280" i="5"/>
  <c r="D279" i="5"/>
  <c r="B279" i="5"/>
  <c r="D278" i="5"/>
  <c r="B278" i="5"/>
  <c r="D277" i="5"/>
  <c r="B277" i="5"/>
  <c r="D276" i="5"/>
  <c r="B276" i="5"/>
  <c r="D275" i="5"/>
  <c r="B275" i="5"/>
  <c r="D274" i="5"/>
  <c r="B274" i="5"/>
  <c r="D273" i="5"/>
  <c r="B273" i="5"/>
  <c r="D272" i="5"/>
  <c r="B272" i="5"/>
  <c r="D271" i="5"/>
  <c r="B271" i="5"/>
  <c r="D270" i="5"/>
  <c r="B270" i="5"/>
  <c r="D269" i="5"/>
  <c r="B269" i="5"/>
  <c r="D268" i="5"/>
  <c r="B268" i="5"/>
  <c r="D267" i="5"/>
  <c r="B267" i="5"/>
  <c r="D266" i="5"/>
  <c r="B266" i="5"/>
  <c r="D265" i="5"/>
  <c r="B265" i="5"/>
  <c r="D264" i="5"/>
  <c r="B264" i="5"/>
  <c r="D263" i="5"/>
  <c r="B263" i="5"/>
  <c r="D262" i="5"/>
  <c r="B262" i="5"/>
  <c r="D261" i="5"/>
  <c r="B261" i="5"/>
  <c r="D260" i="5"/>
  <c r="B260" i="5"/>
  <c r="D259" i="5"/>
  <c r="B259" i="5"/>
  <c r="D258" i="5"/>
  <c r="B258" i="5"/>
  <c r="D257" i="5"/>
  <c r="B257" i="5"/>
  <c r="D256" i="5"/>
  <c r="B256" i="5"/>
  <c r="D255" i="5"/>
  <c r="B255" i="5"/>
  <c r="D254" i="5"/>
  <c r="B254" i="5"/>
  <c r="D253" i="5"/>
  <c r="B253" i="5"/>
  <c r="D252" i="5"/>
  <c r="B252" i="5"/>
  <c r="D251" i="5"/>
  <c r="B251" i="5"/>
  <c r="D250" i="5"/>
  <c r="B250" i="5"/>
  <c r="D249" i="5"/>
  <c r="B249" i="5"/>
  <c r="D248" i="5"/>
  <c r="B248" i="5"/>
  <c r="D247" i="5"/>
  <c r="B247" i="5"/>
  <c r="D246" i="5"/>
  <c r="B246" i="5"/>
  <c r="D245" i="5"/>
  <c r="B245" i="5"/>
  <c r="D244" i="5"/>
  <c r="B244" i="5"/>
  <c r="D243" i="5"/>
  <c r="B243" i="5"/>
  <c r="D242" i="5"/>
  <c r="B242" i="5"/>
  <c r="D241" i="5"/>
  <c r="B241" i="5"/>
  <c r="D240" i="5"/>
  <c r="B240" i="5"/>
  <c r="D239" i="5"/>
  <c r="B239" i="5"/>
  <c r="D238" i="5"/>
  <c r="B238" i="5"/>
  <c r="D237" i="5"/>
  <c r="B237" i="5"/>
  <c r="D236" i="5"/>
  <c r="B236" i="5"/>
  <c r="D235" i="5"/>
  <c r="B235" i="5"/>
  <c r="D234" i="5"/>
  <c r="B234" i="5"/>
  <c r="D233" i="5"/>
  <c r="B233" i="5"/>
  <c r="D232" i="5"/>
  <c r="B232" i="5"/>
  <c r="D231" i="5"/>
  <c r="B231" i="5"/>
  <c r="D230" i="5"/>
  <c r="B230" i="5"/>
  <c r="D229" i="5"/>
  <c r="B229" i="5"/>
  <c r="D228" i="5"/>
  <c r="B228" i="5"/>
  <c r="D227" i="5"/>
  <c r="B227" i="5"/>
  <c r="D226" i="5"/>
  <c r="B226" i="5"/>
  <c r="D225" i="5"/>
  <c r="B225" i="5"/>
  <c r="D224" i="5"/>
  <c r="B224" i="5"/>
  <c r="D223" i="5"/>
  <c r="B223" i="5"/>
  <c r="D222" i="5"/>
  <c r="B222" i="5"/>
  <c r="D221" i="5"/>
  <c r="B221" i="5"/>
  <c r="D220" i="5"/>
  <c r="B220" i="5"/>
  <c r="D219" i="5"/>
  <c r="B219" i="5"/>
  <c r="D218" i="5"/>
  <c r="B218" i="5"/>
  <c r="D217" i="5"/>
  <c r="B217" i="5"/>
  <c r="D216" i="5"/>
  <c r="B216" i="5"/>
  <c r="D215" i="5"/>
  <c r="B215" i="5"/>
  <c r="D214" i="5"/>
  <c r="B214" i="5"/>
  <c r="D213" i="5"/>
  <c r="B213" i="5"/>
  <c r="D212" i="5"/>
  <c r="B212" i="5"/>
  <c r="D211" i="5"/>
  <c r="B211" i="5"/>
  <c r="D210" i="5"/>
  <c r="B210" i="5"/>
  <c r="D209" i="5"/>
  <c r="B209" i="5"/>
  <c r="D208" i="5"/>
  <c r="B208" i="5"/>
  <c r="D207" i="5"/>
  <c r="B207" i="5"/>
  <c r="D206" i="5"/>
  <c r="B206" i="5"/>
  <c r="D205" i="5"/>
  <c r="B205" i="5"/>
  <c r="D204" i="5"/>
  <c r="B204" i="5"/>
  <c r="D203" i="5"/>
  <c r="B203" i="5"/>
  <c r="D202" i="5"/>
  <c r="B202" i="5"/>
  <c r="D201" i="5"/>
  <c r="B201" i="5"/>
  <c r="D200" i="5"/>
  <c r="B200" i="5"/>
  <c r="D199" i="5"/>
  <c r="B199" i="5"/>
  <c r="D198" i="5"/>
  <c r="B198" i="5"/>
  <c r="D197" i="5"/>
  <c r="B197" i="5"/>
  <c r="D196" i="5"/>
  <c r="B196" i="5"/>
  <c r="D195" i="5"/>
  <c r="B195" i="5"/>
  <c r="D194" i="5"/>
  <c r="B194" i="5"/>
  <c r="D193" i="5"/>
  <c r="B193" i="5"/>
  <c r="D192" i="5"/>
  <c r="B192" i="5"/>
  <c r="D191" i="5"/>
  <c r="B191" i="5"/>
  <c r="D190" i="5"/>
  <c r="B190" i="5"/>
  <c r="D189" i="5"/>
  <c r="B189" i="5"/>
  <c r="D188" i="5"/>
  <c r="B188" i="5"/>
  <c r="D187" i="5"/>
  <c r="B187" i="5"/>
  <c r="D186" i="5"/>
  <c r="B186" i="5"/>
  <c r="D185" i="5"/>
  <c r="B185" i="5"/>
  <c r="D184" i="5"/>
  <c r="B184" i="5"/>
  <c r="D183" i="5"/>
  <c r="B183" i="5"/>
  <c r="D182" i="5"/>
  <c r="B182" i="5"/>
  <c r="D181" i="5"/>
  <c r="B181" i="5"/>
  <c r="D180" i="5"/>
  <c r="B180" i="5"/>
  <c r="D179" i="5"/>
  <c r="B179" i="5"/>
  <c r="D178" i="5"/>
  <c r="B178" i="5"/>
  <c r="D177" i="5"/>
  <c r="B177" i="5"/>
  <c r="D176" i="5"/>
  <c r="B176" i="5"/>
  <c r="D175" i="5"/>
  <c r="B175" i="5"/>
  <c r="D174" i="5"/>
  <c r="B174" i="5"/>
  <c r="D173" i="5"/>
  <c r="B173" i="5"/>
  <c r="D172" i="5"/>
  <c r="B172" i="5"/>
  <c r="D171" i="5"/>
  <c r="B171" i="5"/>
  <c r="D170" i="5"/>
  <c r="B170" i="5"/>
  <c r="D169" i="5"/>
  <c r="B169" i="5"/>
  <c r="D168" i="5"/>
  <c r="B168" i="5"/>
  <c r="D167" i="5"/>
  <c r="B167" i="5"/>
  <c r="D166" i="5"/>
  <c r="B166" i="5"/>
  <c r="D165" i="5"/>
  <c r="B165" i="5"/>
  <c r="D164" i="5"/>
  <c r="B164" i="5"/>
  <c r="D163" i="5"/>
  <c r="B163" i="5"/>
  <c r="D162" i="5"/>
  <c r="B162" i="5"/>
  <c r="D161" i="5"/>
  <c r="B161" i="5"/>
  <c r="D160" i="5"/>
  <c r="B160" i="5"/>
  <c r="D159" i="5"/>
  <c r="B159" i="5"/>
  <c r="D158" i="5"/>
  <c r="B158" i="5"/>
  <c r="D157" i="5"/>
  <c r="B157" i="5"/>
  <c r="D156" i="5"/>
  <c r="B156" i="5"/>
  <c r="D155" i="5"/>
  <c r="B155" i="5"/>
  <c r="D154" i="5"/>
  <c r="B154" i="5"/>
  <c r="D153" i="5"/>
  <c r="B153" i="5"/>
  <c r="D152" i="5"/>
  <c r="B152" i="5"/>
  <c r="D151" i="5"/>
  <c r="B151" i="5"/>
  <c r="D150" i="5"/>
  <c r="B150" i="5"/>
  <c r="D149" i="5"/>
  <c r="B149" i="5"/>
  <c r="D148" i="5"/>
  <c r="B148" i="5"/>
  <c r="D147" i="5"/>
  <c r="B147" i="5"/>
  <c r="D146" i="5"/>
  <c r="B146" i="5"/>
  <c r="D145" i="5"/>
  <c r="B145" i="5"/>
  <c r="D144" i="5"/>
  <c r="B144" i="5"/>
  <c r="D143" i="5"/>
  <c r="B143" i="5"/>
  <c r="D142" i="5"/>
  <c r="B142" i="5"/>
  <c r="D141" i="5"/>
  <c r="B141" i="5"/>
  <c r="D140" i="5"/>
  <c r="B140" i="5"/>
  <c r="D139" i="5"/>
  <c r="B139" i="5"/>
  <c r="D138" i="5"/>
  <c r="B138" i="5"/>
  <c r="D137" i="5"/>
  <c r="B137" i="5"/>
  <c r="D136" i="5"/>
  <c r="B136" i="5"/>
  <c r="D135" i="5"/>
  <c r="B135" i="5"/>
  <c r="D134" i="5"/>
  <c r="B134" i="5"/>
  <c r="D133" i="5"/>
  <c r="B133" i="5"/>
  <c r="D132" i="5"/>
  <c r="B132" i="5"/>
  <c r="D131" i="5"/>
  <c r="B131" i="5"/>
  <c r="D130" i="5"/>
  <c r="B130" i="5"/>
  <c r="D129" i="5"/>
  <c r="B129" i="5"/>
  <c r="D128" i="5"/>
  <c r="B128" i="5"/>
  <c r="D127" i="5"/>
  <c r="B127" i="5"/>
  <c r="D126" i="5"/>
  <c r="B126" i="5"/>
  <c r="D125" i="5"/>
  <c r="B125" i="5"/>
  <c r="D124" i="5"/>
  <c r="B124" i="5"/>
  <c r="D123" i="5"/>
  <c r="B123" i="5"/>
  <c r="D122" i="5"/>
  <c r="B122" i="5"/>
  <c r="D121" i="5"/>
  <c r="B121" i="5"/>
  <c r="D120" i="5"/>
  <c r="B120" i="5"/>
  <c r="D119" i="5"/>
  <c r="B119" i="5"/>
  <c r="D118" i="5"/>
  <c r="B118" i="5"/>
  <c r="D117" i="5"/>
  <c r="B117" i="5"/>
  <c r="D116" i="5"/>
  <c r="B116" i="5"/>
  <c r="D115" i="5"/>
  <c r="B115" i="5"/>
  <c r="D114" i="5"/>
  <c r="B114" i="5"/>
  <c r="D113" i="5"/>
  <c r="B113" i="5"/>
  <c r="D112" i="5"/>
  <c r="B112" i="5"/>
  <c r="D111" i="5"/>
  <c r="B111" i="5"/>
  <c r="D110" i="5"/>
  <c r="B110" i="5"/>
  <c r="D109" i="5"/>
  <c r="B109" i="5"/>
  <c r="D108" i="5"/>
  <c r="B108" i="5"/>
  <c r="D107" i="5"/>
  <c r="B107" i="5"/>
  <c r="D106" i="5"/>
  <c r="B106" i="5"/>
  <c r="D105" i="5"/>
  <c r="B105" i="5"/>
  <c r="D104" i="5"/>
  <c r="B104" i="5"/>
  <c r="D103" i="5"/>
  <c r="B103" i="5"/>
  <c r="D102" i="5"/>
  <c r="B102" i="5"/>
  <c r="D101" i="5"/>
  <c r="B101" i="5"/>
  <c r="D100" i="5"/>
  <c r="B100" i="5"/>
  <c r="D99" i="5"/>
  <c r="B99" i="5"/>
  <c r="D98" i="5"/>
  <c r="B98" i="5"/>
  <c r="D97" i="5"/>
  <c r="B97" i="5"/>
  <c r="D96" i="5"/>
  <c r="B96" i="5"/>
  <c r="D95" i="5"/>
  <c r="B95" i="5"/>
  <c r="D94" i="5"/>
  <c r="B94" i="5"/>
  <c r="D93" i="5"/>
  <c r="B93" i="5"/>
  <c r="D92" i="5"/>
  <c r="B92" i="5"/>
  <c r="D91" i="5"/>
  <c r="B91" i="5"/>
  <c r="D90" i="5"/>
  <c r="B90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9" i="5"/>
  <c r="B79" i="5"/>
  <c r="D78" i="5"/>
  <c r="B78" i="5"/>
  <c r="D77" i="5"/>
  <c r="B77" i="5"/>
  <c r="D76" i="5"/>
  <c r="B76" i="5"/>
  <c r="D75" i="5"/>
  <c r="B75" i="5"/>
  <c r="D74" i="5"/>
  <c r="B74" i="5"/>
  <c r="D73" i="5"/>
  <c r="B73" i="5"/>
  <c r="D72" i="5"/>
  <c r="B72" i="5"/>
  <c r="D71" i="5"/>
  <c r="B71" i="5"/>
  <c r="D70" i="5"/>
  <c r="B70" i="5"/>
  <c r="D69" i="5"/>
  <c r="B69" i="5"/>
  <c r="D68" i="5"/>
  <c r="B68" i="5"/>
  <c r="D67" i="5"/>
  <c r="B67" i="5"/>
  <c r="D66" i="5"/>
  <c r="B66" i="5"/>
  <c r="D65" i="5"/>
  <c r="B65" i="5"/>
  <c r="D64" i="5"/>
  <c r="B64" i="5"/>
  <c r="D63" i="5"/>
  <c r="B63" i="5"/>
  <c r="D62" i="5"/>
  <c r="B62" i="5"/>
  <c r="D61" i="5"/>
  <c r="B61" i="5"/>
  <c r="D60" i="5"/>
  <c r="B60" i="5"/>
  <c r="D59" i="5"/>
  <c r="B59" i="5"/>
  <c r="D58" i="5"/>
  <c r="B58" i="5"/>
  <c r="D57" i="5"/>
  <c r="B57" i="5"/>
  <c r="D56" i="5"/>
  <c r="B56" i="5"/>
  <c r="D55" i="5"/>
  <c r="B55" i="5"/>
  <c r="D54" i="5"/>
  <c r="B54" i="5"/>
  <c r="D53" i="5"/>
  <c r="B53" i="5"/>
  <c r="D52" i="5"/>
  <c r="B52" i="5"/>
  <c r="D51" i="5"/>
  <c r="B51" i="5"/>
  <c r="D50" i="5"/>
  <c r="B50" i="5"/>
  <c r="D49" i="5"/>
  <c r="B49" i="5"/>
  <c r="D48" i="5"/>
  <c r="B48" i="5"/>
  <c r="D47" i="5"/>
  <c r="B47" i="5"/>
  <c r="D46" i="5"/>
  <c r="B46" i="5"/>
  <c r="D45" i="5"/>
  <c r="B45" i="5"/>
  <c r="D44" i="5"/>
  <c r="B44" i="5"/>
  <c r="D43" i="5"/>
  <c r="B43" i="5"/>
  <c r="D42" i="5"/>
  <c r="B42" i="5"/>
  <c r="D41" i="5"/>
  <c r="B41" i="5"/>
  <c r="D40" i="5"/>
  <c r="B40" i="5"/>
  <c r="D39" i="5"/>
  <c r="B39" i="5"/>
  <c r="D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D2" i="5"/>
  <c r="B2" i="5"/>
  <c r="E51" i="4"/>
  <c r="F51" i="4"/>
  <c r="G51" i="4"/>
  <c r="H51" i="4"/>
  <c r="I51" i="4"/>
  <c r="J51" i="4"/>
  <c r="K51" i="4"/>
  <c r="L51" i="4"/>
  <c r="M51" i="4"/>
  <c r="AE51" i="5" s="1"/>
  <c r="N51" i="4"/>
  <c r="O51" i="4"/>
  <c r="P51" i="4"/>
  <c r="Q51" i="4"/>
  <c r="R51" i="4"/>
  <c r="S51" i="4"/>
  <c r="T51" i="4"/>
  <c r="E52" i="4"/>
  <c r="F52" i="4"/>
  <c r="G52" i="4"/>
  <c r="H52" i="4"/>
  <c r="I52" i="4"/>
  <c r="J52" i="4"/>
  <c r="K52" i="4"/>
  <c r="L52" i="4"/>
  <c r="M52" i="4"/>
  <c r="AE52" i="5" s="1"/>
  <c r="N52" i="4"/>
  <c r="O52" i="4"/>
  <c r="P52" i="4"/>
  <c r="Q52" i="4"/>
  <c r="R52" i="4"/>
  <c r="S52" i="4"/>
  <c r="T52" i="4"/>
  <c r="E53" i="4"/>
  <c r="F53" i="4"/>
  <c r="G53" i="4"/>
  <c r="H53" i="4"/>
  <c r="I53" i="4"/>
  <c r="J53" i="4"/>
  <c r="K53" i="4"/>
  <c r="L53" i="4"/>
  <c r="M53" i="4"/>
  <c r="AE53" i="5" s="1"/>
  <c r="N53" i="4"/>
  <c r="O53" i="4"/>
  <c r="P53" i="4"/>
  <c r="Q53" i="4"/>
  <c r="R53" i="4"/>
  <c r="S53" i="4"/>
  <c r="T53" i="4"/>
  <c r="E54" i="4"/>
  <c r="F54" i="4"/>
  <c r="G54" i="4"/>
  <c r="H54" i="4"/>
  <c r="I54" i="4"/>
  <c r="J54" i="4"/>
  <c r="K54" i="4"/>
  <c r="L54" i="4"/>
  <c r="M54" i="4"/>
  <c r="AE54" i="5" s="1"/>
  <c r="N54" i="4"/>
  <c r="O54" i="4"/>
  <c r="P54" i="4"/>
  <c r="Q54" i="4"/>
  <c r="R54" i="4"/>
  <c r="S54" i="4"/>
  <c r="T54" i="4"/>
  <c r="E55" i="4"/>
  <c r="F55" i="4"/>
  <c r="G55" i="4"/>
  <c r="H55" i="4"/>
  <c r="I55" i="4"/>
  <c r="J55" i="4"/>
  <c r="K55" i="4"/>
  <c r="L55" i="4"/>
  <c r="M55" i="4"/>
  <c r="AE55" i="5" s="1"/>
  <c r="N55" i="4"/>
  <c r="O55" i="4"/>
  <c r="P55" i="4"/>
  <c r="Q55" i="4"/>
  <c r="R55" i="4"/>
  <c r="S55" i="4"/>
  <c r="T55" i="4"/>
  <c r="E56" i="4"/>
  <c r="F56" i="4"/>
  <c r="G56" i="4"/>
  <c r="H56" i="4"/>
  <c r="I56" i="4"/>
  <c r="J56" i="4"/>
  <c r="K56" i="4"/>
  <c r="L56" i="4"/>
  <c r="M56" i="4"/>
  <c r="AE56" i="5" s="1"/>
  <c r="N56" i="4"/>
  <c r="O56" i="4"/>
  <c r="P56" i="4"/>
  <c r="Q56" i="4"/>
  <c r="R56" i="4"/>
  <c r="S56" i="4"/>
  <c r="T56" i="4"/>
  <c r="E57" i="4"/>
  <c r="F57" i="4"/>
  <c r="G57" i="4"/>
  <c r="H57" i="4"/>
  <c r="I57" i="4"/>
  <c r="J57" i="4"/>
  <c r="K57" i="4"/>
  <c r="L57" i="4"/>
  <c r="M57" i="4"/>
  <c r="AE57" i="5" s="1"/>
  <c r="N57" i="4"/>
  <c r="O57" i="4"/>
  <c r="P57" i="4"/>
  <c r="Q57" i="4"/>
  <c r="R57" i="4"/>
  <c r="S57" i="4"/>
  <c r="T57" i="4"/>
  <c r="E58" i="4"/>
  <c r="F58" i="4"/>
  <c r="G58" i="4"/>
  <c r="H58" i="4"/>
  <c r="I58" i="4"/>
  <c r="J58" i="4"/>
  <c r="K58" i="4"/>
  <c r="L58" i="4"/>
  <c r="M58" i="4"/>
  <c r="AE58" i="5" s="1"/>
  <c r="N58" i="4"/>
  <c r="O58" i="4"/>
  <c r="P58" i="4"/>
  <c r="Q58" i="4"/>
  <c r="R58" i="4"/>
  <c r="S58" i="4"/>
  <c r="T58" i="4"/>
  <c r="E59" i="4"/>
  <c r="F59" i="4"/>
  <c r="G59" i="4"/>
  <c r="H59" i="4"/>
  <c r="I59" i="4"/>
  <c r="J59" i="4"/>
  <c r="K59" i="4"/>
  <c r="L59" i="4"/>
  <c r="M59" i="4"/>
  <c r="AE59" i="5" s="1"/>
  <c r="N59" i="4"/>
  <c r="O59" i="4"/>
  <c r="P59" i="4"/>
  <c r="Q59" i="4"/>
  <c r="R59" i="4"/>
  <c r="S59" i="4"/>
  <c r="T59" i="4"/>
  <c r="E60" i="4"/>
  <c r="F60" i="4"/>
  <c r="G60" i="4"/>
  <c r="H60" i="4"/>
  <c r="I60" i="4"/>
  <c r="J60" i="4"/>
  <c r="K60" i="4"/>
  <c r="L60" i="4"/>
  <c r="M60" i="4"/>
  <c r="AE60" i="5" s="1"/>
  <c r="N60" i="4"/>
  <c r="O60" i="4"/>
  <c r="P60" i="4"/>
  <c r="Q60" i="4"/>
  <c r="R60" i="4"/>
  <c r="S60" i="4"/>
  <c r="T60" i="4"/>
  <c r="E61" i="4"/>
  <c r="F61" i="4"/>
  <c r="G61" i="4"/>
  <c r="H61" i="4"/>
  <c r="I61" i="4"/>
  <c r="J61" i="4"/>
  <c r="K61" i="4"/>
  <c r="L61" i="4"/>
  <c r="M61" i="4"/>
  <c r="AE61" i="5" s="1"/>
  <c r="N61" i="4"/>
  <c r="O61" i="4"/>
  <c r="P61" i="4"/>
  <c r="Q61" i="4"/>
  <c r="R61" i="4"/>
  <c r="S61" i="4"/>
  <c r="T61" i="4"/>
  <c r="U61" i="4"/>
  <c r="V61" i="4"/>
  <c r="E62" i="4"/>
  <c r="F62" i="4"/>
  <c r="G62" i="4"/>
  <c r="H62" i="4"/>
  <c r="I62" i="4"/>
  <c r="J62" i="4"/>
  <c r="K62" i="4"/>
  <c r="L62" i="4"/>
  <c r="M62" i="4"/>
  <c r="AE62" i="5" s="1"/>
  <c r="N62" i="4"/>
  <c r="O62" i="4"/>
  <c r="P62" i="4"/>
  <c r="Q62" i="4"/>
  <c r="R62" i="4"/>
  <c r="S62" i="4"/>
  <c r="T62" i="4"/>
  <c r="U62" i="4"/>
  <c r="V62" i="4"/>
  <c r="E63" i="4"/>
  <c r="F63" i="4"/>
  <c r="G63" i="4"/>
  <c r="H63" i="4"/>
  <c r="I63" i="4"/>
  <c r="J63" i="4"/>
  <c r="K63" i="4"/>
  <c r="L63" i="4"/>
  <c r="M63" i="4"/>
  <c r="AE63" i="5" s="1"/>
  <c r="N63" i="4"/>
  <c r="O63" i="4"/>
  <c r="P63" i="4"/>
  <c r="Q63" i="4"/>
  <c r="R63" i="4"/>
  <c r="S63" i="4"/>
  <c r="T63" i="4"/>
  <c r="U63" i="4"/>
  <c r="V63" i="4"/>
  <c r="E64" i="4"/>
  <c r="F64" i="4"/>
  <c r="G64" i="4"/>
  <c r="H64" i="4"/>
  <c r="I64" i="4"/>
  <c r="J64" i="4"/>
  <c r="K64" i="4"/>
  <c r="L64" i="4"/>
  <c r="M64" i="4"/>
  <c r="AE64" i="5" s="1"/>
  <c r="N64" i="4"/>
  <c r="O64" i="4"/>
  <c r="P64" i="4"/>
  <c r="Q64" i="4"/>
  <c r="R64" i="4"/>
  <c r="S64" i="4"/>
  <c r="T64" i="4"/>
  <c r="U64" i="4"/>
  <c r="V64" i="4"/>
  <c r="E65" i="4"/>
  <c r="F65" i="4"/>
  <c r="G65" i="4"/>
  <c r="H65" i="4"/>
  <c r="I65" i="4"/>
  <c r="J65" i="4"/>
  <c r="K65" i="4"/>
  <c r="L65" i="4"/>
  <c r="M65" i="4"/>
  <c r="AE65" i="5" s="1"/>
  <c r="N65" i="4"/>
  <c r="O65" i="4"/>
  <c r="P65" i="4"/>
  <c r="Q65" i="4"/>
  <c r="R65" i="4"/>
  <c r="S65" i="4"/>
  <c r="T65" i="4"/>
  <c r="U65" i="4"/>
  <c r="V65" i="4"/>
  <c r="E66" i="4"/>
  <c r="F66" i="4"/>
  <c r="G66" i="4"/>
  <c r="H66" i="4"/>
  <c r="I66" i="4"/>
  <c r="J66" i="4"/>
  <c r="K66" i="4"/>
  <c r="L66" i="4"/>
  <c r="M66" i="4"/>
  <c r="AE66" i="5" s="1"/>
  <c r="N66" i="4"/>
  <c r="O66" i="4"/>
  <c r="P66" i="4"/>
  <c r="Q66" i="4"/>
  <c r="R66" i="4"/>
  <c r="S66" i="4"/>
  <c r="T66" i="4"/>
  <c r="U66" i="4"/>
  <c r="V66" i="4"/>
  <c r="E67" i="4"/>
  <c r="F67" i="4"/>
  <c r="G67" i="4"/>
  <c r="H67" i="4"/>
  <c r="I67" i="4"/>
  <c r="J67" i="4"/>
  <c r="K67" i="4"/>
  <c r="L67" i="4"/>
  <c r="M67" i="4"/>
  <c r="AE67" i="5" s="1"/>
  <c r="N67" i="4"/>
  <c r="O67" i="4"/>
  <c r="P67" i="4"/>
  <c r="Q67" i="4"/>
  <c r="R67" i="4"/>
  <c r="S67" i="4"/>
  <c r="T67" i="4"/>
  <c r="E68" i="4"/>
  <c r="F68" i="4"/>
  <c r="G68" i="4"/>
  <c r="H68" i="4"/>
  <c r="I68" i="4"/>
  <c r="J68" i="4"/>
  <c r="K68" i="4"/>
  <c r="L68" i="4"/>
  <c r="M68" i="4"/>
  <c r="AE68" i="5" s="1"/>
  <c r="N68" i="4"/>
  <c r="O68" i="4"/>
  <c r="P68" i="4"/>
  <c r="Q68" i="4"/>
  <c r="R68" i="4"/>
  <c r="S68" i="4"/>
  <c r="T68" i="4"/>
  <c r="E69" i="4"/>
  <c r="F69" i="4"/>
  <c r="G69" i="4"/>
  <c r="H69" i="4"/>
  <c r="I69" i="4"/>
  <c r="J69" i="4"/>
  <c r="K69" i="4"/>
  <c r="L69" i="4"/>
  <c r="M69" i="4"/>
  <c r="AE69" i="5" s="1"/>
  <c r="N69" i="4"/>
  <c r="O69" i="4"/>
  <c r="P69" i="4"/>
  <c r="Q69" i="4"/>
  <c r="R69" i="4"/>
  <c r="S69" i="4"/>
  <c r="T69" i="4"/>
  <c r="U69" i="4"/>
  <c r="V69" i="4"/>
  <c r="E70" i="4"/>
  <c r="F70" i="4"/>
  <c r="G70" i="4"/>
  <c r="H70" i="4"/>
  <c r="I70" i="4"/>
  <c r="J70" i="4"/>
  <c r="K70" i="4"/>
  <c r="L70" i="4"/>
  <c r="M70" i="4"/>
  <c r="AE70" i="5" s="1"/>
  <c r="N70" i="4"/>
  <c r="O70" i="4"/>
  <c r="P70" i="4"/>
  <c r="Q70" i="4"/>
  <c r="R70" i="4"/>
  <c r="S70" i="4"/>
  <c r="T70" i="4"/>
  <c r="E71" i="4"/>
  <c r="F71" i="4"/>
  <c r="G71" i="4"/>
  <c r="H71" i="4"/>
  <c r="I71" i="4"/>
  <c r="J71" i="4"/>
  <c r="K71" i="4"/>
  <c r="L71" i="4"/>
  <c r="M71" i="4"/>
  <c r="AE71" i="5" s="1"/>
  <c r="N71" i="4"/>
  <c r="O71" i="4"/>
  <c r="P71" i="4"/>
  <c r="Q71" i="4"/>
  <c r="R71" i="4"/>
  <c r="S71" i="4"/>
  <c r="T71" i="4"/>
  <c r="E72" i="4"/>
  <c r="F72" i="4"/>
  <c r="G72" i="4"/>
  <c r="H72" i="4"/>
  <c r="I72" i="4"/>
  <c r="J72" i="4"/>
  <c r="K72" i="4"/>
  <c r="L72" i="4"/>
  <c r="M72" i="4"/>
  <c r="AE72" i="5" s="1"/>
  <c r="N72" i="4"/>
  <c r="O72" i="4"/>
  <c r="P72" i="4"/>
  <c r="Q72" i="4"/>
  <c r="R72" i="4"/>
  <c r="S72" i="4"/>
  <c r="T72" i="4"/>
  <c r="E73" i="4"/>
  <c r="F73" i="4"/>
  <c r="G73" i="4"/>
  <c r="H73" i="4"/>
  <c r="I73" i="4"/>
  <c r="J73" i="4"/>
  <c r="K73" i="4"/>
  <c r="L73" i="4"/>
  <c r="M73" i="4"/>
  <c r="AE73" i="5" s="1"/>
  <c r="N73" i="4"/>
  <c r="O73" i="4"/>
  <c r="P73" i="4"/>
  <c r="Q73" i="4"/>
  <c r="R73" i="4"/>
  <c r="S73" i="4"/>
  <c r="T73" i="4"/>
  <c r="E74" i="4"/>
  <c r="F74" i="4"/>
  <c r="G74" i="4"/>
  <c r="H74" i="4"/>
  <c r="I74" i="4"/>
  <c r="J74" i="4"/>
  <c r="K74" i="4"/>
  <c r="L74" i="4"/>
  <c r="M74" i="4"/>
  <c r="AE74" i="5" s="1"/>
  <c r="N74" i="4"/>
  <c r="O74" i="4"/>
  <c r="P74" i="4"/>
  <c r="Q74" i="4"/>
  <c r="R74" i="4"/>
  <c r="S74" i="4"/>
  <c r="T74" i="4"/>
  <c r="E75" i="4"/>
  <c r="F75" i="4"/>
  <c r="G75" i="4"/>
  <c r="H75" i="4"/>
  <c r="I75" i="4"/>
  <c r="J75" i="4"/>
  <c r="K75" i="4"/>
  <c r="L75" i="4"/>
  <c r="M75" i="4"/>
  <c r="AE75" i="5" s="1"/>
  <c r="N75" i="4"/>
  <c r="O75" i="4"/>
  <c r="P75" i="4"/>
  <c r="Q75" i="4"/>
  <c r="R75" i="4"/>
  <c r="S75" i="4"/>
  <c r="T75" i="4"/>
  <c r="E76" i="4"/>
  <c r="F76" i="4"/>
  <c r="G76" i="4"/>
  <c r="H76" i="4"/>
  <c r="I76" i="4"/>
  <c r="J76" i="4"/>
  <c r="K76" i="4"/>
  <c r="L76" i="4"/>
  <c r="M76" i="4"/>
  <c r="AE76" i="5" s="1"/>
  <c r="N76" i="4"/>
  <c r="O76" i="4"/>
  <c r="P76" i="4"/>
  <c r="Q76" i="4"/>
  <c r="R76" i="4"/>
  <c r="S76" i="4"/>
  <c r="T76" i="4"/>
  <c r="E77" i="4"/>
  <c r="F77" i="4"/>
  <c r="G77" i="4"/>
  <c r="H77" i="4"/>
  <c r="I77" i="4"/>
  <c r="J77" i="4"/>
  <c r="K77" i="4"/>
  <c r="L77" i="4"/>
  <c r="M77" i="4"/>
  <c r="AE77" i="5" s="1"/>
  <c r="N77" i="4"/>
  <c r="O77" i="4"/>
  <c r="P77" i="4"/>
  <c r="Q77" i="4"/>
  <c r="R77" i="4"/>
  <c r="S77" i="4"/>
  <c r="T77" i="4"/>
  <c r="E78" i="4"/>
  <c r="F78" i="4"/>
  <c r="G78" i="4"/>
  <c r="H78" i="4"/>
  <c r="I78" i="4"/>
  <c r="J78" i="4"/>
  <c r="K78" i="4"/>
  <c r="L78" i="4"/>
  <c r="M78" i="4"/>
  <c r="AE78" i="5" s="1"/>
  <c r="N78" i="4"/>
  <c r="O78" i="4"/>
  <c r="P78" i="4"/>
  <c r="Q78" i="4"/>
  <c r="R78" i="4"/>
  <c r="S78" i="4"/>
  <c r="T78" i="4"/>
  <c r="E79" i="4"/>
  <c r="F79" i="4"/>
  <c r="G79" i="4"/>
  <c r="H79" i="4"/>
  <c r="I79" i="4"/>
  <c r="J79" i="4"/>
  <c r="K79" i="4"/>
  <c r="L79" i="4"/>
  <c r="M79" i="4"/>
  <c r="AE79" i="5" s="1"/>
  <c r="N79" i="4"/>
  <c r="O79" i="4"/>
  <c r="P79" i="4"/>
  <c r="Q79" i="4"/>
  <c r="R79" i="4"/>
  <c r="S79" i="4"/>
  <c r="T79" i="4"/>
  <c r="E80" i="4"/>
  <c r="F80" i="4"/>
  <c r="G80" i="4"/>
  <c r="H80" i="4"/>
  <c r="I80" i="4"/>
  <c r="J80" i="4"/>
  <c r="K80" i="4"/>
  <c r="L80" i="4"/>
  <c r="M80" i="4"/>
  <c r="AE80" i="5" s="1"/>
  <c r="N80" i="4"/>
  <c r="O80" i="4"/>
  <c r="P80" i="4"/>
  <c r="Q80" i="4"/>
  <c r="R80" i="4"/>
  <c r="S80" i="4"/>
  <c r="T80" i="4"/>
  <c r="E81" i="4"/>
  <c r="F81" i="4"/>
  <c r="G81" i="4"/>
  <c r="H81" i="4"/>
  <c r="I81" i="4"/>
  <c r="J81" i="4"/>
  <c r="K81" i="4"/>
  <c r="L81" i="4"/>
  <c r="M81" i="4"/>
  <c r="AE81" i="5" s="1"/>
  <c r="N81" i="4"/>
  <c r="O81" i="4"/>
  <c r="P81" i="4"/>
  <c r="Q81" i="4"/>
  <c r="R81" i="4"/>
  <c r="S81" i="4"/>
  <c r="T81" i="4"/>
  <c r="U81" i="4"/>
  <c r="V81" i="4"/>
  <c r="E82" i="4"/>
  <c r="F82" i="4"/>
  <c r="G82" i="4"/>
  <c r="H82" i="4"/>
  <c r="I82" i="4"/>
  <c r="J82" i="4"/>
  <c r="K82" i="4"/>
  <c r="L82" i="4"/>
  <c r="M82" i="4"/>
  <c r="AE82" i="5" s="1"/>
  <c r="N82" i="4"/>
  <c r="O82" i="4"/>
  <c r="P82" i="4"/>
  <c r="Q82" i="4"/>
  <c r="R82" i="4"/>
  <c r="S82" i="4"/>
  <c r="T82" i="4"/>
  <c r="U82" i="4"/>
  <c r="V82" i="4"/>
  <c r="E83" i="4"/>
  <c r="F83" i="4"/>
  <c r="G83" i="4"/>
  <c r="H83" i="4"/>
  <c r="I83" i="4"/>
  <c r="J83" i="4"/>
  <c r="K83" i="4"/>
  <c r="L83" i="4"/>
  <c r="M83" i="4"/>
  <c r="AE83" i="5" s="1"/>
  <c r="N83" i="4"/>
  <c r="O83" i="4"/>
  <c r="P83" i="4"/>
  <c r="Q83" i="4"/>
  <c r="R83" i="4"/>
  <c r="S83" i="4"/>
  <c r="T83" i="4"/>
  <c r="U83" i="4"/>
  <c r="V83" i="4"/>
  <c r="E84" i="4"/>
  <c r="F84" i="4"/>
  <c r="G84" i="4"/>
  <c r="H84" i="4"/>
  <c r="I84" i="4"/>
  <c r="J84" i="4"/>
  <c r="K84" i="4"/>
  <c r="L84" i="4"/>
  <c r="M84" i="4"/>
  <c r="AE84" i="5" s="1"/>
  <c r="N84" i="4"/>
  <c r="O84" i="4"/>
  <c r="P84" i="4"/>
  <c r="Q84" i="4"/>
  <c r="R84" i="4"/>
  <c r="S84" i="4"/>
  <c r="T84" i="4"/>
  <c r="E85" i="4"/>
  <c r="F85" i="4"/>
  <c r="G85" i="4"/>
  <c r="H85" i="4"/>
  <c r="I85" i="4"/>
  <c r="J85" i="4"/>
  <c r="K85" i="4"/>
  <c r="L85" i="4"/>
  <c r="M85" i="4"/>
  <c r="AE85" i="5" s="1"/>
  <c r="N85" i="4"/>
  <c r="O85" i="4"/>
  <c r="P85" i="4"/>
  <c r="Q85" i="4"/>
  <c r="R85" i="4"/>
  <c r="S85" i="4"/>
  <c r="T85" i="4"/>
  <c r="E86" i="4"/>
  <c r="F86" i="4"/>
  <c r="G86" i="4"/>
  <c r="H86" i="4"/>
  <c r="I86" i="4"/>
  <c r="J86" i="4"/>
  <c r="K86" i="4"/>
  <c r="L86" i="4"/>
  <c r="M86" i="4"/>
  <c r="AE86" i="5" s="1"/>
  <c r="N86" i="4"/>
  <c r="O86" i="4"/>
  <c r="P86" i="4"/>
  <c r="Q86" i="4"/>
  <c r="R86" i="4"/>
  <c r="S86" i="4"/>
  <c r="T86" i="4"/>
  <c r="U86" i="4"/>
  <c r="V86" i="4"/>
  <c r="E87" i="4"/>
  <c r="F87" i="4"/>
  <c r="G87" i="4"/>
  <c r="H87" i="4"/>
  <c r="I87" i="4"/>
  <c r="J87" i="4"/>
  <c r="K87" i="4"/>
  <c r="L87" i="4"/>
  <c r="M87" i="4"/>
  <c r="AE87" i="5" s="1"/>
  <c r="N87" i="4"/>
  <c r="O87" i="4"/>
  <c r="P87" i="4"/>
  <c r="Q87" i="4"/>
  <c r="R87" i="4"/>
  <c r="S87" i="4"/>
  <c r="T87" i="4"/>
  <c r="E88" i="4"/>
  <c r="F88" i="4"/>
  <c r="G88" i="4"/>
  <c r="H88" i="4"/>
  <c r="I88" i="4"/>
  <c r="J88" i="4"/>
  <c r="K88" i="4"/>
  <c r="L88" i="4"/>
  <c r="M88" i="4"/>
  <c r="AE88" i="5" s="1"/>
  <c r="N88" i="4"/>
  <c r="O88" i="4"/>
  <c r="P88" i="4"/>
  <c r="Q88" i="4"/>
  <c r="R88" i="4"/>
  <c r="S88" i="4"/>
  <c r="T88" i="4"/>
  <c r="E89" i="4"/>
  <c r="F89" i="4"/>
  <c r="G89" i="4"/>
  <c r="H89" i="4"/>
  <c r="I89" i="4"/>
  <c r="J89" i="4"/>
  <c r="K89" i="4"/>
  <c r="L89" i="4"/>
  <c r="M89" i="4"/>
  <c r="AE89" i="5" s="1"/>
  <c r="N89" i="4"/>
  <c r="O89" i="4"/>
  <c r="P89" i="4"/>
  <c r="Q89" i="4"/>
  <c r="R89" i="4"/>
  <c r="S89" i="4"/>
  <c r="T89" i="4"/>
  <c r="E90" i="4"/>
  <c r="F90" i="4"/>
  <c r="G90" i="4"/>
  <c r="H90" i="4"/>
  <c r="I90" i="4"/>
  <c r="J90" i="4"/>
  <c r="K90" i="4"/>
  <c r="L90" i="4"/>
  <c r="M90" i="4"/>
  <c r="AE90" i="5" s="1"/>
  <c r="N90" i="4"/>
  <c r="O90" i="4"/>
  <c r="P90" i="4"/>
  <c r="Q90" i="4"/>
  <c r="R90" i="4"/>
  <c r="S90" i="4"/>
  <c r="T90" i="4"/>
  <c r="E91" i="4"/>
  <c r="F91" i="4"/>
  <c r="G91" i="4"/>
  <c r="H91" i="4"/>
  <c r="I91" i="4"/>
  <c r="J91" i="4"/>
  <c r="K91" i="4"/>
  <c r="L91" i="4"/>
  <c r="M91" i="4"/>
  <c r="AE91" i="5" s="1"/>
  <c r="N91" i="4"/>
  <c r="O91" i="4"/>
  <c r="P91" i="4"/>
  <c r="Q91" i="4"/>
  <c r="R91" i="4"/>
  <c r="S91" i="4"/>
  <c r="T91" i="4"/>
  <c r="E92" i="4"/>
  <c r="F92" i="4"/>
  <c r="G92" i="4"/>
  <c r="H92" i="4"/>
  <c r="I92" i="4"/>
  <c r="J92" i="4"/>
  <c r="K92" i="4"/>
  <c r="L92" i="4"/>
  <c r="M92" i="4"/>
  <c r="AE92" i="5" s="1"/>
  <c r="N92" i="4"/>
  <c r="O92" i="4"/>
  <c r="P92" i="4"/>
  <c r="Q92" i="4"/>
  <c r="R92" i="4"/>
  <c r="S92" i="4"/>
  <c r="T92" i="4"/>
  <c r="U92" i="4"/>
  <c r="V92" i="4"/>
  <c r="E93" i="4"/>
  <c r="F93" i="4"/>
  <c r="G93" i="4"/>
  <c r="H93" i="4"/>
  <c r="I93" i="4"/>
  <c r="J93" i="4"/>
  <c r="K93" i="4"/>
  <c r="L93" i="4"/>
  <c r="M93" i="4"/>
  <c r="AE93" i="5" s="1"/>
  <c r="N93" i="4"/>
  <c r="O93" i="4"/>
  <c r="P93" i="4"/>
  <c r="Q93" i="4"/>
  <c r="R93" i="4"/>
  <c r="S93" i="4"/>
  <c r="T93" i="4"/>
  <c r="U93" i="4"/>
  <c r="V93" i="4"/>
  <c r="E94" i="4"/>
  <c r="F94" i="4"/>
  <c r="G94" i="4"/>
  <c r="H94" i="4"/>
  <c r="I94" i="4"/>
  <c r="J94" i="4"/>
  <c r="K94" i="4"/>
  <c r="L94" i="4"/>
  <c r="M94" i="4"/>
  <c r="AE94" i="5" s="1"/>
  <c r="N94" i="4"/>
  <c r="O94" i="4"/>
  <c r="P94" i="4"/>
  <c r="Q94" i="4"/>
  <c r="R94" i="4"/>
  <c r="S94" i="4"/>
  <c r="T94" i="4"/>
  <c r="U94" i="4"/>
  <c r="V94" i="4"/>
  <c r="E95" i="4"/>
  <c r="F95" i="4"/>
  <c r="G95" i="4"/>
  <c r="H95" i="4"/>
  <c r="I95" i="4"/>
  <c r="J95" i="4"/>
  <c r="K95" i="4"/>
  <c r="L95" i="4"/>
  <c r="M95" i="4"/>
  <c r="AE95" i="5" s="1"/>
  <c r="N95" i="4"/>
  <c r="O95" i="4"/>
  <c r="P95" i="4"/>
  <c r="Q95" i="4"/>
  <c r="R95" i="4"/>
  <c r="S95" i="4"/>
  <c r="T95" i="4"/>
  <c r="U95" i="4"/>
  <c r="V95" i="4"/>
  <c r="E96" i="4"/>
  <c r="F96" i="4"/>
  <c r="G96" i="4"/>
  <c r="H96" i="4"/>
  <c r="I96" i="4"/>
  <c r="J96" i="4"/>
  <c r="K96" i="4"/>
  <c r="L96" i="4"/>
  <c r="M96" i="4"/>
  <c r="AE96" i="5" s="1"/>
  <c r="N96" i="4"/>
  <c r="O96" i="4"/>
  <c r="P96" i="4"/>
  <c r="Q96" i="4"/>
  <c r="R96" i="4"/>
  <c r="S96" i="4"/>
  <c r="T96" i="4"/>
  <c r="U96" i="4"/>
  <c r="V96" i="4"/>
  <c r="E97" i="4"/>
  <c r="F97" i="4"/>
  <c r="G97" i="4"/>
  <c r="H97" i="4"/>
  <c r="I97" i="4"/>
  <c r="J97" i="4"/>
  <c r="K97" i="4"/>
  <c r="L97" i="4"/>
  <c r="M97" i="4"/>
  <c r="AE97" i="5" s="1"/>
  <c r="N97" i="4"/>
  <c r="O97" i="4"/>
  <c r="P97" i="4"/>
  <c r="Q97" i="4"/>
  <c r="R97" i="4"/>
  <c r="S97" i="4"/>
  <c r="T97" i="4"/>
  <c r="U97" i="4"/>
  <c r="V97" i="4"/>
  <c r="E98" i="4"/>
  <c r="F98" i="4"/>
  <c r="G98" i="4"/>
  <c r="H98" i="4"/>
  <c r="I98" i="4"/>
  <c r="J98" i="4"/>
  <c r="K98" i="4"/>
  <c r="L98" i="4"/>
  <c r="M98" i="4"/>
  <c r="AE98" i="5" s="1"/>
  <c r="N98" i="4"/>
  <c r="O98" i="4"/>
  <c r="P98" i="4"/>
  <c r="Q98" i="4"/>
  <c r="R98" i="4"/>
  <c r="S98" i="4"/>
  <c r="T98" i="4"/>
  <c r="E99" i="4"/>
  <c r="F99" i="4"/>
  <c r="G99" i="4"/>
  <c r="H99" i="4"/>
  <c r="I99" i="4"/>
  <c r="J99" i="4"/>
  <c r="K99" i="4"/>
  <c r="L99" i="4"/>
  <c r="M99" i="4"/>
  <c r="AE99" i="5" s="1"/>
  <c r="N99" i="4"/>
  <c r="O99" i="4"/>
  <c r="P99" i="4"/>
  <c r="Q99" i="4"/>
  <c r="R99" i="4"/>
  <c r="S99" i="4"/>
  <c r="T99" i="4"/>
  <c r="E100" i="4"/>
  <c r="F100" i="4"/>
  <c r="G100" i="4"/>
  <c r="H100" i="4"/>
  <c r="I100" i="4"/>
  <c r="J100" i="4"/>
  <c r="K100" i="4"/>
  <c r="L100" i="4"/>
  <c r="M100" i="4"/>
  <c r="AE100" i="5" s="1"/>
  <c r="N100" i="4"/>
  <c r="O100" i="4"/>
  <c r="P100" i="4"/>
  <c r="Q100" i="4"/>
  <c r="R100" i="4"/>
  <c r="S100" i="4"/>
  <c r="T100" i="4"/>
  <c r="E101" i="4"/>
  <c r="F101" i="4"/>
  <c r="G101" i="4"/>
  <c r="H101" i="4"/>
  <c r="I101" i="4"/>
  <c r="J101" i="4"/>
  <c r="K101" i="4"/>
  <c r="L101" i="4"/>
  <c r="M101" i="4"/>
  <c r="AE101" i="5" s="1"/>
  <c r="N101" i="4"/>
  <c r="O101" i="4"/>
  <c r="P101" i="4"/>
  <c r="Q101" i="4"/>
  <c r="R101" i="4"/>
  <c r="S101" i="4"/>
  <c r="T101" i="4"/>
  <c r="E102" i="4"/>
  <c r="F102" i="4"/>
  <c r="G102" i="4"/>
  <c r="H102" i="4"/>
  <c r="I102" i="4"/>
  <c r="J102" i="4"/>
  <c r="K102" i="4"/>
  <c r="L102" i="4"/>
  <c r="M102" i="4"/>
  <c r="AE102" i="5" s="1"/>
  <c r="N102" i="4"/>
  <c r="O102" i="4"/>
  <c r="P102" i="4"/>
  <c r="Q102" i="4"/>
  <c r="R102" i="4"/>
  <c r="S102" i="4"/>
  <c r="T102" i="4"/>
  <c r="E103" i="4"/>
  <c r="F103" i="4"/>
  <c r="G103" i="4"/>
  <c r="H103" i="4"/>
  <c r="I103" i="4"/>
  <c r="J103" i="4"/>
  <c r="K103" i="4"/>
  <c r="L103" i="4"/>
  <c r="M103" i="4"/>
  <c r="AE103" i="5" s="1"/>
  <c r="N103" i="4"/>
  <c r="O103" i="4"/>
  <c r="P103" i="4"/>
  <c r="Q103" i="4"/>
  <c r="R103" i="4"/>
  <c r="S103" i="4"/>
  <c r="T103" i="4"/>
  <c r="E104" i="4"/>
  <c r="F104" i="4"/>
  <c r="G104" i="4"/>
  <c r="H104" i="4"/>
  <c r="I104" i="4"/>
  <c r="J104" i="4"/>
  <c r="K104" i="4"/>
  <c r="L104" i="4"/>
  <c r="M104" i="4"/>
  <c r="AE104" i="5" s="1"/>
  <c r="N104" i="4"/>
  <c r="O104" i="4"/>
  <c r="P104" i="4"/>
  <c r="Q104" i="4"/>
  <c r="R104" i="4"/>
  <c r="S104" i="4"/>
  <c r="T104" i="4"/>
  <c r="E105" i="4"/>
  <c r="F105" i="4"/>
  <c r="G105" i="4"/>
  <c r="H105" i="4"/>
  <c r="I105" i="4"/>
  <c r="J105" i="4"/>
  <c r="K105" i="4"/>
  <c r="L105" i="4"/>
  <c r="M105" i="4"/>
  <c r="AE105" i="5" s="1"/>
  <c r="N105" i="4"/>
  <c r="O105" i="4"/>
  <c r="P105" i="4"/>
  <c r="Q105" i="4"/>
  <c r="R105" i="4"/>
  <c r="S105" i="4"/>
  <c r="T105" i="4"/>
  <c r="E106" i="4"/>
  <c r="F106" i="4"/>
  <c r="G106" i="4"/>
  <c r="H106" i="4"/>
  <c r="I106" i="4"/>
  <c r="J106" i="4"/>
  <c r="K106" i="4"/>
  <c r="L106" i="4"/>
  <c r="M106" i="4"/>
  <c r="AE106" i="5" s="1"/>
  <c r="N106" i="4"/>
  <c r="O106" i="4"/>
  <c r="P106" i="4"/>
  <c r="Q106" i="4"/>
  <c r="R106" i="4"/>
  <c r="S106" i="4"/>
  <c r="T106" i="4"/>
  <c r="E107" i="4"/>
  <c r="F107" i="4"/>
  <c r="G107" i="4"/>
  <c r="H107" i="4"/>
  <c r="I107" i="4"/>
  <c r="J107" i="4"/>
  <c r="K107" i="4"/>
  <c r="L107" i="4"/>
  <c r="M107" i="4"/>
  <c r="AE107" i="5" s="1"/>
  <c r="N107" i="4"/>
  <c r="O107" i="4"/>
  <c r="P107" i="4"/>
  <c r="Q107" i="4"/>
  <c r="R107" i="4"/>
  <c r="S107" i="4"/>
  <c r="T107" i="4"/>
  <c r="E108" i="4"/>
  <c r="F108" i="4"/>
  <c r="G108" i="4"/>
  <c r="H108" i="4"/>
  <c r="I108" i="4"/>
  <c r="J108" i="4"/>
  <c r="K108" i="4"/>
  <c r="L108" i="4"/>
  <c r="M108" i="4"/>
  <c r="AE108" i="5" s="1"/>
  <c r="N108" i="4"/>
  <c r="O108" i="4"/>
  <c r="P108" i="4"/>
  <c r="Q108" i="4"/>
  <c r="R108" i="4"/>
  <c r="S108" i="4"/>
  <c r="T108" i="4"/>
  <c r="E109" i="4"/>
  <c r="F109" i="4"/>
  <c r="G109" i="4"/>
  <c r="H109" i="4"/>
  <c r="I109" i="4"/>
  <c r="J109" i="4"/>
  <c r="K109" i="4"/>
  <c r="L109" i="4"/>
  <c r="M109" i="4"/>
  <c r="AE109" i="5" s="1"/>
  <c r="N109" i="4"/>
  <c r="O109" i="4"/>
  <c r="P109" i="4"/>
  <c r="Q109" i="4"/>
  <c r="R109" i="4"/>
  <c r="S109" i="4"/>
  <c r="T109" i="4"/>
  <c r="E110" i="4"/>
  <c r="F110" i="4"/>
  <c r="G110" i="4"/>
  <c r="H110" i="4"/>
  <c r="I110" i="4"/>
  <c r="J110" i="4"/>
  <c r="K110" i="4"/>
  <c r="L110" i="4"/>
  <c r="M110" i="4"/>
  <c r="AE110" i="5" s="1"/>
  <c r="N110" i="4"/>
  <c r="O110" i="4"/>
  <c r="P110" i="4"/>
  <c r="Q110" i="4"/>
  <c r="R110" i="4"/>
  <c r="S110" i="4"/>
  <c r="T110" i="4"/>
  <c r="E111" i="4"/>
  <c r="F111" i="4"/>
  <c r="G111" i="4"/>
  <c r="H111" i="4"/>
  <c r="I111" i="4"/>
  <c r="J111" i="4"/>
  <c r="K111" i="4"/>
  <c r="L111" i="4"/>
  <c r="M111" i="4"/>
  <c r="AE111" i="5" s="1"/>
  <c r="N111" i="4"/>
  <c r="O111" i="4"/>
  <c r="P111" i="4"/>
  <c r="Q111" i="4"/>
  <c r="R111" i="4"/>
  <c r="S111" i="4"/>
  <c r="T111" i="4"/>
  <c r="E112" i="4"/>
  <c r="F112" i="4"/>
  <c r="G112" i="4"/>
  <c r="H112" i="4"/>
  <c r="I112" i="4"/>
  <c r="J112" i="4"/>
  <c r="K112" i="4"/>
  <c r="L112" i="4"/>
  <c r="M112" i="4"/>
  <c r="AE112" i="5" s="1"/>
  <c r="N112" i="4"/>
  <c r="O112" i="4"/>
  <c r="P112" i="4"/>
  <c r="Q112" i="4"/>
  <c r="R112" i="4"/>
  <c r="S112" i="4"/>
  <c r="T112" i="4"/>
  <c r="E113" i="4"/>
  <c r="F113" i="4"/>
  <c r="G113" i="4"/>
  <c r="H113" i="4"/>
  <c r="I113" i="4"/>
  <c r="J113" i="4"/>
  <c r="K113" i="4"/>
  <c r="L113" i="4"/>
  <c r="M113" i="4"/>
  <c r="AE113" i="5" s="1"/>
  <c r="N113" i="4"/>
  <c r="O113" i="4"/>
  <c r="P113" i="4"/>
  <c r="Q113" i="4"/>
  <c r="R113" i="4"/>
  <c r="S113" i="4"/>
  <c r="T113" i="4"/>
  <c r="U113" i="4"/>
  <c r="V113" i="4"/>
  <c r="E114" i="4"/>
  <c r="F114" i="4"/>
  <c r="G114" i="4"/>
  <c r="H114" i="4"/>
  <c r="I114" i="4"/>
  <c r="J114" i="4"/>
  <c r="K114" i="4"/>
  <c r="L114" i="4"/>
  <c r="M114" i="4"/>
  <c r="AE114" i="5" s="1"/>
  <c r="N114" i="4"/>
  <c r="O114" i="4"/>
  <c r="P114" i="4"/>
  <c r="Q114" i="4"/>
  <c r="R114" i="4"/>
  <c r="S114" i="4"/>
  <c r="T114" i="4"/>
  <c r="U114" i="4"/>
  <c r="V114" i="4"/>
  <c r="E115" i="4"/>
  <c r="F115" i="4"/>
  <c r="G115" i="4"/>
  <c r="H115" i="4"/>
  <c r="I115" i="4"/>
  <c r="J115" i="4"/>
  <c r="K115" i="4"/>
  <c r="L115" i="4"/>
  <c r="M115" i="4"/>
  <c r="AE115" i="5" s="1"/>
  <c r="N115" i="4"/>
  <c r="O115" i="4"/>
  <c r="P115" i="4"/>
  <c r="Q115" i="4"/>
  <c r="R115" i="4"/>
  <c r="S115" i="4"/>
  <c r="T115" i="4"/>
  <c r="E116" i="4"/>
  <c r="F116" i="4"/>
  <c r="G116" i="4"/>
  <c r="H116" i="4"/>
  <c r="I116" i="4"/>
  <c r="J116" i="4"/>
  <c r="K116" i="4"/>
  <c r="L116" i="4"/>
  <c r="M116" i="4"/>
  <c r="AE116" i="5" s="1"/>
  <c r="N116" i="4"/>
  <c r="O116" i="4"/>
  <c r="P116" i="4"/>
  <c r="Q116" i="4"/>
  <c r="R116" i="4"/>
  <c r="S116" i="4"/>
  <c r="T116" i="4"/>
  <c r="E117" i="4"/>
  <c r="F117" i="4"/>
  <c r="G117" i="4"/>
  <c r="H117" i="4"/>
  <c r="I117" i="4"/>
  <c r="J117" i="4"/>
  <c r="K117" i="4"/>
  <c r="L117" i="4"/>
  <c r="M117" i="4"/>
  <c r="AE117" i="5" s="1"/>
  <c r="N117" i="4"/>
  <c r="O117" i="4"/>
  <c r="P117" i="4"/>
  <c r="Q117" i="4"/>
  <c r="R117" i="4"/>
  <c r="S117" i="4"/>
  <c r="T117" i="4"/>
  <c r="E118" i="4"/>
  <c r="F118" i="4"/>
  <c r="G118" i="4"/>
  <c r="H118" i="4"/>
  <c r="I118" i="4"/>
  <c r="J118" i="4"/>
  <c r="K118" i="4"/>
  <c r="L118" i="4"/>
  <c r="M118" i="4"/>
  <c r="AE118" i="5" s="1"/>
  <c r="N118" i="4"/>
  <c r="O118" i="4"/>
  <c r="P118" i="4"/>
  <c r="Q118" i="4"/>
  <c r="R118" i="4"/>
  <c r="S118" i="4"/>
  <c r="T118" i="4"/>
  <c r="E119" i="4"/>
  <c r="F119" i="4"/>
  <c r="G119" i="4"/>
  <c r="H119" i="4"/>
  <c r="I119" i="4"/>
  <c r="J119" i="4"/>
  <c r="K119" i="4"/>
  <c r="L119" i="4"/>
  <c r="M119" i="4"/>
  <c r="AE119" i="5" s="1"/>
  <c r="N119" i="4"/>
  <c r="O119" i="4"/>
  <c r="P119" i="4"/>
  <c r="Q119" i="4"/>
  <c r="R119" i="4"/>
  <c r="S119" i="4"/>
  <c r="T119" i="4"/>
  <c r="E120" i="4"/>
  <c r="F120" i="4"/>
  <c r="G120" i="4"/>
  <c r="H120" i="4"/>
  <c r="I120" i="4"/>
  <c r="J120" i="4"/>
  <c r="K120" i="4"/>
  <c r="L120" i="4"/>
  <c r="M120" i="4"/>
  <c r="AE120" i="5" s="1"/>
  <c r="N120" i="4"/>
  <c r="O120" i="4"/>
  <c r="P120" i="4"/>
  <c r="Q120" i="4"/>
  <c r="R120" i="4"/>
  <c r="S120" i="4"/>
  <c r="T120" i="4"/>
  <c r="E121" i="4"/>
  <c r="F121" i="4"/>
  <c r="G121" i="4"/>
  <c r="H121" i="4"/>
  <c r="I121" i="4"/>
  <c r="J121" i="4"/>
  <c r="K121" i="4"/>
  <c r="L121" i="4"/>
  <c r="M121" i="4"/>
  <c r="AE121" i="5" s="1"/>
  <c r="N121" i="4"/>
  <c r="O121" i="4"/>
  <c r="P121" i="4"/>
  <c r="Q121" i="4"/>
  <c r="R121" i="4"/>
  <c r="S121" i="4"/>
  <c r="T121" i="4"/>
  <c r="E122" i="4"/>
  <c r="F122" i="4"/>
  <c r="G122" i="4"/>
  <c r="H122" i="4"/>
  <c r="I122" i="4"/>
  <c r="J122" i="4"/>
  <c r="K122" i="4"/>
  <c r="L122" i="4"/>
  <c r="M122" i="4"/>
  <c r="AE122" i="5" s="1"/>
  <c r="N122" i="4"/>
  <c r="O122" i="4"/>
  <c r="P122" i="4"/>
  <c r="Q122" i="4"/>
  <c r="R122" i="4"/>
  <c r="S122" i="4"/>
  <c r="T122" i="4"/>
  <c r="E123" i="4"/>
  <c r="F123" i="4"/>
  <c r="G123" i="4"/>
  <c r="H123" i="4"/>
  <c r="I123" i="4"/>
  <c r="J123" i="4"/>
  <c r="K123" i="4"/>
  <c r="L123" i="4"/>
  <c r="M123" i="4"/>
  <c r="AE123" i="5" s="1"/>
  <c r="N123" i="4"/>
  <c r="O123" i="4"/>
  <c r="P123" i="4"/>
  <c r="Q123" i="4"/>
  <c r="R123" i="4"/>
  <c r="S123" i="4"/>
  <c r="T123" i="4"/>
  <c r="E124" i="4"/>
  <c r="F124" i="4"/>
  <c r="G124" i="4"/>
  <c r="H124" i="4"/>
  <c r="I124" i="4"/>
  <c r="J124" i="4"/>
  <c r="K124" i="4"/>
  <c r="L124" i="4"/>
  <c r="M124" i="4"/>
  <c r="AE124" i="5" s="1"/>
  <c r="N124" i="4"/>
  <c r="O124" i="4"/>
  <c r="P124" i="4"/>
  <c r="Q124" i="4"/>
  <c r="R124" i="4"/>
  <c r="S124" i="4"/>
  <c r="T124" i="4"/>
  <c r="E125" i="4"/>
  <c r="F125" i="4"/>
  <c r="G125" i="4"/>
  <c r="H125" i="4"/>
  <c r="I125" i="4"/>
  <c r="J125" i="4"/>
  <c r="K125" i="4"/>
  <c r="L125" i="4"/>
  <c r="M125" i="4"/>
  <c r="AE125" i="5" s="1"/>
  <c r="N125" i="4"/>
  <c r="O125" i="4"/>
  <c r="P125" i="4"/>
  <c r="Q125" i="4"/>
  <c r="R125" i="4"/>
  <c r="S125" i="4"/>
  <c r="T125" i="4"/>
  <c r="E126" i="4"/>
  <c r="F126" i="4"/>
  <c r="G126" i="4"/>
  <c r="H126" i="4"/>
  <c r="I126" i="4"/>
  <c r="J126" i="4"/>
  <c r="K126" i="4"/>
  <c r="L126" i="4"/>
  <c r="M126" i="4"/>
  <c r="AE126" i="5" s="1"/>
  <c r="N126" i="4"/>
  <c r="O126" i="4"/>
  <c r="P126" i="4"/>
  <c r="Q126" i="4"/>
  <c r="R126" i="4"/>
  <c r="S126" i="4"/>
  <c r="T126" i="4"/>
  <c r="E127" i="4"/>
  <c r="F127" i="4"/>
  <c r="G127" i="4"/>
  <c r="H127" i="4"/>
  <c r="I127" i="4"/>
  <c r="J127" i="4"/>
  <c r="K127" i="4"/>
  <c r="L127" i="4"/>
  <c r="M127" i="4"/>
  <c r="AE127" i="5" s="1"/>
  <c r="N127" i="4"/>
  <c r="O127" i="4"/>
  <c r="P127" i="4"/>
  <c r="Q127" i="4"/>
  <c r="R127" i="4"/>
  <c r="S127" i="4"/>
  <c r="T127" i="4"/>
  <c r="E128" i="4"/>
  <c r="F128" i="4"/>
  <c r="G128" i="4"/>
  <c r="H128" i="4"/>
  <c r="I128" i="4"/>
  <c r="J128" i="4"/>
  <c r="K128" i="4"/>
  <c r="L128" i="4"/>
  <c r="M128" i="4"/>
  <c r="AE128" i="5" s="1"/>
  <c r="N128" i="4"/>
  <c r="O128" i="4"/>
  <c r="P128" i="4"/>
  <c r="Q128" i="4"/>
  <c r="R128" i="4"/>
  <c r="S128" i="4"/>
  <c r="T128" i="4"/>
  <c r="E129" i="4"/>
  <c r="F129" i="4"/>
  <c r="G129" i="4"/>
  <c r="H129" i="4"/>
  <c r="I129" i="4"/>
  <c r="J129" i="4"/>
  <c r="K129" i="4"/>
  <c r="L129" i="4"/>
  <c r="M129" i="4"/>
  <c r="AE129" i="5" s="1"/>
  <c r="N129" i="4"/>
  <c r="O129" i="4"/>
  <c r="P129" i="4"/>
  <c r="Q129" i="4"/>
  <c r="R129" i="4"/>
  <c r="S129" i="4"/>
  <c r="T129" i="4"/>
  <c r="U129" i="4"/>
  <c r="V129" i="4"/>
  <c r="E130" i="4"/>
  <c r="F130" i="4"/>
  <c r="G130" i="4"/>
  <c r="H130" i="4"/>
  <c r="I130" i="4"/>
  <c r="J130" i="4"/>
  <c r="K130" i="4"/>
  <c r="L130" i="4"/>
  <c r="M130" i="4"/>
  <c r="AE130" i="5" s="1"/>
  <c r="N130" i="4"/>
  <c r="O130" i="4"/>
  <c r="P130" i="4"/>
  <c r="Q130" i="4"/>
  <c r="R130" i="4"/>
  <c r="S130" i="4"/>
  <c r="T130" i="4"/>
  <c r="U130" i="4"/>
  <c r="V130" i="4"/>
  <c r="E131" i="4"/>
  <c r="F131" i="4"/>
  <c r="G131" i="4"/>
  <c r="H131" i="4"/>
  <c r="I131" i="4"/>
  <c r="J131" i="4"/>
  <c r="K131" i="4"/>
  <c r="L131" i="4"/>
  <c r="M131" i="4"/>
  <c r="AE131" i="5" s="1"/>
  <c r="N131" i="4"/>
  <c r="O131" i="4"/>
  <c r="P131" i="4"/>
  <c r="Q131" i="4"/>
  <c r="R131" i="4"/>
  <c r="S131" i="4"/>
  <c r="T131" i="4"/>
  <c r="E132" i="4"/>
  <c r="F132" i="4"/>
  <c r="G132" i="4"/>
  <c r="H132" i="4"/>
  <c r="I132" i="4"/>
  <c r="J132" i="4"/>
  <c r="K132" i="4"/>
  <c r="L132" i="4"/>
  <c r="M132" i="4"/>
  <c r="AE132" i="5" s="1"/>
  <c r="N132" i="4"/>
  <c r="O132" i="4"/>
  <c r="P132" i="4"/>
  <c r="Q132" i="4"/>
  <c r="R132" i="4"/>
  <c r="S132" i="4"/>
  <c r="T132" i="4"/>
  <c r="E133" i="4"/>
  <c r="F133" i="4"/>
  <c r="G133" i="4"/>
  <c r="H133" i="4"/>
  <c r="I133" i="4"/>
  <c r="J133" i="4"/>
  <c r="K133" i="4"/>
  <c r="L133" i="4"/>
  <c r="M133" i="4"/>
  <c r="AE133" i="5" s="1"/>
  <c r="N133" i="4"/>
  <c r="O133" i="4"/>
  <c r="P133" i="4"/>
  <c r="Q133" i="4"/>
  <c r="R133" i="4"/>
  <c r="S133" i="4"/>
  <c r="T133" i="4"/>
  <c r="E134" i="4"/>
  <c r="F134" i="4"/>
  <c r="G134" i="4"/>
  <c r="H134" i="4"/>
  <c r="I134" i="4"/>
  <c r="J134" i="4"/>
  <c r="K134" i="4"/>
  <c r="L134" i="4"/>
  <c r="M134" i="4"/>
  <c r="AE134" i="5" s="1"/>
  <c r="N134" i="4"/>
  <c r="O134" i="4"/>
  <c r="P134" i="4"/>
  <c r="Q134" i="4"/>
  <c r="R134" i="4"/>
  <c r="S134" i="4"/>
  <c r="T134" i="4"/>
  <c r="U134" i="4"/>
  <c r="V134" i="4"/>
  <c r="E135" i="4"/>
  <c r="F135" i="4"/>
  <c r="G135" i="4"/>
  <c r="H135" i="4"/>
  <c r="I135" i="4"/>
  <c r="J135" i="4"/>
  <c r="K135" i="4"/>
  <c r="L135" i="4"/>
  <c r="M135" i="4"/>
  <c r="AE135" i="5" s="1"/>
  <c r="N135" i="4"/>
  <c r="O135" i="4"/>
  <c r="P135" i="4"/>
  <c r="Q135" i="4"/>
  <c r="R135" i="4"/>
  <c r="S135" i="4"/>
  <c r="T135" i="4"/>
  <c r="E136" i="4"/>
  <c r="F136" i="4"/>
  <c r="G136" i="4"/>
  <c r="H136" i="4"/>
  <c r="I136" i="4"/>
  <c r="J136" i="4"/>
  <c r="K136" i="4"/>
  <c r="L136" i="4"/>
  <c r="M136" i="4"/>
  <c r="AE136" i="5" s="1"/>
  <c r="N136" i="4"/>
  <c r="O136" i="4"/>
  <c r="P136" i="4"/>
  <c r="Q136" i="4"/>
  <c r="R136" i="4"/>
  <c r="S136" i="4"/>
  <c r="T136" i="4"/>
  <c r="E137" i="4"/>
  <c r="F137" i="4"/>
  <c r="G137" i="4"/>
  <c r="H137" i="4"/>
  <c r="I137" i="4"/>
  <c r="J137" i="4"/>
  <c r="K137" i="4"/>
  <c r="L137" i="4"/>
  <c r="M137" i="4"/>
  <c r="AE137" i="5" s="1"/>
  <c r="N137" i="4"/>
  <c r="O137" i="4"/>
  <c r="P137" i="4"/>
  <c r="Q137" i="4"/>
  <c r="R137" i="4"/>
  <c r="S137" i="4"/>
  <c r="T137" i="4"/>
  <c r="E138" i="4"/>
  <c r="F138" i="4"/>
  <c r="G138" i="4"/>
  <c r="H138" i="4"/>
  <c r="I138" i="4"/>
  <c r="J138" i="4"/>
  <c r="K138" i="4"/>
  <c r="L138" i="4"/>
  <c r="M138" i="4"/>
  <c r="AE138" i="5" s="1"/>
  <c r="N138" i="4"/>
  <c r="O138" i="4"/>
  <c r="P138" i="4"/>
  <c r="Q138" i="4"/>
  <c r="R138" i="4"/>
  <c r="S138" i="4"/>
  <c r="T138" i="4"/>
  <c r="E139" i="4"/>
  <c r="F139" i="4"/>
  <c r="G139" i="4"/>
  <c r="H139" i="4"/>
  <c r="I139" i="4"/>
  <c r="J139" i="4"/>
  <c r="K139" i="4"/>
  <c r="L139" i="4"/>
  <c r="M139" i="4"/>
  <c r="AE139" i="5" s="1"/>
  <c r="N139" i="4"/>
  <c r="O139" i="4"/>
  <c r="P139" i="4"/>
  <c r="Q139" i="4"/>
  <c r="R139" i="4"/>
  <c r="S139" i="4"/>
  <c r="T139" i="4"/>
  <c r="E140" i="4"/>
  <c r="F140" i="4"/>
  <c r="G140" i="4"/>
  <c r="H140" i="4"/>
  <c r="I140" i="4"/>
  <c r="J140" i="4"/>
  <c r="K140" i="4"/>
  <c r="L140" i="4"/>
  <c r="M140" i="4"/>
  <c r="AE140" i="5" s="1"/>
  <c r="N140" i="4"/>
  <c r="O140" i="4"/>
  <c r="P140" i="4"/>
  <c r="Q140" i="4"/>
  <c r="R140" i="4"/>
  <c r="S140" i="4"/>
  <c r="T140" i="4"/>
  <c r="E141" i="4"/>
  <c r="F141" i="4"/>
  <c r="G141" i="4"/>
  <c r="H141" i="4"/>
  <c r="I141" i="4"/>
  <c r="J141" i="4"/>
  <c r="K141" i="4"/>
  <c r="L141" i="4"/>
  <c r="M141" i="4"/>
  <c r="AE141" i="5" s="1"/>
  <c r="N141" i="4"/>
  <c r="O141" i="4"/>
  <c r="P141" i="4"/>
  <c r="Q141" i="4"/>
  <c r="R141" i="4"/>
  <c r="S141" i="4"/>
  <c r="T141" i="4"/>
  <c r="E142" i="4"/>
  <c r="F142" i="4"/>
  <c r="G142" i="4"/>
  <c r="H142" i="4"/>
  <c r="I142" i="4"/>
  <c r="J142" i="4"/>
  <c r="K142" i="4"/>
  <c r="L142" i="4"/>
  <c r="M142" i="4"/>
  <c r="AE142" i="5" s="1"/>
  <c r="N142" i="4"/>
  <c r="O142" i="4"/>
  <c r="P142" i="4"/>
  <c r="Q142" i="4"/>
  <c r="R142" i="4"/>
  <c r="S142" i="4"/>
  <c r="T142" i="4"/>
  <c r="E143" i="4"/>
  <c r="F143" i="4"/>
  <c r="G143" i="4"/>
  <c r="H143" i="4"/>
  <c r="I143" i="4"/>
  <c r="J143" i="4"/>
  <c r="K143" i="4"/>
  <c r="L143" i="4"/>
  <c r="M143" i="4"/>
  <c r="AE143" i="5" s="1"/>
  <c r="N143" i="4"/>
  <c r="O143" i="4"/>
  <c r="P143" i="4"/>
  <c r="Q143" i="4"/>
  <c r="R143" i="4"/>
  <c r="S143" i="4"/>
  <c r="T143" i="4"/>
  <c r="E144" i="4"/>
  <c r="F144" i="4"/>
  <c r="G144" i="4"/>
  <c r="H144" i="4"/>
  <c r="I144" i="4"/>
  <c r="J144" i="4"/>
  <c r="K144" i="4"/>
  <c r="L144" i="4"/>
  <c r="M144" i="4"/>
  <c r="AE144" i="5" s="1"/>
  <c r="N144" i="4"/>
  <c r="O144" i="4"/>
  <c r="P144" i="4"/>
  <c r="Q144" i="4"/>
  <c r="R144" i="4"/>
  <c r="S144" i="4"/>
  <c r="T144" i="4"/>
  <c r="E145" i="4"/>
  <c r="F145" i="4"/>
  <c r="G145" i="4"/>
  <c r="H145" i="4"/>
  <c r="I145" i="4"/>
  <c r="J145" i="4"/>
  <c r="K145" i="4"/>
  <c r="L145" i="4"/>
  <c r="M145" i="4"/>
  <c r="AE145" i="5" s="1"/>
  <c r="N145" i="4"/>
  <c r="O145" i="4"/>
  <c r="P145" i="4"/>
  <c r="Q145" i="4"/>
  <c r="R145" i="4"/>
  <c r="S145" i="4"/>
  <c r="T145" i="4"/>
  <c r="U145" i="4"/>
  <c r="V145" i="4"/>
  <c r="E146" i="4"/>
  <c r="F146" i="4"/>
  <c r="G146" i="4"/>
  <c r="H146" i="4"/>
  <c r="I146" i="4"/>
  <c r="J146" i="4"/>
  <c r="K146" i="4"/>
  <c r="L146" i="4"/>
  <c r="M146" i="4"/>
  <c r="AE146" i="5" s="1"/>
  <c r="N146" i="4"/>
  <c r="O146" i="4"/>
  <c r="P146" i="4"/>
  <c r="Q146" i="4"/>
  <c r="R146" i="4"/>
  <c r="S146" i="4"/>
  <c r="T146" i="4"/>
  <c r="E147" i="4"/>
  <c r="F147" i="4"/>
  <c r="G147" i="4"/>
  <c r="H147" i="4"/>
  <c r="I147" i="4"/>
  <c r="J147" i="4"/>
  <c r="K147" i="4"/>
  <c r="L147" i="4"/>
  <c r="M147" i="4"/>
  <c r="AE147" i="5" s="1"/>
  <c r="N147" i="4"/>
  <c r="O147" i="4"/>
  <c r="P147" i="4"/>
  <c r="Q147" i="4"/>
  <c r="R147" i="4"/>
  <c r="S147" i="4"/>
  <c r="T147" i="4"/>
  <c r="E148" i="4"/>
  <c r="F148" i="4"/>
  <c r="G148" i="4"/>
  <c r="H148" i="4"/>
  <c r="I148" i="4"/>
  <c r="J148" i="4"/>
  <c r="K148" i="4"/>
  <c r="L148" i="4"/>
  <c r="M148" i="4"/>
  <c r="AE148" i="5" s="1"/>
  <c r="N148" i="4"/>
  <c r="O148" i="4"/>
  <c r="P148" i="4"/>
  <c r="Q148" i="4"/>
  <c r="R148" i="4"/>
  <c r="S148" i="4"/>
  <c r="T148" i="4"/>
  <c r="E149" i="4"/>
  <c r="F149" i="4"/>
  <c r="G149" i="4"/>
  <c r="H149" i="4"/>
  <c r="I149" i="4"/>
  <c r="J149" i="4"/>
  <c r="K149" i="4"/>
  <c r="L149" i="4"/>
  <c r="M149" i="4"/>
  <c r="AE149" i="5" s="1"/>
  <c r="N149" i="4"/>
  <c r="O149" i="4"/>
  <c r="P149" i="4"/>
  <c r="Q149" i="4"/>
  <c r="R149" i="4"/>
  <c r="S149" i="4"/>
  <c r="T149" i="4"/>
  <c r="E150" i="4"/>
  <c r="F150" i="4"/>
  <c r="G150" i="4"/>
  <c r="H150" i="4"/>
  <c r="I150" i="4"/>
  <c r="J150" i="4"/>
  <c r="K150" i="4"/>
  <c r="L150" i="4"/>
  <c r="M150" i="4"/>
  <c r="AE150" i="5" s="1"/>
  <c r="N150" i="4"/>
  <c r="O150" i="4"/>
  <c r="P150" i="4"/>
  <c r="Q150" i="4"/>
  <c r="R150" i="4"/>
  <c r="S150" i="4"/>
  <c r="T150" i="4"/>
  <c r="E151" i="4"/>
  <c r="F151" i="4"/>
  <c r="G151" i="4"/>
  <c r="H151" i="4"/>
  <c r="I151" i="4"/>
  <c r="J151" i="4"/>
  <c r="K151" i="4"/>
  <c r="L151" i="4"/>
  <c r="M151" i="4"/>
  <c r="AE151" i="5" s="1"/>
  <c r="N151" i="4"/>
  <c r="O151" i="4"/>
  <c r="P151" i="4"/>
  <c r="Q151" i="4"/>
  <c r="R151" i="4"/>
  <c r="S151" i="4"/>
  <c r="T151" i="4"/>
  <c r="E152" i="4"/>
  <c r="F152" i="4"/>
  <c r="G152" i="4"/>
  <c r="H152" i="4"/>
  <c r="I152" i="4"/>
  <c r="J152" i="4"/>
  <c r="K152" i="4"/>
  <c r="L152" i="4"/>
  <c r="M152" i="4"/>
  <c r="AE152" i="5" s="1"/>
  <c r="N152" i="4"/>
  <c r="O152" i="4"/>
  <c r="P152" i="4"/>
  <c r="Q152" i="4"/>
  <c r="R152" i="4"/>
  <c r="S152" i="4"/>
  <c r="T152" i="4"/>
  <c r="E153" i="4"/>
  <c r="F153" i="4"/>
  <c r="G153" i="4"/>
  <c r="H153" i="4"/>
  <c r="I153" i="4"/>
  <c r="J153" i="4"/>
  <c r="K153" i="4"/>
  <c r="L153" i="4"/>
  <c r="M153" i="4"/>
  <c r="AE153" i="5" s="1"/>
  <c r="N153" i="4"/>
  <c r="O153" i="4"/>
  <c r="P153" i="4"/>
  <c r="Q153" i="4"/>
  <c r="R153" i="4"/>
  <c r="S153" i="4"/>
  <c r="T153" i="4"/>
  <c r="E154" i="4"/>
  <c r="F154" i="4"/>
  <c r="G154" i="4"/>
  <c r="H154" i="4"/>
  <c r="I154" i="4"/>
  <c r="J154" i="4"/>
  <c r="K154" i="4"/>
  <c r="L154" i="4"/>
  <c r="M154" i="4"/>
  <c r="AE154" i="5" s="1"/>
  <c r="N154" i="4"/>
  <c r="O154" i="4"/>
  <c r="P154" i="4"/>
  <c r="Q154" i="4"/>
  <c r="R154" i="4"/>
  <c r="S154" i="4"/>
  <c r="T154" i="4"/>
  <c r="E155" i="4"/>
  <c r="F155" i="4"/>
  <c r="G155" i="4"/>
  <c r="H155" i="4"/>
  <c r="I155" i="4"/>
  <c r="J155" i="4"/>
  <c r="K155" i="4"/>
  <c r="L155" i="4"/>
  <c r="M155" i="4"/>
  <c r="AE155" i="5" s="1"/>
  <c r="N155" i="4"/>
  <c r="O155" i="4"/>
  <c r="P155" i="4"/>
  <c r="Q155" i="4"/>
  <c r="R155" i="4"/>
  <c r="S155" i="4"/>
  <c r="T155" i="4"/>
  <c r="E156" i="4"/>
  <c r="F156" i="4"/>
  <c r="G156" i="4"/>
  <c r="H156" i="4"/>
  <c r="I156" i="4"/>
  <c r="J156" i="4"/>
  <c r="K156" i="4"/>
  <c r="L156" i="4"/>
  <c r="M156" i="4"/>
  <c r="AE156" i="5" s="1"/>
  <c r="N156" i="4"/>
  <c r="O156" i="4"/>
  <c r="P156" i="4"/>
  <c r="Q156" i="4"/>
  <c r="R156" i="4"/>
  <c r="S156" i="4"/>
  <c r="T156" i="4"/>
  <c r="E157" i="4"/>
  <c r="F157" i="4"/>
  <c r="G157" i="4"/>
  <c r="H157" i="4"/>
  <c r="I157" i="4"/>
  <c r="J157" i="4"/>
  <c r="K157" i="4"/>
  <c r="L157" i="4"/>
  <c r="M157" i="4"/>
  <c r="AE157" i="5" s="1"/>
  <c r="N157" i="4"/>
  <c r="O157" i="4"/>
  <c r="P157" i="4"/>
  <c r="Q157" i="4"/>
  <c r="R157" i="4"/>
  <c r="S157" i="4"/>
  <c r="T157" i="4"/>
  <c r="E158" i="4"/>
  <c r="F158" i="4"/>
  <c r="G158" i="4"/>
  <c r="H158" i="4"/>
  <c r="I158" i="4"/>
  <c r="J158" i="4"/>
  <c r="K158" i="4"/>
  <c r="L158" i="4"/>
  <c r="M158" i="4"/>
  <c r="AE158" i="5" s="1"/>
  <c r="N158" i="4"/>
  <c r="O158" i="4"/>
  <c r="P158" i="4"/>
  <c r="Q158" i="4"/>
  <c r="R158" i="4"/>
  <c r="S158" i="4"/>
  <c r="T158" i="4"/>
  <c r="E159" i="4"/>
  <c r="F159" i="4"/>
  <c r="G159" i="4"/>
  <c r="H159" i="4"/>
  <c r="I159" i="4"/>
  <c r="J159" i="4"/>
  <c r="K159" i="4"/>
  <c r="L159" i="4"/>
  <c r="M159" i="4"/>
  <c r="AE159" i="5" s="1"/>
  <c r="N159" i="4"/>
  <c r="O159" i="4"/>
  <c r="P159" i="4"/>
  <c r="Q159" i="4"/>
  <c r="R159" i="4"/>
  <c r="S159" i="4"/>
  <c r="T159" i="4"/>
  <c r="E160" i="4"/>
  <c r="F160" i="4"/>
  <c r="G160" i="4"/>
  <c r="H160" i="4"/>
  <c r="I160" i="4"/>
  <c r="J160" i="4"/>
  <c r="K160" i="4"/>
  <c r="L160" i="4"/>
  <c r="M160" i="4"/>
  <c r="AE160" i="5" s="1"/>
  <c r="N160" i="4"/>
  <c r="O160" i="4"/>
  <c r="P160" i="4"/>
  <c r="Q160" i="4"/>
  <c r="R160" i="4"/>
  <c r="S160" i="4"/>
  <c r="T160" i="4"/>
  <c r="E161" i="4"/>
  <c r="F161" i="4"/>
  <c r="G161" i="4"/>
  <c r="H161" i="4"/>
  <c r="I161" i="4"/>
  <c r="J161" i="4"/>
  <c r="K161" i="4"/>
  <c r="L161" i="4"/>
  <c r="M161" i="4"/>
  <c r="AE161" i="5" s="1"/>
  <c r="N161" i="4"/>
  <c r="O161" i="4"/>
  <c r="P161" i="4"/>
  <c r="Q161" i="4"/>
  <c r="R161" i="4"/>
  <c r="S161" i="4"/>
  <c r="T161" i="4"/>
  <c r="U161" i="4"/>
  <c r="V161" i="4"/>
  <c r="E162" i="4"/>
  <c r="F162" i="4"/>
  <c r="G162" i="4"/>
  <c r="H162" i="4"/>
  <c r="I162" i="4"/>
  <c r="J162" i="4"/>
  <c r="K162" i="4"/>
  <c r="L162" i="4"/>
  <c r="M162" i="4"/>
  <c r="AE162" i="5" s="1"/>
  <c r="N162" i="4"/>
  <c r="O162" i="4"/>
  <c r="P162" i="4"/>
  <c r="Q162" i="4"/>
  <c r="R162" i="4"/>
  <c r="S162" i="4"/>
  <c r="T162" i="4"/>
  <c r="E163" i="4"/>
  <c r="F163" i="4"/>
  <c r="G163" i="4"/>
  <c r="H163" i="4"/>
  <c r="I163" i="4"/>
  <c r="J163" i="4"/>
  <c r="K163" i="4"/>
  <c r="L163" i="4"/>
  <c r="M163" i="4"/>
  <c r="AE163" i="5" s="1"/>
  <c r="N163" i="4"/>
  <c r="O163" i="4"/>
  <c r="P163" i="4"/>
  <c r="Q163" i="4"/>
  <c r="R163" i="4"/>
  <c r="S163" i="4"/>
  <c r="T163" i="4"/>
  <c r="E164" i="4"/>
  <c r="F164" i="4"/>
  <c r="G164" i="4"/>
  <c r="H164" i="4"/>
  <c r="I164" i="4"/>
  <c r="J164" i="4"/>
  <c r="K164" i="4"/>
  <c r="L164" i="4"/>
  <c r="M164" i="4"/>
  <c r="AE164" i="5" s="1"/>
  <c r="N164" i="4"/>
  <c r="O164" i="4"/>
  <c r="P164" i="4"/>
  <c r="Q164" i="4"/>
  <c r="R164" i="4"/>
  <c r="S164" i="4"/>
  <c r="T164" i="4"/>
  <c r="E165" i="4"/>
  <c r="F165" i="4"/>
  <c r="G165" i="4"/>
  <c r="H165" i="4"/>
  <c r="I165" i="4"/>
  <c r="J165" i="4"/>
  <c r="K165" i="4"/>
  <c r="L165" i="4"/>
  <c r="M165" i="4"/>
  <c r="AE165" i="5" s="1"/>
  <c r="N165" i="4"/>
  <c r="O165" i="4"/>
  <c r="P165" i="4"/>
  <c r="Q165" i="4"/>
  <c r="R165" i="4"/>
  <c r="S165" i="4"/>
  <c r="T165" i="4"/>
  <c r="E166" i="4"/>
  <c r="F166" i="4"/>
  <c r="G166" i="4"/>
  <c r="H166" i="4"/>
  <c r="I166" i="4"/>
  <c r="J166" i="4"/>
  <c r="K166" i="4"/>
  <c r="L166" i="4"/>
  <c r="M166" i="4"/>
  <c r="AE166" i="5" s="1"/>
  <c r="N166" i="4"/>
  <c r="O166" i="4"/>
  <c r="P166" i="4"/>
  <c r="Q166" i="4"/>
  <c r="R166" i="4"/>
  <c r="S166" i="4"/>
  <c r="T166" i="4"/>
  <c r="U166" i="4"/>
  <c r="V166" i="4"/>
  <c r="E167" i="4"/>
  <c r="F167" i="4"/>
  <c r="G167" i="4"/>
  <c r="H167" i="4"/>
  <c r="I167" i="4"/>
  <c r="J167" i="4"/>
  <c r="K167" i="4"/>
  <c r="L167" i="4"/>
  <c r="M167" i="4"/>
  <c r="AE167" i="5" s="1"/>
  <c r="N167" i="4"/>
  <c r="O167" i="4"/>
  <c r="P167" i="4"/>
  <c r="Q167" i="4"/>
  <c r="R167" i="4"/>
  <c r="S167" i="4"/>
  <c r="T167" i="4"/>
  <c r="E168" i="4"/>
  <c r="F168" i="4"/>
  <c r="G168" i="4"/>
  <c r="H168" i="4"/>
  <c r="I168" i="4"/>
  <c r="J168" i="4"/>
  <c r="K168" i="4"/>
  <c r="L168" i="4"/>
  <c r="M168" i="4"/>
  <c r="AE168" i="5" s="1"/>
  <c r="N168" i="4"/>
  <c r="O168" i="4"/>
  <c r="P168" i="4"/>
  <c r="Q168" i="4"/>
  <c r="R168" i="4"/>
  <c r="S168" i="4"/>
  <c r="T168" i="4"/>
  <c r="E169" i="4"/>
  <c r="F169" i="4"/>
  <c r="G169" i="4"/>
  <c r="H169" i="4"/>
  <c r="I169" i="4"/>
  <c r="J169" i="4"/>
  <c r="K169" i="4"/>
  <c r="L169" i="4"/>
  <c r="M169" i="4"/>
  <c r="AE169" i="5" s="1"/>
  <c r="N169" i="4"/>
  <c r="O169" i="4"/>
  <c r="P169" i="4"/>
  <c r="Q169" i="4"/>
  <c r="R169" i="4"/>
  <c r="S169" i="4"/>
  <c r="T169" i="4"/>
  <c r="E170" i="4"/>
  <c r="F170" i="4"/>
  <c r="G170" i="4"/>
  <c r="H170" i="4"/>
  <c r="I170" i="4"/>
  <c r="J170" i="4"/>
  <c r="K170" i="4"/>
  <c r="L170" i="4"/>
  <c r="M170" i="4"/>
  <c r="AE170" i="5" s="1"/>
  <c r="N170" i="4"/>
  <c r="O170" i="4"/>
  <c r="P170" i="4"/>
  <c r="Q170" i="4"/>
  <c r="R170" i="4"/>
  <c r="S170" i="4"/>
  <c r="T170" i="4"/>
  <c r="E171" i="4"/>
  <c r="F171" i="4"/>
  <c r="G171" i="4"/>
  <c r="H171" i="4"/>
  <c r="I171" i="4"/>
  <c r="J171" i="4"/>
  <c r="K171" i="4"/>
  <c r="L171" i="4"/>
  <c r="M171" i="4"/>
  <c r="AE171" i="5" s="1"/>
  <c r="N171" i="4"/>
  <c r="O171" i="4"/>
  <c r="P171" i="4"/>
  <c r="Q171" i="4"/>
  <c r="R171" i="4"/>
  <c r="S171" i="4"/>
  <c r="T171" i="4"/>
  <c r="E172" i="4"/>
  <c r="F172" i="4"/>
  <c r="G172" i="4"/>
  <c r="H172" i="4"/>
  <c r="I172" i="4"/>
  <c r="J172" i="4"/>
  <c r="K172" i="4"/>
  <c r="L172" i="4"/>
  <c r="M172" i="4"/>
  <c r="AE172" i="5" s="1"/>
  <c r="N172" i="4"/>
  <c r="O172" i="4"/>
  <c r="P172" i="4"/>
  <c r="Q172" i="4"/>
  <c r="R172" i="4"/>
  <c r="S172" i="4"/>
  <c r="T172" i="4"/>
  <c r="U172" i="4"/>
  <c r="V172" i="4"/>
  <c r="E173" i="4"/>
  <c r="F173" i="4"/>
  <c r="G173" i="4"/>
  <c r="H173" i="4"/>
  <c r="I173" i="4"/>
  <c r="J173" i="4"/>
  <c r="K173" i="4"/>
  <c r="L173" i="4"/>
  <c r="M173" i="4"/>
  <c r="AE173" i="5" s="1"/>
  <c r="N173" i="4"/>
  <c r="O173" i="4"/>
  <c r="P173" i="4"/>
  <c r="Q173" i="4"/>
  <c r="R173" i="4"/>
  <c r="S173" i="4"/>
  <c r="T173" i="4"/>
  <c r="E174" i="4"/>
  <c r="F174" i="4"/>
  <c r="G174" i="4"/>
  <c r="H174" i="4"/>
  <c r="I174" i="4"/>
  <c r="J174" i="4"/>
  <c r="K174" i="4"/>
  <c r="L174" i="4"/>
  <c r="M174" i="4"/>
  <c r="AE174" i="5" s="1"/>
  <c r="N174" i="4"/>
  <c r="O174" i="4"/>
  <c r="P174" i="4"/>
  <c r="Q174" i="4"/>
  <c r="R174" i="4"/>
  <c r="S174" i="4"/>
  <c r="T174" i="4"/>
  <c r="E175" i="4"/>
  <c r="F175" i="4"/>
  <c r="G175" i="4"/>
  <c r="H175" i="4"/>
  <c r="I175" i="4"/>
  <c r="J175" i="4"/>
  <c r="K175" i="4"/>
  <c r="L175" i="4"/>
  <c r="M175" i="4"/>
  <c r="AE175" i="5" s="1"/>
  <c r="N175" i="4"/>
  <c r="O175" i="4"/>
  <c r="P175" i="4"/>
  <c r="Q175" i="4"/>
  <c r="R175" i="4"/>
  <c r="S175" i="4"/>
  <c r="T175" i="4"/>
  <c r="E176" i="4"/>
  <c r="F176" i="4"/>
  <c r="G176" i="4"/>
  <c r="H176" i="4"/>
  <c r="I176" i="4"/>
  <c r="J176" i="4"/>
  <c r="K176" i="4"/>
  <c r="L176" i="4"/>
  <c r="M176" i="4"/>
  <c r="AE176" i="5" s="1"/>
  <c r="N176" i="4"/>
  <c r="O176" i="4"/>
  <c r="P176" i="4"/>
  <c r="Q176" i="4"/>
  <c r="R176" i="4"/>
  <c r="S176" i="4"/>
  <c r="T176" i="4"/>
  <c r="E177" i="4"/>
  <c r="F177" i="4"/>
  <c r="G177" i="4"/>
  <c r="H177" i="4"/>
  <c r="I177" i="4"/>
  <c r="J177" i="4"/>
  <c r="K177" i="4"/>
  <c r="L177" i="4"/>
  <c r="M177" i="4"/>
  <c r="AE177" i="5" s="1"/>
  <c r="N177" i="4"/>
  <c r="O177" i="4"/>
  <c r="P177" i="4"/>
  <c r="Q177" i="4"/>
  <c r="R177" i="4"/>
  <c r="S177" i="4"/>
  <c r="T177" i="4"/>
  <c r="U177" i="4"/>
  <c r="V177" i="4"/>
  <c r="E178" i="4"/>
  <c r="F178" i="4"/>
  <c r="G178" i="4"/>
  <c r="H178" i="4"/>
  <c r="I178" i="4"/>
  <c r="J178" i="4"/>
  <c r="K178" i="4"/>
  <c r="L178" i="4"/>
  <c r="M178" i="4"/>
  <c r="AE178" i="5" s="1"/>
  <c r="N178" i="4"/>
  <c r="O178" i="4"/>
  <c r="P178" i="4"/>
  <c r="Q178" i="4"/>
  <c r="R178" i="4"/>
  <c r="S178" i="4"/>
  <c r="T178" i="4"/>
  <c r="E179" i="4"/>
  <c r="F179" i="4"/>
  <c r="G179" i="4"/>
  <c r="H179" i="4"/>
  <c r="I179" i="4"/>
  <c r="J179" i="4"/>
  <c r="K179" i="4"/>
  <c r="L179" i="4"/>
  <c r="M179" i="4"/>
  <c r="AE179" i="5" s="1"/>
  <c r="N179" i="4"/>
  <c r="O179" i="4"/>
  <c r="P179" i="4"/>
  <c r="Q179" i="4"/>
  <c r="R179" i="4"/>
  <c r="S179" i="4"/>
  <c r="T179" i="4"/>
  <c r="E180" i="4"/>
  <c r="F180" i="4"/>
  <c r="G180" i="4"/>
  <c r="H180" i="4"/>
  <c r="I180" i="4"/>
  <c r="J180" i="4"/>
  <c r="K180" i="4"/>
  <c r="L180" i="4"/>
  <c r="M180" i="4"/>
  <c r="AE180" i="5" s="1"/>
  <c r="N180" i="4"/>
  <c r="O180" i="4"/>
  <c r="P180" i="4"/>
  <c r="Q180" i="4"/>
  <c r="R180" i="4"/>
  <c r="S180" i="4"/>
  <c r="T180" i="4"/>
  <c r="E181" i="4"/>
  <c r="F181" i="4"/>
  <c r="G181" i="4"/>
  <c r="H181" i="4"/>
  <c r="I181" i="4"/>
  <c r="J181" i="4"/>
  <c r="K181" i="4"/>
  <c r="L181" i="4"/>
  <c r="M181" i="4"/>
  <c r="AE181" i="5" s="1"/>
  <c r="N181" i="4"/>
  <c r="O181" i="4"/>
  <c r="P181" i="4"/>
  <c r="Q181" i="4"/>
  <c r="R181" i="4"/>
  <c r="S181" i="4"/>
  <c r="T181" i="4"/>
  <c r="E182" i="4"/>
  <c r="F182" i="4"/>
  <c r="G182" i="4"/>
  <c r="H182" i="4"/>
  <c r="I182" i="4"/>
  <c r="J182" i="4"/>
  <c r="K182" i="4"/>
  <c r="L182" i="4"/>
  <c r="M182" i="4"/>
  <c r="AE182" i="5" s="1"/>
  <c r="N182" i="4"/>
  <c r="O182" i="4"/>
  <c r="P182" i="4"/>
  <c r="Q182" i="4"/>
  <c r="R182" i="4"/>
  <c r="S182" i="4"/>
  <c r="T182" i="4"/>
  <c r="E183" i="4"/>
  <c r="F183" i="4"/>
  <c r="G183" i="4"/>
  <c r="H183" i="4"/>
  <c r="I183" i="4"/>
  <c r="J183" i="4"/>
  <c r="K183" i="4"/>
  <c r="L183" i="4"/>
  <c r="M183" i="4"/>
  <c r="AE183" i="5" s="1"/>
  <c r="N183" i="4"/>
  <c r="O183" i="4"/>
  <c r="P183" i="4"/>
  <c r="Q183" i="4"/>
  <c r="R183" i="4"/>
  <c r="S183" i="4"/>
  <c r="T183" i="4"/>
  <c r="E184" i="4"/>
  <c r="F184" i="4"/>
  <c r="G184" i="4"/>
  <c r="H184" i="4"/>
  <c r="I184" i="4"/>
  <c r="J184" i="4"/>
  <c r="K184" i="4"/>
  <c r="L184" i="4"/>
  <c r="M184" i="4"/>
  <c r="AE184" i="5" s="1"/>
  <c r="N184" i="4"/>
  <c r="O184" i="4"/>
  <c r="P184" i="4"/>
  <c r="Q184" i="4"/>
  <c r="R184" i="4"/>
  <c r="S184" i="4"/>
  <c r="T184" i="4"/>
  <c r="E185" i="4"/>
  <c r="F185" i="4"/>
  <c r="G185" i="4"/>
  <c r="H185" i="4"/>
  <c r="I185" i="4"/>
  <c r="J185" i="4"/>
  <c r="K185" i="4"/>
  <c r="L185" i="4"/>
  <c r="M185" i="4"/>
  <c r="AE185" i="5" s="1"/>
  <c r="N185" i="4"/>
  <c r="O185" i="4"/>
  <c r="P185" i="4"/>
  <c r="Q185" i="4"/>
  <c r="R185" i="4"/>
  <c r="S185" i="4"/>
  <c r="T185" i="4"/>
  <c r="E186" i="4"/>
  <c r="F186" i="4"/>
  <c r="G186" i="4"/>
  <c r="H186" i="4"/>
  <c r="I186" i="4"/>
  <c r="J186" i="4"/>
  <c r="K186" i="4"/>
  <c r="L186" i="4"/>
  <c r="M186" i="4"/>
  <c r="AE186" i="5" s="1"/>
  <c r="N186" i="4"/>
  <c r="O186" i="4"/>
  <c r="P186" i="4"/>
  <c r="Q186" i="4"/>
  <c r="R186" i="4"/>
  <c r="S186" i="4"/>
  <c r="T186" i="4"/>
  <c r="E187" i="4"/>
  <c r="F187" i="4"/>
  <c r="G187" i="4"/>
  <c r="H187" i="4"/>
  <c r="I187" i="4"/>
  <c r="J187" i="4"/>
  <c r="K187" i="4"/>
  <c r="L187" i="4"/>
  <c r="M187" i="4"/>
  <c r="AE187" i="5" s="1"/>
  <c r="N187" i="4"/>
  <c r="O187" i="4"/>
  <c r="P187" i="4"/>
  <c r="Q187" i="4"/>
  <c r="R187" i="4"/>
  <c r="S187" i="4"/>
  <c r="T187" i="4"/>
  <c r="E188" i="4"/>
  <c r="F188" i="4"/>
  <c r="G188" i="4"/>
  <c r="H188" i="4"/>
  <c r="I188" i="4"/>
  <c r="J188" i="4"/>
  <c r="K188" i="4"/>
  <c r="L188" i="4"/>
  <c r="M188" i="4"/>
  <c r="AE188" i="5" s="1"/>
  <c r="N188" i="4"/>
  <c r="O188" i="4"/>
  <c r="P188" i="4"/>
  <c r="Q188" i="4"/>
  <c r="R188" i="4"/>
  <c r="S188" i="4"/>
  <c r="T188" i="4"/>
  <c r="E189" i="4"/>
  <c r="F189" i="4"/>
  <c r="G189" i="4"/>
  <c r="H189" i="4"/>
  <c r="I189" i="4"/>
  <c r="J189" i="4"/>
  <c r="K189" i="4"/>
  <c r="L189" i="4"/>
  <c r="M189" i="4"/>
  <c r="AE189" i="5" s="1"/>
  <c r="N189" i="4"/>
  <c r="O189" i="4"/>
  <c r="P189" i="4"/>
  <c r="Q189" i="4"/>
  <c r="R189" i="4"/>
  <c r="S189" i="4"/>
  <c r="T189" i="4"/>
  <c r="E190" i="4"/>
  <c r="F190" i="4"/>
  <c r="G190" i="4"/>
  <c r="H190" i="4"/>
  <c r="I190" i="4"/>
  <c r="J190" i="4"/>
  <c r="K190" i="4"/>
  <c r="L190" i="4"/>
  <c r="M190" i="4"/>
  <c r="AE190" i="5" s="1"/>
  <c r="N190" i="4"/>
  <c r="O190" i="4"/>
  <c r="P190" i="4"/>
  <c r="Q190" i="4"/>
  <c r="R190" i="4"/>
  <c r="S190" i="4"/>
  <c r="T190" i="4"/>
  <c r="E191" i="4"/>
  <c r="F191" i="4"/>
  <c r="G191" i="4"/>
  <c r="H191" i="4"/>
  <c r="I191" i="4"/>
  <c r="J191" i="4"/>
  <c r="K191" i="4"/>
  <c r="L191" i="4"/>
  <c r="M191" i="4"/>
  <c r="AE191" i="5" s="1"/>
  <c r="N191" i="4"/>
  <c r="O191" i="4"/>
  <c r="P191" i="4"/>
  <c r="Q191" i="4"/>
  <c r="R191" i="4"/>
  <c r="S191" i="4"/>
  <c r="T191" i="4"/>
  <c r="E192" i="4"/>
  <c r="F192" i="4"/>
  <c r="G192" i="4"/>
  <c r="H192" i="4"/>
  <c r="I192" i="4"/>
  <c r="J192" i="4"/>
  <c r="K192" i="4"/>
  <c r="L192" i="4"/>
  <c r="M192" i="4"/>
  <c r="AE192" i="5" s="1"/>
  <c r="N192" i="4"/>
  <c r="O192" i="4"/>
  <c r="P192" i="4"/>
  <c r="Q192" i="4"/>
  <c r="R192" i="4"/>
  <c r="S192" i="4"/>
  <c r="T192" i="4"/>
  <c r="E193" i="4"/>
  <c r="F193" i="4"/>
  <c r="G193" i="4"/>
  <c r="H193" i="4"/>
  <c r="I193" i="4"/>
  <c r="J193" i="4"/>
  <c r="K193" i="4"/>
  <c r="L193" i="4"/>
  <c r="M193" i="4"/>
  <c r="AE193" i="5" s="1"/>
  <c r="N193" i="4"/>
  <c r="O193" i="4"/>
  <c r="P193" i="4"/>
  <c r="Q193" i="4"/>
  <c r="R193" i="4"/>
  <c r="S193" i="4"/>
  <c r="T193" i="4"/>
  <c r="U193" i="4"/>
  <c r="V193" i="4"/>
  <c r="E194" i="4"/>
  <c r="F194" i="4"/>
  <c r="G194" i="4"/>
  <c r="H194" i="4"/>
  <c r="I194" i="4"/>
  <c r="J194" i="4"/>
  <c r="K194" i="4"/>
  <c r="L194" i="4"/>
  <c r="M194" i="4"/>
  <c r="AE194" i="5" s="1"/>
  <c r="N194" i="4"/>
  <c r="O194" i="4"/>
  <c r="P194" i="4"/>
  <c r="Q194" i="4"/>
  <c r="R194" i="4"/>
  <c r="S194" i="4"/>
  <c r="T194" i="4"/>
  <c r="E195" i="4"/>
  <c r="F195" i="4"/>
  <c r="G195" i="4"/>
  <c r="H195" i="4"/>
  <c r="I195" i="4"/>
  <c r="J195" i="4"/>
  <c r="K195" i="4"/>
  <c r="L195" i="4"/>
  <c r="M195" i="4"/>
  <c r="AE195" i="5" s="1"/>
  <c r="N195" i="4"/>
  <c r="O195" i="4"/>
  <c r="P195" i="4"/>
  <c r="Q195" i="4"/>
  <c r="R195" i="4"/>
  <c r="S195" i="4"/>
  <c r="T195" i="4"/>
  <c r="E196" i="4"/>
  <c r="F196" i="4"/>
  <c r="G196" i="4"/>
  <c r="H196" i="4"/>
  <c r="I196" i="4"/>
  <c r="J196" i="4"/>
  <c r="K196" i="4"/>
  <c r="L196" i="4"/>
  <c r="M196" i="4"/>
  <c r="AE196" i="5" s="1"/>
  <c r="N196" i="4"/>
  <c r="O196" i="4"/>
  <c r="P196" i="4"/>
  <c r="Q196" i="4"/>
  <c r="R196" i="4"/>
  <c r="S196" i="4"/>
  <c r="T196" i="4"/>
  <c r="E197" i="4"/>
  <c r="F197" i="4"/>
  <c r="G197" i="4"/>
  <c r="H197" i="4"/>
  <c r="I197" i="4"/>
  <c r="J197" i="4"/>
  <c r="K197" i="4"/>
  <c r="L197" i="4"/>
  <c r="M197" i="4"/>
  <c r="AE197" i="5" s="1"/>
  <c r="N197" i="4"/>
  <c r="O197" i="4"/>
  <c r="P197" i="4"/>
  <c r="Q197" i="4"/>
  <c r="R197" i="4"/>
  <c r="S197" i="4"/>
  <c r="T197" i="4"/>
  <c r="E198" i="4"/>
  <c r="F198" i="4"/>
  <c r="G198" i="4"/>
  <c r="H198" i="4"/>
  <c r="I198" i="4"/>
  <c r="J198" i="4"/>
  <c r="K198" i="4"/>
  <c r="L198" i="4"/>
  <c r="M198" i="4"/>
  <c r="AE198" i="5" s="1"/>
  <c r="N198" i="4"/>
  <c r="O198" i="4"/>
  <c r="P198" i="4"/>
  <c r="Q198" i="4"/>
  <c r="R198" i="4"/>
  <c r="S198" i="4"/>
  <c r="T198" i="4"/>
  <c r="E199" i="4"/>
  <c r="F199" i="4"/>
  <c r="G199" i="4"/>
  <c r="H199" i="4"/>
  <c r="I199" i="4"/>
  <c r="J199" i="4"/>
  <c r="K199" i="4"/>
  <c r="L199" i="4"/>
  <c r="M199" i="4"/>
  <c r="AE199" i="5" s="1"/>
  <c r="N199" i="4"/>
  <c r="O199" i="4"/>
  <c r="P199" i="4"/>
  <c r="Q199" i="4"/>
  <c r="R199" i="4"/>
  <c r="S199" i="4"/>
  <c r="T199" i="4"/>
  <c r="E200" i="4"/>
  <c r="F200" i="4"/>
  <c r="G200" i="4"/>
  <c r="H200" i="4"/>
  <c r="I200" i="4"/>
  <c r="J200" i="4"/>
  <c r="K200" i="4"/>
  <c r="L200" i="4"/>
  <c r="M200" i="4"/>
  <c r="AE200" i="5" s="1"/>
  <c r="N200" i="4"/>
  <c r="O200" i="4"/>
  <c r="P200" i="4"/>
  <c r="Q200" i="4"/>
  <c r="R200" i="4"/>
  <c r="S200" i="4"/>
  <c r="T200" i="4"/>
  <c r="E201" i="4"/>
  <c r="F201" i="4"/>
  <c r="G201" i="4"/>
  <c r="H201" i="4"/>
  <c r="I201" i="4"/>
  <c r="J201" i="4"/>
  <c r="K201" i="4"/>
  <c r="L201" i="4"/>
  <c r="M201" i="4"/>
  <c r="AE201" i="5" s="1"/>
  <c r="N201" i="4"/>
  <c r="O201" i="4"/>
  <c r="P201" i="4"/>
  <c r="Q201" i="4"/>
  <c r="R201" i="4"/>
  <c r="S201" i="4"/>
  <c r="T201" i="4"/>
  <c r="E202" i="4"/>
  <c r="F202" i="4"/>
  <c r="G202" i="4"/>
  <c r="H202" i="4"/>
  <c r="I202" i="4"/>
  <c r="J202" i="4"/>
  <c r="K202" i="4"/>
  <c r="L202" i="4"/>
  <c r="M202" i="4"/>
  <c r="AE202" i="5" s="1"/>
  <c r="N202" i="4"/>
  <c r="O202" i="4"/>
  <c r="P202" i="4"/>
  <c r="Q202" i="4"/>
  <c r="R202" i="4"/>
  <c r="S202" i="4"/>
  <c r="T202" i="4"/>
  <c r="E203" i="4"/>
  <c r="F203" i="4"/>
  <c r="G203" i="4"/>
  <c r="H203" i="4"/>
  <c r="I203" i="4"/>
  <c r="J203" i="4"/>
  <c r="K203" i="4"/>
  <c r="L203" i="4"/>
  <c r="M203" i="4"/>
  <c r="AE203" i="5" s="1"/>
  <c r="N203" i="4"/>
  <c r="O203" i="4"/>
  <c r="P203" i="4"/>
  <c r="Q203" i="4"/>
  <c r="R203" i="4"/>
  <c r="S203" i="4"/>
  <c r="T203" i="4"/>
  <c r="E204" i="4"/>
  <c r="F204" i="4"/>
  <c r="G204" i="4"/>
  <c r="H204" i="4"/>
  <c r="I204" i="4"/>
  <c r="J204" i="4"/>
  <c r="K204" i="4"/>
  <c r="L204" i="4"/>
  <c r="M204" i="4"/>
  <c r="AE204" i="5" s="1"/>
  <c r="N204" i="4"/>
  <c r="O204" i="4"/>
  <c r="P204" i="4"/>
  <c r="Q204" i="4"/>
  <c r="R204" i="4"/>
  <c r="S204" i="4"/>
  <c r="T204" i="4"/>
  <c r="E205" i="4"/>
  <c r="F205" i="4"/>
  <c r="G205" i="4"/>
  <c r="H205" i="4"/>
  <c r="I205" i="4"/>
  <c r="J205" i="4"/>
  <c r="K205" i="4"/>
  <c r="L205" i="4"/>
  <c r="M205" i="4"/>
  <c r="AE205" i="5" s="1"/>
  <c r="N205" i="4"/>
  <c r="O205" i="4"/>
  <c r="P205" i="4"/>
  <c r="Q205" i="4"/>
  <c r="R205" i="4"/>
  <c r="S205" i="4"/>
  <c r="T205" i="4"/>
  <c r="E206" i="4"/>
  <c r="F206" i="4"/>
  <c r="G206" i="4"/>
  <c r="H206" i="4"/>
  <c r="I206" i="4"/>
  <c r="J206" i="4"/>
  <c r="K206" i="4"/>
  <c r="L206" i="4"/>
  <c r="M206" i="4"/>
  <c r="AE206" i="5" s="1"/>
  <c r="N206" i="4"/>
  <c r="O206" i="4"/>
  <c r="P206" i="4"/>
  <c r="Q206" i="4"/>
  <c r="R206" i="4"/>
  <c r="S206" i="4"/>
  <c r="T206" i="4"/>
  <c r="E207" i="4"/>
  <c r="F207" i="4"/>
  <c r="G207" i="4"/>
  <c r="H207" i="4"/>
  <c r="I207" i="4"/>
  <c r="J207" i="4"/>
  <c r="K207" i="4"/>
  <c r="L207" i="4"/>
  <c r="M207" i="4"/>
  <c r="AE207" i="5" s="1"/>
  <c r="N207" i="4"/>
  <c r="O207" i="4"/>
  <c r="P207" i="4"/>
  <c r="Q207" i="4"/>
  <c r="R207" i="4"/>
  <c r="S207" i="4"/>
  <c r="T207" i="4"/>
  <c r="E208" i="4"/>
  <c r="F208" i="4"/>
  <c r="G208" i="4"/>
  <c r="H208" i="4"/>
  <c r="I208" i="4"/>
  <c r="J208" i="4"/>
  <c r="K208" i="4"/>
  <c r="L208" i="4"/>
  <c r="M208" i="4"/>
  <c r="AE208" i="5" s="1"/>
  <c r="N208" i="4"/>
  <c r="O208" i="4"/>
  <c r="P208" i="4"/>
  <c r="Q208" i="4"/>
  <c r="R208" i="4"/>
  <c r="S208" i="4"/>
  <c r="T208" i="4"/>
  <c r="U208" i="4"/>
  <c r="V208" i="4"/>
  <c r="E209" i="4"/>
  <c r="F209" i="4"/>
  <c r="G209" i="4"/>
  <c r="H209" i="4"/>
  <c r="I209" i="4"/>
  <c r="J209" i="4"/>
  <c r="K209" i="4"/>
  <c r="L209" i="4"/>
  <c r="M209" i="4"/>
  <c r="AE209" i="5" s="1"/>
  <c r="N209" i="4"/>
  <c r="O209" i="4"/>
  <c r="P209" i="4"/>
  <c r="Q209" i="4"/>
  <c r="R209" i="4"/>
  <c r="S209" i="4"/>
  <c r="T209" i="4"/>
  <c r="E210" i="4"/>
  <c r="F210" i="4"/>
  <c r="G210" i="4"/>
  <c r="H210" i="4"/>
  <c r="I210" i="4"/>
  <c r="J210" i="4"/>
  <c r="K210" i="4"/>
  <c r="L210" i="4"/>
  <c r="M210" i="4"/>
  <c r="AE210" i="5" s="1"/>
  <c r="N210" i="4"/>
  <c r="O210" i="4"/>
  <c r="P210" i="4"/>
  <c r="Q210" i="4"/>
  <c r="R210" i="4"/>
  <c r="S210" i="4"/>
  <c r="T210" i="4"/>
  <c r="E211" i="4"/>
  <c r="F211" i="4"/>
  <c r="G211" i="4"/>
  <c r="H211" i="4"/>
  <c r="I211" i="4"/>
  <c r="J211" i="4"/>
  <c r="K211" i="4"/>
  <c r="L211" i="4"/>
  <c r="M211" i="4"/>
  <c r="AE211" i="5" s="1"/>
  <c r="N211" i="4"/>
  <c r="O211" i="4"/>
  <c r="P211" i="4"/>
  <c r="Q211" i="4"/>
  <c r="R211" i="4"/>
  <c r="S211" i="4"/>
  <c r="T211" i="4"/>
  <c r="E212" i="4"/>
  <c r="F212" i="4"/>
  <c r="G212" i="4"/>
  <c r="H212" i="4"/>
  <c r="I212" i="4"/>
  <c r="J212" i="4"/>
  <c r="K212" i="4"/>
  <c r="L212" i="4"/>
  <c r="M212" i="4"/>
  <c r="AE212" i="5" s="1"/>
  <c r="N212" i="4"/>
  <c r="O212" i="4"/>
  <c r="P212" i="4"/>
  <c r="Q212" i="4"/>
  <c r="R212" i="4"/>
  <c r="S212" i="4"/>
  <c r="T212" i="4"/>
  <c r="E213" i="4"/>
  <c r="F213" i="4"/>
  <c r="G213" i="4"/>
  <c r="H213" i="4"/>
  <c r="I213" i="4"/>
  <c r="J213" i="4"/>
  <c r="K213" i="4"/>
  <c r="L213" i="4"/>
  <c r="M213" i="4"/>
  <c r="AE213" i="5" s="1"/>
  <c r="N213" i="4"/>
  <c r="O213" i="4"/>
  <c r="P213" i="4"/>
  <c r="Q213" i="4"/>
  <c r="R213" i="4"/>
  <c r="S213" i="4"/>
  <c r="T213" i="4"/>
  <c r="E214" i="4"/>
  <c r="F214" i="4"/>
  <c r="G214" i="4"/>
  <c r="H214" i="4"/>
  <c r="I214" i="4"/>
  <c r="J214" i="4"/>
  <c r="K214" i="4"/>
  <c r="L214" i="4"/>
  <c r="M214" i="4"/>
  <c r="AE214" i="5" s="1"/>
  <c r="N214" i="4"/>
  <c r="O214" i="4"/>
  <c r="P214" i="4"/>
  <c r="Q214" i="4"/>
  <c r="R214" i="4"/>
  <c r="S214" i="4"/>
  <c r="T214" i="4"/>
  <c r="E215" i="4"/>
  <c r="F215" i="4"/>
  <c r="G215" i="4"/>
  <c r="H215" i="4"/>
  <c r="I215" i="4"/>
  <c r="J215" i="4"/>
  <c r="K215" i="4"/>
  <c r="L215" i="4"/>
  <c r="M215" i="4"/>
  <c r="AE215" i="5" s="1"/>
  <c r="N215" i="4"/>
  <c r="O215" i="4"/>
  <c r="P215" i="4"/>
  <c r="Q215" i="4"/>
  <c r="R215" i="4"/>
  <c r="S215" i="4"/>
  <c r="T215" i="4"/>
  <c r="E216" i="4"/>
  <c r="F216" i="4"/>
  <c r="G216" i="4"/>
  <c r="H216" i="4"/>
  <c r="I216" i="4"/>
  <c r="J216" i="4"/>
  <c r="K216" i="4"/>
  <c r="L216" i="4"/>
  <c r="M216" i="4"/>
  <c r="AE216" i="5" s="1"/>
  <c r="N216" i="4"/>
  <c r="O216" i="4"/>
  <c r="P216" i="4"/>
  <c r="Q216" i="4"/>
  <c r="R216" i="4"/>
  <c r="S216" i="4"/>
  <c r="T216" i="4"/>
  <c r="E217" i="4"/>
  <c r="F217" i="4"/>
  <c r="G217" i="4"/>
  <c r="H217" i="4"/>
  <c r="I217" i="4"/>
  <c r="J217" i="4"/>
  <c r="K217" i="4"/>
  <c r="L217" i="4"/>
  <c r="M217" i="4"/>
  <c r="AE217" i="5" s="1"/>
  <c r="N217" i="4"/>
  <c r="O217" i="4"/>
  <c r="P217" i="4"/>
  <c r="Q217" i="4"/>
  <c r="R217" i="4"/>
  <c r="S217" i="4"/>
  <c r="T217" i="4"/>
  <c r="E218" i="4"/>
  <c r="F218" i="4"/>
  <c r="G218" i="4"/>
  <c r="H218" i="4"/>
  <c r="I218" i="4"/>
  <c r="J218" i="4"/>
  <c r="K218" i="4"/>
  <c r="L218" i="4"/>
  <c r="M218" i="4"/>
  <c r="AE218" i="5" s="1"/>
  <c r="N218" i="4"/>
  <c r="O218" i="4"/>
  <c r="P218" i="4"/>
  <c r="Q218" i="4"/>
  <c r="R218" i="4"/>
  <c r="S218" i="4"/>
  <c r="T218" i="4"/>
  <c r="E219" i="4"/>
  <c r="F219" i="4"/>
  <c r="G219" i="4"/>
  <c r="H219" i="4"/>
  <c r="I219" i="4"/>
  <c r="J219" i="4"/>
  <c r="K219" i="4"/>
  <c r="L219" i="4"/>
  <c r="M219" i="4"/>
  <c r="AE219" i="5" s="1"/>
  <c r="N219" i="4"/>
  <c r="O219" i="4"/>
  <c r="P219" i="4"/>
  <c r="Q219" i="4"/>
  <c r="R219" i="4"/>
  <c r="S219" i="4"/>
  <c r="T219" i="4"/>
  <c r="E220" i="4"/>
  <c r="F220" i="4"/>
  <c r="G220" i="4"/>
  <c r="H220" i="4"/>
  <c r="I220" i="4"/>
  <c r="J220" i="4"/>
  <c r="K220" i="4"/>
  <c r="L220" i="4"/>
  <c r="M220" i="4"/>
  <c r="AE220" i="5" s="1"/>
  <c r="N220" i="4"/>
  <c r="O220" i="4"/>
  <c r="P220" i="4"/>
  <c r="Q220" i="4"/>
  <c r="R220" i="4"/>
  <c r="S220" i="4"/>
  <c r="T220" i="4"/>
  <c r="E221" i="4"/>
  <c r="F221" i="4"/>
  <c r="G221" i="4"/>
  <c r="H221" i="4"/>
  <c r="I221" i="4"/>
  <c r="J221" i="4"/>
  <c r="K221" i="4"/>
  <c r="L221" i="4"/>
  <c r="M221" i="4"/>
  <c r="AE221" i="5" s="1"/>
  <c r="N221" i="4"/>
  <c r="O221" i="4"/>
  <c r="P221" i="4"/>
  <c r="Q221" i="4"/>
  <c r="R221" i="4"/>
  <c r="S221" i="4"/>
  <c r="T221" i="4"/>
  <c r="E222" i="4"/>
  <c r="F222" i="4"/>
  <c r="G222" i="4"/>
  <c r="H222" i="4"/>
  <c r="I222" i="4"/>
  <c r="J222" i="4"/>
  <c r="K222" i="4"/>
  <c r="L222" i="4"/>
  <c r="M222" i="4"/>
  <c r="AE222" i="5" s="1"/>
  <c r="N222" i="4"/>
  <c r="O222" i="4"/>
  <c r="P222" i="4"/>
  <c r="Q222" i="4"/>
  <c r="R222" i="4"/>
  <c r="S222" i="4"/>
  <c r="T222" i="4"/>
  <c r="E223" i="4"/>
  <c r="F223" i="4"/>
  <c r="G223" i="4"/>
  <c r="H223" i="4"/>
  <c r="I223" i="4"/>
  <c r="J223" i="4"/>
  <c r="K223" i="4"/>
  <c r="L223" i="4"/>
  <c r="M223" i="4"/>
  <c r="AE223" i="5" s="1"/>
  <c r="N223" i="4"/>
  <c r="O223" i="4"/>
  <c r="P223" i="4"/>
  <c r="Q223" i="4"/>
  <c r="R223" i="4"/>
  <c r="S223" i="4"/>
  <c r="T223" i="4"/>
  <c r="E224" i="4"/>
  <c r="F224" i="4"/>
  <c r="G224" i="4"/>
  <c r="H224" i="4"/>
  <c r="I224" i="4"/>
  <c r="J224" i="4"/>
  <c r="K224" i="4"/>
  <c r="L224" i="4"/>
  <c r="M224" i="4"/>
  <c r="AE224" i="5" s="1"/>
  <c r="N224" i="4"/>
  <c r="O224" i="4"/>
  <c r="P224" i="4"/>
  <c r="Q224" i="4"/>
  <c r="R224" i="4"/>
  <c r="S224" i="4"/>
  <c r="T224" i="4"/>
  <c r="E225" i="4"/>
  <c r="F225" i="4"/>
  <c r="G225" i="4"/>
  <c r="H225" i="4"/>
  <c r="I225" i="4"/>
  <c r="J225" i="4"/>
  <c r="K225" i="4"/>
  <c r="L225" i="4"/>
  <c r="M225" i="4"/>
  <c r="AE225" i="5" s="1"/>
  <c r="N225" i="4"/>
  <c r="O225" i="4"/>
  <c r="P225" i="4"/>
  <c r="Q225" i="4"/>
  <c r="R225" i="4"/>
  <c r="S225" i="4"/>
  <c r="T225" i="4"/>
  <c r="U225" i="4"/>
  <c r="V225" i="4"/>
  <c r="E226" i="4"/>
  <c r="F226" i="4"/>
  <c r="G226" i="4"/>
  <c r="H226" i="4"/>
  <c r="I226" i="4"/>
  <c r="J226" i="4"/>
  <c r="K226" i="4"/>
  <c r="L226" i="4"/>
  <c r="M226" i="4"/>
  <c r="AE226" i="5" s="1"/>
  <c r="N226" i="4"/>
  <c r="O226" i="4"/>
  <c r="P226" i="4"/>
  <c r="Q226" i="4"/>
  <c r="R226" i="4"/>
  <c r="S226" i="4"/>
  <c r="T226" i="4"/>
  <c r="E227" i="4"/>
  <c r="F227" i="4"/>
  <c r="G227" i="4"/>
  <c r="H227" i="4"/>
  <c r="I227" i="4"/>
  <c r="J227" i="4"/>
  <c r="K227" i="4"/>
  <c r="L227" i="4"/>
  <c r="M227" i="4"/>
  <c r="AE227" i="5" s="1"/>
  <c r="N227" i="4"/>
  <c r="O227" i="4"/>
  <c r="P227" i="4"/>
  <c r="Q227" i="4"/>
  <c r="R227" i="4"/>
  <c r="S227" i="4"/>
  <c r="T227" i="4"/>
  <c r="E228" i="4"/>
  <c r="F228" i="4"/>
  <c r="G228" i="4"/>
  <c r="H228" i="4"/>
  <c r="I228" i="4"/>
  <c r="J228" i="4"/>
  <c r="K228" i="4"/>
  <c r="L228" i="4"/>
  <c r="M228" i="4"/>
  <c r="AE228" i="5" s="1"/>
  <c r="N228" i="4"/>
  <c r="O228" i="4"/>
  <c r="P228" i="4"/>
  <c r="Q228" i="4"/>
  <c r="R228" i="4"/>
  <c r="S228" i="4"/>
  <c r="T228" i="4"/>
  <c r="E229" i="4"/>
  <c r="F229" i="4"/>
  <c r="G229" i="4"/>
  <c r="H229" i="4"/>
  <c r="I229" i="4"/>
  <c r="J229" i="4"/>
  <c r="K229" i="4"/>
  <c r="L229" i="4"/>
  <c r="M229" i="4"/>
  <c r="AE229" i="5" s="1"/>
  <c r="N229" i="4"/>
  <c r="O229" i="4"/>
  <c r="P229" i="4"/>
  <c r="Q229" i="4"/>
  <c r="R229" i="4"/>
  <c r="S229" i="4"/>
  <c r="T229" i="4"/>
  <c r="E230" i="4"/>
  <c r="F230" i="4"/>
  <c r="G230" i="4"/>
  <c r="H230" i="4"/>
  <c r="I230" i="4"/>
  <c r="J230" i="4"/>
  <c r="K230" i="4"/>
  <c r="L230" i="4"/>
  <c r="M230" i="4"/>
  <c r="AE230" i="5" s="1"/>
  <c r="N230" i="4"/>
  <c r="O230" i="4"/>
  <c r="P230" i="4"/>
  <c r="Q230" i="4"/>
  <c r="R230" i="4"/>
  <c r="S230" i="4"/>
  <c r="T230" i="4"/>
  <c r="E231" i="4"/>
  <c r="F231" i="4"/>
  <c r="G231" i="4"/>
  <c r="H231" i="4"/>
  <c r="I231" i="4"/>
  <c r="J231" i="4"/>
  <c r="K231" i="4"/>
  <c r="L231" i="4"/>
  <c r="M231" i="4"/>
  <c r="AE231" i="5" s="1"/>
  <c r="N231" i="4"/>
  <c r="O231" i="4"/>
  <c r="P231" i="4"/>
  <c r="Q231" i="4"/>
  <c r="R231" i="4"/>
  <c r="S231" i="4"/>
  <c r="T231" i="4"/>
  <c r="E232" i="4"/>
  <c r="F232" i="4"/>
  <c r="G232" i="4"/>
  <c r="H232" i="4"/>
  <c r="I232" i="4"/>
  <c r="J232" i="4"/>
  <c r="K232" i="4"/>
  <c r="L232" i="4"/>
  <c r="M232" i="4"/>
  <c r="AE232" i="5" s="1"/>
  <c r="N232" i="4"/>
  <c r="O232" i="4"/>
  <c r="P232" i="4"/>
  <c r="Q232" i="4"/>
  <c r="R232" i="4"/>
  <c r="S232" i="4"/>
  <c r="T232" i="4"/>
  <c r="E233" i="4"/>
  <c r="F233" i="4"/>
  <c r="G233" i="4"/>
  <c r="H233" i="4"/>
  <c r="I233" i="4"/>
  <c r="J233" i="4"/>
  <c r="K233" i="4"/>
  <c r="L233" i="4"/>
  <c r="M233" i="4"/>
  <c r="AE233" i="5" s="1"/>
  <c r="N233" i="4"/>
  <c r="O233" i="4"/>
  <c r="P233" i="4"/>
  <c r="Q233" i="4"/>
  <c r="R233" i="4"/>
  <c r="S233" i="4"/>
  <c r="T233" i="4"/>
  <c r="E234" i="4"/>
  <c r="F234" i="4"/>
  <c r="G234" i="4"/>
  <c r="H234" i="4"/>
  <c r="I234" i="4"/>
  <c r="J234" i="4"/>
  <c r="K234" i="4"/>
  <c r="L234" i="4"/>
  <c r="M234" i="4"/>
  <c r="AE234" i="5" s="1"/>
  <c r="N234" i="4"/>
  <c r="O234" i="4"/>
  <c r="P234" i="4"/>
  <c r="Q234" i="4"/>
  <c r="R234" i="4"/>
  <c r="S234" i="4"/>
  <c r="T234" i="4"/>
  <c r="E235" i="4"/>
  <c r="F235" i="4"/>
  <c r="G235" i="4"/>
  <c r="H235" i="4"/>
  <c r="I235" i="4"/>
  <c r="J235" i="4"/>
  <c r="K235" i="4"/>
  <c r="L235" i="4"/>
  <c r="M235" i="4"/>
  <c r="AE235" i="5" s="1"/>
  <c r="N235" i="4"/>
  <c r="O235" i="4"/>
  <c r="P235" i="4"/>
  <c r="Q235" i="4"/>
  <c r="R235" i="4"/>
  <c r="S235" i="4"/>
  <c r="T235" i="4"/>
  <c r="E236" i="4"/>
  <c r="F236" i="4"/>
  <c r="G236" i="4"/>
  <c r="H236" i="4"/>
  <c r="I236" i="4"/>
  <c r="J236" i="4"/>
  <c r="K236" i="4"/>
  <c r="L236" i="4"/>
  <c r="M236" i="4"/>
  <c r="AE236" i="5" s="1"/>
  <c r="N236" i="4"/>
  <c r="O236" i="4"/>
  <c r="P236" i="4"/>
  <c r="Q236" i="4"/>
  <c r="R236" i="4"/>
  <c r="S236" i="4"/>
  <c r="T236" i="4"/>
  <c r="E237" i="4"/>
  <c r="F237" i="4"/>
  <c r="G237" i="4"/>
  <c r="H237" i="4"/>
  <c r="I237" i="4"/>
  <c r="J237" i="4"/>
  <c r="K237" i="4"/>
  <c r="L237" i="4"/>
  <c r="M237" i="4"/>
  <c r="AE237" i="5" s="1"/>
  <c r="N237" i="4"/>
  <c r="O237" i="4"/>
  <c r="P237" i="4"/>
  <c r="Q237" i="4"/>
  <c r="R237" i="4"/>
  <c r="S237" i="4"/>
  <c r="T237" i="4"/>
  <c r="U237" i="4"/>
  <c r="V237" i="4"/>
  <c r="E238" i="4"/>
  <c r="F238" i="4"/>
  <c r="G238" i="4"/>
  <c r="H238" i="4"/>
  <c r="I238" i="4"/>
  <c r="J238" i="4"/>
  <c r="K238" i="4"/>
  <c r="L238" i="4"/>
  <c r="M238" i="4"/>
  <c r="AE238" i="5" s="1"/>
  <c r="N238" i="4"/>
  <c r="O238" i="4"/>
  <c r="P238" i="4"/>
  <c r="Q238" i="4"/>
  <c r="R238" i="4"/>
  <c r="S238" i="4"/>
  <c r="T238" i="4"/>
  <c r="U238" i="4"/>
  <c r="V238" i="4"/>
  <c r="E239" i="4"/>
  <c r="F239" i="4"/>
  <c r="G239" i="4"/>
  <c r="H239" i="4"/>
  <c r="I239" i="4"/>
  <c r="J239" i="4"/>
  <c r="K239" i="4"/>
  <c r="L239" i="4"/>
  <c r="M239" i="4"/>
  <c r="AE239" i="5" s="1"/>
  <c r="N239" i="4"/>
  <c r="O239" i="4"/>
  <c r="P239" i="4"/>
  <c r="Q239" i="4"/>
  <c r="R239" i="4"/>
  <c r="S239" i="4"/>
  <c r="T239" i="4"/>
  <c r="U239" i="4"/>
  <c r="V239" i="4"/>
  <c r="E240" i="4"/>
  <c r="F240" i="4"/>
  <c r="G240" i="4"/>
  <c r="H240" i="4"/>
  <c r="I240" i="4"/>
  <c r="J240" i="4"/>
  <c r="K240" i="4"/>
  <c r="L240" i="4"/>
  <c r="M240" i="4"/>
  <c r="AE240" i="5" s="1"/>
  <c r="N240" i="4"/>
  <c r="O240" i="4"/>
  <c r="P240" i="4"/>
  <c r="Q240" i="4"/>
  <c r="R240" i="4"/>
  <c r="S240" i="4"/>
  <c r="T240" i="4"/>
  <c r="U240" i="4"/>
  <c r="V240" i="4"/>
  <c r="E241" i="4"/>
  <c r="F241" i="4"/>
  <c r="G241" i="4"/>
  <c r="H241" i="4"/>
  <c r="I241" i="4"/>
  <c r="J241" i="4"/>
  <c r="K241" i="4"/>
  <c r="L241" i="4"/>
  <c r="M241" i="4"/>
  <c r="AE241" i="5" s="1"/>
  <c r="N241" i="4"/>
  <c r="O241" i="4"/>
  <c r="P241" i="4"/>
  <c r="Q241" i="4"/>
  <c r="R241" i="4"/>
  <c r="S241" i="4"/>
  <c r="T241" i="4"/>
  <c r="U241" i="4"/>
  <c r="V241" i="4"/>
  <c r="E242" i="4"/>
  <c r="F242" i="4"/>
  <c r="G242" i="4"/>
  <c r="H242" i="4"/>
  <c r="I242" i="4"/>
  <c r="J242" i="4"/>
  <c r="K242" i="4"/>
  <c r="L242" i="4"/>
  <c r="M242" i="4"/>
  <c r="AE242" i="5" s="1"/>
  <c r="N242" i="4"/>
  <c r="O242" i="4"/>
  <c r="P242" i="4"/>
  <c r="Q242" i="4"/>
  <c r="R242" i="4"/>
  <c r="S242" i="4"/>
  <c r="T242" i="4"/>
  <c r="U242" i="4"/>
  <c r="V242" i="4"/>
  <c r="E243" i="4"/>
  <c r="F243" i="4"/>
  <c r="G243" i="4"/>
  <c r="H243" i="4"/>
  <c r="I243" i="4"/>
  <c r="J243" i="4"/>
  <c r="K243" i="4"/>
  <c r="L243" i="4"/>
  <c r="M243" i="4"/>
  <c r="AE243" i="5" s="1"/>
  <c r="N243" i="4"/>
  <c r="O243" i="4"/>
  <c r="P243" i="4"/>
  <c r="Q243" i="4"/>
  <c r="R243" i="4"/>
  <c r="S243" i="4"/>
  <c r="T243" i="4"/>
  <c r="U243" i="4"/>
  <c r="V243" i="4"/>
  <c r="E244" i="4"/>
  <c r="F244" i="4"/>
  <c r="G244" i="4"/>
  <c r="H244" i="4"/>
  <c r="I244" i="4"/>
  <c r="J244" i="4"/>
  <c r="K244" i="4"/>
  <c r="L244" i="4"/>
  <c r="M244" i="4"/>
  <c r="AE244" i="5" s="1"/>
  <c r="N244" i="4"/>
  <c r="O244" i="4"/>
  <c r="P244" i="4"/>
  <c r="Q244" i="4"/>
  <c r="R244" i="4"/>
  <c r="S244" i="4"/>
  <c r="T244" i="4"/>
  <c r="U244" i="4"/>
  <c r="V244" i="4"/>
  <c r="E245" i="4"/>
  <c r="F245" i="4"/>
  <c r="G245" i="4"/>
  <c r="H245" i="4"/>
  <c r="I245" i="4"/>
  <c r="J245" i="4"/>
  <c r="K245" i="4"/>
  <c r="L245" i="4"/>
  <c r="M245" i="4"/>
  <c r="AE245" i="5" s="1"/>
  <c r="N245" i="4"/>
  <c r="O245" i="4"/>
  <c r="P245" i="4"/>
  <c r="Q245" i="4"/>
  <c r="R245" i="4"/>
  <c r="S245" i="4"/>
  <c r="T245" i="4"/>
  <c r="U245" i="4"/>
  <c r="V245" i="4"/>
  <c r="E246" i="4"/>
  <c r="F246" i="4"/>
  <c r="G246" i="4"/>
  <c r="H246" i="4"/>
  <c r="I246" i="4"/>
  <c r="J246" i="4"/>
  <c r="K246" i="4"/>
  <c r="L246" i="4"/>
  <c r="M246" i="4"/>
  <c r="AE246" i="5" s="1"/>
  <c r="N246" i="4"/>
  <c r="O246" i="4"/>
  <c r="P246" i="4"/>
  <c r="Q246" i="4"/>
  <c r="R246" i="4"/>
  <c r="S246" i="4"/>
  <c r="T246" i="4"/>
  <c r="E247" i="4"/>
  <c r="F247" i="4"/>
  <c r="G247" i="4"/>
  <c r="H247" i="4"/>
  <c r="I247" i="4"/>
  <c r="J247" i="4"/>
  <c r="K247" i="4"/>
  <c r="L247" i="4"/>
  <c r="M247" i="4"/>
  <c r="AE247" i="5" s="1"/>
  <c r="N247" i="4"/>
  <c r="O247" i="4"/>
  <c r="P247" i="4"/>
  <c r="Q247" i="4"/>
  <c r="R247" i="4"/>
  <c r="S247" i="4"/>
  <c r="T247" i="4"/>
  <c r="E248" i="4"/>
  <c r="F248" i="4"/>
  <c r="G248" i="4"/>
  <c r="H248" i="4"/>
  <c r="I248" i="4"/>
  <c r="J248" i="4"/>
  <c r="K248" i="4"/>
  <c r="L248" i="4"/>
  <c r="M248" i="4"/>
  <c r="AE248" i="5" s="1"/>
  <c r="N248" i="4"/>
  <c r="O248" i="4"/>
  <c r="P248" i="4"/>
  <c r="Q248" i="4"/>
  <c r="R248" i="4"/>
  <c r="S248" i="4"/>
  <c r="T248" i="4"/>
  <c r="E249" i="4"/>
  <c r="F249" i="4"/>
  <c r="G249" i="4"/>
  <c r="H249" i="4"/>
  <c r="I249" i="4"/>
  <c r="J249" i="4"/>
  <c r="K249" i="4"/>
  <c r="L249" i="4"/>
  <c r="M249" i="4"/>
  <c r="AE249" i="5" s="1"/>
  <c r="N249" i="4"/>
  <c r="O249" i="4"/>
  <c r="P249" i="4"/>
  <c r="Q249" i="4"/>
  <c r="R249" i="4"/>
  <c r="S249" i="4"/>
  <c r="T249" i="4"/>
  <c r="E250" i="4"/>
  <c r="F250" i="4"/>
  <c r="G250" i="4"/>
  <c r="H250" i="4"/>
  <c r="I250" i="4"/>
  <c r="J250" i="4"/>
  <c r="K250" i="4"/>
  <c r="L250" i="4"/>
  <c r="M250" i="4"/>
  <c r="AE250" i="5" s="1"/>
  <c r="N250" i="4"/>
  <c r="O250" i="4"/>
  <c r="P250" i="4"/>
  <c r="Q250" i="4"/>
  <c r="R250" i="4"/>
  <c r="S250" i="4"/>
  <c r="T250" i="4"/>
  <c r="E251" i="4"/>
  <c r="F251" i="4"/>
  <c r="G251" i="4"/>
  <c r="H251" i="4"/>
  <c r="I251" i="4"/>
  <c r="J251" i="4"/>
  <c r="K251" i="4"/>
  <c r="L251" i="4"/>
  <c r="M251" i="4"/>
  <c r="AE251" i="5" s="1"/>
  <c r="N251" i="4"/>
  <c r="O251" i="4"/>
  <c r="P251" i="4"/>
  <c r="Q251" i="4"/>
  <c r="R251" i="4"/>
  <c r="S251" i="4"/>
  <c r="T251" i="4"/>
  <c r="E252" i="4"/>
  <c r="F252" i="4"/>
  <c r="G252" i="4"/>
  <c r="H252" i="4"/>
  <c r="I252" i="4"/>
  <c r="J252" i="4"/>
  <c r="K252" i="4"/>
  <c r="L252" i="4"/>
  <c r="M252" i="4"/>
  <c r="AE252" i="5" s="1"/>
  <c r="N252" i="4"/>
  <c r="O252" i="4"/>
  <c r="P252" i="4"/>
  <c r="Q252" i="4"/>
  <c r="R252" i="4"/>
  <c r="S252" i="4"/>
  <c r="T252" i="4"/>
  <c r="E253" i="4"/>
  <c r="F253" i="4"/>
  <c r="G253" i="4"/>
  <c r="H253" i="4"/>
  <c r="I253" i="4"/>
  <c r="J253" i="4"/>
  <c r="K253" i="4"/>
  <c r="L253" i="4"/>
  <c r="M253" i="4"/>
  <c r="AE253" i="5" s="1"/>
  <c r="N253" i="4"/>
  <c r="O253" i="4"/>
  <c r="P253" i="4"/>
  <c r="Q253" i="4"/>
  <c r="R253" i="4"/>
  <c r="S253" i="4"/>
  <c r="T253" i="4"/>
  <c r="E254" i="4"/>
  <c r="F254" i="4"/>
  <c r="G254" i="4"/>
  <c r="H254" i="4"/>
  <c r="I254" i="4"/>
  <c r="J254" i="4"/>
  <c r="K254" i="4"/>
  <c r="L254" i="4"/>
  <c r="M254" i="4"/>
  <c r="AE254" i="5" s="1"/>
  <c r="N254" i="4"/>
  <c r="O254" i="4"/>
  <c r="P254" i="4"/>
  <c r="Q254" i="4"/>
  <c r="R254" i="4"/>
  <c r="S254" i="4"/>
  <c r="T254" i="4"/>
  <c r="E255" i="4"/>
  <c r="F255" i="4"/>
  <c r="G255" i="4"/>
  <c r="H255" i="4"/>
  <c r="I255" i="4"/>
  <c r="J255" i="4"/>
  <c r="K255" i="4"/>
  <c r="L255" i="4"/>
  <c r="M255" i="4"/>
  <c r="AE255" i="5" s="1"/>
  <c r="N255" i="4"/>
  <c r="O255" i="4"/>
  <c r="P255" i="4"/>
  <c r="Q255" i="4"/>
  <c r="R255" i="4"/>
  <c r="S255" i="4"/>
  <c r="T255" i="4"/>
  <c r="E256" i="4"/>
  <c r="F256" i="4"/>
  <c r="G256" i="4"/>
  <c r="H256" i="4"/>
  <c r="I256" i="4"/>
  <c r="J256" i="4"/>
  <c r="K256" i="4"/>
  <c r="L256" i="4"/>
  <c r="M256" i="4"/>
  <c r="AE256" i="5" s="1"/>
  <c r="N256" i="4"/>
  <c r="O256" i="4"/>
  <c r="P256" i="4"/>
  <c r="Q256" i="4"/>
  <c r="R256" i="4"/>
  <c r="S256" i="4"/>
  <c r="T256" i="4"/>
  <c r="E257" i="4"/>
  <c r="F257" i="4"/>
  <c r="G257" i="4"/>
  <c r="H257" i="4"/>
  <c r="I257" i="4"/>
  <c r="J257" i="4"/>
  <c r="K257" i="4"/>
  <c r="L257" i="4"/>
  <c r="M257" i="4"/>
  <c r="AE257" i="5" s="1"/>
  <c r="N257" i="4"/>
  <c r="O257" i="4"/>
  <c r="P257" i="4"/>
  <c r="Q257" i="4"/>
  <c r="R257" i="4"/>
  <c r="S257" i="4"/>
  <c r="T257" i="4"/>
  <c r="U257" i="4"/>
  <c r="V257" i="4"/>
  <c r="E258" i="4"/>
  <c r="F258" i="4"/>
  <c r="G258" i="4"/>
  <c r="H258" i="4"/>
  <c r="I258" i="4"/>
  <c r="J258" i="4"/>
  <c r="K258" i="4"/>
  <c r="L258" i="4"/>
  <c r="M258" i="4"/>
  <c r="AE258" i="5" s="1"/>
  <c r="N258" i="4"/>
  <c r="O258" i="4"/>
  <c r="P258" i="4"/>
  <c r="Q258" i="4"/>
  <c r="R258" i="4"/>
  <c r="S258" i="4"/>
  <c r="T258" i="4"/>
  <c r="E259" i="4"/>
  <c r="F259" i="4"/>
  <c r="G259" i="4"/>
  <c r="H259" i="4"/>
  <c r="I259" i="4"/>
  <c r="J259" i="4"/>
  <c r="K259" i="4"/>
  <c r="L259" i="4"/>
  <c r="M259" i="4"/>
  <c r="AE259" i="5" s="1"/>
  <c r="N259" i="4"/>
  <c r="O259" i="4"/>
  <c r="P259" i="4"/>
  <c r="Q259" i="4"/>
  <c r="R259" i="4"/>
  <c r="S259" i="4"/>
  <c r="T259" i="4"/>
  <c r="E260" i="4"/>
  <c r="F260" i="4"/>
  <c r="G260" i="4"/>
  <c r="H260" i="4"/>
  <c r="I260" i="4"/>
  <c r="J260" i="4"/>
  <c r="K260" i="4"/>
  <c r="L260" i="4"/>
  <c r="M260" i="4"/>
  <c r="AE260" i="5" s="1"/>
  <c r="N260" i="4"/>
  <c r="O260" i="4"/>
  <c r="P260" i="4"/>
  <c r="Q260" i="4"/>
  <c r="R260" i="4"/>
  <c r="S260" i="4"/>
  <c r="T260" i="4"/>
  <c r="E261" i="4"/>
  <c r="F261" i="4"/>
  <c r="G261" i="4"/>
  <c r="H261" i="4"/>
  <c r="I261" i="4"/>
  <c r="J261" i="4"/>
  <c r="K261" i="4"/>
  <c r="L261" i="4"/>
  <c r="M261" i="4"/>
  <c r="AE261" i="5" s="1"/>
  <c r="N261" i="4"/>
  <c r="O261" i="4"/>
  <c r="P261" i="4"/>
  <c r="Q261" i="4"/>
  <c r="R261" i="4"/>
  <c r="S261" i="4"/>
  <c r="T261" i="4"/>
  <c r="E262" i="4"/>
  <c r="F262" i="4"/>
  <c r="G262" i="4"/>
  <c r="H262" i="4"/>
  <c r="I262" i="4"/>
  <c r="J262" i="4"/>
  <c r="K262" i="4"/>
  <c r="L262" i="4"/>
  <c r="M262" i="4"/>
  <c r="AE262" i="5" s="1"/>
  <c r="N262" i="4"/>
  <c r="O262" i="4"/>
  <c r="P262" i="4"/>
  <c r="Q262" i="4"/>
  <c r="R262" i="4"/>
  <c r="S262" i="4"/>
  <c r="T262" i="4"/>
  <c r="E263" i="4"/>
  <c r="F263" i="4"/>
  <c r="G263" i="4"/>
  <c r="H263" i="4"/>
  <c r="I263" i="4"/>
  <c r="J263" i="4"/>
  <c r="K263" i="4"/>
  <c r="L263" i="4"/>
  <c r="M263" i="4"/>
  <c r="AE263" i="5" s="1"/>
  <c r="N263" i="4"/>
  <c r="O263" i="4"/>
  <c r="P263" i="4"/>
  <c r="Q263" i="4"/>
  <c r="R263" i="4"/>
  <c r="S263" i="4"/>
  <c r="T263" i="4"/>
  <c r="E264" i="4"/>
  <c r="F264" i="4"/>
  <c r="G264" i="4"/>
  <c r="H264" i="4"/>
  <c r="I264" i="4"/>
  <c r="J264" i="4"/>
  <c r="K264" i="4"/>
  <c r="L264" i="4"/>
  <c r="M264" i="4"/>
  <c r="AE264" i="5" s="1"/>
  <c r="N264" i="4"/>
  <c r="O264" i="4"/>
  <c r="P264" i="4"/>
  <c r="Q264" i="4"/>
  <c r="R264" i="4"/>
  <c r="S264" i="4"/>
  <c r="T264" i="4"/>
  <c r="E265" i="4"/>
  <c r="F265" i="4"/>
  <c r="G265" i="4"/>
  <c r="H265" i="4"/>
  <c r="I265" i="4"/>
  <c r="J265" i="4"/>
  <c r="K265" i="4"/>
  <c r="L265" i="4"/>
  <c r="M265" i="4"/>
  <c r="AE265" i="5" s="1"/>
  <c r="N265" i="4"/>
  <c r="O265" i="4"/>
  <c r="P265" i="4"/>
  <c r="Q265" i="4"/>
  <c r="R265" i="4"/>
  <c r="S265" i="4"/>
  <c r="T265" i="4"/>
  <c r="E266" i="4"/>
  <c r="F266" i="4"/>
  <c r="G266" i="4"/>
  <c r="H266" i="4"/>
  <c r="I266" i="4"/>
  <c r="J266" i="4"/>
  <c r="K266" i="4"/>
  <c r="L266" i="4"/>
  <c r="M266" i="4"/>
  <c r="AE266" i="5" s="1"/>
  <c r="N266" i="4"/>
  <c r="O266" i="4"/>
  <c r="P266" i="4"/>
  <c r="Q266" i="4"/>
  <c r="R266" i="4"/>
  <c r="S266" i="4"/>
  <c r="T266" i="4"/>
  <c r="E267" i="4"/>
  <c r="F267" i="4"/>
  <c r="G267" i="4"/>
  <c r="H267" i="4"/>
  <c r="I267" i="4"/>
  <c r="J267" i="4"/>
  <c r="K267" i="4"/>
  <c r="L267" i="4"/>
  <c r="M267" i="4"/>
  <c r="AE267" i="5" s="1"/>
  <c r="N267" i="4"/>
  <c r="O267" i="4"/>
  <c r="P267" i="4"/>
  <c r="Q267" i="4"/>
  <c r="R267" i="4"/>
  <c r="S267" i="4"/>
  <c r="T267" i="4"/>
  <c r="E268" i="4"/>
  <c r="F268" i="4"/>
  <c r="G268" i="4"/>
  <c r="H268" i="4"/>
  <c r="I268" i="4"/>
  <c r="J268" i="4"/>
  <c r="K268" i="4"/>
  <c r="L268" i="4"/>
  <c r="M268" i="4"/>
  <c r="AE268" i="5" s="1"/>
  <c r="N268" i="4"/>
  <c r="O268" i="4"/>
  <c r="P268" i="4"/>
  <c r="Q268" i="4"/>
  <c r="R268" i="4"/>
  <c r="S268" i="4"/>
  <c r="T268" i="4"/>
  <c r="E269" i="4"/>
  <c r="F269" i="4"/>
  <c r="G269" i="4"/>
  <c r="H269" i="4"/>
  <c r="I269" i="4"/>
  <c r="J269" i="4"/>
  <c r="K269" i="4"/>
  <c r="L269" i="4"/>
  <c r="M269" i="4"/>
  <c r="AE269" i="5" s="1"/>
  <c r="N269" i="4"/>
  <c r="O269" i="4"/>
  <c r="P269" i="4"/>
  <c r="Q269" i="4"/>
  <c r="R269" i="4"/>
  <c r="S269" i="4"/>
  <c r="T269" i="4"/>
  <c r="E270" i="4"/>
  <c r="F270" i="4"/>
  <c r="G270" i="4"/>
  <c r="H270" i="4"/>
  <c r="I270" i="4"/>
  <c r="J270" i="4"/>
  <c r="K270" i="4"/>
  <c r="L270" i="4"/>
  <c r="M270" i="4"/>
  <c r="AE270" i="5" s="1"/>
  <c r="N270" i="4"/>
  <c r="O270" i="4"/>
  <c r="P270" i="4"/>
  <c r="Q270" i="4"/>
  <c r="R270" i="4"/>
  <c r="S270" i="4"/>
  <c r="T270" i="4"/>
  <c r="E271" i="4"/>
  <c r="F271" i="4"/>
  <c r="G271" i="4"/>
  <c r="H271" i="4"/>
  <c r="I271" i="4"/>
  <c r="J271" i="4"/>
  <c r="K271" i="4"/>
  <c r="L271" i="4"/>
  <c r="M271" i="4"/>
  <c r="AE271" i="5" s="1"/>
  <c r="N271" i="4"/>
  <c r="O271" i="4"/>
  <c r="P271" i="4"/>
  <c r="Q271" i="4"/>
  <c r="R271" i="4"/>
  <c r="S271" i="4"/>
  <c r="T271" i="4"/>
  <c r="E272" i="4"/>
  <c r="F272" i="4"/>
  <c r="G272" i="4"/>
  <c r="H272" i="4"/>
  <c r="I272" i="4"/>
  <c r="J272" i="4"/>
  <c r="K272" i="4"/>
  <c r="L272" i="4"/>
  <c r="M272" i="4"/>
  <c r="AE272" i="5" s="1"/>
  <c r="N272" i="4"/>
  <c r="O272" i="4"/>
  <c r="P272" i="4"/>
  <c r="Q272" i="4"/>
  <c r="R272" i="4"/>
  <c r="S272" i="4"/>
  <c r="T272" i="4"/>
  <c r="E273" i="4"/>
  <c r="F273" i="4"/>
  <c r="G273" i="4"/>
  <c r="H273" i="4"/>
  <c r="I273" i="4"/>
  <c r="J273" i="4"/>
  <c r="K273" i="4"/>
  <c r="L273" i="4"/>
  <c r="M273" i="4"/>
  <c r="AE273" i="5" s="1"/>
  <c r="N273" i="4"/>
  <c r="O273" i="4"/>
  <c r="P273" i="4"/>
  <c r="Q273" i="4"/>
  <c r="R273" i="4"/>
  <c r="S273" i="4"/>
  <c r="T273" i="4"/>
  <c r="U273" i="4"/>
  <c r="V273" i="4"/>
  <c r="E274" i="4"/>
  <c r="F274" i="4"/>
  <c r="G274" i="4"/>
  <c r="H274" i="4"/>
  <c r="I274" i="4"/>
  <c r="J274" i="4"/>
  <c r="K274" i="4"/>
  <c r="L274" i="4"/>
  <c r="M274" i="4"/>
  <c r="AE274" i="5" s="1"/>
  <c r="N274" i="4"/>
  <c r="O274" i="4"/>
  <c r="P274" i="4"/>
  <c r="Q274" i="4"/>
  <c r="R274" i="4"/>
  <c r="S274" i="4"/>
  <c r="T274" i="4"/>
  <c r="U274" i="4"/>
  <c r="V274" i="4"/>
  <c r="E275" i="4"/>
  <c r="F275" i="4"/>
  <c r="G275" i="4"/>
  <c r="H275" i="4"/>
  <c r="I275" i="4"/>
  <c r="J275" i="4"/>
  <c r="K275" i="4"/>
  <c r="L275" i="4"/>
  <c r="M275" i="4"/>
  <c r="AE275" i="5" s="1"/>
  <c r="N275" i="4"/>
  <c r="O275" i="4"/>
  <c r="P275" i="4"/>
  <c r="Q275" i="4"/>
  <c r="R275" i="4"/>
  <c r="S275" i="4"/>
  <c r="T275" i="4"/>
  <c r="U275" i="4"/>
  <c r="V275" i="4"/>
  <c r="E276" i="4"/>
  <c r="F276" i="4"/>
  <c r="G276" i="4"/>
  <c r="H276" i="4"/>
  <c r="I276" i="4"/>
  <c r="J276" i="4"/>
  <c r="K276" i="4"/>
  <c r="L276" i="4"/>
  <c r="M276" i="4"/>
  <c r="AE276" i="5" s="1"/>
  <c r="N276" i="4"/>
  <c r="O276" i="4"/>
  <c r="P276" i="4"/>
  <c r="Q276" i="4"/>
  <c r="R276" i="4"/>
  <c r="S276" i="4"/>
  <c r="T276" i="4"/>
  <c r="U276" i="4"/>
  <c r="V276" i="4"/>
  <c r="E277" i="4"/>
  <c r="F277" i="4"/>
  <c r="G277" i="4"/>
  <c r="H277" i="4"/>
  <c r="I277" i="4"/>
  <c r="J277" i="4"/>
  <c r="K277" i="4"/>
  <c r="L277" i="4"/>
  <c r="M277" i="4"/>
  <c r="AE277" i="5" s="1"/>
  <c r="N277" i="4"/>
  <c r="O277" i="4"/>
  <c r="P277" i="4"/>
  <c r="Q277" i="4"/>
  <c r="R277" i="4"/>
  <c r="S277" i="4"/>
  <c r="T277" i="4"/>
  <c r="U277" i="4"/>
  <c r="V277" i="4"/>
  <c r="E278" i="4"/>
  <c r="F278" i="4"/>
  <c r="G278" i="4"/>
  <c r="H278" i="4"/>
  <c r="I278" i="4"/>
  <c r="J278" i="4"/>
  <c r="K278" i="4"/>
  <c r="L278" i="4"/>
  <c r="M278" i="4"/>
  <c r="AE278" i="5" s="1"/>
  <c r="N278" i="4"/>
  <c r="O278" i="4"/>
  <c r="P278" i="4"/>
  <c r="Q278" i="4"/>
  <c r="R278" i="4"/>
  <c r="S278" i="4"/>
  <c r="T278" i="4"/>
  <c r="E279" i="4"/>
  <c r="F279" i="4"/>
  <c r="G279" i="4"/>
  <c r="H279" i="4"/>
  <c r="I279" i="4"/>
  <c r="J279" i="4"/>
  <c r="K279" i="4"/>
  <c r="L279" i="4"/>
  <c r="M279" i="4"/>
  <c r="AE279" i="5" s="1"/>
  <c r="N279" i="4"/>
  <c r="O279" i="4"/>
  <c r="P279" i="4"/>
  <c r="Q279" i="4"/>
  <c r="R279" i="4"/>
  <c r="S279" i="4"/>
  <c r="T279" i="4"/>
  <c r="E280" i="4"/>
  <c r="F280" i="4"/>
  <c r="G280" i="4"/>
  <c r="H280" i="4"/>
  <c r="I280" i="4"/>
  <c r="J280" i="4"/>
  <c r="K280" i="4"/>
  <c r="L280" i="4"/>
  <c r="M280" i="4"/>
  <c r="AE280" i="5" s="1"/>
  <c r="N280" i="4"/>
  <c r="O280" i="4"/>
  <c r="P280" i="4"/>
  <c r="Q280" i="4"/>
  <c r="R280" i="4"/>
  <c r="S280" i="4"/>
  <c r="T280" i="4"/>
  <c r="E281" i="4"/>
  <c r="F281" i="4"/>
  <c r="G281" i="4"/>
  <c r="H281" i="4"/>
  <c r="I281" i="4"/>
  <c r="J281" i="4"/>
  <c r="K281" i="4"/>
  <c r="L281" i="4"/>
  <c r="M281" i="4"/>
  <c r="AE281" i="5" s="1"/>
  <c r="N281" i="4"/>
  <c r="O281" i="4"/>
  <c r="P281" i="4"/>
  <c r="Q281" i="4"/>
  <c r="R281" i="4"/>
  <c r="S281" i="4"/>
  <c r="T281" i="4"/>
  <c r="E282" i="4"/>
  <c r="F282" i="4"/>
  <c r="G282" i="4"/>
  <c r="H282" i="4"/>
  <c r="I282" i="4"/>
  <c r="J282" i="4"/>
  <c r="K282" i="4"/>
  <c r="L282" i="4"/>
  <c r="M282" i="4"/>
  <c r="AE282" i="5" s="1"/>
  <c r="N282" i="4"/>
  <c r="O282" i="4"/>
  <c r="P282" i="4"/>
  <c r="Q282" i="4"/>
  <c r="R282" i="4"/>
  <c r="S282" i="4"/>
  <c r="T282" i="4"/>
  <c r="E283" i="4"/>
  <c r="F283" i="4"/>
  <c r="G283" i="4"/>
  <c r="H283" i="4"/>
  <c r="I283" i="4"/>
  <c r="J283" i="4"/>
  <c r="K283" i="4"/>
  <c r="L283" i="4"/>
  <c r="M283" i="4"/>
  <c r="AE283" i="5" s="1"/>
  <c r="N283" i="4"/>
  <c r="O283" i="4"/>
  <c r="P283" i="4"/>
  <c r="Q283" i="4"/>
  <c r="R283" i="4"/>
  <c r="S283" i="4"/>
  <c r="T283" i="4"/>
  <c r="E284" i="4"/>
  <c r="F284" i="4"/>
  <c r="G284" i="4"/>
  <c r="H284" i="4"/>
  <c r="I284" i="4"/>
  <c r="J284" i="4"/>
  <c r="K284" i="4"/>
  <c r="L284" i="4"/>
  <c r="M284" i="4"/>
  <c r="AE284" i="5" s="1"/>
  <c r="N284" i="4"/>
  <c r="O284" i="4"/>
  <c r="P284" i="4"/>
  <c r="Q284" i="4"/>
  <c r="R284" i="4"/>
  <c r="S284" i="4"/>
  <c r="T284" i="4"/>
  <c r="E285" i="4"/>
  <c r="F285" i="4"/>
  <c r="G285" i="4"/>
  <c r="H285" i="4"/>
  <c r="I285" i="4"/>
  <c r="J285" i="4"/>
  <c r="K285" i="4"/>
  <c r="L285" i="4"/>
  <c r="M285" i="4"/>
  <c r="AE285" i="5" s="1"/>
  <c r="N285" i="4"/>
  <c r="O285" i="4"/>
  <c r="P285" i="4"/>
  <c r="Q285" i="4"/>
  <c r="R285" i="4"/>
  <c r="S285" i="4"/>
  <c r="T285" i="4"/>
  <c r="E286" i="4"/>
  <c r="F286" i="4"/>
  <c r="G286" i="4"/>
  <c r="H286" i="4"/>
  <c r="I286" i="4"/>
  <c r="J286" i="4"/>
  <c r="K286" i="4"/>
  <c r="L286" i="4"/>
  <c r="M286" i="4"/>
  <c r="AE286" i="5" s="1"/>
  <c r="N286" i="4"/>
  <c r="O286" i="4"/>
  <c r="P286" i="4"/>
  <c r="Q286" i="4"/>
  <c r="R286" i="4"/>
  <c r="S286" i="4"/>
  <c r="T286" i="4"/>
  <c r="U286" i="4"/>
  <c r="V286" i="4"/>
  <c r="E287" i="4"/>
  <c r="F287" i="4"/>
  <c r="G287" i="4"/>
  <c r="H287" i="4"/>
  <c r="I287" i="4"/>
  <c r="J287" i="4"/>
  <c r="K287" i="4"/>
  <c r="L287" i="4"/>
  <c r="M287" i="4"/>
  <c r="AE287" i="5" s="1"/>
  <c r="N287" i="4"/>
  <c r="O287" i="4"/>
  <c r="P287" i="4"/>
  <c r="Q287" i="4"/>
  <c r="R287" i="4"/>
  <c r="S287" i="4"/>
  <c r="T287" i="4"/>
  <c r="E288" i="4"/>
  <c r="F288" i="4"/>
  <c r="G288" i="4"/>
  <c r="H288" i="4"/>
  <c r="I288" i="4"/>
  <c r="J288" i="4"/>
  <c r="K288" i="4"/>
  <c r="L288" i="4"/>
  <c r="M288" i="4"/>
  <c r="AE288" i="5" s="1"/>
  <c r="N288" i="4"/>
  <c r="O288" i="4"/>
  <c r="P288" i="4"/>
  <c r="Q288" i="4"/>
  <c r="R288" i="4"/>
  <c r="S288" i="4"/>
  <c r="T288" i="4"/>
  <c r="E289" i="4"/>
  <c r="F289" i="4"/>
  <c r="G289" i="4"/>
  <c r="H289" i="4"/>
  <c r="I289" i="4"/>
  <c r="J289" i="4"/>
  <c r="K289" i="4"/>
  <c r="L289" i="4"/>
  <c r="M289" i="4"/>
  <c r="AE289" i="5" s="1"/>
  <c r="N289" i="4"/>
  <c r="O289" i="4"/>
  <c r="P289" i="4"/>
  <c r="Q289" i="4"/>
  <c r="R289" i="4"/>
  <c r="S289" i="4"/>
  <c r="T289" i="4"/>
  <c r="U289" i="4"/>
  <c r="V289" i="4"/>
  <c r="E290" i="4"/>
  <c r="F290" i="4"/>
  <c r="G290" i="4"/>
  <c r="H290" i="4"/>
  <c r="I290" i="4"/>
  <c r="J290" i="4"/>
  <c r="K290" i="4"/>
  <c r="L290" i="4"/>
  <c r="M290" i="4"/>
  <c r="AE290" i="5" s="1"/>
  <c r="N290" i="4"/>
  <c r="O290" i="4"/>
  <c r="P290" i="4"/>
  <c r="Q290" i="4"/>
  <c r="R290" i="4"/>
  <c r="S290" i="4"/>
  <c r="T290" i="4"/>
  <c r="U290" i="4"/>
  <c r="V290" i="4"/>
  <c r="E291" i="4"/>
  <c r="F291" i="4"/>
  <c r="G291" i="4"/>
  <c r="H291" i="4"/>
  <c r="I291" i="4"/>
  <c r="J291" i="4"/>
  <c r="K291" i="4"/>
  <c r="L291" i="4"/>
  <c r="M291" i="4"/>
  <c r="AE291" i="5" s="1"/>
  <c r="N291" i="4"/>
  <c r="O291" i="4"/>
  <c r="P291" i="4"/>
  <c r="Q291" i="4"/>
  <c r="R291" i="4"/>
  <c r="S291" i="4"/>
  <c r="T291" i="4"/>
  <c r="U291" i="4"/>
  <c r="V291" i="4"/>
  <c r="E292" i="4"/>
  <c r="F292" i="4"/>
  <c r="G292" i="4"/>
  <c r="H292" i="4"/>
  <c r="I292" i="4"/>
  <c r="J292" i="4"/>
  <c r="K292" i="4"/>
  <c r="L292" i="4"/>
  <c r="M292" i="4"/>
  <c r="AE292" i="5" s="1"/>
  <c r="N292" i="4"/>
  <c r="O292" i="4"/>
  <c r="P292" i="4"/>
  <c r="Q292" i="4"/>
  <c r="R292" i="4"/>
  <c r="S292" i="4"/>
  <c r="T292" i="4"/>
  <c r="U292" i="4"/>
  <c r="V292" i="4"/>
  <c r="E293" i="4"/>
  <c r="F293" i="4"/>
  <c r="G293" i="4"/>
  <c r="H293" i="4"/>
  <c r="I293" i="4"/>
  <c r="J293" i="4"/>
  <c r="K293" i="4"/>
  <c r="L293" i="4"/>
  <c r="M293" i="4"/>
  <c r="AE293" i="5" s="1"/>
  <c r="N293" i="4"/>
  <c r="O293" i="4"/>
  <c r="P293" i="4"/>
  <c r="Q293" i="4"/>
  <c r="R293" i="4"/>
  <c r="S293" i="4"/>
  <c r="T293" i="4"/>
  <c r="U293" i="4"/>
  <c r="V293" i="4"/>
  <c r="E294" i="4"/>
  <c r="F294" i="4"/>
  <c r="G294" i="4"/>
  <c r="H294" i="4"/>
  <c r="I294" i="4"/>
  <c r="J294" i="4"/>
  <c r="K294" i="4"/>
  <c r="L294" i="4"/>
  <c r="M294" i="4"/>
  <c r="AE294" i="5" s="1"/>
  <c r="N294" i="4"/>
  <c r="O294" i="4"/>
  <c r="P294" i="4"/>
  <c r="Q294" i="4"/>
  <c r="R294" i="4"/>
  <c r="S294" i="4"/>
  <c r="T294" i="4"/>
  <c r="E295" i="4"/>
  <c r="F295" i="4"/>
  <c r="G295" i="4"/>
  <c r="H295" i="4"/>
  <c r="I295" i="4"/>
  <c r="J295" i="4"/>
  <c r="K295" i="4"/>
  <c r="L295" i="4"/>
  <c r="M295" i="4"/>
  <c r="AE295" i="5" s="1"/>
  <c r="N295" i="4"/>
  <c r="O295" i="4"/>
  <c r="P295" i="4"/>
  <c r="Q295" i="4"/>
  <c r="R295" i="4"/>
  <c r="S295" i="4"/>
  <c r="T295" i="4"/>
  <c r="E296" i="4"/>
  <c r="F296" i="4"/>
  <c r="G296" i="4"/>
  <c r="H296" i="4"/>
  <c r="I296" i="4"/>
  <c r="J296" i="4"/>
  <c r="K296" i="4"/>
  <c r="L296" i="4"/>
  <c r="M296" i="4"/>
  <c r="AE296" i="5" s="1"/>
  <c r="N296" i="4"/>
  <c r="O296" i="4"/>
  <c r="P296" i="4"/>
  <c r="Q296" i="4"/>
  <c r="R296" i="4"/>
  <c r="S296" i="4"/>
  <c r="T296" i="4"/>
  <c r="E297" i="4"/>
  <c r="F297" i="4"/>
  <c r="G297" i="4"/>
  <c r="H297" i="4"/>
  <c r="I297" i="4"/>
  <c r="J297" i="4"/>
  <c r="K297" i="4"/>
  <c r="L297" i="4"/>
  <c r="M297" i="4"/>
  <c r="AE297" i="5" s="1"/>
  <c r="N297" i="4"/>
  <c r="O297" i="4"/>
  <c r="P297" i="4"/>
  <c r="Q297" i="4"/>
  <c r="R297" i="4"/>
  <c r="S297" i="4"/>
  <c r="T297" i="4"/>
  <c r="E298" i="4"/>
  <c r="F298" i="4"/>
  <c r="G298" i="4"/>
  <c r="H298" i="4"/>
  <c r="I298" i="4"/>
  <c r="J298" i="4"/>
  <c r="K298" i="4"/>
  <c r="L298" i="4"/>
  <c r="M298" i="4"/>
  <c r="AE298" i="5" s="1"/>
  <c r="N298" i="4"/>
  <c r="O298" i="4"/>
  <c r="P298" i="4"/>
  <c r="Q298" i="4"/>
  <c r="R298" i="4"/>
  <c r="S298" i="4"/>
  <c r="T298" i="4"/>
  <c r="E299" i="4"/>
  <c r="F299" i="4"/>
  <c r="G299" i="4"/>
  <c r="H299" i="4"/>
  <c r="I299" i="4"/>
  <c r="J299" i="4"/>
  <c r="K299" i="4"/>
  <c r="L299" i="4"/>
  <c r="M299" i="4"/>
  <c r="AE299" i="5" s="1"/>
  <c r="N299" i="4"/>
  <c r="O299" i="4"/>
  <c r="P299" i="4"/>
  <c r="Q299" i="4"/>
  <c r="R299" i="4"/>
  <c r="S299" i="4"/>
  <c r="T299" i="4"/>
  <c r="E300" i="4"/>
  <c r="F300" i="4"/>
  <c r="G300" i="4"/>
  <c r="H300" i="4"/>
  <c r="I300" i="4"/>
  <c r="J300" i="4"/>
  <c r="K300" i="4"/>
  <c r="L300" i="4"/>
  <c r="M300" i="4"/>
  <c r="AE300" i="5" s="1"/>
  <c r="N300" i="4"/>
  <c r="O300" i="4"/>
  <c r="P300" i="4"/>
  <c r="Q300" i="4"/>
  <c r="R300" i="4"/>
  <c r="S300" i="4"/>
  <c r="T300" i="4"/>
  <c r="U300" i="4"/>
  <c r="V300" i="4"/>
  <c r="E301" i="4"/>
  <c r="F301" i="4"/>
  <c r="G301" i="4"/>
  <c r="H301" i="4"/>
  <c r="I301" i="4"/>
  <c r="J301" i="4"/>
  <c r="K301" i="4"/>
  <c r="L301" i="4"/>
  <c r="M301" i="4"/>
  <c r="AE301" i="5" s="1"/>
  <c r="N301" i="4"/>
  <c r="O301" i="4"/>
  <c r="P301" i="4"/>
  <c r="Q301" i="4"/>
  <c r="R301" i="4"/>
  <c r="S301" i="4"/>
  <c r="T301" i="4"/>
  <c r="U301" i="4"/>
  <c r="V301" i="4"/>
  <c r="E302" i="4"/>
  <c r="F302" i="4"/>
  <c r="G302" i="4"/>
  <c r="H302" i="4"/>
  <c r="I302" i="4"/>
  <c r="J302" i="4"/>
  <c r="K302" i="4"/>
  <c r="L302" i="4"/>
  <c r="M302" i="4"/>
  <c r="AE302" i="5" s="1"/>
  <c r="N302" i="4"/>
  <c r="O302" i="4"/>
  <c r="P302" i="4"/>
  <c r="Q302" i="4"/>
  <c r="R302" i="4"/>
  <c r="S302" i="4"/>
  <c r="T302" i="4"/>
  <c r="E303" i="4"/>
  <c r="F303" i="4"/>
  <c r="G303" i="4"/>
  <c r="H303" i="4"/>
  <c r="I303" i="4"/>
  <c r="J303" i="4"/>
  <c r="K303" i="4"/>
  <c r="L303" i="4"/>
  <c r="M303" i="4"/>
  <c r="AE303" i="5" s="1"/>
  <c r="N303" i="4"/>
  <c r="O303" i="4"/>
  <c r="P303" i="4"/>
  <c r="Q303" i="4"/>
  <c r="R303" i="4"/>
  <c r="S303" i="4"/>
  <c r="T303" i="4"/>
  <c r="E304" i="4"/>
  <c r="F304" i="4"/>
  <c r="G304" i="4"/>
  <c r="H304" i="4"/>
  <c r="I304" i="4"/>
  <c r="J304" i="4"/>
  <c r="K304" i="4"/>
  <c r="L304" i="4"/>
  <c r="M304" i="4"/>
  <c r="AE304" i="5" s="1"/>
  <c r="N304" i="4"/>
  <c r="O304" i="4"/>
  <c r="P304" i="4"/>
  <c r="Q304" i="4"/>
  <c r="R304" i="4"/>
  <c r="S304" i="4"/>
  <c r="T304" i="4"/>
  <c r="E305" i="4"/>
  <c r="F305" i="4"/>
  <c r="G305" i="4"/>
  <c r="H305" i="4"/>
  <c r="I305" i="4"/>
  <c r="J305" i="4"/>
  <c r="K305" i="4"/>
  <c r="L305" i="4"/>
  <c r="M305" i="4"/>
  <c r="AE305" i="5" s="1"/>
  <c r="N305" i="4"/>
  <c r="O305" i="4"/>
  <c r="P305" i="4"/>
  <c r="Q305" i="4"/>
  <c r="R305" i="4"/>
  <c r="S305" i="4"/>
  <c r="T305" i="4"/>
  <c r="U305" i="4"/>
  <c r="V305" i="4"/>
  <c r="E306" i="4"/>
  <c r="F306" i="4"/>
  <c r="G306" i="4"/>
  <c r="H306" i="4"/>
  <c r="I306" i="4"/>
  <c r="J306" i="4"/>
  <c r="K306" i="4"/>
  <c r="L306" i="4"/>
  <c r="M306" i="4"/>
  <c r="AE306" i="5" s="1"/>
  <c r="N306" i="4"/>
  <c r="O306" i="4"/>
  <c r="P306" i="4"/>
  <c r="Q306" i="4"/>
  <c r="R306" i="4"/>
  <c r="S306" i="4"/>
  <c r="T306" i="4"/>
  <c r="E307" i="4"/>
  <c r="F307" i="4"/>
  <c r="G307" i="4"/>
  <c r="H307" i="4"/>
  <c r="I307" i="4"/>
  <c r="J307" i="4"/>
  <c r="K307" i="4"/>
  <c r="L307" i="4"/>
  <c r="M307" i="4"/>
  <c r="AE307" i="5" s="1"/>
  <c r="N307" i="4"/>
  <c r="O307" i="4"/>
  <c r="P307" i="4"/>
  <c r="Q307" i="4"/>
  <c r="R307" i="4"/>
  <c r="S307" i="4"/>
  <c r="T307" i="4"/>
  <c r="E308" i="4"/>
  <c r="F308" i="4"/>
  <c r="G308" i="4"/>
  <c r="H308" i="4"/>
  <c r="I308" i="4"/>
  <c r="J308" i="4"/>
  <c r="K308" i="4"/>
  <c r="L308" i="4"/>
  <c r="M308" i="4"/>
  <c r="AE308" i="5" s="1"/>
  <c r="N308" i="4"/>
  <c r="O308" i="4"/>
  <c r="P308" i="4"/>
  <c r="Q308" i="4"/>
  <c r="R308" i="4"/>
  <c r="S308" i="4"/>
  <c r="T308" i="4"/>
  <c r="E309" i="4"/>
  <c r="F309" i="4"/>
  <c r="G309" i="4"/>
  <c r="H309" i="4"/>
  <c r="I309" i="4"/>
  <c r="J309" i="4"/>
  <c r="K309" i="4"/>
  <c r="L309" i="4"/>
  <c r="M309" i="4"/>
  <c r="AE309" i="5" s="1"/>
  <c r="N309" i="4"/>
  <c r="O309" i="4"/>
  <c r="P309" i="4"/>
  <c r="Q309" i="4"/>
  <c r="R309" i="4"/>
  <c r="S309" i="4"/>
  <c r="T309" i="4"/>
  <c r="E310" i="4"/>
  <c r="F310" i="4"/>
  <c r="G310" i="4"/>
  <c r="H310" i="4"/>
  <c r="I310" i="4"/>
  <c r="J310" i="4"/>
  <c r="K310" i="4"/>
  <c r="L310" i="4"/>
  <c r="M310" i="4"/>
  <c r="AE310" i="5" s="1"/>
  <c r="N310" i="4"/>
  <c r="O310" i="4"/>
  <c r="P310" i="4"/>
  <c r="Q310" i="4"/>
  <c r="R310" i="4"/>
  <c r="S310" i="4"/>
  <c r="T310" i="4"/>
  <c r="E311" i="4"/>
  <c r="F311" i="4"/>
  <c r="G311" i="4"/>
  <c r="H311" i="4"/>
  <c r="I311" i="4"/>
  <c r="J311" i="4"/>
  <c r="K311" i="4"/>
  <c r="L311" i="4"/>
  <c r="M311" i="4"/>
  <c r="AE311" i="5" s="1"/>
  <c r="N311" i="4"/>
  <c r="O311" i="4"/>
  <c r="P311" i="4"/>
  <c r="Q311" i="4"/>
  <c r="R311" i="4"/>
  <c r="S311" i="4"/>
  <c r="T311" i="4"/>
  <c r="E312" i="4"/>
  <c r="F312" i="4"/>
  <c r="G312" i="4"/>
  <c r="H312" i="4"/>
  <c r="I312" i="4"/>
  <c r="J312" i="4"/>
  <c r="K312" i="4"/>
  <c r="L312" i="4"/>
  <c r="M312" i="4"/>
  <c r="AE312" i="5" s="1"/>
  <c r="N312" i="4"/>
  <c r="O312" i="4"/>
  <c r="P312" i="4"/>
  <c r="Q312" i="4"/>
  <c r="R312" i="4"/>
  <c r="S312" i="4"/>
  <c r="T312" i="4"/>
  <c r="E313" i="4"/>
  <c r="F313" i="4"/>
  <c r="G313" i="4"/>
  <c r="H313" i="4"/>
  <c r="I313" i="4"/>
  <c r="J313" i="4"/>
  <c r="K313" i="4"/>
  <c r="L313" i="4"/>
  <c r="M313" i="4"/>
  <c r="AE313" i="5" s="1"/>
  <c r="N313" i="4"/>
  <c r="O313" i="4"/>
  <c r="P313" i="4"/>
  <c r="Q313" i="4"/>
  <c r="R313" i="4"/>
  <c r="S313" i="4"/>
  <c r="T313" i="4"/>
  <c r="E314" i="4"/>
  <c r="F314" i="4"/>
  <c r="G314" i="4"/>
  <c r="H314" i="4"/>
  <c r="I314" i="4"/>
  <c r="J314" i="4"/>
  <c r="K314" i="4"/>
  <c r="L314" i="4"/>
  <c r="M314" i="4"/>
  <c r="AE314" i="5" s="1"/>
  <c r="N314" i="4"/>
  <c r="O314" i="4"/>
  <c r="P314" i="4"/>
  <c r="Q314" i="4"/>
  <c r="R314" i="4"/>
  <c r="S314" i="4"/>
  <c r="T314" i="4"/>
  <c r="E315" i="4"/>
  <c r="F315" i="4"/>
  <c r="G315" i="4"/>
  <c r="H315" i="4"/>
  <c r="I315" i="4"/>
  <c r="J315" i="4"/>
  <c r="K315" i="4"/>
  <c r="L315" i="4"/>
  <c r="M315" i="4"/>
  <c r="AE315" i="5" s="1"/>
  <c r="N315" i="4"/>
  <c r="O315" i="4"/>
  <c r="P315" i="4"/>
  <c r="Q315" i="4"/>
  <c r="R315" i="4"/>
  <c r="S315" i="4"/>
  <c r="T315" i="4"/>
  <c r="E316" i="4"/>
  <c r="F316" i="4"/>
  <c r="G316" i="4"/>
  <c r="H316" i="4"/>
  <c r="I316" i="4"/>
  <c r="J316" i="4"/>
  <c r="K316" i="4"/>
  <c r="L316" i="4"/>
  <c r="M316" i="4"/>
  <c r="AE316" i="5" s="1"/>
  <c r="N316" i="4"/>
  <c r="O316" i="4"/>
  <c r="P316" i="4"/>
  <c r="Q316" i="4"/>
  <c r="R316" i="4"/>
  <c r="S316" i="4"/>
  <c r="T316" i="4"/>
  <c r="E317" i="4"/>
  <c r="F317" i="4"/>
  <c r="G317" i="4"/>
  <c r="H317" i="4"/>
  <c r="I317" i="4"/>
  <c r="J317" i="4"/>
  <c r="K317" i="4"/>
  <c r="L317" i="4"/>
  <c r="M317" i="4"/>
  <c r="AE317" i="5" s="1"/>
  <c r="N317" i="4"/>
  <c r="O317" i="4"/>
  <c r="P317" i="4"/>
  <c r="Q317" i="4"/>
  <c r="R317" i="4"/>
  <c r="S317" i="4"/>
  <c r="T317" i="4"/>
  <c r="E318" i="4"/>
  <c r="F318" i="4"/>
  <c r="G318" i="4"/>
  <c r="H318" i="4"/>
  <c r="I318" i="4"/>
  <c r="J318" i="4"/>
  <c r="K318" i="4"/>
  <c r="L318" i="4"/>
  <c r="M318" i="4"/>
  <c r="AE318" i="5" s="1"/>
  <c r="N318" i="4"/>
  <c r="O318" i="4"/>
  <c r="P318" i="4"/>
  <c r="Q318" i="4"/>
  <c r="R318" i="4"/>
  <c r="S318" i="4"/>
  <c r="T318" i="4"/>
  <c r="E319" i="4"/>
  <c r="F319" i="4"/>
  <c r="G319" i="4"/>
  <c r="H319" i="4"/>
  <c r="I319" i="4"/>
  <c r="J319" i="4"/>
  <c r="K319" i="4"/>
  <c r="L319" i="4"/>
  <c r="M319" i="4"/>
  <c r="AE319" i="5" s="1"/>
  <c r="N319" i="4"/>
  <c r="O319" i="4"/>
  <c r="P319" i="4"/>
  <c r="Q319" i="4"/>
  <c r="R319" i="4"/>
  <c r="S319" i="4"/>
  <c r="T319" i="4"/>
  <c r="U319" i="4"/>
  <c r="V319" i="4"/>
  <c r="E320" i="4"/>
  <c r="F320" i="4"/>
  <c r="G320" i="4"/>
  <c r="H320" i="4"/>
  <c r="I320" i="4"/>
  <c r="J320" i="4"/>
  <c r="K320" i="4"/>
  <c r="L320" i="4"/>
  <c r="M320" i="4"/>
  <c r="AE320" i="5" s="1"/>
  <c r="N320" i="4"/>
  <c r="O320" i="4"/>
  <c r="P320" i="4"/>
  <c r="Q320" i="4"/>
  <c r="R320" i="4"/>
  <c r="S320" i="4"/>
  <c r="T320" i="4"/>
  <c r="U320" i="4"/>
  <c r="V320" i="4"/>
  <c r="E321" i="4"/>
  <c r="F321" i="4"/>
  <c r="G321" i="4"/>
  <c r="H321" i="4"/>
  <c r="I321" i="4"/>
  <c r="J321" i="4"/>
  <c r="K321" i="4"/>
  <c r="L321" i="4"/>
  <c r="M321" i="4"/>
  <c r="AE321" i="5" s="1"/>
  <c r="N321" i="4"/>
  <c r="O321" i="4"/>
  <c r="P321" i="4"/>
  <c r="Q321" i="4"/>
  <c r="R321" i="4"/>
  <c r="S321" i="4"/>
  <c r="T321" i="4"/>
  <c r="U321" i="4"/>
  <c r="V321" i="4"/>
  <c r="E322" i="4"/>
  <c r="F322" i="4"/>
  <c r="G322" i="4"/>
  <c r="H322" i="4"/>
  <c r="I322" i="4"/>
  <c r="J322" i="4"/>
  <c r="K322" i="4"/>
  <c r="L322" i="4"/>
  <c r="M322" i="4"/>
  <c r="AE322" i="5" s="1"/>
  <c r="N322" i="4"/>
  <c r="O322" i="4"/>
  <c r="P322" i="4"/>
  <c r="Q322" i="4"/>
  <c r="R322" i="4"/>
  <c r="S322" i="4"/>
  <c r="T322" i="4"/>
  <c r="E323" i="4"/>
  <c r="F323" i="4"/>
  <c r="G323" i="4"/>
  <c r="H323" i="4"/>
  <c r="I323" i="4"/>
  <c r="J323" i="4"/>
  <c r="K323" i="4"/>
  <c r="L323" i="4"/>
  <c r="M323" i="4"/>
  <c r="AE323" i="5" s="1"/>
  <c r="N323" i="4"/>
  <c r="O323" i="4"/>
  <c r="P323" i="4"/>
  <c r="Q323" i="4"/>
  <c r="R323" i="4"/>
  <c r="S323" i="4"/>
  <c r="T323" i="4"/>
  <c r="E324" i="4"/>
  <c r="F324" i="4"/>
  <c r="G324" i="4"/>
  <c r="H324" i="4"/>
  <c r="I324" i="4"/>
  <c r="J324" i="4"/>
  <c r="K324" i="4"/>
  <c r="L324" i="4"/>
  <c r="M324" i="4"/>
  <c r="AE324" i="5" s="1"/>
  <c r="N324" i="4"/>
  <c r="O324" i="4"/>
  <c r="P324" i="4"/>
  <c r="Q324" i="4"/>
  <c r="R324" i="4"/>
  <c r="S324" i="4"/>
  <c r="T324" i="4"/>
  <c r="E325" i="4"/>
  <c r="F325" i="4"/>
  <c r="G325" i="4"/>
  <c r="H325" i="4"/>
  <c r="I325" i="4"/>
  <c r="J325" i="4"/>
  <c r="K325" i="4"/>
  <c r="L325" i="4"/>
  <c r="M325" i="4"/>
  <c r="AE325" i="5" s="1"/>
  <c r="N325" i="4"/>
  <c r="O325" i="4"/>
  <c r="P325" i="4"/>
  <c r="Q325" i="4"/>
  <c r="R325" i="4"/>
  <c r="S325" i="4"/>
  <c r="T325" i="4"/>
  <c r="E326" i="4"/>
  <c r="F326" i="4"/>
  <c r="G326" i="4"/>
  <c r="H326" i="4"/>
  <c r="I326" i="4"/>
  <c r="J326" i="4"/>
  <c r="K326" i="4"/>
  <c r="L326" i="4"/>
  <c r="M326" i="4"/>
  <c r="AE326" i="5" s="1"/>
  <c r="N326" i="4"/>
  <c r="O326" i="4"/>
  <c r="P326" i="4"/>
  <c r="Q326" i="4"/>
  <c r="R326" i="4"/>
  <c r="S326" i="4"/>
  <c r="T326" i="4"/>
  <c r="E327" i="4"/>
  <c r="F327" i="4"/>
  <c r="G327" i="4"/>
  <c r="H327" i="4"/>
  <c r="I327" i="4"/>
  <c r="J327" i="4"/>
  <c r="K327" i="4"/>
  <c r="L327" i="4"/>
  <c r="M327" i="4"/>
  <c r="AE327" i="5" s="1"/>
  <c r="N327" i="4"/>
  <c r="O327" i="4"/>
  <c r="P327" i="4"/>
  <c r="Q327" i="4"/>
  <c r="R327" i="4"/>
  <c r="S327" i="4"/>
  <c r="T327" i="4"/>
  <c r="E328" i="4"/>
  <c r="F328" i="4"/>
  <c r="G328" i="4"/>
  <c r="H328" i="4"/>
  <c r="I328" i="4"/>
  <c r="J328" i="4"/>
  <c r="K328" i="4"/>
  <c r="L328" i="4"/>
  <c r="M328" i="4"/>
  <c r="AE328" i="5" s="1"/>
  <c r="N328" i="4"/>
  <c r="O328" i="4"/>
  <c r="P328" i="4"/>
  <c r="Q328" i="4"/>
  <c r="R328" i="4"/>
  <c r="S328" i="4"/>
  <c r="T328" i="4"/>
  <c r="E329" i="4"/>
  <c r="F329" i="4"/>
  <c r="G329" i="4"/>
  <c r="H329" i="4"/>
  <c r="I329" i="4"/>
  <c r="J329" i="4"/>
  <c r="K329" i="4"/>
  <c r="L329" i="4"/>
  <c r="M329" i="4"/>
  <c r="AE329" i="5" s="1"/>
  <c r="N329" i="4"/>
  <c r="O329" i="4"/>
  <c r="P329" i="4"/>
  <c r="Q329" i="4"/>
  <c r="R329" i="4"/>
  <c r="S329" i="4"/>
  <c r="T329" i="4"/>
  <c r="E330" i="4"/>
  <c r="F330" i="4"/>
  <c r="G330" i="4"/>
  <c r="H330" i="4"/>
  <c r="I330" i="4"/>
  <c r="J330" i="4"/>
  <c r="K330" i="4"/>
  <c r="L330" i="4"/>
  <c r="M330" i="4"/>
  <c r="AE330" i="5" s="1"/>
  <c r="N330" i="4"/>
  <c r="O330" i="4"/>
  <c r="P330" i="4"/>
  <c r="Q330" i="4"/>
  <c r="R330" i="4"/>
  <c r="S330" i="4"/>
  <c r="T330" i="4"/>
  <c r="E331" i="4"/>
  <c r="F331" i="4"/>
  <c r="G331" i="4"/>
  <c r="H331" i="4"/>
  <c r="I331" i="4"/>
  <c r="J331" i="4"/>
  <c r="K331" i="4"/>
  <c r="L331" i="4"/>
  <c r="M331" i="4"/>
  <c r="AE331" i="5" s="1"/>
  <c r="N331" i="4"/>
  <c r="O331" i="4"/>
  <c r="P331" i="4"/>
  <c r="Q331" i="4"/>
  <c r="R331" i="4"/>
  <c r="S331" i="4"/>
  <c r="T331" i="4"/>
  <c r="E332" i="4"/>
  <c r="F332" i="4"/>
  <c r="G332" i="4"/>
  <c r="H332" i="4"/>
  <c r="I332" i="4"/>
  <c r="J332" i="4"/>
  <c r="K332" i="4"/>
  <c r="L332" i="4"/>
  <c r="M332" i="4"/>
  <c r="AE332" i="5" s="1"/>
  <c r="N332" i="4"/>
  <c r="O332" i="4"/>
  <c r="P332" i="4"/>
  <c r="Q332" i="4"/>
  <c r="R332" i="4"/>
  <c r="S332" i="4"/>
  <c r="T332" i="4"/>
  <c r="E333" i="4"/>
  <c r="F333" i="4"/>
  <c r="G333" i="4"/>
  <c r="H333" i="4"/>
  <c r="I333" i="4"/>
  <c r="J333" i="4"/>
  <c r="K333" i="4"/>
  <c r="L333" i="4"/>
  <c r="M333" i="4"/>
  <c r="AE333" i="5" s="1"/>
  <c r="N333" i="4"/>
  <c r="O333" i="4"/>
  <c r="P333" i="4"/>
  <c r="Q333" i="4"/>
  <c r="R333" i="4"/>
  <c r="S333" i="4"/>
  <c r="T333" i="4"/>
  <c r="E334" i="4"/>
  <c r="F334" i="4"/>
  <c r="G334" i="4"/>
  <c r="H334" i="4"/>
  <c r="I334" i="4"/>
  <c r="J334" i="4"/>
  <c r="K334" i="4"/>
  <c r="L334" i="4"/>
  <c r="M334" i="4"/>
  <c r="AE334" i="5" s="1"/>
  <c r="N334" i="4"/>
  <c r="O334" i="4"/>
  <c r="P334" i="4"/>
  <c r="Q334" i="4"/>
  <c r="R334" i="4"/>
  <c r="S334" i="4"/>
  <c r="T334" i="4"/>
  <c r="E335" i="4"/>
  <c r="F335" i="4"/>
  <c r="G335" i="4"/>
  <c r="H335" i="4"/>
  <c r="I335" i="4"/>
  <c r="J335" i="4"/>
  <c r="K335" i="4"/>
  <c r="L335" i="4"/>
  <c r="M335" i="4"/>
  <c r="AE335" i="5" s="1"/>
  <c r="N335" i="4"/>
  <c r="O335" i="4"/>
  <c r="P335" i="4"/>
  <c r="Q335" i="4"/>
  <c r="R335" i="4"/>
  <c r="S335" i="4"/>
  <c r="T335" i="4"/>
  <c r="E336" i="4"/>
  <c r="F336" i="4"/>
  <c r="G336" i="4"/>
  <c r="H336" i="4"/>
  <c r="I336" i="4"/>
  <c r="J336" i="4"/>
  <c r="K336" i="4"/>
  <c r="L336" i="4"/>
  <c r="M336" i="4"/>
  <c r="AE336" i="5" s="1"/>
  <c r="N336" i="4"/>
  <c r="O336" i="4"/>
  <c r="P336" i="4"/>
  <c r="Q336" i="4"/>
  <c r="R336" i="4"/>
  <c r="S336" i="4"/>
  <c r="T336" i="4"/>
  <c r="E337" i="4"/>
  <c r="F337" i="4"/>
  <c r="G337" i="4"/>
  <c r="H337" i="4"/>
  <c r="I337" i="4"/>
  <c r="J337" i="4"/>
  <c r="K337" i="4"/>
  <c r="L337" i="4"/>
  <c r="M337" i="4"/>
  <c r="AE337" i="5" s="1"/>
  <c r="N337" i="4"/>
  <c r="O337" i="4"/>
  <c r="P337" i="4"/>
  <c r="Q337" i="4"/>
  <c r="R337" i="4"/>
  <c r="S337" i="4"/>
  <c r="T337" i="4"/>
  <c r="E338" i="4"/>
  <c r="F338" i="4"/>
  <c r="G338" i="4"/>
  <c r="H338" i="4"/>
  <c r="I338" i="4"/>
  <c r="J338" i="4"/>
  <c r="K338" i="4"/>
  <c r="L338" i="4"/>
  <c r="M338" i="4"/>
  <c r="AE338" i="5" s="1"/>
  <c r="N338" i="4"/>
  <c r="O338" i="4"/>
  <c r="P338" i="4"/>
  <c r="Q338" i="4"/>
  <c r="R338" i="4"/>
  <c r="S338" i="4"/>
  <c r="T338" i="4"/>
  <c r="E339" i="4"/>
  <c r="F339" i="4"/>
  <c r="G339" i="4"/>
  <c r="H339" i="4"/>
  <c r="I339" i="4"/>
  <c r="J339" i="4"/>
  <c r="K339" i="4"/>
  <c r="L339" i="4"/>
  <c r="M339" i="4"/>
  <c r="AE339" i="5" s="1"/>
  <c r="N339" i="4"/>
  <c r="O339" i="4"/>
  <c r="P339" i="4"/>
  <c r="Q339" i="4"/>
  <c r="R339" i="4"/>
  <c r="S339" i="4"/>
  <c r="T339" i="4"/>
  <c r="E340" i="4"/>
  <c r="F340" i="4"/>
  <c r="G340" i="4"/>
  <c r="H340" i="4"/>
  <c r="I340" i="4"/>
  <c r="J340" i="4"/>
  <c r="K340" i="4"/>
  <c r="L340" i="4"/>
  <c r="M340" i="4"/>
  <c r="AE340" i="5" s="1"/>
  <c r="N340" i="4"/>
  <c r="O340" i="4"/>
  <c r="P340" i="4"/>
  <c r="Q340" i="4"/>
  <c r="R340" i="4"/>
  <c r="S340" i="4"/>
  <c r="T340" i="4"/>
  <c r="E341" i="4"/>
  <c r="F341" i="4"/>
  <c r="G341" i="4"/>
  <c r="H341" i="4"/>
  <c r="I341" i="4"/>
  <c r="J341" i="4"/>
  <c r="K341" i="4"/>
  <c r="L341" i="4"/>
  <c r="M341" i="4"/>
  <c r="AE341" i="5" s="1"/>
  <c r="N341" i="4"/>
  <c r="O341" i="4"/>
  <c r="P341" i="4"/>
  <c r="Q341" i="4"/>
  <c r="R341" i="4"/>
  <c r="S341" i="4"/>
  <c r="T341" i="4"/>
  <c r="E342" i="4"/>
  <c r="F342" i="4"/>
  <c r="G342" i="4"/>
  <c r="H342" i="4"/>
  <c r="I342" i="4"/>
  <c r="J342" i="4"/>
  <c r="K342" i="4"/>
  <c r="L342" i="4"/>
  <c r="M342" i="4"/>
  <c r="AE342" i="5" s="1"/>
  <c r="N342" i="4"/>
  <c r="O342" i="4"/>
  <c r="P342" i="4"/>
  <c r="Q342" i="4"/>
  <c r="R342" i="4"/>
  <c r="S342" i="4"/>
  <c r="T342" i="4"/>
  <c r="E343" i="4"/>
  <c r="F343" i="4"/>
  <c r="G343" i="4"/>
  <c r="H343" i="4"/>
  <c r="I343" i="4"/>
  <c r="J343" i="4"/>
  <c r="K343" i="4"/>
  <c r="L343" i="4"/>
  <c r="M343" i="4"/>
  <c r="AE343" i="5" s="1"/>
  <c r="N343" i="4"/>
  <c r="O343" i="4"/>
  <c r="P343" i="4"/>
  <c r="Q343" i="4"/>
  <c r="R343" i="4"/>
  <c r="S343" i="4"/>
  <c r="T343" i="4"/>
  <c r="E344" i="4"/>
  <c r="F344" i="4"/>
  <c r="G344" i="4"/>
  <c r="H344" i="4"/>
  <c r="I344" i="4"/>
  <c r="J344" i="4"/>
  <c r="K344" i="4"/>
  <c r="L344" i="4"/>
  <c r="M344" i="4"/>
  <c r="AE344" i="5" s="1"/>
  <c r="N344" i="4"/>
  <c r="O344" i="4"/>
  <c r="P344" i="4"/>
  <c r="Q344" i="4"/>
  <c r="R344" i="4"/>
  <c r="S344" i="4"/>
  <c r="T344" i="4"/>
  <c r="E345" i="4"/>
  <c r="F345" i="4"/>
  <c r="G345" i="4"/>
  <c r="H345" i="4"/>
  <c r="I345" i="4"/>
  <c r="J345" i="4"/>
  <c r="K345" i="4"/>
  <c r="L345" i="4"/>
  <c r="M345" i="4"/>
  <c r="AE345" i="5" s="1"/>
  <c r="N345" i="4"/>
  <c r="O345" i="4"/>
  <c r="P345" i="4"/>
  <c r="Q345" i="4"/>
  <c r="R345" i="4"/>
  <c r="S345" i="4"/>
  <c r="T345" i="4"/>
  <c r="E346" i="4"/>
  <c r="F346" i="4"/>
  <c r="G346" i="4"/>
  <c r="H346" i="4"/>
  <c r="I346" i="4"/>
  <c r="J346" i="4"/>
  <c r="K346" i="4"/>
  <c r="L346" i="4"/>
  <c r="M346" i="4"/>
  <c r="AE346" i="5" s="1"/>
  <c r="N346" i="4"/>
  <c r="O346" i="4"/>
  <c r="P346" i="4"/>
  <c r="Q346" i="4"/>
  <c r="R346" i="4"/>
  <c r="S346" i="4"/>
  <c r="T346" i="4"/>
  <c r="E347" i="4"/>
  <c r="F347" i="4"/>
  <c r="G347" i="4"/>
  <c r="H347" i="4"/>
  <c r="I347" i="4"/>
  <c r="J347" i="4"/>
  <c r="K347" i="4"/>
  <c r="L347" i="4"/>
  <c r="M347" i="4"/>
  <c r="AE347" i="5" s="1"/>
  <c r="N347" i="4"/>
  <c r="O347" i="4"/>
  <c r="P347" i="4"/>
  <c r="Q347" i="4"/>
  <c r="R347" i="4"/>
  <c r="S347" i="4"/>
  <c r="T347" i="4"/>
  <c r="E348" i="4"/>
  <c r="F348" i="4"/>
  <c r="G348" i="4"/>
  <c r="H348" i="4"/>
  <c r="I348" i="4"/>
  <c r="J348" i="4"/>
  <c r="K348" i="4"/>
  <c r="L348" i="4"/>
  <c r="M348" i="4"/>
  <c r="AE348" i="5" s="1"/>
  <c r="N348" i="4"/>
  <c r="O348" i="4"/>
  <c r="P348" i="4"/>
  <c r="Q348" i="4"/>
  <c r="R348" i="4"/>
  <c r="S348" i="4"/>
  <c r="T348" i="4"/>
  <c r="E349" i="4"/>
  <c r="F349" i="4"/>
  <c r="G349" i="4"/>
  <c r="H349" i="4"/>
  <c r="I349" i="4"/>
  <c r="J349" i="4"/>
  <c r="K349" i="4"/>
  <c r="L349" i="4"/>
  <c r="M349" i="4"/>
  <c r="AE349" i="5" s="1"/>
  <c r="N349" i="4"/>
  <c r="O349" i="4"/>
  <c r="P349" i="4"/>
  <c r="Q349" i="4"/>
  <c r="R349" i="4"/>
  <c r="S349" i="4"/>
  <c r="T349" i="4"/>
  <c r="E350" i="4"/>
  <c r="F350" i="4"/>
  <c r="G350" i="4"/>
  <c r="H350" i="4"/>
  <c r="I350" i="4"/>
  <c r="J350" i="4"/>
  <c r="K350" i="4"/>
  <c r="L350" i="4"/>
  <c r="M350" i="4"/>
  <c r="AE350" i="5" s="1"/>
  <c r="N350" i="4"/>
  <c r="O350" i="4"/>
  <c r="P350" i="4"/>
  <c r="Q350" i="4"/>
  <c r="R350" i="4"/>
  <c r="S350" i="4"/>
  <c r="T350" i="4"/>
  <c r="E351" i="4"/>
  <c r="F351" i="4"/>
  <c r="G351" i="4"/>
  <c r="H351" i="4"/>
  <c r="I351" i="4"/>
  <c r="J351" i="4"/>
  <c r="K351" i="4"/>
  <c r="L351" i="4"/>
  <c r="M351" i="4"/>
  <c r="AE351" i="5" s="1"/>
  <c r="N351" i="4"/>
  <c r="O351" i="4"/>
  <c r="P351" i="4"/>
  <c r="Q351" i="4"/>
  <c r="R351" i="4"/>
  <c r="S351" i="4"/>
  <c r="T351" i="4"/>
  <c r="E352" i="4"/>
  <c r="F352" i="4"/>
  <c r="G352" i="4"/>
  <c r="H352" i="4"/>
  <c r="I352" i="4"/>
  <c r="J352" i="4"/>
  <c r="K352" i="4"/>
  <c r="L352" i="4"/>
  <c r="M352" i="4"/>
  <c r="AE352" i="5" s="1"/>
  <c r="N352" i="4"/>
  <c r="O352" i="4"/>
  <c r="P352" i="4"/>
  <c r="Q352" i="4"/>
  <c r="R352" i="4"/>
  <c r="S352" i="4"/>
  <c r="T352" i="4"/>
  <c r="E353" i="4"/>
  <c r="F353" i="4"/>
  <c r="G353" i="4"/>
  <c r="H353" i="4"/>
  <c r="I353" i="4"/>
  <c r="J353" i="4"/>
  <c r="K353" i="4"/>
  <c r="L353" i="4"/>
  <c r="M353" i="4"/>
  <c r="AE353" i="5" s="1"/>
  <c r="N353" i="4"/>
  <c r="O353" i="4"/>
  <c r="P353" i="4"/>
  <c r="Q353" i="4"/>
  <c r="R353" i="4"/>
  <c r="S353" i="4"/>
  <c r="T353" i="4"/>
  <c r="U353" i="4"/>
  <c r="V353" i="4"/>
  <c r="E354" i="4"/>
  <c r="F354" i="4"/>
  <c r="G354" i="4"/>
  <c r="H354" i="4"/>
  <c r="I354" i="4"/>
  <c r="J354" i="4"/>
  <c r="K354" i="4"/>
  <c r="L354" i="4"/>
  <c r="M354" i="4"/>
  <c r="AE354" i="5" s="1"/>
  <c r="N354" i="4"/>
  <c r="O354" i="4"/>
  <c r="P354" i="4"/>
  <c r="Q354" i="4"/>
  <c r="R354" i="4"/>
  <c r="S354" i="4"/>
  <c r="T354" i="4"/>
  <c r="E355" i="4"/>
  <c r="F355" i="4"/>
  <c r="G355" i="4"/>
  <c r="H355" i="4"/>
  <c r="I355" i="4"/>
  <c r="J355" i="4"/>
  <c r="K355" i="4"/>
  <c r="L355" i="4"/>
  <c r="M355" i="4"/>
  <c r="AE355" i="5" s="1"/>
  <c r="N355" i="4"/>
  <c r="O355" i="4"/>
  <c r="P355" i="4"/>
  <c r="Q355" i="4"/>
  <c r="R355" i="4"/>
  <c r="S355" i="4"/>
  <c r="T355" i="4"/>
  <c r="E356" i="4"/>
  <c r="F356" i="4"/>
  <c r="G356" i="4"/>
  <c r="H356" i="4"/>
  <c r="I356" i="4"/>
  <c r="J356" i="4"/>
  <c r="K356" i="4"/>
  <c r="L356" i="4"/>
  <c r="M356" i="4"/>
  <c r="AE356" i="5" s="1"/>
  <c r="N356" i="4"/>
  <c r="O356" i="4"/>
  <c r="P356" i="4"/>
  <c r="Q356" i="4"/>
  <c r="R356" i="4"/>
  <c r="S356" i="4"/>
  <c r="T356" i="4"/>
  <c r="E357" i="4"/>
  <c r="F357" i="4"/>
  <c r="G357" i="4"/>
  <c r="H357" i="4"/>
  <c r="I357" i="4"/>
  <c r="J357" i="4"/>
  <c r="K357" i="4"/>
  <c r="L357" i="4"/>
  <c r="M357" i="4"/>
  <c r="AE357" i="5" s="1"/>
  <c r="N357" i="4"/>
  <c r="O357" i="4"/>
  <c r="P357" i="4"/>
  <c r="Q357" i="4"/>
  <c r="R357" i="4"/>
  <c r="S357" i="4"/>
  <c r="T357" i="4"/>
  <c r="E358" i="4"/>
  <c r="F358" i="4"/>
  <c r="G358" i="4"/>
  <c r="H358" i="4"/>
  <c r="I358" i="4"/>
  <c r="J358" i="4"/>
  <c r="K358" i="4"/>
  <c r="L358" i="4"/>
  <c r="M358" i="4"/>
  <c r="AE358" i="5" s="1"/>
  <c r="N358" i="4"/>
  <c r="O358" i="4"/>
  <c r="P358" i="4"/>
  <c r="Q358" i="4"/>
  <c r="R358" i="4"/>
  <c r="S358" i="4"/>
  <c r="T358" i="4"/>
  <c r="E359" i="4"/>
  <c r="F359" i="4"/>
  <c r="G359" i="4"/>
  <c r="H359" i="4"/>
  <c r="I359" i="4"/>
  <c r="J359" i="4"/>
  <c r="K359" i="4"/>
  <c r="L359" i="4"/>
  <c r="M359" i="4"/>
  <c r="AE359" i="5" s="1"/>
  <c r="N359" i="4"/>
  <c r="O359" i="4"/>
  <c r="P359" i="4"/>
  <c r="Q359" i="4"/>
  <c r="R359" i="4"/>
  <c r="S359" i="4"/>
  <c r="T359" i="4"/>
  <c r="E360" i="4"/>
  <c r="F360" i="4"/>
  <c r="G360" i="4"/>
  <c r="H360" i="4"/>
  <c r="I360" i="4"/>
  <c r="J360" i="4"/>
  <c r="K360" i="4"/>
  <c r="L360" i="4"/>
  <c r="M360" i="4"/>
  <c r="AE360" i="5" s="1"/>
  <c r="N360" i="4"/>
  <c r="O360" i="4"/>
  <c r="P360" i="4"/>
  <c r="Q360" i="4"/>
  <c r="R360" i="4"/>
  <c r="S360" i="4"/>
  <c r="T360" i="4"/>
  <c r="E361" i="4"/>
  <c r="F361" i="4"/>
  <c r="G361" i="4"/>
  <c r="H361" i="4"/>
  <c r="I361" i="4"/>
  <c r="J361" i="4"/>
  <c r="K361" i="4"/>
  <c r="L361" i="4"/>
  <c r="M361" i="4"/>
  <c r="AE361" i="5" s="1"/>
  <c r="N361" i="4"/>
  <c r="O361" i="4"/>
  <c r="P361" i="4"/>
  <c r="Q361" i="4"/>
  <c r="R361" i="4"/>
  <c r="S361" i="4"/>
  <c r="T361" i="4"/>
  <c r="E362" i="4"/>
  <c r="F362" i="4"/>
  <c r="G362" i="4"/>
  <c r="H362" i="4"/>
  <c r="I362" i="4"/>
  <c r="J362" i="4"/>
  <c r="K362" i="4"/>
  <c r="L362" i="4"/>
  <c r="M362" i="4"/>
  <c r="AE362" i="5" s="1"/>
  <c r="N362" i="4"/>
  <c r="O362" i="4"/>
  <c r="P362" i="4"/>
  <c r="Q362" i="4"/>
  <c r="R362" i="4"/>
  <c r="S362" i="4"/>
  <c r="T362" i="4"/>
  <c r="E363" i="4"/>
  <c r="F363" i="4"/>
  <c r="G363" i="4"/>
  <c r="H363" i="4"/>
  <c r="I363" i="4"/>
  <c r="J363" i="4"/>
  <c r="K363" i="4"/>
  <c r="L363" i="4"/>
  <c r="M363" i="4"/>
  <c r="AE363" i="5" s="1"/>
  <c r="N363" i="4"/>
  <c r="O363" i="4"/>
  <c r="P363" i="4"/>
  <c r="Q363" i="4"/>
  <c r="R363" i="4"/>
  <c r="S363" i="4"/>
  <c r="T363" i="4"/>
  <c r="E364" i="4"/>
  <c r="F364" i="4"/>
  <c r="G364" i="4"/>
  <c r="H364" i="4"/>
  <c r="I364" i="4"/>
  <c r="J364" i="4"/>
  <c r="K364" i="4"/>
  <c r="L364" i="4"/>
  <c r="M364" i="4"/>
  <c r="AE364" i="5" s="1"/>
  <c r="N364" i="4"/>
  <c r="O364" i="4"/>
  <c r="P364" i="4"/>
  <c r="Q364" i="4"/>
  <c r="R364" i="4"/>
  <c r="S364" i="4"/>
  <c r="T364" i="4"/>
  <c r="E365" i="4"/>
  <c r="F365" i="4"/>
  <c r="G365" i="4"/>
  <c r="H365" i="4"/>
  <c r="I365" i="4"/>
  <c r="J365" i="4"/>
  <c r="K365" i="4"/>
  <c r="L365" i="4"/>
  <c r="M365" i="4"/>
  <c r="AE365" i="5" s="1"/>
  <c r="N365" i="4"/>
  <c r="O365" i="4"/>
  <c r="P365" i="4"/>
  <c r="Q365" i="4"/>
  <c r="R365" i="4"/>
  <c r="S365" i="4"/>
  <c r="T365" i="4"/>
  <c r="E366" i="4"/>
  <c r="F366" i="4"/>
  <c r="G366" i="4"/>
  <c r="H366" i="4"/>
  <c r="I366" i="4"/>
  <c r="J366" i="4"/>
  <c r="K366" i="4"/>
  <c r="L366" i="4"/>
  <c r="M366" i="4"/>
  <c r="AE366" i="5" s="1"/>
  <c r="N366" i="4"/>
  <c r="O366" i="4"/>
  <c r="P366" i="4"/>
  <c r="Q366" i="4"/>
  <c r="R366" i="4"/>
  <c r="S366" i="4"/>
  <c r="T366" i="4"/>
  <c r="E367" i="4"/>
  <c r="F367" i="4"/>
  <c r="G367" i="4"/>
  <c r="H367" i="4"/>
  <c r="I367" i="4"/>
  <c r="J367" i="4"/>
  <c r="K367" i="4"/>
  <c r="L367" i="4"/>
  <c r="M367" i="4"/>
  <c r="AE367" i="5" s="1"/>
  <c r="N367" i="4"/>
  <c r="O367" i="4"/>
  <c r="P367" i="4"/>
  <c r="Q367" i="4"/>
  <c r="R367" i="4"/>
  <c r="S367" i="4"/>
  <c r="T367" i="4"/>
  <c r="E368" i="4"/>
  <c r="F368" i="4"/>
  <c r="G368" i="4"/>
  <c r="H368" i="4"/>
  <c r="I368" i="4"/>
  <c r="J368" i="4"/>
  <c r="K368" i="4"/>
  <c r="L368" i="4"/>
  <c r="M368" i="4"/>
  <c r="AE368" i="5" s="1"/>
  <c r="N368" i="4"/>
  <c r="O368" i="4"/>
  <c r="P368" i="4"/>
  <c r="Q368" i="4"/>
  <c r="R368" i="4"/>
  <c r="S368" i="4"/>
  <c r="T368" i="4"/>
  <c r="E369" i="4"/>
  <c r="F369" i="4"/>
  <c r="G369" i="4"/>
  <c r="H369" i="4"/>
  <c r="I369" i="4"/>
  <c r="J369" i="4"/>
  <c r="K369" i="4"/>
  <c r="L369" i="4"/>
  <c r="M369" i="4"/>
  <c r="AE369" i="5" s="1"/>
  <c r="N369" i="4"/>
  <c r="O369" i="4"/>
  <c r="P369" i="4"/>
  <c r="Q369" i="4"/>
  <c r="R369" i="4"/>
  <c r="S369" i="4"/>
  <c r="T369" i="4"/>
  <c r="U369" i="4"/>
  <c r="V369" i="4"/>
  <c r="E370" i="4"/>
  <c r="F370" i="4"/>
  <c r="G370" i="4"/>
  <c r="H370" i="4"/>
  <c r="I370" i="4"/>
  <c r="J370" i="4"/>
  <c r="K370" i="4"/>
  <c r="L370" i="4"/>
  <c r="M370" i="4"/>
  <c r="AE370" i="5" s="1"/>
  <c r="N370" i="4"/>
  <c r="O370" i="4"/>
  <c r="P370" i="4"/>
  <c r="Q370" i="4"/>
  <c r="R370" i="4"/>
  <c r="S370" i="4"/>
  <c r="T370" i="4"/>
  <c r="E371" i="4"/>
  <c r="F371" i="4"/>
  <c r="G371" i="4"/>
  <c r="H371" i="4"/>
  <c r="I371" i="4"/>
  <c r="J371" i="4"/>
  <c r="K371" i="4"/>
  <c r="L371" i="4"/>
  <c r="M371" i="4"/>
  <c r="AE371" i="5" s="1"/>
  <c r="N371" i="4"/>
  <c r="O371" i="4"/>
  <c r="P371" i="4"/>
  <c r="Q371" i="4"/>
  <c r="R371" i="4"/>
  <c r="S371" i="4"/>
  <c r="T371" i="4"/>
  <c r="E372" i="4"/>
  <c r="F372" i="4"/>
  <c r="G372" i="4"/>
  <c r="H372" i="4"/>
  <c r="I372" i="4"/>
  <c r="J372" i="4"/>
  <c r="K372" i="4"/>
  <c r="L372" i="4"/>
  <c r="M372" i="4"/>
  <c r="AE372" i="5" s="1"/>
  <c r="N372" i="4"/>
  <c r="O372" i="4"/>
  <c r="P372" i="4"/>
  <c r="Q372" i="4"/>
  <c r="R372" i="4"/>
  <c r="S372" i="4"/>
  <c r="T372" i="4"/>
  <c r="E373" i="4"/>
  <c r="F373" i="4"/>
  <c r="G373" i="4"/>
  <c r="H373" i="4"/>
  <c r="I373" i="4"/>
  <c r="J373" i="4"/>
  <c r="K373" i="4"/>
  <c r="L373" i="4"/>
  <c r="M373" i="4"/>
  <c r="AE373" i="5" s="1"/>
  <c r="N373" i="4"/>
  <c r="O373" i="4"/>
  <c r="P373" i="4"/>
  <c r="Q373" i="4"/>
  <c r="R373" i="4"/>
  <c r="S373" i="4"/>
  <c r="T373" i="4"/>
  <c r="E374" i="4"/>
  <c r="F374" i="4"/>
  <c r="G374" i="4"/>
  <c r="H374" i="4"/>
  <c r="I374" i="4"/>
  <c r="J374" i="4"/>
  <c r="K374" i="4"/>
  <c r="L374" i="4"/>
  <c r="M374" i="4"/>
  <c r="AE374" i="5" s="1"/>
  <c r="N374" i="4"/>
  <c r="O374" i="4"/>
  <c r="P374" i="4"/>
  <c r="Q374" i="4"/>
  <c r="R374" i="4"/>
  <c r="S374" i="4"/>
  <c r="T374" i="4"/>
  <c r="E375" i="4"/>
  <c r="F375" i="4"/>
  <c r="G375" i="4"/>
  <c r="H375" i="4"/>
  <c r="I375" i="4"/>
  <c r="J375" i="4"/>
  <c r="K375" i="4"/>
  <c r="L375" i="4"/>
  <c r="M375" i="4"/>
  <c r="AE375" i="5" s="1"/>
  <c r="N375" i="4"/>
  <c r="O375" i="4"/>
  <c r="P375" i="4"/>
  <c r="Q375" i="4"/>
  <c r="R375" i="4"/>
  <c r="S375" i="4"/>
  <c r="T375" i="4"/>
  <c r="E376" i="4"/>
  <c r="F376" i="4"/>
  <c r="G376" i="4"/>
  <c r="H376" i="4"/>
  <c r="I376" i="4"/>
  <c r="J376" i="4"/>
  <c r="K376" i="4"/>
  <c r="L376" i="4"/>
  <c r="M376" i="4"/>
  <c r="AE376" i="5" s="1"/>
  <c r="N376" i="4"/>
  <c r="O376" i="4"/>
  <c r="P376" i="4"/>
  <c r="Q376" i="4"/>
  <c r="R376" i="4"/>
  <c r="S376" i="4"/>
  <c r="T376" i="4"/>
  <c r="E377" i="4"/>
  <c r="F377" i="4"/>
  <c r="G377" i="4"/>
  <c r="H377" i="4"/>
  <c r="I377" i="4"/>
  <c r="J377" i="4"/>
  <c r="K377" i="4"/>
  <c r="L377" i="4"/>
  <c r="M377" i="4"/>
  <c r="AE377" i="5" s="1"/>
  <c r="N377" i="4"/>
  <c r="O377" i="4"/>
  <c r="P377" i="4"/>
  <c r="Q377" i="4"/>
  <c r="R377" i="4"/>
  <c r="S377" i="4"/>
  <c r="T377" i="4"/>
  <c r="E378" i="4"/>
  <c r="F378" i="4"/>
  <c r="G378" i="4"/>
  <c r="H378" i="4"/>
  <c r="I378" i="4"/>
  <c r="J378" i="4"/>
  <c r="K378" i="4"/>
  <c r="L378" i="4"/>
  <c r="M378" i="4"/>
  <c r="AE378" i="5" s="1"/>
  <c r="N378" i="4"/>
  <c r="O378" i="4"/>
  <c r="P378" i="4"/>
  <c r="Q378" i="4"/>
  <c r="R378" i="4"/>
  <c r="S378" i="4"/>
  <c r="T378" i="4"/>
  <c r="E379" i="4"/>
  <c r="F379" i="4"/>
  <c r="G379" i="4"/>
  <c r="H379" i="4"/>
  <c r="I379" i="4"/>
  <c r="J379" i="4"/>
  <c r="K379" i="4"/>
  <c r="L379" i="4"/>
  <c r="M379" i="4"/>
  <c r="AE379" i="5" s="1"/>
  <c r="N379" i="4"/>
  <c r="O379" i="4"/>
  <c r="P379" i="4"/>
  <c r="Q379" i="4"/>
  <c r="R379" i="4"/>
  <c r="S379" i="4"/>
  <c r="T379" i="4"/>
  <c r="E380" i="4"/>
  <c r="F380" i="4"/>
  <c r="G380" i="4"/>
  <c r="H380" i="4"/>
  <c r="I380" i="4"/>
  <c r="J380" i="4"/>
  <c r="K380" i="4"/>
  <c r="L380" i="4"/>
  <c r="M380" i="4"/>
  <c r="AE380" i="5" s="1"/>
  <c r="N380" i="4"/>
  <c r="O380" i="4"/>
  <c r="P380" i="4"/>
  <c r="Q380" i="4"/>
  <c r="R380" i="4"/>
  <c r="S380" i="4"/>
  <c r="T380" i="4"/>
  <c r="E381" i="4"/>
  <c r="F381" i="4"/>
  <c r="G381" i="4"/>
  <c r="H381" i="4"/>
  <c r="I381" i="4"/>
  <c r="J381" i="4"/>
  <c r="K381" i="4"/>
  <c r="L381" i="4"/>
  <c r="M381" i="4"/>
  <c r="AE381" i="5" s="1"/>
  <c r="N381" i="4"/>
  <c r="O381" i="4"/>
  <c r="P381" i="4"/>
  <c r="Q381" i="4"/>
  <c r="R381" i="4"/>
  <c r="S381" i="4"/>
  <c r="T381" i="4"/>
  <c r="E382" i="4"/>
  <c r="F382" i="4"/>
  <c r="G382" i="4"/>
  <c r="H382" i="4"/>
  <c r="I382" i="4"/>
  <c r="J382" i="4"/>
  <c r="K382" i="4"/>
  <c r="L382" i="4"/>
  <c r="M382" i="4"/>
  <c r="AE382" i="5" s="1"/>
  <c r="N382" i="4"/>
  <c r="O382" i="4"/>
  <c r="P382" i="4"/>
  <c r="Q382" i="4"/>
  <c r="R382" i="4"/>
  <c r="S382" i="4"/>
  <c r="T382" i="4"/>
  <c r="E383" i="4"/>
  <c r="F383" i="4"/>
  <c r="G383" i="4"/>
  <c r="H383" i="4"/>
  <c r="I383" i="4"/>
  <c r="J383" i="4"/>
  <c r="K383" i="4"/>
  <c r="L383" i="4"/>
  <c r="M383" i="4"/>
  <c r="AE383" i="5" s="1"/>
  <c r="N383" i="4"/>
  <c r="O383" i="4"/>
  <c r="P383" i="4"/>
  <c r="Q383" i="4"/>
  <c r="R383" i="4"/>
  <c r="S383" i="4"/>
  <c r="T383" i="4"/>
  <c r="E384" i="4"/>
  <c r="F384" i="4"/>
  <c r="G384" i="4"/>
  <c r="H384" i="4"/>
  <c r="I384" i="4"/>
  <c r="J384" i="4"/>
  <c r="K384" i="4"/>
  <c r="L384" i="4"/>
  <c r="M384" i="4"/>
  <c r="AE384" i="5" s="1"/>
  <c r="N384" i="4"/>
  <c r="O384" i="4"/>
  <c r="P384" i="4"/>
  <c r="Q384" i="4"/>
  <c r="R384" i="4"/>
  <c r="S384" i="4"/>
  <c r="T384" i="4"/>
  <c r="E385" i="4"/>
  <c r="F385" i="4"/>
  <c r="G385" i="4"/>
  <c r="H385" i="4"/>
  <c r="I385" i="4"/>
  <c r="J385" i="4"/>
  <c r="K385" i="4"/>
  <c r="L385" i="4"/>
  <c r="M385" i="4"/>
  <c r="AE385" i="5" s="1"/>
  <c r="N385" i="4"/>
  <c r="O385" i="4"/>
  <c r="P385" i="4"/>
  <c r="Q385" i="4"/>
  <c r="R385" i="4"/>
  <c r="S385" i="4"/>
  <c r="T385" i="4"/>
  <c r="U385" i="4"/>
  <c r="V385" i="4"/>
  <c r="E386" i="4"/>
  <c r="F386" i="4"/>
  <c r="G386" i="4"/>
  <c r="H386" i="4"/>
  <c r="I386" i="4"/>
  <c r="J386" i="4"/>
  <c r="K386" i="4"/>
  <c r="L386" i="4"/>
  <c r="M386" i="4"/>
  <c r="AE386" i="5" s="1"/>
  <c r="N386" i="4"/>
  <c r="O386" i="4"/>
  <c r="P386" i="4"/>
  <c r="Q386" i="4"/>
  <c r="R386" i="4"/>
  <c r="S386" i="4"/>
  <c r="T386" i="4"/>
  <c r="U386" i="4"/>
  <c r="V386" i="4"/>
  <c r="E387" i="4"/>
  <c r="F387" i="4"/>
  <c r="G387" i="4"/>
  <c r="H387" i="4"/>
  <c r="I387" i="4"/>
  <c r="J387" i="4"/>
  <c r="K387" i="4"/>
  <c r="L387" i="4"/>
  <c r="M387" i="4"/>
  <c r="AE387" i="5" s="1"/>
  <c r="N387" i="4"/>
  <c r="O387" i="4"/>
  <c r="P387" i="4"/>
  <c r="Q387" i="4"/>
  <c r="R387" i="4"/>
  <c r="S387" i="4"/>
  <c r="T387" i="4"/>
  <c r="E388" i="4"/>
  <c r="F388" i="4"/>
  <c r="G388" i="4"/>
  <c r="H388" i="4"/>
  <c r="I388" i="4"/>
  <c r="J388" i="4"/>
  <c r="K388" i="4"/>
  <c r="L388" i="4"/>
  <c r="M388" i="4"/>
  <c r="AE388" i="5" s="1"/>
  <c r="N388" i="4"/>
  <c r="O388" i="4"/>
  <c r="P388" i="4"/>
  <c r="Q388" i="4"/>
  <c r="R388" i="4"/>
  <c r="S388" i="4"/>
  <c r="T388" i="4"/>
  <c r="E389" i="4"/>
  <c r="F389" i="4"/>
  <c r="G389" i="4"/>
  <c r="H389" i="4"/>
  <c r="I389" i="4"/>
  <c r="J389" i="4"/>
  <c r="K389" i="4"/>
  <c r="L389" i="4"/>
  <c r="M389" i="4"/>
  <c r="AE389" i="5" s="1"/>
  <c r="N389" i="4"/>
  <c r="O389" i="4"/>
  <c r="P389" i="4"/>
  <c r="Q389" i="4"/>
  <c r="R389" i="4"/>
  <c r="S389" i="4"/>
  <c r="T389" i="4"/>
  <c r="E390" i="4"/>
  <c r="F390" i="4"/>
  <c r="G390" i="4"/>
  <c r="H390" i="4"/>
  <c r="I390" i="4"/>
  <c r="J390" i="4"/>
  <c r="K390" i="4"/>
  <c r="L390" i="4"/>
  <c r="M390" i="4"/>
  <c r="AE390" i="5" s="1"/>
  <c r="N390" i="4"/>
  <c r="O390" i="4"/>
  <c r="P390" i="4"/>
  <c r="Q390" i="4"/>
  <c r="R390" i="4"/>
  <c r="S390" i="4"/>
  <c r="T390" i="4"/>
  <c r="E391" i="4"/>
  <c r="F391" i="4"/>
  <c r="G391" i="4"/>
  <c r="H391" i="4"/>
  <c r="I391" i="4"/>
  <c r="J391" i="4"/>
  <c r="K391" i="4"/>
  <c r="L391" i="4"/>
  <c r="M391" i="4"/>
  <c r="AE391" i="5" s="1"/>
  <c r="N391" i="4"/>
  <c r="O391" i="4"/>
  <c r="P391" i="4"/>
  <c r="Q391" i="4"/>
  <c r="R391" i="4"/>
  <c r="S391" i="4"/>
  <c r="T391" i="4"/>
  <c r="E392" i="4"/>
  <c r="F392" i="4"/>
  <c r="G392" i="4"/>
  <c r="H392" i="4"/>
  <c r="I392" i="4"/>
  <c r="J392" i="4"/>
  <c r="K392" i="4"/>
  <c r="L392" i="4"/>
  <c r="M392" i="4"/>
  <c r="AE392" i="5" s="1"/>
  <c r="N392" i="4"/>
  <c r="O392" i="4"/>
  <c r="P392" i="4"/>
  <c r="Q392" i="4"/>
  <c r="R392" i="4"/>
  <c r="S392" i="4"/>
  <c r="T392" i="4"/>
  <c r="E393" i="4"/>
  <c r="F393" i="4"/>
  <c r="G393" i="4"/>
  <c r="H393" i="4"/>
  <c r="I393" i="4"/>
  <c r="J393" i="4"/>
  <c r="K393" i="4"/>
  <c r="L393" i="4"/>
  <c r="M393" i="4"/>
  <c r="AE393" i="5" s="1"/>
  <c r="N393" i="4"/>
  <c r="O393" i="4"/>
  <c r="P393" i="4"/>
  <c r="Q393" i="4"/>
  <c r="R393" i="4"/>
  <c r="S393" i="4"/>
  <c r="T393" i="4"/>
  <c r="E394" i="4"/>
  <c r="F394" i="4"/>
  <c r="G394" i="4"/>
  <c r="H394" i="4"/>
  <c r="I394" i="4"/>
  <c r="J394" i="4"/>
  <c r="K394" i="4"/>
  <c r="L394" i="4"/>
  <c r="M394" i="4"/>
  <c r="AE394" i="5" s="1"/>
  <c r="N394" i="4"/>
  <c r="O394" i="4"/>
  <c r="P394" i="4"/>
  <c r="Q394" i="4"/>
  <c r="R394" i="4"/>
  <c r="S394" i="4"/>
  <c r="T394" i="4"/>
  <c r="E395" i="4"/>
  <c r="F395" i="4"/>
  <c r="G395" i="4"/>
  <c r="H395" i="4"/>
  <c r="I395" i="4"/>
  <c r="J395" i="4"/>
  <c r="K395" i="4"/>
  <c r="L395" i="4"/>
  <c r="M395" i="4"/>
  <c r="AE395" i="5" s="1"/>
  <c r="N395" i="4"/>
  <c r="O395" i="4"/>
  <c r="P395" i="4"/>
  <c r="Q395" i="4"/>
  <c r="R395" i="4"/>
  <c r="S395" i="4"/>
  <c r="T395" i="4"/>
  <c r="E396" i="4"/>
  <c r="F396" i="4"/>
  <c r="G396" i="4"/>
  <c r="H396" i="4"/>
  <c r="I396" i="4"/>
  <c r="J396" i="4"/>
  <c r="K396" i="4"/>
  <c r="L396" i="4"/>
  <c r="M396" i="4"/>
  <c r="AE396" i="5" s="1"/>
  <c r="N396" i="4"/>
  <c r="O396" i="4"/>
  <c r="P396" i="4"/>
  <c r="Q396" i="4"/>
  <c r="R396" i="4"/>
  <c r="S396" i="4"/>
  <c r="T396" i="4"/>
  <c r="E397" i="4"/>
  <c r="F397" i="4"/>
  <c r="G397" i="4"/>
  <c r="H397" i="4"/>
  <c r="I397" i="4"/>
  <c r="J397" i="4"/>
  <c r="K397" i="4"/>
  <c r="L397" i="4"/>
  <c r="M397" i="4"/>
  <c r="AE397" i="5" s="1"/>
  <c r="N397" i="4"/>
  <c r="O397" i="4"/>
  <c r="P397" i="4"/>
  <c r="Q397" i="4"/>
  <c r="R397" i="4"/>
  <c r="S397" i="4"/>
  <c r="T397" i="4"/>
  <c r="E398" i="4"/>
  <c r="F398" i="4"/>
  <c r="G398" i="4"/>
  <c r="H398" i="4"/>
  <c r="I398" i="4"/>
  <c r="J398" i="4"/>
  <c r="K398" i="4"/>
  <c r="L398" i="4"/>
  <c r="M398" i="4"/>
  <c r="AE398" i="5" s="1"/>
  <c r="N398" i="4"/>
  <c r="O398" i="4"/>
  <c r="P398" i="4"/>
  <c r="Q398" i="4"/>
  <c r="R398" i="4"/>
  <c r="S398" i="4"/>
  <c r="T398" i="4"/>
  <c r="E399" i="4"/>
  <c r="F399" i="4"/>
  <c r="G399" i="4"/>
  <c r="H399" i="4"/>
  <c r="I399" i="4"/>
  <c r="J399" i="4"/>
  <c r="K399" i="4"/>
  <c r="L399" i="4"/>
  <c r="M399" i="4"/>
  <c r="AE399" i="5" s="1"/>
  <c r="N399" i="4"/>
  <c r="O399" i="4"/>
  <c r="P399" i="4"/>
  <c r="Q399" i="4"/>
  <c r="R399" i="4"/>
  <c r="S399" i="4"/>
  <c r="T399" i="4"/>
  <c r="E400" i="4"/>
  <c r="F400" i="4"/>
  <c r="G400" i="4"/>
  <c r="H400" i="4"/>
  <c r="I400" i="4"/>
  <c r="J400" i="4"/>
  <c r="K400" i="4"/>
  <c r="L400" i="4"/>
  <c r="M400" i="4"/>
  <c r="AE400" i="5" s="1"/>
  <c r="N400" i="4"/>
  <c r="O400" i="4"/>
  <c r="P400" i="4"/>
  <c r="Q400" i="4"/>
  <c r="R400" i="4"/>
  <c r="S400" i="4"/>
  <c r="T400" i="4"/>
  <c r="E401" i="4"/>
  <c r="F401" i="4"/>
  <c r="G401" i="4"/>
  <c r="H401" i="4"/>
  <c r="I401" i="4"/>
  <c r="J401" i="4"/>
  <c r="K401" i="4"/>
  <c r="L401" i="4"/>
  <c r="M401" i="4"/>
  <c r="AE401" i="5" s="1"/>
  <c r="N401" i="4"/>
  <c r="O401" i="4"/>
  <c r="P401" i="4"/>
  <c r="Q401" i="4"/>
  <c r="R401" i="4"/>
  <c r="S401" i="4"/>
  <c r="T401" i="4"/>
  <c r="U401" i="4"/>
  <c r="V401" i="4"/>
  <c r="E402" i="4"/>
  <c r="F402" i="4"/>
  <c r="G402" i="4"/>
  <c r="H402" i="4"/>
  <c r="I402" i="4"/>
  <c r="J402" i="4"/>
  <c r="K402" i="4"/>
  <c r="L402" i="4"/>
  <c r="M402" i="4"/>
  <c r="AE402" i="5" s="1"/>
  <c r="N402" i="4"/>
  <c r="O402" i="4"/>
  <c r="P402" i="4"/>
  <c r="Q402" i="4"/>
  <c r="R402" i="4"/>
  <c r="S402" i="4"/>
  <c r="T402" i="4"/>
  <c r="U402" i="4"/>
  <c r="V402" i="4"/>
  <c r="E403" i="4"/>
  <c r="F403" i="4"/>
  <c r="G403" i="4"/>
  <c r="H403" i="4"/>
  <c r="I403" i="4"/>
  <c r="J403" i="4"/>
  <c r="K403" i="4"/>
  <c r="L403" i="4"/>
  <c r="M403" i="4"/>
  <c r="AE403" i="5" s="1"/>
  <c r="N403" i="4"/>
  <c r="O403" i="4"/>
  <c r="P403" i="4"/>
  <c r="Q403" i="4"/>
  <c r="R403" i="4"/>
  <c r="S403" i="4"/>
  <c r="T403" i="4"/>
  <c r="E404" i="4"/>
  <c r="F404" i="4"/>
  <c r="G404" i="4"/>
  <c r="H404" i="4"/>
  <c r="I404" i="4"/>
  <c r="J404" i="4"/>
  <c r="K404" i="4"/>
  <c r="L404" i="4"/>
  <c r="M404" i="4"/>
  <c r="AE404" i="5" s="1"/>
  <c r="N404" i="4"/>
  <c r="O404" i="4"/>
  <c r="P404" i="4"/>
  <c r="Q404" i="4"/>
  <c r="R404" i="4"/>
  <c r="S404" i="4"/>
  <c r="T404" i="4"/>
  <c r="E405" i="4"/>
  <c r="F405" i="4"/>
  <c r="G405" i="4"/>
  <c r="H405" i="4"/>
  <c r="I405" i="4"/>
  <c r="J405" i="4"/>
  <c r="K405" i="4"/>
  <c r="L405" i="4"/>
  <c r="M405" i="4"/>
  <c r="AE405" i="5" s="1"/>
  <c r="N405" i="4"/>
  <c r="O405" i="4"/>
  <c r="P405" i="4"/>
  <c r="Q405" i="4"/>
  <c r="R405" i="4"/>
  <c r="S405" i="4"/>
  <c r="T405" i="4"/>
  <c r="E406" i="4"/>
  <c r="F406" i="4"/>
  <c r="G406" i="4"/>
  <c r="H406" i="4"/>
  <c r="I406" i="4"/>
  <c r="J406" i="4"/>
  <c r="K406" i="4"/>
  <c r="L406" i="4"/>
  <c r="M406" i="4"/>
  <c r="AE406" i="5" s="1"/>
  <c r="N406" i="4"/>
  <c r="O406" i="4"/>
  <c r="P406" i="4"/>
  <c r="Q406" i="4"/>
  <c r="R406" i="4"/>
  <c r="S406" i="4"/>
  <c r="T406" i="4"/>
  <c r="E407" i="4"/>
  <c r="F407" i="4"/>
  <c r="G407" i="4"/>
  <c r="H407" i="4"/>
  <c r="I407" i="4"/>
  <c r="J407" i="4"/>
  <c r="K407" i="4"/>
  <c r="L407" i="4"/>
  <c r="M407" i="4"/>
  <c r="AE407" i="5" s="1"/>
  <c r="N407" i="4"/>
  <c r="O407" i="4"/>
  <c r="P407" i="4"/>
  <c r="Q407" i="4"/>
  <c r="R407" i="4"/>
  <c r="S407" i="4"/>
  <c r="T407" i="4"/>
  <c r="E408" i="4"/>
  <c r="F408" i="4"/>
  <c r="G408" i="4"/>
  <c r="H408" i="4"/>
  <c r="I408" i="4"/>
  <c r="J408" i="4"/>
  <c r="K408" i="4"/>
  <c r="L408" i="4"/>
  <c r="M408" i="4"/>
  <c r="AE408" i="5" s="1"/>
  <c r="N408" i="4"/>
  <c r="O408" i="4"/>
  <c r="P408" i="4"/>
  <c r="Q408" i="4"/>
  <c r="R408" i="4"/>
  <c r="S408" i="4"/>
  <c r="T408" i="4"/>
  <c r="E409" i="4"/>
  <c r="F409" i="4"/>
  <c r="G409" i="4"/>
  <c r="H409" i="4"/>
  <c r="I409" i="4"/>
  <c r="J409" i="4"/>
  <c r="K409" i="4"/>
  <c r="L409" i="4"/>
  <c r="M409" i="4"/>
  <c r="AE409" i="5" s="1"/>
  <c r="N409" i="4"/>
  <c r="O409" i="4"/>
  <c r="P409" i="4"/>
  <c r="Q409" i="4"/>
  <c r="R409" i="4"/>
  <c r="S409" i="4"/>
  <c r="T409" i="4"/>
  <c r="E410" i="4"/>
  <c r="F410" i="4"/>
  <c r="G410" i="4"/>
  <c r="H410" i="4"/>
  <c r="I410" i="4"/>
  <c r="J410" i="4"/>
  <c r="K410" i="4"/>
  <c r="L410" i="4"/>
  <c r="M410" i="4"/>
  <c r="AE410" i="5" s="1"/>
  <c r="N410" i="4"/>
  <c r="O410" i="4"/>
  <c r="P410" i="4"/>
  <c r="Q410" i="4"/>
  <c r="R410" i="4"/>
  <c r="S410" i="4"/>
  <c r="T410" i="4"/>
  <c r="E411" i="4"/>
  <c r="F411" i="4"/>
  <c r="G411" i="4"/>
  <c r="H411" i="4"/>
  <c r="I411" i="4"/>
  <c r="J411" i="4"/>
  <c r="K411" i="4"/>
  <c r="L411" i="4"/>
  <c r="M411" i="4"/>
  <c r="AE411" i="5" s="1"/>
  <c r="N411" i="4"/>
  <c r="O411" i="4"/>
  <c r="P411" i="4"/>
  <c r="Q411" i="4"/>
  <c r="R411" i="4"/>
  <c r="S411" i="4"/>
  <c r="T411" i="4"/>
  <c r="E412" i="4"/>
  <c r="F412" i="4"/>
  <c r="G412" i="4"/>
  <c r="H412" i="4"/>
  <c r="I412" i="4"/>
  <c r="J412" i="4"/>
  <c r="K412" i="4"/>
  <c r="L412" i="4"/>
  <c r="M412" i="4"/>
  <c r="AE412" i="5" s="1"/>
  <c r="N412" i="4"/>
  <c r="O412" i="4"/>
  <c r="P412" i="4"/>
  <c r="Q412" i="4"/>
  <c r="R412" i="4"/>
  <c r="S412" i="4"/>
  <c r="T412" i="4"/>
  <c r="E413" i="4"/>
  <c r="F413" i="4"/>
  <c r="G413" i="4"/>
  <c r="H413" i="4"/>
  <c r="I413" i="4"/>
  <c r="J413" i="4"/>
  <c r="K413" i="4"/>
  <c r="L413" i="4"/>
  <c r="M413" i="4"/>
  <c r="AE413" i="5" s="1"/>
  <c r="N413" i="4"/>
  <c r="O413" i="4"/>
  <c r="P413" i="4"/>
  <c r="Q413" i="4"/>
  <c r="R413" i="4"/>
  <c r="S413" i="4"/>
  <c r="T413" i="4"/>
  <c r="E414" i="4"/>
  <c r="F414" i="4"/>
  <c r="G414" i="4"/>
  <c r="H414" i="4"/>
  <c r="I414" i="4"/>
  <c r="J414" i="4"/>
  <c r="K414" i="4"/>
  <c r="L414" i="4"/>
  <c r="M414" i="4"/>
  <c r="AE414" i="5" s="1"/>
  <c r="O414" i="4"/>
  <c r="P414" i="4"/>
  <c r="Q414" i="4"/>
  <c r="R414" i="4"/>
  <c r="S414" i="4"/>
  <c r="T414" i="4"/>
  <c r="E415" i="4"/>
  <c r="F415" i="4"/>
  <c r="G415" i="4"/>
  <c r="H415" i="4"/>
  <c r="I415" i="4"/>
  <c r="J415" i="4"/>
  <c r="K415" i="4"/>
  <c r="L415" i="4"/>
  <c r="M415" i="4"/>
  <c r="AE415" i="5" s="1"/>
  <c r="N415" i="4"/>
  <c r="O415" i="4"/>
  <c r="P415" i="4"/>
  <c r="Q415" i="4"/>
  <c r="R415" i="4"/>
  <c r="S415" i="4"/>
  <c r="T415" i="4"/>
  <c r="E416" i="4"/>
  <c r="F416" i="4"/>
  <c r="G416" i="4"/>
  <c r="H416" i="4"/>
  <c r="I416" i="4"/>
  <c r="J416" i="4"/>
  <c r="K416" i="4"/>
  <c r="L416" i="4"/>
  <c r="M416" i="4"/>
  <c r="AE416" i="5" s="1"/>
  <c r="N416" i="4"/>
  <c r="O416" i="4"/>
  <c r="P416" i="4"/>
  <c r="Q416" i="4"/>
  <c r="R416" i="4"/>
  <c r="S416" i="4"/>
  <c r="T416" i="4"/>
  <c r="E417" i="4"/>
  <c r="F417" i="4"/>
  <c r="G417" i="4"/>
  <c r="H417" i="4"/>
  <c r="I417" i="4"/>
  <c r="J417" i="4"/>
  <c r="K417" i="4"/>
  <c r="L417" i="4"/>
  <c r="M417" i="4"/>
  <c r="AE417" i="5" s="1"/>
  <c r="N417" i="4"/>
  <c r="O417" i="4"/>
  <c r="P417" i="4"/>
  <c r="Q417" i="4"/>
  <c r="R417" i="4"/>
  <c r="S417" i="4"/>
  <c r="T417" i="4"/>
  <c r="U417" i="4"/>
  <c r="V417" i="4"/>
  <c r="E418" i="4"/>
  <c r="F418" i="4"/>
  <c r="G418" i="4"/>
  <c r="H418" i="4"/>
  <c r="I418" i="4"/>
  <c r="J418" i="4"/>
  <c r="K418" i="4"/>
  <c r="L418" i="4"/>
  <c r="M418" i="4"/>
  <c r="AE418" i="5" s="1"/>
  <c r="N418" i="4"/>
  <c r="O418" i="4"/>
  <c r="P418" i="4"/>
  <c r="Q418" i="4"/>
  <c r="R418" i="4"/>
  <c r="S418" i="4"/>
  <c r="T418" i="4"/>
  <c r="E419" i="4"/>
  <c r="F419" i="4"/>
  <c r="G419" i="4"/>
  <c r="H419" i="4"/>
  <c r="I419" i="4"/>
  <c r="J419" i="4"/>
  <c r="K419" i="4"/>
  <c r="L419" i="4"/>
  <c r="M419" i="4"/>
  <c r="AE419" i="5" s="1"/>
  <c r="N419" i="4"/>
  <c r="O419" i="4"/>
  <c r="P419" i="4"/>
  <c r="Q419" i="4"/>
  <c r="R419" i="4"/>
  <c r="S419" i="4"/>
  <c r="T419" i="4"/>
  <c r="E420" i="4"/>
  <c r="F420" i="4"/>
  <c r="G420" i="4"/>
  <c r="H420" i="4"/>
  <c r="I420" i="4"/>
  <c r="J420" i="4"/>
  <c r="K420" i="4"/>
  <c r="L420" i="4"/>
  <c r="M420" i="4"/>
  <c r="AE420" i="5" s="1"/>
  <c r="N420" i="4"/>
  <c r="O420" i="4"/>
  <c r="P420" i="4"/>
  <c r="Q420" i="4"/>
  <c r="R420" i="4"/>
  <c r="S420" i="4"/>
  <c r="T420" i="4"/>
  <c r="E421" i="4"/>
  <c r="F421" i="4"/>
  <c r="G421" i="4"/>
  <c r="H421" i="4"/>
  <c r="I421" i="4"/>
  <c r="J421" i="4"/>
  <c r="K421" i="4"/>
  <c r="L421" i="4"/>
  <c r="M421" i="4"/>
  <c r="AE421" i="5" s="1"/>
  <c r="N421" i="4"/>
  <c r="O421" i="4"/>
  <c r="P421" i="4"/>
  <c r="Q421" i="4"/>
  <c r="R421" i="4"/>
  <c r="S421" i="4"/>
  <c r="T421" i="4"/>
  <c r="E422" i="4"/>
  <c r="F422" i="4"/>
  <c r="G422" i="4"/>
  <c r="H422" i="4"/>
  <c r="I422" i="4"/>
  <c r="J422" i="4"/>
  <c r="K422" i="4"/>
  <c r="L422" i="4"/>
  <c r="M422" i="4"/>
  <c r="AE422" i="5" s="1"/>
  <c r="N422" i="4"/>
  <c r="O422" i="4"/>
  <c r="P422" i="4"/>
  <c r="Q422" i="4"/>
  <c r="R422" i="4"/>
  <c r="S422" i="4"/>
  <c r="T422" i="4"/>
  <c r="E423" i="4"/>
  <c r="F423" i="4"/>
  <c r="G423" i="4"/>
  <c r="H423" i="4"/>
  <c r="I423" i="4"/>
  <c r="J423" i="4"/>
  <c r="K423" i="4"/>
  <c r="L423" i="4"/>
  <c r="M423" i="4"/>
  <c r="AE423" i="5" s="1"/>
  <c r="N423" i="4"/>
  <c r="O423" i="4"/>
  <c r="P423" i="4"/>
  <c r="Q423" i="4"/>
  <c r="R423" i="4"/>
  <c r="S423" i="4"/>
  <c r="T423" i="4"/>
  <c r="E424" i="4"/>
  <c r="F424" i="4"/>
  <c r="G424" i="4"/>
  <c r="H424" i="4"/>
  <c r="I424" i="4"/>
  <c r="J424" i="4"/>
  <c r="K424" i="4"/>
  <c r="L424" i="4"/>
  <c r="M424" i="4"/>
  <c r="AE424" i="5" s="1"/>
  <c r="N424" i="4"/>
  <c r="O424" i="4"/>
  <c r="P424" i="4"/>
  <c r="Q424" i="4"/>
  <c r="R424" i="4"/>
  <c r="S424" i="4"/>
  <c r="T424" i="4"/>
  <c r="E425" i="4"/>
  <c r="F425" i="4"/>
  <c r="G425" i="4"/>
  <c r="H425" i="4"/>
  <c r="I425" i="4"/>
  <c r="J425" i="4"/>
  <c r="K425" i="4"/>
  <c r="L425" i="4"/>
  <c r="M425" i="4"/>
  <c r="AE425" i="5" s="1"/>
  <c r="N425" i="4"/>
  <c r="O425" i="4"/>
  <c r="P425" i="4"/>
  <c r="Q425" i="4"/>
  <c r="R425" i="4"/>
  <c r="S425" i="4"/>
  <c r="T425" i="4"/>
  <c r="E426" i="4"/>
  <c r="F426" i="4"/>
  <c r="G426" i="4"/>
  <c r="H426" i="4"/>
  <c r="I426" i="4"/>
  <c r="J426" i="4"/>
  <c r="K426" i="4"/>
  <c r="L426" i="4"/>
  <c r="M426" i="4"/>
  <c r="AE426" i="5" s="1"/>
  <c r="N426" i="4"/>
  <c r="O426" i="4"/>
  <c r="P426" i="4"/>
  <c r="Q426" i="4"/>
  <c r="R426" i="4"/>
  <c r="S426" i="4"/>
  <c r="T426" i="4"/>
  <c r="E427" i="4"/>
  <c r="F427" i="4"/>
  <c r="G427" i="4"/>
  <c r="H427" i="4"/>
  <c r="I427" i="4"/>
  <c r="J427" i="4"/>
  <c r="K427" i="4"/>
  <c r="L427" i="4"/>
  <c r="M427" i="4"/>
  <c r="AE427" i="5" s="1"/>
  <c r="N427" i="4"/>
  <c r="O427" i="4"/>
  <c r="P427" i="4"/>
  <c r="Q427" i="4"/>
  <c r="R427" i="4"/>
  <c r="S427" i="4"/>
  <c r="T427" i="4"/>
  <c r="E428" i="4"/>
  <c r="F428" i="4"/>
  <c r="G428" i="4"/>
  <c r="H428" i="4"/>
  <c r="I428" i="4"/>
  <c r="J428" i="4"/>
  <c r="K428" i="4"/>
  <c r="L428" i="4"/>
  <c r="M428" i="4"/>
  <c r="AE428" i="5" s="1"/>
  <c r="N428" i="4"/>
  <c r="O428" i="4"/>
  <c r="P428" i="4"/>
  <c r="Q428" i="4"/>
  <c r="R428" i="4"/>
  <c r="S428" i="4"/>
  <c r="T428" i="4"/>
  <c r="E429" i="4"/>
  <c r="F429" i="4"/>
  <c r="G429" i="4"/>
  <c r="H429" i="4"/>
  <c r="I429" i="4"/>
  <c r="J429" i="4"/>
  <c r="K429" i="4"/>
  <c r="L429" i="4"/>
  <c r="M429" i="4"/>
  <c r="AE429" i="5" s="1"/>
  <c r="N429" i="4"/>
  <c r="O429" i="4"/>
  <c r="P429" i="4"/>
  <c r="Q429" i="4"/>
  <c r="R429" i="4"/>
  <c r="S429" i="4"/>
  <c r="T429" i="4"/>
  <c r="E430" i="4"/>
  <c r="F430" i="4"/>
  <c r="G430" i="4"/>
  <c r="H430" i="4"/>
  <c r="I430" i="4"/>
  <c r="J430" i="4"/>
  <c r="K430" i="4"/>
  <c r="L430" i="4"/>
  <c r="M430" i="4"/>
  <c r="AE430" i="5" s="1"/>
  <c r="N430" i="4"/>
  <c r="O430" i="4"/>
  <c r="P430" i="4"/>
  <c r="Q430" i="4"/>
  <c r="R430" i="4"/>
  <c r="S430" i="4"/>
  <c r="T430" i="4"/>
  <c r="E431" i="4"/>
  <c r="F431" i="4"/>
  <c r="G431" i="4"/>
  <c r="H431" i="4"/>
  <c r="I431" i="4"/>
  <c r="J431" i="4"/>
  <c r="K431" i="4"/>
  <c r="L431" i="4"/>
  <c r="M431" i="4"/>
  <c r="AE431" i="5" s="1"/>
  <c r="N431" i="4"/>
  <c r="O431" i="4"/>
  <c r="P431" i="4"/>
  <c r="Q431" i="4"/>
  <c r="R431" i="4"/>
  <c r="S431" i="4"/>
  <c r="T431" i="4"/>
  <c r="E432" i="4"/>
  <c r="F432" i="4"/>
  <c r="G432" i="4"/>
  <c r="H432" i="4"/>
  <c r="I432" i="4"/>
  <c r="J432" i="4"/>
  <c r="K432" i="4"/>
  <c r="L432" i="4"/>
  <c r="M432" i="4"/>
  <c r="AE432" i="5" s="1"/>
  <c r="N432" i="4"/>
  <c r="O432" i="4"/>
  <c r="P432" i="4"/>
  <c r="Q432" i="4"/>
  <c r="R432" i="4"/>
  <c r="S432" i="4"/>
  <c r="T432" i="4"/>
  <c r="E433" i="4"/>
  <c r="F433" i="4"/>
  <c r="G433" i="4"/>
  <c r="H433" i="4"/>
  <c r="I433" i="4"/>
  <c r="J433" i="4"/>
  <c r="K433" i="4"/>
  <c r="L433" i="4"/>
  <c r="M433" i="4"/>
  <c r="AE433" i="5" s="1"/>
  <c r="N433" i="4"/>
  <c r="O433" i="4"/>
  <c r="P433" i="4"/>
  <c r="Q433" i="4"/>
  <c r="R433" i="4"/>
  <c r="S433" i="4"/>
  <c r="T433" i="4"/>
  <c r="U433" i="4"/>
  <c r="V433" i="4"/>
  <c r="E434" i="4"/>
  <c r="F434" i="4"/>
  <c r="G434" i="4"/>
  <c r="H434" i="4"/>
  <c r="I434" i="4"/>
  <c r="J434" i="4"/>
  <c r="K434" i="4"/>
  <c r="L434" i="4"/>
  <c r="M434" i="4"/>
  <c r="AE434" i="5" s="1"/>
  <c r="N434" i="4"/>
  <c r="O434" i="4"/>
  <c r="P434" i="4"/>
  <c r="Q434" i="4"/>
  <c r="R434" i="4"/>
  <c r="S434" i="4"/>
  <c r="T434" i="4"/>
  <c r="E435" i="4"/>
  <c r="F435" i="4"/>
  <c r="G435" i="4"/>
  <c r="H435" i="4"/>
  <c r="I435" i="4"/>
  <c r="J435" i="4"/>
  <c r="K435" i="4"/>
  <c r="L435" i="4"/>
  <c r="M435" i="4"/>
  <c r="AE435" i="5" s="1"/>
  <c r="N435" i="4"/>
  <c r="O435" i="4"/>
  <c r="P435" i="4"/>
  <c r="Q435" i="4"/>
  <c r="R435" i="4"/>
  <c r="S435" i="4"/>
  <c r="T435" i="4"/>
  <c r="E436" i="4"/>
  <c r="F436" i="4"/>
  <c r="G436" i="4"/>
  <c r="H436" i="4"/>
  <c r="I436" i="4"/>
  <c r="J436" i="4"/>
  <c r="K436" i="4"/>
  <c r="L436" i="4"/>
  <c r="M436" i="4"/>
  <c r="AE436" i="5" s="1"/>
  <c r="N436" i="4"/>
  <c r="O436" i="4"/>
  <c r="P436" i="4"/>
  <c r="Q436" i="4"/>
  <c r="R436" i="4"/>
  <c r="S436" i="4"/>
  <c r="T436" i="4"/>
  <c r="E437" i="4"/>
  <c r="F437" i="4"/>
  <c r="G437" i="4"/>
  <c r="H437" i="4"/>
  <c r="I437" i="4"/>
  <c r="J437" i="4"/>
  <c r="K437" i="4"/>
  <c r="L437" i="4"/>
  <c r="M437" i="4"/>
  <c r="AE437" i="5" s="1"/>
  <c r="N437" i="4"/>
  <c r="O437" i="4"/>
  <c r="P437" i="4"/>
  <c r="Q437" i="4"/>
  <c r="R437" i="4"/>
  <c r="S437" i="4"/>
  <c r="T437" i="4"/>
  <c r="E438" i="4"/>
  <c r="F438" i="4"/>
  <c r="G438" i="4"/>
  <c r="H438" i="4"/>
  <c r="I438" i="4"/>
  <c r="J438" i="4"/>
  <c r="K438" i="4"/>
  <c r="L438" i="4"/>
  <c r="M438" i="4"/>
  <c r="AE438" i="5" s="1"/>
  <c r="N438" i="4"/>
  <c r="O438" i="4"/>
  <c r="P438" i="4"/>
  <c r="Q438" i="4"/>
  <c r="R438" i="4"/>
  <c r="S438" i="4"/>
  <c r="T438" i="4"/>
  <c r="E439" i="4"/>
  <c r="F439" i="4"/>
  <c r="G439" i="4"/>
  <c r="H439" i="4"/>
  <c r="I439" i="4"/>
  <c r="J439" i="4"/>
  <c r="K439" i="4"/>
  <c r="L439" i="4"/>
  <c r="M439" i="4"/>
  <c r="AE439" i="5" s="1"/>
  <c r="N439" i="4"/>
  <c r="O439" i="4"/>
  <c r="P439" i="4"/>
  <c r="Q439" i="4"/>
  <c r="R439" i="4"/>
  <c r="S439" i="4"/>
  <c r="T439" i="4"/>
  <c r="E440" i="4"/>
  <c r="F440" i="4"/>
  <c r="G440" i="4"/>
  <c r="H440" i="4"/>
  <c r="I440" i="4"/>
  <c r="J440" i="4"/>
  <c r="K440" i="4"/>
  <c r="L440" i="4"/>
  <c r="M440" i="4"/>
  <c r="AE440" i="5" s="1"/>
  <c r="N440" i="4"/>
  <c r="O440" i="4"/>
  <c r="P440" i="4"/>
  <c r="Q440" i="4"/>
  <c r="R440" i="4"/>
  <c r="S440" i="4"/>
  <c r="T440" i="4"/>
  <c r="E441" i="4"/>
  <c r="F441" i="4"/>
  <c r="G441" i="4"/>
  <c r="H441" i="4"/>
  <c r="I441" i="4"/>
  <c r="J441" i="4"/>
  <c r="K441" i="4"/>
  <c r="L441" i="4"/>
  <c r="M441" i="4"/>
  <c r="AE441" i="5" s="1"/>
  <c r="N441" i="4"/>
  <c r="O441" i="4"/>
  <c r="P441" i="4"/>
  <c r="Q441" i="4"/>
  <c r="R441" i="4"/>
  <c r="S441" i="4"/>
  <c r="T441" i="4"/>
  <c r="E442" i="4"/>
  <c r="F442" i="4"/>
  <c r="G442" i="4"/>
  <c r="H442" i="4"/>
  <c r="I442" i="4"/>
  <c r="J442" i="4"/>
  <c r="K442" i="4"/>
  <c r="L442" i="4"/>
  <c r="M442" i="4"/>
  <c r="AE442" i="5" s="1"/>
  <c r="N442" i="4"/>
  <c r="O442" i="4"/>
  <c r="P442" i="4"/>
  <c r="Q442" i="4"/>
  <c r="R442" i="4"/>
  <c r="S442" i="4"/>
  <c r="T442" i="4"/>
  <c r="E443" i="4"/>
  <c r="F443" i="4"/>
  <c r="G443" i="4"/>
  <c r="H443" i="4"/>
  <c r="I443" i="4"/>
  <c r="J443" i="4"/>
  <c r="K443" i="4"/>
  <c r="L443" i="4"/>
  <c r="M443" i="4"/>
  <c r="AE443" i="5" s="1"/>
  <c r="N443" i="4"/>
  <c r="O443" i="4"/>
  <c r="P443" i="4"/>
  <c r="Q443" i="4"/>
  <c r="R443" i="4"/>
  <c r="S443" i="4"/>
  <c r="T443" i="4"/>
  <c r="E444" i="4"/>
  <c r="F444" i="4"/>
  <c r="G444" i="4"/>
  <c r="H444" i="4"/>
  <c r="I444" i="4"/>
  <c r="J444" i="4"/>
  <c r="K444" i="4"/>
  <c r="L444" i="4"/>
  <c r="M444" i="4"/>
  <c r="AE444" i="5" s="1"/>
  <c r="N444" i="4"/>
  <c r="O444" i="4"/>
  <c r="P444" i="4"/>
  <c r="Q444" i="4"/>
  <c r="R444" i="4"/>
  <c r="S444" i="4"/>
  <c r="T444" i="4"/>
  <c r="E445" i="4"/>
  <c r="F445" i="4"/>
  <c r="G445" i="4"/>
  <c r="H445" i="4"/>
  <c r="I445" i="4"/>
  <c r="J445" i="4"/>
  <c r="K445" i="4"/>
  <c r="L445" i="4"/>
  <c r="M445" i="4"/>
  <c r="AE445" i="5" s="1"/>
  <c r="N445" i="4"/>
  <c r="O445" i="4"/>
  <c r="P445" i="4"/>
  <c r="Q445" i="4"/>
  <c r="R445" i="4"/>
  <c r="S445" i="4"/>
  <c r="T445" i="4"/>
  <c r="E446" i="4"/>
  <c r="F446" i="4"/>
  <c r="G446" i="4"/>
  <c r="H446" i="4"/>
  <c r="I446" i="4"/>
  <c r="J446" i="4"/>
  <c r="K446" i="4"/>
  <c r="L446" i="4"/>
  <c r="M446" i="4"/>
  <c r="AE446" i="5" s="1"/>
  <c r="N446" i="4"/>
  <c r="O446" i="4"/>
  <c r="P446" i="4"/>
  <c r="Q446" i="4"/>
  <c r="R446" i="4"/>
  <c r="S446" i="4"/>
  <c r="T446" i="4"/>
  <c r="E447" i="4"/>
  <c r="F447" i="4"/>
  <c r="G447" i="4"/>
  <c r="H447" i="4"/>
  <c r="I447" i="4"/>
  <c r="J447" i="4"/>
  <c r="K447" i="4"/>
  <c r="L447" i="4"/>
  <c r="M447" i="4"/>
  <c r="AE447" i="5" s="1"/>
  <c r="N447" i="4"/>
  <c r="O447" i="4"/>
  <c r="P447" i="4"/>
  <c r="Q447" i="4"/>
  <c r="R447" i="4"/>
  <c r="S447" i="4"/>
  <c r="T447" i="4"/>
  <c r="E448" i="4"/>
  <c r="F448" i="4"/>
  <c r="G448" i="4"/>
  <c r="H448" i="4"/>
  <c r="I448" i="4"/>
  <c r="J448" i="4"/>
  <c r="K448" i="4"/>
  <c r="L448" i="4"/>
  <c r="M448" i="4"/>
  <c r="AE448" i="5" s="1"/>
  <c r="N448" i="4"/>
  <c r="O448" i="4"/>
  <c r="P448" i="4"/>
  <c r="Q448" i="4"/>
  <c r="R448" i="4"/>
  <c r="S448" i="4"/>
  <c r="T448" i="4"/>
  <c r="E449" i="4"/>
  <c r="F449" i="4"/>
  <c r="G449" i="4"/>
  <c r="H449" i="4"/>
  <c r="I449" i="4"/>
  <c r="J449" i="4"/>
  <c r="K449" i="4"/>
  <c r="L449" i="4"/>
  <c r="M449" i="4"/>
  <c r="AE449" i="5" s="1"/>
  <c r="N449" i="4"/>
  <c r="O449" i="4"/>
  <c r="P449" i="4"/>
  <c r="Q449" i="4"/>
  <c r="R449" i="4"/>
  <c r="S449" i="4"/>
  <c r="T449" i="4"/>
  <c r="U449" i="4"/>
  <c r="V449" i="4"/>
  <c r="E450" i="4"/>
  <c r="F450" i="4"/>
  <c r="G450" i="4"/>
  <c r="H450" i="4"/>
  <c r="I450" i="4"/>
  <c r="J450" i="4"/>
  <c r="K450" i="4"/>
  <c r="L450" i="4"/>
  <c r="M450" i="4"/>
  <c r="AE450" i="5" s="1"/>
  <c r="N450" i="4"/>
  <c r="O450" i="4"/>
  <c r="P450" i="4"/>
  <c r="Q450" i="4"/>
  <c r="R450" i="4"/>
  <c r="S450" i="4"/>
  <c r="T450" i="4"/>
  <c r="E451" i="4"/>
  <c r="F451" i="4"/>
  <c r="G451" i="4"/>
  <c r="H451" i="4"/>
  <c r="I451" i="4"/>
  <c r="J451" i="4"/>
  <c r="K451" i="4"/>
  <c r="L451" i="4"/>
  <c r="M451" i="4"/>
  <c r="AE451" i="5" s="1"/>
  <c r="N451" i="4"/>
  <c r="O451" i="4"/>
  <c r="P451" i="4"/>
  <c r="Q451" i="4"/>
  <c r="R451" i="4"/>
  <c r="S451" i="4"/>
  <c r="T451" i="4"/>
  <c r="E452" i="4"/>
  <c r="F452" i="4"/>
  <c r="G452" i="4"/>
  <c r="H452" i="4"/>
  <c r="I452" i="4"/>
  <c r="J452" i="4"/>
  <c r="K452" i="4"/>
  <c r="L452" i="4"/>
  <c r="M452" i="4"/>
  <c r="AE452" i="5" s="1"/>
  <c r="N452" i="4"/>
  <c r="O452" i="4"/>
  <c r="P452" i="4"/>
  <c r="Q452" i="4"/>
  <c r="R452" i="4"/>
  <c r="S452" i="4"/>
  <c r="T452" i="4"/>
  <c r="E453" i="4"/>
  <c r="F453" i="4"/>
  <c r="G453" i="4"/>
  <c r="H453" i="4"/>
  <c r="I453" i="4"/>
  <c r="J453" i="4"/>
  <c r="K453" i="4"/>
  <c r="L453" i="4"/>
  <c r="M453" i="4"/>
  <c r="AE453" i="5" s="1"/>
  <c r="N453" i="4"/>
  <c r="O453" i="4"/>
  <c r="P453" i="4"/>
  <c r="Q453" i="4"/>
  <c r="R453" i="4"/>
  <c r="S453" i="4"/>
  <c r="T453" i="4"/>
  <c r="E454" i="4"/>
  <c r="F454" i="4"/>
  <c r="G454" i="4"/>
  <c r="H454" i="4"/>
  <c r="I454" i="4"/>
  <c r="J454" i="4"/>
  <c r="K454" i="4"/>
  <c r="L454" i="4"/>
  <c r="M454" i="4"/>
  <c r="AE454" i="5" s="1"/>
  <c r="N454" i="4"/>
  <c r="O454" i="4"/>
  <c r="P454" i="4"/>
  <c r="Q454" i="4"/>
  <c r="R454" i="4"/>
  <c r="S454" i="4"/>
  <c r="T454" i="4"/>
  <c r="E455" i="4"/>
  <c r="F455" i="4"/>
  <c r="G455" i="4"/>
  <c r="H455" i="4"/>
  <c r="I455" i="4"/>
  <c r="J455" i="4"/>
  <c r="K455" i="4"/>
  <c r="L455" i="4"/>
  <c r="M455" i="4"/>
  <c r="AE455" i="5" s="1"/>
  <c r="N455" i="4"/>
  <c r="O455" i="4"/>
  <c r="P455" i="4"/>
  <c r="Q455" i="4"/>
  <c r="R455" i="4"/>
  <c r="S455" i="4"/>
  <c r="T455" i="4"/>
  <c r="E456" i="4"/>
  <c r="F456" i="4"/>
  <c r="G456" i="4"/>
  <c r="H456" i="4"/>
  <c r="I456" i="4"/>
  <c r="J456" i="4"/>
  <c r="K456" i="4"/>
  <c r="L456" i="4"/>
  <c r="M456" i="4"/>
  <c r="AE456" i="5" s="1"/>
  <c r="N456" i="4"/>
  <c r="O456" i="4"/>
  <c r="P456" i="4"/>
  <c r="Q456" i="4"/>
  <c r="R456" i="4"/>
  <c r="S456" i="4"/>
  <c r="T456" i="4"/>
  <c r="E457" i="4"/>
  <c r="F457" i="4"/>
  <c r="G457" i="4"/>
  <c r="H457" i="4"/>
  <c r="I457" i="4"/>
  <c r="J457" i="4"/>
  <c r="K457" i="4"/>
  <c r="L457" i="4"/>
  <c r="M457" i="4"/>
  <c r="AE457" i="5" s="1"/>
  <c r="N457" i="4"/>
  <c r="O457" i="4"/>
  <c r="P457" i="4"/>
  <c r="Q457" i="4"/>
  <c r="R457" i="4"/>
  <c r="S457" i="4"/>
  <c r="T457" i="4"/>
  <c r="E458" i="4"/>
  <c r="F458" i="4"/>
  <c r="G458" i="4"/>
  <c r="H458" i="4"/>
  <c r="I458" i="4"/>
  <c r="J458" i="4"/>
  <c r="K458" i="4"/>
  <c r="L458" i="4"/>
  <c r="M458" i="4"/>
  <c r="AE458" i="5" s="1"/>
  <c r="N458" i="4"/>
  <c r="O458" i="4"/>
  <c r="P458" i="4"/>
  <c r="Q458" i="4"/>
  <c r="R458" i="4"/>
  <c r="S458" i="4"/>
  <c r="T458" i="4"/>
  <c r="E459" i="4"/>
  <c r="F459" i="4"/>
  <c r="G459" i="4"/>
  <c r="H459" i="4"/>
  <c r="I459" i="4"/>
  <c r="J459" i="4"/>
  <c r="K459" i="4"/>
  <c r="L459" i="4"/>
  <c r="M459" i="4"/>
  <c r="AE459" i="5" s="1"/>
  <c r="N459" i="4"/>
  <c r="O459" i="4"/>
  <c r="P459" i="4"/>
  <c r="Q459" i="4"/>
  <c r="R459" i="4"/>
  <c r="S459" i="4"/>
  <c r="T459" i="4"/>
  <c r="E460" i="4"/>
  <c r="F460" i="4"/>
  <c r="G460" i="4"/>
  <c r="H460" i="4"/>
  <c r="I460" i="4"/>
  <c r="J460" i="4"/>
  <c r="K460" i="4"/>
  <c r="L460" i="4"/>
  <c r="M460" i="4"/>
  <c r="AE460" i="5" s="1"/>
  <c r="N460" i="4"/>
  <c r="O460" i="4"/>
  <c r="P460" i="4"/>
  <c r="Q460" i="4"/>
  <c r="R460" i="4"/>
  <c r="S460" i="4"/>
  <c r="T460" i="4"/>
  <c r="E461" i="4"/>
  <c r="F461" i="4"/>
  <c r="G461" i="4"/>
  <c r="H461" i="4"/>
  <c r="I461" i="4"/>
  <c r="J461" i="4"/>
  <c r="K461" i="4"/>
  <c r="L461" i="4"/>
  <c r="M461" i="4"/>
  <c r="AE461" i="5" s="1"/>
  <c r="N461" i="4"/>
  <c r="O461" i="4"/>
  <c r="P461" i="4"/>
  <c r="Q461" i="4"/>
  <c r="R461" i="4"/>
  <c r="S461" i="4"/>
  <c r="T461" i="4"/>
  <c r="E462" i="4"/>
  <c r="F462" i="4"/>
  <c r="G462" i="4"/>
  <c r="H462" i="4"/>
  <c r="I462" i="4"/>
  <c r="J462" i="4"/>
  <c r="K462" i="4"/>
  <c r="L462" i="4"/>
  <c r="M462" i="4"/>
  <c r="AE462" i="5" s="1"/>
  <c r="N462" i="4"/>
  <c r="O462" i="4"/>
  <c r="P462" i="4"/>
  <c r="Q462" i="4"/>
  <c r="R462" i="4"/>
  <c r="S462" i="4"/>
  <c r="T462" i="4"/>
  <c r="U462" i="4"/>
  <c r="V462" i="4"/>
  <c r="E463" i="4"/>
  <c r="F463" i="4"/>
  <c r="G463" i="4"/>
  <c r="H463" i="4"/>
  <c r="I463" i="4"/>
  <c r="J463" i="4"/>
  <c r="K463" i="4"/>
  <c r="L463" i="4"/>
  <c r="M463" i="4"/>
  <c r="AE463" i="5" s="1"/>
  <c r="N463" i="4"/>
  <c r="O463" i="4"/>
  <c r="P463" i="4"/>
  <c r="Q463" i="4"/>
  <c r="R463" i="4"/>
  <c r="S463" i="4"/>
  <c r="T463" i="4"/>
  <c r="U463" i="4"/>
  <c r="V463" i="4"/>
  <c r="E464" i="4"/>
  <c r="F464" i="4"/>
  <c r="G464" i="4"/>
  <c r="H464" i="4"/>
  <c r="I464" i="4"/>
  <c r="J464" i="4"/>
  <c r="K464" i="4"/>
  <c r="L464" i="4"/>
  <c r="M464" i="4"/>
  <c r="AE464" i="5" s="1"/>
  <c r="N464" i="4"/>
  <c r="O464" i="4"/>
  <c r="P464" i="4"/>
  <c r="Q464" i="4"/>
  <c r="R464" i="4"/>
  <c r="S464" i="4"/>
  <c r="T464" i="4"/>
  <c r="U464" i="4"/>
  <c r="V464" i="4"/>
  <c r="E465" i="4"/>
  <c r="F465" i="4"/>
  <c r="G465" i="4"/>
  <c r="H465" i="4"/>
  <c r="I465" i="4"/>
  <c r="J465" i="4"/>
  <c r="K465" i="4"/>
  <c r="L465" i="4"/>
  <c r="M465" i="4"/>
  <c r="AE465" i="5" s="1"/>
  <c r="N465" i="4"/>
  <c r="O465" i="4"/>
  <c r="P465" i="4"/>
  <c r="Q465" i="4"/>
  <c r="R465" i="4"/>
  <c r="S465" i="4"/>
  <c r="T465" i="4"/>
  <c r="U465" i="4"/>
  <c r="V465" i="4"/>
  <c r="E466" i="4"/>
  <c r="F466" i="4"/>
  <c r="G466" i="4"/>
  <c r="H466" i="4"/>
  <c r="I466" i="4"/>
  <c r="J466" i="4"/>
  <c r="K466" i="4"/>
  <c r="L466" i="4"/>
  <c r="M466" i="4"/>
  <c r="AE466" i="5" s="1"/>
  <c r="N466" i="4"/>
  <c r="O466" i="4"/>
  <c r="P466" i="4"/>
  <c r="Q466" i="4"/>
  <c r="R466" i="4"/>
  <c r="S466" i="4"/>
  <c r="T466" i="4"/>
  <c r="U466" i="4"/>
  <c r="V466" i="4"/>
  <c r="E467" i="4"/>
  <c r="F467" i="4"/>
  <c r="G467" i="4"/>
  <c r="H467" i="4"/>
  <c r="I467" i="4"/>
  <c r="J467" i="4"/>
  <c r="K467" i="4"/>
  <c r="L467" i="4"/>
  <c r="M467" i="4"/>
  <c r="AE467" i="5" s="1"/>
  <c r="N467" i="4"/>
  <c r="O467" i="4"/>
  <c r="P467" i="4"/>
  <c r="Q467" i="4"/>
  <c r="R467" i="4"/>
  <c r="S467" i="4"/>
  <c r="T467" i="4"/>
  <c r="E468" i="4"/>
  <c r="F468" i="4"/>
  <c r="G468" i="4"/>
  <c r="H468" i="4"/>
  <c r="I468" i="4"/>
  <c r="J468" i="4"/>
  <c r="K468" i="4"/>
  <c r="L468" i="4"/>
  <c r="M468" i="4"/>
  <c r="AE468" i="5" s="1"/>
  <c r="N468" i="4"/>
  <c r="O468" i="4"/>
  <c r="P468" i="4"/>
  <c r="Q468" i="4"/>
  <c r="R468" i="4"/>
  <c r="S468" i="4"/>
  <c r="T468" i="4"/>
  <c r="E469" i="4"/>
  <c r="F469" i="4"/>
  <c r="G469" i="4"/>
  <c r="H469" i="4"/>
  <c r="I469" i="4"/>
  <c r="J469" i="4"/>
  <c r="K469" i="4"/>
  <c r="L469" i="4"/>
  <c r="M469" i="4"/>
  <c r="AE469" i="5" s="1"/>
  <c r="N469" i="4"/>
  <c r="O469" i="4"/>
  <c r="P469" i="4"/>
  <c r="Q469" i="4"/>
  <c r="R469" i="4"/>
  <c r="S469" i="4"/>
  <c r="T469" i="4"/>
  <c r="E470" i="4"/>
  <c r="F470" i="4"/>
  <c r="G470" i="4"/>
  <c r="H470" i="4"/>
  <c r="I470" i="4"/>
  <c r="J470" i="4"/>
  <c r="K470" i="4"/>
  <c r="L470" i="4"/>
  <c r="M470" i="4"/>
  <c r="AE470" i="5" s="1"/>
  <c r="N470" i="4"/>
  <c r="O470" i="4"/>
  <c r="P470" i="4"/>
  <c r="Q470" i="4"/>
  <c r="R470" i="4"/>
  <c r="S470" i="4"/>
  <c r="T470" i="4"/>
  <c r="E471" i="4"/>
  <c r="F471" i="4"/>
  <c r="G471" i="4"/>
  <c r="H471" i="4"/>
  <c r="I471" i="4"/>
  <c r="J471" i="4"/>
  <c r="K471" i="4"/>
  <c r="L471" i="4"/>
  <c r="M471" i="4"/>
  <c r="AE471" i="5" s="1"/>
  <c r="N471" i="4"/>
  <c r="O471" i="4"/>
  <c r="P471" i="4"/>
  <c r="Q471" i="4"/>
  <c r="R471" i="4"/>
  <c r="S471" i="4"/>
  <c r="T471" i="4"/>
  <c r="E472" i="4"/>
  <c r="F472" i="4"/>
  <c r="G472" i="4"/>
  <c r="H472" i="4"/>
  <c r="I472" i="4"/>
  <c r="J472" i="4"/>
  <c r="K472" i="4"/>
  <c r="L472" i="4"/>
  <c r="M472" i="4"/>
  <c r="AE472" i="5" s="1"/>
  <c r="N472" i="4"/>
  <c r="O472" i="4"/>
  <c r="P472" i="4"/>
  <c r="Q472" i="4"/>
  <c r="R472" i="4"/>
  <c r="S472" i="4"/>
  <c r="T472" i="4"/>
  <c r="E473" i="4"/>
  <c r="F473" i="4"/>
  <c r="G473" i="4"/>
  <c r="H473" i="4"/>
  <c r="I473" i="4"/>
  <c r="J473" i="4"/>
  <c r="K473" i="4"/>
  <c r="L473" i="4"/>
  <c r="M473" i="4"/>
  <c r="AE473" i="5" s="1"/>
  <c r="N473" i="4"/>
  <c r="O473" i="4"/>
  <c r="P473" i="4"/>
  <c r="Q473" i="4"/>
  <c r="R473" i="4"/>
  <c r="S473" i="4"/>
  <c r="T473" i="4"/>
  <c r="E474" i="4"/>
  <c r="F474" i="4"/>
  <c r="G474" i="4"/>
  <c r="H474" i="4"/>
  <c r="I474" i="4"/>
  <c r="J474" i="4"/>
  <c r="K474" i="4"/>
  <c r="L474" i="4"/>
  <c r="M474" i="4"/>
  <c r="AE474" i="5" s="1"/>
  <c r="N474" i="4"/>
  <c r="O474" i="4"/>
  <c r="P474" i="4"/>
  <c r="Q474" i="4"/>
  <c r="R474" i="4"/>
  <c r="S474" i="4"/>
  <c r="T474" i="4"/>
  <c r="E475" i="4"/>
  <c r="F475" i="4"/>
  <c r="G475" i="4"/>
  <c r="H475" i="4"/>
  <c r="I475" i="4"/>
  <c r="J475" i="4"/>
  <c r="K475" i="4"/>
  <c r="L475" i="4"/>
  <c r="M475" i="4"/>
  <c r="AE475" i="5" s="1"/>
  <c r="N475" i="4"/>
  <c r="O475" i="4"/>
  <c r="P475" i="4"/>
  <c r="Q475" i="4"/>
  <c r="R475" i="4"/>
  <c r="S475" i="4"/>
  <c r="T475" i="4"/>
  <c r="E476" i="4"/>
  <c r="F476" i="4"/>
  <c r="G476" i="4"/>
  <c r="H476" i="4"/>
  <c r="I476" i="4"/>
  <c r="J476" i="4"/>
  <c r="K476" i="4"/>
  <c r="L476" i="4"/>
  <c r="M476" i="4"/>
  <c r="AE476" i="5" s="1"/>
  <c r="N476" i="4"/>
  <c r="O476" i="4"/>
  <c r="P476" i="4"/>
  <c r="Q476" i="4"/>
  <c r="R476" i="4"/>
  <c r="S476" i="4"/>
  <c r="T476" i="4"/>
  <c r="E477" i="4"/>
  <c r="F477" i="4"/>
  <c r="G477" i="4"/>
  <c r="H477" i="4"/>
  <c r="I477" i="4"/>
  <c r="J477" i="4"/>
  <c r="K477" i="4"/>
  <c r="L477" i="4"/>
  <c r="M477" i="4"/>
  <c r="AE477" i="5" s="1"/>
  <c r="N477" i="4"/>
  <c r="O477" i="4"/>
  <c r="P477" i="4"/>
  <c r="Q477" i="4"/>
  <c r="R477" i="4"/>
  <c r="S477" i="4"/>
  <c r="T477" i="4"/>
  <c r="U477" i="4"/>
  <c r="V477" i="4"/>
  <c r="E478" i="4"/>
  <c r="F478" i="4"/>
  <c r="G478" i="4"/>
  <c r="H478" i="4"/>
  <c r="I478" i="4"/>
  <c r="J478" i="4"/>
  <c r="K478" i="4"/>
  <c r="L478" i="4"/>
  <c r="M478" i="4"/>
  <c r="AE478" i="5" s="1"/>
  <c r="N478" i="4"/>
  <c r="O478" i="4"/>
  <c r="P478" i="4"/>
  <c r="Q478" i="4"/>
  <c r="R478" i="4"/>
  <c r="S478" i="4"/>
  <c r="T478" i="4"/>
  <c r="U478" i="4"/>
  <c r="V478" i="4"/>
  <c r="E479" i="4"/>
  <c r="F479" i="4"/>
  <c r="G479" i="4"/>
  <c r="H479" i="4"/>
  <c r="I479" i="4"/>
  <c r="J479" i="4"/>
  <c r="K479" i="4"/>
  <c r="L479" i="4"/>
  <c r="M479" i="4"/>
  <c r="AE479" i="5" s="1"/>
  <c r="N479" i="4"/>
  <c r="O479" i="4"/>
  <c r="P479" i="4"/>
  <c r="Q479" i="4"/>
  <c r="R479" i="4"/>
  <c r="S479" i="4"/>
  <c r="T479" i="4"/>
  <c r="U479" i="4"/>
  <c r="V479" i="4"/>
  <c r="E480" i="4"/>
  <c r="F480" i="4"/>
  <c r="G480" i="4"/>
  <c r="H480" i="4"/>
  <c r="I480" i="4"/>
  <c r="J480" i="4"/>
  <c r="K480" i="4"/>
  <c r="L480" i="4"/>
  <c r="M480" i="4"/>
  <c r="AE480" i="5" s="1"/>
  <c r="N480" i="4"/>
  <c r="O480" i="4"/>
  <c r="P480" i="4"/>
  <c r="Q480" i="4"/>
  <c r="R480" i="4"/>
  <c r="S480" i="4"/>
  <c r="T480" i="4"/>
  <c r="U480" i="4"/>
  <c r="V480" i="4"/>
  <c r="E481" i="4"/>
  <c r="F481" i="4"/>
  <c r="G481" i="4"/>
  <c r="H481" i="4"/>
  <c r="I481" i="4"/>
  <c r="J481" i="4"/>
  <c r="K481" i="4"/>
  <c r="L481" i="4"/>
  <c r="M481" i="4"/>
  <c r="AE481" i="5" s="1"/>
  <c r="N481" i="4"/>
  <c r="O481" i="4"/>
  <c r="P481" i="4"/>
  <c r="Q481" i="4"/>
  <c r="R481" i="4"/>
  <c r="S481" i="4"/>
  <c r="T481" i="4"/>
  <c r="U481" i="4"/>
  <c r="V481" i="4"/>
  <c r="E482" i="4"/>
  <c r="F482" i="4"/>
  <c r="G482" i="4"/>
  <c r="H482" i="4"/>
  <c r="I482" i="4"/>
  <c r="J482" i="4"/>
  <c r="K482" i="4"/>
  <c r="L482" i="4"/>
  <c r="M482" i="4"/>
  <c r="AE482" i="5" s="1"/>
  <c r="N482" i="4"/>
  <c r="O482" i="4"/>
  <c r="P482" i="4"/>
  <c r="Q482" i="4"/>
  <c r="R482" i="4"/>
  <c r="S482" i="4"/>
  <c r="T482" i="4"/>
  <c r="E483" i="4"/>
  <c r="F483" i="4"/>
  <c r="G483" i="4"/>
  <c r="H483" i="4"/>
  <c r="I483" i="4"/>
  <c r="J483" i="4"/>
  <c r="K483" i="4"/>
  <c r="L483" i="4"/>
  <c r="M483" i="4"/>
  <c r="AE483" i="5" s="1"/>
  <c r="N483" i="4"/>
  <c r="O483" i="4"/>
  <c r="P483" i="4"/>
  <c r="Q483" i="4"/>
  <c r="R483" i="4"/>
  <c r="S483" i="4"/>
  <c r="T483" i="4"/>
  <c r="E484" i="4"/>
  <c r="F484" i="4"/>
  <c r="G484" i="4"/>
  <c r="H484" i="4"/>
  <c r="I484" i="4"/>
  <c r="J484" i="4"/>
  <c r="K484" i="4"/>
  <c r="L484" i="4"/>
  <c r="M484" i="4"/>
  <c r="AE484" i="5" s="1"/>
  <c r="N484" i="4"/>
  <c r="O484" i="4"/>
  <c r="P484" i="4"/>
  <c r="Q484" i="4"/>
  <c r="R484" i="4"/>
  <c r="S484" i="4"/>
  <c r="T484" i="4"/>
  <c r="E485" i="4"/>
  <c r="F485" i="4"/>
  <c r="G485" i="4"/>
  <c r="H485" i="4"/>
  <c r="I485" i="4"/>
  <c r="J485" i="4"/>
  <c r="K485" i="4"/>
  <c r="L485" i="4"/>
  <c r="M485" i="4"/>
  <c r="AE485" i="5" s="1"/>
  <c r="N485" i="4"/>
  <c r="O485" i="4"/>
  <c r="P485" i="4"/>
  <c r="Q485" i="4"/>
  <c r="R485" i="4"/>
  <c r="S485" i="4"/>
  <c r="T485" i="4"/>
  <c r="E486" i="4"/>
  <c r="F486" i="4"/>
  <c r="G486" i="4"/>
  <c r="H486" i="4"/>
  <c r="I486" i="4"/>
  <c r="J486" i="4"/>
  <c r="K486" i="4"/>
  <c r="L486" i="4"/>
  <c r="M486" i="4"/>
  <c r="AE486" i="5" s="1"/>
  <c r="N486" i="4"/>
  <c r="O486" i="4"/>
  <c r="P486" i="4"/>
  <c r="Q486" i="4"/>
  <c r="R486" i="4"/>
  <c r="S486" i="4"/>
  <c r="T486" i="4"/>
  <c r="E487" i="4"/>
  <c r="F487" i="4"/>
  <c r="G487" i="4"/>
  <c r="H487" i="4"/>
  <c r="I487" i="4"/>
  <c r="J487" i="4"/>
  <c r="K487" i="4"/>
  <c r="L487" i="4"/>
  <c r="M487" i="4"/>
  <c r="AE487" i="5" s="1"/>
  <c r="N487" i="4"/>
  <c r="O487" i="4"/>
  <c r="P487" i="4"/>
  <c r="Q487" i="4"/>
  <c r="R487" i="4"/>
  <c r="S487" i="4"/>
  <c r="T487" i="4"/>
  <c r="E488" i="4"/>
  <c r="F488" i="4"/>
  <c r="G488" i="4"/>
  <c r="H488" i="4"/>
  <c r="I488" i="4"/>
  <c r="J488" i="4"/>
  <c r="K488" i="4"/>
  <c r="L488" i="4"/>
  <c r="M488" i="4"/>
  <c r="AE488" i="5" s="1"/>
  <c r="N488" i="4"/>
  <c r="O488" i="4"/>
  <c r="P488" i="4"/>
  <c r="Q488" i="4"/>
  <c r="R488" i="4"/>
  <c r="S488" i="4"/>
  <c r="T488" i="4"/>
  <c r="E489" i="4"/>
  <c r="F489" i="4"/>
  <c r="G489" i="4"/>
  <c r="H489" i="4"/>
  <c r="I489" i="4"/>
  <c r="J489" i="4"/>
  <c r="K489" i="4"/>
  <c r="L489" i="4"/>
  <c r="M489" i="4"/>
  <c r="AE489" i="5" s="1"/>
  <c r="N489" i="4"/>
  <c r="O489" i="4"/>
  <c r="P489" i="4"/>
  <c r="Q489" i="4"/>
  <c r="R489" i="4"/>
  <c r="S489" i="4"/>
  <c r="T489" i="4"/>
  <c r="E490" i="4"/>
  <c r="F490" i="4"/>
  <c r="G490" i="4"/>
  <c r="H490" i="4"/>
  <c r="I490" i="4"/>
  <c r="J490" i="4"/>
  <c r="K490" i="4"/>
  <c r="L490" i="4"/>
  <c r="M490" i="4"/>
  <c r="AE490" i="5" s="1"/>
  <c r="N490" i="4"/>
  <c r="O490" i="4"/>
  <c r="P490" i="4"/>
  <c r="Q490" i="4"/>
  <c r="R490" i="4"/>
  <c r="S490" i="4"/>
  <c r="T490" i="4"/>
  <c r="E491" i="4"/>
  <c r="F491" i="4"/>
  <c r="G491" i="4"/>
  <c r="H491" i="4"/>
  <c r="I491" i="4"/>
  <c r="J491" i="4"/>
  <c r="K491" i="4"/>
  <c r="L491" i="4"/>
  <c r="M491" i="4"/>
  <c r="AE491" i="5" s="1"/>
  <c r="N491" i="4"/>
  <c r="O491" i="4"/>
  <c r="P491" i="4"/>
  <c r="Q491" i="4"/>
  <c r="R491" i="4"/>
  <c r="S491" i="4"/>
  <c r="T491" i="4"/>
  <c r="E492" i="4"/>
  <c r="F492" i="4"/>
  <c r="G492" i="4"/>
  <c r="H492" i="4"/>
  <c r="I492" i="4"/>
  <c r="J492" i="4"/>
  <c r="K492" i="4"/>
  <c r="L492" i="4"/>
  <c r="M492" i="4"/>
  <c r="AE492" i="5" s="1"/>
  <c r="N492" i="4"/>
  <c r="O492" i="4"/>
  <c r="P492" i="4"/>
  <c r="Q492" i="4"/>
  <c r="R492" i="4"/>
  <c r="S492" i="4"/>
  <c r="T492" i="4"/>
  <c r="E493" i="4"/>
  <c r="F493" i="4"/>
  <c r="G493" i="4"/>
  <c r="H493" i="4"/>
  <c r="I493" i="4"/>
  <c r="J493" i="4"/>
  <c r="K493" i="4"/>
  <c r="L493" i="4"/>
  <c r="M493" i="4"/>
  <c r="AE493" i="5" s="1"/>
  <c r="N493" i="4"/>
  <c r="O493" i="4"/>
  <c r="P493" i="4"/>
  <c r="Q493" i="4"/>
  <c r="R493" i="4"/>
  <c r="S493" i="4"/>
  <c r="T493" i="4"/>
  <c r="E494" i="4"/>
  <c r="F494" i="4"/>
  <c r="G494" i="4"/>
  <c r="H494" i="4"/>
  <c r="I494" i="4"/>
  <c r="J494" i="4"/>
  <c r="K494" i="4"/>
  <c r="L494" i="4"/>
  <c r="M494" i="4"/>
  <c r="AE494" i="5" s="1"/>
  <c r="N494" i="4"/>
  <c r="O494" i="4"/>
  <c r="P494" i="4"/>
  <c r="Q494" i="4"/>
  <c r="R494" i="4"/>
  <c r="S494" i="4"/>
  <c r="T494" i="4"/>
  <c r="E495" i="4"/>
  <c r="F495" i="4"/>
  <c r="G495" i="4"/>
  <c r="H495" i="4"/>
  <c r="I495" i="4"/>
  <c r="J495" i="4"/>
  <c r="K495" i="4"/>
  <c r="L495" i="4"/>
  <c r="M495" i="4"/>
  <c r="AE495" i="5" s="1"/>
  <c r="N495" i="4"/>
  <c r="O495" i="4"/>
  <c r="P495" i="4"/>
  <c r="Q495" i="4"/>
  <c r="R495" i="4"/>
  <c r="S495" i="4"/>
  <c r="T495" i="4"/>
  <c r="E496" i="4"/>
  <c r="F496" i="4"/>
  <c r="G496" i="4"/>
  <c r="H496" i="4"/>
  <c r="I496" i="4"/>
  <c r="J496" i="4"/>
  <c r="K496" i="4"/>
  <c r="L496" i="4"/>
  <c r="M496" i="4"/>
  <c r="AE496" i="5" s="1"/>
  <c r="N496" i="4"/>
  <c r="O496" i="4"/>
  <c r="P496" i="4"/>
  <c r="Q496" i="4"/>
  <c r="R496" i="4"/>
  <c r="S496" i="4"/>
  <c r="T496" i="4"/>
  <c r="U496" i="4"/>
  <c r="V496" i="4"/>
  <c r="E497" i="4"/>
  <c r="F497" i="4"/>
  <c r="G497" i="4"/>
  <c r="H497" i="4"/>
  <c r="I497" i="4"/>
  <c r="J497" i="4"/>
  <c r="K497" i="4"/>
  <c r="L497" i="4"/>
  <c r="M497" i="4"/>
  <c r="AE497" i="5" s="1"/>
  <c r="N497" i="4"/>
  <c r="O497" i="4"/>
  <c r="P497" i="4"/>
  <c r="Q497" i="4"/>
  <c r="R497" i="4"/>
  <c r="S497" i="4"/>
  <c r="T497" i="4"/>
  <c r="U497" i="4"/>
  <c r="V497" i="4"/>
  <c r="E498" i="4"/>
  <c r="F498" i="4"/>
  <c r="G498" i="4"/>
  <c r="H498" i="4"/>
  <c r="I498" i="4"/>
  <c r="J498" i="4"/>
  <c r="K498" i="4"/>
  <c r="L498" i="4"/>
  <c r="M498" i="4"/>
  <c r="AE498" i="5" s="1"/>
  <c r="N498" i="4"/>
  <c r="O498" i="4"/>
  <c r="P498" i="4"/>
  <c r="Q498" i="4"/>
  <c r="R498" i="4"/>
  <c r="S498" i="4"/>
  <c r="T498" i="4"/>
  <c r="U498" i="4"/>
  <c r="V498" i="4"/>
  <c r="E499" i="4"/>
  <c r="F499" i="4"/>
  <c r="G499" i="4"/>
  <c r="H499" i="4"/>
  <c r="I499" i="4"/>
  <c r="J499" i="4"/>
  <c r="K499" i="4"/>
  <c r="L499" i="4"/>
  <c r="M499" i="4"/>
  <c r="AE499" i="5" s="1"/>
  <c r="N499" i="4"/>
  <c r="O499" i="4"/>
  <c r="P499" i="4"/>
  <c r="Q499" i="4"/>
  <c r="R499" i="4"/>
  <c r="S499" i="4"/>
  <c r="T499" i="4"/>
  <c r="E500" i="4"/>
  <c r="F500" i="4"/>
  <c r="G500" i="4"/>
  <c r="H500" i="4"/>
  <c r="I500" i="4"/>
  <c r="J500" i="4"/>
  <c r="K500" i="4"/>
  <c r="L500" i="4"/>
  <c r="M500" i="4"/>
  <c r="AE500" i="5" s="1"/>
  <c r="N500" i="4"/>
  <c r="O500" i="4"/>
  <c r="P500" i="4"/>
  <c r="Q500" i="4"/>
  <c r="R500" i="4"/>
  <c r="S500" i="4"/>
  <c r="T500" i="4"/>
  <c r="E501" i="4"/>
  <c r="F501" i="4"/>
  <c r="G501" i="4"/>
  <c r="H501" i="4"/>
  <c r="I501" i="4"/>
  <c r="J501" i="4"/>
  <c r="K501" i="4"/>
  <c r="L501" i="4"/>
  <c r="M501" i="4"/>
  <c r="AE501" i="5" s="1"/>
  <c r="N501" i="4"/>
  <c r="O501" i="4"/>
  <c r="P501" i="4"/>
  <c r="Q501" i="4"/>
  <c r="R501" i="4"/>
  <c r="S501" i="4"/>
  <c r="T501" i="4"/>
  <c r="E502" i="4"/>
  <c r="F502" i="4"/>
  <c r="G502" i="4"/>
  <c r="H502" i="4"/>
  <c r="I502" i="4"/>
  <c r="J502" i="4"/>
  <c r="K502" i="4"/>
  <c r="L502" i="4"/>
  <c r="M502" i="4"/>
  <c r="AE502" i="5" s="1"/>
  <c r="N502" i="4"/>
  <c r="O502" i="4"/>
  <c r="P502" i="4"/>
  <c r="Q502" i="4"/>
  <c r="R502" i="4"/>
  <c r="S502" i="4"/>
  <c r="T502" i="4"/>
  <c r="E503" i="4"/>
  <c r="F503" i="4"/>
  <c r="G503" i="4"/>
  <c r="H503" i="4"/>
  <c r="I503" i="4"/>
  <c r="J503" i="4"/>
  <c r="K503" i="4"/>
  <c r="L503" i="4"/>
  <c r="M503" i="4"/>
  <c r="AE503" i="5" s="1"/>
  <c r="N503" i="4"/>
  <c r="O503" i="4"/>
  <c r="P503" i="4"/>
  <c r="Q503" i="4"/>
  <c r="R503" i="4"/>
  <c r="S503" i="4"/>
  <c r="T503" i="4"/>
  <c r="E504" i="4"/>
  <c r="F504" i="4"/>
  <c r="G504" i="4"/>
  <c r="H504" i="4"/>
  <c r="I504" i="4"/>
  <c r="J504" i="4"/>
  <c r="K504" i="4"/>
  <c r="L504" i="4"/>
  <c r="M504" i="4"/>
  <c r="AE504" i="5" s="1"/>
  <c r="N504" i="4"/>
  <c r="O504" i="4"/>
  <c r="P504" i="4"/>
  <c r="Q504" i="4"/>
  <c r="R504" i="4"/>
  <c r="S504" i="4"/>
  <c r="T504" i="4"/>
  <c r="E505" i="4"/>
  <c r="F505" i="4"/>
  <c r="G505" i="4"/>
  <c r="H505" i="4"/>
  <c r="I505" i="4"/>
  <c r="J505" i="4"/>
  <c r="K505" i="4"/>
  <c r="L505" i="4"/>
  <c r="M505" i="4"/>
  <c r="AE505" i="5" s="1"/>
  <c r="N505" i="4"/>
  <c r="O505" i="4"/>
  <c r="P505" i="4"/>
  <c r="Q505" i="4"/>
  <c r="R505" i="4"/>
  <c r="S505" i="4"/>
  <c r="T505" i="4"/>
  <c r="E506" i="4"/>
  <c r="F506" i="4"/>
  <c r="G506" i="4"/>
  <c r="H506" i="4"/>
  <c r="I506" i="4"/>
  <c r="J506" i="4"/>
  <c r="K506" i="4"/>
  <c r="L506" i="4"/>
  <c r="M506" i="4"/>
  <c r="AE506" i="5" s="1"/>
  <c r="N506" i="4"/>
  <c r="O506" i="4"/>
  <c r="P506" i="4"/>
  <c r="Q506" i="4"/>
  <c r="R506" i="4"/>
  <c r="S506" i="4"/>
  <c r="T506" i="4"/>
  <c r="E507" i="4"/>
  <c r="F507" i="4"/>
  <c r="G507" i="4"/>
  <c r="H507" i="4"/>
  <c r="I507" i="4"/>
  <c r="J507" i="4"/>
  <c r="K507" i="4"/>
  <c r="L507" i="4"/>
  <c r="M507" i="4"/>
  <c r="AE507" i="5" s="1"/>
  <c r="N507" i="4"/>
  <c r="O507" i="4"/>
  <c r="P507" i="4"/>
  <c r="Q507" i="4"/>
  <c r="R507" i="4"/>
  <c r="S507" i="4"/>
  <c r="T507" i="4"/>
  <c r="E508" i="4"/>
  <c r="F508" i="4"/>
  <c r="G508" i="4"/>
  <c r="H508" i="4"/>
  <c r="I508" i="4"/>
  <c r="J508" i="4"/>
  <c r="K508" i="4"/>
  <c r="L508" i="4"/>
  <c r="M508" i="4"/>
  <c r="AE508" i="5" s="1"/>
  <c r="N508" i="4"/>
  <c r="O508" i="4"/>
  <c r="P508" i="4"/>
  <c r="Q508" i="4"/>
  <c r="R508" i="4"/>
  <c r="S508" i="4"/>
  <c r="T508" i="4"/>
  <c r="E509" i="4"/>
  <c r="F509" i="4"/>
  <c r="G509" i="4"/>
  <c r="H509" i="4"/>
  <c r="I509" i="4"/>
  <c r="J509" i="4"/>
  <c r="K509" i="4"/>
  <c r="L509" i="4"/>
  <c r="M509" i="4"/>
  <c r="AE509" i="5" s="1"/>
  <c r="N509" i="4"/>
  <c r="O509" i="4"/>
  <c r="P509" i="4"/>
  <c r="Q509" i="4"/>
  <c r="R509" i="4"/>
  <c r="S509" i="4"/>
  <c r="T509" i="4"/>
  <c r="E510" i="4"/>
  <c r="F510" i="4"/>
  <c r="G510" i="4"/>
  <c r="H510" i="4"/>
  <c r="I510" i="4"/>
  <c r="J510" i="4"/>
  <c r="K510" i="4"/>
  <c r="L510" i="4"/>
  <c r="M510" i="4"/>
  <c r="AE510" i="5" s="1"/>
  <c r="N510" i="4"/>
  <c r="O510" i="4"/>
  <c r="P510" i="4"/>
  <c r="Q510" i="4"/>
  <c r="R510" i="4"/>
  <c r="S510" i="4"/>
  <c r="T510" i="4"/>
  <c r="E511" i="4"/>
  <c r="F511" i="4"/>
  <c r="G511" i="4"/>
  <c r="H511" i="4"/>
  <c r="I511" i="4"/>
  <c r="J511" i="4"/>
  <c r="K511" i="4"/>
  <c r="L511" i="4"/>
  <c r="M511" i="4"/>
  <c r="AE511" i="5" s="1"/>
  <c r="N511" i="4"/>
  <c r="O511" i="4"/>
  <c r="P511" i="4"/>
  <c r="Q511" i="4"/>
  <c r="R511" i="4"/>
  <c r="S511" i="4"/>
  <c r="T511" i="4"/>
  <c r="E512" i="4"/>
  <c r="F512" i="4"/>
  <c r="G512" i="4"/>
  <c r="H512" i="4"/>
  <c r="I512" i="4"/>
  <c r="J512" i="4"/>
  <c r="K512" i="4"/>
  <c r="L512" i="4"/>
  <c r="M512" i="4"/>
  <c r="AE512" i="5" s="1"/>
  <c r="N512" i="4"/>
  <c r="O512" i="4"/>
  <c r="P512" i="4"/>
  <c r="Q512" i="4"/>
  <c r="R512" i="4"/>
  <c r="S512" i="4"/>
  <c r="T512" i="4"/>
  <c r="E513" i="4"/>
  <c r="F513" i="4"/>
  <c r="G513" i="4"/>
  <c r="H513" i="4"/>
  <c r="I513" i="4"/>
  <c r="J513" i="4"/>
  <c r="K513" i="4"/>
  <c r="L513" i="4"/>
  <c r="M513" i="4"/>
  <c r="AE513" i="5" s="1"/>
  <c r="N513" i="4"/>
  <c r="O513" i="4"/>
  <c r="P513" i="4"/>
  <c r="Q513" i="4"/>
  <c r="R513" i="4"/>
  <c r="S513" i="4"/>
  <c r="T513" i="4"/>
  <c r="E514" i="4"/>
  <c r="F514" i="4"/>
  <c r="G514" i="4"/>
  <c r="H514" i="4"/>
  <c r="I514" i="4"/>
  <c r="J514" i="4"/>
  <c r="K514" i="4"/>
  <c r="L514" i="4"/>
  <c r="M514" i="4"/>
  <c r="AE514" i="5" s="1"/>
  <c r="N514" i="4"/>
  <c r="O514" i="4"/>
  <c r="P514" i="4"/>
  <c r="Q514" i="4"/>
  <c r="R514" i="4"/>
  <c r="S514" i="4"/>
  <c r="T514" i="4"/>
  <c r="U514" i="4"/>
  <c r="V514" i="4"/>
  <c r="E515" i="4"/>
  <c r="F515" i="4"/>
  <c r="G515" i="4"/>
  <c r="H515" i="4"/>
  <c r="I515" i="4"/>
  <c r="J515" i="4"/>
  <c r="K515" i="4"/>
  <c r="L515" i="4"/>
  <c r="M515" i="4"/>
  <c r="AE515" i="5" s="1"/>
  <c r="N515" i="4"/>
  <c r="O515" i="4"/>
  <c r="P515" i="4"/>
  <c r="Q515" i="4"/>
  <c r="R515" i="4"/>
  <c r="S515" i="4"/>
  <c r="T515" i="4"/>
  <c r="E516" i="4"/>
  <c r="F516" i="4"/>
  <c r="G516" i="4"/>
  <c r="H516" i="4"/>
  <c r="I516" i="4"/>
  <c r="J516" i="4"/>
  <c r="K516" i="4"/>
  <c r="L516" i="4"/>
  <c r="M516" i="4"/>
  <c r="AE516" i="5" s="1"/>
  <c r="N516" i="4"/>
  <c r="O516" i="4"/>
  <c r="P516" i="4"/>
  <c r="Q516" i="4"/>
  <c r="R516" i="4"/>
  <c r="S516" i="4"/>
  <c r="T516" i="4"/>
  <c r="E517" i="4"/>
  <c r="F517" i="4"/>
  <c r="G517" i="4"/>
  <c r="H517" i="4"/>
  <c r="I517" i="4"/>
  <c r="J517" i="4"/>
  <c r="K517" i="4"/>
  <c r="L517" i="4"/>
  <c r="M517" i="4"/>
  <c r="AE517" i="5" s="1"/>
  <c r="N517" i="4"/>
  <c r="O517" i="4"/>
  <c r="P517" i="4"/>
  <c r="Q517" i="4"/>
  <c r="R517" i="4"/>
  <c r="S517" i="4"/>
  <c r="T517" i="4"/>
  <c r="E518" i="4"/>
  <c r="F518" i="4"/>
  <c r="G518" i="4"/>
  <c r="H518" i="4"/>
  <c r="I518" i="4"/>
  <c r="J518" i="4"/>
  <c r="K518" i="4"/>
  <c r="L518" i="4"/>
  <c r="M518" i="4"/>
  <c r="AE518" i="5" s="1"/>
  <c r="N518" i="4"/>
  <c r="O518" i="4"/>
  <c r="P518" i="4"/>
  <c r="Q518" i="4"/>
  <c r="R518" i="4"/>
  <c r="S518" i="4"/>
  <c r="T518" i="4"/>
  <c r="E519" i="4"/>
  <c r="F519" i="4"/>
  <c r="G519" i="4"/>
  <c r="H519" i="4"/>
  <c r="I519" i="4"/>
  <c r="J519" i="4"/>
  <c r="K519" i="4"/>
  <c r="L519" i="4"/>
  <c r="M519" i="4"/>
  <c r="AE519" i="5" s="1"/>
  <c r="N519" i="4"/>
  <c r="O519" i="4"/>
  <c r="P519" i="4"/>
  <c r="Q519" i="4"/>
  <c r="R519" i="4"/>
  <c r="S519" i="4"/>
  <c r="T519" i="4"/>
  <c r="E520" i="4"/>
  <c r="F520" i="4"/>
  <c r="G520" i="4"/>
  <c r="H520" i="4"/>
  <c r="I520" i="4"/>
  <c r="J520" i="4"/>
  <c r="K520" i="4"/>
  <c r="L520" i="4"/>
  <c r="M520" i="4"/>
  <c r="AE520" i="5" s="1"/>
  <c r="N520" i="4"/>
  <c r="O520" i="4"/>
  <c r="P520" i="4"/>
  <c r="Q520" i="4"/>
  <c r="R520" i="4"/>
  <c r="S520" i="4"/>
  <c r="T520" i="4"/>
  <c r="E521" i="4"/>
  <c r="F521" i="4"/>
  <c r="G521" i="4"/>
  <c r="H521" i="4"/>
  <c r="I521" i="4"/>
  <c r="J521" i="4"/>
  <c r="K521" i="4"/>
  <c r="L521" i="4"/>
  <c r="M521" i="4"/>
  <c r="AE521" i="5" s="1"/>
  <c r="N521" i="4"/>
  <c r="O521" i="4"/>
  <c r="P521" i="4"/>
  <c r="Q521" i="4"/>
  <c r="R521" i="4"/>
  <c r="S521" i="4"/>
  <c r="T521" i="4"/>
  <c r="E522" i="4"/>
  <c r="F522" i="4"/>
  <c r="G522" i="4"/>
  <c r="H522" i="4"/>
  <c r="I522" i="4"/>
  <c r="J522" i="4"/>
  <c r="K522" i="4"/>
  <c r="L522" i="4"/>
  <c r="M522" i="4"/>
  <c r="AE522" i="5" s="1"/>
  <c r="N522" i="4"/>
  <c r="O522" i="4"/>
  <c r="P522" i="4"/>
  <c r="Q522" i="4"/>
  <c r="R522" i="4"/>
  <c r="S522" i="4"/>
  <c r="T522" i="4"/>
  <c r="E523" i="4"/>
  <c r="F523" i="4"/>
  <c r="G523" i="4"/>
  <c r="H523" i="4"/>
  <c r="I523" i="4"/>
  <c r="J523" i="4"/>
  <c r="K523" i="4"/>
  <c r="L523" i="4"/>
  <c r="M523" i="4"/>
  <c r="AE523" i="5" s="1"/>
  <c r="N523" i="4"/>
  <c r="O523" i="4"/>
  <c r="P523" i="4"/>
  <c r="Q523" i="4"/>
  <c r="R523" i="4"/>
  <c r="S523" i="4"/>
  <c r="T523" i="4"/>
  <c r="E524" i="4"/>
  <c r="F524" i="4"/>
  <c r="G524" i="4"/>
  <c r="H524" i="4"/>
  <c r="I524" i="4"/>
  <c r="J524" i="4"/>
  <c r="K524" i="4"/>
  <c r="L524" i="4"/>
  <c r="M524" i="4"/>
  <c r="AE524" i="5" s="1"/>
  <c r="N524" i="4"/>
  <c r="O524" i="4"/>
  <c r="P524" i="4"/>
  <c r="Q524" i="4"/>
  <c r="R524" i="4"/>
  <c r="S524" i="4"/>
  <c r="T524" i="4"/>
  <c r="U524" i="4"/>
  <c r="V524" i="4"/>
  <c r="E525" i="4"/>
  <c r="F525" i="4"/>
  <c r="G525" i="4"/>
  <c r="H525" i="4"/>
  <c r="I525" i="4"/>
  <c r="J525" i="4"/>
  <c r="K525" i="4"/>
  <c r="L525" i="4"/>
  <c r="M525" i="4"/>
  <c r="AE525" i="5" s="1"/>
  <c r="N525" i="4"/>
  <c r="O525" i="4"/>
  <c r="P525" i="4"/>
  <c r="Q525" i="4"/>
  <c r="R525" i="4"/>
  <c r="S525" i="4"/>
  <c r="T525" i="4"/>
  <c r="U525" i="4"/>
  <c r="V525" i="4"/>
  <c r="E526" i="4"/>
  <c r="F526" i="4"/>
  <c r="G526" i="4"/>
  <c r="H526" i="4"/>
  <c r="I526" i="4"/>
  <c r="J526" i="4"/>
  <c r="K526" i="4"/>
  <c r="L526" i="4"/>
  <c r="M526" i="4"/>
  <c r="AE526" i="5" s="1"/>
  <c r="N526" i="4"/>
  <c r="O526" i="4"/>
  <c r="P526" i="4"/>
  <c r="Q526" i="4"/>
  <c r="R526" i="4"/>
  <c r="S526" i="4"/>
  <c r="T526" i="4"/>
  <c r="U526" i="4"/>
  <c r="V526" i="4"/>
  <c r="E527" i="4"/>
  <c r="F527" i="4"/>
  <c r="G527" i="4"/>
  <c r="H527" i="4"/>
  <c r="I527" i="4"/>
  <c r="J527" i="4"/>
  <c r="K527" i="4"/>
  <c r="L527" i="4"/>
  <c r="M527" i="4"/>
  <c r="AE527" i="5" s="1"/>
  <c r="N527" i="4"/>
  <c r="O527" i="4"/>
  <c r="P527" i="4"/>
  <c r="Q527" i="4"/>
  <c r="R527" i="4"/>
  <c r="S527" i="4"/>
  <c r="T527" i="4"/>
  <c r="E528" i="4"/>
  <c r="F528" i="4"/>
  <c r="G528" i="4"/>
  <c r="H528" i="4"/>
  <c r="I528" i="4"/>
  <c r="J528" i="4"/>
  <c r="K528" i="4"/>
  <c r="L528" i="4"/>
  <c r="M528" i="4"/>
  <c r="AE528" i="5" s="1"/>
  <c r="N528" i="4"/>
  <c r="O528" i="4"/>
  <c r="P528" i="4"/>
  <c r="Q528" i="4"/>
  <c r="R528" i="4"/>
  <c r="S528" i="4"/>
  <c r="T528" i="4"/>
  <c r="E529" i="4"/>
  <c r="F529" i="4"/>
  <c r="G529" i="4"/>
  <c r="H529" i="4"/>
  <c r="I529" i="4"/>
  <c r="J529" i="4"/>
  <c r="K529" i="4"/>
  <c r="L529" i="4"/>
  <c r="M529" i="4"/>
  <c r="AE529" i="5" s="1"/>
  <c r="N529" i="4"/>
  <c r="O529" i="4"/>
  <c r="P529" i="4"/>
  <c r="Q529" i="4"/>
  <c r="R529" i="4"/>
  <c r="S529" i="4"/>
  <c r="T529" i="4"/>
  <c r="U529" i="4"/>
  <c r="V529" i="4"/>
  <c r="E530" i="4"/>
  <c r="F530" i="4"/>
  <c r="G530" i="4"/>
  <c r="H530" i="4"/>
  <c r="I530" i="4"/>
  <c r="J530" i="4"/>
  <c r="K530" i="4"/>
  <c r="L530" i="4"/>
  <c r="M530" i="4"/>
  <c r="AE530" i="5" s="1"/>
  <c r="N530" i="4"/>
  <c r="O530" i="4"/>
  <c r="P530" i="4"/>
  <c r="Q530" i="4"/>
  <c r="R530" i="4"/>
  <c r="S530" i="4"/>
  <c r="T530" i="4"/>
  <c r="U530" i="4"/>
  <c r="V530" i="4"/>
  <c r="E531" i="4"/>
  <c r="F531" i="4"/>
  <c r="G531" i="4"/>
  <c r="H531" i="4"/>
  <c r="I531" i="4"/>
  <c r="J531" i="4"/>
  <c r="K531" i="4"/>
  <c r="L531" i="4"/>
  <c r="M531" i="4"/>
  <c r="AE531" i="5" s="1"/>
  <c r="N531" i="4"/>
  <c r="O531" i="4"/>
  <c r="P531" i="4"/>
  <c r="Q531" i="4"/>
  <c r="R531" i="4"/>
  <c r="S531" i="4"/>
  <c r="T531" i="4"/>
  <c r="E532" i="4"/>
  <c r="F532" i="4"/>
  <c r="G532" i="4"/>
  <c r="H532" i="4"/>
  <c r="I532" i="4"/>
  <c r="J532" i="4"/>
  <c r="K532" i="4"/>
  <c r="L532" i="4"/>
  <c r="M532" i="4"/>
  <c r="AE532" i="5" s="1"/>
  <c r="N532" i="4"/>
  <c r="O532" i="4"/>
  <c r="P532" i="4"/>
  <c r="Q532" i="4"/>
  <c r="R532" i="4"/>
  <c r="S532" i="4"/>
  <c r="T532" i="4"/>
  <c r="E533" i="4"/>
  <c r="F533" i="4"/>
  <c r="G533" i="4"/>
  <c r="H533" i="4"/>
  <c r="I533" i="4"/>
  <c r="J533" i="4"/>
  <c r="K533" i="4"/>
  <c r="L533" i="4"/>
  <c r="M533" i="4"/>
  <c r="AE533" i="5" s="1"/>
  <c r="N533" i="4"/>
  <c r="O533" i="4"/>
  <c r="P533" i="4"/>
  <c r="Q533" i="4"/>
  <c r="R533" i="4"/>
  <c r="S533" i="4"/>
  <c r="T533" i="4"/>
  <c r="E534" i="4"/>
  <c r="F534" i="4"/>
  <c r="G534" i="4"/>
  <c r="H534" i="4"/>
  <c r="I534" i="4"/>
  <c r="J534" i="4"/>
  <c r="K534" i="4"/>
  <c r="L534" i="4"/>
  <c r="M534" i="4"/>
  <c r="AE534" i="5" s="1"/>
  <c r="N534" i="4"/>
  <c r="O534" i="4"/>
  <c r="P534" i="4"/>
  <c r="Q534" i="4"/>
  <c r="R534" i="4"/>
  <c r="S534" i="4"/>
  <c r="T534" i="4"/>
  <c r="E535" i="4"/>
  <c r="F535" i="4"/>
  <c r="G535" i="4"/>
  <c r="H535" i="4"/>
  <c r="I535" i="4"/>
  <c r="J535" i="4"/>
  <c r="K535" i="4"/>
  <c r="L535" i="4"/>
  <c r="M535" i="4"/>
  <c r="AE535" i="5" s="1"/>
  <c r="N535" i="4"/>
  <c r="O535" i="4"/>
  <c r="P535" i="4"/>
  <c r="Q535" i="4"/>
  <c r="R535" i="4"/>
  <c r="S535" i="4"/>
  <c r="T535" i="4"/>
  <c r="E536" i="4"/>
  <c r="F536" i="4"/>
  <c r="G536" i="4"/>
  <c r="H536" i="4"/>
  <c r="I536" i="4"/>
  <c r="J536" i="4"/>
  <c r="K536" i="4"/>
  <c r="L536" i="4"/>
  <c r="M536" i="4"/>
  <c r="AE536" i="5" s="1"/>
  <c r="N536" i="4"/>
  <c r="O536" i="4"/>
  <c r="P536" i="4"/>
  <c r="Q536" i="4"/>
  <c r="R536" i="4"/>
  <c r="S536" i="4"/>
  <c r="T536" i="4"/>
  <c r="E537" i="4"/>
  <c r="F537" i="4"/>
  <c r="G537" i="4"/>
  <c r="H537" i="4"/>
  <c r="I537" i="4"/>
  <c r="J537" i="4"/>
  <c r="K537" i="4"/>
  <c r="L537" i="4"/>
  <c r="M537" i="4"/>
  <c r="AE537" i="5" s="1"/>
  <c r="N537" i="4"/>
  <c r="O537" i="4"/>
  <c r="P537" i="4"/>
  <c r="Q537" i="4"/>
  <c r="R537" i="4"/>
  <c r="S537" i="4"/>
  <c r="T537" i="4"/>
  <c r="E538" i="4"/>
  <c r="F538" i="4"/>
  <c r="G538" i="4"/>
  <c r="H538" i="4"/>
  <c r="I538" i="4"/>
  <c r="J538" i="4"/>
  <c r="K538" i="4"/>
  <c r="L538" i="4"/>
  <c r="M538" i="4"/>
  <c r="AE538" i="5" s="1"/>
  <c r="N538" i="4"/>
  <c r="O538" i="4"/>
  <c r="P538" i="4"/>
  <c r="Q538" i="4"/>
  <c r="R538" i="4"/>
  <c r="S538" i="4"/>
  <c r="T538" i="4"/>
  <c r="E539" i="4"/>
  <c r="F539" i="4"/>
  <c r="G539" i="4"/>
  <c r="H539" i="4"/>
  <c r="I539" i="4"/>
  <c r="J539" i="4"/>
  <c r="K539" i="4"/>
  <c r="L539" i="4"/>
  <c r="M539" i="4"/>
  <c r="AE539" i="5" s="1"/>
  <c r="N539" i="4"/>
  <c r="O539" i="4"/>
  <c r="P539" i="4"/>
  <c r="Q539" i="4"/>
  <c r="R539" i="4"/>
  <c r="S539" i="4"/>
  <c r="T539" i="4"/>
  <c r="E540" i="4"/>
  <c r="F540" i="4"/>
  <c r="G540" i="4"/>
  <c r="H540" i="4"/>
  <c r="I540" i="4"/>
  <c r="J540" i="4"/>
  <c r="K540" i="4"/>
  <c r="L540" i="4"/>
  <c r="M540" i="4"/>
  <c r="AE540" i="5" s="1"/>
  <c r="N540" i="4"/>
  <c r="O540" i="4"/>
  <c r="P540" i="4"/>
  <c r="Q540" i="4"/>
  <c r="R540" i="4"/>
  <c r="S540" i="4"/>
  <c r="T540" i="4"/>
  <c r="E541" i="4"/>
  <c r="F541" i="4"/>
  <c r="G541" i="4"/>
  <c r="H541" i="4"/>
  <c r="I541" i="4"/>
  <c r="J541" i="4"/>
  <c r="K541" i="4"/>
  <c r="L541" i="4"/>
  <c r="M541" i="4"/>
  <c r="AE541" i="5" s="1"/>
  <c r="N541" i="4"/>
  <c r="O541" i="4"/>
  <c r="P541" i="4"/>
  <c r="Q541" i="4"/>
  <c r="R541" i="4"/>
  <c r="S541" i="4"/>
  <c r="T541" i="4"/>
  <c r="E542" i="4"/>
  <c r="F542" i="4"/>
  <c r="G542" i="4"/>
  <c r="H542" i="4"/>
  <c r="I542" i="4"/>
  <c r="J542" i="4"/>
  <c r="K542" i="4"/>
  <c r="L542" i="4"/>
  <c r="M542" i="4"/>
  <c r="AE542" i="5" s="1"/>
  <c r="N542" i="4"/>
  <c r="O542" i="4"/>
  <c r="P542" i="4"/>
  <c r="Q542" i="4"/>
  <c r="R542" i="4"/>
  <c r="S542" i="4"/>
  <c r="T542" i="4"/>
  <c r="E543" i="4"/>
  <c r="F543" i="4"/>
  <c r="G543" i="4"/>
  <c r="H543" i="4"/>
  <c r="I543" i="4"/>
  <c r="J543" i="4"/>
  <c r="K543" i="4"/>
  <c r="L543" i="4"/>
  <c r="M543" i="4"/>
  <c r="AE543" i="5" s="1"/>
  <c r="N543" i="4"/>
  <c r="O543" i="4"/>
  <c r="P543" i="4"/>
  <c r="Q543" i="4"/>
  <c r="R543" i="4"/>
  <c r="S543" i="4"/>
  <c r="T543" i="4"/>
  <c r="E544" i="4"/>
  <c r="F544" i="4"/>
  <c r="G544" i="4"/>
  <c r="H544" i="4"/>
  <c r="I544" i="4"/>
  <c r="J544" i="4"/>
  <c r="K544" i="4"/>
  <c r="L544" i="4"/>
  <c r="M544" i="4"/>
  <c r="AE544" i="5" s="1"/>
  <c r="N544" i="4"/>
  <c r="O544" i="4"/>
  <c r="P544" i="4"/>
  <c r="Q544" i="4"/>
  <c r="R544" i="4"/>
  <c r="S544" i="4"/>
  <c r="T544" i="4"/>
  <c r="E545" i="4"/>
  <c r="F545" i="4"/>
  <c r="G545" i="4"/>
  <c r="H545" i="4"/>
  <c r="I545" i="4"/>
  <c r="J545" i="4"/>
  <c r="K545" i="4"/>
  <c r="L545" i="4"/>
  <c r="M545" i="4"/>
  <c r="AE545" i="5" s="1"/>
  <c r="N545" i="4"/>
  <c r="O545" i="4"/>
  <c r="P545" i="4"/>
  <c r="Q545" i="4"/>
  <c r="R545" i="4"/>
  <c r="S545" i="4"/>
  <c r="T545" i="4"/>
  <c r="U545" i="4"/>
  <c r="V545" i="4"/>
  <c r="E546" i="4"/>
  <c r="F546" i="4"/>
  <c r="G546" i="4"/>
  <c r="H546" i="4"/>
  <c r="I546" i="4"/>
  <c r="J546" i="4"/>
  <c r="K546" i="4"/>
  <c r="L546" i="4"/>
  <c r="M546" i="4"/>
  <c r="AE546" i="5" s="1"/>
  <c r="N546" i="4"/>
  <c r="O546" i="4"/>
  <c r="P546" i="4"/>
  <c r="Q546" i="4"/>
  <c r="R546" i="4"/>
  <c r="S546" i="4"/>
  <c r="T546" i="4"/>
  <c r="U546" i="4"/>
  <c r="V546" i="4"/>
  <c r="E547" i="4"/>
  <c r="F547" i="4"/>
  <c r="G547" i="4"/>
  <c r="H547" i="4"/>
  <c r="I547" i="4"/>
  <c r="J547" i="4"/>
  <c r="K547" i="4"/>
  <c r="L547" i="4"/>
  <c r="M547" i="4"/>
  <c r="AE547" i="5" s="1"/>
  <c r="N547" i="4"/>
  <c r="O547" i="4"/>
  <c r="P547" i="4"/>
  <c r="Q547" i="4"/>
  <c r="R547" i="4"/>
  <c r="S547" i="4"/>
  <c r="T547" i="4"/>
  <c r="E548" i="4"/>
  <c r="F548" i="4"/>
  <c r="G548" i="4"/>
  <c r="H548" i="4"/>
  <c r="I548" i="4"/>
  <c r="J548" i="4"/>
  <c r="K548" i="4"/>
  <c r="L548" i="4"/>
  <c r="M548" i="4"/>
  <c r="AE548" i="5" s="1"/>
  <c r="N548" i="4"/>
  <c r="O548" i="4"/>
  <c r="P548" i="4"/>
  <c r="Q548" i="4"/>
  <c r="R548" i="4"/>
  <c r="S548" i="4"/>
  <c r="T548" i="4"/>
  <c r="E549" i="4"/>
  <c r="F549" i="4"/>
  <c r="G549" i="4"/>
  <c r="H549" i="4"/>
  <c r="I549" i="4"/>
  <c r="J549" i="4"/>
  <c r="K549" i="4"/>
  <c r="L549" i="4"/>
  <c r="M549" i="4"/>
  <c r="AE549" i="5" s="1"/>
  <c r="N549" i="4"/>
  <c r="O549" i="4"/>
  <c r="P549" i="4"/>
  <c r="Q549" i="4"/>
  <c r="R549" i="4"/>
  <c r="S549" i="4"/>
  <c r="T549" i="4"/>
  <c r="E550" i="4"/>
  <c r="F550" i="4"/>
  <c r="G550" i="4"/>
  <c r="H550" i="4"/>
  <c r="I550" i="4"/>
  <c r="J550" i="4"/>
  <c r="K550" i="4"/>
  <c r="L550" i="4"/>
  <c r="M550" i="4"/>
  <c r="AE550" i="5" s="1"/>
  <c r="N550" i="4"/>
  <c r="O550" i="4"/>
  <c r="P550" i="4"/>
  <c r="Q550" i="4"/>
  <c r="R550" i="4"/>
  <c r="S550" i="4"/>
  <c r="T550" i="4"/>
  <c r="E551" i="4"/>
  <c r="F551" i="4"/>
  <c r="G551" i="4"/>
  <c r="H551" i="4"/>
  <c r="I551" i="4"/>
  <c r="J551" i="4"/>
  <c r="K551" i="4"/>
  <c r="L551" i="4"/>
  <c r="M551" i="4"/>
  <c r="AE551" i="5" s="1"/>
  <c r="N551" i="4"/>
  <c r="O551" i="4"/>
  <c r="P551" i="4"/>
  <c r="Q551" i="4"/>
  <c r="R551" i="4"/>
  <c r="S551" i="4"/>
  <c r="T551" i="4"/>
  <c r="E552" i="4"/>
  <c r="F552" i="4"/>
  <c r="G552" i="4"/>
  <c r="H552" i="4"/>
  <c r="I552" i="4"/>
  <c r="J552" i="4"/>
  <c r="K552" i="4"/>
  <c r="L552" i="4"/>
  <c r="M552" i="4"/>
  <c r="AE552" i="5" s="1"/>
  <c r="N552" i="4"/>
  <c r="O552" i="4"/>
  <c r="P552" i="4"/>
  <c r="Q552" i="4"/>
  <c r="R552" i="4"/>
  <c r="S552" i="4"/>
  <c r="T552" i="4"/>
  <c r="E553" i="4"/>
  <c r="F553" i="4"/>
  <c r="G553" i="4"/>
  <c r="H553" i="4"/>
  <c r="I553" i="4"/>
  <c r="J553" i="4"/>
  <c r="K553" i="4"/>
  <c r="L553" i="4"/>
  <c r="M553" i="4"/>
  <c r="AE553" i="5" s="1"/>
  <c r="N553" i="4"/>
  <c r="O553" i="4"/>
  <c r="P553" i="4"/>
  <c r="Q553" i="4"/>
  <c r="R553" i="4"/>
  <c r="S553" i="4"/>
  <c r="T553" i="4"/>
  <c r="U553" i="4"/>
  <c r="V553" i="4"/>
  <c r="E554" i="4"/>
  <c r="F554" i="4"/>
  <c r="G554" i="4"/>
  <c r="H554" i="4"/>
  <c r="I554" i="4"/>
  <c r="J554" i="4"/>
  <c r="K554" i="4"/>
  <c r="L554" i="4"/>
  <c r="M554" i="4"/>
  <c r="AE554" i="5" s="1"/>
  <c r="N554" i="4"/>
  <c r="O554" i="4"/>
  <c r="P554" i="4"/>
  <c r="Q554" i="4"/>
  <c r="R554" i="4"/>
  <c r="S554" i="4"/>
  <c r="T554" i="4"/>
  <c r="U554" i="4"/>
  <c r="V554" i="4"/>
  <c r="E555" i="4"/>
  <c r="F555" i="4"/>
  <c r="G555" i="4"/>
  <c r="H555" i="4"/>
  <c r="I555" i="4"/>
  <c r="J555" i="4"/>
  <c r="K555" i="4"/>
  <c r="L555" i="4"/>
  <c r="M555" i="4"/>
  <c r="AE555" i="5" s="1"/>
  <c r="N555" i="4"/>
  <c r="O555" i="4"/>
  <c r="P555" i="4"/>
  <c r="Q555" i="4"/>
  <c r="R555" i="4"/>
  <c r="S555" i="4"/>
  <c r="T555" i="4"/>
  <c r="U555" i="4"/>
  <c r="V555" i="4"/>
  <c r="E556" i="4"/>
  <c r="F556" i="4"/>
  <c r="G556" i="4"/>
  <c r="H556" i="4"/>
  <c r="I556" i="4"/>
  <c r="J556" i="4"/>
  <c r="K556" i="4"/>
  <c r="L556" i="4"/>
  <c r="M556" i="4"/>
  <c r="AE556" i="5" s="1"/>
  <c r="N556" i="4"/>
  <c r="O556" i="4"/>
  <c r="P556" i="4"/>
  <c r="Q556" i="4"/>
  <c r="R556" i="4"/>
  <c r="S556" i="4"/>
  <c r="T556" i="4"/>
  <c r="U556" i="4"/>
  <c r="V556" i="4"/>
  <c r="E557" i="4"/>
  <c r="F557" i="4"/>
  <c r="G557" i="4"/>
  <c r="H557" i="4"/>
  <c r="I557" i="4"/>
  <c r="J557" i="4"/>
  <c r="K557" i="4"/>
  <c r="L557" i="4"/>
  <c r="M557" i="4"/>
  <c r="AE557" i="5" s="1"/>
  <c r="N557" i="4"/>
  <c r="O557" i="4"/>
  <c r="P557" i="4"/>
  <c r="Q557" i="4"/>
  <c r="R557" i="4"/>
  <c r="S557" i="4"/>
  <c r="T557" i="4"/>
  <c r="U557" i="4"/>
  <c r="V557" i="4"/>
  <c r="E558" i="4"/>
  <c r="F558" i="4"/>
  <c r="G558" i="4"/>
  <c r="H558" i="4"/>
  <c r="I558" i="4"/>
  <c r="J558" i="4"/>
  <c r="K558" i="4"/>
  <c r="L558" i="4"/>
  <c r="M558" i="4"/>
  <c r="AE558" i="5" s="1"/>
  <c r="N558" i="4"/>
  <c r="O558" i="4"/>
  <c r="P558" i="4"/>
  <c r="Q558" i="4"/>
  <c r="R558" i="4"/>
  <c r="S558" i="4"/>
  <c r="T558" i="4"/>
  <c r="U558" i="4"/>
  <c r="V558" i="4"/>
  <c r="E559" i="4"/>
  <c r="F559" i="4"/>
  <c r="G559" i="4"/>
  <c r="H559" i="4"/>
  <c r="I559" i="4"/>
  <c r="J559" i="4"/>
  <c r="K559" i="4"/>
  <c r="L559" i="4"/>
  <c r="M559" i="4"/>
  <c r="AE559" i="5" s="1"/>
  <c r="N559" i="4"/>
  <c r="O559" i="4"/>
  <c r="P559" i="4"/>
  <c r="Q559" i="4"/>
  <c r="R559" i="4"/>
  <c r="S559" i="4"/>
  <c r="T559" i="4"/>
  <c r="U559" i="4"/>
  <c r="V559" i="4"/>
  <c r="E560" i="4"/>
  <c r="F560" i="4"/>
  <c r="G560" i="4"/>
  <c r="H560" i="4"/>
  <c r="I560" i="4"/>
  <c r="J560" i="4"/>
  <c r="K560" i="4"/>
  <c r="L560" i="4"/>
  <c r="M560" i="4"/>
  <c r="AE560" i="5" s="1"/>
  <c r="N560" i="4"/>
  <c r="O560" i="4"/>
  <c r="P560" i="4"/>
  <c r="Q560" i="4"/>
  <c r="R560" i="4"/>
  <c r="S560" i="4"/>
  <c r="T560" i="4"/>
  <c r="U560" i="4"/>
  <c r="V560" i="4"/>
  <c r="E561" i="4"/>
  <c r="F561" i="4"/>
  <c r="G561" i="4"/>
  <c r="H561" i="4"/>
  <c r="I561" i="4"/>
  <c r="J561" i="4"/>
  <c r="K561" i="4"/>
  <c r="L561" i="4"/>
  <c r="M561" i="4"/>
  <c r="AE561" i="5" s="1"/>
  <c r="N561" i="4"/>
  <c r="O561" i="4"/>
  <c r="P561" i="4"/>
  <c r="Q561" i="4"/>
  <c r="R561" i="4"/>
  <c r="S561" i="4"/>
  <c r="T561" i="4"/>
  <c r="U561" i="4"/>
  <c r="V561" i="4"/>
  <c r="E562" i="4"/>
  <c r="F562" i="4"/>
  <c r="G562" i="4"/>
  <c r="H562" i="4"/>
  <c r="I562" i="4"/>
  <c r="J562" i="4"/>
  <c r="K562" i="4"/>
  <c r="L562" i="4"/>
  <c r="M562" i="4"/>
  <c r="AE562" i="5" s="1"/>
  <c r="N562" i="4"/>
  <c r="O562" i="4"/>
  <c r="P562" i="4"/>
  <c r="Q562" i="4"/>
  <c r="R562" i="4"/>
  <c r="S562" i="4"/>
  <c r="T562" i="4"/>
  <c r="E563" i="4"/>
  <c r="F563" i="4"/>
  <c r="G563" i="4"/>
  <c r="H563" i="4"/>
  <c r="I563" i="4"/>
  <c r="J563" i="4"/>
  <c r="K563" i="4"/>
  <c r="L563" i="4"/>
  <c r="M563" i="4"/>
  <c r="AE563" i="5" s="1"/>
  <c r="N563" i="4"/>
  <c r="O563" i="4"/>
  <c r="P563" i="4"/>
  <c r="Q563" i="4"/>
  <c r="R563" i="4"/>
  <c r="S563" i="4"/>
  <c r="T563" i="4"/>
  <c r="E564" i="4"/>
  <c r="F564" i="4"/>
  <c r="G564" i="4"/>
  <c r="H564" i="4"/>
  <c r="I564" i="4"/>
  <c r="J564" i="4"/>
  <c r="K564" i="4"/>
  <c r="L564" i="4"/>
  <c r="M564" i="4"/>
  <c r="AE564" i="5" s="1"/>
  <c r="N564" i="4"/>
  <c r="O564" i="4"/>
  <c r="P564" i="4"/>
  <c r="Q564" i="4"/>
  <c r="R564" i="4"/>
  <c r="S564" i="4"/>
  <c r="T564" i="4"/>
  <c r="E565" i="4"/>
  <c r="F565" i="4"/>
  <c r="G565" i="4"/>
  <c r="H565" i="4"/>
  <c r="I565" i="4"/>
  <c r="J565" i="4"/>
  <c r="K565" i="4"/>
  <c r="L565" i="4"/>
  <c r="M565" i="4"/>
  <c r="AE565" i="5" s="1"/>
  <c r="N565" i="4"/>
  <c r="O565" i="4"/>
  <c r="P565" i="4"/>
  <c r="Q565" i="4"/>
  <c r="R565" i="4"/>
  <c r="S565" i="4"/>
  <c r="T565" i="4"/>
  <c r="E566" i="4"/>
  <c r="F566" i="4"/>
  <c r="G566" i="4"/>
  <c r="H566" i="4"/>
  <c r="I566" i="4"/>
  <c r="J566" i="4"/>
  <c r="K566" i="4"/>
  <c r="L566" i="4"/>
  <c r="M566" i="4"/>
  <c r="AE566" i="5" s="1"/>
  <c r="N566" i="4"/>
  <c r="O566" i="4"/>
  <c r="P566" i="4"/>
  <c r="Q566" i="4"/>
  <c r="R566" i="4"/>
  <c r="S566" i="4"/>
  <c r="T566" i="4"/>
  <c r="E567" i="4"/>
  <c r="F567" i="4"/>
  <c r="G567" i="4"/>
  <c r="H567" i="4"/>
  <c r="I567" i="4"/>
  <c r="J567" i="4"/>
  <c r="K567" i="4"/>
  <c r="L567" i="4"/>
  <c r="M567" i="4"/>
  <c r="AE567" i="5" s="1"/>
  <c r="N567" i="4"/>
  <c r="O567" i="4"/>
  <c r="P567" i="4"/>
  <c r="Q567" i="4"/>
  <c r="R567" i="4"/>
  <c r="S567" i="4"/>
  <c r="T567" i="4"/>
  <c r="E568" i="4"/>
  <c r="F568" i="4"/>
  <c r="G568" i="4"/>
  <c r="H568" i="4"/>
  <c r="I568" i="4"/>
  <c r="J568" i="4"/>
  <c r="K568" i="4"/>
  <c r="L568" i="4"/>
  <c r="M568" i="4"/>
  <c r="AE568" i="5" s="1"/>
  <c r="N568" i="4"/>
  <c r="O568" i="4"/>
  <c r="P568" i="4"/>
  <c r="Q568" i="4"/>
  <c r="R568" i="4"/>
  <c r="S568" i="4"/>
  <c r="T568" i="4"/>
  <c r="E569" i="4"/>
  <c r="F569" i="4"/>
  <c r="G569" i="4"/>
  <c r="H569" i="4"/>
  <c r="I569" i="4"/>
  <c r="J569" i="4"/>
  <c r="K569" i="4"/>
  <c r="L569" i="4"/>
  <c r="M569" i="4"/>
  <c r="AE569" i="5" s="1"/>
  <c r="N569" i="4"/>
  <c r="O569" i="4"/>
  <c r="P569" i="4"/>
  <c r="Q569" i="4"/>
  <c r="R569" i="4"/>
  <c r="S569" i="4"/>
  <c r="T569" i="4"/>
  <c r="E570" i="4"/>
  <c r="F570" i="4"/>
  <c r="G570" i="4"/>
  <c r="H570" i="4"/>
  <c r="I570" i="4"/>
  <c r="J570" i="4"/>
  <c r="K570" i="4"/>
  <c r="L570" i="4"/>
  <c r="M570" i="4"/>
  <c r="AE570" i="5" s="1"/>
  <c r="N570" i="4"/>
  <c r="O570" i="4"/>
  <c r="P570" i="4"/>
  <c r="Q570" i="4"/>
  <c r="R570" i="4"/>
  <c r="S570" i="4"/>
  <c r="T570" i="4"/>
  <c r="E571" i="4"/>
  <c r="F571" i="4"/>
  <c r="G571" i="4"/>
  <c r="H571" i="4"/>
  <c r="I571" i="4"/>
  <c r="J571" i="4"/>
  <c r="K571" i="4"/>
  <c r="L571" i="4"/>
  <c r="M571" i="4"/>
  <c r="AE571" i="5" s="1"/>
  <c r="N571" i="4"/>
  <c r="O571" i="4"/>
  <c r="P571" i="4"/>
  <c r="Q571" i="4"/>
  <c r="R571" i="4"/>
  <c r="S571" i="4"/>
  <c r="T571" i="4"/>
  <c r="U571" i="4"/>
  <c r="V571" i="4"/>
  <c r="E572" i="4"/>
  <c r="F572" i="4"/>
  <c r="G572" i="4"/>
  <c r="H572" i="4"/>
  <c r="I572" i="4"/>
  <c r="J572" i="4"/>
  <c r="K572" i="4"/>
  <c r="L572" i="4"/>
  <c r="M572" i="4"/>
  <c r="AE572" i="5" s="1"/>
  <c r="N572" i="4"/>
  <c r="O572" i="4"/>
  <c r="P572" i="4"/>
  <c r="Q572" i="4"/>
  <c r="R572" i="4"/>
  <c r="S572" i="4"/>
  <c r="T572" i="4"/>
  <c r="U572" i="4"/>
  <c r="V572" i="4"/>
  <c r="E573" i="4"/>
  <c r="F573" i="4"/>
  <c r="G573" i="4"/>
  <c r="H573" i="4"/>
  <c r="I573" i="4"/>
  <c r="J573" i="4"/>
  <c r="K573" i="4"/>
  <c r="L573" i="4"/>
  <c r="M573" i="4"/>
  <c r="AE573" i="5" s="1"/>
  <c r="N573" i="4"/>
  <c r="O573" i="4"/>
  <c r="P573" i="4"/>
  <c r="Q573" i="4"/>
  <c r="R573" i="4"/>
  <c r="S573" i="4"/>
  <c r="T573" i="4"/>
  <c r="U573" i="4"/>
  <c r="V573" i="4"/>
  <c r="E574" i="4"/>
  <c r="F574" i="4"/>
  <c r="G574" i="4"/>
  <c r="H574" i="4"/>
  <c r="I574" i="4"/>
  <c r="J574" i="4"/>
  <c r="K574" i="4"/>
  <c r="L574" i="4"/>
  <c r="M574" i="4"/>
  <c r="AE574" i="5" s="1"/>
  <c r="N574" i="4"/>
  <c r="O574" i="4"/>
  <c r="P574" i="4"/>
  <c r="Q574" i="4"/>
  <c r="R574" i="4"/>
  <c r="S574" i="4"/>
  <c r="T574" i="4"/>
  <c r="U574" i="4"/>
  <c r="V574" i="4"/>
  <c r="E575" i="4"/>
  <c r="F575" i="4"/>
  <c r="G575" i="4"/>
  <c r="H575" i="4"/>
  <c r="I575" i="4"/>
  <c r="J575" i="4"/>
  <c r="K575" i="4"/>
  <c r="L575" i="4"/>
  <c r="M575" i="4"/>
  <c r="AE575" i="5" s="1"/>
  <c r="N575" i="4"/>
  <c r="O575" i="4"/>
  <c r="P575" i="4"/>
  <c r="Q575" i="4"/>
  <c r="R575" i="4"/>
  <c r="S575" i="4"/>
  <c r="T575" i="4"/>
  <c r="U575" i="4"/>
  <c r="V575" i="4"/>
  <c r="E576" i="4"/>
  <c r="F576" i="4"/>
  <c r="G576" i="4"/>
  <c r="H576" i="4"/>
  <c r="I576" i="4"/>
  <c r="J576" i="4"/>
  <c r="K576" i="4"/>
  <c r="L576" i="4"/>
  <c r="M576" i="4"/>
  <c r="AE576" i="5" s="1"/>
  <c r="N576" i="4"/>
  <c r="O576" i="4"/>
  <c r="P576" i="4"/>
  <c r="Q576" i="4"/>
  <c r="R576" i="4"/>
  <c r="S576" i="4"/>
  <c r="T576" i="4"/>
  <c r="U576" i="4"/>
  <c r="V576" i="4"/>
  <c r="E577" i="4"/>
  <c r="F577" i="4"/>
  <c r="G577" i="4"/>
  <c r="H577" i="4"/>
  <c r="I577" i="4"/>
  <c r="J577" i="4"/>
  <c r="K577" i="4"/>
  <c r="L577" i="4"/>
  <c r="M577" i="4"/>
  <c r="AE577" i="5" s="1"/>
  <c r="N577" i="4"/>
  <c r="O577" i="4"/>
  <c r="P577" i="4"/>
  <c r="Q577" i="4"/>
  <c r="R577" i="4"/>
  <c r="S577" i="4"/>
  <c r="T577" i="4"/>
  <c r="U577" i="4"/>
  <c r="V577" i="4"/>
  <c r="E578" i="4"/>
  <c r="F578" i="4"/>
  <c r="G578" i="4"/>
  <c r="H578" i="4"/>
  <c r="I578" i="4"/>
  <c r="J578" i="4"/>
  <c r="K578" i="4"/>
  <c r="L578" i="4"/>
  <c r="M578" i="4"/>
  <c r="AE578" i="5" s="1"/>
  <c r="N578" i="4"/>
  <c r="O578" i="4"/>
  <c r="P578" i="4"/>
  <c r="Q578" i="4"/>
  <c r="R578" i="4"/>
  <c r="S578" i="4"/>
  <c r="T578" i="4"/>
  <c r="U578" i="4"/>
  <c r="V578" i="4"/>
  <c r="E579" i="4"/>
  <c r="F579" i="4"/>
  <c r="G579" i="4"/>
  <c r="H579" i="4"/>
  <c r="I579" i="4"/>
  <c r="J579" i="4"/>
  <c r="K579" i="4"/>
  <c r="L579" i="4"/>
  <c r="M579" i="4"/>
  <c r="AE579" i="5" s="1"/>
  <c r="N579" i="4"/>
  <c r="O579" i="4"/>
  <c r="P579" i="4"/>
  <c r="Q579" i="4"/>
  <c r="R579" i="4"/>
  <c r="S579" i="4"/>
  <c r="T579" i="4"/>
  <c r="E580" i="4"/>
  <c r="F580" i="4"/>
  <c r="G580" i="4"/>
  <c r="H580" i="4"/>
  <c r="I580" i="4"/>
  <c r="J580" i="4"/>
  <c r="K580" i="4"/>
  <c r="L580" i="4"/>
  <c r="M580" i="4"/>
  <c r="AE580" i="5" s="1"/>
  <c r="N580" i="4"/>
  <c r="O580" i="4"/>
  <c r="P580" i="4"/>
  <c r="Q580" i="4"/>
  <c r="R580" i="4"/>
  <c r="S580" i="4"/>
  <c r="T580" i="4"/>
  <c r="E581" i="4"/>
  <c r="F581" i="4"/>
  <c r="G581" i="4"/>
  <c r="H581" i="4"/>
  <c r="I581" i="4"/>
  <c r="J581" i="4"/>
  <c r="K581" i="4"/>
  <c r="L581" i="4"/>
  <c r="M581" i="4"/>
  <c r="AE581" i="5" s="1"/>
  <c r="N581" i="4"/>
  <c r="O581" i="4"/>
  <c r="P581" i="4"/>
  <c r="Q581" i="4"/>
  <c r="R581" i="4"/>
  <c r="S581" i="4"/>
  <c r="T581" i="4"/>
  <c r="E582" i="4"/>
  <c r="F582" i="4"/>
  <c r="G582" i="4"/>
  <c r="H582" i="4"/>
  <c r="I582" i="4"/>
  <c r="J582" i="4"/>
  <c r="K582" i="4"/>
  <c r="L582" i="4"/>
  <c r="M582" i="4"/>
  <c r="AE582" i="5" s="1"/>
  <c r="N582" i="4"/>
  <c r="O582" i="4"/>
  <c r="P582" i="4"/>
  <c r="Q582" i="4"/>
  <c r="R582" i="4"/>
  <c r="S582" i="4"/>
  <c r="T582" i="4"/>
  <c r="E583" i="4"/>
  <c r="F583" i="4"/>
  <c r="G583" i="4"/>
  <c r="H583" i="4"/>
  <c r="I583" i="4"/>
  <c r="J583" i="4"/>
  <c r="K583" i="4"/>
  <c r="L583" i="4"/>
  <c r="M583" i="4"/>
  <c r="AE583" i="5" s="1"/>
  <c r="N583" i="4"/>
  <c r="O583" i="4"/>
  <c r="P583" i="4"/>
  <c r="Q583" i="4"/>
  <c r="R583" i="4"/>
  <c r="S583" i="4"/>
  <c r="T583" i="4"/>
  <c r="U583" i="4"/>
  <c r="V583" i="4"/>
  <c r="E584" i="4"/>
  <c r="F584" i="4"/>
  <c r="G584" i="4"/>
  <c r="H584" i="4"/>
  <c r="I584" i="4"/>
  <c r="J584" i="4"/>
  <c r="K584" i="4"/>
  <c r="L584" i="4"/>
  <c r="M584" i="4"/>
  <c r="AE584" i="5" s="1"/>
  <c r="N584" i="4"/>
  <c r="O584" i="4"/>
  <c r="P584" i="4"/>
  <c r="Q584" i="4"/>
  <c r="R584" i="4"/>
  <c r="S584" i="4"/>
  <c r="T584" i="4"/>
  <c r="U584" i="4"/>
  <c r="V584" i="4"/>
  <c r="E585" i="4"/>
  <c r="F585" i="4"/>
  <c r="G585" i="4"/>
  <c r="H585" i="4"/>
  <c r="I585" i="4"/>
  <c r="J585" i="4"/>
  <c r="K585" i="4"/>
  <c r="L585" i="4"/>
  <c r="M585" i="4"/>
  <c r="AE585" i="5" s="1"/>
  <c r="N585" i="4"/>
  <c r="O585" i="4"/>
  <c r="P585" i="4"/>
  <c r="Q585" i="4"/>
  <c r="R585" i="4"/>
  <c r="S585" i="4"/>
  <c r="T585" i="4"/>
  <c r="U585" i="4"/>
  <c r="V585" i="4"/>
  <c r="E586" i="4"/>
  <c r="F586" i="4"/>
  <c r="G586" i="4"/>
  <c r="H586" i="4"/>
  <c r="I586" i="4"/>
  <c r="J586" i="4"/>
  <c r="K586" i="4"/>
  <c r="L586" i="4"/>
  <c r="M586" i="4"/>
  <c r="AE586" i="5" s="1"/>
  <c r="N586" i="4"/>
  <c r="O586" i="4"/>
  <c r="P586" i="4"/>
  <c r="Q586" i="4"/>
  <c r="R586" i="4"/>
  <c r="S586" i="4"/>
  <c r="T586" i="4"/>
  <c r="U586" i="4"/>
  <c r="V586" i="4"/>
  <c r="E587" i="4"/>
  <c r="F587" i="4"/>
  <c r="G587" i="4"/>
  <c r="H587" i="4"/>
  <c r="I587" i="4"/>
  <c r="J587" i="4"/>
  <c r="K587" i="4"/>
  <c r="L587" i="4"/>
  <c r="M587" i="4"/>
  <c r="AE587" i="5" s="1"/>
  <c r="N587" i="4"/>
  <c r="O587" i="4"/>
  <c r="P587" i="4"/>
  <c r="Q587" i="4"/>
  <c r="R587" i="4"/>
  <c r="S587" i="4"/>
  <c r="T587" i="4"/>
  <c r="U587" i="4"/>
  <c r="V587" i="4"/>
  <c r="E588" i="4"/>
  <c r="F588" i="4"/>
  <c r="G588" i="4"/>
  <c r="H588" i="4"/>
  <c r="I588" i="4"/>
  <c r="J588" i="4"/>
  <c r="K588" i="4"/>
  <c r="L588" i="4"/>
  <c r="M588" i="4"/>
  <c r="AE588" i="5" s="1"/>
  <c r="N588" i="4"/>
  <c r="O588" i="4"/>
  <c r="P588" i="4"/>
  <c r="Q588" i="4"/>
  <c r="R588" i="4"/>
  <c r="S588" i="4"/>
  <c r="T588" i="4"/>
  <c r="U588" i="4"/>
  <c r="V588" i="4"/>
  <c r="E589" i="4"/>
  <c r="F589" i="4"/>
  <c r="G589" i="4"/>
  <c r="H589" i="4"/>
  <c r="I589" i="4"/>
  <c r="J589" i="4"/>
  <c r="K589" i="4"/>
  <c r="L589" i="4"/>
  <c r="M589" i="4"/>
  <c r="AE589" i="5" s="1"/>
  <c r="N589" i="4"/>
  <c r="O589" i="4"/>
  <c r="P589" i="4"/>
  <c r="Q589" i="4"/>
  <c r="R589" i="4"/>
  <c r="S589" i="4"/>
  <c r="T589" i="4"/>
  <c r="U589" i="4"/>
  <c r="V589" i="4"/>
  <c r="E590" i="4"/>
  <c r="F590" i="4"/>
  <c r="G590" i="4"/>
  <c r="H590" i="4"/>
  <c r="I590" i="4"/>
  <c r="J590" i="4"/>
  <c r="K590" i="4"/>
  <c r="L590" i="4"/>
  <c r="M590" i="4"/>
  <c r="AE590" i="5" s="1"/>
  <c r="N590" i="4"/>
  <c r="O590" i="4"/>
  <c r="P590" i="4"/>
  <c r="Q590" i="4"/>
  <c r="R590" i="4"/>
  <c r="S590" i="4"/>
  <c r="T590" i="4"/>
  <c r="U590" i="4"/>
  <c r="V590" i="4"/>
  <c r="E591" i="4"/>
  <c r="F591" i="4"/>
  <c r="G591" i="4"/>
  <c r="H591" i="4"/>
  <c r="I591" i="4"/>
  <c r="J591" i="4"/>
  <c r="K591" i="4"/>
  <c r="L591" i="4"/>
  <c r="M591" i="4"/>
  <c r="AE591" i="5" s="1"/>
  <c r="N591" i="4"/>
  <c r="O591" i="4"/>
  <c r="P591" i="4"/>
  <c r="Q591" i="4"/>
  <c r="R591" i="4"/>
  <c r="S591" i="4"/>
  <c r="T591" i="4"/>
  <c r="U591" i="4"/>
  <c r="V591" i="4"/>
  <c r="E592" i="4"/>
  <c r="F592" i="4"/>
  <c r="G592" i="4"/>
  <c r="H592" i="4"/>
  <c r="I592" i="4"/>
  <c r="J592" i="4"/>
  <c r="K592" i="4"/>
  <c r="L592" i="4"/>
  <c r="M592" i="4"/>
  <c r="AE592" i="5" s="1"/>
  <c r="N592" i="4"/>
  <c r="O592" i="4"/>
  <c r="P592" i="4"/>
  <c r="Q592" i="4"/>
  <c r="R592" i="4"/>
  <c r="S592" i="4"/>
  <c r="T592" i="4"/>
  <c r="U592" i="4"/>
  <c r="V592" i="4"/>
  <c r="E593" i="4"/>
  <c r="F593" i="4"/>
  <c r="G593" i="4"/>
  <c r="H593" i="4"/>
  <c r="I593" i="4"/>
  <c r="J593" i="4"/>
  <c r="K593" i="4"/>
  <c r="L593" i="4"/>
  <c r="M593" i="4"/>
  <c r="AE593" i="5" s="1"/>
  <c r="N593" i="4"/>
  <c r="O593" i="4"/>
  <c r="P593" i="4"/>
  <c r="Q593" i="4"/>
  <c r="R593" i="4"/>
  <c r="S593" i="4"/>
  <c r="T593" i="4"/>
  <c r="U593" i="4"/>
  <c r="V593" i="4"/>
  <c r="E594" i="4"/>
  <c r="F594" i="4"/>
  <c r="G594" i="4"/>
  <c r="H594" i="4"/>
  <c r="I594" i="4"/>
  <c r="J594" i="4"/>
  <c r="K594" i="4"/>
  <c r="L594" i="4"/>
  <c r="M594" i="4"/>
  <c r="AE594" i="5" s="1"/>
  <c r="N594" i="4"/>
  <c r="O594" i="4"/>
  <c r="P594" i="4"/>
  <c r="Q594" i="4"/>
  <c r="R594" i="4"/>
  <c r="S594" i="4"/>
  <c r="T594" i="4"/>
  <c r="U594" i="4"/>
  <c r="V594" i="4"/>
  <c r="E595" i="4"/>
  <c r="F595" i="4"/>
  <c r="G595" i="4"/>
  <c r="H595" i="4"/>
  <c r="I595" i="4"/>
  <c r="J595" i="4"/>
  <c r="K595" i="4"/>
  <c r="L595" i="4"/>
  <c r="M595" i="4"/>
  <c r="AE595" i="5" s="1"/>
  <c r="N595" i="4"/>
  <c r="O595" i="4"/>
  <c r="P595" i="4"/>
  <c r="Q595" i="4"/>
  <c r="R595" i="4"/>
  <c r="S595" i="4"/>
  <c r="T595" i="4"/>
  <c r="E596" i="4"/>
  <c r="F596" i="4"/>
  <c r="G596" i="4"/>
  <c r="H596" i="4"/>
  <c r="I596" i="4"/>
  <c r="J596" i="4"/>
  <c r="K596" i="4"/>
  <c r="L596" i="4"/>
  <c r="M596" i="4"/>
  <c r="AE596" i="5" s="1"/>
  <c r="N596" i="4"/>
  <c r="O596" i="4"/>
  <c r="P596" i="4"/>
  <c r="Q596" i="4"/>
  <c r="R596" i="4"/>
  <c r="S596" i="4"/>
  <c r="T596" i="4"/>
  <c r="E597" i="4"/>
  <c r="F597" i="4"/>
  <c r="G597" i="4"/>
  <c r="H597" i="4"/>
  <c r="I597" i="4"/>
  <c r="J597" i="4"/>
  <c r="K597" i="4"/>
  <c r="L597" i="4"/>
  <c r="M597" i="4"/>
  <c r="AE597" i="5" s="1"/>
  <c r="N597" i="4"/>
  <c r="O597" i="4"/>
  <c r="P597" i="4"/>
  <c r="Q597" i="4"/>
  <c r="R597" i="4"/>
  <c r="S597" i="4"/>
  <c r="T597" i="4"/>
  <c r="E598" i="4"/>
  <c r="F598" i="4"/>
  <c r="G598" i="4"/>
  <c r="H598" i="4"/>
  <c r="I598" i="4"/>
  <c r="J598" i="4"/>
  <c r="K598" i="4"/>
  <c r="L598" i="4"/>
  <c r="M598" i="4"/>
  <c r="AE598" i="5" s="1"/>
  <c r="N598" i="4"/>
  <c r="O598" i="4"/>
  <c r="P598" i="4"/>
  <c r="Q598" i="4"/>
  <c r="R598" i="4"/>
  <c r="S598" i="4"/>
  <c r="T598" i="4"/>
  <c r="E599" i="4"/>
  <c r="F599" i="4"/>
  <c r="G599" i="4"/>
  <c r="H599" i="4"/>
  <c r="I599" i="4"/>
  <c r="J599" i="4"/>
  <c r="K599" i="4"/>
  <c r="L599" i="4"/>
  <c r="M599" i="4"/>
  <c r="AE599" i="5" s="1"/>
  <c r="N599" i="4"/>
  <c r="O599" i="4"/>
  <c r="P599" i="4"/>
  <c r="Q599" i="4"/>
  <c r="R599" i="4"/>
  <c r="S599" i="4"/>
  <c r="T599" i="4"/>
  <c r="E600" i="4"/>
  <c r="F600" i="4"/>
  <c r="G600" i="4"/>
  <c r="H600" i="4"/>
  <c r="I600" i="4"/>
  <c r="J600" i="4"/>
  <c r="K600" i="4"/>
  <c r="L600" i="4"/>
  <c r="M600" i="4"/>
  <c r="AE600" i="5" s="1"/>
  <c r="N600" i="4"/>
  <c r="O600" i="4"/>
  <c r="P600" i="4"/>
  <c r="Q600" i="4"/>
  <c r="R600" i="4"/>
  <c r="S600" i="4"/>
  <c r="T600" i="4"/>
  <c r="E601" i="4"/>
  <c r="F601" i="4"/>
  <c r="G601" i="4"/>
  <c r="H601" i="4"/>
  <c r="I601" i="4"/>
  <c r="J601" i="4"/>
  <c r="K601" i="4"/>
  <c r="L601" i="4"/>
  <c r="M601" i="4"/>
  <c r="AE601" i="5" s="1"/>
  <c r="N601" i="4"/>
  <c r="O601" i="4"/>
  <c r="P601" i="4"/>
  <c r="Q601" i="4"/>
  <c r="R601" i="4"/>
  <c r="S601" i="4"/>
  <c r="T601" i="4"/>
  <c r="E602" i="4"/>
  <c r="F602" i="4"/>
  <c r="G602" i="4"/>
  <c r="H602" i="4"/>
  <c r="I602" i="4"/>
  <c r="J602" i="4"/>
  <c r="K602" i="4"/>
  <c r="L602" i="4"/>
  <c r="M602" i="4"/>
  <c r="AE602" i="5" s="1"/>
  <c r="N602" i="4"/>
  <c r="O602" i="4"/>
  <c r="P602" i="4"/>
  <c r="Q602" i="4"/>
  <c r="R602" i="4"/>
  <c r="S602" i="4"/>
  <c r="T602" i="4"/>
  <c r="E603" i="4"/>
  <c r="F603" i="4"/>
  <c r="G603" i="4"/>
  <c r="H603" i="4"/>
  <c r="I603" i="4"/>
  <c r="J603" i="4"/>
  <c r="K603" i="4"/>
  <c r="L603" i="4"/>
  <c r="M603" i="4"/>
  <c r="AE603" i="5" s="1"/>
  <c r="N603" i="4"/>
  <c r="O603" i="4"/>
  <c r="P603" i="4"/>
  <c r="Q603" i="4"/>
  <c r="R603" i="4"/>
  <c r="S603" i="4"/>
  <c r="T603" i="4"/>
  <c r="U603" i="4"/>
  <c r="V603" i="4"/>
  <c r="E604" i="4"/>
  <c r="F604" i="4"/>
  <c r="G604" i="4"/>
  <c r="H604" i="4"/>
  <c r="I604" i="4"/>
  <c r="J604" i="4"/>
  <c r="K604" i="4"/>
  <c r="L604" i="4"/>
  <c r="M604" i="4"/>
  <c r="AE604" i="5" s="1"/>
  <c r="N604" i="4"/>
  <c r="O604" i="4"/>
  <c r="P604" i="4"/>
  <c r="Q604" i="4"/>
  <c r="R604" i="4"/>
  <c r="S604" i="4"/>
  <c r="T604" i="4"/>
  <c r="U604" i="4"/>
  <c r="V604" i="4"/>
  <c r="E605" i="4"/>
  <c r="F605" i="4"/>
  <c r="G605" i="4"/>
  <c r="H605" i="4"/>
  <c r="I605" i="4"/>
  <c r="J605" i="4"/>
  <c r="K605" i="4"/>
  <c r="L605" i="4"/>
  <c r="M605" i="4"/>
  <c r="AE605" i="5" s="1"/>
  <c r="N605" i="4"/>
  <c r="O605" i="4"/>
  <c r="P605" i="4"/>
  <c r="Q605" i="4"/>
  <c r="R605" i="4"/>
  <c r="S605" i="4"/>
  <c r="T605" i="4"/>
  <c r="U605" i="4"/>
  <c r="V605" i="4"/>
  <c r="E606" i="4"/>
  <c r="F606" i="4"/>
  <c r="G606" i="4"/>
  <c r="H606" i="4"/>
  <c r="I606" i="4"/>
  <c r="J606" i="4"/>
  <c r="K606" i="4"/>
  <c r="L606" i="4"/>
  <c r="M606" i="4"/>
  <c r="AE606" i="5" s="1"/>
  <c r="N606" i="4"/>
  <c r="O606" i="4"/>
  <c r="P606" i="4"/>
  <c r="Q606" i="4"/>
  <c r="R606" i="4"/>
  <c r="S606" i="4"/>
  <c r="T606" i="4"/>
  <c r="U606" i="4"/>
  <c r="V606" i="4"/>
  <c r="E607" i="4"/>
  <c r="F607" i="4"/>
  <c r="G607" i="4"/>
  <c r="H607" i="4"/>
  <c r="I607" i="4"/>
  <c r="J607" i="4"/>
  <c r="K607" i="4"/>
  <c r="L607" i="4"/>
  <c r="M607" i="4"/>
  <c r="AE607" i="5" s="1"/>
  <c r="N607" i="4"/>
  <c r="O607" i="4"/>
  <c r="P607" i="4"/>
  <c r="Q607" i="4"/>
  <c r="R607" i="4"/>
  <c r="S607" i="4"/>
  <c r="T607" i="4"/>
  <c r="U607" i="4"/>
  <c r="V607" i="4"/>
  <c r="E608" i="4"/>
  <c r="F608" i="4"/>
  <c r="G608" i="4"/>
  <c r="H608" i="4"/>
  <c r="I608" i="4"/>
  <c r="J608" i="4"/>
  <c r="K608" i="4"/>
  <c r="L608" i="4"/>
  <c r="M608" i="4"/>
  <c r="AE608" i="5" s="1"/>
  <c r="N608" i="4"/>
  <c r="O608" i="4"/>
  <c r="P608" i="4"/>
  <c r="Q608" i="4"/>
  <c r="R608" i="4"/>
  <c r="S608" i="4"/>
  <c r="T608" i="4"/>
  <c r="U608" i="4"/>
  <c r="V608" i="4"/>
  <c r="E609" i="4"/>
  <c r="F609" i="4"/>
  <c r="G609" i="4"/>
  <c r="H609" i="4"/>
  <c r="I609" i="4"/>
  <c r="J609" i="4"/>
  <c r="K609" i="4"/>
  <c r="L609" i="4"/>
  <c r="M609" i="4"/>
  <c r="AE609" i="5" s="1"/>
  <c r="N609" i="4"/>
  <c r="O609" i="4"/>
  <c r="P609" i="4"/>
  <c r="Q609" i="4"/>
  <c r="R609" i="4"/>
  <c r="S609" i="4"/>
  <c r="T609" i="4"/>
  <c r="U609" i="4"/>
  <c r="V609" i="4"/>
  <c r="E610" i="4"/>
  <c r="F610" i="4"/>
  <c r="G610" i="4"/>
  <c r="H610" i="4"/>
  <c r="I610" i="4"/>
  <c r="J610" i="4"/>
  <c r="K610" i="4"/>
  <c r="L610" i="4"/>
  <c r="M610" i="4"/>
  <c r="AE610" i="5" s="1"/>
  <c r="N610" i="4"/>
  <c r="O610" i="4"/>
  <c r="P610" i="4"/>
  <c r="Q610" i="4"/>
  <c r="R610" i="4"/>
  <c r="S610" i="4"/>
  <c r="T610" i="4"/>
  <c r="U610" i="4"/>
  <c r="V610" i="4"/>
  <c r="E611" i="4"/>
  <c r="F611" i="4"/>
  <c r="G611" i="4"/>
  <c r="H611" i="4"/>
  <c r="I611" i="4"/>
  <c r="J611" i="4"/>
  <c r="K611" i="4"/>
  <c r="L611" i="4"/>
  <c r="M611" i="4"/>
  <c r="AE611" i="5" s="1"/>
  <c r="N611" i="4"/>
  <c r="O611" i="4"/>
  <c r="P611" i="4"/>
  <c r="Q611" i="4"/>
  <c r="R611" i="4"/>
  <c r="S611" i="4"/>
  <c r="T611" i="4"/>
  <c r="E612" i="4"/>
  <c r="F612" i="4"/>
  <c r="G612" i="4"/>
  <c r="H612" i="4"/>
  <c r="I612" i="4"/>
  <c r="J612" i="4"/>
  <c r="K612" i="4"/>
  <c r="L612" i="4"/>
  <c r="M612" i="4"/>
  <c r="AE612" i="5" s="1"/>
  <c r="N612" i="4"/>
  <c r="O612" i="4"/>
  <c r="P612" i="4"/>
  <c r="Q612" i="4"/>
  <c r="R612" i="4"/>
  <c r="S612" i="4"/>
  <c r="T612" i="4"/>
  <c r="E613" i="4"/>
  <c r="F613" i="4"/>
  <c r="G613" i="4"/>
  <c r="H613" i="4"/>
  <c r="I613" i="4"/>
  <c r="J613" i="4"/>
  <c r="K613" i="4"/>
  <c r="L613" i="4"/>
  <c r="M613" i="4"/>
  <c r="AE613" i="5" s="1"/>
  <c r="N613" i="4"/>
  <c r="O613" i="4"/>
  <c r="P613" i="4"/>
  <c r="Q613" i="4"/>
  <c r="R613" i="4"/>
  <c r="S613" i="4"/>
  <c r="T613" i="4"/>
  <c r="E614" i="4"/>
  <c r="F614" i="4"/>
  <c r="G614" i="4"/>
  <c r="H614" i="4"/>
  <c r="I614" i="4"/>
  <c r="J614" i="4"/>
  <c r="K614" i="4"/>
  <c r="L614" i="4"/>
  <c r="M614" i="4"/>
  <c r="AE614" i="5" s="1"/>
  <c r="N614" i="4"/>
  <c r="O614" i="4"/>
  <c r="P614" i="4"/>
  <c r="Q614" i="4"/>
  <c r="R614" i="4"/>
  <c r="S614" i="4"/>
  <c r="T614" i="4"/>
  <c r="E615" i="4"/>
  <c r="F615" i="4"/>
  <c r="G615" i="4"/>
  <c r="H615" i="4"/>
  <c r="I615" i="4"/>
  <c r="J615" i="4"/>
  <c r="K615" i="4"/>
  <c r="L615" i="4"/>
  <c r="M615" i="4"/>
  <c r="AE615" i="5" s="1"/>
  <c r="N615" i="4"/>
  <c r="O615" i="4"/>
  <c r="P615" i="4"/>
  <c r="Q615" i="4"/>
  <c r="R615" i="4"/>
  <c r="S615" i="4"/>
  <c r="T615" i="4"/>
  <c r="E616" i="4"/>
  <c r="F616" i="4"/>
  <c r="G616" i="4"/>
  <c r="H616" i="4"/>
  <c r="I616" i="4"/>
  <c r="J616" i="4"/>
  <c r="K616" i="4"/>
  <c r="L616" i="4"/>
  <c r="M616" i="4"/>
  <c r="AE616" i="5" s="1"/>
  <c r="N616" i="4"/>
  <c r="O616" i="4"/>
  <c r="P616" i="4"/>
  <c r="Q616" i="4"/>
  <c r="R616" i="4"/>
  <c r="S616" i="4"/>
  <c r="T616" i="4"/>
  <c r="E617" i="4"/>
  <c r="F617" i="4"/>
  <c r="G617" i="4"/>
  <c r="H617" i="4"/>
  <c r="I617" i="4"/>
  <c r="J617" i="4"/>
  <c r="K617" i="4"/>
  <c r="L617" i="4"/>
  <c r="M617" i="4"/>
  <c r="AE617" i="5" s="1"/>
  <c r="N617" i="4"/>
  <c r="O617" i="4"/>
  <c r="P617" i="4"/>
  <c r="Q617" i="4"/>
  <c r="R617" i="4"/>
  <c r="S617" i="4"/>
  <c r="T617" i="4"/>
  <c r="E618" i="4"/>
  <c r="F618" i="4"/>
  <c r="G618" i="4"/>
  <c r="H618" i="4"/>
  <c r="I618" i="4"/>
  <c r="J618" i="4"/>
  <c r="K618" i="4"/>
  <c r="L618" i="4"/>
  <c r="M618" i="4"/>
  <c r="AE618" i="5" s="1"/>
  <c r="N618" i="4"/>
  <c r="O618" i="4"/>
  <c r="P618" i="4"/>
  <c r="Q618" i="4"/>
  <c r="R618" i="4"/>
  <c r="S618" i="4"/>
  <c r="T618" i="4"/>
  <c r="E619" i="4"/>
  <c r="F619" i="4"/>
  <c r="G619" i="4"/>
  <c r="H619" i="4"/>
  <c r="I619" i="4"/>
  <c r="J619" i="4"/>
  <c r="K619" i="4"/>
  <c r="L619" i="4"/>
  <c r="M619" i="4"/>
  <c r="AE619" i="5" s="1"/>
  <c r="N619" i="4"/>
  <c r="O619" i="4"/>
  <c r="P619" i="4"/>
  <c r="Q619" i="4"/>
  <c r="R619" i="4"/>
  <c r="S619" i="4"/>
  <c r="T619" i="4"/>
  <c r="E620" i="4"/>
  <c r="F620" i="4"/>
  <c r="G620" i="4"/>
  <c r="H620" i="4"/>
  <c r="I620" i="4"/>
  <c r="J620" i="4"/>
  <c r="K620" i="4"/>
  <c r="L620" i="4"/>
  <c r="M620" i="4"/>
  <c r="AE620" i="5" s="1"/>
  <c r="N620" i="4"/>
  <c r="O620" i="4"/>
  <c r="P620" i="4"/>
  <c r="Q620" i="4"/>
  <c r="R620" i="4"/>
  <c r="S620" i="4"/>
  <c r="T620" i="4"/>
  <c r="E621" i="4"/>
  <c r="F621" i="4"/>
  <c r="G621" i="4"/>
  <c r="H621" i="4"/>
  <c r="I621" i="4"/>
  <c r="J621" i="4"/>
  <c r="K621" i="4"/>
  <c r="L621" i="4"/>
  <c r="M621" i="4"/>
  <c r="AE621" i="5" s="1"/>
  <c r="N621" i="4"/>
  <c r="O621" i="4"/>
  <c r="P621" i="4"/>
  <c r="Q621" i="4"/>
  <c r="R621" i="4"/>
  <c r="S621" i="4"/>
  <c r="T621" i="4"/>
  <c r="E622" i="4"/>
  <c r="F622" i="4"/>
  <c r="G622" i="4"/>
  <c r="H622" i="4"/>
  <c r="I622" i="4"/>
  <c r="J622" i="4"/>
  <c r="K622" i="4"/>
  <c r="L622" i="4"/>
  <c r="M622" i="4"/>
  <c r="AE622" i="5" s="1"/>
  <c r="N622" i="4"/>
  <c r="O622" i="4"/>
  <c r="P622" i="4"/>
  <c r="Q622" i="4"/>
  <c r="R622" i="4"/>
  <c r="S622" i="4"/>
  <c r="T622" i="4"/>
  <c r="E623" i="4"/>
  <c r="F623" i="4"/>
  <c r="G623" i="4"/>
  <c r="H623" i="4"/>
  <c r="I623" i="4"/>
  <c r="J623" i="4"/>
  <c r="K623" i="4"/>
  <c r="L623" i="4"/>
  <c r="M623" i="4"/>
  <c r="AE623" i="5" s="1"/>
  <c r="N623" i="4"/>
  <c r="O623" i="4"/>
  <c r="P623" i="4"/>
  <c r="Q623" i="4"/>
  <c r="R623" i="4"/>
  <c r="S623" i="4"/>
  <c r="T623" i="4"/>
  <c r="E624" i="4"/>
  <c r="F624" i="4"/>
  <c r="G624" i="4"/>
  <c r="H624" i="4"/>
  <c r="I624" i="4"/>
  <c r="J624" i="4"/>
  <c r="K624" i="4"/>
  <c r="L624" i="4"/>
  <c r="M624" i="4"/>
  <c r="AE624" i="5" s="1"/>
  <c r="N624" i="4"/>
  <c r="O624" i="4"/>
  <c r="P624" i="4"/>
  <c r="Q624" i="4"/>
  <c r="R624" i="4"/>
  <c r="S624" i="4"/>
  <c r="T624" i="4"/>
  <c r="E625" i="4"/>
  <c r="F625" i="4"/>
  <c r="G625" i="4"/>
  <c r="H625" i="4"/>
  <c r="I625" i="4"/>
  <c r="J625" i="4"/>
  <c r="K625" i="4"/>
  <c r="L625" i="4"/>
  <c r="M625" i="4"/>
  <c r="AE625" i="5" s="1"/>
  <c r="N625" i="4"/>
  <c r="O625" i="4"/>
  <c r="P625" i="4"/>
  <c r="Q625" i="4"/>
  <c r="R625" i="4"/>
  <c r="S625" i="4"/>
  <c r="T625" i="4"/>
  <c r="U625" i="4"/>
  <c r="V625" i="4"/>
  <c r="E626" i="4"/>
  <c r="F626" i="4"/>
  <c r="G626" i="4"/>
  <c r="H626" i="4"/>
  <c r="I626" i="4"/>
  <c r="J626" i="4"/>
  <c r="K626" i="4"/>
  <c r="L626" i="4"/>
  <c r="M626" i="4"/>
  <c r="AE626" i="5" s="1"/>
  <c r="N626" i="4"/>
  <c r="O626" i="4"/>
  <c r="P626" i="4"/>
  <c r="Q626" i="4"/>
  <c r="R626" i="4"/>
  <c r="S626" i="4"/>
  <c r="T626" i="4"/>
  <c r="U626" i="4"/>
  <c r="V626" i="4"/>
  <c r="E627" i="4"/>
  <c r="F627" i="4"/>
  <c r="G627" i="4"/>
  <c r="H627" i="4"/>
  <c r="I627" i="4"/>
  <c r="J627" i="4"/>
  <c r="K627" i="4"/>
  <c r="L627" i="4"/>
  <c r="M627" i="4"/>
  <c r="AE627" i="5" s="1"/>
  <c r="N627" i="4"/>
  <c r="O627" i="4"/>
  <c r="P627" i="4"/>
  <c r="Q627" i="4"/>
  <c r="R627" i="4"/>
  <c r="S627" i="4"/>
  <c r="T627" i="4"/>
  <c r="E628" i="4"/>
  <c r="F628" i="4"/>
  <c r="G628" i="4"/>
  <c r="H628" i="4"/>
  <c r="I628" i="4"/>
  <c r="J628" i="4"/>
  <c r="K628" i="4"/>
  <c r="L628" i="4"/>
  <c r="M628" i="4"/>
  <c r="AE628" i="5" s="1"/>
  <c r="N628" i="4"/>
  <c r="O628" i="4"/>
  <c r="P628" i="4"/>
  <c r="Q628" i="4"/>
  <c r="R628" i="4"/>
  <c r="S628" i="4"/>
  <c r="T628" i="4"/>
  <c r="E629" i="4"/>
  <c r="F629" i="4"/>
  <c r="G629" i="4"/>
  <c r="H629" i="4"/>
  <c r="I629" i="4"/>
  <c r="J629" i="4"/>
  <c r="K629" i="4"/>
  <c r="L629" i="4"/>
  <c r="M629" i="4"/>
  <c r="AE629" i="5" s="1"/>
  <c r="N629" i="4"/>
  <c r="O629" i="4"/>
  <c r="P629" i="4"/>
  <c r="Q629" i="4"/>
  <c r="R629" i="4"/>
  <c r="S629" i="4"/>
  <c r="T629" i="4"/>
  <c r="E630" i="4"/>
  <c r="F630" i="4"/>
  <c r="G630" i="4"/>
  <c r="H630" i="4"/>
  <c r="I630" i="4"/>
  <c r="J630" i="4"/>
  <c r="K630" i="4"/>
  <c r="L630" i="4"/>
  <c r="M630" i="4"/>
  <c r="AE630" i="5" s="1"/>
  <c r="N630" i="4"/>
  <c r="O630" i="4"/>
  <c r="P630" i="4"/>
  <c r="Q630" i="4"/>
  <c r="R630" i="4"/>
  <c r="S630" i="4"/>
  <c r="T630" i="4"/>
  <c r="E631" i="4"/>
  <c r="F631" i="4"/>
  <c r="G631" i="4"/>
  <c r="H631" i="4"/>
  <c r="I631" i="4"/>
  <c r="J631" i="4"/>
  <c r="K631" i="4"/>
  <c r="L631" i="4"/>
  <c r="M631" i="4"/>
  <c r="AE631" i="5" s="1"/>
  <c r="N631" i="4"/>
  <c r="O631" i="4"/>
  <c r="P631" i="4"/>
  <c r="Q631" i="4"/>
  <c r="R631" i="4"/>
  <c r="S631" i="4"/>
  <c r="T631" i="4"/>
  <c r="U631" i="4"/>
  <c r="V631" i="4"/>
  <c r="E632" i="4"/>
  <c r="F632" i="4"/>
  <c r="G632" i="4"/>
  <c r="H632" i="4"/>
  <c r="I632" i="4"/>
  <c r="J632" i="4"/>
  <c r="K632" i="4"/>
  <c r="L632" i="4"/>
  <c r="M632" i="4"/>
  <c r="AE632" i="5" s="1"/>
  <c r="N632" i="4"/>
  <c r="O632" i="4"/>
  <c r="P632" i="4"/>
  <c r="Q632" i="4"/>
  <c r="R632" i="4"/>
  <c r="S632" i="4"/>
  <c r="T632" i="4"/>
  <c r="U632" i="4"/>
  <c r="V632" i="4"/>
  <c r="E633" i="4"/>
  <c r="F633" i="4"/>
  <c r="G633" i="4"/>
  <c r="H633" i="4"/>
  <c r="I633" i="4"/>
  <c r="J633" i="4"/>
  <c r="K633" i="4"/>
  <c r="L633" i="4"/>
  <c r="M633" i="4"/>
  <c r="AE633" i="5" s="1"/>
  <c r="N633" i="4"/>
  <c r="O633" i="4"/>
  <c r="P633" i="4"/>
  <c r="Q633" i="4"/>
  <c r="R633" i="4"/>
  <c r="S633" i="4"/>
  <c r="T633" i="4"/>
  <c r="U633" i="4"/>
  <c r="V633" i="4"/>
  <c r="E634" i="4"/>
  <c r="F634" i="4"/>
  <c r="G634" i="4"/>
  <c r="H634" i="4"/>
  <c r="I634" i="4"/>
  <c r="J634" i="4"/>
  <c r="K634" i="4"/>
  <c r="L634" i="4"/>
  <c r="M634" i="4"/>
  <c r="AE634" i="5" s="1"/>
  <c r="N634" i="4"/>
  <c r="O634" i="4"/>
  <c r="P634" i="4"/>
  <c r="Q634" i="4"/>
  <c r="R634" i="4"/>
  <c r="S634" i="4"/>
  <c r="T634" i="4"/>
  <c r="U634" i="4"/>
  <c r="V634" i="4"/>
  <c r="E635" i="4"/>
  <c r="F635" i="4"/>
  <c r="G635" i="4"/>
  <c r="H635" i="4"/>
  <c r="I635" i="4"/>
  <c r="J635" i="4"/>
  <c r="K635" i="4"/>
  <c r="L635" i="4"/>
  <c r="M635" i="4"/>
  <c r="AE635" i="5" s="1"/>
  <c r="N635" i="4"/>
  <c r="O635" i="4"/>
  <c r="P635" i="4"/>
  <c r="Q635" i="4"/>
  <c r="R635" i="4"/>
  <c r="S635" i="4"/>
  <c r="T635" i="4"/>
  <c r="U635" i="4"/>
  <c r="V635" i="4"/>
  <c r="E636" i="4"/>
  <c r="F636" i="4"/>
  <c r="G636" i="4"/>
  <c r="H636" i="4"/>
  <c r="I636" i="4"/>
  <c r="J636" i="4"/>
  <c r="K636" i="4"/>
  <c r="L636" i="4"/>
  <c r="M636" i="4"/>
  <c r="AE636" i="5" s="1"/>
  <c r="N636" i="4"/>
  <c r="O636" i="4"/>
  <c r="P636" i="4"/>
  <c r="Q636" i="4"/>
  <c r="R636" i="4"/>
  <c r="S636" i="4"/>
  <c r="T636" i="4"/>
  <c r="U636" i="4"/>
  <c r="V636" i="4"/>
  <c r="E637" i="4"/>
  <c r="F637" i="4"/>
  <c r="G637" i="4"/>
  <c r="H637" i="4"/>
  <c r="I637" i="4"/>
  <c r="J637" i="4"/>
  <c r="K637" i="4"/>
  <c r="L637" i="4"/>
  <c r="M637" i="4"/>
  <c r="AE637" i="5" s="1"/>
  <c r="N637" i="4"/>
  <c r="O637" i="4"/>
  <c r="P637" i="4"/>
  <c r="Q637" i="4"/>
  <c r="R637" i="4"/>
  <c r="S637" i="4"/>
  <c r="T637" i="4"/>
  <c r="U637" i="4"/>
  <c r="V637" i="4"/>
  <c r="E638" i="4"/>
  <c r="F638" i="4"/>
  <c r="G638" i="4"/>
  <c r="H638" i="4"/>
  <c r="I638" i="4"/>
  <c r="J638" i="4"/>
  <c r="K638" i="4"/>
  <c r="L638" i="4"/>
  <c r="M638" i="4"/>
  <c r="AE638" i="5" s="1"/>
  <c r="N638" i="4"/>
  <c r="O638" i="4"/>
  <c r="P638" i="4"/>
  <c r="Q638" i="4"/>
  <c r="R638" i="4"/>
  <c r="S638" i="4"/>
  <c r="T638" i="4"/>
  <c r="U638" i="4"/>
  <c r="V638" i="4"/>
  <c r="E639" i="4"/>
  <c r="F639" i="4"/>
  <c r="G639" i="4"/>
  <c r="H639" i="4"/>
  <c r="I639" i="4"/>
  <c r="J639" i="4"/>
  <c r="K639" i="4"/>
  <c r="L639" i="4"/>
  <c r="M639" i="4"/>
  <c r="AE639" i="5" s="1"/>
  <c r="N639" i="4"/>
  <c r="O639" i="4"/>
  <c r="P639" i="4"/>
  <c r="Q639" i="4"/>
  <c r="R639" i="4"/>
  <c r="S639" i="4"/>
  <c r="T639" i="4"/>
  <c r="U639" i="4"/>
  <c r="V639" i="4"/>
  <c r="E640" i="4"/>
  <c r="F640" i="4"/>
  <c r="G640" i="4"/>
  <c r="H640" i="4"/>
  <c r="I640" i="4"/>
  <c r="J640" i="4"/>
  <c r="K640" i="4"/>
  <c r="L640" i="4"/>
  <c r="M640" i="4"/>
  <c r="AE640" i="5" s="1"/>
  <c r="N640" i="4"/>
  <c r="O640" i="4"/>
  <c r="P640" i="4"/>
  <c r="Q640" i="4"/>
  <c r="R640" i="4"/>
  <c r="S640" i="4"/>
  <c r="T640" i="4"/>
  <c r="U640" i="4"/>
  <c r="V640" i="4"/>
  <c r="E641" i="4"/>
  <c r="F641" i="4"/>
  <c r="G641" i="4"/>
  <c r="H641" i="4"/>
  <c r="I641" i="4"/>
  <c r="J641" i="4"/>
  <c r="K641" i="4"/>
  <c r="L641" i="4"/>
  <c r="M641" i="4"/>
  <c r="AE641" i="5" s="1"/>
  <c r="N641" i="4"/>
  <c r="O641" i="4"/>
  <c r="P641" i="4"/>
  <c r="Q641" i="4"/>
  <c r="R641" i="4"/>
  <c r="S641" i="4"/>
  <c r="T641" i="4"/>
  <c r="U641" i="4"/>
  <c r="V641" i="4"/>
  <c r="E642" i="4"/>
  <c r="F642" i="4"/>
  <c r="G642" i="4"/>
  <c r="H642" i="4"/>
  <c r="I642" i="4"/>
  <c r="J642" i="4"/>
  <c r="K642" i="4"/>
  <c r="L642" i="4"/>
  <c r="M642" i="4"/>
  <c r="AE642" i="5" s="1"/>
  <c r="N642" i="4"/>
  <c r="O642" i="4"/>
  <c r="P642" i="4"/>
  <c r="Q642" i="4"/>
  <c r="R642" i="4"/>
  <c r="S642" i="4"/>
  <c r="T642" i="4"/>
  <c r="U642" i="4"/>
  <c r="V642" i="4"/>
  <c r="E643" i="4"/>
  <c r="F643" i="4"/>
  <c r="G643" i="4"/>
  <c r="H643" i="4"/>
  <c r="I643" i="4"/>
  <c r="J643" i="4"/>
  <c r="K643" i="4"/>
  <c r="L643" i="4"/>
  <c r="M643" i="4"/>
  <c r="AE643" i="5" s="1"/>
  <c r="N643" i="4"/>
  <c r="O643" i="4"/>
  <c r="P643" i="4"/>
  <c r="Q643" i="4"/>
  <c r="R643" i="4"/>
  <c r="S643" i="4"/>
  <c r="T643" i="4"/>
  <c r="E644" i="4"/>
  <c r="F644" i="4"/>
  <c r="G644" i="4"/>
  <c r="H644" i="4"/>
  <c r="I644" i="4"/>
  <c r="J644" i="4"/>
  <c r="K644" i="4"/>
  <c r="L644" i="4"/>
  <c r="M644" i="4"/>
  <c r="AE644" i="5" s="1"/>
  <c r="N644" i="4"/>
  <c r="O644" i="4"/>
  <c r="P644" i="4"/>
  <c r="Q644" i="4"/>
  <c r="R644" i="4"/>
  <c r="S644" i="4"/>
  <c r="T644" i="4"/>
  <c r="E645" i="4"/>
  <c r="F645" i="4"/>
  <c r="G645" i="4"/>
  <c r="H645" i="4"/>
  <c r="I645" i="4"/>
  <c r="J645" i="4"/>
  <c r="K645" i="4"/>
  <c r="L645" i="4"/>
  <c r="M645" i="4"/>
  <c r="AE645" i="5" s="1"/>
  <c r="N645" i="4"/>
  <c r="O645" i="4"/>
  <c r="P645" i="4"/>
  <c r="Q645" i="4"/>
  <c r="R645" i="4"/>
  <c r="S645" i="4"/>
  <c r="T645" i="4"/>
  <c r="E646" i="4"/>
  <c r="F646" i="4"/>
  <c r="G646" i="4"/>
  <c r="H646" i="4"/>
  <c r="I646" i="4"/>
  <c r="J646" i="4"/>
  <c r="K646" i="4"/>
  <c r="L646" i="4"/>
  <c r="M646" i="4"/>
  <c r="AE646" i="5" s="1"/>
  <c r="N646" i="4"/>
  <c r="O646" i="4"/>
  <c r="P646" i="4"/>
  <c r="Q646" i="4"/>
  <c r="R646" i="4"/>
  <c r="S646" i="4"/>
  <c r="T646" i="4"/>
  <c r="E647" i="4"/>
  <c r="F647" i="4"/>
  <c r="G647" i="4"/>
  <c r="H647" i="4"/>
  <c r="I647" i="4"/>
  <c r="J647" i="4"/>
  <c r="K647" i="4"/>
  <c r="L647" i="4"/>
  <c r="M647" i="4"/>
  <c r="AE647" i="5" s="1"/>
  <c r="N647" i="4"/>
  <c r="O647" i="4"/>
  <c r="P647" i="4"/>
  <c r="Q647" i="4"/>
  <c r="R647" i="4"/>
  <c r="S647" i="4"/>
  <c r="T647" i="4"/>
  <c r="U647" i="4"/>
  <c r="V647" i="4"/>
  <c r="E648" i="4"/>
  <c r="F648" i="4"/>
  <c r="G648" i="4"/>
  <c r="H648" i="4"/>
  <c r="I648" i="4"/>
  <c r="J648" i="4"/>
  <c r="K648" i="4"/>
  <c r="L648" i="4"/>
  <c r="M648" i="4"/>
  <c r="AE648" i="5" s="1"/>
  <c r="N648" i="4"/>
  <c r="O648" i="4"/>
  <c r="P648" i="4"/>
  <c r="Q648" i="4"/>
  <c r="R648" i="4"/>
  <c r="S648" i="4"/>
  <c r="T648" i="4"/>
  <c r="U648" i="4"/>
  <c r="V648" i="4"/>
  <c r="E649" i="4"/>
  <c r="F649" i="4"/>
  <c r="G649" i="4"/>
  <c r="H649" i="4"/>
  <c r="I649" i="4"/>
  <c r="J649" i="4"/>
  <c r="K649" i="4"/>
  <c r="L649" i="4"/>
  <c r="M649" i="4"/>
  <c r="AE649" i="5" s="1"/>
  <c r="N649" i="4"/>
  <c r="O649" i="4"/>
  <c r="P649" i="4"/>
  <c r="Q649" i="4"/>
  <c r="R649" i="4"/>
  <c r="S649" i="4"/>
  <c r="T649" i="4"/>
  <c r="U649" i="4"/>
  <c r="V649" i="4"/>
  <c r="E650" i="4"/>
  <c r="F650" i="4"/>
  <c r="G650" i="4"/>
  <c r="H650" i="4"/>
  <c r="I650" i="4"/>
  <c r="J650" i="4"/>
  <c r="K650" i="4"/>
  <c r="L650" i="4"/>
  <c r="M650" i="4"/>
  <c r="AE650" i="5" s="1"/>
  <c r="N650" i="4"/>
  <c r="O650" i="4"/>
  <c r="P650" i="4"/>
  <c r="Q650" i="4"/>
  <c r="R650" i="4"/>
  <c r="S650" i="4"/>
  <c r="T650" i="4"/>
  <c r="U650" i="4"/>
  <c r="V650" i="4"/>
  <c r="E651" i="4"/>
  <c r="F651" i="4"/>
  <c r="G651" i="4"/>
  <c r="H651" i="4"/>
  <c r="I651" i="4"/>
  <c r="J651" i="4"/>
  <c r="K651" i="4"/>
  <c r="L651" i="4"/>
  <c r="M651" i="4"/>
  <c r="AE651" i="5" s="1"/>
  <c r="N651" i="4"/>
  <c r="O651" i="4"/>
  <c r="P651" i="4"/>
  <c r="Q651" i="4"/>
  <c r="R651" i="4"/>
  <c r="S651" i="4"/>
  <c r="T651" i="4"/>
  <c r="U651" i="4"/>
  <c r="V651" i="4"/>
  <c r="E652" i="4"/>
  <c r="F652" i="4"/>
  <c r="G652" i="4"/>
  <c r="H652" i="4"/>
  <c r="I652" i="4"/>
  <c r="J652" i="4"/>
  <c r="K652" i="4"/>
  <c r="L652" i="4"/>
  <c r="M652" i="4"/>
  <c r="AE652" i="5" s="1"/>
  <c r="N652" i="4"/>
  <c r="O652" i="4"/>
  <c r="P652" i="4"/>
  <c r="Q652" i="4"/>
  <c r="R652" i="4"/>
  <c r="S652" i="4"/>
  <c r="T652" i="4"/>
  <c r="U652" i="4"/>
  <c r="V652" i="4"/>
  <c r="E653" i="4"/>
  <c r="F653" i="4"/>
  <c r="G653" i="4"/>
  <c r="H653" i="4"/>
  <c r="I653" i="4"/>
  <c r="J653" i="4"/>
  <c r="K653" i="4"/>
  <c r="L653" i="4"/>
  <c r="M653" i="4"/>
  <c r="AE653" i="5" s="1"/>
  <c r="N653" i="4"/>
  <c r="O653" i="4"/>
  <c r="P653" i="4"/>
  <c r="Q653" i="4"/>
  <c r="R653" i="4"/>
  <c r="S653" i="4"/>
  <c r="T653" i="4"/>
  <c r="U653" i="4"/>
  <c r="V653" i="4"/>
  <c r="E654" i="4"/>
  <c r="F654" i="4"/>
  <c r="G654" i="4"/>
  <c r="H654" i="4"/>
  <c r="I654" i="4"/>
  <c r="J654" i="4"/>
  <c r="K654" i="4"/>
  <c r="L654" i="4"/>
  <c r="M654" i="4"/>
  <c r="AE654" i="5" s="1"/>
  <c r="N654" i="4"/>
  <c r="O654" i="4"/>
  <c r="P654" i="4"/>
  <c r="Q654" i="4"/>
  <c r="R654" i="4"/>
  <c r="S654" i="4"/>
  <c r="T654" i="4"/>
  <c r="U654" i="4"/>
  <c r="V654" i="4"/>
  <c r="E655" i="4"/>
  <c r="F655" i="4"/>
  <c r="G655" i="4"/>
  <c r="H655" i="4"/>
  <c r="I655" i="4"/>
  <c r="J655" i="4"/>
  <c r="K655" i="4"/>
  <c r="L655" i="4"/>
  <c r="M655" i="4"/>
  <c r="AE655" i="5" s="1"/>
  <c r="N655" i="4"/>
  <c r="O655" i="4"/>
  <c r="P655" i="4"/>
  <c r="Q655" i="4"/>
  <c r="R655" i="4"/>
  <c r="S655" i="4"/>
  <c r="T655" i="4"/>
  <c r="U655" i="4"/>
  <c r="V655" i="4"/>
  <c r="E656" i="4"/>
  <c r="F656" i="4"/>
  <c r="G656" i="4"/>
  <c r="H656" i="4"/>
  <c r="I656" i="4"/>
  <c r="J656" i="4"/>
  <c r="K656" i="4"/>
  <c r="L656" i="4"/>
  <c r="M656" i="4"/>
  <c r="AE656" i="5" s="1"/>
  <c r="N656" i="4"/>
  <c r="O656" i="4"/>
  <c r="P656" i="4"/>
  <c r="Q656" i="4"/>
  <c r="R656" i="4"/>
  <c r="S656" i="4"/>
  <c r="T656" i="4"/>
  <c r="U656" i="4"/>
  <c r="V656" i="4"/>
  <c r="E657" i="4"/>
  <c r="F657" i="4"/>
  <c r="G657" i="4"/>
  <c r="H657" i="4"/>
  <c r="I657" i="4"/>
  <c r="J657" i="4"/>
  <c r="K657" i="4"/>
  <c r="L657" i="4"/>
  <c r="M657" i="4"/>
  <c r="AE657" i="5" s="1"/>
  <c r="N657" i="4"/>
  <c r="O657" i="4"/>
  <c r="P657" i="4"/>
  <c r="Q657" i="4"/>
  <c r="R657" i="4"/>
  <c r="S657" i="4"/>
  <c r="T657" i="4"/>
  <c r="U657" i="4"/>
  <c r="V657" i="4"/>
  <c r="E658" i="4"/>
  <c r="F658" i="4"/>
  <c r="G658" i="4"/>
  <c r="H658" i="4"/>
  <c r="I658" i="4"/>
  <c r="J658" i="4"/>
  <c r="K658" i="4"/>
  <c r="L658" i="4"/>
  <c r="M658" i="4"/>
  <c r="AE658" i="5" s="1"/>
  <c r="N658" i="4"/>
  <c r="O658" i="4"/>
  <c r="P658" i="4"/>
  <c r="Q658" i="4"/>
  <c r="R658" i="4"/>
  <c r="S658" i="4"/>
  <c r="T658" i="4"/>
  <c r="E659" i="4"/>
  <c r="F659" i="4"/>
  <c r="G659" i="4"/>
  <c r="H659" i="4"/>
  <c r="I659" i="4"/>
  <c r="J659" i="4"/>
  <c r="K659" i="4"/>
  <c r="L659" i="4"/>
  <c r="M659" i="4"/>
  <c r="AE659" i="5" s="1"/>
  <c r="N659" i="4"/>
  <c r="O659" i="4"/>
  <c r="P659" i="4"/>
  <c r="Q659" i="4"/>
  <c r="R659" i="4"/>
  <c r="S659" i="4"/>
  <c r="T659" i="4"/>
  <c r="E660" i="4"/>
  <c r="F660" i="4"/>
  <c r="G660" i="4"/>
  <c r="H660" i="4"/>
  <c r="I660" i="4"/>
  <c r="J660" i="4"/>
  <c r="K660" i="4"/>
  <c r="L660" i="4"/>
  <c r="M660" i="4"/>
  <c r="AE660" i="5" s="1"/>
  <c r="N660" i="4"/>
  <c r="O660" i="4"/>
  <c r="P660" i="4"/>
  <c r="Q660" i="4"/>
  <c r="R660" i="4"/>
  <c r="S660" i="4"/>
  <c r="T660" i="4"/>
  <c r="E661" i="4"/>
  <c r="F661" i="4"/>
  <c r="G661" i="4"/>
  <c r="H661" i="4"/>
  <c r="I661" i="4"/>
  <c r="J661" i="4"/>
  <c r="K661" i="4"/>
  <c r="L661" i="4"/>
  <c r="M661" i="4"/>
  <c r="AE661" i="5" s="1"/>
  <c r="N661" i="4"/>
  <c r="O661" i="4"/>
  <c r="P661" i="4"/>
  <c r="Q661" i="4"/>
  <c r="R661" i="4"/>
  <c r="S661" i="4"/>
  <c r="T661" i="4"/>
  <c r="E662" i="4"/>
  <c r="F662" i="4"/>
  <c r="G662" i="4"/>
  <c r="H662" i="4"/>
  <c r="I662" i="4"/>
  <c r="J662" i="4"/>
  <c r="K662" i="4"/>
  <c r="L662" i="4"/>
  <c r="M662" i="4"/>
  <c r="AE662" i="5" s="1"/>
  <c r="N662" i="4"/>
  <c r="O662" i="4"/>
  <c r="P662" i="4"/>
  <c r="Q662" i="4"/>
  <c r="R662" i="4"/>
  <c r="S662" i="4"/>
  <c r="T662" i="4"/>
  <c r="E663" i="4"/>
  <c r="F663" i="4"/>
  <c r="G663" i="4"/>
  <c r="H663" i="4"/>
  <c r="I663" i="4"/>
  <c r="J663" i="4"/>
  <c r="K663" i="4"/>
  <c r="L663" i="4"/>
  <c r="M663" i="4"/>
  <c r="AE663" i="5" s="1"/>
  <c r="N663" i="4"/>
  <c r="O663" i="4"/>
  <c r="P663" i="4"/>
  <c r="Q663" i="4"/>
  <c r="R663" i="4"/>
  <c r="S663" i="4"/>
  <c r="T663" i="4"/>
  <c r="E664" i="4"/>
  <c r="F664" i="4"/>
  <c r="G664" i="4"/>
  <c r="H664" i="4"/>
  <c r="I664" i="4"/>
  <c r="J664" i="4"/>
  <c r="K664" i="4"/>
  <c r="L664" i="4"/>
  <c r="M664" i="4"/>
  <c r="AE664" i="5" s="1"/>
  <c r="N664" i="4"/>
  <c r="O664" i="4"/>
  <c r="P664" i="4"/>
  <c r="Q664" i="4"/>
  <c r="R664" i="4"/>
  <c r="S664" i="4"/>
  <c r="T664" i="4"/>
  <c r="E665" i="4"/>
  <c r="F665" i="4"/>
  <c r="G665" i="4"/>
  <c r="H665" i="4"/>
  <c r="I665" i="4"/>
  <c r="J665" i="4"/>
  <c r="K665" i="4"/>
  <c r="L665" i="4"/>
  <c r="M665" i="4"/>
  <c r="AE665" i="5" s="1"/>
  <c r="N665" i="4"/>
  <c r="O665" i="4"/>
  <c r="P665" i="4"/>
  <c r="Q665" i="4"/>
  <c r="R665" i="4"/>
  <c r="S665" i="4"/>
  <c r="T665" i="4"/>
  <c r="U665" i="4"/>
  <c r="V665" i="4"/>
  <c r="E666" i="4"/>
  <c r="F666" i="4"/>
  <c r="G666" i="4"/>
  <c r="H666" i="4"/>
  <c r="I666" i="4"/>
  <c r="J666" i="4"/>
  <c r="K666" i="4"/>
  <c r="L666" i="4"/>
  <c r="M666" i="4"/>
  <c r="AE666" i="5" s="1"/>
  <c r="N666" i="4"/>
  <c r="O666" i="4"/>
  <c r="P666" i="4"/>
  <c r="Q666" i="4"/>
  <c r="R666" i="4"/>
  <c r="S666" i="4"/>
  <c r="T666" i="4"/>
  <c r="U666" i="4"/>
  <c r="V666" i="4"/>
  <c r="E667" i="4"/>
  <c r="F667" i="4"/>
  <c r="G667" i="4"/>
  <c r="H667" i="4"/>
  <c r="I667" i="4"/>
  <c r="J667" i="4"/>
  <c r="K667" i="4"/>
  <c r="L667" i="4"/>
  <c r="M667" i="4"/>
  <c r="AE667" i="5" s="1"/>
  <c r="N667" i="4"/>
  <c r="O667" i="4"/>
  <c r="P667" i="4"/>
  <c r="Q667" i="4"/>
  <c r="R667" i="4"/>
  <c r="S667" i="4"/>
  <c r="T667" i="4"/>
  <c r="U667" i="4"/>
  <c r="V667" i="4"/>
  <c r="E668" i="4"/>
  <c r="F668" i="4"/>
  <c r="G668" i="4"/>
  <c r="H668" i="4"/>
  <c r="I668" i="4"/>
  <c r="J668" i="4"/>
  <c r="K668" i="4"/>
  <c r="L668" i="4"/>
  <c r="M668" i="4"/>
  <c r="AE668" i="5" s="1"/>
  <c r="N668" i="4"/>
  <c r="O668" i="4"/>
  <c r="P668" i="4"/>
  <c r="Q668" i="4"/>
  <c r="R668" i="4"/>
  <c r="S668" i="4"/>
  <c r="T668" i="4"/>
  <c r="U668" i="4"/>
  <c r="V668" i="4"/>
  <c r="E669" i="4"/>
  <c r="F669" i="4"/>
  <c r="G669" i="4"/>
  <c r="H669" i="4"/>
  <c r="I669" i="4"/>
  <c r="J669" i="4"/>
  <c r="K669" i="4"/>
  <c r="L669" i="4"/>
  <c r="M669" i="4"/>
  <c r="AE669" i="5" s="1"/>
  <c r="N669" i="4"/>
  <c r="O669" i="4"/>
  <c r="P669" i="4"/>
  <c r="Q669" i="4"/>
  <c r="R669" i="4"/>
  <c r="S669" i="4"/>
  <c r="T669" i="4"/>
  <c r="U669" i="4"/>
  <c r="V669" i="4"/>
  <c r="E670" i="4"/>
  <c r="F670" i="4"/>
  <c r="G670" i="4"/>
  <c r="H670" i="4"/>
  <c r="I670" i="4"/>
  <c r="J670" i="4"/>
  <c r="K670" i="4"/>
  <c r="L670" i="4"/>
  <c r="M670" i="4"/>
  <c r="AE670" i="5" s="1"/>
  <c r="N670" i="4"/>
  <c r="O670" i="4"/>
  <c r="P670" i="4"/>
  <c r="Q670" i="4"/>
  <c r="R670" i="4"/>
  <c r="S670" i="4"/>
  <c r="T670" i="4"/>
  <c r="U670" i="4"/>
  <c r="V670" i="4"/>
  <c r="E671" i="4"/>
  <c r="F671" i="4"/>
  <c r="G671" i="4"/>
  <c r="H671" i="4"/>
  <c r="I671" i="4"/>
  <c r="J671" i="4"/>
  <c r="K671" i="4"/>
  <c r="L671" i="4"/>
  <c r="M671" i="4"/>
  <c r="AE671" i="5" s="1"/>
  <c r="N671" i="4"/>
  <c r="O671" i="4"/>
  <c r="P671" i="4"/>
  <c r="Q671" i="4"/>
  <c r="R671" i="4"/>
  <c r="S671" i="4"/>
  <c r="T671" i="4"/>
  <c r="U671" i="4"/>
  <c r="V671" i="4"/>
  <c r="E672" i="4"/>
  <c r="F672" i="4"/>
  <c r="G672" i="4"/>
  <c r="H672" i="4"/>
  <c r="I672" i="4"/>
  <c r="J672" i="4"/>
  <c r="K672" i="4"/>
  <c r="L672" i="4"/>
  <c r="M672" i="4"/>
  <c r="AE672" i="5" s="1"/>
  <c r="N672" i="4"/>
  <c r="O672" i="4"/>
  <c r="P672" i="4"/>
  <c r="Q672" i="4"/>
  <c r="R672" i="4"/>
  <c r="S672" i="4"/>
  <c r="T672" i="4"/>
  <c r="U672" i="4"/>
  <c r="V672" i="4"/>
  <c r="E673" i="4"/>
  <c r="F673" i="4"/>
  <c r="G673" i="4"/>
  <c r="H673" i="4"/>
  <c r="I673" i="4"/>
  <c r="J673" i="4"/>
  <c r="K673" i="4"/>
  <c r="L673" i="4"/>
  <c r="M673" i="4"/>
  <c r="AE673" i="5" s="1"/>
  <c r="N673" i="4"/>
  <c r="O673" i="4"/>
  <c r="P673" i="4"/>
  <c r="Q673" i="4"/>
  <c r="R673" i="4"/>
  <c r="S673" i="4"/>
  <c r="T673" i="4"/>
  <c r="U673" i="4"/>
  <c r="V673" i="4"/>
  <c r="E674" i="4"/>
  <c r="F674" i="4"/>
  <c r="G674" i="4"/>
  <c r="H674" i="4"/>
  <c r="I674" i="4"/>
  <c r="J674" i="4"/>
  <c r="K674" i="4"/>
  <c r="L674" i="4"/>
  <c r="M674" i="4"/>
  <c r="AE674" i="5" s="1"/>
  <c r="N674" i="4"/>
  <c r="O674" i="4"/>
  <c r="P674" i="4"/>
  <c r="Q674" i="4"/>
  <c r="R674" i="4"/>
  <c r="S674" i="4"/>
  <c r="T674" i="4"/>
  <c r="U674" i="4"/>
  <c r="V674" i="4"/>
  <c r="E675" i="4"/>
  <c r="F675" i="4"/>
  <c r="G675" i="4"/>
  <c r="H675" i="4"/>
  <c r="I675" i="4"/>
  <c r="J675" i="4"/>
  <c r="K675" i="4"/>
  <c r="L675" i="4"/>
  <c r="M675" i="4"/>
  <c r="AE675" i="5" s="1"/>
  <c r="N675" i="4"/>
  <c r="O675" i="4"/>
  <c r="P675" i="4"/>
  <c r="Q675" i="4"/>
  <c r="R675" i="4"/>
  <c r="S675" i="4"/>
  <c r="T675" i="4"/>
  <c r="E676" i="4"/>
  <c r="F676" i="4"/>
  <c r="G676" i="4"/>
  <c r="H676" i="4"/>
  <c r="I676" i="4"/>
  <c r="J676" i="4"/>
  <c r="K676" i="4"/>
  <c r="L676" i="4"/>
  <c r="M676" i="4"/>
  <c r="AE676" i="5" s="1"/>
  <c r="N676" i="4"/>
  <c r="O676" i="4"/>
  <c r="P676" i="4"/>
  <c r="Q676" i="4"/>
  <c r="R676" i="4"/>
  <c r="S676" i="4"/>
  <c r="T676" i="4"/>
  <c r="E677" i="4"/>
  <c r="F677" i="4"/>
  <c r="G677" i="4"/>
  <c r="H677" i="4"/>
  <c r="I677" i="4"/>
  <c r="J677" i="4"/>
  <c r="K677" i="4"/>
  <c r="L677" i="4"/>
  <c r="M677" i="4"/>
  <c r="AE677" i="5" s="1"/>
  <c r="N677" i="4"/>
  <c r="O677" i="4"/>
  <c r="P677" i="4"/>
  <c r="Q677" i="4"/>
  <c r="R677" i="4"/>
  <c r="S677" i="4"/>
  <c r="T677" i="4"/>
  <c r="U677" i="4"/>
  <c r="V677" i="4"/>
  <c r="E678" i="4"/>
  <c r="F678" i="4"/>
  <c r="G678" i="4"/>
  <c r="H678" i="4"/>
  <c r="I678" i="4"/>
  <c r="J678" i="4"/>
  <c r="K678" i="4"/>
  <c r="L678" i="4"/>
  <c r="M678" i="4"/>
  <c r="AE678" i="5" s="1"/>
  <c r="N678" i="4"/>
  <c r="O678" i="4"/>
  <c r="P678" i="4"/>
  <c r="Q678" i="4"/>
  <c r="R678" i="4"/>
  <c r="S678" i="4"/>
  <c r="T678" i="4"/>
  <c r="E679" i="4"/>
  <c r="F679" i="4"/>
  <c r="G679" i="4"/>
  <c r="H679" i="4"/>
  <c r="I679" i="4"/>
  <c r="J679" i="4"/>
  <c r="K679" i="4"/>
  <c r="L679" i="4"/>
  <c r="M679" i="4"/>
  <c r="AE679" i="5" s="1"/>
  <c r="N679" i="4"/>
  <c r="O679" i="4"/>
  <c r="P679" i="4"/>
  <c r="Q679" i="4"/>
  <c r="R679" i="4"/>
  <c r="S679" i="4"/>
  <c r="T679" i="4"/>
  <c r="E680" i="4"/>
  <c r="F680" i="4"/>
  <c r="G680" i="4"/>
  <c r="H680" i="4"/>
  <c r="I680" i="4"/>
  <c r="J680" i="4"/>
  <c r="K680" i="4"/>
  <c r="L680" i="4"/>
  <c r="M680" i="4"/>
  <c r="AE680" i="5" s="1"/>
  <c r="N680" i="4"/>
  <c r="O680" i="4"/>
  <c r="P680" i="4"/>
  <c r="Q680" i="4"/>
  <c r="R680" i="4"/>
  <c r="S680" i="4"/>
  <c r="T680" i="4"/>
  <c r="E681" i="4"/>
  <c r="F681" i="4"/>
  <c r="G681" i="4"/>
  <c r="H681" i="4"/>
  <c r="I681" i="4"/>
  <c r="J681" i="4"/>
  <c r="K681" i="4"/>
  <c r="L681" i="4"/>
  <c r="M681" i="4"/>
  <c r="AE681" i="5" s="1"/>
  <c r="N681" i="4"/>
  <c r="O681" i="4"/>
  <c r="P681" i="4"/>
  <c r="Q681" i="4"/>
  <c r="R681" i="4"/>
  <c r="S681" i="4"/>
  <c r="T681" i="4"/>
  <c r="E682" i="4"/>
  <c r="F682" i="4"/>
  <c r="G682" i="4"/>
  <c r="H682" i="4"/>
  <c r="I682" i="4"/>
  <c r="J682" i="4"/>
  <c r="K682" i="4"/>
  <c r="L682" i="4"/>
  <c r="M682" i="4"/>
  <c r="AE682" i="5" s="1"/>
  <c r="N682" i="4"/>
  <c r="O682" i="4"/>
  <c r="P682" i="4"/>
  <c r="Q682" i="4"/>
  <c r="R682" i="4"/>
  <c r="S682" i="4"/>
  <c r="T682" i="4"/>
  <c r="E683" i="4"/>
  <c r="F683" i="4"/>
  <c r="G683" i="4"/>
  <c r="H683" i="4"/>
  <c r="I683" i="4"/>
  <c r="J683" i="4"/>
  <c r="K683" i="4"/>
  <c r="L683" i="4"/>
  <c r="M683" i="4"/>
  <c r="AE683" i="5" s="1"/>
  <c r="N683" i="4"/>
  <c r="O683" i="4"/>
  <c r="P683" i="4"/>
  <c r="Q683" i="4"/>
  <c r="R683" i="4"/>
  <c r="S683" i="4"/>
  <c r="T683" i="4"/>
  <c r="E684" i="4"/>
  <c r="F684" i="4"/>
  <c r="G684" i="4"/>
  <c r="H684" i="4"/>
  <c r="I684" i="4"/>
  <c r="J684" i="4"/>
  <c r="K684" i="4"/>
  <c r="L684" i="4"/>
  <c r="M684" i="4"/>
  <c r="AE684" i="5" s="1"/>
  <c r="N684" i="4"/>
  <c r="O684" i="4"/>
  <c r="P684" i="4"/>
  <c r="Q684" i="4"/>
  <c r="R684" i="4"/>
  <c r="S684" i="4"/>
  <c r="T684" i="4"/>
  <c r="E685" i="4"/>
  <c r="F685" i="4"/>
  <c r="G685" i="4"/>
  <c r="H685" i="4"/>
  <c r="I685" i="4"/>
  <c r="J685" i="4"/>
  <c r="K685" i="4"/>
  <c r="L685" i="4"/>
  <c r="M685" i="4"/>
  <c r="AE685" i="5" s="1"/>
  <c r="N685" i="4"/>
  <c r="O685" i="4"/>
  <c r="P685" i="4"/>
  <c r="Q685" i="4"/>
  <c r="R685" i="4"/>
  <c r="S685" i="4"/>
  <c r="T685" i="4"/>
  <c r="E686" i="4"/>
  <c r="F686" i="4"/>
  <c r="G686" i="4"/>
  <c r="H686" i="4"/>
  <c r="I686" i="4"/>
  <c r="J686" i="4"/>
  <c r="K686" i="4"/>
  <c r="L686" i="4"/>
  <c r="M686" i="4"/>
  <c r="AE686" i="5" s="1"/>
  <c r="N686" i="4"/>
  <c r="O686" i="4"/>
  <c r="P686" i="4"/>
  <c r="Q686" i="4"/>
  <c r="R686" i="4"/>
  <c r="S686" i="4"/>
  <c r="T686" i="4"/>
  <c r="E687" i="4"/>
  <c r="F687" i="4"/>
  <c r="G687" i="4"/>
  <c r="H687" i="4"/>
  <c r="I687" i="4"/>
  <c r="J687" i="4"/>
  <c r="K687" i="4"/>
  <c r="L687" i="4"/>
  <c r="M687" i="4"/>
  <c r="AE687" i="5" s="1"/>
  <c r="N687" i="4"/>
  <c r="O687" i="4"/>
  <c r="P687" i="4"/>
  <c r="Q687" i="4"/>
  <c r="R687" i="4"/>
  <c r="S687" i="4"/>
  <c r="T687" i="4"/>
  <c r="E688" i="4"/>
  <c r="F688" i="4"/>
  <c r="G688" i="4"/>
  <c r="H688" i="4"/>
  <c r="I688" i="4"/>
  <c r="J688" i="4"/>
  <c r="K688" i="4"/>
  <c r="L688" i="4"/>
  <c r="M688" i="4"/>
  <c r="AE688" i="5" s="1"/>
  <c r="N688" i="4"/>
  <c r="O688" i="4"/>
  <c r="P688" i="4"/>
  <c r="Q688" i="4"/>
  <c r="R688" i="4"/>
  <c r="S688" i="4"/>
  <c r="T688" i="4"/>
  <c r="E689" i="4"/>
  <c r="F689" i="4"/>
  <c r="G689" i="4"/>
  <c r="H689" i="4"/>
  <c r="I689" i="4"/>
  <c r="J689" i="4"/>
  <c r="K689" i="4"/>
  <c r="L689" i="4"/>
  <c r="M689" i="4"/>
  <c r="AE689" i="5" s="1"/>
  <c r="N689" i="4"/>
  <c r="O689" i="4"/>
  <c r="P689" i="4"/>
  <c r="Q689" i="4"/>
  <c r="R689" i="4"/>
  <c r="S689" i="4"/>
  <c r="T689" i="4"/>
  <c r="U689" i="4"/>
  <c r="V689" i="4"/>
  <c r="E690" i="4"/>
  <c r="F690" i="4"/>
  <c r="G690" i="4"/>
  <c r="H690" i="4"/>
  <c r="I690" i="4"/>
  <c r="J690" i="4"/>
  <c r="K690" i="4"/>
  <c r="L690" i="4"/>
  <c r="M690" i="4"/>
  <c r="AE690" i="5" s="1"/>
  <c r="N690" i="4"/>
  <c r="O690" i="4"/>
  <c r="P690" i="4"/>
  <c r="Q690" i="4"/>
  <c r="R690" i="4"/>
  <c r="S690" i="4"/>
  <c r="T690" i="4"/>
  <c r="U690" i="4"/>
  <c r="V690" i="4"/>
  <c r="E691" i="4"/>
  <c r="F691" i="4"/>
  <c r="G691" i="4"/>
  <c r="H691" i="4"/>
  <c r="I691" i="4"/>
  <c r="J691" i="4"/>
  <c r="K691" i="4"/>
  <c r="L691" i="4"/>
  <c r="M691" i="4"/>
  <c r="AE691" i="5" s="1"/>
  <c r="N691" i="4"/>
  <c r="O691" i="4"/>
  <c r="P691" i="4"/>
  <c r="Q691" i="4"/>
  <c r="R691" i="4"/>
  <c r="S691" i="4"/>
  <c r="T691" i="4"/>
  <c r="E692" i="4"/>
  <c r="F692" i="4"/>
  <c r="G692" i="4"/>
  <c r="H692" i="4"/>
  <c r="I692" i="4"/>
  <c r="J692" i="4"/>
  <c r="K692" i="4"/>
  <c r="L692" i="4"/>
  <c r="M692" i="4"/>
  <c r="AE692" i="5" s="1"/>
  <c r="N692" i="4"/>
  <c r="O692" i="4"/>
  <c r="P692" i="4"/>
  <c r="Q692" i="4"/>
  <c r="R692" i="4"/>
  <c r="S692" i="4"/>
  <c r="T692" i="4"/>
  <c r="E693" i="4"/>
  <c r="F693" i="4"/>
  <c r="G693" i="4"/>
  <c r="H693" i="4"/>
  <c r="I693" i="4"/>
  <c r="J693" i="4"/>
  <c r="K693" i="4"/>
  <c r="L693" i="4"/>
  <c r="M693" i="4"/>
  <c r="AE693" i="5" s="1"/>
  <c r="N693" i="4"/>
  <c r="O693" i="4"/>
  <c r="P693" i="4"/>
  <c r="Q693" i="4"/>
  <c r="R693" i="4"/>
  <c r="S693" i="4"/>
  <c r="T693" i="4"/>
  <c r="U693" i="4"/>
  <c r="V693" i="4"/>
  <c r="E694" i="4"/>
  <c r="F694" i="4"/>
  <c r="G694" i="4"/>
  <c r="H694" i="4"/>
  <c r="I694" i="4"/>
  <c r="J694" i="4"/>
  <c r="K694" i="4"/>
  <c r="L694" i="4"/>
  <c r="M694" i="4"/>
  <c r="AE694" i="5" s="1"/>
  <c r="N694" i="4"/>
  <c r="O694" i="4"/>
  <c r="P694" i="4"/>
  <c r="Q694" i="4"/>
  <c r="R694" i="4"/>
  <c r="S694" i="4"/>
  <c r="T694" i="4"/>
  <c r="U694" i="4"/>
  <c r="V694" i="4"/>
  <c r="E695" i="4"/>
  <c r="F695" i="4"/>
  <c r="G695" i="4"/>
  <c r="H695" i="4"/>
  <c r="I695" i="4"/>
  <c r="J695" i="4"/>
  <c r="K695" i="4"/>
  <c r="L695" i="4"/>
  <c r="M695" i="4"/>
  <c r="AE695" i="5" s="1"/>
  <c r="N695" i="4"/>
  <c r="O695" i="4"/>
  <c r="P695" i="4"/>
  <c r="Q695" i="4"/>
  <c r="R695" i="4"/>
  <c r="S695" i="4"/>
  <c r="T695" i="4"/>
  <c r="U695" i="4"/>
  <c r="V695" i="4"/>
  <c r="E696" i="4"/>
  <c r="F696" i="4"/>
  <c r="G696" i="4"/>
  <c r="H696" i="4"/>
  <c r="I696" i="4"/>
  <c r="J696" i="4"/>
  <c r="K696" i="4"/>
  <c r="L696" i="4"/>
  <c r="M696" i="4"/>
  <c r="AE696" i="5" s="1"/>
  <c r="N696" i="4"/>
  <c r="O696" i="4"/>
  <c r="P696" i="4"/>
  <c r="Q696" i="4"/>
  <c r="R696" i="4"/>
  <c r="S696" i="4"/>
  <c r="T696" i="4"/>
  <c r="U696" i="4"/>
  <c r="V696" i="4"/>
  <c r="E697" i="4"/>
  <c r="F697" i="4"/>
  <c r="G697" i="4"/>
  <c r="H697" i="4"/>
  <c r="I697" i="4"/>
  <c r="J697" i="4"/>
  <c r="K697" i="4"/>
  <c r="L697" i="4"/>
  <c r="M697" i="4"/>
  <c r="AE697" i="5" s="1"/>
  <c r="N697" i="4"/>
  <c r="O697" i="4"/>
  <c r="P697" i="4"/>
  <c r="Q697" i="4"/>
  <c r="R697" i="4"/>
  <c r="S697" i="4"/>
  <c r="T697" i="4"/>
  <c r="U697" i="4"/>
  <c r="V697" i="4"/>
  <c r="E698" i="4"/>
  <c r="F698" i="4"/>
  <c r="G698" i="4"/>
  <c r="H698" i="4"/>
  <c r="I698" i="4"/>
  <c r="J698" i="4"/>
  <c r="K698" i="4"/>
  <c r="L698" i="4"/>
  <c r="M698" i="4"/>
  <c r="AE698" i="5" s="1"/>
  <c r="N698" i="4"/>
  <c r="O698" i="4"/>
  <c r="P698" i="4"/>
  <c r="Q698" i="4"/>
  <c r="R698" i="4"/>
  <c r="S698" i="4"/>
  <c r="T698" i="4"/>
  <c r="U698" i="4"/>
  <c r="V698" i="4"/>
  <c r="E699" i="4"/>
  <c r="F699" i="4"/>
  <c r="G699" i="4"/>
  <c r="H699" i="4"/>
  <c r="I699" i="4"/>
  <c r="J699" i="4"/>
  <c r="K699" i="4"/>
  <c r="L699" i="4"/>
  <c r="M699" i="4"/>
  <c r="AE699" i="5" s="1"/>
  <c r="N699" i="4"/>
  <c r="O699" i="4"/>
  <c r="P699" i="4"/>
  <c r="Q699" i="4"/>
  <c r="R699" i="4"/>
  <c r="S699" i="4"/>
  <c r="T699" i="4"/>
  <c r="U699" i="4"/>
  <c r="V699" i="4"/>
  <c r="E700" i="4"/>
  <c r="F700" i="4"/>
  <c r="G700" i="4"/>
  <c r="H700" i="4"/>
  <c r="I700" i="4"/>
  <c r="J700" i="4"/>
  <c r="K700" i="4"/>
  <c r="L700" i="4"/>
  <c r="M700" i="4"/>
  <c r="AE700" i="5" s="1"/>
  <c r="N700" i="4"/>
  <c r="O700" i="4"/>
  <c r="P700" i="4"/>
  <c r="Q700" i="4"/>
  <c r="R700" i="4"/>
  <c r="S700" i="4"/>
  <c r="T700" i="4"/>
  <c r="U700" i="4"/>
  <c r="V700" i="4"/>
  <c r="E701" i="4"/>
  <c r="F701" i="4"/>
  <c r="G701" i="4"/>
  <c r="H701" i="4"/>
  <c r="I701" i="4"/>
  <c r="J701" i="4"/>
  <c r="K701" i="4"/>
  <c r="L701" i="4"/>
  <c r="M701" i="4"/>
  <c r="AE701" i="5" s="1"/>
  <c r="N701" i="4"/>
  <c r="O701" i="4"/>
  <c r="P701" i="4"/>
  <c r="Q701" i="4"/>
  <c r="R701" i="4"/>
  <c r="S701" i="4"/>
  <c r="T701" i="4"/>
  <c r="U701" i="4"/>
  <c r="V701" i="4"/>
  <c r="E702" i="4"/>
  <c r="F702" i="4"/>
  <c r="G702" i="4"/>
  <c r="H702" i="4"/>
  <c r="I702" i="4"/>
  <c r="J702" i="4"/>
  <c r="K702" i="4"/>
  <c r="L702" i="4"/>
  <c r="M702" i="4"/>
  <c r="AE702" i="5" s="1"/>
  <c r="N702" i="4"/>
  <c r="O702" i="4"/>
  <c r="P702" i="4"/>
  <c r="Q702" i="4"/>
  <c r="R702" i="4"/>
  <c r="S702" i="4"/>
  <c r="T702" i="4"/>
  <c r="U702" i="4"/>
  <c r="V702" i="4"/>
  <c r="E703" i="4"/>
  <c r="F703" i="4"/>
  <c r="G703" i="4"/>
  <c r="H703" i="4"/>
  <c r="I703" i="4"/>
  <c r="J703" i="4"/>
  <c r="K703" i="4"/>
  <c r="L703" i="4"/>
  <c r="M703" i="4"/>
  <c r="AE703" i="5" s="1"/>
  <c r="N703" i="4"/>
  <c r="O703" i="4"/>
  <c r="P703" i="4"/>
  <c r="Q703" i="4"/>
  <c r="R703" i="4"/>
  <c r="S703" i="4"/>
  <c r="T703" i="4"/>
  <c r="U703" i="4"/>
  <c r="V703" i="4"/>
  <c r="E704" i="4"/>
  <c r="F704" i="4"/>
  <c r="G704" i="4"/>
  <c r="H704" i="4"/>
  <c r="I704" i="4"/>
  <c r="J704" i="4"/>
  <c r="K704" i="4"/>
  <c r="L704" i="4"/>
  <c r="M704" i="4"/>
  <c r="AE704" i="5" s="1"/>
  <c r="N704" i="4"/>
  <c r="O704" i="4"/>
  <c r="P704" i="4"/>
  <c r="Q704" i="4"/>
  <c r="R704" i="4"/>
  <c r="S704" i="4"/>
  <c r="T704" i="4"/>
  <c r="U704" i="4"/>
  <c r="V704" i="4"/>
  <c r="E705" i="4"/>
  <c r="F705" i="4"/>
  <c r="G705" i="4"/>
  <c r="H705" i="4"/>
  <c r="I705" i="4"/>
  <c r="J705" i="4"/>
  <c r="K705" i="4"/>
  <c r="L705" i="4"/>
  <c r="M705" i="4"/>
  <c r="AE705" i="5" s="1"/>
  <c r="N705" i="4"/>
  <c r="O705" i="4"/>
  <c r="P705" i="4"/>
  <c r="Q705" i="4"/>
  <c r="R705" i="4"/>
  <c r="S705" i="4"/>
  <c r="T705" i="4"/>
  <c r="U705" i="4"/>
  <c r="V705" i="4"/>
  <c r="E706" i="4"/>
  <c r="F706" i="4"/>
  <c r="G706" i="4"/>
  <c r="H706" i="4"/>
  <c r="I706" i="4"/>
  <c r="J706" i="4"/>
  <c r="K706" i="4"/>
  <c r="L706" i="4"/>
  <c r="M706" i="4"/>
  <c r="AE706" i="5" s="1"/>
  <c r="N706" i="4"/>
  <c r="O706" i="4"/>
  <c r="P706" i="4"/>
  <c r="Q706" i="4"/>
  <c r="R706" i="4"/>
  <c r="S706" i="4"/>
  <c r="T706" i="4"/>
  <c r="E707" i="4"/>
  <c r="F707" i="4"/>
  <c r="G707" i="4"/>
  <c r="H707" i="4"/>
  <c r="I707" i="4"/>
  <c r="J707" i="4"/>
  <c r="K707" i="4"/>
  <c r="L707" i="4"/>
  <c r="M707" i="4"/>
  <c r="AE707" i="5" s="1"/>
  <c r="N707" i="4"/>
  <c r="O707" i="4"/>
  <c r="P707" i="4"/>
  <c r="Q707" i="4"/>
  <c r="R707" i="4"/>
  <c r="S707" i="4"/>
  <c r="T707" i="4"/>
  <c r="E708" i="4"/>
  <c r="F708" i="4"/>
  <c r="G708" i="4"/>
  <c r="H708" i="4"/>
  <c r="I708" i="4"/>
  <c r="J708" i="4"/>
  <c r="K708" i="4"/>
  <c r="L708" i="4"/>
  <c r="M708" i="4"/>
  <c r="AE708" i="5" s="1"/>
  <c r="N708" i="4"/>
  <c r="O708" i="4"/>
  <c r="P708" i="4"/>
  <c r="Q708" i="4"/>
  <c r="R708" i="4"/>
  <c r="S708" i="4"/>
  <c r="T708" i="4"/>
  <c r="E709" i="4"/>
  <c r="F709" i="4"/>
  <c r="G709" i="4"/>
  <c r="H709" i="4"/>
  <c r="I709" i="4"/>
  <c r="J709" i="4"/>
  <c r="K709" i="4"/>
  <c r="L709" i="4"/>
  <c r="M709" i="4"/>
  <c r="AE709" i="5" s="1"/>
  <c r="N709" i="4"/>
  <c r="O709" i="4"/>
  <c r="P709" i="4"/>
  <c r="Q709" i="4"/>
  <c r="R709" i="4"/>
  <c r="S709" i="4"/>
  <c r="T709" i="4"/>
  <c r="E710" i="4"/>
  <c r="F710" i="4"/>
  <c r="G710" i="4"/>
  <c r="H710" i="4"/>
  <c r="I710" i="4"/>
  <c r="J710" i="4"/>
  <c r="K710" i="4"/>
  <c r="L710" i="4"/>
  <c r="M710" i="4"/>
  <c r="AE710" i="5" s="1"/>
  <c r="N710" i="4"/>
  <c r="O710" i="4"/>
  <c r="P710" i="4"/>
  <c r="Q710" i="4"/>
  <c r="R710" i="4"/>
  <c r="S710" i="4"/>
  <c r="T710" i="4"/>
  <c r="U710" i="4"/>
  <c r="V710" i="4"/>
  <c r="E711" i="4"/>
  <c r="F711" i="4"/>
  <c r="G711" i="4"/>
  <c r="H711" i="4"/>
  <c r="I711" i="4"/>
  <c r="J711" i="4"/>
  <c r="K711" i="4"/>
  <c r="L711" i="4"/>
  <c r="M711" i="4"/>
  <c r="AE711" i="5" s="1"/>
  <c r="N711" i="4"/>
  <c r="O711" i="4"/>
  <c r="P711" i="4"/>
  <c r="Q711" i="4"/>
  <c r="R711" i="4"/>
  <c r="S711" i="4"/>
  <c r="T711" i="4"/>
  <c r="U711" i="4"/>
  <c r="V711" i="4"/>
  <c r="E712" i="4"/>
  <c r="F712" i="4"/>
  <c r="G712" i="4"/>
  <c r="H712" i="4"/>
  <c r="I712" i="4"/>
  <c r="J712" i="4"/>
  <c r="K712" i="4"/>
  <c r="L712" i="4"/>
  <c r="M712" i="4"/>
  <c r="AE712" i="5" s="1"/>
  <c r="N712" i="4"/>
  <c r="O712" i="4"/>
  <c r="P712" i="4"/>
  <c r="Q712" i="4"/>
  <c r="R712" i="4"/>
  <c r="S712" i="4"/>
  <c r="T712" i="4"/>
  <c r="U712" i="4"/>
  <c r="V712" i="4"/>
  <c r="E713" i="4"/>
  <c r="F713" i="4"/>
  <c r="G713" i="4"/>
  <c r="H713" i="4"/>
  <c r="I713" i="4"/>
  <c r="J713" i="4"/>
  <c r="K713" i="4"/>
  <c r="L713" i="4"/>
  <c r="M713" i="4"/>
  <c r="AE713" i="5" s="1"/>
  <c r="N713" i="4"/>
  <c r="O713" i="4"/>
  <c r="P713" i="4"/>
  <c r="Q713" i="4"/>
  <c r="R713" i="4"/>
  <c r="S713" i="4"/>
  <c r="T713" i="4"/>
  <c r="U713" i="4"/>
  <c r="V713" i="4"/>
  <c r="E714" i="4"/>
  <c r="F714" i="4"/>
  <c r="G714" i="4"/>
  <c r="H714" i="4"/>
  <c r="I714" i="4"/>
  <c r="J714" i="4"/>
  <c r="K714" i="4"/>
  <c r="L714" i="4"/>
  <c r="M714" i="4"/>
  <c r="AE714" i="5" s="1"/>
  <c r="N714" i="4"/>
  <c r="O714" i="4"/>
  <c r="P714" i="4"/>
  <c r="Q714" i="4"/>
  <c r="R714" i="4"/>
  <c r="S714" i="4"/>
  <c r="T714" i="4"/>
  <c r="U714" i="4"/>
  <c r="V714" i="4"/>
  <c r="E715" i="4"/>
  <c r="F715" i="4"/>
  <c r="G715" i="4"/>
  <c r="H715" i="4"/>
  <c r="I715" i="4"/>
  <c r="J715" i="4"/>
  <c r="K715" i="4"/>
  <c r="L715" i="4"/>
  <c r="M715" i="4"/>
  <c r="AE715" i="5" s="1"/>
  <c r="N715" i="4"/>
  <c r="O715" i="4"/>
  <c r="P715" i="4"/>
  <c r="Q715" i="4"/>
  <c r="R715" i="4"/>
  <c r="S715" i="4"/>
  <c r="T715" i="4"/>
  <c r="U715" i="4"/>
  <c r="V715" i="4"/>
  <c r="E716" i="4"/>
  <c r="F716" i="4"/>
  <c r="G716" i="4"/>
  <c r="H716" i="4"/>
  <c r="I716" i="4"/>
  <c r="J716" i="4"/>
  <c r="K716" i="4"/>
  <c r="L716" i="4"/>
  <c r="M716" i="4"/>
  <c r="AE716" i="5" s="1"/>
  <c r="N716" i="4"/>
  <c r="O716" i="4"/>
  <c r="P716" i="4"/>
  <c r="Q716" i="4"/>
  <c r="R716" i="4"/>
  <c r="S716" i="4"/>
  <c r="T716" i="4"/>
  <c r="U716" i="4"/>
  <c r="V716" i="4"/>
  <c r="E717" i="4"/>
  <c r="F717" i="4"/>
  <c r="G717" i="4"/>
  <c r="H717" i="4"/>
  <c r="I717" i="4"/>
  <c r="J717" i="4"/>
  <c r="K717" i="4"/>
  <c r="L717" i="4"/>
  <c r="M717" i="4"/>
  <c r="AE717" i="5" s="1"/>
  <c r="N717" i="4"/>
  <c r="O717" i="4"/>
  <c r="P717" i="4"/>
  <c r="Q717" i="4"/>
  <c r="R717" i="4"/>
  <c r="S717" i="4"/>
  <c r="T717" i="4"/>
  <c r="U717" i="4"/>
  <c r="V717" i="4"/>
  <c r="E718" i="4"/>
  <c r="F718" i="4"/>
  <c r="G718" i="4"/>
  <c r="H718" i="4"/>
  <c r="I718" i="4"/>
  <c r="J718" i="4"/>
  <c r="K718" i="4"/>
  <c r="L718" i="4"/>
  <c r="M718" i="4"/>
  <c r="AE718" i="5" s="1"/>
  <c r="N718" i="4"/>
  <c r="O718" i="4"/>
  <c r="P718" i="4"/>
  <c r="Q718" i="4"/>
  <c r="R718" i="4"/>
  <c r="S718" i="4"/>
  <c r="T718" i="4"/>
  <c r="U718" i="4"/>
  <c r="V718" i="4"/>
  <c r="E719" i="4"/>
  <c r="F719" i="4"/>
  <c r="G719" i="4"/>
  <c r="H719" i="4"/>
  <c r="I719" i="4"/>
  <c r="J719" i="4"/>
  <c r="K719" i="4"/>
  <c r="L719" i="4"/>
  <c r="M719" i="4"/>
  <c r="AE719" i="5" s="1"/>
  <c r="N719" i="4"/>
  <c r="O719" i="4"/>
  <c r="P719" i="4"/>
  <c r="Q719" i="4"/>
  <c r="R719" i="4"/>
  <c r="S719" i="4"/>
  <c r="T719" i="4"/>
  <c r="U719" i="4"/>
  <c r="V719" i="4"/>
  <c r="E720" i="4"/>
  <c r="F720" i="4"/>
  <c r="G720" i="4"/>
  <c r="H720" i="4"/>
  <c r="I720" i="4"/>
  <c r="J720" i="4"/>
  <c r="K720" i="4"/>
  <c r="L720" i="4"/>
  <c r="M720" i="4"/>
  <c r="AE720" i="5" s="1"/>
  <c r="N720" i="4"/>
  <c r="O720" i="4"/>
  <c r="P720" i="4"/>
  <c r="Q720" i="4"/>
  <c r="R720" i="4"/>
  <c r="S720" i="4"/>
  <c r="T720" i="4"/>
  <c r="U720" i="4"/>
  <c r="V720" i="4"/>
  <c r="E721" i="4"/>
  <c r="F721" i="4"/>
  <c r="G721" i="4"/>
  <c r="H721" i="4"/>
  <c r="I721" i="4"/>
  <c r="J721" i="4"/>
  <c r="K721" i="4"/>
  <c r="L721" i="4"/>
  <c r="M721" i="4"/>
  <c r="AE721" i="5" s="1"/>
  <c r="N721" i="4"/>
  <c r="O721" i="4"/>
  <c r="P721" i="4"/>
  <c r="Q721" i="4"/>
  <c r="R721" i="4"/>
  <c r="S721" i="4"/>
  <c r="T721" i="4"/>
  <c r="U721" i="4"/>
  <c r="V721" i="4"/>
  <c r="E722" i="4"/>
  <c r="F722" i="4"/>
  <c r="G722" i="4"/>
  <c r="H722" i="4"/>
  <c r="I722" i="4"/>
  <c r="J722" i="4"/>
  <c r="K722" i="4"/>
  <c r="L722" i="4"/>
  <c r="M722" i="4"/>
  <c r="AE722" i="5" s="1"/>
  <c r="N722" i="4"/>
  <c r="O722" i="4"/>
  <c r="P722" i="4"/>
  <c r="Q722" i="4"/>
  <c r="R722" i="4"/>
  <c r="S722" i="4"/>
  <c r="T722" i="4"/>
  <c r="H723" i="4"/>
  <c r="I723" i="4"/>
  <c r="J723" i="4"/>
  <c r="K723" i="4"/>
  <c r="P723" i="4"/>
  <c r="Q723" i="4"/>
  <c r="R723" i="4"/>
  <c r="S723" i="4"/>
  <c r="F724" i="4"/>
  <c r="G724" i="4"/>
  <c r="H724" i="4"/>
  <c r="I724" i="4"/>
  <c r="N724" i="4"/>
  <c r="O724" i="4"/>
  <c r="P724" i="4"/>
  <c r="Q724" i="4"/>
  <c r="E729" i="4"/>
  <c r="F729" i="4"/>
  <c r="G729" i="4"/>
  <c r="L729" i="4"/>
  <c r="M729" i="4"/>
  <c r="AE729" i="5" s="1"/>
  <c r="N729" i="4"/>
  <c r="O729" i="4"/>
  <c r="T729" i="4"/>
  <c r="U729" i="4"/>
  <c r="V729" i="4"/>
  <c r="E730" i="4"/>
  <c r="J730" i="4"/>
  <c r="K730" i="4"/>
  <c r="L730" i="4"/>
  <c r="M730" i="4"/>
  <c r="AE730" i="5" s="1"/>
  <c r="R730" i="4"/>
  <c r="S730" i="4"/>
  <c r="T730" i="4"/>
  <c r="U730" i="4"/>
  <c r="H731" i="4"/>
  <c r="I731" i="4"/>
  <c r="J731" i="4"/>
  <c r="K731" i="4"/>
  <c r="P731" i="4"/>
  <c r="Q731" i="4"/>
  <c r="R731" i="4"/>
  <c r="S731" i="4"/>
  <c r="F732" i="4"/>
  <c r="G732" i="4"/>
  <c r="H732" i="4"/>
  <c r="I732" i="4"/>
  <c r="N732" i="4"/>
  <c r="O732" i="4"/>
  <c r="P732" i="4"/>
  <c r="Q732" i="4"/>
  <c r="V732" i="4"/>
  <c r="E733" i="4"/>
  <c r="F733" i="4"/>
  <c r="G733" i="4"/>
  <c r="M733" i="4"/>
  <c r="AE733" i="5" s="1"/>
  <c r="N733" i="4"/>
  <c r="O733" i="4"/>
  <c r="U733" i="4"/>
  <c r="V733" i="4"/>
  <c r="E734" i="4"/>
  <c r="L734" i="4"/>
  <c r="M734" i="4"/>
  <c r="AE734" i="5" s="1"/>
  <c r="T734" i="4"/>
  <c r="U734" i="4"/>
  <c r="K735" i="4"/>
  <c r="S735" i="4"/>
  <c r="E737" i="4"/>
  <c r="F737" i="4"/>
  <c r="G737" i="4"/>
  <c r="L737" i="4"/>
  <c r="M737" i="4"/>
  <c r="AE737" i="5" s="1"/>
  <c r="N737" i="4"/>
  <c r="O737" i="4"/>
  <c r="T737" i="4"/>
  <c r="U737" i="4"/>
  <c r="V737" i="4"/>
  <c r="E738" i="4"/>
  <c r="F738" i="4"/>
  <c r="G738" i="4"/>
  <c r="H738" i="4"/>
  <c r="I738" i="4"/>
  <c r="J738" i="4"/>
  <c r="K738" i="4"/>
  <c r="L738" i="4"/>
  <c r="M738" i="4"/>
  <c r="AE738" i="5" s="1"/>
  <c r="N738" i="4"/>
  <c r="O738" i="4"/>
  <c r="P738" i="4"/>
  <c r="Q738" i="4"/>
  <c r="R738" i="4"/>
  <c r="S738" i="4"/>
  <c r="T738" i="4"/>
  <c r="U738" i="4"/>
  <c r="V738" i="4"/>
  <c r="E739" i="4"/>
  <c r="F739" i="4"/>
  <c r="G739" i="4"/>
  <c r="H739" i="4"/>
  <c r="I739" i="4"/>
  <c r="J739" i="4"/>
  <c r="K739" i="4"/>
  <c r="L739" i="4"/>
  <c r="M739" i="4"/>
  <c r="AE739" i="5" s="1"/>
  <c r="N739" i="4"/>
  <c r="O739" i="4"/>
  <c r="P739" i="4"/>
  <c r="Q739" i="4"/>
  <c r="R739" i="4"/>
  <c r="S739" i="4"/>
  <c r="T739" i="4"/>
  <c r="E740" i="4"/>
  <c r="F740" i="4"/>
  <c r="G740" i="4"/>
  <c r="H740" i="4"/>
  <c r="I740" i="4"/>
  <c r="J740" i="4"/>
  <c r="K740" i="4"/>
  <c r="L740" i="4"/>
  <c r="M740" i="4"/>
  <c r="AE740" i="5" s="1"/>
  <c r="N740" i="4"/>
  <c r="O740" i="4"/>
  <c r="P740" i="4"/>
  <c r="Q740" i="4"/>
  <c r="R740" i="4"/>
  <c r="S740" i="4"/>
  <c r="T740" i="4"/>
  <c r="E741" i="4"/>
  <c r="F741" i="4"/>
  <c r="G741" i="4"/>
  <c r="H741" i="4"/>
  <c r="I741" i="4"/>
  <c r="J741" i="4"/>
  <c r="K741" i="4"/>
  <c r="L741" i="4"/>
  <c r="M741" i="4"/>
  <c r="AE741" i="5" s="1"/>
  <c r="N741" i="4"/>
  <c r="O741" i="4"/>
  <c r="P741" i="4"/>
  <c r="Q741" i="4"/>
  <c r="R741" i="4"/>
  <c r="S741" i="4"/>
  <c r="T741" i="4"/>
  <c r="E742" i="4"/>
  <c r="F742" i="4"/>
  <c r="G742" i="4"/>
  <c r="H742" i="4"/>
  <c r="I742" i="4"/>
  <c r="J742" i="4"/>
  <c r="K742" i="4"/>
  <c r="L742" i="4"/>
  <c r="M742" i="4"/>
  <c r="AE742" i="5" s="1"/>
  <c r="N742" i="4"/>
  <c r="O742" i="4"/>
  <c r="P742" i="4"/>
  <c r="Q742" i="4"/>
  <c r="R742" i="4"/>
  <c r="S742" i="4"/>
  <c r="T742" i="4"/>
  <c r="E743" i="4"/>
  <c r="F743" i="4"/>
  <c r="G743" i="4"/>
  <c r="H743" i="4"/>
  <c r="I743" i="4"/>
  <c r="J743" i="4"/>
  <c r="K743" i="4"/>
  <c r="L743" i="4"/>
  <c r="M743" i="4"/>
  <c r="AE743" i="5" s="1"/>
  <c r="N743" i="4"/>
  <c r="O743" i="4"/>
  <c r="P743" i="4"/>
  <c r="Q743" i="4"/>
  <c r="R743" i="4"/>
  <c r="S743" i="4"/>
  <c r="T743" i="4"/>
  <c r="U743" i="4"/>
  <c r="V743" i="4"/>
  <c r="E744" i="4"/>
  <c r="F744" i="4"/>
  <c r="G744" i="4"/>
  <c r="H744" i="4"/>
  <c r="I744" i="4"/>
  <c r="J744" i="4"/>
  <c r="K744" i="4"/>
  <c r="L744" i="4"/>
  <c r="M744" i="4"/>
  <c r="AE744" i="5" s="1"/>
  <c r="N744" i="4"/>
  <c r="O744" i="4"/>
  <c r="P744" i="4"/>
  <c r="Q744" i="4"/>
  <c r="R744" i="4"/>
  <c r="S744" i="4"/>
  <c r="T744" i="4"/>
  <c r="U744" i="4"/>
  <c r="V744" i="4"/>
  <c r="E745" i="4"/>
  <c r="F745" i="4"/>
  <c r="G745" i="4"/>
  <c r="H745" i="4"/>
  <c r="I745" i="4"/>
  <c r="J745" i="4"/>
  <c r="K745" i="4"/>
  <c r="L745" i="4"/>
  <c r="M745" i="4"/>
  <c r="AE745" i="5" s="1"/>
  <c r="N745" i="4"/>
  <c r="O745" i="4"/>
  <c r="P745" i="4"/>
  <c r="Q745" i="4"/>
  <c r="R745" i="4"/>
  <c r="S745" i="4"/>
  <c r="T745" i="4"/>
  <c r="U745" i="4"/>
  <c r="V745" i="4"/>
  <c r="E746" i="4"/>
  <c r="F746" i="4"/>
  <c r="G746" i="4"/>
  <c r="H746" i="4"/>
  <c r="I746" i="4"/>
  <c r="J746" i="4"/>
  <c r="K746" i="4"/>
  <c r="L746" i="4"/>
  <c r="M746" i="4"/>
  <c r="AE746" i="5" s="1"/>
  <c r="N746" i="4"/>
  <c r="O746" i="4"/>
  <c r="P746" i="4"/>
  <c r="Q746" i="4"/>
  <c r="R746" i="4"/>
  <c r="S746" i="4"/>
  <c r="T746" i="4"/>
  <c r="U746" i="4"/>
  <c r="V746" i="4"/>
  <c r="E747" i="4"/>
  <c r="F747" i="4"/>
  <c r="G747" i="4"/>
  <c r="H747" i="4"/>
  <c r="I747" i="4"/>
  <c r="J747" i="4"/>
  <c r="K747" i="4"/>
  <c r="L747" i="4"/>
  <c r="M747" i="4"/>
  <c r="AE747" i="5" s="1"/>
  <c r="N747" i="4"/>
  <c r="O747" i="4"/>
  <c r="P747" i="4"/>
  <c r="Q747" i="4"/>
  <c r="R747" i="4"/>
  <c r="S747" i="4"/>
  <c r="T747" i="4"/>
  <c r="U747" i="4"/>
  <c r="V747" i="4"/>
  <c r="E748" i="4"/>
  <c r="F748" i="4"/>
  <c r="G748" i="4"/>
  <c r="H748" i="4"/>
  <c r="I748" i="4"/>
  <c r="J748" i="4"/>
  <c r="K748" i="4"/>
  <c r="L748" i="4"/>
  <c r="M748" i="4"/>
  <c r="AE748" i="5" s="1"/>
  <c r="N748" i="4"/>
  <c r="O748" i="4"/>
  <c r="P748" i="4"/>
  <c r="Q748" i="4"/>
  <c r="R748" i="4"/>
  <c r="S748" i="4"/>
  <c r="T748" i="4"/>
  <c r="U748" i="4"/>
  <c r="V748" i="4"/>
  <c r="E749" i="4"/>
  <c r="F749" i="4"/>
  <c r="G749" i="4"/>
  <c r="H749" i="4"/>
  <c r="I749" i="4"/>
  <c r="J749" i="4"/>
  <c r="K749" i="4"/>
  <c r="L749" i="4"/>
  <c r="M749" i="4"/>
  <c r="AE749" i="5" s="1"/>
  <c r="N749" i="4"/>
  <c r="O749" i="4"/>
  <c r="P749" i="4"/>
  <c r="Q749" i="4"/>
  <c r="R749" i="4"/>
  <c r="S749" i="4"/>
  <c r="T749" i="4"/>
  <c r="U749" i="4"/>
  <c r="V749" i="4"/>
  <c r="E750" i="4"/>
  <c r="F750" i="4"/>
  <c r="G750" i="4"/>
  <c r="H750" i="4"/>
  <c r="I750" i="4"/>
  <c r="J750" i="4"/>
  <c r="K750" i="4"/>
  <c r="L750" i="4"/>
  <c r="M750" i="4"/>
  <c r="AE750" i="5" s="1"/>
  <c r="N750" i="4"/>
  <c r="O750" i="4"/>
  <c r="P750" i="4"/>
  <c r="Q750" i="4"/>
  <c r="R750" i="4"/>
  <c r="S750" i="4"/>
  <c r="T750" i="4"/>
  <c r="U750" i="4"/>
  <c r="V750" i="4"/>
  <c r="E751" i="4"/>
  <c r="F751" i="4"/>
  <c r="G751" i="4"/>
  <c r="H751" i="4"/>
  <c r="I751" i="4"/>
  <c r="J751" i="4"/>
  <c r="K751" i="4"/>
  <c r="L751" i="4"/>
  <c r="M751" i="4"/>
  <c r="AE751" i="5" s="1"/>
  <c r="N751" i="4"/>
  <c r="O751" i="4"/>
  <c r="P751" i="4"/>
  <c r="Q751" i="4"/>
  <c r="R751" i="4"/>
  <c r="S751" i="4"/>
  <c r="T751" i="4"/>
  <c r="U751" i="4"/>
  <c r="V751" i="4"/>
  <c r="E752" i="4"/>
  <c r="F752" i="4"/>
  <c r="G752" i="4"/>
  <c r="H752" i="4"/>
  <c r="I752" i="4"/>
  <c r="J752" i="4"/>
  <c r="K752" i="4"/>
  <c r="L752" i="4"/>
  <c r="M752" i="4"/>
  <c r="AE752" i="5" s="1"/>
  <c r="N752" i="4"/>
  <c r="O752" i="4"/>
  <c r="P752" i="4"/>
  <c r="Q752" i="4"/>
  <c r="R752" i="4"/>
  <c r="S752" i="4"/>
  <c r="T752" i="4"/>
  <c r="U752" i="4"/>
  <c r="V752" i="4"/>
  <c r="E753" i="4"/>
  <c r="F753" i="4"/>
  <c r="G753" i="4"/>
  <c r="H753" i="4"/>
  <c r="I753" i="4"/>
  <c r="J753" i="4"/>
  <c r="K753" i="4"/>
  <c r="L753" i="4"/>
  <c r="M753" i="4"/>
  <c r="AE753" i="5" s="1"/>
  <c r="N753" i="4"/>
  <c r="O753" i="4"/>
  <c r="P753" i="4"/>
  <c r="Q753" i="4"/>
  <c r="R753" i="4"/>
  <c r="S753" i="4"/>
  <c r="T753" i="4"/>
  <c r="U753" i="4"/>
  <c r="V753" i="4"/>
  <c r="E754" i="4"/>
  <c r="F754" i="4"/>
  <c r="G754" i="4"/>
  <c r="H754" i="4"/>
  <c r="I754" i="4"/>
  <c r="J754" i="4"/>
  <c r="K754" i="4"/>
  <c r="L754" i="4"/>
  <c r="M754" i="4"/>
  <c r="AE754" i="5" s="1"/>
  <c r="N754" i="4"/>
  <c r="O754" i="4"/>
  <c r="P754" i="4"/>
  <c r="Q754" i="4"/>
  <c r="R754" i="4"/>
  <c r="S754" i="4"/>
  <c r="T754" i="4"/>
  <c r="E755" i="4"/>
  <c r="F755" i="4"/>
  <c r="G755" i="4"/>
  <c r="H755" i="4"/>
  <c r="I755" i="4"/>
  <c r="J755" i="4"/>
  <c r="K755" i="4"/>
  <c r="L755" i="4"/>
  <c r="M755" i="4"/>
  <c r="AE755" i="5" s="1"/>
  <c r="N755" i="4"/>
  <c r="O755" i="4"/>
  <c r="P755" i="4"/>
  <c r="Q755" i="4"/>
  <c r="R755" i="4"/>
  <c r="S755" i="4"/>
  <c r="T755" i="4"/>
  <c r="U755" i="4"/>
  <c r="V755" i="4"/>
  <c r="E756" i="4"/>
  <c r="F756" i="4"/>
  <c r="G756" i="4"/>
  <c r="H756" i="4"/>
  <c r="I756" i="4"/>
  <c r="J756" i="4"/>
  <c r="K756" i="4"/>
  <c r="L756" i="4"/>
  <c r="M756" i="4"/>
  <c r="AE756" i="5" s="1"/>
  <c r="N756" i="4"/>
  <c r="O756" i="4"/>
  <c r="P756" i="4"/>
  <c r="Q756" i="4"/>
  <c r="R756" i="4"/>
  <c r="S756" i="4"/>
  <c r="T756" i="4"/>
  <c r="U756" i="4"/>
  <c r="V756" i="4"/>
  <c r="E757" i="4"/>
  <c r="F757" i="4"/>
  <c r="G757" i="4"/>
  <c r="H757" i="4"/>
  <c r="I757" i="4"/>
  <c r="J757" i="4"/>
  <c r="K757" i="4"/>
  <c r="L757" i="4"/>
  <c r="M757" i="4"/>
  <c r="AE757" i="5" s="1"/>
  <c r="N757" i="4"/>
  <c r="O757" i="4"/>
  <c r="P757" i="4"/>
  <c r="Q757" i="4"/>
  <c r="R757" i="4"/>
  <c r="S757" i="4"/>
  <c r="T757" i="4"/>
  <c r="U757" i="4"/>
  <c r="V757" i="4"/>
  <c r="E758" i="4"/>
  <c r="F758" i="4"/>
  <c r="G758" i="4"/>
  <c r="H758" i="4"/>
  <c r="I758" i="4"/>
  <c r="J758" i="4"/>
  <c r="K758" i="4"/>
  <c r="L758" i="4"/>
  <c r="M758" i="4"/>
  <c r="AE758" i="5" s="1"/>
  <c r="N758" i="4"/>
  <c r="O758" i="4"/>
  <c r="P758" i="4"/>
  <c r="Q758" i="4"/>
  <c r="R758" i="4"/>
  <c r="S758" i="4"/>
  <c r="T758" i="4"/>
  <c r="U758" i="4"/>
  <c r="V758" i="4"/>
  <c r="E759" i="4"/>
  <c r="F759" i="4"/>
  <c r="G759" i="4"/>
  <c r="H759" i="4"/>
  <c r="I759" i="4"/>
  <c r="J759" i="4"/>
  <c r="K759" i="4"/>
  <c r="L759" i="4"/>
  <c r="M759" i="4"/>
  <c r="AE759" i="5" s="1"/>
  <c r="N759" i="4"/>
  <c r="O759" i="4"/>
  <c r="P759" i="4"/>
  <c r="Q759" i="4"/>
  <c r="R759" i="4"/>
  <c r="S759" i="4"/>
  <c r="T759" i="4"/>
  <c r="U759" i="4"/>
  <c r="V759" i="4"/>
  <c r="E760" i="4"/>
  <c r="F760" i="4"/>
  <c r="G760" i="4"/>
  <c r="H760" i="4"/>
  <c r="I760" i="4"/>
  <c r="J760" i="4"/>
  <c r="K760" i="4"/>
  <c r="L760" i="4"/>
  <c r="M760" i="4"/>
  <c r="AE760" i="5" s="1"/>
  <c r="N760" i="4"/>
  <c r="O760" i="4"/>
  <c r="P760" i="4"/>
  <c r="Q760" i="4"/>
  <c r="R760" i="4"/>
  <c r="S760" i="4"/>
  <c r="T760" i="4"/>
  <c r="U760" i="4"/>
  <c r="V760" i="4"/>
  <c r="E761" i="4"/>
  <c r="F761" i="4"/>
  <c r="G761" i="4"/>
  <c r="H761" i="4"/>
  <c r="I761" i="4"/>
  <c r="J761" i="4"/>
  <c r="K761" i="4"/>
  <c r="L761" i="4"/>
  <c r="M761" i="4"/>
  <c r="AE761" i="5" s="1"/>
  <c r="N761" i="4"/>
  <c r="O761" i="4"/>
  <c r="P761" i="4"/>
  <c r="Q761" i="4"/>
  <c r="R761" i="4"/>
  <c r="S761" i="4"/>
  <c r="T761" i="4"/>
  <c r="U761" i="4"/>
  <c r="V761" i="4"/>
  <c r="E762" i="4"/>
  <c r="F762" i="4"/>
  <c r="G762" i="4"/>
  <c r="H762" i="4"/>
  <c r="I762" i="4"/>
  <c r="J762" i="4"/>
  <c r="K762" i="4"/>
  <c r="L762" i="4"/>
  <c r="M762" i="4"/>
  <c r="AE762" i="5" s="1"/>
  <c r="N762" i="4"/>
  <c r="O762" i="4"/>
  <c r="P762" i="4"/>
  <c r="Q762" i="4"/>
  <c r="R762" i="4"/>
  <c r="S762" i="4"/>
  <c r="T762" i="4"/>
  <c r="U762" i="4"/>
  <c r="V762" i="4"/>
  <c r="E763" i="4"/>
  <c r="F763" i="4"/>
  <c r="G763" i="4"/>
  <c r="H763" i="4"/>
  <c r="I763" i="4"/>
  <c r="J763" i="4"/>
  <c r="K763" i="4"/>
  <c r="L763" i="4"/>
  <c r="M763" i="4"/>
  <c r="AE763" i="5" s="1"/>
  <c r="N763" i="4"/>
  <c r="O763" i="4"/>
  <c r="P763" i="4"/>
  <c r="Q763" i="4"/>
  <c r="R763" i="4"/>
  <c r="S763" i="4"/>
  <c r="T763" i="4"/>
  <c r="U763" i="4"/>
  <c r="V763" i="4"/>
  <c r="E764" i="4"/>
  <c r="F764" i="4"/>
  <c r="G764" i="4"/>
  <c r="H764" i="4"/>
  <c r="I764" i="4"/>
  <c r="J764" i="4"/>
  <c r="K764" i="4"/>
  <c r="L764" i="4"/>
  <c r="M764" i="4"/>
  <c r="AE764" i="5" s="1"/>
  <c r="N764" i="4"/>
  <c r="O764" i="4"/>
  <c r="P764" i="4"/>
  <c r="Q764" i="4"/>
  <c r="R764" i="4"/>
  <c r="S764" i="4"/>
  <c r="T764" i="4"/>
  <c r="U764" i="4"/>
  <c r="V764" i="4"/>
  <c r="E765" i="4"/>
  <c r="F765" i="4"/>
  <c r="G765" i="4"/>
  <c r="H765" i="4"/>
  <c r="I765" i="4"/>
  <c r="J765" i="4"/>
  <c r="K765" i="4"/>
  <c r="L765" i="4"/>
  <c r="M765" i="4"/>
  <c r="AE765" i="5" s="1"/>
  <c r="N765" i="4"/>
  <c r="O765" i="4"/>
  <c r="P765" i="4"/>
  <c r="Q765" i="4"/>
  <c r="R765" i="4"/>
  <c r="S765" i="4"/>
  <c r="T765" i="4"/>
  <c r="U765" i="4"/>
  <c r="V765" i="4"/>
  <c r="E766" i="4"/>
  <c r="F766" i="4"/>
  <c r="G766" i="4"/>
  <c r="H766" i="4"/>
  <c r="I766" i="4"/>
  <c r="J766" i="4"/>
  <c r="K766" i="4"/>
  <c r="L766" i="4"/>
  <c r="M766" i="4"/>
  <c r="AE766" i="5" s="1"/>
  <c r="N766" i="4"/>
  <c r="O766" i="4"/>
  <c r="P766" i="4"/>
  <c r="Q766" i="4"/>
  <c r="R766" i="4"/>
  <c r="S766" i="4"/>
  <c r="T766" i="4"/>
  <c r="U766" i="4"/>
  <c r="V766" i="4"/>
  <c r="E767" i="4"/>
  <c r="F767" i="4"/>
  <c r="G767" i="4"/>
  <c r="H767" i="4"/>
  <c r="I767" i="4"/>
  <c r="J767" i="4"/>
  <c r="K767" i="4"/>
  <c r="L767" i="4"/>
  <c r="M767" i="4"/>
  <c r="AE767" i="5" s="1"/>
  <c r="N767" i="4"/>
  <c r="O767" i="4"/>
  <c r="P767" i="4"/>
  <c r="Q767" i="4"/>
  <c r="R767" i="4"/>
  <c r="S767" i="4"/>
  <c r="T767" i="4"/>
  <c r="U767" i="4"/>
  <c r="V767" i="4"/>
  <c r="E768" i="4"/>
  <c r="F768" i="4"/>
  <c r="G768" i="4"/>
  <c r="H768" i="4"/>
  <c r="I768" i="4"/>
  <c r="J768" i="4"/>
  <c r="K768" i="4"/>
  <c r="L768" i="4"/>
  <c r="M768" i="4"/>
  <c r="AE768" i="5" s="1"/>
  <c r="N768" i="4"/>
  <c r="O768" i="4"/>
  <c r="P768" i="4"/>
  <c r="Q768" i="4"/>
  <c r="R768" i="4"/>
  <c r="S768" i="4"/>
  <c r="T768" i="4"/>
  <c r="U768" i="4"/>
  <c r="V768" i="4"/>
  <c r="E769" i="4"/>
  <c r="F769" i="4"/>
  <c r="G769" i="4"/>
  <c r="H769" i="4"/>
  <c r="I769" i="4"/>
  <c r="J769" i="4"/>
  <c r="K769" i="4"/>
  <c r="L769" i="4"/>
  <c r="M769" i="4"/>
  <c r="AE769" i="5" s="1"/>
  <c r="N769" i="4"/>
  <c r="O769" i="4"/>
  <c r="P769" i="4"/>
  <c r="Q769" i="4"/>
  <c r="R769" i="4"/>
  <c r="S769" i="4"/>
  <c r="T769" i="4"/>
  <c r="U769" i="4"/>
  <c r="V769" i="4"/>
  <c r="E770" i="4"/>
  <c r="F770" i="4"/>
  <c r="G770" i="4"/>
  <c r="H770" i="4"/>
  <c r="I770" i="4"/>
  <c r="J770" i="4"/>
  <c r="K770" i="4"/>
  <c r="L770" i="4"/>
  <c r="M770" i="4"/>
  <c r="AE770" i="5" s="1"/>
  <c r="N770" i="4"/>
  <c r="O770" i="4"/>
  <c r="P770" i="4"/>
  <c r="Q770" i="4"/>
  <c r="R770" i="4"/>
  <c r="S770" i="4"/>
  <c r="T770" i="4"/>
  <c r="U770" i="4"/>
  <c r="V770" i="4"/>
  <c r="E771" i="4"/>
  <c r="F771" i="4"/>
  <c r="G771" i="4"/>
  <c r="H771" i="4"/>
  <c r="I771" i="4"/>
  <c r="J771" i="4"/>
  <c r="K771" i="4"/>
  <c r="L771" i="4"/>
  <c r="M771" i="4"/>
  <c r="AE771" i="5" s="1"/>
  <c r="N771" i="4"/>
  <c r="O771" i="4"/>
  <c r="P771" i="4"/>
  <c r="Q771" i="4"/>
  <c r="R771" i="4"/>
  <c r="S771" i="4"/>
  <c r="T771" i="4"/>
  <c r="E772" i="4"/>
  <c r="F772" i="4"/>
  <c r="G772" i="4"/>
  <c r="H772" i="4"/>
  <c r="I772" i="4"/>
  <c r="J772" i="4"/>
  <c r="K772" i="4"/>
  <c r="L772" i="4"/>
  <c r="M772" i="4"/>
  <c r="AE772" i="5" s="1"/>
  <c r="N772" i="4"/>
  <c r="O772" i="4"/>
  <c r="P772" i="4"/>
  <c r="Q772" i="4"/>
  <c r="R772" i="4"/>
  <c r="S772" i="4"/>
  <c r="T772" i="4"/>
  <c r="E773" i="4"/>
  <c r="F773" i="4"/>
  <c r="G773" i="4"/>
  <c r="H773" i="4"/>
  <c r="I773" i="4"/>
  <c r="J773" i="4"/>
  <c r="K773" i="4"/>
  <c r="L773" i="4"/>
  <c r="M773" i="4"/>
  <c r="AE773" i="5" s="1"/>
  <c r="N773" i="4"/>
  <c r="O773" i="4"/>
  <c r="P773" i="4"/>
  <c r="Q773" i="4"/>
  <c r="R773" i="4"/>
  <c r="S773" i="4"/>
  <c r="T773" i="4"/>
  <c r="U773" i="4"/>
  <c r="V773" i="4"/>
  <c r="E774" i="4"/>
  <c r="F774" i="4"/>
  <c r="G774" i="4"/>
  <c r="H774" i="4"/>
  <c r="I774" i="4"/>
  <c r="J774" i="4"/>
  <c r="K774" i="4"/>
  <c r="L774" i="4"/>
  <c r="M774" i="4"/>
  <c r="AE774" i="5" s="1"/>
  <c r="N774" i="4"/>
  <c r="O774" i="4"/>
  <c r="P774" i="4"/>
  <c r="Q774" i="4"/>
  <c r="R774" i="4"/>
  <c r="S774" i="4"/>
  <c r="T774" i="4"/>
  <c r="U774" i="4"/>
  <c r="V774" i="4"/>
  <c r="E775" i="4"/>
  <c r="F775" i="4"/>
  <c r="G775" i="4"/>
  <c r="H775" i="4"/>
  <c r="I775" i="4"/>
  <c r="J775" i="4"/>
  <c r="K775" i="4"/>
  <c r="L775" i="4"/>
  <c r="M775" i="4"/>
  <c r="AE775" i="5" s="1"/>
  <c r="N775" i="4"/>
  <c r="O775" i="4"/>
  <c r="P775" i="4"/>
  <c r="Q775" i="4"/>
  <c r="R775" i="4"/>
  <c r="S775" i="4"/>
  <c r="T775" i="4"/>
  <c r="U775" i="4"/>
  <c r="V775" i="4"/>
  <c r="E776" i="4"/>
  <c r="F776" i="4"/>
  <c r="G776" i="4"/>
  <c r="H776" i="4"/>
  <c r="I776" i="4"/>
  <c r="J776" i="4"/>
  <c r="K776" i="4"/>
  <c r="L776" i="4"/>
  <c r="M776" i="4"/>
  <c r="AE776" i="5" s="1"/>
  <c r="N776" i="4"/>
  <c r="O776" i="4"/>
  <c r="P776" i="4"/>
  <c r="Q776" i="4"/>
  <c r="R776" i="4"/>
  <c r="S776" i="4"/>
  <c r="T776" i="4"/>
  <c r="U776" i="4"/>
  <c r="V776" i="4"/>
  <c r="E777" i="4"/>
  <c r="F777" i="4"/>
  <c r="G777" i="4"/>
  <c r="H777" i="4"/>
  <c r="I777" i="4"/>
  <c r="J777" i="4"/>
  <c r="K777" i="4"/>
  <c r="L777" i="4"/>
  <c r="M777" i="4"/>
  <c r="AE777" i="5" s="1"/>
  <c r="N777" i="4"/>
  <c r="O777" i="4"/>
  <c r="P777" i="4"/>
  <c r="Q777" i="4"/>
  <c r="R777" i="4"/>
  <c r="S777" i="4"/>
  <c r="T777" i="4"/>
  <c r="U777" i="4"/>
  <c r="V777" i="4"/>
  <c r="E778" i="4"/>
  <c r="F778" i="4"/>
  <c r="G778" i="4"/>
  <c r="H778" i="4"/>
  <c r="I778" i="4"/>
  <c r="J778" i="4"/>
  <c r="K778" i="4"/>
  <c r="L778" i="4"/>
  <c r="M778" i="4"/>
  <c r="AE778" i="5" s="1"/>
  <c r="N778" i="4"/>
  <c r="O778" i="4"/>
  <c r="P778" i="4"/>
  <c r="Q778" i="4"/>
  <c r="R778" i="4"/>
  <c r="S778" i="4"/>
  <c r="T778" i="4"/>
  <c r="U778" i="4"/>
  <c r="V778" i="4"/>
  <c r="E779" i="4"/>
  <c r="F779" i="4"/>
  <c r="G779" i="4"/>
  <c r="H779" i="4"/>
  <c r="I779" i="4"/>
  <c r="J779" i="4"/>
  <c r="K779" i="4"/>
  <c r="L779" i="4"/>
  <c r="M779" i="4"/>
  <c r="AE779" i="5" s="1"/>
  <c r="N779" i="4"/>
  <c r="O779" i="4"/>
  <c r="P779" i="4"/>
  <c r="Q779" i="4"/>
  <c r="R779" i="4"/>
  <c r="S779" i="4"/>
  <c r="T779" i="4"/>
  <c r="U779" i="4"/>
  <c r="V779" i="4"/>
  <c r="E780" i="4"/>
  <c r="F780" i="4"/>
  <c r="G780" i="4"/>
  <c r="H780" i="4"/>
  <c r="I780" i="4"/>
  <c r="J780" i="4"/>
  <c r="K780" i="4"/>
  <c r="L780" i="4"/>
  <c r="M780" i="4"/>
  <c r="AE780" i="5" s="1"/>
  <c r="N780" i="4"/>
  <c r="O780" i="4"/>
  <c r="P780" i="4"/>
  <c r="Q780" i="4"/>
  <c r="R780" i="4"/>
  <c r="S780" i="4"/>
  <c r="T780" i="4"/>
  <c r="U780" i="4"/>
  <c r="V780" i="4"/>
  <c r="E781" i="4"/>
  <c r="F781" i="4"/>
  <c r="G781" i="4"/>
  <c r="H781" i="4"/>
  <c r="I781" i="4"/>
  <c r="J781" i="4"/>
  <c r="K781" i="4"/>
  <c r="L781" i="4"/>
  <c r="M781" i="4"/>
  <c r="AE781" i="5" s="1"/>
  <c r="N781" i="4"/>
  <c r="O781" i="4"/>
  <c r="P781" i="4"/>
  <c r="Q781" i="4"/>
  <c r="R781" i="4"/>
  <c r="S781" i="4"/>
  <c r="T781" i="4"/>
  <c r="U781" i="4"/>
  <c r="V781" i="4"/>
  <c r="E782" i="4"/>
  <c r="F782" i="4"/>
  <c r="G782" i="4"/>
  <c r="H782" i="4"/>
  <c r="I782" i="4"/>
  <c r="J782" i="4"/>
  <c r="K782" i="4"/>
  <c r="L782" i="4"/>
  <c r="M782" i="4"/>
  <c r="AE782" i="5" s="1"/>
  <c r="N782" i="4"/>
  <c r="O782" i="4"/>
  <c r="P782" i="4"/>
  <c r="Q782" i="4"/>
  <c r="R782" i="4"/>
  <c r="S782" i="4"/>
  <c r="T782" i="4"/>
  <c r="U782" i="4"/>
  <c r="V782" i="4"/>
  <c r="E783" i="4"/>
  <c r="F783" i="4"/>
  <c r="G783" i="4"/>
  <c r="H783" i="4"/>
  <c r="I783" i="4"/>
  <c r="J783" i="4"/>
  <c r="K783" i="4"/>
  <c r="L783" i="4"/>
  <c r="M783" i="4"/>
  <c r="AE783" i="5" s="1"/>
  <c r="N783" i="4"/>
  <c r="O783" i="4"/>
  <c r="P783" i="4"/>
  <c r="Q783" i="4"/>
  <c r="R783" i="4"/>
  <c r="S783" i="4"/>
  <c r="T783" i="4"/>
  <c r="U783" i="4"/>
  <c r="V783" i="4"/>
  <c r="E784" i="4"/>
  <c r="F784" i="4"/>
  <c r="G784" i="4"/>
  <c r="H784" i="4"/>
  <c r="I784" i="4"/>
  <c r="J784" i="4"/>
  <c r="K784" i="4"/>
  <c r="L784" i="4"/>
  <c r="M784" i="4"/>
  <c r="AE784" i="5" s="1"/>
  <c r="N784" i="4"/>
  <c r="O784" i="4"/>
  <c r="P784" i="4"/>
  <c r="Q784" i="4"/>
  <c r="R784" i="4"/>
  <c r="S784" i="4"/>
  <c r="T784" i="4"/>
  <c r="U784" i="4"/>
  <c r="V784" i="4"/>
  <c r="E785" i="4"/>
  <c r="F785" i="4"/>
  <c r="G785" i="4"/>
  <c r="H785" i="4"/>
  <c r="I785" i="4"/>
  <c r="J785" i="4"/>
  <c r="K785" i="4"/>
  <c r="L785" i="4"/>
  <c r="M785" i="4"/>
  <c r="AE785" i="5" s="1"/>
  <c r="N785" i="4"/>
  <c r="O785" i="4"/>
  <c r="P785" i="4"/>
  <c r="Q785" i="4"/>
  <c r="R785" i="4"/>
  <c r="S785" i="4"/>
  <c r="T785" i="4"/>
  <c r="U785" i="4"/>
  <c r="V785" i="4"/>
  <c r="E786" i="4"/>
  <c r="F786" i="4"/>
  <c r="G786" i="4"/>
  <c r="H786" i="4"/>
  <c r="I786" i="4"/>
  <c r="J786" i="4"/>
  <c r="K786" i="4"/>
  <c r="L786" i="4"/>
  <c r="M786" i="4"/>
  <c r="AE786" i="5" s="1"/>
  <c r="N786" i="4"/>
  <c r="O786" i="4"/>
  <c r="P786" i="4"/>
  <c r="Q786" i="4"/>
  <c r="R786" i="4"/>
  <c r="S786" i="4"/>
  <c r="T786" i="4"/>
  <c r="U786" i="4"/>
  <c r="V786" i="4"/>
  <c r="E787" i="4"/>
  <c r="F787" i="4"/>
  <c r="G787" i="4"/>
  <c r="H787" i="4"/>
  <c r="I787" i="4"/>
  <c r="J787" i="4"/>
  <c r="K787" i="4"/>
  <c r="L787" i="4"/>
  <c r="M787" i="4"/>
  <c r="AE787" i="5" s="1"/>
  <c r="N787" i="4"/>
  <c r="O787" i="4"/>
  <c r="P787" i="4"/>
  <c r="Q787" i="4"/>
  <c r="R787" i="4"/>
  <c r="S787" i="4"/>
  <c r="T787" i="4"/>
  <c r="E788" i="4"/>
  <c r="F788" i="4"/>
  <c r="G788" i="4"/>
  <c r="H788" i="4"/>
  <c r="I788" i="4"/>
  <c r="J788" i="4"/>
  <c r="K788" i="4"/>
  <c r="L788" i="4"/>
  <c r="M788" i="4"/>
  <c r="AE788" i="5" s="1"/>
  <c r="N788" i="4"/>
  <c r="O788" i="4"/>
  <c r="P788" i="4"/>
  <c r="Q788" i="4"/>
  <c r="R788" i="4"/>
  <c r="S788" i="4"/>
  <c r="T788" i="4"/>
  <c r="E789" i="4"/>
  <c r="F789" i="4"/>
  <c r="G789" i="4"/>
  <c r="H789" i="4"/>
  <c r="I789" i="4"/>
  <c r="J789" i="4"/>
  <c r="K789" i="4"/>
  <c r="L789" i="4"/>
  <c r="M789" i="4"/>
  <c r="AE789" i="5" s="1"/>
  <c r="N789" i="4"/>
  <c r="O789" i="4"/>
  <c r="P789" i="4"/>
  <c r="Q789" i="4"/>
  <c r="R789" i="4"/>
  <c r="S789" i="4"/>
  <c r="T789" i="4"/>
  <c r="U789" i="4"/>
  <c r="V789" i="4"/>
  <c r="E790" i="4"/>
  <c r="F790" i="4"/>
  <c r="G790" i="4"/>
  <c r="H790" i="4"/>
  <c r="I790" i="4"/>
  <c r="J790" i="4"/>
  <c r="K790" i="4"/>
  <c r="L790" i="4"/>
  <c r="M790" i="4"/>
  <c r="AE790" i="5" s="1"/>
  <c r="N790" i="4"/>
  <c r="O790" i="4"/>
  <c r="P790" i="4"/>
  <c r="Q790" i="4"/>
  <c r="R790" i="4"/>
  <c r="S790" i="4"/>
  <c r="T790" i="4"/>
  <c r="U790" i="4"/>
  <c r="V790" i="4"/>
  <c r="E791" i="4"/>
  <c r="F791" i="4"/>
  <c r="G791" i="4"/>
  <c r="H791" i="4"/>
  <c r="I791" i="4"/>
  <c r="J791" i="4"/>
  <c r="K791" i="4"/>
  <c r="L791" i="4"/>
  <c r="M791" i="4"/>
  <c r="AE791" i="5" s="1"/>
  <c r="N791" i="4"/>
  <c r="O791" i="4"/>
  <c r="P791" i="4"/>
  <c r="Q791" i="4"/>
  <c r="R791" i="4"/>
  <c r="S791" i="4"/>
  <c r="T791" i="4"/>
  <c r="U791" i="4"/>
  <c r="V791" i="4"/>
  <c r="E792" i="4"/>
  <c r="F792" i="4"/>
  <c r="G792" i="4"/>
  <c r="H792" i="4"/>
  <c r="I792" i="4"/>
  <c r="J792" i="4"/>
  <c r="K792" i="4"/>
  <c r="L792" i="4"/>
  <c r="M792" i="4"/>
  <c r="AE792" i="5" s="1"/>
  <c r="N792" i="4"/>
  <c r="O792" i="4"/>
  <c r="P792" i="4"/>
  <c r="Q792" i="4"/>
  <c r="R792" i="4"/>
  <c r="S792" i="4"/>
  <c r="T792" i="4"/>
  <c r="U792" i="4"/>
  <c r="V792" i="4"/>
  <c r="E793" i="4"/>
  <c r="F793" i="4"/>
  <c r="G793" i="4"/>
  <c r="H793" i="4"/>
  <c r="I793" i="4"/>
  <c r="J793" i="4"/>
  <c r="K793" i="4"/>
  <c r="L793" i="4"/>
  <c r="M793" i="4"/>
  <c r="AE793" i="5" s="1"/>
  <c r="N793" i="4"/>
  <c r="O793" i="4"/>
  <c r="P793" i="4"/>
  <c r="Q793" i="4"/>
  <c r="R793" i="4"/>
  <c r="S793" i="4"/>
  <c r="T793" i="4"/>
  <c r="U793" i="4"/>
  <c r="V793" i="4"/>
  <c r="E794" i="4"/>
  <c r="F794" i="4"/>
  <c r="G794" i="4"/>
  <c r="H794" i="4"/>
  <c r="I794" i="4"/>
  <c r="J794" i="4"/>
  <c r="K794" i="4"/>
  <c r="L794" i="4"/>
  <c r="M794" i="4"/>
  <c r="AE794" i="5" s="1"/>
  <c r="N794" i="4"/>
  <c r="O794" i="4"/>
  <c r="P794" i="4"/>
  <c r="Q794" i="4"/>
  <c r="R794" i="4"/>
  <c r="S794" i="4"/>
  <c r="T794" i="4"/>
  <c r="U794" i="4"/>
  <c r="V794" i="4"/>
  <c r="E795" i="4"/>
  <c r="F795" i="4"/>
  <c r="G795" i="4"/>
  <c r="H795" i="4"/>
  <c r="I795" i="4"/>
  <c r="J795" i="4"/>
  <c r="K795" i="4"/>
  <c r="L795" i="4"/>
  <c r="M795" i="4"/>
  <c r="AE795" i="5" s="1"/>
  <c r="N795" i="4"/>
  <c r="O795" i="4"/>
  <c r="P795" i="4"/>
  <c r="Q795" i="4"/>
  <c r="R795" i="4"/>
  <c r="S795" i="4"/>
  <c r="T795" i="4"/>
  <c r="U795" i="4"/>
  <c r="V795" i="4"/>
  <c r="E796" i="4"/>
  <c r="F796" i="4"/>
  <c r="G796" i="4"/>
  <c r="H796" i="4"/>
  <c r="I796" i="4"/>
  <c r="J796" i="4"/>
  <c r="K796" i="4"/>
  <c r="L796" i="4"/>
  <c r="M796" i="4"/>
  <c r="AE796" i="5" s="1"/>
  <c r="N796" i="4"/>
  <c r="O796" i="4"/>
  <c r="P796" i="4"/>
  <c r="Q796" i="4"/>
  <c r="R796" i="4"/>
  <c r="S796" i="4"/>
  <c r="T796" i="4"/>
  <c r="U796" i="4"/>
  <c r="V796" i="4"/>
  <c r="E797" i="4"/>
  <c r="F797" i="4"/>
  <c r="G797" i="4"/>
  <c r="H797" i="4"/>
  <c r="I797" i="4"/>
  <c r="J797" i="4"/>
  <c r="K797" i="4"/>
  <c r="L797" i="4"/>
  <c r="M797" i="4"/>
  <c r="AE797" i="5" s="1"/>
  <c r="N797" i="4"/>
  <c r="O797" i="4"/>
  <c r="P797" i="4"/>
  <c r="Q797" i="4"/>
  <c r="R797" i="4"/>
  <c r="S797" i="4"/>
  <c r="T797" i="4"/>
  <c r="U797" i="4"/>
  <c r="V797" i="4"/>
  <c r="E798" i="4"/>
  <c r="F798" i="4"/>
  <c r="G798" i="4"/>
  <c r="H798" i="4"/>
  <c r="I798" i="4"/>
  <c r="J798" i="4"/>
  <c r="K798" i="4"/>
  <c r="L798" i="4"/>
  <c r="M798" i="4"/>
  <c r="AE798" i="5" s="1"/>
  <c r="N798" i="4"/>
  <c r="O798" i="4"/>
  <c r="P798" i="4"/>
  <c r="Q798" i="4"/>
  <c r="R798" i="4"/>
  <c r="S798" i="4"/>
  <c r="T798" i="4"/>
  <c r="U798" i="4"/>
  <c r="V798" i="4"/>
  <c r="E799" i="4"/>
  <c r="F799" i="4"/>
  <c r="G799" i="4"/>
  <c r="H799" i="4"/>
  <c r="I799" i="4"/>
  <c r="J799" i="4"/>
  <c r="K799" i="4"/>
  <c r="L799" i="4"/>
  <c r="M799" i="4"/>
  <c r="AE799" i="5" s="1"/>
  <c r="N799" i="4"/>
  <c r="O799" i="4"/>
  <c r="P799" i="4"/>
  <c r="Q799" i="4"/>
  <c r="R799" i="4"/>
  <c r="S799" i="4"/>
  <c r="T799" i="4"/>
  <c r="U799" i="4"/>
  <c r="V799" i="4"/>
  <c r="E800" i="4"/>
  <c r="F800" i="4"/>
  <c r="G800" i="4"/>
  <c r="H800" i="4"/>
  <c r="I800" i="4"/>
  <c r="J800" i="4"/>
  <c r="K800" i="4"/>
  <c r="L800" i="4"/>
  <c r="M800" i="4"/>
  <c r="AE800" i="5" s="1"/>
  <c r="N800" i="4"/>
  <c r="O800" i="4"/>
  <c r="P800" i="4"/>
  <c r="Q800" i="4"/>
  <c r="R800" i="4"/>
  <c r="S800" i="4"/>
  <c r="T800" i="4"/>
  <c r="U800" i="4"/>
  <c r="V800" i="4"/>
  <c r="E801" i="4"/>
  <c r="F801" i="4"/>
  <c r="G801" i="4"/>
  <c r="H801" i="4"/>
  <c r="I801" i="4"/>
  <c r="J801" i="4"/>
  <c r="K801" i="4"/>
  <c r="L801" i="4"/>
  <c r="M801" i="4"/>
  <c r="AE801" i="5" s="1"/>
  <c r="N801" i="4"/>
  <c r="O801" i="4"/>
  <c r="P801" i="4"/>
  <c r="Q801" i="4"/>
  <c r="R801" i="4"/>
  <c r="S801" i="4"/>
  <c r="T801" i="4"/>
  <c r="U801" i="4"/>
  <c r="V801" i="4"/>
  <c r="E802" i="4"/>
  <c r="F802" i="4"/>
  <c r="G802" i="4"/>
  <c r="H802" i="4"/>
  <c r="I802" i="4"/>
  <c r="J802" i="4"/>
  <c r="K802" i="4"/>
  <c r="L802" i="4"/>
  <c r="M802" i="4"/>
  <c r="AE802" i="5" s="1"/>
  <c r="N802" i="4"/>
  <c r="O802" i="4"/>
  <c r="P802" i="4"/>
  <c r="Q802" i="4"/>
  <c r="R802" i="4"/>
  <c r="S802" i="4"/>
  <c r="T802" i="4"/>
  <c r="E803" i="4"/>
  <c r="F803" i="4"/>
  <c r="G803" i="4"/>
  <c r="H803" i="4"/>
  <c r="I803" i="4"/>
  <c r="J803" i="4"/>
  <c r="K803" i="4"/>
  <c r="L803" i="4"/>
  <c r="M803" i="4"/>
  <c r="AE803" i="5" s="1"/>
  <c r="N803" i="4"/>
  <c r="O803" i="4"/>
  <c r="P803" i="4"/>
  <c r="Q803" i="4"/>
  <c r="R803" i="4"/>
  <c r="S803" i="4"/>
  <c r="T803" i="4"/>
  <c r="E804" i="4"/>
  <c r="F804" i="4"/>
  <c r="G804" i="4"/>
  <c r="H804" i="4"/>
  <c r="I804" i="4"/>
  <c r="J804" i="4"/>
  <c r="K804" i="4"/>
  <c r="L804" i="4"/>
  <c r="M804" i="4"/>
  <c r="AE804" i="5" s="1"/>
  <c r="N804" i="4"/>
  <c r="O804" i="4"/>
  <c r="P804" i="4"/>
  <c r="Q804" i="4"/>
  <c r="R804" i="4"/>
  <c r="S804" i="4"/>
  <c r="T804" i="4"/>
  <c r="E805" i="4"/>
  <c r="F805" i="4"/>
  <c r="G805" i="4"/>
  <c r="H805" i="4"/>
  <c r="I805" i="4"/>
  <c r="J805" i="4"/>
  <c r="K805" i="4"/>
  <c r="L805" i="4"/>
  <c r="M805" i="4"/>
  <c r="AE805" i="5" s="1"/>
  <c r="N805" i="4"/>
  <c r="O805" i="4"/>
  <c r="P805" i="4"/>
  <c r="Q805" i="4"/>
  <c r="R805" i="4"/>
  <c r="S805" i="4"/>
  <c r="T805" i="4"/>
  <c r="U805" i="4"/>
  <c r="V805" i="4"/>
  <c r="E806" i="4"/>
  <c r="F806" i="4"/>
  <c r="G806" i="4"/>
  <c r="H806" i="4"/>
  <c r="I806" i="4"/>
  <c r="J806" i="4"/>
  <c r="K806" i="4"/>
  <c r="L806" i="4"/>
  <c r="M806" i="4"/>
  <c r="AE806" i="5" s="1"/>
  <c r="N806" i="4"/>
  <c r="O806" i="4"/>
  <c r="P806" i="4"/>
  <c r="Q806" i="4"/>
  <c r="R806" i="4"/>
  <c r="S806" i="4"/>
  <c r="T806" i="4"/>
  <c r="U806" i="4"/>
  <c r="V806" i="4"/>
  <c r="E807" i="4"/>
  <c r="F807" i="4"/>
  <c r="G807" i="4"/>
  <c r="H807" i="4"/>
  <c r="I807" i="4"/>
  <c r="J807" i="4"/>
  <c r="K807" i="4"/>
  <c r="L807" i="4"/>
  <c r="M807" i="4"/>
  <c r="AE807" i="5" s="1"/>
  <c r="N807" i="4"/>
  <c r="O807" i="4"/>
  <c r="P807" i="4"/>
  <c r="Q807" i="4"/>
  <c r="R807" i="4"/>
  <c r="S807" i="4"/>
  <c r="T807" i="4"/>
  <c r="U807" i="4"/>
  <c r="V807" i="4"/>
  <c r="E808" i="4"/>
  <c r="F808" i="4"/>
  <c r="G808" i="4"/>
  <c r="H808" i="4"/>
  <c r="I808" i="4"/>
  <c r="J808" i="4"/>
  <c r="K808" i="4"/>
  <c r="L808" i="4"/>
  <c r="M808" i="4"/>
  <c r="AE808" i="5" s="1"/>
  <c r="N808" i="4"/>
  <c r="O808" i="4"/>
  <c r="P808" i="4"/>
  <c r="Q808" i="4"/>
  <c r="R808" i="4"/>
  <c r="S808" i="4"/>
  <c r="T808" i="4"/>
  <c r="U808" i="4"/>
  <c r="V808" i="4"/>
  <c r="E809" i="4"/>
  <c r="F809" i="4"/>
  <c r="G809" i="4"/>
  <c r="H809" i="4"/>
  <c r="I809" i="4"/>
  <c r="J809" i="4"/>
  <c r="K809" i="4"/>
  <c r="L809" i="4"/>
  <c r="M809" i="4"/>
  <c r="AE809" i="5" s="1"/>
  <c r="N809" i="4"/>
  <c r="O809" i="4"/>
  <c r="P809" i="4"/>
  <c r="Q809" i="4"/>
  <c r="R809" i="4"/>
  <c r="S809" i="4"/>
  <c r="T809" i="4"/>
  <c r="U809" i="4"/>
  <c r="V809" i="4"/>
  <c r="E810" i="4"/>
  <c r="F810" i="4"/>
  <c r="G810" i="4"/>
  <c r="H810" i="4"/>
  <c r="I810" i="4"/>
  <c r="J810" i="4"/>
  <c r="K810" i="4"/>
  <c r="L810" i="4"/>
  <c r="M810" i="4"/>
  <c r="AE810" i="5" s="1"/>
  <c r="N810" i="4"/>
  <c r="O810" i="4"/>
  <c r="P810" i="4"/>
  <c r="Q810" i="4"/>
  <c r="R810" i="4"/>
  <c r="S810" i="4"/>
  <c r="T810" i="4"/>
  <c r="U810" i="4"/>
  <c r="V810" i="4"/>
  <c r="E811" i="4"/>
  <c r="F811" i="4"/>
  <c r="G811" i="4"/>
  <c r="H811" i="4"/>
  <c r="I811" i="4"/>
  <c r="J811" i="4"/>
  <c r="K811" i="4"/>
  <c r="L811" i="4"/>
  <c r="M811" i="4"/>
  <c r="AE811" i="5" s="1"/>
  <c r="N811" i="4"/>
  <c r="O811" i="4"/>
  <c r="P811" i="4"/>
  <c r="Q811" i="4"/>
  <c r="R811" i="4"/>
  <c r="S811" i="4"/>
  <c r="T811" i="4"/>
  <c r="U811" i="4"/>
  <c r="V811" i="4"/>
  <c r="E812" i="4"/>
  <c r="F812" i="4"/>
  <c r="G812" i="4"/>
  <c r="H812" i="4"/>
  <c r="I812" i="4"/>
  <c r="J812" i="4"/>
  <c r="K812" i="4"/>
  <c r="L812" i="4"/>
  <c r="M812" i="4"/>
  <c r="AE812" i="5" s="1"/>
  <c r="N812" i="4"/>
  <c r="O812" i="4"/>
  <c r="P812" i="4"/>
  <c r="Q812" i="4"/>
  <c r="R812" i="4"/>
  <c r="S812" i="4"/>
  <c r="T812" i="4"/>
  <c r="U812" i="4"/>
  <c r="V812" i="4"/>
  <c r="E813" i="4"/>
  <c r="F813" i="4"/>
  <c r="G813" i="4"/>
  <c r="H813" i="4"/>
  <c r="I813" i="4"/>
  <c r="J813" i="4"/>
  <c r="K813" i="4"/>
  <c r="L813" i="4"/>
  <c r="M813" i="4"/>
  <c r="AE813" i="5" s="1"/>
  <c r="N813" i="4"/>
  <c r="O813" i="4"/>
  <c r="P813" i="4"/>
  <c r="Q813" i="4"/>
  <c r="R813" i="4"/>
  <c r="S813" i="4"/>
  <c r="T813" i="4"/>
  <c r="U813" i="4"/>
  <c r="V813" i="4"/>
  <c r="E814" i="4"/>
  <c r="F814" i="4"/>
  <c r="G814" i="4"/>
  <c r="H814" i="4"/>
  <c r="I814" i="4"/>
  <c r="J814" i="4"/>
  <c r="K814" i="4"/>
  <c r="L814" i="4"/>
  <c r="M814" i="4"/>
  <c r="AE814" i="5" s="1"/>
  <c r="N814" i="4"/>
  <c r="O814" i="4"/>
  <c r="P814" i="4"/>
  <c r="Q814" i="4"/>
  <c r="R814" i="4"/>
  <c r="S814" i="4"/>
  <c r="T814" i="4"/>
  <c r="U814" i="4"/>
  <c r="V814" i="4"/>
  <c r="E815" i="4"/>
  <c r="F815" i="4"/>
  <c r="G815" i="4"/>
  <c r="H815" i="4"/>
  <c r="I815" i="4"/>
  <c r="J815" i="4"/>
  <c r="K815" i="4"/>
  <c r="L815" i="4"/>
  <c r="M815" i="4"/>
  <c r="AE815" i="5" s="1"/>
  <c r="N815" i="4"/>
  <c r="O815" i="4"/>
  <c r="P815" i="4"/>
  <c r="Q815" i="4"/>
  <c r="R815" i="4"/>
  <c r="S815" i="4"/>
  <c r="T815" i="4"/>
  <c r="U815" i="4"/>
  <c r="V815" i="4"/>
  <c r="E816" i="4"/>
  <c r="F816" i="4"/>
  <c r="G816" i="4"/>
  <c r="H816" i="4"/>
  <c r="I816" i="4"/>
  <c r="J816" i="4"/>
  <c r="K816" i="4"/>
  <c r="L816" i="4"/>
  <c r="M816" i="4"/>
  <c r="AE816" i="5" s="1"/>
  <c r="N816" i="4"/>
  <c r="O816" i="4"/>
  <c r="P816" i="4"/>
  <c r="Q816" i="4"/>
  <c r="R816" i="4"/>
  <c r="S816" i="4"/>
  <c r="T816" i="4"/>
  <c r="U816" i="4"/>
  <c r="V816" i="4"/>
  <c r="E817" i="4"/>
  <c r="F817" i="4"/>
  <c r="G817" i="4"/>
  <c r="H817" i="4"/>
  <c r="I817" i="4"/>
  <c r="J817" i="4"/>
  <c r="K817" i="4"/>
  <c r="L817" i="4"/>
  <c r="M817" i="4"/>
  <c r="AE817" i="5" s="1"/>
  <c r="N817" i="4"/>
  <c r="O817" i="4"/>
  <c r="P817" i="4"/>
  <c r="Q817" i="4"/>
  <c r="R817" i="4"/>
  <c r="S817" i="4"/>
  <c r="T817" i="4"/>
  <c r="U817" i="4"/>
  <c r="V817" i="4"/>
  <c r="E818" i="4"/>
  <c r="F818" i="4"/>
  <c r="G818" i="4"/>
  <c r="H818" i="4"/>
  <c r="I818" i="4"/>
  <c r="J818" i="4"/>
  <c r="K818" i="4"/>
  <c r="L818" i="4"/>
  <c r="M818" i="4"/>
  <c r="AE818" i="5" s="1"/>
  <c r="N818" i="4"/>
  <c r="O818" i="4"/>
  <c r="P818" i="4"/>
  <c r="Q818" i="4"/>
  <c r="R818" i="4"/>
  <c r="S818" i="4"/>
  <c r="T818" i="4"/>
  <c r="E819" i="4"/>
  <c r="F819" i="4"/>
  <c r="G819" i="4"/>
  <c r="H819" i="4"/>
  <c r="I819" i="4"/>
  <c r="J819" i="4"/>
  <c r="K819" i="4"/>
  <c r="L819" i="4"/>
  <c r="M819" i="4"/>
  <c r="AE819" i="5" s="1"/>
  <c r="N819" i="4"/>
  <c r="O819" i="4"/>
  <c r="P819" i="4"/>
  <c r="Q819" i="4"/>
  <c r="R819" i="4"/>
  <c r="S819" i="4"/>
  <c r="T819" i="4"/>
  <c r="U819" i="4"/>
  <c r="V819" i="4"/>
  <c r="E820" i="4"/>
  <c r="F820" i="4"/>
  <c r="G820" i="4"/>
  <c r="H820" i="4"/>
  <c r="I820" i="4"/>
  <c r="J820" i="4"/>
  <c r="K820" i="4"/>
  <c r="L820" i="4"/>
  <c r="M820" i="4"/>
  <c r="AE820" i="5" s="1"/>
  <c r="N820" i="4"/>
  <c r="O820" i="4"/>
  <c r="P820" i="4"/>
  <c r="Q820" i="4"/>
  <c r="R820" i="4"/>
  <c r="S820" i="4"/>
  <c r="T820" i="4"/>
  <c r="U820" i="4"/>
  <c r="V820" i="4"/>
  <c r="E821" i="4"/>
  <c r="F821" i="4"/>
  <c r="G821" i="4"/>
  <c r="H821" i="4"/>
  <c r="I821" i="4"/>
  <c r="J821" i="4"/>
  <c r="K821" i="4"/>
  <c r="L821" i="4"/>
  <c r="M821" i="4"/>
  <c r="AE821" i="5" s="1"/>
  <c r="N821" i="4"/>
  <c r="O821" i="4"/>
  <c r="P821" i="4"/>
  <c r="Q821" i="4"/>
  <c r="R821" i="4"/>
  <c r="S821" i="4"/>
  <c r="T821" i="4"/>
  <c r="U821" i="4"/>
  <c r="V821" i="4"/>
  <c r="E822" i="4"/>
  <c r="F822" i="4"/>
  <c r="G822" i="4"/>
  <c r="H822" i="4"/>
  <c r="I822" i="4"/>
  <c r="J822" i="4"/>
  <c r="K822" i="4"/>
  <c r="L822" i="4"/>
  <c r="M822" i="4"/>
  <c r="AE822" i="5" s="1"/>
  <c r="N822" i="4"/>
  <c r="O822" i="4"/>
  <c r="P822" i="4"/>
  <c r="Q822" i="4"/>
  <c r="R822" i="4"/>
  <c r="S822" i="4"/>
  <c r="T822" i="4"/>
  <c r="U822" i="4"/>
  <c r="V822" i="4"/>
  <c r="E823" i="4"/>
  <c r="F823" i="4"/>
  <c r="G823" i="4"/>
  <c r="H823" i="4"/>
  <c r="I823" i="4"/>
  <c r="J823" i="4"/>
  <c r="K823" i="4"/>
  <c r="L823" i="4"/>
  <c r="M823" i="4"/>
  <c r="AE823" i="5" s="1"/>
  <c r="N823" i="4"/>
  <c r="O823" i="4"/>
  <c r="P823" i="4"/>
  <c r="Q823" i="4"/>
  <c r="R823" i="4"/>
  <c r="S823" i="4"/>
  <c r="T823" i="4"/>
  <c r="U823" i="4"/>
  <c r="V823" i="4"/>
  <c r="E824" i="4"/>
  <c r="F824" i="4"/>
  <c r="G824" i="4"/>
  <c r="H824" i="4"/>
  <c r="I824" i="4"/>
  <c r="J824" i="4"/>
  <c r="K824" i="4"/>
  <c r="L824" i="4"/>
  <c r="M824" i="4"/>
  <c r="AE824" i="5" s="1"/>
  <c r="N824" i="4"/>
  <c r="O824" i="4"/>
  <c r="P824" i="4"/>
  <c r="Q824" i="4"/>
  <c r="R824" i="4"/>
  <c r="S824" i="4"/>
  <c r="T824" i="4"/>
  <c r="U824" i="4"/>
  <c r="V824" i="4"/>
  <c r="E825" i="4"/>
  <c r="F825" i="4"/>
  <c r="G825" i="4"/>
  <c r="H825" i="4"/>
  <c r="I825" i="4"/>
  <c r="J825" i="4"/>
  <c r="K825" i="4"/>
  <c r="L825" i="4"/>
  <c r="M825" i="4"/>
  <c r="AE825" i="5" s="1"/>
  <c r="N825" i="4"/>
  <c r="O825" i="4"/>
  <c r="P825" i="4"/>
  <c r="Q825" i="4"/>
  <c r="R825" i="4"/>
  <c r="S825" i="4"/>
  <c r="T825" i="4"/>
  <c r="U825" i="4"/>
  <c r="V825" i="4"/>
  <c r="E826" i="4"/>
  <c r="F826" i="4"/>
  <c r="G826" i="4"/>
  <c r="H826" i="4"/>
  <c r="I826" i="4"/>
  <c r="J826" i="4"/>
  <c r="K826" i="4"/>
  <c r="L826" i="4"/>
  <c r="M826" i="4"/>
  <c r="AE826" i="5" s="1"/>
  <c r="N826" i="4"/>
  <c r="O826" i="4"/>
  <c r="P826" i="4"/>
  <c r="Q826" i="4"/>
  <c r="R826" i="4"/>
  <c r="S826" i="4"/>
  <c r="T826" i="4"/>
  <c r="U826" i="4"/>
  <c r="V826" i="4"/>
  <c r="E827" i="4"/>
  <c r="F827" i="4"/>
  <c r="G827" i="4"/>
  <c r="H827" i="4"/>
  <c r="I827" i="4"/>
  <c r="J827" i="4"/>
  <c r="K827" i="4"/>
  <c r="L827" i="4"/>
  <c r="M827" i="4"/>
  <c r="AE827" i="5" s="1"/>
  <c r="N827" i="4"/>
  <c r="O827" i="4"/>
  <c r="P827" i="4"/>
  <c r="Q827" i="4"/>
  <c r="R827" i="4"/>
  <c r="S827" i="4"/>
  <c r="T827" i="4"/>
  <c r="U827" i="4"/>
  <c r="V827" i="4"/>
  <c r="E828" i="4"/>
  <c r="F828" i="4"/>
  <c r="G828" i="4"/>
  <c r="H828" i="4"/>
  <c r="I828" i="4"/>
  <c r="J828" i="4"/>
  <c r="K828" i="4"/>
  <c r="L828" i="4"/>
  <c r="M828" i="4"/>
  <c r="AE828" i="5" s="1"/>
  <c r="N828" i="4"/>
  <c r="O828" i="4"/>
  <c r="P828" i="4"/>
  <c r="Q828" i="4"/>
  <c r="R828" i="4"/>
  <c r="S828" i="4"/>
  <c r="T828" i="4"/>
  <c r="U828" i="4"/>
  <c r="V828" i="4"/>
  <c r="E829" i="4"/>
  <c r="F829" i="4"/>
  <c r="G829" i="4"/>
  <c r="H829" i="4"/>
  <c r="I829" i="4"/>
  <c r="J829" i="4"/>
  <c r="K829" i="4"/>
  <c r="L829" i="4"/>
  <c r="M829" i="4"/>
  <c r="AE829" i="5" s="1"/>
  <c r="N829" i="4"/>
  <c r="O829" i="4"/>
  <c r="P829" i="4"/>
  <c r="Q829" i="4"/>
  <c r="R829" i="4"/>
  <c r="S829" i="4"/>
  <c r="T829" i="4"/>
  <c r="U829" i="4"/>
  <c r="V829" i="4"/>
  <c r="E830" i="4"/>
  <c r="F830" i="4"/>
  <c r="G830" i="4"/>
  <c r="H830" i="4"/>
  <c r="I830" i="4"/>
  <c r="J830" i="4"/>
  <c r="K830" i="4"/>
  <c r="L830" i="4"/>
  <c r="M830" i="4"/>
  <c r="AE830" i="5" s="1"/>
  <c r="N830" i="4"/>
  <c r="O830" i="4"/>
  <c r="P830" i="4"/>
  <c r="Q830" i="4"/>
  <c r="R830" i="4"/>
  <c r="S830" i="4"/>
  <c r="T830" i="4"/>
  <c r="U830" i="4"/>
  <c r="V830" i="4"/>
  <c r="E831" i="4"/>
  <c r="F831" i="4"/>
  <c r="G831" i="4"/>
  <c r="H831" i="4"/>
  <c r="I831" i="4"/>
  <c r="J831" i="4"/>
  <c r="K831" i="4"/>
  <c r="L831" i="4"/>
  <c r="M831" i="4"/>
  <c r="AE831" i="5" s="1"/>
  <c r="N831" i="4"/>
  <c r="O831" i="4"/>
  <c r="P831" i="4"/>
  <c r="Q831" i="4"/>
  <c r="R831" i="4"/>
  <c r="S831" i="4"/>
  <c r="T831" i="4"/>
  <c r="U831" i="4"/>
  <c r="V831" i="4"/>
  <c r="E832" i="4"/>
  <c r="F832" i="4"/>
  <c r="G832" i="4"/>
  <c r="H832" i="4"/>
  <c r="I832" i="4"/>
  <c r="J832" i="4"/>
  <c r="K832" i="4"/>
  <c r="L832" i="4"/>
  <c r="M832" i="4"/>
  <c r="AE832" i="5" s="1"/>
  <c r="N832" i="4"/>
  <c r="O832" i="4"/>
  <c r="P832" i="4"/>
  <c r="Q832" i="4"/>
  <c r="R832" i="4"/>
  <c r="S832" i="4"/>
  <c r="T832" i="4"/>
  <c r="U832" i="4"/>
  <c r="V832" i="4"/>
  <c r="E833" i="4"/>
  <c r="F833" i="4"/>
  <c r="G833" i="4"/>
  <c r="H833" i="4"/>
  <c r="I833" i="4"/>
  <c r="J833" i="4"/>
  <c r="K833" i="4"/>
  <c r="L833" i="4"/>
  <c r="M833" i="4"/>
  <c r="AE833" i="5" s="1"/>
  <c r="N833" i="4"/>
  <c r="O833" i="4"/>
  <c r="P833" i="4"/>
  <c r="Q833" i="4"/>
  <c r="R833" i="4"/>
  <c r="S833" i="4"/>
  <c r="T833" i="4"/>
  <c r="U833" i="4"/>
  <c r="V833" i="4"/>
  <c r="E834" i="4"/>
  <c r="F834" i="4"/>
  <c r="G834" i="4"/>
  <c r="H834" i="4"/>
  <c r="I834" i="4"/>
  <c r="J834" i="4"/>
  <c r="K834" i="4"/>
  <c r="L834" i="4"/>
  <c r="M834" i="4"/>
  <c r="AE834" i="5" s="1"/>
  <c r="N834" i="4"/>
  <c r="O834" i="4"/>
  <c r="P834" i="4"/>
  <c r="Q834" i="4"/>
  <c r="R834" i="4"/>
  <c r="S834" i="4"/>
  <c r="T834" i="4"/>
  <c r="U834" i="4"/>
  <c r="V834" i="4"/>
  <c r="E835" i="4"/>
  <c r="F835" i="4"/>
  <c r="G835" i="4"/>
  <c r="H835" i="4"/>
  <c r="I835" i="4"/>
  <c r="J835" i="4"/>
  <c r="K835" i="4"/>
  <c r="L835" i="4"/>
  <c r="M835" i="4"/>
  <c r="AE835" i="5" s="1"/>
  <c r="N835" i="4"/>
  <c r="O835" i="4"/>
  <c r="P835" i="4"/>
  <c r="Q835" i="4"/>
  <c r="R835" i="4"/>
  <c r="S835" i="4"/>
  <c r="T835" i="4"/>
  <c r="E836" i="4"/>
  <c r="F836" i="4"/>
  <c r="G836" i="4"/>
  <c r="H836" i="4"/>
  <c r="I836" i="4"/>
  <c r="J836" i="4"/>
  <c r="K836" i="4"/>
  <c r="L836" i="4"/>
  <c r="M836" i="4"/>
  <c r="AE836" i="5" s="1"/>
  <c r="N836" i="4"/>
  <c r="O836" i="4"/>
  <c r="P836" i="4"/>
  <c r="Q836" i="4"/>
  <c r="R836" i="4"/>
  <c r="S836" i="4"/>
  <c r="T836" i="4"/>
  <c r="E837" i="4"/>
  <c r="F837" i="4"/>
  <c r="G837" i="4"/>
  <c r="H837" i="4"/>
  <c r="I837" i="4"/>
  <c r="J837" i="4"/>
  <c r="K837" i="4"/>
  <c r="L837" i="4"/>
  <c r="M837" i="4"/>
  <c r="AE837" i="5" s="1"/>
  <c r="N837" i="4"/>
  <c r="O837" i="4"/>
  <c r="P837" i="4"/>
  <c r="Q837" i="4"/>
  <c r="R837" i="4"/>
  <c r="S837" i="4"/>
  <c r="T837" i="4"/>
  <c r="E838" i="4"/>
  <c r="F838" i="4"/>
  <c r="G838" i="4"/>
  <c r="H838" i="4"/>
  <c r="I838" i="4"/>
  <c r="J838" i="4"/>
  <c r="K838" i="4"/>
  <c r="L838" i="4"/>
  <c r="M838" i="4"/>
  <c r="AE838" i="5" s="1"/>
  <c r="N838" i="4"/>
  <c r="O838" i="4"/>
  <c r="P838" i="4"/>
  <c r="Q838" i="4"/>
  <c r="R838" i="4"/>
  <c r="S838" i="4"/>
  <c r="T838" i="4"/>
  <c r="E839" i="4"/>
  <c r="F839" i="4"/>
  <c r="G839" i="4"/>
  <c r="H839" i="4"/>
  <c r="I839" i="4"/>
  <c r="J839" i="4"/>
  <c r="K839" i="4"/>
  <c r="L839" i="4"/>
  <c r="M839" i="4"/>
  <c r="AE839" i="5" s="1"/>
  <c r="N839" i="4"/>
  <c r="O839" i="4"/>
  <c r="P839" i="4"/>
  <c r="Q839" i="4"/>
  <c r="R839" i="4"/>
  <c r="S839" i="4"/>
  <c r="T839" i="4"/>
  <c r="E840" i="4"/>
  <c r="F840" i="4"/>
  <c r="G840" i="4"/>
  <c r="H840" i="4"/>
  <c r="I840" i="4"/>
  <c r="J840" i="4"/>
  <c r="K840" i="4"/>
  <c r="L840" i="4"/>
  <c r="M840" i="4"/>
  <c r="AE840" i="5" s="1"/>
  <c r="N840" i="4"/>
  <c r="O840" i="4"/>
  <c r="P840" i="4"/>
  <c r="Q840" i="4"/>
  <c r="R840" i="4"/>
  <c r="S840" i="4"/>
  <c r="T840" i="4"/>
  <c r="E841" i="4"/>
  <c r="F841" i="4"/>
  <c r="G841" i="4"/>
  <c r="H841" i="4"/>
  <c r="I841" i="4"/>
  <c r="J841" i="4"/>
  <c r="K841" i="4"/>
  <c r="L841" i="4"/>
  <c r="M841" i="4"/>
  <c r="AE841" i="5" s="1"/>
  <c r="N841" i="4"/>
  <c r="O841" i="4"/>
  <c r="P841" i="4"/>
  <c r="Q841" i="4"/>
  <c r="R841" i="4"/>
  <c r="S841" i="4"/>
  <c r="T841" i="4"/>
  <c r="E842" i="4"/>
  <c r="F842" i="4"/>
  <c r="G842" i="4"/>
  <c r="H842" i="4"/>
  <c r="I842" i="4"/>
  <c r="J842" i="4"/>
  <c r="K842" i="4"/>
  <c r="L842" i="4"/>
  <c r="M842" i="4"/>
  <c r="AE842" i="5" s="1"/>
  <c r="N842" i="4"/>
  <c r="O842" i="4"/>
  <c r="P842" i="4"/>
  <c r="Q842" i="4"/>
  <c r="R842" i="4"/>
  <c r="S842" i="4"/>
  <c r="T842" i="4"/>
  <c r="U842" i="4"/>
  <c r="V842" i="4"/>
  <c r="E843" i="4"/>
  <c r="F843" i="4"/>
  <c r="G843" i="4"/>
  <c r="H843" i="4"/>
  <c r="I843" i="4"/>
  <c r="J843" i="4"/>
  <c r="K843" i="4"/>
  <c r="L843" i="4"/>
  <c r="M843" i="4"/>
  <c r="AE843" i="5" s="1"/>
  <c r="N843" i="4"/>
  <c r="O843" i="4"/>
  <c r="P843" i="4"/>
  <c r="Q843" i="4"/>
  <c r="R843" i="4"/>
  <c r="S843" i="4"/>
  <c r="T843" i="4"/>
  <c r="U843" i="4"/>
  <c r="V843" i="4"/>
  <c r="E844" i="4"/>
  <c r="F844" i="4"/>
  <c r="G844" i="4"/>
  <c r="H844" i="4"/>
  <c r="I844" i="4"/>
  <c r="J844" i="4"/>
  <c r="K844" i="4"/>
  <c r="L844" i="4"/>
  <c r="M844" i="4"/>
  <c r="AE844" i="5" s="1"/>
  <c r="N844" i="4"/>
  <c r="O844" i="4"/>
  <c r="P844" i="4"/>
  <c r="Q844" i="4"/>
  <c r="R844" i="4"/>
  <c r="S844" i="4"/>
  <c r="T844" i="4"/>
  <c r="U844" i="4"/>
  <c r="V844" i="4"/>
  <c r="E845" i="4"/>
  <c r="F845" i="4"/>
  <c r="G845" i="4"/>
  <c r="H845" i="4"/>
  <c r="I845" i="4"/>
  <c r="J845" i="4"/>
  <c r="K845" i="4"/>
  <c r="L845" i="4"/>
  <c r="M845" i="4"/>
  <c r="AE845" i="5" s="1"/>
  <c r="N845" i="4"/>
  <c r="O845" i="4"/>
  <c r="P845" i="4"/>
  <c r="Q845" i="4"/>
  <c r="R845" i="4"/>
  <c r="S845" i="4"/>
  <c r="T845" i="4"/>
  <c r="U845" i="4"/>
  <c r="V845" i="4"/>
  <c r="E846" i="4"/>
  <c r="F846" i="4"/>
  <c r="G846" i="4"/>
  <c r="H846" i="4"/>
  <c r="I846" i="4"/>
  <c r="J846" i="4"/>
  <c r="K846" i="4"/>
  <c r="L846" i="4"/>
  <c r="M846" i="4"/>
  <c r="AE846" i="5" s="1"/>
  <c r="N846" i="4"/>
  <c r="O846" i="4"/>
  <c r="P846" i="4"/>
  <c r="Q846" i="4"/>
  <c r="R846" i="4"/>
  <c r="S846" i="4"/>
  <c r="T846" i="4"/>
  <c r="U846" i="4"/>
  <c r="V846" i="4"/>
  <c r="E847" i="4"/>
  <c r="F847" i="4"/>
  <c r="G847" i="4"/>
  <c r="H847" i="4"/>
  <c r="I847" i="4"/>
  <c r="J847" i="4"/>
  <c r="K847" i="4"/>
  <c r="L847" i="4"/>
  <c r="M847" i="4"/>
  <c r="AE847" i="5" s="1"/>
  <c r="N847" i="4"/>
  <c r="O847" i="4"/>
  <c r="P847" i="4"/>
  <c r="Q847" i="4"/>
  <c r="R847" i="4"/>
  <c r="S847" i="4"/>
  <c r="T847" i="4"/>
  <c r="U847" i="4"/>
  <c r="V847" i="4"/>
  <c r="E848" i="4"/>
  <c r="F848" i="4"/>
  <c r="G848" i="4"/>
  <c r="H848" i="4"/>
  <c r="I848" i="4"/>
  <c r="J848" i="4"/>
  <c r="K848" i="4"/>
  <c r="L848" i="4"/>
  <c r="M848" i="4"/>
  <c r="AE848" i="5" s="1"/>
  <c r="N848" i="4"/>
  <c r="O848" i="4"/>
  <c r="P848" i="4"/>
  <c r="Q848" i="4"/>
  <c r="R848" i="4"/>
  <c r="S848" i="4"/>
  <c r="T848" i="4"/>
  <c r="U848" i="4"/>
  <c r="V848" i="4"/>
  <c r="E849" i="4"/>
  <c r="F849" i="4"/>
  <c r="G849" i="4"/>
  <c r="H849" i="4"/>
  <c r="I849" i="4"/>
  <c r="J849" i="4"/>
  <c r="K849" i="4"/>
  <c r="L849" i="4"/>
  <c r="M849" i="4"/>
  <c r="AE849" i="5" s="1"/>
  <c r="N849" i="4"/>
  <c r="O849" i="4"/>
  <c r="P849" i="4"/>
  <c r="Q849" i="4"/>
  <c r="R849" i="4"/>
  <c r="S849" i="4"/>
  <c r="T849" i="4"/>
  <c r="U849" i="4"/>
  <c r="V849" i="4"/>
  <c r="E850" i="4"/>
  <c r="F850" i="4"/>
  <c r="G850" i="4"/>
  <c r="H850" i="4"/>
  <c r="I850" i="4"/>
  <c r="J850" i="4"/>
  <c r="K850" i="4"/>
  <c r="L850" i="4"/>
  <c r="M850" i="4"/>
  <c r="AE850" i="5" s="1"/>
  <c r="N850" i="4"/>
  <c r="O850" i="4"/>
  <c r="P850" i="4"/>
  <c r="Q850" i="4"/>
  <c r="R850" i="4"/>
  <c r="S850" i="4"/>
  <c r="T850" i="4"/>
  <c r="U850" i="4"/>
  <c r="V850" i="4"/>
  <c r="E851" i="4"/>
  <c r="F851" i="4"/>
  <c r="G851" i="4"/>
  <c r="H851" i="4"/>
  <c r="I851" i="4"/>
  <c r="J851" i="4"/>
  <c r="K851" i="4"/>
  <c r="L851" i="4"/>
  <c r="M851" i="4"/>
  <c r="AE851" i="5" s="1"/>
  <c r="N851" i="4"/>
  <c r="O851" i="4"/>
  <c r="P851" i="4"/>
  <c r="Q851" i="4"/>
  <c r="R851" i="4"/>
  <c r="S851" i="4"/>
  <c r="T851" i="4"/>
  <c r="E852" i="4"/>
  <c r="F852" i="4"/>
  <c r="G852" i="4"/>
  <c r="H852" i="4"/>
  <c r="I852" i="4"/>
  <c r="J852" i="4"/>
  <c r="K852" i="4"/>
  <c r="L852" i="4"/>
  <c r="M852" i="4"/>
  <c r="AE852" i="5" s="1"/>
  <c r="N852" i="4"/>
  <c r="O852" i="4"/>
  <c r="P852" i="4"/>
  <c r="Q852" i="4"/>
  <c r="R852" i="4"/>
  <c r="S852" i="4"/>
  <c r="T852" i="4"/>
  <c r="E853" i="4"/>
  <c r="F853" i="4"/>
  <c r="G853" i="4"/>
  <c r="H853" i="4"/>
  <c r="I853" i="4"/>
  <c r="J853" i="4"/>
  <c r="K853" i="4"/>
  <c r="L853" i="4"/>
  <c r="M853" i="4"/>
  <c r="AE853" i="5" s="1"/>
  <c r="N853" i="4"/>
  <c r="O853" i="4"/>
  <c r="P853" i="4"/>
  <c r="Q853" i="4"/>
  <c r="R853" i="4"/>
  <c r="S853" i="4"/>
  <c r="T853" i="4"/>
  <c r="E854" i="4"/>
  <c r="F854" i="4"/>
  <c r="G854" i="4"/>
  <c r="H854" i="4"/>
  <c r="I854" i="4"/>
  <c r="J854" i="4"/>
  <c r="K854" i="4"/>
  <c r="L854" i="4"/>
  <c r="M854" i="4"/>
  <c r="AE854" i="5" s="1"/>
  <c r="N854" i="4"/>
  <c r="O854" i="4"/>
  <c r="P854" i="4"/>
  <c r="Q854" i="4"/>
  <c r="R854" i="4"/>
  <c r="S854" i="4"/>
  <c r="T854" i="4"/>
  <c r="E855" i="4"/>
  <c r="F855" i="4"/>
  <c r="G855" i="4"/>
  <c r="H855" i="4"/>
  <c r="I855" i="4"/>
  <c r="J855" i="4"/>
  <c r="K855" i="4"/>
  <c r="L855" i="4"/>
  <c r="M855" i="4"/>
  <c r="AE855" i="5" s="1"/>
  <c r="N855" i="4"/>
  <c r="O855" i="4"/>
  <c r="P855" i="4"/>
  <c r="Q855" i="4"/>
  <c r="R855" i="4"/>
  <c r="S855" i="4"/>
  <c r="T855" i="4"/>
  <c r="E856" i="4"/>
  <c r="F856" i="4"/>
  <c r="G856" i="4"/>
  <c r="H856" i="4"/>
  <c r="I856" i="4"/>
  <c r="J856" i="4"/>
  <c r="K856" i="4"/>
  <c r="L856" i="4"/>
  <c r="M856" i="4"/>
  <c r="AE856" i="5" s="1"/>
  <c r="N856" i="4"/>
  <c r="O856" i="4"/>
  <c r="P856" i="4"/>
  <c r="Q856" i="4"/>
  <c r="R856" i="4"/>
  <c r="S856" i="4"/>
  <c r="T856" i="4"/>
  <c r="U856" i="4"/>
  <c r="V856" i="4"/>
  <c r="E857" i="4"/>
  <c r="F857" i="4"/>
  <c r="G857" i="4"/>
  <c r="H857" i="4"/>
  <c r="I857" i="4"/>
  <c r="J857" i="4"/>
  <c r="K857" i="4"/>
  <c r="L857" i="4"/>
  <c r="M857" i="4"/>
  <c r="AE857" i="5" s="1"/>
  <c r="N857" i="4"/>
  <c r="O857" i="4"/>
  <c r="P857" i="4"/>
  <c r="Q857" i="4"/>
  <c r="R857" i="4"/>
  <c r="S857" i="4"/>
  <c r="T857" i="4"/>
  <c r="U857" i="4"/>
  <c r="V857" i="4"/>
  <c r="E858" i="4"/>
  <c r="F858" i="4"/>
  <c r="G858" i="4"/>
  <c r="H858" i="4"/>
  <c r="I858" i="4"/>
  <c r="J858" i="4"/>
  <c r="K858" i="4"/>
  <c r="L858" i="4"/>
  <c r="M858" i="4"/>
  <c r="AE858" i="5" s="1"/>
  <c r="N858" i="4"/>
  <c r="O858" i="4"/>
  <c r="P858" i="4"/>
  <c r="Q858" i="4"/>
  <c r="R858" i="4"/>
  <c r="S858" i="4"/>
  <c r="T858" i="4"/>
  <c r="U858" i="4"/>
  <c r="V858" i="4"/>
  <c r="E859" i="4"/>
  <c r="F859" i="4"/>
  <c r="G859" i="4"/>
  <c r="H859" i="4"/>
  <c r="I859" i="4"/>
  <c r="J859" i="4"/>
  <c r="K859" i="4"/>
  <c r="L859" i="4"/>
  <c r="M859" i="4"/>
  <c r="AE859" i="5" s="1"/>
  <c r="N859" i="4"/>
  <c r="O859" i="4"/>
  <c r="P859" i="4"/>
  <c r="Q859" i="4"/>
  <c r="R859" i="4"/>
  <c r="S859" i="4"/>
  <c r="T859" i="4"/>
  <c r="U859" i="4"/>
  <c r="V859" i="4"/>
  <c r="E860" i="4"/>
  <c r="F860" i="4"/>
  <c r="G860" i="4"/>
  <c r="H860" i="4"/>
  <c r="I860" i="4"/>
  <c r="J860" i="4"/>
  <c r="K860" i="4"/>
  <c r="L860" i="4"/>
  <c r="M860" i="4"/>
  <c r="AE860" i="5" s="1"/>
  <c r="N860" i="4"/>
  <c r="O860" i="4"/>
  <c r="P860" i="4"/>
  <c r="Q860" i="4"/>
  <c r="R860" i="4"/>
  <c r="S860" i="4"/>
  <c r="T860" i="4"/>
  <c r="U860" i="4"/>
  <c r="V860" i="4"/>
  <c r="E861" i="4"/>
  <c r="F861" i="4"/>
  <c r="G861" i="4"/>
  <c r="H861" i="4"/>
  <c r="I861" i="4"/>
  <c r="J861" i="4"/>
  <c r="K861" i="4"/>
  <c r="L861" i="4"/>
  <c r="M861" i="4"/>
  <c r="AE861" i="5" s="1"/>
  <c r="N861" i="4"/>
  <c r="O861" i="4"/>
  <c r="P861" i="4"/>
  <c r="Q861" i="4"/>
  <c r="R861" i="4"/>
  <c r="S861" i="4"/>
  <c r="T861" i="4"/>
  <c r="U861" i="4"/>
  <c r="V861" i="4"/>
  <c r="E862" i="4"/>
  <c r="F862" i="4"/>
  <c r="G862" i="4"/>
  <c r="H862" i="4"/>
  <c r="I862" i="4"/>
  <c r="J862" i="4"/>
  <c r="K862" i="4"/>
  <c r="L862" i="4"/>
  <c r="M862" i="4"/>
  <c r="AE862" i="5" s="1"/>
  <c r="N862" i="4"/>
  <c r="O862" i="4"/>
  <c r="P862" i="4"/>
  <c r="Q862" i="4"/>
  <c r="R862" i="4"/>
  <c r="S862" i="4"/>
  <c r="T862" i="4"/>
  <c r="U862" i="4"/>
  <c r="V862" i="4"/>
  <c r="E863" i="4"/>
  <c r="F863" i="4"/>
  <c r="G863" i="4"/>
  <c r="H863" i="4"/>
  <c r="I863" i="4"/>
  <c r="J863" i="4"/>
  <c r="K863" i="4"/>
  <c r="L863" i="4"/>
  <c r="M863" i="4"/>
  <c r="AE863" i="5" s="1"/>
  <c r="N863" i="4"/>
  <c r="O863" i="4"/>
  <c r="P863" i="4"/>
  <c r="Q863" i="4"/>
  <c r="R863" i="4"/>
  <c r="S863" i="4"/>
  <c r="T863" i="4"/>
  <c r="U863" i="4"/>
  <c r="V863" i="4"/>
  <c r="E864" i="4"/>
  <c r="F864" i="4"/>
  <c r="G864" i="4"/>
  <c r="H864" i="4"/>
  <c r="I864" i="4"/>
  <c r="J864" i="4"/>
  <c r="K864" i="4"/>
  <c r="L864" i="4"/>
  <c r="M864" i="4"/>
  <c r="AE864" i="5" s="1"/>
  <c r="N864" i="4"/>
  <c r="O864" i="4"/>
  <c r="P864" i="4"/>
  <c r="Q864" i="4"/>
  <c r="R864" i="4"/>
  <c r="S864" i="4"/>
  <c r="T864" i="4"/>
  <c r="U864" i="4"/>
  <c r="V864" i="4"/>
  <c r="E865" i="4"/>
  <c r="F865" i="4"/>
  <c r="G865" i="4"/>
  <c r="H865" i="4"/>
  <c r="I865" i="4"/>
  <c r="J865" i="4"/>
  <c r="K865" i="4"/>
  <c r="L865" i="4"/>
  <c r="M865" i="4"/>
  <c r="AE865" i="5" s="1"/>
  <c r="N865" i="4"/>
  <c r="O865" i="4"/>
  <c r="P865" i="4"/>
  <c r="Q865" i="4"/>
  <c r="R865" i="4"/>
  <c r="S865" i="4"/>
  <c r="T865" i="4"/>
  <c r="U865" i="4"/>
  <c r="V865" i="4"/>
  <c r="E866" i="4"/>
  <c r="F866" i="4"/>
  <c r="G866" i="4"/>
  <c r="H866" i="4"/>
  <c r="I866" i="4"/>
  <c r="J866" i="4"/>
  <c r="K866" i="4"/>
  <c r="L866" i="4"/>
  <c r="M866" i="4"/>
  <c r="AE866" i="5" s="1"/>
  <c r="N866" i="4"/>
  <c r="O866" i="4"/>
  <c r="P866" i="4"/>
  <c r="Q866" i="4"/>
  <c r="R866" i="4"/>
  <c r="S866" i="4"/>
  <c r="T866" i="4"/>
  <c r="E867" i="4"/>
  <c r="F867" i="4"/>
  <c r="G867" i="4"/>
  <c r="H867" i="4"/>
  <c r="I867" i="4"/>
  <c r="J867" i="4"/>
  <c r="K867" i="4"/>
  <c r="L867" i="4"/>
  <c r="M867" i="4"/>
  <c r="AE867" i="5" s="1"/>
  <c r="N867" i="4"/>
  <c r="O867" i="4"/>
  <c r="P867" i="4"/>
  <c r="Q867" i="4"/>
  <c r="R867" i="4"/>
  <c r="S867" i="4"/>
  <c r="T867" i="4"/>
  <c r="E868" i="4"/>
  <c r="F868" i="4"/>
  <c r="G868" i="4"/>
  <c r="H868" i="4"/>
  <c r="I868" i="4"/>
  <c r="J868" i="4"/>
  <c r="K868" i="4"/>
  <c r="L868" i="4"/>
  <c r="M868" i="4"/>
  <c r="AE868" i="5" s="1"/>
  <c r="N868" i="4"/>
  <c r="O868" i="4"/>
  <c r="P868" i="4"/>
  <c r="Q868" i="4"/>
  <c r="R868" i="4"/>
  <c r="S868" i="4"/>
  <c r="T868" i="4"/>
  <c r="E869" i="4"/>
  <c r="F869" i="4"/>
  <c r="G869" i="4"/>
  <c r="H869" i="4"/>
  <c r="I869" i="4"/>
  <c r="J869" i="4"/>
  <c r="K869" i="4"/>
  <c r="L869" i="4"/>
  <c r="M869" i="4"/>
  <c r="AE869" i="5" s="1"/>
  <c r="N869" i="4"/>
  <c r="O869" i="4"/>
  <c r="P869" i="4"/>
  <c r="Q869" i="4"/>
  <c r="R869" i="4"/>
  <c r="S869" i="4"/>
  <c r="T869" i="4"/>
  <c r="E870" i="4"/>
  <c r="F870" i="4"/>
  <c r="G870" i="4"/>
  <c r="H870" i="4"/>
  <c r="I870" i="4"/>
  <c r="J870" i="4"/>
  <c r="K870" i="4"/>
  <c r="L870" i="4"/>
  <c r="M870" i="4"/>
  <c r="AE870" i="5" s="1"/>
  <c r="N870" i="4"/>
  <c r="O870" i="4"/>
  <c r="P870" i="4"/>
  <c r="Q870" i="4"/>
  <c r="R870" i="4"/>
  <c r="S870" i="4"/>
  <c r="T870" i="4"/>
  <c r="U870" i="4"/>
  <c r="V870" i="4"/>
  <c r="E871" i="4"/>
  <c r="F871" i="4"/>
  <c r="G871" i="4"/>
  <c r="H871" i="4"/>
  <c r="I871" i="4"/>
  <c r="J871" i="4"/>
  <c r="K871" i="4"/>
  <c r="L871" i="4"/>
  <c r="M871" i="4"/>
  <c r="AE871" i="5" s="1"/>
  <c r="N871" i="4"/>
  <c r="O871" i="4"/>
  <c r="P871" i="4"/>
  <c r="Q871" i="4"/>
  <c r="R871" i="4"/>
  <c r="S871" i="4"/>
  <c r="T871" i="4"/>
  <c r="U871" i="4"/>
  <c r="V871" i="4"/>
  <c r="E872" i="4"/>
  <c r="F872" i="4"/>
  <c r="G872" i="4"/>
  <c r="H872" i="4"/>
  <c r="I872" i="4"/>
  <c r="J872" i="4"/>
  <c r="K872" i="4"/>
  <c r="L872" i="4"/>
  <c r="M872" i="4"/>
  <c r="AE872" i="5" s="1"/>
  <c r="N872" i="4"/>
  <c r="O872" i="4"/>
  <c r="P872" i="4"/>
  <c r="Q872" i="4"/>
  <c r="R872" i="4"/>
  <c r="S872" i="4"/>
  <c r="T872" i="4"/>
  <c r="U872" i="4"/>
  <c r="V872" i="4"/>
  <c r="E873" i="4"/>
  <c r="F873" i="4"/>
  <c r="G873" i="4"/>
  <c r="H873" i="4"/>
  <c r="I873" i="4"/>
  <c r="J873" i="4"/>
  <c r="K873" i="4"/>
  <c r="L873" i="4"/>
  <c r="M873" i="4"/>
  <c r="AE873" i="5" s="1"/>
  <c r="N873" i="4"/>
  <c r="O873" i="4"/>
  <c r="P873" i="4"/>
  <c r="Q873" i="4"/>
  <c r="R873" i="4"/>
  <c r="S873" i="4"/>
  <c r="T873" i="4"/>
  <c r="U873" i="4"/>
  <c r="V873" i="4"/>
  <c r="E874" i="4"/>
  <c r="F874" i="4"/>
  <c r="G874" i="4"/>
  <c r="H874" i="4"/>
  <c r="I874" i="4"/>
  <c r="J874" i="4"/>
  <c r="K874" i="4"/>
  <c r="L874" i="4"/>
  <c r="M874" i="4"/>
  <c r="AE874" i="5" s="1"/>
  <c r="N874" i="4"/>
  <c r="O874" i="4"/>
  <c r="P874" i="4"/>
  <c r="Q874" i="4"/>
  <c r="R874" i="4"/>
  <c r="S874" i="4"/>
  <c r="T874" i="4"/>
  <c r="U874" i="4"/>
  <c r="V874" i="4"/>
  <c r="E875" i="4"/>
  <c r="F875" i="4"/>
  <c r="G875" i="4"/>
  <c r="H875" i="4"/>
  <c r="I875" i="4"/>
  <c r="J875" i="4"/>
  <c r="K875" i="4"/>
  <c r="L875" i="4"/>
  <c r="M875" i="4"/>
  <c r="AE875" i="5" s="1"/>
  <c r="N875" i="4"/>
  <c r="O875" i="4"/>
  <c r="P875" i="4"/>
  <c r="Q875" i="4"/>
  <c r="R875" i="4"/>
  <c r="S875" i="4"/>
  <c r="T875" i="4"/>
  <c r="U875" i="4"/>
  <c r="V875" i="4"/>
  <c r="E876" i="4"/>
  <c r="F876" i="4"/>
  <c r="G876" i="4"/>
  <c r="H876" i="4"/>
  <c r="I876" i="4"/>
  <c r="J876" i="4"/>
  <c r="K876" i="4"/>
  <c r="L876" i="4"/>
  <c r="M876" i="4"/>
  <c r="AE876" i="5" s="1"/>
  <c r="N876" i="4"/>
  <c r="O876" i="4"/>
  <c r="P876" i="4"/>
  <c r="Q876" i="4"/>
  <c r="R876" i="4"/>
  <c r="S876" i="4"/>
  <c r="T876" i="4"/>
  <c r="U876" i="4"/>
  <c r="V876" i="4"/>
  <c r="E877" i="4"/>
  <c r="F877" i="4"/>
  <c r="G877" i="4"/>
  <c r="H877" i="4"/>
  <c r="I877" i="4"/>
  <c r="J877" i="4"/>
  <c r="K877" i="4"/>
  <c r="L877" i="4"/>
  <c r="M877" i="4"/>
  <c r="AE877" i="5" s="1"/>
  <c r="N877" i="4"/>
  <c r="O877" i="4"/>
  <c r="P877" i="4"/>
  <c r="Q877" i="4"/>
  <c r="R877" i="4"/>
  <c r="S877" i="4"/>
  <c r="T877" i="4"/>
  <c r="U877" i="4"/>
  <c r="V877" i="4"/>
  <c r="E878" i="4"/>
  <c r="F878" i="4"/>
  <c r="G878" i="4"/>
  <c r="H878" i="4"/>
  <c r="I878" i="4"/>
  <c r="J878" i="4"/>
  <c r="K878" i="4"/>
  <c r="L878" i="4"/>
  <c r="M878" i="4"/>
  <c r="AE878" i="5" s="1"/>
  <c r="N878" i="4"/>
  <c r="O878" i="4"/>
  <c r="P878" i="4"/>
  <c r="Q878" i="4"/>
  <c r="R878" i="4"/>
  <c r="S878" i="4"/>
  <c r="T878" i="4"/>
  <c r="U878" i="4"/>
  <c r="V878" i="4"/>
  <c r="E879" i="4"/>
  <c r="F879" i="4"/>
  <c r="G879" i="4"/>
  <c r="H879" i="4"/>
  <c r="I879" i="4"/>
  <c r="J879" i="4"/>
  <c r="K879" i="4"/>
  <c r="L879" i="4"/>
  <c r="M879" i="4"/>
  <c r="AE879" i="5" s="1"/>
  <c r="N879" i="4"/>
  <c r="O879" i="4"/>
  <c r="P879" i="4"/>
  <c r="Q879" i="4"/>
  <c r="R879" i="4"/>
  <c r="S879" i="4"/>
  <c r="T879" i="4"/>
  <c r="U879" i="4"/>
  <c r="V879" i="4"/>
  <c r="E880" i="4"/>
  <c r="F880" i="4"/>
  <c r="G880" i="4"/>
  <c r="H880" i="4"/>
  <c r="I880" i="4"/>
  <c r="J880" i="4"/>
  <c r="K880" i="4"/>
  <c r="L880" i="4"/>
  <c r="M880" i="4"/>
  <c r="AE880" i="5" s="1"/>
  <c r="N880" i="4"/>
  <c r="O880" i="4"/>
  <c r="P880" i="4"/>
  <c r="Q880" i="4"/>
  <c r="R880" i="4"/>
  <c r="S880" i="4"/>
  <c r="T880" i="4"/>
  <c r="U880" i="4"/>
  <c r="V880" i="4"/>
  <c r="E881" i="4"/>
  <c r="F881" i="4"/>
  <c r="G881" i="4"/>
  <c r="H881" i="4"/>
  <c r="I881" i="4"/>
  <c r="J881" i="4"/>
  <c r="K881" i="4"/>
  <c r="L881" i="4"/>
  <c r="M881" i="4"/>
  <c r="AE881" i="5" s="1"/>
  <c r="N881" i="4"/>
  <c r="O881" i="4"/>
  <c r="P881" i="4"/>
  <c r="Q881" i="4"/>
  <c r="R881" i="4"/>
  <c r="S881" i="4"/>
  <c r="T881" i="4"/>
  <c r="U881" i="4"/>
  <c r="V881" i="4"/>
  <c r="E882" i="4"/>
  <c r="F882" i="4"/>
  <c r="G882" i="4"/>
  <c r="H882" i="4"/>
  <c r="I882" i="4"/>
  <c r="J882" i="4"/>
  <c r="K882" i="4"/>
  <c r="L882" i="4"/>
  <c r="M882" i="4"/>
  <c r="AE882" i="5" s="1"/>
  <c r="N882" i="4"/>
  <c r="O882" i="4"/>
  <c r="P882" i="4"/>
  <c r="Q882" i="4"/>
  <c r="R882" i="4"/>
  <c r="S882" i="4"/>
  <c r="T882" i="4"/>
  <c r="E883" i="4"/>
  <c r="F883" i="4"/>
  <c r="G883" i="4"/>
  <c r="H883" i="4"/>
  <c r="I883" i="4"/>
  <c r="J883" i="4"/>
  <c r="K883" i="4"/>
  <c r="L883" i="4"/>
  <c r="M883" i="4"/>
  <c r="AE883" i="5" s="1"/>
  <c r="N883" i="4"/>
  <c r="O883" i="4"/>
  <c r="P883" i="4"/>
  <c r="Q883" i="4"/>
  <c r="R883" i="4"/>
  <c r="S883" i="4"/>
  <c r="T883" i="4"/>
  <c r="E884" i="4"/>
  <c r="F884" i="4"/>
  <c r="G884" i="4"/>
  <c r="H884" i="4"/>
  <c r="I884" i="4"/>
  <c r="J884" i="4"/>
  <c r="K884" i="4"/>
  <c r="L884" i="4"/>
  <c r="M884" i="4"/>
  <c r="AE884" i="5" s="1"/>
  <c r="N884" i="4"/>
  <c r="O884" i="4"/>
  <c r="P884" i="4"/>
  <c r="Q884" i="4"/>
  <c r="R884" i="4"/>
  <c r="S884" i="4"/>
  <c r="T884" i="4"/>
  <c r="U884" i="4"/>
  <c r="V884" i="4"/>
  <c r="E885" i="4"/>
  <c r="F885" i="4"/>
  <c r="G885" i="4"/>
  <c r="H885" i="4"/>
  <c r="I885" i="4"/>
  <c r="J885" i="4"/>
  <c r="K885" i="4"/>
  <c r="L885" i="4"/>
  <c r="M885" i="4"/>
  <c r="AE885" i="5" s="1"/>
  <c r="N885" i="4"/>
  <c r="O885" i="4"/>
  <c r="P885" i="4"/>
  <c r="Q885" i="4"/>
  <c r="R885" i="4"/>
  <c r="S885" i="4"/>
  <c r="T885" i="4"/>
  <c r="U885" i="4"/>
  <c r="V885" i="4"/>
  <c r="E886" i="4"/>
  <c r="F886" i="4"/>
  <c r="G886" i="4"/>
  <c r="H886" i="4"/>
  <c r="I886" i="4"/>
  <c r="J886" i="4"/>
  <c r="K886" i="4"/>
  <c r="L886" i="4"/>
  <c r="M886" i="4"/>
  <c r="AE886" i="5" s="1"/>
  <c r="N886" i="4"/>
  <c r="O886" i="4"/>
  <c r="P886" i="4"/>
  <c r="Q886" i="4"/>
  <c r="R886" i="4"/>
  <c r="S886" i="4"/>
  <c r="T886" i="4"/>
  <c r="U886" i="4"/>
  <c r="V886" i="4"/>
  <c r="E887" i="4"/>
  <c r="F887" i="4"/>
  <c r="G887" i="4"/>
  <c r="H887" i="4"/>
  <c r="I887" i="4"/>
  <c r="J887" i="4"/>
  <c r="K887" i="4"/>
  <c r="L887" i="4"/>
  <c r="M887" i="4"/>
  <c r="AE887" i="5" s="1"/>
  <c r="N887" i="4"/>
  <c r="O887" i="4"/>
  <c r="P887" i="4"/>
  <c r="Q887" i="4"/>
  <c r="R887" i="4"/>
  <c r="S887" i="4"/>
  <c r="T887" i="4"/>
  <c r="U887" i="4"/>
  <c r="V887" i="4"/>
  <c r="E888" i="4"/>
  <c r="F888" i="4"/>
  <c r="G888" i="4"/>
  <c r="H888" i="4"/>
  <c r="I888" i="4"/>
  <c r="J888" i="4"/>
  <c r="K888" i="4"/>
  <c r="L888" i="4"/>
  <c r="M888" i="4"/>
  <c r="AE888" i="5" s="1"/>
  <c r="N888" i="4"/>
  <c r="O888" i="4"/>
  <c r="P888" i="4"/>
  <c r="Q888" i="4"/>
  <c r="R888" i="4"/>
  <c r="S888" i="4"/>
  <c r="T888" i="4"/>
  <c r="U888" i="4"/>
  <c r="V888" i="4"/>
  <c r="E889" i="4"/>
  <c r="F889" i="4"/>
  <c r="G889" i="4"/>
  <c r="H889" i="4"/>
  <c r="I889" i="4"/>
  <c r="J889" i="4"/>
  <c r="K889" i="4"/>
  <c r="L889" i="4"/>
  <c r="M889" i="4"/>
  <c r="AE889" i="5" s="1"/>
  <c r="N889" i="4"/>
  <c r="O889" i="4"/>
  <c r="P889" i="4"/>
  <c r="Q889" i="4"/>
  <c r="R889" i="4"/>
  <c r="S889" i="4"/>
  <c r="T889" i="4"/>
  <c r="U889" i="4"/>
  <c r="V889" i="4"/>
  <c r="E890" i="4"/>
  <c r="F890" i="4"/>
  <c r="G890" i="4"/>
  <c r="H890" i="4"/>
  <c r="I890" i="4"/>
  <c r="J890" i="4"/>
  <c r="K890" i="4"/>
  <c r="L890" i="4"/>
  <c r="M890" i="4"/>
  <c r="AE890" i="5" s="1"/>
  <c r="N890" i="4"/>
  <c r="O890" i="4"/>
  <c r="P890" i="4"/>
  <c r="Q890" i="4"/>
  <c r="R890" i="4"/>
  <c r="S890" i="4"/>
  <c r="T890" i="4"/>
  <c r="U890" i="4"/>
  <c r="V890" i="4"/>
  <c r="E891" i="4"/>
  <c r="F891" i="4"/>
  <c r="G891" i="4"/>
  <c r="H891" i="4"/>
  <c r="I891" i="4"/>
  <c r="J891" i="4"/>
  <c r="K891" i="4"/>
  <c r="L891" i="4"/>
  <c r="M891" i="4"/>
  <c r="AE891" i="5" s="1"/>
  <c r="N891" i="4"/>
  <c r="O891" i="4"/>
  <c r="P891" i="4"/>
  <c r="Q891" i="4"/>
  <c r="R891" i="4"/>
  <c r="S891" i="4"/>
  <c r="T891" i="4"/>
  <c r="U891" i="4"/>
  <c r="V891" i="4"/>
  <c r="E892" i="4"/>
  <c r="F892" i="4"/>
  <c r="G892" i="4"/>
  <c r="H892" i="4"/>
  <c r="I892" i="4"/>
  <c r="J892" i="4"/>
  <c r="K892" i="4"/>
  <c r="L892" i="4"/>
  <c r="M892" i="4"/>
  <c r="AE892" i="5" s="1"/>
  <c r="N892" i="4"/>
  <c r="O892" i="4"/>
  <c r="P892" i="4"/>
  <c r="Q892" i="4"/>
  <c r="R892" i="4"/>
  <c r="S892" i="4"/>
  <c r="T892" i="4"/>
  <c r="U892" i="4"/>
  <c r="V892" i="4"/>
  <c r="E893" i="4"/>
  <c r="F893" i="4"/>
  <c r="G893" i="4"/>
  <c r="H893" i="4"/>
  <c r="I893" i="4"/>
  <c r="J893" i="4"/>
  <c r="K893" i="4"/>
  <c r="L893" i="4"/>
  <c r="M893" i="4"/>
  <c r="AE893" i="5" s="1"/>
  <c r="N893" i="4"/>
  <c r="O893" i="4"/>
  <c r="P893" i="4"/>
  <c r="Q893" i="4"/>
  <c r="R893" i="4"/>
  <c r="S893" i="4"/>
  <c r="T893" i="4"/>
  <c r="U893" i="4"/>
  <c r="V893" i="4"/>
  <c r="E894" i="4"/>
  <c r="F894" i="4"/>
  <c r="G894" i="4"/>
  <c r="H894" i="4"/>
  <c r="I894" i="4"/>
  <c r="J894" i="4"/>
  <c r="K894" i="4"/>
  <c r="L894" i="4"/>
  <c r="M894" i="4"/>
  <c r="AE894" i="5" s="1"/>
  <c r="N894" i="4"/>
  <c r="O894" i="4"/>
  <c r="P894" i="4"/>
  <c r="Q894" i="4"/>
  <c r="R894" i="4"/>
  <c r="S894" i="4"/>
  <c r="T894" i="4"/>
  <c r="U894" i="4"/>
  <c r="V894" i="4"/>
  <c r="E895" i="4"/>
  <c r="F895" i="4"/>
  <c r="G895" i="4"/>
  <c r="H895" i="4"/>
  <c r="I895" i="4"/>
  <c r="J895" i="4"/>
  <c r="K895" i="4"/>
  <c r="L895" i="4"/>
  <c r="M895" i="4"/>
  <c r="AE895" i="5" s="1"/>
  <c r="N895" i="4"/>
  <c r="O895" i="4"/>
  <c r="P895" i="4"/>
  <c r="Q895" i="4"/>
  <c r="R895" i="4"/>
  <c r="S895" i="4"/>
  <c r="T895" i="4"/>
  <c r="U895" i="4"/>
  <c r="V895" i="4"/>
  <c r="E896" i="4"/>
  <c r="F896" i="4"/>
  <c r="G896" i="4"/>
  <c r="H896" i="4"/>
  <c r="I896" i="4"/>
  <c r="J896" i="4"/>
  <c r="K896" i="4"/>
  <c r="L896" i="4"/>
  <c r="M896" i="4"/>
  <c r="AE896" i="5" s="1"/>
  <c r="N896" i="4"/>
  <c r="O896" i="4"/>
  <c r="P896" i="4"/>
  <c r="Q896" i="4"/>
  <c r="R896" i="4"/>
  <c r="S896" i="4"/>
  <c r="T896" i="4"/>
  <c r="U896" i="4"/>
  <c r="V896" i="4"/>
  <c r="E897" i="4"/>
  <c r="F897" i="4"/>
  <c r="G897" i="4"/>
  <c r="H897" i="4"/>
  <c r="I897" i="4"/>
  <c r="J897" i="4"/>
  <c r="K897" i="4"/>
  <c r="L897" i="4"/>
  <c r="M897" i="4"/>
  <c r="AE897" i="5" s="1"/>
  <c r="N897" i="4"/>
  <c r="O897" i="4"/>
  <c r="P897" i="4"/>
  <c r="Q897" i="4"/>
  <c r="R897" i="4"/>
  <c r="S897" i="4"/>
  <c r="T897" i="4"/>
  <c r="U897" i="4"/>
  <c r="V897" i="4"/>
  <c r="E898" i="4"/>
  <c r="F898" i="4"/>
  <c r="G898" i="4"/>
  <c r="H898" i="4"/>
  <c r="I898" i="4"/>
  <c r="J898" i="4"/>
  <c r="K898" i="4"/>
  <c r="L898" i="4"/>
  <c r="M898" i="4"/>
  <c r="AE898" i="5" s="1"/>
  <c r="N898" i="4"/>
  <c r="O898" i="4"/>
  <c r="P898" i="4"/>
  <c r="Q898" i="4"/>
  <c r="R898" i="4"/>
  <c r="S898" i="4"/>
  <c r="T898" i="4"/>
  <c r="E899" i="4"/>
  <c r="F899" i="4"/>
  <c r="G899" i="4"/>
  <c r="H899" i="4"/>
  <c r="I899" i="4"/>
  <c r="J899" i="4"/>
  <c r="K899" i="4"/>
  <c r="L899" i="4"/>
  <c r="M899" i="4"/>
  <c r="AE899" i="5" s="1"/>
  <c r="N899" i="4"/>
  <c r="O899" i="4"/>
  <c r="P899" i="4"/>
  <c r="Q899" i="4"/>
  <c r="R899" i="4"/>
  <c r="S899" i="4"/>
  <c r="T899" i="4"/>
  <c r="E900" i="4"/>
  <c r="F900" i="4"/>
  <c r="G900" i="4"/>
  <c r="H900" i="4"/>
  <c r="I900" i="4"/>
  <c r="J900" i="4"/>
  <c r="K900" i="4"/>
  <c r="L900" i="4"/>
  <c r="M900" i="4"/>
  <c r="AE900" i="5" s="1"/>
  <c r="N900" i="4"/>
  <c r="O900" i="4"/>
  <c r="P900" i="4"/>
  <c r="Q900" i="4"/>
  <c r="R900" i="4"/>
  <c r="S900" i="4"/>
  <c r="T900" i="4"/>
  <c r="E901" i="4"/>
  <c r="F901" i="4"/>
  <c r="G901" i="4"/>
  <c r="H901" i="4"/>
  <c r="I901" i="4"/>
  <c r="J901" i="4"/>
  <c r="K901" i="4"/>
  <c r="L901" i="4"/>
  <c r="M901" i="4"/>
  <c r="AE901" i="5" s="1"/>
  <c r="N901" i="4"/>
  <c r="O901" i="4"/>
  <c r="P901" i="4"/>
  <c r="Q901" i="4"/>
  <c r="R901" i="4"/>
  <c r="S901" i="4"/>
  <c r="T901" i="4"/>
  <c r="E902" i="4"/>
  <c r="F902" i="4"/>
  <c r="G902" i="4"/>
  <c r="H902" i="4"/>
  <c r="I902" i="4"/>
  <c r="J902" i="4"/>
  <c r="K902" i="4"/>
  <c r="L902" i="4"/>
  <c r="M902" i="4"/>
  <c r="AE902" i="5" s="1"/>
  <c r="N902" i="4"/>
  <c r="O902" i="4"/>
  <c r="P902" i="4"/>
  <c r="Q902" i="4"/>
  <c r="R902" i="4"/>
  <c r="S902" i="4"/>
  <c r="T902" i="4"/>
  <c r="E903" i="4"/>
  <c r="F903" i="4"/>
  <c r="G903" i="4"/>
  <c r="H903" i="4"/>
  <c r="I903" i="4"/>
  <c r="J903" i="4"/>
  <c r="K903" i="4"/>
  <c r="L903" i="4"/>
  <c r="M903" i="4"/>
  <c r="AE903" i="5" s="1"/>
  <c r="N903" i="4"/>
  <c r="O903" i="4"/>
  <c r="P903" i="4"/>
  <c r="Q903" i="4"/>
  <c r="R903" i="4"/>
  <c r="S903" i="4"/>
  <c r="T903" i="4"/>
  <c r="E904" i="4"/>
  <c r="F904" i="4"/>
  <c r="G904" i="4"/>
  <c r="H904" i="4"/>
  <c r="I904" i="4"/>
  <c r="J904" i="4"/>
  <c r="K904" i="4"/>
  <c r="L904" i="4"/>
  <c r="M904" i="4"/>
  <c r="AE904" i="5" s="1"/>
  <c r="N904" i="4"/>
  <c r="O904" i="4"/>
  <c r="P904" i="4"/>
  <c r="Q904" i="4"/>
  <c r="R904" i="4"/>
  <c r="S904" i="4"/>
  <c r="T904" i="4"/>
  <c r="E905" i="4"/>
  <c r="F905" i="4"/>
  <c r="G905" i="4"/>
  <c r="H905" i="4"/>
  <c r="I905" i="4"/>
  <c r="J905" i="4"/>
  <c r="K905" i="4"/>
  <c r="L905" i="4"/>
  <c r="M905" i="4"/>
  <c r="AE905" i="5" s="1"/>
  <c r="N905" i="4"/>
  <c r="O905" i="4"/>
  <c r="P905" i="4"/>
  <c r="Q905" i="4"/>
  <c r="R905" i="4"/>
  <c r="S905" i="4"/>
  <c r="T905" i="4"/>
  <c r="E906" i="4"/>
  <c r="F906" i="4"/>
  <c r="G906" i="4"/>
  <c r="H906" i="4"/>
  <c r="I906" i="4"/>
  <c r="J906" i="4"/>
  <c r="K906" i="4"/>
  <c r="L906" i="4"/>
  <c r="M906" i="4"/>
  <c r="AE906" i="5" s="1"/>
  <c r="N906" i="4"/>
  <c r="O906" i="4"/>
  <c r="P906" i="4"/>
  <c r="Q906" i="4"/>
  <c r="R906" i="4"/>
  <c r="S906" i="4"/>
  <c r="T906" i="4"/>
  <c r="E907" i="4"/>
  <c r="F907" i="4"/>
  <c r="G907" i="4"/>
  <c r="H907" i="4"/>
  <c r="I907" i="4"/>
  <c r="J907" i="4"/>
  <c r="K907" i="4"/>
  <c r="L907" i="4"/>
  <c r="M907" i="4"/>
  <c r="AE907" i="5" s="1"/>
  <c r="N907" i="4"/>
  <c r="O907" i="4"/>
  <c r="P907" i="4"/>
  <c r="Q907" i="4"/>
  <c r="R907" i="4"/>
  <c r="S907" i="4"/>
  <c r="T907" i="4"/>
  <c r="E908" i="4"/>
  <c r="F908" i="4"/>
  <c r="G908" i="4"/>
  <c r="H908" i="4"/>
  <c r="I908" i="4"/>
  <c r="J908" i="4"/>
  <c r="K908" i="4"/>
  <c r="L908" i="4"/>
  <c r="M908" i="4"/>
  <c r="AE908" i="5" s="1"/>
  <c r="N908" i="4"/>
  <c r="O908" i="4"/>
  <c r="P908" i="4"/>
  <c r="Q908" i="4"/>
  <c r="R908" i="4"/>
  <c r="S908" i="4"/>
  <c r="T908" i="4"/>
  <c r="E909" i="4"/>
  <c r="F909" i="4"/>
  <c r="G909" i="4"/>
  <c r="H909" i="4"/>
  <c r="I909" i="4"/>
  <c r="J909" i="4"/>
  <c r="K909" i="4"/>
  <c r="L909" i="4"/>
  <c r="M909" i="4"/>
  <c r="AE909" i="5" s="1"/>
  <c r="N909" i="4"/>
  <c r="O909" i="4"/>
  <c r="P909" i="4"/>
  <c r="Q909" i="4"/>
  <c r="R909" i="4"/>
  <c r="S909" i="4"/>
  <c r="T909" i="4"/>
  <c r="E910" i="4"/>
  <c r="F910" i="4"/>
  <c r="G910" i="4"/>
  <c r="H910" i="4"/>
  <c r="I910" i="4"/>
  <c r="J910" i="4"/>
  <c r="K910" i="4"/>
  <c r="L910" i="4"/>
  <c r="M910" i="4"/>
  <c r="AE910" i="5" s="1"/>
  <c r="N910" i="4"/>
  <c r="O910" i="4"/>
  <c r="P910" i="4"/>
  <c r="Q910" i="4"/>
  <c r="R910" i="4"/>
  <c r="S910" i="4"/>
  <c r="T910" i="4"/>
  <c r="E911" i="4"/>
  <c r="F911" i="4"/>
  <c r="G911" i="4"/>
  <c r="H911" i="4"/>
  <c r="I911" i="4"/>
  <c r="J911" i="4"/>
  <c r="K911" i="4"/>
  <c r="L911" i="4"/>
  <c r="M911" i="4"/>
  <c r="AE911" i="5" s="1"/>
  <c r="N911" i="4"/>
  <c r="O911" i="4"/>
  <c r="P911" i="4"/>
  <c r="Q911" i="4"/>
  <c r="R911" i="4"/>
  <c r="S911" i="4"/>
  <c r="T911" i="4"/>
  <c r="E912" i="4"/>
  <c r="F912" i="4"/>
  <c r="G912" i="4"/>
  <c r="H912" i="4"/>
  <c r="I912" i="4"/>
  <c r="J912" i="4"/>
  <c r="K912" i="4"/>
  <c r="L912" i="4"/>
  <c r="M912" i="4"/>
  <c r="AE912" i="5" s="1"/>
  <c r="N912" i="4"/>
  <c r="O912" i="4"/>
  <c r="P912" i="4"/>
  <c r="Q912" i="4"/>
  <c r="R912" i="4"/>
  <c r="S912" i="4"/>
  <c r="T912" i="4"/>
  <c r="U912" i="4"/>
  <c r="V912" i="4"/>
  <c r="E913" i="4"/>
  <c r="F913" i="4"/>
  <c r="G913" i="4"/>
  <c r="H913" i="4"/>
  <c r="I913" i="4"/>
  <c r="J913" i="4"/>
  <c r="K913" i="4"/>
  <c r="L913" i="4"/>
  <c r="M913" i="4"/>
  <c r="AE913" i="5" s="1"/>
  <c r="N913" i="4"/>
  <c r="O913" i="4"/>
  <c r="P913" i="4"/>
  <c r="Q913" i="4"/>
  <c r="R913" i="4"/>
  <c r="S913" i="4"/>
  <c r="T913" i="4"/>
  <c r="U913" i="4"/>
  <c r="V913" i="4"/>
  <c r="E914" i="4"/>
  <c r="F914" i="4"/>
  <c r="G914" i="4"/>
  <c r="H914" i="4"/>
  <c r="I914" i="4"/>
  <c r="J914" i="4"/>
  <c r="K914" i="4"/>
  <c r="L914" i="4"/>
  <c r="M914" i="4"/>
  <c r="AE914" i="5" s="1"/>
  <c r="N914" i="4"/>
  <c r="O914" i="4"/>
  <c r="P914" i="4"/>
  <c r="Q914" i="4"/>
  <c r="R914" i="4"/>
  <c r="S914" i="4"/>
  <c r="T914" i="4"/>
  <c r="E915" i="4"/>
  <c r="F915" i="4"/>
  <c r="G915" i="4"/>
  <c r="H915" i="4"/>
  <c r="I915" i="4"/>
  <c r="J915" i="4"/>
  <c r="K915" i="4"/>
  <c r="L915" i="4"/>
  <c r="M915" i="4"/>
  <c r="AE915" i="5" s="1"/>
  <c r="N915" i="4"/>
  <c r="O915" i="4"/>
  <c r="P915" i="4"/>
  <c r="Q915" i="4"/>
  <c r="R915" i="4"/>
  <c r="S915" i="4"/>
  <c r="T915" i="4"/>
  <c r="E916" i="4"/>
  <c r="F916" i="4"/>
  <c r="G916" i="4"/>
  <c r="H916" i="4"/>
  <c r="I916" i="4"/>
  <c r="J916" i="4"/>
  <c r="K916" i="4"/>
  <c r="L916" i="4"/>
  <c r="M916" i="4"/>
  <c r="AE916" i="5" s="1"/>
  <c r="N916" i="4"/>
  <c r="O916" i="4"/>
  <c r="P916" i="4"/>
  <c r="Q916" i="4"/>
  <c r="R916" i="4"/>
  <c r="S916" i="4"/>
  <c r="T916" i="4"/>
  <c r="E917" i="4"/>
  <c r="F917" i="4"/>
  <c r="G917" i="4"/>
  <c r="H917" i="4"/>
  <c r="I917" i="4"/>
  <c r="J917" i="4"/>
  <c r="K917" i="4"/>
  <c r="L917" i="4"/>
  <c r="M917" i="4"/>
  <c r="AE917" i="5" s="1"/>
  <c r="N917" i="4"/>
  <c r="O917" i="4"/>
  <c r="P917" i="4"/>
  <c r="Q917" i="4"/>
  <c r="R917" i="4"/>
  <c r="S917" i="4"/>
  <c r="T917" i="4"/>
  <c r="U917" i="4"/>
  <c r="V917" i="4"/>
  <c r="E918" i="4"/>
  <c r="F918" i="4"/>
  <c r="G918" i="4"/>
  <c r="H918" i="4"/>
  <c r="I918" i="4"/>
  <c r="J918" i="4"/>
  <c r="K918" i="4"/>
  <c r="L918" i="4"/>
  <c r="M918" i="4"/>
  <c r="AE918" i="5" s="1"/>
  <c r="N918" i="4"/>
  <c r="O918" i="4"/>
  <c r="P918" i="4"/>
  <c r="Q918" i="4"/>
  <c r="R918" i="4"/>
  <c r="S918" i="4"/>
  <c r="T918" i="4"/>
  <c r="E919" i="4"/>
  <c r="F919" i="4"/>
  <c r="G919" i="4"/>
  <c r="H919" i="4"/>
  <c r="I919" i="4"/>
  <c r="J919" i="4"/>
  <c r="K919" i="4"/>
  <c r="L919" i="4"/>
  <c r="M919" i="4"/>
  <c r="AE919" i="5" s="1"/>
  <c r="N919" i="4"/>
  <c r="O919" i="4"/>
  <c r="P919" i="4"/>
  <c r="Q919" i="4"/>
  <c r="R919" i="4"/>
  <c r="S919" i="4"/>
  <c r="T919" i="4"/>
  <c r="E920" i="4"/>
  <c r="F920" i="4"/>
  <c r="G920" i="4"/>
  <c r="H920" i="4"/>
  <c r="I920" i="4"/>
  <c r="J920" i="4"/>
  <c r="K920" i="4"/>
  <c r="L920" i="4"/>
  <c r="M920" i="4"/>
  <c r="AE920" i="5" s="1"/>
  <c r="N920" i="4"/>
  <c r="O920" i="4"/>
  <c r="P920" i="4"/>
  <c r="Q920" i="4"/>
  <c r="R920" i="4"/>
  <c r="S920" i="4"/>
  <c r="T920" i="4"/>
  <c r="E921" i="4"/>
  <c r="F921" i="4"/>
  <c r="G921" i="4"/>
  <c r="H921" i="4"/>
  <c r="I921" i="4"/>
  <c r="J921" i="4"/>
  <c r="K921" i="4"/>
  <c r="L921" i="4"/>
  <c r="M921" i="4"/>
  <c r="AE921" i="5" s="1"/>
  <c r="N921" i="4"/>
  <c r="O921" i="4"/>
  <c r="P921" i="4"/>
  <c r="Q921" i="4"/>
  <c r="R921" i="4"/>
  <c r="S921" i="4"/>
  <c r="T921" i="4"/>
  <c r="E922" i="4"/>
  <c r="F922" i="4"/>
  <c r="G922" i="4"/>
  <c r="H922" i="4"/>
  <c r="I922" i="4"/>
  <c r="J922" i="4"/>
  <c r="K922" i="4"/>
  <c r="L922" i="4"/>
  <c r="M922" i="4"/>
  <c r="AE922" i="5" s="1"/>
  <c r="N922" i="4"/>
  <c r="O922" i="4"/>
  <c r="P922" i="4"/>
  <c r="Q922" i="4"/>
  <c r="R922" i="4"/>
  <c r="S922" i="4"/>
  <c r="T922" i="4"/>
  <c r="E923" i="4"/>
  <c r="F923" i="4"/>
  <c r="G923" i="4"/>
  <c r="H923" i="4"/>
  <c r="I923" i="4"/>
  <c r="J923" i="4"/>
  <c r="K923" i="4"/>
  <c r="L923" i="4"/>
  <c r="M923" i="4"/>
  <c r="AE923" i="5" s="1"/>
  <c r="N923" i="4"/>
  <c r="O923" i="4"/>
  <c r="P923" i="4"/>
  <c r="Q923" i="4"/>
  <c r="R923" i="4"/>
  <c r="S923" i="4"/>
  <c r="T923" i="4"/>
  <c r="E924" i="4"/>
  <c r="F924" i="4"/>
  <c r="G924" i="4"/>
  <c r="H924" i="4"/>
  <c r="I924" i="4"/>
  <c r="J924" i="4"/>
  <c r="K924" i="4"/>
  <c r="L924" i="4"/>
  <c r="M924" i="4"/>
  <c r="AE924" i="5" s="1"/>
  <c r="N924" i="4"/>
  <c r="O924" i="4"/>
  <c r="P924" i="4"/>
  <c r="Q924" i="4"/>
  <c r="R924" i="4"/>
  <c r="S924" i="4"/>
  <c r="T924" i="4"/>
  <c r="E925" i="4"/>
  <c r="F925" i="4"/>
  <c r="G925" i="4"/>
  <c r="H925" i="4"/>
  <c r="I925" i="4"/>
  <c r="J925" i="4"/>
  <c r="K925" i="4"/>
  <c r="L925" i="4"/>
  <c r="M925" i="4"/>
  <c r="AE925" i="5" s="1"/>
  <c r="N925" i="4"/>
  <c r="O925" i="4"/>
  <c r="P925" i="4"/>
  <c r="Q925" i="4"/>
  <c r="R925" i="4"/>
  <c r="S925" i="4"/>
  <c r="T925" i="4"/>
  <c r="E926" i="4"/>
  <c r="F926" i="4"/>
  <c r="G926" i="4"/>
  <c r="H926" i="4"/>
  <c r="I926" i="4"/>
  <c r="J926" i="4"/>
  <c r="K926" i="4"/>
  <c r="L926" i="4"/>
  <c r="M926" i="4"/>
  <c r="AE926" i="5" s="1"/>
  <c r="N926" i="4"/>
  <c r="O926" i="4"/>
  <c r="P926" i="4"/>
  <c r="Q926" i="4"/>
  <c r="R926" i="4"/>
  <c r="S926" i="4"/>
  <c r="T926" i="4"/>
  <c r="E927" i="4"/>
  <c r="F927" i="4"/>
  <c r="G927" i="4"/>
  <c r="H927" i="4"/>
  <c r="I927" i="4"/>
  <c r="J927" i="4"/>
  <c r="K927" i="4"/>
  <c r="L927" i="4"/>
  <c r="M927" i="4"/>
  <c r="AE927" i="5" s="1"/>
  <c r="N927" i="4"/>
  <c r="O927" i="4"/>
  <c r="P927" i="4"/>
  <c r="Q927" i="4"/>
  <c r="R927" i="4"/>
  <c r="S927" i="4"/>
  <c r="T927" i="4"/>
  <c r="E928" i="4"/>
  <c r="F928" i="4"/>
  <c r="G928" i="4"/>
  <c r="H928" i="4"/>
  <c r="I928" i="4"/>
  <c r="J928" i="4"/>
  <c r="K928" i="4"/>
  <c r="L928" i="4"/>
  <c r="M928" i="4"/>
  <c r="AE928" i="5" s="1"/>
  <c r="N928" i="4"/>
  <c r="O928" i="4"/>
  <c r="P928" i="4"/>
  <c r="Q928" i="4"/>
  <c r="R928" i="4"/>
  <c r="S928" i="4"/>
  <c r="T928" i="4"/>
  <c r="E929" i="4"/>
  <c r="F929" i="4"/>
  <c r="G929" i="4"/>
  <c r="H929" i="4"/>
  <c r="I929" i="4"/>
  <c r="J929" i="4"/>
  <c r="K929" i="4"/>
  <c r="L929" i="4"/>
  <c r="M929" i="4"/>
  <c r="AE929" i="5" s="1"/>
  <c r="N929" i="4"/>
  <c r="O929" i="4"/>
  <c r="P929" i="4"/>
  <c r="Q929" i="4"/>
  <c r="R929" i="4"/>
  <c r="S929" i="4"/>
  <c r="T929" i="4"/>
  <c r="U929" i="4"/>
  <c r="V929" i="4"/>
  <c r="E930" i="4"/>
  <c r="F930" i="4"/>
  <c r="G930" i="4"/>
  <c r="H930" i="4"/>
  <c r="I930" i="4"/>
  <c r="J930" i="4"/>
  <c r="K930" i="4"/>
  <c r="L930" i="4"/>
  <c r="M930" i="4"/>
  <c r="AE930" i="5" s="1"/>
  <c r="N930" i="4"/>
  <c r="O930" i="4"/>
  <c r="P930" i="4"/>
  <c r="Q930" i="4"/>
  <c r="R930" i="4"/>
  <c r="S930" i="4"/>
  <c r="T930" i="4"/>
  <c r="E931" i="4"/>
  <c r="F931" i="4"/>
  <c r="G931" i="4"/>
  <c r="H931" i="4"/>
  <c r="I931" i="4"/>
  <c r="J931" i="4"/>
  <c r="K931" i="4"/>
  <c r="L931" i="4"/>
  <c r="M931" i="4"/>
  <c r="AE931" i="5" s="1"/>
  <c r="N931" i="4"/>
  <c r="O931" i="4"/>
  <c r="P931" i="4"/>
  <c r="Q931" i="4"/>
  <c r="R931" i="4"/>
  <c r="S931" i="4"/>
  <c r="T931" i="4"/>
  <c r="E932" i="4"/>
  <c r="F932" i="4"/>
  <c r="G932" i="4"/>
  <c r="H932" i="4"/>
  <c r="I932" i="4"/>
  <c r="J932" i="4"/>
  <c r="K932" i="4"/>
  <c r="L932" i="4"/>
  <c r="M932" i="4"/>
  <c r="AE932" i="5" s="1"/>
  <c r="N932" i="4"/>
  <c r="O932" i="4"/>
  <c r="P932" i="4"/>
  <c r="Q932" i="4"/>
  <c r="R932" i="4"/>
  <c r="S932" i="4"/>
  <c r="T932" i="4"/>
  <c r="E933" i="4"/>
  <c r="F933" i="4"/>
  <c r="G933" i="4"/>
  <c r="H933" i="4"/>
  <c r="I933" i="4"/>
  <c r="J933" i="4"/>
  <c r="K933" i="4"/>
  <c r="L933" i="4"/>
  <c r="M933" i="4"/>
  <c r="AE933" i="5" s="1"/>
  <c r="N933" i="4"/>
  <c r="O933" i="4"/>
  <c r="P933" i="4"/>
  <c r="Q933" i="4"/>
  <c r="R933" i="4"/>
  <c r="S933" i="4"/>
  <c r="T933" i="4"/>
  <c r="E934" i="4"/>
  <c r="F934" i="4"/>
  <c r="G934" i="4"/>
  <c r="H934" i="4"/>
  <c r="I934" i="4"/>
  <c r="J934" i="4"/>
  <c r="K934" i="4"/>
  <c r="L934" i="4"/>
  <c r="M934" i="4"/>
  <c r="AE934" i="5" s="1"/>
  <c r="N934" i="4"/>
  <c r="O934" i="4"/>
  <c r="P934" i="4"/>
  <c r="Q934" i="4"/>
  <c r="R934" i="4"/>
  <c r="S934" i="4"/>
  <c r="T934" i="4"/>
  <c r="E935" i="4"/>
  <c r="F935" i="4"/>
  <c r="G935" i="4"/>
  <c r="H935" i="4"/>
  <c r="I935" i="4"/>
  <c r="J935" i="4"/>
  <c r="K935" i="4"/>
  <c r="L935" i="4"/>
  <c r="M935" i="4"/>
  <c r="AE935" i="5" s="1"/>
  <c r="N935" i="4"/>
  <c r="O935" i="4"/>
  <c r="P935" i="4"/>
  <c r="Q935" i="4"/>
  <c r="R935" i="4"/>
  <c r="S935" i="4"/>
  <c r="T935" i="4"/>
  <c r="E936" i="4"/>
  <c r="F936" i="4"/>
  <c r="G936" i="4"/>
  <c r="H936" i="4"/>
  <c r="I936" i="4"/>
  <c r="J936" i="4"/>
  <c r="K936" i="4"/>
  <c r="L936" i="4"/>
  <c r="M936" i="4"/>
  <c r="AE936" i="5" s="1"/>
  <c r="N936" i="4"/>
  <c r="O936" i="4"/>
  <c r="P936" i="4"/>
  <c r="Q936" i="4"/>
  <c r="R936" i="4"/>
  <c r="S936" i="4"/>
  <c r="T936" i="4"/>
  <c r="E937" i="4"/>
  <c r="F937" i="4"/>
  <c r="G937" i="4"/>
  <c r="H937" i="4"/>
  <c r="I937" i="4"/>
  <c r="J937" i="4"/>
  <c r="K937" i="4"/>
  <c r="L937" i="4"/>
  <c r="M937" i="4"/>
  <c r="AE937" i="5" s="1"/>
  <c r="N937" i="4"/>
  <c r="O937" i="4"/>
  <c r="P937" i="4"/>
  <c r="Q937" i="4"/>
  <c r="R937" i="4"/>
  <c r="S937" i="4"/>
  <c r="T937" i="4"/>
  <c r="E938" i="4"/>
  <c r="F938" i="4"/>
  <c r="G938" i="4"/>
  <c r="H938" i="4"/>
  <c r="I938" i="4"/>
  <c r="J938" i="4"/>
  <c r="K938" i="4"/>
  <c r="L938" i="4"/>
  <c r="M938" i="4"/>
  <c r="AE938" i="5" s="1"/>
  <c r="N938" i="4"/>
  <c r="O938" i="4"/>
  <c r="P938" i="4"/>
  <c r="Q938" i="4"/>
  <c r="R938" i="4"/>
  <c r="S938" i="4"/>
  <c r="T938" i="4"/>
  <c r="E939" i="4"/>
  <c r="F939" i="4"/>
  <c r="G939" i="4"/>
  <c r="H939" i="4"/>
  <c r="I939" i="4"/>
  <c r="J939" i="4"/>
  <c r="K939" i="4"/>
  <c r="L939" i="4"/>
  <c r="M939" i="4"/>
  <c r="AE939" i="5" s="1"/>
  <c r="N939" i="4"/>
  <c r="O939" i="4"/>
  <c r="P939" i="4"/>
  <c r="Q939" i="4"/>
  <c r="R939" i="4"/>
  <c r="S939" i="4"/>
  <c r="T939" i="4"/>
  <c r="E940" i="4"/>
  <c r="F940" i="4"/>
  <c r="G940" i="4"/>
  <c r="H940" i="4"/>
  <c r="I940" i="4"/>
  <c r="J940" i="4"/>
  <c r="K940" i="4"/>
  <c r="L940" i="4"/>
  <c r="M940" i="4"/>
  <c r="AE940" i="5" s="1"/>
  <c r="N940" i="4"/>
  <c r="O940" i="4"/>
  <c r="P940" i="4"/>
  <c r="Q940" i="4"/>
  <c r="R940" i="4"/>
  <c r="S940" i="4"/>
  <c r="T940" i="4"/>
  <c r="E941" i="4"/>
  <c r="F941" i="4"/>
  <c r="G941" i="4"/>
  <c r="H941" i="4"/>
  <c r="I941" i="4"/>
  <c r="J941" i="4"/>
  <c r="K941" i="4"/>
  <c r="L941" i="4"/>
  <c r="M941" i="4"/>
  <c r="AE941" i="5" s="1"/>
  <c r="N941" i="4"/>
  <c r="O941" i="4"/>
  <c r="P941" i="4"/>
  <c r="Q941" i="4"/>
  <c r="R941" i="4"/>
  <c r="S941" i="4"/>
  <c r="T941" i="4"/>
  <c r="E942" i="4"/>
  <c r="F942" i="4"/>
  <c r="G942" i="4"/>
  <c r="H942" i="4"/>
  <c r="I942" i="4"/>
  <c r="J942" i="4"/>
  <c r="K942" i="4"/>
  <c r="L942" i="4"/>
  <c r="M942" i="4"/>
  <c r="AE942" i="5" s="1"/>
  <c r="N942" i="4"/>
  <c r="O942" i="4"/>
  <c r="P942" i="4"/>
  <c r="Q942" i="4"/>
  <c r="R942" i="4"/>
  <c r="S942" i="4"/>
  <c r="T942" i="4"/>
  <c r="E943" i="4"/>
  <c r="F943" i="4"/>
  <c r="G943" i="4"/>
  <c r="H943" i="4"/>
  <c r="I943" i="4"/>
  <c r="J943" i="4"/>
  <c r="K943" i="4"/>
  <c r="L943" i="4"/>
  <c r="M943" i="4"/>
  <c r="AE943" i="5" s="1"/>
  <c r="N943" i="4"/>
  <c r="O943" i="4"/>
  <c r="P943" i="4"/>
  <c r="Q943" i="4"/>
  <c r="R943" i="4"/>
  <c r="S943" i="4"/>
  <c r="T943" i="4"/>
  <c r="E944" i="4"/>
  <c r="F944" i="4"/>
  <c r="G944" i="4"/>
  <c r="H944" i="4"/>
  <c r="I944" i="4"/>
  <c r="J944" i="4"/>
  <c r="K944" i="4"/>
  <c r="L944" i="4"/>
  <c r="M944" i="4"/>
  <c r="AE944" i="5" s="1"/>
  <c r="N944" i="4"/>
  <c r="O944" i="4"/>
  <c r="P944" i="4"/>
  <c r="Q944" i="4"/>
  <c r="R944" i="4"/>
  <c r="S944" i="4"/>
  <c r="T944" i="4"/>
  <c r="E945" i="4"/>
  <c r="F945" i="4"/>
  <c r="G945" i="4"/>
  <c r="H945" i="4"/>
  <c r="I945" i="4"/>
  <c r="J945" i="4"/>
  <c r="K945" i="4"/>
  <c r="L945" i="4"/>
  <c r="M945" i="4"/>
  <c r="AE945" i="5" s="1"/>
  <c r="N945" i="4"/>
  <c r="O945" i="4"/>
  <c r="P945" i="4"/>
  <c r="Q945" i="4"/>
  <c r="R945" i="4"/>
  <c r="S945" i="4"/>
  <c r="T945" i="4"/>
  <c r="E946" i="4"/>
  <c r="F946" i="4"/>
  <c r="G946" i="4"/>
  <c r="H946" i="4"/>
  <c r="I946" i="4"/>
  <c r="J946" i="4"/>
  <c r="K946" i="4"/>
  <c r="L946" i="4"/>
  <c r="M946" i="4"/>
  <c r="AE946" i="5" s="1"/>
  <c r="N946" i="4"/>
  <c r="O946" i="4"/>
  <c r="P946" i="4"/>
  <c r="Q946" i="4"/>
  <c r="R946" i="4"/>
  <c r="S946" i="4"/>
  <c r="T946" i="4"/>
  <c r="U946" i="4"/>
  <c r="V946" i="4"/>
  <c r="E947" i="4"/>
  <c r="F947" i="4"/>
  <c r="G947" i="4"/>
  <c r="H947" i="4"/>
  <c r="I947" i="4"/>
  <c r="J947" i="4"/>
  <c r="K947" i="4"/>
  <c r="L947" i="4"/>
  <c r="M947" i="4"/>
  <c r="AE947" i="5" s="1"/>
  <c r="N947" i="4"/>
  <c r="O947" i="4"/>
  <c r="P947" i="4"/>
  <c r="Q947" i="4"/>
  <c r="R947" i="4"/>
  <c r="S947" i="4"/>
  <c r="T947" i="4"/>
  <c r="E948" i="4"/>
  <c r="F948" i="4"/>
  <c r="G948" i="4"/>
  <c r="H948" i="4"/>
  <c r="I948" i="4"/>
  <c r="J948" i="4"/>
  <c r="K948" i="4"/>
  <c r="L948" i="4"/>
  <c r="M948" i="4"/>
  <c r="AE948" i="5" s="1"/>
  <c r="N948" i="4"/>
  <c r="O948" i="4"/>
  <c r="P948" i="4"/>
  <c r="Q948" i="4"/>
  <c r="R948" i="4"/>
  <c r="S948" i="4"/>
  <c r="T948" i="4"/>
  <c r="E949" i="4"/>
  <c r="F949" i="4"/>
  <c r="G949" i="4"/>
  <c r="H949" i="4"/>
  <c r="I949" i="4"/>
  <c r="J949" i="4"/>
  <c r="K949" i="4"/>
  <c r="L949" i="4"/>
  <c r="M949" i="4"/>
  <c r="AE949" i="5" s="1"/>
  <c r="N949" i="4"/>
  <c r="O949" i="4"/>
  <c r="P949" i="4"/>
  <c r="Q949" i="4"/>
  <c r="R949" i="4"/>
  <c r="S949" i="4"/>
  <c r="T949" i="4"/>
  <c r="E950" i="4"/>
  <c r="F950" i="4"/>
  <c r="G950" i="4"/>
  <c r="H950" i="4"/>
  <c r="I950" i="4"/>
  <c r="J950" i="4"/>
  <c r="K950" i="4"/>
  <c r="L950" i="4"/>
  <c r="M950" i="4"/>
  <c r="AE950" i="5" s="1"/>
  <c r="N950" i="4"/>
  <c r="O950" i="4"/>
  <c r="P950" i="4"/>
  <c r="Q950" i="4"/>
  <c r="R950" i="4"/>
  <c r="S950" i="4"/>
  <c r="T950" i="4"/>
  <c r="E951" i="4"/>
  <c r="F951" i="4"/>
  <c r="G951" i="4"/>
  <c r="H951" i="4"/>
  <c r="I951" i="4"/>
  <c r="J951" i="4"/>
  <c r="K951" i="4"/>
  <c r="L951" i="4"/>
  <c r="M951" i="4"/>
  <c r="AE951" i="5" s="1"/>
  <c r="N951" i="4"/>
  <c r="O951" i="4"/>
  <c r="P951" i="4"/>
  <c r="Q951" i="4"/>
  <c r="R951" i="4"/>
  <c r="S951" i="4"/>
  <c r="T951" i="4"/>
  <c r="E952" i="4"/>
  <c r="F952" i="4"/>
  <c r="G952" i="4"/>
  <c r="H952" i="4"/>
  <c r="I952" i="4"/>
  <c r="J952" i="4"/>
  <c r="K952" i="4"/>
  <c r="L952" i="4"/>
  <c r="M952" i="4"/>
  <c r="AE952" i="5" s="1"/>
  <c r="N952" i="4"/>
  <c r="O952" i="4"/>
  <c r="P952" i="4"/>
  <c r="Q952" i="4"/>
  <c r="R952" i="4"/>
  <c r="S952" i="4"/>
  <c r="T952" i="4"/>
  <c r="E953" i="4"/>
  <c r="F953" i="4"/>
  <c r="G953" i="4"/>
  <c r="H953" i="4"/>
  <c r="I953" i="4"/>
  <c r="J953" i="4"/>
  <c r="K953" i="4"/>
  <c r="L953" i="4"/>
  <c r="M953" i="4"/>
  <c r="AE953" i="5" s="1"/>
  <c r="N953" i="4"/>
  <c r="O953" i="4"/>
  <c r="P953" i="4"/>
  <c r="Q953" i="4"/>
  <c r="R953" i="4"/>
  <c r="S953" i="4"/>
  <c r="T953" i="4"/>
  <c r="E954" i="4"/>
  <c r="F954" i="4"/>
  <c r="G954" i="4"/>
  <c r="H954" i="4"/>
  <c r="I954" i="4"/>
  <c r="J954" i="4"/>
  <c r="K954" i="4"/>
  <c r="L954" i="4"/>
  <c r="M954" i="4"/>
  <c r="AE954" i="5" s="1"/>
  <c r="N954" i="4"/>
  <c r="O954" i="4"/>
  <c r="P954" i="4"/>
  <c r="Q954" i="4"/>
  <c r="R954" i="4"/>
  <c r="S954" i="4"/>
  <c r="T954" i="4"/>
  <c r="E955" i="4"/>
  <c r="F955" i="4"/>
  <c r="G955" i="4"/>
  <c r="H955" i="4"/>
  <c r="I955" i="4"/>
  <c r="J955" i="4"/>
  <c r="K955" i="4"/>
  <c r="L955" i="4"/>
  <c r="M955" i="4"/>
  <c r="AE955" i="5" s="1"/>
  <c r="N955" i="4"/>
  <c r="O955" i="4"/>
  <c r="P955" i="4"/>
  <c r="Q955" i="4"/>
  <c r="R955" i="4"/>
  <c r="S955" i="4"/>
  <c r="T955" i="4"/>
  <c r="E956" i="4"/>
  <c r="F956" i="4"/>
  <c r="G956" i="4"/>
  <c r="H956" i="4"/>
  <c r="I956" i="4"/>
  <c r="J956" i="4"/>
  <c r="K956" i="4"/>
  <c r="L956" i="4"/>
  <c r="M956" i="4"/>
  <c r="AE956" i="5" s="1"/>
  <c r="N956" i="4"/>
  <c r="O956" i="4"/>
  <c r="P956" i="4"/>
  <c r="Q956" i="4"/>
  <c r="R956" i="4"/>
  <c r="S956" i="4"/>
  <c r="T956" i="4"/>
  <c r="E957" i="4"/>
  <c r="F957" i="4"/>
  <c r="G957" i="4"/>
  <c r="H957" i="4"/>
  <c r="I957" i="4"/>
  <c r="J957" i="4"/>
  <c r="K957" i="4"/>
  <c r="L957" i="4"/>
  <c r="M957" i="4"/>
  <c r="AE957" i="5" s="1"/>
  <c r="N957" i="4"/>
  <c r="O957" i="4"/>
  <c r="P957" i="4"/>
  <c r="Q957" i="4"/>
  <c r="R957" i="4"/>
  <c r="S957" i="4"/>
  <c r="T957" i="4"/>
  <c r="E958" i="4"/>
  <c r="F958" i="4"/>
  <c r="G958" i="4"/>
  <c r="H958" i="4"/>
  <c r="I958" i="4"/>
  <c r="J958" i="4"/>
  <c r="K958" i="4"/>
  <c r="L958" i="4"/>
  <c r="M958" i="4"/>
  <c r="AE958" i="5" s="1"/>
  <c r="N958" i="4"/>
  <c r="O958" i="4"/>
  <c r="P958" i="4"/>
  <c r="Q958" i="4"/>
  <c r="R958" i="4"/>
  <c r="S958" i="4"/>
  <c r="T958" i="4"/>
  <c r="E959" i="4"/>
  <c r="F959" i="4"/>
  <c r="G959" i="4"/>
  <c r="H959" i="4"/>
  <c r="I959" i="4"/>
  <c r="J959" i="4"/>
  <c r="K959" i="4"/>
  <c r="L959" i="4"/>
  <c r="M959" i="4"/>
  <c r="AE959" i="5" s="1"/>
  <c r="N959" i="4"/>
  <c r="O959" i="4"/>
  <c r="P959" i="4"/>
  <c r="Q959" i="4"/>
  <c r="R959" i="4"/>
  <c r="S959" i="4"/>
  <c r="T959" i="4"/>
  <c r="E960" i="4"/>
  <c r="F960" i="4"/>
  <c r="G960" i="4"/>
  <c r="H960" i="4"/>
  <c r="I960" i="4"/>
  <c r="J960" i="4"/>
  <c r="K960" i="4"/>
  <c r="L960" i="4"/>
  <c r="M960" i="4"/>
  <c r="AE960" i="5" s="1"/>
  <c r="N960" i="4"/>
  <c r="O960" i="4"/>
  <c r="P960" i="4"/>
  <c r="Q960" i="4"/>
  <c r="R960" i="4"/>
  <c r="S960" i="4"/>
  <c r="T960" i="4"/>
  <c r="E961" i="4"/>
  <c r="F961" i="4"/>
  <c r="G961" i="4"/>
  <c r="H961" i="4"/>
  <c r="I961" i="4"/>
  <c r="J961" i="4"/>
  <c r="K961" i="4"/>
  <c r="L961" i="4"/>
  <c r="M961" i="4"/>
  <c r="AE961" i="5" s="1"/>
  <c r="N961" i="4"/>
  <c r="O961" i="4"/>
  <c r="P961" i="4"/>
  <c r="Q961" i="4"/>
  <c r="R961" i="4"/>
  <c r="S961" i="4"/>
  <c r="T961" i="4"/>
  <c r="U961" i="4"/>
  <c r="V961" i="4"/>
  <c r="E962" i="4"/>
  <c r="F962" i="4"/>
  <c r="G962" i="4"/>
  <c r="H962" i="4"/>
  <c r="I962" i="4"/>
  <c r="J962" i="4"/>
  <c r="K962" i="4"/>
  <c r="L962" i="4"/>
  <c r="M962" i="4"/>
  <c r="AE962" i="5" s="1"/>
  <c r="N962" i="4"/>
  <c r="O962" i="4"/>
  <c r="P962" i="4"/>
  <c r="Q962" i="4"/>
  <c r="R962" i="4"/>
  <c r="S962" i="4"/>
  <c r="T962" i="4"/>
  <c r="E963" i="4"/>
  <c r="F963" i="4"/>
  <c r="G963" i="4"/>
  <c r="H963" i="4"/>
  <c r="I963" i="4"/>
  <c r="J963" i="4"/>
  <c r="K963" i="4"/>
  <c r="L963" i="4"/>
  <c r="M963" i="4"/>
  <c r="AE963" i="5" s="1"/>
  <c r="N963" i="4"/>
  <c r="O963" i="4"/>
  <c r="P963" i="4"/>
  <c r="Q963" i="4"/>
  <c r="R963" i="4"/>
  <c r="S963" i="4"/>
  <c r="T963" i="4"/>
  <c r="E964" i="4"/>
  <c r="F964" i="4"/>
  <c r="G964" i="4"/>
  <c r="H964" i="4"/>
  <c r="I964" i="4"/>
  <c r="J964" i="4"/>
  <c r="K964" i="4"/>
  <c r="L964" i="4"/>
  <c r="M964" i="4"/>
  <c r="AE964" i="5" s="1"/>
  <c r="N964" i="4"/>
  <c r="O964" i="4"/>
  <c r="P964" i="4"/>
  <c r="Q964" i="4"/>
  <c r="R964" i="4"/>
  <c r="S964" i="4"/>
  <c r="T964" i="4"/>
  <c r="E965" i="4"/>
  <c r="F965" i="4"/>
  <c r="G965" i="4"/>
  <c r="H965" i="4"/>
  <c r="I965" i="4"/>
  <c r="J965" i="4"/>
  <c r="K965" i="4"/>
  <c r="L965" i="4"/>
  <c r="M965" i="4"/>
  <c r="AE965" i="5" s="1"/>
  <c r="N965" i="4"/>
  <c r="O965" i="4"/>
  <c r="P965" i="4"/>
  <c r="Q965" i="4"/>
  <c r="R965" i="4"/>
  <c r="S965" i="4"/>
  <c r="T965" i="4"/>
  <c r="U965" i="4"/>
  <c r="V965" i="4"/>
  <c r="E966" i="4"/>
  <c r="F966" i="4"/>
  <c r="G966" i="4"/>
  <c r="H966" i="4"/>
  <c r="I966" i="4"/>
  <c r="J966" i="4"/>
  <c r="K966" i="4"/>
  <c r="L966" i="4"/>
  <c r="M966" i="4"/>
  <c r="AE966" i="5" s="1"/>
  <c r="N966" i="4"/>
  <c r="O966" i="4"/>
  <c r="P966" i="4"/>
  <c r="Q966" i="4"/>
  <c r="R966" i="4"/>
  <c r="S966" i="4"/>
  <c r="T966" i="4"/>
  <c r="E967" i="4"/>
  <c r="F967" i="4"/>
  <c r="G967" i="4"/>
  <c r="H967" i="4"/>
  <c r="I967" i="4"/>
  <c r="J967" i="4"/>
  <c r="K967" i="4"/>
  <c r="L967" i="4"/>
  <c r="M967" i="4"/>
  <c r="AE967" i="5" s="1"/>
  <c r="N967" i="4"/>
  <c r="O967" i="4"/>
  <c r="P967" i="4"/>
  <c r="Q967" i="4"/>
  <c r="R967" i="4"/>
  <c r="S967" i="4"/>
  <c r="T967" i="4"/>
  <c r="E968" i="4"/>
  <c r="F968" i="4"/>
  <c r="G968" i="4"/>
  <c r="H968" i="4"/>
  <c r="I968" i="4"/>
  <c r="J968" i="4"/>
  <c r="K968" i="4"/>
  <c r="L968" i="4"/>
  <c r="M968" i="4"/>
  <c r="AE968" i="5" s="1"/>
  <c r="N968" i="4"/>
  <c r="O968" i="4"/>
  <c r="P968" i="4"/>
  <c r="Q968" i="4"/>
  <c r="R968" i="4"/>
  <c r="S968" i="4"/>
  <c r="T968" i="4"/>
  <c r="E969" i="4"/>
  <c r="F969" i="4"/>
  <c r="G969" i="4"/>
  <c r="H969" i="4"/>
  <c r="I969" i="4"/>
  <c r="J969" i="4"/>
  <c r="K969" i="4"/>
  <c r="L969" i="4"/>
  <c r="M969" i="4"/>
  <c r="AE969" i="5" s="1"/>
  <c r="N969" i="4"/>
  <c r="O969" i="4"/>
  <c r="P969" i="4"/>
  <c r="Q969" i="4"/>
  <c r="R969" i="4"/>
  <c r="S969" i="4"/>
  <c r="T969" i="4"/>
  <c r="E970" i="4"/>
  <c r="F970" i="4"/>
  <c r="G970" i="4"/>
  <c r="H970" i="4"/>
  <c r="I970" i="4"/>
  <c r="J970" i="4"/>
  <c r="K970" i="4"/>
  <c r="L970" i="4"/>
  <c r="M970" i="4"/>
  <c r="AE970" i="5" s="1"/>
  <c r="N970" i="4"/>
  <c r="O970" i="4"/>
  <c r="P970" i="4"/>
  <c r="Q970" i="4"/>
  <c r="R970" i="4"/>
  <c r="S970" i="4"/>
  <c r="T970" i="4"/>
  <c r="E971" i="4"/>
  <c r="F971" i="4"/>
  <c r="G971" i="4"/>
  <c r="H971" i="4"/>
  <c r="I971" i="4"/>
  <c r="J971" i="4"/>
  <c r="K971" i="4"/>
  <c r="L971" i="4"/>
  <c r="M971" i="4"/>
  <c r="AE971" i="5" s="1"/>
  <c r="N971" i="4"/>
  <c r="O971" i="4"/>
  <c r="P971" i="4"/>
  <c r="Q971" i="4"/>
  <c r="R971" i="4"/>
  <c r="S971" i="4"/>
  <c r="T971" i="4"/>
  <c r="E972" i="4"/>
  <c r="F972" i="4"/>
  <c r="G972" i="4"/>
  <c r="H972" i="4"/>
  <c r="I972" i="4"/>
  <c r="J972" i="4"/>
  <c r="K972" i="4"/>
  <c r="L972" i="4"/>
  <c r="M972" i="4"/>
  <c r="AE972" i="5" s="1"/>
  <c r="N972" i="4"/>
  <c r="O972" i="4"/>
  <c r="P972" i="4"/>
  <c r="Q972" i="4"/>
  <c r="R972" i="4"/>
  <c r="S972" i="4"/>
  <c r="T972" i="4"/>
  <c r="E973" i="4"/>
  <c r="F973" i="4"/>
  <c r="G973" i="4"/>
  <c r="H973" i="4"/>
  <c r="I973" i="4"/>
  <c r="J973" i="4"/>
  <c r="K973" i="4"/>
  <c r="L973" i="4"/>
  <c r="M973" i="4"/>
  <c r="AE973" i="5" s="1"/>
  <c r="N973" i="4"/>
  <c r="O973" i="4"/>
  <c r="P973" i="4"/>
  <c r="Q973" i="4"/>
  <c r="R973" i="4"/>
  <c r="S973" i="4"/>
  <c r="T973" i="4"/>
  <c r="E974" i="4"/>
  <c r="F974" i="4"/>
  <c r="G974" i="4"/>
  <c r="H974" i="4"/>
  <c r="I974" i="4"/>
  <c r="J974" i="4"/>
  <c r="K974" i="4"/>
  <c r="L974" i="4"/>
  <c r="M974" i="4"/>
  <c r="AE974" i="5" s="1"/>
  <c r="N974" i="4"/>
  <c r="O974" i="4"/>
  <c r="P974" i="4"/>
  <c r="Q974" i="4"/>
  <c r="R974" i="4"/>
  <c r="S974" i="4"/>
  <c r="T974" i="4"/>
  <c r="E975" i="4"/>
  <c r="F975" i="4"/>
  <c r="G975" i="4"/>
  <c r="H975" i="4"/>
  <c r="I975" i="4"/>
  <c r="J975" i="4"/>
  <c r="K975" i="4"/>
  <c r="L975" i="4"/>
  <c r="M975" i="4"/>
  <c r="AE975" i="5" s="1"/>
  <c r="N975" i="4"/>
  <c r="O975" i="4"/>
  <c r="P975" i="4"/>
  <c r="Q975" i="4"/>
  <c r="R975" i="4"/>
  <c r="S975" i="4"/>
  <c r="T975" i="4"/>
  <c r="U975" i="4"/>
  <c r="V975" i="4"/>
  <c r="E976" i="4"/>
  <c r="F976" i="4"/>
  <c r="G976" i="4"/>
  <c r="H976" i="4"/>
  <c r="I976" i="4"/>
  <c r="J976" i="4"/>
  <c r="K976" i="4"/>
  <c r="L976" i="4"/>
  <c r="M976" i="4"/>
  <c r="AE976" i="5" s="1"/>
  <c r="N976" i="4"/>
  <c r="O976" i="4"/>
  <c r="P976" i="4"/>
  <c r="Q976" i="4"/>
  <c r="R976" i="4"/>
  <c r="S976" i="4"/>
  <c r="T976" i="4"/>
  <c r="U976" i="4"/>
  <c r="V976" i="4"/>
  <c r="E977" i="4"/>
  <c r="F977" i="4"/>
  <c r="G977" i="4"/>
  <c r="H977" i="4"/>
  <c r="I977" i="4"/>
  <c r="J977" i="4"/>
  <c r="K977" i="4"/>
  <c r="L977" i="4"/>
  <c r="M977" i="4"/>
  <c r="AE977" i="5" s="1"/>
  <c r="N977" i="4"/>
  <c r="O977" i="4"/>
  <c r="P977" i="4"/>
  <c r="Q977" i="4"/>
  <c r="R977" i="4"/>
  <c r="S977" i="4"/>
  <c r="T977" i="4"/>
  <c r="U977" i="4"/>
  <c r="V977" i="4"/>
  <c r="E978" i="4"/>
  <c r="F978" i="4"/>
  <c r="G978" i="4"/>
  <c r="H978" i="4"/>
  <c r="I978" i="4"/>
  <c r="J978" i="4"/>
  <c r="K978" i="4"/>
  <c r="L978" i="4"/>
  <c r="M978" i="4"/>
  <c r="AE978" i="5" s="1"/>
  <c r="N978" i="4"/>
  <c r="O978" i="4"/>
  <c r="P978" i="4"/>
  <c r="Q978" i="4"/>
  <c r="R978" i="4"/>
  <c r="S978" i="4"/>
  <c r="T978" i="4"/>
  <c r="U978" i="4"/>
  <c r="V978" i="4"/>
  <c r="E979" i="4"/>
  <c r="F979" i="4"/>
  <c r="G979" i="4"/>
  <c r="H979" i="4"/>
  <c r="I979" i="4"/>
  <c r="J979" i="4"/>
  <c r="K979" i="4"/>
  <c r="L979" i="4"/>
  <c r="M979" i="4"/>
  <c r="AE979" i="5" s="1"/>
  <c r="N979" i="4"/>
  <c r="O979" i="4"/>
  <c r="P979" i="4"/>
  <c r="Q979" i="4"/>
  <c r="R979" i="4"/>
  <c r="S979" i="4"/>
  <c r="T979" i="4"/>
  <c r="E980" i="4"/>
  <c r="F980" i="4"/>
  <c r="G980" i="4"/>
  <c r="H980" i="4"/>
  <c r="I980" i="4"/>
  <c r="J980" i="4"/>
  <c r="K980" i="4"/>
  <c r="L980" i="4"/>
  <c r="M980" i="4"/>
  <c r="AE980" i="5" s="1"/>
  <c r="N980" i="4"/>
  <c r="O980" i="4"/>
  <c r="P980" i="4"/>
  <c r="Q980" i="4"/>
  <c r="R980" i="4"/>
  <c r="S980" i="4"/>
  <c r="T980" i="4"/>
  <c r="E981" i="4"/>
  <c r="F981" i="4"/>
  <c r="G981" i="4"/>
  <c r="H981" i="4"/>
  <c r="I981" i="4"/>
  <c r="J981" i="4"/>
  <c r="K981" i="4"/>
  <c r="L981" i="4"/>
  <c r="M981" i="4"/>
  <c r="AE981" i="5" s="1"/>
  <c r="N981" i="4"/>
  <c r="O981" i="4"/>
  <c r="P981" i="4"/>
  <c r="Q981" i="4"/>
  <c r="R981" i="4"/>
  <c r="S981" i="4"/>
  <c r="T981" i="4"/>
  <c r="E982" i="4"/>
  <c r="F982" i="4"/>
  <c r="G982" i="4"/>
  <c r="H982" i="4"/>
  <c r="I982" i="4"/>
  <c r="J982" i="4"/>
  <c r="K982" i="4"/>
  <c r="L982" i="4"/>
  <c r="M982" i="4"/>
  <c r="AE982" i="5" s="1"/>
  <c r="N982" i="4"/>
  <c r="O982" i="4"/>
  <c r="P982" i="4"/>
  <c r="Q982" i="4"/>
  <c r="R982" i="4"/>
  <c r="S982" i="4"/>
  <c r="T982" i="4"/>
  <c r="E983" i="4"/>
  <c r="F983" i="4"/>
  <c r="G983" i="4"/>
  <c r="H983" i="4"/>
  <c r="I983" i="4"/>
  <c r="J983" i="4"/>
  <c r="K983" i="4"/>
  <c r="L983" i="4"/>
  <c r="M983" i="4"/>
  <c r="AE983" i="5" s="1"/>
  <c r="N983" i="4"/>
  <c r="O983" i="4"/>
  <c r="P983" i="4"/>
  <c r="Q983" i="4"/>
  <c r="R983" i="4"/>
  <c r="S983" i="4"/>
  <c r="T983" i="4"/>
  <c r="E984" i="4"/>
  <c r="F984" i="4"/>
  <c r="G984" i="4"/>
  <c r="H984" i="4"/>
  <c r="I984" i="4"/>
  <c r="J984" i="4"/>
  <c r="K984" i="4"/>
  <c r="L984" i="4"/>
  <c r="M984" i="4"/>
  <c r="AE984" i="5" s="1"/>
  <c r="N984" i="4"/>
  <c r="O984" i="4"/>
  <c r="P984" i="4"/>
  <c r="Q984" i="4"/>
  <c r="R984" i="4"/>
  <c r="S984" i="4"/>
  <c r="T984" i="4"/>
  <c r="E985" i="4"/>
  <c r="F985" i="4"/>
  <c r="G985" i="4"/>
  <c r="H985" i="4"/>
  <c r="I985" i="4"/>
  <c r="J985" i="4"/>
  <c r="K985" i="4"/>
  <c r="L985" i="4"/>
  <c r="M985" i="4"/>
  <c r="AE985" i="5" s="1"/>
  <c r="N985" i="4"/>
  <c r="O985" i="4"/>
  <c r="P985" i="4"/>
  <c r="Q985" i="4"/>
  <c r="R985" i="4"/>
  <c r="S985" i="4"/>
  <c r="T985" i="4"/>
  <c r="E986" i="4"/>
  <c r="F986" i="4"/>
  <c r="G986" i="4"/>
  <c r="H986" i="4"/>
  <c r="I986" i="4"/>
  <c r="J986" i="4"/>
  <c r="K986" i="4"/>
  <c r="L986" i="4"/>
  <c r="M986" i="4"/>
  <c r="AE986" i="5" s="1"/>
  <c r="N986" i="4"/>
  <c r="O986" i="4"/>
  <c r="P986" i="4"/>
  <c r="Q986" i="4"/>
  <c r="R986" i="4"/>
  <c r="S986" i="4"/>
  <c r="T986" i="4"/>
  <c r="E987" i="4"/>
  <c r="F987" i="4"/>
  <c r="G987" i="4"/>
  <c r="H987" i="4"/>
  <c r="I987" i="4"/>
  <c r="J987" i="4"/>
  <c r="K987" i="4"/>
  <c r="L987" i="4"/>
  <c r="M987" i="4"/>
  <c r="AE987" i="5" s="1"/>
  <c r="N987" i="4"/>
  <c r="O987" i="4"/>
  <c r="P987" i="4"/>
  <c r="Q987" i="4"/>
  <c r="R987" i="4"/>
  <c r="S987" i="4"/>
  <c r="T987" i="4"/>
  <c r="E988" i="4"/>
  <c r="F988" i="4"/>
  <c r="G988" i="4"/>
  <c r="H988" i="4"/>
  <c r="I988" i="4"/>
  <c r="J988" i="4"/>
  <c r="K988" i="4"/>
  <c r="L988" i="4"/>
  <c r="M988" i="4"/>
  <c r="AE988" i="5" s="1"/>
  <c r="N988" i="4"/>
  <c r="O988" i="4"/>
  <c r="P988" i="4"/>
  <c r="Q988" i="4"/>
  <c r="R988" i="4"/>
  <c r="S988" i="4"/>
  <c r="T988" i="4"/>
  <c r="U988" i="4"/>
  <c r="V988" i="4"/>
  <c r="E989" i="4"/>
  <c r="F989" i="4"/>
  <c r="G989" i="4"/>
  <c r="H989" i="4"/>
  <c r="I989" i="4"/>
  <c r="J989" i="4"/>
  <c r="K989" i="4"/>
  <c r="L989" i="4"/>
  <c r="M989" i="4"/>
  <c r="AE989" i="5" s="1"/>
  <c r="N989" i="4"/>
  <c r="O989" i="4"/>
  <c r="P989" i="4"/>
  <c r="Q989" i="4"/>
  <c r="R989" i="4"/>
  <c r="S989" i="4"/>
  <c r="T989" i="4"/>
  <c r="U989" i="4"/>
  <c r="V989" i="4"/>
  <c r="E990" i="4"/>
  <c r="F990" i="4"/>
  <c r="G990" i="4"/>
  <c r="H990" i="4"/>
  <c r="I990" i="4"/>
  <c r="J990" i="4"/>
  <c r="K990" i="4"/>
  <c r="L990" i="4"/>
  <c r="M990" i="4"/>
  <c r="AE990" i="5" s="1"/>
  <c r="N990" i="4"/>
  <c r="O990" i="4"/>
  <c r="P990" i="4"/>
  <c r="Q990" i="4"/>
  <c r="R990" i="4"/>
  <c r="S990" i="4"/>
  <c r="T990" i="4"/>
  <c r="U990" i="4"/>
  <c r="V990" i="4"/>
  <c r="E991" i="4"/>
  <c r="F991" i="4"/>
  <c r="G991" i="4"/>
  <c r="H991" i="4"/>
  <c r="I991" i="4"/>
  <c r="J991" i="4"/>
  <c r="K991" i="4"/>
  <c r="L991" i="4"/>
  <c r="M991" i="4"/>
  <c r="AE991" i="5" s="1"/>
  <c r="N991" i="4"/>
  <c r="O991" i="4"/>
  <c r="P991" i="4"/>
  <c r="Q991" i="4"/>
  <c r="R991" i="4"/>
  <c r="S991" i="4"/>
  <c r="T991" i="4"/>
  <c r="U991" i="4"/>
  <c r="V991" i="4"/>
  <c r="E992" i="4"/>
  <c r="F992" i="4"/>
  <c r="G992" i="4"/>
  <c r="H992" i="4"/>
  <c r="I992" i="4"/>
  <c r="J992" i="4"/>
  <c r="K992" i="4"/>
  <c r="L992" i="4"/>
  <c r="M992" i="4"/>
  <c r="AE992" i="5" s="1"/>
  <c r="N992" i="4"/>
  <c r="O992" i="4"/>
  <c r="P992" i="4"/>
  <c r="Q992" i="4"/>
  <c r="R992" i="4"/>
  <c r="S992" i="4"/>
  <c r="T992" i="4"/>
  <c r="U992" i="4"/>
  <c r="V992" i="4"/>
  <c r="E993" i="4"/>
  <c r="F993" i="4"/>
  <c r="G993" i="4"/>
  <c r="H993" i="4"/>
  <c r="I993" i="4"/>
  <c r="J993" i="4"/>
  <c r="K993" i="4"/>
  <c r="L993" i="4"/>
  <c r="M993" i="4"/>
  <c r="AE993" i="5" s="1"/>
  <c r="N993" i="4"/>
  <c r="O993" i="4"/>
  <c r="P993" i="4"/>
  <c r="Q993" i="4"/>
  <c r="R993" i="4"/>
  <c r="S993" i="4"/>
  <c r="T993" i="4"/>
  <c r="U993" i="4"/>
  <c r="V993" i="4"/>
  <c r="E994" i="4"/>
  <c r="F994" i="4"/>
  <c r="G994" i="4"/>
  <c r="H994" i="4"/>
  <c r="I994" i="4"/>
  <c r="J994" i="4"/>
  <c r="K994" i="4"/>
  <c r="L994" i="4"/>
  <c r="M994" i="4"/>
  <c r="AE994" i="5" s="1"/>
  <c r="N994" i="4"/>
  <c r="O994" i="4"/>
  <c r="P994" i="4"/>
  <c r="Q994" i="4"/>
  <c r="R994" i="4"/>
  <c r="S994" i="4"/>
  <c r="T994" i="4"/>
  <c r="U994" i="4"/>
  <c r="V994" i="4"/>
  <c r="E995" i="4"/>
  <c r="F995" i="4"/>
  <c r="G995" i="4"/>
  <c r="H995" i="4"/>
  <c r="I995" i="4"/>
  <c r="J995" i="4"/>
  <c r="K995" i="4"/>
  <c r="L995" i="4"/>
  <c r="M995" i="4"/>
  <c r="AE995" i="5" s="1"/>
  <c r="N995" i="4"/>
  <c r="O995" i="4"/>
  <c r="P995" i="4"/>
  <c r="Q995" i="4"/>
  <c r="R995" i="4"/>
  <c r="S995" i="4"/>
  <c r="T995" i="4"/>
  <c r="E996" i="4"/>
  <c r="F996" i="4"/>
  <c r="G996" i="4"/>
  <c r="H996" i="4"/>
  <c r="I996" i="4"/>
  <c r="J996" i="4"/>
  <c r="K996" i="4"/>
  <c r="L996" i="4"/>
  <c r="M996" i="4"/>
  <c r="AE996" i="5" s="1"/>
  <c r="N996" i="4"/>
  <c r="O996" i="4"/>
  <c r="P996" i="4"/>
  <c r="Q996" i="4"/>
  <c r="R996" i="4"/>
  <c r="S996" i="4"/>
  <c r="T996" i="4"/>
  <c r="E997" i="4"/>
  <c r="F997" i="4"/>
  <c r="G997" i="4"/>
  <c r="H997" i="4"/>
  <c r="I997" i="4"/>
  <c r="J997" i="4"/>
  <c r="K997" i="4"/>
  <c r="L997" i="4"/>
  <c r="M997" i="4"/>
  <c r="AE997" i="5" s="1"/>
  <c r="N997" i="4"/>
  <c r="O997" i="4"/>
  <c r="P997" i="4"/>
  <c r="Q997" i="4"/>
  <c r="R997" i="4"/>
  <c r="S997" i="4"/>
  <c r="T997" i="4"/>
  <c r="E998" i="4"/>
  <c r="F998" i="4"/>
  <c r="G998" i="4"/>
  <c r="H998" i="4"/>
  <c r="I998" i="4"/>
  <c r="J998" i="4"/>
  <c r="K998" i="4"/>
  <c r="L998" i="4"/>
  <c r="M998" i="4"/>
  <c r="AE998" i="5" s="1"/>
  <c r="N998" i="4"/>
  <c r="O998" i="4"/>
  <c r="P998" i="4"/>
  <c r="Q998" i="4"/>
  <c r="R998" i="4"/>
  <c r="S998" i="4"/>
  <c r="T998" i="4"/>
  <c r="U998" i="4"/>
  <c r="V998" i="4"/>
  <c r="E999" i="4"/>
  <c r="F999" i="4"/>
  <c r="G999" i="4"/>
  <c r="H999" i="4"/>
  <c r="I999" i="4"/>
  <c r="J999" i="4"/>
  <c r="K999" i="4"/>
  <c r="L999" i="4"/>
  <c r="M999" i="4"/>
  <c r="AE999" i="5" s="1"/>
  <c r="N999" i="4"/>
  <c r="O999" i="4"/>
  <c r="P999" i="4"/>
  <c r="Q999" i="4"/>
  <c r="R999" i="4"/>
  <c r="S999" i="4"/>
  <c r="T999" i="4"/>
  <c r="E1000" i="4"/>
  <c r="F1000" i="4"/>
  <c r="G1000" i="4"/>
  <c r="H1000" i="4"/>
  <c r="I1000" i="4"/>
  <c r="J1000" i="4"/>
  <c r="K1000" i="4"/>
  <c r="L1000" i="4"/>
  <c r="M1000" i="4"/>
  <c r="AE1000" i="5" s="1"/>
  <c r="N1000" i="4"/>
  <c r="O1000" i="4"/>
  <c r="P1000" i="4"/>
  <c r="Q1000" i="4"/>
  <c r="R1000" i="4"/>
  <c r="S1000" i="4"/>
  <c r="T1000" i="4"/>
  <c r="E1001" i="4"/>
  <c r="F1001" i="4"/>
  <c r="G1001" i="4"/>
  <c r="H1001" i="4"/>
  <c r="I1001" i="4"/>
  <c r="J1001" i="4"/>
  <c r="K1001" i="4"/>
  <c r="L1001" i="4"/>
  <c r="M1001" i="4"/>
  <c r="AE1001" i="5" s="1"/>
  <c r="N1001" i="4"/>
  <c r="O1001" i="4"/>
  <c r="P1001" i="4"/>
  <c r="Q1001" i="4"/>
  <c r="R1001" i="4"/>
  <c r="S1001" i="4"/>
  <c r="T1001" i="4"/>
  <c r="E1002" i="4"/>
  <c r="F1002" i="4"/>
  <c r="G1002" i="4"/>
  <c r="H1002" i="4"/>
  <c r="I1002" i="4"/>
  <c r="J1002" i="4"/>
  <c r="K1002" i="4"/>
  <c r="L1002" i="4"/>
  <c r="M1002" i="4"/>
  <c r="AE1002" i="5" s="1"/>
  <c r="N1002" i="4"/>
  <c r="O1002" i="4"/>
  <c r="P1002" i="4"/>
  <c r="Q1002" i="4"/>
  <c r="R1002" i="4"/>
  <c r="S1002" i="4"/>
  <c r="T1002" i="4"/>
  <c r="E1003" i="4"/>
  <c r="F1003" i="4"/>
  <c r="G1003" i="4"/>
  <c r="H1003" i="4"/>
  <c r="I1003" i="4"/>
  <c r="J1003" i="4"/>
  <c r="K1003" i="4"/>
  <c r="L1003" i="4"/>
  <c r="M1003" i="4"/>
  <c r="AE1003" i="5" s="1"/>
  <c r="N1003" i="4"/>
  <c r="O1003" i="4"/>
  <c r="P1003" i="4"/>
  <c r="Q1003" i="4"/>
  <c r="R1003" i="4"/>
  <c r="S1003" i="4"/>
  <c r="T1003" i="4"/>
  <c r="E1004" i="4"/>
  <c r="F1004" i="4"/>
  <c r="G1004" i="4"/>
  <c r="H1004" i="4"/>
  <c r="I1004" i="4"/>
  <c r="J1004" i="4"/>
  <c r="K1004" i="4"/>
  <c r="L1004" i="4"/>
  <c r="M1004" i="4"/>
  <c r="AE1004" i="5" s="1"/>
  <c r="N1004" i="4"/>
  <c r="O1004" i="4"/>
  <c r="P1004" i="4"/>
  <c r="Q1004" i="4"/>
  <c r="R1004" i="4"/>
  <c r="S1004" i="4"/>
  <c r="T1004" i="4"/>
  <c r="U1004" i="4"/>
  <c r="V1004" i="4"/>
  <c r="E1005" i="4"/>
  <c r="F1005" i="4"/>
  <c r="G1005" i="4"/>
  <c r="H1005" i="4"/>
  <c r="I1005" i="4"/>
  <c r="J1005" i="4"/>
  <c r="K1005" i="4"/>
  <c r="L1005" i="4"/>
  <c r="M1005" i="4"/>
  <c r="AE1005" i="5" s="1"/>
  <c r="N1005" i="4"/>
  <c r="O1005" i="4"/>
  <c r="P1005" i="4"/>
  <c r="Q1005" i="4"/>
  <c r="R1005" i="4"/>
  <c r="S1005" i="4"/>
  <c r="T1005" i="4"/>
  <c r="E1006" i="4"/>
  <c r="F1006" i="4"/>
  <c r="G1006" i="4"/>
  <c r="H1006" i="4"/>
  <c r="I1006" i="4"/>
  <c r="J1006" i="4"/>
  <c r="K1006" i="4"/>
  <c r="L1006" i="4"/>
  <c r="M1006" i="4"/>
  <c r="AE1006" i="5" s="1"/>
  <c r="N1006" i="4"/>
  <c r="O1006" i="4"/>
  <c r="P1006" i="4"/>
  <c r="Q1006" i="4"/>
  <c r="R1006" i="4"/>
  <c r="S1006" i="4"/>
  <c r="T1006" i="4"/>
  <c r="E1007" i="4"/>
  <c r="F1007" i="4"/>
  <c r="G1007" i="4"/>
  <c r="H1007" i="4"/>
  <c r="I1007" i="4"/>
  <c r="J1007" i="4"/>
  <c r="K1007" i="4"/>
  <c r="L1007" i="4"/>
  <c r="M1007" i="4"/>
  <c r="AE1007" i="5" s="1"/>
  <c r="N1007" i="4"/>
  <c r="O1007" i="4"/>
  <c r="P1007" i="4"/>
  <c r="Q1007" i="4"/>
  <c r="R1007" i="4"/>
  <c r="S1007" i="4"/>
  <c r="T1007" i="4"/>
  <c r="E1008" i="4"/>
  <c r="F1008" i="4"/>
  <c r="G1008" i="4"/>
  <c r="H1008" i="4"/>
  <c r="I1008" i="4"/>
  <c r="J1008" i="4"/>
  <c r="K1008" i="4"/>
  <c r="L1008" i="4"/>
  <c r="M1008" i="4"/>
  <c r="AE1008" i="5" s="1"/>
  <c r="N1008" i="4"/>
  <c r="O1008" i="4"/>
  <c r="P1008" i="4"/>
  <c r="Q1008" i="4"/>
  <c r="R1008" i="4"/>
  <c r="S1008" i="4"/>
  <c r="T1008" i="4"/>
  <c r="E1009" i="4"/>
  <c r="F1009" i="4"/>
  <c r="G1009" i="4"/>
  <c r="H1009" i="4"/>
  <c r="I1009" i="4"/>
  <c r="J1009" i="4"/>
  <c r="K1009" i="4"/>
  <c r="L1009" i="4"/>
  <c r="M1009" i="4"/>
  <c r="AE1009" i="5" s="1"/>
  <c r="N1009" i="4"/>
  <c r="O1009" i="4"/>
  <c r="P1009" i="4"/>
  <c r="Q1009" i="4"/>
  <c r="R1009" i="4"/>
  <c r="S1009" i="4"/>
  <c r="T1009" i="4"/>
  <c r="U1009" i="4"/>
  <c r="V1009" i="4"/>
  <c r="E1010" i="4"/>
  <c r="F1010" i="4"/>
  <c r="G1010" i="4"/>
  <c r="H1010" i="4"/>
  <c r="I1010" i="4"/>
  <c r="J1010" i="4"/>
  <c r="K1010" i="4"/>
  <c r="L1010" i="4"/>
  <c r="M1010" i="4"/>
  <c r="AE1010" i="5" s="1"/>
  <c r="N1010" i="4"/>
  <c r="O1010" i="4"/>
  <c r="P1010" i="4"/>
  <c r="Q1010" i="4"/>
  <c r="R1010" i="4"/>
  <c r="S1010" i="4"/>
  <c r="T1010" i="4"/>
  <c r="U1010" i="4"/>
  <c r="V1010" i="4"/>
  <c r="E1011" i="4"/>
  <c r="F1011" i="4"/>
  <c r="G1011" i="4"/>
  <c r="H1011" i="4"/>
  <c r="I1011" i="4"/>
  <c r="J1011" i="4"/>
  <c r="K1011" i="4"/>
  <c r="L1011" i="4"/>
  <c r="M1011" i="4"/>
  <c r="AE1011" i="5" s="1"/>
  <c r="N1011" i="4"/>
  <c r="O1011" i="4"/>
  <c r="P1011" i="4"/>
  <c r="Q1011" i="4"/>
  <c r="R1011" i="4"/>
  <c r="S1011" i="4"/>
  <c r="T1011" i="4"/>
  <c r="E1012" i="4"/>
  <c r="F1012" i="4"/>
  <c r="G1012" i="4"/>
  <c r="H1012" i="4"/>
  <c r="I1012" i="4"/>
  <c r="J1012" i="4"/>
  <c r="K1012" i="4"/>
  <c r="L1012" i="4"/>
  <c r="M1012" i="4"/>
  <c r="AE1012" i="5" s="1"/>
  <c r="N1012" i="4"/>
  <c r="O1012" i="4"/>
  <c r="P1012" i="4"/>
  <c r="Q1012" i="4"/>
  <c r="R1012" i="4"/>
  <c r="S1012" i="4"/>
  <c r="T1012" i="4"/>
  <c r="E1013" i="4"/>
  <c r="F1013" i="4"/>
  <c r="G1013" i="4"/>
  <c r="H1013" i="4"/>
  <c r="I1013" i="4"/>
  <c r="J1013" i="4"/>
  <c r="K1013" i="4"/>
  <c r="L1013" i="4"/>
  <c r="M1013" i="4"/>
  <c r="AE1013" i="5" s="1"/>
  <c r="N1013" i="4"/>
  <c r="O1013" i="4"/>
  <c r="P1013" i="4"/>
  <c r="Q1013" i="4"/>
  <c r="R1013" i="4"/>
  <c r="S1013" i="4"/>
  <c r="T1013" i="4"/>
  <c r="E1014" i="4"/>
  <c r="F1014" i="4"/>
  <c r="G1014" i="4"/>
  <c r="H1014" i="4"/>
  <c r="I1014" i="4"/>
  <c r="J1014" i="4"/>
  <c r="K1014" i="4"/>
  <c r="L1014" i="4"/>
  <c r="M1014" i="4"/>
  <c r="AE1014" i="5" s="1"/>
  <c r="N1014" i="4"/>
  <c r="O1014" i="4"/>
  <c r="P1014" i="4"/>
  <c r="Q1014" i="4"/>
  <c r="R1014" i="4"/>
  <c r="S1014" i="4"/>
  <c r="T1014" i="4"/>
  <c r="E1015" i="4"/>
  <c r="F1015" i="4"/>
  <c r="G1015" i="4"/>
  <c r="H1015" i="4"/>
  <c r="I1015" i="4"/>
  <c r="J1015" i="4"/>
  <c r="K1015" i="4"/>
  <c r="L1015" i="4"/>
  <c r="M1015" i="4"/>
  <c r="AE1015" i="5" s="1"/>
  <c r="N1015" i="4"/>
  <c r="O1015" i="4"/>
  <c r="P1015" i="4"/>
  <c r="Q1015" i="4"/>
  <c r="R1015" i="4"/>
  <c r="S1015" i="4"/>
  <c r="T1015" i="4"/>
  <c r="E1016" i="4"/>
  <c r="F1016" i="4"/>
  <c r="G1016" i="4"/>
  <c r="H1016" i="4"/>
  <c r="I1016" i="4"/>
  <c r="J1016" i="4"/>
  <c r="K1016" i="4"/>
  <c r="L1016" i="4"/>
  <c r="M1016" i="4"/>
  <c r="AE1016" i="5" s="1"/>
  <c r="N1016" i="4"/>
  <c r="O1016" i="4"/>
  <c r="P1016" i="4"/>
  <c r="Q1016" i="4"/>
  <c r="R1016" i="4"/>
  <c r="S1016" i="4"/>
  <c r="T1016" i="4"/>
  <c r="E1017" i="4"/>
  <c r="F1017" i="4"/>
  <c r="G1017" i="4"/>
  <c r="H1017" i="4"/>
  <c r="I1017" i="4"/>
  <c r="J1017" i="4"/>
  <c r="K1017" i="4"/>
  <c r="L1017" i="4"/>
  <c r="M1017" i="4"/>
  <c r="AE1017" i="5" s="1"/>
  <c r="N1017" i="4"/>
  <c r="O1017" i="4"/>
  <c r="P1017" i="4"/>
  <c r="Q1017" i="4"/>
  <c r="R1017" i="4"/>
  <c r="S1017" i="4"/>
  <c r="T1017" i="4"/>
  <c r="E1018" i="4"/>
  <c r="F1018" i="4"/>
  <c r="G1018" i="4"/>
  <c r="H1018" i="4"/>
  <c r="I1018" i="4"/>
  <c r="J1018" i="4"/>
  <c r="K1018" i="4"/>
  <c r="L1018" i="4"/>
  <c r="M1018" i="4"/>
  <c r="AE1018" i="5" s="1"/>
  <c r="N1018" i="4"/>
  <c r="O1018" i="4"/>
  <c r="P1018" i="4"/>
  <c r="Q1018" i="4"/>
  <c r="R1018" i="4"/>
  <c r="S1018" i="4"/>
  <c r="T1018" i="4"/>
  <c r="E1019" i="4"/>
  <c r="F1019" i="4"/>
  <c r="G1019" i="4"/>
  <c r="H1019" i="4"/>
  <c r="I1019" i="4"/>
  <c r="J1019" i="4"/>
  <c r="K1019" i="4"/>
  <c r="L1019" i="4"/>
  <c r="M1019" i="4"/>
  <c r="AE1019" i="5" s="1"/>
  <c r="N1019" i="4"/>
  <c r="O1019" i="4"/>
  <c r="P1019" i="4"/>
  <c r="Q1019" i="4"/>
  <c r="R1019" i="4"/>
  <c r="S1019" i="4"/>
  <c r="T1019" i="4"/>
  <c r="U1019" i="4"/>
  <c r="V1019" i="4"/>
  <c r="E1020" i="4"/>
  <c r="F1020" i="4"/>
  <c r="G1020" i="4"/>
  <c r="H1020" i="4"/>
  <c r="I1020" i="4"/>
  <c r="J1020" i="4"/>
  <c r="K1020" i="4"/>
  <c r="L1020" i="4"/>
  <c r="M1020" i="4"/>
  <c r="AE1020" i="5" s="1"/>
  <c r="N1020" i="4"/>
  <c r="O1020" i="4"/>
  <c r="P1020" i="4"/>
  <c r="Q1020" i="4"/>
  <c r="R1020" i="4"/>
  <c r="S1020" i="4"/>
  <c r="T1020" i="4"/>
  <c r="U1020" i="4"/>
  <c r="V1020" i="4"/>
  <c r="E1021" i="4"/>
  <c r="F1021" i="4"/>
  <c r="G1021" i="4"/>
  <c r="H1021" i="4"/>
  <c r="I1021" i="4"/>
  <c r="J1021" i="4"/>
  <c r="K1021" i="4"/>
  <c r="L1021" i="4"/>
  <c r="M1021" i="4"/>
  <c r="AE1021" i="5" s="1"/>
  <c r="N1021" i="4"/>
  <c r="O1021" i="4"/>
  <c r="P1021" i="4"/>
  <c r="Q1021" i="4"/>
  <c r="R1021" i="4"/>
  <c r="S1021" i="4"/>
  <c r="T1021" i="4"/>
  <c r="U1021" i="4"/>
  <c r="V1021" i="4"/>
  <c r="E1022" i="4"/>
  <c r="F1022" i="4"/>
  <c r="G1022" i="4"/>
  <c r="H1022" i="4"/>
  <c r="I1022" i="4"/>
  <c r="J1022" i="4"/>
  <c r="K1022" i="4"/>
  <c r="L1022" i="4"/>
  <c r="M1022" i="4"/>
  <c r="AE1022" i="5" s="1"/>
  <c r="N1022" i="4"/>
  <c r="O1022" i="4"/>
  <c r="P1022" i="4"/>
  <c r="Q1022" i="4"/>
  <c r="R1022" i="4"/>
  <c r="S1022" i="4"/>
  <c r="T1022" i="4"/>
  <c r="U1022" i="4"/>
  <c r="V1022" i="4"/>
  <c r="E1023" i="4"/>
  <c r="F1023" i="4"/>
  <c r="G1023" i="4"/>
  <c r="H1023" i="4"/>
  <c r="I1023" i="4"/>
  <c r="J1023" i="4"/>
  <c r="K1023" i="4"/>
  <c r="L1023" i="4"/>
  <c r="M1023" i="4"/>
  <c r="AE1023" i="5" s="1"/>
  <c r="N1023" i="4"/>
  <c r="O1023" i="4"/>
  <c r="P1023" i="4"/>
  <c r="Q1023" i="4"/>
  <c r="R1023" i="4"/>
  <c r="S1023" i="4"/>
  <c r="T1023" i="4"/>
  <c r="U1023" i="4"/>
  <c r="V1023" i="4"/>
  <c r="E1024" i="4"/>
  <c r="F1024" i="4"/>
  <c r="G1024" i="4"/>
  <c r="H1024" i="4"/>
  <c r="I1024" i="4"/>
  <c r="J1024" i="4"/>
  <c r="K1024" i="4"/>
  <c r="L1024" i="4"/>
  <c r="M1024" i="4"/>
  <c r="AE1024" i="5" s="1"/>
  <c r="N1024" i="4"/>
  <c r="O1024" i="4"/>
  <c r="P1024" i="4"/>
  <c r="Q1024" i="4"/>
  <c r="R1024" i="4"/>
  <c r="S1024" i="4"/>
  <c r="T1024" i="4"/>
  <c r="U1024" i="4"/>
  <c r="V1024" i="4"/>
  <c r="E1025" i="4"/>
  <c r="F1025" i="4"/>
  <c r="G1025" i="4"/>
  <c r="H1025" i="4"/>
  <c r="I1025" i="4"/>
  <c r="J1025" i="4"/>
  <c r="K1025" i="4"/>
  <c r="L1025" i="4"/>
  <c r="M1025" i="4"/>
  <c r="AE1025" i="5" s="1"/>
  <c r="N1025" i="4"/>
  <c r="O1025" i="4"/>
  <c r="P1025" i="4"/>
  <c r="Q1025" i="4"/>
  <c r="R1025" i="4"/>
  <c r="S1025" i="4"/>
  <c r="T1025" i="4"/>
  <c r="U1025" i="4"/>
  <c r="V1025" i="4"/>
  <c r="E1026" i="4"/>
  <c r="F1026" i="4"/>
  <c r="G1026" i="4"/>
  <c r="H1026" i="4"/>
  <c r="I1026" i="4"/>
  <c r="J1026" i="4"/>
  <c r="K1026" i="4"/>
  <c r="L1026" i="4"/>
  <c r="M1026" i="4"/>
  <c r="AE1026" i="5" s="1"/>
  <c r="N1026" i="4"/>
  <c r="O1026" i="4"/>
  <c r="P1026" i="4"/>
  <c r="Q1026" i="4"/>
  <c r="R1026" i="4"/>
  <c r="S1026" i="4"/>
  <c r="T1026" i="4"/>
  <c r="U1026" i="4"/>
  <c r="V1026" i="4"/>
  <c r="E1027" i="4"/>
  <c r="F1027" i="4"/>
  <c r="G1027" i="4"/>
  <c r="H1027" i="4"/>
  <c r="I1027" i="4"/>
  <c r="J1027" i="4"/>
  <c r="K1027" i="4"/>
  <c r="L1027" i="4"/>
  <c r="M1027" i="4"/>
  <c r="AE1027" i="5" s="1"/>
  <c r="N1027" i="4"/>
  <c r="O1027" i="4"/>
  <c r="P1027" i="4"/>
  <c r="Q1027" i="4"/>
  <c r="R1027" i="4"/>
  <c r="S1027" i="4"/>
  <c r="T1027" i="4"/>
  <c r="E1028" i="4"/>
  <c r="F1028" i="4"/>
  <c r="G1028" i="4"/>
  <c r="H1028" i="4"/>
  <c r="I1028" i="4"/>
  <c r="J1028" i="4"/>
  <c r="K1028" i="4"/>
  <c r="L1028" i="4"/>
  <c r="M1028" i="4"/>
  <c r="AE1028" i="5" s="1"/>
  <c r="N1028" i="4"/>
  <c r="O1028" i="4"/>
  <c r="P1028" i="4"/>
  <c r="Q1028" i="4"/>
  <c r="R1028" i="4"/>
  <c r="S1028" i="4"/>
  <c r="T1028" i="4"/>
  <c r="E1029" i="4"/>
  <c r="F1029" i="4"/>
  <c r="G1029" i="4"/>
  <c r="H1029" i="4"/>
  <c r="I1029" i="4"/>
  <c r="J1029" i="4"/>
  <c r="K1029" i="4"/>
  <c r="L1029" i="4"/>
  <c r="M1029" i="4"/>
  <c r="AE1029" i="5" s="1"/>
  <c r="N1029" i="4"/>
  <c r="O1029" i="4"/>
  <c r="P1029" i="4"/>
  <c r="Q1029" i="4"/>
  <c r="R1029" i="4"/>
  <c r="S1029" i="4"/>
  <c r="T1029" i="4"/>
  <c r="E1030" i="4"/>
  <c r="F1030" i="4"/>
  <c r="G1030" i="4"/>
  <c r="H1030" i="4"/>
  <c r="I1030" i="4"/>
  <c r="J1030" i="4"/>
  <c r="K1030" i="4"/>
  <c r="L1030" i="4"/>
  <c r="M1030" i="4"/>
  <c r="AE1030" i="5" s="1"/>
  <c r="N1030" i="4"/>
  <c r="O1030" i="4"/>
  <c r="P1030" i="4"/>
  <c r="Q1030" i="4"/>
  <c r="R1030" i="4"/>
  <c r="S1030" i="4"/>
  <c r="T1030" i="4"/>
  <c r="E1031" i="4"/>
  <c r="F1031" i="4"/>
  <c r="G1031" i="4"/>
  <c r="H1031" i="4"/>
  <c r="I1031" i="4"/>
  <c r="J1031" i="4"/>
  <c r="K1031" i="4"/>
  <c r="L1031" i="4"/>
  <c r="M1031" i="4"/>
  <c r="AE1031" i="5" s="1"/>
  <c r="N1031" i="4"/>
  <c r="O1031" i="4"/>
  <c r="P1031" i="4"/>
  <c r="Q1031" i="4"/>
  <c r="R1031" i="4"/>
  <c r="S1031" i="4"/>
  <c r="T1031" i="4"/>
  <c r="E1032" i="4"/>
  <c r="F1032" i="4"/>
  <c r="G1032" i="4"/>
  <c r="H1032" i="4"/>
  <c r="I1032" i="4"/>
  <c r="J1032" i="4"/>
  <c r="K1032" i="4"/>
  <c r="L1032" i="4"/>
  <c r="M1032" i="4"/>
  <c r="AE1032" i="5" s="1"/>
  <c r="N1032" i="4"/>
  <c r="O1032" i="4"/>
  <c r="P1032" i="4"/>
  <c r="Q1032" i="4"/>
  <c r="R1032" i="4"/>
  <c r="S1032" i="4"/>
  <c r="T1032" i="4"/>
  <c r="E1033" i="4"/>
  <c r="F1033" i="4"/>
  <c r="G1033" i="4"/>
  <c r="H1033" i="4"/>
  <c r="I1033" i="4"/>
  <c r="J1033" i="4"/>
  <c r="K1033" i="4"/>
  <c r="L1033" i="4"/>
  <c r="M1033" i="4"/>
  <c r="AE1033" i="5" s="1"/>
  <c r="N1033" i="4"/>
  <c r="O1033" i="4"/>
  <c r="P1033" i="4"/>
  <c r="Q1033" i="4"/>
  <c r="R1033" i="4"/>
  <c r="S1033" i="4"/>
  <c r="T1033" i="4"/>
  <c r="E1034" i="4"/>
  <c r="F1034" i="4"/>
  <c r="G1034" i="4"/>
  <c r="H1034" i="4"/>
  <c r="I1034" i="4"/>
  <c r="J1034" i="4"/>
  <c r="K1034" i="4"/>
  <c r="L1034" i="4"/>
  <c r="M1034" i="4"/>
  <c r="AE1034" i="5" s="1"/>
  <c r="N1034" i="4"/>
  <c r="O1034" i="4"/>
  <c r="P1034" i="4"/>
  <c r="Q1034" i="4"/>
  <c r="R1034" i="4"/>
  <c r="S1034" i="4"/>
  <c r="T1034" i="4"/>
  <c r="E1035" i="4"/>
  <c r="F1035" i="4"/>
  <c r="G1035" i="4"/>
  <c r="H1035" i="4"/>
  <c r="I1035" i="4"/>
  <c r="J1035" i="4"/>
  <c r="K1035" i="4"/>
  <c r="L1035" i="4"/>
  <c r="M1035" i="4"/>
  <c r="AE1035" i="5" s="1"/>
  <c r="N1035" i="4"/>
  <c r="O1035" i="4"/>
  <c r="P1035" i="4"/>
  <c r="Q1035" i="4"/>
  <c r="R1035" i="4"/>
  <c r="S1035" i="4"/>
  <c r="T1035" i="4"/>
  <c r="E1036" i="4"/>
  <c r="F1036" i="4"/>
  <c r="G1036" i="4"/>
  <c r="H1036" i="4"/>
  <c r="I1036" i="4"/>
  <c r="J1036" i="4"/>
  <c r="K1036" i="4"/>
  <c r="L1036" i="4"/>
  <c r="M1036" i="4"/>
  <c r="AE1036" i="5" s="1"/>
  <c r="N1036" i="4"/>
  <c r="O1036" i="4"/>
  <c r="P1036" i="4"/>
  <c r="Q1036" i="4"/>
  <c r="R1036" i="4"/>
  <c r="S1036" i="4"/>
  <c r="T1036" i="4"/>
  <c r="E1037" i="4"/>
  <c r="F1037" i="4"/>
  <c r="G1037" i="4"/>
  <c r="H1037" i="4"/>
  <c r="I1037" i="4"/>
  <c r="J1037" i="4"/>
  <c r="K1037" i="4"/>
  <c r="L1037" i="4"/>
  <c r="M1037" i="4"/>
  <c r="AE1037" i="5" s="1"/>
  <c r="N1037" i="4"/>
  <c r="O1037" i="4"/>
  <c r="P1037" i="4"/>
  <c r="Q1037" i="4"/>
  <c r="R1037" i="4"/>
  <c r="S1037" i="4"/>
  <c r="T1037" i="4"/>
  <c r="E1038" i="4"/>
  <c r="F1038" i="4"/>
  <c r="G1038" i="4"/>
  <c r="H1038" i="4"/>
  <c r="I1038" i="4"/>
  <c r="J1038" i="4"/>
  <c r="K1038" i="4"/>
  <c r="L1038" i="4"/>
  <c r="M1038" i="4"/>
  <c r="AE1038" i="5" s="1"/>
  <c r="N1038" i="4"/>
  <c r="O1038" i="4"/>
  <c r="P1038" i="4"/>
  <c r="Q1038" i="4"/>
  <c r="R1038" i="4"/>
  <c r="S1038" i="4"/>
  <c r="T1038" i="4"/>
  <c r="E1039" i="4"/>
  <c r="F1039" i="4"/>
  <c r="G1039" i="4"/>
  <c r="H1039" i="4"/>
  <c r="I1039" i="4"/>
  <c r="J1039" i="4"/>
  <c r="K1039" i="4"/>
  <c r="L1039" i="4"/>
  <c r="M1039" i="4"/>
  <c r="AE1039" i="5" s="1"/>
  <c r="N1039" i="4"/>
  <c r="O1039" i="4"/>
  <c r="P1039" i="4"/>
  <c r="Q1039" i="4"/>
  <c r="R1039" i="4"/>
  <c r="S1039" i="4"/>
  <c r="T1039" i="4"/>
  <c r="E1040" i="4"/>
  <c r="F1040" i="4"/>
  <c r="G1040" i="4"/>
  <c r="H1040" i="4"/>
  <c r="I1040" i="4"/>
  <c r="J1040" i="4"/>
  <c r="K1040" i="4"/>
  <c r="L1040" i="4"/>
  <c r="M1040" i="4"/>
  <c r="AE1040" i="5" s="1"/>
  <c r="N1040" i="4"/>
  <c r="O1040" i="4"/>
  <c r="P1040" i="4"/>
  <c r="Q1040" i="4"/>
  <c r="R1040" i="4"/>
  <c r="S1040" i="4"/>
  <c r="T1040" i="4"/>
  <c r="E1041" i="4"/>
  <c r="F1041" i="4"/>
  <c r="G1041" i="4"/>
  <c r="H1041" i="4"/>
  <c r="I1041" i="4"/>
  <c r="J1041" i="4"/>
  <c r="K1041" i="4"/>
  <c r="L1041" i="4"/>
  <c r="M1041" i="4"/>
  <c r="AE1041" i="5" s="1"/>
  <c r="N1041" i="4"/>
  <c r="O1041" i="4"/>
  <c r="P1041" i="4"/>
  <c r="Q1041" i="4"/>
  <c r="R1041" i="4"/>
  <c r="S1041" i="4"/>
  <c r="T1041" i="4"/>
  <c r="U1041" i="4"/>
  <c r="V1041" i="4"/>
  <c r="E1042" i="4"/>
  <c r="F1042" i="4"/>
  <c r="G1042" i="4"/>
  <c r="H1042" i="4"/>
  <c r="I1042" i="4"/>
  <c r="J1042" i="4"/>
  <c r="K1042" i="4"/>
  <c r="L1042" i="4"/>
  <c r="M1042" i="4"/>
  <c r="AE1042" i="5" s="1"/>
  <c r="N1042" i="4"/>
  <c r="O1042" i="4"/>
  <c r="P1042" i="4"/>
  <c r="Q1042" i="4"/>
  <c r="R1042" i="4"/>
  <c r="S1042" i="4"/>
  <c r="T1042" i="4"/>
  <c r="U1042" i="4"/>
  <c r="V1042" i="4"/>
  <c r="E1043" i="4"/>
  <c r="F1043" i="4"/>
  <c r="G1043" i="4"/>
  <c r="H1043" i="4"/>
  <c r="I1043" i="4"/>
  <c r="J1043" i="4"/>
  <c r="K1043" i="4"/>
  <c r="L1043" i="4"/>
  <c r="M1043" i="4"/>
  <c r="AE1043" i="5" s="1"/>
  <c r="N1043" i="4"/>
  <c r="O1043" i="4"/>
  <c r="P1043" i="4"/>
  <c r="Q1043" i="4"/>
  <c r="R1043" i="4"/>
  <c r="S1043" i="4"/>
  <c r="T1043" i="4"/>
  <c r="E1044" i="4"/>
  <c r="F1044" i="4"/>
  <c r="G1044" i="4"/>
  <c r="H1044" i="4"/>
  <c r="I1044" i="4"/>
  <c r="J1044" i="4"/>
  <c r="K1044" i="4"/>
  <c r="L1044" i="4"/>
  <c r="M1044" i="4"/>
  <c r="AE1044" i="5" s="1"/>
  <c r="N1044" i="4"/>
  <c r="O1044" i="4"/>
  <c r="P1044" i="4"/>
  <c r="Q1044" i="4"/>
  <c r="R1044" i="4"/>
  <c r="S1044" i="4"/>
  <c r="T1044" i="4"/>
  <c r="E1045" i="4"/>
  <c r="F1045" i="4"/>
  <c r="G1045" i="4"/>
  <c r="H1045" i="4"/>
  <c r="I1045" i="4"/>
  <c r="J1045" i="4"/>
  <c r="K1045" i="4"/>
  <c r="L1045" i="4"/>
  <c r="M1045" i="4"/>
  <c r="AE1045" i="5" s="1"/>
  <c r="N1045" i="4"/>
  <c r="O1045" i="4"/>
  <c r="P1045" i="4"/>
  <c r="Q1045" i="4"/>
  <c r="R1045" i="4"/>
  <c r="S1045" i="4"/>
  <c r="T1045" i="4"/>
  <c r="U1045" i="4"/>
  <c r="V1045" i="4"/>
  <c r="E1046" i="4"/>
  <c r="F1046" i="4"/>
  <c r="G1046" i="4"/>
  <c r="H1046" i="4"/>
  <c r="I1046" i="4"/>
  <c r="J1046" i="4"/>
  <c r="K1046" i="4"/>
  <c r="L1046" i="4"/>
  <c r="M1046" i="4"/>
  <c r="AE1046" i="5" s="1"/>
  <c r="N1046" i="4"/>
  <c r="O1046" i="4"/>
  <c r="P1046" i="4"/>
  <c r="Q1046" i="4"/>
  <c r="R1046" i="4"/>
  <c r="S1046" i="4"/>
  <c r="T1046" i="4"/>
  <c r="E1047" i="4"/>
  <c r="F1047" i="4"/>
  <c r="G1047" i="4"/>
  <c r="H1047" i="4"/>
  <c r="I1047" i="4"/>
  <c r="J1047" i="4"/>
  <c r="K1047" i="4"/>
  <c r="L1047" i="4"/>
  <c r="M1047" i="4"/>
  <c r="AE1047" i="5" s="1"/>
  <c r="N1047" i="4"/>
  <c r="O1047" i="4"/>
  <c r="P1047" i="4"/>
  <c r="Q1047" i="4"/>
  <c r="R1047" i="4"/>
  <c r="S1047" i="4"/>
  <c r="T1047" i="4"/>
  <c r="E1048" i="4"/>
  <c r="F1048" i="4"/>
  <c r="G1048" i="4"/>
  <c r="H1048" i="4"/>
  <c r="I1048" i="4"/>
  <c r="J1048" i="4"/>
  <c r="K1048" i="4"/>
  <c r="L1048" i="4"/>
  <c r="M1048" i="4"/>
  <c r="AE1048" i="5" s="1"/>
  <c r="N1048" i="4"/>
  <c r="O1048" i="4"/>
  <c r="P1048" i="4"/>
  <c r="Q1048" i="4"/>
  <c r="R1048" i="4"/>
  <c r="S1048" i="4"/>
  <c r="T1048" i="4"/>
  <c r="E1049" i="4"/>
  <c r="F1049" i="4"/>
  <c r="G1049" i="4"/>
  <c r="H1049" i="4"/>
  <c r="I1049" i="4"/>
  <c r="J1049" i="4"/>
  <c r="K1049" i="4"/>
  <c r="L1049" i="4"/>
  <c r="M1049" i="4"/>
  <c r="AE1049" i="5" s="1"/>
  <c r="N1049" i="4"/>
  <c r="O1049" i="4"/>
  <c r="P1049" i="4"/>
  <c r="Q1049" i="4"/>
  <c r="R1049" i="4"/>
  <c r="S1049" i="4"/>
  <c r="T1049" i="4"/>
  <c r="E1050" i="4"/>
  <c r="F1050" i="4"/>
  <c r="G1050" i="4"/>
  <c r="H1050" i="4"/>
  <c r="I1050" i="4"/>
  <c r="J1050" i="4"/>
  <c r="K1050" i="4"/>
  <c r="L1050" i="4"/>
  <c r="M1050" i="4"/>
  <c r="AE1050" i="5" s="1"/>
  <c r="N1050" i="4"/>
  <c r="O1050" i="4"/>
  <c r="P1050" i="4"/>
  <c r="Q1050" i="4"/>
  <c r="R1050" i="4"/>
  <c r="S1050" i="4"/>
  <c r="T1050" i="4"/>
  <c r="E1051" i="4"/>
  <c r="F1051" i="4"/>
  <c r="G1051" i="4"/>
  <c r="H1051" i="4"/>
  <c r="I1051" i="4"/>
  <c r="J1051" i="4"/>
  <c r="K1051" i="4"/>
  <c r="L1051" i="4"/>
  <c r="M1051" i="4"/>
  <c r="AE1051" i="5" s="1"/>
  <c r="N1051" i="4"/>
  <c r="O1051" i="4"/>
  <c r="P1051" i="4"/>
  <c r="Q1051" i="4"/>
  <c r="R1051" i="4"/>
  <c r="S1051" i="4"/>
  <c r="T1051" i="4"/>
  <c r="E1052" i="4"/>
  <c r="F1052" i="4"/>
  <c r="G1052" i="4"/>
  <c r="H1052" i="4"/>
  <c r="I1052" i="4"/>
  <c r="J1052" i="4"/>
  <c r="K1052" i="4"/>
  <c r="L1052" i="4"/>
  <c r="M1052" i="4"/>
  <c r="AE1052" i="5" s="1"/>
  <c r="N1052" i="4"/>
  <c r="O1052" i="4"/>
  <c r="P1052" i="4"/>
  <c r="Q1052" i="4"/>
  <c r="R1052" i="4"/>
  <c r="S1052" i="4"/>
  <c r="T1052" i="4"/>
  <c r="E1053" i="4"/>
  <c r="F1053" i="4"/>
  <c r="G1053" i="4"/>
  <c r="H1053" i="4"/>
  <c r="I1053" i="4"/>
  <c r="J1053" i="4"/>
  <c r="K1053" i="4"/>
  <c r="L1053" i="4"/>
  <c r="M1053" i="4"/>
  <c r="AE1053" i="5" s="1"/>
  <c r="N1053" i="4"/>
  <c r="O1053" i="4"/>
  <c r="P1053" i="4"/>
  <c r="Q1053" i="4"/>
  <c r="R1053" i="4"/>
  <c r="S1053" i="4"/>
  <c r="T1053" i="4"/>
  <c r="E1054" i="4"/>
  <c r="F1054" i="4"/>
  <c r="G1054" i="4"/>
  <c r="H1054" i="4"/>
  <c r="I1054" i="4"/>
  <c r="J1054" i="4"/>
  <c r="K1054" i="4"/>
  <c r="L1054" i="4"/>
  <c r="M1054" i="4"/>
  <c r="AE1054" i="5" s="1"/>
  <c r="N1054" i="4"/>
  <c r="O1054" i="4"/>
  <c r="P1054" i="4"/>
  <c r="Q1054" i="4"/>
  <c r="R1054" i="4"/>
  <c r="S1054" i="4"/>
  <c r="T1054" i="4"/>
  <c r="E1055" i="4"/>
  <c r="F1055" i="4"/>
  <c r="G1055" i="4"/>
  <c r="H1055" i="4"/>
  <c r="I1055" i="4"/>
  <c r="J1055" i="4"/>
  <c r="K1055" i="4"/>
  <c r="L1055" i="4"/>
  <c r="M1055" i="4"/>
  <c r="AE1055" i="5" s="1"/>
  <c r="N1055" i="4"/>
  <c r="O1055" i="4"/>
  <c r="P1055" i="4"/>
  <c r="Q1055" i="4"/>
  <c r="R1055" i="4"/>
  <c r="S1055" i="4"/>
  <c r="T1055" i="4"/>
  <c r="E1056" i="4"/>
  <c r="F1056" i="4"/>
  <c r="G1056" i="4"/>
  <c r="H1056" i="4"/>
  <c r="I1056" i="4"/>
  <c r="J1056" i="4"/>
  <c r="K1056" i="4"/>
  <c r="L1056" i="4"/>
  <c r="M1056" i="4"/>
  <c r="AE1056" i="5" s="1"/>
  <c r="N1056" i="4"/>
  <c r="O1056" i="4"/>
  <c r="P1056" i="4"/>
  <c r="Q1056" i="4"/>
  <c r="R1056" i="4"/>
  <c r="S1056" i="4"/>
  <c r="T1056" i="4"/>
  <c r="E1057" i="4"/>
  <c r="F1057" i="4"/>
  <c r="G1057" i="4"/>
  <c r="H1057" i="4"/>
  <c r="I1057" i="4"/>
  <c r="J1057" i="4"/>
  <c r="K1057" i="4"/>
  <c r="L1057" i="4"/>
  <c r="M1057" i="4"/>
  <c r="AE1057" i="5" s="1"/>
  <c r="N1057" i="4"/>
  <c r="O1057" i="4"/>
  <c r="P1057" i="4"/>
  <c r="Q1057" i="4"/>
  <c r="R1057" i="4"/>
  <c r="S1057" i="4"/>
  <c r="T1057" i="4"/>
  <c r="U1057" i="4"/>
  <c r="V1057" i="4"/>
  <c r="E1058" i="4"/>
  <c r="F1058" i="4"/>
  <c r="G1058" i="4"/>
  <c r="H1058" i="4"/>
  <c r="I1058" i="4"/>
  <c r="J1058" i="4"/>
  <c r="K1058" i="4"/>
  <c r="L1058" i="4"/>
  <c r="M1058" i="4"/>
  <c r="AE1058" i="5" s="1"/>
  <c r="N1058" i="4"/>
  <c r="O1058" i="4"/>
  <c r="P1058" i="4"/>
  <c r="Q1058" i="4"/>
  <c r="R1058" i="4"/>
  <c r="S1058" i="4"/>
  <c r="T1058" i="4"/>
  <c r="U1058" i="4"/>
  <c r="V1058" i="4"/>
  <c r="E1059" i="4"/>
  <c r="F1059" i="4"/>
  <c r="G1059" i="4"/>
  <c r="H1059" i="4"/>
  <c r="I1059" i="4"/>
  <c r="J1059" i="4"/>
  <c r="K1059" i="4"/>
  <c r="L1059" i="4"/>
  <c r="M1059" i="4"/>
  <c r="AE1059" i="5" s="1"/>
  <c r="N1059" i="4"/>
  <c r="O1059" i="4"/>
  <c r="P1059" i="4"/>
  <c r="Q1059" i="4"/>
  <c r="R1059" i="4"/>
  <c r="S1059" i="4"/>
  <c r="T1059" i="4"/>
  <c r="E1060" i="4"/>
  <c r="F1060" i="4"/>
  <c r="G1060" i="4"/>
  <c r="H1060" i="4"/>
  <c r="I1060" i="4"/>
  <c r="J1060" i="4"/>
  <c r="K1060" i="4"/>
  <c r="L1060" i="4"/>
  <c r="M1060" i="4"/>
  <c r="AE1060" i="5" s="1"/>
  <c r="N1060" i="4"/>
  <c r="O1060" i="4"/>
  <c r="P1060" i="4"/>
  <c r="Q1060" i="4"/>
  <c r="R1060" i="4"/>
  <c r="S1060" i="4"/>
  <c r="T1060" i="4"/>
  <c r="E1061" i="4"/>
  <c r="F1061" i="4"/>
  <c r="G1061" i="4"/>
  <c r="H1061" i="4"/>
  <c r="I1061" i="4"/>
  <c r="J1061" i="4"/>
  <c r="K1061" i="4"/>
  <c r="L1061" i="4"/>
  <c r="M1061" i="4"/>
  <c r="AE1061" i="5" s="1"/>
  <c r="N1061" i="4"/>
  <c r="O1061" i="4"/>
  <c r="P1061" i="4"/>
  <c r="Q1061" i="4"/>
  <c r="R1061" i="4"/>
  <c r="S1061" i="4"/>
  <c r="T1061" i="4"/>
  <c r="E1062" i="4"/>
  <c r="F1062" i="4"/>
  <c r="G1062" i="4"/>
  <c r="H1062" i="4"/>
  <c r="I1062" i="4"/>
  <c r="J1062" i="4"/>
  <c r="K1062" i="4"/>
  <c r="L1062" i="4"/>
  <c r="M1062" i="4"/>
  <c r="AE1062" i="5" s="1"/>
  <c r="N1062" i="4"/>
  <c r="O1062" i="4"/>
  <c r="P1062" i="4"/>
  <c r="Q1062" i="4"/>
  <c r="R1062" i="4"/>
  <c r="S1062" i="4"/>
  <c r="T1062" i="4"/>
  <c r="E1063" i="4"/>
  <c r="F1063" i="4"/>
  <c r="G1063" i="4"/>
  <c r="H1063" i="4"/>
  <c r="I1063" i="4"/>
  <c r="J1063" i="4"/>
  <c r="K1063" i="4"/>
  <c r="L1063" i="4"/>
  <c r="M1063" i="4"/>
  <c r="AE1063" i="5" s="1"/>
  <c r="N1063" i="4"/>
  <c r="O1063" i="4"/>
  <c r="P1063" i="4"/>
  <c r="Q1063" i="4"/>
  <c r="R1063" i="4"/>
  <c r="S1063" i="4"/>
  <c r="T1063" i="4"/>
  <c r="E1064" i="4"/>
  <c r="F1064" i="4"/>
  <c r="G1064" i="4"/>
  <c r="H1064" i="4"/>
  <c r="I1064" i="4"/>
  <c r="J1064" i="4"/>
  <c r="K1064" i="4"/>
  <c r="L1064" i="4"/>
  <c r="M1064" i="4"/>
  <c r="AE1064" i="5" s="1"/>
  <c r="N1064" i="4"/>
  <c r="O1064" i="4"/>
  <c r="P1064" i="4"/>
  <c r="Q1064" i="4"/>
  <c r="R1064" i="4"/>
  <c r="S1064" i="4"/>
  <c r="T1064" i="4"/>
  <c r="E1065" i="4"/>
  <c r="F1065" i="4"/>
  <c r="G1065" i="4"/>
  <c r="H1065" i="4"/>
  <c r="I1065" i="4"/>
  <c r="J1065" i="4"/>
  <c r="K1065" i="4"/>
  <c r="L1065" i="4"/>
  <c r="M1065" i="4"/>
  <c r="AE1065" i="5" s="1"/>
  <c r="N1065" i="4"/>
  <c r="O1065" i="4"/>
  <c r="P1065" i="4"/>
  <c r="Q1065" i="4"/>
  <c r="R1065" i="4"/>
  <c r="S1065" i="4"/>
  <c r="T1065" i="4"/>
  <c r="E1066" i="4"/>
  <c r="F1066" i="4"/>
  <c r="G1066" i="4"/>
  <c r="H1066" i="4"/>
  <c r="I1066" i="4"/>
  <c r="J1066" i="4"/>
  <c r="K1066" i="4"/>
  <c r="L1066" i="4"/>
  <c r="M1066" i="4"/>
  <c r="AE1066" i="5" s="1"/>
  <c r="N1066" i="4"/>
  <c r="O1066" i="4"/>
  <c r="P1066" i="4"/>
  <c r="Q1066" i="4"/>
  <c r="R1066" i="4"/>
  <c r="S1066" i="4"/>
  <c r="T1066" i="4"/>
  <c r="E1067" i="4"/>
  <c r="F1067" i="4"/>
  <c r="G1067" i="4"/>
  <c r="H1067" i="4"/>
  <c r="I1067" i="4"/>
  <c r="J1067" i="4"/>
  <c r="K1067" i="4"/>
  <c r="L1067" i="4"/>
  <c r="M1067" i="4"/>
  <c r="AE1067" i="5" s="1"/>
  <c r="N1067" i="4"/>
  <c r="O1067" i="4"/>
  <c r="P1067" i="4"/>
  <c r="Q1067" i="4"/>
  <c r="R1067" i="4"/>
  <c r="S1067" i="4"/>
  <c r="T1067" i="4"/>
  <c r="E1068" i="4"/>
  <c r="F1068" i="4"/>
  <c r="G1068" i="4"/>
  <c r="H1068" i="4"/>
  <c r="I1068" i="4"/>
  <c r="J1068" i="4"/>
  <c r="K1068" i="4"/>
  <c r="L1068" i="4"/>
  <c r="M1068" i="4"/>
  <c r="AE1068" i="5" s="1"/>
  <c r="N1068" i="4"/>
  <c r="O1068" i="4"/>
  <c r="P1068" i="4"/>
  <c r="Q1068" i="4"/>
  <c r="R1068" i="4"/>
  <c r="S1068" i="4"/>
  <c r="T1068" i="4"/>
  <c r="U1068" i="4"/>
  <c r="V1068" i="4"/>
  <c r="E1069" i="4"/>
  <c r="F1069" i="4"/>
  <c r="G1069" i="4"/>
  <c r="H1069" i="4"/>
  <c r="I1069" i="4"/>
  <c r="J1069" i="4"/>
  <c r="K1069" i="4"/>
  <c r="L1069" i="4"/>
  <c r="M1069" i="4"/>
  <c r="AE1069" i="5" s="1"/>
  <c r="N1069" i="4"/>
  <c r="O1069" i="4"/>
  <c r="P1069" i="4"/>
  <c r="Q1069" i="4"/>
  <c r="R1069" i="4"/>
  <c r="S1069" i="4"/>
  <c r="T1069" i="4"/>
  <c r="U1069" i="4"/>
  <c r="V1069" i="4"/>
  <c r="E1070" i="4"/>
  <c r="F1070" i="4"/>
  <c r="G1070" i="4"/>
  <c r="H1070" i="4"/>
  <c r="I1070" i="4"/>
  <c r="J1070" i="4"/>
  <c r="K1070" i="4"/>
  <c r="L1070" i="4"/>
  <c r="M1070" i="4"/>
  <c r="AE1070" i="5" s="1"/>
  <c r="N1070" i="4"/>
  <c r="O1070" i="4"/>
  <c r="P1070" i="4"/>
  <c r="Q1070" i="4"/>
  <c r="R1070" i="4"/>
  <c r="S1070" i="4"/>
  <c r="T1070" i="4"/>
  <c r="U1070" i="4"/>
  <c r="V1070" i="4"/>
  <c r="E1071" i="4"/>
  <c r="F1071" i="4"/>
  <c r="G1071" i="4"/>
  <c r="H1071" i="4"/>
  <c r="I1071" i="4"/>
  <c r="J1071" i="4"/>
  <c r="K1071" i="4"/>
  <c r="L1071" i="4"/>
  <c r="M1071" i="4"/>
  <c r="AE1071" i="5" s="1"/>
  <c r="N1071" i="4"/>
  <c r="O1071" i="4"/>
  <c r="P1071" i="4"/>
  <c r="Q1071" i="4"/>
  <c r="R1071" i="4"/>
  <c r="S1071" i="4"/>
  <c r="T1071" i="4"/>
  <c r="U1071" i="4"/>
  <c r="V1071" i="4"/>
  <c r="E1072" i="4"/>
  <c r="F1072" i="4"/>
  <c r="G1072" i="4"/>
  <c r="H1072" i="4"/>
  <c r="I1072" i="4"/>
  <c r="J1072" i="4"/>
  <c r="K1072" i="4"/>
  <c r="L1072" i="4"/>
  <c r="M1072" i="4"/>
  <c r="AE1072" i="5" s="1"/>
  <c r="N1072" i="4"/>
  <c r="O1072" i="4"/>
  <c r="P1072" i="4"/>
  <c r="Q1072" i="4"/>
  <c r="R1072" i="4"/>
  <c r="S1072" i="4"/>
  <c r="T1072" i="4"/>
  <c r="U1072" i="4"/>
  <c r="V1072" i="4"/>
  <c r="E1073" i="4"/>
  <c r="F1073" i="4"/>
  <c r="G1073" i="4"/>
  <c r="H1073" i="4"/>
  <c r="I1073" i="4"/>
  <c r="J1073" i="4"/>
  <c r="K1073" i="4"/>
  <c r="L1073" i="4"/>
  <c r="M1073" i="4"/>
  <c r="N1073" i="4"/>
  <c r="O1073" i="4"/>
  <c r="P1073" i="4"/>
  <c r="Q1073" i="4"/>
  <c r="R1073" i="4"/>
  <c r="S1073" i="4"/>
  <c r="T1073" i="4"/>
  <c r="U1073" i="4"/>
  <c r="V1073" i="4"/>
  <c r="E38" i="4"/>
  <c r="F38" i="4"/>
  <c r="G38" i="4"/>
  <c r="H38" i="4"/>
  <c r="I38" i="4"/>
  <c r="J38" i="4"/>
  <c r="K38" i="4"/>
  <c r="L38" i="4"/>
  <c r="M38" i="4"/>
  <c r="AE38" i="5" s="1"/>
  <c r="N38" i="4"/>
  <c r="O38" i="4"/>
  <c r="P38" i="4"/>
  <c r="Q38" i="4"/>
  <c r="R38" i="4"/>
  <c r="S38" i="4"/>
  <c r="T38" i="4"/>
  <c r="E39" i="4"/>
  <c r="F39" i="4"/>
  <c r="G39" i="4"/>
  <c r="H39" i="4"/>
  <c r="I39" i="4"/>
  <c r="J39" i="4"/>
  <c r="K39" i="4"/>
  <c r="L39" i="4"/>
  <c r="M39" i="4"/>
  <c r="AE39" i="5" s="1"/>
  <c r="N39" i="4"/>
  <c r="O39" i="4"/>
  <c r="P39" i="4"/>
  <c r="Q39" i="4"/>
  <c r="R39" i="4"/>
  <c r="S39" i="4"/>
  <c r="T39" i="4"/>
  <c r="E40" i="4"/>
  <c r="F40" i="4"/>
  <c r="G40" i="4"/>
  <c r="H40" i="4"/>
  <c r="I40" i="4"/>
  <c r="J40" i="4"/>
  <c r="K40" i="4"/>
  <c r="L40" i="4"/>
  <c r="M40" i="4"/>
  <c r="AE40" i="5" s="1"/>
  <c r="N40" i="4"/>
  <c r="O40" i="4"/>
  <c r="P40" i="4"/>
  <c r="Q40" i="4"/>
  <c r="R40" i="4"/>
  <c r="S40" i="4"/>
  <c r="T40" i="4"/>
  <c r="E41" i="4"/>
  <c r="F41" i="4"/>
  <c r="G41" i="4"/>
  <c r="H41" i="4"/>
  <c r="I41" i="4"/>
  <c r="J41" i="4"/>
  <c r="K41" i="4"/>
  <c r="L41" i="4"/>
  <c r="M41" i="4"/>
  <c r="AE41" i="5" s="1"/>
  <c r="N41" i="4"/>
  <c r="O41" i="4"/>
  <c r="P41" i="4"/>
  <c r="Q41" i="4"/>
  <c r="R41" i="4"/>
  <c r="S41" i="4"/>
  <c r="T41" i="4"/>
  <c r="E42" i="4"/>
  <c r="F42" i="4"/>
  <c r="G42" i="4"/>
  <c r="H42" i="4"/>
  <c r="I42" i="4"/>
  <c r="J42" i="4"/>
  <c r="K42" i="4"/>
  <c r="L42" i="4"/>
  <c r="M42" i="4"/>
  <c r="AE42" i="5" s="1"/>
  <c r="N42" i="4"/>
  <c r="O42" i="4"/>
  <c r="P42" i="4"/>
  <c r="Q42" i="4"/>
  <c r="R42" i="4"/>
  <c r="S42" i="4"/>
  <c r="T42" i="4"/>
  <c r="E43" i="4"/>
  <c r="F43" i="4"/>
  <c r="G43" i="4"/>
  <c r="H43" i="4"/>
  <c r="I43" i="4"/>
  <c r="J43" i="4"/>
  <c r="K43" i="4"/>
  <c r="L43" i="4"/>
  <c r="M43" i="4"/>
  <c r="AE43" i="5" s="1"/>
  <c r="N43" i="4"/>
  <c r="O43" i="4"/>
  <c r="P43" i="4"/>
  <c r="Q43" i="4"/>
  <c r="R43" i="4"/>
  <c r="S43" i="4"/>
  <c r="T43" i="4"/>
  <c r="E44" i="4"/>
  <c r="F44" i="4"/>
  <c r="G44" i="4"/>
  <c r="H44" i="4"/>
  <c r="I44" i="4"/>
  <c r="J44" i="4"/>
  <c r="K44" i="4"/>
  <c r="L44" i="4"/>
  <c r="M44" i="4"/>
  <c r="AE44" i="5" s="1"/>
  <c r="N44" i="4"/>
  <c r="O44" i="4"/>
  <c r="P44" i="4"/>
  <c r="Q44" i="4"/>
  <c r="R44" i="4"/>
  <c r="S44" i="4"/>
  <c r="T44" i="4"/>
  <c r="E45" i="4"/>
  <c r="F45" i="4"/>
  <c r="G45" i="4"/>
  <c r="H45" i="4"/>
  <c r="I45" i="4"/>
  <c r="J45" i="4"/>
  <c r="K45" i="4"/>
  <c r="L45" i="4"/>
  <c r="M45" i="4"/>
  <c r="AE45" i="5" s="1"/>
  <c r="N45" i="4"/>
  <c r="O45" i="4"/>
  <c r="P45" i="4"/>
  <c r="Q45" i="4"/>
  <c r="R45" i="4"/>
  <c r="S45" i="4"/>
  <c r="T45" i="4"/>
  <c r="E46" i="4"/>
  <c r="F46" i="4"/>
  <c r="G46" i="4"/>
  <c r="H46" i="4"/>
  <c r="I46" i="4"/>
  <c r="J46" i="4"/>
  <c r="K46" i="4"/>
  <c r="L46" i="4"/>
  <c r="M46" i="4"/>
  <c r="AE46" i="5" s="1"/>
  <c r="N46" i="4"/>
  <c r="O46" i="4"/>
  <c r="P46" i="4"/>
  <c r="Q46" i="4"/>
  <c r="R46" i="4"/>
  <c r="S46" i="4"/>
  <c r="T46" i="4"/>
  <c r="E47" i="4"/>
  <c r="F47" i="4"/>
  <c r="G47" i="4"/>
  <c r="H47" i="4"/>
  <c r="I47" i="4"/>
  <c r="J47" i="4"/>
  <c r="K47" i="4"/>
  <c r="L47" i="4"/>
  <c r="M47" i="4"/>
  <c r="AE47" i="5" s="1"/>
  <c r="N47" i="4"/>
  <c r="O47" i="4"/>
  <c r="P47" i="4"/>
  <c r="Q47" i="4"/>
  <c r="R47" i="4"/>
  <c r="S47" i="4"/>
  <c r="T47" i="4"/>
  <c r="E48" i="4"/>
  <c r="F48" i="4"/>
  <c r="G48" i="4"/>
  <c r="H48" i="4"/>
  <c r="I48" i="4"/>
  <c r="J48" i="4"/>
  <c r="K48" i="4"/>
  <c r="L48" i="4"/>
  <c r="M48" i="4"/>
  <c r="AE48" i="5" s="1"/>
  <c r="N48" i="4"/>
  <c r="O48" i="4"/>
  <c r="P48" i="4"/>
  <c r="Q48" i="4"/>
  <c r="R48" i="4"/>
  <c r="S48" i="4"/>
  <c r="T48" i="4"/>
  <c r="E49" i="4"/>
  <c r="F49" i="4"/>
  <c r="G49" i="4"/>
  <c r="H49" i="4"/>
  <c r="I49" i="4"/>
  <c r="J49" i="4"/>
  <c r="K49" i="4"/>
  <c r="L49" i="4"/>
  <c r="M49" i="4"/>
  <c r="AE49" i="5" s="1"/>
  <c r="N49" i="4"/>
  <c r="O49" i="4"/>
  <c r="P49" i="4"/>
  <c r="Q49" i="4"/>
  <c r="R49" i="4"/>
  <c r="S49" i="4"/>
  <c r="T49" i="4"/>
  <c r="U49" i="4"/>
  <c r="V49" i="4"/>
  <c r="E50" i="4"/>
  <c r="F50" i="4"/>
  <c r="G50" i="4"/>
  <c r="H50" i="4"/>
  <c r="I50" i="4"/>
  <c r="J50" i="4"/>
  <c r="K50" i="4"/>
  <c r="L50" i="4"/>
  <c r="M50" i="4"/>
  <c r="AE50" i="5" s="1"/>
  <c r="N50" i="4"/>
  <c r="O50" i="4"/>
  <c r="P50" i="4"/>
  <c r="Q50" i="4"/>
  <c r="R50" i="4"/>
  <c r="S50" i="4"/>
  <c r="T50" i="4"/>
  <c r="U50" i="4"/>
  <c r="V50" i="4"/>
  <c r="E22" i="4"/>
  <c r="F22" i="4"/>
  <c r="G22" i="4"/>
  <c r="H22" i="4"/>
  <c r="I22" i="4"/>
  <c r="J22" i="4"/>
  <c r="K22" i="4"/>
  <c r="L22" i="4"/>
  <c r="M22" i="4"/>
  <c r="AE22" i="5" s="1"/>
  <c r="N22" i="4"/>
  <c r="O22" i="4"/>
  <c r="P22" i="4"/>
  <c r="Q22" i="4"/>
  <c r="R22" i="4"/>
  <c r="S22" i="4"/>
  <c r="T22" i="4"/>
  <c r="E23" i="4"/>
  <c r="F23" i="4"/>
  <c r="G23" i="4"/>
  <c r="H23" i="4"/>
  <c r="I23" i="4"/>
  <c r="J23" i="4"/>
  <c r="K23" i="4"/>
  <c r="L23" i="4"/>
  <c r="M23" i="4"/>
  <c r="AE23" i="5" s="1"/>
  <c r="N23" i="4"/>
  <c r="O23" i="4"/>
  <c r="P23" i="4"/>
  <c r="Q23" i="4"/>
  <c r="R23" i="4"/>
  <c r="S23" i="4"/>
  <c r="T23" i="4"/>
  <c r="E24" i="4"/>
  <c r="F24" i="4"/>
  <c r="G24" i="4"/>
  <c r="H24" i="4"/>
  <c r="I24" i="4"/>
  <c r="J24" i="4"/>
  <c r="K24" i="4"/>
  <c r="L24" i="4"/>
  <c r="M24" i="4"/>
  <c r="AE24" i="5" s="1"/>
  <c r="N24" i="4"/>
  <c r="O24" i="4"/>
  <c r="P24" i="4"/>
  <c r="Q24" i="4"/>
  <c r="R24" i="4"/>
  <c r="S24" i="4"/>
  <c r="T24" i="4"/>
  <c r="E25" i="4"/>
  <c r="F25" i="4"/>
  <c r="G25" i="4"/>
  <c r="H25" i="4"/>
  <c r="I25" i="4"/>
  <c r="J25" i="4"/>
  <c r="K25" i="4"/>
  <c r="L25" i="4"/>
  <c r="M25" i="4"/>
  <c r="AE25" i="5" s="1"/>
  <c r="N25" i="4"/>
  <c r="O25" i="4"/>
  <c r="P25" i="4"/>
  <c r="Q25" i="4"/>
  <c r="R25" i="4"/>
  <c r="S25" i="4"/>
  <c r="T25" i="4"/>
  <c r="E26" i="4"/>
  <c r="F26" i="4"/>
  <c r="G26" i="4"/>
  <c r="H26" i="4"/>
  <c r="I26" i="4"/>
  <c r="J26" i="4"/>
  <c r="K26" i="4"/>
  <c r="L26" i="4"/>
  <c r="M26" i="4"/>
  <c r="AE26" i="5" s="1"/>
  <c r="N26" i="4"/>
  <c r="O26" i="4"/>
  <c r="P26" i="4"/>
  <c r="Q26" i="4"/>
  <c r="R26" i="4"/>
  <c r="S26" i="4"/>
  <c r="T26" i="4"/>
  <c r="E27" i="4"/>
  <c r="F27" i="4"/>
  <c r="G27" i="4"/>
  <c r="H27" i="4"/>
  <c r="I27" i="4"/>
  <c r="J27" i="4"/>
  <c r="K27" i="4"/>
  <c r="L27" i="4"/>
  <c r="M27" i="4"/>
  <c r="AE27" i="5" s="1"/>
  <c r="N27" i="4"/>
  <c r="O27" i="4"/>
  <c r="P27" i="4"/>
  <c r="Q27" i="4"/>
  <c r="R27" i="4"/>
  <c r="S27" i="4"/>
  <c r="T27" i="4"/>
  <c r="E28" i="4"/>
  <c r="F28" i="4"/>
  <c r="G28" i="4"/>
  <c r="H28" i="4"/>
  <c r="I28" i="4"/>
  <c r="J28" i="4"/>
  <c r="K28" i="4"/>
  <c r="L28" i="4"/>
  <c r="M28" i="4"/>
  <c r="AE28" i="5" s="1"/>
  <c r="N28" i="4"/>
  <c r="O28" i="4"/>
  <c r="P28" i="4"/>
  <c r="Q28" i="4"/>
  <c r="R28" i="4"/>
  <c r="S28" i="4"/>
  <c r="T28" i="4"/>
  <c r="E29" i="4"/>
  <c r="F29" i="4"/>
  <c r="G29" i="4"/>
  <c r="H29" i="4"/>
  <c r="I29" i="4"/>
  <c r="J29" i="4"/>
  <c r="K29" i="4"/>
  <c r="L29" i="4"/>
  <c r="M29" i="4"/>
  <c r="AE29" i="5" s="1"/>
  <c r="N29" i="4"/>
  <c r="O29" i="4"/>
  <c r="P29" i="4"/>
  <c r="Q29" i="4"/>
  <c r="R29" i="4"/>
  <c r="S29" i="4"/>
  <c r="T29" i="4"/>
  <c r="E30" i="4"/>
  <c r="F30" i="4"/>
  <c r="G30" i="4"/>
  <c r="H30" i="4"/>
  <c r="I30" i="4"/>
  <c r="J30" i="4"/>
  <c r="K30" i="4"/>
  <c r="L30" i="4"/>
  <c r="M30" i="4"/>
  <c r="AE30" i="5" s="1"/>
  <c r="N30" i="4"/>
  <c r="O30" i="4"/>
  <c r="P30" i="4"/>
  <c r="Q30" i="4"/>
  <c r="R30" i="4"/>
  <c r="S30" i="4"/>
  <c r="T30" i="4"/>
  <c r="E31" i="4"/>
  <c r="F31" i="4"/>
  <c r="G31" i="4"/>
  <c r="H31" i="4"/>
  <c r="I31" i="4"/>
  <c r="J31" i="4"/>
  <c r="K31" i="4"/>
  <c r="L31" i="4"/>
  <c r="M31" i="4"/>
  <c r="AE31" i="5" s="1"/>
  <c r="N31" i="4"/>
  <c r="O31" i="4"/>
  <c r="P31" i="4"/>
  <c r="Q31" i="4"/>
  <c r="R31" i="4"/>
  <c r="S31" i="4"/>
  <c r="T31" i="4"/>
  <c r="E32" i="4"/>
  <c r="F32" i="4"/>
  <c r="G32" i="4"/>
  <c r="H32" i="4"/>
  <c r="I32" i="4"/>
  <c r="J32" i="4"/>
  <c r="K32" i="4"/>
  <c r="L32" i="4"/>
  <c r="M32" i="4"/>
  <c r="AE32" i="5" s="1"/>
  <c r="N32" i="4"/>
  <c r="O32" i="4"/>
  <c r="P32" i="4"/>
  <c r="Q32" i="4"/>
  <c r="R32" i="4"/>
  <c r="S32" i="4"/>
  <c r="T32" i="4"/>
  <c r="E33" i="4"/>
  <c r="F33" i="4"/>
  <c r="G33" i="4"/>
  <c r="H33" i="4"/>
  <c r="I33" i="4"/>
  <c r="J33" i="4"/>
  <c r="K33" i="4"/>
  <c r="L33" i="4"/>
  <c r="M33" i="4"/>
  <c r="AE33" i="5" s="1"/>
  <c r="N33" i="4"/>
  <c r="O33" i="4"/>
  <c r="P33" i="4"/>
  <c r="Q33" i="4"/>
  <c r="R33" i="4"/>
  <c r="S33" i="4"/>
  <c r="T33" i="4"/>
  <c r="U33" i="4"/>
  <c r="V33" i="4"/>
  <c r="E34" i="4"/>
  <c r="F34" i="4"/>
  <c r="G34" i="4"/>
  <c r="H34" i="4"/>
  <c r="I34" i="4"/>
  <c r="J34" i="4"/>
  <c r="K34" i="4"/>
  <c r="L34" i="4"/>
  <c r="M34" i="4"/>
  <c r="AE34" i="5" s="1"/>
  <c r="N34" i="4"/>
  <c r="O34" i="4"/>
  <c r="P34" i="4"/>
  <c r="Q34" i="4"/>
  <c r="R34" i="4"/>
  <c r="S34" i="4"/>
  <c r="T34" i="4"/>
  <c r="E35" i="4"/>
  <c r="F35" i="4"/>
  <c r="G35" i="4"/>
  <c r="H35" i="4"/>
  <c r="I35" i="4"/>
  <c r="J35" i="4"/>
  <c r="K35" i="4"/>
  <c r="L35" i="4"/>
  <c r="M35" i="4"/>
  <c r="AE35" i="5" s="1"/>
  <c r="N35" i="4"/>
  <c r="O35" i="4"/>
  <c r="P35" i="4"/>
  <c r="Q35" i="4"/>
  <c r="R35" i="4"/>
  <c r="S35" i="4"/>
  <c r="T35" i="4"/>
  <c r="E36" i="4"/>
  <c r="F36" i="4"/>
  <c r="G36" i="4"/>
  <c r="H36" i="4"/>
  <c r="I36" i="4"/>
  <c r="J36" i="4"/>
  <c r="K36" i="4"/>
  <c r="L36" i="4"/>
  <c r="M36" i="4"/>
  <c r="AE36" i="5" s="1"/>
  <c r="N36" i="4"/>
  <c r="O36" i="4"/>
  <c r="P36" i="4"/>
  <c r="Q36" i="4"/>
  <c r="R36" i="4"/>
  <c r="S36" i="4"/>
  <c r="T36" i="4"/>
  <c r="E37" i="4"/>
  <c r="F37" i="4"/>
  <c r="G37" i="4"/>
  <c r="H37" i="4"/>
  <c r="I37" i="4"/>
  <c r="J37" i="4"/>
  <c r="K37" i="4"/>
  <c r="L37" i="4"/>
  <c r="M37" i="4"/>
  <c r="AE37" i="5" s="1"/>
  <c r="N37" i="4"/>
  <c r="O37" i="4"/>
  <c r="P37" i="4"/>
  <c r="Q37" i="4"/>
  <c r="R37" i="4"/>
  <c r="S37" i="4"/>
  <c r="T37" i="4"/>
  <c r="U37" i="4"/>
  <c r="V37" i="4"/>
  <c r="E3" i="4"/>
  <c r="F3" i="4"/>
  <c r="G3" i="4"/>
  <c r="H3" i="4"/>
  <c r="I3" i="4"/>
  <c r="J3" i="4"/>
  <c r="K3" i="4"/>
  <c r="L3" i="4"/>
  <c r="M3" i="4"/>
  <c r="AE3" i="5" s="1"/>
  <c r="N3" i="4"/>
  <c r="O3" i="4"/>
  <c r="P3" i="4"/>
  <c r="Q3" i="4"/>
  <c r="R3" i="4"/>
  <c r="S3" i="4"/>
  <c r="T3" i="4"/>
  <c r="E4" i="4"/>
  <c r="F4" i="4"/>
  <c r="G4" i="4"/>
  <c r="H4" i="4"/>
  <c r="I4" i="4"/>
  <c r="J4" i="4"/>
  <c r="K4" i="4"/>
  <c r="L4" i="4"/>
  <c r="M4" i="4"/>
  <c r="AE4" i="5" s="1"/>
  <c r="N4" i="4"/>
  <c r="O4" i="4"/>
  <c r="P4" i="4"/>
  <c r="Q4" i="4"/>
  <c r="R4" i="4"/>
  <c r="S4" i="4"/>
  <c r="T4" i="4"/>
  <c r="E5" i="4"/>
  <c r="F5" i="4"/>
  <c r="G5" i="4"/>
  <c r="H5" i="4"/>
  <c r="I5" i="4"/>
  <c r="J5" i="4"/>
  <c r="K5" i="4"/>
  <c r="L5" i="4"/>
  <c r="M5" i="4"/>
  <c r="AE5" i="5" s="1"/>
  <c r="N5" i="4"/>
  <c r="O5" i="4"/>
  <c r="P5" i="4"/>
  <c r="Q5" i="4"/>
  <c r="R5" i="4"/>
  <c r="S5" i="4"/>
  <c r="T5" i="4"/>
  <c r="E6" i="4"/>
  <c r="F6" i="4"/>
  <c r="G6" i="4"/>
  <c r="H6" i="4"/>
  <c r="I6" i="4"/>
  <c r="J6" i="4"/>
  <c r="K6" i="4"/>
  <c r="L6" i="4"/>
  <c r="M6" i="4"/>
  <c r="AE6" i="5" s="1"/>
  <c r="N6" i="4"/>
  <c r="O6" i="4"/>
  <c r="P6" i="4"/>
  <c r="Q6" i="4"/>
  <c r="R6" i="4"/>
  <c r="S6" i="4"/>
  <c r="T6" i="4"/>
  <c r="E7" i="4"/>
  <c r="F7" i="4"/>
  <c r="G7" i="4"/>
  <c r="H7" i="4"/>
  <c r="I7" i="4"/>
  <c r="J7" i="4"/>
  <c r="K7" i="4"/>
  <c r="L7" i="4"/>
  <c r="M7" i="4"/>
  <c r="AE7" i="5" s="1"/>
  <c r="N7" i="4"/>
  <c r="O7" i="4"/>
  <c r="P7" i="4"/>
  <c r="Q7" i="4"/>
  <c r="R7" i="4"/>
  <c r="S7" i="4"/>
  <c r="T7" i="4"/>
  <c r="E8" i="4"/>
  <c r="F8" i="4"/>
  <c r="G8" i="4"/>
  <c r="H8" i="4"/>
  <c r="I8" i="4"/>
  <c r="J8" i="4"/>
  <c r="K8" i="4"/>
  <c r="L8" i="4"/>
  <c r="M8" i="4"/>
  <c r="AE8" i="5" s="1"/>
  <c r="N8" i="4"/>
  <c r="O8" i="4"/>
  <c r="P8" i="4"/>
  <c r="Q8" i="4"/>
  <c r="R8" i="4"/>
  <c r="S8" i="4"/>
  <c r="T8" i="4"/>
  <c r="E9" i="4"/>
  <c r="F9" i="4"/>
  <c r="G9" i="4"/>
  <c r="H9" i="4"/>
  <c r="I9" i="4"/>
  <c r="J9" i="4"/>
  <c r="K9" i="4"/>
  <c r="L9" i="4"/>
  <c r="M9" i="4"/>
  <c r="AE9" i="5" s="1"/>
  <c r="N9" i="4"/>
  <c r="O9" i="4"/>
  <c r="P9" i="4"/>
  <c r="Q9" i="4"/>
  <c r="R9" i="4"/>
  <c r="S9" i="4"/>
  <c r="T9" i="4"/>
  <c r="E10" i="4"/>
  <c r="F10" i="4"/>
  <c r="G10" i="4"/>
  <c r="H10" i="4"/>
  <c r="I10" i="4"/>
  <c r="J10" i="4"/>
  <c r="K10" i="4"/>
  <c r="L10" i="4"/>
  <c r="M10" i="4"/>
  <c r="AE10" i="5" s="1"/>
  <c r="N10" i="4"/>
  <c r="O10" i="4"/>
  <c r="P10" i="4"/>
  <c r="Q10" i="4"/>
  <c r="R10" i="4"/>
  <c r="S10" i="4"/>
  <c r="T10" i="4"/>
  <c r="E11" i="4"/>
  <c r="F11" i="4"/>
  <c r="G11" i="4"/>
  <c r="H11" i="4"/>
  <c r="I11" i="4"/>
  <c r="J11" i="4"/>
  <c r="K11" i="4"/>
  <c r="L11" i="4"/>
  <c r="M11" i="4"/>
  <c r="AE11" i="5" s="1"/>
  <c r="N11" i="4"/>
  <c r="O11" i="4"/>
  <c r="P11" i="4"/>
  <c r="Q11" i="4"/>
  <c r="R11" i="4"/>
  <c r="S11" i="4"/>
  <c r="T11" i="4"/>
  <c r="E12" i="4"/>
  <c r="F12" i="4"/>
  <c r="G12" i="4"/>
  <c r="H12" i="4"/>
  <c r="I12" i="4"/>
  <c r="J12" i="4"/>
  <c r="K12" i="4"/>
  <c r="L12" i="4"/>
  <c r="M12" i="4"/>
  <c r="AE12" i="5" s="1"/>
  <c r="N12" i="4"/>
  <c r="O12" i="4"/>
  <c r="P12" i="4"/>
  <c r="Q12" i="4"/>
  <c r="R12" i="4"/>
  <c r="S12" i="4"/>
  <c r="T12" i="4"/>
  <c r="E13" i="4"/>
  <c r="F13" i="4"/>
  <c r="G13" i="4"/>
  <c r="H13" i="4"/>
  <c r="I13" i="4"/>
  <c r="J13" i="4"/>
  <c r="K13" i="4"/>
  <c r="L13" i="4"/>
  <c r="M13" i="4"/>
  <c r="AE13" i="5" s="1"/>
  <c r="N13" i="4"/>
  <c r="O13" i="4"/>
  <c r="P13" i="4"/>
  <c r="Q13" i="4"/>
  <c r="R13" i="4"/>
  <c r="S13" i="4"/>
  <c r="T13" i="4"/>
  <c r="E14" i="4"/>
  <c r="F14" i="4"/>
  <c r="G14" i="4"/>
  <c r="H14" i="4"/>
  <c r="I14" i="4"/>
  <c r="J14" i="4"/>
  <c r="K14" i="4"/>
  <c r="L14" i="4"/>
  <c r="M14" i="4"/>
  <c r="AE14" i="5" s="1"/>
  <c r="N14" i="4"/>
  <c r="O14" i="4"/>
  <c r="P14" i="4"/>
  <c r="Q14" i="4"/>
  <c r="R14" i="4"/>
  <c r="S14" i="4"/>
  <c r="T14" i="4"/>
  <c r="E15" i="4"/>
  <c r="F15" i="4"/>
  <c r="G15" i="4"/>
  <c r="H15" i="4"/>
  <c r="I15" i="4"/>
  <c r="J15" i="4"/>
  <c r="K15" i="4"/>
  <c r="L15" i="4"/>
  <c r="M15" i="4"/>
  <c r="AE15" i="5" s="1"/>
  <c r="N15" i="4"/>
  <c r="O15" i="4"/>
  <c r="P15" i="4"/>
  <c r="Q15" i="4"/>
  <c r="R15" i="4"/>
  <c r="S15" i="4"/>
  <c r="T15" i="4"/>
  <c r="E16" i="4"/>
  <c r="F16" i="4"/>
  <c r="G16" i="4"/>
  <c r="H16" i="4"/>
  <c r="I16" i="4"/>
  <c r="J16" i="4"/>
  <c r="K16" i="4"/>
  <c r="L16" i="4"/>
  <c r="M16" i="4"/>
  <c r="AE16" i="5" s="1"/>
  <c r="N16" i="4"/>
  <c r="O16" i="4"/>
  <c r="P16" i="4"/>
  <c r="Q16" i="4"/>
  <c r="R16" i="4"/>
  <c r="S16" i="4"/>
  <c r="T16" i="4"/>
  <c r="E17" i="4"/>
  <c r="F17" i="4"/>
  <c r="G17" i="4"/>
  <c r="H17" i="4"/>
  <c r="I17" i="4"/>
  <c r="J17" i="4"/>
  <c r="K17" i="4"/>
  <c r="L17" i="4"/>
  <c r="M17" i="4"/>
  <c r="AE17" i="5" s="1"/>
  <c r="N17" i="4"/>
  <c r="O17" i="4"/>
  <c r="P17" i="4"/>
  <c r="Q17" i="4"/>
  <c r="R17" i="4"/>
  <c r="S17" i="4"/>
  <c r="T17" i="4"/>
  <c r="E18" i="4"/>
  <c r="F18" i="4"/>
  <c r="G18" i="4"/>
  <c r="H18" i="4"/>
  <c r="I18" i="4"/>
  <c r="J18" i="4"/>
  <c r="K18" i="4"/>
  <c r="L18" i="4"/>
  <c r="M18" i="4"/>
  <c r="AE18" i="5" s="1"/>
  <c r="N18" i="4"/>
  <c r="O18" i="4"/>
  <c r="P18" i="4"/>
  <c r="Q18" i="4"/>
  <c r="R18" i="4"/>
  <c r="S18" i="4"/>
  <c r="T18" i="4"/>
  <c r="E19" i="4"/>
  <c r="F19" i="4"/>
  <c r="G19" i="4"/>
  <c r="H19" i="4"/>
  <c r="I19" i="4"/>
  <c r="J19" i="4"/>
  <c r="K19" i="4"/>
  <c r="L19" i="4"/>
  <c r="M19" i="4"/>
  <c r="AE19" i="5" s="1"/>
  <c r="N19" i="4"/>
  <c r="O19" i="4"/>
  <c r="P19" i="4"/>
  <c r="Q19" i="4"/>
  <c r="R19" i="4"/>
  <c r="S19" i="4"/>
  <c r="T19" i="4"/>
  <c r="E20" i="4"/>
  <c r="F20" i="4"/>
  <c r="G20" i="4"/>
  <c r="H20" i="4"/>
  <c r="I20" i="4"/>
  <c r="J20" i="4"/>
  <c r="K20" i="4"/>
  <c r="L20" i="4"/>
  <c r="M20" i="4"/>
  <c r="AE20" i="5" s="1"/>
  <c r="N20" i="4"/>
  <c r="O20" i="4"/>
  <c r="P20" i="4"/>
  <c r="Q20" i="4"/>
  <c r="R20" i="4"/>
  <c r="S20" i="4"/>
  <c r="T20" i="4"/>
  <c r="E21" i="4"/>
  <c r="F21" i="4"/>
  <c r="G21" i="4"/>
  <c r="H21" i="4"/>
  <c r="I21" i="4"/>
  <c r="J21" i="4"/>
  <c r="K21" i="4"/>
  <c r="L21" i="4"/>
  <c r="M21" i="4"/>
  <c r="AE21" i="5" s="1"/>
  <c r="N21" i="4"/>
  <c r="O21" i="4"/>
  <c r="P21" i="4"/>
  <c r="Q21" i="4"/>
  <c r="R21" i="4"/>
  <c r="S21" i="4"/>
  <c r="T21" i="4"/>
  <c r="U21" i="4"/>
  <c r="V21" i="4"/>
  <c r="V2" i="4"/>
  <c r="U2" i="4"/>
  <c r="T2" i="4"/>
  <c r="S2" i="4"/>
  <c r="R2" i="4"/>
  <c r="Q2" i="4"/>
  <c r="P2" i="4"/>
  <c r="O2" i="4"/>
  <c r="N2" i="4"/>
  <c r="M2" i="4"/>
  <c r="AE2" i="5" s="1"/>
  <c r="L2" i="4"/>
  <c r="K2" i="4"/>
  <c r="J2" i="4"/>
  <c r="I2" i="4"/>
  <c r="H2" i="4"/>
  <c r="G2" i="4"/>
  <c r="F2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E723" i="4" s="1"/>
  <c r="B724" i="4"/>
  <c r="K724" i="4" s="1"/>
  <c r="B725" i="4"/>
  <c r="I725" i="4" s="1"/>
  <c r="B726" i="4"/>
  <c r="G726" i="4" s="1"/>
  <c r="B727" i="4"/>
  <c r="E727" i="4" s="1"/>
  <c r="B728" i="4"/>
  <c r="K728" i="4" s="1"/>
  <c r="B729" i="4"/>
  <c r="I729" i="4" s="1"/>
  <c r="B730" i="4"/>
  <c r="G730" i="4" s="1"/>
  <c r="B731" i="4"/>
  <c r="E731" i="4" s="1"/>
  <c r="B732" i="4"/>
  <c r="K732" i="4" s="1"/>
  <c r="B733" i="4"/>
  <c r="I733" i="4" s="1"/>
  <c r="B734" i="4"/>
  <c r="G734" i="4" s="1"/>
  <c r="B735" i="4"/>
  <c r="E735" i="4" s="1"/>
  <c r="B736" i="4"/>
  <c r="K736" i="4" s="1"/>
  <c r="B737" i="4"/>
  <c r="I737" i="4" s="1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2" i="4"/>
  <c r="G129" i="5" l="1"/>
  <c r="G945" i="5"/>
  <c r="G17" i="5"/>
  <c r="G513" i="5"/>
  <c r="G753" i="5"/>
  <c r="G2" i="5"/>
  <c r="V134" i="5"/>
  <c r="V133" i="5"/>
  <c r="V132" i="5"/>
  <c r="V131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99" i="5"/>
  <c r="V98" i="5"/>
  <c r="V66" i="5"/>
  <c r="V62" i="5"/>
  <c r="G337" i="5"/>
  <c r="J1061" i="5"/>
  <c r="J453" i="5"/>
  <c r="J457" i="5"/>
  <c r="J473" i="5"/>
  <c r="J461" i="5"/>
  <c r="J521" i="5"/>
  <c r="J541" i="5"/>
  <c r="J549" i="5"/>
  <c r="J613" i="5"/>
  <c r="J477" i="5"/>
  <c r="J485" i="5"/>
  <c r="J493" i="5"/>
  <c r="N493" i="5" s="1"/>
  <c r="J501" i="5"/>
  <c r="J509" i="5"/>
  <c r="J517" i="5"/>
  <c r="J717" i="5"/>
  <c r="J729" i="5"/>
  <c r="V673" i="5"/>
  <c r="V669" i="5"/>
  <c r="V665" i="5"/>
  <c r="V664" i="5"/>
  <c r="V663" i="5"/>
  <c r="V662" i="5"/>
  <c r="V661" i="5"/>
  <c r="V660" i="5"/>
  <c r="V659" i="5"/>
  <c r="V658" i="5"/>
  <c r="V654" i="5"/>
  <c r="V650" i="5"/>
  <c r="V642" i="5"/>
  <c r="V638" i="5"/>
  <c r="V634" i="5"/>
  <c r="V626" i="5"/>
  <c r="V608" i="5"/>
  <c r="V604" i="5"/>
  <c r="V592" i="5"/>
  <c r="V588" i="5"/>
  <c r="V584" i="5"/>
  <c r="V576" i="5"/>
  <c r="V572" i="5"/>
  <c r="V559" i="5"/>
  <c r="V555" i="5"/>
  <c r="V545" i="5"/>
  <c r="V544" i="5"/>
  <c r="V543" i="5"/>
  <c r="V542" i="5"/>
  <c r="V541" i="5"/>
  <c r="V540" i="5"/>
  <c r="V539" i="5"/>
  <c r="V538" i="5"/>
  <c r="V537" i="5"/>
  <c r="V536" i="5"/>
  <c r="V535" i="5"/>
  <c r="V534" i="5"/>
  <c r="V533" i="5"/>
  <c r="V532" i="5"/>
  <c r="V531" i="5"/>
  <c r="V525" i="5"/>
  <c r="V497" i="5"/>
  <c r="V479" i="5"/>
  <c r="V465" i="5"/>
  <c r="V449" i="5"/>
  <c r="V448" i="5"/>
  <c r="V447" i="5"/>
  <c r="V446" i="5"/>
  <c r="V445" i="5"/>
  <c r="V444" i="5"/>
  <c r="V443" i="5"/>
  <c r="V442" i="5"/>
  <c r="V441" i="5"/>
  <c r="V440" i="5"/>
  <c r="V439" i="5"/>
  <c r="V438" i="5"/>
  <c r="V437" i="5"/>
  <c r="V436" i="5"/>
  <c r="V435" i="5"/>
  <c r="V434" i="5"/>
  <c r="V401" i="5"/>
  <c r="V400" i="5"/>
  <c r="V399" i="5"/>
  <c r="V398" i="5"/>
  <c r="V397" i="5"/>
  <c r="V396" i="5"/>
  <c r="V395" i="5"/>
  <c r="V394" i="5"/>
  <c r="V393" i="5"/>
  <c r="V392" i="5"/>
  <c r="V391" i="5"/>
  <c r="V390" i="5"/>
  <c r="V389" i="5"/>
  <c r="V388" i="5"/>
  <c r="V387" i="5"/>
  <c r="V353" i="5"/>
  <c r="V352" i="5"/>
  <c r="V351" i="5"/>
  <c r="V350" i="5"/>
  <c r="V349" i="5"/>
  <c r="V348" i="5"/>
  <c r="V347" i="5"/>
  <c r="V346" i="5"/>
  <c r="V345" i="5"/>
  <c r="V344" i="5"/>
  <c r="V343" i="5"/>
  <c r="V342" i="5"/>
  <c r="V341" i="5"/>
  <c r="V340" i="5"/>
  <c r="V339" i="5"/>
  <c r="V338" i="5"/>
  <c r="V337" i="5"/>
  <c r="V336" i="5"/>
  <c r="V335" i="5"/>
  <c r="V334" i="5"/>
  <c r="V333" i="5"/>
  <c r="V332" i="5"/>
  <c r="V331" i="5"/>
  <c r="V330" i="5"/>
  <c r="V329" i="5"/>
  <c r="V328" i="5"/>
  <c r="V327" i="5"/>
  <c r="V326" i="5"/>
  <c r="V325" i="5"/>
  <c r="V324" i="5"/>
  <c r="V323" i="5"/>
  <c r="V322" i="5"/>
  <c r="V305" i="5"/>
  <c r="V304" i="5"/>
  <c r="V303" i="5"/>
  <c r="V302" i="5"/>
  <c r="V292" i="5"/>
  <c r="V286" i="5"/>
  <c r="V285" i="5"/>
  <c r="V284" i="5"/>
  <c r="V283" i="5"/>
  <c r="V282" i="5"/>
  <c r="V281" i="5"/>
  <c r="V280" i="5"/>
  <c r="V279" i="5"/>
  <c r="V278" i="5"/>
  <c r="V274" i="5"/>
  <c r="V722" i="5"/>
  <c r="V718" i="5"/>
  <c r="V714" i="5"/>
  <c r="V710" i="5"/>
  <c r="V709" i="5"/>
  <c r="V708" i="5"/>
  <c r="V707" i="5"/>
  <c r="V706" i="5"/>
  <c r="V702" i="5"/>
  <c r="V698" i="5"/>
  <c r="V694" i="5"/>
  <c r="V677" i="5"/>
  <c r="V676" i="5"/>
  <c r="V675" i="5"/>
  <c r="V671" i="5"/>
  <c r="V667" i="5"/>
  <c r="V656" i="5"/>
  <c r="V720" i="5"/>
  <c r="V716" i="5"/>
  <c r="V712" i="5"/>
  <c r="V704" i="5"/>
  <c r="V700" i="5"/>
  <c r="V696" i="5"/>
  <c r="V690" i="5"/>
  <c r="V719" i="5"/>
  <c r="V715" i="5"/>
  <c r="V711" i="5"/>
  <c r="V703" i="5"/>
  <c r="V699" i="5"/>
  <c r="V695" i="5"/>
  <c r="V689" i="5"/>
  <c r="V688" i="5"/>
  <c r="V687" i="5"/>
  <c r="V686" i="5"/>
  <c r="V685" i="5"/>
  <c r="V684" i="5"/>
  <c r="V683" i="5"/>
  <c r="V682" i="5"/>
  <c r="V681" i="5"/>
  <c r="V680" i="5"/>
  <c r="V679" i="5"/>
  <c r="V678" i="5"/>
  <c r="V672" i="5"/>
  <c r="V668" i="5"/>
  <c r="V657" i="5"/>
  <c r="V653" i="5"/>
  <c r="V649" i="5"/>
  <c r="V641" i="5"/>
  <c r="V637" i="5"/>
  <c r="V633" i="5"/>
  <c r="V625" i="5"/>
  <c r="V624" i="5"/>
  <c r="V623" i="5"/>
  <c r="V622" i="5"/>
  <c r="V621" i="5"/>
  <c r="V620" i="5"/>
  <c r="V619" i="5"/>
  <c r="V618" i="5"/>
  <c r="V617" i="5"/>
  <c r="V616" i="5"/>
  <c r="V615" i="5"/>
  <c r="V614" i="5"/>
  <c r="V613" i="5"/>
  <c r="V612" i="5"/>
  <c r="V611" i="5"/>
  <c r="V607" i="5"/>
  <c r="V603" i="5"/>
  <c r="V602" i="5"/>
  <c r="V601" i="5"/>
  <c r="V600" i="5"/>
  <c r="V599" i="5"/>
  <c r="V598" i="5"/>
  <c r="V597" i="5"/>
  <c r="V596" i="5"/>
  <c r="V595" i="5"/>
  <c r="V591" i="5"/>
  <c r="V587" i="5"/>
  <c r="V583" i="5"/>
  <c r="V582" i="5"/>
  <c r="V581" i="5"/>
  <c r="V580" i="5"/>
  <c r="V579" i="5"/>
  <c r="V575" i="5"/>
  <c r="V571" i="5"/>
  <c r="V570" i="5"/>
  <c r="V569" i="5"/>
  <c r="V568" i="5"/>
  <c r="V567" i="5"/>
  <c r="V566" i="5"/>
  <c r="V565" i="5"/>
  <c r="V564" i="5"/>
  <c r="V563" i="5"/>
  <c r="V562" i="5"/>
  <c r="V558" i="5"/>
  <c r="V554" i="5"/>
  <c r="V530" i="5"/>
  <c r="V524" i="5"/>
  <c r="V523" i="5"/>
  <c r="V652" i="5"/>
  <c r="V648" i="5"/>
  <c r="V640" i="5"/>
  <c r="V636" i="5"/>
  <c r="V632" i="5"/>
  <c r="V610" i="5"/>
  <c r="V606" i="5"/>
  <c r="V594" i="5"/>
  <c r="V590" i="5"/>
  <c r="V586" i="5"/>
  <c r="V578" i="5"/>
  <c r="V574" i="5"/>
  <c r="V561" i="5"/>
  <c r="V557" i="5"/>
  <c r="V553" i="5"/>
  <c r="V552" i="5"/>
  <c r="V551" i="5"/>
  <c r="V550" i="5"/>
  <c r="V549" i="5"/>
  <c r="V548" i="5"/>
  <c r="V547" i="5"/>
  <c r="V529" i="5"/>
  <c r="V528" i="5"/>
  <c r="V527" i="5"/>
  <c r="V514" i="5"/>
  <c r="V513" i="5"/>
  <c r="V512" i="5"/>
  <c r="V511" i="5"/>
  <c r="V510" i="5"/>
  <c r="V509" i="5"/>
  <c r="V508" i="5"/>
  <c r="V507" i="5"/>
  <c r="V506" i="5"/>
  <c r="V505" i="5"/>
  <c r="V504" i="5"/>
  <c r="V503" i="5"/>
  <c r="V502" i="5"/>
  <c r="V501" i="5"/>
  <c r="V500" i="5"/>
  <c r="V499" i="5"/>
  <c r="V481" i="5"/>
  <c r="V477" i="5"/>
  <c r="V476" i="5"/>
  <c r="V475" i="5"/>
  <c r="V474" i="5"/>
  <c r="V473" i="5"/>
  <c r="V472" i="5"/>
  <c r="V471" i="5"/>
  <c r="V470" i="5"/>
  <c r="V469" i="5"/>
  <c r="V468" i="5"/>
  <c r="V467" i="5"/>
  <c r="V463" i="5"/>
  <c r="V417" i="5"/>
  <c r="V416" i="5"/>
  <c r="V415" i="5"/>
  <c r="V414" i="5"/>
  <c r="V413" i="5"/>
  <c r="V412" i="5"/>
  <c r="V411" i="5"/>
  <c r="V410" i="5"/>
  <c r="V409" i="5"/>
  <c r="V408" i="5"/>
  <c r="V407" i="5"/>
  <c r="V406" i="5"/>
  <c r="V405" i="5"/>
  <c r="V404" i="5"/>
  <c r="V403" i="5"/>
  <c r="V385" i="5"/>
  <c r="V384" i="5"/>
  <c r="V383" i="5"/>
  <c r="V382" i="5"/>
  <c r="V381" i="5"/>
  <c r="V380" i="5"/>
  <c r="V379" i="5"/>
  <c r="V378" i="5"/>
  <c r="V377" i="5"/>
  <c r="V376" i="5"/>
  <c r="V375" i="5"/>
  <c r="V374" i="5"/>
  <c r="V373" i="5"/>
  <c r="V372" i="5"/>
  <c r="V371" i="5"/>
  <c r="V370" i="5"/>
  <c r="V320" i="5"/>
  <c r="V300" i="5"/>
  <c r="V299" i="5"/>
  <c r="V298" i="5"/>
  <c r="V297" i="5"/>
  <c r="V296" i="5"/>
  <c r="V94" i="5"/>
  <c r="V83" i="5"/>
  <c r="V522" i="5"/>
  <c r="V521" i="5"/>
  <c r="V520" i="5"/>
  <c r="V519" i="5"/>
  <c r="V518" i="5"/>
  <c r="V517" i="5"/>
  <c r="V516" i="5"/>
  <c r="V515" i="5"/>
  <c r="V496" i="5"/>
  <c r="V495" i="5"/>
  <c r="V494" i="5"/>
  <c r="V493" i="5"/>
  <c r="V492" i="5"/>
  <c r="V491" i="5"/>
  <c r="V490" i="5"/>
  <c r="V489" i="5"/>
  <c r="V488" i="5"/>
  <c r="V487" i="5"/>
  <c r="V486" i="5"/>
  <c r="V485" i="5"/>
  <c r="V484" i="5"/>
  <c r="V483" i="5"/>
  <c r="V482" i="5"/>
  <c r="V478" i="5"/>
  <c r="V464" i="5"/>
  <c r="V433" i="5"/>
  <c r="V432" i="5"/>
  <c r="V431" i="5"/>
  <c r="V430" i="5"/>
  <c r="V429" i="5"/>
  <c r="V428" i="5"/>
  <c r="V427" i="5"/>
  <c r="V426" i="5"/>
  <c r="V425" i="5"/>
  <c r="V424" i="5"/>
  <c r="V423" i="5"/>
  <c r="V422" i="5"/>
  <c r="V421" i="5"/>
  <c r="V420" i="5"/>
  <c r="V419" i="5"/>
  <c r="V418" i="5"/>
  <c r="V386" i="5"/>
  <c r="V321" i="5"/>
  <c r="V301" i="5"/>
  <c r="V291" i="5"/>
  <c r="V277" i="5"/>
  <c r="V273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43" i="5"/>
  <c r="V23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66" i="5"/>
  <c r="V165" i="5"/>
  <c r="V164" i="5"/>
  <c r="V163" i="5"/>
  <c r="V162" i="5"/>
  <c r="V130" i="5"/>
  <c r="V295" i="5"/>
  <c r="V294" i="5"/>
  <c r="V290" i="5"/>
  <c r="V276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2" i="5"/>
  <c r="V238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96" i="5"/>
  <c r="V92" i="5"/>
  <c r="V91" i="5"/>
  <c r="V90" i="5"/>
  <c r="V89" i="5"/>
  <c r="V88" i="5"/>
  <c r="V87" i="5"/>
  <c r="V81" i="5"/>
  <c r="V80" i="5"/>
  <c r="V79" i="5"/>
  <c r="V78" i="5"/>
  <c r="V77" i="5"/>
  <c r="V76" i="5"/>
  <c r="V75" i="5"/>
  <c r="V74" i="5"/>
  <c r="V73" i="5"/>
  <c r="V72" i="5"/>
  <c r="V71" i="5"/>
  <c r="V70" i="5"/>
  <c r="V64" i="5"/>
  <c r="V97" i="5"/>
  <c r="V93" i="5"/>
  <c r="V82" i="5"/>
  <c r="V65" i="5"/>
  <c r="V61" i="5"/>
  <c r="V60" i="5"/>
  <c r="V59" i="5"/>
  <c r="V58" i="5"/>
  <c r="V57" i="5"/>
  <c r="V56" i="5"/>
  <c r="V55" i="5"/>
  <c r="V54" i="5"/>
  <c r="V53" i="5"/>
  <c r="V52" i="5"/>
  <c r="V51" i="5"/>
  <c r="V2" i="5"/>
  <c r="U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49" i="5"/>
  <c r="V48" i="5"/>
  <c r="V47" i="5"/>
  <c r="V46" i="5"/>
  <c r="V45" i="5"/>
  <c r="V44" i="5"/>
  <c r="V43" i="5"/>
  <c r="V42" i="5"/>
  <c r="V41" i="5"/>
  <c r="V40" i="5"/>
  <c r="V39" i="5"/>
  <c r="V38" i="5"/>
  <c r="V1070" i="5"/>
  <c r="V1057" i="5"/>
  <c r="V1056" i="5"/>
  <c r="V1055" i="5"/>
  <c r="V1054" i="5"/>
  <c r="V1053" i="5"/>
  <c r="V1052" i="5"/>
  <c r="V1051" i="5"/>
  <c r="V1050" i="5"/>
  <c r="V1049" i="5"/>
  <c r="V1048" i="5"/>
  <c r="V1047" i="5"/>
  <c r="V1046" i="5"/>
  <c r="V1026" i="5"/>
  <c r="V1022" i="5"/>
  <c r="V1010" i="5"/>
  <c r="V994" i="5"/>
  <c r="V990" i="5"/>
  <c r="V977" i="5"/>
  <c r="V35" i="5"/>
  <c r="V1069" i="5"/>
  <c r="V1025" i="5"/>
  <c r="V1021" i="5"/>
  <c r="V1008" i="5"/>
  <c r="V1006" i="5"/>
  <c r="V993" i="5"/>
  <c r="V989" i="5"/>
  <c r="V945" i="5"/>
  <c r="V944" i="5"/>
  <c r="V943" i="5"/>
  <c r="V942" i="5"/>
  <c r="V940" i="5"/>
  <c r="V939" i="5"/>
  <c r="V938" i="5"/>
  <c r="V937" i="5"/>
  <c r="V936" i="5"/>
  <c r="V934" i="5"/>
  <c r="V933" i="5"/>
  <c r="V932" i="5"/>
  <c r="V931" i="5"/>
  <c r="V930" i="5"/>
  <c r="V912" i="5"/>
  <c r="V911" i="5"/>
  <c r="V910" i="5"/>
  <c r="V908" i="5"/>
  <c r="V907" i="5"/>
  <c r="V906" i="5"/>
  <c r="V905" i="5"/>
  <c r="V903" i="5"/>
  <c r="V902" i="5"/>
  <c r="V900" i="5"/>
  <c r="V899" i="5"/>
  <c r="V898" i="5"/>
  <c r="V894" i="5"/>
  <c r="V890" i="5"/>
  <c r="V886" i="5"/>
  <c r="V876" i="5"/>
  <c r="V872" i="5"/>
  <c r="V860" i="5"/>
  <c r="V856" i="5"/>
  <c r="V854" i="5"/>
  <c r="V852" i="5"/>
  <c r="V847" i="5"/>
  <c r="V843" i="5"/>
  <c r="V832" i="5"/>
  <c r="V828" i="5"/>
  <c r="V824" i="5"/>
  <c r="V815" i="5"/>
  <c r="V811" i="5"/>
  <c r="V807" i="5"/>
  <c r="V800" i="5"/>
  <c r="V792" i="5"/>
  <c r="V786" i="5"/>
  <c r="V778" i="5"/>
  <c r="V774" i="5"/>
  <c r="V768" i="5"/>
  <c r="V764" i="5"/>
  <c r="V760" i="5"/>
  <c r="V756" i="5"/>
  <c r="V751" i="5"/>
  <c r="V741" i="5"/>
  <c r="V36" i="5"/>
  <c r="V34" i="5"/>
  <c r="V1045" i="5"/>
  <c r="V1044" i="5"/>
  <c r="V1043" i="5"/>
  <c r="V1009" i="5"/>
  <c r="V1007" i="5"/>
  <c r="V1005" i="5"/>
  <c r="V976" i="5"/>
  <c r="V946" i="5"/>
  <c r="V941" i="5"/>
  <c r="V935" i="5"/>
  <c r="V909" i="5"/>
  <c r="V904" i="5"/>
  <c r="V901" i="5"/>
  <c r="V880" i="5"/>
  <c r="V864" i="5"/>
  <c r="V855" i="5"/>
  <c r="V853" i="5"/>
  <c r="V851" i="5"/>
  <c r="V820" i="5"/>
  <c r="V796" i="5"/>
  <c r="V782" i="5"/>
  <c r="V747" i="5"/>
  <c r="V743" i="5"/>
  <c r="V742" i="5"/>
  <c r="V740" i="5"/>
  <c r="V739" i="5"/>
  <c r="V37" i="5"/>
  <c r="V33" i="5"/>
  <c r="V32" i="5"/>
  <c r="V31" i="5"/>
  <c r="V30" i="5"/>
  <c r="V29" i="5"/>
  <c r="V28" i="5"/>
  <c r="V27" i="5"/>
  <c r="V26" i="5"/>
  <c r="V25" i="5"/>
  <c r="V24" i="5"/>
  <c r="V23" i="5"/>
  <c r="V22" i="5"/>
  <c r="V1072" i="5"/>
  <c r="V1068" i="5"/>
  <c r="V1067" i="5"/>
  <c r="V1066" i="5"/>
  <c r="V1065" i="5"/>
  <c r="V1064" i="5"/>
  <c r="V1063" i="5"/>
  <c r="V1062" i="5"/>
  <c r="V1061" i="5"/>
  <c r="V1060" i="5"/>
  <c r="V1059" i="5"/>
  <c r="V1042" i="5"/>
  <c r="V1024" i="5"/>
  <c r="V961" i="5"/>
  <c r="V960" i="5"/>
  <c r="V959" i="5"/>
  <c r="V958" i="5"/>
  <c r="V957" i="5"/>
  <c r="V956" i="5"/>
  <c r="V955" i="5"/>
  <c r="V954" i="5"/>
  <c r="V953" i="5"/>
  <c r="V952" i="5"/>
  <c r="V951" i="5"/>
  <c r="V950" i="5"/>
  <c r="V949" i="5"/>
  <c r="V948" i="5"/>
  <c r="V947" i="5"/>
  <c r="V913" i="5"/>
  <c r="V895" i="5"/>
  <c r="V891" i="5"/>
  <c r="V887" i="5"/>
  <c r="V881" i="5"/>
  <c r="V877" i="5"/>
  <c r="V873" i="5"/>
  <c r="V865" i="5"/>
  <c r="V861" i="5"/>
  <c r="V857" i="5"/>
  <c r="V848" i="5"/>
  <c r="V844" i="5"/>
  <c r="V833" i="5"/>
  <c r="V829" i="5"/>
  <c r="V825" i="5"/>
  <c r="V821" i="5"/>
  <c r="V816" i="5"/>
  <c r="V812" i="5"/>
  <c r="V808" i="5"/>
  <c r="V801" i="5"/>
  <c r="V797" i="5"/>
  <c r="V793" i="5"/>
  <c r="V789" i="5"/>
  <c r="V788" i="5"/>
  <c r="V787" i="5"/>
  <c r="V783" i="5"/>
  <c r="V779" i="5"/>
  <c r="V775" i="5"/>
  <c r="V769" i="5"/>
  <c r="V765" i="5"/>
  <c r="V761" i="5"/>
  <c r="V757" i="5"/>
  <c r="V752" i="5"/>
  <c r="V748" i="5"/>
  <c r="V744" i="5"/>
  <c r="V721" i="5"/>
  <c r="V717" i="5"/>
  <c r="V713" i="5"/>
  <c r="V705" i="5"/>
  <c r="V701" i="5"/>
  <c r="V697" i="5"/>
  <c r="V693" i="5"/>
  <c r="V692" i="5"/>
  <c r="V691" i="5"/>
  <c r="V674" i="5"/>
  <c r="V670" i="5"/>
  <c r="V666" i="5"/>
  <c r="V655" i="5"/>
  <c r="V651" i="5"/>
  <c r="V647" i="5"/>
  <c r="V646" i="5"/>
  <c r="V645" i="5"/>
  <c r="V644" i="5"/>
  <c r="V643" i="5"/>
  <c r="V639" i="5"/>
  <c r="V635" i="5"/>
  <c r="V631" i="5"/>
  <c r="V630" i="5"/>
  <c r="V629" i="5"/>
  <c r="V628" i="5"/>
  <c r="V627" i="5"/>
  <c r="V609" i="5"/>
  <c r="V605" i="5"/>
  <c r="V593" i="5"/>
  <c r="V589" i="5"/>
  <c r="V585" i="5"/>
  <c r="V577" i="5"/>
  <c r="V573" i="5"/>
  <c r="V560" i="5"/>
  <c r="V556" i="5"/>
  <c r="V546" i="5"/>
  <c r="V526" i="5"/>
  <c r="V498" i="5"/>
  <c r="V480" i="5"/>
  <c r="V466" i="5"/>
  <c r="V462" i="5"/>
  <c r="V461" i="5"/>
  <c r="V460" i="5"/>
  <c r="V459" i="5"/>
  <c r="V458" i="5"/>
  <c r="V457" i="5"/>
  <c r="V456" i="5"/>
  <c r="V455" i="5"/>
  <c r="V454" i="5"/>
  <c r="V453" i="5"/>
  <c r="V452" i="5"/>
  <c r="V451" i="5"/>
  <c r="V450" i="5"/>
  <c r="V402" i="5"/>
  <c r="V369" i="5"/>
  <c r="V368" i="5"/>
  <c r="V367" i="5"/>
  <c r="V366" i="5"/>
  <c r="V365" i="5"/>
  <c r="V364" i="5"/>
  <c r="V363" i="5"/>
  <c r="V362" i="5"/>
  <c r="V361" i="5"/>
  <c r="V360" i="5"/>
  <c r="V359" i="5"/>
  <c r="V358" i="5"/>
  <c r="V357" i="5"/>
  <c r="V356" i="5"/>
  <c r="V355" i="5"/>
  <c r="V354" i="5"/>
  <c r="V319" i="5"/>
  <c r="V318" i="5"/>
  <c r="V317" i="5"/>
  <c r="V316" i="5"/>
  <c r="V315" i="5"/>
  <c r="V314" i="5"/>
  <c r="V313" i="5"/>
  <c r="V312" i="5"/>
  <c r="V311" i="5"/>
  <c r="V310" i="5"/>
  <c r="V309" i="5"/>
  <c r="V308" i="5"/>
  <c r="V307" i="5"/>
  <c r="V306" i="5"/>
  <c r="V293" i="5"/>
  <c r="V289" i="5"/>
  <c r="V288" i="5"/>
  <c r="V287" i="5"/>
  <c r="V275" i="5"/>
  <c r="V245" i="5"/>
  <c r="V241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177" i="5"/>
  <c r="V176" i="5"/>
  <c r="V175" i="5"/>
  <c r="V174" i="5"/>
  <c r="V173" i="5"/>
  <c r="V145" i="5"/>
  <c r="V144" i="5"/>
  <c r="V143" i="5"/>
  <c r="V142" i="5"/>
  <c r="V141" i="5"/>
  <c r="V140" i="5"/>
  <c r="V139" i="5"/>
  <c r="V138" i="5"/>
  <c r="V137" i="5"/>
  <c r="V136" i="5"/>
  <c r="V135" i="5"/>
  <c r="V114" i="5"/>
  <c r="V95" i="5"/>
  <c r="V86" i="5"/>
  <c r="V85" i="5"/>
  <c r="V84" i="5"/>
  <c r="V69" i="5"/>
  <c r="V68" i="5"/>
  <c r="V67" i="5"/>
  <c r="V63" i="5"/>
  <c r="V1020" i="5"/>
  <c r="V1004" i="5"/>
  <c r="V1003" i="5"/>
  <c r="V1002" i="5"/>
  <c r="V1001" i="5"/>
  <c r="V1000" i="5"/>
  <c r="V999" i="5"/>
  <c r="V992" i="5"/>
  <c r="V988" i="5"/>
  <c r="V987" i="5"/>
  <c r="V986" i="5"/>
  <c r="V985" i="5"/>
  <c r="V984" i="5"/>
  <c r="V983" i="5"/>
  <c r="V982" i="5"/>
  <c r="V981" i="5"/>
  <c r="V980" i="5"/>
  <c r="V979" i="5"/>
  <c r="V975" i="5"/>
  <c r="V974" i="5"/>
  <c r="V973" i="5"/>
  <c r="V972" i="5"/>
  <c r="V971" i="5"/>
  <c r="V970" i="5"/>
  <c r="V969" i="5"/>
  <c r="V968" i="5"/>
  <c r="V967" i="5"/>
  <c r="V966" i="5"/>
  <c r="V929" i="5"/>
  <c r="V928" i="5"/>
  <c r="V927" i="5"/>
  <c r="V926" i="5"/>
  <c r="V925" i="5"/>
  <c r="V924" i="5"/>
  <c r="V923" i="5"/>
  <c r="V922" i="5"/>
  <c r="V921" i="5"/>
  <c r="V920" i="5"/>
  <c r="V919" i="5"/>
  <c r="V918" i="5"/>
  <c r="V897" i="5"/>
  <c r="V893" i="5"/>
  <c r="V889" i="5"/>
  <c r="V885" i="5"/>
  <c r="V879" i="5"/>
  <c r="V875" i="5"/>
  <c r="V871" i="5"/>
  <c r="V863" i="5"/>
  <c r="V859" i="5"/>
  <c r="V850" i="5"/>
  <c r="V846" i="5"/>
  <c r="V842" i="5"/>
  <c r="V841" i="5"/>
  <c r="V840" i="5"/>
  <c r="V839" i="5"/>
  <c r="V838" i="5"/>
  <c r="V837" i="5"/>
  <c r="V836" i="5"/>
  <c r="V835" i="5"/>
  <c r="V831" i="5"/>
  <c r="V827" i="5"/>
  <c r="V823" i="5"/>
  <c r="V819" i="5"/>
  <c r="V818" i="5"/>
  <c r="V814" i="5"/>
  <c r="V810" i="5"/>
  <c r="V806" i="5"/>
  <c r="V799" i="5"/>
  <c r="V795" i="5"/>
  <c r="V791" i="5"/>
  <c r="V785" i="5"/>
  <c r="V781" i="5"/>
  <c r="V777" i="5"/>
  <c r="V773" i="5"/>
  <c r="V772" i="5"/>
  <c r="V771" i="5"/>
  <c r="V767" i="5"/>
  <c r="V763" i="5"/>
  <c r="V759" i="5"/>
  <c r="V755" i="5"/>
  <c r="V754" i="5"/>
  <c r="V750" i="5"/>
  <c r="V746" i="5"/>
  <c r="V738" i="5"/>
  <c r="V244" i="5"/>
  <c r="V240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172" i="5"/>
  <c r="V171" i="5"/>
  <c r="V170" i="5"/>
  <c r="V169" i="5"/>
  <c r="V168" i="5"/>
  <c r="V167" i="5"/>
  <c r="V100" i="5"/>
  <c r="V50" i="5"/>
  <c r="V1071" i="5"/>
  <c r="V1058" i="5"/>
  <c r="V1041" i="5"/>
  <c r="V1040" i="5"/>
  <c r="V1039" i="5"/>
  <c r="V1038" i="5"/>
  <c r="V1037" i="5"/>
  <c r="V1036" i="5"/>
  <c r="V1035" i="5"/>
  <c r="V1034" i="5"/>
  <c r="V1033" i="5"/>
  <c r="V1032" i="5"/>
  <c r="V1031" i="5"/>
  <c r="V1030" i="5"/>
  <c r="V1029" i="5"/>
  <c r="V1028" i="5"/>
  <c r="V1027" i="5"/>
  <c r="V1023" i="5"/>
  <c r="V1019" i="5"/>
  <c r="V1018" i="5"/>
  <c r="V1017" i="5"/>
  <c r="V1016" i="5"/>
  <c r="V1015" i="5"/>
  <c r="V1014" i="5"/>
  <c r="V1013" i="5"/>
  <c r="V1012" i="5"/>
  <c r="V1011" i="5"/>
  <c r="V998" i="5"/>
  <c r="V997" i="5"/>
  <c r="V996" i="5"/>
  <c r="V995" i="5"/>
  <c r="V991" i="5"/>
  <c r="V978" i="5"/>
  <c r="V965" i="5"/>
  <c r="V964" i="5"/>
  <c r="V963" i="5"/>
  <c r="V962" i="5"/>
  <c r="V917" i="5"/>
  <c r="V916" i="5"/>
  <c r="V915" i="5"/>
  <c r="V914" i="5"/>
  <c r="V896" i="5"/>
  <c r="V892" i="5"/>
  <c r="V888" i="5"/>
  <c r="V884" i="5"/>
  <c r="V883" i="5"/>
  <c r="V882" i="5"/>
  <c r="V878" i="5"/>
  <c r="V874" i="5"/>
  <c r="V870" i="5"/>
  <c r="V869" i="5"/>
  <c r="V868" i="5"/>
  <c r="V867" i="5"/>
  <c r="V866" i="5"/>
  <c r="V862" i="5"/>
  <c r="V858" i="5"/>
  <c r="V849" i="5"/>
  <c r="V845" i="5"/>
  <c r="V834" i="5"/>
  <c r="V830" i="5"/>
  <c r="V826" i="5"/>
  <c r="V822" i="5"/>
  <c r="V817" i="5"/>
  <c r="V813" i="5"/>
  <c r="V809" i="5"/>
  <c r="V805" i="5"/>
  <c r="V804" i="5"/>
  <c r="V803" i="5"/>
  <c r="V802" i="5"/>
  <c r="V798" i="5"/>
  <c r="V794" i="5"/>
  <c r="V790" i="5"/>
  <c r="V784" i="5"/>
  <c r="V780" i="5"/>
  <c r="V776" i="5"/>
  <c r="V770" i="5"/>
  <c r="V766" i="5"/>
  <c r="V762" i="5"/>
  <c r="V758" i="5"/>
  <c r="V753" i="5"/>
  <c r="V749" i="5"/>
  <c r="V745" i="5"/>
  <c r="J537" i="5"/>
  <c r="J557" i="5"/>
  <c r="J569" i="5"/>
  <c r="J585" i="5"/>
  <c r="J637" i="5"/>
  <c r="J649" i="5"/>
  <c r="J669" i="5"/>
  <c r="J681" i="5"/>
  <c r="J693" i="5"/>
  <c r="J741" i="5"/>
  <c r="J749" i="5"/>
  <c r="N749" i="5" s="1"/>
  <c r="J761" i="5"/>
  <c r="J765" i="5"/>
  <c r="J821" i="5"/>
  <c r="J845" i="5"/>
  <c r="J469" i="5"/>
  <c r="J489" i="5"/>
  <c r="J525" i="5"/>
  <c r="J533" i="5"/>
  <c r="N533" i="5" s="1"/>
  <c r="J553" i="5"/>
  <c r="J565" i="5"/>
  <c r="J573" i="5"/>
  <c r="L573" i="5" s="1"/>
  <c r="J581" i="5"/>
  <c r="J589" i="5"/>
  <c r="J597" i="5"/>
  <c r="J601" i="5"/>
  <c r="J605" i="5"/>
  <c r="J617" i="5"/>
  <c r="L617" i="5" s="1"/>
  <c r="J621" i="5"/>
  <c r="J629" i="5"/>
  <c r="J633" i="5"/>
  <c r="J645" i="5"/>
  <c r="J653" i="5"/>
  <c r="J661" i="5"/>
  <c r="J665" i="5"/>
  <c r="N665" i="5" s="1"/>
  <c r="J677" i="5"/>
  <c r="J685" i="5"/>
  <c r="N685" i="5" s="1"/>
  <c r="J697" i="5"/>
  <c r="J701" i="5"/>
  <c r="J709" i="5"/>
  <c r="J713" i="5"/>
  <c r="N713" i="5" s="1"/>
  <c r="J725" i="5"/>
  <c r="J733" i="5"/>
  <c r="J745" i="5"/>
  <c r="L745" i="5" s="1"/>
  <c r="J757" i="5"/>
  <c r="N757" i="5" s="1"/>
  <c r="J781" i="5"/>
  <c r="J789" i="5"/>
  <c r="J813" i="5"/>
  <c r="J909" i="5"/>
  <c r="J4" i="5"/>
  <c r="J12" i="5"/>
  <c r="J20" i="5"/>
  <c r="J24" i="5"/>
  <c r="N24" i="5" s="1"/>
  <c r="J32" i="5"/>
  <c r="J44" i="5"/>
  <c r="J16" i="5"/>
  <c r="J28" i="5"/>
  <c r="J5" i="5"/>
  <c r="J13" i="5"/>
  <c r="J21" i="5"/>
  <c r="N21" i="5" s="1"/>
  <c r="J41" i="5"/>
  <c r="J57" i="5"/>
  <c r="J73" i="5"/>
  <c r="J89" i="5"/>
  <c r="J421" i="5"/>
  <c r="L421" i="5" s="1"/>
  <c r="J429" i="5"/>
  <c r="J437" i="5"/>
  <c r="N437" i="5" s="1"/>
  <c r="J445" i="5"/>
  <c r="J9" i="5"/>
  <c r="L9" i="5" s="1"/>
  <c r="J25" i="5"/>
  <c r="J29" i="5"/>
  <c r="N29" i="5" s="1"/>
  <c r="J37" i="5"/>
  <c r="J45" i="5"/>
  <c r="J53" i="5"/>
  <c r="J61" i="5"/>
  <c r="J69" i="5"/>
  <c r="J77" i="5"/>
  <c r="L77" i="5" s="1"/>
  <c r="J85" i="5"/>
  <c r="J425" i="5"/>
  <c r="J441" i="5"/>
  <c r="J109" i="5"/>
  <c r="J121" i="5"/>
  <c r="J157" i="5"/>
  <c r="L157" i="5" s="1"/>
  <c r="J165" i="5"/>
  <c r="L165" i="5" s="1"/>
  <c r="J189" i="5"/>
  <c r="L189" i="5" s="1"/>
  <c r="J197" i="5"/>
  <c r="L197" i="5" s="1"/>
  <c r="J221" i="5"/>
  <c r="J233" i="5"/>
  <c r="J245" i="5"/>
  <c r="J265" i="5"/>
  <c r="J277" i="5"/>
  <c r="J301" i="5"/>
  <c r="J309" i="5"/>
  <c r="L309" i="5" s="1"/>
  <c r="J333" i="5"/>
  <c r="J345" i="5"/>
  <c r="J349" i="5"/>
  <c r="J361" i="5"/>
  <c r="J373" i="5"/>
  <c r="J397" i="5"/>
  <c r="J409" i="5"/>
  <c r="J1065" i="5"/>
  <c r="J1069" i="5"/>
  <c r="J93" i="5"/>
  <c r="J101" i="5"/>
  <c r="J105" i="5"/>
  <c r="J117" i="5"/>
  <c r="J125" i="5"/>
  <c r="L125" i="5" s="1"/>
  <c r="J133" i="5"/>
  <c r="J137" i="5"/>
  <c r="L137" i="5" s="1"/>
  <c r="J141" i="5"/>
  <c r="J149" i="5"/>
  <c r="J153" i="5"/>
  <c r="J169" i="5"/>
  <c r="J173" i="5"/>
  <c r="J181" i="5"/>
  <c r="J185" i="5"/>
  <c r="J201" i="5"/>
  <c r="L201" i="5" s="1"/>
  <c r="J205" i="5"/>
  <c r="J213" i="5"/>
  <c r="J217" i="5"/>
  <c r="J229" i="5"/>
  <c r="J237" i="5"/>
  <c r="J249" i="5"/>
  <c r="J253" i="5"/>
  <c r="J261" i="5"/>
  <c r="J269" i="5"/>
  <c r="J281" i="5"/>
  <c r="J285" i="5"/>
  <c r="J293" i="5"/>
  <c r="J297" i="5"/>
  <c r="J313" i="5"/>
  <c r="J317" i="5"/>
  <c r="J325" i="5"/>
  <c r="J329" i="5"/>
  <c r="J341" i="5"/>
  <c r="J357" i="5"/>
  <c r="J365" i="5"/>
  <c r="L365" i="5" s="1"/>
  <c r="J377" i="5"/>
  <c r="J381" i="5"/>
  <c r="J389" i="5"/>
  <c r="N389" i="5" s="1"/>
  <c r="J393" i="5"/>
  <c r="N393" i="5" s="1"/>
  <c r="J405" i="5"/>
  <c r="J413" i="5"/>
  <c r="J505" i="5"/>
  <c r="J8" i="5"/>
  <c r="J809" i="5"/>
  <c r="J853" i="5"/>
  <c r="J877" i="5"/>
  <c r="J889" i="5"/>
  <c r="N889" i="5" s="1"/>
  <c r="J921" i="5"/>
  <c r="J773" i="5"/>
  <c r="J777" i="5"/>
  <c r="J793" i="5"/>
  <c r="J797" i="5"/>
  <c r="J805" i="5"/>
  <c r="J825" i="5"/>
  <c r="L825" i="5" s="1"/>
  <c r="J829" i="5"/>
  <c r="J837" i="5"/>
  <c r="J841" i="5"/>
  <c r="L841" i="5" s="1"/>
  <c r="J857" i="5"/>
  <c r="J861" i="5"/>
  <c r="L861" i="5" s="1"/>
  <c r="J869" i="5"/>
  <c r="J873" i="5"/>
  <c r="J885" i="5"/>
  <c r="J893" i="5"/>
  <c r="J901" i="5"/>
  <c r="J905" i="5"/>
  <c r="J917" i="5"/>
  <c r="J925" i="5"/>
  <c r="J1071" i="5"/>
  <c r="J36" i="5"/>
  <c r="L36" i="5" s="1"/>
  <c r="J40" i="5"/>
  <c r="J48" i="5"/>
  <c r="N48" i="5" s="1"/>
  <c r="J56" i="5"/>
  <c r="J64" i="5"/>
  <c r="J68" i="5"/>
  <c r="J76" i="5"/>
  <c r="J88" i="5"/>
  <c r="J52" i="5"/>
  <c r="J60" i="5"/>
  <c r="J72" i="5"/>
  <c r="J80" i="5"/>
  <c r="J84" i="5"/>
  <c r="J92" i="5"/>
  <c r="J96" i="5"/>
  <c r="J104" i="5"/>
  <c r="J108" i="5"/>
  <c r="J116" i="5"/>
  <c r="J120" i="5"/>
  <c r="N120" i="5" s="1"/>
  <c r="J128" i="5"/>
  <c r="J136" i="5"/>
  <c r="J140" i="5"/>
  <c r="J148" i="5"/>
  <c r="J152" i="5"/>
  <c r="J160" i="5"/>
  <c r="J168" i="5"/>
  <c r="J172" i="5"/>
  <c r="L172" i="5" s="1"/>
  <c r="J180" i="5"/>
  <c r="J184" i="5"/>
  <c r="J200" i="5"/>
  <c r="J212" i="5"/>
  <c r="J220" i="5"/>
  <c r="J232" i="5"/>
  <c r="J244" i="5"/>
  <c r="L244" i="5" s="1"/>
  <c r="J256" i="5"/>
  <c r="J264" i="5"/>
  <c r="J268" i="5"/>
  <c r="J276" i="5"/>
  <c r="J288" i="5"/>
  <c r="J308" i="5"/>
  <c r="J320" i="5"/>
  <c r="J344" i="5"/>
  <c r="N344" i="5" s="1"/>
  <c r="J348" i="5"/>
  <c r="J356" i="5"/>
  <c r="J360" i="5"/>
  <c r="J364" i="5"/>
  <c r="J368" i="5"/>
  <c r="J384" i="5"/>
  <c r="J388" i="5"/>
  <c r="J396" i="5"/>
  <c r="L396" i="5" s="1"/>
  <c r="J404" i="5"/>
  <c r="J408" i="5"/>
  <c r="J416" i="5"/>
  <c r="J424" i="5"/>
  <c r="J428" i="5"/>
  <c r="J436" i="5"/>
  <c r="J440" i="5"/>
  <c r="J448" i="5"/>
  <c r="N448" i="5" s="1"/>
  <c r="J456" i="5"/>
  <c r="J460" i="5"/>
  <c r="J468" i="5"/>
  <c r="J100" i="5"/>
  <c r="J112" i="5"/>
  <c r="J124" i="5"/>
  <c r="J132" i="5"/>
  <c r="N132" i="5" s="1"/>
  <c r="J144" i="5"/>
  <c r="J176" i="5"/>
  <c r="J188" i="5"/>
  <c r="J196" i="5"/>
  <c r="J208" i="5"/>
  <c r="J216" i="5"/>
  <c r="J228" i="5"/>
  <c r="J240" i="5"/>
  <c r="L240" i="5" s="1"/>
  <c r="J252" i="5"/>
  <c r="N252" i="5" s="1"/>
  <c r="J260" i="5"/>
  <c r="J284" i="5"/>
  <c r="J296" i="5"/>
  <c r="J304" i="5"/>
  <c r="J316" i="5"/>
  <c r="J328" i="5"/>
  <c r="J340" i="5"/>
  <c r="N340" i="5" s="1"/>
  <c r="J352" i="5"/>
  <c r="J372" i="5"/>
  <c r="J380" i="5"/>
  <c r="J392" i="5"/>
  <c r="J412" i="5"/>
  <c r="J464" i="5"/>
  <c r="J472" i="5"/>
  <c r="J476" i="5"/>
  <c r="J480" i="5"/>
  <c r="J488" i="5"/>
  <c r="J500" i="5"/>
  <c r="J508" i="5"/>
  <c r="J516" i="5"/>
  <c r="J520" i="5"/>
  <c r="J528" i="5"/>
  <c r="J536" i="5"/>
  <c r="J540" i="5"/>
  <c r="N540" i="5" s="1"/>
  <c r="J548" i="5"/>
  <c r="J552" i="5"/>
  <c r="J560" i="5"/>
  <c r="J568" i="5"/>
  <c r="J572" i="5"/>
  <c r="J580" i="5"/>
  <c r="J584" i="5"/>
  <c r="N584" i="5" s="1"/>
  <c r="J592" i="5"/>
  <c r="L592" i="5" s="1"/>
  <c r="J600" i="5"/>
  <c r="J604" i="5"/>
  <c r="J612" i="5"/>
  <c r="J616" i="5"/>
  <c r="J624" i="5"/>
  <c r="J632" i="5"/>
  <c r="J640" i="5"/>
  <c r="L640" i="5" s="1"/>
  <c r="J644" i="5"/>
  <c r="L644" i="5" s="1"/>
  <c r="J652" i="5"/>
  <c r="J656" i="5"/>
  <c r="J664" i="5"/>
  <c r="J668" i="5"/>
  <c r="J676" i="5"/>
  <c r="J680" i="5"/>
  <c r="J688" i="5"/>
  <c r="J692" i="5"/>
  <c r="J700" i="5"/>
  <c r="J704" i="5"/>
  <c r="J712" i="5"/>
  <c r="J716" i="5"/>
  <c r="J724" i="5"/>
  <c r="J728" i="5"/>
  <c r="J736" i="5"/>
  <c r="N736" i="5" s="1"/>
  <c r="J740" i="5"/>
  <c r="J748" i="5"/>
  <c r="J752" i="5"/>
  <c r="J760" i="5"/>
  <c r="J768" i="5"/>
  <c r="J772" i="5"/>
  <c r="J780" i="5"/>
  <c r="J784" i="5"/>
  <c r="L784" i="5" s="1"/>
  <c r="J792" i="5"/>
  <c r="L792" i="5" s="1"/>
  <c r="J800" i="5"/>
  <c r="J804" i="5"/>
  <c r="J812" i="5"/>
  <c r="J816" i="5"/>
  <c r="J824" i="5"/>
  <c r="L824" i="5" s="1"/>
  <c r="J828" i="5"/>
  <c r="J836" i="5"/>
  <c r="L836" i="5" s="1"/>
  <c r="J840" i="5"/>
  <c r="N840" i="5" s="1"/>
  <c r="J848" i="5"/>
  <c r="J856" i="5"/>
  <c r="J860" i="5"/>
  <c r="J868" i="5"/>
  <c r="J872" i="5"/>
  <c r="J880" i="5"/>
  <c r="J884" i="5"/>
  <c r="J892" i="5"/>
  <c r="J896" i="5"/>
  <c r="L896" i="5" s="1"/>
  <c r="J904" i="5"/>
  <c r="J908" i="5"/>
  <c r="J916" i="5"/>
  <c r="J920" i="5"/>
  <c r="J928" i="5"/>
  <c r="J932" i="5"/>
  <c r="N932" i="5" s="1"/>
  <c r="J936" i="5"/>
  <c r="J940" i="5"/>
  <c r="J944" i="5"/>
  <c r="J948" i="5"/>
  <c r="J952" i="5"/>
  <c r="J956" i="5"/>
  <c r="J960" i="5"/>
  <c r="J964" i="5"/>
  <c r="J968" i="5"/>
  <c r="L968" i="5" s="1"/>
  <c r="J972" i="5"/>
  <c r="J976" i="5"/>
  <c r="J984" i="5"/>
  <c r="J484" i="5"/>
  <c r="J492" i="5"/>
  <c r="J504" i="5"/>
  <c r="J512" i="5"/>
  <c r="J524" i="5"/>
  <c r="J532" i="5"/>
  <c r="J544" i="5"/>
  <c r="J556" i="5"/>
  <c r="J564" i="5"/>
  <c r="J576" i="5"/>
  <c r="J588" i="5"/>
  <c r="J596" i="5"/>
  <c r="J608" i="5"/>
  <c r="N608" i="5" s="1"/>
  <c r="J620" i="5"/>
  <c r="J628" i="5"/>
  <c r="J636" i="5"/>
  <c r="J648" i="5"/>
  <c r="J660" i="5"/>
  <c r="J672" i="5"/>
  <c r="J684" i="5"/>
  <c r="J696" i="5"/>
  <c r="N696" i="5" s="1"/>
  <c r="J708" i="5"/>
  <c r="J720" i="5"/>
  <c r="J732" i="5"/>
  <c r="J744" i="5"/>
  <c r="J756" i="5"/>
  <c r="J764" i="5"/>
  <c r="J776" i="5"/>
  <c r="L776" i="5" s="1"/>
  <c r="J788" i="5"/>
  <c r="L788" i="5" s="1"/>
  <c r="J796" i="5"/>
  <c r="J808" i="5"/>
  <c r="J820" i="5"/>
  <c r="J832" i="5"/>
  <c r="J844" i="5"/>
  <c r="J852" i="5"/>
  <c r="J864" i="5"/>
  <c r="J876" i="5"/>
  <c r="N876" i="5" s="1"/>
  <c r="J888" i="5"/>
  <c r="J900" i="5"/>
  <c r="J912" i="5"/>
  <c r="J924" i="5"/>
  <c r="J980" i="5"/>
  <c r="J1067" i="5"/>
  <c r="J39" i="5"/>
  <c r="J1052" i="5"/>
  <c r="J51" i="5"/>
  <c r="J67" i="5"/>
  <c r="J79" i="5"/>
  <c r="J91" i="5"/>
  <c r="J99" i="5"/>
  <c r="J111" i="5"/>
  <c r="J123" i="5"/>
  <c r="J135" i="5"/>
  <c r="J147" i="5"/>
  <c r="N147" i="5" s="1"/>
  <c r="J155" i="5"/>
  <c r="J3" i="5"/>
  <c r="J7" i="5"/>
  <c r="J11" i="5"/>
  <c r="J15" i="5"/>
  <c r="J19" i="5"/>
  <c r="J23" i="5"/>
  <c r="J27" i="5"/>
  <c r="J31" i="5"/>
  <c r="J35" i="5"/>
  <c r="J43" i="5"/>
  <c r="J47" i="5"/>
  <c r="J55" i="5"/>
  <c r="J59" i="5"/>
  <c r="J63" i="5"/>
  <c r="J71" i="5"/>
  <c r="J75" i="5"/>
  <c r="J83" i="5"/>
  <c r="J87" i="5"/>
  <c r="J95" i="5"/>
  <c r="J103" i="5"/>
  <c r="J107" i="5"/>
  <c r="J115" i="5"/>
  <c r="J119" i="5"/>
  <c r="J127" i="5"/>
  <c r="J131" i="5"/>
  <c r="J139" i="5"/>
  <c r="J143" i="5"/>
  <c r="J1017" i="5"/>
  <c r="J151" i="5"/>
  <c r="N151" i="5" s="1"/>
  <c r="J159" i="5"/>
  <c r="J167" i="5"/>
  <c r="J175" i="5"/>
  <c r="J183" i="5"/>
  <c r="J191" i="5"/>
  <c r="J199" i="5"/>
  <c r="J207" i="5"/>
  <c r="J215" i="5"/>
  <c r="J223" i="5"/>
  <c r="J231" i="5"/>
  <c r="J239" i="5"/>
  <c r="L239" i="5" s="1"/>
  <c r="J247" i="5"/>
  <c r="J255" i="5"/>
  <c r="J263" i="5"/>
  <c r="J271" i="5"/>
  <c r="J279" i="5"/>
  <c r="J287" i="5"/>
  <c r="J291" i="5"/>
  <c r="J299" i="5"/>
  <c r="J307" i="5"/>
  <c r="J315" i="5"/>
  <c r="J323" i="5"/>
  <c r="J331" i="5"/>
  <c r="J339" i="5"/>
  <c r="J347" i="5"/>
  <c r="J355" i="5"/>
  <c r="J363" i="5"/>
  <c r="J371" i="5"/>
  <c r="J379" i="5"/>
  <c r="J387" i="5"/>
  <c r="J395" i="5"/>
  <c r="J403" i="5"/>
  <c r="J411" i="5"/>
  <c r="J419" i="5"/>
  <c r="J427" i="5"/>
  <c r="J435" i="5"/>
  <c r="J443" i="5"/>
  <c r="J451" i="5"/>
  <c r="J459" i="5"/>
  <c r="J467" i="5"/>
  <c r="J475" i="5"/>
  <c r="J483" i="5"/>
  <c r="J491" i="5"/>
  <c r="J499" i="5"/>
  <c r="J507" i="5"/>
  <c r="J511" i="5"/>
  <c r="J519" i="5"/>
  <c r="J527" i="5"/>
  <c r="J535" i="5"/>
  <c r="J543" i="5"/>
  <c r="J551" i="5"/>
  <c r="J559" i="5"/>
  <c r="J567" i="5"/>
  <c r="J575" i="5"/>
  <c r="J583" i="5"/>
  <c r="J591" i="5"/>
  <c r="J599" i="5"/>
  <c r="J607" i="5"/>
  <c r="J163" i="5"/>
  <c r="J171" i="5"/>
  <c r="J179" i="5"/>
  <c r="J187" i="5"/>
  <c r="J195" i="5"/>
  <c r="J203" i="5"/>
  <c r="J211" i="5"/>
  <c r="J219" i="5"/>
  <c r="J227" i="5"/>
  <c r="J235" i="5"/>
  <c r="J243" i="5"/>
  <c r="J251" i="5"/>
  <c r="J259" i="5"/>
  <c r="J267" i="5"/>
  <c r="J275" i="5"/>
  <c r="J283" i="5"/>
  <c r="J295" i="5"/>
  <c r="J303" i="5"/>
  <c r="J311" i="5"/>
  <c r="J319" i="5"/>
  <c r="J327" i="5"/>
  <c r="J335" i="5"/>
  <c r="J343" i="5"/>
  <c r="J351" i="5"/>
  <c r="J359" i="5"/>
  <c r="J367" i="5"/>
  <c r="J375" i="5"/>
  <c r="J383" i="5"/>
  <c r="J391" i="5"/>
  <c r="J399" i="5"/>
  <c r="J407" i="5"/>
  <c r="J415" i="5"/>
  <c r="J423" i="5"/>
  <c r="J431" i="5"/>
  <c r="J439" i="5"/>
  <c r="J447" i="5"/>
  <c r="J455" i="5"/>
  <c r="J463" i="5"/>
  <c r="J471" i="5"/>
  <c r="J479" i="5"/>
  <c r="J487" i="5"/>
  <c r="J495" i="5"/>
  <c r="J503" i="5"/>
  <c r="J515" i="5"/>
  <c r="J523" i="5"/>
  <c r="J531" i="5"/>
  <c r="J539" i="5"/>
  <c r="J547" i="5"/>
  <c r="J555" i="5"/>
  <c r="J563" i="5"/>
  <c r="J571" i="5"/>
  <c r="J579" i="5"/>
  <c r="J587" i="5"/>
  <c r="J595" i="5"/>
  <c r="J603" i="5"/>
  <c r="J615" i="5"/>
  <c r="J627" i="5"/>
  <c r="J635" i="5"/>
  <c r="J647" i="5"/>
  <c r="J659" i="5"/>
  <c r="J667" i="5"/>
  <c r="J679" i="5"/>
  <c r="J691" i="5"/>
  <c r="J703" i="5"/>
  <c r="J715" i="5"/>
  <c r="J727" i="5"/>
  <c r="J743" i="5"/>
  <c r="J759" i="5"/>
  <c r="J771" i="5"/>
  <c r="J791" i="5"/>
  <c r="J811" i="5"/>
  <c r="J827" i="5"/>
  <c r="J839" i="5"/>
  <c r="J859" i="5"/>
  <c r="J883" i="5"/>
  <c r="J895" i="5"/>
  <c r="J907" i="5"/>
  <c r="J919" i="5"/>
  <c r="J951" i="5"/>
  <c r="J975" i="5"/>
  <c r="J987" i="5"/>
  <c r="J1003" i="5"/>
  <c r="J1035" i="5"/>
  <c r="J1063" i="5"/>
  <c r="J611" i="5"/>
  <c r="J619" i="5"/>
  <c r="J623" i="5"/>
  <c r="J631" i="5"/>
  <c r="J639" i="5"/>
  <c r="J643" i="5"/>
  <c r="J651" i="5"/>
  <c r="J655" i="5"/>
  <c r="J663" i="5"/>
  <c r="J671" i="5"/>
  <c r="J675" i="5"/>
  <c r="J683" i="5"/>
  <c r="J687" i="5"/>
  <c r="J695" i="5"/>
  <c r="J699" i="5"/>
  <c r="J707" i="5"/>
  <c r="J711" i="5"/>
  <c r="J719" i="5"/>
  <c r="J723" i="5"/>
  <c r="J731" i="5"/>
  <c r="J735" i="5"/>
  <c r="J739" i="5"/>
  <c r="J747" i="5"/>
  <c r="J751" i="5"/>
  <c r="J755" i="5"/>
  <c r="J763" i="5"/>
  <c r="J767" i="5"/>
  <c r="J775" i="5"/>
  <c r="J779" i="5"/>
  <c r="J783" i="5"/>
  <c r="J787" i="5"/>
  <c r="J795" i="5"/>
  <c r="J799" i="5"/>
  <c r="J803" i="5"/>
  <c r="J807" i="5"/>
  <c r="J815" i="5"/>
  <c r="J819" i="5"/>
  <c r="J823" i="5"/>
  <c r="J831" i="5"/>
  <c r="J835" i="5"/>
  <c r="J843" i="5"/>
  <c r="J847" i="5"/>
  <c r="J851" i="5"/>
  <c r="J855" i="5"/>
  <c r="J863" i="5"/>
  <c r="J867" i="5"/>
  <c r="J871" i="5"/>
  <c r="J875" i="5"/>
  <c r="J879" i="5"/>
  <c r="J887" i="5"/>
  <c r="J891" i="5"/>
  <c r="J899" i="5"/>
  <c r="J903" i="5"/>
  <c r="J911" i="5"/>
  <c r="J915" i="5"/>
  <c r="J923" i="5"/>
  <c r="J927" i="5"/>
  <c r="J931" i="5"/>
  <c r="J935" i="5"/>
  <c r="J939" i="5"/>
  <c r="J943" i="5"/>
  <c r="J947" i="5"/>
  <c r="J955" i="5"/>
  <c r="J959" i="5"/>
  <c r="J963" i="5"/>
  <c r="J967" i="5"/>
  <c r="J971" i="5"/>
  <c r="J979" i="5"/>
  <c r="J983" i="5"/>
  <c r="J991" i="5"/>
  <c r="J995" i="5"/>
  <c r="J999" i="5"/>
  <c r="J1007" i="5"/>
  <c r="J1011" i="5"/>
  <c r="J1015" i="5"/>
  <c r="J1019" i="5"/>
  <c r="J1023" i="5"/>
  <c r="J1027" i="5"/>
  <c r="J1031" i="5"/>
  <c r="J1039" i="5"/>
  <c r="J1043" i="5"/>
  <c r="J1047" i="5"/>
  <c r="J1051" i="5"/>
  <c r="J1055" i="5"/>
  <c r="J1059" i="5"/>
  <c r="J1042" i="5"/>
  <c r="N1042" i="5" s="1"/>
  <c r="J1046" i="5"/>
  <c r="J1050" i="5"/>
  <c r="J1054" i="5"/>
  <c r="J1058" i="5"/>
  <c r="N1058" i="5" s="1"/>
  <c r="N23" i="5"/>
  <c r="N16" i="5"/>
  <c r="L16" i="5"/>
  <c r="L28" i="5"/>
  <c r="L104" i="5"/>
  <c r="N124" i="5"/>
  <c r="L124" i="5"/>
  <c r="J156" i="5"/>
  <c r="J192" i="5"/>
  <c r="J204" i="5"/>
  <c r="N220" i="5"/>
  <c r="L220" i="5"/>
  <c r="J224" i="5"/>
  <c r="J236" i="5"/>
  <c r="J248" i="5"/>
  <c r="J280" i="5"/>
  <c r="J300" i="5"/>
  <c r="J312" i="5"/>
  <c r="J324" i="5"/>
  <c r="J332" i="5"/>
  <c r="J336" i="5"/>
  <c r="J376" i="5"/>
  <c r="L384" i="5"/>
  <c r="J400" i="5"/>
  <c r="J420" i="5"/>
  <c r="J432" i="5"/>
  <c r="J444" i="5"/>
  <c r="J452" i="5"/>
  <c r="L472" i="5"/>
  <c r="N476" i="5"/>
  <c r="J496" i="5"/>
  <c r="N504" i="5"/>
  <c r="L672" i="5"/>
  <c r="L688" i="5"/>
  <c r="L828" i="5"/>
  <c r="N828" i="5"/>
  <c r="N928" i="5"/>
  <c r="J988" i="5"/>
  <c r="J992" i="5"/>
  <c r="J996" i="5"/>
  <c r="J1000" i="5"/>
  <c r="J1004" i="5"/>
  <c r="J1008" i="5"/>
  <c r="J1012" i="5"/>
  <c r="J1016" i="5"/>
  <c r="J1020" i="5"/>
  <c r="J1024" i="5"/>
  <c r="J1028" i="5"/>
  <c r="J1032" i="5"/>
  <c r="J1036" i="5"/>
  <c r="J1040" i="5"/>
  <c r="J1044" i="5"/>
  <c r="J1048" i="5"/>
  <c r="J1056" i="5"/>
  <c r="J1060" i="5"/>
  <c r="J1064" i="5"/>
  <c r="J1068" i="5"/>
  <c r="J1072" i="5"/>
  <c r="N152" i="5"/>
  <c r="J164" i="5"/>
  <c r="L228" i="5"/>
  <c r="N240" i="5"/>
  <c r="J272" i="5"/>
  <c r="J292" i="5"/>
  <c r="L340" i="5"/>
  <c r="N388" i="5"/>
  <c r="L388" i="5"/>
  <c r="N580" i="5"/>
  <c r="L580" i="5"/>
  <c r="N588" i="5"/>
  <c r="L724" i="5"/>
  <c r="L736" i="5"/>
  <c r="N780" i="5"/>
  <c r="N37" i="5"/>
  <c r="L73" i="5"/>
  <c r="L101" i="5"/>
  <c r="N153" i="5"/>
  <c r="L169" i="5"/>
  <c r="L181" i="5"/>
  <c r="L237" i="5"/>
  <c r="N249" i="5"/>
  <c r="L249" i="5"/>
  <c r="N377" i="5"/>
  <c r="L377" i="5"/>
  <c r="N441" i="5"/>
  <c r="L441" i="5"/>
  <c r="L461" i="5"/>
  <c r="N461" i="5"/>
  <c r="N473" i="5"/>
  <c r="N557" i="5"/>
  <c r="L557" i="5"/>
  <c r="L589" i="5"/>
  <c r="N589" i="5"/>
  <c r="N601" i="5"/>
  <c r="L601" i="5"/>
  <c r="L685" i="5"/>
  <c r="N717" i="5"/>
  <c r="L717" i="5"/>
  <c r="L729" i="5"/>
  <c r="N741" i="5"/>
  <c r="L741" i="5"/>
  <c r="N813" i="5"/>
  <c r="L813" i="5"/>
  <c r="G929" i="5"/>
  <c r="J933" i="5"/>
  <c r="J941" i="5"/>
  <c r="J953" i="5"/>
  <c r="J957" i="5"/>
  <c r="J973" i="5"/>
  <c r="J997" i="5"/>
  <c r="J1033" i="5"/>
  <c r="J1045" i="5"/>
  <c r="J1049" i="5"/>
  <c r="J1053" i="5"/>
  <c r="L103" i="5"/>
  <c r="N89" i="5"/>
  <c r="L89" i="5"/>
  <c r="L105" i="5"/>
  <c r="N117" i="5"/>
  <c r="L149" i="5"/>
  <c r="N173" i="5"/>
  <c r="L173" i="5"/>
  <c r="L221" i="5"/>
  <c r="L229" i="5"/>
  <c r="N245" i="5"/>
  <c r="N297" i="5"/>
  <c r="L297" i="5"/>
  <c r="L357" i="5"/>
  <c r="L361" i="5"/>
  <c r="N373" i="5"/>
  <c r="L373" i="5"/>
  <c r="N381" i="5"/>
  <c r="N429" i="5"/>
  <c r="L429" i="5"/>
  <c r="N469" i="5"/>
  <c r="L469" i="5"/>
  <c r="N477" i="5"/>
  <c r="L477" i="5"/>
  <c r="N501" i="5"/>
  <c r="L501" i="5"/>
  <c r="L509" i="5"/>
  <c r="N517" i="5"/>
  <c r="L517" i="5"/>
  <c r="N521" i="5"/>
  <c r="L521" i="5"/>
  <c r="N541" i="5"/>
  <c r="L541" i="5"/>
  <c r="N549" i="5"/>
  <c r="L549" i="5"/>
  <c r="N633" i="5"/>
  <c r="N637" i="5"/>
  <c r="N645" i="5"/>
  <c r="L645" i="5"/>
  <c r="N661" i="5"/>
  <c r="N681" i="5"/>
  <c r="L681" i="5"/>
  <c r="N693" i="5"/>
  <c r="N709" i="5"/>
  <c r="L709" i="5"/>
  <c r="L733" i="5"/>
  <c r="N793" i="5"/>
  <c r="L793" i="5"/>
  <c r="N797" i="5"/>
  <c r="L809" i="5"/>
  <c r="N821" i="5"/>
  <c r="L873" i="5"/>
  <c r="G913" i="5"/>
  <c r="J937" i="5"/>
  <c r="J949" i="5"/>
  <c r="J965" i="5"/>
  <c r="J969" i="5"/>
  <c r="J981" i="5"/>
  <c r="J985" i="5"/>
  <c r="J989" i="5"/>
  <c r="J1001" i="5"/>
  <c r="J1005" i="5"/>
  <c r="J1013" i="5"/>
  <c r="J1021" i="5"/>
  <c r="J1029" i="5"/>
  <c r="J1037" i="5"/>
  <c r="N111" i="5"/>
  <c r="L111" i="5"/>
  <c r="N5" i="5"/>
  <c r="L109" i="5"/>
  <c r="N157" i="5"/>
  <c r="J6" i="5"/>
  <c r="J14" i="5"/>
  <c r="J22" i="5"/>
  <c r="J30" i="5"/>
  <c r="J38" i="5"/>
  <c r="J46" i="5"/>
  <c r="J54" i="5"/>
  <c r="J66" i="5"/>
  <c r="J74" i="5"/>
  <c r="J82" i="5"/>
  <c r="J90" i="5"/>
  <c r="J98" i="5"/>
  <c r="J106" i="5"/>
  <c r="J114" i="5"/>
  <c r="J122" i="5"/>
  <c r="J130" i="5"/>
  <c r="J138" i="5"/>
  <c r="J146" i="5"/>
  <c r="J154" i="5"/>
  <c r="J162" i="5"/>
  <c r="J170" i="5"/>
  <c r="J182" i="5"/>
  <c r="J190" i="5"/>
  <c r="J194" i="5"/>
  <c r="J206" i="5"/>
  <c r="J210" i="5"/>
  <c r="J218" i="5"/>
  <c r="J230" i="5"/>
  <c r="J238" i="5"/>
  <c r="J242" i="5"/>
  <c r="J250" i="5"/>
  <c r="J262" i="5"/>
  <c r="J270" i="5"/>
  <c r="J274" i="5"/>
  <c r="J282" i="5"/>
  <c r="J290" i="5"/>
  <c r="J298" i="5"/>
  <c r="J310" i="5"/>
  <c r="J318" i="5"/>
  <c r="J326" i="5"/>
  <c r="J334" i="5"/>
  <c r="J342" i="5"/>
  <c r="J350" i="5"/>
  <c r="J358" i="5"/>
  <c r="J370" i="5"/>
  <c r="J378" i="5"/>
  <c r="J386" i="5"/>
  <c r="J394" i="5"/>
  <c r="J402" i="5"/>
  <c r="J410" i="5"/>
  <c r="J418" i="5"/>
  <c r="J426" i="5"/>
  <c r="J434" i="5"/>
  <c r="J442" i="5"/>
  <c r="J450" i="5"/>
  <c r="J458" i="5"/>
  <c r="J466" i="5"/>
  <c r="J474" i="5"/>
  <c r="J482" i="5"/>
  <c r="J490" i="5"/>
  <c r="J498" i="5"/>
  <c r="J506" i="5"/>
  <c r="J514" i="5"/>
  <c r="J522" i="5"/>
  <c r="J530" i="5"/>
  <c r="J538" i="5"/>
  <c r="J546" i="5"/>
  <c r="J554" i="5"/>
  <c r="J562" i="5"/>
  <c r="J570" i="5"/>
  <c r="J574" i="5"/>
  <c r="J586" i="5"/>
  <c r="J594" i="5"/>
  <c r="J602" i="5"/>
  <c r="J606" i="5"/>
  <c r="J614" i="5"/>
  <c r="J622" i="5"/>
  <c r="J630" i="5"/>
  <c r="J638" i="5"/>
  <c r="J646" i="5"/>
  <c r="J654" i="5"/>
  <c r="J662" i="5"/>
  <c r="J670" i="5"/>
  <c r="J678" i="5"/>
  <c r="J686" i="5"/>
  <c r="J694" i="5"/>
  <c r="J702" i="5"/>
  <c r="J710" i="5"/>
  <c r="J718" i="5"/>
  <c r="J726" i="5"/>
  <c r="J734" i="5"/>
  <c r="J742" i="5"/>
  <c r="J750" i="5"/>
  <c r="J758" i="5"/>
  <c r="J766" i="5"/>
  <c r="J774" i="5"/>
  <c r="J782" i="5"/>
  <c r="J790" i="5"/>
  <c r="J798" i="5"/>
  <c r="J806" i="5"/>
  <c r="J814" i="5"/>
  <c r="J822" i="5"/>
  <c r="J830" i="5"/>
  <c r="J838" i="5"/>
  <c r="J846" i="5"/>
  <c r="J854" i="5"/>
  <c r="J862" i="5"/>
  <c r="J870" i="5"/>
  <c r="J878" i="5"/>
  <c r="J886" i="5"/>
  <c r="J894" i="5"/>
  <c r="J898" i="5"/>
  <c r="J906" i="5"/>
  <c r="J918" i="5"/>
  <c r="J926" i="5"/>
  <c r="J934" i="5"/>
  <c r="J942" i="5"/>
  <c r="J950" i="5"/>
  <c r="J958" i="5"/>
  <c r="J966" i="5"/>
  <c r="J974" i="5"/>
  <c r="J982" i="5"/>
  <c r="J990" i="5"/>
  <c r="J1062" i="5"/>
  <c r="J1066" i="5"/>
  <c r="J1070" i="5"/>
  <c r="N15" i="5"/>
  <c r="L15" i="5"/>
  <c r="N59" i="5"/>
  <c r="L123" i="5"/>
  <c r="L41" i="5"/>
  <c r="L53" i="5"/>
  <c r="N53" i="5"/>
  <c r="J2" i="5"/>
  <c r="J10" i="5"/>
  <c r="J18" i="5"/>
  <c r="J26" i="5"/>
  <c r="J34" i="5"/>
  <c r="J42" i="5"/>
  <c r="J50" i="5"/>
  <c r="J58" i="5"/>
  <c r="J62" i="5"/>
  <c r="J70" i="5"/>
  <c r="J78" i="5"/>
  <c r="J86" i="5"/>
  <c r="J94" i="5"/>
  <c r="J102" i="5"/>
  <c r="J110" i="5"/>
  <c r="J118" i="5"/>
  <c r="J126" i="5"/>
  <c r="J134" i="5"/>
  <c r="J142" i="5"/>
  <c r="J150" i="5"/>
  <c r="J158" i="5"/>
  <c r="J166" i="5"/>
  <c r="J174" i="5"/>
  <c r="J178" i="5"/>
  <c r="J186" i="5"/>
  <c r="J198" i="5"/>
  <c r="J202" i="5"/>
  <c r="J214" i="5"/>
  <c r="J222" i="5"/>
  <c r="J226" i="5"/>
  <c r="J234" i="5"/>
  <c r="J246" i="5"/>
  <c r="J254" i="5"/>
  <c r="J258" i="5"/>
  <c r="J266" i="5"/>
  <c r="J278" i="5"/>
  <c r="J286" i="5"/>
  <c r="J294" i="5"/>
  <c r="J302" i="5"/>
  <c r="J306" i="5"/>
  <c r="J314" i="5"/>
  <c r="J322" i="5"/>
  <c r="J330" i="5"/>
  <c r="J338" i="5"/>
  <c r="J346" i="5"/>
  <c r="J354" i="5"/>
  <c r="J362" i="5"/>
  <c r="J366" i="5"/>
  <c r="J374" i="5"/>
  <c r="J382" i="5"/>
  <c r="J390" i="5"/>
  <c r="J398" i="5"/>
  <c r="J406" i="5"/>
  <c r="J414" i="5"/>
  <c r="J422" i="5"/>
  <c r="J430" i="5"/>
  <c r="J438" i="5"/>
  <c r="J446" i="5"/>
  <c r="J454" i="5"/>
  <c r="J462" i="5"/>
  <c r="J470" i="5"/>
  <c r="J478" i="5"/>
  <c r="J486" i="5"/>
  <c r="J494" i="5"/>
  <c r="J502" i="5"/>
  <c r="J510" i="5"/>
  <c r="J518" i="5"/>
  <c r="J526" i="5"/>
  <c r="J534" i="5"/>
  <c r="J542" i="5"/>
  <c r="J550" i="5"/>
  <c r="J558" i="5"/>
  <c r="J566" i="5"/>
  <c r="J578" i="5"/>
  <c r="J582" i="5"/>
  <c r="J590" i="5"/>
  <c r="J598" i="5"/>
  <c r="J610" i="5"/>
  <c r="J618" i="5"/>
  <c r="J626" i="5"/>
  <c r="J634" i="5"/>
  <c r="J642" i="5"/>
  <c r="J650" i="5"/>
  <c r="J658" i="5"/>
  <c r="J666" i="5"/>
  <c r="J674" i="5"/>
  <c r="J682" i="5"/>
  <c r="J690" i="5"/>
  <c r="J698" i="5"/>
  <c r="J706" i="5"/>
  <c r="J714" i="5"/>
  <c r="J722" i="5"/>
  <c r="J730" i="5"/>
  <c r="J738" i="5"/>
  <c r="J746" i="5"/>
  <c r="J754" i="5"/>
  <c r="J762" i="5"/>
  <c r="J770" i="5"/>
  <c r="J778" i="5"/>
  <c r="J786" i="5"/>
  <c r="J794" i="5"/>
  <c r="J802" i="5"/>
  <c r="J810" i="5"/>
  <c r="J818" i="5"/>
  <c r="J826" i="5"/>
  <c r="J834" i="5"/>
  <c r="J842" i="5"/>
  <c r="J850" i="5"/>
  <c r="J858" i="5"/>
  <c r="J866" i="5"/>
  <c r="J874" i="5"/>
  <c r="J882" i="5"/>
  <c r="J890" i="5"/>
  <c r="J902" i="5"/>
  <c r="J910" i="5"/>
  <c r="J914" i="5"/>
  <c r="J922" i="5"/>
  <c r="J930" i="5"/>
  <c r="J938" i="5"/>
  <c r="J946" i="5"/>
  <c r="J954" i="5"/>
  <c r="J962" i="5"/>
  <c r="J970" i="5"/>
  <c r="J978" i="5"/>
  <c r="J986" i="5"/>
  <c r="J994" i="5"/>
  <c r="J998" i="5"/>
  <c r="J1002" i="5"/>
  <c r="J1006" i="5"/>
  <c r="J1010" i="5"/>
  <c r="J1014" i="5"/>
  <c r="J1018" i="5"/>
  <c r="J1022" i="5"/>
  <c r="J1026" i="5"/>
  <c r="J1030" i="5"/>
  <c r="J1034" i="5"/>
  <c r="J1038" i="5"/>
  <c r="S20" i="8"/>
  <c r="S20" i="5"/>
  <c r="U13" i="8"/>
  <c r="U13" i="5"/>
  <c r="S4" i="8"/>
  <c r="S4" i="5"/>
  <c r="S44" i="8"/>
  <c r="S44" i="5"/>
  <c r="U1009" i="8"/>
  <c r="U1009" i="5"/>
  <c r="U18" i="8"/>
  <c r="U18" i="5"/>
  <c r="U10" i="8"/>
  <c r="U10" i="5"/>
  <c r="S5" i="8"/>
  <c r="S5" i="5"/>
  <c r="S36" i="8"/>
  <c r="S36" i="5"/>
  <c r="S32" i="8"/>
  <c r="S32" i="5"/>
  <c r="S45" i="8"/>
  <c r="S45" i="5"/>
  <c r="S41" i="8"/>
  <c r="S41" i="5"/>
  <c r="U38" i="8"/>
  <c r="U38" i="5"/>
  <c r="R1068" i="8"/>
  <c r="R1068" i="5"/>
  <c r="U1062" i="8"/>
  <c r="U1062" i="5"/>
  <c r="U1042" i="8"/>
  <c r="U1042" i="5"/>
  <c r="S1037" i="8"/>
  <c r="S1037" i="5"/>
  <c r="U1030" i="8"/>
  <c r="U1030" i="5"/>
  <c r="U1026" i="8"/>
  <c r="U1026" i="5"/>
  <c r="R1024" i="8"/>
  <c r="R1024" i="5"/>
  <c r="R1020" i="8"/>
  <c r="R1020" i="5"/>
  <c r="S1017" i="8"/>
  <c r="S1017" i="5"/>
  <c r="U998" i="8"/>
  <c r="U998" i="5"/>
  <c r="R992" i="8"/>
  <c r="R992" i="5"/>
  <c r="S989" i="8"/>
  <c r="S989" i="5"/>
  <c r="S985" i="8"/>
  <c r="S985" i="5"/>
  <c r="U982" i="8"/>
  <c r="U982" i="5"/>
  <c r="S973" i="8"/>
  <c r="S973" i="5"/>
  <c r="S969" i="8"/>
  <c r="S969" i="5"/>
  <c r="U942" i="8"/>
  <c r="U942" i="5"/>
  <c r="S925" i="8"/>
  <c r="S925" i="5"/>
  <c r="U918" i="8"/>
  <c r="U918" i="5"/>
  <c r="R912" i="8"/>
  <c r="R912" i="5"/>
  <c r="U910" i="8"/>
  <c r="U910" i="5"/>
  <c r="Q903" i="8"/>
  <c r="Q903" i="5"/>
  <c r="P880" i="8"/>
  <c r="P880" i="5"/>
  <c r="Q877" i="8"/>
  <c r="Q877" i="5"/>
  <c r="Q873" i="8"/>
  <c r="Q873" i="5"/>
  <c r="P863" i="8"/>
  <c r="P863" i="5"/>
  <c r="Q860" i="8"/>
  <c r="Q860" i="5"/>
  <c r="Q856" i="8"/>
  <c r="Q856" i="5"/>
  <c r="U854" i="8"/>
  <c r="U854" i="5"/>
  <c r="T850" i="8"/>
  <c r="T850" i="5"/>
  <c r="Q843" i="8"/>
  <c r="Q843" i="5"/>
  <c r="S797" i="8"/>
  <c r="S797" i="5"/>
  <c r="U790" i="8"/>
  <c r="U790" i="5"/>
  <c r="U769" i="8"/>
  <c r="U769" i="5"/>
  <c r="U765" i="8"/>
  <c r="U765" i="5"/>
  <c r="R763" i="8"/>
  <c r="R763" i="5"/>
  <c r="R759" i="8"/>
  <c r="R759" i="5"/>
  <c r="S720" i="8"/>
  <c r="S720" i="5"/>
  <c r="U717" i="8"/>
  <c r="U717" i="5"/>
  <c r="R711" i="8"/>
  <c r="R711" i="5"/>
  <c r="P685" i="8"/>
  <c r="P685" i="5"/>
  <c r="U677" i="8"/>
  <c r="U677" i="5"/>
  <c r="Q674" i="8"/>
  <c r="Q674" i="5"/>
  <c r="T673" i="8"/>
  <c r="T673" i="5"/>
  <c r="P673" i="8"/>
  <c r="P673" i="5"/>
  <c r="Q670" i="8"/>
  <c r="Q670" i="5"/>
  <c r="T669" i="8"/>
  <c r="T669" i="5"/>
  <c r="P669" i="8"/>
  <c r="P669" i="5"/>
  <c r="Q666" i="8"/>
  <c r="Q666" i="5"/>
  <c r="T665" i="8"/>
  <c r="T665" i="5"/>
  <c r="P665" i="8"/>
  <c r="P665" i="5"/>
  <c r="U657" i="8"/>
  <c r="U657" i="5"/>
  <c r="S656" i="8"/>
  <c r="S656" i="5"/>
  <c r="R655" i="8"/>
  <c r="R655" i="5"/>
  <c r="U653" i="8"/>
  <c r="U653" i="5"/>
  <c r="S652" i="8"/>
  <c r="S652" i="5"/>
  <c r="R651" i="8"/>
  <c r="R651" i="5"/>
  <c r="U649" i="8"/>
  <c r="U649" i="5"/>
  <c r="S648" i="8"/>
  <c r="S648" i="5"/>
  <c r="R647" i="8"/>
  <c r="R647" i="5"/>
  <c r="U630" i="8"/>
  <c r="U630" i="5"/>
  <c r="S628" i="8"/>
  <c r="S628" i="5"/>
  <c r="U625" i="8"/>
  <c r="U625" i="5"/>
  <c r="Q620" i="8"/>
  <c r="Q620" i="5"/>
  <c r="P619" i="8"/>
  <c r="P619" i="5"/>
  <c r="U617" i="8"/>
  <c r="U617" i="5"/>
  <c r="Q612" i="8"/>
  <c r="Q612" i="5"/>
  <c r="P611" i="8"/>
  <c r="P611" i="5"/>
  <c r="Q608" i="8"/>
  <c r="Q608" i="5"/>
  <c r="T607" i="8"/>
  <c r="T607" i="5"/>
  <c r="P607" i="8"/>
  <c r="P607" i="5"/>
  <c r="Q604" i="8"/>
  <c r="Q604" i="5"/>
  <c r="T603" i="8"/>
  <c r="T603" i="5"/>
  <c r="P603" i="8"/>
  <c r="P603" i="5"/>
  <c r="U601" i="8"/>
  <c r="U601" i="5"/>
  <c r="Q596" i="8"/>
  <c r="Q596" i="5"/>
  <c r="P595" i="8"/>
  <c r="P595" i="5"/>
  <c r="Q592" i="8"/>
  <c r="Q592" i="5"/>
  <c r="T591" i="8"/>
  <c r="T591" i="5"/>
  <c r="P591" i="8"/>
  <c r="P591" i="5"/>
  <c r="Q588" i="8"/>
  <c r="Q588" i="5"/>
  <c r="T587" i="8"/>
  <c r="T587" i="5"/>
  <c r="P587" i="8"/>
  <c r="P587" i="5"/>
  <c r="Q584" i="8"/>
  <c r="Q584" i="5"/>
  <c r="T583" i="8"/>
  <c r="T583" i="5"/>
  <c r="P583" i="8"/>
  <c r="P583" i="5"/>
  <c r="U581" i="8"/>
  <c r="U581" i="5"/>
  <c r="Q578" i="8"/>
  <c r="Q578" i="5"/>
  <c r="T577" i="8"/>
  <c r="T577" i="5"/>
  <c r="P577" i="8"/>
  <c r="P577" i="5"/>
  <c r="Q574" i="8"/>
  <c r="Q574" i="5"/>
  <c r="T573" i="8"/>
  <c r="T573" i="5"/>
  <c r="P573" i="8"/>
  <c r="P573" i="5"/>
  <c r="Q568" i="8"/>
  <c r="Q568" i="5"/>
  <c r="P567" i="8"/>
  <c r="P567" i="5"/>
  <c r="U565" i="8"/>
  <c r="U565" i="5"/>
  <c r="U550" i="8"/>
  <c r="U550" i="5"/>
  <c r="S548" i="8"/>
  <c r="S548" i="5"/>
  <c r="U545" i="8"/>
  <c r="U545" i="5"/>
  <c r="Q540" i="8"/>
  <c r="Q540" i="5"/>
  <c r="P539" i="8"/>
  <c r="P539" i="5"/>
  <c r="U537" i="8"/>
  <c r="U537" i="5"/>
  <c r="Q532" i="8"/>
  <c r="Q532" i="5"/>
  <c r="P531" i="8"/>
  <c r="P531" i="5"/>
  <c r="U526" i="8"/>
  <c r="U526" i="5"/>
  <c r="S525" i="8"/>
  <c r="S525" i="5"/>
  <c r="R524" i="8"/>
  <c r="R524" i="5"/>
  <c r="P521" i="8"/>
  <c r="P521" i="5"/>
  <c r="U514" i="8"/>
  <c r="U514" i="5"/>
  <c r="S512" i="8"/>
  <c r="S512" i="5"/>
  <c r="U506" i="8"/>
  <c r="U506" i="5"/>
  <c r="S504" i="8"/>
  <c r="S504" i="5"/>
  <c r="U494" i="8"/>
  <c r="U494" i="5"/>
  <c r="S492" i="8"/>
  <c r="S492" i="5"/>
  <c r="U486" i="8"/>
  <c r="U486" i="5"/>
  <c r="S484" i="8"/>
  <c r="S484" i="5"/>
  <c r="S473" i="8"/>
  <c r="S473" i="5"/>
  <c r="Q470" i="8"/>
  <c r="Q470" i="5"/>
  <c r="Q460" i="8"/>
  <c r="Q460" i="5"/>
  <c r="P459" i="8"/>
  <c r="P459" i="5"/>
  <c r="U457" i="8"/>
  <c r="U457" i="5"/>
  <c r="Q452" i="8"/>
  <c r="Q452" i="5"/>
  <c r="P451" i="8"/>
  <c r="P451" i="5"/>
  <c r="S448" i="8"/>
  <c r="S448" i="5"/>
  <c r="U442" i="8"/>
  <c r="U442" i="5"/>
  <c r="S440" i="8"/>
  <c r="S440" i="5"/>
  <c r="U434" i="8"/>
  <c r="U434" i="5"/>
  <c r="S433" i="8"/>
  <c r="S433" i="5"/>
  <c r="Q430" i="8"/>
  <c r="Q430" i="5"/>
  <c r="S425" i="8"/>
  <c r="S425" i="5"/>
  <c r="Q422" i="8"/>
  <c r="Q422" i="5"/>
  <c r="P413" i="8"/>
  <c r="P413" i="5"/>
  <c r="P405" i="8"/>
  <c r="P405" i="5"/>
  <c r="S397" i="8"/>
  <c r="S397" i="5"/>
  <c r="Q394" i="8"/>
  <c r="Q394" i="5"/>
  <c r="S389" i="8"/>
  <c r="S389" i="5"/>
  <c r="S384" i="8"/>
  <c r="S384" i="5"/>
  <c r="U378" i="8"/>
  <c r="U378" i="5"/>
  <c r="S376" i="8"/>
  <c r="S376" i="5"/>
  <c r="U370" i="8"/>
  <c r="U370" i="5"/>
  <c r="S369" i="8"/>
  <c r="S369" i="5"/>
  <c r="Q366" i="8"/>
  <c r="Q366" i="5"/>
  <c r="S361" i="8"/>
  <c r="S361" i="5"/>
  <c r="Q358" i="8"/>
  <c r="Q358" i="5"/>
  <c r="P349" i="8"/>
  <c r="P349" i="5"/>
  <c r="P341" i="8"/>
  <c r="P341" i="5"/>
  <c r="P333" i="8"/>
  <c r="P333" i="5"/>
  <c r="P325" i="8"/>
  <c r="P325" i="5"/>
  <c r="U318" i="8"/>
  <c r="U318" i="5"/>
  <c r="S316" i="8"/>
  <c r="S316" i="5"/>
  <c r="U310" i="8"/>
  <c r="U310" i="5"/>
  <c r="S308" i="8"/>
  <c r="S308" i="5"/>
  <c r="Q300" i="8"/>
  <c r="Q300" i="5"/>
  <c r="P299" i="8"/>
  <c r="P299" i="5"/>
  <c r="U297" i="8"/>
  <c r="U297" i="5"/>
  <c r="P281" i="8"/>
  <c r="P281" i="5"/>
  <c r="Q272" i="8"/>
  <c r="Q272" i="5"/>
  <c r="P271" i="8"/>
  <c r="P271" i="5"/>
  <c r="U269" i="8"/>
  <c r="U269" i="5"/>
  <c r="Q264" i="8"/>
  <c r="Q264" i="5"/>
  <c r="P263" i="8"/>
  <c r="P263" i="5"/>
  <c r="U261" i="8"/>
  <c r="U261" i="5"/>
  <c r="U254" i="8"/>
  <c r="U254" i="5"/>
  <c r="S252" i="8"/>
  <c r="S252" i="5"/>
  <c r="U246" i="8"/>
  <c r="U246" i="5"/>
  <c r="S245" i="8"/>
  <c r="S245" i="5"/>
  <c r="R244" i="8"/>
  <c r="R244" i="5"/>
  <c r="U242" i="8"/>
  <c r="U242" i="5"/>
  <c r="S241" i="8"/>
  <c r="S241" i="5"/>
  <c r="R240" i="8"/>
  <c r="R240" i="5"/>
  <c r="U238" i="8"/>
  <c r="U238" i="5"/>
  <c r="S237" i="8"/>
  <c r="S237" i="5"/>
  <c r="Q234" i="8"/>
  <c r="Q234" i="5"/>
  <c r="S229" i="8"/>
  <c r="S229" i="5"/>
  <c r="Q226" i="8"/>
  <c r="Q226" i="5"/>
  <c r="T225" i="8"/>
  <c r="T225" i="5"/>
  <c r="P225" i="8"/>
  <c r="P225" i="5"/>
  <c r="P217" i="8"/>
  <c r="P217" i="5"/>
  <c r="P209" i="8"/>
  <c r="P209" i="5"/>
  <c r="Q202" i="8"/>
  <c r="Q202" i="5"/>
  <c r="U198" i="8"/>
  <c r="U198" i="5"/>
  <c r="P191" i="8"/>
  <c r="P191" i="5"/>
  <c r="S185" i="8"/>
  <c r="S185" i="5"/>
  <c r="Q180" i="8"/>
  <c r="Q180" i="5"/>
  <c r="U174" i="8"/>
  <c r="U174" i="5"/>
  <c r="Q168" i="8"/>
  <c r="Q168" i="5"/>
  <c r="U21" i="8"/>
  <c r="U21" i="5"/>
  <c r="U17" i="8"/>
  <c r="U17" i="5"/>
  <c r="U9" i="8"/>
  <c r="U9" i="5"/>
  <c r="S48" i="8"/>
  <c r="S48" i="5"/>
  <c r="S1072" i="8"/>
  <c r="S1072" i="5"/>
  <c r="S1056" i="8"/>
  <c r="S1056" i="5"/>
  <c r="U1045" i="8"/>
  <c r="U1045" i="5"/>
  <c r="U1037" i="8"/>
  <c r="U1037" i="5"/>
  <c r="S1032" i="8"/>
  <c r="S1032" i="5"/>
  <c r="U1017" i="8"/>
  <c r="U1017" i="5"/>
  <c r="S1012" i="8"/>
  <c r="S1012" i="5"/>
  <c r="P2" i="8"/>
  <c r="T2" i="8"/>
  <c r="T2" i="5"/>
  <c r="S21" i="8"/>
  <c r="S21" i="5"/>
  <c r="S17" i="8"/>
  <c r="S17" i="5"/>
  <c r="U14" i="8"/>
  <c r="U14" i="5"/>
  <c r="S13" i="8"/>
  <c r="S13" i="5"/>
  <c r="S9" i="8"/>
  <c r="S9" i="5"/>
  <c r="U6" i="8"/>
  <c r="U6" i="5"/>
  <c r="U37" i="8"/>
  <c r="U37" i="5"/>
  <c r="U33" i="8"/>
  <c r="U33" i="5"/>
  <c r="U29" i="8"/>
  <c r="U29" i="5"/>
  <c r="S28" i="8"/>
  <c r="S28" i="5"/>
  <c r="U25" i="8"/>
  <c r="U25" i="5"/>
  <c r="S24" i="8"/>
  <c r="S24" i="5"/>
  <c r="U50" i="8"/>
  <c r="U50" i="5"/>
  <c r="S49" i="8"/>
  <c r="S49" i="5"/>
  <c r="U46" i="8"/>
  <c r="U46" i="5"/>
  <c r="U42" i="8"/>
  <c r="U42" i="5"/>
  <c r="S1073" i="8"/>
  <c r="S1073" i="5"/>
  <c r="R1072" i="8"/>
  <c r="R1072" i="5"/>
  <c r="U1070" i="8"/>
  <c r="U1070" i="5"/>
  <c r="S1069" i="8"/>
  <c r="S1069" i="5"/>
  <c r="U1066" i="8"/>
  <c r="U1066" i="5"/>
  <c r="S1065" i="8"/>
  <c r="S1065" i="5"/>
  <c r="S1061" i="8"/>
  <c r="S1061" i="5"/>
  <c r="U1058" i="8"/>
  <c r="U1058" i="5"/>
  <c r="S1057" i="8"/>
  <c r="S1057" i="5"/>
  <c r="U1054" i="8"/>
  <c r="U1054" i="5"/>
  <c r="S1053" i="8"/>
  <c r="S1053" i="5"/>
  <c r="U1050" i="8"/>
  <c r="U1050" i="5"/>
  <c r="S1049" i="8"/>
  <c r="S1049" i="5"/>
  <c r="U1046" i="8"/>
  <c r="U1046" i="5"/>
  <c r="S1045" i="8"/>
  <c r="S1045" i="5"/>
  <c r="S1041" i="8"/>
  <c r="S1041" i="5"/>
  <c r="U1038" i="8"/>
  <c r="U1038" i="5"/>
  <c r="U1034" i="8"/>
  <c r="U1034" i="5"/>
  <c r="S1033" i="8"/>
  <c r="S1033" i="5"/>
  <c r="S1029" i="8"/>
  <c r="S1029" i="5"/>
  <c r="S1025" i="8"/>
  <c r="S1025" i="5"/>
  <c r="U1022" i="8"/>
  <c r="U1022" i="5"/>
  <c r="S1021" i="8"/>
  <c r="S1021" i="5"/>
  <c r="U1018" i="8"/>
  <c r="U1018" i="5"/>
  <c r="U1014" i="8"/>
  <c r="U1014" i="5"/>
  <c r="S1013" i="8"/>
  <c r="S1013" i="5"/>
  <c r="U1010" i="8"/>
  <c r="U1010" i="5"/>
  <c r="S1009" i="8"/>
  <c r="S1009" i="5"/>
  <c r="U1006" i="8"/>
  <c r="U1006" i="5"/>
  <c r="S1005" i="8"/>
  <c r="S1005" i="5"/>
  <c r="R1004" i="8"/>
  <c r="R1004" i="5"/>
  <c r="U1002" i="8"/>
  <c r="U1002" i="5"/>
  <c r="S1001" i="8"/>
  <c r="S1001" i="5"/>
  <c r="S997" i="8"/>
  <c r="S997" i="5"/>
  <c r="U994" i="8"/>
  <c r="U994" i="5"/>
  <c r="S993" i="8"/>
  <c r="S993" i="5"/>
  <c r="U990" i="8"/>
  <c r="U990" i="5"/>
  <c r="R988" i="8"/>
  <c r="R988" i="5"/>
  <c r="U986" i="8"/>
  <c r="U986" i="5"/>
  <c r="S981" i="8"/>
  <c r="S981" i="5"/>
  <c r="U978" i="8"/>
  <c r="U978" i="5"/>
  <c r="S977" i="8"/>
  <c r="S977" i="5"/>
  <c r="R976" i="8"/>
  <c r="R976" i="5"/>
  <c r="U974" i="8"/>
  <c r="U974" i="5"/>
  <c r="U970" i="8"/>
  <c r="U970" i="5"/>
  <c r="U966" i="8"/>
  <c r="U966" i="5"/>
  <c r="S965" i="8"/>
  <c r="S965" i="5"/>
  <c r="U962" i="8"/>
  <c r="U962" i="5"/>
  <c r="S961" i="8"/>
  <c r="S961" i="5"/>
  <c r="U958" i="8"/>
  <c r="U958" i="5"/>
  <c r="S957" i="8"/>
  <c r="S957" i="5"/>
  <c r="U954" i="8"/>
  <c r="U954" i="5"/>
  <c r="S953" i="8"/>
  <c r="S953" i="5"/>
  <c r="U950" i="8"/>
  <c r="U950" i="5"/>
  <c r="S949" i="8"/>
  <c r="S949" i="5"/>
  <c r="U946" i="8"/>
  <c r="U946" i="5"/>
  <c r="S945" i="8"/>
  <c r="S945" i="5"/>
  <c r="S941" i="8"/>
  <c r="S941" i="5"/>
  <c r="U938" i="8"/>
  <c r="U938" i="5"/>
  <c r="S937" i="8"/>
  <c r="S937" i="5"/>
  <c r="U934" i="8"/>
  <c r="U934" i="5"/>
  <c r="S933" i="8"/>
  <c r="S933" i="5"/>
  <c r="U930" i="8"/>
  <c r="U930" i="5"/>
  <c r="S929" i="8"/>
  <c r="S929" i="5"/>
  <c r="U926" i="8"/>
  <c r="U926" i="5"/>
  <c r="U922" i="8"/>
  <c r="U922" i="5"/>
  <c r="S921" i="8"/>
  <c r="S921" i="5"/>
  <c r="S917" i="8"/>
  <c r="S917" i="5"/>
  <c r="U914" i="8"/>
  <c r="U914" i="5"/>
  <c r="S913" i="8"/>
  <c r="S913" i="5"/>
  <c r="S909" i="8"/>
  <c r="S909" i="5"/>
  <c r="U906" i="8"/>
  <c r="U906" i="5"/>
  <c r="P901" i="8"/>
  <c r="P901" i="5"/>
  <c r="Q881" i="8"/>
  <c r="Q881" i="5"/>
  <c r="T880" i="8"/>
  <c r="T880" i="5"/>
  <c r="T876" i="8"/>
  <c r="T876" i="5"/>
  <c r="P876" i="8"/>
  <c r="P876" i="5"/>
  <c r="T872" i="8"/>
  <c r="T872" i="5"/>
  <c r="P872" i="8"/>
  <c r="P872" i="5"/>
  <c r="Q864" i="8"/>
  <c r="Q864" i="5"/>
  <c r="T863" i="8"/>
  <c r="T863" i="5"/>
  <c r="T859" i="8"/>
  <c r="T859" i="5"/>
  <c r="P859" i="8"/>
  <c r="P859" i="5"/>
  <c r="P855" i="8"/>
  <c r="P855" i="5"/>
  <c r="Q851" i="8"/>
  <c r="Q851" i="5"/>
  <c r="P850" i="8"/>
  <c r="P850" i="5"/>
  <c r="Q847" i="8"/>
  <c r="Q847" i="5"/>
  <c r="T846" i="8"/>
  <c r="T846" i="5"/>
  <c r="P846" i="8"/>
  <c r="P846" i="5"/>
  <c r="T842" i="8"/>
  <c r="T842" i="5"/>
  <c r="P842" i="8"/>
  <c r="P842" i="5"/>
  <c r="U841" i="8"/>
  <c r="U841" i="5"/>
  <c r="S840" i="8"/>
  <c r="S840" i="5"/>
  <c r="Q838" i="8"/>
  <c r="Q838" i="5"/>
  <c r="U802" i="8"/>
  <c r="U802" i="5"/>
  <c r="S801" i="8"/>
  <c r="S801" i="5"/>
  <c r="R800" i="8"/>
  <c r="R800" i="5"/>
  <c r="U798" i="8"/>
  <c r="U798" i="5"/>
  <c r="R796" i="8"/>
  <c r="R796" i="5"/>
  <c r="U794" i="8"/>
  <c r="U794" i="5"/>
  <c r="S793" i="8"/>
  <c r="S793" i="5"/>
  <c r="R792" i="8"/>
  <c r="R792" i="5"/>
  <c r="S789" i="8"/>
  <c r="S789" i="5"/>
  <c r="S772" i="8"/>
  <c r="S772" i="5"/>
  <c r="S768" i="8"/>
  <c r="S768" i="5"/>
  <c r="R767" i="8"/>
  <c r="R767" i="5"/>
  <c r="S764" i="8"/>
  <c r="S764" i="5"/>
  <c r="U761" i="8"/>
  <c r="U761" i="5"/>
  <c r="S760" i="8"/>
  <c r="S760" i="5"/>
  <c r="U757" i="8"/>
  <c r="U757" i="5"/>
  <c r="S756" i="8"/>
  <c r="S756" i="5"/>
  <c r="R755" i="8"/>
  <c r="R755" i="5"/>
  <c r="U738" i="8"/>
  <c r="U738" i="5"/>
  <c r="T732" i="8"/>
  <c r="T732" i="5"/>
  <c r="Q729" i="8"/>
  <c r="Q729" i="5"/>
  <c r="P724" i="8"/>
  <c r="P724" i="5"/>
  <c r="U721" i="8"/>
  <c r="U721" i="5"/>
  <c r="R719" i="8"/>
  <c r="R719" i="5"/>
  <c r="S716" i="8"/>
  <c r="S716" i="5"/>
  <c r="R715" i="8"/>
  <c r="R715" i="5"/>
  <c r="U713" i="8"/>
  <c r="U713" i="5"/>
  <c r="S712" i="8"/>
  <c r="S712" i="5"/>
  <c r="P709" i="8"/>
  <c r="P709" i="5"/>
  <c r="Q692" i="8"/>
  <c r="Q692" i="5"/>
  <c r="P691" i="8"/>
  <c r="P691" i="5"/>
  <c r="P733" i="8"/>
  <c r="P733" i="5"/>
  <c r="P725" i="8"/>
  <c r="P725" i="5"/>
  <c r="U2" i="8"/>
  <c r="Q19" i="8"/>
  <c r="Q19" i="5"/>
  <c r="P18" i="8"/>
  <c r="P18" i="5"/>
  <c r="Q15" i="8"/>
  <c r="Q15" i="5"/>
  <c r="P14" i="8"/>
  <c r="P14" i="5"/>
  <c r="Q11" i="8"/>
  <c r="Q11" i="5"/>
  <c r="P10" i="8"/>
  <c r="P10" i="5"/>
  <c r="Q7" i="8"/>
  <c r="Q7" i="5"/>
  <c r="P6" i="8"/>
  <c r="P6" i="5"/>
  <c r="Q3" i="8"/>
  <c r="Q3" i="5"/>
  <c r="T37" i="8"/>
  <c r="T37" i="5"/>
  <c r="P37" i="8"/>
  <c r="P37" i="5"/>
  <c r="Q34" i="8"/>
  <c r="Q34" i="5"/>
  <c r="T33" i="5"/>
  <c r="T33" i="8"/>
  <c r="P33" i="8"/>
  <c r="P33" i="5"/>
  <c r="Q30" i="8"/>
  <c r="Q30" i="5"/>
  <c r="P29" i="8"/>
  <c r="P29" i="5"/>
  <c r="Q26" i="8"/>
  <c r="Q26" i="5"/>
  <c r="P25" i="8"/>
  <c r="P25" i="5"/>
  <c r="Q22" i="8"/>
  <c r="Q22" i="5"/>
  <c r="T50" i="8"/>
  <c r="T50" i="5"/>
  <c r="P50" i="8"/>
  <c r="P50" i="5"/>
  <c r="Q47" i="8"/>
  <c r="Q47" i="5"/>
  <c r="P46" i="8"/>
  <c r="P46" i="5"/>
  <c r="Q43" i="8"/>
  <c r="Q43" i="5"/>
  <c r="P42" i="8"/>
  <c r="P42" i="5"/>
  <c r="Q39" i="8"/>
  <c r="Q39" i="5"/>
  <c r="P38" i="8"/>
  <c r="P38" i="5"/>
  <c r="Q1071" i="8"/>
  <c r="Q1071" i="5"/>
  <c r="T1070" i="8"/>
  <c r="T1070" i="5"/>
  <c r="P1070" i="8"/>
  <c r="P1070" i="5"/>
  <c r="Q1067" i="8"/>
  <c r="Q1067" i="5"/>
  <c r="P1066" i="8"/>
  <c r="P1066" i="5"/>
  <c r="Q1063" i="8"/>
  <c r="Q1063" i="5"/>
  <c r="P1062" i="8"/>
  <c r="P1062" i="5"/>
  <c r="Q1059" i="8"/>
  <c r="Q1059" i="5"/>
  <c r="T1058" i="8"/>
  <c r="T1058" i="5"/>
  <c r="P1058" i="8"/>
  <c r="P1058" i="5"/>
  <c r="Q1055" i="8"/>
  <c r="Q1055" i="5"/>
  <c r="P1054" i="8"/>
  <c r="P1054" i="5"/>
  <c r="Q1051" i="8"/>
  <c r="Q1051" i="5"/>
  <c r="P1050" i="8"/>
  <c r="P1050" i="5"/>
  <c r="Q1047" i="8"/>
  <c r="Q1047" i="5"/>
  <c r="P1046" i="8"/>
  <c r="P1046" i="5"/>
  <c r="Q1043" i="8"/>
  <c r="Q1043" i="5"/>
  <c r="T1042" i="8"/>
  <c r="T1042" i="5"/>
  <c r="P1042" i="8"/>
  <c r="P1042" i="5"/>
  <c r="Q1039" i="8"/>
  <c r="Q1039" i="5"/>
  <c r="P1038" i="8"/>
  <c r="P1038" i="5"/>
  <c r="Q1035" i="8"/>
  <c r="Q1035" i="5"/>
  <c r="P1034" i="8"/>
  <c r="P1034" i="5"/>
  <c r="Q1031" i="8"/>
  <c r="Q1031" i="5"/>
  <c r="P1030" i="8"/>
  <c r="P1030" i="5"/>
  <c r="Q1027" i="8"/>
  <c r="Q1027" i="5"/>
  <c r="T1026" i="8"/>
  <c r="T1026" i="5"/>
  <c r="P1026" i="8"/>
  <c r="P1026" i="5"/>
  <c r="Q1023" i="8"/>
  <c r="Q1023" i="5"/>
  <c r="T1022" i="8"/>
  <c r="T1022" i="5"/>
  <c r="P1022" i="8"/>
  <c r="P1022" i="5"/>
  <c r="Q1019" i="8"/>
  <c r="Q1019" i="5"/>
  <c r="P1018" i="8"/>
  <c r="P1018" i="5"/>
  <c r="Q1015" i="8"/>
  <c r="Q1015" i="5"/>
  <c r="P1014" i="8"/>
  <c r="P1014" i="5"/>
  <c r="Q1011" i="8"/>
  <c r="Q1011" i="5"/>
  <c r="T1010" i="8"/>
  <c r="T1010" i="5"/>
  <c r="P1010" i="8"/>
  <c r="P1010" i="5"/>
  <c r="Q1007" i="8"/>
  <c r="Q1007" i="5"/>
  <c r="P1006" i="8"/>
  <c r="P1006" i="5"/>
  <c r="Q1003" i="8"/>
  <c r="Q1003" i="5"/>
  <c r="P1002" i="8"/>
  <c r="P1002" i="5"/>
  <c r="Q999" i="8"/>
  <c r="Q999" i="5"/>
  <c r="T998" i="8"/>
  <c r="T998" i="5"/>
  <c r="P998" i="8"/>
  <c r="P998" i="5"/>
  <c r="Q995" i="8"/>
  <c r="Q995" i="5"/>
  <c r="T994" i="8"/>
  <c r="T994" i="5"/>
  <c r="P994" i="8"/>
  <c r="P994" i="5"/>
  <c r="Q991" i="8"/>
  <c r="Q991" i="5"/>
  <c r="T990" i="8"/>
  <c r="T990" i="5"/>
  <c r="P990" i="8"/>
  <c r="P990" i="5"/>
  <c r="Q987" i="8"/>
  <c r="Q987" i="5"/>
  <c r="P986" i="8"/>
  <c r="P986" i="5"/>
  <c r="Q983" i="8"/>
  <c r="Q983" i="5"/>
  <c r="P982" i="8"/>
  <c r="P982" i="5"/>
  <c r="Q979" i="8"/>
  <c r="Q979" i="5"/>
  <c r="T978" i="8"/>
  <c r="T978" i="5"/>
  <c r="P978" i="8"/>
  <c r="P978" i="5"/>
  <c r="Q975" i="8"/>
  <c r="Q975" i="5"/>
  <c r="P974" i="8"/>
  <c r="P974" i="5"/>
  <c r="Q971" i="8"/>
  <c r="Q971" i="5"/>
  <c r="P970" i="8"/>
  <c r="P970" i="5"/>
  <c r="Q967" i="8"/>
  <c r="Q967" i="5"/>
  <c r="P966" i="8"/>
  <c r="P966" i="5"/>
  <c r="Q963" i="8"/>
  <c r="Q963" i="5"/>
  <c r="P962" i="8"/>
  <c r="P962" i="5"/>
  <c r="Q959" i="8"/>
  <c r="Q959" i="5"/>
  <c r="P958" i="8"/>
  <c r="P958" i="5"/>
  <c r="Q955" i="8"/>
  <c r="Q955" i="5"/>
  <c r="P954" i="8"/>
  <c r="P954" i="5"/>
  <c r="Q951" i="8"/>
  <c r="Q951" i="5"/>
  <c r="P950" i="8"/>
  <c r="P950" i="5"/>
  <c r="Q947" i="8"/>
  <c r="Q947" i="5"/>
  <c r="T946" i="8"/>
  <c r="T946" i="5"/>
  <c r="P946" i="8"/>
  <c r="P946" i="5"/>
  <c r="Q943" i="8"/>
  <c r="Q943" i="5"/>
  <c r="P942" i="8"/>
  <c r="P942" i="5"/>
  <c r="Q939" i="8"/>
  <c r="Q939" i="5"/>
  <c r="P938" i="8"/>
  <c r="P938" i="5"/>
  <c r="Q935" i="8"/>
  <c r="Q935" i="5"/>
  <c r="P934" i="8"/>
  <c r="P934" i="5"/>
  <c r="Q931" i="8"/>
  <c r="Q931" i="5"/>
  <c r="P930" i="8"/>
  <c r="P930" i="5"/>
  <c r="Q927" i="8"/>
  <c r="Q927" i="5"/>
  <c r="P926" i="8"/>
  <c r="P926" i="5"/>
  <c r="Q923" i="8"/>
  <c r="Q923" i="5"/>
  <c r="P922" i="8"/>
  <c r="P922" i="5"/>
  <c r="Q919" i="8"/>
  <c r="Q919" i="5"/>
  <c r="P918" i="8"/>
  <c r="P918" i="5"/>
  <c r="Q915" i="8"/>
  <c r="Q915" i="5"/>
  <c r="P914" i="8"/>
  <c r="P914" i="5"/>
  <c r="Q911" i="8"/>
  <c r="Q911" i="5"/>
  <c r="P910" i="8"/>
  <c r="P910" i="5"/>
  <c r="Q907" i="8"/>
  <c r="Q907" i="5"/>
  <c r="P906" i="8"/>
  <c r="P906" i="5"/>
  <c r="U905" i="8"/>
  <c r="U905" i="5"/>
  <c r="S904" i="8"/>
  <c r="S904" i="5"/>
  <c r="Q902" i="8"/>
  <c r="Q902" i="5"/>
  <c r="Q897" i="8"/>
  <c r="Q897" i="5"/>
  <c r="T896" i="8"/>
  <c r="T896" i="5"/>
  <c r="P896" i="8"/>
  <c r="P896" i="5"/>
  <c r="Q893" i="8"/>
  <c r="Q893" i="5"/>
  <c r="T892" i="8"/>
  <c r="T892" i="5"/>
  <c r="P892" i="8"/>
  <c r="P892" i="5"/>
  <c r="Q889" i="8"/>
  <c r="Q889" i="5"/>
  <c r="T888" i="8"/>
  <c r="T888" i="5"/>
  <c r="P888" i="8"/>
  <c r="P888" i="5"/>
  <c r="Q885" i="8"/>
  <c r="Q885" i="5"/>
  <c r="T884" i="8"/>
  <c r="T884" i="5"/>
  <c r="P884" i="8"/>
  <c r="P884" i="5"/>
  <c r="Q868" i="8"/>
  <c r="Q868" i="5"/>
  <c r="P867" i="8"/>
  <c r="P867" i="5"/>
  <c r="U866" i="8"/>
  <c r="U866" i="5"/>
  <c r="S865" i="8"/>
  <c r="S865" i="5"/>
  <c r="R864" i="8"/>
  <c r="R864" i="5"/>
  <c r="U862" i="8"/>
  <c r="U862" i="5"/>
  <c r="S861" i="8"/>
  <c r="S861" i="5"/>
  <c r="R860" i="8"/>
  <c r="R860" i="5"/>
  <c r="U858" i="8"/>
  <c r="U858" i="5"/>
  <c r="S857" i="8"/>
  <c r="S857" i="5"/>
  <c r="R856" i="8"/>
  <c r="R856" i="5"/>
  <c r="P854" i="8"/>
  <c r="P854" i="5"/>
  <c r="U853" i="8"/>
  <c r="U853" i="5"/>
  <c r="S852" i="8"/>
  <c r="S852" i="5"/>
  <c r="U849" i="8"/>
  <c r="U849" i="5"/>
  <c r="S848" i="8"/>
  <c r="S848" i="5"/>
  <c r="R847" i="8"/>
  <c r="R847" i="5"/>
  <c r="U845" i="8"/>
  <c r="U845" i="5"/>
  <c r="S844" i="8"/>
  <c r="S844" i="5"/>
  <c r="R843" i="8"/>
  <c r="R843" i="5"/>
  <c r="P841" i="8"/>
  <c r="P841" i="5"/>
  <c r="Q837" i="8"/>
  <c r="Q837" i="5"/>
  <c r="P836" i="8"/>
  <c r="P836" i="5"/>
  <c r="Q833" i="8"/>
  <c r="Q833" i="5"/>
  <c r="T832" i="8"/>
  <c r="T832" i="5"/>
  <c r="P832" i="8"/>
  <c r="P832" i="5"/>
  <c r="Q829" i="8"/>
  <c r="Q829" i="5"/>
  <c r="T828" i="8"/>
  <c r="T828" i="5"/>
  <c r="P828" i="8"/>
  <c r="P828" i="5"/>
  <c r="Q825" i="8"/>
  <c r="Q825" i="5"/>
  <c r="T824" i="8"/>
  <c r="T824" i="5"/>
  <c r="P824" i="8"/>
  <c r="P824" i="5"/>
  <c r="Q816" i="8"/>
  <c r="Q816" i="5"/>
  <c r="T815" i="8"/>
  <c r="T815" i="5"/>
  <c r="P815" i="8"/>
  <c r="P815" i="5"/>
  <c r="Q812" i="8"/>
  <c r="Q812" i="5"/>
  <c r="T811" i="8"/>
  <c r="T811" i="5"/>
  <c r="P811" i="8"/>
  <c r="P811" i="5"/>
  <c r="Q808" i="8"/>
  <c r="Q808" i="5"/>
  <c r="T807" i="8"/>
  <c r="T807" i="5"/>
  <c r="P807" i="8"/>
  <c r="P807" i="5"/>
  <c r="Q804" i="8"/>
  <c r="Q804" i="5"/>
  <c r="P803" i="8"/>
  <c r="P803" i="5"/>
  <c r="S788" i="8"/>
  <c r="S788" i="5"/>
  <c r="U785" i="8"/>
  <c r="U785" i="5"/>
  <c r="S784" i="8"/>
  <c r="S784" i="5"/>
  <c r="R783" i="8"/>
  <c r="R783" i="5"/>
  <c r="U781" i="8"/>
  <c r="U781" i="5"/>
  <c r="S780" i="8"/>
  <c r="S780" i="5"/>
  <c r="R779" i="8"/>
  <c r="R779" i="5"/>
  <c r="U777" i="8"/>
  <c r="U777" i="5"/>
  <c r="S776" i="8"/>
  <c r="S776" i="5"/>
  <c r="R775" i="8"/>
  <c r="R775" i="5"/>
  <c r="U773" i="8"/>
  <c r="U773" i="5"/>
  <c r="Q770" i="8"/>
  <c r="Q770" i="5"/>
  <c r="T769" i="8"/>
  <c r="T769" i="5"/>
  <c r="P769" i="8"/>
  <c r="P769" i="5"/>
  <c r="Q766" i="8"/>
  <c r="Q766" i="5"/>
  <c r="T765" i="8"/>
  <c r="T765" i="5"/>
  <c r="P765" i="8"/>
  <c r="P765" i="5"/>
  <c r="Q762" i="8"/>
  <c r="Q762" i="5"/>
  <c r="T761" i="8"/>
  <c r="T761" i="5"/>
  <c r="P761" i="8"/>
  <c r="P761" i="5"/>
  <c r="Q758" i="8"/>
  <c r="Q758" i="5"/>
  <c r="T757" i="8"/>
  <c r="T757" i="5"/>
  <c r="P757" i="8"/>
  <c r="P757" i="5"/>
  <c r="S741" i="8"/>
  <c r="S741" i="5"/>
  <c r="Q722" i="8"/>
  <c r="Q722" i="5"/>
  <c r="T721" i="8"/>
  <c r="T721" i="5"/>
  <c r="P721" i="8"/>
  <c r="P721" i="5"/>
  <c r="Q718" i="8"/>
  <c r="Q718" i="5"/>
  <c r="T717" i="8"/>
  <c r="T717" i="5"/>
  <c r="P717" i="8"/>
  <c r="P717" i="5"/>
  <c r="Q714" i="8"/>
  <c r="Q714" i="5"/>
  <c r="T713" i="8"/>
  <c r="T713" i="5"/>
  <c r="P713" i="8"/>
  <c r="P713" i="5"/>
  <c r="Q710" i="8"/>
  <c r="Q710" i="5"/>
  <c r="Q704" i="8"/>
  <c r="Q704" i="5"/>
  <c r="T703" i="8"/>
  <c r="T703" i="5"/>
  <c r="P703" i="8"/>
  <c r="P703" i="5"/>
  <c r="Q700" i="8"/>
  <c r="Q700" i="5"/>
  <c r="T699" i="8"/>
  <c r="T699" i="5"/>
  <c r="P699" i="8"/>
  <c r="P699" i="5"/>
  <c r="Q696" i="8"/>
  <c r="Q696" i="5"/>
  <c r="T695" i="8"/>
  <c r="T695" i="5"/>
  <c r="P695" i="8"/>
  <c r="P695" i="5"/>
  <c r="U690" i="8"/>
  <c r="U690" i="5"/>
  <c r="S689" i="8"/>
  <c r="S689" i="5"/>
  <c r="Q686" i="8"/>
  <c r="Q686" i="5"/>
  <c r="S681" i="8"/>
  <c r="S681" i="5"/>
  <c r="Q678" i="8"/>
  <c r="Q678" i="5"/>
  <c r="T677" i="8"/>
  <c r="T677" i="5"/>
  <c r="P677" i="8"/>
  <c r="P677" i="5"/>
  <c r="S661" i="8"/>
  <c r="S661" i="5"/>
  <c r="Q658" i="8"/>
  <c r="Q658" i="5"/>
  <c r="T657" i="8"/>
  <c r="T657" i="5"/>
  <c r="P657" i="8"/>
  <c r="P657" i="5"/>
  <c r="Q654" i="8"/>
  <c r="Q654" i="5"/>
  <c r="T653" i="8"/>
  <c r="T653" i="5"/>
  <c r="P653" i="8"/>
  <c r="P653" i="5"/>
  <c r="Q650" i="8"/>
  <c r="Q650" i="5"/>
  <c r="T649" i="8"/>
  <c r="T649" i="5"/>
  <c r="P649" i="8"/>
  <c r="P649" i="5"/>
  <c r="Q644" i="8"/>
  <c r="Q644" i="5"/>
  <c r="P643" i="8"/>
  <c r="P643" i="5"/>
  <c r="Q640" i="8"/>
  <c r="Q640" i="5"/>
  <c r="T639" i="8"/>
  <c r="T639" i="5"/>
  <c r="P639" i="8"/>
  <c r="P639" i="5"/>
  <c r="Q636" i="8"/>
  <c r="Q636" i="5"/>
  <c r="T635" i="8"/>
  <c r="T635" i="5"/>
  <c r="P635" i="8"/>
  <c r="P635" i="5"/>
  <c r="Q632" i="8"/>
  <c r="Q632" i="5"/>
  <c r="T631" i="8"/>
  <c r="T631" i="5"/>
  <c r="P631" i="8"/>
  <c r="P631" i="5"/>
  <c r="U629" i="8"/>
  <c r="U629" i="5"/>
  <c r="Q626" i="8"/>
  <c r="Q626" i="5"/>
  <c r="T625" i="8"/>
  <c r="T625" i="5"/>
  <c r="P625" i="8"/>
  <c r="P625" i="5"/>
  <c r="P617" i="8"/>
  <c r="P617" i="5"/>
  <c r="U610" i="8"/>
  <c r="U610" i="5"/>
  <c r="S609" i="8"/>
  <c r="S609" i="5"/>
  <c r="R608" i="8"/>
  <c r="R608" i="5"/>
  <c r="U606" i="8"/>
  <c r="U606" i="5"/>
  <c r="S605" i="8"/>
  <c r="S605" i="5"/>
  <c r="R604" i="8"/>
  <c r="R604" i="5"/>
  <c r="P601" i="8"/>
  <c r="P601" i="5"/>
  <c r="U594" i="8"/>
  <c r="U594" i="5"/>
  <c r="S593" i="8"/>
  <c r="S593" i="5"/>
  <c r="R592" i="8"/>
  <c r="R592" i="5"/>
  <c r="U590" i="8"/>
  <c r="U590" i="5"/>
  <c r="S589" i="8"/>
  <c r="S589" i="5"/>
  <c r="R588" i="8"/>
  <c r="R588" i="5"/>
  <c r="U586" i="8"/>
  <c r="U586" i="5"/>
  <c r="S585" i="8"/>
  <c r="S585" i="5"/>
  <c r="R584" i="8"/>
  <c r="R584" i="5"/>
  <c r="P581" i="8"/>
  <c r="P581" i="5"/>
  <c r="P565" i="8"/>
  <c r="P565" i="5"/>
  <c r="Q552" i="8"/>
  <c r="Q552" i="5"/>
  <c r="P551" i="8"/>
  <c r="P551" i="5"/>
  <c r="U549" i="8"/>
  <c r="U549" i="5"/>
  <c r="Q546" i="8"/>
  <c r="Q546" i="5"/>
  <c r="T545" i="8"/>
  <c r="T545" i="5"/>
  <c r="P545" i="8"/>
  <c r="P545" i="5"/>
  <c r="P537" i="8"/>
  <c r="P537" i="5"/>
  <c r="U530" i="8"/>
  <c r="U530" i="5"/>
  <c r="S529" i="8"/>
  <c r="S529" i="5"/>
  <c r="Q522" i="8"/>
  <c r="Q522" i="5"/>
  <c r="S517" i="8"/>
  <c r="S517" i="5"/>
  <c r="U513" i="8"/>
  <c r="U513" i="5"/>
  <c r="Q508" i="8"/>
  <c r="Q508" i="5"/>
  <c r="P507" i="8"/>
  <c r="P507" i="5"/>
  <c r="U505" i="8"/>
  <c r="U505" i="5"/>
  <c r="Q500" i="8"/>
  <c r="Q500" i="5"/>
  <c r="P499" i="8"/>
  <c r="P499" i="5"/>
  <c r="Q496" i="8"/>
  <c r="Q496" i="5"/>
  <c r="P495" i="8"/>
  <c r="P495" i="5"/>
  <c r="U493" i="8"/>
  <c r="U493" i="5"/>
  <c r="Q488" i="8"/>
  <c r="Q488" i="5"/>
  <c r="P487" i="8"/>
  <c r="P487" i="5"/>
  <c r="U485" i="8"/>
  <c r="U485" i="5"/>
  <c r="U474" i="8"/>
  <c r="U474" i="5"/>
  <c r="S472" i="8"/>
  <c r="S472" i="5"/>
  <c r="P457" i="8"/>
  <c r="P457" i="5"/>
  <c r="U449" i="8"/>
  <c r="U449" i="5"/>
  <c r="Q444" i="8"/>
  <c r="Q444" i="5"/>
  <c r="P443" i="8"/>
  <c r="P443" i="5"/>
  <c r="U441" i="8"/>
  <c r="U441" i="5"/>
  <c r="Q436" i="8"/>
  <c r="Q436" i="5"/>
  <c r="P435" i="8"/>
  <c r="P435" i="5"/>
  <c r="S432" i="8"/>
  <c r="S432" i="5"/>
  <c r="U426" i="8"/>
  <c r="U426" i="5"/>
  <c r="S424" i="8"/>
  <c r="S424" i="5"/>
  <c r="U418" i="8"/>
  <c r="U418" i="5"/>
  <c r="S417" i="8"/>
  <c r="S417" i="5"/>
  <c r="Q414" i="8"/>
  <c r="Q414" i="5"/>
  <c r="S409" i="8"/>
  <c r="S409" i="5"/>
  <c r="Q406" i="8"/>
  <c r="Q406" i="5"/>
  <c r="U398" i="8"/>
  <c r="U398" i="5"/>
  <c r="S396" i="8"/>
  <c r="S396" i="5"/>
  <c r="U390" i="8"/>
  <c r="U390" i="5"/>
  <c r="S388" i="8"/>
  <c r="S388" i="5"/>
  <c r="U385" i="8"/>
  <c r="U385" i="5"/>
  <c r="Q380" i="8"/>
  <c r="Q380" i="5"/>
  <c r="P379" i="8"/>
  <c r="P379" i="5"/>
  <c r="U377" i="8"/>
  <c r="U377" i="5"/>
  <c r="Q372" i="8"/>
  <c r="Q372" i="5"/>
  <c r="P371" i="8"/>
  <c r="P371" i="5"/>
  <c r="S368" i="8"/>
  <c r="S368" i="5"/>
  <c r="U362" i="8"/>
  <c r="U362" i="5"/>
  <c r="S360" i="8"/>
  <c r="S360" i="5"/>
  <c r="U354" i="8"/>
  <c r="U354" i="5"/>
  <c r="S353" i="8"/>
  <c r="S353" i="5"/>
  <c r="Q350" i="8"/>
  <c r="Q350" i="5"/>
  <c r="S345" i="8"/>
  <c r="S345" i="5"/>
  <c r="Q342" i="8"/>
  <c r="Q342" i="5"/>
  <c r="S337" i="8"/>
  <c r="S337" i="5"/>
  <c r="Q334" i="8"/>
  <c r="Q334" i="5"/>
  <c r="S329" i="8"/>
  <c r="S329" i="5"/>
  <c r="Q326" i="8"/>
  <c r="Q326" i="5"/>
  <c r="Q320" i="8"/>
  <c r="Q320" i="5"/>
  <c r="T319" i="8"/>
  <c r="T319" i="5"/>
  <c r="P319" i="8"/>
  <c r="P319" i="5"/>
  <c r="U317" i="8"/>
  <c r="U317" i="5"/>
  <c r="Q312" i="8"/>
  <c r="Q312" i="5"/>
  <c r="P311" i="8"/>
  <c r="P311" i="5"/>
  <c r="U309" i="8"/>
  <c r="U309" i="5"/>
  <c r="U302" i="8"/>
  <c r="U302" i="5"/>
  <c r="S301" i="8"/>
  <c r="S301" i="5"/>
  <c r="R300" i="8"/>
  <c r="R300" i="5"/>
  <c r="P297" i="8"/>
  <c r="P297" i="5"/>
  <c r="Q288" i="8"/>
  <c r="Q288" i="5"/>
  <c r="P287" i="8"/>
  <c r="P287" i="5"/>
  <c r="S285" i="8"/>
  <c r="S285" i="5"/>
  <c r="Q282" i="8"/>
  <c r="Q282" i="5"/>
  <c r="Q276" i="8"/>
  <c r="Q276" i="5"/>
  <c r="T275" i="8"/>
  <c r="T275" i="5"/>
  <c r="P275" i="8"/>
  <c r="P275" i="5"/>
  <c r="P269" i="8"/>
  <c r="P269" i="5"/>
  <c r="P261" i="8"/>
  <c r="P261" i="5"/>
  <c r="Q256" i="8"/>
  <c r="Q256" i="5"/>
  <c r="P255" i="8"/>
  <c r="P255" i="5"/>
  <c r="U253" i="8"/>
  <c r="U253" i="5"/>
  <c r="Q248" i="8"/>
  <c r="Q248" i="5"/>
  <c r="P247" i="8"/>
  <c r="P247" i="5"/>
  <c r="S236" i="8"/>
  <c r="S236" i="5"/>
  <c r="U230" i="8"/>
  <c r="U230" i="5"/>
  <c r="S228" i="8"/>
  <c r="S228" i="5"/>
  <c r="S221" i="8"/>
  <c r="S221" i="5"/>
  <c r="Q218" i="8"/>
  <c r="Q218" i="5"/>
  <c r="S213" i="8"/>
  <c r="S213" i="5"/>
  <c r="Q210" i="8"/>
  <c r="Q210" i="5"/>
  <c r="S205" i="8"/>
  <c r="S205" i="5"/>
  <c r="P199" i="8"/>
  <c r="P199" i="5"/>
  <c r="Q192" i="8"/>
  <c r="Q192" i="5"/>
  <c r="U186" i="8"/>
  <c r="U186" i="5"/>
  <c r="P175" i="8"/>
  <c r="P175" i="5"/>
  <c r="U162" i="8"/>
  <c r="U162" i="5"/>
  <c r="S161" i="8"/>
  <c r="S161" i="5"/>
  <c r="Q156" i="8"/>
  <c r="Q156" i="5"/>
  <c r="P151" i="8"/>
  <c r="P151" i="5"/>
  <c r="U1073" i="8"/>
  <c r="U1073" i="5"/>
  <c r="S1068" i="8"/>
  <c r="S1068" i="5"/>
  <c r="U1061" i="8"/>
  <c r="U1061" i="5"/>
  <c r="S1024" i="8"/>
  <c r="S1024" i="5"/>
  <c r="R1019" i="8"/>
  <c r="R1019" i="5"/>
  <c r="U1013" i="8"/>
  <c r="U1013" i="5"/>
  <c r="S1008" i="8"/>
  <c r="S1008" i="5"/>
  <c r="S988" i="8"/>
  <c r="S988" i="5"/>
  <c r="R975" i="8"/>
  <c r="R975" i="5"/>
  <c r="S964" i="8"/>
  <c r="S964" i="5"/>
  <c r="S924" i="8"/>
  <c r="S924" i="5"/>
  <c r="P900" i="8"/>
  <c r="P900" i="5"/>
  <c r="Q880" i="8"/>
  <c r="Q880" i="5"/>
  <c r="T879" i="8"/>
  <c r="T879" i="5"/>
  <c r="P879" i="8"/>
  <c r="P879" i="5"/>
  <c r="Q876" i="8"/>
  <c r="Q876" i="5"/>
  <c r="T875" i="8"/>
  <c r="T875" i="5"/>
  <c r="P875" i="8"/>
  <c r="P875" i="5"/>
  <c r="Q872" i="8"/>
  <c r="Q872" i="5"/>
  <c r="T871" i="8"/>
  <c r="T871" i="5"/>
  <c r="P871" i="8"/>
  <c r="P871" i="5"/>
  <c r="S869" i="8"/>
  <c r="S869" i="5"/>
  <c r="P866" i="8"/>
  <c r="P866" i="5"/>
  <c r="Q863" i="8"/>
  <c r="Q863" i="5"/>
  <c r="T862" i="8"/>
  <c r="T862" i="5"/>
  <c r="P862" i="8"/>
  <c r="P862" i="5"/>
  <c r="Q859" i="8"/>
  <c r="Q859" i="5"/>
  <c r="T858" i="8"/>
  <c r="T858" i="5"/>
  <c r="P858" i="8"/>
  <c r="P858" i="5"/>
  <c r="Q855" i="8"/>
  <c r="Q855" i="5"/>
  <c r="P853" i="8"/>
  <c r="P853" i="5"/>
  <c r="Q850" i="8"/>
  <c r="Q850" i="5"/>
  <c r="T849" i="8"/>
  <c r="T849" i="5"/>
  <c r="P849" i="8"/>
  <c r="P849" i="5"/>
  <c r="Q846" i="8"/>
  <c r="Q846" i="5"/>
  <c r="T845" i="8"/>
  <c r="T845" i="5"/>
  <c r="P845" i="8"/>
  <c r="P845" i="5"/>
  <c r="Q842" i="8"/>
  <c r="Q842" i="5"/>
  <c r="U818" i="8"/>
  <c r="U818" i="5"/>
  <c r="S817" i="8"/>
  <c r="S817" i="5"/>
  <c r="R816" i="8"/>
  <c r="R816" i="5"/>
  <c r="U814" i="8"/>
  <c r="U814" i="5"/>
  <c r="S813" i="8"/>
  <c r="S813" i="5"/>
  <c r="R812" i="8"/>
  <c r="R812" i="5"/>
  <c r="U810" i="8"/>
  <c r="U810" i="5"/>
  <c r="S809" i="8"/>
  <c r="S809" i="5"/>
  <c r="R808" i="8"/>
  <c r="R808" i="5"/>
  <c r="U806" i="8"/>
  <c r="U806" i="5"/>
  <c r="S805" i="8"/>
  <c r="S805" i="5"/>
  <c r="U801" i="8"/>
  <c r="U801" i="5"/>
  <c r="S800" i="8"/>
  <c r="S800" i="5"/>
  <c r="R799" i="8"/>
  <c r="R799" i="5"/>
  <c r="U797" i="8"/>
  <c r="U797" i="5"/>
  <c r="S796" i="8"/>
  <c r="S796" i="5"/>
  <c r="R795" i="8"/>
  <c r="R795" i="5"/>
  <c r="U793" i="8"/>
  <c r="U793" i="5"/>
  <c r="S792" i="8"/>
  <c r="S792" i="5"/>
  <c r="R791" i="8"/>
  <c r="R791" i="5"/>
  <c r="U789" i="8"/>
  <c r="U789" i="5"/>
  <c r="Q786" i="8"/>
  <c r="Q786" i="5"/>
  <c r="T785" i="8"/>
  <c r="T785" i="5"/>
  <c r="P785" i="8"/>
  <c r="P785" i="5"/>
  <c r="Q782" i="8"/>
  <c r="Q782" i="5"/>
  <c r="T781" i="8"/>
  <c r="T781" i="5"/>
  <c r="P781" i="8"/>
  <c r="P781" i="5"/>
  <c r="Q778" i="8"/>
  <c r="Q778" i="5"/>
  <c r="T777" i="8"/>
  <c r="T777" i="5"/>
  <c r="P777" i="8"/>
  <c r="P777" i="5"/>
  <c r="Q774" i="8"/>
  <c r="Q774" i="5"/>
  <c r="T773" i="8"/>
  <c r="T773" i="5"/>
  <c r="P773" i="8"/>
  <c r="P773" i="5"/>
  <c r="U742" i="8"/>
  <c r="U742" i="5"/>
  <c r="S740" i="8"/>
  <c r="S740" i="5"/>
  <c r="R737" i="8"/>
  <c r="R737" i="5"/>
  <c r="R733" i="8"/>
  <c r="R733" i="5"/>
  <c r="Q724" i="8"/>
  <c r="Q724" i="5"/>
  <c r="P723" i="8"/>
  <c r="P723" i="5"/>
  <c r="U706" i="8"/>
  <c r="U706" i="5"/>
  <c r="S705" i="8"/>
  <c r="S705" i="5"/>
  <c r="R704" i="8"/>
  <c r="R704" i="5"/>
  <c r="U702" i="8"/>
  <c r="U702" i="5"/>
  <c r="S701" i="8"/>
  <c r="S701" i="5"/>
  <c r="R700" i="8"/>
  <c r="R700" i="5"/>
  <c r="U698" i="8"/>
  <c r="U698" i="5"/>
  <c r="S697" i="8"/>
  <c r="S697" i="5"/>
  <c r="R696" i="8"/>
  <c r="R696" i="5"/>
  <c r="U694" i="8"/>
  <c r="U694" i="5"/>
  <c r="S693" i="8"/>
  <c r="S693" i="5"/>
  <c r="S688" i="8"/>
  <c r="S688" i="5"/>
  <c r="U682" i="8"/>
  <c r="U682" i="5"/>
  <c r="S680" i="8"/>
  <c r="S680" i="5"/>
  <c r="U662" i="8"/>
  <c r="U662" i="5"/>
  <c r="S660" i="8"/>
  <c r="S660" i="5"/>
  <c r="U642" i="8"/>
  <c r="U642" i="5"/>
  <c r="S641" i="8"/>
  <c r="S641" i="5"/>
  <c r="R640" i="8"/>
  <c r="R640" i="5"/>
  <c r="U638" i="8"/>
  <c r="U638" i="5"/>
  <c r="S637" i="8"/>
  <c r="S637" i="5"/>
  <c r="R636" i="8"/>
  <c r="R636" i="5"/>
  <c r="U634" i="8"/>
  <c r="U634" i="5"/>
  <c r="S633" i="8"/>
  <c r="S633" i="5"/>
  <c r="R632" i="8"/>
  <c r="R632" i="5"/>
  <c r="P629" i="8"/>
  <c r="P629" i="5"/>
  <c r="S621" i="8"/>
  <c r="S621" i="5"/>
  <c r="Q618" i="8"/>
  <c r="Q618" i="5"/>
  <c r="S613" i="8"/>
  <c r="S613" i="5"/>
  <c r="Q602" i="8"/>
  <c r="Q602" i="5"/>
  <c r="S597" i="8"/>
  <c r="S597" i="5"/>
  <c r="Q582" i="8"/>
  <c r="Q582" i="5"/>
  <c r="S569" i="8"/>
  <c r="S569" i="5"/>
  <c r="Q566" i="8"/>
  <c r="Q566" i="5"/>
  <c r="Q560" i="8"/>
  <c r="Q560" i="5"/>
  <c r="T559" i="8"/>
  <c r="T559" i="5"/>
  <c r="P559" i="8"/>
  <c r="P559" i="5"/>
  <c r="Q556" i="8"/>
  <c r="Q556" i="5"/>
  <c r="T555" i="8"/>
  <c r="T555" i="5"/>
  <c r="P555" i="8"/>
  <c r="P555" i="5"/>
  <c r="P549" i="8"/>
  <c r="P549" i="5"/>
  <c r="S541" i="8"/>
  <c r="S541" i="5"/>
  <c r="Q538" i="8"/>
  <c r="Q538" i="5"/>
  <c r="S533" i="8"/>
  <c r="S533" i="5"/>
  <c r="S528" i="8"/>
  <c r="S528" i="5"/>
  <c r="U525" i="8"/>
  <c r="U525" i="5"/>
  <c r="S524" i="8"/>
  <c r="S524" i="5"/>
  <c r="U518" i="8"/>
  <c r="U518" i="5"/>
  <c r="S516" i="8"/>
  <c r="S516" i="5"/>
  <c r="P513" i="8"/>
  <c r="P513" i="5"/>
  <c r="P505" i="8"/>
  <c r="P505" i="5"/>
  <c r="U498" i="8"/>
  <c r="U498" i="5"/>
  <c r="S497" i="8"/>
  <c r="S497" i="5"/>
  <c r="R496" i="8"/>
  <c r="R496" i="5"/>
  <c r="P493" i="8"/>
  <c r="P493" i="5"/>
  <c r="P485" i="8"/>
  <c r="P485" i="5"/>
  <c r="Q476" i="8"/>
  <c r="Q476" i="5"/>
  <c r="P475" i="8"/>
  <c r="P475" i="5"/>
  <c r="U473" i="8"/>
  <c r="U473" i="5"/>
  <c r="Q468" i="8"/>
  <c r="Q468" i="5"/>
  <c r="P467" i="8"/>
  <c r="P467" i="5"/>
  <c r="Q464" i="8"/>
  <c r="Q464" i="5"/>
  <c r="T463" i="8"/>
  <c r="T463" i="5"/>
  <c r="P463" i="8"/>
  <c r="P463" i="5"/>
  <c r="S461" i="8"/>
  <c r="S461" i="5"/>
  <c r="Q458" i="8"/>
  <c r="Q458" i="5"/>
  <c r="S453" i="8"/>
  <c r="S453" i="5"/>
  <c r="Q450" i="8"/>
  <c r="Q450" i="5"/>
  <c r="T449" i="8"/>
  <c r="T449" i="5"/>
  <c r="P449" i="8"/>
  <c r="P449" i="5"/>
  <c r="P441" i="8"/>
  <c r="P441" i="5"/>
  <c r="U433" i="8"/>
  <c r="U433" i="5"/>
  <c r="Q428" i="8"/>
  <c r="Q428" i="5"/>
  <c r="P427" i="8"/>
  <c r="P427" i="5"/>
  <c r="U425" i="8"/>
  <c r="U425" i="5"/>
  <c r="Q420" i="8"/>
  <c r="Q420" i="5"/>
  <c r="P419" i="8"/>
  <c r="P419" i="5"/>
  <c r="S416" i="8"/>
  <c r="S416" i="5"/>
  <c r="U410" i="8"/>
  <c r="U410" i="5"/>
  <c r="S408" i="8"/>
  <c r="S408" i="5"/>
  <c r="Q400" i="8"/>
  <c r="Q400" i="5"/>
  <c r="P399" i="8"/>
  <c r="P399" i="5"/>
  <c r="U397" i="8"/>
  <c r="U397" i="5"/>
  <c r="Q392" i="8"/>
  <c r="Q392" i="5"/>
  <c r="P391" i="8"/>
  <c r="P391" i="5"/>
  <c r="U389" i="8"/>
  <c r="U389" i="5"/>
  <c r="Q386" i="8"/>
  <c r="Q386" i="5"/>
  <c r="T385" i="8"/>
  <c r="T385" i="5"/>
  <c r="P385" i="8"/>
  <c r="P385" i="5"/>
  <c r="P377" i="8"/>
  <c r="P377" i="5"/>
  <c r="U369" i="8"/>
  <c r="U369" i="5"/>
  <c r="Q364" i="8"/>
  <c r="Q364" i="5"/>
  <c r="P363" i="8"/>
  <c r="P363" i="5"/>
  <c r="U361" i="8"/>
  <c r="U361" i="5"/>
  <c r="Q356" i="8"/>
  <c r="Q356" i="5"/>
  <c r="P355" i="8"/>
  <c r="P355" i="5"/>
  <c r="S352" i="8"/>
  <c r="S352" i="5"/>
  <c r="U346" i="8"/>
  <c r="U346" i="5"/>
  <c r="S344" i="8"/>
  <c r="S344" i="5"/>
  <c r="U338" i="8"/>
  <c r="U338" i="5"/>
  <c r="S336" i="8"/>
  <c r="S336" i="5"/>
  <c r="U330" i="8"/>
  <c r="U330" i="5"/>
  <c r="S328" i="8"/>
  <c r="S328" i="5"/>
  <c r="U322" i="8"/>
  <c r="U322" i="5"/>
  <c r="S321" i="8"/>
  <c r="S321" i="5"/>
  <c r="R320" i="8"/>
  <c r="R320" i="5"/>
  <c r="P317" i="8"/>
  <c r="P317" i="5"/>
  <c r="P309" i="8"/>
  <c r="P309" i="5"/>
  <c r="Q304" i="8"/>
  <c r="Q304" i="5"/>
  <c r="P303" i="8"/>
  <c r="P303" i="5"/>
  <c r="Q298" i="8"/>
  <c r="Q298" i="5"/>
  <c r="Q292" i="8"/>
  <c r="Q292" i="5"/>
  <c r="T291" i="8"/>
  <c r="T291" i="5"/>
  <c r="P291" i="8"/>
  <c r="P291" i="5"/>
  <c r="U286" i="8"/>
  <c r="U286" i="5"/>
  <c r="S284" i="8"/>
  <c r="S284" i="5"/>
  <c r="U278" i="8"/>
  <c r="U278" i="5"/>
  <c r="S277" i="8"/>
  <c r="S277" i="5"/>
  <c r="R276" i="8"/>
  <c r="R276" i="5"/>
  <c r="U274" i="8"/>
  <c r="U274" i="5"/>
  <c r="S273" i="8"/>
  <c r="S273" i="5"/>
  <c r="Q270" i="8"/>
  <c r="Q270" i="5"/>
  <c r="S265" i="8"/>
  <c r="S265" i="5"/>
  <c r="Q262" i="8"/>
  <c r="Q262" i="5"/>
  <c r="P253" i="8"/>
  <c r="P253" i="5"/>
  <c r="U245" i="8"/>
  <c r="U245" i="5"/>
  <c r="S244" i="8"/>
  <c r="S244" i="5"/>
  <c r="R243" i="8"/>
  <c r="R243" i="5"/>
  <c r="U241" i="8"/>
  <c r="U241" i="5"/>
  <c r="S240" i="8"/>
  <c r="S240" i="5"/>
  <c r="R239" i="8"/>
  <c r="R239" i="5"/>
  <c r="U237" i="8"/>
  <c r="U237" i="5"/>
  <c r="Q232" i="8"/>
  <c r="Q232" i="5"/>
  <c r="P231" i="8"/>
  <c r="P231" i="5"/>
  <c r="U229" i="8"/>
  <c r="U229" i="5"/>
  <c r="U222" i="8"/>
  <c r="U222" i="5"/>
  <c r="S220" i="8"/>
  <c r="S220" i="5"/>
  <c r="U214" i="8"/>
  <c r="U214" i="5"/>
  <c r="S212" i="8"/>
  <c r="S212" i="5"/>
  <c r="U206" i="8"/>
  <c r="U206" i="5"/>
  <c r="Q200" i="8"/>
  <c r="Q200" i="5"/>
  <c r="P197" i="8"/>
  <c r="P197" i="5"/>
  <c r="Q190" i="8"/>
  <c r="Q190" i="5"/>
  <c r="P187" i="8"/>
  <c r="P187" i="5"/>
  <c r="S181" i="8"/>
  <c r="S181" i="5"/>
  <c r="S169" i="8"/>
  <c r="S169" i="5"/>
  <c r="P163" i="8"/>
  <c r="P163" i="5"/>
  <c r="S16" i="8"/>
  <c r="S16" i="5"/>
  <c r="U24" i="8"/>
  <c r="U24" i="5"/>
  <c r="U1065" i="8"/>
  <c r="U1065" i="5"/>
  <c r="S1016" i="8"/>
  <c r="S1016" i="5"/>
  <c r="U1005" i="8"/>
  <c r="U1005" i="5"/>
  <c r="S996" i="8"/>
  <c r="S996" i="5"/>
  <c r="U977" i="8"/>
  <c r="U977" i="5"/>
  <c r="S968" i="8"/>
  <c r="S968" i="5"/>
  <c r="U933" i="8"/>
  <c r="U933" i="5"/>
  <c r="S912" i="8"/>
  <c r="S912" i="5"/>
  <c r="S908" i="8"/>
  <c r="S908" i="5"/>
  <c r="P17" i="8"/>
  <c r="P17" i="5"/>
  <c r="Q14" i="8"/>
  <c r="Q14" i="5"/>
  <c r="Q6" i="8"/>
  <c r="Q6" i="5"/>
  <c r="P36" i="8"/>
  <c r="P36" i="5"/>
  <c r="Q33" i="8"/>
  <c r="Q33" i="5"/>
  <c r="P24" i="8"/>
  <c r="P24" i="5"/>
  <c r="T1073" i="8"/>
  <c r="T1073" i="5"/>
  <c r="T1069" i="8"/>
  <c r="T1069" i="5"/>
  <c r="P1057" i="8"/>
  <c r="P1057" i="5"/>
  <c r="Q1054" i="8"/>
  <c r="Q1054" i="5"/>
  <c r="P1049" i="8"/>
  <c r="P1049" i="5"/>
  <c r="T1041" i="8"/>
  <c r="T1041" i="5"/>
  <c r="P1037" i="8"/>
  <c r="P1037" i="5"/>
  <c r="P1021" i="8"/>
  <c r="P1021" i="5"/>
  <c r="P993" i="8"/>
  <c r="P993" i="5"/>
  <c r="T989" i="8"/>
  <c r="T989" i="5"/>
  <c r="P981" i="8"/>
  <c r="P981" i="5"/>
  <c r="P941" i="8"/>
  <c r="P941" i="5"/>
  <c r="P933" i="8"/>
  <c r="P933" i="5"/>
  <c r="T929" i="8"/>
  <c r="T929" i="5"/>
  <c r="P895" i="8"/>
  <c r="P895" i="5"/>
  <c r="T891" i="8"/>
  <c r="T891" i="5"/>
  <c r="Q888" i="8"/>
  <c r="Q888" i="5"/>
  <c r="R876" i="8"/>
  <c r="R876" i="5"/>
  <c r="U870" i="8"/>
  <c r="U870" i="5"/>
  <c r="Q867" i="8"/>
  <c r="Q867" i="5"/>
  <c r="U865" i="8"/>
  <c r="U865" i="5"/>
  <c r="S864" i="8"/>
  <c r="S864" i="5"/>
  <c r="R863" i="8"/>
  <c r="R863" i="5"/>
  <c r="U861" i="8"/>
  <c r="U861" i="5"/>
  <c r="S860" i="8"/>
  <c r="S860" i="5"/>
  <c r="R859" i="8"/>
  <c r="R859" i="5"/>
  <c r="U857" i="8"/>
  <c r="U857" i="5"/>
  <c r="S856" i="8"/>
  <c r="S856" i="5"/>
  <c r="Q854" i="8"/>
  <c r="Q854" i="5"/>
  <c r="Q841" i="8"/>
  <c r="Q841" i="5"/>
  <c r="P840" i="8"/>
  <c r="P840" i="5"/>
  <c r="Q836" i="8"/>
  <c r="Q836" i="5"/>
  <c r="P835" i="8"/>
  <c r="P835" i="5"/>
  <c r="Q832" i="8"/>
  <c r="Q832" i="5"/>
  <c r="T831" i="8"/>
  <c r="T831" i="5"/>
  <c r="P831" i="8"/>
  <c r="P831" i="5"/>
  <c r="Q828" i="8"/>
  <c r="Q828" i="5"/>
  <c r="T827" i="8"/>
  <c r="T827" i="5"/>
  <c r="P827" i="8"/>
  <c r="P827" i="5"/>
  <c r="Q824" i="8"/>
  <c r="Q824" i="5"/>
  <c r="T823" i="8"/>
  <c r="T823" i="5"/>
  <c r="P823" i="8"/>
  <c r="P823" i="5"/>
  <c r="Q820" i="8"/>
  <c r="Q820" i="5"/>
  <c r="T819" i="8"/>
  <c r="T819" i="5"/>
  <c r="P819" i="8"/>
  <c r="P819" i="5"/>
  <c r="P818" i="8"/>
  <c r="P818" i="5"/>
  <c r="Q815" i="8"/>
  <c r="Q815" i="5"/>
  <c r="T814" i="8"/>
  <c r="T814" i="5"/>
  <c r="P814" i="8"/>
  <c r="P814" i="5"/>
  <c r="Q811" i="8"/>
  <c r="Q811" i="5"/>
  <c r="T810" i="8"/>
  <c r="T810" i="5"/>
  <c r="P810" i="8"/>
  <c r="P810" i="5"/>
  <c r="Q807" i="8"/>
  <c r="Q807" i="5"/>
  <c r="T806" i="8"/>
  <c r="T806" i="5"/>
  <c r="P806" i="8"/>
  <c r="P806" i="5"/>
  <c r="Q802" i="8"/>
  <c r="Q802" i="5"/>
  <c r="T801" i="8"/>
  <c r="T801" i="5"/>
  <c r="P801" i="8"/>
  <c r="P801" i="5"/>
  <c r="Q798" i="8"/>
  <c r="Q798" i="5"/>
  <c r="T797" i="8"/>
  <c r="T797" i="5"/>
  <c r="P797" i="8"/>
  <c r="P797" i="5"/>
  <c r="Q794" i="8"/>
  <c r="Q794" i="5"/>
  <c r="T793" i="8"/>
  <c r="T793" i="5"/>
  <c r="P793" i="8"/>
  <c r="P793" i="5"/>
  <c r="Q790" i="8"/>
  <c r="Q790" i="5"/>
  <c r="T789" i="8"/>
  <c r="T789" i="5"/>
  <c r="P789" i="8"/>
  <c r="P789" i="5"/>
  <c r="Q752" i="8"/>
  <c r="Q752" i="5"/>
  <c r="T751" i="8"/>
  <c r="T751" i="5"/>
  <c r="P751" i="8"/>
  <c r="P751" i="5"/>
  <c r="Q748" i="8"/>
  <c r="Q748" i="5"/>
  <c r="T747" i="8"/>
  <c r="T747" i="5"/>
  <c r="P747" i="8"/>
  <c r="P747" i="5"/>
  <c r="Q744" i="8"/>
  <c r="Q744" i="5"/>
  <c r="T743" i="8"/>
  <c r="T743" i="5"/>
  <c r="P743" i="8"/>
  <c r="P743" i="5"/>
  <c r="U741" i="8"/>
  <c r="U741" i="5"/>
  <c r="Q738" i="8"/>
  <c r="Q738" i="5"/>
  <c r="Q708" i="8"/>
  <c r="Q708" i="5"/>
  <c r="P707" i="8"/>
  <c r="P707" i="5"/>
  <c r="S692" i="8"/>
  <c r="S692" i="5"/>
  <c r="U689" i="8"/>
  <c r="U689" i="5"/>
  <c r="Q684" i="8"/>
  <c r="Q684" i="5"/>
  <c r="P683" i="8"/>
  <c r="P683" i="5"/>
  <c r="U681" i="8"/>
  <c r="U681" i="5"/>
  <c r="Q664" i="8"/>
  <c r="Q664" i="5"/>
  <c r="P663" i="8"/>
  <c r="P663" i="5"/>
  <c r="U661" i="8"/>
  <c r="U661" i="5"/>
  <c r="S645" i="8"/>
  <c r="S645" i="5"/>
  <c r="Q630" i="8"/>
  <c r="Q630" i="5"/>
  <c r="U622" i="8"/>
  <c r="U622" i="5"/>
  <c r="S620" i="8"/>
  <c r="S620" i="5"/>
  <c r="U614" i="8"/>
  <c r="U614" i="5"/>
  <c r="S612" i="8"/>
  <c r="S612" i="5"/>
  <c r="U609" i="8"/>
  <c r="U609" i="5"/>
  <c r="S608" i="8"/>
  <c r="S608" i="5"/>
  <c r="R607" i="8"/>
  <c r="R607" i="5"/>
  <c r="U605" i="8"/>
  <c r="U605" i="5"/>
  <c r="S604" i="8"/>
  <c r="S604" i="5"/>
  <c r="R603" i="8"/>
  <c r="R603" i="5"/>
  <c r="U598" i="8"/>
  <c r="U598" i="5"/>
  <c r="S596" i="8"/>
  <c r="S596" i="5"/>
  <c r="U593" i="8"/>
  <c r="U593" i="5"/>
  <c r="S592" i="8"/>
  <c r="S592" i="5"/>
  <c r="R591" i="8"/>
  <c r="R591" i="5"/>
  <c r="U589" i="8"/>
  <c r="U589" i="5"/>
  <c r="S588" i="8"/>
  <c r="S588" i="5"/>
  <c r="R587" i="8"/>
  <c r="R587" i="5"/>
  <c r="U585" i="8"/>
  <c r="U585" i="5"/>
  <c r="S584" i="8"/>
  <c r="S584" i="5"/>
  <c r="R583" i="8"/>
  <c r="R583" i="5"/>
  <c r="U570" i="8"/>
  <c r="U570" i="5"/>
  <c r="S568" i="8"/>
  <c r="S568" i="5"/>
  <c r="U562" i="8"/>
  <c r="U562" i="5"/>
  <c r="S561" i="8"/>
  <c r="S561" i="5"/>
  <c r="R560" i="8"/>
  <c r="R560" i="5"/>
  <c r="U558" i="8"/>
  <c r="U558" i="5"/>
  <c r="S557" i="8"/>
  <c r="S557" i="5"/>
  <c r="R556" i="8"/>
  <c r="R556" i="5"/>
  <c r="U554" i="8"/>
  <c r="U554" i="5"/>
  <c r="S553" i="8"/>
  <c r="S553" i="5"/>
  <c r="Q550" i="8"/>
  <c r="Q550" i="5"/>
  <c r="U542" i="8"/>
  <c r="U542" i="5"/>
  <c r="S540" i="8"/>
  <c r="S540" i="5"/>
  <c r="U534" i="8"/>
  <c r="U534" i="5"/>
  <c r="S532" i="8"/>
  <c r="S532" i="5"/>
  <c r="U529" i="8"/>
  <c r="U529" i="5"/>
  <c r="Q526" i="8"/>
  <c r="Q526" i="5"/>
  <c r="T525" i="8"/>
  <c r="T525" i="5"/>
  <c r="P525" i="8"/>
  <c r="P525" i="5"/>
  <c r="Q520" i="8"/>
  <c r="Q520" i="5"/>
  <c r="P519" i="8"/>
  <c r="P519" i="5"/>
  <c r="U517" i="8"/>
  <c r="U517" i="5"/>
  <c r="Q514" i="8"/>
  <c r="Q514" i="5"/>
  <c r="S509" i="8"/>
  <c r="S509" i="5"/>
  <c r="Q506" i="8"/>
  <c r="Q506" i="5"/>
  <c r="S501" i="8"/>
  <c r="S501" i="5"/>
  <c r="Q494" i="8"/>
  <c r="Q494" i="5"/>
  <c r="S489" i="8"/>
  <c r="S489" i="5"/>
  <c r="Q486" i="8"/>
  <c r="Q486" i="5"/>
  <c r="Q480" i="8"/>
  <c r="Q480" i="5"/>
  <c r="T479" i="8"/>
  <c r="T479" i="5"/>
  <c r="P479" i="8"/>
  <c r="P479" i="5"/>
  <c r="P473" i="8"/>
  <c r="P473" i="5"/>
  <c r="U466" i="8"/>
  <c r="U466" i="5"/>
  <c r="S465" i="8"/>
  <c r="S465" i="5"/>
  <c r="R464" i="8"/>
  <c r="R464" i="5"/>
  <c r="U462" i="8"/>
  <c r="U462" i="5"/>
  <c r="S460" i="8"/>
  <c r="S460" i="5"/>
  <c r="U454" i="8"/>
  <c r="U454" i="5"/>
  <c r="S452" i="8"/>
  <c r="S452" i="5"/>
  <c r="S445" i="8"/>
  <c r="S445" i="5"/>
  <c r="Q442" i="8"/>
  <c r="Q442" i="5"/>
  <c r="S437" i="8"/>
  <c r="S437" i="5"/>
  <c r="Q434" i="8"/>
  <c r="Q434" i="5"/>
  <c r="T433" i="8"/>
  <c r="T433" i="5"/>
  <c r="P433" i="8"/>
  <c r="P433" i="5"/>
  <c r="P425" i="8"/>
  <c r="P425" i="5"/>
  <c r="U417" i="8"/>
  <c r="U417" i="5"/>
  <c r="Q412" i="8"/>
  <c r="Q412" i="5"/>
  <c r="P411" i="8"/>
  <c r="P411" i="5"/>
  <c r="U409" i="8"/>
  <c r="U409" i="5"/>
  <c r="Q404" i="8"/>
  <c r="Q404" i="5"/>
  <c r="P403" i="8"/>
  <c r="P403" i="5"/>
  <c r="P397" i="8"/>
  <c r="P397" i="5"/>
  <c r="P389" i="8"/>
  <c r="P389" i="5"/>
  <c r="S381" i="8"/>
  <c r="S381" i="5"/>
  <c r="Q378" i="8"/>
  <c r="Q378" i="5"/>
  <c r="S373" i="8"/>
  <c r="S373" i="5"/>
  <c r="Q370" i="8"/>
  <c r="Q370" i="5"/>
  <c r="T369" i="8"/>
  <c r="T369" i="5"/>
  <c r="P369" i="8"/>
  <c r="P369" i="5"/>
  <c r="P361" i="8"/>
  <c r="P361" i="5"/>
  <c r="U353" i="8"/>
  <c r="U353" i="5"/>
  <c r="Q348" i="8"/>
  <c r="Q348" i="5"/>
  <c r="P347" i="8"/>
  <c r="P347" i="5"/>
  <c r="U345" i="8"/>
  <c r="U345" i="5"/>
  <c r="Q340" i="8"/>
  <c r="Q340" i="5"/>
  <c r="P339" i="8"/>
  <c r="P339" i="5"/>
  <c r="U337" i="8"/>
  <c r="U337" i="5"/>
  <c r="Q332" i="8"/>
  <c r="Q332" i="5"/>
  <c r="P331" i="8"/>
  <c r="P331" i="5"/>
  <c r="U329" i="8"/>
  <c r="U329" i="5"/>
  <c r="Q324" i="8"/>
  <c r="Q324" i="5"/>
  <c r="P323" i="8"/>
  <c r="P323" i="5"/>
  <c r="Q318" i="8"/>
  <c r="Q318" i="5"/>
  <c r="S313" i="8"/>
  <c r="S313" i="5"/>
  <c r="Q310" i="8"/>
  <c r="Q310" i="5"/>
  <c r="U301" i="8"/>
  <c r="U301" i="5"/>
  <c r="S300" i="8"/>
  <c r="S300" i="5"/>
  <c r="U294" i="8"/>
  <c r="U294" i="5"/>
  <c r="S293" i="8"/>
  <c r="S293" i="5"/>
  <c r="R292" i="8"/>
  <c r="R292" i="5"/>
  <c r="U290" i="8"/>
  <c r="U290" i="5"/>
  <c r="S289" i="8"/>
  <c r="S289" i="5"/>
  <c r="U285" i="8"/>
  <c r="U285" i="5"/>
  <c r="Q280" i="8"/>
  <c r="Q280" i="5"/>
  <c r="P279" i="8"/>
  <c r="P279" i="5"/>
  <c r="S272" i="8"/>
  <c r="S272" i="5"/>
  <c r="U266" i="8"/>
  <c r="U266" i="5"/>
  <c r="S264" i="8"/>
  <c r="S264" i="5"/>
  <c r="U258" i="8"/>
  <c r="U258" i="5"/>
  <c r="S257" i="8"/>
  <c r="S257" i="5"/>
  <c r="Q254" i="8"/>
  <c r="Q254" i="5"/>
  <c r="S249" i="8"/>
  <c r="S249" i="5"/>
  <c r="Q246" i="8"/>
  <c r="Q246" i="5"/>
  <c r="T245" i="8"/>
  <c r="T245" i="5"/>
  <c r="P245" i="8"/>
  <c r="P245" i="5"/>
  <c r="Q242" i="8"/>
  <c r="Q242" i="5"/>
  <c r="T241" i="8"/>
  <c r="T241" i="5"/>
  <c r="P241" i="8"/>
  <c r="P241" i="5"/>
  <c r="Q238" i="8"/>
  <c r="Q238" i="5"/>
  <c r="T237" i="8"/>
  <c r="T237" i="5"/>
  <c r="P237" i="8"/>
  <c r="P237" i="5"/>
  <c r="P229" i="8"/>
  <c r="P229" i="5"/>
  <c r="Q224" i="8"/>
  <c r="Q224" i="5"/>
  <c r="P223" i="8"/>
  <c r="P223" i="5"/>
  <c r="U221" i="8"/>
  <c r="U221" i="5"/>
  <c r="Q216" i="8"/>
  <c r="Q216" i="5"/>
  <c r="P215" i="8"/>
  <c r="P215" i="5"/>
  <c r="U213" i="8"/>
  <c r="U213" i="5"/>
  <c r="P207" i="8"/>
  <c r="P207" i="5"/>
  <c r="Q198" i="8"/>
  <c r="Q198" i="5"/>
  <c r="U194" i="8"/>
  <c r="U194" i="5"/>
  <c r="S193" i="8"/>
  <c r="S193" i="5"/>
  <c r="U182" i="8"/>
  <c r="U182" i="5"/>
  <c r="Q176" i="8"/>
  <c r="Q176" i="5"/>
  <c r="U170" i="8"/>
  <c r="U170" i="5"/>
  <c r="S157" i="8"/>
  <c r="S157" i="5"/>
  <c r="Q152" i="8"/>
  <c r="Q152" i="5"/>
  <c r="U36" i="8"/>
  <c r="U36" i="5"/>
  <c r="S23" i="8"/>
  <c r="S23" i="5"/>
  <c r="U41" i="8"/>
  <c r="U41" i="5"/>
  <c r="U1057" i="8"/>
  <c r="U1057" i="5"/>
  <c r="S1000" i="8"/>
  <c r="S1000" i="5"/>
  <c r="U985" i="8"/>
  <c r="U985" i="5"/>
  <c r="U945" i="8"/>
  <c r="U945" i="5"/>
  <c r="U921" i="8"/>
  <c r="U921" i="5"/>
  <c r="S916" i="8"/>
  <c r="S916" i="5"/>
  <c r="Q901" i="8"/>
  <c r="Q901" i="5"/>
  <c r="Q18" i="8"/>
  <c r="Q18" i="5"/>
  <c r="P13" i="8"/>
  <c r="P13" i="5"/>
  <c r="Q37" i="8"/>
  <c r="Q37" i="5"/>
  <c r="Q29" i="8"/>
  <c r="Q29" i="5"/>
  <c r="Q1062" i="8"/>
  <c r="Q1062" i="5"/>
  <c r="Q1030" i="8"/>
  <c r="Q1030" i="5"/>
  <c r="T1009" i="8"/>
  <c r="T1009" i="5"/>
  <c r="Q1002" i="8"/>
  <c r="Q1002" i="5"/>
  <c r="Q986" i="8"/>
  <c r="Q986" i="5"/>
  <c r="Q982" i="8"/>
  <c r="Q982" i="5"/>
  <c r="T961" i="8"/>
  <c r="T961" i="5"/>
  <c r="Q946" i="8"/>
  <c r="Q946" i="5"/>
  <c r="P937" i="8"/>
  <c r="P937" i="5"/>
  <c r="T917" i="8"/>
  <c r="T917" i="5"/>
  <c r="Q910" i="8"/>
  <c r="Q910" i="5"/>
  <c r="T895" i="8"/>
  <c r="T895" i="5"/>
  <c r="Q892" i="8"/>
  <c r="Q892" i="5"/>
  <c r="T887" i="8"/>
  <c r="T887" i="5"/>
  <c r="U878" i="8"/>
  <c r="U878" i="5"/>
  <c r="U20" i="8"/>
  <c r="U20" i="5"/>
  <c r="S15" i="8"/>
  <c r="S15" i="5"/>
  <c r="R37" i="8"/>
  <c r="R37" i="5"/>
  <c r="S39" i="8"/>
  <c r="S39" i="5"/>
  <c r="U1060" i="8"/>
  <c r="U1060" i="5"/>
  <c r="U1052" i="8"/>
  <c r="U1052" i="5"/>
  <c r="S1039" i="8"/>
  <c r="S1039" i="5"/>
  <c r="S1007" i="8"/>
  <c r="S1007" i="5"/>
  <c r="S995" i="8"/>
  <c r="S995" i="5"/>
  <c r="S991" i="8"/>
  <c r="S991" i="5"/>
  <c r="S987" i="8"/>
  <c r="S987" i="5"/>
  <c r="U924" i="8"/>
  <c r="U924" i="5"/>
  <c r="U898" i="8"/>
  <c r="U898" i="5"/>
  <c r="R884" i="8"/>
  <c r="R884" i="5"/>
  <c r="P874" i="8"/>
  <c r="P874" i="5"/>
  <c r="P844" i="8"/>
  <c r="P844" i="5"/>
  <c r="S833" i="8"/>
  <c r="S833" i="5"/>
  <c r="S829" i="8"/>
  <c r="S829" i="5"/>
  <c r="R807" i="8"/>
  <c r="R807" i="5"/>
  <c r="R703" i="8"/>
  <c r="R703" i="5"/>
  <c r="R695" i="8"/>
  <c r="R695" i="5"/>
  <c r="S644" i="8"/>
  <c r="S644" i="5"/>
  <c r="S636" i="8"/>
  <c r="S636" i="5"/>
  <c r="R635" i="8"/>
  <c r="R635" i="5"/>
  <c r="S632" i="8"/>
  <c r="S632" i="5"/>
  <c r="R631" i="8"/>
  <c r="R631" i="5"/>
  <c r="Q624" i="8"/>
  <c r="Q624" i="5"/>
  <c r="P623" i="8"/>
  <c r="P623" i="5"/>
  <c r="U621" i="8"/>
  <c r="U621" i="5"/>
  <c r="Q616" i="8"/>
  <c r="Q616" i="5"/>
  <c r="P615" i="8"/>
  <c r="P615" i="5"/>
  <c r="U613" i="8"/>
  <c r="U613" i="5"/>
  <c r="Q610" i="8"/>
  <c r="Q610" i="5"/>
  <c r="T609" i="8"/>
  <c r="T609" i="5"/>
  <c r="P609" i="8"/>
  <c r="P609" i="5"/>
  <c r="Q606" i="8"/>
  <c r="Q606" i="5"/>
  <c r="T605" i="8"/>
  <c r="T605" i="5"/>
  <c r="P605" i="8"/>
  <c r="P605" i="5"/>
  <c r="Q600" i="8"/>
  <c r="Q600" i="5"/>
  <c r="P599" i="8"/>
  <c r="P599" i="5"/>
  <c r="U597" i="8"/>
  <c r="U597" i="5"/>
  <c r="Q594" i="8"/>
  <c r="Q594" i="5"/>
  <c r="T593" i="8"/>
  <c r="T593" i="5"/>
  <c r="P593" i="8"/>
  <c r="P593" i="5"/>
  <c r="Q590" i="8"/>
  <c r="Q590" i="5"/>
  <c r="T589" i="8"/>
  <c r="T589" i="5"/>
  <c r="P589" i="8"/>
  <c r="P589" i="5"/>
  <c r="Q586" i="8"/>
  <c r="Q586" i="5"/>
  <c r="T585" i="8"/>
  <c r="T585" i="5"/>
  <c r="P585" i="8"/>
  <c r="P585" i="5"/>
  <c r="Q580" i="8"/>
  <c r="Q580" i="5"/>
  <c r="P579" i="8"/>
  <c r="P579" i="5"/>
  <c r="Q576" i="8"/>
  <c r="Q576" i="5"/>
  <c r="T575" i="8"/>
  <c r="T575" i="5"/>
  <c r="P575" i="8"/>
  <c r="P575" i="5"/>
  <c r="Q572" i="8"/>
  <c r="Q572" i="5"/>
  <c r="T571" i="8"/>
  <c r="T571" i="5"/>
  <c r="P571" i="8"/>
  <c r="P571" i="5"/>
  <c r="U569" i="8"/>
  <c r="U569" i="5"/>
  <c r="Q564" i="8"/>
  <c r="Q564" i="5"/>
  <c r="P563" i="8"/>
  <c r="P563" i="5"/>
  <c r="S552" i="8"/>
  <c r="S552" i="5"/>
  <c r="Q544" i="8"/>
  <c r="Q544" i="5"/>
  <c r="P543" i="8"/>
  <c r="P543" i="5"/>
  <c r="U541" i="8"/>
  <c r="U541" i="5"/>
  <c r="Q536" i="8"/>
  <c r="Q536" i="5"/>
  <c r="P535" i="8"/>
  <c r="P535" i="5"/>
  <c r="U533" i="8"/>
  <c r="U533" i="5"/>
  <c r="Q530" i="8"/>
  <c r="Q530" i="5"/>
  <c r="T529" i="8"/>
  <c r="T529" i="5"/>
  <c r="P529" i="8"/>
  <c r="P529" i="5"/>
  <c r="P517" i="8"/>
  <c r="P517" i="5"/>
  <c r="U510" i="8"/>
  <c r="U510" i="5"/>
  <c r="S508" i="8"/>
  <c r="S508" i="5"/>
  <c r="U502" i="8"/>
  <c r="U502" i="5"/>
  <c r="S500" i="8"/>
  <c r="S500" i="5"/>
  <c r="U497" i="8"/>
  <c r="U497" i="5"/>
  <c r="S496" i="8"/>
  <c r="S496" i="5"/>
  <c r="U490" i="8"/>
  <c r="U490" i="5"/>
  <c r="S488" i="8"/>
  <c r="S488" i="5"/>
  <c r="U482" i="8"/>
  <c r="U482" i="5"/>
  <c r="S481" i="8"/>
  <c r="S481" i="5"/>
  <c r="R480" i="8"/>
  <c r="R480" i="5"/>
  <c r="U478" i="8"/>
  <c r="U478" i="5"/>
  <c r="S477" i="8"/>
  <c r="S477" i="5"/>
  <c r="Q474" i="8"/>
  <c r="Q474" i="5"/>
  <c r="S469" i="8"/>
  <c r="S469" i="5"/>
  <c r="U461" i="8"/>
  <c r="U461" i="5"/>
  <c r="Q456" i="8"/>
  <c r="Q456" i="5"/>
  <c r="P455" i="8"/>
  <c r="P455" i="5"/>
  <c r="U453" i="8"/>
  <c r="U453" i="5"/>
  <c r="U446" i="8"/>
  <c r="U446" i="5"/>
  <c r="S444" i="8"/>
  <c r="S444" i="5"/>
  <c r="U438" i="8"/>
  <c r="U438" i="5"/>
  <c r="S436" i="8"/>
  <c r="S436" i="5"/>
  <c r="S429" i="8"/>
  <c r="S429" i="5"/>
  <c r="Q426" i="8"/>
  <c r="Q426" i="5"/>
  <c r="S421" i="8"/>
  <c r="S421" i="5"/>
  <c r="Q418" i="8"/>
  <c r="Q418" i="5"/>
  <c r="T417" i="8"/>
  <c r="T417" i="5"/>
  <c r="P417" i="8"/>
  <c r="P417" i="5"/>
  <c r="P409" i="8"/>
  <c r="P409" i="5"/>
  <c r="U402" i="8"/>
  <c r="U402" i="5"/>
  <c r="S401" i="8"/>
  <c r="S401" i="5"/>
  <c r="Q398" i="8"/>
  <c r="Q398" i="5"/>
  <c r="S393" i="8"/>
  <c r="S393" i="5"/>
  <c r="Q390" i="8"/>
  <c r="Q390" i="5"/>
  <c r="U382" i="8"/>
  <c r="U382" i="5"/>
  <c r="S380" i="8"/>
  <c r="S380" i="5"/>
  <c r="U374" i="8"/>
  <c r="U374" i="5"/>
  <c r="S372" i="8"/>
  <c r="S372" i="5"/>
  <c r="S365" i="8"/>
  <c r="S365" i="5"/>
  <c r="Q362" i="8"/>
  <c r="Q362" i="5"/>
  <c r="S357" i="8"/>
  <c r="S357" i="5"/>
  <c r="Q354" i="8"/>
  <c r="Q354" i="5"/>
  <c r="T353" i="8"/>
  <c r="T353" i="5"/>
  <c r="P353" i="8"/>
  <c r="P353" i="5"/>
  <c r="P345" i="8"/>
  <c r="P345" i="5"/>
  <c r="P337" i="8"/>
  <c r="P337" i="5"/>
  <c r="P329" i="8"/>
  <c r="P329" i="5"/>
  <c r="U321" i="8"/>
  <c r="U321" i="5"/>
  <c r="S320" i="8"/>
  <c r="S320" i="5"/>
  <c r="R319" i="8"/>
  <c r="R319" i="5"/>
  <c r="U314" i="8"/>
  <c r="U314" i="5"/>
  <c r="S312" i="8"/>
  <c r="S312" i="5"/>
  <c r="U306" i="8"/>
  <c r="U306" i="5"/>
  <c r="S305" i="8"/>
  <c r="S305" i="5"/>
  <c r="Q302" i="8"/>
  <c r="Q302" i="5"/>
  <c r="T301" i="8"/>
  <c r="T301" i="5"/>
  <c r="P301" i="8"/>
  <c r="P301" i="5"/>
  <c r="Q296" i="8"/>
  <c r="Q296" i="5"/>
  <c r="P295" i="8"/>
  <c r="P295" i="5"/>
  <c r="S288" i="8"/>
  <c r="S288" i="5"/>
  <c r="P285" i="8"/>
  <c r="P285" i="5"/>
  <c r="U277" i="8"/>
  <c r="U277" i="5"/>
  <c r="S276" i="8"/>
  <c r="S276" i="5"/>
  <c r="R275" i="8"/>
  <c r="R275" i="5"/>
  <c r="U273" i="8"/>
  <c r="U273" i="5"/>
  <c r="Q268" i="8"/>
  <c r="Q268" i="5"/>
  <c r="P267" i="8"/>
  <c r="P267" i="5"/>
  <c r="U265" i="8"/>
  <c r="U265" i="5"/>
  <c r="Q260" i="8"/>
  <c r="Q260" i="5"/>
  <c r="P259" i="8"/>
  <c r="P259" i="5"/>
  <c r="S256" i="8"/>
  <c r="S256" i="5"/>
  <c r="U250" i="8"/>
  <c r="U250" i="5"/>
  <c r="S248" i="8"/>
  <c r="S248" i="5"/>
  <c r="S233" i="8"/>
  <c r="S233" i="5"/>
  <c r="Q230" i="8"/>
  <c r="Q230" i="5"/>
  <c r="P221" i="8"/>
  <c r="P221" i="5"/>
  <c r="P213" i="8"/>
  <c r="P213" i="5"/>
  <c r="Q208" i="8"/>
  <c r="Q208" i="5"/>
  <c r="P205" i="8"/>
  <c r="P205" i="5"/>
  <c r="S201" i="8"/>
  <c r="S201" i="5"/>
  <c r="P195" i="8"/>
  <c r="P195" i="5"/>
  <c r="Q188" i="8"/>
  <c r="Q188" i="5"/>
  <c r="P183" i="8"/>
  <c r="P183" i="5"/>
  <c r="P171" i="8"/>
  <c r="P171" i="5"/>
  <c r="Q164" i="8"/>
  <c r="Q164" i="5"/>
  <c r="U158" i="8"/>
  <c r="U158" i="5"/>
  <c r="Q148" i="8"/>
  <c r="Q148" i="5"/>
  <c r="S12" i="8"/>
  <c r="S12" i="5"/>
  <c r="U5" i="8"/>
  <c r="U5" i="5"/>
  <c r="S35" i="8"/>
  <c r="S35" i="5"/>
  <c r="U32" i="8"/>
  <c r="U32" i="5"/>
  <c r="U28" i="8"/>
  <c r="U28" i="5"/>
  <c r="U49" i="8"/>
  <c r="U49" i="5"/>
  <c r="S1052" i="8"/>
  <c r="S1052" i="5"/>
  <c r="U1049" i="8"/>
  <c r="U1049" i="5"/>
  <c r="S1048" i="8"/>
  <c r="S1048" i="5"/>
  <c r="S1044" i="8"/>
  <c r="S1044" i="5"/>
  <c r="S1040" i="8"/>
  <c r="S1040" i="5"/>
  <c r="S1036" i="8"/>
  <c r="S1036" i="5"/>
  <c r="U1025" i="8"/>
  <c r="U1025" i="5"/>
  <c r="U997" i="8"/>
  <c r="U997" i="5"/>
  <c r="R991" i="8"/>
  <c r="R991" i="5"/>
  <c r="U973" i="8"/>
  <c r="U973" i="5"/>
  <c r="U969" i="8"/>
  <c r="U969" i="5"/>
  <c r="U957" i="8"/>
  <c r="U957" i="5"/>
  <c r="S940" i="8"/>
  <c r="S940" i="5"/>
  <c r="S920" i="8"/>
  <c r="S920" i="5"/>
  <c r="U917" i="8"/>
  <c r="U917" i="5"/>
  <c r="P21" i="8"/>
  <c r="P21" i="5"/>
  <c r="P9" i="8"/>
  <c r="P9" i="5"/>
  <c r="P5" i="8"/>
  <c r="P5" i="5"/>
  <c r="P28" i="8"/>
  <c r="P28" i="5"/>
  <c r="T49" i="8"/>
  <c r="T49" i="5"/>
  <c r="P45" i="8"/>
  <c r="P45" i="5"/>
  <c r="P41" i="8"/>
  <c r="P41" i="5"/>
  <c r="P1073" i="8"/>
  <c r="P1073" i="5"/>
  <c r="Q1070" i="8"/>
  <c r="Q1070" i="5"/>
  <c r="P1061" i="8"/>
  <c r="P1061" i="5"/>
  <c r="P1053" i="8"/>
  <c r="P1053" i="5"/>
  <c r="T1045" i="8"/>
  <c r="T1045" i="5"/>
  <c r="Q1042" i="8"/>
  <c r="Q1042" i="5"/>
  <c r="P1041" i="8"/>
  <c r="P1041" i="5"/>
  <c r="Q1034" i="8"/>
  <c r="Q1034" i="5"/>
  <c r="P1033" i="8"/>
  <c r="P1033" i="5"/>
  <c r="P1025" i="8"/>
  <c r="P1025" i="5"/>
  <c r="T1021" i="8"/>
  <c r="T1021" i="5"/>
  <c r="Q1010" i="8"/>
  <c r="Q1010" i="5"/>
  <c r="Q1006" i="8"/>
  <c r="Q1006" i="5"/>
  <c r="P997" i="8"/>
  <c r="P997" i="5"/>
  <c r="T993" i="8"/>
  <c r="T993" i="5"/>
  <c r="Q990" i="8"/>
  <c r="Q990" i="5"/>
  <c r="P985" i="8"/>
  <c r="P985" i="5"/>
  <c r="T977" i="8"/>
  <c r="T977" i="5"/>
  <c r="Q966" i="8"/>
  <c r="Q966" i="5"/>
  <c r="P965" i="8"/>
  <c r="P965" i="5"/>
  <c r="Q954" i="8"/>
  <c r="Q954" i="5"/>
  <c r="P949" i="8"/>
  <c r="P949" i="5"/>
  <c r="P945" i="8"/>
  <c r="P945" i="5"/>
  <c r="Q938" i="8"/>
  <c r="Q938" i="5"/>
  <c r="Q930" i="8"/>
  <c r="Q930" i="5"/>
  <c r="P925" i="8"/>
  <c r="P925" i="5"/>
  <c r="P917" i="8"/>
  <c r="P917" i="5"/>
  <c r="T913" i="8"/>
  <c r="T913" i="5"/>
  <c r="P887" i="8"/>
  <c r="P887" i="5"/>
  <c r="U882" i="8"/>
  <c r="U882" i="5"/>
  <c r="S877" i="8"/>
  <c r="S877" i="5"/>
  <c r="U16" i="5"/>
  <c r="U16" i="8"/>
  <c r="S11" i="8"/>
  <c r="S11" i="5"/>
  <c r="U4" i="8"/>
  <c r="U4" i="5"/>
  <c r="S34" i="8"/>
  <c r="S34" i="5"/>
  <c r="U31" i="8"/>
  <c r="U31" i="5"/>
  <c r="S26" i="8"/>
  <c r="S26" i="5"/>
  <c r="R50" i="8"/>
  <c r="R50" i="5"/>
  <c r="S1071" i="8"/>
  <c r="S1071" i="5"/>
  <c r="S1051" i="8"/>
  <c r="S1051" i="5"/>
  <c r="S1047" i="8"/>
  <c r="S1047" i="5"/>
  <c r="U1044" i="8"/>
  <c r="U1044" i="5"/>
  <c r="U1040" i="8"/>
  <c r="U1040" i="5"/>
  <c r="U1036" i="8"/>
  <c r="U1036" i="5"/>
  <c r="S1031" i="8"/>
  <c r="S1031" i="5"/>
  <c r="U1028" i="8"/>
  <c r="U1028" i="5"/>
  <c r="R1022" i="8"/>
  <c r="R1022" i="5"/>
  <c r="S1019" i="8"/>
  <c r="S1019" i="5"/>
  <c r="U1016" i="8"/>
  <c r="U1016" i="5"/>
  <c r="S1011" i="8"/>
  <c r="S1011" i="5"/>
  <c r="U1004" i="8"/>
  <c r="U1004" i="5"/>
  <c r="R994" i="8"/>
  <c r="R994" i="5"/>
  <c r="R978" i="8"/>
  <c r="R978" i="5"/>
  <c r="S975" i="8"/>
  <c r="S975" i="5"/>
  <c r="S967" i="8"/>
  <c r="S967" i="5"/>
  <c r="S963" i="8"/>
  <c r="S963" i="5"/>
  <c r="S959" i="8"/>
  <c r="S959" i="5"/>
  <c r="U952" i="8"/>
  <c r="U952" i="5"/>
  <c r="S947" i="8"/>
  <c r="S947" i="5"/>
  <c r="S943" i="8"/>
  <c r="S943" i="5"/>
  <c r="U940" i="8"/>
  <c r="U940" i="5"/>
  <c r="S935" i="8"/>
  <c r="S935" i="5"/>
  <c r="S927" i="8"/>
  <c r="S927" i="5"/>
  <c r="U912" i="8"/>
  <c r="U912" i="5"/>
  <c r="S907" i="8"/>
  <c r="S907" i="5"/>
  <c r="P899" i="8"/>
  <c r="P899" i="5"/>
  <c r="R892" i="8"/>
  <c r="R892" i="5"/>
  <c r="S889" i="8"/>
  <c r="S889" i="5"/>
  <c r="U886" i="8"/>
  <c r="U886" i="5"/>
  <c r="P878" i="8"/>
  <c r="P878" i="5"/>
  <c r="Q871" i="8"/>
  <c r="Q871" i="5"/>
  <c r="T865" i="8"/>
  <c r="T865" i="5"/>
  <c r="P861" i="8"/>
  <c r="P861" i="5"/>
  <c r="Q858" i="8"/>
  <c r="Q858" i="5"/>
  <c r="T857" i="8"/>
  <c r="T857" i="5"/>
  <c r="Q853" i="8"/>
  <c r="Q853" i="5"/>
  <c r="T848" i="8"/>
  <c r="T848" i="5"/>
  <c r="S837" i="8"/>
  <c r="S837" i="5"/>
  <c r="U834" i="8"/>
  <c r="U834" i="5"/>
  <c r="R832" i="8"/>
  <c r="R832" i="5"/>
  <c r="R820" i="8"/>
  <c r="R820" i="5"/>
  <c r="S816" i="8"/>
  <c r="S816" i="5"/>
  <c r="U813" i="8"/>
  <c r="U813" i="5"/>
  <c r="R811" i="8"/>
  <c r="R811" i="5"/>
  <c r="S804" i="8"/>
  <c r="S804" i="5"/>
  <c r="S753" i="8"/>
  <c r="S753" i="5"/>
  <c r="U750" i="8"/>
  <c r="U750" i="5"/>
  <c r="R744" i="8"/>
  <c r="R744" i="5"/>
  <c r="P741" i="8"/>
  <c r="P741" i="5"/>
  <c r="U705" i="8"/>
  <c r="U705" i="5"/>
  <c r="S704" i="8"/>
  <c r="S704" i="5"/>
  <c r="U701" i="8"/>
  <c r="U701" i="5"/>
  <c r="S696" i="8"/>
  <c r="S696" i="5"/>
  <c r="Q690" i="8"/>
  <c r="Q690" i="5"/>
  <c r="T671" i="8"/>
  <c r="T671" i="5"/>
  <c r="P667" i="8"/>
  <c r="P667" i="5"/>
  <c r="U646" i="8"/>
  <c r="U646" i="5"/>
  <c r="R2" i="8"/>
  <c r="R2" i="5"/>
  <c r="Q21" i="8"/>
  <c r="Q21" i="5"/>
  <c r="Q9" i="8"/>
  <c r="Q9" i="5"/>
  <c r="P8" i="8"/>
  <c r="P8" i="5"/>
  <c r="Q5" i="8"/>
  <c r="Q5" i="5"/>
  <c r="P4" i="8"/>
  <c r="P4" i="5"/>
  <c r="Q36" i="8"/>
  <c r="Q36" i="5"/>
  <c r="P35" i="8"/>
  <c r="P35" i="5"/>
  <c r="Q32" i="8"/>
  <c r="Q32" i="5"/>
  <c r="P31" i="8"/>
  <c r="P31" i="5"/>
  <c r="Q28" i="8"/>
  <c r="Q28" i="5"/>
  <c r="P27" i="8"/>
  <c r="P27" i="5"/>
  <c r="Q24" i="8"/>
  <c r="Q24" i="5"/>
  <c r="P23" i="8"/>
  <c r="P23" i="5"/>
  <c r="Q49" i="8"/>
  <c r="Q49" i="5"/>
  <c r="P48" i="8"/>
  <c r="P48" i="5"/>
  <c r="Q45" i="8"/>
  <c r="Q45" i="5"/>
  <c r="P44" i="8"/>
  <c r="P44" i="5"/>
  <c r="Q41" i="8"/>
  <c r="Q41" i="5"/>
  <c r="P40" i="8"/>
  <c r="P40" i="5"/>
  <c r="Q1073" i="8"/>
  <c r="Q1073" i="5"/>
  <c r="T1072" i="8"/>
  <c r="T1072" i="5"/>
  <c r="P1072" i="8"/>
  <c r="P1072" i="5"/>
  <c r="Q1069" i="8"/>
  <c r="Q1069" i="5"/>
  <c r="T1068" i="8"/>
  <c r="T1068" i="5"/>
  <c r="P1068" i="8"/>
  <c r="P1068" i="5"/>
  <c r="Q1065" i="8"/>
  <c r="Q1065" i="5"/>
  <c r="P1064" i="8"/>
  <c r="P1064" i="5"/>
  <c r="Q1061" i="8"/>
  <c r="Q1061" i="5"/>
  <c r="P1060" i="8"/>
  <c r="P1060" i="5"/>
  <c r="Q1057" i="8"/>
  <c r="Q1057" i="5"/>
  <c r="P1056" i="8"/>
  <c r="P1056" i="5"/>
  <c r="Q1053" i="8"/>
  <c r="Q1053" i="5"/>
  <c r="P1052" i="8"/>
  <c r="P1052" i="5"/>
  <c r="Q1049" i="8"/>
  <c r="Q1049" i="5"/>
  <c r="P1048" i="8"/>
  <c r="P1048" i="5"/>
  <c r="Q1045" i="8"/>
  <c r="Q1045" i="5"/>
  <c r="P1044" i="8"/>
  <c r="P1044" i="5"/>
  <c r="Q1041" i="8"/>
  <c r="Q1041" i="5"/>
  <c r="P1040" i="8"/>
  <c r="P1040" i="5"/>
  <c r="Q1037" i="8"/>
  <c r="Q1037" i="5"/>
  <c r="P1036" i="8"/>
  <c r="P1036" i="5"/>
  <c r="Q1033" i="8"/>
  <c r="Q1033" i="5"/>
  <c r="P1032" i="8"/>
  <c r="P1032" i="5"/>
  <c r="Q1029" i="8"/>
  <c r="Q1029" i="5"/>
  <c r="P1028" i="8"/>
  <c r="P1028" i="5"/>
  <c r="Q1025" i="8"/>
  <c r="Q1025" i="5"/>
  <c r="T1024" i="8"/>
  <c r="T1024" i="5"/>
  <c r="P1024" i="8"/>
  <c r="P1024" i="5"/>
  <c r="Q1021" i="8"/>
  <c r="Q1021" i="5"/>
  <c r="T1020" i="8"/>
  <c r="T1020" i="5"/>
  <c r="P1020" i="8"/>
  <c r="P1020" i="5"/>
  <c r="Q1017" i="8"/>
  <c r="Q1017" i="5"/>
  <c r="P1016" i="8"/>
  <c r="P1016" i="5"/>
  <c r="Q1013" i="8"/>
  <c r="Q1013" i="5"/>
  <c r="P1012" i="8"/>
  <c r="P1012" i="5"/>
  <c r="Q1009" i="8"/>
  <c r="Q1009" i="5"/>
  <c r="P1008" i="8"/>
  <c r="P1008" i="5"/>
  <c r="Q1005" i="8"/>
  <c r="Q1005" i="5"/>
  <c r="T1004" i="8"/>
  <c r="T1004" i="5"/>
  <c r="P1004" i="8"/>
  <c r="P1004" i="5"/>
  <c r="Q1001" i="8"/>
  <c r="Q1001" i="5"/>
  <c r="P1000" i="8"/>
  <c r="P1000" i="5"/>
  <c r="Q997" i="8"/>
  <c r="Q997" i="5"/>
  <c r="P996" i="8"/>
  <c r="P996" i="5"/>
  <c r="Q993" i="8"/>
  <c r="Q993" i="5"/>
  <c r="T992" i="8"/>
  <c r="T992" i="5"/>
  <c r="P992" i="8"/>
  <c r="P992" i="5"/>
  <c r="Q989" i="8"/>
  <c r="Q989" i="5"/>
  <c r="T988" i="8"/>
  <c r="T988" i="5"/>
  <c r="P988" i="8"/>
  <c r="P988" i="5"/>
  <c r="Q985" i="8"/>
  <c r="Q985" i="5"/>
  <c r="P984" i="8"/>
  <c r="P984" i="5"/>
  <c r="Q981" i="8"/>
  <c r="Q981" i="5"/>
  <c r="P980" i="8"/>
  <c r="P980" i="5"/>
  <c r="Q977" i="8"/>
  <c r="Q977" i="5"/>
  <c r="T976" i="8"/>
  <c r="T976" i="5"/>
  <c r="P976" i="8"/>
  <c r="P976" i="5"/>
  <c r="Q973" i="8"/>
  <c r="Q973" i="5"/>
  <c r="P972" i="8"/>
  <c r="P972" i="5"/>
  <c r="Q969" i="8"/>
  <c r="Q969" i="5"/>
  <c r="P968" i="8"/>
  <c r="P968" i="5"/>
  <c r="Q965" i="8"/>
  <c r="Q965" i="5"/>
  <c r="P964" i="8"/>
  <c r="P964" i="5"/>
  <c r="Q961" i="8"/>
  <c r="Q961" i="5"/>
  <c r="P960" i="8"/>
  <c r="P960" i="5"/>
  <c r="Q957" i="8"/>
  <c r="Q957" i="5"/>
  <c r="P956" i="8"/>
  <c r="P956" i="5"/>
  <c r="Q953" i="8"/>
  <c r="Q953" i="5"/>
  <c r="P952" i="8"/>
  <c r="P952" i="5"/>
  <c r="Q949" i="8"/>
  <c r="Q949" i="5"/>
  <c r="P948" i="8"/>
  <c r="P948" i="5"/>
  <c r="Q945" i="8"/>
  <c r="Q945" i="5"/>
  <c r="P944" i="8"/>
  <c r="P944" i="5"/>
  <c r="Q941" i="8"/>
  <c r="Q941" i="5"/>
  <c r="P940" i="8"/>
  <c r="P940" i="5"/>
  <c r="Q937" i="8"/>
  <c r="Q937" i="5"/>
  <c r="P936" i="8"/>
  <c r="P936" i="5"/>
  <c r="Q933" i="8"/>
  <c r="Q933" i="5"/>
  <c r="P932" i="8"/>
  <c r="P932" i="5"/>
  <c r="Q929" i="8"/>
  <c r="Q929" i="5"/>
  <c r="P928" i="8"/>
  <c r="P928" i="5"/>
  <c r="Q925" i="8"/>
  <c r="Q925" i="5"/>
  <c r="P924" i="8"/>
  <c r="P924" i="5"/>
  <c r="Q921" i="8"/>
  <c r="Q921" i="5"/>
  <c r="P920" i="8"/>
  <c r="P920" i="5"/>
  <c r="Q917" i="8"/>
  <c r="Q917" i="5"/>
  <c r="P916" i="8"/>
  <c r="P916" i="5"/>
  <c r="Q913" i="8"/>
  <c r="Q913" i="5"/>
  <c r="T912" i="8"/>
  <c r="T912" i="5"/>
  <c r="P912" i="8"/>
  <c r="P912" i="5"/>
  <c r="Q909" i="8"/>
  <c r="Q909" i="5"/>
  <c r="P908" i="8"/>
  <c r="P908" i="5"/>
  <c r="S901" i="8"/>
  <c r="S901" i="5"/>
  <c r="P898" i="8"/>
  <c r="P898" i="5"/>
  <c r="Q895" i="8"/>
  <c r="Q895" i="5"/>
  <c r="T894" i="8"/>
  <c r="T894" i="5"/>
  <c r="P894" i="8"/>
  <c r="P894" i="5"/>
  <c r="Q891" i="8"/>
  <c r="Q891" i="5"/>
  <c r="T890" i="8"/>
  <c r="T890" i="5"/>
  <c r="P890" i="8"/>
  <c r="P890" i="5"/>
  <c r="Q887" i="8"/>
  <c r="Q887" i="5"/>
  <c r="T886" i="8"/>
  <c r="T886" i="5"/>
  <c r="P886" i="8"/>
  <c r="P886" i="5"/>
  <c r="Q883" i="8"/>
  <c r="Q883" i="5"/>
  <c r="U881" i="8"/>
  <c r="U881" i="5"/>
  <c r="S880" i="8"/>
  <c r="S880" i="5"/>
  <c r="R879" i="8"/>
  <c r="R879" i="5"/>
  <c r="U877" i="8"/>
  <c r="U877" i="5"/>
  <c r="S876" i="8"/>
  <c r="S876" i="5"/>
  <c r="R875" i="8"/>
  <c r="R875" i="5"/>
  <c r="U873" i="8"/>
  <c r="U873" i="5"/>
  <c r="S872" i="8"/>
  <c r="S872" i="5"/>
  <c r="R871" i="8"/>
  <c r="R871" i="5"/>
  <c r="P869" i="8"/>
  <c r="P869" i="5"/>
  <c r="Q840" i="8"/>
  <c r="Q840" i="5"/>
  <c r="P839" i="8"/>
  <c r="P839" i="5"/>
  <c r="U838" i="8"/>
  <c r="U838" i="5"/>
  <c r="Q835" i="8"/>
  <c r="Q835" i="5"/>
  <c r="T834" i="8"/>
  <c r="T834" i="5"/>
  <c r="P834" i="8"/>
  <c r="P834" i="5"/>
  <c r="Q831" i="8"/>
  <c r="Q831" i="5"/>
  <c r="T830" i="8"/>
  <c r="T830" i="5"/>
  <c r="P830" i="8"/>
  <c r="P830" i="5"/>
  <c r="Q827" i="8"/>
  <c r="Q827" i="5"/>
  <c r="T826" i="8"/>
  <c r="T826" i="5"/>
  <c r="P826" i="8"/>
  <c r="P826" i="5"/>
  <c r="Q823" i="8"/>
  <c r="Q823" i="5"/>
  <c r="T822" i="8"/>
  <c r="T822" i="5"/>
  <c r="P822" i="8"/>
  <c r="P822" i="5"/>
  <c r="Q819" i="8"/>
  <c r="Q819" i="5"/>
  <c r="Q818" i="8"/>
  <c r="Q818" i="5"/>
  <c r="T817" i="8"/>
  <c r="T817" i="5"/>
  <c r="P817" i="8"/>
  <c r="P817" i="5"/>
  <c r="Q814" i="8"/>
  <c r="Q814" i="5"/>
  <c r="T813" i="8"/>
  <c r="T813" i="5"/>
  <c r="P813" i="8"/>
  <c r="P813" i="5"/>
  <c r="Q810" i="8"/>
  <c r="Q810" i="5"/>
  <c r="T809" i="8"/>
  <c r="T809" i="5"/>
  <c r="P809" i="8"/>
  <c r="P809" i="5"/>
  <c r="Q806" i="8"/>
  <c r="Q806" i="5"/>
  <c r="T805" i="8"/>
  <c r="T805" i="5"/>
  <c r="P805" i="8"/>
  <c r="P805" i="5"/>
  <c r="Q772" i="8"/>
  <c r="Q772" i="5"/>
  <c r="P771" i="8"/>
  <c r="P771" i="5"/>
  <c r="Q768" i="8"/>
  <c r="Q768" i="5"/>
  <c r="T767" i="8"/>
  <c r="T767" i="5"/>
  <c r="P767" i="8"/>
  <c r="P767" i="5"/>
  <c r="Q764" i="8"/>
  <c r="Q764" i="5"/>
  <c r="T763" i="8"/>
  <c r="T763" i="5"/>
  <c r="P763" i="8"/>
  <c r="P763" i="5"/>
  <c r="Q760" i="8"/>
  <c r="Q760" i="5"/>
  <c r="T759" i="8"/>
  <c r="T759" i="5"/>
  <c r="P759" i="8"/>
  <c r="P759" i="5"/>
  <c r="Q756" i="8"/>
  <c r="Q756" i="5"/>
  <c r="T755" i="8"/>
  <c r="T755" i="5"/>
  <c r="P755" i="8"/>
  <c r="P755" i="5"/>
  <c r="Q742" i="8"/>
  <c r="Q742" i="5"/>
  <c r="Q720" i="8"/>
  <c r="Q720" i="5"/>
  <c r="T719" i="8"/>
  <c r="T719" i="5"/>
  <c r="P719" i="8"/>
  <c r="P719" i="5"/>
  <c r="Q716" i="8"/>
  <c r="Q716" i="5"/>
  <c r="T715" i="8"/>
  <c r="T715" i="5"/>
  <c r="P715" i="8"/>
  <c r="P715" i="5"/>
  <c r="Q712" i="8"/>
  <c r="Q712" i="5"/>
  <c r="T711" i="8"/>
  <c r="T711" i="5"/>
  <c r="P711" i="8"/>
  <c r="P711" i="5"/>
  <c r="S709" i="8"/>
  <c r="S709" i="5"/>
  <c r="Q706" i="8"/>
  <c r="Q706" i="5"/>
  <c r="T705" i="8"/>
  <c r="T705" i="5"/>
  <c r="P705" i="8"/>
  <c r="P705" i="5"/>
  <c r="Q702" i="8"/>
  <c r="Q702" i="5"/>
  <c r="T701" i="8"/>
  <c r="T701" i="5"/>
  <c r="P701" i="8"/>
  <c r="P701" i="5"/>
  <c r="Q698" i="8"/>
  <c r="Q698" i="5"/>
  <c r="T697" i="8"/>
  <c r="T697" i="5"/>
  <c r="P697" i="8"/>
  <c r="P697" i="5"/>
  <c r="Q694" i="8"/>
  <c r="Q694" i="5"/>
  <c r="T693" i="8"/>
  <c r="T693" i="5"/>
  <c r="P693" i="8"/>
  <c r="P693" i="5"/>
  <c r="S685" i="8"/>
  <c r="S685" i="5"/>
  <c r="Q682" i="8"/>
  <c r="Q682" i="5"/>
  <c r="U674" i="8"/>
  <c r="U674" i="5"/>
  <c r="S673" i="8"/>
  <c r="S673" i="5"/>
  <c r="R672" i="8"/>
  <c r="R672" i="5"/>
  <c r="U670" i="8"/>
  <c r="U670" i="5"/>
  <c r="S669" i="8"/>
  <c r="S669" i="5"/>
  <c r="R668" i="8"/>
  <c r="R668" i="5"/>
  <c r="U666" i="8"/>
  <c r="U666" i="5"/>
  <c r="S665" i="8"/>
  <c r="S665" i="5"/>
  <c r="Q662" i="8"/>
  <c r="Q662" i="5"/>
  <c r="Q656" i="8"/>
  <c r="Q656" i="5"/>
  <c r="T655" i="8"/>
  <c r="T655" i="5"/>
  <c r="P655" i="8"/>
  <c r="P655" i="5"/>
  <c r="Q652" i="8"/>
  <c r="Q652" i="5"/>
  <c r="T651" i="8"/>
  <c r="T651" i="5"/>
  <c r="P651" i="8"/>
  <c r="P651" i="5"/>
  <c r="Q648" i="8"/>
  <c r="Q648" i="5"/>
  <c r="T647" i="8"/>
  <c r="T647" i="5"/>
  <c r="P647" i="8"/>
  <c r="P647" i="5"/>
  <c r="U645" i="8"/>
  <c r="U645" i="5"/>
  <c r="Q642" i="8"/>
  <c r="Q642" i="5"/>
  <c r="T641" i="8"/>
  <c r="T641" i="5"/>
  <c r="P641" i="8"/>
  <c r="P641" i="5"/>
  <c r="Q638" i="8"/>
  <c r="Q638" i="5"/>
  <c r="T637" i="8"/>
  <c r="T637" i="5"/>
  <c r="P637" i="8"/>
  <c r="P637" i="5"/>
  <c r="Q634" i="8"/>
  <c r="Q634" i="5"/>
  <c r="T633" i="8"/>
  <c r="T633" i="5"/>
  <c r="P633" i="8"/>
  <c r="P633" i="5"/>
  <c r="Q628" i="8"/>
  <c r="Q628" i="5"/>
  <c r="P627" i="8"/>
  <c r="P627" i="5"/>
  <c r="P621" i="8"/>
  <c r="P621" i="5"/>
  <c r="P613" i="8"/>
  <c r="P613" i="5"/>
  <c r="P597" i="8"/>
  <c r="P597" i="5"/>
  <c r="U578" i="8"/>
  <c r="U578" i="5"/>
  <c r="S577" i="8"/>
  <c r="S577" i="5"/>
  <c r="R576" i="8"/>
  <c r="R576" i="5"/>
  <c r="U574" i="8"/>
  <c r="U574" i="5"/>
  <c r="S573" i="8"/>
  <c r="S573" i="5"/>
  <c r="R572" i="8"/>
  <c r="R572" i="5"/>
  <c r="P569" i="8"/>
  <c r="P569" i="5"/>
  <c r="U561" i="8"/>
  <c r="U561" i="5"/>
  <c r="S560" i="8"/>
  <c r="S560" i="5"/>
  <c r="R559" i="8"/>
  <c r="R559" i="5"/>
  <c r="U557" i="8"/>
  <c r="U557" i="5"/>
  <c r="S556" i="8"/>
  <c r="S556" i="5"/>
  <c r="R555" i="8"/>
  <c r="R555" i="5"/>
  <c r="U553" i="8"/>
  <c r="U553" i="5"/>
  <c r="Q548" i="8"/>
  <c r="Q548" i="5"/>
  <c r="P547" i="8"/>
  <c r="P547" i="5"/>
  <c r="P541" i="8"/>
  <c r="P541" i="5"/>
  <c r="P533" i="8"/>
  <c r="P533" i="5"/>
  <c r="S521" i="8"/>
  <c r="S521" i="5"/>
  <c r="Q518" i="8"/>
  <c r="Q518" i="5"/>
  <c r="Q512" i="8"/>
  <c r="Q512" i="5"/>
  <c r="P511" i="8"/>
  <c r="P511" i="5"/>
  <c r="U509" i="8"/>
  <c r="U509" i="5"/>
  <c r="Q504" i="8"/>
  <c r="Q504" i="5"/>
  <c r="P503" i="8"/>
  <c r="P503" i="5"/>
  <c r="U501" i="8"/>
  <c r="U501" i="5"/>
  <c r="Q498" i="8"/>
  <c r="Q498" i="5"/>
  <c r="T497" i="8"/>
  <c r="T497" i="5"/>
  <c r="P497" i="8"/>
  <c r="P497" i="5"/>
  <c r="Q492" i="8"/>
  <c r="Q492" i="5"/>
  <c r="P491" i="8"/>
  <c r="P491" i="5"/>
  <c r="U489" i="8"/>
  <c r="U489" i="5"/>
  <c r="Q484" i="8"/>
  <c r="Q484" i="5"/>
  <c r="P483" i="8"/>
  <c r="P483" i="5"/>
  <c r="S476" i="8"/>
  <c r="S476" i="5"/>
  <c r="U470" i="8"/>
  <c r="U470" i="5"/>
  <c r="S468" i="8"/>
  <c r="S468" i="5"/>
  <c r="U465" i="8"/>
  <c r="U465" i="5"/>
  <c r="S464" i="8"/>
  <c r="S464" i="5"/>
  <c r="R463" i="8"/>
  <c r="R463" i="5"/>
  <c r="P461" i="8"/>
  <c r="P461" i="5"/>
  <c r="P453" i="8"/>
  <c r="P453" i="5"/>
  <c r="Q448" i="8"/>
  <c r="Q448" i="5"/>
  <c r="P447" i="8"/>
  <c r="P447" i="5"/>
  <c r="U445" i="8"/>
  <c r="U445" i="5"/>
  <c r="Q440" i="8"/>
  <c r="Q440" i="5"/>
  <c r="P439" i="8"/>
  <c r="P439" i="5"/>
  <c r="U437" i="8"/>
  <c r="U437" i="5"/>
  <c r="U430" i="8"/>
  <c r="U430" i="5"/>
  <c r="S428" i="8"/>
  <c r="S428" i="5"/>
  <c r="U422" i="8"/>
  <c r="U422" i="5"/>
  <c r="S420" i="8"/>
  <c r="S420" i="5"/>
  <c r="S413" i="8"/>
  <c r="S413" i="5"/>
  <c r="Q410" i="8"/>
  <c r="Q410" i="5"/>
  <c r="S405" i="8"/>
  <c r="S405" i="5"/>
  <c r="S400" i="8"/>
  <c r="S400" i="5"/>
  <c r="U394" i="8"/>
  <c r="U394" i="5"/>
  <c r="S392" i="8"/>
  <c r="S392" i="5"/>
  <c r="Q384" i="8"/>
  <c r="Q384" i="5"/>
  <c r="P383" i="8"/>
  <c r="P383" i="5"/>
  <c r="U381" i="8"/>
  <c r="U381" i="5"/>
  <c r="Q376" i="8"/>
  <c r="Q376" i="5"/>
  <c r="P375" i="8"/>
  <c r="P375" i="5"/>
  <c r="U373" i="8"/>
  <c r="U373" i="5"/>
  <c r="U366" i="8"/>
  <c r="U366" i="5"/>
  <c r="S364" i="8"/>
  <c r="S364" i="5"/>
  <c r="U358" i="8"/>
  <c r="U358" i="5"/>
  <c r="S356" i="8"/>
  <c r="S356" i="5"/>
  <c r="S349" i="8"/>
  <c r="S349" i="5"/>
  <c r="Q346" i="8"/>
  <c r="Q346" i="5"/>
  <c r="S341" i="8"/>
  <c r="S341" i="5"/>
  <c r="Q338" i="8"/>
  <c r="Q338" i="5"/>
  <c r="S333" i="8"/>
  <c r="S333" i="5"/>
  <c r="Q330" i="8"/>
  <c r="Q330" i="5"/>
  <c r="S325" i="8"/>
  <c r="S325" i="5"/>
  <c r="Q322" i="8"/>
  <c r="Q322" i="5"/>
  <c r="T321" i="8"/>
  <c r="T321" i="5"/>
  <c r="P321" i="8"/>
  <c r="P321" i="5"/>
  <c r="Q316" i="8"/>
  <c r="Q316" i="5"/>
  <c r="P315" i="8"/>
  <c r="P315" i="5"/>
  <c r="U313" i="8"/>
  <c r="U313" i="5"/>
  <c r="Q308" i="8"/>
  <c r="Q308" i="5"/>
  <c r="P307" i="8"/>
  <c r="P307" i="5"/>
  <c r="S304" i="8"/>
  <c r="S304" i="5"/>
  <c r="U293" i="8"/>
  <c r="U293" i="5"/>
  <c r="S292" i="8"/>
  <c r="S292" i="5"/>
  <c r="R291" i="8"/>
  <c r="R291" i="5"/>
  <c r="U289" i="8"/>
  <c r="U289" i="5"/>
  <c r="Q286" i="8"/>
  <c r="Q286" i="5"/>
  <c r="S281" i="8"/>
  <c r="S281" i="5"/>
  <c r="Q278" i="8"/>
  <c r="Q278" i="5"/>
  <c r="T277" i="8"/>
  <c r="T277" i="5"/>
  <c r="P277" i="8"/>
  <c r="P277" i="5"/>
  <c r="Q274" i="8"/>
  <c r="Q274" i="5"/>
  <c r="T273" i="8"/>
  <c r="T273" i="5"/>
  <c r="P273" i="8"/>
  <c r="P273" i="5"/>
  <c r="P265" i="8"/>
  <c r="P265" i="5"/>
  <c r="U257" i="8"/>
  <c r="U257" i="5"/>
  <c r="Q252" i="8"/>
  <c r="Q252" i="5"/>
  <c r="P251" i="8"/>
  <c r="P251" i="5"/>
  <c r="U249" i="8"/>
  <c r="U249" i="5"/>
  <c r="U234" i="8"/>
  <c r="U234" i="5"/>
  <c r="S232" i="8"/>
  <c r="S232" i="5"/>
  <c r="U226" i="8"/>
  <c r="U226" i="5"/>
  <c r="S225" i="8"/>
  <c r="S225" i="5"/>
  <c r="Q222" i="8"/>
  <c r="Q222" i="5"/>
  <c r="S217" i="8"/>
  <c r="S217" i="5"/>
  <c r="Q214" i="8"/>
  <c r="Q214" i="5"/>
  <c r="S209" i="8"/>
  <c r="S209" i="5"/>
  <c r="R208" i="8"/>
  <c r="R208" i="5"/>
  <c r="Q206" i="8"/>
  <c r="Q206" i="5"/>
  <c r="U202" i="8"/>
  <c r="U202" i="5"/>
  <c r="Q196" i="8"/>
  <c r="Q196" i="5"/>
  <c r="U178" i="8"/>
  <c r="U178" i="5"/>
  <c r="S177" i="8"/>
  <c r="S177" i="5"/>
  <c r="P159" i="8"/>
  <c r="P159" i="5"/>
  <c r="S153" i="8"/>
  <c r="S153" i="5"/>
  <c r="S31" i="8"/>
  <c r="S31" i="5"/>
  <c r="S27" i="8"/>
  <c r="S27" i="5"/>
  <c r="R1071" i="8"/>
  <c r="R1071" i="5"/>
  <c r="S1060" i="8"/>
  <c r="S1060" i="5"/>
  <c r="U1053" i="8"/>
  <c r="U1053" i="5"/>
  <c r="U1041" i="8"/>
  <c r="U1041" i="5"/>
  <c r="S1028" i="8"/>
  <c r="S1028" i="5"/>
  <c r="R1023" i="8"/>
  <c r="R1023" i="5"/>
  <c r="U1021" i="8"/>
  <c r="U1021" i="5"/>
  <c r="U1001" i="8"/>
  <c r="U1001" i="5"/>
  <c r="U993" i="8"/>
  <c r="U993" i="5"/>
  <c r="S984" i="8"/>
  <c r="S984" i="5"/>
  <c r="U981" i="8"/>
  <c r="U981" i="5"/>
  <c r="S972" i="8"/>
  <c r="S972" i="5"/>
  <c r="U965" i="8"/>
  <c r="U965" i="5"/>
  <c r="U961" i="8"/>
  <c r="U961" i="5"/>
  <c r="U953" i="8"/>
  <c r="U953" i="5"/>
  <c r="U949" i="8"/>
  <c r="U949" i="5"/>
  <c r="S944" i="8"/>
  <c r="S944" i="5"/>
  <c r="U941" i="8"/>
  <c r="U941" i="5"/>
  <c r="S936" i="8"/>
  <c r="S936" i="5"/>
  <c r="S932" i="8"/>
  <c r="S932" i="5"/>
  <c r="S928" i="8"/>
  <c r="S928" i="5"/>
  <c r="U913" i="8"/>
  <c r="U913" i="5"/>
  <c r="U909" i="8"/>
  <c r="U909" i="5"/>
  <c r="P905" i="8"/>
  <c r="P905" i="5"/>
  <c r="S2" i="8"/>
  <c r="S2" i="5"/>
  <c r="Q25" i="8"/>
  <c r="Q25" i="5"/>
  <c r="Q50" i="8"/>
  <c r="Q50" i="5"/>
  <c r="Q46" i="8"/>
  <c r="Q46" i="5"/>
  <c r="Q42" i="8"/>
  <c r="Q42" i="5"/>
  <c r="Q1066" i="8"/>
  <c r="Q1066" i="5"/>
  <c r="Q1058" i="8"/>
  <c r="Q1058" i="5"/>
  <c r="Q1050" i="8"/>
  <c r="Q1050" i="5"/>
  <c r="P1045" i="8"/>
  <c r="P1045" i="5"/>
  <c r="P1029" i="8"/>
  <c r="P1029" i="5"/>
  <c r="Q1026" i="8"/>
  <c r="Q1026" i="5"/>
  <c r="P1017" i="8"/>
  <c r="P1017" i="5"/>
  <c r="P1013" i="8"/>
  <c r="P1013" i="5"/>
  <c r="Q998" i="8"/>
  <c r="Q998" i="5"/>
  <c r="P989" i="8"/>
  <c r="P989" i="5"/>
  <c r="P977" i="8"/>
  <c r="P977" i="5"/>
  <c r="P973" i="8"/>
  <c r="P973" i="5"/>
  <c r="Q970" i="8"/>
  <c r="Q970" i="5"/>
  <c r="Q958" i="8"/>
  <c r="Q958" i="5"/>
  <c r="Q942" i="8"/>
  <c r="Q942" i="5"/>
  <c r="Q926" i="8"/>
  <c r="Q926" i="5"/>
  <c r="P921" i="8"/>
  <c r="P921" i="5"/>
  <c r="Q914" i="8"/>
  <c r="Q914" i="5"/>
  <c r="P909" i="8"/>
  <c r="P909" i="5"/>
  <c r="Q896" i="8"/>
  <c r="Q896" i="5"/>
  <c r="P891" i="8"/>
  <c r="P891" i="5"/>
  <c r="Q884" i="8"/>
  <c r="Q884" i="5"/>
  <c r="R880" i="8"/>
  <c r="R880" i="5"/>
  <c r="U874" i="8"/>
  <c r="U874" i="5"/>
  <c r="R872" i="8"/>
  <c r="R872" i="5"/>
  <c r="U12" i="8"/>
  <c r="U12" i="5"/>
  <c r="U8" i="5"/>
  <c r="U8" i="8"/>
  <c r="U35" i="8"/>
  <c r="U35" i="5"/>
  <c r="S22" i="8"/>
  <c r="S22" i="5"/>
  <c r="S47" i="8"/>
  <c r="S47" i="5"/>
  <c r="S43" i="8"/>
  <c r="S43" i="5"/>
  <c r="U40" i="8"/>
  <c r="U40" i="5"/>
  <c r="S1067" i="8"/>
  <c r="S1067" i="5"/>
  <c r="U1064" i="8"/>
  <c r="U1064" i="5"/>
  <c r="S1059" i="8"/>
  <c r="S1059" i="5"/>
  <c r="S1055" i="8"/>
  <c r="S1055" i="5"/>
  <c r="U1048" i="8"/>
  <c r="U1048" i="5"/>
  <c r="S1043" i="8"/>
  <c r="S1043" i="5"/>
  <c r="S1035" i="8"/>
  <c r="S1035" i="5"/>
  <c r="U1032" i="8"/>
  <c r="U1032" i="5"/>
  <c r="S1027" i="8"/>
  <c r="S1027" i="5"/>
  <c r="U1024" i="8"/>
  <c r="U1024" i="5"/>
  <c r="S1015" i="8"/>
  <c r="S1015" i="5"/>
  <c r="U1012" i="8"/>
  <c r="U1012" i="5"/>
  <c r="U1008" i="8"/>
  <c r="U1008" i="5"/>
  <c r="S1003" i="8"/>
  <c r="S1003" i="5"/>
  <c r="U1000" i="8"/>
  <c r="U1000" i="5"/>
  <c r="R998" i="8"/>
  <c r="R998" i="5"/>
  <c r="S983" i="8"/>
  <c r="S983" i="5"/>
  <c r="U980" i="8"/>
  <c r="U980" i="5"/>
  <c r="U972" i="8"/>
  <c r="U972" i="5"/>
  <c r="U968" i="8"/>
  <c r="U968" i="5"/>
  <c r="U964" i="8"/>
  <c r="U964" i="5"/>
  <c r="U956" i="8"/>
  <c r="U956" i="5"/>
  <c r="S951" i="8"/>
  <c r="S951" i="5"/>
  <c r="U944" i="8"/>
  <c r="U944" i="5"/>
  <c r="S939" i="8"/>
  <c r="S939" i="5"/>
  <c r="U936" i="8"/>
  <c r="U936" i="5"/>
  <c r="S931" i="8"/>
  <c r="S931" i="5"/>
  <c r="S923" i="8"/>
  <c r="S923" i="5"/>
  <c r="U920" i="8"/>
  <c r="U920" i="5"/>
  <c r="U916" i="8"/>
  <c r="U916" i="5"/>
  <c r="P904" i="8"/>
  <c r="P904" i="5"/>
  <c r="Q900" i="8"/>
  <c r="Q900" i="5"/>
  <c r="S897" i="8"/>
  <c r="S897" i="5"/>
  <c r="U894" i="8"/>
  <c r="U894" i="5"/>
  <c r="U890" i="8"/>
  <c r="U890" i="5"/>
  <c r="P882" i="8"/>
  <c r="P882" i="5"/>
  <c r="Q879" i="8"/>
  <c r="Q879" i="5"/>
  <c r="Q875" i="8"/>
  <c r="Q875" i="5"/>
  <c r="T870" i="8"/>
  <c r="T870" i="5"/>
  <c r="S868" i="8"/>
  <c r="S868" i="5"/>
  <c r="P865" i="8"/>
  <c r="P865" i="5"/>
  <c r="Q862" i="8"/>
  <c r="Q862" i="5"/>
  <c r="P857" i="8"/>
  <c r="P857" i="5"/>
  <c r="P848" i="8"/>
  <c r="P848" i="5"/>
  <c r="Q845" i="8"/>
  <c r="Q845" i="5"/>
  <c r="U830" i="8"/>
  <c r="U830" i="5"/>
  <c r="R828" i="8"/>
  <c r="R828" i="5"/>
  <c r="S825" i="8"/>
  <c r="S825" i="5"/>
  <c r="U822" i="8"/>
  <c r="U822" i="5"/>
  <c r="U817" i="8"/>
  <c r="U817" i="5"/>
  <c r="S808" i="8"/>
  <c r="S808" i="5"/>
  <c r="U805" i="8"/>
  <c r="U805" i="5"/>
  <c r="U754" i="8"/>
  <c r="U754" i="5"/>
  <c r="S749" i="8"/>
  <c r="S749" i="5"/>
  <c r="R748" i="8"/>
  <c r="R748" i="5"/>
  <c r="U746" i="8"/>
  <c r="U746" i="5"/>
  <c r="S745" i="8"/>
  <c r="S745" i="5"/>
  <c r="R699" i="8"/>
  <c r="R699" i="5"/>
  <c r="P689" i="8"/>
  <c r="P689" i="5"/>
  <c r="Q676" i="8"/>
  <c r="Q676" i="5"/>
  <c r="P671" i="8"/>
  <c r="P671" i="5"/>
  <c r="Q668" i="8"/>
  <c r="Q668" i="5"/>
  <c r="R639" i="8"/>
  <c r="R639" i="5"/>
  <c r="P737" i="8"/>
  <c r="P737" i="5"/>
  <c r="Q2" i="8"/>
  <c r="Q2" i="5"/>
  <c r="R21" i="8"/>
  <c r="R21" i="5"/>
  <c r="U19" i="8"/>
  <c r="U19" i="5"/>
  <c r="S18" i="8"/>
  <c r="S18" i="5"/>
  <c r="U15" i="8"/>
  <c r="U15" i="5"/>
  <c r="S14" i="8"/>
  <c r="S14" i="5"/>
  <c r="U11" i="8"/>
  <c r="U11" i="5"/>
  <c r="S10" i="8"/>
  <c r="S10" i="5"/>
  <c r="U7" i="8"/>
  <c r="U7" i="5"/>
  <c r="S6" i="8"/>
  <c r="S6" i="5"/>
  <c r="U3" i="8"/>
  <c r="U3" i="5"/>
  <c r="S37" i="8"/>
  <c r="S37" i="5"/>
  <c r="U34" i="8"/>
  <c r="U34" i="5"/>
  <c r="S33" i="8"/>
  <c r="S33" i="5"/>
  <c r="U30" i="5"/>
  <c r="U30" i="8"/>
  <c r="S29" i="8"/>
  <c r="S29" i="5"/>
  <c r="U26" i="8"/>
  <c r="U26" i="5"/>
  <c r="S25" i="8"/>
  <c r="S25" i="5"/>
  <c r="U22" i="5"/>
  <c r="U22" i="8"/>
  <c r="S50" i="8"/>
  <c r="S50" i="5"/>
  <c r="R49" i="8"/>
  <c r="R49" i="5"/>
  <c r="U47" i="8"/>
  <c r="U47" i="5"/>
  <c r="S46" i="8"/>
  <c r="S46" i="5"/>
  <c r="U43" i="8"/>
  <c r="U43" i="5"/>
  <c r="S42" i="8"/>
  <c r="S42" i="5"/>
  <c r="U39" i="8"/>
  <c r="U39" i="5"/>
  <c r="S38" i="8"/>
  <c r="S38" i="5"/>
  <c r="R1073" i="8"/>
  <c r="R1073" i="5"/>
  <c r="U1071" i="8"/>
  <c r="U1071" i="5"/>
  <c r="S1070" i="8"/>
  <c r="S1070" i="5"/>
  <c r="R1069" i="8"/>
  <c r="R1069" i="5"/>
  <c r="U1067" i="8"/>
  <c r="U1067" i="5"/>
  <c r="S1066" i="8"/>
  <c r="S1066" i="5"/>
  <c r="U1063" i="8"/>
  <c r="U1063" i="5"/>
  <c r="S1062" i="8"/>
  <c r="S1062" i="5"/>
  <c r="U1059" i="8"/>
  <c r="U1059" i="5"/>
  <c r="S1058" i="8"/>
  <c r="S1058" i="5"/>
  <c r="R1057" i="8"/>
  <c r="R1057" i="5"/>
  <c r="U1055" i="8"/>
  <c r="U1055" i="5"/>
  <c r="S1054" i="8"/>
  <c r="S1054" i="5"/>
  <c r="U1051" i="8"/>
  <c r="U1051" i="5"/>
  <c r="S1050" i="8"/>
  <c r="S1050" i="5"/>
  <c r="U1047" i="8"/>
  <c r="U1047" i="5"/>
  <c r="S1046" i="8"/>
  <c r="S1046" i="5"/>
  <c r="R1045" i="8"/>
  <c r="R1045" i="5"/>
  <c r="U1043" i="8"/>
  <c r="U1043" i="5"/>
  <c r="S1042" i="8"/>
  <c r="S1042" i="5"/>
  <c r="R1041" i="8"/>
  <c r="R1041" i="5"/>
  <c r="U1039" i="8"/>
  <c r="U1039" i="5"/>
  <c r="S1038" i="8"/>
  <c r="S1038" i="5"/>
  <c r="U1035" i="8"/>
  <c r="U1035" i="5"/>
  <c r="S1034" i="8"/>
  <c r="S1034" i="5"/>
  <c r="U1031" i="8"/>
  <c r="U1031" i="5"/>
  <c r="S1030" i="8"/>
  <c r="S1030" i="5"/>
  <c r="U1027" i="8"/>
  <c r="U1027" i="5"/>
  <c r="S1026" i="8"/>
  <c r="S1026" i="5"/>
  <c r="R1025" i="8"/>
  <c r="R1025" i="5"/>
  <c r="U1023" i="8"/>
  <c r="U1023" i="5"/>
  <c r="S1022" i="8"/>
  <c r="S1022" i="5"/>
  <c r="R1021" i="8"/>
  <c r="R1021" i="5"/>
  <c r="U1019" i="8"/>
  <c r="U1019" i="5"/>
  <c r="S1018" i="8"/>
  <c r="S1018" i="5"/>
  <c r="U1015" i="8"/>
  <c r="U1015" i="5"/>
  <c r="S1014" i="8"/>
  <c r="S1014" i="5"/>
  <c r="U1011" i="8"/>
  <c r="U1011" i="5"/>
  <c r="S1010" i="8"/>
  <c r="S1010" i="5"/>
  <c r="R1009" i="8"/>
  <c r="R1009" i="5"/>
  <c r="U1007" i="8"/>
  <c r="U1007" i="5"/>
  <c r="S1006" i="8"/>
  <c r="S1006" i="5"/>
  <c r="U1003" i="8"/>
  <c r="U1003" i="5"/>
  <c r="S1002" i="8"/>
  <c r="S1002" i="5"/>
  <c r="U999" i="8"/>
  <c r="U999" i="5"/>
  <c r="S998" i="8"/>
  <c r="S998" i="5"/>
  <c r="U995" i="8"/>
  <c r="U995" i="5"/>
  <c r="S994" i="8"/>
  <c r="S994" i="5"/>
  <c r="R993" i="8"/>
  <c r="R993" i="5"/>
  <c r="U991" i="8"/>
  <c r="U991" i="5"/>
  <c r="S990" i="8"/>
  <c r="S990" i="5"/>
  <c r="R989" i="8"/>
  <c r="R989" i="5"/>
  <c r="U987" i="8"/>
  <c r="U987" i="5"/>
  <c r="S986" i="8"/>
  <c r="S986" i="5"/>
  <c r="U983" i="8"/>
  <c r="U983" i="5"/>
  <c r="S982" i="8"/>
  <c r="S982" i="5"/>
  <c r="U979" i="8"/>
  <c r="U979" i="5"/>
  <c r="S978" i="8"/>
  <c r="S978" i="5"/>
  <c r="R977" i="8"/>
  <c r="R977" i="5"/>
  <c r="U975" i="8"/>
  <c r="U975" i="5"/>
  <c r="S974" i="8"/>
  <c r="S974" i="5"/>
  <c r="U971" i="8"/>
  <c r="U971" i="5"/>
  <c r="S970" i="8"/>
  <c r="S970" i="5"/>
  <c r="U967" i="8"/>
  <c r="U967" i="5"/>
  <c r="S966" i="8"/>
  <c r="S966" i="5"/>
  <c r="R965" i="8"/>
  <c r="R965" i="5"/>
  <c r="U963" i="8"/>
  <c r="U963" i="5"/>
  <c r="S962" i="8"/>
  <c r="S962" i="5"/>
  <c r="R961" i="8"/>
  <c r="R961" i="5"/>
  <c r="U959" i="8"/>
  <c r="U959" i="5"/>
  <c r="S958" i="8"/>
  <c r="S958" i="5"/>
  <c r="U955" i="8"/>
  <c r="U955" i="5"/>
  <c r="S954" i="8"/>
  <c r="S954" i="5"/>
  <c r="U951" i="8"/>
  <c r="U951" i="5"/>
  <c r="S950" i="8"/>
  <c r="S950" i="5"/>
  <c r="U947" i="8"/>
  <c r="U947" i="5"/>
  <c r="S946" i="8"/>
  <c r="S946" i="5"/>
  <c r="U943" i="8"/>
  <c r="U943" i="5"/>
  <c r="S942" i="8"/>
  <c r="S942" i="5"/>
  <c r="U939" i="8"/>
  <c r="U939" i="5"/>
  <c r="S938" i="8"/>
  <c r="S938" i="5"/>
  <c r="U935" i="8"/>
  <c r="U935" i="5"/>
  <c r="S934" i="8"/>
  <c r="S934" i="5"/>
  <c r="U931" i="8"/>
  <c r="U931" i="5"/>
  <c r="S930" i="8"/>
  <c r="S930" i="5"/>
  <c r="R929" i="8"/>
  <c r="R929" i="5"/>
  <c r="U927" i="8"/>
  <c r="U927" i="5"/>
  <c r="S926" i="8"/>
  <c r="S926" i="5"/>
  <c r="U923" i="8"/>
  <c r="U923" i="5"/>
  <c r="S922" i="8"/>
  <c r="S922" i="5"/>
  <c r="U919" i="8"/>
  <c r="U919" i="5"/>
  <c r="S918" i="8"/>
  <c r="S918" i="5"/>
  <c r="R917" i="8"/>
  <c r="R917" i="5"/>
  <c r="U915" i="8"/>
  <c r="U915" i="5"/>
  <c r="S914" i="8"/>
  <c r="S914" i="5"/>
  <c r="R913" i="8"/>
  <c r="R913" i="5"/>
  <c r="U911" i="8"/>
  <c r="U911" i="5"/>
  <c r="S910" i="8"/>
  <c r="S910" i="5"/>
  <c r="U907" i="8"/>
  <c r="U907" i="5"/>
  <c r="Q904" i="8"/>
  <c r="Q904" i="5"/>
  <c r="P903" i="8"/>
  <c r="P903" i="5"/>
  <c r="U902" i="8"/>
  <c r="U902" i="5"/>
  <c r="Q899" i="8"/>
  <c r="Q899" i="5"/>
  <c r="U897" i="8"/>
  <c r="U897" i="5"/>
  <c r="S896" i="8"/>
  <c r="S896" i="5"/>
  <c r="R895" i="8"/>
  <c r="R895" i="5"/>
  <c r="U893" i="8"/>
  <c r="U893" i="5"/>
  <c r="S892" i="8"/>
  <c r="S892" i="5"/>
  <c r="R891" i="8"/>
  <c r="R891" i="5"/>
  <c r="U889" i="8"/>
  <c r="U889" i="5"/>
  <c r="S888" i="8"/>
  <c r="S888" i="5"/>
  <c r="R887" i="8"/>
  <c r="R887" i="5"/>
  <c r="U885" i="8"/>
  <c r="U885" i="5"/>
  <c r="S884" i="8"/>
  <c r="S884" i="5"/>
  <c r="Q882" i="8"/>
  <c r="Q882" i="5"/>
  <c r="T881" i="8"/>
  <c r="T881" i="5"/>
  <c r="P881" i="8"/>
  <c r="P881" i="5"/>
  <c r="Q878" i="8"/>
  <c r="Q878" i="5"/>
  <c r="T877" i="8"/>
  <c r="T877" i="5"/>
  <c r="P877" i="8"/>
  <c r="P877" i="5"/>
  <c r="Q874" i="8"/>
  <c r="Q874" i="5"/>
  <c r="T873" i="8"/>
  <c r="T873" i="5"/>
  <c r="P873" i="8"/>
  <c r="P873" i="5"/>
  <c r="Q870" i="8"/>
  <c r="Q870" i="5"/>
  <c r="Q865" i="8"/>
  <c r="Q865" i="5"/>
  <c r="T864" i="8"/>
  <c r="T864" i="5"/>
  <c r="P864" i="8"/>
  <c r="P864" i="5"/>
  <c r="Q861" i="8"/>
  <c r="Q861" i="5"/>
  <c r="T860" i="8"/>
  <c r="T860" i="5"/>
  <c r="P860" i="8"/>
  <c r="P860" i="5"/>
  <c r="Q857" i="8"/>
  <c r="Q857" i="5"/>
  <c r="T856" i="8"/>
  <c r="T856" i="5"/>
  <c r="P856" i="8"/>
  <c r="P856" i="5"/>
  <c r="Q852" i="8"/>
  <c r="Q852" i="5"/>
  <c r="P851" i="8"/>
  <c r="P851" i="5"/>
  <c r="Q848" i="8"/>
  <c r="Q848" i="5"/>
  <c r="T847" i="8"/>
  <c r="T847" i="5"/>
  <c r="P847" i="8"/>
  <c r="P847" i="5"/>
  <c r="Q844" i="8"/>
  <c r="Q844" i="5"/>
  <c r="T843" i="8"/>
  <c r="T843" i="5"/>
  <c r="P843" i="8"/>
  <c r="P843" i="5"/>
  <c r="S841" i="8"/>
  <c r="S841" i="5"/>
  <c r="P838" i="8"/>
  <c r="P838" i="5"/>
  <c r="U837" i="8"/>
  <c r="U837" i="5"/>
  <c r="S836" i="8"/>
  <c r="S836" i="5"/>
  <c r="U833" i="8"/>
  <c r="U833" i="5"/>
  <c r="S832" i="8"/>
  <c r="S832" i="5"/>
  <c r="R831" i="8"/>
  <c r="R831" i="5"/>
  <c r="U829" i="8"/>
  <c r="U829" i="5"/>
  <c r="S828" i="8"/>
  <c r="S828" i="5"/>
  <c r="R827" i="8"/>
  <c r="R827" i="5"/>
  <c r="U825" i="8"/>
  <c r="U825" i="5"/>
  <c r="S824" i="8"/>
  <c r="S824" i="5"/>
  <c r="R823" i="8"/>
  <c r="R823" i="5"/>
  <c r="U821" i="8"/>
  <c r="U821" i="5"/>
  <c r="S820" i="8"/>
  <c r="S820" i="5"/>
  <c r="R819" i="8"/>
  <c r="R819" i="5"/>
  <c r="Q788" i="8"/>
  <c r="Q788" i="5"/>
  <c r="P787" i="8"/>
  <c r="P787" i="5"/>
  <c r="Q784" i="8"/>
  <c r="Q784" i="5"/>
  <c r="T783" i="8"/>
  <c r="T783" i="5"/>
  <c r="P783" i="8"/>
  <c r="P783" i="5"/>
  <c r="Q780" i="8"/>
  <c r="Q780" i="5"/>
  <c r="T779" i="8"/>
  <c r="T779" i="5"/>
  <c r="P779" i="8"/>
  <c r="P779" i="5"/>
  <c r="Q776" i="8"/>
  <c r="Q776" i="5"/>
  <c r="T775" i="8"/>
  <c r="T775" i="5"/>
  <c r="P775" i="8"/>
  <c r="P775" i="5"/>
  <c r="U770" i="8"/>
  <c r="U770" i="5"/>
  <c r="S769" i="8"/>
  <c r="S769" i="5"/>
  <c r="R768" i="8"/>
  <c r="R768" i="5"/>
  <c r="U766" i="8"/>
  <c r="U766" i="5"/>
  <c r="S765" i="8"/>
  <c r="S765" i="5"/>
  <c r="R764" i="8"/>
  <c r="R764" i="5"/>
  <c r="U762" i="8"/>
  <c r="U762" i="5"/>
  <c r="S761" i="8"/>
  <c r="S761" i="5"/>
  <c r="R760" i="8"/>
  <c r="R760" i="5"/>
  <c r="U758" i="8"/>
  <c r="U758" i="5"/>
  <c r="S757" i="8"/>
  <c r="S757" i="5"/>
  <c r="R756" i="8"/>
  <c r="R756" i="5"/>
  <c r="U753" i="8"/>
  <c r="U753" i="5"/>
  <c r="S752" i="8"/>
  <c r="S752" i="5"/>
  <c r="R751" i="8"/>
  <c r="R751" i="5"/>
  <c r="U749" i="8"/>
  <c r="U749" i="5"/>
  <c r="S748" i="8"/>
  <c r="S748" i="5"/>
  <c r="R747" i="8"/>
  <c r="R747" i="5"/>
  <c r="U745" i="8"/>
  <c r="U745" i="5"/>
  <c r="S744" i="8"/>
  <c r="S744" i="5"/>
  <c r="R743" i="8"/>
  <c r="R743" i="5"/>
  <c r="U722" i="8"/>
  <c r="U722" i="5"/>
  <c r="S721" i="8"/>
  <c r="S721" i="5"/>
  <c r="R720" i="8"/>
  <c r="R720" i="5"/>
  <c r="U718" i="8"/>
  <c r="U718" i="5"/>
  <c r="S717" i="8"/>
  <c r="S717" i="5"/>
  <c r="R716" i="8"/>
  <c r="R716" i="5"/>
  <c r="U714" i="8"/>
  <c r="U714" i="5"/>
  <c r="S713" i="8"/>
  <c r="S713" i="5"/>
  <c r="R712" i="8"/>
  <c r="R712" i="5"/>
  <c r="U710" i="8"/>
  <c r="U710" i="5"/>
  <c r="S708" i="8"/>
  <c r="S708" i="5"/>
  <c r="U686" i="8"/>
  <c r="U686" i="5"/>
  <c r="S684" i="8"/>
  <c r="S684" i="5"/>
  <c r="U678" i="8"/>
  <c r="U678" i="5"/>
  <c r="S677" i="8"/>
  <c r="S677" i="5"/>
  <c r="S664" i="8"/>
  <c r="S664" i="5"/>
  <c r="U658" i="8"/>
  <c r="U658" i="5"/>
  <c r="S657" i="8"/>
  <c r="S657" i="5"/>
  <c r="R656" i="8"/>
  <c r="R656" i="5"/>
  <c r="U654" i="8"/>
  <c r="U654" i="5"/>
  <c r="S653" i="8"/>
  <c r="S653" i="5"/>
  <c r="R652" i="8"/>
  <c r="R652" i="5"/>
  <c r="U650" i="8"/>
  <c r="U650" i="5"/>
  <c r="S649" i="8"/>
  <c r="S649" i="5"/>
  <c r="R648" i="8"/>
  <c r="R648" i="5"/>
  <c r="P645" i="8"/>
  <c r="P645" i="5"/>
  <c r="U626" i="8"/>
  <c r="U626" i="5"/>
  <c r="S625" i="8"/>
  <c r="S625" i="5"/>
  <c r="Q622" i="8"/>
  <c r="Q622" i="5"/>
  <c r="S617" i="8"/>
  <c r="S617" i="5"/>
  <c r="Q614" i="8"/>
  <c r="Q614" i="5"/>
  <c r="S601" i="8"/>
  <c r="S601" i="5"/>
  <c r="Q598" i="8"/>
  <c r="Q598" i="5"/>
  <c r="S581" i="8"/>
  <c r="S581" i="5"/>
  <c r="Q570" i="8"/>
  <c r="Q570" i="5"/>
  <c r="S565" i="8"/>
  <c r="S565" i="5"/>
  <c r="Q562" i="8"/>
  <c r="Q562" i="5"/>
  <c r="T561" i="8"/>
  <c r="T561" i="5"/>
  <c r="P561" i="8"/>
  <c r="P561" i="5"/>
  <c r="Q558" i="8"/>
  <c r="Q558" i="5"/>
  <c r="T557" i="8"/>
  <c r="T557" i="5"/>
  <c r="P557" i="8"/>
  <c r="P557" i="5"/>
  <c r="Q554" i="8"/>
  <c r="Q554" i="5"/>
  <c r="T553" i="8"/>
  <c r="T553" i="5"/>
  <c r="P553" i="8"/>
  <c r="P553" i="5"/>
  <c r="U546" i="8"/>
  <c r="U546" i="5"/>
  <c r="S545" i="8"/>
  <c r="S545" i="5"/>
  <c r="Q542" i="8"/>
  <c r="Q542" i="5"/>
  <c r="S537" i="8"/>
  <c r="S537" i="5"/>
  <c r="Q534" i="8"/>
  <c r="Q534" i="5"/>
  <c r="U522" i="8"/>
  <c r="U522" i="5"/>
  <c r="S520" i="8"/>
  <c r="S520" i="5"/>
  <c r="P509" i="8"/>
  <c r="P509" i="5"/>
  <c r="P501" i="8"/>
  <c r="P501" i="5"/>
  <c r="P489" i="8"/>
  <c r="P489" i="5"/>
  <c r="U481" i="8"/>
  <c r="U481" i="5"/>
  <c r="S480" i="8"/>
  <c r="S480" i="5"/>
  <c r="R479" i="8"/>
  <c r="R479" i="5"/>
  <c r="U477" i="8"/>
  <c r="U477" i="5"/>
  <c r="Q472" i="8"/>
  <c r="Q472" i="5"/>
  <c r="P471" i="8"/>
  <c r="P471" i="5"/>
  <c r="U469" i="8"/>
  <c r="U469" i="5"/>
  <c r="Q466" i="8"/>
  <c r="Q466" i="5"/>
  <c r="T465" i="8"/>
  <c r="T465" i="5"/>
  <c r="P465" i="8"/>
  <c r="P465" i="5"/>
  <c r="Q462" i="8"/>
  <c r="Q462" i="5"/>
  <c r="S457" i="8"/>
  <c r="S457" i="5"/>
  <c r="Q454" i="8"/>
  <c r="Q454" i="5"/>
  <c r="P445" i="8"/>
  <c r="P445" i="5"/>
  <c r="P437" i="8"/>
  <c r="P437" i="5"/>
  <c r="Q432" i="8"/>
  <c r="Q432" i="5"/>
  <c r="P431" i="8"/>
  <c r="P431" i="5"/>
  <c r="U429" i="8"/>
  <c r="U429" i="5"/>
  <c r="Q424" i="8"/>
  <c r="Q424" i="5"/>
  <c r="P423" i="8"/>
  <c r="P423" i="5"/>
  <c r="U421" i="8"/>
  <c r="U421" i="5"/>
  <c r="U414" i="8"/>
  <c r="U414" i="5"/>
  <c r="S412" i="8"/>
  <c r="S412" i="5"/>
  <c r="U406" i="8"/>
  <c r="U406" i="5"/>
  <c r="S404" i="8"/>
  <c r="S404" i="5"/>
  <c r="U401" i="8"/>
  <c r="U401" i="5"/>
  <c r="Q396" i="8"/>
  <c r="Q396" i="5"/>
  <c r="P395" i="8"/>
  <c r="P395" i="5"/>
  <c r="U393" i="8"/>
  <c r="U393" i="5"/>
  <c r="Q388" i="8"/>
  <c r="Q388" i="5"/>
  <c r="P387" i="8"/>
  <c r="P387" i="5"/>
  <c r="P381" i="8"/>
  <c r="P381" i="5"/>
  <c r="P373" i="8"/>
  <c r="P373" i="5"/>
  <c r="Q368" i="8"/>
  <c r="Q368" i="5"/>
  <c r="P367" i="8"/>
  <c r="P367" i="5"/>
  <c r="U365" i="8"/>
  <c r="U365" i="5"/>
  <c r="Q360" i="8"/>
  <c r="Q360" i="5"/>
  <c r="P359" i="8"/>
  <c r="P359" i="5"/>
  <c r="U357" i="8"/>
  <c r="U357" i="5"/>
  <c r="U350" i="8"/>
  <c r="U350" i="5"/>
  <c r="S348" i="8"/>
  <c r="S348" i="5"/>
  <c r="U342" i="8"/>
  <c r="U342" i="5"/>
  <c r="S340" i="8"/>
  <c r="S340" i="5"/>
  <c r="U334" i="8"/>
  <c r="U334" i="5"/>
  <c r="S332" i="8"/>
  <c r="S332" i="5"/>
  <c r="U326" i="8"/>
  <c r="U326" i="5"/>
  <c r="S324" i="8"/>
  <c r="S324" i="5"/>
  <c r="P313" i="8"/>
  <c r="P313" i="5"/>
  <c r="U305" i="8"/>
  <c r="U305" i="5"/>
  <c r="S297" i="8"/>
  <c r="S297" i="5"/>
  <c r="Q294" i="8"/>
  <c r="Q294" i="5"/>
  <c r="T293" i="8"/>
  <c r="T293" i="5"/>
  <c r="P293" i="8"/>
  <c r="P293" i="5"/>
  <c r="Q290" i="8"/>
  <c r="Q290" i="5"/>
  <c r="T289" i="8"/>
  <c r="T289" i="5"/>
  <c r="P289" i="8"/>
  <c r="P289" i="5"/>
  <c r="U282" i="8"/>
  <c r="U282" i="5"/>
  <c r="S280" i="8"/>
  <c r="S280" i="5"/>
  <c r="S269" i="8"/>
  <c r="S269" i="5"/>
  <c r="Q266" i="8"/>
  <c r="Q266" i="5"/>
  <c r="S261" i="8"/>
  <c r="S261" i="5"/>
  <c r="Q258" i="8"/>
  <c r="Q258" i="5"/>
  <c r="T257" i="8"/>
  <c r="T257" i="5"/>
  <c r="P257" i="8"/>
  <c r="P257" i="5"/>
  <c r="P249" i="8"/>
  <c r="P249" i="5"/>
  <c r="Q236" i="8"/>
  <c r="Q236" i="5"/>
  <c r="P235" i="8"/>
  <c r="P235" i="5"/>
  <c r="U233" i="8"/>
  <c r="U233" i="5"/>
  <c r="Q228" i="8"/>
  <c r="Q228" i="5"/>
  <c r="P227" i="8"/>
  <c r="P227" i="5"/>
  <c r="S224" i="8"/>
  <c r="S224" i="5"/>
  <c r="U218" i="8"/>
  <c r="U218" i="5"/>
  <c r="S216" i="8"/>
  <c r="S216" i="5"/>
  <c r="U210" i="8"/>
  <c r="U210" i="5"/>
  <c r="P203" i="8"/>
  <c r="P203" i="5"/>
  <c r="Q194" i="8"/>
  <c r="Q194" i="5"/>
  <c r="T193" i="8"/>
  <c r="T193" i="5"/>
  <c r="P193" i="8"/>
  <c r="P193" i="5"/>
  <c r="S189" i="8"/>
  <c r="S189" i="5"/>
  <c r="Q184" i="8"/>
  <c r="Q184" i="5"/>
  <c r="P179" i="8"/>
  <c r="P179" i="5"/>
  <c r="Q172" i="8"/>
  <c r="Q172" i="5"/>
  <c r="P167" i="8"/>
  <c r="P167" i="5"/>
  <c r="S165" i="8"/>
  <c r="S165" i="5"/>
  <c r="U154" i="8"/>
  <c r="U154" i="5"/>
  <c r="S8" i="8"/>
  <c r="S8" i="5"/>
  <c r="U45" i="8"/>
  <c r="U45" i="5"/>
  <c r="S40" i="8"/>
  <c r="S40" i="5"/>
  <c r="U1069" i="8"/>
  <c r="U1069" i="5"/>
  <c r="S1064" i="8"/>
  <c r="S1064" i="5"/>
  <c r="U1033" i="8"/>
  <c r="U1033" i="5"/>
  <c r="U1029" i="8"/>
  <c r="U1029" i="5"/>
  <c r="S1020" i="8"/>
  <c r="S1020" i="5"/>
  <c r="S1004" i="8"/>
  <c r="S1004" i="5"/>
  <c r="S992" i="8"/>
  <c r="S992" i="5"/>
  <c r="U989" i="8"/>
  <c r="U989" i="5"/>
  <c r="S980" i="8"/>
  <c r="S980" i="5"/>
  <c r="S976" i="8"/>
  <c r="S976" i="5"/>
  <c r="S960" i="8"/>
  <c r="S960" i="5"/>
  <c r="S956" i="8"/>
  <c r="S956" i="5"/>
  <c r="S952" i="8"/>
  <c r="S952" i="5"/>
  <c r="S948" i="8"/>
  <c r="S948" i="5"/>
  <c r="U937" i="8"/>
  <c r="U937" i="5"/>
  <c r="U929" i="8"/>
  <c r="U929" i="5"/>
  <c r="U925" i="8"/>
  <c r="U925" i="5"/>
  <c r="T21" i="8"/>
  <c r="T21" i="5"/>
  <c r="Q10" i="8"/>
  <c r="Q10" i="5"/>
  <c r="P32" i="8"/>
  <c r="P32" i="5"/>
  <c r="P49" i="8"/>
  <c r="P49" i="5"/>
  <c r="Q38" i="8"/>
  <c r="Q38" i="5"/>
  <c r="P1069" i="8"/>
  <c r="P1069" i="5"/>
  <c r="P1065" i="8"/>
  <c r="P1065" i="5"/>
  <c r="T1057" i="8"/>
  <c r="T1057" i="5"/>
  <c r="Q1046" i="8"/>
  <c r="Q1046" i="5"/>
  <c r="Q1038" i="8"/>
  <c r="Q1038" i="5"/>
  <c r="T1025" i="8"/>
  <c r="T1025" i="5"/>
  <c r="Q1022" i="8"/>
  <c r="Q1022" i="5"/>
  <c r="Q1018" i="8"/>
  <c r="Q1018" i="5"/>
  <c r="Q1014" i="8"/>
  <c r="Q1014" i="5"/>
  <c r="P1009" i="8"/>
  <c r="P1009" i="5"/>
  <c r="P1005" i="8"/>
  <c r="P1005" i="5"/>
  <c r="P1001" i="8"/>
  <c r="P1001" i="5"/>
  <c r="Q994" i="8"/>
  <c r="Q994" i="5"/>
  <c r="Q978" i="8"/>
  <c r="Q978" i="5"/>
  <c r="Q974" i="8"/>
  <c r="Q974" i="5"/>
  <c r="P969" i="8"/>
  <c r="P969" i="5"/>
  <c r="T965" i="8"/>
  <c r="T965" i="5"/>
  <c r="Q962" i="8"/>
  <c r="Q962" i="5"/>
  <c r="P961" i="8"/>
  <c r="P961" i="5"/>
  <c r="P957" i="8"/>
  <c r="P957" i="5"/>
  <c r="P953" i="8"/>
  <c r="P953" i="5"/>
  <c r="Q950" i="8"/>
  <c r="Q950" i="5"/>
  <c r="Q934" i="8"/>
  <c r="Q934" i="5"/>
  <c r="P929" i="8"/>
  <c r="P929" i="5"/>
  <c r="Q922" i="8"/>
  <c r="Q922" i="5"/>
  <c r="Q918" i="8"/>
  <c r="Q918" i="5"/>
  <c r="P913" i="8"/>
  <c r="P913" i="5"/>
  <c r="Q906" i="8"/>
  <c r="Q906" i="5"/>
  <c r="P883" i="8"/>
  <c r="P883" i="5"/>
  <c r="S881" i="8"/>
  <c r="S881" i="5"/>
  <c r="S873" i="8"/>
  <c r="S873" i="5"/>
  <c r="S19" i="8"/>
  <c r="S19" i="5"/>
  <c r="S7" i="8"/>
  <c r="S7" i="5"/>
  <c r="S3" i="8"/>
  <c r="S3" i="5"/>
  <c r="R33" i="8"/>
  <c r="R33" i="5"/>
  <c r="S30" i="8"/>
  <c r="S30" i="5"/>
  <c r="U27" i="8"/>
  <c r="U27" i="5"/>
  <c r="U23" i="8"/>
  <c r="U23" i="5"/>
  <c r="U48" i="8"/>
  <c r="U48" i="5"/>
  <c r="U44" i="8"/>
  <c r="U44" i="5"/>
  <c r="U1072" i="8"/>
  <c r="U1072" i="5"/>
  <c r="R1070" i="8"/>
  <c r="R1070" i="5"/>
  <c r="U1068" i="8"/>
  <c r="U1068" i="5"/>
  <c r="S1063" i="8"/>
  <c r="S1063" i="5"/>
  <c r="R1058" i="8"/>
  <c r="R1058" i="5"/>
  <c r="U1056" i="8"/>
  <c r="U1056" i="5"/>
  <c r="R1042" i="8"/>
  <c r="R1042" i="5"/>
  <c r="R1026" i="8"/>
  <c r="R1026" i="5"/>
  <c r="S1023" i="8"/>
  <c r="S1023" i="5"/>
  <c r="U1020" i="8"/>
  <c r="U1020" i="5"/>
  <c r="R1010" i="8"/>
  <c r="R1010" i="5"/>
  <c r="S999" i="8"/>
  <c r="S999" i="5"/>
  <c r="U996" i="8"/>
  <c r="U996" i="5"/>
  <c r="U992" i="8"/>
  <c r="U992" i="5"/>
  <c r="R990" i="8"/>
  <c r="R990" i="5"/>
  <c r="U988" i="8"/>
  <c r="U988" i="5"/>
  <c r="U984" i="8"/>
  <c r="U984" i="5"/>
  <c r="S979" i="8"/>
  <c r="S979" i="5"/>
  <c r="U976" i="8"/>
  <c r="U976" i="5"/>
  <c r="S971" i="8"/>
  <c r="S971" i="5"/>
  <c r="U960" i="8"/>
  <c r="U960" i="5"/>
  <c r="S955" i="8"/>
  <c r="S955" i="5"/>
  <c r="U948" i="8"/>
  <c r="U948" i="5"/>
  <c r="R946" i="8"/>
  <c r="R946" i="5"/>
  <c r="U932" i="8"/>
  <c r="U932" i="5"/>
  <c r="U928" i="8"/>
  <c r="U928" i="5"/>
  <c r="S919" i="8"/>
  <c r="S919" i="5"/>
  <c r="S915" i="8"/>
  <c r="S915" i="5"/>
  <c r="S911" i="8"/>
  <c r="S911" i="5"/>
  <c r="U908" i="8"/>
  <c r="U908" i="5"/>
  <c r="Q905" i="8"/>
  <c r="Q905" i="5"/>
  <c r="R896" i="8"/>
  <c r="R896" i="5"/>
  <c r="S893" i="8"/>
  <c r="S893" i="5"/>
  <c r="R888" i="8"/>
  <c r="R888" i="5"/>
  <c r="S885" i="8"/>
  <c r="S885" i="5"/>
  <c r="T878" i="8"/>
  <c r="T878" i="5"/>
  <c r="T874" i="8"/>
  <c r="T874" i="5"/>
  <c r="P870" i="8"/>
  <c r="P870" i="5"/>
  <c r="U869" i="8"/>
  <c r="U869" i="5"/>
  <c r="Q866" i="8"/>
  <c r="Q866" i="5"/>
  <c r="T861" i="8"/>
  <c r="T861" i="5"/>
  <c r="P852" i="8"/>
  <c r="P852" i="5"/>
  <c r="Q849" i="8"/>
  <c r="Q849" i="5"/>
  <c r="T844" i="8"/>
  <c r="T844" i="5"/>
  <c r="U826" i="8"/>
  <c r="U826" i="5"/>
  <c r="R824" i="8"/>
  <c r="R824" i="5"/>
  <c r="S821" i="8"/>
  <c r="S821" i="5"/>
  <c r="R815" i="8"/>
  <c r="R815" i="5"/>
  <c r="S812" i="8"/>
  <c r="S812" i="5"/>
  <c r="U809" i="8"/>
  <c r="U809" i="5"/>
  <c r="R752" i="8"/>
  <c r="R752" i="5"/>
  <c r="S700" i="8"/>
  <c r="S700" i="5"/>
  <c r="U697" i="8"/>
  <c r="U697" i="5"/>
  <c r="U693" i="8"/>
  <c r="U693" i="5"/>
  <c r="T689" i="8"/>
  <c r="T689" i="5"/>
  <c r="P681" i="8"/>
  <c r="P681" i="5"/>
  <c r="P675" i="8"/>
  <c r="P675" i="5"/>
  <c r="Q672" i="8"/>
  <c r="Q672" i="5"/>
  <c r="T667" i="8"/>
  <c r="T667" i="5"/>
  <c r="P661" i="8"/>
  <c r="P661" i="5"/>
  <c r="U641" i="8"/>
  <c r="U641" i="5"/>
  <c r="S640" i="8"/>
  <c r="S640" i="5"/>
  <c r="U637" i="8"/>
  <c r="U637" i="5"/>
  <c r="U633" i="8"/>
  <c r="U633" i="5"/>
  <c r="P729" i="8"/>
  <c r="P729" i="5"/>
  <c r="P20" i="8"/>
  <c r="P20" i="5"/>
  <c r="Q17" i="8"/>
  <c r="Q17" i="5"/>
  <c r="P16" i="8"/>
  <c r="P16" i="5"/>
  <c r="Q13" i="8"/>
  <c r="Q13" i="5"/>
  <c r="P12" i="8"/>
  <c r="P12" i="5"/>
  <c r="Q20" i="8"/>
  <c r="Q20" i="5"/>
  <c r="P19" i="8"/>
  <c r="P19" i="5"/>
  <c r="Q16" i="8"/>
  <c r="Q16" i="5"/>
  <c r="P15" i="8"/>
  <c r="P15" i="5"/>
  <c r="Q12" i="8"/>
  <c r="Q12" i="5"/>
  <c r="P11" i="8"/>
  <c r="P11" i="5"/>
  <c r="Q8" i="8"/>
  <c r="Q8" i="5"/>
  <c r="P7" i="8"/>
  <c r="P7" i="5"/>
  <c r="Q4" i="8"/>
  <c r="Q4" i="5"/>
  <c r="P3" i="8"/>
  <c r="P3" i="5"/>
  <c r="Q35" i="8"/>
  <c r="Q35" i="5"/>
  <c r="P34" i="8"/>
  <c r="P34" i="5"/>
  <c r="Q31" i="8"/>
  <c r="Q31" i="5"/>
  <c r="P30" i="8"/>
  <c r="P30" i="5"/>
  <c r="Q27" i="8"/>
  <c r="Q27" i="5"/>
  <c r="P26" i="8"/>
  <c r="P26" i="5"/>
  <c r="Q23" i="8"/>
  <c r="Q23" i="5"/>
  <c r="P22" i="8"/>
  <c r="P22" i="5"/>
  <c r="Q48" i="8"/>
  <c r="Q48" i="5"/>
  <c r="P47" i="8"/>
  <c r="P47" i="5"/>
  <c r="Q44" i="8"/>
  <c r="Q44" i="5"/>
  <c r="P43" i="8"/>
  <c r="P43" i="5"/>
  <c r="Q40" i="8"/>
  <c r="Q40" i="5"/>
  <c r="P39" i="8"/>
  <c r="P39" i="5"/>
  <c r="Q1072" i="8"/>
  <c r="Q1072" i="5"/>
  <c r="T1071" i="8"/>
  <c r="T1071" i="5"/>
  <c r="P1071" i="8"/>
  <c r="P1071" i="5"/>
  <c r="Q1068" i="8"/>
  <c r="Q1068" i="5"/>
  <c r="P1067" i="8"/>
  <c r="P1067" i="5"/>
  <c r="Q1064" i="8"/>
  <c r="Q1064" i="5"/>
  <c r="P1063" i="8"/>
  <c r="P1063" i="5"/>
  <c r="Q1060" i="8"/>
  <c r="Q1060" i="5"/>
  <c r="P1059" i="8"/>
  <c r="P1059" i="5"/>
  <c r="Q1056" i="8"/>
  <c r="Q1056" i="5"/>
  <c r="P1055" i="8"/>
  <c r="P1055" i="5"/>
  <c r="Q1052" i="8"/>
  <c r="Q1052" i="5"/>
  <c r="P1051" i="8"/>
  <c r="P1051" i="5"/>
  <c r="Q1048" i="8"/>
  <c r="Q1048" i="5"/>
  <c r="P1047" i="8"/>
  <c r="P1047" i="5"/>
  <c r="Q1044" i="8"/>
  <c r="Q1044" i="5"/>
  <c r="P1043" i="8"/>
  <c r="P1043" i="5"/>
  <c r="Q1040" i="8"/>
  <c r="Q1040" i="5"/>
  <c r="P1039" i="8"/>
  <c r="P1039" i="5"/>
  <c r="Q1036" i="8"/>
  <c r="Q1036" i="5"/>
  <c r="P1035" i="8"/>
  <c r="P1035" i="5"/>
  <c r="Q1032" i="8"/>
  <c r="Q1032" i="5"/>
  <c r="P1031" i="8"/>
  <c r="P1031" i="5"/>
  <c r="Q1028" i="8"/>
  <c r="Q1028" i="5"/>
  <c r="P1027" i="8"/>
  <c r="P1027" i="5"/>
  <c r="Q1024" i="8"/>
  <c r="Q1024" i="5"/>
  <c r="T1023" i="8"/>
  <c r="T1023" i="5"/>
  <c r="P1023" i="8"/>
  <c r="P1023" i="5"/>
  <c r="Q1020" i="8"/>
  <c r="Q1020" i="5"/>
  <c r="T1019" i="8"/>
  <c r="T1019" i="5"/>
  <c r="P1019" i="8"/>
  <c r="P1019" i="5"/>
  <c r="Q1016" i="8"/>
  <c r="Q1016" i="5"/>
  <c r="P1015" i="8"/>
  <c r="P1015" i="5"/>
  <c r="Q1012" i="8"/>
  <c r="Q1012" i="5"/>
  <c r="P1011" i="8"/>
  <c r="P1011" i="5"/>
  <c r="Q1008" i="8"/>
  <c r="Q1008" i="5"/>
  <c r="P1007" i="8"/>
  <c r="P1007" i="5"/>
  <c r="Q1004" i="8"/>
  <c r="Q1004" i="5"/>
  <c r="P1003" i="8"/>
  <c r="P1003" i="5"/>
  <c r="Q1000" i="8"/>
  <c r="Q1000" i="5"/>
  <c r="P999" i="8"/>
  <c r="P999" i="5"/>
  <c r="Q996" i="8"/>
  <c r="Q996" i="5"/>
  <c r="P995" i="8"/>
  <c r="P995" i="5"/>
  <c r="Q992" i="8"/>
  <c r="Q992" i="5"/>
  <c r="T991" i="8"/>
  <c r="T991" i="5"/>
  <c r="P991" i="8"/>
  <c r="P991" i="5"/>
  <c r="Q988" i="8"/>
  <c r="Q988" i="5"/>
  <c r="P987" i="8"/>
  <c r="P987" i="5"/>
  <c r="Q984" i="8"/>
  <c r="Q984" i="5"/>
  <c r="P983" i="8"/>
  <c r="P983" i="5"/>
  <c r="Q980" i="8"/>
  <c r="Q980" i="5"/>
  <c r="P979" i="8"/>
  <c r="P979" i="5"/>
  <c r="Q976" i="8"/>
  <c r="Q976" i="5"/>
  <c r="T975" i="8"/>
  <c r="T975" i="5"/>
  <c r="P975" i="8"/>
  <c r="P975" i="5"/>
  <c r="Q972" i="8"/>
  <c r="Q972" i="5"/>
  <c r="P971" i="8"/>
  <c r="P971" i="5"/>
  <c r="Q968" i="8"/>
  <c r="Q968" i="5"/>
  <c r="P967" i="8"/>
  <c r="P967" i="5"/>
  <c r="Q964" i="8"/>
  <c r="Q964" i="5"/>
  <c r="P963" i="8"/>
  <c r="P963" i="5"/>
  <c r="Q960" i="8"/>
  <c r="Q960" i="5"/>
  <c r="P959" i="8"/>
  <c r="P959" i="5"/>
  <c r="Q956" i="8"/>
  <c r="Q956" i="5"/>
  <c r="P955" i="8"/>
  <c r="P955" i="5"/>
  <c r="Q952" i="8"/>
  <c r="Q952" i="5"/>
  <c r="P951" i="8"/>
  <c r="P951" i="5"/>
  <c r="Q948" i="8"/>
  <c r="Q948" i="5"/>
  <c r="P947" i="8"/>
  <c r="P947" i="5"/>
  <c r="Q944" i="8"/>
  <c r="Q944" i="5"/>
  <c r="P943" i="8"/>
  <c r="P943" i="5"/>
  <c r="Q940" i="8"/>
  <c r="Q940" i="5"/>
  <c r="P939" i="8"/>
  <c r="P939" i="5"/>
  <c r="Q936" i="8"/>
  <c r="Q936" i="5"/>
  <c r="P935" i="8"/>
  <c r="P935" i="5"/>
  <c r="Q932" i="8"/>
  <c r="Q932" i="5"/>
  <c r="P931" i="8"/>
  <c r="P931" i="5"/>
  <c r="Q928" i="8"/>
  <c r="Q928" i="5"/>
  <c r="P927" i="8"/>
  <c r="P927" i="5"/>
  <c r="Q924" i="8"/>
  <c r="Q924" i="5"/>
  <c r="P923" i="8"/>
  <c r="P923" i="5"/>
  <c r="Q920" i="8"/>
  <c r="Q920" i="5"/>
  <c r="P919" i="8"/>
  <c r="P919" i="5"/>
  <c r="Q916" i="8"/>
  <c r="Q916" i="5"/>
  <c r="P915" i="8"/>
  <c r="P915" i="5"/>
  <c r="Q912" i="8"/>
  <c r="Q912" i="5"/>
  <c r="P911" i="8"/>
  <c r="P911" i="5"/>
  <c r="Q908" i="8"/>
  <c r="Q908" i="5"/>
  <c r="P907" i="8"/>
  <c r="P907" i="5"/>
  <c r="S905" i="8"/>
  <c r="S905" i="5"/>
  <c r="P902" i="8"/>
  <c r="P902" i="5"/>
  <c r="U901" i="8"/>
  <c r="U901" i="5"/>
  <c r="S900" i="8"/>
  <c r="S900" i="5"/>
  <c r="Q898" i="8"/>
  <c r="Q898" i="5"/>
  <c r="T897" i="8"/>
  <c r="T897" i="5"/>
  <c r="P897" i="8"/>
  <c r="P897" i="5"/>
  <c r="Q894" i="8"/>
  <c r="Q894" i="5"/>
  <c r="T893" i="8"/>
  <c r="T893" i="5"/>
  <c r="P893" i="8"/>
  <c r="P893" i="5"/>
  <c r="Q890" i="8"/>
  <c r="Q890" i="5"/>
  <c r="T889" i="8"/>
  <c r="T889" i="5"/>
  <c r="P889" i="8"/>
  <c r="P889" i="5"/>
  <c r="Q886" i="8"/>
  <c r="Q886" i="5"/>
  <c r="T885" i="8"/>
  <c r="T885" i="5"/>
  <c r="P885" i="8"/>
  <c r="P885" i="5"/>
  <c r="Q869" i="8"/>
  <c r="Q869" i="5"/>
  <c r="P868" i="8"/>
  <c r="P868" i="5"/>
  <c r="S853" i="8"/>
  <c r="S853" i="5"/>
  <c r="U850" i="8"/>
  <c r="U850" i="5"/>
  <c r="S849" i="8"/>
  <c r="S849" i="5"/>
  <c r="R848" i="8"/>
  <c r="R848" i="5"/>
  <c r="U846" i="8"/>
  <c r="U846" i="5"/>
  <c r="S845" i="8"/>
  <c r="S845" i="5"/>
  <c r="R844" i="8"/>
  <c r="R844" i="5"/>
  <c r="U842" i="8"/>
  <c r="U842" i="5"/>
  <c r="Q839" i="8"/>
  <c r="Q839" i="5"/>
  <c r="P837" i="8"/>
  <c r="P837" i="5"/>
  <c r="Q834" i="8"/>
  <c r="Q834" i="5"/>
  <c r="T833" i="8"/>
  <c r="T833" i="5"/>
  <c r="P833" i="8"/>
  <c r="P833" i="5"/>
  <c r="Q830" i="8"/>
  <c r="Q830" i="5"/>
  <c r="T829" i="8"/>
  <c r="T829" i="5"/>
  <c r="P829" i="8"/>
  <c r="P829" i="5"/>
  <c r="Q826" i="8"/>
  <c r="Q826" i="5"/>
  <c r="T825" i="8"/>
  <c r="T825" i="5"/>
  <c r="P825" i="8"/>
  <c r="P825" i="5"/>
  <c r="Q822" i="8"/>
  <c r="Q822" i="5"/>
  <c r="T821" i="8"/>
  <c r="T821" i="5"/>
  <c r="P821" i="8"/>
  <c r="P821" i="5"/>
  <c r="Q800" i="8"/>
  <c r="Q800" i="5"/>
  <c r="T799" i="8"/>
  <c r="T799" i="5"/>
  <c r="P799" i="8"/>
  <c r="P799" i="5"/>
  <c r="Q796" i="8"/>
  <c r="Q796" i="5"/>
  <c r="T795" i="8"/>
  <c r="T795" i="5"/>
  <c r="P795" i="8"/>
  <c r="P795" i="5"/>
  <c r="Q792" i="8"/>
  <c r="Q792" i="5"/>
  <c r="T791" i="8"/>
  <c r="T791" i="5"/>
  <c r="P791" i="8"/>
  <c r="P791" i="5"/>
  <c r="U786" i="8"/>
  <c r="U786" i="5"/>
  <c r="S785" i="8"/>
  <c r="S785" i="5"/>
  <c r="R784" i="8"/>
  <c r="R784" i="5"/>
  <c r="U782" i="8"/>
  <c r="U782" i="5"/>
  <c r="S781" i="8"/>
  <c r="S781" i="5"/>
  <c r="R780" i="8"/>
  <c r="R780" i="5"/>
  <c r="U778" i="8"/>
  <c r="U778" i="5"/>
  <c r="S777" i="8"/>
  <c r="S777" i="5"/>
  <c r="R776" i="8"/>
  <c r="R776" i="5"/>
  <c r="U774" i="8"/>
  <c r="U774" i="5"/>
  <c r="S773" i="8"/>
  <c r="S773" i="5"/>
  <c r="Q754" i="8"/>
  <c r="Q754" i="5"/>
  <c r="T753" i="8"/>
  <c r="T753" i="5"/>
  <c r="P753" i="8"/>
  <c r="P753" i="5"/>
  <c r="Q750" i="8"/>
  <c r="Q750" i="5"/>
  <c r="T749" i="8"/>
  <c r="T749" i="5"/>
  <c r="P749" i="8"/>
  <c r="P749" i="5"/>
  <c r="Q746" i="8"/>
  <c r="Q746" i="5"/>
  <c r="T745" i="8"/>
  <c r="T745" i="5"/>
  <c r="P745" i="8"/>
  <c r="P745" i="5"/>
  <c r="Q740" i="8"/>
  <c r="Q740" i="5"/>
  <c r="P739" i="8"/>
  <c r="P739" i="5"/>
  <c r="U730" i="8"/>
  <c r="U730" i="5"/>
  <c r="U709" i="8"/>
  <c r="U709" i="5"/>
  <c r="Q688" i="8"/>
  <c r="Q688" i="5"/>
  <c r="P687" i="8"/>
  <c r="P687" i="5"/>
  <c r="U685" i="8"/>
  <c r="U685" i="5"/>
  <c r="Q680" i="8"/>
  <c r="Q680" i="5"/>
  <c r="P679" i="8"/>
  <c r="P679" i="5"/>
  <c r="S676" i="8"/>
  <c r="S676" i="5"/>
  <c r="U673" i="8"/>
  <c r="U673" i="5"/>
  <c r="S672" i="8"/>
  <c r="S672" i="5"/>
  <c r="R671" i="8"/>
  <c r="R671" i="5"/>
  <c r="U669" i="8"/>
  <c r="U669" i="5"/>
  <c r="S668" i="8"/>
  <c r="S668" i="5"/>
  <c r="R667" i="8"/>
  <c r="R667" i="5"/>
  <c r="U665" i="8"/>
  <c r="U665" i="5"/>
  <c r="Q660" i="8"/>
  <c r="Q660" i="5"/>
  <c r="P659" i="8"/>
  <c r="P659" i="5"/>
  <c r="Q646" i="8"/>
  <c r="Q646" i="5"/>
  <c r="S629" i="8"/>
  <c r="S629" i="5"/>
  <c r="S624" i="8"/>
  <c r="S624" i="5"/>
  <c r="U618" i="8"/>
  <c r="U618" i="5"/>
  <c r="S616" i="8"/>
  <c r="S616" i="5"/>
  <c r="U602" i="8"/>
  <c r="U602" i="5"/>
  <c r="S600" i="8"/>
  <c r="S600" i="5"/>
  <c r="U582" i="8"/>
  <c r="U582" i="5"/>
  <c r="S580" i="8"/>
  <c r="S580" i="5"/>
  <c r="U577" i="8"/>
  <c r="U577" i="5"/>
  <c r="S576" i="8"/>
  <c r="S576" i="5"/>
  <c r="R575" i="8"/>
  <c r="R575" i="5"/>
  <c r="U573" i="8"/>
  <c r="U573" i="5"/>
  <c r="S572" i="8"/>
  <c r="S572" i="5"/>
  <c r="R571" i="8"/>
  <c r="R571" i="5"/>
  <c r="U566" i="8"/>
  <c r="U566" i="5"/>
  <c r="S564" i="8"/>
  <c r="S564" i="5"/>
  <c r="S549" i="8"/>
  <c r="S549" i="5"/>
  <c r="S544" i="8"/>
  <c r="S544" i="5"/>
  <c r="U538" i="8"/>
  <c r="U538" i="5"/>
  <c r="S536" i="8"/>
  <c r="S536" i="5"/>
  <c r="Q528" i="8"/>
  <c r="Q528" i="5"/>
  <c r="P527" i="8"/>
  <c r="P527" i="5"/>
  <c r="Q524" i="8"/>
  <c r="Q524" i="5"/>
  <c r="P523" i="8"/>
  <c r="P523" i="5"/>
  <c r="U521" i="8"/>
  <c r="U521" i="5"/>
  <c r="Q516" i="8"/>
  <c r="Q516" i="5"/>
  <c r="P515" i="8"/>
  <c r="P515" i="5"/>
  <c r="S513" i="8"/>
  <c r="S513" i="5"/>
  <c r="Q510" i="8"/>
  <c r="Q510" i="5"/>
  <c r="S505" i="8"/>
  <c r="S505" i="5"/>
  <c r="Q502" i="8"/>
  <c r="Q502" i="5"/>
  <c r="S493" i="8"/>
  <c r="S493" i="5"/>
  <c r="Q490" i="8"/>
  <c r="Q490" i="5"/>
  <c r="S485" i="8"/>
  <c r="S485" i="5"/>
  <c r="Q482" i="8"/>
  <c r="Q482" i="5"/>
  <c r="T481" i="8"/>
  <c r="T481" i="5"/>
  <c r="P481" i="8"/>
  <c r="P481" i="5"/>
  <c r="Q478" i="8"/>
  <c r="Q478" i="5"/>
  <c r="T477" i="8"/>
  <c r="T477" i="5"/>
  <c r="P477" i="8"/>
  <c r="P477" i="5"/>
  <c r="P469" i="8"/>
  <c r="P469" i="5"/>
  <c r="U458" i="8"/>
  <c r="U458" i="5"/>
  <c r="S456" i="8"/>
  <c r="S456" i="5"/>
  <c r="U450" i="8"/>
  <c r="U450" i="5"/>
  <c r="S449" i="8"/>
  <c r="S449" i="5"/>
  <c r="Q446" i="8"/>
  <c r="Q446" i="5"/>
  <c r="S441" i="8"/>
  <c r="S441" i="5"/>
  <c r="Q438" i="8"/>
  <c r="Q438" i="5"/>
  <c r="P429" i="8"/>
  <c r="P429" i="5"/>
  <c r="P421" i="8"/>
  <c r="P421" i="5"/>
  <c r="Q416" i="8"/>
  <c r="Q416" i="5"/>
  <c r="P415" i="8"/>
  <c r="P415" i="5"/>
  <c r="U413" i="8"/>
  <c r="U413" i="5"/>
  <c r="Q408" i="8"/>
  <c r="Q408" i="5"/>
  <c r="P407" i="8"/>
  <c r="P407" i="5"/>
  <c r="U405" i="8"/>
  <c r="U405" i="5"/>
  <c r="Q402" i="8"/>
  <c r="Q402" i="5"/>
  <c r="T401" i="8"/>
  <c r="T401" i="5"/>
  <c r="P401" i="8"/>
  <c r="P401" i="5"/>
  <c r="P393" i="8"/>
  <c r="P393" i="5"/>
  <c r="U386" i="8"/>
  <c r="U386" i="5"/>
  <c r="S385" i="8"/>
  <c r="S385" i="5"/>
  <c r="Q382" i="8"/>
  <c r="Q382" i="5"/>
  <c r="S377" i="8"/>
  <c r="S377" i="5"/>
  <c r="Q374" i="8"/>
  <c r="Q374" i="5"/>
  <c r="P365" i="8"/>
  <c r="P365" i="5"/>
  <c r="P357" i="8"/>
  <c r="P357" i="5"/>
  <c r="Q352" i="8"/>
  <c r="Q352" i="5"/>
  <c r="P351" i="8"/>
  <c r="P351" i="5"/>
  <c r="U349" i="8"/>
  <c r="U349" i="5"/>
  <c r="Q344" i="8"/>
  <c r="Q344" i="5"/>
  <c r="P343" i="8"/>
  <c r="P343" i="5"/>
  <c r="U341" i="8"/>
  <c r="U341" i="5"/>
  <c r="Q336" i="8"/>
  <c r="Q336" i="5"/>
  <c r="P335" i="8"/>
  <c r="P335" i="5"/>
  <c r="U333" i="8"/>
  <c r="U333" i="5"/>
  <c r="Q328" i="8"/>
  <c r="Q328" i="5"/>
  <c r="P327" i="8"/>
  <c r="P327" i="5"/>
  <c r="U325" i="8"/>
  <c r="U325" i="5"/>
  <c r="S317" i="8"/>
  <c r="S317" i="5"/>
  <c r="Q314" i="8"/>
  <c r="Q314" i="5"/>
  <c r="S309" i="8"/>
  <c r="S309" i="5"/>
  <c r="Q306" i="8"/>
  <c r="Q306" i="5"/>
  <c r="T305" i="8"/>
  <c r="T305" i="5"/>
  <c r="P305" i="8"/>
  <c r="P305" i="5"/>
  <c r="U298" i="8"/>
  <c r="U298" i="5"/>
  <c r="S296" i="8"/>
  <c r="S296" i="5"/>
  <c r="Q284" i="8"/>
  <c r="Q284" i="5"/>
  <c r="P283" i="8"/>
  <c r="P283" i="5"/>
  <c r="U281" i="8"/>
  <c r="U281" i="5"/>
  <c r="U270" i="8"/>
  <c r="U270" i="5"/>
  <c r="S268" i="8"/>
  <c r="S268" i="5"/>
  <c r="U262" i="8"/>
  <c r="U262" i="5"/>
  <c r="S260" i="8"/>
  <c r="S260" i="5"/>
  <c r="S253" i="8"/>
  <c r="S253" i="5"/>
  <c r="Q250" i="8"/>
  <c r="Q250" i="5"/>
  <c r="Q244" i="8"/>
  <c r="Q244" i="5"/>
  <c r="T243" i="8"/>
  <c r="T243" i="5"/>
  <c r="P243" i="8"/>
  <c r="P243" i="5"/>
  <c r="Q240" i="8"/>
  <c r="Q240" i="5"/>
  <c r="T239" i="8"/>
  <c r="T239" i="5"/>
  <c r="P239" i="8"/>
  <c r="P239" i="5"/>
  <c r="P233" i="8"/>
  <c r="P233" i="5"/>
  <c r="U225" i="8"/>
  <c r="U225" i="5"/>
  <c r="Q220" i="8"/>
  <c r="Q220" i="5"/>
  <c r="P219" i="8"/>
  <c r="P219" i="5"/>
  <c r="U217" i="8"/>
  <c r="U217" i="5"/>
  <c r="Q212" i="8"/>
  <c r="Q212" i="5"/>
  <c r="P211" i="8"/>
  <c r="P211" i="5"/>
  <c r="Q204" i="8"/>
  <c r="Q204" i="5"/>
  <c r="P201" i="8"/>
  <c r="P201" i="5"/>
  <c r="S197" i="8"/>
  <c r="S197" i="5"/>
  <c r="U190" i="8"/>
  <c r="U190" i="5"/>
  <c r="S173" i="8"/>
  <c r="S173" i="5"/>
  <c r="R172" i="8"/>
  <c r="R172" i="5"/>
  <c r="U166" i="8"/>
  <c r="U166" i="5"/>
  <c r="Q160" i="8"/>
  <c r="Q160" i="5"/>
  <c r="P155" i="8"/>
  <c r="P155" i="5"/>
  <c r="P147" i="8"/>
  <c r="P147" i="5"/>
  <c r="Q144" i="8"/>
  <c r="Q144" i="5"/>
  <c r="P143" i="8"/>
  <c r="P143" i="5"/>
  <c r="Q140" i="8"/>
  <c r="Q140" i="5"/>
  <c r="P139" i="8"/>
  <c r="P139" i="5"/>
  <c r="Q136" i="8"/>
  <c r="Q136" i="5"/>
  <c r="P135" i="8"/>
  <c r="P135" i="5"/>
  <c r="Q132" i="8"/>
  <c r="Q132" i="5"/>
  <c r="P131" i="8"/>
  <c r="P131" i="5"/>
  <c r="Q128" i="8"/>
  <c r="Q128" i="5"/>
  <c r="P127" i="8"/>
  <c r="P127" i="5"/>
  <c r="Q124" i="8"/>
  <c r="Q124" i="5"/>
  <c r="P123" i="8"/>
  <c r="P123" i="5"/>
  <c r="Q120" i="8"/>
  <c r="Q120" i="5"/>
  <c r="P119" i="8"/>
  <c r="P119" i="5"/>
  <c r="Q116" i="8"/>
  <c r="Q116" i="5"/>
  <c r="P115" i="8"/>
  <c r="P115" i="5"/>
  <c r="Q112" i="8"/>
  <c r="Q112" i="5"/>
  <c r="P111" i="8"/>
  <c r="P111" i="5"/>
  <c r="Q108" i="8"/>
  <c r="Q108" i="5"/>
  <c r="P107" i="8"/>
  <c r="P107" i="5"/>
  <c r="Q104" i="8"/>
  <c r="Q104" i="5"/>
  <c r="P103" i="8"/>
  <c r="P103" i="5"/>
  <c r="Q100" i="8"/>
  <c r="Q100" i="5"/>
  <c r="P99" i="8"/>
  <c r="P99" i="5"/>
  <c r="Q96" i="8"/>
  <c r="Q96" i="5"/>
  <c r="T95" i="8"/>
  <c r="T95" i="5"/>
  <c r="P95" i="8"/>
  <c r="P95" i="5"/>
  <c r="Q92" i="8"/>
  <c r="Q92" i="5"/>
  <c r="P91" i="8"/>
  <c r="P91" i="5"/>
  <c r="Q88" i="8"/>
  <c r="Q88" i="5"/>
  <c r="P87" i="8"/>
  <c r="P87" i="5"/>
  <c r="Q84" i="8"/>
  <c r="Q84" i="5"/>
  <c r="T83" i="8"/>
  <c r="T83" i="5"/>
  <c r="P83" i="8"/>
  <c r="P83" i="5"/>
  <c r="Q80" i="8"/>
  <c r="Q80" i="5"/>
  <c r="P79" i="8"/>
  <c r="P79" i="5"/>
  <c r="Q76" i="8"/>
  <c r="Q76" i="5"/>
  <c r="P75" i="8"/>
  <c r="P75" i="5"/>
  <c r="Q72" i="8"/>
  <c r="Q72" i="5"/>
  <c r="P71" i="8"/>
  <c r="P71" i="5"/>
  <c r="Q68" i="8"/>
  <c r="Q68" i="5"/>
  <c r="P67" i="8"/>
  <c r="P67" i="5"/>
  <c r="Q64" i="8"/>
  <c r="Q64" i="5"/>
  <c r="T63" i="8"/>
  <c r="T63" i="5"/>
  <c r="P63" i="8"/>
  <c r="P63" i="5"/>
  <c r="Q60" i="8"/>
  <c r="Q60" i="5"/>
  <c r="P59" i="8"/>
  <c r="P59" i="5"/>
  <c r="Q56" i="8"/>
  <c r="Q56" i="5"/>
  <c r="P55" i="8"/>
  <c r="P55" i="5"/>
  <c r="Q52" i="8"/>
  <c r="Q52" i="5"/>
  <c r="P51" i="8"/>
  <c r="P51" i="5"/>
  <c r="U150" i="8"/>
  <c r="U150" i="5"/>
  <c r="S149" i="8"/>
  <c r="S149" i="5"/>
  <c r="U146" i="8"/>
  <c r="U146" i="5"/>
  <c r="S145" i="8"/>
  <c r="S145" i="5"/>
  <c r="U142" i="8"/>
  <c r="U142" i="5"/>
  <c r="S141" i="8"/>
  <c r="S141" i="5"/>
  <c r="U138" i="8"/>
  <c r="U138" i="5"/>
  <c r="S137" i="8"/>
  <c r="S137" i="5"/>
  <c r="U134" i="8"/>
  <c r="U134" i="5"/>
  <c r="S133" i="8"/>
  <c r="S133" i="5"/>
  <c r="U130" i="8"/>
  <c r="U130" i="5"/>
  <c r="S129" i="8"/>
  <c r="S129" i="5"/>
  <c r="U126" i="8"/>
  <c r="U126" i="5"/>
  <c r="S125" i="8"/>
  <c r="S125" i="5"/>
  <c r="U122" i="8"/>
  <c r="U122" i="5"/>
  <c r="S121" i="8"/>
  <c r="S121" i="5"/>
  <c r="U118" i="8"/>
  <c r="U118" i="5"/>
  <c r="S117" i="8"/>
  <c r="S117" i="5"/>
  <c r="U114" i="8"/>
  <c r="U114" i="5"/>
  <c r="S113" i="8"/>
  <c r="S113" i="5"/>
  <c r="U110" i="8"/>
  <c r="U110" i="5"/>
  <c r="S109" i="8"/>
  <c r="S109" i="5"/>
  <c r="U106" i="8"/>
  <c r="U106" i="5"/>
  <c r="S105" i="8"/>
  <c r="S105" i="5"/>
  <c r="U102" i="8"/>
  <c r="U102" i="5"/>
  <c r="S101" i="8"/>
  <c r="S101" i="5"/>
  <c r="U98" i="8"/>
  <c r="U98" i="5"/>
  <c r="S97" i="8"/>
  <c r="S97" i="5"/>
  <c r="R96" i="8"/>
  <c r="R96" i="5"/>
  <c r="U94" i="8"/>
  <c r="U94" i="5"/>
  <c r="S93" i="8"/>
  <c r="S93" i="5"/>
  <c r="R92" i="8"/>
  <c r="R92" i="5"/>
  <c r="U90" i="8"/>
  <c r="U90" i="5"/>
  <c r="S89" i="8"/>
  <c r="S89" i="5"/>
  <c r="U86" i="8"/>
  <c r="U86" i="5"/>
  <c r="S85" i="8"/>
  <c r="S85" i="5"/>
  <c r="U82" i="8"/>
  <c r="U82" i="5"/>
  <c r="S81" i="8"/>
  <c r="S81" i="5"/>
  <c r="U78" i="8"/>
  <c r="U78" i="5"/>
  <c r="S77" i="8"/>
  <c r="S77" i="5"/>
  <c r="U74" i="8"/>
  <c r="U74" i="5"/>
  <c r="S73" i="8"/>
  <c r="S73" i="5"/>
  <c r="U70" i="5"/>
  <c r="U70" i="8"/>
  <c r="S69" i="8"/>
  <c r="S69" i="5"/>
  <c r="U66" i="8"/>
  <c r="U66" i="5"/>
  <c r="S65" i="8"/>
  <c r="S65" i="5"/>
  <c r="R64" i="8"/>
  <c r="R64" i="5"/>
  <c r="U62" i="8"/>
  <c r="U62" i="5"/>
  <c r="S61" i="8"/>
  <c r="S61" i="5"/>
  <c r="U58" i="8"/>
  <c r="U58" i="5"/>
  <c r="S57" i="8"/>
  <c r="S57" i="5"/>
  <c r="U54" i="5"/>
  <c r="U54" i="8"/>
  <c r="S53" i="8"/>
  <c r="S53" i="5"/>
  <c r="Q803" i="8"/>
  <c r="Q803" i="5"/>
  <c r="P802" i="8"/>
  <c r="P802" i="5"/>
  <c r="Q799" i="8"/>
  <c r="Q799" i="5"/>
  <c r="T798" i="8"/>
  <c r="T798" i="5"/>
  <c r="P798" i="8"/>
  <c r="P798" i="5"/>
  <c r="Q795" i="8"/>
  <c r="Q795" i="5"/>
  <c r="T794" i="8"/>
  <c r="T794" i="5"/>
  <c r="P794" i="8"/>
  <c r="P794" i="5"/>
  <c r="Q791" i="8"/>
  <c r="Q791" i="5"/>
  <c r="T790" i="8"/>
  <c r="T790" i="5"/>
  <c r="P790" i="8"/>
  <c r="P790" i="5"/>
  <c r="Q787" i="8"/>
  <c r="Q787" i="5"/>
  <c r="T786" i="8"/>
  <c r="T786" i="5"/>
  <c r="P786" i="8"/>
  <c r="P786" i="5"/>
  <c r="Q783" i="8"/>
  <c r="Q783" i="5"/>
  <c r="T782" i="8"/>
  <c r="T782" i="5"/>
  <c r="P782" i="8"/>
  <c r="P782" i="5"/>
  <c r="Q779" i="8"/>
  <c r="Q779" i="5"/>
  <c r="T778" i="8"/>
  <c r="T778" i="5"/>
  <c r="P778" i="8"/>
  <c r="P778" i="5"/>
  <c r="Q775" i="8"/>
  <c r="Q775" i="5"/>
  <c r="T774" i="8"/>
  <c r="T774" i="5"/>
  <c r="P774" i="8"/>
  <c r="P774" i="5"/>
  <c r="Q771" i="8"/>
  <c r="Q771" i="5"/>
  <c r="T770" i="8"/>
  <c r="T770" i="5"/>
  <c r="P770" i="8"/>
  <c r="P770" i="5"/>
  <c r="Q767" i="8"/>
  <c r="Q767" i="5"/>
  <c r="T766" i="8"/>
  <c r="T766" i="5"/>
  <c r="P766" i="8"/>
  <c r="P766" i="5"/>
  <c r="Q763" i="8"/>
  <c r="Q763" i="5"/>
  <c r="T762" i="8"/>
  <c r="T762" i="5"/>
  <c r="P762" i="8"/>
  <c r="P762" i="5"/>
  <c r="Q759" i="8"/>
  <c r="Q759" i="5"/>
  <c r="T758" i="8"/>
  <c r="T758" i="5"/>
  <c r="P758" i="8"/>
  <c r="P758" i="5"/>
  <c r="Q755" i="8"/>
  <c r="Q755" i="5"/>
  <c r="P754" i="8"/>
  <c r="P754" i="5"/>
  <c r="Q751" i="8"/>
  <c r="Q751" i="5"/>
  <c r="T750" i="8"/>
  <c r="T750" i="5"/>
  <c r="P750" i="8"/>
  <c r="P750" i="5"/>
  <c r="Q747" i="8"/>
  <c r="Q747" i="5"/>
  <c r="T746" i="8"/>
  <c r="T746" i="5"/>
  <c r="P746" i="8"/>
  <c r="P746" i="5"/>
  <c r="Q743" i="8"/>
  <c r="Q743" i="5"/>
  <c r="P742" i="8"/>
  <c r="P742" i="5"/>
  <c r="Q739" i="8"/>
  <c r="Q739" i="5"/>
  <c r="T738" i="8"/>
  <c r="T738" i="5"/>
  <c r="P738" i="8"/>
  <c r="P738" i="5"/>
  <c r="P722" i="8"/>
  <c r="P722" i="5"/>
  <c r="Q719" i="8"/>
  <c r="Q719" i="5"/>
  <c r="T718" i="8"/>
  <c r="T718" i="5"/>
  <c r="P718" i="8"/>
  <c r="P718" i="5"/>
  <c r="Q715" i="8"/>
  <c r="Q715" i="5"/>
  <c r="T714" i="8"/>
  <c r="T714" i="5"/>
  <c r="P714" i="8"/>
  <c r="P714" i="5"/>
  <c r="Q711" i="8"/>
  <c r="Q711" i="5"/>
  <c r="T710" i="8"/>
  <c r="T710" i="5"/>
  <c r="P710" i="8"/>
  <c r="P710" i="5"/>
  <c r="Q707" i="8"/>
  <c r="Q707" i="5"/>
  <c r="P706" i="8"/>
  <c r="P706" i="5"/>
  <c r="Q703" i="8"/>
  <c r="Q703" i="5"/>
  <c r="T702" i="8"/>
  <c r="T702" i="5"/>
  <c r="P702" i="8"/>
  <c r="P702" i="5"/>
  <c r="Q699" i="8"/>
  <c r="Q699" i="5"/>
  <c r="T698" i="8"/>
  <c r="T698" i="5"/>
  <c r="P698" i="8"/>
  <c r="P698" i="5"/>
  <c r="Q695" i="8"/>
  <c r="Q695" i="5"/>
  <c r="T694" i="8"/>
  <c r="T694" i="5"/>
  <c r="P694" i="8"/>
  <c r="P694" i="5"/>
  <c r="Q691" i="8"/>
  <c r="Q691" i="5"/>
  <c r="T690" i="8"/>
  <c r="T690" i="5"/>
  <c r="P690" i="8"/>
  <c r="P690" i="5"/>
  <c r="Q687" i="8"/>
  <c r="Q687" i="5"/>
  <c r="P686" i="8"/>
  <c r="P686" i="5"/>
  <c r="Q683" i="8"/>
  <c r="Q683" i="5"/>
  <c r="P682" i="8"/>
  <c r="P682" i="5"/>
  <c r="Q679" i="8"/>
  <c r="Q679" i="5"/>
  <c r="P678" i="8"/>
  <c r="P678" i="5"/>
  <c r="Q675" i="8"/>
  <c r="Q675" i="5"/>
  <c r="T674" i="8"/>
  <c r="T674" i="5"/>
  <c r="P674" i="8"/>
  <c r="P674" i="5"/>
  <c r="Q671" i="8"/>
  <c r="Q671" i="5"/>
  <c r="T670" i="8"/>
  <c r="T670" i="5"/>
  <c r="P670" i="8"/>
  <c r="P670" i="5"/>
  <c r="Q667" i="8"/>
  <c r="Q667" i="5"/>
  <c r="T666" i="8"/>
  <c r="T666" i="5"/>
  <c r="P666" i="8"/>
  <c r="P666" i="5"/>
  <c r="Q663" i="8"/>
  <c r="Q663" i="5"/>
  <c r="P662" i="8"/>
  <c r="P662" i="5"/>
  <c r="Q659" i="8"/>
  <c r="Q659" i="5"/>
  <c r="P658" i="8"/>
  <c r="P658" i="5"/>
  <c r="Q655" i="8"/>
  <c r="Q655" i="5"/>
  <c r="T654" i="8"/>
  <c r="T654" i="5"/>
  <c r="P654" i="8"/>
  <c r="P654" i="5"/>
  <c r="Q651" i="8"/>
  <c r="Q651" i="5"/>
  <c r="T650" i="8"/>
  <c r="T650" i="5"/>
  <c r="P650" i="8"/>
  <c r="P650" i="5"/>
  <c r="Q647" i="8"/>
  <c r="Q647" i="5"/>
  <c r="P646" i="8"/>
  <c r="P646" i="5"/>
  <c r="Q643" i="8"/>
  <c r="Q643" i="5"/>
  <c r="T642" i="8"/>
  <c r="T642" i="5"/>
  <c r="P642" i="8"/>
  <c r="P642" i="5"/>
  <c r="Q639" i="8"/>
  <c r="Q639" i="5"/>
  <c r="T638" i="8"/>
  <c r="T638" i="5"/>
  <c r="P638" i="8"/>
  <c r="P638" i="5"/>
  <c r="Q635" i="8"/>
  <c r="Q635" i="5"/>
  <c r="T634" i="8"/>
  <c r="T634" i="5"/>
  <c r="P634" i="8"/>
  <c r="P634" i="5"/>
  <c r="Q631" i="8"/>
  <c r="Q631" i="5"/>
  <c r="P630" i="8"/>
  <c r="P630" i="5"/>
  <c r="Q627" i="8"/>
  <c r="Q627" i="5"/>
  <c r="T626" i="8"/>
  <c r="T626" i="5"/>
  <c r="P626" i="8"/>
  <c r="P626" i="5"/>
  <c r="Q623" i="8"/>
  <c r="Q623" i="5"/>
  <c r="P622" i="8"/>
  <c r="P622" i="5"/>
  <c r="Q619" i="8"/>
  <c r="Q619" i="5"/>
  <c r="P618" i="8"/>
  <c r="P618" i="5"/>
  <c r="Q615" i="8"/>
  <c r="Q615" i="5"/>
  <c r="P614" i="8"/>
  <c r="P614" i="5"/>
  <c r="Q611" i="8"/>
  <c r="Q611" i="5"/>
  <c r="T610" i="8"/>
  <c r="T610" i="5"/>
  <c r="P610" i="8"/>
  <c r="P610" i="5"/>
  <c r="Q607" i="8"/>
  <c r="Q607" i="5"/>
  <c r="T606" i="8"/>
  <c r="T606" i="5"/>
  <c r="P606" i="8"/>
  <c r="P606" i="5"/>
  <c r="Q603" i="8"/>
  <c r="Q603" i="5"/>
  <c r="P602" i="8"/>
  <c r="P602" i="5"/>
  <c r="Q599" i="8"/>
  <c r="Q599" i="5"/>
  <c r="P598" i="8"/>
  <c r="P598" i="5"/>
  <c r="Q595" i="8"/>
  <c r="Q595" i="5"/>
  <c r="T594" i="8"/>
  <c r="T594" i="5"/>
  <c r="P594" i="8"/>
  <c r="P594" i="5"/>
  <c r="Q591" i="8"/>
  <c r="Q591" i="5"/>
  <c r="T590" i="8"/>
  <c r="T590" i="5"/>
  <c r="P590" i="8"/>
  <c r="P590" i="5"/>
  <c r="Q587" i="8"/>
  <c r="Q587" i="5"/>
  <c r="T586" i="8"/>
  <c r="T586" i="5"/>
  <c r="P586" i="8"/>
  <c r="P586" i="5"/>
  <c r="Q583" i="8"/>
  <c r="Q583" i="5"/>
  <c r="P582" i="8"/>
  <c r="P582" i="5"/>
  <c r="Q579" i="8"/>
  <c r="Q579" i="5"/>
  <c r="T578" i="8"/>
  <c r="T578" i="5"/>
  <c r="P578" i="8"/>
  <c r="P578" i="5"/>
  <c r="Q575" i="8"/>
  <c r="Q575" i="5"/>
  <c r="T574" i="8"/>
  <c r="T574" i="5"/>
  <c r="P574" i="8"/>
  <c r="P574" i="5"/>
  <c r="Q571" i="8"/>
  <c r="Q571" i="5"/>
  <c r="P570" i="8"/>
  <c r="P570" i="5"/>
  <c r="Q567" i="8"/>
  <c r="Q567" i="5"/>
  <c r="P566" i="8"/>
  <c r="P566" i="5"/>
  <c r="Q563" i="8"/>
  <c r="Q563" i="5"/>
  <c r="P562" i="8"/>
  <c r="P562" i="5"/>
  <c r="Q559" i="8"/>
  <c r="Q559" i="5"/>
  <c r="T558" i="8"/>
  <c r="T558" i="5"/>
  <c r="P558" i="8"/>
  <c r="P558" i="5"/>
  <c r="Q555" i="8"/>
  <c r="Q555" i="5"/>
  <c r="T554" i="8"/>
  <c r="T554" i="5"/>
  <c r="P554" i="8"/>
  <c r="P554" i="5"/>
  <c r="Q551" i="8"/>
  <c r="Q551" i="5"/>
  <c r="P550" i="8"/>
  <c r="P550" i="5"/>
  <c r="Q547" i="8"/>
  <c r="Q547" i="5"/>
  <c r="T546" i="8"/>
  <c r="T546" i="5"/>
  <c r="P546" i="8"/>
  <c r="P546" i="5"/>
  <c r="Q543" i="8"/>
  <c r="Q543" i="5"/>
  <c r="P542" i="8"/>
  <c r="P542" i="5"/>
  <c r="Q539" i="8"/>
  <c r="Q539" i="5"/>
  <c r="P538" i="8"/>
  <c r="P538" i="5"/>
  <c r="Q535" i="8"/>
  <c r="Q535" i="5"/>
  <c r="P534" i="8"/>
  <c r="P534" i="5"/>
  <c r="Q531" i="8"/>
  <c r="Q531" i="5"/>
  <c r="T530" i="8"/>
  <c r="T530" i="5"/>
  <c r="P530" i="8"/>
  <c r="P530" i="5"/>
  <c r="Q527" i="8"/>
  <c r="Q527" i="5"/>
  <c r="T526" i="8"/>
  <c r="T526" i="5"/>
  <c r="P526" i="8"/>
  <c r="P526" i="5"/>
  <c r="Q523" i="8"/>
  <c r="Q523" i="5"/>
  <c r="P522" i="8"/>
  <c r="P522" i="5"/>
  <c r="Q519" i="8"/>
  <c r="Q519" i="5"/>
  <c r="P518" i="8"/>
  <c r="P518" i="5"/>
  <c r="Q515" i="8"/>
  <c r="Q515" i="5"/>
  <c r="T514" i="8"/>
  <c r="T514" i="5"/>
  <c r="P514" i="8"/>
  <c r="P514" i="5"/>
  <c r="Q511" i="8"/>
  <c r="Q511" i="5"/>
  <c r="P510" i="8"/>
  <c r="P510" i="5"/>
  <c r="Q507" i="8"/>
  <c r="Q507" i="5"/>
  <c r="P506" i="8"/>
  <c r="P506" i="5"/>
  <c r="Q503" i="8"/>
  <c r="Q503" i="5"/>
  <c r="P502" i="8"/>
  <c r="P502" i="5"/>
  <c r="Q499" i="8"/>
  <c r="Q499" i="5"/>
  <c r="T498" i="8"/>
  <c r="T498" i="5"/>
  <c r="P498" i="8"/>
  <c r="P498" i="5"/>
  <c r="Q495" i="8"/>
  <c r="Q495" i="5"/>
  <c r="P494" i="8"/>
  <c r="P494" i="5"/>
  <c r="Q491" i="8"/>
  <c r="Q491" i="5"/>
  <c r="P490" i="8"/>
  <c r="P490" i="5"/>
  <c r="Q487" i="8"/>
  <c r="Q487" i="5"/>
  <c r="P486" i="8"/>
  <c r="P486" i="5"/>
  <c r="Q483" i="8"/>
  <c r="Q483" i="5"/>
  <c r="P482" i="8"/>
  <c r="P482" i="5"/>
  <c r="Q479" i="8"/>
  <c r="Q479" i="5"/>
  <c r="T478" i="8"/>
  <c r="T478" i="5"/>
  <c r="P478" i="8"/>
  <c r="P478" i="5"/>
  <c r="Q475" i="8"/>
  <c r="Q475" i="5"/>
  <c r="P474" i="8"/>
  <c r="P474" i="5"/>
  <c r="Q471" i="8"/>
  <c r="Q471" i="5"/>
  <c r="P470" i="8"/>
  <c r="P470" i="5"/>
  <c r="Q467" i="8"/>
  <c r="Q467" i="5"/>
  <c r="T466" i="8"/>
  <c r="T466" i="5"/>
  <c r="P466" i="8"/>
  <c r="P466" i="5"/>
  <c r="Q463" i="8"/>
  <c r="Q463" i="5"/>
  <c r="T462" i="8"/>
  <c r="T462" i="5"/>
  <c r="P462" i="8"/>
  <c r="P462" i="5"/>
  <c r="Q459" i="8"/>
  <c r="Q459" i="5"/>
  <c r="P458" i="8"/>
  <c r="P458" i="5"/>
  <c r="Q455" i="8"/>
  <c r="Q455" i="5"/>
  <c r="P454" i="8"/>
  <c r="P454" i="5"/>
  <c r="Q451" i="8"/>
  <c r="Q451" i="5"/>
  <c r="P450" i="8"/>
  <c r="P450" i="5"/>
  <c r="Q447" i="8"/>
  <c r="Q447" i="5"/>
  <c r="P446" i="8"/>
  <c r="P446" i="5"/>
  <c r="Q443" i="8"/>
  <c r="Q443" i="5"/>
  <c r="P442" i="8"/>
  <c r="P442" i="5"/>
  <c r="Q439" i="8"/>
  <c r="Q439" i="5"/>
  <c r="P438" i="8"/>
  <c r="P438" i="5"/>
  <c r="Q435" i="8"/>
  <c r="Q435" i="5"/>
  <c r="P434" i="8"/>
  <c r="P434" i="5"/>
  <c r="Q431" i="8"/>
  <c r="Q431" i="5"/>
  <c r="P430" i="8"/>
  <c r="P430" i="5"/>
  <c r="Q427" i="8"/>
  <c r="Q427" i="5"/>
  <c r="P426" i="8"/>
  <c r="P426" i="5"/>
  <c r="Q423" i="8"/>
  <c r="Q423" i="5"/>
  <c r="P422" i="8"/>
  <c r="P422" i="5"/>
  <c r="Q419" i="8"/>
  <c r="Q419" i="5"/>
  <c r="P418" i="8"/>
  <c r="P418" i="5"/>
  <c r="Q415" i="8"/>
  <c r="Q415" i="5"/>
  <c r="P414" i="8"/>
  <c r="P414" i="5"/>
  <c r="Q411" i="8"/>
  <c r="Q411" i="5"/>
  <c r="P410" i="8"/>
  <c r="P410" i="5"/>
  <c r="Q407" i="8"/>
  <c r="Q407" i="5"/>
  <c r="P406" i="8"/>
  <c r="P406" i="5"/>
  <c r="Q403" i="8"/>
  <c r="Q403" i="5"/>
  <c r="T402" i="8"/>
  <c r="T402" i="5"/>
  <c r="P402" i="8"/>
  <c r="P402" i="5"/>
  <c r="Q399" i="8"/>
  <c r="Q399" i="5"/>
  <c r="P398" i="8"/>
  <c r="P398" i="5"/>
  <c r="Q395" i="8"/>
  <c r="Q395" i="5"/>
  <c r="P394" i="8"/>
  <c r="P394" i="5"/>
  <c r="Q391" i="8"/>
  <c r="Q391" i="5"/>
  <c r="P390" i="8"/>
  <c r="P390" i="5"/>
  <c r="Q387" i="8"/>
  <c r="Q387" i="5"/>
  <c r="T386" i="8"/>
  <c r="T386" i="5"/>
  <c r="P386" i="8"/>
  <c r="P386" i="5"/>
  <c r="Q383" i="8"/>
  <c r="Q383" i="5"/>
  <c r="P382" i="8"/>
  <c r="P382" i="5"/>
  <c r="Q379" i="8"/>
  <c r="Q379" i="5"/>
  <c r="P378" i="8"/>
  <c r="P378" i="5"/>
  <c r="Q375" i="8"/>
  <c r="Q375" i="5"/>
  <c r="P374" i="8"/>
  <c r="P374" i="5"/>
  <c r="Q371" i="8"/>
  <c r="Q371" i="5"/>
  <c r="P370" i="8"/>
  <c r="P370" i="5"/>
  <c r="Q367" i="8"/>
  <c r="Q367" i="5"/>
  <c r="P366" i="8"/>
  <c r="P366" i="5"/>
  <c r="Q363" i="8"/>
  <c r="Q363" i="5"/>
  <c r="P362" i="8"/>
  <c r="P362" i="5"/>
  <c r="Q359" i="8"/>
  <c r="Q359" i="5"/>
  <c r="P358" i="8"/>
  <c r="P358" i="5"/>
  <c r="Q355" i="8"/>
  <c r="Q355" i="5"/>
  <c r="P354" i="8"/>
  <c r="P354" i="5"/>
  <c r="Q351" i="8"/>
  <c r="Q351" i="5"/>
  <c r="P350" i="8"/>
  <c r="P350" i="5"/>
  <c r="Q347" i="8"/>
  <c r="Q347" i="5"/>
  <c r="P346" i="8"/>
  <c r="P346" i="5"/>
  <c r="Q343" i="8"/>
  <c r="Q343" i="5"/>
  <c r="P342" i="8"/>
  <c r="P342" i="5"/>
  <c r="Q339" i="8"/>
  <c r="Q339" i="5"/>
  <c r="P338" i="8"/>
  <c r="P338" i="5"/>
  <c r="Q335" i="8"/>
  <c r="Q335" i="5"/>
  <c r="P334" i="8"/>
  <c r="P334" i="5"/>
  <c r="Q331" i="8"/>
  <c r="Q331" i="5"/>
  <c r="P330" i="8"/>
  <c r="P330" i="5"/>
  <c r="Q327" i="8"/>
  <c r="Q327" i="5"/>
  <c r="P326" i="8"/>
  <c r="P326" i="5"/>
  <c r="Q323" i="8"/>
  <c r="Q323" i="5"/>
  <c r="P322" i="8"/>
  <c r="P322" i="5"/>
  <c r="Q319" i="8"/>
  <c r="Q319" i="5"/>
  <c r="P318" i="8"/>
  <c r="P318" i="5"/>
  <c r="Q315" i="8"/>
  <c r="Q315" i="5"/>
  <c r="P314" i="8"/>
  <c r="P314" i="5"/>
  <c r="Q311" i="8"/>
  <c r="Q311" i="5"/>
  <c r="P310" i="8"/>
  <c r="P310" i="5"/>
  <c r="Q307" i="8"/>
  <c r="Q307" i="5"/>
  <c r="P306" i="8"/>
  <c r="P306" i="5"/>
  <c r="Q303" i="8"/>
  <c r="Q303" i="5"/>
  <c r="P302" i="8"/>
  <c r="P302" i="5"/>
  <c r="Q299" i="8"/>
  <c r="Q299" i="5"/>
  <c r="P298" i="8"/>
  <c r="P298" i="5"/>
  <c r="Q295" i="8"/>
  <c r="Q295" i="5"/>
  <c r="P294" i="8"/>
  <c r="P294" i="5"/>
  <c r="Q291" i="8"/>
  <c r="Q291" i="5"/>
  <c r="T290" i="8"/>
  <c r="T290" i="5"/>
  <c r="P290" i="8"/>
  <c r="P290" i="5"/>
  <c r="Q287" i="8"/>
  <c r="Q287" i="5"/>
  <c r="T286" i="8"/>
  <c r="T286" i="5"/>
  <c r="P286" i="8"/>
  <c r="P286" i="5"/>
  <c r="Q283" i="8"/>
  <c r="Q283" i="5"/>
  <c r="P282" i="8"/>
  <c r="P282" i="5"/>
  <c r="Q279" i="8"/>
  <c r="Q279" i="5"/>
  <c r="P278" i="8"/>
  <c r="P278" i="5"/>
  <c r="Q275" i="8"/>
  <c r="Q275" i="5"/>
  <c r="T274" i="8"/>
  <c r="T274" i="5"/>
  <c r="P274" i="8"/>
  <c r="P274" i="5"/>
  <c r="Q271" i="8"/>
  <c r="Q271" i="5"/>
  <c r="P270" i="8"/>
  <c r="P270" i="5"/>
  <c r="Q267" i="8"/>
  <c r="Q267" i="5"/>
  <c r="P266" i="8"/>
  <c r="P266" i="5"/>
  <c r="Q263" i="8"/>
  <c r="Q263" i="5"/>
  <c r="P262" i="8"/>
  <c r="P262" i="5"/>
  <c r="Q259" i="8"/>
  <c r="Q259" i="5"/>
  <c r="P258" i="8"/>
  <c r="P258" i="5"/>
  <c r="Q255" i="8"/>
  <c r="Q255" i="5"/>
  <c r="P254" i="8"/>
  <c r="P254" i="5"/>
  <c r="Q251" i="8"/>
  <c r="Q251" i="5"/>
  <c r="P250" i="8"/>
  <c r="P250" i="5"/>
  <c r="Q247" i="8"/>
  <c r="Q247" i="5"/>
  <c r="P246" i="8"/>
  <c r="P246" i="5"/>
  <c r="Q243" i="8"/>
  <c r="Q243" i="5"/>
  <c r="T242" i="8"/>
  <c r="T242" i="5"/>
  <c r="P242" i="8"/>
  <c r="P242" i="5"/>
  <c r="Q239" i="8"/>
  <c r="Q239" i="5"/>
  <c r="T238" i="8"/>
  <c r="T238" i="5"/>
  <c r="P238" i="8"/>
  <c r="P238" i="5"/>
  <c r="Q235" i="8"/>
  <c r="Q235" i="5"/>
  <c r="P234" i="8"/>
  <c r="P234" i="5"/>
  <c r="Q231" i="8"/>
  <c r="Q231" i="5"/>
  <c r="P230" i="8"/>
  <c r="P230" i="5"/>
  <c r="Q227" i="8"/>
  <c r="Q227" i="5"/>
  <c r="P226" i="8"/>
  <c r="P226" i="5"/>
  <c r="Q223" i="8"/>
  <c r="Q223" i="5"/>
  <c r="P222" i="8"/>
  <c r="P222" i="5"/>
  <c r="Q219" i="8"/>
  <c r="Q219" i="5"/>
  <c r="P218" i="8"/>
  <c r="P218" i="5"/>
  <c r="Q215" i="8"/>
  <c r="Q215" i="5"/>
  <c r="P214" i="8"/>
  <c r="P214" i="5"/>
  <c r="Q211" i="8"/>
  <c r="Q211" i="5"/>
  <c r="P210" i="8"/>
  <c r="P210" i="5"/>
  <c r="Q207" i="8"/>
  <c r="Q207" i="5"/>
  <c r="P206" i="8"/>
  <c r="P206" i="5"/>
  <c r="Q203" i="8"/>
  <c r="Q203" i="5"/>
  <c r="P202" i="8"/>
  <c r="P202" i="5"/>
  <c r="Q199" i="8"/>
  <c r="Q199" i="5"/>
  <c r="P198" i="8"/>
  <c r="P198" i="5"/>
  <c r="Q195" i="8"/>
  <c r="Q195" i="5"/>
  <c r="P194" i="8"/>
  <c r="P194" i="5"/>
  <c r="Q191" i="8"/>
  <c r="Q191" i="5"/>
  <c r="P190" i="8"/>
  <c r="P190" i="5"/>
  <c r="Q187" i="8"/>
  <c r="Q187" i="5"/>
  <c r="P186" i="8"/>
  <c r="P186" i="5"/>
  <c r="Q183" i="8"/>
  <c r="Q183" i="5"/>
  <c r="P182" i="8"/>
  <c r="P182" i="5"/>
  <c r="Q179" i="8"/>
  <c r="Q179" i="5"/>
  <c r="P178" i="8"/>
  <c r="P178" i="5"/>
  <c r="Q175" i="8"/>
  <c r="Q175" i="5"/>
  <c r="P174" i="8"/>
  <c r="P174" i="5"/>
  <c r="Q171" i="8"/>
  <c r="Q171" i="5"/>
  <c r="P170" i="8"/>
  <c r="P170" i="5"/>
  <c r="Q167" i="8"/>
  <c r="Q167" i="5"/>
  <c r="T166" i="8"/>
  <c r="T166" i="5"/>
  <c r="P166" i="8"/>
  <c r="P166" i="5"/>
  <c r="Q163" i="8"/>
  <c r="Q163" i="5"/>
  <c r="P162" i="8"/>
  <c r="P162" i="5"/>
  <c r="Q159" i="8"/>
  <c r="Q159" i="5"/>
  <c r="P158" i="8"/>
  <c r="P158" i="5"/>
  <c r="Q155" i="8"/>
  <c r="Q155" i="5"/>
  <c r="P154" i="8"/>
  <c r="P154" i="5"/>
  <c r="Q151" i="8"/>
  <c r="Q151" i="5"/>
  <c r="P150" i="8"/>
  <c r="P150" i="5"/>
  <c r="Q147" i="8"/>
  <c r="Q147" i="5"/>
  <c r="P146" i="8"/>
  <c r="P146" i="5"/>
  <c r="Q143" i="8"/>
  <c r="Q143" i="5"/>
  <c r="P142" i="8"/>
  <c r="P142" i="5"/>
  <c r="Q139" i="8"/>
  <c r="Q139" i="5"/>
  <c r="P138" i="8"/>
  <c r="P138" i="5"/>
  <c r="Q135" i="8"/>
  <c r="Q135" i="5"/>
  <c r="T134" i="8"/>
  <c r="T134" i="5"/>
  <c r="P134" i="8"/>
  <c r="P134" i="5"/>
  <c r="Q131" i="8"/>
  <c r="Q131" i="5"/>
  <c r="T130" i="8"/>
  <c r="T130" i="5"/>
  <c r="P130" i="8"/>
  <c r="P130" i="5"/>
  <c r="Q127" i="8"/>
  <c r="Q127" i="5"/>
  <c r="P126" i="8"/>
  <c r="P126" i="5"/>
  <c r="Q123" i="8"/>
  <c r="Q123" i="5"/>
  <c r="P122" i="8"/>
  <c r="P122" i="5"/>
  <c r="Q119" i="8"/>
  <c r="Q119" i="5"/>
  <c r="P118" i="8"/>
  <c r="P118" i="5"/>
  <c r="Q115" i="8"/>
  <c r="Q115" i="5"/>
  <c r="T114" i="8"/>
  <c r="T114" i="5"/>
  <c r="P114" i="8"/>
  <c r="P114" i="5"/>
  <c r="Q111" i="8"/>
  <c r="Q111" i="5"/>
  <c r="P110" i="8"/>
  <c r="P110" i="5"/>
  <c r="Q107" i="8"/>
  <c r="Q107" i="5"/>
  <c r="P106" i="8"/>
  <c r="P106" i="5"/>
  <c r="Q103" i="8"/>
  <c r="Q103" i="5"/>
  <c r="P102" i="8"/>
  <c r="P102" i="5"/>
  <c r="Q99" i="8"/>
  <c r="Q99" i="5"/>
  <c r="P98" i="8"/>
  <c r="P98" i="5"/>
  <c r="Q95" i="8"/>
  <c r="Q95" i="5"/>
  <c r="T94" i="8"/>
  <c r="T94" i="5"/>
  <c r="P94" i="8"/>
  <c r="P94" i="5"/>
  <c r="Q91" i="8"/>
  <c r="Q91" i="5"/>
  <c r="P90" i="8"/>
  <c r="P90" i="5"/>
  <c r="Q87" i="8"/>
  <c r="Q87" i="5"/>
  <c r="T86" i="8"/>
  <c r="T86" i="5"/>
  <c r="P86" i="8"/>
  <c r="P86" i="5"/>
  <c r="Q83" i="8"/>
  <c r="Q83" i="5"/>
  <c r="T82" i="8"/>
  <c r="T82" i="5"/>
  <c r="P82" i="8"/>
  <c r="P82" i="5"/>
  <c r="Q79" i="8"/>
  <c r="Q79" i="5"/>
  <c r="P78" i="8"/>
  <c r="P78" i="5"/>
  <c r="Q75" i="8"/>
  <c r="Q75" i="5"/>
  <c r="P74" i="8"/>
  <c r="P74" i="5"/>
  <c r="Q71" i="8"/>
  <c r="Q71" i="5"/>
  <c r="P70" i="8"/>
  <c r="P70" i="5"/>
  <c r="Q67" i="8"/>
  <c r="Q67" i="5"/>
  <c r="T66" i="8"/>
  <c r="T66" i="5"/>
  <c r="P66" i="8"/>
  <c r="P66" i="5"/>
  <c r="Q63" i="8"/>
  <c r="Q63" i="5"/>
  <c r="T62" i="8"/>
  <c r="T62" i="5"/>
  <c r="P62" i="8"/>
  <c r="P62" i="5"/>
  <c r="Q59" i="8"/>
  <c r="Q59" i="5"/>
  <c r="P58" i="8"/>
  <c r="P58" i="5"/>
  <c r="Q55" i="8"/>
  <c r="Q55" i="5"/>
  <c r="P54" i="8"/>
  <c r="P54" i="5"/>
  <c r="Q51" i="8"/>
  <c r="Q51" i="5"/>
  <c r="U209" i="8"/>
  <c r="U209" i="5"/>
  <c r="S208" i="8"/>
  <c r="S208" i="5"/>
  <c r="U205" i="8"/>
  <c r="U205" i="5"/>
  <c r="S204" i="8"/>
  <c r="S204" i="5"/>
  <c r="U201" i="8"/>
  <c r="U201" i="5"/>
  <c r="S200" i="8"/>
  <c r="S200" i="5"/>
  <c r="U197" i="8"/>
  <c r="U197" i="5"/>
  <c r="S196" i="8"/>
  <c r="S196" i="5"/>
  <c r="U193" i="8"/>
  <c r="U193" i="5"/>
  <c r="S192" i="8"/>
  <c r="S192" i="5"/>
  <c r="U189" i="8"/>
  <c r="U189" i="5"/>
  <c r="S188" i="8"/>
  <c r="S188" i="5"/>
  <c r="U185" i="8"/>
  <c r="U185" i="5"/>
  <c r="S184" i="8"/>
  <c r="S184" i="5"/>
  <c r="U181" i="8"/>
  <c r="U181" i="5"/>
  <c r="S180" i="8"/>
  <c r="S180" i="5"/>
  <c r="U177" i="8"/>
  <c r="U177" i="5"/>
  <c r="S176" i="8"/>
  <c r="S176" i="5"/>
  <c r="U173" i="8"/>
  <c r="U173" i="5"/>
  <c r="S172" i="8"/>
  <c r="S172" i="5"/>
  <c r="U169" i="8"/>
  <c r="U169" i="5"/>
  <c r="S168" i="8"/>
  <c r="S168" i="5"/>
  <c r="U165" i="8"/>
  <c r="U165" i="5"/>
  <c r="S164" i="8"/>
  <c r="S164" i="5"/>
  <c r="U161" i="8"/>
  <c r="U161" i="5"/>
  <c r="S160" i="8"/>
  <c r="S160" i="5"/>
  <c r="U157" i="8"/>
  <c r="U157" i="5"/>
  <c r="S156" i="8"/>
  <c r="S156" i="5"/>
  <c r="U153" i="8"/>
  <c r="U153" i="5"/>
  <c r="S152" i="8"/>
  <c r="S152" i="5"/>
  <c r="U149" i="8"/>
  <c r="U149" i="5"/>
  <c r="S148" i="8"/>
  <c r="S148" i="5"/>
  <c r="U145" i="8"/>
  <c r="U145" i="5"/>
  <c r="S144" i="8"/>
  <c r="S144" i="5"/>
  <c r="U141" i="8"/>
  <c r="U141" i="5"/>
  <c r="S140" i="8"/>
  <c r="S140" i="5"/>
  <c r="U137" i="8"/>
  <c r="U137" i="5"/>
  <c r="S136" i="8"/>
  <c r="S136" i="5"/>
  <c r="U133" i="8"/>
  <c r="U133" i="5"/>
  <c r="S132" i="8"/>
  <c r="S132" i="5"/>
  <c r="U129" i="8"/>
  <c r="U129" i="5"/>
  <c r="S128" i="8"/>
  <c r="S128" i="5"/>
  <c r="U125" i="8"/>
  <c r="U125" i="5"/>
  <c r="S124" i="8"/>
  <c r="S124" i="5"/>
  <c r="U121" i="8"/>
  <c r="U121" i="5"/>
  <c r="S120" i="8"/>
  <c r="S120" i="5"/>
  <c r="U117" i="8"/>
  <c r="U117" i="5"/>
  <c r="S116" i="8"/>
  <c r="S116" i="5"/>
  <c r="U113" i="8"/>
  <c r="U113" i="5"/>
  <c r="S112" i="8"/>
  <c r="S112" i="5"/>
  <c r="U109" i="8"/>
  <c r="U109" i="5"/>
  <c r="S108" i="8"/>
  <c r="S108" i="5"/>
  <c r="U105" i="8"/>
  <c r="U105" i="5"/>
  <c r="S104" i="8"/>
  <c r="S104" i="5"/>
  <c r="U101" i="8"/>
  <c r="U101" i="5"/>
  <c r="S100" i="8"/>
  <c r="S100" i="5"/>
  <c r="U97" i="8"/>
  <c r="U97" i="5"/>
  <c r="S96" i="8"/>
  <c r="S96" i="5"/>
  <c r="R95" i="8"/>
  <c r="R95" i="5"/>
  <c r="U93" i="8"/>
  <c r="U93" i="5"/>
  <c r="S92" i="8"/>
  <c r="S92" i="5"/>
  <c r="U89" i="8"/>
  <c r="U89" i="5"/>
  <c r="S88" i="8"/>
  <c r="S88" i="5"/>
  <c r="U85" i="8"/>
  <c r="U85" i="5"/>
  <c r="S84" i="8"/>
  <c r="S84" i="5"/>
  <c r="R83" i="8"/>
  <c r="R83" i="5"/>
  <c r="U81" i="8"/>
  <c r="U81" i="5"/>
  <c r="S80" i="8"/>
  <c r="S80" i="5"/>
  <c r="U77" i="8"/>
  <c r="U77" i="5"/>
  <c r="S76" i="8"/>
  <c r="S76" i="5"/>
  <c r="U73" i="8"/>
  <c r="U73" i="5"/>
  <c r="S72" i="8"/>
  <c r="S72" i="5"/>
  <c r="U69" i="8"/>
  <c r="U69" i="5"/>
  <c r="S68" i="8"/>
  <c r="S68" i="5"/>
  <c r="U65" i="8"/>
  <c r="U65" i="5"/>
  <c r="S64" i="8"/>
  <c r="S64" i="5"/>
  <c r="R63" i="8"/>
  <c r="R63" i="5"/>
  <c r="U61" i="8"/>
  <c r="U61" i="5"/>
  <c r="S60" i="8"/>
  <c r="S60" i="5"/>
  <c r="U57" i="8"/>
  <c r="U57" i="5"/>
  <c r="S56" i="8"/>
  <c r="S56" i="5"/>
  <c r="U53" i="8"/>
  <c r="U53" i="5"/>
  <c r="S52" i="8"/>
  <c r="S52" i="5"/>
  <c r="P189" i="8"/>
  <c r="P189" i="5"/>
  <c r="Q186" i="8"/>
  <c r="Q186" i="5"/>
  <c r="P185" i="8"/>
  <c r="P185" i="5"/>
  <c r="Q182" i="8"/>
  <c r="Q182" i="5"/>
  <c r="P181" i="8"/>
  <c r="P181" i="5"/>
  <c r="Q178" i="8"/>
  <c r="Q178" i="5"/>
  <c r="T177" i="8"/>
  <c r="T177" i="5"/>
  <c r="P177" i="8"/>
  <c r="P177" i="5"/>
  <c r="Q174" i="8"/>
  <c r="Q174" i="5"/>
  <c r="P173" i="8"/>
  <c r="P173" i="5"/>
  <c r="Q170" i="8"/>
  <c r="Q170" i="5"/>
  <c r="P169" i="8"/>
  <c r="P169" i="5"/>
  <c r="Q166" i="8"/>
  <c r="Q166" i="5"/>
  <c r="P165" i="8"/>
  <c r="P165" i="5"/>
  <c r="Q162" i="8"/>
  <c r="Q162" i="5"/>
  <c r="T161" i="8"/>
  <c r="T161" i="5"/>
  <c r="P161" i="8"/>
  <c r="P161" i="5"/>
  <c r="Q158" i="8"/>
  <c r="Q158" i="5"/>
  <c r="P157" i="8"/>
  <c r="P157" i="5"/>
  <c r="Q154" i="8"/>
  <c r="Q154" i="5"/>
  <c r="P153" i="8"/>
  <c r="P153" i="5"/>
  <c r="Q150" i="8"/>
  <c r="Q150" i="5"/>
  <c r="P149" i="8"/>
  <c r="P149" i="5"/>
  <c r="Q146" i="8"/>
  <c r="Q146" i="5"/>
  <c r="T145" i="8"/>
  <c r="T145" i="5"/>
  <c r="P145" i="8"/>
  <c r="P145" i="5"/>
  <c r="Q142" i="8"/>
  <c r="Q142" i="5"/>
  <c r="P141" i="8"/>
  <c r="P141" i="5"/>
  <c r="Q138" i="8"/>
  <c r="Q138" i="5"/>
  <c r="P137" i="8"/>
  <c r="P137" i="5"/>
  <c r="Q134" i="8"/>
  <c r="Q134" i="5"/>
  <c r="P133" i="8"/>
  <c r="P133" i="5"/>
  <c r="Q130" i="8"/>
  <c r="Q130" i="5"/>
  <c r="T129" i="8"/>
  <c r="T129" i="5"/>
  <c r="P129" i="8"/>
  <c r="P129" i="5"/>
  <c r="Q126" i="8"/>
  <c r="Q126" i="5"/>
  <c r="P125" i="8"/>
  <c r="P125" i="5"/>
  <c r="Q122" i="8"/>
  <c r="Q122" i="5"/>
  <c r="P121" i="8"/>
  <c r="P121" i="5"/>
  <c r="Q118" i="8"/>
  <c r="Q118" i="5"/>
  <c r="P117" i="8"/>
  <c r="P117" i="5"/>
  <c r="Q114" i="8"/>
  <c r="Q114" i="5"/>
  <c r="T113" i="8"/>
  <c r="T113" i="5"/>
  <c r="P113" i="8"/>
  <c r="P113" i="5"/>
  <c r="Q110" i="8"/>
  <c r="Q110" i="5"/>
  <c r="P109" i="8"/>
  <c r="P109" i="5"/>
  <c r="Q106" i="8"/>
  <c r="Q106" i="5"/>
  <c r="P105" i="8"/>
  <c r="P105" i="5"/>
  <c r="Q102" i="8"/>
  <c r="Q102" i="5"/>
  <c r="P101" i="8"/>
  <c r="P101" i="5"/>
  <c r="Q98" i="8"/>
  <c r="Q98" i="5"/>
  <c r="T97" i="8"/>
  <c r="T97" i="5"/>
  <c r="P97" i="8"/>
  <c r="P97" i="5"/>
  <c r="Q94" i="8"/>
  <c r="Q94" i="5"/>
  <c r="T93" i="8"/>
  <c r="T93" i="5"/>
  <c r="P93" i="8"/>
  <c r="P93" i="5"/>
  <c r="Q90" i="8"/>
  <c r="Q90" i="5"/>
  <c r="P89" i="8"/>
  <c r="P89" i="5"/>
  <c r="Q86" i="8"/>
  <c r="Q86" i="5"/>
  <c r="P85" i="8"/>
  <c r="P85" i="5"/>
  <c r="Q82" i="8"/>
  <c r="Q82" i="5"/>
  <c r="T81" i="8"/>
  <c r="T81" i="5"/>
  <c r="P81" i="8"/>
  <c r="P81" i="5"/>
  <c r="Q78" i="8"/>
  <c r="Q78" i="5"/>
  <c r="P77" i="8"/>
  <c r="P77" i="5"/>
  <c r="Q74" i="8"/>
  <c r="Q74" i="5"/>
  <c r="P73" i="8"/>
  <c r="P73" i="5"/>
  <c r="Q70" i="8"/>
  <c r="Q70" i="5"/>
  <c r="T69" i="8"/>
  <c r="T69" i="5"/>
  <c r="P69" i="8"/>
  <c r="P69" i="5"/>
  <c r="Q66" i="8"/>
  <c r="Q66" i="5"/>
  <c r="T65" i="5"/>
  <c r="T65" i="8"/>
  <c r="P65" i="8"/>
  <c r="P65" i="5"/>
  <c r="Q62" i="8"/>
  <c r="Q62" i="5"/>
  <c r="T61" i="8"/>
  <c r="T61" i="5"/>
  <c r="P61" i="8"/>
  <c r="P61" i="5"/>
  <c r="Q58" i="8"/>
  <c r="Q58" i="5"/>
  <c r="P57" i="8"/>
  <c r="P57" i="5"/>
  <c r="Q54" i="8"/>
  <c r="Q54" i="5"/>
  <c r="P53" i="8"/>
  <c r="P53" i="5"/>
  <c r="U904" i="8"/>
  <c r="U904" i="5"/>
  <c r="S903" i="8"/>
  <c r="S903" i="5"/>
  <c r="U900" i="8"/>
  <c r="U900" i="5"/>
  <c r="S899" i="8"/>
  <c r="S899" i="5"/>
  <c r="U896" i="8"/>
  <c r="U896" i="5"/>
  <c r="S895" i="8"/>
  <c r="S895" i="5"/>
  <c r="R894" i="8"/>
  <c r="R894" i="5"/>
  <c r="U892" i="8"/>
  <c r="U892" i="5"/>
  <c r="S891" i="8"/>
  <c r="S891" i="5"/>
  <c r="R890" i="8"/>
  <c r="R890" i="5"/>
  <c r="U888" i="8"/>
  <c r="U888" i="5"/>
  <c r="S887" i="8"/>
  <c r="S887" i="5"/>
  <c r="R886" i="8"/>
  <c r="R886" i="5"/>
  <c r="U884" i="8"/>
  <c r="U884" i="5"/>
  <c r="S883" i="8"/>
  <c r="S883" i="5"/>
  <c r="U880" i="8"/>
  <c r="U880" i="5"/>
  <c r="S879" i="8"/>
  <c r="S879" i="5"/>
  <c r="R878" i="8"/>
  <c r="R878" i="5"/>
  <c r="U876" i="8"/>
  <c r="U876" i="5"/>
  <c r="S875" i="8"/>
  <c r="S875" i="5"/>
  <c r="R874" i="8"/>
  <c r="R874" i="5"/>
  <c r="U872" i="8"/>
  <c r="U872" i="5"/>
  <c r="S871" i="8"/>
  <c r="S871" i="5"/>
  <c r="R870" i="8"/>
  <c r="R870" i="5"/>
  <c r="U868" i="8"/>
  <c r="U868" i="5"/>
  <c r="S867" i="8"/>
  <c r="S867" i="5"/>
  <c r="U864" i="8"/>
  <c r="U864" i="5"/>
  <c r="S863" i="8"/>
  <c r="S863" i="5"/>
  <c r="R862" i="8"/>
  <c r="R862" i="5"/>
  <c r="U860" i="8"/>
  <c r="U860" i="5"/>
  <c r="S859" i="8"/>
  <c r="S859" i="5"/>
  <c r="R858" i="8"/>
  <c r="R858" i="5"/>
  <c r="U856" i="8"/>
  <c r="U856" i="5"/>
  <c r="S855" i="8"/>
  <c r="S855" i="5"/>
  <c r="U852" i="8"/>
  <c r="U852" i="5"/>
  <c r="S851" i="8"/>
  <c r="S851" i="5"/>
  <c r="R850" i="8"/>
  <c r="R850" i="5"/>
  <c r="U848" i="8"/>
  <c r="U848" i="5"/>
  <c r="S847" i="8"/>
  <c r="S847" i="5"/>
  <c r="R846" i="8"/>
  <c r="R846" i="5"/>
  <c r="U844" i="8"/>
  <c r="U844" i="5"/>
  <c r="S843" i="8"/>
  <c r="S843" i="5"/>
  <c r="R842" i="8"/>
  <c r="R842" i="5"/>
  <c r="U840" i="8"/>
  <c r="U840" i="5"/>
  <c r="S839" i="8"/>
  <c r="S839" i="5"/>
  <c r="U836" i="8"/>
  <c r="U836" i="5"/>
  <c r="S835" i="8"/>
  <c r="S835" i="5"/>
  <c r="R834" i="8"/>
  <c r="R834" i="5"/>
  <c r="U832" i="8"/>
  <c r="U832" i="5"/>
  <c r="S831" i="8"/>
  <c r="S831" i="5"/>
  <c r="R830" i="8"/>
  <c r="R830" i="5"/>
  <c r="U828" i="8"/>
  <c r="U828" i="5"/>
  <c r="S827" i="8"/>
  <c r="S827" i="5"/>
  <c r="R826" i="8"/>
  <c r="R826" i="5"/>
  <c r="U824" i="8"/>
  <c r="U824" i="5"/>
  <c r="S823" i="8"/>
  <c r="S823" i="5"/>
  <c r="R822" i="8"/>
  <c r="R822" i="5"/>
  <c r="U820" i="8"/>
  <c r="U820" i="5"/>
  <c r="S819" i="8"/>
  <c r="S819" i="5"/>
  <c r="U816" i="8"/>
  <c r="U816" i="5"/>
  <c r="S815" i="8"/>
  <c r="S815" i="5"/>
  <c r="R814" i="8"/>
  <c r="R814" i="5"/>
  <c r="U812" i="8"/>
  <c r="U812" i="5"/>
  <c r="S811" i="8"/>
  <c r="S811" i="5"/>
  <c r="R810" i="8"/>
  <c r="R810" i="5"/>
  <c r="U808" i="8"/>
  <c r="U808" i="5"/>
  <c r="S807" i="8"/>
  <c r="S807" i="5"/>
  <c r="R806" i="8"/>
  <c r="R806" i="5"/>
  <c r="U804" i="8"/>
  <c r="U804" i="5"/>
  <c r="S803" i="8"/>
  <c r="S803" i="5"/>
  <c r="U800" i="8"/>
  <c r="U800" i="5"/>
  <c r="S799" i="8"/>
  <c r="S799" i="5"/>
  <c r="R798" i="8"/>
  <c r="R798" i="5"/>
  <c r="U796" i="8"/>
  <c r="U796" i="5"/>
  <c r="S795" i="8"/>
  <c r="S795" i="5"/>
  <c r="R794" i="8"/>
  <c r="R794" i="5"/>
  <c r="U792" i="8"/>
  <c r="U792" i="5"/>
  <c r="S791" i="8"/>
  <c r="S791" i="5"/>
  <c r="R790" i="8"/>
  <c r="R790" i="5"/>
  <c r="U788" i="8"/>
  <c r="U788" i="5"/>
  <c r="S787" i="8"/>
  <c r="S787" i="5"/>
  <c r="R786" i="8"/>
  <c r="R786" i="5"/>
  <c r="U784" i="8"/>
  <c r="U784" i="5"/>
  <c r="S783" i="8"/>
  <c r="S783" i="5"/>
  <c r="R782" i="8"/>
  <c r="R782" i="5"/>
  <c r="U780" i="8"/>
  <c r="U780" i="5"/>
  <c r="S779" i="8"/>
  <c r="S779" i="5"/>
  <c r="R778" i="8"/>
  <c r="R778" i="5"/>
  <c r="U776" i="8"/>
  <c r="U776" i="5"/>
  <c r="S775" i="8"/>
  <c r="S775" i="5"/>
  <c r="R774" i="8"/>
  <c r="R774" i="5"/>
  <c r="U772" i="8"/>
  <c r="U772" i="5"/>
  <c r="S771" i="8"/>
  <c r="S771" i="5"/>
  <c r="R770" i="8"/>
  <c r="R770" i="5"/>
  <c r="U768" i="8"/>
  <c r="U768" i="5"/>
  <c r="S767" i="8"/>
  <c r="S767" i="5"/>
  <c r="R766" i="8"/>
  <c r="R766" i="5"/>
  <c r="U764" i="8"/>
  <c r="U764" i="5"/>
  <c r="S763" i="8"/>
  <c r="S763" i="5"/>
  <c r="R762" i="8"/>
  <c r="R762" i="5"/>
  <c r="U760" i="8"/>
  <c r="U760" i="5"/>
  <c r="S759" i="8"/>
  <c r="S759" i="5"/>
  <c r="R758" i="8"/>
  <c r="R758" i="5"/>
  <c r="U756" i="8"/>
  <c r="U756" i="5"/>
  <c r="S755" i="8"/>
  <c r="S755" i="5"/>
  <c r="U752" i="8"/>
  <c r="U752" i="5"/>
  <c r="S751" i="8"/>
  <c r="S751" i="5"/>
  <c r="R750" i="8"/>
  <c r="R750" i="5"/>
  <c r="U748" i="8"/>
  <c r="U748" i="5"/>
  <c r="S747" i="8"/>
  <c r="S747" i="5"/>
  <c r="R746" i="8"/>
  <c r="R746" i="5"/>
  <c r="U744" i="8"/>
  <c r="U744" i="5"/>
  <c r="S743" i="8"/>
  <c r="S743" i="5"/>
  <c r="U740" i="8"/>
  <c r="U740" i="5"/>
  <c r="S739" i="8"/>
  <c r="S739" i="5"/>
  <c r="R738" i="8"/>
  <c r="R738" i="5"/>
  <c r="Q733" i="8"/>
  <c r="Q733" i="5"/>
  <c r="P732" i="8"/>
  <c r="P732" i="5"/>
  <c r="U720" i="8"/>
  <c r="U720" i="5"/>
  <c r="S719" i="8"/>
  <c r="S719" i="5"/>
  <c r="R718" i="8"/>
  <c r="R718" i="5"/>
  <c r="U716" i="8"/>
  <c r="U716" i="5"/>
  <c r="S715" i="8"/>
  <c r="S715" i="5"/>
  <c r="R714" i="8"/>
  <c r="R714" i="5"/>
  <c r="U712" i="8"/>
  <c r="U712" i="5"/>
  <c r="S711" i="8"/>
  <c r="S711" i="5"/>
  <c r="R710" i="8"/>
  <c r="R710" i="5"/>
  <c r="U708" i="8"/>
  <c r="U708" i="5"/>
  <c r="S707" i="8"/>
  <c r="S707" i="5"/>
  <c r="U704" i="8"/>
  <c r="U704" i="5"/>
  <c r="S703" i="8"/>
  <c r="S703" i="5"/>
  <c r="R702" i="8"/>
  <c r="R702" i="5"/>
  <c r="U700" i="8"/>
  <c r="U700" i="5"/>
  <c r="S699" i="8"/>
  <c r="S699" i="5"/>
  <c r="R698" i="8"/>
  <c r="R698" i="5"/>
  <c r="U696" i="8"/>
  <c r="U696" i="5"/>
  <c r="S695" i="8"/>
  <c r="S695" i="5"/>
  <c r="R694" i="8"/>
  <c r="R694" i="5"/>
  <c r="U692" i="8"/>
  <c r="U692" i="5"/>
  <c r="S691" i="8"/>
  <c r="S691" i="5"/>
  <c r="R690" i="8"/>
  <c r="R690" i="5"/>
  <c r="U688" i="8"/>
  <c r="U688" i="5"/>
  <c r="S687" i="8"/>
  <c r="S687" i="5"/>
  <c r="U684" i="8"/>
  <c r="U684" i="5"/>
  <c r="S683" i="8"/>
  <c r="S683" i="5"/>
  <c r="U680" i="8"/>
  <c r="U680" i="5"/>
  <c r="S679" i="8"/>
  <c r="S679" i="5"/>
  <c r="U676" i="8"/>
  <c r="U676" i="5"/>
  <c r="S675" i="8"/>
  <c r="S675" i="5"/>
  <c r="R674" i="8"/>
  <c r="R674" i="5"/>
  <c r="U672" i="8"/>
  <c r="U672" i="5"/>
  <c r="S671" i="8"/>
  <c r="S671" i="5"/>
  <c r="R670" i="8"/>
  <c r="R670" i="5"/>
  <c r="U668" i="8"/>
  <c r="U668" i="5"/>
  <c r="S667" i="8"/>
  <c r="S667" i="5"/>
  <c r="R666" i="8"/>
  <c r="R666" i="5"/>
  <c r="U664" i="8"/>
  <c r="U664" i="5"/>
  <c r="S663" i="8"/>
  <c r="S663" i="5"/>
  <c r="U660" i="8"/>
  <c r="U660" i="5"/>
  <c r="S659" i="8"/>
  <c r="S659" i="5"/>
  <c r="U656" i="8"/>
  <c r="U656" i="5"/>
  <c r="S655" i="8"/>
  <c r="S655" i="5"/>
  <c r="R654" i="8"/>
  <c r="R654" i="5"/>
  <c r="U652" i="8"/>
  <c r="U652" i="5"/>
  <c r="S651" i="8"/>
  <c r="S651" i="5"/>
  <c r="R650" i="8"/>
  <c r="R650" i="5"/>
  <c r="U648" i="8"/>
  <c r="U648" i="5"/>
  <c r="S647" i="8"/>
  <c r="S647" i="5"/>
  <c r="U644" i="8"/>
  <c r="U644" i="5"/>
  <c r="S643" i="8"/>
  <c r="S643" i="5"/>
  <c r="R642" i="8"/>
  <c r="R642" i="5"/>
  <c r="U640" i="8"/>
  <c r="U640" i="5"/>
  <c r="S639" i="8"/>
  <c r="S639" i="5"/>
  <c r="R638" i="8"/>
  <c r="R638" i="5"/>
  <c r="U636" i="8"/>
  <c r="U636" i="5"/>
  <c r="S635" i="8"/>
  <c r="S635" i="5"/>
  <c r="R634" i="8"/>
  <c r="R634" i="5"/>
  <c r="U632" i="8"/>
  <c r="U632" i="5"/>
  <c r="S631" i="8"/>
  <c r="S631" i="5"/>
  <c r="U628" i="8"/>
  <c r="U628" i="5"/>
  <c r="S627" i="8"/>
  <c r="S627" i="5"/>
  <c r="R626" i="8"/>
  <c r="R626" i="5"/>
  <c r="U624" i="8"/>
  <c r="U624" i="5"/>
  <c r="S623" i="8"/>
  <c r="S623" i="5"/>
  <c r="U620" i="8"/>
  <c r="U620" i="5"/>
  <c r="S619" i="8"/>
  <c r="S619" i="5"/>
  <c r="U616" i="8"/>
  <c r="U616" i="5"/>
  <c r="S615" i="8"/>
  <c r="S615" i="5"/>
  <c r="U612" i="8"/>
  <c r="U612" i="5"/>
  <c r="S611" i="8"/>
  <c r="S611" i="5"/>
  <c r="R610" i="8"/>
  <c r="R610" i="5"/>
  <c r="U608" i="8"/>
  <c r="U608" i="5"/>
  <c r="S607" i="8"/>
  <c r="S607" i="5"/>
  <c r="R606" i="8"/>
  <c r="R606" i="5"/>
  <c r="U604" i="8"/>
  <c r="U604" i="5"/>
  <c r="S603" i="8"/>
  <c r="S603" i="5"/>
  <c r="U600" i="8"/>
  <c r="U600" i="5"/>
  <c r="S599" i="8"/>
  <c r="S599" i="5"/>
  <c r="U596" i="8"/>
  <c r="U596" i="5"/>
  <c r="S595" i="8"/>
  <c r="S595" i="5"/>
  <c r="R594" i="8"/>
  <c r="R594" i="5"/>
  <c r="U592" i="8"/>
  <c r="U592" i="5"/>
  <c r="S591" i="8"/>
  <c r="S591" i="5"/>
  <c r="R590" i="8"/>
  <c r="R590" i="5"/>
  <c r="U588" i="8"/>
  <c r="U588" i="5"/>
  <c r="S587" i="8"/>
  <c r="S587" i="5"/>
  <c r="R586" i="8"/>
  <c r="R586" i="5"/>
  <c r="U584" i="8"/>
  <c r="U584" i="5"/>
  <c r="S583" i="8"/>
  <c r="S583" i="5"/>
  <c r="U580" i="8"/>
  <c r="U580" i="5"/>
  <c r="S579" i="8"/>
  <c r="S579" i="5"/>
  <c r="R578" i="8"/>
  <c r="R578" i="5"/>
  <c r="U576" i="8"/>
  <c r="U576" i="5"/>
  <c r="S575" i="8"/>
  <c r="S575" i="5"/>
  <c r="R574" i="8"/>
  <c r="R574" i="5"/>
  <c r="U572" i="8"/>
  <c r="U572" i="5"/>
  <c r="S571" i="8"/>
  <c r="S571" i="5"/>
  <c r="U568" i="8"/>
  <c r="U568" i="5"/>
  <c r="S567" i="8"/>
  <c r="S567" i="5"/>
  <c r="U564" i="8"/>
  <c r="U564" i="5"/>
  <c r="S563" i="8"/>
  <c r="S563" i="5"/>
  <c r="U560" i="8"/>
  <c r="U560" i="5"/>
  <c r="S559" i="8"/>
  <c r="S559" i="5"/>
  <c r="R558" i="8"/>
  <c r="R558" i="5"/>
  <c r="U556" i="8"/>
  <c r="U556" i="5"/>
  <c r="S555" i="8"/>
  <c r="S555" i="5"/>
  <c r="R554" i="8"/>
  <c r="R554" i="5"/>
  <c r="U552" i="8"/>
  <c r="U552" i="5"/>
  <c r="S551" i="8"/>
  <c r="S551" i="5"/>
  <c r="U548" i="8"/>
  <c r="U548" i="5"/>
  <c r="S547" i="8"/>
  <c r="S547" i="5"/>
  <c r="R546" i="8"/>
  <c r="R546" i="5"/>
  <c r="U544" i="8"/>
  <c r="U544" i="5"/>
  <c r="S543" i="8"/>
  <c r="S543" i="5"/>
  <c r="U540" i="8"/>
  <c r="U540" i="5"/>
  <c r="S539" i="8"/>
  <c r="S539" i="5"/>
  <c r="U536" i="8"/>
  <c r="U536" i="5"/>
  <c r="S535" i="8"/>
  <c r="S535" i="5"/>
  <c r="U532" i="8"/>
  <c r="U532" i="5"/>
  <c r="S531" i="8"/>
  <c r="S531" i="5"/>
  <c r="R530" i="8"/>
  <c r="R530" i="5"/>
  <c r="U528" i="8"/>
  <c r="U528" i="5"/>
  <c r="S527" i="8"/>
  <c r="S527" i="5"/>
  <c r="R526" i="8"/>
  <c r="R526" i="5"/>
  <c r="U524" i="8"/>
  <c r="U524" i="5"/>
  <c r="S523" i="8"/>
  <c r="S523" i="5"/>
  <c r="U520" i="8"/>
  <c r="U520" i="5"/>
  <c r="S519" i="8"/>
  <c r="S519" i="5"/>
  <c r="U516" i="8"/>
  <c r="U516" i="5"/>
  <c r="S515" i="8"/>
  <c r="S515" i="5"/>
  <c r="R514" i="8"/>
  <c r="R514" i="5"/>
  <c r="U512" i="8"/>
  <c r="U512" i="5"/>
  <c r="S511" i="8"/>
  <c r="S511" i="5"/>
  <c r="U508" i="8"/>
  <c r="U508" i="5"/>
  <c r="S507" i="8"/>
  <c r="S507" i="5"/>
  <c r="U504" i="8"/>
  <c r="U504" i="5"/>
  <c r="S503" i="8"/>
  <c r="S503" i="5"/>
  <c r="U500" i="8"/>
  <c r="U500" i="5"/>
  <c r="S499" i="8"/>
  <c r="S499" i="5"/>
  <c r="R498" i="8"/>
  <c r="R498" i="5"/>
  <c r="U496" i="8"/>
  <c r="U496" i="5"/>
  <c r="S495" i="8"/>
  <c r="S495" i="5"/>
  <c r="U492" i="8"/>
  <c r="U492" i="5"/>
  <c r="S491" i="8"/>
  <c r="S491" i="5"/>
  <c r="U488" i="8"/>
  <c r="U488" i="5"/>
  <c r="S487" i="8"/>
  <c r="S487" i="5"/>
  <c r="U484" i="8"/>
  <c r="U484" i="5"/>
  <c r="S483" i="8"/>
  <c r="S483" i="5"/>
  <c r="U480" i="8"/>
  <c r="U480" i="5"/>
  <c r="S479" i="8"/>
  <c r="S479" i="5"/>
  <c r="R478" i="8"/>
  <c r="R478" i="5"/>
  <c r="U476" i="8"/>
  <c r="U476" i="5"/>
  <c r="S475" i="8"/>
  <c r="S475" i="5"/>
  <c r="U472" i="8"/>
  <c r="U472" i="5"/>
  <c r="S471" i="8"/>
  <c r="S471" i="5"/>
  <c r="U468" i="8"/>
  <c r="U468" i="5"/>
  <c r="S467" i="8"/>
  <c r="S467" i="5"/>
  <c r="R466" i="8"/>
  <c r="R466" i="5"/>
  <c r="U464" i="8"/>
  <c r="U464" i="5"/>
  <c r="S463" i="8"/>
  <c r="S463" i="5"/>
  <c r="R462" i="8"/>
  <c r="R462" i="5"/>
  <c r="U460" i="8"/>
  <c r="U460" i="5"/>
  <c r="S459" i="8"/>
  <c r="S459" i="5"/>
  <c r="U456" i="8"/>
  <c r="U456" i="5"/>
  <c r="S455" i="8"/>
  <c r="S455" i="5"/>
  <c r="U452" i="8"/>
  <c r="U452" i="5"/>
  <c r="S451" i="8"/>
  <c r="S451" i="5"/>
  <c r="U448" i="8"/>
  <c r="U448" i="5"/>
  <c r="S447" i="8"/>
  <c r="S447" i="5"/>
  <c r="U444" i="8"/>
  <c r="U444" i="5"/>
  <c r="S443" i="8"/>
  <c r="S443" i="5"/>
  <c r="U440" i="8"/>
  <c r="U440" i="5"/>
  <c r="S439" i="8"/>
  <c r="S439" i="5"/>
  <c r="U436" i="8"/>
  <c r="U436" i="5"/>
  <c r="S435" i="8"/>
  <c r="S435" i="5"/>
  <c r="U432" i="8"/>
  <c r="U432" i="5"/>
  <c r="S431" i="8"/>
  <c r="S431" i="5"/>
  <c r="U428" i="8"/>
  <c r="U428" i="5"/>
  <c r="S427" i="8"/>
  <c r="S427" i="5"/>
  <c r="U424" i="8"/>
  <c r="U424" i="5"/>
  <c r="S423" i="8"/>
  <c r="S423" i="5"/>
  <c r="U420" i="8"/>
  <c r="U420" i="5"/>
  <c r="S419" i="8"/>
  <c r="S419" i="5"/>
  <c r="U416" i="8"/>
  <c r="U416" i="5"/>
  <c r="S415" i="8"/>
  <c r="S415" i="5"/>
  <c r="U412" i="8"/>
  <c r="U412" i="5"/>
  <c r="S411" i="8"/>
  <c r="S411" i="5"/>
  <c r="U408" i="8"/>
  <c r="U408" i="5"/>
  <c r="S407" i="8"/>
  <c r="S407" i="5"/>
  <c r="U404" i="8"/>
  <c r="U404" i="5"/>
  <c r="S403" i="8"/>
  <c r="S403" i="5"/>
  <c r="R402" i="8"/>
  <c r="R402" i="5"/>
  <c r="U400" i="8"/>
  <c r="U400" i="5"/>
  <c r="S399" i="8"/>
  <c r="S399" i="5"/>
  <c r="U396" i="8"/>
  <c r="U396" i="5"/>
  <c r="S395" i="8"/>
  <c r="S395" i="5"/>
  <c r="U392" i="8"/>
  <c r="U392" i="5"/>
  <c r="S391" i="8"/>
  <c r="S391" i="5"/>
  <c r="U388" i="8"/>
  <c r="U388" i="5"/>
  <c r="S387" i="8"/>
  <c r="S387" i="5"/>
  <c r="R386" i="8"/>
  <c r="R386" i="5"/>
  <c r="U384" i="8"/>
  <c r="U384" i="5"/>
  <c r="S383" i="8"/>
  <c r="S383" i="5"/>
  <c r="U380" i="8"/>
  <c r="U380" i="5"/>
  <c r="S379" i="8"/>
  <c r="S379" i="5"/>
  <c r="U376" i="8"/>
  <c r="U376" i="5"/>
  <c r="S375" i="8"/>
  <c r="S375" i="5"/>
  <c r="U372" i="8"/>
  <c r="U372" i="5"/>
  <c r="S371" i="8"/>
  <c r="S371" i="5"/>
  <c r="U368" i="8"/>
  <c r="U368" i="5"/>
  <c r="S367" i="8"/>
  <c r="S367" i="5"/>
  <c r="U364" i="8"/>
  <c r="U364" i="5"/>
  <c r="S363" i="8"/>
  <c r="S363" i="5"/>
  <c r="U360" i="8"/>
  <c r="U360" i="5"/>
  <c r="S359" i="8"/>
  <c r="S359" i="5"/>
  <c r="U356" i="8"/>
  <c r="U356" i="5"/>
  <c r="S355" i="8"/>
  <c r="S355" i="5"/>
  <c r="U352" i="8"/>
  <c r="U352" i="5"/>
  <c r="S351" i="8"/>
  <c r="S351" i="5"/>
  <c r="U348" i="8"/>
  <c r="U348" i="5"/>
  <c r="S347" i="8"/>
  <c r="S347" i="5"/>
  <c r="U344" i="8"/>
  <c r="U344" i="5"/>
  <c r="S343" i="8"/>
  <c r="S343" i="5"/>
  <c r="U340" i="8"/>
  <c r="U340" i="5"/>
  <c r="S339" i="8"/>
  <c r="S339" i="5"/>
  <c r="U336" i="8"/>
  <c r="U336" i="5"/>
  <c r="S335" i="8"/>
  <c r="S335" i="5"/>
  <c r="U332" i="8"/>
  <c r="U332" i="5"/>
  <c r="S331" i="8"/>
  <c r="S331" i="5"/>
  <c r="U328" i="8"/>
  <c r="U328" i="5"/>
  <c r="S327" i="8"/>
  <c r="S327" i="5"/>
  <c r="U324" i="8"/>
  <c r="U324" i="5"/>
  <c r="S323" i="8"/>
  <c r="S323" i="5"/>
  <c r="U320" i="8"/>
  <c r="U320" i="5"/>
  <c r="S319" i="8"/>
  <c r="S319" i="5"/>
  <c r="U316" i="8"/>
  <c r="U316" i="5"/>
  <c r="S315" i="8"/>
  <c r="S315" i="5"/>
  <c r="U312" i="8"/>
  <c r="U312" i="5"/>
  <c r="S311" i="8"/>
  <c r="S311" i="5"/>
  <c r="U308" i="8"/>
  <c r="U308" i="5"/>
  <c r="S307" i="8"/>
  <c r="S307" i="5"/>
  <c r="U304" i="8"/>
  <c r="U304" i="5"/>
  <c r="S303" i="8"/>
  <c r="S303" i="5"/>
  <c r="U300" i="8"/>
  <c r="U300" i="5"/>
  <c r="S299" i="8"/>
  <c r="S299" i="5"/>
  <c r="U296" i="8"/>
  <c r="U296" i="5"/>
  <c r="S295" i="8"/>
  <c r="S295" i="5"/>
  <c r="U292" i="8"/>
  <c r="U292" i="5"/>
  <c r="S291" i="8"/>
  <c r="S291" i="5"/>
  <c r="R290" i="8"/>
  <c r="R290" i="5"/>
  <c r="U288" i="8"/>
  <c r="U288" i="5"/>
  <c r="S287" i="8"/>
  <c r="S287" i="5"/>
  <c r="R286" i="8"/>
  <c r="R286" i="5"/>
  <c r="U284" i="8"/>
  <c r="U284" i="5"/>
  <c r="S283" i="8"/>
  <c r="S283" i="5"/>
  <c r="U280" i="8"/>
  <c r="U280" i="5"/>
  <c r="S279" i="8"/>
  <c r="S279" i="5"/>
  <c r="U276" i="8"/>
  <c r="U276" i="5"/>
  <c r="S275" i="8"/>
  <c r="S275" i="5"/>
  <c r="R274" i="8"/>
  <c r="R274" i="5"/>
  <c r="U272" i="8"/>
  <c r="U272" i="5"/>
  <c r="S271" i="8"/>
  <c r="S271" i="5"/>
  <c r="U268" i="8"/>
  <c r="U268" i="5"/>
  <c r="S267" i="8"/>
  <c r="S267" i="5"/>
  <c r="U264" i="8"/>
  <c r="U264" i="5"/>
  <c r="S263" i="8"/>
  <c r="S263" i="5"/>
  <c r="U260" i="8"/>
  <c r="U260" i="5"/>
  <c r="S259" i="8"/>
  <c r="S259" i="5"/>
  <c r="U256" i="8"/>
  <c r="U256" i="5"/>
  <c r="S255" i="8"/>
  <c r="S255" i="5"/>
  <c r="U252" i="8"/>
  <c r="U252" i="5"/>
  <c r="S251" i="8"/>
  <c r="S251" i="5"/>
  <c r="U248" i="8"/>
  <c r="U248" i="5"/>
  <c r="S247" i="8"/>
  <c r="S247" i="5"/>
  <c r="U244" i="8"/>
  <c r="U244" i="5"/>
  <c r="S243" i="8"/>
  <c r="S243" i="5"/>
  <c r="R242" i="8"/>
  <c r="R242" i="5"/>
  <c r="U240" i="8"/>
  <c r="U240" i="5"/>
  <c r="S239" i="8"/>
  <c r="S239" i="5"/>
  <c r="R238" i="8"/>
  <c r="R238" i="5"/>
  <c r="U236" i="8"/>
  <c r="U236" i="5"/>
  <c r="S235" i="8"/>
  <c r="S235" i="5"/>
  <c r="U232" i="8"/>
  <c r="U232" i="5"/>
  <c r="S231" i="8"/>
  <c r="S231" i="5"/>
  <c r="U228" i="8"/>
  <c r="U228" i="5"/>
  <c r="S227" i="8"/>
  <c r="S227" i="5"/>
  <c r="U224" i="8"/>
  <c r="U224" i="5"/>
  <c r="S223" i="8"/>
  <c r="S223" i="5"/>
  <c r="U220" i="8"/>
  <c r="U220" i="5"/>
  <c r="S219" i="8"/>
  <c r="S219" i="5"/>
  <c r="U216" i="8"/>
  <c r="U216" i="5"/>
  <c r="S215" i="8"/>
  <c r="S215" i="5"/>
  <c r="U212" i="8"/>
  <c r="U212" i="5"/>
  <c r="S211" i="8"/>
  <c r="S211" i="5"/>
  <c r="U208" i="8"/>
  <c r="U208" i="5"/>
  <c r="S207" i="8"/>
  <c r="S207" i="5"/>
  <c r="U204" i="8"/>
  <c r="U204" i="5"/>
  <c r="S203" i="8"/>
  <c r="S203" i="5"/>
  <c r="U200" i="8"/>
  <c r="U200" i="5"/>
  <c r="S199" i="8"/>
  <c r="S199" i="5"/>
  <c r="U196" i="8"/>
  <c r="U196" i="5"/>
  <c r="S195" i="8"/>
  <c r="S195" i="5"/>
  <c r="U192" i="8"/>
  <c r="U192" i="5"/>
  <c r="S191" i="8"/>
  <c r="S191" i="5"/>
  <c r="U188" i="8"/>
  <c r="U188" i="5"/>
  <c r="S187" i="8"/>
  <c r="S187" i="5"/>
  <c r="U184" i="8"/>
  <c r="U184" i="5"/>
  <c r="S183" i="8"/>
  <c r="S183" i="5"/>
  <c r="U180" i="8"/>
  <c r="U180" i="5"/>
  <c r="S179" i="8"/>
  <c r="S179" i="5"/>
  <c r="U176" i="8"/>
  <c r="U176" i="5"/>
  <c r="S175" i="8"/>
  <c r="S175" i="5"/>
  <c r="U172" i="8"/>
  <c r="U172" i="5"/>
  <c r="S171" i="8"/>
  <c r="S171" i="5"/>
  <c r="U168" i="8"/>
  <c r="U168" i="5"/>
  <c r="S167" i="8"/>
  <c r="S167" i="5"/>
  <c r="R166" i="8"/>
  <c r="R166" i="5"/>
  <c r="U164" i="8"/>
  <c r="U164" i="5"/>
  <c r="S163" i="8"/>
  <c r="S163" i="5"/>
  <c r="U160" i="8"/>
  <c r="U160" i="5"/>
  <c r="S159" i="8"/>
  <c r="S159" i="5"/>
  <c r="U156" i="8"/>
  <c r="U156" i="5"/>
  <c r="S155" i="8"/>
  <c r="S155" i="5"/>
  <c r="U152" i="8"/>
  <c r="U152" i="5"/>
  <c r="S151" i="8"/>
  <c r="S151" i="5"/>
  <c r="U148" i="8"/>
  <c r="U148" i="5"/>
  <c r="S147" i="8"/>
  <c r="S147" i="5"/>
  <c r="U144" i="8"/>
  <c r="U144" i="5"/>
  <c r="S143" i="8"/>
  <c r="S143" i="5"/>
  <c r="U140" i="8"/>
  <c r="U140" i="5"/>
  <c r="S139" i="8"/>
  <c r="S139" i="5"/>
  <c r="U136" i="8"/>
  <c r="U136" i="5"/>
  <c r="S135" i="8"/>
  <c r="S135" i="5"/>
  <c r="R134" i="8"/>
  <c r="R134" i="5"/>
  <c r="U132" i="8"/>
  <c r="U132" i="5"/>
  <c r="S131" i="8"/>
  <c r="S131" i="5"/>
  <c r="R130" i="8"/>
  <c r="R130" i="5"/>
  <c r="U128" i="8"/>
  <c r="U128" i="5"/>
  <c r="S127" i="8"/>
  <c r="S127" i="5"/>
  <c r="U124" i="8"/>
  <c r="U124" i="5"/>
  <c r="S123" i="8"/>
  <c r="S123" i="5"/>
  <c r="U120" i="8"/>
  <c r="U120" i="5"/>
  <c r="S119" i="8"/>
  <c r="S119" i="5"/>
  <c r="U116" i="8"/>
  <c r="U116" i="5"/>
  <c r="S115" i="8"/>
  <c r="S115" i="5"/>
  <c r="R114" i="8"/>
  <c r="R114" i="5"/>
  <c r="U112" i="8"/>
  <c r="U112" i="5"/>
  <c r="S111" i="8"/>
  <c r="S111" i="5"/>
  <c r="U108" i="8"/>
  <c r="U108" i="5"/>
  <c r="S107" i="8"/>
  <c r="S107" i="5"/>
  <c r="U104" i="8"/>
  <c r="U104" i="5"/>
  <c r="S103" i="8"/>
  <c r="S103" i="5"/>
  <c r="U100" i="8"/>
  <c r="U100" i="5"/>
  <c r="S99" i="8"/>
  <c r="S99" i="5"/>
  <c r="U96" i="8"/>
  <c r="U96" i="5"/>
  <c r="S95" i="8"/>
  <c r="S95" i="5"/>
  <c r="R94" i="8"/>
  <c r="R94" i="5"/>
  <c r="U92" i="8"/>
  <c r="U92" i="5"/>
  <c r="S91" i="8"/>
  <c r="S91" i="5"/>
  <c r="U88" i="8"/>
  <c r="U88" i="5"/>
  <c r="S87" i="8"/>
  <c r="S87" i="5"/>
  <c r="R86" i="8"/>
  <c r="R86" i="5"/>
  <c r="U84" i="8"/>
  <c r="U84" i="5"/>
  <c r="S83" i="8"/>
  <c r="S83" i="5"/>
  <c r="R82" i="8"/>
  <c r="R82" i="5"/>
  <c r="U80" i="8"/>
  <c r="U80" i="5"/>
  <c r="S79" i="8"/>
  <c r="S79" i="5"/>
  <c r="U76" i="8"/>
  <c r="U76" i="5"/>
  <c r="S75" i="8"/>
  <c r="S75" i="5"/>
  <c r="U72" i="8"/>
  <c r="U72" i="5"/>
  <c r="S71" i="8"/>
  <c r="S71" i="5"/>
  <c r="U68" i="8"/>
  <c r="U68" i="5"/>
  <c r="S67" i="8"/>
  <c r="S67" i="5"/>
  <c r="R66" i="8"/>
  <c r="R66" i="5"/>
  <c r="U64" i="8"/>
  <c r="U64" i="5"/>
  <c r="S63" i="8"/>
  <c r="S63" i="5"/>
  <c r="R62" i="8"/>
  <c r="R62" i="5"/>
  <c r="U60" i="8"/>
  <c r="U60" i="5"/>
  <c r="S59" i="8"/>
  <c r="S59" i="5"/>
  <c r="U56" i="8"/>
  <c r="U56" i="5"/>
  <c r="S55" i="8"/>
  <c r="S55" i="5"/>
  <c r="U52" i="8"/>
  <c r="U52" i="5"/>
  <c r="S51" i="8"/>
  <c r="S51" i="5"/>
  <c r="Q821" i="8"/>
  <c r="Q821" i="5"/>
  <c r="T820" i="8"/>
  <c r="T820" i="5"/>
  <c r="P820" i="8"/>
  <c r="P820" i="5"/>
  <c r="Q817" i="8"/>
  <c r="Q817" i="5"/>
  <c r="T816" i="8"/>
  <c r="T816" i="5"/>
  <c r="P816" i="8"/>
  <c r="P816" i="5"/>
  <c r="Q813" i="8"/>
  <c r="Q813" i="5"/>
  <c r="T812" i="8"/>
  <c r="T812" i="5"/>
  <c r="P812" i="8"/>
  <c r="P812" i="5"/>
  <c r="Q809" i="8"/>
  <c r="Q809" i="5"/>
  <c r="T808" i="8"/>
  <c r="T808" i="5"/>
  <c r="P808" i="8"/>
  <c r="P808" i="5"/>
  <c r="Q805" i="8"/>
  <c r="Q805" i="5"/>
  <c r="P804" i="8"/>
  <c r="P804" i="5"/>
  <c r="Q801" i="8"/>
  <c r="Q801" i="5"/>
  <c r="T800" i="8"/>
  <c r="T800" i="5"/>
  <c r="P800" i="8"/>
  <c r="P800" i="5"/>
  <c r="Q797" i="8"/>
  <c r="Q797" i="5"/>
  <c r="T796" i="8"/>
  <c r="T796" i="5"/>
  <c r="P796" i="8"/>
  <c r="P796" i="5"/>
  <c r="Q793" i="8"/>
  <c r="Q793" i="5"/>
  <c r="T792" i="8"/>
  <c r="T792" i="5"/>
  <c r="P792" i="8"/>
  <c r="P792" i="5"/>
  <c r="Q789" i="8"/>
  <c r="Q789" i="5"/>
  <c r="P788" i="8"/>
  <c r="P788" i="5"/>
  <c r="Q785" i="8"/>
  <c r="Q785" i="5"/>
  <c r="T784" i="8"/>
  <c r="T784" i="5"/>
  <c r="P784" i="8"/>
  <c r="P784" i="5"/>
  <c r="Q781" i="8"/>
  <c r="Q781" i="5"/>
  <c r="T780" i="8"/>
  <c r="T780" i="5"/>
  <c r="P780" i="8"/>
  <c r="P780" i="5"/>
  <c r="Q777" i="8"/>
  <c r="Q777" i="5"/>
  <c r="T776" i="8"/>
  <c r="T776" i="5"/>
  <c r="P776" i="8"/>
  <c r="P776" i="5"/>
  <c r="Q773" i="8"/>
  <c r="Q773" i="5"/>
  <c r="P772" i="8"/>
  <c r="P772" i="5"/>
  <c r="Q769" i="8"/>
  <c r="Q769" i="5"/>
  <c r="T768" i="8"/>
  <c r="T768" i="5"/>
  <c r="P768" i="8"/>
  <c r="P768" i="5"/>
  <c r="Q765" i="8"/>
  <c r="Q765" i="5"/>
  <c r="T764" i="8"/>
  <c r="T764" i="5"/>
  <c r="P764" i="8"/>
  <c r="P764" i="5"/>
  <c r="Q761" i="8"/>
  <c r="Q761" i="5"/>
  <c r="T760" i="8"/>
  <c r="T760" i="5"/>
  <c r="P760" i="8"/>
  <c r="P760" i="5"/>
  <c r="Q757" i="8"/>
  <c r="Q757" i="5"/>
  <c r="T756" i="8"/>
  <c r="T756" i="5"/>
  <c r="P756" i="8"/>
  <c r="P756" i="5"/>
  <c r="Q753" i="8"/>
  <c r="Q753" i="5"/>
  <c r="T752" i="8"/>
  <c r="T752" i="5"/>
  <c r="P752" i="8"/>
  <c r="P752" i="5"/>
  <c r="Q749" i="8"/>
  <c r="Q749" i="5"/>
  <c r="T748" i="8"/>
  <c r="T748" i="5"/>
  <c r="P748" i="8"/>
  <c r="P748" i="5"/>
  <c r="Q745" i="8"/>
  <c r="Q745" i="5"/>
  <c r="T744" i="8"/>
  <c r="T744" i="5"/>
  <c r="P744" i="8"/>
  <c r="P744" i="5"/>
  <c r="Q741" i="8"/>
  <c r="Q741" i="5"/>
  <c r="P740" i="8"/>
  <c r="P740" i="5"/>
  <c r="Q737" i="8"/>
  <c r="Q737" i="5"/>
  <c r="R729" i="8"/>
  <c r="R729" i="5"/>
  <c r="Q721" i="8"/>
  <c r="Q721" i="5"/>
  <c r="T720" i="8"/>
  <c r="T720" i="5"/>
  <c r="P720" i="8"/>
  <c r="P720" i="5"/>
  <c r="Q717" i="8"/>
  <c r="Q717" i="5"/>
  <c r="T716" i="8"/>
  <c r="T716" i="5"/>
  <c r="P716" i="8"/>
  <c r="P716" i="5"/>
  <c r="Q713" i="8"/>
  <c r="Q713" i="5"/>
  <c r="T712" i="8"/>
  <c r="T712" i="5"/>
  <c r="P712" i="8"/>
  <c r="P712" i="5"/>
  <c r="Q709" i="8"/>
  <c r="Q709" i="5"/>
  <c r="P708" i="8"/>
  <c r="P708" i="5"/>
  <c r="Q705" i="8"/>
  <c r="Q705" i="5"/>
  <c r="T704" i="8"/>
  <c r="T704" i="5"/>
  <c r="P704" i="8"/>
  <c r="P704" i="5"/>
  <c r="Q701" i="8"/>
  <c r="Q701" i="5"/>
  <c r="T700" i="8"/>
  <c r="T700" i="5"/>
  <c r="P700" i="8"/>
  <c r="P700" i="5"/>
  <c r="Q697" i="8"/>
  <c r="Q697" i="5"/>
  <c r="T696" i="8"/>
  <c r="T696" i="5"/>
  <c r="P696" i="8"/>
  <c r="P696" i="5"/>
  <c r="Q693" i="8"/>
  <c r="Q693" i="5"/>
  <c r="P692" i="8"/>
  <c r="P692" i="5"/>
  <c r="Q689" i="8"/>
  <c r="Q689" i="5"/>
  <c r="P688" i="8"/>
  <c r="P688" i="5"/>
  <c r="Q685" i="8"/>
  <c r="Q685" i="5"/>
  <c r="P684" i="8"/>
  <c r="P684" i="5"/>
  <c r="Q681" i="8"/>
  <c r="Q681" i="5"/>
  <c r="P680" i="8"/>
  <c r="P680" i="5"/>
  <c r="Q677" i="8"/>
  <c r="Q677" i="5"/>
  <c r="P676" i="8"/>
  <c r="P676" i="5"/>
  <c r="Q673" i="8"/>
  <c r="Q673" i="5"/>
  <c r="T672" i="8"/>
  <c r="T672" i="5"/>
  <c r="P672" i="8"/>
  <c r="P672" i="5"/>
  <c r="Q669" i="8"/>
  <c r="Q669" i="5"/>
  <c r="T668" i="8"/>
  <c r="T668" i="5"/>
  <c r="P668" i="8"/>
  <c r="P668" i="5"/>
  <c r="Q665" i="8"/>
  <c r="Q665" i="5"/>
  <c r="P664" i="8"/>
  <c r="P664" i="5"/>
  <c r="Q661" i="8"/>
  <c r="Q661" i="5"/>
  <c r="P660" i="8"/>
  <c r="P660" i="5"/>
  <c r="Q657" i="8"/>
  <c r="Q657" i="5"/>
  <c r="T656" i="8"/>
  <c r="T656" i="5"/>
  <c r="P656" i="8"/>
  <c r="P656" i="5"/>
  <c r="Q653" i="8"/>
  <c r="Q653" i="5"/>
  <c r="T652" i="8"/>
  <c r="T652" i="5"/>
  <c r="P652" i="8"/>
  <c r="P652" i="5"/>
  <c r="Q649" i="8"/>
  <c r="Q649" i="5"/>
  <c r="T648" i="8"/>
  <c r="T648" i="5"/>
  <c r="P648" i="8"/>
  <c r="P648" i="5"/>
  <c r="Q645" i="8"/>
  <c r="Q645" i="5"/>
  <c r="P644" i="8"/>
  <c r="P644" i="5"/>
  <c r="Q641" i="8"/>
  <c r="Q641" i="5"/>
  <c r="T640" i="8"/>
  <c r="T640" i="5"/>
  <c r="P640" i="8"/>
  <c r="P640" i="5"/>
  <c r="Q637" i="8"/>
  <c r="Q637" i="5"/>
  <c r="T636" i="8"/>
  <c r="T636" i="5"/>
  <c r="P636" i="8"/>
  <c r="P636" i="5"/>
  <c r="Q633" i="8"/>
  <c r="Q633" i="5"/>
  <c r="T632" i="8"/>
  <c r="T632" i="5"/>
  <c r="P632" i="8"/>
  <c r="P632" i="5"/>
  <c r="Q629" i="8"/>
  <c r="Q629" i="5"/>
  <c r="P628" i="8"/>
  <c r="P628" i="5"/>
  <c r="Q625" i="8"/>
  <c r="Q625" i="5"/>
  <c r="P624" i="8"/>
  <c r="P624" i="5"/>
  <c r="Q621" i="8"/>
  <c r="Q621" i="5"/>
  <c r="P620" i="8"/>
  <c r="P620" i="5"/>
  <c r="Q617" i="8"/>
  <c r="Q617" i="5"/>
  <c r="P616" i="8"/>
  <c r="P616" i="5"/>
  <c r="Q613" i="8"/>
  <c r="Q613" i="5"/>
  <c r="P612" i="8"/>
  <c r="P612" i="5"/>
  <c r="Q609" i="8"/>
  <c r="Q609" i="5"/>
  <c r="T608" i="8"/>
  <c r="T608" i="5"/>
  <c r="P608" i="8"/>
  <c r="P608" i="5"/>
  <c r="Q605" i="8"/>
  <c r="Q605" i="5"/>
  <c r="T604" i="8"/>
  <c r="T604" i="5"/>
  <c r="P604" i="8"/>
  <c r="P604" i="5"/>
  <c r="Q601" i="8"/>
  <c r="Q601" i="5"/>
  <c r="P600" i="8"/>
  <c r="P600" i="5"/>
  <c r="Q597" i="8"/>
  <c r="Q597" i="5"/>
  <c r="P596" i="8"/>
  <c r="P596" i="5"/>
  <c r="Q593" i="8"/>
  <c r="Q593" i="5"/>
  <c r="T592" i="8"/>
  <c r="T592" i="5"/>
  <c r="P592" i="8"/>
  <c r="P592" i="5"/>
  <c r="Q589" i="8"/>
  <c r="Q589" i="5"/>
  <c r="T588" i="8"/>
  <c r="T588" i="5"/>
  <c r="P588" i="8"/>
  <c r="P588" i="5"/>
  <c r="Q585" i="8"/>
  <c r="Q585" i="5"/>
  <c r="T584" i="8"/>
  <c r="T584" i="5"/>
  <c r="P584" i="8"/>
  <c r="P584" i="5"/>
  <c r="Q581" i="8"/>
  <c r="Q581" i="5"/>
  <c r="P580" i="8"/>
  <c r="P580" i="5"/>
  <c r="Q577" i="8"/>
  <c r="Q577" i="5"/>
  <c r="T576" i="8"/>
  <c r="T576" i="5"/>
  <c r="P576" i="8"/>
  <c r="P576" i="5"/>
  <c r="Q573" i="8"/>
  <c r="Q573" i="5"/>
  <c r="T572" i="8"/>
  <c r="T572" i="5"/>
  <c r="P572" i="8"/>
  <c r="P572" i="5"/>
  <c r="Q569" i="8"/>
  <c r="Q569" i="5"/>
  <c r="P568" i="8"/>
  <c r="P568" i="5"/>
  <c r="Q565" i="8"/>
  <c r="Q565" i="5"/>
  <c r="P564" i="8"/>
  <c r="P564" i="5"/>
  <c r="Q561" i="8"/>
  <c r="Q561" i="5"/>
  <c r="T560" i="8"/>
  <c r="T560" i="5"/>
  <c r="P560" i="8"/>
  <c r="P560" i="5"/>
  <c r="Q557" i="8"/>
  <c r="Q557" i="5"/>
  <c r="T556" i="8"/>
  <c r="T556" i="5"/>
  <c r="P556" i="8"/>
  <c r="P556" i="5"/>
  <c r="Q553" i="8"/>
  <c r="Q553" i="5"/>
  <c r="P552" i="8"/>
  <c r="P552" i="5"/>
  <c r="Q549" i="8"/>
  <c r="Q549" i="5"/>
  <c r="P548" i="8"/>
  <c r="P548" i="5"/>
  <c r="Q545" i="8"/>
  <c r="Q545" i="5"/>
  <c r="P544" i="8"/>
  <c r="P544" i="5"/>
  <c r="Q541" i="8"/>
  <c r="Q541" i="5"/>
  <c r="P540" i="8"/>
  <c r="P540" i="5"/>
  <c r="Q537" i="8"/>
  <c r="Q537" i="5"/>
  <c r="P536" i="8"/>
  <c r="P536" i="5"/>
  <c r="Q533" i="8"/>
  <c r="Q533" i="5"/>
  <c r="P532" i="8"/>
  <c r="P532" i="5"/>
  <c r="Q529" i="8"/>
  <c r="Q529" i="5"/>
  <c r="P528" i="8"/>
  <c r="P528" i="5"/>
  <c r="Q525" i="8"/>
  <c r="Q525" i="5"/>
  <c r="T524" i="8"/>
  <c r="T524" i="5"/>
  <c r="P524" i="8"/>
  <c r="P524" i="5"/>
  <c r="Q521" i="8"/>
  <c r="Q521" i="5"/>
  <c r="P520" i="8"/>
  <c r="P520" i="5"/>
  <c r="Q517" i="8"/>
  <c r="Q517" i="5"/>
  <c r="P516" i="8"/>
  <c r="P516" i="5"/>
  <c r="Q513" i="8"/>
  <c r="Q513" i="5"/>
  <c r="P512" i="8"/>
  <c r="P512" i="5"/>
  <c r="Q509" i="8"/>
  <c r="Q509" i="5"/>
  <c r="P508" i="8"/>
  <c r="P508" i="5"/>
  <c r="Q505" i="8"/>
  <c r="Q505" i="5"/>
  <c r="P504" i="8"/>
  <c r="P504" i="5"/>
  <c r="Q501" i="8"/>
  <c r="Q501" i="5"/>
  <c r="P500" i="8"/>
  <c r="P500" i="5"/>
  <c r="Q497" i="8"/>
  <c r="Q497" i="5"/>
  <c r="T496" i="8"/>
  <c r="T496" i="5"/>
  <c r="P496" i="8"/>
  <c r="P496" i="5"/>
  <c r="Q493" i="8"/>
  <c r="Q493" i="5"/>
  <c r="P492" i="8"/>
  <c r="P492" i="5"/>
  <c r="Q489" i="8"/>
  <c r="Q489" i="5"/>
  <c r="P488" i="8"/>
  <c r="P488" i="5"/>
  <c r="Q485" i="8"/>
  <c r="Q485" i="5"/>
  <c r="P484" i="8"/>
  <c r="P484" i="5"/>
  <c r="Q481" i="8"/>
  <c r="Q481" i="5"/>
  <c r="T480" i="8"/>
  <c r="T480" i="5"/>
  <c r="P480" i="8"/>
  <c r="P480" i="5"/>
  <c r="Q477" i="8"/>
  <c r="Q477" i="5"/>
  <c r="P476" i="8"/>
  <c r="P476" i="5"/>
  <c r="Q473" i="8"/>
  <c r="Q473" i="5"/>
  <c r="P472" i="8"/>
  <c r="P472" i="5"/>
  <c r="Q469" i="8"/>
  <c r="Q469" i="5"/>
  <c r="P468" i="8"/>
  <c r="P468" i="5"/>
  <c r="Q465" i="8"/>
  <c r="Q465" i="5"/>
  <c r="T464" i="8"/>
  <c r="T464" i="5"/>
  <c r="P464" i="8"/>
  <c r="P464" i="5"/>
  <c r="Q461" i="8"/>
  <c r="Q461" i="5"/>
  <c r="P460" i="8"/>
  <c r="P460" i="5"/>
  <c r="Q457" i="8"/>
  <c r="Q457" i="5"/>
  <c r="P456" i="8"/>
  <c r="P456" i="5"/>
  <c r="Q453" i="8"/>
  <c r="Q453" i="5"/>
  <c r="P452" i="8"/>
  <c r="P452" i="5"/>
  <c r="Q449" i="8"/>
  <c r="Q449" i="5"/>
  <c r="P448" i="8"/>
  <c r="P448" i="5"/>
  <c r="Q445" i="8"/>
  <c r="Q445" i="5"/>
  <c r="P444" i="8"/>
  <c r="P444" i="5"/>
  <c r="Q441" i="8"/>
  <c r="Q441" i="5"/>
  <c r="P440" i="8"/>
  <c r="P440" i="5"/>
  <c r="Q437" i="8"/>
  <c r="Q437" i="5"/>
  <c r="P436" i="8"/>
  <c r="P436" i="5"/>
  <c r="Q433" i="8"/>
  <c r="Q433" i="5"/>
  <c r="P432" i="8"/>
  <c r="P432" i="5"/>
  <c r="Q429" i="8"/>
  <c r="Q429" i="5"/>
  <c r="P428" i="8"/>
  <c r="P428" i="5"/>
  <c r="Q425" i="8"/>
  <c r="Q425" i="5"/>
  <c r="P424" i="8"/>
  <c r="P424" i="5"/>
  <c r="Q421" i="8"/>
  <c r="Q421" i="5"/>
  <c r="P420" i="8"/>
  <c r="P420" i="5"/>
  <c r="Q417" i="8"/>
  <c r="Q417" i="5"/>
  <c r="P416" i="8"/>
  <c r="P416" i="5"/>
  <c r="Q413" i="8"/>
  <c r="Q413" i="5"/>
  <c r="P412" i="8"/>
  <c r="P412" i="5"/>
  <c r="Q409" i="8"/>
  <c r="Q409" i="5"/>
  <c r="P408" i="8"/>
  <c r="P408" i="5"/>
  <c r="Q405" i="8"/>
  <c r="Q405" i="5"/>
  <c r="P404" i="8"/>
  <c r="P404" i="5"/>
  <c r="Q401" i="8"/>
  <c r="Q401" i="5"/>
  <c r="P400" i="8"/>
  <c r="P400" i="5"/>
  <c r="Q397" i="8"/>
  <c r="Q397" i="5"/>
  <c r="P396" i="8"/>
  <c r="P396" i="5"/>
  <c r="Q393" i="8"/>
  <c r="Q393" i="5"/>
  <c r="P392" i="8"/>
  <c r="P392" i="5"/>
  <c r="Q389" i="8"/>
  <c r="Q389" i="5"/>
  <c r="P388" i="8"/>
  <c r="P388" i="5"/>
  <c r="Q385" i="8"/>
  <c r="Q385" i="5"/>
  <c r="P384" i="8"/>
  <c r="P384" i="5"/>
  <c r="Q381" i="8"/>
  <c r="Q381" i="5"/>
  <c r="P380" i="8"/>
  <c r="P380" i="5"/>
  <c r="Q377" i="8"/>
  <c r="Q377" i="5"/>
  <c r="P376" i="8"/>
  <c r="P376" i="5"/>
  <c r="Q373" i="8"/>
  <c r="Q373" i="5"/>
  <c r="P372" i="8"/>
  <c r="P372" i="5"/>
  <c r="Q369" i="8"/>
  <c r="Q369" i="5"/>
  <c r="P368" i="8"/>
  <c r="P368" i="5"/>
  <c r="Q365" i="8"/>
  <c r="Q365" i="5"/>
  <c r="P364" i="8"/>
  <c r="P364" i="5"/>
  <c r="Q361" i="8"/>
  <c r="Q361" i="5"/>
  <c r="P360" i="8"/>
  <c r="P360" i="5"/>
  <c r="Q357" i="8"/>
  <c r="Q357" i="5"/>
  <c r="P356" i="8"/>
  <c r="P356" i="5"/>
  <c r="Q353" i="8"/>
  <c r="Q353" i="5"/>
  <c r="P352" i="8"/>
  <c r="P352" i="5"/>
  <c r="Q349" i="8"/>
  <c r="Q349" i="5"/>
  <c r="P348" i="8"/>
  <c r="P348" i="5"/>
  <c r="Q345" i="8"/>
  <c r="Q345" i="5"/>
  <c r="P344" i="8"/>
  <c r="P344" i="5"/>
  <c r="Q341" i="8"/>
  <c r="Q341" i="5"/>
  <c r="P340" i="8"/>
  <c r="P340" i="5"/>
  <c r="Q337" i="8"/>
  <c r="Q337" i="5"/>
  <c r="P336" i="8"/>
  <c r="P336" i="5"/>
  <c r="Q333" i="8"/>
  <c r="Q333" i="5"/>
  <c r="P332" i="8"/>
  <c r="P332" i="5"/>
  <c r="Q329" i="8"/>
  <c r="Q329" i="5"/>
  <c r="P328" i="8"/>
  <c r="P328" i="5"/>
  <c r="Q325" i="8"/>
  <c r="Q325" i="5"/>
  <c r="P324" i="8"/>
  <c r="P324" i="5"/>
  <c r="Q321" i="8"/>
  <c r="Q321" i="5"/>
  <c r="T320" i="8"/>
  <c r="T320" i="5"/>
  <c r="P320" i="8"/>
  <c r="P320" i="5"/>
  <c r="Q317" i="8"/>
  <c r="Q317" i="5"/>
  <c r="P316" i="8"/>
  <c r="P316" i="5"/>
  <c r="Q313" i="8"/>
  <c r="Q313" i="5"/>
  <c r="P312" i="8"/>
  <c r="P312" i="5"/>
  <c r="Q309" i="8"/>
  <c r="Q309" i="5"/>
  <c r="P308" i="8"/>
  <c r="P308" i="5"/>
  <c r="Q305" i="8"/>
  <c r="Q305" i="5"/>
  <c r="P304" i="8"/>
  <c r="P304" i="5"/>
  <c r="Q301" i="8"/>
  <c r="Q301" i="5"/>
  <c r="T300" i="8"/>
  <c r="T300" i="5"/>
  <c r="P300" i="8"/>
  <c r="P300" i="5"/>
  <c r="Q297" i="8"/>
  <c r="Q297" i="5"/>
  <c r="P296" i="8"/>
  <c r="P296" i="5"/>
  <c r="Q293" i="8"/>
  <c r="Q293" i="5"/>
  <c r="T292" i="8"/>
  <c r="T292" i="5"/>
  <c r="P292" i="8"/>
  <c r="P292" i="5"/>
  <c r="Q289" i="8"/>
  <c r="Q289" i="5"/>
  <c r="P288" i="8"/>
  <c r="P288" i="5"/>
  <c r="Q285" i="8"/>
  <c r="Q285" i="5"/>
  <c r="P284" i="8"/>
  <c r="P284" i="5"/>
  <c r="Q281" i="8"/>
  <c r="Q281" i="5"/>
  <c r="P280" i="8"/>
  <c r="P280" i="5"/>
  <c r="Q277" i="8"/>
  <c r="Q277" i="5"/>
  <c r="T276" i="8"/>
  <c r="T276" i="5"/>
  <c r="P276" i="8"/>
  <c r="P276" i="5"/>
  <c r="Q273" i="8"/>
  <c r="Q273" i="5"/>
  <c r="P272" i="8"/>
  <c r="P272" i="5"/>
  <c r="Q269" i="8"/>
  <c r="Q269" i="5"/>
  <c r="P268" i="8"/>
  <c r="P268" i="5"/>
  <c r="Q265" i="8"/>
  <c r="Q265" i="5"/>
  <c r="P264" i="8"/>
  <c r="P264" i="5"/>
  <c r="Q261" i="8"/>
  <c r="Q261" i="5"/>
  <c r="P260" i="8"/>
  <c r="P260" i="5"/>
  <c r="Q257" i="8"/>
  <c r="Q257" i="5"/>
  <c r="P256" i="8"/>
  <c r="P256" i="5"/>
  <c r="Q253" i="8"/>
  <c r="Q253" i="5"/>
  <c r="P252" i="8"/>
  <c r="P252" i="5"/>
  <c r="Q249" i="8"/>
  <c r="Q249" i="5"/>
  <c r="P248" i="8"/>
  <c r="P248" i="5"/>
  <c r="Q245" i="8"/>
  <c r="Q245" i="5"/>
  <c r="T244" i="8"/>
  <c r="T244" i="5"/>
  <c r="P244" i="8"/>
  <c r="P244" i="5"/>
  <c r="Q241" i="8"/>
  <c r="Q241" i="5"/>
  <c r="T240" i="8"/>
  <c r="T240" i="5"/>
  <c r="P240" i="8"/>
  <c r="P240" i="5"/>
  <c r="Q237" i="8"/>
  <c r="Q237" i="5"/>
  <c r="P236" i="8"/>
  <c r="P236" i="5"/>
  <c r="Q233" i="8"/>
  <c r="Q233" i="5"/>
  <c r="P232" i="8"/>
  <c r="P232" i="5"/>
  <c r="Q229" i="8"/>
  <c r="Q229" i="5"/>
  <c r="P228" i="8"/>
  <c r="P228" i="5"/>
  <c r="Q225" i="8"/>
  <c r="Q225" i="5"/>
  <c r="P224" i="8"/>
  <c r="P224" i="5"/>
  <c r="Q221" i="8"/>
  <c r="Q221" i="5"/>
  <c r="P220" i="8"/>
  <c r="P220" i="5"/>
  <c r="Q217" i="8"/>
  <c r="Q217" i="5"/>
  <c r="P216" i="8"/>
  <c r="P216" i="5"/>
  <c r="Q213" i="8"/>
  <c r="Q213" i="5"/>
  <c r="P212" i="8"/>
  <c r="P212" i="5"/>
  <c r="Q209" i="8"/>
  <c r="Q209" i="5"/>
  <c r="T208" i="8"/>
  <c r="T208" i="5"/>
  <c r="P208" i="8"/>
  <c r="P208" i="5"/>
  <c r="Q205" i="8"/>
  <c r="Q205" i="5"/>
  <c r="P204" i="8"/>
  <c r="P204" i="5"/>
  <c r="Q201" i="8"/>
  <c r="Q201" i="5"/>
  <c r="P200" i="8"/>
  <c r="P200" i="5"/>
  <c r="Q197" i="8"/>
  <c r="Q197" i="5"/>
  <c r="P196" i="8"/>
  <c r="P196" i="5"/>
  <c r="Q193" i="8"/>
  <c r="Q193" i="5"/>
  <c r="P192" i="8"/>
  <c r="P192" i="5"/>
  <c r="Q189" i="8"/>
  <c r="Q189" i="5"/>
  <c r="P188" i="8"/>
  <c r="P188" i="5"/>
  <c r="Q185" i="8"/>
  <c r="Q185" i="5"/>
  <c r="P184" i="8"/>
  <c r="P184" i="5"/>
  <c r="Q181" i="8"/>
  <c r="Q181" i="5"/>
  <c r="P180" i="8"/>
  <c r="P180" i="5"/>
  <c r="Q177" i="8"/>
  <c r="Q177" i="5"/>
  <c r="P176" i="8"/>
  <c r="P176" i="5"/>
  <c r="Q173" i="8"/>
  <c r="Q173" i="5"/>
  <c r="T172" i="8"/>
  <c r="T172" i="5"/>
  <c r="P172" i="8"/>
  <c r="P172" i="5"/>
  <c r="Q169" i="8"/>
  <c r="Q169" i="5"/>
  <c r="P168" i="8"/>
  <c r="P168" i="5"/>
  <c r="Q165" i="8"/>
  <c r="Q165" i="5"/>
  <c r="P164" i="8"/>
  <c r="P164" i="5"/>
  <c r="Q161" i="8"/>
  <c r="Q161" i="5"/>
  <c r="P160" i="8"/>
  <c r="P160" i="5"/>
  <c r="Q157" i="8"/>
  <c r="Q157" i="5"/>
  <c r="P156" i="8"/>
  <c r="P156" i="5"/>
  <c r="Q153" i="8"/>
  <c r="Q153" i="5"/>
  <c r="P152" i="8"/>
  <c r="P152" i="5"/>
  <c r="Q149" i="8"/>
  <c r="Q149" i="5"/>
  <c r="P148" i="8"/>
  <c r="P148" i="5"/>
  <c r="Q145" i="8"/>
  <c r="Q145" i="5"/>
  <c r="P144" i="8"/>
  <c r="P144" i="5"/>
  <c r="Q141" i="8"/>
  <c r="Q141" i="5"/>
  <c r="P140" i="8"/>
  <c r="P140" i="5"/>
  <c r="Q137" i="8"/>
  <c r="Q137" i="5"/>
  <c r="P136" i="8"/>
  <c r="P136" i="5"/>
  <c r="Q133" i="8"/>
  <c r="Q133" i="5"/>
  <c r="P132" i="8"/>
  <c r="P132" i="5"/>
  <c r="Q129" i="8"/>
  <c r="Q129" i="5"/>
  <c r="P128" i="8"/>
  <c r="P128" i="5"/>
  <c r="Q125" i="8"/>
  <c r="Q125" i="5"/>
  <c r="P124" i="8"/>
  <c r="P124" i="5"/>
  <c r="Q121" i="8"/>
  <c r="Q121" i="5"/>
  <c r="P120" i="8"/>
  <c r="P120" i="5"/>
  <c r="Q117" i="8"/>
  <c r="Q117" i="5"/>
  <c r="P116" i="8"/>
  <c r="P116" i="5"/>
  <c r="Q113" i="8"/>
  <c r="Q113" i="5"/>
  <c r="P112" i="8"/>
  <c r="P112" i="5"/>
  <c r="Q109" i="8"/>
  <c r="Q109" i="5"/>
  <c r="P108" i="8"/>
  <c r="P108" i="5"/>
  <c r="Q105" i="8"/>
  <c r="Q105" i="5"/>
  <c r="P104" i="8"/>
  <c r="P104" i="5"/>
  <c r="Q101" i="8"/>
  <c r="Q101" i="5"/>
  <c r="P100" i="8"/>
  <c r="P100" i="5"/>
  <c r="Q97" i="8"/>
  <c r="Q97" i="5"/>
  <c r="T96" i="8"/>
  <c r="T96" i="5"/>
  <c r="P96" i="8"/>
  <c r="P96" i="5"/>
  <c r="Q93" i="8"/>
  <c r="Q93" i="5"/>
  <c r="T92" i="8"/>
  <c r="T92" i="5"/>
  <c r="P92" i="8"/>
  <c r="P92" i="5"/>
  <c r="Q89" i="8"/>
  <c r="Q89" i="5"/>
  <c r="P88" i="8"/>
  <c r="P88" i="5"/>
  <c r="Q85" i="8"/>
  <c r="Q85" i="5"/>
  <c r="P84" i="8"/>
  <c r="P84" i="5"/>
  <c r="Q81" i="8"/>
  <c r="Q81" i="5"/>
  <c r="P80" i="8"/>
  <c r="P80" i="5"/>
  <c r="Q77" i="8"/>
  <c r="Q77" i="5"/>
  <c r="P76" i="8"/>
  <c r="P76" i="5"/>
  <c r="Q73" i="8"/>
  <c r="Q73" i="5"/>
  <c r="P72" i="8"/>
  <c r="P72" i="5"/>
  <c r="Q69" i="8"/>
  <c r="Q69" i="5"/>
  <c r="P68" i="8"/>
  <c r="P68" i="5"/>
  <c r="Q65" i="8"/>
  <c r="Q65" i="5"/>
  <c r="T64" i="8"/>
  <c r="T64" i="5"/>
  <c r="P64" i="8"/>
  <c r="P64" i="5"/>
  <c r="Q61" i="8"/>
  <c r="Q61" i="5"/>
  <c r="P60" i="8"/>
  <c r="P60" i="5"/>
  <c r="Q57" i="8"/>
  <c r="Q57" i="5"/>
  <c r="P56" i="8"/>
  <c r="P56" i="5"/>
  <c r="Q53" i="8"/>
  <c r="Q53" i="5"/>
  <c r="P52" i="8"/>
  <c r="P52" i="5"/>
  <c r="S906" i="8"/>
  <c r="S906" i="5"/>
  <c r="U903" i="8"/>
  <c r="U903" i="5"/>
  <c r="S902" i="8"/>
  <c r="S902" i="5"/>
  <c r="U899" i="8"/>
  <c r="U899" i="5"/>
  <c r="S898" i="8"/>
  <c r="S898" i="5"/>
  <c r="R897" i="8"/>
  <c r="R897" i="5"/>
  <c r="U895" i="8"/>
  <c r="U895" i="5"/>
  <c r="S894" i="8"/>
  <c r="S894" i="5"/>
  <c r="R893" i="8"/>
  <c r="R893" i="5"/>
  <c r="U891" i="8"/>
  <c r="U891" i="5"/>
  <c r="S890" i="8"/>
  <c r="S890" i="5"/>
  <c r="R889" i="8"/>
  <c r="R889" i="5"/>
  <c r="U887" i="8"/>
  <c r="U887" i="5"/>
  <c r="S886" i="8"/>
  <c r="S886" i="5"/>
  <c r="R885" i="8"/>
  <c r="R885" i="5"/>
  <c r="U883" i="8"/>
  <c r="U883" i="5"/>
  <c r="S882" i="8"/>
  <c r="S882" i="5"/>
  <c r="R881" i="8"/>
  <c r="R881" i="5"/>
  <c r="U879" i="8"/>
  <c r="U879" i="5"/>
  <c r="S878" i="8"/>
  <c r="S878" i="5"/>
  <c r="R877" i="8"/>
  <c r="R877" i="5"/>
  <c r="U875" i="8"/>
  <c r="U875" i="5"/>
  <c r="S874" i="8"/>
  <c r="S874" i="5"/>
  <c r="R873" i="8"/>
  <c r="R873" i="5"/>
  <c r="U871" i="8"/>
  <c r="U871" i="5"/>
  <c r="S870" i="8"/>
  <c r="S870" i="5"/>
  <c r="U867" i="8"/>
  <c r="U867" i="5"/>
  <c r="S866" i="8"/>
  <c r="S866" i="5"/>
  <c r="R865" i="8"/>
  <c r="R865" i="5"/>
  <c r="U863" i="8"/>
  <c r="U863" i="5"/>
  <c r="S862" i="8"/>
  <c r="S862" i="5"/>
  <c r="R861" i="8"/>
  <c r="R861" i="5"/>
  <c r="U859" i="8"/>
  <c r="U859" i="5"/>
  <c r="S858" i="8"/>
  <c r="S858" i="5"/>
  <c r="R857" i="8"/>
  <c r="R857" i="5"/>
  <c r="U855" i="8"/>
  <c r="U855" i="5"/>
  <c r="S854" i="8"/>
  <c r="S854" i="5"/>
  <c r="U851" i="8"/>
  <c r="U851" i="5"/>
  <c r="S850" i="8"/>
  <c r="S850" i="5"/>
  <c r="R849" i="8"/>
  <c r="R849" i="5"/>
  <c r="U847" i="8"/>
  <c r="U847" i="5"/>
  <c r="S846" i="8"/>
  <c r="S846" i="5"/>
  <c r="R845" i="8"/>
  <c r="R845" i="5"/>
  <c r="U843" i="8"/>
  <c r="U843" i="5"/>
  <c r="S842" i="8"/>
  <c r="S842" i="5"/>
  <c r="U839" i="8"/>
  <c r="U839" i="5"/>
  <c r="S838" i="8"/>
  <c r="S838" i="5"/>
  <c r="U835" i="8"/>
  <c r="U835" i="5"/>
  <c r="S834" i="8"/>
  <c r="S834" i="5"/>
  <c r="R833" i="8"/>
  <c r="R833" i="5"/>
  <c r="U831" i="8"/>
  <c r="U831" i="5"/>
  <c r="S830" i="8"/>
  <c r="S830" i="5"/>
  <c r="R829" i="8"/>
  <c r="R829" i="5"/>
  <c r="U827" i="8"/>
  <c r="U827" i="5"/>
  <c r="S826" i="8"/>
  <c r="S826" i="5"/>
  <c r="R825" i="8"/>
  <c r="R825" i="5"/>
  <c r="U823" i="8"/>
  <c r="U823" i="5"/>
  <c r="S822" i="8"/>
  <c r="S822" i="5"/>
  <c r="R821" i="8"/>
  <c r="R821" i="5"/>
  <c r="U819" i="8"/>
  <c r="U819" i="5"/>
  <c r="S818" i="8"/>
  <c r="S818" i="5"/>
  <c r="R817" i="8"/>
  <c r="R817" i="5"/>
  <c r="U815" i="8"/>
  <c r="U815" i="5"/>
  <c r="S814" i="8"/>
  <c r="S814" i="5"/>
  <c r="R813" i="8"/>
  <c r="R813" i="5"/>
  <c r="U811" i="8"/>
  <c r="U811" i="5"/>
  <c r="S810" i="8"/>
  <c r="S810" i="5"/>
  <c r="R809" i="8"/>
  <c r="R809" i="5"/>
  <c r="U807" i="8"/>
  <c r="U807" i="5"/>
  <c r="S806" i="8"/>
  <c r="S806" i="5"/>
  <c r="R805" i="8"/>
  <c r="R805" i="5"/>
  <c r="U803" i="8"/>
  <c r="U803" i="5"/>
  <c r="S802" i="8"/>
  <c r="S802" i="5"/>
  <c r="R801" i="8"/>
  <c r="R801" i="5"/>
  <c r="U799" i="8"/>
  <c r="U799" i="5"/>
  <c r="S798" i="8"/>
  <c r="S798" i="5"/>
  <c r="R797" i="8"/>
  <c r="R797" i="5"/>
  <c r="U795" i="8"/>
  <c r="U795" i="5"/>
  <c r="S794" i="8"/>
  <c r="S794" i="5"/>
  <c r="R793" i="8"/>
  <c r="R793" i="5"/>
  <c r="U791" i="8"/>
  <c r="U791" i="5"/>
  <c r="S790" i="8"/>
  <c r="S790" i="5"/>
  <c r="R789" i="8"/>
  <c r="R789" i="5"/>
  <c r="U787" i="8"/>
  <c r="U787" i="5"/>
  <c r="S786" i="8"/>
  <c r="S786" i="5"/>
  <c r="R785" i="8"/>
  <c r="R785" i="5"/>
  <c r="U783" i="8"/>
  <c r="U783" i="5"/>
  <c r="S782" i="8"/>
  <c r="S782" i="5"/>
  <c r="R781" i="8"/>
  <c r="R781" i="5"/>
  <c r="U779" i="8"/>
  <c r="U779" i="5"/>
  <c r="S778" i="8"/>
  <c r="S778" i="5"/>
  <c r="R777" i="8"/>
  <c r="R777" i="5"/>
  <c r="U775" i="8"/>
  <c r="U775" i="5"/>
  <c r="S774" i="8"/>
  <c r="S774" i="5"/>
  <c r="R773" i="8"/>
  <c r="R773" i="5"/>
  <c r="U771" i="8"/>
  <c r="U771" i="5"/>
  <c r="S770" i="8"/>
  <c r="S770" i="5"/>
  <c r="R769" i="8"/>
  <c r="R769" i="5"/>
  <c r="U767" i="8"/>
  <c r="U767" i="5"/>
  <c r="S766" i="8"/>
  <c r="S766" i="5"/>
  <c r="R765" i="8"/>
  <c r="R765" i="5"/>
  <c r="U763" i="8"/>
  <c r="U763" i="5"/>
  <c r="S762" i="8"/>
  <c r="S762" i="5"/>
  <c r="R761" i="8"/>
  <c r="R761" i="5"/>
  <c r="U759" i="8"/>
  <c r="U759" i="5"/>
  <c r="S758" i="8"/>
  <c r="S758" i="5"/>
  <c r="R757" i="8"/>
  <c r="R757" i="5"/>
  <c r="U755" i="8"/>
  <c r="U755" i="5"/>
  <c r="S754" i="8"/>
  <c r="S754" i="5"/>
  <c r="R753" i="8"/>
  <c r="R753" i="5"/>
  <c r="U751" i="8"/>
  <c r="U751" i="5"/>
  <c r="S750" i="8"/>
  <c r="S750" i="5"/>
  <c r="R749" i="8"/>
  <c r="R749" i="5"/>
  <c r="U747" i="8"/>
  <c r="U747" i="5"/>
  <c r="S746" i="8"/>
  <c r="S746" i="5"/>
  <c r="R745" i="8"/>
  <c r="R745" i="5"/>
  <c r="U743" i="8"/>
  <c r="U743" i="5"/>
  <c r="S742" i="8"/>
  <c r="S742" i="5"/>
  <c r="U739" i="8"/>
  <c r="U739" i="5"/>
  <c r="S738" i="8"/>
  <c r="S738" i="5"/>
  <c r="Q732" i="8"/>
  <c r="Q732" i="5"/>
  <c r="P731" i="8"/>
  <c r="P731" i="5"/>
  <c r="S722" i="8"/>
  <c r="S722" i="5"/>
  <c r="R721" i="8"/>
  <c r="R721" i="5"/>
  <c r="U719" i="8"/>
  <c r="U719" i="5"/>
  <c r="S718" i="8"/>
  <c r="S718" i="5"/>
  <c r="R717" i="8"/>
  <c r="R717" i="5"/>
  <c r="U715" i="8"/>
  <c r="U715" i="5"/>
  <c r="S714" i="8"/>
  <c r="S714" i="5"/>
  <c r="R713" i="8"/>
  <c r="R713" i="5"/>
  <c r="U711" i="8"/>
  <c r="U711" i="5"/>
  <c r="S710" i="8"/>
  <c r="S710" i="5"/>
  <c r="U707" i="8"/>
  <c r="U707" i="5"/>
  <c r="S706" i="8"/>
  <c r="S706" i="5"/>
  <c r="R705" i="8"/>
  <c r="R705" i="5"/>
  <c r="U703" i="8"/>
  <c r="U703" i="5"/>
  <c r="S702" i="8"/>
  <c r="S702" i="5"/>
  <c r="R701" i="8"/>
  <c r="R701" i="5"/>
  <c r="U699" i="8"/>
  <c r="U699" i="5"/>
  <c r="S698" i="8"/>
  <c r="S698" i="5"/>
  <c r="R697" i="8"/>
  <c r="R697" i="5"/>
  <c r="U695" i="8"/>
  <c r="U695" i="5"/>
  <c r="S694" i="8"/>
  <c r="S694" i="5"/>
  <c r="R693" i="8"/>
  <c r="R693" i="5"/>
  <c r="U691" i="8"/>
  <c r="U691" i="5"/>
  <c r="S690" i="8"/>
  <c r="S690" i="5"/>
  <c r="R689" i="8"/>
  <c r="R689" i="5"/>
  <c r="U687" i="8"/>
  <c r="U687" i="5"/>
  <c r="S686" i="8"/>
  <c r="S686" i="5"/>
  <c r="U683" i="8"/>
  <c r="U683" i="5"/>
  <c r="S682" i="8"/>
  <c r="S682" i="5"/>
  <c r="U679" i="8"/>
  <c r="U679" i="5"/>
  <c r="S678" i="8"/>
  <c r="S678" i="5"/>
  <c r="R677" i="8"/>
  <c r="R677" i="5"/>
  <c r="U675" i="8"/>
  <c r="U675" i="5"/>
  <c r="S674" i="8"/>
  <c r="S674" i="5"/>
  <c r="R673" i="8"/>
  <c r="R673" i="5"/>
  <c r="U671" i="8"/>
  <c r="U671" i="5"/>
  <c r="S670" i="8"/>
  <c r="S670" i="5"/>
  <c r="R669" i="8"/>
  <c r="R669" i="5"/>
  <c r="U667" i="8"/>
  <c r="U667" i="5"/>
  <c r="S666" i="8"/>
  <c r="S666" i="5"/>
  <c r="R665" i="8"/>
  <c r="R665" i="5"/>
  <c r="U663" i="8"/>
  <c r="U663" i="5"/>
  <c r="S662" i="8"/>
  <c r="S662" i="5"/>
  <c r="U659" i="8"/>
  <c r="U659" i="5"/>
  <c r="S658" i="8"/>
  <c r="S658" i="5"/>
  <c r="R657" i="8"/>
  <c r="R657" i="5"/>
  <c r="U655" i="8"/>
  <c r="U655" i="5"/>
  <c r="S654" i="8"/>
  <c r="S654" i="5"/>
  <c r="R653" i="8"/>
  <c r="R653" i="5"/>
  <c r="U651" i="8"/>
  <c r="U651" i="5"/>
  <c r="S650" i="8"/>
  <c r="S650" i="5"/>
  <c r="R649" i="8"/>
  <c r="R649" i="5"/>
  <c r="U647" i="8"/>
  <c r="U647" i="5"/>
  <c r="S646" i="8"/>
  <c r="S646" i="5"/>
  <c r="U643" i="8"/>
  <c r="U643" i="5"/>
  <c r="S642" i="8"/>
  <c r="S642" i="5"/>
  <c r="R641" i="8"/>
  <c r="R641" i="5"/>
  <c r="U639" i="8"/>
  <c r="U639" i="5"/>
  <c r="S638" i="8"/>
  <c r="S638" i="5"/>
  <c r="R637" i="8"/>
  <c r="R637" i="5"/>
  <c r="U635" i="8"/>
  <c r="U635" i="5"/>
  <c r="S634" i="8"/>
  <c r="S634" i="5"/>
  <c r="R633" i="8"/>
  <c r="R633" i="5"/>
  <c r="U631" i="8"/>
  <c r="U631" i="5"/>
  <c r="S630" i="8"/>
  <c r="S630" i="5"/>
  <c r="U627" i="8"/>
  <c r="U627" i="5"/>
  <c r="S626" i="8"/>
  <c r="S626" i="5"/>
  <c r="R625" i="8"/>
  <c r="R625" i="5"/>
  <c r="U623" i="8"/>
  <c r="U623" i="5"/>
  <c r="S622" i="8"/>
  <c r="S622" i="5"/>
  <c r="U619" i="8"/>
  <c r="U619" i="5"/>
  <c r="S618" i="8"/>
  <c r="S618" i="5"/>
  <c r="U615" i="8"/>
  <c r="U615" i="5"/>
  <c r="S614" i="8"/>
  <c r="S614" i="5"/>
  <c r="U611" i="8"/>
  <c r="U611" i="5"/>
  <c r="S610" i="8"/>
  <c r="S610" i="5"/>
  <c r="R609" i="8"/>
  <c r="R609" i="5"/>
  <c r="U607" i="8"/>
  <c r="U607" i="5"/>
  <c r="S606" i="8"/>
  <c r="S606" i="5"/>
  <c r="R605" i="8"/>
  <c r="R605" i="5"/>
  <c r="U603" i="8"/>
  <c r="U603" i="5"/>
  <c r="S602" i="8"/>
  <c r="S602" i="5"/>
  <c r="U599" i="8"/>
  <c r="U599" i="5"/>
  <c r="S598" i="8"/>
  <c r="S598" i="5"/>
  <c r="U595" i="8"/>
  <c r="U595" i="5"/>
  <c r="S594" i="8"/>
  <c r="S594" i="5"/>
  <c r="R593" i="8"/>
  <c r="R593" i="5"/>
  <c r="U591" i="8"/>
  <c r="U591" i="5"/>
  <c r="S590" i="8"/>
  <c r="S590" i="5"/>
  <c r="R589" i="8"/>
  <c r="R589" i="5"/>
  <c r="U587" i="8"/>
  <c r="U587" i="5"/>
  <c r="S586" i="8"/>
  <c r="S586" i="5"/>
  <c r="R585" i="8"/>
  <c r="R585" i="5"/>
  <c r="U583" i="8"/>
  <c r="U583" i="5"/>
  <c r="S582" i="8"/>
  <c r="S582" i="5"/>
  <c r="U579" i="8"/>
  <c r="U579" i="5"/>
  <c r="S578" i="8"/>
  <c r="S578" i="5"/>
  <c r="R577" i="8"/>
  <c r="R577" i="5"/>
  <c r="U575" i="8"/>
  <c r="U575" i="5"/>
  <c r="S574" i="8"/>
  <c r="S574" i="5"/>
  <c r="R573" i="8"/>
  <c r="R573" i="5"/>
  <c r="U571" i="8"/>
  <c r="U571" i="5"/>
  <c r="S570" i="8"/>
  <c r="S570" i="5"/>
  <c r="U567" i="8"/>
  <c r="U567" i="5"/>
  <c r="S566" i="8"/>
  <c r="S566" i="5"/>
  <c r="U563" i="8"/>
  <c r="U563" i="5"/>
  <c r="S562" i="8"/>
  <c r="S562" i="5"/>
  <c r="R561" i="8"/>
  <c r="R561" i="5"/>
  <c r="U559" i="8"/>
  <c r="U559" i="5"/>
  <c r="S558" i="8"/>
  <c r="S558" i="5"/>
  <c r="R557" i="8"/>
  <c r="R557" i="5"/>
  <c r="U555" i="8"/>
  <c r="U555" i="5"/>
  <c r="S554" i="8"/>
  <c r="S554" i="5"/>
  <c r="R553" i="8"/>
  <c r="R553" i="5"/>
  <c r="U551" i="8"/>
  <c r="U551" i="5"/>
  <c r="S550" i="8"/>
  <c r="S550" i="5"/>
  <c r="U547" i="8"/>
  <c r="U547" i="5"/>
  <c r="S546" i="8"/>
  <c r="S546" i="5"/>
  <c r="R545" i="8"/>
  <c r="R545" i="5"/>
  <c r="U543" i="8"/>
  <c r="U543" i="5"/>
  <c r="S542" i="8"/>
  <c r="S542" i="5"/>
  <c r="U539" i="8"/>
  <c r="U539" i="5"/>
  <c r="S538" i="8"/>
  <c r="S538" i="5"/>
  <c r="U535" i="8"/>
  <c r="U535" i="5"/>
  <c r="S534" i="8"/>
  <c r="S534" i="5"/>
  <c r="U531" i="8"/>
  <c r="U531" i="5"/>
  <c r="S530" i="8"/>
  <c r="S530" i="5"/>
  <c r="R529" i="8"/>
  <c r="R529" i="5"/>
  <c r="U527" i="8"/>
  <c r="U527" i="5"/>
  <c r="S526" i="8"/>
  <c r="S526" i="5"/>
  <c r="R525" i="8"/>
  <c r="R525" i="5"/>
  <c r="U523" i="8"/>
  <c r="U523" i="5"/>
  <c r="S522" i="8"/>
  <c r="S522" i="5"/>
  <c r="U519" i="8"/>
  <c r="U519" i="5"/>
  <c r="S518" i="8"/>
  <c r="S518" i="5"/>
  <c r="U515" i="8"/>
  <c r="U515" i="5"/>
  <c r="S514" i="8"/>
  <c r="S514" i="5"/>
  <c r="U511" i="8"/>
  <c r="U511" i="5"/>
  <c r="S510" i="8"/>
  <c r="S510" i="5"/>
  <c r="U507" i="8"/>
  <c r="U507" i="5"/>
  <c r="S506" i="8"/>
  <c r="S506" i="5"/>
  <c r="U503" i="8"/>
  <c r="U503" i="5"/>
  <c r="S502" i="8"/>
  <c r="S502" i="5"/>
  <c r="U499" i="8"/>
  <c r="U499" i="5"/>
  <c r="S498" i="8"/>
  <c r="S498" i="5"/>
  <c r="R497" i="8"/>
  <c r="R497" i="5"/>
  <c r="U495" i="8"/>
  <c r="U495" i="5"/>
  <c r="S494" i="8"/>
  <c r="S494" i="5"/>
  <c r="U491" i="8"/>
  <c r="U491" i="5"/>
  <c r="S490" i="8"/>
  <c r="S490" i="5"/>
  <c r="U487" i="8"/>
  <c r="U487" i="5"/>
  <c r="S486" i="8"/>
  <c r="S486" i="5"/>
  <c r="U483" i="8"/>
  <c r="U483" i="5"/>
  <c r="S482" i="8"/>
  <c r="S482" i="5"/>
  <c r="R481" i="8"/>
  <c r="R481" i="5"/>
  <c r="U479" i="8"/>
  <c r="U479" i="5"/>
  <c r="S478" i="8"/>
  <c r="S478" i="5"/>
  <c r="R477" i="8"/>
  <c r="R477" i="5"/>
  <c r="U475" i="8"/>
  <c r="U475" i="5"/>
  <c r="S474" i="8"/>
  <c r="S474" i="5"/>
  <c r="U471" i="8"/>
  <c r="U471" i="5"/>
  <c r="S470" i="8"/>
  <c r="S470" i="5"/>
  <c r="U467" i="8"/>
  <c r="U467" i="5"/>
  <c r="S466" i="8"/>
  <c r="S466" i="5"/>
  <c r="R465" i="8"/>
  <c r="R465" i="5"/>
  <c r="U463" i="8"/>
  <c r="U463" i="5"/>
  <c r="S462" i="8"/>
  <c r="S462" i="5"/>
  <c r="U459" i="8"/>
  <c r="U459" i="5"/>
  <c r="S458" i="8"/>
  <c r="S458" i="5"/>
  <c r="U455" i="8"/>
  <c r="U455" i="5"/>
  <c r="S454" i="8"/>
  <c r="S454" i="5"/>
  <c r="U451" i="8"/>
  <c r="U451" i="5"/>
  <c r="S450" i="8"/>
  <c r="S450" i="5"/>
  <c r="R449" i="8"/>
  <c r="R449" i="5"/>
  <c r="U447" i="8"/>
  <c r="U447" i="5"/>
  <c r="S446" i="8"/>
  <c r="S446" i="5"/>
  <c r="U443" i="8"/>
  <c r="U443" i="5"/>
  <c r="S442" i="8"/>
  <c r="S442" i="5"/>
  <c r="U439" i="8"/>
  <c r="U439" i="5"/>
  <c r="S438" i="8"/>
  <c r="S438" i="5"/>
  <c r="U435" i="8"/>
  <c r="U435" i="5"/>
  <c r="S434" i="8"/>
  <c r="S434" i="5"/>
  <c r="R433" i="8"/>
  <c r="R433" i="5"/>
  <c r="U431" i="8"/>
  <c r="U431" i="5"/>
  <c r="S430" i="8"/>
  <c r="S430" i="5"/>
  <c r="U427" i="8"/>
  <c r="U427" i="5"/>
  <c r="S426" i="8"/>
  <c r="S426" i="5"/>
  <c r="U423" i="8"/>
  <c r="U423" i="5"/>
  <c r="S422" i="8"/>
  <c r="S422" i="5"/>
  <c r="U419" i="8"/>
  <c r="U419" i="5"/>
  <c r="S418" i="8"/>
  <c r="S418" i="5"/>
  <c r="R417" i="8"/>
  <c r="R417" i="5"/>
  <c r="U415" i="8"/>
  <c r="U415" i="5"/>
  <c r="S414" i="8"/>
  <c r="S414" i="5"/>
  <c r="U411" i="8"/>
  <c r="U411" i="5"/>
  <c r="S410" i="8"/>
  <c r="S410" i="5"/>
  <c r="U407" i="8"/>
  <c r="U407" i="5"/>
  <c r="S406" i="8"/>
  <c r="S406" i="5"/>
  <c r="U403" i="8"/>
  <c r="U403" i="5"/>
  <c r="S402" i="8"/>
  <c r="S402" i="5"/>
  <c r="R401" i="8"/>
  <c r="R401" i="5"/>
  <c r="U399" i="8"/>
  <c r="U399" i="5"/>
  <c r="S398" i="8"/>
  <c r="S398" i="5"/>
  <c r="U395" i="8"/>
  <c r="U395" i="5"/>
  <c r="S394" i="8"/>
  <c r="S394" i="5"/>
  <c r="U391" i="8"/>
  <c r="U391" i="5"/>
  <c r="S390" i="8"/>
  <c r="S390" i="5"/>
  <c r="U387" i="8"/>
  <c r="U387" i="5"/>
  <c r="S386" i="8"/>
  <c r="S386" i="5"/>
  <c r="R385" i="8"/>
  <c r="R385" i="5"/>
  <c r="U383" i="8"/>
  <c r="U383" i="5"/>
  <c r="S382" i="8"/>
  <c r="S382" i="5"/>
  <c r="U379" i="8"/>
  <c r="U379" i="5"/>
  <c r="S378" i="8"/>
  <c r="S378" i="5"/>
  <c r="U375" i="8"/>
  <c r="U375" i="5"/>
  <c r="S374" i="8"/>
  <c r="S374" i="5"/>
  <c r="U371" i="8"/>
  <c r="U371" i="5"/>
  <c r="S370" i="8"/>
  <c r="S370" i="5"/>
  <c r="R369" i="8"/>
  <c r="R369" i="5"/>
  <c r="U367" i="8"/>
  <c r="U367" i="5"/>
  <c r="S366" i="8"/>
  <c r="S366" i="5"/>
  <c r="U363" i="8"/>
  <c r="U363" i="5"/>
  <c r="S362" i="8"/>
  <c r="S362" i="5"/>
  <c r="U359" i="8"/>
  <c r="U359" i="5"/>
  <c r="S358" i="8"/>
  <c r="S358" i="5"/>
  <c r="U355" i="8"/>
  <c r="U355" i="5"/>
  <c r="S354" i="8"/>
  <c r="S354" i="5"/>
  <c r="R353" i="8"/>
  <c r="R353" i="5"/>
  <c r="U351" i="8"/>
  <c r="U351" i="5"/>
  <c r="S350" i="8"/>
  <c r="S350" i="5"/>
  <c r="U347" i="8"/>
  <c r="U347" i="5"/>
  <c r="S346" i="8"/>
  <c r="S346" i="5"/>
  <c r="U343" i="8"/>
  <c r="U343" i="5"/>
  <c r="S342" i="8"/>
  <c r="S342" i="5"/>
  <c r="U339" i="8"/>
  <c r="U339" i="5"/>
  <c r="S338" i="8"/>
  <c r="S338" i="5"/>
  <c r="U335" i="8"/>
  <c r="U335" i="5"/>
  <c r="S334" i="8"/>
  <c r="S334" i="5"/>
  <c r="U331" i="8"/>
  <c r="U331" i="5"/>
  <c r="S330" i="8"/>
  <c r="S330" i="5"/>
  <c r="U327" i="8"/>
  <c r="U327" i="5"/>
  <c r="S326" i="8"/>
  <c r="S326" i="5"/>
  <c r="U323" i="8"/>
  <c r="U323" i="5"/>
  <c r="S322" i="8"/>
  <c r="S322" i="5"/>
  <c r="R321" i="8"/>
  <c r="R321" i="5"/>
  <c r="U319" i="8"/>
  <c r="U319" i="5"/>
  <c r="S318" i="8"/>
  <c r="S318" i="5"/>
  <c r="U315" i="8"/>
  <c r="U315" i="5"/>
  <c r="S314" i="8"/>
  <c r="S314" i="5"/>
  <c r="U311" i="8"/>
  <c r="U311" i="5"/>
  <c r="S310" i="8"/>
  <c r="S310" i="5"/>
  <c r="U307" i="8"/>
  <c r="U307" i="5"/>
  <c r="S306" i="8"/>
  <c r="S306" i="5"/>
  <c r="R305" i="8"/>
  <c r="R305" i="5"/>
  <c r="U303" i="8"/>
  <c r="U303" i="5"/>
  <c r="S302" i="8"/>
  <c r="S302" i="5"/>
  <c r="R301" i="8"/>
  <c r="R301" i="5"/>
  <c r="U299" i="8"/>
  <c r="U299" i="5"/>
  <c r="S298" i="8"/>
  <c r="S298" i="5"/>
  <c r="U295" i="8"/>
  <c r="U295" i="5"/>
  <c r="S294" i="8"/>
  <c r="S294" i="5"/>
  <c r="R293" i="8"/>
  <c r="R293" i="5"/>
  <c r="U291" i="8"/>
  <c r="U291" i="5"/>
  <c r="S290" i="8"/>
  <c r="S290" i="5"/>
  <c r="R289" i="8"/>
  <c r="R289" i="5"/>
  <c r="U287" i="8"/>
  <c r="U287" i="5"/>
  <c r="S286" i="8"/>
  <c r="S286" i="5"/>
  <c r="U283" i="8"/>
  <c r="U283" i="5"/>
  <c r="S282" i="8"/>
  <c r="S282" i="5"/>
  <c r="U279" i="8"/>
  <c r="U279" i="5"/>
  <c r="S278" i="8"/>
  <c r="S278" i="5"/>
  <c r="R277" i="8"/>
  <c r="R277" i="5"/>
  <c r="U275" i="8"/>
  <c r="U275" i="5"/>
  <c r="S274" i="8"/>
  <c r="S274" i="5"/>
  <c r="R273" i="8"/>
  <c r="R273" i="5"/>
  <c r="U271" i="8"/>
  <c r="U271" i="5"/>
  <c r="S270" i="8"/>
  <c r="S270" i="5"/>
  <c r="U267" i="8"/>
  <c r="U267" i="5"/>
  <c r="S266" i="8"/>
  <c r="S266" i="5"/>
  <c r="U263" i="8"/>
  <c r="U263" i="5"/>
  <c r="S262" i="8"/>
  <c r="S262" i="5"/>
  <c r="U259" i="8"/>
  <c r="U259" i="5"/>
  <c r="S258" i="8"/>
  <c r="S258" i="5"/>
  <c r="R257" i="8"/>
  <c r="R257" i="5"/>
  <c r="U255" i="8"/>
  <c r="U255" i="5"/>
  <c r="S254" i="8"/>
  <c r="S254" i="5"/>
  <c r="U251" i="8"/>
  <c r="U251" i="5"/>
  <c r="S250" i="8"/>
  <c r="S250" i="5"/>
  <c r="U247" i="8"/>
  <c r="U247" i="5"/>
  <c r="S246" i="8"/>
  <c r="S246" i="5"/>
  <c r="R245" i="8"/>
  <c r="R245" i="5"/>
  <c r="U243" i="8"/>
  <c r="U243" i="5"/>
  <c r="S242" i="8"/>
  <c r="S242" i="5"/>
  <c r="R241" i="8"/>
  <c r="R241" i="5"/>
  <c r="U239" i="8"/>
  <c r="U239" i="5"/>
  <c r="S238" i="8"/>
  <c r="S238" i="5"/>
  <c r="R237" i="8"/>
  <c r="R237" i="5"/>
  <c r="U235" i="8"/>
  <c r="U235" i="5"/>
  <c r="S234" i="8"/>
  <c r="S234" i="5"/>
  <c r="U231" i="8"/>
  <c r="U231" i="5"/>
  <c r="S230" i="8"/>
  <c r="S230" i="5"/>
  <c r="U227" i="8"/>
  <c r="U227" i="5"/>
  <c r="S226" i="8"/>
  <c r="S226" i="5"/>
  <c r="R225" i="8"/>
  <c r="R225" i="5"/>
  <c r="U223" i="8"/>
  <c r="U223" i="5"/>
  <c r="S222" i="8"/>
  <c r="S222" i="5"/>
  <c r="U219" i="8"/>
  <c r="U219" i="5"/>
  <c r="S218" i="8"/>
  <c r="S218" i="5"/>
  <c r="U215" i="8"/>
  <c r="U215" i="5"/>
  <c r="S214" i="8"/>
  <c r="S214" i="5"/>
  <c r="U211" i="8"/>
  <c r="U211" i="5"/>
  <c r="S210" i="8"/>
  <c r="S210" i="5"/>
  <c r="U207" i="8"/>
  <c r="U207" i="5"/>
  <c r="S206" i="8"/>
  <c r="S206" i="5"/>
  <c r="U203" i="8"/>
  <c r="U203" i="5"/>
  <c r="S202" i="8"/>
  <c r="S202" i="5"/>
  <c r="U199" i="8"/>
  <c r="U199" i="5"/>
  <c r="S198" i="8"/>
  <c r="S198" i="5"/>
  <c r="U195" i="8"/>
  <c r="U195" i="5"/>
  <c r="S194" i="8"/>
  <c r="S194" i="5"/>
  <c r="R193" i="8"/>
  <c r="R193" i="5"/>
  <c r="U191" i="8"/>
  <c r="U191" i="5"/>
  <c r="S190" i="8"/>
  <c r="S190" i="5"/>
  <c r="U187" i="8"/>
  <c r="U187" i="5"/>
  <c r="S186" i="8"/>
  <c r="S186" i="5"/>
  <c r="U183" i="8"/>
  <c r="U183" i="5"/>
  <c r="S182" i="8"/>
  <c r="S182" i="5"/>
  <c r="U179" i="8"/>
  <c r="U179" i="5"/>
  <c r="S178" i="8"/>
  <c r="S178" i="5"/>
  <c r="R177" i="8"/>
  <c r="R177" i="5"/>
  <c r="U175" i="8"/>
  <c r="U175" i="5"/>
  <c r="S174" i="8"/>
  <c r="S174" i="5"/>
  <c r="U171" i="8"/>
  <c r="U171" i="5"/>
  <c r="S170" i="8"/>
  <c r="S170" i="5"/>
  <c r="U167" i="8"/>
  <c r="U167" i="5"/>
  <c r="S166" i="8"/>
  <c r="S166" i="5"/>
  <c r="U163" i="8"/>
  <c r="U163" i="5"/>
  <c r="S162" i="8"/>
  <c r="S162" i="5"/>
  <c r="R161" i="8"/>
  <c r="R161" i="5"/>
  <c r="U159" i="8"/>
  <c r="U159" i="5"/>
  <c r="S158" i="8"/>
  <c r="S158" i="5"/>
  <c r="U155" i="8"/>
  <c r="U155" i="5"/>
  <c r="S154" i="8"/>
  <c r="S154" i="5"/>
  <c r="U151" i="8"/>
  <c r="U151" i="5"/>
  <c r="S150" i="8"/>
  <c r="S150" i="5"/>
  <c r="U147" i="8"/>
  <c r="U147" i="5"/>
  <c r="S146" i="8"/>
  <c r="S146" i="5"/>
  <c r="R145" i="8"/>
  <c r="R145" i="5"/>
  <c r="U143" i="8"/>
  <c r="U143" i="5"/>
  <c r="S142" i="8"/>
  <c r="S142" i="5"/>
  <c r="U139" i="8"/>
  <c r="U139" i="5"/>
  <c r="S138" i="8"/>
  <c r="S138" i="5"/>
  <c r="U135" i="8"/>
  <c r="U135" i="5"/>
  <c r="S134" i="8"/>
  <c r="S134" i="5"/>
  <c r="U131" i="8"/>
  <c r="U131" i="5"/>
  <c r="S130" i="8"/>
  <c r="S130" i="5"/>
  <c r="R129" i="8"/>
  <c r="R129" i="5"/>
  <c r="U127" i="8"/>
  <c r="U127" i="5"/>
  <c r="S126" i="8"/>
  <c r="S126" i="5"/>
  <c r="U123" i="8"/>
  <c r="U123" i="5"/>
  <c r="S122" i="8"/>
  <c r="S122" i="5"/>
  <c r="U119" i="8"/>
  <c r="U119" i="5"/>
  <c r="S118" i="8"/>
  <c r="S118" i="5"/>
  <c r="U115" i="8"/>
  <c r="U115" i="5"/>
  <c r="S114" i="8"/>
  <c r="S114" i="5"/>
  <c r="R113" i="8"/>
  <c r="R113" i="5"/>
  <c r="U111" i="8"/>
  <c r="U111" i="5"/>
  <c r="S110" i="8"/>
  <c r="S110" i="5"/>
  <c r="U107" i="8"/>
  <c r="U107" i="5"/>
  <c r="S106" i="8"/>
  <c r="S106" i="5"/>
  <c r="U103" i="8"/>
  <c r="U103" i="5"/>
  <c r="S102" i="8"/>
  <c r="S102" i="5"/>
  <c r="U99" i="8"/>
  <c r="U99" i="5"/>
  <c r="S98" i="8"/>
  <c r="S98" i="5"/>
  <c r="R97" i="8"/>
  <c r="R97" i="5"/>
  <c r="U95" i="8"/>
  <c r="U95" i="5"/>
  <c r="S94" i="8"/>
  <c r="S94" i="5"/>
  <c r="R93" i="8"/>
  <c r="R93" i="5"/>
  <c r="U91" i="8"/>
  <c r="U91" i="5"/>
  <c r="S90" i="8"/>
  <c r="S90" i="5"/>
  <c r="U87" i="8"/>
  <c r="U87" i="5"/>
  <c r="S86" i="8"/>
  <c r="S86" i="5"/>
  <c r="U83" i="8"/>
  <c r="U83" i="5"/>
  <c r="S82" i="8"/>
  <c r="S82" i="5"/>
  <c r="R81" i="8"/>
  <c r="R81" i="5"/>
  <c r="U79" i="8"/>
  <c r="U79" i="5"/>
  <c r="S78" i="8"/>
  <c r="S78" i="5"/>
  <c r="U75" i="8"/>
  <c r="U75" i="5"/>
  <c r="S74" i="8"/>
  <c r="S74" i="5"/>
  <c r="U71" i="8"/>
  <c r="U71" i="5"/>
  <c r="S70" i="8"/>
  <c r="S70" i="5"/>
  <c r="R69" i="8"/>
  <c r="R69" i="5"/>
  <c r="U67" i="8"/>
  <c r="U67" i="5"/>
  <c r="S66" i="8"/>
  <c r="S66" i="5"/>
  <c r="R65" i="8"/>
  <c r="R65" i="5"/>
  <c r="U63" i="8"/>
  <c r="U63" i="5"/>
  <c r="S62" i="8"/>
  <c r="S62" i="5"/>
  <c r="R61" i="8"/>
  <c r="R61" i="5"/>
  <c r="U59" i="8"/>
  <c r="U59" i="5"/>
  <c r="S58" i="8"/>
  <c r="S58" i="5"/>
  <c r="U55" i="8"/>
  <c r="U55" i="5"/>
  <c r="S54" i="8"/>
  <c r="S54" i="5"/>
  <c r="U51" i="8"/>
  <c r="U51" i="5"/>
  <c r="G14" i="5"/>
  <c r="G322" i="5"/>
  <c r="G330" i="5"/>
  <c r="G502" i="5"/>
  <c r="G746" i="5"/>
  <c r="G918" i="5"/>
  <c r="G898" i="5"/>
  <c r="G910" i="5"/>
  <c r="G930" i="5"/>
  <c r="G942" i="5"/>
  <c r="G1018" i="5"/>
  <c r="G123" i="5"/>
  <c r="G499" i="5"/>
  <c r="G511" i="5"/>
  <c r="G739" i="5"/>
  <c r="G751" i="5"/>
  <c r="G919" i="5"/>
  <c r="G899" i="5"/>
  <c r="G911" i="5"/>
  <c r="G935" i="5"/>
  <c r="G1019" i="5"/>
  <c r="G6" i="5"/>
  <c r="G119" i="5"/>
  <c r="G323" i="5"/>
  <c r="G327" i="5"/>
  <c r="G335" i="5"/>
  <c r="G503" i="5"/>
  <c r="G507" i="5"/>
  <c r="G743" i="5"/>
  <c r="G747" i="5"/>
  <c r="G915" i="5"/>
  <c r="G923" i="5"/>
  <c r="G927" i="5"/>
  <c r="G903" i="5"/>
  <c r="G907" i="5"/>
  <c r="G931" i="5"/>
  <c r="G939" i="5"/>
  <c r="G943" i="5"/>
  <c r="G1011" i="5"/>
  <c r="G1015" i="5"/>
  <c r="G4" i="5"/>
  <c r="G124" i="5"/>
  <c r="G336" i="5"/>
  <c r="G504" i="5"/>
  <c r="G512" i="5"/>
  <c r="G744" i="5"/>
  <c r="G752" i="5"/>
  <c r="G916" i="5"/>
  <c r="G928" i="5"/>
  <c r="G900" i="5"/>
  <c r="G908" i="5"/>
  <c r="G936" i="5"/>
  <c r="G944" i="5"/>
  <c r="G1012" i="5"/>
  <c r="G1016" i="5"/>
  <c r="G1020" i="5"/>
  <c r="G120" i="5"/>
  <c r="G332" i="5"/>
  <c r="G500" i="5"/>
  <c r="G508" i="5"/>
  <c r="G740" i="5"/>
  <c r="G748" i="5"/>
  <c r="G920" i="5"/>
  <c r="G924" i="5"/>
  <c r="G904" i="5"/>
  <c r="G912" i="5"/>
  <c r="G932" i="5"/>
  <c r="G940" i="5"/>
  <c r="K1032" i="5"/>
  <c r="G1024" i="5"/>
  <c r="G8" i="5"/>
  <c r="G16" i="5"/>
  <c r="G116" i="5"/>
  <c r="G324" i="5"/>
  <c r="G5" i="5"/>
  <c r="G121" i="5"/>
  <c r="G125" i="5"/>
  <c r="G329" i="5"/>
  <c r="G333" i="5"/>
  <c r="G501" i="5"/>
  <c r="G741" i="5"/>
  <c r="G745" i="5"/>
  <c r="G749" i="5"/>
  <c r="G917" i="5"/>
  <c r="G905" i="5"/>
  <c r="G909" i="5"/>
  <c r="G1013" i="5"/>
  <c r="G1021" i="5"/>
  <c r="G12" i="5"/>
  <c r="G128" i="5"/>
  <c r="G328" i="5"/>
  <c r="G9" i="5"/>
  <c r="G13" i="5"/>
  <c r="G117" i="5"/>
  <c r="G325" i="5"/>
  <c r="G505" i="5"/>
  <c r="G509" i="5"/>
  <c r="G921" i="5"/>
  <c r="G925" i="5"/>
  <c r="G901" i="5"/>
  <c r="G933" i="5"/>
  <c r="G937" i="5"/>
  <c r="G941" i="5"/>
  <c r="G1017" i="5"/>
  <c r="G10" i="5"/>
  <c r="G326" i="5"/>
  <c r="G334" i="5"/>
  <c r="G498" i="5"/>
  <c r="G506" i="5"/>
  <c r="G510" i="5"/>
  <c r="G738" i="5"/>
  <c r="G742" i="5"/>
  <c r="G750" i="5"/>
  <c r="G914" i="5"/>
  <c r="G922" i="5"/>
  <c r="G926" i="5"/>
  <c r="G902" i="5"/>
  <c r="G906" i="5"/>
  <c r="G934" i="5"/>
  <c r="G938" i="5"/>
  <c r="G1010" i="5"/>
  <c r="G1014" i="5"/>
  <c r="K1026" i="5"/>
  <c r="K1030" i="5"/>
  <c r="G115" i="5"/>
  <c r="G127" i="5"/>
  <c r="G3" i="5"/>
  <c r="G11" i="5"/>
  <c r="G15" i="5"/>
  <c r="G7" i="5"/>
  <c r="G122" i="5"/>
  <c r="G1022" i="5"/>
  <c r="G114" i="5"/>
  <c r="G118" i="5"/>
  <c r="G126" i="5"/>
  <c r="G331" i="5"/>
  <c r="G23" i="5"/>
  <c r="G39" i="5"/>
  <c r="G55" i="5"/>
  <c r="G71" i="5"/>
  <c r="G87" i="5"/>
  <c r="G103" i="5"/>
  <c r="G20" i="5"/>
  <c r="G36" i="5"/>
  <c r="G52" i="5"/>
  <c r="G68" i="5"/>
  <c r="G84" i="5"/>
  <c r="G100" i="5"/>
  <c r="G18" i="5"/>
  <c r="G34" i="5"/>
  <c r="G50" i="5"/>
  <c r="G66" i="5"/>
  <c r="G82" i="5"/>
  <c r="G98" i="5"/>
  <c r="G22" i="5"/>
  <c r="G38" i="5"/>
  <c r="G54" i="5"/>
  <c r="G70" i="5"/>
  <c r="G86" i="5"/>
  <c r="G102" i="5"/>
  <c r="G30" i="5"/>
  <c r="G46" i="5"/>
  <c r="G62" i="5"/>
  <c r="G78" i="5"/>
  <c r="G94" i="5"/>
  <c r="G110" i="5"/>
  <c r="G130" i="5"/>
  <c r="G146" i="5"/>
  <c r="G162" i="5"/>
  <c r="G178" i="5"/>
  <c r="G194" i="5"/>
  <c r="G210" i="5"/>
  <c r="G242" i="5"/>
  <c r="G258" i="5"/>
  <c r="G274" i="5"/>
  <c r="G290" i="5"/>
  <c r="G306" i="5"/>
  <c r="G226" i="5"/>
  <c r="G138" i="5"/>
  <c r="G154" i="5"/>
  <c r="G170" i="5"/>
  <c r="G186" i="5"/>
  <c r="G202" i="5"/>
  <c r="G250" i="5"/>
  <c r="G266" i="5"/>
  <c r="G282" i="5"/>
  <c r="G298" i="5"/>
  <c r="G314" i="5"/>
  <c r="G234" i="5"/>
  <c r="G218" i="5"/>
  <c r="G342" i="5"/>
  <c r="G358" i="5"/>
  <c r="G374" i="5"/>
  <c r="G390" i="5"/>
  <c r="G406" i="5"/>
  <c r="G422" i="5"/>
  <c r="G438" i="5"/>
  <c r="G454" i="5"/>
  <c r="G470" i="5"/>
  <c r="G486" i="5"/>
  <c r="G350" i="5"/>
  <c r="G366" i="5"/>
  <c r="G382" i="5"/>
  <c r="G398" i="5"/>
  <c r="G414" i="5"/>
  <c r="G430" i="5"/>
  <c r="G446" i="5"/>
  <c r="G462" i="5"/>
  <c r="G478" i="5"/>
  <c r="G494" i="5"/>
  <c r="G514" i="5"/>
  <c r="G530" i="5"/>
  <c r="G546" i="5"/>
  <c r="G562" i="5"/>
  <c r="G578" i="5"/>
  <c r="G594" i="5"/>
  <c r="G610" i="5"/>
  <c r="G626" i="5"/>
  <c r="G642" i="5"/>
  <c r="G658" i="5"/>
  <c r="G674" i="5"/>
  <c r="G690" i="5"/>
  <c r="G706" i="5"/>
  <c r="G722" i="5"/>
  <c r="G522" i="5"/>
  <c r="G538" i="5"/>
  <c r="G554" i="5"/>
  <c r="G570" i="5"/>
  <c r="G586" i="5"/>
  <c r="G602" i="5"/>
  <c r="G618" i="5"/>
  <c r="G634" i="5"/>
  <c r="G650" i="5"/>
  <c r="G666" i="5"/>
  <c r="G682" i="5"/>
  <c r="G698" i="5"/>
  <c r="G714" i="5"/>
  <c r="G730" i="5"/>
  <c r="G526" i="5"/>
  <c r="G542" i="5"/>
  <c r="G558" i="5"/>
  <c r="G574" i="5"/>
  <c r="G590" i="5"/>
  <c r="G606" i="5"/>
  <c r="G622" i="5"/>
  <c r="G638" i="5"/>
  <c r="G654" i="5"/>
  <c r="G670" i="5"/>
  <c r="G686" i="5"/>
  <c r="G702" i="5"/>
  <c r="G718" i="5"/>
  <c r="G734" i="5"/>
  <c r="G754" i="5"/>
  <c r="G770" i="5"/>
  <c r="G786" i="5"/>
  <c r="G802" i="5"/>
  <c r="G850" i="5"/>
  <c r="G818" i="5"/>
  <c r="G882" i="5"/>
  <c r="G834" i="5"/>
  <c r="G866" i="5"/>
  <c r="G758" i="5"/>
  <c r="G774" i="5"/>
  <c r="G790" i="5"/>
  <c r="G806" i="5"/>
  <c r="G822" i="5"/>
  <c r="G886" i="5"/>
  <c r="G838" i="5"/>
  <c r="G870" i="5"/>
  <c r="G854" i="5"/>
  <c r="G766" i="5"/>
  <c r="G782" i="5"/>
  <c r="G798" i="5"/>
  <c r="G846" i="5"/>
  <c r="G878" i="5"/>
  <c r="G894" i="5"/>
  <c r="G814" i="5"/>
  <c r="G862" i="5"/>
  <c r="G830" i="5"/>
  <c r="G950" i="5"/>
  <c r="G966" i="5"/>
  <c r="G982" i="5"/>
  <c r="G998" i="5"/>
  <c r="G958" i="5"/>
  <c r="G974" i="5"/>
  <c r="G990" i="5"/>
  <c r="G1006" i="5"/>
  <c r="G1030" i="5"/>
  <c r="G1046" i="5"/>
  <c r="G1062" i="5"/>
  <c r="G755" i="5"/>
  <c r="G771" i="5"/>
  <c r="G787" i="5"/>
  <c r="G803" i="5"/>
  <c r="G819" i="5"/>
  <c r="G835" i="5"/>
  <c r="G867" i="5"/>
  <c r="G851" i="5"/>
  <c r="G883" i="5"/>
  <c r="G763" i="5"/>
  <c r="G779" i="5"/>
  <c r="G795" i="5"/>
  <c r="G811" i="5"/>
  <c r="G859" i="5"/>
  <c r="G827" i="5"/>
  <c r="G843" i="5"/>
  <c r="G875" i="5"/>
  <c r="G891" i="5"/>
  <c r="G515" i="5"/>
  <c r="G531" i="5"/>
  <c r="G547" i="5"/>
  <c r="G563" i="5"/>
  <c r="G579" i="5"/>
  <c r="G595" i="5"/>
  <c r="G611" i="5"/>
  <c r="G627" i="5"/>
  <c r="G643" i="5"/>
  <c r="G659" i="5"/>
  <c r="G675" i="5"/>
  <c r="G691" i="5"/>
  <c r="G707" i="5"/>
  <c r="G723" i="5"/>
  <c r="G519" i="5"/>
  <c r="G535" i="5"/>
  <c r="G551" i="5"/>
  <c r="G567" i="5"/>
  <c r="G583" i="5"/>
  <c r="G599" i="5"/>
  <c r="G615" i="5"/>
  <c r="G631" i="5"/>
  <c r="G647" i="5"/>
  <c r="G663" i="5"/>
  <c r="G679" i="5"/>
  <c r="G695" i="5"/>
  <c r="G711" i="5"/>
  <c r="G727" i="5"/>
  <c r="G523" i="5"/>
  <c r="G539" i="5"/>
  <c r="G555" i="5"/>
  <c r="G571" i="5"/>
  <c r="G587" i="5"/>
  <c r="G603" i="5"/>
  <c r="G619" i="5"/>
  <c r="G635" i="5"/>
  <c r="G651" i="5"/>
  <c r="G667" i="5"/>
  <c r="G683" i="5"/>
  <c r="G699" i="5"/>
  <c r="G715" i="5"/>
  <c r="G731" i="5"/>
  <c r="G527" i="5"/>
  <c r="G543" i="5"/>
  <c r="G559" i="5"/>
  <c r="G575" i="5"/>
  <c r="G591" i="5"/>
  <c r="G607" i="5"/>
  <c r="G623" i="5"/>
  <c r="G639" i="5"/>
  <c r="G655" i="5"/>
  <c r="G671" i="5"/>
  <c r="G687" i="5"/>
  <c r="G703" i="5"/>
  <c r="G719" i="5"/>
  <c r="G735" i="5"/>
  <c r="G759" i="5"/>
  <c r="G775" i="5"/>
  <c r="G791" i="5"/>
  <c r="G807" i="5"/>
  <c r="G823" i="5"/>
  <c r="G855" i="5"/>
  <c r="G887" i="5"/>
  <c r="G839" i="5"/>
  <c r="G871" i="5"/>
  <c r="G767" i="5"/>
  <c r="G783" i="5"/>
  <c r="G799" i="5"/>
  <c r="G815" i="5"/>
  <c r="G831" i="5"/>
  <c r="G847" i="5"/>
  <c r="G879" i="5"/>
  <c r="G895" i="5"/>
  <c r="G863" i="5"/>
  <c r="G947" i="5"/>
  <c r="G963" i="5"/>
  <c r="G979" i="5"/>
  <c r="G995" i="5"/>
  <c r="G951" i="5"/>
  <c r="G967" i="5"/>
  <c r="G983" i="5"/>
  <c r="G999" i="5"/>
  <c r="G955" i="5"/>
  <c r="G971" i="5"/>
  <c r="G987" i="5"/>
  <c r="G1003" i="5"/>
  <c r="G959" i="5"/>
  <c r="G975" i="5"/>
  <c r="G991" i="5"/>
  <c r="G1007" i="5"/>
  <c r="G1027" i="5"/>
  <c r="G1043" i="5"/>
  <c r="G1059" i="5"/>
  <c r="G1031" i="5"/>
  <c r="G1047" i="5"/>
  <c r="G1063" i="5"/>
  <c r="G1035" i="5"/>
  <c r="G1051" i="5"/>
  <c r="G1067" i="5"/>
  <c r="G1039" i="5"/>
  <c r="G1055" i="5"/>
  <c r="G1071" i="5"/>
  <c r="G1023" i="5"/>
  <c r="G28" i="5"/>
  <c r="G44" i="5"/>
  <c r="G60" i="5"/>
  <c r="G76" i="5"/>
  <c r="G92" i="5"/>
  <c r="G108" i="5"/>
  <c r="G516" i="5"/>
  <c r="G532" i="5"/>
  <c r="G548" i="5"/>
  <c r="G564" i="5"/>
  <c r="G580" i="5"/>
  <c r="G596" i="5"/>
  <c r="G612" i="5"/>
  <c r="G628" i="5"/>
  <c r="G644" i="5"/>
  <c r="G660" i="5"/>
  <c r="G676" i="5"/>
  <c r="G692" i="5"/>
  <c r="G708" i="5"/>
  <c r="G724" i="5"/>
  <c r="G524" i="5"/>
  <c r="G540" i="5"/>
  <c r="G556" i="5"/>
  <c r="G572" i="5"/>
  <c r="G588" i="5"/>
  <c r="G604" i="5"/>
  <c r="G620" i="5"/>
  <c r="G636" i="5"/>
  <c r="G652" i="5"/>
  <c r="G668" i="5"/>
  <c r="G684" i="5"/>
  <c r="G700" i="5"/>
  <c r="G716" i="5"/>
  <c r="G732" i="5"/>
  <c r="G760" i="5"/>
  <c r="G776" i="5"/>
  <c r="G792" i="5"/>
  <c r="G808" i="5"/>
  <c r="G824" i="5"/>
  <c r="G840" i="5"/>
  <c r="G856" i="5"/>
  <c r="G872" i="5"/>
  <c r="G888" i="5"/>
  <c r="G768" i="5"/>
  <c r="G784" i="5"/>
  <c r="G800" i="5"/>
  <c r="G816" i="5"/>
  <c r="G832" i="5"/>
  <c r="G848" i="5"/>
  <c r="G864" i="5"/>
  <c r="G880" i="5"/>
  <c r="G896" i="5"/>
  <c r="G952" i="5"/>
  <c r="G968" i="5"/>
  <c r="G984" i="5"/>
  <c r="G1000" i="5"/>
  <c r="G956" i="5"/>
  <c r="G972" i="5"/>
  <c r="G988" i="5"/>
  <c r="G1004" i="5"/>
  <c r="G1032" i="5"/>
  <c r="G1048" i="5"/>
  <c r="G1064" i="5"/>
  <c r="G1036" i="5"/>
  <c r="G1052" i="5"/>
  <c r="G1068" i="5"/>
  <c r="G140" i="5"/>
  <c r="G156" i="5"/>
  <c r="G172" i="5"/>
  <c r="G188" i="5"/>
  <c r="G204" i="5"/>
  <c r="G220" i="5"/>
  <c r="G236" i="5"/>
  <c r="G252" i="5"/>
  <c r="G268" i="5"/>
  <c r="G284" i="5"/>
  <c r="G300" i="5"/>
  <c r="G316" i="5"/>
  <c r="G520" i="5"/>
  <c r="G536" i="5"/>
  <c r="G552" i="5"/>
  <c r="G568" i="5"/>
  <c r="G584" i="5"/>
  <c r="G600" i="5"/>
  <c r="G616" i="5"/>
  <c r="G632" i="5"/>
  <c r="G648" i="5"/>
  <c r="G664" i="5"/>
  <c r="G680" i="5"/>
  <c r="G696" i="5"/>
  <c r="G712" i="5"/>
  <c r="G728" i="5"/>
  <c r="G528" i="5"/>
  <c r="G544" i="5"/>
  <c r="G560" i="5"/>
  <c r="G576" i="5"/>
  <c r="G592" i="5"/>
  <c r="G608" i="5"/>
  <c r="G624" i="5"/>
  <c r="G640" i="5"/>
  <c r="G656" i="5"/>
  <c r="G672" i="5"/>
  <c r="G688" i="5"/>
  <c r="G704" i="5"/>
  <c r="G720" i="5"/>
  <c r="G736" i="5"/>
  <c r="G756" i="5"/>
  <c r="G772" i="5"/>
  <c r="G788" i="5"/>
  <c r="G804" i="5"/>
  <c r="G884" i="5"/>
  <c r="G836" i="5"/>
  <c r="G868" i="5"/>
  <c r="G852" i="5"/>
  <c r="G820" i="5"/>
  <c r="G764" i="5"/>
  <c r="G780" i="5"/>
  <c r="G796" i="5"/>
  <c r="G876" i="5"/>
  <c r="G892" i="5"/>
  <c r="G812" i="5"/>
  <c r="G860" i="5"/>
  <c r="G828" i="5"/>
  <c r="G844" i="5"/>
  <c r="G948" i="5"/>
  <c r="G964" i="5"/>
  <c r="G980" i="5"/>
  <c r="G996" i="5"/>
  <c r="G960" i="5"/>
  <c r="G976" i="5"/>
  <c r="G992" i="5"/>
  <c r="G1008" i="5"/>
  <c r="G1028" i="5"/>
  <c r="G1044" i="5"/>
  <c r="G1060" i="5"/>
  <c r="G1040" i="5"/>
  <c r="G1056" i="5"/>
  <c r="G1072" i="5"/>
  <c r="G31" i="5"/>
  <c r="G47" i="5"/>
  <c r="G63" i="5"/>
  <c r="G79" i="5"/>
  <c r="G95" i="5"/>
  <c r="G111" i="5"/>
  <c r="G131" i="5"/>
  <c r="G147" i="5"/>
  <c r="G163" i="5"/>
  <c r="G179" i="5"/>
  <c r="G195" i="5"/>
  <c r="G211" i="5"/>
  <c r="G243" i="5"/>
  <c r="G259" i="5"/>
  <c r="G275" i="5"/>
  <c r="G291" i="5"/>
  <c r="G307" i="5"/>
  <c r="G227" i="5"/>
  <c r="G139" i="5"/>
  <c r="G155" i="5"/>
  <c r="G171" i="5"/>
  <c r="G187" i="5"/>
  <c r="G203" i="5"/>
  <c r="G251" i="5"/>
  <c r="G267" i="5"/>
  <c r="G283" i="5"/>
  <c r="G299" i="5"/>
  <c r="G315" i="5"/>
  <c r="G235" i="5"/>
  <c r="G219" i="5"/>
  <c r="G344" i="5"/>
  <c r="G360" i="5"/>
  <c r="G376" i="5"/>
  <c r="G392" i="5"/>
  <c r="G408" i="5"/>
  <c r="G424" i="5"/>
  <c r="G440" i="5"/>
  <c r="G456" i="5"/>
  <c r="G472" i="5"/>
  <c r="G488" i="5"/>
  <c r="G352" i="5"/>
  <c r="G368" i="5"/>
  <c r="G384" i="5"/>
  <c r="G400" i="5"/>
  <c r="G416" i="5"/>
  <c r="G432" i="5"/>
  <c r="G448" i="5"/>
  <c r="G464" i="5"/>
  <c r="G480" i="5"/>
  <c r="G496" i="5"/>
  <c r="G25" i="5"/>
  <c r="G41" i="5"/>
  <c r="G57" i="5"/>
  <c r="G73" i="5"/>
  <c r="G89" i="5"/>
  <c r="G105" i="5"/>
  <c r="G33" i="5"/>
  <c r="G49" i="5"/>
  <c r="G65" i="5"/>
  <c r="G81" i="5"/>
  <c r="G97" i="5"/>
  <c r="G113" i="5"/>
  <c r="G137" i="5"/>
  <c r="G153" i="5"/>
  <c r="G169" i="5"/>
  <c r="G201" i="5"/>
  <c r="G249" i="5"/>
  <c r="G265" i="5"/>
  <c r="G281" i="5"/>
  <c r="G297" i="5"/>
  <c r="G313" i="5"/>
  <c r="G233" i="5"/>
  <c r="G185" i="5"/>
  <c r="G217" i="5"/>
  <c r="G145" i="5"/>
  <c r="G161" i="5"/>
  <c r="G177" i="5"/>
  <c r="G241" i="5"/>
  <c r="G257" i="5"/>
  <c r="G273" i="5"/>
  <c r="G289" i="5"/>
  <c r="G305" i="5"/>
  <c r="G321" i="5"/>
  <c r="G225" i="5"/>
  <c r="G193" i="5"/>
  <c r="G209" i="5"/>
  <c r="G341" i="5"/>
  <c r="G357" i="5"/>
  <c r="G373" i="5"/>
  <c r="G389" i="5"/>
  <c r="G405" i="5"/>
  <c r="G421" i="5"/>
  <c r="G437" i="5"/>
  <c r="G453" i="5"/>
  <c r="G469" i="5"/>
  <c r="G485" i="5"/>
  <c r="G349" i="5"/>
  <c r="G365" i="5"/>
  <c r="G381" i="5"/>
  <c r="G397" i="5"/>
  <c r="G413" i="5"/>
  <c r="G429" i="5"/>
  <c r="G445" i="5"/>
  <c r="G461" i="5"/>
  <c r="G477" i="5"/>
  <c r="G493" i="5"/>
  <c r="G521" i="5"/>
  <c r="G537" i="5"/>
  <c r="G553" i="5"/>
  <c r="G569" i="5"/>
  <c r="G585" i="5"/>
  <c r="G601" i="5"/>
  <c r="G617" i="5"/>
  <c r="G633" i="5"/>
  <c r="G649" i="5"/>
  <c r="G665" i="5"/>
  <c r="G681" i="5"/>
  <c r="G697" i="5"/>
  <c r="G713" i="5"/>
  <c r="G729" i="5"/>
  <c r="G761" i="5"/>
  <c r="G777" i="5"/>
  <c r="G793" i="5"/>
  <c r="G809" i="5"/>
  <c r="G825" i="5"/>
  <c r="G841" i="5"/>
  <c r="G857" i="5"/>
  <c r="G873" i="5"/>
  <c r="G889" i="5"/>
  <c r="G769" i="5"/>
  <c r="G785" i="5"/>
  <c r="G801" i="5"/>
  <c r="G817" i="5"/>
  <c r="G833" i="5"/>
  <c r="G849" i="5"/>
  <c r="G865" i="5"/>
  <c r="G881" i="5"/>
  <c r="G897" i="5"/>
  <c r="G953" i="5"/>
  <c r="G969" i="5"/>
  <c r="G985" i="5"/>
  <c r="G1001" i="5"/>
  <c r="G957" i="5"/>
  <c r="G973" i="5"/>
  <c r="G989" i="5"/>
  <c r="G1005" i="5"/>
  <c r="G27" i="5"/>
  <c r="G43" i="5"/>
  <c r="G59" i="5"/>
  <c r="G75" i="5"/>
  <c r="G91" i="5"/>
  <c r="G107" i="5"/>
  <c r="G247" i="5"/>
  <c r="G263" i="5"/>
  <c r="G279" i="5"/>
  <c r="G295" i="5"/>
  <c r="G311" i="5"/>
  <c r="G199" i="5"/>
  <c r="G231" i="5"/>
  <c r="G135" i="5"/>
  <c r="G183" i="5"/>
  <c r="G215" i="5"/>
  <c r="G151" i="5"/>
  <c r="G167" i="5"/>
  <c r="G343" i="5"/>
  <c r="G359" i="5"/>
  <c r="G375" i="5"/>
  <c r="G391" i="5"/>
  <c r="G407" i="5"/>
  <c r="G423" i="5"/>
  <c r="G439" i="5"/>
  <c r="G455" i="5"/>
  <c r="G471" i="5"/>
  <c r="G487" i="5"/>
  <c r="G351" i="5"/>
  <c r="G367" i="5"/>
  <c r="G383" i="5"/>
  <c r="G399" i="5"/>
  <c r="G415" i="5"/>
  <c r="G431" i="5"/>
  <c r="G447" i="5"/>
  <c r="G463" i="5"/>
  <c r="G479" i="5"/>
  <c r="G495" i="5"/>
  <c r="G21" i="5"/>
  <c r="G37" i="5"/>
  <c r="G53" i="5"/>
  <c r="G69" i="5"/>
  <c r="G85" i="5"/>
  <c r="G101" i="5"/>
  <c r="G29" i="5"/>
  <c r="G45" i="5"/>
  <c r="G61" i="5"/>
  <c r="G77" i="5"/>
  <c r="G93" i="5"/>
  <c r="G109" i="5"/>
  <c r="G133" i="5"/>
  <c r="G149" i="5"/>
  <c r="G165" i="5"/>
  <c r="G197" i="5"/>
  <c r="G181" i="5"/>
  <c r="G213" i="5"/>
  <c r="G245" i="5"/>
  <c r="G261" i="5"/>
  <c r="G277" i="5"/>
  <c r="G293" i="5"/>
  <c r="G309" i="5"/>
  <c r="G229" i="5"/>
  <c r="G141" i="5"/>
  <c r="G157" i="5"/>
  <c r="G173" i="5"/>
  <c r="G221" i="5"/>
  <c r="G205" i="5"/>
  <c r="G189" i="5"/>
  <c r="G237" i="5"/>
  <c r="G253" i="5"/>
  <c r="G269" i="5"/>
  <c r="G285" i="5"/>
  <c r="G301" i="5"/>
  <c r="G317" i="5"/>
  <c r="G345" i="5"/>
  <c r="G361" i="5"/>
  <c r="G377" i="5"/>
  <c r="G393" i="5"/>
  <c r="G409" i="5"/>
  <c r="G425" i="5"/>
  <c r="G441" i="5"/>
  <c r="G457" i="5"/>
  <c r="G473" i="5"/>
  <c r="G489" i="5"/>
  <c r="G353" i="5"/>
  <c r="G369" i="5"/>
  <c r="G385" i="5"/>
  <c r="G401" i="5"/>
  <c r="G417" i="5"/>
  <c r="G433" i="5"/>
  <c r="G449" i="5"/>
  <c r="G465" i="5"/>
  <c r="G481" i="5"/>
  <c r="G497" i="5"/>
  <c r="G517" i="5"/>
  <c r="G533" i="5"/>
  <c r="G549" i="5"/>
  <c r="G565" i="5"/>
  <c r="G581" i="5"/>
  <c r="G597" i="5"/>
  <c r="G613" i="5"/>
  <c r="G629" i="5"/>
  <c r="G645" i="5"/>
  <c r="G661" i="5"/>
  <c r="G677" i="5"/>
  <c r="G693" i="5"/>
  <c r="G709" i="5"/>
  <c r="G725" i="5"/>
  <c r="G525" i="5"/>
  <c r="G541" i="5"/>
  <c r="G557" i="5"/>
  <c r="G573" i="5"/>
  <c r="G589" i="5"/>
  <c r="G605" i="5"/>
  <c r="G621" i="5"/>
  <c r="G637" i="5"/>
  <c r="G653" i="5"/>
  <c r="G669" i="5"/>
  <c r="G685" i="5"/>
  <c r="G701" i="5"/>
  <c r="G717" i="5"/>
  <c r="G733" i="5"/>
  <c r="G529" i="5"/>
  <c r="G545" i="5"/>
  <c r="G561" i="5"/>
  <c r="G577" i="5"/>
  <c r="G593" i="5"/>
  <c r="G609" i="5"/>
  <c r="G625" i="5"/>
  <c r="G641" i="5"/>
  <c r="G657" i="5"/>
  <c r="G673" i="5"/>
  <c r="G689" i="5"/>
  <c r="G705" i="5"/>
  <c r="G721" i="5"/>
  <c r="G737" i="5"/>
  <c r="G757" i="5"/>
  <c r="G773" i="5"/>
  <c r="G789" i="5"/>
  <c r="G821" i="5"/>
  <c r="G885" i="5"/>
  <c r="G805" i="5"/>
  <c r="G837" i="5"/>
  <c r="G869" i="5"/>
  <c r="G853" i="5"/>
  <c r="G765" i="5"/>
  <c r="G781" i="5"/>
  <c r="G797" i="5"/>
  <c r="G845" i="5"/>
  <c r="G877" i="5"/>
  <c r="G893" i="5"/>
  <c r="G813" i="5"/>
  <c r="G861" i="5"/>
  <c r="G829" i="5"/>
  <c r="G949" i="5"/>
  <c r="G965" i="5"/>
  <c r="G981" i="5"/>
  <c r="G997" i="5"/>
  <c r="G961" i="5"/>
  <c r="G977" i="5"/>
  <c r="G993" i="5"/>
  <c r="G1009" i="5"/>
  <c r="G1029" i="5"/>
  <c r="G1045" i="5"/>
  <c r="G1061" i="5"/>
  <c r="G1033" i="5"/>
  <c r="G1049" i="5"/>
  <c r="G1065" i="5"/>
  <c r="G1037" i="5"/>
  <c r="G1053" i="5"/>
  <c r="G1069" i="5"/>
  <c r="G1041" i="5"/>
  <c r="G1057" i="5"/>
  <c r="G1073" i="5"/>
  <c r="G1025" i="5"/>
  <c r="G19" i="5"/>
  <c r="G35" i="5"/>
  <c r="G51" i="5"/>
  <c r="G67" i="5"/>
  <c r="G83" i="5"/>
  <c r="G99" i="5"/>
  <c r="G175" i="5"/>
  <c r="G239" i="5"/>
  <c r="G255" i="5"/>
  <c r="G271" i="5"/>
  <c r="G287" i="5"/>
  <c r="G303" i="5"/>
  <c r="G319" i="5"/>
  <c r="G223" i="5"/>
  <c r="G143" i="5"/>
  <c r="G159" i="5"/>
  <c r="G191" i="5"/>
  <c r="G207" i="5"/>
  <c r="G339" i="5"/>
  <c r="G355" i="5"/>
  <c r="G371" i="5"/>
  <c r="G387" i="5"/>
  <c r="G403" i="5"/>
  <c r="G419" i="5"/>
  <c r="G435" i="5"/>
  <c r="G451" i="5"/>
  <c r="G467" i="5"/>
  <c r="G483" i="5"/>
  <c r="G347" i="5"/>
  <c r="G363" i="5"/>
  <c r="G379" i="5"/>
  <c r="G395" i="5"/>
  <c r="G411" i="5"/>
  <c r="G427" i="5"/>
  <c r="G443" i="5"/>
  <c r="G459" i="5"/>
  <c r="G475" i="5"/>
  <c r="G491" i="5"/>
  <c r="G24" i="5"/>
  <c r="G40" i="5"/>
  <c r="G56" i="5"/>
  <c r="G72" i="5"/>
  <c r="G88" i="5"/>
  <c r="G104" i="5"/>
  <c r="G32" i="5"/>
  <c r="G48" i="5"/>
  <c r="G64" i="5"/>
  <c r="G80" i="5"/>
  <c r="G96" i="5"/>
  <c r="G112" i="5"/>
  <c r="G132" i="5"/>
  <c r="G148" i="5"/>
  <c r="G164" i="5"/>
  <c r="G180" i="5"/>
  <c r="G196" i="5"/>
  <c r="G212" i="5"/>
  <c r="G228" i="5"/>
  <c r="G244" i="5"/>
  <c r="G260" i="5"/>
  <c r="G276" i="5"/>
  <c r="G292" i="5"/>
  <c r="G308" i="5"/>
  <c r="G136" i="5"/>
  <c r="G152" i="5"/>
  <c r="G168" i="5"/>
  <c r="G184" i="5"/>
  <c r="G200" i="5"/>
  <c r="G216" i="5"/>
  <c r="G248" i="5"/>
  <c r="G264" i="5"/>
  <c r="G280" i="5"/>
  <c r="G296" i="5"/>
  <c r="G312" i="5"/>
  <c r="G232" i="5"/>
  <c r="G144" i="5"/>
  <c r="G160" i="5"/>
  <c r="G176" i="5"/>
  <c r="G192" i="5"/>
  <c r="G208" i="5"/>
  <c r="G240" i="5"/>
  <c r="G256" i="5"/>
  <c r="G272" i="5"/>
  <c r="G288" i="5"/>
  <c r="G304" i="5"/>
  <c r="G320" i="5"/>
  <c r="G224" i="5"/>
  <c r="G340" i="5"/>
  <c r="G356" i="5"/>
  <c r="G372" i="5"/>
  <c r="G388" i="5"/>
  <c r="G404" i="5"/>
  <c r="G420" i="5"/>
  <c r="G436" i="5"/>
  <c r="G452" i="5"/>
  <c r="G468" i="5"/>
  <c r="G484" i="5"/>
  <c r="G348" i="5"/>
  <c r="G364" i="5"/>
  <c r="G380" i="5"/>
  <c r="G396" i="5"/>
  <c r="G412" i="5"/>
  <c r="G428" i="5"/>
  <c r="G444" i="5"/>
  <c r="G460" i="5"/>
  <c r="G476" i="5"/>
  <c r="G492" i="5"/>
  <c r="G26" i="5"/>
  <c r="G42" i="5"/>
  <c r="G58" i="5"/>
  <c r="G74" i="5"/>
  <c r="G90" i="5"/>
  <c r="G106" i="5"/>
  <c r="G134" i="5"/>
  <c r="G150" i="5"/>
  <c r="G166" i="5"/>
  <c r="G182" i="5"/>
  <c r="G198" i="5"/>
  <c r="G230" i="5"/>
  <c r="G214" i="5"/>
  <c r="G246" i="5"/>
  <c r="G262" i="5"/>
  <c r="G278" i="5"/>
  <c r="G294" i="5"/>
  <c r="G310" i="5"/>
  <c r="G142" i="5"/>
  <c r="G158" i="5"/>
  <c r="G174" i="5"/>
  <c r="G190" i="5"/>
  <c r="G222" i="5"/>
  <c r="G206" i="5"/>
  <c r="G238" i="5"/>
  <c r="G254" i="5"/>
  <c r="G270" i="5"/>
  <c r="G286" i="5"/>
  <c r="G302" i="5"/>
  <c r="G318" i="5"/>
  <c r="G338" i="5"/>
  <c r="G354" i="5"/>
  <c r="G370" i="5"/>
  <c r="G386" i="5"/>
  <c r="G402" i="5"/>
  <c r="G418" i="5"/>
  <c r="G434" i="5"/>
  <c r="G450" i="5"/>
  <c r="G466" i="5"/>
  <c r="G482" i="5"/>
  <c r="G346" i="5"/>
  <c r="G362" i="5"/>
  <c r="G378" i="5"/>
  <c r="G394" i="5"/>
  <c r="G410" i="5"/>
  <c r="G426" i="5"/>
  <c r="G442" i="5"/>
  <c r="G458" i="5"/>
  <c r="G474" i="5"/>
  <c r="G490" i="5"/>
  <c r="G518" i="5"/>
  <c r="G534" i="5"/>
  <c r="G550" i="5"/>
  <c r="G566" i="5"/>
  <c r="G582" i="5"/>
  <c r="G598" i="5"/>
  <c r="G614" i="5"/>
  <c r="G630" i="5"/>
  <c r="G646" i="5"/>
  <c r="G662" i="5"/>
  <c r="G678" i="5"/>
  <c r="G694" i="5"/>
  <c r="G710" i="5"/>
  <c r="G726" i="5"/>
  <c r="G762" i="5"/>
  <c r="G778" i="5"/>
  <c r="G794" i="5"/>
  <c r="G810" i="5"/>
  <c r="G858" i="5"/>
  <c r="G826" i="5"/>
  <c r="G842" i="5"/>
  <c r="G874" i="5"/>
  <c r="G890" i="5"/>
  <c r="G946" i="5"/>
  <c r="G962" i="5"/>
  <c r="G978" i="5"/>
  <c r="G994" i="5"/>
  <c r="G954" i="5"/>
  <c r="G970" i="5"/>
  <c r="G986" i="5"/>
  <c r="G1002" i="5"/>
  <c r="G1026" i="5"/>
  <c r="G1042" i="5"/>
  <c r="G1058" i="5"/>
  <c r="G1034" i="5"/>
  <c r="G1050" i="5"/>
  <c r="G1066" i="5"/>
  <c r="G1038" i="5"/>
  <c r="G1054" i="5"/>
  <c r="G1070" i="5"/>
  <c r="F88" i="5"/>
  <c r="H88" i="5"/>
  <c r="F2" i="5"/>
  <c r="H2" i="5"/>
  <c r="F6" i="5"/>
  <c r="H6" i="5"/>
  <c r="F14" i="5"/>
  <c r="H14" i="5"/>
  <c r="F22" i="5"/>
  <c r="H22" i="5"/>
  <c r="F26" i="5"/>
  <c r="H26" i="5"/>
  <c r="F34" i="5"/>
  <c r="H34" i="5"/>
  <c r="F38" i="5"/>
  <c r="H38" i="5"/>
  <c r="F46" i="5"/>
  <c r="H46" i="5"/>
  <c r="F54" i="5"/>
  <c r="H54" i="5"/>
  <c r="F58" i="5"/>
  <c r="H58" i="5"/>
  <c r="F62" i="5"/>
  <c r="H62" i="5"/>
  <c r="F70" i="5"/>
  <c r="H70" i="5"/>
  <c r="F74" i="5"/>
  <c r="H74" i="5"/>
  <c r="F82" i="5"/>
  <c r="H82" i="5"/>
  <c r="F86" i="5"/>
  <c r="H86" i="5"/>
  <c r="F94" i="5"/>
  <c r="H94" i="5"/>
  <c r="F102" i="5"/>
  <c r="H102" i="5"/>
  <c r="F106" i="5"/>
  <c r="H106" i="5"/>
  <c r="F114" i="5"/>
  <c r="H114" i="5"/>
  <c r="F118" i="5"/>
  <c r="H118" i="5"/>
  <c r="F126" i="5"/>
  <c r="H126" i="5"/>
  <c r="F130" i="5"/>
  <c r="H130" i="5"/>
  <c r="F138" i="5"/>
  <c r="H138" i="5"/>
  <c r="F146" i="5"/>
  <c r="H146" i="5"/>
  <c r="F150" i="5"/>
  <c r="H150" i="5"/>
  <c r="F158" i="5"/>
  <c r="H158" i="5"/>
  <c r="F166" i="5"/>
  <c r="H166" i="5"/>
  <c r="F170" i="5"/>
  <c r="H170" i="5"/>
  <c r="F178" i="5"/>
  <c r="H178" i="5"/>
  <c r="F186" i="5"/>
  <c r="H186" i="5"/>
  <c r="F190" i="5"/>
  <c r="H190" i="5"/>
  <c r="F198" i="5"/>
  <c r="H198" i="5"/>
  <c r="F202" i="5"/>
  <c r="H202" i="5"/>
  <c r="F210" i="5"/>
  <c r="H210" i="5"/>
  <c r="F218" i="5"/>
  <c r="H218" i="5"/>
  <c r="F222" i="5"/>
  <c r="H222" i="5"/>
  <c r="F230" i="5"/>
  <c r="H230" i="5"/>
  <c r="F234" i="5"/>
  <c r="H234" i="5"/>
  <c r="F242" i="5"/>
  <c r="H242" i="5"/>
  <c r="F250" i="5"/>
  <c r="H250" i="5"/>
  <c r="F254" i="5"/>
  <c r="H254" i="5"/>
  <c r="F262" i="5"/>
  <c r="H262" i="5"/>
  <c r="F266" i="5"/>
  <c r="H266" i="5"/>
  <c r="F274" i="5"/>
  <c r="H274" i="5"/>
  <c r="F282" i="5"/>
  <c r="H282" i="5"/>
  <c r="F286" i="5"/>
  <c r="H286" i="5"/>
  <c r="F294" i="5"/>
  <c r="H294" i="5"/>
  <c r="F298" i="5"/>
  <c r="H298" i="5"/>
  <c r="F306" i="5"/>
  <c r="H306" i="5"/>
  <c r="F310" i="5"/>
  <c r="H310" i="5"/>
  <c r="F318" i="5"/>
  <c r="H318" i="5"/>
  <c r="F326" i="5"/>
  <c r="H326" i="5"/>
  <c r="F330" i="5"/>
  <c r="H330" i="5"/>
  <c r="F338" i="5"/>
  <c r="H338" i="5"/>
  <c r="F342" i="5"/>
  <c r="H342" i="5"/>
  <c r="F350" i="5"/>
  <c r="H350" i="5"/>
  <c r="F358" i="5"/>
  <c r="H358" i="5"/>
  <c r="F362" i="5"/>
  <c r="H362" i="5"/>
  <c r="F370" i="5"/>
  <c r="H370" i="5"/>
  <c r="F374" i="5"/>
  <c r="H374" i="5"/>
  <c r="F382" i="5"/>
  <c r="H382" i="5"/>
  <c r="F390" i="5"/>
  <c r="H390" i="5"/>
  <c r="F394" i="5"/>
  <c r="H394" i="5"/>
  <c r="F402" i="5"/>
  <c r="H402" i="5"/>
  <c r="F406" i="5"/>
  <c r="H406" i="5"/>
  <c r="F414" i="5"/>
  <c r="H414" i="5"/>
  <c r="F422" i="5"/>
  <c r="H422" i="5"/>
  <c r="F426" i="5"/>
  <c r="H426" i="5"/>
  <c r="F434" i="5"/>
  <c r="H434" i="5"/>
  <c r="F438" i="5"/>
  <c r="H438" i="5"/>
  <c r="F446" i="5"/>
  <c r="H446" i="5"/>
  <c r="F454" i="5"/>
  <c r="H454" i="5"/>
  <c r="F458" i="5"/>
  <c r="H458" i="5"/>
  <c r="F466" i="5"/>
  <c r="H466" i="5"/>
  <c r="F470" i="5"/>
  <c r="H470" i="5"/>
  <c r="F478" i="5"/>
  <c r="H478" i="5"/>
  <c r="F486" i="5"/>
  <c r="H486" i="5"/>
  <c r="F490" i="5"/>
  <c r="H490" i="5"/>
  <c r="F498" i="5"/>
  <c r="H498" i="5"/>
  <c r="F502" i="5"/>
  <c r="H502" i="5"/>
  <c r="F510" i="5"/>
  <c r="H510" i="5"/>
  <c r="F514" i="5"/>
  <c r="H514" i="5"/>
  <c r="F522" i="5"/>
  <c r="H522" i="5"/>
  <c r="F526" i="5"/>
  <c r="H526" i="5"/>
  <c r="F534" i="5"/>
  <c r="H534" i="5"/>
  <c r="F538" i="5"/>
  <c r="H538" i="5"/>
  <c r="F546" i="5"/>
  <c r="H546" i="5"/>
  <c r="F550" i="5"/>
  <c r="H550" i="5"/>
  <c r="F558" i="5"/>
  <c r="H558" i="5"/>
  <c r="F566" i="5"/>
  <c r="H566" i="5"/>
  <c r="F570" i="5"/>
  <c r="H570" i="5"/>
  <c r="F578" i="5"/>
  <c r="H578" i="5"/>
  <c r="F582" i="5"/>
  <c r="H582" i="5"/>
  <c r="F590" i="5"/>
  <c r="H590" i="5"/>
  <c r="F594" i="5"/>
  <c r="H594" i="5"/>
  <c r="F602" i="5"/>
  <c r="H602" i="5"/>
  <c r="F610" i="5"/>
  <c r="H610" i="5"/>
  <c r="F618" i="5"/>
  <c r="H618" i="5"/>
  <c r="F622" i="5"/>
  <c r="H622" i="5"/>
  <c r="F630" i="5"/>
  <c r="H630" i="5"/>
  <c r="F634" i="5"/>
  <c r="H634" i="5"/>
  <c r="F642" i="5"/>
  <c r="H642" i="5"/>
  <c r="F646" i="5"/>
  <c r="H646" i="5"/>
  <c r="F654" i="5"/>
  <c r="H654" i="5"/>
  <c r="F662" i="5"/>
  <c r="H662" i="5"/>
  <c r="F666" i="5"/>
  <c r="H666" i="5"/>
  <c r="F674" i="5"/>
  <c r="H674" i="5"/>
  <c r="F678" i="5"/>
  <c r="H678" i="5"/>
  <c r="F686" i="5"/>
  <c r="H686" i="5"/>
  <c r="F690" i="5"/>
  <c r="H690" i="5"/>
  <c r="F698" i="5"/>
  <c r="H698" i="5"/>
  <c r="F702" i="5"/>
  <c r="H702" i="5"/>
  <c r="F710" i="5"/>
  <c r="H710" i="5"/>
  <c r="F714" i="5"/>
  <c r="H714" i="5"/>
  <c r="F722" i="5"/>
  <c r="H722" i="5"/>
  <c r="F726" i="5"/>
  <c r="H726" i="5"/>
  <c r="F734" i="5"/>
  <c r="H734" i="5"/>
  <c r="F738" i="5"/>
  <c r="H738" i="5"/>
  <c r="F746" i="5"/>
  <c r="H746" i="5"/>
  <c r="F754" i="5"/>
  <c r="H754" i="5"/>
  <c r="F758" i="5"/>
  <c r="H758" i="5"/>
  <c r="F766" i="5"/>
  <c r="H766" i="5"/>
  <c r="F770" i="5"/>
  <c r="H770" i="5"/>
  <c r="F778" i="5"/>
  <c r="H778" i="5"/>
  <c r="F782" i="5"/>
  <c r="H782" i="5"/>
  <c r="F790" i="5"/>
  <c r="H790" i="5"/>
  <c r="F794" i="5"/>
  <c r="H794" i="5"/>
  <c r="F802" i="5"/>
  <c r="H802" i="5"/>
  <c r="F810" i="5"/>
  <c r="H810" i="5"/>
  <c r="F814" i="5"/>
  <c r="H814" i="5"/>
  <c r="F822" i="5"/>
  <c r="H822" i="5"/>
  <c r="F826" i="5"/>
  <c r="H826" i="5"/>
  <c r="F834" i="5"/>
  <c r="H834" i="5"/>
  <c r="F838" i="5"/>
  <c r="H838" i="5"/>
  <c r="F846" i="5"/>
  <c r="H846" i="5"/>
  <c r="F854" i="5"/>
  <c r="H854" i="5"/>
  <c r="F858" i="5"/>
  <c r="H858" i="5"/>
  <c r="F866" i="5"/>
  <c r="H866" i="5"/>
  <c r="F870" i="5"/>
  <c r="H870" i="5"/>
  <c r="F878" i="5"/>
  <c r="H878" i="5"/>
  <c r="F882" i="5"/>
  <c r="H882" i="5"/>
  <c r="F890" i="5"/>
  <c r="H890" i="5"/>
  <c r="F894" i="5"/>
  <c r="H894" i="5"/>
  <c r="F902" i="5"/>
  <c r="H902" i="5"/>
  <c r="F906" i="5"/>
  <c r="H906" i="5"/>
  <c r="F914" i="5"/>
  <c r="H914" i="5"/>
  <c r="F918" i="5"/>
  <c r="H918" i="5"/>
  <c r="F926" i="5"/>
  <c r="H926" i="5"/>
  <c r="F934" i="5"/>
  <c r="H934" i="5"/>
  <c r="F954" i="5"/>
  <c r="H954" i="5"/>
  <c r="F11" i="5"/>
  <c r="H11" i="5"/>
  <c r="F23" i="5"/>
  <c r="H23" i="5"/>
  <c r="F35" i="5"/>
  <c r="H35" i="5"/>
  <c r="F43" i="5"/>
  <c r="H43" i="5"/>
  <c r="F55" i="5"/>
  <c r="H55" i="5"/>
  <c r="F63" i="5"/>
  <c r="H63" i="5"/>
  <c r="F75" i="5"/>
  <c r="H75" i="5"/>
  <c r="F87" i="5"/>
  <c r="H87" i="5"/>
  <c r="F95" i="5"/>
  <c r="H95" i="5"/>
  <c r="F107" i="5"/>
  <c r="H107" i="5"/>
  <c r="F119" i="5"/>
  <c r="H119" i="5"/>
  <c r="F131" i="5"/>
  <c r="H131" i="5"/>
  <c r="F143" i="5"/>
  <c r="H143" i="5"/>
  <c r="F151" i="5"/>
  <c r="H151" i="5"/>
  <c r="F163" i="5"/>
  <c r="H163" i="5"/>
  <c r="F175" i="5"/>
  <c r="H175" i="5"/>
  <c r="F183" i="5"/>
  <c r="H183" i="5"/>
  <c r="F195" i="5"/>
  <c r="H195" i="5"/>
  <c r="F207" i="5"/>
  <c r="H207" i="5"/>
  <c r="F215" i="5"/>
  <c r="H215" i="5"/>
  <c r="F227" i="5"/>
  <c r="H227" i="5"/>
  <c r="F235" i="5"/>
  <c r="H235" i="5"/>
  <c r="F247" i="5"/>
  <c r="H247" i="5"/>
  <c r="F259" i="5"/>
  <c r="H259" i="5"/>
  <c r="F271" i="5"/>
  <c r="H271" i="5"/>
  <c r="F279" i="5"/>
  <c r="H279" i="5"/>
  <c r="F291" i="5"/>
  <c r="H291" i="5"/>
  <c r="F303" i="5"/>
  <c r="H303" i="5"/>
  <c r="F311" i="5"/>
  <c r="H311" i="5"/>
  <c r="F323" i="5"/>
  <c r="H323" i="5"/>
  <c r="F335" i="5"/>
  <c r="H335" i="5"/>
  <c r="F347" i="5"/>
  <c r="H347" i="5"/>
  <c r="F355" i="5"/>
  <c r="H355" i="5"/>
  <c r="F371" i="5"/>
  <c r="H371" i="5"/>
  <c r="F379" i="5"/>
  <c r="H379" i="5"/>
  <c r="F391" i="5"/>
  <c r="H391" i="5"/>
  <c r="F403" i="5"/>
  <c r="H403" i="5"/>
  <c r="F415" i="5"/>
  <c r="H415" i="5"/>
  <c r="F427" i="5"/>
  <c r="H427" i="5"/>
  <c r="F439" i="5"/>
  <c r="H439" i="5"/>
  <c r="F447" i="5"/>
  <c r="H447" i="5"/>
  <c r="F459" i="5"/>
  <c r="H459" i="5"/>
  <c r="F471" i="5"/>
  <c r="H471" i="5"/>
  <c r="F479" i="5"/>
  <c r="H479" i="5"/>
  <c r="F491" i="5"/>
  <c r="H491" i="5"/>
  <c r="F499" i="5"/>
  <c r="H499" i="5"/>
  <c r="F511" i="5"/>
  <c r="H511" i="5"/>
  <c r="F519" i="5"/>
  <c r="H519" i="5"/>
  <c r="F531" i="5"/>
  <c r="H531" i="5"/>
  <c r="F543" i="5"/>
  <c r="H543" i="5"/>
  <c r="F555" i="5"/>
  <c r="H555" i="5"/>
  <c r="F563" i="5"/>
  <c r="H563" i="5"/>
  <c r="F575" i="5"/>
  <c r="H575" i="5"/>
  <c r="F587" i="5"/>
  <c r="H587" i="5"/>
  <c r="F595" i="5"/>
  <c r="H595" i="5"/>
  <c r="F607" i="5"/>
  <c r="H607" i="5"/>
  <c r="F619" i="5"/>
  <c r="H619" i="5"/>
  <c r="F627" i="5"/>
  <c r="H627" i="5"/>
  <c r="F639" i="5"/>
  <c r="H639" i="5"/>
  <c r="F651" i="5"/>
  <c r="H651" i="5"/>
  <c r="F663" i="5"/>
  <c r="H663" i="5"/>
  <c r="F675" i="5"/>
  <c r="H675" i="5"/>
  <c r="F687" i="5"/>
  <c r="H687" i="5"/>
  <c r="F695" i="5"/>
  <c r="H695" i="5"/>
  <c r="F707" i="5"/>
  <c r="H707" i="5"/>
  <c r="F719" i="5"/>
  <c r="H719" i="5"/>
  <c r="F731" i="5"/>
  <c r="H731" i="5"/>
  <c r="F743" i="5"/>
  <c r="H743" i="5"/>
  <c r="F755" i="5"/>
  <c r="H755" i="5"/>
  <c r="F763" i="5"/>
  <c r="H763" i="5"/>
  <c r="F779" i="5"/>
  <c r="H779" i="5"/>
  <c r="F787" i="5"/>
  <c r="H787" i="5"/>
  <c r="F803" i="5"/>
  <c r="H803" i="5"/>
  <c r="F815" i="5"/>
  <c r="H815" i="5"/>
  <c r="F823" i="5"/>
  <c r="H823" i="5"/>
  <c r="F835" i="5"/>
  <c r="H835" i="5"/>
  <c r="F847" i="5"/>
  <c r="H847" i="5"/>
  <c r="F859" i="5"/>
  <c r="H859" i="5"/>
  <c r="F867" i="5"/>
  <c r="H867" i="5"/>
  <c r="F883" i="5"/>
  <c r="H883" i="5"/>
  <c r="F899" i="5"/>
  <c r="H899" i="5"/>
  <c r="F907" i="5"/>
  <c r="H907" i="5"/>
  <c r="F919" i="5"/>
  <c r="H919" i="5"/>
  <c r="F931" i="5"/>
  <c r="H931" i="5"/>
  <c r="F939" i="5"/>
  <c r="H939" i="5"/>
  <c r="F951" i="5"/>
  <c r="H951" i="5"/>
  <c r="F963" i="5"/>
  <c r="H963" i="5"/>
  <c r="F975" i="5"/>
  <c r="H975" i="5"/>
  <c r="F987" i="5"/>
  <c r="H987" i="5"/>
  <c r="F995" i="5"/>
  <c r="H995" i="5"/>
  <c r="F1007" i="5"/>
  <c r="H1007" i="5"/>
  <c r="F1015" i="5"/>
  <c r="H1015" i="5"/>
  <c r="F1019" i="5"/>
  <c r="H1019" i="5"/>
  <c r="F1023" i="5"/>
  <c r="H1023" i="5"/>
  <c r="F1031" i="5"/>
  <c r="H1031" i="5"/>
  <c r="F1035" i="5"/>
  <c r="H1035" i="5"/>
  <c r="F1039" i="5"/>
  <c r="H1039" i="5"/>
  <c r="F1043" i="5"/>
  <c r="H1043" i="5"/>
  <c r="F1047" i="5"/>
  <c r="H1047" i="5"/>
  <c r="F1051" i="5"/>
  <c r="H1051" i="5"/>
  <c r="F1055" i="5"/>
  <c r="H1055" i="5"/>
  <c r="F1059" i="5"/>
  <c r="H1059" i="5"/>
  <c r="F1063" i="5"/>
  <c r="H1063" i="5"/>
  <c r="F1067" i="5"/>
  <c r="H1067" i="5"/>
  <c r="F1071" i="5"/>
  <c r="H1071" i="5"/>
  <c r="F3" i="5"/>
  <c r="H3" i="5"/>
  <c r="F7" i="5"/>
  <c r="H7" i="5"/>
  <c r="F15" i="5"/>
  <c r="H15" i="5"/>
  <c r="F19" i="5"/>
  <c r="H19" i="5"/>
  <c r="F27" i="5"/>
  <c r="H27" i="5"/>
  <c r="F31" i="5"/>
  <c r="H31" i="5"/>
  <c r="F39" i="5"/>
  <c r="H39" i="5"/>
  <c r="F47" i="5"/>
  <c r="H47" i="5"/>
  <c r="F51" i="5"/>
  <c r="H51" i="5"/>
  <c r="F59" i="5"/>
  <c r="H59" i="5"/>
  <c r="F67" i="5"/>
  <c r="H67" i="5"/>
  <c r="F71" i="5"/>
  <c r="H71" i="5"/>
  <c r="F79" i="5"/>
  <c r="H79" i="5"/>
  <c r="F83" i="5"/>
  <c r="H83" i="5"/>
  <c r="F91" i="5"/>
  <c r="H91" i="5"/>
  <c r="F99" i="5"/>
  <c r="H99" i="5"/>
  <c r="F103" i="5"/>
  <c r="H103" i="5"/>
  <c r="F111" i="5"/>
  <c r="H111" i="5"/>
  <c r="F115" i="5"/>
  <c r="H115" i="5"/>
  <c r="F123" i="5"/>
  <c r="H123" i="5"/>
  <c r="F127" i="5"/>
  <c r="H127" i="5"/>
  <c r="F135" i="5"/>
  <c r="H135" i="5"/>
  <c r="F139" i="5"/>
  <c r="H139" i="5"/>
  <c r="F147" i="5"/>
  <c r="H147" i="5"/>
  <c r="F155" i="5"/>
  <c r="H155" i="5"/>
  <c r="F159" i="5"/>
  <c r="H159" i="5"/>
  <c r="F167" i="5"/>
  <c r="H167" i="5"/>
  <c r="F171" i="5"/>
  <c r="H171" i="5"/>
  <c r="F179" i="5"/>
  <c r="H179" i="5"/>
  <c r="F187" i="5"/>
  <c r="H187" i="5"/>
  <c r="F191" i="5"/>
  <c r="H191" i="5"/>
  <c r="F199" i="5"/>
  <c r="H199" i="5"/>
  <c r="F203" i="5"/>
  <c r="H203" i="5"/>
  <c r="F211" i="5"/>
  <c r="H211" i="5"/>
  <c r="F219" i="5"/>
  <c r="H219" i="5"/>
  <c r="F223" i="5"/>
  <c r="H223" i="5"/>
  <c r="F231" i="5"/>
  <c r="H231" i="5"/>
  <c r="F239" i="5"/>
  <c r="H239" i="5"/>
  <c r="F243" i="5"/>
  <c r="H243" i="5"/>
  <c r="F251" i="5"/>
  <c r="H251" i="5"/>
  <c r="F255" i="5"/>
  <c r="H255" i="5"/>
  <c r="F263" i="5"/>
  <c r="H263" i="5"/>
  <c r="F267" i="5"/>
  <c r="H267" i="5"/>
  <c r="F275" i="5"/>
  <c r="H275" i="5"/>
  <c r="F283" i="5"/>
  <c r="H283" i="5"/>
  <c r="F287" i="5"/>
  <c r="H287" i="5"/>
  <c r="F295" i="5"/>
  <c r="H295" i="5"/>
  <c r="F299" i="5"/>
  <c r="H299" i="5"/>
  <c r="F307" i="5"/>
  <c r="H307" i="5"/>
  <c r="F315" i="5"/>
  <c r="H315" i="5"/>
  <c r="F319" i="5"/>
  <c r="H319" i="5"/>
  <c r="F327" i="5"/>
  <c r="H327" i="5"/>
  <c r="F331" i="5"/>
  <c r="H331" i="5"/>
  <c r="F339" i="5"/>
  <c r="H339" i="5"/>
  <c r="F343" i="5"/>
  <c r="H343" i="5"/>
  <c r="F351" i="5"/>
  <c r="H351" i="5"/>
  <c r="F359" i="5"/>
  <c r="H359" i="5"/>
  <c r="F363" i="5"/>
  <c r="H363" i="5"/>
  <c r="F367" i="5"/>
  <c r="H367" i="5"/>
  <c r="F375" i="5"/>
  <c r="H375" i="5"/>
  <c r="F383" i="5"/>
  <c r="H383" i="5"/>
  <c r="F387" i="5"/>
  <c r="H387" i="5"/>
  <c r="F395" i="5"/>
  <c r="H395" i="5"/>
  <c r="F399" i="5"/>
  <c r="H399" i="5"/>
  <c r="F407" i="5"/>
  <c r="H407" i="5"/>
  <c r="F411" i="5"/>
  <c r="H411" i="5"/>
  <c r="F419" i="5"/>
  <c r="H419" i="5"/>
  <c r="F423" i="5"/>
  <c r="H423" i="5"/>
  <c r="F431" i="5"/>
  <c r="H431" i="5"/>
  <c r="F435" i="5"/>
  <c r="H435" i="5"/>
  <c r="F443" i="5"/>
  <c r="H443" i="5"/>
  <c r="F451" i="5"/>
  <c r="H451" i="5"/>
  <c r="F455" i="5"/>
  <c r="H455" i="5"/>
  <c r="F463" i="5"/>
  <c r="H463" i="5"/>
  <c r="F467" i="5"/>
  <c r="H467" i="5"/>
  <c r="F475" i="5"/>
  <c r="H475" i="5"/>
  <c r="F483" i="5"/>
  <c r="H483" i="5"/>
  <c r="F487" i="5"/>
  <c r="H487" i="5"/>
  <c r="F495" i="5"/>
  <c r="H495" i="5"/>
  <c r="F503" i="5"/>
  <c r="H503" i="5"/>
  <c r="F507" i="5"/>
  <c r="H507" i="5"/>
  <c r="F515" i="5"/>
  <c r="H515" i="5"/>
  <c r="F523" i="5"/>
  <c r="H523" i="5"/>
  <c r="F527" i="5"/>
  <c r="H527" i="5"/>
  <c r="F535" i="5"/>
  <c r="H535" i="5"/>
  <c r="F539" i="5"/>
  <c r="H539" i="5"/>
  <c r="F547" i="5"/>
  <c r="H547" i="5"/>
  <c r="F551" i="5"/>
  <c r="H551" i="5"/>
  <c r="F559" i="5"/>
  <c r="H559" i="5"/>
  <c r="F567" i="5"/>
  <c r="H567" i="5"/>
  <c r="F571" i="5"/>
  <c r="H571" i="5"/>
  <c r="F579" i="5"/>
  <c r="H579" i="5"/>
  <c r="F583" i="5"/>
  <c r="H583" i="5"/>
  <c r="F591" i="5"/>
  <c r="H591" i="5"/>
  <c r="F599" i="5"/>
  <c r="H599" i="5"/>
  <c r="F603" i="5"/>
  <c r="H603" i="5"/>
  <c r="F611" i="5"/>
  <c r="H611" i="5"/>
  <c r="F615" i="5"/>
  <c r="H615" i="5"/>
  <c r="F623" i="5"/>
  <c r="H623" i="5"/>
  <c r="F631" i="5"/>
  <c r="H631" i="5"/>
  <c r="F635" i="5"/>
  <c r="H635" i="5"/>
  <c r="F643" i="5"/>
  <c r="H643" i="5"/>
  <c r="F647" i="5"/>
  <c r="H647" i="5"/>
  <c r="F655" i="5"/>
  <c r="H655" i="5"/>
  <c r="F659" i="5"/>
  <c r="H659" i="5"/>
  <c r="F667" i="5"/>
  <c r="H667" i="5"/>
  <c r="F671" i="5"/>
  <c r="H671" i="5"/>
  <c r="F679" i="5"/>
  <c r="H679" i="5"/>
  <c r="F683" i="5"/>
  <c r="H683" i="5"/>
  <c r="F691" i="5"/>
  <c r="H691" i="5"/>
  <c r="F699" i="5"/>
  <c r="H699" i="5"/>
  <c r="F703" i="5"/>
  <c r="H703" i="5"/>
  <c r="F711" i="5"/>
  <c r="H711" i="5"/>
  <c r="F715" i="5"/>
  <c r="H715" i="5"/>
  <c r="F723" i="5"/>
  <c r="H723" i="5"/>
  <c r="F727" i="5"/>
  <c r="H727" i="5"/>
  <c r="F735" i="5"/>
  <c r="H735" i="5"/>
  <c r="F739" i="5"/>
  <c r="H739" i="5"/>
  <c r="F747" i="5"/>
  <c r="H747" i="5"/>
  <c r="F751" i="5"/>
  <c r="H751" i="5"/>
  <c r="F759" i="5"/>
  <c r="H759" i="5"/>
  <c r="F767" i="5"/>
  <c r="H767" i="5"/>
  <c r="F771" i="5"/>
  <c r="H771" i="5"/>
  <c r="F775" i="5"/>
  <c r="H775" i="5"/>
  <c r="F783" i="5"/>
  <c r="H783" i="5"/>
  <c r="F791" i="5"/>
  <c r="H791" i="5"/>
  <c r="F795" i="5"/>
  <c r="H795" i="5"/>
  <c r="F799" i="5"/>
  <c r="H799" i="5"/>
  <c r="F807" i="5"/>
  <c r="H807" i="5"/>
  <c r="F811" i="5"/>
  <c r="H811" i="5"/>
  <c r="F819" i="5"/>
  <c r="H819" i="5"/>
  <c r="F827" i="5"/>
  <c r="H827" i="5"/>
  <c r="F831" i="5"/>
  <c r="H831" i="5"/>
  <c r="F839" i="5"/>
  <c r="H839" i="5"/>
  <c r="F843" i="5"/>
  <c r="H843" i="5"/>
  <c r="F851" i="5"/>
  <c r="H851" i="5"/>
  <c r="F855" i="5"/>
  <c r="H855" i="5"/>
  <c r="F863" i="5"/>
  <c r="H863" i="5"/>
  <c r="F871" i="5"/>
  <c r="H871" i="5"/>
  <c r="F875" i="5"/>
  <c r="H875" i="5"/>
  <c r="F879" i="5"/>
  <c r="H879" i="5"/>
  <c r="F887" i="5"/>
  <c r="H887" i="5"/>
  <c r="F891" i="5"/>
  <c r="H891" i="5"/>
  <c r="F895" i="5"/>
  <c r="H895" i="5"/>
  <c r="F903" i="5"/>
  <c r="H903" i="5"/>
  <c r="F911" i="5"/>
  <c r="H911" i="5"/>
  <c r="F915" i="5"/>
  <c r="H915" i="5"/>
  <c r="F923" i="5"/>
  <c r="H923" i="5"/>
  <c r="F927" i="5"/>
  <c r="H927" i="5"/>
  <c r="F935" i="5"/>
  <c r="H935" i="5"/>
  <c r="F943" i="5"/>
  <c r="H943" i="5"/>
  <c r="F947" i="5"/>
  <c r="H947" i="5"/>
  <c r="F955" i="5"/>
  <c r="H955" i="5"/>
  <c r="F959" i="5"/>
  <c r="H959" i="5"/>
  <c r="F967" i="5"/>
  <c r="H967" i="5"/>
  <c r="F971" i="5"/>
  <c r="H971" i="5"/>
  <c r="F979" i="5"/>
  <c r="H979" i="5"/>
  <c r="F983" i="5"/>
  <c r="H983" i="5"/>
  <c r="F991" i="5"/>
  <c r="H991" i="5"/>
  <c r="F999" i="5"/>
  <c r="H999" i="5"/>
  <c r="F1003" i="5"/>
  <c r="H1003" i="5"/>
  <c r="F1011" i="5"/>
  <c r="H1011" i="5"/>
  <c r="F1027" i="5"/>
  <c r="H1027" i="5"/>
  <c r="F16" i="5"/>
  <c r="H16" i="5"/>
  <c r="F36" i="5"/>
  <c r="H36" i="5"/>
  <c r="F56" i="5"/>
  <c r="H56" i="5"/>
  <c r="F80" i="5"/>
  <c r="H80" i="5"/>
  <c r="F112" i="5"/>
  <c r="H112" i="5"/>
  <c r="F128" i="5"/>
  <c r="H128" i="5"/>
  <c r="F148" i="5"/>
  <c r="H148" i="5"/>
  <c r="F172" i="5"/>
  <c r="H172" i="5"/>
  <c r="F192" i="5"/>
  <c r="H192" i="5"/>
  <c r="F216" i="5"/>
  <c r="H216" i="5"/>
  <c r="F240" i="5"/>
  <c r="H240" i="5"/>
  <c r="F260" i="5"/>
  <c r="H260" i="5"/>
  <c r="F280" i="5"/>
  <c r="H280" i="5"/>
  <c r="F296" i="5"/>
  <c r="H296" i="5"/>
  <c r="F304" i="5"/>
  <c r="H304" i="5"/>
  <c r="F308" i="5"/>
  <c r="H308" i="5"/>
  <c r="F328" i="5"/>
  <c r="H328" i="5"/>
  <c r="F332" i="5"/>
  <c r="H332" i="5"/>
  <c r="F344" i="5"/>
  <c r="H344" i="5"/>
  <c r="F348" i="5"/>
  <c r="H348" i="5"/>
  <c r="F356" i="5"/>
  <c r="H356" i="5"/>
  <c r="F364" i="5"/>
  <c r="H364" i="5"/>
  <c r="F376" i="5"/>
  <c r="H376" i="5"/>
  <c r="F384" i="5"/>
  <c r="H384" i="5"/>
  <c r="F392" i="5"/>
  <c r="H392" i="5"/>
  <c r="F400" i="5"/>
  <c r="H400" i="5"/>
  <c r="F404" i="5"/>
  <c r="H404" i="5"/>
  <c r="F412" i="5"/>
  <c r="H412" i="5"/>
  <c r="F420" i="5"/>
  <c r="H420" i="5"/>
  <c r="F432" i="5"/>
  <c r="H432" i="5"/>
  <c r="F440" i="5"/>
  <c r="H440" i="5"/>
  <c r="F444" i="5"/>
  <c r="H444" i="5"/>
  <c r="F452" i="5"/>
  <c r="H452" i="5"/>
  <c r="F460" i="5"/>
  <c r="H460" i="5"/>
  <c r="F468" i="5"/>
  <c r="H468" i="5"/>
  <c r="F480" i="5"/>
  <c r="H480" i="5"/>
  <c r="F488" i="5"/>
  <c r="H488" i="5"/>
  <c r="F496" i="5"/>
  <c r="H496" i="5"/>
  <c r="F504" i="5"/>
  <c r="H504" i="5"/>
  <c r="F512" i="5"/>
  <c r="H512" i="5"/>
  <c r="F520" i="5"/>
  <c r="H520" i="5"/>
  <c r="F524" i="5"/>
  <c r="H524" i="5"/>
  <c r="F532" i="5"/>
  <c r="H532" i="5"/>
  <c r="F540" i="5"/>
  <c r="H540" i="5"/>
  <c r="F548" i="5"/>
  <c r="H548" i="5"/>
  <c r="F556" i="5"/>
  <c r="H556" i="5"/>
  <c r="F564" i="5"/>
  <c r="H564" i="5"/>
  <c r="F572" i="5"/>
  <c r="H572" i="5"/>
  <c r="F580" i="5"/>
  <c r="H580" i="5"/>
  <c r="F588" i="5"/>
  <c r="H588" i="5"/>
  <c r="F596" i="5"/>
  <c r="H596" i="5"/>
  <c r="F604" i="5"/>
  <c r="H604" i="5"/>
  <c r="F612" i="5"/>
  <c r="H612" i="5"/>
  <c r="F620" i="5"/>
  <c r="H620" i="5"/>
  <c r="F628" i="5"/>
  <c r="H628" i="5"/>
  <c r="F636" i="5"/>
  <c r="H636" i="5"/>
  <c r="F644" i="5"/>
  <c r="H644" i="5"/>
  <c r="F652" i="5"/>
  <c r="H652" i="5"/>
  <c r="F660" i="5"/>
  <c r="H660" i="5"/>
  <c r="F668" i="5"/>
  <c r="H668" i="5"/>
  <c r="F676" i="5"/>
  <c r="H676" i="5"/>
  <c r="F684" i="5"/>
  <c r="H684" i="5"/>
  <c r="F692" i="5"/>
  <c r="H692" i="5"/>
  <c r="F700" i="5"/>
  <c r="H700" i="5"/>
  <c r="F708" i="5"/>
  <c r="H708" i="5"/>
  <c r="F716" i="5"/>
  <c r="H716" i="5"/>
  <c r="F724" i="5"/>
  <c r="H724" i="5"/>
  <c r="F732" i="5"/>
  <c r="H732" i="5"/>
  <c r="F740" i="5"/>
  <c r="H740" i="5"/>
  <c r="F748" i="5"/>
  <c r="H748" i="5"/>
  <c r="F756" i="5"/>
  <c r="H756" i="5"/>
  <c r="F764" i="5"/>
  <c r="H764" i="5"/>
  <c r="F776" i="5"/>
  <c r="H776" i="5"/>
  <c r="F784" i="5"/>
  <c r="H784" i="5"/>
  <c r="F792" i="5"/>
  <c r="H792" i="5"/>
  <c r="F800" i="5"/>
  <c r="H800" i="5"/>
  <c r="F808" i="5"/>
  <c r="H808" i="5"/>
  <c r="F816" i="5"/>
  <c r="H816" i="5"/>
  <c r="F824" i="5"/>
  <c r="H824" i="5"/>
  <c r="F832" i="5"/>
  <c r="H832" i="5"/>
  <c r="F840" i="5"/>
  <c r="H840" i="5"/>
  <c r="F848" i="5"/>
  <c r="H848" i="5"/>
  <c r="F856" i="5"/>
  <c r="H856" i="5"/>
  <c r="F864" i="5"/>
  <c r="H864" i="5"/>
  <c r="F872" i="5"/>
  <c r="H872" i="5"/>
  <c r="F880" i="5"/>
  <c r="H880" i="5"/>
  <c r="F888" i="5"/>
  <c r="H888" i="5"/>
  <c r="F896" i="5"/>
  <c r="H896" i="5"/>
  <c r="F900" i="5"/>
  <c r="H900" i="5"/>
  <c r="F908" i="5"/>
  <c r="H908" i="5"/>
  <c r="F916" i="5"/>
  <c r="H916" i="5"/>
  <c r="F928" i="5"/>
  <c r="H928" i="5"/>
  <c r="F932" i="5"/>
  <c r="H932" i="5"/>
  <c r="F944" i="5"/>
  <c r="H944" i="5"/>
  <c r="F952" i="5"/>
  <c r="H952" i="5"/>
  <c r="F956" i="5"/>
  <c r="H956" i="5"/>
  <c r="F964" i="5"/>
  <c r="H964" i="5"/>
  <c r="F968" i="5"/>
  <c r="H968" i="5"/>
  <c r="F972" i="5"/>
  <c r="H972" i="5"/>
  <c r="F976" i="5"/>
  <c r="H976" i="5"/>
  <c r="F980" i="5"/>
  <c r="H980" i="5"/>
  <c r="F988" i="5"/>
  <c r="H988" i="5"/>
  <c r="F992" i="5"/>
  <c r="H992" i="5"/>
  <c r="F996" i="5"/>
  <c r="H996" i="5"/>
  <c r="F1000" i="5"/>
  <c r="H1000" i="5"/>
  <c r="F1004" i="5"/>
  <c r="H1004" i="5"/>
  <c r="F1008" i="5"/>
  <c r="H1008" i="5"/>
  <c r="F1012" i="5"/>
  <c r="H1012" i="5"/>
  <c r="F1016" i="5"/>
  <c r="H1016" i="5"/>
  <c r="F1020" i="5"/>
  <c r="H1020" i="5"/>
  <c r="F1024" i="5"/>
  <c r="H1024" i="5"/>
  <c r="F1028" i="5"/>
  <c r="H1028" i="5"/>
  <c r="F1032" i="5"/>
  <c r="H1032" i="5"/>
  <c r="F1036" i="5"/>
  <c r="H1036" i="5"/>
  <c r="F1040" i="5"/>
  <c r="H1040" i="5"/>
  <c r="F1044" i="5"/>
  <c r="H1044" i="5"/>
  <c r="F1048" i="5"/>
  <c r="H1048" i="5"/>
  <c r="F1052" i="5"/>
  <c r="H1052" i="5"/>
  <c r="F1056" i="5"/>
  <c r="H1056" i="5"/>
  <c r="F1060" i="5"/>
  <c r="H1060" i="5"/>
  <c r="F1064" i="5"/>
  <c r="H1064" i="5"/>
  <c r="F1068" i="5"/>
  <c r="H1068" i="5"/>
  <c r="F1072" i="5"/>
  <c r="H1072" i="5"/>
  <c r="F24" i="5"/>
  <c r="H24" i="5"/>
  <c r="F44" i="5"/>
  <c r="H44" i="5"/>
  <c r="F76" i="5"/>
  <c r="H76" i="5"/>
  <c r="F104" i="5"/>
  <c r="H104" i="5"/>
  <c r="F136" i="5"/>
  <c r="H136" i="5"/>
  <c r="F160" i="5"/>
  <c r="H160" i="5"/>
  <c r="F176" i="5"/>
  <c r="H176" i="5"/>
  <c r="F200" i="5"/>
  <c r="H200" i="5"/>
  <c r="F224" i="5"/>
  <c r="H224" i="5"/>
  <c r="F244" i="5"/>
  <c r="H244" i="5"/>
  <c r="F268" i="5"/>
  <c r="H268" i="5"/>
  <c r="F284" i="5"/>
  <c r="H284" i="5"/>
  <c r="F292" i="5"/>
  <c r="H292" i="5"/>
  <c r="F300" i="5"/>
  <c r="H300" i="5"/>
  <c r="F312" i="5"/>
  <c r="H312" i="5"/>
  <c r="F324" i="5"/>
  <c r="H324" i="5"/>
  <c r="F336" i="5"/>
  <c r="H336" i="5"/>
  <c r="F340" i="5"/>
  <c r="H340" i="5"/>
  <c r="F352" i="5"/>
  <c r="H352" i="5"/>
  <c r="F360" i="5"/>
  <c r="H360" i="5"/>
  <c r="F368" i="5"/>
  <c r="H368" i="5"/>
  <c r="F372" i="5"/>
  <c r="H372" i="5"/>
  <c r="F380" i="5"/>
  <c r="H380" i="5"/>
  <c r="F388" i="5"/>
  <c r="H388" i="5"/>
  <c r="F396" i="5"/>
  <c r="H396" i="5"/>
  <c r="F408" i="5"/>
  <c r="H408" i="5"/>
  <c r="F416" i="5"/>
  <c r="H416" i="5"/>
  <c r="F424" i="5"/>
  <c r="H424" i="5"/>
  <c r="F428" i="5"/>
  <c r="H428" i="5"/>
  <c r="F436" i="5"/>
  <c r="H436" i="5"/>
  <c r="F448" i="5"/>
  <c r="H448" i="5"/>
  <c r="F456" i="5"/>
  <c r="H456" i="5"/>
  <c r="F464" i="5"/>
  <c r="H464" i="5"/>
  <c r="F472" i="5"/>
  <c r="H472" i="5"/>
  <c r="F476" i="5"/>
  <c r="H476" i="5"/>
  <c r="F484" i="5"/>
  <c r="H484" i="5"/>
  <c r="F492" i="5"/>
  <c r="H492" i="5"/>
  <c r="F500" i="5"/>
  <c r="H500" i="5"/>
  <c r="F508" i="5"/>
  <c r="H508" i="5"/>
  <c r="F516" i="5"/>
  <c r="H516" i="5"/>
  <c r="F528" i="5"/>
  <c r="H528" i="5"/>
  <c r="F536" i="5"/>
  <c r="H536" i="5"/>
  <c r="F544" i="5"/>
  <c r="H544" i="5"/>
  <c r="F552" i="5"/>
  <c r="H552" i="5"/>
  <c r="F560" i="5"/>
  <c r="H560" i="5"/>
  <c r="F568" i="5"/>
  <c r="H568" i="5"/>
  <c r="F576" i="5"/>
  <c r="H576" i="5"/>
  <c r="F584" i="5"/>
  <c r="H584" i="5"/>
  <c r="F592" i="5"/>
  <c r="H592" i="5"/>
  <c r="F600" i="5"/>
  <c r="H600" i="5"/>
  <c r="F608" i="5"/>
  <c r="H608" i="5"/>
  <c r="F616" i="5"/>
  <c r="H616" i="5"/>
  <c r="F624" i="5"/>
  <c r="H624" i="5"/>
  <c r="F632" i="5"/>
  <c r="H632" i="5"/>
  <c r="F640" i="5"/>
  <c r="H640" i="5"/>
  <c r="F648" i="5"/>
  <c r="H648" i="5"/>
  <c r="F656" i="5"/>
  <c r="H656" i="5"/>
  <c r="F664" i="5"/>
  <c r="H664" i="5"/>
  <c r="F672" i="5"/>
  <c r="H672" i="5"/>
  <c r="F680" i="5"/>
  <c r="H680" i="5"/>
  <c r="F688" i="5"/>
  <c r="H688" i="5"/>
  <c r="F696" i="5"/>
  <c r="H696" i="5"/>
  <c r="F704" i="5"/>
  <c r="H704" i="5"/>
  <c r="F712" i="5"/>
  <c r="H712" i="5"/>
  <c r="F720" i="5"/>
  <c r="H720" i="5"/>
  <c r="F728" i="5"/>
  <c r="H728" i="5"/>
  <c r="F736" i="5"/>
  <c r="H736" i="5"/>
  <c r="F744" i="5"/>
  <c r="H744" i="5"/>
  <c r="F752" i="5"/>
  <c r="H752" i="5"/>
  <c r="F760" i="5"/>
  <c r="H760" i="5"/>
  <c r="F768" i="5"/>
  <c r="H768" i="5"/>
  <c r="F772" i="5"/>
  <c r="H772" i="5"/>
  <c r="F780" i="5"/>
  <c r="H780" i="5"/>
  <c r="F788" i="5"/>
  <c r="H788" i="5"/>
  <c r="F796" i="5"/>
  <c r="H796" i="5"/>
  <c r="F804" i="5"/>
  <c r="H804" i="5"/>
  <c r="F812" i="5"/>
  <c r="H812" i="5"/>
  <c r="F820" i="5"/>
  <c r="H820" i="5"/>
  <c r="F828" i="5"/>
  <c r="H828" i="5"/>
  <c r="F836" i="5"/>
  <c r="H836" i="5"/>
  <c r="F844" i="5"/>
  <c r="H844" i="5"/>
  <c r="F852" i="5"/>
  <c r="H852" i="5"/>
  <c r="F860" i="5"/>
  <c r="H860" i="5"/>
  <c r="F868" i="5"/>
  <c r="H868" i="5"/>
  <c r="F876" i="5"/>
  <c r="H876" i="5"/>
  <c r="F884" i="5"/>
  <c r="H884" i="5"/>
  <c r="F892" i="5"/>
  <c r="H892" i="5"/>
  <c r="F904" i="5"/>
  <c r="H904" i="5"/>
  <c r="F912" i="5"/>
  <c r="H912" i="5"/>
  <c r="F920" i="5"/>
  <c r="H920" i="5"/>
  <c r="F924" i="5"/>
  <c r="H924" i="5"/>
  <c r="F936" i="5"/>
  <c r="H936" i="5"/>
  <c r="F940" i="5"/>
  <c r="H940" i="5"/>
  <c r="F948" i="5"/>
  <c r="H948" i="5"/>
  <c r="F960" i="5"/>
  <c r="H960" i="5"/>
  <c r="F984" i="5"/>
  <c r="H984" i="5"/>
  <c r="F8" i="5"/>
  <c r="H8" i="5"/>
  <c r="F20" i="5"/>
  <c r="H20" i="5"/>
  <c r="F32" i="5"/>
  <c r="H32" i="5"/>
  <c r="F48" i="5"/>
  <c r="H48" i="5"/>
  <c r="F60" i="5"/>
  <c r="H60" i="5"/>
  <c r="F68" i="5"/>
  <c r="H68" i="5"/>
  <c r="F92" i="5"/>
  <c r="H92" i="5"/>
  <c r="F100" i="5"/>
  <c r="H100" i="5"/>
  <c r="F116" i="5"/>
  <c r="H116" i="5"/>
  <c r="F124" i="5"/>
  <c r="H124" i="5"/>
  <c r="F140" i="5"/>
  <c r="H140" i="5"/>
  <c r="F152" i="5"/>
  <c r="H152" i="5"/>
  <c r="F164" i="5"/>
  <c r="H164" i="5"/>
  <c r="F180" i="5"/>
  <c r="H180" i="5"/>
  <c r="F188" i="5"/>
  <c r="H188" i="5"/>
  <c r="F204" i="5"/>
  <c r="H204" i="5"/>
  <c r="F212" i="5"/>
  <c r="H212" i="5"/>
  <c r="F228" i="5"/>
  <c r="H228" i="5"/>
  <c r="F236" i="5"/>
  <c r="H236" i="5"/>
  <c r="F252" i="5"/>
  <c r="H252" i="5"/>
  <c r="F264" i="5"/>
  <c r="H264" i="5"/>
  <c r="F276" i="5"/>
  <c r="H276" i="5"/>
  <c r="F288" i="5"/>
  <c r="H288" i="5"/>
  <c r="F320" i="5"/>
  <c r="H320" i="5"/>
  <c r="F9" i="5"/>
  <c r="H9" i="5"/>
  <c r="F17" i="5"/>
  <c r="H17" i="5"/>
  <c r="F25" i="5"/>
  <c r="H25" i="5"/>
  <c r="F33" i="5"/>
  <c r="H33" i="5"/>
  <c r="F41" i="5"/>
  <c r="H41" i="5"/>
  <c r="F49" i="5"/>
  <c r="H49" i="5"/>
  <c r="F57" i="5"/>
  <c r="H57" i="5"/>
  <c r="F69" i="5"/>
  <c r="H69" i="5"/>
  <c r="F77" i="5"/>
  <c r="H77" i="5"/>
  <c r="F85" i="5"/>
  <c r="H85" i="5"/>
  <c r="F93" i="5"/>
  <c r="H93" i="5"/>
  <c r="F101" i="5"/>
  <c r="H101" i="5"/>
  <c r="F109" i="5"/>
  <c r="H109" i="5"/>
  <c r="F117" i="5"/>
  <c r="H117" i="5"/>
  <c r="F125" i="5"/>
  <c r="H125" i="5"/>
  <c r="F133" i="5"/>
  <c r="H133" i="5"/>
  <c r="F141" i="5"/>
  <c r="H141" i="5"/>
  <c r="F149" i="5"/>
  <c r="H149" i="5"/>
  <c r="F157" i="5"/>
  <c r="H157" i="5"/>
  <c r="F165" i="5"/>
  <c r="H165" i="5"/>
  <c r="F173" i="5"/>
  <c r="H173" i="5"/>
  <c r="F181" i="5"/>
  <c r="H181" i="5"/>
  <c r="F189" i="5"/>
  <c r="H189" i="5"/>
  <c r="F197" i="5"/>
  <c r="H197" i="5"/>
  <c r="F205" i="5"/>
  <c r="H205" i="5"/>
  <c r="F213" i="5"/>
  <c r="H213" i="5"/>
  <c r="F221" i="5"/>
  <c r="H221" i="5"/>
  <c r="F229" i="5"/>
  <c r="H229" i="5"/>
  <c r="F237" i="5"/>
  <c r="H237" i="5"/>
  <c r="F245" i="5"/>
  <c r="H245" i="5"/>
  <c r="F253" i="5"/>
  <c r="H253" i="5"/>
  <c r="F261" i="5"/>
  <c r="H261" i="5"/>
  <c r="F269" i="5"/>
  <c r="H269" i="5"/>
  <c r="F277" i="5"/>
  <c r="H277" i="5"/>
  <c r="F289" i="5"/>
  <c r="H289" i="5"/>
  <c r="F297" i="5"/>
  <c r="H297" i="5"/>
  <c r="F305" i="5"/>
  <c r="H305" i="5"/>
  <c r="F313" i="5"/>
  <c r="H313" i="5"/>
  <c r="F321" i="5"/>
  <c r="H321" i="5"/>
  <c r="F329" i="5"/>
  <c r="H329" i="5"/>
  <c r="F337" i="5"/>
  <c r="H337" i="5"/>
  <c r="F345" i="5"/>
  <c r="H345" i="5"/>
  <c r="F353" i="5"/>
  <c r="H353" i="5"/>
  <c r="F361" i="5"/>
  <c r="H361" i="5"/>
  <c r="F369" i="5"/>
  <c r="H369" i="5"/>
  <c r="F373" i="5"/>
  <c r="H373" i="5"/>
  <c r="F381" i="5"/>
  <c r="H381" i="5"/>
  <c r="F389" i="5"/>
  <c r="H389" i="5"/>
  <c r="F401" i="5"/>
  <c r="H401" i="5"/>
  <c r="F409" i="5"/>
  <c r="H409" i="5"/>
  <c r="F417" i="5"/>
  <c r="H417" i="5"/>
  <c r="F425" i="5"/>
  <c r="H425" i="5"/>
  <c r="F433" i="5"/>
  <c r="H433" i="5"/>
  <c r="F441" i="5"/>
  <c r="H441" i="5"/>
  <c r="F449" i="5"/>
  <c r="H449" i="5"/>
  <c r="F457" i="5"/>
  <c r="H457" i="5"/>
  <c r="F465" i="5"/>
  <c r="H465" i="5"/>
  <c r="F473" i="5"/>
  <c r="H473" i="5"/>
  <c r="F481" i="5"/>
  <c r="H481" i="5"/>
  <c r="F489" i="5"/>
  <c r="H489" i="5"/>
  <c r="F497" i="5"/>
  <c r="H497" i="5"/>
  <c r="F505" i="5"/>
  <c r="H505" i="5"/>
  <c r="F517" i="5"/>
  <c r="H517" i="5"/>
  <c r="F525" i="5"/>
  <c r="H525" i="5"/>
  <c r="F533" i="5"/>
  <c r="H533" i="5"/>
  <c r="F541" i="5"/>
  <c r="H541" i="5"/>
  <c r="F549" i="5"/>
  <c r="H549" i="5"/>
  <c r="F557" i="5"/>
  <c r="H557" i="5"/>
  <c r="F565" i="5"/>
  <c r="H565" i="5"/>
  <c r="F573" i="5"/>
  <c r="H573" i="5"/>
  <c r="F581" i="5"/>
  <c r="H581" i="5"/>
  <c r="F589" i="5"/>
  <c r="H589" i="5"/>
  <c r="F597" i="5"/>
  <c r="H597" i="5"/>
  <c r="F605" i="5"/>
  <c r="H605" i="5"/>
  <c r="F613" i="5"/>
  <c r="H613" i="5"/>
  <c r="F621" i="5"/>
  <c r="H621" i="5"/>
  <c r="F629" i="5"/>
  <c r="H629" i="5"/>
  <c r="F637" i="5"/>
  <c r="H637" i="5"/>
  <c r="F645" i="5"/>
  <c r="H645" i="5"/>
  <c r="F653" i="5"/>
  <c r="H653" i="5"/>
  <c r="F661" i="5"/>
  <c r="H661" i="5"/>
  <c r="F669" i="5"/>
  <c r="H669" i="5"/>
  <c r="F677" i="5"/>
  <c r="H677" i="5"/>
  <c r="F685" i="5"/>
  <c r="H685" i="5"/>
  <c r="F693" i="5"/>
  <c r="H693" i="5"/>
  <c r="F701" i="5"/>
  <c r="H701" i="5"/>
  <c r="F709" i="5"/>
  <c r="H709" i="5"/>
  <c r="F717" i="5"/>
  <c r="H717" i="5"/>
  <c r="F725" i="5"/>
  <c r="H725" i="5"/>
  <c r="F733" i="5"/>
  <c r="H733" i="5"/>
  <c r="F741" i="5"/>
  <c r="H741" i="5"/>
  <c r="F749" i="5"/>
  <c r="H749" i="5"/>
  <c r="F757" i="5"/>
  <c r="H757" i="5"/>
  <c r="F765" i="5"/>
  <c r="H765" i="5"/>
  <c r="F773" i="5"/>
  <c r="H773" i="5"/>
  <c r="F781" i="5"/>
  <c r="H781" i="5"/>
  <c r="F789" i="5"/>
  <c r="H789" i="5"/>
  <c r="F797" i="5"/>
  <c r="H797" i="5"/>
  <c r="F805" i="5"/>
  <c r="H805" i="5"/>
  <c r="F813" i="5"/>
  <c r="H813" i="5"/>
  <c r="F821" i="5"/>
  <c r="H821" i="5"/>
  <c r="F829" i="5"/>
  <c r="H829" i="5"/>
  <c r="F837" i="5"/>
  <c r="H837" i="5"/>
  <c r="F845" i="5"/>
  <c r="H845" i="5"/>
  <c r="F853" i="5"/>
  <c r="H853" i="5"/>
  <c r="F861" i="5"/>
  <c r="H861" i="5"/>
  <c r="F869" i="5"/>
  <c r="H869" i="5"/>
  <c r="F877" i="5"/>
  <c r="H877" i="5"/>
  <c r="F885" i="5"/>
  <c r="H885" i="5"/>
  <c r="F889" i="5"/>
  <c r="H889" i="5"/>
  <c r="F893" i="5"/>
  <c r="H893" i="5"/>
  <c r="F901" i="5"/>
  <c r="H901" i="5"/>
  <c r="F909" i="5"/>
  <c r="H909" i="5"/>
  <c r="F917" i="5"/>
  <c r="H917" i="5"/>
  <c r="F925" i="5"/>
  <c r="H925" i="5"/>
  <c r="F933" i="5"/>
  <c r="H933" i="5"/>
  <c r="F941" i="5"/>
  <c r="H941" i="5"/>
  <c r="F949" i="5"/>
  <c r="H949" i="5"/>
  <c r="F957" i="5"/>
  <c r="H957" i="5"/>
  <c r="F961" i="5"/>
  <c r="H961" i="5"/>
  <c r="F969" i="5"/>
  <c r="H969" i="5"/>
  <c r="F981" i="5"/>
  <c r="H981" i="5"/>
  <c r="F989" i="5"/>
  <c r="H989" i="5"/>
  <c r="F1061" i="5"/>
  <c r="H1061" i="5"/>
  <c r="F1065" i="5"/>
  <c r="H1065" i="5"/>
  <c r="F1069" i="5"/>
  <c r="H1069" i="5"/>
  <c r="F1073" i="5"/>
  <c r="H1073" i="5"/>
  <c r="F4" i="5"/>
  <c r="H4" i="5"/>
  <c r="F12" i="5"/>
  <c r="H12" i="5"/>
  <c r="F28" i="5"/>
  <c r="H28" i="5"/>
  <c r="F40" i="5"/>
  <c r="H40" i="5"/>
  <c r="F52" i="5"/>
  <c r="H52" i="5"/>
  <c r="F64" i="5"/>
  <c r="H64" i="5"/>
  <c r="F72" i="5"/>
  <c r="H72" i="5"/>
  <c r="F96" i="5"/>
  <c r="H96" i="5"/>
  <c r="F108" i="5"/>
  <c r="H108" i="5"/>
  <c r="F120" i="5"/>
  <c r="H120" i="5"/>
  <c r="F132" i="5"/>
  <c r="H132" i="5"/>
  <c r="F144" i="5"/>
  <c r="H144" i="5"/>
  <c r="F156" i="5"/>
  <c r="H156" i="5"/>
  <c r="F168" i="5"/>
  <c r="H168" i="5"/>
  <c r="F184" i="5"/>
  <c r="H184" i="5"/>
  <c r="F196" i="5"/>
  <c r="H196" i="5"/>
  <c r="F208" i="5"/>
  <c r="H208" i="5"/>
  <c r="F220" i="5"/>
  <c r="H220" i="5"/>
  <c r="F232" i="5"/>
  <c r="H232" i="5"/>
  <c r="F248" i="5"/>
  <c r="H248" i="5"/>
  <c r="F256" i="5"/>
  <c r="H256" i="5"/>
  <c r="F272" i="5"/>
  <c r="H272" i="5"/>
  <c r="F316" i="5"/>
  <c r="H316" i="5"/>
  <c r="F5" i="5"/>
  <c r="H5" i="5"/>
  <c r="F13" i="5"/>
  <c r="H13" i="5"/>
  <c r="F21" i="5"/>
  <c r="H21" i="5"/>
  <c r="F29" i="5"/>
  <c r="H29" i="5"/>
  <c r="F37" i="5"/>
  <c r="H37" i="5"/>
  <c r="F45" i="5"/>
  <c r="H45" i="5"/>
  <c r="F53" i="5"/>
  <c r="H53" i="5"/>
  <c r="F61" i="5"/>
  <c r="H61" i="5"/>
  <c r="F65" i="5"/>
  <c r="H65" i="5"/>
  <c r="F73" i="5"/>
  <c r="H73" i="5"/>
  <c r="F81" i="5"/>
  <c r="H81" i="5"/>
  <c r="F89" i="5"/>
  <c r="H89" i="5"/>
  <c r="F97" i="5"/>
  <c r="H97" i="5"/>
  <c r="F105" i="5"/>
  <c r="H105" i="5"/>
  <c r="F113" i="5"/>
  <c r="H113" i="5"/>
  <c r="F121" i="5"/>
  <c r="H121" i="5"/>
  <c r="F129" i="5"/>
  <c r="H129" i="5"/>
  <c r="F137" i="5"/>
  <c r="H137" i="5"/>
  <c r="F145" i="5"/>
  <c r="H145" i="5"/>
  <c r="F153" i="5"/>
  <c r="H153" i="5"/>
  <c r="F161" i="5"/>
  <c r="H161" i="5"/>
  <c r="F169" i="5"/>
  <c r="H169" i="5"/>
  <c r="F177" i="5"/>
  <c r="H177" i="5"/>
  <c r="F185" i="5"/>
  <c r="H185" i="5"/>
  <c r="F193" i="5"/>
  <c r="H193" i="5"/>
  <c r="F201" i="5"/>
  <c r="H201" i="5"/>
  <c r="F209" i="5"/>
  <c r="H209" i="5"/>
  <c r="F217" i="5"/>
  <c r="H217" i="5"/>
  <c r="F225" i="5"/>
  <c r="H225" i="5"/>
  <c r="F233" i="5"/>
  <c r="H233" i="5"/>
  <c r="F241" i="5"/>
  <c r="H241" i="5"/>
  <c r="F249" i="5"/>
  <c r="H249" i="5"/>
  <c r="F257" i="5"/>
  <c r="H257" i="5"/>
  <c r="F265" i="5"/>
  <c r="H265" i="5"/>
  <c r="F273" i="5"/>
  <c r="H273" i="5"/>
  <c r="F281" i="5"/>
  <c r="H281" i="5"/>
  <c r="F285" i="5"/>
  <c r="H285" i="5"/>
  <c r="F293" i="5"/>
  <c r="H293" i="5"/>
  <c r="F301" i="5"/>
  <c r="H301" i="5"/>
  <c r="F309" i="5"/>
  <c r="H309" i="5"/>
  <c r="F317" i="5"/>
  <c r="H317" i="5"/>
  <c r="F325" i="5"/>
  <c r="H325" i="5"/>
  <c r="F333" i="5"/>
  <c r="H333" i="5"/>
  <c r="F341" i="5"/>
  <c r="H341" i="5"/>
  <c r="F349" i="5"/>
  <c r="H349" i="5"/>
  <c r="F357" i="5"/>
  <c r="H357" i="5"/>
  <c r="F365" i="5"/>
  <c r="H365" i="5"/>
  <c r="F377" i="5"/>
  <c r="H377" i="5"/>
  <c r="F385" i="5"/>
  <c r="H385" i="5"/>
  <c r="F393" i="5"/>
  <c r="H393" i="5"/>
  <c r="F397" i="5"/>
  <c r="H397" i="5"/>
  <c r="F405" i="5"/>
  <c r="H405" i="5"/>
  <c r="F413" i="5"/>
  <c r="H413" i="5"/>
  <c r="F421" i="5"/>
  <c r="H421" i="5"/>
  <c r="F429" i="5"/>
  <c r="H429" i="5"/>
  <c r="F437" i="5"/>
  <c r="H437" i="5"/>
  <c r="F445" i="5"/>
  <c r="H445" i="5"/>
  <c r="F453" i="5"/>
  <c r="H453" i="5"/>
  <c r="F461" i="5"/>
  <c r="H461" i="5"/>
  <c r="F469" i="5"/>
  <c r="H469" i="5"/>
  <c r="F477" i="5"/>
  <c r="H477" i="5"/>
  <c r="F485" i="5"/>
  <c r="H485" i="5"/>
  <c r="F493" i="5"/>
  <c r="H493" i="5"/>
  <c r="F501" i="5"/>
  <c r="H501" i="5"/>
  <c r="F509" i="5"/>
  <c r="H509" i="5"/>
  <c r="F513" i="5"/>
  <c r="H513" i="5"/>
  <c r="F521" i="5"/>
  <c r="H521" i="5"/>
  <c r="F529" i="5"/>
  <c r="H529" i="5"/>
  <c r="F537" i="5"/>
  <c r="H537" i="5"/>
  <c r="F545" i="5"/>
  <c r="H545" i="5"/>
  <c r="F553" i="5"/>
  <c r="H553" i="5"/>
  <c r="F561" i="5"/>
  <c r="H561" i="5"/>
  <c r="F569" i="5"/>
  <c r="H569" i="5"/>
  <c r="F577" i="5"/>
  <c r="H577" i="5"/>
  <c r="F585" i="5"/>
  <c r="H585" i="5"/>
  <c r="F593" i="5"/>
  <c r="H593" i="5"/>
  <c r="F601" i="5"/>
  <c r="H601" i="5"/>
  <c r="F609" i="5"/>
  <c r="H609" i="5"/>
  <c r="F617" i="5"/>
  <c r="H617" i="5"/>
  <c r="F625" i="5"/>
  <c r="H625" i="5"/>
  <c r="F633" i="5"/>
  <c r="H633" i="5"/>
  <c r="F641" i="5"/>
  <c r="H641" i="5"/>
  <c r="F649" i="5"/>
  <c r="H649" i="5"/>
  <c r="F657" i="5"/>
  <c r="H657" i="5"/>
  <c r="F665" i="5"/>
  <c r="H665" i="5"/>
  <c r="F673" i="5"/>
  <c r="H673" i="5"/>
  <c r="F681" i="5"/>
  <c r="H681" i="5"/>
  <c r="F689" i="5"/>
  <c r="H689" i="5"/>
  <c r="F697" i="5"/>
  <c r="H697" i="5"/>
  <c r="F705" i="5"/>
  <c r="H705" i="5"/>
  <c r="F713" i="5"/>
  <c r="H713" i="5"/>
  <c r="F721" i="5"/>
  <c r="H721" i="5"/>
  <c r="F729" i="5"/>
  <c r="H729" i="5"/>
  <c r="F737" i="5"/>
  <c r="H737" i="5"/>
  <c r="F745" i="5"/>
  <c r="H745" i="5"/>
  <c r="F753" i="5"/>
  <c r="H753" i="5"/>
  <c r="F761" i="5"/>
  <c r="H761" i="5"/>
  <c r="F769" i="5"/>
  <c r="H769" i="5"/>
  <c r="F777" i="5"/>
  <c r="H777" i="5"/>
  <c r="F785" i="5"/>
  <c r="H785" i="5"/>
  <c r="F793" i="5"/>
  <c r="H793" i="5"/>
  <c r="F801" i="5"/>
  <c r="H801" i="5"/>
  <c r="F809" i="5"/>
  <c r="H809" i="5"/>
  <c r="F817" i="5"/>
  <c r="H817" i="5"/>
  <c r="F825" i="5"/>
  <c r="H825" i="5"/>
  <c r="F833" i="5"/>
  <c r="H833" i="5"/>
  <c r="F841" i="5"/>
  <c r="H841" i="5"/>
  <c r="F849" i="5"/>
  <c r="H849" i="5"/>
  <c r="F857" i="5"/>
  <c r="H857" i="5"/>
  <c r="F865" i="5"/>
  <c r="H865" i="5"/>
  <c r="F873" i="5"/>
  <c r="H873" i="5"/>
  <c r="F881" i="5"/>
  <c r="H881" i="5"/>
  <c r="F897" i="5"/>
  <c r="H897" i="5"/>
  <c r="F905" i="5"/>
  <c r="H905" i="5"/>
  <c r="F913" i="5"/>
  <c r="H913" i="5"/>
  <c r="F921" i="5"/>
  <c r="H921" i="5"/>
  <c r="F929" i="5"/>
  <c r="H929" i="5"/>
  <c r="F937" i="5"/>
  <c r="H937" i="5"/>
  <c r="F945" i="5"/>
  <c r="H945" i="5"/>
  <c r="F953" i="5"/>
  <c r="H953" i="5"/>
  <c r="F965" i="5"/>
  <c r="H965" i="5"/>
  <c r="F973" i="5"/>
  <c r="H973" i="5"/>
  <c r="F977" i="5"/>
  <c r="H977" i="5"/>
  <c r="F985" i="5"/>
  <c r="H985" i="5"/>
  <c r="F993" i="5"/>
  <c r="H993" i="5"/>
  <c r="F997" i="5"/>
  <c r="H997" i="5"/>
  <c r="F1001" i="5"/>
  <c r="H1001" i="5"/>
  <c r="F1005" i="5"/>
  <c r="H1005" i="5"/>
  <c r="F1009" i="5"/>
  <c r="H1009" i="5"/>
  <c r="F1013" i="5"/>
  <c r="H1013" i="5"/>
  <c r="F1017" i="5"/>
  <c r="H1017" i="5"/>
  <c r="F1021" i="5"/>
  <c r="H1021" i="5"/>
  <c r="F1025" i="5"/>
  <c r="H1025" i="5"/>
  <c r="F1029" i="5"/>
  <c r="H1029" i="5"/>
  <c r="F1033" i="5"/>
  <c r="H1033" i="5"/>
  <c r="F1037" i="5"/>
  <c r="H1037" i="5"/>
  <c r="F1041" i="5"/>
  <c r="H1041" i="5"/>
  <c r="F1045" i="5"/>
  <c r="H1045" i="5"/>
  <c r="F1049" i="5"/>
  <c r="H1049" i="5"/>
  <c r="F1053" i="5"/>
  <c r="H1053" i="5"/>
  <c r="F1057" i="5"/>
  <c r="H1057" i="5"/>
  <c r="F84" i="5"/>
  <c r="H84" i="5"/>
  <c r="F10" i="5"/>
  <c r="H10" i="5"/>
  <c r="F18" i="5"/>
  <c r="H18" i="5"/>
  <c r="F30" i="5"/>
  <c r="H30" i="5"/>
  <c r="F42" i="5"/>
  <c r="H42" i="5"/>
  <c r="F50" i="5"/>
  <c r="H50" i="5"/>
  <c r="F66" i="5"/>
  <c r="H66" i="5"/>
  <c r="F78" i="5"/>
  <c r="H78" i="5"/>
  <c r="F90" i="5"/>
  <c r="H90" i="5"/>
  <c r="F98" i="5"/>
  <c r="H98" i="5"/>
  <c r="F110" i="5"/>
  <c r="H110" i="5"/>
  <c r="F122" i="5"/>
  <c r="H122" i="5"/>
  <c r="F134" i="5"/>
  <c r="H134" i="5"/>
  <c r="F142" i="5"/>
  <c r="H142" i="5"/>
  <c r="F154" i="5"/>
  <c r="H154" i="5"/>
  <c r="F162" i="5"/>
  <c r="H162" i="5"/>
  <c r="F174" i="5"/>
  <c r="H174" i="5"/>
  <c r="F182" i="5"/>
  <c r="H182" i="5"/>
  <c r="F194" i="5"/>
  <c r="H194" i="5"/>
  <c r="F206" i="5"/>
  <c r="H206" i="5"/>
  <c r="F214" i="5"/>
  <c r="H214" i="5"/>
  <c r="F226" i="5"/>
  <c r="H226" i="5"/>
  <c r="F238" i="5"/>
  <c r="H238" i="5"/>
  <c r="F246" i="5"/>
  <c r="H246" i="5"/>
  <c r="F258" i="5"/>
  <c r="H258" i="5"/>
  <c r="F270" i="5"/>
  <c r="H270" i="5"/>
  <c r="F278" i="5"/>
  <c r="H278" i="5"/>
  <c r="F290" i="5"/>
  <c r="H290" i="5"/>
  <c r="F302" i="5"/>
  <c r="H302" i="5"/>
  <c r="F314" i="5"/>
  <c r="H314" i="5"/>
  <c r="F322" i="5"/>
  <c r="H322" i="5"/>
  <c r="F334" i="5"/>
  <c r="H334" i="5"/>
  <c r="F346" i="5"/>
  <c r="H346" i="5"/>
  <c r="F354" i="5"/>
  <c r="H354" i="5"/>
  <c r="F366" i="5"/>
  <c r="H366" i="5"/>
  <c r="F378" i="5"/>
  <c r="H378" i="5"/>
  <c r="F386" i="5"/>
  <c r="H386" i="5"/>
  <c r="F398" i="5"/>
  <c r="H398" i="5"/>
  <c r="F410" i="5"/>
  <c r="H410" i="5"/>
  <c r="F418" i="5"/>
  <c r="H418" i="5"/>
  <c r="F430" i="5"/>
  <c r="H430" i="5"/>
  <c r="F442" i="5"/>
  <c r="H442" i="5"/>
  <c r="F450" i="5"/>
  <c r="H450" i="5"/>
  <c r="F462" i="5"/>
  <c r="H462" i="5"/>
  <c r="F474" i="5"/>
  <c r="H474" i="5"/>
  <c r="F482" i="5"/>
  <c r="H482" i="5"/>
  <c r="F494" i="5"/>
  <c r="H494" i="5"/>
  <c r="F506" i="5"/>
  <c r="H506" i="5"/>
  <c r="F518" i="5"/>
  <c r="H518" i="5"/>
  <c r="F530" i="5"/>
  <c r="H530" i="5"/>
  <c r="F542" i="5"/>
  <c r="H542" i="5"/>
  <c r="F554" i="5"/>
  <c r="H554" i="5"/>
  <c r="F562" i="5"/>
  <c r="H562" i="5"/>
  <c r="F574" i="5"/>
  <c r="H574" i="5"/>
  <c r="F586" i="5"/>
  <c r="H586" i="5"/>
  <c r="F598" i="5"/>
  <c r="H598" i="5"/>
  <c r="F606" i="5"/>
  <c r="H606" i="5"/>
  <c r="F614" i="5"/>
  <c r="H614" i="5"/>
  <c r="F626" i="5"/>
  <c r="H626" i="5"/>
  <c r="F638" i="5"/>
  <c r="H638" i="5"/>
  <c r="F650" i="5"/>
  <c r="H650" i="5"/>
  <c r="F658" i="5"/>
  <c r="H658" i="5"/>
  <c r="F670" i="5"/>
  <c r="H670" i="5"/>
  <c r="F682" i="5"/>
  <c r="H682" i="5"/>
  <c r="F694" i="5"/>
  <c r="H694" i="5"/>
  <c r="F706" i="5"/>
  <c r="H706" i="5"/>
  <c r="F718" i="5"/>
  <c r="H718" i="5"/>
  <c r="F730" i="5"/>
  <c r="H730" i="5"/>
  <c r="F742" i="5"/>
  <c r="H742" i="5"/>
  <c r="F750" i="5"/>
  <c r="H750" i="5"/>
  <c r="F762" i="5"/>
  <c r="H762" i="5"/>
  <c r="F774" i="5"/>
  <c r="H774" i="5"/>
  <c r="F786" i="5"/>
  <c r="H786" i="5"/>
  <c r="F798" i="5"/>
  <c r="H798" i="5"/>
  <c r="F806" i="5"/>
  <c r="H806" i="5"/>
  <c r="F818" i="5"/>
  <c r="H818" i="5"/>
  <c r="F830" i="5"/>
  <c r="H830" i="5"/>
  <c r="F842" i="5"/>
  <c r="H842" i="5"/>
  <c r="F850" i="5"/>
  <c r="H850" i="5"/>
  <c r="F862" i="5"/>
  <c r="H862" i="5"/>
  <c r="F874" i="5"/>
  <c r="H874" i="5"/>
  <c r="F886" i="5"/>
  <c r="H886" i="5"/>
  <c r="F898" i="5"/>
  <c r="H898" i="5"/>
  <c r="F910" i="5"/>
  <c r="H910" i="5"/>
  <c r="F922" i="5"/>
  <c r="H922" i="5"/>
  <c r="F930" i="5"/>
  <c r="H930" i="5"/>
  <c r="F938" i="5"/>
  <c r="H938" i="5"/>
  <c r="F942" i="5"/>
  <c r="H942" i="5"/>
  <c r="F946" i="5"/>
  <c r="H946" i="5"/>
  <c r="F950" i="5"/>
  <c r="H950" i="5"/>
  <c r="F958" i="5"/>
  <c r="H958" i="5"/>
  <c r="F962" i="5"/>
  <c r="H962" i="5"/>
  <c r="F966" i="5"/>
  <c r="H966" i="5"/>
  <c r="F970" i="5"/>
  <c r="H970" i="5"/>
  <c r="F974" i="5"/>
  <c r="H974" i="5"/>
  <c r="F978" i="5"/>
  <c r="H978" i="5"/>
  <c r="F982" i="5"/>
  <c r="H982" i="5"/>
  <c r="F986" i="5"/>
  <c r="H986" i="5"/>
  <c r="F990" i="5"/>
  <c r="H990" i="5"/>
  <c r="F994" i="5"/>
  <c r="H994" i="5"/>
  <c r="F998" i="5"/>
  <c r="H998" i="5"/>
  <c r="F1002" i="5"/>
  <c r="H1002" i="5"/>
  <c r="F1006" i="5"/>
  <c r="H1006" i="5"/>
  <c r="F1010" i="5"/>
  <c r="H1010" i="5"/>
  <c r="F1014" i="5"/>
  <c r="H1014" i="5"/>
  <c r="F1018" i="5"/>
  <c r="H1018" i="5"/>
  <c r="F1022" i="5"/>
  <c r="H1022" i="5"/>
  <c r="F1026" i="5"/>
  <c r="H1026" i="5"/>
  <c r="F1030" i="5"/>
  <c r="H1030" i="5"/>
  <c r="F1034" i="5"/>
  <c r="H1034" i="5"/>
  <c r="F1038" i="5"/>
  <c r="H1038" i="5"/>
  <c r="F1042" i="5"/>
  <c r="H1042" i="5"/>
  <c r="F1046" i="5"/>
  <c r="H1046" i="5"/>
  <c r="F1050" i="5"/>
  <c r="H1050" i="5"/>
  <c r="F1054" i="5"/>
  <c r="H1054" i="5"/>
  <c r="F1058" i="5"/>
  <c r="H1058" i="5"/>
  <c r="F1062" i="5"/>
  <c r="H1062" i="5"/>
  <c r="F1066" i="5"/>
  <c r="H1066" i="5"/>
  <c r="F1070" i="5"/>
  <c r="H1070" i="5"/>
  <c r="V728" i="4"/>
  <c r="N728" i="4"/>
  <c r="F728" i="4"/>
  <c r="P727" i="4"/>
  <c r="H727" i="4"/>
  <c r="R726" i="4"/>
  <c r="J726" i="4"/>
  <c r="T725" i="4"/>
  <c r="L725" i="4"/>
  <c r="P737" i="4"/>
  <c r="H737" i="4"/>
  <c r="R736" i="4"/>
  <c r="J736" i="4"/>
  <c r="T735" i="4"/>
  <c r="L735" i="4"/>
  <c r="V734" i="4"/>
  <c r="N734" i="4"/>
  <c r="F734" i="4"/>
  <c r="P733" i="4"/>
  <c r="H733" i="4"/>
  <c r="R732" i="4"/>
  <c r="J732" i="4"/>
  <c r="T731" i="4"/>
  <c r="L731" i="4"/>
  <c r="V730" i="4"/>
  <c r="N730" i="4"/>
  <c r="F730" i="4"/>
  <c r="P729" i="4"/>
  <c r="H729" i="4"/>
  <c r="R728" i="4"/>
  <c r="J728" i="4"/>
  <c r="T727" i="4"/>
  <c r="L727" i="4"/>
  <c r="N726" i="4"/>
  <c r="F726" i="4"/>
  <c r="P725" i="4"/>
  <c r="H725" i="4"/>
  <c r="R724" i="4"/>
  <c r="J724" i="4"/>
  <c r="T723" i="4"/>
  <c r="L723" i="4"/>
  <c r="Q728" i="4"/>
  <c r="I728" i="4"/>
  <c r="S727" i="4"/>
  <c r="K727" i="4"/>
  <c r="M726" i="4"/>
  <c r="AE726" i="5" s="1"/>
  <c r="E726" i="4"/>
  <c r="O725" i="4"/>
  <c r="G725" i="4"/>
  <c r="P728" i="4"/>
  <c r="H728" i="4"/>
  <c r="R727" i="4"/>
  <c r="J727" i="4"/>
  <c r="T726" i="4"/>
  <c r="L726" i="4"/>
  <c r="N725" i="4"/>
  <c r="F725" i="4"/>
  <c r="O736" i="4"/>
  <c r="G736" i="4"/>
  <c r="Q735" i="4"/>
  <c r="I735" i="4"/>
  <c r="S734" i="4"/>
  <c r="K734" i="4"/>
  <c r="O728" i="4"/>
  <c r="G728" i="4"/>
  <c r="Q727" i="4"/>
  <c r="I727" i="4"/>
  <c r="S726" i="4"/>
  <c r="K726" i="4"/>
  <c r="M725" i="4"/>
  <c r="AE725" i="5" s="1"/>
  <c r="E725" i="4"/>
  <c r="H736" i="4"/>
  <c r="J735" i="4"/>
  <c r="V736" i="4"/>
  <c r="N736" i="4"/>
  <c r="F736" i="4"/>
  <c r="P735" i="4"/>
  <c r="H735" i="4"/>
  <c r="R734" i="4"/>
  <c r="J734" i="4"/>
  <c r="T733" i="4"/>
  <c r="L733" i="4"/>
  <c r="S737" i="4"/>
  <c r="K737" i="4"/>
  <c r="U736" i="4"/>
  <c r="M736" i="4"/>
  <c r="AE736" i="5" s="1"/>
  <c r="E736" i="4"/>
  <c r="O735" i="4"/>
  <c r="G735" i="4"/>
  <c r="Q734" i="4"/>
  <c r="I734" i="4"/>
  <c r="S733" i="4"/>
  <c r="K733" i="4"/>
  <c r="U732" i="4"/>
  <c r="R732" i="8" s="1"/>
  <c r="M732" i="4"/>
  <c r="AE732" i="5" s="1"/>
  <c r="E732" i="4"/>
  <c r="O731" i="4"/>
  <c r="G731" i="4"/>
  <c r="Q730" i="4"/>
  <c r="I730" i="4"/>
  <c r="Q730" i="8" s="1"/>
  <c r="S729" i="4"/>
  <c r="K729" i="4"/>
  <c r="U728" i="4"/>
  <c r="M728" i="4"/>
  <c r="AE728" i="5" s="1"/>
  <c r="E728" i="4"/>
  <c r="O727" i="4"/>
  <c r="G727" i="4"/>
  <c r="Q726" i="4"/>
  <c r="I726" i="4"/>
  <c r="S725" i="4"/>
  <c r="K725" i="4"/>
  <c r="M724" i="4"/>
  <c r="AE724" i="5" s="1"/>
  <c r="E724" i="4"/>
  <c r="O723" i="4"/>
  <c r="G723" i="4"/>
  <c r="Q736" i="4"/>
  <c r="I736" i="4"/>
  <c r="P736" i="4"/>
  <c r="R735" i="4"/>
  <c r="R737" i="4"/>
  <c r="J737" i="4"/>
  <c r="T736" i="4"/>
  <c r="L736" i="4"/>
  <c r="V735" i="4"/>
  <c r="N735" i="4"/>
  <c r="F735" i="4"/>
  <c r="P734" i="4"/>
  <c r="H734" i="4"/>
  <c r="R733" i="4"/>
  <c r="J733" i="4"/>
  <c r="T732" i="4"/>
  <c r="L732" i="4"/>
  <c r="V731" i="4"/>
  <c r="T731" i="8" s="1"/>
  <c r="N731" i="4"/>
  <c r="F731" i="4"/>
  <c r="P730" i="4"/>
  <c r="H730" i="4"/>
  <c r="R729" i="4"/>
  <c r="J729" i="4"/>
  <c r="T728" i="4"/>
  <c r="L728" i="4"/>
  <c r="V727" i="4"/>
  <c r="N727" i="4"/>
  <c r="F727" i="4"/>
  <c r="P726" i="4"/>
  <c r="H726" i="4"/>
  <c r="R725" i="4"/>
  <c r="J725" i="4"/>
  <c r="T724" i="4"/>
  <c r="L724" i="4"/>
  <c r="N723" i="4"/>
  <c r="F723" i="4"/>
  <c r="Q737" i="4"/>
  <c r="S736" i="4"/>
  <c r="U735" i="4"/>
  <c r="M735" i="4"/>
  <c r="AE735" i="5" s="1"/>
  <c r="O734" i="4"/>
  <c r="Q733" i="4"/>
  <c r="S732" i="4"/>
  <c r="U731" i="4"/>
  <c r="M731" i="4"/>
  <c r="AE731" i="5" s="1"/>
  <c r="O730" i="4"/>
  <c r="Q729" i="4"/>
  <c r="S728" i="4"/>
  <c r="U727" i="4"/>
  <c r="M727" i="4"/>
  <c r="AE727" i="5" s="1"/>
  <c r="O726" i="4"/>
  <c r="Q725" i="4"/>
  <c r="S724" i="4"/>
  <c r="M723" i="4"/>
  <c r="AE723" i="5" s="1"/>
  <c r="N309" i="5" l="1"/>
  <c r="N36" i="5"/>
  <c r="N896" i="5"/>
  <c r="N165" i="5"/>
  <c r="L344" i="5"/>
  <c r="L389" i="5"/>
  <c r="L132" i="5"/>
  <c r="L437" i="5"/>
  <c r="L665" i="5"/>
  <c r="L533" i="5"/>
  <c r="K32" i="5"/>
  <c r="K348" i="5"/>
  <c r="N69" i="5"/>
  <c r="N781" i="5"/>
  <c r="L585" i="5"/>
  <c r="L485" i="5"/>
  <c r="N1061" i="5"/>
  <c r="N765" i="5"/>
  <c r="L697" i="5"/>
  <c r="L621" i="5"/>
  <c r="N453" i="5"/>
  <c r="N141" i="5"/>
  <c r="N40" i="5"/>
  <c r="L21" i="5"/>
  <c r="L821" i="5"/>
  <c r="L757" i="5"/>
  <c r="L637" i="5"/>
  <c r="N585" i="5"/>
  <c r="N485" i="5"/>
  <c r="L24" i="5"/>
  <c r="L765" i="5"/>
  <c r="N697" i="5"/>
  <c r="N621" i="5"/>
  <c r="L141" i="5"/>
  <c r="K1070" i="5"/>
  <c r="N573" i="5"/>
  <c r="L205" i="5"/>
  <c r="L25" i="5"/>
  <c r="N205" i="5"/>
  <c r="N25" i="5"/>
  <c r="L877" i="5"/>
  <c r="N745" i="5"/>
  <c r="L649" i="5"/>
  <c r="N617" i="5"/>
  <c r="L1069" i="5"/>
  <c r="N825" i="5"/>
  <c r="N729" i="5"/>
  <c r="K1056" i="5"/>
  <c r="K44" i="5"/>
  <c r="L85" i="5"/>
  <c r="L32" i="5"/>
  <c r="L57" i="5"/>
  <c r="N877" i="5"/>
  <c r="N649" i="5"/>
  <c r="L613" i="5"/>
  <c r="L457" i="5"/>
  <c r="L253" i="5"/>
  <c r="L185" i="5"/>
  <c r="N1069" i="5"/>
  <c r="L629" i="5"/>
  <c r="L565" i="5"/>
  <c r="L37" i="5"/>
  <c r="L480" i="5"/>
  <c r="L116" i="5"/>
  <c r="N85" i="5"/>
  <c r="N32" i="5"/>
  <c r="N57" i="5"/>
  <c r="L781" i="5"/>
  <c r="N613" i="5"/>
  <c r="N457" i="5"/>
  <c r="N253" i="5"/>
  <c r="N185" i="5"/>
  <c r="L1061" i="5"/>
  <c r="N629" i="5"/>
  <c r="N565" i="5"/>
  <c r="L453" i="5"/>
  <c r="L301" i="5"/>
  <c r="N60" i="5"/>
  <c r="L69" i="5"/>
  <c r="L13" i="5"/>
  <c r="L59" i="5"/>
  <c r="N45" i="5"/>
  <c r="N853" i="5"/>
  <c r="L797" i="5"/>
  <c r="L749" i="5"/>
  <c r="L661" i="5"/>
  <c r="N597" i="5"/>
  <c r="N553" i="5"/>
  <c r="N445" i="5"/>
  <c r="L381" i="5"/>
  <c r="L317" i="5"/>
  <c r="N265" i="5"/>
  <c r="L117" i="5"/>
  <c r="N869" i="5"/>
  <c r="N761" i="5"/>
  <c r="N409" i="5"/>
  <c r="N301" i="5"/>
  <c r="N181" i="5"/>
  <c r="N121" i="5"/>
  <c r="L780" i="5"/>
  <c r="L588" i="5"/>
  <c r="N436" i="5"/>
  <c r="L152" i="5"/>
  <c r="L60" i="5"/>
  <c r="L928" i="5"/>
  <c r="L840" i="5"/>
  <c r="N728" i="5"/>
  <c r="N632" i="5"/>
  <c r="L504" i="5"/>
  <c r="N352" i="5"/>
  <c r="N308" i="5"/>
  <c r="N232" i="5"/>
  <c r="L40" i="5"/>
  <c r="N1071" i="5"/>
  <c r="L884" i="5"/>
  <c r="L536" i="5"/>
  <c r="N125" i="5"/>
  <c r="N123" i="5"/>
  <c r="L5" i="5"/>
  <c r="N873" i="5"/>
  <c r="N809" i="5"/>
  <c r="N733" i="5"/>
  <c r="L605" i="5"/>
  <c r="L569" i="5"/>
  <c r="L489" i="5"/>
  <c r="N397" i="5"/>
  <c r="N361" i="5"/>
  <c r="L277" i="5"/>
  <c r="N103" i="5"/>
  <c r="L885" i="5"/>
  <c r="L653" i="5"/>
  <c r="N525" i="5"/>
  <c r="N237" i="5"/>
  <c r="L680" i="5"/>
  <c r="N480" i="5"/>
  <c r="L328" i="5"/>
  <c r="N228" i="5"/>
  <c r="N116" i="5"/>
  <c r="L12" i="5"/>
  <c r="L960" i="5"/>
  <c r="N884" i="5"/>
  <c r="N644" i="5"/>
  <c r="N536" i="5"/>
  <c r="N472" i="5"/>
  <c r="N384" i="5"/>
  <c r="N244" i="5"/>
  <c r="N104" i="5"/>
  <c r="L4" i="5"/>
  <c r="L107" i="5"/>
  <c r="L20" i="5"/>
  <c r="L805" i="5"/>
  <c r="L725" i="5"/>
  <c r="L677" i="5"/>
  <c r="N605" i="5"/>
  <c r="N569" i="5"/>
  <c r="N489" i="5"/>
  <c r="L397" i="5"/>
  <c r="N277" i="5"/>
  <c r="L133" i="5"/>
  <c r="L61" i="5"/>
  <c r="N885" i="5"/>
  <c r="N653" i="5"/>
  <c r="L525" i="5"/>
  <c r="L313" i="5"/>
  <c r="N680" i="5"/>
  <c r="N328" i="5"/>
  <c r="L108" i="5"/>
  <c r="N12" i="5"/>
  <c r="N960" i="5"/>
  <c r="L880" i="5"/>
  <c r="L528" i="5"/>
  <c r="L160" i="5"/>
  <c r="L88" i="5"/>
  <c r="N4" i="5"/>
  <c r="N13" i="5"/>
  <c r="N107" i="5"/>
  <c r="L45" i="5"/>
  <c r="N20" i="5"/>
  <c r="L853" i="5"/>
  <c r="N805" i="5"/>
  <c r="N725" i="5"/>
  <c r="N677" i="5"/>
  <c r="L597" i="5"/>
  <c r="L553" i="5"/>
  <c r="L445" i="5"/>
  <c r="N317" i="5"/>
  <c r="L265" i="5"/>
  <c r="N133" i="5"/>
  <c r="N61" i="5"/>
  <c r="L869" i="5"/>
  <c r="L761" i="5"/>
  <c r="L409" i="5"/>
  <c r="N313" i="5"/>
  <c r="L121" i="5"/>
  <c r="L436" i="5"/>
  <c r="N108" i="5"/>
  <c r="N880" i="5"/>
  <c r="L728" i="5"/>
  <c r="L632" i="5"/>
  <c r="N528" i="5"/>
  <c r="L352" i="5"/>
  <c r="L308" i="5"/>
  <c r="L232" i="5"/>
  <c r="N160" i="5"/>
  <c r="N88" i="5"/>
  <c r="L1071" i="5"/>
  <c r="L1055" i="5"/>
  <c r="L1019" i="5"/>
  <c r="L979" i="5"/>
  <c r="L939" i="5"/>
  <c r="L899" i="5"/>
  <c r="N855" i="5"/>
  <c r="N815" i="5"/>
  <c r="N775" i="5"/>
  <c r="N731" i="5"/>
  <c r="L683" i="5"/>
  <c r="N631" i="5"/>
  <c r="N975" i="5"/>
  <c r="N827" i="5"/>
  <c r="N703" i="5"/>
  <c r="L615" i="5"/>
  <c r="N547" i="5"/>
  <c r="N479" i="5"/>
  <c r="N415" i="5"/>
  <c r="N351" i="5"/>
  <c r="N283" i="5"/>
  <c r="L219" i="5"/>
  <c r="N607" i="5"/>
  <c r="N543" i="5"/>
  <c r="N483" i="5"/>
  <c r="L419" i="5"/>
  <c r="N355" i="5"/>
  <c r="N291" i="5"/>
  <c r="N231" i="5"/>
  <c r="N167" i="5"/>
  <c r="N119" i="5"/>
  <c r="L71" i="5"/>
  <c r="N27" i="5"/>
  <c r="L147" i="5"/>
  <c r="N51" i="5"/>
  <c r="N888" i="5"/>
  <c r="N796" i="5"/>
  <c r="N708" i="5"/>
  <c r="N620" i="5"/>
  <c r="N532" i="5"/>
  <c r="L972" i="5"/>
  <c r="L940" i="5"/>
  <c r="N848" i="5"/>
  <c r="N800" i="5"/>
  <c r="N748" i="5"/>
  <c r="L700" i="5"/>
  <c r="N652" i="5"/>
  <c r="N600" i="5"/>
  <c r="N548" i="5"/>
  <c r="N488" i="5"/>
  <c r="L372" i="5"/>
  <c r="N260" i="5"/>
  <c r="N176" i="5"/>
  <c r="N456" i="5"/>
  <c r="N404" i="5"/>
  <c r="N348" i="5"/>
  <c r="L256" i="5"/>
  <c r="N172" i="5"/>
  <c r="L120" i="5"/>
  <c r="N72" i="5"/>
  <c r="L48" i="5"/>
  <c r="N893" i="5"/>
  <c r="L829" i="5"/>
  <c r="L889" i="5"/>
  <c r="L393" i="5"/>
  <c r="N325" i="5"/>
  <c r="L261" i="5"/>
  <c r="N201" i="5"/>
  <c r="N137" i="5"/>
  <c r="N1065" i="5"/>
  <c r="N189" i="5"/>
  <c r="N77" i="5"/>
  <c r="N9" i="5"/>
  <c r="N41" i="5"/>
  <c r="N1051" i="5"/>
  <c r="N1015" i="5"/>
  <c r="L971" i="5"/>
  <c r="L935" i="5"/>
  <c r="N891" i="5"/>
  <c r="N851" i="5"/>
  <c r="L807" i="5"/>
  <c r="L767" i="5"/>
  <c r="L723" i="5"/>
  <c r="N675" i="5"/>
  <c r="L623" i="5"/>
  <c r="N951" i="5"/>
  <c r="L811" i="5"/>
  <c r="L691" i="5"/>
  <c r="N603" i="5"/>
  <c r="L539" i="5"/>
  <c r="L471" i="5"/>
  <c r="N407" i="5"/>
  <c r="L343" i="5"/>
  <c r="N275" i="5"/>
  <c r="N211" i="5"/>
  <c r="N599" i="5"/>
  <c r="L535" i="5"/>
  <c r="N475" i="5"/>
  <c r="L411" i="5"/>
  <c r="L347" i="5"/>
  <c r="N287" i="5"/>
  <c r="L223" i="5"/>
  <c r="N159" i="5"/>
  <c r="L115" i="5"/>
  <c r="N63" i="5"/>
  <c r="L23" i="5"/>
  <c r="N135" i="5"/>
  <c r="L1052" i="5"/>
  <c r="L876" i="5"/>
  <c r="N788" i="5"/>
  <c r="L696" i="5"/>
  <c r="L608" i="5"/>
  <c r="L524" i="5"/>
  <c r="N968" i="5"/>
  <c r="N936" i="5"/>
  <c r="L892" i="5"/>
  <c r="N792" i="5"/>
  <c r="N740" i="5"/>
  <c r="N692" i="5"/>
  <c r="N592" i="5"/>
  <c r="L540" i="5"/>
  <c r="L252" i="5"/>
  <c r="N144" i="5"/>
  <c r="L448" i="5"/>
  <c r="N396" i="5"/>
  <c r="N168" i="5"/>
  <c r="L1047" i="5"/>
  <c r="N1011" i="5"/>
  <c r="N967" i="5"/>
  <c r="N931" i="5"/>
  <c r="N887" i="5"/>
  <c r="L847" i="5"/>
  <c r="L803" i="5"/>
  <c r="L763" i="5"/>
  <c r="N719" i="5"/>
  <c r="L671" i="5"/>
  <c r="N619" i="5"/>
  <c r="L919" i="5"/>
  <c r="N791" i="5"/>
  <c r="N679" i="5"/>
  <c r="L595" i="5"/>
  <c r="L531" i="5"/>
  <c r="L463" i="5"/>
  <c r="N399" i="5"/>
  <c r="L335" i="5"/>
  <c r="L267" i="5"/>
  <c r="N203" i="5"/>
  <c r="N591" i="5"/>
  <c r="L527" i="5"/>
  <c r="N467" i="5"/>
  <c r="L403" i="5"/>
  <c r="L339" i="5"/>
  <c r="N279" i="5"/>
  <c r="N215" i="5"/>
  <c r="L151" i="5"/>
  <c r="N19" i="5"/>
  <c r="L39" i="5"/>
  <c r="N864" i="5"/>
  <c r="N776" i="5"/>
  <c r="N684" i="5"/>
  <c r="L596" i="5"/>
  <c r="N512" i="5"/>
  <c r="L964" i="5"/>
  <c r="L932" i="5"/>
  <c r="N836" i="5"/>
  <c r="N784" i="5"/>
  <c r="N688" i="5"/>
  <c r="N640" i="5"/>
  <c r="L584" i="5"/>
  <c r="L476" i="5"/>
  <c r="N440" i="5"/>
  <c r="N320" i="5"/>
  <c r="N52" i="5"/>
  <c r="N1054" i="5"/>
  <c r="N1043" i="5"/>
  <c r="N1007" i="5"/>
  <c r="N963" i="5"/>
  <c r="N927" i="5"/>
  <c r="N879" i="5"/>
  <c r="N843" i="5"/>
  <c r="N799" i="5"/>
  <c r="N755" i="5"/>
  <c r="N711" i="5"/>
  <c r="N663" i="5"/>
  <c r="N611" i="5"/>
  <c r="N907" i="5"/>
  <c r="N771" i="5"/>
  <c r="N667" i="5"/>
  <c r="L587" i="5"/>
  <c r="L523" i="5"/>
  <c r="N455" i="5"/>
  <c r="L391" i="5"/>
  <c r="N327" i="5"/>
  <c r="N259" i="5"/>
  <c r="N195" i="5"/>
  <c r="N583" i="5"/>
  <c r="N519" i="5"/>
  <c r="L459" i="5"/>
  <c r="N395" i="5"/>
  <c r="N331" i="5"/>
  <c r="N271" i="5"/>
  <c r="N207" i="5"/>
  <c r="N1017" i="5"/>
  <c r="L55" i="5"/>
  <c r="L1067" i="5"/>
  <c r="L852" i="5"/>
  <c r="N672" i="5"/>
  <c r="N1050" i="5"/>
  <c r="L1039" i="5"/>
  <c r="L999" i="5"/>
  <c r="N959" i="5"/>
  <c r="N923" i="5"/>
  <c r="L875" i="5"/>
  <c r="N835" i="5"/>
  <c r="N795" i="5"/>
  <c r="L751" i="5"/>
  <c r="N707" i="5"/>
  <c r="L655" i="5"/>
  <c r="N1063" i="5"/>
  <c r="N895" i="5"/>
  <c r="N759" i="5"/>
  <c r="N659" i="5"/>
  <c r="N579" i="5"/>
  <c r="N515" i="5"/>
  <c r="N447" i="5"/>
  <c r="N383" i="5"/>
  <c r="N319" i="5"/>
  <c r="N251" i="5"/>
  <c r="N187" i="5"/>
  <c r="N575" i="5"/>
  <c r="N511" i="5"/>
  <c r="L451" i="5"/>
  <c r="N387" i="5"/>
  <c r="N323" i="5"/>
  <c r="L263" i="5"/>
  <c r="L199" i="5"/>
  <c r="L143" i="5"/>
  <c r="L95" i="5"/>
  <c r="L47" i="5"/>
  <c r="L11" i="5"/>
  <c r="L99" i="5"/>
  <c r="L980" i="5"/>
  <c r="L844" i="5"/>
  <c r="L756" i="5"/>
  <c r="N660" i="5"/>
  <c r="N576" i="5"/>
  <c r="N492" i="5"/>
  <c r="N956" i="5"/>
  <c r="L920" i="5"/>
  <c r="N872" i="5"/>
  <c r="N824" i="5"/>
  <c r="L772" i="5"/>
  <c r="N724" i="5"/>
  <c r="N676" i="5"/>
  <c r="L624" i="5"/>
  <c r="N572" i="5"/>
  <c r="N520" i="5"/>
  <c r="N464" i="5"/>
  <c r="N316" i="5"/>
  <c r="N216" i="5"/>
  <c r="N112" i="5"/>
  <c r="N428" i="5"/>
  <c r="L368" i="5"/>
  <c r="N288" i="5"/>
  <c r="N212" i="5"/>
  <c r="N148" i="5"/>
  <c r="N96" i="5"/>
  <c r="L76" i="5"/>
  <c r="N925" i="5"/>
  <c r="N861" i="5"/>
  <c r="N8" i="5"/>
  <c r="N365" i="5"/>
  <c r="N293" i="5"/>
  <c r="N229" i="5"/>
  <c r="N169" i="5"/>
  <c r="N105" i="5"/>
  <c r="L245" i="5"/>
  <c r="N109" i="5"/>
  <c r="N421" i="5"/>
  <c r="N28" i="5"/>
  <c r="N909" i="5"/>
  <c r="L713" i="5"/>
  <c r="L693" i="5"/>
  <c r="N537" i="5"/>
  <c r="N509" i="5"/>
  <c r="N852" i="5"/>
  <c r="N764" i="5"/>
  <c r="L1046" i="5"/>
  <c r="N1031" i="5"/>
  <c r="N995" i="5"/>
  <c r="N955" i="5"/>
  <c r="N915" i="5"/>
  <c r="N871" i="5"/>
  <c r="N831" i="5"/>
  <c r="N787" i="5"/>
  <c r="L747" i="5"/>
  <c r="N699" i="5"/>
  <c r="L651" i="5"/>
  <c r="L1035" i="5"/>
  <c r="L883" i="5"/>
  <c r="L743" i="5"/>
  <c r="L647" i="5"/>
  <c r="L571" i="5"/>
  <c r="N503" i="5"/>
  <c r="N439" i="5"/>
  <c r="N375" i="5"/>
  <c r="N311" i="5"/>
  <c r="N243" i="5"/>
  <c r="N179" i="5"/>
  <c r="N567" i="5"/>
  <c r="L507" i="5"/>
  <c r="N443" i="5"/>
  <c r="L379" i="5"/>
  <c r="N315" i="5"/>
  <c r="N255" i="5"/>
  <c r="N191" i="5"/>
  <c r="N139" i="5"/>
  <c r="L87" i="5"/>
  <c r="N43" i="5"/>
  <c r="N7" i="5"/>
  <c r="N91" i="5"/>
  <c r="N924" i="5"/>
  <c r="N832" i="5"/>
  <c r="N744" i="5"/>
  <c r="L648" i="5"/>
  <c r="N564" i="5"/>
  <c r="N484" i="5"/>
  <c r="N952" i="5"/>
  <c r="N916" i="5"/>
  <c r="N868" i="5"/>
  <c r="N816" i="5"/>
  <c r="N768" i="5"/>
  <c r="N716" i="5"/>
  <c r="N668" i="5"/>
  <c r="N616" i="5"/>
  <c r="N568" i="5"/>
  <c r="N516" i="5"/>
  <c r="N412" i="5"/>
  <c r="N304" i="5"/>
  <c r="N208" i="5"/>
  <c r="N100" i="5"/>
  <c r="N424" i="5"/>
  <c r="N364" i="5"/>
  <c r="N276" i="5"/>
  <c r="N200" i="5"/>
  <c r="N140" i="5"/>
  <c r="N92" i="5"/>
  <c r="N68" i="5"/>
  <c r="N917" i="5"/>
  <c r="N857" i="5"/>
  <c r="N777" i="5"/>
  <c r="N505" i="5"/>
  <c r="N357" i="5"/>
  <c r="L285" i="5"/>
  <c r="N217" i="5"/>
  <c r="L153" i="5"/>
  <c r="N101" i="5"/>
  <c r="N349" i="5"/>
  <c r="N233" i="5"/>
  <c r="L764" i="5"/>
  <c r="L1027" i="5"/>
  <c r="N991" i="5"/>
  <c r="N947" i="5"/>
  <c r="L911" i="5"/>
  <c r="N867" i="5"/>
  <c r="N823" i="5"/>
  <c r="L783" i="5"/>
  <c r="L739" i="5"/>
  <c r="N695" i="5"/>
  <c r="L643" i="5"/>
  <c r="L1003" i="5"/>
  <c r="L859" i="5"/>
  <c r="N727" i="5"/>
  <c r="N635" i="5"/>
  <c r="N563" i="5"/>
  <c r="N495" i="5"/>
  <c r="N431" i="5"/>
  <c r="N367" i="5"/>
  <c r="N303" i="5"/>
  <c r="N235" i="5"/>
  <c r="N171" i="5"/>
  <c r="N559" i="5"/>
  <c r="N499" i="5"/>
  <c r="N435" i="5"/>
  <c r="N371" i="5"/>
  <c r="L307" i="5"/>
  <c r="N247" i="5"/>
  <c r="N183" i="5"/>
  <c r="N131" i="5"/>
  <c r="L83" i="5"/>
  <c r="N35" i="5"/>
  <c r="N79" i="5"/>
  <c r="N912" i="5"/>
  <c r="N820" i="5"/>
  <c r="L732" i="5"/>
  <c r="N636" i="5"/>
  <c r="L556" i="5"/>
  <c r="N984" i="5"/>
  <c r="N948" i="5"/>
  <c r="L908" i="5"/>
  <c r="N860" i="5"/>
  <c r="L812" i="5"/>
  <c r="L760" i="5"/>
  <c r="N712" i="5"/>
  <c r="L664" i="5"/>
  <c r="N612" i="5"/>
  <c r="N560" i="5"/>
  <c r="N508" i="5"/>
  <c r="N392" i="5"/>
  <c r="N296" i="5"/>
  <c r="N196" i="5"/>
  <c r="N468" i="5"/>
  <c r="N416" i="5"/>
  <c r="L360" i="5"/>
  <c r="N268" i="5"/>
  <c r="N184" i="5"/>
  <c r="N136" i="5"/>
  <c r="N84" i="5"/>
  <c r="N64" i="5"/>
  <c r="L905" i="5"/>
  <c r="N841" i="5"/>
  <c r="N773" i="5"/>
  <c r="N413" i="5"/>
  <c r="N341" i="5"/>
  <c r="N281" i="5"/>
  <c r="N213" i="5"/>
  <c r="N149" i="5"/>
  <c r="L93" i="5"/>
  <c r="N345" i="5"/>
  <c r="N221" i="5"/>
  <c r="N425" i="5"/>
  <c r="L29" i="5"/>
  <c r="N73" i="5"/>
  <c r="N44" i="5"/>
  <c r="N789" i="5"/>
  <c r="L701" i="5"/>
  <c r="L633" i="5"/>
  <c r="N581" i="5"/>
  <c r="L845" i="5"/>
  <c r="N669" i="5"/>
  <c r="L493" i="5"/>
  <c r="L473" i="5"/>
  <c r="N1052" i="5"/>
  <c r="N1059" i="5"/>
  <c r="N1023" i="5"/>
  <c r="L983" i="5"/>
  <c r="N943" i="5"/>
  <c r="N903" i="5"/>
  <c r="N863" i="5"/>
  <c r="N819" i="5"/>
  <c r="N779" i="5"/>
  <c r="N735" i="5"/>
  <c r="L687" i="5"/>
  <c r="L639" i="5"/>
  <c r="N987" i="5"/>
  <c r="L839" i="5"/>
  <c r="N715" i="5"/>
  <c r="L627" i="5"/>
  <c r="N555" i="5"/>
  <c r="N487" i="5"/>
  <c r="L423" i="5"/>
  <c r="L359" i="5"/>
  <c r="N295" i="5"/>
  <c r="N227" i="5"/>
  <c r="N163" i="5"/>
  <c r="N551" i="5"/>
  <c r="N491" i="5"/>
  <c r="N427" i="5"/>
  <c r="L363" i="5"/>
  <c r="N299" i="5"/>
  <c r="N239" i="5"/>
  <c r="N175" i="5"/>
  <c r="N127" i="5"/>
  <c r="N75" i="5"/>
  <c r="N31" i="5"/>
  <c r="N155" i="5"/>
  <c r="N67" i="5"/>
  <c r="L900" i="5"/>
  <c r="N808" i="5"/>
  <c r="L720" i="5"/>
  <c r="L628" i="5"/>
  <c r="L544" i="5"/>
  <c r="L976" i="5"/>
  <c r="L944" i="5"/>
  <c r="L904" i="5"/>
  <c r="N856" i="5"/>
  <c r="N804" i="5"/>
  <c r="N752" i="5"/>
  <c r="L704" i="5"/>
  <c r="N656" i="5"/>
  <c r="N604" i="5"/>
  <c r="N552" i="5"/>
  <c r="L500" i="5"/>
  <c r="N284" i="5"/>
  <c r="N188" i="5"/>
  <c r="L460" i="5"/>
  <c r="N408" i="5"/>
  <c r="N356" i="5"/>
  <c r="N264" i="5"/>
  <c r="L180" i="5"/>
  <c r="N128" i="5"/>
  <c r="N80" i="5"/>
  <c r="N56" i="5"/>
  <c r="N901" i="5"/>
  <c r="N837" i="5"/>
  <c r="N921" i="5"/>
  <c r="N405" i="5"/>
  <c r="N329" i="5"/>
  <c r="L269" i="5"/>
  <c r="L333" i="5"/>
  <c r="N197" i="5"/>
  <c r="N844" i="5"/>
  <c r="N3" i="5"/>
  <c r="L159" i="5"/>
  <c r="N39" i="5"/>
  <c r="L692" i="5"/>
  <c r="L684" i="5"/>
  <c r="L144" i="5"/>
  <c r="N691" i="5"/>
  <c r="N964" i="5"/>
  <c r="L211" i="5"/>
  <c r="N223" i="5"/>
  <c r="L1017" i="5"/>
  <c r="N596" i="5"/>
  <c r="L293" i="5"/>
  <c r="N368" i="5"/>
  <c r="L96" i="5"/>
  <c r="N47" i="5"/>
  <c r="L288" i="5"/>
  <c r="L520" i="5"/>
  <c r="N772" i="5"/>
  <c r="L148" i="5"/>
  <c r="L19" i="5"/>
  <c r="L909" i="5"/>
  <c r="L316" i="5"/>
  <c r="L216" i="5"/>
  <c r="L576" i="5"/>
  <c r="L440" i="5"/>
  <c r="L320" i="5"/>
  <c r="N76" i="5"/>
  <c r="L537" i="5"/>
  <c r="L925" i="5"/>
  <c r="L8" i="5"/>
  <c r="L512" i="5"/>
  <c r="L864" i="5"/>
  <c r="N624" i="5"/>
  <c r="L572" i="5"/>
  <c r="L212" i="5"/>
  <c r="L52" i="5"/>
  <c r="N756" i="5"/>
  <c r="L215" i="5"/>
  <c r="L1054" i="5"/>
  <c r="N339" i="5"/>
  <c r="N55" i="5"/>
  <c r="K1054" i="5"/>
  <c r="N845" i="5"/>
  <c r="L773" i="5"/>
  <c r="N701" i="5"/>
  <c r="L669" i="5"/>
  <c r="L345" i="5"/>
  <c r="L581" i="5"/>
  <c r="N905" i="5"/>
  <c r="L44" i="5"/>
  <c r="L425" i="5"/>
  <c r="L789" i="5"/>
  <c r="N83" i="5"/>
  <c r="N93" i="5"/>
  <c r="L1058" i="5"/>
  <c r="N595" i="5"/>
  <c r="L667" i="5"/>
  <c r="N587" i="5"/>
  <c r="N527" i="5"/>
  <c r="N523" i="5"/>
  <c r="L675" i="5"/>
  <c r="L195" i="5"/>
  <c r="N459" i="5"/>
  <c r="L611" i="5"/>
  <c r="L879" i="5"/>
  <c r="L771" i="5"/>
  <c r="N343" i="5"/>
  <c r="N847" i="5"/>
  <c r="V726" i="5"/>
  <c r="V725" i="5"/>
  <c r="V729" i="5"/>
  <c r="V733" i="5"/>
  <c r="V737" i="5"/>
  <c r="V735" i="5"/>
  <c r="V731" i="5"/>
  <c r="V730" i="5"/>
  <c r="V734" i="5"/>
  <c r="V724" i="5"/>
  <c r="V732" i="5"/>
  <c r="V728" i="5"/>
  <c r="V727" i="5"/>
  <c r="V736" i="5"/>
  <c r="V723" i="5"/>
  <c r="AD860" i="5" a="1"/>
  <c r="AD860" i="5" s="1"/>
  <c r="AD739" i="5" a="1"/>
  <c r="AD739" i="5" s="1"/>
  <c r="AD675" i="5" a="1"/>
  <c r="AD675" i="5" s="1"/>
  <c r="AD600" i="5" a="1"/>
  <c r="AD600" i="5" s="1"/>
  <c r="AD1005" i="5" a="1"/>
  <c r="AD1005" i="5" s="1"/>
  <c r="AD945" i="5" a="1"/>
  <c r="AD945" i="5" s="1"/>
  <c r="AD874" i="5" a="1"/>
  <c r="AD874" i="5" s="1"/>
  <c r="AD810" i="5" a="1"/>
  <c r="AD810" i="5" s="1"/>
  <c r="AD746" i="5" a="1"/>
  <c r="AD746" i="5" s="1"/>
  <c r="AD682" i="5" a="1"/>
  <c r="AD682" i="5" s="1"/>
  <c r="AD611" i="5" a="1"/>
  <c r="AD611" i="5" s="1"/>
  <c r="AD26" i="5" a="1"/>
  <c r="AD26" i="5" s="1"/>
  <c r="AD90" i="5" a="1"/>
  <c r="AD90" i="5" s="1"/>
  <c r="AD154" i="5" a="1"/>
  <c r="AD154" i="5" s="1"/>
  <c r="AD218" i="5" a="1"/>
  <c r="AD218" i="5" s="1"/>
  <c r="AD282" i="5" a="1"/>
  <c r="AD282" i="5" s="1"/>
  <c r="AD346" i="5" a="1"/>
  <c r="AD346" i="5" s="1"/>
  <c r="AD409" i="5" a="1"/>
  <c r="AD409" i="5" s="1"/>
  <c r="AD473" i="5" a="1"/>
  <c r="AD473" i="5" s="1"/>
  <c r="AD526" i="5" a="1"/>
  <c r="AD526" i="5" s="1"/>
  <c r="AD581" i="5" a="1"/>
  <c r="AD581" i="5" s="1"/>
  <c r="AD35" i="5" a="1"/>
  <c r="AD35" i="5" s="1"/>
  <c r="AD99" i="5" a="1"/>
  <c r="AD99" i="5" s="1"/>
  <c r="AD163" i="5" a="1"/>
  <c r="AD163" i="5" s="1"/>
  <c r="AD227" i="5" a="1"/>
  <c r="AD227" i="5" s="1"/>
  <c r="AD291" i="5" a="1"/>
  <c r="AD291" i="5" s="1"/>
  <c r="AD362" i="5" a="1"/>
  <c r="AD362" i="5" s="1"/>
  <c r="AD426" i="5" a="1"/>
  <c r="AD426" i="5" s="1"/>
  <c r="AD492" i="5" a="1"/>
  <c r="AD492" i="5" s="1"/>
  <c r="AD574" i="5" a="1"/>
  <c r="AD574" i="5" s="1"/>
  <c r="AD638" i="5" a="1"/>
  <c r="AD638" i="5" s="1"/>
  <c r="AD52" i="5" a="1"/>
  <c r="AD52" i="5" s="1"/>
  <c r="AD116" i="5" a="1"/>
  <c r="AD116" i="5" s="1"/>
  <c r="AD180" i="5" a="1"/>
  <c r="AD180" i="5" s="1"/>
  <c r="AD244" i="5" a="1"/>
  <c r="AD244" i="5" s="1"/>
  <c r="AD308" i="5" a="1"/>
  <c r="AD308" i="5" s="1"/>
  <c r="AD371" i="5" a="1"/>
  <c r="AD371" i="5" s="1"/>
  <c r="AD435" i="5" a="1"/>
  <c r="AD435" i="5" s="1"/>
  <c r="AD498" i="5" a="1"/>
  <c r="AD498" i="5" s="1"/>
  <c r="AD559" i="5" a="1"/>
  <c r="AD559" i="5" s="1"/>
  <c r="AD7" i="5" a="1"/>
  <c r="AD7" i="5" s="1"/>
  <c r="AD77" i="5" a="1"/>
  <c r="AD77" i="5" s="1"/>
  <c r="AD141" i="5" a="1"/>
  <c r="AD141" i="5" s="1"/>
  <c r="AD205" i="5" a="1"/>
  <c r="AD205" i="5" s="1"/>
  <c r="AD269" i="5" a="1"/>
  <c r="AD269" i="5" s="1"/>
  <c r="AD333" i="5" a="1"/>
  <c r="AD333" i="5" s="1"/>
  <c r="AD396" i="5" a="1"/>
  <c r="AD396" i="5" s="1"/>
  <c r="AD460" i="5" a="1"/>
  <c r="AD460" i="5" s="1"/>
  <c r="AD528" i="5" a="1"/>
  <c r="AD528" i="5" s="1"/>
  <c r="AD54" i="5" a="1"/>
  <c r="AD54" i="5" s="1"/>
  <c r="AD118" i="5" a="1"/>
  <c r="AD118" i="5" s="1"/>
  <c r="AD182" i="5" a="1"/>
  <c r="AD182" i="5" s="1"/>
  <c r="AD246" i="5" a="1"/>
  <c r="AD246" i="5" s="1"/>
  <c r="AD310" i="5" a="1"/>
  <c r="AD310" i="5" s="1"/>
  <c r="AD373" i="5" a="1"/>
  <c r="AD373" i="5" s="1"/>
  <c r="AD1040" i="5" a="1"/>
  <c r="AD1040" i="5" s="1"/>
  <c r="AD1022" i="5" a="1"/>
  <c r="AD1022" i="5" s="1"/>
  <c r="AD954" i="5" a="1"/>
  <c r="AD954" i="5" s="1"/>
  <c r="AD894" i="5" a="1"/>
  <c r="AD894" i="5" s="1"/>
  <c r="AD830" i="5" a="1"/>
  <c r="AD830" i="5" s="1"/>
  <c r="AD766" i="5" a="1"/>
  <c r="AD766" i="5" s="1"/>
  <c r="AD702" i="5" a="1"/>
  <c r="AD702" i="5" s="1"/>
  <c r="AD636" i="5" a="1"/>
  <c r="AD636" i="5" s="1"/>
  <c r="AD524" i="5" a="1"/>
  <c r="AD524" i="5" s="1"/>
  <c r="AD987" i="5" a="1"/>
  <c r="AD987" i="5" s="1"/>
  <c r="AD919" i="5" a="1"/>
  <c r="AD919" i="5" s="1"/>
  <c r="AD853" i="5" a="1"/>
  <c r="AD853" i="5" s="1"/>
  <c r="AD789" i="5" a="1"/>
  <c r="AD789" i="5" s="1"/>
  <c r="AD725" i="5" a="1"/>
  <c r="AD725" i="5" s="1"/>
  <c r="AD661" i="5" a="1"/>
  <c r="AD661" i="5" s="1"/>
  <c r="AD570" i="5" a="1"/>
  <c r="AD570" i="5" s="1"/>
  <c r="AD979" i="5" a="1"/>
  <c r="AD979" i="5" s="1"/>
  <c r="AD918" i="5" a="1"/>
  <c r="AD918" i="5" s="1"/>
  <c r="AD852" i="5" a="1"/>
  <c r="AD852" i="5" s="1"/>
  <c r="AD788" i="5" a="1"/>
  <c r="AD788" i="5" s="1"/>
  <c r="AD724" i="5" a="1"/>
  <c r="AD724" i="5" s="1"/>
  <c r="AD660" i="5" a="1"/>
  <c r="AD660" i="5" s="1"/>
  <c r="AD569" i="5" a="1"/>
  <c r="AD569" i="5" s="1"/>
  <c r="AD985" i="5" a="1"/>
  <c r="AD985" i="5" s="1"/>
  <c r="AD917" i="5" a="1"/>
  <c r="AD917" i="5" s="1"/>
  <c r="AD859" i="5" a="1"/>
  <c r="AD859" i="5" s="1"/>
  <c r="AD795" i="5" a="1"/>
  <c r="AD795" i="5" s="1"/>
  <c r="AD731" i="5" a="1"/>
  <c r="AD731" i="5" s="1"/>
  <c r="AD667" i="5" a="1"/>
  <c r="AD667" i="5" s="1"/>
  <c r="AD584" i="5" a="1"/>
  <c r="AD584" i="5" s="1"/>
  <c r="AD997" i="5" a="1"/>
  <c r="AD997" i="5" s="1"/>
  <c r="AD937" i="5" a="1"/>
  <c r="AD937" i="5" s="1"/>
  <c r="AD866" i="5" a="1"/>
  <c r="AD866" i="5" s="1"/>
  <c r="AD802" i="5" a="1"/>
  <c r="AD802" i="5" s="1"/>
  <c r="AD738" i="5" a="1"/>
  <c r="AD738" i="5" s="1"/>
  <c r="AD674" i="5" a="1"/>
  <c r="AD674" i="5" s="1"/>
  <c r="AD595" i="5" a="1"/>
  <c r="AD595" i="5" s="1"/>
  <c r="AD34" i="5" a="1"/>
  <c r="AD34" i="5" s="1"/>
  <c r="AD98" i="5" a="1"/>
  <c r="AD98" i="5" s="1"/>
  <c r="AD162" i="5" a="1"/>
  <c r="AD162" i="5" s="1"/>
  <c r="AD226" i="5" a="1"/>
  <c r="AD226" i="5" s="1"/>
  <c r="AD290" i="5" a="1"/>
  <c r="AD290" i="5" s="1"/>
  <c r="AD353" i="5" a="1"/>
  <c r="AD353" i="5" s="1"/>
  <c r="AD417" i="5" a="1"/>
  <c r="AD417" i="5" s="1"/>
  <c r="AD480" i="5" a="1"/>
  <c r="AD480" i="5" s="1"/>
  <c r="AD533" i="5" a="1"/>
  <c r="AD533" i="5" s="1"/>
  <c r="AD589" i="5" a="1"/>
  <c r="AD589" i="5" s="1"/>
  <c r="AD43" i="5" a="1"/>
  <c r="AD43" i="5" s="1"/>
  <c r="AD107" i="5" a="1"/>
  <c r="AD107" i="5" s="1"/>
  <c r="AD171" i="5" a="1"/>
  <c r="AD171" i="5" s="1"/>
  <c r="AD235" i="5" a="1"/>
  <c r="AD235" i="5" s="1"/>
  <c r="AD299" i="5" a="1"/>
  <c r="AD299" i="5" s="1"/>
  <c r="AD370" i="5" a="1"/>
  <c r="AD370" i="5" s="1"/>
  <c r="AD434" i="5" a="1"/>
  <c r="AD434" i="5" s="1"/>
  <c r="AD504" i="5" a="1"/>
  <c r="AD504" i="5" s="1"/>
  <c r="AD582" i="5" a="1"/>
  <c r="AD582" i="5" s="1"/>
  <c r="AD646" i="5" a="1"/>
  <c r="AD646" i="5" s="1"/>
  <c r="AD60" i="5" a="1"/>
  <c r="AD60" i="5" s="1"/>
  <c r="AD124" i="5" a="1"/>
  <c r="AD124" i="5" s="1"/>
  <c r="AD188" i="5" a="1"/>
  <c r="AD188" i="5" s="1"/>
  <c r="AD252" i="5" a="1"/>
  <c r="AD252" i="5" s="1"/>
  <c r="AD316" i="5" a="1"/>
  <c r="AD316" i="5" s="1"/>
  <c r="AD379" i="5" a="1"/>
  <c r="AD379" i="5" s="1"/>
  <c r="AD443" i="5" a="1"/>
  <c r="AD443" i="5" s="1"/>
  <c r="AD510" i="5" a="1"/>
  <c r="AD510" i="5" s="1"/>
  <c r="AD567" i="5" a="1"/>
  <c r="AD567" i="5" s="1"/>
  <c r="AD15" i="5" a="1"/>
  <c r="AD15" i="5" s="1"/>
  <c r="AD85" i="5" a="1"/>
  <c r="AD85" i="5" s="1"/>
  <c r="AD149" i="5" a="1"/>
  <c r="AD149" i="5" s="1"/>
  <c r="AD213" i="5" a="1"/>
  <c r="AD213" i="5" s="1"/>
  <c r="AD277" i="5" a="1"/>
  <c r="AD277" i="5" s="1"/>
  <c r="AD341" i="5" a="1"/>
  <c r="AD341" i="5" s="1"/>
  <c r="AD404" i="5" a="1"/>
  <c r="AD404" i="5" s="1"/>
  <c r="AD468" i="5" a="1"/>
  <c r="AD468" i="5" s="1"/>
  <c r="AD535" i="5" a="1"/>
  <c r="AD535" i="5" s="1"/>
  <c r="AD62" i="5" a="1"/>
  <c r="AD62" i="5" s="1"/>
  <c r="AD126" i="5" a="1"/>
  <c r="AD126" i="5" s="1"/>
  <c r="AD190" i="5" a="1"/>
  <c r="AD190" i="5" s="1"/>
  <c r="AD254" i="5" a="1"/>
  <c r="AD254" i="5" s="1"/>
  <c r="AD318" i="5" a="1"/>
  <c r="AD318" i="5" s="1"/>
  <c r="AD1052" i="5" a="1"/>
  <c r="AD1052" i="5" s="1"/>
  <c r="AD1014" i="5" a="1"/>
  <c r="AD1014" i="5" s="1"/>
  <c r="AD947" i="5" a="1"/>
  <c r="AD947" i="5" s="1"/>
  <c r="AD886" i="5" a="1"/>
  <c r="AD886" i="5" s="1"/>
  <c r="AD822" i="5" a="1"/>
  <c r="AD822" i="5" s="1"/>
  <c r="AD758" i="5" a="1"/>
  <c r="AD758" i="5" s="1"/>
  <c r="AD694" i="5" a="1"/>
  <c r="AD694" i="5" s="1"/>
  <c r="AD627" i="5" a="1"/>
  <c r="AD627" i="5" s="1"/>
  <c r="AD1034" i="5" a="1"/>
  <c r="AD1034" i="5" s="1"/>
  <c r="AD974" i="5" a="1"/>
  <c r="AD974" i="5" s="1"/>
  <c r="AD906" i="5" a="1"/>
  <c r="AD906" i="5" s="1"/>
  <c r="AD845" i="5" a="1"/>
  <c r="AD845" i="5" s="1"/>
  <c r="AD781" i="5" a="1"/>
  <c r="AD781" i="5" s="1"/>
  <c r="AD717" i="5" a="1"/>
  <c r="AD717" i="5" s="1"/>
  <c r="AD653" i="5" a="1"/>
  <c r="AD653" i="5" s="1"/>
  <c r="AD554" i="5" a="1"/>
  <c r="AD554" i="5" s="1"/>
  <c r="AD973" i="5" a="1"/>
  <c r="AD973" i="5" s="1"/>
  <c r="AD913" i="5" a="1"/>
  <c r="AD913" i="5" s="1"/>
  <c r="AD844" i="5" a="1"/>
  <c r="AD844" i="5" s="1"/>
  <c r="AD780" i="5" a="1"/>
  <c r="AD780" i="5" s="1"/>
  <c r="AD716" i="5" a="1"/>
  <c r="AD716" i="5" s="1"/>
  <c r="AD652" i="5" a="1"/>
  <c r="AD652" i="5" s="1"/>
  <c r="AD542" i="5" a="1"/>
  <c r="AD542" i="5" s="1"/>
  <c r="AD972" i="5" a="1"/>
  <c r="AD972" i="5" s="1"/>
  <c r="AD912" i="5" a="1"/>
  <c r="AD912" i="5" s="1"/>
  <c r="AD851" i="5" a="1"/>
  <c r="AD851" i="5" s="1"/>
  <c r="AD787" i="5" a="1"/>
  <c r="AD787" i="5" s="1"/>
  <c r="AD723" i="5" a="1"/>
  <c r="AD723" i="5" s="1"/>
  <c r="AD659" i="5" a="1"/>
  <c r="AD659" i="5" s="1"/>
  <c r="AD568" i="5" a="1"/>
  <c r="AD568" i="5" s="1"/>
  <c r="AD992" i="5" a="1"/>
  <c r="AD992" i="5" s="1"/>
  <c r="AD924" i="5" a="1"/>
  <c r="AD924" i="5" s="1"/>
  <c r="AD858" i="5" a="1"/>
  <c r="AD858" i="5" s="1"/>
  <c r="AD794" i="5" a="1"/>
  <c r="AD794" i="5" s="1"/>
  <c r="AD730" i="5" a="1"/>
  <c r="AD730" i="5" s="1"/>
  <c r="AD666" i="5" a="1"/>
  <c r="AD666" i="5" s="1"/>
  <c r="AD579" i="5" a="1"/>
  <c r="AD579" i="5" s="1"/>
  <c r="AD42" i="5" a="1"/>
  <c r="AD42" i="5" s="1"/>
  <c r="AD106" i="5" a="1"/>
  <c r="AD106" i="5" s="1"/>
  <c r="AD170" i="5" a="1"/>
  <c r="AD170" i="5" s="1"/>
  <c r="AD234" i="5" a="1"/>
  <c r="AD234" i="5" s="1"/>
  <c r="AD298" i="5" a="1"/>
  <c r="AD298" i="5" s="1"/>
  <c r="AD361" i="5" a="1"/>
  <c r="AD361" i="5" s="1"/>
  <c r="AD425" i="5" a="1"/>
  <c r="AD425" i="5" s="1"/>
  <c r="AD486" i="5" a="1"/>
  <c r="AD486" i="5" s="1"/>
  <c r="AD539" i="5" a="1"/>
  <c r="AD539" i="5" s="1"/>
  <c r="AD597" i="5" a="1"/>
  <c r="AD597" i="5" s="1"/>
  <c r="AD51" i="5" a="1"/>
  <c r="AD51" i="5" s="1"/>
  <c r="AD115" i="5" a="1"/>
  <c r="AD115" i="5" s="1"/>
  <c r="AD179" i="5" a="1"/>
  <c r="AD179" i="5" s="1"/>
  <c r="AD243" i="5" a="1"/>
  <c r="AD243" i="5" s="1"/>
  <c r="AD307" i="5" a="1"/>
  <c r="AD307" i="5" s="1"/>
  <c r="AD378" i="5" a="1"/>
  <c r="AD378" i="5" s="1"/>
  <c r="AD442" i="5" a="1"/>
  <c r="AD442" i="5" s="1"/>
  <c r="AD515" i="5" a="1"/>
  <c r="AD515" i="5" s="1"/>
  <c r="AD590" i="5" a="1"/>
  <c r="AD590" i="5" s="1"/>
  <c r="AD6" i="5" a="1"/>
  <c r="AD6" i="5" s="1"/>
  <c r="AD68" i="5" a="1"/>
  <c r="AD68" i="5" s="1"/>
  <c r="AD132" i="5" a="1"/>
  <c r="AD132" i="5" s="1"/>
  <c r="AD196" i="5" a="1"/>
  <c r="AD196" i="5" s="1"/>
  <c r="AD260" i="5" a="1"/>
  <c r="AD260" i="5" s="1"/>
  <c r="AD324" i="5" a="1"/>
  <c r="AD324" i="5" s="1"/>
  <c r="AD387" i="5" a="1"/>
  <c r="AD387" i="5" s="1"/>
  <c r="AD451" i="5" a="1"/>
  <c r="AD451" i="5" s="1"/>
  <c r="AD516" i="5" a="1"/>
  <c r="AD516" i="5" s="1"/>
  <c r="AD575" i="5" a="1"/>
  <c r="AD575" i="5" s="1"/>
  <c r="AD29" i="5" a="1"/>
  <c r="AD29" i="5" s="1"/>
  <c r="AD93" i="5" a="1"/>
  <c r="AD93" i="5" s="1"/>
  <c r="AD157" i="5" a="1"/>
  <c r="AD157" i="5" s="1"/>
  <c r="AD221" i="5" a="1"/>
  <c r="AD221" i="5" s="1"/>
  <c r="AD285" i="5" a="1"/>
  <c r="AD285" i="5" s="1"/>
  <c r="AD348" i="5" a="1"/>
  <c r="AD348" i="5" s="1"/>
  <c r="AD412" i="5" a="1"/>
  <c r="AD412" i="5" s="1"/>
  <c r="AD476" i="5" a="1"/>
  <c r="AD476" i="5" s="1"/>
  <c r="AD8" i="5" a="1"/>
  <c r="AD8" i="5" s="1"/>
  <c r="AD70" i="5" a="1"/>
  <c r="AD70" i="5" s="1"/>
  <c r="AD134" i="5" a="1"/>
  <c r="AD134" i="5" s="1"/>
  <c r="AD198" i="5" a="1"/>
  <c r="AD198" i="5" s="1"/>
  <c r="AD1069" i="5" a="1"/>
  <c r="AD1069" i="5" s="1"/>
  <c r="AD1009" i="5" a="1"/>
  <c r="AD1009" i="5" s="1"/>
  <c r="AD941" i="5" a="1"/>
  <c r="AD941" i="5" s="1"/>
  <c r="AD878" i="5" a="1"/>
  <c r="AD878" i="5" s="1"/>
  <c r="AD814" i="5" a="1"/>
  <c r="AD814" i="5" s="1"/>
  <c r="AD750" i="5" a="1"/>
  <c r="AD750" i="5" s="1"/>
  <c r="AD686" i="5" a="1"/>
  <c r="AD686" i="5" s="1"/>
  <c r="AD618" i="5" a="1"/>
  <c r="AD618" i="5" s="1"/>
  <c r="AD1027" i="5" a="1"/>
  <c r="AD1027" i="5" s="1"/>
  <c r="AD966" i="5" a="1"/>
  <c r="AD966" i="5" s="1"/>
  <c r="AD899" i="5" a="1"/>
  <c r="AD899" i="5" s="1"/>
  <c r="AD837" i="5" a="1"/>
  <c r="AD837" i="5" s="1"/>
  <c r="AD773" i="5" a="1"/>
  <c r="AD773" i="5" s="1"/>
  <c r="AD709" i="5" a="1"/>
  <c r="AD709" i="5" s="1"/>
  <c r="AD644" i="5" a="1"/>
  <c r="AD644" i="5" s="1"/>
  <c r="AD1033" i="5" a="1"/>
  <c r="AD1033" i="5" s="1"/>
  <c r="AD965" i="5" a="1"/>
  <c r="AD965" i="5" s="1"/>
  <c r="AD905" i="5" a="1"/>
  <c r="AD905" i="5" s="1"/>
  <c r="AD836" i="5" a="1"/>
  <c r="AD836" i="5" s="1"/>
  <c r="AD772" i="5" a="1"/>
  <c r="AD772" i="5" s="1"/>
  <c r="AD708" i="5" a="1"/>
  <c r="AD708" i="5" s="1"/>
  <c r="AD643" i="5" a="1"/>
  <c r="AD643" i="5" s="1"/>
  <c r="AD1059" i="5" a="1"/>
  <c r="AD1059" i="5" s="1"/>
  <c r="AD964" i="5" a="1"/>
  <c r="AD964" i="5" s="1"/>
  <c r="AD904" i="5" a="1"/>
  <c r="AD904" i="5" s="1"/>
  <c r="AD843" i="5" a="1"/>
  <c r="AD843" i="5" s="1"/>
  <c r="AD779" i="5" a="1"/>
  <c r="AD779" i="5" s="1"/>
  <c r="AD715" i="5" a="1"/>
  <c r="AD715" i="5" s="1"/>
  <c r="AD651" i="5" a="1"/>
  <c r="AD651" i="5" s="1"/>
  <c r="AD553" i="5" a="1"/>
  <c r="AD553" i="5" s="1"/>
  <c r="AD984" i="5" a="1"/>
  <c r="AD984" i="5" s="1"/>
  <c r="AD916" i="5" a="1"/>
  <c r="AD916" i="5" s="1"/>
  <c r="AD850" i="5" a="1"/>
  <c r="AD850" i="5" s="1"/>
  <c r="AD786" i="5" a="1"/>
  <c r="AD786" i="5" s="1"/>
  <c r="AD722" i="5" a="1"/>
  <c r="AD722" i="5" s="1"/>
  <c r="AD658" i="5" a="1"/>
  <c r="AD658" i="5" s="1"/>
  <c r="AD563" i="5" a="1"/>
  <c r="AD563" i="5" s="1"/>
  <c r="AD50" i="5" a="1"/>
  <c r="AD50" i="5" s="1"/>
  <c r="AD114" i="5" a="1"/>
  <c r="AD114" i="5" s="1"/>
  <c r="AD178" i="5" a="1"/>
  <c r="AD178" i="5" s="1"/>
  <c r="AD242" i="5" a="1"/>
  <c r="AD242" i="5" s="1"/>
  <c r="AD306" i="5" a="1"/>
  <c r="AD306" i="5" s="1"/>
  <c r="AD369" i="5" a="1"/>
  <c r="AD369" i="5" s="1"/>
  <c r="AD433" i="5" a="1"/>
  <c r="AD433" i="5" s="1"/>
  <c r="AD491" i="5" a="1"/>
  <c r="AD491" i="5" s="1"/>
  <c r="AD545" i="5" a="1"/>
  <c r="AD545" i="5" s="1"/>
  <c r="AD605" i="5" a="1"/>
  <c r="AD605" i="5" s="1"/>
  <c r="AD59" i="5" a="1"/>
  <c r="AD59" i="5" s="1"/>
  <c r="AD123" i="5" a="1"/>
  <c r="AD123" i="5" s="1"/>
  <c r="AD187" i="5" a="1"/>
  <c r="AD187" i="5" s="1"/>
  <c r="AD251" i="5" a="1"/>
  <c r="AD251" i="5" s="1"/>
  <c r="AD315" i="5" a="1"/>
  <c r="AD315" i="5" s="1"/>
  <c r="AD386" i="5" a="1"/>
  <c r="AD386" i="5" s="1"/>
  <c r="AD450" i="5" a="1"/>
  <c r="AD450" i="5" s="1"/>
  <c r="AD527" i="5" a="1"/>
  <c r="AD527" i="5" s="1"/>
  <c r="AD598" i="5" a="1"/>
  <c r="AD598" i="5" s="1"/>
  <c r="AD14" i="5" a="1"/>
  <c r="AD14" i="5" s="1"/>
  <c r="AD76" i="5" a="1"/>
  <c r="AD76" i="5" s="1"/>
  <c r="AD140" i="5" a="1"/>
  <c r="AD140" i="5" s="1"/>
  <c r="AD204" i="5" a="1"/>
  <c r="AD204" i="5" s="1"/>
  <c r="AD268" i="5" a="1"/>
  <c r="AD268" i="5" s="1"/>
  <c r="AD332" i="5" a="1"/>
  <c r="AD332" i="5" s="1"/>
  <c r="AD395" i="5" a="1"/>
  <c r="AD395" i="5" s="1"/>
  <c r="AD459" i="5" a="1"/>
  <c r="AD459" i="5" s="1"/>
  <c r="AD522" i="5" a="1"/>
  <c r="AD522" i="5" s="1"/>
  <c r="AD583" i="5" a="1"/>
  <c r="AD583" i="5" s="1"/>
  <c r="AD37" i="5" a="1"/>
  <c r="AD37" i="5" s="1"/>
  <c r="AD101" i="5" a="1"/>
  <c r="AD101" i="5" s="1"/>
  <c r="AD165" i="5" a="1"/>
  <c r="AD165" i="5" s="1"/>
  <c r="AD229" i="5" a="1"/>
  <c r="AD229" i="5" s="1"/>
  <c r="AD293" i="5" a="1"/>
  <c r="AD293" i="5" s="1"/>
  <c r="AD356" i="5" a="1"/>
  <c r="AD356" i="5" s="1"/>
  <c r="AD420" i="5" a="1"/>
  <c r="AD420" i="5" s="1"/>
  <c r="AD1061" i="5" a="1"/>
  <c r="AD1061" i="5" s="1"/>
  <c r="AD1001" i="5" a="1"/>
  <c r="AD1001" i="5" s="1"/>
  <c r="AD933" i="5" a="1"/>
  <c r="AD933" i="5" s="1"/>
  <c r="AD870" i="5" a="1"/>
  <c r="AD870" i="5" s="1"/>
  <c r="AD806" i="5" a="1"/>
  <c r="AD806" i="5" s="1"/>
  <c r="AD742" i="5" a="1"/>
  <c r="AD742" i="5" s="1"/>
  <c r="AD678" i="5" a="1"/>
  <c r="AD678" i="5" s="1"/>
  <c r="AD603" i="5" a="1"/>
  <c r="AD603" i="5" s="1"/>
  <c r="AD1021" i="5" a="1"/>
  <c r="AD1021" i="5" s="1"/>
  <c r="AD961" i="5" a="1"/>
  <c r="AD961" i="5" s="1"/>
  <c r="AD893" i="5" a="1"/>
  <c r="AD893" i="5" s="1"/>
  <c r="AD829" i="5" a="1"/>
  <c r="AD829" i="5" s="1"/>
  <c r="AD765" i="5" a="1"/>
  <c r="AD765" i="5" s="1"/>
  <c r="AD701" i="5" a="1"/>
  <c r="AD701" i="5" s="1"/>
  <c r="AD635" i="5" a="1"/>
  <c r="AD635" i="5" s="1"/>
  <c r="AD1020" i="5" a="1"/>
  <c r="AD1020" i="5" s="1"/>
  <c r="AD960" i="5" a="1"/>
  <c r="AD960" i="5" s="1"/>
  <c r="AD892" i="5" a="1"/>
  <c r="AD892" i="5" s="1"/>
  <c r="AD828" i="5" a="1"/>
  <c r="AD828" i="5" s="1"/>
  <c r="AD764" i="5" a="1"/>
  <c r="AD764" i="5" s="1"/>
  <c r="AD700" i="5" a="1"/>
  <c r="AD700" i="5" s="1"/>
  <c r="AD634" i="5" a="1"/>
  <c r="AD634" i="5" s="1"/>
  <c r="AD1026" i="5" a="1"/>
  <c r="AD1026" i="5" s="1"/>
  <c r="AD959" i="5" a="1"/>
  <c r="AD959" i="5" s="1"/>
  <c r="AD898" i="5" a="1"/>
  <c r="AD898" i="5" s="1"/>
  <c r="AD835" i="5" a="1"/>
  <c r="AD835" i="5" s="1"/>
  <c r="AD771" i="5" a="1"/>
  <c r="AD771" i="5" s="1"/>
  <c r="AD707" i="5" a="1"/>
  <c r="AD707" i="5" s="1"/>
  <c r="AD642" i="5" a="1"/>
  <c r="AD642" i="5" s="1"/>
  <c r="AD1053" i="5" a="1"/>
  <c r="AD1053" i="5" s="1"/>
  <c r="AD978" i="5" a="1"/>
  <c r="AD978" i="5" s="1"/>
  <c r="AD911" i="5" a="1"/>
  <c r="AD911" i="5" s="1"/>
  <c r="AD842" i="5" a="1"/>
  <c r="AD842" i="5" s="1"/>
  <c r="AD778" i="5" a="1"/>
  <c r="AD778" i="5" s="1"/>
  <c r="AD714" i="5" a="1"/>
  <c r="AD714" i="5" s="1"/>
  <c r="AD650" i="5" a="1"/>
  <c r="AD650" i="5" s="1"/>
  <c r="AD1032" i="5" a="1"/>
  <c r="AD1032" i="5" s="1"/>
  <c r="AD58" i="5" a="1"/>
  <c r="AD58" i="5" s="1"/>
  <c r="AD122" i="5" a="1"/>
  <c r="AD122" i="5" s="1"/>
  <c r="AD186" i="5" a="1"/>
  <c r="AD186" i="5" s="1"/>
  <c r="AD250" i="5" a="1"/>
  <c r="AD250" i="5" s="1"/>
  <c r="AD314" i="5" a="1"/>
  <c r="AD314" i="5" s="1"/>
  <c r="AD377" i="5" a="1"/>
  <c r="AD377" i="5" s="1"/>
  <c r="AD441" i="5" a="1"/>
  <c r="AD441" i="5" s="1"/>
  <c r="AD497" i="5" a="1"/>
  <c r="AD497" i="5" s="1"/>
  <c r="AD550" i="5" a="1"/>
  <c r="AD550" i="5" s="1"/>
  <c r="AD5" i="5" a="1"/>
  <c r="AD5" i="5" s="1"/>
  <c r="AD67" i="5" a="1"/>
  <c r="AD67" i="5" s="1"/>
  <c r="AD131" i="5" a="1"/>
  <c r="AD131" i="5" s="1"/>
  <c r="AD195" i="5" a="1"/>
  <c r="AD195" i="5" s="1"/>
  <c r="AD259" i="5" a="1"/>
  <c r="AD259" i="5" s="1"/>
  <c r="AD323" i="5" a="1"/>
  <c r="AD323" i="5" s="1"/>
  <c r="AD394" i="5" a="1"/>
  <c r="AD394" i="5" s="1"/>
  <c r="AD458" i="5" a="1"/>
  <c r="AD458" i="5" s="1"/>
  <c r="AD540" i="5" a="1"/>
  <c r="AD540" i="5" s="1"/>
  <c r="AD606" i="5" a="1"/>
  <c r="AD606" i="5" s="1"/>
  <c r="AD21" i="5" a="1"/>
  <c r="AD21" i="5" s="1"/>
  <c r="AD84" i="5" a="1"/>
  <c r="AD84" i="5" s="1"/>
  <c r="AD148" i="5" a="1"/>
  <c r="AD148" i="5" s="1"/>
  <c r="AD212" i="5" a="1"/>
  <c r="AD212" i="5" s="1"/>
  <c r="AD276" i="5" a="1"/>
  <c r="AD276" i="5" s="1"/>
  <c r="AD340" i="5" a="1"/>
  <c r="AD340" i="5" s="1"/>
  <c r="AD403" i="5" a="1"/>
  <c r="AD403" i="5" s="1"/>
  <c r="AD467" i="5" a="1"/>
  <c r="AD467" i="5" s="1"/>
  <c r="AD534" i="5" a="1"/>
  <c r="AD534" i="5" s="1"/>
  <c r="AD591" i="5" a="1"/>
  <c r="AD591" i="5" s="1"/>
  <c r="AD45" i="5" a="1"/>
  <c r="AD45" i="5" s="1"/>
  <c r="AD109" i="5" a="1"/>
  <c r="AD109" i="5" s="1"/>
  <c r="AD173" i="5" a="1"/>
  <c r="AD173" i="5" s="1"/>
  <c r="AD237" i="5" a="1"/>
  <c r="AD237" i="5" s="1"/>
  <c r="AD301" i="5" a="1"/>
  <c r="AD301" i="5" s="1"/>
  <c r="AD364" i="5" a="1"/>
  <c r="AD364" i="5" s="1"/>
  <c r="AD428" i="5" a="1"/>
  <c r="AD428" i="5" s="1"/>
  <c r="AD494" i="5" a="1"/>
  <c r="AD494" i="5" s="1"/>
  <c r="AD22" i="5" a="1"/>
  <c r="AD22" i="5" s="1"/>
  <c r="AD86" i="5" a="1"/>
  <c r="AD86" i="5" s="1"/>
  <c r="AD150" i="5" a="1"/>
  <c r="AD150" i="5" s="1"/>
  <c r="AD214" i="5" a="1"/>
  <c r="AD214" i="5" s="1"/>
  <c r="AD278" i="5" a="1"/>
  <c r="AD278" i="5" s="1"/>
  <c r="AD342" i="5" a="1"/>
  <c r="AD342" i="5" s="1"/>
  <c r="AD405" i="5" a="1"/>
  <c r="AD405" i="5" s="1"/>
  <c r="AD469" i="5" a="1"/>
  <c r="AD469" i="5" s="1"/>
  <c r="AD9" i="5" a="1"/>
  <c r="AD9" i="5" s="1"/>
  <c r="AD79" i="5" a="1"/>
  <c r="AD79" i="5" s="1"/>
  <c r="AD143" i="5" a="1"/>
  <c r="AD143" i="5" s="1"/>
  <c r="AD1056" i="5" a="1"/>
  <c r="AD1056" i="5" s="1"/>
  <c r="AD988" i="5" a="1"/>
  <c r="AD988" i="5" s="1"/>
  <c r="AD928" i="5" a="1"/>
  <c r="AD928" i="5" s="1"/>
  <c r="AD862" i="5" a="1"/>
  <c r="AD862" i="5" s="1"/>
  <c r="AD798" i="5" a="1"/>
  <c r="AD798" i="5" s="1"/>
  <c r="AD734" i="5" a="1"/>
  <c r="AD734" i="5" s="1"/>
  <c r="AD670" i="5" a="1"/>
  <c r="AD670" i="5" s="1"/>
  <c r="AD587" i="5" a="1"/>
  <c r="AD587" i="5" s="1"/>
  <c r="AD1013" i="5" a="1"/>
  <c r="AD1013" i="5" s="1"/>
  <c r="AD953" i="5" a="1"/>
  <c r="AD953" i="5" s="1"/>
  <c r="AD885" i="5" a="1"/>
  <c r="AD885" i="5" s="1"/>
  <c r="AD821" i="5" a="1"/>
  <c r="AD821" i="5" s="1"/>
  <c r="AD757" i="5" a="1"/>
  <c r="AD757" i="5" s="1"/>
  <c r="AD693" i="5" a="1"/>
  <c r="AD693" i="5" s="1"/>
  <c r="AD626" i="5" a="1"/>
  <c r="AD626" i="5" s="1"/>
  <c r="AD1012" i="5" a="1"/>
  <c r="AD1012" i="5" s="1"/>
  <c r="AD952" i="5" a="1"/>
  <c r="AD952" i="5" s="1"/>
  <c r="AD884" i="5" a="1"/>
  <c r="AD884" i="5" s="1"/>
  <c r="AD820" i="5" a="1"/>
  <c r="AD820" i="5" s="1"/>
  <c r="AD756" i="5" a="1"/>
  <c r="AD756" i="5" s="1"/>
  <c r="AD692" i="5" a="1"/>
  <c r="AD692" i="5" s="1"/>
  <c r="AD625" i="5" a="1"/>
  <c r="AD625" i="5" s="1"/>
  <c r="AD1019" i="5" a="1"/>
  <c r="AD1019" i="5" s="1"/>
  <c r="AD951" i="5" a="1"/>
  <c r="AD951" i="5" s="1"/>
  <c r="AD891" i="5" a="1"/>
  <c r="AD891" i="5" s="1"/>
  <c r="AD827" i="5" a="1"/>
  <c r="AD827" i="5" s="1"/>
  <c r="AD763" i="5" a="1"/>
  <c r="AD763" i="5" s="1"/>
  <c r="AD699" i="5" a="1"/>
  <c r="AD699" i="5" s="1"/>
  <c r="AD633" i="5" a="1"/>
  <c r="AD633" i="5" s="1"/>
  <c r="AD1031" i="5" a="1"/>
  <c r="AD1031" i="5" s="1"/>
  <c r="AD971" i="5" a="1"/>
  <c r="AD971" i="5" s="1"/>
  <c r="AD903" i="5" a="1"/>
  <c r="AD903" i="5" s="1"/>
  <c r="AD834" i="5" a="1"/>
  <c r="AD834" i="5" s="1"/>
  <c r="AD770" i="5" a="1"/>
  <c r="AD770" i="5" s="1"/>
  <c r="AD706" i="5" a="1"/>
  <c r="AD706" i="5" s="1"/>
  <c r="AD641" i="5" a="1"/>
  <c r="AD641" i="5" s="1"/>
  <c r="AD4" i="5" a="1"/>
  <c r="AD4" i="5" s="1"/>
  <c r="AD66" i="5" a="1"/>
  <c r="AD66" i="5" s="1"/>
  <c r="AD130" i="5" a="1"/>
  <c r="AD130" i="5" s="1"/>
  <c r="AD194" i="5" a="1"/>
  <c r="AD194" i="5" s="1"/>
  <c r="AD258" i="5" a="1"/>
  <c r="AD258" i="5" s="1"/>
  <c r="AD322" i="5" a="1"/>
  <c r="AD322" i="5" s="1"/>
  <c r="AD385" i="5" a="1"/>
  <c r="AD385" i="5" s="1"/>
  <c r="AD449" i="5" a="1"/>
  <c r="AD449" i="5" s="1"/>
  <c r="AD509" i="5" a="1"/>
  <c r="AD509" i="5" s="1"/>
  <c r="AD557" i="5" a="1"/>
  <c r="AD557" i="5" s="1"/>
  <c r="AD13" i="5" a="1"/>
  <c r="AD13" i="5" s="1"/>
  <c r="AD75" i="5" a="1"/>
  <c r="AD75" i="5" s="1"/>
  <c r="AD139" i="5" a="1"/>
  <c r="AD139" i="5" s="1"/>
  <c r="AD203" i="5" a="1"/>
  <c r="AD203" i="5" s="1"/>
  <c r="AD267" i="5" a="1"/>
  <c r="AD267" i="5" s="1"/>
  <c r="AD331" i="5" a="1"/>
  <c r="AD331" i="5" s="1"/>
  <c r="AD402" i="5" a="1"/>
  <c r="AD402" i="5" s="1"/>
  <c r="AD466" i="5" a="1"/>
  <c r="AD466" i="5" s="1"/>
  <c r="AD551" i="5" a="1"/>
  <c r="AD551" i="5" s="1"/>
  <c r="AD614" i="5" a="1"/>
  <c r="AD614" i="5" s="1"/>
  <c r="AD28" i="5" a="1"/>
  <c r="AD28" i="5" s="1"/>
  <c r="AD92" i="5" a="1"/>
  <c r="AD92" i="5" s="1"/>
  <c r="AD156" i="5" a="1"/>
  <c r="AD156" i="5" s="1"/>
  <c r="AD220" i="5" a="1"/>
  <c r="AD220" i="5" s="1"/>
  <c r="AD284" i="5" a="1"/>
  <c r="AD284" i="5" s="1"/>
  <c r="AD347" i="5" a="1"/>
  <c r="AD347" i="5" s="1"/>
  <c r="AD411" i="5" a="1"/>
  <c r="AD411" i="5" s="1"/>
  <c r="AD475" i="5" a="1"/>
  <c r="AD475" i="5" s="1"/>
  <c r="AD541" i="5" a="1"/>
  <c r="AD541" i="5" s="1"/>
  <c r="AD599" i="5" a="1"/>
  <c r="AD599" i="5" s="1"/>
  <c r="AD53" i="5" a="1"/>
  <c r="AD53" i="5" s="1"/>
  <c r="AD117" i="5" a="1"/>
  <c r="AD117" i="5" s="1"/>
  <c r="AD181" i="5" a="1"/>
  <c r="AD181" i="5" s="1"/>
  <c r="AD245" i="5" a="1"/>
  <c r="AD245" i="5" s="1"/>
  <c r="AD309" i="5" a="1"/>
  <c r="AD309" i="5" s="1"/>
  <c r="AD372" i="5" a="1"/>
  <c r="AD372" i="5" s="1"/>
  <c r="AD436" i="5" a="1"/>
  <c r="AD436" i="5" s="1"/>
  <c r="AD499" i="5" a="1"/>
  <c r="AD499" i="5" s="1"/>
  <c r="AD30" i="5" a="1"/>
  <c r="AD30" i="5" s="1"/>
  <c r="AD94" i="5" a="1"/>
  <c r="AD94" i="5" s="1"/>
  <c r="AD1048" i="5" a="1"/>
  <c r="AD1048" i="5" s="1"/>
  <c r="AD980" i="5" a="1"/>
  <c r="AD980" i="5" s="1"/>
  <c r="AD920" i="5" a="1"/>
  <c r="AD920" i="5" s="1"/>
  <c r="AD854" i="5" a="1"/>
  <c r="AD854" i="5" s="1"/>
  <c r="AD790" i="5" a="1"/>
  <c r="AD790" i="5" s="1"/>
  <c r="AD726" i="5" a="1"/>
  <c r="AD726" i="5" s="1"/>
  <c r="AD662" i="5" a="1"/>
  <c r="AD662" i="5" s="1"/>
  <c r="AD571" i="5" a="1"/>
  <c r="AD571" i="5" s="1"/>
  <c r="AD1008" i="5" a="1"/>
  <c r="AD1008" i="5" s="1"/>
  <c r="AD940" i="5" a="1"/>
  <c r="AD940" i="5" s="1"/>
  <c r="AD877" i="5" a="1"/>
  <c r="AD877" i="5" s="1"/>
  <c r="AD813" i="5" a="1"/>
  <c r="AD813" i="5" s="1"/>
  <c r="AD749" i="5" a="1"/>
  <c r="AD749" i="5" s="1"/>
  <c r="AD685" i="5" a="1"/>
  <c r="AD685" i="5" s="1"/>
  <c r="AD617" i="5" a="1"/>
  <c r="AD617" i="5" s="1"/>
  <c r="AD1007" i="5" a="1"/>
  <c r="AD1007" i="5" s="1"/>
  <c r="AD946" i="5" a="1"/>
  <c r="AD946" i="5" s="1"/>
  <c r="AD876" i="5" a="1"/>
  <c r="AD876" i="5" s="1"/>
  <c r="AD812" i="5" a="1"/>
  <c r="AD812" i="5" s="1"/>
  <c r="AD748" i="5" a="1"/>
  <c r="AD748" i="5" s="1"/>
  <c r="AD684" i="5" a="1"/>
  <c r="AD684" i="5" s="1"/>
  <c r="AD616" i="5" a="1"/>
  <c r="AD616" i="5" s="1"/>
  <c r="AD1006" i="5" a="1"/>
  <c r="AD1006" i="5" s="1"/>
  <c r="AD938" i="5" a="1"/>
  <c r="AD938" i="5" s="1"/>
  <c r="AD883" i="5" a="1"/>
  <c r="AD883" i="5" s="1"/>
  <c r="AD819" i="5" a="1"/>
  <c r="AD819" i="5" s="1"/>
  <c r="AD755" i="5" a="1"/>
  <c r="AD755" i="5" s="1"/>
  <c r="AD691" i="5" a="1"/>
  <c r="AD691" i="5" s="1"/>
  <c r="AD624" i="5" a="1"/>
  <c r="AD624" i="5" s="1"/>
  <c r="AD1018" i="5" a="1"/>
  <c r="AD1018" i="5" s="1"/>
  <c r="AD958" i="5" a="1"/>
  <c r="AD958" i="5" s="1"/>
  <c r="AD890" i="5" a="1"/>
  <c r="AD890" i="5" s="1"/>
  <c r="AD826" i="5" a="1"/>
  <c r="AD826" i="5" s="1"/>
  <c r="AD762" i="5" a="1"/>
  <c r="AD762" i="5" s="1"/>
  <c r="AD698" i="5" a="1"/>
  <c r="AD698" i="5" s="1"/>
  <c r="AD632" i="5" a="1"/>
  <c r="AD632" i="5" s="1"/>
  <c r="AD12" i="5" a="1"/>
  <c r="AD12" i="5" s="1"/>
  <c r="AD74" i="5" a="1"/>
  <c r="AD74" i="5" s="1"/>
  <c r="AD138" i="5" a="1"/>
  <c r="AD138" i="5" s="1"/>
  <c r="AD202" i="5" a="1"/>
  <c r="AD202" i="5" s="1"/>
  <c r="AD266" i="5" a="1"/>
  <c r="AD266" i="5" s="1"/>
  <c r="AD330" i="5" a="1"/>
  <c r="AD330" i="5" s="1"/>
  <c r="AD393" i="5" a="1"/>
  <c r="AD393" i="5" s="1"/>
  <c r="AD457" i="5" a="1"/>
  <c r="AD457" i="5" s="1"/>
  <c r="AD514" i="5" a="1"/>
  <c r="AD514" i="5" s="1"/>
  <c r="AD565" i="5" a="1"/>
  <c r="AD565" i="5" s="1"/>
  <c r="AD20" i="5" a="1"/>
  <c r="AD20" i="5" s="1"/>
  <c r="AD83" i="5" a="1"/>
  <c r="AD83" i="5" s="1"/>
  <c r="AD147" i="5" a="1"/>
  <c r="AD147" i="5" s="1"/>
  <c r="AD211" i="5" a="1"/>
  <c r="AD211" i="5" s="1"/>
  <c r="AD275" i="5" a="1"/>
  <c r="AD275" i="5" s="1"/>
  <c r="AD339" i="5" a="1"/>
  <c r="AD339" i="5" s="1"/>
  <c r="AD410" i="5" a="1"/>
  <c r="AD410" i="5" s="1"/>
  <c r="AD474" i="5" a="1"/>
  <c r="AD474" i="5" s="1"/>
  <c r="AD558" i="5" a="1"/>
  <c r="AD558" i="5" s="1"/>
  <c r="AD622" i="5" a="1"/>
  <c r="AD622" i="5" s="1"/>
  <c r="AD36" i="5" a="1"/>
  <c r="AD36" i="5" s="1"/>
  <c r="AD100" i="5" a="1"/>
  <c r="AD100" i="5" s="1"/>
  <c r="AD164" i="5" a="1"/>
  <c r="AD164" i="5" s="1"/>
  <c r="AD228" i="5" a="1"/>
  <c r="AD228" i="5" s="1"/>
  <c r="AD292" i="5" a="1"/>
  <c r="AD292" i="5" s="1"/>
  <c r="AD355" i="5" a="1"/>
  <c r="AD355" i="5" s="1"/>
  <c r="AD419" i="5" a="1"/>
  <c r="AD419" i="5" s="1"/>
  <c r="AD481" i="5" a="1"/>
  <c r="AD481" i="5" s="1"/>
  <c r="AD546" i="5" a="1"/>
  <c r="AD546" i="5" s="1"/>
  <c r="AD607" i="5" a="1"/>
  <c r="AD607" i="5" s="1"/>
  <c r="AD61" i="5" a="1"/>
  <c r="AD61" i="5" s="1"/>
  <c r="AD125" i="5" a="1"/>
  <c r="AD125" i="5" s="1"/>
  <c r="AD189" i="5" a="1"/>
  <c r="AD189" i="5" s="1"/>
  <c r="AD253" i="5" a="1"/>
  <c r="AD253" i="5" s="1"/>
  <c r="AD317" i="5" a="1"/>
  <c r="AD317" i="5" s="1"/>
  <c r="AD1042" i="5" a="1"/>
  <c r="AD1042" i="5" s="1"/>
  <c r="AD975" i="5" a="1"/>
  <c r="AD975" i="5" s="1"/>
  <c r="AD914" i="5" a="1"/>
  <c r="AD914" i="5" s="1"/>
  <c r="AD846" i="5" a="1"/>
  <c r="AD846" i="5" s="1"/>
  <c r="AD782" i="5" a="1"/>
  <c r="AD782" i="5" s="1"/>
  <c r="AD718" i="5" a="1"/>
  <c r="AD718" i="5" s="1"/>
  <c r="AD654" i="5" a="1"/>
  <c r="AD654" i="5" s="1"/>
  <c r="AD555" i="5" a="1"/>
  <c r="AD555" i="5" s="1"/>
  <c r="AD1000" i="5" a="1"/>
  <c r="AD1000" i="5" s="1"/>
  <c r="AD932" i="5" a="1"/>
  <c r="AD932" i="5" s="1"/>
  <c r="AD869" i="5" a="1"/>
  <c r="AD869" i="5" s="1"/>
  <c r="AD805" i="5" a="1"/>
  <c r="AD805" i="5" s="1"/>
  <c r="AD741" i="5" a="1"/>
  <c r="AD741" i="5" s="1"/>
  <c r="AD677" i="5" a="1"/>
  <c r="AD677" i="5" s="1"/>
  <c r="AD602" i="5" a="1"/>
  <c r="AD602" i="5" s="1"/>
  <c r="AD999" i="5" a="1"/>
  <c r="AD999" i="5" s="1"/>
  <c r="AD939" i="5" a="1"/>
  <c r="AD939" i="5" s="1"/>
  <c r="AD868" i="5" a="1"/>
  <c r="AD868" i="5" s="1"/>
  <c r="AD804" i="5" a="1"/>
  <c r="AD804" i="5" s="1"/>
  <c r="AD740" i="5" a="1"/>
  <c r="AD740" i="5" s="1"/>
  <c r="AD676" i="5" a="1"/>
  <c r="AD676" i="5" s="1"/>
  <c r="AD601" i="5" a="1"/>
  <c r="AD601" i="5" s="1"/>
  <c r="AD998" i="5" a="1"/>
  <c r="AD998" i="5" s="1"/>
  <c r="AD931" i="5" a="1"/>
  <c r="AD931" i="5" s="1"/>
  <c r="AD875" i="5" a="1"/>
  <c r="AD875" i="5" s="1"/>
  <c r="AD811" i="5" a="1"/>
  <c r="AD811" i="5" s="1"/>
  <c r="AD747" i="5" a="1"/>
  <c r="AD747" i="5" s="1"/>
  <c r="AD683" i="5" a="1"/>
  <c r="AD683" i="5" s="1"/>
  <c r="AD613" i="5" a="1"/>
  <c r="AD613" i="5" s="1"/>
  <c r="AD1011" i="5" a="1"/>
  <c r="AD1011" i="5" s="1"/>
  <c r="AD950" i="5" a="1"/>
  <c r="AD950" i="5" s="1"/>
  <c r="AD882" i="5" a="1"/>
  <c r="AD882" i="5" s="1"/>
  <c r="AD818" i="5" a="1"/>
  <c r="AD818" i="5" s="1"/>
  <c r="AD754" i="5" a="1"/>
  <c r="AD754" i="5" s="1"/>
  <c r="AD690" i="5" a="1"/>
  <c r="AD690" i="5" s="1"/>
  <c r="AD623" i="5" a="1"/>
  <c r="AD623" i="5" s="1"/>
  <c r="AD19" i="5" a="1"/>
  <c r="AD19" i="5" s="1"/>
  <c r="AD82" i="5" a="1"/>
  <c r="AD82" i="5" s="1"/>
  <c r="AD146" i="5" a="1"/>
  <c r="AD146" i="5" s="1"/>
  <c r="AD210" i="5" a="1"/>
  <c r="AD210" i="5" s="1"/>
  <c r="AD274" i="5" a="1"/>
  <c r="AD274" i="5" s="1"/>
  <c r="AD338" i="5" a="1"/>
  <c r="AD338" i="5" s="1"/>
  <c r="AD401" i="5" a="1"/>
  <c r="AD401" i="5" s="1"/>
  <c r="AD465" i="5" a="1"/>
  <c r="AD465" i="5" s="1"/>
  <c r="AD521" i="5" a="1"/>
  <c r="AD521" i="5" s="1"/>
  <c r="AD573" i="5" a="1"/>
  <c r="AD573" i="5" s="1"/>
  <c r="AD27" i="5" a="1"/>
  <c r="AD27" i="5" s="1"/>
  <c r="AD91" i="5" a="1"/>
  <c r="AD91" i="5" s="1"/>
  <c r="AD155" i="5" a="1"/>
  <c r="AD155" i="5" s="1"/>
  <c r="AD219" i="5" a="1"/>
  <c r="AD219" i="5" s="1"/>
  <c r="AD283" i="5" a="1"/>
  <c r="AD283" i="5" s="1"/>
  <c r="AD354" i="5" a="1"/>
  <c r="AD354" i="5" s="1"/>
  <c r="AD418" i="5" a="1"/>
  <c r="AD418" i="5" s="1"/>
  <c r="AD487" i="5" a="1"/>
  <c r="AD487" i="5" s="1"/>
  <c r="AD566" i="5" a="1"/>
  <c r="AD566" i="5" s="1"/>
  <c r="AD630" i="5" a="1"/>
  <c r="AD630" i="5" s="1"/>
  <c r="AD44" i="5" a="1"/>
  <c r="AD44" i="5" s="1"/>
  <c r="AD108" i="5" a="1"/>
  <c r="AD108" i="5" s="1"/>
  <c r="AD172" i="5" a="1"/>
  <c r="AD172" i="5" s="1"/>
  <c r="AD236" i="5" a="1"/>
  <c r="AD236" i="5" s="1"/>
  <c r="AD300" i="5" a="1"/>
  <c r="AD300" i="5" s="1"/>
  <c r="AD363" i="5" a="1"/>
  <c r="AD363" i="5" s="1"/>
  <c r="AD427" i="5" a="1"/>
  <c r="AD427" i="5" s="1"/>
  <c r="AD493" i="5" a="1"/>
  <c r="AD493" i="5" s="1"/>
  <c r="AD552" i="5" a="1"/>
  <c r="AD552" i="5" s="1"/>
  <c r="AD615" i="5" a="1"/>
  <c r="AD615" i="5" s="1"/>
  <c r="AD69" i="5" a="1"/>
  <c r="AD69" i="5" s="1"/>
  <c r="AD133" i="5" a="1"/>
  <c r="AD133" i="5" s="1"/>
  <c r="AD197" i="5" a="1"/>
  <c r="AD197" i="5" s="1"/>
  <c r="AD261" i="5" a="1"/>
  <c r="AD261" i="5" s="1"/>
  <c r="AD325" i="5" a="1"/>
  <c r="AD325" i="5" s="1"/>
  <c r="AD388" i="5" a="1"/>
  <c r="AD388" i="5" s="1"/>
  <c r="AD452" i="5" a="1"/>
  <c r="AD452" i="5" s="1"/>
  <c r="AD517" i="5" a="1"/>
  <c r="AD517" i="5" s="1"/>
  <c r="AD46" i="5" a="1"/>
  <c r="AD46" i="5" s="1"/>
  <c r="AD110" i="5" a="1"/>
  <c r="AD110" i="5" s="1"/>
  <c r="AD174" i="5" a="1"/>
  <c r="AD174" i="5" s="1"/>
  <c r="AD380" i="5" a="1"/>
  <c r="AD380" i="5" s="1"/>
  <c r="AD142" i="5" a="1"/>
  <c r="AD142" i="5" s="1"/>
  <c r="AD270" i="5" a="1"/>
  <c r="AD270" i="5" s="1"/>
  <c r="AD365" i="5" a="1"/>
  <c r="AD365" i="5" s="1"/>
  <c r="AD445" i="5" a="1"/>
  <c r="AD445" i="5" s="1"/>
  <c r="AD523" i="5" a="1"/>
  <c r="AD523" i="5" s="1"/>
  <c r="AD71" i="5" a="1"/>
  <c r="AD71" i="5" s="1"/>
  <c r="AD151" i="5" a="1"/>
  <c r="AD151" i="5" s="1"/>
  <c r="AD215" i="5" a="1"/>
  <c r="AD215" i="5" s="1"/>
  <c r="AD279" i="5" a="1"/>
  <c r="AD279" i="5" s="1"/>
  <c r="AD343" i="5" a="1"/>
  <c r="AD343" i="5" s="1"/>
  <c r="AD406" i="5" a="1"/>
  <c r="AD406" i="5" s="1"/>
  <c r="AD470" i="5" a="1"/>
  <c r="AD470" i="5" s="1"/>
  <c r="AD10" i="5" a="1"/>
  <c r="AD10" i="5" s="1"/>
  <c r="AD72" i="5" a="1"/>
  <c r="AD72" i="5" s="1"/>
  <c r="AD136" i="5" a="1"/>
  <c r="AD136" i="5" s="1"/>
  <c r="AD200" i="5" a="1"/>
  <c r="AD200" i="5" s="1"/>
  <c r="AD264" i="5" a="1"/>
  <c r="AD264" i="5" s="1"/>
  <c r="AD328" i="5" a="1"/>
  <c r="AD328" i="5" s="1"/>
  <c r="AD391" i="5" a="1"/>
  <c r="AD391" i="5" s="1"/>
  <c r="AD455" i="5" a="1"/>
  <c r="AD455" i="5" s="1"/>
  <c r="AD512" i="5" a="1"/>
  <c r="AD512" i="5" s="1"/>
  <c r="AD49" i="5" a="1"/>
  <c r="AD49" i="5" s="1"/>
  <c r="AD113" i="5" a="1"/>
  <c r="AD113" i="5" s="1"/>
  <c r="AD177" i="5" a="1"/>
  <c r="AD177" i="5" s="1"/>
  <c r="AD241" i="5" a="1"/>
  <c r="AD241" i="5" s="1"/>
  <c r="AD305" i="5" a="1"/>
  <c r="AD305" i="5" s="1"/>
  <c r="AD368" i="5" a="1"/>
  <c r="AD368" i="5" s="1"/>
  <c r="AD432" i="5" a="1"/>
  <c r="AD432" i="5" s="1"/>
  <c r="AD503" i="5" a="1"/>
  <c r="AD503" i="5" s="1"/>
  <c r="AD556" i="5" a="1"/>
  <c r="AD556" i="5" s="1"/>
  <c r="AD1044" i="5" a="1"/>
  <c r="AD1044" i="5" s="1"/>
  <c r="AD1017" i="5" a="1"/>
  <c r="AD1017" i="5" s="1"/>
  <c r="AD949" i="5" a="1"/>
  <c r="AD949" i="5" s="1"/>
  <c r="AD889" i="5" a="1"/>
  <c r="AD889" i="5" s="1"/>
  <c r="AD825" i="5" a="1"/>
  <c r="AD825" i="5" s="1"/>
  <c r="AD761" i="5" a="1"/>
  <c r="AD761" i="5" s="1"/>
  <c r="AD697" i="5" a="1"/>
  <c r="AD697" i="5" s="1"/>
  <c r="AD631" i="5" a="1"/>
  <c r="AD631" i="5" s="1"/>
  <c r="AD1045" i="5" a="1"/>
  <c r="AD1045" i="5" s="1"/>
  <c r="AD1024" i="5" a="1"/>
  <c r="AD1024" i="5" s="1"/>
  <c r="AD956" i="5" a="1"/>
  <c r="AD956" i="5" s="1"/>
  <c r="AD896" i="5" a="1"/>
  <c r="AD896" i="5" s="1"/>
  <c r="AD832" i="5" a="1"/>
  <c r="AD832" i="5" s="1"/>
  <c r="AD768" i="5" a="1"/>
  <c r="AD768" i="5" s="1"/>
  <c r="AD704" i="5" a="1"/>
  <c r="AD704" i="5" s="1"/>
  <c r="AD639" i="5" a="1"/>
  <c r="AD639" i="5" s="1"/>
  <c r="AD536" i="5" a="1"/>
  <c r="AD536" i="5" s="1"/>
  <c r="AD1028" i="5" a="1"/>
  <c r="AD1028" i="5" s="1"/>
  <c r="AD968" i="5" a="1"/>
  <c r="AD968" i="5" s="1"/>
  <c r="AD900" i="5" a="1"/>
  <c r="AD900" i="5" s="1"/>
  <c r="AD839" i="5" a="1"/>
  <c r="AD839" i="5" s="1"/>
  <c r="AD775" i="5" a="1"/>
  <c r="AD775" i="5" s="1"/>
  <c r="AD711" i="5" a="1"/>
  <c r="AD711" i="5" s="1"/>
  <c r="AD647" i="5" a="1"/>
  <c r="AD647" i="5" s="1"/>
  <c r="AD531" i="5" a="1"/>
  <c r="AD531" i="5" s="1"/>
  <c r="AD619" i="5" a="1"/>
  <c r="AD619" i="5" s="1"/>
  <c r="AD608" i="5" a="1"/>
  <c r="AD608" i="5" s="1"/>
  <c r="AD444" i="5" a="1"/>
  <c r="AD444" i="5" s="1"/>
  <c r="AD158" i="5" a="1"/>
  <c r="AD158" i="5" s="1"/>
  <c r="AD286" i="5" a="1"/>
  <c r="AD286" i="5" s="1"/>
  <c r="AD381" i="5" a="1"/>
  <c r="AD381" i="5" s="1"/>
  <c r="AD453" i="5" a="1"/>
  <c r="AD453" i="5" s="1"/>
  <c r="AD529" i="5" a="1"/>
  <c r="AD529" i="5" s="1"/>
  <c r="AD87" i="5" a="1"/>
  <c r="AD87" i="5" s="1"/>
  <c r="AD159" i="5" a="1"/>
  <c r="AD159" i="5" s="1"/>
  <c r="AD223" i="5" a="1"/>
  <c r="AD223" i="5" s="1"/>
  <c r="AD287" i="5" a="1"/>
  <c r="AD287" i="5" s="1"/>
  <c r="AD350" i="5" a="1"/>
  <c r="AD350" i="5" s="1"/>
  <c r="AD414" i="5" a="1"/>
  <c r="AD414" i="5" s="1"/>
  <c r="AD478" i="5" a="1"/>
  <c r="AD478" i="5" s="1"/>
  <c r="AD17" i="5" a="1"/>
  <c r="AD17" i="5" s="1"/>
  <c r="AD80" i="5" a="1"/>
  <c r="AD80" i="5" s="1"/>
  <c r="AD144" i="5" a="1"/>
  <c r="AD144" i="5" s="1"/>
  <c r="AD208" i="5" a="1"/>
  <c r="AD208" i="5" s="1"/>
  <c r="AD272" i="5" a="1"/>
  <c r="AD272" i="5" s="1"/>
  <c r="AD336" i="5" a="1"/>
  <c r="AD336" i="5" s="1"/>
  <c r="AD399" i="5" a="1"/>
  <c r="AD399" i="5" s="1"/>
  <c r="AD463" i="5" a="1"/>
  <c r="AD463" i="5" s="1"/>
  <c r="AD519" i="5" a="1"/>
  <c r="AD519" i="5" s="1"/>
  <c r="AD57" i="5" a="1"/>
  <c r="AD57" i="5" s="1"/>
  <c r="AD121" i="5" a="1"/>
  <c r="AD121" i="5" s="1"/>
  <c r="AD185" i="5" a="1"/>
  <c r="AD185" i="5" s="1"/>
  <c r="AD249" i="5" a="1"/>
  <c r="AD249" i="5" s="1"/>
  <c r="AD313" i="5" a="1"/>
  <c r="AD313" i="5" s="1"/>
  <c r="AD376" i="5" a="1"/>
  <c r="AD376" i="5" s="1"/>
  <c r="AD440" i="5" a="1"/>
  <c r="AD440" i="5" s="1"/>
  <c r="AD508" i="5" a="1"/>
  <c r="AD508" i="5" s="1"/>
  <c r="AD564" i="5" a="1"/>
  <c r="AD564" i="5" s="1"/>
  <c r="AD1072" i="5" a="1"/>
  <c r="AD1072" i="5" s="1"/>
  <c r="AD1004" i="5" a="1"/>
  <c r="AD1004" i="5" s="1"/>
  <c r="AD944" i="5" a="1"/>
  <c r="AD944" i="5" s="1"/>
  <c r="AD881" i="5" a="1"/>
  <c r="AD881" i="5" s="1"/>
  <c r="AD817" i="5" a="1"/>
  <c r="AD817" i="5" s="1"/>
  <c r="AD753" i="5" a="1"/>
  <c r="AD753" i="5" s="1"/>
  <c r="AD689" i="5" a="1"/>
  <c r="AD689" i="5" s="1"/>
  <c r="AD621" i="5" a="1"/>
  <c r="AD621" i="5" s="1"/>
  <c r="AD1065" i="5" a="1"/>
  <c r="AD1065" i="5" s="1"/>
  <c r="AD1016" i="5" a="1"/>
  <c r="AD1016" i="5" s="1"/>
  <c r="AD948" i="5" a="1"/>
  <c r="AD948" i="5" s="1"/>
  <c r="AD888" i="5" a="1"/>
  <c r="AD888" i="5" s="1"/>
  <c r="AD824" i="5" a="1"/>
  <c r="AD824" i="5" s="1"/>
  <c r="AD760" i="5" a="1"/>
  <c r="AD760" i="5" s="1"/>
  <c r="AD696" i="5" a="1"/>
  <c r="AD696" i="5" s="1"/>
  <c r="AD629" i="5" a="1"/>
  <c r="AD629" i="5" s="1"/>
  <c r="AD1066" i="5" a="1"/>
  <c r="AD1066" i="5" s="1"/>
  <c r="AD1023" i="5" a="1"/>
  <c r="AD1023" i="5" s="1"/>
  <c r="AD962" i="5" a="1"/>
  <c r="AD962" i="5" s="1"/>
  <c r="AD895" i="5" a="1"/>
  <c r="AD895" i="5" s="1"/>
  <c r="AD831" i="5" a="1"/>
  <c r="AD831" i="5" s="1"/>
  <c r="AD767" i="5" a="1"/>
  <c r="AD767" i="5" s="1"/>
  <c r="AD703" i="5" a="1"/>
  <c r="AD703" i="5" s="1"/>
  <c r="AD637" i="5" a="1"/>
  <c r="AD637" i="5" s="1"/>
  <c r="AD751" i="5" a="1"/>
  <c r="AD751" i="5" s="1"/>
  <c r="AD743" i="5" a="1"/>
  <c r="AD743" i="5" s="1"/>
  <c r="AD576" i="5" a="1"/>
  <c r="AD576" i="5" s="1"/>
  <c r="AD488" i="5" a="1"/>
  <c r="AD488" i="5" s="1"/>
  <c r="AD166" i="5" a="1"/>
  <c r="AD166" i="5" s="1"/>
  <c r="AD294" i="5" a="1"/>
  <c r="AD294" i="5" s="1"/>
  <c r="AD389" i="5" a="1"/>
  <c r="AD389" i="5" s="1"/>
  <c r="AD461" i="5" a="1"/>
  <c r="AD461" i="5" s="1"/>
  <c r="AD23" i="5" a="1"/>
  <c r="AD23" i="5" s="1"/>
  <c r="AD95" i="5" a="1"/>
  <c r="AD95" i="5" s="1"/>
  <c r="AD167" i="5" a="1"/>
  <c r="AD167" i="5" s="1"/>
  <c r="AD231" i="5" a="1"/>
  <c r="AD231" i="5" s="1"/>
  <c r="AD295" i="5" a="1"/>
  <c r="AD295" i="5" s="1"/>
  <c r="AD358" i="5" a="1"/>
  <c r="AD358" i="5" s="1"/>
  <c r="AD422" i="5" a="1"/>
  <c r="AD422" i="5" s="1"/>
  <c r="AD483" i="5" a="1"/>
  <c r="AD483" i="5" s="1"/>
  <c r="AD24" i="5" a="1"/>
  <c r="AD24" i="5" s="1"/>
  <c r="AD88" i="5" a="1"/>
  <c r="AD88" i="5" s="1"/>
  <c r="AD152" i="5" a="1"/>
  <c r="AD152" i="5" s="1"/>
  <c r="AD216" i="5" a="1"/>
  <c r="AD216" i="5" s="1"/>
  <c r="AD280" i="5" a="1"/>
  <c r="AD280" i="5" s="1"/>
  <c r="AD344" i="5" a="1"/>
  <c r="AD344" i="5" s="1"/>
  <c r="AD407" i="5" a="1"/>
  <c r="AD407" i="5" s="1"/>
  <c r="AD471" i="5" a="1"/>
  <c r="AD471" i="5" s="1"/>
  <c r="AD3" i="5" a="1"/>
  <c r="AD3" i="5" s="1"/>
  <c r="AD65" i="5" a="1"/>
  <c r="AD65" i="5" s="1"/>
  <c r="AD129" i="5" a="1"/>
  <c r="AD129" i="5" s="1"/>
  <c r="AD193" i="5" a="1"/>
  <c r="AD193" i="5" s="1"/>
  <c r="AD257" i="5" a="1"/>
  <c r="AD257" i="5" s="1"/>
  <c r="AD321" i="5" a="1"/>
  <c r="AD321" i="5" s="1"/>
  <c r="AD384" i="5" a="1"/>
  <c r="AD384" i="5" s="1"/>
  <c r="AD448" i="5" a="1"/>
  <c r="AD448" i="5" s="1"/>
  <c r="AD513" i="5" a="1"/>
  <c r="AD513" i="5" s="1"/>
  <c r="AD572" i="5" a="1"/>
  <c r="AD572" i="5" s="1"/>
  <c r="AD1064" i="5" a="1"/>
  <c r="AD1064" i="5" s="1"/>
  <c r="AD996" i="5" a="1"/>
  <c r="AD996" i="5" s="1"/>
  <c r="AD936" i="5" a="1"/>
  <c r="AD936" i="5" s="1"/>
  <c r="AD873" i="5" a="1"/>
  <c r="AD873" i="5" s="1"/>
  <c r="AD809" i="5" a="1"/>
  <c r="AD809" i="5" s="1"/>
  <c r="AD745" i="5" a="1"/>
  <c r="AD745" i="5" s="1"/>
  <c r="AD681" i="5" a="1"/>
  <c r="AD681" i="5" s="1"/>
  <c r="AD610" i="5" a="1"/>
  <c r="AD610" i="5" s="1"/>
  <c r="AD1071" i="5" a="1"/>
  <c r="AD1071" i="5" s="1"/>
  <c r="AD1010" i="5" a="1"/>
  <c r="AD1010" i="5" s="1"/>
  <c r="AD943" i="5" a="1"/>
  <c r="AD943" i="5" s="1"/>
  <c r="AD880" i="5" a="1"/>
  <c r="AD880" i="5" s="1"/>
  <c r="AD816" i="5" a="1"/>
  <c r="AD816" i="5" s="1"/>
  <c r="AD752" i="5" a="1"/>
  <c r="AD752" i="5" s="1"/>
  <c r="AD688" i="5" a="1"/>
  <c r="AD688" i="5" s="1"/>
  <c r="AD620" i="5" a="1"/>
  <c r="AD620" i="5" s="1"/>
  <c r="AD1039" i="5" a="1"/>
  <c r="AD1039" i="5" s="1"/>
  <c r="AD1015" i="5" a="1"/>
  <c r="AD1015" i="5" s="1"/>
  <c r="AD955" i="5" a="1"/>
  <c r="AD955" i="5" s="1"/>
  <c r="AD887" i="5" a="1"/>
  <c r="AD887" i="5" s="1"/>
  <c r="AD823" i="5" a="1"/>
  <c r="AD823" i="5" s="1"/>
  <c r="AD759" i="5" a="1"/>
  <c r="AD759" i="5" s="1"/>
  <c r="AD695" i="5" a="1"/>
  <c r="AD695" i="5" s="1"/>
  <c r="AD628" i="5" a="1"/>
  <c r="AD628" i="5" s="1"/>
  <c r="AD687" i="5" a="1"/>
  <c r="AD687" i="5" s="1"/>
  <c r="AD679" i="5" a="1"/>
  <c r="AD679" i="5" s="1"/>
  <c r="AD505" i="5" a="1"/>
  <c r="AD505" i="5" s="1"/>
  <c r="AD206" i="5" a="1"/>
  <c r="AD206" i="5" s="1"/>
  <c r="AD302" i="5" a="1"/>
  <c r="AD302" i="5" s="1"/>
  <c r="AD397" i="5" a="1"/>
  <c r="AD397" i="5" s="1"/>
  <c r="AD477" i="5" a="1"/>
  <c r="AD477" i="5" s="1"/>
  <c r="AD31" i="5" a="1"/>
  <c r="AD31" i="5" s="1"/>
  <c r="AD103" i="5" a="1"/>
  <c r="AD103" i="5" s="1"/>
  <c r="AD175" i="5" a="1"/>
  <c r="AD175" i="5" s="1"/>
  <c r="AD239" i="5" a="1"/>
  <c r="AD239" i="5" s="1"/>
  <c r="AD303" i="5" a="1"/>
  <c r="AD303" i="5" s="1"/>
  <c r="AD366" i="5" a="1"/>
  <c r="AD366" i="5" s="1"/>
  <c r="AD430" i="5" a="1"/>
  <c r="AD430" i="5" s="1"/>
  <c r="AD489" i="5" a="1"/>
  <c r="AD489" i="5" s="1"/>
  <c r="AD32" i="5" a="1"/>
  <c r="AD32" i="5" s="1"/>
  <c r="AD96" i="5" a="1"/>
  <c r="AD96" i="5" s="1"/>
  <c r="AD160" i="5" a="1"/>
  <c r="AD160" i="5" s="1"/>
  <c r="AD224" i="5" a="1"/>
  <c r="AD224" i="5" s="1"/>
  <c r="AD288" i="5" a="1"/>
  <c r="AD288" i="5" s="1"/>
  <c r="AD351" i="5" a="1"/>
  <c r="AD351" i="5" s="1"/>
  <c r="AD415" i="5" a="1"/>
  <c r="AD415" i="5" s="1"/>
  <c r="AD479" i="5" a="1"/>
  <c r="AD479" i="5" s="1"/>
  <c r="AD11" i="5" a="1"/>
  <c r="AD11" i="5" s="1"/>
  <c r="AD73" i="5" a="1"/>
  <c r="AD73" i="5" s="1"/>
  <c r="AD137" i="5" a="1"/>
  <c r="AD137" i="5" s="1"/>
  <c r="AD201" i="5" a="1"/>
  <c r="AD201" i="5" s="1"/>
  <c r="AD265" i="5" a="1"/>
  <c r="AD265" i="5" s="1"/>
  <c r="AD329" i="5" a="1"/>
  <c r="AD329" i="5" s="1"/>
  <c r="AD392" i="5" a="1"/>
  <c r="AD392" i="5" s="1"/>
  <c r="AD456" i="5" a="1"/>
  <c r="AD456" i="5" s="1"/>
  <c r="AD520" i="5" a="1"/>
  <c r="AD520" i="5" s="1"/>
  <c r="AD580" i="5" a="1"/>
  <c r="AD580" i="5" s="1"/>
  <c r="AD1058" i="5" a="1"/>
  <c r="AD1058" i="5" s="1"/>
  <c r="AD991" i="5" a="1"/>
  <c r="AD991" i="5" s="1"/>
  <c r="AD930" i="5" a="1"/>
  <c r="AD930" i="5" s="1"/>
  <c r="AD865" i="5" a="1"/>
  <c r="AD865" i="5" s="1"/>
  <c r="AD801" i="5" a="1"/>
  <c r="AD801" i="5" s="1"/>
  <c r="AD737" i="5" a="1"/>
  <c r="AD737" i="5" s="1"/>
  <c r="AD673" i="5" a="1"/>
  <c r="AD673" i="5" s="1"/>
  <c r="AD594" i="5" a="1"/>
  <c r="AD594" i="5" s="1"/>
  <c r="AD1063" i="5" a="1"/>
  <c r="AD1063" i="5" s="1"/>
  <c r="AD1003" i="5" a="1"/>
  <c r="AD1003" i="5" s="1"/>
  <c r="AD935" i="5" a="1"/>
  <c r="AD935" i="5" s="1"/>
  <c r="AD872" i="5" a="1"/>
  <c r="AD872" i="5" s="1"/>
  <c r="AD808" i="5" a="1"/>
  <c r="AD808" i="5" s="1"/>
  <c r="AD744" i="5" a="1"/>
  <c r="AD744" i="5" s="1"/>
  <c r="AD680" i="5" a="1"/>
  <c r="AD680" i="5" s="1"/>
  <c r="AD609" i="5" a="1"/>
  <c r="AD609" i="5" s="1"/>
  <c r="AD1070" i="5" a="1"/>
  <c r="AD1070" i="5" s="1"/>
  <c r="AD1002" i="5" a="1"/>
  <c r="AD1002" i="5" s="1"/>
  <c r="AD942" i="5" a="1"/>
  <c r="AD942" i="5" s="1"/>
  <c r="AD879" i="5" a="1"/>
  <c r="AD879" i="5" s="1"/>
  <c r="AD815" i="5" a="1"/>
  <c r="AD815" i="5" s="1"/>
  <c r="AD807" i="5" a="1"/>
  <c r="AD807" i="5" s="1"/>
  <c r="AD16" i="5" a="1"/>
  <c r="AD16" i="5" s="1"/>
  <c r="AD222" i="5" a="1"/>
  <c r="AD222" i="5" s="1"/>
  <c r="AD326" i="5" a="1"/>
  <c r="AD326" i="5" s="1"/>
  <c r="AD413" i="5" a="1"/>
  <c r="AD413" i="5" s="1"/>
  <c r="AD482" i="5" a="1"/>
  <c r="AD482" i="5" s="1"/>
  <c r="AD39" i="5" a="1"/>
  <c r="AD39" i="5" s="1"/>
  <c r="AD111" i="5" a="1"/>
  <c r="AD111" i="5" s="1"/>
  <c r="AD183" i="5" a="1"/>
  <c r="AD183" i="5" s="1"/>
  <c r="AD247" i="5" a="1"/>
  <c r="AD247" i="5" s="1"/>
  <c r="AD311" i="5" a="1"/>
  <c r="AD311" i="5" s="1"/>
  <c r="AD374" i="5" a="1"/>
  <c r="AD374" i="5" s="1"/>
  <c r="AD438" i="5" a="1"/>
  <c r="AD438" i="5" s="1"/>
  <c r="AD501" i="5" a="1"/>
  <c r="AD501" i="5" s="1"/>
  <c r="AD40" i="5" a="1"/>
  <c r="AD40" i="5" s="1"/>
  <c r="AD104" i="5" a="1"/>
  <c r="AD104" i="5" s="1"/>
  <c r="AD168" i="5" a="1"/>
  <c r="AD168" i="5" s="1"/>
  <c r="AD232" i="5" a="1"/>
  <c r="AD232" i="5" s="1"/>
  <c r="AD296" i="5" a="1"/>
  <c r="AD296" i="5" s="1"/>
  <c r="AD359" i="5" a="1"/>
  <c r="AD359" i="5" s="1"/>
  <c r="AD423" i="5" a="1"/>
  <c r="AD423" i="5" s="1"/>
  <c r="AD484" i="5" a="1"/>
  <c r="AD484" i="5" s="1"/>
  <c r="AD18" i="5" a="1"/>
  <c r="AD18" i="5" s="1"/>
  <c r="AD81" i="5" a="1"/>
  <c r="AD81" i="5" s="1"/>
  <c r="AD145" i="5" a="1"/>
  <c r="AD145" i="5" s="1"/>
  <c r="AD209" i="5" a="1"/>
  <c r="AD209" i="5" s="1"/>
  <c r="AD273" i="5" a="1"/>
  <c r="AD273" i="5" s="1"/>
  <c r="AD337" i="5" a="1"/>
  <c r="AD337" i="5" s="1"/>
  <c r="AD400" i="5" a="1"/>
  <c r="AD400" i="5" s="1"/>
  <c r="AD464" i="5" a="1"/>
  <c r="AD464" i="5" s="1"/>
  <c r="AD525" i="5" a="1"/>
  <c r="AD525" i="5" s="1"/>
  <c r="AD588" i="5" a="1"/>
  <c r="AD588" i="5" s="1"/>
  <c r="AD1051" i="5" a="1"/>
  <c r="AD1051" i="5" s="1"/>
  <c r="AD983" i="5" a="1"/>
  <c r="AD983" i="5" s="1"/>
  <c r="AD923" i="5" a="1"/>
  <c r="AD923" i="5" s="1"/>
  <c r="AD857" i="5" a="1"/>
  <c r="AD857" i="5" s="1"/>
  <c r="AD793" i="5" a="1"/>
  <c r="AD793" i="5" s="1"/>
  <c r="AD729" i="5" a="1"/>
  <c r="AD729" i="5" s="1"/>
  <c r="AD665" i="5" a="1"/>
  <c r="AD665" i="5" s="1"/>
  <c r="AD578" i="5" a="1"/>
  <c r="AD578" i="5" s="1"/>
  <c r="AD1050" i="5" a="1"/>
  <c r="AD1050" i="5" s="1"/>
  <c r="AD990" i="5" a="1"/>
  <c r="AD990" i="5" s="1"/>
  <c r="AD922" i="5" a="1"/>
  <c r="AD922" i="5" s="1"/>
  <c r="AD864" i="5" a="1"/>
  <c r="AD864" i="5" s="1"/>
  <c r="AD800" i="5" a="1"/>
  <c r="AD800" i="5" s="1"/>
  <c r="AD736" i="5" a="1"/>
  <c r="AD736" i="5" s="1"/>
  <c r="AD672" i="5" a="1"/>
  <c r="AD672" i="5" s="1"/>
  <c r="AD593" i="5" a="1"/>
  <c r="AD593" i="5" s="1"/>
  <c r="AD1062" i="5" a="1"/>
  <c r="AD1062" i="5" s="1"/>
  <c r="AD995" i="5" a="1"/>
  <c r="AD995" i="5" s="1"/>
  <c r="AD934" i="5" a="1"/>
  <c r="AD934" i="5" s="1"/>
  <c r="AD592" i="5" a="1"/>
  <c r="AD592" i="5" s="1"/>
  <c r="AD38" i="5" a="1"/>
  <c r="AD38" i="5" s="1"/>
  <c r="AD230" i="5" a="1"/>
  <c r="AD230" i="5" s="1"/>
  <c r="AD334" i="5" a="1"/>
  <c r="AD334" i="5" s="1"/>
  <c r="AD421" i="5" a="1"/>
  <c r="AD421" i="5" s="1"/>
  <c r="AD495" i="5" a="1"/>
  <c r="AD495" i="5" s="1"/>
  <c r="AD47" i="5" a="1"/>
  <c r="AD47" i="5" s="1"/>
  <c r="AD119" i="5" a="1"/>
  <c r="AD119" i="5" s="1"/>
  <c r="AD191" i="5" a="1"/>
  <c r="AD191" i="5" s="1"/>
  <c r="AD255" i="5" a="1"/>
  <c r="AD255" i="5" s="1"/>
  <c r="AD319" i="5" a="1"/>
  <c r="AD319" i="5" s="1"/>
  <c r="AD382" i="5" a="1"/>
  <c r="AD382" i="5" s="1"/>
  <c r="AD446" i="5" a="1"/>
  <c r="AD446" i="5" s="1"/>
  <c r="AD506" i="5" a="1"/>
  <c r="AD506" i="5" s="1"/>
  <c r="AD48" i="5" a="1"/>
  <c r="AD48" i="5" s="1"/>
  <c r="AD112" i="5" a="1"/>
  <c r="AD112" i="5" s="1"/>
  <c r="AD176" i="5" a="1"/>
  <c r="AD176" i="5" s="1"/>
  <c r="AD240" i="5" a="1"/>
  <c r="AD240" i="5" s="1"/>
  <c r="AD304" i="5" a="1"/>
  <c r="AD304" i="5" s="1"/>
  <c r="AD367" i="5" a="1"/>
  <c r="AD367" i="5" s="1"/>
  <c r="AD431" i="5" a="1"/>
  <c r="AD431" i="5" s="1"/>
  <c r="AD496" i="5" a="1"/>
  <c r="AD496" i="5" s="1"/>
  <c r="AD25" i="5" a="1"/>
  <c r="AD25" i="5" s="1"/>
  <c r="AD89" i="5" a="1"/>
  <c r="AD89" i="5" s="1"/>
  <c r="AD153" i="5" a="1"/>
  <c r="AD153" i="5" s="1"/>
  <c r="AD217" i="5" a="1"/>
  <c r="AD217" i="5" s="1"/>
  <c r="AD281" i="5" a="1"/>
  <c r="AD281" i="5" s="1"/>
  <c r="AD345" i="5" a="1"/>
  <c r="AD345" i="5" s="1"/>
  <c r="AD408" i="5" a="1"/>
  <c r="AD408" i="5" s="1"/>
  <c r="AD472" i="5" a="1"/>
  <c r="AD472" i="5" s="1"/>
  <c r="AD532" i="5" a="1"/>
  <c r="AD532" i="5" s="1"/>
  <c r="AD596" i="5" a="1"/>
  <c r="AD596" i="5" s="1"/>
  <c r="AD1038" i="5" a="1"/>
  <c r="AD1038" i="5" s="1"/>
  <c r="AD970" i="5" a="1"/>
  <c r="AD970" i="5" s="1"/>
  <c r="AD910" i="5" a="1"/>
  <c r="AD910" i="5" s="1"/>
  <c r="AD849" i="5" a="1"/>
  <c r="AD849" i="5" s="1"/>
  <c r="AD785" i="5" a="1"/>
  <c r="AD785" i="5" s="1"/>
  <c r="AD721" i="5" a="1"/>
  <c r="AD721" i="5" s="1"/>
  <c r="AD657" i="5" a="1"/>
  <c r="AD657" i="5" s="1"/>
  <c r="AD562" i="5" a="1"/>
  <c r="AD562" i="5" s="1"/>
  <c r="AD1043" i="5" a="1"/>
  <c r="AD1043" i="5" s="1"/>
  <c r="AD982" i="5" a="1"/>
  <c r="AD982" i="5" s="1"/>
  <c r="AD915" i="5" a="1"/>
  <c r="AD915" i="5" s="1"/>
  <c r="AD856" i="5" a="1"/>
  <c r="AD856" i="5" s="1"/>
  <c r="AD792" i="5" a="1"/>
  <c r="AD792" i="5" s="1"/>
  <c r="AD728" i="5" a="1"/>
  <c r="AD728" i="5" s="1"/>
  <c r="AD664" i="5" a="1"/>
  <c r="AD664" i="5" s="1"/>
  <c r="AD577" i="5" a="1"/>
  <c r="AD577" i="5" s="1"/>
  <c r="AD1057" i="5" a="1"/>
  <c r="AD1057" i="5" s="1"/>
  <c r="AD989" i="5" a="1"/>
  <c r="AD989" i="5" s="1"/>
  <c r="AD929" i="5" a="1"/>
  <c r="AD929" i="5" s="1"/>
  <c r="AD863" i="5" a="1"/>
  <c r="AD863" i="5" s="1"/>
  <c r="AD799" i="5" a="1"/>
  <c r="AD799" i="5" s="1"/>
  <c r="AD735" i="5" a="1"/>
  <c r="AD735" i="5" s="1"/>
  <c r="AD663" i="5" a="1"/>
  <c r="AD663" i="5" s="1"/>
  <c r="AD78" i="5" a="1"/>
  <c r="AD78" i="5" s="1"/>
  <c r="AD238" i="5" a="1"/>
  <c r="AD238" i="5" s="1"/>
  <c r="AD349" i="5" a="1"/>
  <c r="AD349" i="5" s="1"/>
  <c r="AD429" i="5" a="1"/>
  <c r="AD429" i="5" s="1"/>
  <c r="AD500" i="5" a="1"/>
  <c r="AD500" i="5" s="1"/>
  <c r="AD55" i="5" a="1"/>
  <c r="AD55" i="5" s="1"/>
  <c r="AD127" i="5" a="1"/>
  <c r="AD127" i="5" s="1"/>
  <c r="AD199" i="5" a="1"/>
  <c r="AD199" i="5" s="1"/>
  <c r="AD263" i="5" a="1"/>
  <c r="AD263" i="5" s="1"/>
  <c r="AD327" i="5" a="1"/>
  <c r="AD327" i="5" s="1"/>
  <c r="AD390" i="5" a="1"/>
  <c r="AD390" i="5" s="1"/>
  <c r="AD454" i="5" a="1"/>
  <c r="AD454" i="5" s="1"/>
  <c r="AD518" i="5" a="1"/>
  <c r="AD518" i="5" s="1"/>
  <c r="AD56" i="5" a="1"/>
  <c r="AD56" i="5" s="1"/>
  <c r="AD120" i="5" a="1"/>
  <c r="AD120" i="5" s="1"/>
  <c r="AD184" i="5" a="1"/>
  <c r="AD184" i="5" s="1"/>
  <c r="AD248" i="5" a="1"/>
  <c r="AD248" i="5" s="1"/>
  <c r="AD312" i="5" a="1"/>
  <c r="AD312" i="5" s="1"/>
  <c r="AD375" i="5" a="1"/>
  <c r="AD375" i="5" s="1"/>
  <c r="AD439" i="5" a="1"/>
  <c r="AD439" i="5" s="1"/>
  <c r="AD502" i="5" a="1"/>
  <c r="AD502" i="5" s="1"/>
  <c r="AD33" i="5" a="1"/>
  <c r="AD33" i="5" s="1"/>
  <c r="AD97" i="5" a="1"/>
  <c r="AD97" i="5" s="1"/>
  <c r="AD161" i="5" a="1"/>
  <c r="AD161" i="5" s="1"/>
  <c r="AD225" i="5" a="1"/>
  <c r="AD225" i="5" s="1"/>
  <c r="AD289" i="5" a="1"/>
  <c r="AD289" i="5" s="1"/>
  <c r="AD352" i="5" a="1"/>
  <c r="AD352" i="5" s="1"/>
  <c r="AD416" i="5" a="1"/>
  <c r="AD416" i="5" s="1"/>
  <c r="AD485" i="5" a="1"/>
  <c r="AD485" i="5" s="1"/>
  <c r="AD538" i="5" a="1"/>
  <c r="AD538" i="5" s="1"/>
  <c r="AD604" i="5" a="1"/>
  <c r="AD604" i="5" s="1"/>
  <c r="AD1030" i="5" a="1"/>
  <c r="AD1030" i="5" s="1"/>
  <c r="AD963" i="5" a="1"/>
  <c r="AD963" i="5" s="1"/>
  <c r="AD902" i="5" a="1"/>
  <c r="AD902" i="5" s="1"/>
  <c r="AD841" i="5" a="1"/>
  <c r="AD841" i="5" s="1"/>
  <c r="AD777" i="5" a="1"/>
  <c r="AD777" i="5" s="1"/>
  <c r="AD713" i="5" a="1"/>
  <c r="AD713" i="5" s="1"/>
  <c r="AD649" i="5" a="1"/>
  <c r="AD649" i="5" s="1"/>
  <c r="AD548" i="5" a="1"/>
  <c r="AD548" i="5" s="1"/>
  <c r="AD1037" i="5" a="1"/>
  <c r="AD1037" i="5" s="1"/>
  <c r="AD977" i="5" a="1"/>
  <c r="AD977" i="5" s="1"/>
  <c r="AD909" i="5" a="1"/>
  <c r="AD909" i="5" s="1"/>
  <c r="AD848" i="5" a="1"/>
  <c r="AD848" i="5" s="1"/>
  <c r="AD784" i="5" a="1"/>
  <c r="AD784" i="5" s="1"/>
  <c r="AD720" i="5" a="1"/>
  <c r="AD720" i="5" s="1"/>
  <c r="AD656" i="5" a="1"/>
  <c r="AD656" i="5" s="1"/>
  <c r="AD561" i="5" a="1"/>
  <c r="AD561" i="5" s="1"/>
  <c r="AD1049" i="5" a="1"/>
  <c r="AD1049" i="5" s="1"/>
  <c r="AD981" i="5" a="1"/>
  <c r="AD981" i="5" s="1"/>
  <c r="AD921" i="5" a="1"/>
  <c r="AD921" i="5" s="1"/>
  <c r="AD855" i="5" a="1"/>
  <c r="AD855" i="5" s="1"/>
  <c r="AD791" i="5" a="1"/>
  <c r="AD791" i="5" s="1"/>
  <c r="AD727" i="5" a="1"/>
  <c r="AD727" i="5" s="1"/>
  <c r="AD102" i="5" a="1"/>
  <c r="AD102" i="5" s="1"/>
  <c r="AD262" i="5" a="1"/>
  <c r="AD262" i="5" s="1"/>
  <c r="AD357" i="5" a="1"/>
  <c r="AD357" i="5" s="1"/>
  <c r="AD437" i="5" a="1"/>
  <c r="AD437" i="5" s="1"/>
  <c r="AD511" i="5" a="1"/>
  <c r="AD511" i="5" s="1"/>
  <c r="AD63" i="5" a="1"/>
  <c r="AD63" i="5" s="1"/>
  <c r="AD135" i="5" a="1"/>
  <c r="AD135" i="5" s="1"/>
  <c r="AD207" i="5" a="1"/>
  <c r="AD207" i="5" s="1"/>
  <c r="AD271" i="5" a="1"/>
  <c r="AD271" i="5" s="1"/>
  <c r="AD335" i="5" a="1"/>
  <c r="AD335" i="5" s="1"/>
  <c r="AD398" i="5" a="1"/>
  <c r="AD398" i="5" s="1"/>
  <c r="AD462" i="5" a="1"/>
  <c r="AD462" i="5" s="1"/>
  <c r="AD530" i="5" a="1"/>
  <c r="AD530" i="5" s="1"/>
  <c r="AD64" i="5" a="1"/>
  <c r="AD64" i="5" s="1"/>
  <c r="AD128" i="5" a="1"/>
  <c r="AD128" i="5" s="1"/>
  <c r="AD192" i="5" a="1"/>
  <c r="AD192" i="5" s="1"/>
  <c r="AD256" i="5" a="1"/>
  <c r="AD256" i="5" s="1"/>
  <c r="AD320" i="5" a="1"/>
  <c r="AD320" i="5" s="1"/>
  <c r="AD383" i="5" a="1"/>
  <c r="AD383" i="5" s="1"/>
  <c r="AD447" i="5" a="1"/>
  <c r="AD447" i="5" s="1"/>
  <c r="AD507" i="5" a="1"/>
  <c r="AD507" i="5" s="1"/>
  <c r="AD41" i="5" a="1"/>
  <c r="AD41" i="5" s="1"/>
  <c r="AD105" i="5" a="1"/>
  <c r="AD105" i="5" s="1"/>
  <c r="AD169" i="5" a="1"/>
  <c r="AD169" i="5" s="1"/>
  <c r="AD233" i="5" a="1"/>
  <c r="AD233" i="5" s="1"/>
  <c r="AD297" i="5" a="1"/>
  <c r="AD297" i="5" s="1"/>
  <c r="AD360" i="5" a="1"/>
  <c r="AD360" i="5" s="1"/>
  <c r="AD424" i="5" a="1"/>
  <c r="AD424" i="5" s="1"/>
  <c r="AD490" i="5" a="1"/>
  <c r="AD490" i="5" s="1"/>
  <c r="AD544" i="5" a="1"/>
  <c r="AD544" i="5" s="1"/>
  <c r="AD612" i="5" a="1"/>
  <c r="AD612" i="5" s="1"/>
  <c r="AD1025" i="5" a="1"/>
  <c r="AD1025" i="5" s="1"/>
  <c r="AD957" i="5" a="1"/>
  <c r="AD957" i="5" s="1"/>
  <c r="AD897" i="5" a="1"/>
  <c r="AD897" i="5" s="1"/>
  <c r="AD833" i="5" a="1"/>
  <c r="AD833" i="5" s="1"/>
  <c r="AD769" i="5" a="1"/>
  <c r="AD769" i="5" s="1"/>
  <c r="AD705" i="5" a="1"/>
  <c r="AD705" i="5" s="1"/>
  <c r="AD640" i="5" a="1"/>
  <c r="AD640" i="5" s="1"/>
  <c r="AD537" i="5" a="1"/>
  <c r="AD537" i="5" s="1"/>
  <c r="AD1029" i="5" a="1"/>
  <c r="AD1029" i="5" s="1"/>
  <c r="AD969" i="5" a="1"/>
  <c r="AD969" i="5" s="1"/>
  <c r="AD901" i="5" a="1"/>
  <c r="AD901" i="5" s="1"/>
  <c r="AD840" i="5" a="1"/>
  <c r="AD840" i="5" s="1"/>
  <c r="AD776" i="5" a="1"/>
  <c r="AD776" i="5" s="1"/>
  <c r="AD712" i="5" a="1"/>
  <c r="AD712" i="5" s="1"/>
  <c r="AD648" i="5" a="1"/>
  <c r="AD648" i="5" s="1"/>
  <c r="AD547" i="5" a="1"/>
  <c r="AD547" i="5" s="1"/>
  <c r="AD1036" i="5" a="1"/>
  <c r="AD1036" i="5" s="1"/>
  <c r="AD976" i="5" a="1"/>
  <c r="AD976" i="5" s="1"/>
  <c r="AD908" i="5" a="1"/>
  <c r="AD908" i="5" s="1"/>
  <c r="AD847" i="5" a="1"/>
  <c r="AD847" i="5" s="1"/>
  <c r="AD783" i="5" a="1"/>
  <c r="AD783" i="5" s="1"/>
  <c r="AD719" i="5" a="1"/>
  <c r="AD719" i="5" s="1"/>
  <c r="AD655" i="5" a="1"/>
  <c r="AD655" i="5" s="1"/>
  <c r="AD560" i="5" a="1"/>
  <c r="AD560" i="5" s="1"/>
  <c r="AD871" i="5" a="1"/>
  <c r="AD871" i="5" s="1"/>
  <c r="AD671" i="5" a="1"/>
  <c r="AD671" i="5" s="1"/>
  <c r="L603" i="5"/>
  <c r="L63" i="5"/>
  <c r="L468" i="5"/>
  <c r="L740" i="5"/>
  <c r="N524" i="5"/>
  <c r="N892" i="5"/>
  <c r="N556" i="5"/>
  <c r="L184" i="5"/>
  <c r="L936" i="5"/>
  <c r="L296" i="5"/>
  <c r="L168" i="5"/>
  <c r="N360" i="5"/>
  <c r="L183" i="5"/>
  <c r="L329" i="5"/>
  <c r="L131" i="5"/>
  <c r="N812" i="5"/>
  <c r="L600" i="5"/>
  <c r="L416" i="5"/>
  <c r="L356" i="5"/>
  <c r="L136" i="5"/>
  <c r="N87" i="5"/>
  <c r="N333" i="5"/>
  <c r="N261" i="5"/>
  <c r="N904" i="5"/>
  <c r="N704" i="5"/>
  <c r="N664" i="5"/>
  <c r="L612" i="5"/>
  <c r="L67" i="5"/>
  <c r="L405" i="5"/>
  <c r="N269" i="5"/>
  <c r="L72" i="5"/>
  <c r="L264" i="5"/>
  <c r="L79" i="5"/>
  <c r="L560" i="5"/>
  <c r="N256" i="5"/>
  <c r="L893" i="5"/>
  <c r="N760" i="5"/>
  <c r="L171" i="5"/>
  <c r="L3" i="5"/>
  <c r="L213" i="5"/>
  <c r="L860" i="5"/>
  <c r="L660" i="5"/>
  <c r="L492" i="5"/>
  <c r="L348" i="5"/>
  <c r="L948" i="5"/>
  <c r="L676" i="5"/>
  <c r="L508" i="5"/>
  <c r="L428" i="5"/>
  <c r="L392" i="5"/>
  <c r="L268" i="5"/>
  <c r="L112" i="5"/>
  <c r="L64" i="5"/>
  <c r="L1050" i="5"/>
  <c r="L413" i="5"/>
  <c r="L341" i="5"/>
  <c r="L51" i="5"/>
  <c r="L281" i="5"/>
  <c r="L712" i="5"/>
  <c r="L636" i="5"/>
  <c r="L404" i="5"/>
  <c r="L196" i="5"/>
  <c r="L84" i="5"/>
  <c r="N920" i="5"/>
  <c r="L464" i="5"/>
  <c r="L176" i="5"/>
  <c r="N1046" i="5"/>
  <c r="L620" i="5"/>
  <c r="N940" i="5"/>
  <c r="N908" i="5"/>
  <c r="L872" i="5"/>
  <c r="N99" i="5"/>
  <c r="N648" i="5"/>
  <c r="L888" i="5"/>
  <c r="N700" i="5"/>
  <c r="N199" i="5"/>
  <c r="N972" i="5"/>
  <c r="L956" i="5"/>
  <c r="K1050" i="5"/>
  <c r="K1048" i="5"/>
  <c r="L532" i="5"/>
  <c r="L820" i="5"/>
  <c r="N980" i="5"/>
  <c r="L796" i="5"/>
  <c r="N372" i="5"/>
  <c r="N11" i="5"/>
  <c r="L1015" i="5"/>
  <c r="N732" i="5"/>
  <c r="N811" i="5"/>
  <c r="N539" i="5"/>
  <c r="N535" i="5"/>
  <c r="L139" i="5"/>
  <c r="N623" i="5"/>
  <c r="N767" i="5"/>
  <c r="L1042" i="5"/>
  <c r="L851" i="5"/>
  <c r="N115" i="5"/>
  <c r="L415" i="5"/>
  <c r="N900" i="5"/>
  <c r="O916" i="5" s="1"/>
  <c r="L959" i="5"/>
  <c r="L511" i="5"/>
  <c r="K974" i="5"/>
  <c r="L119" i="5"/>
  <c r="N829" i="5"/>
  <c r="L35" i="5"/>
  <c r="L984" i="5"/>
  <c r="L912" i="5"/>
  <c r="L488" i="5"/>
  <c r="L456" i="5"/>
  <c r="L325" i="5"/>
  <c r="L1065" i="5"/>
  <c r="L848" i="5"/>
  <c r="L800" i="5"/>
  <c r="L748" i="5"/>
  <c r="L260" i="5"/>
  <c r="L708" i="5"/>
  <c r="L652" i="5"/>
  <c r="L548" i="5"/>
  <c r="L27" i="5"/>
  <c r="L424" i="5"/>
  <c r="L952" i="5"/>
  <c r="L364" i="5"/>
  <c r="L200" i="5"/>
  <c r="L100" i="5"/>
  <c r="L68" i="5"/>
  <c r="L255" i="5"/>
  <c r="L315" i="5"/>
  <c r="K1066" i="5"/>
  <c r="L349" i="5"/>
  <c r="N285" i="5"/>
  <c r="L768" i="5"/>
  <c r="L91" i="5"/>
  <c r="L868" i="5"/>
  <c r="L816" i="5"/>
  <c r="L744" i="5"/>
  <c r="L716" i="5"/>
  <c r="L516" i="5"/>
  <c r="N647" i="5"/>
  <c r="N507" i="5"/>
  <c r="L857" i="5"/>
  <c r="L505" i="5"/>
  <c r="L668" i="5"/>
  <c r="L412" i="5"/>
  <c r="L208" i="5"/>
  <c r="L484" i="5"/>
  <c r="L92" i="5"/>
  <c r="L917" i="5"/>
  <c r="L217" i="5"/>
  <c r="L243" i="5"/>
  <c r="L43" i="5"/>
  <c r="L832" i="5"/>
  <c r="L568" i="5"/>
  <c r="L777" i="5"/>
  <c r="L916" i="5"/>
  <c r="L564" i="5"/>
  <c r="L304" i="5"/>
  <c r="L924" i="5"/>
  <c r="L135" i="5"/>
  <c r="L407" i="5"/>
  <c r="N971" i="5"/>
  <c r="L233" i="5"/>
  <c r="L7" i="5"/>
  <c r="L140" i="5"/>
  <c r="L167" i="5"/>
  <c r="L616" i="5"/>
  <c r="L276" i="5"/>
  <c r="N723" i="5"/>
  <c r="N379" i="5"/>
  <c r="N347" i="5"/>
  <c r="N411" i="5"/>
  <c r="N531" i="5"/>
  <c r="N267" i="5"/>
  <c r="K946" i="5"/>
  <c r="K364" i="5"/>
  <c r="N976" i="5"/>
  <c r="L967" i="5"/>
  <c r="N763" i="5"/>
  <c r="N423" i="5"/>
  <c r="L279" i="5"/>
  <c r="L591" i="5"/>
  <c r="N335" i="5"/>
  <c r="L203" i="5"/>
  <c r="L995" i="5"/>
  <c r="L155" i="5"/>
  <c r="L227" i="5"/>
  <c r="N628" i="5"/>
  <c r="N544" i="5"/>
  <c r="N500" i="5"/>
  <c r="N460" i="5"/>
  <c r="N944" i="5"/>
  <c r="N720" i="5"/>
  <c r="N180" i="5"/>
  <c r="L867" i="5"/>
  <c r="N471" i="5"/>
  <c r="N807" i="5"/>
  <c r="L127" i="5"/>
  <c r="K960" i="5"/>
  <c r="K300" i="5"/>
  <c r="L856" i="5"/>
  <c r="L808" i="5"/>
  <c r="L656" i="5"/>
  <c r="L604" i="5"/>
  <c r="L552" i="5"/>
  <c r="K994" i="5"/>
  <c r="K140" i="5"/>
  <c r="K548" i="5"/>
  <c r="L837" i="5"/>
  <c r="L408" i="5"/>
  <c r="K978" i="5"/>
  <c r="K176" i="5"/>
  <c r="K112" i="5"/>
  <c r="L380" i="5"/>
  <c r="L804" i="5"/>
  <c r="L752" i="5"/>
  <c r="L188" i="5"/>
  <c r="L891" i="5"/>
  <c r="L499" i="5"/>
  <c r="N307" i="5"/>
  <c r="L951" i="5"/>
  <c r="L599" i="5"/>
  <c r="L475" i="5"/>
  <c r="L275" i="5"/>
  <c r="K962" i="5"/>
  <c r="K516" i="5"/>
  <c r="K976" i="5"/>
  <c r="L921" i="5"/>
  <c r="L901" i="5"/>
  <c r="L31" i="5"/>
  <c r="N380" i="5"/>
  <c r="L284" i="5"/>
  <c r="L128" i="5"/>
  <c r="L80" i="5"/>
  <c r="L56" i="5"/>
  <c r="L555" i="5"/>
  <c r="L483" i="5"/>
  <c r="L287" i="5"/>
  <c r="K144" i="5"/>
  <c r="L731" i="5"/>
  <c r="L631" i="5"/>
  <c r="L371" i="5"/>
  <c r="N419" i="5"/>
  <c r="L251" i="5"/>
  <c r="N71" i="5"/>
  <c r="N743" i="5"/>
  <c r="N839" i="5"/>
  <c r="L503" i="5"/>
  <c r="L179" i="5"/>
  <c r="L75" i="5"/>
  <c r="N983" i="5"/>
  <c r="N363" i="5"/>
  <c r="L291" i="5"/>
  <c r="N1035" i="5"/>
  <c r="L831" i="5"/>
  <c r="L827" i="5"/>
  <c r="N451" i="5"/>
  <c r="L355" i="5"/>
  <c r="N143" i="5"/>
  <c r="L435" i="5"/>
  <c r="N95" i="5"/>
  <c r="L175" i="5"/>
  <c r="L779" i="5"/>
  <c r="L387" i="5"/>
  <c r="L863" i="5"/>
  <c r="L715" i="5"/>
  <c r="L247" i="5"/>
  <c r="N687" i="5"/>
  <c r="L323" i="5"/>
  <c r="N263" i="5"/>
  <c r="N359" i="5"/>
  <c r="N639" i="5"/>
  <c r="N571" i="5"/>
  <c r="L431" i="5"/>
  <c r="L955" i="5"/>
  <c r="L491" i="5"/>
  <c r="L443" i="5"/>
  <c r="L823" i="5"/>
  <c r="L567" i="5"/>
  <c r="L455" i="5"/>
  <c r="L191" i="5"/>
  <c r="L915" i="5"/>
  <c r="L843" i="5"/>
  <c r="N739" i="5"/>
  <c r="L299" i="5"/>
  <c r="L235" i="5"/>
  <c r="L1043" i="5"/>
  <c r="L943" i="5"/>
  <c r="N627" i="5"/>
  <c r="L439" i="5"/>
  <c r="L295" i="5"/>
  <c r="L907" i="5"/>
  <c r="L871" i="5"/>
  <c r="L163" i="5"/>
  <c r="L975" i="5"/>
  <c r="N899" i="5"/>
  <c r="L835" i="5"/>
  <c r="L791" i="5"/>
  <c r="L707" i="5"/>
  <c r="L351" i="5"/>
  <c r="L931" i="5"/>
  <c r="N803" i="5"/>
  <c r="L663" i="5"/>
  <c r="N615" i="5"/>
  <c r="L515" i="5"/>
  <c r="N1067" i="5"/>
  <c r="N935" i="5"/>
  <c r="L583" i="5"/>
  <c r="L327" i="5"/>
  <c r="L231" i="5"/>
  <c r="L187" i="5"/>
  <c r="L547" i="5"/>
  <c r="L479" i="5"/>
  <c r="L395" i="5"/>
  <c r="L331" i="5"/>
  <c r="L271" i="5"/>
  <c r="L1011" i="5"/>
  <c r="N919" i="5"/>
  <c r="L719" i="5"/>
  <c r="L619" i="5"/>
  <c r="N403" i="5"/>
  <c r="L207" i="5"/>
  <c r="L711" i="5"/>
  <c r="N1047" i="5"/>
  <c r="L1007" i="5"/>
  <c r="L887" i="5"/>
  <c r="N463" i="5"/>
  <c r="N391" i="5"/>
  <c r="L787" i="5"/>
  <c r="L759" i="5"/>
  <c r="L283" i="5"/>
  <c r="L819" i="5"/>
  <c r="L703" i="5"/>
  <c r="L1063" i="5"/>
  <c r="L1031" i="5"/>
  <c r="L987" i="5"/>
  <c r="L855" i="5"/>
  <c r="L735" i="5"/>
  <c r="L607" i="5"/>
  <c r="L551" i="5"/>
  <c r="L487" i="5"/>
  <c r="L427" i="5"/>
  <c r="L383" i="5"/>
  <c r="L579" i="5"/>
  <c r="L1059" i="5"/>
  <c r="L1023" i="5"/>
  <c r="L903" i="5"/>
  <c r="L775" i="5"/>
  <c r="L659" i="5"/>
  <c r="L375" i="5"/>
  <c r="L319" i="5"/>
  <c r="L923" i="5"/>
  <c r="L699" i="5"/>
  <c r="N643" i="5"/>
  <c r="L543" i="5"/>
  <c r="L311" i="5"/>
  <c r="L947" i="5"/>
  <c r="N859" i="5"/>
  <c r="L563" i="5"/>
  <c r="N999" i="5"/>
  <c r="L727" i="5"/>
  <c r="N671" i="5"/>
  <c r="L895" i="5"/>
  <c r="L799" i="5"/>
  <c r="L575" i="5"/>
  <c r="L447" i="5"/>
  <c r="L991" i="5"/>
  <c r="L795" i="5"/>
  <c r="L755" i="5"/>
  <c r="L679" i="5"/>
  <c r="L1051" i="5"/>
  <c r="L963" i="5"/>
  <c r="L927" i="5"/>
  <c r="L695" i="5"/>
  <c r="L635" i="5"/>
  <c r="L559" i="5"/>
  <c r="L519" i="5"/>
  <c r="L467" i="5"/>
  <c r="L399" i="5"/>
  <c r="L259" i="5"/>
  <c r="N1027" i="5"/>
  <c r="N939" i="5"/>
  <c r="N875" i="5"/>
  <c r="N747" i="5"/>
  <c r="N655" i="5"/>
  <c r="N1055" i="5"/>
  <c r="N1039" i="5"/>
  <c r="N1019" i="5"/>
  <c r="N1003" i="5"/>
  <c r="N979" i="5"/>
  <c r="N911" i="5"/>
  <c r="N883" i="5"/>
  <c r="L815" i="5"/>
  <c r="N783" i="5"/>
  <c r="N751" i="5"/>
  <c r="N683" i="5"/>
  <c r="N651" i="5"/>
  <c r="L495" i="5"/>
  <c r="L367" i="5"/>
  <c r="L303" i="5"/>
  <c r="N219" i="5"/>
  <c r="N1026" i="5"/>
  <c r="L1026" i="5"/>
  <c r="N994" i="5"/>
  <c r="L994" i="5"/>
  <c r="N930" i="5"/>
  <c r="L930" i="5"/>
  <c r="N866" i="5"/>
  <c r="L866" i="5"/>
  <c r="N802" i="5"/>
  <c r="L802" i="5"/>
  <c r="N738" i="5"/>
  <c r="L738" i="5"/>
  <c r="N674" i="5"/>
  <c r="L674" i="5"/>
  <c r="N610" i="5"/>
  <c r="L610" i="5"/>
  <c r="N542" i="5"/>
  <c r="L542" i="5"/>
  <c r="N478" i="5"/>
  <c r="L478" i="5"/>
  <c r="N414" i="5"/>
  <c r="L414" i="5"/>
  <c r="N354" i="5"/>
  <c r="L354" i="5"/>
  <c r="N294" i="5"/>
  <c r="L294" i="5"/>
  <c r="N226" i="5"/>
  <c r="L226" i="5"/>
  <c r="N166" i="5"/>
  <c r="L166" i="5"/>
  <c r="N102" i="5"/>
  <c r="L102" i="5"/>
  <c r="N42" i="5"/>
  <c r="L42" i="5"/>
  <c r="N934" i="5"/>
  <c r="L934" i="5"/>
  <c r="N870" i="5"/>
  <c r="L870" i="5"/>
  <c r="N806" i="5"/>
  <c r="L806" i="5"/>
  <c r="N742" i="5"/>
  <c r="L742" i="5"/>
  <c r="N678" i="5"/>
  <c r="L678" i="5"/>
  <c r="N614" i="5"/>
  <c r="L614" i="5"/>
  <c r="N554" i="5"/>
  <c r="L554" i="5"/>
  <c r="N490" i="5"/>
  <c r="L490" i="5"/>
  <c r="N426" i="5"/>
  <c r="L426" i="5"/>
  <c r="N358" i="5"/>
  <c r="L358" i="5"/>
  <c r="N290" i="5"/>
  <c r="L290" i="5"/>
  <c r="N230" i="5"/>
  <c r="L230" i="5"/>
  <c r="N162" i="5"/>
  <c r="L162" i="5"/>
  <c r="N98" i="5"/>
  <c r="L98" i="5"/>
  <c r="N30" i="5"/>
  <c r="L30" i="5"/>
  <c r="N1021" i="5"/>
  <c r="L1021" i="5"/>
  <c r="N965" i="5"/>
  <c r="L965" i="5"/>
  <c r="N1045" i="5"/>
  <c r="L1045" i="5"/>
  <c r="N941" i="5"/>
  <c r="L941" i="5"/>
  <c r="N1056" i="5"/>
  <c r="L1056" i="5"/>
  <c r="N1028" i="5"/>
  <c r="L1028" i="5"/>
  <c r="N996" i="5"/>
  <c r="L996" i="5"/>
  <c r="N452" i="5"/>
  <c r="L452" i="5"/>
  <c r="N324" i="5"/>
  <c r="L324" i="5"/>
  <c r="N1022" i="5"/>
  <c r="L1022" i="5"/>
  <c r="N986" i="5"/>
  <c r="L986" i="5"/>
  <c r="N922" i="5"/>
  <c r="L922" i="5"/>
  <c r="N858" i="5"/>
  <c r="L858" i="5"/>
  <c r="N794" i="5"/>
  <c r="L794" i="5"/>
  <c r="N730" i="5"/>
  <c r="L730" i="5"/>
  <c r="N666" i="5"/>
  <c r="L666" i="5"/>
  <c r="N598" i="5"/>
  <c r="L598" i="5"/>
  <c r="N534" i="5"/>
  <c r="L534" i="5"/>
  <c r="N470" i="5"/>
  <c r="L470" i="5"/>
  <c r="N406" i="5"/>
  <c r="L406" i="5"/>
  <c r="N346" i="5"/>
  <c r="L346" i="5"/>
  <c r="N286" i="5"/>
  <c r="L286" i="5"/>
  <c r="L222" i="5"/>
  <c r="N222" i="5"/>
  <c r="N158" i="5"/>
  <c r="L158" i="5"/>
  <c r="L94" i="5"/>
  <c r="N94" i="5"/>
  <c r="N34" i="5"/>
  <c r="L34" i="5"/>
  <c r="N990" i="5"/>
  <c r="L990" i="5"/>
  <c r="N926" i="5"/>
  <c r="L926" i="5"/>
  <c r="N862" i="5"/>
  <c r="L862" i="5"/>
  <c r="N798" i="5"/>
  <c r="L798" i="5"/>
  <c r="N734" i="5"/>
  <c r="L734" i="5"/>
  <c r="N670" i="5"/>
  <c r="L670" i="5"/>
  <c r="N606" i="5"/>
  <c r="L606" i="5"/>
  <c r="N546" i="5"/>
  <c r="L546" i="5"/>
  <c r="N482" i="5"/>
  <c r="L482" i="5"/>
  <c r="N418" i="5"/>
  <c r="L418" i="5"/>
  <c r="N350" i="5"/>
  <c r="L350" i="5"/>
  <c r="N282" i="5"/>
  <c r="L282" i="5"/>
  <c r="N218" i="5"/>
  <c r="L218" i="5"/>
  <c r="N154" i="5"/>
  <c r="L154" i="5"/>
  <c r="N90" i="5"/>
  <c r="L90" i="5"/>
  <c r="N22" i="5"/>
  <c r="L22" i="5"/>
  <c r="N1013" i="5"/>
  <c r="L1013" i="5"/>
  <c r="N949" i="5"/>
  <c r="L949" i="5"/>
  <c r="N1033" i="5"/>
  <c r="L1033" i="5"/>
  <c r="N933" i="5"/>
  <c r="L933" i="5"/>
  <c r="N164" i="5"/>
  <c r="L164" i="5"/>
  <c r="N1024" i="5"/>
  <c r="L1024" i="5"/>
  <c r="N992" i="5"/>
  <c r="L992" i="5"/>
  <c r="N444" i="5"/>
  <c r="L444" i="5"/>
  <c r="N1018" i="5"/>
  <c r="L1018" i="5"/>
  <c r="N978" i="5"/>
  <c r="L978" i="5"/>
  <c r="N914" i="5"/>
  <c r="L914" i="5"/>
  <c r="N850" i="5"/>
  <c r="L850" i="5"/>
  <c r="N786" i="5"/>
  <c r="L786" i="5"/>
  <c r="N722" i="5"/>
  <c r="L722" i="5"/>
  <c r="N658" i="5"/>
  <c r="L658" i="5"/>
  <c r="L590" i="5"/>
  <c r="N590" i="5"/>
  <c r="L526" i="5"/>
  <c r="N526" i="5"/>
  <c r="L462" i="5"/>
  <c r="N462" i="5"/>
  <c r="L398" i="5"/>
  <c r="N398" i="5"/>
  <c r="N338" i="5"/>
  <c r="L338" i="5"/>
  <c r="N278" i="5"/>
  <c r="L278" i="5"/>
  <c r="N214" i="5"/>
  <c r="L214" i="5"/>
  <c r="N150" i="5"/>
  <c r="L150" i="5"/>
  <c r="N86" i="5"/>
  <c r="L86" i="5"/>
  <c r="N26" i="5"/>
  <c r="L26" i="5"/>
  <c r="N982" i="5"/>
  <c r="L982" i="5"/>
  <c r="N918" i="5"/>
  <c r="L918" i="5"/>
  <c r="N854" i="5"/>
  <c r="L854" i="5"/>
  <c r="N790" i="5"/>
  <c r="L790" i="5"/>
  <c r="N726" i="5"/>
  <c r="L726" i="5"/>
  <c r="N662" i="5"/>
  <c r="L662" i="5"/>
  <c r="N602" i="5"/>
  <c r="L602" i="5"/>
  <c r="N538" i="5"/>
  <c r="L538" i="5"/>
  <c r="N474" i="5"/>
  <c r="L474" i="5"/>
  <c r="N410" i="5"/>
  <c r="L410" i="5"/>
  <c r="N342" i="5"/>
  <c r="L342" i="5"/>
  <c r="N274" i="5"/>
  <c r="L274" i="5"/>
  <c r="N210" i="5"/>
  <c r="L210" i="5"/>
  <c r="N146" i="5"/>
  <c r="L146" i="5"/>
  <c r="N82" i="5"/>
  <c r="L82" i="5"/>
  <c r="L14" i="5"/>
  <c r="N14" i="5"/>
  <c r="N1005" i="5"/>
  <c r="L1005" i="5"/>
  <c r="N937" i="5"/>
  <c r="L937" i="5"/>
  <c r="N1020" i="5"/>
  <c r="L1020" i="5"/>
  <c r="N988" i="5"/>
  <c r="L988" i="5"/>
  <c r="N224" i="5"/>
  <c r="L224" i="5"/>
  <c r="N192" i="5"/>
  <c r="L192" i="5"/>
  <c r="N1014" i="5"/>
  <c r="L1014" i="5"/>
  <c r="N970" i="5"/>
  <c r="L970" i="5"/>
  <c r="N910" i="5"/>
  <c r="L910" i="5"/>
  <c r="N842" i="5"/>
  <c r="L842" i="5"/>
  <c r="N778" i="5"/>
  <c r="L778" i="5"/>
  <c r="N714" i="5"/>
  <c r="L714" i="5"/>
  <c r="N650" i="5"/>
  <c r="L650" i="5"/>
  <c r="N582" i="5"/>
  <c r="L582" i="5"/>
  <c r="N518" i="5"/>
  <c r="L518" i="5"/>
  <c r="N454" i="5"/>
  <c r="L454" i="5"/>
  <c r="N390" i="5"/>
  <c r="L390" i="5"/>
  <c r="N330" i="5"/>
  <c r="L330" i="5"/>
  <c r="N266" i="5"/>
  <c r="L266" i="5"/>
  <c r="N202" i="5"/>
  <c r="L202" i="5"/>
  <c r="L142" i="5"/>
  <c r="N142" i="5"/>
  <c r="N78" i="5"/>
  <c r="L78" i="5"/>
  <c r="N18" i="5"/>
  <c r="L18" i="5"/>
  <c r="N974" i="5"/>
  <c r="L974" i="5"/>
  <c r="N906" i="5"/>
  <c r="L906" i="5"/>
  <c r="N846" i="5"/>
  <c r="L846" i="5"/>
  <c r="N782" i="5"/>
  <c r="L782" i="5"/>
  <c r="N718" i="5"/>
  <c r="L718" i="5"/>
  <c r="N654" i="5"/>
  <c r="L654" i="5"/>
  <c r="N594" i="5"/>
  <c r="L594" i="5"/>
  <c r="N530" i="5"/>
  <c r="L530" i="5"/>
  <c r="N466" i="5"/>
  <c r="L466" i="5"/>
  <c r="N402" i="5"/>
  <c r="L402" i="5"/>
  <c r="L334" i="5"/>
  <c r="N334" i="5"/>
  <c r="L270" i="5"/>
  <c r="N270" i="5"/>
  <c r="N206" i="5"/>
  <c r="L206" i="5"/>
  <c r="N138" i="5"/>
  <c r="L138" i="5"/>
  <c r="N74" i="5"/>
  <c r="L74" i="5"/>
  <c r="L6" i="5"/>
  <c r="N6" i="5"/>
  <c r="N1001" i="5"/>
  <c r="L1001" i="5"/>
  <c r="N292" i="5"/>
  <c r="L292" i="5"/>
  <c r="N1048" i="5"/>
  <c r="L1048" i="5"/>
  <c r="N1016" i="5"/>
  <c r="L1016" i="5"/>
  <c r="N496" i="5"/>
  <c r="L496" i="5"/>
  <c r="N376" i="5"/>
  <c r="L376" i="5"/>
  <c r="N312" i="5"/>
  <c r="L312" i="5"/>
  <c r="N280" i="5"/>
  <c r="L280" i="5"/>
  <c r="N1010" i="5"/>
  <c r="O1026" i="5" s="1"/>
  <c r="L1010" i="5"/>
  <c r="N962" i="5"/>
  <c r="L962" i="5"/>
  <c r="N902" i="5"/>
  <c r="L902" i="5"/>
  <c r="N834" i="5"/>
  <c r="L834" i="5"/>
  <c r="N770" i="5"/>
  <c r="L770" i="5"/>
  <c r="N706" i="5"/>
  <c r="L706" i="5"/>
  <c r="N642" i="5"/>
  <c r="L642" i="5"/>
  <c r="N578" i="5"/>
  <c r="L578" i="5"/>
  <c r="N510" i="5"/>
  <c r="L510" i="5"/>
  <c r="N446" i="5"/>
  <c r="L446" i="5"/>
  <c r="N382" i="5"/>
  <c r="L382" i="5"/>
  <c r="N322" i="5"/>
  <c r="L322" i="5"/>
  <c r="N258" i="5"/>
  <c r="L258" i="5"/>
  <c r="L198" i="5"/>
  <c r="N198" i="5"/>
  <c r="L134" i="5"/>
  <c r="N134" i="5"/>
  <c r="L70" i="5"/>
  <c r="N70" i="5"/>
  <c r="N10" i="5"/>
  <c r="L10" i="5"/>
  <c r="N1070" i="5"/>
  <c r="L1070" i="5"/>
  <c r="N966" i="5"/>
  <c r="L966" i="5"/>
  <c r="N898" i="5"/>
  <c r="L898" i="5"/>
  <c r="N838" i="5"/>
  <c r="L838" i="5"/>
  <c r="N774" i="5"/>
  <c r="L774" i="5"/>
  <c r="N710" i="5"/>
  <c r="L710" i="5"/>
  <c r="N646" i="5"/>
  <c r="L646" i="5"/>
  <c r="N586" i="5"/>
  <c r="L586" i="5"/>
  <c r="N522" i="5"/>
  <c r="L522" i="5"/>
  <c r="N458" i="5"/>
  <c r="L458" i="5"/>
  <c r="N394" i="5"/>
  <c r="L394" i="5"/>
  <c r="N326" i="5"/>
  <c r="L326" i="5"/>
  <c r="L262" i="5"/>
  <c r="N262" i="5"/>
  <c r="N194" i="5"/>
  <c r="L194" i="5"/>
  <c r="N130" i="5"/>
  <c r="L130" i="5"/>
  <c r="N66" i="5"/>
  <c r="L66" i="5"/>
  <c r="N989" i="5"/>
  <c r="L989" i="5"/>
  <c r="N997" i="5"/>
  <c r="L997" i="5"/>
  <c r="N1072" i="5"/>
  <c r="L1072" i="5"/>
  <c r="N1044" i="5"/>
  <c r="L1044" i="5"/>
  <c r="N1012" i="5"/>
  <c r="L1012" i="5"/>
  <c r="N432" i="5"/>
  <c r="L432" i="5"/>
  <c r="N400" i="5"/>
  <c r="L400" i="5"/>
  <c r="N248" i="5"/>
  <c r="L248" i="5"/>
  <c r="N1038" i="5"/>
  <c r="L1038" i="5"/>
  <c r="L1006" i="5"/>
  <c r="N1006" i="5"/>
  <c r="N954" i="5"/>
  <c r="L954" i="5"/>
  <c r="N890" i="5"/>
  <c r="L890" i="5"/>
  <c r="N826" i="5"/>
  <c r="L826" i="5"/>
  <c r="N762" i="5"/>
  <c r="L762" i="5"/>
  <c r="N698" i="5"/>
  <c r="L698" i="5"/>
  <c r="N634" i="5"/>
  <c r="L634" i="5"/>
  <c r="N566" i="5"/>
  <c r="L566" i="5"/>
  <c r="N502" i="5"/>
  <c r="L502" i="5"/>
  <c r="N438" i="5"/>
  <c r="L438" i="5"/>
  <c r="N374" i="5"/>
  <c r="L374" i="5"/>
  <c r="N314" i="5"/>
  <c r="L314" i="5"/>
  <c r="N254" i="5"/>
  <c r="L254" i="5"/>
  <c r="N186" i="5"/>
  <c r="L186" i="5"/>
  <c r="N126" i="5"/>
  <c r="L126" i="5"/>
  <c r="N62" i="5"/>
  <c r="L62" i="5"/>
  <c r="N2" i="5"/>
  <c r="L2" i="5"/>
  <c r="L1066" i="5"/>
  <c r="N1066" i="5"/>
  <c r="N958" i="5"/>
  <c r="L958" i="5"/>
  <c r="M942" i="5" s="1"/>
  <c r="N894" i="5"/>
  <c r="L894" i="5"/>
  <c r="N830" i="5"/>
  <c r="L830" i="5"/>
  <c r="N766" i="5"/>
  <c r="L766" i="5"/>
  <c r="N702" i="5"/>
  <c r="L702" i="5"/>
  <c r="N638" i="5"/>
  <c r="L638" i="5"/>
  <c r="N574" i="5"/>
  <c r="L574" i="5"/>
  <c r="N514" i="5"/>
  <c r="L514" i="5"/>
  <c r="N450" i="5"/>
  <c r="L450" i="5"/>
  <c r="N386" i="5"/>
  <c r="L386" i="5"/>
  <c r="N318" i="5"/>
  <c r="L318" i="5"/>
  <c r="N250" i="5"/>
  <c r="L250" i="5"/>
  <c r="N190" i="5"/>
  <c r="L190" i="5"/>
  <c r="N122" i="5"/>
  <c r="L122" i="5"/>
  <c r="L54" i="5"/>
  <c r="N54" i="5"/>
  <c r="N985" i="5"/>
  <c r="L985" i="5"/>
  <c r="N973" i="5"/>
  <c r="L973" i="5"/>
  <c r="N1068" i="5"/>
  <c r="L1068" i="5"/>
  <c r="N1040" i="5"/>
  <c r="L1040" i="5"/>
  <c r="N1008" i="5"/>
  <c r="L1008" i="5"/>
  <c r="N156" i="5"/>
  <c r="L156" i="5"/>
  <c r="N1034" i="5"/>
  <c r="L1034" i="5"/>
  <c r="N1002" i="5"/>
  <c r="L1002" i="5"/>
  <c r="N946" i="5"/>
  <c r="L946" i="5"/>
  <c r="N882" i="5"/>
  <c r="L882" i="5"/>
  <c r="N818" i="5"/>
  <c r="L818" i="5"/>
  <c r="N754" i="5"/>
  <c r="L754" i="5"/>
  <c r="N690" i="5"/>
  <c r="L690" i="5"/>
  <c r="N626" i="5"/>
  <c r="L626" i="5"/>
  <c r="N558" i="5"/>
  <c r="L558" i="5"/>
  <c r="N494" i="5"/>
  <c r="L494" i="5"/>
  <c r="N430" i="5"/>
  <c r="L430" i="5"/>
  <c r="N366" i="5"/>
  <c r="L366" i="5"/>
  <c r="N306" i="5"/>
  <c r="L306" i="5"/>
  <c r="N246" i="5"/>
  <c r="L246" i="5"/>
  <c r="N178" i="5"/>
  <c r="L178" i="5"/>
  <c r="N118" i="5"/>
  <c r="L118" i="5"/>
  <c r="N58" i="5"/>
  <c r="L58" i="5"/>
  <c r="N1062" i="5"/>
  <c r="L1062" i="5"/>
  <c r="N950" i="5"/>
  <c r="L950" i="5"/>
  <c r="N886" i="5"/>
  <c r="L886" i="5"/>
  <c r="N822" i="5"/>
  <c r="L822" i="5"/>
  <c r="N758" i="5"/>
  <c r="L758" i="5"/>
  <c r="N694" i="5"/>
  <c r="L694" i="5"/>
  <c r="N630" i="5"/>
  <c r="L630" i="5"/>
  <c r="N570" i="5"/>
  <c r="L570" i="5"/>
  <c r="N506" i="5"/>
  <c r="L506" i="5"/>
  <c r="N442" i="5"/>
  <c r="L442" i="5"/>
  <c r="N378" i="5"/>
  <c r="L378" i="5"/>
  <c r="N310" i="5"/>
  <c r="L310" i="5"/>
  <c r="N242" i="5"/>
  <c r="L242" i="5"/>
  <c r="L182" i="5"/>
  <c r="N182" i="5"/>
  <c r="N114" i="5"/>
  <c r="L114" i="5"/>
  <c r="N46" i="5"/>
  <c r="L46" i="5"/>
  <c r="N1037" i="5"/>
  <c r="L1037" i="5"/>
  <c r="N981" i="5"/>
  <c r="L981" i="5"/>
  <c r="N1053" i="5"/>
  <c r="L1053" i="5"/>
  <c r="L957" i="5"/>
  <c r="N957" i="5"/>
  <c r="N272" i="5"/>
  <c r="L272" i="5"/>
  <c r="N1064" i="5"/>
  <c r="L1064" i="5"/>
  <c r="N1036" i="5"/>
  <c r="L1036" i="5"/>
  <c r="N1004" i="5"/>
  <c r="L1004" i="5"/>
  <c r="N336" i="5"/>
  <c r="L336" i="5"/>
  <c r="N300" i="5"/>
  <c r="L300" i="5"/>
  <c r="N1030" i="5"/>
  <c r="L1030" i="5"/>
  <c r="N998" i="5"/>
  <c r="L998" i="5"/>
  <c r="N938" i="5"/>
  <c r="L938" i="5"/>
  <c r="N874" i="5"/>
  <c r="L874" i="5"/>
  <c r="N810" i="5"/>
  <c r="L810" i="5"/>
  <c r="N746" i="5"/>
  <c r="L746" i="5"/>
  <c r="N682" i="5"/>
  <c r="L682" i="5"/>
  <c r="N618" i="5"/>
  <c r="L618" i="5"/>
  <c r="N550" i="5"/>
  <c r="L550" i="5"/>
  <c r="N486" i="5"/>
  <c r="L486" i="5"/>
  <c r="N422" i="5"/>
  <c r="L422" i="5"/>
  <c r="N362" i="5"/>
  <c r="L362" i="5"/>
  <c r="L302" i="5"/>
  <c r="N302" i="5"/>
  <c r="N234" i="5"/>
  <c r="L234" i="5"/>
  <c r="N174" i="5"/>
  <c r="L174" i="5"/>
  <c r="N110" i="5"/>
  <c r="L110" i="5"/>
  <c r="N50" i="5"/>
  <c r="L50" i="5"/>
  <c r="L942" i="5"/>
  <c r="N942" i="5"/>
  <c r="L878" i="5"/>
  <c r="N878" i="5"/>
  <c r="L814" i="5"/>
  <c r="N814" i="5"/>
  <c r="L750" i="5"/>
  <c r="N750" i="5"/>
  <c r="L686" i="5"/>
  <c r="N686" i="5"/>
  <c r="N622" i="5"/>
  <c r="L622" i="5"/>
  <c r="N562" i="5"/>
  <c r="L562" i="5"/>
  <c r="N498" i="5"/>
  <c r="L498" i="5"/>
  <c r="N434" i="5"/>
  <c r="L434" i="5"/>
  <c r="N370" i="5"/>
  <c r="L370" i="5"/>
  <c r="N298" i="5"/>
  <c r="L298" i="5"/>
  <c r="N238" i="5"/>
  <c r="L238" i="5"/>
  <c r="N170" i="5"/>
  <c r="L170" i="5"/>
  <c r="N106" i="5"/>
  <c r="L106" i="5"/>
  <c r="N38" i="5"/>
  <c r="L38" i="5"/>
  <c r="N1029" i="5"/>
  <c r="L1029" i="5"/>
  <c r="N969" i="5"/>
  <c r="L969" i="5"/>
  <c r="N1049" i="5"/>
  <c r="L1049" i="5"/>
  <c r="N953" i="5"/>
  <c r="L953" i="5"/>
  <c r="N1060" i="5"/>
  <c r="L1060" i="5"/>
  <c r="N1032" i="5"/>
  <c r="L1032" i="5"/>
  <c r="N1000" i="5"/>
  <c r="L1000" i="5"/>
  <c r="N420" i="5"/>
  <c r="L420" i="5"/>
  <c r="N332" i="5"/>
  <c r="L332" i="5"/>
  <c r="N236" i="5"/>
  <c r="L236" i="5"/>
  <c r="N204" i="5"/>
  <c r="L204" i="5"/>
  <c r="S729" i="8"/>
  <c r="S727" i="8"/>
  <c r="S727" i="5"/>
  <c r="R734" i="8"/>
  <c r="R734" i="5"/>
  <c r="S725" i="8"/>
  <c r="S725" i="5"/>
  <c r="S726" i="8"/>
  <c r="S726" i="5"/>
  <c r="S731" i="8"/>
  <c r="S731" i="5"/>
  <c r="P726" i="8"/>
  <c r="P726" i="5"/>
  <c r="Q726" i="8"/>
  <c r="Q726" i="5"/>
  <c r="S732" i="8"/>
  <c r="S732" i="5"/>
  <c r="T736" i="8"/>
  <c r="T736" i="5"/>
  <c r="P730" i="8"/>
  <c r="P730" i="5"/>
  <c r="Q730" i="5"/>
  <c r="S730" i="5"/>
  <c r="P735" i="8"/>
  <c r="P735" i="5"/>
  <c r="U732" i="8"/>
  <c r="U732" i="5"/>
  <c r="Q727" i="8"/>
  <c r="Q727" i="5"/>
  <c r="S735" i="8"/>
  <c r="S735" i="5"/>
  <c r="U725" i="8"/>
  <c r="U725" i="5"/>
  <c r="U727" i="8"/>
  <c r="U727" i="5"/>
  <c r="U723" i="8"/>
  <c r="U723" i="5"/>
  <c r="T729" i="8"/>
  <c r="T729" i="5"/>
  <c r="U729" i="8"/>
  <c r="U729" i="5"/>
  <c r="S729" i="5"/>
  <c r="S736" i="8"/>
  <c r="S736" i="5"/>
  <c r="Q723" i="8"/>
  <c r="Q723" i="5"/>
  <c r="T730" i="8"/>
  <c r="T730" i="5"/>
  <c r="P734" i="8"/>
  <c r="P734" i="5"/>
  <c r="S734" i="8"/>
  <c r="S734" i="5"/>
  <c r="Q734" i="8"/>
  <c r="Q734" i="5"/>
  <c r="R736" i="8"/>
  <c r="R736" i="5"/>
  <c r="T735" i="8"/>
  <c r="T735" i="5"/>
  <c r="U733" i="8"/>
  <c r="U733" i="5"/>
  <c r="Q731" i="8"/>
  <c r="Q731" i="5"/>
  <c r="T734" i="8"/>
  <c r="T734" i="5"/>
  <c r="S733" i="8"/>
  <c r="S733" i="5"/>
  <c r="P727" i="8"/>
  <c r="P727" i="5"/>
  <c r="Q736" i="8"/>
  <c r="Q736" i="5"/>
  <c r="U731" i="8"/>
  <c r="U731" i="5"/>
  <c r="T737" i="8"/>
  <c r="T737" i="5"/>
  <c r="U737" i="8"/>
  <c r="U737" i="5"/>
  <c r="S737" i="8"/>
  <c r="S737" i="5"/>
  <c r="S730" i="8"/>
  <c r="U724" i="8"/>
  <c r="U724" i="5"/>
  <c r="U728" i="8"/>
  <c r="U728" i="5"/>
  <c r="U726" i="8"/>
  <c r="U726" i="5"/>
  <c r="T731" i="5"/>
  <c r="R732" i="5"/>
  <c r="T727" i="8"/>
  <c r="T727" i="5"/>
  <c r="T733" i="8"/>
  <c r="T733" i="5"/>
  <c r="R727" i="8"/>
  <c r="R727" i="5"/>
  <c r="U734" i="8"/>
  <c r="U734" i="5"/>
  <c r="Q728" i="8"/>
  <c r="Q728" i="5"/>
  <c r="P728" i="8"/>
  <c r="P728" i="5"/>
  <c r="U735" i="8"/>
  <c r="U735" i="5"/>
  <c r="U736" i="8"/>
  <c r="U736" i="5"/>
  <c r="Q735" i="8"/>
  <c r="Q735" i="5"/>
  <c r="S724" i="8"/>
  <c r="S724" i="5"/>
  <c r="R731" i="8"/>
  <c r="R731" i="5"/>
  <c r="Q725" i="8"/>
  <c r="Q725" i="5"/>
  <c r="T728" i="8"/>
  <c r="T728" i="5"/>
  <c r="S728" i="8"/>
  <c r="S728" i="5"/>
  <c r="R735" i="8"/>
  <c r="R735" i="5"/>
  <c r="P736" i="8"/>
  <c r="P736" i="5"/>
  <c r="S723" i="8"/>
  <c r="S723" i="5"/>
  <c r="R730" i="8"/>
  <c r="R730" i="5"/>
  <c r="R728" i="8"/>
  <c r="R728" i="5"/>
  <c r="K956" i="5"/>
  <c r="K28" i="5"/>
  <c r="K756" i="5"/>
  <c r="K352" i="5"/>
  <c r="K852" i="5"/>
  <c r="K954" i="5"/>
  <c r="K150" i="5"/>
  <c r="K842" i="5"/>
  <c r="K778" i="5"/>
  <c r="K104" i="5"/>
  <c r="K948" i="5"/>
  <c r="K970" i="5"/>
  <c r="K774" i="5"/>
  <c r="K826" i="5"/>
  <c r="K810" i="5"/>
  <c r="K458" i="5"/>
  <c r="K794" i="5"/>
  <c r="K262" i="5"/>
  <c r="K890" i="5"/>
  <c r="K762" i="5"/>
  <c r="K952" i="5"/>
  <c r="K340" i="5"/>
  <c r="K874" i="5"/>
  <c r="K1006" i="5"/>
  <c r="K132" i="5"/>
  <c r="K858" i="5"/>
  <c r="K194" i="5"/>
  <c r="K384" i="5"/>
  <c r="K972" i="5"/>
  <c r="K950" i="5"/>
  <c r="K106" i="5"/>
  <c r="K434" i="5"/>
  <c r="K346" i="5"/>
  <c r="K350" i="5"/>
  <c r="K286" i="5"/>
  <c r="K230" i="5"/>
  <c r="K210" i="5"/>
  <c r="K520" i="5"/>
  <c r="K760" i="5"/>
  <c r="K968" i="5"/>
  <c r="K236" i="5"/>
  <c r="K526" i="5"/>
  <c r="K122" i="5"/>
  <c r="K20" i="5"/>
  <c r="K378" i="5"/>
  <c r="K172" i="5"/>
  <c r="K302" i="5"/>
  <c r="K26" i="5"/>
  <c r="K156" i="5"/>
  <c r="K174" i="5"/>
  <c r="K226" i="5"/>
  <c r="K84" i="5"/>
  <c r="K764" i="5"/>
  <c r="K22" i="5"/>
  <c r="K678" i="5"/>
  <c r="K534" i="5"/>
  <c r="K316" i="5"/>
  <c r="K284" i="5"/>
  <c r="K528" i="5"/>
  <c r="K296" i="5"/>
  <c r="K134" i="5"/>
  <c r="K268" i="5"/>
  <c r="K646" i="5"/>
  <c r="K990" i="5"/>
  <c r="K894" i="5"/>
  <c r="K606" i="5"/>
  <c r="K630" i="5"/>
  <c r="K386" i="5"/>
  <c r="K254" i="5"/>
  <c r="K214" i="5"/>
  <c r="K306" i="5"/>
  <c r="K178" i="5"/>
  <c r="K496" i="5"/>
  <c r="K264" i="5"/>
  <c r="K260" i="5"/>
  <c r="K312" i="5"/>
  <c r="K560" i="5"/>
  <c r="K958" i="5"/>
  <c r="K754" i="5"/>
  <c r="K582" i="5"/>
  <c r="K614" i="5"/>
  <c r="K422" i="5"/>
  <c r="K442" i="5"/>
  <c r="K370" i="5"/>
  <c r="K114" i="5"/>
  <c r="K238" i="5"/>
  <c r="K198" i="5"/>
  <c r="K290" i="5"/>
  <c r="K162" i="5"/>
  <c r="K480" i="5"/>
  <c r="K136" i="5"/>
  <c r="K964" i="5"/>
  <c r="K860" i="5"/>
  <c r="K1044" i="5"/>
  <c r="K1028" i="5"/>
  <c r="K634" i="5"/>
  <c r="K726" i="5"/>
  <c r="K566" i="5"/>
  <c r="K426" i="5"/>
  <c r="K482" i="5"/>
  <c r="K354" i="5"/>
  <c r="K222" i="5"/>
  <c r="K310" i="5"/>
  <c r="K182" i="5"/>
  <c r="K274" i="5"/>
  <c r="K146" i="5"/>
  <c r="K448" i="5"/>
  <c r="K864" i="5"/>
  <c r="K648" i="5"/>
  <c r="K710" i="5"/>
  <c r="K550" i="5"/>
  <c r="K410" i="5"/>
  <c r="K466" i="5"/>
  <c r="K338" i="5"/>
  <c r="K206" i="5"/>
  <c r="K294" i="5"/>
  <c r="K166" i="5"/>
  <c r="K258" i="5"/>
  <c r="K130" i="5"/>
  <c r="K416" i="5"/>
  <c r="K24" i="5"/>
  <c r="K524" i="5"/>
  <c r="K1040" i="5"/>
  <c r="K850" i="5"/>
  <c r="K594" i="5"/>
  <c r="K694" i="5"/>
  <c r="K598" i="5"/>
  <c r="K394" i="5"/>
  <c r="K450" i="5"/>
  <c r="K318" i="5"/>
  <c r="K190" i="5"/>
  <c r="K278" i="5"/>
  <c r="K242" i="5"/>
  <c r="K856" i="5"/>
  <c r="K464" i="5"/>
  <c r="K662" i="5"/>
  <c r="K518" i="5"/>
  <c r="K490" i="5"/>
  <c r="K362" i="5"/>
  <c r="K418" i="5"/>
  <c r="K158" i="5"/>
  <c r="K246" i="5"/>
  <c r="K1036" i="5"/>
  <c r="O768" i="5"/>
  <c r="K768" i="5"/>
  <c r="K344" i="5"/>
  <c r="K52" i="5"/>
  <c r="K38" i="5"/>
  <c r="K446" i="5"/>
  <c r="K474" i="5"/>
  <c r="K402" i="5"/>
  <c r="K270" i="5"/>
  <c r="K142" i="5"/>
  <c r="K620" i="5"/>
  <c r="K220" i="5"/>
  <c r="K118" i="5"/>
  <c r="K46" i="5"/>
  <c r="K188" i="5"/>
  <c r="K252" i="5"/>
  <c r="K758" i="5"/>
  <c r="K204" i="5"/>
  <c r="K126" i="5"/>
  <c r="K396" i="5"/>
  <c r="K282" i="5"/>
  <c r="K514" i="5"/>
  <c r="K298" i="5"/>
  <c r="K368" i="5"/>
  <c r="K100" i="5"/>
  <c r="K476" i="5"/>
  <c r="K460" i="5"/>
  <c r="K138" i="5"/>
  <c r="K314" i="5"/>
  <c r="K522" i="5"/>
  <c r="K234" i="5"/>
  <c r="K342" i="5"/>
  <c r="K186" i="5"/>
  <c r="K432" i="5"/>
  <c r="K892" i="5"/>
  <c r="K266" i="5"/>
  <c r="K30" i="5"/>
  <c r="K1064" i="5"/>
  <c r="K876" i="5"/>
  <c r="K766" i="5"/>
  <c r="K250" i="5"/>
  <c r="K400" i="5"/>
  <c r="K844" i="5"/>
  <c r="K604" i="5"/>
  <c r="K18" i="5"/>
  <c r="K812" i="5"/>
  <c r="K154" i="5"/>
  <c r="K638" i="5"/>
  <c r="K36" i="5"/>
  <c r="O24" i="5"/>
  <c r="K608" i="5"/>
  <c r="K170" i="5"/>
  <c r="K574" i="5"/>
  <c r="K984" i="5"/>
  <c r="O32" i="5"/>
  <c r="O20" i="5"/>
  <c r="K304" i="5"/>
  <c r="K248" i="5"/>
  <c r="K218" i="5"/>
  <c r="K208" i="5"/>
  <c r="K184" i="5"/>
  <c r="K68" i="5"/>
  <c r="O28" i="5"/>
  <c r="K202" i="5"/>
  <c r="K110" i="5"/>
  <c r="K462" i="5"/>
  <c r="K168" i="5"/>
  <c r="K624" i="5"/>
  <c r="K94" i="5"/>
  <c r="K992" i="5"/>
  <c r="K552" i="5"/>
  <c r="K1034" i="5"/>
  <c r="K72" i="5"/>
  <c r="K558" i="5"/>
  <c r="K56" i="5"/>
  <c r="K90" i="5"/>
  <c r="K40" i="5"/>
  <c r="K108" i="5"/>
  <c r="K78" i="5"/>
  <c r="K74" i="5"/>
  <c r="K1008" i="5"/>
  <c r="K792" i="5"/>
  <c r="K1042" i="5"/>
  <c r="K882" i="5"/>
  <c r="K686" i="5"/>
  <c r="K48" i="5"/>
  <c r="K88" i="5"/>
  <c r="K716" i="5"/>
  <c r="K596" i="5"/>
  <c r="K880" i="5"/>
  <c r="K808" i="5"/>
  <c r="K688" i="5"/>
  <c r="K866" i="5"/>
  <c r="K654" i="5"/>
  <c r="K668" i="5"/>
  <c r="K724" i="5"/>
  <c r="K848" i="5"/>
  <c r="K656" i="5"/>
  <c r="K652" i="5"/>
  <c r="K708" i="5"/>
  <c r="K640" i="5"/>
  <c r="K636" i="5"/>
  <c r="K644" i="5"/>
  <c r="K680" i="5"/>
  <c r="K628" i="5"/>
  <c r="K1060" i="5"/>
  <c r="K86" i="5"/>
  <c r="K380" i="5"/>
  <c r="K532" i="5"/>
  <c r="K888" i="5"/>
  <c r="K736" i="5"/>
  <c r="K592" i="5"/>
  <c r="K70" i="5"/>
  <c r="K62" i="5"/>
  <c r="K1004" i="5"/>
  <c r="K556" i="5"/>
  <c r="K564" i="5"/>
  <c r="K872" i="5"/>
  <c r="K720" i="5"/>
  <c r="K576" i="5"/>
  <c r="K54" i="5"/>
  <c r="K702" i="5"/>
  <c r="K988" i="5"/>
  <c r="K796" i="5"/>
  <c r="K732" i="5"/>
  <c r="K896" i="5"/>
  <c r="K824" i="5"/>
  <c r="K704" i="5"/>
  <c r="K478" i="5"/>
  <c r="K2" i="5"/>
  <c r="K325" i="5"/>
  <c r="K328" i="5"/>
  <c r="K128" i="5"/>
  <c r="K224" i="5"/>
  <c r="K1069" i="5"/>
  <c r="K1037" i="5"/>
  <c r="K1053" i="5"/>
  <c r="K765" i="5"/>
  <c r="K829" i="5"/>
  <c r="K893" i="5"/>
  <c r="K781" i="5"/>
  <c r="K845" i="5"/>
  <c r="K797" i="5"/>
  <c r="K861" i="5"/>
  <c r="K813" i="5"/>
  <c r="K877" i="5"/>
  <c r="K525" i="5"/>
  <c r="K573" i="5"/>
  <c r="K589" i="5"/>
  <c r="K605" i="5"/>
  <c r="K621" i="5"/>
  <c r="K637" i="5"/>
  <c r="K653" i="5"/>
  <c r="K669" i="5"/>
  <c r="K685" i="5"/>
  <c r="K701" i="5"/>
  <c r="K541" i="5"/>
  <c r="K557" i="5"/>
  <c r="K717" i="5"/>
  <c r="K733" i="5"/>
  <c r="K324" i="5"/>
  <c r="O16" i="5"/>
  <c r="K16" i="5"/>
  <c r="K436" i="5"/>
  <c r="O928" i="5"/>
  <c r="K928" i="5"/>
  <c r="K696" i="5"/>
  <c r="K568" i="5"/>
  <c r="K336" i="5"/>
  <c r="K392" i="5"/>
  <c r="K308" i="5"/>
  <c r="K180" i="5"/>
  <c r="K1035" i="5"/>
  <c r="K1051" i="5"/>
  <c r="K1067" i="5"/>
  <c r="K927" i="5"/>
  <c r="K763" i="5"/>
  <c r="K779" i="5"/>
  <c r="K795" i="5"/>
  <c r="K811" i="5"/>
  <c r="K827" i="5"/>
  <c r="K843" i="5"/>
  <c r="K859" i="5"/>
  <c r="K875" i="5"/>
  <c r="K891" i="5"/>
  <c r="K527" i="5"/>
  <c r="K543" i="5"/>
  <c r="K559" i="5"/>
  <c r="K575" i="5"/>
  <c r="K591" i="5"/>
  <c r="K607" i="5"/>
  <c r="K623" i="5"/>
  <c r="K639" i="5"/>
  <c r="K655" i="5"/>
  <c r="K671" i="5"/>
  <c r="K687" i="5"/>
  <c r="K703" i="5"/>
  <c r="K719" i="5"/>
  <c r="K735" i="5"/>
  <c r="K347" i="5"/>
  <c r="K363" i="5"/>
  <c r="K379" i="5"/>
  <c r="K395" i="5"/>
  <c r="K411" i="5"/>
  <c r="K427" i="5"/>
  <c r="K443" i="5"/>
  <c r="K459" i="5"/>
  <c r="K475" i="5"/>
  <c r="K491" i="5"/>
  <c r="K935" i="5"/>
  <c r="K759" i="5"/>
  <c r="K775" i="5"/>
  <c r="K791" i="5"/>
  <c r="K807" i="5"/>
  <c r="K823" i="5"/>
  <c r="K839" i="5"/>
  <c r="K855" i="5"/>
  <c r="K871" i="5"/>
  <c r="K887" i="5"/>
  <c r="K123" i="5"/>
  <c r="K1018" i="5"/>
  <c r="K1002" i="5"/>
  <c r="K898" i="5"/>
  <c r="K862" i="5"/>
  <c r="K502" i="5"/>
  <c r="K626" i="5"/>
  <c r="K486" i="5"/>
  <c r="K358" i="5"/>
  <c r="K1014" i="5"/>
  <c r="K934" i="5"/>
  <c r="K982" i="5"/>
  <c r="K926" i="5"/>
  <c r="K742" i="5"/>
  <c r="K506" i="5"/>
  <c r="K973" i="5"/>
  <c r="K1005" i="5"/>
  <c r="K957" i="5"/>
  <c r="K989" i="5"/>
  <c r="K505" i="5"/>
  <c r="K117" i="5"/>
  <c r="K13" i="5"/>
  <c r="K1045" i="5"/>
  <c r="K1061" i="5"/>
  <c r="K1029" i="5"/>
  <c r="O905" i="5"/>
  <c r="K905" i="5"/>
  <c r="K773" i="5"/>
  <c r="K837" i="5"/>
  <c r="K805" i="5"/>
  <c r="K869" i="5"/>
  <c r="K757" i="5"/>
  <c r="K821" i="5"/>
  <c r="K885" i="5"/>
  <c r="K789" i="5"/>
  <c r="K853" i="5"/>
  <c r="K517" i="5"/>
  <c r="K533" i="5"/>
  <c r="K597" i="5"/>
  <c r="K549" i="5"/>
  <c r="K565" i="5"/>
  <c r="K613" i="5"/>
  <c r="K629" i="5"/>
  <c r="K645" i="5"/>
  <c r="K661" i="5"/>
  <c r="K677" i="5"/>
  <c r="K693" i="5"/>
  <c r="K581" i="5"/>
  <c r="K709" i="5"/>
  <c r="K725" i="5"/>
  <c r="K333" i="5"/>
  <c r="K932" i="5"/>
  <c r="K996" i="5"/>
  <c r="K904" i="5"/>
  <c r="K740" i="5"/>
  <c r="K836" i="5"/>
  <c r="K420" i="5"/>
  <c r="K120" i="5"/>
  <c r="K1072" i="5"/>
  <c r="K376" i="5"/>
  <c r="K292" i="5"/>
  <c r="K164" i="5"/>
  <c r="K1043" i="5"/>
  <c r="K1059" i="5"/>
  <c r="K1027" i="5"/>
  <c r="K959" i="5"/>
  <c r="K975" i="5"/>
  <c r="K991" i="5"/>
  <c r="K1007" i="5"/>
  <c r="K755" i="5"/>
  <c r="K771" i="5"/>
  <c r="K787" i="5"/>
  <c r="K803" i="5"/>
  <c r="K819" i="5"/>
  <c r="K835" i="5"/>
  <c r="K851" i="5"/>
  <c r="K867" i="5"/>
  <c r="K883" i="5"/>
  <c r="K523" i="5"/>
  <c r="K539" i="5"/>
  <c r="K587" i="5"/>
  <c r="K603" i="5"/>
  <c r="K619" i="5"/>
  <c r="K635" i="5"/>
  <c r="K651" i="5"/>
  <c r="K667" i="5"/>
  <c r="K683" i="5"/>
  <c r="K699" i="5"/>
  <c r="K715" i="5"/>
  <c r="K731" i="5"/>
  <c r="K555" i="5"/>
  <c r="K571" i="5"/>
  <c r="K343" i="5"/>
  <c r="K359" i="5"/>
  <c r="K375" i="5"/>
  <c r="K391" i="5"/>
  <c r="K407" i="5"/>
  <c r="K423" i="5"/>
  <c r="K439" i="5"/>
  <c r="K455" i="5"/>
  <c r="K471" i="5"/>
  <c r="K487" i="5"/>
  <c r="K115" i="5"/>
  <c r="K11" i="5"/>
  <c r="K986" i="5"/>
  <c r="K846" i="5"/>
  <c r="K886" i="5"/>
  <c r="K618" i="5"/>
  <c r="K610" i="5"/>
  <c r="K470" i="5"/>
  <c r="K98" i="5"/>
  <c r="K1062" i="5"/>
  <c r="K670" i="5"/>
  <c r="K1017" i="5"/>
  <c r="O901" i="5"/>
  <c r="K901" i="5"/>
  <c r="K349" i="5"/>
  <c r="K365" i="5"/>
  <c r="K381" i="5"/>
  <c r="K397" i="5"/>
  <c r="K413" i="5"/>
  <c r="K429" i="5"/>
  <c r="K445" i="5"/>
  <c r="K461" i="5"/>
  <c r="K477" i="5"/>
  <c r="K493" i="5"/>
  <c r="K320" i="5"/>
  <c r="K192" i="5"/>
  <c r="K280" i="5"/>
  <c r="K152" i="5"/>
  <c r="O12" i="5"/>
  <c r="K12" i="5"/>
  <c r="K749" i="5"/>
  <c r="K125" i="5"/>
  <c r="K5" i="5"/>
  <c r="K492" i="5"/>
  <c r="O8" i="5"/>
  <c r="K8" i="5"/>
  <c r="K980" i="5"/>
  <c r="K780" i="5"/>
  <c r="K820" i="5"/>
  <c r="K540" i="5"/>
  <c r="K580" i="5"/>
  <c r="K612" i="5"/>
  <c r="K404" i="5"/>
  <c r="M916" i="5"/>
  <c r="K916" i="5"/>
  <c r="K776" i="5"/>
  <c r="K512" i="5"/>
  <c r="K672" i="5"/>
  <c r="K544" i="5"/>
  <c r="K664" i="5"/>
  <c r="K536" i="5"/>
  <c r="K488" i="5"/>
  <c r="K360" i="5"/>
  <c r="K276" i="5"/>
  <c r="K148" i="5"/>
  <c r="K1023" i="5"/>
  <c r="K955" i="5"/>
  <c r="K971" i="5"/>
  <c r="K987" i="5"/>
  <c r="K1003" i="5"/>
  <c r="K923" i="5"/>
  <c r="K519" i="5"/>
  <c r="K535" i="5"/>
  <c r="K583" i="5"/>
  <c r="K599" i="5"/>
  <c r="K551" i="5"/>
  <c r="K567" i="5"/>
  <c r="K615" i="5"/>
  <c r="K631" i="5"/>
  <c r="K647" i="5"/>
  <c r="K663" i="5"/>
  <c r="K679" i="5"/>
  <c r="K695" i="5"/>
  <c r="K711" i="5"/>
  <c r="K727" i="5"/>
  <c r="K335" i="5"/>
  <c r="K139" i="5"/>
  <c r="K155" i="5"/>
  <c r="K171" i="5"/>
  <c r="K187" i="5"/>
  <c r="K203" i="5"/>
  <c r="K219" i="5"/>
  <c r="K235" i="5"/>
  <c r="K251" i="5"/>
  <c r="K267" i="5"/>
  <c r="K283" i="5"/>
  <c r="K299" i="5"/>
  <c r="K315" i="5"/>
  <c r="K3" i="5"/>
  <c r="K1019" i="5"/>
  <c r="K951" i="5"/>
  <c r="K967" i="5"/>
  <c r="K983" i="5"/>
  <c r="K999" i="5"/>
  <c r="K143" i="5"/>
  <c r="K159" i="5"/>
  <c r="K175" i="5"/>
  <c r="K191" i="5"/>
  <c r="K207" i="5"/>
  <c r="K223" i="5"/>
  <c r="K239" i="5"/>
  <c r="K255" i="5"/>
  <c r="K271" i="5"/>
  <c r="K287" i="5"/>
  <c r="K303" i="5"/>
  <c r="K319" i="5"/>
  <c r="K918" i="5"/>
  <c r="K830" i="5"/>
  <c r="K870" i="5"/>
  <c r="K730" i="5"/>
  <c r="K602" i="5"/>
  <c r="K722" i="5"/>
  <c r="K454" i="5"/>
  <c r="K82" i="5"/>
  <c r="K1010" i="5"/>
  <c r="K1046" i="5"/>
  <c r="K998" i="5"/>
  <c r="K922" i="5"/>
  <c r="K738" i="5"/>
  <c r="K834" i="5"/>
  <c r="K498" i="5"/>
  <c r="K334" i="5"/>
  <c r="K430" i="5"/>
  <c r="K941" i="5"/>
  <c r="K761" i="5"/>
  <c r="K777" i="5"/>
  <c r="K793" i="5"/>
  <c r="K809" i="5"/>
  <c r="K825" i="5"/>
  <c r="K841" i="5"/>
  <c r="K857" i="5"/>
  <c r="K873" i="5"/>
  <c r="K889" i="5"/>
  <c r="K521" i="5"/>
  <c r="K537" i="5"/>
  <c r="K553" i="5"/>
  <c r="K569" i="5"/>
  <c r="K585" i="5"/>
  <c r="K601" i="5"/>
  <c r="K617" i="5"/>
  <c r="K633" i="5"/>
  <c r="K649" i="5"/>
  <c r="K665" i="5"/>
  <c r="K681" i="5"/>
  <c r="K697" i="5"/>
  <c r="K713" i="5"/>
  <c r="K729" i="5"/>
  <c r="K341" i="5"/>
  <c r="K357" i="5"/>
  <c r="K373" i="5"/>
  <c r="K389" i="5"/>
  <c r="K405" i="5"/>
  <c r="K421" i="5"/>
  <c r="K437" i="5"/>
  <c r="K453" i="5"/>
  <c r="K469" i="5"/>
  <c r="K485" i="5"/>
  <c r="K137" i="5"/>
  <c r="K153" i="5"/>
  <c r="K169" i="5"/>
  <c r="K185" i="5"/>
  <c r="K201" i="5"/>
  <c r="K217" i="5"/>
  <c r="K233" i="5"/>
  <c r="K249" i="5"/>
  <c r="K265" i="5"/>
  <c r="K281" i="5"/>
  <c r="K297" i="5"/>
  <c r="K313" i="5"/>
  <c r="K9" i="5"/>
  <c r="O917" i="5"/>
  <c r="K917" i="5"/>
  <c r="K329" i="5"/>
  <c r="K924" i="5"/>
  <c r="K804" i="5"/>
  <c r="K332" i="5"/>
  <c r="K388" i="5"/>
  <c r="K1020" i="5"/>
  <c r="K472" i="5"/>
  <c r="K1015" i="5"/>
  <c r="K943" i="5"/>
  <c r="K947" i="5"/>
  <c r="K963" i="5"/>
  <c r="K979" i="5"/>
  <c r="K995" i="5"/>
  <c r="K747" i="5"/>
  <c r="K135" i="5"/>
  <c r="K151" i="5"/>
  <c r="K167" i="5"/>
  <c r="K183" i="5"/>
  <c r="K199" i="5"/>
  <c r="K215" i="5"/>
  <c r="K231" i="5"/>
  <c r="K247" i="5"/>
  <c r="K263" i="5"/>
  <c r="K279" i="5"/>
  <c r="K295" i="5"/>
  <c r="K311" i="5"/>
  <c r="K31" i="5"/>
  <c r="K47" i="5"/>
  <c r="K63" i="5"/>
  <c r="K79" i="5"/>
  <c r="K95" i="5"/>
  <c r="K111" i="5"/>
  <c r="K911" i="5"/>
  <c r="K511" i="5"/>
  <c r="K131" i="5"/>
  <c r="K147" i="5"/>
  <c r="K163" i="5"/>
  <c r="K179" i="5"/>
  <c r="K195" i="5"/>
  <c r="K211" i="5"/>
  <c r="K227" i="5"/>
  <c r="K243" i="5"/>
  <c r="K259" i="5"/>
  <c r="K275" i="5"/>
  <c r="K291" i="5"/>
  <c r="K307" i="5"/>
  <c r="K15" i="5"/>
  <c r="K814" i="5"/>
  <c r="K854" i="5"/>
  <c r="K714" i="5"/>
  <c r="K586" i="5"/>
  <c r="K706" i="5"/>
  <c r="K578" i="5"/>
  <c r="K438" i="5"/>
  <c r="K66" i="5"/>
  <c r="K966" i="5"/>
  <c r="K818" i="5"/>
  <c r="K414" i="5"/>
  <c r="K1033" i="5"/>
  <c r="K1049" i="5"/>
  <c r="K1065" i="5"/>
  <c r="K925" i="5"/>
  <c r="K288" i="5"/>
  <c r="K160" i="5"/>
  <c r="K1021" i="5"/>
  <c r="K745" i="5"/>
  <c r="K121" i="5"/>
  <c r="K29" i="5"/>
  <c r="K45" i="5"/>
  <c r="K61" i="5"/>
  <c r="K77" i="5"/>
  <c r="K93" i="5"/>
  <c r="K109" i="5"/>
  <c r="K116" i="5"/>
  <c r="K1024" i="5"/>
  <c r="K788" i="5"/>
  <c r="K372" i="5"/>
  <c r="K944" i="5"/>
  <c r="K908" i="5"/>
  <c r="O752" i="5"/>
  <c r="K752" i="5"/>
  <c r="K832" i="5"/>
  <c r="K504" i="5"/>
  <c r="K632" i="5"/>
  <c r="K456" i="5"/>
  <c r="K244" i="5"/>
  <c r="K907" i="5"/>
  <c r="K915" i="5"/>
  <c r="K507" i="5"/>
  <c r="K327" i="5"/>
  <c r="K23" i="5"/>
  <c r="K39" i="5"/>
  <c r="K55" i="5"/>
  <c r="K71" i="5"/>
  <c r="K87" i="5"/>
  <c r="K103" i="5"/>
  <c r="K1031" i="5"/>
  <c r="K1047" i="5"/>
  <c r="K1063" i="5"/>
  <c r="K751" i="5"/>
  <c r="K7" i="5"/>
  <c r="K1038" i="5"/>
  <c r="K942" i="5"/>
  <c r="K746" i="5"/>
  <c r="K798" i="5"/>
  <c r="K838" i="5"/>
  <c r="K698" i="5"/>
  <c r="K570" i="5"/>
  <c r="K690" i="5"/>
  <c r="K562" i="5"/>
  <c r="K330" i="5"/>
  <c r="K50" i="5"/>
  <c r="K906" i="5"/>
  <c r="K914" i="5"/>
  <c r="K802" i="5"/>
  <c r="K542" i="5"/>
  <c r="K622" i="5"/>
  <c r="K326" i="5"/>
  <c r="K398" i="5"/>
  <c r="K10" i="5"/>
  <c r="K58" i="5"/>
  <c r="K937" i="5"/>
  <c r="K25" i="5"/>
  <c r="K41" i="5"/>
  <c r="K57" i="5"/>
  <c r="K73" i="5"/>
  <c r="K89" i="5"/>
  <c r="K105" i="5"/>
  <c r="K272" i="5"/>
  <c r="K232" i="5"/>
  <c r="K96" i="5"/>
  <c r="K953" i="5"/>
  <c r="K969" i="5"/>
  <c r="K985" i="5"/>
  <c r="K1001" i="5"/>
  <c r="K345" i="5"/>
  <c r="K361" i="5"/>
  <c r="K377" i="5"/>
  <c r="K393" i="5"/>
  <c r="K409" i="5"/>
  <c r="K425" i="5"/>
  <c r="K441" i="5"/>
  <c r="K457" i="5"/>
  <c r="K473" i="5"/>
  <c r="K489" i="5"/>
  <c r="K21" i="5"/>
  <c r="K37" i="5"/>
  <c r="K53" i="5"/>
  <c r="K69" i="5"/>
  <c r="K85" i="5"/>
  <c r="K101" i="5"/>
  <c r="K444" i="5"/>
  <c r="M948" i="5"/>
  <c r="K920" i="5"/>
  <c r="K772" i="5"/>
  <c r="K508" i="5"/>
  <c r="K700" i="5"/>
  <c r="K588" i="5"/>
  <c r="K692" i="5"/>
  <c r="K484" i="5"/>
  <c r="K356" i="5"/>
  <c r="K92" i="5"/>
  <c r="K1016" i="5"/>
  <c r="K816" i="5"/>
  <c r="K616" i="5"/>
  <c r="K440" i="5"/>
  <c r="K228" i="5"/>
  <c r="K1011" i="5"/>
  <c r="K939" i="5"/>
  <c r="K743" i="5"/>
  <c r="K35" i="5"/>
  <c r="K51" i="5"/>
  <c r="K67" i="5"/>
  <c r="K83" i="5"/>
  <c r="K99" i="5"/>
  <c r="K19" i="5"/>
  <c r="K899" i="5"/>
  <c r="K499" i="5"/>
  <c r="K331" i="5"/>
  <c r="K27" i="5"/>
  <c r="K43" i="5"/>
  <c r="K59" i="5"/>
  <c r="K75" i="5"/>
  <c r="K91" i="5"/>
  <c r="K107" i="5"/>
  <c r="K782" i="5"/>
  <c r="K822" i="5"/>
  <c r="K682" i="5"/>
  <c r="K554" i="5"/>
  <c r="K674" i="5"/>
  <c r="K546" i="5"/>
  <c r="K406" i="5"/>
  <c r="K34" i="5"/>
  <c r="K1022" i="5"/>
  <c r="K786" i="5"/>
  <c r="K734" i="5"/>
  <c r="K382" i="5"/>
  <c r="K42" i="5"/>
  <c r="O921" i="5"/>
  <c r="K921" i="5"/>
  <c r="K256" i="5"/>
  <c r="K216" i="5"/>
  <c r="K80" i="5"/>
  <c r="K1013" i="5"/>
  <c r="K965" i="5"/>
  <c r="K997" i="5"/>
  <c r="K949" i="5"/>
  <c r="K981" i="5"/>
  <c r="K741" i="5"/>
  <c r="K501" i="5"/>
  <c r="K141" i="5"/>
  <c r="K157" i="5"/>
  <c r="K173" i="5"/>
  <c r="K189" i="5"/>
  <c r="K205" i="5"/>
  <c r="K221" i="5"/>
  <c r="K237" i="5"/>
  <c r="K253" i="5"/>
  <c r="K269" i="5"/>
  <c r="K285" i="5"/>
  <c r="K301" i="5"/>
  <c r="K317" i="5"/>
  <c r="K428" i="5"/>
  <c r="K884" i="5"/>
  <c r="K684" i="5"/>
  <c r="K572" i="5"/>
  <c r="K676" i="5"/>
  <c r="K468" i="5"/>
  <c r="K76" i="5"/>
  <c r="K1068" i="5"/>
  <c r="K936" i="5"/>
  <c r="K1000" i="5"/>
  <c r="O900" i="5"/>
  <c r="K900" i="5"/>
  <c r="K744" i="5"/>
  <c r="K800" i="5"/>
  <c r="K840" i="5"/>
  <c r="K728" i="5"/>
  <c r="K600" i="5"/>
  <c r="K424" i="5"/>
  <c r="K124" i="5"/>
  <c r="K212" i="5"/>
  <c r="O4" i="5"/>
  <c r="K4" i="5"/>
  <c r="K903" i="5"/>
  <c r="K503" i="5"/>
  <c r="K323" i="5"/>
  <c r="K127" i="5"/>
  <c r="K6" i="5"/>
  <c r="K739" i="5"/>
  <c r="K351" i="5"/>
  <c r="K367" i="5"/>
  <c r="K383" i="5"/>
  <c r="K399" i="5"/>
  <c r="K415" i="5"/>
  <c r="K431" i="5"/>
  <c r="K447" i="5"/>
  <c r="K463" i="5"/>
  <c r="K479" i="5"/>
  <c r="K495" i="5"/>
  <c r="K102" i="5"/>
  <c r="K930" i="5"/>
  <c r="K910" i="5"/>
  <c r="K806" i="5"/>
  <c r="K666" i="5"/>
  <c r="K538" i="5"/>
  <c r="K658" i="5"/>
  <c r="K530" i="5"/>
  <c r="K322" i="5"/>
  <c r="K390" i="5"/>
  <c r="K14" i="5"/>
  <c r="M98" i="5"/>
  <c r="K938" i="5"/>
  <c r="K902" i="5"/>
  <c r="K750" i="5"/>
  <c r="K770" i="5"/>
  <c r="K510" i="5"/>
  <c r="K718" i="5"/>
  <c r="K590" i="5"/>
  <c r="K494" i="5"/>
  <c r="K366" i="5"/>
  <c r="K933" i="5"/>
  <c r="K509" i="5"/>
  <c r="K240" i="5"/>
  <c r="K200" i="5"/>
  <c r="K64" i="5"/>
  <c r="K909" i="5"/>
  <c r="K133" i="5"/>
  <c r="K149" i="5"/>
  <c r="K165" i="5"/>
  <c r="K181" i="5"/>
  <c r="K197" i="5"/>
  <c r="K213" i="5"/>
  <c r="K229" i="5"/>
  <c r="K245" i="5"/>
  <c r="K261" i="5"/>
  <c r="K277" i="5"/>
  <c r="K293" i="5"/>
  <c r="K309" i="5"/>
  <c r="K412" i="5"/>
  <c r="K940" i="5"/>
  <c r="O912" i="5"/>
  <c r="K912" i="5"/>
  <c r="K748" i="5"/>
  <c r="K828" i="5"/>
  <c r="K868" i="5"/>
  <c r="K500" i="5"/>
  <c r="K660" i="5"/>
  <c r="K452" i="5"/>
  <c r="K60" i="5"/>
  <c r="K1012" i="5"/>
  <c r="K1052" i="5"/>
  <c r="K784" i="5"/>
  <c r="K712" i="5"/>
  <c r="K584" i="5"/>
  <c r="K408" i="5"/>
  <c r="K196" i="5"/>
  <c r="K1039" i="5"/>
  <c r="K1055" i="5"/>
  <c r="K1071" i="5"/>
  <c r="K931" i="5"/>
  <c r="K767" i="5"/>
  <c r="K783" i="5"/>
  <c r="K799" i="5"/>
  <c r="K815" i="5"/>
  <c r="K831" i="5"/>
  <c r="K847" i="5"/>
  <c r="K863" i="5"/>
  <c r="K879" i="5"/>
  <c r="K895" i="5"/>
  <c r="K119" i="5"/>
  <c r="K919" i="5"/>
  <c r="K515" i="5"/>
  <c r="K531" i="5"/>
  <c r="K547" i="5"/>
  <c r="K563" i="5"/>
  <c r="K611" i="5"/>
  <c r="K627" i="5"/>
  <c r="K643" i="5"/>
  <c r="K659" i="5"/>
  <c r="K675" i="5"/>
  <c r="K691" i="5"/>
  <c r="K707" i="5"/>
  <c r="K723" i="5"/>
  <c r="K579" i="5"/>
  <c r="K595" i="5"/>
  <c r="K339" i="5"/>
  <c r="K355" i="5"/>
  <c r="K371" i="5"/>
  <c r="K387" i="5"/>
  <c r="K403" i="5"/>
  <c r="K419" i="5"/>
  <c r="K435" i="5"/>
  <c r="K451" i="5"/>
  <c r="K467" i="5"/>
  <c r="K483" i="5"/>
  <c r="K1058" i="5"/>
  <c r="K878" i="5"/>
  <c r="K790" i="5"/>
  <c r="K650" i="5"/>
  <c r="K642" i="5"/>
  <c r="K374" i="5"/>
  <c r="I909" i="5"/>
  <c r="I925" i="5"/>
  <c r="I1018" i="5"/>
  <c r="I1034" i="5"/>
  <c r="I1050" i="5"/>
  <c r="I1066" i="5"/>
  <c r="I945" i="5"/>
  <c r="I961" i="5"/>
  <c r="I977" i="5"/>
  <c r="I993" i="5"/>
  <c r="I1009" i="5"/>
  <c r="I913" i="5"/>
  <c r="I929" i="5"/>
  <c r="I745" i="5"/>
  <c r="I761" i="5"/>
  <c r="I777" i="5"/>
  <c r="I793" i="5"/>
  <c r="I809" i="5"/>
  <c r="I825" i="5"/>
  <c r="I841" i="5"/>
  <c r="I857" i="5"/>
  <c r="I873" i="5"/>
  <c r="I889" i="5"/>
  <c r="I940" i="5"/>
  <c r="I956" i="5"/>
  <c r="I972" i="5"/>
  <c r="I988" i="5"/>
  <c r="I1004" i="5"/>
  <c r="I512" i="5"/>
  <c r="I528" i="5"/>
  <c r="I544" i="5"/>
  <c r="I560" i="5"/>
  <c r="I576" i="5"/>
  <c r="I592" i="5"/>
  <c r="I608" i="5"/>
  <c r="I624" i="5"/>
  <c r="I672" i="5"/>
  <c r="I736" i="5"/>
  <c r="I640" i="5"/>
  <c r="I688" i="5"/>
  <c r="I704" i="5"/>
  <c r="I656" i="5"/>
  <c r="I720" i="5"/>
  <c r="I943" i="5"/>
  <c r="I959" i="5"/>
  <c r="I975" i="5"/>
  <c r="I991" i="5"/>
  <c r="I1007" i="5"/>
  <c r="I1014" i="5"/>
  <c r="I1030" i="5"/>
  <c r="I1046" i="5"/>
  <c r="I1062" i="5"/>
  <c r="I758" i="5"/>
  <c r="I774" i="5"/>
  <c r="I790" i="5"/>
  <c r="I806" i="5"/>
  <c r="I822" i="5"/>
  <c r="I838" i="5"/>
  <c r="I854" i="5"/>
  <c r="I870" i="5"/>
  <c r="I886" i="5"/>
  <c r="I742" i="5"/>
  <c r="I1013" i="5"/>
  <c r="I1029" i="5"/>
  <c r="I1045" i="5"/>
  <c r="I1061" i="5"/>
  <c r="I937" i="5"/>
  <c r="I953" i="5"/>
  <c r="I969" i="5"/>
  <c r="I985" i="5"/>
  <c r="I1001" i="5"/>
  <c r="I905" i="5"/>
  <c r="I921" i="5"/>
  <c r="I513" i="5"/>
  <c r="I529" i="5"/>
  <c r="I545" i="5"/>
  <c r="I561" i="5"/>
  <c r="I577" i="5"/>
  <c r="I593" i="5"/>
  <c r="I609" i="5"/>
  <c r="I625" i="5"/>
  <c r="I673" i="5"/>
  <c r="I737" i="5"/>
  <c r="I641" i="5"/>
  <c r="I689" i="5"/>
  <c r="I705" i="5"/>
  <c r="I657" i="5"/>
  <c r="I721" i="5"/>
  <c r="I325" i="5"/>
  <c r="I341" i="5"/>
  <c r="I357" i="5"/>
  <c r="I373" i="5"/>
  <c r="I389" i="5"/>
  <c r="I405" i="5"/>
  <c r="I421" i="5"/>
  <c r="I437" i="5"/>
  <c r="I453" i="5"/>
  <c r="I469" i="5"/>
  <c r="I485" i="5"/>
  <c r="I93" i="5"/>
  <c r="I109" i="5"/>
  <c r="I13" i="5"/>
  <c r="I61" i="5"/>
  <c r="I77" i="5"/>
  <c r="I29" i="5"/>
  <c r="I45" i="5"/>
  <c r="I84" i="5"/>
  <c r="I100" i="5"/>
  <c r="I4" i="5"/>
  <c r="I20" i="5"/>
  <c r="I52" i="5"/>
  <c r="I68" i="5"/>
  <c r="I36" i="5"/>
  <c r="I933" i="5"/>
  <c r="I949" i="5"/>
  <c r="I965" i="5"/>
  <c r="I981" i="5"/>
  <c r="I997" i="5"/>
  <c r="I901" i="5"/>
  <c r="I917" i="5"/>
  <c r="I765" i="5"/>
  <c r="I781" i="5"/>
  <c r="I797" i="5"/>
  <c r="I813" i="5"/>
  <c r="I829" i="5"/>
  <c r="I845" i="5"/>
  <c r="I861" i="5"/>
  <c r="I877" i="5"/>
  <c r="I893" i="5"/>
  <c r="I749" i="5"/>
  <c r="I329" i="5"/>
  <c r="I345" i="5"/>
  <c r="I361" i="5"/>
  <c r="I377" i="5"/>
  <c r="I393" i="5"/>
  <c r="I409" i="5"/>
  <c r="I425" i="5"/>
  <c r="I441" i="5"/>
  <c r="I457" i="5"/>
  <c r="I473" i="5"/>
  <c r="I489" i="5"/>
  <c r="I936" i="5"/>
  <c r="I952" i="5"/>
  <c r="I968" i="5"/>
  <c r="I984" i="5"/>
  <c r="I1000" i="5"/>
  <c r="I904" i="5"/>
  <c r="I920" i="5"/>
  <c r="I760" i="5"/>
  <c r="I776" i="5"/>
  <c r="I792" i="5"/>
  <c r="I808" i="5"/>
  <c r="I824" i="5"/>
  <c r="I840" i="5"/>
  <c r="I856" i="5"/>
  <c r="I872" i="5"/>
  <c r="I888" i="5"/>
  <c r="I744" i="5"/>
  <c r="I324" i="5"/>
  <c r="I340" i="5"/>
  <c r="I356" i="5"/>
  <c r="I372" i="5"/>
  <c r="I388" i="5"/>
  <c r="I404" i="5"/>
  <c r="I420" i="5"/>
  <c r="I436" i="5"/>
  <c r="I452" i="5"/>
  <c r="I468" i="5"/>
  <c r="I484" i="5"/>
  <c r="I1024" i="5"/>
  <c r="I1040" i="5"/>
  <c r="I1056" i="5"/>
  <c r="I1072" i="5"/>
  <c r="I504" i="5"/>
  <c r="I520" i="5"/>
  <c r="I536" i="5"/>
  <c r="I552" i="5"/>
  <c r="I568" i="5"/>
  <c r="I584" i="5"/>
  <c r="I600" i="5"/>
  <c r="I616" i="5"/>
  <c r="I632" i="5"/>
  <c r="I712" i="5"/>
  <c r="I664" i="5"/>
  <c r="I728" i="5"/>
  <c r="I648" i="5"/>
  <c r="I680" i="5"/>
  <c r="I696" i="5"/>
  <c r="I1011" i="5"/>
  <c r="I1027" i="5"/>
  <c r="I1043" i="5"/>
  <c r="I1059" i="5"/>
  <c r="I935" i="5"/>
  <c r="I951" i="5"/>
  <c r="I967" i="5"/>
  <c r="I983" i="5"/>
  <c r="I999" i="5"/>
  <c r="I911" i="5"/>
  <c r="I927" i="5"/>
  <c r="I739" i="5"/>
  <c r="I755" i="5"/>
  <c r="I771" i="5"/>
  <c r="I787" i="5"/>
  <c r="I803" i="5"/>
  <c r="I819" i="5"/>
  <c r="I835" i="5"/>
  <c r="I851" i="5"/>
  <c r="I867" i="5"/>
  <c r="I883" i="5"/>
  <c r="I87" i="5"/>
  <c r="I103" i="5"/>
  <c r="I7" i="5"/>
  <c r="I23" i="5"/>
  <c r="I55" i="5"/>
  <c r="I71" i="5"/>
  <c r="I39" i="5"/>
  <c r="I511" i="5"/>
  <c r="I527" i="5"/>
  <c r="I543" i="5"/>
  <c r="I559" i="5"/>
  <c r="I575" i="5"/>
  <c r="I591" i="5"/>
  <c r="I607" i="5"/>
  <c r="I623" i="5"/>
  <c r="I639" i="5"/>
  <c r="I655" i="5"/>
  <c r="I735" i="5"/>
  <c r="I687" i="5"/>
  <c r="I703" i="5"/>
  <c r="I719" i="5"/>
  <c r="I671" i="5"/>
  <c r="I335" i="5"/>
  <c r="I351" i="5"/>
  <c r="I367" i="5"/>
  <c r="I383" i="5"/>
  <c r="I399" i="5"/>
  <c r="I415" i="5"/>
  <c r="I431" i="5"/>
  <c r="I447" i="5"/>
  <c r="I463" i="5"/>
  <c r="I479" i="5"/>
  <c r="I495" i="5"/>
  <c r="I119" i="5"/>
  <c r="I135" i="5"/>
  <c r="I151" i="5"/>
  <c r="I167" i="5"/>
  <c r="I183" i="5"/>
  <c r="I199" i="5"/>
  <c r="I215" i="5"/>
  <c r="I231" i="5"/>
  <c r="I247" i="5"/>
  <c r="I263" i="5"/>
  <c r="I279" i="5"/>
  <c r="I295" i="5"/>
  <c r="I311" i="5"/>
  <c r="I934" i="5"/>
  <c r="I950" i="5"/>
  <c r="I966" i="5"/>
  <c r="I982" i="5"/>
  <c r="I998" i="5"/>
  <c r="I906" i="5"/>
  <c r="I922" i="5"/>
  <c r="I510" i="5"/>
  <c r="I526" i="5"/>
  <c r="I542" i="5"/>
  <c r="I558" i="5"/>
  <c r="I574" i="5"/>
  <c r="I590" i="5"/>
  <c r="I606" i="5"/>
  <c r="I622" i="5"/>
  <c r="I638" i="5"/>
  <c r="I654" i="5"/>
  <c r="I686" i="5"/>
  <c r="I702" i="5"/>
  <c r="I718" i="5"/>
  <c r="I670" i="5"/>
  <c r="I734" i="5"/>
  <c r="I330" i="5"/>
  <c r="I346" i="5"/>
  <c r="I362" i="5"/>
  <c r="I378" i="5"/>
  <c r="I394" i="5"/>
  <c r="I410" i="5"/>
  <c r="I426" i="5"/>
  <c r="I442" i="5"/>
  <c r="I458" i="5"/>
  <c r="I474" i="5"/>
  <c r="I490" i="5"/>
  <c r="I126" i="5"/>
  <c r="I142" i="5"/>
  <c r="I158" i="5"/>
  <c r="I174" i="5"/>
  <c r="I190" i="5"/>
  <c r="I206" i="5"/>
  <c r="I222" i="5"/>
  <c r="I238" i="5"/>
  <c r="I254" i="5"/>
  <c r="I270" i="5"/>
  <c r="I286" i="5"/>
  <c r="I302" i="5"/>
  <c r="I318" i="5"/>
  <c r="I82" i="5"/>
  <c r="I98" i="5"/>
  <c r="I50" i="5"/>
  <c r="I66" i="5"/>
  <c r="I34" i="5"/>
  <c r="I2" i="5"/>
  <c r="I18" i="5"/>
  <c r="I1017" i="5"/>
  <c r="I1033" i="5"/>
  <c r="I1049" i="5"/>
  <c r="I1065" i="5"/>
  <c r="I92" i="5"/>
  <c r="I108" i="5"/>
  <c r="I12" i="5"/>
  <c r="I60" i="5"/>
  <c r="I76" i="5"/>
  <c r="I28" i="5"/>
  <c r="I44" i="5"/>
  <c r="I766" i="5"/>
  <c r="I782" i="5"/>
  <c r="I798" i="5"/>
  <c r="I814" i="5"/>
  <c r="I830" i="5"/>
  <c r="I846" i="5"/>
  <c r="I862" i="5"/>
  <c r="I878" i="5"/>
  <c r="I894" i="5"/>
  <c r="I750" i="5"/>
  <c r="I941" i="5"/>
  <c r="I957" i="5"/>
  <c r="I973" i="5"/>
  <c r="I989" i="5"/>
  <c r="I1005" i="5"/>
  <c r="I337" i="5"/>
  <c r="I353" i="5"/>
  <c r="I369" i="5"/>
  <c r="I385" i="5"/>
  <c r="I401" i="5"/>
  <c r="I417" i="5"/>
  <c r="I433" i="5"/>
  <c r="I449" i="5"/>
  <c r="I465" i="5"/>
  <c r="I481" i="5"/>
  <c r="I497" i="5"/>
  <c r="I89" i="5"/>
  <c r="I105" i="5"/>
  <c r="I25" i="5"/>
  <c r="I41" i="5"/>
  <c r="I9" i="5"/>
  <c r="I57" i="5"/>
  <c r="I73" i="5"/>
  <c r="I116" i="5"/>
  <c r="I132" i="5"/>
  <c r="I148" i="5"/>
  <c r="I164" i="5"/>
  <c r="I180" i="5"/>
  <c r="I196" i="5"/>
  <c r="I212" i="5"/>
  <c r="I228" i="5"/>
  <c r="I244" i="5"/>
  <c r="I260" i="5"/>
  <c r="I276" i="5"/>
  <c r="I292" i="5"/>
  <c r="I308" i="5"/>
  <c r="I912" i="5"/>
  <c r="I928" i="5"/>
  <c r="I1012" i="5"/>
  <c r="I1028" i="5"/>
  <c r="I1044" i="5"/>
  <c r="I1060" i="5"/>
  <c r="I910" i="5"/>
  <c r="I926" i="5"/>
  <c r="I506" i="5"/>
  <c r="I522" i="5"/>
  <c r="I538" i="5"/>
  <c r="I554" i="5"/>
  <c r="I570" i="5"/>
  <c r="I586" i="5"/>
  <c r="I602" i="5"/>
  <c r="I618" i="5"/>
  <c r="I634" i="5"/>
  <c r="I650" i="5"/>
  <c r="I666" i="5"/>
  <c r="I682" i="5"/>
  <c r="I698" i="5"/>
  <c r="I714" i="5"/>
  <c r="I730" i="5"/>
  <c r="I334" i="5"/>
  <c r="I350" i="5"/>
  <c r="I366" i="5"/>
  <c r="I382" i="5"/>
  <c r="I398" i="5"/>
  <c r="I414" i="5"/>
  <c r="I430" i="5"/>
  <c r="I446" i="5"/>
  <c r="I462" i="5"/>
  <c r="I478" i="5"/>
  <c r="I494" i="5"/>
  <c r="I908" i="5"/>
  <c r="I924" i="5"/>
  <c r="I128" i="5"/>
  <c r="I144" i="5"/>
  <c r="I160" i="5"/>
  <c r="I176" i="5"/>
  <c r="I192" i="5"/>
  <c r="I208" i="5"/>
  <c r="I224" i="5"/>
  <c r="I240" i="5"/>
  <c r="I256" i="5"/>
  <c r="I272" i="5"/>
  <c r="I288" i="5"/>
  <c r="I304" i="5"/>
  <c r="I320" i="5"/>
  <c r="I903" i="5"/>
  <c r="I919" i="5"/>
  <c r="I127" i="5"/>
  <c r="I143" i="5"/>
  <c r="I159" i="5"/>
  <c r="I175" i="5"/>
  <c r="I191" i="5"/>
  <c r="I207" i="5"/>
  <c r="I223" i="5"/>
  <c r="I239" i="5"/>
  <c r="I255" i="5"/>
  <c r="I271" i="5"/>
  <c r="I287" i="5"/>
  <c r="I303" i="5"/>
  <c r="I319" i="5"/>
  <c r="I83" i="5"/>
  <c r="I99" i="5"/>
  <c r="I51" i="5"/>
  <c r="I67" i="5"/>
  <c r="I35" i="5"/>
  <c r="I3" i="5"/>
  <c r="I19" i="5"/>
  <c r="I1023" i="5"/>
  <c r="I1039" i="5"/>
  <c r="I1055" i="5"/>
  <c r="I1071" i="5"/>
  <c r="I907" i="5"/>
  <c r="I923" i="5"/>
  <c r="I323" i="5"/>
  <c r="I339" i="5"/>
  <c r="I355" i="5"/>
  <c r="I371" i="5"/>
  <c r="I387" i="5"/>
  <c r="I403" i="5"/>
  <c r="I419" i="5"/>
  <c r="I435" i="5"/>
  <c r="I451" i="5"/>
  <c r="I467" i="5"/>
  <c r="I483" i="5"/>
  <c r="I902" i="5"/>
  <c r="I918" i="5"/>
  <c r="I502" i="5"/>
  <c r="I518" i="5"/>
  <c r="I534" i="5"/>
  <c r="I550" i="5"/>
  <c r="I566" i="5"/>
  <c r="I582" i="5"/>
  <c r="I598" i="5"/>
  <c r="I614" i="5"/>
  <c r="I630" i="5"/>
  <c r="I646" i="5"/>
  <c r="I662" i="5"/>
  <c r="I726" i="5"/>
  <c r="I678" i="5"/>
  <c r="I694" i="5"/>
  <c r="I710" i="5"/>
  <c r="I326" i="5"/>
  <c r="I342" i="5"/>
  <c r="I358" i="5"/>
  <c r="I374" i="5"/>
  <c r="I390" i="5"/>
  <c r="I406" i="5"/>
  <c r="I422" i="5"/>
  <c r="I438" i="5"/>
  <c r="I454" i="5"/>
  <c r="I470" i="5"/>
  <c r="I486" i="5"/>
  <c r="I118" i="5"/>
  <c r="I134" i="5"/>
  <c r="I150" i="5"/>
  <c r="I166" i="5"/>
  <c r="I182" i="5"/>
  <c r="I198" i="5"/>
  <c r="I214" i="5"/>
  <c r="I230" i="5"/>
  <c r="I246" i="5"/>
  <c r="I262" i="5"/>
  <c r="I278" i="5"/>
  <c r="I294" i="5"/>
  <c r="I310" i="5"/>
  <c r="I930" i="5"/>
  <c r="I946" i="5"/>
  <c r="I962" i="5"/>
  <c r="I978" i="5"/>
  <c r="I994" i="5"/>
  <c r="I768" i="5"/>
  <c r="I784" i="5"/>
  <c r="I800" i="5"/>
  <c r="I816" i="5"/>
  <c r="I832" i="5"/>
  <c r="I848" i="5"/>
  <c r="I864" i="5"/>
  <c r="I880" i="5"/>
  <c r="I896" i="5"/>
  <c r="I752" i="5"/>
  <c r="I332" i="5"/>
  <c r="I348" i="5"/>
  <c r="I364" i="5"/>
  <c r="I380" i="5"/>
  <c r="I396" i="5"/>
  <c r="I412" i="5"/>
  <c r="I428" i="5"/>
  <c r="I444" i="5"/>
  <c r="I460" i="5"/>
  <c r="I476" i="5"/>
  <c r="I492" i="5"/>
  <c r="I1022" i="5"/>
  <c r="I1038" i="5"/>
  <c r="I1054" i="5"/>
  <c r="I1070" i="5"/>
  <c r="I938" i="5"/>
  <c r="I954" i="5"/>
  <c r="I970" i="5"/>
  <c r="I986" i="5"/>
  <c r="I1002" i="5"/>
  <c r="I898" i="5"/>
  <c r="I914" i="5"/>
  <c r="I322" i="5"/>
  <c r="I338" i="5"/>
  <c r="I354" i="5"/>
  <c r="I370" i="5"/>
  <c r="I386" i="5"/>
  <c r="I402" i="5"/>
  <c r="I418" i="5"/>
  <c r="I434" i="5"/>
  <c r="I450" i="5"/>
  <c r="I466" i="5"/>
  <c r="I482" i="5"/>
  <c r="I1021" i="5"/>
  <c r="I1037" i="5"/>
  <c r="I1053" i="5"/>
  <c r="I1069" i="5"/>
  <c r="I769" i="5"/>
  <c r="I785" i="5"/>
  <c r="I801" i="5"/>
  <c r="I817" i="5"/>
  <c r="I833" i="5"/>
  <c r="I849" i="5"/>
  <c r="I865" i="5"/>
  <c r="I881" i="5"/>
  <c r="I897" i="5"/>
  <c r="I753" i="5"/>
  <c r="I501" i="5"/>
  <c r="I517" i="5"/>
  <c r="I533" i="5"/>
  <c r="I549" i="5"/>
  <c r="I565" i="5"/>
  <c r="I581" i="5"/>
  <c r="I597" i="5"/>
  <c r="I613" i="5"/>
  <c r="I629" i="5"/>
  <c r="I645" i="5"/>
  <c r="I661" i="5"/>
  <c r="I725" i="5"/>
  <c r="I677" i="5"/>
  <c r="I693" i="5"/>
  <c r="I709" i="5"/>
  <c r="I121" i="5"/>
  <c r="I137" i="5"/>
  <c r="I153" i="5"/>
  <c r="I169" i="5"/>
  <c r="I185" i="5"/>
  <c r="I201" i="5"/>
  <c r="I217" i="5"/>
  <c r="I233" i="5"/>
  <c r="I249" i="5"/>
  <c r="I265" i="5"/>
  <c r="I281" i="5"/>
  <c r="I297" i="5"/>
  <c r="I313" i="5"/>
  <c r="I505" i="5"/>
  <c r="I521" i="5"/>
  <c r="I537" i="5"/>
  <c r="I553" i="5"/>
  <c r="I569" i="5"/>
  <c r="I585" i="5"/>
  <c r="I601" i="5"/>
  <c r="I617" i="5"/>
  <c r="I697" i="5"/>
  <c r="I633" i="5"/>
  <c r="I713" i="5"/>
  <c r="I665" i="5"/>
  <c r="I729" i="5"/>
  <c r="I649" i="5"/>
  <c r="I681" i="5"/>
  <c r="I117" i="5"/>
  <c r="I133" i="5"/>
  <c r="I149" i="5"/>
  <c r="I165" i="5"/>
  <c r="I181" i="5"/>
  <c r="I197" i="5"/>
  <c r="I213" i="5"/>
  <c r="I229" i="5"/>
  <c r="I245" i="5"/>
  <c r="I261" i="5"/>
  <c r="I277" i="5"/>
  <c r="I293" i="5"/>
  <c r="I309" i="5"/>
  <c r="I97" i="5"/>
  <c r="I113" i="5"/>
  <c r="I33" i="5"/>
  <c r="I17" i="5"/>
  <c r="I49" i="5"/>
  <c r="I65" i="5"/>
  <c r="I81" i="5"/>
  <c r="I124" i="5"/>
  <c r="I140" i="5"/>
  <c r="I156" i="5"/>
  <c r="I172" i="5"/>
  <c r="I188" i="5"/>
  <c r="I204" i="5"/>
  <c r="I220" i="5"/>
  <c r="I236" i="5"/>
  <c r="I252" i="5"/>
  <c r="I268" i="5"/>
  <c r="I284" i="5"/>
  <c r="I300" i="5"/>
  <c r="I316" i="5"/>
  <c r="I500" i="5"/>
  <c r="I516" i="5"/>
  <c r="I532" i="5"/>
  <c r="I548" i="5"/>
  <c r="I564" i="5"/>
  <c r="I580" i="5"/>
  <c r="I596" i="5"/>
  <c r="I612" i="5"/>
  <c r="I628" i="5"/>
  <c r="I644" i="5"/>
  <c r="I660" i="5"/>
  <c r="I676" i="5"/>
  <c r="I692" i="5"/>
  <c r="I708" i="5"/>
  <c r="I724" i="5"/>
  <c r="I1016" i="5"/>
  <c r="I1032" i="5"/>
  <c r="I1048" i="5"/>
  <c r="I1064" i="5"/>
  <c r="I932" i="5"/>
  <c r="I948" i="5"/>
  <c r="I964" i="5"/>
  <c r="I980" i="5"/>
  <c r="I996" i="5"/>
  <c r="I900" i="5"/>
  <c r="I916" i="5"/>
  <c r="I740" i="5"/>
  <c r="I756" i="5"/>
  <c r="I772" i="5"/>
  <c r="I788" i="5"/>
  <c r="I804" i="5"/>
  <c r="I820" i="5"/>
  <c r="I836" i="5"/>
  <c r="I852" i="5"/>
  <c r="I868" i="5"/>
  <c r="I884" i="5"/>
  <c r="I328" i="5"/>
  <c r="I344" i="5"/>
  <c r="I360" i="5"/>
  <c r="I376" i="5"/>
  <c r="I392" i="5"/>
  <c r="I408" i="5"/>
  <c r="I424" i="5"/>
  <c r="I440" i="5"/>
  <c r="I456" i="5"/>
  <c r="I472" i="5"/>
  <c r="I488" i="5"/>
  <c r="I96" i="5"/>
  <c r="I112" i="5"/>
  <c r="I32" i="5"/>
  <c r="I16" i="5"/>
  <c r="I48" i="5"/>
  <c r="I64" i="5"/>
  <c r="I80" i="5"/>
  <c r="I767" i="5"/>
  <c r="I783" i="5"/>
  <c r="I799" i="5"/>
  <c r="I815" i="5"/>
  <c r="I831" i="5"/>
  <c r="I847" i="5"/>
  <c r="I863" i="5"/>
  <c r="I879" i="5"/>
  <c r="I895" i="5"/>
  <c r="I751" i="5"/>
  <c r="I503" i="5"/>
  <c r="I519" i="5"/>
  <c r="I535" i="5"/>
  <c r="I551" i="5"/>
  <c r="I567" i="5"/>
  <c r="I583" i="5"/>
  <c r="I599" i="5"/>
  <c r="I615" i="5"/>
  <c r="I631" i="5"/>
  <c r="I647" i="5"/>
  <c r="I711" i="5"/>
  <c r="I663" i="5"/>
  <c r="I727" i="5"/>
  <c r="I679" i="5"/>
  <c r="I695" i="5"/>
  <c r="I327" i="5"/>
  <c r="I343" i="5"/>
  <c r="I359" i="5"/>
  <c r="I375" i="5"/>
  <c r="I391" i="5"/>
  <c r="I407" i="5"/>
  <c r="I423" i="5"/>
  <c r="I439" i="5"/>
  <c r="I455" i="5"/>
  <c r="I471" i="5"/>
  <c r="I487" i="5"/>
  <c r="I123" i="5"/>
  <c r="I139" i="5"/>
  <c r="I155" i="5"/>
  <c r="I171" i="5"/>
  <c r="I187" i="5"/>
  <c r="I203" i="5"/>
  <c r="I219" i="5"/>
  <c r="I235" i="5"/>
  <c r="I251" i="5"/>
  <c r="I267" i="5"/>
  <c r="I283" i="5"/>
  <c r="I299" i="5"/>
  <c r="I315" i="5"/>
  <c r="I1019" i="5"/>
  <c r="I1035" i="5"/>
  <c r="I1051" i="5"/>
  <c r="I1067" i="5"/>
  <c r="I939" i="5"/>
  <c r="I955" i="5"/>
  <c r="I971" i="5"/>
  <c r="I987" i="5"/>
  <c r="I1003" i="5"/>
  <c r="I899" i="5"/>
  <c r="I915" i="5"/>
  <c r="I91" i="5"/>
  <c r="I107" i="5"/>
  <c r="I59" i="5"/>
  <c r="I75" i="5"/>
  <c r="I27" i="5"/>
  <c r="I43" i="5"/>
  <c r="I11" i="5"/>
  <c r="I746" i="5"/>
  <c r="I762" i="5"/>
  <c r="I778" i="5"/>
  <c r="I794" i="5"/>
  <c r="I810" i="5"/>
  <c r="I826" i="5"/>
  <c r="I842" i="5"/>
  <c r="I858" i="5"/>
  <c r="I874" i="5"/>
  <c r="I890" i="5"/>
  <c r="I498" i="5"/>
  <c r="I514" i="5"/>
  <c r="I530" i="5"/>
  <c r="I546" i="5"/>
  <c r="I562" i="5"/>
  <c r="I578" i="5"/>
  <c r="I594" i="5"/>
  <c r="I610" i="5"/>
  <c r="I626" i="5"/>
  <c r="I642" i="5"/>
  <c r="I658" i="5"/>
  <c r="I674" i="5"/>
  <c r="I690" i="5"/>
  <c r="I706" i="5"/>
  <c r="I722" i="5"/>
  <c r="I114" i="5"/>
  <c r="I130" i="5"/>
  <c r="I146" i="5"/>
  <c r="I162" i="5"/>
  <c r="I178" i="5"/>
  <c r="I194" i="5"/>
  <c r="I210" i="5"/>
  <c r="I226" i="5"/>
  <c r="I242" i="5"/>
  <c r="I258" i="5"/>
  <c r="I274" i="5"/>
  <c r="I290" i="5"/>
  <c r="I306" i="5"/>
  <c r="I94" i="5"/>
  <c r="I110" i="5"/>
  <c r="I14" i="5"/>
  <c r="I62" i="5"/>
  <c r="I78" i="5"/>
  <c r="I30" i="5"/>
  <c r="I46" i="5"/>
  <c r="I90" i="5"/>
  <c r="I106" i="5"/>
  <c r="I58" i="5"/>
  <c r="I74" i="5"/>
  <c r="I26" i="5"/>
  <c r="I42" i="5"/>
  <c r="I10" i="5"/>
  <c r="I333" i="5"/>
  <c r="I349" i="5"/>
  <c r="I365" i="5"/>
  <c r="I381" i="5"/>
  <c r="I397" i="5"/>
  <c r="I413" i="5"/>
  <c r="I429" i="5"/>
  <c r="I445" i="5"/>
  <c r="I461" i="5"/>
  <c r="I477" i="5"/>
  <c r="I493" i="5"/>
  <c r="I120" i="5"/>
  <c r="I136" i="5"/>
  <c r="I152" i="5"/>
  <c r="I168" i="5"/>
  <c r="I184" i="5"/>
  <c r="I200" i="5"/>
  <c r="I216" i="5"/>
  <c r="I232" i="5"/>
  <c r="I248" i="5"/>
  <c r="I264" i="5"/>
  <c r="I280" i="5"/>
  <c r="I296" i="5"/>
  <c r="I312" i="5"/>
  <c r="I88" i="5"/>
  <c r="I104" i="5"/>
  <c r="I24" i="5"/>
  <c r="I40" i="5"/>
  <c r="I8" i="5"/>
  <c r="I56" i="5"/>
  <c r="I72" i="5"/>
  <c r="I336" i="5"/>
  <c r="I352" i="5"/>
  <c r="I368" i="5"/>
  <c r="I384" i="5"/>
  <c r="I400" i="5"/>
  <c r="I416" i="5"/>
  <c r="I432" i="5"/>
  <c r="I448" i="5"/>
  <c r="I464" i="5"/>
  <c r="I480" i="5"/>
  <c r="I496" i="5"/>
  <c r="I747" i="5"/>
  <c r="I763" i="5"/>
  <c r="I779" i="5"/>
  <c r="I795" i="5"/>
  <c r="I811" i="5"/>
  <c r="I827" i="5"/>
  <c r="I843" i="5"/>
  <c r="I859" i="5"/>
  <c r="I875" i="5"/>
  <c r="I891" i="5"/>
  <c r="I115" i="5"/>
  <c r="I131" i="5"/>
  <c r="I147" i="5"/>
  <c r="I163" i="5"/>
  <c r="I179" i="5"/>
  <c r="I195" i="5"/>
  <c r="I211" i="5"/>
  <c r="I227" i="5"/>
  <c r="I243" i="5"/>
  <c r="I259" i="5"/>
  <c r="I275" i="5"/>
  <c r="I291" i="5"/>
  <c r="I307" i="5"/>
  <c r="I95" i="5"/>
  <c r="I111" i="5"/>
  <c r="I15" i="5"/>
  <c r="I47" i="5"/>
  <c r="I63" i="5"/>
  <c r="I79" i="5"/>
  <c r="I31" i="5"/>
  <c r="I1015" i="5"/>
  <c r="I1031" i="5"/>
  <c r="I1047" i="5"/>
  <c r="I1063" i="5"/>
  <c r="I931" i="5"/>
  <c r="I947" i="5"/>
  <c r="I963" i="5"/>
  <c r="I979" i="5"/>
  <c r="I995" i="5"/>
  <c r="I759" i="5"/>
  <c r="I775" i="5"/>
  <c r="I791" i="5"/>
  <c r="I807" i="5"/>
  <c r="I823" i="5"/>
  <c r="I839" i="5"/>
  <c r="I855" i="5"/>
  <c r="I871" i="5"/>
  <c r="I887" i="5"/>
  <c r="I743" i="5"/>
  <c r="I738" i="5"/>
  <c r="I754" i="5"/>
  <c r="I770" i="5"/>
  <c r="I786" i="5"/>
  <c r="I802" i="5"/>
  <c r="I818" i="5"/>
  <c r="I834" i="5"/>
  <c r="I850" i="5"/>
  <c r="I866" i="5"/>
  <c r="I882" i="5"/>
  <c r="I86" i="5"/>
  <c r="I102" i="5"/>
  <c r="I6" i="5"/>
  <c r="I22" i="5"/>
  <c r="I54" i="5"/>
  <c r="I70" i="5"/>
  <c r="I38" i="5"/>
  <c r="I1010" i="5"/>
  <c r="I1026" i="5"/>
  <c r="I1042" i="5"/>
  <c r="I1058" i="5"/>
  <c r="I942" i="5"/>
  <c r="I958" i="5"/>
  <c r="I974" i="5"/>
  <c r="I990" i="5"/>
  <c r="I1006" i="5"/>
  <c r="I122" i="5"/>
  <c r="I138" i="5"/>
  <c r="I154" i="5"/>
  <c r="I170" i="5"/>
  <c r="I186" i="5"/>
  <c r="I202" i="5"/>
  <c r="I218" i="5"/>
  <c r="I234" i="5"/>
  <c r="I250" i="5"/>
  <c r="I266" i="5"/>
  <c r="I282" i="5"/>
  <c r="I298" i="5"/>
  <c r="I314" i="5"/>
  <c r="I1025" i="5"/>
  <c r="I1041" i="5"/>
  <c r="I1057" i="5"/>
  <c r="I1073" i="5"/>
  <c r="I509" i="5"/>
  <c r="I525" i="5"/>
  <c r="I541" i="5"/>
  <c r="I557" i="5"/>
  <c r="I573" i="5"/>
  <c r="I589" i="5"/>
  <c r="I605" i="5"/>
  <c r="I621" i="5"/>
  <c r="I637" i="5"/>
  <c r="I653" i="5"/>
  <c r="I701" i="5"/>
  <c r="I717" i="5"/>
  <c r="I669" i="5"/>
  <c r="I733" i="5"/>
  <c r="I685" i="5"/>
  <c r="I129" i="5"/>
  <c r="I145" i="5"/>
  <c r="I161" i="5"/>
  <c r="I177" i="5"/>
  <c r="I193" i="5"/>
  <c r="I209" i="5"/>
  <c r="I225" i="5"/>
  <c r="I241" i="5"/>
  <c r="I257" i="5"/>
  <c r="I273" i="5"/>
  <c r="I289" i="5"/>
  <c r="I305" i="5"/>
  <c r="I321" i="5"/>
  <c r="I85" i="5"/>
  <c r="I101" i="5"/>
  <c r="I5" i="5"/>
  <c r="I21" i="5"/>
  <c r="I53" i="5"/>
  <c r="I69" i="5"/>
  <c r="I37" i="5"/>
  <c r="I757" i="5"/>
  <c r="I773" i="5"/>
  <c r="I789" i="5"/>
  <c r="I805" i="5"/>
  <c r="I821" i="5"/>
  <c r="I837" i="5"/>
  <c r="I853" i="5"/>
  <c r="I869" i="5"/>
  <c r="I885" i="5"/>
  <c r="I741" i="5"/>
  <c r="I125" i="5"/>
  <c r="I141" i="5"/>
  <c r="I157" i="5"/>
  <c r="I173" i="5"/>
  <c r="I189" i="5"/>
  <c r="I205" i="5"/>
  <c r="I221" i="5"/>
  <c r="I237" i="5"/>
  <c r="I253" i="5"/>
  <c r="I269" i="5"/>
  <c r="I285" i="5"/>
  <c r="I301" i="5"/>
  <c r="I317" i="5"/>
  <c r="I508" i="5"/>
  <c r="I524" i="5"/>
  <c r="I540" i="5"/>
  <c r="I556" i="5"/>
  <c r="I572" i="5"/>
  <c r="I588" i="5"/>
  <c r="I604" i="5"/>
  <c r="I620" i="5"/>
  <c r="I636" i="5"/>
  <c r="I652" i="5"/>
  <c r="I668" i="5"/>
  <c r="I684" i="5"/>
  <c r="I700" i="5"/>
  <c r="I716" i="5"/>
  <c r="I732" i="5"/>
  <c r="I1020" i="5"/>
  <c r="I1036" i="5"/>
  <c r="I1052" i="5"/>
  <c r="I1068" i="5"/>
  <c r="I944" i="5"/>
  <c r="I960" i="5"/>
  <c r="I976" i="5"/>
  <c r="I992" i="5"/>
  <c r="I1008" i="5"/>
  <c r="I748" i="5"/>
  <c r="I764" i="5"/>
  <c r="I780" i="5"/>
  <c r="I796" i="5"/>
  <c r="I812" i="5"/>
  <c r="I828" i="5"/>
  <c r="I844" i="5"/>
  <c r="I860" i="5"/>
  <c r="I876" i="5"/>
  <c r="I892" i="5"/>
  <c r="I507" i="5"/>
  <c r="I523" i="5"/>
  <c r="I539" i="5"/>
  <c r="I555" i="5"/>
  <c r="I571" i="5"/>
  <c r="I587" i="5"/>
  <c r="I603" i="5"/>
  <c r="I619" i="5"/>
  <c r="I635" i="5"/>
  <c r="I651" i="5"/>
  <c r="I667" i="5"/>
  <c r="I683" i="5"/>
  <c r="I699" i="5"/>
  <c r="I715" i="5"/>
  <c r="I731" i="5"/>
  <c r="I331" i="5"/>
  <c r="I347" i="5"/>
  <c r="I363" i="5"/>
  <c r="I379" i="5"/>
  <c r="I395" i="5"/>
  <c r="I411" i="5"/>
  <c r="I427" i="5"/>
  <c r="I443" i="5"/>
  <c r="I459" i="5"/>
  <c r="I475" i="5"/>
  <c r="I491" i="5"/>
  <c r="I499" i="5"/>
  <c r="I515" i="5"/>
  <c r="I531" i="5"/>
  <c r="I547" i="5"/>
  <c r="I563" i="5"/>
  <c r="I579" i="5"/>
  <c r="I595" i="5"/>
  <c r="I611" i="5"/>
  <c r="I627" i="5"/>
  <c r="I643" i="5"/>
  <c r="I659" i="5"/>
  <c r="I675" i="5"/>
  <c r="I691" i="5"/>
  <c r="I707" i="5"/>
  <c r="I723" i="5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O1199" i="1" s="1"/>
  <c r="N414" i="4" s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" i="1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F18" i="2"/>
  <c r="C18" i="2"/>
  <c r="F17" i="2"/>
  <c r="C17" i="2"/>
  <c r="C16" i="2"/>
  <c r="C15" i="2"/>
  <c r="C14" i="2"/>
  <c r="F13" i="2"/>
  <c r="C13" i="2"/>
  <c r="C12" i="2"/>
  <c r="C11" i="2"/>
  <c r="C10" i="2"/>
  <c r="F9" i="2"/>
  <c r="C9" i="2"/>
  <c r="C8" i="2"/>
  <c r="C7" i="2"/>
  <c r="C6" i="2"/>
  <c r="F6" i="2" s="1"/>
  <c r="F5" i="2"/>
  <c r="C5" i="2"/>
  <c r="C4" i="2"/>
  <c r="C3" i="2"/>
  <c r="F16" i="2" s="1"/>
  <c r="W8" i="1"/>
  <c r="W10" i="1"/>
  <c r="W11" i="1"/>
  <c r="W35" i="1"/>
  <c r="W49" i="1"/>
  <c r="V15" i="4" s="1"/>
  <c r="W57" i="1"/>
  <c r="V17" i="4" s="1"/>
  <c r="W58" i="1"/>
  <c r="W59" i="1"/>
  <c r="W60" i="1"/>
  <c r="W65" i="1"/>
  <c r="V20" i="4" s="1"/>
  <c r="W66" i="1"/>
  <c r="W88" i="1"/>
  <c r="W99" i="1"/>
  <c r="V30" i="4" s="1"/>
  <c r="W104" i="1"/>
  <c r="W107" i="1"/>
  <c r="V32" i="4" s="1"/>
  <c r="W108" i="1"/>
  <c r="W109" i="1"/>
  <c r="W110" i="1"/>
  <c r="W116" i="1"/>
  <c r="V36" i="4" s="1"/>
  <c r="W117" i="1"/>
  <c r="W118" i="1"/>
  <c r="V38" i="4" s="1"/>
  <c r="W121" i="1"/>
  <c r="V39" i="4" s="1"/>
  <c r="W130" i="1"/>
  <c r="W137" i="1"/>
  <c r="V43" i="4" s="1"/>
  <c r="W139" i="1"/>
  <c r="W145" i="1"/>
  <c r="V45" i="4" s="1"/>
  <c r="W146" i="1"/>
  <c r="W148" i="1"/>
  <c r="W153" i="1"/>
  <c r="V47" i="4" s="1"/>
  <c r="W154" i="1"/>
  <c r="W155" i="1"/>
  <c r="W156" i="1"/>
  <c r="W157" i="1"/>
  <c r="V48" i="4" s="1"/>
  <c r="W164" i="1"/>
  <c r="W166" i="1"/>
  <c r="V54" i="4" s="1"/>
  <c r="W173" i="1"/>
  <c r="W174" i="1"/>
  <c r="V58" i="4" s="1"/>
  <c r="W177" i="1"/>
  <c r="W178" i="1"/>
  <c r="V60" i="4" s="1"/>
  <c r="W179" i="1"/>
  <c r="W180" i="1"/>
  <c r="W181" i="1"/>
  <c r="W182" i="1"/>
  <c r="V67" i="4" s="1"/>
  <c r="W185" i="1"/>
  <c r="W186" i="1"/>
  <c r="V68" i="4" s="1"/>
  <c r="W187" i="1"/>
  <c r="W188" i="1"/>
  <c r="W189" i="1"/>
  <c r="V70" i="4" s="1"/>
  <c r="W190" i="1"/>
  <c r="W195" i="1"/>
  <c r="W196" i="1"/>
  <c r="W197" i="1"/>
  <c r="V72" i="4" s="1"/>
  <c r="W198" i="1"/>
  <c r="W203" i="1"/>
  <c r="W204" i="1"/>
  <c r="W205" i="1"/>
  <c r="V74" i="4" s="1"/>
  <c r="W206" i="1"/>
  <c r="W211" i="1"/>
  <c r="W212" i="1"/>
  <c r="W213" i="1"/>
  <c r="V76" i="4" s="1"/>
  <c r="W214" i="1"/>
  <c r="W219" i="1"/>
  <c r="W220" i="1"/>
  <c r="W221" i="1"/>
  <c r="V78" i="4" s="1"/>
  <c r="W222" i="1"/>
  <c r="W227" i="1"/>
  <c r="W228" i="1"/>
  <c r="V80" i="4"/>
  <c r="W230" i="1"/>
  <c r="W231" i="1"/>
  <c r="W232" i="1"/>
  <c r="W234" i="1"/>
  <c r="W235" i="1"/>
  <c r="V85" i="4" s="1"/>
  <c r="W237" i="1"/>
  <c r="V87" i="4" s="1"/>
  <c r="W238" i="1"/>
  <c r="W244" i="1"/>
  <c r="W245" i="1"/>
  <c r="V91" i="4" s="1"/>
  <c r="W246" i="1"/>
  <c r="W248" i="1"/>
  <c r="W253" i="1"/>
  <c r="V100" i="4" s="1"/>
  <c r="W254" i="1"/>
  <c r="W259" i="1"/>
  <c r="W260" i="1"/>
  <c r="W261" i="1"/>
  <c r="V103" i="4" s="1"/>
  <c r="W262" i="1"/>
  <c r="W267" i="1"/>
  <c r="W268" i="1"/>
  <c r="W269" i="1"/>
  <c r="V105" i="4" s="1"/>
  <c r="W270" i="1"/>
  <c r="W275" i="1"/>
  <c r="W276" i="1"/>
  <c r="W277" i="1"/>
  <c r="V107" i="4" s="1"/>
  <c r="W278" i="1"/>
  <c r="W283" i="1"/>
  <c r="W284" i="1"/>
  <c r="W285" i="1"/>
  <c r="V109" i="4" s="1"/>
  <c r="W286" i="1"/>
  <c r="W291" i="1"/>
  <c r="W292" i="1"/>
  <c r="W293" i="1"/>
  <c r="V111" i="4" s="1"/>
  <c r="W294" i="1"/>
  <c r="V112" i="4"/>
  <c r="W298" i="1"/>
  <c r="W299" i="1"/>
  <c r="W300" i="1"/>
  <c r="W301" i="1"/>
  <c r="W302" i="1"/>
  <c r="W307" i="1"/>
  <c r="W308" i="1"/>
  <c r="V116" i="4" s="1"/>
  <c r="W309" i="1"/>
  <c r="W310" i="1"/>
  <c r="W315" i="1"/>
  <c r="W316" i="1"/>
  <c r="V118" i="4" s="1"/>
  <c r="W317" i="1"/>
  <c r="W318" i="1"/>
  <c r="W323" i="1"/>
  <c r="W324" i="1"/>
  <c r="V120" i="4" s="1"/>
  <c r="W325" i="1"/>
  <c r="W326" i="1"/>
  <c r="W332" i="1"/>
  <c r="W333" i="1"/>
  <c r="V124" i="4" s="1"/>
  <c r="W334" i="1"/>
  <c r="W339" i="1"/>
  <c r="W340" i="1"/>
  <c r="W341" i="1"/>
  <c r="W342" i="1"/>
  <c r="V127" i="4" s="1"/>
  <c r="V128" i="4"/>
  <c r="W345" i="1"/>
  <c r="W349" i="1"/>
  <c r="V132" i="4" s="1"/>
  <c r="W350" i="1"/>
  <c r="W351" i="1"/>
  <c r="V133" i="4" s="1"/>
  <c r="W355" i="1"/>
  <c r="V135" i="4" s="1"/>
  <c r="W356" i="1"/>
  <c r="W357" i="1"/>
  <c r="W358" i="1"/>
  <c r="W363" i="1"/>
  <c r="V137" i="4" s="1"/>
  <c r="W364" i="1"/>
  <c r="W365" i="1"/>
  <c r="W366" i="1"/>
  <c r="W371" i="1"/>
  <c r="V139" i="4" s="1"/>
  <c r="W372" i="1"/>
  <c r="W373" i="1"/>
  <c r="W374" i="1"/>
  <c r="W376" i="1"/>
  <c r="W381" i="1"/>
  <c r="W382" i="1"/>
  <c r="V143" i="4" s="1"/>
  <c r="W384" i="1"/>
  <c r="V144" i="4" s="1"/>
  <c r="W385" i="1"/>
  <c r="W387" i="1"/>
  <c r="W388" i="1"/>
  <c r="W389" i="1"/>
  <c r="W390" i="1"/>
  <c r="V147" i="4" s="1"/>
  <c r="W395" i="1"/>
  <c r="W396" i="1"/>
  <c r="W397" i="1"/>
  <c r="W398" i="1"/>
  <c r="V149" i="4" s="1"/>
  <c r="W403" i="1"/>
  <c r="W404" i="1"/>
  <c r="W405" i="1"/>
  <c r="W406" i="1"/>
  <c r="V151" i="4" s="1"/>
  <c r="W411" i="1"/>
  <c r="W412" i="1"/>
  <c r="W413" i="1"/>
  <c r="W414" i="1"/>
  <c r="V153" i="4" s="1"/>
  <c r="W419" i="1"/>
  <c r="W420" i="1"/>
  <c r="W421" i="1"/>
  <c r="W422" i="1"/>
  <c r="V155" i="4" s="1"/>
  <c r="W427" i="1"/>
  <c r="W428" i="1"/>
  <c r="W429" i="1"/>
  <c r="W430" i="1"/>
  <c r="V157" i="4" s="1"/>
  <c r="W435" i="1"/>
  <c r="W436" i="1"/>
  <c r="W437" i="1"/>
  <c r="W438" i="1"/>
  <c r="V159" i="4" s="1"/>
  <c r="W441" i="1"/>
  <c r="W442" i="1"/>
  <c r="V160" i="4" s="1"/>
  <c r="W443" i="1"/>
  <c r="W444" i="1"/>
  <c r="W445" i="1"/>
  <c r="V162" i="4" s="1"/>
  <c r="W446" i="1"/>
  <c r="W451" i="1"/>
  <c r="W452" i="1"/>
  <c r="W453" i="1"/>
  <c r="V164" i="4" s="1"/>
  <c r="W454" i="1"/>
  <c r="W455" i="1"/>
  <c r="W456" i="1"/>
  <c r="V165" i="4" s="1"/>
  <c r="W459" i="1"/>
  <c r="W460" i="1"/>
  <c r="V167" i="4" s="1"/>
  <c r="W461" i="1"/>
  <c r="W462" i="1"/>
  <c r="W467" i="1"/>
  <c r="W468" i="1"/>
  <c r="V169" i="4" s="1"/>
  <c r="W469" i="1"/>
  <c r="W470" i="1"/>
  <c r="W473" i="1"/>
  <c r="W476" i="1"/>
  <c r="V171" i="4" s="1"/>
  <c r="W477" i="1"/>
  <c r="W478" i="1"/>
  <c r="W479" i="1"/>
  <c r="W481" i="1"/>
  <c r="W485" i="1"/>
  <c r="W486" i="1"/>
  <c r="V175" i="4" s="1"/>
  <c r="W488" i="1"/>
  <c r="V176" i="4" s="1"/>
  <c r="W489" i="1"/>
  <c r="W491" i="1"/>
  <c r="W492" i="1"/>
  <c r="W493" i="1"/>
  <c r="W494" i="1"/>
  <c r="V179" i="4" s="1"/>
  <c r="W499" i="1"/>
  <c r="W500" i="1"/>
  <c r="W501" i="1"/>
  <c r="W502" i="1"/>
  <c r="V181" i="4" s="1"/>
  <c r="W507" i="1"/>
  <c r="W508" i="1"/>
  <c r="W509" i="1"/>
  <c r="W510" i="1"/>
  <c r="V183" i="4" s="1"/>
  <c r="W515" i="1"/>
  <c r="W516" i="1"/>
  <c r="W517" i="1"/>
  <c r="W518" i="1"/>
  <c r="V185" i="4" s="1"/>
  <c r="W523" i="1"/>
  <c r="W524" i="1"/>
  <c r="W525" i="1"/>
  <c r="W526" i="1"/>
  <c r="V187" i="4" s="1"/>
  <c r="W533" i="1"/>
  <c r="W534" i="1"/>
  <c r="V191" i="4" s="1"/>
  <c r="W536" i="1"/>
  <c r="V192" i="4" s="1"/>
  <c r="W537" i="1"/>
  <c r="W539" i="1"/>
  <c r="W540" i="1"/>
  <c r="W541" i="1"/>
  <c r="W542" i="1"/>
  <c r="V195" i="4" s="1"/>
  <c r="W547" i="1"/>
  <c r="W548" i="1"/>
  <c r="W549" i="1"/>
  <c r="W550" i="1"/>
  <c r="V197" i="4" s="1"/>
  <c r="W555" i="1"/>
  <c r="W556" i="1"/>
  <c r="W557" i="1"/>
  <c r="W558" i="1"/>
  <c r="V199" i="4" s="1"/>
  <c r="W563" i="1"/>
  <c r="W564" i="1"/>
  <c r="W565" i="1"/>
  <c r="W566" i="1"/>
  <c r="V201" i="4" s="1"/>
  <c r="W571" i="1"/>
  <c r="W572" i="1"/>
  <c r="W573" i="1"/>
  <c r="W574" i="1"/>
  <c r="V203" i="4" s="1"/>
  <c r="W581" i="1"/>
  <c r="W582" i="1"/>
  <c r="V207" i="4" s="1"/>
  <c r="W583" i="1"/>
  <c r="W584" i="1"/>
  <c r="V209" i="4" s="1"/>
  <c r="W587" i="1"/>
  <c r="W588" i="1"/>
  <c r="W589" i="1"/>
  <c r="V211" i="4" s="1"/>
  <c r="W590" i="1"/>
  <c r="W595" i="1"/>
  <c r="W596" i="1"/>
  <c r="W597" i="1"/>
  <c r="V213" i="4" s="1"/>
  <c r="W598" i="1"/>
  <c r="W603" i="1"/>
  <c r="W604" i="1"/>
  <c r="W605" i="1"/>
  <c r="V215" i="4" s="1"/>
  <c r="W606" i="1"/>
  <c r="W611" i="1"/>
  <c r="W612" i="1"/>
  <c r="W613" i="1"/>
  <c r="V217" i="4" s="1"/>
  <c r="W614" i="1"/>
  <c r="W618" i="1"/>
  <c r="W620" i="1"/>
  <c r="W621" i="1"/>
  <c r="V219" i="4" s="1"/>
  <c r="W622" i="1"/>
  <c r="W629" i="1"/>
  <c r="V223" i="4" s="1"/>
  <c r="W630" i="1"/>
  <c r="W631" i="1"/>
  <c r="V224" i="4" s="1"/>
  <c r="W632" i="1"/>
  <c r="W635" i="1"/>
  <c r="W636" i="1"/>
  <c r="W637" i="1"/>
  <c r="V227" i="4" s="1"/>
  <c r="W638" i="1"/>
  <c r="W643" i="1"/>
  <c r="W644" i="1"/>
  <c r="W645" i="1"/>
  <c r="V229" i="4" s="1"/>
  <c r="W646" i="1"/>
  <c r="W651" i="1"/>
  <c r="W652" i="1"/>
  <c r="W653" i="1"/>
  <c r="V231" i="4" s="1"/>
  <c r="W654" i="1"/>
  <c r="W659" i="1"/>
  <c r="W660" i="1"/>
  <c r="W661" i="1"/>
  <c r="V233" i="4" s="1"/>
  <c r="W662" i="1"/>
  <c r="W666" i="1"/>
  <c r="W668" i="1"/>
  <c r="W669" i="1"/>
  <c r="V235" i="4" s="1"/>
  <c r="W670" i="1"/>
  <c r="W671" i="1"/>
  <c r="V236" i="4" s="1"/>
  <c r="W672" i="1"/>
  <c r="W673" i="1"/>
  <c r="W674" i="1"/>
  <c r="W675" i="1"/>
  <c r="W676" i="1"/>
  <c r="W677" i="1"/>
  <c r="V246" i="4" s="1"/>
  <c r="W678" i="1"/>
  <c r="W683" i="1"/>
  <c r="W684" i="1"/>
  <c r="W685" i="1"/>
  <c r="V248" i="4" s="1"/>
  <c r="W686" i="1"/>
  <c r="W691" i="1"/>
  <c r="W692" i="1"/>
  <c r="W693" i="1"/>
  <c r="V250" i="4" s="1"/>
  <c r="W694" i="1"/>
  <c r="W699" i="1"/>
  <c r="W700" i="1"/>
  <c r="W701" i="1"/>
  <c r="V252" i="4" s="1"/>
  <c r="W702" i="1"/>
  <c r="W707" i="1"/>
  <c r="W708" i="1"/>
  <c r="W709" i="1"/>
  <c r="V254" i="4" s="1"/>
  <c r="W710" i="1"/>
  <c r="W715" i="1"/>
  <c r="W716" i="1"/>
  <c r="W717" i="1"/>
  <c r="V256" i="4" s="1"/>
  <c r="W718" i="1"/>
  <c r="W719" i="1"/>
  <c r="W720" i="1"/>
  <c r="W723" i="1"/>
  <c r="W724" i="1"/>
  <c r="W725" i="1"/>
  <c r="V259" i="4" s="1"/>
  <c r="W726" i="1"/>
  <c r="W730" i="1"/>
  <c r="W732" i="1"/>
  <c r="W733" i="1"/>
  <c r="V261" i="4" s="1"/>
  <c r="W734" i="1"/>
  <c r="W739" i="1"/>
  <c r="W740" i="1"/>
  <c r="V263" i="4" s="1"/>
  <c r="W741" i="1"/>
  <c r="W742" i="1"/>
  <c r="W747" i="1"/>
  <c r="W748" i="1"/>
  <c r="V265" i="4" s="1"/>
  <c r="W749" i="1"/>
  <c r="W750" i="1"/>
  <c r="W755" i="1"/>
  <c r="W756" i="1"/>
  <c r="V267" i="4" s="1"/>
  <c r="W757" i="1"/>
  <c r="W758" i="1"/>
  <c r="W765" i="1"/>
  <c r="V271" i="4" s="1"/>
  <c r="W766" i="1"/>
  <c r="W767" i="1"/>
  <c r="V272" i="4" s="1"/>
  <c r="W768" i="1"/>
  <c r="W769" i="1"/>
  <c r="W770" i="1"/>
  <c r="W771" i="1"/>
  <c r="W772" i="1"/>
  <c r="V278" i="4" s="1"/>
  <c r="W773" i="1"/>
  <c r="W774" i="1"/>
  <c r="W779" i="1"/>
  <c r="W780" i="1"/>
  <c r="V280" i="4" s="1"/>
  <c r="W781" i="1"/>
  <c r="W782" i="1"/>
  <c r="W787" i="1"/>
  <c r="W788" i="1"/>
  <c r="V282" i="4" s="1"/>
  <c r="W789" i="1"/>
  <c r="W790" i="1"/>
  <c r="W795" i="1"/>
  <c r="W796" i="1"/>
  <c r="V284" i="4" s="1"/>
  <c r="W797" i="1"/>
  <c r="W798" i="1"/>
  <c r="W800" i="1"/>
  <c r="V285" i="4" s="1"/>
  <c r="W801" i="1"/>
  <c r="W804" i="1"/>
  <c r="W805" i="1"/>
  <c r="W806" i="1"/>
  <c r="V287" i="4" s="1"/>
  <c r="W810" i="1"/>
  <c r="V288" i="4" s="1"/>
  <c r="W811" i="1"/>
  <c r="W812" i="1"/>
  <c r="W813" i="1"/>
  <c r="W814" i="1"/>
  <c r="W815" i="1"/>
  <c r="W819" i="1"/>
  <c r="W820" i="1"/>
  <c r="W821" i="1"/>
  <c r="V295" i="4" s="1"/>
  <c r="W822" i="1"/>
  <c r="W827" i="1"/>
  <c r="W828" i="1"/>
  <c r="W829" i="1"/>
  <c r="V297" i="4" s="1"/>
  <c r="W830" i="1"/>
  <c r="W835" i="1"/>
  <c r="W836" i="1"/>
  <c r="W837" i="1"/>
  <c r="V299" i="4" s="1"/>
  <c r="W838" i="1"/>
  <c r="W839" i="1"/>
  <c r="W840" i="1"/>
  <c r="W843" i="1"/>
  <c r="W844" i="1"/>
  <c r="W845" i="1"/>
  <c r="W846" i="1"/>
  <c r="V303" i="4" s="1"/>
  <c r="W850" i="1"/>
  <c r="V304" i="4" s="1"/>
  <c r="W851" i="1"/>
  <c r="W852" i="1"/>
  <c r="W853" i="1"/>
  <c r="W854" i="1"/>
  <c r="V306" i="4" s="1"/>
  <c r="W860" i="1"/>
  <c r="V309" i="4" s="1"/>
  <c r="W861" i="1"/>
  <c r="W862" i="1"/>
  <c r="W867" i="1"/>
  <c r="W868" i="1"/>
  <c r="V311" i="4" s="1"/>
  <c r="W869" i="1"/>
  <c r="W870" i="1"/>
  <c r="W875" i="1"/>
  <c r="W876" i="1"/>
  <c r="V313" i="4" s="1"/>
  <c r="W877" i="1"/>
  <c r="W878" i="1"/>
  <c r="W883" i="1"/>
  <c r="W884" i="1"/>
  <c r="V315" i="4" s="1"/>
  <c r="W885" i="1"/>
  <c r="W886" i="1"/>
  <c r="W891" i="1"/>
  <c r="W892" i="1"/>
  <c r="V317" i="4" s="1"/>
  <c r="W893" i="1"/>
  <c r="W894" i="1"/>
  <c r="W895" i="1"/>
  <c r="V318" i="4" s="1"/>
  <c r="W896" i="1"/>
  <c r="W897" i="1"/>
  <c r="W901" i="1"/>
  <c r="W902" i="1"/>
  <c r="V324" i="4" s="1"/>
  <c r="W903" i="1"/>
  <c r="W907" i="1"/>
  <c r="W908" i="1"/>
  <c r="W909" i="1"/>
  <c r="V327" i="4" s="1"/>
  <c r="W910" i="1"/>
  <c r="W915" i="1"/>
  <c r="W916" i="1"/>
  <c r="W917" i="1"/>
  <c r="V329" i="4" s="1"/>
  <c r="W918" i="1"/>
  <c r="W923" i="1"/>
  <c r="W924" i="1"/>
  <c r="W925" i="1"/>
  <c r="V331" i="4" s="1"/>
  <c r="W926" i="1"/>
  <c r="W931" i="1"/>
  <c r="W932" i="1"/>
  <c r="W933" i="1"/>
  <c r="V333" i="4" s="1"/>
  <c r="W934" i="1"/>
  <c r="W939" i="1"/>
  <c r="W940" i="1"/>
  <c r="W941" i="1"/>
  <c r="V335" i="4" s="1"/>
  <c r="W942" i="1"/>
  <c r="W947" i="1"/>
  <c r="W948" i="1"/>
  <c r="W949" i="1"/>
  <c r="V337" i="4" s="1"/>
  <c r="W950" i="1"/>
  <c r="W951" i="1"/>
  <c r="W952" i="1"/>
  <c r="W955" i="1"/>
  <c r="W956" i="1"/>
  <c r="W957" i="1"/>
  <c r="V339" i="4" s="1"/>
  <c r="W958" i="1"/>
  <c r="W960" i="1"/>
  <c r="W962" i="1"/>
  <c r="W964" i="1"/>
  <c r="V342" i="4" s="1"/>
  <c r="W965" i="1"/>
  <c r="W966" i="1"/>
  <c r="W971" i="1"/>
  <c r="W972" i="1"/>
  <c r="V344" i="4" s="1"/>
  <c r="W973" i="1"/>
  <c r="W974" i="1"/>
  <c r="W979" i="1"/>
  <c r="W980" i="1"/>
  <c r="V346" i="4" s="1"/>
  <c r="W981" i="1"/>
  <c r="W982" i="1"/>
  <c r="W987" i="1"/>
  <c r="W988" i="1"/>
  <c r="V348" i="4" s="1"/>
  <c r="W989" i="1"/>
  <c r="W990" i="1"/>
  <c r="W995" i="1"/>
  <c r="W996" i="1"/>
  <c r="V350" i="4" s="1"/>
  <c r="W997" i="1"/>
  <c r="W998" i="1"/>
  <c r="W1003" i="1"/>
  <c r="W1004" i="1"/>
  <c r="V352" i="4" s="1"/>
  <c r="W1005" i="1"/>
  <c r="W1006" i="1"/>
  <c r="W1007" i="1"/>
  <c r="W1013" i="1"/>
  <c r="W1014" i="1"/>
  <c r="W1019" i="1"/>
  <c r="W1020" i="1"/>
  <c r="W1021" i="1"/>
  <c r="W1022" i="1"/>
  <c r="W1027" i="1"/>
  <c r="W1028" i="1"/>
  <c r="W1029" i="1"/>
  <c r="W1030" i="1"/>
  <c r="W1031" i="1"/>
  <c r="W1032" i="1"/>
  <c r="W1037" i="1"/>
  <c r="V356" i="4" s="1"/>
  <c r="W1038" i="1"/>
  <c r="W1045" i="1"/>
  <c r="V360" i="4" s="1"/>
  <c r="W1046" i="1"/>
  <c r="W1053" i="1"/>
  <c r="V364" i="4" s="1"/>
  <c r="W1054" i="1"/>
  <c r="W1061" i="1"/>
  <c r="V368" i="4" s="1"/>
  <c r="W1062" i="1"/>
  <c r="W1067" i="1"/>
  <c r="V371" i="4" s="1"/>
  <c r="W1068" i="1"/>
  <c r="W1069" i="1"/>
  <c r="W1070" i="1"/>
  <c r="W1072" i="1"/>
  <c r="W1075" i="1"/>
  <c r="W1076" i="1"/>
  <c r="W1077" i="1"/>
  <c r="W1078" i="1"/>
  <c r="V375" i="4" s="1"/>
  <c r="W1083" i="1"/>
  <c r="W1084" i="1"/>
  <c r="W1085" i="1"/>
  <c r="W1086" i="1"/>
  <c r="V377" i="4" s="1"/>
  <c r="W1091" i="1"/>
  <c r="W1092" i="1"/>
  <c r="W1093" i="1"/>
  <c r="W1094" i="1"/>
  <c r="V379" i="4" s="1"/>
  <c r="W1099" i="1"/>
  <c r="W1100" i="1"/>
  <c r="W1101" i="1"/>
  <c r="W1102" i="1"/>
  <c r="V381" i="4" s="1"/>
  <c r="W1107" i="1"/>
  <c r="W1108" i="1"/>
  <c r="W1109" i="1"/>
  <c r="W1110" i="1"/>
  <c r="V383" i="4" s="1"/>
  <c r="W1114" i="1"/>
  <c r="V384" i="4" s="1"/>
  <c r="W1115" i="1"/>
  <c r="W1116" i="1"/>
  <c r="W1117" i="1"/>
  <c r="W1118" i="1"/>
  <c r="W1122" i="1"/>
  <c r="W1124" i="1"/>
  <c r="V390" i="4" s="1"/>
  <c r="W1125" i="1"/>
  <c r="W1126" i="1"/>
  <c r="W1131" i="1"/>
  <c r="W1132" i="1"/>
  <c r="V392" i="4" s="1"/>
  <c r="W1133" i="1"/>
  <c r="W1134" i="1"/>
  <c r="W1139" i="1"/>
  <c r="W1140" i="1"/>
  <c r="V394" i="4" s="1"/>
  <c r="W1141" i="1"/>
  <c r="W1142" i="1"/>
  <c r="W1143" i="1"/>
  <c r="W1147" i="1"/>
  <c r="V396" i="4" s="1"/>
  <c r="W1148" i="1"/>
  <c r="W1149" i="1"/>
  <c r="W1150" i="1"/>
  <c r="W1152" i="1"/>
  <c r="W1155" i="1"/>
  <c r="W1156" i="1"/>
  <c r="W1158" i="1"/>
  <c r="V400" i="4" s="1"/>
  <c r="W1159" i="1"/>
  <c r="W1160" i="1"/>
  <c r="W1165" i="1"/>
  <c r="W1166" i="1"/>
  <c r="V405" i="4" s="1"/>
  <c r="W1171" i="1"/>
  <c r="V407" i="4" s="1"/>
  <c r="W1172" i="1"/>
  <c r="W1173" i="1"/>
  <c r="W1174" i="1"/>
  <c r="W1179" i="1"/>
  <c r="V409" i="4" s="1"/>
  <c r="W1180" i="1"/>
  <c r="W1181" i="1"/>
  <c r="W1182" i="1"/>
  <c r="W1187" i="1"/>
  <c r="V411" i="4" s="1"/>
  <c r="W1188" i="1"/>
  <c r="W1189" i="1"/>
  <c r="W1190" i="1"/>
  <c r="W1195" i="1"/>
  <c r="V413" i="4" s="1"/>
  <c r="W1196" i="1"/>
  <c r="W1197" i="1"/>
  <c r="W1198" i="1"/>
  <c r="W1203" i="1"/>
  <c r="V415" i="4" s="1"/>
  <c r="W1204" i="1"/>
  <c r="W1205" i="1"/>
  <c r="W1206" i="1"/>
  <c r="W1207" i="1"/>
  <c r="V416" i="4" s="1"/>
  <c r="W1208" i="1"/>
  <c r="W1209" i="1"/>
  <c r="W1210" i="1"/>
  <c r="W1213" i="1"/>
  <c r="V419" i="4" s="1"/>
  <c r="W1214" i="1"/>
  <c r="W1219" i="1"/>
  <c r="V422" i="4" s="1"/>
  <c r="W1220" i="1"/>
  <c r="W1221" i="1"/>
  <c r="W1222" i="1"/>
  <c r="W1227" i="1"/>
  <c r="V424" i="4" s="1"/>
  <c r="W1228" i="1"/>
  <c r="W1229" i="1"/>
  <c r="W1230" i="1"/>
  <c r="W1235" i="1"/>
  <c r="V426" i="4" s="1"/>
  <c r="W1236" i="1"/>
  <c r="W1237" i="1"/>
  <c r="W1238" i="1"/>
  <c r="W1240" i="1"/>
  <c r="W1245" i="1"/>
  <c r="W1246" i="1"/>
  <c r="V430" i="4" s="1"/>
  <c r="W1249" i="1"/>
  <c r="W1250" i="1"/>
  <c r="V432" i="4" s="1"/>
  <c r="W1253" i="1"/>
  <c r="V435" i="4" s="1"/>
  <c r="W1254" i="1"/>
  <c r="W1261" i="1"/>
  <c r="V439" i="4" s="1"/>
  <c r="W1262" i="1"/>
  <c r="W1269" i="1"/>
  <c r="V443" i="4" s="1"/>
  <c r="W1270" i="1"/>
  <c r="W1277" i="1"/>
  <c r="V447" i="4" s="1"/>
  <c r="W1278" i="1"/>
  <c r="W1279" i="1"/>
  <c r="V448" i="4" s="1"/>
  <c r="W1280" i="1"/>
  <c r="W1285" i="1"/>
  <c r="V452" i="4" s="1"/>
  <c r="W1286" i="1"/>
  <c r="W1292" i="1"/>
  <c r="W1293" i="1"/>
  <c r="V456" i="4" s="1"/>
  <c r="W1294" i="1"/>
  <c r="W1299" i="1"/>
  <c r="W1300" i="1"/>
  <c r="W1301" i="1"/>
  <c r="V458" i="4" s="1"/>
  <c r="W1302" i="1"/>
  <c r="W1307" i="1"/>
  <c r="W1308" i="1"/>
  <c r="W1309" i="1"/>
  <c r="V460" i="4" s="1"/>
  <c r="W1310" i="1"/>
  <c r="W1313" i="1"/>
  <c r="V461" i="4" s="1"/>
  <c r="W1314" i="1"/>
  <c r="W1315" i="1"/>
  <c r="W1316" i="1"/>
  <c r="W1317" i="1"/>
  <c r="W1318" i="1"/>
  <c r="W1324" i="1"/>
  <c r="W1325" i="1"/>
  <c r="V469" i="4" s="1"/>
  <c r="W1326" i="1"/>
  <c r="W1332" i="1"/>
  <c r="W1333" i="1"/>
  <c r="W1334" i="1"/>
  <c r="V472" i="4" s="1"/>
  <c r="W1340" i="1"/>
  <c r="V474" i="4" s="1"/>
  <c r="W1341" i="1"/>
  <c r="W1342" i="1"/>
  <c r="W1346" i="1"/>
  <c r="V476" i="4" s="1"/>
  <c r="W1347" i="1"/>
  <c r="W1348" i="1"/>
  <c r="W1349" i="1"/>
  <c r="V482" i="4" s="1"/>
  <c r="W1350" i="1"/>
  <c r="W1356" i="1"/>
  <c r="W1357" i="1"/>
  <c r="V486" i="4" s="1"/>
  <c r="W1358" i="1"/>
  <c r="W1363" i="1"/>
  <c r="W1364" i="1"/>
  <c r="W1365" i="1"/>
  <c r="V488" i="4" s="1"/>
  <c r="W1366" i="1"/>
  <c r="W1371" i="1"/>
  <c r="W1372" i="1"/>
  <c r="W1373" i="1"/>
  <c r="V490" i="4" s="1"/>
  <c r="W1374" i="1"/>
  <c r="W1379" i="1"/>
  <c r="W1380" i="1"/>
  <c r="W1381" i="1"/>
  <c r="V492" i="4" s="1"/>
  <c r="W1382" i="1"/>
  <c r="W1386" i="1"/>
  <c r="W1388" i="1"/>
  <c r="W1389" i="1"/>
  <c r="V494" i="4" s="1"/>
  <c r="W1390" i="1"/>
  <c r="W1392" i="1"/>
  <c r="V495" i="4" s="1"/>
  <c r="W1396" i="1"/>
  <c r="W1397" i="1"/>
  <c r="W1398" i="1"/>
  <c r="W1403" i="1"/>
  <c r="W1405" i="1"/>
  <c r="V502" i="4" s="1"/>
  <c r="W1406" i="1"/>
  <c r="W1413" i="1"/>
  <c r="V506" i="4" s="1"/>
  <c r="W1414" i="1"/>
  <c r="W1421" i="1"/>
  <c r="V510" i="4" s="1"/>
  <c r="W1422" i="1"/>
  <c r="W1427" i="1"/>
  <c r="V512" i="4" s="1"/>
  <c r="W1428" i="1"/>
  <c r="W1429" i="1"/>
  <c r="W1430" i="1"/>
  <c r="W1431" i="1"/>
  <c r="V513" i="4" s="1"/>
  <c r="W1432" i="1"/>
  <c r="W1433" i="1"/>
  <c r="W1437" i="1"/>
  <c r="V516" i="4" s="1"/>
  <c r="W1438" i="1"/>
  <c r="W1442" i="1"/>
  <c r="W1445" i="1"/>
  <c r="W1446" i="1"/>
  <c r="V520" i="4" s="1"/>
  <c r="W1452" i="1"/>
  <c r="V523" i="4" s="1"/>
  <c r="W1453" i="1"/>
  <c r="W1454" i="1"/>
  <c r="V527" i="4" s="1"/>
  <c r="W1456" i="1"/>
  <c r="V528" i="4" s="1"/>
  <c r="W1457" i="1"/>
  <c r="W1461" i="1"/>
  <c r="V532" i="4" s="1"/>
  <c r="W1462" i="1"/>
  <c r="W1469" i="1"/>
  <c r="V536" i="4" s="1"/>
  <c r="W1470" i="1"/>
  <c r="W1477" i="1"/>
  <c r="V540" i="4" s="1"/>
  <c r="W1478" i="1"/>
  <c r="W1485" i="1"/>
  <c r="V544" i="4" s="1"/>
  <c r="W1486" i="1"/>
  <c r="W1491" i="1"/>
  <c r="W1492" i="1"/>
  <c r="W1493" i="1"/>
  <c r="V549" i="4" s="1"/>
  <c r="W1494" i="1"/>
  <c r="W1495" i="1"/>
  <c r="W1498" i="1"/>
  <c r="V552" i="4" s="1"/>
  <c r="W1501" i="1"/>
  <c r="V563" i="4" s="1"/>
  <c r="W1502" i="1"/>
  <c r="W1509" i="1"/>
  <c r="V567" i="4" s="1"/>
  <c r="W1510" i="1"/>
  <c r="W1513" i="1"/>
  <c r="V570" i="4" s="1"/>
  <c r="W1517" i="1"/>
  <c r="W1518" i="1"/>
  <c r="W1521" i="1"/>
  <c r="W1525" i="1"/>
  <c r="V580" i="4" s="1"/>
  <c r="W1526" i="1"/>
  <c r="W1528" i="1"/>
  <c r="V582" i="4" s="1"/>
  <c r="W1533" i="1"/>
  <c r="W1534" i="1"/>
  <c r="V597" i="4" s="1"/>
  <c r="W1541" i="1"/>
  <c r="W1542" i="1"/>
  <c r="V601" i="4" s="1"/>
  <c r="W1544" i="1"/>
  <c r="V602" i="4" s="1"/>
  <c r="W1545" i="1"/>
  <c r="W1549" i="1"/>
  <c r="V612" i="4" s="1"/>
  <c r="W1550" i="1"/>
  <c r="W1557" i="1"/>
  <c r="V616" i="4" s="1"/>
  <c r="W1558" i="1"/>
  <c r="W1565" i="1"/>
  <c r="V620" i="4" s="1"/>
  <c r="W1566" i="1"/>
  <c r="W1573" i="1"/>
  <c r="V624" i="4" s="1"/>
  <c r="W1574" i="1"/>
  <c r="W1579" i="1"/>
  <c r="W1580" i="1"/>
  <c r="W1581" i="1"/>
  <c r="W1582" i="1"/>
  <c r="V628" i="4" s="1"/>
  <c r="W1583" i="1"/>
  <c r="W1584" i="1"/>
  <c r="W1586" i="1"/>
  <c r="V630" i="4" s="1"/>
  <c r="W1588" i="1"/>
  <c r="V643" i="4" s="1"/>
  <c r="W1589" i="1"/>
  <c r="W1590" i="1"/>
  <c r="W1593" i="1"/>
  <c r="V646" i="4" s="1"/>
  <c r="W1597" i="1"/>
  <c r="W1598" i="1"/>
  <c r="V660" i="4" s="1"/>
  <c r="W1602" i="1"/>
  <c r="V664" i="4" s="1"/>
  <c r="W1605" i="1"/>
  <c r="W1606" i="1"/>
  <c r="V676" i="4" s="1"/>
  <c r="W1613" i="1"/>
  <c r="V680" i="4" s="1"/>
  <c r="W1614" i="1"/>
  <c r="W1621" i="1"/>
  <c r="V684" i="4" s="1"/>
  <c r="W1622" i="1"/>
  <c r="W1629" i="1"/>
  <c r="V688" i="4" s="1"/>
  <c r="W1630" i="1"/>
  <c r="W1635" i="1"/>
  <c r="W1636" i="1"/>
  <c r="W1637" i="1"/>
  <c r="W1638" i="1"/>
  <c r="V692" i="4" s="1"/>
  <c r="W1639" i="1"/>
  <c r="W1644" i="1"/>
  <c r="W1645" i="1"/>
  <c r="W1646" i="1"/>
  <c r="V708" i="4" s="1"/>
  <c r="W1648" i="1"/>
  <c r="W1649" i="1"/>
  <c r="V709" i="4" s="1"/>
  <c r="W1650" i="1"/>
  <c r="W1651" i="1"/>
  <c r="V722" i="4" s="1"/>
  <c r="W1652" i="1"/>
  <c r="W1653" i="1"/>
  <c r="W1654" i="1"/>
  <c r="W1656" i="1"/>
  <c r="W1657" i="1"/>
  <c r="W1660" i="1"/>
  <c r="V726" i="4" s="1"/>
  <c r="W1661" i="1"/>
  <c r="W1662" i="1"/>
  <c r="W1667" i="1"/>
  <c r="W1668" i="1"/>
  <c r="V740" i="4" s="1"/>
  <c r="W1669" i="1"/>
  <c r="W1670" i="1"/>
  <c r="W1672" i="1"/>
  <c r="V742" i="4" s="1"/>
  <c r="W1673" i="1"/>
  <c r="V754" i="4" s="1"/>
  <c r="W1674" i="1"/>
  <c r="W1675" i="1"/>
  <c r="W1676" i="1"/>
  <c r="W1678" i="1"/>
  <c r="V772" i="4" s="1"/>
  <c r="W1682" i="1"/>
  <c r="V788" i="4" s="1"/>
  <c r="W1683" i="1"/>
  <c r="W1684" i="1"/>
  <c r="V802" i="4" s="1"/>
  <c r="W1685" i="1"/>
  <c r="W1686" i="1"/>
  <c r="W1687" i="1"/>
  <c r="W1689" i="1"/>
  <c r="W1690" i="1"/>
  <c r="W1691" i="1"/>
  <c r="V804" i="4" s="1"/>
  <c r="W1692" i="1"/>
  <c r="V818" i="4" s="1"/>
  <c r="W1693" i="1"/>
  <c r="W1694" i="1"/>
  <c r="W1699" i="1"/>
  <c r="W1700" i="1"/>
  <c r="W1701" i="1"/>
  <c r="V836" i="4" s="1"/>
  <c r="W1702" i="1"/>
  <c r="W1707" i="1"/>
  <c r="W1708" i="1"/>
  <c r="W1709" i="1"/>
  <c r="V838" i="4" s="1"/>
  <c r="W1710" i="1"/>
  <c r="W1713" i="1"/>
  <c r="V841" i="4" s="1"/>
  <c r="W1717" i="1"/>
  <c r="V852" i="4" s="1"/>
  <c r="W1718" i="1"/>
  <c r="W1721" i="1"/>
  <c r="V855" i="4" s="1"/>
  <c r="W1725" i="1"/>
  <c r="W1726" i="1"/>
  <c r="V868" i="4" s="1"/>
  <c r="W1727" i="1"/>
  <c r="V869" i="4" s="1"/>
  <c r="W1731" i="1"/>
  <c r="W1732" i="1"/>
  <c r="V883" i="4" s="1"/>
  <c r="W1733" i="1"/>
  <c r="W1734" i="1"/>
  <c r="W1735" i="1"/>
  <c r="W1739" i="1"/>
  <c r="W1740" i="1"/>
  <c r="V899" i="4" s="1"/>
  <c r="W1741" i="1"/>
  <c r="W1742" i="1"/>
  <c r="W1747" i="1"/>
  <c r="W1748" i="1"/>
  <c r="V901" i="4" s="1"/>
  <c r="W1749" i="1"/>
  <c r="W1750" i="1"/>
  <c r="W1755" i="1"/>
  <c r="W1756" i="1"/>
  <c r="V903" i="4" s="1"/>
  <c r="W1757" i="1"/>
  <c r="W1758" i="1"/>
  <c r="W1763" i="1"/>
  <c r="W1764" i="1"/>
  <c r="V905" i="4" s="1"/>
  <c r="W1765" i="1"/>
  <c r="W1766" i="1"/>
  <c r="W1771" i="1"/>
  <c r="W1772" i="1"/>
  <c r="V907" i="4" s="1"/>
  <c r="W1773" i="1"/>
  <c r="W1774" i="1"/>
  <c r="W1777" i="1"/>
  <c r="W1780" i="1"/>
  <c r="V909" i="4" s="1"/>
  <c r="W1781" i="1"/>
  <c r="W1782" i="1"/>
  <c r="W1786" i="1"/>
  <c r="W1787" i="1"/>
  <c r="V911" i="4" s="1"/>
  <c r="W1788" i="1"/>
  <c r="W1789" i="1"/>
  <c r="W1790" i="1"/>
  <c r="V914" i="4" s="1"/>
  <c r="W1795" i="1"/>
  <c r="W1796" i="1"/>
  <c r="W1797" i="1"/>
  <c r="W1798" i="1"/>
  <c r="V916" i="4" s="1"/>
  <c r="W1799" i="1"/>
  <c r="W1800" i="1"/>
  <c r="W1803" i="1"/>
  <c r="W1804" i="1"/>
  <c r="W1805" i="1"/>
  <c r="V919" i="4" s="1"/>
  <c r="W1806" i="1"/>
  <c r="W1811" i="1"/>
  <c r="W1812" i="1"/>
  <c r="W1813" i="1"/>
  <c r="V921" i="4" s="1"/>
  <c r="W1814" i="1"/>
  <c r="W1819" i="1"/>
  <c r="W1820" i="1"/>
  <c r="W1821" i="1"/>
  <c r="V923" i="4" s="1"/>
  <c r="W1822" i="1"/>
  <c r="W1827" i="1"/>
  <c r="W1828" i="1"/>
  <c r="W1829" i="1"/>
  <c r="V925" i="4" s="1"/>
  <c r="W1830" i="1"/>
  <c r="W1835" i="1"/>
  <c r="W1836" i="1"/>
  <c r="W1837" i="1"/>
  <c r="V927" i="4" s="1"/>
  <c r="W1838" i="1"/>
  <c r="W1840" i="1"/>
  <c r="V928" i="4" s="1"/>
  <c r="W1841" i="1"/>
  <c r="W1842" i="1"/>
  <c r="W1843" i="1"/>
  <c r="W1844" i="1"/>
  <c r="V930" i="4" s="1"/>
  <c r="W1845" i="1"/>
  <c r="W1846" i="1"/>
  <c r="W1851" i="1"/>
  <c r="W1852" i="1"/>
  <c r="V932" i="4" s="1"/>
  <c r="W1853" i="1"/>
  <c r="W1854" i="1"/>
  <c r="W1859" i="1"/>
  <c r="W1860" i="1"/>
  <c r="V935" i="4" s="1"/>
  <c r="W1861" i="1"/>
  <c r="W1862" i="1"/>
  <c r="W1867" i="1"/>
  <c r="W1868" i="1"/>
  <c r="V937" i="4" s="1"/>
  <c r="W1869" i="1"/>
  <c r="W1870" i="1"/>
  <c r="W1871" i="1"/>
  <c r="W1876" i="1"/>
  <c r="W1877" i="1"/>
  <c r="W1878" i="1"/>
  <c r="V940" i="4" s="1"/>
  <c r="W1884" i="1"/>
  <c r="V942" i="4" s="1"/>
  <c r="W1885" i="1"/>
  <c r="W1886" i="1"/>
  <c r="W1892" i="1"/>
  <c r="W1893" i="1"/>
  <c r="V945" i="4" s="1"/>
  <c r="W1894" i="1"/>
  <c r="W1895" i="1"/>
  <c r="W1901" i="1"/>
  <c r="V949" i="4" s="1"/>
  <c r="W1902" i="1"/>
  <c r="W1909" i="1"/>
  <c r="V953" i="4" s="1"/>
  <c r="W1910" i="1"/>
  <c r="W1915" i="1"/>
  <c r="W1916" i="1"/>
  <c r="W1917" i="1"/>
  <c r="V956" i="4" s="1"/>
  <c r="W1918" i="1"/>
  <c r="W1923" i="1"/>
  <c r="W1924" i="1"/>
  <c r="W1925" i="1"/>
  <c r="V958" i="4" s="1"/>
  <c r="W1926" i="1"/>
  <c r="W1928" i="1"/>
  <c r="W1931" i="1"/>
  <c r="V960" i="4" s="1"/>
  <c r="W1932" i="1"/>
  <c r="W1933" i="1"/>
  <c r="V962" i="4" s="1"/>
  <c r="W1934" i="1"/>
  <c r="W1939" i="1"/>
  <c r="W1940" i="1"/>
  <c r="W1941" i="1"/>
  <c r="V964" i="4" s="1"/>
  <c r="W1942" i="1"/>
  <c r="W1943" i="1"/>
  <c r="W1947" i="1"/>
  <c r="W1948" i="1"/>
  <c r="V967" i="4" s="1"/>
  <c r="W1949" i="1"/>
  <c r="W1950" i="1"/>
  <c r="W1955" i="1"/>
  <c r="W1956" i="1"/>
  <c r="V969" i="4" s="1"/>
  <c r="W1957" i="1"/>
  <c r="W1958" i="1"/>
  <c r="W1963" i="1"/>
  <c r="W1964" i="1"/>
  <c r="V971" i="4" s="1"/>
  <c r="W1965" i="1"/>
  <c r="W1966" i="1"/>
  <c r="W1971" i="1"/>
  <c r="W1972" i="1"/>
  <c r="V973" i="4" s="1"/>
  <c r="W1973" i="1"/>
  <c r="W1974" i="1"/>
  <c r="W1975" i="1"/>
  <c r="W1976" i="1"/>
  <c r="V974" i="4" s="1"/>
  <c r="W1977" i="1"/>
  <c r="W1978" i="1"/>
  <c r="W1981" i="1"/>
  <c r="W1982" i="1"/>
  <c r="V980" i="4" s="1"/>
  <c r="W1989" i="1"/>
  <c r="W1990" i="1"/>
  <c r="V984" i="4" s="1"/>
  <c r="W1995" i="1"/>
  <c r="W1996" i="1"/>
  <c r="V987" i="4" s="1"/>
  <c r="W1997" i="1"/>
  <c r="W1998" i="1"/>
  <c r="W2001" i="1"/>
  <c r="W2003" i="1"/>
  <c r="W2005" i="1"/>
  <c r="W2006" i="1"/>
  <c r="V997" i="4" s="1"/>
  <c r="W2011" i="1"/>
  <c r="W2012" i="1"/>
  <c r="W2013" i="1"/>
  <c r="W2014" i="1"/>
  <c r="V1000" i="4" s="1"/>
  <c r="W2019" i="1"/>
  <c r="W2020" i="1"/>
  <c r="W2021" i="1"/>
  <c r="W2022" i="1"/>
  <c r="V1002" i="4" s="1"/>
  <c r="W2026" i="1"/>
  <c r="V1003" i="4" s="1"/>
  <c r="W2028" i="1"/>
  <c r="W2029" i="1"/>
  <c r="W2030" i="1"/>
  <c r="W2035" i="1"/>
  <c r="W2036" i="1"/>
  <c r="W2037" i="1"/>
  <c r="V1006" i="4" s="1"/>
  <c r="W2038" i="1"/>
  <c r="W2043" i="1"/>
  <c r="W2044" i="1"/>
  <c r="W2045" i="1"/>
  <c r="V1008" i="4" s="1"/>
  <c r="W2046" i="1"/>
  <c r="W2047" i="1"/>
  <c r="W2048" i="1"/>
  <c r="W2053" i="1"/>
  <c r="V1013" i="4" s="1"/>
  <c r="W2054" i="1"/>
  <c r="W2061" i="1"/>
  <c r="V1017" i="4" s="1"/>
  <c r="W2062" i="1"/>
  <c r="W2063" i="1"/>
  <c r="V1018" i="4" s="1"/>
  <c r="W2064" i="1"/>
  <c r="W2069" i="1"/>
  <c r="W2070" i="1"/>
  <c r="V1029" i="4" s="1"/>
  <c r="W2077" i="1"/>
  <c r="W2078" i="1"/>
  <c r="V1033" i="4" s="1"/>
  <c r="W2085" i="1"/>
  <c r="W2086" i="1"/>
  <c r="V1037" i="4" s="1"/>
  <c r="W2092" i="1"/>
  <c r="V1040" i="4" s="1"/>
  <c r="W2093" i="1"/>
  <c r="W2094" i="1"/>
  <c r="W2097" i="1"/>
  <c r="V1044" i="4" s="1"/>
  <c r="W2098" i="1"/>
  <c r="W2101" i="1"/>
  <c r="V1047" i="4" s="1"/>
  <c r="W2102" i="1"/>
  <c r="W2109" i="1"/>
  <c r="V1051" i="4" s="1"/>
  <c r="W2110" i="1"/>
  <c r="W2117" i="1"/>
  <c r="V1055" i="4" s="1"/>
  <c r="W2118" i="1"/>
  <c r="W2119" i="1"/>
  <c r="V1056" i="4" s="1"/>
  <c r="W2120" i="1"/>
  <c r="W2125" i="1"/>
  <c r="W2126" i="1"/>
  <c r="V1061" i="4" s="1"/>
  <c r="W2133" i="1"/>
  <c r="W2134" i="1"/>
  <c r="V1065" i="4" s="1"/>
  <c r="W2138" i="1"/>
  <c r="V1067" i="4" s="1"/>
  <c r="W2139" i="1"/>
  <c r="V3" i="1"/>
  <c r="V4" i="1"/>
  <c r="V5" i="1"/>
  <c r="U3" i="4" s="1"/>
  <c r="V6" i="1"/>
  <c r="V7" i="1"/>
  <c r="V8" i="1"/>
  <c r="W4" i="1" s="1"/>
  <c r="V9" i="1"/>
  <c r="U4" i="4" s="1"/>
  <c r="V10" i="1"/>
  <c r="V11" i="1"/>
  <c r="V12" i="1"/>
  <c r="U5" i="4" s="1"/>
  <c r="V13" i="1"/>
  <c r="V14" i="1"/>
  <c r="V15" i="1"/>
  <c r="V16" i="1"/>
  <c r="V17" i="1"/>
  <c r="U7" i="4" s="1"/>
  <c r="V18" i="1"/>
  <c r="V19" i="1"/>
  <c r="V20" i="1"/>
  <c r="V21" i="1"/>
  <c r="V22" i="1"/>
  <c r="V23" i="1"/>
  <c r="V24" i="1"/>
  <c r="W20" i="1" s="1"/>
  <c r="V25" i="1"/>
  <c r="U9" i="4" s="1"/>
  <c r="V26" i="1"/>
  <c r="V27" i="1"/>
  <c r="V28" i="1"/>
  <c r="V29" i="1"/>
  <c r="V30" i="1"/>
  <c r="V31" i="1"/>
  <c r="V32" i="1"/>
  <c r="W28" i="1" s="1"/>
  <c r="V33" i="1"/>
  <c r="U11" i="4" s="1"/>
  <c r="V34" i="1"/>
  <c r="V35" i="1"/>
  <c r="V36" i="1"/>
  <c r="V37" i="1"/>
  <c r="V38" i="1"/>
  <c r="V39" i="1"/>
  <c r="V40" i="1"/>
  <c r="W36" i="1" s="1"/>
  <c r="V41" i="1"/>
  <c r="U13" i="4" s="1"/>
  <c r="V42" i="1"/>
  <c r="V43" i="1"/>
  <c r="V44" i="1"/>
  <c r="V45" i="1"/>
  <c r="V46" i="1"/>
  <c r="V47" i="1"/>
  <c r="V48" i="1"/>
  <c r="W44" i="1" s="1"/>
  <c r="V49" i="1"/>
  <c r="U15" i="4" s="1"/>
  <c r="V50" i="1"/>
  <c r="V51" i="1"/>
  <c r="V52" i="1"/>
  <c r="V53" i="1"/>
  <c r="U16" i="4" s="1"/>
  <c r="V54" i="1"/>
  <c r="V55" i="1"/>
  <c r="V56" i="1"/>
  <c r="W52" i="1" s="1"/>
  <c r="V57" i="1"/>
  <c r="U17" i="4" s="1"/>
  <c r="V58" i="1"/>
  <c r="V59" i="1"/>
  <c r="V60" i="1"/>
  <c r="V61" i="1"/>
  <c r="U18" i="4" s="1"/>
  <c r="V62" i="1"/>
  <c r="V63" i="1"/>
  <c r="U19" i="4" s="1"/>
  <c r="V64" i="1"/>
  <c r="W62" i="1" s="1"/>
  <c r="V65" i="1"/>
  <c r="U20" i="4" s="1"/>
  <c r="V66" i="1"/>
  <c r="V67" i="1"/>
  <c r="U22" i="4" s="1"/>
  <c r="V68" i="1"/>
  <c r="V69" i="1"/>
  <c r="V70" i="1"/>
  <c r="V71" i="1"/>
  <c r="U23" i="4" s="1"/>
  <c r="V72" i="1"/>
  <c r="W68" i="1" s="1"/>
  <c r="V73" i="1"/>
  <c r="V74" i="1"/>
  <c r="V75" i="1"/>
  <c r="U24" i="4" s="1"/>
  <c r="V76" i="1"/>
  <c r="V77" i="1"/>
  <c r="W73" i="1" s="1"/>
  <c r="V78" i="1"/>
  <c r="V79" i="1"/>
  <c r="U25" i="4" s="1"/>
  <c r="V80" i="1"/>
  <c r="W76" i="1" s="1"/>
  <c r="V81" i="1"/>
  <c r="V82" i="1"/>
  <c r="V83" i="1"/>
  <c r="U26" i="4" s="1"/>
  <c r="V84" i="1"/>
  <c r="V85" i="1"/>
  <c r="W81" i="1" s="1"/>
  <c r="V86" i="1"/>
  <c r="V87" i="1"/>
  <c r="U27" i="4" s="1"/>
  <c r="V88" i="1"/>
  <c r="V89" i="1"/>
  <c r="V90" i="1"/>
  <c r="V91" i="1"/>
  <c r="U28" i="4" s="1"/>
  <c r="V92" i="1"/>
  <c r="V93" i="1"/>
  <c r="V94" i="1"/>
  <c r="V95" i="1"/>
  <c r="U29" i="4" s="1"/>
  <c r="V96" i="1"/>
  <c r="V97" i="1"/>
  <c r="V98" i="1"/>
  <c r="V99" i="1"/>
  <c r="U30" i="4" s="1"/>
  <c r="V100" i="1"/>
  <c r="V101" i="1"/>
  <c r="V102" i="1"/>
  <c r="V103" i="1"/>
  <c r="U31" i="4" s="1"/>
  <c r="V104" i="1"/>
  <c r="V105" i="1"/>
  <c r="V106" i="1"/>
  <c r="V107" i="1"/>
  <c r="U32" i="4" s="1"/>
  <c r="V108" i="1"/>
  <c r="V109" i="1"/>
  <c r="V110" i="1"/>
  <c r="V112" i="1"/>
  <c r="U34" i="4" s="1"/>
  <c r="V113" i="1"/>
  <c r="V114" i="1"/>
  <c r="U35" i="4" s="1"/>
  <c r="V115" i="1"/>
  <c r="V116" i="1"/>
  <c r="U36" i="4" s="1"/>
  <c r="V117" i="1"/>
  <c r="V118" i="1"/>
  <c r="U38" i="4" s="1"/>
  <c r="V119" i="1"/>
  <c r="V120" i="1"/>
  <c r="V121" i="1"/>
  <c r="U39" i="4" s="1"/>
  <c r="V122" i="1"/>
  <c r="V123" i="1"/>
  <c r="V124" i="1"/>
  <c r="V125" i="1"/>
  <c r="U40" i="4" s="1"/>
  <c r="V126" i="1"/>
  <c r="V127" i="1"/>
  <c r="V128" i="1"/>
  <c r="V129" i="1"/>
  <c r="U41" i="4" s="1"/>
  <c r="V130" i="1"/>
  <c r="V131" i="1"/>
  <c r="V132" i="1"/>
  <c r="V133" i="1"/>
  <c r="U42" i="4" s="1"/>
  <c r="V134" i="1"/>
  <c r="V135" i="1"/>
  <c r="V136" i="1"/>
  <c r="V137" i="1"/>
  <c r="U43" i="4" s="1"/>
  <c r="V138" i="1"/>
  <c r="V139" i="1"/>
  <c r="V140" i="1"/>
  <c r="V141" i="1"/>
  <c r="U44" i="4" s="1"/>
  <c r="V142" i="1"/>
  <c r="V143" i="1"/>
  <c r="V144" i="1"/>
  <c r="V145" i="1"/>
  <c r="U45" i="4" s="1"/>
  <c r="V146" i="1"/>
  <c r="V147" i="1"/>
  <c r="V148" i="1"/>
  <c r="V149" i="1"/>
  <c r="U46" i="4" s="1"/>
  <c r="V150" i="1"/>
  <c r="V151" i="1"/>
  <c r="V152" i="1"/>
  <c r="V153" i="1"/>
  <c r="U47" i="4" s="1"/>
  <c r="V154" i="1"/>
  <c r="V155" i="1"/>
  <c r="V156" i="1"/>
  <c r="V157" i="1"/>
  <c r="U48" i="4" s="1"/>
  <c r="V160" i="1"/>
  <c r="V161" i="1"/>
  <c r="U51" i="4" s="1"/>
  <c r="V162" i="1"/>
  <c r="V163" i="1"/>
  <c r="U52" i="4" s="1"/>
  <c r="V164" i="1"/>
  <c r="V165" i="1"/>
  <c r="U53" i="4" s="1"/>
  <c r="V166" i="1"/>
  <c r="U54" i="4" s="1"/>
  <c r="V167" i="1"/>
  <c r="V168" i="1"/>
  <c r="U55" i="4" s="1"/>
  <c r="V169" i="1"/>
  <c r="V170" i="1"/>
  <c r="U56" i="4" s="1"/>
  <c r="V171" i="1"/>
  <c r="V172" i="1"/>
  <c r="U57" i="4" s="1"/>
  <c r="V173" i="1"/>
  <c r="V174" i="1"/>
  <c r="U58" i="4" s="1"/>
  <c r="V175" i="1"/>
  <c r="V176" i="1"/>
  <c r="U59" i="4" s="1"/>
  <c r="V177" i="1"/>
  <c r="V178" i="1"/>
  <c r="U60" i="4" s="1"/>
  <c r="V179" i="1"/>
  <c r="V180" i="1"/>
  <c r="V181" i="1"/>
  <c r="V182" i="1"/>
  <c r="U67" i="4" s="1"/>
  <c r="V183" i="1"/>
  <c r="V184" i="1"/>
  <c r="V185" i="1"/>
  <c r="V186" i="1"/>
  <c r="U68" i="4" s="1"/>
  <c r="V187" i="1"/>
  <c r="V188" i="1"/>
  <c r="V189" i="1"/>
  <c r="U70" i="4" s="1"/>
  <c r="V190" i="1"/>
  <c r="V191" i="1"/>
  <c r="V192" i="1"/>
  <c r="V193" i="1"/>
  <c r="U71" i="4" s="1"/>
  <c r="V194" i="1"/>
  <c r="V195" i="1"/>
  <c r="V196" i="1"/>
  <c r="V197" i="1"/>
  <c r="U72" i="4" s="1"/>
  <c r="V198" i="1"/>
  <c r="V199" i="1"/>
  <c r="V200" i="1"/>
  <c r="V201" i="1"/>
  <c r="U73" i="4" s="1"/>
  <c r="V202" i="1"/>
  <c r="V203" i="1"/>
  <c r="V204" i="1"/>
  <c r="V205" i="1"/>
  <c r="U74" i="4" s="1"/>
  <c r="V206" i="1"/>
  <c r="V207" i="1"/>
  <c r="V208" i="1"/>
  <c r="V209" i="1"/>
  <c r="U75" i="4" s="1"/>
  <c r="V210" i="1"/>
  <c r="V211" i="1"/>
  <c r="V212" i="1"/>
  <c r="V213" i="1"/>
  <c r="U76" i="4" s="1"/>
  <c r="V214" i="1"/>
  <c r="V215" i="1"/>
  <c r="V216" i="1"/>
  <c r="V217" i="1"/>
  <c r="U77" i="4" s="1"/>
  <c r="V218" i="1"/>
  <c r="V219" i="1"/>
  <c r="V220" i="1"/>
  <c r="V221" i="1"/>
  <c r="U78" i="4" s="1"/>
  <c r="V222" i="1"/>
  <c r="V223" i="1"/>
  <c r="V224" i="1"/>
  <c r="V225" i="1"/>
  <c r="U79" i="4" s="1"/>
  <c r="V226" i="1"/>
  <c r="V227" i="1"/>
  <c r="V228" i="1"/>
  <c r="U80" i="4"/>
  <c r="V230" i="1"/>
  <c r="V231" i="1"/>
  <c r="V232" i="1"/>
  <c r="V233" i="1"/>
  <c r="U84" i="4" s="1"/>
  <c r="V234" i="1"/>
  <c r="V235" i="1"/>
  <c r="U85" i="4" s="1"/>
  <c r="V236" i="1"/>
  <c r="V237" i="1"/>
  <c r="U87" i="4" s="1"/>
  <c r="V238" i="1"/>
  <c r="V239" i="1"/>
  <c r="U88" i="4" s="1"/>
  <c r="V240" i="1"/>
  <c r="V241" i="1"/>
  <c r="U89" i="4" s="1"/>
  <c r="V242" i="1"/>
  <c r="V243" i="1"/>
  <c r="U90" i="4" s="1"/>
  <c r="V244" i="1"/>
  <c r="V245" i="1"/>
  <c r="U91" i="4" s="1"/>
  <c r="V246" i="1"/>
  <c r="V247" i="1"/>
  <c r="V248" i="1"/>
  <c r="V249" i="1"/>
  <c r="U98" i="4" s="1"/>
  <c r="V250" i="1"/>
  <c r="V251" i="1"/>
  <c r="U99" i="4" s="1"/>
  <c r="V252" i="1"/>
  <c r="V253" i="1"/>
  <c r="U100" i="4" s="1"/>
  <c r="V254" i="1"/>
  <c r="V255" i="1"/>
  <c r="U101" i="4" s="1"/>
  <c r="V256" i="1"/>
  <c r="V257" i="1"/>
  <c r="U102" i="4" s="1"/>
  <c r="V258" i="1"/>
  <c r="V259" i="1"/>
  <c r="V260" i="1"/>
  <c r="V261" i="1"/>
  <c r="U103" i="4" s="1"/>
  <c r="V262" i="1"/>
  <c r="V263" i="1"/>
  <c r="V264" i="1"/>
  <c r="V265" i="1"/>
  <c r="U104" i="4" s="1"/>
  <c r="V266" i="1"/>
  <c r="V267" i="1"/>
  <c r="V268" i="1"/>
  <c r="V269" i="1"/>
  <c r="U105" i="4" s="1"/>
  <c r="V270" i="1"/>
  <c r="V271" i="1"/>
  <c r="V272" i="1"/>
  <c r="V273" i="1"/>
  <c r="U106" i="4" s="1"/>
  <c r="V274" i="1"/>
  <c r="V275" i="1"/>
  <c r="V276" i="1"/>
  <c r="V277" i="1"/>
  <c r="U107" i="4" s="1"/>
  <c r="V278" i="1"/>
  <c r="V279" i="1"/>
  <c r="V280" i="1"/>
  <c r="V281" i="1"/>
  <c r="U108" i="4" s="1"/>
  <c r="V282" i="1"/>
  <c r="V283" i="1"/>
  <c r="V284" i="1"/>
  <c r="V285" i="1"/>
  <c r="U109" i="4" s="1"/>
  <c r="V286" i="1"/>
  <c r="V287" i="1"/>
  <c r="V288" i="1"/>
  <c r="V289" i="1"/>
  <c r="U110" i="4" s="1"/>
  <c r="V290" i="1"/>
  <c r="V291" i="1"/>
  <c r="V292" i="1"/>
  <c r="V293" i="1"/>
  <c r="U111" i="4" s="1"/>
  <c r="V294" i="1"/>
  <c r="V295" i="1"/>
  <c r="V296" i="1"/>
  <c r="U112" i="4"/>
  <c r="V298" i="1"/>
  <c r="V299" i="1"/>
  <c r="V300" i="1"/>
  <c r="V301" i="1"/>
  <c r="V302" i="1"/>
  <c r="V303" i="1"/>
  <c r="V304" i="1"/>
  <c r="U115" i="4" s="1"/>
  <c r="V305" i="1"/>
  <c r="V306" i="1"/>
  <c r="V307" i="1"/>
  <c r="V308" i="1"/>
  <c r="U116" i="4" s="1"/>
  <c r="V309" i="1"/>
  <c r="V310" i="1"/>
  <c r="V311" i="1"/>
  <c r="V312" i="1"/>
  <c r="U117" i="4" s="1"/>
  <c r="V313" i="1"/>
  <c r="V314" i="1"/>
  <c r="V315" i="1"/>
  <c r="V316" i="1"/>
  <c r="U118" i="4" s="1"/>
  <c r="V317" i="1"/>
  <c r="V318" i="1"/>
  <c r="V319" i="1"/>
  <c r="V320" i="1"/>
  <c r="U119" i="4" s="1"/>
  <c r="V321" i="1"/>
  <c r="V322" i="1"/>
  <c r="V323" i="1"/>
  <c r="V324" i="1"/>
  <c r="U120" i="4" s="1"/>
  <c r="V325" i="1"/>
  <c r="V326" i="1"/>
  <c r="V327" i="1"/>
  <c r="U121" i="4" s="1"/>
  <c r="V328" i="1"/>
  <c r="V329" i="1"/>
  <c r="U122" i="4" s="1"/>
  <c r="V330" i="1"/>
  <c r="V331" i="1"/>
  <c r="U123" i="4" s="1"/>
  <c r="V332" i="1"/>
  <c r="V333" i="1"/>
  <c r="U124" i="4" s="1"/>
  <c r="V334" i="1"/>
  <c r="V335" i="1"/>
  <c r="V336" i="1"/>
  <c r="U125" i="4" s="1"/>
  <c r="V337" i="1"/>
  <c r="V338" i="1"/>
  <c r="U126" i="4" s="1"/>
  <c r="V339" i="1"/>
  <c r="V340" i="1"/>
  <c r="V341" i="1"/>
  <c r="V342" i="1"/>
  <c r="U127" i="4" s="1"/>
  <c r="V343" i="1"/>
  <c r="U128" i="4"/>
  <c r="V345" i="1"/>
  <c r="V346" i="1"/>
  <c r="V347" i="1"/>
  <c r="U131" i="4" s="1"/>
  <c r="V348" i="1"/>
  <c r="V349" i="1"/>
  <c r="U132" i="4" s="1"/>
  <c r="V350" i="1"/>
  <c r="V351" i="1"/>
  <c r="U133" i="4" s="1"/>
  <c r="V352" i="1"/>
  <c r="V353" i="1"/>
  <c r="V354" i="1"/>
  <c r="V355" i="1"/>
  <c r="U135" i="4" s="1"/>
  <c r="V356" i="1"/>
  <c r="V357" i="1"/>
  <c r="V358" i="1"/>
  <c r="V359" i="1"/>
  <c r="U136" i="4" s="1"/>
  <c r="V360" i="1"/>
  <c r="V361" i="1"/>
  <c r="V362" i="1"/>
  <c r="V363" i="1"/>
  <c r="U137" i="4" s="1"/>
  <c r="V364" i="1"/>
  <c r="V365" i="1"/>
  <c r="V366" i="1"/>
  <c r="V367" i="1"/>
  <c r="U138" i="4" s="1"/>
  <c r="V368" i="1"/>
  <c r="V369" i="1"/>
  <c r="V370" i="1"/>
  <c r="V371" i="1"/>
  <c r="U139" i="4" s="1"/>
  <c r="V372" i="1"/>
  <c r="V373" i="1"/>
  <c r="V374" i="1"/>
  <c r="V375" i="1"/>
  <c r="U140" i="4" s="1"/>
  <c r="V376" i="1"/>
  <c r="V377" i="1"/>
  <c r="V378" i="1"/>
  <c r="U141" i="4" s="1"/>
  <c r="V379" i="1"/>
  <c r="V380" i="1"/>
  <c r="U142" i="4" s="1"/>
  <c r="V381" i="1"/>
  <c r="V382" i="1"/>
  <c r="U143" i="4" s="1"/>
  <c r="V383" i="1"/>
  <c r="V384" i="1"/>
  <c r="U144" i="4" s="1"/>
  <c r="V385" i="1"/>
  <c r="V386" i="1"/>
  <c r="U146" i="4" s="1"/>
  <c r="V387" i="1"/>
  <c r="V388" i="1"/>
  <c r="V389" i="1"/>
  <c r="V390" i="1"/>
  <c r="U147" i="4" s="1"/>
  <c r="V391" i="1"/>
  <c r="V392" i="1"/>
  <c r="V393" i="1"/>
  <c r="V394" i="1"/>
  <c r="U148" i="4" s="1"/>
  <c r="V395" i="1"/>
  <c r="V396" i="1"/>
  <c r="V397" i="1"/>
  <c r="V398" i="1"/>
  <c r="U149" i="4" s="1"/>
  <c r="V399" i="1"/>
  <c r="V400" i="1"/>
  <c r="V401" i="1"/>
  <c r="V402" i="1"/>
  <c r="U150" i="4" s="1"/>
  <c r="V403" i="1"/>
  <c r="V404" i="1"/>
  <c r="V405" i="1"/>
  <c r="V406" i="1"/>
  <c r="U151" i="4" s="1"/>
  <c r="V407" i="1"/>
  <c r="V408" i="1"/>
  <c r="V409" i="1"/>
  <c r="V410" i="1"/>
  <c r="U152" i="4" s="1"/>
  <c r="V411" i="1"/>
  <c r="V412" i="1"/>
  <c r="V413" i="1"/>
  <c r="V414" i="1"/>
  <c r="U153" i="4" s="1"/>
  <c r="V415" i="1"/>
  <c r="V416" i="1"/>
  <c r="V417" i="1"/>
  <c r="V418" i="1"/>
  <c r="U154" i="4" s="1"/>
  <c r="V419" i="1"/>
  <c r="V420" i="1"/>
  <c r="V421" i="1"/>
  <c r="V422" i="1"/>
  <c r="U155" i="4" s="1"/>
  <c r="V423" i="1"/>
  <c r="V424" i="1"/>
  <c r="V425" i="1"/>
  <c r="V426" i="1"/>
  <c r="U156" i="4" s="1"/>
  <c r="V427" i="1"/>
  <c r="V428" i="1"/>
  <c r="V429" i="1"/>
  <c r="V430" i="1"/>
  <c r="U157" i="4" s="1"/>
  <c r="V431" i="1"/>
  <c r="V432" i="1"/>
  <c r="V433" i="1"/>
  <c r="V434" i="1"/>
  <c r="U158" i="4" s="1"/>
  <c r="V435" i="1"/>
  <c r="V436" i="1"/>
  <c r="V437" i="1"/>
  <c r="V438" i="1"/>
  <c r="U159" i="4" s="1"/>
  <c r="V439" i="1"/>
  <c r="V440" i="1"/>
  <c r="V441" i="1"/>
  <c r="V442" i="1"/>
  <c r="U160" i="4" s="1"/>
  <c r="V443" i="1"/>
  <c r="V444" i="1"/>
  <c r="V445" i="1"/>
  <c r="U162" i="4" s="1"/>
  <c r="V446" i="1"/>
  <c r="V447" i="1"/>
  <c r="V448" i="1"/>
  <c r="V449" i="1"/>
  <c r="U163" i="4" s="1"/>
  <c r="V450" i="1"/>
  <c r="V451" i="1"/>
  <c r="V452" i="1"/>
  <c r="V453" i="1"/>
  <c r="U164" i="4" s="1"/>
  <c r="V454" i="1"/>
  <c r="V455" i="1"/>
  <c r="V456" i="1"/>
  <c r="U165" i="4" s="1"/>
  <c r="V457" i="1"/>
  <c r="V458" i="1"/>
  <c r="V459" i="1"/>
  <c r="V460" i="1"/>
  <c r="U167" i="4" s="1"/>
  <c r="V461" i="1"/>
  <c r="V462" i="1"/>
  <c r="V463" i="1"/>
  <c r="V464" i="1"/>
  <c r="U168" i="4" s="1"/>
  <c r="V465" i="1"/>
  <c r="V466" i="1"/>
  <c r="V467" i="1"/>
  <c r="V468" i="1"/>
  <c r="U169" i="4" s="1"/>
  <c r="V469" i="1"/>
  <c r="V470" i="1"/>
  <c r="V471" i="1"/>
  <c r="V472" i="1"/>
  <c r="U170" i="4" s="1"/>
  <c r="V473" i="1"/>
  <c r="V474" i="1"/>
  <c r="V475" i="1"/>
  <c r="V476" i="1"/>
  <c r="U171" i="4" s="1"/>
  <c r="V477" i="1"/>
  <c r="V478" i="1"/>
  <c r="V479" i="1"/>
  <c r="V480" i="1"/>
  <c r="V481" i="1"/>
  <c r="V482" i="1"/>
  <c r="U173" i="4" s="1"/>
  <c r="V483" i="1"/>
  <c r="V484" i="1"/>
  <c r="U174" i="4" s="1"/>
  <c r="V485" i="1"/>
  <c r="V486" i="1"/>
  <c r="U175" i="4" s="1"/>
  <c r="V487" i="1"/>
  <c r="V488" i="1"/>
  <c r="U176" i="4" s="1"/>
  <c r="V489" i="1"/>
  <c r="V490" i="1"/>
  <c r="U178" i="4" s="1"/>
  <c r="V491" i="1"/>
  <c r="V492" i="1"/>
  <c r="V493" i="1"/>
  <c r="V494" i="1"/>
  <c r="U179" i="4" s="1"/>
  <c r="V495" i="1"/>
  <c r="V496" i="1"/>
  <c r="V497" i="1"/>
  <c r="V498" i="1"/>
  <c r="U180" i="4" s="1"/>
  <c r="V499" i="1"/>
  <c r="V500" i="1"/>
  <c r="V501" i="1"/>
  <c r="V502" i="1"/>
  <c r="U181" i="4" s="1"/>
  <c r="V503" i="1"/>
  <c r="V504" i="1"/>
  <c r="V505" i="1"/>
  <c r="V506" i="1"/>
  <c r="U182" i="4" s="1"/>
  <c r="V507" i="1"/>
  <c r="V508" i="1"/>
  <c r="V509" i="1"/>
  <c r="V510" i="1"/>
  <c r="U183" i="4" s="1"/>
  <c r="V511" i="1"/>
  <c r="V512" i="1"/>
  <c r="V513" i="1"/>
  <c r="V514" i="1"/>
  <c r="U184" i="4" s="1"/>
  <c r="V515" i="1"/>
  <c r="V516" i="1"/>
  <c r="V517" i="1"/>
  <c r="V518" i="1"/>
  <c r="U185" i="4" s="1"/>
  <c r="V519" i="1"/>
  <c r="V520" i="1"/>
  <c r="V521" i="1"/>
  <c r="V522" i="1"/>
  <c r="U186" i="4" s="1"/>
  <c r="V523" i="1"/>
  <c r="V524" i="1"/>
  <c r="V525" i="1"/>
  <c r="V526" i="1"/>
  <c r="U187" i="4" s="1"/>
  <c r="V527" i="1"/>
  <c r="V528" i="1"/>
  <c r="U188" i="4" s="1"/>
  <c r="V529" i="1"/>
  <c r="V530" i="1"/>
  <c r="U189" i="4" s="1"/>
  <c r="V531" i="1"/>
  <c r="V532" i="1"/>
  <c r="U190" i="4" s="1"/>
  <c r="V533" i="1"/>
  <c r="V534" i="1"/>
  <c r="U191" i="4" s="1"/>
  <c r="V535" i="1"/>
  <c r="V536" i="1"/>
  <c r="U192" i="4" s="1"/>
  <c r="V537" i="1"/>
  <c r="V538" i="1"/>
  <c r="U194" i="4" s="1"/>
  <c r="V539" i="1"/>
  <c r="V540" i="1"/>
  <c r="V541" i="1"/>
  <c r="V542" i="1"/>
  <c r="U195" i="4" s="1"/>
  <c r="V543" i="1"/>
  <c r="V544" i="1"/>
  <c r="V545" i="1"/>
  <c r="V546" i="1"/>
  <c r="U196" i="4" s="1"/>
  <c r="V547" i="1"/>
  <c r="V548" i="1"/>
  <c r="V549" i="1"/>
  <c r="V550" i="1"/>
  <c r="U197" i="4" s="1"/>
  <c r="V551" i="1"/>
  <c r="V552" i="1"/>
  <c r="V553" i="1"/>
  <c r="V554" i="1"/>
  <c r="U198" i="4" s="1"/>
  <c r="V555" i="1"/>
  <c r="V556" i="1"/>
  <c r="V557" i="1"/>
  <c r="V558" i="1"/>
  <c r="U199" i="4" s="1"/>
  <c r="V559" i="1"/>
  <c r="V560" i="1"/>
  <c r="V561" i="1"/>
  <c r="V562" i="1"/>
  <c r="U200" i="4" s="1"/>
  <c r="V563" i="1"/>
  <c r="V564" i="1"/>
  <c r="V565" i="1"/>
  <c r="V566" i="1"/>
  <c r="U201" i="4" s="1"/>
  <c r="V567" i="1"/>
  <c r="V568" i="1"/>
  <c r="V569" i="1"/>
  <c r="V570" i="1"/>
  <c r="U202" i="4" s="1"/>
  <c r="V571" i="1"/>
  <c r="V572" i="1"/>
  <c r="V573" i="1"/>
  <c r="V574" i="1"/>
  <c r="U203" i="4" s="1"/>
  <c r="V575" i="1"/>
  <c r="V576" i="1"/>
  <c r="U204" i="4" s="1"/>
  <c r="V577" i="1"/>
  <c r="V578" i="1"/>
  <c r="U205" i="4" s="1"/>
  <c r="V579" i="1"/>
  <c r="V580" i="1"/>
  <c r="U206" i="4" s="1"/>
  <c r="V581" i="1"/>
  <c r="V582" i="1"/>
  <c r="U207" i="4" s="1"/>
  <c r="V583" i="1"/>
  <c r="V584" i="1"/>
  <c r="U209" i="4" s="1"/>
  <c r="V585" i="1"/>
  <c r="U210" i="4" s="1"/>
  <c r="V586" i="1"/>
  <c r="V587" i="1"/>
  <c r="V588" i="1"/>
  <c r="V589" i="1"/>
  <c r="U211" i="4" s="1"/>
  <c r="V590" i="1"/>
  <c r="V591" i="1"/>
  <c r="V592" i="1"/>
  <c r="V593" i="1"/>
  <c r="U212" i="4" s="1"/>
  <c r="V594" i="1"/>
  <c r="V595" i="1"/>
  <c r="V596" i="1"/>
  <c r="V597" i="1"/>
  <c r="U213" i="4" s="1"/>
  <c r="V598" i="1"/>
  <c r="V599" i="1"/>
  <c r="V600" i="1"/>
  <c r="V601" i="1"/>
  <c r="U214" i="4" s="1"/>
  <c r="V602" i="1"/>
  <c r="V603" i="1"/>
  <c r="V604" i="1"/>
  <c r="V605" i="1"/>
  <c r="U215" i="4" s="1"/>
  <c r="V606" i="1"/>
  <c r="V607" i="1"/>
  <c r="V608" i="1"/>
  <c r="V609" i="1"/>
  <c r="U216" i="4" s="1"/>
  <c r="V610" i="1"/>
  <c r="V611" i="1"/>
  <c r="V612" i="1"/>
  <c r="V613" i="1"/>
  <c r="U217" i="4" s="1"/>
  <c r="V614" i="1"/>
  <c r="V615" i="1"/>
  <c r="V616" i="1"/>
  <c r="V617" i="1"/>
  <c r="U218" i="4" s="1"/>
  <c r="V618" i="1"/>
  <c r="V619" i="1"/>
  <c r="V620" i="1"/>
  <c r="V621" i="1"/>
  <c r="U219" i="4" s="1"/>
  <c r="V622" i="1"/>
  <c r="V623" i="1"/>
  <c r="U220" i="4" s="1"/>
  <c r="V624" i="1"/>
  <c r="V625" i="1"/>
  <c r="U221" i="4" s="1"/>
  <c r="V626" i="1"/>
  <c r="V627" i="1"/>
  <c r="U222" i="4" s="1"/>
  <c r="V628" i="1"/>
  <c r="V629" i="1"/>
  <c r="U223" i="4" s="1"/>
  <c r="V630" i="1"/>
  <c r="V631" i="1"/>
  <c r="U224" i="4" s="1"/>
  <c r="V632" i="1"/>
  <c r="V633" i="1"/>
  <c r="U226" i="4" s="1"/>
  <c r="V634" i="1"/>
  <c r="V635" i="1"/>
  <c r="V636" i="1"/>
  <c r="V637" i="1"/>
  <c r="U227" i="4" s="1"/>
  <c r="V638" i="1"/>
  <c r="V639" i="1"/>
  <c r="V640" i="1"/>
  <c r="V641" i="1"/>
  <c r="U228" i="4" s="1"/>
  <c r="V642" i="1"/>
  <c r="V643" i="1"/>
  <c r="V644" i="1"/>
  <c r="V645" i="1"/>
  <c r="U229" i="4" s="1"/>
  <c r="V646" i="1"/>
  <c r="V647" i="1"/>
  <c r="V648" i="1"/>
  <c r="V649" i="1"/>
  <c r="U230" i="4" s="1"/>
  <c r="V650" i="1"/>
  <c r="V651" i="1"/>
  <c r="V652" i="1"/>
  <c r="V653" i="1"/>
  <c r="U231" i="4" s="1"/>
  <c r="V654" i="1"/>
  <c r="V655" i="1"/>
  <c r="V656" i="1"/>
  <c r="V657" i="1"/>
  <c r="U232" i="4" s="1"/>
  <c r="V658" i="1"/>
  <c r="V659" i="1"/>
  <c r="V660" i="1"/>
  <c r="V661" i="1"/>
  <c r="U233" i="4" s="1"/>
  <c r="V662" i="1"/>
  <c r="V663" i="1"/>
  <c r="V664" i="1"/>
  <c r="V665" i="1"/>
  <c r="U234" i="4" s="1"/>
  <c r="V666" i="1"/>
  <c r="V667" i="1"/>
  <c r="V668" i="1"/>
  <c r="V669" i="1"/>
  <c r="U235" i="4" s="1"/>
  <c r="V670" i="1"/>
  <c r="V671" i="1"/>
  <c r="U236" i="4" s="1"/>
  <c r="V672" i="1"/>
  <c r="V673" i="1"/>
  <c r="V674" i="1"/>
  <c r="V675" i="1"/>
  <c r="V676" i="1"/>
  <c r="V677" i="1"/>
  <c r="U246" i="4" s="1"/>
  <c r="V678" i="1"/>
  <c r="V679" i="1"/>
  <c r="V680" i="1"/>
  <c r="V681" i="1"/>
  <c r="U247" i="4" s="1"/>
  <c r="V682" i="1"/>
  <c r="V683" i="1"/>
  <c r="V684" i="1"/>
  <c r="V685" i="1"/>
  <c r="U248" i="4" s="1"/>
  <c r="V686" i="1"/>
  <c r="V687" i="1"/>
  <c r="V688" i="1"/>
  <c r="V689" i="1"/>
  <c r="U249" i="4" s="1"/>
  <c r="V690" i="1"/>
  <c r="V691" i="1"/>
  <c r="V692" i="1"/>
  <c r="V693" i="1"/>
  <c r="U250" i="4" s="1"/>
  <c r="V694" i="1"/>
  <c r="V695" i="1"/>
  <c r="V696" i="1"/>
  <c r="V697" i="1"/>
  <c r="U251" i="4" s="1"/>
  <c r="V698" i="1"/>
  <c r="V699" i="1"/>
  <c r="V700" i="1"/>
  <c r="V701" i="1"/>
  <c r="U252" i="4" s="1"/>
  <c r="V702" i="1"/>
  <c r="V703" i="1"/>
  <c r="V704" i="1"/>
  <c r="V705" i="1"/>
  <c r="U253" i="4" s="1"/>
  <c r="V706" i="1"/>
  <c r="V707" i="1"/>
  <c r="V708" i="1"/>
  <c r="V709" i="1"/>
  <c r="U254" i="4" s="1"/>
  <c r="V710" i="1"/>
  <c r="V711" i="1"/>
  <c r="V712" i="1"/>
  <c r="V713" i="1"/>
  <c r="U255" i="4" s="1"/>
  <c r="V714" i="1"/>
  <c r="V715" i="1"/>
  <c r="V716" i="1"/>
  <c r="V717" i="1"/>
  <c r="U256" i="4" s="1"/>
  <c r="V718" i="1"/>
  <c r="V719" i="1"/>
  <c r="V720" i="1"/>
  <c r="V721" i="1"/>
  <c r="U258" i="4" s="1"/>
  <c r="V722" i="1"/>
  <c r="V723" i="1"/>
  <c r="V724" i="1"/>
  <c r="V725" i="1"/>
  <c r="U259" i="4" s="1"/>
  <c r="V726" i="1"/>
  <c r="V727" i="1"/>
  <c r="V728" i="1"/>
  <c r="V729" i="1"/>
  <c r="U260" i="4" s="1"/>
  <c r="V730" i="1"/>
  <c r="V731" i="1"/>
  <c r="V732" i="1"/>
  <c r="V733" i="1"/>
  <c r="U261" i="4" s="1"/>
  <c r="V734" i="1"/>
  <c r="V735" i="1"/>
  <c r="V736" i="1"/>
  <c r="U262" i="4" s="1"/>
  <c r="V737" i="1"/>
  <c r="V738" i="1"/>
  <c r="V739" i="1"/>
  <c r="V740" i="1"/>
  <c r="U263" i="4" s="1"/>
  <c r="V741" i="1"/>
  <c r="V742" i="1"/>
  <c r="V743" i="1"/>
  <c r="V744" i="1"/>
  <c r="U264" i="4" s="1"/>
  <c r="V745" i="1"/>
  <c r="V746" i="1"/>
  <c r="V747" i="1"/>
  <c r="V748" i="1"/>
  <c r="U265" i="4" s="1"/>
  <c r="V749" i="1"/>
  <c r="V750" i="1"/>
  <c r="V751" i="1"/>
  <c r="V752" i="1"/>
  <c r="U266" i="4" s="1"/>
  <c r="V753" i="1"/>
  <c r="V754" i="1"/>
  <c r="V755" i="1"/>
  <c r="V756" i="1"/>
  <c r="U267" i="4" s="1"/>
  <c r="V757" i="1"/>
  <c r="V758" i="1"/>
  <c r="V759" i="1"/>
  <c r="U268" i="4" s="1"/>
  <c r="V760" i="1"/>
  <c r="V761" i="1"/>
  <c r="U269" i="4" s="1"/>
  <c r="V762" i="1"/>
  <c r="V763" i="1"/>
  <c r="U270" i="4" s="1"/>
  <c r="V764" i="1"/>
  <c r="V765" i="1"/>
  <c r="U271" i="4" s="1"/>
  <c r="V766" i="1"/>
  <c r="V767" i="1"/>
  <c r="U272" i="4" s="1"/>
  <c r="V768" i="1"/>
  <c r="V769" i="1"/>
  <c r="V770" i="1"/>
  <c r="V771" i="1"/>
  <c r="V772" i="1"/>
  <c r="U278" i="4" s="1"/>
  <c r="V773" i="1"/>
  <c r="V774" i="1"/>
  <c r="V775" i="1"/>
  <c r="V776" i="1"/>
  <c r="U279" i="4" s="1"/>
  <c r="V777" i="1"/>
  <c r="V778" i="1"/>
  <c r="V779" i="1"/>
  <c r="V780" i="1"/>
  <c r="U280" i="4" s="1"/>
  <c r="V781" i="1"/>
  <c r="V782" i="1"/>
  <c r="V783" i="1"/>
  <c r="V784" i="1"/>
  <c r="U281" i="4" s="1"/>
  <c r="V785" i="1"/>
  <c r="V786" i="1"/>
  <c r="V787" i="1"/>
  <c r="V788" i="1"/>
  <c r="U282" i="4" s="1"/>
  <c r="V789" i="1"/>
  <c r="V790" i="1"/>
  <c r="V791" i="1"/>
  <c r="V792" i="1"/>
  <c r="U283" i="4" s="1"/>
  <c r="V793" i="1"/>
  <c r="V794" i="1"/>
  <c r="V795" i="1"/>
  <c r="V796" i="1"/>
  <c r="U284" i="4" s="1"/>
  <c r="V797" i="1"/>
  <c r="V798" i="1"/>
  <c r="V799" i="1"/>
  <c r="V800" i="1"/>
  <c r="U285" i="4" s="1"/>
  <c r="V801" i="1"/>
  <c r="V802" i="1"/>
  <c r="V803" i="1"/>
  <c r="V804" i="1"/>
  <c r="V805" i="1"/>
  <c r="V806" i="1"/>
  <c r="U287" i="4" s="1"/>
  <c r="V807" i="1"/>
  <c r="V808" i="1"/>
  <c r="V809" i="1"/>
  <c r="V810" i="1"/>
  <c r="U288" i="4" s="1"/>
  <c r="V811" i="1"/>
  <c r="V812" i="1"/>
  <c r="V813" i="1"/>
  <c r="V814" i="1"/>
  <c r="V815" i="1"/>
  <c r="V816" i="1"/>
  <c r="V817" i="1"/>
  <c r="U294" i="4" s="1"/>
  <c r="V818" i="1"/>
  <c r="V819" i="1"/>
  <c r="V820" i="1"/>
  <c r="V821" i="1"/>
  <c r="U295" i="4" s="1"/>
  <c r="V822" i="1"/>
  <c r="V823" i="1"/>
  <c r="V824" i="1"/>
  <c r="V825" i="1"/>
  <c r="U296" i="4" s="1"/>
  <c r="V826" i="1"/>
  <c r="V827" i="1"/>
  <c r="V828" i="1"/>
  <c r="V829" i="1"/>
  <c r="U297" i="4" s="1"/>
  <c r="V830" i="1"/>
  <c r="V831" i="1"/>
  <c r="V832" i="1"/>
  <c r="V833" i="1"/>
  <c r="U298" i="4" s="1"/>
  <c r="V834" i="1"/>
  <c r="V835" i="1"/>
  <c r="V836" i="1"/>
  <c r="V837" i="1"/>
  <c r="U299" i="4" s="1"/>
  <c r="V838" i="1"/>
  <c r="V839" i="1"/>
  <c r="V840" i="1"/>
  <c r="V841" i="1"/>
  <c r="V842" i="1"/>
  <c r="U302" i="4" s="1"/>
  <c r="V843" i="1"/>
  <c r="V844" i="1"/>
  <c r="V845" i="1"/>
  <c r="V846" i="1"/>
  <c r="U303" i="4" s="1"/>
  <c r="V847" i="1"/>
  <c r="V848" i="1"/>
  <c r="V849" i="1"/>
  <c r="V850" i="1"/>
  <c r="U304" i="4" s="1"/>
  <c r="V851" i="1"/>
  <c r="V852" i="1"/>
  <c r="V853" i="1"/>
  <c r="V854" i="1"/>
  <c r="U306" i="4" s="1"/>
  <c r="V855" i="1"/>
  <c r="V856" i="1"/>
  <c r="U307" i="4" s="1"/>
  <c r="V857" i="1"/>
  <c r="V858" i="1"/>
  <c r="U308" i="4" s="1"/>
  <c r="V859" i="1"/>
  <c r="V860" i="1"/>
  <c r="U309" i="4" s="1"/>
  <c r="V861" i="1"/>
  <c r="V862" i="1"/>
  <c r="V863" i="1"/>
  <c r="V864" i="1"/>
  <c r="U310" i="4" s="1"/>
  <c r="V865" i="1"/>
  <c r="V866" i="1"/>
  <c r="V867" i="1"/>
  <c r="V868" i="1"/>
  <c r="U311" i="4" s="1"/>
  <c r="V869" i="1"/>
  <c r="V870" i="1"/>
  <c r="V871" i="1"/>
  <c r="V872" i="1"/>
  <c r="U312" i="4" s="1"/>
  <c r="V873" i="1"/>
  <c r="V874" i="1"/>
  <c r="V875" i="1"/>
  <c r="V876" i="1"/>
  <c r="U313" i="4" s="1"/>
  <c r="V877" i="1"/>
  <c r="V878" i="1"/>
  <c r="V879" i="1"/>
  <c r="V880" i="1"/>
  <c r="U314" i="4" s="1"/>
  <c r="V881" i="1"/>
  <c r="V882" i="1"/>
  <c r="V883" i="1"/>
  <c r="V884" i="1"/>
  <c r="U315" i="4" s="1"/>
  <c r="V885" i="1"/>
  <c r="V886" i="1"/>
  <c r="V887" i="1"/>
  <c r="V888" i="1"/>
  <c r="U316" i="4" s="1"/>
  <c r="V889" i="1"/>
  <c r="V890" i="1"/>
  <c r="V891" i="1"/>
  <c r="V892" i="1"/>
  <c r="U317" i="4" s="1"/>
  <c r="V893" i="1"/>
  <c r="V894" i="1"/>
  <c r="V895" i="1"/>
  <c r="U318" i="4" s="1"/>
  <c r="V896" i="1"/>
  <c r="V897" i="1"/>
  <c r="V898" i="1"/>
  <c r="U322" i="4" s="1"/>
  <c r="V899" i="1"/>
  <c r="V900" i="1"/>
  <c r="U323" i="4" s="1"/>
  <c r="V901" i="1"/>
  <c r="V902" i="1"/>
  <c r="U324" i="4" s="1"/>
  <c r="V903" i="1"/>
  <c r="V904" i="1"/>
  <c r="U325" i="4" s="1"/>
  <c r="V905" i="1"/>
  <c r="U326" i="4" s="1"/>
  <c r="V906" i="1"/>
  <c r="V907" i="1"/>
  <c r="V908" i="1"/>
  <c r="V909" i="1"/>
  <c r="U327" i="4" s="1"/>
  <c r="V910" i="1"/>
  <c r="V911" i="1"/>
  <c r="V912" i="1"/>
  <c r="V913" i="1"/>
  <c r="U328" i="4" s="1"/>
  <c r="V914" i="1"/>
  <c r="V915" i="1"/>
  <c r="V916" i="1"/>
  <c r="V917" i="1"/>
  <c r="U329" i="4" s="1"/>
  <c r="V918" i="1"/>
  <c r="V919" i="1"/>
  <c r="V920" i="1"/>
  <c r="V921" i="1"/>
  <c r="U330" i="4" s="1"/>
  <c r="V922" i="1"/>
  <c r="V923" i="1"/>
  <c r="V924" i="1"/>
  <c r="V925" i="1"/>
  <c r="U331" i="4" s="1"/>
  <c r="V926" i="1"/>
  <c r="V927" i="1"/>
  <c r="V928" i="1"/>
  <c r="V929" i="1"/>
  <c r="U332" i="4" s="1"/>
  <c r="V930" i="1"/>
  <c r="V931" i="1"/>
  <c r="V932" i="1"/>
  <c r="V933" i="1"/>
  <c r="U333" i="4" s="1"/>
  <c r="V934" i="1"/>
  <c r="V935" i="1"/>
  <c r="V936" i="1"/>
  <c r="V937" i="1"/>
  <c r="U334" i="4" s="1"/>
  <c r="V938" i="1"/>
  <c r="V939" i="1"/>
  <c r="V940" i="1"/>
  <c r="V941" i="1"/>
  <c r="U335" i="4" s="1"/>
  <c r="V942" i="1"/>
  <c r="V943" i="1"/>
  <c r="V944" i="1"/>
  <c r="V945" i="1"/>
  <c r="U336" i="4" s="1"/>
  <c r="V946" i="1"/>
  <c r="V947" i="1"/>
  <c r="V948" i="1"/>
  <c r="V949" i="1"/>
  <c r="U337" i="4" s="1"/>
  <c r="V950" i="1"/>
  <c r="V951" i="1"/>
  <c r="V952" i="1"/>
  <c r="V953" i="1"/>
  <c r="U338" i="4" s="1"/>
  <c r="V954" i="1"/>
  <c r="V955" i="1"/>
  <c r="V956" i="1"/>
  <c r="V957" i="1"/>
  <c r="U339" i="4" s="1"/>
  <c r="V958" i="1"/>
  <c r="V959" i="1"/>
  <c r="V960" i="1"/>
  <c r="V961" i="1"/>
  <c r="U340" i="4" s="1"/>
  <c r="V962" i="1"/>
  <c r="V963" i="1"/>
  <c r="U341" i="4" s="1"/>
  <c r="V964" i="1"/>
  <c r="U342" i="4" s="1"/>
  <c r="V965" i="1"/>
  <c r="V966" i="1"/>
  <c r="V967" i="1"/>
  <c r="V968" i="1"/>
  <c r="U343" i="4" s="1"/>
  <c r="V969" i="1"/>
  <c r="V970" i="1"/>
  <c r="V971" i="1"/>
  <c r="V972" i="1"/>
  <c r="U344" i="4" s="1"/>
  <c r="V973" i="1"/>
  <c r="V974" i="1"/>
  <c r="V975" i="1"/>
  <c r="V976" i="1"/>
  <c r="U345" i="4" s="1"/>
  <c r="V977" i="1"/>
  <c r="V978" i="1"/>
  <c r="V979" i="1"/>
  <c r="V980" i="1"/>
  <c r="U346" i="4" s="1"/>
  <c r="V981" i="1"/>
  <c r="V982" i="1"/>
  <c r="V983" i="1"/>
  <c r="V984" i="1"/>
  <c r="U347" i="4" s="1"/>
  <c r="V985" i="1"/>
  <c r="V986" i="1"/>
  <c r="V987" i="1"/>
  <c r="V988" i="1"/>
  <c r="U348" i="4" s="1"/>
  <c r="V989" i="1"/>
  <c r="V990" i="1"/>
  <c r="V991" i="1"/>
  <c r="V992" i="1"/>
  <c r="U349" i="4" s="1"/>
  <c r="V993" i="1"/>
  <c r="V994" i="1"/>
  <c r="V995" i="1"/>
  <c r="V996" i="1"/>
  <c r="U350" i="4" s="1"/>
  <c r="V997" i="1"/>
  <c r="V998" i="1"/>
  <c r="V999" i="1"/>
  <c r="V1000" i="1"/>
  <c r="U351" i="4" s="1"/>
  <c r="V1001" i="1"/>
  <c r="V1002" i="1"/>
  <c r="V1003" i="1"/>
  <c r="V1004" i="1"/>
  <c r="U352" i="4" s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U354" i="4" s="1"/>
  <c r="V1034" i="1"/>
  <c r="V1035" i="1"/>
  <c r="U355" i="4" s="1"/>
  <c r="V1036" i="1"/>
  <c r="V1037" i="1"/>
  <c r="U356" i="4" s="1"/>
  <c r="V1038" i="1"/>
  <c r="V1039" i="1"/>
  <c r="U357" i="4" s="1"/>
  <c r="V1040" i="1"/>
  <c r="V1041" i="1"/>
  <c r="U358" i="4" s="1"/>
  <c r="V1042" i="1"/>
  <c r="V1043" i="1"/>
  <c r="U359" i="4" s="1"/>
  <c r="V1044" i="1"/>
  <c r="V1045" i="1"/>
  <c r="U360" i="4" s="1"/>
  <c r="V1046" i="1"/>
  <c r="V1047" i="1"/>
  <c r="U361" i="4" s="1"/>
  <c r="V1048" i="1"/>
  <c r="V1049" i="1"/>
  <c r="U362" i="4" s="1"/>
  <c r="V1050" i="1"/>
  <c r="V1051" i="1"/>
  <c r="U363" i="4" s="1"/>
  <c r="V1052" i="1"/>
  <c r="V1053" i="1"/>
  <c r="U364" i="4" s="1"/>
  <c r="V1054" i="1"/>
  <c r="V1055" i="1"/>
  <c r="U365" i="4" s="1"/>
  <c r="V1056" i="1"/>
  <c r="V1057" i="1"/>
  <c r="U366" i="4" s="1"/>
  <c r="V1058" i="1"/>
  <c r="V1059" i="1"/>
  <c r="U367" i="4" s="1"/>
  <c r="V1060" i="1"/>
  <c r="V1061" i="1"/>
  <c r="U368" i="4" s="1"/>
  <c r="V1062" i="1"/>
  <c r="V1063" i="1"/>
  <c r="U370" i="4" s="1"/>
  <c r="V1064" i="1"/>
  <c r="V1065" i="1"/>
  <c r="V1066" i="1"/>
  <c r="V1067" i="1"/>
  <c r="U371" i="4" s="1"/>
  <c r="V1068" i="1"/>
  <c r="V1069" i="1"/>
  <c r="V1070" i="1"/>
  <c r="V1071" i="1"/>
  <c r="U372" i="4" s="1"/>
  <c r="V1072" i="1"/>
  <c r="V1073" i="1"/>
  <c r="U373" i="4" s="1"/>
  <c r="V1074" i="1"/>
  <c r="U374" i="4" s="1"/>
  <c r="V1075" i="1"/>
  <c r="V1076" i="1"/>
  <c r="V1077" i="1"/>
  <c r="V1078" i="1"/>
  <c r="U375" i="4" s="1"/>
  <c r="V1079" i="1"/>
  <c r="V1080" i="1"/>
  <c r="V1081" i="1"/>
  <c r="V1082" i="1"/>
  <c r="U376" i="4" s="1"/>
  <c r="V1083" i="1"/>
  <c r="V1084" i="1"/>
  <c r="V1085" i="1"/>
  <c r="V1086" i="1"/>
  <c r="U377" i="4" s="1"/>
  <c r="V1087" i="1"/>
  <c r="V1088" i="1"/>
  <c r="V1089" i="1"/>
  <c r="V1090" i="1"/>
  <c r="U378" i="4" s="1"/>
  <c r="V1091" i="1"/>
  <c r="V1092" i="1"/>
  <c r="V1093" i="1"/>
  <c r="V1094" i="1"/>
  <c r="U379" i="4" s="1"/>
  <c r="V1095" i="1"/>
  <c r="V1096" i="1"/>
  <c r="V1097" i="1"/>
  <c r="V1098" i="1"/>
  <c r="U380" i="4" s="1"/>
  <c r="V1099" i="1"/>
  <c r="V1100" i="1"/>
  <c r="V1101" i="1"/>
  <c r="V1102" i="1"/>
  <c r="U381" i="4" s="1"/>
  <c r="V1103" i="1"/>
  <c r="V1104" i="1"/>
  <c r="V1105" i="1"/>
  <c r="V1106" i="1"/>
  <c r="U382" i="4" s="1"/>
  <c r="V1107" i="1"/>
  <c r="V1108" i="1"/>
  <c r="V1109" i="1"/>
  <c r="V1110" i="1"/>
  <c r="U383" i="4" s="1"/>
  <c r="V1111" i="1"/>
  <c r="V1112" i="1"/>
  <c r="V1113" i="1"/>
  <c r="V1114" i="1"/>
  <c r="U384" i="4" s="1"/>
  <c r="V1115" i="1"/>
  <c r="V1116" i="1"/>
  <c r="V1117" i="1"/>
  <c r="V1118" i="1"/>
  <c r="V1119" i="1"/>
  <c r="U387" i="4" s="1"/>
  <c r="V1120" i="1"/>
  <c r="V1121" i="1"/>
  <c r="U388" i="4" s="1"/>
  <c r="V1122" i="1"/>
  <c r="V1123" i="1"/>
  <c r="U389" i="4" s="1"/>
  <c r="V1124" i="1"/>
  <c r="U390" i="4" s="1"/>
  <c r="V1125" i="1"/>
  <c r="V1126" i="1"/>
  <c r="V1127" i="1"/>
  <c r="V1128" i="1"/>
  <c r="U391" i="4" s="1"/>
  <c r="V1129" i="1"/>
  <c r="V1130" i="1"/>
  <c r="V1131" i="1"/>
  <c r="V1132" i="1"/>
  <c r="U392" i="4" s="1"/>
  <c r="V1133" i="1"/>
  <c r="V1134" i="1"/>
  <c r="V1135" i="1"/>
  <c r="V1136" i="1"/>
  <c r="U393" i="4" s="1"/>
  <c r="V1137" i="1"/>
  <c r="V1138" i="1"/>
  <c r="V1139" i="1"/>
  <c r="V1140" i="1"/>
  <c r="U394" i="4" s="1"/>
  <c r="V1141" i="1"/>
  <c r="V1142" i="1"/>
  <c r="V1143" i="1"/>
  <c r="V1144" i="1"/>
  <c r="U395" i="4" s="1"/>
  <c r="V1145" i="1"/>
  <c r="V1146" i="1"/>
  <c r="V1147" i="1"/>
  <c r="U396" i="4" s="1"/>
  <c r="V1148" i="1"/>
  <c r="V1149" i="1"/>
  <c r="V1150" i="1"/>
  <c r="V1151" i="1"/>
  <c r="U397" i="4" s="1"/>
  <c r="V1152" i="1"/>
  <c r="V1153" i="1"/>
  <c r="V1154" i="1"/>
  <c r="U398" i="4" s="1"/>
  <c r="V1155" i="1"/>
  <c r="V1156" i="1"/>
  <c r="V1157" i="1"/>
  <c r="U399" i="4" s="1"/>
  <c r="V1158" i="1"/>
  <c r="U400" i="4" s="1"/>
  <c r="V1159" i="1"/>
  <c r="V1160" i="1"/>
  <c r="V1161" i="1"/>
  <c r="V1162" i="1"/>
  <c r="U403" i="4" s="1"/>
  <c r="V1163" i="1"/>
  <c r="V1164" i="1"/>
  <c r="U404" i="4" s="1"/>
  <c r="V1165" i="1"/>
  <c r="V1166" i="1"/>
  <c r="U405" i="4" s="1"/>
  <c r="V1167" i="1"/>
  <c r="U406" i="4" s="1"/>
  <c r="V1168" i="1"/>
  <c r="V1169" i="1"/>
  <c r="V1170" i="1"/>
  <c r="V1171" i="1"/>
  <c r="U407" i="4" s="1"/>
  <c r="V1172" i="1"/>
  <c r="V1173" i="1"/>
  <c r="V1174" i="1"/>
  <c r="V1175" i="1"/>
  <c r="U408" i="4" s="1"/>
  <c r="V1176" i="1"/>
  <c r="V1177" i="1"/>
  <c r="V1178" i="1"/>
  <c r="V1179" i="1"/>
  <c r="U409" i="4" s="1"/>
  <c r="V1180" i="1"/>
  <c r="V1181" i="1"/>
  <c r="V1182" i="1"/>
  <c r="V1183" i="1"/>
  <c r="U410" i="4" s="1"/>
  <c r="V1184" i="1"/>
  <c r="V1185" i="1"/>
  <c r="V1186" i="1"/>
  <c r="V1187" i="1"/>
  <c r="U411" i="4" s="1"/>
  <c r="V1188" i="1"/>
  <c r="V1189" i="1"/>
  <c r="V1190" i="1"/>
  <c r="V1191" i="1"/>
  <c r="U412" i="4" s="1"/>
  <c r="V1192" i="1"/>
  <c r="V1193" i="1"/>
  <c r="V1194" i="1"/>
  <c r="V1195" i="1"/>
  <c r="U413" i="4" s="1"/>
  <c r="V1196" i="1"/>
  <c r="V1197" i="1"/>
  <c r="V1198" i="1"/>
  <c r="V1199" i="1"/>
  <c r="U414" i="4" s="1"/>
  <c r="V1200" i="1"/>
  <c r="V1201" i="1"/>
  <c r="V1202" i="1"/>
  <c r="V1203" i="1"/>
  <c r="U415" i="4" s="1"/>
  <c r="V1204" i="1"/>
  <c r="V1205" i="1"/>
  <c r="V1206" i="1"/>
  <c r="V1207" i="1"/>
  <c r="U416" i="4" s="1"/>
  <c r="V1208" i="1"/>
  <c r="V1209" i="1"/>
  <c r="V1210" i="1"/>
  <c r="V1211" i="1"/>
  <c r="U418" i="4" s="1"/>
  <c r="V1212" i="1"/>
  <c r="V1213" i="1"/>
  <c r="U419" i="4" s="1"/>
  <c r="V1214" i="1"/>
  <c r="V1215" i="1"/>
  <c r="U420" i="4" s="1"/>
  <c r="V1216" i="1"/>
  <c r="V1217" i="1"/>
  <c r="U421" i="4" s="1"/>
  <c r="V1218" i="1"/>
  <c r="V1219" i="1"/>
  <c r="U422" i="4" s="1"/>
  <c r="V1220" i="1"/>
  <c r="V1221" i="1"/>
  <c r="V1222" i="1"/>
  <c r="V1223" i="1"/>
  <c r="U423" i="4" s="1"/>
  <c r="V1224" i="1"/>
  <c r="V1225" i="1"/>
  <c r="V1226" i="1"/>
  <c r="V1227" i="1"/>
  <c r="U424" i="4" s="1"/>
  <c r="V1228" i="1"/>
  <c r="V1229" i="1"/>
  <c r="V1230" i="1"/>
  <c r="V1231" i="1"/>
  <c r="U425" i="4" s="1"/>
  <c r="V1232" i="1"/>
  <c r="V1233" i="1"/>
  <c r="V1234" i="1"/>
  <c r="V1235" i="1"/>
  <c r="U426" i="4" s="1"/>
  <c r="V1236" i="1"/>
  <c r="V1237" i="1"/>
  <c r="V1238" i="1"/>
  <c r="V1239" i="1"/>
  <c r="U427" i="4" s="1"/>
  <c r="V1240" i="1"/>
  <c r="V1241" i="1"/>
  <c r="V1242" i="1"/>
  <c r="U428" i="4" s="1"/>
  <c r="V1243" i="1"/>
  <c r="V1244" i="1"/>
  <c r="U429" i="4" s="1"/>
  <c r="V1245" i="1"/>
  <c r="V1246" i="1"/>
  <c r="U430" i="4" s="1"/>
  <c r="V1247" i="1"/>
  <c r="V1248" i="1"/>
  <c r="U431" i="4" s="1"/>
  <c r="V1249" i="1"/>
  <c r="V1250" i="1"/>
  <c r="U432" i="4" s="1"/>
  <c r="V1251" i="1"/>
  <c r="U434" i="4" s="1"/>
  <c r="V1252" i="1"/>
  <c r="V1253" i="1"/>
  <c r="U435" i="4" s="1"/>
  <c r="V1254" i="1"/>
  <c r="V1255" i="1"/>
  <c r="U436" i="4" s="1"/>
  <c r="V1256" i="1"/>
  <c r="V1257" i="1"/>
  <c r="U437" i="4" s="1"/>
  <c r="V1258" i="1"/>
  <c r="V1259" i="1"/>
  <c r="U438" i="4" s="1"/>
  <c r="V1260" i="1"/>
  <c r="V1261" i="1"/>
  <c r="U439" i="4" s="1"/>
  <c r="V1262" i="1"/>
  <c r="V1263" i="1"/>
  <c r="U440" i="4" s="1"/>
  <c r="V1264" i="1"/>
  <c r="V1265" i="1"/>
  <c r="U441" i="4" s="1"/>
  <c r="V1266" i="1"/>
  <c r="V1267" i="1"/>
  <c r="U442" i="4" s="1"/>
  <c r="V1268" i="1"/>
  <c r="V1269" i="1"/>
  <c r="U443" i="4" s="1"/>
  <c r="V1270" i="1"/>
  <c r="V1271" i="1"/>
  <c r="U444" i="4" s="1"/>
  <c r="V1272" i="1"/>
  <c r="V1273" i="1"/>
  <c r="U445" i="4" s="1"/>
  <c r="V1274" i="1"/>
  <c r="V1275" i="1"/>
  <c r="U446" i="4" s="1"/>
  <c r="V1276" i="1"/>
  <c r="V1277" i="1"/>
  <c r="U447" i="4" s="1"/>
  <c r="V1278" i="1"/>
  <c r="V1279" i="1"/>
  <c r="U448" i="4" s="1"/>
  <c r="V1280" i="1"/>
  <c r="V1281" i="1"/>
  <c r="U450" i="4" s="1"/>
  <c r="V1282" i="1"/>
  <c r="V1283" i="1"/>
  <c r="U451" i="4" s="1"/>
  <c r="V1284" i="1"/>
  <c r="V1285" i="1"/>
  <c r="U452" i="4" s="1"/>
  <c r="V1286" i="1"/>
  <c r="V1287" i="1"/>
  <c r="U453" i="4" s="1"/>
  <c r="V1288" i="1"/>
  <c r="V1289" i="1"/>
  <c r="U454" i="4" s="1"/>
  <c r="V1290" i="1"/>
  <c r="V1291" i="1"/>
  <c r="U455" i="4" s="1"/>
  <c r="V1292" i="1"/>
  <c r="V1293" i="1"/>
  <c r="U456" i="4" s="1"/>
  <c r="V1294" i="1"/>
  <c r="V1295" i="1"/>
  <c r="V1296" i="1"/>
  <c r="V1297" i="1"/>
  <c r="U457" i="4" s="1"/>
  <c r="V1298" i="1"/>
  <c r="V1299" i="1"/>
  <c r="V1300" i="1"/>
  <c r="V1301" i="1"/>
  <c r="U458" i="4" s="1"/>
  <c r="V1302" i="1"/>
  <c r="V1303" i="1"/>
  <c r="V1304" i="1"/>
  <c r="V1305" i="1"/>
  <c r="U459" i="4" s="1"/>
  <c r="V1306" i="1"/>
  <c r="V1307" i="1"/>
  <c r="V1308" i="1"/>
  <c r="V1309" i="1"/>
  <c r="U460" i="4" s="1"/>
  <c r="V1310" i="1"/>
  <c r="V1311" i="1"/>
  <c r="V1312" i="1"/>
  <c r="V1313" i="1"/>
  <c r="U461" i="4" s="1"/>
  <c r="V1314" i="1"/>
  <c r="V1315" i="1"/>
  <c r="V1316" i="1"/>
  <c r="V1317" i="1"/>
  <c r="V1318" i="1"/>
  <c r="V1319" i="1"/>
  <c r="U467" i="4" s="1"/>
  <c r="V1320" i="1"/>
  <c r="V1321" i="1"/>
  <c r="V1322" i="1"/>
  <c r="U468" i="4" s="1"/>
  <c r="V1323" i="1"/>
  <c r="V1324" i="1"/>
  <c r="V1325" i="1"/>
  <c r="U469" i="4" s="1"/>
  <c r="V1326" i="1"/>
  <c r="V1327" i="1"/>
  <c r="V1328" i="1"/>
  <c r="U470" i="4" s="1"/>
  <c r="V1329" i="1"/>
  <c r="V1330" i="1"/>
  <c r="V1331" i="1"/>
  <c r="U471" i="4" s="1"/>
  <c r="V1332" i="1"/>
  <c r="V1333" i="1"/>
  <c r="V1334" i="1"/>
  <c r="U472" i="4" s="1"/>
  <c r="V1335" i="1"/>
  <c r="V1336" i="1"/>
  <c r="V1337" i="1"/>
  <c r="U473" i="4" s="1"/>
  <c r="V1338" i="1"/>
  <c r="V1339" i="1"/>
  <c r="V1340" i="1"/>
  <c r="U474" i="4" s="1"/>
  <c r="V1341" i="1"/>
  <c r="V1342" i="1"/>
  <c r="V1343" i="1"/>
  <c r="U475" i="4" s="1"/>
  <c r="V1344" i="1"/>
  <c r="V1345" i="1"/>
  <c r="V1346" i="1"/>
  <c r="U476" i="4" s="1"/>
  <c r="V1347" i="1"/>
  <c r="V1348" i="1"/>
  <c r="V1349" i="1"/>
  <c r="U482" i="4" s="1"/>
  <c r="V1350" i="1"/>
  <c r="V1351" i="1"/>
  <c r="U483" i="4" s="1"/>
  <c r="V1352" i="1"/>
  <c r="V1353" i="1"/>
  <c r="U484" i="4" s="1"/>
  <c r="V1354" i="1"/>
  <c r="V1355" i="1"/>
  <c r="U485" i="4" s="1"/>
  <c r="V1356" i="1"/>
  <c r="V1357" i="1"/>
  <c r="U486" i="4" s="1"/>
  <c r="V1358" i="1"/>
  <c r="V1359" i="1"/>
  <c r="V1360" i="1"/>
  <c r="V1361" i="1"/>
  <c r="U487" i="4" s="1"/>
  <c r="V1362" i="1"/>
  <c r="V1363" i="1"/>
  <c r="V1364" i="1"/>
  <c r="V1365" i="1"/>
  <c r="U488" i="4" s="1"/>
  <c r="V1366" i="1"/>
  <c r="V1367" i="1"/>
  <c r="V1368" i="1"/>
  <c r="V1369" i="1"/>
  <c r="U489" i="4" s="1"/>
  <c r="V1370" i="1"/>
  <c r="V1371" i="1"/>
  <c r="V1372" i="1"/>
  <c r="V1373" i="1"/>
  <c r="U490" i="4" s="1"/>
  <c r="V1374" i="1"/>
  <c r="V1375" i="1"/>
  <c r="V1376" i="1"/>
  <c r="V1377" i="1"/>
  <c r="U491" i="4" s="1"/>
  <c r="V1378" i="1"/>
  <c r="V1379" i="1"/>
  <c r="V1380" i="1"/>
  <c r="V1381" i="1"/>
  <c r="U492" i="4" s="1"/>
  <c r="V1382" i="1"/>
  <c r="V1383" i="1"/>
  <c r="V1384" i="1"/>
  <c r="V1385" i="1"/>
  <c r="U493" i="4" s="1"/>
  <c r="V1386" i="1"/>
  <c r="V1387" i="1"/>
  <c r="V1388" i="1"/>
  <c r="V1389" i="1"/>
  <c r="U494" i="4" s="1"/>
  <c r="V1390" i="1"/>
  <c r="V1391" i="1"/>
  <c r="V1392" i="1"/>
  <c r="U495" i="4" s="1"/>
  <c r="V1393" i="1"/>
  <c r="V1394" i="1"/>
  <c r="V1395" i="1"/>
  <c r="V1396" i="1"/>
  <c r="V1397" i="1"/>
  <c r="V1398" i="1"/>
  <c r="V1399" i="1"/>
  <c r="V1400" i="1"/>
  <c r="U499" i="4" s="1"/>
  <c r="V1401" i="1"/>
  <c r="V1402" i="1"/>
  <c r="U500" i="4" s="1"/>
  <c r="V1403" i="1"/>
  <c r="V1404" i="1"/>
  <c r="U501" i="4" s="1"/>
  <c r="V1405" i="1"/>
  <c r="U502" i="4" s="1"/>
  <c r="V1406" i="1"/>
  <c r="V1407" i="1"/>
  <c r="U503" i="4" s="1"/>
  <c r="V1408" i="1"/>
  <c r="V1409" i="1"/>
  <c r="U504" i="4" s="1"/>
  <c r="V1410" i="1"/>
  <c r="V1411" i="1"/>
  <c r="U505" i="4" s="1"/>
  <c r="V1412" i="1"/>
  <c r="V1413" i="1"/>
  <c r="U506" i="4" s="1"/>
  <c r="V1414" i="1"/>
  <c r="V1415" i="1"/>
  <c r="U507" i="4" s="1"/>
  <c r="V1416" i="1"/>
  <c r="V1417" i="1"/>
  <c r="U508" i="4" s="1"/>
  <c r="V1418" i="1"/>
  <c r="V1419" i="1"/>
  <c r="U509" i="4" s="1"/>
  <c r="V1420" i="1"/>
  <c r="V1421" i="1"/>
  <c r="U510" i="4" s="1"/>
  <c r="V1422" i="1"/>
  <c r="V1423" i="1"/>
  <c r="U511" i="4" s="1"/>
  <c r="V1424" i="1"/>
  <c r="V1425" i="1"/>
  <c r="V1426" i="1"/>
  <c r="V1427" i="1"/>
  <c r="U512" i="4" s="1"/>
  <c r="V1428" i="1"/>
  <c r="V1429" i="1"/>
  <c r="V1430" i="1"/>
  <c r="V1431" i="1"/>
  <c r="U513" i="4" s="1"/>
  <c r="V1432" i="1"/>
  <c r="V1433" i="1"/>
  <c r="V1434" i="1"/>
  <c r="V1435" i="1"/>
  <c r="U515" i="4" s="1"/>
  <c r="V1436" i="1"/>
  <c r="V1437" i="1"/>
  <c r="U516" i="4" s="1"/>
  <c r="V1438" i="1"/>
  <c r="V1439" i="1"/>
  <c r="U517" i="4" s="1"/>
  <c r="V1440" i="1"/>
  <c r="V1441" i="1"/>
  <c r="U518" i="4" s="1"/>
  <c r="V1442" i="1"/>
  <c r="V1443" i="1"/>
  <c r="V1444" i="1"/>
  <c r="U519" i="4" s="1"/>
  <c r="V1445" i="1"/>
  <c r="V1446" i="1"/>
  <c r="U520" i="4" s="1"/>
  <c r="V1447" i="1"/>
  <c r="V1448" i="1"/>
  <c r="U521" i="4" s="1"/>
  <c r="V1449" i="1"/>
  <c r="V1450" i="1"/>
  <c r="U522" i="4" s="1"/>
  <c r="V1451" i="1"/>
  <c r="V1452" i="1"/>
  <c r="U523" i="4" s="1"/>
  <c r="V1453" i="1"/>
  <c r="V1454" i="1"/>
  <c r="U527" i="4" s="1"/>
  <c r="V1455" i="1"/>
  <c r="V1456" i="1"/>
  <c r="U528" i="4" s="1"/>
  <c r="V1457" i="1"/>
  <c r="V1458" i="1"/>
  <c r="V1459" i="1"/>
  <c r="U531" i="4" s="1"/>
  <c r="V1460" i="1"/>
  <c r="V1461" i="1"/>
  <c r="U532" i="4" s="1"/>
  <c r="V1462" i="1"/>
  <c r="V1463" i="1"/>
  <c r="U533" i="4" s="1"/>
  <c r="V1464" i="1"/>
  <c r="V1465" i="1"/>
  <c r="U534" i="4" s="1"/>
  <c r="V1466" i="1"/>
  <c r="V1467" i="1"/>
  <c r="U535" i="4" s="1"/>
  <c r="V1468" i="1"/>
  <c r="V1469" i="1"/>
  <c r="U536" i="4" s="1"/>
  <c r="V1470" i="1"/>
  <c r="V1471" i="1"/>
  <c r="U537" i="4" s="1"/>
  <c r="V1472" i="1"/>
  <c r="V1473" i="1"/>
  <c r="U538" i="4" s="1"/>
  <c r="V1474" i="1"/>
  <c r="V1475" i="1"/>
  <c r="U539" i="4" s="1"/>
  <c r="V1476" i="1"/>
  <c r="V1477" i="1"/>
  <c r="U540" i="4" s="1"/>
  <c r="V1478" i="1"/>
  <c r="V1479" i="1"/>
  <c r="U541" i="4" s="1"/>
  <c r="V1480" i="1"/>
  <c r="V1481" i="1"/>
  <c r="U542" i="4" s="1"/>
  <c r="V1482" i="1"/>
  <c r="V1483" i="1"/>
  <c r="U543" i="4" s="1"/>
  <c r="V1484" i="1"/>
  <c r="V1485" i="1"/>
  <c r="U544" i="4" s="1"/>
  <c r="V1486" i="1"/>
  <c r="V1487" i="1"/>
  <c r="V1488" i="1"/>
  <c r="U547" i="4" s="1"/>
  <c r="V1489" i="1"/>
  <c r="V1490" i="1"/>
  <c r="U548" i="4" s="1"/>
  <c r="V1491" i="1"/>
  <c r="V1492" i="1"/>
  <c r="V1493" i="1"/>
  <c r="U549" i="4" s="1"/>
  <c r="V1494" i="1"/>
  <c r="V1495" i="1"/>
  <c r="V1496" i="1"/>
  <c r="U550" i="4" s="1"/>
  <c r="V1497" i="1"/>
  <c r="U551" i="4" s="1"/>
  <c r="V1498" i="1"/>
  <c r="U552" i="4" s="1"/>
  <c r="V1499" i="1"/>
  <c r="U562" i="4" s="1"/>
  <c r="V1500" i="1"/>
  <c r="V1501" i="1"/>
  <c r="U563" i="4" s="1"/>
  <c r="V1502" i="1"/>
  <c r="V1503" i="1"/>
  <c r="U564" i="4" s="1"/>
  <c r="V1504" i="1"/>
  <c r="V1505" i="1"/>
  <c r="U565" i="4" s="1"/>
  <c r="V1506" i="1"/>
  <c r="V1507" i="1"/>
  <c r="U566" i="4" s="1"/>
  <c r="V1508" i="1"/>
  <c r="V1509" i="1"/>
  <c r="U567" i="4" s="1"/>
  <c r="V1510" i="1"/>
  <c r="V1511" i="1"/>
  <c r="U568" i="4" s="1"/>
  <c r="V1512" i="1"/>
  <c r="U569" i="4" s="1"/>
  <c r="V1513" i="1"/>
  <c r="U570" i="4" s="1"/>
  <c r="V1514" i="1"/>
  <c r="V1515" i="1"/>
  <c r="V1516" i="1"/>
  <c r="V1517" i="1"/>
  <c r="V1518" i="1"/>
  <c r="V1519" i="1"/>
  <c r="V1520" i="1"/>
  <c r="V1521" i="1"/>
  <c r="V1522" i="1"/>
  <c r="V1523" i="1"/>
  <c r="U579" i="4" s="1"/>
  <c r="V1524" i="1"/>
  <c r="V1525" i="1"/>
  <c r="U580" i="4" s="1"/>
  <c r="V1526" i="1"/>
  <c r="V1527" i="1"/>
  <c r="U581" i="4" s="1"/>
  <c r="V1528" i="1"/>
  <c r="U582" i="4" s="1"/>
  <c r="V1529" i="1"/>
  <c r="V1530" i="1"/>
  <c r="U595" i="4" s="1"/>
  <c r="V1531" i="1"/>
  <c r="V1532" i="1"/>
  <c r="U596" i="4" s="1"/>
  <c r="V1533" i="1"/>
  <c r="V1534" i="1"/>
  <c r="U597" i="4" s="1"/>
  <c r="V1535" i="1"/>
  <c r="V1536" i="1"/>
  <c r="U598" i="4" s="1"/>
  <c r="V1537" i="1"/>
  <c r="V1538" i="1"/>
  <c r="U599" i="4" s="1"/>
  <c r="V1539" i="1"/>
  <c r="V1540" i="1"/>
  <c r="U600" i="4" s="1"/>
  <c r="V1541" i="1"/>
  <c r="V1542" i="1"/>
  <c r="U601" i="4" s="1"/>
  <c r="V1543" i="1"/>
  <c r="V1544" i="1"/>
  <c r="U602" i="4" s="1"/>
  <c r="V1545" i="1"/>
  <c r="V1546" i="1"/>
  <c r="V1547" i="1"/>
  <c r="U611" i="4" s="1"/>
  <c r="V1548" i="1"/>
  <c r="V1549" i="1"/>
  <c r="U612" i="4" s="1"/>
  <c r="V1550" i="1"/>
  <c r="V1551" i="1"/>
  <c r="U613" i="4" s="1"/>
  <c r="V1552" i="1"/>
  <c r="V1553" i="1"/>
  <c r="U614" i="4" s="1"/>
  <c r="V1554" i="1"/>
  <c r="V1555" i="1"/>
  <c r="U615" i="4" s="1"/>
  <c r="V1556" i="1"/>
  <c r="V1557" i="1"/>
  <c r="U616" i="4" s="1"/>
  <c r="V1558" i="1"/>
  <c r="V1559" i="1"/>
  <c r="U617" i="4" s="1"/>
  <c r="V1560" i="1"/>
  <c r="V1561" i="1"/>
  <c r="U618" i="4" s="1"/>
  <c r="V1562" i="1"/>
  <c r="V1563" i="1"/>
  <c r="U619" i="4" s="1"/>
  <c r="V1564" i="1"/>
  <c r="V1565" i="1"/>
  <c r="U620" i="4" s="1"/>
  <c r="V1566" i="1"/>
  <c r="V1567" i="1"/>
  <c r="U621" i="4" s="1"/>
  <c r="V1568" i="1"/>
  <c r="V1569" i="1"/>
  <c r="U622" i="4" s="1"/>
  <c r="V1570" i="1"/>
  <c r="V1571" i="1"/>
  <c r="U623" i="4" s="1"/>
  <c r="V1572" i="1"/>
  <c r="V1573" i="1"/>
  <c r="U624" i="4" s="1"/>
  <c r="V1574" i="1"/>
  <c r="V1575" i="1"/>
  <c r="V1576" i="1"/>
  <c r="V1577" i="1"/>
  <c r="V1578" i="1"/>
  <c r="U627" i="4" s="1"/>
  <c r="V1579" i="1"/>
  <c r="V1580" i="1"/>
  <c r="V1581" i="1"/>
  <c r="V1582" i="1"/>
  <c r="U628" i="4" s="1"/>
  <c r="V1583" i="1"/>
  <c r="V1584" i="1"/>
  <c r="V1585" i="1"/>
  <c r="U629" i="4" s="1"/>
  <c r="V1586" i="1"/>
  <c r="U630" i="4" s="1"/>
  <c r="V1587" i="1"/>
  <c r="V1588" i="1"/>
  <c r="U643" i="4" s="1"/>
  <c r="V1589" i="1"/>
  <c r="V1590" i="1"/>
  <c r="V1591" i="1"/>
  <c r="U644" i="4" s="1"/>
  <c r="V1592" i="1"/>
  <c r="U645" i="4" s="1"/>
  <c r="V1593" i="1"/>
  <c r="U646" i="4" s="1"/>
  <c r="V1594" i="1"/>
  <c r="U658" i="4" s="1"/>
  <c r="V1595" i="1"/>
  <c r="V1596" i="1"/>
  <c r="U659" i="4" s="1"/>
  <c r="V1597" i="1"/>
  <c r="V1598" i="1"/>
  <c r="U660" i="4" s="1"/>
  <c r="V1599" i="1"/>
  <c r="U661" i="4" s="1"/>
  <c r="V1600" i="1"/>
  <c r="U662" i="4" s="1"/>
  <c r="V1601" i="1"/>
  <c r="U663" i="4" s="1"/>
  <c r="V1602" i="1"/>
  <c r="U664" i="4" s="1"/>
  <c r="V1603" i="1"/>
  <c r="V1604" i="1"/>
  <c r="U675" i="4" s="1"/>
  <c r="V1605" i="1"/>
  <c r="V1606" i="1"/>
  <c r="U676" i="4" s="1"/>
  <c r="V1607" i="1"/>
  <c r="V1608" i="1"/>
  <c r="V1609" i="1"/>
  <c r="U678" i="4" s="1"/>
  <c r="V1610" i="1"/>
  <c r="V1611" i="1"/>
  <c r="U679" i="4" s="1"/>
  <c r="V1612" i="1"/>
  <c r="V1613" i="1"/>
  <c r="U680" i="4" s="1"/>
  <c r="V1614" i="1"/>
  <c r="V1615" i="1"/>
  <c r="U681" i="4" s="1"/>
  <c r="V1616" i="1"/>
  <c r="V1617" i="1"/>
  <c r="U682" i="4" s="1"/>
  <c r="V1618" i="1"/>
  <c r="V1619" i="1"/>
  <c r="U683" i="4" s="1"/>
  <c r="V1620" i="1"/>
  <c r="V1621" i="1"/>
  <c r="U684" i="4" s="1"/>
  <c r="V1622" i="1"/>
  <c r="V1623" i="1"/>
  <c r="U685" i="4" s="1"/>
  <c r="V1624" i="1"/>
  <c r="V1625" i="1"/>
  <c r="U686" i="4" s="1"/>
  <c r="V1626" i="1"/>
  <c r="V1627" i="1"/>
  <c r="U687" i="4" s="1"/>
  <c r="V1628" i="1"/>
  <c r="V1629" i="1"/>
  <c r="U688" i="4" s="1"/>
  <c r="V1630" i="1"/>
  <c r="V1631" i="1"/>
  <c r="V1632" i="1"/>
  <c r="V1633" i="1"/>
  <c r="V1634" i="1"/>
  <c r="U691" i="4" s="1"/>
  <c r="V1635" i="1"/>
  <c r="V1636" i="1"/>
  <c r="V1637" i="1"/>
  <c r="V1638" i="1"/>
  <c r="U692" i="4" s="1"/>
  <c r="V1639" i="1"/>
  <c r="V1640" i="1"/>
  <c r="U706" i="4" s="1"/>
  <c r="V1641" i="1"/>
  <c r="V1642" i="1"/>
  <c r="V1643" i="1"/>
  <c r="U707" i="4" s="1"/>
  <c r="V1644" i="1"/>
  <c r="V1645" i="1"/>
  <c r="V1646" i="1"/>
  <c r="U708" i="4" s="1"/>
  <c r="V1647" i="1"/>
  <c r="V1648" i="1"/>
  <c r="V1649" i="1"/>
  <c r="U709" i="4" s="1"/>
  <c r="V1650" i="1"/>
  <c r="V1651" i="1"/>
  <c r="U722" i="4" s="1"/>
  <c r="V1652" i="1"/>
  <c r="V1653" i="1"/>
  <c r="V1654" i="1"/>
  <c r="V1655" i="1"/>
  <c r="U723" i="4" s="1"/>
  <c r="V1656" i="1"/>
  <c r="V1657" i="1"/>
  <c r="V1658" i="1"/>
  <c r="U724" i="4" s="1"/>
  <c r="V1659" i="1"/>
  <c r="U725" i="4" s="1"/>
  <c r="R725" i="8" s="1"/>
  <c r="V1660" i="1"/>
  <c r="U726" i="4" s="1"/>
  <c r="R726" i="8" s="1"/>
  <c r="V1661" i="1"/>
  <c r="V1662" i="1"/>
  <c r="V1663" i="1"/>
  <c r="V1664" i="1"/>
  <c r="U739" i="4" s="1"/>
  <c r="V1665" i="1"/>
  <c r="V1666" i="1"/>
  <c r="V1667" i="1"/>
  <c r="V1668" i="1"/>
  <c r="U740" i="4" s="1"/>
  <c r="V1669" i="1"/>
  <c r="V1670" i="1"/>
  <c r="V1671" i="1"/>
  <c r="U741" i="4" s="1"/>
  <c r="V1672" i="1"/>
  <c r="U742" i="4" s="1"/>
  <c r="V1673" i="1"/>
  <c r="U754" i="4" s="1"/>
  <c r="V1674" i="1"/>
  <c r="V1675" i="1"/>
  <c r="V1676" i="1"/>
  <c r="V1677" i="1"/>
  <c r="U771" i="4" s="1"/>
  <c r="V1678" i="1"/>
  <c r="U772" i="4" s="1"/>
  <c r="V1679" i="1"/>
  <c r="V1680" i="1"/>
  <c r="U787" i="4" s="1"/>
  <c r="V1681" i="1"/>
  <c r="V1682" i="1"/>
  <c r="U788" i="4" s="1"/>
  <c r="V1683" i="1"/>
  <c r="V1684" i="1"/>
  <c r="U802" i="4" s="1"/>
  <c r="V1685" i="1"/>
  <c r="V1686" i="1"/>
  <c r="V1687" i="1"/>
  <c r="V1688" i="1"/>
  <c r="U803" i="4" s="1"/>
  <c r="V1689" i="1"/>
  <c r="V1690" i="1"/>
  <c r="V1691" i="1"/>
  <c r="U804" i="4" s="1"/>
  <c r="V1692" i="1"/>
  <c r="U818" i="4" s="1"/>
  <c r="V1693" i="1"/>
  <c r="V1694" i="1"/>
  <c r="V1695" i="1"/>
  <c r="V1696" i="1"/>
  <c r="V1697" i="1"/>
  <c r="U835" i="4" s="1"/>
  <c r="V1698" i="1"/>
  <c r="V1699" i="1"/>
  <c r="V1700" i="1"/>
  <c r="V1701" i="1"/>
  <c r="U836" i="4" s="1"/>
  <c r="V1702" i="1"/>
  <c r="V1703" i="1"/>
  <c r="V1704" i="1"/>
  <c r="V1705" i="1"/>
  <c r="U837" i="4" s="1"/>
  <c r="V1706" i="1"/>
  <c r="V1707" i="1"/>
  <c r="V1708" i="1"/>
  <c r="V1709" i="1"/>
  <c r="U838" i="4" s="1"/>
  <c r="V1710" i="1"/>
  <c r="V1711" i="1"/>
  <c r="U839" i="4" s="1"/>
  <c r="V1712" i="1"/>
  <c r="U840" i="4" s="1"/>
  <c r="V1713" i="1"/>
  <c r="U841" i="4" s="1"/>
  <c r="V1714" i="1"/>
  <c r="V1715" i="1"/>
  <c r="U851" i="4" s="1"/>
  <c r="V1716" i="1"/>
  <c r="V1717" i="1"/>
  <c r="U852" i="4" s="1"/>
  <c r="V1718" i="1"/>
  <c r="V1719" i="1"/>
  <c r="U853" i="4" s="1"/>
  <c r="V1720" i="1"/>
  <c r="U854" i="4" s="1"/>
  <c r="V1721" i="1"/>
  <c r="U855" i="4" s="1"/>
  <c r="V1722" i="1"/>
  <c r="U866" i="4" s="1"/>
  <c r="V1723" i="1"/>
  <c r="V1724" i="1"/>
  <c r="U867" i="4" s="1"/>
  <c r="V1725" i="1"/>
  <c r="V1726" i="1"/>
  <c r="U868" i="4" s="1"/>
  <c r="V1727" i="1"/>
  <c r="U869" i="4" s="1"/>
  <c r="V1728" i="1"/>
  <c r="U882" i="4" s="1"/>
  <c r="V1729" i="1"/>
  <c r="V1730" i="1"/>
  <c r="V1731" i="1"/>
  <c r="V1732" i="1"/>
  <c r="U883" i="4" s="1"/>
  <c r="V1733" i="1"/>
  <c r="V1734" i="1"/>
  <c r="V1735" i="1"/>
  <c r="V1736" i="1"/>
  <c r="U898" i="4" s="1"/>
  <c r="V1737" i="1"/>
  <c r="V1738" i="1"/>
  <c r="V1739" i="1"/>
  <c r="V1740" i="1"/>
  <c r="U899" i="4" s="1"/>
  <c r="V1741" i="1"/>
  <c r="V1742" i="1"/>
  <c r="V1743" i="1"/>
  <c r="V1744" i="1"/>
  <c r="U900" i="4" s="1"/>
  <c r="V1745" i="1"/>
  <c r="V1746" i="1"/>
  <c r="V1747" i="1"/>
  <c r="V1748" i="1"/>
  <c r="U901" i="4" s="1"/>
  <c r="V1749" i="1"/>
  <c r="V1750" i="1"/>
  <c r="V1751" i="1"/>
  <c r="V1752" i="1"/>
  <c r="U902" i="4" s="1"/>
  <c r="V1753" i="1"/>
  <c r="V1754" i="1"/>
  <c r="V1755" i="1"/>
  <c r="V1756" i="1"/>
  <c r="U903" i="4" s="1"/>
  <c r="V1757" i="1"/>
  <c r="V1758" i="1"/>
  <c r="V1759" i="1"/>
  <c r="V1760" i="1"/>
  <c r="U904" i="4" s="1"/>
  <c r="V1761" i="1"/>
  <c r="V1762" i="1"/>
  <c r="V1763" i="1"/>
  <c r="V1764" i="1"/>
  <c r="U905" i="4" s="1"/>
  <c r="V1765" i="1"/>
  <c r="V1766" i="1"/>
  <c r="V1767" i="1"/>
  <c r="V1768" i="1"/>
  <c r="U906" i="4" s="1"/>
  <c r="V1769" i="1"/>
  <c r="V1770" i="1"/>
  <c r="V1771" i="1"/>
  <c r="V1772" i="1"/>
  <c r="U907" i="4" s="1"/>
  <c r="V1773" i="1"/>
  <c r="V1774" i="1"/>
  <c r="V1775" i="1"/>
  <c r="V1776" i="1"/>
  <c r="U908" i="4" s="1"/>
  <c r="V1777" i="1"/>
  <c r="V1778" i="1"/>
  <c r="V1779" i="1"/>
  <c r="V1780" i="1"/>
  <c r="U909" i="4" s="1"/>
  <c r="V1781" i="1"/>
  <c r="V1782" i="1"/>
  <c r="V1783" i="1"/>
  <c r="U910" i="4" s="1"/>
  <c r="V1784" i="1"/>
  <c r="V1785" i="1"/>
  <c r="V1786" i="1"/>
  <c r="V1787" i="1"/>
  <c r="U911" i="4" s="1"/>
  <c r="V1788" i="1"/>
  <c r="V1789" i="1"/>
  <c r="V1790" i="1"/>
  <c r="U914" i="4" s="1"/>
  <c r="V1791" i="1"/>
  <c r="V1792" i="1"/>
  <c r="V1793" i="1"/>
  <c r="V1794" i="1"/>
  <c r="U915" i="4" s="1"/>
  <c r="V1795" i="1"/>
  <c r="V1796" i="1"/>
  <c r="V1797" i="1"/>
  <c r="V1798" i="1"/>
  <c r="U916" i="4" s="1"/>
  <c r="V1799" i="1"/>
  <c r="V1800" i="1"/>
  <c r="V1801" i="1"/>
  <c r="U918" i="4" s="1"/>
  <c r="V1802" i="1"/>
  <c r="V1803" i="1"/>
  <c r="V1804" i="1"/>
  <c r="V1805" i="1"/>
  <c r="U919" i="4" s="1"/>
  <c r="V1806" i="1"/>
  <c r="V1807" i="1"/>
  <c r="V1808" i="1"/>
  <c r="V1809" i="1"/>
  <c r="U920" i="4" s="1"/>
  <c r="V1810" i="1"/>
  <c r="V1811" i="1"/>
  <c r="V1812" i="1"/>
  <c r="V1813" i="1"/>
  <c r="U921" i="4" s="1"/>
  <c r="V1814" i="1"/>
  <c r="V1815" i="1"/>
  <c r="V1816" i="1"/>
  <c r="V1817" i="1"/>
  <c r="U922" i="4" s="1"/>
  <c r="V1818" i="1"/>
  <c r="V1819" i="1"/>
  <c r="V1820" i="1"/>
  <c r="V1821" i="1"/>
  <c r="U923" i="4" s="1"/>
  <c r="V1822" i="1"/>
  <c r="V1823" i="1"/>
  <c r="V1824" i="1"/>
  <c r="V1825" i="1"/>
  <c r="U924" i="4" s="1"/>
  <c r="V1826" i="1"/>
  <c r="V1827" i="1"/>
  <c r="V1828" i="1"/>
  <c r="V1829" i="1"/>
  <c r="U925" i="4" s="1"/>
  <c r="V1830" i="1"/>
  <c r="V1831" i="1"/>
  <c r="V1832" i="1"/>
  <c r="V1833" i="1"/>
  <c r="U926" i="4" s="1"/>
  <c r="V1834" i="1"/>
  <c r="V1835" i="1"/>
  <c r="V1836" i="1"/>
  <c r="V1837" i="1"/>
  <c r="U927" i="4" s="1"/>
  <c r="V1838" i="1"/>
  <c r="V1839" i="1"/>
  <c r="V1840" i="1"/>
  <c r="U928" i="4" s="1"/>
  <c r="V1841" i="1"/>
  <c r="V1842" i="1"/>
  <c r="V1843" i="1"/>
  <c r="V1844" i="1"/>
  <c r="U930" i="4" s="1"/>
  <c r="V1845" i="1"/>
  <c r="V1846" i="1"/>
  <c r="V1847" i="1"/>
  <c r="V1848" i="1"/>
  <c r="U931" i="4" s="1"/>
  <c r="V1849" i="1"/>
  <c r="V1850" i="1"/>
  <c r="V1851" i="1"/>
  <c r="V1852" i="1"/>
  <c r="U932" i="4" s="1"/>
  <c r="V1853" i="1"/>
  <c r="V1854" i="1"/>
  <c r="V1855" i="1"/>
  <c r="U933" i="4" s="1"/>
  <c r="V1856" i="1"/>
  <c r="U934" i="4" s="1"/>
  <c r="V1857" i="1"/>
  <c r="V1858" i="1"/>
  <c r="V1859" i="1"/>
  <c r="V1860" i="1"/>
  <c r="U935" i="4" s="1"/>
  <c r="V1861" i="1"/>
  <c r="V1862" i="1"/>
  <c r="V1863" i="1"/>
  <c r="V1864" i="1"/>
  <c r="U936" i="4" s="1"/>
  <c r="V1865" i="1"/>
  <c r="V1866" i="1"/>
  <c r="V1867" i="1"/>
  <c r="V1868" i="1"/>
  <c r="U937" i="4" s="1"/>
  <c r="V1869" i="1"/>
  <c r="V1870" i="1"/>
  <c r="V1871" i="1"/>
  <c r="V1872" i="1"/>
  <c r="U938" i="4" s="1"/>
  <c r="V1873" i="1"/>
  <c r="V1874" i="1"/>
  <c r="V1875" i="1"/>
  <c r="U939" i="4" s="1"/>
  <c r="V1876" i="1"/>
  <c r="V1877" i="1"/>
  <c r="V1878" i="1"/>
  <c r="U940" i="4" s="1"/>
  <c r="V1879" i="1"/>
  <c r="V1880" i="1"/>
  <c r="V1881" i="1"/>
  <c r="U941" i="4" s="1"/>
  <c r="V1882" i="1"/>
  <c r="V1883" i="1"/>
  <c r="V1884" i="1"/>
  <c r="U942" i="4" s="1"/>
  <c r="V1885" i="1"/>
  <c r="V1886" i="1"/>
  <c r="V1887" i="1"/>
  <c r="U943" i="4" s="1"/>
  <c r="V1888" i="1"/>
  <c r="V1889" i="1"/>
  <c r="V1890" i="1"/>
  <c r="U944" i="4" s="1"/>
  <c r="V1891" i="1"/>
  <c r="V1892" i="1"/>
  <c r="V1893" i="1"/>
  <c r="U945" i="4" s="1"/>
  <c r="V1894" i="1"/>
  <c r="V1895" i="1"/>
  <c r="V1896" i="1"/>
  <c r="V1897" i="1"/>
  <c r="U947" i="4" s="1"/>
  <c r="V1898" i="1"/>
  <c r="V1899" i="1"/>
  <c r="U948" i="4" s="1"/>
  <c r="V1900" i="1"/>
  <c r="V1901" i="1"/>
  <c r="U949" i="4" s="1"/>
  <c r="V1902" i="1"/>
  <c r="V1903" i="1"/>
  <c r="U950" i="4" s="1"/>
  <c r="V1904" i="1"/>
  <c r="V1905" i="1"/>
  <c r="U951" i="4" s="1"/>
  <c r="V1906" i="1"/>
  <c r="V1907" i="1"/>
  <c r="U952" i="4" s="1"/>
  <c r="V1908" i="1"/>
  <c r="V1909" i="1"/>
  <c r="U953" i="4" s="1"/>
  <c r="V1910" i="1"/>
  <c r="V1911" i="1"/>
  <c r="U954" i="4" s="1"/>
  <c r="V1912" i="1"/>
  <c r="V1913" i="1"/>
  <c r="U955" i="4" s="1"/>
  <c r="V1914" i="1"/>
  <c r="V1915" i="1"/>
  <c r="V1916" i="1"/>
  <c r="V1917" i="1"/>
  <c r="U956" i="4" s="1"/>
  <c r="V1918" i="1"/>
  <c r="V1919" i="1"/>
  <c r="V1920" i="1"/>
  <c r="V1921" i="1"/>
  <c r="U957" i="4" s="1"/>
  <c r="V1922" i="1"/>
  <c r="V1923" i="1"/>
  <c r="V1924" i="1"/>
  <c r="V1925" i="1"/>
  <c r="U958" i="4" s="1"/>
  <c r="V1926" i="1"/>
  <c r="V1927" i="1"/>
  <c r="V1928" i="1"/>
  <c r="V1929" i="1"/>
  <c r="U959" i="4" s="1"/>
  <c r="V1930" i="1"/>
  <c r="V1931" i="1"/>
  <c r="U960" i="4" s="1"/>
  <c r="V1932" i="1"/>
  <c r="V1933" i="1"/>
  <c r="U962" i="4" s="1"/>
  <c r="V1934" i="1"/>
  <c r="V1935" i="1"/>
  <c r="V1936" i="1"/>
  <c r="V1937" i="1"/>
  <c r="U963" i="4" s="1"/>
  <c r="V1938" i="1"/>
  <c r="V1939" i="1"/>
  <c r="V1940" i="1"/>
  <c r="V1941" i="1"/>
  <c r="U964" i="4" s="1"/>
  <c r="V1942" i="1"/>
  <c r="V1943" i="1"/>
  <c r="V1944" i="1"/>
  <c r="U966" i="4" s="1"/>
  <c r="V1945" i="1"/>
  <c r="V1946" i="1"/>
  <c r="V1947" i="1"/>
  <c r="V1948" i="1"/>
  <c r="U967" i="4" s="1"/>
  <c r="V1949" i="1"/>
  <c r="V1950" i="1"/>
  <c r="V1951" i="1"/>
  <c r="V1952" i="1"/>
  <c r="U968" i="4" s="1"/>
  <c r="V1953" i="1"/>
  <c r="V1954" i="1"/>
  <c r="V1955" i="1"/>
  <c r="V1956" i="1"/>
  <c r="U969" i="4" s="1"/>
  <c r="V1957" i="1"/>
  <c r="V1958" i="1"/>
  <c r="V1959" i="1"/>
  <c r="V1960" i="1"/>
  <c r="U970" i="4" s="1"/>
  <c r="V1961" i="1"/>
  <c r="V1962" i="1"/>
  <c r="V1963" i="1"/>
  <c r="V1964" i="1"/>
  <c r="U971" i="4" s="1"/>
  <c r="V1965" i="1"/>
  <c r="V1966" i="1"/>
  <c r="V1967" i="1"/>
  <c r="V1968" i="1"/>
  <c r="U972" i="4" s="1"/>
  <c r="V1969" i="1"/>
  <c r="V1970" i="1"/>
  <c r="V1971" i="1"/>
  <c r="V1972" i="1"/>
  <c r="U973" i="4" s="1"/>
  <c r="V1973" i="1"/>
  <c r="V1974" i="1"/>
  <c r="V1975" i="1"/>
  <c r="V1976" i="1"/>
  <c r="U974" i="4" s="1"/>
  <c r="V1977" i="1"/>
  <c r="V1978" i="1"/>
  <c r="V1979" i="1"/>
  <c r="V1980" i="1"/>
  <c r="U979" i="4" s="1"/>
  <c r="V1981" i="1"/>
  <c r="V1982" i="1"/>
  <c r="U980" i="4" s="1"/>
  <c r="V1983" i="1"/>
  <c r="V1984" i="1"/>
  <c r="U981" i="4" s="1"/>
  <c r="V1985" i="1"/>
  <c r="V1986" i="1"/>
  <c r="U982" i="4" s="1"/>
  <c r="V1987" i="1"/>
  <c r="V1988" i="1"/>
  <c r="U983" i="4" s="1"/>
  <c r="V1989" i="1"/>
  <c r="V1990" i="1"/>
  <c r="U984" i="4" s="1"/>
  <c r="V1991" i="1"/>
  <c r="V1992" i="1"/>
  <c r="U985" i="4" s="1"/>
  <c r="V1993" i="1"/>
  <c r="V1994" i="1"/>
  <c r="U986" i="4" s="1"/>
  <c r="V1995" i="1"/>
  <c r="V1996" i="1"/>
  <c r="U987" i="4" s="1"/>
  <c r="V1997" i="1"/>
  <c r="V1998" i="1"/>
  <c r="V1999" i="1"/>
  <c r="V2000" i="1"/>
  <c r="U995" i="4" s="1"/>
  <c r="V2001" i="1"/>
  <c r="V2002" i="1"/>
  <c r="V2003" i="1"/>
  <c r="V2004" i="1"/>
  <c r="U996" i="4" s="1"/>
  <c r="V2005" i="1"/>
  <c r="V2006" i="1"/>
  <c r="U997" i="4" s="1"/>
  <c r="V2007" i="1"/>
  <c r="V2008" i="1"/>
  <c r="V2009" i="1"/>
  <c r="V2010" i="1"/>
  <c r="U999" i="4" s="1"/>
  <c r="V2011" i="1"/>
  <c r="V2012" i="1"/>
  <c r="V2013" i="1"/>
  <c r="V2014" i="1"/>
  <c r="U1000" i="4" s="1"/>
  <c r="V2015" i="1"/>
  <c r="V2016" i="1"/>
  <c r="V2017" i="1"/>
  <c r="V2018" i="1"/>
  <c r="U1001" i="4" s="1"/>
  <c r="V2019" i="1"/>
  <c r="V2020" i="1"/>
  <c r="V2021" i="1"/>
  <c r="V2022" i="1"/>
  <c r="U1002" i="4" s="1"/>
  <c r="V2023" i="1"/>
  <c r="V2024" i="1"/>
  <c r="V2025" i="1"/>
  <c r="V2026" i="1"/>
  <c r="U1003" i="4" s="1"/>
  <c r="V2027" i="1"/>
  <c r="V2028" i="1"/>
  <c r="V2029" i="1"/>
  <c r="V2030" i="1"/>
  <c r="V2031" i="1"/>
  <c r="V2032" i="1"/>
  <c r="V2033" i="1"/>
  <c r="U1005" i="4" s="1"/>
  <c r="V2034" i="1"/>
  <c r="V2035" i="1"/>
  <c r="V2036" i="1"/>
  <c r="V2037" i="1"/>
  <c r="V2038" i="1"/>
  <c r="V2039" i="1"/>
  <c r="V2040" i="1"/>
  <c r="V2041" i="1"/>
  <c r="U1007" i="4" s="1"/>
  <c r="V2042" i="1"/>
  <c r="V2043" i="1"/>
  <c r="V2044" i="1"/>
  <c r="V2045" i="1"/>
  <c r="U1008" i="4" s="1"/>
  <c r="V2046" i="1"/>
  <c r="V2047" i="1"/>
  <c r="V2048" i="1"/>
  <c r="V2049" i="1"/>
  <c r="U1011" i="4" s="1"/>
  <c r="V2050" i="1"/>
  <c r="V2051" i="1"/>
  <c r="U1012" i="4" s="1"/>
  <c r="V2052" i="1"/>
  <c r="V2053" i="1"/>
  <c r="U1013" i="4" s="1"/>
  <c r="V2054" i="1"/>
  <c r="V2055" i="1"/>
  <c r="U1014" i="4" s="1"/>
  <c r="V2056" i="1"/>
  <c r="V2057" i="1"/>
  <c r="U1015" i="4" s="1"/>
  <c r="V2058" i="1"/>
  <c r="V2059" i="1"/>
  <c r="U1016" i="4" s="1"/>
  <c r="V2060" i="1"/>
  <c r="V2061" i="1"/>
  <c r="U1017" i="4" s="1"/>
  <c r="V2062" i="1"/>
  <c r="V2063" i="1"/>
  <c r="U1018" i="4" s="1"/>
  <c r="V2064" i="1"/>
  <c r="V2065" i="1"/>
  <c r="V2066" i="1"/>
  <c r="U1027" i="4" s="1"/>
  <c r="V2067" i="1"/>
  <c r="V2068" i="1"/>
  <c r="U1028" i="4" s="1"/>
  <c r="V2069" i="1"/>
  <c r="V2070" i="1"/>
  <c r="U1029" i="4" s="1"/>
  <c r="V2071" i="1"/>
  <c r="V2072" i="1"/>
  <c r="U1030" i="4" s="1"/>
  <c r="V2073" i="1"/>
  <c r="V2074" i="1"/>
  <c r="U1031" i="4" s="1"/>
  <c r="V2075" i="1"/>
  <c r="V2076" i="1"/>
  <c r="U1032" i="4" s="1"/>
  <c r="V2077" i="1"/>
  <c r="V2078" i="1"/>
  <c r="U1033" i="4" s="1"/>
  <c r="V2079" i="1"/>
  <c r="V2080" i="1"/>
  <c r="U1034" i="4" s="1"/>
  <c r="V2081" i="1"/>
  <c r="V2082" i="1"/>
  <c r="U1035" i="4" s="1"/>
  <c r="V2083" i="1"/>
  <c r="V2084" i="1"/>
  <c r="U1036" i="4" s="1"/>
  <c r="V2085" i="1"/>
  <c r="V2086" i="1"/>
  <c r="U1037" i="4" s="1"/>
  <c r="V2087" i="1"/>
  <c r="V2088" i="1"/>
  <c r="U1038" i="4" s="1"/>
  <c r="V2089" i="1"/>
  <c r="V2090" i="1"/>
  <c r="U1039" i="4" s="1"/>
  <c r="V2091" i="1"/>
  <c r="V2092" i="1"/>
  <c r="U1040" i="4" s="1"/>
  <c r="V2093" i="1"/>
  <c r="V2094" i="1"/>
  <c r="V2095" i="1"/>
  <c r="U1043" i="4" s="1"/>
  <c r="V2096" i="1"/>
  <c r="V2097" i="1"/>
  <c r="U1044" i="4" s="1"/>
  <c r="V2098" i="1"/>
  <c r="V2099" i="1"/>
  <c r="U1046" i="4" s="1"/>
  <c r="V2100" i="1"/>
  <c r="V2101" i="1"/>
  <c r="U1047" i="4" s="1"/>
  <c r="V2102" i="1"/>
  <c r="V2103" i="1"/>
  <c r="U1048" i="4" s="1"/>
  <c r="V2104" i="1"/>
  <c r="V2105" i="1"/>
  <c r="U1049" i="4" s="1"/>
  <c r="V2106" i="1"/>
  <c r="V2107" i="1"/>
  <c r="U1050" i="4" s="1"/>
  <c r="V2108" i="1"/>
  <c r="V2109" i="1"/>
  <c r="U1051" i="4" s="1"/>
  <c r="V2110" i="1"/>
  <c r="V2111" i="1"/>
  <c r="U1052" i="4" s="1"/>
  <c r="V2112" i="1"/>
  <c r="V2113" i="1"/>
  <c r="U1053" i="4" s="1"/>
  <c r="V2114" i="1"/>
  <c r="V2115" i="1"/>
  <c r="U1054" i="4" s="1"/>
  <c r="V2116" i="1"/>
  <c r="V2117" i="1"/>
  <c r="U1055" i="4" s="1"/>
  <c r="V2118" i="1"/>
  <c r="V2119" i="1"/>
  <c r="U1056" i="4" s="1"/>
  <c r="V2120" i="1"/>
  <c r="V2121" i="1"/>
  <c r="V2122" i="1"/>
  <c r="U1059" i="4" s="1"/>
  <c r="V2123" i="1"/>
  <c r="V2124" i="1"/>
  <c r="U1060" i="4" s="1"/>
  <c r="V2125" i="1"/>
  <c r="V2126" i="1"/>
  <c r="U1061" i="4" s="1"/>
  <c r="V2127" i="1"/>
  <c r="V2128" i="1"/>
  <c r="U1062" i="4" s="1"/>
  <c r="V2129" i="1"/>
  <c r="V2130" i="1"/>
  <c r="U1063" i="4" s="1"/>
  <c r="V2131" i="1"/>
  <c r="V2132" i="1"/>
  <c r="U1064" i="4" s="1"/>
  <c r="V2133" i="1"/>
  <c r="V2134" i="1"/>
  <c r="U1065" i="4" s="1"/>
  <c r="V2135" i="1"/>
  <c r="V2136" i="1"/>
  <c r="U1066" i="4" s="1"/>
  <c r="V2137" i="1"/>
  <c r="V2138" i="1"/>
  <c r="U1067" i="4" s="1"/>
  <c r="V2139" i="1"/>
  <c r="V2" i="1"/>
  <c r="AA126" i="5" l="1" a="1"/>
  <c r="AA126" i="5" s="1"/>
  <c r="AD867" i="5" a="1"/>
  <c r="AD867" i="5" s="1"/>
  <c r="M956" i="5"/>
  <c r="M1028" i="5"/>
  <c r="M50" i="5"/>
  <c r="M884" i="5"/>
  <c r="M925" i="5"/>
  <c r="M762" i="5"/>
  <c r="M933" i="5"/>
  <c r="M234" i="5"/>
  <c r="M432" i="5"/>
  <c r="M1012" i="5"/>
  <c r="M504" i="5"/>
  <c r="M464" i="5"/>
  <c r="M218" i="5"/>
  <c r="M400" i="5"/>
  <c r="M512" i="5"/>
  <c r="O909" i="5"/>
  <c r="M938" i="5"/>
  <c r="M1024" i="5"/>
  <c r="M384" i="5"/>
  <c r="M34" i="5"/>
  <c r="M917" i="5"/>
  <c r="M1032" i="5"/>
  <c r="M82" i="5"/>
  <c r="O516" i="5"/>
  <c r="M1026" i="5"/>
  <c r="O936" i="5"/>
  <c r="M1046" i="5"/>
  <c r="M376" i="5"/>
  <c r="O322" i="5"/>
  <c r="M748" i="5"/>
  <c r="M980" i="5"/>
  <c r="M66" i="5"/>
  <c r="M322" i="5"/>
  <c r="M964" i="5"/>
  <c r="M436" i="5"/>
  <c r="O940" i="5"/>
  <c r="M340" i="5"/>
  <c r="O760" i="5"/>
  <c r="O952" i="5"/>
  <c r="O14" i="5"/>
  <c r="M921" i="5"/>
  <c r="M907" i="5"/>
  <c r="O10" i="5"/>
  <c r="O1020" i="5"/>
  <c r="M524" i="5"/>
  <c r="M1034" i="5"/>
  <c r="O920" i="5"/>
  <c r="M516" i="5"/>
  <c r="O942" i="5"/>
  <c r="M908" i="5"/>
  <c r="M32" i="5"/>
  <c r="M120" i="5"/>
  <c r="O1021" i="5"/>
  <c r="M16" i="5"/>
  <c r="O756" i="5"/>
  <c r="O948" i="5"/>
  <c r="O919" i="5"/>
  <c r="M468" i="5"/>
  <c r="O1034" i="5"/>
  <c r="O925" i="5"/>
  <c r="O923" i="5"/>
  <c r="O500" i="5"/>
  <c r="M28" i="5"/>
  <c r="M452" i="5"/>
  <c r="M756" i="5"/>
  <c r="M909" i="5"/>
  <c r="M958" i="5"/>
  <c r="O910" i="5"/>
  <c r="M176" i="5"/>
  <c r="M528" i="5"/>
  <c r="M496" i="5"/>
  <c r="M1020" i="5"/>
  <c r="M954" i="5"/>
  <c r="M416" i="5"/>
  <c r="M738" i="5"/>
  <c r="M18" i="5"/>
  <c r="M614" i="5"/>
  <c r="M944" i="5"/>
  <c r="M8" i="5"/>
  <c r="M940" i="5"/>
  <c r="O904" i="5"/>
  <c r="O116" i="5"/>
  <c r="M24" i="5"/>
  <c r="M250" i="5"/>
  <c r="M2" i="5"/>
  <c r="O903" i="5"/>
  <c r="O524" i="5"/>
  <c r="O744" i="5"/>
  <c r="M216" i="5"/>
  <c r="M368" i="5"/>
  <c r="O932" i="5"/>
  <c r="M144" i="5"/>
  <c r="O911" i="5"/>
  <c r="O907" i="5"/>
  <c r="M136" i="5"/>
  <c r="M960" i="5"/>
  <c r="M480" i="5"/>
  <c r="M352" i="5"/>
  <c r="O740" i="5"/>
  <c r="O520" i="5"/>
  <c r="O508" i="5"/>
  <c r="O504" i="5"/>
  <c r="M448" i="5"/>
  <c r="M1016" i="5"/>
  <c r="O510" i="5"/>
  <c r="O958" i="5"/>
  <c r="M922" i="5"/>
  <c r="M30" i="5"/>
  <c r="M26" i="5"/>
  <c r="M914" i="5"/>
  <c r="M1036" i="5"/>
  <c r="M710" i="5"/>
  <c r="M746" i="5"/>
  <c r="M1070" i="5"/>
  <c r="M1038" i="5"/>
  <c r="M930" i="5"/>
  <c r="M392" i="5"/>
  <c r="M116" i="5"/>
  <c r="M162" i="5"/>
  <c r="M346" i="5"/>
  <c r="M566" i="5"/>
  <c r="M1040" i="5"/>
  <c r="M270" i="5"/>
  <c r="M404" i="5"/>
  <c r="M22" i="5"/>
  <c r="M911" i="5"/>
  <c r="M899" i="5"/>
  <c r="M901" i="5"/>
  <c r="M768" i="5"/>
  <c r="M348" i="5"/>
  <c r="M1058" i="5"/>
  <c r="M20" i="5"/>
  <c r="M500" i="5"/>
  <c r="O908" i="5"/>
  <c r="O956" i="5"/>
  <c r="O26" i="5"/>
  <c r="O1028" i="5"/>
  <c r="O328" i="5"/>
  <c r="O132" i="5"/>
  <c r="O144" i="5"/>
  <c r="M14" i="5"/>
  <c r="M330" i="5"/>
  <c r="O954" i="5"/>
  <c r="O128" i="5"/>
  <c r="M186" i="5"/>
  <c r="M918" i="5"/>
  <c r="M122" i="5"/>
  <c r="M326" i="5"/>
  <c r="M146" i="5"/>
  <c r="M966" i="5"/>
  <c r="M134" i="5"/>
  <c r="M338" i="5"/>
  <c r="M498" i="5"/>
  <c r="M272" i="5"/>
  <c r="M124" i="5"/>
  <c r="O934" i="5"/>
  <c r="M932" i="5"/>
  <c r="M934" i="5"/>
  <c r="M336" i="5"/>
  <c r="M502" i="5"/>
  <c r="M1062" i="5"/>
  <c r="M388" i="5"/>
  <c r="O748" i="5"/>
  <c r="M902" i="5"/>
  <c r="M298" i="5"/>
  <c r="M170" i="5"/>
  <c r="M950" i="5"/>
  <c r="M752" i="5"/>
  <c r="M646" i="5"/>
  <c r="M946" i="5"/>
  <c r="M372" i="5"/>
  <c r="M282" i="5"/>
  <c r="M154" i="5"/>
  <c r="M10" i="5"/>
  <c r="M726" i="5"/>
  <c r="M582" i="5"/>
  <c r="M754" i="5"/>
  <c r="M484" i="5"/>
  <c r="M356" i="5"/>
  <c r="M912" i="5"/>
  <c r="M266" i="5"/>
  <c r="M138" i="5"/>
  <c r="M4" i="5"/>
  <c r="M678" i="5"/>
  <c r="M550" i="5"/>
  <c r="O340" i="5"/>
  <c r="M910" i="5"/>
  <c r="O330" i="5"/>
  <c r="O124" i="5"/>
  <c r="M150" i="5"/>
  <c r="O502" i="5"/>
  <c r="O930" i="5"/>
  <c r="O944" i="5"/>
  <c r="O750" i="5"/>
  <c r="O938" i="5"/>
  <c r="O336" i="5"/>
  <c r="O1024" i="5"/>
  <c r="M6" i="5"/>
  <c r="O120" i="5"/>
  <c r="M142" i="5"/>
  <c r="O2" i="5"/>
  <c r="O1030" i="5"/>
  <c r="O348" i="5"/>
  <c r="O1012" i="5"/>
  <c r="M927" i="5"/>
  <c r="M903" i="5"/>
  <c r="M915" i="5"/>
  <c r="M905" i="5"/>
  <c r="M508" i="5"/>
  <c r="M924" i="5"/>
  <c r="M630" i="5"/>
  <c r="M534" i="5"/>
  <c r="M758" i="5"/>
  <c r="M242" i="5"/>
  <c r="M742" i="5"/>
  <c r="M898" i="5"/>
  <c r="M132" i="5"/>
  <c r="M694" i="5"/>
  <c r="M518" i="5"/>
  <c r="M178" i="5"/>
  <c r="M420" i="5"/>
  <c r="M114" i="5"/>
  <c r="M202" i="5"/>
  <c r="M906" i="5"/>
  <c r="M342" i="5"/>
  <c r="M140" i="5"/>
  <c r="O166" i="5"/>
  <c r="O526" i="5"/>
  <c r="M928" i="5"/>
  <c r="O764" i="5"/>
  <c r="M314" i="5"/>
  <c r="AD585" i="5" a="1"/>
  <c r="AD585" i="5" s="1"/>
  <c r="AD668" i="5" a="1"/>
  <c r="AD668" i="5" s="1"/>
  <c r="AD732" i="5" a="1"/>
  <c r="AD732" i="5" s="1"/>
  <c r="AD796" i="5" a="1"/>
  <c r="AD796" i="5" s="1"/>
  <c r="AD586" i="5" a="1"/>
  <c r="AD586" i="5" s="1"/>
  <c r="AD927" i="5" a="1"/>
  <c r="AD927" i="5" s="1"/>
  <c r="AD803" i="5" a="1"/>
  <c r="AD803" i="5" s="1"/>
  <c r="AD669" i="5" a="1"/>
  <c r="AD669" i="5" s="1"/>
  <c r="AD994" i="5" a="1"/>
  <c r="AD994" i="5" s="1"/>
  <c r="AD733" i="5" a="1"/>
  <c r="AD733" i="5" s="1"/>
  <c r="AD797" i="5" a="1"/>
  <c r="AD797" i="5" s="1"/>
  <c r="AD861" i="5" a="1"/>
  <c r="AD861" i="5" s="1"/>
  <c r="AD926" i="5" a="1"/>
  <c r="AD926" i="5" s="1"/>
  <c r="AD645" i="5" a="1"/>
  <c r="AD645" i="5" s="1"/>
  <c r="AD925" i="5" a="1"/>
  <c r="AD925" i="5" s="1"/>
  <c r="AD986" i="5" a="1"/>
  <c r="AD986" i="5" s="1"/>
  <c r="AD993" i="5" a="1"/>
  <c r="AD993" i="5" s="1"/>
  <c r="AD838" i="5" a="1"/>
  <c r="AD838" i="5" s="1"/>
  <c r="AD907" i="5" a="1"/>
  <c r="AD907" i="5" s="1"/>
  <c r="AD967" i="5" a="1"/>
  <c r="AD967" i="5" s="1"/>
  <c r="AD1035" i="5" a="1"/>
  <c r="AD1035" i="5" s="1"/>
  <c r="AD1047" i="5" a="1"/>
  <c r="AD1047" i="5" s="1"/>
  <c r="AD1067" i="5" a="1"/>
  <c r="AD1067" i="5" s="1"/>
  <c r="Y754" i="8" a="1"/>
  <c r="Y754" i="8" s="1"/>
  <c r="W8" i="8" a="1"/>
  <c r="W8" i="8" s="1"/>
  <c r="Y483" i="8" a="1"/>
  <c r="Y483" i="8" s="1"/>
  <c r="Y133" i="8" a="1"/>
  <c r="Y133" i="8" s="1"/>
  <c r="Y404" i="8" a="1"/>
  <c r="Y404" i="8" s="1"/>
  <c r="Y232" i="8" a="1"/>
  <c r="Y232" i="8" s="1"/>
  <c r="Y152" i="8" a="1"/>
  <c r="Y152" i="8" s="1"/>
  <c r="Y366" i="8" a="1"/>
  <c r="Y366" i="8" s="1"/>
  <c r="Y661" i="8" a="1"/>
  <c r="Y661" i="8" s="1"/>
  <c r="Y951" i="8" a="1"/>
  <c r="Y951" i="8" s="1"/>
  <c r="Y126" i="8" a="1"/>
  <c r="Y126" i="8" s="1"/>
  <c r="Y113" i="8" a="1"/>
  <c r="Y113" i="8" s="1"/>
  <c r="Y155" i="8" a="1"/>
  <c r="Y155" i="8" s="1"/>
  <c r="Y96" i="8" a="1"/>
  <c r="Y96" i="8" s="1"/>
  <c r="Y115" i="8" a="1"/>
  <c r="Y115" i="8" s="1"/>
  <c r="Y130" i="8" a="1"/>
  <c r="Y130" i="8" s="1"/>
  <c r="Y168" i="8" a="1"/>
  <c r="Y168" i="8" s="1"/>
  <c r="Y277" i="8" a="1"/>
  <c r="Y277" i="8" s="1"/>
  <c r="Y321" i="8" a="1"/>
  <c r="Y321" i="8" s="1"/>
  <c r="Y427" i="8" a="1"/>
  <c r="Y427" i="8" s="1"/>
  <c r="Y524" i="8" a="1"/>
  <c r="Y524" i="8" s="1"/>
  <c r="Y603" i="8" a="1"/>
  <c r="Y603" i="8" s="1"/>
  <c r="Y885" i="8" a="1"/>
  <c r="Y885" i="8" s="1"/>
  <c r="Y129" i="8" a="1"/>
  <c r="Y129" i="8" s="1"/>
  <c r="Y156" i="8" a="1"/>
  <c r="Y156" i="8" s="1"/>
  <c r="Y323" i="8" a="1"/>
  <c r="Y323" i="8" s="1"/>
  <c r="Y428" i="8" a="1"/>
  <c r="Y428" i="8" s="1"/>
  <c r="Y550" i="8" a="1"/>
  <c r="Y550" i="8" s="1"/>
  <c r="Y709" i="8" a="1"/>
  <c r="Y709" i="8" s="1"/>
  <c r="Y970" i="8" a="1"/>
  <c r="Y970" i="8" s="1"/>
  <c r="Y127" i="8" a="1"/>
  <c r="Y127" i="8" s="1"/>
  <c r="Y131" i="8" a="1"/>
  <c r="Y131" i="8" s="1"/>
  <c r="Y216" i="8" a="1"/>
  <c r="Y216" i="8" s="1"/>
  <c r="Y132" i="8" a="1"/>
  <c r="Y132" i="8" s="1"/>
  <c r="Y146" i="8" a="1"/>
  <c r="Y146" i="8" s="1"/>
  <c r="Y102" i="8" a="1"/>
  <c r="Y102" i="8" s="1"/>
  <c r="Y220" i="8" a="1"/>
  <c r="Y220" i="8" s="1"/>
  <c r="Y294" i="8" a="1"/>
  <c r="Y294" i="8" s="1"/>
  <c r="Y330" i="8" a="1"/>
  <c r="Y330" i="8" s="1"/>
  <c r="Y469" i="8" a="1"/>
  <c r="Y469" i="8" s="1"/>
  <c r="Y577" i="8" a="1"/>
  <c r="Y577" i="8" s="1"/>
  <c r="Y739" i="8" a="1"/>
  <c r="Y739" i="8" s="1"/>
  <c r="Y18" i="8" a="1"/>
  <c r="Y18" i="8" s="1"/>
  <c r="Y919" i="8" a="1"/>
  <c r="Y919" i="8" s="1"/>
  <c r="Y329" i="8" a="1"/>
  <c r="Y329" i="8" s="1"/>
  <c r="Y457" i="8" a="1"/>
  <c r="Y457" i="8" s="1"/>
  <c r="Y592" i="8" a="1"/>
  <c r="Y592" i="8" s="1"/>
  <c r="Y713" i="8" a="1"/>
  <c r="Y713" i="8" s="1"/>
  <c r="Y272" i="8" a="1"/>
  <c r="Y272" i="8" s="1"/>
  <c r="Y124" i="8" a="1"/>
  <c r="Y124" i="8" s="1"/>
  <c r="Y238" i="8" a="1"/>
  <c r="Y238" i="8" s="1"/>
  <c r="Y105" i="8" a="1"/>
  <c r="Y105" i="8" s="1"/>
  <c r="Y219" i="8" a="1"/>
  <c r="Y219" i="8" s="1"/>
  <c r="Y365" i="8" a="1"/>
  <c r="Y365" i="8" s="1"/>
  <c r="Y477" i="8" a="1"/>
  <c r="Y477" i="8" s="1"/>
  <c r="Y647" i="8" a="1"/>
  <c r="Y647" i="8" s="1"/>
  <c r="Y783" i="8" a="1"/>
  <c r="Y783" i="8" s="1"/>
  <c r="Y586" i="8" a="1"/>
  <c r="Y586" i="8" s="1"/>
  <c r="Y104" i="8" a="1"/>
  <c r="Y104" i="8" s="1"/>
  <c r="Y290" i="8" a="1"/>
  <c r="Y290" i="8" s="1"/>
  <c r="Y99" i="8" a="1"/>
  <c r="Y99" i="8" s="1"/>
  <c r="Y281" i="8" a="1"/>
  <c r="Y281" i="8" s="1"/>
  <c r="Y128" i="8" a="1"/>
  <c r="Y128" i="8" s="1"/>
  <c r="Y139" i="8" a="1"/>
  <c r="Y139" i="8" s="1"/>
  <c r="Y182" i="8" a="1"/>
  <c r="Y182" i="8" s="1"/>
  <c r="Y166" i="8" a="1"/>
  <c r="Y166" i="8" s="1"/>
  <c r="Y318" i="8" a="1"/>
  <c r="Y318" i="8" s="1"/>
  <c r="Y443" i="8" a="1"/>
  <c r="Y443" i="8" s="1"/>
  <c r="Y810" i="8" a="1"/>
  <c r="Y810" i="8" s="1"/>
  <c r="Y106" i="8" a="1"/>
  <c r="Y106" i="8" s="1"/>
  <c r="Y267" i="8" a="1"/>
  <c r="Y267" i="8" s="1"/>
  <c r="Y100" i="8" a="1"/>
  <c r="Y100" i="8" s="1"/>
  <c r="Y335" i="8" a="1"/>
  <c r="Y335" i="8" s="1"/>
  <c r="Y116" i="8" a="1"/>
  <c r="Y116" i="8" s="1"/>
  <c r="Y111" i="8" a="1"/>
  <c r="Y111" i="8" s="1"/>
  <c r="Y118" i="8" a="1"/>
  <c r="Y118" i="8" s="1"/>
  <c r="Y246" i="8" a="1"/>
  <c r="Y246" i="8" s="1"/>
  <c r="Y230" i="8" a="1"/>
  <c r="Y230" i="8" s="1"/>
  <c r="Y375" i="8" a="1"/>
  <c r="Y375" i="8" s="1"/>
  <c r="Y426" i="8" a="1"/>
  <c r="Y426" i="8" s="1"/>
  <c r="Y461" i="8" a="1"/>
  <c r="Y461" i="8" s="1"/>
  <c r="Y653" i="8" a="1"/>
  <c r="Y653" i="8" s="1"/>
  <c r="Y844" i="8" a="1"/>
  <c r="Y844" i="8" s="1"/>
  <c r="Y372" i="8" a="1"/>
  <c r="Y372" i="8" s="1"/>
  <c r="Y864" i="8" a="1"/>
  <c r="Y864" i="8" s="1"/>
  <c r="Y969" i="8" a="1"/>
  <c r="Y969" i="8" s="1"/>
  <c r="Y224" i="8" a="1"/>
  <c r="Y224" i="8" s="1"/>
  <c r="Y519" i="8" a="1"/>
  <c r="Y519" i="8" s="1"/>
  <c r="Y585" i="8" a="1"/>
  <c r="Y585" i="8" s="1"/>
  <c r="Y655" i="8" a="1"/>
  <c r="Y655" i="8" s="1"/>
  <c r="Y801" i="8" a="1"/>
  <c r="Y801" i="8" s="1"/>
  <c r="Y840" i="8" a="1"/>
  <c r="Y840" i="8" s="1"/>
  <c r="Y967" i="8" a="1"/>
  <c r="Y967" i="8" s="1"/>
  <c r="Y185" i="8" a="1"/>
  <c r="Y185" i="8" s="1"/>
  <c r="Y568" i="8" a="1"/>
  <c r="Y568" i="8" s="1"/>
  <c r="Y368" i="8" a="1"/>
  <c r="Y368" i="8" s="1"/>
  <c r="Y517" i="8" a="1"/>
  <c r="Y517" i="8" s="1"/>
  <c r="Y554" i="8" a="1"/>
  <c r="Y554" i="8" s="1"/>
  <c r="Y640" i="8" a="1"/>
  <c r="Y640" i="8" s="1"/>
  <c r="Y746" i="8" a="1"/>
  <c r="Y746" i="8" s="1"/>
  <c r="Y802" i="8" a="1"/>
  <c r="Y802" i="8" s="1"/>
  <c r="Y888" i="8" a="1"/>
  <c r="Y888" i="8" s="1"/>
  <c r="Y1020" i="8" a="1"/>
  <c r="Y1020" i="8" s="1"/>
  <c r="Y218" i="8" a="1"/>
  <c r="Y218" i="8" s="1"/>
  <c r="Y1057" i="8" a="1"/>
  <c r="Y1057" i="8" s="1"/>
  <c r="Y530" i="8" a="1"/>
  <c r="Y530" i="8" s="1"/>
  <c r="Y907" i="8" a="1"/>
  <c r="Y907" i="8" s="1"/>
  <c r="Y1039" i="8" a="1"/>
  <c r="Y1039" i="8" s="1"/>
  <c r="Y297" i="8" a="1"/>
  <c r="Y297" i="8" s="1"/>
  <c r="Y114" i="8" a="1"/>
  <c r="Y114" i="8" s="1"/>
  <c r="Y465" i="8" a="1"/>
  <c r="Y465" i="8" s="1"/>
  <c r="Y548" i="8" a="1"/>
  <c r="Y548" i="8" s="1"/>
  <c r="Y635" i="8" a="1"/>
  <c r="Y635" i="8" s="1"/>
  <c r="Y765" i="8" a="1"/>
  <c r="Y765" i="8" s="1"/>
  <c r="Y804" i="8" a="1"/>
  <c r="Y804" i="8" s="1"/>
  <c r="Y894" i="8" a="1"/>
  <c r="Y894" i="8" s="1"/>
  <c r="Y1046" i="8" a="1"/>
  <c r="Y1046" i="8" s="1"/>
  <c r="Y301" i="8" a="1"/>
  <c r="Y301" i="8" s="1"/>
  <c r="Y151" i="8" a="1"/>
  <c r="Y151" i="8" s="1"/>
  <c r="Y109" i="8" a="1"/>
  <c r="Y109" i="8" s="1"/>
  <c r="Y295" i="8" a="1"/>
  <c r="Y295" i="8" s="1"/>
  <c r="Y203" i="8" a="1"/>
  <c r="Y203" i="8" s="1"/>
  <c r="Y174" i="8" a="1"/>
  <c r="Y174" i="8" s="1"/>
  <c r="Y344" i="8" a="1"/>
  <c r="Y344" i="8" s="1"/>
  <c r="Y425" i="8" a="1"/>
  <c r="Y425" i="8" s="1"/>
  <c r="Y480" i="8" a="1"/>
  <c r="Y480" i="8" s="1"/>
  <c r="Y572" i="8" a="1"/>
  <c r="Y572" i="8" s="1"/>
  <c r="Y599" i="8" a="1"/>
  <c r="Y599" i="8" s="1"/>
  <c r="Y740" i="8" a="1"/>
  <c r="Y740" i="8" s="1"/>
  <c r="Y824" i="8" a="1"/>
  <c r="Y824" i="8" s="1"/>
  <c r="Y912" i="8" a="1"/>
  <c r="Y912" i="8" s="1"/>
  <c r="Y45" i="8" a="1"/>
  <c r="Y45" i="8" s="1"/>
  <c r="Y338" i="8" a="1"/>
  <c r="Y338" i="8" s="1"/>
  <c r="Y815" i="8" a="1"/>
  <c r="Y815" i="8" s="1"/>
  <c r="Y920" i="8" a="1"/>
  <c r="Y920" i="8" s="1"/>
  <c r="Y1065" i="8" a="1"/>
  <c r="Y1065" i="8" s="1"/>
  <c r="Y169" i="8" a="1"/>
  <c r="Y169" i="8" s="1"/>
  <c r="Y518" i="8" a="1"/>
  <c r="Y518" i="8" s="1"/>
  <c r="Y938" i="8" a="1"/>
  <c r="Y938" i="8" s="1"/>
  <c r="Y191" i="8" a="1"/>
  <c r="Y191" i="8" s="1"/>
  <c r="Y649" i="8" a="1"/>
  <c r="Y649" i="8" s="1"/>
  <c r="Y606" i="8" a="1"/>
  <c r="Y606" i="8" s="1"/>
  <c r="Y1016" i="8" a="1"/>
  <c r="Y1016" i="8" s="1"/>
  <c r="Y158" i="8" a="1"/>
  <c r="Y158" i="8" s="1"/>
  <c r="Y332" i="8" a="1"/>
  <c r="Y332" i="8" s="1"/>
  <c r="Y604" i="8" a="1"/>
  <c r="Y604" i="8" s="1"/>
  <c r="Y222" i="8" a="1"/>
  <c r="Y222" i="8" s="1"/>
  <c r="Y331" i="8" a="1"/>
  <c r="Y331" i="8" s="1"/>
  <c r="Y715" i="8" a="1"/>
  <c r="Y715" i="8" s="1"/>
  <c r="Y343" i="8" a="1"/>
  <c r="Y343" i="8" s="1"/>
  <c r="Y405" i="8" a="1"/>
  <c r="Y405" i="8" s="1"/>
  <c r="Y529" i="8" a="1"/>
  <c r="Y529" i="8" s="1"/>
  <c r="Y612" i="8" a="1"/>
  <c r="Y612" i="8" s="1"/>
  <c r="Y761" i="8" a="1"/>
  <c r="Y761" i="8" s="1"/>
  <c r="Y879" i="8" a="1"/>
  <c r="Y879" i="8" s="1"/>
  <c r="Y991" i="8" a="1"/>
  <c r="Y991" i="8" s="1"/>
  <c r="Y317" i="8" a="1"/>
  <c r="Y317" i="8" s="1"/>
  <c r="Y471" i="8" a="1"/>
  <c r="Y471" i="8" s="1"/>
  <c r="Y552" i="8" a="1"/>
  <c r="Y552" i="8" s="1"/>
  <c r="Y668" i="8" a="1"/>
  <c r="Y668" i="8" s="1"/>
  <c r="Y741" i="8" a="1"/>
  <c r="Y741" i="8" s="1"/>
  <c r="Y836" i="8" a="1"/>
  <c r="Y836" i="8" s="1"/>
  <c r="Y1004" i="8" a="1"/>
  <c r="Y1004" i="8" s="1"/>
  <c r="Y345" i="8" a="1"/>
  <c r="Y345" i="8" s="1"/>
  <c r="Y764" i="8" a="1"/>
  <c r="Y764" i="8" s="1"/>
  <c r="Y509" i="8" a="1"/>
  <c r="Y509" i="8" s="1"/>
  <c r="Y546" i="8" a="1"/>
  <c r="Y546" i="8" s="1"/>
  <c r="Y611" i="8" a="1"/>
  <c r="Y611" i="8" s="1"/>
  <c r="Y696" i="8" a="1"/>
  <c r="Y696" i="8" s="1"/>
  <c r="Y698" i="8" a="1"/>
  <c r="Y698" i="8" s="1"/>
  <c r="Y797" i="8" a="1"/>
  <c r="Y797" i="8" s="1"/>
  <c r="Y893" i="8" a="1"/>
  <c r="Y893" i="8" s="1"/>
  <c r="Y946" i="8" a="1"/>
  <c r="Y946" i="8" s="1"/>
  <c r="Y1021" i="8" a="1"/>
  <c r="Y1021" i="8" s="1"/>
  <c r="Y160" i="8" a="1"/>
  <c r="Y160" i="8" s="1"/>
  <c r="Y293" i="8" a="1"/>
  <c r="Y293" i="8" s="1"/>
  <c r="Y241" i="8" a="1"/>
  <c r="Y241" i="8" s="1"/>
  <c r="Y369" i="8" a="1"/>
  <c r="Y369" i="8" s="1"/>
  <c r="Y459" i="8" a="1"/>
  <c r="Y459" i="8" s="1"/>
  <c r="Y538" i="8" a="1"/>
  <c r="Y538" i="8" s="1"/>
  <c r="Y650" i="8" a="1"/>
  <c r="Y650" i="8" s="1"/>
  <c r="Y720" i="8" a="1"/>
  <c r="Y720" i="8" s="1"/>
  <c r="Y895" i="8" a="1"/>
  <c r="Y895" i="8" s="1"/>
  <c r="Y1028" i="8" a="1"/>
  <c r="Y1028" i="8" s="1"/>
  <c r="Y410" i="8" a="1"/>
  <c r="Y410" i="8" s="1"/>
  <c r="Y523" i="8" a="1"/>
  <c r="Y523" i="8" s="1"/>
  <c r="Y249" i="8" a="1"/>
  <c r="Y249" i="8" s="1"/>
  <c r="Y233" i="8" a="1"/>
  <c r="Y233" i="8" s="1"/>
  <c r="Y379" i="8" a="1"/>
  <c r="Y379" i="8" s="1"/>
  <c r="Y386" i="8" a="1"/>
  <c r="Y386" i="8" s="1"/>
  <c r="Y485" i="8" a="1"/>
  <c r="Y485" i="8" s="1"/>
  <c r="Y579" i="8" a="1"/>
  <c r="Y579" i="8" s="1"/>
  <c r="Y692" i="8" a="1"/>
  <c r="Y692" i="8" s="1"/>
  <c r="Y813" i="8" a="1"/>
  <c r="Y813" i="8" s="1"/>
  <c r="Y905" i="8" a="1"/>
  <c r="Y905" i="8" s="1"/>
  <c r="Y271" i="8" a="1"/>
  <c r="Y271" i="8" s="1"/>
  <c r="Y828" i="8" a="1"/>
  <c r="Y828" i="8" s="1"/>
  <c r="Y952" i="8" a="1"/>
  <c r="Y952" i="8" s="1"/>
  <c r="Y968" i="8" a="1"/>
  <c r="Y968" i="8" s="1"/>
  <c r="Y1054" i="8" a="1"/>
  <c r="Y1054" i="8" s="1"/>
  <c r="Y170" i="8" a="1"/>
  <c r="Y170" i="8" s="1"/>
  <c r="Y299" i="8" a="1"/>
  <c r="Y299" i="8" s="1"/>
  <c r="Y324" i="8" a="1"/>
  <c r="Y324" i="8" s="1"/>
  <c r="Y416" i="8" a="1"/>
  <c r="Y416" i="8" s="1"/>
  <c r="Y510" i="8" a="1"/>
  <c r="Y510" i="8" s="1"/>
  <c r="Y680" i="8" a="1"/>
  <c r="Y680" i="8" s="1"/>
  <c r="Y756" i="8" a="1"/>
  <c r="Y756" i="8" s="1"/>
  <c r="Y817" i="8" a="1"/>
  <c r="Y817" i="8" s="1"/>
  <c r="Y960" i="8" a="1"/>
  <c r="Y960" i="8" s="1"/>
  <c r="Y161" i="8" a="1"/>
  <c r="Y161" i="8" s="1"/>
  <c r="Y414" i="8" a="1"/>
  <c r="Y414" i="8" s="1"/>
  <c r="Y506" i="8" a="1"/>
  <c r="Y506" i="8" s="1"/>
  <c r="Y673" i="8" a="1"/>
  <c r="Y673" i="8" s="1"/>
  <c r="Y642" i="8" a="1"/>
  <c r="Y642" i="8" s="1"/>
  <c r="Y760" i="8" a="1"/>
  <c r="Y760" i="8" s="1"/>
  <c r="Y835" i="8" a="1"/>
  <c r="Y835" i="8" s="1"/>
  <c r="Y865" i="8" a="1"/>
  <c r="Y865" i="8" s="1"/>
  <c r="Y936" i="8" a="1"/>
  <c r="Y936" i="8" s="1"/>
  <c r="Y988" i="8" a="1"/>
  <c r="Y988" i="8" s="1"/>
  <c r="Y1073" i="8" a="1"/>
  <c r="Y1073" i="8" s="1"/>
  <c r="Y234" i="8" a="1"/>
  <c r="Y234" i="8" s="1"/>
  <c r="Y154" i="8" a="1"/>
  <c r="Y154" i="8" s="1"/>
  <c r="Y370" i="8" a="1"/>
  <c r="Y370" i="8" s="1"/>
  <c r="Y407" i="8" a="1"/>
  <c r="Y407" i="8" s="1"/>
  <c r="Y463" i="8" a="1"/>
  <c r="Y463" i="8" s="1"/>
  <c r="Y662" i="8" a="1"/>
  <c r="Y662" i="8" s="1"/>
  <c r="Y748" i="8" a="1"/>
  <c r="Y748" i="8" s="1"/>
  <c r="Y826" i="8" a="1"/>
  <c r="Y826" i="8" s="1"/>
  <c r="Y974" i="8" a="1"/>
  <c r="Y974" i="8" s="1"/>
  <c r="Y971" i="8" a="1"/>
  <c r="Y971" i="8" s="1"/>
  <c r="Y1060" i="8" a="1"/>
  <c r="Y1060" i="8" s="1"/>
  <c r="Y207" i="8" a="1"/>
  <c r="Y207" i="8" s="1"/>
  <c r="Y274" i="8" a="1"/>
  <c r="Y274" i="8" s="1"/>
  <c r="Y263" i="8" a="1"/>
  <c r="Y263" i="8" s="1"/>
  <c r="Y346" i="8" a="1"/>
  <c r="Y346" i="8" s="1"/>
  <c r="Y419" i="8" a="1"/>
  <c r="Y419" i="8" s="1"/>
  <c r="Y468" i="8" a="1"/>
  <c r="Y468" i="8" s="1"/>
  <c r="Y531" i="8" a="1"/>
  <c r="Y531" i="8" s="1"/>
  <c r="Y714" i="8" a="1"/>
  <c r="Y714" i="8" s="1"/>
  <c r="Y446" i="8" a="1"/>
  <c r="Y446" i="8" s="1"/>
  <c r="Y553" i="8" a="1"/>
  <c r="Y553" i="8" s="1"/>
  <c r="Y643" i="8" a="1"/>
  <c r="Y643" i="8" s="1"/>
  <c r="Y670" i="8" a="1"/>
  <c r="Y670" i="8" s="1"/>
  <c r="Y751" i="8" a="1"/>
  <c r="Y751" i="8" s="1"/>
  <c r="Y806" i="8" a="1"/>
  <c r="Y806" i="8" s="1"/>
  <c r="Y890" i="8" a="1"/>
  <c r="Y890" i="8" s="1"/>
  <c r="Y922" i="8" a="1"/>
  <c r="Y922" i="8" s="1"/>
  <c r="Y1008" i="8" a="1"/>
  <c r="Y1008" i="8" s="1"/>
  <c r="Y1072" i="8" a="1"/>
  <c r="Y1072" i="8" s="1"/>
  <c r="Y173" i="8" a="1"/>
  <c r="Y173" i="8" s="1"/>
  <c r="Y255" i="8" a="1"/>
  <c r="Y255" i="8" s="1"/>
  <c r="Y351" i="8" a="1"/>
  <c r="Y351" i="8" s="1"/>
  <c r="Y373" i="8" a="1"/>
  <c r="Y373" i="8" s="1"/>
  <c r="Y474" i="8" a="1"/>
  <c r="Y474" i="8" s="1"/>
  <c r="Y466" i="8" a="1"/>
  <c r="Y466" i="8" s="1"/>
  <c r="Y669" i="8" a="1"/>
  <c r="Y669" i="8" s="1"/>
  <c r="Y829" i="8" a="1"/>
  <c r="Y829" i="8" s="1"/>
  <c r="Y439" i="8" a="1"/>
  <c r="Y439" i="8" s="1"/>
  <c r="Y26" i="8" a="1"/>
  <c r="Y26" i="8" s="1"/>
  <c r="Y237" i="8" a="1"/>
  <c r="Y237" i="8" s="1"/>
  <c r="Y300" i="8" a="1"/>
  <c r="Y300" i="8" s="1"/>
  <c r="Y383" i="8" a="1"/>
  <c r="Y383" i="8" s="1"/>
  <c r="Y334" i="8" a="1"/>
  <c r="Y334" i="8" s="1"/>
  <c r="Y462" i="8" a="1"/>
  <c r="Y462" i="8" s="1"/>
  <c r="Y444" i="8" a="1"/>
  <c r="Y444" i="8" s="1"/>
  <c r="Y658" i="8" a="1"/>
  <c r="Y658" i="8" s="1"/>
  <c r="Y899" i="8" a="1"/>
  <c r="Y899" i="8" s="1"/>
  <c r="Y834" i="8" a="1"/>
  <c r="Y834" i="8" s="1"/>
  <c r="Y157" i="8" a="1"/>
  <c r="Y157" i="8" s="1"/>
  <c r="Y337" i="8" a="1"/>
  <c r="Y337" i="8" s="1"/>
  <c r="Y376" i="8" a="1"/>
  <c r="Y376" i="8" s="1"/>
  <c r="Y527" i="8" a="1"/>
  <c r="Y527" i="8" s="1"/>
  <c r="Y511" i="8" a="1"/>
  <c r="Y511" i="8" s="1"/>
  <c r="Y625" i="8" a="1"/>
  <c r="Y625" i="8" s="1"/>
  <c r="Y976" i="8" a="1"/>
  <c r="Y976" i="8" s="1"/>
  <c r="Y775" i="8" a="1"/>
  <c r="Y775" i="8" s="1"/>
  <c r="Y846" i="8" a="1"/>
  <c r="Y846" i="8" s="1"/>
  <c r="Y896" i="8" a="1"/>
  <c r="Y896" i="8" s="1"/>
  <c r="Y989" i="8" a="1"/>
  <c r="Y989" i="8" s="1"/>
  <c r="Y1041" i="8" a="1"/>
  <c r="Y1041" i="8" s="1"/>
  <c r="Y162" i="8" a="1"/>
  <c r="Y162" i="8" s="1"/>
  <c r="Y225" i="8" a="1"/>
  <c r="Y225" i="8" s="1"/>
  <c r="Y221" i="8" a="1"/>
  <c r="Y221" i="8" s="1"/>
  <c r="Y374" i="8" a="1"/>
  <c r="Y374" i="8" s="1"/>
  <c r="Y388" i="8" a="1"/>
  <c r="Y388" i="8" s="1"/>
  <c r="Y482" i="8" a="1"/>
  <c r="Y482" i="8" s="1"/>
  <c r="Y537" i="8" a="1"/>
  <c r="Y537" i="8" s="1"/>
  <c r="Y613" i="8" a="1"/>
  <c r="Y613" i="8" s="1"/>
  <c r="Y1048" i="8" a="1"/>
  <c r="Y1048" i="8" s="1"/>
  <c r="Y326" i="8" a="1"/>
  <c r="Y326" i="8" s="1"/>
  <c r="Y430" i="8" a="1"/>
  <c r="Y430" i="8" s="1"/>
  <c r="Y479" i="8" a="1"/>
  <c r="Y479" i="8" s="1"/>
  <c r="Y486" i="8" a="1"/>
  <c r="Y486" i="8" s="1"/>
  <c r="Y602" i="8" a="1"/>
  <c r="Y602" i="8" s="1"/>
  <c r="Y600" i="8" a="1"/>
  <c r="Y600" i="8" s="1"/>
  <c r="Y711" i="8" a="1"/>
  <c r="Y711" i="8" s="1"/>
  <c r="Y793" i="8" a="1"/>
  <c r="Y793" i="8" s="1"/>
  <c r="Y866" i="8" a="1"/>
  <c r="Y866" i="8" s="1"/>
  <c r="Y914" i="8" a="1"/>
  <c r="Y914" i="8" s="1"/>
  <c r="Y972" i="8" a="1"/>
  <c r="Y972" i="8" s="1"/>
  <c r="Y1051" i="8" a="1"/>
  <c r="Y1051" i="8" s="1"/>
  <c r="Y226" i="8" a="1"/>
  <c r="Y226" i="8" s="1"/>
  <c r="Y304" i="8" a="1"/>
  <c r="Y304" i="8" s="1"/>
  <c r="Y135" i="8" a="1"/>
  <c r="Y135" i="8" s="1"/>
  <c r="Y339" i="8" a="1"/>
  <c r="Y339" i="8" s="1"/>
  <c r="Y438" i="8" a="1"/>
  <c r="Y438" i="8" s="1"/>
  <c r="Y470" i="8" a="1"/>
  <c r="Y470" i="8" s="1"/>
  <c r="Y557" i="8" a="1"/>
  <c r="Y557" i="8" s="1"/>
  <c r="Y617" i="8" a="1"/>
  <c r="Y617" i="8" s="1"/>
  <c r="Y973" i="8" a="1"/>
  <c r="Y973" i="8" s="1"/>
  <c r="Y1036" i="8" a="1"/>
  <c r="Y1036" i="8" s="1"/>
  <c r="Y309" i="8" a="1"/>
  <c r="Y309" i="8" s="1"/>
  <c r="Y208" i="8" a="1"/>
  <c r="Y208" i="8" s="1"/>
  <c r="Y177" i="8" a="1"/>
  <c r="Y177" i="8" s="1"/>
  <c r="Y278" i="8" a="1"/>
  <c r="Y278" i="8" s="1"/>
  <c r="Y432" i="8" a="1"/>
  <c r="Y432" i="8" s="1"/>
  <c r="Y467" i="8" a="1"/>
  <c r="Y467" i="8" s="1"/>
  <c r="Y575" i="8" a="1"/>
  <c r="Y575" i="8" s="1"/>
  <c r="Y587" i="8" a="1"/>
  <c r="Y587" i="8" s="1"/>
  <c r="Y660" i="8" a="1"/>
  <c r="Y660" i="8" s="1"/>
  <c r="Y773" i="8" a="1"/>
  <c r="Y773" i="8" s="1"/>
  <c r="Y842" i="8" a="1"/>
  <c r="Y842" i="8" s="1"/>
  <c r="Y911" i="8" a="1"/>
  <c r="Y911" i="8" s="1"/>
  <c r="Y978" i="8" a="1"/>
  <c r="Y978" i="8" s="1"/>
  <c r="Y1047" i="8" a="1"/>
  <c r="Y1047" i="8" s="1"/>
  <c r="Y143" i="8" a="1"/>
  <c r="Y143" i="8" s="1"/>
  <c r="Y210" i="8" a="1"/>
  <c r="Y210" i="8" s="1"/>
  <c r="Y199" i="8" a="1"/>
  <c r="Y199" i="8" s="1"/>
  <c r="Y283" i="8" a="1"/>
  <c r="Y283" i="8" s="1"/>
  <c r="Y389" i="8" a="1"/>
  <c r="Y389" i="8" s="1"/>
  <c r="Y521" i="8" a="1"/>
  <c r="Y521" i="8" s="1"/>
  <c r="Y555" i="8" a="1"/>
  <c r="Y555" i="8" s="1"/>
  <c r="Y757" i="8" a="1"/>
  <c r="Y757" i="8" s="1"/>
  <c r="Y656" i="8" a="1"/>
  <c r="Y656" i="8" s="1"/>
  <c r="Y595" i="8" a="1"/>
  <c r="Y595" i="8" s="1"/>
  <c r="Y701" i="8" a="1"/>
  <c r="Y701" i="8" s="1"/>
  <c r="Y916" i="8" a="1"/>
  <c r="Y916" i="8" s="1"/>
  <c r="Y268" i="8" a="1"/>
  <c r="Y268" i="8" s="1"/>
  <c r="Y718" i="8" a="1"/>
  <c r="Y718" i="8" s="1"/>
  <c r="Y33" i="8" a="1"/>
  <c r="Y33" i="8" s="1"/>
  <c r="Y285" i="8" a="1"/>
  <c r="Y285" i="8" s="1"/>
  <c r="Y487" i="8" a="1"/>
  <c r="Y487" i="8" s="1"/>
  <c r="Y560" i="8" a="1"/>
  <c r="Y560" i="8" s="1"/>
  <c r="Y671" i="8" a="1"/>
  <c r="Y671" i="8" s="1"/>
  <c r="Y683" i="8" a="1"/>
  <c r="Y683" i="8" s="1"/>
  <c r="Y677" i="8" a="1"/>
  <c r="Y677" i="8" s="1"/>
  <c r="Y780" i="8" a="1"/>
  <c r="Y780" i="8" s="1"/>
  <c r="Y923" i="8" a="1"/>
  <c r="Y923" i="8" s="1"/>
  <c r="Y1071" i="8" a="1"/>
  <c r="Y1071" i="8" s="1"/>
  <c r="Y348" i="8" a="1"/>
  <c r="Y348" i="8" s="1"/>
  <c r="Y490" i="8" a="1"/>
  <c r="Y490" i="8" s="1"/>
  <c r="Y296" i="8" a="1"/>
  <c r="Y296" i="8" s="1"/>
  <c r="Y488" i="8" a="1"/>
  <c r="Y488" i="8" s="1"/>
  <c r="Y820" i="8" a="1"/>
  <c r="Y820" i="8" s="1"/>
  <c r="Y977" i="8" a="1"/>
  <c r="Y977" i="8" s="1"/>
  <c r="Y183" i="8" a="1"/>
  <c r="Y183" i="8" s="1"/>
  <c r="Y686" i="8" a="1"/>
  <c r="Y686" i="8" s="1"/>
  <c r="Y763" i="8" a="1"/>
  <c r="Y763" i="8" s="1"/>
  <c r="Y849" i="8" a="1"/>
  <c r="Y849" i="8" s="1"/>
  <c r="Y980" i="8" a="1"/>
  <c r="Y980" i="8" s="1"/>
  <c r="Y213" i="8" a="1"/>
  <c r="Y213" i="8" s="1"/>
  <c r="Y678" i="8" a="1"/>
  <c r="Y678" i="8" s="1"/>
  <c r="Y759" i="8" a="1"/>
  <c r="Y759" i="8" s="1"/>
  <c r="Y869" i="8" a="1"/>
  <c r="Y869" i="8" s="1"/>
  <c r="Y995" i="8" a="1"/>
  <c r="Y995" i="8" s="1"/>
  <c r="Y291" i="8" a="1"/>
  <c r="Y291" i="8" s="1"/>
  <c r="Y184" i="8" a="1"/>
  <c r="Y184" i="8" s="1"/>
  <c r="Y580" i="8" a="1"/>
  <c r="Y580" i="8" s="1"/>
  <c r="Y725" i="8" a="1"/>
  <c r="Y725" i="8" s="1"/>
  <c r="Y876" i="8" a="1"/>
  <c r="Y876" i="8" s="1"/>
  <c r="Y1055" i="8" a="1"/>
  <c r="Y1055" i="8" s="1"/>
  <c r="Y657" i="8" a="1"/>
  <c r="Y657" i="8" s="1"/>
  <c r="Y749" i="8" a="1"/>
  <c r="Y749" i="8" s="1"/>
  <c r="Y805" i="8" a="1"/>
  <c r="Y805" i="8" s="1"/>
  <c r="Y845" i="8" a="1"/>
  <c r="Y845" i="8" s="1"/>
  <c r="Y945" i="8" a="1"/>
  <c r="Y945" i="8" s="1"/>
  <c r="Y1001" i="8" a="1"/>
  <c r="Y1001" i="8" s="1"/>
  <c r="Y229" i="8" a="1"/>
  <c r="Y229" i="8" s="1"/>
  <c r="Y196" i="8" a="1"/>
  <c r="Y196" i="8" s="1"/>
  <c r="Y347" i="8" a="1"/>
  <c r="Y347" i="8" s="1"/>
  <c r="Y449" i="8" a="1"/>
  <c r="Y449" i="8" s="1"/>
  <c r="Y724" i="8" a="1"/>
  <c r="Y724" i="8" s="1"/>
  <c r="Y766" i="8" a="1"/>
  <c r="Y766" i="8" s="1"/>
  <c r="Y821" i="8" a="1"/>
  <c r="Y821" i="8" s="1"/>
  <c r="Y927" i="8" a="1"/>
  <c r="Y927" i="8" s="1"/>
  <c r="Y1015" i="8" a="1"/>
  <c r="Y1015" i="8" s="1"/>
  <c r="Y148" i="8" a="1"/>
  <c r="Y148" i="8" s="1"/>
  <c r="Y243" i="8" a="1"/>
  <c r="Y243" i="8" s="1"/>
  <c r="Y394" i="8" a="1"/>
  <c r="Y394" i="8" s="1"/>
  <c r="Y565" i="8" a="1"/>
  <c r="Y565" i="8" s="1"/>
  <c r="Y712" i="8" a="1"/>
  <c r="Y712" i="8" s="1"/>
  <c r="Y618" i="8" a="1"/>
  <c r="Y618" i="8" s="1"/>
  <c r="Y663" i="8" a="1"/>
  <c r="Y663" i="8" s="1"/>
  <c r="Y702" i="8" a="1"/>
  <c r="Y702" i="8" s="1"/>
  <c r="Y818" i="8" a="1"/>
  <c r="Y818" i="8" s="1"/>
  <c r="Y838" i="8" a="1"/>
  <c r="Y838" i="8" s="1"/>
  <c r="Y958" i="8" a="1"/>
  <c r="Y958" i="8" s="1"/>
  <c r="Y1052" i="8" a="1"/>
  <c r="Y1052" i="8" s="1"/>
  <c r="Y212" i="8" a="1"/>
  <c r="Y212" i="8" s="1"/>
  <c r="Y140" i="8" a="1"/>
  <c r="Y140" i="8" s="1"/>
  <c r="Y429" i="8" a="1"/>
  <c r="Y429" i="8" s="1"/>
  <c r="Y534" i="8" a="1"/>
  <c r="Y534" i="8" s="1"/>
  <c r="Y496" i="8" a="1"/>
  <c r="Y496" i="8" s="1"/>
  <c r="Y593" i="8" a="1"/>
  <c r="Y593" i="8" s="1"/>
  <c r="Y841" i="8" a="1"/>
  <c r="Y841" i="8" s="1"/>
  <c r="Y979" i="8" a="1"/>
  <c r="Y979" i="8" s="1"/>
  <c r="Y320" i="8" a="1"/>
  <c r="Y320" i="8" s="1"/>
  <c r="Y484" i="8" a="1"/>
  <c r="Y484" i="8" s="1"/>
  <c r="Y608" i="8" a="1"/>
  <c r="Y608" i="8" s="1"/>
  <c r="Y150" i="8" a="1"/>
  <c r="Y150" i="8" s="1"/>
  <c r="Y384" i="8" a="1"/>
  <c r="Y384" i="8" s="1"/>
  <c r="Y898" i="8" a="1"/>
  <c r="Y898" i="8" s="1"/>
  <c r="Y975" i="8" a="1"/>
  <c r="Y975" i="8" s="1"/>
  <c r="Y1068" i="8" a="1"/>
  <c r="Y1068" i="8" s="1"/>
  <c r="Y247" i="8" a="1"/>
  <c r="Y247" i="8" s="1"/>
  <c r="Y342" i="8" a="1"/>
  <c r="Y342" i="8" s="1"/>
  <c r="Y522" i="8" a="1"/>
  <c r="Y522" i="8" s="1"/>
  <c r="Y627" i="8" a="1"/>
  <c r="Y627" i="8" s="1"/>
  <c r="Y878" i="8" a="1"/>
  <c r="Y878" i="8" s="1"/>
  <c r="Y615" i="8" a="1"/>
  <c r="Y615" i="8" s="1"/>
  <c r="Y1027" i="8" a="1"/>
  <c r="Y1027" i="8" s="1"/>
  <c r="Y516" i="8" a="1"/>
  <c r="Y516" i="8" s="1"/>
  <c r="Y475" i="8" a="1"/>
  <c r="Y475" i="8" s="1"/>
  <c r="Y822" i="8" a="1"/>
  <c r="Y822" i="8" s="1"/>
  <c r="Y768" i="8" a="1"/>
  <c r="Y768" i="8" s="1"/>
  <c r="Y782" i="8" a="1"/>
  <c r="Y782" i="8" s="1"/>
  <c r="Y874" i="8" a="1"/>
  <c r="Y874" i="8" s="1"/>
  <c r="Y918" i="8" a="1"/>
  <c r="Y918" i="8" s="1"/>
  <c r="Y997" i="8" a="1"/>
  <c r="Y997" i="8" s="1"/>
  <c r="Y112" i="8" a="1"/>
  <c r="Y112" i="8" s="1"/>
  <c r="Y252" i="8" a="1"/>
  <c r="Y252" i="8" s="1"/>
  <c r="Y406" i="8" a="1"/>
  <c r="Y406" i="8" s="1"/>
  <c r="Y755" i="8" a="1"/>
  <c r="Y755" i="8" s="1"/>
  <c r="Y762" i="8" a="1"/>
  <c r="Y762" i="8" s="1"/>
  <c r="Y867" i="8" a="1"/>
  <c r="Y867" i="8" s="1"/>
  <c r="Y926" i="8" a="1"/>
  <c r="Y926" i="8" s="1"/>
  <c r="Y994" i="8" a="1"/>
  <c r="Y994" i="8" s="1"/>
  <c r="Y98" i="8" a="1"/>
  <c r="Y98" i="8" s="1"/>
  <c r="Y171" i="8" a="1"/>
  <c r="Y171" i="8" s="1"/>
  <c r="Y489" i="8" a="1"/>
  <c r="Y489" i="8" s="1"/>
  <c r="Y752" i="8" a="1"/>
  <c r="Y752" i="8" s="1"/>
  <c r="Y809" i="8" a="1"/>
  <c r="Y809" i="8" s="1"/>
  <c r="Y900" i="8" a="1"/>
  <c r="Y900" i="8" s="1"/>
  <c r="Y925" i="8" a="1"/>
  <c r="Y925" i="8" s="1"/>
  <c r="Y1009" i="8" a="1"/>
  <c r="Y1009" i="8" s="1"/>
  <c r="Y165" i="8" a="1"/>
  <c r="Y165" i="8" s="1"/>
  <c r="Y149" i="8" a="1"/>
  <c r="Y149" i="8" s="1"/>
  <c r="Y204" i="8" a="1"/>
  <c r="Y204" i="8" s="1"/>
  <c r="Y298" i="8" a="1"/>
  <c r="Y298" i="8" s="1"/>
  <c r="Y390" i="8" a="1"/>
  <c r="Y390" i="8" s="1"/>
  <c r="Y525" i="8" a="1"/>
  <c r="Y525" i="8" s="1"/>
  <c r="Y570" i="8" a="1"/>
  <c r="Y570" i="8" s="1"/>
  <c r="Y664" i="8" a="1"/>
  <c r="Y664" i="8" s="1"/>
  <c r="Y734" i="8" a="1"/>
  <c r="Y734" i="8" s="1"/>
  <c r="Y769" i="8" a="1"/>
  <c r="Y769" i="8" s="1"/>
  <c r="Y843" i="8" a="1"/>
  <c r="Y843" i="8" s="1"/>
  <c r="Y932" i="8" a="1"/>
  <c r="Y932" i="8" s="1"/>
  <c r="Y1011" i="8" a="1"/>
  <c r="Y1011" i="8" s="1"/>
  <c r="Y187" i="8" a="1"/>
  <c r="Y187" i="8" s="1"/>
  <c r="Y235" i="8" a="1"/>
  <c r="Y235" i="8" s="1"/>
  <c r="Y954" i="8" a="1"/>
  <c r="Y954" i="8" s="1"/>
  <c r="Y1017" i="8" a="1"/>
  <c r="Y1017" i="8" s="1"/>
  <c r="Y251" i="8" a="1"/>
  <c r="Y251" i="8" s="1"/>
  <c r="Y120" i="8" a="1"/>
  <c r="Y120" i="8" s="1"/>
  <c r="Y448" i="8" a="1"/>
  <c r="Y448" i="8" s="1"/>
  <c r="Y685" i="8" a="1"/>
  <c r="Y685" i="8" s="1"/>
  <c r="Y393" i="8" a="1"/>
  <c r="Y393" i="8" s="1"/>
  <c r="Y380" i="8" a="1"/>
  <c r="Y380" i="8" s="1"/>
  <c r="Y440" i="8" a="1"/>
  <c r="Y440" i="8" s="1"/>
  <c r="Y513" i="8" a="1"/>
  <c r="Y513" i="8" s="1"/>
  <c r="Y634" i="8" a="1"/>
  <c r="Y634" i="8" s="1"/>
  <c r="Y659" i="8" a="1"/>
  <c r="Y659" i="8" s="1"/>
  <c r="Y700" i="8" a="1"/>
  <c r="Y700" i="8" s="1"/>
  <c r="Y807" i="8" a="1"/>
  <c r="Y807" i="8" s="1"/>
  <c r="Y917" i="8" a="1"/>
  <c r="Y917" i="8" s="1"/>
  <c r="Y982" i="8" a="1"/>
  <c r="Y982" i="8" s="1"/>
  <c r="Y1024" i="8" a="1"/>
  <c r="Y1024" i="8" s="1"/>
  <c r="Y214" i="8" a="1"/>
  <c r="Y214" i="8" s="1"/>
  <c r="Y248" i="8" a="1"/>
  <c r="Y248" i="8" s="1"/>
  <c r="Y681" i="8" a="1"/>
  <c r="Y681" i="8" s="1"/>
  <c r="Y306" i="8" a="1"/>
  <c r="Y306" i="8" s="1"/>
  <c r="Y340" i="8" a="1"/>
  <c r="Y340" i="8" s="1"/>
  <c r="Y391" i="8" a="1"/>
  <c r="Y391" i="8" s="1"/>
  <c r="Y504" i="8" a="1"/>
  <c r="Y504" i="8" s="1"/>
  <c r="Y539" i="8" a="1"/>
  <c r="Y539" i="8" s="1"/>
  <c r="Y621" i="8" a="1"/>
  <c r="Y621" i="8" s="1"/>
  <c r="Y619" i="8" a="1"/>
  <c r="Y619" i="8" s="1"/>
  <c r="Y727" i="8" a="1"/>
  <c r="Y727" i="8" s="1"/>
  <c r="Y851" i="8" a="1"/>
  <c r="Y851" i="8" s="1"/>
  <c r="Y903" i="8" a="1"/>
  <c r="Y903" i="8" s="1"/>
  <c r="Y1002" i="8" a="1"/>
  <c r="Y1002" i="8" s="1"/>
  <c r="Y1049" i="8" a="1"/>
  <c r="Y1049" i="8" s="1"/>
  <c r="Y264" i="8" a="1"/>
  <c r="Y264" i="8" s="1"/>
  <c r="Y206" i="8" a="1"/>
  <c r="Y206" i="8" s="1"/>
  <c r="Y259" i="8" a="1"/>
  <c r="Y259" i="8" s="1"/>
  <c r="Y179" i="8" a="1"/>
  <c r="Y179" i="8" s="1"/>
  <c r="Y378" i="8" a="1"/>
  <c r="Y378" i="8" s="1"/>
  <c r="Y401" i="8" a="1"/>
  <c r="Y401" i="8" s="1"/>
  <c r="Y492" i="8" a="1"/>
  <c r="Y492" i="8" s="1"/>
  <c r="Y559" i="8" a="1"/>
  <c r="Y559" i="8" s="1"/>
  <c r="Y676" i="8" a="1"/>
  <c r="Y676" i="8" s="1"/>
  <c r="Y703" i="8" a="1"/>
  <c r="Y703" i="8" s="1"/>
  <c r="Y744" i="8" a="1"/>
  <c r="Y744" i="8" s="1"/>
  <c r="Y871" i="8" a="1"/>
  <c r="Y871" i="8" s="1"/>
  <c r="Y928" i="8" a="1"/>
  <c r="Y928" i="8" s="1"/>
  <c r="Y983" i="8" a="1"/>
  <c r="Y983" i="8" s="1"/>
  <c r="Y1063" i="8" a="1"/>
  <c r="Y1063" i="8" s="1"/>
  <c r="Y188" i="8" a="1"/>
  <c r="Y188" i="8" s="1"/>
  <c r="Y288" i="8" a="1"/>
  <c r="Y288" i="8" s="1"/>
  <c r="M334" i="5"/>
  <c r="O1016" i="5"/>
  <c r="O918" i="5"/>
  <c r="M923" i="5"/>
  <c r="O915" i="5"/>
  <c r="M332" i="5"/>
  <c r="M510" i="5"/>
  <c r="M936" i="5"/>
  <c r="M744" i="5"/>
  <c r="O512" i="5"/>
  <c r="O352" i="5"/>
  <c r="O498" i="5"/>
  <c r="O1032" i="5"/>
  <c r="O746" i="5"/>
  <c r="O326" i="5"/>
  <c r="O6" i="5"/>
  <c r="O18" i="5"/>
  <c r="O914" i="5"/>
  <c r="M740" i="5"/>
  <c r="M160" i="5"/>
  <c r="M328" i="5"/>
  <c r="M520" i="5"/>
  <c r="M952" i="5"/>
  <c r="M919" i="5"/>
  <c r="O902" i="5"/>
  <c r="M900" i="5"/>
  <c r="M256" i="5"/>
  <c r="O899" i="5"/>
  <c r="M238" i="5"/>
  <c r="M488" i="5"/>
  <c r="M360" i="5"/>
  <c r="M764" i="5"/>
  <c r="O742" i="5"/>
  <c r="M240" i="5"/>
  <c r="M222" i="5"/>
  <c r="M472" i="5"/>
  <c r="M344" i="5"/>
  <c r="M760" i="5"/>
  <c r="M294" i="5"/>
  <c r="M904" i="5"/>
  <c r="M224" i="5"/>
  <c r="M206" i="5"/>
  <c r="M456" i="5"/>
  <c r="O332" i="5"/>
  <c r="M278" i="5"/>
  <c r="O922" i="5"/>
  <c r="M926" i="5"/>
  <c r="M128" i="5"/>
  <c r="M208" i="5"/>
  <c r="M190" i="5"/>
  <c r="M440" i="5"/>
  <c r="M262" i="5"/>
  <c r="O926" i="5"/>
  <c r="O140" i="5"/>
  <c r="M526" i="5"/>
  <c r="O762" i="5"/>
  <c r="O30" i="5"/>
  <c r="O738" i="5"/>
  <c r="O1036" i="5"/>
  <c r="O766" i="5"/>
  <c r="O1070" i="5"/>
  <c r="M198" i="5"/>
  <c r="O334" i="5"/>
  <c r="O946" i="5"/>
  <c r="M254" i="5"/>
  <c r="O306" i="5"/>
  <c r="O346" i="5"/>
  <c r="O1040" i="5"/>
  <c r="O324" i="5"/>
  <c r="O22" i="5"/>
  <c r="M766" i="5"/>
  <c r="M868" i="5"/>
  <c r="M750" i="5"/>
  <c r="M320" i="5"/>
  <c r="M192" i="5"/>
  <c r="M920" i="5"/>
  <c r="M318" i="5"/>
  <c r="M174" i="5"/>
  <c r="O906" i="5"/>
  <c r="M424" i="5"/>
  <c r="M230" i="5"/>
  <c r="M12" i="5"/>
  <c r="M852" i="5"/>
  <c r="M304" i="5"/>
  <c r="M126" i="5"/>
  <c r="M302" i="5"/>
  <c r="M158" i="5"/>
  <c r="M408" i="5"/>
  <c r="M166" i="5"/>
  <c r="M772" i="5"/>
  <c r="M288" i="5"/>
  <c r="M286" i="5"/>
  <c r="O506" i="5"/>
  <c r="O758" i="5"/>
  <c r="M182" i="5"/>
  <c r="O122" i="5"/>
  <c r="O950" i="5"/>
  <c r="O294" i="5"/>
  <c r="O522" i="5"/>
  <c r="O338" i="5"/>
  <c r="O514" i="5"/>
  <c r="O960" i="5"/>
  <c r="O927" i="5"/>
  <c r="O342" i="5"/>
  <c r="O136" i="5"/>
  <c r="O528" i="5"/>
  <c r="O754" i="5"/>
  <c r="O222" i="5"/>
  <c r="O1022" i="5"/>
  <c r="O924" i="5"/>
  <c r="M246" i="5"/>
  <c r="M350" i="5"/>
  <c r="M214" i="5"/>
  <c r="O898" i="5"/>
  <c r="M310" i="5"/>
  <c r="Y830" i="8" a="1"/>
  <c r="Y830" i="8" s="1"/>
  <c r="Y270" i="8" a="1"/>
  <c r="Y270" i="8" s="1"/>
  <c r="Y616" i="8" a="1"/>
  <c r="Y616" i="8" s="1"/>
  <c r="Y312" i="8" a="1"/>
  <c r="Y312" i="8" s="1"/>
  <c r="Y687" i="8" a="1"/>
  <c r="Y687" i="8" s="1"/>
  <c r="Y716" i="8" a="1"/>
  <c r="Y716" i="8" s="1"/>
  <c r="Y273" i="8" a="1"/>
  <c r="Y273" i="8" s="1"/>
  <c r="Y217" i="8" a="1"/>
  <c r="Y217" i="8" s="1"/>
  <c r="Y924" i="8" a="1"/>
  <c r="Y924" i="8" s="1"/>
  <c r="Y142" i="8" a="1"/>
  <c r="Y142" i="8" s="1"/>
  <c r="Y134" i="8" a="1"/>
  <c r="Y134" i="8" s="1"/>
  <c r="Y303" i="8" a="1"/>
  <c r="Y303" i="8" s="1"/>
  <c r="Y562" i="8" a="1"/>
  <c r="Y562" i="8" s="1"/>
  <c r="Y745" i="8" a="1"/>
  <c r="Y745" i="8" s="1"/>
  <c r="Y578" i="8" a="1"/>
  <c r="Y578" i="8" s="1"/>
  <c r="Y786" i="8" a="1"/>
  <c r="Y786" i="8" s="1"/>
  <c r="Y582" i="8" a="1"/>
  <c r="Y582" i="8" s="1"/>
  <c r="Y848" i="8" a="1"/>
  <c r="Y848" i="8" s="1"/>
  <c r="Y415" i="8" a="1"/>
  <c r="Y415" i="8" s="1"/>
  <c r="Y641" i="8" a="1"/>
  <c r="Y641" i="8" s="1"/>
  <c r="Y719" i="8" a="1"/>
  <c r="Y719" i="8" s="1"/>
  <c r="AD1046" i="5" a="1"/>
  <c r="AD1046" i="5" s="1"/>
  <c r="Y823" i="8" a="1"/>
  <c r="Y823" i="8" s="1"/>
  <c r="Y930" i="8" a="1"/>
  <c r="Y930" i="8" s="1"/>
  <c r="Y305" i="8" a="1"/>
  <c r="Y305" i="8" s="1"/>
  <c r="Y1007" i="8" a="1"/>
  <c r="Y1007" i="8" s="1"/>
  <c r="AD549" i="5" a="1"/>
  <c r="AD549" i="5" s="1"/>
  <c r="Y1053" i="8" a="1"/>
  <c r="Y1053" i="8" s="1"/>
  <c r="Y136" i="8" a="1"/>
  <c r="Y136" i="8" s="1"/>
  <c r="Y198" i="8" a="1"/>
  <c r="Y198" i="8" s="1"/>
  <c r="Y359" i="8" a="1"/>
  <c r="Y359" i="8" s="1"/>
  <c r="Y396" i="8" a="1"/>
  <c r="Y396" i="8" s="1"/>
  <c r="Y493" i="8" a="1"/>
  <c r="Y493" i="8" s="1"/>
  <c r="Y623" i="8" a="1"/>
  <c r="Y623" i="8" s="1"/>
  <c r="Y736" i="8" a="1"/>
  <c r="Y736" i="8" s="1"/>
  <c r="Y831" i="8" a="1"/>
  <c r="Y831" i="8" s="1"/>
  <c r="Y921" i="8" a="1"/>
  <c r="Y921" i="8" s="1"/>
  <c r="Y442" i="8" a="1"/>
  <c r="Y442" i="8" s="1"/>
  <c r="AC2" i="5" a="1"/>
  <c r="AC2" i="5" s="1"/>
  <c r="AD2" i="5" a="1"/>
  <c r="AD2" i="5" s="1"/>
  <c r="Y1019" i="8" a="1"/>
  <c r="Y1019" i="8" s="1"/>
  <c r="Y1061" i="8" a="1"/>
  <c r="Y1061" i="8" s="1"/>
  <c r="Y195" i="8" a="1"/>
  <c r="Y195" i="8" s="1"/>
  <c r="Y260" i="8" a="1"/>
  <c r="Y260" i="8" s="1"/>
  <c r="Y355" i="8" a="1"/>
  <c r="Y355" i="8" s="1"/>
  <c r="Y377" i="8" a="1"/>
  <c r="Y377" i="8" s="1"/>
  <c r="Y412" i="8" a="1"/>
  <c r="Y412" i="8" s="1"/>
  <c r="Y473" i="8" a="1"/>
  <c r="Y473" i="8" s="1"/>
  <c r="Y558" i="8" a="1"/>
  <c r="Y558" i="8" s="1"/>
  <c r="Y665" i="8" a="1"/>
  <c r="Y665" i="8" s="1"/>
  <c r="Y684" i="8" a="1"/>
  <c r="Y684" i="8" s="1"/>
  <c r="Y767" i="8" a="1"/>
  <c r="Y767" i="8" s="1"/>
  <c r="Y825" i="8" a="1"/>
  <c r="Y825" i="8" s="1"/>
  <c r="Y881" i="8" a="1"/>
  <c r="Y881" i="8" s="1"/>
  <c r="Y944" i="8" a="1"/>
  <c r="Y944" i="8" s="1"/>
  <c r="Y1003" i="8" a="1"/>
  <c r="Y1003" i="8" s="1"/>
  <c r="Y11" i="8" a="1"/>
  <c r="Y11" i="8" s="1"/>
  <c r="Y200" i="8" a="1"/>
  <c r="Y200" i="8" s="1"/>
  <c r="Y262" i="8" a="1"/>
  <c r="Y262" i="8" s="1"/>
  <c r="Y350" i="8" a="1"/>
  <c r="Y350" i="8" s="1"/>
  <c r="Y435" i="8" a="1"/>
  <c r="Y435" i="8" s="1"/>
  <c r="Y514" i="8" a="1"/>
  <c r="Y514" i="8" s="1"/>
  <c r="Y672" i="8" a="1"/>
  <c r="Y672" i="8" s="1"/>
  <c r="Y729" i="8" a="1"/>
  <c r="Y729" i="8" s="1"/>
  <c r="Y856" i="8" a="1"/>
  <c r="Y856" i="8" s="1"/>
  <c r="Y996" i="8" a="1"/>
  <c r="Y996" i="8" s="1"/>
  <c r="Y453" i="8" a="1"/>
  <c r="Y453" i="8" s="1"/>
  <c r="AD543" i="5" a="1"/>
  <c r="AD543" i="5" s="1"/>
  <c r="AD1041" i="5" a="1"/>
  <c r="AD1041" i="5" s="1"/>
  <c r="Y542" i="8" a="1"/>
  <c r="Y542" i="8" s="1"/>
  <c r="Y594" i="8" a="1"/>
  <c r="Y594" i="8" s="1"/>
  <c r="Y717" i="8" a="1"/>
  <c r="Y717" i="8" s="1"/>
  <c r="Y847" i="8" a="1"/>
  <c r="Y847" i="8" s="1"/>
  <c r="Y993" i="8" a="1"/>
  <c r="Y993" i="8" s="1"/>
  <c r="Y540" i="8" a="1"/>
  <c r="Y540" i="8" s="1"/>
  <c r="AD1068" i="5" a="1"/>
  <c r="AD1068" i="5" s="1"/>
  <c r="Y770" i="8" a="1"/>
  <c r="Y770" i="8" s="1"/>
  <c r="Y833" i="8" a="1"/>
  <c r="Y833" i="8" s="1"/>
  <c r="Y1062" i="8" a="1"/>
  <c r="Y1062" i="8" s="1"/>
  <c r="Y624" i="8" a="1"/>
  <c r="Y624" i="8" s="1"/>
  <c r="AD710" i="5" a="1"/>
  <c r="AD710" i="5" s="1"/>
  <c r="AD1060" i="5" a="1"/>
  <c r="AD1060" i="5" s="1"/>
  <c r="AD774" i="5" a="1"/>
  <c r="AD774" i="5" s="1"/>
  <c r="AD1055" i="5" a="1"/>
  <c r="AD1055" i="5" s="1"/>
  <c r="Y381" i="8" a="1"/>
  <c r="Y381" i="8" s="1"/>
  <c r="Y497" i="8" a="1"/>
  <c r="Y497" i="8" s="1"/>
  <c r="Y574" i="8" a="1"/>
  <c r="Y574" i="8" s="1"/>
  <c r="Y674" i="8" a="1"/>
  <c r="Y674" i="8" s="1"/>
  <c r="Y771" i="8" a="1"/>
  <c r="Y771" i="8" s="1"/>
  <c r="Y882" i="8" a="1"/>
  <c r="Y882" i="8" s="1"/>
  <c r="Y137" i="8" a="1"/>
  <c r="Y137" i="8" s="1"/>
  <c r="AD1054" i="5" a="1"/>
  <c r="AD1054" i="5" s="1"/>
  <c r="Y1034" i="8" a="1"/>
  <c r="Y1034" i="8" s="1"/>
  <c r="Y192" i="8" a="1"/>
  <c r="Y192" i="8" s="1"/>
  <c r="Y254" i="8" a="1"/>
  <c r="Y254" i="8" s="1"/>
  <c r="Y250" i="8" a="1"/>
  <c r="Y250" i="8" s="1"/>
  <c r="Y302" i="8" a="1"/>
  <c r="Y302" i="8" s="1"/>
  <c r="Y418" i="8" a="1"/>
  <c r="Y418" i="8" s="1"/>
  <c r="Y447" i="8" a="1"/>
  <c r="Y447" i="8" s="1"/>
  <c r="Y454" i="8" a="1"/>
  <c r="Y454" i="8" s="1"/>
  <c r="Y607" i="8" a="1"/>
  <c r="Y607" i="8" s="1"/>
  <c r="Y682" i="8" a="1"/>
  <c r="Y682" i="8" s="1"/>
  <c r="Y779" i="8" a="1"/>
  <c r="Y779" i="8" s="1"/>
  <c r="Y790" i="8" a="1"/>
  <c r="Y790" i="8" s="1"/>
  <c r="Y855" i="8" a="1"/>
  <c r="Y855" i="8" s="1"/>
  <c r="Y117" i="8" a="1"/>
  <c r="Y117" i="8" s="1"/>
  <c r="Y382" i="8" a="1"/>
  <c r="Y382" i="8" s="1"/>
  <c r="Y413" i="8" a="1"/>
  <c r="Y413" i="8" s="1"/>
  <c r="Y445" i="8" a="1"/>
  <c r="Y445" i="8" s="1"/>
  <c r="Y451" i="8" a="1"/>
  <c r="Y451" i="8" s="1"/>
  <c r="Y605" i="8" a="1"/>
  <c r="Y605" i="8" s="1"/>
  <c r="Y667" i="8" a="1"/>
  <c r="Y667" i="8" s="1"/>
  <c r="Y777" i="8" a="1"/>
  <c r="Y777" i="8" s="1"/>
  <c r="Y785" i="8" a="1"/>
  <c r="Y785" i="8" s="1"/>
  <c r="Y872" i="8" a="1"/>
  <c r="Y872" i="8" s="1"/>
  <c r="Y884" i="8" a="1"/>
  <c r="Y884" i="8" s="1"/>
  <c r="Y984" i="8" a="1"/>
  <c r="Y984" i="8" s="1"/>
  <c r="Y1029" i="8" a="1"/>
  <c r="Y1029" i="8" s="1"/>
  <c r="Y256" i="8" a="1"/>
  <c r="Y256" i="8" s="1"/>
  <c r="Y176" i="8" a="1"/>
  <c r="Y176" i="8" s="1"/>
  <c r="Y145" i="8" a="1"/>
  <c r="Y145" i="8" s="1"/>
  <c r="Y325" i="8" a="1"/>
  <c r="Y325" i="8" s="1"/>
  <c r="Y408" i="8" a="1"/>
  <c r="Y408" i="8" s="1"/>
  <c r="Y526" i="8" a="1"/>
  <c r="Y526" i="8" s="1"/>
  <c r="Y544" i="8" a="1"/>
  <c r="Y544" i="8" s="1"/>
  <c r="Y588" i="8" a="1"/>
  <c r="Y588" i="8" s="1"/>
  <c r="Y629" i="8" a="1"/>
  <c r="Y629" i="8" s="1"/>
  <c r="Y737" i="8" a="1"/>
  <c r="Y737" i="8" s="1"/>
  <c r="Y776" i="8" a="1"/>
  <c r="Y776" i="8" s="1"/>
  <c r="Y933" i="8" a="1"/>
  <c r="Y933" i="8" s="1"/>
  <c r="Y985" i="8" a="1"/>
  <c r="Y985" i="8" s="1"/>
  <c r="Y1038" i="8" a="1"/>
  <c r="Y1038" i="8" s="1"/>
  <c r="Y153" i="8" a="1"/>
  <c r="Y153" i="8" s="1"/>
  <c r="Y240" i="8" a="1"/>
  <c r="Y240" i="8" s="1"/>
  <c r="Y209" i="8" a="1"/>
  <c r="Y209" i="8" s="1"/>
  <c r="Y311" i="8" a="1"/>
  <c r="Y311" i="8" s="1"/>
  <c r="Y399" i="8" a="1"/>
  <c r="Y399" i="8" s="1"/>
  <c r="Y499" i="8" a="1"/>
  <c r="Y499" i="8" s="1"/>
  <c r="Y564" i="8" a="1"/>
  <c r="Y564" i="8" s="1"/>
  <c r="Y648" i="8" a="1"/>
  <c r="Y648" i="8" s="1"/>
  <c r="Y598" i="8" a="1"/>
  <c r="Y598" i="8" s="1"/>
  <c r="Y731" i="8" a="1"/>
  <c r="Y731" i="8" s="1"/>
  <c r="Y788" i="8" a="1"/>
  <c r="Y788" i="8" s="1"/>
  <c r="Y1030" i="8" a="1"/>
  <c r="Y1030" i="8" s="1"/>
  <c r="Y929" i="8" a="1"/>
  <c r="Y929" i="8" s="1"/>
  <c r="Y956" i="8" a="1"/>
  <c r="Y956" i="8" s="1"/>
  <c r="Y1069" i="8" a="1"/>
  <c r="Y1069" i="8" s="1"/>
  <c r="Y138" i="8" a="1"/>
  <c r="Y138" i="8" s="1"/>
  <c r="Y201" i="8" a="1"/>
  <c r="Y201" i="8" s="1"/>
  <c r="Y336" i="8" a="1"/>
  <c r="Y336" i="8" s="1"/>
  <c r="Y353" i="8" a="1"/>
  <c r="Y353" i="8" s="1"/>
  <c r="Y395" i="8" a="1"/>
  <c r="Y395" i="8" s="1"/>
  <c r="Y533" i="8" a="1"/>
  <c r="Y533" i="8" s="1"/>
  <c r="Y573" i="8" a="1"/>
  <c r="Y573" i="8" s="1"/>
  <c r="Y691" i="8" a="1"/>
  <c r="Y691" i="8" s="1"/>
  <c r="Y638" i="8" a="1"/>
  <c r="Y638" i="8" s="1"/>
  <c r="Y707" i="8" a="1"/>
  <c r="Y707" i="8" s="1"/>
  <c r="Y811" i="8" a="1"/>
  <c r="Y811" i="8" s="1"/>
  <c r="Y333" i="8" a="1"/>
  <c r="Y333" i="8" s="1"/>
  <c r="Y349" i="8" a="1"/>
  <c r="Y349" i="8" s="1"/>
  <c r="Y392" i="8" a="1"/>
  <c r="Y392" i="8" s="1"/>
  <c r="Y520" i="8" a="1"/>
  <c r="Y520" i="8" s="1"/>
  <c r="Y567" i="8" a="1"/>
  <c r="Y567" i="8" s="1"/>
  <c r="Y679" i="8" a="1"/>
  <c r="Y679" i="8" s="1"/>
  <c r="Y620" i="8" a="1"/>
  <c r="Y620" i="8" s="1"/>
  <c r="Y705" i="8" a="1"/>
  <c r="Y705" i="8" s="1"/>
  <c r="Y827" i="8" a="1"/>
  <c r="Y827" i="8" s="1"/>
  <c r="Y863" i="8" a="1"/>
  <c r="Y863" i="8" s="1"/>
  <c r="Y934" i="8" a="1"/>
  <c r="Y934" i="8" s="1"/>
  <c r="Y1005" i="8" a="1"/>
  <c r="Y1005" i="8" s="1"/>
  <c r="Y1064" i="8" a="1"/>
  <c r="Y1064" i="8" s="1"/>
  <c r="Y202" i="8" a="1"/>
  <c r="Y202" i="8" s="1"/>
  <c r="Y265" i="8" a="1"/>
  <c r="Y265" i="8" s="1"/>
  <c r="Y363" i="8" a="1"/>
  <c r="Y363" i="8" s="1"/>
  <c r="Y385" i="8" a="1"/>
  <c r="Y385" i="8" s="1"/>
  <c r="Y433" i="8" a="1"/>
  <c r="Y433" i="8" s="1"/>
  <c r="Y478" i="8" a="1"/>
  <c r="Y478" i="8" s="1"/>
  <c r="Y536" i="8" a="1"/>
  <c r="Y536" i="8" s="1"/>
  <c r="Y675" i="8" a="1"/>
  <c r="Y675" i="8" s="1"/>
  <c r="Y694" i="8" a="1"/>
  <c r="Y694" i="8" s="1"/>
  <c r="Y774" i="8" a="1"/>
  <c r="Y774" i="8" s="1"/>
  <c r="Y787" i="8" a="1"/>
  <c r="Y787" i="8" s="1"/>
  <c r="Y908" i="8" a="1"/>
  <c r="Y908" i="8" s="1"/>
  <c r="Y1006" i="8" a="1"/>
  <c r="Y1006" i="8" s="1"/>
  <c r="Y41" i="8" a="1"/>
  <c r="Y41" i="8" s="1"/>
  <c r="Y266" i="8" a="1"/>
  <c r="Y266" i="8" s="1"/>
  <c r="Y122" i="8" a="1"/>
  <c r="Y122" i="8" s="1"/>
  <c r="Y289" i="8" a="1"/>
  <c r="Y289" i="8" s="1"/>
  <c r="Y356" i="8" a="1"/>
  <c r="Y356" i="8" s="1"/>
  <c r="Y503" i="8" a="1"/>
  <c r="Y503" i="8" s="1"/>
  <c r="Y431" i="8" a="1"/>
  <c r="Y431" i="8" s="1"/>
  <c r="Y561" i="8" a="1"/>
  <c r="Y561" i="8" s="1"/>
  <c r="Y636" i="8" a="1"/>
  <c r="Y636" i="8" s="1"/>
  <c r="Y728" i="8" a="1"/>
  <c r="Y728" i="8" s="1"/>
  <c r="Y742" i="8" a="1"/>
  <c r="Y742" i="8" s="1"/>
  <c r="Y814" i="8" a="1"/>
  <c r="Y814" i="8" s="1"/>
  <c r="Y287" i="8" a="1"/>
  <c r="Y287" i="8" s="1"/>
  <c r="Y352" i="8" a="1"/>
  <c r="Y352" i="8" s="1"/>
  <c r="Y501" i="8" a="1"/>
  <c r="Y501" i="8" s="1"/>
  <c r="Y532" i="8" a="1"/>
  <c r="Y532" i="8" s="1"/>
  <c r="Y556" i="8" a="1"/>
  <c r="Y556" i="8" s="1"/>
  <c r="Y628" i="8" a="1"/>
  <c r="Y628" i="8" s="1"/>
  <c r="Y706" i="8" a="1"/>
  <c r="Y706" i="8" s="1"/>
  <c r="Y730" i="8" a="1"/>
  <c r="Y730" i="8" s="1"/>
  <c r="Y812" i="8" a="1"/>
  <c r="Y812" i="8" s="1"/>
  <c r="Y873" i="8" a="1"/>
  <c r="Y873" i="8" s="1"/>
  <c r="Y963" i="8" a="1"/>
  <c r="Y963" i="8" s="1"/>
  <c r="Y1013" i="8" a="1"/>
  <c r="Y1013" i="8" s="1"/>
  <c r="Y121" i="8" a="1"/>
  <c r="Y121" i="8" s="1"/>
  <c r="Y190" i="8" a="1"/>
  <c r="Y190" i="8" s="1"/>
  <c r="Y186" i="8" a="1"/>
  <c r="Y186" i="8" s="1"/>
  <c r="Y354" i="8" a="1"/>
  <c r="Y354" i="8" s="1"/>
  <c r="Y398" i="8" a="1"/>
  <c r="Y398" i="8" s="1"/>
  <c r="Y491" i="8" a="1"/>
  <c r="Y491" i="8" s="1"/>
  <c r="Y495" i="8" a="1"/>
  <c r="Y495" i="8" s="1"/>
  <c r="Y576" i="8" a="1"/>
  <c r="Y576" i="8" s="1"/>
  <c r="Y610" i="8" a="1"/>
  <c r="Y610" i="8" s="1"/>
  <c r="Y721" i="8" a="1"/>
  <c r="Y721" i="8" s="1"/>
  <c r="Y772" i="8" a="1"/>
  <c r="Y772" i="8" s="1"/>
  <c r="Y852" i="8" a="1"/>
  <c r="Y852" i="8" s="1"/>
  <c r="Y937" i="8" a="1"/>
  <c r="Y937" i="8" s="1"/>
  <c r="Y850" i="8" a="1"/>
  <c r="Y850" i="8" s="1"/>
  <c r="Y868" i="8" a="1"/>
  <c r="Y868" i="8" s="1"/>
  <c r="Y875" i="8" a="1"/>
  <c r="Y875" i="8" s="1"/>
  <c r="Y955" i="8" a="1"/>
  <c r="Y955" i="8" s="1"/>
  <c r="Y892" i="8" a="1"/>
  <c r="Y892" i="8" s="1"/>
  <c r="Y947" i="8" a="1"/>
  <c r="Y947" i="8" s="1"/>
  <c r="Y941" i="8" a="1"/>
  <c r="Y941" i="8" s="1"/>
  <c r="Y1058" i="8" a="1"/>
  <c r="Y1058" i="8" s="1"/>
  <c r="Y193" i="8" a="1"/>
  <c r="Y193" i="8" s="1"/>
  <c r="Y990" i="8" a="1"/>
  <c r="Y990" i="8" s="1"/>
  <c r="Y999" i="8" a="1"/>
  <c r="Y999" i="8" s="1"/>
  <c r="Y959" i="8" a="1"/>
  <c r="Y959" i="8" s="1"/>
  <c r="Y189" i="8" a="1"/>
  <c r="Y189" i="8" s="1"/>
  <c r="Y387" i="8" a="1"/>
  <c r="Y387" i="8" s="1"/>
  <c r="Y1026" i="8" a="1"/>
  <c r="Y1026" i="8" s="1"/>
  <c r="Y1044" i="8" a="1"/>
  <c r="Y1044" i="8" s="1"/>
  <c r="Y417" i="8" a="1"/>
  <c r="Y417" i="8" s="1"/>
  <c r="Y30" i="8" a="1"/>
  <c r="Y30" i="8" s="1"/>
  <c r="AA12" i="5" a="1"/>
  <c r="AA12" i="5" s="1"/>
  <c r="Y175" i="8" a="1"/>
  <c r="Y175" i="8" s="1"/>
  <c r="Y242" i="8" a="1"/>
  <c r="Y242" i="8" s="1"/>
  <c r="Y231" i="8" a="1"/>
  <c r="Y231" i="8" s="1"/>
  <c r="Y689" i="8" a="1"/>
  <c r="Y689" i="8" s="1"/>
  <c r="AA70" i="5" a="1"/>
  <c r="AA70" i="5" s="1"/>
  <c r="Y858" i="8" a="1"/>
  <c r="Y858" i="8" s="1"/>
  <c r="Y897" i="8" a="1"/>
  <c r="Y897" i="8" s="1"/>
  <c r="Y957" i="8" a="1"/>
  <c r="Y957" i="8" s="1"/>
  <c r="Y1022" i="8" a="1"/>
  <c r="Y1022" i="8" s="1"/>
  <c r="Y22" i="8" a="1"/>
  <c r="Y22" i="8" s="1"/>
  <c r="Y239" i="8" a="1"/>
  <c r="Y239" i="8" s="1"/>
  <c r="Y159" i="8" a="1"/>
  <c r="Y159" i="8" s="1"/>
  <c r="Y279" i="8" a="1"/>
  <c r="Y279" i="8" s="1"/>
  <c r="Y877" i="8" a="1"/>
  <c r="Y877" i="8" s="1"/>
  <c r="Y887" i="8" a="1"/>
  <c r="Y887" i="8" s="1"/>
  <c r="Y987" i="8" a="1"/>
  <c r="Y987" i="8" s="1"/>
  <c r="Y1032" i="8" a="1"/>
  <c r="Y1032" i="8" s="1"/>
  <c r="Y7" i="8" a="1"/>
  <c r="Y7" i="8" s="1"/>
  <c r="Y141" i="8" a="1"/>
  <c r="Y141" i="8" s="1"/>
  <c r="Y223" i="8" a="1"/>
  <c r="Y223" i="8" s="1"/>
  <c r="Y319" i="8" a="1"/>
  <c r="Y319" i="8" s="1"/>
  <c r="Y144" i="8" a="1"/>
  <c r="Y144" i="8" s="1"/>
  <c r="Y205" i="8" a="1"/>
  <c r="Y205" i="8" s="1"/>
  <c r="Y275" i="8" a="1"/>
  <c r="Y275" i="8" s="1"/>
  <c r="Y292" i="8" a="1"/>
  <c r="Y292" i="8" s="1"/>
  <c r="AA20" i="5" a="1"/>
  <c r="AA20" i="5" s="1"/>
  <c r="Y123" i="8" a="1"/>
  <c r="Y123" i="8" s="1"/>
  <c r="Y269" i="8" a="1"/>
  <c r="Y269" i="8" s="1"/>
  <c r="Y125" i="8" a="1"/>
  <c r="Y125" i="8" s="1"/>
  <c r="Y314" i="8" a="1"/>
  <c r="Y314" i="8" s="1"/>
  <c r="Y794" i="8" a="1"/>
  <c r="Y794" i="8" s="1"/>
  <c r="Y1059" i="8" a="1"/>
  <c r="Y1059" i="8" s="1"/>
  <c r="Y194" i="8" a="1"/>
  <c r="Y194" i="8" s="1"/>
  <c r="Y257" i="8" a="1"/>
  <c r="Y257" i="8" s="1"/>
  <c r="Y253" i="8" a="1"/>
  <c r="Y253" i="8" s="1"/>
  <c r="Y400" i="8" a="1"/>
  <c r="Y400" i="8" s="1"/>
  <c r="Y910" i="8" a="1"/>
  <c r="Y910" i="8" s="1"/>
  <c r="Y1018" i="8" a="1"/>
  <c r="Y1018" i="8" s="1"/>
  <c r="Y93" i="8" a="1"/>
  <c r="Y93" i="8" s="1"/>
  <c r="Y258" i="8" a="1"/>
  <c r="Y258" i="8" s="1"/>
  <c r="Y178" i="8" a="1"/>
  <c r="Y178" i="8" s="1"/>
  <c r="Y167" i="8" a="1"/>
  <c r="Y167" i="8" s="1"/>
  <c r="AA76" i="5" a="1"/>
  <c r="AA76" i="5" s="1"/>
  <c r="Y367" i="8" a="1"/>
  <c r="Y367" i="8" s="1"/>
  <c r="Y328" i="8" a="1"/>
  <c r="Y328" i="8" s="1"/>
  <c r="Y397" i="8" a="1"/>
  <c r="Y397" i="8" s="1"/>
  <c r="Y307" i="8" a="1"/>
  <c r="Y307" i="8" s="1"/>
  <c r="Y420" i="8" a="1"/>
  <c r="Y420" i="8" s="1"/>
  <c r="Y358" i="8" a="1"/>
  <c r="Y358" i="8" s="1"/>
  <c r="Y421" i="8" a="1"/>
  <c r="Y421" i="8" s="1"/>
  <c r="Y535" i="8" a="1"/>
  <c r="Y535" i="8" s="1"/>
  <c r="Y502" i="8" a="1"/>
  <c r="Y502" i="8" s="1"/>
  <c r="Y313" i="8" a="1"/>
  <c r="Y313" i="8" s="1"/>
  <c r="Y455" i="8" a="1"/>
  <c r="Y455" i="8" s="1"/>
  <c r="Y581" i="8" a="1"/>
  <c r="Y581" i="8" s="1"/>
  <c r="Y357" i="8" a="1"/>
  <c r="Y357" i="8" s="1"/>
  <c r="Y622" i="8" a="1"/>
  <c r="Y622" i="8" s="1"/>
  <c r="AA6" i="8" a="1"/>
  <c r="AA6" i="8" s="1"/>
  <c r="Y436" i="8" a="1"/>
  <c r="Y436" i="8" s="1"/>
  <c r="Y411" i="8" a="1"/>
  <c r="Y411" i="8" s="1"/>
  <c r="Y545" i="8" a="1"/>
  <c r="Y545" i="8" s="1"/>
  <c r="Y450" i="8" a="1"/>
  <c r="Y450" i="8" s="1"/>
  <c r="Y476" i="8" a="1"/>
  <c r="Y476" i="8" s="1"/>
  <c r="Y651" i="8" a="1"/>
  <c r="Y651" i="8" s="1"/>
  <c r="Y710" i="8" a="1"/>
  <c r="Y710" i="8" s="1"/>
  <c r="Y549" i="8" a="1"/>
  <c r="Y549" i="8" s="1"/>
  <c r="Y637" i="8" a="1"/>
  <c r="Y637" i="8" s="1"/>
  <c r="Y569" i="8" a="1"/>
  <c r="Y569" i="8" s="1"/>
  <c r="Y690" i="8" a="1"/>
  <c r="Y690" i="8" s="1"/>
  <c r="Y693" i="8" a="1"/>
  <c r="Y693" i="8" s="1"/>
  <c r="Y437" i="8" a="1"/>
  <c r="Y437" i="8" s="1"/>
  <c r="Y500" i="8" a="1"/>
  <c r="Y500" i="8" s="1"/>
  <c r="Y541" i="8" a="1"/>
  <c r="Y541" i="8" s="1"/>
  <c r="Y631" i="8" a="1"/>
  <c r="Y631" i="8" s="1"/>
  <c r="Y360" i="8" a="1"/>
  <c r="Y360" i="8" s="1"/>
  <c r="Y512" i="8" a="1"/>
  <c r="Y512" i="8" s="1"/>
  <c r="Y434" i="8" a="1"/>
  <c r="Y434" i="8" s="1"/>
  <c r="Y584" i="8" a="1"/>
  <c r="Y584" i="8" s="1"/>
  <c r="Y733" i="8" a="1"/>
  <c r="Y733" i="8" s="1"/>
  <c r="Y494" i="8" a="1"/>
  <c r="Y494" i="8" s="1"/>
  <c r="Y498" i="8" a="1"/>
  <c r="Y498" i="8" s="1"/>
  <c r="Y589" i="8" a="1"/>
  <c r="Y589" i="8" s="1"/>
  <c r="Y735" i="8" a="1"/>
  <c r="Y735" i="8" s="1"/>
  <c r="Y909" i="8" a="1"/>
  <c r="Y909" i="8" s="1"/>
  <c r="Y563" i="8" a="1"/>
  <c r="Y563" i="8" s="1"/>
  <c r="Y639" i="8" a="1"/>
  <c r="Y639" i="8" s="1"/>
  <c r="Y723" i="8" a="1"/>
  <c r="Y723" i="8" s="1"/>
  <c r="Y591" i="8" a="1"/>
  <c r="Y591" i="8" s="1"/>
  <c r="Y626" i="8" a="1"/>
  <c r="Y626" i="8" s="1"/>
  <c r="Y753" i="8" a="1"/>
  <c r="Y753" i="8" s="1"/>
  <c r="Y614" i="8" a="1"/>
  <c r="Y614" i="8" s="1"/>
  <c r="Y791" i="8" a="1"/>
  <c r="Y791" i="8" s="1"/>
  <c r="Y688" i="8" a="1"/>
  <c r="Y688" i="8" s="1"/>
  <c r="Y778" i="8" a="1"/>
  <c r="Y778" i="8" s="1"/>
  <c r="Y645" i="8" a="1"/>
  <c r="Y645" i="8" s="1"/>
  <c r="Y816" i="8" a="1"/>
  <c r="Y816" i="8" s="1"/>
  <c r="Y784" i="8" a="1"/>
  <c r="Y784" i="8" s="1"/>
  <c r="Y697" i="8" a="1"/>
  <c r="Y697" i="8" s="1"/>
  <c r="Y870" i="8" a="1"/>
  <c r="Y870" i="8" s="1"/>
  <c r="Y747" i="8" a="1"/>
  <c r="Y747" i="8" s="1"/>
  <c r="Y792" i="8" a="1"/>
  <c r="Y792" i="8" s="1"/>
  <c r="Y860" i="8" a="1"/>
  <c r="Y860" i="8" s="1"/>
  <c r="Y1000" i="8" a="1"/>
  <c r="Y1000" i="8" s="1"/>
  <c r="Y795" i="8" a="1"/>
  <c r="Y795" i="8" s="1"/>
  <c r="Y853" i="8" a="1"/>
  <c r="Y853" i="8" s="1"/>
  <c r="Y722" i="8" a="1"/>
  <c r="Y722" i="8" s="1"/>
  <c r="Y803" i="8" a="1"/>
  <c r="Y803" i="8" s="1"/>
  <c r="Y902" i="8" a="1"/>
  <c r="Y902" i="8" s="1"/>
  <c r="Y940" i="8" a="1"/>
  <c r="Y940" i="8" s="1"/>
  <c r="Y832" i="8" a="1"/>
  <c r="Y832" i="8" s="1"/>
  <c r="Y901" i="8" a="1"/>
  <c r="Y901" i="8" s="1"/>
  <c r="Y796" i="8" a="1"/>
  <c r="Y796" i="8" s="1"/>
  <c r="Y861" i="8" a="1"/>
  <c r="Y861" i="8" s="1"/>
  <c r="Y943" i="8" a="1"/>
  <c r="Y943" i="8" s="1"/>
  <c r="Y854" i="8" a="1"/>
  <c r="Y854" i="8" s="1"/>
  <c r="Y939" i="8" a="1"/>
  <c r="Y939" i="8" s="1"/>
  <c r="Y245" i="8" a="1"/>
  <c r="Y245" i="8" s="1"/>
  <c r="Y837" i="8" a="1"/>
  <c r="Y837" i="8" s="1"/>
  <c r="Y950" i="8" a="1"/>
  <c r="Y950" i="8" s="1"/>
  <c r="Y1040" i="8" a="1"/>
  <c r="Y1040" i="8" s="1"/>
  <c r="Y1010" i="8" a="1"/>
  <c r="Y1010" i="8" s="1"/>
  <c r="Y1031" i="8" a="1"/>
  <c r="Y1031" i="8" s="1"/>
  <c r="Y886" i="8" a="1"/>
  <c r="Y886" i="8" s="1"/>
  <c r="Y913" i="8" a="1"/>
  <c r="Y913" i="8" s="1"/>
  <c r="Y1023" i="8" a="1"/>
  <c r="Y1023" i="8" s="1"/>
  <c r="Y949" i="8" a="1"/>
  <c r="Y949" i="8" s="1"/>
  <c r="Y962" i="8" a="1"/>
  <c r="Y962" i="8" s="1"/>
  <c r="Y1025" i="8" a="1"/>
  <c r="Y1025" i="8" s="1"/>
  <c r="Y284" i="8" a="1"/>
  <c r="Y284" i="8" s="1"/>
  <c r="Y992" i="8" a="1"/>
  <c r="Y992" i="8" s="1"/>
  <c r="Y1045" i="8" a="1"/>
  <c r="Y1045" i="8" s="1"/>
  <c r="Y961" i="8" a="1"/>
  <c r="Y961" i="8" s="1"/>
  <c r="Y119" i="8" a="1"/>
  <c r="Y119" i="8" s="1"/>
  <c r="Y981" i="8" a="1"/>
  <c r="Y981" i="8" s="1"/>
  <c r="Y244" i="8" a="1"/>
  <c r="Y244" i="8" s="1"/>
  <c r="Y456" i="8" a="1"/>
  <c r="Y456" i="8" s="1"/>
  <c r="Y1066" i="8" a="1"/>
  <c r="Y1066" i="8" s="1"/>
  <c r="Y163" i="8" a="1"/>
  <c r="Y163" i="8" s="1"/>
  <c r="Y1067" i="8" a="1"/>
  <c r="Y1067" i="8" s="1"/>
  <c r="Y107" i="8" a="1"/>
  <c r="Y107" i="8" s="1"/>
  <c r="Y215" i="8" a="1"/>
  <c r="Y215" i="8" s="1"/>
  <c r="Y322" i="8" a="1"/>
  <c r="Y322" i="8" s="1"/>
  <c r="Y197" i="8" a="1"/>
  <c r="Y197" i="8" s="1"/>
  <c r="Y228" i="8" a="1"/>
  <c r="Y228" i="8" s="1"/>
  <c r="Y1042" i="8" a="1"/>
  <c r="Y1042" i="8" s="1"/>
  <c r="Y261" i="8" a="1"/>
  <c r="Y261" i="8" s="1"/>
  <c r="Y147" i="8" a="1"/>
  <c r="Y147" i="8" s="1"/>
  <c r="Y180" i="8" a="1"/>
  <c r="Y180" i="8" s="1"/>
  <c r="Y310" i="8" a="1"/>
  <c r="Y310" i="8" s="1"/>
  <c r="Y286" i="8" a="1"/>
  <c r="Y286" i="8" s="1"/>
  <c r="Y181" i="8" a="1"/>
  <c r="Y181" i="8" s="1"/>
  <c r="Y211" i="8" a="1"/>
  <c r="Y211" i="8" s="1"/>
  <c r="Y282" i="8" a="1"/>
  <c r="Y282" i="8" s="1"/>
  <c r="Y172" i="8" a="1"/>
  <c r="Y172" i="8" s="1"/>
  <c r="Y403" i="8" a="1"/>
  <c r="Y403" i="8" s="1"/>
  <c r="Y164" i="8" a="1"/>
  <c r="Y164" i="8" s="1"/>
  <c r="Y341" i="8" a="1"/>
  <c r="Y341" i="8" s="1"/>
  <c r="Y409" i="8" a="1"/>
  <c r="Y409" i="8" s="1"/>
  <c r="Y236" i="8" a="1"/>
  <c r="Y236" i="8" s="1"/>
  <c r="Y280" i="8" a="1"/>
  <c r="Y280" i="8" s="1"/>
  <c r="Y327" i="8" a="1"/>
  <c r="Y327" i="8" s="1"/>
  <c r="Y316" i="8" a="1"/>
  <c r="Y316" i="8" s="1"/>
  <c r="Y364" i="8" a="1"/>
  <c r="Y364" i="8" s="1"/>
  <c r="Y505" i="8" a="1"/>
  <c r="Y505" i="8" s="1"/>
  <c r="Y308" i="8" a="1"/>
  <c r="Y308" i="8" s="1"/>
  <c r="Y402" i="8" a="1"/>
  <c r="Y402" i="8" s="1"/>
  <c r="Y472" i="8" a="1"/>
  <c r="Y472" i="8" s="1"/>
  <c r="Y632" i="8" a="1"/>
  <c r="Y632" i="8" s="1"/>
  <c r="Y362" i="8" a="1"/>
  <c r="Y362" i="8" s="1"/>
  <c r="Y423" i="8" a="1"/>
  <c r="Y423" i="8" s="1"/>
  <c r="Y460" i="8" a="1"/>
  <c r="Y460" i="8" s="1"/>
  <c r="Y424" i="8" a="1"/>
  <c r="Y424" i="8" s="1"/>
  <c r="Y441" i="8" a="1"/>
  <c r="Y441" i="8" s="1"/>
  <c r="Y644" i="8" a="1"/>
  <c r="Y644" i="8" s="1"/>
  <c r="Y422" i="8" a="1"/>
  <c r="Y422" i="8" s="1"/>
  <c r="Y481" i="8" a="1"/>
  <c r="Y481" i="8" s="1"/>
  <c r="Y361" i="8" a="1"/>
  <c r="Y361" i="8" s="1"/>
  <c r="Y452" i="8" a="1"/>
  <c r="Y452" i="8" s="1"/>
  <c r="Y551" i="8" a="1"/>
  <c r="Y551" i="8" s="1"/>
  <c r="Y515" i="8" a="1"/>
  <c r="Y515" i="8" s="1"/>
  <c r="Y528" i="8" a="1"/>
  <c r="Y528" i="8" s="1"/>
  <c r="Y571" i="8" a="1"/>
  <c r="Y571" i="8" s="1"/>
  <c r="Y798" i="8" a="1"/>
  <c r="Y798" i="8" s="1"/>
  <c r="Y508" i="8" a="1"/>
  <c r="Y508" i="8" s="1"/>
  <c r="Y666" i="8" a="1"/>
  <c r="Y666" i="8" s="1"/>
  <c r="Y633" i="8" a="1"/>
  <c r="Y633" i="8" s="1"/>
  <c r="Y646" i="8" a="1"/>
  <c r="Y646" i="8" s="1"/>
  <c r="Y547" i="8" a="1"/>
  <c r="Y547" i="8" s="1"/>
  <c r="Y601" i="8" a="1"/>
  <c r="Y601" i="8" s="1"/>
  <c r="Y458" i="8" a="1"/>
  <c r="Y458" i="8" s="1"/>
  <c r="Y566" i="8" a="1"/>
  <c r="Y566" i="8" s="1"/>
  <c r="Y726" i="8" a="1"/>
  <c r="Y726" i="8" s="1"/>
  <c r="Y590" i="8" a="1"/>
  <c r="Y590" i="8" s="1"/>
  <c r="Y758" i="8" a="1"/>
  <c r="Y758" i="8" s="1"/>
  <c r="Y596" i="8" a="1"/>
  <c r="Y596" i="8" s="1"/>
  <c r="Y597" i="8" a="1"/>
  <c r="Y597" i="8" s="1"/>
  <c r="Y808" i="8" a="1"/>
  <c r="Y808" i="8" s="1"/>
  <c r="Y630" i="8" a="1"/>
  <c r="Y630" i="8" s="1"/>
  <c r="Y789" i="8" a="1"/>
  <c r="Y789" i="8" s="1"/>
  <c r="Y583" i="8" a="1"/>
  <c r="Y583" i="8" s="1"/>
  <c r="Y654" i="8" a="1"/>
  <c r="Y654" i="8" s="1"/>
  <c r="Y750" i="8" a="1"/>
  <c r="Y750" i="8" s="1"/>
  <c r="Y652" i="8" a="1"/>
  <c r="Y652" i="8" s="1"/>
  <c r="Y743" i="8" a="1"/>
  <c r="Y743" i="8" s="1"/>
  <c r="Y24" i="8" a="1"/>
  <c r="Y24" i="8" s="1"/>
  <c r="Y738" i="8" a="1"/>
  <c r="Y738" i="8" s="1"/>
  <c r="Y708" i="8" a="1"/>
  <c r="Y708" i="8" s="1"/>
  <c r="Y862" i="8" a="1"/>
  <c r="Y862" i="8" s="1"/>
  <c r="Y704" i="8" a="1"/>
  <c r="Y704" i="8" s="1"/>
  <c r="Y859" i="8" a="1"/>
  <c r="Y859" i="8" s="1"/>
  <c r="Y889" i="8" a="1"/>
  <c r="Y889" i="8" s="1"/>
  <c r="Y857" i="8" a="1"/>
  <c r="Y857" i="8" s="1"/>
  <c r="Y781" i="8" a="1"/>
  <c r="Y781" i="8" s="1"/>
  <c r="Y800" i="8" a="1"/>
  <c r="Y800" i="8" s="1"/>
  <c r="Y880" i="8" a="1"/>
  <c r="Y880" i="8" s="1"/>
  <c r="Y1056" i="8" a="1"/>
  <c r="Y1056" i="8" s="1"/>
  <c r="Y799" i="8" a="1"/>
  <c r="Y799" i="8" s="1"/>
  <c r="Y948" i="8" a="1"/>
  <c r="Y948" i="8" s="1"/>
  <c r="Y732" i="8" a="1"/>
  <c r="Y732" i="8" s="1"/>
  <c r="Y819" i="8" a="1"/>
  <c r="Y819" i="8" s="1"/>
  <c r="Y915" i="8" a="1"/>
  <c r="Y915" i="8" s="1"/>
  <c r="Y839" i="8" a="1"/>
  <c r="Y839" i="8" s="1"/>
  <c r="Y1050" i="8" a="1"/>
  <c r="Y1050" i="8" s="1"/>
  <c r="Y883" i="8" a="1"/>
  <c r="Y883" i="8" s="1"/>
  <c r="Y904" i="8" a="1"/>
  <c r="Y904" i="8" s="1"/>
  <c r="Y998" i="8" a="1"/>
  <c r="Y998" i="8" s="1"/>
  <c r="Y966" i="8" a="1"/>
  <c r="Y966" i="8" s="1"/>
  <c r="Y88" i="8" a="1"/>
  <c r="Y88" i="8" s="1"/>
  <c r="Y23" i="8" a="1"/>
  <c r="Y23" i="8" s="1"/>
  <c r="Y931" i="8" a="1"/>
  <c r="Y931" i="8" s="1"/>
  <c r="Y89" i="8" a="1"/>
  <c r="Y89" i="8" s="1"/>
  <c r="Y53" i="8" a="1"/>
  <c r="Y53" i="8" s="1"/>
  <c r="Y39" i="8" a="1"/>
  <c r="Y39" i="8" s="1"/>
  <c r="Y906" i="8" a="1"/>
  <c r="Y906" i="8" s="1"/>
  <c r="Y986" i="8" a="1"/>
  <c r="Y986" i="8" s="1"/>
  <c r="Y110" i="8" a="1"/>
  <c r="Y110" i="8" s="1"/>
  <c r="Y942" i="8" a="1"/>
  <c r="Y942" i="8" s="1"/>
  <c r="Y1043" i="8" a="1"/>
  <c r="Y1043" i="8" s="1"/>
  <c r="Y90" i="8" a="1"/>
  <c r="Y90" i="8" s="1"/>
  <c r="AA15" i="5" a="1"/>
  <c r="AA15" i="5" s="1"/>
  <c r="Y42" i="8" a="1"/>
  <c r="Y42" i="8" s="1"/>
  <c r="Y50" i="8" a="1"/>
  <c r="Y50" i="8" s="1"/>
  <c r="Y965" i="8" a="1"/>
  <c r="Y965" i="8" s="1"/>
  <c r="Y32" i="8" a="1"/>
  <c r="Y32" i="8" s="1"/>
  <c r="Y57" i="8" a="1"/>
  <c r="Y57" i="8" s="1"/>
  <c r="Y71" i="8" a="1"/>
  <c r="Y71" i="8" s="1"/>
  <c r="AA1064" i="5" a="1"/>
  <c r="AA1064" i="5" s="1"/>
  <c r="AA1048" i="5" a="1"/>
  <c r="AA1048" i="5" s="1"/>
  <c r="AA46" i="5" a="1"/>
  <c r="AA46" i="5" s="1"/>
  <c r="AA72" i="5" a="1"/>
  <c r="AA72" i="5" s="1"/>
  <c r="AA161" i="5" a="1"/>
  <c r="AA161" i="5" s="1"/>
  <c r="AA99" i="5" a="1"/>
  <c r="AA99" i="5" s="1"/>
  <c r="Y86" i="8" a="1"/>
  <c r="Y86" i="8" s="1"/>
  <c r="AA1071" i="5" a="1"/>
  <c r="AA1071" i="5" s="1"/>
  <c r="R644" i="8"/>
  <c r="R644" i="5"/>
  <c r="R1049" i="8"/>
  <c r="R1049" i="5"/>
  <c r="R1015" i="8"/>
  <c r="R1015" i="5"/>
  <c r="R1005" i="8"/>
  <c r="R1005" i="5"/>
  <c r="R959" i="8"/>
  <c r="R959" i="5"/>
  <c r="R951" i="8"/>
  <c r="R951" i="5"/>
  <c r="R941" i="8"/>
  <c r="R941" i="5"/>
  <c r="R926" i="8"/>
  <c r="R926" i="5"/>
  <c r="R922" i="5"/>
  <c r="R922" i="8"/>
  <c r="R918" i="8"/>
  <c r="R918" i="5"/>
  <c r="R841" i="8"/>
  <c r="R841" i="5"/>
  <c r="R835" i="5"/>
  <c r="R835" i="8"/>
  <c r="R709" i="8"/>
  <c r="R709" i="5"/>
  <c r="R686" i="5"/>
  <c r="R686" i="8"/>
  <c r="R682" i="5"/>
  <c r="R682" i="8"/>
  <c r="R678" i="8"/>
  <c r="R678" i="5"/>
  <c r="R663" i="5"/>
  <c r="R663" i="8"/>
  <c r="R646" i="8"/>
  <c r="R646" i="5"/>
  <c r="R629" i="8"/>
  <c r="R629" i="5"/>
  <c r="R622" i="5"/>
  <c r="R622" i="8"/>
  <c r="R618" i="5"/>
  <c r="R618" i="8"/>
  <c r="R614" i="8"/>
  <c r="R614" i="5"/>
  <c r="R570" i="5"/>
  <c r="R570" i="8"/>
  <c r="R565" i="8"/>
  <c r="R565" i="5"/>
  <c r="R551" i="5"/>
  <c r="R551" i="8"/>
  <c r="R542" i="5"/>
  <c r="R542" i="8"/>
  <c r="R538" i="5"/>
  <c r="R538" i="8"/>
  <c r="R534" i="8"/>
  <c r="R534" i="5"/>
  <c r="R518" i="8"/>
  <c r="R518" i="5"/>
  <c r="R508" i="8"/>
  <c r="R508" i="5"/>
  <c r="R504" i="5"/>
  <c r="R504" i="8"/>
  <c r="R493" i="5"/>
  <c r="R493" i="8"/>
  <c r="R491" i="8"/>
  <c r="R491" i="5"/>
  <c r="R489" i="8"/>
  <c r="R489" i="5"/>
  <c r="R487" i="8"/>
  <c r="R487" i="5"/>
  <c r="R484" i="8"/>
  <c r="R484" i="5"/>
  <c r="R473" i="8"/>
  <c r="R473" i="5"/>
  <c r="R461" i="5"/>
  <c r="R461" i="8"/>
  <c r="R459" i="8"/>
  <c r="R459" i="5"/>
  <c r="R457" i="8"/>
  <c r="R457" i="5"/>
  <c r="R454" i="8"/>
  <c r="R454" i="5"/>
  <c r="R450" i="8"/>
  <c r="R450" i="5"/>
  <c r="R445" i="5"/>
  <c r="R445" i="8"/>
  <c r="R441" i="8"/>
  <c r="R441" i="5"/>
  <c r="R437" i="8"/>
  <c r="R437" i="5"/>
  <c r="R421" i="8"/>
  <c r="R421" i="5"/>
  <c r="R388" i="5"/>
  <c r="R388" i="8"/>
  <c r="R373" i="8"/>
  <c r="R373" i="5"/>
  <c r="R366" i="5"/>
  <c r="R366" i="8"/>
  <c r="R362" i="5"/>
  <c r="R362" i="8"/>
  <c r="R358" i="8"/>
  <c r="R358" i="5"/>
  <c r="R354" i="8"/>
  <c r="R354" i="5"/>
  <c r="R340" i="8"/>
  <c r="R340" i="5"/>
  <c r="R338" i="8"/>
  <c r="R338" i="5"/>
  <c r="R336" i="8"/>
  <c r="R336" i="5"/>
  <c r="R334" i="5"/>
  <c r="R334" i="8"/>
  <c r="R332" i="8"/>
  <c r="R332" i="5"/>
  <c r="R330" i="5"/>
  <c r="R330" i="8"/>
  <c r="R328" i="8"/>
  <c r="R328" i="5"/>
  <c r="R326" i="8"/>
  <c r="R326" i="5"/>
  <c r="R298" i="5"/>
  <c r="R298" i="8"/>
  <c r="R296" i="5"/>
  <c r="R296" i="8"/>
  <c r="R294" i="8"/>
  <c r="R294" i="5"/>
  <c r="R269" i="5"/>
  <c r="R269" i="8"/>
  <c r="R260" i="5"/>
  <c r="R260" i="8"/>
  <c r="R258" i="8"/>
  <c r="R258" i="5"/>
  <c r="R255" i="8"/>
  <c r="R255" i="5"/>
  <c r="R253" i="5"/>
  <c r="R253" i="8"/>
  <c r="R251" i="8"/>
  <c r="R251" i="5"/>
  <c r="R249" i="8"/>
  <c r="R249" i="5"/>
  <c r="R247" i="5"/>
  <c r="R247" i="8"/>
  <c r="R234" i="5"/>
  <c r="R234" i="8"/>
  <c r="R232" i="8"/>
  <c r="R232" i="5"/>
  <c r="R230" i="8"/>
  <c r="R230" i="5"/>
  <c r="R228" i="8"/>
  <c r="R228" i="5"/>
  <c r="R226" i="8"/>
  <c r="R226" i="5"/>
  <c r="R221" i="5"/>
  <c r="R221" i="8"/>
  <c r="R218" i="5"/>
  <c r="R218" i="8"/>
  <c r="R216" i="8"/>
  <c r="R216" i="5"/>
  <c r="R214" i="8"/>
  <c r="R214" i="5"/>
  <c r="R212" i="8"/>
  <c r="R212" i="5"/>
  <c r="R210" i="8"/>
  <c r="R210" i="5"/>
  <c r="R163" i="8"/>
  <c r="R163" i="5"/>
  <c r="R122" i="5"/>
  <c r="R122" i="8"/>
  <c r="R112" i="5"/>
  <c r="R112" i="8"/>
  <c r="R110" i="5"/>
  <c r="R110" i="8"/>
  <c r="R108" i="5"/>
  <c r="R108" i="8"/>
  <c r="R106" i="5"/>
  <c r="R106" i="8"/>
  <c r="R104" i="8"/>
  <c r="R104" i="5"/>
  <c r="R102" i="8"/>
  <c r="R102" i="5"/>
  <c r="R98" i="8"/>
  <c r="R98" i="5"/>
  <c r="R89" i="5"/>
  <c r="R89" i="8"/>
  <c r="R84" i="8"/>
  <c r="R84" i="5"/>
  <c r="R79" i="5"/>
  <c r="R79" i="8"/>
  <c r="R77" i="5"/>
  <c r="R77" i="8"/>
  <c r="R75" i="5"/>
  <c r="R75" i="8"/>
  <c r="R73" i="5"/>
  <c r="R73" i="8"/>
  <c r="R71" i="8"/>
  <c r="R71" i="5"/>
  <c r="R51" i="8"/>
  <c r="R51" i="5"/>
  <c r="T1061" i="8"/>
  <c r="T1061" i="5"/>
  <c r="T1017" i="8"/>
  <c r="T1017" i="5"/>
  <c r="T1003" i="8"/>
  <c r="T1003" i="5"/>
  <c r="T956" i="8"/>
  <c r="T956" i="5"/>
  <c r="T935" i="5"/>
  <c r="T935" i="8"/>
  <c r="T930" i="8"/>
  <c r="T930" i="5"/>
  <c r="T754" i="5"/>
  <c r="T754" i="8"/>
  <c r="T726" i="8"/>
  <c r="T726" i="5"/>
  <c r="T709" i="8"/>
  <c r="T709" i="5"/>
  <c r="T676" i="5"/>
  <c r="T676" i="8"/>
  <c r="T643" i="8"/>
  <c r="T643" i="5"/>
  <c r="T580" i="5"/>
  <c r="T580" i="8"/>
  <c r="T563" i="8"/>
  <c r="T563" i="5"/>
  <c r="T544" i="8"/>
  <c r="T544" i="5"/>
  <c r="T528" i="8"/>
  <c r="T528" i="5"/>
  <c r="T516" i="5"/>
  <c r="T516" i="8"/>
  <c r="T492" i="8"/>
  <c r="T492" i="5"/>
  <c r="T488" i="5"/>
  <c r="T488" i="8"/>
  <c r="T448" i="8"/>
  <c r="T448" i="5"/>
  <c r="T435" i="8"/>
  <c r="T435" i="5"/>
  <c r="T400" i="8"/>
  <c r="T400" i="5"/>
  <c r="T360" i="5"/>
  <c r="T360" i="8"/>
  <c r="T337" i="5"/>
  <c r="T337" i="8"/>
  <c r="T333" i="8"/>
  <c r="T333" i="5"/>
  <c r="T329" i="8"/>
  <c r="T329" i="5"/>
  <c r="T324" i="5"/>
  <c r="T324" i="8"/>
  <c r="T306" i="8"/>
  <c r="T306" i="5"/>
  <c r="T297" i="5"/>
  <c r="T297" i="8"/>
  <c r="T282" i="5"/>
  <c r="T282" i="8"/>
  <c r="T278" i="5"/>
  <c r="T278" i="8"/>
  <c r="T207" i="5"/>
  <c r="T207" i="8"/>
  <c r="T191" i="8"/>
  <c r="T191" i="5"/>
  <c r="T175" i="8"/>
  <c r="T175" i="5"/>
  <c r="T165" i="5"/>
  <c r="T165" i="8"/>
  <c r="T157" i="8"/>
  <c r="T157" i="5"/>
  <c r="T153" i="8"/>
  <c r="T153" i="5"/>
  <c r="T149" i="5"/>
  <c r="T149" i="8"/>
  <c r="T139" i="5"/>
  <c r="T139" i="8"/>
  <c r="T135" i="8"/>
  <c r="T135" i="5"/>
  <c r="T111" i="5"/>
  <c r="T111" i="8"/>
  <c r="T107" i="5"/>
  <c r="T107" i="8"/>
  <c r="T103" i="8"/>
  <c r="T103" i="5"/>
  <c r="T80" i="8"/>
  <c r="T80" i="5"/>
  <c r="T76" i="8"/>
  <c r="T76" i="5"/>
  <c r="T72" i="8"/>
  <c r="T72" i="5"/>
  <c r="Y953" i="8" a="1"/>
  <c r="Y953" i="8" s="1"/>
  <c r="Y1037" i="8" a="1"/>
  <c r="Y1037" i="8" s="1"/>
  <c r="Y13" i="8" a="1"/>
  <c r="Y13" i="8" s="1"/>
  <c r="Y76" i="8" a="1"/>
  <c r="Y76" i="8" s="1"/>
  <c r="Y15" i="8" a="1"/>
  <c r="Y15" i="8" s="1"/>
  <c r="Y59" i="8" a="1"/>
  <c r="Y59" i="8" s="1"/>
  <c r="Y84" i="8" a="1"/>
  <c r="Y84" i="8" s="1"/>
  <c r="Y82" i="8" a="1"/>
  <c r="Y82" i="8" s="1"/>
  <c r="Y66" i="8" a="1"/>
  <c r="Y66" i="8" s="1"/>
  <c r="Y80" i="8" a="1"/>
  <c r="Y80" i="8" s="1"/>
  <c r="Y21" i="8" a="1"/>
  <c r="Y21" i="8" s="1"/>
  <c r="Y36" i="8" a="1"/>
  <c r="Y36" i="8" s="1"/>
  <c r="Y38" i="8" a="1"/>
  <c r="Y38" i="8" s="1"/>
  <c r="W63" i="8" a="1"/>
  <c r="W63" i="8" s="1"/>
  <c r="W88" i="8" a="1"/>
  <c r="W88" i="8" s="1"/>
  <c r="W46" i="8" a="1"/>
  <c r="W46" i="8" s="1"/>
  <c r="W18" i="8" a="1"/>
  <c r="W18" i="8" s="1"/>
  <c r="W34" i="8" a="1"/>
  <c r="W34" i="8" s="1"/>
  <c r="W104" i="8" a="1"/>
  <c r="W104" i="8" s="1"/>
  <c r="W83" i="8" a="1"/>
  <c r="W83" i="8" s="1"/>
  <c r="W23" i="8" a="1"/>
  <c r="W23" i="8" s="1"/>
  <c r="W25" i="8" a="1"/>
  <c r="W25" i="8" s="1"/>
  <c r="W15" i="8" a="1"/>
  <c r="W15" i="8" s="1"/>
  <c r="W80" i="8" a="1"/>
  <c r="W80" i="8" s="1"/>
  <c r="W19" i="8" a="1"/>
  <c r="W19" i="8" s="1"/>
  <c r="W3" i="8" a="1"/>
  <c r="W3" i="8" s="1"/>
  <c r="W79" i="8" a="1"/>
  <c r="W79" i="8" s="1"/>
  <c r="W75" i="8" a="1"/>
  <c r="W75" i="8" s="1"/>
  <c r="W1041" i="8" a="1"/>
  <c r="W1041" i="8" s="1"/>
  <c r="W981" i="8" a="1"/>
  <c r="W981" i="8" s="1"/>
  <c r="W941" i="8" a="1"/>
  <c r="W941" i="8" s="1"/>
  <c r="W853" i="8" a="1"/>
  <c r="W853" i="8" s="1"/>
  <c r="W787" i="8" a="1"/>
  <c r="W787" i="8" s="1"/>
  <c r="W720" i="8" a="1"/>
  <c r="W720" i="8" s="1"/>
  <c r="W677" i="8" a="1"/>
  <c r="W677" i="8" s="1"/>
  <c r="W585" i="8" a="1"/>
  <c r="W585" i="8" s="1"/>
  <c r="W518" i="8" a="1"/>
  <c r="W518" i="8" s="1"/>
  <c r="W478" i="8" a="1"/>
  <c r="W478" i="8" s="1"/>
  <c r="W392" i="8" a="1"/>
  <c r="W392" i="8" s="1"/>
  <c r="W369" i="8" a="1"/>
  <c r="W369" i="8" s="1"/>
  <c r="W292" i="8" a="1"/>
  <c r="W292" i="8" s="1"/>
  <c r="W270" i="8" a="1"/>
  <c r="W270" i="8" s="1"/>
  <c r="W210" i="8" a="1"/>
  <c r="W210" i="8" s="1"/>
  <c r="W1043" i="8" a="1"/>
  <c r="W1043" i="8" s="1"/>
  <c r="W980" i="8" a="1"/>
  <c r="W980" i="8" s="1"/>
  <c r="W915" i="8" a="1"/>
  <c r="W915" i="8" s="1"/>
  <c r="W840" i="8" a="1"/>
  <c r="W840" i="8" s="1"/>
  <c r="W801" i="8" a="1"/>
  <c r="W801" i="8" s="1"/>
  <c r="W732" i="8" a="1"/>
  <c r="W732" i="8" s="1"/>
  <c r="W603" i="8" a="1"/>
  <c r="W603" i="8" s="1"/>
  <c r="W593" i="8" a="1"/>
  <c r="W593" i="8" s="1"/>
  <c r="W435" i="8" a="1"/>
  <c r="W435" i="8" s="1"/>
  <c r="W506" i="8" a="1"/>
  <c r="W506" i="8" s="1"/>
  <c r="W425" i="8" a="1"/>
  <c r="W425" i="8" s="1"/>
  <c r="W329" i="8" a="1"/>
  <c r="W329" i="8" s="1"/>
  <c r="W202" i="8" a="1"/>
  <c r="W202" i="8" s="1"/>
  <c r="W199" i="8" a="1"/>
  <c r="W199" i="8" s="1"/>
  <c r="W139" i="8" a="1"/>
  <c r="W139" i="8" s="1"/>
  <c r="W1022" i="8" a="1"/>
  <c r="W1022" i="8" s="1"/>
  <c r="W961" i="8" a="1"/>
  <c r="W961" i="8" s="1"/>
  <c r="W896" i="8" a="1"/>
  <c r="W896" i="8" s="1"/>
  <c r="W838" i="8" a="1"/>
  <c r="W838" i="8" s="1"/>
  <c r="W731" i="8" a="1"/>
  <c r="W731" i="8" s="1"/>
  <c r="W750" i="8" a="1"/>
  <c r="W750" i="8" s="1"/>
  <c r="W616" i="8" a="1"/>
  <c r="W616" i="8" s="1"/>
  <c r="W562" i="8" a="1"/>
  <c r="W562" i="8" s="1"/>
  <c r="W472" i="8" a="1"/>
  <c r="W472" i="8" s="1"/>
  <c r="W520" i="8" a="1"/>
  <c r="W520" i="8" s="1"/>
  <c r="W367" i="8" a="1"/>
  <c r="W367" i="8" s="1"/>
  <c r="W327" i="8" a="1"/>
  <c r="W327" i="8" s="1"/>
  <c r="W131" i="8" a="1"/>
  <c r="W131" i="8" s="1"/>
  <c r="W260" i="8" a="1"/>
  <c r="W260" i="8" s="1"/>
  <c r="W101" i="8" a="1"/>
  <c r="W101" i="8" s="1"/>
  <c r="W1031" i="8" a="1"/>
  <c r="W1031" i="8" s="1"/>
  <c r="W951" i="8" a="1"/>
  <c r="W951" i="8" s="1"/>
  <c r="W920" i="8" a="1"/>
  <c r="W920" i="8" s="1"/>
  <c r="W828" i="8" a="1"/>
  <c r="W828" i="8" s="1"/>
  <c r="W724" i="8" a="1"/>
  <c r="W724" i="8" s="1"/>
  <c r="W737" i="8" a="1"/>
  <c r="W737" i="8" s="1"/>
  <c r="W685" i="8" a="1"/>
  <c r="W685" i="8" s="1"/>
  <c r="W557" i="8" a="1"/>
  <c r="W557" i="8" s="1"/>
  <c r="W462" i="8" a="1"/>
  <c r="W462" i="8" s="1"/>
  <c r="W519" i="8" a="1"/>
  <c r="W519" i="8" s="1"/>
  <c r="W363" i="8" a="1"/>
  <c r="W363" i="8" s="1"/>
  <c r="W314" i="8" a="1"/>
  <c r="W314" i="8" s="1"/>
  <c r="W121" i="8" a="1"/>
  <c r="W121" i="8" s="1"/>
  <c r="W250" i="8" a="1"/>
  <c r="W250" i="8" s="1"/>
  <c r="W145" i="8" a="1"/>
  <c r="W145" i="8" s="1"/>
  <c r="W1000" i="8" a="1"/>
  <c r="W1000" i="8" s="1"/>
  <c r="W919" i="8" a="1"/>
  <c r="W919" i="8" s="1"/>
  <c r="W877" i="8" a="1"/>
  <c r="W877" i="8" s="1"/>
  <c r="W830" i="8" a="1"/>
  <c r="W830" i="8" s="1"/>
  <c r="W726" i="8" a="1"/>
  <c r="W726" i="8" s="1"/>
  <c r="W698" i="8" a="1"/>
  <c r="W698" i="8" s="1"/>
  <c r="W630" i="8" a="1"/>
  <c r="W630" i="8" s="1"/>
  <c r="W528" i="8" a="1"/>
  <c r="W528" i="8" s="1"/>
  <c r="W484" i="8" a="1"/>
  <c r="W484" i="8" s="1"/>
  <c r="W448" i="8" a="1"/>
  <c r="W448" i="8" s="1"/>
  <c r="W302" i="8" a="1"/>
  <c r="W302" i="8" s="1"/>
  <c r="W312" i="8" a="1"/>
  <c r="W312" i="8" s="1"/>
  <c r="W224" i="8" a="1"/>
  <c r="W224" i="8" s="1"/>
  <c r="W179" i="8" a="1"/>
  <c r="W179" i="8" s="1"/>
  <c r="W126" i="8" a="1"/>
  <c r="W126" i="8" s="1"/>
  <c r="W1024" i="8" a="1"/>
  <c r="W1024" i="8" s="1"/>
  <c r="W959" i="8" a="1"/>
  <c r="W959" i="8" s="1"/>
  <c r="W905" i="8" a="1"/>
  <c r="W905" i="8" s="1"/>
  <c r="W808" i="8" a="1"/>
  <c r="W808" i="8" s="1"/>
  <c r="W709" i="8" a="1"/>
  <c r="W709" i="8" s="1"/>
  <c r="W719" i="8" a="1"/>
  <c r="W719" i="8" s="1"/>
  <c r="W667" i="8" a="1"/>
  <c r="W667" i="8" s="1"/>
  <c r="W540" i="8" a="1"/>
  <c r="W540" i="8" s="1"/>
  <c r="W447" i="8" a="1"/>
  <c r="W447" i="8" s="1"/>
  <c r="W502" i="8" a="1"/>
  <c r="W502" i="8" s="1"/>
  <c r="W355" i="8" a="1"/>
  <c r="W355" i="8" s="1"/>
  <c r="W305" i="8" a="1"/>
  <c r="W305" i="8" s="1"/>
  <c r="W278" i="8" a="1"/>
  <c r="W278" i="8" s="1"/>
  <c r="W233" i="8" a="1"/>
  <c r="W233" i="8" s="1"/>
  <c r="W1062" i="8" a="1"/>
  <c r="W1062" i="8" s="1"/>
  <c r="W1017" i="8" a="1"/>
  <c r="W1017" i="8" s="1"/>
  <c r="W950" i="8" a="1"/>
  <c r="W950" i="8" s="1"/>
  <c r="W872" i="8" a="1"/>
  <c r="W872" i="8" s="1"/>
  <c r="W831" i="8" a="1"/>
  <c r="W831" i="8" s="1"/>
  <c r="W745" i="8" a="1"/>
  <c r="W745" i="8" s="1"/>
  <c r="W624" i="8" a="1"/>
  <c r="W624" i="8" s="1"/>
  <c r="W650" i="8" a="1"/>
  <c r="W650" i="8" s="1"/>
  <c r="W544" i="8" a="1"/>
  <c r="W544" i="8" s="1"/>
  <c r="W503" i="8" a="1"/>
  <c r="W503" i="8" s="1"/>
  <c r="W426" i="8" a="1"/>
  <c r="W426" i="8" s="1"/>
  <c r="W333" i="8" a="1"/>
  <c r="W333" i="8" s="1"/>
  <c r="W354" i="8" a="1"/>
  <c r="W354" i="8" s="1"/>
  <c r="W143" i="8" a="1"/>
  <c r="W143" i="8" s="1"/>
  <c r="W255" i="8" a="1"/>
  <c r="W255" i="8" s="1"/>
  <c r="W133" i="8" a="1"/>
  <c r="W133" i="8" s="1"/>
  <c r="W1035" i="8" a="1"/>
  <c r="W1035" i="8" s="1"/>
  <c r="W975" i="8" a="1"/>
  <c r="W975" i="8" s="1"/>
  <c r="W898" i="8" a="1"/>
  <c r="W898" i="8" s="1"/>
  <c r="W835" i="8" a="1"/>
  <c r="W835" i="8" s="1"/>
  <c r="W736" i="8" a="1"/>
  <c r="W736" i="8" s="1"/>
  <c r="W769" i="8" a="1"/>
  <c r="W769" i="8" s="1"/>
  <c r="W660" i="8" a="1"/>
  <c r="W660" i="8" s="1"/>
  <c r="W579" i="8" a="1"/>
  <c r="W579" i="8" s="1"/>
  <c r="W494" i="8" a="1"/>
  <c r="W494" i="8" s="1"/>
  <c r="W458" i="8" a="1"/>
  <c r="W458" i="8" s="1"/>
  <c r="W379" i="8" a="1"/>
  <c r="W379" i="8" s="1"/>
  <c r="W346" i="8" a="1"/>
  <c r="W346" i="8" s="1"/>
  <c r="W153" i="8" a="1"/>
  <c r="W153" i="8" s="1"/>
  <c r="W152" i="8" a="1"/>
  <c r="W152" i="8" s="1"/>
  <c r="W117" i="8" a="1"/>
  <c r="W117" i="8" s="1"/>
  <c r="W39" i="8" a="1"/>
  <c r="W39" i="8" s="1"/>
  <c r="W21" i="8" a="1"/>
  <c r="W21" i="8" s="1"/>
  <c r="W84" i="8" a="1"/>
  <c r="W84" i="8" s="1"/>
  <c r="W26" i="8" a="1"/>
  <c r="W26" i="8" s="1"/>
  <c r="W89" i="8" a="1"/>
  <c r="W89" i="8" s="1"/>
  <c r="W95" i="8" a="1"/>
  <c r="W95" i="8" s="1"/>
  <c r="W74" i="8" a="1"/>
  <c r="W74" i="8" s="1"/>
  <c r="W72" i="8" a="1"/>
  <c r="W72" i="8" s="1"/>
  <c r="W36" i="8" a="1"/>
  <c r="W36" i="8" s="1"/>
  <c r="W76" i="8" a="1"/>
  <c r="W76" i="8" s="1"/>
  <c r="W85" i="8" a="1"/>
  <c r="W85" i="8" s="1"/>
  <c r="W60" i="8" a="1"/>
  <c r="W60" i="8" s="1"/>
  <c r="W123" i="8" a="1"/>
  <c r="W123" i="8" s="1"/>
  <c r="W130" i="8" a="1"/>
  <c r="W130" i="8" s="1"/>
  <c r="W1028" i="8" a="1"/>
  <c r="W1028" i="8" s="1"/>
  <c r="W990" i="8" a="1"/>
  <c r="W990" i="8" s="1"/>
  <c r="W890" i="8" a="1"/>
  <c r="W890" i="8" s="1"/>
  <c r="W845" i="8" a="1"/>
  <c r="W845" i="8" s="1"/>
  <c r="W806" i="8" a="1"/>
  <c r="W806" i="8" s="1"/>
  <c r="W738" i="8" a="1"/>
  <c r="W738" i="8" s="1"/>
  <c r="W617" i="8" a="1"/>
  <c r="W617" i="8" s="1"/>
  <c r="W581" i="8" a="1"/>
  <c r="W581" i="8" s="1"/>
  <c r="W445" i="8" a="1"/>
  <c r="W445" i="8" s="1"/>
  <c r="W522" i="8" a="1"/>
  <c r="W522" i="8" s="1"/>
  <c r="W432" i="8" a="1"/>
  <c r="W432" i="8" s="1"/>
  <c r="W332" i="8" a="1"/>
  <c r="W332" i="8" s="1"/>
  <c r="W212" i="8" a="1"/>
  <c r="W212" i="8" s="1"/>
  <c r="W206" i="8" a="1"/>
  <c r="W206" i="8" s="1"/>
  <c r="W146" i="8" a="1"/>
  <c r="W146" i="8" s="1"/>
  <c r="W1033" i="8" a="1"/>
  <c r="W1033" i="8" s="1"/>
  <c r="W968" i="8" a="1"/>
  <c r="W968" i="8" s="1"/>
  <c r="W908" i="8" a="1"/>
  <c r="W908" i="8" s="1"/>
  <c r="W820" i="8" a="1"/>
  <c r="W820" i="8" s="1"/>
  <c r="W734" i="8" a="1"/>
  <c r="W734" i="8" s="1"/>
  <c r="W759" i="8" a="1"/>
  <c r="W759" i="8" s="1"/>
  <c r="W642" i="8" a="1"/>
  <c r="W642" i="8" s="1"/>
  <c r="W577" i="8" a="1"/>
  <c r="W577" i="8" s="1"/>
  <c r="W479" i="8" a="1"/>
  <c r="W479" i="8" s="1"/>
  <c r="W521" i="8" a="1"/>
  <c r="W521" i="8" s="1"/>
  <c r="W371" i="8" a="1"/>
  <c r="W371" i="8" s="1"/>
  <c r="W330" i="8" a="1"/>
  <c r="W330" i="8" s="1"/>
  <c r="W138" i="8" a="1"/>
  <c r="W138" i="8" s="1"/>
  <c r="W265" i="8" a="1"/>
  <c r="W265" i="8" s="1"/>
  <c r="W132" i="8" a="1"/>
  <c r="W132" i="8" s="1"/>
  <c r="W1015" i="8" a="1"/>
  <c r="W1015" i="8" s="1"/>
  <c r="W936" i="8" a="1"/>
  <c r="W936" i="8" s="1"/>
  <c r="W875" i="8" a="1"/>
  <c r="W875" i="8" s="1"/>
  <c r="W793" i="8" a="1"/>
  <c r="W793" i="8" s="1"/>
  <c r="W747" i="8" a="1"/>
  <c r="W747" i="8" s="1"/>
  <c r="W694" i="8" a="1"/>
  <c r="W694" i="8" s="1"/>
  <c r="W632" i="8" a="1"/>
  <c r="W632" i="8" s="1"/>
  <c r="W542" i="8" a="1"/>
  <c r="W542" i="8" s="1"/>
  <c r="W501" i="8" a="1"/>
  <c r="W501" i="8" s="1"/>
  <c r="W465" i="8" a="1"/>
  <c r="W465" i="8" s="1"/>
  <c r="W321" i="8" a="1"/>
  <c r="W321" i="8" s="1"/>
  <c r="W328" i="8" a="1"/>
  <c r="W328" i="8" s="1"/>
  <c r="W239" i="8" a="1"/>
  <c r="W239" i="8" s="1"/>
  <c r="W196" i="8" a="1"/>
  <c r="W196" i="8" s="1"/>
  <c r="W140" i="8" a="1"/>
  <c r="W140" i="8" s="1"/>
  <c r="W1007" i="8" a="1"/>
  <c r="W1007" i="8" s="1"/>
  <c r="W926" i="8" a="1"/>
  <c r="W926" i="8" s="1"/>
  <c r="W883" i="8" a="1"/>
  <c r="W883" i="8" s="1"/>
  <c r="W788" i="8" a="1"/>
  <c r="W788" i="8" s="1"/>
  <c r="W746" i="8" a="1"/>
  <c r="W746" i="8" s="1"/>
  <c r="W691" i="8" a="1"/>
  <c r="W691" i="8" s="1"/>
  <c r="W631" i="8" a="1"/>
  <c r="W631" i="8" s="1"/>
  <c r="W537" i="8" a="1"/>
  <c r="W537" i="8" s="1"/>
  <c r="W491" i="8" a="1"/>
  <c r="W491" i="8" s="1"/>
  <c r="W455" i="8" a="1"/>
  <c r="W455" i="8" s="1"/>
  <c r="W308" i="8" a="1"/>
  <c r="W308" i="8" s="1"/>
  <c r="W325" i="8" a="1"/>
  <c r="W325" i="8" s="1"/>
  <c r="W229" i="8" a="1"/>
  <c r="W229" i="8" s="1"/>
  <c r="W186" i="8" a="1"/>
  <c r="W186" i="8" s="1"/>
  <c r="W1052" i="8" a="1"/>
  <c r="W1052" i="8" s="1"/>
  <c r="W1003" i="8" a="1"/>
  <c r="W1003" i="8" s="1"/>
  <c r="W899" i="8" a="1"/>
  <c r="W899" i="8" s="1"/>
  <c r="W882" i="8" a="1"/>
  <c r="W882" i="8" s="1"/>
  <c r="W817" i="8" a="1"/>
  <c r="W817" i="8" s="1"/>
  <c r="W755" i="8" a="1"/>
  <c r="W755" i="8" s="1"/>
  <c r="W644" i="8" a="1"/>
  <c r="W644" i="8" s="1"/>
  <c r="W668" i="8" a="1"/>
  <c r="W668" i="8" s="1"/>
  <c r="W561" i="8" a="1"/>
  <c r="W561" i="8" s="1"/>
  <c r="W512" i="8" a="1"/>
  <c r="W512" i="8" s="1"/>
  <c r="W444" i="8" a="1"/>
  <c r="W444" i="8" s="1"/>
  <c r="W282" i="8" a="1"/>
  <c r="W282" i="8" s="1"/>
  <c r="W362" i="8" a="1"/>
  <c r="W362" i="8" s="1"/>
  <c r="W160" i="8" a="1"/>
  <c r="W160" i="8" s="1"/>
  <c r="W272" i="8" a="1"/>
  <c r="W272" i="8" s="1"/>
  <c r="W107" i="8" a="1"/>
  <c r="W107" i="8" s="1"/>
  <c r="W1019" i="8" a="1"/>
  <c r="W1019" i="8" s="1"/>
  <c r="W909" i="8" a="1"/>
  <c r="W909" i="8" s="1"/>
  <c r="W884" i="8" a="1"/>
  <c r="W884" i="8" s="1"/>
  <c r="W824" i="8" a="1"/>
  <c r="W824" i="8" s="1"/>
  <c r="W721" i="8" a="1"/>
  <c r="W721" i="8" s="1"/>
  <c r="W692" i="8" a="1"/>
  <c r="W692" i="8" s="1"/>
  <c r="W629" i="8" a="1"/>
  <c r="W629" i="8" s="1"/>
  <c r="W575" i="8" a="1"/>
  <c r="W575" i="8" s="1"/>
  <c r="W474" i="8" a="1"/>
  <c r="W474" i="8" s="1"/>
  <c r="W443" i="8" a="1"/>
  <c r="W443" i="8" s="1"/>
  <c r="W338" i="8" a="1"/>
  <c r="W338" i="8" s="1"/>
  <c r="W309" i="8" a="1"/>
  <c r="W309" i="8" s="1"/>
  <c r="W214" i="8" a="1"/>
  <c r="W214" i="8" s="1"/>
  <c r="W169" i="8" a="1"/>
  <c r="W169" i="8" s="1"/>
  <c r="W1066" i="8" a="1"/>
  <c r="W1066" i="8" s="1"/>
  <c r="W977" i="8" a="1"/>
  <c r="W977" i="8" s="1"/>
  <c r="W942" i="8" a="1"/>
  <c r="W942" i="8" s="1"/>
  <c r="W859" i="8" a="1"/>
  <c r="W859" i="8" s="1"/>
  <c r="W821" i="8" a="1"/>
  <c r="W821" i="8" s="1"/>
  <c r="W753" i="8" a="1"/>
  <c r="W753" i="8" s="1"/>
  <c r="W637" i="8" a="1"/>
  <c r="W637" i="8" s="1"/>
  <c r="W661" i="8" a="1"/>
  <c r="W661" i="8" s="1"/>
  <c r="W553" i="8" a="1"/>
  <c r="W553" i="8" s="1"/>
  <c r="W534" i="8" a="1"/>
  <c r="W534" i="8" s="1"/>
  <c r="W413" i="8" a="1"/>
  <c r="W413" i="8" s="1"/>
  <c r="W384" i="8" a="1"/>
  <c r="W384" i="8" s="1"/>
  <c r="W269" i="8" a="1"/>
  <c r="W269" i="8" s="1"/>
  <c r="W251" i="8" a="1"/>
  <c r="W251" i="8" s="1"/>
  <c r="W191" i="8" a="1"/>
  <c r="W191" i="8" s="1"/>
  <c r="W98" i="8" a="1"/>
  <c r="W98" i="8" s="1"/>
  <c r="W1014" i="8" a="1"/>
  <c r="W1014" i="8" s="1"/>
  <c r="W954" i="8" a="1"/>
  <c r="W954" i="8" s="1"/>
  <c r="W881" i="8" a="1"/>
  <c r="W881" i="8" s="1"/>
  <c r="W829" i="8" a="1"/>
  <c r="W829" i="8" s="1"/>
  <c r="W766" i="8" a="1"/>
  <c r="W766" i="8" s="1"/>
  <c r="W702" i="8" a="1"/>
  <c r="W702" i="8" s="1"/>
  <c r="W653" i="8" a="1"/>
  <c r="W653" i="8" s="1"/>
  <c r="W569" i="8" a="1"/>
  <c r="W569" i="8" s="1"/>
  <c r="W430" i="8" a="1"/>
  <c r="W430" i="8" s="1"/>
  <c r="W487" i="8" a="1"/>
  <c r="W487" i="8" s="1"/>
  <c r="W340" i="8" a="1"/>
  <c r="W340" i="8" s="1"/>
  <c r="W288" i="8" a="1"/>
  <c r="W288" i="8" s="1"/>
  <c r="W261" i="8" a="1"/>
  <c r="W261" i="8" s="1"/>
  <c r="W218" i="8" a="1"/>
  <c r="W218" i="8" s="1"/>
  <c r="W47" i="8" a="1"/>
  <c r="W47" i="8" s="1"/>
  <c r="W29" i="8" a="1"/>
  <c r="W29" i="8" s="1"/>
  <c r="W44" i="8" a="1"/>
  <c r="W44" i="8" s="1"/>
  <c r="W33" i="8" a="1"/>
  <c r="W33" i="8" s="1"/>
  <c r="W66" i="8" a="1"/>
  <c r="W66" i="8" s="1"/>
  <c r="W32" i="8" a="1"/>
  <c r="W32" i="8" s="1"/>
  <c r="W58" i="8" a="1"/>
  <c r="W58" i="8" s="1"/>
  <c r="W97" i="8" a="1"/>
  <c r="W97" i="8" s="1"/>
  <c r="W93" i="8" a="1"/>
  <c r="W93" i="8" s="1"/>
  <c r="W51" i="8" a="1"/>
  <c r="W51" i="8" s="1"/>
  <c r="W38" i="8" a="1"/>
  <c r="W38" i="8" s="1"/>
  <c r="W124" i="8" a="1"/>
  <c r="W124" i="8" s="1"/>
  <c r="W52" i="8" a="1"/>
  <c r="W52" i="8" s="1"/>
  <c r="W125" i="8" a="1"/>
  <c r="W125" i="8" s="1"/>
  <c r="W1020" i="8" a="1"/>
  <c r="W1020" i="8" s="1"/>
  <c r="W970" i="8" a="1"/>
  <c r="W970" i="8" s="1"/>
  <c r="W897" i="8" a="1"/>
  <c r="W897" i="8" s="1"/>
  <c r="W825" i="8" a="1"/>
  <c r="W825" i="8" s="1"/>
  <c r="W735" i="8" a="1"/>
  <c r="W735" i="8" s="1"/>
  <c r="W760" i="8" a="1"/>
  <c r="W760" i="8" s="1"/>
  <c r="W649" i="8" a="1"/>
  <c r="W649" i="8" s="1"/>
  <c r="W578" i="8" a="1"/>
  <c r="W578" i="8" s="1"/>
  <c r="W489" i="8" a="1"/>
  <c r="W489" i="8" s="1"/>
  <c r="W453" i="8" a="1"/>
  <c r="W453" i="8" s="1"/>
  <c r="W375" i="8" a="1"/>
  <c r="W375" i="8" s="1"/>
  <c r="W343" i="8" a="1"/>
  <c r="W343" i="8" s="1"/>
  <c r="W148" i="8" a="1"/>
  <c r="W148" i="8" s="1"/>
  <c r="W283" i="8" a="1"/>
  <c r="W283" i="8" s="1"/>
  <c r="W118" i="8" a="1"/>
  <c r="W118" i="8" s="1"/>
  <c r="W1005" i="8" a="1"/>
  <c r="W1005" i="8" s="1"/>
  <c r="W943" i="8" a="1"/>
  <c r="W943" i="8" s="1"/>
  <c r="W880" i="8" a="1"/>
  <c r="W880" i="8" s="1"/>
  <c r="W803" i="8" a="1"/>
  <c r="W803" i="8" s="1"/>
  <c r="W748" i="8" a="1"/>
  <c r="W748" i="8" s="1"/>
  <c r="W697" i="8" a="1"/>
  <c r="W697" i="8" s="1"/>
  <c r="W635" i="8" a="1"/>
  <c r="W635" i="8" s="1"/>
  <c r="W552" i="8" a="1"/>
  <c r="W552" i="8" s="1"/>
  <c r="W514" i="8" a="1"/>
  <c r="W514" i="8" s="1"/>
  <c r="W470" i="8" a="1"/>
  <c r="W470" i="8" s="1"/>
  <c r="W324" i="8" a="1"/>
  <c r="W324" i="8" s="1"/>
  <c r="W341" i="8" a="1"/>
  <c r="W341" i="8" s="1"/>
  <c r="W246" i="8" a="1"/>
  <c r="W246" i="8" s="1"/>
  <c r="W201" i="8" a="1"/>
  <c r="W201" i="8" s="1"/>
  <c r="W1072" i="8" a="1"/>
  <c r="W1072" i="8" s="1"/>
  <c r="W1011" i="8" a="1"/>
  <c r="W1011" i="8" s="1"/>
  <c r="W916" i="8" a="1"/>
  <c r="W916" i="8" s="1"/>
  <c r="W891" i="8" a="1"/>
  <c r="W891" i="8" s="1"/>
  <c r="W805" i="8" a="1"/>
  <c r="W805" i="8" s="1"/>
  <c r="W764" i="8" a="1"/>
  <c r="W764" i="8" s="1"/>
  <c r="W658" i="8" a="1"/>
  <c r="W658" i="8" s="1"/>
  <c r="W682" i="8" a="1"/>
  <c r="W682" i="8" s="1"/>
  <c r="W532" i="8" a="1"/>
  <c r="W532" i="8" s="1"/>
  <c r="W437" i="8" a="1"/>
  <c r="W437" i="8" s="1"/>
  <c r="W396" i="8" a="1"/>
  <c r="W396" i="8" s="1"/>
  <c r="W299" i="8" a="1"/>
  <c r="W299" i="8" s="1"/>
  <c r="W370" i="8" a="1"/>
  <c r="W370" i="8" s="1"/>
  <c r="W175" i="8" a="1"/>
  <c r="W175" i="8" s="1"/>
  <c r="W290" i="8" a="1"/>
  <c r="W290" i="8" s="1"/>
  <c r="W1065" i="8" a="1"/>
  <c r="W1065" i="8" s="1"/>
  <c r="W1006" i="8" a="1"/>
  <c r="W1006" i="8" s="1"/>
  <c r="W906" i="8" a="1"/>
  <c r="W906" i="8" s="1"/>
  <c r="W886" i="8" a="1"/>
  <c r="W886" i="8" s="1"/>
  <c r="W800" i="8" a="1"/>
  <c r="W800" i="8" s="1"/>
  <c r="W756" i="8" a="1"/>
  <c r="W756" i="8" s="1"/>
  <c r="W647" i="8" a="1"/>
  <c r="W647" i="8" s="1"/>
  <c r="W671" i="8" a="1"/>
  <c r="W671" i="8" s="1"/>
  <c r="W566" i="8" a="1"/>
  <c r="W566" i="8" s="1"/>
  <c r="W513" i="8" a="1"/>
  <c r="W513" i="8" s="1"/>
  <c r="W389" i="8" a="1"/>
  <c r="W389" i="8" s="1"/>
  <c r="W289" i="8" a="1"/>
  <c r="W289" i="8" s="1"/>
  <c r="W366" i="8" a="1"/>
  <c r="W366" i="8" s="1"/>
  <c r="W165" i="8" a="1"/>
  <c r="W165" i="8" s="1"/>
  <c r="W275" i="8" a="1"/>
  <c r="W275" i="8" s="1"/>
  <c r="W1057" i="8" a="1"/>
  <c r="W1057" i="8" s="1"/>
  <c r="W965" i="8" a="1"/>
  <c r="W965" i="8" s="1"/>
  <c r="W911" i="8" a="1"/>
  <c r="W911" i="8" s="1"/>
  <c r="W832" i="8" a="1"/>
  <c r="W832" i="8" s="1"/>
  <c r="W816" i="8" a="1"/>
  <c r="W816" i="8" s="1"/>
  <c r="W778" i="8" a="1"/>
  <c r="W778" i="8" s="1"/>
  <c r="W651" i="8" a="1"/>
  <c r="W651" i="8" s="1"/>
  <c r="W675" i="8" a="1"/>
  <c r="W675" i="8" s="1"/>
  <c r="W568" i="8" a="1"/>
  <c r="W568" i="8" s="1"/>
  <c r="W454" i="8" a="1"/>
  <c r="W454" i="8" s="1"/>
  <c r="W433" i="8" a="1"/>
  <c r="W433" i="8" s="1"/>
  <c r="W280" i="8" a="1"/>
  <c r="W280" i="8" s="1"/>
  <c r="W295" i="8" a="1"/>
  <c r="W295" i="8" s="1"/>
  <c r="W268" i="8" a="1"/>
  <c r="W268" i="8" s="1"/>
  <c r="W208" i="8" a="1"/>
  <c r="W208" i="8" s="1"/>
  <c r="W1045" i="8" a="1"/>
  <c r="W1045" i="8" s="1"/>
  <c r="W996" i="8" a="1"/>
  <c r="W996" i="8" s="1"/>
  <c r="W955" i="8" a="1"/>
  <c r="W955" i="8" s="1"/>
  <c r="W874" i="8" a="1"/>
  <c r="W874" i="8" s="1"/>
  <c r="W812" i="8" a="1"/>
  <c r="W812" i="8" s="1"/>
  <c r="W754" i="8" a="1"/>
  <c r="W754" i="8" s="1"/>
  <c r="W633" i="8" a="1"/>
  <c r="W633" i="8" s="1"/>
  <c r="W657" i="8" a="1"/>
  <c r="W657" i="8" s="1"/>
  <c r="W551" i="8" a="1"/>
  <c r="W551" i="8" s="1"/>
  <c r="W511" i="8" a="1"/>
  <c r="W511" i="8" s="1"/>
  <c r="W427" i="8" a="1"/>
  <c r="W427" i="8" s="1"/>
  <c r="W336" i="8" a="1"/>
  <c r="W336" i="8" s="1"/>
  <c r="W358" i="8" a="1"/>
  <c r="W358" i="8" s="1"/>
  <c r="W150" i="8" a="1"/>
  <c r="W150" i="8" s="1"/>
  <c r="W262" i="8" a="1"/>
  <c r="W262" i="8" s="1"/>
  <c r="W1037" i="8" a="1"/>
  <c r="W1037" i="8" s="1"/>
  <c r="W964" i="8" a="1"/>
  <c r="W964" i="8" s="1"/>
  <c r="W932" i="8" a="1"/>
  <c r="W932" i="8" s="1"/>
  <c r="W846" i="8" a="1"/>
  <c r="W846" i="8" s="1"/>
  <c r="W802" i="8" a="1"/>
  <c r="W802" i="8" s="1"/>
  <c r="W742" i="8" a="1"/>
  <c r="W742" i="8" s="1"/>
  <c r="W684" i="8" a="1"/>
  <c r="W684" i="8" s="1"/>
  <c r="W573" i="8" a="1"/>
  <c r="W573" i="8" s="1"/>
  <c r="W555" i="8" a="1"/>
  <c r="W555" i="8" s="1"/>
  <c r="W461" i="8" a="1"/>
  <c r="W461" i="8" s="1"/>
  <c r="W393" i="8" a="1"/>
  <c r="W393" i="8" s="1"/>
  <c r="W352" i="8" a="1"/>
  <c r="W352" i="8" s="1"/>
  <c r="W205" i="8" a="1"/>
  <c r="W205" i="8" s="1"/>
  <c r="W187" i="8" a="1"/>
  <c r="W187" i="8" s="1"/>
  <c r="W127" i="8" a="1"/>
  <c r="W127" i="8" s="1"/>
  <c r="W1073" i="8" a="1"/>
  <c r="W1073" i="8" s="1"/>
  <c r="W1009" i="8" a="1"/>
  <c r="W1009" i="8" s="1"/>
  <c r="W938" i="8" a="1"/>
  <c r="W938" i="8" s="1"/>
  <c r="W879" i="8" a="1"/>
  <c r="W879" i="8" s="1"/>
  <c r="W819" i="8" a="1"/>
  <c r="W819" i="8" s="1"/>
  <c r="W704" i="8" a="1"/>
  <c r="W704" i="8" s="1"/>
  <c r="W679" i="8" a="1"/>
  <c r="W679" i="8" s="1"/>
  <c r="W614" i="8" a="1"/>
  <c r="W614" i="8" s="1"/>
  <c r="W554" i="8" a="1"/>
  <c r="W554" i="8" s="1"/>
  <c r="W459" i="8" a="1"/>
  <c r="W459" i="8" s="1"/>
  <c r="W421" i="8" a="1"/>
  <c r="W421" i="8" s="1"/>
  <c r="W322" i="8" a="1"/>
  <c r="W322" i="8" s="1"/>
  <c r="W382" i="8" a="1"/>
  <c r="W382" i="8" s="1"/>
  <c r="W197" i="8" a="1"/>
  <c r="W197" i="8" s="1"/>
  <c r="W154" i="8" a="1"/>
  <c r="W154" i="8" s="1"/>
  <c r="W114" i="8" a="1"/>
  <c r="W114" i="8" s="1"/>
  <c r="W70" i="8" a="1"/>
  <c r="W70" i="8" s="1"/>
  <c r="W64" i="8" a="1"/>
  <c r="W64" i="8" s="1"/>
  <c r="W109" i="8" a="1"/>
  <c r="W109" i="8" s="1"/>
  <c r="W41" i="8" a="1"/>
  <c r="W41" i="8" s="1"/>
  <c r="W81" i="8" a="1"/>
  <c r="W81" i="8" s="1"/>
  <c r="W2" i="8" a="1"/>
  <c r="W2" i="8" s="1"/>
  <c r="W65" i="8" a="1"/>
  <c r="W65" i="8" s="1"/>
  <c r="W99" i="8" a="1"/>
  <c r="W99" i="8" s="1"/>
  <c r="W96" i="8" a="1"/>
  <c r="W96" i="8" s="1"/>
  <c r="W59" i="8" a="1"/>
  <c r="W59" i="8" s="1"/>
  <c r="W53" i="8" a="1"/>
  <c r="W53" i="8" s="1"/>
  <c r="W122" i="8" a="1"/>
  <c r="W122" i="8" s="1"/>
  <c r="W113" i="8" a="1"/>
  <c r="W113" i="8" s="1"/>
  <c r="W135" i="8" a="1"/>
  <c r="W135" i="8" s="1"/>
  <c r="W1010" i="8" a="1"/>
  <c r="W1010" i="8" s="1"/>
  <c r="W945" i="8" a="1"/>
  <c r="W945" i="8" s="1"/>
  <c r="W889" i="8" a="1"/>
  <c r="W889" i="8" s="1"/>
  <c r="W810" i="8" a="1"/>
  <c r="W810" i="8" s="1"/>
  <c r="W757" i="8" a="1"/>
  <c r="W757" i="8" s="1"/>
  <c r="W699" i="8" a="1"/>
  <c r="W699" i="8" s="1"/>
  <c r="W646" i="8" a="1"/>
  <c r="W646" i="8" s="1"/>
  <c r="W559" i="8" a="1"/>
  <c r="W559" i="8" s="1"/>
  <c r="W529" i="8" a="1"/>
  <c r="W529" i="8" s="1"/>
  <c r="W480" i="8" a="1"/>
  <c r="W480" i="8" s="1"/>
  <c r="W337" i="8" a="1"/>
  <c r="W337" i="8" s="1"/>
  <c r="W344" i="8" a="1"/>
  <c r="W344" i="8" s="1"/>
  <c r="W256" i="8" a="1"/>
  <c r="W256" i="8" s="1"/>
  <c r="W211" i="8" a="1"/>
  <c r="W211" i="8" s="1"/>
  <c r="W1071" i="8" a="1"/>
  <c r="W1071" i="8" s="1"/>
  <c r="W1013" i="8" a="1"/>
  <c r="W1013" i="8" s="1"/>
  <c r="W921" i="8" a="1"/>
  <c r="W921" i="8" s="1"/>
  <c r="W894" i="8" a="1"/>
  <c r="W894" i="8" s="1"/>
  <c r="W815" i="8" a="1"/>
  <c r="W815" i="8" s="1"/>
  <c r="W785" i="8" a="1"/>
  <c r="W785" i="8" s="1"/>
  <c r="W665" i="8" a="1"/>
  <c r="W665" i="8" s="1"/>
  <c r="W689" i="8" a="1"/>
  <c r="W689" i="8" s="1"/>
  <c r="W539" i="8" a="1"/>
  <c r="W539" i="8" s="1"/>
  <c r="W442" i="8" a="1"/>
  <c r="W442" i="8" s="1"/>
  <c r="W406" i="8" a="1"/>
  <c r="W406" i="8" s="1"/>
  <c r="W304" i="8" a="1"/>
  <c r="W304" i="8" s="1"/>
  <c r="W374" i="8" a="1"/>
  <c r="W374" i="8" s="1"/>
  <c r="W182" i="8" a="1"/>
  <c r="W182" i="8" s="1"/>
  <c r="W137" i="8" a="1"/>
  <c r="W137" i="8" s="1"/>
  <c r="W1064" i="8" a="1"/>
  <c r="W1064" i="8" s="1"/>
  <c r="W982" i="8" a="1"/>
  <c r="W982" i="8" s="1"/>
  <c r="W928" i="8" a="1"/>
  <c r="W928" i="8" s="1"/>
  <c r="W847" i="8" a="1"/>
  <c r="W847" i="8" s="1"/>
  <c r="W804" i="8" a="1"/>
  <c r="W804" i="8" s="1"/>
  <c r="W706" i="8" a="1"/>
  <c r="W706" i="8" s="1"/>
  <c r="W669" i="8" a="1"/>
  <c r="W669" i="8" s="1"/>
  <c r="W612" i="8" a="1"/>
  <c r="W612" i="8" s="1"/>
  <c r="W541" i="8" a="1"/>
  <c r="W541" i="8" s="1"/>
  <c r="W471" i="8" a="1"/>
  <c r="W471" i="8" s="1"/>
  <c r="W401" i="8" a="1"/>
  <c r="W401" i="8" s="1"/>
  <c r="W294" i="8" a="1"/>
  <c r="W294" i="8" s="1"/>
  <c r="W326" i="8" a="1"/>
  <c r="W326" i="8" s="1"/>
  <c r="W297" i="8" a="1"/>
  <c r="W297" i="8" s="1"/>
  <c r="W223" i="8" a="1"/>
  <c r="W223" i="8" s="1"/>
  <c r="W1061" i="8" a="1"/>
  <c r="W1061" i="8" s="1"/>
  <c r="W972" i="8" a="1"/>
  <c r="W972" i="8" s="1"/>
  <c r="W918" i="8" a="1"/>
  <c r="W918" i="8" s="1"/>
  <c r="W837" i="8" a="1"/>
  <c r="W837" i="8" s="1"/>
  <c r="W833" i="8" a="1"/>
  <c r="W833" i="8" s="1"/>
  <c r="W701" i="8" a="1"/>
  <c r="W701" i="8" s="1"/>
  <c r="W662" i="8" a="1"/>
  <c r="W662" i="8" s="1"/>
  <c r="W686" i="8" a="1"/>
  <c r="W686" i="8" s="1"/>
  <c r="W531" i="8" a="1"/>
  <c r="W531" i="8" s="1"/>
  <c r="W464" i="8" a="1"/>
  <c r="W464" i="8" s="1"/>
  <c r="W391" i="8" a="1"/>
  <c r="W391" i="8" s="1"/>
  <c r="W284" i="8" a="1"/>
  <c r="W284" i="8" s="1"/>
  <c r="W323" i="8" a="1"/>
  <c r="W323" i="8" s="1"/>
  <c r="W273" i="8" a="1"/>
  <c r="W273" i="8" s="1"/>
  <c r="W213" i="8" a="1"/>
  <c r="W213" i="8" s="1"/>
  <c r="W1060" i="8" a="1"/>
  <c r="W1060" i="8" s="1"/>
  <c r="W979" i="8" a="1"/>
  <c r="W979" i="8" s="1"/>
  <c r="W925" i="8" a="1"/>
  <c r="W925" i="8" s="1"/>
  <c r="W861" i="8" a="1"/>
  <c r="W861" i="8" s="1"/>
  <c r="W777" i="8" a="1"/>
  <c r="W777" i="8" s="1"/>
  <c r="W703" i="8" a="1"/>
  <c r="W703" i="8" s="1"/>
  <c r="W605" i="8" a="1"/>
  <c r="W605" i="8" s="1"/>
  <c r="W625" i="8" a="1"/>
  <c r="W625" i="8" s="1"/>
  <c r="W570" i="8" a="1"/>
  <c r="W570" i="8" s="1"/>
  <c r="W476" i="8" a="1"/>
  <c r="W476" i="8" s="1"/>
  <c r="W410" i="8" a="1"/>
  <c r="W410" i="8" s="1"/>
  <c r="W360" i="8" a="1"/>
  <c r="W360" i="8" s="1"/>
  <c r="W222" i="8" a="1"/>
  <c r="W222" i="8" s="1"/>
  <c r="W204" i="8" a="1"/>
  <c r="W204" i="8" s="1"/>
  <c r="W144" i="8" a="1"/>
  <c r="W144" i="8" s="1"/>
  <c r="W1069" i="8" a="1"/>
  <c r="W1069" i="8" s="1"/>
  <c r="W984" i="8" a="1"/>
  <c r="W984" i="8" s="1"/>
  <c r="W949" i="8" a="1"/>
  <c r="W949" i="8" s="1"/>
  <c r="W866" i="8" a="1"/>
  <c r="W866" i="8" s="1"/>
  <c r="W822" i="8" a="1"/>
  <c r="W822" i="8" s="1"/>
  <c r="W771" i="8" a="1"/>
  <c r="W771" i="8" s="1"/>
  <c r="W648" i="8" a="1"/>
  <c r="W648" i="8" s="1"/>
  <c r="W672" i="8" a="1"/>
  <c r="W672" i="8" s="1"/>
  <c r="W558" i="8" a="1"/>
  <c r="W558" i="8" s="1"/>
  <c r="W449" i="8" a="1"/>
  <c r="W449" i="8" s="1"/>
  <c r="W420" i="8" a="1"/>
  <c r="W420" i="8" s="1"/>
  <c r="W276" i="8" a="1"/>
  <c r="W276" i="8" s="1"/>
  <c r="W285" i="8" a="1"/>
  <c r="W285" i="8" s="1"/>
  <c r="W258" i="8" a="1"/>
  <c r="W258" i="8" s="1"/>
  <c r="W198" i="8" a="1"/>
  <c r="W198" i="8" s="1"/>
  <c r="W1039" i="8" a="1"/>
  <c r="W1039" i="8" s="1"/>
  <c r="W995" i="8" a="1"/>
  <c r="W995" i="8" s="1"/>
  <c r="W902" i="8" a="1"/>
  <c r="W902" i="8" s="1"/>
  <c r="W870" i="8" a="1"/>
  <c r="W870" i="8" s="1"/>
  <c r="W779" i="8" a="1"/>
  <c r="W779" i="8" s="1"/>
  <c r="W741" i="8" a="1"/>
  <c r="W741" i="8" s="1"/>
  <c r="W604" i="8" a="1"/>
  <c r="W604" i="8" s="1"/>
  <c r="W587" i="8" a="1"/>
  <c r="W587" i="8" s="1"/>
  <c r="W535" i="8" a="1"/>
  <c r="W535" i="8" s="1"/>
  <c r="W495" i="8" a="1"/>
  <c r="W495" i="8" s="1"/>
  <c r="W407" i="8" a="1"/>
  <c r="W407" i="8" s="1"/>
  <c r="W377" i="8" a="1"/>
  <c r="W377" i="8" s="1"/>
  <c r="W141" i="8" a="1"/>
  <c r="W141" i="8" s="1"/>
  <c r="W279" i="8" a="1"/>
  <c r="W279" i="8" s="1"/>
  <c r="W225" i="8" a="1"/>
  <c r="W225" i="8" s="1"/>
  <c r="W1056" i="8" a="1"/>
  <c r="W1056" i="8" s="1"/>
  <c r="W1008" i="8" a="1"/>
  <c r="W1008" i="8" s="1"/>
  <c r="W947" i="8" a="1"/>
  <c r="W947" i="8" s="1"/>
  <c r="W869" i="8" a="1"/>
  <c r="W869" i="8" s="1"/>
  <c r="W814" i="8" a="1"/>
  <c r="W814" i="8" s="1"/>
  <c r="W733" i="8" a="1"/>
  <c r="W733" i="8" s="1"/>
  <c r="W608" i="8" a="1"/>
  <c r="W608" i="8" s="1"/>
  <c r="W639" i="8" a="1"/>
  <c r="W639" i="8" s="1"/>
  <c r="W563" i="8" a="1"/>
  <c r="W563" i="8" s="1"/>
  <c r="W496" i="8" a="1"/>
  <c r="W496" i="8" s="1"/>
  <c r="W423" i="8" a="1"/>
  <c r="W423" i="8" s="1"/>
  <c r="W320" i="8" a="1"/>
  <c r="W320" i="8" s="1"/>
  <c r="W350" i="8" a="1"/>
  <c r="W350" i="8" s="1"/>
  <c r="W307" i="8" a="1"/>
  <c r="W307" i="8" s="1"/>
  <c r="W245" i="8" a="1"/>
  <c r="W245" i="8" s="1"/>
  <c r="W6" i="8" a="1"/>
  <c r="W6" i="8" s="1"/>
  <c r="W54" i="8" a="1"/>
  <c r="W54" i="8" s="1"/>
  <c r="W119" i="8" a="1"/>
  <c r="W119" i="8" s="1"/>
  <c r="W103" i="8" a="1"/>
  <c r="W103" i="8" s="1"/>
  <c r="W68" i="8" a="1"/>
  <c r="W68" i="8" s="1"/>
  <c r="W50" i="8" a="1"/>
  <c r="W50" i="8" s="1"/>
  <c r="W106" i="8" a="1"/>
  <c r="W106" i="8" s="1"/>
  <c r="W73" i="8" a="1"/>
  <c r="W73" i="8" s="1"/>
  <c r="W28" i="8" a="1"/>
  <c r="W28" i="8" s="1"/>
  <c r="W31" i="8" a="1"/>
  <c r="W31" i="8" s="1"/>
  <c r="W94" i="8" a="1"/>
  <c r="W94" i="8" s="1"/>
  <c r="W61" i="8" a="1"/>
  <c r="W61" i="8" s="1"/>
  <c r="W108" i="8" a="1"/>
  <c r="W108" i="8" s="1"/>
  <c r="W100" i="8" a="1"/>
  <c r="W100" i="8" s="1"/>
  <c r="W1070" i="8" a="1"/>
  <c r="W1070" i="8" s="1"/>
  <c r="W1016" i="8" a="1"/>
  <c r="W1016" i="8" s="1"/>
  <c r="W931" i="8" a="1"/>
  <c r="W931" i="8" s="1"/>
  <c r="W876" i="8" a="1"/>
  <c r="W876" i="8" s="1"/>
  <c r="W818" i="8" a="1"/>
  <c r="W818" i="8" s="1"/>
  <c r="W693" i="8" a="1"/>
  <c r="W693" i="8" s="1"/>
  <c r="W676" i="8" a="1"/>
  <c r="W676" i="8" s="1"/>
  <c r="W613" i="8" a="1"/>
  <c r="W613" i="8" s="1"/>
  <c r="W549" i="8" a="1"/>
  <c r="W549" i="8" s="1"/>
  <c r="W452" i="8" a="1"/>
  <c r="W452" i="8" s="1"/>
  <c r="W411" i="8" a="1"/>
  <c r="W411" i="8" s="1"/>
  <c r="W319" i="8" a="1"/>
  <c r="W319" i="8" s="1"/>
  <c r="W378" i="8" a="1"/>
  <c r="W378" i="8" s="1"/>
  <c r="W192" i="8" a="1"/>
  <c r="W192" i="8" s="1"/>
  <c r="W147" i="8" a="1"/>
  <c r="W147" i="8" s="1"/>
  <c r="W1059" i="8" a="1"/>
  <c r="W1059" i="8" s="1"/>
  <c r="W987" i="8" a="1"/>
  <c r="W987" i="8" s="1"/>
  <c r="W933" i="8" a="1"/>
  <c r="W933" i="8" s="1"/>
  <c r="W854" i="8" a="1"/>
  <c r="W854" i="8" s="1"/>
  <c r="W809" i="8" a="1"/>
  <c r="W809" i="8" s="1"/>
  <c r="W716" i="8" a="1"/>
  <c r="W716" i="8" s="1"/>
  <c r="W680" i="8" a="1"/>
  <c r="W680" i="8" s="1"/>
  <c r="W628" i="8" a="1"/>
  <c r="W628" i="8" s="1"/>
  <c r="W546" i="8" a="1"/>
  <c r="W546" i="8" s="1"/>
  <c r="W481" i="8" a="1"/>
  <c r="W481" i="8" s="1"/>
  <c r="W408" i="8" a="1"/>
  <c r="W408" i="8" s="1"/>
  <c r="W301" i="8" a="1"/>
  <c r="W301" i="8" s="1"/>
  <c r="W339" i="8" a="1"/>
  <c r="W339" i="8" s="1"/>
  <c r="W300" i="8" a="1"/>
  <c r="W300" i="8" s="1"/>
  <c r="W230" i="8" a="1"/>
  <c r="W230" i="8" s="1"/>
  <c r="W1049" i="8" a="1"/>
  <c r="W1049" i="8" s="1"/>
  <c r="W1001" i="8" a="1"/>
  <c r="W1001" i="8" s="1"/>
  <c r="W944" i="8" a="1"/>
  <c r="W944" i="8" s="1"/>
  <c r="W827" i="8" a="1"/>
  <c r="W827" i="8" s="1"/>
  <c r="W765" i="8" a="1"/>
  <c r="W765" i="8" s="1"/>
  <c r="W718" i="8" a="1"/>
  <c r="W718" i="8" s="1"/>
  <c r="W607" i="8" a="1"/>
  <c r="W607" i="8" s="1"/>
  <c r="W627" i="8" a="1"/>
  <c r="W627" i="8" s="1"/>
  <c r="W576" i="8" a="1"/>
  <c r="W576" i="8" s="1"/>
  <c r="W493" i="8" a="1"/>
  <c r="W493" i="8" s="1"/>
  <c r="W439" i="8" a="1"/>
  <c r="W439" i="8" s="1"/>
  <c r="W368" i="8" a="1"/>
  <c r="W368" i="8" s="1"/>
  <c r="W237" i="8" a="1"/>
  <c r="W237" i="8" s="1"/>
  <c r="W219" i="8" a="1"/>
  <c r="W219" i="8" s="1"/>
  <c r="W159" i="8" a="1"/>
  <c r="W159" i="8" s="1"/>
  <c r="W1068" i="8" a="1"/>
  <c r="W1068" i="8" s="1"/>
  <c r="W989" i="8" a="1"/>
  <c r="W989" i="8" s="1"/>
  <c r="W935" i="8" a="1"/>
  <c r="W935" i="8" s="1"/>
  <c r="W871" i="8" a="1"/>
  <c r="W871" i="8" s="1"/>
  <c r="W789" i="8" a="1"/>
  <c r="W789" i="8" s="1"/>
  <c r="W713" i="8" a="1"/>
  <c r="W713" i="8" s="1"/>
  <c r="W606" i="8" a="1"/>
  <c r="W606" i="8" s="1"/>
  <c r="W626" i="8" a="1"/>
  <c r="W626" i="8" s="1"/>
  <c r="W574" i="8" a="1"/>
  <c r="W574" i="8" s="1"/>
  <c r="W483" i="8" a="1"/>
  <c r="W483" i="8" s="1"/>
  <c r="W415" i="8" a="1"/>
  <c r="W415" i="8" s="1"/>
  <c r="W364" i="8" a="1"/>
  <c r="W364" i="8" s="1"/>
  <c r="W232" i="8" a="1"/>
  <c r="W232" i="8" s="1"/>
  <c r="W209" i="8" a="1"/>
  <c r="W209" i="8" s="1"/>
  <c r="W149" i="8" a="1"/>
  <c r="W149" i="8" s="1"/>
  <c r="W1027" i="8" a="1"/>
  <c r="W1027" i="8" s="1"/>
  <c r="W976" i="8" a="1"/>
  <c r="W976" i="8" s="1"/>
  <c r="W917" i="8" a="1"/>
  <c r="W917" i="8" s="1"/>
  <c r="W841" i="8" a="1"/>
  <c r="W841" i="8" s="1"/>
  <c r="W795" i="8" a="1"/>
  <c r="W795" i="8" s="1"/>
  <c r="W762" i="8" a="1"/>
  <c r="W762" i="8" s="1"/>
  <c r="W634" i="8" a="1"/>
  <c r="W634" i="8" s="1"/>
  <c r="W597" i="8" a="1"/>
  <c r="W597" i="8" s="1"/>
  <c r="W550" i="8" a="1"/>
  <c r="W550" i="8" s="1"/>
  <c r="W508" i="8" a="1"/>
  <c r="W508" i="8" s="1"/>
  <c r="W390" i="8" a="1"/>
  <c r="W390" i="8" s="1"/>
  <c r="W385" i="8" a="1"/>
  <c r="W385" i="8" s="1"/>
  <c r="W158" i="8" a="1"/>
  <c r="W158" i="8" s="1"/>
  <c r="W291" i="8" a="1"/>
  <c r="W291" i="8" s="1"/>
  <c r="W242" i="8" a="1"/>
  <c r="W242" i="8" s="1"/>
  <c r="W1050" i="8" a="1"/>
  <c r="W1050" i="8" s="1"/>
  <c r="W974" i="8" a="1"/>
  <c r="W974" i="8" s="1"/>
  <c r="W937" i="8" a="1"/>
  <c r="W937" i="8" s="1"/>
  <c r="W856" i="8" a="1"/>
  <c r="W856" i="8" s="1"/>
  <c r="W772" i="8" a="1"/>
  <c r="W772" i="8" s="1"/>
  <c r="W696" i="8" a="1"/>
  <c r="W696" i="8" s="1"/>
  <c r="W687" i="8" a="1"/>
  <c r="W687" i="8" s="1"/>
  <c r="W600" i="8" a="1"/>
  <c r="W600" i="8" s="1"/>
  <c r="W565" i="8" a="1"/>
  <c r="W565" i="8" s="1"/>
  <c r="W466" i="8" a="1"/>
  <c r="W466" i="8" s="1"/>
  <c r="W400" i="8" a="1"/>
  <c r="W400" i="8" s="1"/>
  <c r="W356" i="8" a="1"/>
  <c r="W356" i="8" s="1"/>
  <c r="W215" i="8" a="1"/>
  <c r="W215" i="8" s="1"/>
  <c r="W194" i="8" a="1"/>
  <c r="W194" i="8" s="1"/>
  <c r="W134" i="8" a="1"/>
  <c r="W134" i="8" s="1"/>
  <c r="W1046" i="8" a="1"/>
  <c r="W1046" i="8" s="1"/>
  <c r="W983" i="8" a="1"/>
  <c r="W983" i="8" s="1"/>
  <c r="W900" i="8" a="1"/>
  <c r="W900" i="8" s="1"/>
  <c r="W862" i="8" a="1"/>
  <c r="W862" i="8" s="1"/>
  <c r="W790" i="8" a="1"/>
  <c r="W790" i="8" s="1"/>
  <c r="W740" i="8" a="1"/>
  <c r="W740" i="8" s="1"/>
  <c r="W619" i="8" a="1"/>
  <c r="W619" i="8" s="1"/>
  <c r="W583" i="8" a="1"/>
  <c r="W583" i="8" s="1"/>
  <c r="W460" i="8" a="1"/>
  <c r="W460" i="8" s="1"/>
  <c r="W431" i="8" a="1"/>
  <c r="W431" i="8" s="1"/>
  <c r="W387" i="8" a="1"/>
  <c r="W387" i="8" s="1"/>
  <c r="W348" i="8" a="1"/>
  <c r="W348" i="8" s="1"/>
  <c r="W227" i="8" a="1"/>
  <c r="W227" i="8" s="1"/>
  <c r="W221" i="8" a="1"/>
  <c r="W221" i="8" s="1"/>
  <c r="W161" i="8" a="1"/>
  <c r="W161" i="8" s="1"/>
  <c r="W1058" i="8" a="1"/>
  <c r="W1058" i="8" s="1"/>
  <c r="W967" i="8" a="1"/>
  <c r="W967" i="8" s="1"/>
  <c r="W930" i="8" a="1"/>
  <c r="W930" i="8" s="1"/>
  <c r="W849" i="8" a="1"/>
  <c r="W849" i="8" s="1"/>
  <c r="W811" i="8" a="1"/>
  <c r="W811" i="8" s="1"/>
  <c r="W744" i="8" a="1"/>
  <c r="W744" i="8" s="1"/>
  <c r="W623" i="8" a="1"/>
  <c r="W623" i="8" s="1"/>
  <c r="W654" i="8" a="1"/>
  <c r="W654" i="8" s="1"/>
  <c r="W543" i="8" a="1"/>
  <c r="W543" i="8" s="1"/>
  <c r="W533" i="8" a="1"/>
  <c r="W533" i="8" s="1"/>
  <c r="W403" i="8" a="1"/>
  <c r="W403" i="8" s="1"/>
  <c r="W380" i="8" a="1"/>
  <c r="W380" i="8" s="1"/>
  <c r="W264" i="8" a="1"/>
  <c r="W264" i="8" s="1"/>
  <c r="W241" i="8" a="1"/>
  <c r="W241" i="8" s="1"/>
  <c r="W181" i="8" a="1"/>
  <c r="W181" i="8" s="1"/>
  <c r="W5" i="8" a="1"/>
  <c r="W5" i="8" s="1"/>
  <c r="W69" i="8" a="1"/>
  <c r="W69" i="8" s="1"/>
  <c r="W110" i="8" a="1"/>
  <c r="W110" i="8" s="1"/>
  <c r="W24" i="8" a="1"/>
  <c r="W24" i="8" s="1"/>
  <c r="W7" i="8" a="1"/>
  <c r="W7" i="8" s="1"/>
  <c r="W42" i="8" a="1"/>
  <c r="W42" i="8" s="1"/>
  <c r="W16" i="8" a="1"/>
  <c r="W16" i="8" s="1"/>
  <c r="W13" i="8" a="1"/>
  <c r="W13" i="8" s="1"/>
  <c r="W82" i="8" a="1"/>
  <c r="W82" i="8" s="1"/>
  <c r="W22" i="8" a="1"/>
  <c r="W22" i="8" s="1"/>
  <c r="W92" i="8" a="1"/>
  <c r="W92" i="8" s="1"/>
  <c r="W30" i="8" a="1"/>
  <c r="W30" i="8" s="1"/>
  <c r="W102" i="8" a="1"/>
  <c r="W102" i="8" s="1"/>
  <c r="W129" i="8" a="1"/>
  <c r="W129" i="8" s="1"/>
  <c r="W1067" i="8" a="1"/>
  <c r="W1067" i="8" s="1"/>
  <c r="W1004" i="8" a="1"/>
  <c r="W1004" i="8" s="1"/>
  <c r="W940" i="8" a="1"/>
  <c r="W940" i="8" s="1"/>
  <c r="W864" i="8" a="1"/>
  <c r="W864" i="8" s="1"/>
  <c r="W826" i="8" a="1"/>
  <c r="W826" i="8" s="1"/>
  <c r="W723" i="8" a="1"/>
  <c r="W723" i="8" s="1"/>
  <c r="W683" i="8" a="1"/>
  <c r="W683" i="8" s="1"/>
  <c r="W636" i="8" a="1"/>
  <c r="W636" i="8" s="1"/>
  <c r="W556" i="8" a="1"/>
  <c r="W556" i="8" s="1"/>
  <c r="W486" i="8" a="1"/>
  <c r="W486" i="8" s="1"/>
  <c r="W418" i="8" a="1"/>
  <c r="W418" i="8" s="1"/>
  <c r="W317" i="8" a="1"/>
  <c r="W317" i="8" s="1"/>
  <c r="W342" i="8" a="1"/>
  <c r="W342" i="8" s="1"/>
  <c r="W306" i="8" a="1"/>
  <c r="W306" i="8" s="1"/>
  <c r="W240" i="8" a="1"/>
  <c r="W240" i="8" s="1"/>
  <c r="W1051" i="8" a="1"/>
  <c r="W1051" i="8" s="1"/>
  <c r="W952" i="8" a="1"/>
  <c r="W952" i="8" s="1"/>
  <c r="W946" i="8" a="1"/>
  <c r="W946" i="8" s="1"/>
  <c r="W834" i="8" a="1"/>
  <c r="W834" i="8" s="1"/>
  <c r="W775" i="8" a="1"/>
  <c r="W775" i="8" s="1"/>
  <c r="W728" i="8" a="1"/>
  <c r="W728" i="8" s="1"/>
  <c r="W621" i="8" a="1"/>
  <c r="W621" i="8" s="1"/>
  <c r="W640" i="8" a="1"/>
  <c r="W640" i="8" s="1"/>
  <c r="W526" i="8" a="1"/>
  <c r="W526" i="8" s="1"/>
  <c r="W498" i="8" a="1"/>
  <c r="W498" i="8" s="1"/>
  <c r="W388" i="8" a="1"/>
  <c r="W388" i="8" s="1"/>
  <c r="W372" i="8" a="1"/>
  <c r="W372" i="8" s="1"/>
  <c r="W247" i="8" a="1"/>
  <c r="W247" i="8" s="1"/>
  <c r="W226" i="8" a="1"/>
  <c r="W226" i="8" s="1"/>
  <c r="W166" i="8" a="1"/>
  <c r="W166" i="8" s="1"/>
  <c r="W1042" i="8" a="1"/>
  <c r="W1042" i="8" s="1"/>
  <c r="W991" i="8" a="1"/>
  <c r="W991" i="8" s="1"/>
  <c r="W934" i="8" a="1"/>
  <c r="W934" i="8" s="1"/>
  <c r="W858" i="8" a="1"/>
  <c r="W858" i="8" s="1"/>
  <c r="W767" i="8" a="1"/>
  <c r="W767" i="8" s="1"/>
  <c r="W708" i="8" a="1"/>
  <c r="W708" i="8" s="1"/>
  <c r="W652" i="8" a="1"/>
  <c r="W652" i="8" s="1"/>
  <c r="W609" i="8" a="1"/>
  <c r="W609" i="8" s="1"/>
  <c r="W567" i="8" a="1"/>
  <c r="W567" i="8" s="1"/>
  <c r="W523" i="8" a="1"/>
  <c r="W523" i="8" s="1"/>
  <c r="W405" i="8" a="1"/>
  <c r="W405" i="8" s="1"/>
  <c r="W318" i="8" a="1"/>
  <c r="W318" i="8" s="1"/>
  <c r="W173" i="8" a="1"/>
  <c r="W173" i="8" s="1"/>
  <c r="W155" i="8" a="1"/>
  <c r="W155" i="8" s="1"/>
  <c r="W257" i="8" a="1"/>
  <c r="W257" i="8" s="1"/>
  <c r="W1032" i="8" a="1"/>
  <c r="W1032" i="8" s="1"/>
  <c r="W986" i="8" a="1"/>
  <c r="W986" i="8" s="1"/>
  <c r="W927" i="8" a="1"/>
  <c r="W927" i="8" s="1"/>
  <c r="W851" i="8" a="1"/>
  <c r="W851" i="8" s="1"/>
  <c r="W797" i="8" a="1"/>
  <c r="W797" i="8" s="1"/>
  <c r="W770" i="8" a="1"/>
  <c r="W770" i="8" s="1"/>
  <c r="W641" i="8" a="1"/>
  <c r="W641" i="8" s="1"/>
  <c r="W595" i="8" a="1"/>
  <c r="W595" i="8" s="1"/>
  <c r="W560" i="8" a="1"/>
  <c r="W560" i="8" s="1"/>
  <c r="W509" i="8" a="1"/>
  <c r="W509" i="8" s="1"/>
  <c r="W395" i="8" a="1"/>
  <c r="W395" i="8" s="1"/>
  <c r="W315" i="8" a="1"/>
  <c r="W315" i="8" s="1"/>
  <c r="W168" i="8" a="1"/>
  <c r="W168" i="8" s="1"/>
  <c r="W310" i="8" a="1"/>
  <c r="W310" i="8" s="1"/>
  <c r="W252" i="8" a="1"/>
  <c r="W252" i="8" s="1"/>
  <c r="W1054" i="8" a="1"/>
  <c r="W1054" i="8" s="1"/>
  <c r="W998" i="8" a="1"/>
  <c r="W998" i="8" s="1"/>
  <c r="W893" i="8" a="1"/>
  <c r="W893" i="8" s="1"/>
  <c r="W850" i="8" a="1"/>
  <c r="W850" i="8" s="1"/>
  <c r="W792" i="8" a="1"/>
  <c r="W792" i="8" s="1"/>
  <c r="W761" i="8" a="1"/>
  <c r="W761" i="8" s="1"/>
  <c r="W645" i="8" a="1"/>
  <c r="W645" i="8" s="1"/>
  <c r="W589" i="8" a="1"/>
  <c r="W589" i="8" s="1"/>
  <c r="W477" i="8" a="1"/>
  <c r="W477" i="8" s="1"/>
  <c r="W446" i="8" a="1"/>
  <c r="W446" i="8" s="1"/>
  <c r="W404" i="8" a="1"/>
  <c r="W404" i="8" s="1"/>
  <c r="W353" i="8" a="1"/>
  <c r="W353" i="8" s="1"/>
  <c r="W244" i="8" a="1"/>
  <c r="W244" i="8" s="1"/>
  <c r="W238" i="8" a="1"/>
  <c r="W238" i="8" s="1"/>
  <c r="W178" i="8" a="1"/>
  <c r="W178" i="8" s="1"/>
  <c r="W1048" i="8" a="1"/>
  <c r="W1048" i="8" s="1"/>
  <c r="W969" i="8" a="1"/>
  <c r="W969" i="8" s="1"/>
  <c r="W912" i="8" a="1"/>
  <c r="W912" i="8" s="1"/>
  <c r="W836" i="8" a="1"/>
  <c r="W836" i="8" s="1"/>
  <c r="W794" i="8" a="1"/>
  <c r="W794" i="8" s="1"/>
  <c r="W752" i="8" a="1"/>
  <c r="W752" i="8" s="1"/>
  <c r="W620" i="8" a="1"/>
  <c r="W620" i="8" s="1"/>
  <c r="W588" i="8" a="1"/>
  <c r="W588" i="8" s="1"/>
  <c r="W545" i="8" a="1"/>
  <c r="W545" i="8" s="1"/>
  <c r="W507" i="8" a="1"/>
  <c r="W507" i="8" s="1"/>
  <c r="W417" i="8" a="1"/>
  <c r="W417" i="8" s="1"/>
  <c r="W381" i="8" a="1"/>
  <c r="W381" i="8" s="1"/>
  <c r="W151" i="8" a="1"/>
  <c r="W151" i="8" s="1"/>
  <c r="W287" i="8" a="1"/>
  <c r="W287" i="8" s="1"/>
  <c r="W235" i="8" a="1"/>
  <c r="W235" i="8" s="1"/>
  <c r="W1012" i="8" a="1"/>
  <c r="W1012" i="8" s="1"/>
  <c r="W985" i="8" a="1"/>
  <c r="W985" i="8" s="1"/>
  <c r="W903" i="8" a="1"/>
  <c r="W903" i="8" s="1"/>
  <c r="W842" i="8" a="1"/>
  <c r="W842" i="8" s="1"/>
  <c r="W749" i="8" a="1"/>
  <c r="W749" i="8" s="1"/>
  <c r="W773" i="8" a="1"/>
  <c r="W773" i="8" s="1"/>
  <c r="W663" i="8" a="1"/>
  <c r="W663" i="8" s="1"/>
  <c r="W596" i="8" a="1"/>
  <c r="W596" i="8" s="1"/>
  <c r="W504" i="8" a="1"/>
  <c r="W504" i="8" s="1"/>
  <c r="W468" i="8" a="1"/>
  <c r="W468" i="8" s="1"/>
  <c r="W383" i="8" a="1"/>
  <c r="W383" i="8" s="1"/>
  <c r="W286" i="8" a="1"/>
  <c r="W286" i="8" s="1"/>
  <c r="W163" i="8" a="1"/>
  <c r="W163" i="8" s="1"/>
  <c r="W157" i="8" a="1"/>
  <c r="W157" i="8" s="1"/>
  <c r="W105" i="8" a="1"/>
  <c r="W105" i="8" s="1"/>
  <c r="W1030" i="8" a="1"/>
  <c r="W1030" i="8" s="1"/>
  <c r="W957" i="8" a="1"/>
  <c r="W957" i="8" s="1"/>
  <c r="W922" i="8" a="1"/>
  <c r="W922" i="8" s="1"/>
  <c r="W839" i="8" a="1"/>
  <c r="W839" i="8" s="1"/>
  <c r="W796" i="8" a="1"/>
  <c r="W796" i="8" s="1"/>
  <c r="W730" i="8" a="1"/>
  <c r="W730" i="8" s="1"/>
  <c r="W673" i="8" a="1"/>
  <c r="W673" i="8" s="1"/>
  <c r="W599" i="8" a="1"/>
  <c r="W599" i="8" s="1"/>
  <c r="W548" i="8" a="1"/>
  <c r="W548" i="8" s="1"/>
  <c r="W451" i="8" a="1"/>
  <c r="W451" i="8" s="1"/>
  <c r="W436" i="8" a="1"/>
  <c r="W436" i="8" s="1"/>
  <c r="W347" i="8" a="1"/>
  <c r="W347" i="8" s="1"/>
  <c r="W200" i="8" a="1"/>
  <c r="W200" i="8" s="1"/>
  <c r="W177" i="8" a="1"/>
  <c r="W177" i="8" s="1"/>
  <c r="W296" i="8" a="1"/>
  <c r="W296" i="8" s="1"/>
  <c r="W40" i="8" a="1"/>
  <c r="W40" i="8" s="1"/>
  <c r="W77" i="8" a="1"/>
  <c r="W77" i="8" s="1"/>
  <c r="W78" i="8" a="1"/>
  <c r="W78" i="8" s="1"/>
  <c r="W86" i="8" a="1"/>
  <c r="W86" i="8" s="1"/>
  <c r="W12" i="8" a="1"/>
  <c r="W12" i="8" s="1"/>
  <c r="W49" i="8" a="1"/>
  <c r="W49" i="8" s="1"/>
  <c r="W35" i="8" a="1"/>
  <c r="W35" i="8" s="1"/>
  <c r="W14" i="8" a="1"/>
  <c r="W14" i="8" s="1"/>
  <c r="W91" i="8" a="1"/>
  <c r="W91" i="8" s="1"/>
  <c r="W37" i="8" a="1"/>
  <c r="W37" i="8" s="1"/>
  <c r="W11" i="8" a="1"/>
  <c r="W11" i="8" s="1"/>
  <c r="W4" i="8" a="1"/>
  <c r="W4" i="8" s="1"/>
  <c r="W48" i="8" a="1"/>
  <c r="W48" i="8" s="1"/>
  <c r="W56" i="8" a="1"/>
  <c r="W56" i="8" s="1"/>
  <c r="W1063" i="8" a="1"/>
  <c r="W1063" i="8" s="1"/>
  <c r="W962" i="8" a="1"/>
  <c r="W962" i="8" s="1"/>
  <c r="W923" i="8" a="1"/>
  <c r="W923" i="8" s="1"/>
  <c r="W844" i="8" a="1"/>
  <c r="W844" i="8" s="1"/>
  <c r="W782" i="8" a="1"/>
  <c r="W782" i="8" s="1"/>
  <c r="W743" i="8" a="1"/>
  <c r="W743" i="8" s="1"/>
  <c r="W622" i="8" a="1"/>
  <c r="W622" i="8" s="1"/>
  <c r="W643" i="8" a="1"/>
  <c r="W643" i="8" s="1"/>
  <c r="W536" i="8" a="1"/>
  <c r="W536" i="8" s="1"/>
  <c r="W510" i="8" a="1"/>
  <c r="W510" i="8" s="1"/>
  <c r="W398" i="8" a="1"/>
  <c r="W398" i="8" s="1"/>
  <c r="W376" i="8" a="1"/>
  <c r="W376" i="8" s="1"/>
  <c r="W254" i="8" a="1"/>
  <c r="W254" i="8" s="1"/>
  <c r="W236" i="8" a="1"/>
  <c r="W236" i="8" s="1"/>
  <c r="W176" i="8" a="1"/>
  <c r="W176" i="8" s="1"/>
  <c r="W1044" i="8" a="1"/>
  <c r="W1044" i="8" s="1"/>
  <c r="W994" i="8" a="1"/>
  <c r="W994" i="8" s="1"/>
  <c r="W939" i="8" a="1"/>
  <c r="W939" i="8" s="1"/>
  <c r="W868" i="8" a="1"/>
  <c r="W868" i="8" s="1"/>
  <c r="W774" i="8" a="1"/>
  <c r="W774" i="8" s="1"/>
  <c r="W715" i="8" a="1"/>
  <c r="W715" i="8" s="1"/>
  <c r="W655" i="8" a="1"/>
  <c r="W655" i="8" s="1"/>
  <c r="W591" i="8" a="1"/>
  <c r="W591" i="8" s="1"/>
  <c r="W571" i="8" a="1"/>
  <c r="W571" i="8" s="1"/>
  <c r="W524" i="8" a="1"/>
  <c r="W524" i="8" s="1"/>
  <c r="W412" i="8" a="1"/>
  <c r="W412" i="8" s="1"/>
  <c r="W331" i="8" a="1"/>
  <c r="W331" i="8" s="1"/>
  <c r="W183" i="8" a="1"/>
  <c r="W183" i="8" s="1"/>
  <c r="W162" i="8" a="1"/>
  <c r="W162" i="8" s="1"/>
  <c r="W267" i="8" a="1"/>
  <c r="W267" i="8" s="1"/>
  <c r="W1047" i="8" a="1"/>
  <c r="W1047" i="8" s="1"/>
  <c r="W966" i="8" a="1"/>
  <c r="W966" i="8" s="1"/>
  <c r="W924" i="8" a="1"/>
  <c r="W924" i="8" s="1"/>
  <c r="W865" i="8" a="1"/>
  <c r="W865" i="8" s="1"/>
  <c r="W781" i="8" a="1"/>
  <c r="W781" i="8" s="1"/>
  <c r="W705" i="8" a="1"/>
  <c r="W705" i="8" s="1"/>
  <c r="W659" i="8" a="1"/>
  <c r="W659" i="8" s="1"/>
  <c r="W594" i="8" a="1"/>
  <c r="W594" i="8" s="1"/>
  <c r="W492" i="8" a="1"/>
  <c r="W492" i="8" s="1"/>
  <c r="W463" i="8" a="1"/>
  <c r="W463" i="8" s="1"/>
  <c r="W419" i="8" a="1"/>
  <c r="W419" i="8" s="1"/>
  <c r="W361" i="8" a="1"/>
  <c r="W361" i="8" s="1"/>
  <c r="W259" i="8" a="1"/>
  <c r="W259" i="8" s="1"/>
  <c r="W253" i="8" a="1"/>
  <c r="W253" i="8" s="1"/>
  <c r="W193" i="8" a="1"/>
  <c r="W193" i="8" s="1"/>
  <c r="W1055" i="8" a="1"/>
  <c r="W1055" i="8" s="1"/>
  <c r="W999" i="8" a="1"/>
  <c r="W999" i="8" s="1"/>
  <c r="W910" i="8" a="1"/>
  <c r="W910" i="8" s="1"/>
  <c r="W860" i="8" a="1"/>
  <c r="W860" i="8" s="1"/>
  <c r="W776" i="8" a="1"/>
  <c r="W776" i="8" s="1"/>
  <c r="W695" i="8" a="1"/>
  <c r="W695" i="8" s="1"/>
  <c r="W656" i="8" a="1"/>
  <c r="W656" i="8" s="1"/>
  <c r="W592" i="8" a="1"/>
  <c r="W592" i="8" s="1"/>
  <c r="W482" i="8" a="1"/>
  <c r="W482" i="8" s="1"/>
  <c r="W456" i="8" a="1"/>
  <c r="W456" i="8" s="1"/>
  <c r="W414" i="8" a="1"/>
  <c r="W414" i="8" s="1"/>
  <c r="W357" i="8" a="1"/>
  <c r="W357" i="8" s="1"/>
  <c r="W249" i="8" a="1"/>
  <c r="W249" i="8" s="1"/>
  <c r="W248" i="8" a="1"/>
  <c r="W248" i="8" s="1"/>
  <c r="W188" i="8" a="1"/>
  <c r="W188" i="8" s="1"/>
  <c r="W1026" i="8" a="1"/>
  <c r="W1026" i="8" s="1"/>
  <c r="W958" i="8" a="1"/>
  <c r="W958" i="8" s="1"/>
  <c r="W885" i="8" a="1"/>
  <c r="W885" i="8" s="1"/>
  <c r="W857" i="8" a="1"/>
  <c r="W857" i="8" s="1"/>
  <c r="W763" i="8" a="1"/>
  <c r="W763" i="8" s="1"/>
  <c r="W707" i="8" a="1"/>
  <c r="W707" i="8" s="1"/>
  <c r="W681" i="8" a="1"/>
  <c r="W681" i="8" s="1"/>
  <c r="W572" i="8" a="1"/>
  <c r="W572" i="8" s="1"/>
  <c r="W516" i="8" a="1"/>
  <c r="W516" i="8" s="1"/>
  <c r="W485" i="8" a="1"/>
  <c r="W485" i="8" s="1"/>
  <c r="W399" i="8" a="1"/>
  <c r="W399" i="8" s="1"/>
  <c r="W303" i="8" a="1"/>
  <c r="W303" i="8" s="1"/>
  <c r="W180" i="8" a="1"/>
  <c r="W180" i="8" s="1"/>
  <c r="W174" i="8" a="1"/>
  <c r="W174" i="8" s="1"/>
  <c r="W112" i="8" a="1"/>
  <c r="W112" i="8" s="1"/>
  <c r="W1053" i="8" a="1"/>
  <c r="W1053" i="8" s="1"/>
  <c r="W993" i="8" a="1"/>
  <c r="W993" i="8" s="1"/>
  <c r="W907" i="8" a="1"/>
  <c r="W907" i="8" s="1"/>
  <c r="W843" i="8" a="1"/>
  <c r="W843" i="8" s="1"/>
  <c r="W807" i="8" a="1"/>
  <c r="W807" i="8" s="1"/>
  <c r="W751" i="8" a="1"/>
  <c r="W751" i="8" s="1"/>
  <c r="W638" i="8" a="1"/>
  <c r="W638" i="8" s="1"/>
  <c r="W584" i="8" a="1"/>
  <c r="W584" i="8" s="1"/>
  <c r="W467" i="8" a="1"/>
  <c r="W467" i="8" s="1"/>
  <c r="W441" i="8" a="1"/>
  <c r="W441" i="8" s="1"/>
  <c r="W397" i="8" a="1"/>
  <c r="W397" i="8" s="1"/>
  <c r="W349" i="8" a="1"/>
  <c r="W349" i="8" s="1"/>
  <c r="W234" i="8" a="1"/>
  <c r="W234" i="8" s="1"/>
  <c r="W231" i="8" a="1"/>
  <c r="W231" i="8" s="1"/>
  <c r="W171" i="8" a="1"/>
  <c r="W171" i="8" s="1"/>
  <c r="W1021" i="8" a="1"/>
  <c r="W1021" i="8" s="1"/>
  <c r="W956" i="8" a="1"/>
  <c r="W956" i="8" s="1"/>
  <c r="W888" i="8" a="1"/>
  <c r="W888" i="8" s="1"/>
  <c r="W798" i="8" a="1"/>
  <c r="W798" i="8" s="1"/>
  <c r="W768" i="8" a="1"/>
  <c r="W768" i="8" s="1"/>
  <c r="W712" i="8" a="1"/>
  <c r="W712" i="8" s="1"/>
  <c r="W664" i="8" a="1"/>
  <c r="W664" i="8" s="1"/>
  <c r="W530" i="8" a="1"/>
  <c r="W530" i="8" s="1"/>
  <c r="W440" i="8" a="1"/>
  <c r="W440" i="8" s="1"/>
  <c r="W497" i="8" a="1"/>
  <c r="W497" i="8" s="1"/>
  <c r="W351" i="8" a="1"/>
  <c r="W351" i="8" s="1"/>
  <c r="W298" i="8" a="1"/>
  <c r="W298" i="8" s="1"/>
  <c r="W271" i="8" a="1"/>
  <c r="W271" i="8" s="1"/>
  <c r="W228" i="8" a="1"/>
  <c r="W228" i="8" s="1"/>
  <c r="W115" i="8" a="1"/>
  <c r="W115" i="8" s="1"/>
  <c r="W1029" i="8" a="1"/>
  <c r="W1029" i="8" s="1"/>
  <c r="W988" i="8" a="1"/>
  <c r="W988" i="8" s="1"/>
  <c r="W953" i="8" a="1"/>
  <c r="W953" i="8" s="1"/>
  <c r="W863" i="8" a="1"/>
  <c r="W863" i="8" s="1"/>
  <c r="W799" i="8" a="1"/>
  <c r="W799" i="8" s="1"/>
  <c r="W727" i="8" a="1"/>
  <c r="W727" i="8" s="1"/>
  <c r="W688" i="8" a="1"/>
  <c r="W688" i="8" s="1"/>
  <c r="W586" i="8" a="1"/>
  <c r="W586" i="8" s="1"/>
  <c r="W527" i="8" a="1"/>
  <c r="W527" i="8" s="1"/>
  <c r="W488" i="8" a="1"/>
  <c r="W488" i="8" s="1"/>
  <c r="W402" i="8" a="1"/>
  <c r="W402" i="8" s="1"/>
  <c r="W373" i="8" a="1"/>
  <c r="W373" i="8" s="1"/>
  <c r="W136" i="8" a="1"/>
  <c r="W136" i="8" s="1"/>
  <c r="W277" i="8" a="1"/>
  <c r="W277" i="8" s="1"/>
  <c r="W220" i="8" a="1"/>
  <c r="W220" i="8" s="1"/>
  <c r="W90" i="8" a="1"/>
  <c r="W90" i="8" s="1"/>
  <c r="W9" i="8" a="1"/>
  <c r="W9" i="8" s="1"/>
  <c r="W62" i="8" a="1"/>
  <c r="W62" i="8" s="1"/>
  <c r="W27" i="8" a="1"/>
  <c r="W27" i="8" s="1"/>
  <c r="W55" i="8" a="1"/>
  <c r="W55" i="8" s="1"/>
  <c r="W57" i="8" a="1"/>
  <c r="W57" i="8" s="1"/>
  <c r="W43" i="8" a="1"/>
  <c r="W43" i="8" s="1"/>
  <c r="W17" i="8" a="1"/>
  <c r="W17" i="8" s="1"/>
  <c r="W10" i="8" a="1"/>
  <c r="W10" i="8" s="1"/>
  <c r="W45" i="8" a="1"/>
  <c r="W45" i="8" s="1"/>
  <c r="W20" i="8" a="1"/>
  <c r="W20" i="8" s="1"/>
  <c r="W87" i="8" a="1"/>
  <c r="W87" i="8" s="1"/>
  <c r="W71" i="8" a="1"/>
  <c r="W71" i="8" s="1"/>
  <c r="W67" i="8" a="1"/>
  <c r="W67" i="8" s="1"/>
  <c r="W1025" i="8" a="1"/>
  <c r="W1025" i="8" s="1"/>
  <c r="W997" i="8" a="1"/>
  <c r="W997" i="8" s="1"/>
  <c r="W948" i="8" a="1"/>
  <c r="W948" i="8" s="1"/>
  <c r="W878" i="8" a="1"/>
  <c r="W878" i="8" s="1"/>
  <c r="W784" i="8" a="1"/>
  <c r="W784" i="8" s="1"/>
  <c r="W725" i="8" a="1"/>
  <c r="W725" i="8" s="1"/>
  <c r="W666" i="8" a="1"/>
  <c r="W666" i="8" s="1"/>
  <c r="W598" i="8" a="1"/>
  <c r="W598" i="8" s="1"/>
  <c r="W538" i="8" a="1"/>
  <c r="W538" i="8" s="1"/>
  <c r="W525" i="8" a="1"/>
  <c r="W525" i="8" s="1"/>
  <c r="W422" i="8" a="1"/>
  <c r="W422" i="8" s="1"/>
  <c r="W334" i="8" a="1"/>
  <c r="W334" i="8" s="1"/>
  <c r="W190" i="8" a="1"/>
  <c r="W190" i="8" s="1"/>
  <c r="W172" i="8" a="1"/>
  <c r="W172" i="8" s="1"/>
  <c r="W274" i="8" a="1"/>
  <c r="W274" i="8" s="1"/>
  <c r="W1034" i="8" a="1"/>
  <c r="W1034" i="8" s="1"/>
  <c r="W971" i="8" a="1"/>
  <c r="W971" i="8" s="1"/>
  <c r="W929" i="8" a="1"/>
  <c r="W929" i="8" s="1"/>
  <c r="W848" i="8" a="1"/>
  <c r="W848" i="8" s="1"/>
  <c r="W786" i="8" a="1"/>
  <c r="W786" i="8" s="1"/>
  <c r="W710" i="8" a="1"/>
  <c r="W710" i="8" s="1"/>
  <c r="W670" i="8" a="1"/>
  <c r="W670" i="8" s="1"/>
  <c r="W610" i="8" a="1"/>
  <c r="W610" i="8" s="1"/>
  <c r="W499" i="8" a="1"/>
  <c r="W499" i="8" s="1"/>
  <c r="W473" i="8" a="1"/>
  <c r="W473" i="8" s="1"/>
  <c r="W429" i="8" a="1"/>
  <c r="W429" i="8" s="1"/>
  <c r="W365" i="8" a="1"/>
  <c r="W365" i="8" s="1"/>
  <c r="W266" i="8" a="1"/>
  <c r="W266" i="8" s="1"/>
  <c r="W263" i="8" a="1"/>
  <c r="W263" i="8" s="1"/>
  <c r="W203" i="8" a="1"/>
  <c r="W203" i="8" s="1"/>
  <c r="W1040" i="8" a="1"/>
  <c r="W1040" i="8" s="1"/>
  <c r="W973" i="8" a="1"/>
  <c r="W973" i="8" s="1"/>
  <c r="W901" i="8" a="1"/>
  <c r="W901" i="8" s="1"/>
  <c r="W873" i="8" a="1"/>
  <c r="W873" i="8" s="1"/>
  <c r="W791" i="8" a="1"/>
  <c r="W791" i="8" s="1"/>
  <c r="W722" i="8" a="1"/>
  <c r="W722" i="8" s="1"/>
  <c r="W602" i="8" a="1"/>
  <c r="W602" i="8" s="1"/>
  <c r="W590" i="8" a="1"/>
  <c r="W590" i="8" s="1"/>
  <c r="W428" i="8" a="1"/>
  <c r="W428" i="8" s="1"/>
  <c r="W500" i="8" a="1"/>
  <c r="W500" i="8" s="1"/>
  <c r="W416" i="8" a="1"/>
  <c r="W416" i="8" s="1"/>
  <c r="W316" i="8" a="1"/>
  <c r="W316" i="8" s="1"/>
  <c r="W195" i="8" a="1"/>
  <c r="W195" i="8" s="1"/>
  <c r="W189" i="8" a="1"/>
  <c r="W189" i="8" s="1"/>
  <c r="W120" i="8" a="1"/>
  <c r="W120" i="8" s="1"/>
  <c r="W1023" i="8" a="1"/>
  <c r="W1023" i="8" s="1"/>
  <c r="W963" i="8" a="1"/>
  <c r="W963" i="8" s="1"/>
  <c r="W892" i="8" a="1"/>
  <c r="W892" i="8" s="1"/>
  <c r="W867" i="8" a="1"/>
  <c r="W867" i="8" s="1"/>
  <c r="W780" i="8" a="1"/>
  <c r="W780" i="8" s="1"/>
  <c r="W717" i="8" a="1"/>
  <c r="W717" i="8" s="1"/>
  <c r="W601" i="8" a="1"/>
  <c r="W601" i="8" s="1"/>
  <c r="W580" i="8" a="1"/>
  <c r="W580" i="8" s="1"/>
  <c r="W517" i="8" a="1"/>
  <c r="W517" i="8" s="1"/>
  <c r="W490" i="8" a="1"/>
  <c r="W490" i="8" s="1"/>
  <c r="W409" i="8" a="1"/>
  <c r="W409" i="8" s="1"/>
  <c r="W313" i="8" a="1"/>
  <c r="W313" i="8" s="1"/>
  <c r="W185" i="8" a="1"/>
  <c r="W185" i="8" s="1"/>
  <c r="W184" i="8" a="1"/>
  <c r="W184" i="8" s="1"/>
  <c r="W116" i="8" a="1"/>
  <c r="W116" i="8" s="1"/>
  <c r="W1036" i="8" a="1"/>
  <c r="W1036" i="8" s="1"/>
  <c r="W960" i="8" a="1"/>
  <c r="W960" i="8" s="1"/>
  <c r="W913" i="8" a="1"/>
  <c r="W913" i="8" s="1"/>
  <c r="W813" i="8" a="1"/>
  <c r="W813" i="8" s="1"/>
  <c r="W714" i="8" a="1"/>
  <c r="W714" i="8" s="1"/>
  <c r="W729" i="8" a="1"/>
  <c r="W729" i="8" s="1"/>
  <c r="W678" i="8" a="1"/>
  <c r="W678" i="8" s="1"/>
  <c r="W547" i="8" a="1"/>
  <c r="W547" i="8" s="1"/>
  <c r="W457" i="8" a="1"/>
  <c r="W457" i="8" s="1"/>
  <c r="W505" i="8" a="1"/>
  <c r="W505" i="8" s="1"/>
  <c r="W359" i="8" a="1"/>
  <c r="W359" i="8" s="1"/>
  <c r="W311" i="8" a="1"/>
  <c r="W311" i="8" s="1"/>
  <c r="W281" i="8" a="1"/>
  <c r="W281" i="8" s="1"/>
  <c r="W243" i="8" a="1"/>
  <c r="W243" i="8" s="1"/>
  <c r="W142" i="8" a="1"/>
  <c r="W142" i="8" s="1"/>
  <c r="W1018" i="8" a="1"/>
  <c r="W1018" i="8" s="1"/>
  <c r="W992" i="8" a="1"/>
  <c r="W992" i="8" s="1"/>
  <c r="W914" i="8" a="1"/>
  <c r="W914" i="8" s="1"/>
  <c r="W852" i="8" a="1"/>
  <c r="W852" i="8" s="1"/>
  <c r="W758" i="8" a="1"/>
  <c r="W758" i="8" s="1"/>
  <c r="W700" i="8" a="1"/>
  <c r="W700" i="8" s="1"/>
  <c r="W674" i="8" a="1"/>
  <c r="W674" i="8" s="1"/>
  <c r="W611" i="8" a="1"/>
  <c r="W611" i="8" s="1"/>
  <c r="W515" i="8" a="1"/>
  <c r="W515" i="8" s="1"/>
  <c r="W475" i="8" a="1"/>
  <c r="W475" i="8" s="1"/>
  <c r="W394" i="8" a="1"/>
  <c r="W394" i="8" s="1"/>
  <c r="W293" i="8" a="1"/>
  <c r="W293" i="8" s="1"/>
  <c r="W170" i="8" a="1"/>
  <c r="W170" i="8" s="1"/>
  <c r="W167" i="8" a="1"/>
  <c r="W167" i="8" s="1"/>
  <c r="W128" i="8" a="1"/>
  <c r="W128" i="8" s="1"/>
  <c r="W1002" i="8" a="1"/>
  <c r="W1002" i="8" s="1"/>
  <c r="W904" i="8" a="1"/>
  <c r="W904" i="8" s="1"/>
  <c r="W887" i="8" a="1"/>
  <c r="W887" i="8" s="1"/>
  <c r="W823" i="8" a="1"/>
  <c r="W823" i="8" s="1"/>
  <c r="W711" i="8" a="1"/>
  <c r="W711" i="8" s="1"/>
  <c r="W690" i="8" a="1"/>
  <c r="W690" i="8" s="1"/>
  <c r="W615" i="8" a="1"/>
  <c r="W615" i="8" s="1"/>
  <c r="W564" i="8" a="1"/>
  <c r="W564" i="8" s="1"/>
  <c r="W469" i="8" a="1"/>
  <c r="W469" i="8" s="1"/>
  <c r="W438" i="8" a="1"/>
  <c r="W438" i="8" s="1"/>
  <c r="W335" i="8" a="1"/>
  <c r="W335" i="8" s="1"/>
  <c r="W386" i="8" a="1"/>
  <c r="W386" i="8" s="1"/>
  <c r="W207" i="8" a="1"/>
  <c r="W207" i="8" s="1"/>
  <c r="W164" i="8" a="1"/>
  <c r="W164" i="8" s="1"/>
  <c r="W111" i="8" a="1"/>
  <c r="W111" i="8" s="1"/>
  <c r="W1038" i="8" a="1"/>
  <c r="W1038" i="8" s="1"/>
  <c r="W978" i="8" a="1"/>
  <c r="W978" i="8" s="1"/>
  <c r="W895" i="8" a="1"/>
  <c r="W895" i="8" s="1"/>
  <c r="W855" i="8" a="1"/>
  <c r="W855" i="8" s="1"/>
  <c r="W783" i="8" a="1"/>
  <c r="W783" i="8" s="1"/>
  <c r="W739" i="8" a="1"/>
  <c r="W739" i="8" s="1"/>
  <c r="W618" i="8" a="1"/>
  <c r="W618" i="8" s="1"/>
  <c r="W582" i="8" a="1"/>
  <c r="W582" i="8" s="1"/>
  <c r="W450" i="8" a="1"/>
  <c r="W450" i="8" s="1"/>
  <c r="W424" i="8" a="1"/>
  <c r="W424" i="8" s="1"/>
  <c r="W434" i="8" a="1"/>
  <c r="W434" i="8" s="1"/>
  <c r="W345" i="8" a="1"/>
  <c r="W345" i="8" s="1"/>
  <c r="W217" i="8" a="1"/>
  <c r="W217" i="8" s="1"/>
  <c r="W216" i="8" a="1"/>
  <c r="W216" i="8" s="1"/>
  <c r="W156" i="8" a="1"/>
  <c r="W156" i="8" s="1"/>
  <c r="AA3" i="5" a="1"/>
  <c r="AA3" i="5" s="1"/>
  <c r="AA48" i="5" a="1"/>
  <c r="AA48" i="5" s="1"/>
  <c r="AA67" i="5" a="1"/>
  <c r="AA67" i="5" s="1"/>
  <c r="AA10" i="5" a="1"/>
  <c r="AA10" i="5" s="1"/>
  <c r="AA7" i="5" a="1"/>
  <c r="AA7" i="5" s="1"/>
  <c r="AA109" i="5" a="1"/>
  <c r="AA109" i="5" s="1"/>
  <c r="AA1068" i="5" a="1"/>
  <c r="AA1068" i="5" s="1"/>
  <c r="AA1052" i="5" a="1"/>
  <c r="AA1052" i="5" s="1"/>
  <c r="AA1036" i="5" a="1"/>
  <c r="AA1036" i="5" s="1"/>
  <c r="AA1020" i="5" a="1"/>
  <c r="AA1020" i="5" s="1"/>
  <c r="AA1004" i="5" a="1"/>
  <c r="AA1004" i="5" s="1"/>
  <c r="AA988" i="5" a="1"/>
  <c r="AA988" i="5" s="1"/>
  <c r="AA972" i="5" a="1"/>
  <c r="AA972" i="5" s="1"/>
  <c r="AA956" i="5" a="1"/>
  <c r="AA956" i="5" s="1"/>
  <c r="AA940" i="5" a="1"/>
  <c r="AA940" i="5" s="1"/>
  <c r="AA924" i="5" a="1"/>
  <c r="AA924" i="5" s="1"/>
  <c r="AA908" i="5" a="1"/>
  <c r="AA908" i="5" s="1"/>
  <c r="AA892" i="5" a="1"/>
  <c r="AA892" i="5" s="1"/>
  <c r="AA876" i="5" a="1"/>
  <c r="AA876" i="5" s="1"/>
  <c r="AA860" i="5" a="1"/>
  <c r="AA860" i="5" s="1"/>
  <c r="AA844" i="5" a="1"/>
  <c r="AA844" i="5" s="1"/>
  <c r="AA828" i="5" a="1"/>
  <c r="AA828" i="5" s="1"/>
  <c r="AA812" i="5" a="1"/>
  <c r="AA812" i="5" s="1"/>
  <c r="AA796" i="5" a="1"/>
  <c r="AA796" i="5" s="1"/>
  <c r="AA780" i="5" a="1"/>
  <c r="AA780" i="5" s="1"/>
  <c r="AA764" i="5" a="1"/>
  <c r="AA764" i="5" s="1"/>
  <c r="AA748" i="5" a="1"/>
  <c r="AA748" i="5" s="1"/>
  <c r="AA732" i="5" a="1"/>
  <c r="AA732" i="5" s="1"/>
  <c r="AA716" i="5" a="1"/>
  <c r="AA716" i="5" s="1"/>
  <c r="AA700" i="5" a="1"/>
  <c r="AA700" i="5" s="1"/>
  <c r="AA684" i="5" a="1"/>
  <c r="AA684" i="5" s="1"/>
  <c r="AA668" i="5" a="1"/>
  <c r="AA668" i="5" s="1"/>
  <c r="AA652" i="5" a="1"/>
  <c r="AA652" i="5" s="1"/>
  <c r="AA621" i="5" a="1"/>
  <c r="AA621" i="5" s="1"/>
  <c r="AA1051" i="5" a="1"/>
  <c r="AA1051" i="5" s="1"/>
  <c r="AA1035" i="5" a="1"/>
  <c r="AA1035" i="5" s="1"/>
  <c r="AA1019" i="5" a="1"/>
  <c r="AA1019" i="5" s="1"/>
  <c r="AA1003" i="5" a="1"/>
  <c r="AA1003" i="5" s="1"/>
  <c r="AA987" i="5" a="1"/>
  <c r="AA987" i="5" s="1"/>
  <c r="AA971" i="5" a="1"/>
  <c r="AA971" i="5" s="1"/>
  <c r="AA955" i="5" a="1"/>
  <c r="AA955" i="5" s="1"/>
  <c r="AA939" i="5" a="1"/>
  <c r="AA939" i="5" s="1"/>
  <c r="AA923" i="5" a="1"/>
  <c r="AA923" i="5" s="1"/>
  <c r="AA907" i="5" a="1"/>
  <c r="AA907" i="5" s="1"/>
  <c r="AA891" i="5" a="1"/>
  <c r="AA891" i="5" s="1"/>
  <c r="AA875" i="5" a="1"/>
  <c r="AA875" i="5" s="1"/>
  <c r="AA859" i="5" a="1"/>
  <c r="AA859" i="5" s="1"/>
  <c r="AA843" i="5" a="1"/>
  <c r="AA843" i="5" s="1"/>
  <c r="AA827" i="5" a="1"/>
  <c r="AA827" i="5" s="1"/>
  <c r="AA811" i="5" a="1"/>
  <c r="AA811" i="5" s="1"/>
  <c r="AA795" i="5" a="1"/>
  <c r="AA795" i="5" s="1"/>
  <c r="AA779" i="5" a="1"/>
  <c r="AA779" i="5" s="1"/>
  <c r="AA763" i="5" a="1"/>
  <c r="AA763" i="5" s="1"/>
  <c r="AA747" i="5" a="1"/>
  <c r="AA747" i="5" s="1"/>
  <c r="AA731" i="5" a="1"/>
  <c r="AA731" i="5" s="1"/>
  <c r="AA715" i="5" a="1"/>
  <c r="AA715" i="5" s="1"/>
  <c r="AA699" i="5" a="1"/>
  <c r="AA699" i="5" s="1"/>
  <c r="AA683" i="5" a="1"/>
  <c r="AA683" i="5" s="1"/>
  <c r="AA667" i="5" a="1"/>
  <c r="AA667" i="5" s="1"/>
  <c r="AA651" i="5" a="1"/>
  <c r="AA651" i="5" s="1"/>
  <c r="AA623" i="5" a="1"/>
  <c r="AA623" i="5" s="1"/>
  <c r="AA609" i="5" a="1"/>
  <c r="AA609" i="5" s="1"/>
  <c r="AA593" i="5" a="1"/>
  <c r="AA593" i="5" s="1"/>
  <c r="AA577" i="5" a="1"/>
  <c r="AA577" i="5" s="1"/>
  <c r="AA561" i="5" a="1"/>
  <c r="AA561" i="5" s="1"/>
  <c r="AA545" i="5" a="1"/>
  <c r="AA545" i="5" s="1"/>
  <c r="AA529" i="5" a="1"/>
  <c r="AA529" i="5" s="1"/>
  <c r="AA513" i="5" a="1"/>
  <c r="AA513" i="5" s="1"/>
  <c r="AA497" i="5" a="1"/>
  <c r="AA497" i="5" s="1"/>
  <c r="AA481" i="5" a="1"/>
  <c r="AA481" i="5" s="1"/>
  <c r="AA465" i="5" a="1"/>
  <c r="AA465" i="5" s="1"/>
  <c r="AA449" i="5" a="1"/>
  <c r="AA449" i="5" s="1"/>
  <c r="AA433" i="5" a="1"/>
  <c r="AA433" i="5" s="1"/>
  <c r="AA417" i="5" a="1"/>
  <c r="AA417" i="5" s="1"/>
  <c r="AA401" i="5" a="1"/>
  <c r="AA401" i="5" s="1"/>
  <c r="AA385" i="5" a="1"/>
  <c r="AA385" i="5" s="1"/>
  <c r="AA369" i="5" a="1"/>
  <c r="AA369" i="5" s="1"/>
  <c r="AA353" i="5" a="1"/>
  <c r="AA353" i="5" s="1"/>
  <c r="AA337" i="5" a="1"/>
  <c r="AA337" i="5" s="1"/>
  <c r="AA321" i="5" a="1"/>
  <c r="AA321" i="5" s="1"/>
  <c r="AA298" i="5" a="1"/>
  <c r="AA298" i="5" s="1"/>
  <c r="AA642" i="5" a="1"/>
  <c r="AA642" i="5" s="1"/>
  <c r="AA626" i="5" a="1"/>
  <c r="AA626" i="5" s="1"/>
  <c r="AA610" i="5" a="1"/>
  <c r="AA610" i="5" s="1"/>
  <c r="AA594" i="5" a="1"/>
  <c r="AA594" i="5" s="1"/>
  <c r="AA578" i="5" a="1"/>
  <c r="AA578" i="5" s="1"/>
  <c r="AA562" i="5" a="1"/>
  <c r="AA562" i="5" s="1"/>
  <c r="AA546" i="5" a="1"/>
  <c r="AA546" i="5" s="1"/>
  <c r="AA530" i="5" a="1"/>
  <c r="AA530" i="5" s="1"/>
  <c r="AA514" i="5" a="1"/>
  <c r="AA514" i="5" s="1"/>
  <c r="AA498" i="5" a="1"/>
  <c r="AA498" i="5" s="1"/>
  <c r="AA482" i="5" a="1"/>
  <c r="AA482" i="5" s="1"/>
  <c r="AA466" i="5" a="1"/>
  <c r="AA466" i="5" s="1"/>
  <c r="AA450" i="5" a="1"/>
  <c r="AA450" i="5" s="1"/>
  <c r="AA434" i="5" a="1"/>
  <c r="AA434" i="5" s="1"/>
  <c r="AA418" i="5" a="1"/>
  <c r="AA418" i="5" s="1"/>
  <c r="AA402" i="5" a="1"/>
  <c r="AA402" i="5" s="1"/>
  <c r="AA386" i="5" a="1"/>
  <c r="AA386" i="5" s="1"/>
  <c r="AA370" i="5" a="1"/>
  <c r="AA370" i="5" s="1"/>
  <c r="AA354" i="5" a="1"/>
  <c r="AA354" i="5" s="1"/>
  <c r="AA338" i="5" a="1"/>
  <c r="AA338" i="5" s="1"/>
  <c r="AA322" i="5" a="1"/>
  <c r="AA322" i="5" s="1"/>
  <c r="AA296" i="5" a="1"/>
  <c r="AA296" i="5" s="1"/>
  <c r="AA301" i="5" a="1"/>
  <c r="AA301" i="5" s="1"/>
  <c r="AA285" i="5" a="1"/>
  <c r="AA285" i="5" s="1"/>
  <c r="AA269" i="5" a="1"/>
  <c r="AA269" i="5" s="1"/>
  <c r="AA253" i="5" a="1"/>
  <c r="AA253" i="5" s="1"/>
  <c r="AA237" i="5" a="1"/>
  <c r="AA237" i="5" s="1"/>
  <c r="AA221" i="5" a="1"/>
  <c r="AA221" i="5" s="1"/>
  <c r="AA203" i="5" a="1"/>
  <c r="AA203" i="5" s="1"/>
  <c r="AA143" i="5" a="1"/>
  <c r="AA143" i="5" s="1"/>
  <c r="AA34" i="5" a="1"/>
  <c r="AA34" i="5" s="1"/>
  <c r="AA138" i="5" a="1"/>
  <c r="AA138" i="5" s="1"/>
  <c r="AA31" i="5" a="1"/>
  <c r="AA31" i="5" s="1"/>
  <c r="AA140" i="5" a="1"/>
  <c r="AA140" i="5" s="1"/>
  <c r="AA194" i="5" a="1"/>
  <c r="AA194" i="5" s="1"/>
  <c r="AA62" i="5" a="1"/>
  <c r="AA62" i="5" s="1"/>
  <c r="AA270" i="5" a="1"/>
  <c r="AA270" i="5" s="1"/>
  <c r="AA242" i="5" a="1"/>
  <c r="AA242" i="5" s="1"/>
  <c r="AA218" i="5" a="1"/>
  <c r="AA218" i="5" s="1"/>
  <c r="AA95" i="5" a="1"/>
  <c r="AA95" i="5" s="1"/>
  <c r="AA100" i="5" a="1"/>
  <c r="AA100" i="5" s="1"/>
  <c r="R1056" i="8"/>
  <c r="R1056" i="5"/>
  <c r="R954" i="8"/>
  <c r="R954" i="5"/>
  <c r="R681" i="8"/>
  <c r="R681" i="5"/>
  <c r="R1053" i="8"/>
  <c r="R1053" i="5"/>
  <c r="R1044" i="8"/>
  <c r="R1044" i="5"/>
  <c r="R1011" i="8"/>
  <c r="R1011" i="5"/>
  <c r="R1007" i="8"/>
  <c r="R1007" i="5"/>
  <c r="R963" i="8"/>
  <c r="R963" i="5"/>
  <c r="R957" i="8"/>
  <c r="R957" i="5"/>
  <c r="R955" i="8"/>
  <c r="R955" i="5"/>
  <c r="R947" i="8"/>
  <c r="R947" i="5"/>
  <c r="R924" i="8"/>
  <c r="R924" i="5"/>
  <c r="R920" i="8"/>
  <c r="R920" i="5"/>
  <c r="R855" i="8"/>
  <c r="R855" i="5"/>
  <c r="R837" i="8"/>
  <c r="R837" i="5"/>
  <c r="R754" i="5"/>
  <c r="R754" i="8"/>
  <c r="R1066" i="5"/>
  <c r="R1066" i="8"/>
  <c r="R1062" i="8"/>
  <c r="R1062" i="5"/>
  <c r="R1038" i="5"/>
  <c r="R1038" i="8"/>
  <c r="R1034" i="8"/>
  <c r="R1034" i="5"/>
  <c r="R1030" i="8"/>
  <c r="R1030" i="5"/>
  <c r="R995" i="8"/>
  <c r="R995" i="5"/>
  <c r="R985" i="8"/>
  <c r="R985" i="5"/>
  <c r="R981" i="5"/>
  <c r="R981" i="8"/>
  <c r="R974" i="5"/>
  <c r="R974" i="8"/>
  <c r="R972" i="8"/>
  <c r="R972" i="5"/>
  <c r="R970" i="8"/>
  <c r="R970" i="5"/>
  <c r="R968" i="8"/>
  <c r="R968" i="5"/>
  <c r="R966" i="8"/>
  <c r="R966" i="5"/>
  <c r="R938" i="8"/>
  <c r="R938" i="5"/>
  <c r="R936" i="8"/>
  <c r="R936" i="5"/>
  <c r="R934" i="5"/>
  <c r="R934" i="8"/>
  <c r="R931" i="8"/>
  <c r="R931" i="5"/>
  <c r="R928" i="8"/>
  <c r="R928" i="5"/>
  <c r="R908" i="8"/>
  <c r="R908" i="5"/>
  <c r="R906" i="8"/>
  <c r="R906" i="5"/>
  <c r="R904" i="5"/>
  <c r="R904" i="8"/>
  <c r="R902" i="8"/>
  <c r="R902" i="5"/>
  <c r="R900" i="5"/>
  <c r="R900" i="8"/>
  <c r="R898" i="5"/>
  <c r="R898" i="8"/>
  <c r="R882" i="5"/>
  <c r="R882" i="8"/>
  <c r="R854" i="8"/>
  <c r="R854" i="5"/>
  <c r="R840" i="8"/>
  <c r="R840" i="5"/>
  <c r="R803" i="5"/>
  <c r="R803" i="8"/>
  <c r="R787" i="8"/>
  <c r="R787" i="5"/>
  <c r="R742" i="8"/>
  <c r="R742" i="5"/>
  <c r="R739" i="8"/>
  <c r="R739" i="5"/>
  <c r="R706" i="8"/>
  <c r="R706" i="5"/>
  <c r="R662" i="8"/>
  <c r="R662" i="5"/>
  <c r="R645" i="8"/>
  <c r="R645" i="5"/>
  <c r="R602" i="5"/>
  <c r="R602" i="8"/>
  <c r="R598" i="8"/>
  <c r="R598" i="5"/>
  <c r="R582" i="8"/>
  <c r="R582" i="5"/>
  <c r="R569" i="8"/>
  <c r="R569" i="5"/>
  <c r="R550" i="8"/>
  <c r="R550" i="5"/>
  <c r="R547" i="8"/>
  <c r="R547" i="5"/>
  <c r="R528" i="8"/>
  <c r="R528" i="5"/>
  <c r="R521" i="8"/>
  <c r="R521" i="5"/>
  <c r="R499" i="5"/>
  <c r="R499" i="8"/>
  <c r="R495" i="8"/>
  <c r="R495" i="5"/>
  <c r="R470" i="8"/>
  <c r="R470" i="5"/>
  <c r="R431" i="5"/>
  <c r="R431" i="8"/>
  <c r="R395" i="8"/>
  <c r="R395" i="5"/>
  <c r="R393" i="8"/>
  <c r="R393" i="5"/>
  <c r="R391" i="8"/>
  <c r="R391" i="5"/>
  <c r="R351" i="8"/>
  <c r="R351" i="5"/>
  <c r="R349" i="5"/>
  <c r="R349" i="8"/>
  <c r="R347" i="8"/>
  <c r="R347" i="5"/>
  <c r="R345" i="8"/>
  <c r="R345" i="5"/>
  <c r="R343" i="8"/>
  <c r="R343" i="5"/>
  <c r="R325" i="8"/>
  <c r="R325" i="5"/>
  <c r="R316" i="5"/>
  <c r="R316" i="8"/>
  <c r="R314" i="5"/>
  <c r="R314" i="8"/>
  <c r="R312" i="8"/>
  <c r="R312" i="5"/>
  <c r="R310" i="8"/>
  <c r="R310" i="5"/>
  <c r="R307" i="8"/>
  <c r="R307" i="5"/>
  <c r="R285" i="5"/>
  <c r="R285" i="8"/>
  <c r="R283" i="8"/>
  <c r="R283" i="5"/>
  <c r="R281" i="8"/>
  <c r="R281" i="5"/>
  <c r="R279" i="8"/>
  <c r="R279" i="5"/>
  <c r="R266" i="5"/>
  <c r="R266" i="8"/>
  <c r="R264" i="8"/>
  <c r="R264" i="5"/>
  <c r="R262" i="8"/>
  <c r="R262" i="5"/>
  <c r="R209" i="5"/>
  <c r="R209" i="8"/>
  <c r="R204" i="8"/>
  <c r="R204" i="5"/>
  <c r="R192" i="5"/>
  <c r="R192" i="8"/>
  <c r="R188" i="8"/>
  <c r="R188" i="5"/>
  <c r="R176" i="8"/>
  <c r="R176" i="5"/>
  <c r="R170" i="5"/>
  <c r="R170" i="8"/>
  <c r="R168" i="5"/>
  <c r="R168" i="8"/>
  <c r="R165" i="8"/>
  <c r="R165" i="5"/>
  <c r="R144" i="5"/>
  <c r="R144" i="8"/>
  <c r="R128" i="5"/>
  <c r="R128" i="8"/>
  <c r="R125" i="5"/>
  <c r="R125" i="8"/>
  <c r="R119" i="8"/>
  <c r="R119" i="5"/>
  <c r="R117" i="8"/>
  <c r="R117" i="5"/>
  <c r="R115" i="8"/>
  <c r="R115" i="5"/>
  <c r="R59" i="5"/>
  <c r="R59" i="8"/>
  <c r="R55" i="8"/>
  <c r="R55" i="5"/>
  <c r="R38" i="8"/>
  <c r="R38" i="5"/>
  <c r="R18" i="8"/>
  <c r="R18" i="5"/>
  <c r="R16" i="8"/>
  <c r="R16" i="5"/>
  <c r="W41" i="1"/>
  <c r="V13" i="4" s="1"/>
  <c r="U14" i="4"/>
  <c r="W33" i="1"/>
  <c r="V11" i="4" s="1"/>
  <c r="U12" i="4"/>
  <c r="W25" i="1"/>
  <c r="V9" i="4" s="1"/>
  <c r="U10" i="4"/>
  <c r="W17" i="1"/>
  <c r="V7" i="4" s="1"/>
  <c r="U8" i="4"/>
  <c r="W12" i="1"/>
  <c r="V5" i="4" s="1"/>
  <c r="U6" i="4"/>
  <c r="R3" i="8"/>
  <c r="R3" i="5"/>
  <c r="T1047" i="5"/>
  <c r="T1047" i="8"/>
  <c r="T1033" i="8"/>
  <c r="T1033" i="5"/>
  <c r="T1002" i="8"/>
  <c r="T1002" i="5"/>
  <c r="T997" i="5"/>
  <c r="T997" i="8"/>
  <c r="T984" i="5"/>
  <c r="T984" i="8"/>
  <c r="T960" i="8"/>
  <c r="T960" i="5"/>
  <c r="T945" i="8"/>
  <c r="T945" i="5"/>
  <c r="T869" i="8"/>
  <c r="T869" i="5"/>
  <c r="T838" i="5"/>
  <c r="T838" i="8"/>
  <c r="T802" i="5"/>
  <c r="T802" i="8"/>
  <c r="T742" i="5"/>
  <c r="T742" i="8"/>
  <c r="T630" i="5"/>
  <c r="T630" i="8"/>
  <c r="T624" i="8"/>
  <c r="T624" i="5"/>
  <c r="T602" i="5"/>
  <c r="T602" i="8"/>
  <c r="T552" i="5"/>
  <c r="T552" i="8"/>
  <c r="T527" i="8"/>
  <c r="T527" i="5"/>
  <c r="T510" i="8"/>
  <c r="T510" i="5"/>
  <c r="T461" i="5"/>
  <c r="T461" i="8"/>
  <c r="T432" i="8"/>
  <c r="T432" i="5"/>
  <c r="T426" i="5"/>
  <c r="T426" i="8"/>
  <c r="T422" i="5"/>
  <c r="T422" i="8"/>
  <c r="T384" i="8"/>
  <c r="T384" i="5"/>
  <c r="T285" i="8"/>
  <c r="T285" i="5"/>
  <c r="T259" i="8"/>
  <c r="T259" i="5"/>
  <c r="T236" i="8"/>
  <c r="T236" i="5"/>
  <c r="T223" i="8"/>
  <c r="T223" i="5"/>
  <c r="T144" i="8"/>
  <c r="T144" i="5"/>
  <c r="T133" i="5"/>
  <c r="T133" i="8"/>
  <c r="T67" i="8"/>
  <c r="T67" i="5"/>
  <c r="T54" i="5"/>
  <c r="T54" i="8"/>
  <c r="T36" i="5"/>
  <c r="T36" i="8"/>
  <c r="Y964" i="8" a="1"/>
  <c r="Y964" i="8" s="1"/>
  <c r="Y1035" i="8" a="1"/>
  <c r="Y1035" i="8" s="1"/>
  <c r="Y73" i="8" a="1"/>
  <c r="Y73" i="8" s="1"/>
  <c r="Y6" i="8" a="1"/>
  <c r="Y6" i="8" s="1"/>
  <c r="Y78" i="8" a="1"/>
  <c r="Y78" i="8" s="1"/>
  <c r="Y44" i="8" a="1"/>
  <c r="Y44" i="8" s="1"/>
  <c r="Y25" i="8" a="1"/>
  <c r="Y25" i="8" s="1"/>
  <c r="Y51" i="8" a="1"/>
  <c r="Y51" i="8" s="1"/>
  <c r="Y35" i="8" a="1"/>
  <c r="Y35" i="8" s="1"/>
  <c r="Y58" i="8" a="1"/>
  <c r="Y58" i="8" s="1"/>
  <c r="Y20" i="8" a="1"/>
  <c r="Y20" i="8" s="1"/>
  <c r="Y101" i="8" a="1"/>
  <c r="Y101" i="8" s="1"/>
  <c r="Y31" i="8" a="1"/>
  <c r="Y31" i="8" s="1"/>
  <c r="R725" i="5"/>
  <c r="AA85" i="5" a="1"/>
  <c r="AA85" i="5" s="1"/>
  <c r="AA56" i="5" a="1"/>
  <c r="AA56" i="5" s="1"/>
  <c r="AA8" i="5" a="1"/>
  <c r="AA8" i="5" s="1"/>
  <c r="AA5" i="5" a="1"/>
  <c r="AA5" i="5" s="1"/>
  <c r="AA17" i="5" a="1"/>
  <c r="AA17" i="5" s="1"/>
  <c r="AA9" i="5" a="1"/>
  <c r="AA9" i="5" s="1"/>
  <c r="AA1066" i="5" a="1"/>
  <c r="AA1066" i="5" s="1"/>
  <c r="AA1050" i="5" a="1"/>
  <c r="AA1050" i="5" s="1"/>
  <c r="AA1034" i="5" a="1"/>
  <c r="AA1034" i="5" s="1"/>
  <c r="AA1018" i="5" a="1"/>
  <c r="AA1018" i="5" s="1"/>
  <c r="AA1002" i="5" a="1"/>
  <c r="AA1002" i="5" s="1"/>
  <c r="AA986" i="5" a="1"/>
  <c r="AA986" i="5" s="1"/>
  <c r="AA970" i="5" a="1"/>
  <c r="AA970" i="5" s="1"/>
  <c r="AA954" i="5" a="1"/>
  <c r="AA954" i="5" s="1"/>
  <c r="AA938" i="5" a="1"/>
  <c r="AA938" i="5" s="1"/>
  <c r="AA922" i="5" a="1"/>
  <c r="AA922" i="5" s="1"/>
  <c r="AA906" i="5" a="1"/>
  <c r="AA906" i="5" s="1"/>
  <c r="AA890" i="5" a="1"/>
  <c r="AA890" i="5" s="1"/>
  <c r="AA874" i="5" a="1"/>
  <c r="AA874" i="5" s="1"/>
  <c r="AA858" i="5" a="1"/>
  <c r="AA858" i="5" s="1"/>
  <c r="AA842" i="5" a="1"/>
  <c r="AA842" i="5" s="1"/>
  <c r="AA826" i="5" a="1"/>
  <c r="AA826" i="5" s="1"/>
  <c r="AA810" i="5" a="1"/>
  <c r="AA810" i="5" s="1"/>
  <c r="AA794" i="5" a="1"/>
  <c r="AA794" i="5" s="1"/>
  <c r="AA778" i="5" a="1"/>
  <c r="AA778" i="5" s="1"/>
  <c r="AA762" i="5" a="1"/>
  <c r="AA762" i="5" s="1"/>
  <c r="AA746" i="5" a="1"/>
  <c r="AA746" i="5" s="1"/>
  <c r="AA730" i="5" a="1"/>
  <c r="AA730" i="5" s="1"/>
  <c r="AA714" i="5" a="1"/>
  <c r="AA714" i="5" s="1"/>
  <c r="AA698" i="5" a="1"/>
  <c r="AA698" i="5" s="1"/>
  <c r="AA682" i="5" a="1"/>
  <c r="AA682" i="5" s="1"/>
  <c r="AA666" i="5" a="1"/>
  <c r="AA666" i="5" s="1"/>
  <c r="AA650" i="5" a="1"/>
  <c r="AA650" i="5" s="1"/>
  <c r="AA615" i="5" a="1"/>
  <c r="AA615" i="5" s="1"/>
  <c r="AA1049" i="5" a="1"/>
  <c r="AA1049" i="5" s="1"/>
  <c r="AA1033" i="5" a="1"/>
  <c r="AA1033" i="5" s="1"/>
  <c r="AA1017" i="5" a="1"/>
  <c r="AA1017" i="5" s="1"/>
  <c r="AA1001" i="5" a="1"/>
  <c r="AA1001" i="5" s="1"/>
  <c r="AA985" i="5" a="1"/>
  <c r="AA985" i="5" s="1"/>
  <c r="AA969" i="5" a="1"/>
  <c r="AA969" i="5" s="1"/>
  <c r="AA953" i="5" a="1"/>
  <c r="AA953" i="5" s="1"/>
  <c r="AA937" i="5" a="1"/>
  <c r="AA937" i="5" s="1"/>
  <c r="AA921" i="5" a="1"/>
  <c r="AA921" i="5" s="1"/>
  <c r="AA905" i="5" a="1"/>
  <c r="AA905" i="5" s="1"/>
  <c r="AA889" i="5" a="1"/>
  <c r="AA889" i="5" s="1"/>
  <c r="AA873" i="5" a="1"/>
  <c r="AA873" i="5" s="1"/>
  <c r="AA857" i="5" a="1"/>
  <c r="AA857" i="5" s="1"/>
  <c r="AA841" i="5" a="1"/>
  <c r="AA841" i="5" s="1"/>
  <c r="AA825" i="5" a="1"/>
  <c r="AA825" i="5" s="1"/>
  <c r="AA809" i="5" a="1"/>
  <c r="AA809" i="5" s="1"/>
  <c r="AA793" i="5" a="1"/>
  <c r="AA793" i="5" s="1"/>
  <c r="AA777" i="5" a="1"/>
  <c r="AA777" i="5" s="1"/>
  <c r="AA761" i="5" a="1"/>
  <c r="AA761" i="5" s="1"/>
  <c r="AA745" i="5" a="1"/>
  <c r="AA745" i="5" s="1"/>
  <c r="AA729" i="5" a="1"/>
  <c r="AA729" i="5" s="1"/>
  <c r="AA713" i="5" a="1"/>
  <c r="AA713" i="5" s="1"/>
  <c r="AA697" i="5" a="1"/>
  <c r="AA697" i="5" s="1"/>
  <c r="AA681" i="5" a="1"/>
  <c r="AA681" i="5" s="1"/>
  <c r="AA665" i="5" a="1"/>
  <c r="AA665" i="5" s="1"/>
  <c r="AA649" i="5" a="1"/>
  <c r="AA649" i="5" s="1"/>
  <c r="AA619" i="5" a="1"/>
  <c r="AA619" i="5" s="1"/>
  <c r="AA607" i="5" a="1"/>
  <c r="AA607" i="5" s="1"/>
  <c r="AA591" i="5" a="1"/>
  <c r="AA591" i="5" s="1"/>
  <c r="AA575" i="5" a="1"/>
  <c r="AA575" i="5" s="1"/>
  <c r="AA559" i="5" a="1"/>
  <c r="AA559" i="5" s="1"/>
  <c r="AA543" i="5" a="1"/>
  <c r="AA543" i="5" s="1"/>
  <c r="AA527" i="5" a="1"/>
  <c r="AA527" i="5" s="1"/>
  <c r="AA511" i="5" a="1"/>
  <c r="AA511" i="5" s="1"/>
  <c r="AA495" i="5" a="1"/>
  <c r="AA495" i="5" s="1"/>
  <c r="AA479" i="5" a="1"/>
  <c r="AA479" i="5" s="1"/>
  <c r="AA463" i="5" a="1"/>
  <c r="AA463" i="5" s="1"/>
  <c r="AA447" i="5" a="1"/>
  <c r="AA447" i="5" s="1"/>
  <c r="AA431" i="5" a="1"/>
  <c r="AA431" i="5" s="1"/>
  <c r="AA415" i="5" a="1"/>
  <c r="AA415" i="5" s="1"/>
  <c r="AA399" i="5" a="1"/>
  <c r="AA399" i="5" s="1"/>
  <c r="AA383" i="5" a="1"/>
  <c r="AA383" i="5" s="1"/>
  <c r="AA367" i="5" a="1"/>
  <c r="AA367" i="5" s="1"/>
  <c r="AA351" i="5" a="1"/>
  <c r="AA351" i="5" s="1"/>
  <c r="AA335" i="5" a="1"/>
  <c r="AA335" i="5" s="1"/>
  <c r="AA319" i="5" a="1"/>
  <c r="AA319" i="5" s="1"/>
  <c r="AA294" i="5" a="1"/>
  <c r="AA294" i="5" s="1"/>
  <c r="AA640" i="5" a="1"/>
  <c r="AA640" i="5" s="1"/>
  <c r="AA624" i="5" a="1"/>
  <c r="AA624" i="5" s="1"/>
  <c r="AA608" i="5" a="1"/>
  <c r="AA608" i="5" s="1"/>
  <c r="AA592" i="5" a="1"/>
  <c r="AA592" i="5" s="1"/>
  <c r="AA576" i="5" a="1"/>
  <c r="AA576" i="5" s="1"/>
  <c r="AA560" i="5" a="1"/>
  <c r="AA560" i="5" s="1"/>
  <c r="AA544" i="5" a="1"/>
  <c r="AA544" i="5" s="1"/>
  <c r="AA528" i="5" a="1"/>
  <c r="AA528" i="5" s="1"/>
  <c r="AA512" i="5" a="1"/>
  <c r="AA512" i="5" s="1"/>
  <c r="AA496" i="5" a="1"/>
  <c r="AA496" i="5" s="1"/>
  <c r="AA480" i="5" a="1"/>
  <c r="AA480" i="5" s="1"/>
  <c r="AA464" i="5" a="1"/>
  <c r="AA464" i="5" s="1"/>
  <c r="AA448" i="5" a="1"/>
  <c r="AA448" i="5" s="1"/>
  <c r="AA432" i="5" a="1"/>
  <c r="AA432" i="5" s="1"/>
  <c r="AA416" i="5" a="1"/>
  <c r="AA416" i="5" s="1"/>
  <c r="AA400" i="5" a="1"/>
  <c r="AA400" i="5" s="1"/>
  <c r="AA384" i="5" a="1"/>
  <c r="AA384" i="5" s="1"/>
  <c r="AA368" i="5" a="1"/>
  <c r="AA368" i="5" s="1"/>
  <c r="AA352" i="5" a="1"/>
  <c r="AA352" i="5" s="1"/>
  <c r="AA336" i="5" a="1"/>
  <c r="AA336" i="5" s="1"/>
  <c r="AA320" i="5" a="1"/>
  <c r="AA320" i="5" s="1"/>
  <c r="AA292" i="5" a="1"/>
  <c r="AA292" i="5" s="1"/>
  <c r="AA299" i="5" a="1"/>
  <c r="AA299" i="5" s="1"/>
  <c r="AA283" i="5" a="1"/>
  <c r="AA283" i="5" s="1"/>
  <c r="AA267" i="5" a="1"/>
  <c r="AA267" i="5" s="1"/>
  <c r="AA251" i="5" a="1"/>
  <c r="AA251" i="5" s="1"/>
  <c r="AA235" i="5" a="1"/>
  <c r="AA235" i="5" s="1"/>
  <c r="AA219" i="5" a="1"/>
  <c r="AA219" i="5" s="1"/>
  <c r="AA201" i="5" a="1"/>
  <c r="AA201" i="5" s="1"/>
  <c r="AA127" i="5" a="1"/>
  <c r="AA127" i="5" s="1"/>
  <c r="AA22" i="5" a="1"/>
  <c r="AA22" i="5" s="1"/>
  <c r="AA129" i="5" a="1"/>
  <c r="AA129" i="5" s="1"/>
  <c r="AA190" i="5" a="1"/>
  <c r="AA190" i="5" s="1"/>
  <c r="AA133" i="5" a="1"/>
  <c r="AA133" i="5" s="1"/>
  <c r="AA192" i="5" a="1"/>
  <c r="AA192" i="5" s="1"/>
  <c r="AA55" i="5" a="1"/>
  <c r="AA55" i="5" s="1"/>
  <c r="AA266" i="5" a="1"/>
  <c r="AA266" i="5" s="1"/>
  <c r="AA240" i="5" a="1"/>
  <c r="AA240" i="5" s="1"/>
  <c r="AA212" i="5" a="1"/>
  <c r="AA212" i="5" s="1"/>
  <c r="AA121" i="5" a="1"/>
  <c r="AA121" i="5" s="1"/>
  <c r="AA78" i="5" a="1"/>
  <c r="AA78" i="5" s="1"/>
  <c r="R1043" i="5"/>
  <c r="R1043" i="8"/>
  <c r="R1018" i="8"/>
  <c r="R1018" i="5"/>
  <c r="R950" i="8"/>
  <c r="R950" i="5"/>
  <c r="R910" i="5"/>
  <c r="R910" i="8"/>
  <c r="R869" i="8"/>
  <c r="R869" i="5"/>
  <c r="R839" i="8"/>
  <c r="R839" i="5"/>
  <c r="R685" i="5"/>
  <c r="R685" i="8"/>
  <c r="R621" i="5"/>
  <c r="R621" i="8"/>
  <c r="R564" i="8"/>
  <c r="R564" i="5"/>
  <c r="R537" i="8"/>
  <c r="R537" i="5"/>
  <c r="R517" i="8"/>
  <c r="R517" i="5"/>
  <c r="R503" i="8"/>
  <c r="R503" i="5"/>
  <c r="R475" i="8"/>
  <c r="R475" i="5"/>
  <c r="R444" i="8"/>
  <c r="R444" i="5"/>
  <c r="R425" i="8"/>
  <c r="R425" i="5"/>
  <c r="R423" i="8"/>
  <c r="R423" i="5"/>
  <c r="R416" i="8"/>
  <c r="R416" i="5"/>
  <c r="R412" i="8"/>
  <c r="R412" i="5"/>
  <c r="R410" i="5"/>
  <c r="R410" i="8"/>
  <c r="R408" i="8"/>
  <c r="R408" i="5"/>
  <c r="R406" i="8"/>
  <c r="R406" i="5"/>
  <c r="R397" i="5"/>
  <c r="R397" i="8"/>
  <c r="R387" i="8"/>
  <c r="R387" i="5"/>
  <c r="R372" i="5"/>
  <c r="R372" i="8"/>
  <c r="R370" i="8"/>
  <c r="R370" i="5"/>
  <c r="R365" i="5"/>
  <c r="R365" i="8"/>
  <c r="R361" i="8"/>
  <c r="R361" i="5"/>
  <c r="R357" i="8"/>
  <c r="R357" i="5"/>
  <c r="R318" i="5"/>
  <c r="R318" i="8"/>
  <c r="R272" i="8"/>
  <c r="R272" i="5"/>
  <c r="R268" i="8"/>
  <c r="R268" i="5"/>
  <c r="R236" i="8"/>
  <c r="R236" i="5"/>
  <c r="R224" i="8"/>
  <c r="R224" i="5"/>
  <c r="R220" i="8"/>
  <c r="R220" i="5"/>
  <c r="R140" i="5"/>
  <c r="R140" i="8"/>
  <c r="R138" i="5"/>
  <c r="R138" i="8"/>
  <c r="R136" i="8"/>
  <c r="R136" i="5"/>
  <c r="R133" i="8"/>
  <c r="R133" i="5"/>
  <c r="R121" i="8"/>
  <c r="R121" i="5"/>
  <c r="R101" i="8"/>
  <c r="R101" i="5"/>
  <c r="R88" i="8"/>
  <c r="R88" i="5"/>
  <c r="R48" i="8"/>
  <c r="R48" i="5"/>
  <c r="R46" i="8"/>
  <c r="R46" i="5"/>
  <c r="R44" i="8"/>
  <c r="R44" i="5"/>
  <c r="R42" i="5"/>
  <c r="R42" i="8"/>
  <c r="R40" i="8"/>
  <c r="R40" i="5"/>
  <c r="R5" i="5"/>
  <c r="R5" i="8"/>
  <c r="T1013" i="8"/>
  <c r="T1013" i="5"/>
  <c r="T1006" i="8"/>
  <c r="T1006" i="5"/>
  <c r="T925" i="8"/>
  <c r="T925" i="5"/>
  <c r="T921" i="5"/>
  <c r="T921" i="8"/>
  <c r="T911" i="8"/>
  <c r="T911" i="5"/>
  <c r="T907" i="8"/>
  <c r="T907" i="5"/>
  <c r="T903" i="8"/>
  <c r="T903" i="5"/>
  <c r="T899" i="8"/>
  <c r="T899" i="5"/>
  <c r="T868" i="5"/>
  <c r="T868" i="8"/>
  <c r="T818" i="8"/>
  <c r="T818" i="5"/>
  <c r="T708" i="5"/>
  <c r="T708" i="8"/>
  <c r="T664" i="5"/>
  <c r="T664" i="8"/>
  <c r="T601" i="5"/>
  <c r="T601" i="8"/>
  <c r="T540" i="8"/>
  <c r="T540" i="5"/>
  <c r="T495" i="8"/>
  <c r="T495" i="5"/>
  <c r="T476" i="8"/>
  <c r="T476" i="5"/>
  <c r="T469" i="8"/>
  <c r="T469" i="5"/>
  <c r="T447" i="8"/>
  <c r="T447" i="5"/>
  <c r="T383" i="5"/>
  <c r="T383" i="8"/>
  <c r="T379" i="8"/>
  <c r="T379" i="5"/>
  <c r="T375" i="5"/>
  <c r="T375" i="8"/>
  <c r="T371" i="8"/>
  <c r="T371" i="5"/>
  <c r="T356" i="5"/>
  <c r="T356" i="8"/>
  <c r="T352" i="8"/>
  <c r="T352" i="5"/>
  <c r="T348" i="8"/>
  <c r="T348" i="5"/>
  <c r="T344" i="5"/>
  <c r="T344" i="8"/>
  <c r="T339" i="8"/>
  <c r="T339" i="5"/>
  <c r="T267" i="8"/>
  <c r="T267" i="5"/>
  <c r="T263" i="8"/>
  <c r="T263" i="5"/>
  <c r="T203" i="5"/>
  <c r="T203" i="8"/>
  <c r="T199" i="8"/>
  <c r="T199" i="5"/>
  <c r="T195" i="8"/>
  <c r="T195" i="5"/>
  <c r="T187" i="8"/>
  <c r="T187" i="5"/>
  <c r="T183" i="5"/>
  <c r="T183" i="8"/>
  <c r="T179" i="5"/>
  <c r="T179" i="8"/>
  <c r="T169" i="8"/>
  <c r="T169" i="5"/>
  <c r="T160" i="8"/>
  <c r="T160" i="5"/>
  <c r="T143" i="5"/>
  <c r="T143" i="8"/>
  <c r="T87" i="8"/>
  <c r="T87" i="5"/>
  <c r="T45" i="8"/>
  <c r="T45" i="5"/>
  <c r="T20" i="5"/>
  <c r="T20" i="8"/>
  <c r="AA1032" i="5" a="1"/>
  <c r="AA1032" i="5" s="1"/>
  <c r="AA1016" i="5" a="1"/>
  <c r="AA1016" i="5" s="1"/>
  <c r="AA1000" i="5" a="1"/>
  <c r="AA1000" i="5" s="1"/>
  <c r="AA984" i="5" a="1"/>
  <c r="AA984" i="5" s="1"/>
  <c r="AA968" i="5" a="1"/>
  <c r="AA968" i="5" s="1"/>
  <c r="AA952" i="5" a="1"/>
  <c r="AA952" i="5" s="1"/>
  <c r="AA936" i="5" a="1"/>
  <c r="AA936" i="5" s="1"/>
  <c r="AA920" i="5" a="1"/>
  <c r="AA920" i="5" s="1"/>
  <c r="AA904" i="5" a="1"/>
  <c r="AA904" i="5" s="1"/>
  <c r="AA888" i="5" a="1"/>
  <c r="AA888" i="5" s="1"/>
  <c r="AA872" i="5" a="1"/>
  <c r="AA872" i="5" s="1"/>
  <c r="AA856" i="5" a="1"/>
  <c r="AA856" i="5" s="1"/>
  <c r="AA840" i="5" a="1"/>
  <c r="AA840" i="5" s="1"/>
  <c r="AA824" i="5" a="1"/>
  <c r="AA824" i="5" s="1"/>
  <c r="AA808" i="5" a="1"/>
  <c r="AA808" i="5" s="1"/>
  <c r="AA792" i="5" a="1"/>
  <c r="AA792" i="5" s="1"/>
  <c r="AA776" i="5" a="1"/>
  <c r="AA776" i="5" s="1"/>
  <c r="AA760" i="5" a="1"/>
  <c r="AA760" i="5" s="1"/>
  <c r="AA744" i="5" a="1"/>
  <c r="AA744" i="5" s="1"/>
  <c r="AA728" i="5" a="1"/>
  <c r="AA728" i="5" s="1"/>
  <c r="AA712" i="5" a="1"/>
  <c r="AA712" i="5" s="1"/>
  <c r="AA696" i="5" a="1"/>
  <c r="AA696" i="5" s="1"/>
  <c r="AA680" i="5" a="1"/>
  <c r="AA680" i="5" s="1"/>
  <c r="AA664" i="5" a="1"/>
  <c r="AA664" i="5" s="1"/>
  <c r="AA617" i="5" a="1"/>
  <c r="AA617" i="5" s="1"/>
  <c r="AA645" i="5" a="1"/>
  <c r="AA645" i="5" s="1"/>
  <c r="AA1047" i="5" a="1"/>
  <c r="AA1047" i="5" s="1"/>
  <c r="AA1031" i="5" a="1"/>
  <c r="AA1031" i="5" s="1"/>
  <c r="AA1015" i="5" a="1"/>
  <c r="AA1015" i="5" s="1"/>
  <c r="AA999" i="5" a="1"/>
  <c r="AA999" i="5" s="1"/>
  <c r="AA983" i="5" a="1"/>
  <c r="AA983" i="5" s="1"/>
  <c r="AA967" i="5" a="1"/>
  <c r="AA967" i="5" s="1"/>
  <c r="AA951" i="5" a="1"/>
  <c r="AA951" i="5" s="1"/>
  <c r="AA935" i="5" a="1"/>
  <c r="AA935" i="5" s="1"/>
  <c r="AA919" i="5" a="1"/>
  <c r="AA919" i="5" s="1"/>
  <c r="AA903" i="5" a="1"/>
  <c r="AA903" i="5" s="1"/>
  <c r="AA887" i="5" a="1"/>
  <c r="AA887" i="5" s="1"/>
  <c r="AA871" i="5" a="1"/>
  <c r="AA871" i="5" s="1"/>
  <c r="AA855" i="5" a="1"/>
  <c r="AA855" i="5" s="1"/>
  <c r="AA839" i="5" a="1"/>
  <c r="AA839" i="5" s="1"/>
  <c r="AA823" i="5" a="1"/>
  <c r="AA823" i="5" s="1"/>
  <c r="AA807" i="5" a="1"/>
  <c r="AA807" i="5" s="1"/>
  <c r="AA791" i="5" a="1"/>
  <c r="AA791" i="5" s="1"/>
  <c r="AA775" i="5" a="1"/>
  <c r="AA775" i="5" s="1"/>
  <c r="AA759" i="5" a="1"/>
  <c r="AA759" i="5" s="1"/>
  <c r="AA743" i="5" a="1"/>
  <c r="AA743" i="5" s="1"/>
  <c r="AA727" i="5" a="1"/>
  <c r="AA727" i="5" s="1"/>
  <c r="AA711" i="5" a="1"/>
  <c r="AA711" i="5" s="1"/>
  <c r="AA695" i="5" a="1"/>
  <c r="AA695" i="5" s="1"/>
  <c r="AA679" i="5" a="1"/>
  <c r="AA679" i="5" s="1"/>
  <c r="AA663" i="5" a="1"/>
  <c r="AA663" i="5" s="1"/>
  <c r="AA639" i="5" a="1"/>
  <c r="AA639" i="5" s="1"/>
  <c r="AA1065" i="5" a="1"/>
  <c r="AA1065" i="5" s="1"/>
  <c r="AA605" i="5" a="1"/>
  <c r="AA605" i="5" s="1"/>
  <c r="AA589" i="5" a="1"/>
  <c r="AA589" i="5" s="1"/>
  <c r="AA573" i="5" a="1"/>
  <c r="AA573" i="5" s="1"/>
  <c r="AA557" i="5" a="1"/>
  <c r="AA557" i="5" s="1"/>
  <c r="AA541" i="5" a="1"/>
  <c r="AA541" i="5" s="1"/>
  <c r="AA525" i="5" a="1"/>
  <c r="AA525" i="5" s="1"/>
  <c r="AA509" i="5" a="1"/>
  <c r="AA509" i="5" s="1"/>
  <c r="AA493" i="5" a="1"/>
  <c r="AA493" i="5" s="1"/>
  <c r="AA477" i="5" a="1"/>
  <c r="AA477" i="5" s="1"/>
  <c r="AA461" i="5" a="1"/>
  <c r="AA461" i="5" s="1"/>
  <c r="AA445" i="5" a="1"/>
  <c r="AA445" i="5" s="1"/>
  <c r="AA429" i="5" a="1"/>
  <c r="AA429" i="5" s="1"/>
  <c r="AA413" i="5" a="1"/>
  <c r="AA413" i="5" s="1"/>
  <c r="AA397" i="5" a="1"/>
  <c r="AA397" i="5" s="1"/>
  <c r="AA381" i="5" a="1"/>
  <c r="AA381" i="5" s="1"/>
  <c r="AA365" i="5" a="1"/>
  <c r="AA365" i="5" s="1"/>
  <c r="AA349" i="5" a="1"/>
  <c r="AA349" i="5" s="1"/>
  <c r="AA333" i="5" a="1"/>
  <c r="AA333" i="5" s="1"/>
  <c r="AA317" i="5" a="1"/>
  <c r="AA317" i="5" s="1"/>
  <c r="AA290" i="5" a="1"/>
  <c r="AA290" i="5" s="1"/>
  <c r="AA638" i="5" a="1"/>
  <c r="AA638" i="5" s="1"/>
  <c r="AA622" i="5" a="1"/>
  <c r="AA622" i="5" s="1"/>
  <c r="AA606" i="5" a="1"/>
  <c r="AA606" i="5" s="1"/>
  <c r="AA590" i="5" a="1"/>
  <c r="AA590" i="5" s="1"/>
  <c r="AA574" i="5" a="1"/>
  <c r="AA574" i="5" s="1"/>
  <c r="AA558" i="5" a="1"/>
  <c r="AA558" i="5" s="1"/>
  <c r="AA542" i="5" a="1"/>
  <c r="AA542" i="5" s="1"/>
  <c r="AA526" i="5" a="1"/>
  <c r="AA526" i="5" s="1"/>
  <c r="AA510" i="5" a="1"/>
  <c r="AA510" i="5" s="1"/>
  <c r="AA494" i="5" a="1"/>
  <c r="AA494" i="5" s="1"/>
  <c r="AA478" i="5" a="1"/>
  <c r="AA478" i="5" s="1"/>
  <c r="AA462" i="5" a="1"/>
  <c r="AA462" i="5" s="1"/>
  <c r="AA446" i="5" a="1"/>
  <c r="AA446" i="5" s="1"/>
  <c r="AA430" i="5" a="1"/>
  <c r="AA430" i="5" s="1"/>
  <c r="AA414" i="5" a="1"/>
  <c r="AA414" i="5" s="1"/>
  <c r="AA398" i="5" a="1"/>
  <c r="AA398" i="5" s="1"/>
  <c r="AA382" i="5" a="1"/>
  <c r="AA382" i="5" s="1"/>
  <c r="AA366" i="5" a="1"/>
  <c r="AA366" i="5" s="1"/>
  <c r="AA350" i="5" a="1"/>
  <c r="AA350" i="5" s="1"/>
  <c r="AA334" i="5" a="1"/>
  <c r="AA334" i="5" s="1"/>
  <c r="AA318" i="5" a="1"/>
  <c r="AA318" i="5" s="1"/>
  <c r="AA288" i="5" a="1"/>
  <c r="AA288" i="5" s="1"/>
  <c r="AA297" i="5" a="1"/>
  <c r="AA297" i="5" s="1"/>
  <c r="AA281" i="5" a="1"/>
  <c r="AA281" i="5" s="1"/>
  <c r="AA265" i="5" a="1"/>
  <c r="AA265" i="5" s="1"/>
  <c r="AA249" i="5" a="1"/>
  <c r="AA249" i="5" s="1"/>
  <c r="AA233" i="5" a="1"/>
  <c r="AA233" i="5" s="1"/>
  <c r="AA217" i="5" a="1"/>
  <c r="AA217" i="5" s="1"/>
  <c r="AA197" i="5" a="1"/>
  <c r="AA197" i="5" s="1"/>
  <c r="AA122" i="5" a="1"/>
  <c r="AA122" i="5" s="1"/>
  <c r="AA18" i="5" a="1"/>
  <c r="AA18" i="5" s="1"/>
  <c r="AA117" i="5" a="1"/>
  <c r="AA117" i="5" s="1"/>
  <c r="AA188" i="5" a="1"/>
  <c r="AA188" i="5" s="1"/>
  <c r="AA124" i="5" a="1"/>
  <c r="AA124" i="5" s="1"/>
  <c r="AA173" i="5" a="1"/>
  <c r="AA173" i="5" s="1"/>
  <c r="AA41" i="5" a="1"/>
  <c r="AA41" i="5" s="1"/>
  <c r="AA260" i="5" a="1"/>
  <c r="AA260" i="5" s="1"/>
  <c r="AA238" i="5" a="1"/>
  <c r="AA238" i="5" s="1"/>
  <c r="AA210" i="5" a="1"/>
  <c r="AA210" i="5" s="1"/>
  <c r="AA114" i="5" a="1"/>
  <c r="AA114" i="5" s="1"/>
  <c r="T124" i="8"/>
  <c r="T124" i="5"/>
  <c r="T118" i="5"/>
  <c r="T118" i="8"/>
  <c r="T85" i="5"/>
  <c r="T85" i="8"/>
  <c r="T48" i="8"/>
  <c r="T48" i="5"/>
  <c r="Y1033" i="8" a="1"/>
  <c r="Y1033" i="8" s="1"/>
  <c r="Y70" i="8" a="1"/>
  <c r="Y70" i="8" s="1"/>
  <c r="Y17" i="8" a="1"/>
  <c r="Y17" i="8" s="1"/>
  <c r="Y83" i="8" a="1"/>
  <c r="Y83" i="8" s="1"/>
  <c r="Y75" i="8" a="1"/>
  <c r="Y75" i="8" s="1"/>
  <c r="Y34" i="8" a="1"/>
  <c r="Y34" i="8" s="1"/>
  <c r="Y92" i="8" a="1"/>
  <c r="Y92" i="8" s="1"/>
  <c r="Y40" i="8" a="1"/>
  <c r="Y40" i="8" s="1"/>
  <c r="Y19" i="8" a="1"/>
  <c r="Y19" i="8" s="1"/>
  <c r="Y14" i="8" a="1"/>
  <c r="Y14" i="8" s="1"/>
  <c r="Y52" i="8" a="1"/>
  <c r="Y52" i="8" s="1"/>
  <c r="AA23" i="5" a="1"/>
  <c r="AA23" i="5" s="1"/>
  <c r="AA37" i="5" a="1"/>
  <c r="AA37" i="5" s="1"/>
  <c r="AA141" i="5" a="1"/>
  <c r="AA141" i="5" s="1"/>
  <c r="AA32" i="5" a="1"/>
  <c r="AA32" i="5" s="1"/>
  <c r="AA132" i="5" a="1"/>
  <c r="AA132" i="5" s="1"/>
  <c r="AA27" i="5" a="1"/>
  <c r="AA27" i="5" s="1"/>
  <c r="AA123" i="5" a="1"/>
  <c r="AA123" i="5" s="1"/>
  <c r="AA183" i="5" a="1"/>
  <c r="AA183" i="5" s="1"/>
  <c r="AA98" i="5" a="1"/>
  <c r="AA98" i="5" s="1"/>
  <c r="AA144" i="5" a="1"/>
  <c r="AA144" i="5" s="1"/>
  <c r="AA200" i="5" a="1"/>
  <c r="AA200" i="5" s="1"/>
  <c r="AA216" i="5" a="1"/>
  <c r="AA216" i="5" s="1"/>
  <c r="AA232" i="5" a="1"/>
  <c r="AA232" i="5" s="1"/>
  <c r="AA248" i="5" a="1"/>
  <c r="AA248" i="5" s="1"/>
  <c r="AA264" i="5" a="1"/>
  <c r="AA264" i="5" s="1"/>
  <c r="AA280" i="5" a="1"/>
  <c r="AA280" i="5" s="1"/>
  <c r="AA57" i="5" a="1"/>
  <c r="AA57" i="5" s="1"/>
  <c r="AA152" i="5" a="1"/>
  <c r="AA152" i="5" s="1"/>
  <c r="AA40" i="5" a="1"/>
  <c r="AA40" i="5" s="1"/>
  <c r="AA148" i="5" a="1"/>
  <c r="AA148" i="5" s="1"/>
  <c r="AA35" i="5" a="1"/>
  <c r="AA35" i="5" s="1"/>
  <c r="AA130" i="5" a="1"/>
  <c r="AA130" i="5" s="1"/>
  <c r="AA185" i="5" a="1"/>
  <c r="AA185" i="5" s="1"/>
  <c r="AA101" i="5" a="1"/>
  <c r="AA101" i="5" s="1"/>
  <c r="AA153" i="5" a="1"/>
  <c r="AA153" i="5" s="1"/>
  <c r="AA202" i="5" a="1"/>
  <c r="AA202" i="5" s="1"/>
  <c r="AA97" i="5" a="1"/>
  <c r="AA97" i="5" s="1"/>
  <c r="AA163" i="5" a="1"/>
  <c r="AA163" i="5" s="1"/>
  <c r="AA61" i="5" a="1"/>
  <c r="AA61" i="5" s="1"/>
  <c r="AA150" i="5" a="1"/>
  <c r="AA150" i="5" s="1"/>
  <c r="AA53" i="5" a="1"/>
  <c r="AA53" i="5" s="1"/>
  <c r="AA137" i="5" a="1"/>
  <c r="AA137" i="5" s="1"/>
  <c r="AA24" i="5" a="1"/>
  <c r="AA24" i="5" s="1"/>
  <c r="AA106" i="5" a="1"/>
  <c r="AA106" i="5" s="1"/>
  <c r="AA155" i="5" a="1"/>
  <c r="AA155" i="5" s="1"/>
  <c r="AA204" i="5" a="1"/>
  <c r="AA204" i="5" s="1"/>
  <c r="AA220" i="5" a="1"/>
  <c r="AA220" i="5" s="1"/>
  <c r="AA236" i="5" a="1"/>
  <c r="AA236" i="5" s="1"/>
  <c r="AA252" i="5" a="1"/>
  <c r="AA252" i="5" s="1"/>
  <c r="AA268" i="5" a="1"/>
  <c r="AA268" i="5" s="1"/>
  <c r="AA21" i="5" a="1"/>
  <c r="AA21" i="5" s="1"/>
  <c r="AA93" i="5" a="1"/>
  <c r="AA93" i="5" s="1"/>
  <c r="AA196" i="5" a="1"/>
  <c r="AA196" i="5" s="1"/>
  <c r="AA131" i="5" a="1"/>
  <c r="AA131" i="5" s="1"/>
  <c r="AA162" i="5" a="1"/>
  <c r="AA162" i="5" s="1"/>
  <c r="AA88" i="5" a="1"/>
  <c r="AA88" i="5" s="1"/>
  <c r="AA165" i="5" a="1"/>
  <c r="AA165" i="5" s="1"/>
  <c r="AA51" i="5" a="1"/>
  <c r="AA51" i="5" s="1"/>
  <c r="AA136" i="5" a="1"/>
  <c r="AA136" i="5" s="1"/>
  <c r="AA199" i="5" a="1"/>
  <c r="AA199" i="5" s="1"/>
  <c r="AA215" i="5" a="1"/>
  <c r="AA215" i="5" s="1"/>
  <c r="AA113" i="5" a="1"/>
  <c r="AA113" i="5" s="1"/>
  <c r="AA14" i="5" a="1"/>
  <c r="AA14" i="5" s="1"/>
  <c r="AA120" i="5" a="1"/>
  <c r="AA120" i="5" s="1"/>
  <c r="AA191" i="5" a="1"/>
  <c r="AA191" i="5" s="1"/>
  <c r="AA89" i="5" a="1"/>
  <c r="AA89" i="5" s="1"/>
  <c r="AA170" i="5" a="1"/>
  <c r="AA170" i="5" s="1"/>
  <c r="AA111" i="5" a="1"/>
  <c r="AA111" i="5" s="1"/>
  <c r="AA157" i="5" a="1"/>
  <c r="AA157" i="5" s="1"/>
  <c r="AA26" i="5" a="1"/>
  <c r="AA26" i="5" s="1"/>
  <c r="AA125" i="5" a="1"/>
  <c r="AA125" i="5" s="1"/>
  <c r="AA193" i="5" a="1"/>
  <c r="AA193" i="5" s="1"/>
  <c r="AA92" i="5" a="1"/>
  <c r="AA92" i="5" s="1"/>
  <c r="AA187" i="5" a="1"/>
  <c r="AA187" i="5" s="1"/>
  <c r="AA116" i="5" a="1"/>
  <c r="AA116" i="5" s="1"/>
  <c r="AA166" i="5" a="1"/>
  <c r="AA166" i="5" s="1"/>
  <c r="AA75" i="5" a="1"/>
  <c r="AA75" i="5" s="1"/>
  <c r="AA128" i="5" a="1"/>
  <c r="AA128" i="5" s="1"/>
  <c r="AA181" i="5" a="1"/>
  <c r="AA181" i="5" s="1"/>
  <c r="AA29" i="5" a="1"/>
  <c r="AA29" i="5" s="1"/>
  <c r="AA134" i="5" a="1"/>
  <c r="AA134" i="5" s="1"/>
  <c r="AA195" i="5" a="1"/>
  <c r="AA195" i="5" s="1"/>
  <c r="AA103" i="5" a="1"/>
  <c r="AA103" i="5" s="1"/>
  <c r="AA189" i="5" a="1"/>
  <c r="AA189" i="5" s="1"/>
  <c r="AA118" i="5" a="1"/>
  <c r="AA118" i="5" s="1"/>
  <c r="AA168" i="5" a="1"/>
  <c r="AA168" i="5" s="1"/>
  <c r="AA84" i="5" a="1"/>
  <c r="AA84" i="5" s="1"/>
  <c r="AA142" i="5" a="1"/>
  <c r="AA142" i="5" s="1"/>
  <c r="AA198" i="5" a="1"/>
  <c r="AA198" i="5" s="1"/>
  <c r="AA214" i="5" a="1"/>
  <c r="AA214" i="5" s="1"/>
  <c r="AA230" i="5" a="1"/>
  <c r="AA230" i="5" s="1"/>
  <c r="AA246" i="5" a="1"/>
  <c r="AA246" i="5" s="1"/>
  <c r="AA262" i="5" a="1"/>
  <c r="AA262" i="5" s="1"/>
  <c r="AA278" i="5" a="1"/>
  <c r="AA278" i="5" s="1"/>
  <c r="AA65" i="5" a="1"/>
  <c r="AA65" i="5" s="1"/>
  <c r="AA175" i="5" a="1"/>
  <c r="AA175" i="5" s="1"/>
  <c r="AA112" i="5" a="1"/>
  <c r="AA112" i="5" s="1"/>
  <c r="AA151" i="5" a="1"/>
  <c r="AA151" i="5" s="1"/>
  <c r="AA39" i="5" a="1"/>
  <c r="AA39" i="5" s="1"/>
  <c r="R726" i="5"/>
  <c r="AA68" i="5" a="1"/>
  <c r="AA68" i="5" s="1"/>
  <c r="AA54" i="5" a="1"/>
  <c r="AA54" i="5" s="1"/>
  <c r="AA44" i="5" a="1"/>
  <c r="AA44" i="5" s="1"/>
  <c r="AA13" i="5" a="1"/>
  <c r="AA13" i="5" s="1"/>
  <c r="AA82" i="5" a="1"/>
  <c r="AA82" i="5" s="1"/>
  <c r="AA60" i="5" a="1"/>
  <c r="AA60" i="5" s="1"/>
  <c r="AA1063" i="5" a="1"/>
  <c r="AA1063" i="5" s="1"/>
  <c r="AA1062" i="5" a="1"/>
  <c r="AA1062" i="5" s="1"/>
  <c r="AA1046" i="5" a="1"/>
  <c r="AA1046" i="5" s="1"/>
  <c r="AA1030" i="5" a="1"/>
  <c r="AA1030" i="5" s="1"/>
  <c r="AA1014" i="5" a="1"/>
  <c r="AA1014" i="5" s="1"/>
  <c r="AA998" i="5" a="1"/>
  <c r="AA998" i="5" s="1"/>
  <c r="AA982" i="5" a="1"/>
  <c r="AA982" i="5" s="1"/>
  <c r="AA966" i="5" a="1"/>
  <c r="AA966" i="5" s="1"/>
  <c r="AA950" i="5" a="1"/>
  <c r="AA950" i="5" s="1"/>
  <c r="AA934" i="5" a="1"/>
  <c r="AA934" i="5" s="1"/>
  <c r="AA918" i="5" a="1"/>
  <c r="AA918" i="5" s="1"/>
  <c r="AA902" i="5" a="1"/>
  <c r="AA902" i="5" s="1"/>
  <c r="AA886" i="5" a="1"/>
  <c r="AA886" i="5" s="1"/>
  <c r="AA870" i="5" a="1"/>
  <c r="AA870" i="5" s="1"/>
  <c r="AA854" i="5" a="1"/>
  <c r="AA854" i="5" s="1"/>
  <c r="AA838" i="5" a="1"/>
  <c r="AA838" i="5" s="1"/>
  <c r="AA822" i="5" a="1"/>
  <c r="AA822" i="5" s="1"/>
  <c r="AA806" i="5" a="1"/>
  <c r="AA806" i="5" s="1"/>
  <c r="AA790" i="5" a="1"/>
  <c r="AA790" i="5" s="1"/>
  <c r="AA774" i="5" a="1"/>
  <c r="AA774" i="5" s="1"/>
  <c r="AA758" i="5" a="1"/>
  <c r="AA758" i="5" s="1"/>
  <c r="AA742" i="5" a="1"/>
  <c r="AA742" i="5" s="1"/>
  <c r="AA726" i="5" a="1"/>
  <c r="AA726" i="5" s="1"/>
  <c r="AA710" i="5" a="1"/>
  <c r="AA710" i="5" s="1"/>
  <c r="AA694" i="5" a="1"/>
  <c r="AA694" i="5" s="1"/>
  <c r="AA678" i="5" a="1"/>
  <c r="AA678" i="5" s="1"/>
  <c r="AA662" i="5" a="1"/>
  <c r="AA662" i="5" s="1"/>
  <c r="AA643" i="5" a="1"/>
  <c r="AA643" i="5" s="1"/>
  <c r="AA613" i="5" a="1"/>
  <c r="AA613" i="5" s="1"/>
  <c r="AA1045" i="5" a="1"/>
  <c r="AA1045" i="5" s="1"/>
  <c r="AA1029" i="5" a="1"/>
  <c r="AA1029" i="5" s="1"/>
  <c r="AA1013" i="5" a="1"/>
  <c r="AA1013" i="5" s="1"/>
  <c r="AA997" i="5" a="1"/>
  <c r="AA997" i="5" s="1"/>
  <c r="AA981" i="5" a="1"/>
  <c r="AA981" i="5" s="1"/>
  <c r="AA965" i="5" a="1"/>
  <c r="AA965" i="5" s="1"/>
  <c r="AA949" i="5" a="1"/>
  <c r="AA949" i="5" s="1"/>
  <c r="AA933" i="5" a="1"/>
  <c r="AA933" i="5" s="1"/>
  <c r="AA917" i="5" a="1"/>
  <c r="AA917" i="5" s="1"/>
  <c r="AA901" i="5" a="1"/>
  <c r="AA901" i="5" s="1"/>
  <c r="AA885" i="5" a="1"/>
  <c r="AA885" i="5" s="1"/>
  <c r="AA869" i="5" a="1"/>
  <c r="AA869" i="5" s="1"/>
  <c r="AA853" i="5" a="1"/>
  <c r="AA853" i="5" s="1"/>
  <c r="AA837" i="5" a="1"/>
  <c r="AA837" i="5" s="1"/>
  <c r="AA821" i="5" a="1"/>
  <c r="AA821" i="5" s="1"/>
  <c r="AA805" i="5" a="1"/>
  <c r="AA805" i="5" s="1"/>
  <c r="AA789" i="5" a="1"/>
  <c r="AA789" i="5" s="1"/>
  <c r="AA773" i="5" a="1"/>
  <c r="AA773" i="5" s="1"/>
  <c r="AA757" i="5" a="1"/>
  <c r="AA757" i="5" s="1"/>
  <c r="AA741" i="5" a="1"/>
  <c r="AA741" i="5" s="1"/>
  <c r="AA725" i="5" a="1"/>
  <c r="AA725" i="5" s="1"/>
  <c r="AA709" i="5" a="1"/>
  <c r="AA709" i="5" s="1"/>
  <c r="AA693" i="5" a="1"/>
  <c r="AA693" i="5" s="1"/>
  <c r="AA677" i="5" a="1"/>
  <c r="AA677" i="5" s="1"/>
  <c r="AA661" i="5" a="1"/>
  <c r="AA661" i="5" s="1"/>
  <c r="AA1073" i="5" a="1"/>
  <c r="AA1073" i="5" s="1"/>
  <c r="AA1067" i="5" a="1"/>
  <c r="AA1067" i="5" s="1"/>
  <c r="AA603" i="5" a="1"/>
  <c r="AA603" i="5" s="1"/>
  <c r="AA587" i="5" a="1"/>
  <c r="AA587" i="5" s="1"/>
  <c r="AA571" i="5" a="1"/>
  <c r="AA571" i="5" s="1"/>
  <c r="AA555" i="5" a="1"/>
  <c r="AA555" i="5" s="1"/>
  <c r="AA539" i="5" a="1"/>
  <c r="AA539" i="5" s="1"/>
  <c r="AA523" i="5" a="1"/>
  <c r="AA523" i="5" s="1"/>
  <c r="AA507" i="5" a="1"/>
  <c r="AA507" i="5" s="1"/>
  <c r="AA491" i="5" a="1"/>
  <c r="AA491" i="5" s="1"/>
  <c r="AA475" i="5" a="1"/>
  <c r="AA475" i="5" s="1"/>
  <c r="AA459" i="5" a="1"/>
  <c r="AA459" i="5" s="1"/>
  <c r="AA443" i="5" a="1"/>
  <c r="AA443" i="5" s="1"/>
  <c r="AA427" i="5" a="1"/>
  <c r="AA427" i="5" s="1"/>
  <c r="AA411" i="5" a="1"/>
  <c r="AA411" i="5" s="1"/>
  <c r="AA395" i="5" a="1"/>
  <c r="AA395" i="5" s="1"/>
  <c r="AA379" i="5" a="1"/>
  <c r="AA379" i="5" s="1"/>
  <c r="AA363" i="5" a="1"/>
  <c r="AA363" i="5" s="1"/>
  <c r="AA347" i="5" a="1"/>
  <c r="AA347" i="5" s="1"/>
  <c r="AA331" i="5" a="1"/>
  <c r="AA331" i="5" s="1"/>
  <c r="AA315" i="5" a="1"/>
  <c r="AA315" i="5" s="1"/>
  <c r="AA286" i="5" a="1"/>
  <c r="AA286" i="5" s="1"/>
  <c r="AA636" i="5" a="1"/>
  <c r="AA636" i="5" s="1"/>
  <c r="AA620" i="5" a="1"/>
  <c r="AA620" i="5" s="1"/>
  <c r="AA604" i="5" a="1"/>
  <c r="AA604" i="5" s="1"/>
  <c r="AA588" i="5" a="1"/>
  <c r="AA588" i="5" s="1"/>
  <c r="AA572" i="5" a="1"/>
  <c r="AA572" i="5" s="1"/>
  <c r="AA556" i="5" a="1"/>
  <c r="AA556" i="5" s="1"/>
  <c r="AA540" i="5" a="1"/>
  <c r="AA540" i="5" s="1"/>
  <c r="AA524" i="5" a="1"/>
  <c r="AA524" i="5" s="1"/>
  <c r="AA508" i="5" a="1"/>
  <c r="AA508" i="5" s="1"/>
  <c r="AA492" i="5" a="1"/>
  <c r="AA492" i="5" s="1"/>
  <c r="AA476" i="5" a="1"/>
  <c r="AA476" i="5" s="1"/>
  <c r="AA460" i="5" a="1"/>
  <c r="AA460" i="5" s="1"/>
  <c r="AA444" i="5" a="1"/>
  <c r="AA444" i="5" s="1"/>
  <c r="AA428" i="5" a="1"/>
  <c r="AA428" i="5" s="1"/>
  <c r="AA412" i="5" a="1"/>
  <c r="AA412" i="5" s="1"/>
  <c r="AA396" i="5" a="1"/>
  <c r="AA396" i="5" s="1"/>
  <c r="AA380" i="5" a="1"/>
  <c r="AA380" i="5" s="1"/>
  <c r="AA364" i="5" a="1"/>
  <c r="AA364" i="5" s="1"/>
  <c r="AA348" i="5" a="1"/>
  <c r="AA348" i="5" s="1"/>
  <c r="AA332" i="5" a="1"/>
  <c r="AA332" i="5" s="1"/>
  <c r="AA316" i="5" a="1"/>
  <c r="AA316" i="5" s="1"/>
  <c r="AA284" i="5" a="1"/>
  <c r="AA284" i="5" s="1"/>
  <c r="AA295" i="5" a="1"/>
  <c r="AA295" i="5" s="1"/>
  <c r="AA279" i="5" a="1"/>
  <c r="AA279" i="5" s="1"/>
  <c r="AA263" i="5" a="1"/>
  <c r="AA263" i="5" s="1"/>
  <c r="AA247" i="5" a="1"/>
  <c r="AA247" i="5" s="1"/>
  <c r="AA231" i="5" a="1"/>
  <c r="AA231" i="5" s="1"/>
  <c r="AA213" i="5" a="1"/>
  <c r="AA213" i="5" s="1"/>
  <c r="AA180" i="5" a="1"/>
  <c r="AA180" i="5" s="1"/>
  <c r="AA107" i="5" a="1"/>
  <c r="AA107" i="5" s="1"/>
  <c r="AA186" i="5" a="1"/>
  <c r="AA186" i="5" s="1"/>
  <c r="AA115" i="5" a="1"/>
  <c r="AA115" i="5" s="1"/>
  <c r="AA169" i="5" a="1"/>
  <c r="AA169" i="5" s="1"/>
  <c r="AA119" i="5" a="1"/>
  <c r="AA119" i="5" s="1"/>
  <c r="AA171" i="5" a="1"/>
  <c r="AA171" i="5" s="1"/>
  <c r="AA33" i="5" a="1"/>
  <c r="AA33" i="5" s="1"/>
  <c r="AA258" i="5" a="1"/>
  <c r="AA258" i="5" s="1"/>
  <c r="AA234" i="5" a="1"/>
  <c r="AA234" i="5" s="1"/>
  <c r="AA208" i="5" a="1"/>
  <c r="AA208" i="5" s="1"/>
  <c r="AA71" i="5" a="1"/>
  <c r="AA71" i="5" s="1"/>
  <c r="AA159" i="5" a="1"/>
  <c r="AA159" i="5" s="1"/>
  <c r="R1052" i="8"/>
  <c r="R1052" i="5"/>
  <c r="R741" i="8"/>
  <c r="R741" i="5"/>
  <c r="R613" i="8"/>
  <c r="R613" i="5"/>
  <c r="R511" i="8"/>
  <c r="R511" i="5"/>
  <c r="R414" i="5"/>
  <c r="R414" i="8"/>
  <c r="R1033" i="8"/>
  <c r="R1033" i="5"/>
  <c r="R984" i="8"/>
  <c r="R984" i="5"/>
  <c r="R914" i="8"/>
  <c r="R914" i="5"/>
  <c r="R676" i="8"/>
  <c r="R676" i="5"/>
  <c r="R597" i="8"/>
  <c r="R597" i="5"/>
  <c r="R400" i="8"/>
  <c r="R400" i="5"/>
  <c r="R379" i="8"/>
  <c r="R379" i="5"/>
  <c r="R306" i="8"/>
  <c r="R306" i="5"/>
  <c r="R203" i="5"/>
  <c r="R203" i="8"/>
  <c r="R191" i="5"/>
  <c r="R191" i="8"/>
  <c r="R179" i="8"/>
  <c r="R179" i="5"/>
  <c r="R159" i="5"/>
  <c r="R159" i="8"/>
  <c r="R151" i="8"/>
  <c r="R151" i="5"/>
  <c r="R30" i="8"/>
  <c r="R30" i="5"/>
  <c r="T964" i="8"/>
  <c r="T964" i="5"/>
  <c r="T788" i="8"/>
  <c r="T788" i="5"/>
  <c r="T620" i="8"/>
  <c r="T620" i="5"/>
  <c r="T407" i="8"/>
  <c r="T407" i="5"/>
  <c r="T315" i="5"/>
  <c r="T315" i="8"/>
  <c r="T254" i="8"/>
  <c r="T254" i="5"/>
  <c r="T219" i="5"/>
  <c r="T219" i="8"/>
  <c r="R1047" i="8"/>
  <c r="R1047" i="5"/>
  <c r="R1013" i="5"/>
  <c r="R1013" i="8"/>
  <c r="R945" i="5"/>
  <c r="R945" i="8"/>
  <c r="R919" i="8"/>
  <c r="R919" i="5"/>
  <c r="R836" i="8"/>
  <c r="R836" i="5"/>
  <c r="R688" i="8"/>
  <c r="R688" i="5"/>
  <c r="R567" i="8"/>
  <c r="R567" i="5"/>
  <c r="R544" i="8"/>
  <c r="R544" i="5"/>
  <c r="R532" i="8"/>
  <c r="R532" i="5"/>
  <c r="R502" i="8"/>
  <c r="R502" i="5"/>
  <c r="R488" i="8"/>
  <c r="R488" i="5"/>
  <c r="R447" i="8"/>
  <c r="R447" i="5"/>
  <c r="R360" i="5"/>
  <c r="R360" i="8"/>
  <c r="R333" i="5"/>
  <c r="R333" i="8"/>
  <c r="R295" i="5"/>
  <c r="R295" i="8"/>
  <c r="R250" i="5"/>
  <c r="R250" i="8"/>
  <c r="R229" i="8"/>
  <c r="R229" i="5"/>
  <c r="R215" i="8"/>
  <c r="R215" i="5"/>
  <c r="R107" i="5"/>
  <c r="R107" i="8"/>
  <c r="R87" i="8"/>
  <c r="R87" i="5"/>
  <c r="R74" i="5"/>
  <c r="R74" i="8"/>
  <c r="T932" i="8"/>
  <c r="T932" i="5"/>
  <c r="T772" i="8"/>
  <c r="T772" i="5"/>
  <c r="T570" i="5"/>
  <c r="T570" i="8"/>
  <c r="T549" i="8"/>
  <c r="T549" i="5"/>
  <c r="T536" i="5"/>
  <c r="T536" i="8"/>
  <c r="T520" i="5"/>
  <c r="T520" i="8"/>
  <c r="T494" i="8"/>
  <c r="T494" i="5"/>
  <c r="T490" i="5"/>
  <c r="T490" i="8"/>
  <c r="T486" i="5"/>
  <c r="T486" i="8"/>
  <c r="T443" i="8"/>
  <c r="T443" i="5"/>
  <c r="T405" i="8"/>
  <c r="T405" i="5"/>
  <c r="T368" i="8"/>
  <c r="T368" i="5"/>
  <c r="T335" i="5"/>
  <c r="T335" i="8"/>
  <c r="T331" i="8"/>
  <c r="T331" i="5"/>
  <c r="T327" i="5"/>
  <c r="T327" i="8"/>
  <c r="T318" i="8"/>
  <c r="T318" i="5"/>
  <c r="T304" i="8"/>
  <c r="T304" i="5"/>
  <c r="T299" i="8"/>
  <c r="T299" i="5"/>
  <c r="T295" i="8"/>
  <c r="T295" i="5"/>
  <c r="T288" i="8"/>
  <c r="T288" i="5"/>
  <c r="T284" i="8"/>
  <c r="T284" i="5"/>
  <c r="T280" i="5"/>
  <c r="T280" i="8"/>
  <c r="T159" i="8"/>
  <c r="T159" i="5"/>
  <c r="T155" i="5"/>
  <c r="T155" i="8"/>
  <c r="T151" i="5"/>
  <c r="T151" i="8"/>
  <c r="T147" i="8"/>
  <c r="T147" i="5"/>
  <c r="T137" i="8"/>
  <c r="T137" i="5"/>
  <c r="T109" i="8"/>
  <c r="T109" i="5"/>
  <c r="T105" i="8"/>
  <c r="T105" i="5"/>
  <c r="T100" i="5"/>
  <c r="T100" i="8"/>
  <c r="T78" i="8"/>
  <c r="T78" i="5"/>
  <c r="T74" i="5"/>
  <c r="T74" i="8"/>
  <c r="T70" i="5"/>
  <c r="T70" i="8"/>
  <c r="T43" i="5"/>
  <c r="T43" i="8"/>
  <c r="Y87" i="8" a="1"/>
  <c r="Y87" i="8" s="1"/>
  <c r="Y60" i="8" a="1"/>
  <c r="Y60" i="8" s="1"/>
  <c r="Y9" i="8" a="1"/>
  <c r="Y9" i="8" s="1"/>
  <c r="Y67" i="8" a="1"/>
  <c r="Y67" i="8" s="1"/>
  <c r="Y94" i="8" a="1"/>
  <c r="Y94" i="8" s="1"/>
  <c r="Y74" i="8" a="1"/>
  <c r="Y74" i="8" s="1"/>
  <c r="Y65" i="8" a="1"/>
  <c r="Y65" i="8" s="1"/>
  <c r="Y64" i="8" a="1"/>
  <c r="Y64" i="8" s="1"/>
  <c r="Y103" i="8" a="1"/>
  <c r="Y103" i="8" s="1"/>
  <c r="Y79" i="8" a="1"/>
  <c r="Y79" i="8" s="1"/>
  <c r="AA6" i="5" a="1"/>
  <c r="AA6" i="5" s="1"/>
  <c r="AA49" i="5" a="1"/>
  <c r="AA49" i="5" s="1"/>
  <c r="AA16" i="5" a="1"/>
  <c r="AA16" i="5" s="1"/>
  <c r="AA52" i="5" a="1"/>
  <c r="AA52" i="5" s="1"/>
  <c r="AA1055" i="5" a="1"/>
  <c r="AA1055" i="5" s="1"/>
  <c r="AA1060" i="5" a="1"/>
  <c r="AA1060" i="5" s="1"/>
  <c r="AA1044" i="5" a="1"/>
  <c r="AA1044" i="5" s="1"/>
  <c r="AA1028" i="5" a="1"/>
  <c r="AA1028" i="5" s="1"/>
  <c r="AA1012" i="5" a="1"/>
  <c r="AA1012" i="5" s="1"/>
  <c r="AA996" i="5" a="1"/>
  <c r="AA996" i="5" s="1"/>
  <c r="AA980" i="5" a="1"/>
  <c r="AA980" i="5" s="1"/>
  <c r="AA964" i="5" a="1"/>
  <c r="AA964" i="5" s="1"/>
  <c r="AA948" i="5" a="1"/>
  <c r="AA948" i="5" s="1"/>
  <c r="AA932" i="5" a="1"/>
  <c r="AA932" i="5" s="1"/>
  <c r="AA916" i="5" a="1"/>
  <c r="AA916" i="5" s="1"/>
  <c r="AA900" i="5" a="1"/>
  <c r="AA900" i="5" s="1"/>
  <c r="AA884" i="5" a="1"/>
  <c r="AA884" i="5" s="1"/>
  <c r="AA868" i="5" a="1"/>
  <c r="AA868" i="5" s="1"/>
  <c r="AA852" i="5" a="1"/>
  <c r="AA852" i="5" s="1"/>
  <c r="AA836" i="5" a="1"/>
  <c r="AA836" i="5" s="1"/>
  <c r="AA820" i="5" a="1"/>
  <c r="AA820" i="5" s="1"/>
  <c r="AA804" i="5" a="1"/>
  <c r="AA804" i="5" s="1"/>
  <c r="AA788" i="5" a="1"/>
  <c r="AA788" i="5" s="1"/>
  <c r="AA772" i="5" a="1"/>
  <c r="AA772" i="5" s="1"/>
  <c r="AA756" i="5" a="1"/>
  <c r="AA756" i="5" s="1"/>
  <c r="AA740" i="5" a="1"/>
  <c r="AA740" i="5" s="1"/>
  <c r="AA724" i="5" a="1"/>
  <c r="AA724" i="5" s="1"/>
  <c r="AA708" i="5" a="1"/>
  <c r="AA708" i="5" s="1"/>
  <c r="AA692" i="5" a="1"/>
  <c r="AA692" i="5" s="1"/>
  <c r="AA676" i="5" a="1"/>
  <c r="AA676" i="5" s="1"/>
  <c r="AA660" i="5" a="1"/>
  <c r="AA660" i="5" s="1"/>
  <c r="AA637" i="5" a="1"/>
  <c r="AA637" i="5" s="1"/>
  <c r="AA647" i="5" a="1"/>
  <c r="AA647" i="5" s="1"/>
  <c r="AA1043" i="5" a="1"/>
  <c r="AA1043" i="5" s="1"/>
  <c r="AA1027" i="5" a="1"/>
  <c r="AA1027" i="5" s="1"/>
  <c r="AA1011" i="5" a="1"/>
  <c r="AA1011" i="5" s="1"/>
  <c r="AA995" i="5" a="1"/>
  <c r="AA995" i="5" s="1"/>
  <c r="AA979" i="5" a="1"/>
  <c r="AA979" i="5" s="1"/>
  <c r="AA963" i="5" a="1"/>
  <c r="AA963" i="5" s="1"/>
  <c r="AA947" i="5" a="1"/>
  <c r="AA947" i="5" s="1"/>
  <c r="AA931" i="5" a="1"/>
  <c r="AA931" i="5" s="1"/>
  <c r="AA915" i="5" a="1"/>
  <c r="AA915" i="5" s="1"/>
  <c r="AA899" i="5" a="1"/>
  <c r="AA899" i="5" s="1"/>
  <c r="AA883" i="5" a="1"/>
  <c r="AA883" i="5" s="1"/>
  <c r="AA867" i="5" a="1"/>
  <c r="AA867" i="5" s="1"/>
  <c r="AA851" i="5" a="1"/>
  <c r="AA851" i="5" s="1"/>
  <c r="AA835" i="5" a="1"/>
  <c r="AA835" i="5" s="1"/>
  <c r="AA819" i="5" a="1"/>
  <c r="AA819" i="5" s="1"/>
  <c r="AA803" i="5" a="1"/>
  <c r="AA803" i="5" s="1"/>
  <c r="AA787" i="5" a="1"/>
  <c r="AA787" i="5" s="1"/>
  <c r="AA771" i="5" a="1"/>
  <c r="AA771" i="5" s="1"/>
  <c r="AA755" i="5" a="1"/>
  <c r="AA755" i="5" s="1"/>
  <c r="AA739" i="5" a="1"/>
  <c r="AA739" i="5" s="1"/>
  <c r="AA723" i="5" a="1"/>
  <c r="AA723" i="5" s="1"/>
  <c r="AA707" i="5" a="1"/>
  <c r="AA707" i="5" s="1"/>
  <c r="AA691" i="5" a="1"/>
  <c r="AA691" i="5" s="1"/>
  <c r="AA675" i="5" a="1"/>
  <c r="AA675" i="5" s="1"/>
  <c r="AA659" i="5" a="1"/>
  <c r="AA659" i="5" s="1"/>
  <c r="AA1057" i="5" a="1"/>
  <c r="AA1057" i="5" s="1"/>
  <c r="AA1059" i="5" a="1"/>
  <c r="AA1059" i="5" s="1"/>
  <c r="AA601" i="5" a="1"/>
  <c r="AA601" i="5" s="1"/>
  <c r="AA585" i="5" a="1"/>
  <c r="AA585" i="5" s="1"/>
  <c r="AA569" i="5" a="1"/>
  <c r="AA569" i="5" s="1"/>
  <c r="AA553" i="5" a="1"/>
  <c r="AA553" i="5" s="1"/>
  <c r="AA537" i="5" a="1"/>
  <c r="AA537" i="5" s="1"/>
  <c r="AA521" i="5" a="1"/>
  <c r="AA521" i="5" s="1"/>
  <c r="AA505" i="5" a="1"/>
  <c r="AA505" i="5" s="1"/>
  <c r="AA489" i="5" a="1"/>
  <c r="AA489" i="5" s="1"/>
  <c r="AA473" i="5" a="1"/>
  <c r="AA473" i="5" s="1"/>
  <c r="AA457" i="5" a="1"/>
  <c r="AA457" i="5" s="1"/>
  <c r="AA441" i="5" a="1"/>
  <c r="AA441" i="5" s="1"/>
  <c r="AA425" i="5" a="1"/>
  <c r="AA425" i="5" s="1"/>
  <c r="AA409" i="5" a="1"/>
  <c r="AA409" i="5" s="1"/>
  <c r="AA393" i="5" a="1"/>
  <c r="AA393" i="5" s="1"/>
  <c r="AA377" i="5" a="1"/>
  <c r="AA377" i="5" s="1"/>
  <c r="AA361" i="5" a="1"/>
  <c r="AA361" i="5" s="1"/>
  <c r="AA345" i="5" a="1"/>
  <c r="AA345" i="5" s="1"/>
  <c r="AA329" i="5" a="1"/>
  <c r="AA329" i="5" s="1"/>
  <c r="AA313" i="5" a="1"/>
  <c r="AA313" i="5" s="1"/>
  <c r="AA312" i="5" a="1"/>
  <c r="AA312" i="5" s="1"/>
  <c r="AA634" i="5" a="1"/>
  <c r="AA634" i="5" s="1"/>
  <c r="AA618" i="5" a="1"/>
  <c r="AA618" i="5" s="1"/>
  <c r="AA602" i="5" a="1"/>
  <c r="AA602" i="5" s="1"/>
  <c r="AA586" i="5" a="1"/>
  <c r="AA586" i="5" s="1"/>
  <c r="AA570" i="5" a="1"/>
  <c r="AA570" i="5" s="1"/>
  <c r="AA554" i="5" a="1"/>
  <c r="AA554" i="5" s="1"/>
  <c r="AA538" i="5" a="1"/>
  <c r="AA538" i="5" s="1"/>
  <c r="AA522" i="5" a="1"/>
  <c r="AA522" i="5" s="1"/>
  <c r="AA506" i="5" a="1"/>
  <c r="AA506" i="5" s="1"/>
  <c r="AA490" i="5" a="1"/>
  <c r="AA490" i="5" s="1"/>
  <c r="AA474" i="5" a="1"/>
  <c r="AA474" i="5" s="1"/>
  <c r="AA458" i="5" a="1"/>
  <c r="AA458" i="5" s="1"/>
  <c r="AA442" i="5" a="1"/>
  <c r="AA442" i="5" s="1"/>
  <c r="AA426" i="5" a="1"/>
  <c r="AA426" i="5" s="1"/>
  <c r="AA410" i="5" a="1"/>
  <c r="AA410" i="5" s="1"/>
  <c r="AA394" i="5" a="1"/>
  <c r="AA394" i="5" s="1"/>
  <c r="AA378" i="5" a="1"/>
  <c r="AA378" i="5" s="1"/>
  <c r="AA362" i="5" a="1"/>
  <c r="AA362" i="5" s="1"/>
  <c r="AA346" i="5" a="1"/>
  <c r="AA346" i="5" s="1"/>
  <c r="AA330" i="5" a="1"/>
  <c r="AA330" i="5" s="1"/>
  <c r="AA314" i="5" a="1"/>
  <c r="AA314" i="5" s="1"/>
  <c r="AA309" i="5" a="1"/>
  <c r="AA309" i="5" s="1"/>
  <c r="AA293" i="5" a="1"/>
  <c r="AA293" i="5" s="1"/>
  <c r="AA277" i="5" a="1"/>
  <c r="AA277" i="5" s="1"/>
  <c r="AA261" i="5" a="1"/>
  <c r="AA261" i="5" s="1"/>
  <c r="AA245" i="5" a="1"/>
  <c r="AA245" i="5" s="1"/>
  <c r="AA229" i="5" a="1"/>
  <c r="AA229" i="5" s="1"/>
  <c r="AA211" i="5" a="1"/>
  <c r="AA211" i="5" s="1"/>
  <c r="AA178" i="5" a="1"/>
  <c r="AA178" i="5" s="1"/>
  <c r="AA105" i="5" a="1"/>
  <c r="AA105" i="5" s="1"/>
  <c r="AA184" i="5" a="1"/>
  <c r="AA184" i="5" s="1"/>
  <c r="AA110" i="5" a="1"/>
  <c r="AA110" i="5" s="1"/>
  <c r="AA160" i="5" a="1"/>
  <c r="AA160" i="5" s="1"/>
  <c r="AA96" i="5" a="1"/>
  <c r="AA96" i="5" s="1"/>
  <c r="AA135" i="5" a="1"/>
  <c r="AA135" i="5" s="1"/>
  <c r="AA282" i="5" a="1"/>
  <c r="AA282" i="5" s="1"/>
  <c r="AA256" i="5" a="1"/>
  <c r="AA256" i="5" s="1"/>
  <c r="AA228" i="5" a="1"/>
  <c r="AA228" i="5" s="1"/>
  <c r="AA206" i="5" a="1"/>
  <c r="AA206" i="5" s="1"/>
  <c r="AA38" i="5" a="1"/>
  <c r="AA38" i="5" s="1"/>
  <c r="AA80" i="5" a="1"/>
  <c r="AA80" i="5" s="1"/>
  <c r="R996" i="8"/>
  <c r="R996" i="5"/>
  <c r="R932" i="8"/>
  <c r="R932" i="5"/>
  <c r="R903" i="8"/>
  <c r="R903" i="5"/>
  <c r="R675" i="8"/>
  <c r="R675" i="5"/>
  <c r="T60" i="8"/>
  <c r="T60" i="5"/>
  <c r="T32" i="5"/>
  <c r="T32" i="8"/>
  <c r="Y12" i="8" a="1"/>
  <c r="Y12" i="8" s="1"/>
  <c r="Y10" i="8" a="1"/>
  <c r="Y10" i="8" s="1"/>
  <c r="Y61" i="8" a="1"/>
  <c r="Y61" i="8" s="1"/>
  <c r="Y72" i="8" a="1"/>
  <c r="Y72" i="8" s="1"/>
  <c r="Y69" i="8" a="1"/>
  <c r="Y69" i="8" s="1"/>
  <c r="Y49" i="8" a="1"/>
  <c r="Y49" i="8" s="1"/>
  <c r="Y91" i="8" a="1"/>
  <c r="Y91" i="8" s="1"/>
  <c r="Y63" i="8" a="1"/>
  <c r="Y63" i="8" s="1"/>
  <c r="Y81" i="8" a="1"/>
  <c r="Y81" i="8" s="1"/>
  <c r="Y16" i="8" a="1"/>
  <c r="Y16" i="8" s="1"/>
  <c r="Y3" i="8" a="1"/>
  <c r="Y3" i="8" s="1"/>
  <c r="AA83" i="5" a="1"/>
  <c r="AA83" i="5" s="1"/>
  <c r="AA43" i="5" a="1"/>
  <c r="AA43" i="5" s="1"/>
  <c r="AA59" i="5" a="1"/>
  <c r="AA59" i="5" s="1"/>
  <c r="AA87" i="5" a="1"/>
  <c r="AA87" i="5" s="1"/>
  <c r="AA42" i="5" a="1"/>
  <c r="AA42" i="5" s="1"/>
  <c r="AA74" i="5" a="1"/>
  <c r="AA74" i="5" s="1"/>
  <c r="AA2" i="5" a="1"/>
  <c r="AA2" i="5" s="1"/>
  <c r="AA1058" i="5" a="1"/>
  <c r="AA1058" i="5" s="1"/>
  <c r="AA1042" i="5" a="1"/>
  <c r="AA1042" i="5" s="1"/>
  <c r="AA1026" i="5" a="1"/>
  <c r="AA1026" i="5" s="1"/>
  <c r="AA1010" i="5" a="1"/>
  <c r="AA1010" i="5" s="1"/>
  <c r="AA994" i="5" a="1"/>
  <c r="AA994" i="5" s="1"/>
  <c r="AA978" i="5" a="1"/>
  <c r="AA978" i="5" s="1"/>
  <c r="AA962" i="5" a="1"/>
  <c r="AA962" i="5" s="1"/>
  <c r="AA946" i="5" a="1"/>
  <c r="AA946" i="5" s="1"/>
  <c r="AA930" i="5" a="1"/>
  <c r="AA930" i="5" s="1"/>
  <c r="AA914" i="5" a="1"/>
  <c r="AA914" i="5" s="1"/>
  <c r="AA898" i="5" a="1"/>
  <c r="AA898" i="5" s="1"/>
  <c r="AA882" i="5" a="1"/>
  <c r="AA882" i="5" s="1"/>
  <c r="AA866" i="5" a="1"/>
  <c r="AA866" i="5" s="1"/>
  <c r="AA850" i="5" a="1"/>
  <c r="AA850" i="5" s="1"/>
  <c r="AA834" i="5" a="1"/>
  <c r="AA834" i="5" s="1"/>
  <c r="AA818" i="5" a="1"/>
  <c r="AA818" i="5" s="1"/>
  <c r="AA802" i="5" a="1"/>
  <c r="AA802" i="5" s="1"/>
  <c r="AA786" i="5" a="1"/>
  <c r="AA786" i="5" s="1"/>
  <c r="AA770" i="5" a="1"/>
  <c r="AA770" i="5" s="1"/>
  <c r="AA754" i="5" a="1"/>
  <c r="AA754" i="5" s="1"/>
  <c r="AA738" i="5" a="1"/>
  <c r="AA738" i="5" s="1"/>
  <c r="AA722" i="5" a="1"/>
  <c r="AA722" i="5" s="1"/>
  <c r="AA706" i="5" a="1"/>
  <c r="AA706" i="5" s="1"/>
  <c r="AA690" i="5" a="1"/>
  <c r="AA690" i="5" s="1"/>
  <c r="AA674" i="5" a="1"/>
  <c r="AA674" i="5" s="1"/>
  <c r="AA658" i="5" a="1"/>
  <c r="AA658" i="5" s="1"/>
  <c r="AA633" i="5" a="1"/>
  <c r="AA633" i="5" s="1"/>
  <c r="AA1069" i="5" a="1"/>
  <c r="AA1069" i="5" s="1"/>
  <c r="AA1041" i="5" a="1"/>
  <c r="AA1041" i="5" s="1"/>
  <c r="AA1025" i="5" a="1"/>
  <c r="AA1025" i="5" s="1"/>
  <c r="AA1009" i="5" a="1"/>
  <c r="AA1009" i="5" s="1"/>
  <c r="AA993" i="5" a="1"/>
  <c r="AA993" i="5" s="1"/>
  <c r="AA977" i="5" a="1"/>
  <c r="AA977" i="5" s="1"/>
  <c r="AA961" i="5" a="1"/>
  <c r="AA961" i="5" s="1"/>
  <c r="AA945" i="5" a="1"/>
  <c r="AA945" i="5" s="1"/>
  <c r="AA929" i="5" a="1"/>
  <c r="AA929" i="5" s="1"/>
  <c r="AA913" i="5" a="1"/>
  <c r="AA913" i="5" s="1"/>
  <c r="AA897" i="5" a="1"/>
  <c r="AA897" i="5" s="1"/>
  <c r="AA881" i="5" a="1"/>
  <c r="AA881" i="5" s="1"/>
  <c r="AA865" i="5" a="1"/>
  <c r="AA865" i="5" s="1"/>
  <c r="AA849" i="5" a="1"/>
  <c r="AA849" i="5" s="1"/>
  <c r="AA833" i="5" a="1"/>
  <c r="AA833" i="5" s="1"/>
  <c r="AA817" i="5" a="1"/>
  <c r="AA817" i="5" s="1"/>
  <c r="AA801" i="5" a="1"/>
  <c r="AA801" i="5" s="1"/>
  <c r="AA785" i="5" a="1"/>
  <c r="AA785" i="5" s="1"/>
  <c r="AA769" i="5" a="1"/>
  <c r="AA769" i="5" s="1"/>
  <c r="AA753" i="5" a="1"/>
  <c r="AA753" i="5" s="1"/>
  <c r="AA737" i="5" a="1"/>
  <c r="AA737" i="5" s="1"/>
  <c r="AA721" i="5" a="1"/>
  <c r="AA721" i="5" s="1"/>
  <c r="AA705" i="5" a="1"/>
  <c r="AA705" i="5" s="1"/>
  <c r="AA689" i="5" a="1"/>
  <c r="AA689" i="5" s="1"/>
  <c r="AA673" i="5" a="1"/>
  <c r="AA673" i="5" s="1"/>
  <c r="AA657" i="5" a="1"/>
  <c r="AA657" i="5" s="1"/>
  <c r="AA635" i="5" a="1"/>
  <c r="AA635" i="5" s="1"/>
  <c r="AA641" i="5" a="1"/>
  <c r="AA641" i="5" s="1"/>
  <c r="AA599" i="5" a="1"/>
  <c r="AA599" i="5" s="1"/>
  <c r="AA583" i="5" a="1"/>
  <c r="AA583" i="5" s="1"/>
  <c r="AA567" i="5" a="1"/>
  <c r="AA567" i="5" s="1"/>
  <c r="AA551" i="5" a="1"/>
  <c r="AA551" i="5" s="1"/>
  <c r="AA535" i="5" a="1"/>
  <c r="AA535" i="5" s="1"/>
  <c r="AA519" i="5" a="1"/>
  <c r="AA519" i="5" s="1"/>
  <c r="AA503" i="5" a="1"/>
  <c r="AA503" i="5" s="1"/>
  <c r="AA487" i="5" a="1"/>
  <c r="AA487" i="5" s="1"/>
  <c r="AA471" i="5" a="1"/>
  <c r="AA471" i="5" s="1"/>
  <c r="AA455" i="5" a="1"/>
  <c r="AA455" i="5" s="1"/>
  <c r="AA439" i="5" a="1"/>
  <c r="AA439" i="5" s="1"/>
  <c r="AA423" i="5" a="1"/>
  <c r="AA423" i="5" s="1"/>
  <c r="AA407" i="5" a="1"/>
  <c r="AA407" i="5" s="1"/>
  <c r="AA391" i="5" a="1"/>
  <c r="AA391" i="5" s="1"/>
  <c r="AA375" i="5" a="1"/>
  <c r="AA375" i="5" s="1"/>
  <c r="AA359" i="5" a="1"/>
  <c r="AA359" i="5" s="1"/>
  <c r="AA343" i="5" a="1"/>
  <c r="AA343" i="5" s="1"/>
  <c r="AA327" i="5" a="1"/>
  <c r="AA327" i="5" s="1"/>
  <c r="AA310" i="5" a="1"/>
  <c r="AA310" i="5" s="1"/>
  <c r="AA648" i="5" a="1"/>
  <c r="AA648" i="5" s="1"/>
  <c r="AA632" i="5" a="1"/>
  <c r="AA632" i="5" s="1"/>
  <c r="AA616" i="5" a="1"/>
  <c r="AA616" i="5" s="1"/>
  <c r="AA600" i="5" a="1"/>
  <c r="AA600" i="5" s="1"/>
  <c r="AA584" i="5" a="1"/>
  <c r="AA584" i="5" s="1"/>
  <c r="AA568" i="5" a="1"/>
  <c r="AA568" i="5" s="1"/>
  <c r="AA552" i="5" a="1"/>
  <c r="AA552" i="5" s="1"/>
  <c r="AA536" i="5" a="1"/>
  <c r="AA536" i="5" s="1"/>
  <c r="AA520" i="5" a="1"/>
  <c r="AA520" i="5" s="1"/>
  <c r="AA504" i="5" a="1"/>
  <c r="AA504" i="5" s="1"/>
  <c r="AA488" i="5" a="1"/>
  <c r="AA488" i="5" s="1"/>
  <c r="AA472" i="5" a="1"/>
  <c r="AA472" i="5" s="1"/>
  <c r="AA456" i="5" a="1"/>
  <c r="AA456" i="5" s="1"/>
  <c r="AA440" i="5" a="1"/>
  <c r="AA440" i="5" s="1"/>
  <c r="AA424" i="5" a="1"/>
  <c r="AA424" i="5" s="1"/>
  <c r="AA408" i="5" a="1"/>
  <c r="AA408" i="5" s="1"/>
  <c r="AA392" i="5" a="1"/>
  <c r="AA392" i="5" s="1"/>
  <c r="AA376" i="5" a="1"/>
  <c r="AA376" i="5" s="1"/>
  <c r="AA360" i="5" a="1"/>
  <c r="AA360" i="5" s="1"/>
  <c r="AA344" i="5" a="1"/>
  <c r="AA344" i="5" s="1"/>
  <c r="AA328" i="5" a="1"/>
  <c r="AA328" i="5" s="1"/>
  <c r="AA308" i="5" a="1"/>
  <c r="AA308" i="5" s="1"/>
  <c r="AA307" i="5" a="1"/>
  <c r="AA307" i="5" s="1"/>
  <c r="AA291" i="5" a="1"/>
  <c r="AA291" i="5" s="1"/>
  <c r="AA275" i="5" a="1"/>
  <c r="AA275" i="5" s="1"/>
  <c r="AA259" i="5" a="1"/>
  <c r="AA259" i="5" s="1"/>
  <c r="AA243" i="5" a="1"/>
  <c r="AA243" i="5" s="1"/>
  <c r="AA227" i="5" a="1"/>
  <c r="AA227" i="5" s="1"/>
  <c r="AA209" i="5" a="1"/>
  <c r="AA209" i="5" s="1"/>
  <c r="AA176" i="5" a="1"/>
  <c r="AA176" i="5" s="1"/>
  <c r="AA94" i="5" a="1"/>
  <c r="AA94" i="5" s="1"/>
  <c r="AA182" i="5" a="1"/>
  <c r="AA182" i="5" s="1"/>
  <c r="AA102" i="5" a="1"/>
  <c r="AA102" i="5" s="1"/>
  <c r="AA158" i="5" a="1"/>
  <c r="AA158" i="5" s="1"/>
  <c r="AA36" i="5" a="1"/>
  <c r="AA36" i="5" s="1"/>
  <c r="AA104" i="5" a="1"/>
  <c r="AA104" i="5" s="1"/>
  <c r="AA276" i="5" a="1"/>
  <c r="AA276" i="5" s="1"/>
  <c r="AA254" i="5" a="1"/>
  <c r="AA254" i="5" s="1"/>
  <c r="AA226" i="5" a="1"/>
  <c r="AA226" i="5" s="1"/>
  <c r="AA179" i="5" a="1"/>
  <c r="AA179" i="5" s="1"/>
  <c r="AA30" i="5" a="1"/>
  <c r="AA30" i="5" s="1"/>
  <c r="AA64" i="5" a="1"/>
  <c r="AA64" i="5" s="1"/>
  <c r="R1048" i="8"/>
  <c r="R1048" i="5"/>
  <c r="R1014" i="8"/>
  <c r="R1014" i="5"/>
  <c r="R933" i="5"/>
  <c r="R933" i="8"/>
  <c r="R853" i="8"/>
  <c r="R853" i="5"/>
  <c r="R723" i="8"/>
  <c r="R723" i="5"/>
  <c r="R661" i="8"/>
  <c r="R661" i="5"/>
  <c r="R581" i="8"/>
  <c r="R581" i="5"/>
  <c r="R568" i="8"/>
  <c r="R568" i="5"/>
  <c r="R541" i="5"/>
  <c r="R541" i="8"/>
  <c r="R533" i="8"/>
  <c r="R533" i="5"/>
  <c r="R513" i="8"/>
  <c r="R513" i="5"/>
  <c r="R507" i="8"/>
  <c r="R507" i="5"/>
  <c r="R483" i="8"/>
  <c r="R483" i="5"/>
  <c r="R467" i="5"/>
  <c r="R467" i="8"/>
  <c r="R453" i="8"/>
  <c r="R453" i="5"/>
  <c r="R448" i="8"/>
  <c r="R448" i="5"/>
  <c r="R440" i="5"/>
  <c r="R440" i="8"/>
  <c r="R436" i="5"/>
  <c r="R436" i="8"/>
  <c r="R427" i="8"/>
  <c r="R427" i="5"/>
  <c r="R420" i="8"/>
  <c r="R420" i="5"/>
  <c r="R1061" i="5"/>
  <c r="R1061" i="8"/>
  <c r="R1037" i="8"/>
  <c r="R1037" i="5"/>
  <c r="R1029" i="5"/>
  <c r="R1029" i="8"/>
  <c r="R1002" i="8"/>
  <c r="R1002" i="5"/>
  <c r="R997" i="5"/>
  <c r="R997" i="8"/>
  <c r="R980" i="8"/>
  <c r="R980" i="5"/>
  <c r="R940" i="8"/>
  <c r="R940" i="5"/>
  <c r="R916" i="8"/>
  <c r="R916" i="5"/>
  <c r="R868" i="8"/>
  <c r="R868" i="5"/>
  <c r="R772" i="5"/>
  <c r="R772" i="8"/>
  <c r="R708" i="8"/>
  <c r="R708" i="5"/>
  <c r="R660" i="8"/>
  <c r="R660" i="5"/>
  <c r="R628" i="5"/>
  <c r="R628" i="8"/>
  <c r="R601" i="8"/>
  <c r="R601" i="5"/>
  <c r="R520" i="5"/>
  <c r="R520" i="8"/>
  <c r="R472" i="5"/>
  <c r="R472" i="8"/>
  <c r="R405" i="8"/>
  <c r="R405" i="5"/>
  <c r="R383" i="8"/>
  <c r="R383" i="5"/>
  <c r="R381" i="5"/>
  <c r="R381" i="8"/>
  <c r="R375" i="8"/>
  <c r="R375" i="5"/>
  <c r="R303" i="8"/>
  <c r="R303" i="5"/>
  <c r="R207" i="5"/>
  <c r="R207" i="8"/>
  <c r="R201" i="8"/>
  <c r="R201" i="5"/>
  <c r="R197" i="8"/>
  <c r="R197" i="5"/>
  <c r="R195" i="8"/>
  <c r="R195" i="5"/>
  <c r="R187" i="5"/>
  <c r="R187" i="8"/>
  <c r="R185" i="8"/>
  <c r="R185" i="5"/>
  <c r="R181" i="8"/>
  <c r="R181" i="5"/>
  <c r="R175" i="5"/>
  <c r="R175" i="8"/>
  <c r="R157" i="5"/>
  <c r="R157" i="8"/>
  <c r="R153" i="8"/>
  <c r="R153" i="5"/>
  <c r="R149" i="8"/>
  <c r="R149" i="5"/>
  <c r="R147" i="8"/>
  <c r="R147" i="5"/>
  <c r="R143" i="5"/>
  <c r="R143" i="8"/>
  <c r="R67" i="8"/>
  <c r="R67" i="5"/>
  <c r="R54" i="8"/>
  <c r="R54" i="5"/>
  <c r="R36" i="8"/>
  <c r="R36" i="5"/>
  <c r="R32" i="8"/>
  <c r="R32" i="5"/>
  <c r="R26" i="8"/>
  <c r="R26" i="5"/>
  <c r="R24" i="5"/>
  <c r="R24" i="8"/>
  <c r="R22" i="8"/>
  <c r="R22" i="5"/>
  <c r="T1044" i="8"/>
  <c r="T1044" i="5"/>
  <c r="T1029" i="5"/>
  <c r="T1029" i="8"/>
  <c r="T980" i="8"/>
  <c r="T980" i="5"/>
  <c r="T969" i="8"/>
  <c r="T969" i="5"/>
  <c r="T804" i="8"/>
  <c r="T804" i="5"/>
  <c r="T660" i="5"/>
  <c r="T660" i="8"/>
  <c r="T523" i="8"/>
  <c r="T523" i="5"/>
  <c r="T513" i="8"/>
  <c r="T513" i="5"/>
  <c r="T506" i="5"/>
  <c r="T506" i="8"/>
  <c r="T460" i="8"/>
  <c r="T460" i="5"/>
  <c r="T456" i="5"/>
  <c r="T456" i="8"/>
  <c r="T430" i="8"/>
  <c r="T430" i="5"/>
  <c r="T415" i="8"/>
  <c r="T415" i="5"/>
  <c r="T411" i="8"/>
  <c r="T411" i="5"/>
  <c r="T394" i="5"/>
  <c r="T394" i="8"/>
  <c r="T311" i="8"/>
  <c r="T311" i="5"/>
  <c r="T250" i="5"/>
  <c r="T250" i="8"/>
  <c r="T246" i="5"/>
  <c r="T246" i="8"/>
  <c r="T235" i="5"/>
  <c r="T235" i="8"/>
  <c r="T231" i="8"/>
  <c r="T231" i="5"/>
  <c r="T227" i="5"/>
  <c r="T227" i="8"/>
  <c r="T211" i="5"/>
  <c r="T211" i="8"/>
  <c r="T164" i="5"/>
  <c r="T164" i="8"/>
  <c r="T132" i="5"/>
  <c r="T132" i="8"/>
  <c r="R1051" i="8"/>
  <c r="R1051" i="5"/>
  <c r="R1008" i="8"/>
  <c r="R1008" i="5"/>
  <c r="R964" i="8"/>
  <c r="R964" i="5"/>
  <c r="R962" i="8"/>
  <c r="R962" i="5"/>
  <c r="R958" i="5"/>
  <c r="R958" i="8"/>
  <c r="R956" i="8"/>
  <c r="R956" i="5"/>
  <c r="R949" i="5"/>
  <c r="R949" i="8"/>
  <c r="R927" i="5"/>
  <c r="R927" i="8"/>
  <c r="R925" i="8"/>
  <c r="R925" i="5"/>
  <c r="R923" i="8"/>
  <c r="R923" i="5"/>
  <c r="R838" i="8"/>
  <c r="R838" i="5"/>
  <c r="R771" i="8"/>
  <c r="R771" i="5"/>
  <c r="R680" i="8"/>
  <c r="R680" i="5"/>
  <c r="R624" i="8"/>
  <c r="R624" i="5"/>
  <c r="R620" i="8"/>
  <c r="R620" i="5"/>
  <c r="R616" i="5"/>
  <c r="R616" i="8"/>
  <c r="R580" i="8"/>
  <c r="R580" i="5"/>
  <c r="R549" i="8"/>
  <c r="R549" i="5"/>
  <c r="R540" i="5"/>
  <c r="R540" i="8"/>
  <c r="R516" i="8"/>
  <c r="R516" i="5"/>
  <c r="R494" i="5"/>
  <c r="R494" i="8"/>
  <c r="R486" i="8"/>
  <c r="R486" i="5"/>
  <c r="R439" i="8"/>
  <c r="R439" i="5"/>
  <c r="R364" i="8"/>
  <c r="R364" i="5"/>
  <c r="R337" i="5"/>
  <c r="R337" i="8"/>
  <c r="R329" i="8"/>
  <c r="R329" i="5"/>
  <c r="R299" i="8"/>
  <c r="R299" i="5"/>
  <c r="R261" i="8"/>
  <c r="R261" i="5"/>
  <c r="R233" i="8"/>
  <c r="R233" i="5"/>
  <c r="R223" i="5"/>
  <c r="R223" i="8"/>
  <c r="R211" i="8"/>
  <c r="R211" i="5"/>
  <c r="R162" i="8"/>
  <c r="R162" i="5"/>
  <c r="R105" i="8"/>
  <c r="R105" i="5"/>
  <c r="R80" i="5"/>
  <c r="R80" i="8"/>
  <c r="R72" i="8"/>
  <c r="R72" i="5"/>
  <c r="T937" i="5"/>
  <c r="T937" i="8"/>
  <c r="T740" i="8"/>
  <c r="T740" i="5"/>
  <c r="T628" i="5"/>
  <c r="T628" i="8"/>
  <c r="T597" i="5"/>
  <c r="T597" i="8"/>
  <c r="R1064" i="8"/>
  <c r="R1064" i="5"/>
  <c r="R1060" i="8"/>
  <c r="R1060" i="5"/>
  <c r="R1036" i="8"/>
  <c r="R1036" i="5"/>
  <c r="R1032" i="8"/>
  <c r="R1032" i="5"/>
  <c r="R1028" i="8"/>
  <c r="R1028" i="5"/>
  <c r="R987" i="8"/>
  <c r="R987" i="5"/>
  <c r="R979" i="8"/>
  <c r="R979" i="5"/>
  <c r="R973" i="8"/>
  <c r="R973" i="5"/>
  <c r="R971" i="8"/>
  <c r="R971" i="5"/>
  <c r="R967" i="8"/>
  <c r="R967" i="5"/>
  <c r="R942" i="5"/>
  <c r="R942" i="8"/>
  <c r="R937" i="8"/>
  <c r="R937" i="5"/>
  <c r="R930" i="8"/>
  <c r="R930" i="5"/>
  <c r="R909" i="8"/>
  <c r="R909" i="5"/>
  <c r="R907" i="8"/>
  <c r="R907" i="5"/>
  <c r="R905" i="8"/>
  <c r="R905" i="5"/>
  <c r="R901" i="8"/>
  <c r="R901" i="5"/>
  <c r="R883" i="5"/>
  <c r="R883" i="8"/>
  <c r="R867" i="8"/>
  <c r="R867" i="5"/>
  <c r="R818" i="5"/>
  <c r="R818" i="8"/>
  <c r="R802" i="5"/>
  <c r="R802" i="8"/>
  <c r="R740" i="8"/>
  <c r="R740" i="5"/>
  <c r="R643" i="8"/>
  <c r="R643" i="5"/>
  <c r="R596" i="8"/>
  <c r="R596" i="5"/>
  <c r="R519" i="5"/>
  <c r="R519" i="8"/>
  <c r="R404" i="8"/>
  <c r="R404" i="5"/>
  <c r="R394" i="5"/>
  <c r="R394" i="8"/>
  <c r="R390" i="8"/>
  <c r="R390" i="5"/>
  <c r="R45" i="8"/>
  <c r="R45" i="5"/>
  <c r="T112" i="8"/>
  <c r="T112" i="5"/>
  <c r="T39" i="5"/>
  <c r="T39" i="8"/>
  <c r="T17" i="5"/>
  <c r="T17" i="8"/>
  <c r="Y1014" i="8" a="1"/>
  <c r="Y1014" i="8" s="1"/>
  <c r="Y1070" i="8" a="1"/>
  <c r="Y1070" i="8" s="1"/>
  <c r="Y108" i="8" a="1"/>
  <c r="Y108" i="8" s="1"/>
  <c r="Y62" i="8" a="1"/>
  <c r="Y62" i="8" s="1"/>
  <c r="Y5" i="8" a="1"/>
  <c r="Y5" i="8" s="1"/>
  <c r="Y4" i="8" a="1"/>
  <c r="Y4" i="8" s="1"/>
  <c r="Y85" i="8" a="1"/>
  <c r="Y85" i="8" s="1"/>
  <c r="Y77" i="8" a="1"/>
  <c r="Y77" i="8" s="1"/>
  <c r="Y56" i="8" a="1"/>
  <c r="Y56" i="8" s="1"/>
  <c r="Y97" i="8" a="1"/>
  <c r="Y97" i="8" s="1"/>
  <c r="Y47" i="8" a="1"/>
  <c r="Y47" i="8" s="1"/>
  <c r="Y29" i="8" a="1"/>
  <c r="Y29" i="8" s="1"/>
  <c r="Y8" i="8" a="1"/>
  <c r="Y8" i="8" s="1"/>
  <c r="AA11" i="5" a="1"/>
  <c r="AA11" i="5" s="1"/>
  <c r="AA86" i="5" a="1"/>
  <c r="AA86" i="5" s="1"/>
  <c r="AA91" i="5" a="1"/>
  <c r="AA91" i="5" s="1"/>
  <c r="AA4" i="5" a="1"/>
  <c r="AA4" i="5" s="1"/>
  <c r="AA50" i="5" a="1"/>
  <c r="AA50" i="5" s="1"/>
  <c r="AA19" i="5" a="1"/>
  <c r="AA19" i="5" s="1"/>
  <c r="AA1072" i="5" a="1"/>
  <c r="AA1072" i="5" s="1"/>
  <c r="AA1056" i="5" a="1"/>
  <c r="AA1056" i="5" s="1"/>
  <c r="AA1040" i="5" a="1"/>
  <c r="AA1040" i="5" s="1"/>
  <c r="AA1024" i="5" a="1"/>
  <c r="AA1024" i="5" s="1"/>
  <c r="AA1008" i="5" a="1"/>
  <c r="AA1008" i="5" s="1"/>
  <c r="AA992" i="5" a="1"/>
  <c r="AA992" i="5" s="1"/>
  <c r="AA976" i="5" a="1"/>
  <c r="AA976" i="5" s="1"/>
  <c r="AA960" i="5" a="1"/>
  <c r="AA960" i="5" s="1"/>
  <c r="AA944" i="5" a="1"/>
  <c r="AA944" i="5" s="1"/>
  <c r="AA928" i="5" a="1"/>
  <c r="AA928" i="5" s="1"/>
  <c r="AA912" i="5" a="1"/>
  <c r="AA912" i="5" s="1"/>
  <c r="AA896" i="5" a="1"/>
  <c r="AA896" i="5" s="1"/>
  <c r="AA880" i="5" a="1"/>
  <c r="AA880" i="5" s="1"/>
  <c r="AA864" i="5" a="1"/>
  <c r="AA864" i="5" s="1"/>
  <c r="AA848" i="5" a="1"/>
  <c r="AA848" i="5" s="1"/>
  <c r="AA832" i="5" a="1"/>
  <c r="AA832" i="5" s="1"/>
  <c r="AA816" i="5" a="1"/>
  <c r="AA816" i="5" s="1"/>
  <c r="AA800" i="5" a="1"/>
  <c r="AA800" i="5" s="1"/>
  <c r="AA784" i="5" a="1"/>
  <c r="AA784" i="5" s="1"/>
  <c r="AA768" i="5" a="1"/>
  <c r="AA768" i="5" s="1"/>
  <c r="AA752" i="5" a="1"/>
  <c r="AA752" i="5" s="1"/>
  <c r="AA736" i="5" a="1"/>
  <c r="AA736" i="5" s="1"/>
  <c r="AA720" i="5" a="1"/>
  <c r="AA720" i="5" s="1"/>
  <c r="AA704" i="5" a="1"/>
  <c r="AA704" i="5" s="1"/>
  <c r="AA688" i="5" a="1"/>
  <c r="AA688" i="5" s="1"/>
  <c r="AA672" i="5" a="1"/>
  <c r="AA672" i="5" s="1"/>
  <c r="AA656" i="5" a="1"/>
  <c r="AA656" i="5" s="1"/>
  <c r="AA629" i="5" a="1"/>
  <c r="AA629" i="5" s="1"/>
  <c r="AA1061" i="5" a="1"/>
  <c r="AA1061" i="5" s="1"/>
  <c r="AA1039" i="5" a="1"/>
  <c r="AA1039" i="5" s="1"/>
  <c r="AA1023" i="5" a="1"/>
  <c r="AA1023" i="5" s="1"/>
  <c r="AA1007" i="5" a="1"/>
  <c r="AA1007" i="5" s="1"/>
  <c r="AA991" i="5" a="1"/>
  <c r="AA991" i="5" s="1"/>
  <c r="AA975" i="5" a="1"/>
  <c r="AA975" i="5" s="1"/>
  <c r="AA959" i="5" a="1"/>
  <c r="AA959" i="5" s="1"/>
  <c r="AA943" i="5" a="1"/>
  <c r="AA943" i="5" s="1"/>
  <c r="AA927" i="5" a="1"/>
  <c r="AA927" i="5" s="1"/>
  <c r="AA911" i="5" a="1"/>
  <c r="AA911" i="5" s="1"/>
  <c r="AA895" i="5" a="1"/>
  <c r="AA895" i="5" s="1"/>
  <c r="AA879" i="5" a="1"/>
  <c r="AA879" i="5" s="1"/>
  <c r="AA863" i="5" a="1"/>
  <c r="AA863" i="5" s="1"/>
  <c r="AA847" i="5" a="1"/>
  <c r="AA847" i="5" s="1"/>
  <c r="AA831" i="5" a="1"/>
  <c r="AA831" i="5" s="1"/>
  <c r="AA815" i="5" a="1"/>
  <c r="AA815" i="5" s="1"/>
  <c r="AA799" i="5" a="1"/>
  <c r="AA799" i="5" s="1"/>
  <c r="AA783" i="5" a="1"/>
  <c r="AA783" i="5" s="1"/>
  <c r="AA767" i="5" a="1"/>
  <c r="AA767" i="5" s="1"/>
  <c r="AA751" i="5" a="1"/>
  <c r="AA751" i="5" s="1"/>
  <c r="AA735" i="5" a="1"/>
  <c r="AA735" i="5" s="1"/>
  <c r="AA719" i="5" a="1"/>
  <c r="AA719" i="5" s="1"/>
  <c r="AA703" i="5" a="1"/>
  <c r="AA703" i="5" s="1"/>
  <c r="AA687" i="5" a="1"/>
  <c r="AA687" i="5" s="1"/>
  <c r="AA671" i="5" a="1"/>
  <c r="AA671" i="5" s="1"/>
  <c r="AA655" i="5" a="1"/>
  <c r="AA655" i="5" s="1"/>
  <c r="AA631" i="5" a="1"/>
  <c r="AA631" i="5" s="1"/>
  <c r="AA311" i="5" a="1"/>
  <c r="AA311" i="5" s="1"/>
  <c r="AA597" i="5" a="1"/>
  <c r="AA597" i="5" s="1"/>
  <c r="AA581" i="5" a="1"/>
  <c r="AA581" i="5" s="1"/>
  <c r="AA565" i="5" a="1"/>
  <c r="AA565" i="5" s="1"/>
  <c r="AA549" i="5" a="1"/>
  <c r="AA549" i="5" s="1"/>
  <c r="AA533" i="5" a="1"/>
  <c r="AA533" i="5" s="1"/>
  <c r="AA517" i="5" a="1"/>
  <c r="AA517" i="5" s="1"/>
  <c r="AA501" i="5" a="1"/>
  <c r="AA501" i="5" s="1"/>
  <c r="AA485" i="5" a="1"/>
  <c r="AA485" i="5" s="1"/>
  <c r="AA469" i="5" a="1"/>
  <c r="AA469" i="5" s="1"/>
  <c r="AA453" i="5" a="1"/>
  <c r="AA453" i="5" s="1"/>
  <c r="AA437" i="5" a="1"/>
  <c r="AA437" i="5" s="1"/>
  <c r="AA421" i="5" a="1"/>
  <c r="AA421" i="5" s="1"/>
  <c r="AA405" i="5" a="1"/>
  <c r="AA405" i="5" s="1"/>
  <c r="AA389" i="5" a="1"/>
  <c r="AA389" i="5" s="1"/>
  <c r="AA373" i="5" a="1"/>
  <c r="AA373" i="5" s="1"/>
  <c r="AA357" i="5" a="1"/>
  <c r="AA357" i="5" s="1"/>
  <c r="AA341" i="5" a="1"/>
  <c r="AA341" i="5" s="1"/>
  <c r="AA325" i="5" a="1"/>
  <c r="AA325" i="5" s="1"/>
  <c r="AA306" i="5" a="1"/>
  <c r="AA306" i="5" s="1"/>
  <c r="AA646" i="5" a="1"/>
  <c r="AA646" i="5" s="1"/>
  <c r="AA630" i="5" a="1"/>
  <c r="AA630" i="5" s="1"/>
  <c r="AA614" i="5" a="1"/>
  <c r="AA614" i="5" s="1"/>
  <c r="AA598" i="5" a="1"/>
  <c r="AA598" i="5" s="1"/>
  <c r="AA582" i="5" a="1"/>
  <c r="AA582" i="5" s="1"/>
  <c r="AA566" i="5" a="1"/>
  <c r="AA566" i="5" s="1"/>
  <c r="AA550" i="5" a="1"/>
  <c r="AA550" i="5" s="1"/>
  <c r="AA534" i="5" a="1"/>
  <c r="AA534" i="5" s="1"/>
  <c r="AA518" i="5" a="1"/>
  <c r="AA518" i="5" s="1"/>
  <c r="AA502" i="5" a="1"/>
  <c r="AA502" i="5" s="1"/>
  <c r="AA486" i="5" a="1"/>
  <c r="AA486" i="5" s="1"/>
  <c r="AA470" i="5" a="1"/>
  <c r="AA470" i="5" s="1"/>
  <c r="AA454" i="5" a="1"/>
  <c r="AA454" i="5" s="1"/>
  <c r="AA438" i="5" a="1"/>
  <c r="AA438" i="5" s="1"/>
  <c r="AA422" i="5" a="1"/>
  <c r="AA422" i="5" s="1"/>
  <c r="AA406" i="5" a="1"/>
  <c r="AA406" i="5" s="1"/>
  <c r="AA390" i="5" a="1"/>
  <c r="AA390" i="5" s="1"/>
  <c r="AA374" i="5" a="1"/>
  <c r="AA374" i="5" s="1"/>
  <c r="AA358" i="5" a="1"/>
  <c r="AA358" i="5" s="1"/>
  <c r="AA342" i="5" a="1"/>
  <c r="AA342" i="5" s="1"/>
  <c r="AA326" i="5" a="1"/>
  <c r="AA326" i="5" s="1"/>
  <c r="AA304" i="5" a="1"/>
  <c r="AA304" i="5" s="1"/>
  <c r="AA305" i="5" a="1"/>
  <c r="AA305" i="5" s="1"/>
  <c r="AA289" i="5" a="1"/>
  <c r="AA289" i="5" s="1"/>
  <c r="AA273" i="5" a="1"/>
  <c r="AA273" i="5" s="1"/>
  <c r="AA257" i="5" a="1"/>
  <c r="AA257" i="5" s="1"/>
  <c r="AA241" i="5" a="1"/>
  <c r="AA241" i="5" s="1"/>
  <c r="AA225" i="5" a="1"/>
  <c r="AA225" i="5" s="1"/>
  <c r="AA207" i="5" a="1"/>
  <c r="AA207" i="5" s="1"/>
  <c r="AA156" i="5" a="1"/>
  <c r="AA156" i="5" s="1"/>
  <c r="AA73" i="5" a="1"/>
  <c r="AA73" i="5" s="1"/>
  <c r="AA167" i="5" a="1"/>
  <c r="AA167" i="5" s="1"/>
  <c r="AA79" i="5" a="1"/>
  <c r="AA79" i="5" s="1"/>
  <c r="AA149" i="5" a="1"/>
  <c r="AA149" i="5" s="1"/>
  <c r="AA28" i="5" a="1"/>
  <c r="AA28" i="5" s="1"/>
  <c r="AA90" i="5" a="1"/>
  <c r="AA90" i="5" s="1"/>
  <c r="AA274" i="5" a="1"/>
  <c r="AA274" i="5" s="1"/>
  <c r="AA250" i="5" a="1"/>
  <c r="AA250" i="5" s="1"/>
  <c r="AA224" i="5" a="1"/>
  <c r="AA224" i="5" s="1"/>
  <c r="AA177" i="5" a="1"/>
  <c r="AA177" i="5" s="1"/>
  <c r="AA146" i="5" a="1"/>
  <c r="AA146" i="5" s="1"/>
  <c r="AA174" i="5" a="1"/>
  <c r="AA174" i="5" s="1"/>
  <c r="R943" i="8"/>
  <c r="R943" i="5"/>
  <c r="R617" i="8"/>
  <c r="R617" i="5"/>
  <c r="R1065" i="8"/>
  <c r="R1065" i="5"/>
  <c r="R1000" i="8"/>
  <c r="R1000" i="5"/>
  <c r="R692" i="5"/>
  <c r="R692" i="8"/>
  <c r="R527" i="5"/>
  <c r="R527" i="8"/>
  <c r="R430" i="5"/>
  <c r="R430" i="8"/>
  <c r="R377" i="8"/>
  <c r="R377" i="5"/>
  <c r="R324" i="8"/>
  <c r="R324" i="5"/>
  <c r="R287" i="8"/>
  <c r="R287" i="5"/>
  <c r="R199" i="8"/>
  <c r="R199" i="5"/>
  <c r="R183" i="8"/>
  <c r="R183" i="5"/>
  <c r="R155" i="5"/>
  <c r="R155" i="8"/>
  <c r="R127" i="5"/>
  <c r="R127" i="8"/>
  <c r="R58" i="5"/>
  <c r="R58" i="8"/>
  <c r="R28" i="5"/>
  <c r="R28" i="8"/>
  <c r="T1056" i="8"/>
  <c r="T1056" i="5"/>
  <c r="T973" i="8"/>
  <c r="T973" i="5"/>
  <c r="T916" i="8"/>
  <c r="T916" i="5"/>
  <c r="T688" i="8"/>
  <c r="T688" i="5"/>
  <c r="T419" i="8"/>
  <c r="T419" i="5"/>
  <c r="T390" i="5"/>
  <c r="T390" i="8"/>
  <c r="T215" i="8"/>
  <c r="T215" i="5"/>
  <c r="R1055" i="8"/>
  <c r="R1055" i="5"/>
  <c r="R1017" i="8"/>
  <c r="R1017" i="5"/>
  <c r="X2037" i="1"/>
  <c r="U1006" i="4"/>
  <c r="R953" i="8"/>
  <c r="R953" i="5"/>
  <c r="R921" i="8"/>
  <c r="R921" i="5"/>
  <c r="R852" i="8"/>
  <c r="R852" i="5"/>
  <c r="R684" i="5"/>
  <c r="R684" i="8"/>
  <c r="R612" i="8"/>
  <c r="R612" i="5"/>
  <c r="R563" i="8"/>
  <c r="R563" i="5"/>
  <c r="R536" i="8"/>
  <c r="R536" i="5"/>
  <c r="R510" i="5"/>
  <c r="R510" i="8"/>
  <c r="R506" i="5"/>
  <c r="R506" i="8"/>
  <c r="R492" i="5"/>
  <c r="R492" i="8"/>
  <c r="R490" i="5"/>
  <c r="R490" i="8"/>
  <c r="R482" i="8"/>
  <c r="R482" i="5"/>
  <c r="R469" i="8"/>
  <c r="R469" i="5"/>
  <c r="R460" i="8"/>
  <c r="R460" i="5"/>
  <c r="R458" i="5"/>
  <c r="R458" i="8"/>
  <c r="R456" i="8"/>
  <c r="R456" i="5"/>
  <c r="R452" i="8"/>
  <c r="R452" i="5"/>
  <c r="R443" i="8"/>
  <c r="R443" i="5"/>
  <c r="R435" i="5"/>
  <c r="R435" i="8"/>
  <c r="R419" i="8"/>
  <c r="R419" i="5"/>
  <c r="R399" i="8"/>
  <c r="R399" i="5"/>
  <c r="R368" i="8"/>
  <c r="R368" i="5"/>
  <c r="R356" i="8"/>
  <c r="R356" i="5"/>
  <c r="R339" i="5"/>
  <c r="R339" i="8"/>
  <c r="R335" i="5"/>
  <c r="R335" i="8"/>
  <c r="R331" i="5"/>
  <c r="R331" i="8"/>
  <c r="R327" i="8"/>
  <c r="R327" i="5"/>
  <c r="R297" i="8"/>
  <c r="R297" i="5"/>
  <c r="R271" i="5"/>
  <c r="R271" i="8"/>
  <c r="R259" i="8"/>
  <c r="R259" i="5"/>
  <c r="R256" i="8"/>
  <c r="R256" i="5"/>
  <c r="R254" i="5"/>
  <c r="R254" i="8"/>
  <c r="R252" i="5"/>
  <c r="R252" i="8"/>
  <c r="R248" i="8"/>
  <c r="R248" i="5"/>
  <c r="R246" i="8"/>
  <c r="R246" i="5"/>
  <c r="R235" i="5"/>
  <c r="R235" i="8"/>
  <c r="R231" i="5"/>
  <c r="R231" i="8"/>
  <c r="R227" i="8"/>
  <c r="R227" i="5"/>
  <c r="R219" i="5"/>
  <c r="R219" i="8"/>
  <c r="R217" i="8"/>
  <c r="R217" i="5"/>
  <c r="R213" i="8"/>
  <c r="R213" i="5"/>
  <c r="R164" i="8"/>
  <c r="R164" i="5"/>
  <c r="R132" i="8"/>
  <c r="R132" i="5"/>
  <c r="R124" i="5"/>
  <c r="R124" i="8"/>
  <c r="R111" i="5"/>
  <c r="R111" i="8"/>
  <c r="R109" i="5"/>
  <c r="R109" i="8"/>
  <c r="R103" i="8"/>
  <c r="R103" i="5"/>
  <c r="R100" i="8"/>
  <c r="R100" i="5"/>
  <c r="R91" i="5"/>
  <c r="R91" i="8"/>
  <c r="R78" i="5"/>
  <c r="R78" i="8"/>
  <c r="R76" i="5"/>
  <c r="R76" i="8"/>
  <c r="R70" i="8"/>
  <c r="R70" i="5"/>
  <c r="R53" i="8"/>
  <c r="R53" i="5"/>
  <c r="T958" i="8"/>
  <c r="T958" i="5"/>
  <c r="T953" i="8"/>
  <c r="T953" i="5"/>
  <c r="T928" i="8"/>
  <c r="T928" i="5"/>
  <c r="T855" i="8"/>
  <c r="T855" i="5"/>
  <c r="R1040" i="8"/>
  <c r="R1040" i="5"/>
  <c r="R983" i="8"/>
  <c r="R983" i="5"/>
  <c r="R969" i="8"/>
  <c r="R969" i="5"/>
  <c r="R935" i="8"/>
  <c r="R935" i="5"/>
  <c r="R899" i="8"/>
  <c r="R899" i="5"/>
  <c r="R659" i="8"/>
  <c r="R659" i="5"/>
  <c r="R600" i="8"/>
  <c r="R600" i="5"/>
  <c r="R523" i="8"/>
  <c r="R523" i="5"/>
  <c r="R501" i="8"/>
  <c r="R501" i="5"/>
  <c r="R474" i="5"/>
  <c r="R474" i="8"/>
  <c r="R429" i="5"/>
  <c r="R429" i="8"/>
  <c r="R392" i="8"/>
  <c r="R392" i="5"/>
  <c r="R352" i="8"/>
  <c r="R352" i="5"/>
  <c r="R350" i="5"/>
  <c r="R350" i="8"/>
  <c r="R348" i="5"/>
  <c r="R348" i="8"/>
  <c r="R346" i="5"/>
  <c r="R346" i="8"/>
  <c r="R344" i="8"/>
  <c r="R344" i="5"/>
  <c r="R342" i="8"/>
  <c r="R342" i="5"/>
  <c r="R323" i="8"/>
  <c r="R323" i="5"/>
  <c r="R317" i="5"/>
  <c r="R317" i="8"/>
  <c r="R315" i="8"/>
  <c r="R315" i="5"/>
  <c r="R313" i="8"/>
  <c r="R313" i="5"/>
  <c r="R311" i="8"/>
  <c r="R311" i="5"/>
  <c r="R309" i="8"/>
  <c r="R309" i="5"/>
  <c r="R284" i="8"/>
  <c r="R284" i="5"/>
  <c r="R282" i="5"/>
  <c r="R282" i="8"/>
  <c r="R280" i="5"/>
  <c r="R280" i="8"/>
  <c r="R278" i="8"/>
  <c r="R278" i="5"/>
  <c r="R267" i="8"/>
  <c r="R267" i="5"/>
  <c r="R265" i="8"/>
  <c r="R265" i="5"/>
  <c r="R263" i="8"/>
  <c r="R263" i="5"/>
  <c r="R206" i="5"/>
  <c r="R206" i="8"/>
  <c r="R190" i="5"/>
  <c r="R190" i="8"/>
  <c r="R174" i="5"/>
  <c r="R174" i="8"/>
  <c r="R171" i="5"/>
  <c r="R171" i="8"/>
  <c r="R169" i="8"/>
  <c r="R169" i="5"/>
  <c r="R167" i="8"/>
  <c r="R167" i="5"/>
  <c r="R142" i="5"/>
  <c r="R142" i="8"/>
  <c r="R120" i="8"/>
  <c r="R120" i="5"/>
  <c r="R118" i="8"/>
  <c r="R118" i="5"/>
  <c r="R116" i="8"/>
  <c r="R116" i="5"/>
  <c r="R57" i="8"/>
  <c r="R57" i="5"/>
  <c r="R35" i="8"/>
  <c r="R35" i="5"/>
  <c r="R20" i="8"/>
  <c r="R20" i="5"/>
  <c r="R17" i="8"/>
  <c r="R17" i="5"/>
  <c r="R15" i="8"/>
  <c r="R15" i="5"/>
  <c r="R13" i="8"/>
  <c r="R13" i="5"/>
  <c r="R11" i="5"/>
  <c r="R11" i="8"/>
  <c r="R9" i="5"/>
  <c r="R9" i="8"/>
  <c r="R7" i="8"/>
  <c r="R7" i="5"/>
  <c r="R4" i="8"/>
  <c r="R4" i="5"/>
  <c r="T1067" i="8"/>
  <c r="T1067" i="5"/>
  <c r="T1055" i="8"/>
  <c r="T1055" i="5"/>
  <c r="T1000" i="5"/>
  <c r="T1000" i="8"/>
  <c r="T942" i="8"/>
  <c r="T942" i="5"/>
  <c r="T836" i="8"/>
  <c r="T836" i="5"/>
  <c r="T684" i="8"/>
  <c r="T684" i="5"/>
  <c r="T646" i="5"/>
  <c r="T646" i="8"/>
  <c r="T616" i="5"/>
  <c r="T616" i="8"/>
  <c r="T502" i="5"/>
  <c r="T502" i="8"/>
  <c r="T474" i="5"/>
  <c r="T474" i="8"/>
  <c r="T424" i="5"/>
  <c r="T424" i="8"/>
  <c r="T303" i="8"/>
  <c r="T303" i="5"/>
  <c r="T287" i="8"/>
  <c r="T287" i="5"/>
  <c r="T272" i="8"/>
  <c r="T272" i="5"/>
  <c r="T261" i="8"/>
  <c r="T261" i="5"/>
  <c r="T128" i="8"/>
  <c r="T128" i="5"/>
  <c r="R1054" i="5"/>
  <c r="R1054" i="8"/>
  <c r="R1050" i="8"/>
  <c r="R1050" i="5"/>
  <c r="R1046" i="8"/>
  <c r="R1046" i="5"/>
  <c r="R1016" i="8"/>
  <c r="R1016" i="5"/>
  <c r="R1012" i="8"/>
  <c r="R1012" i="5"/>
  <c r="R960" i="8"/>
  <c r="R960" i="5"/>
  <c r="R952" i="8"/>
  <c r="R952" i="5"/>
  <c r="R948" i="8"/>
  <c r="R948" i="5"/>
  <c r="R939" i="8"/>
  <c r="R939" i="5"/>
  <c r="R911" i="8"/>
  <c r="R911" i="5"/>
  <c r="R851" i="8"/>
  <c r="R851" i="5"/>
  <c r="R804" i="8"/>
  <c r="R804" i="5"/>
  <c r="R722" i="8"/>
  <c r="R722" i="5"/>
  <c r="R707" i="8"/>
  <c r="R707" i="5"/>
  <c r="R687" i="5"/>
  <c r="R687" i="8"/>
  <c r="R683" i="5"/>
  <c r="R683" i="8"/>
  <c r="R679" i="8"/>
  <c r="R679" i="5"/>
  <c r="R623" i="5"/>
  <c r="R623" i="8"/>
  <c r="R619" i="8"/>
  <c r="R619" i="5"/>
  <c r="R615" i="5"/>
  <c r="R615" i="8"/>
  <c r="R611" i="8"/>
  <c r="R611" i="5"/>
  <c r="R579" i="8"/>
  <c r="R579" i="5"/>
  <c r="R566" i="8"/>
  <c r="R566" i="5"/>
  <c r="R562" i="8"/>
  <c r="R562" i="5"/>
  <c r="R543" i="8"/>
  <c r="R543" i="5"/>
  <c r="R539" i="8"/>
  <c r="R539" i="5"/>
  <c r="R535" i="5"/>
  <c r="R535" i="8"/>
  <c r="R531" i="8"/>
  <c r="R531" i="5"/>
  <c r="R515" i="8"/>
  <c r="R515" i="5"/>
  <c r="R512" i="8"/>
  <c r="R512" i="5"/>
  <c r="R509" i="5"/>
  <c r="R509" i="8"/>
  <c r="R505" i="8"/>
  <c r="R505" i="5"/>
  <c r="R485" i="8"/>
  <c r="R485" i="5"/>
  <c r="R471" i="8"/>
  <c r="R471" i="5"/>
  <c r="R455" i="8"/>
  <c r="R455" i="5"/>
  <c r="R451" i="5"/>
  <c r="R451" i="8"/>
  <c r="R446" i="5"/>
  <c r="R446" i="8"/>
  <c r="R442" i="5"/>
  <c r="R442" i="8"/>
  <c r="R438" i="8"/>
  <c r="R438" i="5"/>
  <c r="R434" i="8"/>
  <c r="R434" i="5"/>
  <c r="R426" i="5"/>
  <c r="R426" i="8"/>
  <c r="R424" i="8"/>
  <c r="R424" i="5"/>
  <c r="R422" i="8"/>
  <c r="R422" i="5"/>
  <c r="R418" i="8"/>
  <c r="R418" i="5"/>
  <c r="R415" i="8"/>
  <c r="R415" i="5"/>
  <c r="R413" i="5"/>
  <c r="R413" i="8"/>
  <c r="R411" i="8"/>
  <c r="R411" i="5"/>
  <c r="R409" i="8"/>
  <c r="R409" i="5"/>
  <c r="R407" i="8"/>
  <c r="R407" i="5"/>
  <c r="R396" i="5"/>
  <c r="R396" i="8"/>
  <c r="R389" i="8"/>
  <c r="R389" i="5"/>
  <c r="R371" i="8"/>
  <c r="R371" i="5"/>
  <c r="R367" i="5"/>
  <c r="R367" i="8"/>
  <c r="R363" i="8"/>
  <c r="R363" i="5"/>
  <c r="R359" i="8"/>
  <c r="R359" i="5"/>
  <c r="R355" i="5"/>
  <c r="R355" i="8"/>
  <c r="R341" i="8"/>
  <c r="R341" i="5"/>
  <c r="R270" i="5"/>
  <c r="R270" i="8"/>
  <c r="R222" i="5"/>
  <c r="R222" i="8"/>
  <c r="R139" i="5"/>
  <c r="R139" i="8"/>
  <c r="R137" i="8"/>
  <c r="R137" i="5"/>
  <c r="R135" i="8"/>
  <c r="R135" i="5"/>
  <c r="R131" i="8"/>
  <c r="R131" i="5"/>
  <c r="R123" i="5"/>
  <c r="R123" i="8"/>
  <c r="R99" i="8"/>
  <c r="R99" i="5"/>
  <c r="R90" i="5"/>
  <c r="R90" i="8"/>
  <c r="R85" i="8"/>
  <c r="R85" i="5"/>
  <c r="R52" i="8"/>
  <c r="R52" i="5"/>
  <c r="R47" i="5"/>
  <c r="R47" i="8"/>
  <c r="R43" i="8"/>
  <c r="R43" i="5"/>
  <c r="R41" i="5"/>
  <c r="R41" i="8"/>
  <c r="R39" i="8"/>
  <c r="R39" i="5"/>
  <c r="T1065" i="8"/>
  <c r="T1065" i="5"/>
  <c r="T1040" i="8"/>
  <c r="T1040" i="5"/>
  <c r="T1018" i="8"/>
  <c r="T1018" i="5"/>
  <c r="T1008" i="8"/>
  <c r="T1008" i="5"/>
  <c r="T949" i="8"/>
  <c r="T949" i="5"/>
  <c r="T940" i="8"/>
  <c r="T940" i="5"/>
  <c r="T927" i="8"/>
  <c r="T927" i="5"/>
  <c r="T923" i="8"/>
  <c r="T923" i="5"/>
  <c r="T919" i="5"/>
  <c r="T919" i="8"/>
  <c r="T909" i="8"/>
  <c r="T909" i="5"/>
  <c r="T905" i="5"/>
  <c r="T905" i="8"/>
  <c r="T901" i="8"/>
  <c r="T901" i="5"/>
  <c r="T852" i="8"/>
  <c r="T852" i="5"/>
  <c r="T722" i="8"/>
  <c r="T722" i="5"/>
  <c r="T692" i="5"/>
  <c r="T692" i="8"/>
  <c r="T582" i="5"/>
  <c r="T582" i="8"/>
  <c r="T567" i="8"/>
  <c r="T567" i="5"/>
  <c r="T532" i="5"/>
  <c r="T532" i="8"/>
  <c r="T472" i="5"/>
  <c r="T472" i="8"/>
  <c r="T452" i="5"/>
  <c r="T452" i="8"/>
  <c r="T439" i="8"/>
  <c r="T439" i="5"/>
  <c r="T381" i="8"/>
  <c r="T381" i="5"/>
  <c r="T377" i="8"/>
  <c r="T377" i="5"/>
  <c r="T364" i="8"/>
  <c r="T364" i="5"/>
  <c r="T350" i="8"/>
  <c r="T350" i="5"/>
  <c r="T346" i="5"/>
  <c r="T346" i="8"/>
  <c r="T342" i="5"/>
  <c r="T342" i="8"/>
  <c r="T265" i="8"/>
  <c r="T265" i="5"/>
  <c r="T209" i="8"/>
  <c r="T209" i="5"/>
  <c r="T201" i="5"/>
  <c r="T201" i="8"/>
  <c r="T197" i="8"/>
  <c r="T197" i="5"/>
  <c r="T185" i="8"/>
  <c r="T185" i="5"/>
  <c r="T181" i="5"/>
  <c r="T181" i="8"/>
  <c r="T171" i="8"/>
  <c r="T171" i="5"/>
  <c r="T167" i="5"/>
  <c r="T167" i="8"/>
  <c r="T127" i="5"/>
  <c r="T127" i="8"/>
  <c r="R1067" i="8"/>
  <c r="R1067" i="5"/>
  <c r="R1063" i="8"/>
  <c r="R1063" i="5"/>
  <c r="R1059" i="8"/>
  <c r="R1059" i="5"/>
  <c r="R1039" i="5"/>
  <c r="R1039" i="8"/>
  <c r="R1035" i="8"/>
  <c r="R1035" i="5"/>
  <c r="R1031" i="8"/>
  <c r="R1031" i="5"/>
  <c r="R1027" i="8"/>
  <c r="R1027" i="5"/>
  <c r="R1003" i="8"/>
  <c r="R1003" i="5"/>
  <c r="R1001" i="8"/>
  <c r="R1001" i="5"/>
  <c r="R999" i="8"/>
  <c r="R999" i="5"/>
  <c r="R986" i="8"/>
  <c r="R986" i="5"/>
  <c r="R982" i="8"/>
  <c r="R982" i="5"/>
  <c r="R944" i="8"/>
  <c r="R944" i="5"/>
  <c r="R915" i="8"/>
  <c r="R915" i="5"/>
  <c r="R866" i="5"/>
  <c r="R866" i="8"/>
  <c r="R788" i="8"/>
  <c r="R788" i="5"/>
  <c r="R724" i="5"/>
  <c r="R724" i="8"/>
  <c r="R691" i="5"/>
  <c r="R691" i="8"/>
  <c r="R664" i="8"/>
  <c r="R664" i="5"/>
  <c r="R658" i="8"/>
  <c r="R658" i="5"/>
  <c r="R630" i="8"/>
  <c r="R630" i="5"/>
  <c r="R627" i="8"/>
  <c r="R627" i="5"/>
  <c r="R599" i="8"/>
  <c r="R599" i="5"/>
  <c r="R595" i="8"/>
  <c r="R595" i="5"/>
  <c r="R552" i="8"/>
  <c r="R552" i="5"/>
  <c r="R548" i="5"/>
  <c r="R548" i="8"/>
  <c r="R522" i="5"/>
  <c r="R522" i="8"/>
  <c r="R500" i="5"/>
  <c r="R500" i="8"/>
  <c r="R476" i="5"/>
  <c r="R476" i="8"/>
  <c r="R468" i="8"/>
  <c r="R468" i="5"/>
  <c r="R432" i="5"/>
  <c r="R432" i="8"/>
  <c r="R428" i="8"/>
  <c r="R428" i="5"/>
  <c r="R403" i="5"/>
  <c r="R403" i="8"/>
  <c r="R398" i="5"/>
  <c r="R398" i="8"/>
  <c r="R384" i="8"/>
  <c r="R384" i="5"/>
  <c r="R382" i="5"/>
  <c r="R382" i="8"/>
  <c r="R380" i="8"/>
  <c r="R380" i="5"/>
  <c r="R378" i="5"/>
  <c r="R378" i="8"/>
  <c r="R376" i="5"/>
  <c r="R376" i="8"/>
  <c r="R374" i="8"/>
  <c r="R374" i="5"/>
  <c r="R322" i="8"/>
  <c r="R322" i="5"/>
  <c r="R308" i="8"/>
  <c r="R308" i="5"/>
  <c r="R304" i="8"/>
  <c r="R304" i="5"/>
  <c r="R302" i="5"/>
  <c r="R302" i="8"/>
  <c r="R288" i="8"/>
  <c r="R288" i="5"/>
  <c r="R205" i="5"/>
  <c r="R205" i="8"/>
  <c r="R202" i="5"/>
  <c r="R202" i="8"/>
  <c r="R200" i="8"/>
  <c r="R200" i="5"/>
  <c r="R198" i="8"/>
  <c r="R198" i="5"/>
  <c r="R196" i="8"/>
  <c r="R196" i="5"/>
  <c r="R194" i="8"/>
  <c r="R194" i="5"/>
  <c r="R189" i="5"/>
  <c r="R189" i="8"/>
  <c r="R186" i="5"/>
  <c r="R186" i="8"/>
  <c r="R184" i="5"/>
  <c r="R184" i="8"/>
  <c r="R182" i="8"/>
  <c r="R182" i="5"/>
  <c r="R180" i="8"/>
  <c r="R180" i="5"/>
  <c r="R178" i="8"/>
  <c r="R178" i="5"/>
  <c r="R173" i="5"/>
  <c r="R173" i="8"/>
  <c r="R160" i="8"/>
  <c r="R160" i="5"/>
  <c r="R158" i="5"/>
  <c r="R158" i="8"/>
  <c r="R156" i="5"/>
  <c r="R156" i="8"/>
  <c r="R154" i="5"/>
  <c r="R154" i="8"/>
  <c r="R152" i="8"/>
  <c r="R152" i="5"/>
  <c r="R150" i="8"/>
  <c r="R150" i="5"/>
  <c r="R148" i="8"/>
  <c r="R148" i="5"/>
  <c r="R146" i="8"/>
  <c r="R146" i="5"/>
  <c r="R141" i="5"/>
  <c r="R141" i="8"/>
  <c r="R126" i="5"/>
  <c r="R126" i="8"/>
  <c r="R68" i="8"/>
  <c r="R68" i="5"/>
  <c r="R60" i="5"/>
  <c r="R60" i="8"/>
  <c r="R56" i="8"/>
  <c r="R56" i="5"/>
  <c r="R34" i="8"/>
  <c r="R34" i="5"/>
  <c r="R31" i="8"/>
  <c r="R31" i="5"/>
  <c r="R29" i="5"/>
  <c r="R29" i="8"/>
  <c r="R27" i="8"/>
  <c r="R27" i="5"/>
  <c r="R25" i="5"/>
  <c r="R25" i="8"/>
  <c r="R23" i="8"/>
  <c r="R23" i="5"/>
  <c r="R19" i="8"/>
  <c r="R19" i="5"/>
  <c r="T1051" i="8"/>
  <c r="T1051" i="5"/>
  <c r="T1037" i="5"/>
  <c r="T1037" i="8"/>
  <c r="T987" i="8"/>
  <c r="T987" i="5"/>
  <c r="T974" i="8"/>
  <c r="T974" i="5"/>
  <c r="T971" i="8"/>
  <c r="T971" i="5"/>
  <c r="T967" i="5"/>
  <c r="T967" i="8"/>
  <c r="T962" i="8"/>
  <c r="T962" i="5"/>
  <c r="T914" i="8"/>
  <c r="T914" i="5"/>
  <c r="T883" i="8"/>
  <c r="T883" i="5"/>
  <c r="T841" i="8"/>
  <c r="T841" i="5"/>
  <c r="T680" i="5"/>
  <c r="T680" i="8"/>
  <c r="T612" i="5"/>
  <c r="T612" i="8"/>
  <c r="T512" i="8"/>
  <c r="T512" i="5"/>
  <c r="T482" i="8"/>
  <c r="T482" i="5"/>
  <c r="T458" i="5"/>
  <c r="T458" i="8"/>
  <c r="T416" i="8"/>
  <c r="T416" i="5"/>
  <c r="T413" i="8"/>
  <c r="T413" i="5"/>
  <c r="T409" i="5"/>
  <c r="T409" i="8"/>
  <c r="T396" i="8"/>
  <c r="T396" i="5"/>
  <c r="T392" i="5"/>
  <c r="T392" i="8"/>
  <c r="T317" i="8"/>
  <c r="T317" i="5"/>
  <c r="T313" i="5"/>
  <c r="T313" i="8"/>
  <c r="T309" i="8"/>
  <c r="T309" i="5"/>
  <c r="T271" i="8"/>
  <c r="T271" i="5"/>
  <c r="T256" i="8"/>
  <c r="T256" i="5"/>
  <c r="T252" i="8"/>
  <c r="T252" i="5"/>
  <c r="T248" i="5"/>
  <c r="T248" i="8"/>
  <c r="T233" i="5"/>
  <c r="T233" i="8"/>
  <c r="T229" i="8"/>
  <c r="T229" i="5"/>
  <c r="T224" i="8"/>
  <c r="T224" i="5"/>
  <c r="T217" i="8"/>
  <c r="T217" i="5"/>
  <c r="T213" i="8"/>
  <c r="T213" i="5"/>
  <c r="T192" i="8"/>
  <c r="T192" i="5"/>
  <c r="T176" i="8"/>
  <c r="T176" i="5"/>
  <c r="T162" i="8"/>
  <c r="T162" i="5"/>
  <c r="T120" i="8"/>
  <c r="T120" i="5"/>
  <c r="T116" i="5"/>
  <c r="T116" i="8"/>
  <c r="T91" i="5"/>
  <c r="T91" i="8"/>
  <c r="T68" i="5"/>
  <c r="T68" i="8"/>
  <c r="T58" i="5"/>
  <c r="T58" i="8"/>
  <c r="T47" i="8"/>
  <c r="T47" i="5"/>
  <c r="T38" i="8"/>
  <c r="T38" i="5"/>
  <c r="T30" i="5"/>
  <c r="T30" i="8"/>
  <c r="T15" i="8"/>
  <c r="T15" i="5"/>
  <c r="Y227" i="8" a="1"/>
  <c r="Y227" i="8" s="1"/>
  <c r="Y276" i="8" a="1"/>
  <c r="Y276" i="8" s="1"/>
  <c r="Y371" i="8" a="1"/>
  <c r="Y371" i="8" s="1"/>
  <c r="Y315" i="8" a="1"/>
  <c r="Y315" i="8" s="1"/>
  <c r="Y464" i="8" a="1"/>
  <c r="Y464" i="8" s="1"/>
  <c r="Y507" i="8" a="1"/>
  <c r="Y507" i="8" s="1"/>
  <c r="Y543" i="8" a="1"/>
  <c r="Y543" i="8" s="1"/>
  <c r="Y609" i="8" a="1"/>
  <c r="Y609" i="8" s="1"/>
  <c r="Y699" i="8" a="1"/>
  <c r="Y699" i="8" s="1"/>
  <c r="Y695" i="8" a="1"/>
  <c r="Y695" i="8" s="1"/>
  <c r="Y891" i="8" a="1"/>
  <c r="Y891" i="8" s="1"/>
  <c r="Y935" i="8" a="1"/>
  <c r="Y935" i="8" s="1"/>
  <c r="Y1012" i="8" a="1"/>
  <c r="Y1012" i="8" s="1"/>
  <c r="Y37" i="8" a="1"/>
  <c r="Y37" i="8" s="1"/>
  <c r="Y48" i="8" a="1"/>
  <c r="Y48" i="8" s="1"/>
  <c r="Y54" i="8" a="1"/>
  <c r="Y54" i="8" s="1"/>
  <c r="Y28" i="8" a="1"/>
  <c r="Y28" i="8" s="1"/>
  <c r="Y2" i="8" a="1"/>
  <c r="Y2" i="8" s="1"/>
  <c r="Y43" i="8" a="1"/>
  <c r="Y43" i="8" s="1"/>
  <c r="Y27" i="8" a="1"/>
  <c r="Y27" i="8" s="1"/>
  <c r="Y68" i="8" a="1"/>
  <c r="Y68" i="8" s="1"/>
  <c r="Y95" i="8" a="1"/>
  <c r="Y95" i="8" s="1"/>
  <c r="Y55" i="8" a="1"/>
  <c r="Y55" i="8" s="1"/>
  <c r="Y46" i="8" a="1"/>
  <c r="Y46" i="8" s="1"/>
  <c r="Y203" i="5" a="1"/>
  <c r="Y203" i="5" s="1"/>
  <c r="Y185" i="5" a="1"/>
  <c r="Y185" i="5" s="1"/>
  <c r="Y192" i="5" a="1"/>
  <c r="Y192" i="5" s="1"/>
  <c r="Y160" i="5" a="1"/>
  <c r="Y160" i="5" s="1"/>
  <c r="Y58" i="5" a="1"/>
  <c r="Y58" i="5" s="1"/>
  <c r="Y519" i="5" a="1"/>
  <c r="Y519" i="5" s="1"/>
  <c r="Y548" i="5" a="1"/>
  <c r="Y548" i="5" s="1"/>
  <c r="Y521" i="5" a="1"/>
  <c r="Y521" i="5" s="1"/>
  <c r="Y486" i="5" a="1"/>
  <c r="Y486" i="5" s="1"/>
  <c r="Y1004" i="5" a="1"/>
  <c r="Y1004" i="5" s="1"/>
  <c r="Y1001" i="5" a="1"/>
  <c r="Y1001" i="5" s="1"/>
  <c r="Y998" i="5" a="1"/>
  <c r="Y998" i="5" s="1"/>
  <c r="Y979" i="5" a="1"/>
  <c r="Y979" i="5" s="1"/>
  <c r="Y976" i="5" a="1"/>
  <c r="Y976" i="5" s="1"/>
  <c r="Y973" i="5" a="1"/>
  <c r="Y973" i="5" s="1"/>
  <c r="Y962" i="5" a="1"/>
  <c r="Y962" i="5" s="1"/>
  <c r="Y967" i="5" a="1"/>
  <c r="Y967" i="5" s="1"/>
  <c r="Y339" i="5" a="1"/>
  <c r="Y339" i="5" s="1"/>
  <c r="Y312" i="5" a="1"/>
  <c r="Y312" i="5" s="1"/>
  <c r="Y333" i="5" a="1"/>
  <c r="Y333" i="5" s="1"/>
  <c r="Y298" i="5" a="1"/>
  <c r="Y298" i="5" s="1"/>
  <c r="Y143" i="5" a="1"/>
  <c r="Y143" i="5" s="1"/>
  <c r="Y134" i="5" a="1"/>
  <c r="Y134" i="5" s="1"/>
  <c r="Y166" i="5" a="1"/>
  <c r="Y166" i="5" s="1"/>
  <c r="Y120" i="5" a="1"/>
  <c r="Y120" i="5" s="1"/>
  <c r="Y628" i="5" a="1"/>
  <c r="Y628" i="5" s="1"/>
  <c r="Y625" i="5" a="1"/>
  <c r="Y625" i="5" s="1"/>
  <c r="Y622" i="5" a="1"/>
  <c r="Y622" i="5" s="1"/>
  <c r="Y603" i="5" a="1"/>
  <c r="Y603" i="5" s="1"/>
  <c r="Y600" i="5" a="1"/>
  <c r="Y600" i="5" s="1"/>
  <c r="Y597" i="5" a="1"/>
  <c r="Y597" i="5" s="1"/>
  <c r="Y586" i="5" a="1"/>
  <c r="Y586" i="5" s="1"/>
  <c r="Y591" i="5" a="1"/>
  <c r="Y591" i="5" s="1"/>
  <c r="Y32" i="5" a="1"/>
  <c r="Y32" i="5" s="1"/>
  <c r="Y475" i="5" a="1"/>
  <c r="Y475" i="5" s="1"/>
  <c r="Y448" i="5" a="1"/>
  <c r="Y448" i="5" s="1"/>
  <c r="Y469" i="5" a="1"/>
  <c r="Y469" i="5" s="1"/>
  <c r="Y434" i="5" a="1"/>
  <c r="Y434" i="5" s="1"/>
  <c r="Y279" i="5" a="1"/>
  <c r="Y279" i="5" s="1"/>
  <c r="Y308" i="5" a="1"/>
  <c r="Y308" i="5" s="1"/>
  <c r="Y281" i="5" a="1"/>
  <c r="Y281" i="5" s="1"/>
  <c r="Y246" i="5" a="1"/>
  <c r="Y246" i="5" s="1"/>
  <c r="Y764" i="5" a="1"/>
  <c r="Y764" i="5" s="1"/>
  <c r="Y761" i="5" a="1"/>
  <c r="Y761" i="5" s="1"/>
  <c r="Y758" i="5" a="1"/>
  <c r="Y758" i="5" s="1"/>
  <c r="Y739" i="5" a="1"/>
  <c r="Y739" i="5" s="1"/>
  <c r="Y736" i="5" a="1"/>
  <c r="Y736" i="5" s="1"/>
  <c r="Y733" i="5" a="1"/>
  <c r="Y733" i="5" s="1"/>
  <c r="Y722" i="5" a="1"/>
  <c r="Y722" i="5" s="1"/>
  <c r="Y727" i="5" a="1"/>
  <c r="Y727" i="5" s="1"/>
  <c r="Y99" i="5" a="1"/>
  <c r="Y99" i="5" s="1"/>
  <c r="Y62" i="5" a="1"/>
  <c r="Y62" i="5" s="1"/>
  <c r="Y55" i="5" a="1"/>
  <c r="Y55" i="5" s="1"/>
  <c r="Y79" i="5" a="1"/>
  <c r="Y79" i="5" s="1"/>
  <c r="Y7" i="5" a="1"/>
  <c r="Y7" i="5" s="1"/>
  <c r="Y415" i="5" a="1"/>
  <c r="Y415" i="5" s="1"/>
  <c r="Y444" i="5" a="1"/>
  <c r="Y444" i="5" s="1"/>
  <c r="Y417" i="5" a="1"/>
  <c r="Y417" i="5" s="1"/>
  <c r="Y382" i="5" a="1"/>
  <c r="Y382" i="5" s="1"/>
  <c r="Y900" i="5" a="1"/>
  <c r="Y900" i="5" s="1"/>
  <c r="Y897" i="5" a="1"/>
  <c r="Y897" i="5" s="1"/>
  <c r="Y894" i="5" a="1"/>
  <c r="Y894" i="5" s="1"/>
  <c r="Y875" i="5" a="1"/>
  <c r="Y875" i="5" s="1"/>
  <c r="Y872" i="5" a="1"/>
  <c r="Y872" i="5" s="1"/>
  <c r="Y869" i="5" a="1"/>
  <c r="Y869" i="5" s="1"/>
  <c r="Y858" i="5" a="1"/>
  <c r="Y858" i="5" s="1"/>
  <c r="Y863" i="5" a="1"/>
  <c r="Y863" i="5" s="1"/>
  <c r="Y235" i="5" a="1"/>
  <c r="Y235" i="5" s="1"/>
  <c r="Y208" i="5" a="1"/>
  <c r="Y208" i="5" s="1"/>
  <c r="Y229" i="5" a="1"/>
  <c r="Y229" i="5" s="1"/>
  <c r="Y197" i="5" a="1"/>
  <c r="Y197" i="5" s="1"/>
  <c r="Y72" i="5" a="1"/>
  <c r="Y72" i="5" s="1"/>
  <c r="Y551" i="5" a="1"/>
  <c r="Y551" i="5" s="1"/>
  <c r="Y50" i="5" a="1"/>
  <c r="Y50" i="5" s="1"/>
  <c r="Y553" i="5" a="1"/>
  <c r="Y553" i="5" s="1"/>
  <c r="Y518" i="5" a="1"/>
  <c r="Y518" i="5" s="1"/>
  <c r="Y1036" i="5" a="1"/>
  <c r="Y1036" i="5" s="1"/>
  <c r="Y1033" i="5" a="1"/>
  <c r="Y1033" i="5" s="1"/>
  <c r="Y1030" i="5" a="1"/>
  <c r="Y1030" i="5" s="1"/>
  <c r="Y1011" i="5" a="1"/>
  <c r="Y1011" i="5" s="1"/>
  <c r="Y1008" i="5" a="1"/>
  <c r="Y1008" i="5" s="1"/>
  <c r="Y1005" i="5" a="1"/>
  <c r="Y1005" i="5" s="1"/>
  <c r="Y994" i="5" a="1"/>
  <c r="Y994" i="5" s="1"/>
  <c r="Y999" i="5" a="1"/>
  <c r="Y999" i="5" s="1"/>
  <c r="Y371" i="5" a="1"/>
  <c r="Y371" i="5" s="1"/>
  <c r="Y344" i="5" a="1"/>
  <c r="Y344" i="5" s="1"/>
  <c r="Y365" i="5" a="1"/>
  <c r="Y365" i="5" s="1"/>
  <c r="Y330" i="5" a="1"/>
  <c r="Y330" i="5" s="1"/>
  <c r="Y184" i="5" a="1"/>
  <c r="Y184" i="5" s="1"/>
  <c r="Y204" i="5" a="1"/>
  <c r="Y204" i="5" s="1"/>
  <c r="Y186" i="5" a="1"/>
  <c r="Y186" i="5" s="1"/>
  <c r="Y152" i="5" a="1"/>
  <c r="Y152" i="5" s="1"/>
  <c r="Y660" i="5" a="1"/>
  <c r="Y660" i="5" s="1"/>
  <c r="Y657" i="5" a="1"/>
  <c r="Y657" i="5" s="1"/>
  <c r="Y654" i="5" a="1"/>
  <c r="Y654" i="5" s="1"/>
  <c r="Y635" i="5" a="1"/>
  <c r="Y635" i="5" s="1"/>
  <c r="Y632" i="5" a="1"/>
  <c r="Y632" i="5" s="1"/>
  <c r="Y629" i="5" a="1"/>
  <c r="Y629" i="5" s="1"/>
  <c r="Y618" i="5" a="1"/>
  <c r="Y618" i="5" s="1"/>
  <c r="Y623" i="5" a="1"/>
  <c r="Y623" i="5" s="1"/>
  <c r="Y5" i="5" a="1"/>
  <c r="Y5" i="5" s="1"/>
  <c r="Y443" i="5" a="1"/>
  <c r="Y443" i="5" s="1"/>
  <c r="Y416" i="5" a="1"/>
  <c r="Y416" i="5" s="1"/>
  <c r="Y437" i="5" a="1"/>
  <c r="Y437" i="5" s="1"/>
  <c r="Y402" i="5" a="1"/>
  <c r="Y402" i="5" s="1"/>
  <c r="Y247" i="5" a="1"/>
  <c r="Y247" i="5" s="1"/>
  <c r="Y276" i="5" a="1"/>
  <c r="Y276" i="5" s="1"/>
  <c r="Y249" i="5" a="1"/>
  <c r="Y249" i="5" s="1"/>
  <c r="Y214" i="5" a="1"/>
  <c r="Y214" i="5" s="1"/>
  <c r="Y732" i="5" a="1"/>
  <c r="Y732" i="5" s="1"/>
  <c r="Y729" i="5" a="1"/>
  <c r="Y729" i="5" s="1"/>
  <c r="Y726" i="5" a="1"/>
  <c r="Y726" i="5" s="1"/>
  <c r="Y707" i="5" a="1"/>
  <c r="Y707" i="5" s="1"/>
  <c r="Y704" i="5" a="1"/>
  <c r="Y704" i="5" s="1"/>
  <c r="Y701" i="5" a="1"/>
  <c r="Y701" i="5" s="1"/>
  <c r="Y690" i="5" a="1"/>
  <c r="Y690" i="5" s="1"/>
  <c r="Y695" i="5" a="1"/>
  <c r="Y695" i="5" s="1"/>
  <c r="Y82" i="5" a="1"/>
  <c r="Y82" i="5" s="1"/>
  <c r="Y19" i="5" a="1"/>
  <c r="Y19" i="5" s="1"/>
  <c r="Y552" i="5" a="1"/>
  <c r="Y552" i="5" s="1"/>
  <c r="Y22" i="5" a="1"/>
  <c r="Y22" i="5" s="1"/>
  <c r="Y538" i="5" a="1"/>
  <c r="Y538" i="5" s="1"/>
  <c r="Y383" i="5" a="1"/>
  <c r="Y383" i="5" s="1"/>
  <c r="Y412" i="5" a="1"/>
  <c r="Y412" i="5" s="1"/>
  <c r="Y385" i="5" a="1"/>
  <c r="Y385" i="5" s="1"/>
  <c r="Y350" i="5" a="1"/>
  <c r="Y350" i="5" s="1"/>
  <c r="Y868" i="5" a="1"/>
  <c r="Y868" i="5" s="1"/>
  <c r="Y865" i="5" a="1"/>
  <c r="Y865" i="5" s="1"/>
  <c r="Y862" i="5" a="1"/>
  <c r="Y862" i="5" s="1"/>
  <c r="Y843" i="5" a="1"/>
  <c r="Y843" i="5" s="1"/>
  <c r="Y840" i="5" a="1"/>
  <c r="Y840" i="5" s="1"/>
  <c r="Y837" i="5" a="1"/>
  <c r="Y837" i="5" s="1"/>
  <c r="Y826" i="5" a="1"/>
  <c r="Y826" i="5" s="1"/>
  <c r="Y831" i="5" a="1"/>
  <c r="Y831" i="5" s="1"/>
  <c r="Y267" i="5" a="1"/>
  <c r="Y267" i="5" s="1"/>
  <c r="Y240" i="5" a="1"/>
  <c r="Y240" i="5" s="1"/>
  <c r="Y261" i="5" a="1"/>
  <c r="Y261" i="5" s="1"/>
  <c r="Y226" i="5" a="1"/>
  <c r="Y226" i="5" s="1"/>
  <c r="Y96" i="5" a="1"/>
  <c r="Y96" i="5" s="1"/>
  <c r="Y15" i="5" a="1"/>
  <c r="Y15" i="5" s="1"/>
  <c r="Y84" i="5" a="1"/>
  <c r="Y84" i="5" s="1"/>
  <c r="Y21" i="5" a="1"/>
  <c r="Y21" i="5" s="1"/>
  <c r="Y550" i="5" a="1"/>
  <c r="Y550" i="5" s="1"/>
  <c r="Y1068" i="5" a="1"/>
  <c r="Y1068" i="5" s="1"/>
  <c r="Y1065" i="5" a="1"/>
  <c r="Y1065" i="5" s="1"/>
  <c r="Y1062" i="5" a="1"/>
  <c r="Y1062" i="5" s="1"/>
  <c r="Y1043" i="5" a="1"/>
  <c r="Y1043" i="5" s="1"/>
  <c r="Y1040" i="5" a="1"/>
  <c r="Y1040" i="5" s="1"/>
  <c r="Y1037" i="5" a="1"/>
  <c r="Y1037" i="5" s="1"/>
  <c r="Y1026" i="5" a="1"/>
  <c r="Y1026" i="5" s="1"/>
  <c r="Y1031" i="5" a="1"/>
  <c r="Y1031" i="5" s="1"/>
  <c r="Y403" i="5" a="1"/>
  <c r="Y403" i="5" s="1"/>
  <c r="Y376" i="5" a="1"/>
  <c r="Y376" i="5" s="1"/>
  <c r="Y397" i="5" a="1"/>
  <c r="Y397" i="5" s="1"/>
  <c r="Y362" i="5" a="1"/>
  <c r="Y362" i="5" s="1"/>
  <c r="Y207" i="5" a="1"/>
  <c r="Y207" i="5" s="1"/>
  <c r="Y236" i="5" a="1"/>
  <c r="Y236" i="5" s="1"/>
  <c r="Y209" i="5" a="1"/>
  <c r="Y209" i="5" s="1"/>
  <c r="Y183" i="5" a="1"/>
  <c r="Y183" i="5" s="1"/>
  <c r="Y692" i="5" a="1"/>
  <c r="Y692" i="5" s="1"/>
  <c r="Y689" i="5" a="1"/>
  <c r="Y689" i="5" s="1"/>
  <c r="Y686" i="5" a="1"/>
  <c r="Y686" i="5" s="1"/>
  <c r="Y667" i="5" a="1"/>
  <c r="Y667" i="5" s="1"/>
  <c r="Y664" i="5" a="1"/>
  <c r="Y664" i="5" s="1"/>
  <c r="Y661" i="5" a="1"/>
  <c r="Y661" i="5" s="1"/>
  <c r="Y650" i="5" a="1"/>
  <c r="Y650" i="5" s="1"/>
  <c r="Y655" i="5" a="1"/>
  <c r="Y655" i="5" s="1"/>
  <c r="Y64" i="5" a="1"/>
  <c r="Y64" i="5" s="1"/>
  <c r="Y539" i="5" a="1"/>
  <c r="Y539" i="5" s="1"/>
  <c r="Y512" i="5" a="1"/>
  <c r="Y512" i="5" s="1"/>
  <c r="Y533" i="5" a="1"/>
  <c r="Y533" i="5" s="1"/>
  <c r="Y498" i="5" a="1"/>
  <c r="Y498" i="5" s="1"/>
  <c r="Y343" i="5" a="1"/>
  <c r="Y343" i="5" s="1"/>
  <c r="Y372" i="5" a="1"/>
  <c r="Y372" i="5" s="1"/>
  <c r="Y345" i="5" a="1"/>
  <c r="Y345" i="5" s="1"/>
  <c r="Y310" i="5" a="1"/>
  <c r="Y310" i="5" s="1"/>
  <c r="Y828" i="5" a="1"/>
  <c r="Y828" i="5" s="1"/>
  <c r="Y825" i="5" a="1"/>
  <c r="Y825" i="5" s="1"/>
  <c r="Y822" i="5" a="1"/>
  <c r="Y822" i="5" s="1"/>
  <c r="Y803" i="5" a="1"/>
  <c r="Y803" i="5" s="1"/>
  <c r="Y800" i="5" a="1"/>
  <c r="Y800" i="5" s="1"/>
  <c r="Y797" i="5" a="1"/>
  <c r="Y797" i="5" s="1"/>
  <c r="Y786" i="5" a="1"/>
  <c r="Y786" i="5" s="1"/>
  <c r="Y791" i="5" a="1"/>
  <c r="Y791" i="5" s="1"/>
  <c r="Y140" i="5" a="1"/>
  <c r="Y140" i="5" s="1"/>
  <c r="Y144" i="5" a="1"/>
  <c r="Y144" i="5" s="1"/>
  <c r="Y158" i="5" a="1"/>
  <c r="Y158" i="5" s="1"/>
  <c r="Y121" i="5" a="1"/>
  <c r="Y121" i="5" s="1"/>
  <c r="Y39" i="5" a="1"/>
  <c r="Y39" i="5" s="1"/>
  <c r="Y479" i="5" a="1"/>
  <c r="Y479" i="5" s="1"/>
  <c r="Y508" i="5" a="1"/>
  <c r="Y508" i="5" s="1"/>
  <c r="Y481" i="5" a="1"/>
  <c r="Y481" i="5" s="1"/>
  <c r="Y446" i="5" a="1"/>
  <c r="Y446" i="5" s="1"/>
  <c r="Y964" i="5" a="1"/>
  <c r="Y964" i="5" s="1"/>
  <c r="Y961" i="5" a="1"/>
  <c r="Y961" i="5" s="1"/>
  <c r="Y958" i="5" a="1"/>
  <c r="Y958" i="5" s="1"/>
  <c r="Y939" i="5" a="1"/>
  <c r="Y939" i="5" s="1"/>
  <c r="Y936" i="5" a="1"/>
  <c r="Y936" i="5" s="1"/>
  <c r="Y933" i="5" a="1"/>
  <c r="Y933" i="5" s="1"/>
  <c r="Y922" i="5" a="1"/>
  <c r="Y922" i="5" s="1"/>
  <c r="Y927" i="5" a="1"/>
  <c r="Y927" i="5" s="1"/>
  <c r="Y299" i="5" a="1"/>
  <c r="Y299" i="5" s="1"/>
  <c r="Y272" i="5" a="1"/>
  <c r="Y272" i="5" s="1"/>
  <c r="Y293" i="5" a="1"/>
  <c r="Y293" i="5" s="1"/>
  <c r="Y258" i="5" a="1"/>
  <c r="Y258" i="5" s="1"/>
  <c r="Y116" i="5" a="1"/>
  <c r="Y116" i="5" s="1"/>
  <c r="Y75" i="5" a="1"/>
  <c r="Y75" i="5" s="1"/>
  <c r="Y138" i="5" a="1"/>
  <c r="Y138" i="5" s="1"/>
  <c r="Y73" i="5" a="1"/>
  <c r="Y73" i="5" s="1"/>
  <c r="Y588" i="5" a="1"/>
  <c r="Y588" i="5" s="1"/>
  <c r="Y585" i="5" a="1"/>
  <c r="Y585" i="5" s="1"/>
  <c r="Y582" i="5" a="1"/>
  <c r="Y582" i="5" s="1"/>
  <c r="Y563" i="5" a="1"/>
  <c r="Y563" i="5" s="1"/>
  <c r="Y560" i="5" a="1"/>
  <c r="Y560" i="5" s="1"/>
  <c r="Y1072" i="5" a="1"/>
  <c r="Y1072" i="5" s="1"/>
  <c r="Y1069" i="5" a="1"/>
  <c r="Y1069" i="5" s="1"/>
  <c r="Y1058" i="5" a="1"/>
  <c r="Y1058" i="5" s="1"/>
  <c r="Y1063" i="5" a="1"/>
  <c r="Y1063" i="5" s="1"/>
  <c r="Y435" i="5" a="1"/>
  <c r="Y435" i="5" s="1"/>
  <c r="Y408" i="5" a="1"/>
  <c r="Y408" i="5" s="1"/>
  <c r="Y429" i="5" a="1"/>
  <c r="Y429" i="5" s="1"/>
  <c r="Y394" i="5" a="1"/>
  <c r="Y394" i="5" s="1"/>
  <c r="Y239" i="5" a="1"/>
  <c r="Y239" i="5" s="1"/>
  <c r="Y268" i="5" a="1"/>
  <c r="Y268" i="5" s="1"/>
  <c r="Y241" i="5" a="1"/>
  <c r="Y241" i="5" s="1"/>
  <c r="Y206" i="5" a="1"/>
  <c r="Y206" i="5" s="1"/>
  <c r="Y724" i="5" a="1"/>
  <c r="Y724" i="5" s="1"/>
  <c r="Y721" i="5" a="1"/>
  <c r="Y721" i="5" s="1"/>
  <c r="Y718" i="5" a="1"/>
  <c r="Y718" i="5" s="1"/>
  <c r="Y699" i="5" a="1"/>
  <c r="Y699" i="5" s="1"/>
  <c r="Y696" i="5" a="1"/>
  <c r="Y696" i="5" s="1"/>
  <c r="Y693" i="5" a="1"/>
  <c r="Y693" i="5" s="1"/>
  <c r="Y682" i="5" a="1"/>
  <c r="Y682" i="5" s="1"/>
  <c r="Y687" i="5" a="1"/>
  <c r="Y687" i="5" s="1"/>
  <c r="Y40" i="5" a="1"/>
  <c r="Y40" i="5" s="1"/>
  <c r="Y507" i="5" a="1"/>
  <c r="Y507" i="5" s="1"/>
  <c r="Y480" i="5" a="1"/>
  <c r="Y480" i="5" s="1"/>
  <c r="Y501" i="5" a="1"/>
  <c r="Y501" i="5" s="1"/>
  <c r="Y466" i="5" a="1"/>
  <c r="Y466" i="5" s="1"/>
  <c r="Y311" i="5" a="1"/>
  <c r="Y311" i="5" s="1"/>
  <c r="Y340" i="5" a="1"/>
  <c r="Y340" i="5" s="1"/>
  <c r="Y313" i="5" a="1"/>
  <c r="Y313" i="5" s="1"/>
  <c r="Y278" i="5" a="1"/>
  <c r="Y278" i="5" s="1"/>
  <c r="Y796" i="5" a="1"/>
  <c r="Y796" i="5" s="1"/>
  <c r="Y793" i="5" a="1"/>
  <c r="Y793" i="5" s="1"/>
  <c r="Y790" i="5" a="1"/>
  <c r="Y790" i="5" s="1"/>
  <c r="Y771" i="5" a="1"/>
  <c r="Y771" i="5" s="1"/>
  <c r="Y768" i="5" a="1"/>
  <c r="Y768" i="5" s="1"/>
  <c r="Y765" i="5" a="1"/>
  <c r="Y765" i="5" s="1"/>
  <c r="Y754" i="5" a="1"/>
  <c r="Y754" i="5" s="1"/>
  <c r="Y759" i="5" a="1"/>
  <c r="Y759" i="5" s="1"/>
  <c r="Y115" i="5" a="1"/>
  <c r="Y115" i="5" s="1"/>
  <c r="Y91" i="5" a="1"/>
  <c r="Y91" i="5" s="1"/>
  <c r="Y130" i="5" a="1"/>
  <c r="Y130" i="5" s="1"/>
  <c r="Y104" i="5" a="1"/>
  <c r="Y104" i="5" s="1"/>
  <c r="Y31" i="5" a="1"/>
  <c r="Y31" i="5" s="1"/>
  <c r="Y447" i="5" a="1"/>
  <c r="Y447" i="5" s="1"/>
  <c r="Y476" i="5" a="1"/>
  <c r="Y476" i="5" s="1"/>
  <c r="Y449" i="5" a="1"/>
  <c r="Y449" i="5" s="1"/>
  <c r="Y414" i="5" a="1"/>
  <c r="Y414" i="5" s="1"/>
  <c r="Y932" i="5" a="1"/>
  <c r="Y932" i="5" s="1"/>
  <c r="Y929" i="5" a="1"/>
  <c r="Y929" i="5" s="1"/>
  <c r="Y926" i="5" a="1"/>
  <c r="Y926" i="5" s="1"/>
  <c r="Y907" i="5" a="1"/>
  <c r="Y907" i="5" s="1"/>
  <c r="Y904" i="5" a="1"/>
  <c r="Y904" i="5" s="1"/>
  <c r="Y901" i="5" a="1"/>
  <c r="Y901" i="5" s="1"/>
  <c r="Y890" i="5" a="1"/>
  <c r="Y890" i="5" s="1"/>
  <c r="Y895" i="5" a="1"/>
  <c r="Y895" i="5" s="1"/>
  <c r="Y331" i="5" a="1"/>
  <c r="Y331" i="5" s="1"/>
  <c r="Y304" i="5" a="1"/>
  <c r="Y304" i="5" s="1"/>
  <c r="Y325" i="5" a="1"/>
  <c r="Y325" i="5" s="1"/>
  <c r="Y290" i="5" a="1"/>
  <c r="Y290" i="5" s="1"/>
  <c r="Y141" i="5" a="1"/>
  <c r="Y141" i="5" s="1"/>
  <c r="Y108" i="5" a="1"/>
  <c r="Y108" i="5" s="1"/>
  <c r="Y164" i="5" a="1"/>
  <c r="Y164" i="5" s="1"/>
  <c r="Y111" i="5" a="1"/>
  <c r="Y111" i="5" s="1"/>
  <c r="Y620" i="5" a="1"/>
  <c r="Y620" i="5" s="1"/>
  <c r="Y617" i="5" a="1"/>
  <c r="Y617" i="5" s="1"/>
  <c r="Y614" i="5" a="1"/>
  <c r="Y614" i="5" s="1"/>
  <c r="Y595" i="5" a="1"/>
  <c r="Y595" i="5" s="1"/>
  <c r="Y592" i="5" a="1"/>
  <c r="Y592" i="5" s="1"/>
  <c r="Y589" i="5" a="1"/>
  <c r="Y589" i="5" s="1"/>
  <c r="Y578" i="5" a="1"/>
  <c r="Y578" i="5" s="1"/>
  <c r="Y583" i="5" a="1"/>
  <c r="Y583" i="5" s="1"/>
  <c r="Y30" i="5" a="1"/>
  <c r="Y30" i="5" s="1"/>
  <c r="Y467" i="5" a="1"/>
  <c r="Y467" i="5" s="1"/>
  <c r="Y440" i="5" a="1"/>
  <c r="Y440" i="5" s="1"/>
  <c r="Y461" i="5" a="1"/>
  <c r="Y461" i="5" s="1"/>
  <c r="Y426" i="5" a="1"/>
  <c r="Y426" i="5" s="1"/>
  <c r="Y271" i="5" a="1"/>
  <c r="Y271" i="5" s="1"/>
  <c r="Y300" i="5" a="1"/>
  <c r="Y300" i="5" s="1"/>
  <c r="Y273" i="5" a="1"/>
  <c r="Y273" i="5" s="1"/>
  <c r="Y238" i="5" a="1"/>
  <c r="Y238" i="5" s="1"/>
  <c r="Y756" i="5" a="1"/>
  <c r="Y756" i="5" s="1"/>
  <c r="Y753" i="5" a="1"/>
  <c r="Y753" i="5" s="1"/>
  <c r="Y750" i="5" a="1"/>
  <c r="Y750" i="5" s="1"/>
  <c r="Y731" i="5" a="1"/>
  <c r="Y731" i="5" s="1"/>
  <c r="Y728" i="5" a="1"/>
  <c r="Y728" i="5" s="1"/>
  <c r="Y725" i="5" a="1"/>
  <c r="Y725" i="5" s="1"/>
  <c r="Y714" i="5" a="1"/>
  <c r="Y714" i="5" s="1"/>
  <c r="Y719" i="5" a="1"/>
  <c r="Y719" i="5" s="1"/>
  <c r="Y97" i="5" a="1"/>
  <c r="Y97" i="5" s="1"/>
  <c r="Y51" i="5" a="1"/>
  <c r="Y51" i="5" s="1"/>
  <c r="Y48" i="5" a="1"/>
  <c r="Y48" i="5" s="1"/>
  <c r="Y77" i="5" a="1"/>
  <c r="Y77" i="5" s="1"/>
  <c r="Y3" i="5" a="1"/>
  <c r="Y3" i="5" s="1"/>
  <c r="Y407" i="5" a="1"/>
  <c r="Y407" i="5" s="1"/>
  <c r="Y436" i="5" a="1"/>
  <c r="Y436" i="5" s="1"/>
  <c r="Y409" i="5" a="1"/>
  <c r="Y409" i="5" s="1"/>
  <c r="Y374" i="5" a="1"/>
  <c r="Y374" i="5" s="1"/>
  <c r="Y892" i="5" a="1"/>
  <c r="Y892" i="5" s="1"/>
  <c r="Y889" i="5" a="1"/>
  <c r="Y889" i="5" s="1"/>
  <c r="Y886" i="5" a="1"/>
  <c r="Y886" i="5" s="1"/>
  <c r="Y867" i="5" a="1"/>
  <c r="Y867" i="5" s="1"/>
  <c r="Y864" i="5" a="1"/>
  <c r="Y864" i="5" s="1"/>
  <c r="Y861" i="5" a="1"/>
  <c r="Y861" i="5" s="1"/>
  <c r="Y850" i="5" a="1"/>
  <c r="Y850" i="5" s="1"/>
  <c r="Y855" i="5" a="1"/>
  <c r="Y855" i="5" s="1"/>
  <c r="Y227" i="5" a="1"/>
  <c r="Y227" i="5" s="1"/>
  <c r="Y200" i="5" a="1"/>
  <c r="Y200" i="5" s="1"/>
  <c r="Y221" i="5" a="1"/>
  <c r="Y221" i="5" s="1"/>
  <c r="Y187" i="5" a="1"/>
  <c r="Y187" i="5" s="1"/>
  <c r="Y67" i="5" a="1"/>
  <c r="Y67" i="5" s="1"/>
  <c r="Y543" i="5" a="1"/>
  <c r="Y543" i="5" s="1"/>
  <c r="Y23" i="5" a="1"/>
  <c r="Y23" i="5" s="1"/>
  <c r="Y545" i="5" a="1"/>
  <c r="Y545" i="5" s="1"/>
  <c r="Y510" i="5" a="1"/>
  <c r="Y510" i="5" s="1"/>
  <c r="Y1028" i="5" a="1"/>
  <c r="Y1028" i="5" s="1"/>
  <c r="Y1025" i="5" a="1"/>
  <c r="Y1025" i="5" s="1"/>
  <c r="Y1022" i="5" a="1"/>
  <c r="Y1022" i="5" s="1"/>
  <c r="Y1003" i="5" a="1"/>
  <c r="Y1003" i="5" s="1"/>
  <c r="Y1000" i="5" a="1"/>
  <c r="Y1000" i="5" s="1"/>
  <c r="Y997" i="5" a="1"/>
  <c r="Y997" i="5" s="1"/>
  <c r="Y986" i="5" a="1"/>
  <c r="Y986" i="5" s="1"/>
  <c r="Y991" i="5" a="1"/>
  <c r="Y991" i="5" s="1"/>
  <c r="Y363" i="5" a="1"/>
  <c r="Y363" i="5" s="1"/>
  <c r="Y336" i="5" a="1"/>
  <c r="Y336" i="5" s="1"/>
  <c r="Y357" i="5" a="1"/>
  <c r="Y357" i="5" s="1"/>
  <c r="Y322" i="5" a="1"/>
  <c r="Y322" i="5" s="1"/>
  <c r="Y179" i="5" a="1"/>
  <c r="Y179" i="5" s="1"/>
  <c r="Y169" i="5" a="1"/>
  <c r="Y169" i="5" s="1"/>
  <c r="Y181" i="5" a="1"/>
  <c r="Y181" i="5" s="1"/>
  <c r="Y147" i="5" a="1"/>
  <c r="Y147" i="5" s="1"/>
  <c r="Y652" i="5" a="1"/>
  <c r="Y652" i="5" s="1"/>
  <c r="Y649" i="5" a="1"/>
  <c r="Y649" i="5" s="1"/>
  <c r="Y646" i="5" a="1"/>
  <c r="Y646" i="5" s="1"/>
  <c r="Y627" i="5" a="1"/>
  <c r="Y627" i="5" s="1"/>
  <c r="Y624" i="5" a="1"/>
  <c r="Y624" i="5" s="1"/>
  <c r="Y621" i="5" a="1"/>
  <c r="Y621" i="5" s="1"/>
  <c r="Y610" i="5" a="1"/>
  <c r="Y610" i="5" s="1"/>
  <c r="Y615" i="5" a="1"/>
  <c r="Y615" i="5" s="1"/>
  <c r="Y38" i="5" a="1"/>
  <c r="Y38" i="5" s="1"/>
  <c r="Y499" i="5" a="1"/>
  <c r="Y499" i="5" s="1"/>
  <c r="Y472" i="5" a="1"/>
  <c r="Y472" i="5" s="1"/>
  <c r="Y493" i="5" a="1"/>
  <c r="Y493" i="5" s="1"/>
  <c r="Y458" i="5" a="1"/>
  <c r="Y458" i="5" s="1"/>
  <c r="Y303" i="5" a="1"/>
  <c r="Y303" i="5" s="1"/>
  <c r="Y332" i="5" a="1"/>
  <c r="Y332" i="5" s="1"/>
  <c r="Y305" i="5" a="1"/>
  <c r="Y305" i="5" s="1"/>
  <c r="Y270" i="5" a="1"/>
  <c r="Y270" i="5" s="1"/>
  <c r="Y788" i="5" a="1"/>
  <c r="Y788" i="5" s="1"/>
  <c r="Y785" i="5" a="1"/>
  <c r="Y785" i="5" s="1"/>
  <c r="Y782" i="5" a="1"/>
  <c r="Y782" i="5" s="1"/>
  <c r="Y763" i="5" a="1"/>
  <c r="Y763" i="5" s="1"/>
  <c r="Y760" i="5" a="1"/>
  <c r="Y760" i="5" s="1"/>
  <c r="Y757" i="5" a="1"/>
  <c r="Y757" i="5" s="1"/>
  <c r="Y746" i="5" a="1"/>
  <c r="Y746" i="5" s="1"/>
  <c r="Y751" i="5" a="1"/>
  <c r="Y751" i="5" s="1"/>
  <c r="Y80" i="5" a="1"/>
  <c r="Y80" i="5" s="1"/>
  <c r="Y14" i="5" a="1"/>
  <c r="Y14" i="5" s="1"/>
  <c r="Y544" i="5" a="1"/>
  <c r="Y544" i="5" s="1"/>
  <c r="Y17" i="5" a="1"/>
  <c r="Y17" i="5" s="1"/>
  <c r="Y530" i="5" a="1"/>
  <c r="Y530" i="5" s="1"/>
  <c r="Y375" i="5" a="1"/>
  <c r="Y375" i="5" s="1"/>
  <c r="Y404" i="5" a="1"/>
  <c r="Y404" i="5" s="1"/>
  <c r="Y377" i="5" a="1"/>
  <c r="Y377" i="5" s="1"/>
  <c r="Y342" i="5" a="1"/>
  <c r="Y342" i="5" s="1"/>
  <c r="Y860" i="5" a="1"/>
  <c r="Y860" i="5" s="1"/>
  <c r="Y857" i="5" a="1"/>
  <c r="Y857" i="5" s="1"/>
  <c r="Y854" i="5" a="1"/>
  <c r="Y854" i="5" s="1"/>
  <c r="Y835" i="5" a="1"/>
  <c r="Y835" i="5" s="1"/>
  <c r="Y832" i="5" a="1"/>
  <c r="Y832" i="5" s="1"/>
  <c r="Y829" i="5" a="1"/>
  <c r="Y829" i="5" s="1"/>
  <c r="Y818" i="5" a="1"/>
  <c r="Y818" i="5" s="1"/>
  <c r="Y823" i="5" a="1"/>
  <c r="Y823" i="5" s="1"/>
  <c r="Y168" i="5" a="1"/>
  <c r="Y168" i="5" s="1"/>
  <c r="Y180" i="5" a="1"/>
  <c r="Y180" i="5" s="1"/>
  <c r="Y177" i="5" a="1"/>
  <c r="Y177" i="5" s="1"/>
  <c r="Y153" i="5" a="1"/>
  <c r="Y153" i="5" s="1"/>
  <c r="Y49" i="5" a="1"/>
  <c r="Y49" i="5" s="1"/>
  <c r="Y511" i="5" a="1"/>
  <c r="Y511" i="5" s="1"/>
  <c r="Y540" i="5" a="1"/>
  <c r="Y540" i="5" s="1"/>
  <c r="Y513" i="5" a="1"/>
  <c r="Y513" i="5" s="1"/>
  <c r="Y478" i="5" a="1"/>
  <c r="Y478" i="5" s="1"/>
  <c r="Y996" i="5" a="1"/>
  <c r="Y996" i="5" s="1"/>
  <c r="Y993" i="5" a="1"/>
  <c r="Y993" i="5" s="1"/>
  <c r="Y990" i="5" a="1"/>
  <c r="Y990" i="5" s="1"/>
  <c r="Y971" i="5" a="1"/>
  <c r="Y971" i="5" s="1"/>
  <c r="Y968" i="5" a="1"/>
  <c r="Y968" i="5" s="1"/>
  <c r="Y965" i="5" a="1"/>
  <c r="Y965" i="5" s="1"/>
  <c r="Y954" i="5" a="1"/>
  <c r="Y954" i="5" s="1"/>
  <c r="Y959" i="5" a="1"/>
  <c r="Y959" i="5" s="1"/>
  <c r="Y395" i="5" a="1"/>
  <c r="Y395" i="5" s="1"/>
  <c r="Y368" i="5" a="1"/>
  <c r="Y368" i="5" s="1"/>
  <c r="Y389" i="5" a="1"/>
  <c r="Y389" i="5" s="1"/>
  <c r="Y354" i="5" a="1"/>
  <c r="Y354" i="5" s="1"/>
  <c r="Y199" i="5" a="1"/>
  <c r="Y199" i="5" s="1"/>
  <c r="Y228" i="5" a="1"/>
  <c r="Y228" i="5" s="1"/>
  <c r="Y201" i="5" a="1"/>
  <c r="Y201" i="5" s="1"/>
  <c r="Y178" i="5" a="1"/>
  <c r="Y178" i="5" s="1"/>
  <c r="Y684" i="5" a="1"/>
  <c r="Y684" i="5" s="1"/>
  <c r="Y681" i="5" a="1"/>
  <c r="Y681" i="5" s="1"/>
  <c r="Y678" i="5" a="1"/>
  <c r="Y678" i="5" s="1"/>
  <c r="Y659" i="5" a="1"/>
  <c r="Y659" i="5" s="1"/>
  <c r="Y656" i="5" a="1"/>
  <c r="Y656" i="5" s="1"/>
  <c r="Y653" i="5" a="1"/>
  <c r="Y653" i="5" s="1"/>
  <c r="Y642" i="5" a="1"/>
  <c r="Y642" i="5" s="1"/>
  <c r="Y647" i="5" a="1"/>
  <c r="Y647" i="5" s="1"/>
  <c r="Y57" i="5" a="1"/>
  <c r="Y57" i="5" s="1"/>
  <c r="Y531" i="5" a="1"/>
  <c r="Y531" i="5" s="1"/>
  <c r="Y504" i="5" a="1"/>
  <c r="Y504" i="5" s="1"/>
  <c r="Y525" i="5" a="1"/>
  <c r="Y525" i="5" s="1"/>
  <c r="Y490" i="5" a="1"/>
  <c r="Y490" i="5" s="1"/>
  <c r="Y335" i="5" a="1"/>
  <c r="Y335" i="5" s="1"/>
  <c r="Y364" i="5" a="1"/>
  <c r="Y364" i="5" s="1"/>
  <c r="Y337" i="5" a="1"/>
  <c r="Y337" i="5" s="1"/>
  <c r="Y302" i="5" a="1"/>
  <c r="Y302" i="5" s="1"/>
  <c r="Y820" i="5" a="1"/>
  <c r="Y820" i="5" s="1"/>
  <c r="Y817" i="5" a="1"/>
  <c r="Y817" i="5" s="1"/>
  <c r="Y814" i="5" a="1"/>
  <c r="Y814" i="5" s="1"/>
  <c r="Y795" i="5" a="1"/>
  <c r="Y795" i="5" s="1"/>
  <c r="Y792" i="5" a="1"/>
  <c r="Y792" i="5" s="1"/>
  <c r="Y789" i="5" a="1"/>
  <c r="Y789" i="5" s="1"/>
  <c r="Y778" i="5" a="1"/>
  <c r="Y778" i="5" s="1"/>
  <c r="Y783" i="5" a="1"/>
  <c r="Y783" i="5" s="1"/>
  <c r="Y133" i="5" a="1"/>
  <c r="Y133" i="5" s="1"/>
  <c r="Y135" i="5" a="1"/>
  <c r="Y135" i="5" s="1"/>
  <c r="Y151" i="5" a="1"/>
  <c r="Y151" i="5" s="1"/>
  <c r="Y119" i="5" a="1"/>
  <c r="Y119" i="5" s="1"/>
  <c r="Y37" i="5" a="1"/>
  <c r="Y37" i="5" s="1"/>
  <c r="Y471" i="5" a="1"/>
  <c r="Y471" i="5" s="1"/>
  <c r="Y500" i="5" a="1"/>
  <c r="Y500" i="5" s="1"/>
  <c r="Y473" i="5" a="1"/>
  <c r="Y473" i="5" s="1"/>
  <c r="Y438" i="5" a="1"/>
  <c r="Y438" i="5" s="1"/>
  <c r="Y956" i="5" a="1"/>
  <c r="Y956" i="5" s="1"/>
  <c r="Y953" i="5" a="1"/>
  <c r="Y953" i="5" s="1"/>
  <c r="Y950" i="5" a="1"/>
  <c r="Y950" i="5" s="1"/>
  <c r="Y931" i="5" a="1"/>
  <c r="Y931" i="5" s="1"/>
  <c r="Y928" i="5" a="1"/>
  <c r="Y928" i="5" s="1"/>
  <c r="Y925" i="5" a="1"/>
  <c r="Y925" i="5" s="1"/>
  <c r="Y914" i="5" a="1"/>
  <c r="Y914" i="5" s="1"/>
  <c r="Y919" i="5" a="1"/>
  <c r="Y919" i="5" s="1"/>
  <c r="Y291" i="5" a="1"/>
  <c r="Y291" i="5" s="1"/>
  <c r="Y264" i="5" a="1"/>
  <c r="Y264" i="5" s="1"/>
  <c r="Y285" i="5" a="1"/>
  <c r="Y285" i="5" s="1"/>
  <c r="Y250" i="5" a="1"/>
  <c r="Y250" i="5" s="1"/>
  <c r="Y114" i="5" a="1"/>
  <c r="Y114" i="5" s="1"/>
  <c r="Y70" i="5" a="1"/>
  <c r="Y70" i="5" s="1"/>
  <c r="Y136" i="5" a="1"/>
  <c r="Y136" i="5" s="1"/>
  <c r="Y59" i="5" a="1"/>
  <c r="Y59" i="5" s="1"/>
  <c r="Y580" i="5" a="1"/>
  <c r="Y580" i="5" s="1"/>
  <c r="Y577" i="5" a="1"/>
  <c r="Y577" i="5" s="1"/>
  <c r="Y574" i="5" a="1"/>
  <c r="Y574" i="5" s="1"/>
  <c r="Y558" i="5" a="1"/>
  <c r="Y558" i="5" s="1"/>
  <c r="Y1067" i="5" a="1"/>
  <c r="Y1067" i="5" s="1"/>
  <c r="Y1064" i="5" a="1"/>
  <c r="Y1064" i="5" s="1"/>
  <c r="Y1061" i="5" a="1"/>
  <c r="Y1061" i="5" s="1"/>
  <c r="Y1050" i="5" a="1"/>
  <c r="Y1050" i="5" s="1"/>
  <c r="Y1055" i="5" a="1"/>
  <c r="Y1055" i="5" s="1"/>
  <c r="Y427" i="5" a="1"/>
  <c r="Y427" i="5" s="1"/>
  <c r="Y400" i="5" a="1"/>
  <c r="Y400" i="5" s="1"/>
  <c r="Y421" i="5" a="1"/>
  <c r="Y421" i="5" s="1"/>
  <c r="Y386" i="5" a="1"/>
  <c r="Y386" i="5" s="1"/>
  <c r="Y231" i="5" a="1"/>
  <c r="Y231" i="5" s="1"/>
  <c r="Y260" i="5" a="1"/>
  <c r="Y260" i="5" s="1"/>
  <c r="Y233" i="5" a="1"/>
  <c r="Y233" i="5" s="1"/>
  <c r="Y198" i="5" a="1"/>
  <c r="Y198" i="5" s="1"/>
  <c r="Y716" i="5" a="1"/>
  <c r="Y716" i="5" s="1"/>
  <c r="Y713" i="5" a="1"/>
  <c r="Y713" i="5" s="1"/>
  <c r="Y710" i="5" a="1"/>
  <c r="Y710" i="5" s="1"/>
  <c r="Y691" i="5" a="1"/>
  <c r="Y691" i="5" s="1"/>
  <c r="Y688" i="5" a="1"/>
  <c r="Y688" i="5" s="1"/>
  <c r="Y685" i="5" a="1"/>
  <c r="Y685" i="5" s="1"/>
  <c r="Y674" i="5" a="1"/>
  <c r="Y674" i="5" s="1"/>
  <c r="Y679" i="5" a="1"/>
  <c r="Y679" i="5" s="1"/>
  <c r="Y71" i="5" a="1"/>
  <c r="Y71" i="5" s="1"/>
  <c r="Y6" i="5" a="1"/>
  <c r="Y6" i="5" s="1"/>
  <c r="Y536" i="5" a="1"/>
  <c r="Y536" i="5" s="1"/>
  <c r="Y11" i="5" a="1"/>
  <c r="Y11" i="5" s="1"/>
  <c r="Y522" i="5" a="1"/>
  <c r="Y522" i="5" s="1"/>
  <c r="Y367" i="5" a="1"/>
  <c r="Y367" i="5" s="1"/>
  <c r="Y396" i="5" a="1"/>
  <c r="Y396" i="5" s="1"/>
  <c r="Y369" i="5" a="1"/>
  <c r="Y369" i="5" s="1"/>
  <c r="Y334" i="5" a="1"/>
  <c r="Y334" i="5" s="1"/>
  <c r="Y852" i="5" a="1"/>
  <c r="Y852" i="5" s="1"/>
  <c r="Y849" i="5" a="1"/>
  <c r="Y849" i="5" s="1"/>
  <c r="Y846" i="5" a="1"/>
  <c r="Y846" i="5" s="1"/>
  <c r="Y827" i="5" a="1"/>
  <c r="Y827" i="5" s="1"/>
  <c r="Y824" i="5" a="1"/>
  <c r="Y824" i="5" s="1"/>
  <c r="Y821" i="5" a="1"/>
  <c r="Y821" i="5" s="1"/>
  <c r="Y810" i="5" a="1"/>
  <c r="Y810" i="5" s="1"/>
  <c r="Y815" i="5" a="1"/>
  <c r="Y815" i="5" s="1"/>
  <c r="Y113" i="5" a="1"/>
  <c r="Y113" i="5" s="1"/>
  <c r="Y89" i="5" a="1"/>
  <c r="Y89" i="5" s="1"/>
  <c r="Y85" i="5" a="1"/>
  <c r="Y85" i="5" s="1"/>
  <c r="Y102" i="5" a="1"/>
  <c r="Y102" i="5" s="1"/>
  <c r="Y29" i="5" a="1"/>
  <c r="Y29" i="5" s="1"/>
  <c r="Y439" i="5" a="1"/>
  <c r="Y439" i="5" s="1"/>
  <c r="Y468" i="5" a="1"/>
  <c r="Y468" i="5" s="1"/>
  <c r="Y441" i="5" a="1"/>
  <c r="Y441" i="5" s="1"/>
  <c r="Y406" i="5" a="1"/>
  <c r="Y406" i="5" s="1"/>
  <c r="Y924" i="5" a="1"/>
  <c r="Y924" i="5" s="1"/>
  <c r="Y921" i="5" a="1"/>
  <c r="Y921" i="5" s="1"/>
  <c r="Y918" i="5" a="1"/>
  <c r="Y918" i="5" s="1"/>
  <c r="Y899" i="5" a="1"/>
  <c r="Y899" i="5" s="1"/>
  <c r="Y896" i="5" a="1"/>
  <c r="Y896" i="5" s="1"/>
  <c r="Y893" i="5" a="1"/>
  <c r="Y893" i="5" s="1"/>
  <c r="Y882" i="5" a="1"/>
  <c r="Y882" i="5" s="1"/>
  <c r="Y887" i="5" a="1"/>
  <c r="Y887" i="5" s="1"/>
  <c r="Y259" i="5" a="1"/>
  <c r="Y259" i="5" s="1"/>
  <c r="Y232" i="5" a="1"/>
  <c r="Y232" i="5" s="1"/>
  <c r="Y253" i="5" a="1"/>
  <c r="Y253" i="5" s="1"/>
  <c r="Y218" i="5" a="1"/>
  <c r="Y218" i="5" s="1"/>
  <c r="Y94" i="5" a="1"/>
  <c r="Y94" i="5" s="1"/>
  <c r="Y12" i="5" a="1"/>
  <c r="Y12" i="5" s="1"/>
  <c r="Y78" i="5" a="1"/>
  <c r="Y78" i="5" s="1"/>
  <c r="Y13" i="5" a="1"/>
  <c r="Y13" i="5" s="1"/>
  <c r="Y542" i="5" a="1"/>
  <c r="Y542" i="5" s="1"/>
  <c r="Y1060" i="5" a="1"/>
  <c r="Y1060" i="5" s="1"/>
  <c r="Y1057" i="5" a="1"/>
  <c r="Y1057" i="5" s="1"/>
  <c r="Y1054" i="5" a="1"/>
  <c r="Y1054" i="5" s="1"/>
  <c r="Y1035" i="5" a="1"/>
  <c r="Y1035" i="5" s="1"/>
  <c r="Y1032" i="5" a="1"/>
  <c r="Y1032" i="5" s="1"/>
  <c r="Y1029" i="5" a="1"/>
  <c r="Y1029" i="5" s="1"/>
  <c r="Y1018" i="5" a="1"/>
  <c r="Y1018" i="5" s="1"/>
  <c r="Y1023" i="5" a="1"/>
  <c r="Y1023" i="5" s="1"/>
  <c r="Y28" i="5" a="1"/>
  <c r="Y28" i="5" s="1"/>
  <c r="Y459" i="5" a="1"/>
  <c r="Y459" i="5" s="1"/>
  <c r="Y432" i="5" a="1"/>
  <c r="Y432" i="5" s="1"/>
  <c r="Y453" i="5" a="1"/>
  <c r="Y453" i="5" s="1"/>
  <c r="Y418" i="5" a="1"/>
  <c r="Y418" i="5" s="1"/>
  <c r="Y263" i="5" a="1"/>
  <c r="Y263" i="5" s="1"/>
  <c r="Y292" i="5" a="1"/>
  <c r="Y292" i="5" s="1"/>
  <c r="Y265" i="5" a="1"/>
  <c r="Y265" i="5" s="1"/>
  <c r="Y230" i="5" a="1"/>
  <c r="Y230" i="5" s="1"/>
  <c r="Y748" i="5" a="1"/>
  <c r="Y748" i="5" s="1"/>
  <c r="Y745" i="5" a="1"/>
  <c r="Y745" i="5" s="1"/>
  <c r="Y742" i="5" a="1"/>
  <c r="Y742" i="5" s="1"/>
  <c r="Y723" i="5" a="1"/>
  <c r="Y723" i="5" s="1"/>
  <c r="Y720" i="5" a="1"/>
  <c r="Y720" i="5" s="1"/>
  <c r="Y717" i="5" a="1"/>
  <c r="Y717" i="5" s="1"/>
  <c r="Y706" i="5" a="1"/>
  <c r="Y706" i="5" s="1"/>
  <c r="Y711" i="5" a="1"/>
  <c r="Y711" i="5" s="1"/>
  <c r="Y95" i="5" a="1"/>
  <c r="Y95" i="5" s="1"/>
  <c r="Y45" i="5" a="1"/>
  <c r="Y45" i="5" s="1"/>
  <c r="Y24" i="5" a="1"/>
  <c r="Y24" i="5" s="1"/>
  <c r="Y60" i="5" a="1"/>
  <c r="Y60" i="5" s="1"/>
  <c r="Y554" i="5" a="1"/>
  <c r="Y554" i="5" s="1"/>
  <c r="Y399" i="5" a="1"/>
  <c r="Y399" i="5" s="1"/>
  <c r="Y428" i="5" a="1"/>
  <c r="Y428" i="5" s="1"/>
  <c r="Y401" i="5" a="1"/>
  <c r="Y401" i="5" s="1"/>
  <c r="Y366" i="5" a="1"/>
  <c r="Y366" i="5" s="1"/>
  <c r="Y884" i="5" a="1"/>
  <c r="Y884" i="5" s="1"/>
  <c r="Y881" i="5" a="1"/>
  <c r="Y881" i="5" s="1"/>
  <c r="Y878" i="5" a="1"/>
  <c r="Y878" i="5" s="1"/>
  <c r="Y859" i="5" a="1"/>
  <c r="Y859" i="5" s="1"/>
  <c r="Y856" i="5" a="1"/>
  <c r="Y856" i="5" s="1"/>
  <c r="Y853" i="5" a="1"/>
  <c r="Y853" i="5" s="1"/>
  <c r="Y842" i="5" a="1"/>
  <c r="Y842" i="5" s="1"/>
  <c r="Y847" i="5" a="1"/>
  <c r="Y847" i="5" s="1"/>
  <c r="Y219" i="5" a="1"/>
  <c r="Y219" i="5" s="1"/>
  <c r="Y195" i="5" a="1"/>
  <c r="Y195" i="5" s="1"/>
  <c r="Y213" i="5" a="1"/>
  <c r="Y213" i="5" s="1"/>
  <c r="Y182" i="5" a="1"/>
  <c r="Y182" i="5" s="1"/>
  <c r="Y65" i="5" a="1"/>
  <c r="Y65" i="5" s="1"/>
  <c r="Y535" i="5" a="1"/>
  <c r="Y535" i="5" s="1"/>
  <c r="Y18" i="5" a="1"/>
  <c r="Y18" i="5" s="1"/>
  <c r="Y537" i="5" a="1"/>
  <c r="Y537" i="5" s="1"/>
  <c r="Y502" i="5" a="1"/>
  <c r="Y502" i="5" s="1"/>
  <c r="Y1020" i="5" a="1"/>
  <c r="Y1020" i="5" s="1"/>
  <c r="Y1017" i="5" a="1"/>
  <c r="Y1017" i="5" s="1"/>
  <c r="Y1014" i="5" a="1"/>
  <c r="Y1014" i="5" s="1"/>
  <c r="Y995" i="5" a="1"/>
  <c r="Y995" i="5" s="1"/>
  <c r="Y992" i="5" a="1"/>
  <c r="Y992" i="5" s="1"/>
  <c r="Y989" i="5" a="1"/>
  <c r="Y989" i="5" s="1"/>
  <c r="Y978" i="5" a="1"/>
  <c r="Y978" i="5" s="1"/>
  <c r="Y983" i="5" a="1"/>
  <c r="Y983" i="5" s="1"/>
  <c r="Y355" i="5" a="1"/>
  <c r="Y355" i="5" s="1"/>
  <c r="Y328" i="5" a="1"/>
  <c r="Y328" i="5" s="1"/>
  <c r="Y349" i="5" a="1"/>
  <c r="Y349" i="5" s="1"/>
  <c r="Y314" i="5" a="1"/>
  <c r="Y314" i="5" s="1"/>
  <c r="Y174" i="5" a="1"/>
  <c r="Y174" i="5" s="1"/>
  <c r="Y162" i="5" a="1"/>
  <c r="Y162" i="5" s="1"/>
  <c r="Y176" i="5" a="1"/>
  <c r="Y176" i="5" s="1"/>
  <c r="Y131" i="5" a="1"/>
  <c r="Y131" i="5" s="1"/>
  <c r="Y644" i="5" a="1"/>
  <c r="Y644" i="5" s="1"/>
  <c r="Y641" i="5" a="1"/>
  <c r="Y641" i="5" s="1"/>
  <c r="Y638" i="5" a="1"/>
  <c r="Y638" i="5" s="1"/>
  <c r="Y619" i="5" a="1"/>
  <c r="Y619" i="5" s="1"/>
  <c r="Y616" i="5" a="1"/>
  <c r="Y616" i="5" s="1"/>
  <c r="Y613" i="5" a="1"/>
  <c r="Y613" i="5" s="1"/>
  <c r="Y602" i="5" a="1"/>
  <c r="Y602" i="5" s="1"/>
  <c r="Y607" i="5" a="1"/>
  <c r="Y607" i="5" s="1"/>
  <c r="Y36" i="5" a="1"/>
  <c r="Y36" i="5" s="1"/>
  <c r="Y491" i="5" a="1"/>
  <c r="Y491" i="5" s="1"/>
  <c r="Y464" i="5" a="1"/>
  <c r="Y464" i="5" s="1"/>
  <c r="Y485" i="5" a="1"/>
  <c r="Y485" i="5" s="1"/>
  <c r="Y450" i="5" a="1"/>
  <c r="Y450" i="5" s="1"/>
  <c r="Y295" i="5" a="1"/>
  <c r="Y295" i="5" s="1"/>
  <c r="Y324" i="5" a="1"/>
  <c r="Y324" i="5" s="1"/>
  <c r="Y297" i="5" a="1"/>
  <c r="Y297" i="5" s="1"/>
  <c r="Y262" i="5" a="1"/>
  <c r="Y262" i="5" s="1"/>
  <c r="Y780" i="5" a="1"/>
  <c r="Y780" i="5" s="1"/>
  <c r="Y777" i="5" a="1"/>
  <c r="Y777" i="5" s="1"/>
  <c r="Y774" i="5" a="1"/>
  <c r="Y774" i="5" s="1"/>
  <c r="Y755" i="5" a="1"/>
  <c r="Y755" i="5" s="1"/>
  <c r="Y752" i="5" a="1"/>
  <c r="Y752" i="5" s="1"/>
  <c r="Y749" i="5" a="1"/>
  <c r="Y749" i="5" s="1"/>
  <c r="Y738" i="5" a="1"/>
  <c r="Y738" i="5" s="1"/>
  <c r="Y743" i="5" a="1"/>
  <c r="Y743" i="5" s="1"/>
  <c r="Y109" i="5" a="1"/>
  <c r="Y109" i="5" s="1"/>
  <c r="Y87" i="5" a="1"/>
  <c r="Y87" i="5" s="1"/>
  <c r="Y74" i="5" a="1"/>
  <c r="Y74" i="5" s="1"/>
  <c r="Y100" i="5" a="1"/>
  <c r="Y100" i="5" s="1"/>
  <c r="Y27" i="5" a="1"/>
  <c r="Y27" i="5" s="1"/>
  <c r="Y431" i="5" a="1"/>
  <c r="Y431" i="5" s="1"/>
  <c r="Y460" i="5" a="1"/>
  <c r="Y460" i="5" s="1"/>
  <c r="Y433" i="5" a="1"/>
  <c r="Y433" i="5" s="1"/>
  <c r="Y398" i="5" a="1"/>
  <c r="Y398" i="5" s="1"/>
  <c r="Y916" i="5" a="1"/>
  <c r="Y916" i="5" s="1"/>
  <c r="Y913" i="5" a="1"/>
  <c r="Y913" i="5" s="1"/>
  <c r="Y910" i="5" a="1"/>
  <c r="Y910" i="5" s="1"/>
  <c r="Y891" i="5" a="1"/>
  <c r="Y891" i="5" s="1"/>
  <c r="Y888" i="5" a="1"/>
  <c r="Y888" i="5" s="1"/>
  <c r="Y885" i="5" a="1"/>
  <c r="Y885" i="5" s="1"/>
  <c r="Y874" i="5" a="1"/>
  <c r="Y874" i="5" s="1"/>
  <c r="Y879" i="5" a="1"/>
  <c r="Y879" i="5" s="1"/>
  <c r="Y161" i="5" a="1"/>
  <c r="Y161" i="5" s="1"/>
  <c r="Y175" i="5" a="1"/>
  <c r="Y175" i="5" s="1"/>
  <c r="Y172" i="5" a="1"/>
  <c r="Y172" i="5" s="1"/>
  <c r="Y148" i="5" a="1"/>
  <c r="Y148" i="5" s="1"/>
  <c r="Y46" i="5" a="1"/>
  <c r="Y46" i="5" s="1"/>
  <c r="Y503" i="5" a="1"/>
  <c r="Y503" i="5" s="1"/>
  <c r="Y532" i="5" a="1"/>
  <c r="Y532" i="5" s="1"/>
  <c r="Y505" i="5" a="1"/>
  <c r="Y505" i="5" s="1"/>
  <c r="Y470" i="5" a="1"/>
  <c r="Y470" i="5" s="1"/>
  <c r="Y988" i="5" a="1"/>
  <c r="Y988" i="5" s="1"/>
  <c r="Y985" i="5" a="1"/>
  <c r="Y985" i="5" s="1"/>
  <c r="Y982" i="5" a="1"/>
  <c r="Y982" i="5" s="1"/>
  <c r="Y963" i="5" a="1"/>
  <c r="Y963" i="5" s="1"/>
  <c r="Y960" i="5" a="1"/>
  <c r="Y960" i="5" s="1"/>
  <c r="Y957" i="5" a="1"/>
  <c r="Y957" i="5" s="1"/>
  <c r="Y946" i="5" a="1"/>
  <c r="Y946" i="5" s="1"/>
  <c r="Y951" i="5" a="1"/>
  <c r="Y951" i="5" s="1"/>
  <c r="Y323" i="5" a="1"/>
  <c r="Y323" i="5" s="1"/>
  <c r="Y296" i="5" a="1"/>
  <c r="Y296" i="5" s="1"/>
  <c r="Y317" i="5" a="1"/>
  <c r="Y317" i="5" s="1"/>
  <c r="Y282" i="5" a="1"/>
  <c r="Y282" i="5" s="1"/>
  <c r="Y127" i="5" a="1"/>
  <c r="Y127" i="5" s="1"/>
  <c r="Y90" i="5" a="1"/>
  <c r="Y90" i="5" s="1"/>
  <c r="Y159" i="5" a="1"/>
  <c r="Y159" i="5" s="1"/>
  <c r="Y105" i="5" a="1"/>
  <c r="Y105" i="5" s="1"/>
  <c r="Y612" i="5" a="1"/>
  <c r="Y612" i="5" s="1"/>
  <c r="Y609" i="5" a="1"/>
  <c r="Y609" i="5" s="1"/>
  <c r="Y606" i="5" a="1"/>
  <c r="Y606" i="5" s="1"/>
  <c r="Y587" i="5" a="1"/>
  <c r="Y587" i="5" s="1"/>
  <c r="Y584" i="5" a="1"/>
  <c r="Y584" i="5" s="1"/>
  <c r="Y581" i="5" a="1"/>
  <c r="Y581" i="5" s="1"/>
  <c r="Y570" i="5" a="1"/>
  <c r="Y570" i="5" s="1"/>
  <c r="Y575" i="5" a="1"/>
  <c r="Y575" i="5" s="1"/>
  <c r="Y54" i="5" a="1"/>
  <c r="Y54" i="5" s="1"/>
  <c r="Y523" i="5" a="1"/>
  <c r="Y523" i="5" s="1"/>
  <c r="Y496" i="5" a="1"/>
  <c r="Y496" i="5" s="1"/>
  <c r="Y517" i="5" a="1"/>
  <c r="Y517" i="5" s="1"/>
  <c r="Y482" i="5" a="1"/>
  <c r="Y482" i="5" s="1"/>
  <c r="Y327" i="5" a="1"/>
  <c r="Y327" i="5" s="1"/>
  <c r="Y356" i="5" a="1"/>
  <c r="Y356" i="5" s="1"/>
  <c r="Y329" i="5" a="1"/>
  <c r="Y329" i="5" s="1"/>
  <c r="Y294" i="5" a="1"/>
  <c r="Y294" i="5" s="1"/>
  <c r="Y812" i="5" a="1"/>
  <c r="Y812" i="5" s="1"/>
  <c r="Y809" i="5" a="1"/>
  <c r="Y809" i="5" s="1"/>
  <c r="Y806" i="5" a="1"/>
  <c r="Y806" i="5" s="1"/>
  <c r="Y787" i="5" a="1"/>
  <c r="Y787" i="5" s="1"/>
  <c r="Y784" i="5" a="1"/>
  <c r="Y784" i="5" s="1"/>
  <c r="Y781" i="5" a="1"/>
  <c r="Y781" i="5" s="1"/>
  <c r="Y770" i="5" a="1"/>
  <c r="Y770" i="5" s="1"/>
  <c r="Y775" i="5" a="1"/>
  <c r="Y775" i="5" s="1"/>
  <c r="Y126" i="5" a="1"/>
  <c r="Y126" i="5" s="1"/>
  <c r="Y128" i="5" a="1"/>
  <c r="Y128" i="5" s="1"/>
  <c r="Y146" i="5" a="1"/>
  <c r="Y146" i="5" s="1"/>
  <c r="Y110" i="5" a="1"/>
  <c r="Y110" i="5" s="1"/>
  <c r="Y35" i="5" a="1"/>
  <c r="Y35" i="5" s="1"/>
  <c r="Y463" i="5" a="1"/>
  <c r="Y463" i="5" s="1"/>
  <c r="Y492" i="5" a="1"/>
  <c r="Y492" i="5" s="1"/>
  <c r="Y465" i="5" a="1"/>
  <c r="Y465" i="5" s="1"/>
  <c r="Y430" i="5" a="1"/>
  <c r="Y430" i="5" s="1"/>
  <c r="Y948" i="5" a="1"/>
  <c r="Y948" i="5" s="1"/>
  <c r="Y945" i="5" a="1"/>
  <c r="Y945" i="5" s="1"/>
  <c r="Y942" i="5" a="1"/>
  <c r="Y942" i="5" s="1"/>
  <c r="Y923" i="5" a="1"/>
  <c r="Y923" i="5" s="1"/>
  <c r="Y920" i="5" a="1"/>
  <c r="Y920" i="5" s="1"/>
  <c r="Y917" i="5" a="1"/>
  <c r="Y917" i="5" s="1"/>
  <c r="Y906" i="5" a="1"/>
  <c r="Y906" i="5" s="1"/>
  <c r="Y911" i="5" a="1"/>
  <c r="Y911" i="5" s="1"/>
  <c r="Y283" i="5" a="1"/>
  <c r="Y283" i="5" s="1"/>
  <c r="Y256" i="5" a="1"/>
  <c r="Y256" i="5" s="1"/>
  <c r="Y277" i="5" a="1"/>
  <c r="Y277" i="5" s="1"/>
  <c r="Y242" i="5" a="1"/>
  <c r="Y242" i="5" s="1"/>
  <c r="Y112" i="5" a="1"/>
  <c r="Y112" i="5" s="1"/>
  <c r="Y61" i="5" a="1"/>
  <c r="Y61" i="5" s="1"/>
  <c r="Y129" i="5" a="1"/>
  <c r="Y129" i="5" s="1"/>
  <c r="Y47" i="5" a="1"/>
  <c r="Y47" i="5" s="1"/>
  <c r="Y572" i="5" a="1"/>
  <c r="Y572" i="5" s="1"/>
  <c r="Y569" i="5" a="1"/>
  <c r="Y569" i="5" s="1"/>
  <c r="Y566" i="5" a="1"/>
  <c r="Y566" i="5" s="1"/>
  <c r="Y2" i="5" a="1"/>
  <c r="Y2" i="5" s="1"/>
  <c r="Y1059" i="5" a="1"/>
  <c r="Y1059" i="5" s="1"/>
  <c r="Y1056" i="5" a="1"/>
  <c r="Y1056" i="5" s="1"/>
  <c r="Y1053" i="5" a="1"/>
  <c r="Y1053" i="5" s="1"/>
  <c r="Y1042" i="5" a="1"/>
  <c r="Y1042" i="5" s="1"/>
  <c r="Y1047" i="5" a="1"/>
  <c r="Y1047" i="5" s="1"/>
  <c r="Y419" i="5" a="1"/>
  <c r="Y419" i="5" s="1"/>
  <c r="Y392" i="5" a="1"/>
  <c r="Y392" i="5" s="1"/>
  <c r="Y413" i="5" a="1"/>
  <c r="Y413" i="5" s="1"/>
  <c r="Y378" i="5" a="1"/>
  <c r="Y378" i="5" s="1"/>
  <c r="Y223" i="5" a="1"/>
  <c r="Y223" i="5" s="1"/>
  <c r="Y252" i="5" a="1"/>
  <c r="Y252" i="5" s="1"/>
  <c r="Y225" i="5" a="1"/>
  <c r="Y225" i="5" s="1"/>
  <c r="Y193" i="5" a="1"/>
  <c r="Y193" i="5" s="1"/>
  <c r="Y708" i="5" a="1"/>
  <c r="Y708" i="5" s="1"/>
  <c r="Y705" i="5" a="1"/>
  <c r="Y705" i="5" s="1"/>
  <c r="Y702" i="5" a="1"/>
  <c r="Y702" i="5" s="1"/>
  <c r="Y683" i="5" a="1"/>
  <c r="Y683" i="5" s="1"/>
  <c r="Y680" i="5" a="1"/>
  <c r="Y680" i="5" s="1"/>
  <c r="Y677" i="5" a="1"/>
  <c r="Y677" i="5" s="1"/>
  <c r="Y666" i="5" a="1"/>
  <c r="Y666" i="5" s="1"/>
  <c r="Y671" i="5" a="1"/>
  <c r="Y671" i="5" s="1"/>
  <c r="Y68" i="5" a="1"/>
  <c r="Y68" i="5" s="1"/>
  <c r="Y555" i="5" a="1"/>
  <c r="Y555" i="5" s="1"/>
  <c r="Y528" i="5" a="1"/>
  <c r="Y528" i="5" s="1"/>
  <c r="Y549" i="5" a="1"/>
  <c r="Y549" i="5" s="1"/>
  <c r="Y514" i="5" a="1"/>
  <c r="Y514" i="5" s="1"/>
  <c r="Y359" i="5" a="1"/>
  <c r="Y359" i="5" s="1"/>
  <c r="Y388" i="5" a="1"/>
  <c r="Y388" i="5" s="1"/>
  <c r="Y361" i="5" a="1"/>
  <c r="Y361" i="5" s="1"/>
  <c r="Y326" i="5" a="1"/>
  <c r="Y326" i="5" s="1"/>
  <c r="Y844" i="5" a="1"/>
  <c r="Y844" i="5" s="1"/>
  <c r="Y841" i="5" a="1"/>
  <c r="Y841" i="5" s="1"/>
  <c r="Y838" i="5" a="1"/>
  <c r="Y838" i="5" s="1"/>
  <c r="Y819" i="5" a="1"/>
  <c r="Y819" i="5" s="1"/>
  <c r="Y816" i="5" a="1"/>
  <c r="Y816" i="5" s="1"/>
  <c r="Y813" i="5" a="1"/>
  <c r="Y813" i="5" s="1"/>
  <c r="Y802" i="5" a="1"/>
  <c r="Y802" i="5" s="1"/>
  <c r="Y807" i="5" a="1"/>
  <c r="Y807" i="5" s="1"/>
  <c r="Y149" i="5" a="1"/>
  <c r="Y149" i="5" s="1"/>
  <c r="Y170" i="5" a="1"/>
  <c r="Y170" i="5" s="1"/>
  <c r="Y165" i="5" a="1"/>
  <c r="Y165" i="5" s="1"/>
  <c r="Y139" i="5" a="1"/>
  <c r="Y139" i="5" s="1"/>
  <c r="Y43" i="5" a="1"/>
  <c r="Y43" i="5" s="1"/>
  <c r="Y495" i="5" a="1"/>
  <c r="Y495" i="5" s="1"/>
  <c r="Y524" i="5" a="1"/>
  <c r="Y524" i="5" s="1"/>
  <c r="Y497" i="5" a="1"/>
  <c r="Y497" i="5" s="1"/>
  <c r="Y462" i="5" a="1"/>
  <c r="Y462" i="5" s="1"/>
  <c r="Y980" i="5" a="1"/>
  <c r="Y980" i="5" s="1"/>
  <c r="Y977" i="5" a="1"/>
  <c r="Y977" i="5" s="1"/>
  <c r="Y974" i="5" a="1"/>
  <c r="Y974" i="5" s="1"/>
  <c r="Y955" i="5" a="1"/>
  <c r="Y955" i="5" s="1"/>
  <c r="Y952" i="5" a="1"/>
  <c r="Y952" i="5" s="1"/>
  <c r="Y949" i="5" a="1"/>
  <c r="Y949" i="5" s="1"/>
  <c r="Y938" i="5" a="1"/>
  <c r="Y938" i="5" s="1"/>
  <c r="Y943" i="5" a="1"/>
  <c r="Y943" i="5" s="1"/>
  <c r="Y251" i="5" a="1"/>
  <c r="Y251" i="5" s="1"/>
  <c r="Y224" i="5" a="1"/>
  <c r="Y224" i="5" s="1"/>
  <c r="Y245" i="5" a="1"/>
  <c r="Y245" i="5" s="1"/>
  <c r="Y210" i="5" a="1"/>
  <c r="Y210" i="5" s="1"/>
  <c r="Y92" i="5" a="1"/>
  <c r="Y92" i="5" s="1"/>
  <c r="Y8" i="5" a="1"/>
  <c r="Y8" i="5" s="1"/>
  <c r="Y56" i="5" a="1"/>
  <c r="Y56" i="5" s="1"/>
  <c r="Y9" i="5" a="1"/>
  <c r="Y9" i="5" s="1"/>
  <c r="Y534" i="5" a="1"/>
  <c r="Y534" i="5" s="1"/>
  <c r="Y1052" i="5" a="1"/>
  <c r="Y1052" i="5" s="1"/>
  <c r="Y1049" i="5" a="1"/>
  <c r="Y1049" i="5" s="1"/>
  <c r="Y1046" i="5" a="1"/>
  <c r="Y1046" i="5" s="1"/>
  <c r="Y1027" i="5" a="1"/>
  <c r="Y1027" i="5" s="1"/>
  <c r="Y1024" i="5" a="1"/>
  <c r="Y1024" i="5" s="1"/>
  <c r="Y1021" i="5" a="1"/>
  <c r="Y1021" i="5" s="1"/>
  <c r="Y1010" i="5" a="1"/>
  <c r="Y1010" i="5" s="1"/>
  <c r="Y1015" i="5" a="1"/>
  <c r="Y1015" i="5" s="1"/>
  <c r="Y387" i="5" a="1"/>
  <c r="Y387" i="5" s="1"/>
  <c r="Y360" i="5" a="1"/>
  <c r="Y360" i="5" s="1"/>
  <c r="Y381" i="5" a="1"/>
  <c r="Y381" i="5" s="1"/>
  <c r="Y346" i="5" a="1"/>
  <c r="Y346" i="5" s="1"/>
  <c r="Y194" i="5" a="1"/>
  <c r="Y194" i="5" s="1"/>
  <c r="Y220" i="5" a="1"/>
  <c r="Y220" i="5" s="1"/>
  <c r="Y196" i="5" a="1"/>
  <c r="Y196" i="5" s="1"/>
  <c r="Y173" i="5" a="1"/>
  <c r="Y173" i="5" s="1"/>
  <c r="Y676" i="5" a="1"/>
  <c r="Y676" i="5" s="1"/>
  <c r="Y673" i="5" a="1"/>
  <c r="Y673" i="5" s="1"/>
  <c r="Y670" i="5" a="1"/>
  <c r="Y670" i="5" s="1"/>
  <c r="Y651" i="5" a="1"/>
  <c r="Y651" i="5" s="1"/>
  <c r="Y648" i="5" a="1"/>
  <c r="Y648" i="5" s="1"/>
  <c r="Y645" i="5" a="1"/>
  <c r="Y645" i="5" s="1"/>
  <c r="Y634" i="5" a="1"/>
  <c r="Y634" i="5" s="1"/>
  <c r="Y639" i="5" a="1"/>
  <c r="Y639" i="5" s="1"/>
  <c r="Y93" i="5" a="1"/>
  <c r="Y93" i="5" s="1"/>
  <c r="Y26" i="5" a="1"/>
  <c r="Y26" i="5" s="1"/>
  <c r="Y10" i="5" a="1"/>
  <c r="Y10" i="5" s="1"/>
  <c r="Y52" i="5" a="1"/>
  <c r="Y52" i="5" s="1"/>
  <c r="Y546" i="5" a="1"/>
  <c r="Y546" i="5" s="1"/>
  <c r="Y391" i="5" a="1"/>
  <c r="Y391" i="5" s="1"/>
  <c r="Y420" i="5" a="1"/>
  <c r="Y420" i="5" s="1"/>
  <c r="Y393" i="5" a="1"/>
  <c r="Y393" i="5" s="1"/>
  <c r="Y358" i="5" a="1"/>
  <c r="Y358" i="5" s="1"/>
  <c r="Y876" i="5" a="1"/>
  <c r="Y876" i="5" s="1"/>
  <c r="Y873" i="5" a="1"/>
  <c r="Y873" i="5" s="1"/>
  <c r="Y870" i="5" a="1"/>
  <c r="Y870" i="5" s="1"/>
  <c r="Y851" i="5" a="1"/>
  <c r="Y851" i="5" s="1"/>
  <c r="Y848" i="5" a="1"/>
  <c r="Y848" i="5" s="1"/>
  <c r="Y845" i="5" a="1"/>
  <c r="Y845" i="5" s="1"/>
  <c r="Y834" i="5" a="1"/>
  <c r="Y834" i="5" s="1"/>
  <c r="Y839" i="5" a="1"/>
  <c r="Y839" i="5" s="1"/>
  <c r="Y211" i="5" a="1"/>
  <c r="Y211" i="5" s="1"/>
  <c r="Y190" i="5" a="1"/>
  <c r="Y190" i="5" s="1"/>
  <c r="Y205" i="5" a="1"/>
  <c r="Y205" i="5" s="1"/>
  <c r="Y167" i="5" a="1"/>
  <c r="Y167" i="5" s="1"/>
  <c r="Y63" i="5" a="1"/>
  <c r="Y63" i="5" s="1"/>
  <c r="Y527" i="5" a="1"/>
  <c r="Y527" i="5" s="1"/>
  <c r="Y556" i="5" a="1"/>
  <c r="Y556" i="5" s="1"/>
  <c r="Y529" i="5" a="1"/>
  <c r="Y529" i="5" s="1"/>
  <c r="Y494" i="5" a="1"/>
  <c r="Y494" i="5" s="1"/>
  <c r="Y1012" i="5" a="1"/>
  <c r="Y1012" i="5" s="1"/>
  <c r="Y1009" i="5" a="1"/>
  <c r="Y1009" i="5" s="1"/>
  <c r="Y1006" i="5" a="1"/>
  <c r="Y1006" i="5" s="1"/>
  <c r="Y987" i="5" a="1"/>
  <c r="Y987" i="5" s="1"/>
  <c r="Y984" i="5" a="1"/>
  <c r="Y984" i="5" s="1"/>
  <c r="Y981" i="5" a="1"/>
  <c r="Y981" i="5" s="1"/>
  <c r="Y970" i="5" a="1"/>
  <c r="Y970" i="5" s="1"/>
  <c r="Y975" i="5" a="1"/>
  <c r="Y975" i="5" s="1"/>
  <c r="Y347" i="5" a="1"/>
  <c r="Y347" i="5" s="1"/>
  <c r="Y320" i="5" a="1"/>
  <c r="Y320" i="5" s="1"/>
  <c r="Y341" i="5" a="1"/>
  <c r="Y341" i="5" s="1"/>
  <c r="Y306" i="5" a="1"/>
  <c r="Y306" i="5" s="1"/>
  <c r="Y155" i="5" a="1"/>
  <c r="Y155" i="5" s="1"/>
  <c r="Y150" i="5" a="1"/>
  <c r="Y150" i="5" s="1"/>
  <c r="Y171" i="5" a="1"/>
  <c r="Y171" i="5" s="1"/>
  <c r="Y122" i="5" a="1"/>
  <c r="Y122" i="5" s="1"/>
  <c r="Y636" i="5" a="1"/>
  <c r="Y636" i="5" s="1"/>
  <c r="Y633" i="5" a="1"/>
  <c r="Y633" i="5" s="1"/>
  <c r="Y630" i="5" a="1"/>
  <c r="Y630" i="5" s="1"/>
  <c r="Y611" i="5" a="1"/>
  <c r="Y611" i="5" s="1"/>
  <c r="Y608" i="5" a="1"/>
  <c r="Y608" i="5" s="1"/>
  <c r="Y605" i="5" a="1"/>
  <c r="Y605" i="5" s="1"/>
  <c r="Y594" i="5" a="1"/>
  <c r="Y594" i="5" s="1"/>
  <c r="Y599" i="5" a="1"/>
  <c r="Y599" i="5" s="1"/>
  <c r="Y34" i="5" a="1"/>
  <c r="Y34" i="5" s="1"/>
  <c r="Y483" i="5" a="1"/>
  <c r="Y483" i="5" s="1"/>
  <c r="Y456" i="5" a="1"/>
  <c r="Y456" i="5" s="1"/>
  <c r="Y477" i="5" a="1"/>
  <c r="Y477" i="5" s="1"/>
  <c r="Y442" i="5" a="1"/>
  <c r="Y442" i="5" s="1"/>
  <c r="Y287" i="5" a="1"/>
  <c r="Y287" i="5" s="1"/>
  <c r="Y316" i="5" a="1"/>
  <c r="Y316" i="5" s="1"/>
  <c r="Y289" i="5" a="1"/>
  <c r="Y289" i="5" s="1"/>
  <c r="Y254" i="5" a="1"/>
  <c r="Y254" i="5" s="1"/>
  <c r="Y772" i="5" a="1"/>
  <c r="Y772" i="5" s="1"/>
  <c r="Y769" i="5" a="1"/>
  <c r="Y769" i="5" s="1"/>
  <c r="Y766" i="5" a="1"/>
  <c r="Y766" i="5" s="1"/>
  <c r="Y747" i="5" a="1"/>
  <c r="Y747" i="5" s="1"/>
  <c r="Y744" i="5" a="1"/>
  <c r="Y744" i="5" s="1"/>
  <c r="Y741" i="5" a="1"/>
  <c r="Y741" i="5" s="1"/>
  <c r="Y730" i="5" a="1"/>
  <c r="Y730" i="5" s="1"/>
  <c r="Y735" i="5" a="1"/>
  <c r="Y735" i="5" s="1"/>
  <c r="Y107" i="5" a="1"/>
  <c r="Y107" i="5" s="1"/>
  <c r="Y76" i="5" a="1"/>
  <c r="Y76" i="5" s="1"/>
  <c r="Y69" i="5" a="1"/>
  <c r="Y69" i="5" s="1"/>
  <c r="Y83" i="5" a="1"/>
  <c r="Y83" i="5" s="1"/>
  <c r="Y20" i="5" a="1"/>
  <c r="Y20" i="5" s="1"/>
  <c r="Y423" i="5" a="1"/>
  <c r="Y423" i="5" s="1"/>
  <c r="Y452" i="5" a="1"/>
  <c r="Y452" i="5" s="1"/>
  <c r="Y425" i="5" a="1"/>
  <c r="Y425" i="5" s="1"/>
  <c r="Y390" i="5" a="1"/>
  <c r="Y390" i="5" s="1"/>
  <c r="Y908" i="5" a="1"/>
  <c r="Y908" i="5" s="1"/>
  <c r="Y905" i="5" a="1"/>
  <c r="Y905" i="5" s="1"/>
  <c r="Y902" i="5" a="1"/>
  <c r="Y902" i="5" s="1"/>
  <c r="Y883" i="5" a="1"/>
  <c r="Y883" i="5" s="1"/>
  <c r="Y880" i="5" a="1"/>
  <c r="Y880" i="5" s="1"/>
  <c r="Y877" i="5" a="1"/>
  <c r="Y877" i="5" s="1"/>
  <c r="Y866" i="5" a="1"/>
  <c r="Y866" i="5" s="1"/>
  <c r="Y871" i="5" a="1"/>
  <c r="Y871" i="5" s="1"/>
  <c r="Y243" i="5" a="1"/>
  <c r="Y243" i="5" s="1"/>
  <c r="Y216" i="5" a="1"/>
  <c r="Y216" i="5" s="1"/>
  <c r="Y237" i="5" a="1"/>
  <c r="Y237" i="5" s="1"/>
  <c r="Y202" i="5" a="1"/>
  <c r="Y202" i="5" s="1"/>
  <c r="Y81" i="5" a="1"/>
  <c r="Y81" i="5" s="1"/>
  <c r="Y559" i="5" a="1"/>
  <c r="Y559" i="5" s="1"/>
  <c r="Y53" i="5" a="1"/>
  <c r="Y53" i="5" s="1"/>
  <c r="Y4" i="5" a="1"/>
  <c r="Y4" i="5" s="1"/>
  <c r="Y526" i="5" a="1"/>
  <c r="Y526" i="5" s="1"/>
  <c r="Y1044" i="5" a="1"/>
  <c r="Y1044" i="5" s="1"/>
  <c r="Y1041" i="5" a="1"/>
  <c r="Y1041" i="5" s="1"/>
  <c r="Y1038" i="5" a="1"/>
  <c r="Y1038" i="5" s="1"/>
  <c r="Y1019" i="5" a="1"/>
  <c r="Y1019" i="5" s="1"/>
  <c r="Y1016" i="5" a="1"/>
  <c r="Y1016" i="5" s="1"/>
  <c r="Y1013" i="5" a="1"/>
  <c r="Y1013" i="5" s="1"/>
  <c r="Y1002" i="5" a="1"/>
  <c r="Y1002" i="5" s="1"/>
  <c r="Y1007" i="5" a="1"/>
  <c r="Y1007" i="5" s="1"/>
  <c r="Y315" i="5" a="1"/>
  <c r="Y315" i="5" s="1"/>
  <c r="Y288" i="5" a="1"/>
  <c r="Y288" i="5" s="1"/>
  <c r="Y309" i="5" a="1"/>
  <c r="Y309" i="5" s="1"/>
  <c r="Y274" i="5" a="1"/>
  <c r="Y274" i="5" s="1"/>
  <c r="Y125" i="5" a="1"/>
  <c r="Y125" i="5" s="1"/>
  <c r="Y88" i="5" a="1"/>
  <c r="Y88" i="5" s="1"/>
  <c r="Y157" i="5" a="1"/>
  <c r="Y157" i="5" s="1"/>
  <c r="Y103" i="5" a="1"/>
  <c r="Y103" i="5" s="1"/>
  <c r="Y604" i="5" a="1"/>
  <c r="Y604" i="5" s="1"/>
  <c r="Y601" i="5" a="1"/>
  <c r="Y601" i="5" s="1"/>
  <c r="Y598" i="5" a="1"/>
  <c r="Y598" i="5" s="1"/>
  <c r="Y579" i="5" a="1"/>
  <c r="Y579" i="5" s="1"/>
  <c r="Y576" i="5" a="1"/>
  <c r="Y576" i="5" s="1"/>
  <c r="Y573" i="5" a="1"/>
  <c r="Y573" i="5" s="1"/>
  <c r="Y562" i="5" a="1"/>
  <c r="Y562" i="5" s="1"/>
  <c r="Y567" i="5" a="1"/>
  <c r="Y567" i="5" s="1"/>
  <c r="Y16" i="5" a="1"/>
  <c r="Y16" i="5" s="1"/>
  <c r="Y451" i="5" a="1"/>
  <c r="Y451" i="5" s="1"/>
  <c r="Y424" i="5" a="1"/>
  <c r="Y424" i="5" s="1"/>
  <c r="Y445" i="5" a="1"/>
  <c r="Y445" i="5" s="1"/>
  <c r="Y410" i="5" a="1"/>
  <c r="Y410" i="5" s="1"/>
  <c r="Y255" i="5" a="1"/>
  <c r="Y255" i="5" s="1"/>
  <c r="Y284" i="5" a="1"/>
  <c r="Y284" i="5" s="1"/>
  <c r="Y257" i="5" a="1"/>
  <c r="Y257" i="5" s="1"/>
  <c r="Y222" i="5" a="1"/>
  <c r="Y222" i="5" s="1"/>
  <c r="Y740" i="5" a="1"/>
  <c r="Y740" i="5" s="1"/>
  <c r="Y737" i="5" a="1"/>
  <c r="Y737" i="5" s="1"/>
  <c r="Y734" i="5" a="1"/>
  <c r="Y734" i="5" s="1"/>
  <c r="Y715" i="5" a="1"/>
  <c r="Y715" i="5" s="1"/>
  <c r="Y712" i="5" a="1"/>
  <c r="Y712" i="5" s="1"/>
  <c r="Y709" i="5" a="1"/>
  <c r="Y709" i="5" s="1"/>
  <c r="Y698" i="5" a="1"/>
  <c r="Y698" i="5" s="1"/>
  <c r="Y703" i="5" a="1"/>
  <c r="Y703" i="5" s="1"/>
  <c r="Y124" i="5" a="1"/>
  <c r="Y124" i="5" s="1"/>
  <c r="Y117" i="5" a="1"/>
  <c r="Y117" i="5" s="1"/>
  <c r="Y137" i="5" a="1"/>
  <c r="Y137" i="5" s="1"/>
  <c r="Y106" i="5" a="1"/>
  <c r="Y106" i="5" s="1"/>
  <c r="Y33" i="5" a="1"/>
  <c r="Y33" i="5" s="1"/>
  <c r="Y455" i="5" a="1"/>
  <c r="Y455" i="5" s="1"/>
  <c r="Y484" i="5" a="1"/>
  <c r="Y484" i="5" s="1"/>
  <c r="Y457" i="5" a="1"/>
  <c r="Y457" i="5" s="1"/>
  <c r="Y422" i="5" a="1"/>
  <c r="Y422" i="5" s="1"/>
  <c r="Y940" i="5" a="1"/>
  <c r="Y940" i="5" s="1"/>
  <c r="Y937" i="5" a="1"/>
  <c r="Y937" i="5" s="1"/>
  <c r="Y934" i="5" a="1"/>
  <c r="Y934" i="5" s="1"/>
  <c r="Y915" i="5" a="1"/>
  <c r="Y915" i="5" s="1"/>
  <c r="Y912" i="5" a="1"/>
  <c r="Y912" i="5" s="1"/>
  <c r="Y909" i="5" a="1"/>
  <c r="Y909" i="5" s="1"/>
  <c r="Y898" i="5" a="1"/>
  <c r="Y898" i="5" s="1"/>
  <c r="Y903" i="5" a="1"/>
  <c r="Y903" i="5" s="1"/>
  <c r="Y275" i="5" a="1"/>
  <c r="Y275" i="5" s="1"/>
  <c r="Y248" i="5" a="1"/>
  <c r="Y248" i="5" s="1"/>
  <c r="Y269" i="5" a="1"/>
  <c r="Y269" i="5" s="1"/>
  <c r="Y234" i="5" a="1"/>
  <c r="Y234" i="5" s="1"/>
  <c r="Y98" i="5" a="1"/>
  <c r="Y98" i="5" s="1"/>
  <c r="Y25" i="5" a="1"/>
  <c r="Y25" i="5" s="1"/>
  <c r="Y118" i="5" a="1"/>
  <c r="Y118" i="5" s="1"/>
  <c r="Y44" i="5" a="1"/>
  <c r="Y44" i="5" s="1"/>
  <c r="Y564" i="5" a="1"/>
  <c r="Y564" i="5" s="1"/>
  <c r="Y561" i="5" a="1"/>
  <c r="Y561" i="5" s="1"/>
  <c r="Y1073" i="5" a="1"/>
  <c r="Y1073" i="5" s="1"/>
  <c r="Y1070" i="5" a="1"/>
  <c r="Y1070" i="5" s="1"/>
  <c r="Y1051" i="5" a="1"/>
  <c r="Y1051" i="5" s="1"/>
  <c r="Y1048" i="5" a="1"/>
  <c r="Y1048" i="5" s="1"/>
  <c r="Y1045" i="5" a="1"/>
  <c r="Y1045" i="5" s="1"/>
  <c r="Y1034" i="5" a="1"/>
  <c r="Y1034" i="5" s="1"/>
  <c r="Y1039" i="5" a="1"/>
  <c r="Y1039" i="5" s="1"/>
  <c r="Y411" i="5" a="1"/>
  <c r="Y411" i="5" s="1"/>
  <c r="Y384" i="5" a="1"/>
  <c r="Y384" i="5" s="1"/>
  <c r="Y405" i="5" a="1"/>
  <c r="Y405" i="5" s="1"/>
  <c r="Y370" i="5" a="1"/>
  <c r="Y370" i="5" s="1"/>
  <c r="Y215" i="5" a="1"/>
  <c r="Y215" i="5" s="1"/>
  <c r="Y244" i="5" a="1"/>
  <c r="Y244" i="5" s="1"/>
  <c r="Y217" i="5" a="1"/>
  <c r="Y217" i="5" s="1"/>
  <c r="Y188" i="5" a="1"/>
  <c r="Y188" i="5" s="1"/>
  <c r="Y700" i="5" a="1"/>
  <c r="Y700" i="5" s="1"/>
  <c r="Y697" i="5" a="1"/>
  <c r="Y697" i="5" s="1"/>
  <c r="Y694" i="5" a="1"/>
  <c r="Y694" i="5" s="1"/>
  <c r="Y675" i="5" a="1"/>
  <c r="Y675" i="5" s="1"/>
  <c r="Y672" i="5" a="1"/>
  <c r="Y672" i="5" s="1"/>
  <c r="Y669" i="5" a="1"/>
  <c r="Y669" i="5" s="1"/>
  <c r="Y658" i="5" a="1"/>
  <c r="Y658" i="5" s="1"/>
  <c r="Y663" i="5" a="1"/>
  <c r="Y663" i="5" s="1"/>
  <c r="Y66" i="5" a="1"/>
  <c r="Y66" i="5" s="1"/>
  <c r="Y547" i="5" a="1"/>
  <c r="Y547" i="5" s="1"/>
  <c r="Y520" i="5" a="1"/>
  <c r="Y520" i="5" s="1"/>
  <c r="Y541" i="5" a="1"/>
  <c r="Y541" i="5" s="1"/>
  <c r="Y506" i="5" a="1"/>
  <c r="Y506" i="5" s="1"/>
  <c r="Y351" i="5" a="1"/>
  <c r="Y351" i="5" s="1"/>
  <c r="Y380" i="5" a="1"/>
  <c r="Y380" i="5" s="1"/>
  <c r="Y353" i="5" a="1"/>
  <c r="Y353" i="5" s="1"/>
  <c r="Y318" i="5" a="1"/>
  <c r="Y318" i="5" s="1"/>
  <c r="Y836" i="5" a="1"/>
  <c r="Y836" i="5" s="1"/>
  <c r="Y833" i="5" a="1"/>
  <c r="Y833" i="5" s="1"/>
  <c r="Y830" i="5" a="1"/>
  <c r="Y830" i="5" s="1"/>
  <c r="Y811" i="5" a="1"/>
  <c r="Y811" i="5" s="1"/>
  <c r="Y808" i="5" a="1"/>
  <c r="Y808" i="5" s="1"/>
  <c r="Y805" i="5" a="1"/>
  <c r="Y805" i="5" s="1"/>
  <c r="Y794" i="5" a="1"/>
  <c r="Y794" i="5" s="1"/>
  <c r="Y799" i="5" a="1"/>
  <c r="Y799" i="5" s="1"/>
  <c r="Y142" i="5" a="1"/>
  <c r="Y142" i="5" s="1"/>
  <c r="Y156" i="5" a="1"/>
  <c r="Y156" i="5" s="1"/>
  <c r="Y163" i="5" a="1"/>
  <c r="Y163" i="5" s="1"/>
  <c r="Y132" i="5" a="1"/>
  <c r="Y132" i="5" s="1"/>
  <c r="Y41" i="5" a="1"/>
  <c r="Y41" i="5" s="1"/>
  <c r="Y487" i="5" a="1"/>
  <c r="Y487" i="5" s="1"/>
  <c r="Y516" i="5" a="1"/>
  <c r="Y516" i="5" s="1"/>
  <c r="Y489" i="5" a="1"/>
  <c r="Y489" i="5" s="1"/>
  <c r="Y454" i="5" a="1"/>
  <c r="Y454" i="5" s="1"/>
  <c r="Y972" i="5" a="1"/>
  <c r="Y972" i="5" s="1"/>
  <c r="Y969" i="5" a="1"/>
  <c r="Y969" i="5" s="1"/>
  <c r="Y966" i="5" a="1"/>
  <c r="Y966" i="5" s="1"/>
  <c r="Y947" i="5" a="1"/>
  <c r="Y947" i="5" s="1"/>
  <c r="Y944" i="5" a="1"/>
  <c r="Y944" i="5" s="1"/>
  <c r="Y941" i="5" a="1"/>
  <c r="Y941" i="5" s="1"/>
  <c r="Y930" i="5" a="1"/>
  <c r="Y930" i="5" s="1"/>
  <c r="Y935" i="5" a="1"/>
  <c r="Y935" i="5" s="1"/>
  <c r="Y307" i="5" a="1"/>
  <c r="Y307" i="5" s="1"/>
  <c r="Y280" i="5" a="1"/>
  <c r="Y280" i="5" s="1"/>
  <c r="Y301" i="5" a="1"/>
  <c r="Y301" i="5" s="1"/>
  <c r="Y266" i="5" a="1"/>
  <c r="Y266" i="5" s="1"/>
  <c r="Y123" i="5" a="1"/>
  <c r="Y123" i="5" s="1"/>
  <c r="Y86" i="5" a="1"/>
  <c r="Y86" i="5" s="1"/>
  <c r="Y145" i="5" a="1"/>
  <c r="Y145" i="5" s="1"/>
  <c r="Y101" i="5" a="1"/>
  <c r="Y101" i="5" s="1"/>
  <c r="Y596" i="5" a="1"/>
  <c r="Y596" i="5" s="1"/>
  <c r="Y593" i="5" a="1"/>
  <c r="Y593" i="5" s="1"/>
  <c r="Y590" i="5" a="1"/>
  <c r="Y590" i="5" s="1"/>
  <c r="Y571" i="5" a="1"/>
  <c r="Y571" i="5" s="1"/>
  <c r="Y568" i="5" a="1"/>
  <c r="Y568" i="5" s="1"/>
  <c r="Y565" i="5" a="1"/>
  <c r="Y565" i="5" s="1"/>
  <c r="Y557" i="5" a="1"/>
  <c r="Y557" i="5" s="1"/>
  <c r="Y1066" i="5" a="1"/>
  <c r="Y1066" i="5" s="1"/>
  <c r="Y1071" i="5" a="1"/>
  <c r="Y1071" i="5" s="1"/>
  <c r="Y379" i="5" a="1"/>
  <c r="Y379" i="5" s="1"/>
  <c r="Y352" i="5" a="1"/>
  <c r="Y352" i="5" s="1"/>
  <c r="Y373" i="5" a="1"/>
  <c r="Y373" i="5" s="1"/>
  <c r="Y338" i="5" a="1"/>
  <c r="Y338" i="5" s="1"/>
  <c r="Y189" i="5" a="1"/>
  <c r="Y189" i="5" s="1"/>
  <c r="Y212" i="5" a="1"/>
  <c r="Y212" i="5" s="1"/>
  <c r="Y191" i="5" a="1"/>
  <c r="Y191" i="5" s="1"/>
  <c r="Y154" i="5" a="1"/>
  <c r="Y154" i="5" s="1"/>
  <c r="Y668" i="5" a="1"/>
  <c r="Y668" i="5" s="1"/>
  <c r="Y665" i="5" a="1"/>
  <c r="Y665" i="5" s="1"/>
  <c r="Y662" i="5" a="1"/>
  <c r="Y662" i="5" s="1"/>
  <c r="Y643" i="5" a="1"/>
  <c r="Y643" i="5" s="1"/>
  <c r="Y640" i="5" a="1"/>
  <c r="Y640" i="5" s="1"/>
  <c r="Y637" i="5" a="1"/>
  <c r="Y637" i="5" s="1"/>
  <c r="Y626" i="5" a="1"/>
  <c r="Y626" i="5" s="1"/>
  <c r="Y631" i="5" a="1"/>
  <c r="Y631" i="5" s="1"/>
  <c r="Y42" i="5" a="1"/>
  <c r="Y42" i="5" s="1"/>
  <c r="Y515" i="5" a="1"/>
  <c r="Y515" i="5" s="1"/>
  <c r="Y488" i="5" a="1"/>
  <c r="Y488" i="5" s="1"/>
  <c r="Y509" i="5" a="1"/>
  <c r="Y509" i="5" s="1"/>
  <c r="Y474" i="5" a="1"/>
  <c r="Y474" i="5" s="1"/>
  <c r="Y319" i="5" a="1"/>
  <c r="Y319" i="5" s="1"/>
  <c r="Y348" i="5" a="1"/>
  <c r="Y348" i="5" s="1"/>
  <c r="Y321" i="5" a="1"/>
  <c r="Y321" i="5" s="1"/>
  <c r="Y286" i="5" a="1"/>
  <c r="Y286" i="5" s="1"/>
  <c r="Y804" i="5" a="1"/>
  <c r="Y804" i="5" s="1"/>
  <c r="Y801" i="5" a="1"/>
  <c r="Y801" i="5" s="1"/>
  <c r="Y798" i="5" a="1"/>
  <c r="Y798" i="5" s="1"/>
  <c r="Y779" i="5" a="1"/>
  <c r="Y779" i="5" s="1"/>
  <c r="Y776" i="5" a="1"/>
  <c r="Y776" i="5" s="1"/>
  <c r="Y773" i="5" a="1"/>
  <c r="Y773" i="5" s="1"/>
  <c r="Y762" i="5" a="1"/>
  <c r="Y762" i="5" s="1"/>
  <c r="Y767" i="5" a="1"/>
  <c r="Y767" i="5" s="1"/>
  <c r="AA47" i="5" a="1"/>
  <c r="AA47" i="5" s="1"/>
  <c r="AA45" i="5" a="1"/>
  <c r="AA45" i="5" s="1"/>
  <c r="AA58" i="5" a="1"/>
  <c r="AA58" i="5" s="1"/>
  <c r="AA77" i="5" a="1"/>
  <c r="AA77" i="5" s="1"/>
  <c r="AA69" i="5" a="1"/>
  <c r="AA69" i="5" s="1"/>
  <c r="AA108" i="5" a="1"/>
  <c r="AA108" i="5" s="1"/>
  <c r="AA1070" i="5" a="1"/>
  <c r="AA1070" i="5" s="1"/>
  <c r="AA1054" i="5" a="1"/>
  <c r="AA1054" i="5" s="1"/>
  <c r="AA1038" i="5" a="1"/>
  <c r="AA1038" i="5" s="1"/>
  <c r="AA1022" i="5" a="1"/>
  <c r="AA1022" i="5" s="1"/>
  <c r="AA1006" i="5" a="1"/>
  <c r="AA1006" i="5" s="1"/>
  <c r="AA990" i="5" a="1"/>
  <c r="AA990" i="5" s="1"/>
  <c r="AA974" i="5" a="1"/>
  <c r="AA974" i="5" s="1"/>
  <c r="AA958" i="5" a="1"/>
  <c r="AA958" i="5" s="1"/>
  <c r="AA942" i="5" a="1"/>
  <c r="AA942" i="5" s="1"/>
  <c r="AA926" i="5" a="1"/>
  <c r="AA926" i="5" s="1"/>
  <c r="AA910" i="5" a="1"/>
  <c r="AA910" i="5" s="1"/>
  <c r="AA894" i="5" a="1"/>
  <c r="AA894" i="5" s="1"/>
  <c r="AA878" i="5" a="1"/>
  <c r="AA878" i="5" s="1"/>
  <c r="AA862" i="5" a="1"/>
  <c r="AA862" i="5" s="1"/>
  <c r="AA846" i="5" a="1"/>
  <c r="AA846" i="5" s="1"/>
  <c r="AA830" i="5" a="1"/>
  <c r="AA830" i="5" s="1"/>
  <c r="AA814" i="5" a="1"/>
  <c r="AA814" i="5" s="1"/>
  <c r="AA798" i="5" a="1"/>
  <c r="AA798" i="5" s="1"/>
  <c r="AA782" i="5" a="1"/>
  <c r="AA782" i="5" s="1"/>
  <c r="AA766" i="5" a="1"/>
  <c r="AA766" i="5" s="1"/>
  <c r="AA750" i="5" a="1"/>
  <c r="AA750" i="5" s="1"/>
  <c r="AA734" i="5" a="1"/>
  <c r="AA734" i="5" s="1"/>
  <c r="AA718" i="5" a="1"/>
  <c r="AA718" i="5" s="1"/>
  <c r="AA702" i="5" a="1"/>
  <c r="AA702" i="5" s="1"/>
  <c r="AA686" i="5" a="1"/>
  <c r="AA686" i="5" s="1"/>
  <c r="AA670" i="5" a="1"/>
  <c r="AA670" i="5" s="1"/>
  <c r="AA654" i="5" a="1"/>
  <c r="AA654" i="5" s="1"/>
  <c r="AA625" i="5" a="1"/>
  <c r="AA625" i="5" s="1"/>
  <c r="AA1053" i="5" a="1"/>
  <c r="AA1053" i="5" s="1"/>
  <c r="AA1037" i="5" a="1"/>
  <c r="AA1037" i="5" s="1"/>
  <c r="AA1021" i="5" a="1"/>
  <c r="AA1021" i="5" s="1"/>
  <c r="AA1005" i="5" a="1"/>
  <c r="AA1005" i="5" s="1"/>
  <c r="AA989" i="5" a="1"/>
  <c r="AA989" i="5" s="1"/>
  <c r="AA973" i="5" a="1"/>
  <c r="AA973" i="5" s="1"/>
  <c r="AA957" i="5" a="1"/>
  <c r="AA957" i="5" s="1"/>
  <c r="AA941" i="5" a="1"/>
  <c r="AA941" i="5" s="1"/>
  <c r="AA925" i="5" a="1"/>
  <c r="AA925" i="5" s="1"/>
  <c r="AA909" i="5" a="1"/>
  <c r="AA909" i="5" s="1"/>
  <c r="AA893" i="5" a="1"/>
  <c r="AA893" i="5" s="1"/>
  <c r="AA877" i="5" a="1"/>
  <c r="AA877" i="5" s="1"/>
  <c r="AA861" i="5" a="1"/>
  <c r="AA861" i="5" s="1"/>
  <c r="AA845" i="5" a="1"/>
  <c r="AA845" i="5" s="1"/>
  <c r="AA829" i="5" a="1"/>
  <c r="AA829" i="5" s="1"/>
  <c r="AA813" i="5" a="1"/>
  <c r="AA813" i="5" s="1"/>
  <c r="AA797" i="5" a="1"/>
  <c r="AA797" i="5" s="1"/>
  <c r="AA781" i="5" a="1"/>
  <c r="AA781" i="5" s="1"/>
  <c r="AA765" i="5" a="1"/>
  <c r="AA765" i="5" s="1"/>
  <c r="AA749" i="5" a="1"/>
  <c r="AA749" i="5" s="1"/>
  <c r="AA733" i="5" a="1"/>
  <c r="AA733" i="5" s="1"/>
  <c r="AA717" i="5" a="1"/>
  <c r="AA717" i="5" s="1"/>
  <c r="AA701" i="5" a="1"/>
  <c r="AA701" i="5" s="1"/>
  <c r="AA685" i="5" a="1"/>
  <c r="AA685" i="5" s="1"/>
  <c r="AA669" i="5" a="1"/>
  <c r="AA669" i="5" s="1"/>
  <c r="AA653" i="5" a="1"/>
  <c r="AA653" i="5" s="1"/>
  <c r="AA627" i="5" a="1"/>
  <c r="AA627" i="5" s="1"/>
  <c r="AA611" i="5" a="1"/>
  <c r="AA611" i="5" s="1"/>
  <c r="AA595" i="5" a="1"/>
  <c r="AA595" i="5" s="1"/>
  <c r="AA579" i="5" a="1"/>
  <c r="AA579" i="5" s="1"/>
  <c r="AA563" i="5" a="1"/>
  <c r="AA563" i="5" s="1"/>
  <c r="AA547" i="5" a="1"/>
  <c r="AA547" i="5" s="1"/>
  <c r="AA531" i="5" a="1"/>
  <c r="AA531" i="5" s="1"/>
  <c r="AA515" i="5" a="1"/>
  <c r="AA515" i="5" s="1"/>
  <c r="AA499" i="5" a="1"/>
  <c r="AA499" i="5" s="1"/>
  <c r="AA483" i="5" a="1"/>
  <c r="AA483" i="5" s="1"/>
  <c r="AA467" i="5" a="1"/>
  <c r="AA467" i="5" s="1"/>
  <c r="AA451" i="5" a="1"/>
  <c r="AA451" i="5" s="1"/>
  <c r="AA435" i="5" a="1"/>
  <c r="AA435" i="5" s="1"/>
  <c r="AA419" i="5" a="1"/>
  <c r="AA419" i="5" s="1"/>
  <c r="AA403" i="5" a="1"/>
  <c r="AA403" i="5" s="1"/>
  <c r="AA387" i="5" a="1"/>
  <c r="AA387" i="5" s="1"/>
  <c r="AA371" i="5" a="1"/>
  <c r="AA371" i="5" s="1"/>
  <c r="AA355" i="5" a="1"/>
  <c r="AA355" i="5" s="1"/>
  <c r="AA339" i="5" a="1"/>
  <c r="AA339" i="5" s="1"/>
  <c r="AA323" i="5" a="1"/>
  <c r="AA323" i="5" s="1"/>
  <c r="AA302" i="5" a="1"/>
  <c r="AA302" i="5" s="1"/>
  <c r="AA644" i="5" a="1"/>
  <c r="AA644" i="5" s="1"/>
  <c r="AA628" i="5" a="1"/>
  <c r="AA628" i="5" s="1"/>
  <c r="AA612" i="5" a="1"/>
  <c r="AA612" i="5" s="1"/>
  <c r="AA596" i="5" a="1"/>
  <c r="AA596" i="5" s="1"/>
  <c r="AA580" i="5" a="1"/>
  <c r="AA580" i="5" s="1"/>
  <c r="AA564" i="5" a="1"/>
  <c r="AA564" i="5" s="1"/>
  <c r="AA548" i="5" a="1"/>
  <c r="AA548" i="5" s="1"/>
  <c r="AA532" i="5" a="1"/>
  <c r="AA532" i="5" s="1"/>
  <c r="AA516" i="5" a="1"/>
  <c r="AA516" i="5" s="1"/>
  <c r="AA500" i="5" a="1"/>
  <c r="AA500" i="5" s="1"/>
  <c r="AA484" i="5" a="1"/>
  <c r="AA484" i="5" s="1"/>
  <c r="AA468" i="5" a="1"/>
  <c r="AA468" i="5" s="1"/>
  <c r="AA452" i="5" a="1"/>
  <c r="AA452" i="5" s="1"/>
  <c r="AA436" i="5" a="1"/>
  <c r="AA436" i="5" s="1"/>
  <c r="AA420" i="5" a="1"/>
  <c r="AA420" i="5" s="1"/>
  <c r="AA404" i="5" a="1"/>
  <c r="AA404" i="5" s="1"/>
  <c r="AA388" i="5" a="1"/>
  <c r="AA388" i="5" s="1"/>
  <c r="AA372" i="5" a="1"/>
  <c r="AA372" i="5" s="1"/>
  <c r="AA356" i="5" a="1"/>
  <c r="AA356" i="5" s="1"/>
  <c r="AA340" i="5" a="1"/>
  <c r="AA340" i="5" s="1"/>
  <c r="AA324" i="5" a="1"/>
  <c r="AA324" i="5" s="1"/>
  <c r="AA300" i="5" a="1"/>
  <c r="AA300" i="5" s="1"/>
  <c r="AA303" i="5" a="1"/>
  <c r="AA303" i="5" s="1"/>
  <c r="AA287" i="5" a="1"/>
  <c r="AA287" i="5" s="1"/>
  <c r="AA271" i="5" a="1"/>
  <c r="AA271" i="5" s="1"/>
  <c r="AA255" i="5" a="1"/>
  <c r="AA255" i="5" s="1"/>
  <c r="AA239" i="5" a="1"/>
  <c r="AA239" i="5" s="1"/>
  <c r="AA223" i="5" a="1"/>
  <c r="AA223" i="5" s="1"/>
  <c r="AA205" i="5" a="1"/>
  <c r="AA205" i="5" s="1"/>
  <c r="AA154" i="5" a="1"/>
  <c r="AA154" i="5" s="1"/>
  <c r="AA66" i="5" a="1"/>
  <c r="AA66" i="5" s="1"/>
  <c r="AA145" i="5" a="1"/>
  <c r="AA145" i="5" s="1"/>
  <c r="AA63" i="5" a="1"/>
  <c r="AA63" i="5" s="1"/>
  <c r="AA147" i="5" a="1"/>
  <c r="AA147" i="5" s="1"/>
  <c r="AA25" i="5" a="1"/>
  <c r="AA25" i="5" s="1"/>
  <c r="AA81" i="5" a="1"/>
  <c r="AA81" i="5" s="1"/>
  <c r="AA272" i="5" a="1"/>
  <c r="AA272" i="5" s="1"/>
  <c r="AA244" i="5" a="1"/>
  <c r="AA244" i="5" s="1"/>
  <c r="AA222" i="5" a="1"/>
  <c r="AA222" i="5" s="1"/>
  <c r="AA164" i="5" a="1"/>
  <c r="AA164" i="5" s="1"/>
  <c r="AA139" i="5" a="1"/>
  <c r="AA139" i="5" s="1"/>
  <c r="AA172" i="5" a="1"/>
  <c r="AA172" i="5" s="1"/>
  <c r="V467" i="8" a="1"/>
  <c r="V467" i="8" s="1"/>
  <c r="V44" i="8" a="1"/>
  <c r="V44" i="8" s="1"/>
  <c r="V12" i="8" a="1"/>
  <c r="V12" i="8" s="1"/>
  <c r="V95" i="8" a="1"/>
  <c r="V95" i="8" s="1"/>
  <c r="V221" i="8" a="1"/>
  <c r="V221" i="8" s="1"/>
  <c r="V271" i="8" a="1"/>
  <c r="V271" i="8" s="1"/>
  <c r="V289" i="8" a="1"/>
  <c r="V289" i="8" s="1"/>
  <c r="V375" i="8" a="1"/>
  <c r="V375" i="8" s="1"/>
  <c r="V399" i="8" a="1"/>
  <c r="V399" i="8" s="1"/>
  <c r="V494" i="8" a="1"/>
  <c r="V494" i="8" s="1"/>
  <c r="V554" i="8" a="1"/>
  <c r="V554" i="8" s="1"/>
  <c r="V631" i="8" a="1"/>
  <c r="V631" i="8" s="1"/>
  <c r="V611" i="8" a="1"/>
  <c r="V611" i="8" s="1"/>
  <c r="V709" i="8" a="1"/>
  <c r="V709" i="8" s="1"/>
  <c r="V817" i="8" a="1"/>
  <c r="V817" i="8" s="1"/>
  <c r="V835" i="8" a="1"/>
  <c r="V835" i="8" s="1"/>
  <c r="V926" i="8" a="1"/>
  <c r="V926" i="8" s="1"/>
  <c r="V980" i="8" a="1"/>
  <c r="V980" i="8" s="1"/>
  <c r="V1052" i="8" a="1"/>
  <c r="V1052" i="8" s="1"/>
  <c r="V58" i="8" a="1"/>
  <c r="V58" i="8" s="1"/>
  <c r="V137" i="8" a="1"/>
  <c r="V137" i="8" s="1"/>
  <c r="V187" i="8" a="1"/>
  <c r="V187" i="8" s="1"/>
  <c r="V188" i="8" a="1"/>
  <c r="V188" i="8" s="1"/>
  <c r="V318" i="8" a="1"/>
  <c r="V318" i="8" s="1"/>
  <c r="V390" i="8" a="1"/>
  <c r="V390" i="8" s="1"/>
  <c r="V510" i="8" a="1"/>
  <c r="V510" i="8" s="1"/>
  <c r="V458" i="8" a="1"/>
  <c r="V458" i="8" s="1"/>
  <c r="V585" i="8" a="1"/>
  <c r="V585" i="8" s="1"/>
  <c r="V666" i="8" a="1"/>
  <c r="V666" i="8" s="1"/>
  <c r="V742" i="8" a="1"/>
  <c r="V742" i="8" s="1"/>
  <c r="V793" i="8" a="1"/>
  <c r="V793" i="8" s="1"/>
  <c r="V848" i="8" a="1"/>
  <c r="V848" i="8" s="1"/>
  <c r="V900" i="8" a="1"/>
  <c r="V900" i="8" s="1"/>
  <c r="V988" i="8" a="1"/>
  <c r="V988" i="8" s="1"/>
  <c r="V1051" i="8" a="1"/>
  <c r="V1051" i="8" s="1"/>
  <c r="V75" i="8" a="1"/>
  <c r="V75" i="8" s="1"/>
  <c r="V100" i="8" a="1"/>
  <c r="V100" i="8" s="1"/>
  <c r="V268" i="8" a="1"/>
  <c r="V268" i="8" s="1"/>
  <c r="V129" i="8" a="1"/>
  <c r="V129" i="8" s="1"/>
  <c r="V373" i="8" a="1"/>
  <c r="V373" i="8" s="1"/>
  <c r="V378" i="8" a="1"/>
  <c r="V378" i="8" s="1"/>
  <c r="V466" i="8" a="1"/>
  <c r="V466" i="8" s="1"/>
  <c r="V497" i="8" a="1"/>
  <c r="V497" i="8" s="1"/>
  <c r="V601" i="8" a="1"/>
  <c r="V601" i="8" s="1"/>
  <c r="V589" i="8" a="1"/>
  <c r="V589" i="8" s="1"/>
  <c r="V741" i="8" a="1"/>
  <c r="V741" i="8" s="1"/>
  <c r="V761" i="8" a="1"/>
  <c r="V761" i="8" s="1"/>
  <c r="V833" i="8" a="1"/>
  <c r="V833" i="8" s="1"/>
  <c r="V911" i="8" a="1"/>
  <c r="V911" i="8" s="1"/>
  <c r="V983" i="8" a="1"/>
  <c r="V983" i="8" s="1"/>
  <c r="V1034" i="8" a="1"/>
  <c r="V1034" i="8" s="1"/>
  <c r="V60" i="8" a="1"/>
  <c r="V60" i="8" s="1"/>
  <c r="V126" i="8" a="1"/>
  <c r="V126" i="8" s="1"/>
  <c r="V248" i="8" a="1"/>
  <c r="V248" i="8" s="1"/>
  <c r="V305" i="8" a="1"/>
  <c r="V305" i="8" s="1"/>
  <c r="V343" i="8" a="1"/>
  <c r="V343" i="8" s="1"/>
  <c r="V297" i="8" a="1"/>
  <c r="V297" i="8" s="1"/>
  <c r="V424" i="8" a="1"/>
  <c r="V424" i="8" s="1"/>
  <c r="V435" i="8" a="1"/>
  <c r="V435" i="8" s="1"/>
  <c r="V559" i="8" a="1"/>
  <c r="V559" i="8" s="1"/>
  <c r="V653" i="8" a="1"/>
  <c r="V653" i="8" s="1"/>
  <c r="V627" i="8" a="1"/>
  <c r="V627" i="8" s="1"/>
  <c r="V734" i="8" a="1"/>
  <c r="V734" i="8" s="1"/>
  <c r="V815" i="8" a="1"/>
  <c r="V815" i="8" s="1"/>
  <c r="V862" i="8" a="1"/>
  <c r="V862" i="8" s="1"/>
  <c r="V945" i="8" a="1"/>
  <c r="V945" i="8" s="1"/>
  <c r="V1000" i="8" a="1"/>
  <c r="V1000" i="8" s="1"/>
  <c r="V1048" i="8" a="1"/>
  <c r="V1048" i="8" s="1"/>
  <c r="V88" i="8" a="1"/>
  <c r="V88" i="8" s="1"/>
  <c r="V108" i="8" a="1"/>
  <c r="V108" i="8" s="1"/>
  <c r="V303" i="8" a="1"/>
  <c r="V303" i="8" s="1"/>
  <c r="V151" i="8" a="1"/>
  <c r="V151" i="8" s="1"/>
  <c r="V381" i="8" a="1"/>
  <c r="V381" i="8" s="1"/>
  <c r="V386" i="8" a="1"/>
  <c r="V386" i="8" s="1"/>
  <c r="V488" i="8" a="1"/>
  <c r="V488" i="8" s="1"/>
  <c r="V519" i="8" a="1"/>
  <c r="V519" i="8" s="1"/>
  <c r="V575" i="8" a="1"/>
  <c r="V575" i="8" s="1"/>
  <c r="V621" i="8" a="1"/>
  <c r="V621" i="8" s="1"/>
  <c r="V762" i="8" a="1"/>
  <c r="V762" i="8" s="1"/>
  <c r="V777" i="8" a="1"/>
  <c r="V777" i="8" s="1"/>
  <c r="V855" i="8" a="1"/>
  <c r="V855" i="8" s="1"/>
  <c r="V922" i="8" a="1"/>
  <c r="V922" i="8" s="1"/>
  <c r="V1002" i="8" a="1"/>
  <c r="V1002" i="8" s="1"/>
  <c r="V1019" i="8" a="1"/>
  <c r="V1019" i="8" s="1"/>
  <c r="V76" i="8" a="1"/>
  <c r="V76" i="8" s="1"/>
  <c r="V96" i="8" a="1"/>
  <c r="V96" i="8" s="1"/>
  <c r="V142" i="8" a="1"/>
  <c r="V142" i="8" s="1"/>
  <c r="V180" i="8" a="1"/>
  <c r="V180" i="8" s="1"/>
  <c r="V203" i="8" a="1"/>
  <c r="V203" i="8" s="1"/>
  <c r="V292" i="8" a="1"/>
  <c r="V292" i="8" s="1"/>
  <c r="V413" i="8" a="1"/>
  <c r="V413" i="8" s="1"/>
  <c r="V512" i="8" a="1"/>
  <c r="V512" i="8" s="1"/>
  <c r="V573" i="8" a="1"/>
  <c r="V573" i="8" s="1"/>
  <c r="V639" i="8" a="1"/>
  <c r="V639" i="8" s="1"/>
  <c r="V609" i="8" a="1"/>
  <c r="V609" i="8" s="1"/>
  <c r="V771" i="8" a="1"/>
  <c r="V771" i="8" s="1"/>
  <c r="V785" i="8" a="1"/>
  <c r="V785" i="8" s="1"/>
  <c r="V859" i="8" a="1"/>
  <c r="V859" i="8" s="1"/>
  <c r="V942" i="8" a="1"/>
  <c r="V942" i="8" s="1"/>
  <c r="V977" i="8" a="1"/>
  <c r="V977" i="8" s="1"/>
  <c r="V1063" i="8" a="1"/>
  <c r="V1063" i="8" s="1"/>
  <c r="V13" i="8" a="1"/>
  <c r="V13" i="8" s="1"/>
  <c r="V110" i="8" a="1"/>
  <c r="V110" i="8" s="1"/>
  <c r="V236" i="8" a="1"/>
  <c r="V236" i="8" s="1"/>
  <c r="V285" i="8" a="1"/>
  <c r="V285" i="8" s="1"/>
  <c r="V357" i="8" a="1"/>
  <c r="V357" i="8" s="1"/>
  <c r="V362" i="8" a="1"/>
  <c r="V362" i="8" s="1"/>
  <c r="V523" i="8" a="1"/>
  <c r="V523" i="8" s="1"/>
  <c r="V465" i="8" a="1"/>
  <c r="V465" i="8" s="1"/>
  <c r="V574" i="8" a="1"/>
  <c r="V574" i="8" s="1"/>
  <c r="V659" i="8" a="1"/>
  <c r="V659" i="8" s="1"/>
  <c r="V727" i="8" a="1"/>
  <c r="V727" i="8" s="1"/>
  <c r="V722" i="8" a="1"/>
  <c r="V722" i="8" s="1"/>
  <c r="V822" i="8" a="1"/>
  <c r="V822" i="8" s="1"/>
  <c r="V905" i="8" a="1"/>
  <c r="V905" i="8" s="1"/>
  <c r="V952" i="8" a="1"/>
  <c r="V952" i="8" s="1"/>
  <c r="V1033" i="8" a="1"/>
  <c r="V1033" i="8" s="1"/>
  <c r="V56" i="8" a="1"/>
  <c r="V56" i="8" s="1"/>
  <c r="V125" i="8" a="1"/>
  <c r="V125" i="8" s="1"/>
  <c r="V277" i="8" a="1"/>
  <c r="V277" i="8" s="1"/>
  <c r="V284" i="8" a="1"/>
  <c r="V284" i="8" s="1"/>
  <c r="V394" i="8" a="1"/>
  <c r="V394" i="8" s="1"/>
  <c r="V549" i="8" a="1"/>
  <c r="V549" i="8" s="1"/>
  <c r="AC9" i="5" a="1"/>
  <c r="AC9" i="5" s="1"/>
  <c r="AC82" i="5" a="1"/>
  <c r="AC82" i="5" s="1"/>
  <c r="AC138" i="5" a="1"/>
  <c r="AC138" i="5" s="1"/>
  <c r="AC34" i="5" a="1"/>
  <c r="AC34" i="5" s="1"/>
  <c r="AC122" i="5" a="1"/>
  <c r="AC122" i="5" s="1"/>
  <c r="AC180" i="5" a="1"/>
  <c r="AC180" i="5" s="1"/>
  <c r="AC211" i="5" a="1"/>
  <c r="AC211" i="5" s="1"/>
  <c r="AC227" i="5" a="1"/>
  <c r="AC227" i="5" s="1"/>
  <c r="AC243" i="5" a="1"/>
  <c r="AC243" i="5" s="1"/>
  <c r="AC259" i="5" a="1"/>
  <c r="AC259" i="5" s="1"/>
  <c r="AC275" i="5" a="1"/>
  <c r="AC275" i="5" s="1"/>
  <c r="AC291" i="5" a="1"/>
  <c r="AC291" i="5" s="1"/>
  <c r="AC307" i="5" a="1"/>
  <c r="AC307" i="5" s="1"/>
  <c r="AC74" i="5" a="1"/>
  <c r="AC74" i="5" s="1"/>
  <c r="AC134" i="5" a="1"/>
  <c r="AC134" i="5" s="1"/>
  <c r="AC195" i="5" a="1"/>
  <c r="AC195" i="5" s="1"/>
  <c r="AC89" i="5" a="1"/>
  <c r="AC89" i="5" s="1"/>
  <c r="AC161" i="5" a="1"/>
  <c r="AC161" i="5" s="1"/>
  <c r="AC49" i="5" a="1"/>
  <c r="AC49" i="5" s="1"/>
  <c r="AC123" i="5" a="1"/>
  <c r="AC123" i="5" s="1"/>
  <c r="AC183" i="5" a="1"/>
  <c r="AC183" i="5" s="1"/>
  <c r="AC87" i="5" a="1"/>
  <c r="AC87" i="5" s="1"/>
  <c r="AC128" i="5" a="1"/>
  <c r="AC128" i="5" s="1"/>
  <c r="AC181" i="5" a="1"/>
  <c r="AC181" i="5" s="1"/>
  <c r="AC212" i="5" a="1"/>
  <c r="AC212" i="5" s="1"/>
  <c r="AC228" i="5" a="1"/>
  <c r="AC228" i="5" s="1"/>
  <c r="AC244" i="5" a="1"/>
  <c r="AC244" i="5" s="1"/>
  <c r="AC260" i="5" a="1"/>
  <c r="AC260" i="5" s="1"/>
  <c r="AC276" i="5" a="1"/>
  <c r="AC276" i="5" s="1"/>
  <c r="AC292" i="5" a="1"/>
  <c r="AC292" i="5" s="1"/>
  <c r="AC308" i="5" a="1"/>
  <c r="AC308" i="5" s="1"/>
  <c r="AC50" i="5" a="1"/>
  <c r="AC50" i="5" s="1"/>
  <c r="AC135" i="5" a="1"/>
  <c r="AC135" i="5" s="1"/>
  <c r="AC25" i="5" a="1"/>
  <c r="AC25" i="5" s="1"/>
  <c r="AC112" i="5" a="1"/>
  <c r="AC112" i="5" s="1"/>
  <c r="AC151" i="5" a="1"/>
  <c r="AC151" i="5" s="1"/>
  <c r="AC315" i="5" a="1"/>
  <c r="AC315" i="5" s="1"/>
  <c r="AC331" i="5" a="1"/>
  <c r="AC331" i="5" s="1"/>
  <c r="AC347" i="5" a="1"/>
  <c r="AC347" i="5" s="1"/>
  <c r="AC363" i="5" a="1"/>
  <c r="AC363" i="5" s="1"/>
  <c r="AC379" i="5" a="1"/>
  <c r="AC379" i="5" s="1"/>
  <c r="AC395" i="5" a="1"/>
  <c r="AC395" i="5" s="1"/>
  <c r="AC411" i="5" a="1"/>
  <c r="AC411" i="5" s="1"/>
  <c r="AC427" i="5" a="1"/>
  <c r="AC427" i="5" s="1"/>
  <c r="AC443" i="5" a="1"/>
  <c r="AC443" i="5" s="1"/>
  <c r="AC459" i="5" a="1"/>
  <c r="AC459" i="5" s="1"/>
  <c r="AC475" i="5" a="1"/>
  <c r="AC475" i="5" s="1"/>
  <c r="AC491" i="5" a="1"/>
  <c r="AC491" i="5" s="1"/>
  <c r="AC507" i="5" a="1"/>
  <c r="AC507" i="5" s="1"/>
  <c r="AC523" i="5" a="1"/>
  <c r="AC523" i="5" s="1"/>
  <c r="AC539" i="5" a="1"/>
  <c r="AC539" i="5" s="1"/>
  <c r="AC555" i="5" a="1"/>
  <c r="AC555" i="5" s="1"/>
  <c r="AC571" i="5" a="1"/>
  <c r="AC571" i="5" s="1"/>
  <c r="AC587" i="5" a="1"/>
  <c r="AC587" i="5" s="1"/>
  <c r="AC603" i="5" a="1"/>
  <c r="AC603" i="5" s="1"/>
  <c r="AC619" i="5" a="1"/>
  <c r="AC619" i="5" s="1"/>
  <c r="AC635" i="5" a="1"/>
  <c r="AC635" i="5" s="1"/>
  <c r="AC320" i="5" a="1"/>
  <c r="AC320" i="5" s="1"/>
  <c r="AC336" i="5" a="1"/>
  <c r="AC336" i="5" s="1"/>
  <c r="AC352" i="5" a="1"/>
  <c r="AC352" i="5" s="1"/>
  <c r="AC368" i="5" a="1"/>
  <c r="AC368" i="5" s="1"/>
  <c r="AC384" i="5" a="1"/>
  <c r="AC384" i="5" s="1"/>
  <c r="AC400" i="5" a="1"/>
  <c r="AC400" i="5" s="1"/>
  <c r="AC416" i="5" a="1"/>
  <c r="AC416" i="5" s="1"/>
  <c r="AC432" i="5" a="1"/>
  <c r="AC432" i="5" s="1"/>
  <c r="AC448" i="5" a="1"/>
  <c r="AC448" i="5" s="1"/>
  <c r="AC31" i="5" a="1"/>
  <c r="AC31" i="5" s="1"/>
  <c r="AC88" i="5" a="1"/>
  <c r="AC88" i="5" s="1"/>
  <c r="AC145" i="5" a="1"/>
  <c r="AC145" i="5" s="1"/>
  <c r="AC42" i="5" a="1"/>
  <c r="AC42" i="5" s="1"/>
  <c r="AC127" i="5" a="1"/>
  <c r="AC127" i="5" s="1"/>
  <c r="AC197" i="5" a="1"/>
  <c r="AC197" i="5" s="1"/>
  <c r="AC213" i="5" a="1"/>
  <c r="AC213" i="5" s="1"/>
  <c r="AC229" i="5" a="1"/>
  <c r="AC229" i="5" s="1"/>
  <c r="AC245" i="5" a="1"/>
  <c r="AC245" i="5" s="1"/>
  <c r="AC261" i="5" a="1"/>
  <c r="AC261" i="5" s="1"/>
  <c r="AC277" i="5" a="1"/>
  <c r="AC277" i="5" s="1"/>
  <c r="AC293" i="5" a="1"/>
  <c r="AC293" i="5" s="1"/>
  <c r="AC309" i="5" a="1"/>
  <c r="AC309" i="5" s="1"/>
  <c r="AC83" i="5" a="1"/>
  <c r="AC83" i="5" s="1"/>
  <c r="AC141" i="5" a="1"/>
  <c r="AC141" i="5" s="1"/>
  <c r="AC14" i="5" a="1"/>
  <c r="AC14" i="5" s="1"/>
  <c r="AC92" i="5" a="1"/>
  <c r="AC92" i="5" s="1"/>
  <c r="AC170" i="5" a="1"/>
  <c r="AC170" i="5" s="1"/>
  <c r="AC58" i="5" a="1"/>
  <c r="AC58" i="5" s="1"/>
  <c r="AC130" i="5" a="1"/>
  <c r="AC130" i="5" s="1"/>
  <c r="AC185" i="5" a="1"/>
  <c r="AC185" i="5" s="1"/>
  <c r="AC98" i="5" a="1"/>
  <c r="AC98" i="5" s="1"/>
  <c r="AC142" i="5" a="1"/>
  <c r="AC142" i="5" s="1"/>
  <c r="AC198" i="5" a="1"/>
  <c r="AC198" i="5" s="1"/>
  <c r="AC214" i="5" a="1"/>
  <c r="AC214" i="5" s="1"/>
  <c r="AC230" i="5" a="1"/>
  <c r="AC230" i="5" s="1"/>
  <c r="AC246" i="5" a="1"/>
  <c r="AC246" i="5" s="1"/>
  <c r="AC262" i="5" a="1"/>
  <c r="AC262" i="5" s="1"/>
  <c r="AC278" i="5" a="1"/>
  <c r="AC278" i="5" s="1"/>
  <c r="AC294" i="5" a="1"/>
  <c r="AC294" i="5" s="1"/>
  <c r="AC310" i="5" a="1"/>
  <c r="AC310" i="5" s="1"/>
  <c r="AC55" i="5" a="1"/>
  <c r="AC55" i="5" s="1"/>
  <c r="AC171" i="5" a="1"/>
  <c r="AC171" i="5" s="1"/>
  <c r="AC28" i="5" a="1"/>
  <c r="AC28" i="5" s="1"/>
  <c r="AC119" i="5" a="1"/>
  <c r="AC119" i="5" s="1"/>
  <c r="AC158" i="5" a="1"/>
  <c r="AC158" i="5" s="1"/>
  <c r="AC317" i="5" a="1"/>
  <c r="AC317" i="5" s="1"/>
  <c r="AC333" i="5" a="1"/>
  <c r="AC333" i="5" s="1"/>
  <c r="AC349" i="5" a="1"/>
  <c r="AC349" i="5" s="1"/>
  <c r="AC365" i="5" a="1"/>
  <c r="AC365" i="5" s="1"/>
  <c r="AC381" i="5" a="1"/>
  <c r="AC381" i="5" s="1"/>
  <c r="AC397" i="5" a="1"/>
  <c r="AC397" i="5" s="1"/>
  <c r="AC413" i="5" a="1"/>
  <c r="AC413" i="5" s="1"/>
  <c r="AC429" i="5" a="1"/>
  <c r="AC429" i="5" s="1"/>
  <c r="AC445" i="5" a="1"/>
  <c r="AC445" i="5" s="1"/>
  <c r="AC461" i="5" a="1"/>
  <c r="AC461" i="5" s="1"/>
  <c r="AC477" i="5" a="1"/>
  <c r="AC477" i="5" s="1"/>
  <c r="AC493" i="5" a="1"/>
  <c r="AC493" i="5" s="1"/>
  <c r="AC509" i="5" a="1"/>
  <c r="AC509" i="5" s="1"/>
  <c r="AC525" i="5" a="1"/>
  <c r="AC525" i="5" s="1"/>
  <c r="AC541" i="5" a="1"/>
  <c r="AC541" i="5" s="1"/>
  <c r="AC557" i="5" a="1"/>
  <c r="AC557" i="5" s="1"/>
  <c r="AC573" i="5" a="1"/>
  <c r="AC573" i="5" s="1"/>
  <c r="AC589" i="5" a="1"/>
  <c r="AC589" i="5" s="1"/>
  <c r="AC605" i="5" a="1"/>
  <c r="AC605" i="5" s="1"/>
  <c r="AC621" i="5" a="1"/>
  <c r="AC621" i="5" s="1"/>
  <c r="AC637" i="5" a="1"/>
  <c r="AC637" i="5" s="1"/>
  <c r="AC322" i="5" a="1"/>
  <c r="AC322" i="5" s="1"/>
  <c r="AC338" i="5" a="1"/>
  <c r="AC338" i="5" s="1"/>
  <c r="AC354" i="5" a="1"/>
  <c r="AC354" i="5" s="1"/>
  <c r="AC370" i="5" a="1"/>
  <c r="AC370" i="5" s="1"/>
  <c r="AC386" i="5" a="1"/>
  <c r="AC386" i="5" s="1"/>
  <c r="AC402" i="5" a="1"/>
  <c r="AC402" i="5" s="1"/>
  <c r="AC418" i="5" a="1"/>
  <c r="AC418" i="5" s="1"/>
  <c r="AC434" i="5" a="1"/>
  <c r="AC434" i="5" s="1"/>
  <c r="AC450" i="5" a="1"/>
  <c r="AC450" i="5" s="1"/>
  <c r="AC466" i="5" a="1"/>
  <c r="AC466" i="5" s="1"/>
  <c r="AC482" i="5" a="1"/>
  <c r="AC482" i="5" s="1"/>
  <c r="AC498" i="5" a="1"/>
  <c r="AC498" i="5" s="1"/>
  <c r="AC514" i="5" a="1"/>
  <c r="AC514" i="5" s="1"/>
  <c r="AC530" i="5" a="1"/>
  <c r="AC530" i="5" s="1"/>
  <c r="AC546" i="5" a="1"/>
  <c r="AC546" i="5" s="1"/>
  <c r="AC562" i="5" a="1"/>
  <c r="AC562" i="5" s="1"/>
  <c r="AC578" i="5" a="1"/>
  <c r="AC578" i="5" s="1"/>
  <c r="AC39" i="5" a="1"/>
  <c r="AC39" i="5" s="1"/>
  <c r="AC91" i="5" a="1"/>
  <c r="AC91" i="5" s="1"/>
  <c r="AC165" i="5" a="1"/>
  <c r="AC165" i="5" s="1"/>
  <c r="AC52" i="5" a="1"/>
  <c r="AC52" i="5" s="1"/>
  <c r="AC136" i="5" a="1"/>
  <c r="AC136" i="5" s="1"/>
  <c r="AC199" i="5" a="1"/>
  <c r="AC199" i="5" s="1"/>
  <c r="AC215" i="5" a="1"/>
  <c r="AC215" i="5" s="1"/>
  <c r="AC231" i="5" a="1"/>
  <c r="AC231" i="5" s="1"/>
  <c r="AC247" i="5" a="1"/>
  <c r="AC247" i="5" s="1"/>
  <c r="AC263" i="5" a="1"/>
  <c r="AC263" i="5" s="1"/>
  <c r="AC279" i="5" a="1"/>
  <c r="AC279" i="5" s="1"/>
  <c r="AC295" i="5" a="1"/>
  <c r="AC295" i="5" s="1"/>
  <c r="AC19" i="5" a="1"/>
  <c r="AC19" i="5" s="1"/>
  <c r="AC86" i="5" a="1"/>
  <c r="AC86" i="5" s="1"/>
  <c r="AC152" i="5" a="1"/>
  <c r="AC152" i="5" s="1"/>
  <c r="AC32" i="5" a="1"/>
  <c r="AC32" i="5" s="1"/>
  <c r="AC103" i="5" a="1"/>
  <c r="AC103" i="5" s="1"/>
  <c r="AC187" i="5" a="1"/>
  <c r="AC187" i="5" s="1"/>
  <c r="AC67" i="5" a="1"/>
  <c r="AC67" i="5" s="1"/>
  <c r="AC137" i="5" a="1"/>
  <c r="AC137" i="5" s="1"/>
  <c r="AC3" i="5" a="1"/>
  <c r="AC3" i="5" s="1"/>
  <c r="AC101" i="5" a="1"/>
  <c r="AC101" i="5" s="1"/>
  <c r="AC144" i="5" a="1"/>
  <c r="AC144" i="5" s="1"/>
  <c r="AC200" i="5" a="1"/>
  <c r="AC200" i="5" s="1"/>
  <c r="AC216" i="5" a="1"/>
  <c r="AC216" i="5" s="1"/>
  <c r="AC232" i="5" a="1"/>
  <c r="AC232" i="5" s="1"/>
  <c r="AC248" i="5" a="1"/>
  <c r="AC248" i="5" s="1"/>
  <c r="AC264" i="5" a="1"/>
  <c r="AC264" i="5" s="1"/>
  <c r="AC280" i="5" a="1"/>
  <c r="AC280" i="5" s="1"/>
  <c r="AC296" i="5" a="1"/>
  <c r="AC296" i="5" s="1"/>
  <c r="AC312" i="5" a="1"/>
  <c r="AC312" i="5" s="1"/>
  <c r="AC65" i="5" a="1"/>
  <c r="AC65" i="5" s="1"/>
  <c r="AC173" i="5" a="1"/>
  <c r="AC173" i="5" s="1"/>
  <c r="AC36" i="5" a="1"/>
  <c r="AC36" i="5" s="1"/>
  <c r="AC124" i="5" a="1"/>
  <c r="AC124" i="5" s="1"/>
  <c r="AC160" i="5" a="1"/>
  <c r="AC160" i="5" s="1"/>
  <c r="AC319" i="5" a="1"/>
  <c r="AC319" i="5" s="1"/>
  <c r="AC335" i="5" a="1"/>
  <c r="AC335" i="5" s="1"/>
  <c r="AC351" i="5" a="1"/>
  <c r="AC351" i="5" s="1"/>
  <c r="AC367" i="5" a="1"/>
  <c r="AC367" i="5" s="1"/>
  <c r="AC383" i="5" a="1"/>
  <c r="AC383" i="5" s="1"/>
  <c r="AC399" i="5" a="1"/>
  <c r="AC399" i="5" s="1"/>
  <c r="AC415" i="5" a="1"/>
  <c r="AC415" i="5" s="1"/>
  <c r="AC431" i="5" a="1"/>
  <c r="AC431" i="5" s="1"/>
  <c r="AC447" i="5" a="1"/>
  <c r="AC447" i="5" s="1"/>
  <c r="AC463" i="5" a="1"/>
  <c r="AC463" i="5" s="1"/>
  <c r="AC479" i="5" a="1"/>
  <c r="AC479" i="5" s="1"/>
  <c r="AC495" i="5" a="1"/>
  <c r="AC495" i="5" s="1"/>
  <c r="AC511" i="5" a="1"/>
  <c r="AC511" i="5" s="1"/>
  <c r="AC527" i="5" a="1"/>
  <c r="AC527" i="5" s="1"/>
  <c r="AC543" i="5" a="1"/>
  <c r="AC543" i="5" s="1"/>
  <c r="AC559" i="5" a="1"/>
  <c r="AC559" i="5" s="1"/>
  <c r="AC575" i="5" a="1"/>
  <c r="AC575" i="5" s="1"/>
  <c r="AC591" i="5" a="1"/>
  <c r="AC591" i="5" s="1"/>
  <c r="AC607" i="5" a="1"/>
  <c r="AC607" i="5" s="1"/>
  <c r="AC623" i="5" a="1"/>
  <c r="AC623" i="5" s="1"/>
  <c r="AC639" i="5" a="1"/>
  <c r="AC639" i="5" s="1"/>
  <c r="AC324" i="5" a="1"/>
  <c r="AC324" i="5" s="1"/>
  <c r="AC340" i="5" a="1"/>
  <c r="AC340" i="5" s="1"/>
  <c r="AC356" i="5" a="1"/>
  <c r="AC356" i="5" s="1"/>
  <c r="AC372" i="5" a="1"/>
  <c r="AC372" i="5" s="1"/>
  <c r="AC388" i="5" a="1"/>
  <c r="AC388" i="5" s="1"/>
  <c r="AC404" i="5" a="1"/>
  <c r="AC404" i="5" s="1"/>
  <c r="AC420" i="5" a="1"/>
  <c r="AC420" i="5" s="1"/>
  <c r="AC436" i="5" a="1"/>
  <c r="AC436" i="5" s="1"/>
  <c r="AC452" i="5" a="1"/>
  <c r="AC452" i="5" s="1"/>
  <c r="AC468" i="5" a="1"/>
  <c r="AC468" i="5" s="1"/>
  <c r="AC484" i="5" a="1"/>
  <c r="AC484" i="5" s="1"/>
  <c r="AC500" i="5" a="1"/>
  <c r="AC500" i="5" s="1"/>
  <c r="AC516" i="5" a="1"/>
  <c r="AC516" i="5" s="1"/>
  <c r="AC532" i="5" a="1"/>
  <c r="AC532" i="5" s="1"/>
  <c r="AC46" i="5" a="1"/>
  <c r="AC46" i="5" s="1"/>
  <c r="AC102" i="5" a="1"/>
  <c r="AC102" i="5" s="1"/>
  <c r="AC167" i="5" a="1"/>
  <c r="AC167" i="5" s="1"/>
  <c r="AC66" i="5" a="1"/>
  <c r="AC66" i="5" s="1"/>
  <c r="AC143" i="5" a="1"/>
  <c r="AC143" i="5" s="1"/>
  <c r="AC201" i="5" a="1"/>
  <c r="AC201" i="5" s="1"/>
  <c r="AC217" i="5" a="1"/>
  <c r="AC217" i="5" s="1"/>
  <c r="AC233" i="5" a="1"/>
  <c r="AC233" i="5" s="1"/>
  <c r="AC249" i="5" a="1"/>
  <c r="AC249" i="5" s="1"/>
  <c r="AC265" i="5" a="1"/>
  <c r="AC265" i="5" s="1"/>
  <c r="AC281" i="5" a="1"/>
  <c r="AC281" i="5" s="1"/>
  <c r="AC297" i="5" a="1"/>
  <c r="AC297" i="5" s="1"/>
  <c r="AC23" i="5" a="1"/>
  <c r="AC23" i="5" s="1"/>
  <c r="AC97" i="5" a="1"/>
  <c r="AC97" i="5" s="1"/>
  <c r="AC163" i="5" a="1"/>
  <c r="AC163" i="5" s="1"/>
  <c r="AC40" i="5" a="1"/>
  <c r="AC40" i="5" s="1"/>
  <c r="AC108" i="5" a="1"/>
  <c r="AC108" i="5" s="1"/>
  <c r="AC189" i="5" a="1"/>
  <c r="AC189" i="5" s="1"/>
  <c r="AC78" i="5" a="1"/>
  <c r="AC78" i="5" s="1"/>
  <c r="AC139" i="5" a="1"/>
  <c r="AC139" i="5" s="1"/>
  <c r="AC30" i="5" a="1"/>
  <c r="AC30" i="5" s="1"/>
  <c r="AC106" i="5" a="1"/>
  <c r="AC106" i="5" s="1"/>
  <c r="AC153" i="5" a="1"/>
  <c r="AC153" i="5" s="1"/>
  <c r="AC202" i="5" a="1"/>
  <c r="AC202" i="5" s="1"/>
  <c r="AC218" i="5" a="1"/>
  <c r="AC218" i="5" s="1"/>
  <c r="AC234" i="5" a="1"/>
  <c r="AC234" i="5" s="1"/>
  <c r="AC250" i="5" a="1"/>
  <c r="AC250" i="5" s="1"/>
  <c r="AC266" i="5" a="1"/>
  <c r="AC266" i="5" s="1"/>
  <c r="AC282" i="5" a="1"/>
  <c r="AC282" i="5" s="1"/>
  <c r="AC298" i="5" a="1"/>
  <c r="AC298" i="5" s="1"/>
  <c r="AC17" i="5" a="1"/>
  <c r="AC17" i="5" s="1"/>
  <c r="AC72" i="5" a="1"/>
  <c r="AC72" i="5" s="1"/>
  <c r="AC175" i="5" a="1"/>
  <c r="AC175" i="5" s="1"/>
  <c r="AC59" i="5" a="1"/>
  <c r="AC59" i="5" s="1"/>
  <c r="AC131" i="5" a="1"/>
  <c r="AC131" i="5" s="1"/>
  <c r="AC162" i="5" a="1"/>
  <c r="AC162" i="5" s="1"/>
  <c r="AC321" i="5" a="1"/>
  <c r="AC321" i="5" s="1"/>
  <c r="AC337" i="5" a="1"/>
  <c r="AC337" i="5" s="1"/>
  <c r="AC353" i="5" a="1"/>
  <c r="AC353" i="5" s="1"/>
  <c r="AC369" i="5" a="1"/>
  <c r="AC369" i="5" s="1"/>
  <c r="AC385" i="5" a="1"/>
  <c r="AC385" i="5" s="1"/>
  <c r="AC401" i="5" a="1"/>
  <c r="AC401" i="5" s="1"/>
  <c r="AC417" i="5" a="1"/>
  <c r="AC417" i="5" s="1"/>
  <c r="AC433" i="5" a="1"/>
  <c r="AC433" i="5" s="1"/>
  <c r="AC449" i="5" a="1"/>
  <c r="AC449" i="5" s="1"/>
  <c r="AC465" i="5" a="1"/>
  <c r="AC465" i="5" s="1"/>
  <c r="AC481" i="5" a="1"/>
  <c r="AC481" i="5" s="1"/>
  <c r="AC497" i="5" a="1"/>
  <c r="AC497" i="5" s="1"/>
  <c r="AC513" i="5" a="1"/>
  <c r="AC513" i="5" s="1"/>
  <c r="AC529" i="5" a="1"/>
  <c r="AC529" i="5" s="1"/>
  <c r="AC545" i="5" a="1"/>
  <c r="AC545" i="5" s="1"/>
  <c r="AC561" i="5" a="1"/>
  <c r="AC561" i="5" s="1"/>
  <c r="AC577" i="5" a="1"/>
  <c r="AC577" i="5" s="1"/>
  <c r="AC593" i="5" a="1"/>
  <c r="AC593" i="5" s="1"/>
  <c r="AC609" i="5" a="1"/>
  <c r="AC609" i="5" s="1"/>
  <c r="AC625" i="5" a="1"/>
  <c r="AC625" i="5" s="1"/>
  <c r="AC641" i="5" a="1"/>
  <c r="AC641" i="5" s="1"/>
  <c r="AC326" i="5" a="1"/>
  <c r="AC326" i="5" s="1"/>
  <c r="AC342" i="5" a="1"/>
  <c r="AC342" i="5" s="1"/>
  <c r="AC358" i="5" a="1"/>
  <c r="AC358" i="5" s="1"/>
  <c r="AC374" i="5" a="1"/>
  <c r="AC374" i="5" s="1"/>
  <c r="AC390" i="5" a="1"/>
  <c r="AC390" i="5" s="1"/>
  <c r="AC406" i="5" a="1"/>
  <c r="AC406" i="5" s="1"/>
  <c r="AC422" i="5" a="1"/>
  <c r="AC422" i="5" s="1"/>
  <c r="AC438" i="5" a="1"/>
  <c r="AC438" i="5" s="1"/>
  <c r="AC63" i="5" a="1"/>
  <c r="AC63" i="5" s="1"/>
  <c r="AC110" i="5" a="1"/>
  <c r="AC110" i="5" s="1"/>
  <c r="AC182" i="5" a="1"/>
  <c r="AC182" i="5" s="1"/>
  <c r="AC70" i="5" a="1"/>
  <c r="AC70" i="5" s="1"/>
  <c r="AC154" i="5" a="1"/>
  <c r="AC154" i="5" s="1"/>
  <c r="AC203" i="5" a="1"/>
  <c r="AC203" i="5" s="1"/>
  <c r="AC219" i="5" a="1"/>
  <c r="AC219" i="5" s="1"/>
  <c r="AC235" i="5" a="1"/>
  <c r="AC235" i="5" s="1"/>
  <c r="AC251" i="5" a="1"/>
  <c r="AC251" i="5" s="1"/>
  <c r="AC267" i="5" a="1"/>
  <c r="AC267" i="5" s="1"/>
  <c r="AC283" i="5" a="1"/>
  <c r="AC283" i="5" s="1"/>
  <c r="AC299" i="5" a="1"/>
  <c r="AC299" i="5" s="1"/>
  <c r="AC29" i="5" a="1"/>
  <c r="AC29" i="5" s="1"/>
  <c r="AC100" i="5" a="1"/>
  <c r="AC100" i="5" s="1"/>
  <c r="AC172" i="5" a="1"/>
  <c r="AC172" i="5" s="1"/>
  <c r="AC43" i="5" a="1"/>
  <c r="AC43" i="5" s="1"/>
  <c r="AC132" i="5" a="1"/>
  <c r="AC132" i="5" s="1"/>
  <c r="AC15" i="5" a="1"/>
  <c r="AC15" i="5" s="1"/>
  <c r="AC95" i="5" a="1"/>
  <c r="AC95" i="5" s="1"/>
  <c r="AC146" i="5" a="1"/>
  <c r="AC146" i="5" s="1"/>
  <c r="AC38" i="5" a="1"/>
  <c r="AC38" i="5" s="1"/>
  <c r="AC109" i="5" a="1"/>
  <c r="AC109" i="5" s="1"/>
  <c r="AC155" i="5" a="1"/>
  <c r="AC155" i="5" s="1"/>
  <c r="AC204" i="5" a="1"/>
  <c r="AC204" i="5" s="1"/>
  <c r="AC220" i="5" a="1"/>
  <c r="AC220" i="5" s="1"/>
  <c r="AC236" i="5" a="1"/>
  <c r="AC236" i="5" s="1"/>
  <c r="AC252" i="5" a="1"/>
  <c r="AC252" i="5" s="1"/>
  <c r="AC268" i="5" a="1"/>
  <c r="AC268" i="5" s="1"/>
  <c r="AC284" i="5" a="1"/>
  <c r="AC284" i="5" s="1"/>
  <c r="AC300" i="5" a="1"/>
  <c r="AC300" i="5" s="1"/>
  <c r="AC21" i="5" a="1"/>
  <c r="AC21" i="5" s="1"/>
  <c r="AC81" i="5" a="1"/>
  <c r="AC81" i="5" s="1"/>
  <c r="AC192" i="5" a="1"/>
  <c r="AC192" i="5" s="1"/>
  <c r="AC69" i="5" a="1"/>
  <c r="AC69" i="5" s="1"/>
  <c r="AC133" i="5" a="1"/>
  <c r="AC133" i="5" s="1"/>
  <c r="AC169" i="5" a="1"/>
  <c r="AC169" i="5" s="1"/>
  <c r="AC323" i="5" a="1"/>
  <c r="AC323" i="5" s="1"/>
  <c r="AC339" i="5" a="1"/>
  <c r="AC339" i="5" s="1"/>
  <c r="AC355" i="5" a="1"/>
  <c r="AC355" i="5" s="1"/>
  <c r="AC371" i="5" a="1"/>
  <c r="AC371" i="5" s="1"/>
  <c r="AC387" i="5" a="1"/>
  <c r="AC387" i="5" s="1"/>
  <c r="AC403" i="5" a="1"/>
  <c r="AC403" i="5" s="1"/>
  <c r="AC419" i="5" a="1"/>
  <c r="AC419" i="5" s="1"/>
  <c r="AC435" i="5" a="1"/>
  <c r="AC435" i="5" s="1"/>
  <c r="AC451" i="5" a="1"/>
  <c r="AC451" i="5" s="1"/>
  <c r="AC467" i="5" a="1"/>
  <c r="AC467" i="5" s="1"/>
  <c r="AC483" i="5" a="1"/>
  <c r="AC483" i="5" s="1"/>
  <c r="AC499" i="5" a="1"/>
  <c r="AC499" i="5" s="1"/>
  <c r="AC515" i="5" a="1"/>
  <c r="AC515" i="5" s="1"/>
  <c r="AC531" i="5" a="1"/>
  <c r="AC531" i="5" s="1"/>
  <c r="AC547" i="5" a="1"/>
  <c r="AC547" i="5" s="1"/>
  <c r="AC563" i="5" a="1"/>
  <c r="AC563" i="5" s="1"/>
  <c r="AC579" i="5" a="1"/>
  <c r="AC579" i="5" s="1"/>
  <c r="AC595" i="5" a="1"/>
  <c r="AC595" i="5" s="1"/>
  <c r="AC611" i="5" a="1"/>
  <c r="AC611" i="5" s="1"/>
  <c r="AC627" i="5" a="1"/>
  <c r="AC627" i="5" s="1"/>
  <c r="AC311" i="5" a="1"/>
  <c r="AC311" i="5" s="1"/>
  <c r="AC328" i="5" a="1"/>
  <c r="AC328" i="5" s="1"/>
  <c r="AC344" i="5" a="1"/>
  <c r="AC344" i="5" s="1"/>
  <c r="AC360" i="5" a="1"/>
  <c r="AC360" i="5" s="1"/>
  <c r="AC376" i="5" a="1"/>
  <c r="AC376" i="5" s="1"/>
  <c r="AC392" i="5" a="1"/>
  <c r="AC392" i="5" s="1"/>
  <c r="AC408" i="5" a="1"/>
  <c r="AC408" i="5" s="1"/>
  <c r="AC424" i="5" a="1"/>
  <c r="AC424" i="5" s="1"/>
  <c r="AC440" i="5" a="1"/>
  <c r="AC440" i="5" s="1"/>
  <c r="AC456" i="5" a="1"/>
  <c r="AC456" i="5" s="1"/>
  <c r="AC472" i="5" a="1"/>
  <c r="AC472" i="5" s="1"/>
  <c r="AC488" i="5" a="1"/>
  <c r="AC488" i="5" s="1"/>
  <c r="AC504" i="5" a="1"/>
  <c r="AC504" i="5" s="1"/>
  <c r="AC520" i="5" a="1"/>
  <c r="AC520" i="5" s="1"/>
  <c r="AC536" i="5" a="1"/>
  <c r="AC536" i="5" s="1"/>
  <c r="AC552" i="5" a="1"/>
  <c r="AC552" i="5" s="1"/>
  <c r="AC568" i="5" a="1"/>
  <c r="AC568" i="5" s="1"/>
  <c r="AC73" i="5" a="1"/>
  <c r="AC73" i="5" s="1"/>
  <c r="AC115" i="5" a="1"/>
  <c r="AC115" i="5" s="1"/>
  <c r="AC184" i="5" a="1"/>
  <c r="AC184" i="5" s="1"/>
  <c r="AC94" i="5" a="1"/>
  <c r="AC94" i="5" s="1"/>
  <c r="AC156" i="5" a="1"/>
  <c r="AC156" i="5" s="1"/>
  <c r="AC205" i="5" a="1"/>
  <c r="AC205" i="5" s="1"/>
  <c r="AC221" i="5" a="1"/>
  <c r="AC221" i="5" s="1"/>
  <c r="AC237" i="5" a="1"/>
  <c r="AC237" i="5" s="1"/>
  <c r="AC253" i="5" a="1"/>
  <c r="AC253" i="5" s="1"/>
  <c r="AC269" i="5" a="1"/>
  <c r="AC269" i="5" s="1"/>
  <c r="AC285" i="5" a="1"/>
  <c r="AC285" i="5" s="1"/>
  <c r="AC301" i="5" a="1"/>
  <c r="AC301" i="5" s="1"/>
  <c r="AC37" i="5" a="1"/>
  <c r="AC37" i="5" s="1"/>
  <c r="AC113" i="5" a="1"/>
  <c r="AC113" i="5" s="1"/>
  <c r="AC174" i="5" a="1"/>
  <c r="AC174" i="5" s="1"/>
  <c r="AC61" i="5" a="1"/>
  <c r="AC61" i="5" s="1"/>
  <c r="AC148" i="5" a="1"/>
  <c r="AC148" i="5" s="1"/>
  <c r="AC27" i="5" a="1"/>
  <c r="AC27" i="5" s="1"/>
  <c r="AC111" i="5" a="1"/>
  <c r="AC111" i="5" s="1"/>
  <c r="AC157" i="5" a="1"/>
  <c r="AC157" i="5" s="1"/>
  <c r="AC68" i="5" a="1"/>
  <c r="AC68" i="5" s="1"/>
  <c r="AC114" i="5" a="1"/>
  <c r="AC114" i="5" s="1"/>
  <c r="AC164" i="5" a="1"/>
  <c r="AC164" i="5" s="1"/>
  <c r="AC206" i="5" a="1"/>
  <c r="AC206" i="5" s="1"/>
  <c r="AC222" i="5" a="1"/>
  <c r="AC222" i="5" s="1"/>
  <c r="AC238" i="5" a="1"/>
  <c r="AC238" i="5" s="1"/>
  <c r="AC254" i="5" a="1"/>
  <c r="AC254" i="5" s="1"/>
  <c r="AC270" i="5" a="1"/>
  <c r="AC270" i="5" s="1"/>
  <c r="AC286" i="5" a="1"/>
  <c r="AC286" i="5" s="1"/>
  <c r="AC302" i="5" a="1"/>
  <c r="AC302" i="5" s="1"/>
  <c r="AC33" i="5" a="1"/>
  <c r="AC33" i="5" s="1"/>
  <c r="AC90" i="5" a="1"/>
  <c r="AC90" i="5" s="1"/>
  <c r="AC194" i="5" a="1"/>
  <c r="AC194" i="5" s="1"/>
  <c r="AC85" i="5" a="1"/>
  <c r="AC85" i="5" s="1"/>
  <c r="AC140" i="5" a="1"/>
  <c r="AC140" i="5" s="1"/>
  <c r="AC188" i="5" a="1"/>
  <c r="AC188" i="5" s="1"/>
  <c r="AC325" i="5" a="1"/>
  <c r="AC325" i="5" s="1"/>
  <c r="AC341" i="5" a="1"/>
  <c r="AC341" i="5" s="1"/>
  <c r="AC357" i="5" a="1"/>
  <c r="AC357" i="5" s="1"/>
  <c r="AC373" i="5" a="1"/>
  <c r="AC373" i="5" s="1"/>
  <c r="AC389" i="5" a="1"/>
  <c r="AC389" i="5" s="1"/>
  <c r="AC405" i="5" a="1"/>
  <c r="AC405" i="5" s="1"/>
  <c r="AC421" i="5" a="1"/>
  <c r="AC421" i="5" s="1"/>
  <c r="AC437" i="5" a="1"/>
  <c r="AC437" i="5" s="1"/>
  <c r="AC453" i="5" a="1"/>
  <c r="AC453" i="5" s="1"/>
  <c r="AC469" i="5" a="1"/>
  <c r="AC469" i="5" s="1"/>
  <c r="AC485" i="5" a="1"/>
  <c r="AC485" i="5" s="1"/>
  <c r="AC501" i="5" a="1"/>
  <c r="AC501" i="5" s="1"/>
  <c r="AC517" i="5" a="1"/>
  <c r="AC517" i="5" s="1"/>
  <c r="AC533" i="5" a="1"/>
  <c r="AC533" i="5" s="1"/>
  <c r="AC549" i="5" a="1"/>
  <c r="AC549" i="5" s="1"/>
  <c r="AC565" i="5" a="1"/>
  <c r="AC565" i="5" s="1"/>
  <c r="AC581" i="5" a="1"/>
  <c r="AC581" i="5" s="1"/>
  <c r="AC597" i="5" a="1"/>
  <c r="AC597" i="5" s="1"/>
  <c r="AC613" i="5" a="1"/>
  <c r="AC613" i="5" s="1"/>
  <c r="AC629" i="5" a="1"/>
  <c r="AC629" i="5" s="1"/>
  <c r="AC314" i="5" a="1"/>
  <c r="AC314" i="5" s="1"/>
  <c r="AC330" i="5" a="1"/>
  <c r="AC330" i="5" s="1"/>
  <c r="AC346" i="5" a="1"/>
  <c r="AC346" i="5" s="1"/>
  <c r="AC362" i="5" a="1"/>
  <c r="AC362" i="5" s="1"/>
  <c r="AC378" i="5" a="1"/>
  <c r="AC378" i="5" s="1"/>
  <c r="AC394" i="5" a="1"/>
  <c r="AC394" i="5" s="1"/>
  <c r="AC410" i="5" a="1"/>
  <c r="AC410" i="5" s="1"/>
  <c r="AC426" i="5" a="1"/>
  <c r="AC426" i="5" s="1"/>
  <c r="AC77" i="5" a="1"/>
  <c r="AC77" i="5" s="1"/>
  <c r="AC117" i="5" a="1"/>
  <c r="AC117" i="5" s="1"/>
  <c r="AC186" i="5" a="1"/>
  <c r="AC186" i="5" s="1"/>
  <c r="AC105" i="5" a="1"/>
  <c r="AC105" i="5" s="1"/>
  <c r="AC176" i="5" a="1"/>
  <c r="AC176" i="5" s="1"/>
  <c r="AC207" i="5" a="1"/>
  <c r="AC207" i="5" s="1"/>
  <c r="AC223" i="5" a="1"/>
  <c r="AC223" i="5" s="1"/>
  <c r="AC239" i="5" a="1"/>
  <c r="AC239" i="5" s="1"/>
  <c r="AC255" i="5" a="1"/>
  <c r="AC255" i="5" s="1"/>
  <c r="AC271" i="5" a="1"/>
  <c r="AC271" i="5" s="1"/>
  <c r="AC287" i="5" a="1"/>
  <c r="AC287" i="5" s="1"/>
  <c r="AC303" i="5" a="1"/>
  <c r="AC303" i="5" s="1"/>
  <c r="AC47" i="5" a="1"/>
  <c r="AC47" i="5" s="1"/>
  <c r="AC120" i="5" a="1"/>
  <c r="AC120" i="5" s="1"/>
  <c r="AC191" i="5" a="1"/>
  <c r="AC191" i="5" s="1"/>
  <c r="AC64" i="5" a="1"/>
  <c r="AC64" i="5" s="1"/>
  <c r="AC150" i="5" a="1"/>
  <c r="AC150" i="5" s="1"/>
  <c r="AC35" i="5" a="1"/>
  <c r="AC35" i="5" s="1"/>
  <c r="AC116" i="5" a="1"/>
  <c r="AC116" i="5" s="1"/>
  <c r="AC166" i="5" a="1"/>
  <c r="AC166" i="5" s="1"/>
  <c r="AC75" i="5" a="1"/>
  <c r="AC75" i="5" s="1"/>
  <c r="AC121" i="5" a="1"/>
  <c r="AC121" i="5" s="1"/>
  <c r="AC177" i="5" a="1"/>
  <c r="AC177" i="5" s="1"/>
  <c r="AC208" i="5" a="1"/>
  <c r="AC208" i="5" s="1"/>
  <c r="AC224" i="5" a="1"/>
  <c r="AC224" i="5" s="1"/>
  <c r="AC240" i="5" a="1"/>
  <c r="AC240" i="5" s="1"/>
  <c r="AC256" i="5" a="1"/>
  <c r="AC256" i="5" s="1"/>
  <c r="AC272" i="5" a="1"/>
  <c r="AC272" i="5" s="1"/>
  <c r="AC288" i="5" a="1"/>
  <c r="AC288" i="5" s="1"/>
  <c r="AC304" i="5" a="1"/>
  <c r="AC304" i="5" s="1"/>
  <c r="AC41" i="5" a="1"/>
  <c r="AC41" i="5" s="1"/>
  <c r="AC93" i="5" a="1"/>
  <c r="AC93" i="5" s="1"/>
  <c r="AC196" i="5" a="1"/>
  <c r="AC196" i="5" s="1"/>
  <c r="AC96" i="5" a="1"/>
  <c r="AC96" i="5" s="1"/>
  <c r="AC147" i="5" a="1"/>
  <c r="AC147" i="5" s="1"/>
  <c r="AC190" i="5" a="1"/>
  <c r="AC190" i="5" s="1"/>
  <c r="AC327" i="5" a="1"/>
  <c r="AC327" i="5" s="1"/>
  <c r="AC343" i="5" a="1"/>
  <c r="AC343" i="5" s="1"/>
  <c r="AC359" i="5" a="1"/>
  <c r="AC359" i="5" s="1"/>
  <c r="AC375" i="5" a="1"/>
  <c r="AC375" i="5" s="1"/>
  <c r="AC391" i="5" a="1"/>
  <c r="AC391" i="5" s="1"/>
  <c r="AC407" i="5" a="1"/>
  <c r="AC407" i="5" s="1"/>
  <c r="AC423" i="5" a="1"/>
  <c r="AC423" i="5" s="1"/>
  <c r="AC439" i="5" a="1"/>
  <c r="AC439" i="5" s="1"/>
  <c r="AC455" i="5" a="1"/>
  <c r="AC455" i="5" s="1"/>
  <c r="AC471" i="5" a="1"/>
  <c r="AC471" i="5" s="1"/>
  <c r="AC487" i="5" a="1"/>
  <c r="AC487" i="5" s="1"/>
  <c r="AC503" i="5" a="1"/>
  <c r="AC503" i="5" s="1"/>
  <c r="AC519" i="5" a="1"/>
  <c r="AC519" i="5" s="1"/>
  <c r="AC535" i="5" a="1"/>
  <c r="AC535" i="5" s="1"/>
  <c r="AC551" i="5" a="1"/>
  <c r="AC551" i="5" s="1"/>
  <c r="AC567" i="5" a="1"/>
  <c r="AC567" i="5" s="1"/>
  <c r="AC583" i="5" a="1"/>
  <c r="AC583" i="5" s="1"/>
  <c r="AC599" i="5" a="1"/>
  <c r="AC599" i="5" s="1"/>
  <c r="AC615" i="5" a="1"/>
  <c r="AC615" i="5" s="1"/>
  <c r="AC631" i="5" a="1"/>
  <c r="AC631" i="5" s="1"/>
  <c r="AC316" i="5" a="1"/>
  <c r="AC316" i="5" s="1"/>
  <c r="AC332" i="5" a="1"/>
  <c r="AC332" i="5" s="1"/>
  <c r="AC348" i="5" a="1"/>
  <c r="AC348" i="5" s="1"/>
  <c r="AC364" i="5" a="1"/>
  <c r="AC364" i="5" s="1"/>
  <c r="AC380" i="5" a="1"/>
  <c r="AC380" i="5" s="1"/>
  <c r="AC396" i="5" a="1"/>
  <c r="AC396" i="5" s="1"/>
  <c r="AC412" i="5" a="1"/>
  <c r="AC412" i="5" s="1"/>
  <c r="AC428" i="5" a="1"/>
  <c r="AC428" i="5" s="1"/>
  <c r="AC444" i="5" a="1"/>
  <c r="AC444" i="5" s="1"/>
  <c r="AC460" i="5" a="1"/>
  <c r="AC460" i="5" s="1"/>
  <c r="AC476" i="5" a="1"/>
  <c r="AC476" i="5" s="1"/>
  <c r="AC492" i="5" a="1"/>
  <c r="AC492" i="5" s="1"/>
  <c r="AC508" i="5" a="1"/>
  <c r="AC508" i="5" s="1"/>
  <c r="AC524" i="5" a="1"/>
  <c r="AC524" i="5" s="1"/>
  <c r="AC540" i="5" a="1"/>
  <c r="AC540" i="5" s="1"/>
  <c r="AC556" i="5" a="1"/>
  <c r="AC556" i="5" s="1"/>
  <c r="AC572" i="5" a="1"/>
  <c r="AC572" i="5" s="1"/>
  <c r="AC588" i="5" a="1"/>
  <c r="AC588" i="5" s="1"/>
  <c r="AC79" i="5" a="1"/>
  <c r="AC79" i="5" s="1"/>
  <c r="AC129" i="5" a="1"/>
  <c r="AC129" i="5" s="1"/>
  <c r="AC12" i="5" a="1"/>
  <c r="AC12" i="5" s="1"/>
  <c r="AC107" i="5" a="1"/>
  <c r="AC107" i="5" s="1"/>
  <c r="AC178" i="5" a="1"/>
  <c r="AC178" i="5" s="1"/>
  <c r="AC209" i="5" a="1"/>
  <c r="AC209" i="5" s="1"/>
  <c r="AC225" i="5" a="1"/>
  <c r="AC225" i="5" s="1"/>
  <c r="AC241" i="5" a="1"/>
  <c r="AC241" i="5" s="1"/>
  <c r="AC257" i="5" a="1"/>
  <c r="AC257" i="5" s="1"/>
  <c r="AC273" i="5" a="1"/>
  <c r="AC273" i="5" s="1"/>
  <c r="AC289" i="5" a="1"/>
  <c r="AC289" i="5" s="1"/>
  <c r="AC305" i="5" a="1"/>
  <c r="AC305" i="5" s="1"/>
  <c r="AC57" i="5" a="1"/>
  <c r="AC57" i="5" s="1"/>
  <c r="AC125" i="5" a="1"/>
  <c r="AC125" i="5" s="1"/>
  <c r="AC193" i="5" a="1"/>
  <c r="AC193" i="5" s="1"/>
  <c r="AC80" i="5" a="1"/>
  <c r="AC80" i="5" s="1"/>
  <c r="AC159" i="5" a="1"/>
  <c r="AC159" i="5" s="1"/>
  <c r="AC44" i="5" a="1"/>
  <c r="AC44" i="5" s="1"/>
  <c r="AC118" i="5" a="1"/>
  <c r="AC118" i="5" s="1"/>
  <c r="AC168" i="5" a="1"/>
  <c r="AC168" i="5" s="1"/>
  <c r="AC84" i="5" a="1"/>
  <c r="AC84" i="5" s="1"/>
  <c r="AC126" i="5" a="1"/>
  <c r="AC126" i="5" s="1"/>
  <c r="AC179" i="5" a="1"/>
  <c r="AC179" i="5" s="1"/>
  <c r="AC210" i="5" a="1"/>
  <c r="AC210" i="5" s="1"/>
  <c r="AC226" i="5" a="1"/>
  <c r="AC226" i="5" s="1"/>
  <c r="AC242" i="5" a="1"/>
  <c r="AC242" i="5" s="1"/>
  <c r="AC258" i="5" a="1"/>
  <c r="AC258" i="5" s="1"/>
  <c r="AC274" i="5" a="1"/>
  <c r="AC274" i="5" s="1"/>
  <c r="AC290" i="5" a="1"/>
  <c r="AC290" i="5" s="1"/>
  <c r="AC306" i="5" a="1"/>
  <c r="AC306" i="5" s="1"/>
  <c r="AC45" i="5" a="1"/>
  <c r="AC45" i="5" s="1"/>
  <c r="AC104" i="5" a="1"/>
  <c r="AC104" i="5" s="1"/>
  <c r="AC6" i="5" a="1"/>
  <c r="AC6" i="5" s="1"/>
  <c r="AC99" i="5" a="1"/>
  <c r="AC99" i="5" s="1"/>
  <c r="AC149" i="5" a="1"/>
  <c r="AC149" i="5" s="1"/>
  <c r="AC313" i="5" a="1"/>
  <c r="AC313" i="5" s="1"/>
  <c r="AC329" i="5" a="1"/>
  <c r="AC329" i="5" s="1"/>
  <c r="AC345" i="5" a="1"/>
  <c r="AC345" i="5" s="1"/>
  <c r="AC361" i="5" a="1"/>
  <c r="AC361" i="5" s="1"/>
  <c r="AC377" i="5" a="1"/>
  <c r="AC377" i="5" s="1"/>
  <c r="AC393" i="5" a="1"/>
  <c r="AC393" i="5" s="1"/>
  <c r="AC409" i="5" a="1"/>
  <c r="AC409" i="5" s="1"/>
  <c r="AC425" i="5" a="1"/>
  <c r="AC425" i="5" s="1"/>
  <c r="AC441" i="5" a="1"/>
  <c r="AC441" i="5" s="1"/>
  <c r="AC457" i="5" a="1"/>
  <c r="AC457" i="5" s="1"/>
  <c r="AC473" i="5" a="1"/>
  <c r="AC473" i="5" s="1"/>
  <c r="AC489" i="5" a="1"/>
  <c r="AC489" i="5" s="1"/>
  <c r="AC505" i="5" a="1"/>
  <c r="AC505" i="5" s="1"/>
  <c r="AC521" i="5" a="1"/>
  <c r="AC521" i="5" s="1"/>
  <c r="AC537" i="5" a="1"/>
  <c r="AC537" i="5" s="1"/>
  <c r="AC553" i="5" a="1"/>
  <c r="AC553" i="5" s="1"/>
  <c r="AC569" i="5" a="1"/>
  <c r="AC569" i="5" s="1"/>
  <c r="AC585" i="5" a="1"/>
  <c r="AC585" i="5" s="1"/>
  <c r="AC601" i="5" a="1"/>
  <c r="AC601" i="5" s="1"/>
  <c r="AC617" i="5" a="1"/>
  <c r="AC617" i="5" s="1"/>
  <c r="AC633" i="5" a="1"/>
  <c r="AC633" i="5" s="1"/>
  <c r="AC318" i="5" a="1"/>
  <c r="AC318" i="5" s="1"/>
  <c r="AC334" i="5" a="1"/>
  <c r="AC334" i="5" s="1"/>
  <c r="AC350" i="5" a="1"/>
  <c r="AC350" i="5" s="1"/>
  <c r="AC366" i="5" a="1"/>
  <c r="AC366" i="5" s="1"/>
  <c r="AC382" i="5" a="1"/>
  <c r="AC382" i="5" s="1"/>
  <c r="AC398" i="5" a="1"/>
  <c r="AC398" i="5" s="1"/>
  <c r="AC414" i="5" a="1"/>
  <c r="AC414" i="5" s="1"/>
  <c r="AC430" i="5" a="1"/>
  <c r="AC430" i="5" s="1"/>
  <c r="AC458" i="5" a="1"/>
  <c r="AC458" i="5" s="1"/>
  <c r="AC490" i="5" a="1"/>
  <c r="AC490" i="5" s="1"/>
  <c r="AC522" i="5" a="1"/>
  <c r="AC522" i="5" s="1"/>
  <c r="AC550" i="5" a="1"/>
  <c r="AC550" i="5" s="1"/>
  <c r="AC576" i="5" a="1"/>
  <c r="AC576" i="5" s="1"/>
  <c r="AC596" i="5" a="1"/>
  <c r="AC596" i="5" s="1"/>
  <c r="AC612" i="5" a="1"/>
  <c r="AC612" i="5" s="1"/>
  <c r="AC628" i="5" a="1"/>
  <c r="AC628" i="5" s="1"/>
  <c r="AC650" i="5" a="1"/>
  <c r="AC650" i="5" s="1"/>
  <c r="AC666" i="5" a="1"/>
  <c r="AC666" i="5" s="1"/>
  <c r="AC682" i="5" a="1"/>
  <c r="AC682" i="5" s="1"/>
  <c r="AC698" i="5" a="1"/>
  <c r="AC698" i="5" s="1"/>
  <c r="AC714" i="5" a="1"/>
  <c r="AC714" i="5" s="1"/>
  <c r="AC730" i="5" a="1"/>
  <c r="AC730" i="5" s="1"/>
  <c r="AC746" i="5" a="1"/>
  <c r="AC746" i="5" s="1"/>
  <c r="AC762" i="5" a="1"/>
  <c r="AC762" i="5" s="1"/>
  <c r="AC778" i="5" a="1"/>
  <c r="AC778" i="5" s="1"/>
  <c r="AC794" i="5" a="1"/>
  <c r="AC794" i="5" s="1"/>
  <c r="AC810" i="5" a="1"/>
  <c r="AC810" i="5" s="1"/>
  <c r="AC826" i="5" a="1"/>
  <c r="AC826" i="5" s="1"/>
  <c r="AC842" i="5" a="1"/>
  <c r="AC842" i="5" s="1"/>
  <c r="AC858" i="5" a="1"/>
  <c r="AC858" i="5" s="1"/>
  <c r="AC874" i="5" a="1"/>
  <c r="AC874" i="5" s="1"/>
  <c r="AC890" i="5" a="1"/>
  <c r="AC890" i="5" s="1"/>
  <c r="AC906" i="5" a="1"/>
  <c r="AC906" i="5" s="1"/>
  <c r="AC922" i="5" a="1"/>
  <c r="AC922" i="5" s="1"/>
  <c r="AC938" i="5" a="1"/>
  <c r="AC938" i="5" s="1"/>
  <c r="AC954" i="5" a="1"/>
  <c r="AC954" i="5" s="1"/>
  <c r="AC970" i="5" a="1"/>
  <c r="AC970" i="5" s="1"/>
  <c r="AC986" i="5" a="1"/>
  <c r="AC986" i="5" s="1"/>
  <c r="AC1002" i="5" a="1"/>
  <c r="AC1002" i="5" s="1"/>
  <c r="AC1018" i="5" a="1"/>
  <c r="AC1018" i="5" s="1"/>
  <c r="AC1034" i="5" a="1"/>
  <c r="AC1034" i="5" s="1"/>
  <c r="AC1050" i="5" a="1"/>
  <c r="AC1050" i="5" s="1"/>
  <c r="AC1066" i="5" a="1"/>
  <c r="AC1066" i="5" s="1"/>
  <c r="AC644" i="5" a="1"/>
  <c r="AC644" i="5" s="1"/>
  <c r="AC1059" i="5" a="1"/>
  <c r="AC1059" i="5" s="1"/>
  <c r="AC659" i="5" a="1"/>
  <c r="AC659" i="5" s="1"/>
  <c r="AC675" i="5" a="1"/>
  <c r="AC675" i="5" s="1"/>
  <c r="AC691" i="5" a="1"/>
  <c r="AC691" i="5" s="1"/>
  <c r="AC707" i="5" a="1"/>
  <c r="AC707" i="5" s="1"/>
  <c r="AC723" i="5" a="1"/>
  <c r="AC723" i="5" s="1"/>
  <c r="AC739" i="5" a="1"/>
  <c r="AC739" i="5" s="1"/>
  <c r="AC755" i="5" a="1"/>
  <c r="AC755" i="5" s="1"/>
  <c r="AC771" i="5" a="1"/>
  <c r="AC771" i="5" s="1"/>
  <c r="AC787" i="5" a="1"/>
  <c r="AC787" i="5" s="1"/>
  <c r="AC803" i="5" a="1"/>
  <c r="AC803" i="5" s="1"/>
  <c r="AC819" i="5" a="1"/>
  <c r="AC819" i="5" s="1"/>
  <c r="AC835" i="5" a="1"/>
  <c r="AC835" i="5" s="1"/>
  <c r="AC851" i="5" a="1"/>
  <c r="AC851" i="5" s="1"/>
  <c r="AC867" i="5" a="1"/>
  <c r="AC867" i="5" s="1"/>
  <c r="AC883" i="5" a="1"/>
  <c r="AC883" i="5" s="1"/>
  <c r="AC899" i="5" a="1"/>
  <c r="AC899" i="5" s="1"/>
  <c r="AC915" i="5" a="1"/>
  <c r="AC915" i="5" s="1"/>
  <c r="AC931" i="5" a="1"/>
  <c r="AC931" i="5" s="1"/>
  <c r="AC947" i="5" a="1"/>
  <c r="AC947" i="5" s="1"/>
  <c r="AC963" i="5" a="1"/>
  <c r="AC963" i="5" s="1"/>
  <c r="AC979" i="5" a="1"/>
  <c r="AC979" i="5" s="1"/>
  <c r="AC995" i="5" a="1"/>
  <c r="AC995" i="5" s="1"/>
  <c r="AC1011" i="5" a="1"/>
  <c r="AC1011" i="5" s="1"/>
  <c r="AC1027" i="5" a="1"/>
  <c r="AC1027" i="5" s="1"/>
  <c r="AC1045" i="5" a="1"/>
  <c r="AC1045" i="5" s="1"/>
  <c r="AC56" i="5" a="1"/>
  <c r="AC56" i="5" s="1"/>
  <c r="AC16" i="5" a="1"/>
  <c r="AC16" i="5" s="1"/>
  <c r="AC8" i="5" a="1"/>
  <c r="AC8" i="5" s="1"/>
  <c r="AC462" i="5" a="1"/>
  <c r="AC462" i="5" s="1"/>
  <c r="AC494" i="5" a="1"/>
  <c r="AC494" i="5" s="1"/>
  <c r="AC526" i="5" a="1"/>
  <c r="AC526" i="5" s="1"/>
  <c r="AC554" i="5" a="1"/>
  <c r="AC554" i="5" s="1"/>
  <c r="AC580" i="5" a="1"/>
  <c r="AC580" i="5" s="1"/>
  <c r="AC598" i="5" a="1"/>
  <c r="AC598" i="5" s="1"/>
  <c r="AC614" i="5" a="1"/>
  <c r="AC614" i="5" s="1"/>
  <c r="AC630" i="5" a="1"/>
  <c r="AC630" i="5" s="1"/>
  <c r="AC652" i="5" a="1"/>
  <c r="AC652" i="5" s="1"/>
  <c r="AC668" i="5" a="1"/>
  <c r="AC668" i="5" s="1"/>
  <c r="AC684" i="5" a="1"/>
  <c r="AC684" i="5" s="1"/>
  <c r="AC700" i="5" a="1"/>
  <c r="AC700" i="5" s="1"/>
  <c r="AC716" i="5" a="1"/>
  <c r="AC716" i="5" s="1"/>
  <c r="AC732" i="5" a="1"/>
  <c r="AC732" i="5" s="1"/>
  <c r="AC748" i="5" a="1"/>
  <c r="AC748" i="5" s="1"/>
  <c r="AC764" i="5" a="1"/>
  <c r="AC764" i="5" s="1"/>
  <c r="AC780" i="5" a="1"/>
  <c r="AC780" i="5" s="1"/>
  <c r="AC796" i="5" a="1"/>
  <c r="AC796" i="5" s="1"/>
  <c r="AC812" i="5" a="1"/>
  <c r="AC812" i="5" s="1"/>
  <c r="AC828" i="5" a="1"/>
  <c r="AC828" i="5" s="1"/>
  <c r="AC844" i="5" a="1"/>
  <c r="AC844" i="5" s="1"/>
  <c r="AC860" i="5" a="1"/>
  <c r="AC860" i="5" s="1"/>
  <c r="AC876" i="5" a="1"/>
  <c r="AC876" i="5" s="1"/>
  <c r="AC892" i="5" a="1"/>
  <c r="AC892" i="5" s="1"/>
  <c r="AC908" i="5" a="1"/>
  <c r="AC908" i="5" s="1"/>
  <c r="AC924" i="5" a="1"/>
  <c r="AC924" i="5" s="1"/>
  <c r="AC940" i="5" a="1"/>
  <c r="AC940" i="5" s="1"/>
  <c r="AC956" i="5" a="1"/>
  <c r="AC956" i="5" s="1"/>
  <c r="AC972" i="5" a="1"/>
  <c r="AC972" i="5" s="1"/>
  <c r="AC988" i="5" a="1"/>
  <c r="AC988" i="5" s="1"/>
  <c r="AC1004" i="5" a="1"/>
  <c r="AC1004" i="5" s="1"/>
  <c r="AC1020" i="5" a="1"/>
  <c r="AC1020" i="5" s="1"/>
  <c r="AC1036" i="5" a="1"/>
  <c r="AC1036" i="5" s="1"/>
  <c r="AC1052" i="5" a="1"/>
  <c r="AC1052" i="5" s="1"/>
  <c r="AC1068" i="5" a="1"/>
  <c r="AC1068" i="5" s="1"/>
  <c r="AC1067" i="5" a="1"/>
  <c r="AC1067" i="5" s="1"/>
  <c r="AC1061" i="5" a="1"/>
  <c r="AC1061" i="5" s="1"/>
  <c r="AC661" i="5" a="1"/>
  <c r="AC661" i="5" s="1"/>
  <c r="AC677" i="5" a="1"/>
  <c r="AC677" i="5" s="1"/>
  <c r="AC693" i="5" a="1"/>
  <c r="AC693" i="5" s="1"/>
  <c r="AC709" i="5" a="1"/>
  <c r="AC709" i="5" s="1"/>
  <c r="AC725" i="5" a="1"/>
  <c r="AC725" i="5" s="1"/>
  <c r="AC741" i="5" a="1"/>
  <c r="AC741" i="5" s="1"/>
  <c r="AC757" i="5" a="1"/>
  <c r="AC757" i="5" s="1"/>
  <c r="AC773" i="5" a="1"/>
  <c r="AC773" i="5" s="1"/>
  <c r="AC789" i="5" a="1"/>
  <c r="AC789" i="5" s="1"/>
  <c r="AC805" i="5" a="1"/>
  <c r="AC805" i="5" s="1"/>
  <c r="AC821" i="5" a="1"/>
  <c r="AC821" i="5" s="1"/>
  <c r="AC837" i="5" a="1"/>
  <c r="AC837" i="5" s="1"/>
  <c r="AC853" i="5" a="1"/>
  <c r="AC853" i="5" s="1"/>
  <c r="AC869" i="5" a="1"/>
  <c r="AC869" i="5" s="1"/>
  <c r="AC885" i="5" a="1"/>
  <c r="AC885" i="5" s="1"/>
  <c r="AC901" i="5" a="1"/>
  <c r="AC901" i="5" s="1"/>
  <c r="AC917" i="5" a="1"/>
  <c r="AC917" i="5" s="1"/>
  <c r="AC933" i="5" a="1"/>
  <c r="AC933" i="5" s="1"/>
  <c r="AC949" i="5" a="1"/>
  <c r="AC949" i="5" s="1"/>
  <c r="AC965" i="5" a="1"/>
  <c r="AC965" i="5" s="1"/>
  <c r="AC981" i="5" a="1"/>
  <c r="AC981" i="5" s="1"/>
  <c r="AC997" i="5" a="1"/>
  <c r="AC997" i="5" s="1"/>
  <c r="AC1013" i="5" a="1"/>
  <c r="AC1013" i="5" s="1"/>
  <c r="AC1029" i="5" a="1"/>
  <c r="AC1029" i="5" s="1"/>
  <c r="AC1051" i="5" a="1"/>
  <c r="AC1051" i="5" s="1"/>
  <c r="AC4" i="5" a="1"/>
  <c r="AC4" i="5" s="1"/>
  <c r="AC18" i="5" a="1"/>
  <c r="AC18" i="5" s="1"/>
  <c r="AC24" i="5" a="1"/>
  <c r="AC24" i="5" s="1"/>
  <c r="AC464" i="5" a="1"/>
  <c r="AC464" i="5" s="1"/>
  <c r="AC496" i="5" a="1"/>
  <c r="AC496" i="5" s="1"/>
  <c r="AC528" i="5" a="1"/>
  <c r="AC528" i="5" s="1"/>
  <c r="AC558" i="5" a="1"/>
  <c r="AC558" i="5" s="1"/>
  <c r="AC582" i="5" a="1"/>
  <c r="AC582" i="5" s="1"/>
  <c r="AC600" i="5" a="1"/>
  <c r="AC600" i="5" s="1"/>
  <c r="AC616" i="5" a="1"/>
  <c r="AC616" i="5" s="1"/>
  <c r="AC632" i="5" a="1"/>
  <c r="AC632" i="5" s="1"/>
  <c r="AC654" i="5" a="1"/>
  <c r="AC654" i="5" s="1"/>
  <c r="AC670" i="5" a="1"/>
  <c r="AC670" i="5" s="1"/>
  <c r="AC686" i="5" a="1"/>
  <c r="AC686" i="5" s="1"/>
  <c r="AC702" i="5" a="1"/>
  <c r="AC702" i="5" s="1"/>
  <c r="AC718" i="5" a="1"/>
  <c r="AC718" i="5" s="1"/>
  <c r="AC734" i="5" a="1"/>
  <c r="AC734" i="5" s="1"/>
  <c r="AC750" i="5" a="1"/>
  <c r="AC750" i="5" s="1"/>
  <c r="AC766" i="5" a="1"/>
  <c r="AC766" i="5" s="1"/>
  <c r="AC782" i="5" a="1"/>
  <c r="AC782" i="5" s="1"/>
  <c r="AC798" i="5" a="1"/>
  <c r="AC798" i="5" s="1"/>
  <c r="AC814" i="5" a="1"/>
  <c r="AC814" i="5" s="1"/>
  <c r="AC830" i="5" a="1"/>
  <c r="AC830" i="5" s="1"/>
  <c r="AC846" i="5" a="1"/>
  <c r="AC846" i="5" s="1"/>
  <c r="AC862" i="5" a="1"/>
  <c r="AC862" i="5" s="1"/>
  <c r="AC878" i="5" a="1"/>
  <c r="AC878" i="5" s="1"/>
  <c r="AC894" i="5" a="1"/>
  <c r="AC894" i="5" s="1"/>
  <c r="AC910" i="5" a="1"/>
  <c r="AC910" i="5" s="1"/>
  <c r="AC926" i="5" a="1"/>
  <c r="AC926" i="5" s="1"/>
  <c r="AC942" i="5" a="1"/>
  <c r="AC942" i="5" s="1"/>
  <c r="AC958" i="5" a="1"/>
  <c r="AC958" i="5" s="1"/>
  <c r="AC974" i="5" a="1"/>
  <c r="AC974" i="5" s="1"/>
  <c r="AC990" i="5" a="1"/>
  <c r="AC990" i="5" s="1"/>
  <c r="AC1006" i="5" a="1"/>
  <c r="AC1006" i="5" s="1"/>
  <c r="AC1022" i="5" a="1"/>
  <c r="AC1022" i="5" s="1"/>
  <c r="AC1038" i="5" a="1"/>
  <c r="AC1038" i="5" s="1"/>
  <c r="AC1054" i="5" a="1"/>
  <c r="AC1054" i="5" s="1"/>
  <c r="AC1070" i="5" a="1"/>
  <c r="AC1070" i="5" s="1"/>
  <c r="AC642" i="5" a="1"/>
  <c r="AC642" i="5" s="1"/>
  <c r="AC1069" i="5" a="1"/>
  <c r="AC1069" i="5" s="1"/>
  <c r="AC663" i="5" a="1"/>
  <c r="AC663" i="5" s="1"/>
  <c r="AC679" i="5" a="1"/>
  <c r="AC679" i="5" s="1"/>
  <c r="AC695" i="5" a="1"/>
  <c r="AC695" i="5" s="1"/>
  <c r="AC711" i="5" a="1"/>
  <c r="AC711" i="5" s="1"/>
  <c r="AC727" i="5" a="1"/>
  <c r="AC727" i="5" s="1"/>
  <c r="AC743" i="5" a="1"/>
  <c r="AC743" i="5" s="1"/>
  <c r="AC759" i="5" a="1"/>
  <c r="AC759" i="5" s="1"/>
  <c r="AC775" i="5" a="1"/>
  <c r="AC775" i="5" s="1"/>
  <c r="AC791" i="5" a="1"/>
  <c r="AC791" i="5" s="1"/>
  <c r="AC807" i="5" a="1"/>
  <c r="AC807" i="5" s="1"/>
  <c r="AC823" i="5" a="1"/>
  <c r="AC823" i="5" s="1"/>
  <c r="AC839" i="5" a="1"/>
  <c r="AC839" i="5" s="1"/>
  <c r="AC855" i="5" a="1"/>
  <c r="AC855" i="5" s="1"/>
  <c r="AC871" i="5" a="1"/>
  <c r="AC871" i="5" s="1"/>
  <c r="AC887" i="5" a="1"/>
  <c r="AC887" i="5" s="1"/>
  <c r="AC903" i="5" a="1"/>
  <c r="AC903" i="5" s="1"/>
  <c r="AC919" i="5" a="1"/>
  <c r="AC919" i="5" s="1"/>
  <c r="AC935" i="5" a="1"/>
  <c r="AC935" i="5" s="1"/>
  <c r="AC951" i="5" a="1"/>
  <c r="AC951" i="5" s="1"/>
  <c r="AC967" i="5" a="1"/>
  <c r="AC967" i="5" s="1"/>
  <c r="AC983" i="5" a="1"/>
  <c r="AC983" i="5" s="1"/>
  <c r="AC999" i="5" a="1"/>
  <c r="AC999" i="5" s="1"/>
  <c r="AC1015" i="5" a="1"/>
  <c r="AC1015" i="5" s="1"/>
  <c r="AC1031" i="5" a="1"/>
  <c r="AC1031" i="5" s="1"/>
  <c r="AC1057" i="5" a="1"/>
  <c r="AC1057" i="5" s="1"/>
  <c r="AC71" i="5" a="1"/>
  <c r="AC71" i="5" s="1"/>
  <c r="AC13" i="5" a="1"/>
  <c r="AC13" i="5" s="1"/>
  <c r="AC5" i="5" a="1"/>
  <c r="AC5" i="5" s="1"/>
  <c r="AC470" i="5" a="1"/>
  <c r="AC470" i="5" s="1"/>
  <c r="AC502" i="5" a="1"/>
  <c r="AC502" i="5" s="1"/>
  <c r="AC534" i="5" a="1"/>
  <c r="AC534" i="5" s="1"/>
  <c r="AC560" i="5" a="1"/>
  <c r="AC560" i="5" s="1"/>
  <c r="AC584" i="5" a="1"/>
  <c r="AC584" i="5" s="1"/>
  <c r="AC602" i="5" a="1"/>
  <c r="AC602" i="5" s="1"/>
  <c r="AC618" i="5" a="1"/>
  <c r="AC618" i="5" s="1"/>
  <c r="AC634" i="5" a="1"/>
  <c r="AC634" i="5" s="1"/>
  <c r="AC656" i="5" a="1"/>
  <c r="AC656" i="5" s="1"/>
  <c r="AC672" i="5" a="1"/>
  <c r="AC672" i="5" s="1"/>
  <c r="AC688" i="5" a="1"/>
  <c r="AC688" i="5" s="1"/>
  <c r="AC704" i="5" a="1"/>
  <c r="AC704" i="5" s="1"/>
  <c r="AC720" i="5" a="1"/>
  <c r="AC720" i="5" s="1"/>
  <c r="AC736" i="5" a="1"/>
  <c r="AC736" i="5" s="1"/>
  <c r="AC752" i="5" a="1"/>
  <c r="AC752" i="5" s="1"/>
  <c r="AC768" i="5" a="1"/>
  <c r="AC768" i="5" s="1"/>
  <c r="AC784" i="5" a="1"/>
  <c r="AC784" i="5" s="1"/>
  <c r="AC800" i="5" a="1"/>
  <c r="AC800" i="5" s="1"/>
  <c r="AC816" i="5" a="1"/>
  <c r="AC816" i="5" s="1"/>
  <c r="AC832" i="5" a="1"/>
  <c r="AC832" i="5" s="1"/>
  <c r="AC848" i="5" a="1"/>
  <c r="AC848" i="5" s="1"/>
  <c r="AC864" i="5" a="1"/>
  <c r="AC864" i="5" s="1"/>
  <c r="AC880" i="5" a="1"/>
  <c r="AC880" i="5" s="1"/>
  <c r="AC896" i="5" a="1"/>
  <c r="AC896" i="5" s="1"/>
  <c r="AC912" i="5" a="1"/>
  <c r="AC912" i="5" s="1"/>
  <c r="AC928" i="5" a="1"/>
  <c r="AC928" i="5" s="1"/>
  <c r="AC944" i="5" a="1"/>
  <c r="AC944" i="5" s="1"/>
  <c r="AC960" i="5" a="1"/>
  <c r="AC960" i="5" s="1"/>
  <c r="AC976" i="5" a="1"/>
  <c r="AC976" i="5" s="1"/>
  <c r="AC992" i="5" a="1"/>
  <c r="AC992" i="5" s="1"/>
  <c r="AC1008" i="5" a="1"/>
  <c r="AC1008" i="5" s="1"/>
  <c r="AC1024" i="5" a="1"/>
  <c r="AC1024" i="5" s="1"/>
  <c r="AC1040" i="5" a="1"/>
  <c r="AC1040" i="5" s="1"/>
  <c r="AC1056" i="5" a="1"/>
  <c r="AC1056" i="5" s="1"/>
  <c r="AC1072" i="5" a="1"/>
  <c r="AC1072" i="5" s="1"/>
  <c r="AC1043" i="5" a="1"/>
  <c r="AC1043" i="5" s="1"/>
  <c r="AC649" i="5" a="1"/>
  <c r="AC649" i="5" s="1"/>
  <c r="AC665" i="5" a="1"/>
  <c r="AC665" i="5" s="1"/>
  <c r="AC681" i="5" a="1"/>
  <c r="AC681" i="5" s="1"/>
  <c r="AC697" i="5" a="1"/>
  <c r="AC697" i="5" s="1"/>
  <c r="AC713" i="5" a="1"/>
  <c r="AC713" i="5" s="1"/>
  <c r="AC729" i="5" a="1"/>
  <c r="AC729" i="5" s="1"/>
  <c r="AC745" i="5" a="1"/>
  <c r="AC745" i="5" s="1"/>
  <c r="AC761" i="5" a="1"/>
  <c r="AC761" i="5" s="1"/>
  <c r="AC777" i="5" a="1"/>
  <c r="AC777" i="5" s="1"/>
  <c r="AC793" i="5" a="1"/>
  <c r="AC793" i="5" s="1"/>
  <c r="AC809" i="5" a="1"/>
  <c r="AC809" i="5" s="1"/>
  <c r="AC825" i="5" a="1"/>
  <c r="AC825" i="5" s="1"/>
  <c r="AC841" i="5" a="1"/>
  <c r="AC841" i="5" s="1"/>
  <c r="AC857" i="5" a="1"/>
  <c r="AC857" i="5" s="1"/>
  <c r="AC873" i="5" a="1"/>
  <c r="AC873" i="5" s="1"/>
  <c r="AC889" i="5" a="1"/>
  <c r="AC889" i="5" s="1"/>
  <c r="AC905" i="5" a="1"/>
  <c r="AC905" i="5" s="1"/>
  <c r="AC921" i="5" a="1"/>
  <c r="AC921" i="5" s="1"/>
  <c r="AC937" i="5" a="1"/>
  <c r="AC937" i="5" s="1"/>
  <c r="AC953" i="5" a="1"/>
  <c r="AC953" i="5" s="1"/>
  <c r="AC969" i="5" a="1"/>
  <c r="AC969" i="5" s="1"/>
  <c r="AC985" i="5" a="1"/>
  <c r="AC985" i="5" s="1"/>
  <c r="AC1001" i="5" a="1"/>
  <c r="AC1001" i="5" s="1"/>
  <c r="AC1017" i="5" a="1"/>
  <c r="AC1017" i="5" s="1"/>
  <c r="AC1033" i="5" a="1"/>
  <c r="AC1033" i="5" s="1"/>
  <c r="AC1065" i="5" a="1"/>
  <c r="AC1065" i="5" s="1"/>
  <c r="AC51" i="5" a="1"/>
  <c r="AC51" i="5" s="1"/>
  <c r="AC62" i="5" a="1"/>
  <c r="AC62" i="5" s="1"/>
  <c r="AC22" i="5" a="1"/>
  <c r="AC22" i="5" s="1"/>
  <c r="AC474" i="5" a="1"/>
  <c r="AC474" i="5" s="1"/>
  <c r="AC506" i="5" a="1"/>
  <c r="AC506" i="5" s="1"/>
  <c r="AC538" i="5" a="1"/>
  <c r="AC538" i="5" s="1"/>
  <c r="AC564" i="5" a="1"/>
  <c r="AC564" i="5" s="1"/>
  <c r="AC586" i="5" a="1"/>
  <c r="AC586" i="5" s="1"/>
  <c r="AC604" i="5" a="1"/>
  <c r="AC604" i="5" s="1"/>
  <c r="AC620" i="5" a="1"/>
  <c r="AC620" i="5" s="1"/>
  <c r="AC636" i="5" a="1"/>
  <c r="AC636" i="5" s="1"/>
  <c r="AC658" i="5" a="1"/>
  <c r="AC658" i="5" s="1"/>
  <c r="AC674" i="5" a="1"/>
  <c r="AC674" i="5" s="1"/>
  <c r="AC690" i="5" a="1"/>
  <c r="AC690" i="5" s="1"/>
  <c r="AC706" i="5" a="1"/>
  <c r="AC706" i="5" s="1"/>
  <c r="AC722" i="5" a="1"/>
  <c r="AC722" i="5" s="1"/>
  <c r="AC738" i="5" a="1"/>
  <c r="AC738" i="5" s="1"/>
  <c r="AC754" i="5" a="1"/>
  <c r="AC754" i="5" s="1"/>
  <c r="AC770" i="5" a="1"/>
  <c r="AC770" i="5" s="1"/>
  <c r="AC786" i="5" a="1"/>
  <c r="AC786" i="5" s="1"/>
  <c r="AC802" i="5" a="1"/>
  <c r="AC802" i="5" s="1"/>
  <c r="AC818" i="5" a="1"/>
  <c r="AC818" i="5" s="1"/>
  <c r="AC834" i="5" a="1"/>
  <c r="AC834" i="5" s="1"/>
  <c r="AC850" i="5" a="1"/>
  <c r="AC850" i="5" s="1"/>
  <c r="AC866" i="5" a="1"/>
  <c r="AC866" i="5" s="1"/>
  <c r="AC882" i="5" a="1"/>
  <c r="AC882" i="5" s="1"/>
  <c r="AC898" i="5" a="1"/>
  <c r="AC898" i="5" s="1"/>
  <c r="AC914" i="5" a="1"/>
  <c r="AC914" i="5" s="1"/>
  <c r="AC930" i="5" a="1"/>
  <c r="AC930" i="5" s="1"/>
  <c r="AC946" i="5" a="1"/>
  <c r="AC946" i="5" s="1"/>
  <c r="AC962" i="5" a="1"/>
  <c r="AC962" i="5" s="1"/>
  <c r="AC978" i="5" a="1"/>
  <c r="AC978" i="5" s="1"/>
  <c r="AC994" i="5" a="1"/>
  <c r="AC994" i="5" s="1"/>
  <c r="AC1010" i="5" a="1"/>
  <c r="AC1010" i="5" s="1"/>
  <c r="AC1026" i="5" a="1"/>
  <c r="AC1026" i="5" s="1"/>
  <c r="AC1042" i="5" a="1"/>
  <c r="AC1042" i="5" s="1"/>
  <c r="AC1058" i="5" a="1"/>
  <c r="AC1058" i="5" s="1"/>
  <c r="AC1047" i="5" a="1"/>
  <c r="AC1047" i="5" s="1"/>
  <c r="AC651" i="5" a="1"/>
  <c r="AC651" i="5" s="1"/>
  <c r="AC667" i="5" a="1"/>
  <c r="AC667" i="5" s="1"/>
  <c r="AC683" i="5" a="1"/>
  <c r="AC683" i="5" s="1"/>
  <c r="AC699" i="5" a="1"/>
  <c r="AC699" i="5" s="1"/>
  <c r="AC715" i="5" a="1"/>
  <c r="AC715" i="5" s="1"/>
  <c r="AC731" i="5" a="1"/>
  <c r="AC731" i="5" s="1"/>
  <c r="AC747" i="5" a="1"/>
  <c r="AC747" i="5" s="1"/>
  <c r="AC763" i="5" a="1"/>
  <c r="AC763" i="5" s="1"/>
  <c r="AC779" i="5" a="1"/>
  <c r="AC779" i="5" s="1"/>
  <c r="AC795" i="5" a="1"/>
  <c r="AC795" i="5" s="1"/>
  <c r="AC811" i="5" a="1"/>
  <c r="AC811" i="5" s="1"/>
  <c r="AC827" i="5" a="1"/>
  <c r="AC827" i="5" s="1"/>
  <c r="AC843" i="5" a="1"/>
  <c r="AC843" i="5" s="1"/>
  <c r="AC859" i="5" a="1"/>
  <c r="AC859" i="5" s="1"/>
  <c r="AC875" i="5" a="1"/>
  <c r="AC875" i="5" s="1"/>
  <c r="AC891" i="5" a="1"/>
  <c r="AC891" i="5" s="1"/>
  <c r="AC907" i="5" a="1"/>
  <c r="AC907" i="5" s="1"/>
  <c r="AC923" i="5" a="1"/>
  <c r="AC923" i="5" s="1"/>
  <c r="AC939" i="5" a="1"/>
  <c r="AC939" i="5" s="1"/>
  <c r="AC955" i="5" a="1"/>
  <c r="AC955" i="5" s="1"/>
  <c r="AC971" i="5" a="1"/>
  <c r="AC971" i="5" s="1"/>
  <c r="AC987" i="5" a="1"/>
  <c r="AC987" i="5" s="1"/>
  <c r="AC1003" i="5" a="1"/>
  <c r="AC1003" i="5" s="1"/>
  <c r="AC1019" i="5" a="1"/>
  <c r="AC1019" i="5" s="1"/>
  <c r="AC1035" i="5" a="1"/>
  <c r="AC1035" i="5" s="1"/>
  <c r="AC647" i="5" a="1"/>
  <c r="AC647" i="5" s="1"/>
  <c r="AC60" i="5" a="1"/>
  <c r="AC60" i="5" s="1"/>
  <c r="AC11" i="5" a="1"/>
  <c r="AC11" i="5" s="1"/>
  <c r="AC76" i="5" a="1"/>
  <c r="AC76" i="5" s="1"/>
  <c r="AC442" i="5" a="1"/>
  <c r="AC442" i="5" s="1"/>
  <c r="AC478" i="5" a="1"/>
  <c r="AC478" i="5" s="1"/>
  <c r="AC510" i="5" a="1"/>
  <c r="AC510" i="5" s="1"/>
  <c r="AC542" i="5" a="1"/>
  <c r="AC542" i="5" s="1"/>
  <c r="AC566" i="5" a="1"/>
  <c r="AC566" i="5" s="1"/>
  <c r="AC590" i="5" a="1"/>
  <c r="AC590" i="5" s="1"/>
  <c r="AC606" i="5" a="1"/>
  <c r="AC606" i="5" s="1"/>
  <c r="AC622" i="5" a="1"/>
  <c r="AC622" i="5" s="1"/>
  <c r="AC643" i="5" a="1"/>
  <c r="AC643" i="5" s="1"/>
  <c r="AC660" i="5" a="1"/>
  <c r="AC660" i="5" s="1"/>
  <c r="AC676" i="5" a="1"/>
  <c r="AC676" i="5" s="1"/>
  <c r="AC692" i="5" a="1"/>
  <c r="AC692" i="5" s="1"/>
  <c r="AC708" i="5" a="1"/>
  <c r="AC708" i="5" s="1"/>
  <c r="AC724" i="5" a="1"/>
  <c r="AC724" i="5" s="1"/>
  <c r="AC740" i="5" a="1"/>
  <c r="AC740" i="5" s="1"/>
  <c r="AC756" i="5" a="1"/>
  <c r="AC756" i="5" s="1"/>
  <c r="AC772" i="5" a="1"/>
  <c r="AC772" i="5" s="1"/>
  <c r="AC788" i="5" a="1"/>
  <c r="AC788" i="5" s="1"/>
  <c r="AC804" i="5" a="1"/>
  <c r="AC804" i="5" s="1"/>
  <c r="AC820" i="5" a="1"/>
  <c r="AC820" i="5" s="1"/>
  <c r="AC836" i="5" a="1"/>
  <c r="AC836" i="5" s="1"/>
  <c r="AC852" i="5" a="1"/>
  <c r="AC852" i="5" s="1"/>
  <c r="AC868" i="5" a="1"/>
  <c r="AC868" i="5" s="1"/>
  <c r="AC884" i="5" a="1"/>
  <c r="AC884" i="5" s="1"/>
  <c r="AC900" i="5" a="1"/>
  <c r="AC900" i="5" s="1"/>
  <c r="AC916" i="5" a="1"/>
  <c r="AC916" i="5" s="1"/>
  <c r="AC932" i="5" a="1"/>
  <c r="AC932" i="5" s="1"/>
  <c r="AC948" i="5" a="1"/>
  <c r="AC948" i="5" s="1"/>
  <c r="AC964" i="5" a="1"/>
  <c r="AC964" i="5" s="1"/>
  <c r="AC980" i="5" a="1"/>
  <c r="AC980" i="5" s="1"/>
  <c r="AC996" i="5" a="1"/>
  <c r="AC996" i="5" s="1"/>
  <c r="AC1012" i="5" a="1"/>
  <c r="AC1012" i="5" s="1"/>
  <c r="AC1028" i="5" a="1"/>
  <c r="AC1028" i="5" s="1"/>
  <c r="AC1044" i="5" a="1"/>
  <c r="AC1044" i="5" s="1"/>
  <c r="AC1060" i="5" a="1"/>
  <c r="AC1060" i="5" s="1"/>
  <c r="AC1073" i="5" a="1"/>
  <c r="AC1073" i="5" s="1"/>
  <c r="AC1049" i="5" a="1"/>
  <c r="AC1049" i="5" s="1"/>
  <c r="AC653" i="5" a="1"/>
  <c r="AC653" i="5" s="1"/>
  <c r="AC669" i="5" a="1"/>
  <c r="AC669" i="5" s="1"/>
  <c r="AC685" i="5" a="1"/>
  <c r="AC685" i="5" s="1"/>
  <c r="AC701" i="5" a="1"/>
  <c r="AC701" i="5" s="1"/>
  <c r="AC717" i="5" a="1"/>
  <c r="AC717" i="5" s="1"/>
  <c r="AC733" i="5" a="1"/>
  <c r="AC733" i="5" s="1"/>
  <c r="AC749" i="5" a="1"/>
  <c r="AC749" i="5" s="1"/>
  <c r="AC765" i="5" a="1"/>
  <c r="AC765" i="5" s="1"/>
  <c r="AC781" i="5" a="1"/>
  <c r="AC781" i="5" s="1"/>
  <c r="AC797" i="5" a="1"/>
  <c r="AC797" i="5" s="1"/>
  <c r="AC813" i="5" a="1"/>
  <c r="AC813" i="5" s="1"/>
  <c r="AC829" i="5" a="1"/>
  <c r="AC829" i="5" s="1"/>
  <c r="AC845" i="5" a="1"/>
  <c r="AC845" i="5" s="1"/>
  <c r="AC861" i="5" a="1"/>
  <c r="AC861" i="5" s="1"/>
  <c r="AC877" i="5" a="1"/>
  <c r="AC877" i="5" s="1"/>
  <c r="AC893" i="5" a="1"/>
  <c r="AC893" i="5" s="1"/>
  <c r="AC909" i="5" a="1"/>
  <c r="AC909" i="5" s="1"/>
  <c r="AC925" i="5" a="1"/>
  <c r="AC925" i="5" s="1"/>
  <c r="AC941" i="5" a="1"/>
  <c r="AC941" i="5" s="1"/>
  <c r="AC957" i="5" a="1"/>
  <c r="AC957" i="5" s="1"/>
  <c r="AC973" i="5" a="1"/>
  <c r="AC973" i="5" s="1"/>
  <c r="AC989" i="5" a="1"/>
  <c r="AC989" i="5" s="1"/>
  <c r="AC1005" i="5" a="1"/>
  <c r="AC1005" i="5" s="1"/>
  <c r="AC1021" i="5" a="1"/>
  <c r="AC1021" i="5" s="1"/>
  <c r="AC1037" i="5" a="1"/>
  <c r="AC1037" i="5" s="1"/>
  <c r="AC640" i="5" a="1"/>
  <c r="AC640" i="5" s="1"/>
  <c r="AC54" i="5" a="1"/>
  <c r="AC54" i="5" s="1"/>
  <c r="AC26" i="5" a="1"/>
  <c r="AC26" i="5" s="1"/>
  <c r="AC20" i="5" a="1"/>
  <c r="AC20" i="5" s="1"/>
  <c r="AC446" i="5" a="1"/>
  <c r="AC446" i="5" s="1"/>
  <c r="AC480" i="5" a="1"/>
  <c r="AC480" i="5" s="1"/>
  <c r="AC512" i="5" a="1"/>
  <c r="AC512" i="5" s="1"/>
  <c r="AC544" i="5" a="1"/>
  <c r="AC544" i="5" s="1"/>
  <c r="AC570" i="5" a="1"/>
  <c r="AC570" i="5" s="1"/>
  <c r="AC592" i="5" a="1"/>
  <c r="AC592" i="5" s="1"/>
  <c r="AC608" i="5" a="1"/>
  <c r="AC608" i="5" s="1"/>
  <c r="AC624" i="5" a="1"/>
  <c r="AC624" i="5" s="1"/>
  <c r="AC1063" i="5" a="1"/>
  <c r="AC1063" i="5" s="1"/>
  <c r="AC662" i="5" a="1"/>
  <c r="AC662" i="5" s="1"/>
  <c r="AC678" i="5" a="1"/>
  <c r="AC678" i="5" s="1"/>
  <c r="AC694" i="5" a="1"/>
  <c r="AC694" i="5" s="1"/>
  <c r="AC710" i="5" a="1"/>
  <c r="AC710" i="5" s="1"/>
  <c r="AC726" i="5" a="1"/>
  <c r="AC726" i="5" s="1"/>
  <c r="AC742" i="5" a="1"/>
  <c r="AC742" i="5" s="1"/>
  <c r="AC758" i="5" a="1"/>
  <c r="AC758" i="5" s="1"/>
  <c r="AC774" i="5" a="1"/>
  <c r="AC774" i="5" s="1"/>
  <c r="AC790" i="5" a="1"/>
  <c r="AC790" i="5" s="1"/>
  <c r="AC806" i="5" a="1"/>
  <c r="AC806" i="5" s="1"/>
  <c r="AC822" i="5" a="1"/>
  <c r="AC822" i="5" s="1"/>
  <c r="AC838" i="5" a="1"/>
  <c r="AC838" i="5" s="1"/>
  <c r="AC854" i="5" a="1"/>
  <c r="AC854" i="5" s="1"/>
  <c r="AC870" i="5" a="1"/>
  <c r="AC870" i="5" s="1"/>
  <c r="AC886" i="5" a="1"/>
  <c r="AC886" i="5" s="1"/>
  <c r="AC902" i="5" a="1"/>
  <c r="AC902" i="5" s="1"/>
  <c r="AC918" i="5" a="1"/>
  <c r="AC918" i="5" s="1"/>
  <c r="AC934" i="5" a="1"/>
  <c r="AC934" i="5" s="1"/>
  <c r="AC950" i="5" a="1"/>
  <c r="AC950" i="5" s="1"/>
  <c r="AC966" i="5" a="1"/>
  <c r="AC966" i="5" s="1"/>
  <c r="AC982" i="5" a="1"/>
  <c r="AC982" i="5" s="1"/>
  <c r="AC998" i="5" a="1"/>
  <c r="AC998" i="5" s="1"/>
  <c r="AC1014" i="5" a="1"/>
  <c r="AC1014" i="5" s="1"/>
  <c r="AC1030" i="5" a="1"/>
  <c r="AC1030" i="5" s="1"/>
  <c r="AC1046" i="5" a="1"/>
  <c r="AC1046" i="5" s="1"/>
  <c r="AC1062" i="5" a="1"/>
  <c r="AC1062" i="5" s="1"/>
  <c r="AC638" i="5" a="1"/>
  <c r="AC638" i="5" s="1"/>
  <c r="AC1053" i="5" a="1"/>
  <c r="AC1053" i="5" s="1"/>
  <c r="AC655" i="5" a="1"/>
  <c r="AC655" i="5" s="1"/>
  <c r="AC671" i="5" a="1"/>
  <c r="AC671" i="5" s="1"/>
  <c r="AC687" i="5" a="1"/>
  <c r="AC687" i="5" s="1"/>
  <c r="AC703" i="5" a="1"/>
  <c r="AC703" i="5" s="1"/>
  <c r="AC719" i="5" a="1"/>
  <c r="AC719" i="5" s="1"/>
  <c r="AC735" i="5" a="1"/>
  <c r="AC735" i="5" s="1"/>
  <c r="AC751" i="5" a="1"/>
  <c r="AC751" i="5" s="1"/>
  <c r="AC767" i="5" a="1"/>
  <c r="AC767" i="5" s="1"/>
  <c r="AC783" i="5" a="1"/>
  <c r="AC783" i="5" s="1"/>
  <c r="AC799" i="5" a="1"/>
  <c r="AC799" i="5" s="1"/>
  <c r="AC815" i="5" a="1"/>
  <c r="AC815" i="5" s="1"/>
  <c r="AC831" i="5" a="1"/>
  <c r="AC831" i="5" s="1"/>
  <c r="AC847" i="5" a="1"/>
  <c r="AC847" i="5" s="1"/>
  <c r="AC863" i="5" a="1"/>
  <c r="AC863" i="5" s="1"/>
  <c r="AC879" i="5" a="1"/>
  <c r="AC879" i="5" s="1"/>
  <c r="AC895" i="5" a="1"/>
  <c r="AC895" i="5" s="1"/>
  <c r="AC911" i="5" a="1"/>
  <c r="AC911" i="5" s="1"/>
  <c r="AC927" i="5" a="1"/>
  <c r="AC927" i="5" s="1"/>
  <c r="AC943" i="5" a="1"/>
  <c r="AC943" i="5" s="1"/>
  <c r="AC959" i="5" a="1"/>
  <c r="AC959" i="5" s="1"/>
  <c r="AC975" i="5" a="1"/>
  <c r="AC975" i="5" s="1"/>
  <c r="AC991" i="5" a="1"/>
  <c r="AC991" i="5" s="1"/>
  <c r="AC1007" i="5" a="1"/>
  <c r="AC1007" i="5" s="1"/>
  <c r="AC1023" i="5" a="1"/>
  <c r="AC1023" i="5" s="1"/>
  <c r="AC1039" i="5" a="1"/>
  <c r="AC1039" i="5" s="1"/>
  <c r="AC645" i="5" a="1"/>
  <c r="AC645" i="5" s="1"/>
  <c r="AC48" i="5" a="1"/>
  <c r="AC48" i="5" s="1"/>
  <c r="AC10" i="5" a="1"/>
  <c r="AC10" i="5" s="1"/>
  <c r="AC454" i="5" a="1"/>
  <c r="AC454" i="5" s="1"/>
  <c r="AC486" i="5" a="1"/>
  <c r="AC486" i="5" s="1"/>
  <c r="AC518" i="5" a="1"/>
  <c r="AC518" i="5" s="1"/>
  <c r="AC548" i="5" a="1"/>
  <c r="AC548" i="5" s="1"/>
  <c r="AC574" i="5" a="1"/>
  <c r="AC574" i="5" s="1"/>
  <c r="AC594" i="5" a="1"/>
  <c r="AC594" i="5" s="1"/>
  <c r="AC610" i="5" a="1"/>
  <c r="AC610" i="5" s="1"/>
  <c r="AC626" i="5" a="1"/>
  <c r="AC626" i="5" s="1"/>
  <c r="AC648" i="5" a="1"/>
  <c r="AC648" i="5" s="1"/>
  <c r="AC664" i="5" a="1"/>
  <c r="AC664" i="5" s="1"/>
  <c r="AC680" i="5" a="1"/>
  <c r="AC680" i="5" s="1"/>
  <c r="AC696" i="5" a="1"/>
  <c r="AC696" i="5" s="1"/>
  <c r="AC712" i="5" a="1"/>
  <c r="AC712" i="5" s="1"/>
  <c r="AC728" i="5" a="1"/>
  <c r="AC728" i="5" s="1"/>
  <c r="AC744" i="5" a="1"/>
  <c r="AC744" i="5" s="1"/>
  <c r="AC760" i="5" a="1"/>
  <c r="AC760" i="5" s="1"/>
  <c r="AC776" i="5" a="1"/>
  <c r="AC776" i="5" s="1"/>
  <c r="AC792" i="5" a="1"/>
  <c r="AC792" i="5" s="1"/>
  <c r="AC808" i="5" a="1"/>
  <c r="AC808" i="5" s="1"/>
  <c r="AC824" i="5" a="1"/>
  <c r="AC824" i="5" s="1"/>
  <c r="AC840" i="5" a="1"/>
  <c r="AC840" i="5" s="1"/>
  <c r="AC856" i="5" a="1"/>
  <c r="AC856" i="5" s="1"/>
  <c r="AC872" i="5" a="1"/>
  <c r="AC872" i="5" s="1"/>
  <c r="AC888" i="5" a="1"/>
  <c r="AC888" i="5" s="1"/>
  <c r="AC904" i="5" a="1"/>
  <c r="AC904" i="5" s="1"/>
  <c r="AC920" i="5" a="1"/>
  <c r="AC920" i="5" s="1"/>
  <c r="AC936" i="5" a="1"/>
  <c r="AC936" i="5" s="1"/>
  <c r="AC952" i="5" a="1"/>
  <c r="AC952" i="5" s="1"/>
  <c r="AC968" i="5" a="1"/>
  <c r="AC968" i="5" s="1"/>
  <c r="AC984" i="5" a="1"/>
  <c r="AC984" i="5" s="1"/>
  <c r="AC1000" i="5" a="1"/>
  <c r="AC1000" i="5" s="1"/>
  <c r="AC1016" i="5" a="1"/>
  <c r="AC1016" i="5" s="1"/>
  <c r="AC1032" i="5" a="1"/>
  <c r="AC1032" i="5" s="1"/>
  <c r="AC1048" i="5" a="1"/>
  <c r="AC1048" i="5" s="1"/>
  <c r="AC1064" i="5" a="1"/>
  <c r="AC1064" i="5" s="1"/>
  <c r="AC646" i="5" a="1"/>
  <c r="AC646" i="5" s="1"/>
  <c r="AC1055" i="5" a="1"/>
  <c r="AC1055" i="5" s="1"/>
  <c r="AC657" i="5" a="1"/>
  <c r="AC657" i="5" s="1"/>
  <c r="AC673" i="5" a="1"/>
  <c r="AC673" i="5" s="1"/>
  <c r="AC689" i="5" a="1"/>
  <c r="AC689" i="5" s="1"/>
  <c r="AC705" i="5" a="1"/>
  <c r="AC705" i="5" s="1"/>
  <c r="AC721" i="5" a="1"/>
  <c r="AC721" i="5" s="1"/>
  <c r="AC737" i="5" a="1"/>
  <c r="AC737" i="5" s="1"/>
  <c r="AC753" i="5" a="1"/>
  <c r="AC753" i="5" s="1"/>
  <c r="AC769" i="5" a="1"/>
  <c r="AC769" i="5" s="1"/>
  <c r="AC785" i="5" a="1"/>
  <c r="AC785" i="5" s="1"/>
  <c r="AC801" i="5" a="1"/>
  <c r="AC801" i="5" s="1"/>
  <c r="AC817" i="5" a="1"/>
  <c r="AC817" i="5" s="1"/>
  <c r="AC833" i="5" a="1"/>
  <c r="AC833" i="5" s="1"/>
  <c r="AC849" i="5" a="1"/>
  <c r="AC849" i="5" s="1"/>
  <c r="AC865" i="5" a="1"/>
  <c r="AC865" i="5" s="1"/>
  <c r="AC881" i="5" a="1"/>
  <c r="AC881" i="5" s="1"/>
  <c r="AC897" i="5" a="1"/>
  <c r="AC897" i="5" s="1"/>
  <c r="AC913" i="5" a="1"/>
  <c r="AC913" i="5" s="1"/>
  <c r="AC929" i="5" a="1"/>
  <c r="AC929" i="5" s="1"/>
  <c r="AC945" i="5" a="1"/>
  <c r="AC945" i="5" s="1"/>
  <c r="AC961" i="5" a="1"/>
  <c r="AC961" i="5" s="1"/>
  <c r="AC977" i="5" a="1"/>
  <c r="AC977" i="5" s="1"/>
  <c r="AC993" i="5" a="1"/>
  <c r="AC993" i="5" s="1"/>
  <c r="AC1009" i="5" a="1"/>
  <c r="AC1009" i="5" s="1"/>
  <c r="AC1025" i="5" a="1"/>
  <c r="AC1025" i="5" s="1"/>
  <c r="AC1041" i="5" a="1"/>
  <c r="AC1041" i="5" s="1"/>
  <c r="AC1071" i="5" a="1"/>
  <c r="AC1071" i="5" s="1"/>
  <c r="AC53" i="5" a="1"/>
  <c r="AC53" i="5" s="1"/>
  <c r="AC7" i="5" a="1"/>
  <c r="AC7" i="5" s="1"/>
  <c r="V55" i="8" a="1"/>
  <c r="V55" i="8" s="1"/>
  <c r="V79" i="8" a="1"/>
  <c r="V79" i="8" s="1"/>
  <c r="V114" i="8" a="1"/>
  <c r="V114" i="8" s="1"/>
  <c r="V293" i="8" a="1"/>
  <c r="V293" i="8" s="1"/>
  <c r="V168" i="8" a="1"/>
  <c r="V168" i="8" s="1"/>
  <c r="V330" i="8" a="1"/>
  <c r="V330" i="8" s="1"/>
  <c r="V324" i="8" a="1"/>
  <c r="V324" i="8" s="1"/>
  <c r="V409" i="8" a="1"/>
  <c r="V409" i="8" s="1"/>
  <c r="V472" i="8" a="1"/>
  <c r="V472" i="8" s="1"/>
  <c r="V552" i="8" a="1"/>
  <c r="V552" i="8" s="1"/>
  <c r="V617" i="8" a="1"/>
  <c r="V617" i="8" s="1"/>
  <c r="V661" i="8" a="1"/>
  <c r="V661" i="8" s="1"/>
  <c r="V772" i="8" a="1"/>
  <c r="V772" i="8" s="1"/>
  <c r="V798" i="8" a="1"/>
  <c r="V798" i="8" s="1"/>
  <c r="V894" i="8" a="1"/>
  <c r="V894" i="8" s="1"/>
  <c r="V929" i="8" a="1"/>
  <c r="V929" i="8" s="1"/>
  <c r="V1009" i="8" a="1"/>
  <c r="V1009" i="8" s="1"/>
  <c r="V1071" i="8" a="1"/>
  <c r="V1071" i="8" s="1"/>
  <c r="V19" i="8" a="1"/>
  <c r="V19" i="8" s="1"/>
  <c r="V201" i="8" a="1"/>
  <c r="V201" i="8" s="1"/>
  <c r="V251" i="8" a="1"/>
  <c r="V251" i="8" s="1"/>
  <c r="V252" i="8" a="1"/>
  <c r="V252" i="8" s="1"/>
  <c r="V372" i="8" a="1"/>
  <c r="V372" i="8" s="1"/>
  <c r="V415" i="8" a="1"/>
  <c r="V415" i="8" s="1"/>
  <c r="V476" i="8" a="1"/>
  <c r="V476" i="8" s="1"/>
  <c r="V521" i="8" a="1"/>
  <c r="V521" i="8" s="1"/>
  <c r="V598" i="8" a="1"/>
  <c r="V598" i="8" s="1"/>
  <c r="V608" i="8" a="1"/>
  <c r="V608" i="8" s="1"/>
  <c r="V778" i="8" a="1"/>
  <c r="V778" i="8" s="1"/>
  <c r="V795" i="8" a="1"/>
  <c r="V795" i="8" s="1"/>
  <c r="V846" i="8" a="1"/>
  <c r="V846" i="8" s="1"/>
  <c r="V927" i="8" a="1"/>
  <c r="V927" i="8" s="1"/>
  <c r="V964" i="8" a="1"/>
  <c r="V964" i="8" s="1"/>
  <c r="V1025" i="8" a="1"/>
  <c r="V1025" i="8" s="1"/>
  <c r="V52" i="8" a="1"/>
  <c r="V52" i="8" s="1"/>
  <c r="V154" i="8" a="1"/>
  <c r="V154" i="8" s="1"/>
  <c r="V192" i="8" a="1"/>
  <c r="V192" i="8" s="1"/>
  <c r="V193" i="8" a="1"/>
  <c r="V193" i="8" s="1"/>
  <c r="V333" i="8" a="1"/>
  <c r="V333" i="8" s="1"/>
  <c r="V395" i="8" a="1"/>
  <c r="V395" i="8" s="1"/>
  <c r="V524" i="8" a="1"/>
  <c r="V524" i="8" s="1"/>
  <c r="V475" i="8" a="1"/>
  <c r="V475" i="8" s="1"/>
  <c r="V594" i="8" a="1"/>
  <c r="V594" i="8" s="1"/>
  <c r="V673" i="8" a="1"/>
  <c r="V673" i="8" s="1"/>
  <c r="V752" i="8" a="1"/>
  <c r="V752" i="8" s="1"/>
  <c r="V787" i="8" a="1"/>
  <c r="V787" i="8" s="1"/>
  <c r="V853" i="8" a="1"/>
  <c r="V853" i="8" s="1"/>
  <c r="V906" i="8" a="1"/>
  <c r="V906" i="8" s="1"/>
  <c r="V993" i="8" a="1"/>
  <c r="V993" i="8" s="1"/>
  <c r="V1057" i="8" a="1"/>
  <c r="V1057" i="8" s="1"/>
  <c r="V87" i="8" a="1"/>
  <c r="V87" i="8" s="1"/>
  <c r="V107" i="8" a="1"/>
  <c r="V107" i="8" s="1"/>
  <c r="V145" i="8" a="1"/>
  <c r="V145" i="8" s="1"/>
  <c r="V195" i="8" a="1"/>
  <c r="V195" i="8" s="1"/>
  <c r="V286" i="8" a="1"/>
  <c r="V286" i="8" s="1"/>
  <c r="V392" i="8" a="1"/>
  <c r="V392" i="8" s="1"/>
  <c r="V432" i="8" a="1"/>
  <c r="V432" i="8" s="1"/>
  <c r="V499" i="8" a="1"/>
  <c r="V499" i="8" s="1"/>
  <c r="V535" i="8" a="1"/>
  <c r="V535" i="8" s="1"/>
  <c r="V656" i="8" a="1"/>
  <c r="V656" i="8" s="1"/>
  <c r="V686" i="8" a="1"/>
  <c r="V686" i="8" s="1"/>
  <c r="V702" i="8" a="1"/>
  <c r="V702" i="8" s="1"/>
  <c r="V813" i="8" a="1"/>
  <c r="V813" i="8" s="1"/>
  <c r="V884" i="8" a="1"/>
  <c r="V884" i="8" s="1"/>
  <c r="V954" i="8" a="1"/>
  <c r="V954" i="8" s="1"/>
  <c r="V1018" i="8" a="1"/>
  <c r="V1018" i="8" s="1"/>
  <c r="V11" i="8" a="1"/>
  <c r="V11" i="8" s="1"/>
  <c r="V73" i="8" a="1"/>
  <c r="V73" i="8" s="1"/>
  <c r="V164" i="8" a="1"/>
  <c r="V164" i="8" s="1"/>
  <c r="V214" i="8" a="1"/>
  <c r="V214" i="8" s="1"/>
  <c r="V215" i="8" a="1"/>
  <c r="V215" i="8" s="1"/>
  <c r="V352" i="8" a="1"/>
  <c r="V352" i="8" s="1"/>
  <c r="V417" i="8" a="1"/>
  <c r="V417" i="8" s="1"/>
  <c r="V439" i="8" a="1"/>
  <c r="V439" i="8" s="1"/>
  <c r="V485" i="8" a="1"/>
  <c r="V485" i="8" s="1"/>
  <c r="V586" i="8" a="1"/>
  <c r="V586" i="8" s="1"/>
  <c r="V687" i="8" a="1"/>
  <c r="V687" i="8" s="1"/>
  <c r="V703" i="8" a="1"/>
  <c r="V703" i="8" s="1"/>
  <c r="V799" i="8" a="1"/>
  <c r="V799" i="8" s="1"/>
  <c r="V841" i="8" a="1"/>
  <c r="V841" i="8" s="1"/>
  <c r="V893" i="8" a="1"/>
  <c r="V893" i="8" s="1"/>
  <c r="V981" i="8" a="1"/>
  <c r="V981" i="8" s="1"/>
  <c r="V1031" i="8" a="1"/>
  <c r="V1031" i="8" s="1"/>
  <c r="V4" i="8" a="1"/>
  <c r="V4" i="8" s="1"/>
  <c r="V133" i="8" a="1"/>
  <c r="V133" i="8" s="1"/>
  <c r="V206" i="8" a="1"/>
  <c r="V206" i="8" s="1"/>
  <c r="V244" i="8" a="1"/>
  <c r="V244" i="8" s="1"/>
  <c r="V267" i="8" a="1"/>
  <c r="V267" i="8" s="1"/>
  <c r="V363" i="8" a="1"/>
  <c r="V363" i="8" s="1"/>
  <c r="V437" i="8" a="1"/>
  <c r="V437" i="8" s="1"/>
  <c r="V479" i="8" a="1"/>
  <c r="V479" i="8" s="1"/>
  <c r="V539" i="8" a="1"/>
  <c r="V539" i="8" s="1"/>
  <c r="V615" i="8" a="1"/>
  <c r="V615" i="8" s="1"/>
  <c r="V679" i="8" a="1"/>
  <c r="V679" i="8" s="1"/>
  <c r="V757" i="8" a="1"/>
  <c r="V757" i="8" s="1"/>
  <c r="V802" i="8" a="1"/>
  <c r="V802" i="8" s="1"/>
  <c r="V852" i="8" a="1"/>
  <c r="V852" i="8" s="1"/>
  <c r="V947" i="8" a="1"/>
  <c r="V947" i="8" s="1"/>
  <c r="V1004" i="8" a="1"/>
  <c r="V1004" i="8" s="1"/>
  <c r="V1067" i="8" a="1"/>
  <c r="V1067" i="8" s="1"/>
  <c r="V33" i="8" a="1"/>
  <c r="V33" i="8" s="1"/>
  <c r="V123" i="8" a="1"/>
  <c r="V123" i="8" s="1"/>
  <c r="V160" i="8" a="1"/>
  <c r="V160" i="8" s="1"/>
  <c r="V161" i="8" a="1"/>
  <c r="V161" i="8" s="1"/>
  <c r="V301" i="8" a="1"/>
  <c r="V301" i="8" s="1"/>
  <c r="V402" i="8" a="1"/>
  <c r="V402" i="8" s="1"/>
  <c r="V498" i="8" a="1"/>
  <c r="V498" i="8" s="1"/>
  <c r="V443" i="8" a="1"/>
  <c r="V443" i="8" s="1"/>
  <c r="V583" i="8" a="1"/>
  <c r="V583" i="8" s="1"/>
  <c r="V641" i="8" a="1"/>
  <c r="V641" i="8" s="1"/>
  <c r="V720" i="8" a="1"/>
  <c r="V720" i="8" s="1"/>
  <c r="V792" i="8" a="1"/>
  <c r="V792" i="8" s="1"/>
  <c r="V865" i="8" a="1"/>
  <c r="V865" i="8" s="1"/>
  <c r="V902" i="8" a="1"/>
  <c r="V902" i="8" s="1"/>
  <c r="V961" i="8" a="1"/>
  <c r="V961" i="8" s="1"/>
  <c r="V1027" i="8" a="1"/>
  <c r="V1027" i="8" s="1"/>
  <c r="V83" i="8" a="1"/>
  <c r="V83" i="8" s="1"/>
  <c r="V91" i="8" a="1"/>
  <c r="V91" i="8" s="1"/>
  <c r="V177" i="8" a="1"/>
  <c r="V177" i="8" s="1"/>
  <c r="V329" i="8" a="1"/>
  <c r="V329" i="8" s="1"/>
  <c r="V404" i="8" a="1"/>
  <c r="V404" i="8" s="1"/>
  <c r="V547" i="8" a="1"/>
  <c r="V547" i="8" s="1"/>
  <c r="AA95" i="8" a="1"/>
  <c r="AA95" i="8" s="1"/>
  <c r="AA13" i="8" a="1"/>
  <c r="AA13" i="8" s="1"/>
  <c r="AA5" i="8" a="1"/>
  <c r="AA5" i="8" s="1"/>
  <c r="AA39" i="8" a="1"/>
  <c r="AA39" i="8" s="1"/>
  <c r="AA48" i="8" a="1"/>
  <c r="AA48" i="8" s="1"/>
  <c r="AA53" i="8" a="1"/>
  <c r="AA53" i="8" s="1"/>
  <c r="AA59" i="8" a="1"/>
  <c r="AA59" i="8" s="1"/>
  <c r="AA57" i="8" a="1"/>
  <c r="AA57" i="8" s="1"/>
  <c r="AA43" i="8" a="1"/>
  <c r="AA43" i="8" s="1"/>
  <c r="AA60" i="8" a="1"/>
  <c r="AA60" i="8" s="1"/>
  <c r="AA61" i="8" a="1"/>
  <c r="AA61" i="8" s="1"/>
  <c r="AA20" i="8" a="1"/>
  <c r="AA20" i="8" s="1"/>
  <c r="AA1012" i="8" a="1"/>
  <c r="AA1012" i="8" s="1"/>
  <c r="AA993" i="8" a="1"/>
  <c r="AA993" i="8" s="1"/>
  <c r="AA902" i="8" a="1"/>
  <c r="AA902" i="8" s="1"/>
  <c r="AA845" i="8" a="1"/>
  <c r="AA845" i="8" s="1"/>
  <c r="AA774" i="8" a="1"/>
  <c r="AA774" i="8" s="1"/>
  <c r="AA727" i="8" a="1"/>
  <c r="AA727" i="8" s="1"/>
  <c r="AA607" i="8" a="1"/>
  <c r="AA607" i="8" s="1"/>
  <c r="AA598" i="8" a="1"/>
  <c r="AA598" i="8" s="1"/>
  <c r="AA433" i="8" a="1"/>
  <c r="AA433" i="8" s="1"/>
  <c r="AA456" i="8" a="1"/>
  <c r="AA456" i="8" s="1"/>
  <c r="AA387" i="8" a="1"/>
  <c r="AA387" i="8" s="1"/>
  <c r="AA286" i="8" a="1"/>
  <c r="AA286" i="8" s="1"/>
  <c r="AA190" i="8" a="1"/>
  <c r="AA190" i="8" s="1"/>
  <c r="AA311" i="8" a="1"/>
  <c r="AA311" i="8" s="1"/>
  <c r="AA1055" i="8" a="1"/>
  <c r="AA1055" i="8" s="1"/>
  <c r="AA982" i="8" a="1"/>
  <c r="AA982" i="8" s="1"/>
  <c r="AA928" i="8" a="1"/>
  <c r="AA928" i="8" s="1"/>
  <c r="AA854" i="8" a="1"/>
  <c r="AA854" i="8" s="1"/>
  <c r="AA816" i="8" a="1"/>
  <c r="AA816" i="8" s="1"/>
  <c r="AA748" i="8" a="1"/>
  <c r="AA748" i="8" s="1"/>
  <c r="AA639" i="8" a="1"/>
  <c r="AA639" i="8" s="1"/>
  <c r="AA616" i="8" a="1"/>
  <c r="AA616" i="8" s="1"/>
  <c r="AA544" i="8" a="1"/>
  <c r="AA544" i="8" s="1"/>
  <c r="AA459" i="8" a="1"/>
  <c r="AA459" i="8" s="1"/>
  <c r="AA391" i="8" a="1"/>
  <c r="AA391" i="8" s="1"/>
  <c r="AA289" i="8" a="1"/>
  <c r="AA289" i="8" s="1"/>
  <c r="AA283" i="8" a="1"/>
  <c r="AA283" i="8" s="1"/>
  <c r="AA239" i="8" a="1"/>
  <c r="AA239" i="8" s="1"/>
  <c r="AA186" i="8" a="1"/>
  <c r="AA186" i="8" s="1"/>
  <c r="AA1066" i="8" a="1"/>
  <c r="AA1066" i="8" s="1"/>
  <c r="AA992" i="8" a="1"/>
  <c r="AA992" i="8" s="1"/>
  <c r="AA931" i="8" a="1"/>
  <c r="AA931" i="8" s="1"/>
  <c r="AA867" i="8" a="1"/>
  <c r="AA867" i="8" s="1"/>
  <c r="AA817" i="8" a="1"/>
  <c r="AA817" i="8" s="1"/>
  <c r="AA735" i="8" a="1"/>
  <c r="AA735" i="8" s="1"/>
  <c r="AA596" i="8" a="1"/>
  <c r="AA596" i="8" s="1"/>
  <c r="AA688" i="8" a="1"/>
  <c r="AA688" i="8" s="1"/>
  <c r="AA564" i="8" a="1"/>
  <c r="AA564" i="8" s="1"/>
  <c r="AA516" i="8" a="1"/>
  <c r="AA516" i="8" s="1"/>
  <c r="AA389" i="8" a="1"/>
  <c r="AA389" i="8" s="1"/>
  <c r="AA340" i="8" a="1"/>
  <c r="AA340" i="8" s="1"/>
  <c r="AA349" i="8" a="1"/>
  <c r="AA349" i="8" s="1"/>
  <c r="AA148" i="8" a="1"/>
  <c r="AA148" i="8" s="1"/>
  <c r="AA23" i="8" a="1"/>
  <c r="AA23" i="8" s="1"/>
  <c r="AA1054" i="8" a="1"/>
  <c r="AA1054" i="8" s="1"/>
  <c r="AA1004" i="8" a="1"/>
  <c r="AA1004" i="8" s="1"/>
  <c r="AA934" i="8" a="1"/>
  <c r="AA934" i="8" s="1"/>
  <c r="AA851" i="8" a="1"/>
  <c r="AA851" i="8" s="1"/>
  <c r="AA779" i="8" a="1"/>
  <c r="AA779" i="8" s="1"/>
  <c r="AA766" i="8" a="1"/>
  <c r="AA766" i="8" s="1"/>
  <c r="AA624" i="8" a="1"/>
  <c r="AA624" i="8" s="1"/>
  <c r="AA579" i="8" a="1"/>
  <c r="AA579" i="8" s="1"/>
  <c r="AA533" i="8" a="1"/>
  <c r="AA533" i="8" s="1"/>
  <c r="AA476" i="8" a="1"/>
  <c r="AA476" i="8" s="1"/>
  <c r="AA405" i="8" a="1"/>
  <c r="AA405" i="8" s="1"/>
  <c r="AA333" i="8" a="1"/>
  <c r="AA333" i="8" s="1"/>
  <c r="AA1062" i="8" a="1"/>
  <c r="AA1062" i="8" s="1"/>
  <c r="AA955" i="8" a="1"/>
  <c r="AA955" i="8" s="1"/>
  <c r="AA953" i="8" a="1"/>
  <c r="AA953" i="8" s="1"/>
  <c r="AA832" i="8" a="1"/>
  <c r="AA832" i="8" s="1"/>
  <c r="AA780" i="8" a="1"/>
  <c r="AA780" i="8" s="1"/>
  <c r="AA733" i="8" a="1"/>
  <c r="AA733" i="8" s="1"/>
  <c r="AA626" i="8" a="1"/>
  <c r="AA626" i="8" s="1"/>
  <c r="AA674" i="8" a="1"/>
  <c r="AA674" i="8" s="1"/>
  <c r="AA563" i="8" a="1"/>
  <c r="AA563" i="8" s="1"/>
  <c r="AA514" i="8" a="1"/>
  <c r="AA514" i="8" s="1"/>
  <c r="AA432" i="8" a="1"/>
  <c r="AA432" i="8" s="1"/>
  <c r="AA276" i="8" a="1"/>
  <c r="AA276" i="8" s="1"/>
  <c r="AA267" i="8" a="1"/>
  <c r="AA267" i="8" s="1"/>
  <c r="AA66" i="8" a="1"/>
  <c r="AA66" i="8" s="1"/>
  <c r="AA1030" i="8" a="1"/>
  <c r="AA1030" i="8" s="1"/>
  <c r="AA974" i="8" a="1"/>
  <c r="AA974" i="8" s="1"/>
  <c r="AA922" i="8" a="1"/>
  <c r="AA922" i="8" s="1"/>
  <c r="AA861" i="8" a="1"/>
  <c r="AA861" i="8" s="1"/>
  <c r="AA772" i="8" a="1"/>
  <c r="AA772" i="8" s="1"/>
  <c r="AA745" i="8" a="1"/>
  <c r="AA745" i="8" s="1"/>
  <c r="AA675" i="8" a="1"/>
  <c r="AA675" i="8" s="1"/>
  <c r="AA614" i="8" a="1"/>
  <c r="AA614" i="8" s="1"/>
  <c r="AA543" i="8" a="1"/>
  <c r="AA543" i="8" s="1"/>
  <c r="AA513" i="8" a="1"/>
  <c r="AA513" i="8" s="1"/>
  <c r="AA410" i="8" a="1"/>
  <c r="AA410" i="8" s="1"/>
  <c r="AA351" i="8" a="1"/>
  <c r="AA351" i="8" s="1"/>
  <c r="AA193" i="8" a="1"/>
  <c r="AA193" i="8" s="1"/>
  <c r="AA285" i="8" a="1"/>
  <c r="AA285" i="8" s="1"/>
  <c r="AA1021" i="8" a="1"/>
  <c r="AA1021" i="8" s="1"/>
  <c r="AA961" i="8" a="1"/>
  <c r="AA961" i="8" s="1"/>
  <c r="AA913" i="8" a="1"/>
  <c r="AA913" i="8" s="1"/>
  <c r="AA862" i="8" a="1"/>
  <c r="AA862" i="8" s="1"/>
  <c r="AA792" i="8" a="1"/>
  <c r="AA792" i="8" s="1"/>
  <c r="AA764" i="8" a="1"/>
  <c r="AA764" i="8" s="1"/>
  <c r="AA622" i="8" a="1"/>
  <c r="AA622" i="8" s="1"/>
  <c r="AA572" i="8" a="1"/>
  <c r="AA572" i="8" s="1"/>
  <c r="AA448" i="8" a="1"/>
  <c r="AA448" i="8" s="1"/>
  <c r="AA473" i="8" a="1"/>
  <c r="AA473" i="8" s="1"/>
  <c r="AA404" i="8" a="1"/>
  <c r="AA404" i="8" s="1"/>
  <c r="AA303" i="8" a="1"/>
  <c r="AA303" i="8" s="1"/>
  <c r="AA205" i="8" a="1"/>
  <c r="AA205" i="8" s="1"/>
  <c r="AA1068" i="8" a="1"/>
  <c r="AA1068" i="8" s="1"/>
  <c r="AA1001" i="8" a="1"/>
  <c r="AA1001" i="8" s="1"/>
  <c r="AA909" i="8" a="1"/>
  <c r="AA909" i="8" s="1"/>
  <c r="AA889" i="8" a="1"/>
  <c r="AA889" i="8" s="1"/>
  <c r="AA812" i="8" a="1"/>
  <c r="AA812" i="8" s="1"/>
  <c r="AA758" i="8" a="1"/>
  <c r="AA758" i="8" s="1"/>
  <c r="AA632" i="8" a="1"/>
  <c r="AA632" i="8" s="1"/>
  <c r="AA619" i="8" a="1"/>
  <c r="AA619" i="8" s="1"/>
  <c r="AA542" i="8" a="1"/>
  <c r="AA542" i="8" s="1"/>
  <c r="AA447" i="8" a="1"/>
  <c r="AA447" i="8" s="1"/>
  <c r="AA411" i="8" a="1"/>
  <c r="AA411" i="8" s="1"/>
  <c r="AA358" i="8" a="1"/>
  <c r="AA358" i="8" s="1"/>
  <c r="AA361" i="8" a="1"/>
  <c r="AA361" i="8" s="1"/>
  <c r="AA346" i="8" a="1"/>
  <c r="AA346" i="8" s="1"/>
  <c r="AA213" i="8" a="1"/>
  <c r="AA213" i="8" s="1"/>
  <c r="AA274" i="8" a="1"/>
  <c r="AA274" i="8" s="1"/>
  <c r="AA208" i="8" a="1"/>
  <c r="AA208" i="8" s="1"/>
  <c r="AA135" i="8" a="1"/>
  <c r="AA135" i="8" s="1"/>
  <c r="AA277" i="8" a="1"/>
  <c r="AA277" i="8" s="1"/>
  <c r="AA256" i="8" a="1"/>
  <c r="AA256" i="8" s="1"/>
  <c r="AA102" i="8" a="1"/>
  <c r="AA102" i="8" s="1"/>
  <c r="AA243" i="8" a="1"/>
  <c r="AA243" i="8" s="1"/>
  <c r="AA241" i="8" a="1"/>
  <c r="AA241" i="8" s="1"/>
  <c r="AA115" i="8" a="1"/>
  <c r="AA115" i="8" s="1"/>
  <c r="AA240" i="8" a="1"/>
  <c r="AA240" i="8" s="1"/>
  <c r="AA137" i="8" a="1"/>
  <c r="AA137" i="8" s="1"/>
  <c r="AA4" i="8" a="1"/>
  <c r="AA4" i="8" s="1"/>
  <c r="AA99" i="8" a="1"/>
  <c r="AA99" i="8" s="1"/>
  <c r="AA47" i="8" a="1"/>
  <c r="AA47" i="8" s="1"/>
  <c r="AA56" i="8" a="1"/>
  <c r="AA56" i="8" s="1"/>
  <c r="AA41" i="8" a="1"/>
  <c r="AA41" i="8" s="1"/>
  <c r="AA16" i="8" a="1"/>
  <c r="AA16" i="8" s="1"/>
  <c r="AA30" i="8" a="1"/>
  <c r="AA30" i="8" s="1"/>
  <c r="AA50" i="8" a="1"/>
  <c r="AA50" i="8" s="1"/>
  <c r="AA91" i="8" a="1"/>
  <c r="AA91" i="8" s="1"/>
  <c r="AA33" i="8" a="1"/>
  <c r="AA33" i="8" s="1"/>
  <c r="AA28" i="8" a="1"/>
  <c r="AA28" i="8" s="1"/>
  <c r="AA1029" i="8" a="1"/>
  <c r="AA1029" i="8" s="1"/>
  <c r="AA956" i="8" a="1"/>
  <c r="AA956" i="8" s="1"/>
  <c r="AA898" i="8" a="1"/>
  <c r="AA898" i="8" s="1"/>
  <c r="AA827" i="8" a="1"/>
  <c r="AA827" i="8" s="1"/>
  <c r="AA738" i="8" a="1"/>
  <c r="AA738" i="8" s="1"/>
  <c r="AA717" i="8" a="1"/>
  <c r="AA717" i="8" s="1"/>
  <c r="AA680" i="8" a="1"/>
  <c r="AA680" i="8" s="1"/>
  <c r="AA545" i="8" a="1"/>
  <c r="AA545" i="8" s="1"/>
  <c r="AA482" i="8" a="1"/>
  <c r="AA482" i="8" s="1"/>
  <c r="AA490" i="8" a="1"/>
  <c r="AA490" i="8" s="1"/>
  <c r="AA342" i="8" a="1"/>
  <c r="AA342" i="8" s="1"/>
  <c r="AA360" i="8" a="1"/>
  <c r="AA360" i="8" s="1"/>
  <c r="AA126" i="8" a="1"/>
  <c r="AA126" i="8" s="1"/>
  <c r="AA221" i="8" a="1"/>
  <c r="AA221" i="8" s="1"/>
  <c r="AA1040" i="8" a="1"/>
  <c r="AA1040" i="8" s="1"/>
  <c r="AA962" i="8" a="1"/>
  <c r="AA962" i="8" s="1"/>
  <c r="AA925" i="8" a="1"/>
  <c r="AA925" i="8" s="1"/>
  <c r="AA849" i="8" a="1"/>
  <c r="AA849" i="8" s="1"/>
  <c r="AA775" i="8" a="1"/>
  <c r="AA775" i="8" s="1"/>
  <c r="AA773" i="8" a="1"/>
  <c r="AA773" i="8" s="1"/>
  <c r="AA595" i="8" a="1"/>
  <c r="AA595" i="8" s="1"/>
  <c r="AA631" i="8" a="1"/>
  <c r="AA631" i="8" s="1"/>
  <c r="AA526" i="8" a="1"/>
  <c r="AA526" i="8" s="1"/>
  <c r="AA471" i="8" a="1"/>
  <c r="AA471" i="8" s="1"/>
  <c r="AA398" i="8" a="1"/>
  <c r="AA398" i="8" s="1"/>
  <c r="AA367" i="8" a="1"/>
  <c r="AA367" i="8" s="1"/>
  <c r="AA225" i="8" a="1"/>
  <c r="AA225" i="8" s="1"/>
  <c r="AA175" i="8" a="1"/>
  <c r="AA175" i="8" s="1"/>
  <c r="AA305" i="8" a="1"/>
  <c r="AA305" i="8" s="1"/>
  <c r="AA1060" i="8" a="1"/>
  <c r="AA1060" i="8" s="1"/>
  <c r="AA972" i="8" a="1"/>
  <c r="AA972" i="8" s="1"/>
  <c r="AA942" i="8" a="1"/>
  <c r="AA942" i="8" s="1"/>
  <c r="AA847" i="8" a="1"/>
  <c r="AA847" i="8" s="1"/>
  <c r="AA790" i="8" a="1"/>
  <c r="AA790" i="8" s="1"/>
  <c r="AA747" i="8" a="1"/>
  <c r="AA747" i="8" s="1"/>
  <c r="AA636" i="8" a="1"/>
  <c r="AA636" i="8" s="1"/>
  <c r="AA692" i="8" a="1"/>
  <c r="AA692" i="8" s="1"/>
  <c r="AA534" i="8" a="1"/>
  <c r="AA534" i="8" s="1"/>
  <c r="AA452" i="8" a="1"/>
  <c r="AA452" i="8" s="1"/>
  <c r="AA386" i="8" a="1"/>
  <c r="AA386" i="8" s="1"/>
  <c r="AA282" i="8" a="1"/>
  <c r="AA282" i="8" s="1"/>
  <c r="AA275" i="8" a="1"/>
  <c r="AA275" i="8" s="1"/>
  <c r="AA229" i="8" a="1"/>
  <c r="AA229" i="8" s="1"/>
  <c r="AA31" i="8" a="1"/>
  <c r="AA31" i="8" s="1"/>
  <c r="AA1033" i="8" a="1"/>
  <c r="AA1033" i="8" s="1"/>
  <c r="AA983" i="8" a="1"/>
  <c r="AA983" i="8" s="1"/>
  <c r="AA895" i="8" a="1"/>
  <c r="AA895" i="8" s="1"/>
  <c r="AA860" i="8" a="1"/>
  <c r="AA860" i="8" s="1"/>
  <c r="AA778" i="8" a="1"/>
  <c r="AA778" i="8" s="1"/>
  <c r="AA698" i="8" a="1"/>
  <c r="AA698" i="8" s="1"/>
  <c r="AA644" i="8" a="1"/>
  <c r="AA644" i="8" s="1"/>
  <c r="AA600" i="8" a="1"/>
  <c r="AA600" i="8" s="1"/>
  <c r="AA470" i="8" a="1"/>
  <c r="AA470" i="8" s="1"/>
  <c r="AA495" i="8" a="1"/>
  <c r="AA495" i="8" s="1"/>
  <c r="AA392" i="8" a="1"/>
  <c r="AA392" i="8" s="1"/>
  <c r="AA331" i="8" a="1"/>
  <c r="AA331" i="8" s="1"/>
  <c r="AA1037" i="8" a="1"/>
  <c r="AA1037" i="8" s="1"/>
  <c r="AA979" i="8" a="1"/>
  <c r="AA979" i="8" s="1"/>
  <c r="AA932" i="8" a="1"/>
  <c r="AA932" i="8" s="1"/>
  <c r="AA874" i="8" a="1"/>
  <c r="AA874" i="8" s="1"/>
  <c r="AA777" i="8" a="1"/>
  <c r="AA777" i="8" s="1"/>
  <c r="AA754" i="8" a="1"/>
  <c r="AA754" i="8" s="1"/>
  <c r="AA686" i="8" a="1"/>
  <c r="AA686" i="8" s="1"/>
  <c r="AA615" i="8" a="1"/>
  <c r="AA615" i="8" s="1"/>
  <c r="AA553" i="8" a="1"/>
  <c r="AA553" i="8" s="1"/>
  <c r="AA449" i="8" a="1"/>
  <c r="AA449" i="8" s="1"/>
  <c r="AA415" i="8" a="1"/>
  <c r="AA415" i="8" s="1"/>
  <c r="AA355" i="8" a="1"/>
  <c r="AA355" i="8" s="1"/>
  <c r="AA203" i="8" a="1"/>
  <c r="AA203" i="8" s="1"/>
  <c r="AA74" i="8" a="1"/>
  <c r="AA74" i="8" s="1"/>
  <c r="AA1044" i="8" a="1"/>
  <c r="AA1044" i="8" s="1"/>
  <c r="AA994" i="8" a="1"/>
  <c r="AA994" i="8" s="1"/>
  <c r="AA888" i="8" a="1"/>
  <c r="AA888" i="8" s="1"/>
  <c r="AA870" i="8" a="1"/>
  <c r="AA870" i="8" s="1"/>
  <c r="AA800" i="8" a="1"/>
  <c r="AA800" i="8" s="1"/>
  <c r="AA744" i="8" a="1"/>
  <c r="AA744" i="8" s="1"/>
  <c r="AA592" i="8" a="1"/>
  <c r="AA592" i="8" s="1"/>
  <c r="AA601" i="8" a="1"/>
  <c r="AA601" i="8" s="1"/>
  <c r="AA522" i="8" a="1"/>
  <c r="AA522" i="8" s="1"/>
  <c r="AA461" i="8" a="1"/>
  <c r="AA461" i="8" s="1"/>
  <c r="AA390" i="8" a="1"/>
  <c r="AA390" i="8" s="1"/>
  <c r="AA317" i="8" a="1"/>
  <c r="AA317" i="8" s="1"/>
  <c r="AA300" i="8" a="1"/>
  <c r="AA300" i="8" s="1"/>
  <c r="AA236" i="8" a="1"/>
  <c r="AA236" i="8" s="1"/>
  <c r="AA1022" i="8" a="1"/>
  <c r="AA1022" i="8" s="1"/>
  <c r="AA954" i="8" a="1"/>
  <c r="AA954" i="8" s="1"/>
  <c r="AA912" i="8" a="1"/>
  <c r="AA912" i="8" s="1"/>
  <c r="AA811" i="8" a="1"/>
  <c r="AA811" i="8" s="1"/>
  <c r="AA740" i="8" a="1"/>
  <c r="AA740" i="8" s="1"/>
  <c r="AA732" i="8" a="1"/>
  <c r="AA732" i="8" s="1"/>
  <c r="AA690" i="8" a="1"/>
  <c r="AA690" i="8" s="1"/>
  <c r="AA560" i="8" a="1"/>
  <c r="AA560" i="8" s="1"/>
  <c r="AA499" i="8" a="1"/>
  <c r="AA499" i="8" s="1"/>
  <c r="AA507" i="8" a="1"/>
  <c r="AA507" i="8" s="1"/>
  <c r="AA309" i="8" a="1"/>
  <c r="AA309" i="8" s="1"/>
  <c r="AA368" i="8" a="1"/>
  <c r="AA368" i="8" s="1"/>
  <c r="AA141" i="8" a="1"/>
  <c r="AA141" i="8" s="1"/>
  <c r="AA1046" i="8" a="1"/>
  <c r="AA1046" i="8" s="1"/>
  <c r="AA1002" i="8" a="1"/>
  <c r="AA1002" i="8" s="1"/>
  <c r="AA940" i="8" a="1"/>
  <c r="AA940" i="8" s="1"/>
  <c r="AA869" i="8" a="1"/>
  <c r="AA869" i="8" s="1"/>
  <c r="AA836" i="8" a="1"/>
  <c r="AA836" i="8" s="1"/>
  <c r="AA704" i="8" a="1"/>
  <c r="AA704" i="8" s="1"/>
  <c r="AA657" i="8" a="1"/>
  <c r="AA657" i="8" s="1"/>
  <c r="AA645" i="8" a="1"/>
  <c r="AA645" i="8" s="1"/>
  <c r="AA561" i="8" a="1"/>
  <c r="AA561" i="8" s="1"/>
  <c r="AA474" i="8" a="1"/>
  <c r="AA474" i="8" s="1"/>
  <c r="AA408" i="8" a="1"/>
  <c r="AA408" i="8" s="1"/>
  <c r="AA304" i="8" a="1"/>
  <c r="AA304" i="8" s="1"/>
  <c r="AA298" i="8" a="1"/>
  <c r="AA298" i="8" s="1"/>
  <c r="AA170" i="8" a="1"/>
  <c r="AA170" i="8" s="1"/>
  <c r="AA144" i="8" a="1"/>
  <c r="AA144" i="8" s="1"/>
  <c r="AA138" i="8" a="1"/>
  <c r="AA138" i="8" s="1"/>
  <c r="AA104" i="8" a="1"/>
  <c r="AA104" i="8" s="1"/>
  <c r="AA110" i="8" a="1"/>
  <c r="AA110" i="8" s="1"/>
  <c r="AA179" i="8" a="1"/>
  <c r="AA179" i="8" s="1"/>
  <c r="AA278" i="8" a="1"/>
  <c r="AA278" i="8" s="1"/>
  <c r="AA101" i="8" a="1"/>
  <c r="AA101" i="8" s="1"/>
  <c r="AA164" i="8" a="1"/>
  <c r="AA164" i="8" s="1"/>
  <c r="AA263" i="8" a="1"/>
  <c r="AA263" i="8" s="1"/>
  <c r="AA266" i="8" a="1"/>
  <c r="AA266" i="8" s="1"/>
  <c r="AA166" i="8" a="1"/>
  <c r="AA166" i="8" s="1"/>
  <c r="AA230" i="8" a="1"/>
  <c r="AA230" i="8" s="1"/>
  <c r="AA2" i="8" a="1"/>
  <c r="AA2" i="8" s="1"/>
  <c r="AA49" i="8" a="1"/>
  <c r="AA49" i="8" s="1"/>
  <c r="AA54" i="8" a="1"/>
  <c r="AA54" i="8" s="1"/>
  <c r="AA3" i="8" a="1"/>
  <c r="AA3" i="8" s="1"/>
  <c r="AA25" i="8" a="1"/>
  <c r="AA25" i="8" s="1"/>
  <c r="AA24" i="8" a="1"/>
  <c r="AA24" i="8" s="1"/>
  <c r="AA45" i="8" a="1"/>
  <c r="AA45" i="8" s="1"/>
  <c r="AA58" i="8" a="1"/>
  <c r="AA58" i="8" s="1"/>
  <c r="AA86" i="8" a="1"/>
  <c r="AA86" i="8" s="1"/>
  <c r="AA68" i="8" a="1"/>
  <c r="AA68" i="8" s="1"/>
  <c r="AA19" i="8" a="1"/>
  <c r="AA19" i="8" s="1"/>
  <c r="AA1020" i="8" a="1"/>
  <c r="AA1020" i="8" s="1"/>
  <c r="AA914" i="8" a="1"/>
  <c r="AA914" i="8" s="1"/>
  <c r="AA881" i="8" a="1"/>
  <c r="AA881" i="8" s="1"/>
  <c r="AA803" i="8" a="1"/>
  <c r="AA803" i="8" s="1"/>
  <c r="AA737" i="8" a="1"/>
  <c r="AA737" i="8" s="1"/>
  <c r="AA685" i="8" a="1"/>
  <c r="AA685" i="8" s="1"/>
  <c r="AA684" i="8" a="1"/>
  <c r="AA684" i="8" s="1"/>
  <c r="AA530" i="8" a="1"/>
  <c r="AA530" i="8" s="1"/>
  <c r="AA504" i="8" a="1"/>
  <c r="AA504" i="8" s="1"/>
  <c r="AA439" i="8" a="1"/>
  <c r="AA439" i="8" s="1"/>
  <c r="AA287" i="8" a="1"/>
  <c r="AA287" i="8" s="1"/>
  <c r="AA313" i="8" a="1"/>
  <c r="AA313" i="8" s="1"/>
  <c r="AA227" i="8" a="1"/>
  <c r="AA227" i="8" s="1"/>
  <c r="AA157" i="8" a="1"/>
  <c r="AA157" i="8" s="1"/>
  <c r="AA1027" i="8" a="1"/>
  <c r="AA1027" i="8" s="1"/>
  <c r="AA976" i="8" a="1"/>
  <c r="AA976" i="8" s="1"/>
  <c r="AA948" i="8" a="1"/>
  <c r="AA948" i="8" s="1"/>
  <c r="AA868" i="8" a="1"/>
  <c r="AA868" i="8" s="1"/>
  <c r="AA796" i="8" a="1"/>
  <c r="AA796" i="8" s="1"/>
  <c r="AA703" i="8" a="1"/>
  <c r="AA703" i="8" s="1"/>
  <c r="AA643" i="8" a="1"/>
  <c r="AA643" i="8" s="1"/>
  <c r="AA613" i="8" a="1"/>
  <c r="AA613" i="8" s="1"/>
  <c r="AA548" i="8" a="1"/>
  <c r="AA548" i="8" s="1"/>
  <c r="AA493" i="8" a="1"/>
  <c r="AA493" i="8" s="1"/>
  <c r="AA422" i="8" a="1"/>
  <c r="AA422" i="8" s="1"/>
  <c r="AA319" i="8" a="1"/>
  <c r="AA319" i="8" s="1"/>
  <c r="AA161" i="8" a="1"/>
  <c r="AA161" i="8" s="1"/>
  <c r="AA268" i="8" a="1"/>
  <c r="AA268" i="8" s="1"/>
  <c r="AA223" i="8" a="1"/>
  <c r="AA223" i="8" s="1"/>
  <c r="AA1035" i="8" a="1"/>
  <c r="AA1035" i="8" s="1"/>
  <c r="AA952" i="8" a="1"/>
  <c r="AA952" i="8" s="1"/>
  <c r="AA920" i="8" a="1"/>
  <c r="AA920" i="8" s="1"/>
  <c r="AA844" i="8" a="1"/>
  <c r="AA844" i="8" s="1"/>
  <c r="AA765" i="8" a="1"/>
  <c r="AA765" i="8" s="1"/>
  <c r="AA756" i="8" a="1"/>
  <c r="AA756" i="8" s="1"/>
  <c r="AA594" i="8" a="1"/>
  <c r="AA594" i="8" s="1"/>
  <c r="AA630" i="8" a="1"/>
  <c r="AA630" i="8" s="1"/>
  <c r="AA568" i="8" a="1"/>
  <c r="AA568" i="8" s="1"/>
  <c r="AA464" i="8" a="1"/>
  <c r="AA464" i="8" s="1"/>
  <c r="AA427" i="8" a="1"/>
  <c r="AA427" i="8" s="1"/>
  <c r="AA363" i="8" a="1"/>
  <c r="AA363" i="8" s="1"/>
  <c r="AA220" i="8" a="1"/>
  <c r="AA220" i="8" s="1"/>
  <c r="AA165" i="8" a="1"/>
  <c r="AA165" i="8" s="1"/>
  <c r="AA81" i="8" a="1"/>
  <c r="AA81" i="8" s="1"/>
  <c r="AA1023" i="8" a="1"/>
  <c r="AA1023" i="8" s="1"/>
  <c r="AA973" i="8" a="1"/>
  <c r="AA973" i="8" s="1"/>
  <c r="AA894" i="8" a="1"/>
  <c r="AA894" i="8" s="1"/>
  <c r="AA823" i="8" a="1"/>
  <c r="AA823" i="8" s="1"/>
  <c r="AA762" i="8" a="1"/>
  <c r="AA762" i="8" s="1"/>
  <c r="AA705" i="8" a="1"/>
  <c r="AA705" i="8" s="1"/>
  <c r="AA591" i="8" a="1"/>
  <c r="AA591" i="8" s="1"/>
  <c r="AA581" i="8" a="1"/>
  <c r="AA581" i="8" s="1"/>
  <c r="AA520" i="8" a="1"/>
  <c r="AA520" i="8" s="1"/>
  <c r="AA523" i="8" a="1"/>
  <c r="AA523" i="8" s="1"/>
  <c r="AA328" i="8" a="1"/>
  <c r="AA328" i="8" s="1"/>
  <c r="AA380" i="8" a="1"/>
  <c r="AA380" i="8" s="1"/>
  <c r="AA1039" i="8" a="1"/>
  <c r="AA1039" i="8" s="1"/>
  <c r="AA996" i="8" a="1"/>
  <c r="AA996" i="8" s="1"/>
  <c r="AA927" i="8" a="1"/>
  <c r="AA927" i="8" s="1"/>
  <c r="AA876" i="8" a="1"/>
  <c r="AA876" i="8" s="1"/>
  <c r="AA769" i="8" a="1"/>
  <c r="AA769" i="8" s="1"/>
  <c r="AA753" i="8" a="1"/>
  <c r="AA753" i="8" s="1"/>
  <c r="AA608" i="8" a="1"/>
  <c r="AA608" i="8" s="1"/>
  <c r="AA604" i="8" a="1"/>
  <c r="AA604" i="8" s="1"/>
  <c r="AA525" i="8" a="1"/>
  <c r="AA525" i="8" s="1"/>
  <c r="AA466" i="8" a="1"/>
  <c r="AA466" i="8" s="1"/>
  <c r="AA395" i="8" a="1"/>
  <c r="AA395" i="8" s="1"/>
  <c r="AA320" i="8" a="1"/>
  <c r="AA320" i="8" s="1"/>
  <c r="AA139" i="8" a="1"/>
  <c r="AA139" i="8" s="1"/>
  <c r="AA85" i="8" a="1"/>
  <c r="AA85" i="8" s="1"/>
  <c r="AA1038" i="8" a="1"/>
  <c r="AA1038" i="8" s="1"/>
  <c r="AA968" i="8" a="1"/>
  <c r="AA968" i="8" s="1"/>
  <c r="AA917" i="8" a="1"/>
  <c r="AA917" i="8" s="1"/>
  <c r="AA843" i="8" a="1"/>
  <c r="AA843" i="8" s="1"/>
  <c r="AA802" i="8" a="1"/>
  <c r="AA802" i="8" s="1"/>
  <c r="AA768" i="8" a="1"/>
  <c r="AA768" i="8" s="1"/>
  <c r="AA623" i="8" a="1"/>
  <c r="AA623" i="8" s="1"/>
  <c r="AA575" i="8" a="1"/>
  <c r="AA575" i="8" s="1"/>
  <c r="AA455" i="8" a="1"/>
  <c r="AA455" i="8" s="1"/>
  <c r="AA478" i="8" a="1"/>
  <c r="AA478" i="8" s="1"/>
  <c r="AA414" i="8" a="1"/>
  <c r="AA414" i="8" s="1"/>
  <c r="AA315" i="8" a="1"/>
  <c r="AA315" i="8" s="1"/>
  <c r="AA215" i="8" a="1"/>
  <c r="AA215" i="8" s="1"/>
  <c r="AA100" i="8" a="1"/>
  <c r="AA100" i="8" s="1"/>
  <c r="AA1010" i="8" a="1"/>
  <c r="AA1010" i="8" s="1"/>
  <c r="AA929" i="8" a="1"/>
  <c r="AA929" i="8" s="1"/>
  <c r="AA875" i="8" a="1"/>
  <c r="AA875" i="8" s="1"/>
  <c r="AA820" i="8" a="1"/>
  <c r="AA820" i="8" s="1"/>
  <c r="AA759" i="8" a="1"/>
  <c r="AA759" i="8" s="1"/>
  <c r="AA694" i="8" a="1"/>
  <c r="AA694" i="8" s="1"/>
  <c r="AA620" i="8" a="1"/>
  <c r="AA620" i="8" s="1"/>
  <c r="AA547" i="8" a="1"/>
  <c r="AA547" i="8" s="1"/>
  <c r="AA435" i="8" a="1"/>
  <c r="AA435" i="8" s="1"/>
  <c r="AA443" i="8" a="1"/>
  <c r="AA443" i="8" s="1"/>
  <c r="AA302" i="8" a="1"/>
  <c r="AA302" i="8" s="1"/>
  <c r="AA329" i="8" a="1"/>
  <c r="AA329" i="8" s="1"/>
  <c r="AA244" i="8" a="1"/>
  <c r="AA244" i="8" s="1"/>
  <c r="AA1053" i="8" a="1"/>
  <c r="AA1053" i="8" s="1"/>
  <c r="AA977" i="8" a="1"/>
  <c r="AA977" i="8" s="1"/>
  <c r="AA944" i="8" a="1"/>
  <c r="AA944" i="8" s="1"/>
  <c r="AA866" i="8" a="1"/>
  <c r="AA866" i="8" s="1"/>
  <c r="AA799" i="8" a="1"/>
  <c r="AA799" i="8" s="1"/>
  <c r="AA706" i="8" a="1"/>
  <c r="AA706" i="8" s="1"/>
  <c r="AA610" i="8" a="1"/>
  <c r="AA610" i="8" s="1"/>
  <c r="AA649" i="8" a="1"/>
  <c r="AA649" i="8" s="1"/>
  <c r="AA541" i="8" a="1"/>
  <c r="AA541" i="8" s="1"/>
  <c r="AA486" i="8" a="1"/>
  <c r="AA486" i="8" s="1"/>
  <c r="AA413" i="8" a="1"/>
  <c r="AA413" i="8" s="1"/>
  <c r="AA375" i="8" a="1"/>
  <c r="AA375" i="8" s="1"/>
  <c r="AA242" i="8" a="1"/>
  <c r="AA242" i="8" s="1"/>
  <c r="AA160" i="8" a="1"/>
  <c r="AA160" i="8" s="1"/>
  <c r="AA116" i="8" a="1"/>
  <c r="AA116" i="8" s="1"/>
  <c r="AA150" i="8" a="1"/>
  <c r="AA150" i="8" s="1"/>
  <c r="AA114" i="8" a="1"/>
  <c r="AA114" i="8" s="1"/>
  <c r="AA124" i="8" a="1"/>
  <c r="AA124" i="8" s="1"/>
  <c r="AA272" i="8" a="1"/>
  <c r="AA272" i="8" s="1"/>
  <c r="AA162" i="8" a="1"/>
  <c r="AA162" i="8" s="1"/>
  <c r="AA128" i="8" a="1"/>
  <c r="AA128" i="8" s="1"/>
  <c r="AA255" i="8" a="1"/>
  <c r="AA255" i="8" s="1"/>
  <c r="AA174" i="8" a="1"/>
  <c r="AA174" i="8" s="1"/>
  <c r="AA197" i="8" a="1"/>
  <c r="AA197" i="8" s="1"/>
  <c r="AA202" i="8" a="1"/>
  <c r="AA202" i="8" s="1"/>
  <c r="AA149" i="8" a="1"/>
  <c r="AA149" i="8" s="1"/>
  <c r="AA107" i="8" a="1"/>
  <c r="AA107" i="8" s="1"/>
  <c r="AA37" i="8" a="1"/>
  <c r="AA37" i="8" s="1"/>
  <c r="AA62" i="8" a="1"/>
  <c r="AA62" i="8" s="1"/>
  <c r="AA82" i="8" a="1"/>
  <c r="AA82" i="8" s="1"/>
  <c r="AA64" i="8" a="1"/>
  <c r="AA64" i="8" s="1"/>
  <c r="AA10" i="8" a="1"/>
  <c r="AA10" i="8" s="1"/>
  <c r="AA29" i="8" a="1"/>
  <c r="AA29" i="8" s="1"/>
  <c r="AA89" i="8" a="1"/>
  <c r="AA89" i="8" s="1"/>
  <c r="AA73" i="8" a="1"/>
  <c r="AA73" i="8" s="1"/>
  <c r="AA76" i="8" a="1"/>
  <c r="AA76" i="8" s="1"/>
  <c r="AA1061" i="8" a="1"/>
  <c r="AA1061" i="8" s="1"/>
  <c r="AA999" i="8" a="1"/>
  <c r="AA999" i="8" s="1"/>
  <c r="AA904" i="8" a="1"/>
  <c r="AA904" i="8" s="1"/>
  <c r="AA884" i="8" a="1"/>
  <c r="AA884" i="8" s="1"/>
  <c r="AA841" i="8" a="1"/>
  <c r="AA841" i="8" s="1"/>
  <c r="AA749" i="8" a="1"/>
  <c r="AA749" i="8" s="1"/>
  <c r="AA628" i="8" a="1"/>
  <c r="AA628" i="8" s="1"/>
  <c r="AA618" i="8" a="1"/>
  <c r="AA618" i="8" s="1"/>
  <c r="AA537" i="8" a="1"/>
  <c r="AA537" i="8" s="1"/>
  <c r="AA440" i="8" a="1"/>
  <c r="AA440" i="8" s="1"/>
  <c r="AA406" i="8" a="1"/>
  <c r="AA406" i="8" s="1"/>
  <c r="AA354" i="8" a="1"/>
  <c r="AA354" i="8" s="1"/>
  <c r="AA357" i="8" a="1"/>
  <c r="AA357" i="8" s="1"/>
  <c r="AA163" i="8" a="1"/>
  <c r="AA163" i="8" s="1"/>
  <c r="AA260" i="8" a="1"/>
  <c r="AA260" i="8" s="1"/>
  <c r="AA1057" i="8" a="1"/>
  <c r="AA1057" i="8" s="1"/>
  <c r="AA997" i="8" a="1"/>
  <c r="AA997" i="8" s="1"/>
  <c r="AA883" i="8" a="1"/>
  <c r="AA883" i="8" s="1"/>
  <c r="AA838" i="8" a="1"/>
  <c r="AA838" i="8" s="1"/>
  <c r="AA787" i="8" a="1"/>
  <c r="AA787" i="8" s="1"/>
  <c r="AA715" i="8" a="1"/>
  <c r="AA715" i="8" s="1"/>
  <c r="AA658" i="8" a="1"/>
  <c r="AA658" i="8" s="1"/>
  <c r="AA586" i="8" a="1"/>
  <c r="AA586" i="8" s="1"/>
  <c r="AA487" i="8" a="1"/>
  <c r="AA487" i="8" s="1"/>
  <c r="AA429" i="8" a="1"/>
  <c r="AA429" i="8" s="1"/>
  <c r="AA407" i="8" a="1"/>
  <c r="AA407" i="8" s="1"/>
  <c r="AA347" i="8" a="1"/>
  <c r="AA347" i="8" s="1"/>
  <c r="AA247" i="8" a="1"/>
  <c r="AA247" i="8" s="1"/>
  <c r="AA204" i="8" a="1"/>
  <c r="AA204" i="8" s="1"/>
  <c r="AA159" i="8" a="1"/>
  <c r="AA159" i="8" s="1"/>
  <c r="AA1056" i="8" a="1"/>
  <c r="AA1056" i="8" s="1"/>
  <c r="AA969" i="8" a="1"/>
  <c r="AA969" i="8" s="1"/>
  <c r="AA939" i="8" a="1"/>
  <c r="AA939" i="8" s="1"/>
  <c r="AA858" i="8" a="1"/>
  <c r="AA858" i="8" s="1"/>
  <c r="AA788" i="8" a="1"/>
  <c r="AA788" i="8" s="1"/>
  <c r="AA776" i="8" a="1"/>
  <c r="AA776" i="8" s="1"/>
  <c r="AA640" i="8" a="1"/>
  <c r="AA640" i="8" s="1"/>
  <c r="AA597" i="8" a="1"/>
  <c r="AA597" i="8" s="1"/>
  <c r="AA538" i="8" a="1"/>
  <c r="AA538" i="8" s="1"/>
  <c r="AA483" i="8" a="1"/>
  <c r="AA483" i="8" s="1"/>
  <c r="AA412" i="8" a="1"/>
  <c r="AA412" i="8" s="1"/>
  <c r="AA336" i="8" a="1"/>
  <c r="AA336" i="8" s="1"/>
  <c r="AA156" i="8" a="1"/>
  <c r="AA156" i="8" s="1"/>
  <c r="AA258" i="8" a="1"/>
  <c r="AA258" i="8" s="1"/>
  <c r="AA125" i="8" a="1"/>
  <c r="AA125" i="8" s="1"/>
  <c r="AA1011" i="8" a="1"/>
  <c r="AA1011" i="8" s="1"/>
  <c r="AA957" i="8" a="1"/>
  <c r="AA957" i="8" s="1"/>
  <c r="AA886" i="8" a="1"/>
  <c r="AA886" i="8" s="1"/>
  <c r="AA798" i="8" a="1"/>
  <c r="AA798" i="8" s="1"/>
  <c r="AA712" i="8" a="1"/>
  <c r="AA712" i="8" s="1"/>
  <c r="AA696" i="8" a="1"/>
  <c r="AA696" i="8" s="1"/>
  <c r="AA651" i="8" a="1"/>
  <c r="AA651" i="8" s="1"/>
  <c r="AA570" i="8" a="1"/>
  <c r="AA570" i="8" s="1"/>
  <c r="AA460" i="8" a="1"/>
  <c r="AA460" i="8" s="1"/>
  <c r="AA468" i="8" a="1"/>
  <c r="AA468" i="8" s="1"/>
  <c r="AA323" i="8" a="1"/>
  <c r="AA323" i="8" s="1"/>
  <c r="AA348" i="8" a="1"/>
  <c r="AA348" i="8" s="1"/>
  <c r="AA1026" i="8" a="1"/>
  <c r="AA1026" i="8" s="1"/>
  <c r="AA978" i="8" a="1"/>
  <c r="AA978" i="8" s="1"/>
  <c r="AA890" i="8" a="1"/>
  <c r="AA890" i="8" s="1"/>
  <c r="AA850" i="8" a="1"/>
  <c r="AA850" i="8" s="1"/>
  <c r="AA805" i="8" a="1"/>
  <c r="AA805" i="8" s="1"/>
  <c r="AA783" i="8" a="1"/>
  <c r="AA783" i="8" s="1"/>
  <c r="AA633" i="8" a="1"/>
  <c r="AA633" i="8" s="1"/>
  <c r="AA584" i="8" a="1"/>
  <c r="AA584" i="8" s="1"/>
  <c r="AA465" i="8" a="1"/>
  <c r="AA465" i="8" s="1"/>
  <c r="AA488" i="8" a="1"/>
  <c r="AA488" i="8" s="1"/>
  <c r="AA419" i="8" a="1"/>
  <c r="AA419" i="8" s="1"/>
  <c r="AA318" i="8" a="1"/>
  <c r="AA318" i="8" s="1"/>
  <c r="AA222" i="8" a="1"/>
  <c r="AA222" i="8" s="1"/>
  <c r="AA108" i="8" a="1"/>
  <c r="AA108" i="8" s="1"/>
  <c r="AA1031" i="8" a="1"/>
  <c r="AA1031" i="8" s="1"/>
  <c r="AA959" i="8" a="1"/>
  <c r="AA959" i="8" s="1"/>
  <c r="AA918" i="8" a="1"/>
  <c r="AA918" i="8" s="1"/>
  <c r="AA826" i="8" a="1"/>
  <c r="AA826" i="8" s="1"/>
  <c r="AA751" i="8" a="1"/>
  <c r="AA751" i="8" s="1"/>
  <c r="AA741" i="8" a="1"/>
  <c r="AA741" i="8" s="1"/>
  <c r="AA589" i="8" a="1"/>
  <c r="AA589" i="8" s="1"/>
  <c r="AA567" i="8" a="1"/>
  <c r="AA567" i="8" s="1"/>
  <c r="AA505" i="8" a="1"/>
  <c r="AA505" i="8" s="1"/>
  <c r="AA508" i="8" a="1"/>
  <c r="AA508" i="8" s="1"/>
  <c r="AA312" i="8" a="1"/>
  <c r="AA312" i="8" s="1"/>
  <c r="AA372" i="8" a="1"/>
  <c r="AA372" i="8" s="1"/>
  <c r="AA151" i="8" a="1"/>
  <c r="AA151" i="8" s="1"/>
  <c r="AA1072" i="8" a="1"/>
  <c r="AA1072" i="8" s="1"/>
  <c r="AA1006" i="8" a="1"/>
  <c r="AA1006" i="8" s="1"/>
  <c r="AA919" i="8" a="1"/>
  <c r="AA919" i="8" s="1"/>
  <c r="AA896" i="8" a="1"/>
  <c r="AA896" i="8" s="1"/>
  <c r="AA818" i="8" a="1"/>
  <c r="AA818" i="8" s="1"/>
  <c r="AA693" i="8" a="1"/>
  <c r="AA693" i="8" s="1"/>
  <c r="AA635" i="8" a="1"/>
  <c r="AA635" i="8" s="1"/>
  <c r="AA634" i="8" a="1"/>
  <c r="AA634" i="8" s="1"/>
  <c r="AA552" i="8" a="1"/>
  <c r="AA552" i="8" s="1"/>
  <c r="AA457" i="8" a="1"/>
  <c r="AA457" i="8" s="1"/>
  <c r="AA421" i="8" a="1"/>
  <c r="AA421" i="8" s="1"/>
  <c r="AA362" i="8" a="1"/>
  <c r="AA362" i="8" s="1"/>
  <c r="AA365" i="8" a="1"/>
  <c r="AA365" i="8" s="1"/>
  <c r="AA180" i="8" a="1"/>
  <c r="AA180" i="8" s="1"/>
  <c r="AA1042" i="8" a="1"/>
  <c r="AA1042" i="8" s="1"/>
  <c r="AA991" i="8" a="1"/>
  <c r="AA991" i="8" s="1"/>
  <c r="AA905" i="8" a="1"/>
  <c r="AA905" i="8" s="1"/>
  <c r="AA846" i="8" a="1"/>
  <c r="AA846" i="8" s="1"/>
  <c r="AA784" i="8" a="1"/>
  <c r="AA784" i="8" s="1"/>
  <c r="AA718" i="8" a="1"/>
  <c r="AA718" i="8" s="1"/>
  <c r="AA661" i="8" a="1"/>
  <c r="AA661" i="8" s="1"/>
  <c r="AA580" i="8" a="1"/>
  <c r="AA580" i="8" s="1"/>
  <c r="AA565" i="8" a="1"/>
  <c r="AA565" i="8" s="1"/>
  <c r="AA511" i="8" a="1"/>
  <c r="AA511" i="8" s="1"/>
  <c r="AA393" i="8" a="1"/>
  <c r="AA393" i="8" s="1"/>
  <c r="AA335" i="8" a="1"/>
  <c r="AA335" i="8" s="1"/>
  <c r="AA178" i="8" a="1"/>
  <c r="AA178" i="8" s="1"/>
  <c r="AA187" i="8" a="1"/>
  <c r="AA187" i="8" s="1"/>
  <c r="AA98" i="8" a="1"/>
  <c r="AA98" i="8" s="1"/>
  <c r="AA177" i="8" a="1"/>
  <c r="AA177" i="8" s="1"/>
  <c r="AA120" i="8" a="1"/>
  <c r="AA120" i="8" s="1"/>
  <c r="AA210" i="8" a="1"/>
  <c r="AA210" i="8" s="1"/>
  <c r="AA198" i="8" a="1"/>
  <c r="AA198" i="8" s="1"/>
  <c r="AA189" i="8" a="1"/>
  <c r="AA189" i="8" s="1"/>
  <c r="AA232" i="8" a="1"/>
  <c r="AA232" i="8" s="1"/>
  <c r="AA181" i="8" a="1"/>
  <c r="AA181" i="8" s="1"/>
  <c r="AA233" i="8" a="1"/>
  <c r="AA233" i="8" s="1"/>
  <c r="AA226" i="8" a="1"/>
  <c r="AA226" i="8" s="1"/>
  <c r="AA192" i="8" a="1"/>
  <c r="AA192" i="8" s="1"/>
  <c r="AA134" i="8" a="1"/>
  <c r="AA134" i="8" s="1"/>
  <c r="AA26" i="8" a="1"/>
  <c r="AA26" i="8" s="1"/>
  <c r="AA87" i="8" a="1"/>
  <c r="AA87" i="8" s="1"/>
  <c r="AA92" i="8" a="1"/>
  <c r="AA92" i="8" s="1"/>
  <c r="AA65" i="8" a="1"/>
  <c r="AA65" i="8" s="1"/>
  <c r="AA72" i="8" a="1"/>
  <c r="AA72" i="8" s="1"/>
  <c r="AA93" i="8" a="1"/>
  <c r="AA93" i="8" s="1"/>
  <c r="AA83" i="8" a="1"/>
  <c r="AA83" i="8" s="1"/>
  <c r="AA18" i="8" a="1"/>
  <c r="AA18" i="8" s="1"/>
  <c r="AA7" i="8" a="1"/>
  <c r="AA7" i="8" s="1"/>
  <c r="AA79" i="8" a="1"/>
  <c r="AA79" i="8" s="1"/>
  <c r="AA1063" i="8" a="1"/>
  <c r="AA1063" i="8" s="1"/>
  <c r="AA987" i="8" a="1"/>
  <c r="AA987" i="8" s="1"/>
  <c r="AA933" i="8" a="1"/>
  <c r="AA933" i="8" s="1"/>
  <c r="AA864" i="8" a="1"/>
  <c r="AA864" i="8" s="1"/>
  <c r="AA825" i="8" a="1"/>
  <c r="AA825" i="8" s="1"/>
  <c r="AA757" i="8" a="1"/>
  <c r="AA757" i="8" s="1"/>
  <c r="AA650" i="8" a="1"/>
  <c r="AA650" i="8" s="1"/>
  <c r="AA638" i="8" a="1"/>
  <c r="AA638" i="8" s="1"/>
  <c r="AA551" i="8" a="1"/>
  <c r="AA551" i="8" s="1"/>
  <c r="AA469" i="8" a="1"/>
  <c r="AA469" i="8" s="1"/>
  <c r="AA401" i="8" a="1"/>
  <c r="AA401" i="8" s="1"/>
  <c r="AA299" i="8" a="1"/>
  <c r="AA299" i="8" s="1"/>
  <c r="AA294" i="8" a="1"/>
  <c r="AA294" i="8" s="1"/>
  <c r="AA246" i="8" a="1"/>
  <c r="AA246" i="8" s="1"/>
  <c r="AA196" i="8" a="1"/>
  <c r="AA196" i="8" s="1"/>
  <c r="AA1028" i="8" a="1"/>
  <c r="AA1028" i="8" s="1"/>
  <c r="AA990" i="8" a="1"/>
  <c r="AA990" i="8" s="1"/>
  <c r="AA910" i="8" a="1"/>
  <c r="AA910" i="8" s="1"/>
  <c r="AA840" i="8" a="1"/>
  <c r="AA840" i="8" s="1"/>
  <c r="AA771" i="8" a="1"/>
  <c r="AA771" i="8" s="1"/>
  <c r="AA720" i="8" a="1"/>
  <c r="AA720" i="8" s="1"/>
  <c r="AA606" i="8" a="1"/>
  <c r="AA606" i="8" s="1"/>
  <c r="AA583" i="8" a="1"/>
  <c r="AA583" i="8" s="1"/>
  <c r="AA532" i="8" a="1"/>
  <c r="AA532" i="8" s="1"/>
  <c r="AA446" i="8" a="1"/>
  <c r="AA446" i="8" s="1"/>
  <c r="AA344" i="8" a="1"/>
  <c r="AA344" i="8" s="1"/>
  <c r="AA388" i="8" a="1"/>
  <c r="AA388" i="8" s="1"/>
  <c r="AA183" i="8" a="1"/>
  <c r="AA183" i="8" s="1"/>
  <c r="AA295" i="8" a="1"/>
  <c r="AA295" i="8" s="1"/>
  <c r="AA106" i="8" a="1"/>
  <c r="AA106" i="8" s="1"/>
  <c r="AA1045" i="8" a="1"/>
  <c r="AA1045" i="8" s="1"/>
  <c r="AA995" i="8" a="1"/>
  <c r="AA995" i="8" s="1"/>
  <c r="AA908" i="8" a="1"/>
  <c r="AA908" i="8" s="1"/>
  <c r="AA865" i="8" a="1"/>
  <c r="AA865" i="8" s="1"/>
  <c r="AA786" i="8" a="1"/>
  <c r="AA786" i="8" s="1"/>
  <c r="AA708" i="8" a="1"/>
  <c r="AA708" i="8" s="1"/>
  <c r="AA647" i="8" a="1"/>
  <c r="AA647" i="8" s="1"/>
  <c r="AA585" i="8" a="1"/>
  <c r="AA585" i="8" s="1"/>
  <c r="AA480" i="8" a="1"/>
  <c r="AA480" i="8" s="1"/>
  <c r="AA510" i="8" a="1"/>
  <c r="AA510" i="8" s="1"/>
  <c r="AA402" i="8" a="1"/>
  <c r="AA402" i="8" s="1"/>
  <c r="AA334" i="8" a="1"/>
  <c r="AA334" i="8" s="1"/>
  <c r="AA237" i="8" a="1"/>
  <c r="AA237" i="8" s="1"/>
  <c r="AA194" i="8" a="1"/>
  <c r="AA194" i="8" s="1"/>
  <c r="AA1069" i="8" a="1"/>
  <c r="AA1069" i="8" s="1"/>
  <c r="AA1017" i="8" a="1"/>
  <c r="AA1017" i="8" s="1"/>
  <c r="AA943" i="8" a="1"/>
  <c r="AA943" i="8" s="1"/>
  <c r="AA885" i="8" a="1"/>
  <c r="AA885" i="8" s="1"/>
  <c r="AA815" i="8" a="1"/>
  <c r="AA815" i="8" s="1"/>
  <c r="AA714" i="8" a="1"/>
  <c r="AA714" i="8" s="1"/>
  <c r="AA664" i="8" a="1"/>
  <c r="AA664" i="8" s="1"/>
  <c r="AA655" i="8" a="1"/>
  <c r="AA655" i="8" s="1"/>
  <c r="AA571" i="8" a="1"/>
  <c r="AA571" i="8" s="1"/>
  <c r="AA479" i="8" a="1"/>
  <c r="AA479" i="8" s="1"/>
  <c r="AA399" i="8" a="1"/>
  <c r="AA399" i="8" s="1"/>
  <c r="AA374" i="8" a="1"/>
  <c r="AA374" i="8" s="1"/>
  <c r="AA377" i="8" a="1"/>
  <c r="AA377" i="8" s="1"/>
  <c r="AA1018" i="8" a="1"/>
  <c r="AA1018" i="8" s="1"/>
  <c r="AA971" i="8" a="1"/>
  <c r="AA971" i="8" s="1"/>
  <c r="AA923" i="8" a="1"/>
  <c r="AA923" i="8" s="1"/>
  <c r="AA831" i="8" a="1"/>
  <c r="AA831" i="8" s="1"/>
  <c r="AA761" i="8" a="1"/>
  <c r="AA761" i="8" s="1"/>
  <c r="AA752" i="8" a="1"/>
  <c r="AA752" i="8" s="1"/>
  <c r="AA590" i="8" a="1"/>
  <c r="AA590" i="8" s="1"/>
  <c r="AA578" i="8" a="1"/>
  <c r="AA578" i="8" s="1"/>
  <c r="AA519" i="8" a="1"/>
  <c r="AA519" i="8" s="1"/>
  <c r="AA509" i="8" a="1"/>
  <c r="AA509" i="8" s="1"/>
  <c r="AA325" i="8" a="1"/>
  <c r="AA325" i="8" s="1"/>
  <c r="AA376" i="8" a="1"/>
  <c r="AA376" i="8" s="1"/>
  <c r="AA158" i="8" a="1"/>
  <c r="AA158" i="8" s="1"/>
  <c r="AA133" i="8" a="1"/>
  <c r="AA133" i="8" s="1"/>
  <c r="AA1008" i="8" a="1"/>
  <c r="AA1008" i="8" s="1"/>
  <c r="AA941" i="8" a="1"/>
  <c r="AA941" i="8" s="1"/>
  <c r="AA871" i="8" a="1"/>
  <c r="AA871" i="8" s="1"/>
  <c r="AA821" i="8" a="1"/>
  <c r="AA821" i="8" s="1"/>
  <c r="AA760" i="8" a="1"/>
  <c r="AA760" i="8" s="1"/>
  <c r="AA695" i="8" a="1"/>
  <c r="AA695" i="8" s="1"/>
  <c r="AA637" i="8" a="1"/>
  <c r="AA637" i="8" s="1"/>
  <c r="AA557" i="8" a="1"/>
  <c r="AA557" i="8" s="1"/>
  <c r="AA445" i="8" a="1"/>
  <c r="AA445" i="8" s="1"/>
  <c r="AA453" i="8" a="1"/>
  <c r="AA453" i="8" s="1"/>
  <c r="AA307" i="8" a="1"/>
  <c r="AA307" i="8" s="1"/>
  <c r="AA332" i="8" a="1"/>
  <c r="AA332" i="8" s="1"/>
  <c r="AA249" i="8" a="1"/>
  <c r="AA249" i="8" s="1"/>
  <c r="AA1047" i="8" a="1"/>
  <c r="AA1047" i="8" s="1"/>
  <c r="AA960" i="8" a="1"/>
  <c r="AA960" i="8" s="1"/>
  <c r="AA947" i="8" a="1"/>
  <c r="AA947" i="8" s="1"/>
  <c r="AA835" i="8" a="1"/>
  <c r="AA835" i="8" s="1"/>
  <c r="AA809" i="8" a="1"/>
  <c r="AA809" i="8" s="1"/>
  <c r="AA711" i="8" a="1"/>
  <c r="AA711" i="8" s="1"/>
  <c r="AA668" i="8" a="1"/>
  <c r="AA668" i="8" s="1"/>
  <c r="AA656" i="8" a="1"/>
  <c r="AA656" i="8" s="1"/>
  <c r="AA566" i="8" a="1"/>
  <c r="AA566" i="8" s="1"/>
  <c r="AA484" i="8" a="1"/>
  <c r="AA484" i="8" s="1"/>
  <c r="AA418" i="8" a="1"/>
  <c r="AA418" i="8" s="1"/>
  <c r="AA308" i="8" a="1"/>
  <c r="AA308" i="8" s="1"/>
  <c r="AA327" i="8" a="1"/>
  <c r="AA327" i="8" s="1"/>
  <c r="AA261" i="8" a="1"/>
  <c r="AA261" i="8" s="1"/>
  <c r="AA1052" i="8" a="1"/>
  <c r="AA1052" i="8" s="1"/>
  <c r="AA981" i="8" a="1"/>
  <c r="AA981" i="8" s="1"/>
  <c r="AA899" i="8" a="1"/>
  <c r="AA899" i="8" s="1"/>
  <c r="AA853" i="8" a="1"/>
  <c r="AA853" i="8" s="1"/>
  <c r="AA794" i="8" a="1"/>
  <c r="AA794" i="8" s="1"/>
  <c r="AA730" i="8" a="1"/>
  <c r="AA730" i="8" s="1"/>
  <c r="AA676" i="8" a="1"/>
  <c r="AA676" i="8" s="1"/>
  <c r="AA588" i="8" a="1"/>
  <c r="AA588" i="8" s="1"/>
  <c r="AA502" i="8" a="1"/>
  <c r="AA502" i="8" s="1"/>
  <c r="AA444" i="8" a="1"/>
  <c r="AA444" i="8" s="1"/>
  <c r="AA428" i="8" a="1"/>
  <c r="AA428" i="8" s="1"/>
  <c r="AA296" i="8" a="1"/>
  <c r="AA296" i="8" s="1"/>
  <c r="AA264" i="8" a="1"/>
  <c r="AA264" i="8" s="1"/>
  <c r="AA238" i="8" a="1"/>
  <c r="AA238" i="8" s="1"/>
  <c r="AA140" i="8" a="1"/>
  <c r="AA140" i="8" s="1"/>
  <c r="AA231" i="8" a="1"/>
  <c r="AA231" i="8" s="1"/>
  <c r="AA131" i="8" a="1"/>
  <c r="AA131" i="8" s="1"/>
  <c r="AA290" i="8" a="1"/>
  <c r="AA290" i="8" s="1"/>
  <c r="AA109" i="8" a="1"/>
  <c r="AA109" i="8" s="1"/>
  <c r="AA265" i="8" a="1"/>
  <c r="AA265" i="8" s="1"/>
  <c r="AA224" i="8" a="1"/>
  <c r="AA224" i="8" s="1"/>
  <c r="AA117" i="8" a="1"/>
  <c r="AA117" i="8" s="1"/>
  <c r="AA154" i="8" a="1"/>
  <c r="AA154" i="8" s="1"/>
  <c r="AA253" i="8" a="1"/>
  <c r="AA253" i="8" s="1"/>
  <c r="AA219" i="8" a="1"/>
  <c r="AA219" i="8" s="1"/>
  <c r="AA122" i="8" a="1"/>
  <c r="AA122" i="8" s="1"/>
  <c r="AA71" i="8" a="1"/>
  <c r="AA71" i="8" s="1"/>
  <c r="AA21" i="8" a="1"/>
  <c r="AA21" i="8" s="1"/>
  <c r="AA14" i="8" a="1"/>
  <c r="AA14" i="8" s="1"/>
  <c r="AA88" i="8" a="1"/>
  <c r="AA88" i="8" s="1"/>
  <c r="AA75" i="8" a="1"/>
  <c r="AA75" i="8" s="1"/>
  <c r="AA67" i="8" a="1"/>
  <c r="AA67" i="8" s="1"/>
  <c r="AA36" i="8" a="1"/>
  <c r="AA36" i="8" s="1"/>
  <c r="AA84" i="8" a="1"/>
  <c r="AA84" i="8" s="1"/>
  <c r="AA90" i="8" a="1"/>
  <c r="AA90" i="8" s="1"/>
  <c r="AA55" i="8" a="1"/>
  <c r="AA55" i="8" s="1"/>
  <c r="AA1064" i="8" a="1"/>
  <c r="AA1064" i="8" s="1"/>
  <c r="AA967" i="8" a="1"/>
  <c r="AA967" i="8" s="1"/>
  <c r="AA935" i="8" a="1"/>
  <c r="AA935" i="8" s="1"/>
  <c r="AA859" i="8" a="1"/>
  <c r="AA859" i="8" s="1"/>
  <c r="AA782" i="8" a="1"/>
  <c r="AA782" i="8" s="1"/>
  <c r="AA701" i="8" a="1"/>
  <c r="AA701" i="8" s="1"/>
  <c r="AA609" i="8" a="1"/>
  <c r="AA609" i="8" s="1"/>
  <c r="AA642" i="8" a="1"/>
  <c r="AA642" i="8" s="1"/>
  <c r="AA531" i="8" a="1"/>
  <c r="AA531" i="8" s="1"/>
  <c r="AA481" i="8" a="1"/>
  <c r="AA481" i="8" s="1"/>
  <c r="AA403" i="8" a="1"/>
  <c r="AA403" i="8" s="1"/>
  <c r="AA371" i="8" a="1"/>
  <c r="AA371" i="8" s="1"/>
  <c r="AA235" i="8" a="1"/>
  <c r="AA235" i="8" s="1"/>
  <c r="AA182" i="8" a="1"/>
  <c r="AA182" i="8" s="1"/>
  <c r="AA70" i="8" a="1"/>
  <c r="AA70" i="8" s="1"/>
  <c r="AA1034" i="8" a="1"/>
  <c r="AA1034" i="8" s="1"/>
  <c r="AA958" i="8" a="1"/>
  <c r="AA958" i="8" s="1"/>
  <c r="AA897" i="8" a="1"/>
  <c r="AA897" i="8" s="1"/>
  <c r="AA813" i="8" a="1"/>
  <c r="AA813" i="8" s="1"/>
  <c r="AA729" i="8" a="1"/>
  <c r="AA729" i="8" s="1"/>
  <c r="AA707" i="8" a="1"/>
  <c r="AA707" i="8" s="1"/>
  <c r="AA669" i="8" a="1"/>
  <c r="AA669" i="8" s="1"/>
  <c r="AA535" i="8" a="1"/>
  <c r="AA535" i="8" s="1"/>
  <c r="AA477" i="8" a="1"/>
  <c r="AA477" i="8" s="1"/>
  <c r="AA485" i="8" a="1"/>
  <c r="AA485" i="8" s="1"/>
  <c r="AA339" i="8" a="1"/>
  <c r="AA339" i="8" s="1"/>
  <c r="AA356" i="8" a="1"/>
  <c r="AA356" i="8" s="1"/>
  <c r="AA119" i="8" a="1"/>
  <c r="AA119" i="8" s="1"/>
  <c r="AA216" i="8" a="1"/>
  <c r="AA216" i="8" s="1"/>
  <c r="AA96" i="8" a="1"/>
  <c r="AA96" i="8" s="1"/>
  <c r="AA1024" i="8" a="1"/>
  <c r="AA1024" i="8" s="1"/>
  <c r="AA980" i="8" a="1"/>
  <c r="AA980" i="8" s="1"/>
  <c r="AA901" i="8" a="1"/>
  <c r="AA901" i="8" s="1"/>
  <c r="AA830" i="8" a="1"/>
  <c r="AA830" i="8" s="1"/>
  <c r="AA767" i="8" a="1"/>
  <c r="AA767" i="8" s="1"/>
  <c r="AA710" i="8" a="1"/>
  <c r="AA710" i="8" s="1"/>
  <c r="AA605" i="8" a="1"/>
  <c r="AA605" i="8" s="1"/>
  <c r="AA582" i="8" a="1"/>
  <c r="AA582" i="8" s="1"/>
  <c r="AA521" i="8" a="1"/>
  <c r="AA521" i="8" s="1"/>
  <c r="AA524" i="8" a="1"/>
  <c r="AA524" i="8" s="1"/>
  <c r="AA341" i="8" a="1"/>
  <c r="AA341" i="8" s="1"/>
  <c r="AA384" i="8" a="1"/>
  <c r="AA384" i="8" s="1"/>
  <c r="AA173" i="8" a="1"/>
  <c r="AA173" i="8" s="1"/>
  <c r="AA270" i="8" a="1"/>
  <c r="AA270" i="8" s="1"/>
  <c r="AA1058" i="8" a="1"/>
  <c r="AA1058" i="8" s="1"/>
  <c r="AA985" i="8" a="1"/>
  <c r="AA985" i="8" s="1"/>
  <c r="AA921" i="8" a="1"/>
  <c r="AA921" i="8" s="1"/>
  <c r="AA857" i="8" a="1"/>
  <c r="AA857" i="8" s="1"/>
  <c r="AA814" i="8" a="1"/>
  <c r="AA814" i="8" s="1"/>
  <c r="AA734" i="8" a="1"/>
  <c r="AA734" i="8" s="1"/>
  <c r="AA689" i="8" a="1"/>
  <c r="AA689" i="8" s="1"/>
  <c r="AA677" i="8" a="1"/>
  <c r="AA677" i="8" s="1"/>
  <c r="AA554" i="8" a="1"/>
  <c r="AA554" i="8" s="1"/>
  <c r="AA515" i="8" a="1"/>
  <c r="AA515" i="8" s="1"/>
  <c r="AA425" i="8" a="1"/>
  <c r="AA425" i="8" s="1"/>
  <c r="AA337" i="8" a="1"/>
  <c r="AA337" i="8" s="1"/>
  <c r="AA127" i="8" a="1"/>
  <c r="AA127" i="8" s="1"/>
  <c r="AA1013" i="8" a="1"/>
  <c r="AA1013" i="8" s="1"/>
  <c r="AA950" i="8" a="1"/>
  <c r="AA950" i="8" s="1"/>
  <c r="AA887" i="8" a="1"/>
  <c r="AA887" i="8" s="1"/>
  <c r="AA791" i="8" a="1"/>
  <c r="AA791" i="8" s="1"/>
  <c r="AA702" i="8" a="1"/>
  <c r="AA702" i="8" s="1"/>
  <c r="AA691" i="8" a="1"/>
  <c r="AA691" i="8" s="1"/>
  <c r="AA648" i="8" a="1"/>
  <c r="AA648" i="8" s="1"/>
  <c r="AA562" i="8" a="1"/>
  <c r="AA562" i="8" s="1"/>
  <c r="AA450" i="8" a="1"/>
  <c r="AA450" i="8" s="1"/>
  <c r="AA458" i="8" a="1"/>
  <c r="AA458" i="8" s="1"/>
  <c r="AA310" i="8" a="1"/>
  <c r="AA310" i="8" s="1"/>
  <c r="AA345" i="8" a="1"/>
  <c r="AA345" i="8" s="1"/>
  <c r="AA259" i="8" a="1"/>
  <c r="AA259" i="8" s="1"/>
  <c r="AA1071" i="8" a="1"/>
  <c r="AA1071" i="8" s="1"/>
  <c r="AA1015" i="8" a="1"/>
  <c r="AA1015" i="8" s="1"/>
  <c r="AA926" i="8" a="1"/>
  <c r="AA926" i="8" s="1"/>
  <c r="AA873" i="8" a="1"/>
  <c r="AA873" i="8" s="1"/>
  <c r="AA819" i="8" a="1"/>
  <c r="AA819" i="8" s="1"/>
  <c r="AA699" i="8" a="1"/>
  <c r="AA699" i="8" s="1"/>
  <c r="AA646" i="8" a="1"/>
  <c r="AA646" i="8" s="1"/>
  <c r="AA641" i="8" a="1"/>
  <c r="AA641" i="8" s="1"/>
  <c r="AA559" i="8" a="1"/>
  <c r="AA559" i="8" s="1"/>
  <c r="AA462" i="8" a="1"/>
  <c r="AA462" i="8" s="1"/>
  <c r="AA436" i="8" a="1"/>
  <c r="AA436" i="8" s="1"/>
  <c r="AA366" i="8" a="1"/>
  <c r="AA366" i="8" s="1"/>
  <c r="AA369" i="8" a="1"/>
  <c r="AA369" i="8" s="1"/>
  <c r="AA185" i="8" a="1"/>
  <c r="AA185" i="8" s="1"/>
  <c r="AA1059" i="8" a="1"/>
  <c r="AA1059" i="8" s="1"/>
  <c r="AA984" i="8" a="1"/>
  <c r="AA984" i="8" s="1"/>
  <c r="AA946" i="8" a="1"/>
  <c r="AA946" i="8" s="1"/>
  <c r="AA872" i="8" a="1"/>
  <c r="AA872" i="8" s="1"/>
  <c r="AA763" i="8" a="1"/>
  <c r="AA763" i="8" s="1"/>
  <c r="AA716" i="8" a="1"/>
  <c r="AA716" i="8" s="1"/>
  <c r="AA611" i="8" a="1"/>
  <c r="AA611" i="8" s="1"/>
  <c r="AA660" i="8" a="1"/>
  <c r="AA660" i="8" s="1"/>
  <c r="AA546" i="8" a="1"/>
  <c r="AA546" i="8" s="1"/>
  <c r="AA496" i="8" a="1"/>
  <c r="AA496" i="8" s="1"/>
  <c r="AA420" i="8" a="1"/>
  <c r="AA420" i="8" s="1"/>
  <c r="AA379" i="8" a="1"/>
  <c r="AA379" i="8" s="1"/>
  <c r="AA252" i="8" a="1"/>
  <c r="AA252" i="8" s="1"/>
  <c r="AA118" i="8" a="1"/>
  <c r="AA118" i="8" s="1"/>
  <c r="AA1016" i="8" a="1"/>
  <c r="AA1016" i="8" s="1"/>
  <c r="AA951" i="8" a="1"/>
  <c r="AA951" i="8" s="1"/>
  <c r="AA892" i="8" a="1"/>
  <c r="AA892" i="8" s="1"/>
  <c r="AA855" i="8" a="1"/>
  <c r="AA855" i="8" s="1"/>
  <c r="AA781" i="8" a="1"/>
  <c r="AA781" i="8" s="1"/>
  <c r="AA742" i="8" a="1"/>
  <c r="AA742" i="8" s="1"/>
  <c r="AA621" i="8" a="1"/>
  <c r="AA621" i="8" s="1"/>
  <c r="AA599" i="8" a="1"/>
  <c r="AA599" i="8" s="1"/>
  <c r="AA438" i="8" a="1"/>
  <c r="AA438" i="8" s="1"/>
  <c r="AA463" i="8" a="1"/>
  <c r="AA463" i="8" s="1"/>
  <c r="AA397" i="8" a="1"/>
  <c r="AA397" i="8" s="1"/>
  <c r="AA293" i="8" a="1"/>
  <c r="AA293" i="8" s="1"/>
  <c r="AA200" i="8" a="1"/>
  <c r="AA200" i="8" s="1"/>
  <c r="AA288" i="8" a="1"/>
  <c r="AA288" i="8" s="1"/>
  <c r="AA123" i="8" a="1"/>
  <c r="AA123" i="8" s="1"/>
  <c r="AA279" i="8" a="1"/>
  <c r="AA279" i="8" s="1"/>
  <c r="AA112" i="8" a="1"/>
  <c r="AA112" i="8" s="1"/>
  <c r="AA281" i="8" a="1"/>
  <c r="AA281" i="8" s="1"/>
  <c r="AA105" i="8" a="1"/>
  <c r="AA105" i="8" s="1"/>
  <c r="AA169" i="8" a="1"/>
  <c r="AA169" i="8" s="1"/>
  <c r="AA251" i="8" a="1"/>
  <c r="AA251" i="8" s="1"/>
  <c r="AA103" i="8" a="1"/>
  <c r="AA103" i="8" s="1"/>
  <c r="AA245" i="8" a="1"/>
  <c r="AA245" i="8" s="1"/>
  <c r="AA167" i="8" a="1"/>
  <c r="AA167" i="8" s="1"/>
  <c r="AA248" i="8" a="1"/>
  <c r="AA248" i="8" s="1"/>
  <c r="AA129" i="8" a="1"/>
  <c r="AA129" i="8" s="1"/>
  <c r="AA8" i="8" a="1"/>
  <c r="AA8" i="8" s="1"/>
  <c r="AA32" i="8" a="1"/>
  <c r="AA32" i="8" s="1"/>
  <c r="AA22" i="8" a="1"/>
  <c r="AA22" i="8" s="1"/>
  <c r="AA34" i="8" a="1"/>
  <c r="AA34" i="8" s="1"/>
  <c r="AA12" i="8" a="1"/>
  <c r="AA12" i="8" s="1"/>
  <c r="AA69" i="8" a="1"/>
  <c r="AA69" i="8" s="1"/>
  <c r="AA44" i="8" a="1"/>
  <c r="AA44" i="8" s="1"/>
  <c r="AA17" i="8" a="1"/>
  <c r="AA17" i="8" s="1"/>
  <c r="AA38" i="8" a="1"/>
  <c r="AA38" i="8" s="1"/>
  <c r="AA63" i="8" a="1"/>
  <c r="AA63" i="8" s="1"/>
  <c r="AA1032" i="8" a="1"/>
  <c r="AA1032" i="8" s="1"/>
  <c r="AA986" i="8" a="1"/>
  <c r="AA986" i="8" s="1"/>
  <c r="AA900" i="8" a="1"/>
  <c r="AA900" i="8" s="1"/>
  <c r="AA839" i="8" a="1"/>
  <c r="AA839" i="8" s="1"/>
  <c r="AA806" i="8" a="1"/>
  <c r="AA806" i="8" s="1"/>
  <c r="AA713" i="8" a="1"/>
  <c r="AA713" i="8" s="1"/>
  <c r="AA654" i="8" a="1"/>
  <c r="AA654" i="8" s="1"/>
  <c r="AA573" i="8" a="1"/>
  <c r="AA573" i="8" s="1"/>
  <c r="AA555" i="8" a="1"/>
  <c r="AA555" i="8" s="1"/>
  <c r="AA498" i="8" a="1"/>
  <c r="AA498" i="8" s="1"/>
  <c r="AA437" i="8" a="1"/>
  <c r="AA437" i="8" s="1"/>
  <c r="AA322" i="8" a="1"/>
  <c r="AA322" i="8" s="1"/>
  <c r="AA171" i="8" a="1"/>
  <c r="AA171" i="8" s="1"/>
  <c r="AA273" i="8" a="1"/>
  <c r="AA273" i="8" s="1"/>
  <c r="AA78" i="8" a="1"/>
  <c r="AA78" i="8" s="1"/>
  <c r="AA1014" i="8" a="1"/>
  <c r="AA1014" i="8" s="1"/>
  <c r="AA907" i="8" a="1"/>
  <c r="AA907" i="8" s="1"/>
  <c r="AA880" i="8" a="1"/>
  <c r="AA880" i="8" s="1"/>
  <c r="AA833" i="8" a="1"/>
  <c r="AA833" i="8" s="1"/>
  <c r="AA731" i="8" a="1"/>
  <c r="AA731" i="8" s="1"/>
  <c r="AA678" i="8" a="1"/>
  <c r="AA678" i="8" s="1"/>
  <c r="AA673" i="8" a="1"/>
  <c r="AA673" i="8" s="1"/>
  <c r="AA528" i="8" a="1"/>
  <c r="AA528" i="8" s="1"/>
  <c r="AA494" i="8" a="1"/>
  <c r="AA494" i="8" s="1"/>
  <c r="AA416" i="8" a="1"/>
  <c r="AA416" i="8" s="1"/>
  <c r="AA382" i="8" a="1"/>
  <c r="AA382" i="8" s="1"/>
  <c r="AA385" i="8" a="1"/>
  <c r="AA385" i="8" s="1"/>
  <c r="AA217" i="8" a="1"/>
  <c r="AA217" i="8" s="1"/>
  <c r="AA152" i="8" a="1"/>
  <c r="AA152" i="8" s="1"/>
  <c r="AA111" i="8" a="1"/>
  <c r="AA111" i="8" s="1"/>
  <c r="AA1019" i="8" a="1"/>
  <c r="AA1019" i="8" s="1"/>
  <c r="AA966" i="8" a="1"/>
  <c r="AA966" i="8" s="1"/>
  <c r="AA891" i="8" a="1"/>
  <c r="AA891" i="8" s="1"/>
  <c r="AA808" i="8" a="1"/>
  <c r="AA808" i="8" s="1"/>
  <c r="AA719" i="8" a="1"/>
  <c r="AA719" i="8" s="1"/>
  <c r="AA700" i="8" a="1"/>
  <c r="AA700" i="8" s="1"/>
  <c r="AA662" i="8" a="1"/>
  <c r="AA662" i="8" s="1"/>
  <c r="AA577" i="8" a="1"/>
  <c r="AA577" i="8" s="1"/>
  <c r="AA467" i="8" a="1"/>
  <c r="AA467" i="8" s="1"/>
  <c r="AA475" i="8" a="1"/>
  <c r="AA475" i="8" s="1"/>
  <c r="AA326" i="8" a="1"/>
  <c r="AA326" i="8" s="1"/>
  <c r="AA352" i="8" a="1"/>
  <c r="AA352" i="8" s="1"/>
  <c r="AA284" i="8" a="1"/>
  <c r="AA284" i="8" s="1"/>
  <c r="AA206" i="8" a="1"/>
  <c r="AA206" i="8" s="1"/>
  <c r="AA1065" i="8" a="1"/>
  <c r="AA1065" i="8" s="1"/>
  <c r="AA965" i="8" a="1"/>
  <c r="AA965" i="8" s="1"/>
  <c r="AA930" i="8" a="1"/>
  <c r="AA930" i="8" s="1"/>
  <c r="AA837" i="8" a="1"/>
  <c r="AA837" i="8" s="1"/>
  <c r="AA785" i="8" a="1"/>
  <c r="AA785" i="8" s="1"/>
  <c r="AA746" i="8" a="1"/>
  <c r="AA746" i="8" s="1"/>
  <c r="AA627" i="8" a="1"/>
  <c r="AA627" i="8" s="1"/>
  <c r="AA681" i="8" a="1"/>
  <c r="AA681" i="8" s="1"/>
  <c r="AA529" i="8" a="1"/>
  <c r="AA529" i="8" s="1"/>
  <c r="AA527" i="8" a="1"/>
  <c r="AA527" i="8" s="1"/>
  <c r="AA441" i="8" a="1"/>
  <c r="AA441" i="8" s="1"/>
  <c r="AA280" i="8" a="1"/>
  <c r="AA280" i="8" s="1"/>
  <c r="AA1070" i="8" a="1"/>
  <c r="AA1070" i="8" s="1"/>
  <c r="AA1009" i="8" a="1"/>
  <c r="AA1009" i="8" s="1"/>
  <c r="AA936" i="8" a="1"/>
  <c r="AA936" i="8" s="1"/>
  <c r="AA879" i="8" a="1"/>
  <c r="AA879" i="8" s="1"/>
  <c r="AA829" i="8" a="1"/>
  <c r="AA829" i="8" s="1"/>
  <c r="AA709" i="8" a="1"/>
  <c r="AA709" i="8" s="1"/>
  <c r="AA653" i="8" a="1"/>
  <c r="AA653" i="8" s="1"/>
  <c r="AA652" i="8" a="1"/>
  <c r="AA652" i="8" s="1"/>
  <c r="AA569" i="8" a="1"/>
  <c r="AA569" i="8" s="1"/>
  <c r="AA472" i="8" a="1"/>
  <c r="AA472" i="8" s="1"/>
  <c r="AA394" i="8" a="1"/>
  <c r="AA394" i="8" s="1"/>
  <c r="AA370" i="8" a="1"/>
  <c r="AA370" i="8" s="1"/>
  <c r="AA373" i="8" a="1"/>
  <c r="AA373" i="8" s="1"/>
  <c r="AA195" i="8" a="1"/>
  <c r="AA195" i="8" s="1"/>
  <c r="AA1048" i="8" a="1"/>
  <c r="AA1048" i="8" s="1"/>
  <c r="AA970" i="8" a="1"/>
  <c r="AA970" i="8" s="1"/>
  <c r="AA906" i="8" a="1"/>
  <c r="AA906" i="8" s="1"/>
  <c r="AA842" i="8" a="1"/>
  <c r="AA842" i="8" s="1"/>
  <c r="AA797" i="8" a="1"/>
  <c r="AA797" i="8" s="1"/>
  <c r="AA721" i="8" a="1"/>
  <c r="AA721" i="8" s="1"/>
  <c r="AA671" i="8" a="1"/>
  <c r="AA671" i="8" s="1"/>
  <c r="AA659" i="8" a="1"/>
  <c r="AA659" i="8" s="1"/>
  <c r="AA539" i="8" a="1"/>
  <c r="AA539" i="8" s="1"/>
  <c r="AA491" i="8" a="1"/>
  <c r="AA491" i="8" s="1"/>
  <c r="AA423" i="8" a="1"/>
  <c r="AA423" i="8" s="1"/>
  <c r="AA321" i="8" a="1"/>
  <c r="AA321" i="8" s="1"/>
  <c r="AA330" i="8" a="1"/>
  <c r="AA330" i="8" s="1"/>
  <c r="AA271" i="8" a="1"/>
  <c r="AA271" i="8" s="1"/>
  <c r="AA1043" i="8" a="1"/>
  <c r="AA1043" i="8" s="1"/>
  <c r="AA964" i="8" a="1"/>
  <c r="AA964" i="8" s="1"/>
  <c r="AA915" i="8" a="1"/>
  <c r="AA915" i="8" s="1"/>
  <c r="AA856" i="8" a="1"/>
  <c r="AA856" i="8" s="1"/>
  <c r="AA789" i="8" a="1"/>
  <c r="AA789" i="8" s="1"/>
  <c r="AA728" i="8" a="1"/>
  <c r="AA728" i="8" s="1"/>
  <c r="AA672" i="8" a="1"/>
  <c r="AA672" i="8" s="1"/>
  <c r="AA602" i="8" a="1"/>
  <c r="AA602" i="8" s="1"/>
  <c r="AA536" i="8" a="1"/>
  <c r="AA536" i="8" s="1"/>
  <c r="AA512" i="8" a="1"/>
  <c r="AA512" i="8" s="1"/>
  <c r="AA400" i="8" a="1"/>
  <c r="AA400" i="8" s="1"/>
  <c r="AA338" i="8" a="1"/>
  <c r="AA338" i="8" s="1"/>
  <c r="AA188" i="8" a="1"/>
  <c r="AA188" i="8" s="1"/>
  <c r="AA27" i="8" a="1"/>
  <c r="AA27" i="8" s="1"/>
  <c r="AA1036" i="8" a="1"/>
  <c r="AA1036" i="8" s="1"/>
  <c r="AA963" i="8" a="1"/>
  <c r="AA963" i="8" s="1"/>
  <c r="AA903" i="8" a="1"/>
  <c r="AA903" i="8" s="1"/>
  <c r="AA801" i="8" a="1"/>
  <c r="AA801" i="8" s="1"/>
  <c r="AA739" i="8" a="1"/>
  <c r="AA739" i="8" s="1"/>
  <c r="AA722" i="8" a="1"/>
  <c r="AA722" i="8" s="1"/>
  <c r="AA683" i="8" a="1"/>
  <c r="AA683" i="8" s="1"/>
  <c r="AA550" i="8" a="1"/>
  <c r="AA550" i="8" s="1"/>
  <c r="AA492" i="8" a="1"/>
  <c r="AA492" i="8" s="1"/>
  <c r="AA500" i="8" a="1"/>
  <c r="AA500" i="8" s="1"/>
  <c r="AA297" i="8" a="1"/>
  <c r="AA297" i="8" s="1"/>
  <c r="AA364" i="8" a="1"/>
  <c r="AA364" i="8" s="1"/>
  <c r="AA136" i="8" a="1"/>
  <c r="AA136" i="8" s="1"/>
  <c r="AA211" i="8" a="1"/>
  <c r="AA211" i="8" s="1"/>
  <c r="AA130" i="8" a="1"/>
  <c r="AA130" i="8" s="1"/>
  <c r="AA201" i="8" a="1"/>
  <c r="AA201" i="8" s="1"/>
  <c r="AA121" i="8" a="1"/>
  <c r="AA121" i="8" s="1"/>
  <c r="AA172" i="8" a="1"/>
  <c r="AA172" i="8" s="1"/>
  <c r="AA143" i="8" a="1"/>
  <c r="AA143" i="8" s="1"/>
  <c r="AA262" i="8" a="1"/>
  <c r="AA262" i="8" s="1"/>
  <c r="AA155" i="8" a="1"/>
  <c r="AA155" i="8" s="1"/>
  <c r="AA168" i="8" a="1"/>
  <c r="AA168" i="8" s="1"/>
  <c r="AA176" i="8" a="1"/>
  <c r="AA176" i="8" s="1"/>
  <c r="AA228" i="8" a="1"/>
  <c r="AA228" i="8" s="1"/>
  <c r="AA314" i="8" a="1"/>
  <c r="AA314" i="8" s="1"/>
  <c r="AA77" i="8" a="1"/>
  <c r="AA77" i="8" s="1"/>
  <c r="AA40" i="8" a="1"/>
  <c r="AA40" i="8" s="1"/>
  <c r="AA80" i="8" a="1"/>
  <c r="AA80" i="8" s="1"/>
  <c r="AA42" i="8" a="1"/>
  <c r="AA42" i="8" s="1"/>
  <c r="AA51" i="8" a="1"/>
  <c r="AA51" i="8" s="1"/>
  <c r="AA9" i="8" a="1"/>
  <c r="AA9" i="8" s="1"/>
  <c r="AA35" i="8" a="1"/>
  <c r="AA35" i="8" s="1"/>
  <c r="AA52" i="8" a="1"/>
  <c r="AA52" i="8" s="1"/>
  <c r="AA46" i="8" a="1"/>
  <c r="AA46" i="8" s="1"/>
  <c r="AA11" i="8" a="1"/>
  <c r="AA11" i="8" s="1"/>
  <c r="AA1050" i="8" a="1"/>
  <c r="AA1050" i="8" s="1"/>
  <c r="AA1003" i="8" a="1"/>
  <c r="AA1003" i="8" s="1"/>
  <c r="AA893" i="8" a="1"/>
  <c r="AA893" i="8" s="1"/>
  <c r="AA848" i="8" a="1"/>
  <c r="AA848" i="8" s="1"/>
  <c r="AA793" i="8" a="1"/>
  <c r="AA793" i="8" s="1"/>
  <c r="AA725" i="8" a="1"/>
  <c r="AA725" i="8" s="1"/>
  <c r="AA665" i="8" a="1"/>
  <c r="AA665" i="8" s="1"/>
  <c r="AA587" i="8" a="1"/>
  <c r="AA587" i="8" s="1"/>
  <c r="AA497" i="8" a="1"/>
  <c r="AA497" i="8" s="1"/>
  <c r="AA434" i="8" a="1"/>
  <c r="AA434" i="8" s="1"/>
  <c r="AA417" i="8" a="1"/>
  <c r="AA417" i="8" s="1"/>
  <c r="AA291" i="8" a="1"/>
  <c r="AA291" i="8" s="1"/>
  <c r="AA254" i="8" a="1"/>
  <c r="AA254" i="8" s="1"/>
  <c r="AA209" i="8" a="1"/>
  <c r="AA209" i="8" s="1"/>
  <c r="AA1049" i="8" a="1"/>
  <c r="AA1049" i="8" s="1"/>
  <c r="AA998" i="8" a="1"/>
  <c r="AA998" i="8" s="1"/>
  <c r="AA938" i="8" a="1"/>
  <c r="AA938" i="8" s="1"/>
  <c r="AA878" i="8" a="1"/>
  <c r="AA878" i="8" s="1"/>
  <c r="AA824" i="8" a="1"/>
  <c r="AA824" i="8" s="1"/>
  <c r="AA736" i="8" a="1"/>
  <c r="AA736" i="8" s="1"/>
  <c r="AA612" i="8" a="1"/>
  <c r="AA612" i="8" s="1"/>
  <c r="AA617" i="8" a="1"/>
  <c r="AA617" i="8" s="1"/>
  <c r="AA576" i="8" a="1"/>
  <c r="AA576" i="8" s="1"/>
  <c r="AA517" i="8" a="1"/>
  <c r="AA517" i="8" s="1"/>
  <c r="AA396" i="8" a="1"/>
  <c r="AA396" i="8" s="1"/>
  <c r="AA350" i="8" a="1"/>
  <c r="AA350" i="8" s="1"/>
  <c r="AA353" i="8" a="1"/>
  <c r="AA353" i="8" s="1"/>
  <c r="AA153" i="8" a="1"/>
  <c r="AA153" i="8" s="1"/>
  <c r="AA250" i="8" a="1"/>
  <c r="AA250" i="8" s="1"/>
  <c r="AA1073" i="8" a="1"/>
  <c r="AA1073" i="8" s="1"/>
  <c r="AA1007" i="8" a="1"/>
  <c r="AA1007" i="8" s="1"/>
  <c r="AA945" i="8" a="1"/>
  <c r="AA945" i="8" s="1"/>
  <c r="AA877" i="8" a="1"/>
  <c r="AA877" i="8" s="1"/>
  <c r="AA828" i="8" a="1"/>
  <c r="AA828" i="8" s="1"/>
  <c r="AA724" i="8" a="1"/>
  <c r="AA724" i="8" s="1"/>
  <c r="AA667" i="8" a="1"/>
  <c r="AA667" i="8" s="1"/>
  <c r="AA666" i="8" a="1"/>
  <c r="AA666" i="8" s="1"/>
  <c r="AA574" i="8" a="1"/>
  <c r="AA574" i="8" s="1"/>
  <c r="AA489" i="8" a="1"/>
  <c r="AA489" i="8" s="1"/>
  <c r="AA409" i="8" a="1"/>
  <c r="AA409" i="8" s="1"/>
  <c r="AA378" i="8" a="1"/>
  <c r="AA378" i="8" s="1"/>
  <c r="AA381" i="8" a="1"/>
  <c r="AA381" i="8" s="1"/>
  <c r="AA212" i="8" a="1"/>
  <c r="AA212" i="8" s="1"/>
  <c r="AA142" i="8" a="1"/>
  <c r="AA142" i="8" s="1"/>
  <c r="AA1025" i="8" a="1"/>
  <c r="AA1025" i="8" s="1"/>
  <c r="AA989" i="8" a="1"/>
  <c r="AA989" i="8" s="1"/>
  <c r="AA937" i="8" a="1"/>
  <c r="AA937" i="8" s="1"/>
  <c r="AA834" i="8" a="1"/>
  <c r="AA834" i="8" s="1"/>
  <c r="AA804" i="8" a="1"/>
  <c r="AA804" i="8" s="1"/>
  <c r="AA755" i="8" a="1"/>
  <c r="AA755" i="8" s="1"/>
  <c r="AA593" i="8" a="1"/>
  <c r="AA593" i="8" s="1"/>
  <c r="AA629" i="8" a="1"/>
  <c r="AA629" i="8" s="1"/>
  <c r="AA558" i="8" a="1"/>
  <c r="AA558" i="8" s="1"/>
  <c r="AA454" i="8" a="1"/>
  <c r="AA454" i="8" s="1"/>
  <c r="AA426" i="8" a="1"/>
  <c r="AA426" i="8" s="1"/>
  <c r="AA359" i="8" a="1"/>
  <c r="AA359" i="8" s="1"/>
  <c r="AA1051" i="8" a="1"/>
  <c r="AA1051" i="8" s="1"/>
  <c r="AA975" i="8" a="1"/>
  <c r="AA975" i="8" s="1"/>
  <c r="AA916" i="8" a="1"/>
  <c r="AA916" i="8" s="1"/>
  <c r="AA852" i="8" a="1"/>
  <c r="AA852" i="8" s="1"/>
  <c r="AA807" i="8" a="1"/>
  <c r="AA807" i="8" s="1"/>
  <c r="AA726" i="8" a="1"/>
  <c r="AA726" i="8" s="1"/>
  <c r="AA682" i="8" a="1"/>
  <c r="AA682" i="8" s="1"/>
  <c r="AA670" i="8" a="1"/>
  <c r="AA670" i="8" s="1"/>
  <c r="AA549" i="8" a="1"/>
  <c r="AA549" i="8" s="1"/>
  <c r="AA501" i="8" a="1"/>
  <c r="AA501" i="8" s="1"/>
  <c r="AA424" i="8" a="1"/>
  <c r="AA424" i="8" s="1"/>
  <c r="AA324" i="8" a="1"/>
  <c r="AA324" i="8" s="1"/>
  <c r="AA343" i="8" a="1"/>
  <c r="AA343" i="8" s="1"/>
  <c r="AA15" i="8" a="1"/>
  <c r="AA15" i="8" s="1"/>
  <c r="AA1067" i="8" a="1"/>
  <c r="AA1067" i="8" s="1"/>
  <c r="AA1000" i="8" a="1"/>
  <c r="AA1000" i="8" s="1"/>
  <c r="AA949" i="8" a="1"/>
  <c r="AA949" i="8" s="1"/>
  <c r="AA822" i="8" a="1"/>
  <c r="AA822" i="8" s="1"/>
  <c r="AA770" i="8" a="1"/>
  <c r="AA770" i="8" s="1"/>
  <c r="AA723" i="8" a="1"/>
  <c r="AA723" i="8" s="1"/>
  <c r="AA625" i="8" a="1"/>
  <c r="AA625" i="8" s="1"/>
  <c r="AA663" i="8" a="1"/>
  <c r="AA663" i="8" s="1"/>
  <c r="AA556" i="8" a="1"/>
  <c r="AA556" i="8" s="1"/>
  <c r="AA503" i="8" a="1"/>
  <c r="AA503" i="8" s="1"/>
  <c r="AA430" i="8" a="1"/>
  <c r="AA430" i="8" s="1"/>
  <c r="AA383" i="8" a="1"/>
  <c r="AA383" i="8" s="1"/>
  <c r="AA257" i="8" a="1"/>
  <c r="AA257" i="8" s="1"/>
  <c r="AA207" i="8" a="1"/>
  <c r="AA207" i="8" s="1"/>
  <c r="AA1041" i="8" a="1"/>
  <c r="AA1041" i="8" s="1"/>
  <c r="AA988" i="8" a="1"/>
  <c r="AA988" i="8" s="1"/>
  <c r="AA911" i="8" a="1"/>
  <c r="AA911" i="8" s="1"/>
  <c r="AA863" i="8" a="1"/>
  <c r="AA863" i="8" s="1"/>
  <c r="AA795" i="8" a="1"/>
  <c r="AA795" i="8" s="1"/>
  <c r="AA743" i="8" a="1"/>
  <c r="AA743" i="8" s="1"/>
  <c r="AA679" i="8" a="1"/>
  <c r="AA679" i="8" s="1"/>
  <c r="AA603" i="8" a="1"/>
  <c r="AA603" i="8" s="1"/>
  <c r="AA506" i="8" a="1"/>
  <c r="AA506" i="8" s="1"/>
  <c r="AA451" i="8" a="1"/>
  <c r="AA451" i="8" s="1"/>
  <c r="AA431" i="8" a="1"/>
  <c r="AA431" i="8" s="1"/>
  <c r="AA306" i="8" a="1"/>
  <c r="AA306" i="8" s="1"/>
  <c r="AA269" i="8" a="1"/>
  <c r="AA269" i="8" s="1"/>
  <c r="AA113" i="8" a="1"/>
  <c r="AA113" i="8" s="1"/>
  <c r="AA1005" i="8" a="1"/>
  <c r="AA1005" i="8" s="1"/>
  <c r="AA924" i="8" a="1"/>
  <c r="AA924" i="8" s="1"/>
  <c r="AA882" i="8" a="1"/>
  <c r="AA882" i="8" s="1"/>
  <c r="AA810" i="8" a="1"/>
  <c r="AA810" i="8" s="1"/>
  <c r="AA750" i="8" a="1"/>
  <c r="AA750" i="8" s="1"/>
  <c r="AA697" i="8" a="1"/>
  <c r="AA697" i="8" s="1"/>
  <c r="AA687" i="8" a="1"/>
  <c r="AA687" i="8" s="1"/>
  <c r="AA540" i="8" a="1"/>
  <c r="AA540" i="8" s="1"/>
  <c r="AA518" i="8" a="1"/>
  <c r="AA518" i="8" s="1"/>
  <c r="AA442" i="8" a="1"/>
  <c r="AA442" i="8" s="1"/>
  <c r="AA292" i="8" a="1"/>
  <c r="AA292" i="8" s="1"/>
  <c r="AA316" i="8" a="1"/>
  <c r="AA316" i="8" s="1"/>
  <c r="AA234" i="8" a="1"/>
  <c r="AA234" i="8" s="1"/>
  <c r="AA132" i="8" a="1"/>
  <c r="AA132" i="8" s="1"/>
  <c r="AA97" i="8" a="1"/>
  <c r="AA97" i="8" s="1"/>
  <c r="AA301" i="8" a="1"/>
  <c r="AA301" i="8" s="1"/>
  <c r="AA145" i="8" a="1"/>
  <c r="AA145" i="8" s="1"/>
  <c r="AA199" i="8" a="1"/>
  <c r="AA199" i="8" s="1"/>
  <c r="AA146" i="8" a="1"/>
  <c r="AA146" i="8" s="1"/>
  <c r="AA191" i="8" a="1"/>
  <c r="AA191" i="8" s="1"/>
  <c r="AA184" i="8" a="1"/>
  <c r="AA184" i="8" s="1"/>
  <c r="AA214" i="8" a="1"/>
  <c r="AA214" i="8" s="1"/>
  <c r="AA94" i="8" a="1"/>
  <c r="AA94" i="8" s="1"/>
  <c r="AA147" i="8" a="1"/>
  <c r="AA147" i="8" s="1"/>
  <c r="AA218" i="8" a="1"/>
  <c r="AA218" i="8" s="1"/>
  <c r="V82" i="8" a="1"/>
  <c r="V82" i="8" s="1"/>
  <c r="V45" i="8" a="1"/>
  <c r="V45" i="8" s="1"/>
  <c r="V89" i="8" a="1"/>
  <c r="V89" i="8" s="1"/>
  <c r="V194" i="8" a="1"/>
  <c r="V194" i="8" s="1"/>
  <c r="V232" i="8" a="1"/>
  <c r="V232" i="8" s="1"/>
  <c r="V331" i="8" a="1"/>
  <c r="V331" i="8" s="1"/>
  <c r="V326" i="8" a="1"/>
  <c r="V326" i="8" s="1"/>
  <c r="V468" i="8" a="1"/>
  <c r="V468" i="8" s="1"/>
  <c r="V527" i="8" a="1"/>
  <c r="V527" i="8" s="1"/>
  <c r="V533" i="8" a="1"/>
  <c r="V533" i="8" s="1"/>
  <c r="V618" i="8" a="1"/>
  <c r="V618" i="8" s="1"/>
  <c r="V693" i="8" a="1"/>
  <c r="V693" i="8" s="1"/>
  <c r="V736" i="8" a="1"/>
  <c r="V736" i="8" s="1"/>
  <c r="V796" i="8" a="1"/>
  <c r="V796" i="8" s="1"/>
  <c r="V881" i="8" a="1"/>
  <c r="V881" i="8" s="1"/>
  <c r="V948" i="8" a="1"/>
  <c r="V948" i="8" s="1"/>
  <c r="V1008" i="8" a="1"/>
  <c r="V1008" i="8" s="1"/>
  <c r="V39" i="8" a="1"/>
  <c r="V39" i="8" s="1"/>
  <c r="V10" i="8" a="1"/>
  <c r="V10" i="8" s="1"/>
  <c r="V265" i="8" a="1"/>
  <c r="V265" i="8" s="1"/>
  <c r="V148" i="8" a="1"/>
  <c r="V148" i="8" s="1"/>
  <c r="V171" i="8" a="1"/>
  <c r="V171" i="8" s="1"/>
  <c r="V275" i="8" a="1"/>
  <c r="V275" i="8" s="1"/>
  <c r="V428" i="8" a="1"/>
  <c r="V428" i="8" s="1"/>
  <c r="V474" i="8" a="1"/>
  <c r="V474" i="8" s="1"/>
  <c r="V541" i="8" a="1"/>
  <c r="V541" i="8" s="1"/>
  <c r="V580" i="8" a="1"/>
  <c r="V580" i="8" s="1"/>
  <c r="V669" i="8" a="1"/>
  <c r="V669" i="8" s="1"/>
  <c r="V745" i="8" a="1"/>
  <c r="V745" i="8" s="1"/>
  <c r="V763" i="8" a="1"/>
  <c r="V763" i="8" s="1"/>
  <c r="V871" i="8" a="1"/>
  <c r="V871" i="8" s="1"/>
  <c r="V944" i="8" a="1"/>
  <c r="V944" i="8" s="1"/>
  <c r="V1001" i="8" a="1"/>
  <c r="V1001" i="8" s="1"/>
  <c r="V1024" i="8" a="1"/>
  <c r="V1024" i="8" s="1"/>
  <c r="V8" i="8" a="1"/>
  <c r="V8" i="8" s="1"/>
  <c r="V218" i="8" a="1"/>
  <c r="V218" i="8" s="1"/>
  <c r="V256" i="8" a="1"/>
  <c r="V256" i="8" s="1"/>
  <c r="V257" i="8" a="1"/>
  <c r="V257" i="8" s="1"/>
  <c r="V376" i="8" a="1"/>
  <c r="V376" i="8" s="1"/>
  <c r="V436" i="8" a="1"/>
  <c r="V436" i="8" s="1"/>
  <c r="V481" i="8" a="1"/>
  <c r="V481" i="8" s="1"/>
  <c r="V522" i="8" a="1"/>
  <c r="V522" i="8" s="1"/>
  <c r="V599" i="8" a="1"/>
  <c r="V599" i="8" s="1"/>
  <c r="V622" i="8" a="1"/>
  <c r="V622" i="8" s="1"/>
  <c r="V701" i="8" a="1"/>
  <c r="V701" i="8" s="1"/>
  <c r="V797" i="8" a="1"/>
  <c r="V797" i="8" s="1"/>
  <c r="V851" i="8" a="1"/>
  <c r="V851" i="8" s="1"/>
  <c r="V932" i="8" a="1"/>
  <c r="V932" i="8" s="1"/>
  <c r="V969" i="8" a="1"/>
  <c r="V969" i="8" s="1"/>
  <c r="V1037" i="8" a="1"/>
  <c r="V1037" i="8" s="1"/>
  <c r="V26" i="8" a="1"/>
  <c r="V26" i="8" s="1"/>
  <c r="V101" i="8" a="1"/>
  <c r="V101" i="8" s="1"/>
  <c r="V209" i="8" a="1"/>
  <c r="V209" i="8" s="1"/>
  <c r="V259" i="8" a="1"/>
  <c r="V259" i="8" s="1"/>
  <c r="V348" i="8" a="1"/>
  <c r="V348" i="8" s="1"/>
  <c r="V350" i="8" a="1"/>
  <c r="V350" i="8" s="1"/>
  <c r="V495" i="8" a="1"/>
  <c r="V495" i="8" s="1"/>
  <c r="V438" i="8" a="1"/>
  <c r="V438" i="8" s="1"/>
  <c r="V560" i="8" a="1"/>
  <c r="V560" i="8" s="1"/>
  <c r="V638" i="8" a="1"/>
  <c r="V638" i="8" s="1"/>
  <c r="V700" i="8" a="1"/>
  <c r="V700" i="8" s="1"/>
  <c r="V707" i="8" a="1"/>
  <c r="V707" i="8" s="1"/>
  <c r="V806" i="8" a="1"/>
  <c r="V806" i="8" s="1"/>
  <c r="V874" i="8" a="1"/>
  <c r="V874" i="8" s="1"/>
  <c r="V962" i="8" a="1"/>
  <c r="V962" i="8" s="1"/>
  <c r="V1032" i="8" a="1"/>
  <c r="V1032" i="8" s="1"/>
  <c r="V66" i="8" a="1"/>
  <c r="V66" i="8" s="1"/>
  <c r="V15" i="8" a="1"/>
  <c r="V15" i="8" s="1"/>
  <c r="V228" i="8" a="1"/>
  <c r="V228" i="8" s="1"/>
  <c r="V278" i="8" a="1"/>
  <c r="V278" i="8" s="1"/>
  <c r="V134" i="8" a="1"/>
  <c r="V134" i="8" s="1"/>
  <c r="V384" i="8" a="1"/>
  <c r="V384" i="8" s="1"/>
  <c r="V388" i="8" a="1"/>
  <c r="V388" i="8" s="1"/>
  <c r="V503" i="8" a="1"/>
  <c r="V503" i="8" s="1"/>
  <c r="V543" i="8" a="1"/>
  <c r="V543" i="8" s="1"/>
  <c r="V613" i="8" a="1"/>
  <c r="V613" i="8" s="1"/>
  <c r="V624" i="8" a="1"/>
  <c r="V624" i="8" s="1"/>
  <c r="V723" i="8" a="1"/>
  <c r="V723" i="8" s="1"/>
  <c r="V789" i="8" a="1"/>
  <c r="V789" i="8" s="1"/>
  <c r="V861" i="8" a="1"/>
  <c r="V861" i="8" s="1"/>
  <c r="V939" i="8" a="1"/>
  <c r="V939" i="8" s="1"/>
  <c r="V979" i="8" a="1"/>
  <c r="V979" i="8" s="1"/>
  <c r="V1044" i="8" a="1"/>
  <c r="V1044" i="8" s="1"/>
  <c r="V41" i="8" a="1"/>
  <c r="V41" i="8" s="1"/>
  <c r="V135" i="8" a="1"/>
  <c r="V135" i="8" s="1"/>
  <c r="V270" i="8" a="1"/>
  <c r="V270" i="8" s="1"/>
  <c r="V141" i="8" a="1"/>
  <c r="V141" i="8" s="1"/>
  <c r="V313" i="8" a="1"/>
  <c r="V313" i="8" s="1"/>
  <c r="V307" i="8" a="1"/>
  <c r="V307" i="8" s="1"/>
  <c r="V430" i="8" a="1"/>
  <c r="V430" i="8" s="1"/>
  <c r="V445" i="8" a="1"/>
  <c r="V445" i="8" s="1"/>
  <c r="V569" i="8" a="1"/>
  <c r="V569" i="8" s="1"/>
  <c r="V667" i="8" a="1"/>
  <c r="V667" i="8" s="1"/>
  <c r="V636" i="8" a="1"/>
  <c r="V636" i="8" s="1"/>
  <c r="V748" i="8" a="1"/>
  <c r="V748" i="8" s="1"/>
  <c r="V829" i="8" a="1"/>
  <c r="V829" i="8" s="1"/>
  <c r="V877" i="8" a="1"/>
  <c r="V877" i="8" s="1"/>
  <c r="V914" i="8" a="1"/>
  <c r="V914" i="8" s="1"/>
  <c r="V995" i="8" a="1"/>
  <c r="V995" i="8" s="1"/>
  <c r="V1055" i="8" a="1"/>
  <c r="V1055" i="8" s="1"/>
  <c r="V85" i="8" a="1"/>
  <c r="V85" i="8" s="1"/>
  <c r="V186" i="8" a="1"/>
  <c r="V186" i="8" s="1"/>
  <c r="V224" i="8" a="1"/>
  <c r="V224" i="8" s="1"/>
  <c r="V225" i="8" a="1"/>
  <c r="V225" i="8" s="1"/>
  <c r="V360" i="8" a="1"/>
  <c r="V360" i="8" s="1"/>
  <c r="V400" i="8" a="1"/>
  <c r="V400" i="8" s="1"/>
  <c r="V449" i="8" a="1"/>
  <c r="V449" i="8" s="1"/>
  <c r="V505" i="8" a="1"/>
  <c r="V505" i="8" s="1"/>
  <c r="V588" i="8" a="1"/>
  <c r="V588" i="8" s="1"/>
  <c r="V592" i="8" a="1"/>
  <c r="V592" i="8" s="1"/>
  <c r="V713" i="8" a="1"/>
  <c r="V713" i="8" s="1"/>
  <c r="V779" i="8" a="1"/>
  <c r="V779" i="8" s="1"/>
  <c r="V863" i="8" a="1"/>
  <c r="V863" i="8" s="1"/>
  <c r="V886" i="8" a="1"/>
  <c r="V886" i="8" s="1"/>
  <c r="V991" i="8" a="1"/>
  <c r="V991" i="8" s="1"/>
  <c r="V1053" i="8" a="1"/>
  <c r="V1053" i="8" s="1"/>
  <c r="V64" i="8" a="1"/>
  <c r="V64" i="8" s="1"/>
  <c r="V102" i="8" a="1"/>
  <c r="V102" i="8" s="1"/>
  <c r="V294" i="8" a="1"/>
  <c r="V294" i="8" s="1"/>
  <c r="V335" i="8" a="1"/>
  <c r="V335" i="8" s="1"/>
  <c r="V464" i="8" a="1"/>
  <c r="V464" i="8" s="1"/>
  <c r="V657" i="8" a="1"/>
  <c r="V657" i="8" s="1"/>
  <c r="V32" i="8" a="1"/>
  <c r="V32" i="8" s="1"/>
  <c r="V53" i="8" a="1"/>
  <c r="V53" i="8" s="1"/>
  <c r="V122" i="8" a="1"/>
  <c r="V122" i="8" s="1"/>
  <c r="V258" i="8" a="1"/>
  <c r="V258" i="8" s="1"/>
  <c r="V312" i="8" a="1"/>
  <c r="V312" i="8" s="1"/>
  <c r="V365" i="8" a="1"/>
  <c r="V365" i="8" s="1"/>
  <c r="V370" i="8" a="1"/>
  <c r="V370" i="8" s="1"/>
  <c r="V456" i="8" a="1"/>
  <c r="V456" i="8" s="1"/>
  <c r="V487" i="8" a="1"/>
  <c r="V487" i="8" s="1"/>
  <c r="V581" i="8" a="1"/>
  <c r="V581" i="8" s="1"/>
  <c r="V677" i="8" a="1"/>
  <c r="V677" i="8" s="1"/>
  <c r="V739" i="8" a="1"/>
  <c r="V739" i="8" s="1"/>
  <c r="V759" i="8" a="1"/>
  <c r="V759" i="8" s="1"/>
  <c r="V823" i="8" a="1"/>
  <c r="V823" i="8" s="1"/>
  <c r="V923" i="8" a="1"/>
  <c r="V923" i="8" s="1"/>
  <c r="V973" i="8" a="1"/>
  <c r="V973" i="8" s="1"/>
  <c r="V1016" i="8" a="1"/>
  <c r="V1016" i="8" s="1"/>
  <c r="V72" i="8" a="1"/>
  <c r="V72" i="8" s="1"/>
  <c r="V99" i="8" a="1"/>
  <c r="V99" i="8" s="1"/>
  <c r="V174" i="8" a="1"/>
  <c r="V174" i="8" s="1"/>
  <c r="V212" i="8" a="1"/>
  <c r="V212" i="8" s="1"/>
  <c r="V235" i="8" a="1"/>
  <c r="V235" i="8" s="1"/>
  <c r="V338" i="8" a="1"/>
  <c r="V338" i="8" s="1"/>
  <c r="V396" i="8" a="1"/>
  <c r="V396" i="8" s="1"/>
  <c r="V447" i="8" a="1"/>
  <c r="V447" i="8" s="1"/>
  <c r="V556" i="8" a="1"/>
  <c r="V556" i="8" s="1"/>
  <c r="V671" i="8" a="1"/>
  <c r="V671" i="8" s="1"/>
  <c r="V647" i="8" a="1"/>
  <c r="V647" i="8" s="1"/>
  <c r="V726" i="8" a="1"/>
  <c r="V726" i="8" s="1"/>
  <c r="V809" i="8" a="1"/>
  <c r="V809" i="8" s="1"/>
  <c r="V876" i="8" a="1"/>
  <c r="V876" i="8" s="1"/>
  <c r="V933" i="8" a="1"/>
  <c r="V933" i="8" s="1"/>
  <c r="V965" i="8" a="1"/>
  <c r="V965" i="8" s="1"/>
  <c r="V1070" i="8" a="1"/>
  <c r="V1070" i="8" s="1"/>
  <c r="V21" i="8" a="1"/>
  <c r="V21" i="8" s="1"/>
  <c r="V283" i="8" a="1"/>
  <c r="V283" i="8" s="1"/>
  <c r="V153" i="8" a="1"/>
  <c r="V153" i="8" s="1"/>
  <c r="V176" i="8" a="1"/>
  <c r="V176" i="8" s="1"/>
  <c r="V279" i="8" a="1"/>
  <c r="V279" i="8" s="1"/>
  <c r="V431" i="8" a="1"/>
  <c r="V431" i="8" s="1"/>
  <c r="V491" i="8" a="1"/>
  <c r="V491" i="8" s="1"/>
  <c r="V546" i="8" a="1"/>
  <c r="V546" i="8" s="1"/>
  <c r="V603" i="8" a="1"/>
  <c r="V603" i="8" s="1"/>
  <c r="V676" i="8" a="1"/>
  <c r="V676" i="8" s="1"/>
  <c r="V754" i="8" a="1"/>
  <c r="V754" i="8" s="1"/>
  <c r="V770" i="8" a="1"/>
  <c r="V770" i="8" s="1"/>
  <c r="V832" i="8" a="1"/>
  <c r="V832" i="8" s="1"/>
  <c r="V946" i="8" a="1"/>
  <c r="V946" i="8" s="1"/>
  <c r="V1007" i="8" a="1"/>
  <c r="V1007" i="8" s="1"/>
  <c r="V1028" i="8" a="1"/>
  <c r="V1028" i="8" s="1"/>
  <c r="V42" i="8" a="1"/>
  <c r="V42" i="8" s="1"/>
  <c r="V103" i="8" a="1"/>
  <c r="V103" i="8" s="1"/>
  <c r="V273" i="8" a="1"/>
  <c r="V273" i="8" s="1"/>
  <c r="V146" i="8" a="1"/>
  <c r="V146" i="8" s="1"/>
  <c r="V377" i="8" a="1"/>
  <c r="V377" i="8" s="1"/>
  <c r="V382" i="8" a="1"/>
  <c r="V382" i="8" s="1"/>
  <c r="V483" i="8" a="1"/>
  <c r="V483" i="8" s="1"/>
  <c r="V502" i="8" a="1"/>
  <c r="V502" i="8" s="1"/>
  <c r="V571" i="8" a="1"/>
  <c r="V571" i="8" s="1"/>
  <c r="V605" i="8" a="1"/>
  <c r="V605" i="8" s="1"/>
  <c r="V751" i="8" a="1"/>
  <c r="V751" i="8" s="1"/>
  <c r="V769" i="8" a="1"/>
  <c r="V769" i="8" s="1"/>
  <c r="V850" i="8" a="1"/>
  <c r="V850" i="8" s="1"/>
  <c r="V901" i="8" a="1"/>
  <c r="V901" i="8" s="1"/>
  <c r="V999" i="8" a="1"/>
  <c r="V999" i="8" s="1"/>
  <c r="V1014" i="8" a="1"/>
  <c r="V1014" i="8" s="1"/>
  <c r="V24" i="8" a="1"/>
  <c r="V24" i="8" s="1"/>
  <c r="V92" i="8" a="1"/>
  <c r="V92" i="8" s="1"/>
  <c r="V311" i="8" a="1"/>
  <c r="V311" i="8" s="1"/>
  <c r="V175" i="8" a="1"/>
  <c r="V175" i="8" s="1"/>
  <c r="V198" i="8" a="1"/>
  <c r="V198" i="8" s="1"/>
  <c r="V287" i="8" a="1"/>
  <c r="V287" i="8" s="1"/>
  <c r="V408" i="8" a="1"/>
  <c r="V408" i="8" s="1"/>
  <c r="V501" i="8" a="1"/>
  <c r="V501" i="8" s="1"/>
  <c r="V568" i="8" a="1"/>
  <c r="V568" i="8" s="1"/>
  <c r="V632" i="8" a="1"/>
  <c r="V632" i="8" s="1"/>
  <c r="V593" i="8" a="1"/>
  <c r="V593" i="8" s="1"/>
  <c r="V767" i="8" a="1"/>
  <c r="V767" i="8" s="1"/>
  <c r="V780" i="8" a="1"/>
  <c r="V780" i="8" s="1"/>
  <c r="V854" i="8" a="1"/>
  <c r="V854" i="8" s="1"/>
  <c r="V935" i="8" a="1"/>
  <c r="V935" i="8" s="1"/>
  <c r="V972" i="8" a="1"/>
  <c r="V972" i="8" s="1"/>
  <c r="V1058" i="8" a="1"/>
  <c r="V1058" i="8" s="1"/>
  <c r="V49" i="8" a="1"/>
  <c r="V49" i="8" s="1"/>
  <c r="V117" i="8" a="1"/>
  <c r="V117" i="8" s="1"/>
  <c r="V167" i="8" a="1"/>
  <c r="V167" i="8" s="1"/>
  <c r="V205" i="8" a="1"/>
  <c r="V205" i="8" s="1"/>
  <c r="V296" i="8" a="1"/>
  <c r="V296" i="8" s="1"/>
  <c r="V309" i="8" a="1"/>
  <c r="V309" i="8" s="1"/>
  <c r="V441" i="8" a="1"/>
  <c r="V441" i="8" s="1"/>
  <c r="V516" i="8" a="1"/>
  <c r="V516" i="8" s="1"/>
  <c r="V545" i="8" a="1"/>
  <c r="V545" i="8" s="1"/>
  <c r="V674" i="8" a="1"/>
  <c r="V674" i="8" s="1"/>
  <c r="V692" i="8" a="1"/>
  <c r="V692" i="8" s="1"/>
  <c r="V724" i="8" a="1"/>
  <c r="V724" i="8" s="1"/>
  <c r="V836" i="8" a="1"/>
  <c r="V836" i="8" s="1"/>
  <c r="V880" i="8" a="1"/>
  <c r="V880" i="8" s="1"/>
  <c r="V912" i="8" a="1"/>
  <c r="V912" i="8" s="1"/>
  <c r="V1010" i="8" a="1"/>
  <c r="V1010" i="8" s="1"/>
  <c r="V6" i="8" a="1"/>
  <c r="V6" i="8" s="1"/>
  <c r="V23" i="8" a="1"/>
  <c r="V23" i="8" s="1"/>
  <c r="V250" i="8" a="1"/>
  <c r="V250" i="8" s="1"/>
  <c r="V281" i="8" a="1"/>
  <c r="V281" i="8" s="1"/>
  <c r="V144" i="8" a="1"/>
  <c r="V144" i="8" s="1"/>
  <c r="V320" i="8" a="1"/>
  <c r="V320" i="8" s="1"/>
  <c r="V398" i="8" a="1"/>
  <c r="V398" i="8" s="1"/>
  <c r="V459" i="8" a="1"/>
  <c r="V459" i="8" s="1"/>
  <c r="V553" i="8" a="1"/>
  <c r="V553" i="8" s="1"/>
  <c r="V572" i="8" a="1"/>
  <c r="V572" i="8" s="1"/>
  <c r="V644" i="8" a="1"/>
  <c r="V644" i="8" s="1"/>
  <c r="V733" i="8" a="1"/>
  <c r="V733" i="8" s="1"/>
  <c r="V765" i="8" a="1"/>
  <c r="V765" i="8" s="1"/>
  <c r="V844" i="8" a="1"/>
  <c r="V844" i="8" s="1"/>
  <c r="V915" i="8" a="1"/>
  <c r="V915" i="8" s="1"/>
  <c r="V967" i="8" a="1"/>
  <c r="V967" i="8" s="1"/>
  <c r="V1035" i="8" a="1"/>
  <c r="V1035" i="8" s="1"/>
  <c r="V17" i="8" a="1"/>
  <c r="V17" i="8" s="1"/>
  <c r="V143" i="8" a="1"/>
  <c r="V143" i="8" s="1"/>
  <c r="V202" i="8" a="1"/>
  <c r="V202" i="8" s="1"/>
  <c r="V322" i="8" a="1"/>
  <c r="V322" i="8" s="1"/>
  <c r="V514" i="8" a="1"/>
  <c r="V514" i="8" s="1"/>
  <c r="V94" i="8" a="1"/>
  <c r="V94" i="8" s="1"/>
  <c r="V18" i="8" a="1"/>
  <c r="V18" i="8" s="1"/>
  <c r="V150" i="8" a="1"/>
  <c r="V150" i="8" s="1"/>
  <c r="V182" i="8" a="1"/>
  <c r="V182" i="8" s="1"/>
  <c r="V183" i="8" a="1"/>
  <c r="V183" i="8" s="1"/>
  <c r="V317" i="8" a="1"/>
  <c r="V317" i="8" s="1"/>
  <c r="V429" i="8" a="1"/>
  <c r="V429" i="8" s="1"/>
  <c r="V509" i="8" a="1"/>
  <c r="V509" i="8" s="1"/>
  <c r="V453" i="8" a="1"/>
  <c r="V453" i="8" s="1"/>
  <c r="V604" i="8" a="1"/>
  <c r="V604" i="8" s="1"/>
  <c r="V655" i="8" a="1"/>
  <c r="V655" i="8" s="1"/>
  <c r="V730" i="8" a="1"/>
  <c r="V730" i="8" s="1"/>
  <c r="V781" i="8" a="1"/>
  <c r="V781" i="8" s="1"/>
  <c r="V843" i="8" a="1"/>
  <c r="V843" i="8" s="1"/>
  <c r="V883" i="8" a="1"/>
  <c r="V883" i="8" s="1"/>
  <c r="V971" i="8" a="1"/>
  <c r="V971" i="8" s="1"/>
  <c r="V1046" i="8" a="1"/>
  <c r="V1046" i="8" s="1"/>
  <c r="V29" i="8" a="1"/>
  <c r="V29" i="8" s="1"/>
  <c r="V104" i="8" a="1"/>
  <c r="V104" i="8" s="1"/>
  <c r="V238" i="8" a="1"/>
  <c r="V238" i="8" s="1"/>
  <c r="V288" i="8" a="1"/>
  <c r="V288" i="8" s="1"/>
  <c r="V327" i="8" a="1"/>
  <c r="V327" i="8" s="1"/>
  <c r="V379" i="8" a="1"/>
  <c r="V379" i="8" s="1"/>
  <c r="V416" i="8" a="1"/>
  <c r="V416" i="8" s="1"/>
  <c r="V515" i="8" a="1"/>
  <c r="V515" i="8" s="1"/>
  <c r="V537" i="8" a="1"/>
  <c r="V537" i="8" s="1"/>
  <c r="V635" i="8" a="1"/>
  <c r="V635" i="8" s="1"/>
  <c r="V612" i="8" a="1"/>
  <c r="V612" i="8" s="1"/>
  <c r="V714" i="8" a="1"/>
  <c r="V714" i="8" s="1"/>
  <c r="V831" i="8" a="1"/>
  <c r="V831" i="8" s="1"/>
  <c r="V840" i="8" a="1"/>
  <c r="V840" i="8" s="1"/>
  <c r="V931" i="8" a="1"/>
  <c r="V931" i="8" s="1"/>
  <c r="V985" i="8" a="1"/>
  <c r="V985" i="8" s="1"/>
  <c r="V1065" i="8" a="1"/>
  <c r="V1065" i="8" s="1"/>
  <c r="V106" i="8" a="1"/>
  <c r="V106" i="8" s="1"/>
  <c r="V179" i="8" a="1"/>
  <c r="V179" i="8" s="1"/>
  <c r="V217" i="8" a="1"/>
  <c r="V217" i="8" s="1"/>
  <c r="V240" i="8" a="1"/>
  <c r="V240" i="8" s="1"/>
  <c r="V351" i="8" a="1"/>
  <c r="V351" i="8" s="1"/>
  <c r="V401" i="8" a="1"/>
  <c r="V401" i="8" s="1"/>
  <c r="V452" i="8" a="1"/>
  <c r="V452" i="8" s="1"/>
  <c r="V561" i="8" a="1"/>
  <c r="V561" i="8" s="1"/>
  <c r="V682" i="8" a="1"/>
  <c r="V682" i="8" s="1"/>
  <c r="V658" i="8" a="1"/>
  <c r="V658" i="8" s="1"/>
  <c r="V746" i="8" a="1"/>
  <c r="V746" i="8" s="1"/>
  <c r="V826" i="8" a="1"/>
  <c r="V826" i="8" s="1"/>
  <c r="V825" i="8" a="1"/>
  <c r="V825" i="8" s="1"/>
  <c r="V940" i="8" a="1"/>
  <c r="V940" i="8" s="1"/>
  <c r="V970" i="8" a="1"/>
  <c r="V970" i="8" s="1"/>
  <c r="V1061" i="8" a="1"/>
  <c r="V1061" i="8" s="1"/>
  <c r="V81" i="8" a="1"/>
  <c r="V81" i="8" s="1"/>
  <c r="V159" i="8" a="1"/>
  <c r="V159" i="8" s="1"/>
  <c r="V197" i="8" a="1"/>
  <c r="V197" i="8" s="1"/>
  <c r="V210" i="8" a="1"/>
  <c r="V210" i="8" s="1"/>
  <c r="V334" i="8" a="1"/>
  <c r="V334" i="8" s="1"/>
  <c r="V412" i="8" a="1"/>
  <c r="V412" i="8" s="1"/>
  <c r="V525" i="8" a="1"/>
  <c r="V525" i="8" s="1"/>
  <c r="V480" i="8" a="1"/>
  <c r="V480" i="8" s="1"/>
  <c r="V597" i="8" a="1"/>
  <c r="V597" i="8" s="1"/>
  <c r="V680" i="8" a="1"/>
  <c r="V680" i="8" s="1"/>
  <c r="V694" i="8" a="1"/>
  <c r="V694" i="8" s="1"/>
  <c r="V794" i="8" a="1"/>
  <c r="V794" i="8" s="1"/>
  <c r="V870" i="8" a="1"/>
  <c r="V870" i="8" s="1"/>
  <c r="V888" i="8" a="1"/>
  <c r="V888" i="8" s="1"/>
  <c r="V976" i="8" a="1"/>
  <c r="V976" i="8" s="1"/>
  <c r="V1026" i="8" a="1"/>
  <c r="V1026" i="8" s="1"/>
  <c r="V71" i="8" a="1"/>
  <c r="V71" i="8" s="1"/>
  <c r="V116" i="8" a="1"/>
  <c r="V116" i="8" s="1"/>
  <c r="V189" i="8" a="1"/>
  <c r="V189" i="8" s="1"/>
  <c r="V239" i="8" a="1"/>
  <c r="V239" i="8" s="1"/>
  <c r="V262" i="8" a="1"/>
  <c r="V262" i="8" s="1"/>
  <c r="V359" i="8" a="1"/>
  <c r="V359" i="8" s="1"/>
  <c r="V411" i="8" a="1"/>
  <c r="V411" i="8" s="1"/>
  <c r="V462" i="8" a="1"/>
  <c r="V462" i="8" s="1"/>
  <c r="V577" i="8" a="1"/>
  <c r="V577" i="8" s="1"/>
  <c r="V614" i="8" a="1"/>
  <c r="V614" i="8" s="1"/>
  <c r="V672" i="8" a="1"/>
  <c r="V672" i="8" s="1"/>
  <c r="V756" i="8" a="1"/>
  <c r="V756" i="8" s="1"/>
  <c r="V814" i="8" a="1"/>
  <c r="V814" i="8" s="1"/>
  <c r="V847" i="8" a="1"/>
  <c r="V847" i="8" s="1"/>
  <c r="V938" i="8" a="1"/>
  <c r="V938" i="8" s="1"/>
  <c r="V992" i="8" a="1"/>
  <c r="V992" i="8" s="1"/>
  <c r="V1059" i="8" a="1"/>
  <c r="V1059" i="8" s="1"/>
  <c r="V22" i="8" a="1"/>
  <c r="V22" i="8" s="1"/>
  <c r="V121" i="8" a="1"/>
  <c r="V121" i="8" s="1"/>
  <c r="V231" i="8" a="1"/>
  <c r="V231" i="8" s="1"/>
  <c r="V269" i="8" a="1"/>
  <c r="V269" i="8" s="1"/>
  <c r="V353" i="8" a="1"/>
  <c r="V353" i="8" s="1"/>
  <c r="V358" i="8" a="1"/>
  <c r="V358" i="8" s="1"/>
  <c r="V507" i="8" a="1"/>
  <c r="V507" i="8" s="1"/>
  <c r="V460" i="8" a="1"/>
  <c r="V460" i="8" s="1"/>
  <c r="V570" i="8" a="1"/>
  <c r="V570" i="8" s="1"/>
  <c r="V652" i="8" a="1"/>
  <c r="V652" i="8" s="1"/>
  <c r="V710" i="8" a="1"/>
  <c r="V710" i="8" s="1"/>
  <c r="V717" i="8" a="1"/>
  <c r="V717" i="8" s="1"/>
  <c r="V816" i="8" a="1"/>
  <c r="V816" i="8" s="1"/>
  <c r="V899" i="8" a="1"/>
  <c r="V899" i="8" s="1"/>
  <c r="V950" i="8" a="1"/>
  <c r="V950" i="8" s="1"/>
  <c r="V1020" i="8" a="1"/>
  <c r="V1020" i="8" s="1"/>
  <c r="V78" i="8" a="1"/>
  <c r="V78" i="8" s="1"/>
  <c r="V118" i="8" a="1"/>
  <c r="V118" i="8" s="1"/>
  <c r="V147" i="8" a="1"/>
  <c r="V147" i="8" s="1"/>
  <c r="V185" i="8" a="1"/>
  <c r="V185" i="8" s="1"/>
  <c r="V208" i="8" a="1"/>
  <c r="V208" i="8" s="1"/>
  <c r="V321" i="8" a="1"/>
  <c r="V321" i="8" s="1"/>
  <c r="V418" i="8" a="1"/>
  <c r="V418" i="8" s="1"/>
  <c r="V513" i="8" a="1"/>
  <c r="V513" i="8" s="1"/>
  <c r="V529" i="8" a="1"/>
  <c r="V529" i="8" s="1"/>
  <c r="V650" i="8" a="1"/>
  <c r="V650" i="8" s="1"/>
  <c r="V625" i="8" a="1"/>
  <c r="V625" i="8" s="1"/>
  <c r="V711" i="8" a="1"/>
  <c r="V711" i="8" s="1"/>
  <c r="V768" i="8" a="1"/>
  <c r="V768" i="8" s="1"/>
  <c r="V864" i="8" a="1"/>
  <c r="V864" i="8" s="1"/>
  <c r="V949" i="8" a="1"/>
  <c r="V949" i="8" s="1"/>
  <c r="V982" i="8" a="1"/>
  <c r="V982" i="8" s="1"/>
  <c r="V1054" i="8" a="1"/>
  <c r="V1054" i="8" s="1"/>
  <c r="V80" i="8" a="1"/>
  <c r="V80" i="8" s="1"/>
  <c r="V191" i="8" a="1"/>
  <c r="V191" i="8" s="1"/>
  <c r="V266" i="8" a="1"/>
  <c r="V266" i="8" s="1"/>
  <c r="V371" i="8" a="1"/>
  <c r="V371" i="8" s="1"/>
  <c r="V489" i="8" a="1"/>
  <c r="V489" i="8" s="1"/>
  <c r="X115" i="5" a="1"/>
  <c r="X115" i="5" s="1"/>
  <c r="X34" i="5" a="1"/>
  <c r="X34" i="5" s="1"/>
  <c r="X604" i="5" a="1"/>
  <c r="X604" i="5" s="1"/>
  <c r="X445" i="5" a="1"/>
  <c r="X445" i="5" s="1"/>
  <c r="X278" i="5" a="1"/>
  <c r="X278" i="5" s="1"/>
  <c r="X231" i="5" a="1"/>
  <c r="X231" i="5" s="1"/>
  <c r="X743" i="5" a="1"/>
  <c r="X743" i="5" s="1"/>
  <c r="X584" i="5" a="1"/>
  <c r="X584" i="5" s="1"/>
  <c r="X537" i="5" a="1"/>
  <c r="X537" i="5" s="1"/>
  <c r="X490" i="5" a="1"/>
  <c r="X490" i="5" s="1"/>
  <c r="X443" i="5" a="1"/>
  <c r="X443" i="5" s="1"/>
  <c r="X905" i="5" a="1"/>
  <c r="X905" i="5" s="1"/>
  <c r="X1034" i="5" a="1"/>
  <c r="X1034" i="5" s="1"/>
  <c r="X781" i="5" a="1"/>
  <c r="X781" i="5" s="1"/>
  <c r="X901" i="5" a="1"/>
  <c r="X901" i="5" s="1"/>
  <c r="X1030" i="5" a="1"/>
  <c r="X1030" i="5" s="1"/>
  <c r="X187" i="5" a="1"/>
  <c r="X187" i="5" s="1"/>
  <c r="X153" i="5" a="1"/>
  <c r="X153" i="5" s="1"/>
  <c r="X676" i="5" a="1"/>
  <c r="X676" i="5" s="1"/>
  <c r="X517" i="5" a="1"/>
  <c r="X517" i="5" s="1"/>
  <c r="X350" i="5" a="1"/>
  <c r="X350" i="5" s="1"/>
  <c r="X303" i="5" a="1"/>
  <c r="X303" i="5" s="1"/>
  <c r="X121" i="5" a="1"/>
  <c r="X121" i="5" s="1"/>
  <c r="X656" i="5" a="1"/>
  <c r="X656" i="5" s="1"/>
  <c r="X609" i="5" a="1"/>
  <c r="X609" i="5" s="1"/>
  <c r="X562" i="5" a="1"/>
  <c r="X562" i="5" s="1"/>
  <c r="X515" i="5" a="1"/>
  <c r="X515" i="5" s="1"/>
  <c r="X977" i="5" a="1"/>
  <c r="X977" i="5" s="1"/>
  <c r="X673" i="5" a="1"/>
  <c r="X673" i="5" s="1"/>
  <c r="X852" i="5" a="1"/>
  <c r="X852" i="5" s="1"/>
  <c r="X973" i="5" a="1"/>
  <c r="X973" i="5" s="1"/>
  <c r="X681" i="5" a="1"/>
  <c r="X681" i="5" s="1"/>
  <c r="X864" i="5" a="1"/>
  <c r="X864" i="5" s="1"/>
  <c r="X967" i="5" a="1"/>
  <c r="X967" i="5" s="1"/>
  <c r="X156" i="5" a="1"/>
  <c r="X156" i="5" s="1"/>
  <c r="X300" i="5" a="1"/>
  <c r="X300" i="5" s="1"/>
  <c r="X118" i="5" a="1"/>
  <c r="X118" i="5" s="1"/>
  <c r="X653" i="5" a="1"/>
  <c r="X653" i="5" s="1"/>
  <c r="X486" i="5" a="1"/>
  <c r="X486" i="5" s="1"/>
  <c r="X439" i="5" a="1"/>
  <c r="X439" i="5" s="1"/>
  <c r="X280" i="5" a="1"/>
  <c r="X280" i="5" s="1"/>
  <c r="X233" i="5" a="1"/>
  <c r="X233" i="5" s="1"/>
  <c r="X184" i="5" a="1"/>
  <c r="X184" i="5" s="1"/>
  <c r="X113" i="5" a="1"/>
  <c r="X113" i="5" s="1"/>
  <c r="X651" i="5" a="1"/>
  <c r="X651" i="5" s="1"/>
  <c r="X688" i="5" a="1"/>
  <c r="X688" i="5" s="1"/>
  <c r="X867" i="5" a="1"/>
  <c r="X867" i="5" s="1"/>
  <c r="X988" i="5" a="1"/>
  <c r="X988" i="5" s="1"/>
  <c r="X680" i="5" a="1"/>
  <c r="X680" i="5" s="1"/>
  <c r="X863" i="5" a="1"/>
  <c r="X863" i="5" s="1"/>
  <c r="X1000" i="5" a="1"/>
  <c r="X1000" i="5" s="1"/>
  <c r="X1022" i="5" a="1"/>
  <c r="X1022" i="5" s="1"/>
  <c r="X71" i="5" a="1"/>
  <c r="X71" i="5" s="1"/>
  <c r="X500" i="5" a="1"/>
  <c r="X500" i="5" s="1"/>
  <c r="X341" i="5" a="1"/>
  <c r="X341" i="5" s="1"/>
  <c r="X169" i="5" a="1"/>
  <c r="X169" i="5" s="1"/>
  <c r="X89" i="5" a="1"/>
  <c r="X89" i="5" s="1"/>
  <c r="X639" i="5" a="1"/>
  <c r="X639" i="5" s="1"/>
  <c r="X480" i="5" a="1"/>
  <c r="X480" i="5" s="1"/>
  <c r="X433" i="5" a="1"/>
  <c r="X433" i="5" s="1"/>
  <c r="X386" i="5" a="1"/>
  <c r="X386" i="5" s="1"/>
  <c r="X339" i="5" a="1"/>
  <c r="X339" i="5" s="1"/>
  <c r="X802" i="5" a="1"/>
  <c r="X802" i="5" s="1"/>
  <c r="X930" i="5" a="1"/>
  <c r="X930" i="5" s="1"/>
  <c r="X1067" i="5" a="1"/>
  <c r="X1067" i="5" s="1"/>
  <c r="X798" i="5" a="1"/>
  <c r="X798" i="5" s="1"/>
  <c r="X926" i="5" a="1"/>
  <c r="X926" i="5" s="1"/>
  <c r="X1063" i="5" a="1"/>
  <c r="X1063" i="5" s="1"/>
  <c r="X805" i="5" a="1"/>
  <c r="X805" i="5" s="1"/>
  <c r="X83" i="5" a="1"/>
  <c r="X83" i="5" s="1"/>
  <c r="X56" i="5" a="1"/>
  <c r="X56" i="5" s="1"/>
  <c r="X572" i="5" a="1"/>
  <c r="X572" i="5" s="1"/>
  <c r="X413" i="5" a="1"/>
  <c r="X413" i="5" s="1"/>
  <c r="X246" i="5" a="1"/>
  <c r="X246" i="5" s="1"/>
  <c r="X199" i="5" a="1"/>
  <c r="X199" i="5" s="1"/>
  <c r="X711" i="5" a="1"/>
  <c r="X711" i="5" s="1"/>
  <c r="X552" i="5" a="1"/>
  <c r="X552" i="5" s="1"/>
  <c r="X505" i="5" a="1"/>
  <c r="X505" i="5" s="1"/>
  <c r="X458" i="5" a="1"/>
  <c r="X458" i="5" s="1"/>
  <c r="X411" i="5" a="1"/>
  <c r="X411" i="5" s="1"/>
  <c r="X873" i="5" a="1"/>
  <c r="X873" i="5" s="1"/>
  <c r="X1002" i="5" a="1"/>
  <c r="X1002" i="5" s="1"/>
  <c r="X706" i="5" a="1"/>
  <c r="X706" i="5" s="1"/>
  <c r="X806" i="5" a="1"/>
  <c r="X806" i="5" s="1"/>
  <c r="X15" i="5" a="1"/>
  <c r="X15" i="5" s="1"/>
  <c r="X52" i="5" a="1"/>
  <c r="X52" i="5" s="1"/>
  <c r="X196" i="5" a="1"/>
  <c r="X196" i="5" s="1"/>
  <c r="X708" i="5" a="1"/>
  <c r="X708" i="5" s="1"/>
  <c r="X549" i="5" a="1"/>
  <c r="X549" i="5" s="1"/>
  <c r="X382" i="5" a="1"/>
  <c r="X382" i="5" s="1"/>
  <c r="X335" i="5" a="1"/>
  <c r="X335" i="5" s="1"/>
  <c r="X173" i="5" a="1"/>
  <c r="X173" i="5" s="1"/>
  <c r="X94" i="5" a="1"/>
  <c r="X94" i="5" s="1"/>
  <c r="X641" i="5" a="1"/>
  <c r="X641" i="5" s="1"/>
  <c r="X594" i="5" a="1"/>
  <c r="X594" i="5" s="1"/>
  <c r="X547" i="5" a="1"/>
  <c r="X547" i="5" s="1"/>
  <c r="X1009" i="5" a="1"/>
  <c r="X1009" i="5" s="1"/>
  <c r="X737" i="5" a="1"/>
  <c r="X737" i="5" s="1"/>
  <c r="X884" i="5" a="1"/>
  <c r="X884" i="5" s="1"/>
  <c r="X1005" i="5" a="1"/>
  <c r="X1005" i="5" s="1"/>
  <c r="X745" i="5" a="1"/>
  <c r="X745" i="5" s="1"/>
  <c r="X896" i="5" a="1"/>
  <c r="X896" i="5" s="1"/>
  <c r="X2" i="5" a="1"/>
  <c r="X2" i="5" s="1"/>
  <c r="X124" i="5" a="1"/>
  <c r="X124" i="5" s="1"/>
  <c r="X268" i="5" a="1"/>
  <c r="X268" i="5" s="1"/>
  <c r="X50" i="5" a="1"/>
  <c r="X50" i="5" s="1"/>
  <c r="X621" i="5" a="1"/>
  <c r="X621" i="5" s="1"/>
  <c r="X454" i="5" a="1"/>
  <c r="X454" i="5" s="1"/>
  <c r="X407" i="5" a="1"/>
  <c r="X407" i="5" s="1"/>
  <c r="X248" i="5" a="1"/>
  <c r="X248" i="5" s="1"/>
  <c r="X201" i="5" a="1"/>
  <c r="X201" i="5" s="1"/>
  <c r="X137" i="5" a="1"/>
  <c r="X137" i="5" s="1"/>
  <c r="X38" i="5" a="1"/>
  <c r="X38" i="5" s="1"/>
  <c r="X619" i="5" a="1"/>
  <c r="X619" i="5" s="1"/>
  <c r="X17" i="5" a="1"/>
  <c r="X17" i="5" s="1"/>
  <c r="X835" i="5" a="1"/>
  <c r="X835" i="5" s="1"/>
  <c r="X956" i="5" a="1"/>
  <c r="X956" i="5" s="1"/>
  <c r="X6" i="5" a="1"/>
  <c r="X6" i="5" s="1"/>
  <c r="X840" i="5" a="1"/>
  <c r="X840" i="5" s="1"/>
  <c r="X53" i="5" a="1"/>
  <c r="X53" i="5" s="1"/>
  <c r="X340" i="5" a="1"/>
  <c r="X340" i="5" s="1"/>
  <c r="X178" i="5" a="1"/>
  <c r="X178" i="5" s="1"/>
  <c r="X693" i="5" a="1"/>
  <c r="X693" i="5" s="1"/>
  <c r="X526" i="5" a="1"/>
  <c r="X526" i="5" s="1"/>
  <c r="X479" i="5" a="1"/>
  <c r="X479" i="5" s="1"/>
  <c r="X320" i="5" a="1"/>
  <c r="X320" i="5" s="1"/>
  <c r="X273" i="5" a="1"/>
  <c r="X273" i="5" s="1"/>
  <c r="X226" i="5" a="1"/>
  <c r="X226" i="5" s="1"/>
  <c r="X176" i="5" a="1"/>
  <c r="X176" i="5" s="1"/>
  <c r="X691" i="5" a="1"/>
  <c r="X691" i="5" s="1"/>
  <c r="X768" i="5" a="1"/>
  <c r="X768" i="5" s="1"/>
  <c r="X907" i="5" a="1"/>
  <c r="X907" i="5" s="1"/>
  <c r="X1028" i="5" a="1"/>
  <c r="X1028" i="5" s="1"/>
  <c r="X760" i="5" a="1"/>
  <c r="X760" i="5" s="1"/>
  <c r="X179" i="5" a="1"/>
  <c r="X179" i="5" s="1"/>
  <c r="X142" i="5" a="1"/>
  <c r="X142" i="5" s="1"/>
  <c r="X668" i="5" a="1"/>
  <c r="X668" i="5" s="1"/>
  <c r="X509" i="5" a="1"/>
  <c r="X509" i="5" s="1"/>
  <c r="X342" i="5" a="1"/>
  <c r="X342" i="5" s="1"/>
  <c r="X295" i="5" a="1"/>
  <c r="X295" i="5" s="1"/>
  <c r="X106" i="5" a="1"/>
  <c r="X106" i="5" s="1"/>
  <c r="X648" i="5" a="1"/>
  <c r="X648" i="5" s="1"/>
  <c r="X601" i="5" a="1"/>
  <c r="X601" i="5" s="1"/>
  <c r="X554" i="5" a="1"/>
  <c r="X554" i="5" s="1"/>
  <c r="X507" i="5" a="1"/>
  <c r="X507" i="5" s="1"/>
  <c r="X969" i="5" a="1"/>
  <c r="X969" i="5" s="1"/>
  <c r="X26" i="5" a="1"/>
  <c r="X26" i="5" s="1"/>
  <c r="X844" i="5" a="1"/>
  <c r="X844" i="5" s="1"/>
  <c r="X965" i="5" a="1"/>
  <c r="X965" i="5" s="1"/>
  <c r="X665" i="5" a="1"/>
  <c r="X665" i="5" s="1"/>
  <c r="X84" i="5" a="1"/>
  <c r="X84" i="5" s="1"/>
  <c r="X228" i="5" a="1"/>
  <c r="X228" i="5" s="1"/>
  <c r="X740" i="5" a="1"/>
  <c r="X740" i="5" s="1"/>
  <c r="X581" i="5" a="1"/>
  <c r="X581" i="5" s="1"/>
  <c r="X414" i="5" a="1"/>
  <c r="X414" i="5" s="1"/>
  <c r="X367" i="5" a="1"/>
  <c r="X367" i="5" s="1"/>
  <c r="X208" i="5" a="1"/>
  <c r="X208" i="5" s="1"/>
  <c r="X150" i="5" a="1"/>
  <c r="X150" i="5" s="1"/>
  <c r="X64" i="5" a="1"/>
  <c r="X64" i="5" s="1"/>
  <c r="X626" i="5" a="1"/>
  <c r="X626" i="5" s="1"/>
  <c r="X579" i="5" a="1"/>
  <c r="X579" i="5" s="1"/>
  <c r="X1041" i="5" a="1"/>
  <c r="X1041" i="5" s="1"/>
  <c r="X788" i="5" a="1"/>
  <c r="X788" i="5" s="1"/>
  <c r="X916" i="5" a="1"/>
  <c r="X916" i="5" s="1"/>
  <c r="X1037" i="5" a="1"/>
  <c r="X1037" i="5" s="1"/>
  <c r="X792" i="5" a="1"/>
  <c r="X792" i="5" s="1"/>
  <c r="X928" i="5" a="1"/>
  <c r="X928" i="5" s="1"/>
  <c r="X848" i="5" a="1"/>
  <c r="X848" i="5" s="1"/>
  <c r="X77" i="5" a="1"/>
  <c r="X77" i="5" s="1"/>
  <c r="X364" i="5" a="1"/>
  <c r="X364" i="5" s="1"/>
  <c r="X205" i="5" a="1"/>
  <c r="X205" i="5" s="1"/>
  <c r="X717" i="5" a="1"/>
  <c r="X717" i="5" s="1"/>
  <c r="X550" i="5" a="1"/>
  <c r="X550" i="5" s="1"/>
  <c r="X503" i="5" a="1"/>
  <c r="X503" i="5" s="1"/>
  <c r="X344" i="5" a="1"/>
  <c r="X344" i="5" s="1"/>
  <c r="X297" i="5" a="1"/>
  <c r="X297" i="5" s="1"/>
  <c r="X250" i="5" a="1"/>
  <c r="X250" i="5" s="1"/>
  <c r="X203" i="5" a="1"/>
  <c r="X203" i="5" s="1"/>
  <c r="X715" i="5" a="1"/>
  <c r="X715" i="5" s="1"/>
  <c r="X795" i="5" a="1"/>
  <c r="X795" i="5" s="1"/>
  <c r="X931" i="5" a="1"/>
  <c r="X931" i="5" s="1"/>
  <c r="X1052" i="5" a="1"/>
  <c r="X1052" i="5" s="1"/>
  <c r="X791" i="5" a="1"/>
  <c r="X791" i="5" s="1"/>
  <c r="X927" i="5" a="1"/>
  <c r="X927" i="5" s="1"/>
  <c r="X1064" i="5" a="1"/>
  <c r="X1064" i="5" s="1"/>
  <c r="X75" i="5" a="1"/>
  <c r="X75" i="5" s="1"/>
  <c r="X48" i="5" a="1"/>
  <c r="X48" i="5" s="1"/>
  <c r="X564" i="5" a="1"/>
  <c r="X564" i="5" s="1"/>
  <c r="X405" i="5" a="1"/>
  <c r="X405" i="5" s="1"/>
  <c r="X238" i="5" a="1"/>
  <c r="X238" i="5" s="1"/>
  <c r="X190" i="5" a="1"/>
  <c r="X190" i="5" s="1"/>
  <c r="X703" i="5" a="1"/>
  <c r="X703" i="5" s="1"/>
  <c r="X544" i="5" a="1"/>
  <c r="X544" i="5" s="1"/>
  <c r="X497" i="5" a="1"/>
  <c r="X497" i="5" s="1"/>
  <c r="X450" i="5" a="1"/>
  <c r="X450" i="5" s="1"/>
  <c r="X403" i="5" a="1"/>
  <c r="X403" i="5" s="1"/>
  <c r="X865" i="5" a="1"/>
  <c r="X865" i="5" s="1"/>
  <c r="X994" i="5" a="1"/>
  <c r="X994" i="5" s="1"/>
  <c r="X690" i="5" a="1"/>
  <c r="X690" i="5" s="1"/>
  <c r="X861" i="5" a="1"/>
  <c r="X861" i="5" s="1"/>
  <c r="X990" i="5" a="1"/>
  <c r="X990" i="5" s="1"/>
  <c r="X730" i="5" a="1"/>
  <c r="X730" i="5" s="1"/>
  <c r="X997" i="5" a="1"/>
  <c r="X997" i="5" s="1"/>
  <c r="X147" i="5" a="1"/>
  <c r="X147" i="5" s="1"/>
  <c r="X82" i="5" a="1"/>
  <c r="X82" i="5" s="1"/>
  <c r="X636" i="5" a="1"/>
  <c r="X636" i="5" s="1"/>
  <c r="X477" i="5" a="1"/>
  <c r="X477" i="5" s="1"/>
  <c r="X310" i="5" a="1"/>
  <c r="X310" i="5" s="1"/>
  <c r="X263" i="5" a="1"/>
  <c r="X263" i="5" s="1"/>
  <c r="X774" i="5" a="1"/>
  <c r="X774" i="5" s="1"/>
  <c r="X616" i="5" a="1"/>
  <c r="X616" i="5" s="1"/>
  <c r="X569" i="5" a="1"/>
  <c r="X569" i="5" s="1"/>
  <c r="X522" i="5" a="1"/>
  <c r="X522" i="5" s="1"/>
  <c r="X475" i="5" a="1"/>
  <c r="X475" i="5" s="1"/>
  <c r="X937" i="5" a="1"/>
  <c r="X937" i="5" s="1"/>
  <c r="X1066" i="5" a="1"/>
  <c r="X1066" i="5" s="1"/>
  <c r="X812" i="5" a="1"/>
  <c r="X812" i="5" s="1"/>
  <c r="X934" i="5" a="1"/>
  <c r="X934" i="5" s="1"/>
  <c r="X1032" i="5" a="1"/>
  <c r="X1032" i="5" s="1"/>
  <c r="X116" i="5" a="1"/>
  <c r="X116" i="5" s="1"/>
  <c r="X260" i="5" a="1"/>
  <c r="X260" i="5" s="1"/>
  <c r="X771" i="5" a="1"/>
  <c r="X771" i="5" s="1"/>
  <c r="X613" i="5" a="1"/>
  <c r="X613" i="5" s="1"/>
  <c r="X446" i="5" a="1"/>
  <c r="X446" i="5" s="1"/>
  <c r="X399" i="5" a="1"/>
  <c r="X399" i="5" s="1"/>
  <c r="X240" i="5" a="1"/>
  <c r="X240" i="5" s="1"/>
  <c r="X192" i="5" a="1"/>
  <c r="X192" i="5" s="1"/>
  <c r="X126" i="5" a="1"/>
  <c r="X126" i="5" s="1"/>
  <c r="X658" i="5" a="1"/>
  <c r="X658" i="5" s="1"/>
  <c r="X611" i="5" a="1"/>
  <c r="X611" i="5" s="1"/>
  <c r="X1073" i="5" a="1"/>
  <c r="X1073" i="5" s="1"/>
  <c r="X827" i="5" a="1"/>
  <c r="X827" i="5" s="1"/>
  <c r="X948" i="5" a="1"/>
  <c r="X948" i="5" s="1"/>
  <c r="X1069" i="5" a="1"/>
  <c r="X1069" i="5" s="1"/>
  <c r="X823" i="5" a="1"/>
  <c r="X823" i="5" s="1"/>
  <c r="X960" i="5" a="1"/>
  <c r="X960" i="5" s="1"/>
  <c r="X1031" i="5" a="1"/>
  <c r="X1031" i="5" s="1"/>
  <c r="X45" i="5" a="1"/>
  <c r="X45" i="5" s="1"/>
  <c r="X332" i="5" a="1"/>
  <c r="X332" i="5" s="1"/>
  <c r="X168" i="5" a="1"/>
  <c r="X168" i="5" s="1"/>
  <c r="X685" i="5" a="1"/>
  <c r="X685" i="5" s="1"/>
  <c r="X518" i="5" a="1"/>
  <c r="X518" i="5" s="1"/>
  <c r="X471" i="5" a="1"/>
  <c r="X471" i="5" s="1"/>
  <c r="X312" i="5" a="1"/>
  <c r="X312" i="5" s="1"/>
  <c r="X265" i="5" a="1"/>
  <c r="X265" i="5" s="1"/>
  <c r="X218" i="5" a="1"/>
  <c r="X218" i="5" s="1"/>
  <c r="X166" i="5" a="1"/>
  <c r="X166" i="5" s="1"/>
  <c r="X683" i="5" a="1"/>
  <c r="X683" i="5" s="1"/>
  <c r="X752" i="5" a="1"/>
  <c r="X752" i="5" s="1"/>
  <c r="X899" i="5" a="1"/>
  <c r="X899" i="5" s="1"/>
  <c r="X1020" i="5" a="1"/>
  <c r="X1020" i="5" s="1"/>
  <c r="X744" i="5" a="1"/>
  <c r="X744" i="5" s="1"/>
  <c r="X903" i="5" a="1"/>
  <c r="X903" i="5" s="1"/>
  <c r="X117" i="5" a="1"/>
  <c r="X117" i="5" s="1"/>
  <c r="X404" i="5" a="1"/>
  <c r="X404" i="5" s="1"/>
  <c r="X245" i="5" a="1"/>
  <c r="X245" i="5" s="1"/>
  <c r="X757" i="5" a="1"/>
  <c r="X757" i="5" s="1"/>
  <c r="X590" i="5" a="1"/>
  <c r="X590" i="5" s="1"/>
  <c r="X543" i="5" a="1"/>
  <c r="X543" i="5" s="1"/>
  <c r="X384" i="5" a="1"/>
  <c r="X384" i="5" s="1"/>
  <c r="X337" i="5" a="1"/>
  <c r="X337" i="5" s="1"/>
  <c r="X290" i="5" a="1"/>
  <c r="X290" i="5" s="1"/>
  <c r="X243" i="5" a="1"/>
  <c r="X243" i="5" s="1"/>
  <c r="X755" i="5" a="1"/>
  <c r="X755" i="5" s="1"/>
  <c r="X834" i="5" a="1"/>
  <c r="X834" i="5" s="1"/>
  <c r="X971" i="5" a="1"/>
  <c r="X971" i="5" s="1"/>
  <c r="X28" i="5" a="1"/>
  <c r="X28" i="5" s="1"/>
  <c r="X830" i="5" a="1"/>
  <c r="X830" i="5" s="1"/>
  <c r="X76" i="5" a="1"/>
  <c r="X76" i="5" s="1"/>
  <c r="X220" i="5" a="1"/>
  <c r="X220" i="5" s="1"/>
  <c r="X732" i="5" a="1"/>
  <c r="X732" i="5" s="1"/>
  <c r="X573" i="5" a="1"/>
  <c r="X573" i="5" s="1"/>
  <c r="X406" i="5" a="1"/>
  <c r="X406" i="5" s="1"/>
  <c r="X359" i="5" a="1"/>
  <c r="X359" i="5" s="1"/>
  <c r="X200" i="5" a="1"/>
  <c r="X200" i="5" s="1"/>
  <c r="X136" i="5" a="1"/>
  <c r="X136" i="5" s="1"/>
  <c r="X30" i="5" a="1"/>
  <c r="X30" i="5" s="1"/>
  <c r="X618" i="5" a="1"/>
  <c r="X618" i="5" s="1"/>
  <c r="X571" i="5" a="1"/>
  <c r="X571" i="5" s="1"/>
  <c r="X1033" i="5" a="1"/>
  <c r="X1033" i="5" s="1"/>
  <c r="X779" i="5" a="1"/>
  <c r="X779" i="5" s="1"/>
  <c r="X908" i="5" a="1"/>
  <c r="X908" i="5" s="1"/>
  <c r="X1029" i="5" a="1"/>
  <c r="X1029" i="5" s="1"/>
  <c r="X784" i="5" a="1"/>
  <c r="X784" i="5" s="1"/>
  <c r="X148" i="5" a="1"/>
  <c r="X148" i="5" s="1"/>
  <c r="X292" i="5" a="1"/>
  <c r="X292" i="5" s="1"/>
  <c r="X102" i="5" a="1"/>
  <c r="X102" i="5" s="1"/>
  <c r="X645" i="5" a="1"/>
  <c r="X645" i="5" s="1"/>
  <c r="X478" i="5" a="1"/>
  <c r="X478" i="5" s="1"/>
  <c r="X431" i="5" a="1"/>
  <c r="X431" i="5" s="1"/>
  <c r="X272" i="5" a="1"/>
  <c r="X272" i="5" s="1"/>
  <c r="X225" i="5" a="1"/>
  <c r="X225" i="5" s="1"/>
  <c r="X175" i="5" a="1"/>
  <c r="X175" i="5" s="1"/>
  <c r="X97" i="5" a="1"/>
  <c r="X97" i="5" s="1"/>
  <c r="X643" i="5" a="1"/>
  <c r="X643" i="5" s="1"/>
  <c r="X672" i="5" a="1"/>
  <c r="X672" i="5" s="1"/>
  <c r="X859" i="5" a="1"/>
  <c r="X859" i="5" s="1"/>
  <c r="X980" i="5" a="1"/>
  <c r="X980" i="5" s="1"/>
  <c r="X22" i="5" a="1"/>
  <c r="X22" i="5" s="1"/>
  <c r="X855" i="5" a="1"/>
  <c r="X855" i="5" s="1"/>
  <c r="X992" i="5" a="1"/>
  <c r="X992" i="5" s="1"/>
  <c r="X682" i="5" a="1"/>
  <c r="X682" i="5" s="1"/>
  <c r="X141" i="5" a="1"/>
  <c r="X141" i="5" s="1"/>
  <c r="X428" i="5" a="1"/>
  <c r="X428" i="5" s="1"/>
  <c r="X269" i="5" a="1"/>
  <c r="X269" i="5" s="1"/>
  <c r="X780" i="5" a="1"/>
  <c r="X780" i="5" s="1"/>
  <c r="X614" i="5" a="1"/>
  <c r="X614" i="5" s="1"/>
  <c r="X567" i="5" a="1"/>
  <c r="X567" i="5" s="1"/>
  <c r="X408" i="5" a="1"/>
  <c r="X408" i="5" s="1"/>
  <c r="X361" i="5" a="1"/>
  <c r="X361" i="5" s="1"/>
  <c r="X314" i="5" a="1"/>
  <c r="X314" i="5" s="1"/>
  <c r="X267" i="5" a="1"/>
  <c r="X267" i="5" s="1"/>
  <c r="X686" i="5" a="1"/>
  <c r="X686" i="5" s="1"/>
  <c r="X858" i="5" a="1"/>
  <c r="X858" i="5" s="1"/>
  <c r="X995" i="5" a="1"/>
  <c r="X995" i="5" s="1"/>
  <c r="X678" i="5" a="1"/>
  <c r="X678" i="5" s="1"/>
  <c r="X854" i="5" a="1"/>
  <c r="X854" i="5" s="1"/>
  <c r="X991" i="5" a="1"/>
  <c r="X991" i="5" s="1"/>
  <c r="X869" i="5" a="1"/>
  <c r="X869" i="5" s="1"/>
  <c r="X139" i="5" a="1"/>
  <c r="X139" i="5" s="1"/>
  <c r="X66" i="5" a="1"/>
  <c r="X66" i="5" s="1"/>
  <c r="X628" i="5" a="1"/>
  <c r="X628" i="5" s="1"/>
  <c r="X469" i="5" a="1"/>
  <c r="X469" i="5" s="1"/>
  <c r="X302" i="5" a="1"/>
  <c r="X302" i="5" s="1"/>
  <c r="X255" i="5" a="1"/>
  <c r="X255" i="5" s="1"/>
  <c r="X767" i="5" a="1"/>
  <c r="X767" i="5" s="1"/>
  <c r="X608" i="5" a="1"/>
  <c r="X608" i="5" s="1"/>
  <c r="X561" i="5" a="1"/>
  <c r="X561" i="5" s="1"/>
  <c r="X514" i="5" a="1"/>
  <c r="X514" i="5" s="1"/>
  <c r="X467" i="5" a="1"/>
  <c r="X467" i="5" s="1"/>
  <c r="X929" i="5" a="1"/>
  <c r="X929" i="5" s="1"/>
  <c r="X1058" i="5" a="1"/>
  <c r="X1058" i="5" s="1"/>
  <c r="X804" i="5" a="1"/>
  <c r="X804" i="5" s="1"/>
  <c r="X925" i="5" a="1"/>
  <c r="X925" i="5" s="1"/>
  <c r="X1054" i="5" a="1"/>
  <c r="X1054" i="5" s="1"/>
  <c r="X816" i="5" a="1"/>
  <c r="X816" i="5" s="1"/>
  <c r="X870" i="5" a="1"/>
  <c r="X870" i="5" s="1"/>
  <c r="X44" i="5" a="1"/>
  <c r="X44" i="5" s="1"/>
  <c r="X186" i="5" a="1"/>
  <c r="X186" i="5" s="1"/>
  <c r="X700" i="5" a="1"/>
  <c r="X700" i="5" s="1"/>
  <c r="X541" i="5" a="1"/>
  <c r="X541" i="5" s="1"/>
  <c r="X374" i="5" a="1"/>
  <c r="X374" i="5" s="1"/>
  <c r="X327" i="5" a="1"/>
  <c r="X327" i="5" s="1"/>
  <c r="X160" i="5" a="1"/>
  <c r="X160" i="5" s="1"/>
  <c r="X78" i="5" a="1"/>
  <c r="X78" i="5" s="1"/>
  <c r="X633" i="5" a="1"/>
  <c r="X633" i="5" s="1"/>
  <c r="X586" i="5" a="1"/>
  <c r="X586" i="5" s="1"/>
  <c r="X539" i="5" a="1"/>
  <c r="X539" i="5" s="1"/>
  <c r="X1001" i="5" a="1"/>
  <c r="X1001" i="5" s="1"/>
  <c r="X721" i="5" a="1"/>
  <c r="X721" i="5" s="1"/>
  <c r="X876" i="5" a="1"/>
  <c r="X876" i="5" s="1"/>
  <c r="X1062" i="5" a="1"/>
  <c r="X1062" i="5" s="1"/>
  <c r="X775" i="5" a="1"/>
  <c r="X775" i="5" s="1"/>
  <c r="X37" i="5" a="1"/>
  <c r="X37" i="5" s="1"/>
  <c r="X324" i="5" a="1"/>
  <c r="X324" i="5" s="1"/>
  <c r="X154" i="5" a="1"/>
  <c r="X154" i="5" s="1"/>
  <c r="X677" i="5" a="1"/>
  <c r="X677" i="5" s="1"/>
  <c r="X510" i="5" a="1"/>
  <c r="X510" i="5" s="1"/>
  <c r="X463" i="5" a="1"/>
  <c r="X463" i="5" s="1"/>
  <c r="X304" i="5" a="1"/>
  <c r="X304" i="5" s="1"/>
  <c r="X257" i="5" a="1"/>
  <c r="X257" i="5" s="1"/>
  <c r="X210" i="5" a="1"/>
  <c r="X210" i="5" s="1"/>
  <c r="X152" i="5" a="1"/>
  <c r="X152" i="5" s="1"/>
  <c r="X675" i="5" a="1"/>
  <c r="X675" i="5" s="1"/>
  <c r="X736" i="5" a="1"/>
  <c r="X736" i="5" s="1"/>
  <c r="X891" i="5" a="1"/>
  <c r="X891" i="5" s="1"/>
  <c r="X1012" i="5" a="1"/>
  <c r="X1012" i="5" s="1"/>
  <c r="X728" i="5" a="1"/>
  <c r="X728" i="5" s="1"/>
  <c r="X887" i="5" a="1"/>
  <c r="X887" i="5" s="1"/>
  <c r="X1024" i="5" a="1"/>
  <c r="X1024" i="5" s="1"/>
  <c r="X976" i="5" a="1"/>
  <c r="X976" i="5" s="1"/>
  <c r="X109" i="5" a="1"/>
  <c r="X109" i="5" s="1"/>
  <c r="X396" i="5" a="1"/>
  <c r="X396" i="5" s="1"/>
  <c r="X237" i="5" a="1"/>
  <c r="X237" i="5" s="1"/>
  <c r="X749" i="5" a="1"/>
  <c r="X749" i="5" s="1"/>
  <c r="X582" i="5" a="1"/>
  <c r="X582" i="5" s="1"/>
  <c r="X535" i="5" a="1"/>
  <c r="X535" i="5" s="1"/>
  <c r="X376" i="5" a="1"/>
  <c r="X376" i="5" s="1"/>
  <c r="X329" i="5" a="1"/>
  <c r="X329" i="5" s="1"/>
  <c r="X282" i="5" a="1"/>
  <c r="X282" i="5" s="1"/>
  <c r="X235" i="5" a="1"/>
  <c r="X235" i="5" s="1"/>
  <c r="X747" i="5" a="1"/>
  <c r="X747" i="5" s="1"/>
  <c r="X826" i="5" a="1"/>
  <c r="X826" i="5" s="1"/>
  <c r="X963" i="5" a="1"/>
  <c r="X963" i="5" s="1"/>
  <c r="X12" i="5" a="1"/>
  <c r="X12" i="5" s="1"/>
  <c r="X822" i="5" a="1"/>
  <c r="X822" i="5" s="1"/>
  <c r="X793" i="5" a="1"/>
  <c r="X793" i="5" s="1"/>
  <c r="X39" i="5" a="1"/>
  <c r="X39" i="5" s="1"/>
  <c r="X468" i="5" a="1"/>
  <c r="X468" i="5" s="1"/>
  <c r="X309" i="5" a="1"/>
  <c r="X309" i="5" s="1"/>
  <c r="X119" i="5" a="1"/>
  <c r="X119" i="5" s="1"/>
  <c r="X654" i="5" a="1"/>
  <c r="X654" i="5" s="1"/>
  <c r="X607" i="5" a="1"/>
  <c r="X607" i="5" s="1"/>
  <c r="X448" i="5" a="1"/>
  <c r="X448" i="5" s="1"/>
  <c r="X401" i="5" a="1"/>
  <c r="X401" i="5" s="1"/>
  <c r="X354" i="5" a="1"/>
  <c r="X354" i="5" s="1"/>
  <c r="X307" i="5" a="1"/>
  <c r="X307" i="5" s="1"/>
  <c r="X766" i="5" a="1"/>
  <c r="X766" i="5" s="1"/>
  <c r="X898" i="5" a="1"/>
  <c r="X898" i="5" s="1"/>
  <c r="X1035" i="5" a="1"/>
  <c r="X1035" i="5" s="1"/>
  <c r="X758" i="5" a="1"/>
  <c r="X758" i="5" s="1"/>
  <c r="X894" i="5" a="1"/>
  <c r="X894" i="5" s="1"/>
  <c r="X140" i="5" a="1"/>
  <c r="X140" i="5" s="1"/>
  <c r="X284" i="5" a="1"/>
  <c r="X284" i="5" s="1"/>
  <c r="X86" i="5" a="1"/>
  <c r="X86" i="5" s="1"/>
  <c r="X637" i="5" a="1"/>
  <c r="X637" i="5" s="1"/>
  <c r="X470" i="5" a="1"/>
  <c r="X470" i="5" s="1"/>
  <c r="X423" i="5" a="1"/>
  <c r="X423" i="5" s="1"/>
  <c r="X264" i="5" a="1"/>
  <c r="X264" i="5" s="1"/>
  <c r="X217" i="5" a="1"/>
  <c r="X217" i="5" s="1"/>
  <c r="X162" i="5" a="1"/>
  <c r="X162" i="5" s="1"/>
  <c r="X81" i="5" a="1"/>
  <c r="X81" i="5" s="1"/>
  <c r="X635" i="5" a="1"/>
  <c r="X635" i="5" s="1"/>
  <c r="X29" i="5" a="1"/>
  <c r="X29" i="5" s="1"/>
  <c r="X851" i="5" a="1"/>
  <c r="X851" i="5" s="1"/>
  <c r="X972" i="5" a="1"/>
  <c r="X972" i="5" s="1"/>
  <c r="X21" i="5" a="1"/>
  <c r="X21" i="5" s="1"/>
  <c r="X847" i="5" a="1"/>
  <c r="X847" i="5" s="1"/>
  <c r="X69" i="5" a="1"/>
  <c r="X69" i="5" s="1"/>
  <c r="X356" i="5" a="1"/>
  <c r="X356" i="5" s="1"/>
  <c r="X197" i="5" a="1"/>
  <c r="X197" i="5" s="1"/>
  <c r="X709" i="5" a="1"/>
  <c r="X709" i="5" s="1"/>
  <c r="X542" i="5" a="1"/>
  <c r="X542" i="5" s="1"/>
  <c r="X495" i="5" a="1"/>
  <c r="X495" i="5" s="1"/>
  <c r="X336" i="5" a="1"/>
  <c r="X336" i="5" s="1"/>
  <c r="X289" i="5" a="1"/>
  <c r="X289" i="5" s="1"/>
  <c r="X242" i="5" a="1"/>
  <c r="X242" i="5" s="1"/>
  <c r="X194" i="5" a="1"/>
  <c r="X194" i="5" s="1"/>
  <c r="X707" i="5" a="1"/>
  <c r="X707" i="5" s="1"/>
  <c r="X787" i="5" a="1"/>
  <c r="X787" i="5" s="1"/>
  <c r="X923" i="5" a="1"/>
  <c r="X923" i="5" s="1"/>
  <c r="X1044" i="5" a="1"/>
  <c r="X1044" i="5" s="1"/>
  <c r="X783" i="5" a="1"/>
  <c r="X783" i="5" s="1"/>
  <c r="X919" i="5" a="1"/>
  <c r="X919" i="5" s="1"/>
  <c r="X1056" i="5" a="1"/>
  <c r="X1056" i="5" s="1"/>
  <c r="X1048" i="5" a="1"/>
  <c r="X1048" i="5" s="1"/>
  <c r="X63" i="5" a="1"/>
  <c r="X63" i="5" s="1"/>
  <c r="X492" i="5" a="1"/>
  <c r="X492" i="5" s="1"/>
  <c r="X333" i="5" a="1"/>
  <c r="X333" i="5" s="1"/>
  <c r="X158" i="5" a="1"/>
  <c r="X158" i="5" s="1"/>
  <c r="X73" i="5" a="1"/>
  <c r="X73" i="5" s="1"/>
  <c r="X631" i="5" a="1"/>
  <c r="X631" i="5" s="1"/>
  <c r="X472" i="5" a="1"/>
  <c r="X472" i="5" s="1"/>
  <c r="X425" i="5" a="1"/>
  <c r="X425" i="5" s="1"/>
  <c r="X378" i="5" a="1"/>
  <c r="X378" i="5" s="1"/>
  <c r="X331" i="5" a="1"/>
  <c r="X331" i="5" s="1"/>
  <c r="X794" i="5" a="1"/>
  <c r="X794" i="5" s="1"/>
  <c r="X922" i="5" a="1"/>
  <c r="X922" i="5" s="1"/>
  <c r="X1059" i="5" a="1"/>
  <c r="X1059" i="5" s="1"/>
  <c r="X790" i="5" a="1"/>
  <c r="X790" i="5" s="1"/>
  <c r="X918" i="5" a="1"/>
  <c r="X918" i="5" s="1"/>
  <c r="X1055" i="5" a="1"/>
  <c r="X1055" i="5" s="1"/>
  <c r="X712" i="5" a="1"/>
  <c r="X712" i="5" s="1"/>
  <c r="X36" i="5" a="1"/>
  <c r="X36" i="5" s="1"/>
  <c r="X177" i="5" a="1"/>
  <c r="X177" i="5" s="1"/>
  <c r="X692" i="5" a="1"/>
  <c r="X692" i="5" s="1"/>
  <c r="X533" i="5" a="1"/>
  <c r="X533" i="5" s="1"/>
  <c r="X366" i="5" a="1"/>
  <c r="X366" i="5" s="1"/>
  <c r="X319" i="5" a="1"/>
  <c r="X319" i="5" s="1"/>
  <c r="X146" i="5" a="1"/>
  <c r="X146" i="5" s="1"/>
  <c r="X62" i="5" a="1"/>
  <c r="X62" i="5" s="1"/>
  <c r="X625" i="5" a="1"/>
  <c r="X625" i="5" s="1"/>
  <c r="X578" i="5" a="1"/>
  <c r="X578" i="5" s="1"/>
  <c r="X531" i="5" a="1"/>
  <c r="X531" i="5" s="1"/>
  <c r="X993" i="5" a="1"/>
  <c r="X993" i="5" s="1"/>
  <c r="X705" i="5" a="1"/>
  <c r="X705" i="5" s="1"/>
  <c r="X868" i="5" a="1"/>
  <c r="X868" i="5" s="1"/>
  <c r="X989" i="5" a="1"/>
  <c r="X989" i="5" s="1"/>
  <c r="X713" i="5" a="1"/>
  <c r="X713" i="5" s="1"/>
  <c r="X880" i="5" a="1"/>
  <c r="X880" i="5" s="1"/>
  <c r="X729" i="5" a="1"/>
  <c r="X729" i="5" s="1"/>
  <c r="X108" i="5" a="1"/>
  <c r="X108" i="5" s="1"/>
  <c r="X252" i="5" a="1"/>
  <c r="X252" i="5" s="1"/>
  <c r="X764" i="5" a="1"/>
  <c r="X764" i="5" s="1"/>
  <c r="X605" i="5" a="1"/>
  <c r="X605" i="5" s="1"/>
  <c r="X438" i="5" a="1"/>
  <c r="X438" i="5" s="1"/>
  <c r="X391" i="5" a="1"/>
  <c r="X391" i="5" s="1"/>
  <c r="X232" i="5" a="1"/>
  <c r="X232" i="5" s="1"/>
  <c r="X183" i="5" a="1"/>
  <c r="X183" i="5" s="1"/>
  <c r="X112" i="5" a="1"/>
  <c r="X112" i="5" s="1"/>
  <c r="X650" i="5" a="1"/>
  <c r="X650" i="5" s="1"/>
  <c r="X603" i="5" a="1"/>
  <c r="X603" i="5" s="1"/>
  <c r="X1065" i="5" a="1"/>
  <c r="X1065" i="5" s="1"/>
  <c r="X819" i="5" a="1"/>
  <c r="X819" i="5" s="1"/>
  <c r="X940" i="5" a="1"/>
  <c r="X940" i="5" s="1"/>
  <c r="X815" i="5" a="1"/>
  <c r="X815" i="5" s="1"/>
  <c r="X666" i="5" a="1"/>
  <c r="X666" i="5" s="1"/>
  <c r="X101" i="5" a="1"/>
  <c r="X101" i="5" s="1"/>
  <c r="X388" i="5" a="1"/>
  <c r="X388" i="5" s="1"/>
  <c r="X229" i="5" a="1"/>
  <c r="X229" i="5" s="1"/>
  <c r="X741" i="5" a="1"/>
  <c r="X741" i="5" s="1"/>
  <c r="X574" i="5" a="1"/>
  <c r="X574" i="5" s="1"/>
  <c r="X527" i="5" a="1"/>
  <c r="X527" i="5" s="1"/>
  <c r="X368" i="5" a="1"/>
  <c r="X368" i="5" s="1"/>
  <c r="X321" i="5" a="1"/>
  <c r="X321" i="5" s="1"/>
  <c r="X274" i="5" a="1"/>
  <c r="X274" i="5" s="1"/>
  <c r="X227" i="5" a="1"/>
  <c r="X227" i="5" s="1"/>
  <c r="X739" i="5" a="1"/>
  <c r="X739" i="5" s="1"/>
  <c r="X818" i="5" a="1"/>
  <c r="X818" i="5" s="1"/>
  <c r="X955" i="5" a="1"/>
  <c r="X955" i="5" s="1"/>
  <c r="X5" i="5" a="1"/>
  <c r="X5" i="5" s="1"/>
  <c r="X814" i="5" a="1"/>
  <c r="X814" i="5" s="1"/>
  <c r="X951" i="5" a="1"/>
  <c r="X951" i="5" s="1"/>
  <c r="X24" i="5" a="1"/>
  <c r="X24" i="5" s="1"/>
  <c r="X856" i="5" a="1"/>
  <c r="X856" i="5" s="1"/>
  <c r="X31" i="5" a="1"/>
  <c r="X31" i="5" s="1"/>
  <c r="X460" i="5" a="1"/>
  <c r="X460" i="5" s="1"/>
  <c r="X301" i="5" a="1"/>
  <c r="X301" i="5" s="1"/>
  <c r="X104" i="5" a="1"/>
  <c r="X104" i="5" s="1"/>
  <c r="X646" i="5" a="1"/>
  <c r="X646" i="5" s="1"/>
  <c r="X599" i="5" a="1"/>
  <c r="X599" i="5" s="1"/>
  <c r="X440" i="5" a="1"/>
  <c r="X440" i="5" s="1"/>
  <c r="X393" i="5" a="1"/>
  <c r="X393" i="5" s="1"/>
  <c r="X346" i="5" a="1"/>
  <c r="X346" i="5" s="1"/>
  <c r="X299" i="5" a="1"/>
  <c r="X299" i="5" s="1"/>
  <c r="X750" i="5" a="1"/>
  <c r="X750" i="5" s="1"/>
  <c r="X890" i="5" a="1"/>
  <c r="X890" i="5" s="1"/>
  <c r="X1027" i="5" a="1"/>
  <c r="X1027" i="5" s="1"/>
  <c r="X742" i="5" a="1"/>
  <c r="X742" i="5" s="1"/>
  <c r="X886" i="5" a="1"/>
  <c r="X886" i="5" s="1"/>
  <c r="X43" i="5" a="1"/>
  <c r="X43" i="5" s="1"/>
  <c r="X103" i="5" a="1"/>
  <c r="X103" i="5" s="1"/>
  <c r="X532" i="5" a="1"/>
  <c r="X532" i="5" s="1"/>
  <c r="X373" i="5" a="1"/>
  <c r="X373" i="5" s="1"/>
  <c r="X206" i="5" a="1"/>
  <c r="X206" i="5" s="1"/>
  <c r="X145" i="5" a="1"/>
  <c r="X145" i="5" s="1"/>
  <c r="X671" i="5" a="1"/>
  <c r="X671" i="5" s="1"/>
  <c r="X512" i="5" a="1"/>
  <c r="X512" i="5" s="1"/>
  <c r="X465" i="5" a="1"/>
  <c r="X465" i="5" s="1"/>
  <c r="X418" i="5" a="1"/>
  <c r="X418" i="5" s="1"/>
  <c r="X371" i="5" a="1"/>
  <c r="X371" i="5" s="1"/>
  <c r="X833" i="5" a="1"/>
  <c r="X833" i="5" s="1"/>
  <c r="X962" i="5" a="1"/>
  <c r="X962" i="5" s="1"/>
  <c r="X27" i="5" a="1"/>
  <c r="X27" i="5" s="1"/>
  <c r="X829" i="5" a="1"/>
  <c r="X829" i="5" s="1"/>
  <c r="X839" i="5" a="1"/>
  <c r="X839" i="5" s="1"/>
  <c r="X61" i="5" a="1"/>
  <c r="X61" i="5" s="1"/>
  <c r="X348" i="5" a="1"/>
  <c r="X348" i="5" s="1"/>
  <c r="X188" i="5" a="1"/>
  <c r="X188" i="5" s="1"/>
  <c r="X701" i="5" a="1"/>
  <c r="X701" i="5" s="1"/>
  <c r="X534" i="5" a="1"/>
  <c r="X534" i="5" s="1"/>
  <c r="X487" i="5" a="1"/>
  <c r="X487" i="5" s="1"/>
  <c r="X328" i="5" a="1"/>
  <c r="X328" i="5" s="1"/>
  <c r="X281" i="5" a="1"/>
  <c r="X281" i="5" s="1"/>
  <c r="X234" i="5" a="1"/>
  <c r="X234" i="5" s="1"/>
  <c r="X185" i="5" a="1"/>
  <c r="X185" i="5" s="1"/>
  <c r="X699" i="5" a="1"/>
  <c r="X699" i="5" s="1"/>
  <c r="X778" i="5" a="1"/>
  <c r="X778" i="5" s="1"/>
  <c r="X915" i="5" a="1"/>
  <c r="X915" i="5" s="1"/>
  <c r="X1036" i="5" a="1"/>
  <c r="X1036" i="5" s="1"/>
  <c r="X773" i="5" a="1"/>
  <c r="X773" i="5" s="1"/>
  <c r="X911" i="5" a="1"/>
  <c r="X911" i="5" s="1"/>
  <c r="X133" i="5" a="1"/>
  <c r="X133" i="5" s="1"/>
  <c r="X420" i="5" a="1"/>
  <c r="X420" i="5" s="1"/>
  <c r="X261" i="5" a="1"/>
  <c r="X261" i="5" s="1"/>
  <c r="X772" i="5" a="1"/>
  <c r="X772" i="5" s="1"/>
  <c r="X606" i="5" a="1"/>
  <c r="X606" i="5" s="1"/>
  <c r="X559" i="5" a="1"/>
  <c r="X559" i="5" s="1"/>
  <c r="X400" i="5" a="1"/>
  <c r="X400" i="5" s="1"/>
  <c r="X353" i="5" a="1"/>
  <c r="X353" i="5" s="1"/>
  <c r="X306" i="5" a="1"/>
  <c r="X306" i="5" s="1"/>
  <c r="X259" i="5" a="1"/>
  <c r="X259" i="5" s="1"/>
  <c r="X670" i="5" a="1"/>
  <c r="X670" i="5" s="1"/>
  <c r="X850" i="5" a="1"/>
  <c r="X850" i="5" s="1"/>
  <c r="X987" i="5" a="1"/>
  <c r="X987" i="5" s="1"/>
  <c r="X16" i="5" a="1"/>
  <c r="X16" i="5" s="1"/>
  <c r="X846" i="5" a="1"/>
  <c r="X846" i="5" s="1"/>
  <c r="X983" i="5" a="1"/>
  <c r="X983" i="5" s="1"/>
  <c r="X888" i="5" a="1"/>
  <c r="X888" i="5" s="1"/>
  <c r="X67" i="5" a="1"/>
  <c r="X67" i="5" s="1"/>
  <c r="X40" i="5" a="1"/>
  <c r="X40" i="5" s="1"/>
  <c r="X556" i="5" a="1"/>
  <c r="X556" i="5" s="1"/>
  <c r="X397" i="5" a="1"/>
  <c r="X397" i="5" s="1"/>
  <c r="X230" i="5" a="1"/>
  <c r="X230" i="5" s="1"/>
  <c r="X181" i="5" a="1"/>
  <c r="X181" i="5" s="1"/>
  <c r="X695" i="5" a="1"/>
  <c r="X695" i="5" s="1"/>
  <c r="X536" i="5" a="1"/>
  <c r="X536" i="5" s="1"/>
  <c r="X489" i="5" a="1"/>
  <c r="X489" i="5" s="1"/>
  <c r="X442" i="5" a="1"/>
  <c r="X442" i="5" s="1"/>
  <c r="X395" i="5" a="1"/>
  <c r="X395" i="5" s="1"/>
  <c r="X857" i="5" a="1"/>
  <c r="X857" i="5" s="1"/>
  <c r="X986" i="5" a="1"/>
  <c r="X986" i="5" s="1"/>
  <c r="X674" i="5" a="1"/>
  <c r="X674" i="5" s="1"/>
  <c r="X853" i="5" a="1"/>
  <c r="X853" i="5" s="1"/>
  <c r="X982" i="5" a="1"/>
  <c r="X982" i="5" s="1"/>
  <c r="X714" i="5" a="1"/>
  <c r="X714" i="5" s="1"/>
  <c r="X998" i="5" a="1"/>
  <c r="X998" i="5" s="1"/>
  <c r="X100" i="5" a="1"/>
  <c r="X100" i="5" s="1"/>
  <c r="X244" i="5" a="1"/>
  <c r="X244" i="5" s="1"/>
  <c r="X756" i="5" a="1"/>
  <c r="X756" i="5" s="1"/>
  <c r="X597" i="5" a="1"/>
  <c r="X597" i="5" s="1"/>
  <c r="X430" i="5" a="1"/>
  <c r="X430" i="5" s="1"/>
  <c r="X383" i="5" a="1"/>
  <c r="X383" i="5" s="1"/>
  <c r="X224" i="5" a="1"/>
  <c r="X224" i="5" s="1"/>
  <c r="X174" i="5" a="1"/>
  <c r="X174" i="5" s="1"/>
  <c r="X96" i="5" a="1"/>
  <c r="X96" i="5" s="1"/>
  <c r="X642" i="5" a="1"/>
  <c r="X642" i="5" s="1"/>
  <c r="X595" i="5" a="1"/>
  <c r="X595" i="5" s="1"/>
  <c r="X1057" i="5" a="1"/>
  <c r="X1057" i="5" s="1"/>
  <c r="X811" i="5" a="1"/>
  <c r="X811" i="5" s="1"/>
  <c r="X932" i="5" a="1"/>
  <c r="X932" i="5" s="1"/>
  <c r="X1053" i="5" a="1"/>
  <c r="X1053" i="5" s="1"/>
  <c r="X807" i="5" a="1"/>
  <c r="X807" i="5" s="1"/>
  <c r="X944" i="5" a="1"/>
  <c r="X944" i="5" s="1"/>
  <c r="X1007" i="5" a="1"/>
  <c r="X1007" i="5" s="1"/>
  <c r="X172" i="5" a="1"/>
  <c r="X172" i="5" s="1"/>
  <c r="X316" i="5" a="1"/>
  <c r="X316" i="5" s="1"/>
  <c r="X143" i="5" a="1"/>
  <c r="X143" i="5" s="1"/>
  <c r="X669" i="5" a="1"/>
  <c r="X669" i="5" s="1"/>
  <c r="X502" i="5" a="1"/>
  <c r="X502" i="5" s="1"/>
  <c r="X455" i="5" a="1"/>
  <c r="X455" i="5" s="1"/>
  <c r="X296" i="5" a="1"/>
  <c r="X296" i="5" s="1"/>
  <c r="X249" i="5" a="1"/>
  <c r="X249" i="5" s="1"/>
  <c r="X202" i="5" a="1"/>
  <c r="X202" i="5" s="1"/>
  <c r="X138" i="5" a="1"/>
  <c r="X138" i="5" s="1"/>
  <c r="X667" i="5" a="1"/>
  <c r="X667" i="5" s="1"/>
  <c r="X720" i="5" a="1"/>
  <c r="X720" i="5" s="1"/>
  <c r="X883" i="5" a="1"/>
  <c r="X883" i="5" s="1"/>
  <c r="X1068" i="5" a="1"/>
  <c r="X1068" i="5" s="1"/>
  <c r="X943" i="5" a="1"/>
  <c r="X943" i="5" s="1"/>
  <c r="X1040" i="5" a="1"/>
  <c r="X1040" i="5" s="1"/>
  <c r="X165" i="5" a="1"/>
  <c r="X165" i="5" s="1"/>
  <c r="X452" i="5" a="1"/>
  <c r="X452" i="5" s="1"/>
  <c r="X293" i="5" a="1"/>
  <c r="X293" i="5" s="1"/>
  <c r="X88" i="5" a="1"/>
  <c r="X88" i="5" s="1"/>
  <c r="X638" i="5" a="1"/>
  <c r="X638" i="5" s="1"/>
  <c r="X591" i="5" a="1"/>
  <c r="X591" i="5" s="1"/>
  <c r="X432" i="5" a="1"/>
  <c r="X432" i="5" s="1"/>
  <c r="X385" i="5" a="1"/>
  <c r="X385" i="5" s="1"/>
  <c r="X338" i="5" a="1"/>
  <c r="X338" i="5" s="1"/>
  <c r="X291" i="5" a="1"/>
  <c r="X291" i="5" s="1"/>
  <c r="X734" i="5" a="1"/>
  <c r="X734" i="5" s="1"/>
  <c r="X882" i="5" a="1"/>
  <c r="X882" i="5" s="1"/>
  <c r="X1019" i="5" a="1"/>
  <c r="X1019" i="5" s="1"/>
  <c r="X726" i="5" a="1"/>
  <c r="X726" i="5" s="1"/>
  <c r="X878" i="5" a="1"/>
  <c r="X878" i="5" s="1"/>
  <c r="X1015" i="5" a="1"/>
  <c r="X1015" i="5" s="1"/>
  <c r="X761" i="5" a="1"/>
  <c r="X761" i="5" s="1"/>
  <c r="X35" i="5" a="1"/>
  <c r="X35" i="5" s="1"/>
  <c r="X95" i="5" a="1"/>
  <c r="X95" i="5" s="1"/>
  <c r="X524" i="5" a="1"/>
  <c r="X524" i="5" s="1"/>
  <c r="X365" i="5" a="1"/>
  <c r="X365" i="5" s="1"/>
  <c r="X198" i="5" a="1"/>
  <c r="X198" i="5" s="1"/>
  <c r="X134" i="5" a="1"/>
  <c r="X134" i="5" s="1"/>
  <c r="X663" i="5" a="1"/>
  <c r="X663" i="5" s="1"/>
  <c r="X504" i="5" a="1"/>
  <c r="X504" i="5" s="1"/>
  <c r="X457" i="5" a="1"/>
  <c r="X457" i="5" s="1"/>
  <c r="X410" i="5" a="1"/>
  <c r="X410" i="5" s="1"/>
  <c r="X363" i="5" a="1"/>
  <c r="X363" i="5" s="1"/>
  <c r="X825" i="5" a="1"/>
  <c r="X825" i="5" s="1"/>
  <c r="X954" i="5" a="1"/>
  <c r="X954" i="5" s="1"/>
  <c r="X19" i="5" a="1"/>
  <c r="X19" i="5" s="1"/>
  <c r="X821" i="5" a="1"/>
  <c r="X821" i="5" s="1"/>
  <c r="X950" i="5" a="1"/>
  <c r="X950" i="5" s="1"/>
  <c r="X107" i="5" a="1"/>
  <c r="X107" i="5" s="1"/>
  <c r="X49" i="5" a="1"/>
  <c r="X49" i="5" s="1"/>
  <c r="X596" i="5" a="1"/>
  <c r="X596" i="5" s="1"/>
  <c r="X437" i="5" a="1"/>
  <c r="X437" i="5" s="1"/>
  <c r="X270" i="5" a="1"/>
  <c r="X270" i="5" s="1"/>
  <c r="X223" i="5" a="1"/>
  <c r="X223" i="5" s="1"/>
  <c r="X735" i="5" a="1"/>
  <c r="X735" i="5" s="1"/>
  <c r="X576" i="5" a="1"/>
  <c r="X576" i="5" s="1"/>
  <c r="X529" i="5" a="1"/>
  <c r="X529" i="5" s="1"/>
  <c r="X482" i="5" a="1"/>
  <c r="X482" i="5" s="1"/>
  <c r="X435" i="5" a="1"/>
  <c r="X435" i="5" s="1"/>
  <c r="X897" i="5" a="1"/>
  <c r="X897" i="5" s="1"/>
  <c r="X1026" i="5" a="1"/>
  <c r="X1026" i="5" s="1"/>
  <c r="X754" i="5" a="1"/>
  <c r="X754" i="5" s="1"/>
  <c r="X893" i="5" a="1"/>
  <c r="X893" i="5" s="1"/>
  <c r="X785" i="5" a="1"/>
  <c r="X785" i="5" s="1"/>
  <c r="X125" i="5" a="1"/>
  <c r="X125" i="5" s="1"/>
  <c r="X412" i="5" a="1"/>
  <c r="X412" i="5" s="1"/>
  <c r="X253" i="5" a="1"/>
  <c r="X253" i="5" s="1"/>
  <c r="X765" i="5" a="1"/>
  <c r="X765" i="5" s="1"/>
  <c r="X598" i="5" a="1"/>
  <c r="X598" i="5" s="1"/>
  <c r="X551" i="5" a="1"/>
  <c r="X551" i="5" s="1"/>
  <c r="X392" i="5" a="1"/>
  <c r="X392" i="5" s="1"/>
  <c r="X345" i="5" a="1"/>
  <c r="X345" i="5" s="1"/>
  <c r="X298" i="5" a="1"/>
  <c r="X298" i="5" s="1"/>
  <c r="X251" i="5" a="1"/>
  <c r="X251" i="5" s="1"/>
  <c r="X763" i="5" a="1"/>
  <c r="X763" i="5" s="1"/>
  <c r="X842" i="5" a="1"/>
  <c r="X842" i="5" s="1"/>
  <c r="X979" i="5" a="1"/>
  <c r="X979" i="5" s="1"/>
  <c r="X14" i="5" a="1"/>
  <c r="X14" i="5" s="1"/>
  <c r="X838" i="5" a="1"/>
  <c r="X838" i="5" s="1"/>
  <c r="X975" i="5" a="1"/>
  <c r="X975" i="5" s="1"/>
  <c r="X55" i="5" a="1"/>
  <c r="X55" i="5" s="1"/>
  <c r="X484" i="5" a="1"/>
  <c r="X484" i="5" s="1"/>
  <c r="X325" i="5" a="1"/>
  <c r="X325" i="5" s="1"/>
  <c r="X144" i="5" a="1"/>
  <c r="X144" i="5" s="1"/>
  <c r="X57" i="5" a="1"/>
  <c r="X57" i="5" s="1"/>
  <c r="X623" i="5" a="1"/>
  <c r="X623" i="5" s="1"/>
  <c r="X464" i="5" a="1"/>
  <c r="X464" i="5" s="1"/>
  <c r="X417" i="5" a="1"/>
  <c r="X417" i="5" s="1"/>
  <c r="X370" i="5" a="1"/>
  <c r="X370" i="5" s="1"/>
  <c r="X323" i="5" a="1"/>
  <c r="X323" i="5" s="1"/>
  <c r="X786" i="5" a="1"/>
  <c r="X786" i="5" s="1"/>
  <c r="X914" i="5" a="1"/>
  <c r="X914" i="5" s="1"/>
  <c r="X1051" i="5" a="1"/>
  <c r="X1051" i="5" s="1"/>
  <c r="X782" i="5" a="1"/>
  <c r="X782" i="5" s="1"/>
  <c r="X910" i="5" a="1"/>
  <c r="X910" i="5" s="1"/>
  <c r="X1047" i="5" a="1"/>
  <c r="X1047" i="5" s="1"/>
  <c r="X9" i="5" a="1"/>
  <c r="X9" i="5" s="1"/>
  <c r="X131" i="5" a="1"/>
  <c r="X131" i="5" s="1"/>
  <c r="X46" i="5" a="1"/>
  <c r="X46" i="5" s="1"/>
  <c r="X620" i="5" a="1"/>
  <c r="X620" i="5" s="1"/>
  <c r="X461" i="5" a="1"/>
  <c r="X461" i="5" s="1"/>
  <c r="X294" i="5" a="1"/>
  <c r="X294" i="5" s="1"/>
  <c r="X247" i="5" a="1"/>
  <c r="X247" i="5" s="1"/>
  <c r="X759" i="5" a="1"/>
  <c r="X759" i="5" s="1"/>
  <c r="X600" i="5" a="1"/>
  <c r="X600" i="5" s="1"/>
  <c r="X553" i="5" a="1"/>
  <c r="X553" i="5" s="1"/>
  <c r="X506" i="5" a="1"/>
  <c r="X506" i="5" s="1"/>
  <c r="X459" i="5" a="1"/>
  <c r="X459" i="5" s="1"/>
  <c r="X921" i="5" a="1"/>
  <c r="X921" i="5" s="1"/>
  <c r="X1050" i="5" a="1"/>
  <c r="X1050" i="5" s="1"/>
  <c r="X797" i="5" a="1"/>
  <c r="X797" i="5" s="1"/>
  <c r="X917" i="5" a="1"/>
  <c r="X917" i="5" s="1"/>
  <c r="X1046" i="5" a="1"/>
  <c r="X1046" i="5" s="1"/>
  <c r="X808" i="5" a="1"/>
  <c r="X808" i="5" s="1"/>
  <c r="X879" i="5" a="1"/>
  <c r="X879" i="5" s="1"/>
  <c r="X164" i="5" a="1"/>
  <c r="X164" i="5" s="1"/>
  <c r="X308" i="5" a="1"/>
  <c r="X308" i="5" s="1"/>
  <c r="X129" i="5" a="1"/>
  <c r="X129" i="5" s="1"/>
  <c r="X661" i="5" a="1"/>
  <c r="X661" i="5" s="1"/>
  <c r="X494" i="5" a="1"/>
  <c r="X494" i="5" s="1"/>
  <c r="X447" i="5" a="1"/>
  <c r="X447" i="5" s="1"/>
  <c r="X288" i="5" a="1"/>
  <c r="X288" i="5" s="1"/>
  <c r="X241" i="5" a="1"/>
  <c r="X241" i="5" s="1"/>
  <c r="X193" i="5" a="1"/>
  <c r="X193" i="5" s="1"/>
  <c r="X127" i="5" a="1"/>
  <c r="X127" i="5" s="1"/>
  <c r="X659" i="5" a="1"/>
  <c r="X659" i="5" s="1"/>
  <c r="X704" i="5" a="1"/>
  <c r="X704" i="5" s="1"/>
  <c r="X875" i="5" a="1"/>
  <c r="X875" i="5" s="1"/>
  <c r="X996" i="5" a="1"/>
  <c r="X996" i="5" s="1"/>
  <c r="X696" i="5" a="1"/>
  <c r="X696" i="5" s="1"/>
  <c r="X871" i="5" a="1"/>
  <c r="X871" i="5" s="1"/>
  <c r="X1008" i="5" a="1"/>
  <c r="X1008" i="5" s="1"/>
  <c r="X952" i="5" a="1"/>
  <c r="X952" i="5" s="1"/>
  <c r="X93" i="5" a="1"/>
  <c r="X93" i="5" s="1"/>
  <c r="X380" i="5" a="1"/>
  <c r="X380" i="5" s="1"/>
  <c r="X221" i="5" a="1"/>
  <c r="X221" i="5" s="1"/>
  <c r="X733" i="5" a="1"/>
  <c r="X733" i="5" s="1"/>
  <c r="X566" i="5" a="1"/>
  <c r="X566" i="5" s="1"/>
  <c r="X519" i="5" a="1"/>
  <c r="X519" i="5" s="1"/>
  <c r="X360" i="5" a="1"/>
  <c r="X360" i="5" s="1"/>
  <c r="X313" i="5" a="1"/>
  <c r="X313" i="5" s="1"/>
  <c r="X266" i="5" a="1"/>
  <c r="X266" i="5" s="1"/>
  <c r="X219" i="5" a="1"/>
  <c r="X219" i="5" s="1"/>
  <c r="X731" i="5" a="1"/>
  <c r="X731" i="5" s="1"/>
  <c r="X810" i="5" a="1"/>
  <c r="X810" i="5" s="1"/>
  <c r="X947" i="5" a="1"/>
  <c r="X947" i="5" s="1"/>
  <c r="X710" i="5" a="1"/>
  <c r="X710" i="5" s="1"/>
  <c r="X1071" i="5" a="1"/>
  <c r="X1071" i="5" s="1"/>
  <c r="X920" i="5" a="1"/>
  <c r="X920" i="5" s="1"/>
  <c r="X87" i="5" a="1"/>
  <c r="X87" i="5" s="1"/>
  <c r="X516" i="5" a="1"/>
  <c r="X516" i="5" s="1"/>
  <c r="X357" i="5" a="1"/>
  <c r="X357" i="5" s="1"/>
  <c r="X189" i="5" a="1"/>
  <c r="X189" i="5" s="1"/>
  <c r="X120" i="5" a="1"/>
  <c r="X120" i="5" s="1"/>
  <c r="X655" i="5" a="1"/>
  <c r="X655" i="5" s="1"/>
  <c r="X496" i="5" a="1"/>
  <c r="X496" i="5" s="1"/>
  <c r="X449" i="5" a="1"/>
  <c r="X449" i="5" s="1"/>
  <c r="X402" i="5" a="1"/>
  <c r="X402" i="5" s="1"/>
  <c r="X355" i="5" a="1"/>
  <c r="X355" i="5" s="1"/>
  <c r="X817" i="5" a="1"/>
  <c r="X817" i="5" s="1"/>
  <c r="X946" i="5" a="1"/>
  <c r="X946" i="5" s="1"/>
  <c r="X11" i="5" a="1"/>
  <c r="X11" i="5" s="1"/>
  <c r="X813" i="5" a="1"/>
  <c r="X813" i="5" s="1"/>
  <c r="X942" i="5" a="1"/>
  <c r="X942" i="5" s="1"/>
  <c r="X8" i="5" a="1"/>
  <c r="X8" i="5" s="1"/>
  <c r="X895" i="5" a="1"/>
  <c r="X895" i="5" s="1"/>
  <c r="X99" i="5" a="1"/>
  <c r="X99" i="5" s="1"/>
  <c r="X41" i="5" a="1"/>
  <c r="X41" i="5" s="1"/>
  <c r="X588" i="5" a="1"/>
  <c r="X588" i="5" s="1"/>
  <c r="X429" i="5" a="1"/>
  <c r="X429" i="5" s="1"/>
  <c r="X262" i="5" a="1"/>
  <c r="X262" i="5" s="1"/>
  <c r="X215" i="5" a="1"/>
  <c r="X215" i="5" s="1"/>
  <c r="X727" i="5" a="1"/>
  <c r="X727" i="5" s="1"/>
  <c r="X568" i="5" a="1"/>
  <c r="X568" i="5" s="1"/>
  <c r="X521" i="5" a="1"/>
  <c r="X521" i="5" s="1"/>
  <c r="X474" i="5" a="1"/>
  <c r="X474" i="5" s="1"/>
  <c r="X427" i="5" a="1"/>
  <c r="X427" i="5" s="1"/>
  <c r="X889" i="5" a="1"/>
  <c r="X889" i="5" s="1"/>
  <c r="X1018" i="5" a="1"/>
  <c r="X1018" i="5" s="1"/>
  <c r="X738" i="5" a="1"/>
  <c r="X738" i="5" s="1"/>
  <c r="X885" i="5" a="1"/>
  <c r="X885" i="5" s="1"/>
  <c r="X1014" i="5" a="1"/>
  <c r="X1014" i="5" s="1"/>
  <c r="X171" i="5" a="1"/>
  <c r="X171" i="5" s="1"/>
  <c r="X128" i="5" a="1"/>
  <c r="X128" i="5" s="1"/>
  <c r="X660" i="5" a="1"/>
  <c r="X660" i="5" s="1"/>
  <c r="X501" i="5" a="1"/>
  <c r="X501" i="5" s="1"/>
  <c r="X334" i="5" a="1"/>
  <c r="X334" i="5" s="1"/>
  <c r="X287" i="5" a="1"/>
  <c r="X287" i="5" s="1"/>
  <c r="X90" i="5" a="1"/>
  <c r="X90" i="5" s="1"/>
  <c r="X640" i="5" a="1"/>
  <c r="X640" i="5" s="1"/>
  <c r="X593" i="5" a="1"/>
  <c r="X593" i="5" s="1"/>
  <c r="X546" i="5" a="1"/>
  <c r="X546" i="5" s="1"/>
  <c r="X499" i="5" a="1"/>
  <c r="X499" i="5" s="1"/>
  <c r="X961" i="5" a="1"/>
  <c r="X961" i="5" s="1"/>
  <c r="X18" i="5" a="1"/>
  <c r="X18" i="5" s="1"/>
  <c r="X836" i="5" a="1"/>
  <c r="X836" i="5" s="1"/>
  <c r="X957" i="5" a="1"/>
  <c r="X957" i="5" s="1"/>
  <c r="X1039" i="5" a="1"/>
  <c r="X1039" i="5" s="1"/>
  <c r="X47" i="5" a="1"/>
  <c r="X47" i="5" s="1"/>
  <c r="X476" i="5" a="1"/>
  <c r="X476" i="5" s="1"/>
  <c r="X317" i="5" a="1"/>
  <c r="X317" i="5" s="1"/>
  <c r="X130" i="5" a="1"/>
  <c r="X130" i="5" s="1"/>
  <c r="X662" i="5" a="1"/>
  <c r="X662" i="5" s="1"/>
  <c r="X615" i="5" a="1"/>
  <c r="X615" i="5" s="1"/>
  <c r="X456" i="5" a="1"/>
  <c r="X456" i="5" s="1"/>
  <c r="X409" i="5" a="1"/>
  <c r="X409" i="5" s="1"/>
  <c r="X362" i="5" a="1"/>
  <c r="X362" i="5" s="1"/>
  <c r="X315" i="5" a="1"/>
  <c r="X315" i="5" s="1"/>
  <c r="X777" i="5" a="1"/>
  <c r="X777" i="5" s="1"/>
  <c r="X906" i="5" a="1"/>
  <c r="X906" i="5" s="1"/>
  <c r="X1043" i="5" a="1"/>
  <c r="X1043" i="5" s="1"/>
  <c r="X770" i="5" a="1"/>
  <c r="X770" i="5" s="1"/>
  <c r="X902" i="5" a="1"/>
  <c r="X902" i="5" s="1"/>
  <c r="X59" i="5" a="1"/>
  <c r="X59" i="5" s="1"/>
  <c r="X32" i="5" a="1"/>
  <c r="X32" i="5" s="1"/>
  <c r="X548" i="5" a="1"/>
  <c r="X548" i="5" s="1"/>
  <c r="X389" i="5" a="1"/>
  <c r="X389" i="5" s="1"/>
  <c r="X222" i="5" a="1"/>
  <c r="X222" i="5" s="1"/>
  <c r="X170" i="5" a="1"/>
  <c r="X170" i="5" s="1"/>
  <c r="X687" i="5" a="1"/>
  <c r="X687" i="5" s="1"/>
  <c r="X528" i="5" a="1"/>
  <c r="X528" i="5" s="1"/>
  <c r="X481" i="5" a="1"/>
  <c r="X481" i="5" s="1"/>
  <c r="X434" i="5" a="1"/>
  <c r="X434" i="5" s="1"/>
  <c r="X387" i="5" a="1"/>
  <c r="X387" i="5" s="1"/>
  <c r="X849" i="5" a="1"/>
  <c r="X849" i="5" s="1"/>
  <c r="X978" i="5" a="1"/>
  <c r="X978" i="5" s="1"/>
  <c r="X23" i="5" a="1"/>
  <c r="X23" i="5" s="1"/>
  <c r="X845" i="5" a="1"/>
  <c r="X845" i="5" s="1"/>
  <c r="X974" i="5" a="1"/>
  <c r="X974" i="5" s="1"/>
  <c r="X698" i="5" a="1"/>
  <c r="X698" i="5" s="1"/>
  <c r="X776" i="5" a="1"/>
  <c r="X776" i="5" s="1"/>
  <c r="X195" i="5" a="1"/>
  <c r="X195" i="5" s="1"/>
  <c r="X167" i="5" a="1"/>
  <c r="X167" i="5" s="1"/>
  <c r="X684" i="5" a="1"/>
  <c r="X684" i="5" s="1"/>
  <c r="X525" i="5" a="1"/>
  <c r="X525" i="5" s="1"/>
  <c r="X358" i="5" a="1"/>
  <c r="X358" i="5" s="1"/>
  <c r="X311" i="5" a="1"/>
  <c r="X311" i="5" s="1"/>
  <c r="X135" i="5" a="1"/>
  <c r="X135" i="5" s="1"/>
  <c r="X664" i="5" a="1"/>
  <c r="X664" i="5" s="1"/>
  <c r="X617" i="5" a="1"/>
  <c r="X617" i="5" s="1"/>
  <c r="X570" i="5" a="1"/>
  <c r="X570" i="5" s="1"/>
  <c r="X523" i="5" a="1"/>
  <c r="X523" i="5" s="1"/>
  <c r="X985" i="5" a="1"/>
  <c r="X985" i="5" s="1"/>
  <c r="X689" i="5" a="1"/>
  <c r="X689" i="5" s="1"/>
  <c r="X860" i="5" a="1"/>
  <c r="X860" i="5" s="1"/>
  <c r="X981" i="5" a="1"/>
  <c r="X981" i="5" s="1"/>
  <c r="X697" i="5" a="1"/>
  <c r="X697" i="5" s="1"/>
  <c r="X872" i="5" a="1"/>
  <c r="X872" i="5" s="1"/>
  <c r="X746" i="5" a="1"/>
  <c r="X746" i="5" s="1"/>
  <c r="X85" i="5" a="1"/>
  <c r="X85" i="5" s="1"/>
  <c r="X372" i="5" a="1"/>
  <c r="X372" i="5" s="1"/>
  <c r="X213" i="5" a="1"/>
  <c r="X213" i="5" s="1"/>
  <c r="X725" i="5" a="1"/>
  <c r="X725" i="5" s="1"/>
  <c r="X558" i="5" a="1"/>
  <c r="X558" i="5" s="1"/>
  <c r="X511" i="5" a="1"/>
  <c r="X511" i="5" s="1"/>
  <c r="X352" i="5" a="1"/>
  <c r="X352" i="5" s="1"/>
  <c r="X305" i="5" a="1"/>
  <c r="X305" i="5" s="1"/>
  <c r="X258" i="5" a="1"/>
  <c r="X258" i="5" s="1"/>
  <c r="X211" i="5" a="1"/>
  <c r="X211" i="5" s="1"/>
  <c r="X723" i="5" a="1"/>
  <c r="X723" i="5" s="1"/>
  <c r="X803" i="5" a="1"/>
  <c r="X803" i="5" s="1"/>
  <c r="X939" i="5" a="1"/>
  <c r="X939" i="5" s="1"/>
  <c r="X1060" i="5" a="1"/>
  <c r="X1060" i="5" s="1"/>
  <c r="X799" i="5" a="1"/>
  <c r="X799" i="5" s="1"/>
  <c r="X935" i="5" a="1"/>
  <c r="X935" i="5" s="1"/>
  <c r="X1072" i="5" a="1"/>
  <c r="X1072" i="5" s="1"/>
  <c r="X968" i="5" a="1"/>
  <c r="X968" i="5" s="1"/>
  <c r="X157" i="5" a="1"/>
  <c r="X157" i="5" s="1"/>
  <c r="X444" i="5" a="1"/>
  <c r="X444" i="5" s="1"/>
  <c r="X285" i="5" a="1"/>
  <c r="X285" i="5" s="1"/>
  <c r="X72" i="5" a="1"/>
  <c r="X72" i="5" s="1"/>
  <c r="X630" i="5" a="1"/>
  <c r="X630" i="5" s="1"/>
  <c r="X583" i="5" a="1"/>
  <c r="X583" i="5" s="1"/>
  <c r="X424" i="5" a="1"/>
  <c r="X424" i="5" s="1"/>
  <c r="X377" i="5" a="1"/>
  <c r="X377" i="5" s="1"/>
  <c r="X330" i="5" a="1"/>
  <c r="X330" i="5" s="1"/>
  <c r="X283" i="5" a="1"/>
  <c r="X283" i="5" s="1"/>
  <c r="X718" i="5" a="1"/>
  <c r="X718" i="5" s="1"/>
  <c r="X874" i="5" a="1"/>
  <c r="X874" i="5" s="1"/>
  <c r="X1011" i="5" a="1"/>
  <c r="X1011" i="5" s="1"/>
  <c r="X933" i="5" a="1"/>
  <c r="X933" i="5" s="1"/>
  <c r="X824" i="5" a="1"/>
  <c r="X824" i="5" s="1"/>
  <c r="X91" i="5" a="1"/>
  <c r="X91" i="5" s="1"/>
  <c r="X33" i="5" a="1"/>
  <c r="X33" i="5" s="1"/>
  <c r="X580" i="5" a="1"/>
  <c r="X580" i="5" s="1"/>
  <c r="X421" i="5" a="1"/>
  <c r="X421" i="5" s="1"/>
  <c r="X254" i="5" a="1"/>
  <c r="X254" i="5" s="1"/>
  <c r="X207" i="5" a="1"/>
  <c r="X207" i="5" s="1"/>
  <c r="X719" i="5" a="1"/>
  <c r="X719" i="5" s="1"/>
  <c r="X560" i="5" a="1"/>
  <c r="X560" i="5" s="1"/>
  <c r="X513" i="5" a="1"/>
  <c r="X513" i="5" s="1"/>
  <c r="X466" i="5" a="1"/>
  <c r="X466" i="5" s="1"/>
  <c r="X419" i="5" a="1"/>
  <c r="X419" i="5" s="1"/>
  <c r="X881" i="5" a="1"/>
  <c r="X881" i="5" s="1"/>
  <c r="X1010" i="5" a="1"/>
  <c r="X1010" i="5" s="1"/>
  <c r="X722" i="5" a="1"/>
  <c r="X722" i="5" s="1"/>
  <c r="X877" i="5" a="1"/>
  <c r="X877" i="5" s="1"/>
  <c r="X1006" i="5" a="1"/>
  <c r="X1006" i="5" s="1"/>
  <c r="X762" i="5" a="1"/>
  <c r="X762" i="5" s="1"/>
  <c r="X1023" i="5" a="1"/>
  <c r="X1023" i="5" s="1"/>
  <c r="X163" i="5" a="1"/>
  <c r="X163" i="5" s="1"/>
  <c r="X114" i="5" a="1"/>
  <c r="X114" i="5" s="1"/>
  <c r="X652" i="5" a="1"/>
  <c r="X652" i="5" s="1"/>
  <c r="X493" i="5" a="1"/>
  <c r="X493" i="5" s="1"/>
  <c r="X326" i="5" a="1"/>
  <c r="X326" i="5" s="1"/>
  <c r="X279" i="5" a="1"/>
  <c r="X279" i="5" s="1"/>
  <c r="X74" i="5" a="1"/>
  <c r="X74" i="5" s="1"/>
  <c r="X632" i="5" a="1"/>
  <c r="X632" i="5" s="1"/>
  <c r="X585" i="5" a="1"/>
  <c r="X585" i="5" s="1"/>
  <c r="X538" i="5" a="1"/>
  <c r="X538" i="5" s="1"/>
  <c r="X491" i="5" a="1"/>
  <c r="X491" i="5" s="1"/>
  <c r="X953" i="5" a="1"/>
  <c r="X953" i="5" s="1"/>
  <c r="X10" i="5" a="1"/>
  <c r="X10" i="5" s="1"/>
  <c r="X828" i="5" a="1"/>
  <c r="X828" i="5" s="1"/>
  <c r="X949" i="5" a="1"/>
  <c r="X949" i="5" s="1"/>
  <c r="X7" i="5" a="1"/>
  <c r="X7" i="5" s="1"/>
  <c r="X68" i="5" a="1"/>
  <c r="X68" i="5" s="1"/>
  <c r="X212" i="5" a="1"/>
  <c r="X212" i="5" s="1"/>
  <c r="X724" i="5" a="1"/>
  <c r="X724" i="5" s="1"/>
  <c r="X565" i="5" a="1"/>
  <c r="X565" i="5" s="1"/>
  <c r="X398" i="5" a="1"/>
  <c r="X398" i="5" s="1"/>
  <c r="X351" i="5" a="1"/>
  <c r="X351" i="5" s="1"/>
  <c r="X191" i="5" a="1"/>
  <c r="X191" i="5" s="1"/>
  <c r="X122" i="5" a="1"/>
  <c r="X122" i="5" s="1"/>
  <c r="X657" i="5" a="1"/>
  <c r="X657" i="5" s="1"/>
  <c r="X610" i="5" a="1"/>
  <c r="X610" i="5" s="1"/>
  <c r="X563" i="5" a="1"/>
  <c r="X563" i="5" s="1"/>
  <c r="X1025" i="5" a="1"/>
  <c r="X1025" i="5" s="1"/>
  <c r="X769" i="5" a="1"/>
  <c r="X769" i="5" s="1"/>
  <c r="X900" i="5" a="1"/>
  <c r="X900" i="5" s="1"/>
  <c r="X1021" i="5" a="1"/>
  <c r="X1021" i="5" s="1"/>
  <c r="X984" i="5" a="1"/>
  <c r="X984" i="5" s="1"/>
  <c r="X51" i="5" a="1"/>
  <c r="X51" i="5" s="1"/>
  <c r="X111" i="5" a="1"/>
  <c r="X111" i="5" s="1"/>
  <c r="X540" i="5" a="1"/>
  <c r="X540" i="5" s="1"/>
  <c r="X381" i="5" a="1"/>
  <c r="X381" i="5" s="1"/>
  <c r="X214" i="5" a="1"/>
  <c r="X214" i="5" s="1"/>
  <c r="X159" i="5" a="1"/>
  <c r="X159" i="5" s="1"/>
  <c r="X679" i="5" a="1"/>
  <c r="X679" i="5" s="1"/>
  <c r="X520" i="5" a="1"/>
  <c r="X520" i="5" s="1"/>
  <c r="X473" i="5" a="1"/>
  <c r="X473" i="5" s="1"/>
  <c r="X426" i="5" a="1"/>
  <c r="X426" i="5" s="1"/>
  <c r="X379" i="5" a="1"/>
  <c r="X379" i="5" s="1"/>
  <c r="X841" i="5" a="1"/>
  <c r="X841" i="5" s="1"/>
  <c r="X970" i="5" a="1"/>
  <c r="X970" i="5" s="1"/>
  <c r="X20" i="5" a="1"/>
  <c r="X20" i="5" s="1"/>
  <c r="X837" i="5" a="1"/>
  <c r="X837" i="5" s="1"/>
  <c r="X966" i="5" a="1"/>
  <c r="X966" i="5" s="1"/>
  <c r="X123" i="5" a="1"/>
  <c r="X123" i="5" s="1"/>
  <c r="X42" i="5" a="1"/>
  <c r="X42" i="5" s="1"/>
  <c r="X612" i="5" a="1"/>
  <c r="X612" i="5" s="1"/>
  <c r="X453" i="5" a="1"/>
  <c r="X453" i="5" s="1"/>
  <c r="X286" i="5" a="1"/>
  <c r="X286" i="5" s="1"/>
  <c r="X239" i="5" a="1"/>
  <c r="X239" i="5" s="1"/>
  <c r="X751" i="5" a="1"/>
  <c r="X751" i="5" s="1"/>
  <c r="X592" i="5" a="1"/>
  <c r="X592" i="5" s="1"/>
  <c r="X545" i="5" a="1"/>
  <c r="X545" i="5" s="1"/>
  <c r="X498" i="5" a="1"/>
  <c r="X498" i="5" s="1"/>
  <c r="X451" i="5" a="1"/>
  <c r="X451" i="5" s="1"/>
  <c r="X913" i="5" a="1"/>
  <c r="X913" i="5" s="1"/>
  <c r="X1042" i="5" a="1"/>
  <c r="X1042" i="5" s="1"/>
  <c r="X789" i="5" a="1"/>
  <c r="X789" i="5" s="1"/>
  <c r="X909" i="5" a="1"/>
  <c r="X909" i="5" s="1"/>
  <c r="X1038" i="5" a="1"/>
  <c r="X1038" i="5" s="1"/>
  <c r="X801" i="5" a="1"/>
  <c r="X801" i="5" s="1"/>
  <c r="X958" i="5" a="1"/>
  <c r="X958" i="5" s="1"/>
  <c r="X92" i="5" a="1"/>
  <c r="X92" i="5" s="1"/>
  <c r="X236" i="5" a="1"/>
  <c r="X236" i="5" s="1"/>
  <c r="X748" i="5" a="1"/>
  <c r="X748" i="5" s="1"/>
  <c r="X589" i="5" a="1"/>
  <c r="X589" i="5" s="1"/>
  <c r="X422" i="5" a="1"/>
  <c r="X422" i="5" s="1"/>
  <c r="X375" i="5" a="1"/>
  <c r="X375" i="5" s="1"/>
  <c r="X216" i="5" a="1"/>
  <c r="X216" i="5" s="1"/>
  <c r="X161" i="5" a="1"/>
  <c r="X161" i="5" s="1"/>
  <c r="X80" i="5" a="1"/>
  <c r="X80" i="5" s="1"/>
  <c r="X634" i="5" a="1"/>
  <c r="X634" i="5" s="1"/>
  <c r="X587" i="5" a="1"/>
  <c r="X587" i="5" s="1"/>
  <c r="X1049" i="5" a="1"/>
  <c r="X1049" i="5" s="1"/>
  <c r="X796" i="5" a="1"/>
  <c r="X796" i="5" s="1"/>
  <c r="X924" i="5" a="1"/>
  <c r="X924" i="5" s="1"/>
  <c r="X1045" i="5" a="1"/>
  <c r="X1045" i="5" s="1"/>
  <c r="X800" i="5" a="1"/>
  <c r="X800" i="5" s="1"/>
  <c r="X936" i="5" a="1"/>
  <c r="X936" i="5" s="1"/>
  <c r="X959" i="5" a="1"/>
  <c r="X959" i="5" s="1"/>
  <c r="X149" i="5" a="1"/>
  <c r="X149" i="5" s="1"/>
  <c r="X436" i="5" a="1"/>
  <c r="X436" i="5" s="1"/>
  <c r="X277" i="5" a="1"/>
  <c r="X277" i="5" s="1"/>
  <c r="X54" i="5" a="1"/>
  <c r="X54" i="5" s="1"/>
  <c r="X622" i="5" a="1"/>
  <c r="X622" i="5" s="1"/>
  <c r="X575" i="5" a="1"/>
  <c r="X575" i="5" s="1"/>
  <c r="X416" i="5" a="1"/>
  <c r="X416" i="5" s="1"/>
  <c r="X369" i="5" a="1"/>
  <c r="X369" i="5" s="1"/>
  <c r="X322" i="5" a="1"/>
  <c r="X322" i="5" s="1"/>
  <c r="X275" i="5" a="1"/>
  <c r="X275" i="5" s="1"/>
  <c r="X702" i="5" a="1"/>
  <c r="X702" i="5" s="1"/>
  <c r="X866" i="5" a="1"/>
  <c r="X866" i="5" s="1"/>
  <c r="X1003" i="5" a="1"/>
  <c r="X1003" i="5" s="1"/>
  <c r="X694" i="5" a="1"/>
  <c r="X694" i="5" s="1"/>
  <c r="X862" i="5" a="1"/>
  <c r="X862" i="5" s="1"/>
  <c r="X999" i="5" a="1"/>
  <c r="X999" i="5" s="1"/>
  <c r="X1004" i="5" a="1"/>
  <c r="X1004" i="5" s="1"/>
  <c r="X912" i="5" a="1"/>
  <c r="X912" i="5" s="1"/>
  <c r="X79" i="5" a="1"/>
  <c r="X79" i="5" s="1"/>
  <c r="X508" i="5" a="1"/>
  <c r="X508" i="5" s="1"/>
  <c r="X349" i="5" a="1"/>
  <c r="X349" i="5" s="1"/>
  <c r="X180" i="5" a="1"/>
  <c r="X180" i="5" s="1"/>
  <c r="X105" i="5" a="1"/>
  <c r="X105" i="5" s="1"/>
  <c r="X647" i="5" a="1"/>
  <c r="X647" i="5" s="1"/>
  <c r="X488" i="5" a="1"/>
  <c r="X488" i="5" s="1"/>
  <c r="X441" i="5" a="1"/>
  <c r="X441" i="5" s="1"/>
  <c r="X394" i="5" a="1"/>
  <c r="X394" i="5" s="1"/>
  <c r="X347" i="5" a="1"/>
  <c r="X347" i="5" s="1"/>
  <c r="X809" i="5" a="1"/>
  <c r="X809" i="5" s="1"/>
  <c r="X938" i="5" a="1"/>
  <c r="X938" i="5" s="1"/>
  <c r="X4" i="5" a="1"/>
  <c r="X4" i="5" s="1"/>
  <c r="X1061" i="5" a="1"/>
  <c r="X1061" i="5" s="1"/>
  <c r="X1016" i="5" a="1"/>
  <c r="X1016" i="5" s="1"/>
  <c r="X155" i="5" a="1"/>
  <c r="X155" i="5" s="1"/>
  <c r="X98" i="5" a="1"/>
  <c r="X98" i="5" s="1"/>
  <c r="X644" i="5" a="1"/>
  <c r="X644" i="5" s="1"/>
  <c r="X485" i="5" a="1"/>
  <c r="X485" i="5" s="1"/>
  <c r="X318" i="5" a="1"/>
  <c r="X318" i="5" s="1"/>
  <c r="X271" i="5" a="1"/>
  <c r="X271" i="5" s="1"/>
  <c r="X58" i="5" a="1"/>
  <c r="X58" i="5" s="1"/>
  <c r="X624" i="5" a="1"/>
  <c r="X624" i="5" s="1"/>
  <c r="X577" i="5" a="1"/>
  <c r="X577" i="5" s="1"/>
  <c r="X530" i="5" a="1"/>
  <c r="X530" i="5" s="1"/>
  <c r="X483" i="5" a="1"/>
  <c r="X483" i="5" s="1"/>
  <c r="X945" i="5" a="1"/>
  <c r="X945" i="5" s="1"/>
  <c r="X3" i="5" a="1"/>
  <c r="X3" i="5" s="1"/>
  <c r="X820" i="5" a="1"/>
  <c r="X820" i="5" s="1"/>
  <c r="X941" i="5" a="1"/>
  <c r="X941" i="5" s="1"/>
  <c r="X1070" i="5" a="1"/>
  <c r="X1070" i="5" s="1"/>
  <c r="X832" i="5" a="1"/>
  <c r="X832" i="5" s="1"/>
  <c r="X904" i="5" a="1"/>
  <c r="X904" i="5" s="1"/>
  <c r="X60" i="5" a="1"/>
  <c r="X60" i="5" s="1"/>
  <c r="X204" i="5" a="1"/>
  <c r="X204" i="5" s="1"/>
  <c r="X716" i="5" a="1"/>
  <c r="X716" i="5" s="1"/>
  <c r="X557" i="5" a="1"/>
  <c r="X557" i="5" s="1"/>
  <c r="X390" i="5" a="1"/>
  <c r="X390" i="5" s="1"/>
  <c r="X343" i="5" a="1"/>
  <c r="X343" i="5" s="1"/>
  <c r="X182" i="5" a="1"/>
  <c r="X182" i="5" s="1"/>
  <c r="X110" i="5" a="1"/>
  <c r="X110" i="5" s="1"/>
  <c r="X649" i="5" a="1"/>
  <c r="X649" i="5" s="1"/>
  <c r="X602" i="5" a="1"/>
  <c r="X602" i="5" s="1"/>
  <c r="X555" i="5" a="1"/>
  <c r="X555" i="5" s="1"/>
  <c r="X1017" i="5" a="1"/>
  <c r="X1017" i="5" s="1"/>
  <c r="X753" i="5" a="1"/>
  <c r="X753" i="5" s="1"/>
  <c r="X892" i="5" a="1"/>
  <c r="X892" i="5" s="1"/>
  <c r="X1013" i="5" a="1"/>
  <c r="X1013" i="5" s="1"/>
  <c r="X831" i="5" a="1"/>
  <c r="X831" i="5" s="1"/>
  <c r="X132" i="5" a="1"/>
  <c r="X132" i="5" s="1"/>
  <c r="X276" i="5" a="1"/>
  <c r="X276" i="5" s="1"/>
  <c r="X70" i="5" a="1"/>
  <c r="X70" i="5" s="1"/>
  <c r="X629" i="5" a="1"/>
  <c r="X629" i="5" s="1"/>
  <c r="X462" i="5" a="1"/>
  <c r="X462" i="5" s="1"/>
  <c r="X415" i="5" a="1"/>
  <c r="X415" i="5" s="1"/>
  <c r="X256" i="5" a="1"/>
  <c r="X256" i="5" s="1"/>
  <c r="X209" i="5" a="1"/>
  <c r="X209" i="5" s="1"/>
  <c r="X151" i="5" a="1"/>
  <c r="X151" i="5" s="1"/>
  <c r="X65" i="5" a="1"/>
  <c r="X65" i="5" s="1"/>
  <c r="X627" i="5" a="1"/>
  <c r="X627" i="5" s="1"/>
  <c r="X25" i="5" a="1"/>
  <c r="X25" i="5" s="1"/>
  <c r="X843" i="5" a="1"/>
  <c r="X843" i="5" s="1"/>
  <c r="X964" i="5" a="1"/>
  <c r="X964" i="5" s="1"/>
  <c r="X13" i="5" a="1"/>
  <c r="X13" i="5" s="1"/>
  <c r="V59" i="8" a="1"/>
  <c r="V59" i="8" s="1"/>
  <c r="V51" i="8" a="1"/>
  <c r="V51" i="8" s="1"/>
  <c r="V69" i="8" a="1"/>
  <c r="V69" i="8" s="1"/>
  <c r="V196" i="8" a="1"/>
  <c r="V196" i="8" s="1"/>
  <c r="V246" i="8" a="1"/>
  <c r="V246" i="8" s="1"/>
  <c r="V247" i="8" a="1"/>
  <c r="V247" i="8" s="1"/>
  <c r="V368" i="8" a="1"/>
  <c r="V368" i="8" s="1"/>
  <c r="V410" i="8" a="1"/>
  <c r="V410" i="8" s="1"/>
  <c r="V471" i="8" a="1"/>
  <c r="V471" i="8" s="1"/>
  <c r="V520" i="8" a="1"/>
  <c r="V520" i="8" s="1"/>
  <c r="V602" i="8" a="1"/>
  <c r="V602" i="8" s="1"/>
  <c r="V607" i="8" a="1"/>
  <c r="V607" i="8" s="1"/>
  <c r="V753" i="8" a="1"/>
  <c r="V753" i="8" s="1"/>
  <c r="V788" i="8" a="1"/>
  <c r="V788" i="8" s="1"/>
  <c r="V878" i="8" a="1"/>
  <c r="V878" i="8" s="1"/>
  <c r="V913" i="8" a="1"/>
  <c r="V913" i="8" s="1"/>
  <c r="V997" i="8" a="1"/>
  <c r="V997" i="8" s="1"/>
  <c r="V1045" i="8" a="1"/>
  <c r="V1045" i="8" s="1"/>
  <c r="V37" i="8" a="1"/>
  <c r="V37" i="8" s="1"/>
  <c r="V119" i="8" a="1"/>
  <c r="V119" i="8" s="1"/>
  <c r="V304" i="8" a="1"/>
  <c r="V304" i="8" s="1"/>
  <c r="V173" i="8" a="1"/>
  <c r="V173" i="8" s="1"/>
  <c r="V345" i="8" a="1"/>
  <c r="V345" i="8" s="1"/>
  <c r="V339" i="8" a="1"/>
  <c r="V339" i="8" s="1"/>
  <c r="V414" i="8" a="1"/>
  <c r="V414" i="8" s="1"/>
  <c r="V477" i="8" a="1"/>
  <c r="V477" i="8" s="1"/>
  <c r="V557" i="8" a="1"/>
  <c r="V557" i="8" s="1"/>
  <c r="V642" i="8" a="1"/>
  <c r="V642" i="8" s="1"/>
  <c r="V668" i="8" a="1"/>
  <c r="V668" i="8" s="1"/>
  <c r="V776" i="8" a="1"/>
  <c r="V776" i="8" s="1"/>
  <c r="V803" i="8" a="1"/>
  <c r="V803" i="8" s="1"/>
  <c r="V887" i="8" a="1"/>
  <c r="V887" i="8" s="1"/>
  <c r="V941" i="8" a="1"/>
  <c r="V941" i="8" s="1"/>
  <c r="V1012" i="8" a="1"/>
  <c r="V1012" i="8" s="1"/>
  <c r="V1073" i="8" a="1"/>
  <c r="V1073" i="8" s="1"/>
  <c r="V109" i="8" a="1"/>
  <c r="V109" i="8" s="1"/>
  <c r="V243" i="8" a="1"/>
  <c r="V243" i="8" s="1"/>
  <c r="V298" i="8" a="1"/>
  <c r="V298" i="8" s="1"/>
  <c r="V328" i="8" a="1"/>
  <c r="V328" i="8" s="1"/>
  <c r="V383" i="8" a="1"/>
  <c r="V383" i="8" s="1"/>
  <c r="V421" i="8" a="1"/>
  <c r="V421" i="8" s="1"/>
  <c r="V532" i="8" a="1"/>
  <c r="V532" i="8" s="1"/>
  <c r="V542" i="8" a="1"/>
  <c r="V542" i="8" s="1"/>
  <c r="V646" i="8" a="1"/>
  <c r="V646" i="8" s="1"/>
  <c r="V626" i="8" a="1"/>
  <c r="V626" i="8" s="1"/>
  <c r="V731" i="8" a="1"/>
  <c r="V731" i="8" s="1"/>
  <c r="V824" i="8" a="1"/>
  <c r="V824" i="8" s="1"/>
  <c r="V845" i="8" a="1"/>
  <c r="V845" i="8" s="1"/>
  <c r="V936" i="8" a="1"/>
  <c r="V936" i="8" s="1"/>
  <c r="V990" i="8" a="1"/>
  <c r="V990" i="8" s="1"/>
  <c r="V1047" i="8" a="1"/>
  <c r="V1047" i="8" s="1"/>
  <c r="V54" i="8" a="1"/>
  <c r="V54" i="8" s="1"/>
  <c r="V223" i="8" a="1"/>
  <c r="V223" i="8" s="1"/>
  <c r="V261" i="8" a="1"/>
  <c r="V261" i="8" s="1"/>
  <c r="V274" i="8" a="1"/>
  <c r="V274" i="8" s="1"/>
  <c r="V380" i="8" a="1"/>
  <c r="V380" i="8" s="1"/>
  <c r="V442" i="8" a="1"/>
  <c r="V442" i="8" s="1"/>
  <c r="V486" i="8" a="1"/>
  <c r="V486" i="8" s="1"/>
  <c r="V526" i="8" a="1"/>
  <c r="V526" i="8" s="1"/>
  <c r="V600" i="8" a="1"/>
  <c r="V600" i="8" s="1"/>
  <c r="V623" i="8" a="1"/>
  <c r="V623" i="8" s="1"/>
  <c r="V706" i="8" a="1"/>
  <c r="V706" i="8" s="1"/>
  <c r="V805" i="8" a="1"/>
  <c r="V805" i="8" s="1"/>
  <c r="V856" i="8" a="1"/>
  <c r="V856" i="8" s="1"/>
  <c r="V937" i="8" a="1"/>
  <c r="V937" i="8" s="1"/>
  <c r="V974" i="8" a="1"/>
  <c r="V974" i="8" s="1"/>
  <c r="V1042" i="8" a="1"/>
  <c r="V1042" i="8" s="1"/>
  <c r="V68" i="8" a="1"/>
  <c r="V68" i="8" s="1"/>
  <c r="V127" i="8" a="1"/>
  <c r="V127" i="8" s="1"/>
  <c r="V253" i="8" a="1"/>
  <c r="V253" i="8" s="1"/>
  <c r="V136" i="8" a="1"/>
  <c r="V136" i="8" s="1"/>
  <c r="V344" i="8" a="1"/>
  <c r="V344" i="8" s="1"/>
  <c r="V302" i="8" a="1"/>
  <c r="V302" i="8" s="1"/>
  <c r="V425" i="8" a="1"/>
  <c r="V425" i="8" s="1"/>
  <c r="V440" i="8" a="1"/>
  <c r="V440" i="8" s="1"/>
  <c r="V564" i="8" a="1"/>
  <c r="V564" i="8" s="1"/>
  <c r="V660" i="8" a="1"/>
  <c r="V660" i="8" s="1"/>
  <c r="V628" i="8" a="1"/>
  <c r="V628" i="8" s="1"/>
  <c r="V747" i="8" a="1"/>
  <c r="V747" i="8" s="1"/>
  <c r="V819" i="8" a="1"/>
  <c r="V819" i="8" s="1"/>
  <c r="V867" i="8" a="1"/>
  <c r="V867" i="8" s="1"/>
  <c r="V897" i="8" a="1"/>
  <c r="V897" i="8" s="1"/>
  <c r="V1006" i="8" a="1"/>
  <c r="V1006" i="8" s="1"/>
  <c r="V1049" i="8" a="1"/>
  <c r="V1049" i="8" s="1"/>
  <c r="V65" i="8" a="1"/>
  <c r="V65" i="8" s="1"/>
  <c r="V113" i="8" a="1"/>
  <c r="V113" i="8" s="1"/>
  <c r="V155" i="8" a="1"/>
  <c r="V155" i="8" s="1"/>
  <c r="V156" i="8" a="1"/>
  <c r="V156" i="8" s="1"/>
  <c r="V385" i="8" a="1"/>
  <c r="V385" i="8" s="1"/>
  <c r="V397" i="8" a="1"/>
  <c r="V397" i="8" s="1"/>
  <c r="V493" i="8" a="1"/>
  <c r="V493" i="8" s="1"/>
  <c r="V426" i="8" a="1"/>
  <c r="V426" i="8" s="1"/>
  <c r="V582" i="8" a="1"/>
  <c r="V582" i="8" s="1"/>
  <c r="V634" i="8" a="1"/>
  <c r="V634" i="8" s="1"/>
  <c r="V715" i="8" a="1"/>
  <c r="V715" i="8" s="1"/>
  <c r="V783" i="8" a="1"/>
  <c r="V783" i="8" s="1"/>
  <c r="V860" i="8" a="1"/>
  <c r="V860" i="8" s="1"/>
  <c r="V895" i="8" a="1"/>
  <c r="V895" i="8" s="1"/>
  <c r="V956" i="8" a="1"/>
  <c r="V956" i="8" s="1"/>
  <c r="V1021" i="8" a="1"/>
  <c r="V1021" i="8" s="1"/>
  <c r="V3" i="8" a="1"/>
  <c r="V3" i="8" s="1"/>
  <c r="V138" i="8" a="1"/>
  <c r="V138" i="8" s="1"/>
  <c r="V211" i="8" a="1"/>
  <c r="V211" i="8" s="1"/>
  <c r="V249" i="8" a="1"/>
  <c r="V249" i="8" s="1"/>
  <c r="V272" i="8" a="1"/>
  <c r="V272" i="8" s="1"/>
  <c r="V367" i="8" a="1"/>
  <c r="V367" i="8" s="1"/>
  <c r="V389" i="8" a="1"/>
  <c r="V389" i="8" s="1"/>
  <c r="V484" i="8" a="1"/>
  <c r="V484" i="8" s="1"/>
  <c r="V544" i="8" a="1"/>
  <c r="V544" i="8" s="1"/>
  <c r="V616" i="8" a="1"/>
  <c r="V616" i="8" s="1"/>
  <c r="V690" i="8" a="1"/>
  <c r="V690" i="8" s="1"/>
  <c r="V766" i="8" a="1"/>
  <c r="V766" i="8" s="1"/>
  <c r="V807" i="8" a="1"/>
  <c r="V807" i="8" s="1"/>
  <c r="V857" i="8" a="1"/>
  <c r="V857" i="8" s="1"/>
  <c r="V904" i="8" a="1"/>
  <c r="V904" i="8" s="1"/>
  <c r="V958" i="8" a="1"/>
  <c r="V958" i="8" s="1"/>
  <c r="V1056" i="8" a="1"/>
  <c r="V1056" i="8" s="1"/>
  <c r="V77" i="8" a="1"/>
  <c r="V77" i="8" s="1"/>
  <c r="V255" i="8" a="1"/>
  <c r="V255" i="8" s="1"/>
  <c r="V163" i="8" a="1"/>
  <c r="V163" i="8" s="1"/>
  <c r="V323" i="8" a="1"/>
  <c r="V323" i="8" s="1"/>
  <c r="V7" i="8" a="1"/>
  <c r="V7" i="8" s="1"/>
  <c r="V2" i="8" a="1"/>
  <c r="V2" i="8" s="1"/>
  <c r="V16" i="8" a="1"/>
  <c r="V16" i="8" s="1"/>
  <c r="V1038" i="8" a="1"/>
  <c r="V1038" i="8" s="1"/>
  <c r="V966" i="8" a="1"/>
  <c r="V966" i="8" s="1"/>
  <c r="V918" i="8" a="1"/>
  <c r="V918" i="8" s="1"/>
  <c r="V838" i="8" a="1"/>
  <c r="V838" i="8" s="1"/>
  <c r="V804" i="8" a="1"/>
  <c r="V804" i="8" s="1"/>
  <c r="V725" i="8" a="1"/>
  <c r="V725" i="8" s="1"/>
  <c r="V648" i="8" a="1"/>
  <c r="V648" i="8" s="1"/>
  <c r="V584" i="8" a="1"/>
  <c r="V584" i="8" s="1"/>
  <c r="V448" i="8" a="1"/>
  <c r="V448" i="8" s="1"/>
  <c r="V508" i="8" a="1"/>
  <c r="V508" i="8" s="1"/>
  <c r="V407" i="8" a="1"/>
  <c r="V407" i="8" s="1"/>
  <c r="V306" i="8" a="1"/>
  <c r="V306" i="8" s="1"/>
  <c r="V178" i="8" a="1"/>
  <c r="V178" i="8" s="1"/>
  <c r="V165" i="8" a="1"/>
  <c r="V165" i="8" s="1"/>
  <c r="V130" i="8" a="1"/>
  <c r="V130" i="8" s="1"/>
  <c r="V28" i="8" a="1"/>
  <c r="V28" i="8" s="1"/>
  <c r="V1029" i="8" a="1"/>
  <c r="V1029" i="8" s="1"/>
  <c r="V968" i="8" a="1"/>
  <c r="V968" i="8" s="1"/>
  <c r="V908" i="8" a="1"/>
  <c r="V908" i="8" s="1"/>
  <c r="V818" i="8" a="1"/>
  <c r="V818" i="8" s="1"/>
  <c r="V738" i="8" a="1"/>
  <c r="V738" i="8" s="1"/>
  <c r="V732" i="8" a="1"/>
  <c r="V732" i="8" s="1"/>
  <c r="V670" i="8" a="1"/>
  <c r="V670" i="8" s="1"/>
  <c r="V576" i="8" a="1"/>
  <c r="V576" i="8" s="1"/>
  <c r="V470" i="8" a="1"/>
  <c r="V470" i="8" s="1"/>
  <c r="V451" i="8" a="1"/>
  <c r="V451" i="8" s="1"/>
  <c r="V366" i="8" a="1"/>
  <c r="V366" i="8" s="1"/>
  <c r="V361" i="8" a="1"/>
  <c r="V361" i="8" s="1"/>
  <c r="V295" i="8" a="1"/>
  <c r="V295" i="8" s="1"/>
  <c r="V241" i="8" a="1"/>
  <c r="V241" i="8" s="1"/>
  <c r="V115" i="8" a="1"/>
  <c r="V115" i="8" s="1"/>
  <c r="V61" i="8" a="1"/>
  <c r="V61" i="8" s="1"/>
  <c r="V1060" i="8" a="1"/>
  <c r="V1060" i="8" s="1"/>
  <c r="V74" i="8" a="1"/>
  <c r="V74" i="8" s="1"/>
  <c r="V1003" i="8" a="1"/>
  <c r="V1003" i="8" s="1"/>
  <c r="V934" i="8" a="1"/>
  <c r="V934" i="8" s="1"/>
  <c r="V898" i="8" a="1"/>
  <c r="V898" i="8" s="1"/>
  <c r="V791" i="8" a="1"/>
  <c r="V791" i="8" s="1"/>
  <c r="V735" i="8" a="1"/>
  <c r="V735" i="8" s="1"/>
  <c r="V691" i="8" a="1"/>
  <c r="V691" i="8" s="1"/>
  <c r="V688" i="8" a="1"/>
  <c r="V688" i="8" s="1"/>
  <c r="V567" i="8" a="1"/>
  <c r="V567" i="8" s="1"/>
  <c r="V518" i="8" a="1"/>
  <c r="V518" i="8" s="1"/>
  <c r="V463" i="8" a="1"/>
  <c r="V463" i="8" s="1"/>
  <c r="V325" i="8" a="1"/>
  <c r="V325" i="8" s="1"/>
  <c r="V316" i="8" a="1"/>
  <c r="V316" i="8" s="1"/>
  <c r="V227" i="8" a="1"/>
  <c r="V227" i="8" s="1"/>
  <c r="V1068" i="8" a="1"/>
  <c r="V1068" i="8" s="1"/>
  <c r="V1013" i="8" a="1"/>
  <c r="V1013" i="8" s="1"/>
  <c r="V924" i="8" a="1"/>
  <c r="V924" i="8" s="1"/>
  <c r="V890" i="8" a="1"/>
  <c r="V890" i="8" s="1"/>
  <c r="V834" i="8" a="1"/>
  <c r="V834" i="8" s="1"/>
  <c r="V758" i="8" a="1"/>
  <c r="V758" i="8" s="1"/>
  <c r="V654" i="8" a="1"/>
  <c r="V654" i="8" s="1"/>
  <c r="V685" i="8" a="1"/>
  <c r="V685" i="8" s="1"/>
  <c r="V1062" i="8" a="1"/>
  <c r="V1062" i="8" s="1"/>
  <c r="V963" i="8" a="1"/>
  <c r="V963" i="8" s="1"/>
  <c r="V909" i="8" a="1"/>
  <c r="V909" i="8" s="1"/>
  <c r="V873" i="8" a="1"/>
  <c r="V873" i="8" s="1"/>
  <c r="V812" i="8" a="1"/>
  <c r="V812" i="8" s="1"/>
  <c r="V704" i="8" a="1"/>
  <c r="V704" i="8" s="1"/>
  <c r="V610" i="8" a="1"/>
  <c r="V610" i="8" s="1"/>
  <c r="V630" i="8" a="1"/>
  <c r="V630" i="8" s="1"/>
  <c r="V1066" i="8" a="1"/>
  <c r="V1066" i="8" s="1"/>
  <c r="V987" i="8" a="1"/>
  <c r="V987" i="8" s="1"/>
  <c r="V951" i="8" a="1"/>
  <c r="V951" i="8" s="1"/>
  <c r="V869" i="8" a="1"/>
  <c r="V869" i="8" s="1"/>
  <c r="V773" i="8" a="1"/>
  <c r="V773" i="8" s="1"/>
  <c r="V716" i="8" a="1"/>
  <c r="V716" i="8" s="1"/>
  <c r="V633" i="8" a="1"/>
  <c r="V633" i="8" s="1"/>
  <c r="V90" i="8" a="1"/>
  <c r="V90" i="8" s="1"/>
  <c r="V1040" i="8" a="1"/>
  <c r="V1040" i="8" s="1"/>
  <c r="V984" i="8" a="1"/>
  <c r="V984" i="8" s="1"/>
  <c r="V920" i="8" a="1"/>
  <c r="V920" i="8" s="1"/>
  <c r="V849" i="8" a="1"/>
  <c r="V849" i="8" s="1"/>
  <c r="V782" i="8" a="1"/>
  <c r="V782" i="8" s="1"/>
  <c r="V743" i="8" a="1"/>
  <c r="V743" i="8" s="1"/>
  <c r="V651" i="8" a="1"/>
  <c r="V651" i="8" s="1"/>
  <c r="V578" i="8" a="1"/>
  <c r="V578" i="8" s="1"/>
  <c r="V14" i="8" a="1"/>
  <c r="V14" i="8" s="1"/>
  <c r="V5" i="8" a="1"/>
  <c r="V5" i="8" s="1"/>
  <c r="V1041" i="8" a="1"/>
  <c r="V1041" i="8" s="1"/>
  <c r="V994" i="8" a="1"/>
  <c r="V994" i="8" s="1"/>
  <c r="V891" i="8" a="1"/>
  <c r="V891" i="8" s="1"/>
  <c r="V868" i="8" a="1"/>
  <c r="V868" i="8" s="1"/>
  <c r="V784" i="8" a="1"/>
  <c r="V784" i="8" s="1"/>
  <c r="V718" i="8" a="1"/>
  <c r="V718" i="8" s="1"/>
  <c r="V606" i="8" a="1"/>
  <c r="V606" i="8" s="1"/>
  <c r="V595" i="8" a="1"/>
  <c r="V595" i="8" s="1"/>
  <c r="V506" i="8" a="1"/>
  <c r="V506" i="8" s="1"/>
  <c r="V454" i="8" a="1"/>
  <c r="V454" i="8" s="1"/>
  <c r="V405" i="8" a="1"/>
  <c r="V405" i="8" s="1"/>
  <c r="V364" i="8" a="1"/>
  <c r="V364" i="8" s="1"/>
  <c r="V242" i="8" a="1"/>
  <c r="V242" i="8" s="1"/>
  <c r="V229" i="8" a="1"/>
  <c r="V229" i="8" s="1"/>
  <c r="V36" i="8" a="1"/>
  <c r="V36" i="8" s="1"/>
  <c r="V40" i="8" a="1"/>
  <c r="V40" i="8" s="1"/>
  <c r="V31" i="8" a="1"/>
  <c r="V31" i="8" s="1"/>
  <c r="V260" i="8" a="1"/>
  <c r="V260" i="8" s="1"/>
  <c r="V299" i="8" a="1"/>
  <c r="V299" i="8" s="1"/>
  <c r="V166" i="8" a="1"/>
  <c r="V166" i="8" s="1"/>
  <c r="V336" i="8" a="1"/>
  <c r="V336" i="8" s="1"/>
  <c r="V420" i="8" a="1"/>
  <c r="V420" i="8" s="1"/>
  <c r="V469" i="8" a="1"/>
  <c r="V469" i="8" s="1"/>
  <c r="V536" i="8" a="1"/>
  <c r="V536" i="8" s="1"/>
  <c r="V579" i="8" a="1"/>
  <c r="V579" i="8" s="1"/>
  <c r="V662" i="8" a="1"/>
  <c r="V662" i="8" s="1"/>
  <c r="V744" i="8" a="1"/>
  <c r="V744" i="8" s="1"/>
  <c r="V800" i="8" a="1"/>
  <c r="V800" i="8" s="1"/>
  <c r="V866" i="8" a="1"/>
  <c r="V866" i="8" s="1"/>
  <c r="V925" i="8" a="1"/>
  <c r="V925" i="8" s="1"/>
  <c r="V989" i="8" a="1"/>
  <c r="V989" i="8" s="1"/>
  <c r="V1050" i="8" a="1"/>
  <c r="V1050" i="8" s="1"/>
  <c r="V30" i="8" a="1"/>
  <c r="V30" i="8" s="1"/>
  <c r="V93" i="8" a="1"/>
  <c r="V93" i="8" s="1"/>
  <c r="V199" i="8" a="1"/>
  <c r="V199" i="8" s="1"/>
  <c r="V237" i="8" a="1"/>
  <c r="V237" i="8" s="1"/>
  <c r="V332" i="8" a="1"/>
  <c r="V332" i="8" s="1"/>
  <c r="V341" i="8" a="1"/>
  <c r="V341" i="8" s="1"/>
  <c r="V473" i="8" a="1"/>
  <c r="V473" i="8" s="1"/>
  <c r="V531" i="8" a="1"/>
  <c r="V531" i="8" s="1"/>
  <c r="V538" i="8" a="1"/>
  <c r="V538" i="8" s="1"/>
  <c r="V619" i="8" a="1"/>
  <c r="V619" i="8" s="1"/>
  <c r="V695" i="8" a="1"/>
  <c r="V695" i="8" s="1"/>
  <c r="V737" i="8" a="1"/>
  <c r="V737" i="8" s="1"/>
  <c r="V801" i="8" a="1"/>
  <c r="V801" i="8" s="1"/>
  <c r="V882" i="8" a="1"/>
  <c r="V882" i="8" s="1"/>
  <c r="V953" i="8" a="1"/>
  <c r="V953" i="8" s="1"/>
  <c r="V1017" i="8" a="1"/>
  <c r="V1017" i="8" s="1"/>
  <c r="V9" i="8" a="1"/>
  <c r="V9" i="8" s="1"/>
  <c r="V132" i="8" a="1"/>
  <c r="V132" i="8" s="1"/>
  <c r="V140" i="8" a="1"/>
  <c r="V140" i="8" s="1"/>
  <c r="V190" i="8" a="1"/>
  <c r="V190" i="8" s="1"/>
  <c r="V346" i="8" a="1"/>
  <c r="V346" i="8" s="1"/>
  <c r="V340" i="8" a="1"/>
  <c r="V340" i="8" s="1"/>
  <c r="V419" i="8" a="1"/>
  <c r="V419" i="8" s="1"/>
  <c r="V482" i="8" a="1"/>
  <c r="V482" i="8" s="1"/>
  <c r="V562" i="8" a="1"/>
  <c r="V562" i="8" s="1"/>
  <c r="V649" i="8" a="1"/>
  <c r="V649" i="8" s="1"/>
  <c r="V675" i="8" a="1"/>
  <c r="V675" i="8" s="1"/>
  <c r="V697" i="8" a="1"/>
  <c r="V697" i="8" s="1"/>
  <c r="V808" i="8" a="1"/>
  <c r="V808" i="8" s="1"/>
  <c r="V879" i="8" a="1"/>
  <c r="V879" i="8" s="1"/>
  <c r="V943" i="8" a="1"/>
  <c r="V943" i="8" s="1"/>
  <c r="V1015" i="8" a="1"/>
  <c r="V1015" i="8" s="1"/>
  <c r="V1072" i="8" a="1"/>
  <c r="V1072" i="8" s="1"/>
  <c r="V27" i="8" a="1"/>
  <c r="V27" i="8" s="1"/>
  <c r="V290" i="8" a="1"/>
  <c r="V290" i="8" s="1"/>
  <c r="V170" i="8" a="1"/>
  <c r="V170" i="8" s="1"/>
  <c r="V181" i="8" a="1"/>
  <c r="V181" i="8" s="1"/>
  <c r="V282" i="8" a="1"/>
  <c r="V282" i="8" s="1"/>
  <c r="V391" i="8" a="1"/>
  <c r="V391" i="8" s="1"/>
  <c r="V496" i="8" a="1"/>
  <c r="V496" i="8" s="1"/>
  <c r="V563" i="8" a="1"/>
  <c r="V563" i="8" s="1"/>
  <c r="V629" i="8" a="1"/>
  <c r="V629" i="8" s="1"/>
  <c r="V683" i="8" a="1"/>
  <c r="V683" i="8" s="1"/>
  <c r="V764" i="8" a="1"/>
  <c r="V764" i="8" s="1"/>
  <c r="V775" i="8" a="1"/>
  <c r="V775" i="8" s="1"/>
  <c r="V837" i="8" a="1"/>
  <c r="V837" i="8" s="1"/>
  <c r="V930" i="8" a="1"/>
  <c r="V930" i="8" s="1"/>
  <c r="V955" i="8" a="1"/>
  <c r="V955" i="8" s="1"/>
  <c r="V1043" i="8" a="1"/>
  <c r="V1043" i="8" s="1"/>
  <c r="V84" i="8" a="1"/>
  <c r="V84" i="8" s="1"/>
  <c r="V112" i="8" a="1"/>
  <c r="V112" i="8" s="1"/>
  <c r="V162" i="8" a="1"/>
  <c r="V162" i="8" s="1"/>
  <c r="V200" i="8" a="1"/>
  <c r="V200" i="8" s="1"/>
  <c r="V291" i="8" a="1"/>
  <c r="V291" i="8" s="1"/>
  <c r="V300" i="8" a="1"/>
  <c r="V300" i="8" s="1"/>
  <c r="V434" i="8" a="1"/>
  <c r="V434" i="8" s="1"/>
  <c r="V504" i="8" a="1"/>
  <c r="V504" i="8" s="1"/>
  <c r="V540" i="8" a="1"/>
  <c r="V540" i="8" s="1"/>
  <c r="V663" i="8" a="1"/>
  <c r="V663" i="8" s="1"/>
  <c r="V696" i="8" a="1"/>
  <c r="V696" i="8" s="1"/>
  <c r="V719" i="8" a="1"/>
  <c r="V719" i="8" s="1"/>
  <c r="V820" i="8" a="1"/>
  <c r="V820" i="8" s="1"/>
  <c r="V875" i="8" a="1"/>
  <c r="V875" i="8" s="1"/>
  <c r="V907" i="8" a="1"/>
  <c r="V907" i="8" s="1"/>
  <c r="V1005" i="8" a="1"/>
  <c r="V1005" i="8" s="1"/>
  <c r="V47" i="8" a="1"/>
  <c r="V47" i="8" s="1"/>
  <c r="V38" i="8" a="1"/>
  <c r="V38" i="8" s="1"/>
  <c r="V169" i="8" a="1"/>
  <c r="V169" i="8" s="1"/>
  <c r="V219" i="8" a="1"/>
  <c r="V219" i="8" s="1"/>
  <c r="V220" i="8" a="1"/>
  <c r="V220" i="8" s="1"/>
  <c r="V356" i="8" a="1"/>
  <c r="V356" i="8" s="1"/>
  <c r="V422" i="8" a="1"/>
  <c r="V422" i="8" s="1"/>
  <c r="V444" i="8" a="1"/>
  <c r="V444" i="8" s="1"/>
  <c r="V490" i="8" a="1"/>
  <c r="V490" i="8" s="1"/>
  <c r="V587" i="8" a="1"/>
  <c r="V587" i="8" s="1"/>
  <c r="V591" i="8" a="1"/>
  <c r="V591" i="8" s="1"/>
  <c r="V708" i="8" a="1"/>
  <c r="V708" i="8" s="1"/>
  <c r="V774" i="8" a="1"/>
  <c r="V774" i="8" s="1"/>
  <c r="V858" i="8" a="1"/>
  <c r="V858" i="8" s="1"/>
  <c r="V916" i="8" a="1"/>
  <c r="V916" i="8" s="1"/>
  <c r="V986" i="8" a="1"/>
  <c r="V986" i="8" s="1"/>
  <c r="V1036" i="8" a="1"/>
  <c r="V1036" i="8" s="1"/>
  <c r="V67" i="8" a="1"/>
  <c r="V67" i="8" s="1"/>
  <c r="V98" i="8" a="1"/>
  <c r="V98" i="8" s="1"/>
  <c r="V276" i="8" a="1"/>
  <c r="V276" i="8" s="1"/>
  <c r="V158" i="8" a="1"/>
  <c r="V158" i="8" s="1"/>
  <c r="V314" i="8" a="1"/>
  <c r="V314" i="8" s="1"/>
  <c r="V308" i="8" a="1"/>
  <c r="V308" i="8" s="1"/>
  <c r="V387" i="8" a="1"/>
  <c r="V387" i="8" s="1"/>
  <c r="V450" i="8" a="1"/>
  <c r="V450" i="8" s="1"/>
  <c r="V530" i="8" a="1"/>
  <c r="V530" i="8" s="1"/>
  <c r="V678" i="8" a="1"/>
  <c r="V678" i="8" s="1"/>
  <c r="V643" i="8" a="1"/>
  <c r="V643" i="8" s="1"/>
  <c r="V749" i="8" a="1"/>
  <c r="V749" i="8" s="1"/>
  <c r="V830" i="8" a="1"/>
  <c r="V830" i="8" s="1"/>
  <c r="V885" i="8" a="1"/>
  <c r="V885" i="8" s="1"/>
  <c r="V919" i="8" a="1"/>
  <c r="V919" i="8" s="1"/>
  <c r="V1011" i="8" a="1"/>
  <c r="V1011" i="8" s="1"/>
  <c r="V43" i="8" a="1"/>
  <c r="V43" i="8" s="1"/>
  <c r="V34" i="8" a="1"/>
  <c r="V34" i="8" s="1"/>
  <c r="V152" i="8" a="1"/>
  <c r="V152" i="8" s="1"/>
  <c r="V149" i="8" a="1"/>
  <c r="V149" i="8" s="1"/>
  <c r="V403" i="8" a="1"/>
  <c r="V403" i="8" s="1"/>
  <c r="V558" i="8" a="1"/>
  <c r="V558" i="8" s="1"/>
  <c r="V86" i="8" a="1"/>
  <c r="V86" i="8" s="1"/>
  <c r="V63" i="8" a="1"/>
  <c r="V63" i="8" s="1"/>
  <c r="V128" i="8" a="1"/>
  <c r="V128" i="8" s="1"/>
  <c r="V157" i="8" a="1"/>
  <c r="V157" i="8" s="1"/>
  <c r="V207" i="8" a="1"/>
  <c r="V207" i="8" s="1"/>
  <c r="V230" i="8" a="1"/>
  <c r="V230" i="8" s="1"/>
  <c r="V337" i="8" a="1"/>
  <c r="V337" i="8" s="1"/>
  <c r="V427" i="8" a="1"/>
  <c r="V427" i="8" s="1"/>
  <c r="V528" i="8" a="1"/>
  <c r="V528" i="8" s="1"/>
  <c r="V551" i="8" a="1"/>
  <c r="V551" i="8" s="1"/>
  <c r="V664" i="8" a="1"/>
  <c r="V664" i="8" s="1"/>
  <c r="V640" i="8" a="1"/>
  <c r="V640" i="8" s="1"/>
  <c r="V721" i="8" a="1"/>
  <c r="V721" i="8" s="1"/>
  <c r="V790" i="8" a="1"/>
  <c r="V790" i="8" s="1"/>
  <c r="V872" i="8" a="1"/>
  <c r="V872" i="8" s="1"/>
  <c r="V928" i="8" a="1"/>
  <c r="V928" i="8" s="1"/>
  <c r="V960" i="8" a="1"/>
  <c r="V960" i="8" s="1"/>
  <c r="V1069" i="8" a="1"/>
  <c r="V1069" i="8" s="1"/>
  <c r="V46" i="8" a="1"/>
  <c r="V46" i="8" s="1"/>
  <c r="V131" i="8" a="1"/>
  <c r="V131" i="8" s="1"/>
  <c r="V263" i="8" a="1"/>
  <c r="V263" i="8" s="1"/>
  <c r="V124" i="8" a="1"/>
  <c r="V124" i="8" s="1"/>
  <c r="V369" i="8" a="1"/>
  <c r="V369" i="8" s="1"/>
  <c r="V374" i="8" a="1"/>
  <c r="V374" i="8" s="1"/>
  <c r="V461" i="8" a="1"/>
  <c r="V461" i="8" s="1"/>
  <c r="V492" i="8" a="1"/>
  <c r="V492" i="8" s="1"/>
  <c r="V590" i="8" a="1"/>
  <c r="V590" i="8" s="1"/>
  <c r="V684" i="8" a="1"/>
  <c r="V684" i="8" s="1"/>
  <c r="V740" i="8" a="1"/>
  <c r="V740" i="8" s="1"/>
  <c r="V760" i="8" a="1"/>
  <c r="V760" i="8" s="1"/>
  <c r="V828" i="8" a="1"/>
  <c r="V828" i="8" s="1"/>
  <c r="V903" i="8" a="1"/>
  <c r="V903" i="8" s="1"/>
  <c r="V978" i="8" a="1"/>
  <c r="V978" i="8" s="1"/>
  <c r="V1023" i="8" a="1"/>
  <c r="V1023" i="8" s="1"/>
  <c r="V70" i="8" a="1"/>
  <c r="V70" i="8" s="1"/>
  <c r="V97" i="8" a="1"/>
  <c r="V97" i="8" s="1"/>
  <c r="V204" i="8" a="1"/>
  <c r="V204" i="8" s="1"/>
  <c r="V254" i="8" a="1"/>
  <c r="V254" i="8" s="1"/>
  <c r="V347" i="8" a="1"/>
  <c r="V347" i="8" s="1"/>
  <c r="V342" i="8" a="1"/>
  <c r="V342" i="8" s="1"/>
  <c r="V478" i="8" a="1"/>
  <c r="V478" i="8" s="1"/>
  <c r="V433" i="8" a="1"/>
  <c r="V433" i="8" s="1"/>
  <c r="V555" i="8" a="1"/>
  <c r="V555" i="8" s="1"/>
  <c r="V620" i="8" a="1"/>
  <c r="V620" i="8" s="1"/>
  <c r="V699" i="8" a="1"/>
  <c r="V699" i="8" s="1"/>
  <c r="V750" i="8" a="1"/>
  <c r="V750" i="8" s="1"/>
  <c r="V821" i="8" a="1"/>
  <c r="V821" i="8" s="1"/>
  <c r="V889" i="8" a="1"/>
  <c r="V889" i="8" s="1"/>
  <c r="V959" i="8" a="1"/>
  <c r="V959" i="8" s="1"/>
  <c r="V1022" i="8" a="1"/>
  <c r="V1022" i="8" s="1"/>
  <c r="V35" i="8" a="1"/>
  <c r="V35" i="8" s="1"/>
  <c r="V111" i="8" a="1"/>
  <c r="V111" i="8" s="1"/>
  <c r="V184" i="8" a="1"/>
  <c r="V184" i="8" s="1"/>
  <c r="V234" i="8" a="1"/>
  <c r="V234" i="8" s="1"/>
  <c r="V245" i="8" a="1"/>
  <c r="V245" i="8" s="1"/>
  <c r="V355" i="8" a="1"/>
  <c r="V355" i="8" s="1"/>
  <c r="V406" i="8" a="1"/>
  <c r="V406" i="8" s="1"/>
  <c r="V457" i="8" a="1"/>
  <c r="V457" i="8" s="1"/>
  <c r="V566" i="8" a="1"/>
  <c r="V566" i="8" s="1"/>
  <c r="V689" i="8" a="1"/>
  <c r="V689" i="8" s="1"/>
  <c r="V665" i="8" a="1"/>
  <c r="V665" i="8" s="1"/>
  <c r="V755" i="8" a="1"/>
  <c r="V755" i="8" s="1"/>
  <c r="V827" i="8" a="1"/>
  <c r="V827" i="8" s="1"/>
  <c r="V842" i="8" a="1"/>
  <c r="V842" i="8" s="1"/>
  <c r="V921" i="8" a="1"/>
  <c r="V921" i="8" s="1"/>
  <c r="V975" i="8" a="1"/>
  <c r="V975" i="8" s="1"/>
  <c r="V1064" i="8" a="1"/>
  <c r="V1064" i="8" s="1"/>
  <c r="V57" i="8" a="1"/>
  <c r="V57" i="8" s="1"/>
  <c r="V105" i="8" a="1"/>
  <c r="V105" i="8" s="1"/>
  <c r="V226" i="8" a="1"/>
  <c r="V226" i="8" s="1"/>
  <c r="V264" i="8" a="1"/>
  <c r="V264" i="8" s="1"/>
  <c r="V349" i="8" a="1"/>
  <c r="V349" i="8" s="1"/>
  <c r="V354" i="8" a="1"/>
  <c r="V354" i="8" s="1"/>
  <c r="V500" i="8" a="1"/>
  <c r="V500" i="8" s="1"/>
  <c r="V455" i="8" a="1"/>
  <c r="V455" i="8" s="1"/>
  <c r="V565" i="8" a="1"/>
  <c r="V565" i="8" s="1"/>
  <c r="V645" i="8" a="1"/>
  <c r="V645" i="8" s="1"/>
  <c r="V705" i="8" a="1"/>
  <c r="V705" i="8" s="1"/>
  <c r="V712" i="8" a="1"/>
  <c r="V712" i="8" s="1"/>
  <c r="V811" i="8" a="1"/>
  <c r="V811" i="8" s="1"/>
  <c r="V896" i="8" a="1"/>
  <c r="V896" i="8" s="1"/>
  <c r="V957" i="8" a="1"/>
  <c r="V957" i="8" s="1"/>
  <c r="V1039" i="8" a="1"/>
  <c r="V1039" i="8" s="1"/>
  <c r="V48" i="8" a="1"/>
  <c r="V48" i="8" s="1"/>
  <c r="V50" i="8" a="1"/>
  <c r="V50" i="8" s="1"/>
  <c r="V233" i="8" a="1"/>
  <c r="V233" i="8" s="1"/>
  <c r="V280" i="8" a="1"/>
  <c r="V280" i="8" s="1"/>
  <c r="V139" i="8" a="1"/>
  <c r="V139" i="8" s="1"/>
  <c r="V319" i="8" a="1"/>
  <c r="V319" i="8" s="1"/>
  <c r="V393" i="8" a="1"/>
  <c r="V393" i="8" s="1"/>
  <c r="V511" i="8" a="1"/>
  <c r="V511" i="8" s="1"/>
  <c r="V548" i="8" a="1"/>
  <c r="V548" i="8" s="1"/>
  <c r="V596" i="8" a="1"/>
  <c r="V596" i="8" s="1"/>
  <c r="V637" i="8" a="1"/>
  <c r="V637" i="8" s="1"/>
  <c r="V728" i="8" a="1"/>
  <c r="V728" i="8" s="1"/>
  <c r="V810" i="8" a="1"/>
  <c r="V810" i="8" s="1"/>
  <c r="V839" i="8" a="1"/>
  <c r="V839" i="8" s="1"/>
  <c r="V910" i="8" a="1"/>
  <c r="V910" i="8" s="1"/>
  <c r="V996" i="8" a="1"/>
  <c r="V996" i="8" s="1"/>
  <c r="V1030" i="8" a="1"/>
  <c r="V1030" i="8" s="1"/>
  <c r="V25" i="8" a="1"/>
  <c r="V25" i="8" s="1"/>
  <c r="V120" i="8" a="1"/>
  <c r="V120" i="8" s="1"/>
  <c r="V172" i="8" a="1"/>
  <c r="V172" i="8" s="1"/>
  <c r="V222" i="8" a="1"/>
  <c r="V222" i="8" s="1"/>
  <c r="V315" i="8" a="1"/>
  <c r="V315" i="8" s="1"/>
  <c r="V310" i="8" a="1"/>
  <c r="V310" i="8" s="1"/>
  <c r="V446" i="8" a="1"/>
  <c r="V446" i="8" s="1"/>
  <c r="V517" i="8" a="1"/>
  <c r="V517" i="8" s="1"/>
  <c r="V550" i="8" a="1"/>
  <c r="V550" i="8" s="1"/>
  <c r="V681" i="8" a="1"/>
  <c r="V681" i="8" s="1"/>
  <c r="V698" i="8" a="1"/>
  <c r="V698" i="8" s="1"/>
  <c r="V729" i="8" a="1"/>
  <c r="V729" i="8" s="1"/>
  <c r="V786" i="8" a="1"/>
  <c r="V786" i="8" s="1"/>
  <c r="V892" i="8" a="1"/>
  <c r="V892" i="8" s="1"/>
  <c r="V917" i="8" a="1"/>
  <c r="V917" i="8" s="1"/>
  <c r="V998" i="8" a="1"/>
  <c r="V998" i="8" s="1"/>
  <c r="V20" i="8" a="1"/>
  <c r="V20" i="8" s="1"/>
  <c r="V62" i="8" a="1"/>
  <c r="V62" i="8" s="1"/>
  <c r="V216" i="8" a="1"/>
  <c r="V216" i="8" s="1"/>
  <c r="V213" i="8" a="1"/>
  <c r="V213" i="8" s="1"/>
  <c r="V423" i="8" a="1"/>
  <c r="V423" i="8" s="1"/>
  <c r="V534" i="8" a="1"/>
  <c r="V534" i="8" s="1"/>
  <c r="M118" i="5"/>
  <c r="M1021" i="5"/>
  <c r="O318" i="5"/>
  <c r="M522" i="5"/>
  <c r="M514" i="5"/>
  <c r="O210" i="5"/>
  <c r="O344" i="5"/>
  <c r="O234" i="5"/>
  <c r="O190" i="5"/>
  <c r="O174" i="5"/>
  <c r="M232" i="5"/>
  <c r="O350" i="5"/>
  <c r="O218" i="5"/>
  <c r="O286" i="5"/>
  <c r="O302" i="5"/>
  <c r="O134" i="5"/>
  <c r="M194" i="5"/>
  <c r="O158" i="5"/>
  <c r="O214" i="5"/>
  <c r="O150" i="5"/>
  <c r="M982" i="5"/>
  <c r="M248" i="5"/>
  <c r="M258" i="5"/>
  <c r="M296" i="5"/>
  <c r="M130" i="5"/>
  <c r="O142" i="5"/>
  <c r="M280" i="5"/>
  <c r="M290" i="5"/>
  <c r="M1011" i="5"/>
  <c r="M998" i="5"/>
  <c r="M264" i="5"/>
  <c r="M1023" i="5"/>
  <c r="M48" i="5"/>
  <c r="M274" i="5"/>
  <c r="M788" i="5"/>
  <c r="O1019" i="5"/>
  <c r="M306" i="5"/>
  <c r="O206" i="5"/>
  <c r="O230" i="5"/>
  <c r="O162" i="5"/>
  <c r="M836" i="5"/>
  <c r="M226" i="5"/>
  <c r="M324" i="5"/>
  <c r="O254" i="5"/>
  <c r="M820" i="5"/>
  <c r="M624" i="5"/>
  <c r="M210" i="5"/>
  <c r="O238" i="5"/>
  <c r="O278" i="5"/>
  <c r="O126" i="5"/>
  <c r="M804" i="5"/>
  <c r="M506" i="5"/>
  <c r="O262" i="5"/>
  <c r="M996" i="5"/>
  <c r="M1019" i="5"/>
  <c r="O146" i="5"/>
  <c r="O518" i="5"/>
  <c r="O290" i="5"/>
  <c r="M200" i="5"/>
  <c r="M312" i="5"/>
  <c r="M184" i="5"/>
  <c r="O274" i="5"/>
  <c r="M890" i="5"/>
  <c r="M640" i="5"/>
  <c r="O194" i="5"/>
  <c r="O170" i="5"/>
  <c r="O114" i="5"/>
  <c r="O154" i="5"/>
  <c r="O246" i="5"/>
  <c r="O178" i="5"/>
  <c r="O118" i="5"/>
  <c r="M568" i="5"/>
  <c r="M662" i="5"/>
  <c r="M598" i="5"/>
  <c r="O270" i="5"/>
  <c r="O198" i="5"/>
  <c r="O258" i="5"/>
  <c r="O130" i="5"/>
  <c r="O282" i="5"/>
  <c r="O310" i="5"/>
  <c r="O182" i="5"/>
  <c r="O242" i="5"/>
  <c r="O250" i="5"/>
  <c r="O226" i="5"/>
  <c r="M394" i="5"/>
  <c r="M544" i="5"/>
  <c r="O266" i="5"/>
  <c r="O138" i="5"/>
  <c r="O202" i="5"/>
  <c r="O314" i="5"/>
  <c r="O186" i="5"/>
  <c r="O298" i="5"/>
  <c r="M168" i="5"/>
  <c r="M1015" i="5"/>
  <c r="M152" i="5"/>
  <c r="M774" i="5"/>
  <c r="M716" i="5"/>
  <c r="M108" i="5"/>
  <c r="O1013" i="5"/>
  <c r="M92" i="5"/>
  <c r="M584" i="5"/>
  <c r="M620" i="5"/>
  <c r="M636" i="5"/>
  <c r="O119" i="5"/>
  <c r="M732" i="5"/>
  <c r="M700" i="5"/>
  <c r="M874" i="5"/>
  <c r="O1015" i="5"/>
  <c r="M886" i="5"/>
  <c r="M572" i="5"/>
  <c r="M164" i="5"/>
  <c r="M870" i="5"/>
  <c r="M556" i="5"/>
  <c r="M790" i="5"/>
  <c r="M782" i="5"/>
  <c r="M458" i="5"/>
  <c r="M442" i="5"/>
  <c r="O1010" i="5"/>
  <c r="M410" i="5"/>
  <c r="M196" i="5"/>
  <c r="O1046" i="5"/>
  <c r="M148" i="5"/>
  <c r="M894" i="5"/>
  <c r="M810" i="5"/>
  <c r="M428" i="5"/>
  <c r="M878" i="5"/>
  <c r="M794" i="5"/>
  <c r="O1011" i="5"/>
  <c r="M672" i="5"/>
  <c r="M396" i="5"/>
  <c r="M862" i="5"/>
  <c r="M656" i="5"/>
  <c r="M380" i="5"/>
  <c r="M798" i="5"/>
  <c r="O515" i="5"/>
  <c r="O531" i="5"/>
  <c r="O547" i="5"/>
  <c r="O563" i="5"/>
  <c r="O579" i="5"/>
  <c r="O595" i="5"/>
  <c r="O611" i="5"/>
  <c r="O627" i="5"/>
  <c r="O643" i="5"/>
  <c r="O691" i="5"/>
  <c r="O707" i="5"/>
  <c r="O723" i="5"/>
  <c r="O675" i="5"/>
  <c r="O659" i="5"/>
  <c r="O751" i="5"/>
  <c r="O745" i="5"/>
  <c r="O747" i="5"/>
  <c r="M44" i="5"/>
  <c r="M806" i="5"/>
  <c r="O143" i="5"/>
  <c r="O159" i="5"/>
  <c r="O175" i="5"/>
  <c r="O191" i="5"/>
  <c r="O207" i="5"/>
  <c r="O223" i="5"/>
  <c r="O239" i="5"/>
  <c r="O255" i="5"/>
  <c r="O271" i="5"/>
  <c r="O287" i="5"/>
  <c r="O303" i="5"/>
  <c r="O319" i="5"/>
  <c r="O951" i="5"/>
  <c r="O967" i="5"/>
  <c r="O983" i="5"/>
  <c r="O999" i="5"/>
  <c r="M64" i="5"/>
  <c r="O1017" i="5"/>
  <c r="O1018" i="5"/>
  <c r="O1072" i="5"/>
  <c r="O716" i="5"/>
  <c r="O428" i="5"/>
  <c r="O994" i="5"/>
  <c r="O616" i="5"/>
  <c r="O872" i="5"/>
  <c r="O108" i="5"/>
  <c r="O442" i="5"/>
  <c r="O990" i="5"/>
  <c r="O970" i="5"/>
  <c r="O488" i="5"/>
  <c r="O360" i="5"/>
  <c r="O204" i="5"/>
  <c r="O882" i="5"/>
  <c r="O730" i="5"/>
  <c r="O686" i="5"/>
  <c r="O542" i="5"/>
  <c r="O854" i="5"/>
  <c r="O720" i="5"/>
  <c r="O592" i="5"/>
  <c r="O836" i="5"/>
  <c r="O68" i="5"/>
  <c r="O48" i="5"/>
  <c r="O630" i="5"/>
  <c r="O598" i="5"/>
  <c r="O292" i="5"/>
  <c r="O164" i="5"/>
  <c r="O816" i="5"/>
  <c r="O660" i="5"/>
  <c r="O612" i="5"/>
  <c r="O200" i="5"/>
  <c r="O272" i="5"/>
  <c r="O434" i="5"/>
  <c r="O478" i="5"/>
  <c r="O778" i="5"/>
  <c r="O62" i="5"/>
  <c r="O420" i="5"/>
  <c r="O982" i="5"/>
  <c r="O422" i="5"/>
  <c r="O862" i="5"/>
  <c r="O1008" i="5"/>
  <c r="O828" i="5"/>
  <c r="O56" i="5"/>
  <c r="O432" i="5"/>
  <c r="O767" i="5"/>
  <c r="O783" i="5"/>
  <c r="O799" i="5"/>
  <c r="O815" i="5"/>
  <c r="O831" i="5"/>
  <c r="O847" i="5"/>
  <c r="O863" i="5"/>
  <c r="O879" i="5"/>
  <c r="O895" i="5"/>
  <c r="O1039" i="5"/>
  <c r="O1055" i="5"/>
  <c r="O1071" i="5"/>
  <c r="O133" i="5"/>
  <c r="O149" i="5"/>
  <c r="O165" i="5"/>
  <c r="O181" i="5"/>
  <c r="O197" i="5"/>
  <c r="O213" i="5"/>
  <c r="O229" i="5"/>
  <c r="O245" i="5"/>
  <c r="O261" i="5"/>
  <c r="O277" i="5"/>
  <c r="O293" i="5"/>
  <c r="O309" i="5"/>
  <c r="O141" i="5"/>
  <c r="O157" i="5"/>
  <c r="O173" i="5"/>
  <c r="O189" i="5"/>
  <c r="O205" i="5"/>
  <c r="O221" i="5"/>
  <c r="O237" i="5"/>
  <c r="O253" i="5"/>
  <c r="O269" i="5"/>
  <c r="O285" i="5"/>
  <c r="O301" i="5"/>
  <c r="O317" i="5"/>
  <c r="O21" i="5"/>
  <c r="O37" i="5"/>
  <c r="O53" i="5"/>
  <c r="O69" i="5"/>
  <c r="O85" i="5"/>
  <c r="O101" i="5"/>
  <c r="O1033" i="5"/>
  <c r="O1049" i="5"/>
  <c r="O1065" i="5"/>
  <c r="O15" i="5"/>
  <c r="O9" i="5"/>
  <c r="O335" i="5"/>
  <c r="O343" i="5"/>
  <c r="O359" i="5"/>
  <c r="O375" i="5"/>
  <c r="O391" i="5"/>
  <c r="O407" i="5"/>
  <c r="O423" i="5"/>
  <c r="O439" i="5"/>
  <c r="O455" i="5"/>
  <c r="O471" i="5"/>
  <c r="O487" i="5"/>
  <c r="O333" i="5"/>
  <c r="O935" i="5"/>
  <c r="O347" i="5"/>
  <c r="O363" i="5"/>
  <c r="O379" i="5"/>
  <c r="O395" i="5"/>
  <c r="O411" i="5"/>
  <c r="O427" i="5"/>
  <c r="O443" i="5"/>
  <c r="O459" i="5"/>
  <c r="O475" i="5"/>
  <c r="O491" i="5"/>
  <c r="O594" i="5"/>
  <c r="O674" i="5"/>
  <c r="O1056" i="5"/>
  <c r="O700" i="5"/>
  <c r="O1064" i="5"/>
  <c r="O412" i="5"/>
  <c r="O978" i="5"/>
  <c r="O728" i="5"/>
  <c r="O600" i="5"/>
  <c r="O856" i="5"/>
  <c r="O92" i="5"/>
  <c r="O426" i="5"/>
  <c r="O974" i="5"/>
  <c r="O472" i="5"/>
  <c r="O316" i="5"/>
  <c r="O188" i="5"/>
  <c r="O866" i="5"/>
  <c r="O98" i="5"/>
  <c r="O714" i="5"/>
  <c r="O638" i="5"/>
  <c r="O838" i="5"/>
  <c r="O704" i="5"/>
  <c r="O576" i="5"/>
  <c r="O820" i="5"/>
  <c r="O52" i="5"/>
  <c r="O678" i="5"/>
  <c r="O582" i="5"/>
  <c r="O276" i="5"/>
  <c r="O148" i="5"/>
  <c r="O800" i="5"/>
  <c r="O628" i="5"/>
  <c r="O564" i="5"/>
  <c r="O312" i="5"/>
  <c r="O184" i="5"/>
  <c r="O256" i="5"/>
  <c r="O418" i="5"/>
  <c r="O462" i="5"/>
  <c r="O890" i="5"/>
  <c r="O46" i="5"/>
  <c r="O404" i="5"/>
  <c r="O966" i="5"/>
  <c r="O406" i="5"/>
  <c r="O846" i="5"/>
  <c r="O992" i="5"/>
  <c r="O812" i="5"/>
  <c r="O40" i="5"/>
  <c r="O416" i="5"/>
  <c r="O931" i="5"/>
  <c r="O25" i="5"/>
  <c r="O41" i="5"/>
  <c r="O57" i="5"/>
  <c r="O73" i="5"/>
  <c r="O89" i="5"/>
  <c r="O105" i="5"/>
  <c r="O29" i="5"/>
  <c r="O45" i="5"/>
  <c r="O61" i="5"/>
  <c r="O77" i="5"/>
  <c r="O93" i="5"/>
  <c r="O109" i="5"/>
  <c r="O511" i="5"/>
  <c r="O947" i="5"/>
  <c r="O963" i="5"/>
  <c r="O979" i="5"/>
  <c r="O995" i="5"/>
  <c r="O11" i="5"/>
  <c r="O755" i="5"/>
  <c r="O771" i="5"/>
  <c r="O787" i="5"/>
  <c r="O803" i="5"/>
  <c r="O819" i="5"/>
  <c r="O835" i="5"/>
  <c r="O851" i="5"/>
  <c r="O867" i="5"/>
  <c r="O883" i="5"/>
  <c r="O757" i="5"/>
  <c r="O773" i="5"/>
  <c r="O789" i="5"/>
  <c r="O805" i="5"/>
  <c r="O821" i="5"/>
  <c r="O837" i="5"/>
  <c r="O853" i="5"/>
  <c r="O869" i="5"/>
  <c r="O885" i="5"/>
  <c r="O13" i="5"/>
  <c r="O957" i="5"/>
  <c r="O973" i="5"/>
  <c r="O989" i="5"/>
  <c r="O1005" i="5"/>
  <c r="O763" i="5"/>
  <c r="O779" i="5"/>
  <c r="O795" i="5"/>
  <c r="O811" i="5"/>
  <c r="O827" i="5"/>
  <c r="O843" i="5"/>
  <c r="O859" i="5"/>
  <c r="O875" i="5"/>
  <c r="O891" i="5"/>
  <c r="O1035" i="5"/>
  <c r="O1051" i="5"/>
  <c r="O1067" i="5"/>
  <c r="O658" i="5"/>
  <c r="O722" i="5"/>
  <c r="O684" i="5"/>
  <c r="O1048" i="5"/>
  <c r="O396" i="5"/>
  <c r="O962" i="5"/>
  <c r="O712" i="5"/>
  <c r="O584" i="5"/>
  <c r="O840" i="5"/>
  <c r="O76" i="5"/>
  <c r="O410" i="5"/>
  <c r="O102" i="5"/>
  <c r="O456" i="5"/>
  <c r="O1060" i="5"/>
  <c r="O300" i="5"/>
  <c r="O172" i="5"/>
  <c r="O850" i="5"/>
  <c r="O82" i="5"/>
  <c r="O698" i="5"/>
  <c r="O1054" i="5"/>
  <c r="O654" i="5"/>
  <c r="O1062" i="5"/>
  <c r="O822" i="5"/>
  <c r="O688" i="5"/>
  <c r="O560" i="5"/>
  <c r="O804" i="5"/>
  <c r="O36" i="5"/>
  <c r="O106" i="5"/>
  <c r="O726" i="5"/>
  <c r="O566" i="5"/>
  <c r="O260" i="5"/>
  <c r="O784" i="5"/>
  <c r="O580" i="5"/>
  <c r="O548" i="5"/>
  <c r="O296" i="5"/>
  <c r="O168" i="5"/>
  <c r="O240" i="5"/>
  <c r="O402" i="5"/>
  <c r="O446" i="5"/>
  <c r="O874" i="5"/>
  <c r="O1066" i="5"/>
  <c r="O388" i="5"/>
  <c r="O390" i="5"/>
  <c r="O830" i="5"/>
  <c r="O976" i="5"/>
  <c r="O796" i="5"/>
  <c r="O400" i="5"/>
  <c r="O939" i="5"/>
  <c r="O345" i="5"/>
  <c r="O361" i="5"/>
  <c r="O377" i="5"/>
  <c r="O393" i="5"/>
  <c r="O409" i="5"/>
  <c r="O425" i="5"/>
  <c r="O441" i="5"/>
  <c r="O457" i="5"/>
  <c r="O473" i="5"/>
  <c r="O489" i="5"/>
  <c r="O329" i="5"/>
  <c r="O941" i="5"/>
  <c r="O597" i="5"/>
  <c r="O613" i="5"/>
  <c r="O645" i="5"/>
  <c r="O693" i="5"/>
  <c r="O709" i="5"/>
  <c r="O725" i="5"/>
  <c r="O517" i="5"/>
  <c r="O533" i="5"/>
  <c r="O549" i="5"/>
  <c r="O565" i="5"/>
  <c r="O677" i="5"/>
  <c r="O581" i="5"/>
  <c r="O629" i="5"/>
  <c r="O661" i="5"/>
  <c r="O765" i="5"/>
  <c r="O781" i="5"/>
  <c r="O797" i="5"/>
  <c r="O813" i="5"/>
  <c r="O829" i="5"/>
  <c r="O845" i="5"/>
  <c r="O861" i="5"/>
  <c r="O877" i="5"/>
  <c r="O893" i="5"/>
  <c r="O626" i="5"/>
  <c r="O706" i="5"/>
  <c r="O652" i="5"/>
  <c r="O636" i="5"/>
  <c r="O380" i="5"/>
  <c r="O696" i="5"/>
  <c r="O568" i="5"/>
  <c r="O824" i="5"/>
  <c r="O60" i="5"/>
  <c r="O394" i="5"/>
  <c r="O86" i="5"/>
  <c r="O440" i="5"/>
  <c r="O1044" i="5"/>
  <c r="O284" i="5"/>
  <c r="O156" i="5"/>
  <c r="O834" i="5"/>
  <c r="O66" i="5"/>
  <c r="O650" i="5"/>
  <c r="O682" i="5"/>
  <c r="O1038" i="5"/>
  <c r="O622" i="5"/>
  <c r="O806" i="5"/>
  <c r="O672" i="5"/>
  <c r="O544" i="5"/>
  <c r="O788" i="5"/>
  <c r="O90" i="5"/>
  <c r="O710" i="5"/>
  <c r="O550" i="5"/>
  <c r="O244" i="5"/>
  <c r="O896" i="5"/>
  <c r="O676" i="5"/>
  <c r="O532" i="5"/>
  <c r="O280" i="5"/>
  <c r="O152" i="5"/>
  <c r="O224" i="5"/>
  <c r="O386" i="5"/>
  <c r="O430" i="5"/>
  <c r="O858" i="5"/>
  <c r="O1050" i="5"/>
  <c r="O372" i="5"/>
  <c r="O374" i="5"/>
  <c r="O814" i="5"/>
  <c r="O780" i="5"/>
  <c r="O384" i="5"/>
  <c r="O499" i="5"/>
  <c r="O743" i="5"/>
  <c r="O125" i="5"/>
  <c r="O505" i="5"/>
  <c r="O759" i="5"/>
  <c r="O775" i="5"/>
  <c r="O791" i="5"/>
  <c r="O807" i="5"/>
  <c r="O823" i="5"/>
  <c r="O839" i="5"/>
  <c r="O855" i="5"/>
  <c r="O871" i="5"/>
  <c r="O887" i="5"/>
  <c r="O621" i="5"/>
  <c r="O653" i="5"/>
  <c r="O525" i="5"/>
  <c r="O541" i="5"/>
  <c r="O557" i="5"/>
  <c r="O573" i="5"/>
  <c r="O589" i="5"/>
  <c r="O637" i="5"/>
  <c r="O685" i="5"/>
  <c r="O701" i="5"/>
  <c r="O717" i="5"/>
  <c r="O733" i="5"/>
  <c r="O605" i="5"/>
  <c r="O669" i="5"/>
  <c r="O1037" i="5"/>
  <c r="O1053" i="5"/>
  <c r="O1069" i="5"/>
  <c r="O325" i="5"/>
  <c r="O578" i="5"/>
  <c r="O690" i="5"/>
  <c r="O620" i="5"/>
  <c r="O588" i="5"/>
  <c r="O492" i="5"/>
  <c r="O364" i="5"/>
  <c r="O680" i="5"/>
  <c r="O552" i="5"/>
  <c r="O808" i="5"/>
  <c r="O44" i="5"/>
  <c r="O378" i="5"/>
  <c r="O70" i="5"/>
  <c r="O424" i="5"/>
  <c r="O268" i="5"/>
  <c r="O818" i="5"/>
  <c r="O50" i="5"/>
  <c r="O618" i="5"/>
  <c r="O586" i="5"/>
  <c r="O1000" i="5"/>
  <c r="O670" i="5"/>
  <c r="O606" i="5"/>
  <c r="O790" i="5"/>
  <c r="O656" i="5"/>
  <c r="O772" i="5"/>
  <c r="O112" i="5"/>
  <c r="O74" i="5"/>
  <c r="O694" i="5"/>
  <c r="O534" i="5"/>
  <c r="O228" i="5"/>
  <c r="O880" i="5"/>
  <c r="O1068" i="5"/>
  <c r="O724" i="5"/>
  <c r="O264" i="5"/>
  <c r="O208" i="5"/>
  <c r="O370" i="5"/>
  <c r="O414" i="5"/>
  <c r="O842" i="5"/>
  <c r="O484" i="5"/>
  <c r="O356" i="5"/>
  <c r="O486" i="5"/>
  <c r="O358" i="5"/>
  <c r="O798" i="5"/>
  <c r="O892" i="5"/>
  <c r="O496" i="5"/>
  <c r="O368" i="5"/>
  <c r="M846" i="5"/>
  <c r="M1022" i="5"/>
  <c r="O127" i="5"/>
  <c r="O741" i="5"/>
  <c r="O31" i="5"/>
  <c r="O47" i="5"/>
  <c r="O63" i="5"/>
  <c r="O79" i="5"/>
  <c r="O95" i="5"/>
  <c r="O111" i="5"/>
  <c r="O135" i="5"/>
  <c r="O151" i="5"/>
  <c r="O167" i="5"/>
  <c r="O183" i="5"/>
  <c r="O199" i="5"/>
  <c r="O215" i="5"/>
  <c r="O231" i="5"/>
  <c r="O247" i="5"/>
  <c r="O263" i="5"/>
  <c r="O279" i="5"/>
  <c r="O295" i="5"/>
  <c r="O311" i="5"/>
  <c r="O943" i="5"/>
  <c r="O341" i="5"/>
  <c r="O357" i="5"/>
  <c r="O373" i="5"/>
  <c r="O389" i="5"/>
  <c r="O405" i="5"/>
  <c r="O421" i="5"/>
  <c r="O437" i="5"/>
  <c r="O453" i="5"/>
  <c r="O469" i="5"/>
  <c r="O485" i="5"/>
  <c r="M854" i="5"/>
  <c r="O631" i="5"/>
  <c r="O599" i="5"/>
  <c r="O663" i="5"/>
  <c r="O615" i="5"/>
  <c r="O647" i="5"/>
  <c r="O519" i="5"/>
  <c r="O535" i="5"/>
  <c r="O551" i="5"/>
  <c r="O567" i="5"/>
  <c r="O695" i="5"/>
  <c r="O711" i="5"/>
  <c r="O727" i="5"/>
  <c r="O583" i="5"/>
  <c r="O679" i="5"/>
  <c r="O1023" i="5"/>
  <c r="O749" i="5"/>
  <c r="M112" i="5"/>
  <c r="O1027" i="5"/>
  <c r="O1043" i="5"/>
  <c r="O1059" i="5"/>
  <c r="O117" i="5"/>
  <c r="O123" i="5"/>
  <c r="O562" i="5"/>
  <c r="O642" i="5"/>
  <c r="O668" i="5"/>
  <c r="O572" i="5"/>
  <c r="O476" i="5"/>
  <c r="O664" i="5"/>
  <c r="O536" i="5"/>
  <c r="O792" i="5"/>
  <c r="O490" i="5"/>
  <c r="O362" i="5"/>
  <c r="O54" i="5"/>
  <c r="O408" i="5"/>
  <c r="O996" i="5"/>
  <c r="O252" i="5"/>
  <c r="O802" i="5"/>
  <c r="O34" i="5"/>
  <c r="O666" i="5"/>
  <c r="O570" i="5"/>
  <c r="O984" i="5"/>
  <c r="O734" i="5"/>
  <c r="O590" i="5"/>
  <c r="O774" i="5"/>
  <c r="O640" i="5"/>
  <c r="O884" i="5"/>
  <c r="O96" i="5"/>
  <c r="O58" i="5"/>
  <c r="O646" i="5"/>
  <c r="O212" i="5"/>
  <c r="O864" i="5"/>
  <c r="O1052" i="5"/>
  <c r="O708" i="5"/>
  <c r="O1004" i="5"/>
  <c r="O248" i="5"/>
  <c r="O320" i="5"/>
  <c r="O192" i="5"/>
  <c r="O482" i="5"/>
  <c r="O354" i="5"/>
  <c r="O398" i="5"/>
  <c r="O826" i="5"/>
  <c r="O110" i="5"/>
  <c r="O468" i="5"/>
  <c r="O470" i="5"/>
  <c r="O782" i="5"/>
  <c r="O876" i="5"/>
  <c r="O104" i="5"/>
  <c r="O480" i="5"/>
  <c r="M830" i="5"/>
  <c r="O339" i="5"/>
  <c r="O355" i="5"/>
  <c r="O371" i="5"/>
  <c r="O387" i="5"/>
  <c r="O403" i="5"/>
  <c r="O419" i="5"/>
  <c r="O435" i="5"/>
  <c r="O451" i="5"/>
  <c r="O467" i="5"/>
  <c r="O483" i="5"/>
  <c r="O509" i="5"/>
  <c r="O351" i="5"/>
  <c r="O367" i="5"/>
  <c r="O383" i="5"/>
  <c r="O399" i="5"/>
  <c r="O415" i="5"/>
  <c r="O431" i="5"/>
  <c r="O447" i="5"/>
  <c r="O463" i="5"/>
  <c r="O479" i="5"/>
  <c r="O495" i="5"/>
  <c r="O323" i="5"/>
  <c r="O501" i="5"/>
  <c r="O27" i="5"/>
  <c r="O43" i="5"/>
  <c r="O59" i="5"/>
  <c r="O75" i="5"/>
  <c r="O91" i="5"/>
  <c r="O107" i="5"/>
  <c r="O327" i="5"/>
  <c r="O761" i="5"/>
  <c r="O777" i="5"/>
  <c r="O793" i="5"/>
  <c r="O809" i="5"/>
  <c r="O825" i="5"/>
  <c r="O841" i="5"/>
  <c r="O857" i="5"/>
  <c r="O873" i="5"/>
  <c r="O889" i="5"/>
  <c r="M838" i="5"/>
  <c r="O3" i="5"/>
  <c r="O139" i="5"/>
  <c r="O155" i="5"/>
  <c r="O171" i="5"/>
  <c r="O187" i="5"/>
  <c r="O203" i="5"/>
  <c r="O219" i="5"/>
  <c r="O235" i="5"/>
  <c r="O251" i="5"/>
  <c r="O267" i="5"/>
  <c r="O283" i="5"/>
  <c r="O299" i="5"/>
  <c r="O315" i="5"/>
  <c r="O955" i="5"/>
  <c r="O971" i="5"/>
  <c r="O987" i="5"/>
  <c r="O1003" i="5"/>
  <c r="M40" i="5"/>
  <c r="M96" i="5"/>
  <c r="O349" i="5"/>
  <c r="O365" i="5"/>
  <c r="O381" i="5"/>
  <c r="O397" i="5"/>
  <c r="O413" i="5"/>
  <c r="O429" i="5"/>
  <c r="O445" i="5"/>
  <c r="O461" i="5"/>
  <c r="O477" i="5"/>
  <c r="O493" i="5"/>
  <c r="O959" i="5"/>
  <c r="O975" i="5"/>
  <c r="O991" i="5"/>
  <c r="O1007" i="5"/>
  <c r="O1029" i="5"/>
  <c r="O1045" i="5"/>
  <c r="O1061" i="5"/>
  <c r="O1014" i="5"/>
  <c r="O546" i="5"/>
  <c r="O610" i="5"/>
  <c r="O604" i="5"/>
  <c r="O556" i="5"/>
  <c r="O460" i="5"/>
  <c r="O1058" i="5"/>
  <c r="O648" i="5"/>
  <c r="O776" i="5"/>
  <c r="O474" i="5"/>
  <c r="O1002" i="5"/>
  <c r="O38" i="5"/>
  <c r="O392" i="5"/>
  <c r="O980" i="5"/>
  <c r="O236" i="5"/>
  <c r="O786" i="5"/>
  <c r="O602" i="5"/>
  <c r="O554" i="5"/>
  <c r="O968" i="5"/>
  <c r="O718" i="5"/>
  <c r="O574" i="5"/>
  <c r="O886" i="5"/>
  <c r="O624" i="5"/>
  <c r="O868" i="5"/>
  <c r="O100" i="5"/>
  <c r="O80" i="5"/>
  <c r="O42" i="5"/>
  <c r="O614" i="5"/>
  <c r="O196" i="5"/>
  <c r="O848" i="5"/>
  <c r="O692" i="5"/>
  <c r="O988" i="5"/>
  <c r="O232" i="5"/>
  <c r="O304" i="5"/>
  <c r="O176" i="5"/>
  <c r="O466" i="5"/>
  <c r="O382" i="5"/>
  <c r="O810" i="5"/>
  <c r="O94" i="5"/>
  <c r="O452" i="5"/>
  <c r="O454" i="5"/>
  <c r="O894" i="5"/>
  <c r="O860" i="5"/>
  <c r="O88" i="5"/>
  <c r="O464" i="5"/>
  <c r="M814" i="5"/>
  <c r="O933" i="5"/>
  <c r="O739" i="5"/>
  <c r="O503" i="5"/>
  <c r="O949" i="5"/>
  <c r="O965" i="5"/>
  <c r="O981" i="5"/>
  <c r="O997" i="5"/>
  <c r="O331" i="5"/>
  <c r="O19" i="5"/>
  <c r="O35" i="5"/>
  <c r="O51" i="5"/>
  <c r="O67" i="5"/>
  <c r="O83" i="5"/>
  <c r="O99" i="5"/>
  <c r="O953" i="5"/>
  <c r="O969" i="5"/>
  <c r="O985" i="5"/>
  <c r="O1001" i="5"/>
  <c r="O937" i="5"/>
  <c r="O7" i="5"/>
  <c r="O1031" i="5"/>
  <c r="O1047" i="5"/>
  <c r="O1063" i="5"/>
  <c r="O23" i="5"/>
  <c r="O39" i="5"/>
  <c r="O55" i="5"/>
  <c r="O71" i="5"/>
  <c r="O87" i="5"/>
  <c r="O103" i="5"/>
  <c r="O507" i="5"/>
  <c r="O121" i="5"/>
  <c r="O131" i="5"/>
  <c r="O147" i="5"/>
  <c r="O163" i="5"/>
  <c r="O179" i="5"/>
  <c r="O195" i="5"/>
  <c r="O211" i="5"/>
  <c r="O227" i="5"/>
  <c r="O243" i="5"/>
  <c r="O259" i="5"/>
  <c r="O275" i="5"/>
  <c r="O291" i="5"/>
  <c r="O307" i="5"/>
  <c r="O137" i="5"/>
  <c r="O153" i="5"/>
  <c r="O169" i="5"/>
  <c r="O185" i="5"/>
  <c r="O201" i="5"/>
  <c r="O217" i="5"/>
  <c r="O233" i="5"/>
  <c r="O249" i="5"/>
  <c r="O265" i="5"/>
  <c r="O281" i="5"/>
  <c r="O297" i="5"/>
  <c r="O313" i="5"/>
  <c r="O585" i="5"/>
  <c r="O681" i="5"/>
  <c r="O697" i="5"/>
  <c r="O713" i="5"/>
  <c r="O729" i="5"/>
  <c r="O633" i="5"/>
  <c r="O601" i="5"/>
  <c r="O665" i="5"/>
  <c r="O617" i="5"/>
  <c r="O649" i="5"/>
  <c r="O521" i="5"/>
  <c r="O537" i="5"/>
  <c r="O553" i="5"/>
  <c r="O569" i="5"/>
  <c r="M822" i="5"/>
  <c r="O5" i="5"/>
  <c r="M80" i="5"/>
  <c r="O115" i="5"/>
  <c r="O523" i="5"/>
  <c r="O539" i="5"/>
  <c r="O555" i="5"/>
  <c r="O571" i="5"/>
  <c r="O587" i="5"/>
  <c r="O603" i="5"/>
  <c r="O619" i="5"/>
  <c r="O635" i="5"/>
  <c r="O651" i="5"/>
  <c r="O683" i="5"/>
  <c r="O699" i="5"/>
  <c r="O715" i="5"/>
  <c r="O731" i="5"/>
  <c r="O667" i="5"/>
  <c r="O671" i="5"/>
  <c r="O527" i="5"/>
  <c r="O543" i="5"/>
  <c r="O559" i="5"/>
  <c r="O575" i="5"/>
  <c r="O623" i="5"/>
  <c r="O655" i="5"/>
  <c r="O591" i="5"/>
  <c r="O607" i="5"/>
  <c r="O639" i="5"/>
  <c r="O687" i="5"/>
  <c r="O703" i="5"/>
  <c r="O719" i="5"/>
  <c r="O735" i="5"/>
  <c r="O530" i="5"/>
  <c r="O732" i="5"/>
  <c r="O540" i="5"/>
  <c r="O444" i="5"/>
  <c r="O1042" i="5"/>
  <c r="O632" i="5"/>
  <c r="O888" i="5"/>
  <c r="O458" i="5"/>
  <c r="O1006" i="5"/>
  <c r="O986" i="5"/>
  <c r="O376" i="5"/>
  <c r="O964" i="5"/>
  <c r="O220" i="5"/>
  <c r="O770" i="5"/>
  <c r="O634" i="5"/>
  <c r="O538" i="5"/>
  <c r="O702" i="5"/>
  <c r="O558" i="5"/>
  <c r="O870" i="5"/>
  <c r="O736" i="5"/>
  <c r="O608" i="5"/>
  <c r="O852" i="5"/>
  <c r="O84" i="5"/>
  <c r="O64" i="5"/>
  <c r="O662" i="5"/>
  <c r="O308" i="5"/>
  <c r="O180" i="5"/>
  <c r="O832" i="5"/>
  <c r="O596" i="5"/>
  <c r="O644" i="5"/>
  <c r="O972" i="5"/>
  <c r="O216" i="5"/>
  <c r="O288" i="5"/>
  <c r="O160" i="5"/>
  <c r="O450" i="5"/>
  <c r="O494" i="5"/>
  <c r="O366" i="5"/>
  <c r="O794" i="5"/>
  <c r="O78" i="5"/>
  <c r="O436" i="5"/>
  <c r="O998" i="5"/>
  <c r="O438" i="5"/>
  <c r="O878" i="5"/>
  <c r="O844" i="5"/>
  <c r="O72" i="5"/>
  <c r="O448" i="5"/>
  <c r="M616" i="5"/>
  <c r="M688" i="5"/>
  <c r="M560" i="5"/>
  <c r="M792" i="5"/>
  <c r="M444" i="5"/>
  <c r="M104" i="5"/>
  <c r="M712" i="5"/>
  <c r="M736" i="5"/>
  <c r="M608" i="5"/>
  <c r="M1072" i="5"/>
  <c r="M76" i="5"/>
  <c r="M88" i="5"/>
  <c r="M692" i="5"/>
  <c r="M696" i="5"/>
  <c r="M720" i="5"/>
  <c r="M592" i="5"/>
  <c r="M872" i="5"/>
  <c r="M60" i="5"/>
  <c r="M72" i="5"/>
  <c r="M580" i="5"/>
  <c r="M632" i="5"/>
  <c r="M704" i="5"/>
  <c r="M576" i="5"/>
  <c r="M856" i="5"/>
  <c r="M56" i="5"/>
  <c r="M119" i="5"/>
  <c r="M931" i="5"/>
  <c r="M612" i="5"/>
  <c r="M1004" i="5"/>
  <c r="M1030" i="5"/>
  <c r="M1002" i="5"/>
  <c r="M212" i="5"/>
  <c r="M976" i="5"/>
  <c r="M986" i="5"/>
  <c r="M860" i="5"/>
  <c r="M844" i="5"/>
  <c r="M323" i="5"/>
  <c r="M812" i="5"/>
  <c r="M796" i="5"/>
  <c r="M1050" i="5"/>
  <c r="M990" i="5"/>
  <c r="M1054" i="5"/>
  <c r="M937" i="5"/>
  <c r="M776" i="5"/>
  <c r="M745" i="5"/>
  <c r="M644" i="5"/>
  <c r="M974" i="5"/>
  <c r="M292" i="5"/>
  <c r="M1008" i="5"/>
  <c r="M276" i="5"/>
  <c r="M992" i="5"/>
  <c r="M339" i="5"/>
  <c r="M355" i="5"/>
  <c r="M371" i="5"/>
  <c r="M387" i="5"/>
  <c r="M403" i="5"/>
  <c r="M419" i="5"/>
  <c r="M435" i="5"/>
  <c r="M451" i="5"/>
  <c r="M467" i="5"/>
  <c r="M483" i="5"/>
  <c r="M127" i="5"/>
  <c r="M747" i="5"/>
  <c r="M761" i="5"/>
  <c r="M777" i="5"/>
  <c r="M793" i="5"/>
  <c r="M809" i="5"/>
  <c r="M825" i="5"/>
  <c r="M841" i="5"/>
  <c r="M857" i="5"/>
  <c r="M873" i="5"/>
  <c r="M889" i="5"/>
  <c r="M622" i="5"/>
  <c r="M702" i="5"/>
  <c r="M978" i="5"/>
  <c r="M374" i="5"/>
  <c r="M784" i="5"/>
  <c r="M204" i="5"/>
  <c r="M1017" i="5"/>
  <c r="M1048" i="5"/>
  <c r="M68" i="5"/>
  <c r="M402" i="5"/>
  <c r="M446" i="5"/>
  <c r="M786" i="5"/>
  <c r="M674" i="5"/>
  <c r="M634" i="5"/>
  <c r="M586" i="5"/>
  <c r="M935" i="5"/>
  <c r="M347" i="5"/>
  <c r="M363" i="5"/>
  <c r="M379" i="5"/>
  <c r="M395" i="5"/>
  <c r="M411" i="5"/>
  <c r="M427" i="5"/>
  <c r="M443" i="5"/>
  <c r="M459" i="5"/>
  <c r="M475" i="5"/>
  <c r="M491" i="5"/>
  <c r="M133" i="5"/>
  <c r="M149" i="5"/>
  <c r="M165" i="5"/>
  <c r="M181" i="5"/>
  <c r="M197" i="5"/>
  <c r="M213" i="5"/>
  <c r="M229" i="5"/>
  <c r="M245" i="5"/>
  <c r="M261" i="5"/>
  <c r="M277" i="5"/>
  <c r="M293" i="5"/>
  <c r="M309" i="5"/>
  <c r="M351" i="5"/>
  <c r="M367" i="5"/>
  <c r="M383" i="5"/>
  <c r="M399" i="5"/>
  <c r="M415" i="5"/>
  <c r="M431" i="5"/>
  <c r="M447" i="5"/>
  <c r="M463" i="5"/>
  <c r="M479" i="5"/>
  <c r="M495" i="5"/>
  <c r="M59" i="5"/>
  <c r="M75" i="5"/>
  <c r="M91" i="5"/>
  <c r="M107" i="5"/>
  <c r="M43" i="5"/>
  <c r="M27" i="5"/>
  <c r="M15" i="5"/>
  <c r="M137" i="5"/>
  <c r="M153" i="5"/>
  <c r="M169" i="5"/>
  <c r="M185" i="5"/>
  <c r="M201" i="5"/>
  <c r="M217" i="5"/>
  <c r="M233" i="5"/>
  <c r="M249" i="5"/>
  <c r="M265" i="5"/>
  <c r="M281" i="5"/>
  <c r="M297" i="5"/>
  <c r="M313" i="5"/>
  <c r="M521" i="5"/>
  <c r="M537" i="5"/>
  <c r="M553" i="5"/>
  <c r="M585" i="5"/>
  <c r="M601" i="5"/>
  <c r="M665" i="5"/>
  <c r="M729" i="5"/>
  <c r="M569" i="5"/>
  <c r="M617" i="5"/>
  <c r="M649" i="5"/>
  <c r="M713" i="5"/>
  <c r="M697" i="5"/>
  <c r="M633" i="5"/>
  <c r="M681" i="5"/>
  <c r="M558" i="5"/>
  <c r="M718" i="5"/>
  <c r="M962" i="5"/>
  <c r="M486" i="5"/>
  <c r="M358" i="5"/>
  <c r="M896" i="5"/>
  <c r="M316" i="5"/>
  <c r="M188" i="5"/>
  <c r="M343" i="5"/>
  <c r="M359" i="5"/>
  <c r="M375" i="5"/>
  <c r="M391" i="5"/>
  <c r="M407" i="5"/>
  <c r="M423" i="5"/>
  <c r="M439" i="5"/>
  <c r="M455" i="5"/>
  <c r="M471" i="5"/>
  <c r="M487" i="5"/>
  <c r="M52" i="5"/>
  <c r="M386" i="5"/>
  <c r="M430" i="5"/>
  <c r="M770" i="5"/>
  <c r="M110" i="5"/>
  <c r="M690" i="5"/>
  <c r="M626" i="5"/>
  <c r="M698" i="5"/>
  <c r="M682" i="5"/>
  <c r="M763" i="5"/>
  <c r="M779" i="5"/>
  <c r="M795" i="5"/>
  <c r="M811" i="5"/>
  <c r="M827" i="5"/>
  <c r="M843" i="5"/>
  <c r="M859" i="5"/>
  <c r="M875" i="5"/>
  <c r="M891" i="5"/>
  <c r="M1035" i="5"/>
  <c r="M1051" i="5"/>
  <c r="M1067" i="5"/>
  <c r="M515" i="5"/>
  <c r="M531" i="5"/>
  <c r="M547" i="5"/>
  <c r="M563" i="5"/>
  <c r="M579" i="5"/>
  <c r="M595" i="5"/>
  <c r="M611" i="5"/>
  <c r="M691" i="5"/>
  <c r="M627" i="5"/>
  <c r="M675" i="5"/>
  <c r="M659" i="5"/>
  <c r="M723" i="5"/>
  <c r="M643" i="5"/>
  <c r="M707" i="5"/>
  <c r="M708" i="5"/>
  <c r="M596" i="5"/>
  <c r="M652" i="5"/>
  <c r="M588" i="5"/>
  <c r="M1006" i="5"/>
  <c r="M739" i="5"/>
  <c r="M503" i="5"/>
  <c r="M741" i="5"/>
  <c r="M778" i="5"/>
  <c r="M331" i="5"/>
  <c r="M51" i="5"/>
  <c r="M67" i="5"/>
  <c r="M83" i="5"/>
  <c r="M99" i="5"/>
  <c r="M35" i="5"/>
  <c r="M19" i="5"/>
  <c r="M953" i="5"/>
  <c r="M969" i="5"/>
  <c r="M985" i="5"/>
  <c r="M1001" i="5"/>
  <c r="M426" i="5"/>
  <c r="M308" i="5"/>
  <c r="M180" i="5"/>
  <c r="M728" i="5"/>
  <c r="M600" i="5"/>
  <c r="M888" i="5"/>
  <c r="M1056" i="5"/>
  <c r="M828" i="5"/>
  <c r="M412" i="5"/>
  <c r="M121" i="5"/>
  <c r="M511" i="5"/>
  <c r="M947" i="5"/>
  <c r="M963" i="5"/>
  <c r="M979" i="5"/>
  <c r="M995" i="5"/>
  <c r="M670" i="5"/>
  <c r="M654" i="5"/>
  <c r="M470" i="5"/>
  <c r="M880" i="5"/>
  <c r="M300" i="5"/>
  <c r="M172" i="5"/>
  <c r="M11" i="5"/>
  <c r="M755" i="5"/>
  <c r="M771" i="5"/>
  <c r="M787" i="5"/>
  <c r="M803" i="5"/>
  <c r="M819" i="5"/>
  <c r="M835" i="5"/>
  <c r="M851" i="5"/>
  <c r="M867" i="5"/>
  <c r="M883" i="5"/>
  <c r="M1029" i="5"/>
  <c r="M1045" i="5"/>
  <c r="M1061" i="5"/>
  <c r="M42" i="5"/>
  <c r="M370" i="5"/>
  <c r="M414" i="5"/>
  <c r="M882" i="5"/>
  <c r="M94" i="5"/>
  <c r="M610" i="5"/>
  <c r="M578" i="5"/>
  <c r="M714" i="5"/>
  <c r="M570" i="5"/>
  <c r="M765" i="5"/>
  <c r="M781" i="5"/>
  <c r="M797" i="5"/>
  <c r="M813" i="5"/>
  <c r="M829" i="5"/>
  <c r="M845" i="5"/>
  <c r="M861" i="5"/>
  <c r="M877" i="5"/>
  <c r="M893" i="5"/>
  <c r="M767" i="5"/>
  <c r="M783" i="5"/>
  <c r="M799" i="5"/>
  <c r="M815" i="5"/>
  <c r="M831" i="5"/>
  <c r="M847" i="5"/>
  <c r="M863" i="5"/>
  <c r="M879" i="5"/>
  <c r="M895" i="5"/>
  <c r="M1039" i="5"/>
  <c r="M1055" i="5"/>
  <c r="M1071" i="5"/>
  <c r="M501" i="5"/>
  <c r="M53" i="5"/>
  <c r="M69" i="5"/>
  <c r="M85" i="5"/>
  <c r="M101" i="5"/>
  <c r="M37" i="5"/>
  <c r="M21" i="5"/>
  <c r="M327" i="5"/>
  <c r="M38" i="5"/>
  <c r="M9" i="5"/>
  <c r="M606" i="5"/>
  <c r="M542" i="5"/>
  <c r="M454" i="5"/>
  <c r="M519" i="5"/>
  <c r="M535" i="5"/>
  <c r="M551" i="5"/>
  <c r="M567" i="5"/>
  <c r="M583" i="5"/>
  <c r="M599" i="5"/>
  <c r="M615" i="5"/>
  <c r="M631" i="5"/>
  <c r="M663" i="5"/>
  <c r="M727" i="5"/>
  <c r="M647" i="5"/>
  <c r="M711" i="5"/>
  <c r="M695" i="5"/>
  <c r="M679" i="5"/>
  <c r="M864" i="5"/>
  <c r="M284" i="5"/>
  <c r="M156" i="5"/>
  <c r="M13" i="5"/>
  <c r="M957" i="5"/>
  <c r="M973" i="5"/>
  <c r="M989" i="5"/>
  <c r="M1005" i="5"/>
  <c r="M106" i="5"/>
  <c r="M482" i="5"/>
  <c r="M354" i="5"/>
  <c r="M398" i="5"/>
  <c r="M866" i="5"/>
  <c r="M78" i="5"/>
  <c r="M594" i="5"/>
  <c r="M562" i="5"/>
  <c r="M650" i="5"/>
  <c r="M554" i="5"/>
  <c r="M759" i="5"/>
  <c r="M775" i="5"/>
  <c r="M791" i="5"/>
  <c r="M807" i="5"/>
  <c r="M823" i="5"/>
  <c r="M839" i="5"/>
  <c r="M855" i="5"/>
  <c r="M871" i="5"/>
  <c r="M887" i="5"/>
  <c r="M701" i="5"/>
  <c r="M525" i="5"/>
  <c r="M637" i="5"/>
  <c r="M589" i="5"/>
  <c r="M685" i="5"/>
  <c r="M541" i="5"/>
  <c r="M573" i="5"/>
  <c r="M605" i="5"/>
  <c r="M669" i="5"/>
  <c r="M557" i="5"/>
  <c r="M621" i="5"/>
  <c r="M733" i="5"/>
  <c r="M653" i="5"/>
  <c r="M717" i="5"/>
  <c r="M1037" i="5"/>
  <c r="M1053" i="5"/>
  <c r="M1069" i="5"/>
  <c r="M325" i="5"/>
  <c r="M724" i="5"/>
  <c r="M564" i="5"/>
  <c r="M988" i="5"/>
  <c r="M949" i="5"/>
  <c r="M965" i="5"/>
  <c r="M981" i="5"/>
  <c r="M997" i="5"/>
  <c r="M7" i="5"/>
  <c r="M1031" i="5"/>
  <c r="M1047" i="5"/>
  <c r="M1063" i="5"/>
  <c r="M55" i="5"/>
  <c r="M71" i="5"/>
  <c r="M87" i="5"/>
  <c r="M103" i="5"/>
  <c r="M23" i="5"/>
  <c r="M39" i="5"/>
  <c r="M507" i="5"/>
  <c r="M1033" i="5"/>
  <c r="M1049" i="5"/>
  <c r="M1065" i="5"/>
  <c r="M102" i="5"/>
  <c r="M574" i="5"/>
  <c r="M438" i="5"/>
  <c r="M3" i="5"/>
  <c r="M139" i="5"/>
  <c r="M155" i="5"/>
  <c r="M171" i="5"/>
  <c r="M187" i="5"/>
  <c r="M203" i="5"/>
  <c r="M219" i="5"/>
  <c r="M235" i="5"/>
  <c r="M251" i="5"/>
  <c r="M267" i="5"/>
  <c r="M283" i="5"/>
  <c r="M299" i="5"/>
  <c r="M315" i="5"/>
  <c r="M955" i="5"/>
  <c r="M971" i="5"/>
  <c r="M987" i="5"/>
  <c r="M1003" i="5"/>
  <c r="M848" i="5"/>
  <c r="M268" i="5"/>
  <c r="M125" i="5"/>
  <c r="M1068" i="5"/>
  <c r="M90" i="5"/>
  <c r="M466" i="5"/>
  <c r="M382" i="5"/>
  <c r="M850" i="5"/>
  <c r="M62" i="5"/>
  <c r="M706" i="5"/>
  <c r="M546" i="5"/>
  <c r="M618" i="5"/>
  <c r="M538" i="5"/>
  <c r="M123" i="5"/>
  <c r="M660" i="5"/>
  <c r="M548" i="5"/>
  <c r="M668" i="5"/>
  <c r="M540" i="5"/>
  <c r="M972" i="5"/>
  <c r="M1060" i="5"/>
  <c r="M858" i="5"/>
  <c r="M57" i="5"/>
  <c r="M73" i="5"/>
  <c r="M89" i="5"/>
  <c r="M105" i="5"/>
  <c r="M25" i="5"/>
  <c r="M41" i="5"/>
  <c r="M378" i="5"/>
  <c r="M970" i="5"/>
  <c r="M751" i="5"/>
  <c r="M260" i="5"/>
  <c r="M680" i="5"/>
  <c r="M552" i="5"/>
  <c r="M840" i="5"/>
  <c r="M780" i="5"/>
  <c r="M492" i="5"/>
  <c r="M364" i="5"/>
  <c r="M86" i="5"/>
  <c r="M47" i="5"/>
  <c r="M63" i="5"/>
  <c r="M79" i="5"/>
  <c r="M95" i="5"/>
  <c r="M111" i="5"/>
  <c r="M31" i="5"/>
  <c r="M135" i="5"/>
  <c r="M151" i="5"/>
  <c r="M167" i="5"/>
  <c r="M183" i="5"/>
  <c r="M199" i="5"/>
  <c r="M215" i="5"/>
  <c r="M231" i="5"/>
  <c r="M247" i="5"/>
  <c r="M263" i="5"/>
  <c r="M279" i="5"/>
  <c r="M295" i="5"/>
  <c r="M311" i="5"/>
  <c r="M943" i="5"/>
  <c r="M329" i="5"/>
  <c r="M941" i="5"/>
  <c r="M686" i="5"/>
  <c r="M422" i="5"/>
  <c r="M832" i="5"/>
  <c r="M1000" i="5"/>
  <c r="M252" i="5"/>
  <c r="M749" i="5"/>
  <c r="M1027" i="5"/>
  <c r="M1043" i="5"/>
  <c r="M1059" i="5"/>
  <c r="M1052" i="5"/>
  <c r="M333" i="5"/>
  <c r="M36" i="5"/>
  <c r="M505" i="5"/>
  <c r="M74" i="5"/>
  <c r="M450" i="5"/>
  <c r="M494" i="5"/>
  <c r="M366" i="5"/>
  <c r="M834" i="5"/>
  <c r="M46" i="5"/>
  <c r="M642" i="5"/>
  <c r="M530" i="5"/>
  <c r="M730" i="5"/>
  <c r="M1066" i="5"/>
  <c r="M676" i="5"/>
  <c r="M532" i="5"/>
  <c r="M604" i="5"/>
  <c r="M509" i="5"/>
  <c r="M1044" i="5"/>
  <c r="M141" i="5"/>
  <c r="M157" i="5"/>
  <c r="M173" i="5"/>
  <c r="M189" i="5"/>
  <c r="M205" i="5"/>
  <c r="M221" i="5"/>
  <c r="M237" i="5"/>
  <c r="M253" i="5"/>
  <c r="M269" i="5"/>
  <c r="M285" i="5"/>
  <c r="M301" i="5"/>
  <c r="M317" i="5"/>
  <c r="M842" i="5"/>
  <c r="M939" i="5"/>
  <c r="M345" i="5"/>
  <c r="M361" i="5"/>
  <c r="M377" i="5"/>
  <c r="M393" i="5"/>
  <c r="M409" i="5"/>
  <c r="M425" i="5"/>
  <c r="M441" i="5"/>
  <c r="M457" i="5"/>
  <c r="M473" i="5"/>
  <c r="M489" i="5"/>
  <c r="M490" i="5"/>
  <c r="M362" i="5"/>
  <c r="M244" i="5"/>
  <c r="M664" i="5"/>
  <c r="M536" i="5"/>
  <c r="M824" i="5"/>
  <c r="M892" i="5"/>
  <c r="M476" i="5"/>
  <c r="M70" i="5"/>
  <c r="M590" i="5"/>
  <c r="M1010" i="5"/>
  <c r="M406" i="5"/>
  <c r="M1042" i="5"/>
  <c r="M143" i="5"/>
  <c r="M159" i="5"/>
  <c r="M175" i="5"/>
  <c r="M191" i="5"/>
  <c r="M207" i="5"/>
  <c r="M223" i="5"/>
  <c r="M239" i="5"/>
  <c r="M255" i="5"/>
  <c r="M271" i="5"/>
  <c r="M287" i="5"/>
  <c r="M303" i="5"/>
  <c r="M319" i="5"/>
  <c r="M951" i="5"/>
  <c r="M967" i="5"/>
  <c r="M983" i="5"/>
  <c r="M999" i="5"/>
  <c r="M816" i="5"/>
  <c r="M984" i="5"/>
  <c r="M236" i="5"/>
  <c r="M5" i="5"/>
  <c r="M349" i="5"/>
  <c r="M365" i="5"/>
  <c r="M381" i="5"/>
  <c r="M397" i="5"/>
  <c r="M413" i="5"/>
  <c r="M429" i="5"/>
  <c r="M445" i="5"/>
  <c r="M461" i="5"/>
  <c r="M477" i="5"/>
  <c r="M493" i="5"/>
  <c r="M959" i="5"/>
  <c r="M975" i="5"/>
  <c r="M991" i="5"/>
  <c r="M1007" i="5"/>
  <c r="M757" i="5"/>
  <c r="M773" i="5"/>
  <c r="M789" i="5"/>
  <c r="M805" i="5"/>
  <c r="M821" i="5"/>
  <c r="M837" i="5"/>
  <c r="M853" i="5"/>
  <c r="M869" i="5"/>
  <c r="M885" i="5"/>
  <c r="M100" i="5"/>
  <c r="M117" i="5"/>
  <c r="M58" i="5"/>
  <c r="M434" i="5"/>
  <c r="M478" i="5"/>
  <c r="M818" i="5"/>
  <c r="M1014" i="5"/>
  <c r="M722" i="5"/>
  <c r="M666" i="5"/>
  <c r="M527" i="5"/>
  <c r="M543" i="5"/>
  <c r="M559" i="5"/>
  <c r="M575" i="5"/>
  <c r="M591" i="5"/>
  <c r="M607" i="5"/>
  <c r="M623" i="5"/>
  <c r="M639" i="5"/>
  <c r="M735" i="5"/>
  <c r="M655" i="5"/>
  <c r="M719" i="5"/>
  <c r="M703" i="5"/>
  <c r="M687" i="5"/>
  <c r="M671" i="5"/>
  <c r="M628" i="5"/>
  <c r="M684" i="5"/>
  <c r="M1013" i="5"/>
  <c r="M826" i="5"/>
  <c r="M499" i="5"/>
  <c r="M743" i="5"/>
  <c r="M474" i="5"/>
  <c r="M228" i="5"/>
  <c r="M648" i="5"/>
  <c r="M808" i="5"/>
  <c r="M876" i="5"/>
  <c r="M460" i="5"/>
  <c r="M45" i="5"/>
  <c r="M61" i="5"/>
  <c r="M77" i="5"/>
  <c r="M93" i="5"/>
  <c r="M109" i="5"/>
  <c r="M29" i="5"/>
  <c r="M54" i="5"/>
  <c r="M131" i="5"/>
  <c r="M147" i="5"/>
  <c r="M163" i="5"/>
  <c r="M179" i="5"/>
  <c r="M195" i="5"/>
  <c r="M211" i="5"/>
  <c r="M227" i="5"/>
  <c r="M243" i="5"/>
  <c r="M259" i="5"/>
  <c r="M275" i="5"/>
  <c r="M291" i="5"/>
  <c r="M307" i="5"/>
  <c r="M341" i="5"/>
  <c r="M357" i="5"/>
  <c r="M373" i="5"/>
  <c r="M389" i="5"/>
  <c r="M405" i="5"/>
  <c r="M421" i="5"/>
  <c r="M437" i="5"/>
  <c r="M453" i="5"/>
  <c r="M469" i="5"/>
  <c r="M485" i="5"/>
  <c r="M734" i="5"/>
  <c r="M638" i="5"/>
  <c r="M994" i="5"/>
  <c r="M390" i="5"/>
  <c r="M335" i="5"/>
  <c r="M800" i="5"/>
  <c r="M968" i="5"/>
  <c r="M220" i="5"/>
  <c r="M115" i="5"/>
  <c r="M523" i="5"/>
  <c r="M539" i="5"/>
  <c r="M555" i="5"/>
  <c r="M571" i="5"/>
  <c r="M587" i="5"/>
  <c r="M603" i="5"/>
  <c r="M619" i="5"/>
  <c r="M635" i="5"/>
  <c r="M683" i="5"/>
  <c r="M667" i="5"/>
  <c r="M731" i="5"/>
  <c r="M651" i="5"/>
  <c r="M715" i="5"/>
  <c r="M699" i="5"/>
  <c r="M1064" i="5"/>
  <c r="M645" i="5"/>
  <c r="M709" i="5"/>
  <c r="M517" i="5"/>
  <c r="M565" i="5"/>
  <c r="M613" i="5"/>
  <c r="M693" i="5"/>
  <c r="M533" i="5"/>
  <c r="M629" i="5"/>
  <c r="M677" i="5"/>
  <c r="M549" i="5"/>
  <c r="M661" i="5"/>
  <c r="M725" i="5"/>
  <c r="M581" i="5"/>
  <c r="M597" i="5"/>
  <c r="M84" i="5"/>
  <c r="M418" i="5"/>
  <c r="M462" i="5"/>
  <c r="M802" i="5"/>
  <c r="M658" i="5"/>
  <c r="M602" i="5"/>
  <c r="M1018" i="5"/>
  <c r="W82" i="1"/>
  <c r="W74" i="1"/>
  <c r="W50" i="1"/>
  <c r="W42" i="1"/>
  <c r="W34" i="1"/>
  <c r="W26" i="1"/>
  <c r="W18" i="1"/>
  <c r="W2" i="1"/>
  <c r="W40" i="1"/>
  <c r="W16" i="1"/>
  <c r="W7" i="1"/>
  <c r="W72" i="1"/>
  <c r="W48" i="1"/>
  <c r="W24" i="1"/>
  <c r="W79" i="1"/>
  <c r="V25" i="4" s="1"/>
  <c r="W71" i="1"/>
  <c r="V23" i="4" s="1"/>
  <c r="W47" i="1"/>
  <c r="W39" i="1"/>
  <c r="W23" i="1"/>
  <c r="W15" i="1"/>
  <c r="W77" i="1"/>
  <c r="W69" i="1"/>
  <c r="W63" i="1"/>
  <c r="V19" i="4" s="1"/>
  <c r="W53" i="1"/>
  <c r="V16" i="4" s="1"/>
  <c r="W45" i="1"/>
  <c r="V14" i="4" s="1"/>
  <c r="W37" i="1"/>
  <c r="V12" i="4" s="1"/>
  <c r="W29" i="1"/>
  <c r="V10" i="4" s="1"/>
  <c r="W21" i="1"/>
  <c r="V8" i="4" s="1"/>
  <c r="W13" i="1"/>
  <c r="V6" i="4" s="1"/>
  <c r="W5" i="1"/>
  <c r="V3" i="4" s="1"/>
  <c r="W80" i="1"/>
  <c r="W56" i="1"/>
  <c r="W32" i="1"/>
  <c r="W9" i="1"/>
  <c r="V4" i="4" s="1"/>
  <c r="W55" i="1"/>
  <c r="W31" i="1"/>
  <c r="W128" i="1"/>
  <c r="W147" i="1"/>
  <c r="W138" i="1"/>
  <c r="W129" i="1"/>
  <c r="V41" i="4" s="1"/>
  <c r="W119" i="1"/>
  <c r="W98" i="1"/>
  <c r="W84" i="1"/>
  <c r="W97" i="1"/>
  <c r="W83" i="1"/>
  <c r="V26" i="4" s="1"/>
  <c r="W19" i="1"/>
  <c r="W96" i="1"/>
  <c r="W43" i="1"/>
  <c r="W170" i="1"/>
  <c r="V56" i="4" s="1"/>
  <c r="W162" i="1"/>
  <c r="W152" i="1"/>
  <c r="W143" i="1"/>
  <c r="W134" i="1"/>
  <c r="W125" i="1"/>
  <c r="V40" i="4" s="1"/>
  <c r="W106" i="1"/>
  <c r="W92" i="1"/>
  <c r="W67" i="1"/>
  <c r="V22" i="4" s="1"/>
  <c r="W136" i="1"/>
  <c r="W103" i="1"/>
  <c r="V31" i="4" s="1"/>
  <c r="W86" i="1"/>
  <c r="W38" i="1"/>
  <c r="W22" i="1"/>
  <c r="W101" i="1"/>
  <c r="W2124" i="1"/>
  <c r="V1060" i="4" s="1"/>
  <c r="W2068" i="1"/>
  <c r="V1028" i="4" s="1"/>
  <c r="W2052" i="1"/>
  <c r="W2004" i="1"/>
  <c r="V996" i="4" s="1"/>
  <c r="W1988" i="1"/>
  <c r="V983" i="4" s="1"/>
  <c r="W1900" i="1"/>
  <c r="W1716" i="1"/>
  <c r="W1620" i="1"/>
  <c r="W1596" i="1"/>
  <c r="V659" i="4" s="1"/>
  <c r="W1572" i="1"/>
  <c r="W1548" i="1"/>
  <c r="W1524" i="1"/>
  <c r="W1508" i="1"/>
  <c r="W1476" i="1"/>
  <c r="W1460" i="1"/>
  <c r="W1444" i="1"/>
  <c r="V519" i="4" s="1"/>
  <c r="W1420" i="1"/>
  <c r="W1404" i="1"/>
  <c r="V501" i="4" s="1"/>
  <c r="W1268" i="1"/>
  <c r="W1244" i="1"/>
  <c r="V429" i="4" s="1"/>
  <c r="W1212" i="1"/>
  <c r="W1164" i="1"/>
  <c r="V404" i="4" s="1"/>
  <c r="W1044" i="1"/>
  <c r="W380" i="1"/>
  <c r="V142" i="4" s="1"/>
  <c r="W2123" i="1"/>
  <c r="W2091" i="1"/>
  <c r="W2059" i="1"/>
  <c r="V1016" i="4" s="1"/>
  <c r="W1987" i="1"/>
  <c r="W1891" i="1"/>
  <c r="W1715" i="1"/>
  <c r="V851" i="4" s="1"/>
  <c r="W1659" i="1"/>
  <c r="V725" i="4" s="1"/>
  <c r="W1643" i="1"/>
  <c r="V707" i="4" s="1"/>
  <c r="W1611" i="1"/>
  <c r="V679" i="4" s="1"/>
  <c r="W1587" i="1"/>
  <c r="W1571" i="1"/>
  <c r="V623" i="4" s="1"/>
  <c r="W1547" i="1"/>
  <c r="V611" i="4" s="1"/>
  <c r="W1523" i="1"/>
  <c r="V579" i="4" s="1"/>
  <c r="W1467" i="1"/>
  <c r="V535" i="4" s="1"/>
  <c r="W1435" i="1"/>
  <c r="V515" i="4" s="1"/>
  <c r="W1411" i="1"/>
  <c r="V505" i="4" s="1"/>
  <c r="W1387" i="1"/>
  <c r="W1339" i="1"/>
  <c r="W1323" i="1"/>
  <c r="W1291" i="1"/>
  <c r="V455" i="4" s="1"/>
  <c r="W1259" i="1"/>
  <c r="V438" i="4" s="1"/>
  <c r="W1243" i="1"/>
  <c r="W1123" i="1"/>
  <c r="V389" i="4" s="1"/>
  <c r="W1051" i="1"/>
  <c r="V363" i="4" s="1"/>
  <c r="W1035" i="1"/>
  <c r="V355" i="4" s="1"/>
  <c r="W1011" i="1"/>
  <c r="W963" i="1"/>
  <c r="V341" i="4" s="1"/>
  <c r="W859" i="1"/>
  <c r="W731" i="1"/>
  <c r="W475" i="1"/>
  <c r="W379" i="1"/>
  <c r="W331" i="1"/>
  <c r="V123" i="4" s="1"/>
  <c r="W243" i="1"/>
  <c r="V90" i="4" s="1"/>
  <c r="W163" i="1"/>
  <c r="V52" i="4" s="1"/>
  <c r="W161" i="1"/>
  <c r="V51" i="4" s="1"/>
  <c r="W151" i="1"/>
  <c r="W142" i="1"/>
  <c r="W133" i="1"/>
  <c r="V42" i="4" s="1"/>
  <c r="W124" i="1"/>
  <c r="W115" i="1"/>
  <c r="W105" i="1"/>
  <c r="W91" i="1"/>
  <c r="V28" i="4" s="1"/>
  <c r="W27" i="1"/>
  <c r="W144" i="1"/>
  <c r="W120" i="1"/>
  <c r="W95" i="1"/>
  <c r="V29" i="4" s="1"/>
  <c r="W102" i="1"/>
  <c r="W78" i="1"/>
  <c r="W54" i="1"/>
  <c r="W30" i="1"/>
  <c r="W6" i="1"/>
  <c r="W1677" i="1"/>
  <c r="V771" i="4" s="1"/>
  <c r="W1157" i="1"/>
  <c r="V399" i="4" s="1"/>
  <c r="W112" i="1"/>
  <c r="V34" i="4" s="1"/>
  <c r="W85" i="1"/>
  <c r="W2132" i="1"/>
  <c r="V1064" i="4" s="1"/>
  <c r="W2108" i="1"/>
  <c r="W2084" i="1"/>
  <c r="V1036" i="4" s="1"/>
  <c r="W2060" i="1"/>
  <c r="W1980" i="1"/>
  <c r="V979" i="4" s="1"/>
  <c r="W1908" i="1"/>
  <c r="W1724" i="1"/>
  <c r="V867" i="4" s="1"/>
  <c r="W1628" i="1"/>
  <c r="W1604" i="1"/>
  <c r="V675" i="4" s="1"/>
  <c r="W1556" i="1"/>
  <c r="W1532" i="1"/>
  <c r="V596" i="4" s="1"/>
  <c r="W1500" i="1"/>
  <c r="W1484" i="1"/>
  <c r="W1468" i="1"/>
  <c r="W1284" i="1"/>
  <c r="W1260" i="1"/>
  <c r="W1060" i="1"/>
  <c r="W1036" i="1"/>
  <c r="W1012" i="1"/>
  <c r="W900" i="1"/>
  <c r="V323" i="4" s="1"/>
  <c r="W580" i="1"/>
  <c r="V206" i="4" s="1"/>
  <c r="W252" i="1"/>
  <c r="W172" i="1"/>
  <c r="V57" i="4" s="1"/>
  <c r="W127" i="1"/>
  <c r="W2115" i="1"/>
  <c r="V1054" i="4" s="1"/>
  <c r="W2083" i="1"/>
  <c r="W2075" i="1"/>
  <c r="W2051" i="1"/>
  <c r="V1012" i="4" s="1"/>
  <c r="W2027" i="1"/>
  <c r="W1979" i="1"/>
  <c r="W1899" i="1"/>
  <c r="V948" i="4" s="1"/>
  <c r="W1883" i="1"/>
  <c r="W1779" i="1"/>
  <c r="W1627" i="1"/>
  <c r="V687" i="4" s="1"/>
  <c r="W1603" i="1"/>
  <c r="W1555" i="1"/>
  <c r="V615" i="4" s="1"/>
  <c r="W1531" i="1"/>
  <c r="W1507" i="1"/>
  <c r="V566" i="4" s="1"/>
  <c r="W1483" i="1"/>
  <c r="V543" i="4" s="1"/>
  <c r="W1459" i="1"/>
  <c r="V531" i="4" s="1"/>
  <c r="W1355" i="1"/>
  <c r="V485" i="4" s="1"/>
  <c r="W1331" i="1"/>
  <c r="V471" i="4" s="1"/>
  <c r="W1283" i="1"/>
  <c r="V451" i="4" s="1"/>
  <c r="W1267" i="1"/>
  <c r="V442" i="4" s="1"/>
  <c r="W1163" i="1"/>
  <c r="W803" i="1"/>
  <c r="W763" i="1"/>
  <c r="V270" i="4" s="1"/>
  <c r="W667" i="1"/>
  <c r="W619" i="1"/>
  <c r="W579" i="1"/>
  <c r="W171" i="1"/>
  <c r="W126" i="1"/>
  <c r="W2122" i="1"/>
  <c r="V1059" i="4" s="1"/>
  <c r="W2106" i="1"/>
  <c r="W2090" i="1"/>
  <c r="V1039" i="4" s="1"/>
  <c r="W2074" i="1"/>
  <c r="V1031" i="4" s="1"/>
  <c r="W2058" i="1"/>
  <c r="W2042" i="1"/>
  <c r="W2034" i="1"/>
  <c r="W2018" i="1"/>
  <c r="V1001" i="4" s="1"/>
  <c r="W2002" i="1"/>
  <c r="W1962" i="1"/>
  <c r="W1946" i="1"/>
  <c r="W1922" i="1"/>
  <c r="W1906" i="1"/>
  <c r="W1898" i="1"/>
  <c r="W1882" i="1"/>
  <c r="W1866" i="1"/>
  <c r="W1850" i="1"/>
  <c r="W1834" i="1"/>
  <c r="W1818" i="1"/>
  <c r="W1802" i="1"/>
  <c r="W1770" i="1"/>
  <c r="W1754" i="1"/>
  <c r="W1738" i="1"/>
  <c r="W1722" i="1"/>
  <c r="V866" i="4" s="1"/>
  <c r="W1706" i="1"/>
  <c r="W1634" i="1"/>
  <c r="V691" i="4" s="1"/>
  <c r="W1618" i="1"/>
  <c r="W1610" i="1"/>
  <c r="W1594" i="1"/>
  <c r="V658" i="4" s="1"/>
  <c r="W1578" i="1"/>
  <c r="V627" i="4" s="1"/>
  <c r="W1562" i="1"/>
  <c r="W1554" i="1"/>
  <c r="W1538" i="1"/>
  <c r="V599" i="4" s="1"/>
  <c r="W1522" i="1"/>
  <c r="W1506" i="1"/>
  <c r="W1490" i="1"/>
  <c r="V548" i="4" s="1"/>
  <c r="W1482" i="1"/>
  <c r="W1466" i="1"/>
  <c r="W1426" i="1"/>
  <c r="W1410" i="1"/>
  <c r="W1394" i="1"/>
  <c r="W1378" i="1"/>
  <c r="W1362" i="1"/>
  <c r="W1330" i="1"/>
  <c r="W1322" i="1"/>
  <c r="V468" i="4" s="1"/>
  <c r="W1306" i="1"/>
  <c r="W1290" i="1"/>
  <c r="W1274" i="1"/>
  <c r="W1258" i="1"/>
  <c r="W1242" i="1"/>
  <c r="V428" i="4" s="1"/>
  <c r="W1234" i="1"/>
  <c r="W1218" i="1"/>
  <c r="W1194" i="1"/>
  <c r="W1178" i="1"/>
  <c r="W1162" i="1"/>
  <c r="V403" i="4" s="1"/>
  <c r="W1146" i="1"/>
  <c r="W1130" i="1"/>
  <c r="W1098" i="1"/>
  <c r="V380" i="4" s="1"/>
  <c r="W1082" i="1"/>
  <c r="V376" i="4" s="1"/>
  <c r="W1066" i="1"/>
  <c r="W1050" i="1"/>
  <c r="W1034" i="1"/>
  <c r="W1018" i="1"/>
  <c r="W994" i="1"/>
  <c r="W978" i="1"/>
  <c r="W946" i="1"/>
  <c r="W938" i="1"/>
  <c r="W922" i="1"/>
  <c r="W906" i="1"/>
  <c r="W890" i="1"/>
  <c r="W874" i="1"/>
  <c r="W834" i="1"/>
  <c r="W818" i="1"/>
  <c r="W802" i="1"/>
  <c r="W786" i="1"/>
  <c r="W778" i="1"/>
  <c r="W762" i="1"/>
  <c r="W746" i="1"/>
  <c r="W738" i="1"/>
  <c r="W722" i="1"/>
  <c r="W706" i="1"/>
  <c r="W690" i="1"/>
  <c r="W658" i="1"/>
  <c r="W642" i="1"/>
  <c r="W602" i="1"/>
  <c r="W586" i="1"/>
  <c r="W570" i="1"/>
  <c r="V202" i="4" s="1"/>
  <c r="W554" i="1"/>
  <c r="V198" i="4" s="1"/>
  <c r="W538" i="1"/>
  <c r="V194" i="4" s="1"/>
  <c r="W522" i="1"/>
  <c r="V186" i="4" s="1"/>
  <c r="W514" i="1"/>
  <c r="V184" i="4" s="1"/>
  <c r="W490" i="1"/>
  <c r="V178" i="4" s="1"/>
  <c r="W474" i="1"/>
  <c r="W458" i="1"/>
  <c r="W450" i="1"/>
  <c r="W426" i="1"/>
  <c r="V156" i="4" s="1"/>
  <c r="W410" i="1"/>
  <c r="V152" i="4" s="1"/>
  <c r="W394" i="1"/>
  <c r="V148" i="4" s="1"/>
  <c r="W378" i="1"/>
  <c r="V141" i="4" s="1"/>
  <c r="W362" i="1"/>
  <c r="W346" i="1"/>
  <c r="W330" i="1"/>
  <c r="W314" i="1"/>
  <c r="W306" i="1"/>
  <c r="W282" i="1"/>
  <c r="W266" i="1"/>
  <c r="W250" i="1"/>
  <c r="W218" i="1"/>
  <c r="W210" i="1"/>
  <c r="W202" i="1"/>
  <c r="W2137" i="1"/>
  <c r="W2121" i="1"/>
  <c r="W2105" i="1"/>
  <c r="V1049" i="4" s="1"/>
  <c r="W2089" i="1"/>
  <c r="W2073" i="1"/>
  <c r="W2057" i="1"/>
  <c r="V1015" i="4" s="1"/>
  <c r="W2041" i="1"/>
  <c r="V1007" i="4" s="1"/>
  <c r="W2025" i="1"/>
  <c r="W1961" i="1"/>
  <c r="W1945" i="1"/>
  <c r="W1929" i="1"/>
  <c r="V959" i="4" s="1"/>
  <c r="W1913" i="1"/>
  <c r="V955" i="4" s="1"/>
  <c r="W1897" i="1"/>
  <c r="V947" i="4" s="1"/>
  <c r="W1881" i="1"/>
  <c r="V941" i="4" s="1"/>
  <c r="W1865" i="1"/>
  <c r="W1833" i="1"/>
  <c r="V926" i="4" s="1"/>
  <c r="W1817" i="1"/>
  <c r="V922" i="4" s="1"/>
  <c r="W1801" i="1"/>
  <c r="V918" i="4" s="1"/>
  <c r="W1785" i="1"/>
  <c r="W1769" i="1"/>
  <c r="W1761" i="1"/>
  <c r="W1745" i="1"/>
  <c r="W1729" i="1"/>
  <c r="W1681" i="1"/>
  <c r="W1665" i="1"/>
  <c r="W1633" i="1"/>
  <c r="W1617" i="1"/>
  <c r="V682" i="4" s="1"/>
  <c r="W1577" i="1"/>
  <c r="W1561" i="1"/>
  <c r="V618" i="4" s="1"/>
  <c r="W1553" i="1"/>
  <c r="V614" i="4" s="1"/>
  <c r="W1537" i="1"/>
  <c r="W1505" i="1"/>
  <c r="V565" i="4" s="1"/>
  <c r="W1489" i="1"/>
  <c r="W1473" i="1"/>
  <c r="V538" i="4" s="1"/>
  <c r="W1441" i="1"/>
  <c r="V518" i="4" s="1"/>
  <c r="W1425" i="1"/>
  <c r="W1409" i="1"/>
  <c r="V504" i="4" s="1"/>
  <c r="W1393" i="1"/>
  <c r="W1377" i="1"/>
  <c r="V491" i="4" s="1"/>
  <c r="W1361" i="1"/>
  <c r="V487" i="4" s="1"/>
  <c r="W1353" i="1"/>
  <c r="V484" i="4" s="1"/>
  <c r="W1337" i="1"/>
  <c r="V473" i="4" s="1"/>
  <c r="W1305" i="1"/>
  <c r="V459" i="4" s="1"/>
  <c r="W1281" i="1"/>
  <c r="V450" i="4" s="1"/>
  <c r="W1265" i="1"/>
  <c r="V441" i="4" s="1"/>
  <c r="W1233" i="1"/>
  <c r="W1193" i="1"/>
  <c r="W1177" i="1"/>
  <c r="W1161" i="1"/>
  <c r="W1145" i="1"/>
  <c r="W1129" i="1"/>
  <c r="W1121" i="1"/>
  <c r="V388" i="4" s="1"/>
  <c r="W1105" i="1"/>
  <c r="W1089" i="1"/>
  <c r="W1073" i="1"/>
  <c r="V373" i="4" s="1"/>
  <c r="W1057" i="1"/>
  <c r="V366" i="4" s="1"/>
  <c r="W1041" i="1"/>
  <c r="V358" i="4" s="1"/>
  <c r="W1025" i="1"/>
  <c r="W1009" i="1"/>
  <c r="W993" i="1"/>
  <c r="W977" i="1"/>
  <c r="W961" i="1"/>
  <c r="V340" i="4" s="1"/>
  <c r="W945" i="1"/>
  <c r="V336" i="4" s="1"/>
  <c r="W929" i="1"/>
  <c r="V332" i="4" s="1"/>
  <c r="W913" i="1"/>
  <c r="V328" i="4" s="1"/>
  <c r="W905" i="1"/>
  <c r="V326" i="4" s="1"/>
  <c r="W889" i="1"/>
  <c r="W873" i="1"/>
  <c r="W857" i="1"/>
  <c r="W841" i="1"/>
  <c r="W825" i="1"/>
  <c r="V296" i="4" s="1"/>
  <c r="W785" i="1"/>
  <c r="W753" i="1"/>
  <c r="W737" i="1"/>
  <c r="W721" i="1"/>
  <c r="V258" i="4" s="1"/>
  <c r="W705" i="1"/>
  <c r="V253" i="4" s="1"/>
  <c r="W689" i="1"/>
  <c r="V249" i="4" s="1"/>
  <c r="W681" i="1"/>
  <c r="V247" i="4" s="1"/>
  <c r="W665" i="1"/>
  <c r="V234" i="4" s="1"/>
  <c r="W641" i="1"/>
  <c r="V228" i="4" s="1"/>
  <c r="W625" i="1"/>
  <c r="V221" i="4" s="1"/>
  <c r="W609" i="1"/>
  <c r="V216" i="4" s="1"/>
  <c r="W593" i="1"/>
  <c r="V212" i="4" s="1"/>
  <c r="W577" i="1"/>
  <c r="W561" i="1"/>
  <c r="W545" i="1"/>
  <c r="W529" i="1"/>
  <c r="W513" i="1"/>
  <c r="W457" i="1"/>
  <c r="W425" i="1"/>
  <c r="W409" i="1"/>
  <c r="W393" i="1"/>
  <c r="W377" i="1"/>
  <c r="W369" i="1"/>
  <c r="W329" i="1"/>
  <c r="V122" i="4" s="1"/>
  <c r="W313" i="1"/>
  <c r="W305" i="1"/>
  <c r="W281" i="1"/>
  <c r="V108" i="4" s="1"/>
  <c r="W265" i="1"/>
  <c r="V104" i="4" s="1"/>
  <c r="W257" i="1"/>
  <c r="V102" i="4" s="1"/>
  <c r="W233" i="1"/>
  <c r="V84" i="4" s="1"/>
  <c r="W217" i="1"/>
  <c r="V77" i="4" s="1"/>
  <c r="W201" i="1"/>
  <c r="V73" i="4" s="1"/>
  <c r="W193" i="1"/>
  <c r="V71" i="4" s="1"/>
  <c r="W169" i="1"/>
  <c r="W2136" i="1"/>
  <c r="V1066" i="4" s="1"/>
  <c r="W2128" i="1"/>
  <c r="V1062" i="4" s="1"/>
  <c r="W2112" i="1"/>
  <c r="W2104" i="1"/>
  <c r="W2096" i="1"/>
  <c r="W2088" i="1"/>
  <c r="V1038" i="4" s="1"/>
  <c r="W2080" i="1"/>
  <c r="V1034" i="4" s="1"/>
  <c r="W2072" i="1"/>
  <c r="V1030" i="4" s="1"/>
  <c r="W2056" i="1"/>
  <c r="W2040" i="1"/>
  <c r="W2032" i="1"/>
  <c r="W2024" i="1"/>
  <c r="W2016" i="1"/>
  <c r="W2008" i="1"/>
  <c r="W2000" i="1"/>
  <c r="V995" i="4" s="1"/>
  <c r="W1992" i="1"/>
  <c r="V985" i="4" s="1"/>
  <c r="W1984" i="1"/>
  <c r="V981" i="4" s="1"/>
  <c r="W1968" i="1"/>
  <c r="V972" i="4" s="1"/>
  <c r="W1960" i="1"/>
  <c r="V970" i="4" s="1"/>
  <c r="W1952" i="1"/>
  <c r="V968" i="4" s="1"/>
  <c r="W1944" i="1"/>
  <c r="V966" i="4" s="1"/>
  <c r="W1936" i="1"/>
  <c r="W1920" i="1"/>
  <c r="W1912" i="1"/>
  <c r="W1904" i="1"/>
  <c r="W1896" i="1"/>
  <c r="W1888" i="1"/>
  <c r="W1880" i="1"/>
  <c r="W1872" i="1"/>
  <c r="V938" i="4" s="1"/>
  <c r="W1864" i="1"/>
  <c r="V936" i="4" s="1"/>
  <c r="W1856" i="1"/>
  <c r="V934" i="4" s="1"/>
  <c r="W1848" i="1"/>
  <c r="V931" i="4" s="1"/>
  <c r="W1832" i="1"/>
  <c r="W1824" i="1"/>
  <c r="W1816" i="1"/>
  <c r="W1808" i="1"/>
  <c r="W1792" i="1"/>
  <c r="W1784" i="1"/>
  <c r="W1776" i="1"/>
  <c r="V908" i="4" s="1"/>
  <c r="W1768" i="1"/>
  <c r="V906" i="4" s="1"/>
  <c r="W1760" i="1"/>
  <c r="V904" i="4" s="1"/>
  <c r="W1752" i="1"/>
  <c r="V902" i="4" s="1"/>
  <c r="W1744" i="1"/>
  <c r="V900" i="4" s="1"/>
  <c r="W1736" i="1"/>
  <c r="V898" i="4" s="1"/>
  <c r="W1728" i="1"/>
  <c r="V882" i="4" s="1"/>
  <c r="W1720" i="1"/>
  <c r="V854" i="4" s="1"/>
  <c r="W1712" i="1"/>
  <c r="V840" i="4" s="1"/>
  <c r="W1704" i="1"/>
  <c r="W1696" i="1"/>
  <c r="W1688" i="1"/>
  <c r="V803" i="4" s="1"/>
  <c r="W1680" i="1"/>
  <c r="V787" i="4" s="1"/>
  <c r="W1664" i="1"/>
  <c r="V739" i="4" s="1"/>
  <c r="W1640" i="1"/>
  <c r="V706" i="4" s="1"/>
  <c r="W1632" i="1"/>
  <c r="W1624" i="1"/>
  <c r="W1616" i="1"/>
  <c r="W1608" i="1"/>
  <c r="W1600" i="1"/>
  <c r="V662" i="4" s="1"/>
  <c r="W1592" i="1"/>
  <c r="V645" i="4" s="1"/>
  <c r="W1576" i="1"/>
  <c r="W1568" i="1"/>
  <c r="W1560" i="1"/>
  <c r="W1552" i="1"/>
  <c r="W1536" i="1"/>
  <c r="V598" i="4" s="1"/>
  <c r="W1520" i="1"/>
  <c r="W1512" i="1"/>
  <c r="V569" i="4" s="1"/>
  <c r="W1504" i="1"/>
  <c r="W1496" i="1"/>
  <c r="V550" i="4" s="1"/>
  <c r="W1488" i="1"/>
  <c r="V547" i="4" s="1"/>
  <c r="W1480" i="1"/>
  <c r="W1472" i="1"/>
  <c r="W1464" i="1"/>
  <c r="W1448" i="1"/>
  <c r="V521" i="4" s="1"/>
  <c r="W1440" i="1"/>
  <c r="W1424" i="1"/>
  <c r="W1416" i="1"/>
  <c r="W1408" i="1"/>
  <c r="W1400" i="1"/>
  <c r="V499" i="4" s="1"/>
  <c r="W1384" i="1"/>
  <c r="W1376" i="1"/>
  <c r="W1368" i="1"/>
  <c r="W1360" i="1"/>
  <c r="W1352" i="1"/>
  <c r="W1344" i="1"/>
  <c r="W1336" i="1"/>
  <c r="W1328" i="1"/>
  <c r="V470" i="4" s="1"/>
  <c r="W1320" i="1"/>
  <c r="W1312" i="1"/>
  <c r="W1304" i="1"/>
  <c r="W1296" i="1"/>
  <c r="W1288" i="1"/>
  <c r="W1272" i="1"/>
  <c r="W1264" i="1"/>
  <c r="W1256" i="1"/>
  <c r="W1248" i="1"/>
  <c r="V431" i="4" s="1"/>
  <c r="W1232" i="1"/>
  <c r="W1224" i="1"/>
  <c r="W1216" i="1"/>
  <c r="W1200" i="1"/>
  <c r="W1192" i="1"/>
  <c r="W1184" i="1"/>
  <c r="W1176" i="1"/>
  <c r="W1168" i="1"/>
  <c r="W1144" i="1"/>
  <c r="V395" i="4" s="1"/>
  <c r="W1136" i="1"/>
  <c r="V393" i="4" s="1"/>
  <c r="W1128" i="1"/>
  <c r="V391" i="4" s="1"/>
  <c r="W1120" i="1"/>
  <c r="W1112" i="1"/>
  <c r="W1104" i="1"/>
  <c r="W1096" i="1"/>
  <c r="W1088" i="1"/>
  <c r="W1080" i="1"/>
  <c r="W1064" i="1"/>
  <c r="W1056" i="1"/>
  <c r="W1048" i="1"/>
  <c r="W1040" i="1"/>
  <c r="W1024" i="1"/>
  <c r="W1016" i="1"/>
  <c r="W1008" i="1"/>
  <c r="W1000" i="1"/>
  <c r="V351" i="4" s="1"/>
  <c r="W992" i="1"/>
  <c r="V349" i="4" s="1"/>
  <c r="W984" i="1"/>
  <c r="V347" i="4" s="1"/>
  <c r="W976" i="1"/>
  <c r="V345" i="4" s="1"/>
  <c r="W968" i="1"/>
  <c r="V343" i="4" s="1"/>
  <c r="W944" i="1"/>
  <c r="W936" i="1"/>
  <c r="W928" i="1"/>
  <c r="W920" i="1"/>
  <c r="W912" i="1"/>
  <c r="W904" i="1"/>
  <c r="V325" i="4" s="1"/>
  <c r="W888" i="1"/>
  <c r="V316" i="4" s="1"/>
  <c r="W880" i="1"/>
  <c r="V314" i="4" s="1"/>
  <c r="W872" i="1"/>
  <c r="V312" i="4" s="1"/>
  <c r="W864" i="1"/>
  <c r="V310" i="4" s="1"/>
  <c r="W856" i="1"/>
  <c r="V307" i="4" s="1"/>
  <c r="W848" i="1"/>
  <c r="W832" i="1"/>
  <c r="W824" i="1"/>
  <c r="W816" i="1"/>
  <c r="W808" i="1"/>
  <c r="W792" i="1"/>
  <c r="V283" i="4" s="1"/>
  <c r="W784" i="1"/>
  <c r="V281" i="4" s="1"/>
  <c r="W776" i="1"/>
  <c r="V279" i="4" s="1"/>
  <c r="W760" i="1"/>
  <c r="W752" i="1"/>
  <c r="V266" i="4" s="1"/>
  <c r="W744" i="1"/>
  <c r="V264" i="4" s="1"/>
  <c r="W736" i="1"/>
  <c r="V262" i="4" s="1"/>
  <c r="W728" i="1"/>
  <c r="W712" i="1"/>
  <c r="W704" i="1"/>
  <c r="W696" i="1"/>
  <c r="W688" i="1"/>
  <c r="W680" i="1"/>
  <c r="W664" i="1"/>
  <c r="W656" i="1"/>
  <c r="W648" i="1"/>
  <c r="W640" i="1"/>
  <c r="W624" i="1"/>
  <c r="W616" i="1"/>
  <c r="W608" i="1"/>
  <c r="W600" i="1"/>
  <c r="W592" i="1"/>
  <c r="W576" i="1"/>
  <c r="V204" i="4" s="1"/>
  <c r="W568" i="1"/>
  <c r="W560" i="1"/>
  <c r="W552" i="1"/>
  <c r="W544" i="1"/>
  <c r="W528" i="1"/>
  <c r="V188" i="4" s="1"/>
  <c r="W520" i="1"/>
  <c r="W512" i="1"/>
  <c r="W504" i="1"/>
  <c r="W496" i="1"/>
  <c r="W480" i="1"/>
  <c r="W472" i="1"/>
  <c r="V170" i="4" s="1"/>
  <c r="W464" i="1"/>
  <c r="V168" i="4" s="1"/>
  <c r="W448" i="1"/>
  <c r="W440" i="1"/>
  <c r="W432" i="1"/>
  <c r="W424" i="1"/>
  <c r="W416" i="1"/>
  <c r="W408" i="1"/>
  <c r="W400" i="1"/>
  <c r="W392" i="1"/>
  <c r="W368" i="1"/>
  <c r="W360" i="1"/>
  <c r="W352" i="1"/>
  <c r="W336" i="1"/>
  <c r="V125" i="4" s="1"/>
  <c r="W328" i="1"/>
  <c r="W320" i="1"/>
  <c r="V119" i="4" s="1"/>
  <c r="W312" i="1"/>
  <c r="V117" i="4" s="1"/>
  <c r="W304" i="1"/>
  <c r="V115" i="4" s="1"/>
  <c r="W296" i="1"/>
  <c r="W288" i="1"/>
  <c r="W280" i="1"/>
  <c r="W272" i="1"/>
  <c r="W264" i="1"/>
  <c r="W256" i="1"/>
  <c r="W240" i="1"/>
  <c r="W224" i="1"/>
  <c r="W216" i="1"/>
  <c r="W208" i="1"/>
  <c r="W200" i="1"/>
  <c r="W192" i="1"/>
  <c r="W184" i="1"/>
  <c r="W176" i="1"/>
  <c r="V59" i="4" s="1"/>
  <c r="W168" i="1"/>
  <c r="V55" i="4" s="1"/>
  <c r="W160" i="1"/>
  <c r="W150" i="1"/>
  <c r="W141" i="1"/>
  <c r="V44" i="4" s="1"/>
  <c r="W132" i="1"/>
  <c r="W123" i="1"/>
  <c r="W114" i="1"/>
  <c r="V35" i="4" s="1"/>
  <c r="W90" i="1"/>
  <c r="W51" i="1"/>
  <c r="W87" i="1"/>
  <c r="V27" i="4" s="1"/>
  <c r="W94" i="1"/>
  <c r="W70" i="1"/>
  <c r="W46" i="1"/>
  <c r="W14" i="1"/>
  <c r="W165" i="1"/>
  <c r="V53" i="4" s="1"/>
  <c r="W93" i="1"/>
  <c r="W2116" i="1"/>
  <c r="W2100" i="1"/>
  <c r="W2076" i="1"/>
  <c r="V1032" i="4" s="1"/>
  <c r="W1612" i="1"/>
  <c r="W1564" i="1"/>
  <c r="W1540" i="1"/>
  <c r="V600" i="4" s="1"/>
  <c r="W1516" i="1"/>
  <c r="W1436" i="1"/>
  <c r="W1412" i="1"/>
  <c r="W1276" i="1"/>
  <c r="W1252" i="1"/>
  <c r="W1052" i="1"/>
  <c r="W764" i="1"/>
  <c r="W628" i="1"/>
  <c r="W532" i="1"/>
  <c r="V190" i="4" s="1"/>
  <c r="W484" i="1"/>
  <c r="V174" i="4" s="1"/>
  <c r="W348" i="1"/>
  <c r="W236" i="1"/>
  <c r="W2131" i="1"/>
  <c r="W2107" i="1"/>
  <c r="V1050" i="4" s="1"/>
  <c r="W2099" i="1"/>
  <c r="V1046" i="4" s="1"/>
  <c r="W2067" i="1"/>
  <c r="W1907" i="1"/>
  <c r="V952" i="4" s="1"/>
  <c r="W1875" i="1"/>
  <c r="V939" i="4" s="1"/>
  <c r="W1723" i="1"/>
  <c r="W1619" i="1"/>
  <c r="V683" i="4" s="1"/>
  <c r="W1595" i="1"/>
  <c r="W1563" i="1"/>
  <c r="V619" i="4" s="1"/>
  <c r="W1539" i="1"/>
  <c r="W1515" i="1"/>
  <c r="W1499" i="1"/>
  <c r="V562" i="4" s="1"/>
  <c r="W1475" i="1"/>
  <c r="V539" i="4" s="1"/>
  <c r="W1451" i="1"/>
  <c r="W1443" i="1"/>
  <c r="W1419" i="1"/>
  <c r="V509" i="4" s="1"/>
  <c r="W1395" i="1"/>
  <c r="W1275" i="1"/>
  <c r="V446" i="4" s="1"/>
  <c r="W1251" i="1"/>
  <c r="V434" i="4" s="1"/>
  <c r="W1211" i="1"/>
  <c r="V418" i="4" s="1"/>
  <c r="W1059" i="1"/>
  <c r="V367" i="4" s="1"/>
  <c r="W1043" i="1"/>
  <c r="V359" i="4" s="1"/>
  <c r="W899" i="1"/>
  <c r="W627" i="1"/>
  <c r="V222" i="4" s="1"/>
  <c r="W531" i="1"/>
  <c r="W483" i="1"/>
  <c r="W347" i="1"/>
  <c r="V131" i="4" s="1"/>
  <c r="W251" i="1"/>
  <c r="V99" i="4" s="1"/>
  <c r="W135" i="1"/>
  <c r="W61" i="1"/>
  <c r="V18" i="4" s="1"/>
  <c r="W3" i="1"/>
  <c r="W2130" i="1"/>
  <c r="V1063" i="4" s="1"/>
  <c r="W2114" i="1"/>
  <c r="W2082" i="1"/>
  <c r="V1035" i="4" s="1"/>
  <c r="W2066" i="1"/>
  <c r="V1027" i="4" s="1"/>
  <c r="W2050" i="1"/>
  <c r="W2010" i="1"/>
  <c r="V999" i="4" s="1"/>
  <c r="W1994" i="1"/>
  <c r="V986" i="4" s="1"/>
  <c r="W1986" i="1"/>
  <c r="V982" i="4" s="1"/>
  <c r="W1970" i="1"/>
  <c r="W1954" i="1"/>
  <c r="W1938" i="1"/>
  <c r="W1930" i="1"/>
  <c r="W1914" i="1"/>
  <c r="W1890" i="1"/>
  <c r="V944" i="4" s="1"/>
  <c r="W1874" i="1"/>
  <c r="W1858" i="1"/>
  <c r="W1826" i="1"/>
  <c r="W1810" i="1"/>
  <c r="W1794" i="1"/>
  <c r="V915" i="4" s="1"/>
  <c r="W1778" i="1"/>
  <c r="W1762" i="1"/>
  <c r="W1746" i="1"/>
  <c r="W1730" i="1"/>
  <c r="W1714" i="1"/>
  <c r="W1698" i="1"/>
  <c r="W1666" i="1"/>
  <c r="W1658" i="1"/>
  <c r="V724" i="4" s="1"/>
  <c r="W1642" i="1"/>
  <c r="W1626" i="1"/>
  <c r="W1570" i="1"/>
  <c r="W1546" i="1"/>
  <c r="W1530" i="1"/>
  <c r="V595" i="4" s="1"/>
  <c r="W1514" i="1"/>
  <c r="W1474" i="1"/>
  <c r="W1458" i="1"/>
  <c r="W1450" i="1"/>
  <c r="V522" i="4" s="1"/>
  <c r="W1434" i="1"/>
  <c r="W1418" i="1"/>
  <c r="W1402" i="1"/>
  <c r="V500" i="4" s="1"/>
  <c r="W1370" i="1"/>
  <c r="W1354" i="1"/>
  <c r="W1338" i="1"/>
  <c r="W1298" i="1"/>
  <c r="W1282" i="1"/>
  <c r="W1266" i="1"/>
  <c r="W1226" i="1"/>
  <c r="W1202" i="1"/>
  <c r="W1186" i="1"/>
  <c r="W1170" i="1"/>
  <c r="W1154" i="1"/>
  <c r="V398" i="4" s="1"/>
  <c r="W1138" i="1"/>
  <c r="W1106" i="1"/>
  <c r="V382" i="4" s="1"/>
  <c r="W1090" i="1"/>
  <c r="V378" i="4" s="1"/>
  <c r="W1074" i="1"/>
  <c r="V374" i="4" s="1"/>
  <c r="W1058" i="1"/>
  <c r="W1042" i="1"/>
  <c r="W1026" i="1"/>
  <c r="W1010" i="1"/>
  <c r="W1002" i="1"/>
  <c r="W986" i="1"/>
  <c r="W970" i="1"/>
  <c r="W954" i="1"/>
  <c r="W930" i="1"/>
  <c r="W914" i="1"/>
  <c r="W898" i="1"/>
  <c r="V322" i="4" s="1"/>
  <c r="W882" i="1"/>
  <c r="W866" i="1"/>
  <c r="W858" i="1"/>
  <c r="V308" i="4" s="1"/>
  <c r="W842" i="1"/>
  <c r="V302" i="4" s="1"/>
  <c r="W826" i="1"/>
  <c r="W794" i="1"/>
  <c r="W754" i="1"/>
  <c r="W714" i="1"/>
  <c r="W698" i="1"/>
  <c r="W682" i="1"/>
  <c r="W650" i="1"/>
  <c r="W634" i="1"/>
  <c r="W626" i="1"/>
  <c r="W610" i="1"/>
  <c r="W594" i="1"/>
  <c r="W578" i="1"/>
  <c r="V205" i="4" s="1"/>
  <c r="W562" i="1"/>
  <c r="V200" i="4" s="1"/>
  <c r="W546" i="1"/>
  <c r="V196" i="4" s="1"/>
  <c r="W530" i="1"/>
  <c r="V189" i="4" s="1"/>
  <c r="W506" i="1"/>
  <c r="V182" i="4" s="1"/>
  <c r="W498" i="1"/>
  <c r="V180" i="4" s="1"/>
  <c r="W482" i="1"/>
  <c r="V173" i="4" s="1"/>
  <c r="W466" i="1"/>
  <c r="W434" i="1"/>
  <c r="V158" i="4" s="1"/>
  <c r="W418" i="1"/>
  <c r="V154" i="4" s="1"/>
  <c r="W402" i="1"/>
  <c r="V150" i="4" s="1"/>
  <c r="W386" i="1"/>
  <c r="V146" i="4" s="1"/>
  <c r="W370" i="1"/>
  <c r="W354" i="1"/>
  <c r="W338" i="1"/>
  <c r="V126" i="4" s="1"/>
  <c r="W322" i="1"/>
  <c r="W290" i="1"/>
  <c r="W274" i="1"/>
  <c r="W258" i="1"/>
  <c r="W242" i="1"/>
  <c r="W226" i="1"/>
  <c r="W194" i="1"/>
  <c r="W2129" i="1"/>
  <c r="W2113" i="1"/>
  <c r="V1053" i="4" s="1"/>
  <c r="W2081" i="1"/>
  <c r="W2065" i="1"/>
  <c r="W2049" i="1"/>
  <c r="V1011" i="4" s="1"/>
  <c r="W2033" i="1"/>
  <c r="V1005" i="4" s="1"/>
  <c r="W2017" i="1"/>
  <c r="W2009" i="1"/>
  <c r="W1993" i="1"/>
  <c r="W1985" i="1"/>
  <c r="W1969" i="1"/>
  <c r="W1953" i="1"/>
  <c r="W1937" i="1"/>
  <c r="V963" i="4" s="1"/>
  <c r="W1921" i="1"/>
  <c r="V957" i="4" s="1"/>
  <c r="W1905" i="1"/>
  <c r="V951" i="4" s="1"/>
  <c r="W1889" i="1"/>
  <c r="W1873" i="1"/>
  <c r="W1857" i="1"/>
  <c r="W1849" i="1"/>
  <c r="W1825" i="1"/>
  <c r="V924" i="4" s="1"/>
  <c r="W1809" i="1"/>
  <c r="V920" i="4" s="1"/>
  <c r="W1793" i="1"/>
  <c r="W1753" i="1"/>
  <c r="W1737" i="1"/>
  <c r="W1705" i="1"/>
  <c r="V837" i="4" s="1"/>
  <c r="W1697" i="1"/>
  <c r="V835" i="4" s="1"/>
  <c r="W1641" i="1"/>
  <c r="W1625" i="1"/>
  <c r="V686" i="4" s="1"/>
  <c r="W1609" i="1"/>
  <c r="V678" i="4" s="1"/>
  <c r="W1601" i="1"/>
  <c r="V663" i="4" s="1"/>
  <c r="W1585" i="1"/>
  <c r="V629" i="4" s="1"/>
  <c r="W1569" i="1"/>
  <c r="V622" i="4" s="1"/>
  <c r="W1529" i="1"/>
  <c r="W1497" i="1"/>
  <c r="V551" i="4" s="1"/>
  <c r="W1481" i="1"/>
  <c r="V542" i="4" s="1"/>
  <c r="W1465" i="1"/>
  <c r="V534" i="4" s="1"/>
  <c r="W1449" i="1"/>
  <c r="W1417" i="1"/>
  <c r="V508" i="4" s="1"/>
  <c r="W1401" i="1"/>
  <c r="W1385" i="1"/>
  <c r="V493" i="4" s="1"/>
  <c r="W1369" i="1"/>
  <c r="V489" i="4" s="1"/>
  <c r="W1345" i="1"/>
  <c r="W1329" i="1"/>
  <c r="W1321" i="1"/>
  <c r="W1297" i="1"/>
  <c r="V457" i="4" s="1"/>
  <c r="W1289" i="1"/>
  <c r="V454" i="4" s="1"/>
  <c r="W1273" i="1"/>
  <c r="V445" i="4" s="1"/>
  <c r="W1257" i="1"/>
  <c r="V437" i="4" s="1"/>
  <c r="W1241" i="1"/>
  <c r="W1225" i="1"/>
  <c r="W1217" i="1"/>
  <c r="V421" i="4" s="1"/>
  <c r="W1201" i="1"/>
  <c r="W1185" i="1"/>
  <c r="W1169" i="1"/>
  <c r="W1153" i="1"/>
  <c r="W1137" i="1"/>
  <c r="W1113" i="1"/>
  <c r="W1097" i="1"/>
  <c r="W1081" i="1"/>
  <c r="W1065" i="1"/>
  <c r="W1049" i="1"/>
  <c r="V362" i="4" s="1"/>
  <c r="W1033" i="1"/>
  <c r="V354" i="4" s="1"/>
  <c r="W1017" i="1"/>
  <c r="W1001" i="1"/>
  <c r="W985" i="1"/>
  <c r="W969" i="1"/>
  <c r="W953" i="1"/>
  <c r="V338" i="4" s="1"/>
  <c r="W937" i="1"/>
  <c r="V334" i="4" s="1"/>
  <c r="W921" i="1"/>
  <c r="V330" i="4" s="1"/>
  <c r="W881" i="1"/>
  <c r="W865" i="1"/>
  <c r="W849" i="1"/>
  <c r="W833" i="1"/>
  <c r="V298" i="4" s="1"/>
  <c r="W817" i="1"/>
  <c r="V294" i="4" s="1"/>
  <c r="W809" i="1"/>
  <c r="W793" i="1"/>
  <c r="W777" i="1"/>
  <c r="W761" i="1"/>
  <c r="V269" i="4" s="1"/>
  <c r="W745" i="1"/>
  <c r="W729" i="1"/>
  <c r="V260" i="4" s="1"/>
  <c r="W713" i="1"/>
  <c r="V255" i="4" s="1"/>
  <c r="W697" i="1"/>
  <c r="V251" i="4" s="1"/>
  <c r="W657" i="1"/>
  <c r="V232" i="4" s="1"/>
  <c r="W649" i="1"/>
  <c r="V230" i="4" s="1"/>
  <c r="W633" i="1"/>
  <c r="V226" i="4" s="1"/>
  <c r="W617" i="1"/>
  <c r="V218" i="4" s="1"/>
  <c r="W601" i="1"/>
  <c r="V214" i="4" s="1"/>
  <c r="W585" i="1"/>
  <c r="V210" i="4" s="1"/>
  <c r="W569" i="1"/>
  <c r="W553" i="1"/>
  <c r="W521" i="1"/>
  <c r="W505" i="1"/>
  <c r="W497" i="1"/>
  <c r="W465" i="1"/>
  <c r="W449" i="1"/>
  <c r="V163" i="4" s="1"/>
  <c r="W433" i="1"/>
  <c r="W417" i="1"/>
  <c r="W401" i="1"/>
  <c r="W361" i="1"/>
  <c r="W353" i="1"/>
  <c r="W337" i="1"/>
  <c r="W321" i="1"/>
  <c r="W289" i="1"/>
  <c r="V110" i="4" s="1"/>
  <c r="W273" i="1"/>
  <c r="V106" i="4" s="1"/>
  <c r="W249" i="1"/>
  <c r="V98" i="4" s="1"/>
  <c r="W241" i="1"/>
  <c r="V89" i="4" s="1"/>
  <c r="W225" i="1"/>
  <c r="V79" i="4" s="1"/>
  <c r="W209" i="1"/>
  <c r="V75" i="4" s="1"/>
  <c r="W2135" i="1"/>
  <c r="W2127" i="1"/>
  <c r="W2111" i="1"/>
  <c r="V1052" i="4" s="1"/>
  <c r="W2103" i="1"/>
  <c r="V1048" i="4" s="1"/>
  <c r="W2095" i="1"/>
  <c r="V1043" i="4" s="1"/>
  <c r="W2087" i="1"/>
  <c r="W2079" i="1"/>
  <c r="W2071" i="1"/>
  <c r="W2055" i="1"/>
  <c r="V1014" i="4" s="1"/>
  <c r="W2039" i="1"/>
  <c r="W2031" i="1"/>
  <c r="W2023" i="1"/>
  <c r="W2015" i="1"/>
  <c r="W2007" i="1"/>
  <c r="W1999" i="1"/>
  <c r="W1991" i="1"/>
  <c r="W1983" i="1"/>
  <c r="W1967" i="1"/>
  <c r="W1959" i="1"/>
  <c r="W1951" i="1"/>
  <c r="W1935" i="1"/>
  <c r="W1927" i="1"/>
  <c r="W1919" i="1"/>
  <c r="W1911" i="1"/>
  <c r="V954" i="4" s="1"/>
  <c r="W1903" i="1"/>
  <c r="V950" i="4" s="1"/>
  <c r="W1887" i="1"/>
  <c r="V943" i="4" s="1"/>
  <c r="W1879" i="1"/>
  <c r="W1863" i="1"/>
  <c r="W1855" i="1"/>
  <c r="V933" i="4" s="1"/>
  <c r="W1847" i="1"/>
  <c r="W1839" i="1"/>
  <c r="W1831" i="1"/>
  <c r="W1823" i="1"/>
  <c r="W1815" i="1"/>
  <c r="W1807" i="1"/>
  <c r="W1791" i="1"/>
  <c r="W1783" i="1"/>
  <c r="V910" i="4" s="1"/>
  <c r="W1775" i="1"/>
  <c r="W1767" i="1"/>
  <c r="W1759" i="1"/>
  <c r="W1751" i="1"/>
  <c r="W1743" i="1"/>
  <c r="W1719" i="1"/>
  <c r="V853" i="4" s="1"/>
  <c r="W1711" i="1"/>
  <c r="V839" i="4" s="1"/>
  <c r="W1703" i="1"/>
  <c r="W1695" i="1"/>
  <c r="W1679" i="1"/>
  <c r="W1671" i="1"/>
  <c r="V741" i="4" s="1"/>
  <c r="W1663" i="1"/>
  <c r="W1655" i="1"/>
  <c r="V723" i="4" s="1"/>
  <c r="W1647" i="1"/>
  <c r="W1631" i="1"/>
  <c r="W1623" i="1"/>
  <c r="V685" i="4" s="1"/>
  <c r="W1615" i="1"/>
  <c r="V681" i="4" s="1"/>
  <c r="W1607" i="1"/>
  <c r="W1599" i="1"/>
  <c r="V661" i="4" s="1"/>
  <c r="W1591" i="1"/>
  <c r="V644" i="4" s="1"/>
  <c r="W1575" i="1"/>
  <c r="W1567" i="1"/>
  <c r="V621" i="4" s="1"/>
  <c r="W1559" i="1"/>
  <c r="V617" i="4" s="1"/>
  <c r="W1551" i="1"/>
  <c r="V613" i="4" s="1"/>
  <c r="W1543" i="1"/>
  <c r="W1535" i="1"/>
  <c r="W1527" i="1"/>
  <c r="V581" i="4" s="1"/>
  <c r="W1519" i="1"/>
  <c r="W1511" i="1"/>
  <c r="V568" i="4" s="1"/>
  <c r="W1503" i="1"/>
  <c r="V564" i="4" s="1"/>
  <c r="W1487" i="1"/>
  <c r="W1479" i="1"/>
  <c r="V541" i="4" s="1"/>
  <c r="W1471" i="1"/>
  <c r="V537" i="4" s="1"/>
  <c r="W1463" i="1"/>
  <c r="V533" i="4" s="1"/>
  <c r="W1455" i="1"/>
  <c r="W1447" i="1"/>
  <c r="W1439" i="1"/>
  <c r="V517" i="4" s="1"/>
  <c r="W1423" i="1"/>
  <c r="V511" i="4" s="1"/>
  <c r="W1415" i="1"/>
  <c r="V507" i="4" s="1"/>
  <c r="W1407" i="1"/>
  <c r="V503" i="4" s="1"/>
  <c r="W1399" i="1"/>
  <c r="W1391" i="1"/>
  <c r="W1383" i="1"/>
  <c r="W1375" i="1"/>
  <c r="W1367" i="1"/>
  <c r="W1359" i="1"/>
  <c r="W1351" i="1"/>
  <c r="V483" i="4" s="1"/>
  <c r="W1343" i="1"/>
  <c r="V475" i="4" s="1"/>
  <c r="W1335" i="1"/>
  <c r="W1327" i="1"/>
  <c r="W1319" i="1"/>
  <c r="V467" i="4" s="1"/>
  <c r="W1311" i="1"/>
  <c r="W1303" i="1"/>
  <c r="W1295" i="1"/>
  <c r="W1287" i="1"/>
  <c r="V453" i="4" s="1"/>
  <c r="W1271" i="1"/>
  <c r="V444" i="4" s="1"/>
  <c r="W1263" i="1"/>
  <c r="V440" i="4" s="1"/>
  <c r="W1255" i="1"/>
  <c r="V436" i="4" s="1"/>
  <c r="W1247" i="1"/>
  <c r="W1239" i="1"/>
  <c r="V427" i="4" s="1"/>
  <c r="W1231" i="1"/>
  <c r="V425" i="4" s="1"/>
  <c r="W1223" i="1"/>
  <c r="V423" i="4" s="1"/>
  <c r="W1215" i="1"/>
  <c r="V420" i="4" s="1"/>
  <c r="W1199" i="1"/>
  <c r="V414" i="4" s="1"/>
  <c r="W1191" i="1"/>
  <c r="V412" i="4" s="1"/>
  <c r="W1183" i="1"/>
  <c r="V410" i="4" s="1"/>
  <c r="W1175" i="1"/>
  <c r="V408" i="4" s="1"/>
  <c r="W1167" i="1"/>
  <c r="V406" i="4" s="1"/>
  <c r="W1151" i="1"/>
  <c r="V397" i="4" s="1"/>
  <c r="W1135" i="1"/>
  <c r="W1127" i="1"/>
  <c r="W1119" i="1"/>
  <c r="V387" i="4" s="1"/>
  <c r="W1111" i="1"/>
  <c r="W1103" i="1"/>
  <c r="W1095" i="1"/>
  <c r="W1087" i="1"/>
  <c r="W1079" i="1"/>
  <c r="W1071" i="1"/>
  <c r="V372" i="4" s="1"/>
  <c r="W1063" i="1"/>
  <c r="V370" i="4" s="1"/>
  <c r="W1055" i="1"/>
  <c r="V365" i="4" s="1"/>
  <c r="W1047" i="1"/>
  <c r="V361" i="4" s="1"/>
  <c r="W1039" i="1"/>
  <c r="V357" i="4" s="1"/>
  <c r="W1023" i="1"/>
  <c r="W1015" i="1"/>
  <c r="W999" i="1"/>
  <c r="W991" i="1"/>
  <c r="W983" i="1"/>
  <c r="W975" i="1"/>
  <c r="W967" i="1"/>
  <c r="W959" i="1"/>
  <c r="W943" i="1"/>
  <c r="W935" i="1"/>
  <c r="W927" i="1"/>
  <c r="W919" i="1"/>
  <c r="W911" i="1"/>
  <c r="W887" i="1"/>
  <c r="W879" i="1"/>
  <c r="W871" i="1"/>
  <c r="W863" i="1"/>
  <c r="W855" i="1"/>
  <c r="W847" i="1"/>
  <c r="W831" i="1"/>
  <c r="W823" i="1"/>
  <c r="W807" i="1"/>
  <c r="W799" i="1"/>
  <c r="W791" i="1"/>
  <c r="W783" i="1"/>
  <c r="W775" i="1"/>
  <c r="W759" i="1"/>
  <c r="V268" i="4" s="1"/>
  <c r="W751" i="1"/>
  <c r="W743" i="1"/>
  <c r="W735" i="1"/>
  <c r="W727" i="1"/>
  <c r="W711" i="1"/>
  <c r="W703" i="1"/>
  <c r="W695" i="1"/>
  <c r="W687" i="1"/>
  <c r="W679" i="1"/>
  <c r="W663" i="1"/>
  <c r="W655" i="1"/>
  <c r="W647" i="1"/>
  <c r="W639" i="1"/>
  <c r="W623" i="1"/>
  <c r="V220" i="4" s="1"/>
  <c r="W615" i="1"/>
  <c r="W607" i="1"/>
  <c r="W599" i="1"/>
  <c r="W591" i="1"/>
  <c r="W575" i="1"/>
  <c r="W567" i="1"/>
  <c r="W559" i="1"/>
  <c r="W551" i="1"/>
  <c r="W543" i="1"/>
  <c r="W535" i="1"/>
  <c r="W527" i="1"/>
  <c r="W519" i="1"/>
  <c r="W511" i="1"/>
  <c r="W503" i="1"/>
  <c r="W495" i="1"/>
  <c r="W487" i="1"/>
  <c r="W471" i="1"/>
  <c r="W463" i="1"/>
  <c r="W447" i="1"/>
  <c r="W439" i="1"/>
  <c r="W431" i="1"/>
  <c r="W423" i="1"/>
  <c r="W415" i="1"/>
  <c r="W407" i="1"/>
  <c r="W399" i="1"/>
  <c r="W391" i="1"/>
  <c r="W383" i="1"/>
  <c r="W375" i="1"/>
  <c r="V140" i="4" s="1"/>
  <c r="W367" i="1"/>
  <c r="V138" i="4" s="1"/>
  <c r="W359" i="1"/>
  <c r="V136" i="4" s="1"/>
  <c r="W343" i="1"/>
  <c r="W335" i="1"/>
  <c r="W327" i="1"/>
  <c r="V121" i="4" s="1"/>
  <c r="W319" i="1"/>
  <c r="W311" i="1"/>
  <c r="W303" i="1"/>
  <c r="W295" i="1"/>
  <c r="W287" i="1"/>
  <c r="W279" i="1"/>
  <c r="W271" i="1"/>
  <c r="W263" i="1"/>
  <c r="W255" i="1"/>
  <c r="V101" i="4" s="1"/>
  <c r="W247" i="1"/>
  <c r="W239" i="1"/>
  <c r="V88" i="4" s="1"/>
  <c r="W223" i="1"/>
  <c r="W215" i="1"/>
  <c r="W207" i="1"/>
  <c r="W199" i="1"/>
  <c r="W191" i="1"/>
  <c r="W183" i="1"/>
  <c r="W175" i="1"/>
  <c r="W167" i="1"/>
  <c r="W149" i="1"/>
  <c r="V46" i="4" s="1"/>
  <c r="W140" i="1"/>
  <c r="W131" i="1"/>
  <c r="W122" i="1"/>
  <c r="W113" i="1"/>
  <c r="W100" i="1"/>
  <c r="W89" i="1"/>
  <c r="W75" i="1"/>
  <c r="V24" i="4" s="1"/>
  <c r="W64" i="1"/>
  <c r="F10" i="2"/>
  <c r="F14" i="2"/>
  <c r="F7" i="2"/>
  <c r="F11" i="2"/>
  <c r="F15" i="2"/>
  <c r="F4" i="2"/>
  <c r="F8" i="2"/>
  <c r="F12" i="2"/>
  <c r="T226" i="8" l="1"/>
  <c r="T226" i="5"/>
  <c r="T920" i="5"/>
  <c r="T920" i="8"/>
  <c r="T150" i="5"/>
  <c r="T150" i="8"/>
  <c r="T1035" i="8"/>
  <c r="T1035" i="5"/>
  <c r="T1046" i="5"/>
  <c r="T1046" i="8"/>
  <c r="T391" i="8"/>
  <c r="T391" i="5"/>
  <c r="T662" i="5"/>
  <c r="T662" i="8"/>
  <c r="T972" i="8"/>
  <c r="T972" i="5"/>
  <c r="T212" i="5"/>
  <c r="T212" i="8"/>
  <c r="T518" i="5"/>
  <c r="T518" i="8"/>
  <c r="T959" i="8"/>
  <c r="T959" i="5"/>
  <c r="T194" i="8"/>
  <c r="T194" i="5"/>
  <c r="T1059" i="5"/>
  <c r="T1059" i="8"/>
  <c r="T979" i="5"/>
  <c r="T979" i="8"/>
  <c r="T455" i="5"/>
  <c r="T455" i="8"/>
  <c r="T31" i="5"/>
  <c r="T31" i="8"/>
  <c r="T10" i="8"/>
  <c r="T10" i="5"/>
  <c r="T534" i="5"/>
  <c r="T534" i="8"/>
  <c r="T44" i="5"/>
  <c r="T44" i="8"/>
  <c r="T9" i="5"/>
  <c r="T9" i="8"/>
  <c r="T220" i="8"/>
  <c r="T220" i="5"/>
  <c r="T408" i="5"/>
  <c r="T408" i="8"/>
  <c r="T661" i="8"/>
  <c r="T661" i="5"/>
  <c r="T230" i="5"/>
  <c r="T230" i="8"/>
  <c r="T686" i="8"/>
  <c r="T686" i="5"/>
  <c r="T619" i="8"/>
  <c r="T619" i="5"/>
  <c r="T266" i="5"/>
  <c r="T266" i="8"/>
  <c r="T521" i="8"/>
  <c r="T521" i="5"/>
  <c r="T412" i="8"/>
  <c r="T412" i="5"/>
  <c r="T251" i="8"/>
  <c r="T251" i="5"/>
  <c r="T835" i="8"/>
  <c r="T835" i="5"/>
  <c r="T365" i="8"/>
  <c r="T365" i="5"/>
  <c r="T541" i="8"/>
  <c r="T541" i="5"/>
  <c r="T1043" i="5"/>
  <c r="T1043" i="8"/>
  <c r="T489" i="5"/>
  <c r="T489" i="8"/>
  <c r="T126" i="8"/>
  <c r="T126" i="5"/>
  <c r="T500" i="5"/>
  <c r="T500" i="8"/>
  <c r="T18" i="8"/>
  <c r="T18" i="5"/>
  <c r="T170" i="5"/>
  <c r="T170" i="8"/>
  <c r="T499" i="8"/>
  <c r="T499" i="5"/>
  <c r="T73" i="8"/>
  <c r="T73" i="5"/>
  <c r="T336" i="8"/>
  <c r="T336" i="5"/>
  <c r="R12" i="8"/>
  <c r="R12" i="5"/>
  <c r="T75" i="5"/>
  <c r="T75" i="8"/>
  <c r="T393" i="8"/>
  <c r="T393" i="5"/>
  <c r="T904" i="5"/>
  <c r="T904" i="8"/>
  <c r="T981" i="8"/>
  <c r="T981" i="5"/>
  <c r="T1066" i="8"/>
  <c r="T1066" i="5"/>
  <c r="T108" i="8"/>
  <c r="T108" i="5"/>
  <c r="T216" i="8"/>
  <c r="T216" i="5"/>
  <c r="T326" i="5"/>
  <c r="T326" i="8"/>
  <c r="T473" i="8"/>
  <c r="T473" i="5"/>
  <c r="T538" i="5"/>
  <c r="T538" i="8"/>
  <c r="T918" i="5"/>
  <c r="T918" i="8"/>
  <c r="T156" i="8"/>
  <c r="T156" i="5"/>
  <c r="T198" i="5"/>
  <c r="T198" i="8"/>
  <c r="T866" i="5"/>
  <c r="T866" i="8"/>
  <c r="T1001" i="5"/>
  <c r="T1001" i="8"/>
  <c r="T442" i="5"/>
  <c r="T442" i="8"/>
  <c r="T615" i="5"/>
  <c r="T615" i="8"/>
  <c r="T1012" i="8"/>
  <c r="T1012" i="5"/>
  <c r="T323" i="8"/>
  <c r="T323" i="5"/>
  <c r="T51" i="8"/>
  <c r="T51" i="5"/>
  <c r="T341" i="8"/>
  <c r="T341" i="5"/>
  <c r="T623" i="5"/>
  <c r="T623" i="8"/>
  <c r="T1016" i="5"/>
  <c r="T1016" i="8"/>
  <c r="T4" i="8"/>
  <c r="T4" i="5"/>
  <c r="T12" i="8"/>
  <c r="T12" i="5"/>
  <c r="T357" i="8"/>
  <c r="T357" i="5"/>
  <c r="T436" i="5"/>
  <c r="T436" i="8"/>
  <c r="T79" i="5"/>
  <c r="T79" i="8"/>
  <c r="T232" i="8"/>
  <c r="T232" i="5"/>
  <c r="T542" i="8"/>
  <c r="T542" i="5"/>
  <c r="T205" i="8"/>
  <c r="T205" i="5"/>
  <c r="T222" i="8"/>
  <c r="T222" i="5"/>
  <c r="T395" i="5"/>
  <c r="T395" i="8"/>
  <c r="T598" i="5"/>
  <c r="T598" i="8"/>
  <c r="T931" i="5"/>
  <c r="T931" i="8"/>
  <c r="T1030" i="5"/>
  <c r="T1030" i="8"/>
  <c r="T328" i="5"/>
  <c r="T328" i="8"/>
  <c r="T484" i="5"/>
  <c r="T484" i="8"/>
  <c r="T1036" i="8"/>
  <c r="T1036" i="5"/>
  <c r="T28" i="8"/>
  <c r="T28" i="5"/>
  <c r="T501" i="8"/>
  <c r="T501" i="5"/>
  <c r="T22" i="8"/>
  <c r="T22" i="5"/>
  <c r="T136" i="8"/>
  <c r="T136" i="5"/>
  <c r="T361" i="5"/>
  <c r="T361" i="8"/>
  <c r="T440" i="5"/>
  <c r="T440" i="8"/>
  <c r="T537" i="8"/>
  <c r="T537" i="5"/>
  <c r="T681" i="8"/>
  <c r="T681" i="5"/>
  <c r="T89" i="8"/>
  <c r="T89" i="5"/>
  <c r="T294" i="5"/>
  <c r="T294" i="8"/>
  <c r="T551" i="8"/>
  <c r="T551" i="5"/>
  <c r="T1053" i="5"/>
  <c r="T1053" i="8"/>
  <c r="T595" i="8"/>
  <c r="T595" i="5"/>
  <c r="T982" i="5"/>
  <c r="T982" i="8"/>
  <c r="T683" i="8"/>
  <c r="T683" i="5"/>
  <c r="T27" i="8"/>
  <c r="T27" i="5"/>
  <c r="T115" i="8"/>
  <c r="T115" i="5"/>
  <c r="T168" i="8"/>
  <c r="T168" i="5"/>
  <c r="T279" i="8"/>
  <c r="T279" i="5"/>
  <c r="T307" i="5"/>
  <c r="T307" i="8"/>
  <c r="T431" i="5"/>
  <c r="T431" i="8"/>
  <c r="T840" i="5"/>
  <c r="T840" i="8"/>
  <c r="T908" i="8"/>
  <c r="T908" i="5"/>
  <c r="T934" i="5"/>
  <c r="T934" i="8"/>
  <c r="T995" i="5"/>
  <c r="T995" i="8"/>
  <c r="T1034" i="8"/>
  <c r="T1034" i="5"/>
  <c r="T71" i="8"/>
  <c r="T71" i="5"/>
  <c r="T228" i="5"/>
  <c r="T228" i="8"/>
  <c r="T332" i="8"/>
  <c r="T332" i="5"/>
  <c r="T366" i="8"/>
  <c r="T366" i="5"/>
  <c r="T487" i="8"/>
  <c r="T487" i="5"/>
  <c r="T565" i="8"/>
  <c r="T565" i="5"/>
  <c r="T926" i="8"/>
  <c r="T926" i="5"/>
  <c r="T627" i="8"/>
  <c r="T627" i="5"/>
  <c r="T471" i="5"/>
  <c r="T471" i="8"/>
  <c r="T687" i="5"/>
  <c r="T687" i="8"/>
  <c r="T90" i="5"/>
  <c r="T90" i="8"/>
  <c r="T355" i="8"/>
  <c r="T355" i="5"/>
  <c r="T679" i="5"/>
  <c r="T679" i="8"/>
  <c r="T659" i="5"/>
  <c r="T659" i="8"/>
  <c r="T1060" i="8"/>
  <c r="T1060" i="5"/>
  <c r="T41" i="5"/>
  <c r="T41" i="8"/>
  <c r="T16" i="8"/>
  <c r="T16" i="5"/>
  <c r="T23" i="8"/>
  <c r="T23" i="5"/>
  <c r="T46" i="8"/>
  <c r="T46" i="5"/>
  <c r="T138" i="5"/>
  <c r="T138" i="8"/>
  <c r="T387" i="5"/>
  <c r="T387" i="8"/>
  <c r="T414" i="8"/>
  <c r="T414" i="5"/>
  <c r="T444" i="8"/>
  <c r="T444" i="5"/>
  <c r="T475" i="8"/>
  <c r="T475" i="5"/>
  <c r="T503" i="8"/>
  <c r="T503" i="5"/>
  <c r="T613" i="8"/>
  <c r="T613" i="5"/>
  <c r="T685" i="8"/>
  <c r="T685" i="5"/>
  <c r="T910" i="8"/>
  <c r="T910" i="5"/>
  <c r="T933" i="8"/>
  <c r="T933" i="5"/>
  <c r="T98" i="8"/>
  <c r="T98" i="5"/>
  <c r="T255" i="8"/>
  <c r="T255" i="5"/>
  <c r="T298" i="5"/>
  <c r="T298" i="8"/>
  <c r="T837" i="5"/>
  <c r="T837" i="8"/>
  <c r="T173" i="8"/>
  <c r="T173" i="5"/>
  <c r="T986" i="8"/>
  <c r="T986" i="5"/>
  <c r="T359" i="5"/>
  <c r="T359" i="8"/>
  <c r="T55" i="8"/>
  <c r="T55" i="5"/>
  <c r="T117" i="5"/>
  <c r="T117" i="8"/>
  <c r="T281" i="8"/>
  <c r="T281" i="5"/>
  <c r="T310" i="5"/>
  <c r="T310" i="8"/>
  <c r="T470" i="5"/>
  <c r="T470" i="8"/>
  <c r="T854" i="8"/>
  <c r="T854" i="5"/>
  <c r="T936" i="5"/>
  <c r="T936" i="8"/>
  <c r="T1038" i="8"/>
  <c r="T1038" i="5"/>
  <c r="T122" i="5"/>
  <c r="T122" i="8"/>
  <c r="T234" i="5"/>
  <c r="T234" i="8"/>
  <c r="T296" i="5"/>
  <c r="T296" i="8"/>
  <c r="T373" i="8"/>
  <c r="T373" i="5"/>
  <c r="T491" i="8"/>
  <c r="T491" i="5"/>
  <c r="T1007" i="8"/>
  <c r="T1007" i="5"/>
  <c r="T468" i="5"/>
  <c r="T468" i="8"/>
  <c r="T658" i="8"/>
  <c r="T658" i="5"/>
  <c r="T485" i="8"/>
  <c r="T485" i="5"/>
  <c r="T1054" i="8"/>
  <c r="T1054" i="5"/>
  <c r="T675" i="8"/>
  <c r="T675" i="5"/>
  <c r="T1064" i="5"/>
  <c r="T1064" i="8"/>
  <c r="T123" i="5"/>
  <c r="T123" i="8"/>
  <c r="T363" i="8"/>
  <c r="T363" i="5"/>
  <c r="T505" i="8"/>
  <c r="T505" i="5"/>
  <c r="T707" i="8"/>
  <c r="T707" i="5"/>
  <c r="T142" i="8"/>
  <c r="T142" i="5"/>
  <c r="T519" i="8"/>
  <c r="T519" i="5"/>
  <c r="T19" i="8"/>
  <c r="T19" i="5"/>
  <c r="T25" i="5"/>
  <c r="T25" i="8"/>
  <c r="T24" i="8"/>
  <c r="T24" i="5"/>
  <c r="T88" i="8"/>
  <c r="T88" i="5"/>
  <c r="T140" i="8"/>
  <c r="T140" i="5"/>
  <c r="T370" i="8"/>
  <c r="T370" i="5"/>
  <c r="T420" i="5"/>
  <c r="T420" i="8"/>
  <c r="T483" i="8"/>
  <c r="T483" i="5"/>
  <c r="T507" i="8"/>
  <c r="T507" i="5"/>
  <c r="T617" i="8"/>
  <c r="T617" i="5"/>
  <c r="T839" i="8"/>
  <c r="T839" i="5"/>
  <c r="T106" i="5"/>
  <c r="T106" i="8"/>
  <c r="T210" i="8"/>
  <c r="T210" i="5"/>
  <c r="T260" i="5"/>
  <c r="T260" i="8"/>
  <c r="T437" i="8"/>
  <c r="T437" i="5"/>
  <c r="T493" i="5"/>
  <c r="T493" i="8"/>
  <c r="T622" i="8"/>
  <c r="T622" i="5"/>
  <c r="T180" i="5"/>
  <c r="T180" i="8"/>
  <c r="T374" i="5"/>
  <c r="T374" i="8"/>
  <c r="T944" i="8"/>
  <c r="T944" i="5"/>
  <c r="T999" i="5"/>
  <c r="T999" i="8"/>
  <c r="T367" i="5"/>
  <c r="T367" i="8"/>
  <c r="T539" i="8"/>
  <c r="T539" i="5"/>
  <c r="T939" i="8"/>
  <c r="T939" i="5"/>
  <c r="T174" i="8"/>
  <c r="T174" i="5"/>
  <c r="T59" i="5"/>
  <c r="T59" i="8"/>
  <c r="T119" i="8"/>
  <c r="T119" i="5"/>
  <c r="T283" i="8"/>
  <c r="T283" i="5"/>
  <c r="T312" i="5"/>
  <c r="T312" i="8"/>
  <c r="T547" i="5"/>
  <c r="T547" i="8"/>
  <c r="T706" i="8"/>
  <c r="T706" i="5"/>
  <c r="T882" i="5"/>
  <c r="T882" i="8"/>
  <c r="T938" i="8"/>
  <c r="T938" i="5"/>
  <c r="T966" i="5"/>
  <c r="T966" i="8"/>
  <c r="T77" i="8"/>
  <c r="T77" i="5"/>
  <c r="T247" i="8"/>
  <c r="T247" i="5"/>
  <c r="T340" i="5"/>
  <c r="T340" i="8"/>
  <c r="T614" i="5"/>
  <c r="T614" i="8"/>
  <c r="T1015" i="5"/>
  <c r="T1015" i="8"/>
  <c r="T178" i="8"/>
  <c r="T178" i="5"/>
  <c r="T548" i="5"/>
  <c r="T548" i="8"/>
  <c r="T1031" i="5"/>
  <c r="T1031" i="8"/>
  <c r="T531" i="8"/>
  <c r="T531" i="5"/>
  <c r="T389" i="8"/>
  <c r="T389" i="5"/>
  <c r="T515" i="8"/>
  <c r="T515" i="5"/>
  <c r="T725" i="8"/>
  <c r="T725" i="5"/>
  <c r="T40" i="8"/>
  <c r="T40" i="5"/>
  <c r="T3" i="8"/>
  <c r="T3" i="5"/>
  <c r="T11" i="5"/>
  <c r="T11" i="8"/>
  <c r="T427" i="8"/>
  <c r="T427" i="5"/>
  <c r="T1014" i="5"/>
  <c r="T1014" i="8"/>
  <c r="T362" i="5"/>
  <c r="T362" i="8"/>
  <c r="T963" i="5"/>
  <c r="T963" i="8"/>
  <c r="T196" i="5"/>
  <c r="T196" i="8"/>
  <c r="T724" i="5"/>
  <c r="T724" i="8"/>
  <c r="T264" i="5"/>
  <c r="T264" i="8"/>
  <c r="T347" i="8"/>
  <c r="T347" i="5"/>
  <c r="T803" i="8"/>
  <c r="T803" i="5"/>
  <c r="T1062" i="5"/>
  <c r="T1062" i="8"/>
  <c r="T258" i="8"/>
  <c r="T258" i="5"/>
  <c r="T682" i="5"/>
  <c r="T682" i="8"/>
  <c r="T152" i="8"/>
  <c r="T152" i="5"/>
  <c r="T771" i="8"/>
  <c r="T771" i="5"/>
  <c r="T429" i="5"/>
  <c r="T429" i="8"/>
  <c r="T200" i="8"/>
  <c r="T200" i="5"/>
  <c r="T453" i="8"/>
  <c r="T453" i="5"/>
  <c r="T1048" i="5"/>
  <c r="T1048" i="8"/>
  <c r="T941" i="8"/>
  <c r="T941" i="5"/>
  <c r="T372" i="5"/>
  <c r="T372" i="8"/>
  <c r="T423" i="5"/>
  <c r="T423" i="8"/>
  <c r="T511" i="8"/>
  <c r="T511" i="5"/>
  <c r="T564" i="5"/>
  <c r="T564" i="8"/>
  <c r="T621" i="8"/>
  <c r="T621" i="5"/>
  <c r="T853" i="8"/>
  <c r="T853" i="5"/>
  <c r="T1052" i="8"/>
  <c r="T1052" i="5"/>
  <c r="T110" i="8"/>
  <c r="T110" i="5"/>
  <c r="T163" i="8"/>
  <c r="T163" i="5"/>
  <c r="T214" i="5"/>
  <c r="T214" i="8"/>
  <c r="T445" i="8"/>
  <c r="T445" i="5"/>
  <c r="T629" i="8"/>
  <c r="T629" i="5"/>
  <c r="T951" i="5"/>
  <c r="T951" i="8"/>
  <c r="T182" i="5"/>
  <c r="T182" i="8"/>
  <c r="T302" i="8"/>
  <c r="T302" i="5"/>
  <c r="T378" i="5"/>
  <c r="T378" i="8"/>
  <c r="T99" i="8"/>
  <c r="T99" i="5"/>
  <c r="T418" i="8"/>
  <c r="T418" i="5"/>
  <c r="T562" i="8"/>
  <c r="T562" i="5"/>
  <c r="T952" i="5"/>
  <c r="T952" i="8"/>
  <c r="T190" i="8"/>
  <c r="T190" i="5"/>
  <c r="T53" i="5"/>
  <c r="T53" i="8"/>
  <c r="T35" i="8"/>
  <c r="T35" i="5"/>
  <c r="T314" i="5"/>
  <c r="T314" i="8"/>
  <c r="T343" i="5"/>
  <c r="T343" i="8"/>
  <c r="T550" i="5"/>
  <c r="T550" i="8"/>
  <c r="T739" i="5"/>
  <c r="T739" i="8"/>
  <c r="T898" i="8"/>
  <c r="T898" i="5"/>
  <c r="T968" i="5"/>
  <c r="T968" i="8"/>
  <c r="T84" i="5"/>
  <c r="T84" i="8"/>
  <c r="T249" i="8"/>
  <c r="T249" i="5"/>
  <c r="T441" i="8"/>
  <c r="T441" i="5"/>
  <c r="T504" i="5"/>
  <c r="T504" i="8"/>
  <c r="T618" i="5"/>
  <c r="T618" i="8"/>
  <c r="T947" i="5"/>
  <c r="T947" i="8"/>
  <c r="T141" i="8"/>
  <c r="T141" i="5"/>
  <c r="T184" i="8"/>
  <c r="T184" i="5"/>
  <c r="T376" i="5"/>
  <c r="T376" i="8"/>
  <c r="T1039" i="8"/>
  <c r="T1039" i="5"/>
  <c r="T270" i="8"/>
  <c r="T270" i="5"/>
  <c r="T543" i="8"/>
  <c r="T543" i="5"/>
  <c r="T948" i="8"/>
  <c r="T948" i="5"/>
  <c r="T57" i="5"/>
  <c r="T57" i="8"/>
  <c r="T867" i="5"/>
  <c r="T867" i="8"/>
  <c r="T34" i="8"/>
  <c r="T34" i="5"/>
  <c r="T29" i="5"/>
  <c r="T29" i="8"/>
  <c r="T42" i="5"/>
  <c r="T42" i="8"/>
  <c r="T535" i="8"/>
  <c r="T535" i="5"/>
  <c r="T851" i="8"/>
  <c r="T851" i="5"/>
  <c r="T404" i="5"/>
  <c r="T404" i="8"/>
  <c r="T26" i="5"/>
  <c r="T26" i="8"/>
  <c r="T6" i="8"/>
  <c r="T6" i="5"/>
  <c r="R6" i="8"/>
  <c r="R6" i="5"/>
  <c r="R14" i="8"/>
  <c r="X641" i="8" s="1" a="1"/>
  <c r="X641" i="8" s="1"/>
  <c r="R14" i="5"/>
  <c r="T950" i="5"/>
  <c r="T950" i="8"/>
  <c r="T678" i="5"/>
  <c r="T678" i="8"/>
  <c r="T1011" i="5"/>
  <c r="T1011" i="8"/>
  <c r="T915" i="5"/>
  <c r="T915" i="8"/>
  <c r="T446" i="8"/>
  <c r="T446" i="5"/>
  <c r="T325" i="8"/>
  <c r="T325" i="5"/>
  <c r="T569" i="8"/>
  <c r="T569" i="5"/>
  <c r="T902" i="8"/>
  <c r="T902" i="5"/>
  <c r="T104" i="8"/>
  <c r="T104" i="5"/>
  <c r="T459" i="8"/>
  <c r="T459" i="5"/>
  <c r="T1049" i="8"/>
  <c r="T1049" i="5"/>
  <c r="T599" i="8"/>
  <c r="T599" i="5"/>
  <c r="T206" i="8"/>
  <c r="T206" i="5"/>
  <c r="T611" i="8"/>
  <c r="T611" i="5"/>
  <c r="T996" i="8"/>
  <c r="T996" i="5"/>
  <c r="T467" i="8"/>
  <c r="T467" i="5"/>
  <c r="T334" i="8"/>
  <c r="T334" i="5"/>
  <c r="T101" i="5"/>
  <c r="T101" i="8"/>
  <c r="T268" i="8"/>
  <c r="T268" i="5"/>
  <c r="T397" i="5"/>
  <c r="T397" i="8"/>
  <c r="T425" i="5"/>
  <c r="T425" i="8"/>
  <c r="T517" i="8"/>
  <c r="T517" i="5"/>
  <c r="T568" i="5"/>
  <c r="T568" i="8"/>
  <c r="T723" i="8"/>
  <c r="T723" i="5"/>
  <c r="T943" i="8"/>
  <c r="T943" i="5"/>
  <c r="T218" i="5"/>
  <c r="T218" i="8"/>
  <c r="T269" i="8"/>
  <c r="T269" i="5"/>
  <c r="T354" i="8"/>
  <c r="T354" i="5"/>
  <c r="T454" i="5"/>
  <c r="T454" i="8"/>
  <c r="T508" i="8"/>
  <c r="T508" i="5"/>
  <c r="T663" i="8"/>
  <c r="T663" i="5"/>
  <c r="T957" i="8"/>
  <c r="T957" i="5"/>
  <c r="T1005" i="8"/>
  <c r="T1005" i="5"/>
  <c r="T146" i="8"/>
  <c r="T146" i="5"/>
  <c r="T189" i="8"/>
  <c r="T189" i="5"/>
  <c r="T308" i="5"/>
  <c r="T308" i="8"/>
  <c r="T382" i="8"/>
  <c r="T382" i="5"/>
  <c r="T522" i="5"/>
  <c r="T522" i="8"/>
  <c r="T1027" i="5"/>
  <c r="T1027" i="8"/>
  <c r="T131" i="8"/>
  <c r="T131" i="5"/>
  <c r="T434" i="8"/>
  <c r="T434" i="5"/>
  <c r="T600" i="5"/>
  <c r="T600" i="8"/>
  <c r="T125" i="8"/>
  <c r="T125" i="5"/>
  <c r="T204" i="8"/>
  <c r="T204" i="5"/>
  <c r="T262" i="5"/>
  <c r="T262" i="8"/>
  <c r="T316" i="8"/>
  <c r="T316" i="5"/>
  <c r="T345" i="8"/>
  <c r="T345" i="5"/>
  <c r="T645" i="8"/>
  <c r="T645" i="5"/>
  <c r="T787" i="8"/>
  <c r="T787" i="5"/>
  <c r="T900" i="8"/>
  <c r="T900" i="5"/>
  <c r="T970" i="8"/>
  <c r="T970" i="5"/>
  <c r="T102" i="5"/>
  <c r="T102" i="8"/>
  <c r="T253" i="5"/>
  <c r="T253" i="8"/>
  <c r="T388" i="5"/>
  <c r="T388" i="8"/>
  <c r="T450" i="8"/>
  <c r="T450" i="5"/>
  <c r="T955" i="8"/>
  <c r="T955" i="5"/>
  <c r="T148" i="5"/>
  <c r="T148" i="8"/>
  <c r="T186" i="5"/>
  <c r="T186" i="8"/>
  <c r="T380" i="8"/>
  <c r="T380" i="5"/>
  <c r="T428" i="8"/>
  <c r="T428" i="5"/>
  <c r="T691" i="8"/>
  <c r="T691" i="5"/>
  <c r="T566" i="5"/>
  <c r="T566" i="8"/>
  <c r="T399" i="8"/>
  <c r="T399" i="5"/>
  <c r="T438" i="5"/>
  <c r="T438" i="8"/>
  <c r="T579" i="8"/>
  <c r="T579" i="5"/>
  <c r="T983" i="5"/>
  <c r="T983" i="8"/>
  <c r="T8" i="8"/>
  <c r="T8" i="5"/>
  <c r="AB11" i="5" a="1"/>
  <c r="AB11" i="5" s="1"/>
  <c r="T5" i="8"/>
  <c r="T5" i="5"/>
  <c r="T13" i="8"/>
  <c r="T13" i="5"/>
  <c r="T121" i="8"/>
  <c r="T121" i="5"/>
  <c r="T406" i="5"/>
  <c r="T406" i="8"/>
  <c r="T644" i="5"/>
  <c r="T644" i="8"/>
  <c r="T330" i="5"/>
  <c r="T330" i="8"/>
  <c r="T457" i="5"/>
  <c r="T457" i="8"/>
  <c r="R8" i="8"/>
  <c r="X172" i="8" s="1" a="1"/>
  <c r="X172" i="8" s="1"/>
  <c r="R8" i="5"/>
  <c r="T741" i="5"/>
  <c r="T741" i="8"/>
  <c r="T154" i="5"/>
  <c r="T154" i="8"/>
  <c r="T1050" i="8"/>
  <c r="T1050" i="5"/>
  <c r="T7" i="5"/>
  <c r="T7" i="8"/>
  <c r="T581" i="5"/>
  <c r="T581" i="8"/>
  <c r="T954" i="8"/>
  <c r="T954" i="5"/>
  <c r="T924" i="8"/>
  <c r="T924" i="5"/>
  <c r="T398" i="8"/>
  <c r="T398" i="5"/>
  <c r="T349" i="8"/>
  <c r="T349" i="5"/>
  <c r="T410" i="5"/>
  <c r="T410" i="8"/>
  <c r="T533" i="8"/>
  <c r="T533" i="5"/>
  <c r="T338" i="8"/>
  <c r="T338" i="5"/>
  <c r="T421" i="5"/>
  <c r="T421" i="8"/>
  <c r="T158" i="8"/>
  <c r="T158" i="5"/>
  <c r="T322" i="8"/>
  <c r="T322" i="5"/>
  <c r="T1063" i="5"/>
  <c r="T1063" i="8"/>
  <c r="T509" i="8"/>
  <c r="T509" i="5"/>
  <c r="T1032" i="5"/>
  <c r="T1032" i="8"/>
  <c r="T188" i="8"/>
  <c r="T188" i="5"/>
  <c r="T351" i="5"/>
  <c r="T351" i="8"/>
  <c r="T906" i="8"/>
  <c r="T906" i="5"/>
  <c r="T985" i="8"/>
  <c r="T985" i="5"/>
  <c r="T221" i="5"/>
  <c r="T221" i="8"/>
  <c r="T358" i="5"/>
  <c r="T358" i="8"/>
  <c r="T922" i="8"/>
  <c r="T922" i="5"/>
  <c r="T202" i="5"/>
  <c r="T202" i="8"/>
  <c r="T403" i="8"/>
  <c r="T403" i="5"/>
  <c r="T451" i="8"/>
  <c r="T451" i="5"/>
  <c r="T596" i="5"/>
  <c r="T596" i="8"/>
  <c r="T52" i="5"/>
  <c r="T52" i="8"/>
  <c r="T1028" i="8"/>
  <c r="T1028" i="5"/>
  <c r="T56" i="5"/>
  <c r="T56" i="8"/>
  <c r="T14" i="8"/>
  <c r="T14" i="5"/>
  <c r="R1006" i="8"/>
  <c r="R1006" i="5"/>
  <c r="R10" i="5"/>
  <c r="R10" i="8"/>
  <c r="X443" i="8" s="1" a="1"/>
  <c r="X443" i="8" s="1"/>
  <c r="X391" i="8" l="1" a="1"/>
  <c r="X391" i="8" s="1"/>
  <c r="X284" i="8" a="1"/>
  <c r="X284" i="8" s="1"/>
  <c r="X743" i="8" a="1"/>
  <c r="X743" i="8" s="1"/>
  <c r="Z214" i="5" a="1"/>
  <c r="Z214" i="5" s="1"/>
  <c r="X940" i="8" a="1"/>
  <c r="X940" i="8" s="1"/>
  <c r="X219" i="8" a="1"/>
  <c r="X219" i="8" s="1"/>
  <c r="X792" i="8" a="1"/>
  <c r="X792" i="8" s="1"/>
  <c r="X578" i="8" a="1"/>
  <c r="X578" i="8" s="1"/>
  <c r="X309" i="8" a="1"/>
  <c r="X309" i="8" s="1"/>
  <c r="X133" i="8" a="1"/>
  <c r="X133" i="8" s="1"/>
  <c r="X650" i="8" a="1"/>
  <c r="X650" i="8" s="1"/>
  <c r="X397" i="8" a="1"/>
  <c r="X397" i="8" s="1"/>
  <c r="X274" i="8" a="1"/>
  <c r="X274" i="8" s="1"/>
  <c r="X749" i="8" a="1"/>
  <c r="X749" i="8" s="1"/>
  <c r="X485" i="8" a="1"/>
  <c r="X485" i="8" s="1"/>
  <c r="X279" i="8" a="1"/>
  <c r="X279" i="8" s="1"/>
  <c r="X706" i="8" a="1"/>
  <c r="X706" i="8" s="1"/>
  <c r="X998" i="8" a="1"/>
  <c r="X998" i="8" s="1"/>
  <c r="X879" i="8" a="1"/>
  <c r="X879" i="8" s="1"/>
  <c r="X1062" i="8" a="1"/>
  <c r="X1062" i="8" s="1"/>
  <c r="X907" i="8" a="1"/>
  <c r="X907" i="8" s="1"/>
  <c r="X999" i="8" a="1"/>
  <c r="X999" i="8" s="1"/>
  <c r="X409" i="8" a="1"/>
  <c r="X409" i="8" s="1"/>
  <c r="X178" i="8" a="1"/>
  <c r="X178" i="8" s="1"/>
  <c r="X693" i="8" a="1"/>
  <c r="X693" i="8" s="1"/>
  <c r="X453" i="8" a="1"/>
  <c r="X453" i="8" s="1"/>
  <c r="X307" i="8" a="1"/>
  <c r="X307" i="8" s="1"/>
  <c r="X748" i="8" a="1"/>
  <c r="X748" i="8" s="1"/>
  <c r="X565" i="8" a="1"/>
  <c r="X565" i="8" s="1"/>
  <c r="X326" i="8" a="1"/>
  <c r="X326" i="8" s="1"/>
  <c r="X90" i="8" a="1"/>
  <c r="X90" i="8" s="1"/>
  <c r="X591" i="8" a="1"/>
  <c r="X591" i="8" s="1"/>
  <c r="X320" i="8" a="1"/>
  <c r="X320" i="8" s="1"/>
  <c r="X882" i="8" a="1"/>
  <c r="X882" i="8" s="1"/>
  <c r="X838" i="8" a="1"/>
  <c r="X838" i="8" s="1"/>
  <c r="X1040" i="8" a="1"/>
  <c r="X1040" i="8" s="1"/>
  <c r="X817" i="8" a="1"/>
  <c r="X817" i="8" s="1"/>
  <c r="X1034" i="8" a="1"/>
  <c r="X1034" i="8" s="1"/>
  <c r="X12" i="8" a="1"/>
  <c r="X12" i="8" s="1"/>
  <c r="X533" i="8" a="1"/>
  <c r="X533" i="8" s="1"/>
  <c r="X362" i="8" a="1"/>
  <c r="X362" i="8" s="1"/>
  <c r="X15" i="8" a="1"/>
  <c r="X15" i="8" s="1"/>
  <c r="X595" i="8" a="1"/>
  <c r="X595" i="8" s="1"/>
  <c r="X406" i="8" a="1"/>
  <c r="X406" i="8" s="1"/>
  <c r="X237" i="8" a="1"/>
  <c r="X237" i="8" s="1"/>
  <c r="X677" i="8" a="1"/>
  <c r="X677" i="8" s="1"/>
  <c r="X480" i="8" a="1"/>
  <c r="X480" i="8" s="1"/>
  <c r="X248" i="8" a="1"/>
  <c r="X248" i="8" s="1"/>
  <c r="X720" i="8" a="1"/>
  <c r="X720" i="8" s="1"/>
  <c r="X457" i="8" a="1"/>
  <c r="X457" i="8" s="1"/>
  <c r="X1025" i="8" a="1"/>
  <c r="X1025" i="8" s="1"/>
  <c r="X996" i="8" a="1"/>
  <c r="X996" i="8" s="1"/>
  <c r="X48" i="8" a="1"/>
  <c r="X48" i="8" s="1"/>
  <c r="X972" i="8" a="1"/>
  <c r="X972" i="8" s="1"/>
  <c r="X782" i="8" a="1"/>
  <c r="X782" i="8" s="1"/>
  <c r="X205" i="8" a="1"/>
  <c r="X205" i="8" s="1"/>
  <c r="X645" i="8" a="1"/>
  <c r="X645" i="8" s="1"/>
  <c r="X482" i="8" a="1"/>
  <c r="X482" i="8" s="1"/>
  <c r="X216" i="8" a="1"/>
  <c r="X216" i="8" s="1"/>
  <c r="X751" i="8" a="1"/>
  <c r="X751" i="8" s="1"/>
  <c r="X489" i="8" a="1"/>
  <c r="X489" i="8" s="1"/>
  <c r="X367" i="8" a="1"/>
  <c r="X367" i="8" s="1"/>
  <c r="X64" i="8" a="1"/>
  <c r="X64" i="8" s="1"/>
  <c r="X576" i="8" a="1"/>
  <c r="X576" i="8" s="1"/>
  <c r="X316" i="8" a="1"/>
  <c r="X316" i="8" s="1"/>
  <c r="X227" i="8" a="1"/>
  <c r="X227" i="8" s="1"/>
  <c r="X685" i="8" a="1"/>
  <c r="X685" i="8" s="1"/>
  <c r="X846" i="8" a="1"/>
  <c r="X846" i="8" s="1"/>
  <c r="X66" i="8" a="1"/>
  <c r="X66" i="8" s="1"/>
  <c r="X970" i="8" a="1"/>
  <c r="X970" i="8" s="1"/>
  <c r="X55" i="8" a="1"/>
  <c r="X55" i="8" s="1"/>
  <c r="X915" i="8" a="1"/>
  <c r="X915" i="8" s="1"/>
  <c r="X332" i="8" a="1"/>
  <c r="X332" i="8" s="1"/>
  <c r="X170" i="8" a="1"/>
  <c r="X170" i="8" s="1"/>
  <c r="X630" i="8" a="1"/>
  <c r="X630" i="8" s="1"/>
  <c r="X428" i="8" a="1"/>
  <c r="X428" i="8" s="1"/>
  <c r="X154" i="8" a="1"/>
  <c r="X154" i="8" s="1"/>
  <c r="X705" i="8" a="1"/>
  <c r="X705" i="8" s="1"/>
  <c r="X536" i="8" a="1"/>
  <c r="X536" i="8" s="1"/>
  <c r="X229" i="8" a="1"/>
  <c r="X229" i="8" s="1"/>
  <c r="X816" i="8" a="1"/>
  <c r="X816" i="8" s="1"/>
  <c r="X556" i="8" a="1"/>
  <c r="X556" i="8" s="1"/>
  <c r="X353" i="8" a="1"/>
  <c r="X353" i="8" s="1"/>
  <c r="X831" i="8" a="1"/>
  <c r="X831" i="8" s="1"/>
  <c r="X1070" i="8" a="1"/>
  <c r="X1070" i="8" s="1"/>
  <c r="X968" i="8" a="1"/>
  <c r="X968" i="8" s="1"/>
  <c r="X781" i="8" a="1"/>
  <c r="X781" i="8" s="1"/>
  <c r="X1014" i="8" a="1"/>
  <c r="X1014" i="8" s="1"/>
  <c r="X35" i="8" a="1"/>
  <c r="X35" i="8" s="1"/>
  <c r="X483" i="8" a="1"/>
  <c r="X483" i="8" s="1"/>
  <c r="X305" i="8" a="1"/>
  <c r="X305" i="8" s="1"/>
  <c r="X779" i="8" a="1"/>
  <c r="X779" i="8" s="1"/>
  <c r="X580" i="8" a="1"/>
  <c r="X580" i="8" s="1"/>
  <c r="X369" i="8" a="1"/>
  <c r="X369" i="8" s="1"/>
  <c r="X132" i="8" a="1"/>
  <c r="X132" i="8" s="1"/>
  <c r="X646" i="8" a="1"/>
  <c r="X646" i="8" s="1"/>
  <c r="X400" i="8" a="1"/>
  <c r="X400" i="8" s="1"/>
  <c r="X225" i="8" a="1"/>
  <c r="X225" i="8" s="1"/>
  <c r="X704" i="8" a="1"/>
  <c r="X704" i="8" s="1"/>
  <c r="X463" i="8" a="1"/>
  <c r="X463" i="8" s="1"/>
  <c r="X976" i="8" a="1"/>
  <c r="X976" i="8" s="1"/>
  <c r="X961" i="8" a="1"/>
  <c r="X961" i="8" s="1"/>
  <c r="X59" i="8" a="1"/>
  <c r="X59" i="8" s="1"/>
  <c r="X927" i="8" a="1"/>
  <c r="X927" i="8" s="1"/>
  <c r="X78" i="8" a="1"/>
  <c r="X78" i="8" s="1"/>
  <c r="X99" i="8" a="1"/>
  <c r="X99" i="8" s="1"/>
  <c r="X615" i="8" a="1"/>
  <c r="X615" i="8" s="1"/>
  <c r="X392" i="8" a="1"/>
  <c r="X392" i="8" s="1"/>
  <c r="X193" i="8" a="1"/>
  <c r="X193" i="8" s="1"/>
  <c r="X697" i="8" a="1"/>
  <c r="X697" i="8" s="1"/>
  <c r="X495" i="8" a="1"/>
  <c r="X495" i="8" s="1"/>
  <c r="X187" i="8" a="1"/>
  <c r="X187" i="8" s="1"/>
  <c r="X790" i="8" a="1"/>
  <c r="X790" i="8" s="1"/>
  <c r="X546" i="8" a="1"/>
  <c r="X546" i="8" s="1"/>
  <c r="X382" i="8" a="1"/>
  <c r="X382" i="8" s="1"/>
  <c r="X124" i="8" a="1"/>
  <c r="X124" i="8" s="1"/>
  <c r="X640" i="8" a="1"/>
  <c r="X640" i="8" s="1"/>
  <c r="X63" i="8" a="1"/>
  <c r="X63" i="8" s="1"/>
  <c r="X61" i="8" a="1"/>
  <c r="X61" i="8" s="1"/>
  <c r="X948" i="8" a="1"/>
  <c r="X948" i="8" s="1"/>
  <c r="X1057" i="8" a="1"/>
  <c r="X1057" i="8" s="1"/>
  <c r="X839" i="8" a="1"/>
  <c r="X839" i="8" s="1"/>
  <c r="X155" i="8" a="1"/>
  <c r="X155" i="8" s="1"/>
  <c r="X789" i="8" a="1"/>
  <c r="X789" i="8" s="1"/>
  <c r="X553" i="8" a="1"/>
  <c r="X553" i="8" s="1"/>
  <c r="X366" i="8" a="1"/>
  <c r="X366" i="8" s="1"/>
  <c r="X113" i="8" a="1"/>
  <c r="X113" i="8" s="1"/>
  <c r="X672" i="8" a="1"/>
  <c r="X672" i="8" s="1"/>
  <c r="X411" i="8" a="1"/>
  <c r="X411" i="8" s="1"/>
  <c r="X210" i="8" a="1"/>
  <c r="X210" i="8" s="1"/>
  <c r="X698" i="8" a="1"/>
  <c r="X698" i="8" s="1"/>
  <c r="X521" i="8" a="1"/>
  <c r="X521" i="8" s="1"/>
  <c r="X221" i="8" a="1"/>
  <c r="X221" i="8" s="1"/>
  <c r="X703" i="8" a="1"/>
  <c r="X703" i="8" s="1"/>
  <c r="X985" i="8" a="1"/>
  <c r="X985" i="8" s="1"/>
  <c r="X871" i="8" a="1"/>
  <c r="X871" i="8" s="1"/>
  <c r="X1066" i="8" a="1"/>
  <c r="X1066" i="8" s="1"/>
  <c r="X887" i="8" a="1"/>
  <c r="X887" i="8" s="1"/>
  <c r="X1008" i="8" a="1"/>
  <c r="X1008" i="8" s="1"/>
  <c r="Z12" i="5" a="1"/>
  <c r="Z12" i="5" s="1"/>
  <c r="Z13" i="5" a="1"/>
  <c r="Z13" i="5" s="1"/>
  <c r="Z1004" i="5" a="1"/>
  <c r="Z1004" i="5" s="1"/>
  <c r="Z876" i="5" a="1"/>
  <c r="Z876" i="5" s="1"/>
  <c r="Z748" i="5" a="1"/>
  <c r="Z748" i="5" s="1"/>
  <c r="Z1060" i="5" a="1"/>
  <c r="Z1060" i="5" s="1"/>
  <c r="Z923" i="5" a="1"/>
  <c r="Z923" i="5" s="1"/>
  <c r="Z795" i="5" a="1"/>
  <c r="Z795" i="5" s="1"/>
  <c r="Z667" i="5" a="1"/>
  <c r="Z667" i="5" s="1"/>
  <c r="Z603" i="5" a="1"/>
  <c r="Z603" i="5" s="1"/>
  <c r="Z475" i="5" a="1"/>
  <c r="Z475" i="5" s="1"/>
  <c r="Z347" i="5" a="1"/>
  <c r="Z347" i="5" s="1"/>
  <c r="Z556" i="5" a="1"/>
  <c r="Z556" i="5" s="1"/>
  <c r="Z428" i="5" a="1"/>
  <c r="Z428" i="5" s="1"/>
  <c r="Z279" i="5" a="1"/>
  <c r="Z279" i="5" s="1"/>
  <c r="Z194" i="5" a="1"/>
  <c r="Z194" i="5" s="1"/>
  <c r="Z118" i="5" a="1"/>
  <c r="Z118" i="5" s="1"/>
  <c r="Z8" i="5" a="1"/>
  <c r="Z8" i="5" s="1"/>
  <c r="Z23" i="5" a="1"/>
  <c r="Z23" i="5" s="1"/>
  <c r="Z970" i="5" a="1"/>
  <c r="Z970" i="5" s="1"/>
  <c r="Z842" i="5" a="1"/>
  <c r="Z842" i="5" s="1"/>
  <c r="Z714" i="5" a="1"/>
  <c r="Z714" i="5" s="1"/>
  <c r="Z1017" i="5" a="1"/>
  <c r="Z1017" i="5" s="1"/>
  <c r="Z889" i="5" a="1"/>
  <c r="Z889" i="5" s="1"/>
  <c r="Z761" i="5" a="1"/>
  <c r="Z761" i="5" s="1"/>
  <c r="Z1052" i="5" a="1"/>
  <c r="Z1052" i="5" s="1"/>
  <c r="Z569" i="5" a="1"/>
  <c r="Z569" i="5" s="1"/>
  <c r="Z441" i="5" a="1"/>
  <c r="Z441" i="5" s="1"/>
  <c r="Z313" i="5" a="1"/>
  <c r="Z313" i="5" s="1"/>
  <c r="Z522" i="5" a="1"/>
  <c r="Z522" i="5" s="1"/>
  <c r="Z394" i="5" a="1"/>
  <c r="Z394" i="5" s="1"/>
  <c r="Z245" i="5" a="1"/>
  <c r="Z245" i="5" s="1"/>
  <c r="Z258" i="5" a="1"/>
  <c r="Z258" i="5" s="1"/>
  <c r="Z33" i="5" a="1"/>
  <c r="Z33" i="5" s="1"/>
  <c r="Z74" i="5" a="1"/>
  <c r="Z74" i="5" s="1"/>
  <c r="Z1058" i="5" a="1"/>
  <c r="Z1058" i="5" s="1"/>
  <c r="Z936" i="5" a="1"/>
  <c r="Z936" i="5" s="1"/>
  <c r="Z808" i="5" a="1"/>
  <c r="Z808" i="5" s="1"/>
  <c r="Z680" i="5" a="1"/>
  <c r="Z680" i="5" s="1"/>
  <c r="Z983" i="5" a="1"/>
  <c r="Z983" i="5" s="1"/>
  <c r="Z855" i="5" a="1"/>
  <c r="Z855" i="5" s="1"/>
  <c r="Z727" i="5" a="1"/>
  <c r="Z727" i="5" s="1"/>
  <c r="Z292" i="5" a="1"/>
  <c r="Z292" i="5" s="1"/>
  <c r="Z535" i="5" a="1"/>
  <c r="Z535" i="5" s="1"/>
  <c r="Z407" i="5" a="1"/>
  <c r="Z407" i="5" s="1"/>
  <c r="Z616" i="5" a="1"/>
  <c r="Z616" i="5" s="1"/>
  <c r="Z488" i="5" a="1"/>
  <c r="Z488" i="5" s="1"/>
  <c r="Z360" i="5" a="1"/>
  <c r="Z360" i="5" s="1"/>
  <c r="Z211" i="5" a="1"/>
  <c r="Z211" i="5" s="1"/>
  <c r="Z224" i="5" a="1"/>
  <c r="Z224" i="5" s="1"/>
  <c r="Z6" i="5" a="1"/>
  <c r="Z6" i="5" s="1"/>
  <c r="Z140" i="5" a="1"/>
  <c r="Z140" i="5" s="1"/>
  <c r="Z1030" i="5" a="1"/>
  <c r="Z1030" i="5" s="1"/>
  <c r="Z902" i="5" a="1"/>
  <c r="Z902" i="5" s="1"/>
  <c r="Z774" i="5" a="1"/>
  <c r="Z774" i="5" s="1"/>
  <c r="Z643" i="5" a="1"/>
  <c r="Z643" i="5" s="1"/>
  <c r="Z949" i="5" a="1"/>
  <c r="Z949" i="5" s="1"/>
  <c r="Z821" i="5" a="1"/>
  <c r="Z821" i="5" s="1"/>
  <c r="Z693" i="5" a="1"/>
  <c r="Z693" i="5" s="1"/>
  <c r="Z629" i="5" a="1"/>
  <c r="Z629" i="5" s="1"/>
  <c r="Z501" i="5" a="1"/>
  <c r="Z501" i="5" s="1"/>
  <c r="Z373" i="5" a="1"/>
  <c r="Z373" i="5" s="1"/>
  <c r="Z582" i="5" a="1"/>
  <c r="Z582" i="5" s="1"/>
  <c r="Z454" i="5" a="1"/>
  <c r="Z454" i="5" s="1"/>
  <c r="Z326" i="5" a="1"/>
  <c r="Z326" i="5" s="1"/>
  <c r="Z167" i="5" a="1"/>
  <c r="Z167" i="5" s="1"/>
  <c r="Z155" i="5" a="1"/>
  <c r="Z155" i="5" s="1"/>
  <c r="Z22" i="5" a="1"/>
  <c r="Z22" i="5" s="1"/>
  <c r="Z99" i="5" a="1"/>
  <c r="Z99" i="5" s="1"/>
  <c r="Z1012" i="5" a="1"/>
  <c r="Z1012" i="5" s="1"/>
  <c r="Z884" i="5" a="1"/>
  <c r="Z884" i="5" s="1"/>
  <c r="Z756" i="5" a="1"/>
  <c r="Z756" i="5" s="1"/>
  <c r="Z620" i="5" a="1"/>
  <c r="Z620" i="5" s="1"/>
  <c r="Z931" i="5" a="1"/>
  <c r="Z931" i="5" s="1"/>
  <c r="Z803" i="5" a="1"/>
  <c r="Z803" i="5" s="1"/>
  <c r="Z675" i="5" a="1"/>
  <c r="Z675" i="5" s="1"/>
  <c r="Z611" i="5" a="1"/>
  <c r="Z611" i="5" s="1"/>
  <c r="Z483" i="5" a="1"/>
  <c r="Z483" i="5" s="1"/>
  <c r="Z355" i="5" a="1"/>
  <c r="Z355" i="5" s="1"/>
  <c r="Z564" i="5" a="1"/>
  <c r="Z564" i="5" s="1"/>
  <c r="Z436" i="5" a="1"/>
  <c r="Z436" i="5" s="1"/>
  <c r="Z174" i="5" a="1"/>
  <c r="Z174" i="5" s="1"/>
  <c r="Z151" i="5" a="1"/>
  <c r="Z151" i="5" s="1"/>
  <c r="Z166" i="5" a="1"/>
  <c r="Z166" i="5" s="1"/>
  <c r="Z112" i="5" a="1"/>
  <c r="Z112" i="5" s="1"/>
  <c r="Z69" i="5" a="1"/>
  <c r="Z69" i="5" s="1"/>
  <c r="Z978" i="5" a="1"/>
  <c r="Z978" i="5" s="1"/>
  <c r="Z850" i="5" a="1"/>
  <c r="Z850" i="5" s="1"/>
  <c r="Z722" i="5" a="1"/>
  <c r="Z722" i="5" s="1"/>
  <c r="Z1025" i="5" a="1"/>
  <c r="Z1025" i="5" s="1"/>
  <c r="Z897" i="5" a="1"/>
  <c r="Z897" i="5" s="1"/>
  <c r="Z769" i="5" a="1"/>
  <c r="Z769" i="5" s="1"/>
  <c r="Z1061" i="5" a="1"/>
  <c r="Z1061" i="5" s="1"/>
  <c r="Z577" i="5" a="1"/>
  <c r="Z577" i="5" s="1"/>
  <c r="Z449" i="5" a="1"/>
  <c r="Z449" i="5" s="1"/>
  <c r="Z321" i="5" a="1"/>
  <c r="Z321" i="5" s="1"/>
  <c r="Z530" i="5" a="1"/>
  <c r="Z530" i="5" s="1"/>
  <c r="Z402" i="5" a="1"/>
  <c r="Z402" i="5" s="1"/>
  <c r="Z253" i="5" a="1"/>
  <c r="Z253" i="5" s="1"/>
  <c r="Z266" i="5" a="1"/>
  <c r="Z266" i="5" s="1"/>
  <c r="Z80" i="5" a="1"/>
  <c r="Z80" i="5" s="1"/>
  <c r="Z40" i="5" a="1"/>
  <c r="Z40" i="5" s="1"/>
  <c r="Z123" i="5" a="1"/>
  <c r="Z123" i="5" s="1"/>
  <c r="Z944" i="5" a="1"/>
  <c r="Z944" i="5" s="1"/>
  <c r="Z816" i="5" a="1"/>
  <c r="Z816" i="5" s="1"/>
  <c r="Z688" i="5" a="1"/>
  <c r="Z688" i="5" s="1"/>
  <c r="Z991" i="5" a="1"/>
  <c r="Z991" i="5" s="1"/>
  <c r="Z863" i="5" a="1"/>
  <c r="Z863" i="5" s="1"/>
  <c r="Z735" i="5" a="1"/>
  <c r="Z735" i="5" s="1"/>
  <c r="Z308" i="5" a="1"/>
  <c r="Z308" i="5" s="1"/>
  <c r="Z543" i="5" a="1"/>
  <c r="Z543" i="5" s="1"/>
  <c r="Z415" i="5" a="1"/>
  <c r="Z415" i="5" s="1"/>
  <c r="Z297" i="5" a="1"/>
  <c r="Z297" i="5" s="1"/>
  <c r="Z496" i="5" a="1"/>
  <c r="Z496" i="5" s="1"/>
  <c r="Z368" i="5" a="1"/>
  <c r="Z368" i="5" s="1"/>
  <c r="Z219" i="5" a="1"/>
  <c r="Z219" i="5" s="1"/>
  <c r="Z232" i="5" a="1"/>
  <c r="Z232" i="5" s="1"/>
  <c r="Z18" i="5" a="1"/>
  <c r="Z18" i="5" s="1"/>
  <c r="Z157" i="5" a="1"/>
  <c r="Z157" i="5" s="1"/>
  <c r="Z1038" i="5" a="1"/>
  <c r="Z1038" i="5" s="1"/>
  <c r="Z910" i="5" a="1"/>
  <c r="Z910" i="5" s="1"/>
  <c r="Z782" i="5" a="1"/>
  <c r="Z782" i="5" s="1"/>
  <c r="Z654" i="5" a="1"/>
  <c r="Z654" i="5" s="1"/>
  <c r="Z957" i="5" a="1"/>
  <c r="Z957" i="5" s="1"/>
  <c r="Z829" i="5" a="1"/>
  <c r="Z829" i="5" s="1"/>
  <c r="Z701" i="5" a="1"/>
  <c r="Z701" i="5" s="1"/>
  <c r="Z637" i="5" a="1"/>
  <c r="Z637" i="5" s="1"/>
  <c r="Z509" i="5" a="1"/>
  <c r="Z509" i="5" s="1"/>
  <c r="Z381" i="5" a="1"/>
  <c r="Z381" i="5" s="1"/>
  <c r="Z590" i="5" a="1"/>
  <c r="Z590" i="5" s="1"/>
  <c r="Z462" i="5" a="1"/>
  <c r="Z462" i="5" s="1"/>
  <c r="Z334" i="5" a="1"/>
  <c r="Z334" i="5" s="1"/>
  <c r="Z122" i="5" a="1"/>
  <c r="Z122" i="5" s="1"/>
  <c r="Z198" i="5" a="1"/>
  <c r="Z198" i="5" s="1"/>
  <c r="X96" i="8" a="1"/>
  <c r="X96" i="8" s="1"/>
  <c r="X654" i="8" a="1"/>
  <c r="X654" i="8" s="1"/>
  <c r="X401" i="8" a="1"/>
  <c r="X401" i="8" s="1"/>
  <c r="X203" i="8" a="1"/>
  <c r="X203" i="8" s="1"/>
  <c r="X699" i="8" a="1"/>
  <c r="X699" i="8" s="1"/>
  <c r="X522" i="8" a="1"/>
  <c r="X522" i="8" s="1"/>
  <c r="X128" i="8" a="1"/>
  <c r="X128" i="8" s="1"/>
  <c r="X757" i="8" a="1"/>
  <c r="X757" i="8" s="1"/>
  <c r="X528" i="8" a="1"/>
  <c r="X528" i="8" s="1"/>
  <c r="X354" i="8" a="1"/>
  <c r="X354" i="8" s="1"/>
  <c r="X819" i="8" a="1"/>
  <c r="X819" i="8" s="1"/>
  <c r="X1055" i="8" a="1"/>
  <c r="X1055" i="8" s="1"/>
  <c r="X916" i="8" a="1"/>
  <c r="X916" i="8" s="1"/>
  <c r="X28" i="8" a="1"/>
  <c r="X28" i="8" s="1"/>
  <c r="X973" i="8" a="1"/>
  <c r="X973" i="8" s="1"/>
  <c r="X80" i="8" a="1"/>
  <c r="X80" i="8" s="1"/>
  <c r="X502" i="8" a="1"/>
  <c r="X502" i="8" s="1"/>
  <c r="X236" i="8" a="1"/>
  <c r="X236" i="8" s="1"/>
  <c r="X728" i="8" a="1"/>
  <c r="X728" i="8" s="1"/>
  <c r="X484" i="8" a="1"/>
  <c r="X484" i="8" s="1"/>
  <c r="X370" i="8" a="1"/>
  <c r="X370" i="8" s="1"/>
  <c r="X101" i="8" a="1"/>
  <c r="X101" i="8" s="1"/>
  <c r="X624" i="8" a="1"/>
  <c r="X624" i="8" s="1"/>
  <c r="X423" i="8" a="1"/>
  <c r="X423" i="8" s="1"/>
  <c r="X285" i="8" a="1"/>
  <c r="X285" i="8" s="1"/>
  <c r="X670" i="8" a="1"/>
  <c r="X670" i="8" s="1"/>
  <c r="X465" i="8" a="1"/>
  <c r="X465" i="8" s="1"/>
  <c r="X984" i="8" a="1"/>
  <c r="X984" i="8" s="1"/>
  <c r="X929" i="8" a="1"/>
  <c r="X929" i="8" s="1"/>
  <c r="X50" i="8" a="1"/>
  <c r="X50" i="8" s="1"/>
  <c r="X894" i="8" a="1"/>
  <c r="X894" i="8" s="1"/>
  <c r="X9" i="8" a="1"/>
  <c r="X9" i="8" s="1"/>
  <c r="X117" i="8" a="1"/>
  <c r="X117" i="8" s="1"/>
  <c r="X609" i="8" a="1"/>
  <c r="X609" i="8" s="1"/>
  <c r="X380" i="8" a="1"/>
  <c r="X380" i="8" s="1"/>
  <c r="X249" i="8" a="1"/>
  <c r="X249" i="8" s="1"/>
  <c r="X638" i="8" a="1"/>
  <c r="X638" i="8" s="1"/>
  <c r="X497" i="8" a="1"/>
  <c r="X497" i="8" s="1"/>
  <c r="X135" i="8" a="1"/>
  <c r="X135" i="8" s="1"/>
  <c r="X713" i="8" a="1"/>
  <c r="X713" i="8" s="1"/>
  <c r="X517" i="8" a="1"/>
  <c r="X517" i="8" s="1"/>
  <c r="X239" i="8" a="1"/>
  <c r="X239" i="8" s="1"/>
  <c r="X833" i="8" a="1"/>
  <c r="X833" i="8" s="1"/>
  <c r="X605" i="8" a="1"/>
  <c r="X605" i="8" s="1"/>
  <c r="X46" i="8" a="1"/>
  <c r="X46" i="8" s="1"/>
  <c r="X1063" i="8" a="1"/>
  <c r="X1063" i="8" s="1"/>
  <c r="X905" i="8" a="1"/>
  <c r="X905" i="8" s="1"/>
  <c r="X1020" i="8" a="1"/>
  <c r="X1020" i="8" s="1"/>
  <c r="X847" i="8" a="1"/>
  <c r="X847" i="8" s="1"/>
  <c r="X265" i="8" a="1"/>
  <c r="X265" i="8" s="1"/>
  <c r="X727" i="8" a="1"/>
  <c r="X727" i="8" s="1"/>
  <c r="X512" i="8" a="1"/>
  <c r="X512" i="8" s="1"/>
  <c r="X207" i="8" a="1"/>
  <c r="X207" i="8" s="1"/>
  <c r="X813" i="8" a="1"/>
  <c r="X813" i="8" s="1"/>
  <c r="X587" i="8" a="1"/>
  <c r="X587" i="8" s="1"/>
  <c r="X296" i="8" a="1"/>
  <c r="X296" i="8" s="1"/>
  <c r="X266" i="8" a="1"/>
  <c r="X266" i="8" s="1"/>
  <c r="X659" i="8" a="1"/>
  <c r="X659" i="8" s="1"/>
  <c r="X415" i="8" a="1"/>
  <c r="X415" i="8" s="1"/>
  <c r="X276" i="8" a="1"/>
  <c r="X276" i="8" s="1"/>
  <c r="X740" i="8" a="1"/>
  <c r="X740" i="8" s="1"/>
  <c r="X946" i="8" a="1"/>
  <c r="X946" i="8" s="1"/>
  <c r="X840" i="8" a="1"/>
  <c r="X840" i="8" s="1"/>
  <c r="X1018" i="8" a="1"/>
  <c r="X1018" i="8" s="1"/>
  <c r="X858" i="8" a="1"/>
  <c r="X858" i="8" s="1"/>
  <c r="X978" i="8" a="1"/>
  <c r="X978" i="8" s="1"/>
  <c r="X433" i="8" a="1"/>
  <c r="X433" i="8" s="1"/>
  <c r="X230" i="8" a="1"/>
  <c r="X230" i="8" s="1"/>
  <c r="X765" i="8" a="1"/>
  <c r="X765" i="8" s="1"/>
  <c r="X493" i="8" a="1"/>
  <c r="X493" i="8" s="1"/>
  <c r="X148" i="8" a="1"/>
  <c r="X148" i="8" s="1"/>
  <c r="X794" i="8" a="1"/>
  <c r="X794" i="8" s="1"/>
  <c r="X549" i="8" a="1"/>
  <c r="X549" i="8" s="1"/>
  <c r="X377" i="8" a="1"/>
  <c r="X377" i="8" s="1"/>
  <c r="X111" i="8" a="1"/>
  <c r="X111" i="8" s="1"/>
  <c r="X625" i="8" a="1"/>
  <c r="X625" i="8" s="1"/>
  <c r="X419" i="8" a="1"/>
  <c r="X419" i="8" s="1"/>
  <c r="X945" i="8" a="1"/>
  <c r="X945" i="8" s="1"/>
  <c r="X893" i="8" a="1"/>
  <c r="X893" i="8" s="1"/>
  <c r="X1023" i="8" a="1"/>
  <c r="X1023" i="8" s="1"/>
  <c r="X848" i="8" a="1"/>
  <c r="X848" i="8" s="1"/>
  <c r="X1073" i="8" a="1"/>
  <c r="X1073" i="8" s="1"/>
  <c r="X2" i="8" a="1"/>
  <c r="X2" i="8" s="1"/>
  <c r="X563" i="8" a="1"/>
  <c r="X563" i="8" s="1"/>
  <c r="X314" i="8" a="1"/>
  <c r="X314" i="8" s="1"/>
  <c r="X100" i="8" a="1"/>
  <c r="X100" i="8" s="1"/>
  <c r="X665" i="8" a="1"/>
  <c r="X665" i="8" s="1"/>
  <c r="X417" i="8" a="1"/>
  <c r="X417" i="8" s="1"/>
  <c r="X272" i="8" a="1"/>
  <c r="X272" i="8" s="1"/>
  <c r="X747" i="8" a="1"/>
  <c r="X747" i="8" s="1"/>
  <c r="X508" i="8" a="1"/>
  <c r="X508" i="8" s="1"/>
  <c r="X270" i="8" a="1"/>
  <c r="X270" i="8" s="1"/>
  <c r="X785" i="8" a="1"/>
  <c r="X785" i="8" s="1"/>
  <c r="X538" i="8" a="1"/>
  <c r="X538" i="8" s="1"/>
  <c r="X1060" i="8" a="1"/>
  <c r="X1060" i="8" s="1"/>
  <c r="X1026" i="8" a="1"/>
  <c r="X1026" i="8" s="1"/>
  <c r="X843" i="8" a="1"/>
  <c r="X843" i="8" s="1"/>
  <c r="X959" i="8" a="1"/>
  <c r="X959" i="8" s="1"/>
  <c r="X767" i="8" a="1"/>
  <c r="X767" i="8" s="1"/>
  <c r="X240" i="8" a="1"/>
  <c r="X240" i="8" s="1"/>
  <c r="X711" i="8" a="1"/>
  <c r="X711" i="8" s="1"/>
  <c r="X490" i="8" a="1"/>
  <c r="X490" i="8" s="1"/>
  <c r="X238" i="8" a="1"/>
  <c r="X238" i="8" s="1"/>
  <c r="X733" i="8" a="1"/>
  <c r="X733" i="8" s="1"/>
  <c r="X577" i="8" a="1"/>
  <c r="X577" i="8" s="1"/>
  <c r="X325" i="8" a="1"/>
  <c r="X325" i="8" s="1"/>
  <c r="X137" i="8" a="1"/>
  <c r="X137" i="8" s="1"/>
  <c r="X686" i="8" a="1"/>
  <c r="X686" i="8" s="1"/>
  <c r="X319" i="8" a="1"/>
  <c r="X319" i="8" s="1"/>
  <c r="X254" i="8" a="1"/>
  <c r="X254" i="8" s="1"/>
  <c r="X607" i="8" a="1"/>
  <c r="X607" i="8" s="1"/>
  <c r="X884" i="8" a="1"/>
  <c r="X884" i="8" s="1"/>
  <c r="X36" i="8" a="1"/>
  <c r="X36" i="8" s="1"/>
  <c r="X995" i="8" a="1"/>
  <c r="X995" i="8" s="1"/>
  <c r="X827" i="8" a="1"/>
  <c r="X827" i="8" s="1"/>
  <c r="X925" i="8" a="1"/>
  <c r="X925" i="8" s="1"/>
  <c r="X295" i="8" a="1"/>
  <c r="X295" i="8" s="1"/>
  <c r="X89" i="8" a="1"/>
  <c r="X89" i="8" s="1"/>
  <c r="X669" i="8" a="1"/>
  <c r="X669" i="8" s="1"/>
  <c r="X384" i="8" a="1"/>
  <c r="X384" i="8" s="1"/>
  <c r="X139" i="8" a="1"/>
  <c r="X139" i="8" s="1"/>
  <c r="X651" i="8" a="1"/>
  <c r="X651" i="8" s="1"/>
  <c r="X470" i="8" a="1"/>
  <c r="X470" i="8" s="1"/>
  <c r="X268" i="8" a="1"/>
  <c r="X268" i="8" s="1"/>
  <c r="X756" i="8" a="1"/>
  <c r="X756" i="8" s="1"/>
  <c r="X452" i="8" a="1"/>
  <c r="X452" i="8" s="1"/>
  <c r="X379" i="8" a="1"/>
  <c r="X379" i="8" s="1"/>
  <c r="X814" i="8" a="1"/>
  <c r="X814" i="8" s="1"/>
  <c r="X1030" i="8" a="1"/>
  <c r="X1030" i="8" s="1"/>
  <c r="X913" i="8" a="1"/>
  <c r="X913" i="8" s="1"/>
  <c r="X81" i="8" a="1"/>
  <c r="X81" i="8" s="1"/>
  <c r="X987" i="8" a="1"/>
  <c r="X987" i="8" s="1"/>
  <c r="X1072" i="8" a="1"/>
  <c r="X1072" i="8" s="1"/>
  <c r="Z50" i="5" a="1"/>
  <c r="Z50" i="5" s="1"/>
  <c r="Z91" i="5" a="1"/>
  <c r="Z91" i="5" s="1"/>
  <c r="Z988" i="5" a="1"/>
  <c r="Z988" i="5" s="1"/>
  <c r="Z860" i="5" a="1"/>
  <c r="Z860" i="5" s="1"/>
  <c r="Z732" i="5" a="1"/>
  <c r="Z732" i="5" s="1"/>
  <c r="Z1035" i="5" a="1"/>
  <c r="Z1035" i="5" s="1"/>
  <c r="Z907" i="5" a="1"/>
  <c r="Z907" i="5" s="1"/>
  <c r="Z779" i="5" a="1"/>
  <c r="Z779" i="5" s="1"/>
  <c r="Z651" i="5" a="1"/>
  <c r="Z651" i="5" s="1"/>
  <c r="Z587" i="5" a="1"/>
  <c r="Z587" i="5" s="1"/>
  <c r="Z459" i="5" a="1"/>
  <c r="Z459" i="5" s="1"/>
  <c r="Z331" i="5" a="1"/>
  <c r="Z331" i="5" s="1"/>
  <c r="Z540" i="5" a="1"/>
  <c r="Z540" i="5" s="1"/>
  <c r="Z412" i="5" a="1"/>
  <c r="Z412" i="5" s="1"/>
  <c r="Z263" i="5" a="1"/>
  <c r="Z263" i="5" s="1"/>
  <c r="Z276" i="5" a="1"/>
  <c r="Z276" i="5" s="1"/>
  <c r="Z150" i="5" a="1"/>
  <c r="Z150" i="5" s="1"/>
  <c r="Z55" i="5" a="1"/>
  <c r="Z55" i="5" s="1"/>
  <c r="Z48" i="5" a="1"/>
  <c r="Z48" i="5" s="1"/>
  <c r="Z954" i="5" a="1"/>
  <c r="Z954" i="5" s="1"/>
  <c r="Z826" i="5" a="1"/>
  <c r="Z826" i="5" s="1"/>
  <c r="Z698" i="5" a="1"/>
  <c r="Z698" i="5" s="1"/>
  <c r="Z1001" i="5" a="1"/>
  <c r="Z1001" i="5" s="1"/>
  <c r="Z873" i="5" a="1"/>
  <c r="Z873" i="5" s="1"/>
  <c r="Z745" i="5" a="1"/>
  <c r="Z745" i="5" s="1"/>
  <c r="Z634" i="5" a="1"/>
  <c r="Z634" i="5" s="1"/>
  <c r="Z553" i="5" a="1"/>
  <c r="Z553" i="5" s="1"/>
  <c r="Z425" i="5" a="1"/>
  <c r="Z425" i="5" s="1"/>
  <c r="Z286" i="5" a="1"/>
  <c r="Z286" i="5" s="1"/>
  <c r="Z506" i="5" a="1"/>
  <c r="Z506" i="5" s="1"/>
  <c r="Z378" i="5" a="1"/>
  <c r="Z378" i="5" s="1"/>
  <c r="Z229" i="5" a="1"/>
  <c r="Z229" i="5" s="1"/>
  <c r="Z242" i="5" a="1"/>
  <c r="Z242" i="5" s="1"/>
  <c r="Z81" i="5" a="1"/>
  <c r="Z81" i="5" s="1"/>
  <c r="Z137" i="5" a="1"/>
  <c r="Z137" i="5" s="1"/>
  <c r="Z1048" i="5" a="1"/>
  <c r="Z1048" i="5" s="1"/>
  <c r="Z920" i="5" a="1"/>
  <c r="Z920" i="5" s="1"/>
  <c r="Z792" i="5" a="1"/>
  <c r="Z792" i="5" s="1"/>
  <c r="Z664" i="5" a="1"/>
  <c r="Z664" i="5" s="1"/>
  <c r="Z967" i="5" a="1"/>
  <c r="Z967" i="5" s="1"/>
  <c r="Z839" i="5" a="1"/>
  <c r="Z839" i="5" s="1"/>
  <c r="Z711" i="5" a="1"/>
  <c r="Z711" i="5" s="1"/>
  <c r="Z291" i="5" a="1"/>
  <c r="Z291" i="5" s="1"/>
  <c r="Z519" i="5" a="1"/>
  <c r="Z519" i="5" s="1"/>
  <c r="Z391" i="5" a="1"/>
  <c r="Z391" i="5" s="1"/>
  <c r="Z600" i="5" a="1"/>
  <c r="Z600" i="5" s="1"/>
  <c r="Z472" i="5" a="1"/>
  <c r="Z472" i="5" s="1"/>
  <c r="Z344" i="5" a="1"/>
  <c r="Z344" i="5" s="1"/>
  <c r="Z178" i="5" a="1"/>
  <c r="Z178" i="5" s="1"/>
  <c r="Z208" i="5" a="1"/>
  <c r="Z208" i="5" s="1"/>
  <c r="Z52" i="5" a="1"/>
  <c r="Z52" i="5" s="1"/>
  <c r="Z45" i="5" a="1"/>
  <c r="Z45" i="5" s="1"/>
  <c r="Z1014" i="5" a="1"/>
  <c r="Z1014" i="5" s="1"/>
  <c r="Z886" i="5" a="1"/>
  <c r="Z886" i="5" s="1"/>
  <c r="Z758" i="5" a="1"/>
  <c r="Z758" i="5" s="1"/>
  <c r="Z624" i="5" a="1"/>
  <c r="Z624" i="5" s="1"/>
  <c r="Z933" i="5" a="1"/>
  <c r="Z933" i="5" s="1"/>
  <c r="Z805" i="5" a="1"/>
  <c r="Z805" i="5" s="1"/>
  <c r="Z677" i="5" a="1"/>
  <c r="Z677" i="5" s="1"/>
  <c r="Z613" i="5" a="1"/>
  <c r="Z613" i="5" s="1"/>
  <c r="Z485" i="5" a="1"/>
  <c r="Z485" i="5" s="1"/>
  <c r="Z357" i="5" a="1"/>
  <c r="Z357" i="5" s="1"/>
  <c r="Z566" i="5" a="1"/>
  <c r="Z566" i="5" s="1"/>
  <c r="Z438" i="5" a="1"/>
  <c r="Z438" i="5" s="1"/>
  <c r="Z193" i="5" a="1"/>
  <c r="Z193" i="5" s="1"/>
  <c r="Z160" i="5" a="1"/>
  <c r="Z160" i="5" s="1"/>
  <c r="Z168" i="5" a="1"/>
  <c r="Z168" i="5" s="1"/>
  <c r="Z16" i="5" a="1"/>
  <c r="Z16" i="5" s="1"/>
  <c r="Z131" i="5" a="1"/>
  <c r="Z131" i="5" s="1"/>
  <c r="Z996" i="5" a="1"/>
  <c r="Z996" i="5" s="1"/>
  <c r="Z868" i="5" a="1"/>
  <c r="Z868" i="5" s="1"/>
  <c r="Z740" i="5" a="1"/>
  <c r="Z740" i="5" s="1"/>
  <c r="Z1043" i="5" a="1"/>
  <c r="Z1043" i="5" s="1"/>
  <c r="Z915" i="5" a="1"/>
  <c r="Z915" i="5" s="1"/>
  <c r="Z787" i="5" a="1"/>
  <c r="Z787" i="5" s="1"/>
  <c r="Z659" i="5" a="1"/>
  <c r="Z659" i="5" s="1"/>
  <c r="Z595" i="5" a="1"/>
  <c r="Z595" i="5" s="1"/>
  <c r="Z467" i="5" a="1"/>
  <c r="Z467" i="5" s="1"/>
  <c r="Z339" i="5" a="1"/>
  <c r="Z339" i="5" s="1"/>
  <c r="Z548" i="5" a="1"/>
  <c r="Z548" i="5" s="1"/>
  <c r="Z420" i="5" a="1"/>
  <c r="Z420" i="5" s="1"/>
  <c r="Z271" i="5" a="1"/>
  <c r="Z271" i="5" s="1"/>
  <c r="Z135" i="5" a="1"/>
  <c r="Z135" i="5" s="1"/>
  <c r="Z189" i="5" a="1"/>
  <c r="Z189" i="5" s="1"/>
  <c r="Z89" i="5" a="1"/>
  <c r="Z89" i="5" s="1"/>
  <c r="Z31" i="5" a="1"/>
  <c r="Z31" i="5" s="1"/>
  <c r="Z962" i="5" a="1"/>
  <c r="Z962" i="5" s="1"/>
  <c r="Z834" i="5" a="1"/>
  <c r="Z834" i="5" s="1"/>
  <c r="Z706" i="5" a="1"/>
  <c r="Z706" i="5" s="1"/>
  <c r="Z1009" i="5" a="1"/>
  <c r="Z1009" i="5" s="1"/>
  <c r="Z881" i="5" a="1"/>
  <c r="Z881" i="5" s="1"/>
  <c r="Z753" i="5" a="1"/>
  <c r="Z753" i="5" s="1"/>
  <c r="Z1053" i="5" a="1"/>
  <c r="Z1053" i="5" s="1"/>
  <c r="Z561" i="5" a="1"/>
  <c r="Z561" i="5" s="1"/>
  <c r="Z433" i="5" a="1"/>
  <c r="Z433" i="5" s="1"/>
  <c r="Z302" i="5" a="1"/>
  <c r="Z302" i="5" s="1"/>
  <c r="Z514" i="5" a="1"/>
  <c r="Z514" i="5" s="1"/>
  <c r="Z386" i="5" a="1"/>
  <c r="Z386" i="5" s="1"/>
  <c r="Z237" i="5" a="1"/>
  <c r="Z237" i="5" s="1"/>
  <c r="Z250" i="5" a="1"/>
  <c r="Z250" i="5" s="1"/>
  <c r="Z53" i="5" a="1"/>
  <c r="Z53" i="5" s="1"/>
  <c r="Z97" i="5" a="1"/>
  <c r="Z97" i="5" s="1"/>
  <c r="Z1051" i="5" a="1"/>
  <c r="Z1051" i="5" s="1"/>
  <c r="Z928" i="5" a="1"/>
  <c r="Z928" i="5" s="1"/>
  <c r="Z800" i="5" a="1"/>
  <c r="Z800" i="5" s="1"/>
  <c r="Z672" i="5" a="1"/>
  <c r="Z672" i="5" s="1"/>
  <c r="Z975" i="5" a="1"/>
  <c r="Z975" i="5" s="1"/>
  <c r="Z847" i="5" a="1"/>
  <c r="Z847" i="5" s="1"/>
  <c r="Z719" i="5" a="1"/>
  <c r="Z719" i="5" s="1"/>
  <c r="Z307" i="5" a="1"/>
  <c r="Z307" i="5" s="1"/>
  <c r="Z527" i="5" a="1"/>
  <c r="Z527" i="5" s="1"/>
  <c r="Z399" i="5" a="1"/>
  <c r="Z399" i="5" s="1"/>
  <c r="Z608" i="5" a="1"/>
  <c r="Z608" i="5" s="1"/>
  <c r="Z480" i="5" a="1"/>
  <c r="Z480" i="5" s="1"/>
  <c r="Z352" i="5" a="1"/>
  <c r="Z352" i="5" s="1"/>
  <c r="Z203" i="5" a="1"/>
  <c r="Z203" i="5" s="1"/>
  <c r="Z216" i="5" a="1"/>
  <c r="Z216" i="5" s="1"/>
  <c r="Z51" i="5" a="1"/>
  <c r="Z51" i="5" s="1"/>
  <c r="Z4" i="5" a="1"/>
  <c r="Z4" i="5" s="1"/>
  <c r="Z1022" i="5" a="1"/>
  <c r="Z1022" i="5" s="1"/>
  <c r="Z894" i="5" a="1"/>
  <c r="Z894" i="5" s="1"/>
  <c r="Z766" i="5" a="1"/>
  <c r="Z766" i="5" s="1"/>
  <c r="Z645" i="5" a="1"/>
  <c r="Z645" i="5" s="1"/>
  <c r="Z941" i="5" a="1"/>
  <c r="Z941" i="5" s="1"/>
  <c r="Z813" i="5" a="1"/>
  <c r="Z813" i="5" s="1"/>
  <c r="Z685" i="5" a="1"/>
  <c r="Z685" i="5" s="1"/>
  <c r="Z621" i="5" a="1"/>
  <c r="Z621" i="5" s="1"/>
  <c r="Z493" i="5" a="1"/>
  <c r="Z493" i="5" s="1"/>
  <c r="Z365" i="5" a="1"/>
  <c r="Z365" i="5" s="1"/>
  <c r="Z574" i="5" a="1"/>
  <c r="Z574" i="5" s="1"/>
  <c r="Z446" i="5" a="1"/>
  <c r="Z446" i="5" s="1"/>
  <c r="Z318" i="5" a="1"/>
  <c r="Z318" i="5" s="1"/>
  <c r="Z59" i="5" a="1"/>
  <c r="Z59" i="5" s="1"/>
  <c r="Z71" i="5" a="1"/>
  <c r="Z71" i="5" s="1"/>
  <c r="X545" i="8" a="1"/>
  <c r="X545" i="8" s="1"/>
  <c r="X805" i="8" a="1"/>
  <c r="X805" i="8" s="1"/>
  <c r="X1046" i="8" a="1"/>
  <c r="X1046" i="8" s="1"/>
  <c r="X32" i="8" a="1"/>
  <c r="X32" i="8" s="1"/>
  <c r="X552" i="8" a="1"/>
  <c r="X552" i="8" s="1"/>
  <c r="X308" i="8" a="1"/>
  <c r="X308" i="8" s="1"/>
  <c r="X25" i="8" a="1"/>
  <c r="X25" i="8" s="1"/>
  <c r="X608" i="8" a="1"/>
  <c r="X608" i="8" s="1"/>
  <c r="X390" i="8" a="1"/>
  <c r="X390" i="8" s="1"/>
  <c r="X173" i="8" a="1"/>
  <c r="X173" i="8" s="1"/>
  <c r="X617" i="8" a="1"/>
  <c r="X617" i="8" s="1"/>
  <c r="X505" i="8" a="1"/>
  <c r="X505" i="8" s="1"/>
  <c r="X184" i="8" a="1"/>
  <c r="X184" i="8" s="1"/>
  <c r="X732" i="8" a="1"/>
  <c r="X732" i="8" s="1"/>
  <c r="X503" i="8" a="1"/>
  <c r="X503" i="8" s="1"/>
  <c r="X1015" i="8" a="1"/>
  <c r="X1015" i="8" s="1"/>
  <c r="X988" i="8" a="1"/>
  <c r="X988" i="8" s="1"/>
  <c r="X56" i="8" a="1"/>
  <c r="X56" i="8" s="1"/>
  <c r="X967" i="8" a="1"/>
  <c r="X967" i="8" s="1"/>
  <c r="X754" i="8" a="1"/>
  <c r="X754" i="8" s="1"/>
  <c r="X141" i="8" a="1"/>
  <c r="X141" i="8" s="1"/>
  <c r="X688" i="8" a="1"/>
  <c r="X688" i="8" s="1"/>
  <c r="X504" i="8" a="1"/>
  <c r="X504" i="8" s="1"/>
  <c r="X152" i="8" a="1"/>
  <c r="X152" i="8" s="1"/>
  <c r="X761" i="8" a="1"/>
  <c r="X761" i="8" s="1"/>
  <c r="X425" i="8" a="1"/>
  <c r="X425" i="8" s="1"/>
  <c r="X321" i="8" a="1"/>
  <c r="X321" i="8" s="1"/>
  <c r="X823" i="8" a="1"/>
  <c r="X823" i="8" s="1"/>
  <c r="X589" i="8" a="1"/>
  <c r="X589" i="8" s="1"/>
  <c r="X381" i="8" a="1"/>
  <c r="X381" i="8" s="1"/>
  <c r="X163" i="8" a="1"/>
  <c r="X163" i="8" s="1"/>
  <c r="X616" i="8" a="1"/>
  <c r="X616" i="8" s="1"/>
  <c r="X824" i="8" a="1"/>
  <c r="X824" i="8" s="1"/>
  <c r="X74" i="8" a="1"/>
  <c r="X74" i="8" s="1"/>
  <c r="X958" i="8" a="1"/>
  <c r="X958" i="8" s="1"/>
  <c r="X39" i="8" a="1"/>
  <c r="X39" i="8" s="1"/>
  <c r="X901" i="8" a="1"/>
  <c r="X901" i="8" s="1"/>
  <c r="X246" i="8" a="1"/>
  <c r="X246" i="8" s="1"/>
  <c r="X795" i="8" a="1"/>
  <c r="X795" i="8" s="1"/>
  <c r="X579" i="8" a="1"/>
  <c r="X579" i="8" s="1"/>
  <c r="X365" i="8" a="1"/>
  <c r="X365" i="8" s="1"/>
  <c r="X195" i="8" a="1"/>
  <c r="X195" i="8" s="1"/>
  <c r="X653" i="8" a="1"/>
  <c r="X653" i="8" s="1"/>
  <c r="X403" i="8" a="1"/>
  <c r="X403" i="8" s="1"/>
  <c r="X179" i="8" a="1"/>
  <c r="X179" i="8" s="1"/>
  <c r="X722" i="8" a="1"/>
  <c r="X722" i="8" s="1"/>
  <c r="X510" i="8" a="1"/>
  <c r="X510" i="8" s="1"/>
  <c r="X273" i="8" a="1"/>
  <c r="X273" i="8" s="1"/>
  <c r="X788" i="8" a="1"/>
  <c r="X788" i="8" s="1"/>
  <c r="X1003" i="8" a="1"/>
  <c r="X1003" i="8" s="1"/>
  <c r="X892" i="8" a="1"/>
  <c r="X892" i="8" s="1"/>
  <c r="X10" i="8" a="1"/>
  <c r="X10" i="8" s="1"/>
  <c r="X910" i="8" a="1"/>
  <c r="X910" i="8" s="1"/>
  <c r="X1051" i="8" a="1"/>
  <c r="X1051" i="8" s="1"/>
  <c r="X524" i="8" a="1"/>
  <c r="X524" i="8" s="1"/>
  <c r="X224" i="8" a="1"/>
  <c r="X224" i="8" s="1"/>
  <c r="X778" i="8" a="1"/>
  <c r="X778" i="8" s="1"/>
  <c r="X555" i="8" a="1"/>
  <c r="X555" i="8" s="1"/>
  <c r="X330" i="8" a="1"/>
  <c r="X330" i="8" s="1"/>
  <c r="X136" i="8" a="1"/>
  <c r="X136" i="8" s="1"/>
  <c r="X661" i="8" a="1"/>
  <c r="X661" i="8" s="1"/>
  <c r="X436" i="8" a="1"/>
  <c r="X436" i="8" s="1"/>
  <c r="X161" i="8" a="1"/>
  <c r="X161" i="8" s="1"/>
  <c r="X680" i="8" a="1"/>
  <c r="X680" i="8" s="1"/>
  <c r="X473" i="8" a="1"/>
  <c r="X473" i="8" s="1"/>
  <c r="X981" i="8" a="1"/>
  <c r="X981" i="8" s="1"/>
  <c r="X911" i="8" a="1"/>
  <c r="X911" i="8" s="1"/>
  <c r="X82" i="8" a="1"/>
  <c r="X82" i="8" s="1"/>
  <c r="X924" i="8" a="1"/>
  <c r="X924" i="8" s="1"/>
  <c r="X88" i="8" a="1"/>
  <c r="X88" i="8" s="1"/>
  <c r="X118" i="8" a="1"/>
  <c r="X118" i="8" s="1"/>
  <c r="X628" i="8" a="1"/>
  <c r="X628" i="8" s="1"/>
  <c r="X414" i="8" a="1"/>
  <c r="X414" i="8" s="1"/>
  <c r="X289" i="8" a="1"/>
  <c r="X289" i="8" s="1"/>
  <c r="X648" i="8" a="1"/>
  <c r="X648" i="8" s="1"/>
  <c r="X509" i="8" a="1"/>
  <c r="X509" i="8" s="1"/>
  <c r="X123" i="8" a="1"/>
  <c r="X123" i="8" s="1"/>
  <c r="X755" i="8" a="1"/>
  <c r="X755" i="8" s="1"/>
  <c r="X541" i="8" a="1"/>
  <c r="X541" i="8" s="1"/>
  <c r="X350" i="8" a="1"/>
  <c r="X350" i="8" s="1"/>
  <c r="X147" i="8" a="1"/>
  <c r="X147" i="8" s="1"/>
  <c r="X647" i="8" a="1"/>
  <c r="X647" i="8" s="1"/>
  <c r="X47" i="8" a="1"/>
  <c r="X47" i="8" s="1"/>
  <c r="X18" i="8" a="1"/>
  <c r="X18" i="8" s="1"/>
  <c r="X919" i="8" a="1"/>
  <c r="X919" i="8" s="1"/>
  <c r="X1052" i="8" a="1"/>
  <c r="X1052" i="8" s="1"/>
  <c r="X875" i="8" a="1"/>
  <c r="X875" i="8" s="1"/>
  <c r="X280" i="8" a="1"/>
  <c r="X280" i="8" s="1"/>
  <c r="X716" i="8" a="1"/>
  <c r="X716" i="8" s="1"/>
  <c r="X535" i="8" a="1"/>
  <c r="X535" i="8" s="1"/>
  <c r="X323" i="8" a="1"/>
  <c r="X323" i="8" s="1"/>
  <c r="X103" i="8" a="1"/>
  <c r="X103" i="8" s="1"/>
  <c r="X679" i="8" a="1"/>
  <c r="X679" i="8" s="1"/>
  <c r="X408" i="8" a="1"/>
  <c r="X408" i="8" s="1"/>
  <c r="X146" i="8" a="1"/>
  <c r="X146" i="8" s="1"/>
  <c r="X673" i="8" a="1"/>
  <c r="X673" i="8" s="1"/>
  <c r="X460" i="8" a="1"/>
  <c r="X460" i="8" s="1"/>
  <c r="X157" i="8" a="1"/>
  <c r="X157" i="8" s="1"/>
  <c r="X742" i="8" a="1"/>
  <c r="X742" i="8" s="1"/>
  <c r="X1005" i="8" a="1"/>
  <c r="X1005" i="8" s="1"/>
  <c r="X841" i="8" a="1"/>
  <c r="X841" i="8" s="1"/>
  <c r="X1044" i="8" a="1"/>
  <c r="X1044" i="8" s="1"/>
  <c r="X896" i="8" a="1"/>
  <c r="X896" i="8" s="1"/>
  <c r="X979" i="8" a="1"/>
  <c r="X979" i="8" s="1"/>
  <c r="X335" i="8" a="1"/>
  <c r="X335" i="8" s="1"/>
  <c r="X215" i="8" a="1"/>
  <c r="X215" i="8" s="1"/>
  <c r="X652" i="8" a="1"/>
  <c r="X652" i="8" s="1"/>
  <c r="X515" i="8" a="1"/>
  <c r="X515" i="8" s="1"/>
  <c r="X189" i="8" a="1"/>
  <c r="X189" i="8" s="1"/>
  <c r="X775" i="8" a="1"/>
  <c r="X775" i="8" s="1"/>
  <c r="X491" i="8" a="1"/>
  <c r="X491" i="8" s="1"/>
  <c r="X340" i="8" a="1"/>
  <c r="X340" i="8" s="1"/>
  <c r="X21" i="8" a="1"/>
  <c r="X21" i="8" s="1"/>
  <c r="X593" i="8" a="1"/>
  <c r="X593" i="8" s="1"/>
  <c r="X318" i="8" a="1"/>
  <c r="X318" i="8" s="1"/>
  <c r="X874" i="8" a="1"/>
  <c r="X874" i="8" s="1"/>
  <c r="X11" i="8" a="1"/>
  <c r="X11" i="8" s="1"/>
  <c r="X1007" i="8" a="1"/>
  <c r="X1007" i="8" s="1"/>
  <c r="X825" i="8" a="1"/>
  <c r="X825" i="8" s="1"/>
  <c r="X1038" i="8" a="1"/>
  <c r="X1038" i="8" s="1"/>
  <c r="X20" i="8" a="1"/>
  <c r="X20" i="8" s="1"/>
  <c r="Z38" i="5" a="1"/>
  <c r="Z38" i="5" s="1"/>
  <c r="Z109" i="5" a="1"/>
  <c r="Z109" i="5" s="1"/>
  <c r="Z972" i="5" a="1"/>
  <c r="Z972" i="5" s="1"/>
  <c r="Z844" i="5" a="1"/>
  <c r="Z844" i="5" s="1"/>
  <c r="Z716" i="5" a="1"/>
  <c r="Z716" i="5" s="1"/>
  <c r="Z1019" i="5" a="1"/>
  <c r="Z1019" i="5" s="1"/>
  <c r="Z891" i="5" a="1"/>
  <c r="Z891" i="5" s="1"/>
  <c r="Z763" i="5" a="1"/>
  <c r="Z763" i="5" s="1"/>
  <c r="Z1062" i="5" a="1"/>
  <c r="Z1062" i="5" s="1"/>
  <c r="Z571" i="5" a="1"/>
  <c r="Z571" i="5" s="1"/>
  <c r="Z443" i="5" a="1"/>
  <c r="Z443" i="5" s="1"/>
  <c r="Z315" i="5" a="1"/>
  <c r="Z315" i="5" s="1"/>
  <c r="Z524" i="5" a="1"/>
  <c r="Z524" i="5" s="1"/>
  <c r="Z396" i="5" a="1"/>
  <c r="Z396" i="5" s="1"/>
  <c r="Z247" i="5" a="1"/>
  <c r="Z247" i="5" s="1"/>
  <c r="Z260" i="5" a="1"/>
  <c r="Z260" i="5" s="1"/>
  <c r="Z46" i="5" a="1"/>
  <c r="Z46" i="5" s="1"/>
  <c r="Z176" i="5" a="1"/>
  <c r="Z176" i="5" s="1"/>
  <c r="Z1072" i="5" a="1"/>
  <c r="Z1072" i="5" s="1"/>
  <c r="Z938" i="5" a="1"/>
  <c r="Z938" i="5" s="1"/>
  <c r="Z810" i="5" a="1"/>
  <c r="Z810" i="5" s="1"/>
  <c r="Z682" i="5" a="1"/>
  <c r="Z682" i="5" s="1"/>
  <c r="Z985" i="5" a="1"/>
  <c r="Z985" i="5" s="1"/>
  <c r="Z857" i="5" a="1"/>
  <c r="Z857" i="5" s="1"/>
  <c r="Z729" i="5" a="1"/>
  <c r="Z729" i="5" s="1"/>
  <c r="Z296" i="5" a="1"/>
  <c r="Z296" i="5" s="1"/>
  <c r="Z537" i="5" a="1"/>
  <c r="Z537" i="5" s="1"/>
  <c r="Z409" i="5" a="1"/>
  <c r="Z409" i="5" s="1"/>
  <c r="Z285" i="5" a="1"/>
  <c r="Z285" i="5" s="1"/>
  <c r="Z490" i="5" a="1"/>
  <c r="Z490" i="5" s="1"/>
  <c r="Z362" i="5" a="1"/>
  <c r="Z362" i="5" s="1"/>
  <c r="Z213" i="5" a="1"/>
  <c r="Z213" i="5" s="1"/>
  <c r="Z226" i="5" a="1"/>
  <c r="Z226" i="5" s="1"/>
  <c r="Z49" i="5" a="1"/>
  <c r="Z49" i="5" s="1"/>
  <c r="Z98" i="5" a="1"/>
  <c r="Z98" i="5" s="1"/>
  <c r="Z1032" i="5" a="1"/>
  <c r="Z1032" i="5" s="1"/>
  <c r="Z904" i="5" a="1"/>
  <c r="Z904" i="5" s="1"/>
  <c r="Z776" i="5" a="1"/>
  <c r="Z776" i="5" s="1"/>
  <c r="Z1066" i="5" a="1"/>
  <c r="Z1066" i="5" s="1"/>
  <c r="Z951" i="5" a="1"/>
  <c r="Z951" i="5" s="1"/>
  <c r="Z823" i="5" a="1"/>
  <c r="Z823" i="5" s="1"/>
  <c r="Z695" i="5" a="1"/>
  <c r="Z695" i="5" s="1"/>
  <c r="Z631" i="5" a="1"/>
  <c r="Z631" i="5" s="1"/>
  <c r="Z503" i="5" a="1"/>
  <c r="Z503" i="5" s="1"/>
  <c r="Z375" i="5" a="1"/>
  <c r="Z375" i="5" s="1"/>
  <c r="Z584" i="5" a="1"/>
  <c r="Z584" i="5" s="1"/>
  <c r="Z456" i="5" a="1"/>
  <c r="Z456" i="5" s="1"/>
  <c r="Z328" i="5" a="1"/>
  <c r="Z328" i="5" s="1"/>
  <c r="Z184" i="5" a="1"/>
  <c r="Z184" i="5" s="1"/>
  <c r="Z177" i="5" a="1"/>
  <c r="Z177" i="5" s="1"/>
  <c r="Z30" i="5" a="1"/>
  <c r="Z30" i="5" s="1"/>
  <c r="Z61" i="5" a="1"/>
  <c r="Z61" i="5" s="1"/>
  <c r="Z998" i="5" a="1"/>
  <c r="Z998" i="5" s="1"/>
  <c r="Z870" i="5" a="1"/>
  <c r="Z870" i="5" s="1"/>
  <c r="Z742" i="5" a="1"/>
  <c r="Z742" i="5" s="1"/>
  <c r="Z1047" i="5" a="1"/>
  <c r="Z1047" i="5" s="1"/>
  <c r="Z917" i="5" a="1"/>
  <c r="Z917" i="5" s="1"/>
  <c r="Z789" i="5" a="1"/>
  <c r="Z789" i="5" s="1"/>
  <c r="Z661" i="5" a="1"/>
  <c r="Z661" i="5" s="1"/>
  <c r="Z597" i="5" a="1"/>
  <c r="Z597" i="5" s="1"/>
  <c r="Z469" i="5" a="1"/>
  <c r="Z469" i="5" s="1"/>
  <c r="Z341" i="5" a="1"/>
  <c r="Z341" i="5" s="1"/>
  <c r="Z550" i="5" a="1"/>
  <c r="Z550" i="5" s="1"/>
  <c r="Z422" i="5" a="1"/>
  <c r="Z422" i="5" s="1"/>
  <c r="Z273" i="5" a="1"/>
  <c r="Z273" i="5" s="1"/>
  <c r="Z173" i="5" a="1"/>
  <c r="Z173" i="5" s="1"/>
  <c r="Z78" i="5" a="1"/>
  <c r="Z78" i="5" s="1"/>
  <c r="Z57" i="5" a="1"/>
  <c r="Z57" i="5" s="1"/>
  <c r="Z94" i="5" a="1"/>
  <c r="Z94" i="5" s="1"/>
  <c r="Z980" i="5" a="1"/>
  <c r="Z980" i="5" s="1"/>
  <c r="Z852" i="5" a="1"/>
  <c r="Z852" i="5" s="1"/>
  <c r="Z724" i="5" a="1"/>
  <c r="Z724" i="5" s="1"/>
  <c r="Z1027" i="5" a="1"/>
  <c r="Z1027" i="5" s="1"/>
  <c r="Z899" i="5" a="1"/>
  <c r="Z899" i="5" s="1"/>
  <c r="Z771" i="5" a="1"/>
  <c r="Z771" i="5" s="1"/>
  <c r="Z1073" i="5" a="1"/>
  <c r="Z1073" i="5" s="1"/>
  <c r="Z579" i="5" a="1"/>
  <c r="Z579" i="5" s="1"/>
  <c r="Z451" i="5" a="1"/>
  <c r="Z451" i="5" s="1"/>
  <c r="Z323" i="5" a="1"/>
  <c r="Z323" i="5" s="1"/>
  <c r="Z532" i="5" a="1"/>
  <c r="Z532" i="5" s="1"/>
  <c r="Z404" i="5" a="1"/>
  <c r="Z404" i="5" s="1"/>
  <c r="Z255" i="5" a="1"/>
  <c r="Z255" i="5" s="1"/>
  <c r="Z268" i="5" a="1"/>
  <c r="Z268" i="5" s="1"/>
  <c r="Z24" i="5" a="1"/>
  <c r="Z24" i="5" s="1"/>
  <c r="Z65" i="5" a="1"/>
  <c r="Z65" i="5" s="1"/>
  <c r="Z76" i="5" a="1"/>
  <c r="Z76" i="5" s="1"/>
  <c r="Z946" i="5" a="1"/>
  <c r="Z946" i="5" s="1"/>
  <c r="Z818" i="5" a="1"/>
  <c r="Z818" i="5" s="1"/>
  <c r="Z690" i="5" a="1"/>
  <c r="Z690" i="5" s="1"/>
  <c r="Z993" i="5" a="1"/>
  <c r="Z993" i="5" s="1"/>
  <c r="Z865" i="5" a="1"/>
  <c r="Z865" i="5" s="1"/>
  <c r="Z737" i="5" a="1"/>
  <c r="Z737" i="5" s="1"/>
  <c r="Z618" i="5" a="1"/>
  <c r="Z618" i="5" s="1"/>
  <c r="Z545" i="5" a="1"/>
  <c r="Z545" i="5" s="1"/>
  <c r="Z417" i="5" a="1"/>
  <c r="Z417" i="5" s="1"/>
  <c r="Z301" i="5" a="1"/>
  <c r="Z301" i="5" s="1"/>
  <c r="Z498" i="5" a="1"/>
  <c r="Z498" i="5" s="1"/>
  <c r="Z370" i="5" a="1"/>
  <c r="Z370" i="5" s="1"/>
  <c r="Z221" i="5" a="1"/>
  <c r="Z221" i="5" s="1"/>
  <c r="Z234" i="5" a="1"/>
  <c r="Z234" i="5" s="1"/>
  <c r="Z158" i="5" a="1"/>
  <c r="Z158" i="5" s="1"/>
  <c r="Z82" i="5" a="1"/>
  <c r="Z82" i="5" s="1"/>
  <c r="Z1040" i="5" a="1"/>
  <c r="Z1040" i="5" s="1"/>
  <c r="Z912" i="5" a="1"/>
  <c r="Z912" i="5" s="1"/>
  <c r="Z784" i="5" a="1"/>
  <c r="Z784" i="5" s="1"/>
  <c r="Z656" i="5" a="1"/>
  <c r="Z656" i="5" s="1"/>
  <c r="Z959" i="5" a="1"/>
  <c r="Z959" i="5" s="1"/>
  <c r="Z831" i="5" a="1"/>
  <c r="Z831" i="5" s="1"/>
  <c r="Z703" i="5" a="1"/>
  <c r="Z703" i="5" s="1"/>
  <c r="Z639" i="5" a="1"/>
  <c r="Z639" i="5" s="1"/>
  <c r="Z511" i="5" a="1"/>
  <c r="Z511" i="5" s="1"/>
  <c r="Z383" i="5" a="1"/>
  <c r="Z383" i="5" s="1"/>
  <c r="Z592" i="5" a="1"/>
  <c r="Z592" i="5" s="1"/>
  <c r="Z464" i="5" a="1"/>
  <c r="Z464" i="5" s="1"/>
  <c r="Z336" i="5" a="1"/>
  <c r="Z336" i="5" s="1"/>
  <c r="Z127" i="5" a="1"/>
  <c r="Z127" i="5" s="1"/>
  <c r="Z200" i="5" a="1"/>
  <c r="Z200" i="5" s="1"/>
  <c r="Z182" i="5" a="1"/>
  <c r="Z182" i="5" s="1"/>
  <c r="Z70" i="5" a="1"/>
  <c r="Z70" i="5" s="1"/>
  <c r="Z1006" i="5" a="1"/>
  <c r="Z1006" i="5" s="1"/>
  <c r="Z878" i="5" a="1"/>
  <c r="Z878" i="5" s="1"/>
  <c r="Z750" i="5" a="1"/>
  <c r="Z750" i="5" s="1"/>
  <c r="Z647" i="5" a="1"/>
  <c r="Z647" i="5" s="1"/>
  <c r="Z925" i="5" a="1"/>
  <c r="Z925" i="5" s="1"/>
  <c r="Z797" i="5" a="1"/>
  <c r="Z797" i="5" s="1"/>
  <c r="Z669" i="5" a="1"/>
  <c r="Z669" i="5" s="1"/>
  <c r="Z605" i="5" a="1"/>
  <c r="Z605" i="5" s="1"/>
  <c r="Z477" i="5" a="1"/>
  <c r="Z477" i="5" s="1"/>
  <c r="Z349" i="5" a="1"/>
  <c r="Z349" i="5" s="1"/>
  <c r="Z558" i="5" a="1"/>
  <c r="Z558" i="5" s="1"/>
  <c r="Z430" i="5" a="1"/>
  <c r="Z430" i="5" s="1"/>
  <c r="Z281" i="5" a="1"/>
  <c r="Z281" i="5" s="1"/>
  <c r="Z196" i="5" a="1"/>
  <c r="Z196" i="5" s="1"/>
  <c r="Z130" i="5" a="1"/>
  <c r="Z130" i="5" s="1"/>
  <c r="X253" i="8" a="1"/>
  <c r="X253" i="8" s="1"/>
  <c r="X372" i="8" a="1"/>
  <c r="X372" i="8" s="1"/>
  <c r="X438" i="8" a="1"/>
  <c r="X438" i="8" s="1"/>
  <c r="X324" i="8" a="1"/>
  <c r="X324" i="8" s="1"/>
  <c r="X5" i="8" a="1"/>
  <c r="X5" i="8" s="1"/>
  <c r="X574" i="8" a="1"/>
  <c r="X574" i="8" s="1"/>
  <c r="X301" i="8" a="1"/>
  <c r="X301" i="8" s="1"/>
  <c r="X217" i="8" a="1"/>
  <c r="X217" i="8" s="1"/>
  <c r="X674" i="8" a="1"/>
  <c r="X674" i="8" s="1"/>
  <c r="X479" i="8" a="1"/>
  <c r="X479" i="8" s="1"/>
  <c r="X952" i="8" a="1"/>
  <c r="X952" i="8" s="1"/>
  <c r="X938" i="8" a="1"/>
  <c r="X938" i="8" s="1"/>
  <c r="X58" i="8" a="1"/>
  <c r="X58" i="8" s="1"/>
  <c r="X883" i="8" a="1"/>
  <c r="X883" i="8" s="1"/>
  <c r="X49" i="8" a="1"/>
  <c r="X49" i="8" s="1"/>
  <c r="X68" i="8" a="1"/>
  <c r="X68" i="8" s="1"/>
  <c r="X585" i="8" a="1"/>
  <c r="X585" i="8" s="1"/>
  <c r="X334" i="8" a="1"/>
  <c r="X334" i="8" s="1"/>
  <c r="X185" i="8" a="1"/>
  <c r="X185" i="8" s="1"/>
  <c r="X642" i="8" a="1"/>
  <c r="X642" i="8" s="1"/>
  <c r="X516" i="8" a="1"/>
  <c r="X516" i="8" s="1"/>
  <c r="X233" i="8" a="1"/>
  <c r="X233" i="8" s="1"/>
  <c r="X695" i="8" a="1"/>
  <c r="X695" i="8" s="1"/>
  <c r="X442" i="8" a="1"/>
  <c r="X442" i="8" s="1"/>
  <c r="X175" i="8" a="1"/>
  <c r="X175" i="8" s="1"/>
  <c r="X774" i="8" a="1"/>
  <c r="X774" i="8" s="1"/>
  <c r="X584" i="8" a="1"/>
  <c r="X584" i="8" s="1"/>
  <c r="X37" i="8" a="1"/>
  <c r="X37" i="8" s="1"/>
  <c r="X1027" i="8" a="1"/>
  <c r="X1027" i="8" s="1"/>
  <c r="X872" i="8" a="1"/>
  <c r="X872" i="8" s="1"/>
  <c r="X1031" i="8" a="1"/>
  <c r="X1031" i="8" s="1"/>
  <c r="X832" i="8" a="1"/>
  <c r="X832" i="8" s="1"/>
  <c r="X201" i="8" a="1"/>
  <c r="X201" i="8" s="1"/>
  <c r="X739" i="8" a="1"/>
  <c r="X739" i="8" s="1"/>
  <c r="X464" i="8" a="1"/>
  <c r="X464" i="8" s="1"/>
  <c r="X143" i="8" a="1"/>
  <c r="X143" i="8" s="1"/>
  <c r="X784" i="8" a="1"/>
  <c r="X784" i="8" s="1"/>
  <c r="X611" i="8" a="1"/>
  <c r="X611" i="8" s="1"/>
  <c r="X293" i="8" a="1"/>
  <c r="X293" i="8" s="1"/>
  <c r="X202" i="8" a="1"/>
  <c r="X202" i="8" s="1"/>
  <c r="X663" i="8" a="1"/>
  <c r="X663" i="8" s="1"/>
  <c r="X395" i="8" a="1"/>
  <c r="X395" i="8" s="1"/>
  <c r="X223" i="8" a="1"/>
  <c r="X223" i="8" s="1"/>
  <c r="X760" i="8" a="1"/>
  <c r="X760" i="8" s="1"/>
  <c r="X920" i="8" a="1"/>
  <c r="X920" i="8" s="1"/>
  <c r="X864" i="8" a="1"/>
  <c r="X864" i="8" s="1"/>
  <c r="X1024" i="8" a="1"/>
  <c r="X1024" i="8" s="1"/>
  <c r="X870" i="8" a="1"/>
  <c r="X870" i="8" s="1"/>
  <c r="X1000" i="8" a="1"/>
  <c r="X1000" i="8" s="1"/>
  <c r="X277" i="8" a="1"/>
  <c r="X277" i="8" s="1"/>
  <c r="X107" i="8" a="1"/>
  <c r="X107" i="8" s="1"/>
  <c r="X689" i="8" a="1"/>
  <c r="X689" i="8" s="1"/>
  <c r="X407" i="8" a="1"/>
  <c r="X407" i="8" s="1"/>
  <c r="X255" i="8" a="1"/>
  <c r="X255" i="8" s="1"/>
  <c r="X702" i="8" a="1"/>
  <c r="X702" i="8" s="1"/>
  <c r="X451" i="8" a="1"/>
  <c r="X451" i="8" s="1"/>
  <c r="X165" i="8" a="1"/>
  <c r="X165" i="8" s="1"/>
  <c r="X772" i="8" a="1"/>
  <c r="X772" i="8" s="1"/>
  <c r="X543" i="8" a="1"/>
  <c r="X543" i="8" s="1"/>
  <c r="X344" i="8" a="1"/>
  <c r="X344" i="8" s="1"/>
  <c r="X845" i="8" a="1"/>
  <c r="X845" i="8" s="1"/>
  <c r="X1059" i="8" a="1"/>
  <c r="X1059" i="8" s="1"/>
  <c r="X992" i="8" a="1"/>
  <c r="X992" i="8" s="1"/>
  <c r="X783" i="8" a="1"/>
  <c r="X783" i="8" s="1"/>
  <c r="X964" i="8" a="1"/>
  <c r="X964" i="8" s="1"/>
  <c r="X54" i="8" a="1"/>
  <c r="X54" i="8" s="1"/>
  <c r="X568" i="8" a="1"/>
  <c r="X568" i="8" s="1"/>
  <c r="X300" i="8" a="1"/>
  <c r="X300" i="8" s="1"/>
  <c r="X93" i="8" a="1"/>
  <c r="X93" i="8" s="1"/>
  <c r="X676" i="8" a="1"/>
  <c r="X676" i="8" s="1"/>
  <c r="X429" i="8" a="1"/>
  <c r="X429" i="8" s="1"/>
  <c r="X208" i="8" a="1"/>
  <c r="X208" i="8" s="1"/>
  <c r="X700" i="8" a="1"/>
  <c r="X700" i="8" s="1"/>
  <c r="X456" i="8" a="1"/>
  <c r="X456" i="8" s="1"/>
  <c r="X206" i="8" a="1"/>
  <c r="X206" i="8" s="1"/>
  <c r="X701" i="8" a="1"/>
  <c r="X701" i="8" s="1"/>
  <c r="X527" i="8" a="1"/>
  <c r="X527" i="8" s="1"/>
  <c r="X1041" i="8" a="1"/>
  <c r="X1041" i="8" s="1"/>
  <c r="X1016" i="8" a="1"/>
  <c r="X1016" i="8" s="1"/>
  <c r="X842" i="8" a="1"/>
  <c r="X842" i="8" s="1"/>
  <c r="X954" i="8" a="1"/>
  <c r="X954" i="8" s="1"/>
  <c r="X787" i="8" a="1"/>
  <c r="X787" i="8" s="1"/>
  <c r="X176" i="8" a="1"/>
  <c r="X176" i="8" s="1"/>
  <c r="X691" i="8" a="1"/>
  <c r="X691" i="8" s="1"/>
  <c r="X506" i="8" a="1"/>
  <c r="X506" i="8" s="1"/>
  <c r="X174" i="8" a="1"/>
  <c r="X174" i="8" s="1"/>
  <c r="X771" i="8" a="1"/>
  <c r="X771" i="8" s="1"/>
  <c r="X560" i="8" a="1"/>
  <c r="X560" i="8" s="1"/>
  <c r="X374" i="8" a="1"/>
  <c r="X374" i="8" s="1"/>
  <c r="X110" i="8" a="1"/>
  <c r="X110" i="8" s="1"/>
  <c r="X627" i="8" a="1"/>
  <c r="X627" i="8" s="1"/>
  <c r="X368" i="8" a="1"/>
  <c r="X368" i="8" s="1"/>
  <c r="X190" i="8" a="1"/>
  <c r="X190" i="8" s="1"/>
  <c r="X634" i="8" a="1"/>
  <c r="X634" i="8" s="1"/>
  <c r="X904" i="8" a="1"/>
  <c r="X904" i="8" s="1"/>
  <c r="X44" i="8" a="1"/>
  <c r="X44" i="8" s="1"/>
  <c r="X983" i="8" a="1"/>
  <c r="X983" i="8" s="1"/>
  <c r="X815" i="8" a="1"/>
  <c r="X815" i="8" s="1"/>
  <c r="X934" i="8" a="1"/>
  <c r="X934" i="8" s="1"/>
  <c r="X358" i="8" a="1"/>
  <c r="X358" i="8" s="1"/>
  <c r="X121" i="8" a="1"/>
  <c r="X121" i="8" s="1"/>
  <c r="X612" i="8" a="1"/>
  <c r="X612" i="8" s="1"/>
  <c r="X352" i="8" a="1"/>
  <c r="X352" i="8" s="1"/>
  <c r="X222" i="8" a="1"/>
  <c r="X222" i="8" s="1"/>
  <c r="X666" i="8" a="1"/>
  <c r="X666" i="8" s="1"/>
  <c r="X499" i="8" a="1"/>
  <c r="X499" i="8" s="1"/>
  <c r="X204" i="8" a="1"/>
  <c r="X204" i="8" s="1"/>
  <c r="X696" i="8" a="1"/>
  <c r="X696" i="8" s="1"/>
  <c r="X501" i="8" a="1"/>
  <c r="X501" i="8" s="1"/>
  <c r="X338" i="8" a="1"/>
  <c r="X338" i="8" s="1"/>
  <c r="X859" i="8" a="1"/>
  <c r="X859" i="8" s="1"/>
  <c r="X1022" i="8" a="1"/>
  <c r="X1022" i="8" s="1"/>
  <c r="X937" i="8" a="1"/>
  <c r="X937" i="8" s="1"/>
  <c r="X92" i="8" a="1"/>
  <c r="X92" i="8" s="1"/>
  <c r="X977" i="8" a="1"/>
  <c r="X977" i="8" s="1"/>
  <c r="X1053" i="8" a="1"/>
  <c r="X1053" i="8" s="1"/>
  <c r="X467" i="8" a="1"/>
  <c r="X467" i="8" s="1"/>
  <c r="X282" i="8" a="1"/>
  <c r="X282" i="8" s="1"/>
  <c r="X762" i="8" a="1"/>
  <c r="X762" i="8" s="1"/>
  <c r="X469" i="8" a="1"/>
  <c r="X469" i="8" s="1"/>
  <c r="X363" i="8" a="1"/>
  <c r="X363" i="8" s="1"/>
  <c r="X72" i="8" a="1"/>
  <c r="X72" i="8" s="1"/>
  <c r="X588" i="8" a="1"/>
  <c r="X588" i="8" s="1"/>
  <c r="X364" i="8" a="1"/>
  <c r="X364" i="8" s="1"/>
  <c r="X153" i="8" a="1"/>
  <c r="X153" i="8" s="1"/>
  <c r="X614" i="8" a="1"/>
  <c r="X614" i="8" s="1"/>
  <c r="X420" i="8" a="1"/>
  <c r="X420" i="8" s="1"/>
  <c r="X942" i="8" a="1"/>
  <c r="X942" i="8" s="1"/>
  <c r="X890" i="8" a="1"/>
  <c r="X890" i="8" s="1"/>
  <c r="X1056" i="8" a="1"/>
  <c r="X1056" i="8" s="1"/>
  <c r="X881" i="8" a="1"/>
  <c r="X881" i="8" s="1"/>
  <c r="X57" i="8" a="1"/>
  <c r="X57" i="8" s="1"/>
  <c r="X6" i="8" a="1"/>
  <c r="X6" i="8" s="1"/>
  <c r="Z2" i="8" a="1"/>
  <c r="Z2" i="8" s="1"/>
  <c r="Z141" i="5" a="1"/>
  <c r="Z141" i="5" s="1"/>
  <c r="Z147" i="5" a="1"/>
  <c r="Z147" i="5" s="1"/>
  <c r="Z956" i="5" a="1"/>
  <c r="Z956" i="5" s="1"/>
  <c r="Z828" i="5" a="1"/>
  <c r="Z828" i="5" s="1"/>
  <c r="Z700" i="5" a="1"/>
  <c r="Z700" i="5" s="1"/>
  <c r="Z1003" i="5" a="1"/>
  <c r="Z1003" i="5" s="1"/>
  <c r="Z875" i="5" a="1"/>
  <c r="Z875" i="5" s="1"/>
  <c r="Z747" i="5" a="1"/>
  <c r="Z747" i="5" s="1"/>
  <c r="Z638" i="5" a="1"/>
  <c r="Z638" i="5" s="1"/>
  <c r="Z555" i="5" a="1"/>
  <c r="Z555" i="5" s="1"/>
  <c r="Z427" i="5" a="1"/>
  <c r="Z427" i="5" s="1"/>
  <c r="Z290" i="5" a="1"/>
  <c r="Z290" i="5" s="1"/>
  <c r="Z508" i="5" a="1"/>
  <c r="Z508" i="5" s="1"/>
  <c r="Z380" i="5" a="1"/>
  <c r="Z380" i="5" s="1"/>
  <c r="Z231" i="5" a="1"/>
  <c r="Z231" i="5" s="1"/>
  <c r="Z244" i="5" a="1"/>
  <c r="Z244" i="5" s="1"/>
  <c r="Z105" i="5" a="1"/>
  <c r="Z105" i="5" s="1"/>
  <c r="Z54" i="5" a="1"/>
  <c r="Z54" i="5" s="1"/>
  <c r="Z1050" i="5" a="1"/>
  <c r="Z1050" i="5" s="1"/>
  <c r="Z922" i="5" a="1"/>
  <c r="Z922" i="5" s="1"/>
  <c r="Z794" i="5" a="1"/>
  <c r="Z794" i="5" s="1"/>
  <c r="Z666" i="5" a="1"/>
  <c r="Z666" i="5" s="1"/>
  <c r="Z969" i="5" a="1"/>
  <c r="Z969" i="5" s="1"/>
  <c r="Z841" i="5" a="1"/>
  <c r="Z841" i="5" s="1"/>
  <c r="Z713" i="5" a="1"/>
  <c r="Z713" i="5" s="1"/>
  <c r="Z295" i="5" a="1"/>
  <c r="Z295" i="5" s="1"/>
  <c r="Z521" i="5" a="1"/>
  <c r="Z521" i="5" s="1"/>
  <c r="Z393" i="5" a="1"/>
  <c r="Z393" i="5" s="1"/>
  <c r="Z602" i="5" a="1"/>
  <c r="Z602" i="5" s="1"/>
  <c r="Z474" i="5" a="1"/>
  <c r="Z474" i="5" s="1"/>
  <c r="Z346" i="5" a="1"/>
  <c r="Z346" i="5" s="1"/>
  <c r="Z180" i="5" a="1"/>
  <c r="Z180" i="5" s="1"/>
  <c r="Z210" i="5" a="1"/>
  <c r="Z210" i="5" s="1"/>
  <c r="Z27" i="5" a="1"/>
  <c r="Z27" i="5" s="1"/>
  <c r="Z83" i="5" a="1"/>
  <c r="Z83" i="5" s="1"/>
  <c r="Z1016" i="5" a="1"/>
  <c r="Z1016" i="5" s="1"/>
  <c r="Z888" i="5" a="1"/>
  <c r="Z888" i="5" s="1"/>
  <c r="Z760" i="5" a="1"/>
  <c r="Z760" i="5" s="1"/>
  <c r="Z628" i="5" a="1"/>
  <c r="Z628" i="5" s="1"/>
  <c r="Z935" i="5" a="1"/>
  <c r="Z935" i="5" s="1"/>
  <c r="Z807" i="5" a="1"/>
  <c r="Z807" i="5" s="1"/>
  <c r="Z679" i="5" a="1"/>
  <c r="Z679" i="5" s="1"/>
  <c r="Z615" i="5" a="1"/>
  <c r="Z615" i="5" s="1"/>
  <c r="Z487" i="5" a="1"/>
  <c r="Z487" i="5" s="1"/>
  <c r="Z359" i="5" a="1"/>
  <c r="Z359" i="5" s="1"/>
  <c r="Z568" i="5" a="1"/>
  <c r="Z568" i="5" s="1"/>
  <c r="Z440" i="5" a="1"/>
  <c r="Z440" i="5" s="1"/>
  <c r="Z195" i="5" a="1"/>
  <c r="Z195" i="5" s="1"/>
  <c r="Z162" i="5" a="1"/>
  <c r="Z162" i="5" s="1"/>
  <c r="Z183" i="5" a="1"/>
  <c r="Z183" i="5" s="1"/>
  <c r="Z124" i="5" a="1"/>
  <c r="Z124" i="5" s="1"/>
  <c r="Z36" i="5" a="1"/>
  <c r="Z36" i="5" s="1"/>
  <c r="Z982" i="5" a="1"/>
  <c r="Z982" i="5" s="1"/>
  <c r="Z854" i="5" a="1"/>
  <c r="Z854" i="5" s="1"/>
  <c r="Z726" i="5" a="1"/>
  <c r="Z726" i="5" s="1"/>
  <c r="Z1029" i="5" a="1"/>
  <c r="Z1029" i="5" s="1"/>
  <c r="Z901" i="5" a="1"/>
  <c r="Z901" i="5" s="1"/>
  <c r="Z773" i="5" a="1"/>
  <c r="Z773" i="5" s="1"/>
  <c r="Z2" i="5" a="1"/>
  <c r="Z2" i="5" s="1"/>
  <c r="Z581" i="5" a="1"/>
  <c r="Z581" i="5" s="1"/>
  <c r="Z453" i="5" a="1"/>
  <c r="Z453" i="5" s="1"/>
  <c r="Z325" i="5" a="1"/>
  <c r="Z325" i="5" s="1"/>
  <c r="Z534" i="5" a="1"/>
  <c r="Z534" i="5" s="1"/>
  <c r="Z406" i="5" a="1"/>
  <c r="Z406" i="5" s="1"/>
  <c r="Z257" i="5" a="1"/>
  <c r="Z257" i="5" s="1"/>
  <c r="Z270" i="5" a="1"/>
  <c r="Z270" i="5" s="1"/>
  <c r="Z86" i="5" a="1"/>
  <c r="Z86" i="5" s="1"/>
  <c r="Z197" i="5" a="1"/>
  <c r="Z197" i="5" s="1"/>
  <c r="Z113" i="5" a="1"/>
  <c r="Z113" i="5" s="1"/>
  <c r="Z964" i="5" a="1"/>
  <c r="Z964" i="5" s="1"/>
  <c r="Z836" i="5" a="1"/>
  <c r="Z836" i="5" s="1"/>
  <c r="Z708" i="5" a="1"/>
  <c r="Z708" i="5" s="1"/>
  <c r="Z1011" i="5" a="1"/>
  <c r="Z1011" i="5" s="1"/>
  <c r="Z883" i="5" a="1"/>
  <c r="Z883" i="5" s="1"/>
  <c r="Z755" i="5" a="1"/>
  <c r="Z755" i="5" s="1"/>
  <c r="Z1059" i="5" a="1"/>
  <c r="Z1059" i="5" s="1"/>
  <c r="Z563" i="5" a="1"/>
  <c r="Z563" i="5" s="1"/>
  <c r="Z435" i="5" a="1"/>
  <c r="Z435" i="5" s="1"/>
  <c r="Z306" i="5" a="1"/>
  <c r="Z306" i="5" s="1"/>
  <c r="Z516" i="5" a="1"/>
  <c r="Z516" i="5" s="1"/>
  <c r="Z388" i="5" a="1"/>
  <c r="Z388" i="5" s="1"/>
  <c r="Z239" i="5" a="1"/>
  <c r="Z239" i="5" s="1"/>
  <c r="Z252" i="5" a="1"/>
  <c r="Z252" i="5" s="1"/>
  <c r="Z88" i="5" a="1"/>
  <c r="Z88" i="5" s="1"/>
  <c r="Z119" i="5" a="1"/>
  <c r="Z119" i="5" s="1"/>
  <c r="Z1057" i="5" a="1"/>
  <c r="Z1057" i="5" s="1"/>
  <c r="Z930" i="5" a="1"/>
  <c r="Z930" i="5" s="1"/>
  <c r="Z802" i="5" a="1"/>
  <c r="Z802" i="5" s="1"/>
  <c r="Z674" i="5" a="1"/>
  <c r="Z674" i="5" s="1"/>
  <c r="Z977" i="5" a="1"/>
  <c r="Z977" i="5" s="1"/>
  <c r="Z849" i="5" a="1"/>
  <c r="Z849" i="5" s="1"/>
  <c r="Z721" i="5" a="1"/>
  <c r="Z721" i="5" s="1"/>
  <c r="Z311" i="5" a="1"/>
  <c r="Z311" i="5" s="1"/>
  <c r="Z529" i="5" a="1"/>
  <c r="Z529" i="5" s="1"/>
  <c r="Z401" i="5" a="1"/>
  <c r="Z401" i="5" s="1"/>
  <c r="Z610" i="5" a="1"/>
  <c r="Z610" i="5" s="1"/>
  <c r="Z482" i="5" a="1"/>
  <c r="Z482" i="5" s="1"/>
  <c r="Z354" i="5" a="1"/>
  <c r="Z354" i="5" s="1"/>
  <c r="Z205" i="5" a="1"/>
  <c r="Z205" i="5" s="1"/>
  <c r="Z218" i="5" a="1"/>
  <c r="Z218" i="5" s="1"/>
  <c r="Z35" i="5" a="1"/>
  <c r="Z35" i="5" s="1"/>
  <c r="Z126" i="5" a="1"/>
  <c r="Z126" i="5" s="1"/>
  <c r="Z1024" i="5" a="1"/>
  <c r="Z1024" i="5" s="1"/>
  <c r="Z896" i="5" a="1"/>
  <c r="Z896" i="5" s="1"/>
  <c r="Z768" i="5" a="1"/>
  <c r="Z768" i="5" s="1"/>
  <c r="Z1056" i="5" a="1"/>
  <c r="Z1056" i="5" s="1"/>
  <c r="Z943" i="5" a="1"/>
  <c r="Z943" i="5" s="1"/>
  <c r="Z815" i="5" a="1"/>
  <c r="Z815" i="5" s="1"/>
  <c r="Z687" i="5" a="1"/>
  <c r="Z687" i="5" s="1"/>
  <c r="Z623" i="5" a="1"/>
  <c r="Z623" i="5" s="1"/>
  <c r="Z495" i="5" a="1"/>
  <c r="Z495" i="5" s="1"/>
  <c r="Z367" i="5" a="1"/>
  <c r="Z367" i="5" s="1"/>
  <c r="Z576" i="5" a="1"/>
  <c r="Z576" i="5" s="1"/>
  <c r="Z448" i="5" a="1"/>
  <c r="Z448" i="5" s="1"/>
  <c r="Z320" i="5" a="1"/>
  <c r="Z320" i="5" s="1"/>
  <c r="Z79" i="5" a="1"/>
  <c r="Z79" i="5" s="1"/>
  <c r="Z106" i="5" a="1"/>
  <c r="Z106" i="5" s="1"/>
  <c r="Z125" i="5" a="1"/>
  <c r="Z125" i="5" s="1"/>
  <c r="Z169" i="5" a="1"/>
  <c r="Z169" i="5" s="1"/>
  <c r="Z990" i="5" a="1"/>
  <c r="Z990" i="5" s="1"/>
  <c r="Z862" i="5" a="1"/>
  <c r="Z862" i="5" s="1"/>
  <c r="Z734" i="5" a="1"/>
  <c r="Z734" i="5" s="1"/>
  <c r="Z1037" i="5" a="1"/>
  <c r="Z1037" i="5" s="1"/>
  <c r="Z909" i="5" a="1"/>
  <c r="Z909" i="5" s="1"/>
  <c r="Z781" i="5" a="1"/>
  <c r="Z781" i="5" s="1"/>
  <c r="Z653" i="5" a="1"/>
  <c r="Z653" i="5" s="1"/>
  <c r="Z589" i="5" a="1"/>
  <c r="Z589" i="5" s="1"/>
  <c r="Z461" i="5" a="1"/>
  <c r="Z461" i="5" s="1"/>
  <c r="Z333" i="5" a="1"/>
  <c r="Z333" i="5" s="1"/>
  <c r="Z542" i="5" a="1"/>
  <c r="Z542" i="5" s="1"/>
  <c r="Z414" i="5" a="1"/>
  <c r="Z414" i="5" s="1"/>
  <c r="Z265" i="5" a="1"/>
  <c r="Z265" i="5" s="1"/>
  <c r="Z278" i="5" a="1"/>
  <c r="Z278" i="5" s="1"/>
  <c r="Z159" i="5" a="1"/>
  <c r="Z159" i="5" s="1"/>
  <c r="X594" i="8" a="1"/>
  <c r="X594" i="8" s="1"/>
  <c r="X753" i="8" a="1"/>
  <c r="X753" i="8" s="1"/>
  <c r="X356" i="8" a="1"/>
  <c r="X356" i="8" s="1"/>
  <c r="X83" i="8" a="1"/>
  <c r="X83" i="8" s="1"/>
  <c r="X603" i="8" a="1"/>
  <c r="X603" i="8" s="1"/>
  <c r="X446" i="8" a="1"/>
  <c r="X446" i="8" s="1"/>
  <c r="X245" i="8" a="1"/>
  <c r="X245" i="8" s="1"/>
  <c r="X692" i="8" a="1"/>
  <c r="X692" i="8" s="1"/>
  <c r="X471" i="8" a="1"/>
  <c r="X471" i="8" s="1"/>
  <c r="X214" i="8" a="1"/>
  <c r="X214" i="8" s="1"/>
  <c r="X811" i="8" a="1"/>
  <c r="X811" i="8" s="1"/>
  <c r="X590" i="8" a="1"/>
  <c r="X590" i="8" s="1"/>
  <c r="X349" i="8" a="1"/>
  <c r="X349" i="8" s="1"/>
  <c r="X98" i="8" a="1"/>
  <c r="X98" i="8" s="1"/>
  <c r="X667" i="8" a="1"/>
  <c r="X667" i="8" s="1"/>
  <c r="X836" i="8" a="1"/>
  <c r="X836" i="8" s="1"/>
  <c r="X77" i="8" a="1"/>
  <c r="X77" i="8" s="1"/>
  <c r="X918" i="8" a="1"/>
  <c r="X918" i="8" s="1"/>
  <c r="X23" i="8" a="1"/>
  <c r="X23" i="8" s="1"/>
  <c r="X897" i="8" a="1"/>
  <c r="X897" i="8" s="1"/>
  <c r="X182" i="8" a="1"/>
  <c r="X182" i="8" s="1"/>
  <c r="X809" i="8" a="1"/>
  <c r="X809" i="8" s="1"/>
  <c r="X537" i="8" a="1"/>
  <c r="X537" i="8" s="1"/>
  <c r="X329" i="8" a="1"/>
  <c r="X329" i="8" s="1"/>
  <c r="X114" i="8" a="1"/>
  <c r="X114" i="8" s="1"/>
  <c r="X598" i="8" a="1"/>
  <c r="X598" i="8" s="1"/>
  <c r="X398" i="8" a="1"/>
  <c r="X398" i="8" s="1"/>
  <c r="X262" i="8" a="1"/>
  <c r="X262" i="8" s="1"/>
  <c r="X717" i="8" a="1"/>
  <c r="X717" i="8" s="1"/>
  <c r="X461" i="8" a="1"/>
  <c r="X461" i="8" s="1"/>
  <c r="X209" i="8" a="1"/>
  <c r="X209" i="8" s="1"/>
  <c r="X773" i="8" a="1"/>
  <c r="X773" i="8" s="1"/>
  <c r="X991" i="8" a="1"/>
  <c r="X991" i="8" s="1"/>
  <c r="X912" i="8" a="1"/>
  <c r="X912" i="8" s="1"/>
  <c r="X33" i="8" a="1"/>
  <c r="X33" i="8" s="1"/>
  <c r="X932" i="8" a="1"/>
  <c r="X932" i="8" s="1"/>
  <c r="X1042" i="8" a="1"/>
  <c r="X1042" i="8" s="1"/>
  <c r="X410" i="8" a="1"/>
  <c r="X410" i="8" s="1"/>
  <c r="X166" i="8" a="1"/>
  <c r="X166" i="8" s="1"/>
  <c r="X729" i="8" a="1"/>
  <c r="X729" i="8" s="1"/>
  <c r="X500" i="8" a="1"/>
  <c r="X500" i="8" s="1"/>
  <c r="X241" i="8" a="1"/>
  <c r="X241" i="8" s="1"/>
  <c r="X799" i="8" a="1"/>
  <c r="X799" i="8" s="1"/>
  <c r="X531" i="8" a="1"/>
  <c r="X531" i="8" s="1"/>
  <c r="X346" i="8" a="1"/>
  <c r="X346" i="8" s="1"/>
  <c r="X122" i="8" a="1"/>
  <c r="X122" i="8" s="1"/>
  <c r="X633" i="8" a="1"/>
  <c r="X633" i="8" s="1"/>
  <c r="X399" i="8" a="1"/>
  <c r="X399" i="8" s="1"/>
  <c r="X931" i="8" a="1"/>
  <c r="X931" i="8" s="1"/>
  <c r="X861" i="8" a="1"/>
  <c r="X861" i="8" s="1"/>
  <c r="X1037" i="8" a="1"/>
  <c r="X1037" i="8" s="1"/>
  <c r="X857" i="8" a="1"/>
  <c r="X857" i="8" s="1"/>
  <c r="X1061" i="8" a="1"/>
  <c r="X1061" i="8" s="1"/>
  <c r="X52" i="8" a="1"/>
  <c r="X52" i="8" s="1"/>
  <c r="X643" i="8" a="1"/>
  <c r="X643" i="8" s="1"/>
  <c r="X389" i="8" a="1"/>
  <c r="X389" i="8" s="1"/>
  <c r="X220" i="8" a="1"/>
  <c r="X220" i="8" s="1"/>
  <c r="X655" i="8" a="1"/>
  <c r="X655" i="8" s="1"/>
  <c r="X520" i="8" a="1"/>
  <c r="X520" i="8" s="1"/>
  <c r="X263" i="8" a="1"/>
  <c r="X263" i="8" s="1"/>
  <c r="X745" i="8" a="1"/>
  <c r="X745" i="8" s="1"/>
  <c r="X567" i="8" a="1"/>
  <c r="X567" i="8" s="1"/>
  <c r="X375" i="8" a="1"/>
  <c r="X375" i="8" s="1"/>
  <c r="X94" i="8" a="1"/>
  <c r="X94" i="8" s="1"/>
  <c r="X599" i="8" a="1"/>
  <c r="X599" i="8" s="1"/>
  <c r="X85" i="8" a="1"/>
  <c r="X85" i="8" s="1"/>
  <c r="X26" i="8" a="1"/>
  <c r="X26" i="8" s="1"/>
  <c r="X900" i="8" a="1"/>
  <c r="X900" i="8" s="1"/>
  <c r="X1045" i="8" a="1"/>
  <c r="X1045" i="8" s="1"/>
  <c r="X865" i="8" a="1"/>
  <c r="X865" i="8" s="1"/>
  <c r="X231" i="8" a="1"/>
  <c r="X231" i="8" s="1"/>
  <c r="X718" i="8" a="1"/>
  <c r="X718" i="8" s="1"/>
  <c r="X557" i="8" a="1"/>
  <c r="X557" i="8" s="1"/>
  <c r="X359" i="8" a="1"/>
  <c r="X359" i="8" s="1"/>
  <c r="X97" i="8" a="1"/>
  <c r="X97" i="8" s="1"/>
  <c r="X622" i="8" a="1"/>
  <c r="X622" i="8" s="1"/>
  <c r="X299" i="8" a="1"/>
  <c r="X299" i="8" s="1"/>
  <c r="X247" i="8" a="1"/>
  <c r="X247" i="8" s="1"/>
  <c r="X684" i="8" a="1"/>
  <c r="X684" i="8" s="1"/>
  <c r="X477" i="8" a="1"/>
  <c r="X477" i="8" s="1"/>
  <c r="X250" i="8" a="1"/>
  <c r="X250" i="8" s="1"/>
  <c r="X725" i="8" a="1"/>
  <c r="X725" i="8" s="1"/>
  <c r="X951" i="8" a="1"/>
  <c r="X951" i="8" s="1"/>
  <c r="X853" i="8" a="1"/>
  <c r="X853" i="8" s="1"/>
  <c r="X1036" i="8" a="1"/>
  <c r="X1036" i="8" s="1"/>
  <c r="X888" i="8" a="1"/>
  <c r="X888" i="8" s="1"/>
  <c r="X974" i="8" a="1"/>
  <c r="X974" i="8" s="1"/>
  <c r="X376" i="8" a="1"/>
  <c r="X376" i="8" s="1"/>
  <c r="X151" i="8" a="1"/>
  <c r="X151" i="8" s="1"/>
  <c r="X601" i="8" a="1"/>
  <c r="X601" i="8" s="1"/>
  <c r="X445" i="8" a="1"/>
  <c r="X445" i="8" s="1"/>
  <c r="X294" i="8" a="1"/>
  <c r="X294" i="8" s="1"/>
  <c r="X708" i="8" a="1"/>
  <c r="X708" i="8" s="1"/>
  <c r="X427" i="8" a="1"/>
  <c r="X427" i="8" s="1"/>
  <c r="X371" i="8" a="1"/>
  <c r="X371" i="8" s="1"/>
  <c r="X29" i="8" a="1"/>
  <c r="X29" i="8" s="1"/>
  <c r="X582" i="8" a="1"/>
  <c r="X582" i="8" s="1"/>
  <c r="X331" i="8" a="1"/>
  <c r="X331" i="8" s="1"/>
  <c r="X844" i="8" a="1"/>
  <c r="X844" i="8" s="1"/>
  <c r="X31" i="8" a="1"/>
  <c r="X31" i="8" s="1"/>
  <c r="X1001" i="8" a="1"/>
  <c r="X1001" i="8" s="1"/>
  <c r="X828" i="8" a="1"/>
  <c r="X828" i="8" s="1"/>
  <c r="X1032" i="8" a="1"/>
  <c r="X1032" i="8" s="1"/>
  <c r="X51" i="8" a="1"/>
  <c r="X51" i="8" s="1"/>
  <c r="X511" i="8" a="1"/>
  <c r="X511" i="8" s="1"/>
  <c r="X261" i="8" a="1"/>
  <c r="X261" i="8" s="1"/>
  <c r="X800" i="8" a="1"/>
  <c r="X800" i="8" s="1"/>
  <c r="X539" i="8" a="1"/>
  <c r="X539" i="8" s="1"/>
  <c r="X387" i="8" a="1"/>
  <c r="X387" i="8" s="1"/>
  <c r="X200" i="8" a="1"/>
  <c r="X200" i="8" s="1"/>
  <c r="X660" i="8" a="1"/>
  <c r="X660" i="8" s="1"/>
  <c r="X472" i="8" a="1"/>
  <c r="X472" i="8" s="1"/>
  <c r="X213" i="8" a="1"/>
  <c r="X213" i="8" s="1"/>
  <c r="X758" i="8" a="1"/>
  <c r="X758" i="8" s="1"/>
  <c r="X481" i="8" a="1"/>
  <c r="X481" i="8" s="1"/>
  <c r="X1017" i="8" a="1"/>
  <c r="X1017" i="8" s="1"/>
  <c r="X990" i="8" a="1"/>
  <c r="X990" i="8" s="1"/>
  <c r="X3" i="8" a="1"/>
  <c r="X3" i="8" s="1"/>
  <c r="X928" i="8" a="1"/>
  <c r="X928" i="8" s="1"/>
  <c r="X79" i="8" a="1"/>
  <c r="X79" i="8" s="1"/>
  <c r="AB42" i="5" a="1"/>
  <c r="AB42" i="5" s="1"/>
  <c r="AB122" i="5" a="1"/>
  <c r="AB122" i="5" s="1"/>
  <c r="AB180" i="5" a="1"/>
  <c r="AB180" i="5" s="1"/>
  <c r="AB211" i="5" a="1"/>
  <c r="AB211" i="5" s="1"/>
  <c r="AB227" i="5" a="1"/>
  <c r="AB227" i="5" s="1"/>
  <c r="AB243" i="5" a="1"/>
  <c r="AB243" i="5" s="1"/>
  <c r="AB259" i="5" a="1"/>
  <c r="AB259" i="5" s="1"/>
  <c r="AB275" i="5" a="1"/>
  <c r="AB275" i="5" s="1"/>
  <c r="AB291" i="5" a="1"/>
  <c r="AB291" i="5" s="1"/>
  <c r="AB307" i="5" a="1"/>
  <c r="AB307" i="5" s="1"/>
  <c r="AB57" i="5" a="1"/>
  <c r="AB57" i="5" s="1"/>
  <c r="AB125" i="5" a="1"/>
  <c r="AB125" i="5" s="1"/>
  <c r="AB193" i="5" a="1"/>
  <c r="AB193" i="5" s="1"/>
  <c r="AB80" i="5" a="1"/>
  <c r="AB80" i="5" s="1"/>
  <c r="AB159" i="5" a="1"/>
  <c r="AB159" i="5" s="1"/>
  <c r="AB48" i="5" a="1"/>
  <c r="AB48" i="5" s="1"/>
  <c r="AB118" i="5" a="1"/>
  <c r="AB118" i="5" s="1"/>
  <c r="AB168" i="5" a="1"/>
  <c r="AB168" i="5" s="1"/>
  <c r="AB75" i="5" a="1"/>
  <c r="AB75" i="5" s="1"/>
  <c r="AB121" i="5" a="1"/>
  <c r="AB121" i="5" s="1"/>
  <c r="AB177" i="5" a="1"/>
  <c r="AB177" i="5" s="1"/>
  <c r="AB208" i="5" a="1"/>
  <c r="AB208" i="5" s="1"/>
  <c r="AB224" i="5" a="1"/>
  <c r="AB224" i="5" s="1"/>
  <c r="AB240" i="5" a="1"/>
  <c r="AB240" i="5" s="1"/>
  <c r="AB256" i="5" a="1"/>
  <c r="AB256" i="5" s="1"/>
  <c r="AB272" i="5" a="1"/>
  <c r="AB272" i="5" s="1"/>
  <c r="AB33" i="5" a="1"/>
  <c r="AB33" i="5" s="1"/>
  <c r="AB81" i="5" a="1"/>
  <c r="AB81" i="5" s="1"/>
  <c r="AB192" i="5" a="1"/>
  <c r="AB192" i="5" s="1"/>
  <c r="AB69" i="5" a="1"/>
  <c r="AB69" i="5" s="1"/>
  <c r="AB131" i="5" a="1"/>
  <c r="AB131" i="5" s="1"/>
  <c r="AB162" i="5" a="1"/>
  <c r="AB162" i="5" s="1"/>
  <c r="AB63" i="5" a="1"/>
  <c r="AB63" i="5" s="1"/>
  <c r="AB115" i="5" a="1"/>
  <c r="AB115" i="5" s="1"/>
  <c r="AB184" i="5" a="1"/>
  <c r="AB184" i="5" s="1"/>
  <c r="AB304" i="5" a="1"/>
  <c r="AB304" i="5" s="1"/>
  <c r="AB326" i="5" a="1"/>
  <c r="AB326" i="5" s="1"/>
  <c r="AB342" i="5" a="1"/>
  <c r="AB342" i="5" s="1"/>
  <c r="AB358" i="5" a="1"/>
  <c r="AB358" i="5" s="1"/>
  <c r="AB374" i="5" a="1"/>
  <c r="AB374" i="5" s="1"/>
  <c r="AB390" i="5" a="1"/>
  <c r="AB390" i="5" s="1"/>
  <c r="AB406" i="5" a="1"/>
  <c r="AB406" i="5" s="1"/>
  <c r="AB422" i="5" a="1"/>
  <c r="AB422" i="5" s="1"/>
  <c r="AB438" i="5" a="1"/>
  <c r="AB438" i="5" s="1"/>
  <c r="AB454" i="5" a="1"/>
  <c r="AB454" i="5" s="1"/>
  <c r="AB470" i="5" a="1"/>
  <c r="AB470" i="5" s="1"/>
  <c r="AB486" i="5" a="1"/>
  <c r="AB486" i="5" s="1"/>
  <c r="AB502" i="5" a="1"/>
  <c r="AB502" i="5" s="1"/>
  <c r="AB518" i="5" a="1"/>
  <c r="AB518" i="5" s="1"/>
  <c r="AB534" i="5" a="1"/>
  <c r="AB534" i="5" s="1"/>
  <c r="AB550" i="5" a="1"/>
  <c r="AB550" i="5" s="1"/>
  <c r="AB566" i="5" a="1"/>
  <c r="AB566" i="5" s="1"/>
  <c r="AB582" i="5" a="1"/>
  <c r="AB582" i="5" s="1"/>
  <c r="AB598" i="5" a="1"/>
  <c r="AB598" i="5" s="1"/>
  <c r="AB614" i="5" a="1"/>
  <c r="AB614" i="5" s="1"/>
  <c r="AB306" i="5" a="1"/>
  <c r="AB306" i="5" s="1"/>
  <c r="AB325" i="5" a="1"/>
  <c r="AB325" i="5" s="1"/>
  <c r="AB341" i="5" a="1"/>
  <c r="AB341" i="5" s="1"/>
  <c r="AB357" i="5" a="1"/>
  <c r="AB357" i="5" s="1"/>
  <c r="AB373" i="5" a="1"/>
  <c r="AB373" i="5" s="1"/>
  <c r="AB389" i="5" a="1"/>
  <c r="AB389" i="5" s="1"/>
  <c r="AB405" i="5" a="1"/>
  <c r="AB405" i="5" s="1"/>
  <c r="AB421" i="5" a="1"/>
  <c r="AB421" i="5" s="1"/>
  <c r="AB437" i="5" a="1"/>
  <c r="AB437" i="5" s="1"/>
  <c r="AB453" i="5" a="1"/>
  <c r="AB453" i="5" s="1"/>
  <c r="AB469" i="5" a="1"/>
  <c r="AB469" i="5" s="1"/>
  <c r="AB485" i="5" a="1"/>
  <c r="AB485" i="5" s="1"/>
  <c r="AB501" i="5" a="1"/>
  <c r="AB501" i="5" s="1"/>
  <c r="AB517" i="5" a="1"/>
  <c r="AB517" i="5" s="1"/>
  <c r="AB533" i="5" a="1"/>
  <c r="AB533" i="5" s="1"/>
  <c r="AB549" i="5" a="1"/>
  <c r="AB549" i="5" s="1"/>
  <c r="AB565" i="5" a="1"/>
  <c r="AB565" i="5" s="1"/>
  <c r="AB581" i="5" a="1"/>
  <c r="AB581" i="5" s="1"/>
  <c r="AB597" i="5" a="1"/>
  <c r="AB597" i="5" s="1"/>
  <c r="AB613" i="5" a="1"/>
  <c r="AB613" i="5" s="1"/>
  <c r="AB658" i="5" a="1"/>
  <c r="AB658" i="5" s="1"/>
  <c r="AB674" i="5" a="1"/>
  <c r="AB674" i="5" s="1"/>
  <c r="AB690" i="5" a="1"/>
  <c r="AB690" i="5" s="1"/>
  <c r="AB706" i="5" a="1"/>
  <c r="AB706" i="5" s="1"/>
  <c r="AB722" i="5" a="1"/>
  <c r="AB722" i="5" s="1"/>
  <c r="AB738" i="5" a="1"/>
  <c r="AB738" i="5" s="1"/>
  <c r="AB754" i="5" a="1"/>
  <c r="AB754" i="5" s="1"/>
  <c r="AB770" i="5" a="1"/>
  <c r="AB770" i="5" s="1"/>
  <c r="AB786" i="5" a="1"/>
  <c r="AB786" i="5" s="1"/>
  <c r="AB802" i="5" a="1"/>
  <c r="AB802" i="5" s="1"/>
  <c r="AB818" i="5" a="1"/>
  <c r="AB818" i="5" s="1"/>
  <c r="AB834" i="5" a="1"/>
  <c r="AB834" i="5" s="1"/>
  <c r="AB850" i="5" a="1"/>
  <c r="AB850" i="5" s="1"/>
  <c r="AB866" i="5" a="1"/>
  <c r="AB866" i="5" s="1"/>
  <c r="AB882" i="5" a="1"/>
  <c r="AB882" i="5" s="1"/>
  <c r="AB898" i="5" a="1"/>
  <c r="AB898" i="5" s="1"/>
  <c r="AB914" i="5" a="1"/>
  <c r="AB914" i="5" s="1"/>
  <c r="AB930" i="5" a="1"/>
  <c r="AB930" i="5" s="1"/>
  <c r="AB946" i="5" a="1"/>
  <c r="AB946" i="5" s="1"/>
  <c r="AB962" i="5" a="1"/>
  <c r="AB962" i="5" s="1"/>
  <c r="AB978" i="5" a="1"/>
  <c r="AB978" i="5" s="1"/>
  <c r="AB994" i="5" a="1"/>
  <c r="AB994" i="5" s="1"/>
  <c r="AB1010" i="5" a="1"/>
  <c r="AB1010" i="5" s="1"/>
  <c r="AB1026" i="5" a="1"/>
  <c r="AB1026" i="5" s="1"/>
  <c r="AB1042" i="5" a="1"/>
  <c r="AB1042" i="5" s="1"/>
  <c r="AB1058" i="5" a="1"/>
  <c r="AB1058" i="5" s="1"/>
  <c r="AB2" i="5" a="1"/>
  <c r="AB2" i="5" s="1"/>
  <c r="AB646" i="5" a="1"/>
  <c r="AB646" i="5" s="1"/>
  <c r="AB639" i="5" a="1"/>
  <c r="AB639" i="5" s="1"/>
  <c r="AB663" i="5" a="1"/>
  <c r="AB663" i="5" s="1"/>
  <c r="AB679" i="5" a="1"/>
  <c r="AB679" i="5" s="1"/>
  <c r="AB695" i="5" a="1"/>
  <c r="AB695" i="5" s="1"/>
  <c r="AB711" i="5" a="1"/>
  <c r="AB711" i="5" s="1"/>
  <c r="AB727" i="5" a="1"/>
  <c r="AB727" i="5" s="1"/>
  <c r="AB743" i="5" a="1"/>
  <c r="AB743" i="5" s="1"/>
  <c r="AB759" i="5" a="1"/>
  <c r="AB759" i="5" s="1"/>
  <c r="AB775" i="5" a="1"/>
  <c r="AB775" i="5" s="1"/>
  <c r="AB791" i="5" a="1"/>
  <c r="AB791" i="5" s="1"/>
  <c r="AB807" i="5" a="1"/>
  <c r="AB807" i="5" s="1"/>
  <c r="AB823" i="5" a="1"/>
  <c r="AB823" i="5" s="1"/>
  <c r="AB839" i="5" a="1"/>
  <c r="AB839" i="5" s="1"/>
  <c r="AB855" i="5" a="1"/>
  <c r="AB855" i="5" s="1"/>
  <c r="AB871" i="5" a="1"/>
  <c r="AB871" i="5" s="1"/>
  <c r="AB887" i="5" a="1"/>
  <c r="AB887" i="5" s="1"/>
  <c r="AB903" i="5" a="1"/>
  <c r="AB903" i="5" s="1"/>
  <c r="AB919" i="5" a="1"/>
  <c r="AB919" i="5" s="1"/>
  <c r="AB935" i="5" a="1"/>
  <c r="AB935" i="5" s="1"/>
  <c r="AB951" i="5" a="1"/>
  <c r="AB951" i="5" s="1"/>
  <c r="AB967" i="5" a="1"/>
  <c r="AB967" i="5" s="1"/>
  <c r="AB983" i="5" a="1"/>
  <c r="AB983" i="5" s="1"/>
  <c r="AB999" i="5" a="1"/>
  <c r="AB999" i="5" s="1"/>
  <c r="AB1015" i="5" a="1"/>
  <c r="AB1015" i="5" s="1"/>
  <c r="AB1031" i="5" a="1"/>
  <c r="AB1031" i="5" s="1"/>
  <c r="AB1047" i="5" a="1"/>
  <c r="AB1047" i="5" s="1"/>
  <c r="AB1063" i="5" a="1"/>
  <c r="AB1063" i="5" s="1"/>
  <c r="AB628" i="5" a="1"/>
  <c r="AB628" i="5" s="1"/>
  <c r="AB629" i="5" a="1"/>
  <c r="AB629" i="5" s="1"/>
  <c r="AB68" i="5" a="1"/>
  <c r="AB68" i="5" s="1"/>
  <c r="AB53" i="5" a="1"/>
  <c r="AB53" i="5" s="1"/>
  <c r="AB52" i="5" a="1"/>
  <c r="AB52" i="5" s="1"/>
  <c r="AB127" i="5" a="1"/>
  <c r="AB127" i="5" s="1"/>
  <c r="AB197" i="5" a="1"/>
  <c r="AB197" i="5" s="1"/>
  <c r="AB213" i="5" a="1"/>
  <c r="AB213" i="5" s="1"/>
  <c r="AB229" i="5" a="1"/>
  <c r="AB229" i="5" s="1"/>
  <c r="AB245" i="5" a="1"/>
  <c r="AB245" i="5" s="1"/>
  <c r="AB261" i="5" a="1"/>
  <c r="AB261" i="5" s="1"/>
  <c r="AB277" i="5" a="1"/>
  <c r="AB277" i="5" s="1"/>
  <c r="AB293" i="5" a="1"/>
  <c r="AB293" i="5" s="1"/>
  <c r="AB309" i="5" a="1"/>
  <c r="AB309" i="5" s="1"/>
  <c r="AB74" i="5" a="1"/>
  <c r="AB74" i="5" s="1"/>
  <c r="AB134" i="5" a="1"/>
  <c r="AB134" i="5" s="1"/>
  <c r="AB195" i="5" a="1"/>
  <c r="AB195" i="5" s="1"/>
  <c r="AB89" i="5" a="1"/>
  <c r="AB89" i="5" s="1"/>
  <c r="AB161" i="5" a="1"/>
  <c r="AB161" i="5" s="1"/>
  <c r="AB54" i="5" a="1"/>
  <c r="AB54" i="5" s="1"/>
  <c r="AB123" i="5" a="1"/>
  <c r="AB123" i="5" s="1"/>
  <c r="AB183" i="5" a="1"/>
  <c r="AB183" i="5" s="1"/>
  <c r="AB84" i="5" a="1"/>
  <c r="AB84" i="5" s="1"/>
  <c r="AB126" i="5" a="1"/>
  <c r="AB126" i="5" s="1"/>
  <c r="AB179" i="5" a="1"/>
  <c r="AB179" i="5" s="1"/>
  <c r="AB210" i="5" a="1"/>
  <c r="AB210" i="5" s="1"/>
  <c r="AB226" i="5" a="1"/>
  <c r="AB226" i="5" s="1"/>
  <c r="AB242" i="5" a="1"/>
  <c r="AB242" i="5" s="1"/>
  <c r="AB258" i="5" a="1"/>
  <c r="AB258" i="5" s="1"/>
  <c r="AB274" i="5" a="1"/>
  <c r="AB274" i="5" s="1"/>
  <c r="AB41" i="5" a="1"/>
  <c r="AB41" i="5" s="1"/>
  <c r="AB90" i="5" a="1"/>
  <c r="AB90" i="5" s="1"/>
  <c r="AB194" i="5" a="1"/>
  <c r="AB194" i="5" s="1"/>
  <c r="AB76" i="5" a="1"/>
  <c r="AB76" i="5" s="1"/>
  <c r="AB133" i="5" a="1"/>
  <c r="AB133" i="5" s="1"/>
  <c r="AB169" i="5" a="1"/>
  <c r="AB169" i="5" s="1"/>
  <c r="AB77" i="5" a="1"/>
  <c r="AB77" i="5" s="1"/>
  <c r="AB117" i="5" a="1"/>
  <c r="AB117" i="5" s="1"/>
  <c r="AB186" i="5" a="1"/>
  <c r="AB186" i="5" s="1"/>
  <c r="AB308" i="5" a="1"/>
  <c r="AB308" i="5" s="1"/>
  <c r="AB328" i="5" a="1"/>
  <c r="AB328" i="5" s="1"/>
  <c r="AB344" i="5" a="1"/>
  <c r="AB344" i="5" s="1"/>
  <c r="AB360" i="5" a="1"/>
  <c r="AB360" i="5" s="1"/>
  <c r="AB376" i="5" a="1"/>
  <c r="AB376" i="5" s="1"/>
  <c r="AB392" i="5" a="1"/>
  <c r="AB392" i="5" s="1"/>
  <c r="AB408" i="5" a="1"/>
  <c r="AB408" i="5" s="1"/>
  <c r="AB424" i="5" a="1"/>
  <c r="AB424" i="5" s="1"/>
  <c r="AB440" i="5" a="1"/>
  <c r="AB440" i="5" s="1"/>
  <c r="AB456" i="5" a="1"/>
  <c r="AB456" i="5" s="1"/>
  <c r="AB472" i="5" a="1"/>
  <c r="AB472" i="5" s="1"/>
  <c r="AB488" i="5" a="1"/>
  <c r="AB488" i="5" s="1"/>
  <c r="AB504" i="5" a="1"/>
  <c r="AB504" i="5" s="1"/>
  <c r="AB520" i="5" a="1"/>
  <c r="AB520" i="5" s="1"/>
  <c r="AB536" i="5" a="1"/>
  <c r="AB536" i="5" s="1"/>
  <c r="AB552" i="5" a="1"/>
  <c r="AB552" i="5" s="1"/>
  <c r="AB568" i="5" a="1"/>
  <c r="AB568" i="5" s="1"/>
  <c r="AB584" i="5" a="1"/>
  <c r="AB584" i="5" s="1"/>
  <c r="AB600" i="5" a="1"/>
  <c r="AB600" i="5" s="1"/>
  <c r="AB616" i="5" a="1"/>
  <c r="AB616" i="5" s="1"/>
  <c r="AB310" i="5" a="1"/>
  <c r="AB310" i="5" s="1"/>
  <c r="AB327" i="5" a="1"/>
  <c r="AB327" i="5" s="1"/>
  <c r="AB343" i="5" a="1"/>
  <c r="AB343" i="5" s="1"/>
  <c r="AB359" i="5" a="1"/>
  <c r="AB359" i="5" s="1"/>
  <c r="AB375" i="5" a="1"/>
  <c r="AB375" i="5" s="1"/>
  <c r="AB391" i="5" a="1"/>
  <c r="AB391" i="5" s="1"/>
  <c r="AB407" i="5" a="1"/>
  <c r="AB407" i="5" s="1"/>
  <c r="AB423" i="5" a="1"/>
  <c r="AB423" i="5" s="1"/>
  <c r="AB439" i="5" a="1"/>
  <c r="AB439" i="5" s="1"/>
  <c r="AB455" i="5" a="1"/>
  <c r="AB455" i="5" s="1"/>
  <c r="AB471" i="5" a="1"/>
  <c r="AB471" i="5" s="1"/>
  <c r="AB487" i="5" a="1"/>
  <c r="AB487" i="5" s="1"/>
  <c r="AB503" i="5" a="1"/>
  <c r="AB503" i="5" s="1"/>
  <c r="AB519" i="5" a="1"/>
  <c r="AB519" i="5" s="1"/>
  <c r="AB535" i="5" a="1"/>
  <c r="AB535" i="5" s="1"/>
  <c r="AB551" i="5" a="1"/>
  <c r="AB551" i="5" s="1"/>
  <c r="AB567" i="5" a="1"/>
  <c r="AB567" i="5" s="1"/>
  <c r="AB583" i="5" a="1"/>
  <c r="AB583" i="5" s="1"/>
  <c r="AB599" i="5" a="1"/>
  <c r="AB599" i="5" s="1"/>
  <c r="AB615" i="5" a="1"/>
  <c r="AB615" i="5" s="1"/>
  <c r="AB660" i="5" a="1"/>
  <c r="AB660" i="5" s="1"/>
  <c r="AB676" i="5" a="1"/>
  <c r="AB676" i="5" s="1"/>
  <c r="AB692" i="5" a="1"/>
  <c r="AB692" i="5" s="1"/>
  <c r="AB708" i="5" a="1"/>
  <c r="AB708" i="5" s="1"/>
  <c r="AB724" i="5" a="1"/>
  <c r="AB724" i="5" s="1"/>
  <c r="AB740" i="5" a="1"/>
  <c r="AB740" i="5" s="1"/>
  <c r="AB756" i="5" a="1"/>
  <c r="AB756" i="5" s="1"/>
  <c r="AB772" i="5" a="1"/>
  <c r="AB772" i="5" s="1"/>
  <c r="AB788" i="5" a="1"/>
  <c r="AB788" i="5" s="1"/>
  <c r="AB804" i="5" a="1"/>
  <c r="AB804" i="5" s="1"/>
  <c r="AB820" i="5" a="1"/>
  <c r="AB820" i="5" s="1"/>
  <c r="AB836" i="5" a="1"/>
  <c r="AB836" i="5" s="1"/>
  <c r="AB852" i="5" a="1"/>
  <c r="AB852" i="5" s="1"/>
  <c r="AB868" i="5" a="1"/>
  <c r="AB868" i="5" s="1"/>
  <c r="AB884" i="5" a="1"/>
  <c r="AB884" i="5" s="1"/>
  <c r="AB900" i="5" a="1"/>
  <c r="AB900" i="5" s="1"/>
  <c r="AB916" i="5" a="1"/>
  <c r="AB916" i="5" s="1"/>
  <c r="AB932" i="5" a="1"/>
  <c r="AB932" i="5" s="1"/>
  <c r="AB948" i="5" a="1"/>
  <c r="AB948" i="5" s="1"/>
  <c r="AB964" i="5" a="1"/>
  <c r="AB964" i="5" s="1"/>
  <c r="AB980" i="5" a="1"/>
  <c r="AB980" i="5" s="1"/>
  <c r="AB996" i="5" a="1"/>
  <c r="AB996" i="5" s="1"/>
  <c r="AB1012" i="5" a="1"/>
  <c r="AB1012" i="5" s="1"/>
  <c r="AB1028" i="5" a="1"/>
  <c r="AB1028" i="5" s="1"/>
  <c r="AB1044" i="5" a="1"/>
  <c r="AB1044" i="5" s="1"/>
  <c r="AB1060" i="5" a="1"/>
  <c r="AB1060" i="5" s="1"/>
  <c r="AB618" i="5" a="1"/>
  <c r="AB618" i="5" s="1"/>
  <c r="AB644" i="5" a="1"/>
  <c r="AB644" i="5" s="1"/>
  <c r="AB649" i="5" a="1"/>
  <c r="AB649" i="5" s="1"/>
  <c r="AB665" i="5" a="1"/>
  <c r="AB665" i="5" s="1"/>
  <c r="AB681" i="5" a="1"/>
  <c r="AB681" i="5" s="1"/>
  <c r="AB697" i="5" a="1"/>
  <c r="AB697" i="5" s="1"/>
  <c r="AB713" i="5" a="1"/>
  <c r="AB713" i="5" s="1"/>
  <c r="AB729" i="5" a="1"/>
  <c r="AB729" i="5" s="1"/>
  <c r="AB745" i="5" a="1"/>
  <c r="AB745" i="5" s="1"/>
  <c r="AB761" i="5" a="1"/>
  <c r="AB761" i="5" s="1"/>
  <c r="AB777" i="5" a="1"/>
  <c r="AB777" i="5" s="1"/>
  <c r="AB793" i="5" a="1"/>
  <c r="AB793" i="5" s="1"/>
  <c r="AB809" i="5" a="1"/>
  <c r="AB809" i="5" s="1"/>
  <c r="AB825" i="5" a="1"/>
  <c r="AB825" i="5" s="1"/>
  <c r="AB841" i="5" a="1"/>
  <c r="AB841" i="5" s="1"/>
  <c r="AB857" i="5" a="1"/>
  <c r="AB857" i="5" s="1"/>
  <c r="AB873" i="5" a="1"/>
  <c r="AB873" i="5" s="1"/>
  <c r="AB889" i="5" a="1"/>
  <c r="AB889" i="5" s="1"/>
  <c r="AB905" i="5" a="1"/>
  <c r="AB905" i="5" s="1"/>
  <c r="AB921" i="5" a="1"/>
  <c r="AB921" i="5" s="1"/>
  <c r="AB937" i="5" a="1"/>
  <c r="AB937" i="5" s="1"/>
  <c r="AB953" i="5" a="1"/>
  <c r="AB953" i="5" s="1"/>
  <c r="AB969" i="5" a="1"/>
  <c r="AB969" i="5" s="1"/>
  <c r="AB985" i="5" a="1"/>
  <c r="AB985" i="5" s="1"/>
  <c r="AB1001" i="5" a="1"/>
  <c r="AB1001" i="5" s="1"/>
  <c r="AB1017" i="5" a="1"/>
  <c r="AB1017" i="5" s="1"/>
  <c r="AB1033" i="5" a="1"/>
  <c r="AB1033" i="5" s="1"/>
  <c r="AB1049" i="5" a="1"/>
  <c r="AB1049" i="5" s="1"/>
  <c r="AB1065" i="5" a="1"/>
  <c r="AB1065" i="5" s="1"/>
  <c r="AB632" i="5" a="1"/>
  <c r="AB632" i="5" s="1"/>
  <c r="AB633" i="5" a="1"/>
  <c r="AB633" i="5" s="1"/>
  <c r="AB49" i="5" a="1"/>
  <c r="AB49" i="5" s="1"/>
  <c r="AB60" i="5" a="1"/>
  <c r="AB60" i="5" s="1"/>
  <c r="AB136" i="5" a="1"/>
  <c r="AB136" i="5" s="1"/>
  <c r="AB199" i="5" a="1"/>
  <c r="AB199" i="5" s="1"/>
  <c r="AB215" i="5" a="1"/>
  <c r="AB215" i="5" s="1"/>
  <c r="AB231" i="5" a="1"/>
  <c r="AB231" i="5" s="1"/>
  <c r="AB247" i="5" a="1"/>
  <c r="AB247" i="5" s="1"/>
  <c r="AB263" i="5" a="1"/>
  <c r="AB263" i="5" s="1"/>
  <c r="AB279" i="5" a="1"/>
  <c r="AB279" i="5" s="1"/>
  <c r="AB295" i="5" a="1"/>
  <c r="AB295" i="5" s="1"/>
  <c r="AB19" i="5" a="1"/>
  <c r="AB19" i="5" s="1"/>
  <c r="AB83" i="5" a="1"/>
  <c r="AB83" i="5" s="1"/>
  <c r="AB141" i="5" a="1"/>
  <c r="AB141" i="5" s="1"/>
  <c r="AB14" i="5" a="1"/>
  <c r="AB14" i="5" s="1"/>
  <c r="AB92" i="5" a="1"/>
  <c r="AB92" i="5" s="1"/>
  <c r="AB170" i="5" a="1"/>
  <c r="AB170" i="5" s="1"/>
  <c r="AB58" i="5" a="1"/>
  <c r="AB58" i="5" s="1"/>
  <c r="AB130" i="5" a="1"/>
  <c r="AB130" i="5" s="1"/>
  <c r="AB185" i="5" a="1"/>
  <c r="AB185" i="5" s="1"/>
  <c r="AB87" i="5" a="1"/>
  <c r="AB87" i="5" s="1"/>
  <c r="AB128" i="5" a="1"/>
  <c r="AB128" i="5" s="1"/>
  <c r="AB181" i="5" a="1"/>
  <c r="AB181" i="5" s="1"/>
  <c r="AB212" i="5" a="1"/>
  <c r="AB212" i="5" s="1"/>
  <c r="AB228" i="5" a="1"/>
  <c r="AB228" i="5" s="1"/>
  <c r="AB244" i="5" a="1"/>
  <c r="AB244" i="5" s="1"/>
  <c r="AB260" i="5" a="1"/>
  <c r="AB260" i="5" s="1"/>
  <c r="AB276" i="5" a="1"/>
  <c r="AB276" i="5" s="1"/>
  <c r="AB45" i="5" a="1"/>
  <c r="AB45" i="5" s="1"/>
  <c r="AB93" i="5" a="1"/>
  <c r="AB93" i="5" s="1"/>
  <c r="AB196" i="5" a="1"/>
  <c r="AB196" i="5" s="1"/>
  <c r="AB85" i="5" a="1"/>
  <c r="AB85" i="5" s="1"/>
  <c r="AB140" i="5" a="1"/>
  <c r="AB140" i="5" s="1"/>
  <c r="AB188" i="5" a="1"/>
  <c r="AB188" i="5" s="1"/>
  <c r="AB79" i="5" a="1"/>
  <c r="AB79" i="5" s="1"/>
  <c r="AB129" i="5" a="1"/>
  <c r="AB129" i="5" s="1"/>
  <c r="AB311" i="5" a="1"/>
  <c r="AB311" i="5" s="1"/>
  <c r="AB314" i="5" a="1"/>
  <c r="AB314" i="5" s="1"/>
  <c r="AB330" i="5" a="1"/>
  <c r="AB330" i="5" s="1"/>
  <c r="AB346" i="5" a="1"/>
  <c r="AB346" i="5" s="1"/>
  <c r="AB362" i="5" a="1"/>
  <c r="AB362" i="5" s="1"/>
  <c r="AB378" i="5" a="1"/>
  <c r="AB378" i="5" s="1"/>
  <c r="AB394" i="5" a="1"/>
  <c r="AB394" i="5" s="1"/>
  <c r="AB410" i="5" a="1"/>
  <c r="AB410" i="5" s="1"/>
  <c r="AB426" i="5" a="1"/>
  <c r="AB426" i="5" s="1"/>
  <c r="AB442" i="5" a="1"/>
  <c r="AB442" i="5" s="1"/>
  <c r="AB458" i="5" a="1"/>
  <c r="AB458" i="5" s="1"/>
  <c r="AB474" i="5" a="1"/>
  <c r="AB474" i="5" s="1"/>
  <c r="AB490" i="5" a="1"/>
  <c r="AB490" i="5" s="1"/>
  <c r="AB506" i="5" a="1"/>
  <c r="AB506" i="5" s="1"/>
  <c r="AB522" i="5" a="1"/>
  <c r="AB522" i="5" s="1"/>
  <c r="AB538" i="5" a="1"/>
  <c r="AB538" i="5" s="1"/>
  <c r="AB554" i="5" a="1"/>
  <c r="AB554" i="5" s="1"/>
  <c r="AB570" i="5" a="1"/>
  <c r="AB570" i="5" s="1"/>
  <c r="AB586" i="5" a="1"/>
  <c r="AB586" i="5" s="1"/>
  <c r="AB602" i="5" a="1"/>
  <c r="AB602" i="5" s="1"/>
  <c r="AB312" i="5" a="1"/>
  <c r="AB312" i="5" s="1"/>
  <c r="AB313" i="5" a="1"/>
  <c r="AB313" i="5" s="1"/>
  <c r="AB329" i="5" a="1"/>
  <c r="AB329" i="5" s="1"/>
  <c r="AB345" i="5" a="1"/>
  <c r="AB345" i="5" s="1"/>
  <c r="AB361" i="5" a="1"/>
  <c r="AB361" i="5" s="1"/>
  <c r="AB377" i="5" a="1"/>
  <c r="AB377" i="5" s="1"/>
  <c r="AB393" i="5" a="1"/>
  <c r="AB393" i="5" s="1"/>
  <c r="AB409" i="5" a="1"/>
  <c r="AB409" i="5" s="1"/>
  <c r="AB425" i="5" a="1"/>
  <c r="AB425" i="5" s="1"/>
  <c r="AB441" i="5" a="1"/>
  <c r="AB441" i="5" s="1"/>
  <c r="AB457" i="5" a="1"/>
  <c r="AB457" i="5" s="1"/>
  <c r="AB473" i="5" a="1"/>
  <c r="AB473" i="5" s="1"/>
  <c r="AB489" i="5" a="1"/>
  <c r="AB489" i="5" s="1"/>
  <c r="AB505" i="5" a="1"/>
  <c r="AB505" i="5" s="1"/>
  <c r="AB521" i="5" a="1"/>
  <c r="AB521" i="5" s="1"/>
  <c r="AB537" i="5" a="1"/>
  <c r="AB537" i="5" s="1"/>
  <c r="AB553" i="5" a="1"/>
  <c r="AB553" i="5" s="1"/>
  <c r="AB569" i="5" a="1"/>
  <c r="AB569" i="5" s="1"/>
  <c r="AB585" i="5" a="1"/>
  <c r="AB585" i="5" s="1"/>
  <c r="AB601" i="5" a="1"/>
  <c r="AB601" i="5" s="1"/>
  <c r="AB617" i="5" a="1"/>
  <c r="AB617" i="5" s="1"/>
  <c r="AB662" i="5" a="1"/>
  <c r="AB662" i="5" s="1"/>
  <c r="AB678" i="5" a="1"/>
  <c r="AB678" i="5" s="1"/>
  <c r="AB694" i="5" a="1"/>
  <c r="AB694" i="5" s="1"/>
  <c r="AB710" i="5" a="1"/>
  <c r="AB710" i="5" s="1"/>
  <c r="AB726" i="5" a="1"/>
  <c r="AB726" i="5" s="1"/>
  <c r="AB742" i="5" a="1"/>
  <c r="AB742" i="5" s="1"/>
  <c r="AB758" i="5" a="1"/>
  <c r="AB758" i="5" s="1"/>
  <c r="AB774" i="5" a="1"/>
  <c r="AB774" i="5" s="1"/>
  <c r="AB790" i="5" a="1"/>
  <c r="AB790" i="5" s="1"/>
  <c r="AB806" i="5" a="1"/>
  <c r="AB806" i="5" s="1"/>
  <c r="AB822" i="5" a="1"/>
  <c r="AB822" i="5" s="1"/>
  <c r="AB838" i="5" a="1"/>
  <c r="AB838" i="5" s="1"/>
  <c r="AB854" i="5" a="1"/>
  <c r="AB854" i="5" s="1"/>
  <c r="AB870" i="5" a="1"/>
  <c r="AB870" i="5" s="1"/>
  <c r="AB886" i="5" a="1"/>
  <c r="AB886" i="5" s="1"/>
  <c r="AB902" i="5" a="1"/>
  <c r="AB902" i="5" s="1"/>
  <c r="AB918" i="5" a="1"/>
  <c r="AB918" i="5" s="1"/>
  <c r="AB934" i="5" a="1"/>
  <c r="AB934" i="5" s="1"/>
  <c r="AB950" i="5" a="1"/>
  <c r="AB950" i="5" s="1"/>
  <c r="AB966" i="5" a="1"/>
  <c r="AB966" i="5" s="1"/>
  <c r="AB982" i="5" a="1"/>
  <c r="AB982" i="5" s="1"/>
  <c r="AB998" i="5" a="1"/>
  <c r="AB998" i="5" s="1"/>
  <c r="AB1014" i="5" a="1"/>
  <c r="AB1014" i="5" s="1"/>
  <c r="AB1030" i="5" a="1"/>
  <c r="AB1030" i="5" s="1"/>
  <c r="AB1046" i="5" a="1"/>
  <c r="AB1046" i="5" s="1"/>
  <c r="AB1062" i="5" a="1"/>
  <c r="AB1062" i="5" s="1"/>
  <c r="AB622" i="5" a="1"/>
  <c r="AB622" i="5" s="1"/>
  <c r="AB619" i="5" a="1"/>
  <c r="AB619" i="5" s="1"/>
  <c r="AB651" i="5" a="1"/>
  <c r="AB651" i="5" s="1"/>
  <c r="AB667" i="5" a="1"/>
  <c r="AB667" i="5" s="1"/>
  <c r="AB683" i="5" a="1"/>
  <c r="AB683" i="5" s="1"/>
  <c r="AB699" i="5" a="1"/>
  <c r="AB699" i="5" s="1"/>
  <c r="AB715" i="5" a="1"/>
  <c r="AB715" i="5" s="1"/>
  <c r="AB731" i="5" a="1"/>
  <c r="AB731" i="5" s="1"/>
  <c r="AB747" i="5" a="1"/>
  <c r="AB747" i="5" s="1"/>
  <c r="AB763" i="5" a="1"/>
  <c r="AB763" i="5" s="1"/>
  <c r="AB779" i="5" a="1"/>
  <c r="AB779" i="5" s="1"/>
  <c r="AB795" i="5" a="1"/>
  <c r="AB795" i="5" s="1"/>
  <c r="AB811" i="5" a="1"/>
  <c r="AB811" i="5" s="1"/>
  <c r="AB827" i="5" a="1"/>
  <c r="AB827" i="5" s="1"/>
  <c r="AB843" i="5" a="1"/>
  <c r="AB843" i="5" s="1"/>
  <c r="AB859" i="5" a="1"/>
  <c r="AB859" i="5" s="1"/>
  <c r="AB875" i="5" a="1"/>
  <c r="AB875" i="5" s="1"/>
  <c r="AB891" i="5" a="1"/>
  <c r="AB891" i="5" s="1"/>
  <c r="AB907" i="5" a="1"/>
  <c r="AB907" i="5" s="1"/>
  <c r="AB923" i="5" a="1"/>
  <c r="AB923" i="5" s="1"/>
  <c r="AB939" i="5" a="1"/>
  <c r="AB939" i="5" s="1"/>
  <c r="AB955" i="5" a="1"/>
  <c r="AB955" i="5" s="1"/>
  <c r="AB971" i="5" a="1"/>
  <c r="AB971" i="5" s="1"/>
  <c r="AB987" i="5" a="1"/>
  <c r="AB987" i="5" s="1"/>
  <c r="AB1003" i="5" a="1"/>
  <c r="AB1003" i="5" s="1"/>
  <c r="AB1019" i="5" a="1"/>
  <c r="AB1019" i="5" s="1"/>
  <c r="AB1035" i="5" a="1"/>
  <c r="AB1035" i="5" s="1"/>
  <c r="AB1051" i="5" a="1"/>
  <c r="AB1051" i="5" s="1"/>
  <c r="AB1067" i="5" a="1"/>
  <c r="AB1067" i="5" s="1"/>
  <c r="AB636" i="5" a="1"/>
  <c r="AB636" i="5" s="1"/>
  <c r="AB637" i="5" a="1"/>
  <c r="AB637" i="5" s="1"/>
  <c r="AB51" i="5" a="1"/>
  <c r="AB51" i="5" s="1"/>
  <c r="AB66" i="5" a="1"/>
  <c r="AB66" i="5" s="1"/>
  <c r="AB143" i="5" a="1"/>
  <c r="AB143" i="5" s="1"/>
  <c r="AB201" i="5" a="1"/>
  <c r="AB201" i="5" s="1"/>
  <c r="AB217" i="5" a="1"/>
  <c r="AB217" i="5" s="1"/>
  <c r="AB233" i="5" a="1"/>
  <c r="AB233" i="5" s="1"/>
  <c r="AB249" i="5" a="1"/>
  <c r="AB249" i="5" s="1"/>
  <c r="AB265" i="5" a="1"/>
  <c r="AB265" i="5" s="1"/>
  <c r="AB281" i="5" a="1"/>
  <c r="AB281" i="5" s="1"/>
  <c r="AB297" i="5" a="1"/>
  <c r="AB297" i="5" s="1"/>
  <c r="AB23" i="5" a="1"/>
  <c r="AB23" i="5" s="1"/>
  <c r="AB86" i="5" a="1"/>
  <c r="AB86" i="5" s="1"/>
  <c r="AB152" i="5" a="1"/>
  <c r="AB152" i="5" s="1"/>
  <c r="AB32" i="5" a="1"/>
  <c r="AB32" i="5" s="1"/>
  <c r="AB103" i="5" a="1"/>
  <c r="AB103" i="5" s="1"/>
  <c r="AB187" i="5" a="1"/>
  <c r="AB187" i="5" s="1"/>
  <c r="AB67" i="5" a="1"/>
  <c r="AB67" i="5" s="1"/>
  <c r="AB137" i="5" a="1"/>
  <c r="AB137" i="5" s="1"/>
  <c r="AB3" i="5" a="1"/>
  <c r="AB3" i="5" s="1"/>
  <c r="AB98" i="5" a="1"/>
  <c r="AB98" i="5" s="1"/>
  <c r="AB142" i="5" a="1"/>
  <c r="AB142" i="5" s="1"/>
  <c r="AB198" i="5" a="1"/>
  <c r="AB198" i="5" s="1"/>
  <c r="AB214" i="5" a="1"/>
  <c r="AB214" i="5" s="1"/>
  <c r="AB230" i="5" a="1"/>
  <c r="AB230" i="5" s="1"/>
  <c r="AB246" i="5" a="1"/>
  <c r="AB246" i="5" s="1"/>
  <c r="AB262" i="5" a="1"/>
  <c r="AB262" i="5" s="1"/>
  <c r="AB278" i="5" a="1"/>
  <c r="AB278" i="5" s="1"/>
  <c r="AB50" i="5" a="1"/>
  <c r="AB50" i="5" s="1"/>
  <c r="AB104" i="5" a="1"/>
  <c r="AB104" i="5" s="1"/>
  <c r="AB6" i="5" a="1"/>
  <c r="AB6" i="5" s="1"/>
  <c r="AB96" i="5" a="1"/>
  <c r="AB96" i="5" s="1"/>
  <c r="AB147" i="5" a="1"/>
  <c r="AB147" i="5" s="1"/>
  <c r="AB190" i="5" a="1"/>
  <c r="AB190" i="5" s="1"/>
  <c r="AB82" i="5" a="1"/>
  <c r="AB82" i="5" s="1"/>
  <c r="AB138" i="5" a="1"/>
  <c r="AB138" i="5" s="1"/>
  <c r="AB284" i="5" a="1"/>
  <c r="AB284" i="5" s="1"/>
  <c r="AB316" i="5" a="1"/>
  <c r="AB316" i="5" s="1"/>
  <c r="AB332" i="5" a="1"/>
  <c r="AB332" i="5" s="1"/>
  <c r="AB348" i="5" a="1"/>
  <c r="AB348" i="5" s="1"/>
  <c r="AB364" i="5" a="1"/>
  <c r="AB364" i="5" s="1"/>
  <c r="AB380" i="5" a="1"/>
  <c r="AB380" i="5" s="1"/>
  <c r="AB396" i="5" a="1"/>
  <c r="AB396" i="5" s="1"/>
  <c r="AB412" i="5" a="1"/>
  <c r="AB412" i="5" s="1"/>
  <c r="AB428" i="5" a="1"/>
  <c r="AB428" i="5" s="1"/>
  <c r="AB444" i="5" a="1"/>
  <c r="AB444" i="5" s="1"/>
  <c r="AB460" i="5" a="1"/>
  <c r="AB460" i="5" s="1"/>
  <c r="AB476" i="5" a="1"/>
  <c r="AB476" i="5" s="1"/>
  <c r="AB492" i="5" a="1"/>
  <c r="AB492" i="5" s="1"/>
  <c r="AB508" i="5" a="1"/>
  <c r="AB508" i="5" s="1"/>
  <c r="AB524" i="5" a="1"/>
  <c r="AB524" i="5" s="1"/>
  <c r="AB540" i="5" a="1"/>
  <c r="AB540" i="5" s="1"/>
  <c r="AB556" i="5" a="1"/>
  <c r="AB556" i="5" s="1"/>
  <c r="AB572" i="5" a="1"/>
  <c r="AB572" i="5" s="1"/>
  <c r="AB588" i="5" a="1"/>
  <c r="AB588" i="5" s="1"/>
  <c r="AB604" i="5" a="1"/>
  <c r="AB604" i="5" s="1"/>
  <c r="AB286" i="5" a="1"/>
  <c r="AB286" i="5" s="1"/>
  <c r="AB315" i="5" a="1"/>
  <c r="AB315" i="5" s="1"/>
  <c r="AB331" i="5" a="1"/>
  <c r="AB331" i="5" s="1"/>
  <c r="AB347" i="5" a="1"/>
  <c r="AB347" i="5" s="1"/>
  <c r="AB363" i="5" a="1"/>
  <c r="AB363" i="5" s="1"/>
  <c r="AB379" i="5" a="1"/>
  <c r="AB379" i="5" s="1"/>
  <c r="AB395" i="5" a="1"/>
  <c r="AB395" i="5" s="1"/>
  <c r="AB411" i="5" a="1"/>
  <c r="AB411" i="5" s="1"/>
  <c r="AB427" i="5" a="1"/>
  <c r="AB427" i="5" s="1"/>
  <c r="AB443" i="5" a="1"/>
  <c r="AB443" i="5" s="1"/>
  <c r="AB459" i="5" a="1"/>
  <c r="AB459" i="5" s="1"/>
  <c r="AB475" i="5" a="1"/>
  <c r="AB475" i="5" s="1"/>
  <c r="AB491" i="5" a="1"/>
  <c r="AB491" i="5" s="1"/>
  <c r="AB507" i="5" a="1"/>
  <c r="AB507" i="5" s="1"/>
  <c r="AB523" i="5" a="1"/>
  <c r="AB523" i="5" s="1"/>
  <c r="AB539" i="5" a="1"/>
  <c r="AB539" i="5" s="1"/>
  <c r="AB555" i="5" a="1"/>
  <c r="AB555" i="5" s="1"/>
  <c r="AB571" i="5" a="1"/>
  <c r="AB571" i="5" s="1"/>
  <c r="AB587" i="5" a="1"/>
  <c r="AB587" i="5" s="1"/>
  <c r="AB603" i="5" a="1"/>
  <c r="AB603" i="5" s="1"/>
  <c r="AB648" i="5" a="1"/>
  <c r="AB648" i="5" s="1"/>
  <c r="AB664" i="5" a="1"/>
  <c r="AB664" i="5" s="1"/>
  <c r="AB680" i="5" a="1"/>
  <c r="AB680" i="5" s="1"/>
  <c r="AB696" i="5" a="1"/>
  <c r="AB696" i="5" s="1"/>
  <c r="AB712" i="5" a="1"/>
  <c r="AB712" i="5" s="1"/>
  <c r="AB728" i="5" a="1"/>
  <c r="AB728" i="5" s="1"/>
  <c r="AB744" i="5" a="1"/>
  <c r="AB744" i="5" s="1"/>
  <c r="AB760" i="5" a="1"/>
  <c r="AB760" i="5" s="1"/>
  <c r="AB776" i="5" a="1"/>
  <c r="AB776" i="5" s="1"/>
  <c r="AB792" i="5" a="1"/>
  <c r="AB792" i="5" s="1"/>
  <c r="AB808" i="5" a="1"/>
  <c r="AB808" i="5" s="1"/>
  <c r="AB824" i="5" a="1"/>
  <c r="AB824" i="5" s="1"/>
  <c r="AB840" i="5" a="1"/>
  <c r="AB840" i="5" s="1"/>
  <c r="AB856" i="5" a="1"/>
  <c r="AB856" i="5" s="1"/>
  <c r="AB872" i="5" a="1"/>
  <c r="AB872" i="5" s="1"/>
  <c r="AB888" i="5" a="1"/>
  <c r="AB888" i="5" s="1"/>
  <c r="AB904" i="5" a="1"/>
  <c r="AB904" i="5" s="1"/>
  <c r="AB920" i="5" a="1"/>
  <c r="AB920" i="5" s="1"/>
  <c r="AB936" i="5" a="1"/>
  <c r="AB936" i="5" s="1"/>
  <c r="AB952" i="5" a="1"/>
  <c r="AB952" i="5" s="1"/>
  <c r="AB968" i="5" a="1"/>
  <c r="AB968" i="5" s="1"/>
  <c r="AB984" i="5" a="1"/>
  <c r="AB984" i="5" s="1"/>
  <c r="AB1000" i="5" a="1"/>
  <c r="AB1000" i="5" s="1"/>
  <c r="AB1016" i="5" a="1"/>
  <c r="AB1016" i="5" s="1"/>
  <c r="AB1032" i="5" a="1"/>
  <c r="AB1032" i="5" s="1"/>
  <c r="AB1048" i="5" a="1"/>
  <c r="AB1048" i="5" s="1"/>
  <c r="AB1064" i="5" a="1"/>
  <c r="AB1064" i="5" s="1"/>
  <c r="AB626" i="5" a="1"/>
  <c r="AB626" i="5" s="1"/>
  <c r="AB623" i="5" a="1"/>
  <c r="AB623" i="5" s="1"/>
  <c r="AB653" i="5" a="1"/>
  <c r="AB653" i="5" s="1"/>
  <c r="AB669" i="5" a="1"/>
  <c r="AB669" i="5" s="1"/>
  <c r="AB685" i="5" a="1"/>
  <c r="AB685" i="5" s="1"/>
  <c r="AB701" i="5" a="1"/>
  <c r="AB701" i="5" s="1"/>
  <c r="AB717" i="5" a="1"/>
  <c r="AB717" i="5" s="1"/>
  <c r="AB733" i="5" a="1"/>
  <c r="AB733" i="5" s="1"/>
  <c r="AB749" i="5" a="1"/>
  <c r="AB749" i="5" s="1"/>
  <c r="AB765" i="5" a="1"/>
  <c r="AB765" i="5" s="1"/>
  <c r="AB781" i="5" a="1"/>
  <c r="AB781" i="5" s="1"/>
  <c r="AB797" i="5" a="1"/>
  <c r="AB797" i="5" s="1"/>
  <c r="AB813" i="5" a="1"/>
  <c r="AB813" i="5" s="1"/>
  <c r="AB829" i="5" a="1"/>
  <c r="AB829" i="5" s="1"/>
  <c r="AB845" i="5" a="1"/>
  <c r="AB845" i="5" s="1"/>
  <c r="AB861" i="5" a="1"/>
  <c r="AB861" i="5" s="1"/>
  <c r="AB877" i="5" a="1"/>
  <c r="AB877" i="5" s="1"/>
  <c r="AB893" i="5" a="1"/>
  <c r="AB893" i="5" s="1"/>
  <c r="AB909" i="5" a="1"/>
  <c r="AB909" i="5" s="1"/>
  <c r="AB925" i="5" a="1"/>
  <c r="AB925" i="5" s="1"/>
  <c r="AB941" i="5" a="1"/>
  <c r="AB941" i="5" s="1"/>
  <c r="AB957" i="5" a="1"/>
  <c r="AB957" i="5" s="1"/>
  <c r="AB973" i="5" a="1"/>
  <c r="AB973" i="5" s="1"/>
  <c r="AB989" i="5" a="1"/>
  <c r="AB989" i="5" s="1"/>
  <c r="AB1005" i="5" a="1"/>
  <c r="AB1005" i="5" s="1"/>
  <c r="AB1021" i="5" a="1"/>
  <c r="AB1021" i="5" s="1"/>
  <c r="AB1037" i="5" a="1"/>
  <c r="AB1037" i="5" s="1"/>
  <c r="AB1053" i="5" a="1"/>
  <c r="AB1053" i="5" s="1"/>
  <c r="AB1069" i="5" a="1"/>
  <c r="AB1069" i="5" s="1"/>
  <c r="AB647" i="5" a="1"/>
  <c r="AB647" i="5" s="1"/>
  <c r="AB643" i="5" a="1"/>
  <c r="AB643" i="5" s="1"/>
  <c r="AB44" i="5" a="1"/>
  <c r="AB44" i="5" s="1"/>
  <c r="AB13" i="5" a="1"/>
  <c r="AB13" i="5" s="1"/>
  <c r="AB70" i="5" a="1"/>
  <c r="AB70" i="5" s="1"/>
  <c r="AB154" i="5" a="1"/>
  <c r="AB154" i="5" s="1"/>
  <c r="AB203" i="5" a="1"/>
  <c r="AB203" i="5" s="1"/>
  <c r="AB219" i="5" a="1"/>
  <c r="AB219" i="5" s="1"/>
  <c r="AB235" i="5" a="1"/>
  <c r="AB235" i="5" s="1"/>
  <c r="AB251" i="5" a="1"/>
  <c r="AB251" i="5" s="1"/>
  <c r="AB267" i="5" a="1"/>
  <c r="AB267" i="5" s="1"/>
  <c r="AB283" i="5" a="1"/>
  <c r="AB283" i="5" s="1"/>
  <c r="AB299" i="5" a="1"/>
  <c r="AB299" i="5" s="1"/>
  <c r="AB26" i="5" a="1"/>
  <c r="AB26" i="5" s="1"/>
  <c r="AB97" i="5" a="1"/>
  <c r="AB97" i="5" s="1"/>
  <c r="AB163" i="5" a="1"/>
  <c r="AB163" i="5" s="1"/>
  <c r="AB40" i="5" a="1"/>
  <c r="AB40" i="5" s="1"/>
  <c r="AB108" i="5" a="1"/>
  <c r="AB108" i="5" s="1"/>
  <c r="AB189" i="5" a="1"/>
  <c r="AB189" i="5" s="1"/>
  <c r="AB78" i="5" a="1"/>
  <c r="AB78" i="5" s="1"/>
  <c r="AB139" i="5" a="1"/>
  <c r="AB139" i="5" s="1"/>
  <c r="AB24" i="5" a="1"/>
  <c r="AB24" i="5" s="1"/>
  <c r="AB101" i="5" a="1"/>
  <c r="AB101" i="5" s="1"/>
  <c r="AB144" i="5" a="1"/>
  <c r="AB144" i="5" s="1"/>
  <c r="AB200" i="5" a="1"/>
  <c r="AB200" i="5" s="1"/>
  <c r="AB216" i="5" a="1"/>
  <c r="AB216" i="5" s="1"/>
  <c r="AB232" i="5" a="1"/>
  <c r="AB232" i="5" s="1"/>
  <c r="AB248" i="5" a="1"/>
  <c r="AB248" i="5" s="1"/>
  <c r="AB264" i="5" a="1"/>
  <c r="AB264" i="5" s="1"/>
  <c r="AB280" i="5" a="1"/>
  <c r="AB280" i="5" s="1"/>
  <c r="AB55" i="5" a="1"/>
  <c r="AB55" i="5" s="1"/>
  <c r="AB135" i="5" a="1"/>
  <c r="AB135" i="5" s="1"/>
  <c r="AB25" i="5" a="1"/>
  <c r="AB25" i="5" s="1"/>
  <c r="AB99" i="5" a="1"/>
  <c r="AB99" i="5" s="1"/>
  <c r="AB149" i="5" a="1"/>
  <c r="AB149" i="5" s="1"/>
  <c r="AB31" i="5" a="1"/>
  <c r="AB31" i="5" s="1"/>
  <c r="AB88" i="5" a="1"/>
  <c r="AB88" i="5" s="1"/>
  <c r="AB145" i="5" a="1"/>
  <c r="AB145" i="5" s="1"/>
  <c r="AB288" i="5" a="1"/>
  <c r="AB288" i="5" s="1"/>
  <c r="AB318" i="5" a="1"/>
  <c r="AB318" i="5" s="1"/>
  <c r="AB334" i="5" a="1"/>
  <c r="AB334" i="5" s="1"/>
  <c r="AB350" i="5" a="1"/>
  <c r="AB350" i="5" s="1"/>
  <c r="AB366" i="5" a="1"/>
  <c r="AB366" i="5" s="1"/>
  <c r="AB382" i="5" a="1"/>
  <c r="AB382" i="5" s="1"/>
  <c r="AB398" i="5" a="1"/>
  <c r="AB398" i="5" s="1"/>
  <c r="AB414" i="5" a="1"/>
  <c r="AB414" i="5" s="1"/>
  <c r="AB430" i="5" a="1"/>
  <c r="AB430" i="5" s="1"/>
  <c r="AB446" i="5" a="1"/>
  <c r="AB446" i="5" s="1"/>
  <c r="AB462" i="5" a="1"/>
  <c r="AB462" i="5" s="1"/>
  <c r="AB478" i="5" a="1"/>
  <c r="AB478" i="5" s="1"/>
  <c r="AB494" i="5" a="1"/>
  <c r="AB494" i="5" s="1"/>
  <c r="AB510" i="5" a="1"/>
  <c r="AB510" i="5" s="1"/>
  <c r="AB526" i="5" a="1"/>
  <c r="AB526" i="5" s="1"/>
  <c r="AB542" i="5" a="1"/>
  <c r="AB542" i="5" s="1"/>
  <c r="AB558" i="5" a="1"/>
  <c r="AB558" i="5" s="1"/>
  <c r="AB574" i="5" a="1"/>
  <c r="AB574" i="5" s="1"/>
  <c r="AB590" i="5" a="1"/>
  <c r="AB590" i="5" s="1"/>
  <c r="AB606" i="5" a="1"/>
  <c r="AB606" i="5" s="1"/>
  <c r="AB290" i="5" a="1"/>
  <c r="AB290" i="5" s="1"/>
  <c r="AB317" i="5" a="1"/>
  <c r="AB317" i="5" s="1"/>
  <c r="AB333" i="5" a="1"/>
  <c r="AB333" i="5" s="1"/>
  <c r="AB349" i="5" a="1"/>
  <c r="AB349" i="5" s="1"/>
  <c r="AB365" i="5" a="1"/>
  <c r="AB365" i="5" s="1"/>
  <c r="AB381" i="5" a="1"/>
  <c r="AB381" i="5" s="1"/>
  <c r="AB397" i="5" a="1"/>
  <c r="AB397" i="5" s="1"/>
  <c r="AB413" i="5" a="1"/>
  <c r="AB413" i="5" s="1"/>
  <c r="AB429" i="5" a="1"/>
  <c r="AB429" i="5" s="1"/>
  <c r="AB445" i="5" a="1"/>
  <c r="AB445" i="5" s="1"/>
  <c r="AB461" i="5" a="1"/>
  <c r="AB461" i="5" s="1"/>
  <c r="AB477" i="5" a="1"/>
  <c r="AB477" i="5" s="1"/>
  <c r="AB493" i="5" a="1"/>
  <c r="AB493" i="5" s="1"/>
  <c r="AB509" i="5" a="1"/>
  <c r="AB509" i="5" s="1"/>
  <c r="AB525" i="5" a="1"/>
  <c r="AB525" i="5" s="1"/>
  <c r="AB541" i="5" a="1"/>
  <c r="AB541" i="5" s="1"/>
  <c r="AB557" i="5" a="1"/>
  <c r="AB557" i="5" s="1"/>
  <c r="AB573" i="5" a="1"/>
  <c r="AB573" i="5" s="1"/>
  <c r="AB589" i="5" a="1"/>
  <c r="AB589" i="5" s="1"/>
  <c r="AB605" i="5" a="1"/>
  <c r="AB605" i="5" s="1"/>
  <c r="AB650" i="5" a="1"/>
  <c r="AB650" i="5" s="1"/>
  <c r="AB666" i="5" a="1"/>
  <c r="AB666" i="5" s="1"/>
  <c r="AB682" i="5" a="1"/>
  <c r="AB682" i="5" s="1"/>
  <c r="AB698" i="5" a="1"/>
  <c r="AB698" i="5" s="1"/>
  <c r="AB714" i="5" a="1"/>
  <c r="AB714" i="5" s="1"/>
  <c r="AB730" i="5" a="1"/>
  <c r="AB730" i="5" s="1"/>
  <c r="AB746" i="5" a="1"/>
  <c r="AB746" i="5" s="1"/>
  <c r="AB762" i="5" a="1"/>
  <c r="AB762" i="5" s="1"/>
  <c r="AB778" i="5" a="1"/>
  <c r="AB778" i="5" s="1"/>
  <c r="AB794" i="5" a="1"/>
  <c r="AB794" i="5" s="1"/>
  <c r="AB810" i="5" a="1"/>
  <c r="AB810" i="5" s="1"/>
  <c r="AB826" i="5" a="1"/>
  <c r="AB826" i="5" s="1"/>
  <c r="AB842" i="5" a="1"/>
  <c r="AB842" i="5" s="1"/>
  <c r="AB858" i="5" a="1"/>
  <c r="AB858" i="5" s="1"/>
  <c r="AB874" i="5" a="1"/>
  <c r="AB874" i="5" s="1"/>
  <c r="AB890" i="5" a="1"/>
  <c r="AB890" i="5" s="1"/>
  <c r="AB906" i="5" a="1"/>
  <c r="AB906" i="5" s="1"/>
  <c r="AB922" i="5" a="1"/>
  <c r="AB922" i="5" s="1"/>
  <c r="AB938" i="5" a="1"/>
  <c r="AB938" i="5" s="1"/>
  <c r="AB954" i="5" a="1"/>
  <c r="AB954" i="5" s="1"/>
  <c r="AB970" i="5" a="1"/>
  <c r="AB970" i="5" s="1"/>
  <c r="AB986" i="5" a="1"/>
  <c r="AB986" i="5" s="1"/>
  <c r="AB1002" i="5" a="1"/>
  <c r="AB1002" i="5" s="1"/>
  <c r="AB1018" i="5" a="1"/>
  <c r="AB1018" i="5" s="1"/>
  <c r="AB1034" i="5" a="1"/>
  <c r="AB1034" i="5" s="1"/>
  <c r="AB1050" i="5" a="1"/>
  <c r="AB1050" i="5" s="1"/>
  <c r="AB1066" i="5" a="1"/>
  <c r="AB1066" i="5" s="1"/>
  <c r="AB630" i="5" a="1"/>
  <c r="AB630" i="5" s="1"/>
  <c r="AB627" i="5" a="1"/>
  <c r="AB627" i="5" s="1"/>
  <c r="AB655" i="5" a="1"/>
  <c r="AB655" i="5" s="1"/>
  <c r="AB671" i="5" a="1"/>
  <c r="AB671" i="5" s="1"/>
  <c r="AB687" i="5" a="1"/>
  <c r="AB687" i="5" s="1"/>
  <c r="AB703" i="5" a="1"/>
  <c r="AB703" i="5" s="1"/>
  <c r="AB719" i="5" a="1"/>
  <c r="AB719" i="5" s="1"/>
  <c r="AB735" i="5" a="1"/>
  <c r="AB735" i="5" s="1"/>
  <c r="AB751" i="5" a="1"/>
  <c r="AB751" i="5" s="1"/>
  <c r="AB767" i="5" a="1"/>
  <c r="AB767" i="5" s="1"/>
  <c r="AB783" i="5" a="1"/>
  <c r="AB783" i="5" s="1"/>
  <c r="AB799" i="5" a="1"/>
  <c r="AB799" i="5" s="1"/>
  <c r="AB815" i="5" a="1"/>
  <c r="AB815" i="5" s="1"/>
  <c r="AB831" i="5" a="1"/>
  <c r="AB831" i="5" s="1"/>
  <c r="AB847" i="5" a="1"/>
  <c r="AB847" i="5" s="1"/>
  <c r="AB863" i="5" a="1"/>
  <c r="AB863" i="5" s="1"/>
  <c r="AB879" i="5" a="1"/>
  <c r="AB879" i="5" s="1"/>
  <c r="AB895" i="5" a="1"/>
  <c r="AB895" i="5" s="1"/>
  <c r="AB911" i="5" a="1"/>
  <c r="AB911" i="5" s="1"/>
  <c r="AB927" i="5" a="1"/>
  <c r="AB927" i="5" s="1"/>
  <c r="AB943" i="5" a="1"/>
  <c r="AB943" i="5" s="1"/>
  <c r="AB959" i="5" a="1"/>
  <c r="AB959" i="5" s="1"/>
  <c r="AB975" i="5" a="1"/>
  <c r="AB975" i="5" s="1"/>
  <c r="AB991" i="5" a="1"/>
  <c r="AB991" i="5" s="1"/>
  <c r="AB1007" i="5" a="1"/>
  <c r="AB1007" i="5" s="1"/>
  <c r="AB1023" i="5" a="1"/>
  <c r="AB1023" i="5" s="1"/>
  <c r="AB1039" i="5" a="1"/>
  <c r="AB1039" i="5" s="1"/>
  <c r="AB1055" i="5" a="1"/>
  <c r="AB1055" i="5" s="1"/>
  <c r="AB1071" i="5" a="1"/>
  <c r="AB1071" i="5" s="1"/>
  <c r="AB640" i="5" a="1"/>
  <c r="AB640" i="5" s="1"/>
  <c r="AB5" i="5" a="1"/>
  <c r="AB5" i="5" s="1"/>
  <c r="AB12" i="5" a="1"/>
  <c r="AB12" i="5" s="1"/>
  <c r="AB18" i="5" a="1"/>
  <c r="AB18" i="5" s="1"/>
  <c r="AB94" i="5" a="1"/>
  <c r="AB94" i="5" s="1"/>
  <c r="AB156" i="5" a="1"/>
  <c r="AB156" i="5" s="1"/>
  <c r="AB205" i="5" a="1"/>
  <c r="AB205" i="5" s="1"/>
  <c r="AB221" i="5" a="1"/>
  <c r="AB221" i="5" s="1"/>
  <c r="AB237" i="5" a="1"/>
  <c r="AB237" i="5" s="1"/>
  <c r="AB253" i="5" a="1"/>
  <c r="AB253" i="5" s="1"/>
  <c r="AB269" i="5" a="1"/>
  <c r="AB269" i="5" s="1"/>
  <c r="AB285" i="5" a="1"/>
  <c r="AB285" i="5" s="1"/>
  <c r="AB301" i="5" a="1"/>
  <c r="AB301" i="5" s="1"/>
  <c r="AB29" i="5" a="1"/>
  <c r="AB29" i="5" s="1"/>
  <c r="AB100" i="5" a="1"/>
  <c r="AB100" i="5" s="1"/>
  <c r="AB172" i="5" a="1"/>
  <c r="AB172" i="5" s="1"/>
  <c r="AB43" i="5" a="1"/>
  <c r="AB43" i="5" s="1"/>
  <c r="AB132" i="5" a="1"/>
  <c r="AB132" i="5" s="1"/>
  <c r="AB20" i="5" a="1"/>
  <c r="AB20" i="5" s="1"/>
  <c r="AB95" i="5" a="1"/>
  <c r="AB95" i="5" s="1"/>
  <c r="AB146" i="5" a="1"/>
  <c r="AB146" i="5" s="1"/>
  <c r="AB30" i="5" a="1"/>
  <c r="AB30" i="5" s="1"/>
  <c r="AB106" i="5" a="1"/>
  <c r="AB106" i="5" s="1"/>
  <c r="AB153" i="5" a="1"/>
  <c r="AB153" i="5" s="1"/>
  <c r="AB202" i="5" a="1"/>
  <c r="AB202" i="5" s="1"/>
  <c r="AB218" i="5" a="1"/>
  <c r="AB218" i="5" s="1"/>
  <c r="AB234" i="5" a="1"/>
  <c r="AB234" i="5" s="1"/>
  <c r="AB250" i="5" a="1"/>
  <c r="AB250" i="5" s="1"/>
  <c r="AB266" i="5" a="1"/>
  <c r="AB266" i="5" s="1"/>
  <c r="AB282" i="5" a="1"/>
  <c r="AB282" i="5" s="1"/>
  <c r="AB62" i="5" a="1"/>
  <c r="AB62" i="5" s="1"/>
  <c r="AB171" i="5" a="1"/>
  <c r="AB171" i="5" s="1"/>
  <c r="AB28" i="5" a="1"/>
  <c r="AB28" i="5" s="1"/>
  <c r="AB112" i="5" a="1"/>
  <c r="AB112" i="5" s="1"/>
  <c r="AB151" i="5" a="1"/>
  <c r="AB151" i="5" s="1"/>
  <c r="AB39" i="5" a="1"/>
  <c r="AB39" i="5" s="1"/>
  <c r="AB91" i="5" a="1"/>
  <c r="AB91" i="5" s="1"/>
  <c r="AB165" i="5" a="1"/>
  <c r="AB165" i="5" s="1"/>
  <c r="AB292" i="5" a="1"/>
  <c r="AB292" i="5" s="1"/>
  <c r="AB320" i="5" a="1"/>
  <c r="AB320" i="5" s="1"/>
  <c r="AB336" i="5" a="1"/>
  <c r="AB336" i="5" s="1"/>
  <c r="AB352" i="5" a="1"/>
  <c r="AB352" i="5" s="1"/>
  <c r="AB368" i="5" a="1"/>
  <c r="AB368" i="5" s="1"/>
  <c r="AB384" i="5" a="1"/>
  <c r="AB384" i="5" s="1"/>
  <c r="AB400" i="5" a="1"/>
  <c r="AB400" i="5" s="1"/>
  <c r="AB416" i="5" a="1"/>
  <c r="AB416" i="5" s="1"/>
  <c r="AB432" i="5" a="1"/>
  <c r="AB432" i="5" s="1"/>
  <c r="AB448" i="5" a="1"/>
  <c r="AB448" i="5" s="1"/>
  <c r="AB464" i="5" a="1"/>
  <c r="AB464" i="5" s="1"/>
  <c r="AB480" i="5" a="1"/>
  <c r="AB480" i="5" s="1"/>
  <c r="AB496" i="5" a="1"/>
  <c r="AB496" i="5" s="1"/>
  <c r="AB512" i="5" a="1"/>
  <c r="AB512" i="5" s="1"/>
  <c r="AB528" i="5" a="1"/>
  <c r="AB528" i="5" s="1"/>
  <c r="AB544" i="5" a="1"/>
  <c r="AB544" i="5" s="1"/>
  <c r="AB560" i="5" a="1"/>
  <c r="AB560" i="5" s="1"/>
  <c r="AB576" i="5" a="1"/>
  <c r="AB576" i="5" s="1"/>
  <c r="AB592" i="5" a="1"/>
  <c r="AB592" i="5" s="1"/>
  <c r="AB608" i="5" a="1"/>
  <c r="AB608" i="5" s="1"/>
  <c r="AB294" i="5" a="1"/>
  <c r="AB294" i="5" s="1"/>
  <c r="AB319" i="5" a="1"/>
  <c r="AB319" i="5" s="1"/>
  <c r="AB335" i="5" a="1"/>
  <c r="AB335" i="5" s="1"/>
  <c r="AB351" i="5" a="1"/>
  <c r="AB351" i="5" s="1"/>
  <c r="AB367" i="5" a="1"/>
  <c r="AB367" i="5" s="1"/>
  <c r="AB383" i="5" a="1"/>
  <c r="AB383" i="5" s="1"/>
  <c r="AB399" i="5" a="1"/>
  <c r="AB399" i="5" s="1"/>
  <c r="AB415" i="5" a="1"/>
  <c r="AB415" i="5" s="1"/>
  <c r="AB431" i="5" a="1"/>
  <c r="AB431" i="5" s="1"/>
  <c r="AB447" i="5" a="1"/>
  <c r="AB447" i="5" s="1"/>
  <c r="AB463" i="5" a="1"/>
  <c r="AB463" i="5" s="1"/>
  <c r="AB479" i="5" a="1"/>
  <c r="AB479" i="5" s="1"/>
  <c r="AB495" i="5" a="1"/>
  <c r="AB495" i="5" s="1"/>
  <c r="AB511" i="5" a="1"/>
  <c r="AB511" i="5" s="1"/>
  <c r="AB527" i="5" a="1"/>
  <c r="AB527" i="5" s="1"/>
  <c r="AB543" i="5" a="1"/>
  <c r="AB543" i="5" s="1"/>
  <c r="AB559" i="5" a="1"/>
  <c r="AB559" i="5" s="1"/>
  <c r="AB575" i="5" a="1"/>
  <c r="AB575" i="5" s="1"/>
  <c r="AB591" i="5" a="1"/>
  <c r="AB591" i="5" s="1"/>
  <c r="AB607" i="5" a="1"/>
  <c r="AB607" i="5" s="1"/>
  <c r="AB652" i="5" a="1"/>
  <c r="AB652" i="5" s="1"/>
  <c r="AB668" i="5" a="1"/>
  <c r="AB668" i="5" s="1"/>
  <c r="AB684" i="5" a="1"/>
  <c r="AB684" i="5" s="1"/>
  <c r="AB700" i="5" a="1"/>
  <c r="AB700" i="5" s="1"/>
  <c r="AB716" i="5" a="1"/>
  <c r="AB716" i="5" s="1"/>
  <c r="AB732" i="5" a="1"/>
  <c r="AB732" i="5" s="1"/>
  <c r="AB748" i="5" a="1"/>
  <c r="AB748" i="5" s="1"/>
  <c r="AB764" i="5" a="1"/>
  <c r="AB764" i="5" s="1"/>
  <c r="AB780" i="5" a="1"/>
  <c r="AB780" i="5" s="1"/>
  <c r="AB796" i="5" a="1"/>
  <c r="AB796" i="5" s="1"/>
  <c r="AB812" i="5" a="1"/>
  <c r="AB812" i="5" s="1"/>
  <c r="AB828" i="5" a="1"/>
  <c r="AB828" i="5" s="1"/>
  <c r="AB844" i="5" a="1"/>
  <c r="AB844" i="5" s="1"/>
  <c r="AB860" i="5" a="1"/>
  <c r="AB860" i="5" s="1"/>
  <c r="AB876" i="5" a="1"/>
  <c r="AB876" i="5" s="1"/>
  <c r="AB892" i="5" a="1"/>
  <c r="AB892" i="5" s="1"/>
  <c r="AB908" i="5" a="1"/>
  <c r="AB908" i="5" s="1"/>
  <c r="AB924" i="5" a="1"/>
  <c r="AB924" i="5" s="1"/>
  <c r="AB940" i="5" a="1"/>
  <c r="AB940" i="5" s="1"/>
  <c r="AB956" i="5" a="1"/>
  <c r="AB956" i="5" s="1"/>
  <c r="AB972" i="5" a="1"/>
  <c r="AB972" i="5" s="1"/>
  <c r="AB988" i="5" a="1"/>
  <c r="AB988" i="5" s="1"/>
  <c r="AB1004" i="5" a="1"/>
  <c r="AB1004" i="5" s="1"/>
  <c r="AB1020" i="5" a="1"/>
  <c r="AB1020" i="5" s="1"/>
  <c r="AB1036" i="5" a="1"/>
  <c r="AB1036" i="5" s="1"/>
  <c r="AB1052" i="5" a="1"/>
  <c r="AB1052" i="5" s="1"/>
  <c r="AB1068" i="5" a="1"/>
  <c r="AB1068" i="5" s="1"/>
  <c r="AB634" i="5" a="1"/>
  <c r="AB634" i="5" s="1"/>
  <c r="AB631" i="5" a="1"/>
  <c r="AB631" i="5" s="1"/>
  <c r="AB657" i="5" a="1"/>
  <c r="AB657" i="5" s="1"/>
  <c r="AB673" i="5" a="1"/>
  <c r="AB673" i="5" s="1"/>
  <c r="AB689" i="5" a="1"/>
  <c r="AB689" i="5" s="1"/>
  <c r="AB705" i="5" a="1"/>
  <c r="AB705" i="5" s="1"/>
  <c r="AB721" i="5" a="1"/>
  <c r="AB721" i="5" s="1"/>
  <c r="AB737" i="5" a="1"/>
  <c r="AB737" i="5" s="1"/>
  <c r="AB753" i="5" a="1"/>
  <c r="AB753" i="5" s="1"/>
  <c r="AB769" i="5" a="1"/>
  <c r="AB769" i="5" s="1"/>
  <c r="AB785" i="5" a="1"/>
  <c r="AB785" i="5" s="1"/>
  <c r="AB801" i="5" a="1"/>
  <c r="AB801" i="5" s="1"/>
  <c r="AB817" i="5" a="1"/>
  <c r="AB817" i="5" s="1"/>
  <c r="AB833" i="5" a="1"/>
  <c r="AB833" i="5" s="1"/>
  <c r="AB849" i="5" a="1"/>
  <c r="AB849" i="5" s="1"/>
  <c r="AB865" i="5" a="1"/>
  <c r="AB865" i="5" s="1"/>
  <c r="AB881" i="5" a="1"/>
  <c r="AB881" i="5" s="1"/>
  <c r="AB897" i="5" a="1"/>
  <c r="AB897" i="5" s="1"/>
  <c r="AB913" i="5" a="1"/>
  <c r="AB913" i="5" s="1"/>
  <c r="AB929" i="5" a="1"/>
  <c r="AB929" i="5" s="1"/>
  <c r="AB945" i="5" a="1"/>
  <c r="AB945" i="5" s="1"/>
  <c r="AB961" i="5" a="1"/>
  <c r="AB961" i="5" s="1"/>
  <c r="AB977" i="5" a="1"/>
  <c r="AB977" i="5" s="1"/>
  <c r="AB993" i="5" a="1"/>
  <c r="AB993" i="5" s="1"/>
  <c r="AB1009" i="5" a="1"/>
  <c r="AB1009" i="5" s="1"/>
  <c r="AB1025" i="5" a="1"/>
  <c r="AB1025" i="5" s="1"/>
  <c r="AB1041" i="5" a="1"/>
  <c r="AB1041" i="5" s="1"/>
  <c r="AB1057" i="5" a="1"/>
  <c r="AB1057" i="5" s="1"/>
  <c r="AB1073" i="5" a="1"/>
  <c r="AB1073" i="5" s="1"/>
  <c r="AB645" i="5" a="1"/>
  <c r="AB645" i="5" s="1"/>
  <c r="AB9" i="5" a="1"/>
  <c r="AB9" i="5" s="1"/>
  <c r="AB7" i="5" a="1"/>
  <c r="AB7" i="5" s="1"/>
  <c r="AB22" i="5" a="1"/>
  <c r="AB22" i="5" s="1"/>
  <c r="AB105" i="5" a="1"/>
  <c r="AB105" i="5" s="1"/>
  <c r="AB176" i="5" a="1"/>
  <c r="AB176" i="5" s="1"/>
  <c r="AB207" i="5" a="1"/>
  <c r="AB207" i="5" s="1"/>
  <c r="AB223" i="5" a="1"/>
  <c r="AB223" i="5" s="1"/>
  <c r="AB239" i="5" a="1"/>
  <c r="AB239" i="5" s="1"/>
  <c r="AB255" i="5" a="1"/>
  <c r="AB255" i="5" s="1"/>
  <c r="AB271" i="5" a="1"/>
  <c r="AB271" i="5" s="1"/>
  <c r="AB287" i="5" a="1"/>
  <c r="AB287" i="5" s="1"/>
  <c r="AB303" i="5" a="1"/>
  <c r="AB303" i="5" s="1"/>
  <c r="AB37" i="5" a="1"/>
  <c r="AB37" i="5" s="1"/>
  <c r="AB113" i="5" a="1"/>
  <c r="AB113" i="5" s="1"/>
  <c r="AB174" i="5" a="1"/>
  <c r="AB174" i="5" s="1"/>
  <c r="AB61" i="5" a="1"/>
  <c r="AB61" i="5" s="1"/>
  <c r="AB148" i="5" a="1"/>
  <c r="AB148" i="5" s="1"/>
  <c r="AB27" i="5" a="1"/>
  <c r="AB27" i="5" s="1"/>
  <c r="AB111" i="5" a="1"/>
  <c r="AB111" i="5" s="1"/>
  <c r="AB157" i="5" a="1"/>
  <c r="AB157" i="5" s="1"/>
  <c r="AB38" i="5" a="1"/>
  <c r="AB38" i="5" s="1"/>
  <c r="AB109" i="5" a="1"/>
  <c r="AB109" i="5" s="1"/>
  <c r="AB155" i="5" a="1"/>
  <c r="AB155" i="5" s="1"/>
  <c r="AB204" i="5" a="1"/>
  <c r="AB204" i="5" s="1"/>
  <c r="AB220" i="5" a="1"/>
  <c r="AB220" i="5" s="1"/>
  <c r="AB236" i="5" a="1"/>
  <c r="AB236" i="5" s="1"/>
  <c r="AB252" i="5" a="1"/>
  <c r="AB252" i="5" s="1"/>
  <c r="AB268" i="5" a="1"/>
  <c r="AB268" i="5" s="1"/>
  <c r="AB17" i="5" a="1"/>
  <c r="AB17" i="5" s="1"/>
  <c r="AB65" i="5" a="1"/>
  <c r="AB65" i="5" s="1"/>
  <c r="AB173" i="5" a="1"/>
  <c r="AB173" i="5" s="1"/>
  <c r="AB36" i="5" a="1"/>
  <c r="AB36" i="5" s="1"/>
  <c r="AB119" i="5" a="1"/>
  <c r="AB119" i="5" s="1"/>
  <c r="AB158" i="5" a="1"/>
  <c r="AB158" i="5" s="1"/>
  <c r="AB46" i="5" a="1"/>
  <c r="AB46" i="5" s="1"/>
  <c r="AB102" i="5" a="1"/>
  <c r="AB102" i="5" s="1"/>
  <c r="AB167" i="5" a="1"/>
  <c r="AB167" i="5" s="1"/>
  <c r="AB296" i="5" a="1"/>
  <c r="AB296" i="5" s="1"/>
  <c r="AB322" i="5" a="1"/>
  <c r="AB322" i="5" s="1"/>
  <c r="AB338" i="5" a="1"/>
  <c r="AB338" i="5" s="1"/>
  <c r="AB354" i="5" a="1"/>
  <c r="AB354" i="5" s="1"/>
  <c r="AB370" i="5" a="1"/>
  <c r="AB370" i="5" s="1"/>
  <c r="AB386" i="5" a="1"/>
  <c r="AB386" i="5" s="1"/>
  <c r="AB402" i="5" a="1"/>
  <c r="AB402" i="5" s="1"/>
  <c r="AB418" i="5" a="1"/>
  <c r="AB418" i="5" s="1"/>
  <c r="AB434" i="5" a="1"/>
  <c r="AB434" i="5" s="1"/>
  <c r="AB450" i="5" a="1"/>
  <c r="AB450" i="5" s="1"/>
  <c r="AB466" i="5" a="1"/>
  <c r="AB466" i="5" s="1"/>
  <c r="AB482" i="5" a="1"/>
  <c r="AB482" i="5" s="1"/>
  <c r="AB498" i="5" a="1"/>
  <c r="AB498" i="5" s="1"/>
  <c r="AB514" i="5" a="1"/>
  <c r="AB514" i="5" s="1"/>
  <c r="AB530" i="5" a="1"/>
  <c r="AB530" i="5" s="1"/>
  <c r="AB546" i="5" a="1"/>
  <c r="AB546" i="5" s="1"/>
  <c r="AB562" i="5" a="1"/>
  <c r="AB562" i="5" s="1"/>
  <c r="AB578" i="5" a="1"/>
  <c r="AB578" i="5" s="1"/>
  <c r="AB594" i="5" a="1"/>
  <c r="AB594" i="5" s="1"/>
  <c r="AB610" i="5" a="1"/>
  <c r="AB610" i="5" s="1"/>
  <c r="AB298" i="5" a="1"/>
  <c r="AB298" i="5" s="1"/>
  <c r="AB321" i="5" a="1"/>
  <c r="AB321" i="5" s="1"/>
  <c r="AB337" i="5" a="1"/>
  <c r="AB337" i="5" s="1"/>
  <c r="AB353" i="5" a="1"/>
  <c r="AB353" i="5" s="1"/>
  <c r="AB369" i="5" a="1"/>
  <c r="AB369" i="5" s="1"/>
  <c r="AB385" i="5" a="1"/>
  <c r="AB385" i="5" s="1"/>
  <c r="AB401" i="5" a="1"/>
  <c r="AB401" i="5" s="1"/>
  <c r="AB417" i="5" a="1"/>
  <c r="AB417" i="5" s="1"/>
  <c r="AB433" i="5" a="1"/>
  <c r="AB433" i="5" s="1"/>
  <c r="AB449" i="5" a="1"/>
  <c r="AB449" i="5" s="1"/>
  <c r="AB465" i="5" a="1"/>
  <c r="AB465" i="5" s="1"/>
  <c r="AB481" i="5" a="1"/>
  <c r="AB481" i="5" s="1"/>
  <c r="AB497" i="5" a="1"/>
  <c r="AB497" i="5" s="1"/>
  <c r="AB513" i="5" a="1"/>
  <c r="AB513" i="5" s="1"/>
  <c r="AB529" i="5" a="1"/>
  <c r="AB529" i="5" s="1"/>
  <c r="AB545" i="5" a="1"/>
  <c r="AB545" i="5" s="1"/>
  <c r="AB561" i="5" a="1"/>
  <c r="AB561" i="5" s="1"/>
  <c r="AB577" i="5" a="1"/>
  <c r="AB577" i="5" s="1"/>
  <c r="AB593" i="5" a="1"/>
  <c r="AB593" i="5" s="1"/>
  <c r="AB609" i="5" a="1"/>
  <c r="AB609" i="5" s="1"/>
  <c r="AB654" i="5" a="1"/>
  <c r="AB654" i="5" s="1"/>
  <c r="AB670" i="5" a="1"/>
  <c r="AB670" i="5" s="1"/>
  <c r="AB686" i="5" a="1"/>
  <c r="AB686" i="5" s="1"/>
  <c r="AB702" i="5" a="1"/>
  <c r="AB702" i="5" s="1"/>
  <c r="AB718" i="5" a="1"/>
  <c r="AB718" i="5" s="1"/>
  <c r="AB734" i="5" a="1"/>
  <c r="AB734" i="5" s="1"/>
  <c r="AB750" i="5" a="1"/>
  <c r="AB750" i="5" s="1"/>
  <c r="AB766" i="5" a="1"/>
  <c r="AB766" i="5" s="1"/>
  <c r="AB782" i="5" a="1"/>
  <c r="AB782" i="5" s="1"/>
  <c r="AB798" i="5" a="1"/>
  <c r="AB798" i="5" s="1"/>
  <c r="AB814" i="5" a="1"/>
  <c r="AB814" i="5" s="1"/>
  <c r="AB830" i="5" a="1"/>
  <c r="AB830" i="5" s="1"/>
  <c r="AB846" i="5" a="1"/>
  <c r="AB846" i="5" s="1"/>
  <c r="AB862" i="5" a="1"/>
  <c r="AB862" i="5" s="1"/>
  <c r="AB878" i="5" a="1"/>
  <c r="AB878" i="5" s="1"/>
  <c r="AB894" i="5" a="1"/>
  <c r="AB894" i="5" s="1"/>
  <c r="AB910" i="5" a="1"/>
  <c r="AB910" i="5" s="1"/>
  <c r="AB926" i="5" a="1"/>
  <c r="AB926" i="5" s="1"/>
  <c r="AB942" i="5" a="1"/>
  <c r="AB942" i="5" s="1"/>
  <c r="AB958" i="5" a="1"/>
  <c r="AB958" i="5" s="1"/>
  <c r="AB974" i="5" a="1"/>
  <c r="AB974" i="5" s="1"/>
  <c r="AB990" i="5" a="1"/>
  <c r="AB990" i="5" s="1"/>
  <c r="AB1006" i="5" a="1"/>
  <c r="AB1006" i="5" s="1"/>
  <c r="AB1022" i="5" a="1"/>
  <c r="AB1022" i="5" s="1"/>
  <c r="AB1038" i="5" a="1"/>
  <c r="AB1038" i="5" s="1"/>
  <c r="AB1054" i="5" a="1"/>
  <c r="AB1054" i="5" s="1"/>
  <c r="AB1070" i="5" a="1"/>
  <c r="AB1070" i="5" s="1"/>
  <c r="AB638" i="5" a="1"/>
  <c r="AB638" i="5" s="1"/>
  <c r="AB635" i="5" a="1"/>
  <c r="AB635" i="5" s="1"/>
  <c r="AB659" i="5" a="1"/>
  <c r="AB659" i="5" s="1"/>
  <c r="AB675" i="5" a="1"/>
  <c r="AB675" i="5" s="1"/>
  <c r="AB691" i="5" a="1"/>
  <c r="AB691" i="5" s="1"/>
  <c r="AB707" i="5" a="1"/>
  <c r="AB707" i="5" s="1"/>
  <c r="AB723" i="5" a="1"/>
  <c r="AB723" i="5" s="1"/>
  <c r="AB739" i="5" a="1"/>
  <c r="AB739" i="5" s="1"/>
  <c r="AB755" i="5" a="1"/>
  <c r="AB755" i="5" s="1"/>
  <c r="AB771" i="5" a="1"/>
  <c r="AB771" i="5" s="1"/>
  <c r="AB787" i="5" a="1"/>
  <c r="AB787" i="5" s="1"/>
  <c r="AB803" i="5" a="1"/>
  <c r="AB803" i="5" s="1"/>
  <c r="AB819" i="5" a="1"/>
  <c r="AB819" i="5" s="1"/>
  <c r="AB835" i="5" a="1"/>
  <c r="AB835" i="5" s="1"/>
  <c r="AB851" i="5" a="1"/>
  <c r="AB851" i="5" s="1"/>
  <c r="AB867" i="5" a="1"/>
  <c r="AB867" i="5" s="1"/>
  <c r="AB883" i="5" a="1"/>
  <c r="AB883" i="5" s="1"/>
  <c r="AB899" i="5" a="1"/>
  <c r="AB899" i="5" s="1"/>
  <c r="AB915" i="5" a="1"/>
  <c r="AB915" i="5" s="1"/>
  <c r="AB931" i="5" a="1"/>
  <c r="AB931" i="5" s="1"/>
  <c r="AB947" i="5" a="1"/>
  <c r="AB947" i="5" s="1"/>
  <c r="AB963" i="5" a="1"/>
  <c r="AB963" i="5" s="1"/>
  <c r="AB979" i="5" a="1"/>
  <c r="AB979" i="5" s="1"/>
  <c r="AB995" i="5" a="1"/>
  <c r="AB995" i="5" s="1"/>
  <c r="AB1011" i="5" a="1"/>
  <c r="AB1011" i="5" s="1"/>
  <c r="AB1027" i="5" a="1"/>
  <c r="AB1027" i="5" s="1"/>
  <c r="AB1043" i="5" a="1"/>
  <c r="AB1043" i="5" s="1"/>
  <c r="AB1059" i="5" a="1"/>
  <c r="AB1059" i="5" s="1"/>
  <c r="AB620" i="5" a="1"/>
  <c r="AB620" i="5" s="1"/>
  <c r="AB621" i="5" a="1"/>
  <c r="AB621" i="5" s="1"/>
  <c r="AB4" i="5" a="1"/>
  <c r="AB4" i="5" s="1"/>
  <c r="AB8" i="5" a="1"/>
  <c r="AB8" i="5" s="1"/>
  <c r="AB34" i="5" a="1"/>
  <c r="AB34" i="5" s="1"/>
  <c r="AB107" i="5" a="1"/>
  <c r="AB107" i="5" s="1"/>
  <c r="AB178" i="5" a="1"/>
  <c r="AB178" i="5" s="1"/>
  <c r="AB209" i="5" a="1"/>
  <c r="AB209" i="5" s="1"/>
  <c r="AB225" i="5" a="1"/>
  <c r="AB225" i="5" s="1"/>
  <c r="AB241" i="5" a="1"/>
  <c r="AB241" i="5" s="1"/>
  <c r="AB257" i="5" a="1"/>
  <c r="AB257" i="5" s="1"/>
  <c r="AB273" i="5" a="1"/>
  <c r="AB273" i="5" s="1"/>
  <c r="AB289" i="5" a="1"/>
  <c r="AB289" i="5" s="1"/>
  <c r="AB305" i="5" a="1"/>
  <c r="AB305" i="5" s="1"/>
  <c r="AB47" i="5" a="1"/>
  <c r="AB47" i="5" s="1"/>
  <c r="AB120" i="5" a="1"/>
  <c r="AB120" i="5" s="1"/>
  <c r="AB191" i="5" a="1"/>
  <c r="AB191" i="5" s="1"/>
  <c r="AB64" i="5" a="1"/>
  <c r="AB64" i="5" s="1"/>
  <c r="AB150" i="5" a="1"/>
  <c r="AB150" i="5" s="1"/>
  <c r="AB35" i="5" a="1"/>
  <c r="AB35" i="5" s="1"/>
  <c r="AB116" i="5" a="1"/>
  <c r="AB116" i="5" s="1"/>
  <c r="AB166" i="5" a="1"/>
  <c r="AB166" i="5" s="1"/>
  <c r="AB71" i="5" a="1"/>
  <c r="AB71" i="5" s="1"/>
  <c r="AB114" i="5" a="1"/>
  <c r="AB114" i="5" s="1"/>
  <c r="AB164" i="5" a="1"/>
  <c r="AB164" i="5" s="1"/>
  <c r="AB206" i="5" a="1"/>
  <c r="AB206" i="5" s="1"/>
  <c r="AB222" i="5" a="1"/>
  <c r="AB222" i="5" s="1"/>
  <c r="AB238" i="5" a="1"/>
  <c r="AB238" i="5" s="1"/>
  <c r="AB254" i="5" a="1"/>
  <c r="AB254" i="5" s="1"/>
  <c r="AB270" i="5" a="1"/>
  <c r="AB270" i="5" s="1"/>
  <c r="AB21" i="5" a="1"/>
  <c r="AB21" i="5" s="1"/>
  <c r="AB72" i="5" a="1"/>
  <c r="AB72" i="5" s="1"/>
  <c r="AB175" i="5" a="1"/>
  <c r="AB175" i="5" s="1"/>
  <c r="AB59" i="5" a="1"/>
  <c r="AB59" i="5" s="1"/>
  <c r="AB124" i="5" a="1"/>
  <c r="AB124" i="5" s="1"/>
  <c r="AB160" i="5" a="1"/>
  <c r="AB160" i="5" s="1"/>
  <c r="AB56" i="5" a="1"/>
  <c r="AB56" i="5" s="1"/>
  <c r="AB110" i="5" a="1"/>
  <c r="AB110" i="5" s="1"/>
  <c r="AB182" i="5" a="1"/>
  <c r="AB182" i="5" s="1"/>
  <c r="AB300" i="5" a="1"/>
  <c r="AB300" i="5" s="1"/>
  <c r="AB324" i="5" a="1"/>
  <c r="AB324" i="5" s="1"/>
  <c r="AB340" i="5" a="1"/>
  <c r="AB340" i="5" s="1"/>
  <c r="AB356" i="5" a="1"/>
  <c r="AB356" i="5" s="1"/>
  <c r="AB372" i="5" a="1"/>
  <c r="AB372" i="5" s="1"/>
  <c r="AB388" i="5" a="1"/>
  <c r="AB388" i="5" s="1"/>
  <c r="AB404" i="5" a="1"/>
  <c r="AB404" i="5" s="1"/>
  <c r="AB420" i="5" a="1"/>
  <c r="AB420" i="5" s="1"/>
  <c r="AB436" i="5" a="1"/>
  <c r="AB436" i="5" s="1"/>
  <c r="AB452" i="5" a="1"/>
  <c r="AB452" i="5" s="1"/>
  <c r="AB468" i="5" a="1"/>
  <c r="AB468" i="5" s="1"/>
  <c r="AB484" i="5" a="1"/>
  <c r="AB484" i="5" s="1"/>
  <c r="AB500" i="5" a="1"/>
  <c r="AB500" i="5" s="1"/>
  <c r="AB516" i="5" a="1"/>
  <c r="AB516" i="5" s="1"/>
  <c r="AB532" i="5" a="1"/>
  <c r="AB532" i="5" s="1"/>
  <c r="AB548" i="5" a="1"/>
  <c r="AB548" i="5" s="1"/>
  <c r="AB564" i="5" a="1"/>
  <c r="AB564" i="5" s="1"/>
  <c r="AB580" i="5" a="1"/>
  <c r="AB580" i="5" s="1"/>
  <c r="AB596" i="5" a="1"/>
  <c r="AB596" i="5" s="1"/>
  <c r="AB612" i="5" a="1"/>
  <c r="AB612" i="5" s="1"/>
  <c r="AB302" i="5" a="1"/>
  <c r="AB302" i="5" s="1"/>
  <c r="AB323" i="5" a="1"/>
  <c r="AB323" i="5" s="1"/>
  <c r="AB339" i="5" a="1"/>
  <c r="AB339" i="5" s="1"/>
  <c r="AB355" i="5" a="1"/>
  <c r="AB355" i="5" s="1"/>
  <c r="AB371" i="5" a="1"/>
  <c r="AB371" i="5" s="1"/>
  <c r="AB387" i="5" a="1"/>
  <c r="AB387" i="5" s="1"/>
  <c r="AB403" i="5" a="1"/>
  <c r="AB403" i="5" s="1"/>
  <c r="AB419" i="5" a="1"/>
  <c r="AB419" i="5" s="1"/>
  <c r="AB435" i="5" a="1"/>
  <c r="AB435" i="5" s="1"/>
  <c r="AB451" i="5" a="1"/>
  <c r="AB451" i="5" s="1"/>
  <c r="AB467" i="5" a="1"/>
  <c r="AB467" i="5" s="1"/>
  <c r="AB483" i="5" a="1"/>
  <c r="AB483" i="5" s="1"/>
  <c r="AB499" i="5" a="1"/>
  <c r="AB499" i="5" s="1"/>
  <c r="AB515" i="5" a="1"/>
  <c r="AB515" i="5" s="1"/>
  <c r="AB531" i="5" a="1"/>
  <c r="AB531" i="5" s="1"/>
  <c r="AB547" i="5" a="1"/>
  <c r="AB547" i="5" s="1"/>
  <c r="AB563" i="5" a="1"/>
  <c r="AB563" i="5" s="1"/>
  <c r="AB579" i="5" a="1"/>
  <c r="AB579" i="5" s="1"/>
  <c r="AB595" i="5" a="1"/>
  <c r="AB595" i="5" s="1"/>
  <c r="AB611" i="5" a="1"/>
  <c r="AB611" i="5" s="1"/>
  <c r="AB656" i="5" a="1"/>
  <c r="AB656" i="5" s="1"/>
  <c r="AB672" i="5" a="1"/>
  <c r="AB672" i="5" s="1"/>
  <c r="AB688" i="5" a="1"/>
  <c r="AB688" i="5" s="1"/>
  <c r="AB704" i="5" a="1"/>
  <c r="AB704" i="5" s="1"/>
  <c r="AB720" i="5" a="1"/>
  <c r="AB720" i="5" s="1"/>
  <c r="AB736" i="5" a="1"/>
  <c r="AB736" i="5" s="1"/>
  <c r="AB752" i="5" a="1"/>
  <c r="AB752" i="5" s="1"/>
  <c r="AB768" i="5" a="1"/>
  <c r="AB768" i="5" s="1"/>
  <c r="AB784" i="5" a="1"/>
  <c r="AB784" i="5" s="1"/>
  <c r="AB800" i="5" a="1"/>
  <c r="AB800" i="5" s="1"/>
  <c r="AB816" i="5" a="1"/>
  <c r="AB816" i="5" s="1"/>
  <c r="AB832" i="5" a="1"/>
  <c r="AB832" i="5" s="1"/>
  <c r="AB848" i="5" a="1"/>
  <c r="AB848" i="5" s="1"/>
  <c r="AB864" i="5" a="1"/>
  <c r="AB864" i="5" s="1"/>
  <c r="AB880" i="5" a="1"/>
  <c r="AB880" i="5" s="1"/>
  <c r="AB896" i="5" a="1"/>
  <c r="AB896" i="5" s="1"/>
  <c r="AB912" i="5" a="1"/>
  <c r="AB912" i="5" s="1"/>
  <c r="AB928" i="5" a="1"/>
  <c r="AB928" i="5" s="1"/>
  <c r="AB944" i="5" a="1"/>
  <c r="AB944" i="5" s="1"/>
  <c r="AB960" i="5" a="1"/>
  <c r="AB960" i="5" s="1"/>
  <c r="AB976" i="5" a="1"/>
  <c r="AB976" i="5" s="1"/>
  <c r="AB992" i="5" a="1"/>
  <c r="AB992" i="5" s="1"/>
  <c r="AB1008" i="5" a="1"/>
  <c r="AB1008" i="5" s="1"/>
  <c r="AB1024" i="5" a="1"/>
  <c r="AB1024" i="5" s="1"/>
  <c r="AB1040" i="5" a="1"/>
  <c r="AB1040" i="5" s="1"/>
  <c r="AB1056" i="5" a="1"/>
  <c r="AB1056" i="5" s="1"/>
  <c r="AB1072" i="5" a="1"/>
  <c r="AB1072" i="5" s="1"/>
  <c r="AB641" i="5" a="1"/>
  <c r="AB641" i="5" s="1"/>
  <c r="AB642" i="5" a="1"/>
  <c r="AB642" i="5" s="1"/>
  <c r="AB661" i="5" a="1"/>
  <c r="AB661" i="5" s="1"/>
  <c r="AB677" i="5" a="1"/>
  <c r="AB677" i="5" s="1"/>
  <c r="AB693" i="5" a="1"/>
  <c r="AB693" i="5" s="1"/>
  <c r="AB709" i="5" a="1"/>
  <c r="AB709" i="5" s="1"/>
  <c r="AB725" i="5" a="1"/>
  <c r="AB725" i="5" s="1"/>
  <c r="AB741" i="5" a="1"/>
  <c r="AB741" i="5" s="1"/>
  <c r="AB757" i="5" a="1"/>
  <c r="AB757" i="5" s="1"/>
  <c r="AB773" i="5" a="1"/>
  <c r="AB773" i="5" s="1"/>
  <c r="AB789" i="5" a="1"/>
  <c r="AB789" i="5" s="1"/>
  <c r="AB805" i="5" a="1"/>
  <c r="AB805" i="5" s="1"/>
  <c r="AB821" i="5" a="1"/>
  <c r="AB821" i="5" s="1"/>
  <c r="AB837" i="5" a="1"/>
  <c r="AB837" i="5" s="1"/>
  <c r="AB853" i="5" a="1"/>
  <c r="AB853" i="5" s="1"/>
  <c r="AB869" i="5" a="1"/>
  <c r="AB869" i="5" s="1"/>
  <c r="AB885" i="5" a="1"/>
  <c r="AB885" i="5" s="1"/>
  <c r="AB901" i="5" a="1"/>
  <c r="AB901" i="5" s="1"/>
  <c r="AB917" i="5" a="1"/>
  <c r="AB917" i="5" s="1"/>
  <c r="AB933" i="5" a="1"/>
  <c r="AB933" i="5" s="1"/>
  <c r="AB949" i="5" a="1"/>
  <c r="AB949" i="5" s="1"/>
  <c r="AB965" i="5" a="1"/>
  <c r="AB965" i="5" s="1"/>
  <c r="AB981" i="5" a="1"/>
  <c r="AB981" i="5" s="1"/>
  <c r="AB997" i="5" a="1"/>
  <c r="AB997" i="5" s="1"/>
  <c r="AB1013" i="5" a="1"/>
  <c r="AB1013" i="5" s="1"/>
  <c r="AB1029" i="5" a="1"/>
  <c r="AB1029" i="5" s="1"/>
  <c r="AB1045" i="5" a="1"/>
  <c r="AB1045" i="5" s="1"/>
  <c r="AB1061" i="5" a="1"/>
  <c r="AB1061" i="5" s="1"/>
  <c r="AB624" i="5" a="1"/>
  <c r="AB624" i="5" s="1"/>
  <c r="AB625" i="5" a="1"/>
  <c r="AB625" i="5" s="1"/>
  <c r="AB73" i="5" a="1"/>
  <c r="AB73" i="5" s="1"/>
  <c r="AB10" i="5" a="1"/>
  <c r="AB10" i="5" s="1"/>
  <c r="AB15" i="5" a="1"/>
  <c r="AB15" i="5" s="1"/>
  <c r="AB16" i="5" a="1"/>
  <c r="AB16" i="5" s="1"/>
  <c r="Z41" i="5" a="1"/>
  <c r="Z41" i="5" s="1"/>
  <c r="Z104" i="5" a="1"/>
  <c r="Z104" i="5" s="1"/>
  <c r="Z96" i="5" a="1"/>
  <c r="Z96" i="5" s="1"/>
  <c r="Z940" i="5" a="1"/>
  <c r="Z940" i="5" s="1"/>
  <c r="Z812" i="5" a="1"/>
  <c r="Z812" i="5" s="1"/>
  <c r="Z684" i="5" a="1"/>
  <c r="Z684" i="5" s="1"/>
  <c r="Z987" i="5" a="1"/>
  <c r="Z987" i="5" s="1"/>
  <c r="Z859" i="5" a="1"/>
  <c r="Z859" i="5" s="1"/>
  <c r="Z731" i="5" a="1"/>
  <c r="Z731" i="5" s="1"/>
  <c r="Z300" i="5" a="1"/>
  <c r="Z300" i="5" s="1"/>
  <c r="Z539" i="5" a="1"/>
  <c r="Z539" i="5" s="1"/>
  <c r="Z411" i="5" a="1"/>
  <c r="Z411" i="5" s="1"/>
  <c r="Z289" i="5" a="1"/>
  <c r="Z289" i="5" s="1"/>
  <c r="Z492" i="5" a="1"/>
  <c r="Z492" i="5" s="1"/>
  <c r="Z364" i="5" a="1"/>
  <c r="Z364" i="5" s="1"/>
  <c r="Z215" i="5" a="1"/>
  <c r="Z215" i="5" s="1"/>
  <c r="Z228" i="5" a="1"/>
  <c r="Z228" i="5" s="1"/>
  <c r="Z58" i="5" a="1"/>
  <c r="Z58" i="5" s="1"/>
  <c r="Z29" i="5" a="1"/>
  <c r="Z29" i="5" s="1"/>
  <c r="Z1034" i="5" a="1"/>
  <c r="Z1034" i="5" s="1"/>
  <c r="Z906" i="5" a="1"/>
  <c r="Z906" i="5" s="1"/>
  <c r="Z778" i="5" a="1"/>
  <c r="Z778" i="5" s="1"/>
  <c r="Z650" i="5" a="1"/>
  <c r="Z650" i="5" s="1"/>
  <c r="Z953" i="5" a="1"/>
  <c r="Z953" i="5" s="1"/>
  <c r="Z825" i="5" a="1"/>
  <c r="Z825" i="5" s="1"/>
  <c r="Z697" i="5" a="1"/>
  <c r="Z697" i="5" s="1"/>
  <c r="Z633" i="5" a="1"/>
  <c r="Z633" i="5" s="1"/>
  <c r="Z505" i="5" a="1"/>
  <c r="Z505" i="5" s="1"/>
  <c r="Z377" i="5" a="1"/>
  <c r="Z377" i="5" s="1"/>
  <c r="Z586" i="5" a="1"/>
  <c r="Z586" i="5" s="1"/>
  <c r="Z458" i="5" a="1"/>
  <c r="Z458" i="5" s="1"/>
  <c r="Z330" i="5" a="1"/>
  <c r="Z330" i="5" s="1"/>
  <c r="Z186" i="5" a="1"/>
  <c r="Z186" i="5" s="1"/>
  <c r="Z179" i="5" a="1"/>
  <c r="Z179" i="5" s="1"/>
  <c r="Z9" i="5" a="1"/>
  <c r="Z9" i="5" s="1"/>
  <c r="Z164" i="5" a="1"/>
  <c r="Z164" i="5" s="1"/>
  <c r="Z1000" i="5" a="1"/>
  <c r="Z1000" i="5" s="1"/>
  <c r="Z872" i="5" a="1"/>
  <c r="Z872" i="5" s="1"/>
  <c r="Z744" i="5" a="1"/>
  <c r="Z744" i="5" s="1"/>
  <c r="Z1055" i="5" a="1"/>
  <c r="Z1055" i="5" s="1"/>
  <c r="Z919" i="5" a="1"/>
  <c r="Z919" i="5" s="1"/>
  <c r="Z791" i="5" a="1"/>
  <c r="Z791" i="5" s="1"/>
  <c r="Z663" i="5" a="1"/>
  <c r="Z663" i="5" s="1"/>
  <c r="Z599" i="5" a="1"/>
  <c r="Z599" i="5" s="1"/>
  <c r="Z471" i="5" a="1"/>
  <c r="Z471" i="5" s="1"/>
  <c r="Z343" i="5" a="1"/>
  <c r="Z343" i="5" s="1"/>
  <c r="Z552" i="5" a="1"/>
  <c r="Z552" i="5" s="1"/>
  <c r="Z424" i="5" a="1"/>
  <c r="Z424" i="5" s="1"/>
  <c r="Z275" i="5" a="1"/>
  <c r="Z275" i="5" s="1"/>
  <c r="Z175" i="5" a="1"/>
  <c r="Z175" i="5" s="1"/>
  <c r="Z111" i="5" a="1"/>
  <c r="Z111" i="5" s="1"/>
  <c r="Z110" i="5" a="1"/>
  <c r="Z110" i="5" s="1"/>
  <c r="Z68" i="5" a="1"/>
  <c r="Z68" i="5" s="1"/>
  <c r="Z966" i="5" a="1"/>
  <c r="Z966" i="5" s="1"/>
  <c r="Z838" i="5" a="1"/>
  <c r="Z838" i="5" s="1"/>
  <c r="Z710" i="5" a="1"/>
  <c r="Z710" i="5" s="1"/>
  <c r="Z1013" i="5" a="1"/>
  <c r="Z1013" i="5" s="1"/>
  <c r="Z885" i="5" a="1"/>
  <c r="Z885" i="5" s="1"/>
  <c r="Z757" i="5" a="1"/>
  <c r="Z757" i="5" s="1"/>
  <c r="Z1065" i="5" a="1"/>
  <c r="Z1065" i="5" s="1"/>
  <c r="Z565" i="5" a="1"/>
  <c r="Z565" i="5" s="1"/>
  <c r="Z437" i="5" a="1"/>
  <c r="Z437" i="5" s="1"/>
  <c r="Z310" i="5" a="1"/>
  <c r="Z310" i="5" s="1"/>
  <c r="Z518" i="5" a="1"/>
  <c r="Z518" i="5" s="1"/>
  <c r="Z390" i="5" a="1"/>
  <c r="Z390" i="5" s="1"/>
  <c r="Z241" i="5" a="1"/>
  <c r="Z241" i="5" s="1"/>
  <c r="Z254" i="5" a="1"/>
  <c r="Z254" i="5" s="1"/>
  <c r="Z17" i="5" a="1"/>
  <c r="Z17" i="5" s="1"/>
  <c r="Z129" i="5" a="1"/>
  <c r="Z129" i="5" s="1"/>
  <c r="Z101" i="5" a="1"/>
  <c r="Z101" i="5" s="1"/>
  <c r="Z948" i="5" a="1"/>
  <c r="Z948" i="5" s="1"/>
  <c r="Z820" i="5" a="1"/>
  <c r="Z820" i="5" s="1"/>
  <c r="Z692" i="5" a="1"/>
  <c r="Z692" i="5" s="1"/>
  <c r="Z995" i="5" a="1"/>
  <c r="Z995" i="5" s="1"/>
  <c r="Z867" i="5" a="1"/>
  <c r="Z867" i="5" s="1"/>
  <c r="Z739" i="5" a="1"/>
  <c r="Z739" i="5" s="1"/>
  <c r="Z622" i="5" a="1"/>
  <c r="Z622" i="5" s="1"/>
  <c r="Z547" i="5" a="1"/>
  <c r="Z547" i="5" s="1"/>
  <c r="Z419" i="5" a="1"/>
  <c r="Z419" i="5" s="1"/>
  <c r="Z305" i="5" a="1"/>
  <c r="Z305" i="5" s="1"/>
  <c r="Z500" i="5" a="1"/>
  <c r="Z500" i="5" s="1"/>
  <c r="Z372" i="5" a="1"/>
  <c r="Z372" i="5" s="1"/>
  <c r="Z223" i="5" a="1"/>
  <c r="Z223" i="5" s="1"/>
  <c r="Z236" i="5" a="1"/>
  <c r="Z236" i="5" s="1"/>
  <c r="Z121" i="5" a="1"/>
  <c r="Z121" i="5" s="1"/>
  <c r="Z191" i="5" a="1"/>
  <c r="Z191" i="5" s="1"/>
  <c r="Z1042" i="5" a="1"/>
  <c r="Z1042" i="5" s="1"/>
  <c r="Z914" i="5" a="1"/>
  <c r="Z914" i="5" s="1"/>
  <c r="Z786" i="5" a="1"/>
  <c r="Z786" i="5" s="1"/>
  <c r="Z658" i="5" a="1"/>
  <c r="Z658" i="5" s="1"/>
  <c r="Z961" i="5" a="1"/>
  <c r="Z961" i="5" s="1"/>
  <c r="Z833" i="5" a="1"/>
  <c r="Z833" i="5" s="1"/>
  <c r="Z705" i="5" a="1"/>
  <c r="Z705" i="5" s="1"/>
  <c r="Z641" i="5" a="1"/>
  <c r="Z641" i="5" s="1"/>
  <c r="Z513" i="5" a="1"/>
  <c r="Z513" i="5" s="1"/>
  <c r="Z385" i="5" a="1"/>
  <c r="Z385" i="5" s="1"/>
  <c r="Z594" i="5" a="1"/>
  <c r="Z594" i="5" s="1"/>
  <c r="Z466" i="5" a="1"/>
  <c r="Z466" i="5" s="1"/>
  <c r="Z338" i="5" a="1"/>
  <c r="Z338" i="5" s="1"/>
  <c r="Z143" i="5" a="1"/>
  <c r="Z143" i="5" s="1"/>
  <c r="Z202" i="5" a="1"/>
  <c r="Z202" i="5" s="1"/>
  <c r="Z56" i="5" a="1"/>
  <c r="Z56" i="5" s="1"/>
  <c r="Z93" i="5" a="1"/>
  <c r="Z93" i="5" s="1"/>
  <c r="Z1008" i="5" a="1"/>
  <c r="Z1008" i="5" s="1"/>
  <c r="Z880" i="5" a="1"/>
  <c r="Z880" i="5" s="1"/>
  <c r="Z752" i="5" a="1"/>
  <c r="Z752" i="5" s="1"/>
  <c r="Z1054" i="5" a="1"/>
  <c r="Z1054" i="5" s="1"/>
  <c r="Z927" i="5" a="1"/>
  <c r="Z927" i="5" s="1"/>
  <c r="Z799" i="5" a="1"/>
  <c r="Z799" i="5" s="1"/>
  <c r="Z671" i="5" a="1"/>
  <c r="Z671" i="5" s="1"/>
  <c r="Z607" i="5" a="1"/>
  <c r="Z607" i="5" s="1"/>
  <c r="Z479" i="5" a="1"/>
  <c r="Z479" i="5" s="1"/>
  <c r="Z351" i="5" a="1"/>
  <c r="Z351" i="5" s="1"/>
  <c r="Z560" i="5" a="1"/>
  <c r="Z560" i="5" s="1"/>
  <c r="Z432" i="5" a="1"/>
  <c r="Z432" i="5" s="1"/>
  <c r="Z42" i="5" a="1"/>
  <c r="Z42" i="5" s="1"/>
  <c r="Z133" i="5" a="1"/>
  <c r="Z133" i="5" s="1"/>
  <c r="Z139" i="5" a="1"/>
  <c r="Z139" i="5" s="1"/>
  <c r="Z25" i="5" a="1"/>
  <c r="Z25" i="5" s="1"/>
  <c r="Z32" i="5" a="1"/>
  <c r="Z32" i="5" s="1"/>
  <c r="Z974" i="5" a="1"/>
  <c r="Z974" i="5" s="1"/>
  <c r="Z846" i="5" a="1"/>
  <c r="Z846" i="5" s="1"/>
  <c r="Z718" i="5" a="1"/>
  <c r="Z718" i="5" s="1"/>
  <c r="Z1021" i="5" a="1"/>
  <c r="Z1021" i="5" s="1"/>
  <c r="Z893" i="5" a="1"/>
  <c r="Z893" i="5" s="1"/>
  <c r="Z765" i="5" a="1"/>
  <c r="Z765" i="5" s="1"/>
  <c r="Z644" i="5" a="1"/>
  <c r="Z644" i="5" s="1"/>
  <c r="Z573" i="5" a="1"/>
  <c r="Z573" i="5" s="1"/>
  <c r="Z445" i="5" a="1"/>
  <c r="Z445" i="5" s="1"/>
  <c r="Z317" i="5" a="1"/>
  <c r="Z317" i="5" s="1"/>
  <c r="Z526" i="5" a="1"/>
  <c r="Z526" i="5" s="1"/>
  <c r="Z398" i="5" a="1"/>
  <c r="Z398" i="5" s="1"/>
  <c r="Z249" i="5" a="1"/>
  <c r="Z249" i="5" s="1"/>
  <c r="Z262" i="5" a="1"/>
  <c r="Z262" i="5" s="1"/>
  <c r="X895" i="8" a="1"/>
  <c r="X895" i="8" s="1"/>
  <c r="X129" i="8" a="1"/>
  <c r="X129" i="8" s="1"/>
  <c r="X264" i="8" a="1"/>
  <c r="X264" i="8" s="1"/>
  <c r="X439" i="8" a="1"/>
  <c r="X439" i="8" s="1"/>
  <c r="X232" i="8" a="1"/>
  <c r="X232" i="8" s="1"/>
  <c r="X597" i="8" a="1"/>
  <c r="X597" i="8" s="1"/>
  <c r="X169" i="8" a="1"/>
  <c r="X169" i="8" s="1"/>
  <c r="X707" i="8" a="1"/>
  <c r="X707" i="8" s="1"/>
  <c r="X496" i="8" a="1"/>
  <c r="X496" i="8" s="1"/>
  <c r="X258" i="8" a="1"/>
  <c r="X258" i="8" s="1"/>
  <c r="X786" i="8" a="1"/>
  <c r="X786" i="8" s="1"/>
  <c r="X575" i="8" a="1"/>
  <c r="X575" i="8" s="1"/>
  <c r="X45" i="8" a="1"/>
  <c r="X45" i="8" s="1"/>
  <c r="X1047" i="8" a="1"/>
  <c r="X1047" i="8" s="1"/>
  <c r="X876" i="8" a="1"/>
  <c r="X876" i="8" s="1"/>
  <c r="X1011" i="8" a="1"/>
  <c r="X1011" i="8" s="1"/>
  <c r="X818" i="8" a="1"/>
  <c r="X818" i="8" s="1"/>
  <c r="X283" i="8" a="1"/>
  <c r="X283" i="8" s="1"/>
  <c r="X750" i="8" a="1"/>
  <c r="X750" i="8" s="1"/>
  <c r="X498" i="8" a="1"/>
  <c r="X498" i="8" s="1"/>
  <c r="X226" i="8" a="1"/>
  <c r="X226" i="8" s="1"/>
  <c r="X793" i="8" a="1"/>
  <c r="X793" i="8" s="1"/>
  <c r="X554" i="8" a="1"/>
  <c r="X554" i="8" s="1"/>
  <c r="X373" i="8" a="1"/>
  <c r="X373" i="8" s="1"/>
  <c r="X138" i="8" a="1"/>
  <c r="X138" i="8" s="1"/>
  <c r="X613" i="8" a="1"/>
  <c r="X613" i="8" s="1"/>
  <c r="X404" i="8" a="1"/>
  <c r="X404" i="8" s="1"/>
  <c r="X159" i="8" a="1"/>
  <c r="X159" i="8" s="1"/>
  <c r="X714" i="8" a="1"/>
  <c r="X714" i="8" s="1"/>
  <c r="X953" i="8" a="1"/>
  <c r="X953" i="8" s="1"/>
  <c r="X829" i="8" a="1"/>
  <c r="X829" i="8" s="1"/>
  <c r="X1009" i="8" a="1"/>
  <c r="X1009" i="8" s="1"/>
  <c r="X850" i="8" a="1"/>
  <c r="X850" i="8" s="1"/>
  <c r="X982" i="8" a="1"/>
  <c r="X982" i="8" s="1"/>
  <c r="X357" i="8" a="1"/>
  <c r="X357" i="8" s="1"/>
  <c r="X104" i="8" a="1"/>
  <c r="X104" i="8" s="1"/>
  <c r="X631" i="8" a="1"/>
  <c r="X631" i="8" s="1"/>
  <c r="X416" i="8" a="1"/>
  <c r="X416" i="8" s="1"/>
  <c r="X191" i="8" a="1"/>
  <c r="X191" i="8" s="1"/>
  <c r="X734" i="8" a="1"/>
  <c r="X734" i="8" s="1"/>
  <c r="X507" i="8" a="1"/>
  <c r="X507" i="8" s="1"/>
  <c r="X256" i="8" a="1"/>
  <c r="X256" i="8" s="1"/>
  <c r="X766" i="8" a="1"/>
  <c r="X766" i="8" s="1"/>
  <c r="X571" i="8" a="1"/>
  <c r="X571" i="8" s="1"/>
  <c r="X342" i="8" a="1"/>
  <c r="X342" i="8" s="1"/>
  <c r="X852" i="8" a="1"/>
  <c r="X852" i="8" s="1"/>
  <c r="X1068" i="8" a="1"/>
  <c r="X1068" i="8" s="1"/>
  <c r="X965" i="8" a="1"/>
  <c r="X965" i="8" s="1"/>
  <c r="X8" i="8" a="1"/>
  <c r="X8" i="8" s="1"/>
  <c r="X969" i="8" a="1"/>
  <c r="X969" i="8" s="1"/>
  <c r="X62" i="8" a="1"/>
  <c r="X62" i="8" s="1"/>
  <c r="X478" i="8" a="1"/>
  <c r="X478" i="8" s="1"/>
  <c r="X160" i="8" a="1"/>
  <c r="X160" i="8" s="1"/>
  <c r="X808" i="8" a="1"/>
  <c r="X808" i="8" s="1"/>
  <c r="X550" i="8" a="1"/>
  <c r="X550" i="8" s="1"/>
  <c r="X312" i="8" a="1"/>
  <c r="X312" i="8" s="1"/>
  <c r="X134" i="8" a="1"/>
  <c r="X134" i="8" s="1"/>
  <c r="X675" i="8" a="1"/>
  <c r="X675" i="8" s="1"/>
  <c r="X402" i="8" a="1"/>
  <c r="X402" i="8" s="1"/>
  <c r="X252" i="8" a="1"/>
  <c r="X252" i="8" s="1"/>
  <c r="X687" i="8" a="1"/>
  <c r="X687" i="8" s="1"/>
  <c r="X487" i="8" a="1"/>
  <c r="X487" i="8" s="1"/>
  <c r="X980" i="8" a="1"/>
  <c r="X980" i="8" s="1"/>
  <c r="X898" i="8" a="1"/>
  <c r="X898" i="8" s="1"/>
  <c r="X43" i="8" a="1"/>
  <c r="X43" i="8" s="1"/>
  <c r="X902" i="8" a="1"/>
  <c r="X902" i="8" s="1"/>
  <c r="X19" i="8" a="1"/>
  <c r="X19" i="8" s="1"/>
  <c r="X269" i="8" a="1"/>
  <c r="X269" i="8" s="1"/>
  <c r="X623" i="8" a="1"/>
  <c r="X623" i="8" s="1"/>
  <c r="X448" i="8" a="1"/>
  <c r="X448" i="8" s="1"/>
  <c r="X287" i="8" a="1"/>
  <c r="X287" i="8" s="1"/>
  <c r="X770" i="8" a="1"/>
  <c r="X770" i="8" s="1"/>
  <c r="X540" i="8" a="1"/>
  <c r="X540" i="8" s="1"/>
  <c r="X339" i="8" a="1"/>
  <c r="X339" i="8" s="1"/>
  <c r="X105" i="8" a="1"/>
  <c r="X105" i="8" s="1"/>
  <c r="X637" i="8" a="1"/>
  <c r="X637" i="8" s="1"/>
  <c r="X317" i="8" a="1"/>
  <c r="X317" i="8" s="1"/>
  <c r="X292" i="8" a="1"/>
  <c r="X292" i="8" s="1"/>
  <c r="X681" i="8" a="1"/>
  <c r="X681" i="8" s="1"/>
  <c r="X891" i="8" a="1"/>
  <c r="X891" i="8" s="1"/>
  <c r="X24" i="8" a="1"/>
  <c r="X24" i="8" s="1"/>
  <c r="X1002" i="8" a="1"/>
  <c r="X1002" i="8" s="1"/>
  <c r="X67" i="8" a="1"/>
  <c r="X67" i="8" s="1"/>
  <c r="X943" i="8" a="1"/>
  <c r="X943" i="8" s="1"/>
  <c r="X383" i="8" a="1"/>
  <c r="X383" i="8" s="1"/>
  <c r="X17" i="8" a="1"/>
  <c r="X17" i="8" s="1"/>
  <c r="X586" i="8" a="1"/>
  <c r="X586" i="8" s="1"/>
  <c r="X348" i="8" a="1"/>
  <c r="X348" i="8" s="1"/>
  <c r="X158" i="8" a="1"/>
  <c r="X158" i="8" s="1"/>
  <c r="X604" i="8" a="1"/>
  <c r="X604" i="8" s="1"/>
  <c r="X518" i="8" a="1"/>
  <c r="X518" i="8" s="1"/>
  <c r="X140" i="8" a="1"/>
  <c r="X140" i="8" s="1"/>
  <c r="X715" i="8" a="1"/>
  <c r="X715" i="8" s="1"/>
  <c r="X437" i="8" a="1"/>
  <c r="X437" i="8" s="1"/>
  <c r="X244" i="8" a="1"/>
  <c r="X244" i="8" s="1"/>
  <c r="X807" i="8" a="1"/>
  <c r="X807" i="8" s="1"/>
  <c r="X1012" i="8" a="1"/>
  <c r="X1012" i="8" s="1"/>
  <c r="X941" i="8" a="1"/>
  <c r="X941" i="8" s="1"/>
  <c r="X34" i="8" a="1"/>
  <c r="X34" i="8" s="1"/>
  <c r="X947" i="8" a="1"/>
  <c r="X947" i="8" s="1"/>
  <c r="X1048" i="8" a="1"/>
  <c r="X1048" i="8" s="1"/>
  <c r="X494" i="8" a="1"/>
  <c r="X494" i="8" s="1"/>
  <c r="X211" i="8" a="1"/>
  <c r="X211" i="8" s="1"/>
  <c r="X741" i="8" a="1"/>
  <c r="X741" i="8" s="1"/>
  <c r="X513" i="8" a="1"/>
  <c r="X513" i="8" s="1"/>
  <c r="X278" i="8" a="1"/>
  <c r="X278" i="8" s="1"/>
  <c r="X820" i="8" a="1"/>
  <c r="X820" i="8" s="1"/>
  <c r="X583" i="8" a="1"/>
  <c r="X583" i="8" s="1"/>
  <c r="X306" i="8" a="1"/>
  <c r="X306" i="8" s="1"/>
  <c r="X119" i="8" a="1"/>
  <c r="X119" i="8" s="1"/>
  <c r="X664" i="8" a="1"/>
  <c r="X664" i="8" s="1"/>
  <c r="X431" i="8" a="1"/>
  <c r="X431" i="8" s="1"/>
  <c r="X935" i="8" a="1"/>
  <c r="X935" i="8" s="1"/>
  <c r="X903" i="8" a="1"/>
  <c r="X903" i="8" s="1"/>
  <c r="X1058" i="8" a="1"/>
  <c r="X1058" i="8" s="1"/>
  <c r="X856" i="8" a="1"/>
  <c r="X856" i="8" s="1"/>
  <c r="X22" i="8" a="1"/>
  <c r="X22" i="8" s="1"/>
  <c r="X84" i="8" a="1"/>
  <c r="X84" i="8" s="1"/>
  <c r="X573" i="8" a="1"/>
  <c r="X573" i="8" s="1"/>
  <c r="X281" i="8" a="1"/>
  <c r="X281" i="8" s="1"/>
  <c r="X106" i="8" a="1"/>
  <c r="X106" i="8" s="1"/>
  <c r="X632" i="8" a="1"/>
  <c r="X632" i="8" s="1"/>
  <c r="X388" i="8" a="1"/>
  <c r="X388" i="8" s="1"/>
  <c r="X260" i="8" a="1"/>
  <c r="X260" i="8" s="1"/>
  <c r="X712" i="8" a="1"/>
  <c r="X712" i="8" s="1"/>
  <c r="X432" i="8" a="1"/>
  <c r="X432" i="8" s="1"/>
  <c r="X194" i="8" a="1"/>
  <c r="X194" i="8" s="1"/>
  <c r="X804" i="8" a="1"/>
  <c r="X804" i="8" s="1"/>
  <c r="X561" i="8" a="1"/>
  <c r="X561" i="8" s="1"/>
  <c r="X1071" i="8" a="1"/>
  <c r="X1071" i="8" s="1"/>
  <c r="X1035" i="8" a="1"/>
  <c r="X1035" i="8" s="1"/>
  <c r="X851" i="8" a="1"/>
  <c r="X851" i="8" s="1"/>
  <c r="X1010" i="8" a="1"/>
  <c r="X1010" i="8" s="1"/>
  <c r="X812" i="8" a="1"/>
  <c r="X812" i="8" s="1"/>
  <c r="Z6" i="8" a="1"/>
  <c r="Z6" i="8" s="1"/>
  <c r="Z1019" i="8" a="1"/>
  <c r="Z1019" i="8" s="1"/>
  <c r="Z994" i="8" a="1"/>
  <c r="Z994" i="8" s="1"/>
  <c r="Z888" i="8" a="1"/>
  <c r="Z888" i="8" s="1"/>
  <c r="Z843" i="8" a="1"/>
  <c r="Z843" i="8" s="1"/>
  <c r="Z764" i="8" a="1"/>
  <c r="Z764" i="8" s="1"/>
  <c r="Z718" i="8" a="1"/>
  <c r="Z718" i="8" s="1"/>
  <c r="Z654" i="8" a="1"/>
  <c r="Z654" i="8" s="1"/>
  <c r="Z586" i="8" a="1"/>
  <c r="Z586" i="8" s="1"/>
  <c r="Z441" i="8" a="1"/>
  <c r="Z441" i="8" s="1"/>
  <c r="Z486" i="8" a="1"/>
  <c r="Z486" i="8" s="1"/>
  <c r="Z390" i="8" a="1"/>
  <c r="Z390" i="8" s="1"/>
  <c r="Z367" i="8" a="1"/>
  <c r="Z367" i="8" s="1"/>
  <c r="Z208" i="8" a="1"/>
  <c r="Z208" i="8" s="1"/>
  <c r="Z308" i="8" a="1"/>
  <c r="Z308" i="8" s="1"/>
  <c r="Z133" i="8" a="1"/>
  <c r="Z133" i="8" s="1"/>
  <c r="Z84" i="8" a="1"/>
  <c r="Z84" i="8" s="1"/>
  <c r="Z1035" i="8" a="1"/>
  <c r="Z1035" i="8" s="1"/>
  <c r="Z977" i="8" a="1"/>
  <c r="Z977" i="8" s="1"/>
  <c r="Z898" i="8" a="1"/>
  <c r="Z898" i="8" s="1"/>
  <c r="Z866" i="8" a="1"/>
  <c r="Z866" i="8" s="1"/>
  <c r="Z775" i="8" a="1"/>
  <c r="Z775" i="8" s="1"/>
  <c r="Z757" i="8" a="1"/>
  <c r="Z757" i="8" s="1"/>
  <c r="Z639" i="8" a="1"/>
  <c r="Z639" i="8" s="1"/>
  <c r="Z582" i="8" a="1"/>
  <c r="Z582" i="8" s="1"/>
  <c r="Z541" i="8" a="1"/>
  <c r="Z541" i="8" s="1"/>
  <c r="Z501" i="8" a="1"/>
  <c r="Z501" i="8" s="1"/>
  <c r="Z398" i="8" a="1"/>
  <c r="Z398" i="8" s="1"/>
  <c r="Z324" i="8" a="1"/>
  <c r="Z324" i="8" s="1"/>
  <c r="Z159" i="8" a="1"/>
  <c r="Z159" i="8" s="1"/>
  <c r="Z271" i="8" a="1"/>
  <c r="Z271" i="8" s="1"/>
  <c r="Z211" i="8" a="1"/>
  <c r="Z211" i="8" s="1"/>
  <c r="Z53" i="8" a="1"/>
  <c r="Z53" i="8" s="1"/>
  <c r="Z63" i="8" a="1"/>
  <c r="Z63" i="8" s="1"/>
  <c r="Z1032" i="8" a="1"/>
  <c r="Z1032" i="8" s="1"/>
  <c r="Z971" i="8" a="1"/>
  <c r="Z971" i="8" s="1"/>
  <c r="Z895" i="8" a="1"/>
  <c r="Z895" i="8" s="1"/>
  <c r="Z821" i="8" a="1"/>
  <c r="Z821" i="8" s="1"/>
  <c r="Z742" i="8" a="1"/>
  <c r="Z742" i="8" s="1"/>
  <c r="Z708" i="8" a="1"/>
  <c r="Z708" i="8" s="1"/>
  <c r="Z636" i="8" a="1"/>
  <c r="Z636" i="8" s="1"/>
  <c r="Z588" i="8" a="1"/>
  <c r="Z588" i="8" s="1"/>
  <c r="Z431" i="8" a="1"/>
  <c r="Z431" i="8" s="1"/>
  <c r="Z476" i="8" a="1"/>
  <c r="Z476" i="8" s="1"/>
  <c r="Z381" i="8" a="1"/>
  <c r="Z381" i="8" s="1"/>
  <c r="Z359" i="8" a="1"/>
  <c r="Z359" i="8" s="1"/>
  <c r="Z198" i="8" a="1"/>
  <c r="Z198" i="8" s="1"/>
  <c r="Z256" i="8" a="1"/>
  <c r="Z256" i="8" s="1"/>
  <c r="Z124" i="8" a="1"/>
  <c r="Z124" i="8" s="1"/>
  <c r="Z56" i="8" a="1"/>
  <c r="Z56" i="8" s="1"/>
  <c r="Z31" i="8" a="1"/>
  <c r="Z31" i="8" s="1"/>
  <c r="Z1018" i="8" a="1"/>
  <c r="Z1018" i="8" s="1"/>
  <c r="Z956" i="8" a="1"/>
  <c r="Z956" i="8" s="1"/>
  <c r="Z894" i="8" a="1"/>
  <c r="Z894" i="8" s="1"/>
  <c r="Z806" i="8" a="1"/>
  <c r="Z806" i="8" s="1"/>
  <c r="Z751" i="8" a="1"/>
  <c r="Z751" i="8" s="1"/>
  <c r="Z690" i="8" a="1"/>
  <c r="Z690" i="8" s="1"/>
  <c r="Z647" i="8" a="1"/>
  <c r="Z647" i="8" s="1"/>
  <c r="Z578" i="8" a="1"/>
  <c r="Z578" i="8" s="1"/>
  <c r="Z458" i="8" a="1"/>
  <c r="Z458" i="8" s="1"/>
  <c r="Z466" i="8" a="1"/>
  <c r="Z466" i="8" s="1"/>
  <c r="Z346" i="8" a="1"/>
  <c r="Z346" i="8" s="1"/>
  <c r="Z284" i="8" a="1"/>
  <c r="Z284" i="8" s="1"/>
  <c r="Z286" i="8" a="1"/>
  <c r="Z286" i="8" s="1"/>
  <c r="Z187" i="8" a="1"/>
  <c r="Z187" i="8" s="1"/>
  <c r="Z123" i="8" a="1"/>
  <c r="Z123" i="8" s="1"/>
  <c r="Z58" i="8" a="1"/>
  <c r="Z58" i="8" s="1"/>
  <c r="Z1016" i="8" a="1"/>
  <c r="Z1016" i="8" s="1"/>
  <c r="Z961" i="8" a="1"/>
  <c r="Z961" i="8" s="1"/>
  <c r="Z889" i="8" a="1"/>
  <c r="Z889" i="8" s="1"/>
  <c r="Z789" i="8" a="1"/>
  <c r="Z789" i="8" s="1"/>
  <c r="Z741" i="8" a="1"/>
  <c r="Z741" i="8" s="1"/>
  <c r="Z698" i="8" a="1"/>
  <c r="Z698" i="8" s="1"/>
  <c r="Z640" i="8" a="1"/>
  <c r="Z640" i="8" s="1"/>
  <c r="Z573" i="8" a="1"/>
  <c r="Z573" i="8" s="1"/>
  <c r="Z453" i="8" a="1"/>
  <c r="Z453" i="8" s="1"/>
  <c r="Z461" i="8" a="1"/>
  <c r="Z461" i="8" s="1"/>
  <c r="Z345" i="8" a="1"/>
  <c r="Z345" i="8" s="1"/>
  <c r="Z334" i="8" a="1"/>
  <c r="Z334" i="8" s="1"/>
  <c r="Z283" i="8" a="1"/>
  <c r="Z283" i="8" s="1"/>
  <c r="Z182" i="8" a="1"/>
  <c r="Z182" i="8" s="1"/>
  <c r="Z115" i="8" a="1"/>
  <c r="Z115" i="8" s="1"/>
  <c r="Z35" i="8" a="1"/>
  <c r="Z35" i="8" s="1"/>
  <c r="Z1034" i="8" a="1"/>
  <c r="Z1034" i="8" s="1"/>
  <c r="Z959" i="8" a="1"/>
  <c r="Z959" i="8" s="1"/>
  <c r="Z911" i="8" a="1"/>
  <c r="Z911" i="8" s="1"/>
  <c r="Z870" i="8" a="1"/>
  <c r="Z870" i="8" s="1"/>
  <c r="Z794" i="8" a="1"/>
  <c r="Z794" i="8" s="1"/>
  <c r="Z745" i="8" a="1"/>
  <c r="Z745" i="8" s="1"/>
  <c r="Z675" i="8" a="1"/>
  <c r="Z675" i="8" s="1"/>
  <c r="Z601" i="8" a="1"/>
  <c r="Z601" i="8" s="1"/>
  <c r="Z468" i="8" a="1"/>
  <c r="Z468" i="8" s="1"/>
  <c r="Z513" i="8" a="1"/>
  <c r="Z513" i="8" s="1"/>
  <c r="Z417" i="8" a="1"/>
  <c r="Z417" i="8" s="1"/>
  <c r="Z379" i="8" a="1"/>
  <c r="Z379" i="8" s="1"/>
  <c r="Z235" i="8" a="1"/>
  <c r="Z235" i="8" s="1"/>
  <c r="Z175" i="8" a="1"/>
  <c r="Z175" i="8" s="1"/>
  <c r="Z100" i="8" a="1"/>
  <c r="Z100" i="8" s="1"/>
  <c r="Z9" i="8" a="1"/>
  <c r="Z9" i="8" s="1"/>
  <c r="Z70" i="8" a="1"/>
  <c r="Z70" i="8" s="1"/>
  <c r="Z1028" i="8" a="1"/>
  <c r="Z1028" i="8" s="1"/>
  <c r="Z1000" i="8" a="1"/>
  <c r="Z1000" i="8" s="1"/>
  <c r="Z913" i="8" a="1"/>
  <c r="Z913" i="8" s="1"/>
  <c r="Z837" i="8" a="1"/>
  <c r="Z837" i="8" s="1"/>
  <c r="Z790" i="8" a="1"/>
  <c r="Z790" i="8" s="1"/>
  <c r="Z711" i="8" a="1"/>
  <c r="Z711" i="8" s="1"/>
  <c r="Z664" i="8" a="1"/>
  <c r="Z664" i="8" s="1"/>
  <c r="Z589" i="8" a="1"/>
  <c r="Z589" i="8" s="1"/>
  <c r="Z568" i="8" a="1"/>
  <c r="Z568" i="8" s="1"/>
  <c r="Z457" i="8" a="1"/>
  <c r="Z457" i="8" s="1"/>
  <c r="Z426" i="8" a="1"/>
  <c r="Z426" i="8" s="1"/>
  <c r="Z350" i="8" a="1"/>
  <c r="Z350" i="8" s="1"/>
  <c r="Z186" i="8" a="1"/>
  <c r="Z186" i="8" s="1"/>
  <c r="Z163" i="8" a="1"/>
  <c r="Z163" i="8" s="1"/>
  <c r="Z238" i="8" a="1"/>
  <c r="Z238" i="8" s="1"/>
  <c r="Z37" i="8" a="1"/>
  <c r="Z37" i="8" s="1"/>
  <c r="Z3" i="8" a="1"/>
  <c r="Z3" i="8" s="1"/>
  <c r="Z1021" i="8" a="1"/>
  <c r="Z1021" i="8" s="1"/>
  <c r="Z1001" i="8" a="1"/>
  <c r="Z1001" i="8" s="1"/>
  <c r="Z893" i="8" a="1"/>
  <c r="Z893" i="8" s="1"/>
  <c r="Z848" i="8" a="1"/>
  <c r="Z848" i="8" s="1"/>
  <c r="Z786" i="8" a="1"/>
  <c r="Z786" i="8" s="1"/>
  <c r="Z743" i="8" a="1"/>
  <c r="Z743" i="8" s="1"/>
  <c r="Z661" i="8" a="1"/>
  <c r="Z661" i="8" s="1"/>
  <c r="Z587" i="8" a="1"/>
  <c r="Z587" i="8" s="1"/>
  <c r="Z446" i="8" a="1"/>
  <c r="Z446" i="8" s="1"/>
  <c r="Z503" i="8" a="1"/>
  <c r="Z503" i="8" s="1"/>
  <c r="Z395" i="8" a="1"/>
  <c r="Z395" i="8" s="1"/>
  <c r="Z371" i="8" a="1"/>
  <c r="Z371" i="8" s="1"/>
  <c r="Z213" i="8" a="1"/>
  <c r="Z213" i="8" s="1"/>
  <c r="Z153" i="8" a="1"/>
  <c r="Z153" i="8" s="1"/>
  <c r="Z136" i="8" a="1"/>
  <c r="Z136" i="8" s="1"/>
  <c r="Z60" i="8" a="1"/>
  <c r="Z60" i="8" s="1"/>
  <c r="Z46" i="8" a="1"/>
  <c r="Z46" i="8" s="1"/>
  <c r="Z1026" i="8" a="1"/>
  <c r="Z1026" i="8" s="1"/>
  <c r="Z964" i="8" a="1"/>
  <c r="Z964" i="8" s="1"/>
  <c r="Z915" i="8" a="1"/>
  <c r="Z915" i="8" s="1"/>
  <c r="Z831" i="8" a="1"/>
  <c r="Z831" i="8" s="1"/>
  <c r="Z781" i="8" a="1"/>
  <c r="Z781" i="8" s="1"/>
  <c r="Z725" i="8" a="1"/>
  <c r="Z725" i="8" s="1"/>
  <c r="Z672" i="8" a="1"/>
  <c r="Z672" i="8" s="1"/>
  <c r="Z548" i="8" a="1"/>
  <c r="Z548" i="8" s="1"/>
  <c r="Z485" i="8" a="1"/>
  <c r="Z485" i="8" s="1"/>
  <c r="Z493" i="8" a="1"/>
  <c r="Z493" i="8" s="1"/>
  <c r="Z357" i="8" a="1"/>
  <c r="Z357" i="8" s="1"/>
  <c r="Z319" i="8" a="1"/>
  <c r="Z319" i="8" s="1"/>
  <c r="Z144" i="8" a="1"/>
  <c r="Z144" i="8" s="1"/>
  <c r="Z214" i="8" a="1"/>
  <c r="Z214" i="8" s="1"/>
  <c r="Z143" i="8" a="1"/>
  <c r="Z143" i="8" s="1"/>
  <c r="Z32" i="8" a="1"/>
  <c r="Z32" i="8" s="1"/>
  <c r="Z1053" i="8" a="1"/>
  <c r="Z1053" i="8" s="1"/>
  <c r="Z991" i="8" a="1"/>
  <c r="Z991" i="8" s="1"/>
  <c r="Z896" i="8" a="1"/>
  <c r="Z896" i="8" s="1"/>
  <c r="Z858" i="8" a="1"/>
  <c r="Z858" i="8" s="1"/>
  <c r="Z796" i="8" a="1"/>
  <c r="Z796" i="8" s="1"/>
  <c r="Z701" i="8" a="1"/>
  <c r="Z701" i="8" s="1"/>
  <c r="Z596" i="8" a="1"/>
  <c r="Z596" i="8" s="1"/>
  <c r="Z604" i="8" a="1"/>
  <c r="Z604" i="8" s="1"/>
  <c r="Z500" i="8" a="1"/>
  <c r="Z500" i="8" s="1"/>
  <c r="Z437" i="8" a="1"/>
  <c r="Z437" i="8" s="1"/>
  <c r="Z445" i="8" a="1"/>
  <c r="Z445" i="8" s="1"/>
  <c r="Z299" i="8" a="1"/>
  <c r="Z299" i="8" s="1"/>
  <c r="Z267" i="8" a="1"/>
  <c r="Z267" i="8" s="1"/>
  <c r="Z207" i="8" a="1"/>
  <c r="Z207" i="8" s="1"/>
  <c r="Z147" i="8" a="1"/>
  <c r="Z147" i="8" s="1"/>
  <c r="Z61" i="8" a="1"/>
  <c r="Z61" i="8" s="1"/>
  <c r="Z74" i="8" a="1"/>
  <c r="Z74" i="8" s="1"/>
  <c r="Z1015" i="8" a="1"/>
  <c r="Z1015" i="8" s="1"/>
  <c r="Z962" i="8" a="1"/>
  <c r="Z962" i="8" s="1"/>
  <c r="Z901" i="8" a="1"/>
  <c r="Z901" i="8" s="1"/>
  <c r="Z811" i="8" a="1"/>
  <c r="Z811" i="8" s="1"/>
  <c r="Z771" i="8" a="1"/>
  <c r="Z771" i="8" s="1"/>
  <c r="Z715" i="8" a="1"/>
  <c r="Z715" i="8" s="1"/>
  <c r="Z658" i="8" a="1"/>
  <c r="Z658" i="8" s="1"/>
  <c r="Z580" i="8" a="1"/>
  <c r="Z580" i="8" s="1"/>
  <c r="Z475" i="8" a="1"/>
  <c r="Z475" i="8" s="1"/>
  <c r="Z483" i="8" a="1"/>
  <c r="Z483" i="8" s="1"/>
  <c r="Z349" i="8" a="1"/>
  <c r="Z349" i="8" s="1"/>
  <c r="Z301" i="8" a="1"/>
  <c r="Z301" i="8" s="1"/>
  <c r="Z134" i="8" a="1"/>
  <c r="Z134" i="8" s="1"/>
  <c r="Z192" i="8" a="1"/>
  <c r="Z192" i="8" s="1"/>
  <c r="Z128" i="8" a="1"/>
  <c r="Z128" i="8" s="1"/>
  <c r="Z71" i="8" a="1"/>
  <c r="Z71" i="8" s="1"/>
  <c r="Z1072" i="8" a="1"/>
  <c r="Z1072" i="8" s="1"/>
  <c r="Z1009" i="8" a="1"/>
  <c r="Z1009" i="8" s="1"/>
  <c r="Z951" i="8" a="1"/>
  <c r="Z951" i="8" s="1"/>
  <c r="Z890" i="8" a="1"/>
  <c r="Z890" i="8" s="1"/>
  <c r="Z828" i="8" a="1"/>
  <c r="Z828" i="8" s="1"/>
  <c r="Z762" i="8" a="1"/>
  <c r="Z762" i="8" s="1"/>
  <c r="Z681" i="8" a="1"/>
  <c r="Z681" i="8" s="1"/>
  <c r="Z676" i="8" a="1"/>
  <c r="Z676" i="8" s="1"/>
  <c r="Z567" i="8" a="1"/>
  <c r="Z567" i="8" s="1"/>
  <c r="Z505" i="8" a="1"/>
  <c r="Z505" i="8" s="1"/>
  <c r="Z439" i="8" a="1"/>
  <c r="Z439" i="8" s="1"/>
  <c r="Z343" i="8" a="1"/>
  <c r="Z343" i="8" s="1"/>
  <c r="Z376" i="8" a="1"/>
  <c r="Z376" i="8" s="1"/>
  <c r="Z220" i="8" a="1"/>
  <c r="Z220" i="8" s="1"/>
  <c r="Z280" i="8" a="1"/>
  <c r="Z280" i="8" s="1"/>
  <c r="Z141" i="8" a="1"/>
  <c r="Z141" i="8" s="1"/>
  <c r="Z1073" i="8" a="1"/>
  <c r="Z1073" i="8" s="1"/>
  <c r="Z1004" i="8" a="1"/>
  <c r="Z1004" i="8" s="1"/>
  <c r="Z948" i="8" a="1"/>
  <c r="Z948" i="8" s="1"/>
  <c r="Z885" i="8" a="1"/>
  <c r="Z885" i="8" s="1"/>
  <c r="Z820" i="8" a="1"/>
  <c r="Z820" i="8" s="1"/>
  <c r="Z761" i="8" a="1"/>
  <c r="Z761" i="8" s="1"/>
  <c r="Z674" i="8" a="1"/>
  <c r="Z674" i="8" s="1"/>
  <c r="Z669" i="8" a="1"/>
  <c r="Z669" i="8" s="1"/>
  <c r="Z550" i="8" a="1"/>
  <c r="Z550" i="8" s="1"/>
  <c r="Z502" i="8" a="1"/>
  <c r="Z502" i="8" s="1"/>
  <c r="Z419" i="8" a="1"/>
  <c r="Z419" i="8" s="1"/>
  <c r="Z328" i="8" a="1"/>
  <c r="Z328" i="8" s="1"/>
  <c r="Z372" i="8" a="1"/>
  <c r="Z372" i="8" s="1"/>
  <c r="Z215" i="8" a="1"/>
  <c r="Z215" i="8" s="1"/>
  <c r="Z278" i="8" a="1"/>
  <c r="Z278" i="8" s="1"/>
  <c r="Z131" i="8" a="1"/>
  <c r="Z131" i="8" s="1"/>
  <c r="Z43" i="8" a="1"/>
  <c r="Z43" i="8" s="1"/>
  <c r="Z1023" i="8" a="1"/>
  <c r="Z1023" i="8" s="1"/>
  <c r="Z957" i="8" a="1"/>
  <c r="Z957" i="8" s="1"/>
  <c r="Z892" i="8" a="1"/>
  <c r="Z892" i="8" s="1"/>
  <c r="Z809" i="8" a="1"/>
  <c r="Z809" i="8" s="1"/>
  <c r="Z710" i="8" a="1"/>
  <c r="Z710" i="8" s="1"/>
  <c r="Z766" i="8" a="1"/>
  <c r="Z766" i="8" s="1"/>
  <c r="Z593" i="8" a="1"/>
  <c r="Z593" i="8" s="1"/>
  <c r="Z579" i="8" a="1"/>
  <c r="Z579" i="8" s="1"/>
  <c r="Z523" i="8" a="1"/>
  <c r="Z523" i="8" s="1"/>
  <c r="Z449" i="8" a="1"/>
  <c r="Z449" i="8" s="1"/>
  <c r="Z369" i="8" a="1"/>
  <c r="Z369" i="8" s="1"/>
  <c r="Z336" i="8" a="1"/>
  <c r="Z336" i="8" s="1"/>
  <c r="Z171" i="8" a="1"/>
  <c r="Z171" i="8" s="1"/>
  <c r="Z229" i="8" a="1"/>
  <c r="Z229" i="8" s="1"/>
  <c r="Z103" i="8" a="1"/>
  <c r="Z103" i="8" s="1"/>
  <c r="Z17" i="8" a="1"/>
  <c r="Z17" i="8" s="1"/>
  <c r="Z78" i="8" a="1"/>
  <c r="Z78" i="8" s="1"/>
  <c r="Z1042" i="8" a="1"/>
  <c r="Z1042" i="8" s="1"/>
  <c r="Z1005" i="8" a="1"/>
  <c r="Z1005" i="8" s="1"/>
  <c r="Z918" i="8" a="1"/>
  <c r="Z918" i="8" s="1"/>
  <c r="Z846" i="8" a="1"/>
  <c r="Z846" i="8" s="1"/>
  <c r="Z767" i="8" a="1"/>
  <c r="Z767" i="8" s="1"/>
  <c r="Z728" i="8" a="1"/>
  <c r="Z728" i="8" s="1"/>
  <c r="Z612" i="8" a="1"/>
  <c r="Z612" i="8" s="1"/>
  <c r="Z590" i="8" a="1"/>
  <c r="Z590" i="8" s="1"/>
  <c r="Z510" i="8" a="1"/>
  <c r="Z510" i="8" s="1"/>
  <c r="Z464" i="8" a="1"/>
  <c r="Z464" i="8" s="1"/>
  <c r="Z410" i="8" a="1"/>
  <c r="Z410" i="8" s="1"/>
  <c r="Z322" i="8" a="1"/>
  <c r="Z322" i="8" s="1"/>
  <c r="Z291" i="8" a="1"/>
  <c r="Z291" i="8" s="1"/>
  <c r="Z234" i="8" a="1"/>
  <c r="Z234" i="8" s="1"/>
  <c r="Z174" i="8" a="1"/>
  <c r="Z174" i="8" s="1"/>
  <c r="Z45" i="8" a="1"/>
  <c r="Z45" i="8" s="1"/>
  <c r="Z19" i="8" a="1"/>
  <c r="Z19" i="8" s="1"/>
  <c r="Z1036" i="8" a="1"/>
  <c r="Z1036" i="8" s="1"/>
  <c r="Z950" i="8" a="1"/>
  <c r="Z950" i="8" s="1"/>
  <c r="Z910" i="8" a="1"/>
  <c r="Z910" i="8" s="1"/>
  <c r="Z799" i="8" a="1"/>
  <c r="Z799" i="8" s="1"/>
  <c r="Z784" i="8" a="1"/>
  <c r="Z784" i="8" s="1"/>
  <c r="Z730" i="8" a="1"/>
  <c r="Z730" i="8" s="1"/>
  <c r="Z679" i="8" a="1"/>
  <c r="Z679" i="8" s="1"/>
  <c r="Z553" i="8" a="1"/>
  <c r="Z553" i="8" s="1"/>
  <c r="Z490" i="8" a="1"/>
  <c r="Z490" i="8" s="1"/>
  <c r="Z498" i="8" a="1"/>
  <c r="Z498" i="8" s="1"/>
  <c r="Z361" i="8" a="1"/>
  <c r="Z361" i="8" s="1"/>
  <c r="Z320" i="8" a="1"/>
  <c r="Z320" i="8" s="1"/>
  <c r="Z149" i="8" a="1"/>
  <c r="Z149" i="8" s="1"/>
  <c r="Z219" i="8" a="1"/>
  <c r="Z219" i="8" s="1"/>
  <c r="Z89" i="8" a="1"/>
  <c r="Z89" i="8" s="1"/>
  <c r="Z7" i="8" a="1"/>
  <c r="Z7" i="8" s="1"/>
  <c r="Z5" i="8" a="1"/>
  <c r="Z5" i="8" s="1"/>
  <c r="Z4" i="8" a="1"/>
  <c r="Z4" i="8" s="1"/>
  <c r="Z1003" i="8" a="1"/>
  <c r="Z1003" i="8" s="1"/>
  <c r="Z927" i="8" a="1"/>
  <c r="Z927" i="8" s="1"/>
  <c r="Z887" i="8" a="1"/>
  <c r="Z887" i="8" s="1"/>
  <c r="Z822" i="8" a="1"/>
  <c r="Z822" i="8" s="1"/>
  <c r="Z717" i="8" a="1"/>
  <c r="Z717" i="8" s="1"/>
  <c r="Z697" i="8" a="1"/>
  <c r="Z697" i="8" s="1"/>
  <c r="Z622" i="8" a="1"/>
  <c r="Z622" i="8" s="1"/>
  <c r="Z538" i="8" a="1"/>
  <c r="Z538" i="8" s="1"/>
  <c r="Z521" i="8" a="1"/>
  <c r="Z521" i="8" s="1"/>
  <c r="Z402" i="8" a="1"/>
  <c r="Z402" i="8" s="1"/>
  <c r="Z313" i="8" a="1"/>
  <c r="Z313" i="8" s="1"/>
  <c r="Z388" i="8" a="1"/>
  <c r="Z388" i="8" s="1"/>
  <c r="Z247" i="8" a="1"/>
  <c r="Z247" i="8" s="1"/>
  <c r="Z150" i="8" a="1"/>
  <c r="Z150" i="8" s="1"/>
  <c r="Z148" i="8" a="1"/>
  <c r="Z148" i="8" s="1"/>
  <c r="Z24" i="8" a="1"/>
  <c r="Z24" i="8" s="1"/>
  <c r="Z1014" i="8" a="1"/>
  <c r="Z1014" i="8" s="1"/>
  <c r="Z988" i="8" a="1"/>
  <c r="Z988" i="8" s="1"/>
  <c r="Z904" i="8" a="1"/>
  <c r="Z904" i="8" s="1"/>
  <c r="Z838" i="8" a="1"/>
  <c r="Z838" i="8" s="1"/>
  <c r="Z752" i="8" a="1"/>
  <c r="Z752" i="8" s="1"/>
  <c r="Z713" i="8" a="1"/>
  <c r="Z713" i="8" s="1"/>
  <c r="Z643" i="8" a="1"/>
  <c r="Z643" i="8" s="1"/>
  <c r="Z571" i="8" a="1"/>
  <c r="Z571" i="8" s="1"/>
  <c r="Z436" i="8" a="1"/>
  <c r="Z436" i="8" s="1"/>
  <c r="Z481" i="8" a="1"/>
  <c r="Z481" i="8" s="1"/>
  <c r="Z385" i="8" a="1"/>
  <c r="Z385" i="8" s="1"/>
  <c r="Z363" i="8" a="1"/>
  <c r="Z363" i="8" s="1"/>
  <c r="Z203" i="8" a="1"/>
  <c r="Z203" i="8" s="1"/>
  <c r="Z261" i="8" a="1"/>
  <c r="Z261" i="8" s="1"/>
  <c r="Z125" i="8" a="1"/>
  <c r="Z125" i="8" s="1"/>
  <c r="Z13" i="8" a="1"/>
  <c r="Z13" i="8" s="1"/>
  <c r="Z81" i="8" a="1"/>
  <c r="Z81" i="8" s="1"/>
  <c r="Z1010" i="8" a="1"/>
  <c r="Z1010" i="8" s="1"/>
  <c r="Z905" i="8" a="1"/>
  <c r="Z905" i="8" s="1"/>
  <c r="Z881" i="8" a="1"/>
  <c r="Z881" i="8" s="1"/>
  <c r="Z839" i="8" a="1"/>
  <c r="Z839" i="8" s="1"/>
  <c r="Z707" i="8" a="1"/>
  <c r="Z707" i="8" s="1"/>
  <c r="Z688" i="8" a="1"/>
  <c r="Z688" i="8" s="1"/>
  <c r="Z683" i="8" a="1"/>
  <c r="Z683" i="8" s="1"/>
  <c r="Z527" i="8" a="1"/>
  <c r="Z527" i="8" s="1"/>
  <c r="Z506" i="8" a="1"/>
  <c r="Z506" i="8" s="1"/>
  <c r="Z392" i="8" a="1"/>
  <c r="Z392" i="8" s="1"/>
  <c r="Z344" i="8" a="1"/>
  <c r="Z344" i="8" s="1"/>
  <c r="Z380" i="8" a="1"/>
  <c r="Z380" i="8" s="1"/>
  <c r="Z225" i="8" a="1"/>
  <c r="Z225" i="8" s="1"/>
  <c r="Z281" i="8" a="1"/>
  <c r="Z281" i="8" s="1"/>
  <c r="Z105" i="8" a="1"/>
  <c r="Z105" i="8" s="1"/>
  <c r="Z79" i="8" a="1"/>
  <c r="Z79" i="8" s="1"/>
  <c r="Z1066" i="8" a="1"/>
  <c r="Z1066" i="8" s="1"/>
  <c r="Z993" i="8" a="1"/>
  <c r="Z993" i="8" s="1"/>
  <c r="Z941" i="8" a="1"/>
  <c r="Z941" i="8" s="1"/>
  <c r="Z860" i="8" a="1"/>
  <c r="Z860" i="8" s="1"/>
  <c r="Z805" i="8" a="1"/>
  <c r="Z805" i="8" s="1"/>
  <c r="Z702" i="8" a="1"/>
  <c r="Z702" i="8" s="1"/>
  <c r="Z616" i="8" a="1"/>
  <c r="Z616" i="8" s="1"/>
  <c r="Z680" i="8" a="1"/>
  <c r="Z680" i="8" s="1"/>
  <c r="Z557" i="8" a="1"/>
  <c r="Z557" i="8" s="1"/>
  <c r="Z455" i="8" a="1"/>
  <c r="Z455" i="8" s="1"/>
  <c r="Z429" i="8" a="1"/>
  <c r="Z429" i="8" s="1"/>
  <c r="Z285" i="8" a="1"/>
  <c r="Z285" i="8" s="1"/>
  <c r="Z347" i="8" a="1"/>
  <c r="Z347" i="8" s="1"/>
  <c r="Z156" i="8" a="1"/>
  <c r="Z156" i="8" s="1"/>
  <c r="Z231" i="8" a="1"/>
  <c r="Z231" i="8" s="1"/>
  <c r="Z138" i="8" a="1"/>
  <c r="Z138" i="8" s="1"/>
  <c r="Z1058" i="8" a="1"/>
  <c r="Z1058" i="8" s="1"/>
  <c r="Z983" i="8" a="1"/>
  <c r="Z983" i="8" s="1"/>
  <c r="Z929" i="8" a="1"/>
  <c r="Z929" i="8" s="1"/>
  <c r="Z855" i="8" a="1"/>
  <c r="Z855" i="8" s="1"/>
  <c r="Z800" i="8" a="1"/>
  <c r="Z800" i="8" s="1"/>
  <c r="Z765" i="8" a="1"/>
  <c r="Z765" i="8" s="1"/>
  <c r="Z615" i="8" a="1"/>
  <c r="Z615" i="8" s="1"/>
  <c r="Z673" i="8" a="1"/>
  <c r="Z673" i="8" s="1"/>
  <c r="Z552" i="8" a="1"/>
  <c r="Z552" i="8" s="1"/>
  <c r="Z438" i="8" a="1"/>
  <c r="Z438" i="8" s="1"/>
  <c r="Z421" i="8" a="1"/>
  <c r="Z421" i="8" s="1"/>
  <c r="Z342" i="8" a="1"/>
  <c r="Z342" i="8" s="1"/>
  <c r="Z332" i="8" a="1"/>
  <c r="Z332" i="8" s="1"/>
  <c r="Z151" i="8" a="1"/>
  <c r="Z151" i="8" s="1"/>
  <c r="Z226" i="8" a="1"/>
  <c r="Z226" i="8" s="1"/>
  <c r="Z120" i="8" a="1"/>
  <c r="Z120" i="8" s="1"/>
  <c r="Z50" i="8" a="1"/>
  <c r="Z50" i="8" s="1"/>
  <c r="Z1006" i="8" a="1"/>
  <c r="Z1006" i="8" s="1"/>
  <c r="Z939" i="8" a="1"/>
  <c r="Z939" i="8" s="1"/>
  <c r="Z884" i="8" a="1"/>
  <c r="Z884" i="8" s="1"/>
  <c r="Z827" i="8" a="1"/>
  <c r="Z827" i="8" s="1"/>
  <c r="Z740" i="8" a="1"/>
  <c r="Z740" i="8" s="1"/>
  <c r="Z691" i="8" a="1"/>
  <c r="Z691" i="8" s="1"/>
  <c r="Z633" i="8" a="1"/>
  <c r="Z633" i="8" s="1"/>
  <c r="Z565" i="8" a="1"/>
  <c r="Z565" i="8" s="1"/>
  <c r="Z448" i="8" a="1"/>
  <c r="Z448" i="8" s="1"/>
  <c r="Z456" i="8" a="1"/>
  <c r="Z456" i="8" s="1"/>
  <c r="Z330" i="8" a="1"/>
  <c r="Z330" i="8" s="1"/>
  <c r="Z333" i="8" a="1"/>
  <c r="Z333" i="8" s="1"/>
  <c r="Z274" i="8" a="1"/>
  <c r="Z274" i="8" s="1"/>
  <c r="Z165" i="8" a="1"/>
  <c r="Z165" i="8" s="1"/>
  <c r="Z110" i="8" a="1"/>
  <c r="Z110" i="8" s="1"/>
  <c r="Z83" i="8" a="1"/>
  <c r="Z83" i="8" s="1"/>
  <c r="Z88" i="8" a="1"/>
  <c r="Z88" i="8" s="1"/>
  <c r="Z1029" i="8" a="1"/>
  <c r="Z1029" i="8" s="1"/>
  <c r="Z954" i="8" a="1"/>
  <c r="Z954" i="8" s="1"/>
  <c r="Z899" i="8" a="1"/>
  <c r="Z899" i="8" s="1"/>
  <c r="Z853" i="8" a="1"/>
  <c r="Z853" i="8" s="1"/>
  <c r="Z787" i="8" a="1"/>
  <c r="Z787" i="8" s="1"/>
  <c r="Z744" i="8" a="1"/>
  <c r="Z744" i="8" s="1"/>
  <c r="Z668" i="8" a="1"/>
  <c r="Z668" i="8" s="1"/>
  <c r="Z603" i="8" a="1"/>
  <c r="Z603" i="8" s="1"/>
  <c r="Z463" i="8" a="1"/>
  <c r="Z463" i="8" s="1"/>
  <c r="Z512" i="8" a="1"/>
  <c r="Z512" i="8" s="1"/>
  <c r="Z412" i="8" a="1"/>
  <c r="Z412" i="8" s="1"/>
  <c r="Z375" i="8" a="1"/>
  <c r="Z375" i="8" s="1"/>
  <c r="Z230" i="8" a="1"/>
  <c r="Z230" i="8" s="1"/>
  <c r="Z170" i="8" a="1"/>
  <c r="Z170" i="8" s="1"/>
  <c r="Z96" i="8" a="1"/>
  <c r="Z96" i="8" s="1"/>
  <c r="Z25" i="8" a="1"/>
  <c r="Z25" i="8" s="1"/>
  <c r="Z27" i="8" a="1"/>
  <c r="Z27" i="8" s="1"/>
  <c r="Z1008" i="8" a="1"/>
  <c r="Z1008" i="8" s="1"/>
  <c r="Z932" i="8" a="1"/>
  <c r="Z932" i="8" s="1"/>
  <c r="Z874" i="8" a="1"/>
  <c r="Z874" i="8" s="1"/>
  <c r="Z801" i="8" a="1"/>
  <c r="Z801" i="8" s="1"/>
  <c r="Z722" i="8" a="1"/>
  <c r="Z722" i="8" s="1"/>
  <c r="Z693" i="8" a="1"/>
  <c r="Z693" i="8" s="1"/>
  <c r="Z623" i="8" a="1"/>
  <c r="Z623" i="8" s="1"/>
  <c r="Z555" i="8" a="1"/>
  <c r="Z555" i="8" s="1"/>
  <c r="Z522" i="8" a="1"/>
  <c r="Z522" i="8" s="1"/>
  <c r="Z407" i="8" a="1"/>
  <c r="Z407" i="8" s="1"/>
  <c r="Z314" i="8" a="1"/>
  <c r="Z314" i="8" s="1"/>
  <c r="Z317" i="8" a="1"/>
  <c r="Z317" i="8" s="1"/>
  <c r="Z252" i="8" a="1"/>
  <c r="Z252" i="8" s="1"/>
  <c r="Z155" i="8" a="1"/>
  <c r="Z155" i="8" s="1"/>
  <c r="Z97" i="8" a="1"/>
  <c r="Z97" i="8" s="1"/>
  <c r="Z16" i="8" a="1"/>
  <c r="Z16" i="8" s="1"/>
  <c r="Z14" i="8" a="1"/>
  <c r="Z14" i="8" s="1"/>
  <c r="Z1061" i="8" a="1"/>
  <c r="Z1061" i="8" s="1"/>
  <c r="Z1012" i="8" a="1"/>
  <c r="Z1012" i="8" s="1"/>
  <c r="Z907" i="8" a="1"/>
  <c r="Z907" i="8" s="1"/>
  <c r="Z883" i="8" a="1"/>
  <c r="Z883" i="8" s="1"/>
  <c r="Z823" i="8" a="1"/>
  <c r="Z823" i="8" s="1"/>
  <c r="Z729" i="8" a="1"/>
  <c r="Z729" i="8" s="1"/>
  <c r="Z642" i="8" a="1"/>
  <c r="Z642" i="8" s="1"/>
  <c r="Z637" i="8" a="1"/>
  <c r="Z637" i="8" s="1"/>
  <c r="Z577" i="8" a="1"/>
  <c r="Z577" i="8" s="1"/>
  <c r="Z470" i="8" a="1"/>
  <c r="Z470" i="8" s="1"/>
  <c r="Z387" i="8" a="1"/>
  <c r="Z387" i="8" s="1"/>
  <c r="Z300" i="8" a="1"/>
  <c r="Z300" i="8" s="1"/>
  <c r="Z356" i="8" a="1"/>
  <c r="Z356" i="8" s="1"/>
  <c r="Z183" i="8" a="1"/>
  <c r="Z183" i="8" s="1"/>
  <c r="Z258" i="8" a="1"/>
  <c r="Z258" i="8" s="1"/>
  <c r="Z107" i="8" a="1"/>
  <c r="Z107" i="8" s="1"/>
  <c r="Z39" i="8" a="1"/>
  <c r="Z39" i="8" s="1"/>
  <c r="Z1017" i="8" a="1"/>
  <c r="Z1017" i="8" s="1"/>
  <c r="Z969" i="8" a="1"/>
  <c r="Z969" i="8" s="1"/>
  <c r="Z906" i="8" a="1"/>
  <c r="Z906" i="8" s="1"/>
  <c r="Z816" i="8" a="1"/>
  <c r="Z816" i="8" s="1"/>
  <c r="Z774" i="8" a="1"/>
  <c r="Z774" i="8" s="1"/>
  <c r="Z720" i="8" a="1"/>
  <c r="Z720" i="8" s="1"/>
  <c r="Z665" i="8" a="1"/>
  <c r="Z665" i="8" s="1"/>
  <c r="Z543" i="8" a="1"/>
  <c r="Z543" i="8" s="1"/>
  <c r="Z480" i="8" a="1"/>
  <c r="Z480" i="8" s="1"/>
  <c r="Z488" i="8" a="1"/>
  <c r="Z488" i="8" s="1"/>
  <c r="Z353" i="8" a="1"/>
  <c r="Z353" i="8" s="1"/>
  <c r="Z306" i="8" a="1"/>
  <c r="Z306" i="8" s="1"/>
  <c r="Z139" i="8" a="1"/>
  <c r="Z139" i="8" s="1"/>
  <c r="Z197" i="8" a="1"/>
  <c r="Z197" i="8" s="1"/>
  <c r="Z129" i="8" a="1"/>
  <c r="Z129" i="8" s="1"/>
  <c r="Z21" i="8" a="1"/>
  <c r="Z21" i="8" s="1"/>
  <c r="Z1050" i="8" a="1"/>
  <c r="Z1050" i="8" s="1"/>
  <c r="Z997" i="8" a="1"/>
  <c r="Z997" i="8" s="1"/>
  <c r="Z943" i="8" a="1"/>
  <c r="Z943" i="8" s="1"/>
  <c r="Z865" i="8" a="1"/>
  <c r="Z865" i="8" s="1"/>
  <c r="Z818" i="8" a="1"/>
  <c r="Z818" i="8" s="1"/>
  <c r="Z719" i="8" a="1"/>
  <c r="Z719" i="8" s="1"/>
  <c r="Z630" i="8" a="1"/>
  <c r="Z630" i="8" s="1"/>
  <c r="Z687" i="8" a="1"/>
  <c r="Z687" i="8" s="1"/>
  <c r="Z562" i="8" a="1"/>
  <c r="Z562" i="8" s="1"/>
  <c r="Z460" i="8" a="1"/>
  <c r="Z460" i="8" s="1"/>
  <c r="Z435" i="8" a="1"/>
  <c r="Z435" i="8" s="1"/>
  <c r="Z290" i="8" a="1"/>
  <c r="Z290" i="8" s="1"/>
  <c r="Z348" i="8" a="1"/>
  <c r="Z348" i="8" s="1"/>
  <c r="Z161" i="8" a="1"/>
  <c r="Z161" i="8" s="1"/>
  <c r="Z236" i="8" a="1"/>
  <c r="Z236" i="8" s="1"/>
  <c r="Z98" i="8" a="1"/>
  <c r="Z98" i="8" s="1"/>
  <c r="Z82" i="8" a="1"/>
  <c r="Z82" i="8" s="1"/>
  <c r="Z1060" i="8" a="1"/>
  <c r="Z1060" i="8" s="1"/>
  <c r="Z980" i="8" a="1"/>
  <c r="Z980" i="8" s="1"/>
  <c r="Z926" i="8" a="1"/>
  <c r="Z926" i="8" s="1"/>
  <c r="Z835" i="8" a="1"/>
  <c r="Z835" i="8" s="1"/>
  <c r="Z814" i="8" a="1"/>
  <c r="Z814" i="8" s="1"/>
  <c r="Z709" i="8" a="1"/>
  <c r="Z709" i="8" s="1"/>
  <c r="Z667" i="8" a="1"/>
  <c r="Z667" i="8" s="1"/>
  <c r="Z619" i="8" a="1"/>
  <c r="Z619" i="8" s="1"/>
  <c r="Z532" i="8" a="1"/>
  <c r="Z532" i="8" s="1"/>
  <c r="Z472" i="8" a="1"/>
  <c r="Z472" i="8" s="1"/>
  <c r="Z406" i="8" a="1"/>
  <c r="Z406" i="8" s="1"/>
  <c r="Z297" i="8" a="1"/>
  <c r="Z297" i="8" s="1"/>
  <c r="Z265" i="8" a="1"/>
  <c r="Z265" i="8" s="1"/>
  <c r="Z254" i="8" a="1"/>
  <c r="Z254" i="8" s="1"/>
  <c r="Z167" i="8" a="1"/>
  <c r="Z167" i="8" s="1"/>
  <c r="Z95" i="8" a="1"/>
  <c r="Z95" i="8" s="1"/>
  <c r="Z1070" i="8" a="1"/>
  <c r="Z1070" i="8" s="1"/>
  <c r="Z963" i="8" a="1"/>
  <c r="Z963" i="8" s="1"/>
  <c r="Z947" i="8" a="1"/>
  <c r="Z947" i="8" s="1"/>
  <c r="Z830" i="8" a="1"/>
  <c r="Z830" i="8" s="1"/>
  <c r="Z802" i="8" a="1"/>
  <c r="Z802" i="8" s="1"/>
  <c r="Z704" i="8" a="1"/>
  <c r="Z704" i="8" s="1"/>
  <c r="Z660" i="8" a="1"/>
  <c r="Z660" i="8" s="1"/>
  <c r="Z618" i="8" a="1"/>
  <c r="Z618" i="8" s="1"/>
  <c r="Z554" i="8" a="1"/>
  <c r="Z554" i="8" s="1"/>
  <c r="Z467" i="8" a="1"/>
  <c r="Z467" i="8" s="1"/>
  <c r="Z401" i="8" a="1"/>
  <c r="Z401" i="8" s="1"/>
  <c r="Z279" i="8" a="1"/>
  <c r="Z279" i="8" s="1"/>
  <c r="Z260" i="8" a="1"/>
  <c r="Z260" i="8" s="1"/>
  <c r="Z237" i="8" a="1"/>
  <c r="Z237" i="8" s="1"/>
  <c r="Z162" i="8" a="1"/>
  <c r="Z162" i="8" s="1"/>
  <c r="Z132" i="8" a="1"/>
  <c r="Z132" i="8" s="1"/>
  <c r="Z1071" i="8" a="1"/>
  <c r="Z1071" i="8" s="1"/>
  <c r="Z999" i="8" a="1"/>
  <c r="Z999" i="8" s="1"/>
  <c r="Z934" i="8" a="1"/>
  <c r="Z934" i="8" s="1"/>
  <c r="Z882" i="8" a="1"/>
  <c r="Z882" i="8" s="1"/>
  <c r="Z815" i="8" a="1"/>
  <c r="Z815" i="8" s="1"/>
  <c r="Z760" i="8" a="1"/>
  <c r="Z760" i="8" s="1"/>
  <c r="Z663" i="8" a="1"/>
  <c r="Z663" i="8" s="1"/>
  <c r="Z662" i="8" a="1"/>
  <c r="Z662" i="8" s="1"/>
  <c r="Z545" i="8" a="1"/>
  <c r="Z545" i="8" s="1"/>
  <c r="Z497" i="8" a="1"/>
  <c r="Z497" i="8" s="1"/>
  <c r="Z414" i="8" a="1"/>
  <c r="Z414" i="8" s="1"/>
  <c r="Z327" i="8" a="1"/>
  <c r="Z327" i="8" s="1"/>
  <c r="Z368" i="8" a="1"/>
  <c r="Z368" i="8" s="1"/>
  <c r="Z210" i="8" a="1"/>
  <c r="Z210" i="8" s="1"/>
  <c r="Z273" i="8" a="1"/>
  <c r="Z273" i="8" s="1"/>
  <c r="Z121" i="8" a="1"/>
  <c r="Z121" i="8" s="1"/>
  <c r="Z36" i="8" a="1"/>
  <c r="Z36" i="8" s="1"/>
  <c r="Z10" i="8" a="1"/>
  <c r="Z10" i="8" s="1"/>
  <c r="Z1027" i="8" a="1"/>
  <c r="Z1027" i="8" s="1"/>
  <c r="Z955" i="8" a="1"/>
  <c r="Z955" i="8" s="1"/>
  <c r="Z916" i="8" a="1"/>
  <c r="Z916" i="8" s="1"/>
  <c r="Z804" i="8" a="1"/>
  <c r="Z804" i="8" s="1"/>
  <c r="Z705" i="8" a="1"/>
  <c r="Z705" i="8" s="1"/>
  <c r="Z753" i="8" a="1"/>
  <c r="Z753" i="8" s="1"/>
  <c r="Z695" i="8" a="1"/>
  <c r="Z695" i="8" s="1"/>
  <c r="Z558" i="8" a="1"/>
  <c r="Z558" i="8" s="1"/>
  <c r="Z507" i="8" a="1"/>
  <c r="Z507" i="8" s="1"/>
  <c r="Z511" i="8" a="1"/>
  <c r="Z511" i="8" s="1"/>
  <c r="Z365" i="8" a="1"/>
  <c r="Z365" i="8" s="1"/>
  <c r="Z335" i="8" a="1"/>
  <c r="Z335" i="8" s="1"/>
  <c r="Z166" i="8" a="1"/>
  <c r="Z166" i="8" s="1"/>
  <c r="Z224" i="8" a="1"/>
  <c r="Z224" i="8" s="1"/>
  <c r="Z93" i="8" a="1"/>
  <c r="Z93" i="8" s="1"/>
  <c r="Z68" i="8" a="1"/>
  <c r="Z68" i="8" s="1"/>
  <c r="Z1057" i="8" a="1"/>
  <c r="Z1057" i="8" s="1"/>
  <c r="Z1022" i="8" a="1"/>
  <c r="Z1022" i="8" s="1"/>
  <c r="Z912" i="8" a="1"/>
  <c r="Z912" i="8" s="1"/>
  <c r="Z877" i="8" a="1"/>
  <c r="Z877" i="8" s="1"/>
  <c r="Z844" i="8" a="1"/>
  <c r="Z844" i="8" s="1"/>
  <c r="Z738" i="8" a="1"/>
  <c r="Z738" i="8" s="1"/>
  <c r="Z649" i="8" a="1"/>
  <c r="Z649" i="8" s="1"/>
  <c r="Z644" i="8" a="1"/>
  <c r="Z644" i="8" s="1"/>
  <c r="Z535" i="8" a="1"/>
  <c r="Z535" i="8" s="1"/>
  <c r="Z487" i="8" a="1"/>
  <c r="Z487" i="8" s="1"/>
  <c r="Z404" i="8" a="1"/>
  <c r="Z404" i="8" s="1"/>
  <c r="Z311" i="8" a="1"/>
  <c r="Z311" i="8" s="1"/>
  <c r="Z360" i="8" a="1"/>
  <c r="Z360" i="8" s="1"/>
  <c r="Z188" i="8" a="1"/>
  <c r="Z188" i="8" s="1"/>
  <c r="Z263" i="8" a="1"/>
  <c r="Z263" i="8" s="1"/>
  <c r="Z112" i="8" a="1"/>
  <c r="Z112" i="8" s="1"/>
  <c r="Z54" i="8" a="1"/>
  <c r="Z54" i="8" s="1"/>
  <c r="Z65" i="8" a="1"/>
  <c r="Z65" i="8" s="1"/>
  <c r="Z1069" i="8" a="1"/>
  <c r="Z1069" i="8" s="1"/>
  <c r="Z998" i="8" a="1"/>
  <c r="Z998" i="8" s="1"/>
  <c r="Z945" i="8" a="1"/>
  <c r="Z945" i="8" s="1"/>
  <c r="Z862" i="8" a="1"/>
  <c r="Z862" i="8" s="1"/>
  <c r="Z807" i="8" a="1"/>
  <c r="Z807" i="8" s="1"/>
  <c r="Z735" i="8" a="1"/>
  <c r="Z735" i="8" s="1"/>
  <c r="Z598" i="8" a="1"/>
  <c r="Z598" i="8" s="1"/>
  <c r="Z641" i="8" a="1"/>
  <c r="Z641" i="8" s="1"/>
  <c r="Z559" i="8" a="1"/>
  <c r="Z559" i="8" s="1"/>
  <c r="Z499" i="8" a="1"/>
  <c r="Z499" i="8" s="1"/>
  <c r="Z389" i="8" a="1"/>
  <c r="Z389" i="8" s="1"/>
  <c r="Z310" i="8" a="1"/>
  <c r="Z310" i="8" s="1"/>
  <c r="Z288" i="8" a="1"/>
  <c r="Z288" i="8" s="1"/>
  <c r="Z269" i="8" a="1"/>
  <c r="Z269" i="8" s="1"/>
  <c r="Z194" i="8" a="1"/>
  <c r="Z194" i="8" s="1"/>
  <c r="Z109" i="8" a="1"/>
  <c r="Z109" i="8" s="1"/>
  <c r="Z47" i="8" a="1"/>
  <c r="Z47" i="8" s="1"/>
  <c r="Z1020" i="8" a="1"/>
  <c r="Z1020" i="8" s="1"/>
  <c r="Z922" i="8" a="1"/>
  <c r="Z922" i="8" s="1"/>
  <c r="Z875" i="8" a="1"/>
  <c r="Z875" i="8" s="1"/>
  <c r="Z813" i="8" a="1"/>
  <c r="Z813" i="8" s="1"/>
  <c r="Z712" i="8" a="1"/>
  <c r="Z712" i="8" s="1"/>
  <c r="Z692" i="8" a="1"/>
  <c r="Z692" i="8" s="1"/>
  <c r="Z608" i="8" a="1"/>
  <c r="Z608" i="8" s="1"/>
  <c r="Z533" i="8" a="1"/>
  <c r="Z533" i="8" s="1"/>
  <c r="Z520" i="8" a="1"/>
  <c r="Z520" i="8" s="1"/>
  <c r="Z397" i="8" a="1"/>
  <c r="Z397" i="8" s="1"/>
  <c r="Z305" i="8" a="1"/>
  <c r="Z305" i="8" s="1"/>
  <c r="Z384" i="8" a="1"/>
  <c r="Z384" i="8" s="1"/>
  <c r="Z242" i="8" a="1"/>
  <c r="Z242" i="8" s="1"/>
  <c r="Z292" i="8" a="1"/>
  <c r="Z292" i="8" s="1"/>
  <c r="Z122" i="8" a="1"/>
  <c r="Z122" i="8" s="1"/>
  <c r="Z64" i="8" a="1"/>
  <c r="Z64" i="8" s="1"/>
  <c r="Z1068" i="8" a="1"/>
  <c r="Z1068" i="8" s="1"/>
  <c r="Z985" i="8" a="1"/>
  <c r="Z985" i="8" s="1"/>
  <c r="Z931" i="8" a="1"/>
  <c r="Z931" i="8" s="1"/>
  <c r="Z840" i="8" a="1"/>
  <c r="Z840" i="8" s="1"/>
  <c r="Z817" i="8" a="1"/>
  <c r="Z817" i="8" s="1"/>
  <c r="Z714" i="8" a="1"/>
  <c r="Z714" i="8" s="1"/>
  <c r="Z678" i="8" a="1"/>
  <c r="Z678" i="8" s="1"/>
  <c r="Z620" i="8" a="1"/>
  <c r="Z620" i="8" s="1"/>
  <c r="Z537" i="8" a="1"/>
  <c r="Z537" i="8" s="1"/>
  <c r="Z477" i="8" a="1"/>
  <c r="Z477" i="8" s="1"/>
  <c r="Z411" i="8" a="1"/>
  <c r="Z411" i="8" s="1"/>
  <c r="Z302" i="8" a="1"/>
  <c r="Z302" i="8" s="1"/>
  <c r="Z276" i="8" a="1"/>
  <c r="Z276" i="8" s="1"/>
  <c r="Z259" i="8" a="1"/>
  <c r="Z259" i="8" s="1"/>
  <c r="Z172" i="8" a="1"/>
  <c r="Z172" i="8" s="1"/>
  <c r="Z99" i="8" a="1"/>
  <c r="Z99" i="8" s="1"/>
  <c r="Z11" i="8" a="1"/>
  <c r="Z11" i="8" s="1"/>
  <c r="Z1038" i="8" a="1"/>
  <c r="Z1038" i="8" s="1"/>
  <c r="Z965" i="8" a="1"/>
  <c r="Z965" i="8" s="1"/>
  <c r="Z942" i="8" a="1"/>
  <c r="Z942" i="8" s="1"/>
  <c r="Z864" i="8" a="1"/>
  <c r="Z864" i="8" s="1"/>
  <c r="Z768" i="8" a="1"/>
  <c r="Z768" i="8" s="1"/>
  <c r="Z726" i="8" a="1"/>
  <c r="Z726" i="8" s="1"/>
  <c r="Z689" i="8" a="1"/>
  <c r="Z689" i="8" s="1"/>
  <c r="Z638" i="8" a="1"/>
  <c r="Z638" i="8" s="1"/>
  <c r="Z556" i="8" a="1"/>
  <c r="Z556" i="8" s="1"/>
  <c r="Z484" i="8" a="1"/>
  <c r="Z484" i="8" s="1"/>
  <c r="Z391" i="8" a="1"/>
  <c r="Z391" i="8" s="1"/>
  <c r="Z362" i="8" a="1"/>
  <c r="Z362" i="8" s="1"/>
  <c r="Z201" i="8" a="1"/>
  <c r="Z201" i="8" s="1"/>
  <c r="Z190" i="8" a="1"/>
  <c r="Z190" i="8" s="1"/>
  <c r="Z253" i="8" a="1"/>
  <c r="Z253" i="8" s="1"/>
  <c r="Z22" i="8" a="1"/>
  <c r="Z22" i="8" s="1"/>
  <c r="Z1033" i="8" a="1"/>
  <c r="Z1033" i="8" s="1"/>
  <c r="Z960" i="8" a="1"/>
  <c r="Z960" i="8" s="1"/>
  <c r="Z935" i="8" a="1"/>
  <c r="Z935" i="8" s="1"/>
  <c r="Z859" i="8" a="1"/>
  <c r="Z859" i="8" s="1"/>
  <c r="Z763" i="8" a="1"/>
  <c r="Z763" i="8" s="1"/>
  <c r="Z721" i="8" a="1"/>
  <c r="Z721" i="8" s="1"/>
  <c r="Z682" i="8" a="1"/>
  <c r="Z682" i="8" s="1"/>
  <c r="Z617" i="8" a="1"/>
  <c r="Z617" i="8" s="1"/>
  <c r="Z551" i="8" a="1"/>
  <c r="Z551" i="8" s="1"/>
  <c r="Z479" i="8" a="1"/>
  <c r="Z479" i="8" s="1"/>
  <c r="Z434" i="8" a="1"/>
  <c r="Z434" i="8" s="1"/>
  <c r="Z358" i="8" a="1"/>
  <c r="Z358" i="8" s="1"/>
  <c r="Z196" i="8" a="1"/>
  <c r="Z196" i="8" s="1"/>
  <c r="Z173" i="8" a="1"/>
  <c r="Z173" i="8" s="1"/>
  <c r="Z248" i="8" a="1"/>
  <c r="Z248" i="8" s="1"/>
  <c r="Z94" i="8" a="1"/>
  <c r="Z94" i="8" s="1"/>
  <c r="Z1051" i="8" a="1"/>
  <c r="Z1051" i="8" s="1"/>
  <c r="Z978" i="8" a="1"/>
  <c r="Z978" i="8" s="1"/>
  <c r="Z924" i="8" a="1"/>
  <c r="Z924" i="8" s="1"/>
  <c r="Z850" i="8" a="1"/>
  <c r="Z850" i="8" s="1"/>
  <c r="Z832" i="8" a="1"/>
  <c r="Z832" i="8" s="1"/>
  <c r="Z750" i="8" a="1"/>
  <c r="Z750" i="8" s="1"/>
  <c r="Z614" i="8" a="1"/>
  <c r="Z614" i="8" s="1"/>
  <c r="Z666" i="8" a="1"/>
  <c r="Z666" i="8" s="1"/>
  <c r="Z547" i="8" a="1"/>
  <c r="Z547" i="8" s="1"/>
  <c r="Z526" i="8" a="1"/>
  <c r="Z526" i="8" s="1"/>
  <c r="Z416" i="8" a="1"/>
  <c r="Z416" i="8" s="1"/>
  <c r="Z341" i="8" a="1"/>
  <c r="Z341" i="8" s="1"/>
  <c r="Z331" i="8" a="1"/>
  <c r="Z331" i="8" s="1"/>
  <c r="Z146" i="8" a="1"/>
  <c r="Z146" i="8" s="1"/>
  <c r="Z209" i="8" a="1"/>
  <c r="Z209" i="8" s="1"/>
  <c r="Z119" i="8" a="1"/>
  <c r="Z119" i="8" s="1"/>
  <c r="Z51" i="8" a="1"/>
  <c r="Z51" i="8" s="1"/>
  <c r="Z85" i="8" a="1"/>
  <c r="Z85" i="8" s="1"/>
  <c r="Z1013" i="8" a="1"/>
  <c r="Z1013" i="8" s="1"/>
  <c r="Z937" i="8" a="1"/>
  <c r="Z937" i="8" s="1"/>
  <c r="Z878" i="8" a="1"/>
  <c r="Z878" i="8" s="1"/>
  <c r="Z826" i="8" a="1"/>
  <c r="Z826" i="8" s="1"/>
  <c r="Z739" i="8" a="1"/>
  <c r="Z739" i="8" s="1"/>
  <c r="Z700" i="8" a="1"/>
  <c r="Z700" i="8" s="1"/>
  <c r="Z624" i="8" a="1"/>
  <c r="Z624" i="8" s="1"/>
  <c r="Z560" i="8" a="1"/>
  <c r="Z560" i="8" s="1"/>
  <c r="Z443" i="8" a="1"/>
  <c r="Z443" i="8" s="1"/>
  <c r="Z451" i="8" a="1"/>
  <c r="Z451" i="8" s="1"/>
  <c r="Z329" i="8" a="1"/>
  <c r="Z329" i="8" s="1"/>
  <c r="Z318" i="8" a="1"/>
  <c r="Z318" i="8" s="1"/>
  <c r="Z257" i="8" a="1"/>
  <c r="Z257" i="8" s="1"/>
  <c r="Z160" i="8" a="1"/>
  <c r="Z160" i="8" s="1"/>
  <c r="Z101" i="8" a="1"/>
  <c r="Z101" i="8" s="1"/>
  <c r="Z52" i="8" a="1"/>
  <c r="Z52" i="8" s="1"/>
  <c r="Z1048" i="8" a="1"/>
  <c r="Z1048" i="8" s="1"/>
  <c r="Z968" i="8" a="1"/>
  <c r="Z968" i="8" s="1"/>
  <c r="Z914" i="8" a="1"/>
  <c r="Z914" i="8" s="1"/>
  <c r="Z867" i="8" a="1"/>
  <c r="Z867" i="8" s="1"/>
  <c r="Z812" i="8" a="1"/>
  <c r="Z812" i="8" s="1"/>
  <c r="Z736" i="8" a="1"/>
  <c r="Z736" i="8" s="1"/>
  <c r="Z599" i="8" a="1"/>
  <c r="Z599" i="8" s="1"/>
  <c r="Z648" i="8" a="1"/>
  <c r="Z648" i="8" s="1"/>
  <c r="Z564" i="8" a="1"/>
  <c r="Z564" i="8" s="1"/>
  <c r="Z504" i="8" a="1"/>
  <c r="Z504" i="8" s="1"/>
  <c r="Z394" i="8" a="1"/>
  <c r="Z394" i="8" s="1"/>
  <c r="Z325" i="8" a="1"/>
  <c r="Z325" i="8" s="1"/>
  <c r="Z315" i="8" a="1"/>
  <c r="Z315" i="8" s="1"/>
  <c r="Z293" i="8" a="1"/>
  <c r="Z293" i="8" s="1"/>
  <c r="Z199" i="8" a="1"/>
  <c r="Z199" i="8" s="1"/>
  <c r="Z91" i="8" a="1"/>
  <c r="Z91" i="8" s="1"/>
  <c r="Z62" i="8" a="1"/>
  <c r="Z62" i="8" s="1"/>
  <c r="Z73" i="8" a="1"/>
  <c r="Z73" i="8" s="1"/>
  <c r="Z1059" i="8" a="1"/>
  <c r="Z1059" i="8" s="1"/>
  <c r="Z992" i="8" a="1"/>
  <c r="Z992" i="8" s="1"/>
  <c r="Z928" i="8" a="1"/>
  <c r="Z928" i="8" s="1"/>
  <c r="Z842" i="8" a="1"/>
  <c r="Z842" i="8" s="1"/>
  <c r="Z792" i="8" a="1"/>
  <c r="Z792" i="8" s="1"/>
  <c r="Z748" i="8" a="1"/>
  <c r="Z748" i="8" s="1"/>
  <c r="Z629" i="8" a="1"/>
  <c r="Z629" i="8" s="1"/>
  <c r="Z659" i="8" a="1"/>
  <c r="Z659" i="8" s="1"/>
  <c r="Z525" i="8" a="1"/>
  <c r="Z525" i="8" s="1"/>
  <c r="Z516" i="8" a="1"/>
  <c r="Z516" i="8" s="1"/>
  <c r="Z418" i="8" a="1"/>
  <c r="Z418" i="8" s="1"/>
  <c r="Z374" i="8" a="1"/>
  <c r="Z374" i="8" s="1"/>
  <c r="Z228" i="8" a="1"/>
  <c r="Z228" i="8" s="1"/>
  <c r="Z205" i="8" a="1"/>
  <c r="Z205" i="8" s="1"/>
  <c r="Z130" i="8" a="1"/>
  <c r="Z130" i="8" s="1"/>
  <c r="Z106" i="8" a="1"/>
  <c r="Z106" i="8" s="1"/>
  <c r="Z1054" i="8" a="1"/>
  <c r="Z1054" i="8" s="1"/>
  <c r="Z1011" i="8" a="1"/>
  <c r="Z1011" i="8" s="1"/>
  <c r="Z902" i="8" a="1"/>
  <c r="Z902" i="8" s="1"/>
  <c r="Z879" i="8" a="1"/>
  <c r="Z879" i="8" s="1"/>
  <c r="Z819" i="8" a="1"/>
  <c r="Z819" i="8" s="1"/>
  <c r="Z724" i="8" a="1"/>
  <c r="Z724" i="8" s="1"/>
  <c r="Z631" i="8" a="1"/>
  <c r="Z631" i="8" s="1"/>
  <c r="Z621" i="8" a="1"/>
  <c r="Z621" i="8" s="1"/>
  <c r="Z570" i="8" a="1"/>
  <c r="Z570" i="8" s="1"/>
  <c r="Z465" i="8" a="1"/>
  <c r="Z465" i="8" s="1"/>
  <c r="Z447" i="8" a="1"/>
  <c r="Z447" i="8" s="1"/>
  <c r="Z295" i="8" a="1"/>
  <c r="Z295" i="8" s="1"/>
  <c r="Z352" i="8" a="1"/>
  <c r="Z352" i="8" s="1"/>
  <c r="Z178" i="8" a="1"/>
  <c r="Z178" i="8" s="1"/>
  <c r="Z241" i="8" a="1"/>
  <c r="Z241" i="8" s="1"/>
  <c r="Z102" i="8" a="1"/>
  <c r="Z102" i="8" s="1"/>
  <c r="Z48" i="8" a="1"/>
  <c r="Z48" i="8" s="1"/>
  <c r="Z1045" i="8" a="1"/>
  <c r="Z1045" i="8" s="1"/>
  <c r="Z970" i="8" a="1"/>
  <c r="Z970" i="8" s="1"/>
  <c r="Z952" i="8" a="1"/>
  <c r="Z952" i="8" s="1"/>
  <c r="Z869" i="8" a="1"/>
  <c r="Z869" i="8" s="1"/>
  <c r="Z773" i="8" a="1"/>
  <c r="Z773" i="8" s="1"/>
  <c r="Z734" i="8" a="1"/>
  <c r="Z734" i="8" s="1"/>
  <c r="Z597" i="8" a="1"/>
  <c r="Z597" i="8" s="1"/>
  <c r="Z645" i="8" a="1"/>
  <c r="Z645" i="8" s="1"/>
  <c r="Z561" i="8" a="1"/>
  <c r="Z561" i="8" s="1"/>
  <c r="Z489" i="8" a="1"/>
  <c r="Z489" i="8" s="1"/>
  <c r="Z408" i="8" a="1"/>
  <c r="Z408" i="8" s="1"/>
  <c r="Z366" i="8" a="1"/>
  <c r="Z366" i="8" s="1"/>
  <c r="Z218" i="8" a="1"/>
  <c r="Z218" i="8" s="1"/>
  <c r="Z195" i="8" a="1"/>
  <c r="Z195" i="8" s="1"/>
  <c r="Z270" i="8" a="1"/>
  <c r="Z270" i="8" s="1"/>
  <c r="Z33" i="8" a="1"/>
  <c r="Z33" i="8" s="1"/>
  <c r="Z66" i="8" a="1"/>
  <c r="Z66" i="8" s="1"/>
  <c r="Z1025" i="8" a="1"/>
  <c r="Z1025" i="8" s="1"/>
  <c r="Z989" i="8" a="1"/>
  <c r="Z989" i="8" s="1"/>
  <c r="Z946" i="8" a="1"/>
  <c r="Z946" i="8" s="1"/>
  <c r="Z861" i="8" a="1"/>
  <c r="Z861" i="8" s="1"/>
  <c r="Z782" i="8" a="1"/>
  <c r="Z782" i="8" s="1"/>
  <c r="Z755" i="8" a="1"/>
  <c r="Z755" i="8" s="1"/>
  <c r="Z628" i="8" a="1"/>
  <c r="Z628" i="8" s="1"/>
  <c r="Z607" i="8" a="1"/>
  <c r="Z607" i="8" s="1"/>
  <c r="Z531" i="8" a="1"/>
  <c r="Z531" i="8" s="1"/>
  <c r="Z491" i="8" a="1"/>
  <c r="Z491" i="8" s="1"/>
  <c r="Z440" i="8" a="1"/>
  <c r="Z440" i="8" s="1"/>
  <c r="Z386" i="8" a="1"/>
  <c r="Z386" i="8" s="1"/>
  <c r="Z137" i="8" a="1"/>
  <c r="Z137" i="8" s="1"/>
  <c r="Z249" i="8" a="1"/>
  <c r="Z249" i="8" s="1"/>
  <c r="Z189" i="8" a="1"/>
  <c r="Z189" i="8" s="1"/>
  <c r="Z30" i="8" a="1"/>
  <c r="Z30" i="8" s="1"/>
  <c r="Z1046" i="8" a="1"/>
  <c r="Z1046" i="8" s="1"/>
  <c r="Z984" i="8" a="1"/>
  <c r="Z984" i="8" s="1"/>
  <c r="Z944" i="8" a="1"/>
  <c r="Z944" i="8" s="1"/>
  <c r="Z856" i="8" a="1"/>
  <c r="Z856" i="8" s="1"/>
  <c r="Z777" i="8" a="1"/>
  <c r="Z777" i="8" s="1"/>
  <c r="Z746" i="8" a="1"/>
  <c r="Z746" i="8" s="1"/>
  <c r="Z627" i="8" a="1"/>
  <c r="Z627" i="8" s="1"/>
  <c r="Z606" i="8" a="1"/>
  <c r="Z606" i="8" s="1"/>
  <c r="Z529" i="8" a="1"/>
  <c r="Z529" i="8" s="1"/>
  <c r="Z474" i="8" a="1"/>
  <c r="Z474" i="8" s="1"/>
  <c r="Z433" i="8" a="1"/>
  <c r="Z433" i="8" s="1"/>
  <c r="Z338" i="8" a="1"/>
  <c r="Z338" i="8" s="1"/>
  <c r="Z307" i="8" a="1"/>
  <c r="Z307" i="8" s="1"/>
  <c r="Z244" i="8" a="1"/>
  <c r="Z244" i="8" s="1"/>
  <c r="Z184" i="8" a="1"/>
  <c r="Z184" i="8" s="1"/>
  <c r="Z29" i="8" a="1"/>
  <c r="Z29" i="8" s="1"/>
  <c r="Z1065" i="8" a="1"/>
  <c r="Z1065" i="8" s="1"/>
  <c r="Z958" i="8" a="1"/>
  <c r="Z958" i="8" s="1"/>
  <c r="Z938" i="8" a="1"/>
  <c r="Z938" i="8" s="1"/>
  <c r="Z857" i="8" a="1"/>
  <c r="Z857" i="8" s="1"/>
  <c r="Z793" i="8" a="1"/>
  <c r="Z793" i="8" s="1"/>
  <c r="Z699" i="8" a="1"/>
  <c r="Z699" i="8" s="1"/>
  <c r="Z653" i="8" a="1"/>
  <c r="Z653" i="8" s="1"/>
  <c r="Z684" i="8" a="1"/>
  <c r="Z684" i="8" s="1"/>
  <c r="Z549" i="8" a="1"/>
  <c r="Z549" i="8" s="1"/>
  <c r="Z450" i="8" a="1"/>
  <c r="Z450" i="8" s="1"/>
  <c r="Z396" i="8" a="1"/>
  <c r="Z396" i="8" s="1"/>
  <c r="Z275" i="8" a="1"/>
  <c r="Z275" i="8" s="1"/>
  <c r="Z255" i="8" a="1"/>
  <c r="Z255" i="8" s="1"/>
  <c r="Z232" i="8" a="1"/>
  <c r="Z232" i="8" s="1"/>
  <c r="Z145" i="8" a="1"/>
  <c r="Z145" i="8" s="1"/>
  <c r="Z126" i="8" a="1"/>
  <c r="Z126" i="8" s="1"/>
  <c r="Z59" i="8" a="1"/>
  <c r="Z59" i="8" s="1"/>
  <c r="Z1064" i="8" a="1"/>
  <c r="Z1064" i="8" s="1"/>
  <c r="Z995" i="8" a="1"/>
  <c r="Z995" i="8" s="1"/>
  <c r="Z917" i="8" a="1"/>
  <c r="Z917" i="8" s="1"/>
  <c r="Z880" i="8" a="1"/>
  <c r="Z880" i="8" s="1"/>
  <c r="Z810" i="8" a="1"/>
  <c r="Z810" i="8" s="1"/>
  <c r="Z759" i="8" a="1"/>
  <c r="Z759" i="8" s="1"/>
  <c r="Z656" i="8" a="1"/>
  <c r="Z656" i="8" s="1"/>
  <c r="Z651" i="8" a="1"/>
  <c r="Z651" i="8" s="1"/>
  <c r="Z540" i="8" a="1"/>
  <c r="Z540" i="8" s="1"/>
  <c r="Z492" i="8" a="1"/>
  <c r="Z492" i="8" s="1"/>
  <c r="Z409" i="8" a="1"/>
  <c r="Z409" i="8" s="1"/>
  <c r="Z312" i="8" a="1"/>
  <c r="Z312" i="8" s="1"/>
  <c r="Z364" i="8" a="1"/>
  <c r="Z364" i="8" s="1"/>
  <c r="Z193" i="8" a="1"/>
  <c r="Z193" i="8" s="1"/>
  <c r="Z268" i="8" a="1"/>
  <c r="Z268" i="8" s="1"/>
  <c r="Z117" i="8" a="1"/>
  <c r="Z117" i="8" s="1"/>
  <c r="Z67" i="8" a="1"/>
  <c r="Z67" i="8" s="1"/>
  <c r="Z1067" i="8" a="1"/>
  <c r="Z1067" i="8" s="1"/>
  <c r="Z1007" i="8" a="1"/>
  <c r="Z1007" i="8" s="1"/>
  <c r="Z933" i="8" a="1"/>
  <c r="Z933" i="8" s="1"/>
  <c r="Z847" i="8" a="1"/>
  <c r="Z847" i="8" s="1"/>
  <c r="Z778" i="8" a="1"/>
  <c r="Z778" i="8" s="1"/>
  <c r="Z749" i="8" a="1"/>
  <c r="Z749" i="8" s="1"/>
  <c r="Z635" i="8" a="1"/>
  <c r="Z635" i="8" s="1"/>
  <c r="Z670" i="8" a="1"/>
  <c r="Z670" i="8" s="1"/>
  <c r="Z539" i="8" a="1"/>
  <c r="Z539" i="8" s="1"/>
  <c r="Z517" i="8" a="1"/>
  <c r="Z517" i="8" s="1"/>
  <c r="Z423" i="8" a="1"/>
  <c r="Z423" i="8" s="1"/>
  <c r="Z378" i="8" a="1"/>
  <c r="Z378" i="8" s="1"/>
  <c r="Z233" i="8" a="1"/>
  <c r="Z233" i="8" s="1"/>
  <c r="Z222" i="8" a="1"/>
  <c r="Z222" i="8" s="1"/>
  <c r="Z135" i="8" a="1"/>
  <c r="Z135" i="8" s="1"/>
  <c r="Z111" i="8" a="1"/>
  <c r="Z111" i="8" s="1"/>
  <c r="Z69" i="8" a="1"/>
  <c r="Z69" i="8" s="1"/>
  <c r="Z42" i="8" a="1"/>
  <c r="Z42" i="8" s="1"/>
  <c r="Z1040" i="8" a="1"/>
  <c r="Z1040" i="8" s="1"/>
  <c r="Z982" i="8" a="1"/>
  <c r="Z982" i="8" s="1"/>
  <c r="Z903" i="8" a="1"/>
  <c r="Z903" i="8" s="1"/>
  <c r="Z871" i="8" a="1"/>
  <c r="Z871" i="8" s="1"/>
  <c r="Z780" i="8" a="1"/>
  <c r="Z780" i="8" s="1"/>
  <c r="Z769" i="8" a="1"/>
  <c r="Z769" i="8" s="1"/>
  <c r="Z650" i="8" a="1"/>
  <c r="Z650" i="8" s="1"/>
  <c r="Z583" i="8" a="1"/>
  <c r="Z583" i="8" s="1"/>
  <c r="Z546" i="8" a="1"/>
  <c r="Z546" i="8" s="1"/>
  <c r="Z515" i="8" a="1"/>
  <c r="Z515" i="8" s="1"/>
  <c r="Z403" i="8" a="1"/>
  <c r="Z403" i="8" s="1"/>
  <c r="Z339" i="8" a="1"/>
  <c r="Z339" i="8" s="1"/>
  <c r="Z164" i="8" a="1"/>
  <c r="Z164" i="8" s="1"/>
  <c r="Z296" i="8" a="1"/>
  <c r="Z296" i="8" s="1"/>
  <c r="Z216" i="8" a="1"/>
  <c r="Z216" i="8" s="1"/>
  <c r="Z18" i="8" a="1"/>
  <c r="Z18" i="8" s="1"/>
  <c r="Z1063" i="8" a="1"/>
  <c r="Z1063" i="8" s="1"/>
  <c r="Z990" i="8" a="1"/>
  <c r="Z990" i="8" s="1"/>
  <c r="Z936" i="8" a="1"/>
  <c r="Z936" i="8" s="1"/>
  <c r="Z845" i="8" a="1"/>
  <c r="Z845" i="8" s="1"/>
  <c r="Z824" i="8" a="1"/>
  <c r="Z824" i="8" s="1"/>
  <c r="Z731" i="8" a="1"/>
  <c r="Z731" i="8" s="1"/>
  <c r="Z685" i="8" a="1"/>
  <c r="Z685" i="8" s="1"/>
  <c r="Z634" i="8" a="1"/>
  <c r="Z634" i="8" s="1"/>
  <c r="Z542" i="8" a="1"/>
  <c r="Z542" i="8" s="1"/>
  <c r="Z482" i="8" a="1"/>
  <c r="Z482" i="8" s="1"/>
  <c r="Z424" i="8" a="1"/>
  <c r="Z424" i="8" s="1"/>
  <c r="Z309" i="8" a="1"/>
  <c r="Z309" i="8" s="1"/>
  <c r="Z277" i="8" a="1"/>
  <c r="Z277" i="8" s="1"/>
  <c r="Z264" i="8" a="1"/>
  <c r="Z264" i="8" s="1"/>
  <c r="Z177" i="8" a="1"/>
  <c r="Z177" i="8" s="1"/>
  <c r="Z104" i="8" a="1"/>
  <c r="Z104" i="8" s="1"/>
  <c r="Z40" i="8" a="1"/>
  <c r="Z40" i="8" s="1"/>
  <c r="Z1030" i="8" a="1"/>
  <c r="Z1030" i="8" s="1"/>
  <c r="Z972" i="8" a="1"/>
  <c r="Z972" i="8" s="1"/>
  <c r="Z949" i="8" a="1"/>
  <c r="Z949" i="8" s="1"/>
  <c r="Z849" i="8" a="1"/>
  <c r="Z849" i="8" s="1"/>
  <c r="Z770" i="8" a="1"/>
  <c r="Z770" i="8" s="1"/>
  <c r="Z756" i="8" a="1"/>
  <c r="Z756" i="8" s="1"/>
  <c r="Z632" i="8" a="1"/>
  <c r="Z632" i="8" s="1"/>
  <c r="Z572" i="8" a="1"/>
  <c r="Z572" i="8" s="1"/>
  <c r="Z536" i="8" a="1"/>
  <c r="Z536" i="8" s="1"/>
  <c r="Z496" i="8" a="1"/>
  <c r="Z496" i="8" s="1"/>
  <c r="Z393" i="8" a="1"/>
  <c r="Z393" i="8" s="1"/>
  <c r="Z323" i="8" a="1"/>
  <c r="Z323" i="8" s="1"/>
  <c r="Z154" i="8" a="1"/>
  <c r="Z154" i="8" s="1"/>
  <c r="Z266" i="8" a="1"/>
  <c r="Z266" i="8" s="1"/>
  <c r="Z206" i="8" a="1"/>
  <c r="Z206" i="8" s="1"/>
  <c r="Z41" i="8" a="1"/>
  <c r="Z41" i="8" s="1"/>
  <c r="Z15" i="8" a="1"/>
  <c r="Z15" i="8" s="1"/>
  <c r="Z1052" i="8" a="1"/>
  <c r="Z1052" i="8" s="1"/>
  <c r="Z981" i="8" a="1"/>
  <c r="Z981" i="8" s="1"/>
  <c r="Z891" i="8" a="1"/>
  <c r="Z891" i="8" s="1"/>
  <c r="Z836" i="8" a="1"/>
  <c r="Z836" i="8" s="1"/>
  <c r="Z788" i="8" a="1"/>
  <c r="Z788" i="8" s="1"/>
  <c r="Z694" i="8" a="1"/>
  <c r="Z694" i="8" s="1"/>
  <c r="Z594" i="8" a="1"/>
  <c r="Z594" i="8" s="1"/>
  <c r="Z576" i="8" a="1"/>
  <c r="Z576" i="8" s="1"/>
  <c r="Z478" i="8" a="1"/>
  <c r="Z478" i="8" s="1"/>
  <c r="Z427" i="8" a="1"/>
  <c r="Z427" i="8" s="1"/>
  <c r="Z428" i="8" a="1"/>
  <c r="Z428" i="8" s="1"/>
  <c r="Z289" i="8" a="1"/>
  <c r="Z289" i="8" s="1"/>
  <c r="Z245" i="8" a="1"/>
  <c r="Z245" i="8" s="1"/>
  <c r="Z185" i="8" a="1"/>
  <c r="Z185" i="8" s="1"/>
  <c r="Z127" i="8" a="1"/>
  <c r="Z127" i="8" s="1"/>
  <c r="Z80" i="8" a="1"/>
  <c r="Z80" i="8" s="1"/>
  <c r="Z1041" i="8" a="1"/>
  <c r="Z1041" i="8" s="1"/>
  <c r="Z976" i="8" a="1"/>
  <c r="Z976" i="8" s="1"/>
  <c r="Z886" i="8" a="1"/>
  <c r="Z886" i="8" s="1"/>
  <c r="Z876" i="8" a="1"/>
  <c r="Z876" i="8" s="1"/>
  <c r="Z797" i="8" a="1"/>
  <c r="Z797" i="8" s="1"/>
  <c r="Z754" i="8" a="1"/>
  <c r="Z754" i="8" s="1"/>
  <c r="Z686" i="8" a="1"/>
  <c r="Z686" i="8" s="1"/>
  <c r="Z574" i="8" a="1"/>
  <c r="Z574" i="8" s="1"/>
  <c r="Z473" i="8" a="1"/>
  <c r="Z473" i="8" s="1"/>
  <c r="Z514" i="8" a="1"/>
  <c r="Z514" i="8" s="1"/>
  <c r="Z422" i="8" a="1"/>
  <c r="Z422" i="8" s="1"/>
  <c r="Z383" i="8" a="1"/>
  <c r="Z383" i="8" s="1"/>
  <c r="Z240" i="8" a="1"/>
  <c r="Z240" i="8" s="1"/>
  <c r="Z180" i="8" a="1"/>
  <c r="Z180" i="8" s="1"/>
  <c r="Z118" i="8" a="1"/>
  <c r="Z118" i="8" s="1"/>
  <c r="Z90" i="8" a="1"/>
  <c r="Z90" i="8" s="1"/>
  <c r="Z1024" i="8" a="1"/>
  <c r="Z1024" i="8" s="1"/>
  <c r="Z1002" i="8" a="1"/>
  <c r="Z1002" i="8" s="1"/>
  <c r="Z930" i="8" a="1"/>
  <c r="Z930" i="8" s="1"/>
  <c r="Z854" i="8" a="1"/>
  <c r="Z854" i="8" s="1"/>
  <c r="Z798" i="8" a="1"/>
  <c r="Z798" i="8" s="1"/>
  <c r="Z716" i="8" a="1"/>
  <c r="Z716" i="8" s="1"/>
  <c r="Z671" i="8" a="1"/>
  <c r="Z671" i="8" s="1"/>
  <c r="Z592" i="8" a="1"/>
  <c r="Z592" i="8" s="1"/>
  <c r="Z534" i="8" a="1"/>
  <c r="Z534" i="8" s="1"/>
  <c r="Z462" i="8" a="1"/>
  <c r="Z462" i="8" s="1"/>
  <c r="Z430" i="8" a="1"/>
  <c r="Z430" i="8" s="1"/>
  <c r="Z354" i="8" a="1"/>
  <c r="Z354" i="8" s="1"/>
  <c r="Z191" i="8" a="1"/>
  <c r="Z191" i="8" s="1"/>
  <c r="Z168" i="8" a="1"/>
  <c r="Z168" i="8" s="1"/>
  <c r="Z243" i="8" a="1"/>
  <c r="Z243" i="8" s="1"/>
  <c r="Z49" i="8" a="1"/>
  <c r="Z49" i="8" s="1"/>
  <c r="Z86" i="8" a="1"/>
  <c r="Z86" i="8" s="1"/>
  <c r="Z1049" i="8" a="1"/>
  <c r="Z1049" i="8" s="1"/>
  <c r="Z973" i="8" a="1"/>
  <c r="Z973" i="8" s="1"/>
  <c r="Z919" i="8" a="1"/>
  <c r="Z919" i="8" s="1"/>
  <c r="Z833" i="8" a="1"/>
  <c r="Z833" i="8" s="1"/>
  <c r="Z829" i="8" a="1"/>
  <c r="Z829" i="8" s="1"/>
  <c r="Z737" i="8" a="1"/>
  <c r="Z737" i="8" s="1"/>
  <c r="Z600" i="8" a="1"/>
  <c r="Z600" i="8" s="1"/>
  <c r="Z655" i="8" a="1"/>
  <c r="Z655" i="8" s="1"/>
  <c r="Z569" i="8" a="1"/>
  <c r="Z569" i="8" s="1"/>
  <c r="Z519" i="8" a="1"/>
  <c r="Z519" i="8" s="1"/>
  <c r="Z399" i="8" a="1"/>
  <c r="Z399" i="8" s="1"/>
  <c r="Z326" i="8" a="1"/>
  <c r="Z326" i="8" s="1"/>
  <c r="Z316" i="8" a="1"/>
  <c r="Z316" i="8" s="1"/>
  <c r="Z303" i="8" a="1"/>
  <c r="Z303" i="8" s="1"/>
  <c r="Z204" i="8" a="1"/>
  <c r="Z204" i="8" s="1"/>
  <c r="Z114" i="8" a="1"/>
  <c r="Z114" i="8" s="1"/>
  <c r="Z75" i="8" a="1"/>
  <c r="Z75" i="8" s="1"/>
  <c r="Z1055" i="8" a="1"/>
  <c r="Z1055" i="8" s="1"/>
  <c r="Z987" i="8" a="1"/>
  <c r="Z987" i="8" s="1"/>
  <c r="Z908" i="8" a="1"/>
  <c r="Z908" i="8" s="1"/>
  <c r="Z872" i="8" a="1"/>
  <c r="Z872" i="8" s="1"/>
  <c r="Z785" i="8" a="1"/>
  <c r="Z785" i="8" s="1"/>
  <c r="Z779" i="8" a="1"/>
  <c r="Z779" i="8" s="1"/>
  <c r="Z657" i="8" a="1"/>
  <c r="Z657" i="8" s="1"/>
  <c r="Z584" i="8" a="1"/>
  <c r="Z584" i="8" s="1"/>
  <c r="Z563" i="8" a="1"/>
  <c r="Z563" i="8" s="1"/>
  <c r="Z452" i="8" a="1"/>
  <c r="Z452" i="8" s="1"/>
  <c r="Z420" i="8" a="1"/>
  <c r="Z420" i="8" s="1"/>
  <c r="Z340" i="8" a="1"/>
  <c r="Z340" i="8" s="1"/>
  <c r="Z169" i="8" a="1"/>
  <c r="Z169" i="8" s="1"/>
  <c r="Z158" i="8" a="1"/>
  <c r="Z158" i="8" s="1"/>
  <c r="Z221" i="8" a="1"/>
  <c r="Z221" i="8" s="1"/>
  <c r="Z26" i="8" a="1"/>
  <c r="Z26" i="8" s="1"/>
  <c r="Z77" i="8" a="1"/>
  <c r="Z77" i="8" s="1"/>
  <c r="Z34" i="8" a="1"/>
  <c r="Z34" i="8" s="1"/>
  <c r="Z1056" i="8" a="1"/>
  <c r="Z1056" i="8" s="1"/>
  <c r="Z996" i="8" a="1"/>
  <c r="Z996" i="8" s="1"/>
  <c r="Z897" i="8" a="1"/>
  <c r="Z897" i="8" s="1"/>
  <c r="Z863" i="8" a="1"/>
  <c r="Z863" i="8" s="1"/>
  <c r="Z803" i="8" a="1"/>
  <c r="Z803" i="8" s="1"/>
  <c r="Z706" i="8" a="1"/>
  <c r="Z706" i="8" s="1"/>
  <c r="Z610" i="8" a="1"/>
  <c r="Z610" i="8" s="1"/>
  <c r="Z605" i="8" a="1"/>
  <c r="Z605" i="8" s="1"/>
  <c r="Z508" i="8" a="1"/>
  <c r="Z508" i="8" s="1"/>
  <c r="Z442" i="8" a="1"/>
  <c r="Z442" i="8" s="1"/>
  <c r="Z400" i="8" a="1"/>
  <c r="Z400" i="8" s="1"/>
  <c r="Z304" i="8" a="1"/>
  <c r="Z304" i="8" s="1"/>
  <c r="Z272" i="8" a="1"/>
  <c r="Z272" i="8" s="1"/>
  <c r="Z212" i="8" a="1"/>
  <c r="Z212" i="8" s="1"/>
  <c r="Z152" i="8" a="1"/>
  <c r="Z152" i="8" s="1"/>
  <c r="Z12" i="8" a="1"/>
  <c r="Z12" i="8" s="1"/>
  <c r="Z1047" i="8" a="1"/>
  <c r="Z1047" i="8" s="1"/>
  <c r="Z975" i="8" a="1"/>
  <c r="Z975" i="8" s="1"/>
  <c r="Z923" i="8" a="1"/>
  <c r="Z923" i="8" s="1"/>
  <c r="Z873" i="8" a="1"/>
  <c r="Z873" i="8" s="1"/>
  <c r="Z791" i="8" a="1"/>
  <c r="Z791" i="8" s="1"/>
  <c r="Z747" i="8" a="1"/>
  <c r="Z747" i="8" s="1"/>
  <c r="Z613" i="8" a="1"/>
  <c r="Z613" i="8" s="1"/>
  <c r="Z652" i="8" a="1"/>
  <c r="Z652" i="8" s="1"/>
  <c r="Z566" i="8" a="1"/>
  <c r="Z566" i="8" s="1"/>
  <c r="Z494" i="8" a="1"/>
  <c r="Z494" i="8" s="1"/>
  <c r="Z413" i="8" a="1"/>
  <c r="Z413" i="8" s="1"/>
  <c r="Z370" i="8" a="1"/>
  <c r="Z370" i="8" s="1"/>
  <c r="Z223" i="8" a="1"/>
  <c r="Z223" i="8" s="1"/>
  <c r="Z200" i="8" a="1"/>
  <c r="Z200" i="8" s="1"/>
  <c r="Z282" i="8" a="1"/>
  <c r="Z282" i="8" s="1"/>
  <c r="Z92" i="8" a="1"/>
  <c r="Z92" i="8" s="1"/>
  <c r="Z55" i="8" a="1"/>
  <c r="Z55" i="8" s="1"/>
  <c r="Z1044" i="8" a="1"/>
  <c r="Z1044" i="8" s="1"/>
  <c r="Z986" i="8" a="1"/>
  <c r="Z986" i="8" s="1"/>
  <c r="Z921" i="8" a="1"/>
  <c r="Z921" i="8" s="1"/>
  <c r="Z841" i="8" a="1"/>
  <c r="Z841" i="8" s="1"/>
  <c r="Z795" i="8" a="1"/>
  <c r="Z795" i="8" s="1"/>
  <c r="Z696" i="8" a="1"/>
  <c r="Z696" i="8" s="1"/>
  <c r="Z595" i="8" a="1"/>
  <c r="Z595" i="8" s="1"/>
  <c r="Z591" i="8" a="1"/>
  <c r="Z591" i="8" s="1"/>
  <c r="Z495" i="8" a="1"/>
  <c r="Z495" i="8" s="1"/>
  <c r="Z432" i="8" a="1"/>
  <c r="Z432" i="8" s="1"/>
  <c r="Z444" i="8" a="1"/>
  <c r="Z444" i="8" s="1"/>
  <c r="Z294" i="8" a="1"/>
  <c r="Z294" i="8" s="1"/>
  <c r="Z262" i="8" a="1"/>
  <c r="Z262" i="8" s="1"/>
  <c r="Z202" i="8" a="1"/>
  <c r="Z202" i="8" s="1"/>
  <c r="Z142" i="8" a="1"/>
  <c r="Z142" i="8" s="1"/>
  <c r="Z72" i="8" a="1"/>
  <c r="Z72" i="8" s="1"/>
  <c r="Z23" i="8" a="1"/>
  <c r="Z23" i="8" s="1"/>
  <c r="Z1039" i="8" a="1"/>
  <c r="Z1039" i="8" s="1"/>
  <c r="Z974" i="8" a="1"/>
  <c r="Z974" i="8" s="1"/>
  <c r="Z920" i="8" a="1"/>
  <c r="Z920" i="8" s="1"/>
  <c r="Z834" i="8" a="1"/>
  <c r="Z834" i="8" s="1"/>
  <c r="Z732" i="8" a="1"/>
  <c r="Z732" i="8" s="1"/>
  <c r="Z703" i="8" a="1"/>
  <c r="Z703" i="8" s="1"/>
  <c r="Z625" i="8" a="1"/>
  <c r="Z625" i="8" s="1"/>
  <c r="Z585" i="8" a="1"/>
  <c r="Z585" i="8" s="1"/>
  <c r="Z530" i="8" a="1"/>
  <c r="Z530" i="8" s="1"/>
  <c r="Z471" i="8" a="1"/>
  <c r="Z471" i="8" s="1"/>
  <c r="Z377" i="8" a="1"/>
  <c r="Z377" i="8" s="1"/>
  <c r="Z355" i="8" a="1"/>
  <c r="Z355" i="8" s="1"/>
  <c r="Z181" i="8" a="1"/>
  <c r="Z181" i="8" s="1"/>
  <c r="Z251" i="8" a="1"/>
  <c r="Z251" i="8" s="1"/>
  <c r="Z113" i="8" a="1"/>
  <c r="Z113" i="8" s="1"/>
  <c r="Z87" i="8" a="1"/>
  <c r="Z87" i="8" s="1"/>
  <c r="Z1031" i="8" a="1"/>
  <c r="Z1031" i="8" s="1"/>
  <c r="Z966" i="8" a="1"/>
  <c r="Z966" i="8" s="1"/>
  <c r="Z900" i="8" a="1"/>
  <c r="Z900" i="8" s="1"/>
  <c r="Z825" i="8" a="1"/>
  <c r="Z825" i="8" s="1"/>
  <c r="Z727" i="8" a="1"/>
  <c r="Z727" i="8" s="1"/>
  <c r="Z776" i="8" a="1"/>
  <c r="Z776" i="8" s="1"/>
  <c r="Z609" i="8" a="1"/>
  <c r="Z609" i="8" s="1"/>
  <c r="Z575" i="8" a="1"/>
  <c r="Z575" i="8" s="1"/>
  <c r="Z528" i="8" a="1"/>
  <c r="Z528" i="8" s="1"/>
  <c r="Z454" i="8" a="1"/>
  <c r="Z454" i="8" s="1"/>
  <c r="Z373" i="8" a="1"/>
  <c r="Z373" i="8" s="1"/>
  <c r="Z351" i="8" a="1"/>
  <c r="Z351" i="8" s="1"/>
  <c r="Z176" i="8" a="1"/>
  <c r="Z176" i="8" s="1"/>
  <c r="Z246" i="8" a="1"/>
  <c r="Z246" i="8" s="1"/>
  <c r="Z108" i="8" a="1"/>
  <c r="Z108" i="8" s="1"/>
  <c r="Z20" i="8" a="1"/>
  <c r="Z20" i="8" s="1"/>
  <c r="Z1043" i="8" a="1"/>
  <c r="Z1043" i="8" s="1"/>
  <c r="Z967" i="8" a="1"/>
  <c r="Z967" i="8" s="1"/>
  <c r="Z925" i="8" a="1"/>
  <c r="Z925" i="8" s="1"/>
  <c r="Z851" i="8" a="1"/>
  <c r="Z851" i="8" s="1"/>
  <c r="Z772" i="8" a="1"/>
  <c r="Z772" i="8" s="1"/>
  <c r="Z733" i="8" a="1"/>
  <c r="Z733" i="8" s="1"/>
  <c r="Z626" i="8" a="1"/>
  <c r="Z626" i="8" s="1"/>
  <c r="Z602" i="8" a="1"/>
  <c r="Z602" i="8" s="1"/>
  <c r="Z524" i="8" a="1"/>
  <c r="Z524" i="8" s="1"/>
  <c r="Z469" i="8" a="1"/>
  <c r="Z469" i="8" s="1"/>
  <c r="Z415" i="8" a="1"/>
  <c r="Z415" i="8" s="1"/>
  <c r="Z337" i="8" a="1"/>
  <c r="Z337" i="8" s="1"/>
  <c r="Z298" i="8" a="1"/>
  <c r="Z298" i="8" s="1"/>
  <c r="Z239" i="8" a="1"/>
  <c r="Z239" i="8" s="1"/>
  <c r="Z179" i="8" a="1"/>
  <c r="Z179" i="8" s="1"/>
  <c r="Z57" i="8" a="1"/>
  <c r="Z57" i="8" s="1"/>
  <c r="Z28" i="8" a="1"/>
  <c r="Z28" i="8" s="1"/>
  <c r="Z1062" i="8" a="1"/>
  <c r="Z1062" i="8" s="1"/>
  <c r="Z953" i="8" a="1"/>
  <c r="Z953" i="8" s="1"/>
  <c r="Z940" i="8" a="1"/>
  <c r="Z940" i="8" s="1"/>
  <c r="Z852" i="8" a="1"/>
  <c r="Z852" i="8" s="1"/>
  <c r="Z783" i="8" a="1"/>
  <c r="Z783" i="8" s="1"/>
  <c r="Z758" i="8" a="1"/>
  <c r="Z758" i="8" s="1"/>
  <c r="Z646" i="8" a="1"/>
  <c r="Z646" i="8" s="1"/>
  <c r="Z677" i="8" a="1"/>
  <c r="Z677" i="8" s="1"/>
  <c r="Z544" i="8" a="1"/>
  <c r="Z544" i="8" s="1"/>
  <c r="Z518" i="8" a="1"/>
  <c r="Z518" i="8" s="1"/>
  <c r="Z425" i="8" a="1"/>
  <c r="Z425" i="8" s="1"/>
  <c r="Z382" i="8" a="1"/>
  <c r="Z382" i="8" s="1"/>
  <c r="Z250" i="8" a="1"/>
  <c r="Z250" i="8" s="1"/>
  <c r="Z227" i="8" a="1"/>
  <c r="Z227" i="8" s="1"/>
  <c r="Z140" i="8" a="1"/>
  <c r="Z140" i="8" s="1"/>
  <c r="Z116" i="8" a="1"/>
  <c r="Z116" i="8" s="1"/>
  <c r="Z44" i="8" a="1"/>
  <c r="Z44" i="8" s="1"/>
  <c r="Z1037" i="8" a="1"/>
  <c r="Z1037" i="8" s="1"/>
  <c r="Z979" i="8" a="1"/>
  <c r="Z979" i="8" s="1"/>
  <c r="Z909" i="8" a="1"/>
  <c r="Z909" i="8" s="1"/>
  <c r="Z868" i="8" a="1"/>
  <c r="Z868" i="8" s="1"/>
  <c r="Z808" i="8" a="1"/>
  <c r="Z808" i="8" s="1"/>
  <c r="Z723" i="8" a="1"/>
  <c r="Z723" i="8" s="1"/>
  <c r="Z611" i="8" a="1"/>
  <c r="Z611" i="8" s="1"/>
  <c r="Z581" i="8" a="1"/>
  <c r="Z581" i="8" s="1"/>
  <c r="Z509" i="8" a="1"/>
  <c r="Z509" i="8" s="1"/>
  <c r="Z459" i="8" a="1"/>
  <c r="Z459" i="8" s="1"/>
  <c r="Z405" i="8" a="1"/>
  <c r="Z405" i="8" s="1"/>
  <c r="Z321" i="8" a="1"/>
  <c r="Z321" i="8" s="1"/>
  <c r="Z287" i="8" a="1"/>
  <c r="Z287" i="8" s="1"/>
  <c r="Z217" i="8" a="1"/>
  <c r="Z217" i="8" s="1"/>
  <c r="Z157" i="8" a="1"/>
  <c r="Z157" i="8" s="1"/>
  <c r="Z76" i="8" a="1"/>
  <c r="Z76" i="8" s="1"/>
  <c r="Z38" i="8" a="1"/>
  <c r="Z38" i="8" s="1"/>
  <c r="Z21" i="5" a="1"/>
  <c r="Z21" i="5" s="1"/>
  <c r="Z77" i="5" a="1"/>
  <c r="Z77" i="5" s="1"/>
  <c r="Z1064" i="5" a="1"/>
  <c r="Z1064" i="5" s="1"/>
  <c r="Z924" i="5" a="1"/>
  <c r="Z924" i="5" s="1"/>
  <c r="Z796" i="5" a="1"/>
  <c r="Z796" i="5" s="1"/>
  <c r="Z668" i="5" a="1"/>
  <c r="Z668" i="5" s="1"/>
  <c r="Z971" i="5" a="1"/>
  <c r="Z971" i="5" s="1"/>
  <c r="Z843" i="5" a="1"/>
  <c r="Z843" i="5" s="1"/>
  <c r="Z715" i="5" a="1"/>
  <c r="Z715" i="5" s="1"/>
  <c r="Z299" i="5" a="1"/>
  <c r="Z299" i="5" s="1"/>
  <c r="Z523" i="5" a="1"/>
  <c r="Z523" i="5" s="1"/>
  <c r="Z395" i="5" a="1"/>
  <c r="Z395" i="5" s="1"/>
  <c r="Z604" i="5" a="1"/>
  <c r="Z604" i="5" s="1"/>
  <c r="Z476" i="5" a="1"/>
  <c r="Z476" i="5" s="1"/>
  <c r="Z348" i="5" a="1"/>
  <c r="Z348" i="5" s="1"/>
  <c r="Z199" i="5" a="1"/>
  <c r="Z199" i="5" s="1"/>
  <c r="Z212" i="5" a="1"/>
  <c r="Z212" i="5" s="1"/>
  <c r="Z20" i="5" a="1"/>
  <c r="Z20" i="5" s="1"/>
  <c r="Z163" i="5" a="1"/>
  <c r="Z163" i="5" s="1"/>
  <c r="Z1018" i="5" a="1"/>
  <c r="Z1018" i="5" s="1"/>
  <c r="Z890" i="5" a="1"/>
  <c r="Z890" i="5" s="1"/>
  <c r="Z762" i="5" a="1"/>
  <c r="Z762" i="5" s="1"/>
  <c r="Z632" i="5" a="1"/>
  <c r="Z632" i="5" s="1"/>
  <c r="Z937" i="5" a="1"/>
  <c r="Z937" i="5" s="1"/>
  <c r="Z809" i="5" a="1"/>
  <c r="Z809" i="5" s="1"/>
  <c r="Z681" i="5" a="1"/>
  <c r="Z681" i="5" s="1"/>
  <c r="Z617" i="5" a="1"/>
  <c r="Z617" i="5" s="1"/>
  <c r="Z489" i="5" a="1"/>
  <c r="Z489" i="5" s="1"/>
  <c r="Z361" i="5" a="1"/>
  <c r="Z361" i="5" s="1"/>
  <c r="Z570" i="5" a="1"/>
  <c r="Z570" i="5" s="1"/>
  <c r="Z442" i="5" a="1"/>
  <c r="Z442" i="5" s="1"/>
  <c r="Z314" i="5" a="1"/>
  <c r="Z314" i="5" s="1"/>
  <c r="Z188" i="5" a="1"/>
  <c r="Z188" i="5" s="1"/>
  <c r="Z185" i="5" a="1"/>
  <c r="Z185" i="5" s="1"/>
  <c r="Z84" i="5" a="1"/>
  <c r="Z84" i="5" s="1"/>
  <c r="Z108" i="5" a="1"/>
  <c r="Z108" i="5" s="1"/>
  <c r="Z984" i="5" a="1"/>
  <c r="Z984" i="5" s="1"/>
  <c r="Z856" i="5" a="1"/>
  <c r="Z856" i="5" s="1"/>
  <c r="Z728" i="5" a="1"/>
  <c r="Z728" i="5" s="1"/>
  <c r="Z1031" i="5" a="1"/>
  <c r="Z1031" i="5" s="1"/>
  <c r="Z903" i="5" a="1"/>
  <c r="Z903" i="5" s="1"/>
  <c r="Z775" i="5" a="1"/>
  <c r="Z775" i="5" s="1"/>
  <c r="Z642" i="5" a="1"/>
  <c r="Z642" i="5" s="1"/>
  <c r="Z583" i="5" a="1"/>
  <c r="Z583" i="5" s="1"/>
  <c r="Z455" i="5" a="1"/>
  <c r="Z455" i="5" s="1"/>
  <c r="Z327" i="5" a="1"/>
  <c r="Z327" i="5" s="1"/>
  <c r="Z536" i="5" a="1"/>
  <c r="Z536" i="5" s="1"/>
  <c r="Z408" i="5" a="1"/>
  <c r="Z408" i="5" s="1"/>
  <c r="Z259" i="5" a="1"/>
  <c r="Z259" i="5" s="1"/>
  <c r="Z272" i="5" a="1"/>
  <c r="Z272" i="5" s="1"/>
  <c r="Z132" i="5" a="1"/>
  <c r="Z132" i="5" s="1"/>
  <c r="Z92" i="5" a="1"/>
  <c r="Z92" i="5" s="1"/>
  <c r="Z34" i="5" a="1"/>
  <c r="Z34" i="5" s="1"/>
  <c r="Z950" i="5" a="1"/>
  <c r="Z950" i="5" s="1"/>
  <c r="Z822" i="5" a="1"/>
  <c r="Z822" i="5" s="1"/>
  <c r="Z694" i="5" a="1"/>
  <c r="Z694" i="5" s="1"/>
  <c r="Z997" i="5" a="1"/>
  <c r="Z997" i="5" s="1"/>
  <c r="Z869" i="5" a="1"/>
  <c r="Z869" i="5" s="1"/>
  <c r="Z741" i="5" a="1"/>
  <c r="Z741" i="5" s="1"/>
  <c r="Z626" i="5" a="1"/>
  <c r="Z626" i="5" s="1"/>
  <c r="Z549" i="5" a="1"/>
  <c r="Z549" i="5" s="1"/>
  <c r="Z421" i="5" a="1"/>
  <c r="Z421" i="5" s="1"/>
  <c r="Z309" i="5" a="1"/>
  <c r="Z309" i="5" s="1"/>
  <c r="Z502" i="5" a="1"/>
  <c r="Z502" i="5" s="1"/>
  <c r="Z374" i="5" a="1"/>
  <c r="Z374" i="5" s="1"/>
  <c r="Z225" i="5" a="1"/>
  <c r="Z225" i="5" s="1"/>
  <c r="Z238" i="5" a="1"/>
  <c r="Z238" i="5" s="1"/>
  <c r="Z5" i="5" a="1"/>
  <c r="Z5" i="5" s="1"/>
  <c r="Z63" i="5" a="1"/>
  <c r="Z63" i="5" s="1"/>
  <c r="Z1063" i="5" a="1"/>
  <c r="Z1063" i="5" s="1"/>
  <c r="Z932" i="5" a="1"/>
  <c r="Z932" i="5" s="1"/>
  <c r="Z804" i="5" a="1"/>
  <c r="Z804" i="5" s="1"/>
  <c r="Z676" i="5" a="1"/>
  <c r="Z676" i="5" s="1"/>
  <c r="Z979" i="5" a="1"/>
  <c r="Z979" i="5" s="1"/>
  <c r="Z851" i="5" a="1"/>
  <c r="Z851" i="5" s="1"/>
  <c r="Z723" i="5" a="1"/>
  <c r="Z723" i="5" s="1"/>
  <c r="Z284" i="5" a="1"/>
  <c r="Z284" i="5" s="1"/>
  <c r="Z531" i="5" a="1"/>
  <c r="Z531" i="5" s="1"/>
  <c r="Z403" i="5" a="1"/>
  <c r="Z403" i="5" s="1"/>
  <c r="Z612" i="5" a="1"/>
  <c r="Z612" i="5" s="1"/>
  <c r="Z484" i="5" a="1"/>
  <c r="Z484" i="5" s="1"/>
  <c r="Z356" i="5" a="1"/>
  <c r="Z356" i="5" s="1"/>
  <c r="Z207" i="5" a="1"/>
  <c r="Z207" i="5" s="1"/>
  <c r="Z220" i="5" a="1"/>
  <c r="Z220" i="5" s="1"/>
  <c r="Z14" i="5" a="1"/>
  <c r="Z14" i="5" s="1"/>
  <c r="Z62" i="5" a="1"/>
  <c r="Z62" i="5" s="1"/>
  <c r="Z1026" i="5" a="1"/>
  <c r="Z1026" i="5" s="1"/>
  <c r="Z898" i="5" a="1"/>
  <c r="Z898" i="5" s="1"/>
  <c r="Z770" i="5" a="1"/>
  <c r="Z770" i="5" s="1"/>
  <c r="Z1070" i="5" a="1"/>
  <c r="Z1070" i="5" s="1"/>
  <c r="Z945" i="5" a="1"/>
  <c r="Z945" i="5" s="1"/>
  <c r="Z817" i="5" a="1"/>
  <c r="Z817" i="5" s="1"/>
  <c r="Z689" i="5" a="1"/>
  <c r="Z689" i="5" s="1"/>
  <c r="Z625" i="5" a="1"/>
  <c r="Z625" i="5" s="1"/>
  <c r="Z497" i="5" a="1"/>
  <c r="Z497" i="5" s="1"/>
  <c r="Z369" i="5" a="1"/>
  <c r="Z369" i="5" s="1"/>
  <c r="Z578" i="5" a="1"/>
  <c r="Z578" i="5" s="1"/>
  <c r="Z450" i="5" a="1"/>
  <c r="Z450" i="5" s="1"/>
  <c r="Z322" i="5" a="1"/>
  <c r="Z322" i="5" s="1"/>
  <c r="Z117" i="5" a="1"/>
  <c r="Z117" i="5" s="1"/>
  <c r="Z128" i="5" a="1"/>
  <c r="Z128" i="5" s="1"/>
  <c r="Z187" i="5" a="1"/>
  <c r="Z187" i="5" s="1"/>
  <c r="Z103" i="5" a="1"/>
  <c r="Z103" i="5" s="1"/>
  <c r="Z992" i="5" a="1"/>
  <c r="Z992" i="5" s="1"/>
  <c r="Z864" i="5" a="1"/>
  <c r="Z864" i="5" s="1"/>
  <c r="Z736" i="5" a="1"/>
  <c r="Z736" i="5" s="1"/>
  <c r="Z1039" i="5" a="1"/>
  <c r="Z1039" i="5" s="1"/>
  <c r="Z911" i="5" a="1"/>
  <c r="Z911" i="5" s="1"/>
  <c r="Z783" i="5" a="1"/>
  <c r="Z783" i="5" s="1"/>
  <c r="Z655" i="5" a="1"/>
  <c r="Z655" i="5" s="1"/>
  <c r="Z591" i="5" a="1"/>
  <c r="Z591" i="5" s="1"/>
  <c r="Z463" i="5" a="1"/>
  <c r="Z463" i="5" s="1"/>
  <c r="Z335" i="5" a="1"/>
  <c r="Z335" i="5" s="1"/>
  <c r="Z544" i="5" a="1"/>
  <c r="Z544" i="5" s="1"/>
  <c r="Z416" i="5" a="1"/>
  <c r="Z416" i="5" s="1"/>
  <c r="Z267" i="5" a="1"/>
  <c r="Z267" i="5" s="1"/>
  <c r="Z280" i="5" a="1"/>
  <c r="Z280" i="5" s="1"/>
  <c r="Z161" i="5" a="1"/>
  <c r="Z161" i="5" s="1"/>
  <c r="Z66" i="5" a="1"/>
  <c r="Z66" i="5" s="1"/>
  <c r="Z73" i="5" a="1"/>
  <c r="Z73" i="5" s="1"/>
  <c r="Z958" i="5" a="1"/>
  <c r="Z958" i="5" s="1"/>
  <c r="Z830" i="5" a="1"/>
  <c r="Z830" i="5" s="1"/>
  <c r="Z702" i="5" a="1"/>
  <c r="Z702" i="5" s="1"/>
  <c r="Z1005" i="5" a="1"/>
  <c r="Z1005" i="5" s="1"/>
  <c r="Z877" i="5" a="1"/>
  <c r="Z877" i="5" s="1"/>
  <c r="Z749" i="5" a="1"/>
  <c r="Z749" i="5" s="1"/>
  <c r="Z646" i="5" a="1"/>
  <c r="Z646" i="5" s="1"/>
  <c r="Z557" i="5" a="1"/>
  <c r="Z557" i="5" s="1"/>
  <c r="Z429" i="5" a="1"/>
  <c r="Z429" i="5" s="1"/>
  <c r="Z294" i="5" a="1"/>
  <c r="Z294" i="5" s="1"/>
  <c r="Z510" i="5" a="1"/>
  <c r="Z510" i="5" s="1"/>
  <c r="Z382" i="5" a="1"/>
  <c r="Z382" i="5" s="1"/>
  <c r="Z233" i="5" a="1"/>
  <c r="Z233" i="5" s="1"/>
  <c r="Z246" i="5" a="1"/>
  <c r="Z246" i="5" s="1"/>
  <c r="X492" i="8" a="1"/>
  <c r="X492" i="8" s="1"/>
  <c r="X4" i="8" a="1"/>
  <c r="X4" i="8" s="1"/>
  <c r="X1004" i="8" a="1"/>
  <c r="X1004" i="8" s="1"/>
  <c r="X514" i="8" a="1"/>
  <c r="X514" i="8" s="1"/>
  <c r="X355" i="8" a="1"/>
  <c r="X355" i="8" s="1"/>
  <c r="X596" i="8" a="1"/>
  <c r="X596" i="8" s="1"/>
  <c r="X450" i="8" a="1"/>
  <c r="X450" i="8" s="1"/>
  <c r="X719" i="8" a="1"/>
  <c r="X719" i="8" s="1"/>
  <c r="X966" i="8" a="1"/>
  <c r="X966" i="8" s="1"/>
  <c r="X40" i="8" a="1"/>
  <c r="X40" i="8" s="1"/>
  <c r="X606" i="8" a="1"/>
  <c r="X606" i="8" s="1"/>
  <c r="X112" i="8" a="1"/>
  <c r="X112" i="8" s="1"/>
  <c r="X447" i="8" a="1"/>
  <c r="X447" i="8" s="1"/>
  <c r="Z8" i="8" a="1"/>
  <c r="Z8" i="8" s="1"/>
  <c r="X168" i="8" a="1"/>
  <c r="X168" i="8" s="1"/>
  <c r="X629" i="8" a="1"/>
  <c r="X629" i="8" s="1"/>
  <c r="X440" i="8" a="1"/>
  <c r="X440" i="8" s="1"/>
  <c r="X181" i="8" a="1"/>
  <c r="X181" i="8" s="1"/>
  <c r="X731" i="8" a="1"/>
  <c r="X731" i="8" s="1"/>
  <c r="X530" i="8" a="1"/>
  <c r="X530" i="8" s="1"/>
  <c r="X150" i="8" a="1"/>
  <c r="X150" i="8" s="1"/>
  <c r="X797" i="8" a="1"/>
  <c r="X797" i="8" s="1"/>
  <c r="X569" i="8" a="1"/>
  <c r="X569" i="8" s="1"/>
  <c r="X343" i="8" a="1"/>
  <c r="X343" i="8" s="1"/>
  <c r="X95" i="8" a="1"/>
  <c r="X95" i="8" s="1"/>
  <c r="X682" i="8" a="1"/>
  <c r="X682" i="8" s="1"/>
  <c r="X855" i="8" a="1"/>
  <c r="X855" i="8" s="1"/>
  <c r="X14" i="8" a="1"/>
  <c r="X14" i="8" s="1"/>
  <c r="X923" i="8" a="1"/>
  <c r="X923" i="8" s="1"/>
  <c r="X65" i="8" a="1"/>
  <c r="X65" i="8" s="1"/>
  <c r="X880" i="8" a="1"/>
  <c r="X880" i="8" s="1"/>
  <c r="X288" i="8" a="1"/>
  <c r="X288" i="8" s="1"/>
  <c r="X769" i="8" a="1"/>
  <c r="X769" i="8" s="1"/>
  <c r="X572" i="8" a="1"/>
  <c r="X572" i="8" s="1"/>
  <c r="X311" i="8" a="1"/>
  <c r="X311" i="8" s="1"/>
  <c r="X126" i="8" a="1"/>
  <c r="X126" i="8" s="1"/>
  <c r="X635" i="8" a="1"/>
  <c r="X635" i="8" s="1"/>
  <c r="X422" i="8" a="1"/>
  <c r="X422" i="8" s="1"/>
  <c r="X198" i="8" a="1"/>
  <c r="X198" i="8" s="1"/>
  <c r="X737" i="8" a="1"/>
  <c r="X737" i="8" s="1"/>
  <c r="X468" i="8" a="1"/>
  <c r="X468" i="8" s="1"/>
  <c r="X145" i="8" a="1"/>
  <c r="X145" i="8" s="1"/>
  <c r="X776" i="8" a="1"/>
  <c r="X776" i="8" s="1"/>
  <c r="X986" i="8" a="1"/>
  <c r="X986" i="8" s="1"/>
  <c r="X917" i="8" a="1"/>
  <c r="X917" i="8" s="1"/>
  <c r="X41" i="8" a="1"/>
  <c r="X41" i="8" s="1"/>
  <c r="X926" i="8" a="1"/>
  <c r="X926" i="8" s="1"/>
  <c r="X1028" i="8" a="1"/>
  <c r="X1028" i="8" s="1"/>
  <c r="X435" i="8" a="1"/>
  <c r="X435" i="8" s="1"/>
  <c r="X242" i="8" a="1"/>
  <c r="X242" i="8" s="1"/>
  <c r="X726" i="8" a="1"/>
  <c r="X726" i="8" s="1"/>
  <c r="X519" i="8" a="1"/>
  <c r="X519" i="8" s="1"/>
  <c r="X177" i="8" a="1"/>
  <c r="X177" i="8" s="1"/>
  <c r="X806" i="8" a="1"/>
  <c r="X806" i="8" s="1"/>
  <c r="X581" i="8" a="1"/>
  <c r="X581" i="8" s="1"/>
  <c r="X328" i="8" a="1"/>
  <c r="X328" i="8" s="1"/>
  <c r="X115" i="8" a="1"/>
  <c r="X115" i="8" s="1"/>
  <c r="X644" i="8" a="1"/>
  <c r="X644" i="8" s="1"/>
  <c r="X430" i="8" a="1"/>
  <c r="X430" i="8" s="1"/>
  <c r="X906" i="8" a="1"/>
  <c r="X906" i="8" s="1"/>
  <c r="X826" i="8" a="1"/>
  <c r="X826" i="8" s="1"/>
  <c r="X1033" i="8" a="1"/>
  <c r="X1033" i="8" s="1"/>
  <c r="X877" i="8" a="1"/>
  <c r="X877" i="8" s="1"/>
  <c r="X1065" i="8" a="1"/>
  <c r="X1065" i="8" s="1"/>
  <c r="X60" i="8" a="1"/>
  <c r="X60" i="8" s="1"/>
  <c r="X548" i="8" a="1"/>
  <c r="X548" i="8" s="1"/>
  <c r="X297" i="8" a="1"/>
  <c r="X297" i="8" s="1"/>
  <c r="X131" i="8" a="1"/>
  <c r="X131" i="8" s="1"/>
  <c r="X621" i="8" a="1"/>
  <c r="X621" i="8" s="1"/>
  <c r="X396" i="8" a="1"/>
  <c r="X396" i="8" s="1"/>
  <c r="X144" i="8" a="1"/>
  <c r="X144" i="8" s="1"/>
  <c r="X662" i="8" a="1"/>
  <c r="X662" i="8" s="1"/>
  <c r="X458" i="8" a="1"/>
  <c r="X458" i="8" s="1"/>
  <c r="X142" i="8" a="1"/>
  <c r="X142" i="8" s="1"/>
  <c r="X730" i="8" a="1"/>
  <c r="X730" i="8" s="1"/>
  <c r="X542" i="8" a="1"/>
  <c r="X542" i="8" s="1"/>
  <c r="X1054" i="8" a="1"/>
  <c r="X1054" i="8" s="1"/>
  <c r="X1006" i="8" a="1"/>
  <c r="X1006" i="8" s="1"/>
  <c r="X866" i="8" a="1"/>
  <c r="X866" i="8" s="1"/>
  <c r="X963" i="8" a="1"/>
  <c r="X963" i="8" s="1"/>
  <c r="X798" i="8" a="1"/>
  <c r="X798" i="8" s="1"/>
  <c r="X167" i="8" a="1"/>
  <c r="X167" i="8" s="1"/>
  <c r="X744" i="8" a="1"/>
  <c r="X744" i="8" s="1"/>
  <c r="X474" i="8" a="1"/>
  <c r="X474" i="8" s="1"/>
  <c r="X271" i="8" a="1"/>
  <c r="X271" i="8" s="1"/>
  <c r="X835" i="8" a="1"/>
  <c r="X835" i="8" s="1"/>
  <c r="X570" i="8" a="1"/>
  <c r="X570" i="8" s="1"/>
  <c r="X360" i="8" a="1"/>
  <c r="X360" i="8" s="1"/>
  <c r="X183" i="8" a="1"/>
  <c r="X183" i="8" s="1"/>
  <c r="X618" i="8" a="1"/>
  <c r="X618" i="8" s="1"/>
  <c r="X418" i="8" a="1"/>
  <c r="X418" i="8" s="1"/>
  <c r="X186" i="8" a="1"/>
  <c r="X186" i="8" s="1"/>
  <c r="X738" i="8" a="1"/>
  <c r="X738" i="8" s="1"/>
  <c r="X949" i="8" a="1"/>
  <c r="X949" i="8" s="1"/>
  <c r="X862" i="8" a="1"/>
  <c r="X862" i="8" s="1"/>
  <c r="X1050" i="8" a="1"/>
  <c r="X1050" i="8" s="1"/>
  <c r="X889" i="8" a="1"/>
  <c r="X889" i="8" s="1"/>
  <c r="X971" i="8" a="1"/>
  <c r="X971" i="8" s="1"/>
  <c r="X333" i="8" a="1"/>
  <c r="X333" i="8" s="1"/>
  <c r="X234" i="8" a="1"/>
  <c r="X234" i="8" s="1"/>
  <c r="X619" i="8" a="1"/>
  <c r="X619" i="8" s="1"/>
  <c r="X386" i="8" a="1"/>
  <c r="X386" i="8" s="1"/>
  <c r="X218" i="8" a="1"/>
  <c r="X218" i="8" s="1"/>
  <c r="X752" i="8" a="1"/>
  <c r="X752" i="8" s="1"/>
  <c r="X486" i="8" a="1"/>
  <c r="X486" i="8" s="1"/>
  <c r="X322" i="8" a="1"/>
  <c r="X322" i="8" s="1"/>
  <c r="X830" i="8" a="1"/>
  <c r="X830" i="8" s="1"/>
  <c r="X566" i="8" a="1"/>
  <c r="X566" i="8" s="1"/>
  <c r="X385" i="8" a="1"/>
  <c r="X385" i="8" s="1"/>
  <c r="X878" i="8" a="1"/>
  <c r="X878" i="8" s="1"/>
  <c r="X69" i="8" a="1"/>
  <c r="X69" i="8" s="1"/>
  <c r="X994" i="8" a="1"/>
  <c r="X994" i="8" s="1"/>
  <c r="X796" i="8" a="1"/>
  <c r="X796" i="8" s="1"/>
  <c r="X997" i="8" a="1"/>
  <c r="X997" i="8" s="1"/>
  <c r="X86" i="8" a="1"/>
  <c r="X86" i="8" s="1"/>
  <c r="X454" i="8" a="1"/>
  <c r="X454" i="8" s="1"/>
  <c r="X197" i="8" a="1"/>
  <c r="X197" i="8" s="1"/>
  <c r="X810" i="8" a="1"/>
  <c r="X810" i="8" s="1"/>
  <c r="X534" i="8" a="1"/>
  <c r="X534" i="8" s="1"/>
  <c r="X291" i="8" a="1"/>
  <c r="X291" i="8" s="1"/>
  <c r="X120" i="8" a="1"/>
  <c r="X120" i="8" s="1"/>
  <c r="X600" i="8" a="1"/>
  <c r="X600" i="8" s="1"/>
  <c r="X413" i="8" a="1"/>
  <c r="X413" i="8" s="1"/>
  <c r="X304" i="8" a="1"/>
  <c r="X304" i="8" s="1"/>
  <c r="X777" i="8" a="1"/>
  <c r="X777" i="8" s="1"/>
  <c r="X523" i="8" a="1"/>
  <c r="X523" i="8" s="1"/>
  <c r="X989" i="8" a="1"/>
  <c r="X989" i="8" s="1"/>
  <c r="X955" i="8" a="1"/>
  <c r="X955" i="8" s="1"/>
  <c r="X71" i="8" a="1"/>
  <c r="X71" i="8" s="1"/>
  <c r="X908" i="8" a="1"/>
  <c r="X908" i="8" s="1"/>
  <c r="X70" i="8" a="1"/>
  <c r="X70" i="8" s="1"/>
  <c r="X102" i="8" a="1"/>
  <c r="X102" i="8" s="1"/>
  <c r="X678" i="8" a="1"/>
  <c r="X678" i="8" s="1"/>
  <c r="X412" i="8" a="1"/>
  <c r="X412" i="8" s="1"/>
  <c r="X257" i="8" a="1"/>
  <c r="X257" i="8" s="1"/>
  <c r="X736" i="8" a="1"/>
  <c r="X736" i="8" s="1"/>
  <c r="X449" i="8" a="1"/>
  <c r="X449" i="8" s="1"/>
  <c r="X251" i="8" a="1"/>
  <c r="X251" i="8" s="1"/>
  <c r="X764" i="8" a="1"/>
  <c r="X764" i="8" s="1"/>
  <c r="X551" i="8" a="1"/>
  <c r="X551" i="8" s="1"/>
  <c r="X341" i="8" a="1"/>
  <c r="X341" i="8" s="1"/>
  <c r="X116" i="8" a="1"/>
  <c r="X116" i="8" s="1"/>
  <c r="X626" i="8" a="1"/>
  <c r="X626" i="8" s="1"/>
  <c r="X854" i="8" a="1"/>
  <c r="X854" i="8" s="1"/>
  <c r="X53" i="8" a="1"/>
  <c r="X53" i="8" s="1"/>
  <c r="X944" i="8" a="1"/>
  <c r="X944" i="8" s="1"/>
  <c r="X1069" i="8" a="1"/>
  <c r="X1069" i="8" s="1"/>
  <c r="X886" i="8" a="1"/>
  <c r="X886" i="8" s="1"/>
  <c r="Z142" i="5" a="1"/>
  <c r="Z142" i="5" s="1"/>
  <c r="Z75" i="5" a="1"/>
  <c r="Z75" i="5" s="1"/>
  <c r="Z1036" i="5" a="1"/>
  <c r="Z1036" i="5" s="1"/>
  <c r="Z908" i="5" a="1"/>
  <c r="Z908" i="5" s="1"/>
  <c r="Z780" i="5" a="1"/>
  <c r="Z780" i="5" s="1"/>
  <c r="Z652" i="5" a="1"/>
  <c r="Z652" i="5" s="1"/>
  <c r="Z955" i="5" a="1"/>
  <c r="Z955" i="5" s="1"/>
  <c r="Z827" i="5" a="1"/>
  <c r="Z827" i="5" s="1"/>
  <c r="Z699" i="5" a="1"/>
  <c r="Z699" i="5" s="1"/>
  <c r="Z635" i="5" a="1"/>
  <c r="Z635" i="5" s="1"/>
  <c r="Z507" i="5" a="1"/>
  <c r="Z507" i="5" s="1"/>
  <c r="Z379" i="5" a="1"/>
  <c r="Z379" i="5" s="1"/>
  <c r="Z588" i="5" a="1"/>
  <c r="Z588" i="5" s="1"/>
  <c r="Z460" i="5" a="1"/>
  <c r="Z460" i="5" s="1"/>
  <c r="Z332" i="5" a="1"/>
  <c r="Z332" i="5" s="1"/>
  <c r="Z107" i="5" a="1"/>
  <c r="Z107" i="5" s="1"/>
  <c r="Z181" i="5" a="1"/>
  <c r="Z181" i="5" s="1"/>
  <c r="Z28" i="5" a="1"/>
  <c r="Z28" i="5" s="1"/>
  <c r="Z72" i="5" a="1"/>
  <c r="Z72" i="5" s="1"/>
  <c r="Z1002" i="5" a="1"/>
  <c r="Z1002" i="5" s="1"/>
  <c r="Z874" i="5" a="1"/>
  <c r="Z874" i="5" s="1"/>
  <c r="Z746" i="5" a="1"/>
  <c r="Z746" i="5" s="1"/>
  <c r="Z1067" i="5" a="1"/>
  <c r="Z1067" i="5" s="1"/>
  <c r="Z921" i="5" a="1"/>
  <c r="Z921" i="5" s="1"/>
  <c r="Z793" i="5" a="1"/>
  <c r="Z793" i="5" s="1"/>
  <c r="Z665" i="5" a="1"/>
  <c r="Z665" i="5" s="1"/>
  <c r="Z601" i="5" a="1"/>
  <c r="Z601" i="5" s="1"/>
  <c r="Z473" i="5" a="1"/>
  <c r="Z473" i="5" s="1"/>
  <c r="Z345" i="5" a="1"/>
  <c r="Z345" i="5" s="1"/>
  <c r="Z554" i="5" a="1"/>
  <c r="Z554" i="5" s="1"/>
  <c r="Z426" i="5" a="1"/>
  <c r="Z426" i="5" s="1"/>
  <c r="Z277" i="5" a="1"/>
  <c r="Z277" i="5" s="1"/>
  <c r="Z192" i="5" a="1"/>
  <c r="Z192" i="5" s="1"/>
  <c r="Z116" i="5" a="1"/>
  <c r="Z116" i="5" s="1"/>
  <c r="Z26" i="5" a="1"/>
  <c r="Z26" i="5" s="1"/>
  <c r="Z100" i="5" a="1"/>
  <c r="Z100" i="5" s="1"/>
  <c r="Z968" i="5" a="1"/>
  <c r="Z968" i="5" s="1"/>
  <c r="Z840" i="5" a="1"/>
  <c r="Z840" i="5" s="1"/>
  <c r="Z712" i="5" a="1"/>
  <c r="Z712" i="5" s="1"/>
  <c r="Z1015" i="5" a="1"/>
  <c r="Z1015" i="5" s="1"/>
  <c r="Z887" i="5" a="1"/>
  <c r="Z887" i="5" s="1"/>
  <c r="Z759" i="5" a="1"/>
  <c r="Z759" i="5" s="1"/>
  <c r="Z1071" i="5" a="1"/>
  <c r="Z1071" i="5" s="1"/>
  <c r="Z567" i="5" a="1"/>
  <c r="Z567" i="5" s="1"/>
  <c r="Z439" i="5" a="1"/>
  <c r="Z439" i="5" s="1"/>
  <c r="Z282" i="5" a="1"/>
  <c r="Z282" i="5" s="1"/>
  <c r="Z520" i="5" a="1"/>
  <c r="Z520" i="5" s="1"/>
  <c r="Z392" i="5" a="1"/>
  <c r="Z392" i="5" s="1"/>
  <c r="Z243" i="5" a="1"/>
  <c r="Z243" i="5" s="1"/>
  <c r="Z256" i="5" a="1"/>
  <c r="Z256" i="5" s="1"/>
  <c r="Z3" i="5" a="1"/>
  <c r="Z3" i="5" s="1"/>
  <c r="Z152" i="5" a="1"/>
  <c r="Z152" i="5" s="1"/>
  <c r="Z1069" i="5" a="1"/>
  <c r="Z1069" i="5" s="1"/>
  <c r="Z934" i="5" a="1"/>
  <c r="Z934" i="5" s="1"/>
  <c r="Z806" i="5" a="1"/>
  <c r="Z806" i="5" s="1"/>
  <c r="Z678" i="5" a="1"/>
  <c r="Z678" i="5" s="1"/>
  <c r="Z981" i="5" a="1"/>
  <c r="Z981" i="5" s="1"/>
  <c r="Z853" i="5" a="1"/>
  <c r="Z853" i="5" s="1"/>
  <c r="Z725" i="5" a="1"/>
  <c r="Z725" i="5" s="1"/>
  <c r="Z288" i="5" a="1"/>
  <c r="Z288" i="5" s="1"/>
  <c r="Z533" i="5" a="1"/>
  <c r="Z533" i="5" s="1"/>
  <c r="Z405" i="5" a="1"/>
  <c r="Z405" i="5" s="1"/>
  <c r="Z614" i="5" a="1"/>
  <c r="Z614" i="5" s="1"/>
  <c r="Z486" i="5" a="1"/>
  <c r="Z486" i="5" s="1"/>
  <c r="Z358" i="5" a="1"/>
  <c r="Z358" i="5" s="1"/>
  <c r="Z209" i="5" a="1"/>
  <c r="Z209" i="5" s="1"/>
  <c r="Z222" i="5" a="1"/>
  <c r="Z222" i="5" s="1"/>
  <c r="Z10" i="5" a="1"/>
  <c r="Z10" i="5" s="1"/>
  <c r="Z115" i="5" a="1"/>
  <c r="Z115" i="5" s="1"/>
  <c r="Z1044" i="5" a="1"/>
  <c r="Z1044" i="5" s="1"/>
  <c r="Z916" i="5" a="1"/>
  <c r="Z916" i="5" s="1"/>
  <c r="Z788" i="5" a="1"/>
  <c r="Z788" i="5" s="1"/>
  <c r="Z660" i="5" a="1"/>
  <c r="Z660" i="5" s="1"/>
  <c r="Z963" i="5" a="1"/>
  <c r="Z963" i="5" s="1"/>
  <c r="Z835" i="5" a="1"/>
  <c r="Z835" i="5" s="1"/>
  <c r="Z707" i="5" a="1"/>
  <c r="Z707" i="5" s="1"/>
  <c r="Z283" i="5" a="1"/>
  <c r="Z283" i="5" s="1"/>
  <c r="Z515" i="5" a="1"/>
  <c r="Z515" i="5" s="1"/>
  <c r="Z387" i="5" a="1"/>
  <c r="Z387" i="5" s="1"/>
  <c r="Z596" i="5" a="1"/>
  <c r="Z596" i="5" s="1"/>
  <c r="Z468" i="5" a="1"/>
  <c r="Z468" i="5" s="1"/>
  <c r="Z340" i="5" a="1"/>
  <c r="Z340" i="5" s="1"/>
  <c r="Z154" i="5" a="1"/>
  <c r="Z154" i="5" s="1"/>
  <c r="Z204" i="5" a="1"/>
  <c r="Z204" i="5" s="1"/>
  <c r="Z43" i="5" a="1"/>
  <c r="Z43" i="5" s="1"/>
  <c r="Z145" i="5" a="1"/>
  <c r="Z145" i="5" s="1"/>
  <c r="Z1010" i="5" a="1"/>
  <c r="Z1010" i="5" s="1"/>
  <c r="Z882" i="5" a="1"/>
  <c r="Z882" i="5" s="1"/>
  <c r="Z754" i="5" a="1"/>
  <c r="Z754" i="5" s="1"/>
  <c r="Z1068" i="5" a="1"/>
  <c r="Z1068" i="5" s="1"/>
  <c r="Z929" i="5" a="1"/>
  <c r="Z929" i="5" s="1"/>
  <c r="Z801" i="5" a="1"/>
  <c r="Z801" i="5" s="1"/>
  <c r="Z673" i="5" a="1"/>
  <c r="Z673" i="5" s="1"/>
  <c r="Z609" i="5" a="1"/>
  <c r="Z609" i="5" s="1"/>
  <c r="Z481" i="5" a="1"/>
  <c r="Z481" i="5" s="1"/>
  <c r="Z353" i="5" a="1"/>
  <c r="Z353" i="5" s="1"/>
  <c r="Z562" i="5" a="1"/>
  <c r="Z562" i="5" s="1"/>
  <c r="Z434" i="5" a="1"/>
  <c r="Z434" i="5" s="1"/>
  <c r="Z172" i="5" a="1"/>
  <c r="Z172" i="5" s="1"/>
  <c r="Z149" i="5" a="1"/>
  <c r="Z149" i="5" s="1"/>
  <c r="Z146" i="5" a="1"/>
  <c r="Z146" i="5" s="1"/>
  <c r="Z37" i="5" a="1"/>
  <c r="Z37" i="5" s="1"/>
  <c r="Z136" i="5" a="1"/>
  <c r="Z136" i="5" s="1"/>
  <c r="Z976" i="5" a="1"/>
  <c r="Z976" i="5" s="1"/>
  <c r="Z848" i="5" a="1"/>
  <c r="Z848" i="5" s="1"/>
  <c r="Z720" i="5" a="1"/>
  <c r="Z720" i="5" s="1"/>
  <c r="Z1023" i="5" a="1"/>
  <c r="Z1023" i="5" s="1"/>
  <c r="Z895" i="5" a="1"/>
  <c r="Z895" i="5" s="1"/>
  <c r="Z767" i="5" a="1"/>
  <c r="Z767" i="5" s="1"/>
  <c r="Z1049" i="5" a="1"/>
  <c r="Z1049" i="5" s="1"/>
  <c r="Z575" i="5" a="1"/>
  <c r="Z575" i="5" s="1"/>
  <c r="Z447" i="5" a="1"/>
  <c r="Z447" i="5" s="1"/>
  <c r="Z319" i="5" a="1"/>
  <c r="Z319" i="5" s="1"/>
  <c r="Z528" i="5" a="1"/>
  <c r="Z528" i="5" s="1"/>
  <c r="Z400" i="5" a="1"/>
  <c r="Z400" i="5" s="1"/>
  <c r="Z251" i="5" a="1"/>
  <c r="Z251" i="5" s="1"/>
  <c r="Z264" i="5" a="1"/>
  <c r="Z264" i="5" s="1"/>
  <c r="Z7" i="5" a="1"/>
  <c r="Z7" i="5" s="1"/>
  <c r="Z153" i="5" a="1"/>
  <c r="Z153" i="5" s="1"/>
  <c r="Z47" i="5" a="1"/>
  <c r="Z47" i="5" s="1"/>
  <c r="Z942" i="5" a="1"/>
  <c r="Z942" i="5" s="1"/>
  <c r="Z814" i="5" a="1"/>
  <c r="Z814" i="5" s="1"/>
  <c r="Z686" i="5" a="1"/>
  <c r="Z686" i="5" s="1"/>
  <c r="Z989" i="5" a="1"/>
  <c r="Z989" i="5" s="1"/>
  <c r="Z861" i="5" a="1"/>
  <c r="Z861" i="5" s="1"/>
  <c r="Z733" i="5" a="1"/>
  <c r="Z733" i="5" s="1"/>
  <c r="Z304" i="5" a="1"/>
  <c r="Z304" i="5" s="1"/>
  <c r="Z541" i="5" a="1"/>
  <c r="Z541" i="5" s="1"/>
  <c r="Z413" i="5" a="1"/>
  <c r="Z413" i="5" s="1"/>
  <c r="Z293" i="5" a="1"/>
  <c r="Z293" i="5" s="1"/>
  <c r="Z494" i="5" a="1"/>
  <c r="Z494" i="5" s="1"/>
  <c r="Z366" i="5" a="1"/>
  <c r="Z366" i="5" s="1"/>
  <c r="Z217" i="5" a="1"/>
  <c r="Z217" i="5" s="1"/>
  <c r="Z230" i="5" a="1"/>
  <c r="Z230" i="5" s="1"/>
  <c r="X378" i="8" a="1"/>
  <c r="X378" i="8" s="1"/>
  <c r="X75" i="8" a="1"/>
  <c r="X75" i="8" s="1"/>
  <c r="X459" i="8" a="1"/>
  <c r="X459" i="8" s="1"/>
  <c r="X860" i="8" a="1"/>
  <c r="X860" i="8" s="1"/>
  <c r="X656" i="8" a="1"/>
  <c r="X656" i="8" s="1"/>
  <c r="X275" i="8" a="1"/>
  <c r="X275" i="8" s="1"/>
  <c r="X1019" i="8" a="1"/>
  <c r="X1019" i="8" s="1"/>
  <c r="X933" i="8" a="1"/>
  <c r="X933" i="8" s="1"/>
  <c r="X76" i="8" a="1"/>
  <c r="X76" i="8" s="1"/>
  <c r="X347" i="8" a="1"/>
  <c r="X347" i="8" s="1"/>
  <c r="X228" i="8" a="1"/>
  <c r="X228" i="8" s="1"/>
  <c r="X763" i="8" a="1"/>
  <c r="X763" i="8" s="1"/>
  <c r="X434" i="8" a="1"/>
  <c r="X434" i="8" s="1"/>
  <c r="X162" i="8" a="1"/>
  <c r="X162" i="8" s="1"/>
  <c r="X780" i="8" a="1"/>
  <c r="X780" i="8" s="1"/>
  <c r="X544" i="8" a="1"/>
  <c r="X544" i="8" s="1"/>
  <c r="X345" i="8" a="1"/>
  <c r="X345" i="8" s="1"/>
  <c r="X109" i="8" a="1"/>
  <c r="X109" i="8" s="1"/>
  <c r="X657" i="8" a="1"/>
  <c r="X657" i="8" s="1"/>
  <c r="X441" i="8" a="1"/>
  <c r="X441" i="8" s="1"/>
  <c r="X235" i="8" a="1"/>
  <c r="X235" i="8" s="1"/>
  <c r="X709" i="8" a="1"/>
  <c r="X709" i="8" s="1"/>
  <c r="X936" i="8" a="1"/>
  <c r="X936" i="8" s="1"/>
  <c r="X802" i="8" a="1"/>
  <c r="X802" i="8" s="1"/>
  <c r="X993" i="8" a="1"/>
  <c r="X993" i="8" s="1"/>
  <c r="X867" i="8" a="1"/>
  <c r="X867" i="8" s="1"/>
  <c r="X950" i="8" a="1"/>
  <c r="X950" i="8" s="1"/>
  <c r="X313" i="8" a="1"/>
  <c r="X313" i="8" s="1"/>
  <c r="X125" i="8" a="1"/>
  <c r="X125" i="8" s="1"/>
  <c r="X636" i="8" a="1"/>
  <c r="X636" i="8" s="1"/>
  <c r="X394" i="8" a="1"/>
  <c r="X394" i="8" s="1"/>
  <c r="X267" i="8" a="1"/>
  <c r="X267" i="8" s="1"/>
  <c r="X746" i="8" a="1"/>
  <c r="X746" i="8" s="1"/>
  <c r="X525" i="8" a="1"/>
  <c r="X525" i="8" s="1"/>
  <c r="X192" i="8" a="1"/>
  <c r="X192" i="8" s="1"/>
  <c r="X791" i="8" a="1"/>
  <c r="X791" i="8" s="1"/>
  <c r="X562" i="8" a="1"/>
  <c r="X562" i="8" s="1"/>
  <c r="X290" i="8" a="1"/>
  <c r="X290" i="8" s="1"/>
  <c r="X834" i="8" a="1"/>
  <c r="X834" i="8" s="1"/>
  <c r="X1049" i="8" a="1"/>
  <c r="X1049" i="8" s="1"/>
  <c r="X960" i="8" a="1"/>
  <c r="X960" i="8" s="1"/>
  <c r="X16" i="8" a="1"/>
  <c r="X16" i="8" s="1"/>
  <c r="X956" i="8" a="1"/>
  <c r="X956" i="8" s="1"/>
  <c r="X13" i="8" a="1"/>
  <c r="X13" i="8" s="1"/>
  <c r="X475" i="8" a="1"/>
  <c r="X475" i="8" s="1"/>
  <c r="X298" i="8" a="1"/>
  <c r="X298" i="8" s="1"/>
  <c r="X721" i="8" a="1"/>
  <c r="X721" i="8" s="1"/>
  <c r="X559" i="8" a="1"/>
  <c r="X559" i="8" s="1"/>
  <c r="X310" i="8" a="1"/>
  <c r="X310" i="8" s="1"/>
  <c r="X108" i="8" a="1"/>
  <c r="X108" i="8" s="1"/>
  <c r="X690" i="8" a="1"/>
  <c r="X690" i="8" s="1"/>
  <c r="X421" i="8" a="1"/>
  <c r="X421" i="8" s="1"/>
  <c r="X188" i="8" a="1"/>
  <c r="X188" i="8" s="1"/>
  <c r="X620" i="8" a="1"/>
  <c r="X620" i="8" s="1"/>
  <c r="X526" i="8" a="1"/>
  <c r="X526" i="8" s="1"/>
  <c r="X975" i="8" a="1"/>
  <c r="X975" i="8" s="1"/>
  <c r="X922" i="8" a="1"/>
  <c r="X922" i="8" s="1"/>
  <c r="X27" i="8" a="1"/>
  <c r="X27" i="8" s="1"/>
  <c r="X921" i="8" a="1"/>
  <c r="X921" i="8" s="1"/>
  <c r="X73" i="8" a="1"/>
  <c r="X73" i="8" s="1"/>
  <c r="X149" i="8" a="1"/>
  <c r="X149" i="8" s="1"/>
  <c r="X658" i="8" a="1"/>
  <c r="X658" i="8" s="1"/>
  <c r="X336" i="8" a="1"/>
  <c r="X336" i="8" s="1"/>
  <c r="X156" i="8" a="1"/>
  <c r="X156" i="8" s="1"/>
  <c r="X602" i="8" a="1"/>
  <c r="X602" i="8" s="1"/>
  <c r="X455" i="8" a="1"/>
  <c r="X455" i="8" s="1"/>
  <c r="X199" i="8" a="1"/>
  <c r="X199" i="8" s="1"/>
  <c r="X694" i="8" a="1"/>
  <c r="X694" i="8" s="1"/>
  <c r="X547" i="8" a="1"/>
  <c r="X547" i="8" s="1"/>
  <c r="X337" i="8" a="1"/>
  <c r="X337" i="8" s="1"/>
  <c r="X849" i="8" a="1"/>
  <c r="X849" i="8" s="1"/>
  <c r="X610" i="8" a="1"/>
  <c r="X610" i="8" s="1"/>
  <c r="X38" i="8" a="1"/>
  <c r="X38" i="8" s="1"/>
  <c r="X1067" i="8" a="1"/>
  <c r="X1067" i="8" s="1"/>
  <c r="X914" i="8" a="1"/>
  <c r="X914" i="8" s="1"/>
  <c r="X1043" i="8" a="1"/>
  <c r="X1043" i="8" s="1"/>
  <c r="X873" i="8" a="1"/>
  <c r="X873" i="8" s="1"/>
  <c r="X351" i="8" a="1"/>
  <c r="X351" i="8" s="1"/>
  <c r="X869" i="8" a="1"/>
  <c r="X869" i="8" s="1"/>
  <c r="X592" i="8" a="1"/>
  <c r="X592" i="8" s="1"/>
  <c r="X286" i="8" a="1"/>
  <c r="X286" i="8" s="1"/>
  <c r="X259" i="8" a="1"/>
  <c r="X259" i="8" s="1"/>
  <c r="X649" i="8" a="1"/>
  <c r="X649" i="8" s="1"/>
  <c r="X462" i="8" a="1"/>
  <c r="X462" i="8" s="1"/>
  <c r="X243" i="8" a="1"/>
  <c r="X243" i="8" s="1"/>
  <c r="X710" i="8" a="1"/>
  <c r="X710" i="8" s="1"/>
  <c r="X476" i="8" a="1"/>
  <c r="X476" i="8" s="1"/>
  <c r="X180" i="8" a="1"/>
  <c r="X180" i="8" s="1"/>
  <c r="X803" i="8" a="1"/>
  <c r="X803" i="8" s="1"/>
  <c r="X1021" i="8" a="1"/>
  <c r="X1021" i="8" s="1"/>
  <c r="X909" i="8" a="1"/>
  <c r="X909" i="8" s="1"/>
  <c r="X42" i="8" a="1"/>
  <c r="X42" i="8" s="1"/>
  <c r="X930" i="8" a="1"/>
  <c r="X930" i="8" s="1"/>
  <c r="X1039" i="8" a="1"/>
  <c r="X1039" i="8" s="1"/>
  <c r="X426" i="8" a="1"/>
  <c r="X426" i="8" s="1"/>
  <c r="X303" i="8" a="1"/>
  <c r="X303" i="8" s="1"/>
  <c r="X759" i="8" a="1"/>
  <c r="X759" i="8" s="1"/>
  <c r="X444" i="8" a="1"/>
  <c r="X444" i="8" s="1"/>
  <c r="X212" i="8" a="1"/>
  <c r="X212" i="8" s="1"/>
  <c r="X801" i="8" a="1"/>
  <c r="X801" i="8" s="1"/>
  <c r="X564" i="8" a="1"/>
  <c r="X564" i="8" s="1"/>
  <c r="X315" i="8" a="1"/>
  <c r="X315" i="8" s="1"/>
  <c r="X91" i="8" a="1"/>
  <c r="X91" i="8" s="1"/>
  <c r="X671" i="8" a="1"/>
  <c r="X671" i="8" s="1"/>
  <c r="X405" i="8" a="1"/>
  <c r="X405" i="8" s="1"/>
  <c r="X939" i="8" a="1"/>
  <c r="X939" i="8" s="1"/>
  <c r="X899" i="8" a="1"/>
  <c r="X899" i="8" s="1"/>
  <c r="X1029" i="8" a="1"/>
  <c r="X1029" i="8" s="1"/>
  <c r="X868" i="8" a="1"/>
  <c r="X868" i="8" s="1"/>
  <c r="X30" i="8" a="1"/>
  <c r="X30" i="8" s="1"/>
  <c r="X7" i="8" a="1"/>
  <c r="X7" i="8" s="1"/>
  <c r="X532" i="8" a="1"/>
  <c r="X532" i="8" s="1"/>
  <c r="X361" i="8" a="1"/>
  <c r="X361" i="8" s="1"/>
  <c r="X127" i="8" a="1"/>
  <c r="X127" i="8" s="1"/>
  <c r="X639" i="8" a="1"/>
  <c r="X639" i="8" s="1"/>
  <c r="X393" i="8" a="1"/>
  <c r="X393" i="8" s="1"/>
  <c r="X196" i="8" a="1"/>
  <c r="X196" i="8" s="1"/>
  <c r="X735" i="8" a="1"/>
  <c r="X735" i="8" s="1"/>
  <c r="X466" i="8" a="1"/>
  <c r="X466" i="8" s="1"/>
  <c r="X130" i="8" a="1"/>
  <c r="X130" i="8" s="1"/>
  <c r="X768" i="8" a="1"/>
  <c r="X768" i="8" s="1"/>
  <c r="X558" i="8" a="1"/>
  <c r="X558" i="8" s="1"/>
  <c r="X1064" i="8" a="1"/>
  <c r="X1064" i="8" s="1"/>
  <c r="X1013" i="8" a="1"/>
  <c r="X1013" i="8" s="1"/>
  <c r="X863" i="8" a="1"/>
  <c r="X863" i="8" s="1"/>
  <c r="X962" i="8" a="1"/>
  <c r="X962" i="8" s="1"/>
  <c r="X822" i="8" a="1"/>
  <c r="X822" i="8" s="1"/>
  <c r="X164" i="8" a="1"/>
  <c r="X164" i="8" s="1"/>
  <c r="X724" i="8" a="1"/>
  <c r="X724" i="8" s="1"/>
  <c r="X488" i="8" a="1"/>
  <c r="X488" i="8" s="1"/>
  <c r="X302" i="8" a="1"/>
  <c r="X302" i="8" s="1"/>
  <c r="X723" i="8" a="1"/>
  <c r="X723" i="8" s="1"/>
  <c r="X529" i="8" a="1"/>
  <c r="X529" i="8" s="1"/>
  <c r="X327" i="8" a="1"/>
  <c r="X327" i="8" s="1"/>
  <c r="X87" i="8" a="1"/>
  <c r="X87" i="8" s="1"/>
  <c r="X668" i="8" a="1"/>
  <c r="X668" i="8" s="1"/>
  <c r="X424" i="8" a="1"/>
  <c r="X424" i="8" s="1"/>
  <c r="X171" i="8" a="1"/>
  <c r="X171" i="8" s="1"/>
  <c r="X683" i="8" a="1"/>
  <c r="X683" i="8" s="1"/>
  <c r="X885" i="8" a="1"/>
  <c r="X885" i="8" s="1"/>
  <c r="X821" i="8" a="1"/>
  <c r="X821" i="8" s="1"/>
  <c r="X957" i="8" a="1"/>
  <c r="X957" i="8" s="1"/>
  <c r="X837" i="8" a="1"/>
  <c r="X837" i="8" s="1"/>
  <c r="Z165" i="5" a="1"/>
  <c r="Z165" i="5" s="1"/>
  <c r="Z90" i="5" a="1"/>
  <c r="Z90" i="5" s="1"/>
  <c r="Z1020" i="5" a="1"/>
  <c r="Z1020" i="5" s="1"/>
  <c r="Z892" i="5" a="1"/>
  <c r="Z892" i="5" s="1"/>
  <c r="Z764" i="5" a="1"/>
  <c r="Z764" i="5" s="1"/>
  <c r="Z636" i="5" a="1"/>
  <c r="Z636" i="5" s="1"/>
  <c r="Z939" i="5" a="1"/>
  <c r="Z939" i="5" s="1"/>
  <c r="Z811" i="5" a="1"/>
  <c r="Z811" i="5" s="1"/>
  <c r="Z683" i="5" a="1"/>
  <c r="Z683" i="5" s="1"/>
  <c r="Z619" i="5" a="1"/>
  <c r="Z619" i="5" s="1"/>
  <c r="Z491" i="5" a="1"/>
  <c r="Z491" i="5" s="1"/>
  <c r="Z363" i="5" a="1"/>
  <c r="Z363" i="5" s="1"/>
  <c r="Z572" i="5" a="1"/>
  <c r="Z572" i="5" s="1"/>
  <c r="Z444" i="5" a="1"/>
  <c r="Z444" i="5" s="1"/>
  <c r="Z316" i="5" a="1"/>
  <c r="Z316" i="5" s="1"/>
  <c r="Z190" i="5" a="1"/>
  <c r="Z190" i="5" s="1"/>
  <c r="Z67" i="5" a="1"/>
  <c r="Z67" i="5" s="1"/>
  <c r="Z102" i="5" a="1"/>
  <c r="Z102" i="5" s="1"/>
  <c r="Z60" i="5" a="1"/>
  <c r="Z60" i="5" s="1"/>
  <c r="Z986" i="5" a="1"/>
  <c r="Z986" i="5" s="1"/>
  <c r="Z858" i="5" a="1"/>
  <c r="Z858" i="5" s="1"/>
  <c r="Z730" i="5" a="1"/>
  <c r="Z730" i="5" s="1"/>
  <c r="Z1033" i="5" a="1"/>
  <c r="Z1033" i="5" s="1"/>
  <c r="Z905" i="5" a="1"/>
  <c r="Z905" i="5" s="1"/>
  <c r="Z777" i="5" a="1"/>
  <c r="Z777" i="5" s="1"/>
  <c r="Z649" i="5" a="1"/>
  <c r="Z649" i="5" s="1"/>
  <c r="Z585" i="5" a="1"/>
  <c r="Z585" i="5" s="1"/>
  <c r="Z457" i="5" a="1"/>
  <c r="Z457" i="5" s="1"/>
  <c r="Z329" i="5" a="1"/>
  <c r="Z329" i="5" s="1"/>
  <c r="Z538" i="5" a="1"/>
  <c r="Z538" i="5" s="1"/>
  <c r="Z410" i="5" a="1"/>
  <c r="Z410" i="5" s="1"/>
  <c r="Z261" i="5" a="1"/>
  <c r="Z261" i="5" s="1"/>
  <c r="Z274" i="5" a="1"/>
  <c r="Z274" i="5" s="1"/>
  <c r="Z148" i="5" a="1"/>
  <c r="Z148" i="5" s="1"/>
  <c r="Z114" i="5" a="1"/>
  <c r="Z114" i="5" s="1"/>
  <c r="Z120" i="5" a="1"/>
  <c r="Z120" i="5" s="1"/>
  <c r="Z952" i="5" a="1"/>
  <c r="Z952" i="5" s="1"/>
  <c r="Z824" i="5" a="1"/>
  <c r="Z824" i="5" s="1"/>
  <c r="Z696" i="5" a="1"/>
  <c r="Z696" i="5" s="1"/>
  <c r="Z999" i="5" a="1"/>
  <c r="Z999" i="5" s="1"/>
  <c r="Z871" i="5" a="1"/>
  <c r="Z871" i="5" s="1"/>
  <c r="Z743" i="5" a="1"/>
  <c r="Z743" i="5" s="1"/>
  <c r="Z630" i="5" a="1"/>
  <c r="Z630" i="5" s="1"/>
  <c r="Z551" i="5" a="1"/>
  <c r="Z551" i="5" s="1"/>
  <c r="Z423" i="5" a="1"/>
  <c r="Z423" i="5" s="1"/>
  <c r="Z312" i="5" a="1"/>
  <c r="Z312" i="5" s="1"/>
  <c r="Z504" i="5" a="1"/>
  <c r="Z504" i="5" s="1"/>
  <c r="Z376" i="5" a="1"/>
  <c r="Z376" i="5" s="1"/>
  <c r="Z227" i="5" a="1"/>
  <c r="Z227" i="5" s="1"/>
  <c r="Z240" i="5" a="1"/>
  <c r="Z240" i="5" s="1"/>
  <c r="Z19" i="5" a="1"/>
  <c r="Z19" i="5" s="1"/>
  <c r="Z39" i="5" a="1"/>
  <c r="Z39" i="5" s="1"/>
  <c r="Z1046" i="5" a="1"/>
  <c r="Z1046" i="5" s="1"/>
  <c r="Z918" i="5" a="1"/>
  <c r="Z918" i="5" s="1"/>
  <c r="Z790" i="5" a="1"/>
  <c r="Z790" i="5" s="1"/>
  <c r="Z662" i="5" a="1"/>
  <c r="Z662" i="5" s="1"/>
  <c r="Z965" i="5" a="1"/>
  <c r="Z965" i="5" s="1"/>
  <c r="Z837" i="5" a="1"/>
  <c r="Z837" i="5" s="1"/>
  <c r="Z709" i="5" a="1"/>
  <c r="Z709" i="5" s="1"/>
  <c r="Z287" i="5" a="1"/>
  <c r="Z287" i="5" s="1"/>
  <c r="Z517" i="5" a="1"/>
  <c r="Z517" i="5" s="1"/>
  <c r="Z389" i="5" a="1"/>
  <c r="Z389" i="5" s="1"/>
  <c r="Z598" i="5" a="1"/>
  <c r="Z598" i="5" s="1"/>
  <c r="Z470" i="5" a="1"/>
  <c r="Z470" i="5" s="1"/>
  <c r="Z342" i="5" a="1"/>
  <c r="Z342" i="5" s="1"/>
  <c r="Z156" i="5" a="1"/>
  <c r="Z156" i="5" s="1"/>
  <c r="Z206" i="5" a="1"/>
  <c r="Z206" i="5" s="1"/>
  <c r="Z44" i="5" a="1"/>
  <c r="Z44" i="5" s="1"/>
  <c r="Z85" i="5" a="1"/>
  <c r="Z85" i="5" s="1"/>
  <c r="Z1028" i="5" a="1"/>
  <c r="Z1028" i="5" s="1"/>
  <c r="Z900" i="5" a="1"/>
  <c r="Z900" i="5" s="1"/>
  <c r="Z772" i="5" a="1"/>
  <c r="Z772" i="5" s="1"/>
  <c r="Z640" i="5" a="1"/>
  <c r="Z640" i="5" s="1"/>
  <c r="Z947" i="5" a="1"/>
  <c r="Z947" i="5" s="1"/>
  <c r="Z819" i="5" a="1"/>
  <c r="Z819" i="5" s="1"/>
  <c r="Z691" i="5" a="1"/>
  <c r="Z691" i="5" s="1"/>
  <c r="Z627" i="5" a="1"/>
  <c r="Z627" i="5" s="1"/>
  <c r="Z499" i="5" a="1"/>
  <c r="Z499" i="5" s="1"/>
  <c r="Z371" i="5" a="1"/>
  <c r="Z371" i="5" s="1"/>
  <c r="Z580" i="5" a="1"/>
  <c r="Z580" i="5" s="1"/>
  <c r="Z452" i="5" a="1"/>
  <c r="Z452" i="5" s="1"/>
  <c r="Z324" i="5" a="1"/>
  <c r="Z324" i="5" s="1"/>
  <c r="Z138" i="5" a="1"/>
  <c r="Z138" i="5" s="1"/>
  <c r="Z144" i="5" a="1"/>
  <c r="Z144" i="5" s="1"/>
  <c r="Z64" i="5" a="1"/>
  <c r="Z64" i="5" s="1"/>
  <c r="Z15" i="5" a="1"/>
  <c r="Z15" i="5" s="1"/>
  <c r="Z994" i="5" a="1"/>
  <c r="Z994" i="5" s="1"/>
  <c r="Z866" i="5" a="1"/>
  <c r="Z866" i="5" s="1"/>
  <c r="Z738" i="5" a="1"/>
  <c r="Z738" i="5" s="1"/>
  <c r="Z1041" i="5" a="1"/>
  <c r="Z1041" i="5" s="1"/>
  <c r="Z913" i="5" a="1"/>
  <c r="Z913" i="5" s="1"/>
  <c r="Z785" i="5" a="1"/>
  <c r="Z785" i="5" s="1"/>
  <c r="Z657" i="5" a="1"/>
  <c r="Z657" i="5" s="1"/>
  <c r="Z593" i="5" a="1"/>
  <c r="Z593" i="5" s="1"/>
  <c r="Z465" i="5" a="1"/>
  <c r="Z465" i="5" s="1"/>
  <c r="Z337" i="5" a="1"/>
  <c r="Z337" i="5" s="1"/>
  <c r="Z546" i="5" a="1"/>
  <c r="Z546" i="5" s="1"/>
  <c r="Z418" i="5" a="1"/>
  <c r="Z418" i="5" s="1"/>
  <c r="Z269" i="5" a="1"/>
  <c r="Z269" i="5" s="1"/>
  <c r="Z87" i="5" a="1"/>
  <c r="Z87" i="5" s="1"/>
  <c r="Z170" i="5" a="1"/>
  <c r="Z170" i="5" s="1"/>
  <c r="Z171" i="5" a="1"/>
  <c r="Z171" i="5" s="1"/>
  <c r="Z95" i="5" a="1"/>
  <c r="Z95" i="5" s="1"/>
  <c r="Z960" i="5" a="1"/>
  <c r="Z960" i="5" s="1"/>
  <c r="Z832" i="5" a="1"/>
  <c r="Z832" i="5" s="1"/>
  <c r="Z704" i="5" a="1"/>
  <c r="Z704" i="5" s="1"/>
  <c r="Z1007" i="5" a="1"/>
  <c r="Z1007" i="5" s="1"/>
  <c r="Z879" i="5" a="1"/>
  <c r="Z879" i="5" s="1"/>
  <c r="Z751" i="5" a="1"/>
  <c r="Z751" i="5" s="1"/>
  <c r="Z1045" i="5" a="1"/>
  <c r="Z1045" i="5" s="1"/>
  <c r="Z559" i="5" a="1"/>
  <c r="Z559" i="5" s="1"/>
  <c r="Z431" i="5" a="1"/>
  <c r="Z431" i="5" s="1"/>
  <c r="Z298" i="5" a="1"/>
  <c r="Z298" i="5" s="1"/>
  <c r="Z512" i="5" a="1"/>
  <c r="Z512" i="5" s="1"/>
  <c r="Z384" i="5" a="1"/>
  <c r="Z384" i="5" s="1"/>
  <c r="Z235" i="5" a="1"/>
  <c r="Z235" i="5" s="1"/>
  <c r="Z248" i="5" a="1"/>
  <c r="Z248" i="5" s="1"/>
  <c r="Z11" i="5" a="1"/>
  <c r="Z11" i="5" s="1"/>
  <c r="Z134" i="5" a="1"/>
  <c r="Z134" i="5" s="1"/>
  <c r="Z648" i="5" a="1"/>
  <c r="Z648" i="5" s="1"/>
  <c r="Z926" i="5" a="1"/>
  <c r="Z926" i="5" s="1"/>
  <c r="Z798" i="5" a="1"/>
  <c r="Z798" i="5" s="1"/>
  <c r="Z670" i="5" a="1"/>
  <c r="Z670" i="5" s="1"/>
  <c r="Z973" i="5" a="1"/>
  <c r="Z973" i="5" s="1"/>
  <c r="Z845" i="5" a="1"/>
  <c r="Z845" i="5" s="1"/>
  <c r="Z717" i="5" a="1"/>
  <c r="Z717" i="5" s="1"/>
  <c r="Z303" i="5" a="1"/>
  <c r="Z303" i="5" s="1"/>
  <c r="Z525" i="5" a="1"/>
  <c r="Z525" i="5" s="1"/>
  <c r="Z397" i="5" a="1"/>
  <c r="Z397" i="5" s="1"/>
  <c r="Z606" i="5" a="1"/>
  <c r="Z606" i="5" s="1"/>
  <c r="Z478" i="5" a="1"/>
  <c r="Z478" i="5" s="1"/>
  <c r="Z350" i="5" a="1"/>
  <c r="Z350" i="5" s="1"/>
  <c r="Z201" i="5" a="1"/>
  <c r="Z20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tc={D90EF467-021B-E641-ADE8-83C20E18DA3B}</author>
    <author>tc={A221E90B-8281-9647-BEE8-984437933D38}</author>
    <author>tc={EE6A2C88-EACB-564B-8DAA-8A6E629D2C3C}</author>
  </authors>
  <commentList>
    <comment ref="A1" authorId="0" shapeId="0" xr:uid="{D90EF467-021B-E641-ADE8-83C20E18DA3B}">
      <text>
        <t>[Threaded comment]
Your version of Excel allows you to read this threaded comment; however, any edits to it will get removed if the file is opened in a newer version of Excel. Learn more: https://go.microsoft.com/fwlink/?linkid=870924
Comment:
    все компании</t>
      </text>
    </comment>
    <comment ref="L1" authorId="1" shapeId="0" xr:uid="{A221E90B-8281-9647-BEE8-984437933D38}">
      <text>
        <t>[Threaded comment]
Your version of Excel allows you to read this threaded comment; however, any edits to it will get removed if the file is opened in a newer version of Excel. Learn more: https://go.microsoft.com/fwlink/?linkid=870924
Comment:
    нужно дописать иначе тут съедаются наблюдения</t>
      </text>
    </comment>
    <comment ref="V1" authorId="2" shapeId="0" xr:uid="{EE6A2C88-EACB-564B-8DAA-8A6E629D2C3C}">
      <text>
        <t>[Threaded comment]
Your version of Excel allows you to read this threaded comment; however, any edits to it will get removed if the file is opened in a newer version of Excel. Learn more: https://go.microsoft.com/fwlink/?linkid=870924
Comment:
    проверить формулу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tc={093845BC-A884-574B-A2A8-3455A136676E}</author>
    <author>tc={03497D2B-FAA4-5D4A-8F14-7352AC628D04}</author>
    <author>tc={65CDAC38-AEA4-4542-B5A6-1D445044F580}</author>
  </authors>
  <commentList>
    <comment ref="A1" authorId="0" shapeId="0" xr:uid="{093845BC-A884-574B-A2A8-3455A136676E}">
      <text>
        <t>[Threaded comment]
Your version of Excel allows you to read this threaded comment; however, any edits to it will get removed if the file is opened in a newer version of Excel. Learn more: https://go.microsoft.com/fwlink/?linkid=870924
Comment:
    отсортированные компании</t>
      </text>
    </comment>
    <comment ref="L1" authorId="1" shapeId="0" xr:uid="{03497D2B-FAA4-5D4A-8F14-7352AC628D04}">
      <text>
        <t>[Threaded comment]
Your version of Excel allows you to read this threaded comment; however, any edits to it will get removed if the file is opened in a newer version of Excel. Learn more: https://go.microsoft.com/fwlink/?linkid=870924
Comment:
    нужно дописать иначе тут съедаются наблюдения</t>
      </text>
    </comment>
    <comment ref="V1" authorId="2" shapeId="0" xr:uid="{65CDAC38-AEA4-4542-B5A6-1D445044F580}">
      <text>
        <t>[Threaded comment]
Your version of Excel allows you to read this threaded comment; however, any edits to it will get removed if the file is opened in a newer version of Excel. Learn more: https://go.microsoft.com/fwlink/?linkid=870924
Comment:
    проверить формулу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tc={B6A788E6-074F-AD49-9548-962AEF29EA2D}</author>
    <author>tc={49D172E6-B9E3-EA4A-8B9F-3DC6C4075349}</author>
    <author>tc={8C721B03-16A5-D347-AFE7-E8272813319B}</author>
  </authors>
  <commentList>
    <comment ref="A1" authorId="0" shapeId="0" xr:uid="{B6A788E6-074F-AD49-9548-962AEF29EA2D}">
      <text>
        <t>[Threaded comment]
Your version of Excel allows you to read this threaded comment; however, any edits to it will get removed if the file is opened in a newer version of Excel. Learn more: https://go.microsoft.com/fwlink/?linkid=870924
Comment:
    все компании</t>
      </text>
    </comment>
    <comment ref="L1" authorId="1" shapeId="0" xr:uid="{49D172E6-B9E3-EA4A-8B9F-3DC6C4075349}">
      <text>
        <t>[Threaded comment]
Your version of Excel allows you to read this threaded comment; however, any edits to it will get removed if the file is opened in a newer version of Excel. Learn more: https://go.microsoft.com/fwlink/?linkid=870924
Comment:
    нужно дописать иначе тут съедаются наблюдения</t>
      </text>
    </comment>
    <comment ref="V1" authorId="2" shapeId="0" xr:uid="{8C721B03-16A5-D347-AFE7-E8272813319B}">
      <text>
        <t>[Threaded comment]
Your version of Excel allows you to read this threaded comment; however, any edits to it will get removed if the file is opened in a newer version of Excel. Learn more: https://go.microsoft.com/fwlink/?linkid=870924
Comment:
    проверить формулу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tc={6D1E10CB-4D3C-8442-8E61-BDF5C00161AF}</author>
    <author>tc={158F72BA-BDD8-2042-AFC0-5E1D8BE30D66}</author>
    <author>tc={62C00039-2F58-CE47-AF26-6FFC45B7A192}</author>
  </authors>
  <commentList>
    <comment ref="A1" authorId="0" shapeId="0" xr:uid="{6D1E10CB-4D3C-8442-8E61-BDF5C00161AF}">
      <text>
        <t>[Threaded comment]
Your version of Excel allows you to read this threaded comment; however, any edits to it will get removed if the file is opened in a newer version of Excel. Learn more: https://go.microsoft.com/fwlink/?linkid=870924
Comment:
    все компании</t>
      </text>
    </comment>
    <comment ref="L1" authorId="1" shapeId="0" xr:uid="{158F72BA-BDD8-2042-AFC0-5E1D8BE30D66}">
      <text>
        <t>[Threaded comment]
Your version of Excel allows you to read this threaded comment; however, any edits to it will get removed if the file is opened in a newer version of Excel. Learn more: https://go.microsoft.com/fwlink/?linkid=870924
Comment:
    нужно дописать иначе тут съедаются наблюдения</t>
      </text>
    </comment>
    <comment ref="X1" authorId="2" shapeId="0" xr:uid="{62C00039-2F58-CE47-AF26-6FFC45B7A192}">
      <text>
        <t>[Threaded comment]
Your version of Excel allows you to read this threaded comment; however, any edits to it will get removed if the file is opened in a newer version of Excel. Learn more: https://go.microsoft.com/fwlink/?linkid=870924
Comment:
    проверить формулу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tc={222F1B7C-05D1-D94A-9E72-D68A22AF9202}</author>
  </authors>
  <commentList>
    <comment ref="D623" authorId="0" shapeId="0" xr:uid="{222F1B7C-05D1-D94A-9E72-D68A22AF9202}">
      <text>
        <t>[Threaded comment]
Your version of Excel allows you to read this threaded comment; however, any edits to it will get removed if the file is opened in a newer version of Excel. Learn more: https://go.microsoft.com/fwlink/?linkid=870924
Comment:
    уже прееведено в рубли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<sst xmlns="http://schemas.openxmlformats.org/spreadsheetml/2006/main" count="13915" uniqueCount="2358">
  <si>
    <t>Наименование</t>
  </si>
  <si>
    <t>Денежные средства и их эквиваленты</t>
  </si>
  <si>
    <t>Итого оборотные активы</t>
  </si>
  <si>
    <t>Основные средства</t>
  </si>
  <si>
    <t>Нематериальные активы</t>
  </si>
  <si>
    <t>Активы</t>
  </si>
  <si>
    <t>Итого краткосрочные обязательства</t>
  </si>
  <si>
    <t>Итого долгосрочные обязательства</t>
  </si>
  <si>
    <t>Нераспределенная прибыль</t>
  </si>
  <si>
    <t>Капитал</t>
  </si>
  <si>
    <t>Выручка</t>
  </si>
  <si>
    <t>Операционная прибыль</t>
  </si>
  <si>
    <t>Прибыль до налогообложения</t>
  </si>
  <si>
    <t>Чистая прибыль (убыток)</t>
  </si>
  <si>
    <t>Износ, истощение и амортизация</t>
  </si>
  <si>
    <t>EBITDA</t>
  </si>
  <si>
    <t>Капитальные затраты</t>
  </si>
  <si>
    <t>Объем</t>
  </si>
  <si>
    <t>Валюта</t>
  </si>
  <si>
    <t>GAZP III кв. 2025</t>
  </si>
  <si>
    <t>RUB</t>
  </si>
  <si>
    <t>GAZP II кв. 2025</t>
  </si>
  <si>
    <t>GAZP I кв. 2025</t>
  </si>
  <si>
    <t>GAZP IV кв. 2024</t>
  </si>
  <si>
    <t>GAZP III кв. 2024</t>
  </si>
  <si>
    <t>GAZP II кв. 2024</t>
  </si>
  <si>
    <t>GAZP I кв. 2024</t>
  </si>
  <si>
    <t>GAZP IV кв. 2023</t>
  </si>
  <si>
    <t>GAZP III кв. 2023</t>
  </si>
  <si>
    <t>GAZP II кв. 2023</t>
  </si>
  <si>
    <t>GAZP IV кв. 2022</t>
  </si>
  <si>
    <t>GAZP IV кв. 2021</t>
  </si>
  <si>
    <t>GAZP III кв. 2021</t>
  </si>
  <si>
    <t>GAZP II кв. 2021</t>
  </si>
  <si>
    <t>GAZP I кв. 2021</t>
  </si>
  <si>
    <t>GAZP IV кв. 2020</t>
  </si>
  <si>
    <t>GAZP III кв. 2020</t>
  </si>
  <si>
    <t>GAZP II кв. 2020</t>
  </si>
  <si>
    <t>GAZP I кв. 2020</t>
  </si>
  <si>
    <t>GAZP IV кв. 2019</t>
  </si>
  <si>
    <t>GAZP III кв. 2019</t>
  </si>
  <si>
    <t>GAZP II кв. 2019</t>
  </si>
  <si>
    <t>GAZP I кв. 2019</t>
  </si>
  <si>
    <t>GAZP IV кв. 2018</t>
  </si>
  <si>
    <t>GAZP III кв. 2018</t>
  </si>
  <si>
    <t>GAZP II кв. 2018</t>
  </si>
  <si>
    <t>GAZP I кв. 2018</t>
  </si>
  <si>
    <t>GAZP IV кв. 2017</t>
  </si>
  <si>
    <t>GAZP III кв. 2017</t>
  </si>
  <si>
    <t>GAZP II кв. 2017</t>
  </si>
  <si>
    <t>GAZP I кв. 2017</t>
  </si>
  <si>
    <t>GAZP IV кв. 2016</t>
  </si>
  <si>
    <t>GAZP III кв. 2016</t>
  </si>
  <si>
    <t>GAZP II кв. 2016</t>
  </si>
  <si>
    <t>GAZP I кв. 2016</t>
  </si>
  <si>
    <t>GAZP IV кв. 2015</t>
  </si>
  <si>
    <t>GAZP III кв. 2015</t>
  </si>
  <si>
    <t>GAZP II кв. 2015</t>
  </si>
  <si>
    <t>GAZP I кв. 2015</t>
  </si>
  <si>
    <t>GAZP IV кв. 2014</t>
  </si>
  <si>
    <t>GAZP III кв. 2014</t>
  </si>
  <si>
    <t>GAZP II кв. 2014</t>
  </si>
  <si>
    <t>GAZP I кв. 2014</t>
  </si>
  <si>
    <t>GAZP IV кв. 2013</t>
  </si>
  <si>
    <t>GAZP III кв. 2013</t>
  </si>
  <si>
    <t>GAZP II кв. 2013</t>
  </si>
  <si>
    <t>GAZP I кв. 2013</t>
  </si>
  <si>
    <t>GAZP IV кв. 2012</t>
  </si>
  <si>
    <t>GAZP III кв. 2012</t>
  </si>
  <si>
    <t>GAZP II кв. 2012</t>
  </si>
  <si>
    <t>GAZP I кв. 2012</t>
  </si>
  <si>
    <t>GAZP IV кв. 2011</t>
  </si>
  <si>
    <t>GAZP III кв. 2011</t>
  </si>
  <si>
    <t>GAZP II кв. 2011</t>
  </si>
  <si>
    <t>GAZP I кв. 2011</t>
  </si>
  <si>
    <t>GAZP IV кв. 2010</t>
  </si>
  <si>
    <t>GAZP III кв. 2010</t>
  </si>
  <si>
    <t>GAZP II кв. 2010</t>
  </si>
  <si>
    <t>GAZP I кв. 2010</t>
  </si>
  <si>
    <t>LKOH IV кв. 2025</t>
  </si>
  <si>
    <t>LKOH II кв. 2025</t>
  </si>
  <si>
    <t>LKOH IV кв. 2024</t>
  </si>
  <si>
    <t>LKOH II кв. 2024</t>
  </si>
  <si>
    <t>LKOH IV кв. 2023</t>
  </si>
  <si>
    <t>LKOH II кв. 2023</t>
  </si>
  <si>
    <t>LKOH IV кв. 2021</t>
  </si>
  <si>
    <t>LKOH III кв. 2021</t>
  </si>
  <si>
    <t>LKOH II кв. 2021</t>
  </si>
  <si>
    <t>LKOH I кв. 2021</t>
  </si>
  <si>
    <t>LKOH IV кв. 2020</t>
  </si>
  <si>
    <t>LKOH III кв. 2020</t>
  </si>
  <si>
    <t>LKOH II кв. 2020</t>
  </si>
  <si>
    <t>LKOH I кв. 2020</t>
  </si>
  <si>
    <t>LKOH IV кв. 2019</t>
  </si>
  <si>
    <t>LKOH III кв. 2019</t>
  </si>
  <si>
    <t>LKOH II кв. 2019</t>
  </si>
  <si>
    <t>LKOH I кв. 2019</t>
  </si>
  <si>
    <t>LKOH IV кв. 2018</t>
  </si>
  <si>
    <t>LKOH III кв. 2018</t>
  </si>
  <si>
    <t>LKOH II кв. 2018</t>
  </si>
  <si>
    <t>LKOH I кв. 2018</t>
  </si>
  <si>
    <t>LKOH IV кв. 2017</t>
  </si>
  <si>
    <t>LKOH III кв. 2017</t>
  </si>
  <si>
    <t>LKOH II кв. 2017</t>
  </si>
  <si>
    <t>LKOH I кв. 2017</t>
  </si>
  <si>
    <t>LKOH IV кв. 2016</t>
  </si>
  <si>
    <t>LKOH III кв. 2016</t>
  </si>
  <si>
    <t>LKOH II кв. 2016</t>
  </si>
  <si>
    <t>LKOH I кв. 2016</t>
  </si>
  <si>
    <t>LKOH IV кв. 2015</t>
  </si>
  <si>
    <t>LKOH III кв. 2015</t>
  </si>
  <si>
    <t>USD</t>
  </si>
  <si>
    <t>LKOH II кв. 2015</t>
  </si>
  <si>
    <t>LKOH I кв. 2015</t>
  </si>
  <si>
    <t>LKOH IV кв. 2014</t>
  </si>
  <si>
    <t>LKOH III кв. 2014</t>
  </si>
  <si>
    <t>LKOH II кв. 2014</t>
  </si>
  <si>
    <t>LKOH I кв. 2014</t>
  </si>
  <si>
    <t>LKOH IV кв. 2013</t>
  </si>
  <si>
    <t>LKOH III кв. 2013</t>
  </si>
  <si>
    <t>LKOH II кв. 2013</t>
  </si>
  <si>
    <t>LKOH I кв. 2013</t>
  </si>
  <si>
    <t>LKOH IV кв. 2012</t>
  </si>
  <si>
    <t>LKOH III кв. 2012</t>
  </si>
  <si>
    <t>LKOH II кв. 2012</t>
  </si>
  <si>
    <t>LKOH I кв. 2012</t>
  </si>
  <si>
    <t>LKOH IV кв. 2011</t>
  </si>
  <si>
    <t>LKOH III кв. 2011</t>
  </si>
  <si>
    <t>LKOH II кв. 2011</t>
  </si>
  <si>
    <t>LKOH I кв. 2011</t>
  </si>
  <si>
    <t>NVTK IV кв. 2025</t>
  </si>
  <si>
    <t>NVTK II кв. 2025</t>
  </si>
  <si>
    <t>NVTK IV кв. 2024</t>
  </si>
  <si>
    <t>NVTK II кв. 2024</t>
  </si>
  <si>
    <t>NVTK IV кв. 2023</t>
  </si>
  <si>
    <t>NVTK II кв. 2023</t>
  </si>
  <si>
    <t>NVTK IV кв. 2021</t>
  </si>
  <si>
    <t>NVTK II кв. 2021</t>
  </si>
  <si>
    <t>NVTK I кв. 2021</t>
  </si>
  <si>
    <t>NVTK IV кв. 2020</t>
  </si>
  <si>
    <t>NVTK III кв. 2020</t>
  </si>
  <si>
    <t>NVTK II кв. 2020</t>
  </si>
  <si>
    <t>NVTK I кв. 2020</t>
  </si>
  <si>
    <t>NVTK IV кв. 2019</t>
  </si>
  <si>
    <t>NVTK III кв. 2019</t>
  </si>
  <si>
    <t>NVTK II кв. 2019</t>
  </si>
  <si>
    <t>NVTK I кв. 2019</t>
  </si>
  <si>
    <t>NVTK IV кв. 2018</t>
  </si>
  <si>
    <t>NVTK III кв. 2018</t>
  </si>
  <si>
    <t>NVTK II кв. 2018</t>
  </si>
  <si>
    <t>NVTK I кв. 2018</t>
  </si>
  <si>
    <t>NVTK IV кв. 2017</t>
  </si>
  <si>
    <t>NVTK III кв. 2017</t>
  </si>
  <si>
    <t>NVTK II кв. 2017</t>
  </si>
  <si>
    <t>NVTK I кв. 2017</t>
  </si>
  <si>
    <t>NVTK IV кв. 2016</t>
  </si>
  <si>
    <t>NVTK III кв. 2016</t>
  </si>
  <si>
    <t>NVTK II кв. 2016</t>
  </si>
  <si>
    <t>NVTK I кв. 2016</t>
  </si>
  <si>
    <t>NVTK IV кв. 2015</t>
  </si>
  <si>
    <t>NVTK III кв. 2015</t>
  </si>
  <si>
    <t>NVTK II кв. 2015</t>
  </si>
  <si>
    <t>NVTK I кв. 2015</t>
  </si>
  <si>
    <t>NVTK IV кв. 2014</t>
  </si>
  <si>
    <t>NVTK III кв. 2014</t>
  </si>
  <si>
    <t>NVTK II кв. 2014</t>
  </si>
  <si>
    <t>NVTK I кв. 2014</t>
  </si>
  <si>
    <t>NVTK IV кв. 2013</t>
  </si>
  <si>
    <t>NVTK III кв. 2013</t>
  </si>
  <si>
    <t>NVTK II кв. 2013</t>
  </si>
  <si>
    <t>NVTK I кв. 2013</t>
  </si>
  <si>
    <t>NVTK IV кв. 2012</t>
  </si>
  <si>
    <t>NVTK III кв. 2012</t>
  </si>
  <si>
    <t>NVTK II кв. 2012</t>
  </si>
  <si>
    <t>NVTK I кв. 2012</t>
  </si>
  <si>
    <t>NVTK IV кв. 2011</t>
  </si>
  <si>
    <t>RNFT II кв. 2025</t>
  </si>
  <si>
    <t>RNFT IV кв. 2024</t>
  </si>
  <si>
    <t>RNFT II кв. 2024</t>
  </si>
  <si>
    <t>RNFT IV кв. 2023</t>
  </si>
  <si>
    <t>RNFT II кв. 2023</t>
  </si>
  <si>
    <t>RNFT IV кв. 2022</t>
  </si>
  <si>
    <t>RNFT IV кв. 2021</t>
  </si>
  <si>
    <t>RNFT II кв. 2021</t>
  </si>
  <si>
    <t>RNFT IV кв. 2020</t>
  </si>
  <si>
    <t>RNFT II кв. 2020</t>
  </si>
  <si>
    <t>RNFT IV кв. 2019</t>
  </si>
  <si>
    <t>RNFT II кв. 2019</t>
  </si>
  <si>
    <t>RNFT IV кв. 2018</t>
  </si>
  <si>
    <t>RNFT II кв. 2018</t>
  </si>
  <si>
    <t>RNFT IV кв. 2017</t>
  </si>
  <si>
    <t>RNFT II кв. 2017</t>
  </si>
  <si>
    <t>RNFT IV кв. 2016</t>
  </si>
  <si>
    <t>RNFT II кв. 2016</t>
  </si>
  <si>
    <t>RNFT IV кв. 2015</t>
  </si>
  <si>
    <t>ROSN III кв. 2025</t>
  </si>
  <si>
    <t>ROSN II кв. 2025</t>
  </si>
  <si>
    <t>ROSN I кв. 2025</t>
  </si>
  <si>
    <t>ROSN IV кв. 2024</t>
  </si>
  <si>
    <t>ROSN III кв. 2024</t>
  </si>
  <si>
    <t>ROSN II кв. 2024</t>
  </si>
  <si>
    <t>ROSN I кв. 2024</t>
  </si>
  <si>
    <t>ROSN IV кв. 2023</t>
  </si>
  <si>
    <t>ROSN III кв. 2023</t>
  </si>
  <si>
    <t>ROSN II кв. 2023</t>
  </si>
  <si>
    <t>ROSN IV кв. 2021</t>
  </si>
  <si>
    <t>ROSN III кв. 2021</t>
  </si>
  <si>
    <t>ROSN II кв. 2021</t>
  </si>
  <si>
    <t>ROSN I кв. 2021</t>
  </si>
  <si>
    <t>ROSN IV кв. 2020</t>
  </si>
  <si>
    <t>ROSN III кв. 2020</t>
  </si>
  <si>
    <t>ROSN II кв. 2020</t>
  </si>
  <si>
    <t>ROSN I кв. 2020</t>
  </si>
  <si>
    <t>ROSN IV кв. 2019</t>
  </si>
  <si>
    <t>ROSN III кв. 2019</t>
  </si>
  <si>
    <t>ROSN II кв. 2019</t>
  </si>
  <si>
    <t>ROSN I кв. 2019</t>
  </si>
  <si>
    <t>ROSN IV кв. 2018</t>
  </si>
  <si>
    <t>ROSN III кв. 2018</t>
  </si>
  <si>
    <t>ROSN II кв. 2018</t>
  </si>
  <si>
    <t>ROSN I кв. 2018</t>
  </si>
  <si>
    <t>ROSN IV кв. 2017</t>
  </si>
  <si>
    <t>ROSN III кв. 2017</t>
  </si>
  <si>
    <t>ROSN II кв. 2017</t>
  </si>
  <si>
    <t>ROSN I кв. 2017</t>
  </si>
  <si>
    <t>ROSN IV кв. 2016</t>
  </si>
  <si>
    <t>ROSN III кв. 2016</t>
  </si>
  <si>
    <t>ROSN II кв. 2016</t>
  </si>
  <si>
    <t>ROSN I кв. 2016</t>
  </si>
  <si>
    <t>ROSN IV кв. 2015</t>
  </si>
  <si>
    <t>ROSN III кв. 2015</t>
  </si>
  <si>
    <t>ROSN II кв. 2015</t>
  </si>
  <si>
    <t>ROSN I кв. 2015</t>
  </si>
  <si>
    <t>ROSN IV кв. 2014</t>
  </si>
  <si>
    <t>ROSN III кв. 2014</t>
  </si>
  <si>
    <t>ROSN II кв. 2014</t>
  </si>
  <si>
    <t>ROSN I кв. 2014</t>
  </si>
  <si>
    <t>ROSN IV кв. 2013</t>
  </si>
  <si>
    <t>ROSN III кв. 2013</t>
  </si>
  <si>
    <t>ROSN II кв. 2013</t>
  </si>
  <si>
    <t>ROSN I кв. 2013</t>
  </si>
  <si>
    <t>ROSN IV кв. 2012</t>
  </si>
  <si>
    <t>ROSN III кв. 2012</t>
  </si>
  <si>
    <t>ROSN II кв. 2012</t>
  </si>
  <si>
    <t>ROSN I кв. 2012</t>
  </si>
  <si>
    <t>ROSN IV кв. 2011</t>
  </si>
  <si>
    <t>ROSN III кв. 2011</t>
  </si>
  <si>
    <t>ROSN II кв. 2011</t>
  </si>
  <si>
    <t>ROSN I кв. 2011</t>
  </si>
  <si>
    <t>SNGS IV кв. 2023</t>
  </si>
  <si>
    <t>SNGS II кв. 2023</t>
  </si>
  <si>
    <t>SNGS IV кв. 2022</t>
  </si>
  <si>
    <t>SNGS II кв. 2021</t>
  </si>
  <si>
    <t>SNGS IV кв. 2020</t>
  </si>
  <si>
    <t>SNGS II кв. 2020</t>
  </si>
  <si>
    <t>SNGS IV кв. 2019</t>
  </si>
  <si>
    <t>SNGS II кв. 2019</t>
  </si>
  <si>
    <t>SNGS IV кв. 2018</t>
  </si>
  <si>
    <t>SNGS II кв. 2018</t>
  </si>
  <si>
    <t>SNGS IV кв. 2017</t>
  </si>
  <si>
    <t>SNGS II кв. 2017</t>
  </si>
  <si>
    <t>SNGS IV кв. 2016</t>
  </si>
  <si>
    <t>SNGS II кв. 2015</t>
  </si>
  <si>
    <t>SNGS II кв. 2014</t>
  </si>
  <si>
    <t>SNGS II кв. 2013</t>
  </si>
  <si>
    <t>TATN IV кв. 2025</t>
  </si>
  <si>
    <t>TATN II кв. 2025</t>
  </si>
  <si>
    <t>TATN IV кв. 2024</t>
  </si>
  <si>
    <t>TATN II кв. 2024</t>
  </si>
  <si>
    <t>TATN IV кв. 2023</t>
  </si>
  <si>
    <t>TATN II кв. 2023</t>
  </si>
  <si>
    <t>TATN IV кв. 2022</t>
  </si>
  <si>
    <t>TATN II кв. 2022</t>
  </si>
  <si>
    <t>TATN IV кв. 2021</t>
  </si>
  <si>
    <t>TATN III кв. 2021</t>
  </si>
  <si>
    <t>TATN II кв. 2021</t>
  </si>
  <si>
    <t>TATN I кв. 2021</t>
  </si>
  <si>
    <t>TATN IV кв. 2020</t>
  </si>
  <si>
    <t>TATN III кв. 2020</t>
  </si>
  <si>
    <t>TATN II кв. 2020</t>
  </si>
  <si>
    <t>TATN I кв. 2020</t>
  </si>
  <si>
    <t>TATN IV кв. 2019</t>
  </si>
  <si>
    <t>TATN III кв. 2019</t>
  </si>
  <si>
    <t>TATN II кв. 2019</t>
  </si>
  <si>
    <t>TATN I кв. 2019</t>
  </si>
  <si>
    <t>TATN IV кв. 2018</t>
  </si>
  <si>
    <t>TATN III кв. 2018</t>
  </si>
  <si>
    <t>TATN II кв. 2018</t>
  </si>
  <si>
    <t>TATN I кв. 2018</t>
  </si>
  <si>
    <t>TATN IV кв. 2017</t>
  </si>
  <si>
    <t>TATN III кв. 2017</t>
  </si>
  <si>
    <t>TATN II кв. 2017</t>
  </si>
  <si>
    <t>TATN I кв. 2017</t>
  </si>
  <si>
    <t>TATN IV кв. 2016</t>
  </si>
  <si>
    <t>TATN III кв. 2016</t>
  </si>
  <si>
    <t>TATN II кв. 2016</t>
  </si>
  <si>
    <t>TATN I кв. 2016</t>
  </si>
  <si>
    <t>TATN IV кв. 2015</t>
  </si>
  <si>
    <t>TATN III кв. 2015</t>
  </si>
  <si>
    <t>TATN II кв. 2015</t>
  </si>
  <si>
    <t>TATN I кв. 2015</t>
  </si>
  <si>
    <t>TATN IV кв. 2014</t>
  </si>
  <si>
    <t>TATN III кв. 2014</t>
  </si>
  <si>
    <t>TATN II кв. 2014</t>
  </si>
  <si>
    <t>TATN I кв. 2014</t>
  </si>
  <si>
    <t>TATN IV кв. 2013</t>
  </si>
  <si>
    <t>TATN III кв. 2013</t>
  </si>
  <si>
    <t>TATN II кв. 2013</t>
  </si>
  <si>
    <t>TATN I кв. 2013</t>
  </si>
  <si>
    <t>TATN IV кв. 2012</t>
  </si>
  <si>
    <t>TATN III кв. 2012</t>
  </si>
  <si>
    <t>TATN II кв. 2012</t>
  </si>
  <si>
    <t>TATN I кв. 2012</t>
  </si>
  <si>
    <t>TATN IV кв. 2011</t>
  </si>
  <si>
    <t>TATN III кв. 2011</t>
  </si>
  <si>
    <t>TATN II кв. 2011</t>
  </si>
  <si>
    <t>TATN I кв. 2011</t>
  </si>
  <si>
    <t>ELFV III кв. 2025</t>
  </si>
  <si>
    <t>ELFV II кв. 2025</t>
  </si>
  <si>
    <t>ELFV I кв. 2025</t>
  </si>
  <si>
    <t>ELFV IV кв. 2024</t>
  </si>
  <si>
    <t>ELFV III кв. 2024</t>
  </si>
  <si>
    <t>ELFV II кв. 2024</t>
  </si>
  <si>
    <t>ELFV I кв. 2024</t>
  </si>
  <si>
    <t>ELFV IV кв. 2023</t>
  </si>
  <si>
    <t>ELFV III кв. 2023</t>
  </si>
  <si>
    <t>ELFV II кв. 2023</t>
  </si>
  <si>
    <t>ELFV I кв. 2023</t>
  </si>
  <si>
    <t>ELFV IV кв. 2022</t>
  </si>
  <si>
    <t>ELFV III кв. 2022</t>
  </si>
  <si>
    <t>ELFV II кв. 2022</t>
  </si>
  <si>
    <t>ELFV I кв. 2022</t>
  </si>
  <si>
    <t>ELFV IV кв. 2021</t>
  </si>
  <si>
    <t>ELFV III кв. 2021</t>
  </si>
  <si>
    <t>ELFV II кв. 2021</t>
  </si>
  <si>
    <t>ELFV I кв. 2021</t>
  </si>
  <si>
    <t>ELFV IV кв. 2020</t>
  </si>
  <si>
    <t>ELFV III кв. 2020</t>
  </si>
  <si>
    <t>ELFV II кв. 2020</t>
  </si>
  <si>
    <t>ELFV I кв. 2020</t>
  </si>
  <si>
    <t>ELFV IV кв. 2019</t>
  </si>
  <si>
    <t>ELFV III кв. 2019</t>
  </si>
  <si>
    <t>ELFV II кв. 2019</t>
  </si>
  <si>
    <t>ELFV IV кв. 2018</t>
  </si>
  <si>
    <t>ELFV II кв. 2018</t>
  </si>
  <si>
    <t>ELFV IV кв. 2017</t>
  </si>
  <si>
    <t>ELFV II кв. 2017</t>
  </si>
  <si>
    <t>ELFV IV кв. 2016</t>
  </si>
  <si>
    <t>ELFV II кв. 2016</t>
  </si>
  <si>
    <t>ELFV IV кв. 2015</t>
  </si>
  <si>
    <t>ELFV III кв. 2015</t>
  </si>
  <si>
    <t>ELFV II кв. 2015</t>
  </si>
  <si>
    <t>ELFV IV кв. 2014</t>
  </si>
  <si>
    <t>ELFV II кв. 2014</t>
  </si>
  <si>
    <t>ELFV IV кв. 2013</t>
  </si>
  <si>
    <t>ELFV III кв. 2013</t>
  </si>
  <si>
    <t>ELFV II кв. 2013</t>
  </si>
  <si>
    <t>ELFV I кв. 2013</t>
  </si>
  <si>
    <t>ELFV IV кв. 2012</t>
  </si>
  <si>
    <t>ELFV II кв. 2012</t>
  </si>
  <si>
    <t>ELFV IV кв. 2011</t>
  </si>
  <si>
    <t>ELFV II кв. 2011</t>
  </si>
  <si>
    <t>FEES II кв. 2025</t>
  </si>
  <si>
    <t>FEES IV кв. 2024</t>
  </si>
  <si>
    <t>FEES II кв. 2024</t>
  </si>
  <si>
    <t>FEES IV кв. 2023</t>
  </si>
  <si>
    <t>FEES II кв. 2023</t>
  </si>
  <si>
    <t>FEES IV кв. 2022</t>
  </si>
  <si>
    <t>FEES III кв. 2021</t>
  </si>
  <si>
    <t>FEES II кв. 2021</t>
  </si>
  <si>
    <t>FEES I кв. 2021</t>
  </si>
  <si>
    <t>FEES IV кв. 2020</t>
  </si>
  <si>
    <t>FEES III кв. 2020</t>
  </si>
  <si>
    <t>FEES II кв. 2020</t>
  </si>
  <si>
    <t>FEES I кв. 2020</t>
  </si>
  <si>
    <t>FEES IV кв. 2019</t>
  </si>
  <si>
    <t>FEES III кв. 2019</t>
  </si>
  <si>
    <t>FEES II кв. 2019</t>
  </si>
  <si>
    <t>FEES I кв. 2019</t>
  </si>
  <si>
    <t>FEES IV кв. 2018</t>
  </si>
  <si>
    <t>FEES III кв. 2018</t>
  </si>
  <si>
    <t>FEES II кв. 2018</t>
  </si>
  <si>
    <t>FEES I кв. 2018</t>
  </si>
  <si>
    <t>FEES IV кв. 2017</t>
  </si>
  <si>
    <t>FEES III кв. 2017</t>
  </si>
  <si>
    <t>FEES II кв. 2017</t>
  </si>
  <si>
    <t>FEES I кв. 2017</t>
  </si>
  <si>
    <t>FEES IV кв. 2016</t>
  </si>
  <si>
    <t>FEES III кв. 2016</t>
  </si>
  <si>
    <t>FEES II кв. 2016</t>
  </si>
  <si>
    <t>FEES I кв. 2016</t>
  </si>
  <si>
    <t>FEES IV кв. 2015</t>
  </si>
  <si>
    <t>FEES III кв. 2015</t>
  </si>
  <si>
    <t>FEES II кв. 2015</t>
  </si>
  <si>
    <t>FEES IV кв. 2014</t>
  </si>
  <si>
    <t>FEES II кв. 2014</t>
  </si>
  <si>
    <t>FEES IV кв. 2013</t>
  </si>
  <si>
    <t>FEES II кв. 2013</t>
  </si>
  <si>
    <t>FEES IV кв. 2012</t>
  </si>
  <si>
    <t>FEES II кв. 2012</t>
  </si>
  <si>
    <t>FEES IV кв. 2011</t>
  </si>
  <si>
    <t>FEES II кв. 2011</t>
  </si>
  <si>
    <t>HYDR IV кв. 2025</t>
  </si>
  <si>
    <t>HYDR III кв. 2025</t>
  </si>
  <si>
    <t>HYDR II кв. 2025</t>
  </si>
  <si>
    <t>HYDR I кв. 2025</t>
  </si>
  <si>
    <t>HYDR IV кв. 2024</t>
  </si>
  <si>
    <t>HYDR III кв. 2024</t>
  </si>
  <si>
    <t>HYDR II кв. 2024</t>
  </si>
  <si>
    <t>HYDR I кв. 2024</t>
  </si>
  <si>
    <t>HYDR IV кв. 2023</t>
  </si>
  <si>
    <t>HYDR III кв. 2023</t>
  </si>
  <si>
    <t>HYDR II кв. 2023</t>
  </si>
  <si>
    <t>HYDR I кв. 2023</t>
  </si>
  <si>
    <t>HYDR IV кв. 2022</t>
  </si>
  <si>
    <t>HYDR III кв. 2022</t>
  </si>
  <si>
    <t>HYDR II кв. 2022</t>
  </si>
  <si>
    <t>HYDR I кв. 2022</t>
  </si>
  <si>
    <t>HYDR IV кв. 2021</t>
  </si>
  <si>
    <t>HYDR III кв. 2021</t>
  </si>
  <si>
    <t>HYDR II кв. 2021</t>
  </si>
  <si>
    <t>HYDR I кв. 2021</t>
  </si>
  <si>
    <t>HYDR IV кв. 2020</t>
  </si>
  <si>
    <t>HYDR III кв. 2020</t>
  </si>
  <si>
    <t>HYDR II кв. 2020</t>
  </si>
  <si>
    <t>HYDR I кв. 2020</t>
  </si>
  <si>
    <t>HYDR IV кв. 2019</t>
  </si>
  <si>
    <t>HYDR III кв. 2019</t>
  </si>
  <si>
    <t>HYDR II кв. 2019</t>
  </si>
  <si>
    <t>HYDR I кв. 2019</t>
  </si>
  <si>
    <t>HYDR IV кв. 2018</t>
  </si>
  <si>
    <t>HYDR III кв. 2018</t>
  </si>
  <si>
    <t>HYDR II кв. 2018</t>
  </si>
  <si>
    <t>HYDR I кв. 2018</t>
  </si>
  <si>
    <t>HYDR IV кв. 2017</t>
  </si>
  <si>
    <t>HYDR III кв. 2017</t>
  </si>
  <si>
    <t>HYDR II кв. 2017</t>
  </si>
  <si>
    <t>HYDR I кв. 2017</t>
  </si>
  <si>
    <t>HYDR IV кв. 2016</t>
  </si>
  <si>
    <t>HYDR III кв. 2016</t>
  </si>
  <si>
    <t>HYDR II кв. 2016</t>
  </si>
  <si>
    <t>HYDR I кв. 2016</t>
  </si>
  <si>
    <t>HYDR IV кв. 2015</t>
  </si>
  <si>
    <t>HYDR III кв. 2015</t>
  </si>
  <si>
    <t>HYDR II кв. 2015</t>
  </si>
  <si>
    <t>HYDR I кв. 2015</t>
  </si>
  <si>
    <t>HYDR IV кв. 2014</t>
  </si>
  <si>
    <t>HYDR III кв. 2014</t>
  </si>
  <si>
    <t>HYDR II кв. 2014</t>
  </si>
  <si>
    <t>HYDR I кв. 2014</t>
  </si>
  <si>
    <t>HYDR IV кв. 2013</t>
  </si>
  <si>
    <t>HYDR III кв. 2013</t>
  </si>
  <si>
    <t>HYDR II кв. 2013</t>
  </si>
  <si>
    <t>HYDR I кв. 2013</t>
  </si>
  <si>
    <t>HYDR IV кв. 2012</t>
  </si>
  <si>
    <t>HYDR III кв. 2012</t>
  </si>
  <si>
    <t>HYDR II кв. 2012</t>
  </si>
  <si>
    <t>HYDR I кв. 2012</t>
  </si>
  <si>
    <t>HYDR IV кв. 2011</t>
  </si>
  <si>
    <t>HYDR III кв. 2011</t>
  </si>
  <si>
    <t>HYDR II кв. 2011</t>
  </si>
  <si>
    <t>IRAO IV кв. 2025</t>
  </si>
  <si>
    <t>IRAO III кв. 2025</t>
  </si>
  <si>
    <t>IRAO II кв. 2025</t>
  </si>
  <si>
    <t>IRAO I кв. 2025</t>
  </si>
  <si>
    <t>IRAO IV кв. 2024</t>
  </si>
  <si>
    <t>IRAO III кв. 2024</t>
  </si>
  <si>
    <t>IRAO II кв. 2024</t>
  </si>
  <si>
    <t>IRAO I кв. 2024</t>
  </si>
  <si>
    <t>IRAO IV кв. 2023</t>
  </si>
  <si>
    <t>IRAO III кв. 2023</t>
  </si>
  <si>
    <t>IRAO II кв. 2023</t>
  </si>
  <si>
    <t>IRAO IV кв. 2022</t>
  </si>
  <si>
    <t>IRAO III кв. 2021</t>
  </si>
  <si>
    <t>IRAO II кв. 2021</t>
  </si>
  <si>
    <t>IRAO I кв. 2021</t>
  </si>
  <si>
    <t>IRAO IV кв. 2020</t>
  </si>
  <si>
    <t>IRAO III кв. 2020</t>
  </si>
  <si>
    <t>IRAO II кв. 2020</t>
  </si>
  <si>
    <t>IRAO I кв. 2020</t>
  </si>
  <si>
    <t>IRAO IV кв. 2019</t>
  </si>
  <si>
    <t>IRAO III кв. 2019</t>
  </si>
  <si>
    <t>IRAO II кв. 2019</t>
  </si>
  <si>
    <t>IRAO I кв. 2019</t>
  </si>
  <si>
    <t>IRAO IV кв. 2018</t>
  </si>
  <si>
    <t>IRAO III кв. 2018</t>
  </si>
  <si>
    <t>IRAO II кв. 2018</t>
  </si>
  <si>
    <t>IRAO I кв. 2018</t>
  </si>
  <si>
    <t>IRAO IV кв. 2017</t>
  </si>
  <si>
    <t>IRAO III кв. 2017</t>
  </si>
  <si>
    <t>IRAO II кв. 2017</t>
  </si>
  <si>
    <t>IRAO I кв. 2017</t>
  </si>
  <si>
    <t>IRAO IV кв. 2016</t>
  </si>
  <si>
    <t>IRAO II кв. 2016</t>
  </si>
  <si>
    <t>IRAO I кв. 2016</t>
  </si>
  <si>
    <t>IRAO III кв. 2015</t>
  </si>
  <si>
    <t>IRAO II кв. 2015</t>
  </si>
  <si>
    <t>IRAO I кв. 2015</t>
  </si>
  <si>
    <t>IRAO IV кв. 2014</t>
  </si>
  <si>
    <t>IRAO II кв. 2014</t>
  </si>
  <si>
    <t>IRAO IV кв. 2013</t>
  </si>
  <si>
    <t>IRAO II кв. 2013</t>
  </si>
  <si>
    <t>IRAO IV кв. 2012</t>
  </si>
  <si>
    <t>IRAO II кв. 2012</t>
  </si>
  <si>
    <t>IRAO IV кв. 2011</t>
  </si>
  <si>
    <t>IRAO II кв. 2011</t>
  </si>
  <si>
    <t>MRKC IV кв. 2025</t>
  </si>
  <si>
    <t>MRKC III кв. 2025</t>
  </si>
  <si>
    <t>MRKC II кв. 2025</t>
  </si>
  <si>
    <t>MRKC I кв. 2025</t>
  </si>
  <si>
    <t>MRKC IV кв. 2024</t>
  </si>
  <si>
    <t>MRKC III кв. 2024</t>
  </si>
  <si>
    <t>MRKC II кв. 2024</t>
  </si>
  <si>
    <t>MRKC I кв. 2024</t>
  </si>
  <si>
    <t>MRKC IV кв. 2023</t>
  </si>
  <si>
    <t>MRKC III кв. 2023</t>
  </si>
  <si>
    <t>MRKC II кв. 2023</t>
  </si>
  <si>
    <t>MRKC I кв. 2023</t>
  </si>
  <si>
    <t>MRKC IV кв. 2022</t>
  </si>
  <si>
    <t>MRKC III кв. 2022</t>
  </si>
  <si>
    <t>MRKC II кв. 2022</t>
  </si>
  <si>
    <t>MRKC I кв. 2022</t>
  </si>
  <si>
    <t>MRKC IV кв. 2021</t>
  </si>
  <si>
    <t>MRKC III кв. 2021</t>
  </si>
  <si>
    <t>MRKC II кв. 2021</t>
  </si>
  <si>
    <t>MRKC I кв. 2021</t>
  </si>
  <si>
    <t>MRKC IV кв. 2020</t>
  </si>
  <si>
    <t>MRKC III кв. 2020</t>
  </si>
  <si>
    <t>MRKC II кв. 2020</t>
  </si>
  <si>
    <t>MRKC I кв. 2020</t>
  </si>
  <si>
    <t>MRKC IV кв. 2019</t>
  </si>
  <si>
    <t>MRKC III кв. 2019</t>
  </si>
  <si>
    <t>MRKC II кв. 2019</t>
  </si>
  <si>
    <t>MRKC I кв. 2019</t>
  </si>
  <si>
    <t>MRKC IV кв. 2018</t>
  </si>
  <si>
    <t>MRKC III кв. 2018</t>
  </si>
  <si>
    <t>MRKC II кв. 2018</t>
  </si>
  <si>
    <t>MRKC I кв. 2018</t>
  </si>
  <si>
    <t>MRKC IV кв. 2017</t>
  </si>
  <si>
    <t>MRKC III кв. 2017</t>
  </si>
  <si>
    <t>MRKC II кв. 2017</t>
  </si>
  <si>
    <t>MRKC I кв. 2017</t>
  </si>
  <si>
    <t>MRKC IV кв. 2016</t>
  </si>
  <si>
    <t>MRKC II кв. 2016</t>
  </si>
  <si>
    <t>MRKC IV кв. 2015</t>
  </si>
  <si>
    <t>MRKC II кв. 2015</t>
  </si>
  <si>
    <t>MRKC IV кв. 2014</t>
  </si>
  <si>
    <t>MRKC II кв. 2014</t>
  </si>
  <si>
    <t>MRKC IV кв. 2013</t>
  </si>
  <si>
    <t>MRKC II кв. 2013</t>
  </si>
  <si>
    <t>MRKC IV кв. 2012</t>
  </si>
  <si>
    <t>MRKC II кв. 2012</t>
  </si>
  <si>
    <t>MRKC IV кв. 2011</t>
  </si>
  <si>
    <t>MRKC II кв. 2011</t>
  </si>
  <si>
    <t>MRKP IV кв. 2025</t>
  </si>
  <si>
    <t>MRKP III кв. 2025</t>
  </si>
  <si>
    <t>MRKP II кв. 2025</t>
  </si>
  <si>
    <t>MRKP I кв. 2025</t>
  </si>
  <si>
    <t>MRKP IV кв. 2024</t>
  </si>
  <si>
    <t>MRKP III кв. 2024</t>
  </si>
  <si>
    <t>MRKP II кв. 2024</t>
  </si>
  <si>
    <t>MRKP I кв. 2024</t>
  </si>
  <si>
    <t>MRKP IV кв. 2023</t>
  </si>
  <si>
    <t>MRKP III кв. 2023</t>
  </si>
  <si>
    <t>MRKP II кв. 2023</t>
  </si>
  <si>
    <t>MRKP I кв. 2023</t>
  </si>
  <si>
    <t>MRKP IV кв. 2022</t>
  </si>
  <si>
    <t>MRKP III кв. 2022</t>
  </si>
  <si>
    <t>MRKP II кв. 2022</t>
  </si>
  <si>
    <t>MRKP I кв. 2022</t>
  </si>
  <si>
    <t>MRKP IV кв. 2021</t>
  </si>
  <si>
    <t>MRKP III кв. 2021</t>
  </si>
  <si>
    <t>MRKP II кв. 2021</t>
  </si>
  <si>
    <t>MRKP I кв. 2021</t>
  </si>
  <si>
    <t>MRKP IV кв. 2020</t>
  </si>
  <si>
    <t>MRKP III кв. 2020</t>
  </si>
  <si>
    <t>MRKP II кв. 2020</t>
  </si>
  <si>
    <t>MRKP I кв. 2020</t>
  </si>
  <si>
    <t>MRKP IV кв. 2019</t>
  </si>
  <si>
    <t>MRKP III кв. 2019</t>
  </si>
  <si>
    <t>MRKP II кв. 2019</t>
  </si>
  <si>
    <t>MRKP I кв. 2019</t>
  </si>
  <si>
    <t>MRKP IV кв. 2018</t>
  </si>
  <si>
    <t>MRKP III кв. 2018</t>
  </si>
  <si>
    <t>MRKP II кв. 2018</t>
  </si>
  <si>
    <t>MRKP I кв. 2018</t>
  </si>
  <si>
    <t>MRKP IV кв. 2017</t>
  </si>
  <si>
    <t>MRKP III кв. 2017</t>
  </si>
  <si>
    <t>MRKP II кв. 2017</t>
  </si>
  <si>
    <t>MRKP I кв. 2017</t>
  </si>
  <si>
    <t>MRKP IV кв. 2016</t>
  </si>
  <si>
    <t>MRKP II кв. 2016</t>
  </si>
  <si>
    <t>MRKP IV кв. 2015</t>
  </si>
  <si>
    <t>MRKP II кв. 2015</t>
  </si>
  <si>
    <t>MRKP IV кв. 2014</t>
  </si>
  <si>
    <t>MRKP II кв. 2014</t>
  </si>
  <si>
    <t>MRKP IV кв. 2013</t>
  </si>
  <si>
    <t>MRKP II кв. 2013</t>
  </si>
  <si>
    <t>MRKP IV кв. 2012</t>
  </si>
  <si>
    <t>MRKP II кв. 2011</t>
  </si>
  <si>
    <t>MRKP IV кв. 2010</t>
  </si>
  <si>
    <t>MRKU IV кв. 2025</t>
  </si>
  <si>
    <t>MRKU III кв. 2025</t>
  </si>
  <si>
    <t>MRKU II кв. 2025</t>
  </si>
  <si>
    <t>MRKU I кв. 2025</t>
  </si>
  <si>
    <t>MRKU IV кв. 2024</t>
  </si>
  <si>
    <t>MRKU III кв. 2024</t>
  </si>
  <si>
    <t>MRKU II кв. 2024</t>
  </si>
  <si>
    <t>MRKU I кв. 2024</t>
  </si>
  <si>
    <t>MRKU IV кв. 2023</t>
  </si>
  <si>
    <t>MRKU III кв. 2023</t>
  </si>
  <si>
    <t>MRKU II кв. 2023</t>
  </si>
  <si>
    <t>MRKU I кв. 2023</t>
  </si>
  <si>
    <t>MRKU IV кв. 2022</t>
  </si>
  <si>
    <t>MRKU III кв. 2022</t>
  </si>
  <si>
    <t>MRKU II кв. 2022</t>
  </si>
  <si>
    <t>MRKU I кв. 2022</t>
  </si>
  <si>
    <t>MRKU IV кв. 2021</t>
  </si>
  <si>
    <t>MRKU III кв. 2021</t>
  </si>
  <si>
    <t>MRKU II кв. 2021</t>
  </si>
  <si>
    <t>MRKU I кв. 2021</t>
  </si>
  <si>
    <t>MRKU IV кв. 2020</t>
  </si>
  <si>
    <t>MRKU III кв. 2020</t>
  </si>
  <si>
    <t>MRKU II кв. 2020</t>
  </si>
  <si>
    <t>MRKU I кв. 2020</t>
  </si>
  <si>
    <t>MRKU IV кв. 2019</t>
  </si>
  <si>
    <t>MRKU III кв. 2019</t>
  </si>
  <si>
    <t>MRKU II кв. 2019</t>
  </si>
  <si>
    <t>MRKU I кв. 2019</t>
  </si>
  <si>
    <t>MRKU IV кв. 2018</t>
  </si>
  <si>
    <t>MRKU III кв. 2018</t>
  </si>
  <si>
    <t>MRKU II кв. 2018</t>
  </si>
  <si>
    <t>MRKU I кв. 2018</t>
  </si>
  <si>
    <t>MRKU IV кв. 2017</t>
  </si>
  <si>
    <t>MRKU III кв. 2017</t>
  </si>
  <si>
    <t>MRKU II кв. 2017</t>
  </si>
  <si>
    <t>MRKU I кв. 2017</t>
  </si>
  <si>
    <t>MRKU IV кв. 2016</t>
  </si>
  <si>
    <t>MRKU II кв. 2016</t>
  </si>
  <si>
    <t>MRKU IV кв. 2015</t>
  </si>
  <si>
    <t>MRKU II кв. 2015</t>
  </si>
  <si>
    <t>MRKU IV кв. 2014</t>
  </si>
  <si>
    <t>MRKU II кв. 2014</t>
  </si>
  <si>
    <t>MRKU IV кв. 2013</t>
  </si>
  <si>
    <t>MRKU II кв. 2013</t>
  </si>
  <si>
    <t>MRKU IV кв. 2012</t>
  </si>
  <si>
    <t>MRKU II кв. 2012</t>
  </si>
  <si>
    <t>MRKU IV кв. 2011</t>
  </si>
  <si>
    <t>MRKU II кв. 2011</t>
  </si>
  <si>
    <t>MRKV IV кв. 2025</t>
  </si>
  <si>
    <t>MRKV III кв. 2025</t>
  </si>
  <si>
    <t>MRKV II кв. 2025</t>
  </si>
  <si>
    <t>MRKV I кв. 2025</t>
  </si>
  <si>
    <t>MRKV IV кв. 2024</t>
  </si>
  <si>
    <t>MRKV III кв. 2024</t>
  </si>
  <si>
    <t>MRKV II кв. 2024</t>
  </si>
  <si>
    <t>MRKV I кв. 2024</t>
  </si>
  <si>
    <t>MRKV IV кв. 2023</t>
  </si>
  <si>
    <t>MRKV III кв. 2023</t>
  </si>
  <si>
    <t>MRKV II кв. 2023</t>
  </si>
  <si>
    <t>MRKV I кв. 2023</t>
  </si>
  <si>
    <t>MRKV IV кв. 2022</t>
  </si>
  <si>
    <t>MRKV III кв. 2022</t>
  </si>
  <si>
    <t>MRKV II кв. 2022</t>
  </si>
  <si>
    <t>MRKV I кв. 2022</t>
  </si>
  <si>
    <t>MRKV IV кв. 2021</t>
  </si>
  <si>
    <t>MRKV III кв. 2021</t>
  </si>
  <si>
    <t>MRKV II кв. 2021</t>
  </si>
  <si>
    <t>MRKV I кв. 2021</t>
  </si>
  <si>
    <t>MRKV IV кв. 2020</t>
  </si>
  <si>
    <t>MRKV III кв. 2020</t>
  </si>
  <si>
    <t>MRKV II кв. 2020</t>
  </si>
  <si>
    <t>MRKV I кв. 2020</t>
  </si>
  <si>
    <t>MRKV IV кв. 2019</t>
  </si>
  <si>
    <t>MRKV III кв. 2019</t>
  </si>
  <si>
    <t>MRKV II кв. 2019</t>
  </si>
  <si>
    <t>MRKV I кв. 2019</t>
  </si>
  <si>
    <t>MRKV IV кв. 2018</t>
  </si>
  <si>
    <t>MRKV III кв. 2018</t>
  </si>
  <si>
    <t>MRKV II кв. 2018</t>
  </si>
  <si>
    <t>MRKV I кв. 2018</t>
  </si>
  <si>
    <t>MRKV IV кв. 2017</t>
  </si>
  <si>
    <t>MRKV III кв. 2017</t>
  </si>
  <si>
    <t>MRKV II кв. 2017</t>
  </si>
  <si>
    <t>MRKV I кв. 2017</t>
  </si>
  <si>
    <t>MRKV IV кв. 2016</t>
  </si>
  <si>
    <t>MRKV II кв. 2016</t>
  </si>
  <si>
    <t>MRKV IV кв. 2015</t>
  </si>
  <si>
    <t>MRKV II кв. 2015</t>
  </si>
  <si>
    <t>MRKV II кв. 2011</t>
  </si>
  <si>
    <t>MSNG III кв. 2023</t>
  </si>
  <si>
    <t>MSNG II кв. 2023</t>
  </si>
  <si>
    <t>MSNG I кв. 2022</t>
  </si>
  <si>
    <t>MSNG IV кв. 2021</t>
  </si>
  <si>
    <t>MSNG III кв. 2021</t>
  </si>
  <si>
    <t>MSNG II кв. 2021</t>
  </si>
  <si>
    <t>MSNG I кв. 2021</t>
  </si>
  <si>
    <t>MSNG IV кв. 2020</t>
  </si>
  <si>
    <t>MSNG III кв. 2020</t>
  </si>
  <si>
    <t>MSNG II кв. 2020</t>
  </si>
  <si>
    <t>MSNG I кв. 2020</t>
  </si>
  <si>
    <t>MSNG IV кв. 2019</t>
  </si>
  <si>
    <t>MSNG III кв. 2019</t>
  </si>
  <si>
    <t>MSNG II кв. 2019</t>
  </si>
  <si>
    <t>MSNG I кв. 2019</t>
  </si>
  <si>
    <t>MSNG IV кв. 2018</t>
  </si>
  <si>
    <t>MSNG III кв. 2018</t>
  </si>
  <si>
    <t>MSNG II кв. 2018</t>
  </si>
  <si>
    <t>MSNG I кв. 2018</t>
  </si>
  <si>
    <t>MSNG IV кв. 2017</t>
  </si>
  <si>
    <t>MSNG III кв. 2017</t>
  </si>
  <si>
    <t>MSNG II кв. 2017</t>
  </si>
  <si>
    <t>MSNG I кв. 2017</t>
  </si>
  <si>
    <t>MSNG IV кв. 2016</t>
  </si>
  <si>
    <t>MSNG III кв. 2016</t>
  </si>
  <si>
    <t>MSNG II кв. 2016</t>
  </si>
  <si>
    <t>MSNG I кв. 2016</t>
  </si>
  <si>
    <t>MSNG IV кв. 2015</t>
  </si>
  <si>
    <t>MSNG III кв. 2015</t>
  </si>
  <si>
    <t>MSNG II кв. 2015</t>
  </si>
  <si>
    <t>MSNG I кв. 2015</t>
  </si>
  <si>
    <t>MSNG IV кв. 2014</t>
  </si>
  <si>
    <t>MSNG III кв. 2014</t>
  </si>
  <si>
    <t>MSNG II кв. 2014</t>
  </si>
  <si>
    <t>MSNG I кв. 2014</t>
  </si>
  <si>
    <t>MSNG IV кв. 2013</t>
  </si>
  <si>
    <t>MSNG III кв. 2013</t>
  </si>
  <si>
    <t>MSNG II кв. 2013</t>
  </si>
  <si>
    <t>MSNG I кв. 2013</t>
  </si>
  <si>
    <t>MSNG IV кв. 2012</t>
  </si>
  <si>
    <t>MSNG III кв. 2012</t>
  </si>
  <si>
    <t>MSNG II кв. 2012</t>
  </si>
  <si>
    <t>MSNG I кв. 2012</t>
  </si>
  <si>
    <t>MSNG IV кв. 2011</t>
  </si>
  <si>
    <t>MSNG III кв. 2011</t>
  </si>
  <si>
    <t>MSNG II кв. 2011</t>
  </si>
  <si>
    <t>MSNG I кв. 2011</t>
  </si>
  <si>
    <t>MSRS IV кв. 2025</t>
  </si>
  <si>
    <t>MSRS III кв. 2025</t>
  </si>
  <si>
    <t>MSRS II кв. 2025</t>
  </si>
  <si>
    <t>MSRS I кв. 2025</t>
  </si>
  <si>
    <t>MSRS IV кв. 2024</t>
  </si>
  <si>
    <t>MSRS III кв. 2024</t>
  </si>
  <si>
    <t>MSRS II кв. 2024</t>
  </si>
  <si>
    <t>MSRS I кв. 2024</t>
  </si>
  <si>
    <t>MSRS IV кв. 2023</t>
  </si>
  <si>
    <t>MSRS III кв. 2023</t>
  </si>
  <si>
    <t>MSRS II кв. 2023</t>
  </si>
  <si>
    <t>MSRS I кв. 2023</t>
  </si>
  <si>
    <t>MSRS IV кв. 2022</t>
  </si>
  <si>
    <t>MSRS II кв. 2022</t>
  </si>
  <si>
    <t>MSRS I кв. 2022</t>
  </si>
  <si>
    <t>MSRS IV кв. 2021</t>
  </si>
  <si>
    <t>MSRS III кв. 2021</t>
  </si>
  <si>
    <t>MSRS II кв. 2021</t>
  </si>
  <si>
    <t>MSRS I кв. 2021</t>
  </si>
  <si>
    <t>MSRS IV кв. 2020</t>
  </si>
  <si>
    <t>MSRS III кв. 2020</t>
  </si>
  <si>
    <t>MSRS II кв. 2020</t>
  </si>
  <si>
    <t>MSRS I кв. 2020</t>
  </si>
  <si>
    <t>MSRS IV кв. 2019</t>
  </si>
  <si>
    <t>MSRS III кв. 2019</t>
  </si>
  <si>
    <t>MSRS II кв. 2019</t>
  </si>
  <si>
    <t>MSRS I кв. 2019</t>
  </si>
  <si>
    <t>MSRS IV кв. 2018</t>
  </si>
  <si>
    <t>MSRS III кв. 2018</t>
  </si>
  <si>
    <t>MSRS II кв. 2018</t>
  </si>
  <si>
    <t>MSRS I кв. 2018</t>
  </si>
  <si>
    <t>MSRS IV кв. 2017</t>
  </si>
  <si>
    <t>MSRS III кв. 2017</t>
  </si>
  <si>
    <t>MSRS II кв. 2017</t>
  </si>
  <si>
    <t>MSRS I кв. 2017</t>
  </si>
  <si>
    <t>MSRS IV кв. 2016</t>
  </si>
  <si>
    <t>MSRS III кв. 2016</t>
  </si>
  <si>
    <t>MSRS II кв. 2016</t>
  </si>
  <si>
    <t>MSRS IV кв. 2015</t>
  </si>
  <si>
    <t>MSRS II кв. 2015</t>
  </si>
  <si>
    <t>MSRS IV кв. 2014</t>
  </si>
  <si>
    <t>MSRS II кв. 2014</t>
  </si>
  <si>
    <t>MSRS IV кв. 2013</t>
  </si>
  <si>
    <t>MSRS II кв. 2013</t>
  </si>
  <si>
    <t>MSRS IV кв. 2012</t>
  </si>
  <si>
    <t>MSRS II кв. 2012</t>
  </si>
  <si>
    <t>MSRS IV кв. 2011</t>
  </si>
  <si>
    <t>MSRS II кв. 2011</t>
  </si>
  <si>
    <t>OGKB III кв. 2023</t>
  </si>
  <si>
    <t>OGKB II кв. 2023</t>
  </si>
  <si>
    <t>OGKB I кв. 2022</t>
  </si>
  <si>
    <t>OGKB IV кв. 2021</t>
  </si>
  <si>
    <t>OGKB III кв. 2021</t>
  </si>
  <si>
    <t>OGKB II кв. 2021</t>
  </si>
  <si>
    <t>OGKB I кв. 2021</t>
  </si>
  <si>
    <t>OGKB IV кв. 2020</t>
  </si>
  <si>
    <t>OGKB III кв. 2020</t>
  </si>
  <si>
    <t>OGKB II кв. 2020</t>
  </si>
  <si>
    <t>OGKB I кв. 2020</t>
  </si>
  <si>
    <t>OGKB IV кв. 2019</t>
  </si>
  <si>
    <t>OGKB III кв. 2019</t>
  </si>
  <si>
    <t>OGKB II кв. 2019</t>
  </si>
  <si>
    <t>OGKB I кв. 2019</t>
  </si>
  <si>
    <t>OGKB IV кв. 2018</t>
  </si>
  <si>
    <t>OGKB III кв. 2018</t>
  </si>
  <si>
    <t>OGKB II кв. 2018</t>
  </si>
  <si>
    <t>OGKB I кв. 2018</t>
  </si>
  <si>
    <t>OGKB IV кв. 2017</t>
  </si>
  <si>
    <t>OGKB III кв. 2017</t>
  </si>
  <si>
    <t>OGKB II кв. 2017</t>
  </si>
  <si>
    <t>OGKB I кв. 2017</t>
  </si>
  <si>
    <t>OGKB IV кв. 2016</t>
  </si>
  <si>
    <t>OGKB III кв. 2016</t>
  </si>
  <si>
    <t>OGKB II кв. 2016</t>
  </si>
  <si>
    <t>OGKB I кв. 2016</t>
  </si>
  <si>
    <t>OGKB IV кв. 2015</t>
  </si>
  <si>
    <t>OGKB III кв. 2015</t>
  </si>
  <si>
    <t>OGKB II кв. 2015</t>
  </si>
  <si>
    <t>OGKB I кв. 2015</t>
  </si>
  <si>
    <t>OGKB IV кв. 2014</t>
  </si>
  <si>
    <t>OGKB III кв. 2014</t>
  </si>
  <si>
    <t>OGKB II кв. 2014</t>
  </si>
  <si>
    <t>OGKB I кв. 2014</t>
  </si>
  <si>
    <t>OGKB II кв. 2013</t>
  </si>
  <si>
    <t>OGKB I кв. 2013</t>
  </si>
  <si>
    <t>OGKB IV кв. 2012</t>
  </si>
  <si>
    <t>OGKB III кв. 2012</t>
  </si>
  <si>
    <t>OGKB II кв. 2012</t>
  </si>
  <si>
    <t>OGKB I кв. 2012</t>
  </si>
  <si>
    <t>OGKB IV кв. 2011</t>
  </si>
  <si>
    <t>OGKB III кв. 2011</t>
  </si>
  <si>
    <t>OGKB II кв. 2011</t>
  </si>
  <si>
    <t>OGKB I кв. 2011</t>
  </si>
  <si>
    <t>TGKA III кв. 2023</t>
  </si>
  <si>
    <t>TGKA II кв. 2023</t>
  </si>
  <si>
    <t>TGKA I кв. 2022</t>
  </si>
  <si>
    <t>TGKA IV кв. 2021</t>
  </si>
  <si>
    <t>TGKA III кв. 2021</t>
  </si>
  <si>
    <t>TGKA II кв. 2021</t>
  </si>
  <si>
    <t>TGKA I кв. 2021</t>
  </si>
  <si>
    <t>TGKA IV кв. 2020</t>
  </si>
  <si>
    <t>TGKA III кв. 2020</t>
  </si>
  <si>
    <t>TGKA II кв. 2020</t>
  </si>
  <si>
    <t>TGKA I кв. 2020</t>
  </si>
  <si>
    <t>TGKA IV кв. 2019</t>
  </si>
  <si>
    <t>TGKA III кв. 2019</t>
  </si>
  <si>
    <t>TGKA II кв. 2019</t>
  </si>
  <si>
    <t>TGKA I кв. 2019</t>
  </si>
  <si>
    <t>TGKA IV кв. 2018</t>
  </si>
  <si>
    <t>TGKA III кв. 2018</t>
  </si>
  <si>
    <t>TGKA II кв. 2018</t>
  </si>
  <si>
    <t>TGKA I кв. 2018</t>
  </si>
  <si>
    <t>TGKA IV кв. 2017</t>
  </si>
  <si>
    <t>TGKA III кв. 2017</t>
  </si>
  <si>
    <t>TGKA II кв. 2017</t>
  </si>
  <si>
    <t>TGKA I кв. 2017</t>
  </si>
  <si>
    <t>TGKA IV кв. 2016</t>
  </si>
  <si>
    <t>TGKA III кв. 2016</t>
  </si>
  <si>
    <t>TGKA II кв. 2016</t>
  </si>
  <si>
    <t>TGKA I кв. 2016</t>
  </si>
  <si>
    <t>TGKA I кв. 2014</t>
  </si>
  <si>
    <t>TGKA IV кв. 2013</t>
  </si>
  <si>
    <t>TGKA III кв. 2013</t>
  </si>
  <si>
    <t>TGKA II кв. 2013</t>
  </si>
  <si>
    <t>TGKA I кв. 2013</t>
  </si>
  <si>
    <t>TGKA IV кв. 2012</t>
  </si>
  <si>
    <t>TGKA III кв. 2012</t>
  </si>
  <si>
    <t>TGKA II кв. 2012</t>
  </si>
  <si>
    <t>TGKA I кв. 2012</t>
  </si>
  <si>
    <t>TGKA IV кв. 2011</t>
  </si>
  <si>
    <t>TGKA III кв. 2011</t>
  </si>
  <si>
    <t>TGKA II кв. 2011</t>
  </si>
  <si>
    <t>TGKA I кв. 2011</t>
  </si>
  <si>
    <t>UPRO IV кв. 2025</t>
  </si>
  <si>
    <t>UPRO II кв. 2025</t>
  </si>
  <si>
    <t>UPRO IV кв. 2024</t>
  </si>
  <si>
    <t>UPRO II кв. 2024</t>
  </si>
  <si>
    <t>UPRO IV кв. 2023</t>
  </si>
  <si>
    <t>UPRO II кв. 2023</t>
  </si>
  <si>
    <t>UPRO IV кв. 2022</t>
  </si>
  <si>
    <t>UPRO III кв. 2022</t>
  </si>
  <si>
    <t>UPRO II кв. 2022</t>
  </si>
  <si>
    <t>UPRO I кв. 2022</t>
  </si>
  <si>
    <t>UPRO IV кв. 2021</t>
  </si>
  <si>
    <t>UPRO III кв. 2021</t>
  </si>
  <si>
    <t>UPRO II кв. 2021</t>
  </si>
  <si>
    <t>UPRO I кв. 2021</t>
  </si>
  <si>
    <t>UPRO IV кв. 2020</t>
  </si>
  <si>
    <t>UPRO III кв. 2020</t>
  </si>
  <si>
    <t>UPRO II кв. 2020</t>
  </si>
  <si>
    <t>UPRO I кв. 2020</t>
  </si>
  <si>
    <t>UPRO IV кв. 2019</t>
  </si>
  <si>
    <t>UPRO III кв. 2019</t>
  </si>
  <si>
    <t>UPRO II кв. 2019</t>
  </si>
  <si>
    <t>UPRO I кв. 2019</t>
  </si>
  <si>
    <t>UPRO IV кв. 2018</t>
  </si>
  <si>
    <t>UPRO III кв. 2018</t>
  </si>
  <si>
    <t>UPRO II кв. 2018</t>
  </si>
  <si>
    <t>UPRO I кв. 2018</t>
  </si>
  <si>
    <t>UPRO IV кв. 2017</t>
  </si>
  <si>
    <t>UPRO III кв. 2017</t>
  </si>
  <si>
    <t>UPRO II кв. 2017</t>
  </si>
  <si>
    <t>UPRO I кв. 2017</t>
  </si>
  <si>
    <t>UPRO IV кв. 2016</t>
  </si>
  <si>
    <t>UPRO III кв. 2016</t>
  </si>
  <si>
    <t>UPRO II кв. 2016</t>
  </si>
  <si>
    <t>UPRO I кв. 2016</t>
  </si>
  <si>
    <t>UPRO IV кв. 2015</t>
  </si>
  <si>
    <t>UPRO III кв. 2015</t>
  </si>
  <si>
    <t>UPRO II кв. 2015</t>
  </si>
  <si>
    <t>UPRO I кв. 2015</t>
  </si>
  <si>
    <t>UPRO IV кв. 2014</t>
  </si>
  <si>
    <t>UPRO III кв. 2014</t>
  </si>
  <si>
    <t>UPRO II кв. 2014</t>
  </si>
  <si>
    <t>UPRO IV кв. 2013</t>
  </si>
  <si>
    <t>UPRO II кв. 2013</t>
  </si>
  <si>
    <t>UPRO II кв. 2011</t>
  </si>
  <si>
    <t>ALRS IV кв. 2025</t>
  </si>
  <si>
    <t>ALRS II кв. 2025</t>
  </si>
  <si>
    <t>ALRS IV кв. 2024</t>
  </si>
  <si>
    <t>ALRS II кв. 2024</t>
  </si>
  <si>
    <t>ALRS IV кв. 2023</t>
  </si>
  <si>
    <t>ALRS II кв. 2023</t>
  </si>
  <si>
    <t>ALRS IV кв. 2022</t>
  </si>
  <si>
    <t>ALRS IV кв. 2021</t>
  </si>
  <si>
    <t>ALRS III кв. 2021</t>
  </si>
  <si>
    <t>ALRS II кв. 2021</t>
  </si>
  <si>
    <t>ALRS I кв. 2021</t>
  </si>
  <si>
    <t>ALRS IV кв. 2020</t>
  </si>
  <si>
    <t>ALRS III кв. 2020</t>
  </si>
  <si>
    <t>ALRS II кв. 2020</t>
  </si>
  <si>
    <t>ALRS I кв. 2020</t>
  </si>
  <si>
    <t>ALRS IV кв. 2019</t>
  </si>
  <si>
    <t>ALRS III кв. 2019</t>
  </si>
  <si>
    <t>ALRS II кв. 2019</t>
  </si>
  <si>
    <t>ALRS I кв. 2019</t>
  </si>
  <si>
    <t>ALRS IV кв. 2018</t>
  </si>
  <si>
    <t>ALRS III кв. 2018</t>
  </si>
  <si>
    <t>ALRS II кв. 2018</t>
  </si>
  <si>
    <t>ALRS I кв. 2018</t>
  </si>
  <si>
    <t>ALRS IV кв. 2017</t>
  </si>
  <si>
    <t>ALRS III кв. 2017</t>
  </si>
  <si>
    <t>ALRS II кв. 2017</t>
  </si>
  <si>
    <t>ALRS I кв. 2017</t>
  </si>
  <si>
    <t>ALRS IV кв. 2016</t>
  </si>
  <si>
    <t>ALRS III кв. 2016</t>
  </si>
  <si>
    <t>ALRS II кв. 2016</t>
  </si>
  <si>
    <t>ALRS I кв. 2016</t>
  </si>
  <si>
    <t>ALRS IV кв. 2015</t>
  </si>
  <si>
    <t>ALRS III кв. 2015</t>
  </si>
  <si>
    <t>ALRS II кв. 2015</t>
  </si>
  <si>
    <t>ALRS I кв. 2015</t>
  </si>
  <si>
    <t>ALRS IV кв. 2014</t>
  </si>
  <si>
    <t>ALRS III кв. 2014</t>
  </si>
  <si>
    <t>ALRS II кв. 2014</t>
  </si>
  <si>
    <t>ALRS I кв. 2014</t>
  </si>
  <si>
    <t>ALRS IV кв. 2013</t>
  </si>
  <si>
    <t>ALRS III кв. 2013</t>
  </si>
  <si>
    <t>ALRS II кв. 2013</t>
  </si>
  <si>
    <t>ALRS I кв. 2013</t>
  </si>
  <si>
    <t>ALRS IV кв. 2012</t>
  </si>
  <si>
    <t>ALRS III кв. 2012</t>
  </si>
  <si>
    <t>ALRS II кв. 2012</t>
  </si>
  <si>
    <t>ALRS I кв. 2012</t>
  </si>
  <si>
    <t>ALRS IV кв. 2011</t>
  </si>
  <si>
    <t>ALRS III кв. 2011</t>
  </si>
  <si>
    <t>ALRS II кв. 2011</t>
  </si>
  <si>
    <t>ALRS I кв. 2011</t>
  </si>
  <si>
    <t>ALRS IV кв. 2010</t>
  </si>
  <si>
    <t>ALRS III кв. 2010</t>
  </si>
  <si>
    <t>ALRS II кв. 2010</t>
  </si>
  <si>
    <t>ALRS I кв. 2010</t>
  </si>
  <si>
    <t>CHMF IV кв. 2025</t>
  </si>
  <si>
    <t>CHMF III кв. 2025</t>
  </si>
  <si>
    <t>CHMF II кв. 2025</t>
  </si>
  <si>
    <t>CHMF I кв. 2025</t>
  </si>
  <si>
    <t>CHMF IV кв. 2024</t>
  </si>
  <si>
    <t>CHMF III кв. 2024</t>
  </si>
  <si>
    <t>CHMF II кв. 2024</t>
  </si>
  <si>
    <t>CHMF I кв. 2024</t>
  </si>
  <si>
    <t>CHMF IV кв. 2023</t>
  </si>
  <si>
    <t>CHMF II кв. 2023</t>
  </si>
  <si>
    <t>CHMF IV кв. 2022</t>
  </si>
  <si>
    <t>CHMF IV кв. 2021</t>
  </si>
  <si>
    <t>CHMF III кв. 2021</t>
  </si>
  <si>
    <t>CHMF II кв. 2021</t>
  </si>
  <si>
    <t>CHMF I кв. 2021</t>
  </si>
  <si>
    <t>CHMF IV кв. 2020</t>
  </si>
  <si>
    <t>CHMF III кв. 2020</t>
  </si>
  <si>
    <t>CHMF II кв. 2020</t>
  </si>
  <si>
    <t>CHMF I кв. 2020</t>
  </si>
  <si>
    <t>CHMF IV кв. 2019</t>
  </si>
  <si>
    <t>CHMF III кв. 2019</t>
  </si>
  <si>
    <t>CHMF II кв. 2019</t>
  </si>
  <si>
    <t>CHMF I кв. 2019</t>
  </si>
  <si>
    <t>CHMF IV кв. 2018</t>
  </si>
  <si>
    <t>CHMF III кв. 2018</t>
  </si>
  <si>
    <t>CHMF II кв. 2018</t>
  </si>
  <si>
    <t>CHMF I кв. 2018</t>
  </si>
  <si>
    <t>CHMF IV кв. 2017</t>
  </si>
  <si>
    <t>CHMF III кв. 2017</t>
  </si>
  <si>
    <t>CHMF II кв. 2017</t>
  </si>
  <si>
    <t>CHMF I кв. 2017</t>
  </si>
  <si>
    <t>CHMF IV кв. 2016</t>
  </si>
  <si>
    <t>CHMF III кв. 2016</t>
  </si>
  <si>
    <t>CHMF II кв. 2016</t>
  </si>
  <si>
    <t>CHMF I кв. 2016</t>
  </si>
  <si>
    <t>CHMF IV кв. 2015</t>
  </si>
  <si>
    <t>CHMF III кв. 2015</t>
  </si>
  <si>
    <t>CHMF II кв. 2015</t>
  </si>
  <si>
    <t>CHMF I кв. 2015</t>
  </si>
  <si>
    <t>CHMF IV кв. 2014</t>
  </si>
  <si>
    <t>CHMF III кв. 2014</t>
  </si>
  <si>
    <t>CHMF II кв. 2014</t>
  </si>
  <si>
    <t>CHMF I кв. 2014</t>
  </si>
  <si>
    <t>CHMF IV кв. 2013</t>
  </si>
  <si>
    <t>CHMF III кв. 2013</t>
  </si>
  <si>
    <t>CHMF II кв. 2013</t>
  </si>
  <si>
    <t>CHMF I кв. 2013</t>
  </si>
  <si>
    <t>CHMF IV кв. 2012</t>
  </si>
  <si>
    <t>CHMF III кв. 2012</t>
  </si>
  <si>
    <t>CHMF II кв. 2012</t>
  </si>
  <si>
    <t>CHMF I кв. 2012</t>
  </si>
  <si>
    <t>CHMF IV кв. 2011</t>
  </si>
  <si>
    <t>CHMF III кв. 2011</t>
  </si>
  <si>
    <t>CHMF II кв. 2011</t>
  </si>
  <si>
    <t>CHMF I кв. 2011</t>
  </si>
  <si>
    <t>ENPG IV кв. 2025</t>
  </si>
  <si>
    <t>ENPG II кв. 2025</t>
  </si>
  <si>
    <t>ENPG IV кв. 2024</t>
  </si>
  <si>
    <t>ENPG II кв. 2024</t>
  </si>
  <si>
    <t>ENPG IV кв. 2023</t>
  </si>
  <si>
    <t>ENPG II кв. 2023</t>
  </si>
  <si>
    <t>ENPG IV кв. 2022</t>
  </si>
  <si>
    <t>ENPG II кв. 2022</t>
  </si>
  <si>
    <t>ENPG IV кв. 2021</t>
  </si>
  <si>
    <t>ENPG II кв. 2021</t>
  </si>
  <si>
    <t>ENPG IV кв. 2020</t>
  </si>
  <si>
    <t>ENPG III кв. 2020</t>
  </si>
  <si>
    <t>ENPG II кв. 2020</t>
  </si>
  <si>
    <t>ENPG I кв. 2020</t>
  </si>
  <si>
    <t>ENPG IV кв. 2019</t>
  </si>
  <si>
    <t>ENPG III кв. 2019</t>
  </si>
  <si>
    <t>ENPG II кв. 2019</t>
  </si>
  <si>
    <t>ENPG I кв. 2019</t>
  </si>
  <si>
    <t>ENPG IV кв. 2018</t>
  </si>
  <si>
    <t>ENPG III кв. 2018</t>
  </si>
  <si>
    <t>ENPG II кв. 2018</t>
  </si>
  <si>
    <t>ENPG I кв. 2018</t>
  </si>
  <si>
    <t>ENPG IV кв. 2017</t>
  </si>
  <si>
    <t>ENPG III кв. 2017</t>
  </si>
  <si>
    <t>ENPG II кв. 2017</t>
  </si>
  <si>
    <t>GMKN IV кв. 2025</t>
  </si>
  <si>
    <t>GMKN II кв. 2025</t>
  </si>
  <si>
    <t>GMKN IV кв. 2024</t>
  </si>
  <si>
    <t>GMKN II кв. 2024</t>
  </si>
  <si>
    <t>GMKN IV кв. 2023</t>
  </si>
  <si>
    <t>GMKN II кв. 2023</t>
  </si>
  <si>
    <t>GMKN IV кв. 2022</t>
  </si>
  <si>
    <t>GMKN II кв. 2022</t>
  </si>
  <si>
    <t>GMKN IV кв. 2021</t>
  </si>
  <si>
    <t>GMKN II кв. 2021</t>
  </si>
  <si>
    <t>GMKN IV кв. 2020</t>
  </si>
  <si>
    <t>GMKN II кв. 2020</t>
  </si>
  <si>
    <t>GMKN IV кв. 2019</t>
  </si>
  <si>
    <t>GMKN II кв. 2019</t>
  </si>
  <si>
    <t>GMKN IV кв. 2018</t>
  </si>
  <si>
    <t>GMKN II кв. 2018</t>
  </si>
  <si>
    <t>GMKN IV кв. 2017</t>
  </si>
  <si>
    <t>GMKN II кв. 2017</t>
  </si>
  <si>
    <t>GMKN IV кв. 2016</t>
  </si>
  <si>
    <t>GMKN II кв. 2016</t>
  </si>
  <si>
    <t>GMKN IV кв. 2015</t>
  </si>
  <si>
    <t>GMKN II кв. 2015</t>
  </si>
  <si>
    <t>GMKN IV кв. 2014</t>
  </si>
  <si>
    <t>GMKN II кв. 2014</t>
  </si>
  <si>
    <t>GMKN IV кв. 2013</t>
  </si>
  <si>
    <t>GMKN II кв. 2013</t>
  </si>
  <si>
    <t>GMKN IV кв. 2012</t>
  </si>
  <si>
    <t>GMKN II кв. 2012</t>
  </si>
  <si>
    <t>GMKN IV кв. 2011</t>
  </si>
  <si>
    <t>GMKN II кв. 2011</t>
  </si>
  <si>
    <t>MAGN IV кв. 2025</t>
  </si>
  <si>
    <t>MAGN III кв. 2025</t>
  </si>
  <si>
    <t>MAGN II кв. 2025</t>
  </si>
  <si>
    <t>MAGN I кв. 2025</t>
  </si>
  <si>
    <t>MAGN IV кв. 2024</t>
  </si>
  <si>
    <t>MAGN III кв. 2024</t>
  </si>
  <si>
    <t>MAGN II кв. 2024</t>
  </si>
  <si>
    <t>MAGN I кв. 2024</t>
  </si>
  <si>
    <t>MAGN IV кв. 2023</t>
  </si>
  <si>
    <t>MAGN II кв. 2023</t>
  </si>
  <si>
    <t>MAGN IV кв. 2022</t>
  </si>
  <si>
    <t>MAGN IV кв. 2021</t>
  </si>
  <si>
    <t>MAGN III кв. 2021</t>
  </si>
  <si>
    <t>MAGN II кв. 2021</t>
  </si>
  <si>
    <t>MAGN I кв. 2021</t>
  </si>
  <si>
    <t>MAGN IV кв. 2020</t>
  </si>
  <si>
    <t>MAGN III кв. 2020</t>
  </si>
  <si>
    <t>MAGN II кв. 2020</t>
  </si>
  <si>
    <t>MAGN I кв. 2020</t>
  </si>
  <si>
    <t>MAGN IV кв. 2019</t>
  </si>
  <si>
    <t>MAGN III кв. 2019</t>
  </si>
  <si>
    <t>MAGN II кв. 2019</t>
  </si>
  <si>
    <t>MAGN I кв. 2019</t>
  </si>
  <si>
    <t>MAGN IV кв. 2018</t>
  </si>
  <si>
    <t>MAGN III кв. 2018</t>
  </si>
  <si>
    <t>MAGN II кв. 2018</t>
  </si>
  <si>
    <t>MAGN I кв. 2018</t>
  </si>
  <si>
    <t>MAGN IV кв. 2017</t>
  </si>
  <si>
    <t>MAGN III кв. 2017</t>
  </si>
  <si>
    <t>MAGN II кв. 2017</t>
  </si>
  <si>
    <t>MAGN I кв. 2017</t>
  </si>
  <si>
    <t>MAGN IV кв. 2016</t>
  </si>
  <si>
    <t>MAGN III кв. 2016</t>
  </si>
  <si>
    <t>MAGN II кв. 2016</t>
  </si>
  <si>
    <t>MAGN I кв. 2016</t>
  </si>
  <si>
    <t>MAGN IV кв. 2015</t>
  </si>
  <si>
    <t>MAGN III кв. 2015</t>
  </si>
  <si>
    <t>MAGN II кв. 2015</t>
  </si>
  <si>
    <t>MAGN I кв. 2015</t>
  </si>
  <si>
    <t>MAGN IV кв. 2014</t>
  </si>
  <si>
    <t>MAGN III кв. 2014</t>
  </si>
  <si>
    <t>MAGN II кв. 2014</t>
  </si>
  <si>
    <t>MAGN I кв. 2014</t>
  </si>
  <si>
    <t>MAGN IV кв. 2013</t>
  </si>
  <si>
    <t>MAGN III кв. 2013</t>
  </si>
  <si>
    <t>MAGN II кв. 2013</t>
  </si>
  <si>
    <t>MAGN I кв. 2013</t>
  </si>
  <si>
    <t>MAGN IV кв. 2012</t>
  </si>
  <si>
    <t>MAGN III кв. 2012</t>
  </si>
  <si>
    <t>MAGN II кв. 2012</t>
  </si>
  <si>
    <t>MAGN I кв. 2012</t>
  </si>
  <si>
    <t>MAGN IV кв. 2011</t>
  </si>
  <si>
    <t>MAGN III кв. 2011</t>
  </si>
  <si>
    <t>MAGN II кв. 2011</t>
  </si>
  <si>
    <t>MAGN I кв. 2011</t>
  </si>
  <si>
    <t>MTLR II кв. 2025</t>
  </si>
  <si>
    <t>MTLR IV кв. 2024</t>
  </si>
  <si>
    <t>MTLR II кв. 2024</t>
  </si>
  <si>
    <t>MTLR IV кв. 2023</t>
  </si>
  <si>
    <t>MTLR II кв. 2023</t>
  </si>
  <si>
    <t>MTLR IV кв. 2022</t>
  </si>
  <si>
    <t>MTLR IV кв. 2021</t>
  </si>
  <si>
    <t>MTLR III кв. 2021</t>
  </si>
  <si>
    <t>MTLR II кв. 2021</t>
  </si>
  <si>
    <t>MTLR I кв. 2021</t>
  </si>
  <si>
    <t>MTLR IV кв. 2020</t>
  </si>
  <si>
    <t>MTLR III кв. 2020</t>
  </si>
  <si>
    <t>MTLR II кв. 2020</t>
  </si>
  <si>
    <t>MTLR I кв. 2020</t>
  </si>
  <si>
    <t>MTLR IV кв. 2019</t>
  </si>
  <si>
    <t>MTLR III кв. 2019</t>
  </si>
  <si>
    <t>MTLR II кв. 2019</t>
  </si>
  <si>
    <t>MTLR I кв. 2019</t>
  </si>
  <si>
    <t>MTLR IV кв. 2018</t>
  </si>
  <si>
    <t>MTLR III кв. 2018</t>
  </si>
  <si>
    <t>MTLR II кв. 2018</t>
  </si>
  <si>
    <t>MTLR I кв. 2018</t>
  </si>
  <si>
    <t>MTLR IV кв. 2017</t>
  </si>
  <si>
    <t>MTLR III кв. 2017</t>
  </si>
  <si>
    <t>MTLR II кв. 2017</t>
  </si>
  <si>
    <t>MTLR I кв. 2017</t>
  </si>
  <si>
    <t>MTLR IV кв. 2016</t>
  </si>
  <si>
    <t>MTLR III кв. 2016</t>
  </si>
  <si>
    <t>MTLR II кв. 2016</t>
  </si>
  <si>
    <t>MTLR IV кв. 2015</t>
  </si>
  <si>
    <t>MTLR III кв. 2015</t>
  </si>
  <si>
    <t>MTLR II кв. 2015</t>
  </si>
  <si>
    <t>MTLR I кв. 2015</t>
  </si>
  <si>
    <t>MTLR IV кв. 2014</t>
  </si>
  <si>
    <t>MTLR III кв. 2014</t>
  </si>
  <si>
    <t>MTLR II кв. 2014</t>
  </si>
  <si>
    <t>MTLR IV кв. 2013</t>
  </si>
  <si>
    <t>MTLR II кв. 2013</t>
  </si>
  <si>
    <t>MTLR I кв. 2013</t>
  </si>
  <si>
    <t>MTLR IV кв. 2012</t>
  </si>
  <si>
    <t>MTLR IV кв. 2011</t>
  </si>
  <si>
    <t>MTLR III кв. 2011</t>
  </si>
  <si>
    <t>MTLR I кв. 2011</t>
  </si>
  <si>
    <t>NLMK II кв. 2025</t>
  </si>
  <si>
    <t>NLMK IV кв. 2024</t>
  </si>
  <si>
    <t>NLMK II кв. 2024</t>
  </si>
  <si>
    <t>NLMK IV кв. 2023</t>
  </si>
  <si>
    <t>NLMK II кв. 2023</t>
  </si>
  <si>
    <t>NLMK IV кв. 2022</t>
  </si>
  <si>
    <t>NLMK IV кв. 2021</t>
  </si>
  <si>
    <t>NLMK III кв. 2021</t>
  </si>
  <si>
    <t>NLMK II кв. 2021</t>
  </si>
  <si>
    <t>NLMK I кв. 2021</t>
  </si>
  <si>
    <t>NLMK IV кв. 2020</t>
  </si>
  <si>
    <t>NLMK III кв. 2020</t>
  </si>
  <si>
    <t>NLMK II кв. 2020</t>
  </si>
  <si>
    <t>NLMK I кв. 2020</t>
  </si>
  <si>
    <t>NLMK IV кв. 2019</t>
  </si>
  <si>
    <t>NLMK III кв. 2019</t>
  </si>
  <si>
    <t>NLMK II кв. 2019</t>
  </si>
  <si>
    <t>NLMK I кв. 2019</t>
  </si>
  <si>
    <t>NLMK IV кв. 2018</t>
  </si>
  <si>
    <t>NLMK III кв. 2018</t>
  </si>
  <si>
    <t>NLMK II кв. 2018</t>
  </si>
  <si>
    <t>NLMK I кв. 2018</t>
  </si>
  <si>
    <t>NLMK IV кв. 2017</t>
  </si>
  <si>
    <t>NLMK III кв. 2017</t>
  </si>
  <si>
    <t>NLMK II кв. 2017</t>
  </si>
  <si>
    <t>NLMK I кв. 2017</t>
  </si>
  <si>
    <t>NLMK IV кв. 2016</t>
  </si>
  <si>
    <t>NLMK III кв. 2016</t>
  </si>
  <si>
    <t>NLMK II кв. 2016</t>
  </si>
  <si>
    <t>NLMK I кв. 2016</t>
  </si>
  <si>
    <t>NLMK IV кв. 2015</t>
  </si>
  <si>
    <t>NLMK III кв. 2015</t>
  </si>
  <si>
    <t>NLMK II кв. 2015</t>
  </si>
  <si>
    <t>NLMK I кв. 2015</t>
  </si>
  <si>
    <t>NLMK IV кв. 2014</t>
  </si>
  <si>
    <t>NLMK III кв. 2014</t>
  </si>
  <si>
    <t>NLMK II кв. 2014</t>
  </si>
  <si>
    <t>NLMK I кв. 2014</t>
  </si>
  <si>
    <t>NLMK IV кв. 2013</t>
  </si>
  <si>
    <t>NLMK III кв. 2013</t>
  </si>
  <si>
    <t>NLMK II кв. 2013</t>
  </si>
  <si>
    <t>NLMK I кв. 2013</t>
  </si>
  <si>
    <t>NLMK IV кв. 2012</t>
  </si>
  <si>
    <t>NLMK III кв. 2012</t>
  </si>
  <si>
    <t>NLMK II кв. 2012</t>
  </si>
  <si>
    <t>NLMK I кв. 2012</t>
  </si>
  <si>
    <t>NLMK IV кв. 2011</t>
  </si>
  <si>
    <t>NLMK III кв. 2011</t>
  </si>
  <si>
    <t>NLMK II кв. 2011</t>
  </si>
  <si>
    <t>NLMK I кв. 2011</t>
  </si>
  <si>
    <t>PLZL IV кв. 2025</t>
  </si>
  <si>
    <t>PLZL II кв. 2025</t>
  </si>
  <si>
    <t>PLZL IV кв. 2024</t>
  </si>
  <si>
    <t>PLZL II кв. 2024</t>
  </si>
  <si>
    <t>PLZL IV кв. 2023</t>
  </si>
  <si>
    <t>PLZL II кв. 2023</t>
  </si>
  <si>
    <t>PLZL IV кв. 2022</t>
  </si>
  <si>
    <t>PLZL II кв. 2022</t>
  </si>
  <si>
    <t>PLZL IV кв. 2021</t>
  </si>
  <si>
    <t>PLZL III кв. 2021</t>
  </si>
  <si>
    <t>PLZL II кв. 2021</t>
  </si>
  <si>
    <t>PLZL I кв. 2021</t>
  </si>
  <si>
    <t>PLZL IV кв. 2020</t>
  </si>
  <si>
    <t>PLZL III кв. 2020</t>
  </si>
  <si>
    <t>PLZL II кв. 2020</t>
  </si>
  <si>
    <t>PLZL I кв. 2020</t>
  </si>
  <si>
    <t>PLZL IV кв. 2019</t>
  </si>
  <si>
    <t>PLZL III кв. 2019</t>
  </si>
  <si>
    <t>PLZL II кв. 2019</t>
  </si>
  <si>
    <t>PLZL I кв. 2019</t>
  </si>
  <si>
    <t>PLZL IV кв. 2018</t>
  </si>
  <si>
    <t>PLZL III кв. 2018</t>
  </si>
  <si>
    <t>PLZL II кв. 2018</t>
  </si>
  <si>
    <t>PLZL I кв. 2018</t>
  </si>
  <si>
    <t>PLZL IV кв. 2017</t>
  </si>
  <si>
    <t>PLZL III кв. 2017</t>
  </si>
  <si>
    <t>PLZL II кв. 2017</t>
  </si>
  <si>
    <t>PLZL I кв. 2017</t>
  </si>
  <si>
    <t>PLZL IV кв. 2016</t>
  </si>
  <si>
    <t>PLZL III кв. 2016</t>
  </si>
  <si>
    <t>PLZL II кв. 2016</t>
  </si>
  <si>
    <t>PLZL IV кв. 2015</t>
  </si>
  <si>
    <t>PLZL II кв. 2015</t>
  </si>
  <si>
    <t>PLZL IV кв. 2014</t>
  </si>
  <si>
    <t>PLZL II кв. 2014</t>
  </si>
  <si>
    <t>PLZL IV кв. 2013</t>
  </si>
  <si>
    <t>PLZL II кв. 2013</t>
  </si>
  <si>
    <t>PLZL IV кв. 2012</t>
  </si>
  <si>
    <t>PLZL II кв. 2012</t>
  </si>
  <si>
    <t>PLZL IV кв. 2011</t>
  </si>
  <si>
    <t>RASP IV кв. 2025</t>
  </si>
  <si>
    <t>RASP II кв. 2025</t>
  </si>
  <si>
    <t>RASP IV кв. 2024</t>
  </si>
  <si>
    <t>RASP II кв. 2024</t>
  </si>
  <si>
    <t>RASP IV кв. 2023</t>
  </si>
  <si>
    <t>RASP II кв. 2023</t>
  </si>
  <si>
    <t>RASP IV кв. 2022</t>
  </si>
  <si>
    <t>RASP II кв. 2022</t>
  </si>
  <si>
    <t>RASP IV кв. 2021</t>
  </si>
  <si>
    <t>RASP II кв. 2021</t>
  </si>
  <si>
    <t>RASP IV кв. 2020</t>
  </si>
  <si>
    <t>RASP II кв. 2020</t>
  </si>
  <si>
    <t>RASP IV кв. 2019</t>
  </si>
  <si>
    <t>RASP II кв. 2019</t>
  </si>
  <si>
    <t>RASP IV кв. 2018</t>
  </si>
  <si>
    <t>RASP II кв. 2018</t>
  </si>
  <si>
    <t>RASP IV кв. 2017</t>
  </si>
  <si>
    <t>RASP II кв. 2017</t>
  </si>
  <si>
    <t>RASP IV кв. 2016</t>
  </si>
  <si>
    <t>RASP II кв. 2016</t>
  </si>
  <si>
    <t>RASP IV кв. 2015</t>
  </si>
  <si>
    <t>RASP II кв. 2015</t>
  </si>
  <si>
    <t>RASP IV кв. 2014</t>
  </si>
  <si>
    <t>RASP II кв. 2014</t>
  </si>
  <si>
    <t>RASP IV кв. 2013</t>
  </si>
  <si>
    <t>RASP II кв. 2013</t>
  </si>
  <si>
    <t>RASP IV кв. 2012</t>
  </si>
  <si>
    <t>RASP II кв. 2012</t>
  </si>
  <si>
    <t>RASP IV кв. 2011</t>
  </si>
  <si>
    <t>RASP II кв. 2011</t>
  </si>
  <si>
    <t>RUAL IV кв. 2025</t>
  </si>
  <si>
    <t>RUAL II кв. 2025</t>
  </si>
  <si>
    <t>RUAL IV кв. 2024</t>
  </si>
  <si>
    <t>RUAL II кв. 2024</t>
  </si>
  <si>
    <t>RUAL IV кв. 2023</t>
  </si>
  <si>
    <t>RUAL II кв. 2023</t>
  </si>
  <si>
    <t>RUAL IV кв. 2022</t>
  </si>
  <si>
    <t>RUAL II кв. 2022</t>
  </si>
  <si>
    <t>RUAL IV кв. 2021</t>
  </si>
  <si>
    <t>RUAL II кв. 2021</t>
  </si>
  <si>
    <t>RUAL IV кв. 2020</t>
  </si>
  <si>
    <t>RUAL II кв. 2020</t>
  </si>
  <si>
    <t>RUAL IV кв. 2019</t>
  </si>
  <si>
    <t>RUAL III кв. 2019</t>
  </si>
  <si>
    <t>RUAL II кв. 2019</t>
  </si>
  <si>
    <t>RUAL I кв. 2019</t>
  </si>
  <si>
    <t>RUAL IV кв. 2018</t>
  </si>
  <si>
    <t>RUAL III кв. 2018</t>
  </si>
  <si>
    <t>RUAL II кв. 2018</t>
  </si>
  <si>
    <t>RUAL I кв. 2018</t>
  </si>
  <si>
    <t>RUAL IV кв. 2017</t>
  </si>
  <si>
    <t>RUAL III кв. 2017</t>
  </si>
  <si>
    <t>RUAL II кв. 2017</t>
  </si>
  <si>
    <t>RUAL I кв. 2017</t>
  </si>
  <si>
    <t>RUAL IV кв. 2016</t>
  </si>
  <si>
    <t>RUAL III кв. 2016</t>
  </si>
  <si>
    <t>RUAL II кв. 2016</t>
  </si>
  <si>
    <t>RUAL I кв. 2016</t>
  </si>
  <si>
    <t>RUAL IV кв. 2015</t>
  </si>
  <si>
    <t>RUAL III кв. 2015</t>
  </si>
  <si>
    <t>RUAL II кв. 2015</t>
  </si>
  <si>
    <t>RUAL I кв. 2015</t>
  </si>
  <si>
    <t>RUAL IV кв. 2014</t>
  </si>
  <si>
    <t>RUAL III кв. 2014</t>
  </si>
  <si>
    <t>RUAL II кв. 2014</t>
  </si>
  <si>
    <t>RUAL I кв. 2014</t>
  </si>
  <si>
    <t>SELG III кв. 2025</t>
  </si>
  <si>
    <t>SELG II кв. 2025</t>
  </si>
  <si>
    <t>SELG IV кв. 2024</t>
  </si>
  <si>
    <t>SELG III кв. 2024</t>
  </si>
  <si>
    <t>SELG II кв. 2024</t>
  </si>
  <si>
    <t>SELG IV кв. 2023</t>
  </si>
  <si>
    <t>SELG III кв. 2023</t>
  </si>
  <si>
    <t>SELG II кв. 2023</t>
  </si>
  <si>
    <t>SELG IV кв. 2022</t>
  </si>
  <si>
    <t>SELG III кв. 2022</t>
  </si>
  <si>
    <t>SELG II кв. 2022</t>
  </si>
  <si>
    <t>SELG IV кв. 2021</t>
  </si>
  <si>
    <t>SELG III кв. 2021</t>
  </si>
  <si>
    <t>SELG II кв. 2021</t>
  </si>
  <si>
    <t>SELG IV кв. 2020</t>
  </si>
  <si>
    <t>SELG III кв. 2020</t>
  </si>
  <si>
    <t>SELG II кв. 2020</t>
  </si>
  <si>
    <t>SELG IV кв. 2019</t>
  </si>
  <si>
    <t>SELG III кв. 2019</t>
  </si>
  <si>
    <t>SELG II кв. 2019</t>
  </si>
  <si>
    <t>SELG IV кв. 2018</t>
  </si>
  <si>
    <t>SELG III кв. 2018</t>
  </si>
  <si>
    <t>SELG II кв. 2018</t>
  </si>
  <si>
    <t>SELG IV кв. 2017</t>
  </si>
  <si>
    <t>SELG III кв. 2017</t>
  </si>
  <si>
    <t>SELG II кв. 2017</t>
  </si>
  <si>
    <t>SELG IV кв. 2016</t>
  </si>
  <si>
    <t>SELG III кв. 2016</t>
  </si>
  <si>
    <t>SELG II кв. 2016</t>
  </si>
  <si>
    <t>SELG IV кв. 2015</t>
  </si>
  <si>
    <t>SELG III кв. 2015</t>
  </si>
  <si>
    <t>SELG II кв. 2015</t>
  </si>
  <si>
    <t>TRMK IV кв. 2025</t>
  </si>
  <si>
    <t>TRMK II кв. 2025</t>
  </si>
  <si>
    <t>TRMK IV кв. 2024</t>
  </si>
  <si>
    <t>TRMK II кв. 2024</t>
  </si>
  <si>
    <t>TRMK IV кв. 2023</t>
  </si>
  <si>
    <t>TRMK II кв. 2023</t>
  </si>
  <si>
    <t>TRMK IV кв. 2022</t>
  </si>
  <si>
    <t>TRMK II кв. 2022</t>
  </si>
  <si>
    <t>TRMK IV кв. 2021</t>
  </si>
  <si>
    <t>TRMK III кв. 2021</t>
  </si>
  <si>
    <t>TRMK II кв. 2021</t>
  </si>
  <si>
    <t>TRMK I кв. 2021</t>
  </si>
  <si>
    <t>TRMK IV кв. 2020</t>
  </si>
  <si>
    <t>TRMK III кв. 2020</t>
  </si>
  <si>
    <t>TRMK II кв. 2020</t>
  </si>
  <si>
    <t>TRMK I кв. 2020</t>
  </si>
  <si>
    <t>TRMK IV кв. 2019</t>
  </si>
  <si>
    <t>TRMK III кв. 2019</t>
  </si>
  <si>
    <t>TRMK II кв. 2019</t>
  </si>
  <si>
    <t>TRMK I кв. 2019</t>
  </si>
  <si>
    <t>TRMK IV кв. 2018</t>
  </si>
  <si>
    <t>TRMK III кв. 2018</t>
  </si>
  <si>
    <t>TRMK II кв. 2018</t>
  </si>
  <si>
    <t>TRMK I кв. 2018</t>
  </si>
  <si>
    <t>TRMK IV кв. 2017</t>
  </si>
  <si>
    <t>TRMK III кв. 2017</t>
  </si>
  <si>
    <t>TRMK II кв. 2017</t>
  </si>
  <si>
    <t>TRMK I кв. 2017</t>
  </si>
  <si>
    <t>TRMK IV кв. 2016</t>
  </si>
  <si>
    <t>TRMK III кв. 2016</t>
  </si>
  <si>
    <t>TRMK II кв. 2016</t>
  </si>
  <si>
    <t>TRMK I кв. 2016</t>
  </si>
  <si>
    <t>TRMK IV кв. 2015</t>
  </si>
  <si>
    <t>TRMK III кв. 2015</t>
  </si>
  <si>
    <t>TRMK II кв. 2015</t>
  </si>
  <si>
    <t>TRMK I кв. 2015</t>
  </si>
  <si>
    <t>TRMK IV кв. 2014</t>
  </si>
  <si>
    <t>TRMK III кв. 2014</t>
  </si>
  <si>
    <t>TRMK II кв. 2014</t>
  </si>
  <si>
    <t>TRMK I кв. 2014</t>
  </si>
  <si>
    <t>TRMK IV кв. 2013</t>
  </si>
  <si>
    <t>TRMK II кв. 2013</t>
  </si>
  <si>
    <t>TRMK I кв. 2013</t>
  </si>
  <si>
    <t>TRMK IV кв. 2012</t>
  </si>
  <si>
    <t>TRMK III кв. 2012</t>
  </si>
  <si>
    <t>TRMK II кв. 2012</t>
  </si>
  <si>
    <t>TRMK I кв. 2012</t>
  </si>
  <si>
    <t>TRMK III кв. 2011</t>
  </si>
  <si>
    <t>TRMK II кв. 2011</t>
  </si>
  <si>
    <t>TRMK I кв. 2011</t>
  </si>
  <si>
    <t>APTK II кв. 2025</t>
  </si>
  <si>
    <t>APTK IV кв. 2024</t>
  </si>
  <si>
    <t>APTK II кв. 2024</t>
  </si>
  <si>
    <t>APTK IV кв. 2023</t>
  </si>
  <si>
    <t>APTK II кв. 2023</t>
  </si>
  <si>
    <t>APTK IV кв. 2022</t>
  </si>
  <si>
    <t>APTK IV кв. 2021</t>
  </si>
  <si>
    <t>APTK II кв. 2021</t>
  </si>
  <si>
    <t>APTK IV кв. 2020</t>
  </si>
  <si>
    <t>APTK II кв. 2020</t>
  </si>
  <si>
    <t>APTK IV кв. 2019</t>
  </si>
  <si>
    <t>APTK II кв. 2019</t>
  </si>
  <si>
    <t>APTK IV кв. 2018</t>
  </si>
  <si>
    <t>APTK II кв. 2018</t>
  </si>
  <si>
    <t>APTK IV кв. 2017</t>
  </si>
  <si>
    <t>APTK II кв. 2017</t>
  </si>
  <si>
    <t>APTK IV кв. 2016</t>
  </si>
  <si>
    <t>APTK II кв. 2016</t>
  </si>
  <si>
    <t>APTK IV кв. 2015</t>
  </si>
  <si>
    <t>APTK II кв. 2015</t>
  </si>
  <si>
    <t>APTK IV кв. 2014</t>
  </si>
  <si>
    <t>APTK II кв. 2014</t>
  </si>
  <si>
    <t>APTK IV кв. 2013</t>
  </si>
  <si>
    <t>APTK II кв. 2013</t>
  </si>
  <si>
    <t>APTK IV кв. 2012</t>
  </si>
  <si>
    <t>APTK III кв. 2012</t>
  </si>
  <si>
    <t>APTK II кв. 2012</t>
  </si>
  <si>
    <t>APTK I кв. 2012</t>
  </si>
  <si>
    <t>APTK IV кв. 2011</t>
  </si>
  <si>
    <t>APTK III кв. 2011</t>
  </si>
  <si>
    <t>APTK II кв. 2011</t>
  </si>
  <si>
    <t>APTK I кв. 2011</t>
  </si>
  <si>
    <t>APTK IV кв. 2010</t>
  </si>
  <si>
    <t>APTK III кв. 2010</t>
  </si>
  <si>
    <t>APTK II кв. 2010</t>
  </si>
  <si>
    <t>AQUA II кв. 2025</t>
  </si>
  <si>
    <t>AQUA IV кв. 2024</t>
  </si>
  <si>
    <t>AQUA II кв. 2024</t>
  </si>
  <si>
    <t>AQUA IV кв. 2023</t>
  </si>
  <si>
    <t>AQUA II кв. 2023</t>
  </si>
  <si>
    <t>AQUA IV кв. 2022</t>
  </si>
  <si>
    <t>AQUA II кв. 2022</t>
  </si>
  <si>
    <t>AQUA IV кв. 2021</t>
  </si>
  <si>
    <t>AQUA III кв. 2021</t>
  </si>
  <si>
    <t>AQUA II кв. 2021</t>
  </si>
  <si>
    <t>AQUA IV кв. 2020</t>
  </si>
  <si>
    <t>AQUA II кв. 2020</t>
  </si>
  <si>
    <t>AQUA IV кв. 2019</t>
  </si>
  <si>
    <t>AQUA II кв. 2019</t>
  </si>
  <si>
    <t>AQUA IV кв. 2018</t>
  </si>
  <si>
    <t>AQUA II кв. 2018</t>
  </si>
  <si>
    <t>AQUA IV кв. 2017</t>
  </si>
  <si>
    <t>AQUA II кв. 2017</t>
  </si>
  <si>
    <t>AQUA IV кв. 2016</t>
  </si>
  <si>
    <t>AQUA II кв. 2016</t>
  </si>
  <si>
    <t>AQUA IV кв. 2012</t>
  </si>
  <si>
    <t>AQUA II кв. 2012</t>
  </si>
  <si>
    <t>AQUA IV кв. 2011</t>
  </si>
  <si>
    <t>AQUA II кв. 2011</t>
  </si>
  <si>
    <t>BELU II кв. 2025</t>
  </si>
  <si>
    <t>BELU IV кв. 2024</t>
  </si>
  <si>
    <t>BELU II кв. 2024</t>
  </si>
  <si>
    <t>BELU IV кв. 2023</t>
  </si>
  <si>
    <t>BELU II кв. 2023</t>
  </si>
  <si>
    <t>BELU IV кв. 2022</t>
  </si>
  <si>
    <t>BELU II кв. 2022</t>
  </si>
  <si>
    <t>BELU IV кв. 2021</t>
  </si>
  <si>
    <t>BELU II кв. 2021</t>
  </si>
  <si>
    <t>BELU IV кв. 2020</t>
  </si>
  <si>
    <t>BELU II кв. 2020</t>
  </si>
  <si>
    <t>BELU IV кв. 2019</t>
  </si>
  <si>
    <t>BELU II кв. 2019</t>
  </si>
  <si>
    <t>BELU IV кв. 2018</t>
  </si>
  <si>
    <t>BELU II кв. 2018</t>
  </si>
  <si>
    <t>BELU IV кв. 2017</t>
  </si>
  <si>
    <t>BELU II кв. 2017</t>
  </si>
  <si>
    <t>BELU IV кв. 2016</t>
  </si>
  <si>
    <t>BELU II кв. 2016</t>
  </si>
  <si>
    <t>BELU IV кв. 2015</t>
  </si>
  <si>
    <t>BELU II кв. 2015</t>
  </si>
  <si>
    <t>BELU IV кв. 2014</t>
  </si>
  <si>
    <t>BELU II кв. 2014</t>
  </si>
  <si>
    <t>BELU IV кв. 2013</t>
  </si>
  <si>
    <t>BELU II кв. 2013</t>
  </si>
  <si>
    <t>BELU IV кв. 2012</t>
  </si>
  <si>
    <t>BELU II кв. 2012</t>
  </si>
  <si>
    <t>BELU IV кв. 2011</t>
  </si>
  <si>
    <t>BELU II кв. 2011</t>
  </si>
  <si>
    <t>EUTR II кв. 2025</t>
  </si>
  <si>
    <t>EUTR IV кв. 2024</t>
  </si>
  <si>
    <t>EUTR II кв. 2024</t>
  </si>
  <si>
    <t>EUTR IV кв. 2023</t>
  </si>
  <si>
    <t>EUTR II кв. 2023</t>
  </si>
  <si>
    <t>EUTR I кв. 2023</t>
  </si>
  <si>
    <t>EUTR IV кв. 2022</t>
  </si>
  <si>
    <t>EUTR III кв. 2022</t>
  </si>
  <si>
    <t>EUTR II кв. 2022</t>
  </si>
  <si>
    <t>EUTR IV кв. 2021</t>
  </si>
  <si>
    <t>EUTR IV кв. 2020</t>
  </si>
  <si>
    <t>EUTR IV кв. 2019</t>
  </si>
  <si>
    <t>FIXR IV кв. 2025</t>
  </si>
  <si>
    <t>FIXR II кв. 2025</t>
  </si>
  <si>
    <t>FIXR IV кв. 2024</t>
  </si>
  <si>
    <t>FIXR II кв. 2024</t>
  </si>
  <si>
    <t>FIXR IV кв. 2023</t>
  </si>
  <si>
    <t>FIXR II кв. 2023</t>
  </si>
  <si>
    <t>FIXR IV кв. 2022</t>
  </si>
  <si>
    <t>FIXR II кв. 2022</t>
  </si>
  <si>
    <t>FIXR IV кв. 2021</t>
  </si>
  <si>
    <t>FIXR II кв. 2021</t>
  </si>
  <si>
    <t>FIXR IV кв. 2020</t>
  </si>
  <si>
    <t>FIXR II кв. 2020</t>
  </si>
  <si>
    <t>FIXR IV кв. 2019</t>
  </si>
  <si>
    <t>FIXR IV кв. 2018</t>
  </si>
  <si>
    <t>FIXR IV кв. 2017</t>
  </si>
  <si>
    <t>GEMC II кв. 2023</t>
  </si>
  <si>
    <t>EUR</t>
  </si>
  <si>
    <t>GEMC IV кв. 2022</t>
  </si>
  <si>
    <t>GEMC II кв. 2022</t>
  </si>
  <si>
    <t>GEMC IV кв. 2021</t>
  </si>
  <si>
    <t>GEMC II кв. 2021</t>
  </si>
  <si>
    <t>GEMC IV кв. 2020</t>
  </si>
  <si>
    <t>GEMC IV кв. 2019</t>
  </si>
  <si>
    <t>GEMC IV кв. 2018</t>
  </si>
  <si>
    <t>HNFG II кв. 2025</t>
  </si>
  <si>
    <t>HNFG IV кв. 2024</t>
  </si>
  <si>
    <t>HNFG II кв. 2024</t>
  </si>
  <si>
    <t>HNFG IV кв. 2023</t>
  </si>
  <si>
    <t>HNFG II кв. 2023</t>
  </si>
  <si>
    <t>HNFG IV кв. 2022</t>
  </si>
  <si>
    <t>HNFG IV кв. 2021</t>
  </si>
  <si>
    <t>LENT II кв. 2025</t>
  </si>
  <si>
    <t>LENT IV кв. 2024</t>
  </si>
  <si>
    <t>LENT II кв. 2024</t>
  </si>
  <si>
    <t>LENT IV кв. 2023</t>
  </si>
  <si>
    <t>LENT II кв. 2023</t>
  </si>
  <si>
    <t>LENT IV кв. 2022</t>
  </si>
  <si>
    <t>LENT II кв. 2022</t>
  </si>
  <si>
    <t>LENT IV кв. 2021</t>
  </si>
  <si>
    <t>LENT II кв. 2021</t>
  </si>
  <si>
    <t>LENT IV кв. 2020</t>
  </si>
  <si>
    <t>LENT II кв. 2020</t>
  </si>
  <si>
    <t>LENT IV кв. 2019</t>
  </si>
  <si>
    <t>LENT II кв. 2019</t>
  </si>
  <si>
    <t>LENT IV кв. 2018</t>
  </si>
  <si>
    <t>LENT II кв. 2018</t>
  </si>
  <si>
    <t>LENT IV кв. 2017</t>
  </si>
  <si>
    <t>LENT II кв. 2017</t>
  </si>
  <si>
    <t>MGNT II кв. 2025</t>
  </si>
  <si>
    <t>MGNT IV кв. 2024</t>
  </si>
  <si>
    <t>MGNT II кв. 2024</t>
  </si>
  <si>
    <t>MGNT IV кв. 2023</t>
  </si>
  <si>
    <t>MGNT II кв. 2023</t>
  </si>
  <si>
    <t>MGNT IV кв. 2022</t>
  </si>
  <si>
    <t>MGNT II кв. 2022</t>
  </si>
  <si>
    <t>MGNT IV кв. 2021</t>
  </si>
  <si>
    <t>MGNT II кв. 2021</t>
  </si>
  <si>
    <t>MGNT IV кв. 2020</t>
  </si>
  <si>
    <t>MGNT II кв. 2020</t>
  </si>
  <si>
    <t>MGNT IV кв. 2019</t>
  </si>
  <si>
    <t>MGNT II кв. 2019</t>
  </si>
  <si>
    <t>MGNT IV кв. 2018</t>
  </si>
  <si>
    <t>MGNT II кв. 2018</t>
  </si>
  <si>
    <t>MGNT IV кв. 2017</t>
  </si>
  <si>
    <t>MGNT II кв. 2017</t>
  </si>
  <si>
    <t>MGNT IV кв. 2016</t>
  </si>
  <si>
    <t>MGNT II кв. 2016</t>
  </si>
  <si>
    <t>MGNT IV кв. 2015</t>
  </si>
  <si>
    <t>MGNT II кв. 2015</t>
  </si>
  <si>
    <t>MGNT IV кв. 2014</t>
  </si>
  <si>
    <t>MGNT II кв. 2014</t>
  </si>
  <si>
    <t>MGNT IV кв. 2013</t>
  </si>
  <si>
    <t>MGNT II кв. 2013</t>
  </si>
  <si>
    <t>MGNT IV кв. 2012</t>
  </si>
  <si>
    <t>MGNT II кв. 2012</t>
  </si>
  <si>
    <t>MGNT IV кв. 2011</t>
  </si>
  <si>
    <t>MGNT II кв. 2011</t>
  </si>
  <si>
    <t>OZPH III кв. 2025</t>
  </si>
  <si>
    <t>OZPH II кв. 2025</t>
  </si>
  <si>
    <t>OZPH I кв. 2025</t>
  </si>
  <si>
    <t>OZPH IV кв. 2024</t>
  </si>
  <si>
    <t>OZPH III кв. 2024</t>
  </si>
  <si>
    <t>OZPH II кв. 2024</t>
  </si>
  <si>
    <t>OZPH I кв. 2024</t>
  </si>
  <si>
    <t>OZPH IV кв. 2023</t>
  </si>
  <si>
    <t>OZPH III кв. 2023</t>
  </si>
  <si>
    <t>OZPH II кв. 2023</t>
  </si>
  <si>
    <t>OZPH IV кв. 2022</t>
  </si>
  <si>
    <t>OZPH IV кв. 2021</t>
  </si>
  <si>
    <t>PRMD II кв. 2025</t>
  </si>
  <si>
    <t>PRMD IV кв. 2024</t>
  </si>
  <si>
    <t>PRMD II кв. 2024</t>
  </si>
  <si>
    <t>PRMD I кв. 2024</t>
  </si>
  <si>
    <t>PRMD IV кв. 2023</t>
  </si>
  <si>
    <t>PRMD IV кв. 2022</t>
  </si>
  <si>
    <t>PRMD IV кв. 2021</t>
  </si>
  <si>
    <t>RAGR IV кв. 2025</t>
  </si>
  <si>
    <t>RAGR II кв. 2025</t>
  </si>
  <si>
    <t>RAGR IV кв. 2024</t>
  </si>
  <si>
    <t>RAGR II кв. 2024</t>
  </si>
  <si>
    <t>RAGR IV кв. 2023</t>
  </si>
  <si>
    <t>RAGR IV кв. 2022</t>
  </si>
  <si>
    <t>RAGR IV кв. 2021</t>
  </si>
  <si>
    <t>RAGR IV кв. 2020</t>
  </si>
  <si>
    <t>RAGR IV кв. 2019</t>
  </si>
  <si>
    <t>SVAV II кв. 2025</t>
  </si>
  <si>
    <t>SVAV IV кв. 2024</t>
  </si>
  <si>
    <t>SVAV II кв. 2024</t>
  </si>
  <si>
    <t>SVAV IV кв. 2023</t>
  </si>
  <si>
    <t>SVAV II кв. 2023</t>
  </si>
  <si>
    <t>SVAV II кв. 2022</t>
  </si>
  <si>
    <t>SVAV IV кв. 2021</t>
  </si>
  <si>
    <t>SVAV II кв. 2021</t>
  </si>
  <si>
    <t>SVAV IV кв. 2020</t>
  </si>
  <si>
    <t>SVAV II кв. 2020</t>
  </si>
  <si>
    <t>SVAV IV кв. 2019</t>
  </si>
  <si>
    <t>SVAV II кв. 2019</t>
  </si>
  <si>
    <t>SVAV IV кв. 2018</t>
  </si>
  <si>
    <t>SVAV II кв. 2018</t>
  </si>
  <si>
    <t>SVAV IV кв. 2017</t>
  </si>
  <si>
    <t>SVAV II кв. 2017</t>
  </si>
  <si>
    <t>SVAV IV кв. 2016</t>
  </si>
  <si>
    <t>SVAV II кв. 2016</t>
  </si>
  <si>
    <t>SVAV IV кв. 2015</t>
  </si>
  <si>
    <t>SVAV II кв. 2015</t>
  </si>
  <si>
    <t>SVAV IV кв. 2014</t>
  </si>
  <si>
    <t>SVAV II кв. 2014</t>
  </si>
  <si>
    <t>SVAV IV кв. 2013</t>
  </si>
  <si>
    <t>SVAV II кв. 2013</t>
  </si>
  <si>
    <t>SVAV IV кв. 2012</t>
  </si>
  <si>
    <t>SVAV II кв. 2012</t>
  </si>
  <si>
    <t>SVAV IV кв. 2011</t>
  </si>
  <si>
    <t>SVAV II кв. 2011</t>
  </si>
  <si>
    <t>VSEH III кв. 2025</t>
  </si>
  <si>
    <t>VSEH II кв. 2025</t>
  </si>
  <si>
    <t>VSEH I кв. 2025</t>
  </si>
  <si>
    <t>VSEH IV кв. 2024</t>
  </si>
  <si>
    <t>VSEH III кв. 2024</t>
  </si>
  <si>
    <t>VSEH II кв. 2024</t>
  </si>
  <si>
    <t>VSEH I кв. 2024</t>
  </si>
  <si>
    <t>VSEH IV кв. 2023</t>
  </si>
  <si>
    <t>VSEH III кв. 2023</t>
  </si>
  <si>
    <t>WUSH IV кв. 2025</t>
  </si>
  <si>
    <t>WUSH III кв. 2025</t>
  </si>
  <si>
    <t>WUSH II кв. 2025</t>
  </si>
  <si>
    <t>WUSH IV кв. 2024</t>
  </si>
  <si>
    <t>WUSH III кв. 2024</t>
  </si>
  <si>
    <t>WUSH II кв. 2024</t>
  </si>
  <si>
    <t>WUSH IV кв. 2023</t>
  </si>
  <si>
    <t>WUSH III кв. 2023</t>
  </si>
  <si>
    <t>WUSH II кв. 2023</t>
  </si>
  <si>
    <t>WUSH IV кв. 2022</t>
  </si>
  <si>
    <t>WUSH III кв. 2022</t>
  </si>
  <si>
    <t>X5 IV кв. 2025</t>
  </si>
  <si>
    <t>X5 III кв. 2025</t>
  </si>
  <si>
    <t>X5 II кв. 2025</t>
  </si>
  <si>
    <t>X5 I кв. 2025</t>
  </si>
  <si>
    <t>X5 IV кв. 2024</t>
  </si>
  <si>
    <t>X5 III кв. 2024</t>
  </si>
  <si>
    <t>X5 II кв. 2024</t>
  </si>
  <si>
    <t>X5 IV кв. 2023</t>
  </si>
  <si>
    <t>X5 IV кв. 2022</t>
  </si>
  <si>
    <t>X5 IV кв. 2021</t>
  </si>
  <si>
    <t>ASTR III кв. 2025</t>
  </si>
  <si>
    <t>ASTR II кв. 2025</t>
  </si>
  <si>
    <t>ASTR I кв. 2025</t>
  </si>
  <si>
    <t>ASTR IV кв. 2024</t>
  </si>
  <si>
    <t>ASTR III кв. 2024</t>
  </si>
  <si>
    <t>ASTR II кв. 2024</t>
  </si>
  <si>
    <t>ASTR I кв. 2024</t>
  </si>
  <si>
    <t>ASTR IV кв. 2023</t>
  </si>
  <si>
    <t>ASTR III кв. 2023</t>
  </si>
  <si>
    <t>ASTR II кв. 2023</t>
  </si>
  <si>
    <t>ASTR IV кв. 2022</t>
  </si>
  <si>
    <t>ASTR IV кв. 2021</t>
  </si>
  <si>
    <t>BAZA IV кв. 2025</t>
  </si>
  <si>
    <t>BAZA III кв. 2025</t>
  </si>
  <si>
    <t>BAZA II кв. 2025</t>
  </si>
  <si>
    <t>CNRU II кв. 2025</t>
  </si>
  <si>
    <t>CNRU IV кв. 2024</t>
  </si>
  <si>
    <t>CNRU IV кв. 2023</t>
  </si>
  <si>
    <t>DATA II кв. 2025</t>
  </si>
  <si>
    <t>DATA IV кв. 2024</t>
  </si>
  <si>
    <t>DATA II кв. 2024</t>
  </si>
  <si>
    <t>DATA IV кв. 2023</t>
  </si>
  <si>
    <t>DATA II кв. 2023</t>
  </si>
  <si>
    <t>HEAD IV кв. 2025</t>
  </si>
  <si>
    <t>HEAD III кв. 2025</t>
  </si>
  <si>
    <t>HEAD II кв. 2025</t>
  </si>
  <si>
    <t>HEAD I кв. 2025</t>
  </si>
  <si>
    <t>HEAD IV кв. 2024</t>
  </si>
  <si>
    <t>HEAD III кв. 2024</t>
  </si>
  <si>
    <t>HEAD II кв. 2024</t>
  </si>
  <si>
    <t>HEAD IV кв. 2023</t>
  </si>
  <si>
    <t>OZON IV кв. 2025</t>
  </si>
  <si>
    <t>OZON III кв. 2025</t>
  </si>
  <si>
    <t>POSI III кв. 2025</t>
  </si>
  <si>
    <t>POSI II кв. 2025</t>
  </si>
  <si>
    <t>POSI I кв. 2025</t>
  </si>
  <si>
    <t>POSI IV кв. 2024</t>
  </si>
  <si>
    <t>POSI III кв. 2024</t>
  </si>
  <si>
    <t>POSI II кв. 2024</t>
  </si>
  <si>
    <t>POSI I кв. 2024</t>
  </si>
  <si>
    <t>POSI IV кв. 2023</t>
  </si>
  <si>
    <t>POSI III кв. 2023</t>
  </si>
  <si>
    <t>POSI II кв. 2023</t>
  </si>
  <si>
    <t>POSI I кв. 2023</t>
  </si>
  <si>
    <t>POSI IV кв. 2022</t>
  </si>
  <si>
    <t>POSI III кв. 2022</t>
  </si>
  <si>
    <t>POSI II кв. 2022</t>
  </si>
  <si>
    <t>POSI I кв. 2022</t>
  </si>
  <si>
    <t>POSI IV кв. 2021</t>
  </si>
  <si>
    <t>POSI III кв. 2021</t>
  </si>
  <si>
    <t>POSI IV кв. 2020</t>
  </si>
  <si>
    <t>POSI IV кв. 2019</t>
  </si>
  <si>
    <t>POSI IV кв. 2018</t>
  </si>
  <si>
    <t>SOFL II кв. 2025</t>
  </si>
  <si>
    <t>SOFL IV кв. 2024</t>
  </si>
  <si>
    <t>SOFL II кв. 2024</t>
  </si>
  <si>
    <t>SOFL IV кв. 2023</t>
  </si>
  <si>
    <t>SOFL II кв. 2023</t>
  </si>
  <si>
    <t>SOFL IV кв. 2022</t>
  </si>
  <si>
    <t>SOFL IV кв. 2021</t>
  </si>
  <si>
    <t>SOFL IV кв. 2020</t>
  </si>
  <si>
    <t>VKCO IV кв. 2025</t>
  </si>
  <si>
    <t>VKCO II кв. 2025</t>
  </si>
  <si>
    <t>VKCO IV кв. 2024</t>
  </si>
  <si>
    <t>VKCO II кв. 2024</t>
  </si>
  <si>
    <t>VKCO IV кв. 2023</t>
  </si>
  <si>
    <t>VKCO IV кв. 2022</t>
  </si>
  <si>
    <t>YDEX IV кв. 2025</t>
  </si>
  <si>
    <t>YDEX III кв. 2025</t>
  </si>
  <si>
    <t>YDEX II кв. 2025</t>
  </si>
  <si>
    <t>YDEX I кв. 2025</t>
  </si>
  <si>
    <t>YDEX IV кв. 2024</t>
  </si>
  <si>
    <t>YDEX III кв. 2024</t>
  </si>
  <si>
    <t>YDEX II кв. 2024</t>
  </si>
  <si>
    <t>YDEX I кв. 2024</t>
  </si>
  <si>
    <t>MTSS IV кв. 2025</t>
  </si>
  <si>
    <t>MTSS III кв. 2025</t>
  </si>
  <si>
    <t>MTSS II кв. 2025</t>
  </si>
  <si>
    <t>MTSS I кв. 2025</t>
  </si>
  <si>
    <t>MTSS IV кв. 2024</t>
  </si>
  <si>
    <t>MTSS III кв. 2024</t>
  </si>
  <si>
    <t>MTSS II кв. 2024</t>
  </si>
  <si>
    <t>MTSS I кв. 2024</t>
  </si>
  <si>
    <t>MTSS IV кв. 2023</t>
  </si>
  <si>
    <t>MTSS III кв. 2023</t>
  </si>
  <si>
    <t>MTSS II кв. 2023</t>
  </si>
  <si>
    <t>MTSS I кв. 2023</t>
  </si>
  <si>
    <t>MTSS IV кв. 2022</t>
  </si>
  <si>
    <t>MTSS III кв. 2022</t>
  </si>
  <si>
    <t>MTSS II кв. 2022</t>
  </si>
  <si>
    <t>MTSS I кв. 2022</t>
  </si>
  <si>
    <t>MTSS IV кв. 2021</t>
  </si>
  <si>
    <t>MTSS III кв. 2021</t>
  </si>
  <si>
    <t>MTSS II кв. 2021</t>
  </si>
  <si>
    <t>MTSS I кв. 2021</t>
  </si>
  <si>
    <t>MTSS IV кв. 2020</t>
  </si>
  <si>
    <t>MTSS III кв. 2020</t>
  </si>
  <si>
    <t>MTSS II кв. 2020</t>
  </si>
  <si>
    <t>MTSS I кв. 2020</t>
  </si>
  <si>
    <t>MTSS IV кв. 2019</t>
  </si>
  <si>
    <t>MTSS III кв. 2019</t>
  </si>
  <si>
    <t>MTSS II кв. 2019</t>
  </si>
  <si>
    <t>MTSS I кв. 2019</t>
  </si>
  <si>
    <t>MTSS IV кв. 2018</t>
  </si>
  <si>
    <t>MTSS III кв. 2018</t>
  </si>
  <si>
    <t>MTSS II кв. 2018</t>
  </si>
  <si>
    <t>MTSS I кв. 2018</t>
  </si>
  <si>
    <t>MTSS IV кв. 2017</t>
  </si>
  <si>
    <t>MTSS III кв. 2017</t>
  </si>
  <si>
    <t>MTSS II кв. 2017</t>
  </si>
  <si>
    <t>MTSS I кв. 2017</t>
  </si>
  <si>
    <t>MTSS IV кв. 2016</t>
  </si>
  <si>
    <t>MTSS III кв. 2016</t>
  </si>
  <si>
    <t>MTSS II кв. 2016</t>
  </si>
  <si>
    <t>MTSS I кв. 2016</t>
  </si>
  <si>
    <t>MTSS IV кв. 2015</t>
  </si>
  <si>
    <t>MTSS III кв. 2015</t>
  </si>
  <si>
    <t>MTSS II кв. 2015</t>
  </si>
  <si>
    <t>MTSS I кв. 2015</t>
  </si>
  <si>
    <t>MTSS IV кв. 2014</t>
  </si>
  <si>
    <t>MTSS II кв. 2014</t>
  </si>
  <si>
    <t>MTSS I кв. 2014</t>
  </si>
  <si>
    <t>MTSS IV кв. 2013</t>
  </si>
  <si>
    <t>MTSS III кв. 2013</t>
  </si>
  <si>
    <t>MTSS II кв. 2013</t>
  </si>
  <si>
    <t>MTSS I кв. 2013</t>
  </si>
  <si>
    <t>MTSS IV кв. 2012</t>
  </si>
  <si>
    <t>MTSS III кв. 2012</t>
  </si>
  <si>
    <t>MTSS II кв. 2012</t>
  </si>
  <si>
    <t>RTKM IV кв. 2025</t>
  </si>
  <si>
    <t>RTKM III кв. 2025</t>
  </si>
  <si>
    <t>RTKM II кв. 2025</t>
  </si>
  <si>
    <t>RTKM I кв. 2025</t>
  </si>
  <si>
    <t>RTKM IV кв. 2024</t>
  </si>
  <si>
    <t>RTKM III кв. 2024</t>
  </si>
  <si>
    <t>RTKM II кв. 2024</t>
  </si>
  <si>
    <t>RTKM I кв. 2024</t>
  </si>
  <si>
    <t>RTKM IV кв. 2023</t>
  </si>
  <si>
    <t>RTKM III кв. 2023</t>
  </si>
  <si>
    <t>RTKM II кв. 2023</t>
  </si>
  <si>
    <t>RTKM IV кв. 2021</t>
  </si>
  <si>
    <t>RTKM III кв. 2021</t>
  </si>
  <si>
    <t>RTKM II кв. 2021</t>
  </si>
  <si>
    <t>RTKM I кв. 2021</t>
  </si>
  <si>
    <t>RTKM IV кв. 2020</t>
  </si>
  <si>
    <t>RTKM III кв. 2020</t>
  </si>
  <si>
    <t>RTKM II кв. 2020</t>
  </si>
  <si>
    <t>RTKM I кв. 2020</t>
  </si>
  <si>
    <t>RTKM IV кв. 2019</t>
  </si>
  <si>
    <t>RTKM III кв. 2019</t>
  </si>
  <si>
    <t>RTKM II кв. 2019</t>
  </si>
  <si>
    <t>RTKM I кв. 2019</t>
  </si>
  <si>
    <t>RTKM IV кв. 2018</t>
  </si>
  <si>
    <t>RTKM III кв. 2018</t>
  </si>
  <si>
    <t>RTKM II кв. 2018</t>
  </si>
  <si>
    <t>RTKM I кв. 2018</t>
  </si>
  <si>
    <t>RTKM IV кв. 2017</t>
  </si>
  <si>
    <t>RTKM III кв. 2017</t>
  </si>
  <si>
    <t>RTKM II кв. 2017</t>
  </si>
  <si>
    <t>RTKM I кв. 2017</t>
  </si>
  <si>
    <t>RTKM IV кв. 2016</t>
  </si>
  <si>
    <t>RTKM III кв. 2016</t>
  </si>
  <si>
    <t>RTKM II кв. 2016</t>
  </si>
  <si>
    <t>RTKM I кв. 2016</t>
  </si>
  <si>
    <t>RTKM IV кв. 2015</t>
  </si>
  <si>
    <t>RTKM III кв. 2015</t>
  </si>
  <si>
    <t>RTKM II кв. 2015</t>
  </si>
  <si>
    <t>RTKM I кв. 2015</t>
  </si>
  <si>
    <t>RTKM IV кв. 2014</t>
  </si>
  <si>
    <t>RTKM III кв. 2014</t>
  </si>
  <si>
    <t>RTKM II кв. 2014</t>
  </si>
  <si>
    <t>RTKM I кв. 2014</t>
  </si>
  <si>
    <t>RTKM IV кв. 2013</t>
  </si>
  <si>
    <t>RTKM III кв. 2013</t>
  </si>
  <si>
    <t>RTKM II кв. 2013</t>
  </si>
  <si>
    <t>RTKM I кв. 2013</t>
  </si>
  <si>
    <t>RTKM IV кв. 2012</t>
  </si>
  <si>
    <t>RTKM III кв. 2012</t>
  </si>
  <si>
    <t>RTKM II кв. 2012</t>
  </si>
  <si>
    <t>RTKM IV кв. 2011</t>
  </si>
  <si>
    <t>RTKM III кв. 2011</t>
  </si>
  <si>
    <t>RTKM II кв. 2011</t>
  </si>
  <si>
    <t>RTKM I кв. 2011</t>
  </si>
  <si>
    <t>AFLT IV кв. 2025</t>
  </si>
  <si>
    <t>AFLT III кв. 2025</t>
  </si>
  <si>
    <t>AFLT II кв. 2025</t>
  </si>
  <si>
    <t>AFLT I кв. 2025</t>
  </si>
  <si>
    <t>AFLT IV кв. 2024</t>
  </si>
  <si>
    <t>AFLT III кв. 2024</t>
  </si>
  <si>
    <t>AFLT II кв. 2024</t>
  </si>
  <si>
    <t>AFLT I кв. 2024</t>
  </si>
  <si>
    <t>AFLT IV кв. 2023</t>
  </si>
  <si>
    <t>AFLT III кв. 2023</t>
  </si>
  <si>
    <t>AFLT II кв. 2023</t>
  </si>
  <si>
    <t>AFLT IV кв. 2022</t>
  </si>
  <si>
    <t>AFLT IV кв. 2021</t>
  </si>
  <si>
    <t>AFLT III кв. 2021</t>
  </si>
  <si>
    <t>AFLT II кв. 2021</t>
  </si>
  <si>
    <t>AFLT I кв. 2021</t>
  </si>
  <si>
    <t>AFLT IV кв. 2020</t>
  </si>
  <si>
    <t>AFLT III кв. 2020</t>
  </si>
  <si>
    <t>AFLT II кв. 2020</t>
  </si>
  <si>
    <t>AFLT I кв. 2020</t>
  </si>
  <si>
    <t>AFLT IV кв. 2019</t>
  </si>
  <si>
    <t>AFLT III кв. 2019</t>
  </si>
  <si>
    <t>AFLT II кв. 2019</t>
  </si>
  <si>
    <t>AFLT I кв. 2019</t>
  </si>
  <si>
    <t>AFLT IV кв. 2018</t>
  </si>
  <si>
    <t>AFLT III кв. 2018</t>
  </si>
  <si>
    <t>AFLT II кв. 2018</t>
  </si>
  <si>
    <t>AFLT I кв. 2018</t>
  </si>
  <si>
    <t>AFLT IV кв. 2017</t>
  </si>
  <si>
    <t>AFLT III кв. 2017</t>
  </si>
  <si>
    <t>AFLT II кв. 2017</t>
  </si>
  <si>
    <t>AFLT IV кв. 2016</t>
  </si>
  <si>
    <t>AFLT III кв. 2016</t>
  </si>
  <si>
    <t>AFLT II кв. 2016</t>
  </si>
  <si>
    <t>AFLT IV кв. 2015</t>
  </si>
  <si>
    <t>AFLT III кв. 2015</t>
  </si>
  <si>
    <t>AFLT II кв. 2015</t>
  </si>
  <si>
    <t>AFLT IV кв. 2014</t>
  </si>
  <si>
    <t>AFLT III кв. 2014</t>
  </si>
  <si>
    <t>AFLT II кв. 2014</t>
  </si>
  <si>
    <t>AFLT IV кв. 2013</t>
  </si>
  <si>
    <t>AFLT III кв. 2013</t>
  </si>
  <si>
    <t>AFLT II кв. 2013</t>
  </si>
  <si>
    <t>AFLT IV кв. 2012</t>
  </si>
  <si>
    <t>AFLT III кв. 2012</t>
  </si>
  <si>
    <t>AFLT II кв. 2012</t>
  </si>
  <si>
    <t>AFLT IV кв. 2011</t>
  </si>
  <si>
    <t>AFLT III кв. 2011</t>
  </si>
  <si>
    <t>AFLT II кв. 2011</t>
  </si>
  <si>
    <t>AFLT IV кв. 2010</t>
  </si>
  <si>
    <t>AFLT III кв. 2010</t>
  </si>
  <si>
    <t>AFLT II кв. 2010</t>
  </si>
  <si>
    <t>FESH II кв. 2025</t>
  </si>
  <si>
    <t>FESH IV кв. 2024</t>
  </si>
  <si>
    <t>FESH II кв. 2024</t>
  </si>
  <si>
    <t>FESH IV кв. 2023</t>
  </si>
  <si>
    <t>FESH II кв. 2023</t>
  </si>
  <si>
    <t>FESH IV кв. 2022</t>
  </si>
  <si>
    <t>FESH II кв. 2022</t>
  </si>
  <si>
    <t>FESH IV кв. 2021</t>
  </si>
  <si>
    <t>FESH II кв. 2021</t>
  </si>
  <si>
    <t>FESH IV кв. 2020</t>
  </si>
  <si>
    <t>FESH II кв. 2020</t>
  </si>
  <si>
    <t>FESH IV кв. 2019</t>
  </si>
  <si>
    <t>FESH II кв. 2019</t>
  </si>
  <si>
    <t>FESH IV кв. 2018</t>
  </si>
  <si>
    <t>FESH II кв. 2018</t>
  </si>
  <si>
    <t>FESH IV кв. 2017</t>
  </si>
  <si>
    <t>FESH II кв. 2017</t>
  </si>
  <si>
    <t>FESH IV кв. 2016</t>
  </si>
  <si>
    <t>FESH III кв. 2016</t>
  </si>
  <si>
    <t>FESH II кв. 2016</t>
  </si>
  <si>
    <t>FESH I кв. 2016</t>
  </si>
  <si>
    <t>FESH IV кв. 2015</t>
  </si>
  <si>
    <t>FESH III кв. 2015</t>
  </si>
  <si>
    <t>FESH II кв. 2015</t>
  </si>
  <si>
    <t>FESH I кв. 2015</t>
  </si>
  <si>
    <t>FESH IV кв. 2014</t>
  </si>
  <si>
    <t>FESH III кв. 2014</t>
  </si>
  <si>
    <t>FESH II кв. 2014</t>
  </si>
  <si>
    <t>FESH I кв. 2014</t>
  </si>
  <si>
    <t>FESH IV кв. 2013</t>
  </si>
  <si>
    <t>FESH III кв. 2013</t>
  </si>
  <si>
    <t>FESH II кв. 2013</t>
  </si>
  <si>
    <t>FESH I кв. 2013</t>
  </si>
  <si>
    <t>FESH IV кв. 2012</t>
  </si>
  <si>
    <t>FESH II кв. 2012</t>
  </si>
  <si>
    <t>FESH IV кв. 2011</t>
  </si>
  <si>
    <t>FESH II кв. 2011</t>
  </si>
  <si>
    <t>FLOT IV кв. 2025</t>
  </si>
  <si>
    <t>FLOT III кв. 2025</t>
  </si>
  <si>
    <t>FLOT II кв. 2025</t>
  </si>
  <si>
    <t>FLOT I кв. 2025</t>
  </si>
  <si>
    <t>FLOT IV кв. 2024</t>
  </si>
  <si>
    <t>FLOT III кв. 2024</t>
  </si>
  <si>
    <t>FLOT II кв. 2024</t>
  </si>
  <si>
    <t>FLOT I кв. 2024</t>
  </si>
  <si>
    <t>FLOT IV кв. 2023</t>
  </si>
  <si>
    <t>FLOT III кв. 2023</t>
  </si>
  <si>
    <t>FLOT II кв. 2023</t>
  </si>
  <si>
    <t>FLOT IV кв. 2021</t>
  </si>
  <si>
    <t>FLOT III кв. 2021</t>
  </si>
  <si>
    <t>FLOT II кв. 2021</t>
  </si>
  <si>
    <t>FLOT I кв. 2021</t>
  </si>
  <si>
    <t>FLOT IV кв. 2020</t>
  </si>
  <si>
    <t>FLOT III кв. 2020</t>
  </si>
  <si>
    <t>FLOT II кв. 2020</t>
  </si>
  <si>
    <t>FLOT I кв. 2020</t>
  </si>
  <si>
    <t>FLOT IV кв. 2019</t>
  </si>
  <si>
    <t>FLOT III кв. 2019</t>
  </si>
  <si>
    <t>FLOT II кв. 2019</t>
  </si>
  <si>
    <t>FLOT I кв. 2019</t>
  </si>
  <si>
    <t>FLOT IV кв. 2018</t>
  </si>
  <si>
    <t>FLOT III кв. 2018</t>
  </si>
  <si>
    <t>FLOT II кв. 2018</t>
  </si>
  <si>
    <t>FLOT I кв. 2018</t>
  </si>
  <si>
    <t>FLOT IV кв. 2017</t>
  </si>
  <si>
    <t>FLOT III кв. 2017</t>
  </si>
  <si>
    <t>FLOT II кв. 2017</t>
  </si>
  <si>
    <t>FLOT I кв. 2017</t>
  </si>
  <si>
    <t>FLOT IV кв. 2016</t>
  </si>
  <si>
    <t>FLOT III кв. 2016</t>
  </si>
  <si>
    <t>FLOT II кв. 2016</t>
  </si>
  <si>
    <t>FLOT I кв. 2016</t>
  </si>
  <si>
    <t>FLOT IV кв. 2015</t>
  </si>
  <si>
    <t>FLOT III кв. 2015</t>
  </si>
  <si>
    <t>FLOT II кв. 2015</t>
  </si>
  <si>
    <t>FLOT I кв. 2015</t>
  </si>
  <si>
    <t>FLOT IV кв. 2014</t>
  </si>
  <si>
    <t>FLOT III кв. 2014</t>
  </si>
  <si>
    <t>FLOT II кв. 2014</t>
  </si>
  <si>
    <t>FLOT I кв. 2014</t>
  </si>
  <si>
    <t>FLOT IV кв. 2013</t>
  </si>
  <si>
    <t>FLOT III кв. 2013</t>
  </si>
  <si>
    <t>FLOT II кв. 2013</t>
  </si>
  <si>
    <t>NKHP II кв. 2025</t>
  </si>
  <si>
    <t>NKHP IV кв. 2024</t>
  </si>
  <si>
    <t>NKHP II кв. 2024</t>
  </si>
  <si>
    <t>NKHP IV кв. 2023</t>
  </si>
  <si>
    <t>NKHP II кв. 2023</t>
  </si>
  <si>
    <t>NKHP IV кв. 2022</t>
  </si>
  <si>
    <t>NKHP II кв. 2022</t>
  </si>
  <si>
    <t>NKHP IV кв. 2021</t>
  </si>
  <si>
    <t>NKHP II кв. 2021</t>
  </si>
  <si>
    <t>NKHP IV кв. 2020</t>
  </si>
  <si>
    <t>NKHP II кв. 2020</t>
  </si>
  <si>
    <t>NKHP IV кв. 2019</t>
  </si>
  <si>
    <t>NKHP II кв. 2019</t>
  </si>
  <si>
    <t>NKHP IV кв. 2018</t>
  </si>
  <si>
    <t>NKHP II кв. 2018</t>
  </si>
  <si>
    <t>NKHP IV кв. 2017</t>
  </si>
  <si>
    <t>NKHP II кв. 2017</t>
  </si>
  <si>
    <t>NKHP IV кв. 2016</t>
  </si>
  <si>
    <t>NMTP III кв. 2025</t>
  </si>
  <si>
    <t>NMTP II кв. 2025</t>
  </si>
  <si>
    <t>NMTP I кв. 2025</t>
  </si>
  <si>
    <t>NMTP IV кв. 2024</t>
  </si>
  <si>
    <t>NMTP III кв. 2024</t>
  </si>
  <si>
    <t>NMTP II кв. 2024</t>
  </si>
  <si>
    <t>NMTP I кв. 2024</t>
  </si>
  <si>
    <t>NMTP IV кв. 2023</t>
  </si>
  <si>
    <t>NMTP II кв. 2023</t>
  </si>
  <si>
    <t>NMTP IV кв. 2022</t>
  </si>
  <si>
    <t>NMTP III кв. 2021</t>
  </si>
  <si>
    <t>NMTP II кв. 2021</t>
  </si>
  <si>
    <t>NMTP I кв. 2021</t>
  </si>
  <si>
    <t>NMTP IV кв. 2020</t>
  </si>
  <si>
    <t>NMTP III кв. 2020</t>
  </si>
  <si>
    <t>NMTP II кв. 2020</t>
  </si>
  <si>
    <t>NMTP I кв. 2020</t>
  </si>
  <si>
    <t>NMTP IV кв. 2019</t>
  </si>
  <si>
    <t>NMTP III кв. 2019</t>
  </si>
  <si>
    <t>NMTP II кв. 2019</t>
  </si>
  <si>
    <t>NMTP I кв. 2019</t>
  </si>
  <si>
    <t>NMTP IV кв. 2018</t>
  </si>
  <si>
    <t>NMTP III кв. 2018</t>
  </si>
  <si>
    <t>NMTP II кв. 2018</t>
  </si>
  <si>
    <t>NMTP I кв. 2018</t>
  </si>
  <si>
    <t>NMTP IV кв. 2017</t>
  </si>
  <si>
    <t>NMTP III кв. 2017</t>
  </si>
  <si>
    <t>NMTP II кв. 2017</t>
  </si>
  <si>
    <t>NMTP I кв. 2017</t>
  </si>
  <si>
    <t>NMTP IV кв. 2016</t>
  </si>
  <si>
    <t>NMTP III кв. 2016</t>
  </si>
  <si>
    <t>NMTP II кв. 2016</t>
  </si>
  <si>
    <t>NMTP I кв. 2016</t>
  </si>
  <si>
    <t>NMTP III кв. 2015</t>
  </si>
  <si>
    <t>NMTP II кв. 2015</t>
  </si>
  <si>
    <t>NMTP I кв. 2015</t>
  </si>
  <si>
    <t>NMTP IV кв. 2014</t>
  </si>
  <si>
    <t>NMTP III кв. 2014</t>
  </si>
  <si>
    <t>NMTP II кв. 2014</t>
  </si>
  <si>
    <t>NMTP I кв. 2014</t>
  </si>
  <si>
    <t>NMTP IV кв. 2013</t>
  </si>
  <si>
    <t>NMTP III кв. 2013</t>
  </si>
  <si>
    <t>NMTP II кв. 2013</t>
  </si>
  <si>
    <t>NMTP I кв. 2013</t>
  </si>
  <si>
    <t>NMTP IV кв. 2012</t>
  </si>
  <si>
    <t>NMTP III кв. 2012</t>
  </si>
  <si>
    <t>NMTP II кв. 2012</t>
  </si>
  <si>
    <t>NMTP I кв. 2012</t>
  </si>
  <si>
    <t>NMTP IV кв. 2011</t>
  </si>
  <si>
    <t>NMTP III кв. 2011</t>
  </si>
  <si>
    <t>NMTP II кв. 2011</t>
  </si>
  <si>
    <t>NMTP I кв. 2011</t>
  </si>
  <si>
    <t>ETLN IV кв. 2024</t>
  </si>
  <si>
    <t>ETLN II кв. 2024</t>
  </si>
  <si>
    <t>ETLN IV кв. 2023</t>
  </si>
  <si>
    <t>ETLN II кв. 2023</t>
  </si>
  <si>
    <t>ETLN IV кв. 2022</t>
  </si>
  <si>
    <t>ETLN II кв. 2022</t>
  </si>
  <si>
    <t>ETLN IV кв. 2021</t>
  </si>
  <si>
    <t>ETLN II кв. 2021</t>
  </si>
  <si>
    <t>ETLN IV кв. 2020</t>
  </si>
  <si>
    <t>ETLN II кв. 2020</t>
  </si>
  <si>
    <t>ETLN IV кв. 2019</t>
  </si>
  <si>
    <t>ETLN II кв. 2019</t>
  </si>
  <si>
    <t>ETLN IV кв. 2018</t>
  </si>
  <si>
    <t>ETLN II кв. 2018</t>
  </si>
  <si>
    <t>ETLN IV кв. 2017</t>
  </si>
  <si>
    <t>ETLN II кв. 2017</t>
  </si>
  <si>
    <t>LSRG II кв. 2025</t>
  </si>
  <si>
    <t>LSRG IV кв. 2024</t>
  </si>
  <si>
    <t>LSRG II кв. 2024</t>
  </si>
  <si>
    <t>LSRG IV кв. 2023</t>
  </si>
  <si>
    <t>LSRG II кв. 2023</t>
  </si>
  <si>
    <t>LSRG IV кв. 2022</t>
  </si>
  <si>
    <t>LSRG II кв. 2022</t>
  </si>
  <si>
    <t>LSRG IV кв. 2021</t>
  </si>
  <si>
    <t>LSRG II кв. 2021</t>
  </si>
  <si>
    <t>LSRG IV кв. 2020</t>
  </si>
  <si>
    <t>LSRG II кв. 2020</t>
  </si>
  <si>
    <t>LSRG IV кв. 2019</t>
  </si>
  <si>
    <t>LSRG II кв. 2019</t>
  </si>
  <si>
    <t>LSRG IV кв. 2018</t>
  </si>
  <si>
    <t>LSRG II кв. 2018</t>
  </si>
  <si>
    <t>LSRG IV кв. 2017</t>
  </si>
  <si>
    <t>LSRG II кв. 2017</t>
  </si>
  <si>
    <t>LSRG IV кв. 2016</t>
  </si>
  <si>
    <t>LSRG II кв. 2016</t>
  </si>
  <si>
    <t>LSRG IV кв. 2015</t>
  </si>
  <si>
    <t>LSRG II кв. 2015</t>
  </si>
  <si>
    <t>LSRG IV кв. 2014</t>
  </si>
  <si>
    <t>LSRG II кв. 2014</t>
  </si>
  <si>
    <t>LSRG IV кв. 2013</t>
  </si>
  <si>
    <t>LSRG II кв. 2013</t>
  </si>
  <si>
    <t>LSRG IV кв. 2012</t>
  </si>
  <si>
    <t>LSRG II кв. 2012</t>
  </si>
  <si>
    <t>LSRG IV кв. 2011</t>
  </si>
  <si>
    <t>LSRG II кв. 2011</t>
  </si>
  <si>
    <t>PIKK II кв. 2025</t>
  </si>
  <si>
    <t>PIKK IV кв. 2024</t>
  </si>
  <si>
    <t>PIKK II кв. 2024</t>
  </si>
  <si>
    <t>PIKK IV кв. 2023</t>
  </si>
  <si>
    <t>PIKK II кв. 2023</t>
  </si>
  <si>
    <t>PIKK IV кв. 2021</t>
  </si>
  <si>
    <t>PIKK II кв. 2021</t>
  </si>
  <si>
    <t>PIKK IV кв. 2020</t>
  </si>
  <si>
    <t>PIKK II кв. 2020</t>
  </si>
  <si>
    <t>PIKK IV кв. 2019</t>
  </si>
  <si>
    <t>PIKK II кв. 2019</t>
  </si>
  <si>
    <t>PIKK IV кв. 2018</t>
  </si>
  <si>
    <t>PIKK II кв. 2018</t>
  </si>
  <si>
    <t>PIKK IV кв. 2017</t>
  </si>
  <si>
    <t>PIKK II кв. 2017</t>
  </si>
  <si>
    <t>PIKK IV кв. 2016</t>
  </si>
  <si>
    <t>PIKK II кв. 2016</t>
  </si>
  <si>
    <t>PIKK IV кв. 2015</t>
  </si>
  <si>
    <t>PIKK II кв. 2015</t>
  </si>
  <si>
    <t>PIKK IV кв. 2014</t>
  </si>
  <si>
    <t>PIKK II кв. 2014</t>
  </si>
  <si>
    <t>PIKK IV кв. 2013</t>
  </si>
  <si>
    <t>PIKK II кв. 2013</t>
  </si>
  <si>
    <t>PIKK IV кв. 2012</t>
  </si>
  <si>
    <t>PIKK II кв. 2012</t>
  </si>
  <si>
    <t>PIKK IV кв. 2011</t>
  </si>
  <si>
    <t>PIKK II кв. 2011</t>
  </si>
  <si>
    <t>SMLT II кв. 2025</t>
  </si>
  <si>
    <t>SMLT IV кв. 2024</t>
  </si>
  <si>
    <t>SMLT II кв. 2024</t>
  </si>
  <si>
    <t>SMLT IV кв. 2023</t>
  </si>
  <si>
    <t>SMLT II кв. 2023</t>
  </si>
  <si>
    <t>SMLT IV кв. 2022</t>
  </si>
  <si>
    <t>SMLT II кв. 2022</t>
  </si>
  <si>
    <t>SMLT IV кв. 2021</t>
  </si>
  <si>
    <t>SMLT II кв. 2021</t>
  </si>
  <si>
    <t>SMLT IV кв. 2020</t>
  </si>
  <si>
    <t>SMLT II кв. 2020</t>
  </si>
  <si>
    <t>SMLT IV кв. 2019</t>
  </si>
  <si>
    <t>SMLT II кв. 2019</t>
  </si>
  <si>
    <t>SMLT IV кв. 2018</t>
  </si>
  <si>
    <t>SMLT II кв. 2018</t>
  </si>
  <si>
    <t>SMLT IV кв. 2017</t>
  </si>
  <si>
    <t>SMLT II кв. 2017</t>
  </si>
  <si>
    <t>SMLT IV кв. 2016</t>
  </si>
  <si>
    <t>SMLT II кв. 2016</t>
  </si>
  <si>
    <t>Выручка предыдущ периода</t>
  </si>
  <si>
    <t>Активы предыдущ периода</t>
  </si>
  <si>
    <t>#CurrencyExchangePrices([01.01.2008], [today], [RUBUSD], [5396], [WorkDays])</t>
  </si>
  <si>
    <t>DATE</t>
  </si>
  <si>
    <t>VALUE</t>
  </si>
  <si>
    <t>YEAR</t>
  </si>
  <si>
    <t>Тикер</t>
  </si>
  <si>
    <t>Отрасль</t>
  </si>
  <si>
    <t>Дивиденд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</si>
  <si>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</si>
  <si>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</si>
  <si>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</si>
  <si>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</si>
  <si>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</si>
  <si>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</si>
  <si>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Источник</t>
  </si>
  <si>
    <t>GAZP</t>
  </si>
  <si>
    <t>Нефтегазовая отрасль</t>
  </si>
  <si>
    <t>год</t>
  </si>
  <si>
    <t>DGAZP.xlsx</t>
  </si>
  <si>
    <t>6 месяцев (I полугодие)</t>
  </si>
  <si>
    <t>LKOH</t>
  </si>
  <si>
    <t>DLKOH.xlsx</t>
  </si>
  <si>
    <t>9 месяцев</t>
  </si>
  <si>
    <t>Внеплановые</t>
  </si>
  <si>
    <t>NVTK</t>
  </si>
  <si>
    <t>DNVTK.xlsx</t>
  </si>
  <si>
    <t>ROSN</t>
  </si>
  <si>
    <t>DROSN.xlsx</t>
  </si>
  <si>
    <t>SNGS</t>
  </si>
  <si>
    <t>DSNGS.xlsx</t>
  </si>
  <si>
    <t>TATN</t>
  </si>
  <si>
    <t>DTATN.xlsx</t>
  </si>
  <si>
    <t>ELFV</t>
  </si>
  <si>
    <t>Электроэнергетика</t>
  </si>
  <si>
    <t>DELFV.xlsx</t>
  </si>
  <si>
    <t>FEES</t>
  </si>
  <si>
    <t>DFEES.xlsx</t>
  </si>
  <si>
    <t>3 месяца (I кв.)</t>
  </si>
  <si>
    <t>HYDR</t>
  </si>
  <si>
    <t>DHYDR.xlsx</t>
  </si>
  <si>
    <t>IRAO</t>
  </si>
  <si>
    <t>DIRAO.xlsx</t>
  </si>
  <si>
    <t>MRKC</t>
  </si>
  <si>
    <t>DMRKC.xlsx</t>
  </si>
  <si>
    <t>MRKP</t>
  </si>
  <si>
    <t>DMRKP.xlsx</t>
  </si>
  <si>
    <t>MRKU</t>
  </si>
  <si>
    <t>DMRKU.xlsx</t>
  </si>
  <si>
    <t>MRKV</t>
  </si>
  <si>
    <t>DMRKV.xlsx</t>
  </si>
  <si>
    <t>MSNG</t>
  </si>
  <si>
    <t>DMSNG.xlsx</t>
  </si>
  <si>
    <t>MSRS</t>
  </si>
  <si>
    <t>DMSRS.xlsx</t>
  </si>
  <si>
    <t>OGKB</t>
  </si>
  <si>
    <t>DOGKB.xlsx</t>
  </si>
  <si>
    <t>TGKA</t>
  </si>
  <si>
    <t>DTGKA.xlsx</t>
  </si>
  <si>
    <t>UPRO</t>
  </si>
  <si>
    <t>DUPRO.xlsx</t>
  </si>
  <si>
    <t>ALRS</t>
  </si>
  <si>
    <t>Добыча прочих полезных ископаемых</t>
  </si>
  <si>
    <t>DALRS.xlsx</t>
  </si>
  <si>
    <t>CHMF</t>
  </si>
  <si>
    <t>Черная металлургия</t>
  </si>
  <si>
    <t>DCHMF.xlsx</t>
  </si>
  <si>
    <t>MAGN</t>
  </si>
  <si>
    <t>DMAGN.xlsx</t>
  </si>
  <si>
    <t>MTLR</t>
  </si>
  <si>
    <t>DMTLR.xlsx</t>
  </si>
  <si>
    <t>NLMK</t>
  </si>
  <si>
    <t>DNLMK.xlsx</t>
  </si>
  <si>
    <t>3 месяца (III кв.)</t>
  </si>
  <si>
    <t>PLZL</t>
  </si>
  <si>
    <t>Добыча драгоценных металлов</t>
  </si>
  <si>
    <t>DPLZL.xlsx</t>
  </si>
  <si>
    <t>RASP</t>
  </si>
  <si>
    <t>Добыча угля</t>
  </si>
  <si>
    <t>DRASP.xlsx</t>
  </si>
  <si>
    <t>RUAL</t>
  </si>
  <si>
    <t>Цветная металлургия</t>
  </si>
  <si>
    <t>DRUAL.xlsx</t>
  </si>
  <si>
    <t>SELG</t>
  </si>
  <si>
    <t>DSELG.xlsx</t>
  </si>
  <si>
    <t>TRMK</t>
  </si>
  <si>
    <t>DTRMK.xlsx</t>
  </si>
  <si>
    <t>AQUA</t>
  </si>
  <si>
    <t>Производство продуктов и напитков</t>
  </si>
  <si>
    <t>DAQUA.xlsx</t>
  </si>
  <si>
    <t>BELU</t>
  </si>
  <si>
    <t>DBELU.xlsx</t>
  </si>
  <si>
    <t>EUTR</t>
  </si>
  <si>
    <t>Специализированная розничная торговля</t>
  </si>
  <si>
    <t>DEUTR.xlsx</t>
  </si>
  <si>
    <t>HNFG</t>
  </si>
  <si>
    <t>Холдинги</t>
  </si>
  <si>
    <t>DHNFG.xlsx</t>
  </si>
  <si>
    <t>MGNT</t>
  </si>
  <si>
    <t>FMCG ретейл</t>
  </si>
  <si>
    <t>DMGNT.xlsx</t>
  </si>
  <si>
    <t>OZPH</t>
  </si>
  <si>
    <t>Производство лекарств и биотехнологии</t>
  </si>
  <si>
    <t>DOZPH.xlsx</t>
  </si>
  <si>
    <t>SVAV</t>
  </si>
  <si>
    <t>Производство автотранспорта</t>
  </si>
  <si>
    <t>DSVAV.xlsx</t>
  </si>
  <si>
    <t>VSEH</t>
  </si>
  <si>
    <t>DVSEH.xlsx</t>
  </si>
  <si>
    <t>WUSH</t>
  </si>
  <si>
    <t>DWUSH.xlsx</t>
  </si>
  <si>
    <t>X5</t>
  </si>
  <si>
    <t>DX5.xlsx</t>
  </si>
  <si>
    <t>ASTR</t>
  </si>
  <si>
    <t>ИТ сервисы и программное обеспечение</t>
  </si>
  <si>
    <t>DASTR.xlsx</t>
  </si>
  <si>
    <t>BAZA</t>
  </si>
  <si>
    <t>DBAZA.xlsx</t>
  </si>
  <si>
    <t>CNRU</t>
  </si>
  <si>
    <t>DCNRU.xlsx</t>
  </si>
  <si>
    <t>DATA</t>
  </si>
  <si>
    <t>DDATA.xlsx</t>
  </si>
  <si>
    <t>HEAD</t>
  </si>
  <si>
    <t>DHEAD.xlsx</t>
  </si>
  <si>
    <t>OZON</t>
  </si>
  <si>
    <t>Онлайн-ретейл</t>
  </si>
  <si>
    <t>DOZON.xlsx</t>
  </si>
  <si>
    <t>POSI</t>
  </si>
  <si>
    <t>POSI.xlsx</t>
  </si>
  <si>
    <t>3 месяца (IV кв.)</t>
  </si>
  <si>
    <t>YDEX</t>
  </si>
  <si>
    <t>DYDEX.xlsx</t>
  </si>
  <si>
    <t>MTSS</t>
  </si>
  <si>
    <t>Связь и телекоммуникация</t>
  </si>
  <si>
    <t>DMTSS.xlsx</t>
  </si>
  <si>
    <t>RTKM</t>
  </si>
  <si>
    <t>DRTKM.xlsx</t>
  </si>
  <si>
    <t>AFLT</t>
  </si>
  <si>
    <t>Воздушный транспорт</t>
  </si>
  <si>
    <t>DAFLT.xlsx</t>
  </si>
  <si>
    <t>FLOT</t>
  </si>
  <si>
    <t>Водный транспорт</t>
  </si>
  <si>
    <t>DFLOT.xlsx</t>
  </si>
  <si>
    <t>NKHP</t>
  </si>
  <si>
    <t>АПК и сельское хозяйство</t>
  </si>
  <si>
    <t>DNKHP.xlsx</t>
  </si>
  <si>
    <t>NMTP</t>
  </si>
  <si>
    <t>Вспомогательная транспортная деятельность</t>
  </si>
  <si>
    <t>DNMTP.xlsx</t>
  </si>
  <si>
    <t>LSRG</t>
  </si>
  <si>
    <t>Строительство зданий</t>
  </si>
  <si>
    <t>DLSRG.xlsx</t>
  </si>
  <si>
    <t>PIKK</t>
  </si>
  <si>
    <t>DPIKK.xlsx</t>
  </si>
  <si>
    <t>SMLT</t>
  </si>
  <si>
    <t>DSMLT.xlsx</t>
  </si>
  <si>
    <t>Год</t>
  </si>
  <si>
    <t>RNFT</t>
  </si>
  <si>
    <t>GMKN</t>
  </si>
  <si>
    <t>APTK</t>
  </si>
  <si>
    <t>FIXR</t>
  </si>
  <si>
    <t>LENT</t>
  </si>
  <si>
    <t>PRMD</t>
  </si>
  <si>
    <t>RAGR</t>
  </si>
  <si>
    <t>SOFL</t>
  </si>
  <si>
    <t>VKCO</t>
  </si>
  <si>
    <t>FESH</t>
  </si>
  <si>
    <t>ETLN</t>
  </si>
  <si>
    <t>payout</t>
  </si>
  <si>
    <t>payout_ratio</t>
  </si>
  <si>
    <t>inc</t>
  </si>
  <si>
    <t>inc_ratio</t>
  </si>
  <si>
    <t>dec</t>
  </si>
  <si>
    <t>dec_ratio</t>
  </si>
  <si>
    <t>Size</t>
  </si>
  <si>
    <t>Tangibility</t>
  </si>
  <si>
    <t>Sales_growth</t>
  </si>
  <si>
    <t>REBE</t>
  </si>
  <si>
    <t>ROA</t>
  </si>
  <si>
    <t>Psize</t>
  </si>
  <si>
    <t>PTangibility</t>
  </si>
  <si>
    <t>PSales_growth</t>
  </si>
  <si>
    <t>PREBE</t>
  </si>
  <si>
    <t>PROA</t>
  </si>
  <si>
    <t>abs</t>
  </si>
  <si>
    <t>sum</t>
  </si>
  <si>
    <t>peer_sum</t>
  </si>
  <si>
    <t>pabs</t>
  </si>
  <si>
    <t/>
  </si>
  <si>
    <t>year</t>
  </si>
  <si>
    <t>industry</t>
  </si>
  <si>
    <t>company</t>
  </si>
  <si>
    <t>Leverage</t>
  </si>
  <si>
    <t>PLeverage</t>
  </si>
  <si>
    <t>Leverage1</t>
  </si>
  <si>
    <t>PLeverage1</t>
  </si>
  <si>
    <t>ПРОВЕРКА REBE</t>
  </si>
  <si>
    <t>LKOH IV кв. 2010</t>
  </si>
  <si>
    <t>NVTK IV кв. 2010</t>
  </si>
  <si>
    <t>RNFT IV кв. 2025</t>
  </si>
  <si>
    <t>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</si>
</sst>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10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Calibri (Body)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EB4B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vertical="center" wrapText="1"/>
    </xf>
    <xf numFmtId="14" fontId="0" fillId="0" borderId="0" xfId="0" applyNumberFormat="1"/>
    <xf numFmtId="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0" fontId="4" fillId="0" borderId="0" xfId="0" applyFont="1"/>
    <xf numFmtId="0" fontId="7" fillId="3" borderId="0" xfId="0" applyFont="1" applyFill="1" applyAlignment="1">
      <alignment horizontal="center"/>
    </xf>
    <xf numFmtId="0" fontId="7" fillId="4" borderId="0" xfId="0" applyFont="1" applyFill="1"/>
    <xf numFmtId="0" fontId="8" fillId="0" borderId="0" xfId="0" applyFont="1"/>
    <xf numFmtId="0" fontId="7" fillId="3" borderId="0" xfId="0" applyFont="1" applyFill="1"/>
    <xf numFmtId="0" fontId="8" fillId="3" borderId="0" xfId="0" applyFont="1" applyFill="1"/>
    <xf numFmtId="0" fontId="1" fillId="0" borderId="0" xfId="0" applyFont="1" applyAlignment="1">
      <alignment horizontal="center" vertical="top"/>
    </xf>
    <xf numFmtId="0" fontId="0" fillId="5" borderId="0" xfId="0" applyFill="1"/>
    <xf numFmtId="43" fontId="0" fillId="0" borderId="0" xfId="1" applyFont="1"/>
    <xf numFmtId="0" fontId="0" fillId="6" borderId="0" xfId="0" applyFill="1"/>
    <xf numFmtId="2" fontId="0" fillId="6" borderId="0" xfId="0" applyNumberFormat="1" applyFill="1"/>
    <xf numFmtId="0" fontId="1" fillId="6" borderId="1" xfId="0" applyFont="1" applyFill="1" applyBorder="1" applyAlignment="1">
      <alignment horizontal="center" vertical="top"/>
    </xf>
    <xf numFmtId="0" fontId="0" fillId="7" borderId="0" xfId="0" applyFill="1"/>
    <xf numFmtId="2" fontId="0" fillId="7" borderId="0" xfId="0" applyNumberFormat="1" applyFill="1"/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2" fontId="0" fillId="8" borderId="0" xfId="0" applyNumberForma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EB4B3"/>
      <color rgb="FFFF8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Овчинникова Дарья Антоновна" id="{1AB15905-9976-0840-BF2C-D1C949E0E99D}" userId="S::ovda22a@econ.msu.ru::f9a27f6e-96aa-455d-9773-22c8421b5c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25T20:19:54.58" personId="{1AB15905-9976-0840-BF2C-D1C949E0E99D}" id="{D90EF467-021B-E641-ADE8-83C20E18DA3B}">
    <text>все компании</text>
  </threadedComment>
  <threadedComment ref="L1" dT="2026-03-20T21:40:20.91" personId="{1AB15905-9976-0840-BF2C-D1C949E0E99D}" id="{A221E90B-8281-9647-BEE8-984437933D38}">
    <text>нужно дописать иначе тут съедаются наблюдения</text>
  </threadedComment>
  <threadedComment ref="V1" dT="2026-03-20T22:07:06.26" personId="{1AB15905-9976-0840-BF2C-D1C949E0E99D}" id="{EE6A2C88-EACB-564B-8DAA-8A6E629D2C3C}">
    <text>проверить формулу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25T20:19:54.58" personId="{1AB15905-9976-0840-BF2C-D1C949E0E99D}" id="{093845BC-A884-574B-A2A8-3455A136676E}">
    <text>отсортированные компании</text>
  </threadedComment>
  <threadedComment ref="L1" dT="2026-03-20T21:40:20.91" personId="{1AB15905-9976-0840-BF2C-D1C949E0E99D}" id="{03497D2B-FAA4-5D4A-8F14-7352AC628D04}">
    <text>нужно дописать иначе тут съедаются наблюдения</text>
  </threadedComment>
  <threadedComment ref="V1" dT="2026-03-20T22:07:06.26" personId="{1AB15905-9976-0840-BF2C-D1C949E0E99D}" id="{65CDAC38-AEA4-4542-B5A6-1D445044F580}">
    <text>проверить формулу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3-25T20:19:54.58" personId="{1AB15905-9976-0840-BF2C-D1C949E0E99D}" id="{B6A788E6-074F-AD49-9548-962AEF29EA2D}">
    <text>все компании</text>
  </threadedComment>
  <threadedComment ref="L1" dT="2026-03-20T21:40:20.91" personId="{1AB15905-9976-0840-BF2C-D1C949E0E99D}" id="{49D172E6-B9E3-EA4A-8B9F-3DC6C4075349}">
    <text>нужно дописать иначе тут съедаются наблюдения</text>
  </threadedComment>
  <threadedComment ref="V1" dT="2026-03-20T22:07:06.26" personId="{1AB15905-9976-0840-BF2C-D1C949E0E99D}" id="{8C721B03-16A5-D347-AFE7-E8272813319B}">
    <text>проверить формулу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3-25T20:19:54.58" personId="{1AB15905-9976-0840-BF2C-D1C949E0E99D}" id="{6D1E10CB-4D3C-8442-8E61-BDF5C00161AF}">
    <text>все компании</text>
  </threadedComment>
  <threadedComment ref="L1" dT="2026-03-20T21:40:20.91" personId="{1AB15905-9976-0840-BF2C-D1C949E0E99D}" id="{158F72BA-BDD8-2042-AFC0-5E1D8BE30D66}">
    <text>нужно дописать иначе тут съедаются наблюдения</text>
  </threadedComment>
  <threadedComment ref="X1" dT="2026-03-20T22:07:06.26" personId="{1AB15905-9976-0840-BF2C-D1C949E0E99D}" id="{62C00039-2F58-CE47-AF26-6FFC45B7A192}">
    <text>проверить формулу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623" dT="2026-03-30T21:33:07.56" personId="{1AB15905-9976-0840-BF2C-D1C949E0E99D}" id="{222F1B7C-05D1-D94A-9E72-D68A22AF9202}">
    <text>уже прееведено в рубли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24A9-7F36-6C40-BC6D-D1A7F2338C22}">
  <dimension ref="A1:AA1073"/>
  <sheetViews>
    <sheetView zoomScale="75" workbookViewId="0">
      <selection activeCell="AB7" sqref="AB7"/>
    </sheetView>
  </sheetViews>
  <sheetFormatPr baseColWidth="10" defaultRowHeight="16" x14ac:dyDescent="0.2"/>
  <cols>
    <col min="2" max="2" width="15.1640625" customWidth="1"/>
    <col min="5" max="5" width="12.6640625" customWidth="1"/>
    <col min="24" max="24" width="12.33203125" customWidth="1"/>
  </cols>
  <sheetData>
    <row r="1" spans="1:27" x14ac:dyDescent="0.2">
      <c r="A1" s="1" t="s">
        <v>2348</v>
      </c>
      <c r="B1" s="1" t="s">
        <v>0</v>
      </c>
      <c r="C1" s="1" t="s">
        <v>2346</v>
      </c>
      <c r="D1" s="1" t="s">
        <v>2165</v>
      </c>
      <c r="E1" s="14" t="s">
        <v>2347</v>
      </c>
      <c r="F1" s="13" t="s">
        <v>2342</v>
      </c>
      <c r="G1" s="13" t="s">
        <v>2343</v>
      </c>
      <c r="H1" s="9" t="s">
        <v>2325</v>
      </c>
      <c r="I1" s="9" t="s">
        <v>2326</v>
      </c>
      <c r="J1" s="12" t="s">
        <v>2341</v>
      </c>
      <c r="K1" s="12" t="s">
        <v>2344</v>
      </c>
      <c r="L1" s="9" t="s">
        <v>2327</v>
      </c>
      <c r="M1" s="9" t="s">
        <v>2328</v>
      </c>
      <c r="N1" s="9" t="s">
        <v>2329</v>
      </c>
      <c r="O1" s="9" t="s">
        <v>2330</v>
      </c>
      <c r="P1" s="10" t="s">
        <v>2331</v>
      </c>
      <c r="Q1" s="10" t="s">
        <v>2332</v>
      </c>
      <c r="R1" s="10" t="s">
        <v>2333</v>
      </c>
      <c r="S1" s="10" t="s">
        <v>2334</v>
      </c>
      <c r="T1" s="10" t="s">
        <v>2335</v>
      </c>
      <c r="U1" s="10" t="s">
        <v>2349</v>
      </c>
      <c r="V1" s="11" t="s">
        <v>2336</v>
      </c>
      <c r="W1" s="11" t="s">
        <v>2337</v>
      </c>
      <c r="X1" s="11" t="s">
        <v>2338</v>
      </c>
      <c r="Y1" s="11" t="s">
        <v>2339</v>
      </c>
      <c r="Z1" s="11" t="s">
        <v>2340</v>
      </c>
      <c r="AA1" s="11" t="s">
        <v>2350</v>
      </c>
    </row>
    <row r="2" spans="1:27" x14ac:dyDescent="0.2">
      <c r="A2" s="7" t="s">
        <v>2173</v>
      </c>
      <c r="B2" t="str">
        <f>A2&amp;" "&amp;
"IV"
&amp;" кв. "&amp;C2</f>
        <v>GAZP IV кв. 2025</v>
      </c>
      <c r="C2">
        <v>2025</v>
      </c>
      <c r="D2">
        <f>SUMIFS(Дивиденды!$C:$C,Дивиденды!$A:$A,A2,Дивиденды!$I:$I,C2)</f>
        <v>0</v>
      </c>
      <c r="E2">
        <v>1</v>
      </c>
      <c r="F2">
        <f>D2</f>
        <v>0</v>
      </c>
      <c r="G2">
        <f>AVERAGEIFS($D:$D,$E:$E,E2,$C:$C,C2,$A:$A,"&lt;&gt;"&amp;A2)</f>
        <v>77.756666666666675</v>
      </c>
      <c r="H2">
        <f>IF(D2&gt;0,1,0)</f>
        <v>0</v>
      </c>
      <c r="I2">
        <f>IFERROR((COUNTIFS($E:$E,E2,$C:$C,C2,$H:$H,1)-H2)/(COUNTIFS($E:$E,E2,$C:$C,C2)-1),0)</f>
        <v>0.66666666666666663</v>
      </c>
      <c r="J2">
        <f>IF(A3&lt;&gt;A2,"",IF(D2=D3,0,IF(AND(D3=0,D2&lt;&gt;0), 1,(D2-D3)/D3)))</f>
        <v>0</v>
      </c>
      <c r="K2">
        <f>IFERROR(AVERAGEIFS($J:$J,$E:$E,E2,$C:$C,C2,$A:$A,"&lt;&gt;"&amp;A2),"")</f>
        <v>-0.62296624997812966</v>
      </c>
      <c r="L2">
        <f>IF(J2&lt;&gt;"",IF(J2&gt;0,1,0),"")</f>
        <v>0</v>
      </c>
      <c r="M2">
        <f>IFERROR(AVERAGEIFS($L:$L,$E:$E,E2,$C:$C,C2,$A:$A,"&lt;&gt;"&amp;A2),"")</f>
        <v>0</v>
      </c>
      <c r="N2">
        <f>IF(J2&lt;&gt;"",IF(J2&lt;0,1,0),"")</f>
        <v>0</v>
      </c>
      <c r="O2">
        <f>IFERROR(AVERAGEIFS($N:$N,$E:$E,E2,$C:$C,C2,$A:$A,"&lt;&gt;"&amp;A2),"")</f>
        <v>0.83333333333333337</v>
      </c>
      <c r="P2" t="str">
        <f>IFERROR(LN('Дивиденды по годам'!I2),"")</f>
        <v/>
      </c>
      <c r="Q2" t="str">
        <f>IFERROR('Дивиденды по годам'!G2/'Дивиденды по годам'!I2, "")</f>
        <v/>
      </c>
      <c r="R2" t="str">
        <f>IFERROR(IF(AND('Дивиденды по годам'!N2&lt;&gt;"",'Дивиденды по годам'!U2&lt;&gt;"",'Дивиденды по годам'!U2&lt;&gt;0),'Дивиденды по годам'!N2/'Дивиденды по годам'!U2-1,""),"")</f>
        <v/>
      </c>
      <c r="S2" t="str">
        <f>IFERROR(IF(AND('Дивиденды по годам'!L2&lt;&gt;"",'Дивиденды по годам'!I2&lt;&gt;"",'Дивиденды по годам'!J2&lt;&gt;"",'Дивиденды по годам'!K2&lt;&gt;"",('Дивиденды по годам'!I2-'Дивиденды по годам'!J2-'Дивиденды по годам'!K2)&lt;&gt;0),'Дивиденды по годам'!L2/('Дивиденды по годам'!I2-'Дивиденды по годам'!J2-'Дивиденды по годам'!K2),""),"")</f>
        <v/>
      </c>
      <c r="T2" t="str">
        <f>IFERROR(IF(AND('Дивиденды по годам'!Q2&lt;&gt;"",'Дивиденды по годам'!I2&lt;&gt;"",'Дивиденды по годам'!V2&lt;&gt;"",('Дивиденды по годам'!I2+'Дивиденды по годам'!V2)&lt;&gt;0),'Дивиденды по годам'!Q2/(('Дивиденды по годам'!I2+'Дивиденды по годам'!V2)/2),""),"")</f>
        <v/>
      </c>
      <c r="U2" t="str">
        <f>IFERROR(IF(AND('Дивиденды по годам'!J2&lt;&gt;"",'Дивиденды по годам'!K2&lt;&gt;"",'Дивиденды по годам'!M2&lt;&gt;"",'Дивиденды по годам'!M2&lt;&gt;0),('Дивиденды по годам'!J2+'Дивиденды по годам'!K2)/'Дивиденды по годам'!M2,""),"")</f>
        <v/>
      </c>
      <c r="V2" cm="1">
        <f t="array" ref="V2">IFERROR(AVERAGE(_xlfn._xlws.FILTER(P$2:P$1073,($C$2:$C$1073=$C2)*($E$2:$E$1073=$E2)*(ROW(P$2:P$1073)&lt;&gt;ROW(P2))*(P$2:P$1073&lt;&gt;""))),"")</f>
        <v>28.307188246358621</v>
      </c>
      <c r="W2" cm="1">
        <f t="array" ref="W2">IFERROR(AVERAGE(_xlfn._xlws.FILTER(Q$2:Q$1073,($C$2:$C$1073=$C2)*($E$2:$E$1073=$E2)*(ROW(Q$2:Q$1073)&lt;&gt;ROW(Q2))*(Q$2:Q$1073&lt;&gt;""))),"")</f>
        <v>0.53419343836509714</v>
      </c>
      <c r="X2" cm="1">
        <f t="array" ref="X2">IFERROR(AVERAGE(_xlfn._xlws.FILTER(R$2:R$1073,($C$2:$C$1073=$C2)*($E$2:$E$1073=$E2)*(ROW(R$2:R$1073)&lt;&gt;ROW(R2))*(R$2:R$1073&lt;&gt;""))),"")</f>
        <v>-0.25128971877251305</v>
      </c>
      <c r="Y2" cm="1">
        <f t="array" ref="Y2">IFERROR(AVERAGE(_xlfn._xlws.FILTER(S$2:S$1073,($C$2:$C$1073=$C2)*($E$2:$E$1073=$E2)*(ROW(S$2:S$1073)&lt;&gt;ROW(S2))*(S$2:S$1073&lt;&gt;""))),"")</f>
        <v>0.7103915367710556</v>
      </c>
      <c r="Z2" cm="1">
        <f t="array" ref="Z2">IFERROR(AVERAGE(_xlfn._xlws.FILTER(T$2:T$1073,($C$2:$C$1073=$C2)*($E$2:$E$1073=$E2)*(ROW(T$2:T$1073)&lt;&gt;ROW(T2))*(T$2:T$1073&lt;&gt;""))),"")</f>
        <v>1.109913570195168E-2</v>
      </c>
      <c r="AA2" cm="1">
        <f t="array" ref="AA2">IFERROR(AVERAGE(_xlfn._xlws.FILTER(U$2:U$1073,($C$2:$C$1073=$C2)*($E$2:$E$1073=$E2)*(ROW(U$2:U$1073)&lt;&gt;ROW(U2))*(U$2:U$1073&lt;&gt;""))),"")</f>
        <v>0.71283761221882813</v>
      </c>
    </row>
    <row r="3" spans="1:27" x14ac:dyDescent="0.2">
      <c r="A3" s="7" t="s">
        <v>2173</v>
      </c>
      <c r="B3" t="str">
        <f t="shared" ref="B3:B66" si="0">A3&amp;" "&amp;
"IV"
&amp;" кв. "&amp;C3</f>
        <v>GAZP IV кв. 2024</v>
      </c>
      <c r="C3">
        <v>2024</v>
      </c>
      <c r="D3">
        <f>SUMIFS(Дивиденды!$C:$C,Дивиденды!$A:$A,A3,Дивиденды!$I:$I,C3)</f>
        <v>0</v>
      </c>
      <c r="E3">
        <v>1</v>
      </c>
      <c r="F3">
        <f t="shared" ref="F3:F66" si="1">D3</f>
        <v>0</v>
      </c>
      <c r="G3">
        <f t="shared" ref="G3:G66" si="2">AVERAGEIFS($D:$D,$E:$E,E3,$C:$C,C3,$A:$A,"&lt;&gt;"&amp;A3)</f>
        <v>214.65000000000006</v>
      </c>
      <c r="H3">
        <f t="shared" ref="H3:H66" si="3">IF(D3&gt;0,1,0)</f>
        <v>0</v>
      </c>
      <c r="I3">
        <f t="shared" ref="I3:I46" si="4">IFERROR((COUNTIFS($E:$E,E3,$C:$C,C3,$H:$H,1)-H3)/(COUNTIFS($E:$E,E3,$C:$C,C3)-1),0)</f>
        <v>0.83333333333333337</v>
      </c>
      <c r="J3">
        <f t="shared" ref="J3:J66" si="5">IF(A4&lt;&gt;A3,"",IF(D3=D4,0,IF(AND(D4=0,D3&lt;&gt;0), 1,(D3-D4)/D4)))</f>
        <v>0</v>
      </c>
      <c r="K3">
        <f>IFERROR(AVERAGEIFS($J:$J,$E:$E,E3,$C:$C,C3,$A:$A,"&lt;&gt;"&amp;A3),"")</f>
        <v>3.3213967737444179E-2</v>
      </c>
      <c r="L3">
        <f t="shared" ref="L3:L66" si="6">IF(J3&lt;&gt;"",IF(J3&gt;0,1,0),"")</f>
        <v>0</v>
      </c>
      <c r="M3">
        <f t="shared" ref="M3:M31" si="7">IFERROR(AVERAGEIFS($L:$L,$E:$E,E3,$C:$C,C3,$A:$A,"&lt;&gt;"&amp;A3),"")</f>
        <v>0.66666666666666663</v>
      </c>
      <c r="N3">
        <f t="shared" ref="N3:N66" si="8">IF(J3&lt;&gt;"",IF(J3&lt;0,1,0),"")</f>
        <v>0</v>
      </c>
      <c r="O3">
        <f t="shared" ref="O3:O66" si="9">IFERROR(AVERAGEIFS($N:$N,$E:$E,E3,$C:$C,C3,$A:$A,"&lt;&gt;"&amp;A3),"")</f>
        <v>0.16666666666666666</v>
      </c>
      <c r="P3">
        <f>IFERROR(LN('Дивиденды по годам'!I3),"")</f>
        <v>31.055226928515346</v>
      </c>
      <c r="Q3">
        <f>IFERROR('Дивиденды по годам'!G3/'Дивиденды по годам'!I3, "")</f>
        <v>0.67690981132315176</v>
      </c>
      <c r="R3">
        <f>IFERROR(IF(AND('Дивиденды по годам'!N3&lt;&gt;"",'Дивиденды по годам'!U3&lt;&gt;"",'Дивиденды по годам'!U3&lt;&gt;0),'Дивиденды по годам'!N3/'Дивиденды по годам'!U3-1,""),"")</f>
        <v>0.25438003947169086</v>
      </c>
      <c r="S3">
        <f>IFERROR(IF(AND('Дивиденды по годам'!L3&lt;&gt;"",'Дивиденды по годам'!I3&lt;&gt;"",'Дивиденды по годам'!J3&lt;&gt;"",'Дивиденды по годам'!K3&lt;&gt;"",('Дивиденды по годам'!I3-'Дивиденды по годам'!J3-'Дивиденды по годам'!K3)&lt;&gt;0),'Дивиденды по годам'!L3/('Дивиденды по годам'!I3-'Дивиденды по годам'!J3-'Дивиденды по годам'!K3),""),"")</f>
        <v>0.88491057282157115</v>
      </c>
      <c r="T3">
        <f>IFERROR(IF(AND('Дивиденды по годам'!Q3&lt;&gt;"",'Дивиденды по годам'!I3&lt;&gt;"",'Дивиденды по годам'!V3&lt;&gt;"",('Дивиденды по годам'!I3+'Дивиденды по годам'!V3)&lt;&gt;0),'Дивиденды по годам'!Q3/(('Дивиденды по годам'!I3+'Дивиденды по годам'!V3)/2),""),"")</f>
        <v>4.4392039770145435E-2</v>
      </c>
      <c r="U3">
        <f>IFERROR(IF(AND('Дивиденды по годам'!J3&lt;&gt;"",'Дивиденды по годам'!K3&lt;&gt;"",'Дивиденды по годам'!M3&lt;&gt;"",'Дивиденды по годам'!M3&lt;&gt;0),('Дивиденды по годам'!J3+'Дивиденды по годам'!K3)/'Дивиденды по годам'!M3,""),"")</f>
        <v>0.73819834955762886</v>
      </c>
      <c r="V3" cm="1">
        <f t="array" ref="V3">IFERROR(AVERAGE(_xlfn._xlws.FILTER(P$2:P$1073,($C$2:$C$1073=$C3)*($E$2:$E$1073=$E3)*(ROW(P$2:P$1073)&lt;&gt;ROW(P3))*(P$2:P$1073&lt;&gt;""))),"")</f>
        <v>28.895709928348975</v>
      </c>
      <c r="W3" cm="1">
        <f t="array" ref="W3">IFERROR(AVERAGE(_xlfn._xlws.FILTER(Q$2:Q$1073,($C$2:$C$1073=$C3)*($E$2:$E$1073=$E3)*(ROW(Q$2:Q$1073)&lt;&gt;ROW(Q3))*(Q$2:Q$1073&lt;&gt;""))),"")</f>
        <v>0.51199197765638005</v>
      </c>
      <c r="X3" cm="1">
        <f t="array" ref="X3">IFERROR(AVERAGE(_xlfn._xlws.FILTER(R$2:R$1073,($C$2:$C$1073=$C3)*($E$2:$E$1073=$E3)*(ROW(R$2:R$1073)&lt;&gt;ROW(R3))*(R$2:R$1073&lt;&gt;""))),"")</f>
        <v>0.17118061223249206</v>
      </c>
      <c r="Y3" cm="1">
        <f t="array" ref="Y3">IFERROR(AVERAGE(_xlfn._xlws.FILTER(S$2:S$1073,($C$2:$C$1073=$C3)*($E$2:$E$1073=$E3)*(ROW(S$2:S$1073)&lt;&gt;ROW(S3))*(S$2:S$1073&lt;&gt;""))),"")</f>
        <v>0.79852548005677737</v>
      </c>
      <c r="Z3" cm="1">
        <f t="array" ref="Z3">IFERROR(AVERAGE(_xlfn._xlws.FILTER(T$2:T$1073,($C$2:$C$1073=$C3)*($E$2:$E$1073=$E3)*(ROW(T$2:T$1073)&lt;&gt;ROW(T3))*(T$2:T$1073&lt;&gt;""))),"")</f>
        <v>0.12177692337500727</v>
      </c>
      <c r="AA3" cm="1">
        <f t="array" ref="AA3">IFERROR(AVERAGE(_xlfn._xlws.FILTER(U$2:U$1073,($C$2:$C$1073=$C3)*($E$2:$E$1073=$E3)*(ROW(U$2:U$1073)&lt;&gt;ROW(U3))*(U$2:U$1073&lt;&gt;""))),"")</f>
        <v>0.85190113249297905</v>
      </c>
    </row>
    <row r="4" spans="1:27" x14ac:dyDescent="0.2">
      <c r="A4" s="7" t="s">
        <v>2173</v>
      </c>
      <c r="B4" t="str">
        <f t="shared" si="0"/>
        <v>GAZP IV кв. 2023</v>
      </c>
      <c r="C4">
        <v>2023</v>
      </c>
      <c r="D4">
        <f>SUMIFS(Дивиденды!$C:$C,Дивиденды!$A:$A,A4,Дивиденды!$I:$I,C4)</f>
        <v>0</v>
      </c>
      <c r="E4">
        <v>1</v>
      </c>
      <c r="F4">
        <f t="shared" si="1"/>
        <v>0</v>
      </c>
      <c r="G4">
        <f t="shared" si="2"/>
        <v>195.35</v>
      </c>
      <c r="H4">
        <f t="shared" si="3"/>
        <v>0</v>
      </c>
      <c r="I4">
        <f t="shared" si="4"/>
        <v>0.83333333333333337</v>
      </c>
      <c r="J4">
        <f t="shared" si="5"/>
        <v>-1</v>
      </c>
      <c r="K4">
        <f t="shared" ref="K4:K67" si="10">IFERROR(AVERAGEIFS($J:$J,$E:$E,E4,$C:$C,C4,$A:$A,"&lt;&gt;"&amp;A4),"")</f>
        <v>7.3185050172315427E-2</v>
      </c>
      <c r="L4">
        <f t="shared" si="6"/>
        <v>0</v>
      </c>
      <c r="M4">
        <f t="shared" si="7"/>
        <v>0.5</v>
      </c>
      <c r="N4">
        <f t="shared" si="8"/>
        <v>1</v>
      </c>
      <c r="O4">
        <f t="shared" si="9"/>
        <v>0.33333333333333331</v>
      </c>
      <c r="P4">
        <f>IFERROR(LN('Дивиденды по годам'!I4),"")</f>
        <v>30.98839714838881</v>
      </c>
      <c r="Q4">
        <f>IFERROR('Дивиденды по годам'!G4/'Дивиденды по годам'!I4, "")</f>
        <v>0.64206898381917954</v>
      </c>
      <c r="R4">
        <f>IFERROR(IF(AND('Дивиденды по годам'!N4&lt;&gt;"",'Дивиденды по годам'!U4&lt;&gt;"",'Дивиденды по годам'!U4&lt;&gt;0),'Дивиденды по годам'!N4/'Дивиденды по годам'!U4-1,""),"")</f>
        <v>-0.26830096068597176</v>
      </c>
      <c r="S4">
        <f>IFERROR(IF(AND('Дивиденды по годам'!L4&lt;&gt;"",'Дивиденды по годам'!I4&lt;&gt;"",'Дивиденды по годам'!J4&lt;&gt;"",'Дивиденды по годам'!K4&lt;&gt;"",('Дивиденды по годам'!I4-'Дивиденды по годам'!J4-'Дивиденды по годам'!K4)&lt;&gt;0),'Дивиденды по годам'!L4/('Дивиденды по годам'!I4-'Дивиденды по годам'!J4-'Дивиденды по годам'!K4),""),"")</f>
        <v>0.88690206369599567</v>
      </c>
      <c r="T4">
        <f>IFERROR(IF(AND('Дивиденды по годам'!Q4&lt;&gt;"",'Дивиденды по годам'!I4&lt;&gt;"",'Дивиденды по годам'!V4&lt;&gt;"",('Дивиденды по годам'!I4+'Дивиденды по годам'!V4)&lt;&gt;0),'Дивиденды по годам'!Q4/(('Дивиденды по годам'!I4+'Дивиденды по годам'!V4)/2),""),"")</f>
        <v>-2.1263586385471302E-2</v>
      </c>
      <c r="U4">
        <f>IFERROR(IF(AND('Дивиденды по годам'!J4&lt;&gt;"",'Дивиденды по годам'!K4&lt;&gt;"",'Дивиденды по годам'!M4&lt;&gt;"",'Дивиденды по годам'!M4&lt;&gt;0),('Дивиденды по годам'!J4+'Дивиденды по годам'!K4)/'Дивиденды по годам'!M4,""),"")</f>
        <v>0.74522865953908879</v>
      </c>
      <c r="V4" cm="1">
        <f t="array" ref="V4">IFERROR(AVERAGE(_xlfn._xlws.FILTER(P$2:P$1073,($C$2:$C$1073=$C4)*($E$2:$E$1073=$E4)*(ROW(P$2:P$1073)&lt;&gt;ROW(P4))*(P$2:P$1073&lt;&gt;""))),"")</f>
        <v>28.950488017637543</v>
      </c>
      <c r="W4" cm="1">
        <f t="array" ref="W4">IFERROR(AVERAGE(_xlfn._xlws.FILTER(Q$2:Q$1073,($C$2:$C$1073=$C4)*($E$2:$E$1073=$E4)*(ROW(Q$2:Q$1073)&lt;&gt;ROW(Q4))*(Q$2:Q$1073&lt;&gt;""))),"")</f>
        <v>0.47348976337207827</v>
      </c>
      <c r="X4" cm="1">
        <f t="array" ref="X4">IFERROR(AVERAGE(_xlfn._xlws.FILTER(R$2:R$1073,($C$2:$C$1073=$C4)*($E$2:$E$1073=$E4)*(ROW(R$2:R$1073)&lt;&gt;ROW(R4))*(R$2:R$1073&lt;&gt;""))),"")</f>
        <v>-3.7500664934112936E-2</v>
      </c>
      <c r="Y4" cm="1">
        <f t="array" ref="Y4">IFERROR(AVERAGE(_xlfn._xlws.FILTER(S$2:S$1073,($C$2:$C$1073=$C4)*($E$2:$E$1073=$E4)*(ROW(S$2:S$1073)&lt;&gt;ROW(S4))*(S$2:S$1073&lt;&gt;""))),"")</f>
        <v>0.80302192536609884</v>
      </c>
      <c r="Z4" cm="1">
        <f t="array" ref="Z4">IFERROR(AVERAGE(_xlfn._xlws.FILTER(T$2:T$1073,($C$2:$C$1073=$C4)*($E$2:$E$1073=$E4)*(ROW(T$2:T$1073)&lt;&gt;ROW(T4))*(T$2:T$1073&lt;&gt;""))),"")</f>
        <v>0.11841774986111753</v>
      </c>
      <c r="AA4" cm="1">
        <f t="array" ref="AA4">IFERROR(AVERAGE(_xlfn._xlws.FILTER(U$2:U$1073,($C$2:$C$1073=$C4)*($E$2:$E$1073=$E4)*(ROW(U$2:U$1073)&lt;&gt;ROW(U4))*(U$2:U$1073&lt;&gt;""))),"")</f>
        <v>0.83818777875983486</v>
      </c>
    </row>
    <row r="5" spans="1:27" x14ac:dyDescent="0.2">
      <c r="A5" s="7" t="s">
        <v>2173</v>
      </c>
      <c r="B5" t="str">
        <f t="shared" si="0"/>
        <v>GAZP IV кв. 2022</v>
      </c>
      <c r="C5">
        <v>2022</v>
      </c>
      <c r="D5">
        <f>SUMIFS(Дивиденды!$C:$C,Дивиденды!$A:$A,A5,Дивиденды!$I:$I,C5)</f>
        <v>51.03</v>
      </c>
      <c r="E5">
        <v>1</v>
      </c>
      <c r="F5">
        <f t="shared" si="1"/>
        <v>51.03</v>
      </c>
      <c r="G5">
        <f t="shared" si="2"/>
        <v>240.5033333333333</v>
      </c>
      <c r="H5">
        <f t="shared" si="3"/>
        <v>1</v>
      </c>
      <c r="I5">
        <f t="shared" si="4"/>
        <v>0.83333333333333337</v>
      </c>
      <c r="J5">
        <f t="shared" si="5"/>
        <v>1</v>
      </c>
      <c r="K5">
        <f t="shared" si="10"/>
        <v>0.59952004385451818</v>
      </c>
      <c r="L5">
        <f t="shared" si="6"/>
        <v>1</v>
      </c>
      <c r="M5">
        <f t="shared" si="7"/>
        <v>0.5</v>
      </c>
      <c r="N5">
        <f t="shared" si="8"/>
        <v>0</v>
      </c>
      <c r="O5">
        <f t="shared" si="9"/>
        <v>0.16666666666666666</v>
      </c>
      <c r="P5">
        <f>IFERROR(LN('Дивиденды по годам'!I5),"")</f>
        <v>30.894064207250224</v>
      </c>
      <c r="Q5">
        <f>IFERROR('Дивиденды по годам'!G5/'Дивиденды по годам'!I5, "")</f>
        <v>0.66665801724976936</v>
      </c>
      <c r="R5">
        <f>IFERROR(IF(AND('Дивиденды по годам'!N5&lt;&gt;"",'Дивиденды по годам'!U5&lt;&gt;"",'Дивиденды по годам'!U5&lt;&gt;0),'Дивиденды по годам'!N5/'Дивиденды по годам'!U5-1,""),"")</f>
        <v>0.13988356811839209</v>
      </c>
      <c r="S5">
        <f>IFERROR(IF(AND('Дивиденды по годам'!L5&lt;&gt;"",'Дивиденды по годам'!I5&lt;&gt;"",'Дивиденды по годам'!J5&lt;&gt;"",'Дивиденды по годам'!K5&lt;&gt;"",('Дивиденды по годам'!I5-'Дивиденды по годам'!J5-'Дивиденды по годам'!K5)&lt;&gt;0),'Дивиденды по годам'!L5/('Дивиденды по годам'!I5-'Дивиденды по годам'!J5-'Дивиденды по годам'!K5),""),"")</f>
        <v>0.91974659860894958</v>
      </c>
      <c r="T5">
        <f>IFERROR(IF(AND('Дивиденды по годам'!Q5&lt;&gt;"",'Дивиденды по годам'!I5&lt;&gt;"",'Дивиденды по годам'!V5&lt;&gt;"",('Дивиденды по годам'!I5+'Дивиденды по годам'!V5)&lt;&gt;0),'Дивиденды по годам'!Q5/(('Дивиденды по годам'!I5+'Дивиденды по годам'!V5)/2),""),"")</f>
        <v>4.9332070035370552E-2</v>
      </c>
      <c r="U5">
        <f>IFERROR(IF(AND('Дивиденды по годам'!J5&lt;&gt;"",'Дивиденды по годам'!K5&lt;&gt;"",'Дивиденды по годам'!M5&lt;&gt;"",'Дивиденды по годам'!M5&lt;&gt;0),('Дивиденды по годам'!J5+'Дивиденды по годам'!K5)/'Дивиденды по годам'!M5,""),"")</f>
        <v>0.58878604291843928</v>
      </c>
      <c r="V5" cm="1">
        <f t="array" ref="V5">IFERROR(AVERAGE(_xlfn._xlws.FILTER(P$2:P$1073,($C$2:$C$1073=$C5)*($E$2:$E$1073=$E5)*(ROW(P$2:P$1073)&lt;&gt;ROW(P5))*(P$2:P$1073&lt;&gt;""))),"")</f>
        <v>28.005022673270954</v>
      </c>
      <c r="W5" cm="1">
        <f t="array" ref="W5">IFERROR(AVERAGE(_xlfn._xlws.FILTER(Q$2:Q$1073,($C$2:$C$1073=$C5)*($E$2:$E$1073=$E5)*(ROW(Q$2:Q$1073)&lt;&gt;ROW(Q5))*(Q$2:Q$1073&lt;&gt;""))),"")</f>
        <v>0.45949876398210993</v>
      </c>
      <c r="X5" cm="1">
        <f t="array" ref="X5">IFERROR(AVERAGE(_xlfn._xlws.FILTER(R$2:R$1073,($C$2:$C$1073=$C5)*($E$2:$E$1073=$E5)*(ROW(R$2:R$1073)&lt;&gt;ROW(R5))*(R$2:R$1073&lt;&gt;""))),"")</f>
        <v>0.10381140391856736</v>
      </c>
      <c r="Y5" cm="1">
        <f t="array" ref="Y5">IFERROR(AVERAGE(_xlfn._xlws.FILTER(S$2:S$1073,($C$2:$C$1073=$C5)*($E$2:$E$1073=$E5)*(ROW(S$2:S$1073)&lt;&gt;ROW(S5))*(S$2:S$1073&lt;&gt;""))),"")</f>
        <v>0.78172803973763649</v>
      </c>
      <c r="Z5" cm="1">
        <f t="array" ref="Z5">IFERROR(AVERAGE(_xlfn._xlws.FILTER(T$2:T$1073,($C$2:$C$1073=$C5)*($E$2:$E$1073=$E5)*(ROW(T$2:T$1073)&lt;&gt;ROW(T5))*(T$2:T$1073&lt;&gt;""))),"")</f>
        <v>0.12952165295973672</v>
      </c>
      <c r="AA5" cm="1">
        <f t="array" ref="AA5">IFERROR(AVERAGE(_xlfn._xlws.FILTER(U$2:U$1073,($C$2:$C$1073=$C5)*($E$2:$E$1073=$E5)*(ROW(U$2:U$1073)&lt;&gt;ROW(U5))*(U$2:U$1073&lt;&gt;""))),"")</f>
        <v>0.88374829962920176</v>
      </c>
    </row>
    <row r="6" spans="1:27" x14ac:dyDescent="0.2">
      <c r="A6" s="7" t="s">
        <v>2173</v>
      </c>
      <c r="B6" t="str">
        <f t="shared" si="0"/>
        <v>GAZP IV кв. 2021</v>
      </c>
      <c r="C6">
        <v>2021</v>
      </c>
      <c r="D6">
        <f>SUMIFS(Дивиденды!$C:$C,Дивиденды!$A:$A,A6,Дивиденды!$I:$I,C6)</f>
        <v>0</v>
      </c>
      <c r="E6">
        <v>1</v>
      </c>
      <c r="F6">
        <f t="shared" si="1"/>
        <v>0</v>
      </c>
      <c r="G6">
        <f t="shared" si="2"/>
        <v>82.756666666666675</v>
      </c>
      <c r="H6">
        <f t="shared" si="3"/>
        <v>0</v>
      </c>
      <c r="I6">
        <f t="shared" si="4"/>
        <v>0.83333333333333337</v>
      </c>
      <c r="J6">
        <f t="shared" si="5"/>
        <v>-1</v>
      </c>
      <c r="K6">
        <f t="shared" si="10"/>
        <v>1.230790893694971</v>
      </c>
      <c r="L6">
        <f t="shared" si="6"/>
        <v>0</v>
      </c>
      <c r="M6">
        <f t="shared" si="7"/>
        <v>0.83333333333333337</v>
      </c>
      <c r="N6">
        <f t="shared" si="8"/>
        <v>1</v>
      </c>
      <c r="O6">
        <f t="shared" si="9"/>
        <v>0</v>
      </c>
      <c r="P6">
        <f>IFERROR(LN('Дивиденды по годам'!I6),"")</f>
        <v>30.928605713020012</v>
      </c>
      <c r="Q6">
        <f>IFERROR('Дивиденды по годам'!G6/'Дивиденды по годам'!I6, "")</f>
        <v>0.61646120508458724</v>
      </c>
      <c r="R6">
        <f>IFERROR(IF(AND('Дивиденды по годам'!N6&lt;&gt;"",'Дивиденды по годам'!U6&lt;&gt;"",'Дивиденды по годам'!U6&lt;&gt;0),'Дивиденды по годам'!N6/'Дивиденды по годам'!U6-1,""),"")</f>
        <v>0.6200676130682321</v>
      </c>
      <c r="S6">
        <f>IFERROR(IF(AND('Дивиденды по годам'!L6&lt;&gt;"",'Дивиденды по годам'!I6&lt;&gt;"",'Дивиденды по годам'!J6&lt;&gt;"",'Дивиденды по годам'!K6&lt;&gt;"",('Дивиденды по годам'!I6-'Дивиденды по годам'!J6-'Дивиденды по годам'!K6)&lt;&gt;0),'Дивиденды по годам'!L6/('Дивиденды по годам'!I6-'Дивиденды по годам'!J6-'Дивиденды по годам'!K6),""),"")</f>
        <v>0.92570437668480376</v>
      </c>
      <c r="T6">
        <f>IFERROR(IF(AND('Дивиденды по годам'!Q6&lt;&gt;"",'Дивиденды по годам'!I6&lt;&gt;"",'Дивиденды по годам'!V6&lt;&gt;"",('Дивиденды по годам'!I6+'Дивиденды по годам'!V6)&lt;&gt;0),'Дивиденды по годам'!Q6/(('Дивиденды по годам'!I6+'Дивиденды по годам'!V6)/2),""),"")</f>
        <v>8.5679010361529001E-2</v>
      </c>
      <c r="U6">
        <f>IFERROR(IF(AND('Дивиденды по годам'!J6&lt;&gt;"",'Дивиденды по годам'!K6&lt;&gt;"",'Дивиденды по годам'!M6&lt;&gt;"",'Дивиденды по годам'!M6&lt;&gt;0),('Дивиденды по годам'!J6+'Дивиденды по годам'!K6)/'Дивиденды по годам'!M6,""),"")</f>
        <v>0.60359904637449002</v>
      </c>
      <c r="V6" cm="1">
        <f t="array" ref="V6">IFERROR(AVERAGE(_xlfn._xlws.FILTER(P$2:P$1073,($C$2:$C$1073=$C6)*($E$2:$E$1073=$E6)*(ROW(P$2:P$1073)&lt;&gt;ROW(P6))*(P$2:P$1073&lt;&gt;""))),"")</f>
        <v>28.5880145314181</v>
      </c>
      <c r="W6" cm="1">
        <f t="array" ref="W6">IFERROR(AVERAGE(_xlfn._xlws.FILTER(Q$2:Q$1073,($C$2:$C$1073=$C6)*($E$2:$E$1073=$E6)*(ROW(Q$2:Q$1073)&lt;&gt;ROW(Q6))*(Q$2:Q$1073&lt;&gt;""))),"")</f>
        <v>0.54592305229083227</v>
      </c>
      <c r="X6" cm="1">
        <f t="array" ref="X6">IFERROR(AVERAGE(_xlfn._xlws.FILTER(R$2:R$1073,($C$2:$C$1073=$C6)*($E$2:$E$1073=$E6)*(ROW(R$2:R$1073)&lt;&gt;ROW(R6))*(R$2:R$1073&lt;&gt;""))),"")</f>
        <v>0.71962063520940733</v>
      </c>
      <c r="Y6" cm="1">
        <f t="array" ref="Y6">IFERROR(AVERAGE(_xlfn._xlws.FILTER(S$2:S$1073,($C$2:$C$1073=$C6)*($E$2:$E$1073=$E6)*(ROW(S$2:S$1073)&lt;&gt;ROW(S6))*(S$2:S$1073&lt;&gt;""))),"")</f>
        <v>0.7816452330629996</v>
      </c>
      <c r="Z6" cm="1">
        <f t="array" ref="Z6">IFERROR(AVERAGE(_xlfn._xlws.FILTER(T$2:T$1073,($C$2:$C$1073=$C6)*($E$2:$E$1073=$E6)*(ROW(T$2:T$1073)&lt;&gt;ROW(T6))*(T$2:T$1073&lt;&gt;""))),"")</f>
        <v>0.12893486160323281</v>
      </c>
      <c r="AA6" cm="1">
        <f t="array" ref="AA6">IFERROR(AVERAGE(_xlfn._xlws.FILTER(U$2:U$1073,($C$2:$C$1073=$C6)*($E$2:$E$1073=$E6)*(ROW(U$2:U$1073)&lt;&gt;ROW(U6))*(U$2:U$1073&lt;&gt;""))),"")</f>
        <v>1.1281548067421958</v>
      </c>
    </row>
    <row r="7" spans="1:27" x14ac:dyDescent="0.2">
      <c r="A7" s="7" t="s">
        <v>2173</v>
      </c>
      <c r="B7" t="str">
        <f t="shared" si="0"/>
        <v>GAZP IV кв. 2020</v>
      </c>
      <c r="C7">
        <v>2020</v>
      </c>
      <c r="D7">
        <f>SUMIFS(Дивиденды!$C:$C,Дивиденды!$A:$A,A7,Дивиденды!$I:$I,C7)</f>
        <v>12.55</v>
      </c>
      <c r="E7">
        <v>1</v>
      </c>
      <c r="F7">
        <f t="shared" si="1"/>
        <v>12.55</v>
      </c>
      <c r="G7">
        <f t="shared" si="2"/>
        <v>54.073333333333331</v>
      </c>
      <c r="H7">
        <f t="shared" si="3"/>
        <v>1</v>
      </c>
      <c r="I7">
        <f t="shared" si="4"/>
        <v>0.83333333333333337</v>
      </c>
      <c r="J7">
        <f t="shared" si="5"/>
        <v>-0.17650918635170601</v>
      </c>
      <c r="K7">
        <f t="shared" si="10"/>
        <v>-0.29877017459072802</v>
      </c>
      <c r="L7">
        <f t="shared" si="6"/>
        <v>0</v>
      </c>
      <c r="M7">
        <f t="shared" si="7"/>
        <v>0.33333333333333331</v>
      </c>
      <c r="N7">
        <f t="shared" si="8"/>
        <v>1</v>
      </c>
      <c r="O7">
        <f t="shared" si="9"/>
        <v>0.5</v>
      </c>
      <c r="P7">
        <f>IFERROR(LN('Дивиденды по годам'!I7),"")</f>
        <v>30.781711671682622</v>
      </c>
      <c r="Q7">
        <f>IFERROR('Дивиденды по годам'!G7/'Дивиденды по годам'!I7, "")</f>
        <v>0.68957551509633896</v>
      </c>
      <c r="R7">
        <f>IFERROR(IF(AND('Дивиденды по годам'!N7&lt;&gt;"",'Дивиденды по годам'!U7&lt;&gt;"",'Дивиденды по годам'!U7&lt;&gt;0),'Дивиденды по годам'!N7/'Дивиденды по годам'!U7-1,""),"")</f>
        <v>-0.17469058202995114</v>
      </c>
      <c r="S7">
        <f>IFERROR(IF(AND('Дивиденды по годам'!L7&lt;&gt;"",'Дивиденды по годам'!I7&lt;&gt;"",'Дивиденды по годам'!J7&lt;&gt;"",'Дивиденды по годам'!K7&lt;&gt;"",('Дивиденды по годам'!I7-'Дивиденды по годам'!J7-'Дивиденды по годам'!K7)&lt;&gt;0),'Дивиденды по годам'!L7/('Дивиденды по годам'!I7-'Дивиденды по годам'!J7-'Дивиденды по годам'!K7),""),"")</f>
        <v>0.92655942708047667</v>
      </c>
      <c r="T7">
        <f>IFERROR(IF(AND('Дивиденды по годам'!Q7&lt;&gt;"",'Дивиденды по годам'!I7&lt;&gt;"",'Дивиденды по годам'!V7&lt;&gt;"",('Дивиденды по годам'!I7+'Дивиденды по годам'!V7)&lt;&gt;0),'Дивиденды по годам'!Q7/(('Дивиденды по годам'!I7+'Дивиденды по годам'!V7)/2),""),"")</f>
        <v>7.1806643831163241E-3</v>
      </c>
      <c r="U7">
        <f>IFERROR(IF(AND('Дивиденды по годам'!J7&lt;&gt;"",'Дивиденды по годам'!K7&lt;&gt;"",'Дивиденды по годам'!M7&lt;&gt;"",'Дивиденды по годам'!M7&lt;&gt;0),('Дивиденды по годам'!J7+'Дивиденды по годам'!K7)/'Дивиденды по годам'!M7,""),"")</f>
        <v>0.57734601342327574</v>
      </c>
      <c r="V7" cm="1">
        <f t="array" ref="V7">IFERROR(AVERAGE(_xlfn._xlws.FILTER(P$2:P$1073,($C$2:$C$1073=$C7)*($E$2:$E$1073=$E7)*(ROW(P$2:P$1073)&lt;&gt;ROW(P7))*(P$2:P$1073&lt;&gt;""))),"")</f>
        <v>28.62410898974591</v>
      </c>
      <c r="W7" cm="1">
        <f t="array" ref="W7">IFERROR(AVERAGE(_xlfn._xlws.FILTER(Q$2:Q$1073,($C$2:$C$1073=$C7)*($E$2:$E$1073=$E7)*(ROW(Q$2:Q$1073)&lt;&gt;ROW(Q7))*(Q$2:Q$1073&lt;&gt;""))),"")</f>
        <v>0.5371219038041336</v>
      </c>
      <c r="X7" cm="1">
        <f t="array" ref="X7">IFERROR(AVERAGE(_xlfn._xlws.FILTER(R$2:R$1073,($C$2:$C$1073=$C7)*($E$2:$E$1073=$E7)*(ROW(R$2:R$1073)&lt;&gt;ROW(R7))*(R$2:R$1073&lt;&gt;""))),"")</f>
        <v>-0.27049470961689742</v>
      </c>
      <c r="Y7" cm="1">
        <f t="array" ref="Y7">IFERROR(AVERAGE(_xlfn._xlws.FILTER(S$2:S$1073,($C$2:$C$1073=$C7)*($E$2:$E$1073=$E7)*(ROW(S$2:S$1073)&lt;&gt;ROW(S7))*(S$2:S$1073&lt;&gt;""))),"")</f>
        <v>0.74822583962489408</v>
      </c>
      <c r="Z7" cm="1">
        <f t="array" ref="Z7">IFERROR(AVERAGE(_xlfn._xlws.FILTER(T$2:T$1073,($C$2:$C$1073=$C7)*($E$2:$E$1073=$E7)*(ROW(T$2:T$1073)&lt;&gt;ROW(T7))*(T$2:T$1073&lt;&gt;""))),"")</f>
        <v>3.2136749155249916E-2</v>
      </c>
      <c r="AA7" cm="1">
        <f t="array" ref="AA7">IFERROR(AVERAGE(_xlfn._xlws.FILTER(U$2:U$1073,($C$2:$C$1073=$C7)*($E$2:$E$1073=$E7)*(ROW(U$2:U$1073)&lt;&gt;ROW(U7))*(U$2:U$1073&lt;&gt;""))),"")</f>
        <v>1.2967729424726022</v>
      </c>
    </row>
    <row r="8" spans="1:27" x14ac:dyDescent="0.2">
      <c r="A8" s="7" t="s">
        <v>2173</v>
      </c>
      <c r="B8" t="str">
        <f t="shared" si="0"/>
        <v>GAZP IV кв. 2019</v>
      </c>
      <c r="C8">
        <v>2019</v>
      </c>
      <c r="D8">
        <f>SUMIFS(Дивиденды!$C:$C,Дивиденды!$A:$A,A8,Дивиденды!$I:$I,C8)</f>
        <v>15.24</v>
      </c>
      <c r="E8">
        <v>1</v>
      </c>
      <c r="F8">
        <f t="shared" si="1"/>
        <v>15.24</v>
      </c>
      <c r="G8">
        <f t="shared" si="2"/>
        <v>112.14333333333333</v>
      </c>
      <c r="H8">
        <f t="shared" si="3"/>
        <v>1</v>
      </c>
      <c r="I8">
        <f t="shared" si="4"/>
        <v>0.83333333333333337</v>
      </c>
      <c r="J8">
        <f t="shared" si="5"/>
        <v>-8.2480433473810913E-2</v>
      </c>
      <c r="K8">
        <f t="shared" si="10"/>
        <v>0.24288944535612003</v>
      </c>
      <c r="L8">
        <f t="shared" si="6"/>
        <v>0</v>
      </c>
      <c r="M8">
        <f t="shared" si="7"/>
        <v>0.5</v>
      </c>
      <c r="N8">
        <f t="shared" si="8"/>
        <v>1</v>
      </c>
      <c r="O8">
        <f t="shared" si="9"/>
        <v>0.16666666666666666</v>
      </c>
      <c r="P8">
        <f>IFERROR(LN('Дивиденды по годам'!I8),"")</f>
        <v>30.716701400339002</v>
      </c>
      <c r="Q8">
        <f>IFERROR('Дивиденды по годам'!G8/'Дивиденды по годам'!I8, "")</f>
        <v>0.6789238522301172</v>
      </c>
      <c r="R8">
        <f>IFERROR(IF(AND('Дивиденды по годам'!N8&lt;&gt;"",'Дивиденды по годам'!U8&lt;&gt;"",'Дивиденды по годам'!U8&lt;&gt;0),'Дивиденды по годам'!N8/'Дивиденды по годам'!U8-1,""),"")</f>
        <v>-6.8645652932810219E-2</v>
      </c>
      <c r="S8">
        <f>IFERROR(IF(AND('Дивиденды по годам'!L8&lt;&gt;"",'Дивиденды по годам'!I8&lt;&gt;"",'Дивиденды по годам'!J8&lt;&gt;"",'Дивиденды по годам'!K8&lt;&gt;"",('Дивиденды по годам'!I8-'Дивиденды по годам'!J8-'Дивиденды по годам'!K8)&lt;&gt;0),'Дивиденды по годам'!L8/('Дивиденды по годам'!I8-'Дивиденды по годам'!J8-'Дивиденды по годам'!K8),""),"")</f>
        <v>0.94282054617069999</v>
      </c>
      <c r="T8">
        <f>IFERROR(IF(AND('Дивиденды по годам'!Q8&lt;&gt;"",'Дивиденды по годам'!I8&lt;&gt;"",'Дивиденды по годам'!V8&lt;&gt;"",('Дивиденды по годам'!I8+'Дивиденды по годам'!V8)&lt;&gt;0),'Дивиденды по годам'!Q8/(('Дивиденды по годам'!I8+'Дивиденды по годам'!V8)/2),""),"")</f>
        <v>5.9472199379436173E-2</v>
      </c>
      <c r="U8">
        <f>IFERROR(IF(AND('Дивиденды по годам'!J8&lt;&gt;"",'Дивиденды по годам'!K8&lt;&gt;"",'Дивиденды по годам'!M8&lt;&gt;"",'Дивиденды по годам'!M8&lt;&gt;0),('Дивиденды по годам'!J8+'Дивиденды по годам'!K8)/'Дивиденды по годам'!M8,""),"")</f>
        <v>0.49718230829655835</v>
      </c>
      <c r="V8" cm="1">
        <f t="array" ref="V8">IFERROR(AVERAGE(_xlfn._xlws.FILTER(P$2:P$1073,($C$2:$C$1073=$C8)*($E$2:$E$1073=$E8)*(ROW(P$2:P$1073)&lt;&gt;ROW(P8))*(P$2:P$1073&lt;&gt;""))),"")</f>
        <v>28.57221706652582</v>
      </c>
      <c r="W8" cm="1">
        <f t="array" ref="W8">IFERROR(AVERAGE(_xlfn._xlws.FILTER(Q$2:Q$1073,($C$2:$C$1073=$C8)*($E$2:$E$1073=$E8)*(ROW(Q$2:Q$1073)&lt;&gt;ROW(Q8))*(Q$2:Q$1073&lt;&gt;""))),"")</f>
        <v>0.51462950612310221</v>
      </c>
      <c r="X8" cm="1">
        <f t="array" ref="X8">IFERROR(AVERAGE(_xlfn._xlws.FILTER(R$2:R$1073,($C$2:$C$1073=$C8)*($E$2:$E$1073=$E8)*(ROW(R$2:R$1073)&lt;&gt;ROW(R8))*(R$2:R$1073&lt;&gt;""))),"")</f>
        <v>2.5367390533262441E-2</v>
      </c>
      <c r="Y8" cm="1">
        <f t="array" ref="Y8">IFERROR(AVERAGE(_xlfn._xlws.FILTER(S$2:S$1073,($C$2:$C$1073=$C8)*($E$2:$E$1073=$E8)*(ROW(S$2:S$1073)&lt;&gt;ROW(S8))*(S$2:S$1073&lt;&gt;""))),"")</f>
        <v>0.82043004245216766</v>
      </c>
      <c r="Z8" cm="1">
        <f t="array" ref="Z8">IFERROR(AVERAGE(_xlfn._xlws.FILTER(T$2:T$1073,($C$2:$C$1073=$C8)*($E$2:$E$1073=$E8)*(ROW(T$2:T$1073)&lt;&gt;ROW(T8))*(T$2:T$1073&lt;&gt;""))),"")</f>
        <v>0.16320281597335701</v>
      </c>
      <c r="AA8" cm="1">
        <f t="array" ref="AA8">IFERROR(AVERAGE(_xlfn._xlws.FILTER(U$2:U$1073,($C$2:$C$1073=$C8)*($E$2:$E$1073=$E8)*(ROW(U$2:U$1073)&lt;&gt;ROW(U8))*(U$2:U$1073&lt;&gt;""))),"")</f>
        <v>0.95146752072382801</v>
      </c>
    </row>
    <row r="9" spans="1:27" x14ac:dyDescent="0.2">
      <c r="A9" s="7" t="s">
        <v>2173</v>
      </c>
      <c r="B9" t="str">
        <f t="shared" si="0"/>
        <v>GAZP IV кв. 2018</v>
      </c>
      <c r="C9">
        <v>2018</v>
      </c>
      <c r="D9">
        <f>SUMIFS(Дивиденды!$C:$C,Дивиденды!$A:$A,A9,Дивиденды!$I:$I,C9)</f>
        <v>16.61</v>
      </c>
      <c r="E9">
        <v>1</v>
      </c>
      <c r="F9">
        <f t="shared" si="1"/>
        <v>16.61</v>
      </c>
      <c r="G9">
        <f t="shared" si="2"/>
        <v>64.588333333333324</v>
      </c>
      <c r="H9">
        <f t="shared" si="3"/>
        <v>1</v>
      </c>
      <c r="I9">
        <f t="shared" si="4"/>
        <v>0.83333333333333337</v>
      </c>
      <c r="J9">
        <f t="shared" si="5"/>
        <v>1.0659203980099503</v>
      </c>
      <c r="K9">
        <f t="shared" si="10"/>
        <v>0.58403361050346703</v>
      </c>
      <c r="L9">
        <f t="shared" si="6"/>
        <v>1</v>
      </c>
      <c r="M9">
        <f t="shared" si="7"/>
        <v>0.66666666666666663</v>
      </c>
      <c r="N9">
        <f t="shared" si="8"/>
        <v>0</v>
      </c>
      <c r="O9">
        <f t="shared" si="9"/>
        <v>0</v>
      </c>
      <c r="P9">
        <f>IFERROR(LN('Дивиденды по годам'!I9),"")</f>
        <v>30.666475899791489</v>
      </c>
      <c r="Q9">
        <f>IFERROR('Дивиденды по годам'!G9/'Дивиденды по годам'!I9, "")</f>
        <v>0.66358202902004959</v>
      </c>
      <c r="R9">
        <f>IFERROR(IF(AND('Дивиденды по годам'!N9&lt;&gt;"",'Дивиденды по годам'!U9&lt;&gt;"",'Дивиденды по годам'!U9&lt;&gt;0),'Дивиденды по годам'!N9/'Дивиденды по годам'!U9-1,""),"")</f>
        <v>0.25633934364098065</v>
      </c>
      <c r="S9">
        <f>IFERROR(IF(AND('Дивиденды по годам'!L9&lt;&gt;"",'Дивиденды по годам'!I9&lt;&gt;"",'Дивиденды по годам'!J9&lt;&gt;"",'Дивиденды по годам'!K9&lt;&gt;"",('Дивиденды по годам'!I9-'Дивиденды по годам'!J9-'Дивиденды по годам'!K9)&lt;&gt;0),'Дивиденды по годам'!L9/('Дивиденды по годам'!I9-'Дивиденды по годам'!J9-'Дивиденды по годам'!K9),""),"")</f>
        <v>0.95895668406121792</v>
      </c>
      <c r="T9">
        <f>IFERROR(IF(AND('Дивиденды по годам'!Q9&lt;&gt;"",'Дивиденды по годам'!I9&lt;&gt;"",'Дивиденды по годам'!V9&lt;&gt;"",('Дивиденды по годам'!I9+'Дивиденды по годам'!V9)&lt;&gt;0),'Дивиденды по годам'!Q9/(('Дивиденды по годам'!I9+'Дивиденды по годам'!V9)/2),""),"")</f>
        <v>7.8311238562828803E-2</v>
      </c>
      <c r="U9">
        <f>IFERROR(IF(AND('Дивиденды по годам'!J9&lt;&gt;"",'Дивиденды по годам'!K9&lt;&gt;"",'Дивиденды по годам'!M9&lt;&gt;"",'Дивиденды по годам'!M9&lt;&gt;0),('Дивиденды по годам'!J9+'Дивиденды по годам'!K9)/'Дивиденды по годам'!M9,""),"")</f>
        <v>0.51061330401890859</v>
      </c>
      <c r="V9" cm="1">
        <f t="array" ref="V9">IFERROR(AVERAGE(_xlfn._xlws.FILTER(P$2:P$1073,($C$2:$C$1073=$C9)*($E$2:$E$1073=$E9)*(ROW(P$2:P$1073)&lt;&gt;ROW(P9))*(P$2:P$1073&lt;&gt;""))),"")</f>
        <v>28.458498470957164</v>
      </c>
      <c r="W9" cm="1">
        <f t="array" ref="W9">IFERROR(AVERAGE(_xlfn._xlws.FILTER(Q$2:Q$1073,($C$2:$C$1073=$C9)*($E$2:$E$1073=$E9)*(ROW(Q$2:Q$1073)&lt;&gt;ROW(Q9))*(Q$2:Q$1073&lt;&gt;""))),"")</f>
        <v>0.50857093375965079</v>
      </c>
      <c r="X9" cm="1">
        <f t="array" ref="X9">IFERROR(AVERAGE(_xlfn._xlws.FILTER(R$2:R$1073,($C$2:$C$1073=$C9)*($E$2:$E$1073=$E9)*(ROW(R$2:R$1073)&lt;&gt;ROW(R9))*(R$2:R$1073&lt;&gt;""))),"")</f>
        <v>0.36447021235614913</v>
      </c>
      <c r="Y9" cm="1">
        <f t="array" ref="Y9">IFERROR(AVERAGE(_xlfn._xlws.FILTER(S$2:S$1073,($C$2:$C$1073=$C9)*($E$2:$E$1073=$E9)*(ROW(S$2:S$1073)&lt;&gt;ROW(S9))*(S$2:S$1073&lt;&gt;""))),"")</f>
        <v>0.75475666621895687</v>
      </c>
      <c r="Z9" cm="1">
        <f t="array" ref="Z9">IFERROR(AVERAGE(_xlfn._xlws.FILTER(T$2:T$1073,($C$2:$C$1073=$C9)*($E$2:$E$1073=$E9)*(ROW(T$2:T$1073)&lt;&gt;ROW(T9))*(T$2:T$1073&lt;&gt;""))),"")</f>
        <v>0.12546631841900283</v>
      </c>
      <c r="AA9" cm="1">
        <f t="array" ref="AA9">IFERROR(AVERAGE(_xlfn._xlws.FILTER(U$2:U$1073,($C$2:$C$1073=$C9)*($E$2:$E$1073=$E9)*(ROW(U$2:U$1073)&lt;&gt;ROW(U9))*(U$2:U$1073&lt;&gt;""))),"")</f>
        <v>0.92459536485141181</v>
      </c>
    </row>
    <row r="10" spans="1:27" x14ac:dyDescent="0.2">
      <c r="A10" s="7" t="s">
        <v>2173</v>
      </c>
      <c r="B10" t="str">
        <f t="shared" si="0"/>
        <v>GAZP IV кв. 2017</v>
      </c>
      <c r="C10">
        <v>2017</v>
      </c>
      <c r="D10">
        <f>SUMIFS(Дивиденды!$C:$C,Дивиденды!$A:$A,A10,Дивиденды!$I:$I,C10)</f>
        <v>8.0399999999999991</v>
      </c>
      <c r="E10">
        <v>1</v>
      </c>
      <c r="F10">
        <f t="shared" si="1"/>
        <v>8.0399999999999991</v>
      </c>
      <c r="G10">
        <f t="shared" si="2"/>
        <v>46.836666666666666</v>
      </c>
      <c r="H10">
        <f t="shared" si="3"/>
        <v>1</v>
      </c>
      <c r="I10">
        <f t="shared" si="4"/>
        <v>0.83333333333333337</v>
      </c>
      <c r="J10">
        <f t="shared" si="5"/>
        <v>0</v>
      </c>
      <c r="K10">
        <f t="shared" si="10"/>
        <v>0.29415529581938399</v>
      </c>
      <c r="L10">
        <f t="shared" si="6"/>
        <v>0</v>
      </c>
      <c r="M10">
        <f t="shared" si="7"/>
        <v>0.83333333333333337</v>
      </c>
      <c r="N10">
        <f t="shared" si="8"/>
        <v>0</v>
      </c>
      <c r="O10">
        <f t="shared" si="9"/>
        <v>0</v>
      </c>
      <c r="P10">
        <f>IFERROR(LN('Дивиденды по годам'!I10),"")</f>
        <v>30.534570664090417</v>
      </c>
      <c r="Q10">
        <f>IFERROR('Дивиденды по годам'!G10/'Дивиденды по годам'!I10, "")</f>
        <v>0.68782483687222329</v>
      </c>
      <c r="R10">
        <f>IFERROR(IF(AND('Дивиденды по годам'!N10&lt;&gt;"",'Дивиденды по годам'!U10&lt;&gt;"",'Дивиденды по годам'!U10&lt;&gt;0),'Дивиденды по годам'!N10/'Дивиденды по годам'!U10-1,""),"")</f>
        <v>7.1197573052491192E-2</v>
      </c>
      <c r="S10">
        <f>IFERROR(IF(AND('Дивиденды по годам'!L10&lt;&gt;"",'Дивиденды по годам'!I10&lt;&gt;"",'Дивиденды по годам'!J10&lt;&gt;"",'Дивиденды по годам'!K10&lt;&gt;"",('Дивиденды по годам'!I10-'Дивиденды по годам'!J10-'Дивиденды по годам'!K10)&lt;&gt;0),'Дивиденды по годам'!L10/('Дивиденды по годам'!I10-'Дивиденды по годам'!J10-'Дивиденды по годам'!K10),""),"")</f>
        <v>0.96041190527453713</v>
      </c>
      <c r="T10">
        <f>IFERROR(IF(AND('Дивиденды по годам'!Q10&lt;&gt;"",'Дивиденды по годам'!I10&lt;&gt;"",'Дивиденды по годам'!V10&lt;&gt;"",('Дивиденды по годам'!I10+'Дивиденды по годам'!V10)&lt;&gt;0),'Дивиденды по годам'!Q10/(('Дивиденды по годам'!I10+'Дивиденды по годам'!V10)/2),""),"")</f>
        <v>4.3625085002696989E-2</v>
      </c>
      <c r="U10">
        <f>IFERROR(IF(AND('Дивиденды по годам'!J10&lt;&gt;"",'Дивиденды по годам'!K10&lt;&gt;"",'Дивиденды по годам'!M10&lt;&gt;"",'Дивиденды по годам'!M10&lt;&gt;0),('Дивиденды по годам'!J10+'Дивиденды по годам'!K10)/'Дивиденды по годам'!M10,""),"")</f>
        <v>0.51793923189591828</v>
      </c>
      <c r="V10" cm="1">
        <f t="array" ref="V10">IFERROR(AVERAGE(_xlfn._xlws.FILTER(P$2:P$1073,($C$2:$C$1073=$C10)*($E$2:$E$1073=$E10)*(ROW(P$2:P$1073)&lt;&gt;ROW(P10))*(P$2:P$1073&lt;&gt;""))),"")</f>
        <v>28.340294221632764</v>
      </c>
      <c r="W10" cm="1">
        <f t="array" ref="W10">IFERROR(AVERAGE(_xlfn._xlws.FILTER(Q$2:Q$1073,($C$2:$C$1073=$C10)*($E$2:$E$1073=$E10)*(ROW(Q$2:Q$1073)&lt;&gt;ROW(Q10))*(Q$2:Q$1073&lt;&gt;""))),"")</f>
        <v>0.52425580172965813</v>
      </c>
      <c r="X10" cm="1">
        <f t="array" ref="X10">IFERROR(AVERAGE(_xlfn._xlws.FILTER(R$2:R$1073,($C$2:$C$1073=$C10)*($E$2:$E$1073=$E10)*(ROW(R$2:R$1073)&lt;&gt;ROW(R10))*(R$2:R$1073&lt;&gt;""))),"")</f>
        <v>0.16368051534193973</v>
      </c>
      <c r="Y10" cm="1">
        <f t="array" ref="Y10">IFERROR(AVERAGE(_xlfn._xlws.FILTER(S$2:S$1073,($C$2:$C$1073=$C10)*($E$2:$E$1073=$E10)*(ROW(S$2:S$1073)&lt;&gt;ROW(S10))*(S$2:S$1073&lt;&gt;""))),"")</f>
        <v>0.73280408468167568</v>
      </c>
      <c r="Z10" cm="1">
        <f t="array" ref="Z10">IFERROR(AVERAGE(_xlfn._xlws.FILTER(T$2:T$1073,($C$2:$C$1073=$C10)*($E$2:$E$1073=$E10)*(ROW(T$2:T$1073)&lt;&gt;ROW(T10))*(T$2:T$1073&lt;&gt;""))),"")</f>
        <v>7.7823092704658745E-2</v>
      </c>
      <c r="AA10" cm="1">
        <f t="array" ref="AA10">IFERROR(AVERAGE(_xlfn._xlws.FILTER(U$2:U$1073,($C$2:$C$1073=$C10)*($E$2:$E$1073=$E10)*(ROW(U$2:U$1073)&lt;&gt;ROW(U10))*(U$2:U$1073&lt;&gt;""))),"")</f>
        <v>0.97472195973747044</v>
      </c>
    </row>
    <row r="11" spans="1:27" x14ac:dyDescent="0.2">
      <c r="A11" s="7" t="s">
        <v>2173</v>
      </c>
      <c r="B11" t="str">
        <f t="shared" si="0"/>
        <v>GAZP IV кв. 2016</v>
      </c>
      <c r="C11">
        <v>2016</v>
      </c>
      <c r="D11">
        <f>SUMIFS(Дивиденды!$C:$C,Дивиденды!$A:$A,A11,Дивиденды!$I:$I,C11)</f>
        <v>8.0399999999999991</v>
      </c>
      <c r="E11">
        <v>1</v>
      </c>
      <c r="F11">
        <f t="shared" si="1"/>
        <v>8.0399999999999991</v>
      </c>
      <c r="G11">
        <f t="shared" si="2"/>
        <v>39.714999999999996</v>
      </c>
      <c r="H11">
        <f t="shared" si="3"/>
        <v>1</v>
      </c>
      <c r="I11">
        <f t="shared" si="4"/>
        <v>0.83333333333333337</v>
      </c>
      <c r="J11">
        <f t="shared" si="5"/>
        <v>1.9011406844106397E-2</v>
      </c>
      <c r="K11">
        <f t="shared" si="10"/>
        <v>0.12024418244311276</v>
      </c>
      <c r="L11">
        <f t="shared" si="6"/>
        <v>1</v>
      </c>
      <c r="M11">
        <f t="shared" si="7"/>
        <v>0.5</v>
      </c>
      <c r="N11">
        <f t="shared" si="8"/>
        <v>0</v>
      </c>
      <c r="O11">
        <f t="shared" si="9"/>
        <v>0.16666666666666666</v>
      </c>
      <c r="P11">
        <f>IFERROR(LN('Дивиденды по годам'!I11),"")</f>
        <v>30.459454702179315</v>
      </c>
      <c r="Q11">
        <f>IFERROR('Дивиденды по годам'!G11/'Дивиденды по годам'!I11, "")</f>
        <v>0.67987405592478678</v>
      </c>
      <c r="R11">
        <f>IFERROR(IF(AND('Дивиденды по годам'!N11&lt;&gt;"",'Дивиденды по годам'!U11&lt;&gt;"",'Дивиденды по годам'!U11&lt;&gt;0),'Дивиденды по годам'!N11/'Дивиденды по годам'!U11-1,""),"")</f>
        <v>6.2129136001112251E-3</v>
      </c>
      <c r="S11">
        <f>IFERROR(IF(AND('Дивиденды по годам'!L11&lt;&gt;"",'Дивиденды по годам'!I11&lt;&gt;"",'Дивиденды по годам'!J11&lt;&gt;"",'Дивиденды по годам'!K11&lt;&gt;"",('Дивиденды по годам'!I11-'Дивиденды по годам'!J11-'Дивиденды по годам'!K11)&lt;&gt;0),'Дивиденды по годам'!L11/('Дивиденды по годам'!I11-'Дивиденды по годам'!J11-'Дивиденды по годам'!K11),""),"")</f>
        <v>0.96184328410843745</v>
      </c>
      <c r="T11">
        <f>IFERROR(IF(AND('Дивиденды по годам'!Q11&lt;&gt;"",'Дивиденды по годам'!I11&lt;&gt;"",'Дивиденды по годам'!V11&lt;&gt;"",('Дивиденды по годам'!I11+'Дивиденды по годам'!V11)&lt;&gt;0),'Дивиденды по годам'!Q11/(('Дивиденды по годам'!I11+'Дивиденды по годам'!V11)/2),""),"")</f>
        <v>5.870328490395537E-2</v>
      </c>
      <c r="U11">
        <f>IFERROR(IF(AND('Дивиденды по годам'!J11&lt;&gt;"",'Дивиденды по годам'!K11&lt;&gt;"",'Дивиденды по годам'!M11&lt;&gt;"",'Дивиденды по годам'!M11&lt;&gt;0),('Дивиденды по годам'!J11+'Дивиденды по годам'!K11)/'Дивиденды по годам'!M11,""),"")</f>
        <v>0.47869044477902545</v>
      </c>
      <c r="V11" cm="1">
        <f t="array" ref="V11">IFERROR(AVERAGE(_xlfn._xlws.FILTER(P$2:P$1073,($C$2:$C$1073=$C11)*($E$2:$E$1073=$E11)*(ROW(P$2:P$1073)&lt;&gt;ROW(P11))*(P$2:P$1073&lt;&gt;""))),"")</f>
        <v>28.279917393391163</v>
      </c>
      <c r="W11" cm="1">
        <f t="array" ref="W11">IFERROR(AVERAGE(_xlfn._xlws.FILTER(Q$2:Q$1073,($C$2:$C$1073=$C11)*($E$2:$E$1073=$E11)*(ROW(Q$2:Q$1073)&lt;&gt;ROW(Q11))*(Q$2:Q$1073&lt;&gt;""))),"")</f>
        <v>0.50976915651127397</v>
      </c>
      <c r="X11" cm="1">
        <f t="array" ref="X11">IFERROR(AVERAGE(_xlfn._xlws.FILTER(R$2:R$1073,($C$2:$C$1073=$C11)*($E$2:$E$1073=$E11)*(ROW(R$2:R$1073)&lt;&gt;ROW(R11))*(R$2:R$1073&lt;&gt;""))),"")</f>
        <v>1.2025010972091809E-2</v>
      </c>
      <c r="Y11" cm="1">
        <f t="array" ref="Y11">IFERROR(AVERAGE(_xlfn._xlws.FILTER(S$2:S$1073,($C$2:$C$1073=$C11)*($E$2:$E$1073=$E11)*(ROW(S$2:S$1073)&lt;&gt;ROW(S11))*(S$2:S$1073&lt;&gt;""))),"")</f>
        <v>0.68181067484391633</v>
      </c>
      <c r="Z11" cm="1">
        <f t="array" ref="Z11">IFERROR(AVERAGE(_xlfn._xlws.FILTER(T$2:T$1073,($C$2:$C$1073=$C11)*($E$2:$E$1073=$E11)*(ROW(T$2:T$1073)&lt;&gt;ROW(T11))*(T$2:T$1073&lt;&gt;""))),"")</f>
        <v>0.1046415641016665</v>
      </c>
      <c r="AA11" cm="1">
        <f t="array" ref="AA11">IFERROR(AVERAGE(_xlfn._xlws.FILTER(U$2:U$1073,($C$2:$C$1073=$C11)*($E$2:$E$1073=$E11)*(ROW(U$2:U$1073)&lt;&gt;ROW(U11))*(U$2:U$1073&lt;&gt;""))),"")</f>
        <v>1.0228333237057139</v>
      </c>
    </row>
    <row r="12" spans="1:27" x14ac:dyDescent="0.2">
      <c r="A12" s="7" t="s">
        <v>2173</v>
      </c>
      <c r="B12" t="str">
        <f t="shared" si="0"/>
        <v>GAZP IV кв. 2015</v>
      </c>
      <c r="C12">
        <v>2015</v>
      </c>
      <c r="D12">
        <f>SUMIFS(Дивиденды!$C:$C,Дивиденды!$A:$A,A12,Дивиденды!$I:$I,C12)</f>
        <v>7.89</v>
      </c>
      <c r="E12">
        <v>1</v>
      </c>
      <c r="F12">
        <f t="shared" si="1"/>
        <v>7.89</v>
      </c>
      <c r="G12">
        <f t="shared" si="2"/>
        <v>35.634999999999998</v>
      </c>
      <c r="H12">
        <f t="shared" si="3"/>
        <v>1</v>
      </c>
      <c r="I12">
        <f t="shared" si="4"/>
        <v>0.83333333333333337</v>
      </c>
      <c r="J12">
        <f t="shared" si="5"/>
        <v>9.5833333333333257E-2</v>
      </c>
      <c r="K12">
        <f t="shared" si="10"/>
        <v>0.14170091571122448</v>
      </c>
      <c r="L12">
        <f t="shared" si="6"/>
        <v>1</v>
      </c>
      <c r="M12">
        <f t="shared" si="7"/>
        <v>0.66666666666666663</v>
      </c>
      <c r="N12">
        <f t="shared" si="8"/>
        <v>0</v>
      </c>
      <c r="O12">
        <f t="shared" si="9"/>
        <v>0.16666666666666666</v>
      </c>
      <c r="P12">
        <f>IFERROR(LN('Дивиденды по годам'!I12),"")</f>
        <v>30.467290960594653</v>
      </c>
      <c r="Q12">
        <f>IFERROR('Дивиденды по годам'!G12/'Дивиденды по годам'!I12, "")</f>
        <v>0.64531170464061782</v>
      </c>
      <c r="R12">
        <f>IFERROR(IF(AND('Дивиденды по годам'!N12&lt;&gt;"",'Дивиденды по годам'!U12&lt;&gt;"",'Дивиденды по годам'!U12&lt;&gt;0),'Дивиденды по годам'!N12/'Дивиденды по годам'!U12-1,""),"")</f>
        <v>8.649791558247677E-2</v>
      </c>
      <c r="S12">
        <f>IFERROR(IF(AND('Дивиденды по годам'!L12&lt;&gt;"",'Дивиденды по годам'!I12&lt;&gt;"",'Дивиденды по годам'!J12&lt;&gt;"",'Дивиденды по годам'!K12&lt;&gt;"",('Дивиденды по годам'!I12-'Дивиденды по годам'!J12-'Дивиденды по годам'!K12)&lt;&gt;0),'Дивиденды по годам'!L12/('Дивиденды по годам'!I12-'Дивиденды по годам'!J12-'Дивиденды по годам'!K12),""),"")</f>
        <v>0.94994686943808038</v>
      </c>
      <c r="T12">
        <f>IFERROR(IF(AND('Дивиденды по годам'!Q12&lt;&gt;"",'Дивиденды по годам'!I12&lt;&gt;"",'Дивиденды по годам'!V12&lt;&gt;"",('Дивиденды по годам'!I12+'Дивиденды по годам'!V12)&lt;&gt;0),'Дивиденды по годам'!Q12/(('Дивиденды по годам'!I12+'Дивиденды по годам'!V12)/2),""),"")</f>
        <v>4.996656790624493E-2</v>
      </c>
      <c r="U12">
        <f>IFERROR(IF(AND('Дивиденды по годам'!J12&lt;&gt;"",'Дивиденды по годам'!K12&lt;&gt;"",'Дивиденды по годам'!M12&lt;&gt;"",'Дивиденды по годам'!M12&lt;&gt;0),('Дивиденды по годам'!J12+'Дивиденды по годам'!K12)/'Дивиденды по годам'!M12,""),"")</f>
        <v>0.56231154867296362</v>
      </c>
      <c r="V12" cm="1">
        <f t="array" ref="V12">IFERROR(AVERAGE(_xlfn._xlws.FILTER(P$2:P$1073,($C$2:$C$1073=$C12)*($E$2:$E$1073=$E12)*(ROW(P$2:P$1073)&lt;&gt;ROW(P12))*(P$2:P$1073&lt;&gt;""))),"")</f>
        <v>28.027871693643341</v>
      </c>
      <c r="W12" cm="1">
        <f t="array" ref="W12">IFERROR(AVERAGE(_xlfn._xlws.FILTER(Q$2:Q$1073,($C$2:$C$1073=$C12)*($E$2:$E$1073=$E12)*(ROW(Q$2:Q$1073)&lt;&gt;ROW(Q12))*(Q$2:Q$1073&lt;&gt;""))),"")</f>
        <v>0.5715191003465081</v>
      </c>
      <c r="X12" cm="1">
        <f t="array" ref="X12">IFERROR(AVERAGE(_xlfn._xlws.FILTER(R$2:R$1073,($C$2:$C$1073=$C12)*($E$2:$E$1073=$E12)*(ROW(R$2:R$1073)&lt;&gt;ROW(R12))*(R$2:R$1073&lt;&gt;""))),"")</f>
        <v>0.11349516833089235</v>
      </c>
      <c r="Y12" cm="1">
        <f t="array" ref="Y12">IFERROR(AVERAGE(_xlfn._xlws.FILTER(S$2:S$1073,($C$2:$C$1073=$C12)*($E$2:$E$1073=$E12)*(ROW(S$2:S$1073)&lt;&gt;ROW(S12))*(S$2:S$1073&lt;&gt;""))),"")</f>
        <v>0.93141875924207973</v>
      </c>
      <c r="Z12" cm="1">
        <f t="array" ref="Z12">IFERROR(AVERAGE(_xlfn._xlws.FILTER(T$2:T$1073,($C$2:$C$1073=$C12)*($E$2:$E$1073=$E12)*(ROW(T$2:T$1073)&lt;&gt;ROW(T12))*(T$2:T$1073&lt;&gt;""))),"")</f>
        <v>8.333263086364541E-2</v>
      </c>
      <c r="AA12" cm="1">
        <f t="array" ref="AA12">IFERROR(AVERAGE(_xlfn._xlws.FILTER(U$2:U$1073,($C$2:$C$1073=$C12)*($E$2:$E$1073=$E12)*(ROW(U$2:U$1073)&lt;&gt;ROW(U12))*(U$2:U$1073&lt;&gt;""))),"")</f>
        <v>-1.2671068112371704</v>
      </c>
    </row>
    <row r="13" spans="1:27" x14ac:dyDescent="0.2">
      <c r="A13" s="7" t="s">
        <v>2173</v>
      </c>
      <c r="B13" t="str">
        <f t="shared" si="0"/>
        <v>GAZP IV кв. 2014</v>
      </c>
      <c r="C13">
        <v>2014</v>
      </c>
      <c r="D13">
        <f>SUMIFS(Дивиденды!$C:$C,Дивиденды!$A:$A,A13,Дивиденды!$I:$I,C13)</f>
        <v>7.2</v>
      </c>
      <c r="E13">
        <v>1</v>
      </c>
      <c r="F13">
        <f t="shared" si="1"/>
        <v>7.2</v>
      </c>
      <c r="G13">
        <f t="shared" si="2"/>
        <v>30.623333333333338</v>
      </c>
      <c r="H13">
        <f t="shared" si="3"/>
        <v>1</v>
      </c>
      <c r="I13">
        <f t="shared" si="4"/>
        <v>0.83333333333333337</v>
      </c>
      <c r="J13">
        <f t="shared" si="5"/>
        <v>0</v>
      </c>
      <c r="K13">
        <f t="shared" si="10"/>
        <v>0.11887241342288564</v>
      </c>
      <c r="L13">
        <f t="shared" si="6"/>
        <v>0</v>
      </c>
      <c r="M13">
        <f t="shared" si="7"/>
        <v>0.66666666666666663</v>
      </c>
      <c r="N13">
        <f t="shared" si="8"/>
        <v>0</v>
      </c>
      <c r="O13">
        <f t="shared" si="9"/>
        <v>0.16666666666666666</v>
      </c>
      <c r="P13">
        <f>IFERROR(LN('Дивиденды по годам'!I13),"")</f>
        <v>30.350833207338933</v>
      </c>
      <c r="Q13">
        <f>IFERROR('Дивиденды по годам'!G13/'Дивиденды по годам'!I13, "")</f>
        <v>0.65559075392670851</v>
      </c>
      <c r="R13">
        <f>IFERROR(IF(AND('Дивиденды по годам'!N13&lt;&gt;"",'Дивиденды по годам'!U13&lt;&gt;"",'Дивиденды по годам'!U13&lt;&gt;0),'Дивиденды по годам'!N13/'Дивиденды по годам'!U13-1,""),"")</f>
        <v>6.4733002981924637E-2</v>
      </c>
      <c r="S13">
        <f>IFERROR(IF(AND('Дивиденды по годам'!L13&lt;&gt;"",'Дивиденды по годам'!I13&lt;&gt;"",'Дивиденды по годам'!J13&lt;&gt;"",'Дивиденды по годам'!K13&lt;&gt;"",('Дивиденды по годам'!I13-'Дивиденды по годам'!J13-'Дивиденды по годам'!K13)&lt;&gt;0),'Дивиденды по годам'!L13/('Дивиденды по годам'!I13-'Дивиденды по годам'!J13-'Дивиденды по годам'!K13),""),"")</f>
        <v>0.94814852656926307</v>
      </c>
      <c r="T13">
        <f>IFERROR(IF(AND('Дивиденды по годам'!Q13&lt;&gt;"",'Дивиденды по годам'!I13&lt;&gt;"",'Дивиденды по годам'!V13&lt;&gt;"",('Дивиденды по годам'!I13+'Дивиденды по годам'!V13)&lt;&gt;0),'Дивиденды по годам'!Q13/(('Дивиденды по годам'!I13+'Дивиденды по годам'!V13)/2),""),"")</f>
        <v>1.0987182156690922E-2</v>
      </c>
      <c r="U13">
        <f>IFERROR(IF(AND('Дивиденды по годам'!J13&lt;&gt;"",'Дивиденды по годам'!K13&lt;&gt;"",'Дивиденды по годам'!M13&lt;&gt;"",'Дивиденды по годам'!M13&lt;&gt;0),('Дивиденды по годам'!J13+'Дивиденды по годам'!K13)/'Дивиденды по годам'!M13,""),"")</f>
        <v>0.49974688787701133</v>
      </c>
      <c r="V13" cm="1">
        <f t="array" ref="V13">IFERROR(AVERAGE(_xlfn._xlws.FILTER(P$2:P$1073,($C$2:$C$1073=$C13)*($E$2:$E$1073=$E13)*(ROW(P$2:P$1073)&lt;&gt;ROW(P13))*(P$2:P$1073&lt;&gt;""))),"")</f>
        <v>28.372328915213384</v>
      </c>
      <c r="W13" cm="1">
        <f t="array" ref="W13">IFERROR(AVERAGE(_xlfn._xlws.FILTER(Q$2:Q$1073,($C$2:$C$1073=$C13)*($E$2:$E$1073=$E13)*(ROW(Q$2:Q$1073)&lt;&gt;ROW(Q13))*(Q$2:Q$1073&lt;&gt;""))),"")</f>
        <v>0.62176756223611285</v>
      </c>
      <c r="X13" cm="1">
        <f t="array" ref="X13">IFERROR(AVERAGE(_xlfn._xlws.FILTER(R$2:R$1073,($C$2:$C$1073=$C13)*($E$2:$E$1073=$E13)*(ROW(R$2:R$1073)&lt;&gt;ROW(R13))*(R$2:R$1073&lt;&gt;""))),"")</f>
        <v>0.16466401188567392</v>
      </c>
      <c r="Y13" cm="1">
        <f t="array" ref="Y13">IFERROR(AVERAGE(_xlfn._xlws.FILTER(S$2:S$1073,($C$2:$C$1073=$C13)*($E$2:$E$1073=$E13)*(ROW(S$2:S$1073)&lt;&gt;ROW(S13))*(S$2:S$1073&lt;&gt;""))),"")</f>
        <v>0.93308346429543454</v>
      </c>
      <c r="Z13" cm="1">
        <f t="array" ref="Z13">IFERROR(AVERAGE(_xlfn._xlws.FILTER(T$2:T$1073,($C$2:$C$1073=$C13)*($E$2:$E$1073=$E13)*(ROW(T$2:T$1073)&lt;&gt;ROW(T13))*(T$2:T$1073&lt;&gt;""))),"")</f>
        <v>7.137529378609328E-2</v>
      </c>
      <c r="AA13" cm="1">
        <f t="array" ref="AA13">IFERROR(AVERAGE(_xlfn._xlws.FILTER(U$2:U$1073,($C$2:$C$1073=$C13)*($E$2:$E$1073=$E13)*(ROW(U$2:U$1073)&lt;&gt;ROW(U13))*(U$2:U$1073&lt;&gt;""))),"")</f>
        <v>0.86783657475742348</v>
      </c>
    </row>
    <row r="14" spans="1:27" x14ac:dyDescent="0.2">
      <c r="A14" s="7" t="s">
        <v>2173</v>
      </c>
      <c r="B14" t="str">
        <f t="shared" si="0"/>
        <v>GAZP IV кв. 2013</v>
      </c>
      <c r="C14">
        <v>2013</v>
      </c>
      <c r="D14">
        <f>SUMIFS(Дивиденды!$C:$C,Дивиденды!$A:$A,A14,Дивиденды!$I:$I,C14)</f>
        <v>7.2</v>
      </c>
      <c r="E14">
        <v>1</v>
      </c>
      <c r="F14">
        <f t="shared" si="1"/>
        <v>7.2</v>
      </c>
      <c r="G14">
        <f t="shared" si="2"/>
        <v>23.261666666666667</v>
      </c>
      <c r="H14">
        <f t="shared" si="3"/>
        <v>1</v>
      </c>
      <c r="I14">
        <f t="shared" si="4"/>
        <v>0.83333333333333337</v>
      </c>
      <c r="J14">
        <f t="shared" si="5"/>
        <v>0.2020033388981636</v>
      </c>
      <c r="K14">
        <f t="shared" si="10"/>
        <v>0.18760300515474779</v>
      </c>
      <c r="L14">
        <f t="shared" si="6"/>
        <v>1</v>
      </c>
      <c r="M14">
        <f t="shared" si="7"/>
        <v>0.66666666666666663</v>
      </c>
      <c r="N14">
        <f t="shared" si="8"/>
        <v>0</v>
      </c>
      <c r="O14">
        <f t="shared" si="9"/>
        <v>0.16666666666666666</v>
      </c>
      <c r="P14">
        <f>IFERROR(LN('Дивиденды по годам'!I14),"")</f>
        <v>30.228976352275751</v>
      </c>
      <c r="Q14">
        <f>IFERROR('Дивиденды по годам'!G14/'Дивиденды по годам'!I14, "")</f>
        <v>0.66537146266260883</v>
      </c>
      <c r="R14">
        <f>IFERROR(IF(AND('Дивиденды по годам'!N14&lt;&gt;"",'Дивиденды по годам'!U14&lt;&gt;"",'Дивиденды по годам'!U14&lt;&gt;0),'Дивиденды по годам'!N14/'Дивиденды по годам'!U14-1,""),"")</f>
        <v>0.10191270232563898</v>
      </c>
      <c r="S14">
        <f>IFERROR(IF(AND('Дивиденды по годам'!L14&lt;&gt;"",'Дивиденды по годам'!I14&lt;&gt;"",'Дивиденды по годам'!J14&lt;&gt;"",'Дивиденды по годам'!K14&lt;&gt;"",('Дивиденды по годам'!I14-'Дивиденды по годам'!J14-'Дивиденды по годам'!K14)&lt;&gt;0),'Дивиденды по годам'!L14/('Дивиденды по годам'!I14-'Дивиденды по годам'!J14-'Дивиденды по годам'!K14),""),"")</f>
        <v>0.94436170811244846</v>
      </c>
      <c r="T14">
        <f>IFERROR(IF(AND('Дивиденды по годам'!Q14&lt;&gt;"",'Дивиденды по годам'!I14&lt;&gt;"",'Дивиденды по годам'!V14&lt;&gt;"",('Дивиденды по годам'!I14+'Дивиденды по годам'!V14)&lt;&gt;0),'Дивиденды по годам'!Q14/(('Дивиденды по годам'!I14+'Дивиденды по годам'!V14)/2),""),"")</f>
        <v>9.1412159678486538E-2</v>
      </c>
      <c r="U14">
        <f>IFERROR(IF(AND('Дивиденды по годам'!J14&lt;&gt;"",'Дивиденды по годам'!K14&lt;&gt;"",'Дивиденды по годам'!M14&lt;&gt;"",'Дивиденды по годам'!M14&lt;&gt;0),('Дивиденды по годам'!J14+'Дивиденды по годам'!K14)/'Дивиденды по годам'!M14,""),"")</f>
        <v>0.39461722083286538</v>
      </c>
      <c r="V14" cm="1">
        <f t="array" ref="V14">IFERROR(AVERAGE(_xlfn._xlws.FILTER(P$2:P$1073,($C$2:$C$1073=$C14)*($E$2:$E$1073=$E14)*(ROW(P$2:P$1073)&lt;&gt;ROW(P14))*(P$2:P$1073&lt;&gt;""))),"")</f>
        <v>28.221138772182435</v>
      </c>
      <c r="W14" cm="1">
        <f t="array" ref="W14">IFERROR(AVERAGE(_xlfn._xlws.FILTER(Q$2:Q$1073,($C$2:$C$1073=$C14)*($E$2:$E$1073=$E14)*(ROW(Q$2:Q$1073)&lt;&gt;ROW(Q14))*(Q$2:Q$1073&lt;&gt;""))),"")</f>
        <v>0.63661212942781331</v>
      </c>
      <c r="X14" cm="1">
        <f t="array" ref="X14">IFERROR(AVERAGE(_xlfn._xlws.FILTER(R$2:R$1073,($C$2:$C$1073=$C14)*($E$2:$E$1073=$E14)*(ROW(R$2:R$1073)&lt;&gt;ROW(R14))*(R$2:R$1073&lt;&gt;""))),"")</f>
        <v>0.2513441352957933</v>
      </c>
      <c r="Y14" cm="1">
        <f t="array" ref="Y14">IFERROR(AVERAGE(_xlfn._xlws.FILTER(S$2:S$1073,($C$2:$C$1073=$C14)*($E$2:$E$1073=$E14)*(ROW(S$2:S$1073)&lt;&gt;ROW(S14))*(S$2:S$1073&lt;&gt;""))),"")</f>
        <v>0.88430354976654146</v>
      </c>
      <c r="Z14" cm="1">
        <f t="array" ref="Z14">IFERROR(AVERAGE(_xlfn._xlws.FILTER(T$2:T$1073,($C$2:$C$1073=$C14)*($E$2:$E$1073=$E14)*(ROW(T$2:T$1073)&lt;&gt;ROW(T14))*(T$2:T$1073&lt;&gt;""))),"")</f>
        <v>0.12452484310466713</v>
      </c>
      <c r="AA14" cm="1">
        <f t="array" ref="AA14">IFERROR(AVERAGE(_xlfn._xlws.FILTER(U$2:U$1073,($C$2:$C$1073=$C14)*($E$2:$E$1073=$E14)*(ROW(U$2:U$1073)&lt;&gt;ROW(U14))*(U$2:U$1073&lt;&gt;""))),"")</f>
        <v>0.67750260631788672</v>
      </c>
    </row>
    <row r="15" spans="1:27" x14ac:dyDescent="0.2">
      <c r="A15" s="7" t="s">
        <v>2173</v>
      </c>
      <c r="B15" t="str">
        <f t="shared" si="0"/>
        <v>GAZP IV кв. 2012</v>
      </c>
      <c r="C15">
        <v>2012</v>
      </c>
      <c r="D15">
        <f>SUMIFS(Дивиденды!$C:$C,Дивиденды!$A:$A,A15,Дивиденды!$I:$I,C15)</f>
        <v>5.99</v>
      </c>
      <c r="E15">
        <v>1</v>
      </c>
      <c r="F15">
        <f t="shared" si="1"/>
        <v>5.99</v>
      </c>
      <c r="G15">
        <f t="shared" si="2"/>
        <v>19.001666666666665</v>
      </c>
      <c r="H15">
        <f t="shared" si="3"/>
        <v>1</v>
      </c>
      <c r="I15">
        <f t="shared" si="4"/>
        <v>0.83333333333333337</v>
      </c>
      <c r="J15">
        <f t="shared" si="5"/>
        <v>-0.33221850613154963</v>
      </c>
      <c r="K15">
        <f t="shared" si="10"/>
        <v>7.6735506186178068E-2</v>
      </c>
      <c r="L15">
        <f t="shared" si="6"/>
        <v>0</v>
      </c>
      <c r="M15">
        <f t="shared" si="7"/>
        <v>0.66666666666666663</v>
      </c>
      <c r="N15">
        <f t="shared" si="8"/>
        <v>1</v>
      </c>
      <c r="O15">
        <f t="shared" si="9"/>
        <v>0.16666666666666666</v>
      </c>
      <c r="P15">
        <f>IFERROR(LN('Дивиденды по годам'!I15),"")</f>
        <v>30.121589955223332</v>
      </c>
      <c r="Q15">
        <f>IFERROR('Дивиденды по годам'!G15/'Дивиденды по годам'!I15, "")</f>
        <v>0.64785398974937225</v>
      </c>
      <c r="R15">
        <f>IFERROR(IF(AND('Дивиденды по годам'!N15&lt;&gt;"",'Дивиденды по годам'!U15&lt;&gt;"",'Дивиденды по годам'!U15&lt;&gt;0),'Дивиденды по годам'!N15/'Дивиденды по годам'!U15-1,""),"")</f>
        <v>2.7457090546010532E-2</v>
      </c>
      <c r="S15">
        <f>IFERROR(IF(AND('Дивиденды по годам'!L15&lt;&gt;"",'Дивиденды по годам'!I15&lt;&gt;"",'Дивиденды по годам'!J15&lt;&gt;"",'Дивиденды по годам'!K15&lt;&gt;"",('Дивиденды по годам'!I15-'Дивиденды по годам'!J15-'Дивиденды по годам'!K15)&lt;&gt;0),'Дивиденды по годам'!L15/('Дивиденды по годам'!I15-'Дивиденды по годам'!J15-'Дивиденды по годам'!K15),""),"")</f>
        <v>0.93903490756449703</v>
      </c>
      <c r="T15">
        <f>IFERROR(IF(AND('Дивиденды по годам'!Q15&lt;&gt;"",'Дивиденды по годам'!I15&lt;&gt;"",'Дивиденды по годам'!V15&lt;&gt;"",('Дивиденды по годам'!I15+'Дивиденды по годам'!V15)&lt;&gt;0),'Дивиденды по годам'!Q15/(('Дивиденды по годам'!I15+'Дивиденды по годам'!V15)/2),""),"")</f>
        <v>0.10540943848479907</v>
      </c>
      <c r="U15">
        <f>IFERROR(IF(AND('Дивиденды по годам'!J15&lt;&gt;"",'Дивиденды по годам'!K15&lt;&gt;"",'Дивиденды по годам'!M15&lt;&gt;"",'Дивиденды по годам'!M15&lt;&gt;0),('Дивиденды по годам'!J15+'Дивиденды по годам'!K15)/'Дивиденды по годам'!M15,""),"")</f>
        <v>0.38696800655181979</v>
      </c>
      <c r="V15" cm="1">
        <f t="array" ref="V15">IFERROR(AVERAGE(_xlfn._xlws.FILTER(P$2:P$1073,($C$2:$C$1073=$C15)*($E$2:$E$1073=$E15)*(ROW(P$2:P$1073)&lt;&gt;ROW(P15))*(P$2:P$1073&lt;&gt;""))),"")</f>
        <v>27.941601621502926</v>
      </c>
      <c r="W15" cm="1">
        <f t="array" ref="W15">IFERROR(AVERAGE(_xlfn._xlws.FILTER(Q$2:Q$1073,($C$2:$C$1073=$C15)*($E$2:$E$1073=$E15)*(ROW(Q$2:Q$1073)&lt;&gt;ROW(Q15))*(Q$2:Q$1073&lt;&gt;""))),"")</f>
        <v>0.61294539861361075</v>
      </c>
      <c r="X15" cm="1">
        <f t="array" ref="X15">IFERROR(AVERAGE(_xlfn._xlws.FILTER(R$2:R$1073,($C$2:$C$1073=$C15)*($E$2:$E$1073=$E15)*(ROW(R$2:R$1073)&lt;&gt;ROW(R15))*(R$2:R$1073&lt;&gt;""))),"")</f>
        <v>3.9661079067105198E-2</v>
      </c>
      <c r="Y15" cm="1">
        <f t="array" ref="Y15">IFERROR(AVERAGE(_xlfn._xlws.FILTER(S$2:S$1073,($C$2:$C$1073=$C15)*($E$2:$E$1073=$E15)*(ROW(S$2:S$1073)&lt;&gt;ROW(S15))*(S$2:S$1073&lt;&gt;""))),"")</f>
        <v>0.89795663617077426</v>
      </c>
      <c r="Z15" cm="1">
        <f t="array" ref="Z15">IFERROR(AVERAGE(_xlfn._xlws.FILTER(T$2:T$1073,($C$2:$C$1073=$C15)*($E$2:$E$1073=$E15)*(ROW(T$2:T$1073)&lt;&gt;ROW(T15))*(T$2:T$1073&lt;&gt;""))),"")</f>
        <v>0.12530018729702813</v>
      </c>
      <c r="AA15" cm="1">
        <f t="array" ref="AA15">IFERROR(AVERAGE(_xlfn._xlws.FILTER(U$2:U$1073,($C$2:$C$1073=$C15)*($E$2:$E$1073=$E15)*(ROW(U$2:U$1073)&lt;&gt;ROW(U15))*(U$2:U$1073&lt;&gt;""))),"")</f>
        <v>0.50988452343578827</v>
      </c>
    </row>
    <row r="16" spans="1:27" x14ac:dyDescent="0.2">
      <c r="A16" s="7" t="s">
        <v>2173</v>
      </c>
      <c r="B16" t="str">
        <f t="shared" si="0"/>
        <v>GAZP IV кв. 2011</v>
      </c>
      <c r="C16">
        <v>2011</v>
      </c>
      <c r="D16">
        <f>SUMIFS(Дивиденды!$C:$C,Дивиденды!$A:$A,A16,Дивиденды!$I:$I,C16)</f>
        <v>8.9700000000000006</v>
      </c>
      <c r="E16">
        <v>1</v>
      </c>
      <c r="F16">
        <f t="shared" si="1"/>
        <v>8.9700000000000006</v>
      </c>
      <c r="G16">
        <f t="shared" si="2"/>
        <v>16.035</v>
      </c>
      <c r="H16">
        <f t="shared" si="3"/>
        <v>1</v>
      </c>
      <c r="I16">
        <f t="shared" si="4"/>
        <v>0.83333333333333337</v>
      </c>
      <c r="J16">
        <f t="shared" si="5"/>
        <v>1.3298701298701301</v>
      </c>
      <c r="K16">
        <f t="shared" si="10"/>
        <v>0.51830097933003938</v>
      </c>
      <c r="L16">
        <f t="shared" si="6"/>
        <v>1</v>
      </c>
      <c r="M16">
        <f t="shared" si="7"/>
        <v>0.83333333333333337</v>
      </c>
      <c r="N16">
        <f t="shared" si="8"/>
        <v>0</v>
      </c>
      <c r="O16">
        <f t="shared" si="9"/>
        <v>0</v>
      </c>
      <c r="P16">
        <f>IFERROR(LN('Дивиденды по годам'!I16),"")</f>
        <v>30.019847756336127</v>
      </c>
      <c r="Q16">
        <f>IFERROR('Дивиденды по годам'!G16/'Дивиденды по годам'!I16, "")</f>
        <v>0.61634367200039342</v>
      </c>
      <c r="R16">
        <f>IFERROR(IF(AND('Дивиденды по годам'!N16&lt;&gt;"",'Дивиденды по годам'!U16&lt;&gt;"",'Дивиденды по годам'!U16&lt;&gt;0),'Дивиденды по годам'!N16/'Дивиденды по годам'!U16-1,""),"")</f>
        <v>0.28913549810483796</v>
      </c>
      <c r="S16">
        <f>IFERROR(IF(AND('Дивиденды по годам'!L16&lt;&gt;"",'Дивиденды по годам'!I16&lt;&gt;"",'Дивиденды по годам'!J16&lt;&gt;"",'Дивиденды по годам'!K16&lt;&gt;"",('Дивиденды по годам'!I16-'Дивиденды по годам'!J16-'Дивиденды по годам'!K16)&lt;&gt;0),'Дивиденды по годам'!L16/('Дивиденды по годам'!I16-'Дивиденды по годам'!J16-'Дивиденды по годам'!K16),""),"")</f>
        <v>0.93325478666319805</v>
      </c>
      <c r="T16">
        <f>IFERROR(IF(AND('Дивиденды по годам'!Q16&lt;&gt;"",'Дивиденды по годам'!I16&lt;&gt;"",'Дивиденды по годам'!V16&lt;&gt;"",('Дивиденды по годам'!I16+'Дивиденды по годам'!V16)&lt;&gt;0),'Дивиденды по годам'!Q16/(('Дивиденды по годам'!I16+'Дивиденды по годам'!V16)/2),""),"")</f>
        <v>0.13333294266996923</v>
      </c>
      <c r="U16">
        <f>IFERROR(IF(AND('Дивиденды по годам'!J16&lt;&gt;"",'Дивиденды по годам'!K16&lt;&gt;"",'Дивиденды по годам'!M16&lt;&gt;"",'Дивиденды по годам'!M16&lt;&gt;0),('Дивиденды по годам'!J16+'Дивиденды по годам'!K16)/'Дивиденды по годам'!M16,""),"")</f>
        <v>0.40454949632076626</v>
      </c>
      <c r="V16" cm="1">
        <f t="array" ref="V16">IFERROR(AVERAGE(_xlfn._xlws.FILTER(P$2:P$1073,($C$2:$C$1073=$C16)*($E$2:$E$1073=$E16)*(ROW(P$2:P$1073)&lt;&gt;ROW(P16))*(P$2:P$1073&lt;&gt;""))),"")</f>
        <v>27.825817898387751</v>
      </c>
      <c r="W16" cm="1">
        <f t="array" ref="W16">IFERROR(AVERAGE(_xlfn._xlws.FILTER(Q$2:Q$1073,($C$2:$C$1073=$C16)*($E$2:$E$1073=$E16)*(ROW(Q$2:Q$1073)&lt;&gt;ROW(Q16))*(Q$2:Q$1073&lt;&gt;""))),"")</f>
        <v>0.60116680696246461</v>
      </c>
      <c r="X16" cm="1">
        <f t="array" ref="X16">IFERROR(AVERAGE(_xlfn._xlws.FILTER(R$2:R$1073,($C$2:$C$1073=$C16)*($E$2:$E$1073=$E16)*(ROW(R$2:R$1073)&lt;&gt;ROW(R16))*(R$2:R$1073&lt;&gt;""))),"")</f>
        <v>0.36602667856981935</v>
      </c>
      <c r="Y16" cm="1">
        <f t="array" ref="Y16">IFERROR(AVERAGE(_xlfn._xlws.FILTER(S$2:S$1073,($C$2:$C$1073=$C16)*($E$2:$E$1073=$E16)*(ROW(S$2:S$1073)&lt;&gt;ROW(S16))*(S$2:S$1073&lt;&gt;""))),"")</f>
        <v>0.86979962745428385</v>
      </c>
      <c r="Z16" cm="1">
        <f t="array" ref="Z16">IFERROR(AVERAGE(_xlfn._xlws.FILTER(T$2:T$1073,($C$2:$C$1073=$C16)*($E$2:$E$1073=$E16)*(ROW(T$2:T$1073)&lt;&gt;ROW(T16))*(T$2:T$1073&lt;&gt;""))),"")</f>
        <v>0.16853339678081239</v>
      </c>
      <c r="AA16" cm="1">
        <f t="array" ref="AA16">IFERROR(AVERAGE(_xlfn._xlws.FILTER(U$2:U$1073,($C$2:$C$1073=$C16)*($E$2:$E$1073=$E16)*(ROW(U$2:U$1073)&lt;&gt;ROW(U16))*(U$2:U$1073&lt;&gt;""))),"")</f>
        <v>0.53166591966577403</v>
      </c>
    </row>
    <row r="17" spans="1:27" x14ac:dyDescent="0.2">
      <c r="A17" s="7" t="s">
        <v>2173</v>
      </c>
      <c r="B17" t="str">
        <f t="shared" si="0"/>
        <v>GAZP IV кв. 2010</v>
      </c>
      <c r="C17">
        <v>2010</v>
      </c>
      <c r="D17">
        <f>SUMIFS(Дивиденды!$C:$C,Дивиденды!$A:$A,A17,Дивиденды!$I:$I,C17)</f>
        <v>3.85</v>
      </c>
      <c r="E17">
        <v>1</v>
      </c>
      <c r="F17">
        <f t="shared" si="1"/>
        <v>3.85</v>
      </c>
      <c r="G17">
        <f t="shared" si="2"/>
        <v>11.88</v>
      </c>
      <c r="H17">
        <f t="shared" si="3"/>
        <v>1</v>
      </c>
      <c r="I17">
        <f t="shared" si="4"/>
        <v>0.83333333333333337</v>
      </c>
      <c r="J17" t="str">
        <f t="shared" si="5"/>
        <v/>
      </c>
      <c r="K17" t="str">
        <f t="shared" si="10"/>
        <v/>
      </c>
      <c r="L17" t="str">
        <f t="shared" si="6"/>
        <v/>
      </c>
      <c r="M17" t="str">
        <f t="shared" si="7"/>
        <v/>
      </c>
      <c r="N17" t="str">
        <f t="shared" si="8"/>
        <v/>
      </c>
      <c r="O17" t="str">
        <f t="shared" si="9"/>
        <v/>
      </c>
      <c r="P17">
        <f>IFERROR(LN('Дивиденды по годам'!I17),"")</f>
        <v>29.854129249516657</v>
      </c>
      <c r="Q17">
        <f>IFERROR('Дивиденды по годам'!G17/'Дивиденды по годам'!I17, "")</f>
        <v>0.59402697685024231</v>
      </c>
      <c r="R17" t="str">
        <f>IFERROR(IF(AND('Дивиденды по годам'!N17&lt;&gt;"",'Дивиденды по годам'!U17&lt;&gt;"",'Дивиденды по годам'!U17&lt;&gt;0),'Дивиденды по годам'!N17/'Дивиденды по годам'!U17-1,""),"")</f>
        <v/>
      </c>
      <c r="S17">
        <f>IFERROR(IF(AND('Дивиденды по годам'!L17&lt;&gt;"",'Дивиденды по годам'!I17&lt;&gt;"",'Дивиденды по годам'!J17&lt;&gt;"",'Дивиденды по годам'!K17&lt;&gt;"",('Дивиденды по годам'!I17-'Дивиденды по годам'!J17-'Дивиденды по годам'!K17)&lt;&gt;0),'Дивиденды по годам'!L17/('Дивиденды по годам'!I17-'Дивиденды по годам'!J17-'Дивиденды по годам'!K17),""),"")</f>
        <v>0.92230875865026429</v>
      </c>
      <c r="T17" t="str">
        <f>IFERROR(IF(AND('Дивиденды по годам'!Q17&lt;&gt;"",'Дивиденды по годам'!I17&lt;&gt;"",'Дивиденды по годам'!V17&lt;&gt;"",('Дивиденды по годам'!I17+'Дивиденды по годам'!V17)&lt;&gt;0),'Дивиденды по годам'!Q17/(('Дивиденды по годам'!I17+'Дивиденды по годам'!V17)/2),""),"")</f>
        <v/>
      </c>
      <c r="U17">
        <f>IFERROR(IF(AND('Дивиденды по годам'!J17&lt;&gt;"",'Дивиденды по годам'!K17&lt;&gt;"",'Дивиденды по годам'!M17&lt;&gt;"",'Дивиденды по годам'!M17&lt;&gt;0),('Дивиденды по годам'!J17+'Дивиденды по годам'!K17)/'Дивиденды по годам'!M17,""),"")</f>
        <v>0.4130175796593854</v>
      </c>
      <c r="V17" cm="1">
        <f t="array" ref="V17">IFERROR(AVERAGE(_xlfn._xlws.FILTER(P$2:P$1073,($C$2:$C$1073=$C17)*($E$2:$E$1073=$E17)*(ROW(P$2:P$1073)&lt;&gt;ROW(P17))*(P$2:P$1073&lt;&gt;""))),"")</f>
        <v>27.472074535726197</v>
      </c>
      <c r="W17" cm="1">
        <f t="array" ref="W17">IFERROR(AVERAGE(_xlfn._xlws.FILTER(Q$2:Q$1073,($C$2:$C$1073=$C17)*($E$2:$E$1073=$E17)*(ROW(Q$2:Q$1073)&lt;&gt;ROW(Q17))*(Q$2:Q$1073&lt;&gt;""))),"")</f>
        <v>0.65047598549620578</v>
      </c>
      <c r="X17" cm="1">
        <f t="array" ref="X17">IFERROR(AVERAGE(_xlfn._xlws.FILTER(R$2:R$1073,($C$2:$C$1073=$C17)*($E$2:$E$1073=$E17)*(ROW(R$2:R$1073)&lt;&gt;ROW(R17))*(R$2:R$1073&lt;&gt;""))),"")</f>
        <v>0.23861324477859247</v>
      </c>
      <c r="Y17" cm="1">
        <f t="array" ref="Y17">IFERROR(AVERAGE(_xlfn._xlws.FILTER(S$2:S$1073,($C$2:$C$1073=$C17)*($E$2:$E$1073=$E17)*(ROW(S$2:S$1073)&lt;&gt;ROW(S17))*(S$2:S$1073&lt;&gt;""))),"")</f>
        <v>0.82690725782620733</v>
      </c>
      <c r="Z17" cm="1">
        <f t="array" ref="Z17">IFERROR(AVERAGE(_xlfn._xlws.FILTER(T$2:T$1073,($C$2:$C$1073=$C17)*($E$2:$E$1073=$E17)*(ROW(T$2:T$1073)&lt;&gt;ROW(T17))*(T$2:T$1073&lt;&gt;""))),"")</f>
        <v>0.10947396081496689</v>
      </c>
      <c r="AA17" cm="1">
        <f t="array" ref="AA17">IFERROR(AVERAGE(_xlfn._xlws.FILTER(U$2:U$1073,($C$2:$C$1073=$C17)*($E$2:$E$1073=$E17)*(ROW(U$2:U$1073)&lt;&gt;ROW(U17))*(U$2:U$1073&lt;&gt;""))),"")</f>
        <v>0.55457444837779901</v>
      </c>
    </row>
    <row r="18" spans="1:27" x14ac:dyDescent="0.2">
      <c r="A18" s="7" t="s">
        <v>2178</v>
      </c>
      <c r="B18" t="str">
        <f t="shared" si="0"/>
        <v>LKOH IV кв. 2025</v>
      </c>
      <c r="C18">
        <v>2025</v>
      </c>
      <c r="D18">
        <f>SUMIFS(Дивиденды!$C:$C,Дивиденды!$A:$A,A18,Дивиденды!$I:$I,C18)</f>
        <v>397</v>
      </c>
      <c r="E18">
        <v>1</v>
      </c>
      <c r="F18">
        <f t="shared" si="1"/>
        <v>397</v>
      </c>
      <c r="G18">
        <f t="shared" si="2"/>
        <v>11.590000000000002</v>
      </c>
      <c r="H18">
        <f t="shared" si="3"/>
        <v>1</v>
      </c>
      <c r="I18">
        <f t="shared" si="4"/>
        <v>0.5</v>
      </c>
      <c r="J18">
        <f t="shared" si="5"/>
        <v>-0.62369668246445498</v>
      </c>
      <c r="K18">
        <f t="shared" si="10"/>
        <v>-0.51901680290072039</v>
      </c>
      <c r="L18">
        <f t="shared" si="6"/>
        <v>0</v>
      </c>
      <c r="M18">
        <f t="shared" si="7"/>
        <v>0</v>
      </c>
      <c r="N18">
        <f t="shared" si="8"/>
        <v>1</v>
      </c>
      <c r="O18">
        <f t="shared" si="9"/>
        <v>0.66666666666666663</v>
      </c>
      <c r="P18">
        <f>IFERROR(LN('Дивиденды по годам'!I18),"")</f>
        <v>29.331107632614167</v>
      </c>
      <c r="Q18">
        <f>IFERROR('Дивиденды по годам'!G18/'Дивиденды по годам'!I18, "")</f>
        <v>0.68588586811281049</v>
      </c>
      <c r="R18">
        <f>IFERROR(IF(AND('Дивиденды по годам'!N18&lt;&gt;"",'Дивиденды по годам'!U18&lt;&gt;"",'Дивиденды по годам'!U18&lt;&gt;0),'Дивиденды по годам'!N18/'Дивиденды по годам'!U18-1,""),"")</f>
        <v>-0.56298308392180951</v>
      </c>
      <c r="S18">
        <f>IFERROR(IF(AND('Дивиденды по годам'!L18&lt;&gt;"",'Дивиденды по годам'!I18&lt;&gt;"",'Дивиденды по годам'!J18&lt;&gt;"",'Дивиденды по годам'!K18&lt;&gt;"",('Дивиденды по годам'!I18-'Дивиденды по годам'!J18-'Дивиденды по годам'!K18)&lt;&gt;0),'Дивиденды по годам'!L18/('Дивиденды по годам'!I18-'Дивиденды по годам'!J18-'Дивиденды по годам'!K18),""),"")</f>
        <v>1.1230089015354674</v>
      </c>
      <c r="T18">
        <f>IFERROR(IF(AND('Дивиденды по годам'!Q18&lt;&gt;"",'Дивиденды по годам'!I18&lt;&gt;"",'Дивиденды по годам'!V18&lt;&gt;"",('Дивиденды по годам'!I18+'Дивиденды по годам'!V18)&lt;&gt;0),'Дивиденды по годам'!Q18/(('Дивиденды по годам'!I18+'Дивиденды по годам'!V18)/2),""),"")</f>
        <v>-0.14364113670492185</v>
      </c>
      <c r="U18">
        <f>IFERROR(IF(AND('Дивиденды по годам'!J18&lt;&gt;"",'Дивиденды по годам'!K18&lt;&gt;"",'Дивиденды по годам'!M18&lt;&gt;"",'Дивиденды по годам'!M18&lt;&gt;0),('Дивиденды по годам'!J18+'Дивиденды по годам'!K18)/'Дивиденды по годам'!M18,""),"")</f>
        <v>0.50958002213181863</v>
      </c>
      <c r="V18" cm="1">
        <f t="array" ref="V18">IFERROR(AVERAGE(_xlfn._xlws.FILTER(P$2:P$1073,($C$2:$C$1073=$C18)*($E$2:$E$1073=$E18)*(ROW(P$2:P$1073)&lt;&gt;ROW(P18))*(P$2:P$1073&lt;&gt;""))),"")</f>
        <v>27.965881784273439</v>
      </c>
      <c r="W18" cm="1">
        <f t="array" ref="W18">IFERROR(AVERAGE(_xlfn._xlws.FILTER(Q$2:Q$1073,($C$2:$C$1073=$C18)*($E$2:$E$1073=$E18)*(ROW(Q$2:Q$1073)&lt;&gt;ROW(Q18))*(Q$2:Q$1073&lt;&gt;""))),"")</f>
        <v>0.48362929511585939</v>
      </c>
      <c r="X18" cm="1">
        <f t="array" ref="X18">IFERROR(AVERAGE(_xlfn._xlws.FILTER(R$2:R$1073,($C$2:$C$1073=$C18)*($E$2:$E$1073=$E18)*(ROW(R$2:R$1073)&lt;&gt;ROW(R18))*(R$2:R$1073&lt;&gt;""))),"")</f>
        <v>-0.14739193038941423</v>
      </c>
      <c r="Y18" cm="1">
        <f t="array" ref="Y18">IFERROR(AVERAGE(_xlfn._xlws.FILTER(S$2:S$1073,($C$2:$C$1073=$C18)*($E$2:$E$1073=$E18)*(ROW(S$2:S$1073)&lt;&gt;ROW(S18))*(S$2:S$1073&lt;&gt;""))),"")</f>
        <v>0.50408285438884981</v>
      </c>
      <c r="Z18" cm="1">
        <f t="array" ref="Z18">IFERROR(AVERAGE(_xlfn._xlws.FILTER(T$2:T$1073,($C$2:$C$1073=$C18)*($E$2:$E$1073=$E18)*(ROW(T$2:T$1073)&lt;&gt;ROW(T18))*(T$2:T$1073&lt;&gt;""))),"")</f>
        <v>6.267922650424286E-2</v>
      </c>
      <c r="AA18" cm="1">
        <f t="array" ref="AA18">IFERROR(AVERAGE(_xlfn._xlws.FILTER(U$2:U$1073,($C$2:$C$1073=$C18)*($E$2:$E$1073=$E18)*(ROW(U$2:U$1073)&lt;&gt;ROW(U18))*(U$2:U$1073&lt;&gt;""))),"")</f>
        <v>0.7805901422478313</v>
      </c>
    </row>
    <row r="19" spans="1:27" x14ac:dyDescent="0.2">
      <c r="A19" s="7" t="s">
        <v>2178</v>
      </c>
      <c r="B19" t="str">
        <f t="shared" si="0"/>
        <v>LKOH IV кв. 2024</v>
      </c>
      <c r="C19">
        <v>2024</v>
      </c>
      <c r="D19">
        <f>SUMIFS(Дивиденды!$C:$C,Дивиденды!$A:$A,A19,Дивиденды!$I:$I,C19)</f>
        <v>1055</v>
      </c>
      <c r="E19">
        <v>1</v>
      </c>
      <c r="F19">
        <f t="shared" si="1"/>
        <v>1055</v>
      </c>
      <c r="G19">
        <f t="shared" si="2"/>
        <v>38.81666666666667</v>
      </c>
      <c r="H19">
        <f t="shared" si="3"/>
        <v>1</v>
      </c>
      <c r="I19">
        <f t="shared" si="4"/>
        <v>0.66666666666666663</v>
      </c>
      <c r="J19">
        <f t="shared" si="5"/>
        <v>0.1164021164021164</v>
      </c>
      <c r="K19">
        <f t="shared" si="10"/>
        <v>1.3813615003758118E-2</v>
      </c>
      <c r="L19">
        <f t="shared" si="6"/>
        <v>1</v>
      </c>
      <c r="M19">
        <f t="shared" si="7"/>
        <v>0.5</v>
      </c>
      <c r="N19">
        <f t="shared" si="8"/>
        <v>0</v>
      </c>
      <c r="O19">
        <f t="shared" si="9"/>
        <v>0.16666666666666666</v>
      </c>
      <c r="P19">
        <f>IFERROR(LN('Дивиденды по годам'!I19),"")</f>
        <v>29.859164842737719</v>
      </c>
      <c r="Q19">
        <f>IFERROR('Дивиденды по годам'!G19/'Дивиденды по годам'!I19, "")</f>
        <v>0.5404276530147365</v>
      </c>
      <c r="R19">
        <f>IFERROR(IF(AND('Дивиденды по годам'!N19&lt;&gt;"",'Дивиденды по годам'!U19&lt;&gt;"",'Дивиденды по годам'!U19&lt;&gt;0),'Дивиденды по годам'!N19/'Дивиденды по годам'!U19-1,""),"")</f>
        <v>8.7440906332666657E-2</v>
      </c>
      <c r="S19">
        <f>IFERROR(IF(AND('Дивиденды по годам'!L19&lt;&gt;"",'Дивиденды по годам'!I19&lt;&gt;"",'Дивиденды по годам'!J19&lt;&gt;"",'Дивиденды по годам'!K19&lt;&gt;"",('Дивиденды по годам'!I19-'Дивиденды по годам'!J19-'Дивиденды по годам'!K19)&lt;&gt;0),'Дивиденды по годам'!L19/('Дивиденды по годам'!I19-'Дивиденды по годам'!J19-'Дивиденды по годам'!K19),""),"")</f>
        <v>0.82896494026124168</v>
      </c>
      <c r="T19">
        <f>IFERROR(IF(AND('Дивиденды по годам'!Q19&lt;&gt;"",'Дивиденды по годам'!I19&lt;&gt;"",'Дивиденды по годам'!V19&lt;&gt;"",('Дивиденды по годам'!I19+'Дивиденды по годам'!V19)&lt;&gt;0),'Дивиденды по годам'!Q19/(('Дивиденды по годам'!I19+'Дивиденды по годам'!V19)/2),""),"")</f>
        <v>9.5236359065184004E-2</v>
      </c>
      <c r="U19">
        <f>IFERROR(IF(AND('Дивиденды по годам'!J19&lt;&gt;"",'Дивиденды по годам'!K19&lt;&gt;"",'Дивиденды по годам'!M19&lt;&gt;"",'Дивиденды по годам'!M19&lt;&gt;0),('Дивиденды по годам'!J19+'Дивиденды по годам'!K19)/'Дивиденды по годам'!M19,""),"")</f>
        <v>0.34686712493659322</v>
      </c>
      <c r="V19" cm="1">
        <f t="array" ref="V19">IFERROR(AVERAGE(_xlfn._xlws.FILTER(P$2:P$1073,($C$2:$C$1073=$C19)*($E$2:$E$1073=$E19)*(ROW(P$2:P$1073)&lt;&gt;ROW(P19))*(P$2:P$1073&lt;&gt;""))),"")</f>
        <v>29.134922345504503</v>
      </c>
      <c r="W19" cm="1">
        <f t="array" ref="W19">IFERROR(AVERAGE(_xlfn._xlws.FILTER(Q$2:Q$1073,($C$2:$C$1073=$C19)*($E$2:$E$1073=$E19)*(ROW(Q$2:Q$1073)&lt;&gt;ROW(Q19))*(Q$2:Q$1073&lt;&gt;""))),"")</f>
        <v>0.53928840931806321</v>
      </c>
      <c r="X19" cm="1">
        <f t="array" ref="X19">IFERROR(AVERAGE(_xlfn._xlws.FILTER(R$2:R$1073,($C$2:$C$1073=$C19)*($E$2:$E$1073=$E19)*(ROW(R$2:R$1073)&lt;&gt;ROW(R19))*(R$2:R$1073&lt;&gt;""))),"")</f>
        <v>0.20456843886029691</v>
      </c>
      <c r="Y19" cm="1">
        <f t="array" ref="Y19">IFERROR(AVERAGE(_xlfn._xlws.FILTER(S$2:S$1073,($C$2:$C$1073=$C19)*($E$2:$E$1073=$E19)*(ROW(S$2:S$1073)&lt;&gt;ROW(S19))*(S$2:S$1073&lt;&gt;""))),"")</f>
        <v>0.81251188819685982</v>
      </c>
      <c r="Z19" cm="1">
        <f t="array" ref="Z19">IFERROR(AVERAGE(_xlfn._xlws.FILTER(T$2:T$1073,($C$2:$C$1073=$C19)*($E$2:$E$1073=$E19)*(ROW(T$2:T$1073)&lt;&gt;ROW(T19))*(T$2:T$1073&lt;&gt;""))),"")</f>
        <v>0.11160805951599957</v>
      </c>
      <c r="AA19" cm="1">
        <f t="array" ref="AA19">IFERROR(AVERAGE(_xlfn._xlws.FILTER(U$2:U$1073,($C$2:$C$1073=$C19)*($E$2:$E$1073=$E19)*(ROW(U$2:U$1073)&lt;&gt;ROW(U19))*(U$2:U$1073&lt;&gt;""))),"")</f>
        <v>0.93016737741718614</v>
      </c>
    </row>
    <row r="20" spans="1:27" x14ac:dyDescent="0.2">
      <c r="A20" s="7" t="s">
        <v>2178</v>
      </c>
      <c r="B20" t="str">
        <f t="shared" si="0"/>
        <v>LKOH IV кв. 2023</v>
      </c>
      <c r="C20">
        <v>2023</v>
      </c>
      <c r="D20">
        <f>SUMIFS(Дивиденды!$C:$C,Дивиденды!$A:$A,A20,Дивиденды!$I:$I,C20)</f>
        <v>945</v>
      </c>
      <c r="E20">
        <v>1</v>
      </c>
      <c r="F20">
        <f t="shared" si="1"/>
        <v>945</v>
      </c>
      <c r="G20">
        <f t="shared" si="2"/>
        <v>37.85</v>
      </c>
      <c r="H20">
        <f t="shared" si="3"/>
        <v>1</v>
      </c>
      <c r="I20">
        <f t="shared" si="4"/>
        <v>0.66666666666666663</v>
      </c>
      <c r="J20">
        <f t="shared" si="5"/>
        <v>-0.23233143785540211</v>
      </c>
      <c r="K20">
        <f t="shared" si="10"/>
        <v>-5.4759710185117549E-2</v>
      </c>
      <c r="L20">
        <f t="shared" si="6"/>
        <v>0</v>
      </c>
      <c r="M20">
        <f t="shared" si="7"/>
        <v>0.5</v>
      </c>
      <c r="N20">
        <f t="shared" si="8"/>
        <v>1</v>
      </c>
      <c r="O20">
        <f t="shared" si="9"/>
        <v>0.33333333333333331</v>
      </c>
      <c r="P20">
        <f>IFERROR(LN('Дивиденды по годам'!I20),"")</f>
        <v>29.78280343526475</v>
      </c>
      <c r="Q20">
        <f>IFERROR('Дивиденды по годам'!G20/'Дивиденды по годам'!I20, "")</f>
        <v>0.54917523170754823</v>
      </c>
      <c r="R20" t="str">
        <f>IFERROR(IF(AND('Дивиденды по годам'!N20&lt;&gt;"",'Дивиденды по годам'!U20&lt;&gt;"",'Дивиденды по годам'!U20&lt;&gt;0),'Дивиденды по годам'!N20/'Дивиденды по годам'!U20-1,""),"")</f>
        <v/>
      </c>
      <c r="S20">
        <f>IFERROR(IF(AND('Дивиденды по годам'!L20&lt;&gt;"",'Дивиденды по годам'!I20&lt;&gt;"",'Дивиденды по годам'!J20&lt;&gt;"",'Дивиденды по годам'!K20&lt;&gt;"",('Дивиденды по годам'!I20-'Дивиденды по годам'!J20-'Дивиденды по годам'!K20)&lt;&gt;0),'Дивиденды по годам'!L20/('Дивиденды по годам'!I20-'Дивиденды по годам'!J20-'Дивиденды по годам'!K20),""),"")</f>
        <v>0.86840691473033393</v>
      </c>
      <c r="T20" t="str">
        <f>IFERROR(IF(AND('Дивиденды по годам'!Q20&lt;&gt;"",'Дивиденды по годам'!I20&lt;&gt;"",'Дивиденды по годам'!V20&lt;&gt;"",('Дивиденды по годам'!I20+'Дивиденды по годам'!V20)&lt;&gt;0),'Дивиденды по годам'!Q20/(('Дивиденды по годам'!I20+'Дивиденды по годам'!V20)/2),""),"")</f>
        <v/>
      </c>
      <c r="U20">
        <f>IFERROR(IF(AND('Дивиденды по годам'!J20&lt;&gt;"",'Дивиденды по годам'!K20&lt;&gt;"",'Дивиденды по годам'!M20&lt;&gt;"",'Дивиденды по годам'!M20&lt;&gt;0),('Дивиденды по годам'!J20+'Дивиденды по годам'!K20)/'Дивиденды по годам'!M20,""),"")</f>
        <v>0.34351819407292311</v>
      </c>
      <c r="V20" cm="1">
        <f t="array" ref="V20">IFERROR(AVERAGE(_xlfn._xlws.FILTER(P$2:P$1073,($C$2:$C$1073=$C20)*($E$2:$E$1073=$E20)*(ROW(P$2:P$1073)&lt;&gt;ROW(P20))*(P$2:P$1073&lt;&gt;""))),"")</f>
        <v>29.151420303158222</v>
      </c>
      <c r="W20" cm="1">
        <f t="array" ref="W20">IFERROR(AVERAGE(_xlfn._xlws.FILTER(Q$2:Q$1073,($C$2:$C$1073=$C20)*($E$2:$E$1073=$E20)*(ROW(Q$2:Q$1073)&lt;&gt;ROW(Q20))*(Q$2:Q$1073&lt;&gt;""))),"")</f>
        <v>0.48897205539068356</v>
      </c>
      <c r="X20" cm="1">
        <f t="array" ref="X20">IFERROR(AVERAGE(_xlfn._xlws.FILTER(R$2:R$1073,($C$2:$C$1073=$C20)*($E$2:$E$1073=$E20)*(ROW(R$2:R$1073)&lt;&gt;ROW(R20))*(R$2:R$1073&lt;&gt;""))),"")</f>
        <v>-9.5200738872077639E-2</v>
      </c>
      <c r="Y20" cm="1">
        <f t="array" ref="Y20">IFERROR(AVERAGE(_xlfn._xlws.FILTER(S$2:S$1073,($C$2:$C$1073=$C20)*($E$2:$E$1073=$E20)*(ROW(S$2:S$1073)&lt;&gt;ROW(S20))*(S$2:S$1073&lt;&gt;""))),"")</f>
        <v>0.80672095515923137</v>
      </c>
      <c r="Z20" cm="1">
        <f t="array" ref="Z20">IFERROR(AVERAGE(_xlfn._xlws.FILTER(T$2:T$1073,($C$2:$C$1073=$C20)*($E$2:$E$1073=$E20)*(ROW(T$2:T$1073)&lt;&gt;ROW(T20))*(T$2:T$1073&lt;&gt;""))),"")</f>
        <v>8.3497415799470329E-2</v>
      </c>
      <c r="AA20" cm="1">
        <f t="array" ref="AA20">IFERROR(AVERAGE(_xlfn._xlws.FILTER(U$2:U$1073,($C$2:$C$1073=$C20)*($E$2:$E$1073=$E20)*(ROW(U$2:U$1073)&lt;&gt;ROW(U20))*(U$2:U$1073&lt;&gt;""))),"")</f>
        <v>0.90513952300419576</v>
      </c>
    </row>
    <row r="21" spans="1:27" x14ac:dyDescent="0.2">
      <c r="A21" s="7" t="s">
        <v>2178</v>
      </c>
      <c r="B21" t="str">
        <f t="shared" si="0"/>
        <v>LKOH IV кв. 2022</v>
      </c>
      <c r="C21">
        <v>2022</v>
      </c>
      <c r="D21">
        <f>SUMIFS(Дивиденды!$C:$C,Дивиденды!$A:$A,A21,Дивиденды!$I:$I,C21)</f>
        <v>1231</v>
      </c>
      <c r="E21">
        <v>1</v>
      </c>
      <c r="F21">
        <f t="shared" si="1"/>
        <v>1231</v>
      </c>
      <c r="G21">
        <f t="shared" si="2"/>
        <v>43.841666666666676</v>
      </c>
      <c r="H21">
        <f t="shared" si="3"/>
        <v>1</v>
      </c>
      <c r="I21">
        <f t="shared" si="4"/>
        <v>0.83333333333333337</v>
      </c>
      <c r="J21">
        <f t="shared" si="5"/>
        <v>2.6205882352941177</v>
      </c>
      <c r="K21">
        <f t="shared" si="10"/>
        <v>0.32942200463883187</v>
      </c>
      <c r="L21">
        <f t="shared" si="6"/>
        <v>1</v>
      </c>
      <c r="M21">
        <f t="shared" si="7"/>
        <v>0.5</v>
      </c>
      <c r="N21">
        <f t="shared" si="8"/>
        <v>0</v>
      </c>
      <c r="O21">
        <f t="shared" si="9"/>
        <v>0.16666666666666666</v>
      </c>
      <c r="P21" t="str">
        <f>IFERROR(LN('Дивиденды по годам'!I21),"")</f>
        <v/>
      </c>
      <c r="Q21" t="str">
        <f>IFERROR('Дивиденды по годам'!G21/'Дивиденды по годам'!I21, "")</f>
        <v/>
      </c>
      <c r="R21" t="str">
        <f>IFERROR(IF(AND('Дивиденды по годам'!N21&lt;&gt;"",'Дивиденды по годам'!U21&lt;&gt;"",'Дивиденды по годам'!U21&lt;&gt;0),'Дивиденды по годам'!N21/'Дивиденды по годам'!U21-1,""),"")</f>
        <v/>
      </c>
      <c r="S21" t="str">
        <f>IFERROR(IF(AND('Дивиденды по годам'!L21&lt;&gt;"",'Дивиденды по годам'!I21&lt;&gt;"",'Дивиденды по годам'!J21&lt;&gt;"",'Дивиденды по годам'!K21&lt;&gt;"",('Дивиденды по годам'!I21-'Дивиденды по годам'!J21-'Дивиденды по годам'!K21)&lt;&gt;0),'Дивиденды по годам'!L21/('Дивиденды по годам'!I21-'Дивиденды по годам'!J21-'Дивиденды по годам'!K21),""),"")</f>
        <v/>
      </c>
      <c r="T21" t="str">
        <f>IFERROR(IF(AND('Дивиденды по годам'!Q21&lt;&gt;"",'Дивиденды по годам'!I21&lt;&gt;"",'Дивиденды по годам'!V21&lt;&gt;"",('Дивиденды по годам'!I21+'Дивиденды по годам'!V21)&lt;&gt;0),'Дивиденды по годам'!Q21/(('Дивиденды по годам'!I21+'Дивиденды по годам'!V21)/2),""),"")</f>
        <v/>
      </c>
      <c r="U21" t="str">
        <f>IFERROR(IF(AND('Дивиденды по годам'!J21&lt;&gt;"",'Дивиденды по годам'!K21&lt;&gt;"",'Дивиденды по годам'!M21&lt;&gt;"",'Дивиденды по годам'!M21&lt;&gt;0),('Дивиденды по годам'!J21+'Дивиденды по годам'!K21)/'Дивиденды по годам'!M21,""),"")</f>
        <v/>
      </c>
      <c r="V21" cm="1">
        <f t="array" ref="V21">IFERROR(AVERAGE(_xlfn._xlws.FILTER(P$2:P$1073,($C$2:$C$1073=$C21)*($E$2:$E$1073=$E21)*(ROW(P$2:P$1073)&lt;&gt;ROW(P21))*(P$2:P$1073&lt;&gt;""))),"")</f>
        <v>28.727283056765771</v>
      </c>
      <c r="W21" cm="1">
        <f t="array" ref="W21">IFERROR(AVERAGE(_xlfn._xlws.FILTER(Q$2:Q$1073,($C$2:$C$1073=$C21)*($E$2:$E$1073=$E21)*(ROW(Q$2:Q$1073)&lt;&gt;ROW(Q21))*(Q$2:Q$1073&lt;&gt;""))),"")</f>
        <v>0.51128857729902477</v>
      </c>
      <c r="X21" cm="1">
        <f t="array" ref="X21">IFERROR(AVERAGE(_xlfn._xlws.FILTER(R$2:R$1073,($C$2:$C$1073=$C21)*($E$2:$E$1073=$E21)*(ROW(R$2:R$1073)&lt;&gt;ROW(R21))*(R$2:R$1073&lt;&gt;""))),"")</f>
        <v>0.11583545865184226</v>
      </c>
      <c r="Y21" cm="1">
        <f t="array" ref="Y21">IFERROR(AVERAGE(_xlfn._xlws.FILTER(S$2:S$1073,($C$2:$C$1073=$C21)*($E$2:$E$1073=$E21)*(ROW(S$2:S$1073)&lt;&gt;ROW(S21))*(S$2:S$1073&lt;&gt;""))),"")</f>
        <v>0.81623267945546474</v>
      </c>
      <c r="Z21" cm="1">
        <f t="array" ref="Z21">IFERROR(AVERAGE(_xlfn._xlws.FILTER(T$2:T$1073,($C$2:$C$1073=$C21)*($E$2:$E$1073=$E21)*(ROW(T$2:T$1073)&lt;&gt;ROW(T21))*(T$2:T$1073&lt;&gt;""))),"")</f>
        <v>0.10279179198494799</v>
      </c>
      <c r="AA21" cm="1">
        <f t="array" ref="AA21">IFERROR(AVERAGE(_xlfn._xlws.FILTER(U$2:U$1073,($C$2:$C$1073=$C21)*($E$2:$E$1073=$E21)*(ROW(U$2:U$1073)&lt;&gt;ROW(U21))*(U$2:U$1073&lt;&gt;""))),"")</f>
        <v>0.81000773545151117</v>
      </c>
    </row>
    <row r="22" spans="1:27" x14ac:dyDescent="0.2">
      <c r="A22" s="7" t="s">
        <v>2178</v>
      </c>
      <c r="B22" t="str">
        <f t="shared" si="0"/>
        <v>LKOH IV кв. 2021</v>
      </c>
      <c r="C22">
        <v>2021</v>
      </c>
      <c r="D22">
        <f>SUMIFS(Дивиденды!$C:$C,Дивиденды!$A:$A,A22,Дивиденды!$I:$I,C22)</f>
        <v>340</v>
      </c>
      <c r="E22">
        <v>1</v>
      </c>
      <c r="F22">
        <f t="shared" si="1"/>
        <v>340</v>
      </c>
      <c r="G22">
        <f t="shared" si="2"/>
        <v>26.09</v>
      </c>
      <c r="H22">
        <f t="shared" si="3"/>
        <v>1</v>
      </c>
      <c r="I22">
        <f t="shared" si="4"/>
        <v>0.66666666666666663</v>
      </c>
      <c r="J22">
        <f t="shared" si="5"/>
        <v>0.31274131274131273</v>
      </c>
      <c r="K22">
        <f t="shared" si="10"/>
        <v>1.0120006749047523</v>
      </c>
      <c r="L22">
        <f t="shared" si="6"/>
        <v>1</v>
      </c>
      <c r="M22">
        <f t="shared" si="7"/>
        <v>0.66666666666666663</v>
      </c>
      <c r="N22">
        <f t="shared" si="8"/>
        <v>0</v>
      </c>
      <c r="O22">
        <f t="shared" si="9"/>
        <v>0.16666666666666666</v>
      </c>
      <c r="P22">
        <f>IFERROR(LN('Дивиденды по годам'!I22),"")</f>
        <v>29.55742059220767</v>
      </c>
      <c r="Q22">
        <f>IFERROR('Дивиденды по годам'!G22/'Дивиденды по годам'!I22, "")</f>
        <v>0.62101760749009172</v>
      </c>
      <c r="R22">
        <f>IFERROR(IF(AND('Дивиденды по годам'!N22&lt;&gt;"",'Дивиденды по годам'!U22&lt;&gt;"",'Дивиденды по годам'!U22&lt;&gt;0),'Дивиденды по годам'!N22/'Дивиденды по годам'!U22-1,""),"")</f>
        <v>0.67307538513398857</v>
      </c>
      <c r="S22">
        <f>IFERROR(IF(AND('Дивиденды по годам'!L22&lt;&gt;"",'Дивиденды по годам'!I22&lt;&gt;"",'Дивиденды по годам'!J22&lt;&gt;"",'Дивиденды по годам'!K22&lt;&gt;"",('Дивиденды по годам'!I22-'Дивиденды по годам'!J22-'Дивиденды по годам'!K22)&lt;&gt;0),'Дивиденды по годам'!L22/('Дивиденды по годам'!I22-'Дивиденды по годам'!J22-'Дивиденды по годам'!K22),""),"")</f>
        <v>0.94628606751350375</v>
      </c>
      <c r="T22">
        <f>IFERROR(IF(AND('Дивиденды по годам'!Q22&lt;&gt;"",'Дивиденды по годам'!I22&lt;&gt;"",'Дивиденды по годам'!V22&lt;&gt;"",('Дивиденды по годам'!I22+'Дивиденды по годам'!V22)&lt;&gt;0),'Дивиденды по годам'!Q22/(('Дивиденды по годам'!I22+'Дивиденды по годам'!V22)/2),""),"")</f>
        <v>0.120643001640904</v>
      </c>
      <c r="U22">
        <f>IFERROR(IF(AND('Дивиденды по годам'!J22&lt;&gt;"",'Дивиденды по годам'!K22&lt;&gt;"",'Дивиденды по годам'!M22&lt;&gt;"",'Дивиденды по годам'!M22&lt;&gt;0),('Дивиденды по годам'!J22+'Дивиденды по годам'!K22)/'Дивиденды по годам'!M22,""),"")</f>
        <v>0.51768068687897728</v>
      </c>
      <c r="V22" cm="1">
        <f t="array" ref="V22">IFERROR(AVERAGE(_xlfn._xlws.FILTER(P$2:P$1073,($C$2:$C$1073=$C22)*($E$2:$E$1073=$E22)*(ROW(P$2:P$1073)&lt;&gt;ROW(P22))*(P$2:P$1073&lt;&gt;""))),"")</f>
        <v>28.862251555580571</v>
      </c>
      <c r="W22" cm="1">
        <f t="array" ref="W22">IFERROR(AVERAGE(_xlfn._xlws.FILTER(Q$2:Q$1073,($C$2:$C$1073=$C22)*($E$2:$E$1073=$E22)*(ROW(Q$2:Q$1073)&lt;&gt;ROW(Q22))*(Q$2:Q$1073&lt;&gt;""))),"")</f>
        <v>0.54501177180973137</v>
      </c>
      <c r="X22" cm="1">
        <f t="array" ref="X22">IFERROR(AVERAGE(_xlfn._xlws.FILTER(R$2:R$1073,($C$2:$C$1073=$C22)*($E$2:$E$1073=$E22)*(ROW(R$2:R$1073)&lt;&gt;ROW(R22))*(R$2:R$1073&lt;&gt;""))),"")</f>
        <v>0.70901908079625608</v>
      </c>
      <c r="Y22" cm="1">
        <f t="array" ref="Y22">IFERROR(AVERAGE(_xlfn._xlws.FILTER(S$2:S$1073,($C$2:$C$1073=$C22)*($E$2:$E$1073=$E22)*(ROW(S$2:S$1073)&lt;&gt;ROW(S22))*(S$2:S$1073&lt;&gt;""))),"")</f>
        <v>0.77752889489725963</v>
      </c>
      <c r="Z22" cm="1">
        <f t="array" ref="Z22">IFERROR(AVERAGE(_xlfn._xlws.FILTER(T$2:T$1073,($C$2:$C$1073=$C22)*($E$2:$E$1073=$E22)*(ROW(T$2:T$1073)&lt;&gt;ROW(T22))*(T$2:T$1073&lt;&gt;""))),"")</f>
        <v>0.1219420633473578</v>
      </c>
      <c r="AA22" cm="1">
        <f t="array" ref="AA22">IFERROR(AVERAGE(_xlfn._xlws.FILTER(U$2:U$1073,($C$2:$C$1073=$C22)*($E$2:$E$1073=$E22)*(ROW(U$2:U$1073)&lt;&gt;ROW(U22))*(U$2:U$1073&lt;&gt;""))),"")</f>
        <v>1.1453384786412983</v>
      </c>
    </row>
    <row r="23" spans="1:27" x14ac:dyDescent="0.2">
      <c r="A23" s="7" t="s">
        <v>2178</v>
      </c>
      <c r="B23" t="str">
        <f t="shared" si="0"/>
        <v>LKOH IV кв. 2020</v>
      </c>
      <c r="C23">
        <v>2020</v>
      </c>
      <c r="D23">
        <f>SUMIFS(Дивиденды!$C:$C,Дивиденды!$A:$A,A23,Дивиденды!$I:$I,C23)</f>
        <v>259</v>
      </c>
      <c r="E23">
        <v>1</v>
      </c>
      <c r="F23">
        <f t="shared" si="1"/>
        <v>259</v>
      </c>
      <c r="G23">
        <f t="shared" si="2"/>
        <v>12.998333333333335</v>
      </c>
      <c r="H23">
        <f t="shared" si="3"/>
        <v>1</v>
      </c>
      <c r="I23">
        <f t="shared" si="4"/>
        <v>0.83333333333333337</v>
      </c>
      <c r="J23">
        <f t="shared" si="5"/>
        <v>-0.52214022140221406</v>
      </c>
      <c r="K23">
        <f t="shared" si="10"/>
        <v>-0.24116500208230998</v>
      </c>
      <c r="L23">
        <f t="shared" si="6"/>
        <v>0</v>
      </c>
      <c r="M23">
        <f t="shared" si="7"/>
        <v>0.33333333333333331</v>
      </c>
      <c r="N23">
        <f t="shared" si="8"/>
        <v>1</v>
      </c>
      <c r="O23">
        <f t="shared" si="9"/>
        <v>0.5</v>
      </c>
      <c r="P23">
        <f>IFERROR(LN('Дивиденды по годам'!I23),"")</f>
        <v>29.421376099327965</v>
      </c>
      <c r="Q23">
        <f>IFERROR('Дивиденды по годам'!G23/'Дивиденды по годам'!I23, "")</f>
        <v>0.71174460021306574</v>
      </c>
      <c r="R23">
        <f>IFERROR(IF(AND('Дивиденды по годам'!N23&lt;&gt;"",'Дивиденды по годам'!U23&lt;&gt;"",'Дивиденды по годам'!U23&lt;&gt;0),'Дивиденды по годам'!N23/'Дивиденды по годам'!U23-1,""),"")</f>
        <v>-0.28080294891908764</v>
      </c>
      <c r="S23">
        <f>IFERROR(IF(AND('Дивиденды по годам'!L23&lt;&gt;"",'Дивиденды по годам'!I23&lt;&gt;"",'Дивиденды по годам'!J23&lt;&gt;"",'Дивиденды по годам'!K23&lt;&gt;"",('Дивиденды по годам'!I23-'Дивиденды по годам'!J23-'Дивиденды по годам'!K23)&lt;&gt;0),'Дивиденды по годам'!L23/('Дивиденды по годам'!I23-'Дивиденды по годам'!J23-'Дивиденды по годам'!K23),""),"")</f>
        <v>0.93398100981754961</v>
      </c>
      <c r="T23">
        <f>IFERROR(IF(AND('Дивиденды по годам'!Q23&lt;&gt;"",'Дивиденды по годам'!I23&lt;&gt;"",'Дивиденды по годам'!V23&lt;&gt;"",('Дивиденды по годам'!I23+'Дивиденды по годам'!V23)&lt;&gt;0),'Дивиденды по годам'!Q23/(('Дивиденды по годам'!I23+'Дивиденды по годам'!V23)/2),""),"")</f>
        <v>2.7864171003219884E-3</v>
      </c>
      <c r="U23">
        <f>IFERROR(IF(AND('Дивиденды по годам'!J23&lt;&gt;"",'Дивиденды по годам'!K23&lt;&gt;"",'Дивиденды по годам'!M23&lt;&gt;"",'Дивиденды по годам'!M23&lt;&gt;0),('Дивиденды по годам'!J23+'Дивиденды по годам'!K23)/'Дивиденды по годам'!M23,""),"")</f>
        <v>0.45047649757938357</v>
      </c>
      <c r="V23" cm="1">
        <f t="array" ref="V23">IFERROR(AVERAGE(_xlfn._xlws.FILTER(P$2:P$1073,($C$2:$C$1073=$C23)*($E$2:$E$1073=$E23)*(ROW(P$2:P$1073)&lt;&gt;ROW(P23))*(P$2:P$1073&lt;&gt;""))),"")</f>
        <v>28.850831585138355</v>
      </c>
      <c r="W23" cm="1">
        <f t="array" ref="W23">IFERROR(AVERAGE(_xlfn._xlws.FILTER(Q$2:Q$1073,($C$2:$C$1073=$C23)*($E$2:$E$1073=$E23)*(ROW(Q$2:Q$1073)&lt;&gt;ROW(Q23))*(Q$2:Q$1073&lt;&gt;""))),"")</f>
        <v>0.53342705628467912</v>
      </c>
      <c r="X23" cm="1">
        <f t="array" ref="X23">IFERROR(AVERAGE(_xlfn._xlws.FILTER(R$2:R$1073,($C$2:$C$1073=$C23)*($E$2:$E$1073=$E23)*(ROW(R$2:R$1073)&lt;&gt;ROW(R23))*(R$2:R$1073&lt;&gt;""))),"")</f>
        <v>-0.25280931513537469</v>
      </c>
      <c r="Y23" cm="1">
        <f t="array" ref="Y23">IFERROR(AVERAGE(_xlfn._xlws.FILTER(S$2:S$1073,($C$2:$C$1073=$C23)*($E$2:$E$1073=$E23)*(ROW(S$2:S$1073)&lt;&gt;ROW(S23))*(S$2:S$1073&lt;&gt;""))),"")</f>
        <v>0.7469889091687153</v>
      </c>
      <c r="Z23" cm="1">
        <f t="array" ref="Z23">IFERROR(AVERAGE(_xlfn._xlws.FILTER(T$2:T$1073,($C$2:$C$1073=$C23)*($E$2:$E$1073=$E23)*(ROW(T$2:T$1073)&lt;&gt;ROW(T23))*(T$2:T$1073&lt;&gt;""))),"")</f>
        <v>3.2869123702382312E-2</v>
      </c>
      <c r="AA23" cm="1">
        <f t="array" ref="AA23">IFERROR(AVERAGE(_xlfn._xlws.FILTER(U$2:U$1073,($C$2:$C$1073=$C23)*($E$2:$E$1073=$E23)*(ROW(U$2:U$1073)&lt;&gt;ROW(U23))*(U$2:U$1073&lt;&gt;""))),"")</f>
        <v>1.3179178617799174</v>
      </c>
    </row>
    <row r="24" spans="1:27" x14ac:dyDescent="0.2">
      <c r="A24" s="7" t="s">
        <v>2178</v>
      </c>
      <c r="B24" t="str">
        <f t="shared" si="0"/>
        <v>LKOH IV кв. 2019</v>
      </c>
      <c r="C24">
        <v>2019</v>
      </c>
      <c r="D24">
        <f>SUMIFS(Дивиденды!$C:$C,Дивиденды!$A:$A,A24,Дивиденды!$I:$I,C24)</f>
        <v>542</v>
      </c>
      <c r="E24">
        <v>1</v>
      </c>
      <c r="F24">
        <f t="shared" si="1"/>
        <v>542</v>
      </c>
      <c r="G24">
        <f t="shared" si="2"/>
        <v>24.349999999999998</v>
      </c>
      <c r="H24">
        <f t="shared" si="3"/>
        <v>1</v>
      </c>
      <c r="I24">
        <f t="shared" si="4"/>
        <v>0.83333333333333337</v>
      </c>
      <c r="J24">
        <f t="shared" si="5"/>
        <v>1.1679999999999999</v>
      </c>
      <c r="K24">
        <f t="shared" si="10"/>
        <v>3.44760397771516E-2</v>
      </c>
      <c r="L24">
        <f t="shared" si="6"/>
        <v>1</v>
      </c>
      <c r="M24">
        <f t="shared" si="7"/>
        <v>0.33333333333333331</v>
      </c>
      <c r="N24">
        <f t="shared" si="8"/>
        <v>0</v>
      </c>
      <c r="O24">
        <f t="shared" si="9"/>
        <v>0.33333333333333331</v>
      </c>
      <c r="P24">
        <f>IFERROR(LN('Дивиденды по годам'!I24),"")</f>
        <v>29.413916414218132</v>
      </c>
      <c r="Q24">
        <f>IFERROR('Дивиденды по годам'!G24/'Дивиденды по годам'!I24, "")</f>
        <v>0.67697547523562107</v>
      </c>
      <c r="R24">
        <f>IFERROR(IF(AND('Дивиденды по годам'!N24&lt;&gt;"",'Дивиденды по годам'!U24&lt;&gt;"",'Дивиденды по годам'!U24&lt;&gt;0),'Дивиденды по годам'!N24/'Дивиденды по годам'!U24-1,""),"")</f>
        <v>-2.4221713366125441E-2</v>
      </c>
      <c r="S24">
        <f>IFERROR(IF(AND('Дивиденды по годам'!L24&lt;&gt;"",'Дивиденды по годам'!I24&lt;&gt;"",'Дивиденды по годам'!J24&lt;&gt;"",'Дивиденды по годам'!K24&lt;&gt;"",('Дивиденды по годам'!I24-'Дивиденды по годам'!J24-'Дивиденды по годам'!K24)&lt;&gt;0),'Дивиденды по годам'!L24/('Дивиденды по годам'!I24-'Дивиденды по годам'!J24-'Дивиденды по годам'!K24),""),"")</f>
        <v>1.0578059514542655</v>
      </c>
      <c r="T24">
        <f>IFERROR(IF(AND('Дивиденды по годам'!Q24&lt;&gt;"",'Дивиденды по годам'!I24&lt;&gt;"",'Дивиденды по годам'!V24&lt;&gt;"",('Дивиденды по годам'!I24+'Дивиденды по годам'!V24)&lt;&gt;0),'Дивиденды по годам'!Q24/(('Дивиденды по годам'!I24+'Дивиденды по годам'!V24)/2),""),"")</f>
        <v>0.10997469739966807</v>
      </c>
      <c r="U24">
        <f>IFERROR(IF(AND('Дивиденды по годам'!J24&lt;&gt;"",'Дивиденды по годам'!K24&lt;&gt;"",'Дивиденды по годам'!M24&lt;&gt;"",'Дивиденды по годам'!M24&lt;&gt;0),('Дивиденды по годам'!J24+'Дивиденды по годам'!K24)/'Дивиденды по годам'!M24,""),"")</f>
        <v>0.49669720185159039</v>
      </c>
      <c r="V24" cm="1">
        <f t="array" ref="V24">IFERROR(AVERAGE(_xlfn._xlws.FILTER(P$2:P$1073,($C$2:$C$1073=$C24)*($E$2:$E$1073=$E24)*(ROW(P$2:P$1073)&lt;&gt;ROW(P24))*(P$2:P$1073&lt;&gt;""))),"")</f>
        <v>28.789347897545966</v>
      </c>
      <c r="W24" cm="1">
        <f t="array" ref="W24">IFERROR(AVERAGE(_xlfn._xlws.FILTER(Q$2:Q$1073,($C$2:$C$1073=$C24)*($E$2:$E$1073=$E24)*(ROW(Q$2:Q$1073)&lt;&gt;ROW(Q24))*(Q$2:Q$1073&lt;&gt;""))),"")</f>
        <v>0.5149542356221849</v>
      </c>
      <c r="X24" cm="1">
        <f t="array" ref="X24">IFERROR(AVERAGE(_xlfn._xlws.FILTER(R$2:R$1073,($C$2:$C$1073=$C24)*($E$2:$E$1073=$E24)*(ROW(R$2:R$1073)&lt;&gt;ROW(R24))*(R$2:R$1073&lt;&gt;""))),"")</f>
        <v>1.7963400605481645E-2</v>
      </c>
      <c r="Y24" cm="1">
        <f t="array" ref="Y24">IFERROR(AVERAGE(_xlfn._xlws.FILTER(S$2:S$1073,($C$2:$C$1073=$C24)*($E$2:$E$1073=$E24)*(ROW(S$2:S$1073)&lt;&gt;ROW(S24))*(S$2:S$1073&lt;&gt;""))),"")</f>
        <v>0.80126580823824012</v>
      </c>
      <c r="Z24" cm="1">
        <f t="array" ref="Z24">IFERROR(AVERAGE(_xlfn._xlws.FILTER(T$2:T$1073,($C$2:$C$1073=$C24)*($E$2:$E$1073=$E24)*(ROW(T$2:T$1073)&lt;&gt;ROW(T24))*(T$2:T$1073&lt;&gt;""))),"")</f>
        <v>0.15478573296998502</v>
      </c>
      <c r="AA24" cm="1">
        <f t="array" ref="AA24">IFERROR(AVERAGE(_xlfn._xlws.FILTER(U$2:U$1073,($C$2:$C$1073=$C24)*($E$2:$E$1073=$E24)*(ROW(U$2:U$1073)&lt;&gt;ROW(U24))*(U$2:U$1073&lt;&gt;""))),"")</f>
        <v>0.95154837179798923</v>
      </c>
    </row>
    <row r="25" spans="1:27" x14ac:dyDescent="0.2">
      <c r="A25" s="7" t="s">
        <v>2178</v>
      </c>
      <c r="B25" t="str">
        <f t="shared" si="0"/>
        <v>LKOH IV кв. 2018</v>
      </c>
      <c r="C25">
        <v>2018</v>
      </c>
      <c r="D25">
        <f>SUMIFS(Дивиденды!$C:$C,Дивиденды!$A:$A,A25,Дивиденды!$I:$I,C25)</f>
        <v>250</v>
      </c>
      <c r="E25">
        <v>1</v>
      </c>
      <c r="F25">
        <f t="shared" si="1"/>
        <v>250</v>
      </c>
      <c r="G25">
        <f t="shared" si="2"/>
        <v>25.689999999999998</v>
      </c>
      <c r="H25">
        <f t="shared" si="3"/>
        <v>1</v>
      </c>
      <c r="I25">
        <f t="shared" si="4"/>
        <v>0.83333333333333337</v>
      </c>
      <c r="J25">
        <f t="shared" si="5"/>
        <v>0.16279069767441862</v>
      </c>
      <c r="K25">
        <f t="shared" si="10"/>
        <v>0.7345552272260556</v>
      </c>
      <c r="L25">
        <f t="shared" si="6"/>
        <v>1</v>
      </c>
      <c r="M25">
        <f t="shared" si="7"/>
        <v>0.66666666666666663</v>
      </c>
      <c r="N25">
        <f t="shared" si="8"/>
        <v>0</v>
      </c>
      <c r="O25">
        <f t="shared" si="9"/>
        <v>0</v>
      </c>
      <c r="P25">
        <f>IFERROR(LN('Дивиденды по годам'!I25),"")</f>
        <v>29.377152267079342</v>
      </c>
      <c r="Q25">
        <f>IFERROR('Дивиденды по годам'!G25/'Дивиденды по годам'!I25, "")</f>
        <v>0.66798828131132926</v>
      </c>
      <c r="R25">
        <f>IFERROR(IF(AND('Дивиденды по годам'!N25&lt;&gt;"",'Дивиденды по годам'!U25&lt;&gt;"",'Дивиденды по годам'!U25&lt;&gt;0),'Дивиденды по годам'!N25/'Дивиденды по годам'!U25-1,""),"")</f>
        <v>0.35359412333946194</v>
      </c>
      <c r="S25">
        <f>IFERROR(IF(AND('Дивиденды по годам'!L25&lt;&gt;"",'Дивиденды по годам'!I25&lt;&gt;"",'Дивиденды по годам'!J25&lt;&gt;"",'Дивиденды по годам'!K25&lt;&gt;"",('Дивиденды по годам'!I25-'Дивиденды по годам'!J25-'Дивиденды по годам'!K25)&lt;&gt;0),'Дивиденды по годам'!L25/('Дивиденды по годам'!I25-'Дивиденды по годам'!J25-'Дивиденды по годам'!K25),""),"")</f>
        <v>0.97302140700709905</v>
      </c>
      <c r="T25">
        <f>IFERROR(IF(AND('Дивиденды по годам'!Q25&lt;&gt;"",'Дивиденды по годам'!I25&lt;&gt;"",'Дивиденды по годам'!V25&lt;&gt;"",('Дивиденды по годам'!I25+'Дивиденды по годам'!V25)&lt;&gt;0),'Дивиденды по годам'!Q25/(('Дивиденды по годам'!I25+'Дивиденды по годам'!V25)/2),""),"")</f>
        <v>0.11335429161232957</v>
      </c>
      <c r="U25">
        <f>IFERROR(IF(AND('Дивиденды по годам'!J25&lt;&gt;"",'Дивиденды по годам'!K25&lt;&gt;"",'Дивиденды по годам'!M25&lt;&gt;"",'Дивиденды по годам'!M25&lt;&gt;0),('Дивиденды по годам'!J25+'Дивиденды по годам'!K25)/'Дивиденды по годам'!M25,""),"")</f>
        <v>0.40722852879790139</v>
      </c>
      <c r="V25" cm="1">
        <f t="array" ref="V25">IFERROR(AVERAGE(_xlfn._xlws.FILTER(P$2:P$1073,($C$2:$C$1073=$C25)*($E$2:$E$1073=$E25)*(ROW(P$2:P$1073)&lt;&gt;ROW(P25))*(P$2:P$1073&lt;&gt;""))),"")</f>
        <v>28.673385743075851</v>
      </c>
      <c r="W25" cm="1">
        <f t="array" ref="W25">IFERROR(AVERAGE(_xlfn._xlws.FILTER(Q$2:Q$1073,($C$2:$C$1073=$C25)*($E$2:$E$1073=$E25)*(ROW(Q$2:Q$1073)&lt;&gt;ROW(Q25))*(Q$2:Q$1073&lt;&gt;""))),"")</f>
        <v>0.50783655837777086</v>
      </c>
      <c r="X25" cm="1">
        <f t="array" ref="X25">IFERROR(AVERAGE(_xlfn._xlws.FILTER(R$2:R$1073,($C$2:$C$1073=$C25)*($E$2:$E$1073=$E25)*(ROW(R$2:R$1073)&lt;&gt;ROW(R25))*(R$2:R$1073&lt;&gt;""))),"")</f>
        <v>0.34826108240640224</v>
      </c>
      <c r="Y25" cm="1">
        <f t="array" ref="Y25">IFERROR(AVERAGE(_xlfn._xlws.FILTER(S$2:S$1073,($C$2:$C$1073=$C25)*($E$2:$E$1073=$E25)*(ROW(S$2:S$1073)&lt;&gt;ROW(S25))*(S$2:S$1073&lt;&gt;""))),"")</f>
        <v>0.75241254572797667</v>
      </c>
      <c r="Z25" cm="1">
        <f t="array" ref="Z25">IFERROR(AVERAGE(_xlfn._xlws.FILTER(T$2:T$1073,($C$2:$C$1073=$C25)*($E$2:$E$1073=$E25)*(ROW(T$2:T$1073)&lt;&gt;ROW(T25))*(T$2:T$1073&lt;&gt;""))),"")</f>
        <v>0.11962580957741936</v>
      </c>
      <c r="AA25" cm="1">
        <f t="array" ref="AA25">IFERROR(AVERAGE(_xlfn._xlws.FILTER(U$2:U$1073,($C$2:$C$1073=$C25)*($E$2:$E$1073=$E25)*(ROW(U$2:U$1073)&lt;&gt;ROW(U25))*(U$2:U$1073&lt;&gt;""))),"")</f>
        <v>0.94182616072157976</v>
      </c>
    </row>
    <row r="26" spans="1:27" x14ac:dyDescent="0.2">
      <c r="A26" s="7" t="s">
        <v>2178</v>
      </c>
      <c r="B26" t="str">
        <f t="shared" si="0"/>
        <v>LKOH IV кв. 2017</v>
      </c>
      <c r="C26">
        <v>2017</v>
      </c>
      <c r="D26">
        <f>SUMIFS(Дивиденды!$C:$C,Дивиденды!$A:$A,A26,Дивиденды!$I:$I,C26)</f>
        <v>215</v>
      </c>
      <c r="E26">
        <v>1</v>
      </c>
      <c r="F26">
        <f t="shared" si="1"/>
        <v>215</v>
      </c>
      <c r="G26">
        <f t="shared" si="2"/>
        <v>12.343333333333334</v>
      </c>
      <c r="H26">
        <f t="shared" si="3"/>
        <v>1</v>
      </c>
      <c r="I26">
        <f t="shared" si="4"/>
        <v>0.83333333333333337</v>
      </c>
      <c r="J26">
        <f t="shared" si="5"/>
        <v>0.10256410256410256</v>
      </c>
      <c r="K26">
        <f t="shared" si="10"/>
        <v>0.27706127872536684</v>
      </c>
      <c r="L26">
        <f t="shared" si="6"/>
        <v>1</v>
      </c>
      <c r="M26">
        <f t="shared" si="7"/>
        <v>0.66666666666666663</v>
      </c>
      <c r="N26">
        <f t="shared" si="8"/>
        <v>0</v>
      </c>
      <c r="O26">
        <f t="shared" si="9"/>
        <v>0</v>
      </c>
      <c r="P26">
        <f>IFERROR(LN('Дивиденды по годам'!I26),"")</f>
        <v>29.284708422632313</v>
      </c>
      <c r="Q26">
        <f>IFERROR('Дивиденды по годам'!G26/'Дивиденды по годам'!I26, "")</f>
        <v>0.68408303140992099</v>
      </c>
      <c r="R26">
        <f>IFERROR(IF(AND('Дивиденды по годам'!N26&lt;&gt;"",'Дивиденды по годам'!U26&lt;&gt;"",'Дивиденды по годам'!U26&lt;&gt;0),'Дивиденды по годам'!N26/'Дивиденды по годам'!U26-1,""),"")</f>
        <v>0.13576695819530915</v>
      </c>
      <c r="S26">
        <f>IFERROR(IF(AND('Дивиденды по годам'!L26&lt;&gt;"",'Дивиденды по годам'!I26&lt;&gt;"",'Дивиденды по годам'!J26&lt;&gt;"",'Дивиденды по годам'!K26&lt;&gt;"",('Дивиденды по годам'!I26-'Дивиденды по годам'!J26-'Дивиденды по годам'!K26)&lt;&gt;0),'Дивиденды по годам'!L26/('Дивиденды по годам'!I26-'Дивиденды по годам'!J26-'Дивиденды по годам'!K26),""),"")</f>
        <v>1.0245699703672846</v>
      </c>
      <c r="T26">
        <f>IFERROR(IF(AND('Дивиденды по годам'!Q26&lt;&gt;"",'Дивиденды по годам'!I26&lt;&gt;"",'Дивиденды по годам'!V26&lt;&gt;"",('Дивиденды по годам'!I26+'Дивиденды по годам'!V26)&lt;&gt;0),'Дивиденды по годам'!Q26/(('Дивиденды по годам'!I26+'Дивиденды по годам'!V26)/2),""),"")</f>
        <v>8.2106551697469984E-2</v>
      </c>
      <c r="U26">
        <f>IFERROR(IF(AND('Дивиденды по годам'!J26&lt;&gt;"",'Дивиденды по годам'!K26&lt;&gt;"",'Дивиденды по годам'!M26&lt;&gt;"",'Дивиденды по годам'!M26&lt;&gt;0),('Дивиденды по годам'!J26+'Дивиденды по годам'!K26)/'Дивиденды по годам'!M26,""),"")</f>
        <v>0.49731162540443086</v>
      </c>
      <c r="V26" cm="1">
        <f t="array" ref="V26">IFERROR(AVERAGE(_xlfn._xlws.FILTER(P$2:P$1073,($C$2:$C$1073=$C26)*($E$2:$E$1073=$E26)*(ROW(P$2:P$1073)&lt;&gt;ROW(P26))*(P$2:P$1073&lt;&gt;""))),"")</f>
        <v>28.548604595209117</v>
      </c>
      <c r="W26" cm="1">
        <f t="array" ref="W26">IFERROR(AVERAGE(_xlfn._xlws.FILTER(Q$2:Q$1073,($C$2:$C$1073=$C26)*($E$2:$E$1073=$E26)*(ROW(Q$2:Q$1073)&lt;&gt;ROW(Q26))*(Q$2:Q$1073&lt;&gt;""))),"")</f>
        <v>0.52487943597337516</v>
      </c>
      <c r="X26" cm="1">
        <f t="array" ref="X26">IFERROR(AVERAGE(_xlfn._xlws.FILTER(R$2:R$1073,($C$2:$C$1073=$C26)*($E$2:$E$1073=$E26)*(ROW(R$2:R$1073)&lt;&gt;ROW(R26))*(R$2:R$1073&lt;&gt;""))),"")</f>
        <v>0.15291895115147006</v>
      </c>
      <c r="Y26" cm="1">
        <f t="array" ref="Y26">IFERROR(AVERAGE(_xlfn._xlws.FILTER(S$2:S$1073,($C$2:$C$1073=$C26)*($E$2:$E$1073=$E26)*(ROW(S$2:S$1073)&lt;&gt;ROW(S26))*(S$2:S$1073&lt;&gt;""))),"")</f>
        <v>0.72211107383288431</v>
      </c>
      <c r="Z26" cm="1">
        <f t="array" ref="Z26">IFERROR(AVERAGE(_xlfn._xlws.FILTER(T$2:T$1073,($C$2:$C$1073=$C26)*($E$2:$E$1073=$E26)*(ROW(T$2:T$1073)&lt;&gt;ROW(T26))*(T$2:T$1073&lt;&gt;""))),"")</f>
        <v>7.1409514922196576E-2</v>
      </c>
      <c r="AA26" cm="1">
        <f t="array" ref="AA26">IFERROR(AVERAGE(_xlfn._xlws.FILTER(U$2:U$1073,($C$2:$C$1073=$C26)*($E$2:$E$1073=$E26)*(ROW(U$2:U$1073)&lt;&gt;ROW(U26))*(U$2:U$1073&lt;&gt;""))),"")</f>
        <v>0.97815989415271831</v>
      </c>
    </row>
    <row r="27" spans="1:27" x14ac:dyDescent="0.2">
      <c r="A27" s="7" t="s">
        <v>2178</v>
      </c>
      <c r="B27" t="str">
        <f t="shared" si="0"/>
        <v>LKOH IV кв. 2016</v>
      </c>
      <c r="C27">
        <v>2016</v>
      </c>
      <c r="D27">
        <f>SUMIFS(Дивиденды!$C:$C,Дивиденды!$A:$A,A27,Дивиденды!$I:$I,C27)</f>
        <v>195</v>
      </c>
      <c r="E27">
        <v>1</v>
      </c>
      <c r="F27">
        <f t="shared" si="1"/>
        <v>195</v>
      </c>
      <c r="G27">
        <f t="shared" si="2"/>
        <v>8.5549999999999997</v>
      </c>
      <c r="H27">
        <f t="shared" si="3"/>
        <v>1</v>
      </c>
      <c r="I27">
        <f t="shared" si="4"/>
        <v>0.83333333333333337</v>
      </c>
      <c r="J27">
        <f t="shared" si="5"/>
        <v>0.10169491525423729</v>
      </c>
      <c r="K27">
        <f t="shared" si="10"/>
        <v>0.10646359770809094</v>
      </c>
      <c r="L27">
        <f t="shared" si="6"/>
        <v>1</v>
      </c>
      <c r="M27">
        <f t="shared" si="7"/>
        <v>0.5</v>
      </c>
      <c r="N27">
        <f t="shared" si="8"/>
        <v>0</v>
      </c>
      <c r="O27">
        <f t="shared" si="9"/>
        <v>0.16666666666666666</v>
      </c>
      <c r="P27">
        <f>IFERROR(LN('Дивиденды по годам'!I27),"")</f>
        <v>29.243389330829711</v>
      </c>
      <c r="Q27">
        <f>IFERROR('Дивиденды по годам'!G27/'Дивиденды по годам'!I27, "")</f>
        <v>0.67628856358131428</v>
      </c>
      <c r="R27">
        <f>IFERROR(IF(AND('Дивиденды по годам'!N27&lt;&gt;"",'Дивиденды по годам'!U27&lt;&gt;"",'Дивиденды по годам'!U27&lt;&gt;0),'Дивиденды по годам'!N27/'Дивиденды по годам'!U27-1,""),"")</f>
        <v>-9.0798479748828043E-2</v>
      </c>
      <c r="S27">
        <f>IFERROR(IF(AND('Дивиденды по годам'!L27&lt;&gt;"",'Дивиденды по годам'!I27&lt;&gt;"",'Дивиденды по годам'!J27&lt;&gt;"",'Дивиденды по годам'!K27&lt;&gt;"",('Дивиденды по годам'!I27-'Дивиденды по годам'!J27-'Дивиденды по годам'!K27)&lt;&gt;0),'Дивиденды по годам'!L27/('Дивиденды по годам'!I27-'Дивиденды по годам'!J27-'Дивиденды по годам'!K27),""),"")</f>
        <v>1.0232957953492061</v>
      </c>
      <c r="T27">
        <f>IFERROR(IF(AND('Дивиденды по годам'!Q27&lt;&gt;"",'Дивиденды по годам'!I27&lt;&gt;"",'Дивиденды по годам'!V27&lt;&gt;"",('Дивиденды по годам'!I27+'Дивиденды по годам'!V27)&lt;&gt;0),'Дивиденды по годам'!Q27/(('Дивиденды по годам'!I27+'Дивиденды по годам'!V27)/2),""),"")</f>
        <v>4.1382402882630079E-2</v>
      </c>
      <c r="U27">
        <f>IFERROR(IF(AND('Дивиденды по годам'!J27&lt;&gt;"",'Дивиденды по годам'!K27&lt;&gt;"",'Дивиденды по годам'!M27&lt;&gt;"",'Дивиденды по годам'!M27&lt;&gt;0),('Дивиденды по годам'!J27+'Дивиденды по годам'!K27)/'Дивиденды по годам'!M27,""),"")</f>
        <v>0.55365397389567195</v>
      </c>
      <c r="V27" cm="1">
        <f t="array" ref="V27">IFERROR(AVERAGE(_xlfn._xlws.FILTER(P$2:P$1073,($C$2:$C$1073=$C27)*($E$2:$E$1073=$E27)*(ROW(P$2:P$1073)&lt;&gt;ROW(P27))*(P$2:P$1073&lt;&gt;""))),"")</f>
        <v>28.482594955282764</v>
      </c>
      <c r="W27" cm="1">
        <f t="array" ref="W27">IFERROR(AVERAGE(_xlfn._xlws.FILTER(Q$2:Q$1073,($C$2:$C$1073=$C27)*($E$2:$E$1073=$E27)*(ROW(Q$2:Q$1073)&lt;&gt;ROW(Q27))*(Q$2:Q$1073&lt;&gt;""))),"")</f>
        <v>0.51036673856851944</v>
      </c>
      <c r="X27" cm="1">
        <f t="array" ref="X27">IFERROR(AVERAGE(_xlfn._xlws.FILTER(R$2:R$1073,($C$2:$C$1073=$C27)*($E$2:$E$1073=$E27)*(ROW(R$2:R$1073)&lt;&gt;ROW(R27))*(R$2:R$1073&lt;&gt;""))),"")</f>
        <v>3.1427289641879665E-2</v>
      </c>
      <c r="Y27" cm="1">
        <f t="array" ref="Y27">IFERROR(AVERAGE(_xlfn._xlws.FILTER(S$2:S$1073,($C$2:$C$1073=$C27)*($E$2:$E$1073=$E27)*(ROW(S$2:S$1073)&lt;&gt;ROW(S27))*(S$2:S$1073&lt;&gt;""))),"")</f>
        <v>0.66952017259576257</v>
      </c>
      <c r="Z27" cm="1">
        <f t="array" ref="Z27">IFERROR(AVERAGE(_xlfn._xlws.FILTER(T$2:T$1073,($C$2:$C$1073=$C27)*($E$2:$E$1073=$E27)*(ROW(T$2:T$1073)&lt;&gt;ROW(T27))*(T$2:T$1073&lt;&gt;""))),"")</f>
        <v>0.10810574050593155</v>
      </c>
      <c r="AA27" cm="1">
        <f t="array" ref="AA27">IFERROR(AVERAGE(_xlfn._xlws.FILTER(U$2:U$1073,($C$2:$C$1073=$C27)*($E$2:$E$1073=$E27)*(ROW(U$2:U$1073)&lt;&gt;ROW(U27))*(U$2:U$1073&lt;&gt;""))),"")</f>
        <v>1.0103394021862728</v>
      </c>
    </row>
    <row r="28" spans="1:27" x14ac:dyDescent="0.2">
      <c r="A28" s="7" t="s">
        <v>2178</v>
      </c>
      <c r="B28" t="str">
        <f t="shared" si="0"/>
        <v>LKOH IV кв. 2015</v>
      </c>
      <c r="C28">
        <v>2015</v>
      </c>
      <c r="D28">
        <f>SUMIFS(Дивиденды!$C:$C,Дивиденды!$A:$A,A28,Дивиденды!$I:$I,C28)</f>
        <v>177</v>
      </c>
      <c r="E28">
        <v>1</v>
      </c>
      <c r="F28">
        <f t="shared" si="1"/>
        <v>177</v>
      </c>
      <c r="G28">
        <f t="shared" si="2"/>
        <v>7.45</v>
      </c>
      <c r="H28">
        <f t="shared" si="3"/>
        <v>1</v>
      </c>
      <c r="I28">
        <f t="shared" si="4"/>
        <v>0.83333333333333337</v>
      </c>
      <c r="J28">
        <f t="shared" si="5"/>
        <v>0.14935064935064934</v>
      </c>
      <c r="K28">
        <f t="shared" si="10"/>
        <v>0.13278136304167179</v>
      </c>
      <c r="L28">
        <f t="shared" si="6"/>
        <v>1</v>
      </c>
      <c r="M28">
        <f t="shared" si="7"/>
        <v>0.66666666666666663</v>
      </c>
      <c r="N28">
        <f t="shared" si="8"/>
        <v>0</v>
      </c>
      <c r="O28">
        <f t="shared" si="9"/>
        <v>0.16666666666666666</v>
      </c>
      <c r="P28">
        <f>IFERROR(LN('Дивиденды по годам'!I28),"")</f>
        <v>29.244571958657058</v>
      </c>
      <c r="Q28">
        <f>IFERROR('Дивиденды по годам'!G28/'Дивиденды по годам'!I28, "")</f>
        <v>0.67943039556770723</v>
      </c>
      <c r="R28">
        <f>IFERROR(IF(AND('Дивиденды по годам'!N28&lt;&gt;"",'Дивиденды по годам'!U28&lt;&gt;"",'Дивиденды по годам'!U28&lt;&gt;0),'Дивиденды по годам'!N28/'Дивиденды по годам'!U28-1,""),"")</f>
        <v>2.8796562707219087E-2</v>
      </c>
      <c r="S28">
        <f>IFERROR(IF(AND('Дивиденды по годам'!L28&lt;&gt;"",'Дивиденды по годам'!I28&lt;&gt;"",'Дивиденды по годам'!J28&lt;&gt;"",'Дивиденды по годам'!K28&lt;&gt;"",('Дивиденды по годам'!I28-'Дивиденды по годам'!J28-'Дивиденды по годам'!K28)&lt;&gt;0),'Дивиденды по годам'!L28/('Дивиденды по годам'!I28-'Дивиденды по годам'!J28-'Дивиденды по годам'!K28),""),"")</f>
        <v>0.99938261556848573</v>
      </c>
      <c r="T28">
        <f>IFERROR(IF(AND('Дивиденды по годам'!Q28&lt;&gt;"",'Дивиденды по годам'!I28&lt;&gt;"",'Дивиденды по годам'!V28&lt;&gt;"",('Дивиденды по годам'!I28+'Дивиденды по годам'!V28)&lt;&gt;0),'Дивиденды по годам'!Q28/(('Дивиденды по годам'!I28+'Дивиденды по годам'!V28)/2),""),"")</f>
        <v>6.2591509271612875E-2</v>
      </c>
      <c r="U28">
        <f>IFERROR(IF(AND('Дивиденды по годам'!J28&lt;&gt;"",'Дивиденды по годам'!K28&lt;&gt;"",'Дивиденды по годам'!M28&lt;&gt;"",'Дивиденды по годам'!M28&lt;&gt;0),('Дивиденды по годам'!J28+'Дивиденды по годам'!K28)/'Дивиденды по годам'!M28,""),"")</f>
        <v>0.55370656569001298</v>
      </c>
      <c r="V28" cm="1">
        <f t="array" ref="V28">IFERROR(AVERAGE(_xlfn._xlws.FILTER(P$2:P$1073,($C$2:$C$1073=$C28)*($E$2:$E$1073=$E28)*(ROW(P$2:P$1073)&lt;&gt;ROW(P28))*(P$2:P$1073&lt;&gt;""))),"")</f>
        <v>28.272415494030859</v>
      </c>
      <c r="W28" cm="1">
        <f t="array" ref="W28">IFERROR(AVERAGE(_xlfn._xlws.FILTER(Q$2:Q$1073,($C$2:$C$1073=$C28)*($E$2:$E$1073=$E28)*(ROW(Q$2:Q$1073)&lt;&gt;ROW(Q28))*(Q$2:Q$1073&lt;&gt;""))),"")</f>
        <v>0.56469536216109018</v>
      </c>
      <c r="X28" cm="1">
        <f t="array" ref="X28">IFERROR(AVERAGE(_xlfn._xlws.FILTER(R$2:R$1073,($C$2:$C$1073=$C28)*($E$2:$E$1073=$E28)*(ROW(R$2:R$1073)&lt;&gt;ROW(R28))*(R$2:R$1073&lt;&gt;""))),"")</f>
        <v>0.12792050654970677</v>
      </c>
      <c r="Y28" cm="1">
        <f t="array" ref="Y28">IFERROR(AVERAGE(_xlfn._xlws.FILTER(S$2:S$1073,($C$2:$C$1073=$C28)*($E$2:$E$1073=$E28)*(ROW(S$2:S$1073)&lt;&gt;ROW(S28))*(S$2:S$1073&lt;&gt;""))),"")</f>
        <v>0.92153161001599881</v>
      </c>
      <c r="Z28" cm="1">
        <f t="array" ref="Z28">IFERROR(AVERAGE(_xlfn._xlws.FILTER(T$2:T$1073,($C$2:$C$1073=$C28)*($E$2:$E$1073=$E28)*(ROW(T$2:T$1073)&lt;&gt;ROW(T28))*(T$2:T$1073&lt;&gt;""))),"")</f>
        <v>8.017639552230342E-2</v>
      </c>
      <c r="AA28" cm="1">
        <f t="array" ref="AA28">IFERROR(AVERAGE(_xlfn._xlws.FILTER(U$2:U$1073,($C$2:$C$1073=$C28)*($E$2:$E$1073=$E28)*(ROW(U$2:U$1073)&lt;&gt;ROW(U28))*(U$2:U$1073&lt;&gt;""))),"")</f>
        <v>-1.2653858146405799</v>
      </c>
    </row>
    <row r="29" spans="1:27" x14ac:dyDescent="0.2">
      <c r="A29" s="7" t="s">
        <v>2178</v>
      </c>
      <c r="B29" t="str">
        <f t="shared" si="0"/>
        <v>LKOH IV кв. 2014</v>
      </c>
      <c r="C29">
        <v>2014</v>
      </c>
      <c r="D29">
        <f>SUMIFS(Дивиденды!$C:$C,Дивиденды!$A:$A,A29,Дивиденды!$I:$I,C29)</f>
        <v>154</v>
      </c>
      <c r="E29">
        <v>1</v>
      </c>
      <c r="F29">
        <f t="shared" si="1"/>
        <v>154</v>
      </c>
      <c r="G29">
        <f t="shared" si="2"/>
        <v>6.1566666666666663</v>
      </c>
      <c r="H29">
        <f t="shared" si="3"/>
        <v>1</v>
      </c>
      <c r="I29">
        <f t="shared" si="4"/>
        <v>0.83333333333333337</v>
      </c>
      <c r="J29">
        <f t="shared" si="5"/>
        <v>0.4</v>
      </c>
      <c r="K29">
        <f t="shared" si="10"/>
        <v>5.2205746756218967E-2</v>
      </c>
      <c r="L29">
        <f t="shared" si="6"/>
        <v>1</v>
      </c>
      <c r="M29">
        <f t="shared" si="7"/>
        <v>0.5</v>
      </c>
      <c r="N29">
        <f t="shared" si="8"/>
        <v>0</v>
      </c>
      <c r="O29">
        <f t="shared" si="9"/>
        <v>0.16666666666666666</v>
      </c>
      <c r="P29">
        <f>IFERROR(LN('Дивиденды по годам'!I29),"")</f>
        <v>29.097405217152055</v>
      </c>
      <c r="Q29">
        <f>IFERROR('Дивиденды по годам'!G29/'Дивиденды по годам'!I29, "")</f>
        <v>0.72868515205724504</v>
      </c>
      <c r="R29">
        <f>IFERROR(IF(AND('Дивиденды по годам'!N29&lt;&gt;"",'Дивиденды по годам'!U29&lt;&gt;"",'Дивиденды по годам'!U29&lt;&gt;0),'Дивиденды по годам'!N29/'Дивиденды по годам'!U29-1,""),"")</f>
        <v>0.23981588223734662</v>
      </c>
      <c r="S29">
        <f>IFERROR(IF(AND('Дивиденды по годам'!L29&lt;&gt;"",'Дивиденды по годам'!I29&lt;&gt;"",'Дивиденды по годам'!J29&lt;&gt;"",'Дивиденды по годам'!K29&lt;&gt;"",('Дивиденды по годам'!I29-'Дивиденды по годам'!J29-'Дивиденды по годам'!K29)&lt;&gt;0),'Дивиденды по годам'!L29/('Дивиденды по годам'!I29-'Дивиденды по годам'!J29-'Дивиденды по годам'!K29),""),"")</f>
        <v>1.0364465532500735</v>
      </c>
      <c r="T29">
        <f>IFERROR(IF(AND('Дивиденды по годам'!Q29&lt;&gt;"",'Дивиденды по годам'!I29&lt;&gt;"",'Дивиденды по годам'!V29&lt;&gt;"",('Дивиденды по годам'!I29+'Дивиденды по годам'!V29)&lt;&gt;0),'Дивиденды по годам'!Q29/(('Дивиденды по годам'!I29+'Дивиденды по годам'!V29)/2),""),"")</f>
        <v>4.6727909965986726E-2</v>
      </c>
      <c r="U29">
        <f>IFERROR(IF(AND('Дивиденды по годам'!J29&lt;&gt;"",'Дивиденды по годам'!K29&lt;&gt;"",'Дивиденды по годам'!M29&lt;&gt;"",'Дивиденды по годам'!M29&lt;&gt;0),('Дивиденды по годам'!J29+'Дивиденды по годам'!K29)/'Дивиденды по годам'!M29,""),"")</f>
        <v>0.37427475661323634</v>
      </c>
      <c r="V29" cm="1">
        <f t="array" ref="V29">IFERROR(AVERAGE(_xlfn._xlws.FILTER(P$2:P$1073,($C$2:$C$1073=$C29)*($E$2:$E$1073=$E29)*(ROW(P$2:P$1073)&lt;&gt;ROW(P29))*(P$2:P$1073&lt;&gt;""))),"")</f>
        <v>28.685685912760103</v>
      </c>
      <c r="W29" cm="1">
        <f t="array" ref="W29">IFERROR(AVERAGE(_xlfn._xlws.FILTER(Q$2:Q$1073,($C$2:$C$1073=$C29)*($E$2:$E$1073=$E29)*(ROW(Q$2:Q$1073)&lt;&gt;ROW(Q29))*(Q$2:Q$1073&lt;&gt;""))),"")</f>
        <v>0.60349396270347877</v>
      </c>
      <c r="X29" cm="1">
        <f t="array" ref="X29">IFERROR(AVERAGE(_xlfn._xlws.FILTER(R$2:R$1073,($C$2:$C$1073=$C29)*($E$2:$E$1073=$E29)*(ROW(R$2:R$1073)&lt;&gt;ROW(R29))*(R$2:R$1073&lt;&gt;""))),"")</f>
        <v>0.12089329207181843</v>
      </c>
      <c r="Y29" cm="1">
        <f t="array" ref="Y29">IFERROR(AVERAGE(_xlfn._xlws.FILTER(S$2:S$1073,($C$2:$C$1073=$C29)*($E$2:$E$1073=$E29)*(ROW(S$2:S$1073)&lt;&gt;ROW(S29))*(S$2:S$1073&lt;&gt;""))),"")</f>
        <v>0.91100895762523193</v>
      </c>
      <c r="Z29" cm="1">
        <f t="array" ref="Z29">IFERROR(AVERAGE(_xlfn._xlws.FILTER(T$2:T$1073,($C$2:$C$1073=$C29)*($E$2:$E$1073=$E29)*(ROW(T$2:T$1073)&lt;&gt;ROW(T29))*(T$2:T$1073&lt;&gt;""))),"")</f>
        <v>6.2440111833769324E-2</v>
      </c>
      <c r="AA29" cm="1">
        <f t="array" ref="AA29">IFERROR(AVERAGE(_xlfn._xlws.FILTER(U$2:U$1073,($C$2:$C$1073=$C29)*($E$2:$E$1073=$E29)*(ROW(U$2:U$1073)&lt;&gt;ROW(U29))*(U$2:U$1073&lt;&gt;""))),"")</f>
        <v>0.89920460757336718</v>
      </c>
    </row>
    <row r="30" spans="1:27" x14ac:dyDescent="0.2">
      <c r="A30" s="7" t="s">
        <v>2178</v>
      </c>
      <c r="B30" t="str">
        <f t="shared" si="0"/>
        <v>LKOH IV кв. 2013</v>
      </c>
      <c r="C30">
        <v>2013</v>
      </c>
      <c r="D30">
        <f>SUMIFS(Дивиденды!$C:$C,Дивиденды!$A:$A,A30,Дивиденды!$I:$I,C30)</f>
        <v>110</v>
      </c>
      <c r="E30">
        <v>1</v>
      </c>
      <c r="F30">
        <f t="shared" si="1"/>
        <v>110</v>
      </c>
      <c r="G30">
        <f t="shared" si="2"/>
        <v>6.128333333333333</v>
      </c>
      <c r="H30">
        <f t="shared" si="3"/>
        <v>1</v>
      </c>
      <c r="I30">
        <f t="shared" si="4"/>
        <v>0.83333333333333337</v>
      </c>
      <c r="J30">
        <f t="shared" si="5"/>
        <v>0.22222222222222221</v>
      </c>
      <c r="K30">
        <f t="shared" si="10"/>
        <v>0.18423319126740467</v>
      </c>
      <c r="L30">
        <f t="shared" si="6"/>
        <v>1</v>
      </c>
      <c r="M30">
        <f t="shared" si="7"/>
        <v>0.66666666666666663</v>
      </c>
      <c r="N30">
        <f t="shared" si="8"/>
        <v>0</v>
      </c>
      <c r="O30">
        <f t="shared" si="9"/>
        <v>0.16666666666666666</v>
      </c>
      <c r="P30">
        <f>IFERROR(LN('Дивиденды по годам'!I30),"")</f>
        <v>28.880100861679207</v>
      </c>
      <c r="Q30">
        <f>IFERROR('Дивиденды по годам'!G30/'Дивиденды по годам'!I30, "")</f>
        <v>0.71699044207679241</v>
      </c>
      <c r="R30">
        <f>IFERROR(IF(AND('Дивиденды по годам'!N30&lt;&gt;"",'Дивиденды по годам'!U30&lt;&gt;"",'Дивиденды по годам'!U30&lt;&gt;0),'Дивиденды по годам'!N30/'Дивиденды по годам'!U30-1,""),"")</f>
        <v>4.2600315275921785E-2</v>
      </c>
      <c r="S30">
        <f>IFERROR(IF(AND('Дивиденды по годам'!L30&lt;&gt;"",'Дивиденды по годам'!I30&lt;&gt;"",'Дивиденды по годам'!J30&lt;&gt;"",'Дивиденды по годам'!K30&lt;&gt;"",('Дивиденды по годам'!I30-'Дивиденды по годам'!J30-'Дивиденды по годам'!K30)&lt;&gt;0),'Дивиденды по годам'!L30/('Дивиденды по годам'!I30-'Дивиденды по годам'!J30-'Дивиденды по годам'!K30),""),"")</f>
        <v>1.03651051310016</v>
      </c>
      <c r="T30">
        <f>IFERROR(IF(AND('Дивиденды по годам'!Q30&lt;&gt;"",'Дивиденды по годам'!I30&lt;&gt;"",'Дивиденды по годам'!V30&lt;&gt;"",('Дивиденды по годам'!I30+'Дивиденды по годам'!V30)&lt;&gt;0),'Дивиденды по годам'!Q30/(('Дивиденды по годам'!I30+'Дивиденды по годам'!V30)/2),""),"")</f>
        <v>7.4080486715921559E-2</v>
      </c>
      <c r="U30">
        <f>IFERROR(IF(AND('Дивиденды по годам'!J30&lt;&gt;"",'Дивиденды по годам'!K30&lt;&gt;"",'Дивиденды по годам'!M30&lt;&gt;"",'Дивиденды по годам'!M30&lt;&gt;0),('Дивиденды по годам'!J30+'Дивиденды по годам'!K30)/'Дивиденды по годам'!M30,""),"")</f>
        <v>0.38785111914273035</v>
      </c>
      <c r="V30" cm="1">
        <f t="array" ref="V30">IFERROR(AVERAGE(_xlfn._xlws.FILTER(P$2:P$1073,($C$2:$C$1073=$C30)*($E$2:$E$1073=$E30)*(ROW(P$2:P$1073)&lt;&gt;ROW(P30))*(P$2:P$1073&lt;&gt;""))),"")</f>
        <v>28.558357644831574</v>
      </c>
      <c r="W30" cm="1">
        <f t="array" ref="W30">IFERROR(AVERAGE(_xlfn._xlws.FILTER(Q$2:Q$1073,($C$2:$C$1073=$C30)*($E$2:$E$1073=$E30)*(ROW(Q$2:Q$1073)&lt;&gt;ROW(Q30))*(Q$2:Q$1073&lt;&gt;""))),"")</f>
        <v>0.62370738457426733</v>
      </c>
      <c r="X30" cm="1">
        <f t="array" ref="X30">IFERROR(AVERAGE(_xlfn._xlws.FILTER(R$2:R$1073,($C$2:$C$1073=$C30)*($E$2:$E$1073=$E30)*(ROW(R$2:R$1073)&lt;&gt;ROW(R30))*(R$2:R$1073&lt;&gt;""))),"")</f>
        <v>0.2661722320582226</v>
      </c>
      <c r="Y30" cm="1">
        <f t="array" ref="Y30">IFERROR(AVERAGE(_xlfn._xlws.FILTER(S$2:S$1073,($C$2:$C$1073=$C30)*($E$2:$E$1073=$E30)*(ROW(S$2:S$1073)&lt;&gt;ROW(S30))*(S$2:S$1073&lt;&gt;""))),"")</f>
        <v>0.86126634851961348</v>
      </c>
      <c r="Z30" cm="1">
        <f t="array" ref="Z30">IFERROR(AVERAGE(_xlfn._xlws.FILTER(T$2:T$1073,($C$2:$C$1073=$C30)*($E$2:$E$1073=$E30)*(ROW(T$2:T$1073)&lt;&gt;ROW(T30))*(T$2:T$1073&lt;&gt;""))),"")</f>
        <v>0.12885776134530838</v>
      </c>
      <c r="AA30" cm="1">
        <f t="array" ref="AA30">IFERROR(AVERAGE(_xlfn._xlws.FILTER(U$2:U$1073,($C$2:$C$1073=$C30)*($E$2:$E$1073=$E30)*(ROW(U$2:U$1073)&lt;&gt;ROW(U30))*(U$2:U$1073&lt;&gt;""))),"")</f>
        <v>0.67919413174042054</v>
      </c>
    </row>
    <row r="31" spans="1:27" x14ac:dyDescent="0.2">
      <c r="A31" s="7" t="s">
        <v>2178</v>
      </c>
      <c r="B31" t="str">
        <f t="shared" si="0"/>
        <v>LKOH IV кв. 2012</v>
      </c>
      <c r="C31">
        <v>2012</v>
      </c>
      <c r="D31">
        <f>SUMIFS(Дивиденды!$C:$C,Дивиденды!$A:$A,A31,Дивиденды!$I:$I,C31)</f>
        <v>90</v>
      </c>
      <c r="E31">
        <v>1</v>
      </c>
      <c r="F31">
        <f t="shared" si="1"/>
        <v>90</v>
      </c>
      <c r="G31">
        <f t="shared" si="2"/>
        <v>5</v>
      </c>
      <c r="H31">
        <f t="shared" si="3"/>
        <v>1</v>
      </c>
      <c r="I31">
        <f t="shared" si="4"/>
        <v>0.83333333333333337</v>
      </c>
      <c r="J31">
        <f t="shared" si="5"/>
        <v>0.2</v>
      </c>
      <c r="K31">
        <f t="shared" si="10"/>
        <v>-1.1967578169080206E-2</v>
      </c>
      <c r="L31">
        <f t="shared" si="6"/>
        <v>1</v>
      </c>
      <c r="M31">
        <f t="shared" si="7"/>
        <v>0.5</v>
      </c>
      <c r="N31">
        <f t="shared" si="8"/>
        <v>0</v>
      </c>
      <c r="O31">
        <f t="shared" si="9"/>
        <v>0.33333333333333331</v>
      </c>
      <c r="P31">
        <f>IFERROR(LN('Дивиденды по годам'!I31),"")</f>
        <v>28.754007664262996</v>
      </c>
      <c r="Q31">
        <f>IFERROR('Дивиденды по годам'!G31/'Дивиденды по годам'!I31, "")</f>
        <v>0.67585210335384638</v>
      </c>
      <c r="R31">
        <f>IFERROR(IF(AND('Дивиденды по годам'!N31&lt;&gt;"",'Дивиденды по годам'!U31&lt;&gt;"",'Дивиденды по годам'!U31&lt;&gt;0),'Дивиденды по годам'!N31/'Дивиденды по годам'!U31-1,""),"")</f>
        <v>0.10011801840127621</v>
      </c>
      <c r="S31">
        <f>IFERROR(IF(AND('Дивиденды по годам'!L31&lt;&gt;"",'Дивиденды по годам'!I31&lt;&gt;"",'Дивиденды по годам'!J31&lt;&gt;"",'Дивиденды по годам'!K31&lt;&gt;"",('Дивиденды по годам'!I31-'Дивиденды по годам'!J31-'Дивиденды по годам'!K31)&lt;&gt;0),'Дивиденды по годам'!L31/('Дивиденды по годам'!I31-'Дивиденды по годам'!J31-'Дивиденды по годам'!K31),""),"")</f>
        <v>1.0273359572976761</v>
      </c>
      <c r="T31">
        <f>IFERROR(IF(AND('Дивиденды по годам'!Q31&lt;&gt;"",'Дивиденды по годам'!I31&lt;&gt;"",'Дивиденды по годам'!V31&lt;&gt;"",('Дивиденды по годам'!I31+'Дивиденды по годам'!V31)&lt;&gt;0),'Дивиденды по годам'!Q31/(('Дивиденды по годам'!I31+'Дивиденды по годам'!V31)/2),""),"")</f>
        <v>0.1179307779470702</v>
      </c>
      <c r="U31">
        <f>IFERROR(IF(AND('Дивиденды по годам'!J31&lt;&gt;"",'Дивиденды по годам'!K31&lt;&gt;"",'Дивиденды по годам'!M31&lt;&gt;"",'Дивиденды по годам'!M31&lt;&gt;0),('Дивиденды по годам'!J31+'Дивиденды по годам'!K31)/'Дивиденды по годам'!M31,""),"")</f>
        <v>0.33392192807462123</v>
      </c>
      <c r="V31" cm="1">
        <f t="array" ref="V31">IFERROR(AVERAGE(_xlfn._xlws.FILTER(P$2:P$1073,($C$2:$C$1073=$C31)*($E$2:$E$1073=$E31)*(ROW(P$2:P$1073)&lt;&gt;ROW(P31))*(P$2:P$1073&lt;&gt;""))),"")</f>
        <v>28.283497194243008</v>
      </c>
      <c r="W31" cm="1">
        <f t="array" ref="W31">IFERROR(AVERAGE(_xlfn._xlws.FILTER(Q$2:Q$1073,($C$2:$C$1073=$C31)*($E$2:$E$1073=$E31)*(ROW(Q$2:Q$1073)&lt;&gt;ROW(Q31))*(Q$2:Q$1073&lt;&gt;""))),"")</f>
        <v>0.60594587021249224</v>
      </c>
      <c r="X31" cm="1">
        <f t="array" ref="X31">IFERROR(AVERAGE(_xlfn._xlws.FILTER(R$2:R$1073,($C$2:$C$1073=$C31)*($E$2:$E$1073=$E31)*(ROW(R$2:R$1073)&lt;&gt;ROW(R31))*(R$2:R$1073&lt;&gt;""))),"")</f>
        <v>2.1495847103288779E-2</v>
      </c>
      <c r="Y31" cm="1">
        <f t="array" ref="Y31">IFERROR(AVERAGE(_xlfn._xlws.FILTER(S$2:S$1073,($C$2:$C$1073=$C31)*($E$2:$E$1073=$E31)*(ROW(S$2:S$1073)&lt;&gt;ROW(S31))*(S$2:S$1073&lt;&gt;""))),"")</f>
        <v>0.87588137373747954</v>
      </c>
      <c r="Z31" cm="1">
        <f t="array" ref="Z31">IFERROR(AVERAGE(_xlfn._xlws.FILTER(T$2:T$1073,($C$2:$C$1073=$C31)*($E$2:$E$1073=$E31)*(ROW(T$2:T$1073)&lt;&gt;ROW(T31))*(T$2:T$1073&lt;&gt;""))),"")</f>
        <v>0.12216985243146036</v>
      </c>
      <c r="AA31" cm="1">
        <f t="array" ref="AA31">IFERROR(AVERAGE(_xlfn._xlws.FILTER(U$2:U$1073,($C$2:$C$1073=$C31)*($E$2:$E$1073=$E31)*(ROW(U$2:U$1073)&lt;&gt;ROW(U31))*(U$2:U$1073&lt;&gt;""))),"")</f>
        <v>0.52314604305508794</v>
      </c>
    </row>
    <row r="32" spans="1:27" x14ac:dyDescent="0.2">
      <c r="A32" s="7" t="s">
        <v>2178</v>
      </c>
      <c r="B32" t="str">
        <f t="shared" si="0"/>
        <v>LKOH IV кв. 2011</v>
      </c>
      <c r="C32">
        <v>2011</v>
      </c>
      <c r="D32">
        <f>SUMIFS(Дивиденды!$C:$C,Дивиденды!$A:$A,A32,Дивиденды!$I:$I,C32)</f>
        <v>75</v>
      </c>
      <c r="E32">
        <v>1</v>
      </c>
      <c r="F32">
        <f t="shared" si="1"/>
        <v>75</v>
      </c>
      <c r="G32">
        <f t="shared" si="2"/>
        <v>5.03</v>
      </c>
      <c r="H32">
        <f t="shared" si="3"/>
        <v>1</v>
      </c>
      <c r="I32">
        <f t="shared" si="4"/>
        <v>0.83333333333333337</v>
      </c>
      <c r="J32">
        <f t="shared" si="5"/>
        <v>0.2711864406779661</v>
      </c>
      <c r="K32">
        <f t="shared" si="10"/>
        <v>0.69474826086206676</v>
      </c>
      <c r="L32">
        <f t="shared" si="6"/>
        <v>1</v>
      </c>
      <c r="M32">
        <f>IFERROR(AVERAGEIFS($L:$L,$E:$E,E32,$C:$C,C32,$A:$A,"&lt;&gt;"&amp;A32),"")</f>
        <v>0.83333333333333337</v>
      </c>
      <c r="N32">
        <f t="shared" si="8"/>
        <v>0</v>
      </c>
      <c r="O32">
        <f t="shared" si="9"/>
        <v>0</v>
      </c>
      <c r="P32">
        <f>IFERROR(LN('Дивиденды по годам'!I32),"")</f>
        <v>28.617310491844059</v>
      </c>
      <c r="Q32">
        <f>IFERROR('Дивиденды по годам'!G32/'Дивиденды по годам'!I32, "")</f>
        <v>0.62289455215369771</v>
      </c>
      <c r="R32">
        <f>IFERROR(IF(AND('Дивиденды по годам'!N32&lt;&gt;"",'Дивиденды по годам'!U32&lt;&gt;"",'Дивиденды по годам'!U32&lt;&gt;0),'Дивиденды по годам'!N32/'Дивиденды по годам'!U32-1,""),"")</f>
        <v>0.23276360732277679</v>
      </c>
      <c r="S32">
        <f>IFERROR(IF(AND('Дивиденды по годам'!L32&lt;&gt;"",'Дивиденды по годам'!I32&lt;&gt;"",'Дивиденды по годам'!J32&lt;&gt;"",'Дивиденды по годам'!K32&lt;&gt;"",('Дивиденды по годам'!I32-'Дивиденды по годам'!J32-'Дивиденды по годам'!K32)&lt;&gt;0),'Дивиденды по годам'!L32/('Дивиденды по годам'!I32-'Дивиденды по годам'!J32-'Дивиденды по годам'!K32),""),"")</f>
        <v>1.007025761124122</v>
      </c>
      <c r="T32">
        <f>IFERROR(IF(AND('Дивиденды по годам'!Q32&lt;&gt;"",'Дивиденды по годам'!I32&lt;&gt;"",'Дивиденды по годам'!V32&lt;&gt;"",('Дивиденды по годам'!I32+'Дивиденды по годам'!V32)&lt;&gt;0),'Дивиденды по годам'!Q32/(('Дивиденды по годам'!I32+'Дивиденды по годам'!V32)/2),""),"")</f>
        <v>0.11041821777597025</v>
      </c>
      <c r="U32">
        <f>IFERROR(IF(AND('Дивиденды по годам'!J32&lt;&gt;"",'Дивиденды по годам'!K32&lt;&gt;"",'Дивиденды по годам'!M32&lt;&gt;"",'Дивиденды по годам'!M32&lt;&gt;0),('Дивиденды по годам'!J32+'Дивиденды по годам'!K32)/'Дивиденды по годам'!M32,""),"")</f>
        <v>0.35167343550825603</v>
      </c>
      <c r="V32" cm="1">
        <f t="array" ref="V32">IFERROR(AVERAGE(_xlfn._xlws.FILTER(P$2:P$1073,($C$2:$C$1073=$C32)*($E$2:$E$1073=$E32)*(ROW(P$2:P$1073)&lt;&gt;ROW(P32))*(P$2:P$1073&lt;&gt;""))),"")</f>
        <v>28.176452214510768</v>
      </c>
      <c r="W32" cm="1">
        <f t="array" ref="W32">IFERROR(AVERAGE(_xlfn._xlws.FILTER(Q$2:Q$1073,($C$2:$C$1073=$C32)*($E$2:$E$1073=$E32)*(ROW(Q$2:Q$1073)&lt;&gt;ROW(Q32))*(Q$2:Q$1073&lt;&gt;""))),"")</f>
        <v>0.59952908692413853</v>
      </c>
      <c r="X32" cm="1">
        <f t="array" ref="X32">IFERROR(AVERAGE(_xlfn._xlws.FILTER(R$2:R$1073,($C$2:$C$1073=$C32)*($E$2:$E$1073=$E32)*(ROW(R$2:R$1073)&lt;&gt;ROW(R32))*(R$2:R$1073&lt;&gt;""))),"")</f>
        <v>0.38011965126533465</v>
      </c>
      <c r="Y32" cm="1">
        <f t="array" ref="Y32">IFERROR(AVERAGE(_xlfn._xlws.FILTER(S$2:S$1073,($C$2:$C$1073=$C32)*($E$2:$E$1073=$E32)*(ROW(S$2:S$1073)&lt;&gt;ROW(S32))*(S$2:S$1073&lt;&gt;""))),"")</f>
        <v>0.85135688383905284</v>
      </c>
      <c r="Z32" cm="1">
        <f t="array" ref="Z32">IFERROR(AVERAGE(_xlfn._xlws.FILTER(T$2:T$1073,($C$2:$C$1073=$C32)*($E$2:$E$1073=$E32)*(ROW(T$2:T$1073)&lt;&gt;ROW(T32))*(T$2:T$1073&lt;&gt;""))),"")</f>
        <v>0.17426207800431212</v>
      </c>
      <c r="AA32" cm="1">
        <f t="array" ref="AA32">IFERROR(AVERAGE(_xlfn._xlws.FILTER(U$2:U$1073,($C$2:$C$1073=$C32)*($E$2:$E$1073=$E32)*(ROW(U$2:U$1073)&lt;&gt;ROW(U32))*(U$2:U$1073&lt;&gt;""))),"")</f>
        <v>0.54488493486890155</v>
      </c>
    </row>
    <row r="33" spans="1:27" x14ac:dyDescent="0.2">
      <c r="A33" s="7" t="s">
        <v>2178</v>
      </c>
      <c r="B33" t="str">
        <f t="shared" si="0"/>
        <v>LKOH IV кв. 2010</v>
      </c>
      <c r="C33">
        <v>2010</v>
      </c>
      <c r="D33">
        <f>SUMIFS(Дивиденды!$C:$C,Дивиденды!$A:$A,A33,Дивиденды!$I:$I,C33)</f>
        <v>59</v>
      </c>
      <c r="E33">
        <v>1</v>
      </c>
      <c r="F33">
        <f t="shared" si="1"/>
        <v>59</v>
      </c>
      <c r="G33">
        <f t="shared" si="2"/>
        <v>2.688333333333333</v>
      </c>
      <c r="H33">
        <f t="shared" si="3"/>
        <v>1</v>
      </c>
      <c r="I33">
        <f t="shared" si="4"/>
        <v>0.83333333333333337</v>
      </c>
      <c r="J33" t="str">
        <f t="shared" si="5"/>
        <v/>
      </c>
      <c r="K33" t="str">
        <f t="shared" si="10"/>
        <v/>
      </c>
      <c r="L33" t="str">
        <f t="shared" si="6"/>
        <v/>
      </c>
      <c r="M33" t="str">
        <f t="shared" ref="M33:M96" si="11">IFERROR(AVERAGEIFS($L:$L,$E:$E,E33,$C:$C,C33,$A:$A,"&lt;&gt;"&amp;A33),"")</f>
        <v/>
      </c>
      <c r="N33" t="str">
        <f t="shared" si="8"/>
        <v/>
      </c>
      <c r="O33" t="str">
        <f t="shared" si="9"/>
        <v/>
      </c>
      <c r="P33">
        <f>IFERROR(LN('Дивиденды по годам'!I33),"")</f>
        <v>28.5677872208541</v>
      </c>
      <c r="Q33">
        <f>IFERROR('Дивиденды по годам'!G33/'Дивиденды по годам'!I33, "")</f>
        <v>0.65021364723805897</v>
      </c>
      <c r="R33">
        <f>IFERROR(IF(AND('Дивиденды по годам'!N33&lt;&gt;"",'Дивиденды по годам'!U33&lt;&gt;"",'Дивиденды по годам'!U33&lt;&gt;0),'Дивиденды по годам'!N33/'Дивиденды по годам'!U33-1,""),"")</f>
        <v>0.23861324477859247</v>
      </c>
      <c r="S33">
        <f>IFERROR(IF(AND('Дивиденды по годам'!L33&lt;&gt;"",'Дивиденды по годам'!I33&lt;&gt;"",'Дивиденды по годам'!J33&lt;&gt;"",'Дивиденды по годам'!K33&lt;&gt;"",('Дивиденды по годам'!I33-'Дивиденды по годам'!J33-'Дивиденды по годам'!K33)&lt;&gt;0),'Дивиденды по годам'!L33/('Дивиденды по годам'!I33-'Дивиденды по годам'!J33-'Дивиденды по годам'!K33),""),"")</f>
        <v>0.99338992718853791</v>
      </c>
      <c r="T33">
        <f>IFERROR(IF(AND('Дивиденды по годам'!Q33&lt;&gt;"",'Дивиденды по годам'!I33&lt;&gt;"",'Дивиденды по годам'!V33&lt;&gt;"",('Дивиденды по годам'!I33+'Дивиденды по годам'!V33)&lt;&gt;0),'Дивиденды по годам'!Q33/(('Дивиденды по годам'!I33+'Дивиденды по годам'!V33)/2),""),"")</f>
        <v>0.10947396081496689</v>
      </c>
      <c r="U33">
        <f>IFERROR(IF(AND('Дивиденды по годам'!J33&lt;&gt;"",'Дивиденды по годам'!K33&lt;&gt;"",'Дивиденды по годам'!M33&lt;&gt;"",'Дивиденды по годам'!M33&lt;&gt;0),('Дивиденды по годам'!J33+'Дивиденды по годам'!K33)/'Дивиденды по годам'!M33,""),"")</f>
        <v>0.40952556703798154</v>
      </c>
      <c r="V33" cm="1">
        <f t="array" ref="V33">IFERROR(AVERAGE(_xlfn._xlws.FILTER(P$2:P$1073,($C$2:$C$1073=$C33)*($E$2:$E$1073=$E33)*(ROW(P$2:P$1073)&lt;&gt;ROW(P33))*(P$2:P$1073&lt;&gt;""))),"")</f>
        <v>28.115245550057473</v>
      </c>
      <c r="W33" cm="1">
        <f t="array" ref="W33">IFERROR(AVERAGE(_xlfn._xlws.FILTER(Q$2:Q$1073,($C$2:$C$1073=$C33)*($E$2:$E$1073=$E33)*(ROW(Q$2:Q$1073)&lt;&gt;ROW(Q33))*(Q$2:Q$1073&lt;&gt;""))),"")</f>
        <v>0.62238265030229745</v>
      </c>
      <c r="X33" t="str" cm="1">
        <f t="array" ref="X33">IFERROR(AVERAGE(_xlfn._xlws.FILTER(R$2:R$1073,($C$2:$C$1073=$C33)*($E$2:$E$1073=$E33)*(ROW(R$2:R$1073)&lt;&gt;ROW(R33))*(R$2:R$1073&lt;&gt;""))),"")</f>
        <v/>
      </c>
      <c r="Y33" cm="1">
        <f t="array" ref="Y33">IFERROR(AVERAGE(_xlfn._xlws.FILTER(S$2:S$1073,($C$2:$C$1073=$C33)*($E$2:$E$1073=$E33)*(ROW(S$2:S$1073)&lt;&gt;ROW(S33))*(S$2:S$1073&lt;&gt;""))),"")</f>
        <v>0.79136667355707047</v>
      </c>
      <c r="Z33" t="str" cm="1">
        <f t="array" ref="Z33">IFERROR(AVERAGE(_xlfn._xlws.FILTER(T$2:T$1073,($C$2:$C$1073=$C33)*($E$2:$E$1073=$E33)*(ROW(T$2:T$1073)&lt;&gt;ROW(T33))*(T$2:T$1073&lt;&gt;""))),"")</f>
        <v/>
      </c>
      <c r="AA33" cm="1">
        <f t="array" ref="AA33">IFERROR(AVERAGE(_xlfn._xlws.FILTER(U$2:U$1073,($C$2:$C$1073=$C33)*($E$2:$E$1073=$E33)*(ROW(U$2:U$1073)&lt;&gt;ROW(U33))*(U$2:U$1073&lt;&gt;""))),"")</f>
        <v>0.556320454688501</v>
      </c>
    </row>
    <row r="34" spans="1:27" x14ac:dyDescent="0.2">
      <c r="A34" s="7" t="s">
        <v>2182</v>
      </c>
      <c r="B34" t="str">
        <f t="shared" si="0"/>
        <v>NVTK IV кв. 2025</v>
      </c>
      <c r="C34">
        <v>2025</v>
      </c>
      <c r="D34">
        <f>SUMIFS(Дивиденды!$C:$C,Дивиденды!$A:$A,A34,Дивиденды!$I:$I,C34)</f>
        <v>35.5</v>
      </c>
      <c r="E34">
        <v>1</v>
      </c>
      <c r="F34">
        <f t="shared" si="1"/>
        <v>35.5</v>
      </c>
      <c r="G34">
        <f t="shared" si="2"/>
        <v>71.84</v>
      </c>
      <c r="H34">
        <f t="shared" si="3"/>
        <v>1</v>
      </c>
      <c r="I34">
        <f t="shared" si="4"/>
        <v>0.5</v>
      </c>
      <c r="J34">
        <f t="shared" si="5"/>
        <v>-0.56786366402921484</v>
      </c>
      <c r="K34">
        <f t="shared" si="10"/>
        <v>-0.52832230597326058</v>
      </c>
      <c r="L34">
        <f t="shared" si="6"/>
        <v>0</v>
      </c>
      <c r="M34">
        <f t="shared" si="11"/>
        <v>0</v>
      </c>
      <c r="N34">
        <f t="shared" si="8"/>
        <v>1</v>
      </c>
      <c r="O34">
        <f t="shared" si="9"/>
        <v>0.66666666666666663</v>
      </c>
      <c r="P34">
        <f>IFERROR(LN('Дивиденды по годам'!I34),"")</f>
        <v>28.908924262347206</v>
      </c>
      <c r="Q34">
        <f>IFERROR('Дивиденды по годам'!G34/'Дивиденды по годам'!I34, "")</f>
        <v>0.35045579595587312</v>
      </c>
      <c r="R34">
        <f>IFERROR(IF(AND('Дивиденды по годам'!N34&lt;&gt;"",'Дивиденды по годам'!U34&lt;&gt;"",'Дивиденды по годам'!U34&lt;&gt;0),'Дивиденды по годам'!N34/'Дивиденды по годам'!U34-1,""),"")</f>
        <v>-6.4856186010165295E-2</v>
      </c>
      <c r="S34" t="str">
        <f>IFERROR(IF(AND('Дивиденды по годам'!L34&lt;&gt;"",'Дивиденды по годам'!I34&lt;&gt;"",'Дивиденды по годам'!J34&lt;&gt;"",'Дивиденды по годам'!K34&lt;&gt;"",('Дивиденды по годам'!I34-'Дивиденды по годам'!J34-'Дивиденды по годам'!K34)&lt;&gt;0),'Дивиденды по годам'!L34/('Дивиденды по годам'!I34-'Дивиденды по годам'!J34-'Дивиденды по годам'!K34),""),"")</f>
        <v/>
      </c>
      <c r="T34">
        <f>IFERROR(IF(AND('Дивиденды по годам'!Q34&lt;&gt;"",'Дивиденды по годам'!I34&lt;&gt;"",'Дивиденды по годам'!V34&lt;&gt;"",('Дивиденды по годам'!I34+'Дивиденды по годам'!V34)&lt;&gt;0),'Дивиденды по годам'!Q34/(('Дивиденды по годам'!I34+'Дивиденды по годам'!V34)/2),""),"")</f>
        <v>5.0760099979658635E-2</v>
      </c>
      <c r="U34">
        <f>IFERROR(IF(AND('Дивиденды по годам'!J34&lt;&gt;"",'Дивиденды по годам'!K34&lt;&gt;"",'Дивиденды по годам'!M34&lt;&gt;"",'Дивиденды по годам'!M34&lt;&gt;0),('Дивиденды по годам'!J34+'Дивиденды по годам'!K34)/'Дивиденды по годам'!M34,""),"")</f>
        <v>0.26274484969065598</v>
      </c>
      <c r="V34" cm="1">
        <f t="array" ref="V34">IFERROR(AVERAGE(_xlfn._xlws.FILTER(P$2:P$1073,($C$2:$C$1073=$C34)*($E$2:$E$1073=$E34)*(ROW(P$2:P$1073)&lt;&gt;ROW(P34))*(P$2:P$1073&lt;&gt;""))),"")</f>
        <v>28.106609574362423</v>
      </c>
      <c r="W34" cm="1">
        <f t="array" ref="W34">IFERROR(AVERAGE(_xlfn._xlws.FILTER(Q$2:Q$1073,($C$2:$C$1073=$C34)*($E$2:$E$1073=$E34)*(ROW(Q$2:Q$1073)&lt;&gt;ROW(Q34))*(Q$2:Q$1073&lt;&gt;""))),"")</f>
        <v>0.59543931916817183</v>
      </c>
      <c r="X34" cm="1">
        <f t="array" ref="X34">IFERROR(AVERAGE(_xlfn._xlws.FILTER(R$2:R$1073,($C$2:$C$1073=$C34)*($E$2:$E$1073=$E34)*(ROW(R$2:R$1073)&lt;&gt;ROW(R34))*(R$2:R$1073&lt;&gt;""))),"")</f>
        <v>-0.31343422969329565</v>
      </c>
      <c r="Y34" cm="1">
        <f t="array" ref="Y34">IFERROR(AVERAGE(_xlfn._xlws.FILTER(S$2:S$1073,($C$2:$C$1073=$C34)*($E$2:$E$1073=$E34)*(ROW(S$2:S$1073)&lt;&gt;ROW(S34))*(S$2:S$1073&lt;&gt;""))),"")</f>
        <v>0.7103915367710556</v>
      </c>
      <c r="Z34" cm="1">
        <f t="array" ref="Z34">IFERROR(AVERAGE(_xlfn._xlws.FILTER(T$2:T$1073,($C$2:$C$1073=$C34)*($E$2:$E$1073=$E34)*(ROW(T$2:T$1073)&lt;&gt;ROW(T34))*(T$2:T$1073&lt;&gt;""))),"")</f>
        <v>-2.121185723950638E-3</v>
      </c>
      <c r="AA34" cm="1">
        <f t="array" ref="AA34">IFERROR(AVERAGE(_xlfn._xlws.FILTER(U$2:U$1073,($C$2:$C$1073=$C34)*($E$2:$E$1073=$E34)*(ROW(U$2:U$1073)&lt;&gt;ROW(U34))*(U$2:U$1073&lt;&gt;""))),"")</f>
        <v>0.86286853306155209</v>
      </c>
    </row>
    <row r="35" spans="1:27" x14ac:dyDescent="0.2">
      <c r="A35" s="7" t="s">
        <v>2182</v>
      </c>
      <c r="B35" t="str">
        <f t="shared" si="0"/>
        <v>NVTK IV кв. 2024</v>
      </c>
      <c r="C35">
        <v>2024</v>
      </c>
      <c r="D35">
        <f>SUMIFS(Дивиденды!$C:$C,Дивиденды!$A:$A,A35,Дивиденды!$I:$I,C35)</f>
        <v>82.15</v>
      </c>
      <c r="E35">
        <v>1</v>
      </c>
      <c r="F35">
        <f t="shared" si="1"/>
        <v>82.15</v>
      </c>
      <c r="G35">
        <f t="shared" si="2"/>
        <v>200.95833333333337</v>
      </c>
      <c r="H35">
        <f t="shared" si="3"/>
        <v>1</v>
      </c>
      <c r="I35">
        <f t="shared" si="4"/>
        <v>0.66666666666666663</v>
      </c>
      <c r="J35">
        <f t="shared" si="5"/>
        <v>4.5298384018322972E-2</v>
      </c>
      <c r="K35">
        <f t="shared" si="10"/>
        <v>2.5664237067723684E-2</v>
      </c>
      <c r="L35">
        <f t="shared" si="6"/>
        <v>1</v>
      </c>
      <c r="M35">
        <f t="shared" si="11"/>
        <v>0.5</v>
      </c>
      <c r="N35">
        <f t="shared" si="8"/>
        <v>0</v>
      </c>
      <c r="O35">
        <f t="shared" si="9"/>
        <v>0.16666666666666666</v>
      </c>
      <c r="P35">
        <f>IFERROR(LN('Дивиденды по годам'!I35),"")</f>
        <v>28.950316598378652</v>
      </c>
      <c r="Q35">
        <f>IFERROR('Дивиденды по годам'!G35/'Дивиденды по годам'!I35, "")</f>
        <v>0.34067876127604235</v>
      </c>
      <c r="R35">
        <f>IFERROR(IF(AND('Дивиденды по годам'!N35&lt;&gt;"",'Дивиденды по годам'!U35&lt;&gt;"",'Дивиденды по годам'!U35&lt;&gt;0),'Дивиденды по годам'!N35/'Дивиденды по годам'!U35-1,""),"")</f>
        <v>0.12711774193077985</v>
      </c>
      <c r="S35" t="str">
        <f>IFERROR(IF(AND('Дивиденды по годам'!L35&lt;&gt;"",'Дивиденды по годам'!I35&lt;&gt;"",'Дивиденды по годам'!J35&lt;&gt;"",'Дивиденды по годам'!K35&lt;&gt;"",('Дивиденды по годам'!I35-'Дивиденды по годам'!J35-'Дивиденды по годам'!K35)&lt;&gt;0),'Дивиденды по годам'!L35/('Дивиденды по годам'!I35-'Дивиденды по годам'!J35-'Дивиденды по годам'!K35),""),"")</f>
        <v/>
      </c>
      <c r="T35">
        <f>IFERROR(IF(AND('Дивиденды по годам'!Q35&lt;&gt;"",'Дивиденды по годам'!I35&lt;&gt;"",'Дивиденды по годам'!V35&lt;&gt;"",('Дивиденды по годам'!I35+'Дивиденды по годам'!V35)&lt;&gt;0),'Дивиденды по годам'!Q35/(('Дивиденды по годам'!I35+'Дивиденды по годам'!V35)/2),""),"")</f>
        <v>0.14374007354663218</v>
      </c>
      <c r="U35">
        <f>IFERROR(IF(AND('Дивиденды по годам'!J35&lt;&gt;"",'Дивиденды по годам'!K35&lt;&gt;"",'Дивиденды по годам'!M35&lt;&gt;"",'Дивиденды по годам'!M35&lt;&gt;0),('Дивиденды по годам'!J35+'Дивиденды по годам'!K35)/'Дивиденды по годам'!M35,""),"")</f>
        <v>0.3134774180205695</v>
      </c>
      <c r="V35" cm="1">
        <f t="array" ref="V35">IFERROR(AVERAGE(_xlfn._xlws.FILTER(P$2:P$1073,($C$2:$C$1073=$C35)*($E$2:$E$1073=$E35)*(ROW(P$2:P$1073)&lt;&gt;ROW(P35))*(P$2:P$1073&lt;&gt;""))),"")</f>
        <v>29.316691994376317</v>
      </c>
      <c r="W35" cm="1">
        <f t="array" ref="W35">IFERROR(AVERAGE(_xlfn._xlws.FILTER(Q$2:Q$1073,($C$2:$C$1073=$C35)*($E$2:$E$1073=$E35)*(ROW(Q$2:Q$1073)&lt;&gt;ROW(Q35))*(Q$2:Q$1073&lt;&gt;""))),"")</f>
        <v>0.57923818766580193</v>
      </c>
      <c r="X35" cm="1">
        <f t="array" ref="X35">IFERROR(AVERAGE(_xlfn._xlws.FILTER(R$2:R$1073,($C$2:$C$1073=$C35)*($E$2:$E$1073=$E35)*(ROW(R$2:R$1073)&lt;&gt;ROW(R35))*(R$2:R$1073&lt;&gt;""))),"")</f>
        <v>0.19663307174067426</v>
      </c>
      <c r="Y35" cm="1">
        <f t="array" ref="Y35">IFERROR(AVERAGE(_xlfn._xlws.FILTER(S$2:S$1073,($C$2:$C$1073=$C35)*($E$2:$E$1073=$E35)*(ROW(S$2:S$1073)&lt;&gt;ROW(S35))*(S$2:S$1073&lt;&gt;""))),"")</f>
        <v>0.81580249860973608</v>
      </c>
      <c r="Z35" cm="1">
        <f t="array" ref="Z35">IFERROR(AVERAGE(_xlfn._xlws.FILTER(T$2:T$1073,($C$2:$C$1073=$C35)*($E$2:$E$1073=$E35)*(ROW(T$2:T$1073)&lt;&gt;ROW(T35))*(T$2:T$1073&lt;&gt;""))),"")</f>
        <v>0.10190731661970993</v>
      </c>
      <c r="AA35" cm="1">
        <f t="array" ref="AA35">IFERROR(AVERAGE(_xlfn._xlws.FILTER(U$2:U$1073,($C$2:$C$1073=$C35)*($E$2:$E$1073=$E35)*(ROW(U$2:U$1073)&lt;&gt;ROW(U35))*(U$2:U$1073&lt;&gt;""))),"")</f>
        <v>0.93684531880039079</v>
      </c>
    </row>
    <row r="36" spans="1:27" x14ac:dyDescent="0.2">
      <c r="A36" s="7" t="s">
        <v>2182</v>
      </c>
      <c r="B36" t="str">
        <f t="shared" si="0"/>
        <v>NVTK IV кв. 2023</v>
      </c>
      <c r="C36">
        <v>2023</v>
      </c>
      <c r="D36">
        <f>SUMIFS(Дивиденды!$C:$C,Дивиденды!$A:$A,A36,Дивиденды!$I:$I,C36)</f>
        <v>78.59</v>
      </c>
      <c r="E36">
        <v>1</v>
      </c>
      <c r="F36">
        <f t="shared" si="1"/>
        <v>78.59</v>
      </c>
      <c r="G36">
        <f t="shared" si="2"/>
        <v>182.25166666666667</v>
      </c>
      <c r="H36">
        <f t="shared" si="3"/>
        <v>1</v>
      </c>
      <c r="I36">
        <f t="shared" si="4"/>
        <v>0.66666666666666663</v>
      </c>
      <c r="J36">
        <f t="shared" si="5"/>
        <v>-0.25563553703352904</v>
      </c>
      <c r="K36">
        <f t="shared" si="10"/>
        <v>-5.087569365542971E-2</v>
      </c>
      <c r="L36">
        <f t="shared" si="6"/>
        <v>0</v>
      </c>
      <c r="M36">
        <f t="shared" si="11"/>
        <v>0.5</v>
      </c>
      <c r="N36">
        <f t="shared" si="8"/>
        <v>1</v>
      </c>
      <c r="O36">
        <f t="shared" si="9"/>
        <v>0.33333333333333331</v>
      </c>
      <c r="P36">
        <f>IFERROR(LN('Дивиденды по годам'!I36),"")</f>
        <v>28.8001393974046</v>
      </c>
      <c r="Q36">
        <f>IFERROR('Дивиденды по годам'!G36/'Дивиденды по годам'!I36, "")</f>
        <v>0.36007546084327152</v>
      </c>
      <c r="R36" t="str">
        <f>IFERROR(IF(AND('Дивиденды по годам'!N36&lt;&gt;"",'Дивиденды по годам'!U36&lt;&gt;"",'Дивиденды по годам'!U36&lt;&gt;0),'Дивиденды по годам'!N36/'Дивиденды по годам'!U36-1,""),"")</f>
        <v/>
      </c>
      <c r="S36" t="str">
        <f>IFERROR(IF(AND('Дивиденды по годам'!L36&lt;&gt;"",'Дивиденды по годам'!I36&lt;&gt;"",'Дивиденды по годам'!J36&lt;&gt;"",'Дивиденды по годам'!K36&lt;&gt;"",('Дивиденды по годам'!I36-'Дивиденды по годам'!J36-'Дивиденды по годам'!K36)&lt;&gt;0),'Дивиденды по годам'!L36/('Дивиденды по годам'!I36-'Дивиденды по годам'!J36-'Дивиденды по годам'!K36),""),"")</f>
        <v/>
      </c>
      <c r="T36" t="str">
        <f>IFERROR(IF(AND('Дивиденды по годам'!Q36&lt;&gt;"",'Дивиденды по годам'!I36&lt;&gt;"",'Дивиденды по годам'!V36&lt;&gt;"",('Дивиденды по годам'!I36+'Дивиденды по годам'!V36)&lt;&gt;0),'Дивиденды по годам'!Q36/(('Дивиденды по годам'!I36+'Дивиденды по годам'!V36)/2),""),"")</f>
        <v/>
      </c>
      <c r="U36">
        <f>IFERROR(IF(AND('Дивиденды по годам'!J36&lt;&gt;"",'Дивиденды по годам'!K36&lt;&gt;"",'Дивиденды по годам'!M36&lt;&gt;"",'Дивиденды по годам'!M36&lt;&gt;0),('Дивиденды по годам'!J36+'Дивиденды по годам'!K36)/'Дивиденды по годам'!M36,""),"")</f>
        <v>0.23545957372338075</v>
      </c>
      <c r="V36" cm="1">
        <f t="array" ref="V36">IFERROR(AVERAGE(_xlfn._xlws.FILTER(P$2:P$1073,($C$2:$C$1073=$C36)*($E$2:$E$1073=$E36)*(ROW(P$2:P$1073)&lt;&gt;ROW(P36))*(P$2:P$1073&lt;&gt;""))),"")</f>
        <v>29.315197642801579</v>
      </c>
      <c r="W36" cm="1">
        <f t="array" ref="W36">IFERROR(AVERAGE(_xlfn._xlws.FILTER(Q$2:Q$1073,($C$2:$C$1073=$C36)*($E$2:$E$1073=$E36)*(ROW(Q$2:Q$1073)&lt;&gt;ROW(Q36))*(Q$2:Q$1073&lt;&gt;""))),"")</f>
        <v>0.52048868386806291</v>
      </c>
      <c r="X36" cm="1">
        <f t="array" ref="X36">IFERROR(AVERAGE(_xlfn._xlws.FILTER(R$2:R$1073,($C$2:$C$1073=$C36)*($E$2:$E$1073=$E36)*(ROW(R$2:R$1073)&lt;&gt;ROW(R36))*(R$2:R$1073&lt;&gt;""))),"")</f>
        <v>-9.5200738872077639E-2</v>
      </c>
      <c r="Y36" cm="1">
        <f t="array" ref="Y36">IFERROR(AVERAGE(_xlfn._xlws.FILTER(S$2:S$1073,($C$2:$C$1073=$C36)*($E$2:$E$1073=$E36)*(ROW(S$2:S$1073)&lt;&gt;ROW(S36))*(S$2:S$1073&lt;&gt;""))),"")</f>
        <v>0.81700194842108154</v>
      </c>
      <c r="Z36" cm="1">
        <f t="array" ref="Z36">IFERROR(AVERAGE(_xlfn._xlws.FILTER(T$2:T$1073,($C$2:$C$1073=$C36)*($E$2:$E$1073=$E36)*(ROW(T$2:T$1073)&lt;&gt;ROW(T36))*(T$2:T$1073&lt;&gt;""))),"")</f>
        <v>8.3497415799470329E-2</v>
      </c>
      <c r="AA36" cm="1">
        <f t="array" ref="AA36">IFERROR(AVERAGE(_xlfn._xlws.FILTER(U$2:U$1073,($C$2:$C$1073=$C36)*($E$2:$E$1073=$E36)*(ROW(U$2:U$1073)&lt;&gt;ROW(U36))*(U$2:U$1073&lt;&gt;""))),"")</f>
        <v>0.92314929306245286</v>
      </c>
    </row>
    <row r="37" spans="1:27" x14ac:dyDescent="0.2">
      <c r="A37" s="7" t="s">
        <v>2182</v>
      </c>
      <c r="B37" t="str">
        <f t="shared" si="0"/>
        <v>NVTK IV кв. 2022</v>
      </c>
      <c r="C37">
        <v>2022</v>
      </c>
      <c r="D37">
        <f>SUMIFS(Дивиденды!$C:$C,Дивиденды!$A:$A,A37,Дивиденды!$I:$I,C37)</f>
        <v>105.58</v>
      </c>
      <c r="E37">
        <v>1</v>
      </c>
      <c r="F37">
        <f t="shared" si="1"/>
        <v>105.58</v>
      </c>
      <c r="G37">
        <f t="shared" si="2"/>
        <v>231.41166666666663</v>
      </c>
      <c r="H37">
        <f t="shared" si="3"/>
        <v>1</v>
      </c>
      <c r="I37">
        <f t="shared" si="4"/>
        <v>0.83333333333333337</v>
      </c>
      <c r="J37">
        <f t="shared" si="5"/>
        <v>0.47788353863381861</v>
      </c>
      <c r="K37">
        <f t="shared" si="10"/>
        <v>0.68653945408221506</v>
      </c>
      <c r="L37">
        <f t="shared" si="6"/>
        <v>1</v>
      </c>
      <c r="M37">
        <f t="shared" si="11"/>
        <v>0.5</v>
      </c>
      <c r="N37">
        <f t="shared" si="8"/>
        <v>0</v>
      </c>
      <c r="O37">
        <f t="shared" si="9"/>
        <v>0.16666666666666666</v>
      </c>
      <c r="P37" t="str">
        <f>IFERROR(LN('Дивиденды по годам'!I37),"")</f>
        <v/>
      </c>
      <c r="Q37" t="str">
        <f>IFERROR('Дивиденды по годам'!G37/'Дивиденды по годам'!I37, "")</f>
        <v/>
      </c>
      <c r="R37" t="str">
        <f>IFERROR(IF(AND('Дивиденды по годам'!N37&lt;&gt;"",'Дивиденды по годам'!U37&lt;&gt;"",'Дивиденды по годам'!U37&lt;&gt;0),'Дивиденды по годам'!N37/'Дивиденды по годам'!U37-1,""),"")</f>
        <v/>
      </c>
      <c r="S37" t="str">
        <f>IFERROR(IF(AND('Дивиденды по годам'!L37&lt;&gt;"",'Дивиденды по годам'!I37&lt;&gt;"",'Дивиденды по годам'!J37&lt;&gt;"",'Дивиденды по годам'!K37&lt;&gt;"",('Дивиденды по годам'!I37-'Дивиденды по годам'!J37-'Дивиденды по годам'!K37)&lt;&gt;0),'Дивиденды по годам'!L37/('Дивиденды по годам'!I37-'Дивиденды по годам'!J37-'Дивиденды по годам'!K37),""),"")</f>
        <v/>
      </c>
      <c r="T37" t="str">
        <f>IFERROR(IF(AND('Дивиденды по годам'!Q37&lt;&gt;"",'Дивиденды по годам'!I37&lt;&gt;"",'Дивиденды по годам'!V37&lt;&gt;"",('Дивиденды по годам'!I37+'Дивиденды по годам'!V37)&lt;&gt;0),'Дивиденды по годам'!Q37/(('Дивиденды по годам'!I37+'Дивиденды по годам'!V37)/2),""),"")</f>
        <v/>
      </c>
      <c r="U37" t="str">
        <f>IFERROR(IF(AND('Дивиденды по годам'!J37&lt;&gt;"",'Дивиденды по годам'!K37&lt;&gt;"",'Дивиденды по годам'!M37&lt;&gt;"",'Дивиденды по годам'!M37&lt;&gt;0),('Дивиденды по годам'!J37+'Дивиденды по годам'!K37)/'Дивиденды по годам'!M37,""),"")</f>
        <v/>
      </c>
      <c r="V37" cm="1">
        <f t="array" ref="V37">IFERROR(AVERAGE(_xlfn._xlws.FILTER(P$2:P$1073,($C$2:$C$1073=$C37)*($E$2:$E$1073=$E37)*(ROW(P$2:P$1073)&lt;&gt;ROW(P37))*(P$2:P$1073&lt;&gt;""))),"")</f>
        <v>28.727283056765771</v>
      </c>
      <c r="W37" cm="1">
        <f t="array" ref="W37">IFERROR(AVERAGE(_xlfn._xlws.FILTER(Q$2:Q$1073,($C$2:$C$1073=$C37)*($E$2:$E$1073=$E37)*(ROW(Q$2:Q$1073)&lt;&gt;ROW(Q37))*(Q$2:Q$1073&lt;&gt;""))),"")</f>
        <v>0.51128857729902477</v>
      </c>
      <c r="X37" cm="1">
        <f t="array" ref="X37">IFERROR(AVERAGE(_xlfn._xlws.FILTER(R$2:R$1073,($C$2:$C$1073=$C37)*($E$2:$E$1073=$E37)*(ROW(R$2:R$1073)&lt;&gt;ROW(R37))*(R$2:R$1073&lt;&gt;""))),"")</f>
        <v>0.11583545865184226</v>
      </c>
      <c r="Y37" cm="1">
        <f t="array" ref="Y37">IFERROR(AVERAGE(_xlfn._xlws.FILTER(S$2:S$1073,($C$2:$C$1073=$C37)*($E$2:$E$1073=$E37)*(ROW(S$2:S$1073)&lt;&gt;ROW(S37))*(S$2:S$1073&lt;&gt;""))),"")</f>
        <v>0.81623267945546474</v>
      </c>
      <c r="Z37" cm="1">
        <f t="array" ref="Z37">IFERROR(AVERAGE(_xlfn._xlws.FILTER(T$2:T$1073,($C$2:$C$1073=$C37)*($E$2:$E$1073=$E37)*(ROW(T$2:T$1073)&lt;&gt;ROW(T37))*(T$2:T$1073&lt;&gt;""))),"")</f>
        <v>0.10279179198494799</v>
      </c>
      <c r="AA37" cm="1">
        <f t="array" ref="AA37">IFERROR(AVERAGE(_xlfn._xlws.FILTER(U$2:U$1073,($C$2:$C$1073=$C37)*($E$2:$E$1073=$E37)*(ROW(U$2:U$1073)&lt;&gt;ROW(U37))*(U$2:U$1073&lt;&gt;""))),"")</f>
        <v>0.81000773545151117</v>
      </c>
    </row>
    <row r="38" spans="1:27" x14ac:dyDescent="0.2">
      <c r="A38" s="7" t="s">
        <v>2182</v>
      </c>
      <c r="B38" t="str">
        <f t="shared" si="0"/>
        <v>NVTK IV кв. 2021</v>
      </c>
      <c r="C38">
        <v>2021</v>
      </c>
      <c r="D38">
        <f>SUMIFS(Дивиденды!$C:$C,Дивиденды!$A:$A,A38,Дивиденды!$I:$I,C38)</f>
        <v>71.44</v>
      </c>
      <c r="E38">
        <v>1</v>
      </c>
      <c r="F38">
        <f t="shared" si="1"/>
        <v>71.44</v>
      </c>
      <c r="G38">
        <f t="shared" si="2"/>
        <v>70.849999999999994</v>
      </c>
      <c r="H38">
        <f t="shared" si="3"/>
        <v>1</v>
      </c>
      <c r="I38">
        <f t="shared" si="4"/>
        <v>0.66666666666666663</v>
      </c>
      <c r="J38">
        <f t="shared" si="5"/>
        <v>1.0089988751406072</v>
      </c>
      <c r="K38">
        <f t="shared" si="10"/>
        <v>0.89595774783820314</v>
      </c>
      <c r="L38">
        <f t="shared" si="6"/>
        <v>1</v>
      </c>
      <c r="M38">
        <f t="shared" si="11"/>
        <v>0.66666666666666663</v>
      </c>
      <c r="N38">
        <f t="shared" si="8"/>
        <v>0</v>
      </c>
      <c r="O38">
        <f t="shared" si="9"/>
        <v>0.16666666666666666</v>
      </c>
      <c r="P38">
        <f>IFERROR(LN('Дивиденды по годам'!I38),"")</f>
        <v>28.530232421227353</v>
      </c>
      <c r="Q38">
        <f>IFERROR('Дивиденды по годам'!G38/'Дивиденды по годам'!I38, "")</f>
        <v>0.35421481536939142</v>
      </c>
      <c r="R38">
        <f>IFERROR(IF(AND('Дивиденды по годам'!N38&lt;&gt;"",'Дивиденды по годам'!U38&lt;&gt;"",'Дивиденды по годам'!U38&lt;&gt;0),'Дивиденды по годам'!N38/'Дивиденды по годам'!U38-1,""),"")</f>
        <v>0.62504144352722357</v>
      </c>
      <c r="S38">
        <f>IFERROR(IF(AND('Дивиденды по годам'!L38&lt;&gt;"",'Дивиденды по годам'!I38&lt;&gt;"",'Дивиденды по годам'!J38&lt;&gt;"",'Дивиденды по годам'!K38&lt;&gt;"",('Дивиденды по годам'!I38-'Дивиденды по годам'!J38-'Дивиденды по годам'!K38)&lt;&gt;0),'Дивиденды по годам'!L38/('Дивиденды по годам'!I38-'Дивиденды по годам'!J38-'Дивиденды по годам'!K38),""),"")</f>
        <v>0.98415721102460985</v>
      </c>
      <c r="T38">
        <f>IFERROR(IF(AND('Дивиденды по годам'!Q38&lt;&gt;"",'Дивиденды по годам'!I38&lt;&gt;"",'Дивиденды по годам'!V38&lt;&gt;"",('Дивиденды по годам'!I38+'Дивиденды по годам'!V38)&lt;&gt;0),'Дивиденды по годам'!Q38/(('Дивиденды по годам'!I38+'Дивиденды по годам'!V38)/2),""),"")</f>
        <v>0.19997201584646973</v>
      </c>
      <c r="U38">
        <f>IFERROR(IF(AND('Дивиденды по годам'!J38&lt;&gt;"",'Дивиденды по годам'!K38&lt;&gt;"",'Дивиденды по годам'!M38&lt;&gt;"",'Дивиденды по годам'!M38&lt;&gt;0),('Дивиденды по годам'!J38+'Дивиденды по годам'!K38)/'Дивиденды по годам'!M38,""),"")</f>
        <v>0.28574619834274056</v>
      </c>
      <c r="V38" cm="1">
        <f t="array" ref="V38">IFERROR(AVERAGE(_xlfn._xlws.FILTER(P$2:P$1073,($C$2:$C$1073=$C38)*($E$2:$E$1073=$E38)*(ROW(P$2:P$1073)&lt;&gt;ROW(P38))*(P$2:P$1073&lt;&gt;""))),"")</f>
        <v>29.067689189776633</v>
      </c>
      <c r="W38" cm="1">
        <f t="array" ref="W38">IFERROR(AVERAGE(_xlfn._xlws.FILTER(Q$2:Q$1073,($C$2:$C$1073=$C38)*($E$2:$E$1073=$E38)*(ROW(Q$2:Q$1073)&lt;&gt;ROW(Q38))*(Q$2:Q$1073&lt;&gt;""))),"")</f>
        <v>0.59837233023387149</v>
      </c>
      <c r="X38" cm="1">
        <f t="array" ref="X38">IFERROR(AVERAGE(_xlfn._xlws.FILTER(R$2:R$1073,($C$2:$C$1073=$C38)*($E$2:$E$1073=$E38)*(ROW(R$2:R$1073)&lt;&gt;ROW(R38))*(R$2:R$1073&lt;&gt;""))),"")</f>
        <v>0.71862586911760906</v>
      </c>
      <c r="Y38" cm="1">
        <f t="array" ref="Y38">IFERROR(AVERAGE(_xlfn._xlws.FILTER(S$2:S$1073,($C$2:$C$1073=$C38)*($E$2:$E$1073=$E38)*(ROW(S$2:S$1073)&lt;&gt;ROW(S38))*(S$2:S$1073&lt;&gt;""))),"")</f>
        <v>0.76995466619503838</v>
      </c>
      <c r="Z38" cm="1">
        <f t="array" ref="Z38">IFERROR(AVERAGE(_xlfn._xlws.FILTER(T$2:T$1073,($C$2:$C$1073=$C38)*($E$2:$E$1073=$E38)*(ROW(T$2:T$1073)&lt;&gt;ROW(T38))*(T$2:T$1073&lt;&gt;""))),"")</f>
        <v>0.10607626050624464</v>
      </c>
      <c r="AA38" cm="1">
        <f t="array" ref="AA38">IFERROR(AVERAGE(_xlfn._xlws.FILTER(U$2:U$1073,($C$2:$C$1073=$C38)*($E$2:$E$1073=$E38)*(ROW(U$2:U$1073)&lt;&gt;ROW(U38))*(U$2:U$1073&lt;&gt;""))),"")</f>
        <v>1.1917253763485456</v>
      </c>
    </row>
    <row r="39" spans="1:27" x14ac:dyDescent="0.2">
      <c r="A39" s="7" t="s">
        <v>2182</v>
      </c>
      <c r="B39" t="str">
        <f t="shared" si="0"/>
        <v>NVTK IV кв. 2020</v>
      </c>
      <c r="C39">
        <v>2020</v>
      </c>
      <c r="D39">
        <f>SUMIFS(Дивиденды!$C:$C,Дивиденды!$A:$A,A39,Дивиденды!$I:$I,C39)</f>
        <v>35.56</v>
      </c>
      <c r="E39">
        <v>1</v>
      </c>
      <c r="F39">
        <f t="shared" si="1"/>
        <v>35.56</v>
      </c>
      <c r="G39">
        <f t="shared" si="2"/>
        <v>50.238333333333337</v>
      </c>
      <c r="H39">
        <f t="shared" si="3"/>
        <v>1</v>
      </c>
      <c r="I39">
        <f t="shared" si="4"/>
        <v>0.83333333333333337</v>
      </c>
      <c r="J39">
        <f t="shared" si="5"/>
        <v>9.9907206928549458E-2</v>
      </c>
      <c r="K39">
        <f t="shared" si="10"/>
        <v>-0.34483957347077054</v>
      </c>
      <c r="L39">
        <f t="shared" si="6"/>
        <v>1</v>
      </c>
      <c r="M39">
        <f t="shared" si="11"/>
        <v>0.16666666666666666</v>
      </c>
      <c r="N39">
        <f t="shared" si="8"/>
        <v>0</v>
      </c>
      <c r="O39">
        <f t="shared" si="9"/>
        <v>0.66666666666666663</v>
      </c>
      <c r="P39">
        <f>IFERROR(LN('Дивиденды по годам'!I39),"")</f>
        <v>28.353327989970516</v>
      </c>
      <c r="Q39">
        <f>IFERROR('Дивиденды по годам'!G39/'Дивиденды по годам'!I39, "")</f>
        <v>0.35422241302111812</v>
      </c>
      <c r="R39">
        <f>IFERROR(IF(AND('Дивиденды по годам'!N39&lt;&gt;"",'Дивиденды по годам'!U39&lt;&gt;"",'Дивиденды по годам'!U39&lt;&gt;0),'Дивиденды по годам'!N39/'Дивиденды по годам'!U39-1,""),"")</f>
        <v>-0.17500055053123365</v>
      </c>
      <c r="S39">
        <f>IFERROR(IF(AND('Дивиденды по годам'!L39&lt;&gt;"",'Дивиденды по годам'!I39&lt;&gt;"",'Дивиденды по годам'!J39&lt;&gt;"",'Дивиденды по годам'!K39&lt;&gt;"",('Дивиденды по годам'!I39-'Дивиденды по годам'!J39-'Дивиденды по годам'!K39)&lt;&gt;0),'Дивиденды по годам'!L39/('Дивиденды по годам'!I39-'Дивиденды по годам'!J39-'Дивиденды по годам'!K39),""),"")</f>
        <v>0.97678505053932829</v>
      </c>
      <c r="T39">
        <f>IFERROR(IF(AND('Дивиденды по годам'!Q39&lt;&gt;"",'Дивиденды по годам'!I39&lt;&gt;"",'Дивиденды по годам'!V39&lt;&gt;"",('Дивиденды по годам'!I39+'Дивиденды по годам'!V39)&lt;&gt;0),'Дивиденды по годам'!Q39/(('Дивиденды по годам'!I39+'Дивиденды по годам'!V39)/2),""),"")</f>
        <v>3.8597805279656783E-2</v>
      </c>
      <c r="U39">
        <f>IFERROR(IF(AND('Дивиденды по годам'!J39&lt;&gt;"",'Дивиденды по годам'!K39&lt;&gt;"",'Дивиденды по годам'!M39&lt;&gt;"",'Дивиденды по годам'!M39&lt;&gt;0),('Дивиденды по годам'!J39+'Дивиденды по годам'!K39)/'Дивиденды по годам'!M39,""),"")</f>
        <v>0.2568017983102085</v>
      </c>
      <c r="V39" cm="1">
        <f t="array" ref="V39">IFERROR(AVERAGE(_xlfn._xlws.FILTER(P$2:P$1073,($C$2:$C$1073=$C39)*($E$2:$E$1073=$E39)*(ROW(P$2:P$1073)&lt;&gt;ROW(P39))*(P$2:P$1073&lt;&gt;""))),"")</f>
        <v>29.028839603364599</v>
      </c>
      <c r="W39" cm="1">
        <f t="array" ref="W39">IFERROR(AVERAGE(_xlfn._xlws.FILTER(Q$2:Q$1073,($C$2:$C$1073=$C39)*($E$2:$E$1073=$E39)*(ROW(Q$2:Q$1073)&lt;&gt;ROW(Q39))*(Q$2:Q$1073&lt;&gt;""))),"")</f>
        <v>0.59301408748333706</v>
      </c>
      <c r="X39" cm="1">
        <f t="array" ref="X39">IFERROR(AVERAGE(_xlfn._xlws.FILTER(R$2:R$1073,($C$2:$C$1073=$C39)*($E$2:$E$1073=$E39)*(ROW(R$2:R$1073)&lt;&gt;ROW(R39))*(R$2:R$1073&lt;&gt;""))),"")</f>
        <v>-0.27044304820001702</v>
      </c>
      <c r="Y39" cm="1">
        <f t="array" ref="Y39">IFERROR(AVERAGE(_xlfn._xlws.FILTER(S$2:S$1073,($C$2:$C$1073=$C39)*($E$2:$E$1073=$E39)*(ROW(S$2:S$1073)&lt;&gt;ROW(S39))*(S$2:S$1073&lt;&gt;""))),"")</f>
        <v>0.73985490238175211</v>
      </c>
      <c r="Z39" cm="1">
        <f t="array" ref="Z39">IFERROR(AVERAGE(_xlfn._xlws.FILTER(T$2:T$1073,($C$2:$C$1073=$C39)*($E$2:$E$1073=$E39)*(ROW(T$2:T$1073)&lt;&gt;ROW(T39))*(T$2:T$1073&lt;&gt;""))),"")</f>
        <v>2.6900559005826507E-2</v>
      </c>
      <c r="AA39" cm="1">
        <f t="array" ref="AA39">IFERROR(AVERAGE(_xlfn._xlws.FILTER(U$2:U$1073,($C$2:$C$1073=$C39)*($E$2:$E$1073=$E39)*(ROW(U$2:U$1073)&lt;&gt;ROW(U39))*(U$2:U$1073&lt;&gt;""))),"")</f>
        <v>1.35019697832478</v>
      </c>
    </row>
    <row r="40" spans="1:27" x14ac:dyDescent="0.2">
      <c r="A40" s="7" t="s">
        <v>2182</v>
      </c>
      <c r="B40" t="str">
        <f t="shared" si="0"/>
        <v>NVTK IV кв. 2019</v>
      </c>
      <c r="C40">
        <v>2019</v>
      </c>
      <c r="D40">
        <f>SUMIFS(Дивиденды!$C:$C,Дивиденды!$A:$A,A40,Дивиденды!$I:$I,C40)</f>
        <v>32.33</v>
      </c>
      <c r="E40">
        <v>1</v>
      </c>
      <c r="F40">
        <f t="shared" si="1"/>
        <v>32.33</v>
      </c>
      <c r="G40">
        <f t="shared" si="2"/>
        <v>109.295</v>
      </c>
      <c r="H40">
        <f t="shared" si="3"/>
        <v>1</v>
      </c>
      <c r="I40">
        <f t="shared" si="4"/>
        <v>0.83333333333333337</v>
      </c>
      <c r="J40">
        <f t="shared" si="5"/>
        <v>0.24059861857252493</v>
      </c>
      <c r="K40">
        <f t="shared" si="10"/>
        <v>0.18904293668173078</v>
      </c>
      <c r="L40">
        <f t="shared" si="6"/>
        <v>1</v>
      </c>
      <c r="M40">
        <f t="shared" si="11"/>
        <v>0.33333333333333331</v>
      </c>
      <c r="N40">
        <f t="shared" si="8"/>
        <v>0</v>
      </c>
      <c r="O40">
        <f t="shared" si="9"/>
        <v>0.33333333333333331</v>
      </c>
      <c r="P40">
        <f>IFERROR(LN('Дивиденды по годам'!I40),"")</f>
        <v>28.330581189861967</v>
      </c>
      <c r="Q40">
        <f>IFERROR('Дивиденды по годам'!G40/'Дивиденды по годам'!I40, "")</f>
        <v>0.27661936928768766</v>
      </c>
      <c r="R40">
        <f>IFERROR(IF(AND('Дивиденды по годам'!N40&lt;&gt;"",'Дивиденды по годам'!U40&lt;&gt;"",'Дивиденды по годам'!U40&lt;&gt;0),'Дивиденды по годам'!N40/'Дивиденды по годам'!U40-1,""),"")</f>
        <v>3.7324558345095626E-2</v>
      </c>
      <c r="S40">
        <f>IFERROR(IF(AND('Дивиденды по годам'!L40&lt;&gt;"",'Дивиденды по годам'!I40&lt;&gt;"",'Дивиденды по годам'!J40&lt;&gt;"",'Дивиденды по годам'!K40&lt;&gt;"",('Дивиденды по годам'!I40-'Дивиденды по годам'!J40-'Дивиденды по годам'!K40)&lt;&gt;0),'Дивиденды по годам'!L40/('Дивиденды по годам'!I40-'Дивиденды по годам'!J40-'Дивиденды по годам'!K40),""),"")</f>
        <v>0.97097912752627957</v>
      </c>
      <c r="T40">
        <f>IFERROR(IF(AND('Дивиденды по годам'!Q40&lt;&gt;"",'Дивиденды по годам'!I40&lt;&gt;"",'Дивиденды по годам'!V40&lt;&gt;"",('Дивиденды по годам'!I40+'Дивиденды по годам'!V40)&lt;&gt;0),'Дивиденды по годам'!Q40/(('Дивиденды по годам'!I40+'Дивиденды по годам'!V40)/2),""),"")</f>
        <v>0.54716392757793864</v>
      </c>
      <c r="U40">
        <f>IFERROR(IF(AND('Дивиденды по годам'!J40&lt;&gt;"",'Дивиденды по годам'!K40&lt;&gt;"",'Дивиденды по годам'!M40&lt;&gt;"",'Дивиденды по годам'!M40&lt;&gt;0),('Дивиденды по годам'!J40+'Дивиденды по годам'!K40)/'Дивиденды по годам'!M40,""),"")</f>
        <v>0.20742365674990224</v>
      </c>
      <c r="V40" cm="1">
        <f t="array" ref="V40">IFERROR(AVERAGE(_xlfn._xlws.FILTER(P$2:P$1073,($C$2:$C$1073=$C40)*($E$2:$E$1073=$E40)*(ROW(P$2:P$1073)&lt;&gt;ROW(P40))*(P$2:P$1073&lt;&gt;""))),"")</f>
        <v>28.969903768271994</v>
      </c>
      <c r="W40" cm="1">
        <f t="array" ref="W40">IFERROR(AVERAGE(_xlfn._xlws.FILTER(Q$2:Q$1073,($C$2:$C$1073=$C40)*($E$2:$E$1073=$E40)*(ROW(Q$2:Q$1073)&lt;&gt;ROW(Q40))*(Q$2:Q$1073&lt;&gt;""))),"")</f>
        <v>0.58168025328017381</v>
      </c>
      <c r="X40" cm="1">
        <f t="array" ref="X40">IFERROR(AVERAGE(_xlfn._xlws.FILTER(R$2:R$1073,($C$2:$C$1073=$C40)*($E$2:$E$1073=$E40)*(ROW(R$2:R$1073)&lt;&gt;ROW(R40))*(R$2:R$1073&lt;&gt;""))),"")</f>
        <v>7.7056886536114684E-3</v>
      </c>
      <c r="Y40" cm="1">
        <f t="array" ref="Y40">IFERROR(AVERAGE(_xlfn._xlws.FILTER(S$2:S$1073,($C$2:$C$1073=$C40)*($E$2:$E$1073=$E40)*(ROW(S$2:S$1073)&lt;&gt;ROW(S40))*(S$2:S$1073&lt;&gt;""))),"")</f>
        <v>0.81573694555957121</v>
      </c>
      <c r="Z40" cm="1">
        <f t="array" ref="Z40">IFERROR(AVERAGE(_xlfn._xlws.FILTER(T$2:T$1073,($C$2:$C$1073=$C40)*($E$2:$E$1073=$E40)*(ROW(T$2:T$1073)&lt;&gt;ROW(T40))*(T$2:T$1073&lt;&gt;""))),"")</f>
        <v>8.1920861273606607E-2</v>
      </c>
      <c r="AA40" cm="1">
        <f t="array" ref="AA40">IFERROR(AVERAGE(_xlfn._xlws.FILTER(U$2:U$1073,($C$2:$C$1073=$C40)*($E$2:$E$1073=$E40)*(ROW(U$2:U$1073)&lt;&gt;ROW(U40))*(U$2:U$1073&lt;&gt;""))),"")</f>
        <v>0.99976062931493737</v>
      </c>
    </row>
    <row r="41" spans="1:27" x14ac:dyDescent="0.2">
      <c r="A41" s="7" t="s">
        <v>2182</v>
      </c>
      <c r="B41" t="str">
        <f t="shared" si="0"/>
        <v>NVTK IV кв. 2018</v>
      </c>
      <c r="C41">
        <v>2018</v>
      </c>
      <c r="D41">
        <f>SUMIFS(Дивиденды!$C:$C,Дивиденды!$A:$A,A41,Дивиденды!$I:$I,C41)</f>
        <v>26.06</v>
      </c>
      <c r="E41">
        <v>1</v>
      </c>
      <c r="F41">
        <f t="shared" si="1"/>
        <v>26.06</v>
      </c>
      <c r="G41">
        <f t="shared" si="2"/>
        <v>63.013333333333343</v>
      </c>
      <c r="H41">
        <f t="shared" si="3"/>
        <v>1</v>
      </c>
      <c r="I41">
        <f t="shared" si="4"/>
        <v>0.83333333333333337</v>
      </c>
      <c r="J41">
        <f t="shared" si="5"/>
        <v>0.74314381270903007</v>
      </c>
      <c r="K41">
        <f t="shared" si="10"/>
        <v>0.63782970805362027</v>
      </c>
      <c r="L41">
        <f t="shared" si="6"/>
        <v>1</v>
      </c>
      <c r="M41">
        <f t="shared" si="11"/>
        <v>0.66666666666666663</v>
      </c>
      <c r="N41">
        <f t="shared" si="8"/>
        <v>0</v>
      </c>
      <c r="O41">
        <f t="shared" si="9"/>
        <v>0</v>
      </c>
      <c r="P41">
        <f>IFERROR(LN('Дивиденды по годам'!I41),"")</f>
        <v>27.826892129505662</v>
      </c>
      <c r="Q41">
        <f>IFERROR('Дивиденды по годам'!G41/'Дивиденды по годам'!I41, "")</f>
        <v>0.33558949990545639</v>
      </c>
      <c r="R41">
        <f>IFERROR(IF(AND('Дивиденды по годам'!N41&lt;&gt;"",'Дивиденды по годам'!U41&lt;&gt;"",'Дивиденды по годам'!U41&lt;&gt;0),'Дивиденды по годам'!N41/'Дивиденды по годам'!U41-1,""),"")</f>
        <v>0.426231082364803</v>
      </c>
      <c r="S41">
        <f>IFERROR(IF(AND('Дивиденды по годам'!L41&lt;&gt;"",'Дивиденды по годам'!I41&lt;&gt;"",'Дивиденды по годам'!J41&lt;&gt;"",'Дивиденды по годам'!K41&lt;&gt;"",('Дивиденды по годам'!I41-'Дивиденды по годам'!J41-'Дивиденды по годам'!K41)&lt;&gt;0),'Дивиденды по годам'!L41/('Дивиденды по годам'!I41-'Дивиденды по годам'!J41-'Дивиденды по годам'!K41),""),"")</f>
        <v>0.95093475600471467</v>
      </c>
      <c r="T41">
        <f>IFERROR(IF(AND('Дивиденды по годам'!Q41&lt;&gt;"",'Дивиденды по годам'!I41&lt;&gt;"",'Дивиденды по годам'!V41&lt;&gt;"",('Дивиденды по годам'!I41+'Дивиденды по годам'!V41)&lt;&gt;0),'Дивиденды по годам'!Q41/(('Дивиденды по годам'!I41+'Дивиденды по годам'!V41)/2),""),"")</f>
        <v>0.16186189799569306</v>
      </c>
      <c r="U41">
        <f>IFERROR(IF(AND('Дивиденды по годам'!J41&lt;&gt;"",'Дивиденды по годам'!K41&lt;&gt;"",'Дивиденды по годам'!M41&lt;&gt;"",'Дивиденды по годам'!M41&lt;&gt;0),('Дивиденды по годам'!J41+'Дивиденды по годам'!K41)/'Дивиденды по годам'!M41,""),"")</f>
        <v>0.37195675590320271</v>
      </c>
      <c r="V41" cm="1">
        <f t="array" ref="V41">IFERROR(AVERAGE(_xlfn._xlws.FILTER(P$2:P$1073,($C$2:$C$1073=$C41)*($E$2:$E$1073=$E41)*(ROW(P$2:P$1073)&lt;&gt;ROW(P41))*(P$2:P$1073&lt;&gt;""))),"")</f>
        <v>28.931762432671466</v>
      </c>
      <c r="W41" cm="1">
        <f t="array" ref="W41">IFERROR(AVERAGE(_xlfn._xlws.FILTER(Q$2:Q$1073,($C$2:$C$1073=$C41)*($E$2:$E$1073=$E41)*(ROW(Q$2:Q$1073)&lt;&gt;ROW(Q41))*(Q$2:Q$1073&lt;&gt;""))),"")</f>
        <v>0.56323635527874971</v>
      </c>
      <c r="X41" cm="1">
        <f t="array" ref="X41">IFERROR(AVERAGE(_xlfn._xlws.FILTER(R$2:R$1073,($C$2:$C$1073=$C41)*($E$2:$E$1073=$E41)*(ROW(R$2:R$1073)&lt;&gt;ROW(R41))*(R$2:R$1073&lt;&gt;""))),"")</f>
        <v>0.33615492256884538</v>
      </c>
      <c r="Y41" cm="1">
        <f t="array" ref="Y41">IFERROR(AVERAGE(_xlfn._xlws.FILTER(S$2:S$1073,($C$2:$C$1073=$C41)*($E$2:$E$1073=$E41)*(ROW(S$2:S$1073)&lt;&gt;ROW(S41))*(S$2:S$1073&lt;&gt;""))),"")</f>
        <v>0.75609365422837405</v>
      </c>
      <c r="Z41" cm="1">
        <f t="array" ref="Z41">IFERROR(AVERAGE(_xlfn._xlws.FILTER(T$2:T$1073,($C$2:$C$1073=$C41)*($E$2:$E$1073=$E41)*(ROW(T$2:T$1073)&lt;&gt;ROW(T41))*(T$2:T$1073&lt;&gt;""))),"")</f>
        <v>0.11154120851352545</v>
      </c>
      <c r="AA41" cm="1">
        <f t="array" ref="AA41">IFERROR(AVERAGE(_xlfn._xlws.FILTER(U$2:U$1073,($C$2:$C$1073=$C41)*($E$2:$E$1073=$E41)*(ROW(U$2:U$1073)&lt;&gt;ROW(U41))*(U$2:U$1073&lt;&gt;""))),"")</f>
        <v>0.94770478953736259</v>
      </c>
    </row>
    <row r="42" spans="1:27" x14ac:dyDescent="0.2">
      <c r="A42" s="7" t="s">
        <v>2182</v>
      </c>
      <c r="B42" t="str">
        <f t="shared" si="0"/>
        <v>NVTK IV кв. 2017</v>
      </c>
      <c r="C42">
        <v>2017</v>
      </c>
      <c r="D42">
        <f>SUMIFS(Дивиденды!$C:$C,Дивиденды!$A:$A,A42,Дивиденды!$I:$I,C42)</f>
        <v>14.95</v>
      </c>
      <c r="E42">
        <v>1</v>
      </c>
      <c r="F42">
        <f t="shared" si="1"/>
        <v>14.95</v>
      </c>
      <c r="G42">
        <f t="shared" si="2"/>
        <v>45.685000000000002</v>
      </c>
      <c r="H42">
        <f t="shared" si="3"/>
        <v>1</v>
      </c>
      <c r="I42">
        <f t="shared" si="4"/>
        <v>0.83333333333333337</v>
      </c>
      <c r="J42">
        <f t="shared" si="5"/>
        <v>7.553956834532366E-2</v>
      </c>
      <c r="K42">
        <f t="shared" si="10"/>
        <v>0.28156536776183</v>
      </c>
      <c r="L42">
        <f t="shared" si="6"/>
        <v>1</v>
      </c>
      <c r="M42">
        <f t="shared" si="11"/>
        <v>0.66666666666666663</v>
      </c>
      <c r="N42">
        <f t="shared" si="8"/>
        <v>0</v>
      </c>
      <c r="O42">
        <f t="shared" si="9"/>
        <v>0</v>
      </c>
      <c r="P42">
        <f>IFERROR(LN('Дивиденды по годам'!I42),"")</f>
        <v>27.674235765764795</v>
      </c>
      <c r="Q42">
        <f>IFERROR('Дивиденды по годам'!G42/'Дивиденды по годам'!I42, "")</f>
        <v>0.34482292977526474</v>
      </c>
      <c r="R42">
        <f>IFERROR(IF(AND('Дивиденды по годам'!N42&lt;&gt;"",'Дивиденды по годам'!U42&lt;&gt;"",'Дивиденды по годам'!U42&lt;&gt;0),'Дивиденды по годам'!N42/'Дивиденды по годам'!U42-1,""),"")</f>
        <v>8.5053733031674295E-2</v>
      </c>
      <c r="S42">
        <f>IFERROR(IF(AND('Дивиденды по годам'!L42&lt;&gt;"",'Дивиденды по годам'!I42&lt;&gt;"",'Дивиденды по годам'!J42&lt;&gt;"",'Дивиденды по годам'!K42&lt;&gt;"",('Дивиденды по годам'!I42-'Дивиденды по годам'!J42-'Дивиденды по годам'!K42)&lt;&gt;0),'Дивиденды по годам'!L42/('Дивиденды по годам'!I42-'Дивиденды по годам'!J42-'Дивиденды по годам'!K42),""),"")</f>
        <v>0.9439302580128639</v>
      </c>
      <c r="T42">
        <f>IFERROR(IF(AND('Дивиденды по годам'!Q42&lt;&gt;"",'Дивиденды по годам'!I42&lt;&gt;"",'Дивиденды по годам'!V42&lt;&gt;"",('Дивиденды по годам'!I42+'Дивиденды по годам'!V42)&lt;&gt;0),'Дивиденды по годам'!Q42/(('Дивиденды по годам'!I42+'Дивиденды по годам'!V42)/2),""),"")</f>
        <v>0.1658071032014008</v>
      </c>
      <c r="U42">
        <f>IFERROR(IF(AND('Дивиденды по годам'!J42&lt;&gt;"",'Дивиденды по годам'!K42&lt;&gt;"",'Дивиденды по годам'!M42&lt;&gt;"",'Дивиденды по годам'!M42&lt;&gt;0),('Дивиденды по годам'!J42+'Дивиденды по годам'!K42)/'Дивиденды по годам'!M42,""),"")</f>
        <v>0.34616113524113046</v>
      </c>
      <c r="V42" cm="1">
        <f t="array" ref="V42">IFERROR(AVERAGE(_xlfn._xlws.FILTER(P$2:P$1073,($C$2:$C$1073=$C42)*($E$2:$E$1073=$E42)*(ROW(P$2:P$1073)&lt;&gt;ROW(P42))*(P$2:P$1073&lt;&gt;""))),"")</f>
        <v>28.817016704687035</v>
      </c>
      <c r="W42" cm="1">
        <f t="array" ref="W42">IFERROR(AVERAGE(_xlfn._xlws.FILTER(Q$2:Q$1073,($C$2:$C$1073=$C42)*($E$2:$E$1073=$E42)*(ROW(Q$2:Q$1073)&lt;&gt;ROW(Q42))*(Q$2:Q$1073&lt;&gt;""))),"")</f>
        <v>0.58142278624581789</v>
      </c>
      <c r="X42" cm="1">
        <f t="array" ref="X42">IFERROR(AVERAGE(_xlfn._xlws.FILTER(R$2:R$1073,($C$2:$C$1073=$C42)*($E$2:$E$1073=$E42)*(ROW(R$2:R$1073)&lt;&gt;ROW(R42))*(R$2:R$1073&lt;&gt;""))),"")</f>
        <v>0.16137115534540922</v>
      </c>
      <c r="Y42" cm="1">
        <f t="array" ref="Y42">IFERROR(AVERAGE(_xlfn._xlws.FILTER(S$2:S$1073,($C$2:$C$1073=$C42)*($E$2:$E$1073=$E42)*(ROW(S$2:S$1073)&lt;&gt;ROW(S42))*(S$2:S$1073&lt;&gt;""))),"")</f>
        <v>0.73555102589195442</v>
      </c>
      <c r="Z42" cm="1">
        <f t="array" ref="Z42">IFERROR(AVERAGE(_xlfn._xlws.FILTER(T$2:T$1073,($C$2:$C$1073=$C42)*($E$2:$E$1073=$E42)*(ROW(T$2:T$1073)&lt;&gt;ROW(T42))*(T$2:T$1073&lt;&gt;""))),"")</f>
        <v>5.7459423004874777E-2</v>
      </c>
      <c r="AA42" cm="1">
        <f t="array" ref="AA42">IFERROR(AVERAGE(_xlfn._xlws.FILTER(U$2:U$1073,($C$2:$C$1073=$C42)*($E$2:$E$1073=$E42)*(ROW(U$2:U$1073)&lt;&gt;ROW(U42))*(U$2:U$1073&lt;&gt;""))),"")</f>
        <v>1.0033516425132685</v>
      </c>
    </row>
    <row r="43" spans="1:27" x14ac:dyDescent="0.2">
      <c r="A43" s="7" t="s">
        <v>2182</v>
      </c>
      <c r="B43" t="str">
        <f t="shared" si="0"/>
        <v>NVTK IV кв. 2016</v>
      </c>
      <c r="C43">
        <v>2016</v>
      </c>
      <c r="D43">
        <f>SUMIFS(Дивиденды!$C:$C,Дивиденды!$A:$A,A43,Дивиденды!$I:$I,C43)</f>
        <v>13.9</v>
      </c>
      <c r="E43">
        <v>1</v>
      </c>
      <c r="F43">
        <f t="shared" si="1"/>
        <v>13.9</v>
      </c>
      <c r="G43">
        <f t="shared" si="2"/>
        <v>38.73833333333333</v>
      </c>
      <c r="H43">
        <f t="shared" si="3"/>
        <v>1</v>
      </c>
      <c r="I43">
        <f t="shared" si="4"/>
        <v>0.83333333333333337</v>
      </c>
      <c r="J43">
        <f t="shared" si="5"/>
        <v>2.9629629629629655E-2</v>
      </c>
      <c r="K43">
        <f t="shared" si="10"/>
        <v>0.11847447864552556</v>
      </c>
      <c r="L43">
        <f t="shared" si="6"/>
        <v>1</v>
      </c>
      <c r="M43">
        <f t="shared" si="11"/>
        <v>0.5</v>
      </c>
      <c r="N43">
        <f t="shared" si="8"/>
        <v>0</v>
      </c>
      <c r="O43">
        <f t="shared" si="9"/>
        <v>0.16666666666666666</v>
      </c>
      <c r="P43">
        <f>IFERROR(LN('Дивиденды по годам'!I43),"")</f>
        <v>27.594184917558852</v>
      </c>
      <c r="Q43">
        <f>IFERROR('Дивиденды по годам'!G43/'Дивиденды по годам'!I43, "")</f>
        <v>0.34424496334431032</v>
      </c>
      <c r="R43">
        <f>IFERROR(IF(AND('Дивиденды по годам'!N43&lt;&gt;"",'Дивиденды по годам'!U43&lt;&gt;"",'Дивиденды по годам'!U43&lt;&gt;0),'Дивиденды по годам'!N43/'Дивиденды по годам'!U43-1,""),"")</f>
        <v>0.13074633145742376</v>
      </c>
      <c r="S43" t="str">
        <f>IFERROR(IF(AND('Дивиденды по годам'!L43&lt;&gt;"",'Дивиденды по годам'!I43&lt;&gt;"",'Дивиденды по годам'!J43&lt;&gt;"",'Дивиденды по годам'!K43&lt;&gt;"",('Дивиденды по годам'!I43-'Дивиденды по годам'!J43-'Дивиденды по годам'!K43)&lt;&gt;0),'Дивиденды по годам'!L43/('Дивиденды по годам'!I43-'Дивиденды по годам'!J43-'Дивиденды по годам'!K43),""),"")</f>
        <v/>
      </c>
      <c r="T43">
        <f>IFERROR(IF(AND('Дивиденды по годам'!Q43&lt;&gt;"",'Дивиденды по годам'!I43&lt;&gt;"",'Дивиденды по годам'!V43&lt;&gt;"",('Дивиденды по годам'!I43+'Дивиденды по годам'!V43)&lt;&gt;0),'Дивиденды по годам'!Q43/(('Дивиденды по годам'!I43+'Дивиденды по годам'!V43)/2),""),"")</f>
        <v>0.28751997171148752</v>
      </c>
      <c r="U43">
        <f>IFERROR(IF(AND('Дивиденды по годам'!J43&lt;&gt;"",'Дивиденды по годам'!K43&lt;&gt;"",'Дивиденды по годам'!M43&lt;&gt;"",'Дивиденды по годам'!M43&lt;&gt;0),('Дивиденды по годам'!J43+'Дивиденды по годам'!K43)/'Дивиденды по годам'!M43,""),"")</f>
        <v>0.46541689472723957</v>
      </c>
      <c r="V43" cm="1">
        <f t="array" ref="V43">IFERROR(AVERAGE(_xlfn._xlws.FILTER(P$2:P$1073,($C$2:$C$1073=$C43)*($E$2:$E$1073=$E43)*(ROW(P$2:P$1073)&lt;&gt;ROW(P43))*(P$2:P$1073&lt;&gt;""))),"")</f>
        <v>28.757462357494575</v>
      </c>
      <c r="W43" cm="1">
        <f t="array" ref="W43">IFERROR(AVERAGE(_xlfn._xlws.FILTER(Q$2:Q$1073,($C$2:$C$1073=$C43)*($E$2:$E$1073=$E43)*(ROW(Q$2:Q$1073)&lt;&gt;ROW(Q43))*(Q$2:Q$1073&lt;&gt;""))),"")</f>
        <v>0.56570733860802014</v>
      </c>
      <c r="X43" cm="1">
        <f t="array" ref="X43">IFERROR(AVERAGE(_xlfn._xlws.FILTER(R$2:R$1073,($C$2:$C$1073=$C43)*($E$2:$E$1073=$E43)*(ROW(R$2:R$1073)&lt;&gt;ROW(R43))*(R$2:R$1073&lt;&gt;""))),"")</f>
        <v>-1.2881672599370697E-2</v>
      </c>
      <c r="Y43" cm="1">
        <f t="array" ref="Y43">IFERROR(AVERAGE(_xlfn._xlws.FILTER(S$2:S$1073,($C$2:$C$1073=$C43)*($E$2:$E$1073=$E43)*(ROW(S$2:S$1073)&lt;&gt;ROW(S43))*(S$2:S$1073&lt;&gt;""))),"")</f>
        <v>0.72848277638800318</v>
      </c>
      <c r="Z43" cm="1">
        <f t="array" ref="Z43">IFERROR(AVERAGE(_xlfn._xlws.FILTER(T$2:T$1073,($C$2:$C$1073=$C43)*($E$2:$E$1073=$E43)*(ROW(T$2:T$1073)&lt;&gt;ROW(T43))*(T$2:T$1073&lt;&gt;""))),"")</f>
        <v>5.8878226740160057E-2</v>
      </c>
      <c r="AA43" cm="1">
        <f t="array" ref="AA43">IFERROR(AVERAGE(_xlfn._xlws.FILTER(U$2:U$1073,($C$2:$C$1073=$C43)*($E$2:$E$1073=$E43)*(ROW(U$2:U$1073)&lt;&gt;ROW(U43))*(U$2:U$1073&lt;&gt;""))),"")</f>
        <v>1.0250455820476783</v>
      </c>
    </row>
    <row r="44" spans="1:27" x14ac:dyDescent="0.2">
      <c r="A44" s="7" t="s">
        <v>2182</v>
      </c>
      <c r="B44" t="str">
        <f t="shared" si="0"/>
        <v>NVTK IV кв. 2015</v>
      </c>
      <c r="C44">
        <v>2015</v>
      </c>
      <c r="D44">
        <f>SUMIFS(Дивиденды!$C:$C,Дивиденды!$A:$A,A44,Дивиденды!$I:$I,C44)</f>
        <v>13.5</v>
      </c>
      <c r="E44">
        <v>1</v>
      </c>
      <c r="F44">
        <f t="shared" si="1"/>
        <v>13.5</v>
      </c>
      <c r="G44">
        <f t="shared" si="2"/>
        <v>34.699999999999996</v>
      </c>
      <c r="H44">
        <f t="shared" si="3"/>
        <v>1</v>
      </c>
      <c r="I44">
        <f t="shared" si="4"/>
        <v>0.83333333333333337</v>
      </c>
      <c r="J44">
        <f t="shared" si="5"/>
        <v>0.31067961165048535</v>
      </c>
      <c r="K44">
        <f t="shared" si="10"/>
        <v>0.10589320265836578</v>
      </c>
      <c r="L44">
        <f t="shared" si="6"/>
        <v>1</v>
      </c>
      <c r="M44">
        <f t="shared" si="11"/>
        <v>0.66666666666666663</v>
      </c>
      <c r="N44">
        <f t="shared" si="8"/>
        <v>0</v>
      </c>
      <c r="O44">
        <f t="shared" si="9"/>
        <v>0.16666666666666666</v>
      </c>
      <c r="P44">
        <f>IFERROR(LN('Дивиденды по годам'!I44),"")</f>
        <v>27.503215016774043</v>
      </c>
      <c r="Q44">
        <f>IFERROR('Дивиденды по годам'!G44/'Дивиденды по годам'!I44, "")</f>
        <v>0.37693517449524105</v>
      </c>
      <c r="R44">
        <f>IFERROR(IF(AND('Дивиденды по годам'!N44&lt;&gt;"",'Дивиденды по годам'!U44&lt;&gt;"",'Дивиденды по годам'!U44&lt;&gt;0),'Дивиденды по годам'!N44/'Дивиденды по годам'!U44-1,""),"")</f>
        <v>0.3290488000603955</v>
      </c>
      <c r="S44">
        <f>IFERROR(IF(AND('Дивиденды по годам'!L44&lt;&gt;"",'Дивиденды по годам'!I44&lt;&gt;"",'Дивиденды по годам'!J44&lt;&gt;"",'Дивиденды по годам'!K44&lt;&gt;"",('Дивиденды по годам'!I44-'Дивиденды по годам'!J44-'Дивиденды по годам'!K44)&lt;&gt;0),'Дивиденды по годам'!L44/('Дивиденды по годам'!I44-'Дивиденды по годам'!J44-'Дивиденды по годам'!K44),""),"")</f>
        <v>0.93388155666777994</v>
      </c>
      <c r="T44">
        <f>IFERROR(IF(AND('Дивиденды по годам'!Q44&lt;&gt;"",'Дивиденды по годам'!I44&lt;&gt;"",'Дивиденды по годам'!V44&lt;&gt;"",('Дивиденды по годам'!I44+'Дивиденды по годам'!V44)&lt;&gt;0),'Дивиденды по годам'!Q44/(('Дивиденды по годам'!I44+'Дивиденды по годам'!V44)/2),""),"")</f>
        <v>9.3871246983370307E-2</v>
      </c>
      <c r="U44">
        <f>IFERROR(IF(AND('Дивиденды по годам'!J44&lt;&gt;"",'Дивиденды по годам'!K44&lt;&gt;"",'Дивиденды по годам'!M44&lt;&gt;"",'Дивиденды по годам'!M44&lt;&gt;0),('Дивиденды по годам'!J44+'Дивиденды по годам'!K44)/'Дивиденды по годам'!M44,""),"")</f>
        <v>1.0553096776755082</v>
      </c>
      <c r="V44" cm="1">
        <f t="array" ref="V44">IFERROR(AVERAGE(_xlfn._xlws.FILTER(P$2:P$1073,($C$2:$C$1073=$C44)*($E$2:$E$1073=$E44)*(ROW(P$2:P$1073)&lt;&gt;ROW(P44))*(P$2:P$1073&lt;&gt;""))),"")</f>
        <v>28.620686882407465</v>
      </c>
      <c r="W44" cm="1">
        <f t="array" ref="W44">IFERROR(AVERAGE(_xlfn._xlws.FILTER(Q$2:Q$1073,($C$2:$C$1073=$C44)*($E$2:$E$1073=$E44)*(ROW(Q$2:Q$1073)&lt;&gt;ROW(Q44))*(Q$2:Q$1073&lt;&gt;""))),"")</f>
        <v>0.62519440637558332</v>
      </c>
      <c r="X44" cm="1">
        <f t="array" ref="X44">IFERROR(AVERAGE(_xlfn._xlws.FILTER(R$2:R$1073,($C$2:$C$1073=$C44)*($E$2:$E$1073=$E44)*(ROW(R$2:R$1073)&lt;&gt;ROW(R44))*(R$2:R$1073&lt;&gt;""))),"")</f>
        <v>5.2857447211412667E-2</v>
      </c>
      <c r="Y44" cm="1">
        <f t="array" ref="Y44">IFERROR(AVERAGE(_xlfn._xlws.FILTER(S$2:S$1073,($C$2:$C$1073=$C44)*($E$2:$E$1073=$E44)*(ROW(S$2:S$1073)&lt;&gt;ROW(S44))*(S$2:S$1073&lt;&gt;""))),"")</f>
        <v>0.93463182179614002</v>
      </c>
      <c r="Z44" cm="1">
        <f t="array" ref="Z44">IFERROR(AVERAGE(_xlfn._xlws.FILTER(T$2:T$1073,($C$2:$C$1073=$C44)*($E$2:$E$1073=$E44)*(ROW(T$2:T$1073)&lt;&gt;ROW(T44))*(T$2:T$1073&lt;&gt;""))),"")</f>
        <v>7.2356461094364069E-2</v>
      </c>
      <c r="AA44" cm="1">
        <f t="array" ref="AA44">IFERROR(AVERAGE(_xlfn._xlws.FILTER(U$2:U$1073,($C$2:$C$1073=$C44)*($E$2:$E$1073=$E44)*(ROW(U$2:U$1073)&lt;&gt;ROW(U44))*(U$2:U$1073&lt;&gt;""))),"")</f>
        <v>-1.365706437037679</v>
      </c>
    </row>
    <row r="45" spans="1:27" x14ac:dyDescent="0.2">
      <c r="A45" s="7" t="s">
        <v>2182</v>
      </c>
      <c r="B45" t="str">
        <f t="shared" si="0"/>
        <v>NVTK IV кв. 2014</v>
      </c>
      <c r="C45">
        <v>2014</v>
      </c>
      <c r="D45">
        <f>SUMIFS(Дивиденды!$C:$C,Дивиденды!$A:$A,A45,Дивиденды!$I:$I,C45)</f>
        <v>10.3</v>
      </c>
      <c r="E45">
        <v>1</v>
      </c>
      <c r="F45">
        <f t="shared" si="1"/>
        <v>10.3</v>
      </c>
      <c r="G45">
        <f t="shared" si="2"/>
        <v>30.106666666666669</v>
      </c>
      <c r="H45">
        <f t="shared" si="3"/>
        <v>1</v>
      </c>
      <c r="I45">
        <f t="shared" si="4"/>
        <v>0.83333333333333337</v>
      </c>
      <c r="J45">
        <f t="shared" si="5"/>
        <v>0.30544993662864384</v>
      </c>
      <c r="K45">
        <f t="shared" si="10"/>
        <v>6.7964090651445E-2</v>
      </c>
      <c r="L45">
        <f t="shared" si="6"/>
        <v>1</v>
      </c>
      <c r="M45">
        <f t="shared" si="11"/>
        <v>0.5</v>
      </c>
      <c r="N45">
        <f t="shared" si="8"/>
        <v>0</v>
      </c>
      <c r="O45">
        <f t="shared" si="9"/>
        <v>0.16666666666666666</v>
      </c>
      <c r="P45">
        <f>IFERROR(LN('Дивиденды по годам'!I45),"")</f>
        <v>27.273115414918955</v>
      </c>
      <c r="Q45">
        <f>IFERROR('Дивиденды по годам'!G45/'Дивиденды по годам'!I45, "")</f>
        <v>0.41726466410828178</v>
      </c>
      <c r="R45">
        <f>IFERROR(IF(AND('Дивиденды по годам'!N45&lt;&gt;"",'Дивиденды по годам'!U45&lt;&gt;"",'Дивиденды по годам'!U45&lt;&gt;0),'Дивиденды по годам'!N45/'Дивиденды по годам'!U45-1,""),"")</f>
        <v>0.19950831438364891</v>
      </c>
      <c r="S45">
        <f>IFERROR(IF(AND('Дивиденды по годам'!L45&lt;&gt;"",'Дивиденды по годам'!I45&lt;&gt;"",'Дивиденды по годам'!J45&lt;&gt;"",'Дивиденды по годам'!K45&lt;&gt;"",('Дивиденды по годам'!I45-'Дивиденды по годам'!J45-'Дивиденды по годам'!K45)&lt;&gt;0),'Дивиденды по годам'!L45/('Дивиденды по годам'!I45-'Дивиденды по годам'!J45-'Дивиденды по годам'!K45),""),"")</f>
        <v>0.91046279744991265</v>
      </c>
      <c r="T45">
        <f>IFERROR(IF(AND('Дивиденды по годам'!Q45&lt;&gt;"",'Дивиденды по годам'!I45&lt;&gt;"",'Дивиденды по годам'!V45&lt;&gt;"",('Дивиденды по годам'!I45+'Дивиденды по годам'!V45)&lt;&gt;0),'Дивиденды по годам'!Q45/(('Дивиденды по годам'!I45+'Дивиденды по годам'!V45)/2),""),"")</f>
        <v>5.6917789526756683E-2</v>
      </c>
      <c r="U45">
        <f>IFERROR(IF(AND('Дивиденды по годам'!J45&lt;&gt;"",'Дивиденды по годам'!K45&lt;&gt;"",'Дивиденды по годам'!M45&lt;&gt;"",'Дивиденды по годам'!M45&lt;&gt;0),('Дивиденды по годам'!J45+'Дивиденды по годам'!K45)/'Дивиденды по годам'!M45,""),"")</f>
        <v>0.80598206259493077</v>
      </c>
      <c r="V45" cm="1">
        <f t="array" ref="V45">IFERROR(AVERAGE(_xlfn._xlws.FILTER(P$2:P$1073,($C$2:$C$1073=$C45)*($E$2:$E$1073=$E45)*(ROW(P$2:P$1073)&lt;&gt;ROW(P45))*(P$2:P$1073&lt;&gt;""))),"")</f>
        <v>29.141758363318381</v>
      </c>
      <c r="W45" cm="1">
        <f t="array" ref="W45">IFERROR(AVERAGE(_xlfn._xlws.FILTER(Q$2:Q$1073,($C$2:$C$1073=$C45)*($E$2:$E$1073=$E45)*(ROW(Q$2:Q$1073)&lt;&gt;ROW(Q45))*(Q$2:Q$1073&lt;&gt;""))),"")</f>
        <v>0.68134908469071953</v>
      </c>
      <c r="X45" cm="1">
        <f t="array" ref="X45">IFERROR(AVERAGE(_xlfn._xlws.FILTER(R$2:R$1073,($C$2:$C$1073=$C45)*($E$2:$E$1073=$E45)*(ROW(R$2:R$1073)&lt;&gt;ROW(R45))*(R$2:R$1073&lt;&gt;""))),"")</f>
        <v>0.13097018403524285</v>
      </c>
      <c r="Y45" cm="1">
        <f t="array" ref="Y45">IFERROR(AVERAGE(_xlfn._xlws.FILTER(S$2:S$1073,($C$2:$C$1073=$C45)*($E$2:$E$1073=$E45)*(ROW(S$2:S$1073)&lt;&gt;ROW(S45))*(S$2:S$1073&lt;&gt;""))),"")</f>
        <v>0.94250489657527214</v>
      </c>
      <c r="Z45" cm="1">
        <f t="array" ref="Z45">IFERROR(AVERAGE(_xlfn._xlws.FILTER(T$2:T$1073,($C$2:$C$1073=$C45)*($E$2:$E$1073=$E45)*(ROW(T$2:T$1073)&lt;&gt;ROW(T45))*(T$2:T$1073&lt;&gt;""))),"")</f>
        <v>5.9892641943576838E-2</v>
      </c>
      <c r="AA45" cm="1">
        <f t="array" ref="AA45">IFERROR(AVERAGE(_xlfn._xlws.FILTER(U$2:U$1073,($C$2:$C$1073=$C45)*($E$2:$E$1073=$E45)*(ROW(U$2:U$1073)&lt;&gt;ROW(U45))*(U$2:U$1073&lt;&gt;""))),"")</f>
        <v>0.79127778107794366</v>
      </c>
    </row>
    <row r="46" spans="1:27" x14ac:dyDescent="0.2">
      <c r="A46" s="7" t="s">
        <v>2182</v>
      </c>
      <c r="B46" t="str">
        <f t="shared" si="0"/>
        <v>NVTK IV кв. 2013</v>
      </c>
      <c r="C46">
        <v>2013</v>
      </c>
      <c r="D46">
        <f>SUMIFS(Дивиденды!$C:$C,Дивиденды!$A:$A,A46,Дивиденды!$I:$I,C46)</f>
        <v>7.8900000000000006</v>
      </c>
      <c r="E46">
        <v>1</v>
      </c>
      <c r="F46">
        <f t="shared" si="1"/>
        <v>7.8900000000000006</v>
      </c>
      <c r="G46">
        <f t="shared" si="2"/>
        <v>23.146666666666665</v>
      </c>
      <c r="H46">
        <f t="shared" si="3"/>
        <v>1</v>
      </c>
      <c r="I46">
        <f t="shared" si="4"/>
        <v>0.83333333333333337</v>
      </c>
      <c r="J46">
        <f t="shared" si="5"/>
        <v>0.15014577259475237</v>
      </c>
      <c r="K46">
        <f t="shared" si="10"/>
        <v>0.196245932871983</v>
      </c>
      <c r="L46">
        <f t="shared" si="6"/>
        <v>1</v>
      </c>
      <c r="M46">
        <f t="shared" si="11"/>
        <v>0.66666666666666663</v>
      </c>
      <c r="N46">
        <f t="shared" si="8"/>
        <v>0</v>
      </c>
      <c r="O46">
        <f t="shared" si="9"/>
        <v>0.16666666666666666</v>
      </c>
      <c r="P46">
        <f>IFERROR(LN('Дивиденды по годам'!I46),"")</f>
        <v>27.116848229658075</v>
      </c>
      <c r="Q46">
        <f>IFERROR('Дивиденды по годам'!G46/'Дивиденды по годам'!I46, "")</f>
        <v>0.40750842398347814</v>
      </c>
      <c r="R46">
        <f>IFERROR(IF(AND('Дивиденды по годам'!N46&lt;&gt;"",'Дивиденды по годам'!U46&lt;&gt;"",'Дивиденды по годам'!U46&lt;&gt;0),'Дивиденды по годам'!N46/'Дивиденды по годам'!U46-1,""),"")</f>
        <v>0.41325193271176874</v>
      </c>
      <c r="S46">
        <f>IFERROR(IF(AND('Дивиденды по годам'!L46&lt;&gt;"",'Дивиденды по годам'!I46&lt;&gt;"",'Дивиденды по годам'!J46&lt;&gt;"",'Дивиденды по годам'!K46&lt;&gt;"",('Дивиденды по годам'!I46-'Дивиденды по годам'!J46-'Дивиденды по годам'!K46)&lt;&gt;0),'Дивиденды по годам'!L46/('Дивиденды по годам'!I46-'Дивиденды по годам'!J46-'Дивиденды по годам'!K46),""),"")</f>
        <v>0.89695140420900832</v>
      </c>
      <c r="T46">
        <f>IFERROR(IF(AND('Дивиденды по годам'!Q46&lt;&gt;"",'Дивиденды по годам'!I46&lt;&gt;"",'Дивиденды по годам'!V46&lt;&gt;"",('Дивиденды по годам'!I46+'Дивиденды по годам'!V46)&lt;&gt;0),'Дивиденды по годам'!Q46/(('Дивиденды по годам'!I46+'Дивиденды по годам'!V46)/2),""),"")</f>
        <v>0.20722287980337906</v>
      </c>
      <c r="U46">
        <f>IFERROR(IF(AND('Дивиденды по годам'!J46&lt;&gt;"",'Дивиденды по годам'!K46&lt;&gt;"",'Дивиденды по годам'!M46&lt;&gt;"",'Дивиденды по годам'!M46&lt;&gt;0),('Дивиденды по годам'!J46+'Дивиденды по годам'!K46)/'Дивиденды по годам'!M46,""),"")</f>
        <v>0.60295879718112777</v>
      </c>
      <c r="V46" cm="1">
        <f t="array" ref="V46">IFERROR(AVERAGE(_xlfn._xlws.FILTER(P$2:P$1073,($C$2:$C$1073=$C46)*($E$2:$E$1073=$E46)*(ROW(P$2:P$1073)&lt;&gt;ROW(P46))*(P$2:P$1073&lt;&gt;""))),"")</f>
        <v>28.999170802836858</v>
      </c>
      <c r="W46" cm="1">
        <f t="array" ref="W46">IFERROR(AVERAGE(_xlfn._xlws.FILTER(Q$2:Q$1073,($C$2:$C$1073=$C46)*($E$2:$E$1073=$E46)*(ROW(Q$2:Q$1073)&lt;&gt;ROW(Q46))*(Q$2:Q$1073&lt;&gt;""))),"")</f>
        <v>0.70107788909759594</v>
      </c>
      <c r="X46" cm="1">
        <f t="array" ref="X46">IFERROR(AVERAGE(_xlfn._xlws.FILTER(R$2:R$1073,($C$2:$C$1073=$C46)*($E$2:$E$1073=$E46)*(ROW(R$2:R$1073)&lt;&gt;ROW(R46))*(R$2:R$1073&lt;&gt;""))),"")</f>
        <v>0.17350932769926086</v>
      </c>
      <c r="Y46" cm="1">
        <f t="array" ref="Y46">IFERROR(AVERAGE(_xlfn._xlws.FILTER(S$2:S$1073,($C$2:$C$1073=$C46)*($E$2:$E$1073=$E46)*(ROW(S$2:S$1073)&lt;&gt;ROW(S46))*(S$2:S$1073&lt;&gt;""))),"")</f>
        <v>0.89615612574240133</v>
      </c>
      <c r="Z46" cm="1">
        <f t="array" ref="Z46">IFERROR(AVERAGE(_xlfn._xlws.FILTER(T$2:T$1073,($C$2:$C$1073=$C46)*($E$2:$E$1073=$E46)*(ROW(T$2:T$1073)&lt;&gt;ROW(T46))*(T$2:T$1073&lt;&gt;""))),"")</f>
        <v>9.5572163073444003E-2</v>
      </c>
      <c r="AA46" cm="1">
        <f t="array" ref="AA46">IFERROR(AVERAGE(_xlfn._xlws.FILTER(U$2:U$1073,($C$2:$C$1073=$C46)*($E$2:$E$1073=$E46)*(ROW(U$2:U$1073)&lt;&gt;ROW(U46))*(U$2:U$1073&lt;&gt;""))),"")</f>
        <v>0.62541721223082114</v>
      </c>
    </row>
    <row r="47" spans="1:27" x14ac:dyDescent="0.2">
      <c r="A47" s="7" t="s">
        <v>2182</v>
      </c>
      <c r="B47" t="str">
        <f t="shared" si="0"/>
        <v>NVTK IV кв. 2012</v>
      </c>
      <c r="C47">
        <v>2012</v>
      </c>
      <c r="D47">
        <f>SUMIFS(Дивиденды!$C:$C,Дивиденды!$A:$A,A47,Дивиденды!$I:$I,C47)</f>
        <v>6.8599999999999994</v>
      </c>
      <c r="E47">
        <v>1</v>
      </c>
      <c r="F47">
        <f t="shared" si="1"/>
        <v>6.8599999999999994</v>
      </c>
      <c r="G47">
        <f t="shared" si="2"/>
        <v>18.856666666666666</v>
      </c>
      <c r="H47">
        <f t="shared" si="3"/>
        <v>1</v>
      </c>
      <c r="I47">
        <f>IFERROR((COUNTIFS($E:$E,E47,$C:$C,C47,$H:$H,1)-H47)/(COUNTIFS($E:$E,E47,$C:$C,C47)-1),0)</f>
        <v>0.83333333333333337</v>
      </c>
      <c r="J47">
        <f t="shared" si="5"/>
        <v>0.14333333333333323</v>
      </c>
      <c r="K47">
        <f t="shared" si="10"/>
        <v>-2.5231337246357463E-3</v>
      </c>
      <c r="L47">
        <f t="shared" si="6"/>
        <v>1</v>
      </c>
      <c r="M47">
        <f t="shared" si="11"/>
        <v>0.5</v>
      </c>
      <c r="N47">
        <f t="shared" si="8"/>
        <v>0</v>
      </c>
      <c r="O47">
        <f t="shared" si="9"/>
        <v>0.33333333333333331</v>
      </c>
      <c r="P47">
        <f>IFERROR(LN('Дивиденды по годам'!I47),"")</f>
        <v>26.861280106801686</v>
      </c>
      <c r="Q47">
        <f>IFERROR('Дивиденды по годам'!G47/'Дивиденды по годам'!I47, "")</f>
        <v>0.4261756342130662</v>
      </c>
      <c r="R47">
        <f>IFERROR(IF(AND('Дивиденды по годам'!N47&lt;&gt;"",'Дивиденды по годам'!U47&lt;&gt;"",'Дивиденды по годам'!U47&lt;&gt;0),'Дивиденды по годам'!N47/'Дивиденды по годам'!U47-1,""),"")</f>
        <v>0.19827449109414763</v>
      </c>
      <c r="S47">
        <f>IFERROR(IF(AND('Дивиденды по годам'!L47&lt;&gt;"",'Дивиденды по годам'!I47&lt;&gt;"",'Дивиденды по годам'!J47&lt;&gt;"",'Дивиденды по годам'!K47&lt;&gt;"",('Дивиденды по годам'!I47-'Дивиденды по годам'!J47-'Дивиденды по годам'!K47)&lt;&gt;0),'Дивиденды по годам'!L47/('Дивиденды по годам'!I47-'Дивиденды по годам'!J47-'Дивиденды по годам'!K47),""),"")</f>
        <v>0.87059776657134713</v>
      </c>
      <c r="T47">
        <f>IFERROR(IF(AND('Дивиденды по годам'!Q47&lt;&gt;"",'Дивиденды по годам'!I47&lt;&gt;"",'Дивиденды по годам'!V47&lt;&gt;"",('Дивиденды по годам'!I47+'Дивиденды по годам'!V47)&lt;&gt;0),'Дивиденды по годам'!Q47/(('Дивиденды по годам'!I47+'Дивиденды по годам'!V47)/2),""),"")</f>
        <v>0.16405355761223298</v>
      </c>
      <c r="U47">
        <f>IFERROR(IF(AND('Дивиденды по годам'!J47&lt;&gt;"",'Дивиденды по годам'!K47&lt;&gt;"",'Дивиденды по годам'!M47&lt;&gt;"",'Дивиденды по годам'!M47&lt;&gt;0),('Дивиденды по годам'!J47+'Дивиденды по годам'!K47)/'Дивиденды по годам'!M47,""),"")</f>
        <v>0.58987782396902178</v>
      </c>
      <c r="V47" cm="1">
        <f t="array" ref="V47">IFERROR(AVERAGE(_xlfn._xlws.FILTER(P$2:P$1073,($C$2:$C$1073=$C47)*($E$2:$E$1073=$E47)*(ROW(P$2:P$1073)&lt;&gt;ROW(P47))*(P$2:P$1073&lt;&gt;""))),"")</f>
        <v>28.756679083608336</v>
      </c>
      <c r="W47" cm="1">
        <f t="array" ref="W47">IFERROR(AVERAGE(_xlfn._xlws.FILTER(Q$2:Q$1073,($C$2:$C$1073=$C47)*($E$2:$E$1073=$E47)*(ROW(Q$2:Q$1073)&lt;&gt;ROW(Q47))*(Q$2:Q$1073&lt;&gt;""))),"")</f>
        <v>0.66836498749768725</v>
      </c>
      <c r="X47" cm="1">
        <f t="array" ref="X47">IFERROR(AVERAGE(_xlfn._xlws.FILTER(R$2:R$1073,($C$2:$C$1073=$C47)*($E$2:$E$1073=$E47)*(ROW(R$2:R$1073)&lt;&gt;ROW(R47))*(R$2:R$1073&lt;&gt;""))),"")</f>
        <v>-3.0432710699290766E-3</v>
      </c>
      <c r="Y47" cm="1">
        <f t="array" ref="Y47">IFERROR(AVERAGE(_xlfn._xlws.FILTER(S$2:S$1073,($C$2:$C$1073=$C47)*($E$2:$E$1073=$E47)*(ROW(S$2:S$1073)&lt;&gt;ROW(S47))*(S$2:S$1073&lt;&gt;""))),"")</f>
        <v>0.91506592141906173</v>
      </c>
      <c r="Z47" cm="1">
        <f t="array" ref="Z47">IFERROR(AVERAGE(_xlfn._xlws.FILTER(T$2:T$1073,($C$2:$C$1073=$C47)*($E$2:$E$1073=$E47)*(ROW(T$2:T$1073)&lt;&gt;ROW(T47))*(T$2:T$1073&lt;&gt;""))),"")</f>
        <v>0.11063915751516966</v>
      </c>
      <c r="AA47" cm="1">
        <f t="array" ref="AA47">IFERROR(AVERAGE(_xlfn._xlws.FILTER(U$2:U$1073,($C$2:$C$1073=$C47)*($E$2:$E$1073=$E47)*(ROW(U$2:U$1073)&lt;&gt;ROW(U47))*(U$2:U$1073&lt;&gt;""))),"")</f>
        <v>0.45915706908148779</v>
      </c>
    </row>
    <row r="48" spans="1:27" x14ac:dyDescent="0.2">
      <c r="A48" s="7" t="s">
        <v>2182</v>
      </c>
      <c r="B48" t="str">
        <f t="shared" si="0"/>
        <v>NVTK IV кв. 2011</v>
      </c>
      <c r="C48">
        <v>2011</v>
      </c>
      <c r="D48">
        <f>SUMIFS(Дивиденды!$C:$C,Дивиденды!$A:$A,A48,Дивиденды!$I:$I,C48)</f>
        <v>6</v>
      </c>
      <c r="E48">
        <v>1</v>
      </c>
      <c r="F48">
        <f t="shared" si="1"/>
        <v>6</v>
      </c>
      <c r="G48">
        <f t="shared" si="2"/>
        <v>16.529999999999998</v>
      </c>
      <c r="H48">
        <f t="shared" si="3"/>
        <v>1</v>
      </c>
      <c r="I48">
        <f t="shared" ref="I48:I111" si="12">IFERROR((COUNTIFS($E:$E,E48,$C:$C,C48,$H:$H,1)-H48)/(COUNTIFS($E:$E,E48,$C:$C,C48)-1),0)</f>
        <v>0.83333333333333337</v>
      </c>
      <c r="J48">
        <f t="shared" si="5"/>
        <v>0.5</v>
      </c>
      <c r="K48">
        <f t="shared" si="10"/>
        <v>0.65661266764172754</v>
      </c>
      <c r="L48">
        <f t="shared" si="6"/>
        <v>1</v>
      </c>
      <c r="M48">
        <f t="shared" si="11"/>
        <v>0.83333333333333337</v>
      </c>
      <c r="N48">
        <f t="shared" si="8"/>
        <v>0</v>
      </c>
      <c r="O48">
        <f t="shared" si="9"/>
        <v>0</v>
      </c>
      <c r="P48">
        <f>IFERROR(LN('Дивиденды по годам'!I48),"")</f>
        <v>26.672428127820485</v>
      </c>
      <c r="Q48">
        <f>IFERROR('Дивиденды по годам'!G48/'Дивиденды по годам'!I48, "")</f>
        <v>0.43497673642262513</v>
      </c>
      <c r="R48">
        <f>IFERROR(IF(AND('Дивиденды по годам'!N48&lt;&gt;"",'Дивиденды по годам'!U48&lt;&gt;"",'Дивиденды по годам'!U48&lt;&gt;0),'Дивиденды по годам'!N48/'Дивиденды по годам'!U48-1,""),"")</f>
        <v>0.50451189499589821</v>
      </c>
      <c r="S48">
        <f>IFERROR(IF(AND('Дивиденды по годам'!L48&lt;&gt;"",'Дивиденды по годам'!I48&lt;&gt;"",'Дивиденды по годам'!J48&lt;&gt;"",'Дивиденды по годам'!K48&lt;&gt;"",('Дивиденды по годам'!I48-'Дивиденды по годам'!J48-'Дивиденды по годам'!K48)&lt;&gt;0),'Дивиденды по годам'!L48/('Дивиденды по годам'!I48-'Дивиденды по годам'!J48-'Дивиденды по годам'!K48),""),"")</f>
        <v>0.84355061609884063</v>
      </c>
      <c r="T48">
        <f>IFERROR(IF(AND('Дивиденды по годам'!Q48&lt;&gt;"",'Дивиденды по годам'!I48&lt;&gt;"",'Дивиденды по годам'!V48&lt;&gt;"",('Дивиденды по годам'!I48+'Дивиденды по годам'!V48)&lt;&gt;0),'Дивиденды по годам'!Q48/(('Дивиденды по годам'!I48+'Дивиденды по годам'!V48)/2),""),"")</f>
        <v>0.35683550078147785</v>
      </c>
      <c r="U48">
        <f>IFERROR(IF(AND('Дивиденды по годам'!J48&lt;&gt;"",'Дивиденды по годам'!K48&lt;&gt;"",'Дивиденды по годам'!M48&lt;&gt;"",'Дивиденды по годам'!M48&lt;&gt;0),('Дивиденды по годам'!J48+'Дивиденды по годам'!K48)/'Дивиденды по годам'!M48,""),"")</f>
        <v>0.58651451080345252</v>
      </c>
      <c r="V48" cm="1">
        <f t="array" ref="V48">IFERROR(AVERAGE(_xlfn._xlws.FILTER(P$2:P$1073,($C$2:$C$1073=$C48)*($E$2:$E$1073=$E48)*(ROW(P$2:P$1073)&lt;&gt;ROW(P48))*(P$2:P$1073&lt;&gt;""))),"")</f>
        <v>28.66267280551666</v>
      </c>
      <c r="W48" cm="1">
        <f t="array" ref="W48">IFERROR(AVERAGE(_xlfn._xlws.FILTER(Q$2:Q$1073,($C$2:$C$1073=$C48)*($E$2:$E$1073=$E48)*(ROW(Q$2:Q$1073)&lt;&gt;ROW(Q48))*(Q$2:Q$1073&lt;&gt;""))),"")</f>
        <v>0.64650854085690668</v>
      </c>
      <c r="X48" cm="1">
        <f t="array" ref="X48">IFERROR(AVERAGE(_xlfn._xlws.FILTER(R$2:R$1073,($C$2:$C$1073=$C48)*($E$2:$E$1073=$E48)*(ROW(R$2:R$1073)&lt;&gt;ROW(R48))*(R$2:R$1073&lt;&gt;""))),"")</f>
        <v>0.31218257934705429</v>
      </c>
      <c r="Y48" cm="1">
        <f t="array" ref="Y48">IFERROR(AVERAGE(_xlfn._xlws.FILTER(S$2:S$1073,($C$2:$C$1073=$C48)*($E$2:$E$1073=$E48)*(ROW(S$2:S$1073)&lt;&gt;ROW(S48))*(S$2:S$1073&lt;&gt;""))),"")</f>
        <v>0.89222567009537324</v>
      </c>
      <c r="Z48" cm="1">
        <f t="array" ref="Z48">IFERROR(AVERAGE(_xlfn._xlws.FILTER(T$2:T$1073,($C$2:$C$1073=$C48)*($E$2:$E$1073=$E48)*(ROW(T$2:T$1073)&lt;&gt;ROW(T48))*(T$2:T$1073&lt;&gt;""))),"")</f>
        <v>0.11265775725293523</v>
      </c>
      <c r="AA48" cm="1">
        <f t="array" ref="AA48">IFERROR(AVERAGE(_xlfn._xlws.FILTER(U$2:U$1073,($C$2:$C$1073=$C48)*($E$2:$E$1073=$E48)*(ROW(U$2:U$1073)&lt;&gt;ROW(U48))*(U$2:U$1073&lt;&gt;""))),"")</f>
        <v>0.48617466604510251</v>
      </c>
    </row>
    <row r="49" spans="1:27" x14ac:dyDescent="0.2">
      <c r="A49" s="7" t="s">
        <v>2182</v>
      </c>
      <c r="B49" t="str">
        <f t="shared" si="0"/>
        <v>NVTK IV кв. 2010</v>
      </c>
      <c r="C49">
        <v>2010</v>
      </c>
      <c r="D49">
        <f>SUMIFS(Дивиденды!$C:$C,Дивиденды!$A:$A,A49,Дивиденды!$I:$I,C49)</f>
        <v>4</v>
      </c>
      <c r="E49">
        <v>1</v>
      </c>
      <c r="F49">
        <f t="shared" si="1"/>
        <v>4</v>
      </c>
      <c r="G49">
        <f t="shared" si="2"/>
        <v>11.854999999999999</v>
      </c>
      <c r="H49">
        <f t="shared" si="3"/>
        <v>1</v>
      </c>
      <c r="I49">
        <f t="shared" si="12"/>
        <v>0.83333333333333337</v>
      </c>
      <c r="J49" t="str">
        <f t="shared" si="5"/>
        <v/>
      </c>
      <c r="K49" t="str">
        <f t="shared" si="10"/>
        <v/>
      </c>
      <c r="L49" t="str">
        <f t="shared" si="6"/>
        <v/>
      </c>
      <c r="M49" t="str">
        <f t="shared" si="11"/>
        <v/>
      </c>
      <c r="N49" t="str">
        <f t="shared" si="8"/>
        <v/>
      </c>
      <c r="O49" t="str">
        <f t="shared" si="9"/>
        <v/>
      </c>
      <c r="P49">
        <f>IFERROR(LN('Дивиденды по годам'!I49),"")</f>
        <v>26.376361850598293</v>
      </c>
      <c r="Q49">
        <f>IFERROR('Дивиденды по годам'!G49/'Дивиденды по годам'!I49, "")</f>
        <v>0.65073832375435259</v>
      </c>
      <c r="R49" t="str">
        <f>IFERROR(IF(AND('Дивиденды по годам'!N49&lt;&gt;"",'Дивиденды по годам'!U49&lt;&gt;"",'Дивиденды по годам'!U49&lt;&gt;0),'Дивиденды по годам'!N49/'Дивиденды по годам'!U49-1,""),"")</f>
        <v/>
      </c>
      <c r="S49">
        <f>IFERROR(IF(AND('Дивиденды по годам'!L49&lt;&gt;"",'Дивиденды по годам'!I49&lt;&gt;"",'Дивиденды по годам'!J49&lt;&gt;"",'Дивиденды по годам'!K49&lt;&gt;"",('Дивиденды по годам'!I49-'Дивиденды по годам'!J49-'Дивиденды по годам'!K49)&lt;&gt;0),'Дивиденды по годам'!L49/('Дивиденды по годам'!I49-'Дивиденды по годам'!J49-'Дивиденды по годам'!K49),""),"")</f>
        <v>0.66042458846387664</v>
      </c>
      <c r="T49" t="str">
        <f>IFERROR(IF(AND('Дивиденды по годам'!Q49&lt;&gt;"",'Дивиденды по годам'!I49&lt;&gt;"",'Дивиденды по годам'!V49&lt;&gt;"",('Дивиденды по годам'!I49+'Дивиденды по годам'!V49)&lt;&gt;0),'Дивиденды по годам'!Q49/(('Дивиденды по годам'!I49+'Дивиденды по годам'!V49)/2),""),"")</f>
        <v/>
      </c>
      <c r="U49">
        <f>IFERROR(IF(AND('Дивиденды по годам'!J49&lt;&gt;"",'Дивиденды по годам'!K49&lt;&gt;"",'Дивиденды по годам'!M49&lt;&gt;"",'Дивиденды по годам'!M49&lt;&gt;0),('Дивиденды по годам'!J49+'Дивиденды по годам'!K49)/'Дивиденды по годам'!M49,""),"")</f>
        <v>0.69962332971761654</v>
      </c>
      <c r="V49" cm="1">
        <f t="array" ref="V49">IFERROR(AVERAGE(_xlfn._xlws.FILTER(P$2:P$1073,($C$2:$C$1073=$C49)*($E$2:$E$1073=$E49)*(ROW(P$2:P$1073)&lt;&gt;ROW(P49))*(P$2:P$1073&lt;&gt;""))),"")</f>
        <v>29.21095823518538</v>
      </c>
      <c r="W49" cm="1">
        <f t="array" ref="W49">IFERROR(AVERAGE(_xlfn._xlws.FILTER(Q$2:Q$1073,($C$2:$C$1073=$C49)*($E$2:$E$1073=$E49)*(ROW(Q$2:Q$1073)&lt;&gt;ROW(Q49))*(Q$2:Q$1073&lt;&gt;""))),"")</f>
        <v>0.62212031204415064</v>
      </c>
      <c r="X49" cm="1">
        <f t="array" ref="X49">IFERROR(AVERAGE(_xlfn._xlws.FILTER(R$2:R$1073,($C$2:$C$1073=$C49)*($E$2:$E$1073=$E49)*(ROW(R$2:R$1073)&lt;&gt;ROW(R49))*(R$2:R$1073&lt;&gt;""))),"")</f>
        <v>0.23861324477859247</v>
      </c>
      <c r="Y49" cm="1">
        <f t="array" ref="Y49">IFERROR(AVERAGE(_xlfn._xlws.FILTER(S$2:S$1073,($C$2:$C$1073=$C49)*($E$2:$E$1073=$E49)*(ROW(S$2:S$1073)&lt;&gt;ROW(S49))*(S$2:S$1073&lt;&gt;""))),"")</f>
        <v>0.95784934291940105</v>
      </c>
      <c r="Z49" cm="1">
        <f t="array" ref="Z49">IFERROR(AVERAGE(_xlfn._xlws.FILTER(T$2:T$1073,($C$2:$C$1073=$C49)*($E$2:$E$1073=$E49)*(ROW(T$2:T$1073)&lt;&gt;ROW(T49))*(T$2:T$1073&lt;&gt;""))),"")</f>
        <v>0.10947396081496689</v>
      </c>
      <c r="AA49" cm="1">
        <f t="array" ref="AA49">IFERROR(AVERAGE(_xlfn._xlws.FILTER(U$2:U$1073,($C$2:$C$1073=$C49)*($E$2:$E$1073=$E49)*(ROW(U$2:U$1073)&lt;&gt;ROW(U49))*(U$2:U$1073&lt;&gt;""))),"")</f>
        <v>0.41127157334868347</v>
      </c>
    </row>
    <row r="50" spans="1:27" x14ac:dyDescent="0.2">
      <c r="A50" s="7" t="s">
        <v>2314</v>
      </c>
      <c r="B50" t="str">
        <f t="shared" si="0"/>
        <v>RNFT IV кв. 2025</v>
      </c>
      <c r="C50">
        <v>2025</v>
      </c>
      <c r="D50">
        <f>SUMIFS(Дивиденды!$C:$C,Дивиденды!$A:$A,A50,Дивиденды!$I:$I,C50)</f>
        <v>0</v>
      </c>
      <c r="E50">
        <v>1</v>
      </c>
      <c r="F50">
        <f t="shared" si="1"/>
        <v>0</v>
      </c>
      <c r="G50">
        <f t="shared" si="2"/>
        <v>77.756666666666675</v>
      </c>
      <c r="H50">
        <f t="shared" si="3"/>
        <v>0</v>
      </c>
      <c r="I50">
        <f t="shared" si="12"/>
        <v>0.66666666666666663</v>
      </c>
      <c r="J50">
        <f t="shared" si="5"/>
        <v>0</v>
      </c>
      <c r="K50">
        <f t="shared" si="10"/>
        <v>-0.62296624997812966</v>
      </c>
      <c r="L50">
        <f t="shared" si="6"/>
        <v>0</v>
      </c>
      <c r="M50">
        <f t="shared" si="11"/>
        <v>0</v>
      </c>
      <c r="N50">
        <f t="shared" si="8"/>
        <v>0</v>
      </c>
      <c r="O50">
        <f t="shared" si="9"/>
        <v>0.83333333333333337</v>
      </c>
      <c r="P50">
        <f>IFERROR(LN('Дивиденды по годам'!I50),"")</f>
        <v>26.599768365584712</v>
      </c>
      <c r="Q50">
        <f>IFERROR('Дивиденды по годам'!G50/'Дивиденды по годам'!I50, "")</f>
        <v>0.49894267444469376</v>
      </c>
      <c r="R50">
        <f>IFERROR(IF(AND('Дивиденды по годам'!N50&lt;&gt;"",'Дивиденды по годам'!U50&lt;&gt;"",'Дивиденды по годам'!U50&lt;&gt;0),'Дивиденды по годам'!N50/'Дивиденды по годам'!U50-1,""),"")</f>
        <v>-0.27278846282005142</v>
      </c>
      <c r="S50">
        <f>IFERROR(IF(AND('Дивиденды по годам'!L50&lt;&gt;"",'Дивиденды по годам'!I50&lt;&gt;"",'Дивиденды по годам'!J50&lt;&gt;"",'Дивиденды по годам'!K50&lt;&gt;"",('Дивиденды по годам'!I50-'Дивиденды по годам'!J50-'Дивиденды по годам'!K50)&lt;&gt;0),'Дивиденды по годам'!L50/('Дивиденды по годам'!I50-'Дивиденды по годам'!J50-'Дивиденды по годам'!K50),""),"")</f>
        <v>7.975744654340558E-2</v>
      </c>
      <c r="T50">
        <f>IFERROR(IF(AND('Дивиденды по годам'!Q50&lt;&gt;"",'Дивиденды по годам'!I50&lt;&gt;"",'Дивиденды по годам'!V50&lt;&gt;"",('Дивиденды по годам'!I50+'Дивиденды по годам'!V50)&lt;&gt;0),'Дивиденды по годам'!Q50/(('Дивиденды по годам'!I50+'Дивиденды по годам'!V50)/2),""),"")</f>
        <v>6.71894646377552E-2</v>
      </c>
      <c r="U50">
        <f>IFERROR(IF(AND('Дивиденды по годам'!J50&lt;&gt;"",'Дивиденды по годам'!K50&lt;&gt;"",'Дивиденды по годам'!M50&lt;&gt;"",'Дивиденды по годам'!M50&lt;&gt;0),('Дивиденды по годам'!J50+'Дивиденды по годам'!K50)/'Дивиденды по годам'!M50,""),"")</f>
        <v>1.4681752421035144</v>
      </c>
      <c r="V50" cm="1">
        <f t="array" ref="V50">IFERROR(AVERAGE(_xlfn._xlws.FILTER(P$2:P$1073,($C$2:$C$1073=$C50)*($E$2:$E$1073=$E50)*(ROW(P$2:P$1073)&lt;&gt;ROW(P50))*(P$2:P$1073&lt;&gt;""))),"")</f>
        <v>28.876328206616591</v>
      </c>
      <c r="W50" cm="1">
        <f t="array" ref="W50">IFERROR(AVERAGE(_xlfn._xlws.FILTER(Q$2:Q$1073,($C$2:$C$1073=$C50)*($E$2:$E$1073=$E50)*(ROW(Q$2:Q$1073)&lt;&gt;ROW(Q50))*(Q$2:Q$1073&lt;&gt;""))),"")</f>
        <v>0.54594369300523171</v>
      </c>
      <c r="X50" cm="1">
        <f t="array" ref="X50">IFERROR(AVERAGE(_xlfn._xlws.FILTER(R$2:R$1073,($C$2:$C$1073=$C50)*($E$2:$E$1073=$E50)*(ROW(R$2:R$1073)&lt;&gt;ROW(R50))*(R$2:R$1073&lt;&gt;""))),"")</f>
        <v>-0.24412347075666693</v>
      </c>
      <c r="Y50" cm="1">
        <f t="array" ref="Y50">IFERROR(AVERAGE(_xlfn._xlws.FILTER(S$2:S$1073,($C$2:$C$1073=$C50)*($E$2:$E$1073=$E50)*(ROW(S$2:S$1073)&lt;&gt;ROW(S50))*(S$2:S$1073&lt;&gt;""))),"")</f>
        <v>1.0257085818848806</v>
      </c>
      <c r="Z50" cm="1">
        <f t="array" ref="Z50">IFERROR(AVERAGE(_xlfn._xlws.FILTER(T$2:T$1073,($C$2:$C$1073=$C50)*($E$2:$E$1073=$E50)*(ROW(T$2:T$1073)&lt;&gt;ROW(T50))*(T$2:T$1073&lt;&gt;""))),"")</f>
        <v>-7.5976406099828265E-3</v>
      </c>
      <c r="AA50" cm="1">
        <f t="array" ref="AA50">IFERROR(AVERAGE(_xlfn._xlws.FILTER(U$2:U$1073,($C$2:$C$1073=$C50)*($E$2:$E$1073=$E50)*(ROW(U$2:U$1073)&lt;&gt;ROW(U50))*(U$2:U$1073&lt;&gt;""))),"")</f>
        <v>0.46105840225726608</v>
      </c>
    </row>
    <row r="51" spans="1:27" x14ac:dyDescent="0.2">
      <c r="A51" s="7" t="s">
        <v>2314</v>
      </c>
      <c r="B51" t="str">
        <f t="shared" si="0"/>
        <v>RNFT IV кв. 2024</v>
      </c>
      <c r="C51">
        <v>2024</v>
      </c>
      <c r="D51">
        <f>SUMIFS(Дивиденды!$C:$C,Дивиденды!$A:$A,A51,Дивиденды!$I:$I,C51)</f>
        <v>0</v>
      </c>
      <c r="E51">
        <v>1</v>
      </c>
      <c r="F51">
        <f t="shared" si="1"/>
        <v>0</v>
      </c>
      <c r="G51">
        <f t="shared" si="2"/>
        <v>214.65000000000006</v>
      </c>
      <c r="H51">
        <f t="shared" si="3"/>
        <v>0</v>
      </c>
      <c r="I51">
        <f t="shared" si="12"/>
        <v>0.83333333333333337</v>
      </c>
      <c r="J51">
        <f t="shared" si="5"/>
        <v>0</v>
      </c>
      <c r="K51">
        <f t="shared" si="10"/>
        <v>3.3213967737444179E-2</v>
      </c>
      <c r="L51">
        <f t="shared" si="6"/>
        <v>0</v>
      </c>
      <c r="M51">
        <f t="shared" si="11"/>
        <v>0.66666666666666663</v>
      </c>
      <c r="N51">
        <f t="shared" si="8"/>
        <v>0</v>
      </c>
      <c r="O51">
        <f t="shared" si="9"/>
        <v>0.16666666666666666</v>
      </c>
      <c r="P51">
        <f>IFERROR(LN('Дивиденды по годам'!I51),"")</f>
        <v>26.587075973802715</v>
      </c>
      <c r="Q51">
        <f>IFERROR('Дивиденды по годам'!G51/'Дивиденды по годам'!I51, "")</f>
        <v>0.44350016900384304</v>
      </c>
      <c r="R51">
        <f>IFERROR(IF(AND('Дивиденды по годам'!N51&lt;&gt;"",'Дивиденды по годам'!U51&lt;&gt;"",'Дивиденды по годам'!U51&lt;&gt;0),'Дивиденды по годам'!N51/'Дивиденды по годам'!U51-1,""),"")</f>
        <v>0.25712849513038005</v>
      </c>
      <c r="S51">
        <f>IFERROR(IF(AND('Дивиденды по годам'!L51&lt;&gt;"",'Дивиденды по годам'!I51&lt;&gt;"",'Дивиденды по годам'!J51&lt;&gt;"",'Дивиденды по годам'!K51&lt;&gt;"",('Дивиденды по годам'!I51-'Дивиденды по годам'!J51-'Дивиденды по годам'!K51)&lt;&gt;0),'Дивиденды по годам'!L51/('Дивиденды по годам'!I51-'Дивиденды по годам'!J51-'Дивиденды по годам'!K51),""),"")</f>
        <v>0.75575759423249855</v>
      </c>
      <c r="T51">
        <f>IFERROR(IF(AND('Дивиденды по годам'!Q51&lt;&gt;"",'Дивиденды по годам'!I51&lt;&gt;"",'Дивиденды по годам'!V51&lt;&gt;"",('Дивиденды по годам'!I51+'Дивиденды по годам'!V51)&lt;&gt;0),'Дивиденды по годам'!Q51/(('Дивиденды по годам'!I51+'Дивиденды по годам'!V51)/2),""),"")</f>
        <v>0.15658057257008492</v>
      </c>
      <c r="U51">
        <f>IFERROR(IF(AND('Дивиденды по годам'!J51&lt;&gt;"",'Дивиденды по годам'!K51&lt;&gt;"",'Дивиденды по годам'!M51&lt;&gt;"",'Дивиденды по годам'!M51&lt;&gt;0),('Дивиденды по годам'!J51+'Дивиденды по годам'!K51)/'Дивиденды по годам'!M51,""),"")</f>
        <v>1.683038912344343</v>
      </c>
      <c r="V51" cm="1">
        <f t="array" ref="V51">IFERROR(AVERAGE(_xlfn._xlws.FILTER(P$2:P$1073,($C$2:$C$1073=$C51)*($E$2:$E$1073=$E51)*(ROW(P$2:P$1073)&lt;&gt;ROW(P51))*(P$2:P$1073&lt;&gt;""))),"")</f>
        <v>29.789340119291502</v>
      </c>
      <c r="W51" cm="1">
        <f t="array" ref="W51">IFERROR(AVERAGE(_xlfn._xlws.FILTER(Q$2:Q$1073,($C$2:$C$1073=$C51)*($E$2:$E$1073=$E51)*(ROW(Q$2:Q$1073)&lt;&gt;ROW(Q51))*(Q$2:Q$1073&lt;&gt;""))),"")</f>
        <v>0.55867390612024181</v>
      </c>
      <c r="X51" cm="1">
        <f t="array" ref="X51">IFERROR(AVERAGE(_xlfn._xlws.FILTER(R$2:R$1073,($C$2:$C$1073=$C51)*($E$2:$E$1073=$E51)*(ROW(R$2:R$1073)&lt;&gt;ROW(R51))*(R$2:R$1073&lt;&gt;""))),"")</f>
        <v>0.17063092110075423</v>
      </c>
      <c r="Y51" cm="1">
        <f t="array" ref="Y51">IFERROR(AVERAGE(_xlfn._xlws.FILTER(S$2:S$1073,($C$2:$C$1073=$C51)*($E$2:$E$1073=$E51)*(ROW(S$2:S$1073)&lt;&gt;ROW(S51))*(S$2:S$1073&lt;&gt;""))),"")</f>
        <v>0.83081372470404569</v>
      </c>
      <c r="Z51" cm="1">
        <f t="array" ref="Z51">IFERROR(AVERAGE(_xlfn._xlws.FILTER(T$2:T$1073,($C$2:$C$1073=$C51)*($E$2:$E$1073=$E51)*(ROW(T$2:T$1073)&lt;&gt;ROW(T51))*(T$2:T$1073&lt;&gt;""))),"")</f>
        <v>9.9339216815019379E-2</v>
      </c>
      <c r="AA51" cm="1">
        <f t="array" ref="AA51">IFERROR(AVERAGE(_xlfn._xlws.FILTER(U$2:U$1073,($C$2:$C$1073=$C51)*($E$2:$E$1073=$E51)*(ROW(U$2:U$1073)&lt;&gt;ROW(U51))*(U$2:U$1073&lt;&gt;""))),"")</f>
        <v>0.66293301993563625</v>
      </c>
    </row>
    <row r="52" spans="1:27" x14ac:dyDescent="0.2">
      <c r="A52" s="7" t="s">
        <v>2314</v>
      </c>
      <c r="B52" t="str">
        <f t="shared" si="0"/>
        <v>RNFT IV кв. 2023</v>
      </c>
      <c r="C52">
        <v>2023</v>
      </c>
      <c r="D52">
        <f>SUMIFS(Дивиденды!$C:$C,Дивиденды!$A:$A,A52,Дивиденды!$I:$I,C52)</f>
        <v>0</v>
      </c>
      <c r="E52">
        <v>1</v>
      </c>
      <c r="F52">
        <f t="shared" si="1"/>
        <v>0</v>
      </c>
      <c r="G52">
        <f t="shared" si="2"/>
        <v>195.35</v>
      </c>
      <c r="H52">
        <f t="shared" si="3"/>
        <v>0</v>
      </c>
      <c r="I52">
        <f t="shared" si="12"/>
        <v>0.83333333333333337</v>
      </c>
      <c r="J52">
        <f t="shared" si="5"/>
        <v>0</v>
      </c>
      <c r="K52">
        <f t="shared" si="10"/>
        <v>-9.3481616494351216E-2</v>
      </c>
      <c r="L52">
        <f t="shared" si="6"/>
        <v>0</v>
      </c>
      <c r="M52">
        <f t="shared" si="11"/>
        <v>0.5</v>
      </c>
      <c r="N52">
        <f t="shared" si="8"/>
        <v>0</v>
      </c>
      <c r="O52">
        <f t="shared" si="9"/>
        <v>0.5</v>
      </c>
      <c r="P52">
        <f>IFERROR(LN('Дивиденды по годам'!I52),"")</f>
        <v>26.493859248845848</v>
      </c>
      <c r="Q52">
        <f>IFERROR('Дивиденды по годам'!G52/'Дивиденды по годам'!I52, "")</f>
        <v>0.48354368810955078</v>
      </c>
      <c r="R52">
        <f>IFERROR(IF(AND('Дивиденды по годам'!N52&lt;&gt;"",'Дивиденды по годам'!U52&lt;&gt;"",'Дивиденды по годам'!U52&lt;&gt;0),'Дивиденды по годам'!N52/'Дивиденды по годам'!U52-1,""),"")</f>
        <v>-0.17924995358623674</v>
      </c>
      <c r="S52">
        <f>IFERROR(IF(AND('Дивиденды по годам'!L52&lt;&gt;"",'Дивиденды по годам'!I52&lt;&gt;"",'Дивиденды по годам'!J52&lt;&gt;"",'Дивиденды по годам'!K52&lt;&gt;"",('Дивиденды по годам'!I52-'Дивиденды по годам'!J52-'Дивиденды по годам'!K52)&lt;&gt;0),'Дивиденды по годам'!L52/('Дивиденды по годам'!I52-'Дивиденды по годам'!J52-'Дивиденды по годам'!K52),""),"")</f>
        <v>0.56344889262980691</v>
      </c>
      <c r="T52">
        <f>IFERROR(IF(AND('Дивиденды по годам'!Q52&lt;&gt;"",'Дивиденды по годам'!I52&lt;&gt;"",'Дивиденды по годам'!V52&lt;&gt;"",('Дивиденды по годам'!I52+'Дивиденды по годам'!V52)&lt;&gt;0),'Дивиденды по годам'!Q52/(('Дивиденды по годам'!I52+'Дивиденды по годам'!V52)/2),""),"")</f>
        <v>1.9388340468145356E-2</v>
      </c>
      <c r="U52">
        <f>IFERROR(IF(AND('Дивиденды по годам'!J52&lt;&gt;"",'Дивиденды по годам'!K52&lt;&gt;"",'Дивиденды по годам'!M52&lt;&gt;"",'Дивиденды по годам'!M52&lt;&gt;0),('Дивиденды по годам'!J52+'Дивиденды по годам'!K52)/'Дивиденды по годам'!M52,""),"")</f>
        <v>2.3744857698984689</v>
      </c>
      <c r="V52" cm="1">
        <f t="array" ref="V52">IFERROR(AVERAGE(_xlfn._xlws.FILTER(P$2:P$1073,($C$2:$C$1073=$C52)*($E$2:$E$1073=$E52)*(ROW(P$2:P$1073)&lt;&gt;ROW(P52))*(P$2:P$1073&lt;&gt;""))),"")</f>
        <v>29.699577667561371</v>
      </c>
      <c r="W52" cm="1">
        <f t="array" ref="W52">IFERROR(AVERAGE(_xlfn._xlws.FILTER(Q$2:Q$1073,($C$2:$C$1073=$C52)*($E$2:$E$1073=$E52)*(ROW(Q$2:Q$1073)&lt;&gt;ROW(Q52))*(Q$2:Q$1073&lt;&gt;""))),"")</f>
        <v>0.49991064599034979</v>
      </c>
      <c r="X52" cm="1">
        <f t="array" ref="X52">IFERROR(AVERAGE(_xlfn._xlws.FILTER(R$2:R$1073,($C$2:$C$1073=$C52)*($E$2:$E$1073=$E52)*(ROW(R$2:R$1073)&lt;&gt;ROW(R52))*(R$2:R$1073&lt;&gt;""))),"")</f>
        <v>-6.7184333967357943E-2</v>
      </c>
      <c r="Y52" cm="1">
        <f t="array" ref="Y52">IFERROR(AVERAGE(_xlfn._xlws.FILTER(S$2:S$1073,($C$2:$C$1073=$C52)*($E$2:$E$1073=$E52)*(ROW(S$2:S$1073)&lt;&gt;ROW(S52))*(S$2:S$1073&lt;&gt;""))),"")</f>
        <v>0.86771255957933668</v>
      </c>
      <c r="Z52" cm="1">
        <f t="array" ref="Z52">IFERROR(AVERAGE(_xlfn._xlws.FILTER(T$2:T$1073,($C$2:$C$1073=$C52)*($E$2:$E$1073=$E52)*(ROW(T$2:T$1073)&lt;&gt;ROW(T52))*(T$2:T$1073&lt;&gt;""))),"")</f>
        <v>0.10486710757657865</v>
      </c>
      <c r="AA52" cm="1">
        <f t="array" ref="AA52">IFERROR(AVERAGE(_xlfn._xlws.FILTER(U$2:U$1073,($C$2:$C$1073=$C52)*($E$2:$E$1073=$E52)*(ROW(U$2:U$1073)&lt;&gt;ROW(U52))*(U$2:U$1073&lt;&gt;""))),"")</f>
        <v>0.56664492703327152</v>
      </c>
    </row>
    <row r="53" spans="1:27" x14ac:dyDescent="0.2">
      <c r="A53" s="7" t="s">
        <v>2314</v>
      </c>
      <c r="B53" t="str">
        <f t="shared" si="0"/>
        <v>RNFT IV кв. 2022</v>
      </c>
      <c r="C53">
        <v>2022</v>
      </c>
      <c r="D53">
        <f>SUMIFS(Дивиденды!$C:$C,Дивиденды!$A:$A,A53,Дивиденды!$I:$I,C53)</f>
        <v>0</v>
      </c>
      <c r="E53">
        <v>1</v>
      </c>
      <c r="F53">
        <f t="shared" si="1"/>
        <v>0</v>
      </c>
      <c r="G53">
        <f t="shared" si="2"/>
        <v>249.0083333333333</v>
      </c>
      <c r="H53">
        <f t="shared" si="3"/>
        <v>0</v>
      </c>
      <c r="I53">
        <f t="shared" si="12"/>
        <v>1</v>
      </c>
      <c r="J53">
        <f t="shared" si="5"/>
        <v>0</v>
      </c>
      <c r="K53">
        <f t="shared" si="10"/>
        <v>0.76618671052118481</v>
      </c>
      <c r="L53">
        <f t="shared" si="6"/>
        <v>0</v>
      </c>
      <c r="M53">
        <f t="shared" si="11"/>
        <v>0.66666666666666663</v>
      </c>
      <c r="N53">
        <f t="shared" si="8"/>
        <v>0</v>
      </c>
      <c r="O53">
        <f t="shared" si="9"/>
        <v>0.16666666666666666</v>
      </c>
      <c r="P53">
        <f>IFERROR(LN('Дивиденды по годам'!I53),"")</f>
        <v>26.366654079911001</v>
      </c>
      <c r="Q53">
        <f>IFERROR('Дивиденды по годам'!G53/'Дивиденды по годам'!I53, "")</f>
        <v>0.54460763832333636</v>
      </c>
      <c r="R53">
        <f>IFERROR(IF(AND('Дивиденды по годам'!N53&lt;&gt;"",'Дивиденды по годам'!U53&lt;&gt;"",'Дивиденды по годам'!U53&lt;&gt;0),'Дивиденды по годам'!N53/'Дивиденды по годам'!U53-1,""),"")</f>
        <v>7.9782159178233725E-2</v>
      </c>
      <c r="S53">
        <f>IFERROR(IF(AND('Дивиденды по годам'!L53&lt;&gt;"",'Дивиденды по годам'!I53&lt;&gt;"",'Дивиденды по годам'!J53&lt;&gt;"",'Дивиденды по годам'!K53&lt;&gt;"",('Дивиденды по годам'!I53-'Дивиденды по годам'!J53-'Дивиденды по годам'!K53)&lt;&gt;0),'Дивиденды по годам'!L53/('Дивиденды по годам'!I53-'Дивиденды по годам'!J53-'Дивиденды по годам'!K53),""),"")</f>
        <v>0.4676566987306095</v>
      </c>
      <c r="T53">
        <f>IFERROR(IF(AND('Дивиденды по годам'!Q53&lt;&gt;"",'Дивиденды по годам'!I53&lt;&gt;"",'Дивиденды по годам'!V53&lt;&gt;"",('Дивиденды по годам'!I53+'Дивиденды по годам'!V53)&lt;&gt;0),'Дивиденды по годам'!Q53/(('Дивиденды по годам'!I53+'Дивиденды по годам'!V53)/2),""),"")</f>
        <v>7.073233272331951E-2</v>
      </c>
      <c r="U53">
        <f>IFERROR(IF(AND('Дивиденды по годам'!J53&lt;&gt;"",'Дивиденды по годам'!K53&lt;&gt;"",'Дивиденды по годам'!M53&lt;&gt;"",'Дивиденды по годам'!M53&lt;&gt;0),('Дивиденды по годам'!J53+'Дивиденды по годам'!K53)/'Дивиденды по годам'!M53,""),"")</f>
        <v>2.0151280600424908</v>
      </c>
      <c r="V53" cm="1">
        <f t="array" ref="V53">IFERROR(AVERAGE(_xlfn._xlws.FILTER(P$2:P$1073,($C$2:$C$1073=$C53)*($E$2:$E$1073=$E53)*(ROW(P$2:P$1073)&lt;&gt;ROW(P53))*(P$2:P$1073&lt;&gt;""))),"")</f>
        <v>29.514159382384026</v>
      </c>
      <c r="W53" cm="1">
        <f t="array" ref="W53">IFERROR(AVERAGE(_xlfn._xlws.FILTER(Q$2:Q$1073,($C$2:$C$1073=$C53)*($E$2:$E$1073=$E53)*(ROW(Q$2:Q$1073)&lt;&gt;ROW(Q53))*(Q$2:Q$1073&lt;&gt;""))),"")</f>
        <v>0.50018222362425424</v>
      </c>
      <c r="X53" cm="1">
        <f t="array" ref="X53">IFERROR(AVERAGE(_xlfn._xlws.FILTER(R$2:R$1073,($C$2:$C$1073=$C53)*($E$2:$E$1073=$E53)*(ROW(R$2:R$1073)&lt;&gt;ROW(R53))*(R$2:R$1073&lt;&gt;""))),"")</f>
        <v>0.13386210838864654</v>
      </c>
      <c r="Y53" cm="1">
        <f t="array" ref="Y53">IFERROR(AVERAGE(_xlfn._xlws.FILTER(S$2:S$1073,($C$2:$C$1073=$C53)*($E$2:$E$1073=$E53)*(ROW(S$2:S$1073)&lt;&gt;ROW(S53))*(S$2:S$1073&lt;&gt;""))),"")</f>
        <v>0.93242467303041643</v>
      </c>
      <c r="Z53" cm="1">
        <f t="array" ref="Z53">IFERROR(AVERAGE(_xlfn._xlws.FILTER(T$2:T$1073,($C$2:$C$1073=$C53)*($E$2:$E$1073=$E53)*(ROW(T$2:T$1073)&lt;&gt;ROW(T53))*(T$2:T$1073&lt;&gt;""))),"")</f>
        <v>0.11882152161576225</v>
      </c>
      <c r="AA53" cm="1">
        <f t="array" ref="AA53">IFERROR(AVERAGE(_xlfn._xlws.FILTER(U$2:U$1073,($C$2:$C$1073=$C53)*($E$2:$E$1073=$E53)*(ROW(U$2:U$1073)&lt;&gt;ROW(U53))*(U$2:U$1073&lt;&gt;""))),"")</f>
        <v>0.40830096058785115</v>
      </c>
    </row>
    <row r="54" spans="1:27" x14ac:dyDescent="0.2">
      <c r="A54" s="7" t="s">
        <v>2314</v>
      </c>
      <c r="B54" t="str">
        <f t="shared" si="0"/>
        <v>RNFT IV кв. 2021</v>
      </c>
      <c r="C54">
        <v>2021</v>
      </c>
      <c r="D54">
        <f>SUMIFS(Дивиденды!$C:$C,Дивиденды!$A:$A,A54,Дивиденды!$I:$I,C54)</f>
        <v>0</v>
      </c>
      <c r="E54">
        <v>1</v>
      </c>
      <c r="F54">
        <f t="shared" si="1"/>
        <v>0</v>
      </c>
      <c r="G54">
        <f t="shared" si="2"/>
        <v>82.756666666666675</v>
      </c>
      <c r="H54">
        <f t="shared" si="3"/>
        <v>0</v>
      </c>
      <c r="I54">
        <f t="shared" si="12"/>
        <v>0.83333333333333337</v>
      </c>
      <c r="J54">
        <f t="shared" si="5"/>
        <v>0</v>
      </c>
      <c r="K54">
        <f t="shared" si="10"/>
        <v>1.0641242270283044</v>
      </c>
      <c r="L54">
        <f t="shared" si="6"/>
        <v>0</v>
      </c>
      <c r="M54">
        <f t="shared" si="11"/>
        <v>0.83333333333333337</v>
      </c>
      <c r="N54">
        <f t="shared" si="8"/>
        <v>0</v>
      </c>
      <c r="O54">
        <f t="shared" si="9"/>
        <v>0.16666666666666666</v>
      </c>
      <c r="P54">
        <f>IFERROR(LN('Дивиденды по годам'!I54),"")</f>
        <v>26.382636548231801</v>
      </c>
      <c r="Q54">
        <f>IFERROR('Дивиденды по годам'!G54/'Дивиденды по годам'!I54, "")</f>
        <v>0.52556382593181117</v>
      </c>
      <c r="R54">
        <f>IFERROR(IF(AND('Дивиденды по годам'!N54&lt;&gt;"",'Дивиденды по годам'!U54&lt;&gt;"",'Дивиденды по годам'!U54&lt;&gt;0),'Дивиденды по годам'!N54/'Дивиденды по годам'!U54-1,""),"")</f>
        <v>1.0223655365025976</v>
      </c>
      <c r="S54">
        <f>IFERROR(IF(AND('Дивиденды по годам'!L54&lt;&gt;"",'Дивиденды по годам'!I54&lt;&gt;"",'Дивиденды по годам'!J54&lt;&gt;"",'Дивиденды по годам'!K54&lt;&gt;"",('Дивиденды по годам'!I54-'Дивиденды по годам'!J54-'Дивиденды по годам'!K54)&lt;&gt;0),'Дивиденды по годам'!L54/('Дивиденды по годам'!I54-'Дивиденды по годам'!J54-'Дивиденды по годам'!K54),""),"")</f>
        <v>0.36180469396195203</v>
      </c>
      <c r="T54">
        <f>IFERROR(IF(AND('Дивиденды по годам'!Q54&lt;&gt;"",'Дивиденды по годам'!I54&lt;&gt;"",'Дивиденды по годам'!V54&lt;&gt;"",('Дивиденды по годам'!I54+'Дивиденды по годам'!V54)&lt;&gt;0),'Дивиденды по годам'!Q54/(('Дивиденды по годам'!I54+'Дивиденды по годам'!V54)/2),""),"")</f>
        <v>0.116603795732602</v>
      </c>
      <c r="U54">
        <f>IFERROR(IF(AND('Дивиденды по годам'!J54&lt;&gt;"",'Дивиденды по годам'!K54&lt;&gt;"",'Дивиденды по годам'!M54&lt;&gt;"",'Дивиденды по годам'!M54&lt;&gt;0),('Дивиденды по годам'!J54+'Дивиденды по годам'!K54)/'Дивиденды по годам'!M54,""),"")</f>
        <v>2.7087468982630272</v>
      </c>
      <c r="V54" cm="1">
        <f t="array" ref="V54">IFERROR(AVERAGE(_xlfn._xlws.FILTER(P$2:P$1073,($C$2:$C$1073=$C54)*($E$2:$E$1073=$E54)*(ROW(P$2:P$1073)&lt;&gt;ROW(P54))*(P$2:P$1073&lt;&gt;""))),"")</f>
        <v>29.497208364375741</v>
      </c>
      <c r="W54" cm="1">
        <f t="array" ref="W54">IFERROR(AVERAGE(_xlfn._xlws.FILTER(Q$2:Q$1073,($C$2:$C$1073=$C54)*($E$2:$E$1073=$E54)*(ROW(Q$2:Q$1073)&lt;&gt;ROW(Q54))*(Q$2:Q$1073&lt;&gt;""))),"")</f>
        <v>0.5641025281213875</v>
      </c>
      <c r="X54" cm="1">
        <f t="array" ref="X54">IFERROR(AVERAGE(_xlfn._xlws.FILTER(R$2:R$1073,($C$2:$C$1073=$C54)*($E$2:$E$1073=$E54)*(ROW(R$2:R$1073)&lt;&gt;ROW(R54))*(R$2:R$1073&lt;&gt;""))),"")</f>
        <v>0.63916105052253425</v>
      </c>
      <c r="Y54" cm="1">
        <f t="array" ref="Y54">IFERROR(AVERAGE(_xlfn._xlws.FILTER(S$2:S$1073,($C$2:$C$1073=$C54)*($E$2:$E$1073=$E54)*(ROW(S$2:S$1073)&lt;&gt;ROW(S54))*(S$2:S$1073&lt;&gt;""))),"")</f>
        <v>0.89442516960757001</v>
      </c>
      <c r="Z54" cm="1">
        <f t="array" ref="Z54">IFERROR(AVERAGE(_xlfn._xlws.FILTER(T$2:T$1073,($C$2:$C$1073=$C54)*($E$2:$E$1073=$E54)*(ROW(T$2:T$1073)&lt;&gt;ROW(T54))*(T$2:T$1073&lt;&gt;""))),"")</f>
        <v>0.1227499045290182</v>
      </c>
      <c r="AA54" cm="1">
        <f t="array" ref="AA54">IFERROR(AVERAGE(_xlfn._xlws.FILTER(U$2:U$1073,($C$2:$C$1073=$C54)*($E$2:$E$1073=$E54)*(ROW(U$2:U$1073)&lt;&gt;ROW(U54))*(U$2:U$1073&lt;&gt;""))),"")</f>
        <v>0.70712523636448843</v>
      </c>
    </row>
    <row r="55" spans="1:27" x14ac:dyDescent="0.2">
      <c r="A55" s="7" t="s">
        <v>2314</v>
      </c>
      <c r="B55" t="str">
        <f t="shared" si="0"/>
        <v>RNFT IV кв. 2020</v>
      </c>
      <c r="C55">
        <v>2020</v>
      </c>
      <c r="D55">
        <f>SUMIFS(Дивиденды!$C:$C,Дивиденды!$A:$A,A55,Дивиденды!$I:$I,C55)</f>
        <v>0</v>
      </c>
      <c r="E55">
        <v>1</v>
      </c>
      <c r="F55">
        <f t="shared" si="1"/>
        <v>0</v>
      </c>
      <c r="G55">
        <f t="shared" si="2"/>
        <v>56.164999999999999</v>
      </c>
      <c r="H55">
        <f t="shared" si="3"/>
        <v>0</v>
      </c>
      <c r="I55">
        <f t="shared" si="12"/>
        <v>1</v>
      </c>
      <c r="J55">
        <f t="shared" si="5"/>
        <v>0</v>
      </c>
      <c r="K55">
        <f t="shared" si="10"/>
        <v>-0.32818837231601233</v>
      </c>
      <c r="L55">
        <f t="shared" si="6"/>
        <v>0</v>
      </c>
      <c r="M55">
        <f t="shared" si="11"/>
        <v>0.33333333333333331</v>
      </c>
      <c r="N55">
        <f t="shared" si="8"/>
        <v>0</v>
      </c>
      <c r="O55">
        <f t="shared" si="9"/>
        <v>0.66666666666666663</v>
      </c>
      <c r="P55">
        <f>IFERROR(LN('Дивиденды по годам'!I55),"")</f>
        <v>26.341109086924956</v>
      </c>
      <c r="Q55">
        <f>IFERROR('Дивиденды по годам'!G55/'Дивиденды по годам'!I55, "")</f>
        <v>0.5310339817286911</v>
      </c>
      <c r="R55">
        <f>IFERROR(IF(AND('Дивиденды по годам'!N55&lt;&gt;"",'Дивиденды по годам'!U55&lt;&gt;"",'Дивиденды по годам'!U55&lt;&gt;0),'Дивиденды по годам'!N55/'Дивиденды по годам'!U55-1,""),"")</f>
        <v>-0.28820533648270963</v>
      </c>
      <c r="S55">
        <f>IFERROR(IF(AND('Дивиденды по годам'!L55&lt;&gt;"",'Дивиденды по годам'!I55&lt;&gt;"",'Дивиденды по годам'!J55&lt;&gt;"",'Дивиденды по годам'!K55&lt;&gt;"",('Дивиденды по годам'!I55-'Дивиденды по годам'!J55-'Дивиденды по годам'!K55)&lt;&gt;0),'Дивиденды по годам'!L55/('Дивиденды по годам'!I55-'Дивиденды по годам'!J55-'Дивиденды по годам'!K55),""),"")</f>
        <v>3.2651062179866536E-4</v>
      </c>
      <c r="T55">
        <f>IFERROR(IF(AND('Дивиденды по годам'!Q55&lt;&gt;"",'Дивиденды по годам'!I55&lt;&gt;"",'Дивиденды по годам'!V55&lt;&gt;"",('Дивиденды по годам'!I55+'Дивиденды по годам'!V55)&lt;&gt;0),'Дивиденды по годам'!Q55/(('Дивиденды по годам'!I55+'Дивиденды по годам'!V55)/2),""),"")</f>
        <v>-7.6679386564907484E-2</v>
      </c>
      <c r="U55">
        <f>IFERROR(IF(AND('Дивиденды по годам'!J55&lt;&gt;"",'Дивиденды по годам'!K55&lt;&gt;"",'Дивиденды по годам'!M55&lt;&gt;"",'Дивиденды по годам'!M55&lt;&gt;0),('Дивиденды по годам'!J55+'Дивиденды по годам'!K55)/'Дивиденды по годам'!M55,""),"")</f>
        <v>4.6179213517539743</v>
      </c>
      <c r="V55" cm="1">
        <f t="array" ref="V55">IFERROR(AVERAGE(_xlfn._xlws.FILTER(P$2:P$1073,($C$2:$C$1073=$C55)*($E$2:$E$1073=$E55)*(ROW(P$2:P$1073)&lt;&gt;ROW(P55))*(P$2:P$1073&lt;&gt;""))),"")</f>
        <v>29.36420942053886</v>
      </c>
      <c r="W55" cm="1">
        <f t="array" ref="W55">IFERROR(AVERAGE(_xlfn._xlws.FILTER(Q$2:Q$1073,($C$2:$C$1073=$C55)*($E$2:$E$1073=$E55)*(ROW(Q$2:Q$1073)&lt;&gt;ROW(Q55))*(Q$2:Q$1073&lt;&gt;""))),"")</f>
        <v>0.56354549269874143</v>
      </c>
      <c r="X55" cm="1">
        <f t="array" ref="X55">IFERROR(AVERAGE(_xlfn._xlws.FILTER(R$2:R$1073,($C$2:$C$1073=$C55)*($E$2:$E$1073=$E55)*(ROW(R$2:R$1073)&lt;&gt;ROW(R55))*(R$2:R$1073&lt;&gt;""))),"")</f>
        <v>-0.25157558387477102</v>
      </c>
      <c r="Y55" cm="1">
        <f t="array" ref="Y55">IFERROR(AVERAGE(_xlfn._xlws.FILTER(S$2:S$1073,($C$2:$C$1073=$C55)*($E$2:$E$1073=$E55)*(ROW(S$2:S$1073)&lt;&gt;ROW(S55))*(S$2:S$1073&lt;&gt;""))),"")</f>
        <v>0.90259799236800697</v>
      </c>
      <c r="Z55" cm="1">
        <f t="array" ref="Z55">IFERROR(AVERAGE(_xlfn._xlws.FILTER(T$2:T$1073,($C$2:$C$1073=$C55)*($E$2:$E$1073=$E55)*(ROW(T$2:T$1073)&lt;&gt;ROW(T55))*(T$2:T$1073&lt;&gt;""))),"")</f>
        <v>4.6113424313253881E-2</v>
      </c>
      <c r="AA55" cm="1">
        <f t="array" ref="AA55">IFERROR(AVERAGE(_xlfn._xlws.FILTER(U$2:U$1073,($C$2:$C$1073=$C55)*($E$2:$E$1073=$E55)*(ROW(U$2:U$1073)&lt;&gt;ROW(U55))*(U$2:U$1073&lt;&gt;""))),"")</f>
        <v>0.62334371941748568</v>
      </c>
    </row>
    <row r="56" spans="1:27" x14ac:dyDescent="0.2">
      <c r="A56" s="7" t="s">
        <v>2314</v>
      </c>
      <c r="B56" t="str">
        <f t="shared" si="0"/>
        <v>RNFT IV кв. 2019</v>
      </c>
      <c r="C56">
        <v>2019</v>
      </c>
      <c r="D56">
        <f>SUMIFS(Дивиденды!$C:$C,Дивиденды!$A:$A,A56,Дивиденды!$I:$I,C56)</f>
        <v>0</v>
      </c>
      <c r="E56">
        <v>1</v>
      </c>
      <c r="F56">
        <f t="shared" si="1"/>
        <v>0</v>
      </c>
      <c r="G56">
        <f t="shared" si="2"/>
        <v>114.68333333333334</v>
      </c>
      <c r="H56">
        <f t="shared" si="3"/>
        <v>0</v>
      </c>
      <c r="I56">
        <f t="shared" si="12"/>
        <v>1</v>
      </c>
      <c r="J56">
        <f t="shared" si="5"/>
        <v>0</v>
      </c>
      <c r="K56">
        <f t="shared" si="10"/>
        <v>0.22914270644381821</v>
      </c>
      <c r="L56">
        <f t="shared" si="6"/>
        <v>0</v>
      </c>
      <c r="M56">
        <f t="shared" si="11"/>
        <v>0.5</v>
      </c>
      <c r="N56">
        <f t="shared" si="8"/>
        <v>0</v>
      </c>
      <c r="O56">
        <f t="shared" si="9"/>
        <v>0.33333333333333331</v>
      </c>
      <c r="P56">
        <f>IFERROR(LN('Дивиденды по годам'!I56),"")</f>
        <v>26.359001421105948</v>
      </c>
      <c r="Q56">
        <f>IFERROR('Дивиденды по годам'!G56/'Дивиденды по годам'!I56, "")</f>
        <v>0.53852960590869359</v>
      </c>
      <c r="R56">
        <f>IFERROR(IF(AND('Дивиденды по годам'!N56&lt;&gt;"",'Дивиденды по годам'!U56&lt;&gt;"",'Дивиденды по годам'!U56&lt;&gt;0),'Дивиденды по годам'!N56/'Дивиденды по годам'!U56-1,""),"")</f>
        <v>5.2445979235329121E-2</v>
      </c>
      <c r="S56">
        <f>IFERROR(IF(AND('Дивиденды по годам'!L56&lt;&gt;"",'Дивиденды по годам'!I56&lt;&gt;"",'Дивиденды по годам'!J56&lt;&gt;"",'Дивиденды по годам'!K56&lt;&gt;"",('Дивиденды по годам'!I56-'Дивиденды по годам'!J56-'Дивиденды по годам'!K56)&lt;&gt;0),'Дивиденды по годам'!L56/('Дивиденды по годам'!I56-'Дивиденды по годам'!J56-'Дивиденды по годам'!K56),""),"")</f>
        <v>0.28303882772401362</v>
      </c>
      <c r="T56">
        <f>IFERROR(IF(AND('Дивиденды по годам'!Q56&lt;&gt;"",'Дивиденды по годам'!I56&lt;&gt;"",'Дивиденды по годам'!V56&lt;&gt;"",('Дивиденды по годам'!I56+'Дивиденды по годам'!V56)&lt;&gt;0),'Дивиденды по годам'!Q56/(('Дивиденды по годам'!I56+'Дивиденды по годам'!V56)/2),""),"")</f>
        <v>8.195562455818628E-2</v>
      </c>
      <c r="U56">
        <f>IFERROR(IF(AND('Дивиденды по годам'!J56&lt;&gt;"",'Дивиденды по годам'!K56&lt;&gt;"",'Дивиденды по годам'!M56&lt;&gt;"",'Дивиденды по годам'!M56&lt;&gt;0),('Дивиденды по годам'!J56+'Дивиденды по годам'!K56)/'Дивиденды по годам'!M56,""),"")</f>
        <v>2.6602933301989053</v>
      </c>
      <c r="V56" cm="1">
        <f t="array" ref="V56">IFERROR(AVERAGE(_xlfn._xlws.FILTER(P$2:P$1073,($C$2:$C$1073=$C56)*($E$2:$E$1073=$E56)*(ROW(P$2:P$1073)&lt;&gt;ROW(P56))*(P$2:P$1073&lt;&gt;""))),"")</f>
        <v>29.298500396397998</v>
      </c>
      <c r="W56" cm="1">
        <f t="array" ref="W56">IFERROR(AVERAGE(_xlfn._xlws.FILTER(Q$2:Q$1073,($C$2:$C$1073=$C56)*($E$2:$E$1073=$E56)*(ROW(Q$2:Q$1073)&lt;&gt;ROW(Q56))*(Q$2:Q$1073&lt;&gt;""))),"")</f>
        <v>0.53802854717667281</v>
      </c>
      <c r="X56" cm="1">
        <f t="array" ref="X56">IFERROR(AVERAGE(_xlfn._xlws.FILTER(R$2:R$1073,($C$2:$C$1073=$C56)*($E$2:$E$1073=$E56)*(ROW(R$2:R$1073)&lt;&gt;ROW(R56))*(R$2:R$1073&lt;&gt;""))),"")</f>
        <v>5.1854518385725523E-3</v>
      </c>
      <c r="Y56" cm="1">
        <f t="array" ref="Y56">IFERROR(AVERAGE(_xlfn._xlws.FILTER(S$2:S$1073,($C$2:$C$1073=$C56)*($E$2:$E$1073=$E56)*(ROW(S$2:S$1073)&lt;&gt;ROW(S56))*(S$2:S$1073&lt;&gt;""))),"")</f>
        <v>0.93039366219328212</v>
      </c>
      <c r="Z56" cm="1">
        <f t="array" ref="Z56">IFERROR(AVERAGE(_xlfn._xlws.FILTER(T$2:T$1073,($C$2:$C$1073=$C56)*($E$2:$E$1073=$E56)*(ROW(T$2:T$1073)&lt;&gt;ROW(T56))*(T$2:T$1073&lt;&gt;""))),"")</f>
        <v>0.15945557844356531</v>
      </c>
      <c r="AA56" cm="1">
        <f t="array" ref="AA56">IFERROR(AVERAGE(_xlfn._xlws.FILTER(U$2:U$1073,($C$2:$C$1073=$C56)*($E$2:$E$1073=$E56)*(ROW(U$2:U$1073)&lt;&gt;ROW(U56))*(U$2:U$1073&lt;&gt;""))),"")</f>
        <v>0.59094901707343694</v>
      </c>
    </row>
    <row r="57" spans="1:27" x14ac:dyDescent="0.2">
      <c r="A57" s="7" t="s">
        <v>2314</v>
      </c>
      <c r="B57" t="str">
        <f t="shared" si="0"/>
        <v>RNFT IV кв. 2018</v>
      </c>
      <c r="C57">
        <v>2018</v>
      </c>
      <c r="D57">
        <f>SUMIFS(Дивиденды!$C:$C,Дивиденды!$A:$A,A57,Дивиденды!$I:$I,C57)</f>
        <v>0</v>
      </c>
      <c r="E57">
        <v>1</v>
      </c>
      <c r="F57">
        <f t="shared" si="1"/>
        <v>0</v>
      </c>
      <c r="G57">
        <f t="shared" si="2"/>
        <v>67.356666666666669</v>
      </c>
      <c r="H57">
        <f t="shared" si="3"/>
        <v>0</v>
      </c>
      <c r="I57">
        <f t="shared" si="12"/>
        <v>1</v>
      </c>
      <c r="J57">
        <f t="shared" si="5"/>
        <v>0</v>
      </c>
      <c r="K57">
        <f t="shared" si="10"/>
        <v>0.76168701017179208</v>
      </c>
      <c r="L57">
        <f t="shared" si="6"/>
        <v>0</v>
      </c>
      <c r="M57">
        <f t="shared" si="11"/>
        <v>0.83333333333333337</v>
      </c>
      <c r="N57">
        <f t="shared" si="8"/>
        <v>0</v>
      </c>
      <c r="O57">
        <f t="shared" si="9"/>
        <v>0</v>
      </c>
      <c r="P57">
        <f>IFERROR(LN('Дивиденды по годам'!I57),"")</f>
        <v>26.256845030998896</v>
      </c>
      <c r="Q57">
        <f>IFERROR('Дивиденды по годам'!G57/'Дивиденды по годам'!I57, "")</f>
        <v>0.53533321741329709</v>
      </c>
      <c r="R57">
        <f>IFERROR(IF(AND('Дивиденды по годам'!N57&lt;&gt;"",'Дивиденды по годам'!U57&lt;&gt;"",'Дивиденды по годам'!U57&lt;&gt;0),'Дивиденды по годам'!N57/'Дивиденды по годам'!U57-1,""),"")</f>
        <v>0.37625103527280901</v>
      </c>
      <c r="S57">
        <f>IFERROR(IF(AND('Дивиденды по годам'!L57&lt;&gt;"",'Дивиденды по годам'!I57&lt;&gt;"",'Дивиденды по годам'!J57&lt;&gt;"",'Дивиденды по годам'!K57&lt;&gt;"",('Дивиденды по годам'!I57-'Дивиденды по годам'!J57-'Дивиденды по годам'!K57)&lt;&gt;0),'Дивиденды по годам'!L57/('Дивиденды по годам'!I57-'Дивиденды по годам'!J57-'Дивиденды по годам'!K57),""),"")</f>
        <v>6.4161790370598497E-4</v>
      </c>
      <c r="T57">
        <f>IFERROR(IF(AND('Дивиденды по годам'!Q57&lt;&gt;"",'Дивиденды по годам'!I57&lt;&gt;"",'Дивиденды по годам'!V57&lt;&gt;"",('Дивиденды по годам'!I57+'Дивиденды по годам'!V57)&lt;&gt;0),'Дивиденды по годам'!Q57/(('Дивиденды по годам'!I57+'Дивиденды по годам'!V57)/2),""),"")</f>
        <v>6.1799950218682217E-2</v>
      </c>
      <c r="U57">
        <f>IFERROR(IF(AND('Дивиденды по годам'!J57&lt;&gt;"",'Дивиденды по годам'!K57&lt;&gt;"",'Дивиденды по годам'!M57&lt;&gt;"",'Дивиденды по годам'!M57&lt;&gt;0),('Дивиденды по годам'!J57+'Дивиденды по годам'!K57)/'Дивиденды по годам'!M57,""),"")</f>
        <v>2.2472025459398419</v>
      </c>
      <c r="V57" cm="1">
        <f t="array" ref="V57">IFERROR(AVERAGE(_xlfn._xlws.FILTER(P$2:P$1073,($C$2:$C$1073=$C57)*($E$2:$E$1073=$E57)*(ROW(P$2:P$1073)&lt;&gt;ROW(P57))*(P$2:P$1073&lt;&gt;""))),"")</f>
        <v>29.193436949089261</v>
      </c>
      <c r="W57" cm="1">
        <f t="array" ref="W57">IFERROR(AVERAGE(_xlfn._xlws.FILTER(Q$2:Q$1073,($C$2:$C$1073=$C57)*($E$2:$E$1073=$E57)*(ROW(Q$2:Q$1073)&lt;&gt;ROW(Q57))*(Q$2:Q$1073&lt;&gt;""))),"")</f>
        <v>0.52994573569410963</v>
      </c>
      <c r="X57" cm="1">
        <f t="array" ref="X57">IFERROR(AVERAGE(_xlfn._xlws.FILTER(R$2:R$1073,($C$2:$C$1073=$C57)*($E$2:$E$1073=$E57)*(ROW(R$2:R$1073)&lt;&gt;ROW(R57))*(R$2:R$1073&lt;&gt;""))),"")</f>
        <v>0.34448493041751105</v>
      </c>
      <c r="Y57" cm="1">
        <f t="array" ref="Y57">IFERROR(AVERAGE(_xlfn._xlws.FILTER(S$2:S$1073,($C$2:$C$1073=$C57)*($E$2:$E$1073=$E57)*(ROW(S$2:S$1073)&lt;&gt;ROW(S57))*(S$2:S$1073&lt;&gt;""))),"")</f>
        <v>0.91447584391187542</v>
      </c>
      <c r="Z57" cm="1">
        <f t="array" ref="Z57">IFERROR(AVERAGE(_xlfn._xlws.FILTER(T$2:T$1073,($C$2:$C$1073=$C57)*($E$2:$E$1073=$E57)*(ROW(T$2:T$1073)&lt;&gt;ROW(T57))*(T$2:T$1073&lt;&gt;""))),"")</f>
        <v>0.12821819980969393</v>
      </c>
      <c r="AA57" cm="1">
        <f t="array" ref="AA57">IFERROR(AVERAGE(_xlfn._xlws.FILTER(U$2:U$1073,($C$2:$C$1073=$C57)*($E$2:$E$1073=$E57)*(ROW(U$2:U$1073)&lt;&gt;ROW(U57))*(U$2:U$1073&lt;&gt;""))),"")</f>
        <v>0.6351638245312563</v>
      </c>
    </row>
    <row r="58" spans="1:27" x14ac:dyDescent="0.2">
      <c r="A58" s="7" t="s">
        <v>2314</v>
      </c>
      <c r="B58" t="str">
        <f t="shared" si="0"/>
        <v>RNFT IV кв. 2017</v>
      </c>
      <c r="C58">
        <v>2017</v>
      </c>
      <c r="D58">
        <f>SUMIFS(Дивиденды!$C:$C,Дивиденды!$A:$A,A58,Дивиденды!$I:$I,C58)</f>
        <v>0</v>
      </c>
      <c r="E58">
        <v>1</v>
      </c>
      <c r="F58">
        <f t="shared" si="1"/>
        <v>0</v>
      </c>
      <c r="G58">
        <f t="shared" si="2"/>
        <v>48.176666666666655</v>
      </c>
      <c r="H58">
        <f t="shared" si="3"/>
        <v>0</v>
      </c>
      <c r="I58">
        <f t="shared" si="12"/>
        <v>1</v>
      </c>
      <c r="J58">
        <f t="shared" si="5"/>
        <v>0</v>
      </c>
      <c r="K58">
        <f t="shared" si="10"/>
        <v>0.29415529581938399</v>
      </c>
      <c r="L58">
        <f t="shared" si="6"/>
        <v>0</v>
      </c>
      <c r="M58">
        <f t="shared" si="11"/>
        <v>0.83333333333333337</v>
      </c>
      <c r="N58">
        <f t="shared" si="8"/>
        <v>0</v>
      </c>
      <c r="O58">
        <f t="shared" si="9"/>
        <v>0</v>
      </c>
      <c r="P58">
        <f>IFERROR(LN('Дивиденды по годам'!I58),"")</f>
        <v>26.139557332002539</v>
      </c>
      <c r="Q58">
        <f>IFERROR('Дивиденды по годам'!G58/'Дивиденды по годам'!I58, "")</f>
        <v>0.54291846447123437</v>
      </c>
      <c r="R58">
        <f>IFERROR(IF(AND('Дивиденды по годам'!N58&lt;&gt;"",'Дивиденды по годам'!U58&lt;&gt;"",'Дивиденды по годам'!U58&lt;&gt;0),'Дивиденды по годам'!N58/'Дивиденды по годам'!U58-1,""),"")</f>
        <v>0.23037437025608787</v>
      </c>
      <c r="S58">
        <f>IFERROR(IF(AND('Дивиденды по годам'!L58&lt;&gt;"",'Дивиденды по годам'!I58&lt;&gt;"",'Дивиденды по годам'!J58&lt;&gt;"",'Дивиденды по годам'!K58&lt;&gt;"",('Дивиденды по годам'!I58-'Дивиденды по годам'!J58-'Дивиденды по годам'!K58)&lt;&gt;0),'Дивиденды по годам'!L58/('Дивиденды по годам'!I58-'Дивиденды по годам'!J58-'Дивиденды по годам'!K58),""),"")</f>
        <v>-0.17336066800347169</v>
      </c>
      <c r="T58">
        <f>IFERROR(IF(AND('Дивиденды по годам'!Q58&lt;&gt;"",'Дивиденды по годам'!I58&lt;&gt;"",'Дивиденды по годам'!V58&lt;&gt;"",('Дивиденды по годам'!I58+'Дивиденды по годам'!V58)&lt;&gt;0),'Дивиденды по годам'!Q58/(('Дивиденды по годам'!I58+'Дивиденды по годам'!V58)/2),""),"")</f>
        <v>3.3242472093160835E-2</v>
      </c>
      <c r="U58">
        <f>IFERROR(IF(AND('Дивиденды по годам'!J58&lt;&gt;"",'Дивиденды по годам'!K58&lt;&gt;"",'Дивиденды по годам'!M58&lt;&gt;"",'Дивиденды по годам'!M58&lt;&gt;0),('Дивиденды по годам'!J58+'Дивиденды по годам'!K58)/'Дивиденды по годам'!M58,""),"")</f>
        <v>2.3675964444976505</v>
      </c>
      <c r="V58" cm="1">
        <f t="array" ref="V58">IFERROR(AVERAGE(_xlfn._xlws.FILTER(P$2:P$1073,($C$2:$C$1073=$C58)*($E$2:$E$1073=$E58)*(ROW(P$2:P$1073)&lt;&gt;ROW(P58))*(P$2:P$1073&lt;&gt;""))),"")</f>
        <v>29.072796443647416</v>
      </c>
      <c r="W58" cm="1">
        <f t="array" ref="W58">IFERROR(AVERAGE(_xlfn._xlws.FILTER(Q$2:Q$1073,($C$2:$C$1073=$C58)*($E$2:$E$1073=$E58)*(ROW(Q$2:Q$1073)&lt;&gt;ROW(Q58))*(Q$2:Q$1073&lt;&gt;""))),"")</f>
        <v>0.54840686379648962</v>
      </c>
      <c r="X58" cm="1">
        <f t="array" ref="X58">IFERROR(AVERAGE(_xlfn._xlws.FILTER(R$2:R$1073,($C$2:$C$1073=$C58)*($E$2:$E$1073=$E58)*(ROW(R$2:R$1073)&lt;&gt;ROW(R58))*(R$2:R$1073&lt;&gt;""))),"")</f>
        <v>0.13715104914134027</v>
      </c>
      <c r="Y58" cm="1">
        <f t="array" ref="Y58">IFERROR(AVERAGE(_xlfn._xlws.FILTER(S$2:S$1073,($C$2:$C$1073=$C58)*($E$2:$E$1073=$E58)*(ROW(S$2:S$1073)&lt;&gt;ROW(S58))*(S$2:S$1073&lt;&gt;""))),"")</f>
        <v>0.92176618022801049</v>
      </c>
      <c r="Z58" cm="1">
        <f t="array" ref="Z58">IFERROR(AVERAGE(_xlfn._xlws.FILTER(T$2:T$1073,($C$2:$C$1073=$C58)*($E$2:$E$1073=$E58)*(ROW(T$2:T$1073)&lt;&gt;ROW(T58))*(T$2:T$1073&lt;&gt;""))),"")</f>
        <v>7.9553528189581432E-2</v>
      </c>
      <c r="AA58" cm="1">
        <f t="array" ref="AA58">IFERROR(AVERAGE(_xlfn._xlws.FILTER(U$2:U$1073,($C$2:$C$1073=$C58)*($E$2:$E$1073=$E58)*(ROW(U$2:U$1073)&lt;&gt;ROW(U58))*(U$2:U$1073&lt;&gt;""))),"")</f>
        <v>0.66644575763718161</v>
      </c>
    </row>
    <row r="59" spans="1:27" x14ac:dyDescent="0.2">
      <c r="A59" s="7" t="s">
        <v>2314</v>
      </c>
      <c r="B59" t="str">
        <f t="shared" si="0"/>
        <v>RNFT IV кв. 2016</v>
      </c>
      <c r="C59">
        <v>2016</v>
      </c>
      <c r="D59">
        <f>SUMIFS(Дивиденды!$C:$C,Дивиденды!$A:$A,A59,Дивиденды!$I:$I,C59)</f>
        <v>0</v>
      </c>
      <c r="E59">
        <v>1</v>
      </c>
      <c r="F59">
        <f t="shared" si="1"/>
        <v>0</v>
      </c>
      <c r="G59">
        <f t="shared" si="2"/>
        <v>41.055</v>
      </c>
      <c r="H59">
        <f t="shared" si="3"/>
        <v>0</v>
      </c>
      <c r="I59">
        <f t="shared" si="12"/>
        <v>1</v>
      </c>
      <c r="J59">
        <f t="shared" si="5"/>
        <v>0</v>
      </c>
      <c r="K59">
        <f t="shared" si="10"/>
        <v>0.12341275025046383</v>
      </c>
      <c r="L59">
        <f t="shared" si="6"/>
        <v>0</v>
      </c>
      <c r="M59">
        <f t="shared" si="11"/>
        <v>0.66666666666666663</v>
      </c>
      <c r="N59">
        <f t="shared" si="8"/>
        <v>0</v>
      </c>
      <c r="O59">
        <f t="shared" si="9"/>
        <v>0.16666666666666666</v>
      </c>
      <c r="P59">
        <f>IFERROR(LN('Дивиденды по годам'!I59),"")</f>
        <v>26.091365763095649</v>
      </c>
      <c r="Q59">
        <f>IFERROR('Дивиденды по годам'!G59/'Дивиденды по годам'!I59, "")</f>
        <v>0.52255717982793592</v>
      </c>
      <c r="R59">
        <f>IFERROR(IF(AND('Дивиденды по годам'!N59&lt;&gt;"",'Дивиденды по годам'!U59&lt;&gt;"",'Дивиденды по годам'!U59&lt;&gt;0),'Дивиденды по годам'!N59/'Дивиденды по годам'!U59-1,""),"")</f>
        <v>2.0326367019753988E-3</v>
      </c>
      <c r="S59">
        <f>IFERROR(IF(AND('Дивиденды по годам'!L59&lt;&gt;"",'Дивиденды по годам'!I59&lt;&gt;"",'Дивиденды по годам'!J59&lt;&gt;"",'Дивиденды по годам'!K59&lt;&gt;"",('Дивиденды по годам'!I59-'Дивиденды по годам'!J59-'Дивиденды по годам'!K59)&lt;&gt;0),'Дивиденды по годам'!L59/('Дивиденды по годам'!I59-'Дивиденды по годам'!J59-'Дивиденды по годам'!K59),""),"")</f>
        <v>-0.28008167630900871</v>
      </c>
      <c r="T59">
        <f>IFERROR(IF(AND('Дивиденды по годам'!Q59&lt;&gt;"",'Дивиденды по годам'!I59&lt;&gt;"",'Дивиденды по годам'!V59&lt;&gt;"",('Дивиденды по годам'!I59+'Дивиденды по годам'!V59)&lt;&gt;0),'Дивиденды по годам'!Q59/(('Дивиденды по годам'!I59+'Дивиденды по годам'!V59)/2),""),"")</f>
        <v>6.2743248575237498E-2</v>
      </c>
      <c r="U59">
        <f>IFERROR(IF(AND('Дивиденды по годам'!J59&lt;&gt;"",'Дивиденды по годам'!K59&lt;&gt;"",'Дивиденды по годам'!M59&lt;&gt;"",'Дивиденды по годам'!M59&lt;&gt;0),('Дивиденды по годам'!J59+'Дивиденды по годам'!K59)/'Дивиденды по годам'!M59,""),"")</f>
        <v>2.4753755651708884</v>
      </c>
      <c r="V59" cm="1">
        <f t="array" ref="V59">IFERROR(AVERAGE(_xlfn._xlws.FILTER(P$2:P$1073,($C$2:$C$1073=$C59)*($E$2:$E$1073=$E59)*(ROW(P$2:P$1073)&lt;&gt;ROW(P59))*(P$2:P$1073&lt;&gt;""))),"")</f>
        <v>29.007932216571774</v>
      </c>
      <c r="W59" cm="1">
        <f t="array" ref="W59">IFERROR(AVERAGE(_xlfn._xlws.FILTER(Q$2:Q$1073,($C$2:$C$1073=$C59)*($E$2:$E$1073=$E59)*(ROW(Q$2:Q$1073)&lt;&gt;ROW(Q59))*(Q$2:Q$1073&lt;&gt;""))),"")</f>
        <v>0.53598863586074919</v>
      </c>
      <c r="X59" cm="1">
        <f t="array" ref="X59">IFERROR(AVERAGE(_xlfn._xlws.FILTER(R$2:R$1073,($C$2:$C$1073=$C59)*($E$2:$E$1073=$E59)*(ROW(R$2:R$1073)&lt;&gt;ROW(R59))*(R$2:R$1073&lt;&gt;""))),"")</f>
        <v>1.2861066351718974E-2</v>
      </c>
      <c r="Y59" cm="1">
        <f t="array" ref="Y59">IFERROR(AVERAGE(_xlfn._xlws.FILTER(S$2:S$1073,($C$2:$C$1073=$C59)*($E$2:$E$1073=$E59)*(ROW(S$2:S$1073)&lt;&gt;ROW(S59))*(S$2:S$1073&lt;&gt;""))),"")</f>
        <v>0.93019566692740552</v>
      </c>
      <c r="Z59" cm="1">
        <f t="array" ref="Z59">IFERROR(AVERAGE(_xlfn._xlws.FILTER(T$2:T$1073,($C$2:$C$1073=$C59)*($E$2:$E$1073=$E59)*(ROW(T$2:T$1073)&lt;&gt;ROW(T59))*(T$2:T$1073&lt;&gt;""))),"")</f>
        <v>0.10383357136741007</v>
      </c>
      <c r="AA59" cm="1">
        <f t="array" ref="AA59">IFERROR(AVERAGE(_xlfn._xlws.FILTER(U$2:U$1073,($C$2:$C$1073=$C59)*($E$2:$E$1073=$E59)*(ROW(U$2:U$1073)&lt;&gt;ROW(U59))*(U$2:U$1073&lt;&gt;""))),"")</f>
        <v>0.69005247030706984</v>
      </c>
    </row>
    <row r="60" spans="1:27" x14ac:dyDescent="0.2">
      <c r="A60" s="7" t="s">
        <v>2314</v>
      </c>
      <c r="B60" t="str">
        <f t="shared" si="0"/>
        <v>RNFT IV кв. 2015</v>
      </c>
      <c r="C60">
        <v>2015</v>
      </c>
      <c r="D60">
        <f>SUMIFS(Дивиденды!$C:$C,Дивиденды!$A:$A,A60,Дивиденды!$I:$I,C60)</f>
        <v>0</v>
      </c>
      <c r="E60">
        <v>1</v>
      </c>
      <c r="F60">
        <f t="shared" si="1"/>
        <v>0</v>
      </c>
      <c r="G60">
        <f t="shared" si="2"/>
        <v>36.949999999999996</v>
      </c>
      <c r="H60">
        <f t="shared" si="3"/>
        <v>0</v>
      </c>
      <c r="I60">
        <f t="shared" si="12"/>
        <v>1</v>
      </c>
      <c r="J60">
        <f t="shared" si="5"/>
        <v>0</v>
      </c>
      <c r="K60">
        <f t="shared" si="10"/>
        <v>0.1576731379334467</v>
      </c>
      <c r="L60">
        <f t="shared" si="6"/>
        <v>0</v>
      </c>
      <c r="M60">
        <f t="shared" si="11"/>
        <v>0.83333333333333337</v>
      </c>
      <c r="N60">
        <f t="shared" si="8"/>
        <v>0</v>
      </c>
      <c r="O60">
        <f t="shared" si="9"/>
        <v>0.16666666666666666</v>
      </c>
      <c r="P60">
        <f>IFERROR(LN('Дивиденды по годам'!I60),"")</f>
        <v>26.088596784143657</v>
      </c>
      <c r="Q60">
        <f>IFERROR('Дивиденды по годам'!G60/'Дивиденды по годам'!I60, "")</f>
        <v>0.49122331222938154</v>
      </c>
      <c r="R60" t="str">
        <f>IFERROR(IF(AND('Дивиденды по годам'!N60&lt;&gt;"",'Дивиденды по годам'!U60&lt;&gt;"",'Дивиденды по годам'!U60&lt;&gt;0),'Дивиденды по годам'!N60/'Дивиденды по годам'!U60-1,""),"")</f>
        <v/>
      </c>
      <c r="S60">
        <f>IFERROR(IF(AND('Дивиденды по годам'!L60&lt;&gt;"",'Дивиденды по годам'!I60&lt;&gt;"",'Дивиденды по годам'!J60&lt;&gt;"",'Дивиденды по годам'!K60&lt;&gt;"",('Дивиденды по годам'!I60-'Дивиденды по годам'!J60-'Дивиденды по годам'!K60)&lt;&gt;0),'Дивиденды по годам'!L60/('Дивиденды по годам'!I60-'Дивиденды по годам'!J60-'Дивиденды по годам'!K60),""),"")</f>
        <v>0.8395634499823259</v>
      </c>
      <c r="T60" t="str">
        <f>IFERROR(IF(AND('Дивиденды по годам'!Q60&lt;&gt;"",'Дивиденды по годам'!I60&lt;&gt;"",'Дивиденды по годам'!V60&lt;&gt;"",('Дивиденды по годам'!I60+'Дивиденды по годам'!V60)&lt;&gt;0),'Дивиденды по годам'!Q60/(('Дивиденды по годам'!I60+'Дивиденды по годам'!V60)/2),""),"")</f>
        <v/>
      </c>
      <c r="U60">
        <f>IFERROR(IF(AND('Дивиденды по годам'!J60&lt;&gt;"",'Дивиденды по годам'!K60&lt;&gt;"",'Дивиденды по годам'!M60&lt;&gt;"",'Дивиденды по годам'!M60&lt;&gt;0),('Дивиденды по годам'!J60+'Дивиденды по годам'!K60)/'Дивиденды по годам'!M60,""),"")</f>
        <v>-10.449540473665607</v>
      </c>
      <c r="V60" cm="1">
        <f t="array" ref="V60">IFERROR(AVERAGE(_xlfn._xlws.FILTER(P$2:P$1073,($C$2:$C$1073=$C60)*($E$2:$E$1073=$E60)*(ROW(P$2:P$1073)&lt;&gt;ROW(P60))*(P$2:P$1073&lt;&gt;""))),"")</f>
        <v>28.903610528933541</v>
      </c>
      <c r="W60" cm="1">
        <f t="array" ref="W60">IFERROR(AVERAGE(_xlfn._xlws.FILTER(Q$2:Q$1073,($C$2:$C$1073=$C60)*($E$2:$E$1073=$E60)*(ROW(Q$2:Q$1073)&lt;&gt;ROW(Q60))*(Q$2:Q$1073&lt;&gt;""))),"")</f>
        <v>0.60233677882875525</v>
      </c>
      <c r="X60" cm="1">
        <f t="array" ref="X60">IFERROR(AVERAGE(_xlfn._xlws.FILTER(R$2:R$1073,($C$2:$C$1073=$C60)*($E$2:$E$1073=$E60)*(ROW(R$2:R$1073)&lt;&gt;ROW(R60))*(R$2:R$1073&lt;&gt;""))),"")</f>
        <v>0.10809571778120923</v>
      </c>
      <c r="Y60" cm="1">
        <f t="array" ref="Y60">IFERROR(AVERAGE(_xlfn._xlws.FILTER(S$2:S$1073,($C$2:$C$1073=$C60)*($E$2:$E$1073=$E60)*(ROW(S$2:S$1073)&lt;&gt;ROW(S60))*(S$2:S$1073&lt;&gt;""))),"")</f>
        <v>0.95349544313323054</v>
      </c>
      <c r="Z60" cm="1">
        <f t="array" ref="Z60">IFERROR(AVERAGE(_xlfn._xlws.FILTER(T$2:T$1073,($C$2:$C$1073=$C60)*($E$2:$E$1073=$E60)*(ROW(T$2:T$1073)&lt;&gt;ROW(T60))*(T$2:T$1073&lt;&gt;""))),"")</f>
        <v>7.6659418272165311E-2</v>
      </c>
      <c r="AA60" cm="1">
        <f t="array" ref="AA60">IFERROR(AVERAGE(_xlfn._xlws.FILTER(U$2:U$1073,($C$2:$C$1073=$C60)*($E$2:$E$1073=$E60)*(ROW(U$2:U$1073)&lt;&gt;ROW(U60))*(U$2:U$1073&lt;&gt;""))),"")</f>
        <v>0.93526359323054409</v>
      </c>
    </row>
    <row r="61" spans="1:27" x14ac:dyDescent="0.2">
      <c r="A61" s="7" t="s">
        <v>2314</v>
      </c>
      <c r="B61" t="str">
        <f t="shared" si="0"/>
        <v>RNFT IV кв. 2014</v>
      </c>
      <c r="C61">
        <v>2014</v>
      </c>
      <c r="D61">
        <f>SUMIFS(Дивиденды!$C:$C,Дивиденды!$A:$A,A61,Дивиденды!$I:$I,C61)</f>
        <v>0</v>
      </c>
      <c r="E61">
        <v>1</v>
      </c>
      <c r="F61">
        <f t="shared" si="1"/>
        <v>0</v>
      </c>
      <c r="G61">
        <f t="shared" si="2"/>
        <v>31.823333333333338</v>
      </c>
      <c r="H61">
        <f t="shared" si="3"/>
        <v>0</v>
      </c>
      <c r="I61">
        <f t="shared" si="12"/>
        <v>1</v>
      </c>
      <c r="J61">
        <f t="shared" si="5"/>
        <v>0</v>
      </c>
      <c r="K61">
        <f t="shared" si="10"/>
        <v>0.11887241342288564</v>
      </c>
      <c r="L61">
        <f t="shared" si="6"/>
        <v>0</v>
      </c>
      <c r="M61">
        <f t="shared" si="11"/>
        <v>0.66666666666666663</v>
      </c>
      <c r="N61">
        <f t="shared" si="8"/>
        <v>0</v>
      </c>
      <c r="O61">
        <f t="shared" si="9"/>
        <v>0.16666666666666666</v>
      </c>
      <c r="P61" t="str">
        <f>IFERROR(LN('Дивиденды по годам'!I61),"")</f>
        <v/>
      </c>
      <c r="Q61" t="str">
        <f>IFERROR('Дивиденды по годам'!G61/'Дивиденды по годам'!I61, "")</f>
        <v/>
      </c>
      <c r="R61" t="str">
        <f>IFERROR(IF(AND('Дивиденды по годам'!N61&lt;&gt;"",'Дивиденды по годам'!U61&lt;&gt;"",'Дивиденды по годам'!U61&lt;&gt;0),'Дивиденды по годам'!N61/'Дивиденды по годам'!U61-1,""),"")</f>
        <v/>
      </c>
      <c r="S61" t="str">
        <f>IFERROR(IF(AND('Дивиденды по годам'!L61&lt;&gt;"",'Дивиденды по годам'!I61&lt;&gt;"",'Дивиденды по годам'!J61&lt;&gt;"",'Дивиденды по годам'!K61&lt;&gt;"",('Дивиденды по годам'!I61-'Дивиденды по годам'!J61-'Дивиденды по годам'!K61)&lt;&gt;0),'Дивиденды по годам'!L61/('Дивиденды по годам'!I61-'Дивиденды по годам'!J61-'Дивиденды по годам'!K61),""),"")</f>
        <v/>
      </c>
      <c r="T61" t="str">
        <f>IFERROR(IF(AND('Дивиденды по годам'!Q61&lt;&gt;"",'Дивиденды по годам'!I61&lt;&gt;"",'Дивиденды по годам'!V61&lt;&gt;"",('Дивиденды по годам'!I61+'Дивиденды по годам'!V61)&lt;&gt;0),'Дивиденды по годам'!Q61/(('Дивиденды по годам'!I61+'Дивиденды по годам'!V61)/2),""),"")</f>
        <v/>
      </c>
      <c r="U61" t="str">
        <f>IFERROR(IF(AND('Дивиденды по годам'!J61&lt;&gt;"",'Дивиденды по годам'!K61&lt;&gt;"",'Дивиденды по годам'!M61&lt;&gt;"",'Дивиденды по годам'!M61&lt;&gt;0),('Дивиденды по годам'!J61+'Дивиденды по годам'!K61)/'Дивиденды по годам'!M61,""),"")</f>
        <v/>
      </c>
      <c r="V61" cm="1">
        <f t="array" ref="V61">IFERROR(AVERAGE(_xlfn._xlws.FILTER(P$2:P$1073,($C$2:$C$1073=$C61)*($E$2:$E$1073=$E61)*(ROW(P$2:P$1073)&lt;&gt;ROW(P61))*(P$2:P$1073&lt;&gt;""))),"")</f>
        <v>28.768029773638499</v>
      </c>
      <c r="W61" cm="1">
        <f t="array" ref="W61">IFERROR(AVERAGE(_xlfn._xlws.FILTER(Q$2:Q$1073,($C$2:$C$1073=$C61)*($E$2:$E$1073=$E61)*(ROW(Q$2:Q$1073)&lt;&gt;ROW(Q61))*(Q$2:Q$1073&lt;&gt;""))),"")</f>
        <v>0.62853220057423198</v>
      </c>
      <c r="X61" cm="1">
        <f t="array" ref="X61">IFERROR(AVERAGE(_xlfn._xlws.FILTER(R$2:R$1073,($C$2:$C$1073=$C61)*($E$2:$E$1073=$E61)*(ROW(R$2:R$1073)&lt;&gt;ROW(R61))*(R$2:R$1073&lt;&gt;""))),"")</f>
        <v>0.14467781010492406</v>
      </c>
      <c r="Y61" cm="1">
        <f t="array" ref="Y61">IFERROR(AVERAGE(_xlfn._xlws.FILTER(S$2:S$1073,($C$2:$C$1073=$C61)*($E$2:$E$1073=$E61)*(ROW(S$2:S$1073)&lt;&gt;ROW(S61))*(S$2:S$1073&lt;&gt;""))),"")</f>
        <v>0.93609647675020025</v>
      </c>
      <c r="Z61" cm="1">
        <f t="array" ref="Z61">IFERROR(AVERAGE(_xlfn._xlws.FILTER(T$2:T$1073,($C$2:$C$1073=$C61)*($E$2:$E$1073=$E61)*(ROW(T$2:T$1073)&lt;&gt;ROW(T61))*(T$2:T$1073&lt;&gt;""))),"")</f>
        <v>5.9297671460212809E-2</v>
      </c>
      <c r="AA61" cm="1">
        <f t="array" ref="AA61">IFERROR(AVERAGE(_xlfn._xlws.FILTER(U$2:U$1073,($C$2:$C$1073=$C61)*($E$2:$E$1073=$E61)*(ROW(U$2:U$1073)&lt;&gt;ROW(U61))*(U$2:U$1073&lt;&gt;""))),"")</f>
        <v>0.79421863738134113</v>
      </c>
    </row>
    <row r="62" spans="1:27" x14ac:dyDescent="0.2">
      <c r="A62" s="7" t="s">
        <v>2314</v>
      </c>
      <c r="B62" t="str">
        <f t="shared" si="0"/>
        <v>RNFT IV кв. 2013</v>
      </c>
      <c r="C62">
        <v>2013</v>
      </c>
      <c r="D62">
        <f>SUMIFS(Дивиденды!$C:$C,Дивиденды!$A:$A,A62,Дивиденды!$I:$I,C62)</f>
        <v>0</v>
      </c>
      <c r="E62">
        <v>1</v>
      </c>
      <c r="F62">
        <f t="shared" si="1"/>
        <v>0</v>
      </c>
      <c r="G62">
        <f t="shared" si="2"/>
        <v>24.461666666666662</v>
      </c>
      <c r="H62">
        <f t="shared" si="3"/>
        <v>0</v>
      </c>
      <c r="I62">
        <f t="shared" si="12"/>
        <v>1</v>
      </c>
      <c r="J62">
        <f t="shared" si="5"/>
        <v>0</v>
      </c>
      <c r="K62">
        <f t="shared" si="10"/>
        <v>0.22127022830444174</v>
      </c>
      <c r="L62">
        <f t="shared" si="6"/>
        <v>0</v>
      </c>
      <c r="M62">
        <f t="shared" si="11"/>
        <v>0.83333333333333337</v>
      </c>
      <c r="N62">
        <f t="shared" si="8"/>
        <v>0</v>
      </c>
      <c r="O62">
        <f t="shared" si="9"/>
        <v>0.16666666666666666</v>
      </c>
      <c r="P62" t="str">
        <f>IFERROR(LN('Дивиденды по годам'!I62),"")</f>
        <v/>
      </c>
      <c r="Q62" t="str">
        <f>IFERROR('Дивиденды по годам'!G62/'Дивиденды по годам'!I62, "")</f>
        <v/>
      </c>
      <c r="R62" t="str">
        <f>IFERROR(IF(AND('Дивиденды по годам'!N62&lt;&gt;"",'Дивиденды по годам'!U62&lt;&gt;"",'Дивиденды по годам'!U62&lt;&gt;0),'Дивиденды по годам'!N62/'Дивиденды по годам'!U62-1,""),"")</f>
        <v/>
      </c>
      <c r="S62" t="str">
        <f>IFERROR(IF(AND('Дивиденды по годам'!L62&lt;&gt;"",'Дивиденды по годам'!I62&lt;&gt;"",'Дивиденды по годам'!J62&lt;&gt;"",'Дивиденды по годам'!K62&lt;&gt;"",('Дивиденды по годам'!I62-'Дивиденды по годам'!J62-'Дивиденды по годам'!K62)&lt;&gt;0),'Дивиденды по годам'!L62/('Дивиденды по годам'!I62-'Дивиденды по годам'!J62-'Дивиденды по годам'!K62),""),"")</f>
        <v/>
      </c>
      <c r="T62" t="str">
        <f>IFERROR(IF(AND('Дивиденды по годам'!Q62&lt;&gt;"",'Дивиденды по годам'!I62&lt;&gt;"",'Дивиденды по годам'!V62&lt;&gt;"",('Дивиденды по годам'!I62+'Дивиденды по годам'!V62)&lt;&gt;0),'Дивиденды по годам'!Q62/(('Дивиденды по годам'!I62+'Дивиденды по годам'!V62)/2),""),"")</f>
        <v/>
      </c>
      <c r="U62" t="str">
        <f>IFERROR(IF(AND('Дивиденды по годам'!J62&lt;&gt;"",'Дивиденды по годам'!K62&lt;&gt;"",'Дивиденды по годам'!M62&lt;&gt;"",'Дивиденды по годам'!M62&lt;&gt;0),('Дивиденды по годам'!J62+'Дивиденды по годам'!K62)/'Дивиденды по годам'!M62,""),"")</f>
        <v/>
      </c>
      <c r="V62" cm="1">
        <f t="array" ref="V62">IFERROR(AVERAGE(_xlfn._xlws.FILTER(P$2:P$1073,($C$2:$C$1073=$C62)*($E$2:$E$1073=$E62)*(ROW(P$2:P$1073)&lt;&gt;ROW(P62))*(P$2:P$1073&lt;&gt;""))),"")</f>
        <v>28.622706288201101</v>
      </c>
      <c r="W62" cm="1">
        <f t="array" ref="W62">IFERROR(AVERAGE(_xlfn._xlws.FILTER(Q$2:Q$1073,($C$2:$C$1073=$C62)*($E$2:$E$1073=$E62)*(ROW(Q$2:Q$1073)&lt;&gt;ROW(Q62))*(Q$2:Q$1073&lt;&gt;""))),"")</f>
        <v>0.64236399607477235</v>
      </c>
      <c r="X62" cm="1">
        <f t="array" ref="X62">IFERROR(AVERAGE(_xlfn._xlws.FILTER(R$2:R$1073,($C$2:$C$1073=$C62)*($E$2:$E$1073=$E62)*(ROW(R$2:R$1073)&lt;&gt;ROW(R62))*(R$2:R$1073&lt;&gt;""))),"")</f>
        <v>0.22145784870176244</v>
      </c>
      <c r="Y62" cm="1">
        <f t="array" ref="Y62">IFERROR(AVERAGE(_xlfn._xlws.FILTER(S$2:S$1073,($C$2:$C$1073=$C62)*($E$2:$E$1073=$E62)*(ROW(S$2:S$1073)&lt;&gt;ROW(S62))*(S$2:S$1073&lt;&gt;""))),"")</f>
        <v>0.89631518143572286</v>
      </c>
      <c r="Z62" cm="1">
        <f t="array" ref="Z62">IFERROR(AVERAGE(_xlfn._xlws.FILTER(T$2:T$1073,($C$2:$C$1073=$C62)*($E$2:$E$1073=$E62)*(ROW(T$2:T$1073)&lt;&gt;ROW(T62))*(T$2:T$1073&lt;&gt;""))),"")</f>
        <v>0.11790230641943103</v>
      </c>
      <c r="AA62" cm="1">
        <f t="array" ref="AA62">IFERROR(AVERAGE(_xlfn._xlws.FILTER(U$2:U$1073,($C$2:$C$1073=$C62)*($E$2:$E$1073=$E62)*(ROW(U$2:U$1073)&lt;&gt;ROW(U62))*(U$2:U$1073&lt;&gt;""))),"")</f>
        <v>0.6209255292208824</v>
      </c>
    </row>
    <row r="63" spans="1:27" x14ac:dyDescent="0.2">
      <c r="A63" s="7" t="s">
        <v>2314</v>
      </c>
      <c r="B63" t="str">
        <f t="shared" si="0"/>
        <v>RNFT IV кв. 2012</v>
      </c>
      <c r="C63">
        <v>2012</v>
      </c>
      <c r="D63">
        <f>SUMIFS(Дивиденды!$C:$C,Дивиденды!$A:$A,A63,Дивиденды!$I:$I,C63)</f>
        <v>0</v>
      </c>
      <c r="E63">
        <v>1</v>
      </c>
      <c r="F63">
        <f t="shared" si="1"/>
        <v>0</v>
      </c>
      <c r="G63">
        <f t="shared" si="2"/>
        <v>19.999999999999996</v>
      </c>
      <c r="H63">
        <f t="shared" si="3"/>
        <v>0</v>
      </c>
      <c r="I63">
        <f t="shared" si="12"/>
        <v>1</v>
      </c>
      <c r="J63">
        <f t="shared" si="5"/>
        <v>0</v>
      </c>
      <c r="K63">
        <f t="shared" si="10"/>
        <v>2.1365755164253125E-2</v>
      </c>
      <c r="L63">
        <f t="shared" si="6"/>
        <v>0</v>
      </c>
      <c r="M63">
        <f t="shared" si="11"/>
        <v>0.66666666666666663</v>
      </c>
      <c r="N63">
        <f t="shared" si="8"/>
        <v>0</v>
      </c>
      <c r="O63">
        <f t="shared" si="9"/>
        <v>0.33333333333333331</v>
      </c>
      <c r="P63" t="str">
        <f>IFERROR(LN('Дивиденды по годам'!I63),"")</f>
        <v/>
      </c>
      <c r="Q63" t="str">
        <f>IFERROR('Дивиденды по годам'!G63/'Дивиденды по годам'!I63, "")</f>
        <v/>
      </c>
      <c r="R63" t="str">
        <f>IFERROR(IF(AND('Дивиденды по годам'!N63&lt;&gt;"",'Дивиденды по годам'!U63&lt;&gt;"",'Дивиденды по годам'!U63&lt;&gt;0),'Дивиденды по годам'!N63/'Дивиденды по годам'!U63-1,""),"")</f>
        <v/>
      </c>
      <c r="S63" t="str">
        <f>IFERROR(IF(AND('Дивиденды по годам'!L63&lt;&gt;"",'Дивиденды по годам'!I63&lt;&gt;"",'Дивиденды по годам'!J63&lt;&gt;"",'Дивиденды по годам'!K63&lt;&gt;"",('Дивиденды по годам'!I63-'Дивиденды по годам'!J63-'Дивиденды по годам'!K63)&lt;&gt;0),'Дивиденды по годам'!L63/('Дивиденды по годам'!I63-'Дивиденды по годам'!J63-'Дивиденды по годам'!K63),""),"")</f>
        <v/>
      </c>
      <c r="T63" t="str">
        <f>IFERROR(IF(AND('Дивиденды по годам'!Q63&lt;&gt;"",'Дивиденды по годам'!I63&lt;&gt;"",'Дивиденды по годам'!V63&lt;&gt;"",('Дивиденды по годам'!I63+'Дивиденды по годам'!V63)&lt;&gt;0),'Дивиденды по годам'!Q63/(('Дивиденды по годам'!I63+'Дивиденды по годам'!V63)/2),""),"")</f>
        <v/>
      </c>
      <c r="U63" t="str">
        <f>IFERROR(IF(AND('Дивиденды по годам'!J63&lt;&gt;"",'Дивиденды по годам'!K63&lt;&gt;"",'Дивиденды по годам'!M63&lt;&gt;"",'Дивиденды по годам'!M63&lt;&gt;0),('Дивиденды по годам'!J63+'Дивиденды по годам'!K63)/'Дивиденды по годам'!M63,""),"")</f>
        <v/>
      </c>
      <c r="V63" cm="1">
        <f t="array" ref="V63">IFERROR(AVERAGE(_xlfn._xlws.FILTER(P$2:P$1073,($C$2:$C$1073=$C63)*($E$2:$E$1073=$E63)*(ROW(P$2:P$1073)&lt;&gt;ROW(P63))*(P$2:P$1073&lt;&gt;""))),"")</f>
        <v>28.377599288247005</v>
      </c>
      <c r="W63" cm="1">
        <f t="array" ref="W63">IFERROR(AVERAGE(_xlfn._xlws.FILTER(Q$2:Q$1073,($C$2:$C$1073=$C63)*($E$2:$E$1073=$E63)*(ROW(Q$2:Q$1073)&lt;&gt;ROW(Q63))*(Q$2:Q$1073&lt;&gt;""))),"")</f>
        <v>0.61992711684076307</v>
      </c>
      <c r="X63" cm="1">
        <f t="array" ref="X63">IFERROR(AVERAGE(_xlfn._xlws.FILTER(R$2:R$1073,($C$2:$C$1073=$C63)*($E$2:$E$1073=$E63)*(ROW(R$2:R$1073)&lt;&gt;ROW(R63))*(R$2:R$1073&lt;&gt;""))),"")</f>
        <v>3.7220281362886264E-2</v>
      </c>
      <c r="Y63" cm="1">
        <f t="array" ref="Y63">IFERROR(AVERAGE(_xlfn._xlws.FILTER(S$2:S$1073,($C$2:$C$1073=$C63)*($E$2:$E$1073=$E63)*(ROW(S$2:S$1073)&lt;&gt;ROW(S63))*(S$2:S$1073&lt;&gt;""))),"")</f>
        <v>0.90617229044951875</v>
      </c>
      <c r="Z63" cm="1">
        <f t="array" ref="Z63">IFERROR(AVERAGE(_xlfn._xlws.FILTER(T$2:T$1073,($C$2:$C$1073=$C63)*($E$2:$E$1073=$E63)*(ROW(T$2:T$1073)&lt;&gt;ROW(T63))*(T$2:T$1073&lt;&gt;""))),"")</f>
        <v>0.12132203753458233</v>
      </c>
      <c r="AA63" cm="1">
        <f t="array" ref="AA63">IFERROR(AVERAGE(_xlfn._xlws.FILTER(U$2:U$1073,($C$2:$C$1073=$C63)*($E$2:$E$1073=$E63)*(ROW(U$2:U$1073)&lt;&gt;ROW(U63))*(U$2:U$1073&lt;&gt;""))),"")</f>
        <v>0.48530122005899462</v>
      </c>
    </row>
    <row r="64" spans="1:27" x14ac:dyDescent="0.2">
      <c r="A64" s="7" t="s">
        <v>2314</v>
      </c>
      <c r="B64" t="str">
        <f t="shared" si="0"/>
        <v>RNFT IV кв. 2011</v>
      </c>
      <c r="C64">
        <v>2011</v>
      </c>
      <c r="D64">
        <f>SUMIFS(Дивиденды!$C:$C,Дивиденды!$A:$A,A64,Дивиденды!$I:$I,C64)</f>
        <v>0</v>
      </c>
      <c r="E64">
        <v>1</v>
      </c>
      <c r="F64">
        <f t="shared" si="1"/>
        <v>0</v>
      </c>
      <c r="G64">
        <f t="shared" si="2"/>
        <v>17.529999999999998</v>
      </c>
      <c r="H64">
        <f t="shared" si="3"/>
        <v>0</v>
      </c>
      <c r="I64">
        <f t="shared" si="12"/>
        <v>1</v>
      </c>
      <c r="J64">
        <f t="shared" si="5"/>
        <v>0</v>
      </c>
      <c r="K64">
        <f t="shared" si="10"/>
        <v>0.73994600097506102</v>
      </c>
      <c r="L64">
        <f t="shared" si="6"/>
        <v>0</v>
      </c>
      <c r="M64">
        <f t="shared" si="11"/>
        <v>1</v>
      </c>
      <c r="N64">
        <f t="shared" si="8"/>
        <v>0</v>
      </c>
      <c r="O64">
        <f t="shared" si="9"/>
        <v>0</v>
      </c>
      <c r="P64" t="str">
        <f>IFERROR(LN('Дивиденды по годам'!I64),"")</f>
        <v/>
      </c>
      <c r="Q64" t="str">
        <f>IFERROR('Дивиденды по годам'!G64/'Дивиденды по годам'!I64, "")</f>
        <v/>
      </c>
      <c r="R64" t="str">
        <f>IFERROR(IF(AND('Дивиденды по годам'!N64&lt;&gt;"",'Дивиденды по годам'!U64&lt;&gt;"",'Дивиденды по годам'!U64&lt;&gt;0),'Дивиденды по годам'!N64/'Дивиденды по годам'!U64-1,""),"")</f>
        <v/>
      </c>
      <c r="S64" t="str">
        <f>IFERROR(IF(AND('Дивиденды по годам'!L64&lt;&gt;"",'Дивиденды по годам'!I64&lt;&gt;"",'Дивиденды по годам'!J64&lt;&gt;"",'Дивиденды по годам'!K64&lt;&gt;"",('Дивиденды по годам'!I64-'Дивиденды по годам'!J64-'Дивиденды по годам'!K64)&lt;&gt;0),'Дивиденды по годам'!L64/('Дивиденды по годам'!I64-'Дивиденды по годам'!J64-'Дивиденды по годам'!K64),""),"")</f>
        <v/>
      </c>
      <c r="T64" t="str">
        <f>IFERROR(IF(AND('Дивиденды по годам'!Q64&lt;&gt;"",'Дивиденды по годам'!I64&lt;&gt;"",'Дивиденды по годам'!V64&lt;&gt;"",('Дивиденды по годам'!I64+'Дивиденды по годам'!V64)&lt;&gt;0),'Дивиденды по годам'!Q64/(('Дивиденды по годам'!I64+'Дивиденды по годам'!V64)/2),""),"")</f>
        <v/>
      </c>
      <c r="U64" t="str">
        <f>IFERROR(IF(AND('Дивиденды по годам'!J64&lt;&gt;"",'Дивиденды по годам'!K64&lt;&gt;"",'Дивиденды по годам'!M64&lt;&gt;"",'Дивиденды по годам'!M64&lt;&gt;0),('Дивиденды по годам'!J64+'Дивиденды по годам'!K64)/'Дивиденды по годам'!M64,""),"")</f>
        <v/>
      </c>
      <c r="V64" cm="1">
        <f t="array" ref="V64">IFERROR(AVERAGE(_xlfn._xlws.FILTER(P$2:P$1073,($C$2:$C$1073=$C64)*($E$2:$E$1073=$E64)*(ROW(P$2:P$1073)&lt;&gt;ROW(P64))*(P$2:P$1073&lt;&gt;""))),"")</f>
        <v>28.264623869977424</v>
      </c>
      <c r="W64" cm="1">
        <f t="array" ref="W64">IFERROR(AVERAGE(_xlfn._xlws.FILTER(Q$2:Q$1073,($C$2:$C$1073=$C64)*($E$2:$E$1073=$E64)*(ROW(Q$2:Q$1073)&lt;&gt;ROW(Q64))*(Q$2:Q$1073&lt;&gt;""))),"")</f>
        <v>0.60420217997005043</v>
      </c>
      <c r="X64" cm="1">
        <f t="array" ref="X64">IFERROR(AVERAGE(_xlfn._xlws.FILTER(R$2:R$1073,($C$2:$C$1073=$C64)*($E$2:$E$1073=$E64)*(ROW(R$2:R$1073)&lt;&gt;ROW(R64))*(R$2:R$1073&lt;&gt;""))),"")</f>
        <v>0.35064844247682309</v>
      </c>
      <c r="Y64" cm="1">
        <f t="array" ref="Y64">IFERROR(AVERAGE(_xlfn._xlws.FILTER(S$2:S$1073,($C$2:$C$1073=$C64)*($E$2:$E$1073=$E64)*(ROW(S$2:S$1073)&lt;&gt;ROW(S64))*(S$2:S$1073&lt;&gt;""))),"")</f>
        <v>0.88249065929606674</v>
      </c>
      <c r="Z64" cm="1">
        <f t="array" ref="Z64">IFERROR(AVERAGE(_xlfn._xlws.FILTER(T$2:T$1073,($C$2:$C$1073=$C64)*($E$2:$E$1073=$E64)*(ROW(T$2:T$1073)&lt;&gt;ROW(T64))*(T$2:T$1073&lt;&gt;""))),"")</f>
        <v>0.16149330595864375</v>
      </c>
      <c r="AA64" cm="1">
        <f t="array" ref="AA64">IFERROR(AVERAGE(_xlfn._xlws.FILTER(U$2:U$1073,($C$2:$C$1073=$C64)*($E$2:$E$1073=$E64)*(ROW(U$2:U$1073)&lt;&gt;ROW(U64))*(U$2:U$1073&lt;&gt;""))),"")</f>
        <v>0.50624263499677247</v>
      </c>
    </row>
    <row r="65" spans="1:27" x14ac:dyDescent="0.2">
      <c r="A65" s="7" t="s">
        <v>2314</v>
      </c>
      <c r="B65" t="str">
        <f t="shared" si="0"/>
        <v>RNFT IV кв. 2010</v>
      </c>
      <c r="C65">
        <v>2010</v>
      </c>
      <c r="D65">
        <f>SUMIFS(Дивиденды!$C:$C,Дивиденды!$A:$A,A65,Дивиденды!$I:$I,C65)</f>
        <v>0</v>
      </c>
      <c r="E65">
        <v>1</v>
      </c>
      <c r="F65">
        <f t="shared" si="1"/>
        <v>0</v>
      </c>
      <c r="G65">
        <f t="shared" si="2"/>
        <v>12.521666666666667</v>
      </c>
      <c r="H65">
        <f t="shared" si="3"/>
        <v>0</v>
      </c>
      <c r="I65">
        <f t="shared" si="12"/>
        <v>1</v>
      </c>
      <c r="J65" t="str">
        <f t="shared" si="5"/>
        <v/>
      </c>
      <c r="K65" t="str">
        <f t="shared" si="10"/>
        <v/>
      </c>
      <c r="L65" t="str">
        <f t="shared" si="6"/>
        <v/>
      </c>
      <c r="M65" t="str">
        <f t="shared" si="11"/>
        <v/>
      </c>
      <c r="N65" t="str">
        <f t="shared" si="8"/>
        <v/>
      </c>
      <c r="O65" t="str">
        <f t="shared" si="9"/>
        <v/>
      </c>
      <c r="P65" t="str">
        <f>IFERROR(LN('Дивиденды по годам'!I65),"")</f>
        <v/>
      </c>
      <c r="Q65" t="str">
        <f>IFERROR('Дивиденды по годам'!G65/'Дивиденды по годам'!I65, "")</f>
        <v/>
      </c>
      <c r="R65" t="str">
        <f>IFERROR(IF(AND('Дивиденды по годам'!N65&lt;&gt;"",'Дивиденды по годам'!U65&lt;&gt;"",'Дивиденды по годам'!U65&lt;&gt;0),'Дивиденды по годам'!N65/'Дивиденды по годам'!U65-1,""),"")</f>
        <v/>
      </c>
      <c r="S65" t="str">
        <f>IFERROR(IF(AND('Дивиденды по годам'!L65&lt;&gt;"",'Дивиденды по годам'!I65&lt;&gt;"",'Дивиденды по годам'!J65&lt;&gt;"",'Дивиденды по годам'!K65&lt;&gt;"",('Дивиденды по годам'!I65-'Дивиденды по годам'!J65-'Дивиденды по годам'!K65)&lt;&gt;0),'Дивиденды по годам'!L65/('Дивиденды по годам'!I65-'Дивиденды по годам'!J65-'Дивиденды по годам'!K65),""),"")</f>
        <v/>
      </c>
      <c r="T65" t="str">
        <f>IFERROR(IF(AND('Дивиденды по годам'!Q65&lt;&gt;"",'Дивиденды по годам'!I65&lt;&gt;"",'Дивиденды по годам'!V65&lt;&gt;"",('Дивиденды по годам'!I65+'Дивиденды по годам'!V65)&lt;&gt;0),'Дивиденды по годам'!Q65/(('Дивиденды по годам'!I65+'Дивиденды по годам'!V65)/2),""),"")</f>
        <v/>
      </c>
      <c r="U65" t="str">
        <f>IFERROR(IF(AND('Дивиденды по годам'!J65&lt;&gt;"",'Дивиденды по годам'!K65&lt;&gt;"",'Дивиденды по годам'!M65&lt;&gt;"",'Дивиденды по годам'!M65&lt;&gt;0),('Дивиденды по годам'!J65+'Дивиденды по годам'!K65)/'Дивиденды по годам'!M65,""),"")</f>
        <v/>
      </c>
      <c r="V65" cm="1">
        <f t="array" ref="V65">IFERROR(AVERAGE(_xlfn._xlws.FILTER(P$2:P$1073,($C$2:$C$1073=$C65)*($E$2:$E$1073=$E65)*(ROW(P$2:P$1073)&lt;&gt;ROW(P65))*(P$2:P$1073&lt;&gt;""))),"")</f>
        <v>28.26609277365635</v>
      </c>
      <c r="W65" cm="1">
        <f t="array" ref="W65">IFERROR(AVERAGE(_xlfn._xlws.FILTER(Q$2:Q$1073,($C$2:$C$1073=$C65)*($E$2:$E$1073=$E65)*(ROW(Q$2:Q$1073)&lt;&gt;ROW(Q65))*(Q$2:Q$1073&lt;&gt;""))),"")</f>
        <v>0.63165964928088458</v>
      </c>
      <c r="X65" cm="1">
        <f t="array" ref="X65">IFERROR(AVERAGE(_xlfn._xlws.FILTER(R$2:R$1073,($C$2:$C$1073=$C65)*($E$2:$E$1073=$E65)*(ROW(R$2:R$1073)&lt;&gt;ROW(R65))*(R$2:R$1073&lt;&gt;""))),"")</f>
        <v>0.23861324477859247</v>
      </c>
      <c r="Y65" cm="1">
        <f t="array" ref="Y65">IFERROR(AVERAGE(_xlfn._xlws.FILTER(S$2:S$1073,($C$2:$C$1073=$C65)*($E$2:$E$1073=$E65)*(ROW(S$2:S$1073)&lt;&gt;ROW(S65))*(S$2:S$1073&lt;&gt;""))),"")</f>
        <v>0.85870775810089295</v>
      </c>
      <c r="Z65" cm="1">
        <f t="array" ref="Z65">IFERROR(AVERAGE(_xlfn._xlws.FILTER(T$2:T$1073,($C$2:$C$1073=$C65)*($E$2:$E$1073=$E65)*(ROW(T$2:T$1073)&lt;&gt;ROW(T65))*(T$2:T$1073&lt;&gt;""))),"")</f>
        <v>0.10947396081496689</v>
      </c>
      <c r="AA65" cm="1">
        <f t="array" ref="AA65">IFERROR(AVERAGE(_xlfn._xlws.FILTER(U$2:U$1073,($C$2:$C$1073=$C65)*($E$2:$E$1073=$E65)*(ROW(U$2:U$1073)&lt;&gt;ROW(U65))*(U$2:U$1073&lt;&gt;""))),"")</f>
        <v>0.50738882547166109</v>
      </c>
    </row>
    <row r="66" spans="1:27" x14ac:dyDescent="0.2">
      <c r="A66" s="7" t="s">
        <v>2184</v>
      </c>
      <c r="B66" t="str">
        <f t="shared" si="0"/>
        <v>ROSN IV кв. 2025</v>
      </c>
      <c r="C66">
        <v>2025</v>
      </c>
      <c r="D66">
        <f>SUMIFS(Дивиденды!$C:$C,Дивиденды!$A:$A,A66,Дивиденды!$I:$I,C66)</f>
        <v>11.56</v>
      </c>
      <c r="E66">
        <v>1</v>
      </c>
      <c r="F66">
        <f t="shared" si="1"/>
        <v>11.56</v>
      </c>
      <c r="G66">
        <f t="shared" si="2"/>
        <v>75.83</v>
      </c>
      <c r="H66">
        <f t="shared" si="3"/>
        <v>1</v>
      </c>
      <c r="I66">
        <f t="shared" si="12"/>
        <v>0.5</v>
      </c>
      <c r="J66">
        <f t="shared" si="5"/>
        <v>-0.77399804496578684</v>
      </c>
      <c r="K66">
        <f t="shared" si="10"/>
        <v>-0.49396657581716513</v>
      </c>
      <c r="L66">
        <f t="shared" si="6"/>
        <v>0</v>
      </c>
      <c r="M66">
        <f t="shared" si="11"/>
        <v>0</v>
      </c>
      <c r="N66">
        <f t="shared" si="8"/>
        <v>1</v>
      </c>
      <c r="O66">
        <f t="shared" si="9"/>
        <v>0.66666666666666663</v>
      </c>
      <c r="P66" t="str">
        <f>IFERROR(LN('Дивиденды по годам'!I66),"")</f>
        <v/>
      </c>
      <c r="Q66" t="str">
        <f>IFERROR('Дивиденды по годам'!G66/'Дивиденды по годам'!I66, "")</f>
        <v/>
      </c>
      <c r="R66" t="str">
        <f>IFERROR(IF(AND('Дивиденды по годам'!N66&lt;&gt;"",'Дивиденды по годам'!U66&lt;&gt;"",'Дивиденды по годам'!U66&lt;&gt;0),'Дивиденды по годам'!N66/'Дивиденды по годам'!U66-1,""),"")</f>
        <v/>
      </c>
      <c r="S66" t="str">
        <f>IFERROR(IF(AND('Дивиденды по годам'!L66&lt;&gt;"",'Дивиденды по годам'!I66&lt;&gt;"",'Дивиденды по годам'!J66&lt;&gt;"",'Дивиденды по годам'!K66&lt;&gt;"",('Дивиденды по годам'!I66-'Дивиденды по годам'!J66-'Дивиденды по годам'!K66)&lt;&gt;0),'Дивиденды по годам'!L66/('Дивиденды по годам'!I66-'Дивиденды по годам'!J66-'Дивиденды по годам'!K66),""),"")</f>
        <v/>
      </c>
      <c r="T66" t="str">
        <f>IFERROR(IF(AND('Дивиденды по годам'!Q66&lt;&gt;"",'Дивиденды по годам'!I66&lt;&gt;"",'Дивиденды по годам'!V66&lt;&gt;"",('Дивиденды по годам'!I66+'Дивиденды по годам'!V66)&lt;&gt;0),'Дивиденды по годам'!Q66/(('Дивиденды по годам'!I66+'Дивиденды по годам'!V66)/2),""),"")</f>
        <v/>
      </c>
      <c r="U66" t="str">
        <f>IFERROR(IF(AND('Дивиденды по годам'!J66&lt;&gt;"",'Дивиденды по годам'!K66&lt;&gt;"",'Дивиденды по годам'!M66&lt;&gt;"",'Дивиденды по годам'!M66&lt;&gt;0),('Дивиденды по годам'!J66+'Дивиденды по годам'!K66)/'Дивиденды по годам'!M66,""),"")</f>
        <v/>
      </c>
      <c r="V66" cm="1">
        <f t="array" ref="V66">IFERROR(AVERAGE(_xlfn._xlws.FILTER(P$2:P$1073,($C$2:$C$1073=$C66)*($E$2:$E$1073=$E66)*(ROW(P$2:P$1073)&lt;&gt;ROW(P66))*(P$2:P$1073&lt;&gt;""))),"")</f>
        <v>28.307188246358621</v>
      </c>
      <c r="W66" cm="1">
        <f t="array" ref="W66">IFERROR(AVERAGE(_xlfn._xlws.FILTER(Q$2:Q$1073,($C$2:$C$1073=$C66)*($E$2:$E$1073=$E66)*(ROW(Q$2:Q$1073)&lt;&gt;ROW(Q66))*(Q$2:Q$1073&lt;&gt;""))),"")</f>
        <v>0.53419343836509714</v>
      </c>
      <c r="X66" cm="1">
        <f t="array" ref="X66">IFERROR(AVERAGE(_xlfn._xlws.FILTER(R$2:R$1073,($C$2:$C$1073=$C66)*($E$2:$E$1073=$E66)*(ROW(R$2:R$1073)&lt;&gt;ROW(R66))*(R$2:R$1073&lt;&gt;""))),"")</f>
        <v>-0.25128971877251305</v>
      </c>
      <c r="Y66" cm="1">
        <f t="array" ref="Y66">IFERROR(AVERAGE(_xlfn._xlws.FILTER(S$2:S$1073,($C$2:$C$1073=$C66)*($E$2:$E$1073=$E66)*(ROW(S$2:S$1073)&lt;&gt;ROW(S66))*(S$2:S$1073&lt;&gt;""))),"")</f>
        <v>0.7103915367710556</v>
      </c>
      <c r="Z66" cm="1">
        <f t="array" ref="Z66">IFERROR(AVERAGE(_xlfn._xlws.FILTER(T$2:T$1073,($C$2:$C$1073=$C66)*($E$2:$E$1073=$E66)*(ROW(T$2:T$1073)&lt;&gt;ROW(T66))*(T$2:T$1073&lt;&gt;""))),"")</f>
        <v>1.109913570195168E-2</v>
      </c>
      <c r="AA66" cm="1">
        <f t="array" ref="AA66">IFERROR(AVERAGE(_xlfn._xlws.FILTER(U$2:U$1073,($C$2:$C$1073=$C66)*($E$2:$E$1073=$E66)*(ROW(U$2:U$1073)&lt;&gt;ROW(U66))*(U$2:U$1073&lt;&gt;""))),"")</f>
        <v>0.71283761221882813</v>
      </c>
    </row>
    <row r="67" spans="1:27" x14ac:dyDescent="0.2">
      <c r="A67" s="7" t="s">
        <v>2184</v>
      </c>
      <c r="B67" t="str">
        <f t="shared" ref="B67:B130" si="13">A67&amp;" "&amp;
"IV"
&amp;" кв. "&amp;C67</f>
        <v>ROSN IV кв. 2024</v>
      </c>
      <c r="C67">
        <v>2024</v>
      </c>
      <c r="D67">
        <f>SUMIFS(Дивиденды!$C:$C,Дивиденды!$A:$A,A67,Дивиденды!$I:$I,C67)</f>
        <v>51.15</v>
      </c>
      <c r="E67">
        <v>1</v>
      </c>
      <c r="F67">
        <f t="shared" ref="F67:F130" si="14">D67</f>
        <v>51.15</v>
      </c>
      <c r="G67">
        <f t="shared" ref="G67:G130" si="15">AVERAGEIFS($D:$D,$E:$E,E67,$C:$C,C67,$A:$A,"&lt;&gt;"&amp;A67)</f>
        <v>206.12500000000003</v>
      </c>
      <c r="H67">
        <f t="shared" ref="H67:H130" si="16">IF(D67&gt;0,1,0)</f>
        <v>1</v>
      </c>
      <c r="I67">
        <f t="shared" si="12"/>
        <v>0.66666666666666663</v>
      </c>
      <c r="J67">
        <f t="shared" ref="J67:J130" si="17">IF(A68&lt;&gt;A67,"",IF(D67=D68,0,IF(AND(D68=0,D67&lt;&gt;0), 1,(D67-D68)/D68)))</f>
        <v>-0.14436266309802614</v>
      </c>
      <c r="K67">
        <f t="shared" si="10"/>
        <v>5.7274411587115215E-2</v>
      </c>
      <c r="L67">
        <f t="shared" ref="L67:L130" si="18">IF(J67&lt;&gt;"",IF(J67&gt;0,1,0),"")</f>
        <v>0</v>
      </c>
      <c r="M67">
        <f t="shared" si="11"/>
        <v>0.66666666666666663</v>
      </c>
      <c r="N67">
        <f t="shared" ref="N67:N130" si="19">IF(J67&lt;&gt;"",IF(J67&lt;0,1,0),"")</f>
        <v>1</v>
      </c>
      <c r="O67">
        <f t="shared" ref="O67:O130" si="20">IFERROR(AVERAGEIFS($N:$N,$E:$E,E67,$C:$C,C67,$A:$A,"&lt;&gt;"&amp;A67),"")</f>
        <v>0</v>
      </c>
      <c r="P67">
        <f>IFERROR(LN('Дивиденды по годам'!I67),"")</f>
        <v>30.660284872691332</v>
      </c>
      <c r="Q67">
        <f>IFERROR('Дивиденды по годам'!G67/'Дивиденды по годам'!I67, "")</f>
        <v>0.67382264771298717</v>
      </c>
      <c r="R67">
        <f>IFERROR(IF(AND('Дивиденды по годам'!N67&lt;&gt;"",'Дивиденды по годам'!U67&lt;&gt;"",'Дивиденды по годам'!U67&lt;&gt;0),'Дивиденды по годам'!N67/'Дивиденды по годам'!U67-1,""),"")</f>
        <v>0.10651533340608976</v>
      </c>
      <c r="S67">
        <f>IFERROR(IF(AND('Дивиденды по годам'!L67&lt;&gt;"",'Дивиденды по годам'!I67&lt;&gt;"",'Дивиденды по годам'!J67&lt;&gt;"",'Дивиденды по годам'!K67&lt;&gt;"",('Дивиденды по годам'!I67-'Дивиденды по годам'!J67-'Дивиденды по годам'!K67)&lt;&gt;0),'Дивиденды по годам'!L67/('Дивиденды по годам'!I67-'Дивиденды по годам'!J67-'Дивиденды по годам'!K67),""),"")</f>
        <v>0.69313093808015724</v>
      </c>
      <c r="T67">
        <f>IFERROR(IF(AND('Дивиденды по годам'!Q67&lt;&gt;"",'Дивиденды по годам'!I67&lt;&gt;"",'Дивиденды по годам'!V67&lt;&gt;"",('Дивиденды по годам'!I67+'Дивиденды по годам'!V67)&lt;&gt;0),'Дивиденды по годам'!Q67/(('Дивиденды по годам'!I67+'Дивиденды по годам'!V67)/2),""),"")</f>
        <v>6.795206364488586E-2</v>
      </c>
      <c r="U67">
        <f>IFERROR(IF(AND('Дивиденды по годам'!J67&lt;&gt;"",'Дивиденды по годам'!K67&lt;&gt;"",'Дивиденды по годам'!M67&lt;&gt;"",'Дивиденды по годам'!M67&lt;&gt;0),('Дивиденды по годам'!J67+'Дивиденды по годам'!K67)/'Дивиденды по годам'!M67,""),"")</f>
        <v>1.2585999781587855</v>
      </c>
      <c r="V67" cm="1">
        <f t="array" ref="V67">IFERROR(AVERAGE(_xlfn._xlws.FILTER(P$2:P$1073,($C$2:$C$1073=$C67)*($E$2:$E$1073=$E67)*(ROW(P$2:P$1073)&lt;&gt;ROW(P67))*(P$2:P$1073&lt;&gt;""))),"")</f>
        <v>28.974698339513775</v>
      </c>
      <c r="W67" cm="1">
        <f t="array" ref="W67">IFERROR(AVERAGE(_xlfn._xlws.FILTER(Q$2:Q$1073,($C$2:$C$1073=$C67)*($E$2:$E$1073=$E67)*(ROW(Q$2:Q$1073)&lt;&gt;ROW(Q67))*(Q$2:Q$1073&lt;&gt;""))),"")</f>
        <v>0.51260941037841301</v>
      </c>
      <c r="X67" cm="1">
        <f t="array" ref="X67">IFERROR(AVERAGE(_xlfn._xlws.FILTER(R$2:R$1073,($C$2:$C$1073=$C67)*($E$2:$E$1073=$E67)*(ROW(R$2:R$1073)&lt;&gt;ROW(R67))*(R$2:R$1073&lt;&gt;""))),"")</f>
        <v>0.20075355344561227</v>
      </c>
      <c r="Y67" cm="1">
        <f t="array" ref="Y67">IFERROR(AVERAGE(_xlfn._xlws.FILTER(S$2:S$1073,($C$2:$C$1073=$C67)*($E$2:$E$1073=$E67)*(ROW(S$2:S$1073)&lt;&gt;ROW(S67))*(S$2:S$1073&lt;&gt;""))),"")</f>
        <v>0.84647038874213099</v>
      </c>
      <c r="Z67" cm="1">
        <f t="array" ref="Z67">IFERROR(AVERAGE(_xlfn._xlws.FILTER(T$2:T$1073,($C$2:$C$1073=$C67)*($E$2:$E$1073=$E67)*(ROW(T$2:T$1073)&lt;&gt;ROW(T67))*(T$2:T$1073&lt;&gt;""))),"")</f>
        <v>0.11706491860005919</v>
      </c>
      <c r="AA67" cm="1">
        <f t="array" ref="AA67">IFERROR(AVERAGE(_xlfn._xlws.FILTER(U$2:U$1073,($C$2:$C$1073=$C67)*($E$2:$E$1073=$E67)*(ROW(U$2:U$1073)&lt;&gt;ROW(U67))*(U$2:U$1073&lt;&gt;""))),"")</f>
        <v>0.74782080677274776</v>
      </c>
    </row>
    <row r="68" spans="1:27" x14ac:dyDescent="0.2">
      <c r="A68" s="7" t="s">
        <v>2184</v>
      </c>
      <c r="B68" t="str">
        <f t="shared" si="13"/>
        <v>ROSN IV кв. 2023</v>
      </c>
      <c r="C68">
        <v>2023</v>
      </c>
      <c r="D68">
        <f>SUMIFS(Дивиденды!$C:$C,Дивиденды!$A:$A,A68,Дивиденды!$I:$I,C68)</f>
        <v>59.78</v>
      </c>
      <c r="E68">
        <v>1</v>
      </c>
      <c r="F68">
        <f t="shared" si="14"/>
        <v>59.78</v>
      </c>
      <c r="G68">
        <f t="shared" si="15"/>
        <v>185.38666666666668</v>
      </c>
      <c r="H68">
        <f t="shared" si="16"/>
        <v>1</v>
      </c>
      <c r="I68">
        <f t="shared" si="12"/>
        <v>0.66666666666666663</v>
      </c>
      <c r="J68">
        <f t="shared" si="17"/>
        <v>0.55839416058394165</v>
      </c>
      <c r="K68">
        <f t="shared" ref="K68:K131" si="21">IFERROR(AVERAGEIFS($J:$J,$E:$E,E68,$C:$C,C68,$A:$A,"&lt;&gt;"&amp;A68),"")</f>
        <v>-0.18654730992500812</v>
      </c>
      <c r="L68">
        <f t="shared" si="18"/>
        <v>1</v>
      </c>
      <c r="M68">
        <f t="shared" si="11"/>
        <v>0.33333333333333331</v>
      </c>
      <c r="N68">
        <f t="shared" si="19"/>
        <v>0</v>
      </c>
      <c r="O68">
        <f t="shared" si="20"/>
        <v>0.5</v>
      </c>
      <c r="P68">
        <f>IFERROR(LN('Дивиденды по годам'!I68),"")</f>
        <v>30.564186257213709</v>
      </c>
      <c r="Q68">
        <f>IFERROR('Дивиденды по годам'!G68/'Дивиденды по годам'!I68, "")</f>
        <v>0.67275243519454941</v>
      </c>
      <c r="R68" t="str">
        <f>IFERROR(IF(AND('Дивиденды по годам'!N68&lt;&gt;"",'Дивиденды по годам'!U68&lt;&gt;"",'Дивиденды по годам'!U68&lt;&gt;0),'Дивиденды по годам'!N68/'Дивиденды по годам'!U68-1,""),"")</f>
        <v/>
      </c>
      <c r="S68">
        <f>IFERROR(IF(AND('Дивиденды по годам'!L68&lt;&gt;"",'Дивиденды по годам'!I68&lt;&gt;"",'Дивиденды по годам'!J68&lt;&gt;"",'Дивиденды по годам'!K68&lt;&gt;"",('Дивиденды по годам'!I68-'Дивиденды по годам'!J68-'Дивиденды по годам'!K68)&lt;&gt;0),'Дивиденды по годам'!L68/('Дивиденды по годам'!I68-'Дивиденды по годам'!J68-'Дивиденды по годам'!K68),""),"")</f>
        <v>0.69942952222486332</v>
      </c>
      <c r="T68" t="str">
        <f>IFERROR(IF(AND('Дивиденды по годам'!Q68&lt;&gt;"",'Дивиденды по годам'!I68&lt;&gt;"",'Дивиденды по годам'!V68&lt;&gt;"",('Дивиденды по годам'!I68+'Дивиденды по годам'!V68)&lt;&gt;0),'Дивиденды по годам'!Q68/(('Дивиденды по годам'!I68+'Дивиденды по годам'!V68)/2),""),"")</f>
        <v/>
      </c>
      <c r="U68">
        <f>IFERROR(IF(AND('Дивиденды по годам'!J68&lt;&gt;"",'Дивиденды по годам'!K68&lt;&gt;"",'Дивиденды по годам'!M68&lt;&gt;"",'Дивиденды по годам'!M68&lt;&gt;0),('Дивиденды по годам'!J68+'Дивиденды по годам'!K68)/'Дивиденды по годам'!M68,""),"")</f>
        <v>1.2328262419776563</v>
      </c>
      <c r="V68" cm="1">
        <f t="array" ref="V68">IFERROR(AVERAGE(_xlfn._xlws.FILTER(P$2:P$1073,($C$2:$C$1073=$C68)*($E$2:$E$1073=$E68)*(ROW(P$2:P$1073)&lt;&gt;ROW(P68))*(P$2:P$1073&lt;&gt;""))),"")</f>
        <v>29.021189832833397</v>
      </c>
      <c r="W68" cm="1">
        <f t="array" ref="W68">IFERROR(AVERAGE(_xlfn._xlws.FILTER(Q$2:Q$1073,($C$2:$C$1073=$C68)*($E$2:$E$1073=$E68)*(ROW(Q$2:Q$1073)&lt;&gt;ROW(Q68))*(Q$2:Q$1073&lt;&gt;""))),"")</f>
        <v>0.46837585480951666</v>
      </c>
      <c r="X68" cm="1">
        <f t="array" ref="X68">IFERROR(AVERAGE(_xlfn._xlws.FILTER(R$2:R$1073,($C$2:$C$1073=$C68)*($E$2:$E$1073=$E68)*(ROW(R$2:R$1073)&lt;&gt;ROW(R68))*(R$2:R$1073&lt;&gt;""))),"")</f>
        <v>-9.5200738872077639E-2</v>
      </c>
      <c r="Y68" cm="1">
        <f t="array" ref="Y68">IFERROR(AVERAGE(_xlfn._xlws.FILTER(S$2:S$1073,($C$2:$C$1073=$C68)*($E$2:$E$1073=$E68)*(ROW(S$2:S$1073)&lt;&gt;ROW(S68))*(S$2:S$1073&lt;&gt;""))),"")</f>
        <v>0.84051643366032525</v>
      </c>
      <c r="Z68" cm="1">
        <f t="array" ref="Z68">IFERROR(AVERAGE(_xlfn._xlws.FILTER(T$2:T$1073,($C$2:$C$1073=$C68)*($E$2:$E$1073=$E68)*(ROW(T$2:T$1073)&lt;&gt;ROW(T68))*(T$2:T$1073&lt;&gt;""))),"")</f>
        <v>8.3497415799470329E-2</v>
      </c>
      <c r="AA68" cm="1">
        <f t="array" ref="AA68">IFERROR(AVERAGE(_xlfn._xlws.FILTER(U$2:U$1073,($C$2:$C$1073=$C68)*($E$2:$E$1073=$E68)*(ROW(U$2:U$1073)&lt;&gt;ROW(U68))*(U$2:U$1073&lt;&gt;""))),"")</f>
        <v>0.75692151502007354</v>
      </c>
    </row>
    <row r="69" spans="1:27" x14ac:dyDescent="0.2">
      <c r="A69" s="7" t="s">
        <v>2184</v>
      </c>
      <c r="B69" t="str">
        <f t="shared" si="13"/>
        <v>ROSN IV кв. 2022</v>
      </c>
      <c r="C69">
        <v>2022</v>
      </c>
      <c r="D69">
        <f>SUMIFS(Дивиденды!$C:$C,Дивиденды!$A:$A,A69,Дивиденды!$I:$I,C69)</f>
        <v>38.36</v>
      </c>
      <c r="E69">
        <v>1</v>
      </c>
      <c r="F69">
        <f t="shared" si="14"/>
        <v>38.36</v>
      </c>
      <c r="G69">
        <f t="shared" si="15"/>
        <v>242.61499999999998</v>
      </c>
      <c r="H69">
        <f t="shared" si="16"/>
        <v>1</v>
      </c>
      <c r="I69">
        <f t="shared" si="12"/>
        <v>0.83333333333333337</v>
      </c>
      <c r="J69">
        <f t="shared" si="17"/>
        <v>-7.921267402784439E-2</v>
      </c>
      <c r="K69">
        <f t="shared" si="21"/>
        <v>0.77938882285915889</v>
      </c>
      <c r="L69">
        <f t="shared" si="18"/>
        <v>0</v>
      </c>
      <c r="M69">
        <f t="shared" si="11"/>
        <v>0.66666666666666663</v>
      </c>
      <c r="N69">
        <f t="shared" si="19"/>
        <v>1</v>
      </c>
      <c r="O69">
        <f t="shared" si="20"/>
        <v>0</v>
      </c>
      <c r="P69" t="str">
        <f>IFERROR(LN('Дивиденды по годам'!I69),"")</f>
        <v/>
      </c>
      <c r="Q69" t="str">
        <f>IFERROR('Дивиденды по годам'!G69/'Дивиденды по годам'!I69, "")</f>
        <v/>
      </c>
      <c r="R69" t="str">
        <f>IFERROR(IF(AND('Дивиденды по годам'!N69&lt;&gt;"",'Дивиденды по годам'!U69&lt;&gt;"",'Дивиденды по годам'!U69&lt;&gt;0),'Дивиденды по годам'!N69/'Дивиденды по годам'!U69-1,""),"")</f>
        <v/>
      </c>
      <c r="S69" t="str">
        <f>IFERROR(IF(AND('Дивиденды по годам'!L69&lt;&gt;"",'Дивиденды по годам'!I69&lt;&gt;"",'Дивиденды по годам'!J69&lt;&gt;"",'Дивиденды по годам'!K69&lt;&gt;"",('Дивиденды по годам'!I69-'Дивиденды по годам'!J69-'Дивиденды по годам'!K69)&lt;&gt;0),'Дивиденды по годам'!L69/('Дивиденды по годам'!I69-'Дивиденды по годам'!J69-'Дивиденды по годам'!K69),""),"")</f>
        <v/>
      </c>
      <c r="T69" t="str">
        <f>IFERROR(IF(AND('Дивиденды по годам'!Q69&lt;&gt;"",'Дивиденды по годам'!I69&lt;&gt;"",'Дивиденды по годам'!V69&lt;&gt;"",('Дивиденды по годам'!I69+'Дивиденды по годам'!V69)&lt;&gt;0),'Дивиденды по годам'!Q69/(('Дивиденды по годам'!I69+'Дивиденды по годам'!V69)/2),""),"")</f>
        <v/>
      </c>
      <c r="U69" t="str">
        <f>IFERROR(IF(AND('Дивиденды по годам'!J69&lt;&gt;"",'Дивиденды по годам'!K69&lt;&gt;"",'Дивиденды по годам'!M69&lt;&gt;"",'Дивиденды по годам'!M69&lt;&gt;0),('Дивиденды по годам'!J69+'Дивиденды по годам'!K69)/'Дивиденды по годам'!M69,""),"")</f>
        <v/>
      </c>
      <c r="V69" cm="1">
        <f t="array" ref="V69">IFERROR(AVERAGE(_xlfn._xlws.FILTER(P$2:P$1073,($C$2:$C$1073=$C69)*($E$2:$E$1073=$E69)*(ROW(P$2:P$1073)&lt;&gt;ROW(P69))*(P$2:P$1073&lt;&gt;""))),"")</f>
        <v>28.727283056765771</v>
      </c>
      <c r="W69" cm="1">
        <f t="array" ref="W69">IFERROR(AVERAGE(_xlfn._xlws.FILTER(Q$2:Q$1073,($C$2:$C$1073=$C69)*($E$2:$E$1073=$E69)*(ROW(Q$2:Q$1073)&lt;&gt;ROW(Q69))*(Q$2:Q$1073&lt;&gt;""))),"")</f>
        <v>0.51128857729902477</v>
      </c>
      <c r="X69" cm="1">
        <f t="array" ref="X69">IFERROR(AVERAGE(_xlfn._xlws.FILTER(R$2:R$1073,($C$2:$C$1073=$C69)*($E$2:$E$1073=$E69)*(ROW(R$2:R$1073)&lt;&gt;ROW(R69))*(R$2:R$1073&lt;&gt;""))),"")</f>
        <v>0.11583545865184226</v>
      </c>
      <c r="Y69" cm="1">
        <f t="array" ref="Y69">IFERROR(AVERAGE(_xlfn._xlws.FILTER(S$2:S$1073,($C$2:$C$1073=$C69)*($E$2:$E$1073=$E69)*(ROW(S$2:S$1073)&lt;&gt;ROW(S69))*(S$2:S$1073&lt;&gt;""))),"")</f>
        <v>0.81623267945546474</v>
      </c>
      <c r="Z69" cm="1">
        <f t="array" ref="Z69">IFERROR(AVERAGE(_xlfn._xlws.FILTER(T$2:T$1073,($C$2:$C$1073=$C69)*($E$2:$E$1073=$E69)*(ROW(T$2:T$1073)&lt;&gt;ROW(T69))*(T$2:T$1073&lt;&gt;""))),"")</f>
        <v>0.10279179198494799</v>
      </c>
      <c r="AA69" cm="1">
        <f t="array" ref="AA69">IFERROR(AVERAGE(_xlfn._xlws.FILTER(U$2:U$1073,($C$2:$C$1073=$C69)*($E$2:$E$1073=$E69)*(ROW(U$2:U$1073)&lt;&gt;ROW(U69))*(U$2:U$1073&lt;&gt;""))),"")</f>
        <v>0.81000773545151117</v>
      </c>
    </row>
    <row r="70" spans="1:27" x14ac:dyDescent="0.2">
      <c r="A70" s="7" t="s">
        <v>2184</v>
      </c>
      <c r="B70" t="str">
        <f t="shared" si="13"/>
        <v>ROSN IV кв. 2021</v>
      </c>
      <c r="C70">
        <v>2021</v>
      </c>
      <c r="D70">
        <f>SUMIFS(Дивиденды!$C:$C,Дивиденды!$A:$A,A70,Дивиденды!$I:$I,C70)</f>
        <v>41.66</v>
      </c>
      <c r="E70">
        <v>1</v>
      </c>
      <c r="F70">
        <f t="shared" si="14"/>
        <v>41.66</v>
      </c>
      <c r="G70">
        <f t="shared" si="15"/>
        <v>75.813333333333333</v>
      </c>
      <c r="H70">
        <f t="shared" si="16"/>
        <v>1</v>
      </c>
      <c r="I70">
        <f t="shared" si="12"/>
        <v>0.66666666666666663</v>
      </c>
      <c r="J70">
        <f t="shared" si="17"/>
        <v>5.0028818443804033</v>
      </c>
      <c r="K70">
        <f t="shared" si="21"/>
        <v>0.23031058629823709</v>
      </c>
      <c r="L70">
        <f t="shared" si="18"/>
        <v>1</v>
      </c>
      <c r="M70">
        <f t="shared" si="11"/>
        <v>0.66666666666666663</v>
      </c>
      <c r="N70">
        <f t="shared" si="19"/>
        <v>0</v>
      </c>
      <c r="O70">
        <f t="shared" si="20"/>
        <v>0.16666666666666666</v>
      </c>
      <c r="P70">
        <f>IFERROR(LN('Дивиденды по годам'!I70),"")</f>
        <v>30.431772034541794</v>
      </c>
      <c r="Q70">
        <f>IFERROR('Дивиденды по годам'!G70/'Дивиденды по годам'!I70, "")</f>
        <v>0.64319134714711068</v>
      </c>
      <c r="R70">
        <f>IFERROR(IF(AND('Дивиденды по годам'!N70&lt;&gt;"",'Дивиденды по годам'!U70&lt;&gt;"",'Дивиденды по годам'!U70&lt;&gt;0),'Дивиденды по годам'!N70/'Дивиденды по годам'!U70-1,""),"")</f>
        <v>0.52179954837589015</v>
      </c>
      <c r="S70">
        <f>IFERROR(IF(AND('Дивиденды по годам'!L70&lt;&gt;"",'Дивиденды по годам'!I70&lt;&gt;"",'Дивиденды по годам'!J70&lt;&gt;"",'Дивиденды по годам'!K70&lt;&gt;"",('Дивиденды по годам'!I70-'Дивиденды по годам'!J70-'Дивиденды по годам'!K70)&lt;&gt;0),'Дивиденды по годам'!L70/('Дивиденды по годам'!I70-'Дивиденды по годам'!J70-'Дивиденды по годам'!K70),""),"")</f>
        <v>0.71474803513638463</v>
      </c>
      <c r="T70">
        <f>IFERROR(IF(AND('Дивиденды по годам'!Q70&lt;&gt;"",'Дивиденды по годам'!I70&lt;&gt;"",'Дивиденды по годам'!V70&lt;&gt;"",('Дивиденды по годам'!I70+'Дивиденды по годам'!V70)&lt;&gt;0),'Дивиденды по годам'!Q70/(('Дивиденды по годам'!I70+'Дивиденды по годам'!V70)/2),""),"")</f>
        <v>6.3633791303801049E-2</v>
      </c>
      <c r="U70">
        <f>IFERROR(IF(AND('Дивиденды по годам'!J70&lt;&gt;"",'Дивиденды по годам'!K70&lt;&gt;"",'Дивиденды по годам'!M70&lt;&gt;"",'Дивиденды по годам'!M70&lt;&gt;0),('Дивиденды по годам'!J70+'Дивиденды по годам'!K70)/'Дивиденды по годам'!M70,""),"")</f>
        <v>1.5361380798274002</v>
      </c>
      <c r="V70" cm="1">
        <f t="array" ref="V70">IFERROR(AVERAGE(_xlfn._xlws.FILTER(P$2:P$1073,($C$2:$C$1073=$C70)*($E$2:$E$1073=$E70)*(ROW(P$2:P$1073)&lt;&gt;ROW(P70))*(P$2:P$1073&lt;&gt;""))),"")</f>
        <v>28.687381267113743</v>
      </c>
      <c r="W70" cm="1">
        <f t="array" ref="W70">IFERROR(AVERAGE(_xlfn._xlws.FILTER(Q$2:Q$1073,($C$2:$C$1073=$C70)*($E$2:$E$1073=$E70)*(ROW(Q$2:Q$1073)&lt;&gt;ROW(Q70))*(Q$2:Q$1073&lt;&gt;""))),"")</f>
        <v>0.54057702387832751</v>
      </c>
      <c r="X70" cm="1">
        <f t="array" ref="X70">IFERROR(AVERAGE(_xlfn._xlws.FILTER(R$2:R$1073,($C$2:$C$1073=$C70)*($E$2:$E$1073=$E70)*(ROW(R$2:R$1073)&lt;&gt;ROW(R70))*(R$2:R$1073&lt;&gt;""))),"")</f>
        <v>0.73927424814787579</v>
      </c>
      <c r="Y70" cm="1">
        <f t="array" ref="Y70">IFERROR(AVERAGE(_xlfn._xlws.FILTER(S$2:S$1073,($C$2:$C$1073=$C70)*($E$2:$E$1073=$E70)*(ROW(S$2:S$1073)&lt;&gt;ROW(S70))*(S$2:S$1073&lt;&gt;""))),"")</f>
        <v>0.82383650137268349</v>
      </c>
      <c r="Z70" cm="1">
        <f t="array" ref="Z70">IFERROR(AVERAGE(_xlfn._xlws.FILTER(T$2:T$1073,($C$2:$C$1073=$C70)*($E$2:$E$1073=$E70)*(ROW(T$2:T$1073)&lt;&gt;ROW(T70))*(T$2:T$1073&lt;&gt;""))),"")</f>
        <v>0.13334390541477839</v>
      </c>
      <c r="AA70" cm="1">
        <f t="array" ref="AA70">IFERROR(AVERAGE(_xlfn._xlws.FILTER(U$2:U$1073,($C$2:$C$1073=$C70)*($E$2:$E$1073=$E70)*(ROW(U$2:U$1073)&lt;&gt;ROW(U70))*(U$2:U$1073&lt;&gt;""))),"")</f>
        <v>0.94164700005161384</v>
      </c>
    </row>
    <row r="71" spans="1:27" x14ac:dyDescent="0.2">
      <c r="A71" s="7" t="s">
        <v>2184</v>
      </c>
      <c r="B71" t="str">
        <f t="shared" si="13"/>
        <v>ROSN IV кв. 2020</v>
      </c>
      <c r="C71">
        <v>2020</v>
      </c>
      <c r="D71">
        <f>SUMIFS(Дивиденды!$C:$C,Дивиденды!$A:$A,A71,Дивиденды!$I:$I,C71)</f>
        <v>6.94</v>
      </c>
      <c r="E71">
        <v>1</v>
      </c>
      <c r="F71">
        <f t="shared" si="14"/>
        <v>6.94</v>
      </c>
      <c r="G71">
        <f t="shared" si="15"/>
        <v>55.008333333333333</v>
      </c>
      <c r="H71">
        <f t="shared" si="16"/>
        <v>1</v>
      </c>
      <c r="I71">
        <f t="shared" si="12"/>
        <v>0.83333333333333337</v>
      </c>
      <c r="J71">
        <f t="shared" si="17"/>
        <v>-0.79227776114935644</v>
      </c>
      <c r="K71">
        <f t="shared" si="21"/>
        <v>-0.19614207879111958</v>
      </c>
      <c r="L71">
        <f t="shared" si="18"/>
        <v>0</v>
      </c>
      <c r="M71">
        <f t="shared" si="11"/>
        <v>0.33333333333333331</v>
      </c>
      <c r="N71">
        <f t="shared" si="19"/>
        <v>1</v>
      </c>
      <c r="O71">
        <f t="shared" si="20"/>
        <v>0.5</v>
      </c>
      <c r="P71">
        <f>IFERROR(LN('Дивиденды по годам'!I71),"")</f>
        <v>30.362136589961754</v>
      </c>
      <c r="Q71">
        <f>IFERROR('Дивиденды по годам'!G71/'Дивиденды по годам'!I71, "")</f>
        <v>0.67758957654723129</v>
      </c>
      <c r="R71">
        <f>IFERROR(IF(AND('Дивиденды по годам'!N71&lt;&gt;"",'Дивиденды по годам'!U71&lt;&gt;"",'Дивиденды по годам'!U71&lt;&gt;0),'Дивиденды по годам'!N71/'Дивиденды по годам'!U71-1,""),"")</f>
        <v>-0.33644536652835411</v>
      </c>
      <c r="S71">
        <f>IFERROR(IF(AND('Дивиденды по годам'!L71&lt;&gt;"",'Дивиденды по годам'!I71&lt;&gt;"",'Дивиденды по годам'!J71&lt;&gt;"",'Дивиденды по годам'!K71&lt;&gt;"",('Дивиденды по годам'!I71-'Дивиденды по годам'!J71-'Дивиденды по годам'!K71)&lt;&gt;0),'Дивиденды по годам'!L71/('Дивиденды по годам'!I71-'Дивиденды по годам'!J71-'Дивиденды по годам'!K71),""),"")</f>
        <v>0.73027155093858209</v>
      </c>
      <c r="T71">
        <f>IFERROR(IF(AND('Дивиденды по годам'!Q71&lt;&gt;"",'Дивиденды по годам'!I71&lt;&gt;"",'Дивиденды по годам'!V71&lt;&gt;"",('Дивиденды по годам'!I71+'Дивиденды по годам'!V71)&lt;&gt;0),'Дивиденды по годам'!Q71/(('Дивиденды по годам'!I71+'Дивиденды по годам'!V71)/2),""),"")</f>
        <v>1.2791519434628975E-2</v>
      </c>
      <c r="U71">
        <f>IFERROR(IF(AND('Дивиденды по годам'!J71&lt;&gt;"",'Дивиденды по годам'!K71&lt;&gt;"",'Дивиденды по годам'!M71&lt;&gt;"",'Дивиденды по годам'!M71&lt;&gt;0),('Дивиденды по годам'!J71+'Дивиденды по годам'!K71)/'Дивиденды по годам'!M71,""),"")</f>
        <v>1.7975214142518681</v>
      </c>
      <c r="V71" cm="1">
        <f t="array" ref="V71">IFERROR(AVERAGE(_xlfn._xlws.FILTER(P$2:P$1073,($C$2:$C$1073=$C71)*($E$2:$E$1073=$E71)*(ROW(P$2:P$1073)&lt;&gt;ROW(P71))*(P$2:P$1073&lt;&gt;""))),"")</f>
        <v>28.694038170032726</v>
      </c>
      <c r="W71" cm="1">
        <f t="array" ref="W71">IFERROR(AVERAGE(_xlfn._xlws.FILTER(Q$2:Q$1073,($C$2:$C$1073=$C71)*($E$2:$E$1073=$E71)*(ROW(Q$2:Q$1073)&lt;&gt;ROW(Q71))*(Q$2:Q$1073&lt;&gt;""))),"")</f>
        <v>0.53911956022898488</v>
      </c>
      <c r="X71" cm="1">
        <f t="array" ref="X71">IFERROR(AVERAGE(_xlfn._xlws.FILTER(R$2:R$1073,($C$2:$C$1073=$C71)*($E$2:$E$1073=$E71)*(ROW(R$2:R$1073)&lt;&gt;ROW(R71))*(R$2:R$1073&lt;&gt;""))),"")</f>
        <v>-0.24353557886716359</v>
      </c>
      <c r="Y71" cm="1">
        <f t="array" ref="Y71">IFERROR(AVERAGE(_xlfn._xlws.FILTER(S$2:S$1073,($C$2:$C$1073=$C71)*($E$2:$E$1073=$E71)*(ROW(S$2:S$1073)&lt;&gt;ROW(S71))*(S$2:S$1073&lt;&gt;""))),"")</f>
        <v>0.78094048564854301</v>
      </c>
      <c r="Z71" cm="1">
        <f t="array" ref="Z71">IFERROR(AVERAGE(_xlfn._xlws.FILTER(T$2:T$1073,($C$2:$C$1073=$C71)*($E$2:$E$1073=$E71)*(ROW(T$2:T$1073)&lt;&gt;ROW(T71))*(T$2:T$1073&lt;&gt;""))),"")</f>
        <v>3.1201606646664475E-2</v>
      </c>
      <c r="AA71" cm="1">
        <f t="array" ref="AA71">IFERROR(AVERAGE(_xlfn._xlws.FILTER(U$2:U$1073,($C$2:$C$1073=$C71)*($E$2:$E$1073=$E71)*(ROW(U$2:U$1073)&lt;&gt;ROW(U71))*(U$2:U$1073&lt;&gt;""))),"")</f>
        <v>1.0934103756678366</v>
      </c>
    </row>
    <row r="72" spans="1:27" x14ac:dyDescent="0.2">
      <c r="A72" s="7" t="s">
        <v>2184</v>
      </c>
      <c r="B72" t="str">
        <f t="shared" si="13"/>
        <v>ROSN IV кв. 2019</v>
      </c>
      <c r="C72">
        <v>2019</v>
      </c>
      <c r="D72">
        <f>SUMIFS(Дивиденды!$C:$C,Дивиденды!$A:$A,A72,Дивиденды!$I:$I,C72)</f>
        <v>33.409999999999997</v>
      </c>
      <c r="E72">
        <v>1</v>
      </c>
      <c r="F72">
        <f t="shared" si="14"/>
        <v>33.409999999999997</v>
      </c>
      <c r="G72">
        <f t="shared" si="15"/>
        <v>109.11500000000001</v>
      </c>
      <c r="H72">
        <f t="shared" si="16"/>
        <v>1</v>
      </c>
      <c r="I72">
        <f t="shared" si="12"/>
        <v>0.83333333333333337</v>
      </c>
      <c r="J72">
        <f t="shared" si="17"/>
        <v>0.28946352759552285</v>
      </c>
      <c r="K72">
        <f t="shared" si="21"/>
        <v>0.18089878517789773</v>
      </c>
      <c r="L72">
        <f t="shared" si="18"/>
        <v>1</v>
      </c>
      <c r="M72">
        <f t="shared" si="11"/>
        <v>0.33333333333333331</v>
      </c>
      <c r="N72">
        <f t="shared" si="19"/>
        <v>0</v>
      </c>
      <c r="O72">
        <f t="shared" si="20"/>
        <v>0.33333333333333331</v>
      </c>
      <c r="P72">
        <f>IFERROR(LN('Дивиденды по годам'!I72),"")</f>
        <v>30.192116904074094</v>
      </c>
      <c r="Q72">
        <f>IFERROR('Дивиденды по годам'!G72/'Дивиденды по годам'!I72, "")</f>
        <v>0.67281853281853277</v>
      </c>
      <c r="R72">
        <f>IFERROR(IF(AND('Дивиденды по годам'!N72&lt;&gt;"",'Дивиденды по годам'!U72&lt;&gt;"",'Дивиденды по годам'!U72&lt;&gt;0),'Дивиденды по годам'!N72/'Дивиденды по годам'!U72-1,""),"")</f>
        <v>5.3168244719592028E-2</v>
      </c>
      <c r="S72">
        <f>IFERROR(IF(AND('Дивиденды по годам'!L72&lt;&gt;"",'Дивиденды по годам'!I72&lt;&gt;"",'Дивиденды по годам'!J72&lt;&gt;"",'Дивиденды по годам'!K72&lt;&gt;"",('Дивиденды по годам'!I72-'Дивиденды по годам'!J72-'Дивиденды по годам'!K72)&lt;&gt;0),'Дивиденды по годам'!L72/('Дивиденды по годам'!I72-'Дивиденды по годам'!J72-'Дивиденды по годам'!K72),""),"")</f>
        <v>0.78319099378881984</v>
      </c>
      <c r="T72">
        <f>IFERROR(IF(AND('Дивиденды по годам'!Q72&lt;&gt;"",'Дивиденды по годам'!I72&lt;&gt;"",'Дивиденды по годам'!V72&lt;&gt;"",('Дивиденды по годам'!I72+'Дивиденды по годам'!V72)&lt;&gt;0),'Дивиденды по годам'!Q72/(('Дивиденды по годам'!I72+'Дивиденды по годам'!V72)/2),""),"")</f>
        <v>6.1655114310879638E-2</v>
      </c>
      <c r="U72">
        <f>IFERROR(IF(AND('Дивиденды по годам'!J72&lt;&gt;"",'Дивиденды по годам'!K72&lt;&gt;"",'Дивиденды по годам'!M72&lt;&gt;"",'Дивиденды по годам'!M72&lt;&gt;0),('Дивиденды по годам'!J72+'Дивиденды по годам'!K72)/'Дивиденды по годам'!M72,""),"")</f>
        <v>1.513586956521739</v>
      </c>
      <c r="V72" cm="1">
        <f t="array" ref="V72">IFERROR(AVERAGE(_xlfn._xlws.FILTER(P$2:P$1073,($C$2:$C$1073=$C72)*($E$2:$E$1073=$E72)*(ROW(P$2:P$1073)&lt;&gt;ROW(P72))*(P$2:P$1073&lt;&gt;""))),"")</f>
        <v>28.659647815903302</v>
      </c>
      <c r="W72" cm="1">
        <f t="array" ref="W72">IFERROR(AVERAGE(_xlfn._xlws.FILTER(Q$2:Q$1073,($C$2:$C$1073=$C72)*($E$2:$E$1073=$E72)*(ROW(Q$2:Q$1073)&lt;&gt;ROW(Q72))*(Q$2:Q$1073&lt;&gt;""))),"")</f>
        <v>0.5156470593583663</v>
      </c>
      <c r="X72" cm="1">
        <f t="array" ref="X72">IFERROR(AVERAGE(_xlfn._xlws.FILTER(R$2:R$1073,($C$2:$C$1073=$C72)*($E$2:$E$1073=$E72)*(ROW(R$2:R$1073)&lt;&gt;ROW(R72))*(R$2:R$1073&lt;&gt;""))),"")</f>
        <v>5.0650742578620678E-3</v>
      </c>
      <c r="Y72" cm="1">
        <f t="array" ref="Y72">IFERROR(AVERAGE(_xlfn._xlws.FILTER(S$2:S$1073,($C$2:$C$1073=$C72)*($E$2:$E$1073=$E72)*(ROW(S$2:S$1073)&lt;&gt;ROW(S72))*(S$2:S$1073&lt;&gt;""))),"")</f>
        <v>0.84703496784914778</v>
      </c>
      <c r="Z72" cm="1">
        <f t="array" ref="Z72">IFERROR(AVERAGE(_xlfn._xlws.FILTER(T$2:T$1073,($C$2:$C$1073=$C72)*($E$2:$E$1073=$E72)*(ROW(T$2:T$1073)&lt;&gt;ROW(T72))*(T$2:T$1073&lt;&gt;""))),"")</f>
        <v>0.16283899681811642</v>
      </c>
      <c r="AA72" cm="1">
        <f t="array" ref="AA72">IFERROR(AVERAGE(_xlfn._xlws.FILTER(U$2:U$1073,($C$2:$C$1073=$C72)*($E$2:$E$1073=$E72)*(ROW(U$2:U$1073)&lt;&gt;ROW(U72))*(U$2:U$1073&lt;&gt;""))),"")</f>
        <v>0.78206674601963122</v>
      </c>
    </row>
    <row r="73" spans="1:27" x14ac:dyDescent="0.2">
      <c r="A73" s="7" t="s">
        <v>2184</v>
      </c>
      <c r="B73" t="str">
        <f t="shared" si="13"/>
        <v>ROSN IV кв. 2018</v>
      </c>
      <c r="C73">
        <v>2018</v>
      </c>
      <c r="D73">
        <f>SUMIFS(Дивиденды!$C:$C,Дивиденды!$A:$A,A73,Дивиденды!$I:$I,C73)</f>
        <v>25.91</v>
      </c>
      <c r="E73">
        <v>1</v>
      </c>
      <c r="F73">
        <f t="shared" si="14"/>
        <v>25.91</v>
      </c>
      <c r="G73">
        <f t="shared" si="15"/>
        <v>63.038333333333334</v>
      </c>
      <c r="H73">
        <f t="shared" si="16"/>
        <v>1</v>
      </c>
      <c r="I73">
        <f t="shared" si="12"/>
        <v>0.83333333333333337</v>
      </c>
      <c r="J73">
        <f t="shared" si="17"/>
        <v>1.4723282442748091</v>
      </c>
      <c r="K73">
        <f t="shared" si="21"/>
        <v>0.51629896945932385</v>
      </c>
      <c r="L73">
        <f t="shared" si="18"/>
        <v>1</v>
      </c>
      <c r="M73">
        <f t="shared" si="11"/>
        <v>0.66666666666666663</v>
      </c>
      <c r="N73">
        <f t="shared" si="19"/>
        <v>0</v>
      </c>
      <c r="O73">
        <f t="shared" si="20"/>
        <v>0</v>
      </c>
      <c r="P73">
        <f>IFERROR(LN('Дивиденды по годам'!I73),"")</f>
        <v>30.208430979371819</v>
      </c>
      <c r="Q73">
        <f>IFERROR('Дивиденды по годам'!G73/'Дивиденды по годам'!I73, "")</f>
        <v>0.6415710704246752</v>
      </c>
      <c r="R73">
        <f>IFERROR(IF(AND('Дивиденды по годам'!N73&lt;&gt;"",'Дивиденды по годам'!U73&lt;&gt;"",'Дивиденды по годам'!U73&lt;&gt;0),'Дивиденды по годам'!N73/'Дивиденды по годам'!U73-1,""),"")</f>
        <v>0.36980379115397399</v>
      </c>
      <c r="S73">
        <f>IFERROR(IF(AND('Дивиденды по годам'!L73&lt;&gt;"",'Дивиденды по годам'!I73&lt;&gt;"",'Дивиденды по годам'!J73&lt;&gt;"",'Дивиденды по годам'!K73&lt;&gt;"",('Дивиденды по годам'!I73-'Дивиденды по годам'!J73-'Дивиденды по годам'!K73)&lt;&gt;0),'Дивиденды по годам'!L73/('Дивиденды по годам'!I73-'Дивиденды по годам'!J73-'Дивиденды по годам'!K73),""),"")</f>
        <v>0.77186230489630103</v>
      </c>
      <c r="T73">
        <f>IFERROR(IF(AND('Дивиденды по годам'!Q73&lt;&gt;"",'Дивиденды по годам'!I73&lt;&gt;"",'Дивиденды по годам'!V73&lt;&gt;"",('Дивиденды по годам'!I73+'Дивиденды по годам'!V73)&lt;&gt;0),'Дивиденды по годам'!Q73/(('Дивиденды по годам'!I73+'Дивиденды по годам'!V73)/2),""),"")</f>
        <v>5.1122489168964162E-2</v>
      </c>
      <c r="U73">
        <f>IFERROR(IF(AND('Дивиденды по годам'!J73&lt;&gt;"",'Дивиденды по годам'!K73&lt;&gt;"",'Дивиденды по годам'!M73&lt;&gt;"",'Дивиденды по годам'!M73&lt;&gt;0),('Дивиденды по годам'!J73+'Дивиденды по годам'!K73)/'Дивиденды по годам'!M73,""),"")</f>
        <v>1.8144109471883687</v>
      </c>
      <c r="V73" cm="1">
        <f t="array" ref="V73">IFERROR(AVERAGE(_xlfn._xlws.FILTER(P$2:P$1073,($C$2:$C$1073=$C73)*($E$2:$E$1073=$E73)*(ROW(P$2:P$1073)&lt;&gt;ROW(P73))*(P$2:P$1073&lt;&gt;""))),"")</f>
        <v>28.534839291027108</v>
      </c>
      <c r="W73" cm="1">
        <f t="array" ref="W73">IFERROR(AVERAGE(_xlfn._xlws.FILTER(Q$2:Q$1073,($C$2:$C$1073=$C73)*($E$2:$E$1073=$E73)*(ROW(Q$2:Q$1073)&lt;&gt;ROW(Q73))*(Q$2:Q$1073&lt;&gt;""))),"")</f>
        <v>0.51223942685887991</v>
      </c>
      <c r="X73" cm="1">
        <f t="array" ref="X73">IFERROR(AVERAGE(_xlfn._xlws.FILTER(R$2:R$1073,($C$2:$C$1073=$C73)*($E$2:$E$1073=$E73)*(ROW(R$2:R$1073)&lt;&gt;ROW(R73))*(R$2:R$1073&lt;&gt;""))),"")</f>
        <v>0.34555947110398355</v>
      </c>
      <c r="Y73" cm="1">
        <f t="array" ref="Y73">IFERROR(AVERAGE(_xlfn._xlws.FILTER(S$2:S$1073,($C$2:$C$1073=$C73)*($E$2:$E$1073=$E73)*(ROW(S$2:S$1073)&lt;&gt;ROW(S73))*(S$2:S$1073&lt;&gt;""))),"")</f>
        <v>0.78593906274644298</v>
      </c>
      <c r="Z73" cm="1">
        <f t="array" ref="Z73">IFERROR(AVERAGE(_xlfn._xlws.FILTER(T$2:T$1073,($C$2:$C$1073=$C73)*($E$2:$E$1073=$E73)*(ROW(T$2:T$1073)&lt;&gt;ROW(T73))*(T$2:T$1073&lt;&gt;""))),"")</f>
        <v>0.1299977766513136</v>
      </c>
      <c r="AA73" cm="1">
        <f t="array" ref="AA73">IFERROR(AVERAGE(_xlfn._xlws.FILTER(U$2:U$1073,($C$2:$C$1073=$C73)*($E$2:$E$1073=$E73)*(ROW(U$2:U$1073)&lt;&gt;ROW(U73))*(U$2:U$1073&lt;&gt;""))),"")</f>
        <v>0.70729575765650188</v>
      </c>
    </row>
    <row r="74" spans="1:27" x14ac:dyDescent="0.2">
      <c r="A74" s="7" t="s">
        <v>2184</v>
      </c>
      <c r="B74" t="str">
        <f t="shared" si="13"/>
        <v>ROSN IV кв. 2017</v>
      </c>
      <c r="C74">
        <v>2017</v>
      </c>
      <c r="D74">
        <f>SUMIFS(Дивиденды!$C:$C,Дивиденды!$A:$A,A74,Дивиденды!$I:$I,C74)</f>
        <v>10.48</v>
      </c>
      <c r="E74">
        <v>1</v>
      </c>
      <c r="F74">
        <f t="shared" si="14"/>
        <v>10.48</v>
      </c>
      <c r="G74">
        <f t="shared" si="15"/>
        <v>46.43</v>
      </c>
      <c r="H74">
        <f t="shared" si="16"/>
        <v>1</v>
      </c>
      <c r="I74">
        <f t="shared" si="12"/>
        <v>0.83333333333333337</v>
      </c>
      <c r="J74">
        <f t="shared" si="17"/>
        <v>0.75250836120401332</v>
      </c>
      <c r="K74">
        <f t="shared" si="21"/>
        <v>0.16873723561871509</v>
      </c>
      <c r="L74">
        <f t="shared" si="18"/>
        <v>1</v>
      </c>
      <c r="M74">
        <f t="shared" si="11"/>
        <v>0.66666666666666663</v>
      </c>
      <c r="N74">
        <f t="shared" si="19"/>
        <v>0</v>
      </c>
      <c r="O74">
        <f t="shared" si="20"/>
        <v>0</v>
      </c>
      <c r="P74">
        <f>IFERROR(LN('Дивиденды по годам'!I74),"")</f>
        <v>30.134667737090602</v>
      </c>
      <c r="Q74">
        <f>IFERROR('Дивиденды по годам'!G74/'Дивиденды по годам'!I74, "")</f>
        <v>0.64799214852375886</v>
      </c>
      <c r="R74">
        <f>IFERROR(IF(AND('Дивиденды по годам'!N74&lt;&gt;"",'Дивиденды по годам'!U74&lt;&gt;"",'Дивиденды по годам'!U74&lt;&gt;0),'Дивиденды по годам'!N74/'Дивиденды по годам'!U74-1,""),"")</f>
        <v>0.20569366479550921</v>
      </c>
      <c r="S74">
        <f>IFERROR(IF(AND('Дивиденды по годам'!L74&lt;&gt;"",'Дивиденды по годам'!I74&lt;&gt;"",'Дивиденды по годам'!J74&lt;&gt;"",'Дивиденды по годам'!K74&lt;&gt;"",('Дивиденды по годам'!I74-'Дивиденды по годам'!J74-'Дивиденды по годам'!K74)&lt;&gt;0),'Дивиденды по годам'!L74/('Дивиденды по годам'!I74-'Дивиденды по годам'!J74-'Дивиденды по годам'!K74),""),"")</f>
        <v>0.7920153000239063</v>
      </c>
      <c r="T74">
        <f>IFERROR(IF(AND('Дивиденды по годам'!Q74&lt;&gt;"",'Дивиденды по годам'!I74&lt;&gt;"",'Дивиденды по годам'!V74&lt;&gt;"",('Дивиденды по годам'!I74+'Дивиденды по годам'!V74)&lt;&gt;0),'Дивиденды по годам'!Q74/(('Дивиденды по годам'!I74+'Дивиденды по годам'!V74)/2),""),"")</f>
        <v>2.5540697424431352E-2</v>
      </c>
      <c r="U74">
        <f>IFERROR(IF(AND('Дивиденды по годам'!J74&lt;&gt;"",'Дивиденды по годам'!K74&lt;&gt;"",'Дивиденды по годам'!M74&lt;&gt;"",'Дивиденды по годам'!M74&lt;&gt;0),('Дивиденды по годам'!J74+'Дивиденды по годам'!K74)/'Дивиденды по годам'!M74,""),"")</f>
        <v>1.9230217547214918</v>
      </c>
      <c r="V74" cm="1">
        <f t="array" ref="V74">IFERROR(AVERAGE(_xlfn._xlws.FILTER(P$2:P$1073,($C$2:$C$1073=$C74)*($E$2:$E$1073=$E74)*(ROW(P$2:P$1073)&lt;&gt;ROW(P74))*(P$2:P$1073&lt;&gt;""))),"")</f>
        <v>28.406944709466064</v>
      </c>
      <c r="W74" cm="1">
        <f t="array" ref="W74">IFERROR(AVERAGE(_xlfn._xlws.FILTER(Q$2:Q$1073,($C$2:$C$1073=$C74)*($E$2:$E$1073=$E74)*(ROW(Q$2:Q$1073)&lt;&gt;ROW(Q74))*(Q$2:Q$1073&lt;&gt;""))),"")</f>
        <v>0.53089458312106885</v>
      </c>
      <c r="X74" cm="1">
        <f t="array" ref="X74">IFERROR(AVERAGE(_xlfn._xlws.FILTER(R$2:R$1073,($C$2:$C$1073=$C74)*($E$2:$E$1073=$E74)*(ROW(R$2:R$1073)&lt;&gt;ROW(R74))*(R$2:R$1073&lt;&gt;""))),"")</f>
        <v>0.14126450005143673</v>
      </c>
      <c r="Y74" cm="1">
        <f t="array" ref="Y74">IFERROR(AVERAGE(_xlfn._xlws.FILTER(S$2:S$1073,($C$2:$C$1073=$C74)*($E$2:$E$1073=$E74)*(ROW(S$2:S$1073)&lt;&gt;ROW(S74))*(S$2:S$1073&lt;&gt;""))),"")</f>
        <v>0.76087018555678076</v>
      </c>
      <c r="Z74" cm="1">
        <f t="array" ref="Z74">IFERROR(AVERAGE(_xlfn._xlws.FILTER(T$2:T$1073,($C$2:$C$1073=$C74)*($E$2:$E$1073=$E74)*(ROW(T$2:T$1073)&lt;&gt;ROW(T74))*(T$2:T$1073&lt;&gt;""))),"")</f>
        <v>8.0837157301036341E-2</v>
      </c>
      <c r="AA74" cm="1">
        <f t="array" ref="AA74">IFERROR(AVERAGE(_xlfn._xlws.FILTER(U$2:U$1073,($C$2:$C$1073=$C74)*($E$2:$E$1073=$E74)*(ROW(U$2:U$1073)&lt;&gt;ROW(U74))*(U$2:U$1073&lt;&gt;""))),"")</f>
        <v>0.74054153926654143</v>
      </c>
    </row>
    <row r="75" spans="1:27" x14ac:dyDescent="0.2">
      <c r="A75" s="7" t="s">
        <v>2184</v>
      </c>
      <c r="B75" t="str">
        <f t="shared" si="13"/>
        <v>ROSN IV кв. 2016</v>
      </c>
      <c r="C75">
        <v>2016</v>
      </c>
      <c r="D75">
        <f>SUMIFS(Дивиденды!$C:$C,Дивиденды!$A:$A,A75,Дивиденды!$I:$I,C75)</f>
        <v>5.98</v>
      </c>
      <c r="E75">
        <v>1</v>
      </c>
      <c r="F75">
        <f t="shared" si="14"/>
        <v>5.98</v>
      </c>
      <c r="G75">
        <f t="shared" si="15"/>
        <v>40.05833333333333</v>
      </c>
      <c r="H75">
        <f t="shared" si="16"/>
        <v>1</v>
      </c>
      <c r="I75">
        <f t="shared" si="12"/>
        <v>0.83333333333333337</v>
      </c>
      <c r="J75">
        <f t="shared" si="17"/>
        <v>-0.49106382978723401</v>
      </c>
      <c r="K75">
        <f t="shared" si="21"/>
        <v>0.20525672188166952</v>
      </c>
      <c r="L75">
        <f t="shared" si="18"/>
        <v>0</v>
      </c>
      <c r="M75">
        <f t="shared" si="11"/>
        <v>0.66666666666666663</v>
      </c>
      <c r="N75">
        <f t="shared" si="19"/>
        <v>1</v>
      </c>
      <c r="O75">
        <f t="shared" si="20"/>
        <v>0</v>
      </c>
      <c r="P75">
        <f>IFERROR(LN('Дивиденды по годам'!I75),"")</f>
        <v>30.031639949193959</v>
      </c>
      <c r="Q75">
        <f>IFERROR('Дивиденды по годам'!G75/'Дивиденды по годам'!I75, "")</f>
        <v>0.64279238440616504</v>
      </c>
      <c r="R75">
        <f>IFERROR(IF(AND('Дивиденды по годам'!N75&lt;&gt;"",'Дивиденды по годам'!U75&lt;&gt;"",'Дивиденды по годам'!U75&lt;&gt;0),'Дивиденды по годам'!N75/'Дивиденды по годам'!U75-1,""),"")</f>
        <v>-3.1456310679611632E-2</v>
      </c>
      <c r="S75">
        <f>IFERROR(IF(AND('Дивиденды по годам'!L75&lt;&gt;"",'Дивиденды по годам'!I75&lt;&gt;"",'Дивиденды по годам'!J75&lt;&gt;"",'Дивиденды по годам'!K75&lt;&gt;"",('Дивиденды по годам'!I75-'Дивиденды по годам'!J75-'Дивиденды по годам'!K75)&lt;&gt;0),'Дивиденды по годам'!L75/('Дивиденды по годам'!I75-'Дивиденды по годам'!J75-'Дивиденды по годам'!K75),""),"")</f>
        <v>0.85936661298980144</v>
      </c>
      <c r="T75">
        <f>IFERROR(IF(AND('Дивиденды по годам'!Q75&lt;&gt;"",'Дивиденды по годам'!I75&lt;&gt;"",'Дивиденды по годам'!V75&lt;&gt;"",('Дивиденды по годам'!I75+'Дивиденды по годам'!V75)&lt;&gt;0),'Дивиденды по годам'!Q75/(('Дивиденды по годам'!I75+'Дивиденды по годам'!V75)/2),""),"")</f>
        <v>1.9450358041416684E-2</v>
      </c>
      <c r="U75">
        <f>IFERROR(IF(AND('Дивиденды по годам'!J75&lt;&gt;"",'Дивиденды по годам'!K75&lt;&gt;"",'Дивиденды по годам'!M75&lt;&gt;"",'Дивиденды по годам'!M75&lt;&gt;0),('Дивиденды по годам'!J75+'Дивиденды по годам'!K75)/'Дивиденды по годам'!M75,""),"")</f>
        <v>1.9602791196994096</v>
      </c>
      <c r="V75" cm="1">
        <f t="array" ref="V75">IFERROR(AVERAGE(_xlfn._xlws.FILTER(P$2:P$1073,($C$2:$C$1073=$C75)*($E$2:$E$1073=$E75)*(ROW(P$2:P$1073)&lt;&gt;ROW(P75))*(P$2:P$1073&lt;&gt;""))),"")</f>
        <v>28.351219852222055</v>
      </c>
      <c r="W75" cm="1">
        <f t="array" ref="W75">IFERROR(AVERAGE(_xlfn._xlws.FILTER(Q$2:Q$1073,($C$2:$C$1073=$C75)*($E$2:$E$1073=$E75)*(ROW(Q$2:Q$1073)&lt;&gt;ROW(Q75))*(Q$2:Q$1073&lt;&gt;""))),"")</f>
        <v>0.51594943509771096</v>
      </c>
      <c r="X75" cm="1">
        <f t="array" ref="X75">IFERROR(AVERAGE(_xlfn._xlws.FILTER(R$2:R$1073,($C$2:$C$1073=$C75)*($E$2:$E$1073=$E75)*(ROW(R$2:R$1073)&lt;&gt;ROW(R75))*(R$2:R$1073&lt;&gt;""))),"")</f>
        <v>1.9558855828036383E-2</v>
      </c>
      <c r="Y75" cm="1">
        <f t="array" ref="Y75">IFERROR(AVERAGE(_xlfn._xlws.FILTER(S$2:S$1073,($C$2:$C$1073=$C75)*($E$2:$E$1073=$E75)*(ROW(S$2:S$1073)&lt;&gt;ROW(S75))*(S$2:S$1073&lt;&gt;""))),"")</f>
        <v>0.7023060090676434</v>
      </c>
      <c r="Z75" cm="1">
        <f t="array" ref="Z75">IFERROR(AVERAGE(_xlfn._xlws.FILTER(T$2:T$1073,($C$2:$C$1073=$C75)*($E$2:$E$1073=$E75)*(ROW(T$2:T$1073)&lt;&gt;ROW(T75))*(T$2:T$1073&lt;&gt;""))),"")</f>
        <v>0.11249214947417423</v>
      </c>
      <c r="AA75" cm="1">
        <f t="array" ref="AA75">IFERROR(AVERAGE(_xlfn._xlws.FILTER(U$2:U$1073,($C$2:$C$1073=$C75)*($E$2:$E$1073=$E75)*(ROW(U$2:U$1073)&lt;&gt;ROW(U75))*(U$2:U$1073&lt;&gt;""))),"")</f>
        <v>0.77590187788564979</v>
      </c>
    </row>
    <row r="76" spans="1:27" x14ac:dyDescent="0.2">
      <c r="A76" s="7" t="s">
        <v>2184</v>
      </c>
      <c r="B76" t="str">
        <f t="shared" si="13"/>
        <v>ROSN IV кв. 2015</v>
      </c>
      <c r="C76">
        <v>2015</v>
      </c>
      <c r="D76">
        <f>SUMIFS(Дивиденды!$C:$C,Дивиденды!$A:$A,A76,Дивиденды!$I:$I,C76)</f>
        <v>11.75</v>
      </c>
      <c r="E76">
        <v>1</v>
      </c>
      <c r="F76">
        <f t="shared" si="14"/>
        <v>11.75</v>
      </c>
      <c r="G76">
        <f t="shared" si="15"/>
        <v>34.991666666666667</v>
      </c>
      <c r="H76">
        <f t="shared" si="16"/>
        <v>1</v>
      </c>
      <c r="I76">
        <f t="shared" si="12"/>
        <v>0.83333333333333337</v>
      </c>
      <c r="J76">
        <f t="shared" si="17"/>
        <v>0.43118148599269168</v>
      </c>
      <c r="K76">
        <f t="shared" si="21"/>
        <v>8.5809556934664744E-2</v>
      </c>
      <c r="L76">
        <f t="shared" si="18"/>
        <v>1</v>
      </c>
      <c r="M76">
        <f t="shared" si="11"/>
        <v>0.66666666666666663</v>
      </c>
      <c r="N76">
        <f t="shared" si="19"/>
        <v>0</v>
      </c>
      <c r="O76">
        <f t="shared" si="20"/>
        <v>0.16666666666666666</v>
      </c>
      <c r="P76">
        <f>IFERROR(LN('Дивиденды по годам'!I76),"")</f>
        <v>29.89673473414669</v>
      </c>
      <c r="Q76">
        <f>IFERROR('Дивиденды по годам'!G76/'Дивиденды по годам'!I76, "")</f>
        <v>0.61164141938161443</v>
      </c>
      <c r="R76">
        <f>IFERROR(IF(AND('Дивиденды по годам'!N76&lt;&gt;"",'Дивиденды по годам'!U76&lt;&gt;"",'Дивиденды по годам'!U76&lt;&gt;0),'Дивиденды по годам'!N76/'Дивиденды по годам'!U76-1,""),"")</f>
        <v>-6.4146829002362349E-2</v>
      </c>
      <c r="S76">
        <f>IFERROR(IF(AND('Дивиденды по годам'!L76&lt;&gt;"",'Дивиденды по годам'!I76&lt;&gt;"",'Дивиденды по годам'!J76&lt;&gt;"",'Дивиденды по годам'!K76&lt;&gt;"",('Дивиденды по годам'!I76-'Дивиденды по годам'!J76-'Дивиденды по годам'!K76)&lt;&gt;0),'Дивиденды по годам'!L76/('Дивиденды по годам'!I76-'Дивиденды по годам'!J76-'Дивиденды по годам'!K76),""),"")</f>
        <v>1.0740867190167294</v>
      </c>
      <c r="T76">
        <f>IFERROR(IF(AND('Дивиденды по годам'!Q76&lt;&gt;"",'Дивиденды по годам'!I76&lt;&gt;"",'Дивиденды по годам'!V76&lt;&gt;"",('Дивиденды по годам'!I76+'Дивиденды по годам'!V76)&lt;&gt;0),'Дивиденды по годам'!Q76/(('Дивиденды по годам'!I76+'Дивиденды по годам'!V76)/2),""),"")</f>
        <v>3.8750408185479479E-2</v>
      </c>
      <c r="U76">
        <f>IFERROR(IF(AND('Дивиденды по годам'!J76&lt;&gt;"",'Дивиденды по годам'!K76&lt;&gt;"",'Дивиденды по годам'!M76&lt;&gt;"",'Дивиденды по годам'!M76&lt;&gt;0),('Дивиденды по годам'!J76+'Дивиденды по годам'!K76)/'Дивиденды по годам'!M76,""),"")</f>
        <v>2.290542847388187</v>
      </c>
      <c r="V76" cm="1">
        <f t="array" ref="V76">IFERROR(AVERAGE(_xlfn._xlws.FILTER(P$2:P$1073,($C$2:$C$1073=$C76)*($E$2:$E$1073=$E76)*(ROW(P$2:P$1073)&lt;&gt;ROW(P76))*(P$2:P$1073&lt;&gt;""))),"")</f>
        <v>28.141982938932934</v>
      </c>
      <c r="W76" cm="1">
        <f t="array" ref="W76">IFERROR(AVERAGE(_xlfn._xlws.FILTER(Q$2:Q$1073,($C$2:$C$1073=$C76)*($E$2:$E$1073=$E76)*(ROW(Q$2:Q$1073)&lt;&gt;ROW(Q76))*(Q$2:Q$1073&lt;&gt;""))),"")</f>
        <v>0.57825315739830874</v>
      </c>
      <c r="X76" cm="1">
        <f t="array" ref="X76">IFERROR(AVERAGE(_xlfn._xlws.FILTER(R$2:R$1073,($C$2:$C$1073=$C76)*($E$2:$E$1073=$E76)*(ROW(R$2:R$1073)&lt;&gt;ROW(R76))*(R$2:R$1073&lt;&gt;""))),"")</f>
        <v>0.15115635447710213</v>
      </c>
      <c r="Y76" cm="1">
        <f t="array" ref="Y76">IFERROR(AVERAGE(_xlfn._xlws.FILTER(S$2:S$1073,($C$2:$C$1073=$C76)*($E$2:$E$1073=$E76)*(ROW(S$2:S$1073)&lt;&gt;ROW(S76))*(S$2:S$1073&lt;&gt;""))),"")</f>
        <v>0.90659078932634996</v>
      </c>
      <c r="Z76" cm="1">
        <f t="array" ref="Z76">IFERROR(AVERAGE(_xlfn._xlws.FILTER(T$2:T$1073,($C$2:$C$1073=$C76)*($E$2:$E$1073=$E76)*(ROW(T$2:T$1073)&lt;&gt;ROW(T76))*(T$2:T$1073&lt;&gt;""))),"")</f>
        <v>8.6136670793836773E-2</v>
      </c>
      <c r="AA76" cm="1">
        <f t="array" ref="AA76">IFERROR(AVERAGE(_xlfn._xlws.FILTER(U$2:U$1073,($C$2:$C$1073=$C76)*($E$2:$E$1073=$E76)*(ROW(U$2:U$1073)&lt;&gt;ROW(U76))*(U$2:U$1073&lt;&gt;""))),"")</f>
        <v>-1.6127530709802147</v>
      </c>
    </row>
    <row r="77" spans="1:27" x14ac:dyDescent="0.2">
      <c r="A77" s="7" t="s">
        <v>2184</v>
      </c>
      <c r="B77" t="str">
        <f t="shared" si="13"/>
        <v>ROSN IV кв. 2014</v>
      </c>
      <c r="C77">
        <v>2014</v>
      </c>
      <c r="D77">
        <f>SUMIFS(Дивиденды!$C:$C,Дивиденды!$A:$A,A77,Дивиденды!$I:$I,C77)</f>
        <v>8.2100000000000009</v>
      </c>
      <c r="E77">
        <v>1</v>
      </c>
      <c r="F77">
        <f t="shared" si="14"/>
        <v>8.2100000000000009</v>
      </c>
      <c r="G77">
        <f t="shared" si="15"/>
        <v>30.455000000000002</v>
      </c>
      <c r="H77">
        <f t="shared" si="16"/>
        <v>1</v>
      </c>
      <c r="I77">
        <f t="shared" si="12"/>
        <v>0.83333333333333337</v>
      </c>
      <c r="J77">
        <f t="shared" si="17"/>
        <v>-0.36108949416342406</v>
      </c>
      <c r="K77">
        <f t="shared" si="21"/>
        <v>0.17905399578345629</v>
      </c>
      <c r="L77">
        <f t="shared" si="18"/>
        <v>0</v>
      </c>
      <c r="M77">
        <f t="shared" si="11"/>
        <v>0.66666666666666663</v>
      </c>
      <c r="N77">
        <f t="shared" si="19"/>
        <v>1</v>
      </c>
      <c r="O77">
        <f t="shared" si="20"/>
        <v>0</v>
      </c>
      <c r="P77">
        <f>IFERROR(LN('Дивиденды по годам'!I77),"")</f>
        <v>29.798473534931098</v>
      </c>
      <c r="Q77">
        <f>IFERROR('Дивиденды по годам'!G77/'Дивиденды по годам'!I77, "")</f>
        <v>0.64858058608058611</v>
      </c>
      <c r="R77">
        <f>IFERROR(IF(AND('Дивиденды по годам'!N77&lt;&gt;"",'Дивиденды по годам'!U77&lt;&gt;"",'Дивиденды по годам'!U77&lt;&gt;0),'Дивиденды по годам'!N77/'Дивиденды по годам'!U77-1,""),"")</f>
        <v>0.17234767788666372</v>
      </c>
      <c r="S77">
        <f>IFERROR(IF(AND('Дивиденды по годам'!L77&lt;&gt;"",'Дивиденды по годам'!I77&lt;&gt;"",'Дивиденды по годам'!J77&lt;&gt;"",'Дивиденды по годам'!K77&lt;&gt;"",('Дивиденды по годам'!I77-'Дивиденды по годам'!J77-'Дивиденды по годам'!K77)&lt;&gt;0),'Дивиденды по годам'!L77/('Дивиденды по годам'!I77-'Дивиденды по годам'!J77-'Дивиденды по годам'!K77),""),"")</f>
        <v>0.99895869489760503</v>
      </c>
      <c r="T77">
        <f>IFERROR(IF(AND('Дивиденды по годам'!Q77&lt;&gt;"",'Дивиденды по годам'!I77&lt;&gt;"",'Дивиденды по годам'!V77&lt;&gt;"",('Дивиденды по годам'!I77+'Дивиденды по годам'!V77)&lt;&gt;0),'Дивиденды по годам'!Q77/(('Дивиденды по годам'!I77+'Дивиденды по годам'!V77)/2),""),"")</f>
        <v>4.3013395600344104E-2</v>
      </c>
      <c r="U77">
        <f>IFERROR(IF(AND('Дивиденды по годам'!J77&lt;&gt;"",'Дивиденды по годам'!K77&lt;&gt;"",'Дивиденды по годам'!M77&lt;&gt;"",'Дивиденды по годам'!M77&lt;&gt;0),('Дивиденды по годам'!J77+'Дивиденды по годам'!K77)/'Дивиденды по годам'!M77,""),"")</f>
        <v>2.0322804581742449</v>
      </c>
      <c r="V77" cm="1">
        <f t="array" ref="V77">IFERROR(AVERAGE(_xlfn._xlws.FILTER(P$2:P$1073,($C$2:$C$1073=$C77)*($E$2:$E$1073=$E77)*(ROW(P$2:P$1073)&lt;&gt;ROW(P77))*(P$2:P$1073&lt;&gt;""))),"")</f>
        <v>28.510418833315345</v>
      </c>
      <c r="W77" cm="1">
        <f t="array" ref="W77">IFERROR(AVERAGE(_xlfn._xlws.FILTER(Q$2:Q$1073,($C$2:$C$1073=$C77)*($E$2:$E$1073=$E77)*(ROW(Q$2:Q$1073)&lt;&gt;ROW(Q77))*(Q$2:Q$1073&lt;&gt;""))),"")</f>
        <v>0.62352010419764348</v>
      </c>
      <c r="X77" cm="1">
        <f t="array" ref="X77">IFERROR(AVERAGE(_xlfn._xlws.FILTER(R$2:R$1073,($C$2:$C$1073=$C77)*($E$2:$E$1073=$E77)*(ROW(R$2:R$1073)&lt;&gt;ROW(R77))*(R$2:R$1073&lt;&gt;""))),"")</f>
        <v>0.13776034315948915</v>
      </c>
      <c r="Y77" cm="1">
        <f t="array" ref="Y77">IFERROR(AVERAGE(_xlfn._xlws.FILTER(S$2:S$1073,($C$2:$C$1073=$C77)*($E$2:$E$1073=$E77)*(ROW(S$2:S$1073)&lt;&gt;ROW(S77))*(S$2:S$1073&lt;&gt;""))),"")</f>
        <v>0.920380922213349</v>
      </c>
      <c r="Z77" cm="1">
        <f t="array" ref="Z77">IFERROR(AVERAGE(_xlfn._xlws.FILTER(T$2:T$1073,($C$2:$C$1073=$C77)*($E$2:$E$1073=$E77)*(ROW(T$2:T$1073)&lt;&gt;ROW(T77))*(T$2:T$1073&lt;&gt;""))),"")</f>
        <v>6.3368740425179981E-2</v>
      </c>
      <c r="AA77" cm="1">
        <f t="array" ref="AA77">IFERROR(AVERAGE(_xlfn._xlws.FILTER(U$2:U$1073,($C$2:$C$1073=$C77)*($E$2:$E$1073=$E77)*(ROW(U$2:U$1073)&lt;&gt;ROW(U77))*(U$2:U$1073&lt;&gt;""))),"")</f>
        <v>0.48470318218311514</v>
      </c>
    </row>
    <row r="78" spans="1:27" x14ac:dyDescent="0.2">
      <c r="A78" s="7" t="s">
        <v>2184</v>
      </c>
      <c r="B78" t="str">
        <f t="shared" si="13"/>
        <v>ROSN IV кв. 2013</v>
      </c>
      <c r="C78">
        <v>2013</v>
      </c>
      <c r="D78">
        <f>SUMIFS(Дивиденды!$C:$C,Дивиденды!$A:$A,A78,Дивиденды!$I:$I,C78)</f>
        <v>12.85</v>
      </c>
      <c r="E78">
        <v>1</v>
      </c>
      <c r="F78">
        <f t="shared" si="14"/>
        <v>12.85</v>
      </c>
      <c r="G78">
        <f t="shared" si="15"/>
        <v>22.319999999999997</v>
      </c>
      <c r="H78">
        <f t="shared" si="16"/>
        <v>1</v>
      </c>
      <c r="I78">
        <f t="shared" si="12"/>
        <v>0.83333333333333337</v>
      </c>
      <c r="J78">
        <f t="shared" si="17"/>
        <v>0.59627329192546563</v>
      </c>
      <c r="K78">
        <f t="shared" si="21"/>
        <v>0.12189134631686412</v>
      </c>
      <c r="L78">
        <f t="shared" si="18"/>
        <v>1</v>
      </c>
      <c r="M78">
        <f t="shared" si="11"/>
        <v>0.66666666666666663</v>
      </c>
      <c r="N78">
        <f t="shared" si="19"/>
        <v>0</v>
      </c>
      <c r="O78">
        <f t="shared" si="20"/>
        <v>0.16666666666666666</v>
      </c>
      <c r="P78">
        <f>IFERROR(LN('Дивиденды по годам'!I78),"")</f>
        <v>29.650978010773493</v>
      </c>
      <c r="Q78">
        <f>IFERROR('Дивиденды по годам'!G78/'Дивиденды по годам'!I78, "")</f>
        <v>0.70708410719023618</v>
      </c>
      <c r="R78">
        <f>IFERROR(IF(AND('Дивиденды по годам'!N78&lt;&gt;"",'Дивиденды по годам'!U78&lt;&gt;"",'Дивиденды по годам'!U78&lt;&gt;0),'Дивиденды по годам'!N78/'Дивиденды по годам'!U78-1,""),"")</f>
        <v>0.5250162443144899</v>
      </c>
      <c r="S78">
        <f>IFERROR(IF(AND('Дивиденды по годам'!L78&lt;&gt;"",'Дивиденды по годам'!I78&lt;&gt;"",'Дивиденды по годам'!J78&lt;&gt;"",'Дивиденды по годам'!K78&lt;&gt;"",('Дивиденды по годам'!I78-'Дивиденды по годам'!J78-'Дивиденды по годам'!K78)&lt;&gt;0),'Дивиденды по годам'!L78/('Дивиденды по годам'!I78-'Дивиденды по годам'!J78-'Дивиденды по годам'!K78),""),"")</f>
        <v>0.84107424960505528</v>
      </c>
      <c r="T78">
        <f>IFERROR(IF(AND('Дивиденды по годам'!Q78&lt;&gt;"",'Дивиденды по годам'!I78&lt;&gt;"",'Дивиденды по годам'!V78&lt;&gt;"",('Дивиденды по годам'!I78+'Дивиденды по годам'!V78)&lt;&gt;0),'Дивиденды по годам'!Q78/(('Дивиденды по годам'!I78+'Дивиденды по годам'!V78)/2),""),"")</f>
        <v>9.6700596700596705E-2</v>
      </c>
      <c r="U78">
        <f>IFERROR(IF(AND('Дивиденды по годам'!J78&lt;&gt;"",'Дивиденды по годам'!K78&lt;&gt;"",'Дивиденды по годам'!M78&lt;&gt;"",'Дивиденды по годам'!M78&lt;&gt;0),('Дивиденды по годам'!J78+'Дивиденды по годам'!K78)/'Дивиденды по годам'!M78,""),"")</f>
        <v>1.3816745655608216</v>
      </c>
      <c r="V78" cm="1">
        <f t="array" ref="V78">IFERROR(AVERAGE(_xlfn._xlws.FILTER(P$2:P$1073,($C$2:$C$1073=$C78)*($E$2:$E$1073=$E78)*(ROW(P$2:P$1073)&lt;&gt;ROW(P78))*(P$2:P$1073&lt;&gt;""))),"")</f>
        <v>28.365638357557998</v>
      </c>
      <c r="W78" cm="1">
        <f t="array" ref="W78">IFERROR(AVERAGE(_xlfn._xlws.FILTER(Q$2:Q$1073,($C$2:$C$1073=$C78)*($E$2:$E$1073=$E78)*(ROW(Q$2:Q$1073)&lt;&gt;ROW(Q78))*(Q$2:Q$1073&lt;&gt;""))),"")</f>
        <v>0.62618396829590639</v>
      </c>
      <c r="X78" cm="1">
        <f t="array" ref="X78">IFERROR(AVERAGE(_xlfn._xlws.FILTER(R$2:R$1073,($C$2:$C$1073=$C78)*($E$2:$E$1073=$E78)*(ROW(R$2:R$1073)&lt;&gt;ROW(R78))*(R$2:R$1073&lt;&gt;""))),"")</f>
        <v>0.14556824979858057</v>
      </c>
      <c r="Y78" cm="1">
        <f t="array" ref="Y78">IFERROR(AVERAGE(_xlfn._xlws.FILTER(S$2:S$1073,($C$2:$C$1073=$C78)*($E$2:$E$1073=$E78)*(ROW(S$2:S$1073)&lt;&gt;ROW(S78))*(S$2:S$1073&lt;&gt;""))),"")</f>
        <v>0.91012541439338968</v>
      </c>
      <c r="Z78" cm="1">
        <f t="array" ref="Z78">IFERROR(AVERAGE(_xlfn._xlws.FILTER(T$2:T$1073,($C$2:$C$1073=$C78)*($E$2:$E$1073=$E78)*(ROW(T$2:T$1073)&lt;&gt;ROW(T78))*(T$2:T$1073&lt;&gt;""))),"")</f>
        <v>0.12320273384913959</v>
      </c>
      <c r="AA78" cm="1">
        <f t="array" ref="AA78">IFERROR(AVERAGE(_xlfn._xlws.FILTER(U$2:U$1073,($C$2:$C$1073=$C78)*($E$2:$E$1073=$E78)*(ROW(U$2:U$1073)&lt;&gt;ROW(U78))*(U$2:U$1073&lt;&gt;""))),"")</f>
        <v>0.43073827013589761</v>
      </c>
    </row>
    <row r="79" spans="1:27" x14ac:dyDescent="0.2">
      <c r="A79" s="7" t="s">
        <v>2184</v>
      </c>
      <c r="B79" t="str">
        <f t="shared" si="13"/>
        <v>ROSN IV кв. 2012</v>
      </c>
      <c r="C79">
        <v>2012</v>
      </c>
      <c r="D79">
        <f>SUMIFS(Дивиденды!$C:$C,Дивиденды!$A:$A,A79,Дивиденды!$I:$I,C79)</f>
        <v>8.0500000000000007</v>
      </c>
      <c r="E79">
        <v>1</v>
      </c>
      <c r="F79">
        <f t="shared" si="14"/>
        <v>8.0500000000000007</v>
      </c>
      <c r="G79">
        <f t="shared" si="15"/>
        <v>18.658333333333331</v>
      </c>
      <c r="H79">
        <f t="shared" si="16"/>
        <v>1</v>
      </c>
      <c r="I79">
        <f t="shared" si="12"/>
        <v>0.83333333333333337</v>
      </c>
      <c r="J79">
        <f t="shared" si="17"/>
        <v>6.9057104913678682E-2</v>
      </c>
      <c r="K79">
        <f t="shared" si="21"/>
        <v>9.8562376786400143E-3</v>
      </c>
      <c r="L79">
        <f t="shared" si="18"/>
        <v>1</v>
      </c>
      <c r="M79">
        <f t="shared" si="11"/>
        <v>0.5</v>
      </c>
      <c r="N79">
        <f t="shared" si="19"/>
        <v>0</v>
      </c>
      <c r="O79">
        <f t="shared" si="20"/>
        <v>0.33333333333333331</v>
      </c>
      <c r="P79">
        <f>IFERROR(LN('Дивиденды по годам'!I79),"")</f>
        <v>28.981170030412084</v>
      </c>
      <c r="Q79">
        <f>IFERROR('Дивиденды по годам'!G79/'Дивиденды по годам'!I79, "")</f>
        <v>0.63789528252980821</v>
      </c>
      <c r="R79">
        <f>IFERROR(IF(AND('Дивиденды по годам'!N79&lt;&gt;"",'Дивиденды по годам'!U79&lt;&gt;"",'Дивиденды по годам'!U79&lt;&gt;0),'Дивиденды по годам'!N79/'Дивиденды по годам'!U79-1,""),"")</f>
        <v>0.13915618060695789</v>
      </c>
      <c r="S79">
        <f>IFERROR(IF(AND('Дивиденды по годам'!L79&lt;&gt;"",'Дивиденды по годам'!I79&lt;&gt;"",'Дивиденды по годам'!J79&lt;&gt;"",'Дивиденды по годам'!K79&lt;&gt;"",('Дивиденды по годам'!I79-'Дивиденды по годам'!J79-'Дивиденды по годам'!K79)&lt;&gt;0),'Дивиденды по годам'!L79/('Дивиденды по годам'!I79-'Дивиденды по годам'!J79-'Дивиденды по годам'!K79),""),"")</f>
        <v>0.9474845542806708</v>
      </c>
      <c r="T79">
        <f>IFERROR(IF(AND('Дивиденды по годам'!Q79&lt;&gt;"",'Дивиденды по годам'!I79&lt;&gt;"",'Дивиденды по годам'!V79&lt;&gt;"",('Дивиденды по годам'!I79+'Дивиденды по годам'!V79)&lt;&gt;0),'Дивиденды по годам'!Q79/(('Дивиденды по годам'!I79+'Дивиденды по годам'!V79)/2),""),"")</f>
        <v>9.4540428472702137E-2</v>
      </c>
      <c r="U79">
        <f>IFERROR(IF(AND('Дивиденды по годам'!J79&lt;&gt;"",'Дивиденды по годам'!K79&lt;&gt;"",'Дивиденды по годам'!M79&lt;&gt;"",'Дивиденды по годам'!M79&lt;&gt;0),('Дивиденды по годам'!J79+'Дивиденды по годам'!K79)/'Дивиденды по годам'!M79,""),"")</f>
        <v>0.70255957634598409</v>
      </c>
      <c r="V79" cm="1">
        <f t="array" ref="V79">IFERROR(AVERAGE(_xlfn._xlws.FILTER(P$2:P$1073,($C$2:$C$1073=$C79)*($E$2:$E$1073=$E79)*(ROW(P$2:P$1073)&lt;&gt;ROW(P79))*(P$2:P$1073&lt;&gt;""))),"")</f>
        <v>28.226706602705736</v>
      </c>
      <c r="W79" cm="1">
        <f t="array" ref="W79">IFERROR(AVERAGE(_xlfn._xlws.FILTER(Q$2:Q$1073,($C$2:$C$1073=$C79)*($E$2:$E$1073=$E79)*(ROW(Q$2:Q$1073)&lt;&gt;ROW(Q79))*(Q$2:Q$1073&lt;&gt;""))),"")</f>
        <v>0.61543507541850173</v>
      </c>
      <c r="X79" cm="1">
        <f t="array" ref="X79">IFERROR(AVERAGE(_xlfn._xlws.FILTER(R$2:R$1073,($C$2:$C$1073=$C79)*($E$2:$E$1073=$E79)*(ROW(R$2:R$1073)&lt;&gt;ROW(R79))*(R$2:R$1073&lt;&gt;""))),"")</f>
        <v>1.1736306551868358E-2</v>
      </c>
      <c r="Y79" cm="1">
        <f t="array" ref="Y79">IFERROR(AVERAGE(_xlfn._xlws.FILTER(S$2:S$1073,($C$2:$C$1073=$C79)*($E$2:$E$1073=$E79)*(ROW(S$2:S$1073)&lt;&gt;ROW(S79))*(S$2:S$1073&lt;&gt;""))),"")</f>
        <v>0.89584422449173085</v>
      </c>
      <c r="Z79" cm="1">
        <f t="array" ref="Z79">IFERROR(AVERAGE(_xlfn._xlws.FILTER(T$2:T$1073,($C$2:$C$1073=$C79)*($E$2:$E$1073=$E79)*(ROW(T$2:T$1073)&lt;&gt;ROW(T79))*(T$2:T$1073&lt;&gt;""))),"")</f>
        <v>0.12801743980005237</v>
      </c>
      <c r="AA79" cm="1">
        <f t="array" ref="AA79">IFERROR(AVERAGE(_xlfn._xlws.FILTER(U$2:U$1073,($C$2:$C$1073=$C79)*($E$2:$E$1073=$E79)*(ROW(U$2:U$1073)&lt;&gt;ROW(U79))*(U$2:U$1073&lt;&gt;""))),"")</f>
        <v>0.43098663098724721</v>
      </c>
    </row>
    <row r="80" spans="1:27" x14ac:dyDescent="0.2">
      <c r="A80" s="7" t="s">
        <v>2184</v>
      </c>
      <c r="B80" t="str">
        <f t="shared" si="13"/>
        <v>ROSN IV кв. 2011</v>
      </c>
      <c r="C80">
        <v>2011</v>
      </c>
      <c r="D80">
        <f>SUMIFS(Дивиденды!$C:$C,Дивиденды!$A:$A,A80,Дивиденды!$I:$I,C80)</f>
        <v>7.53</v>
      </c>
      <c r="E80">
        <v>1</v>
      </c>
      <c r="F80">
        <f t="shared" si="14"/>
        <v>7.53</v>
      </c>
      <c r="G80">
        <f t="shared" si="15"/>
        <v>16.274999999999999</v>
      </c>
      <c r="H80">
        <f t="shared" si="16"/>
        <v>1</v>
      </c>
      <c r="I80">
        <f t="shared" si="12"/>
        <v>0.83333333333333337</v>
      </c>
      <c r="J80">
        <f t="shared" si="17"/>
        <v>1.7282608695652177</v>
      </c>
      <c r="K80">
        <f t="shared" si="21"/>
        <v>0.45190252271419129</v>
      </c>
      <c r="L80">
        <f t="shared" si="18"/>
        <v>1</v>
      </c>
      <c r="M80">
        <f t="shared" si="11"/>
        <v>0.83333333333333337</v>
      </c>
      <c r="N80">
        <f t="shared" si="19"/>
        <v>0</v>
      </c>
      <c r="O80">
        <f t="shared" si="20"/>
        <v>0</v>
      </c>
      <c r="P80">
        <f>IFERROR(LN('Дивиденды по годам'!I80),"")</f>
        <v>28.84800885733198</v>
      </c>
      <c r="Q80">
        <f>IFERROR('Дивиденды по годам'!G80/'Дивиденды по годам'!I80, "")</f>
        <v>0.66064554338169978</v>
      </c>
      <c r="R80">
        <f>IFERROR(IF(AND('Дивиденды по годам'!N80&lt;&gt;"",'Дивиденды по годам'!U80&lt;&gt;"",'Дивиденды по годам'!U80&lt;&gt;0),'Дивиденды по годам'!N80/'Дивиденды по годам'!U80-1,""),"")</f>
        <v>0.41096605744125325</v>
      </c>
      <c r="S80">
        <f>IFERROR(IF(AND('Дивиденды по годам'!L80&lt;&gt;"",'Дивиденды по годам'!I80&lt;&gt;"",'Дивиденды по годам'!J80&lt;&gt;"",'Дивиденды по годам'!K80&lt;&gt;"",('Дивиденды по годам'!I80-'Дивиденды по годам'!J80-'Дивиденды по годам'!K80)&lt;&gt;0),'Дивиденды по годам'!L80/('Дивиденды по годам'!I80-'Дивиденды по годам'!J80-'Дивиденды по годам'!K80),""),"")</f>
        <v>0.90720154664088937</v>
      </c>
      <c r="T80">
        <f>IFERROR(IF(AND('Дивиденды по годам'!Q80&lt;&gt;"",'Дивиденды по годам'!I80&lt;&gt;"",'Дивиденды по годам'!V80&lt;&gt;"",('Дивиденды по годам'!I80+'Дивиденды по годам'!V80)&lt;&gt;0),'Дивиденды по годам'!Q80/(('Дивиденды по годам'!I80+'Дивиденды по годам'!V80)/2),""),"")</f>
        <v>9.9812265331664582E-2</v>
      </c>
      <c r="U80">
        <f>IFERROR(IF(AND('Дивиденды по годам'!J80&lt;&gt;"",'Дивиденды по годам'!K80&lt;&gt;"",'Дивиденды по годам'!M80&lt;&gt;"",'Дивиденды по годам'!M80&lt;&gt;0),('Дивиденды по годам'!J80+'Дивиденды по годам'!K80)/'Дивиденды по годам'!M80,""),"")</f>
        <v>0.63218946350894156</v>
      </c>
      <c r="V80" cm="1">
        <f t="array" ref="V80">IFERROR(AVERAGE(_xlfn._xlws.FILTER(P$2:P$1073,($C$2:$C$1073=$C80)*($E$2:$E$1073=$E80)*(ROW(P$2:P$1073)&lt;&gt;ROW(P80))*(P$2:P$1073&lt;&gt;""))),"")</f>
        <v>28.118777623138786</v>
      </c>
      <c r="W80" cm="1">
        <f t="array" ref="W80">IFERROR(AVERAGE(_xlfn._xlws.FILTER(Q$2:Q$1073,($C$2:$C$1073=$C80)*($E$2:$E$1073=$E80)*(ROW(Q$2:Q$1073)&lt;&gt;ROW(Q80))*(Q$2:Q$1073&lt;&gt;""))),"")</f>
        <v>0.59009133911713807</v>
      </c>
      <c r="X80" cm="1">
        <f t="array" ref="X80">IFERROR(AVERAGE(_xlfn._xlws.FILTER(R$2:R$1073,($C$2:$C$1073=$C80)*($E$2:$E$1073=$E80)*(ROW(R$2:R$1073)&lt;&gt;ROW(R80))*(R$2:R$1073&lt;&gt;""))),"")</f>
        <v>0.33556903873571553</v>
      </c>
      <c r="Y80" cm="1">
        <f t="array" ref="Y80">IFERROR(AVERAGE(_xlfn._xlws.FILTER(S$2:S$1073,($C$2:$C$1073=$C80)*($E$2:$E$1073=$E80)*(ROW(S$2:S$1073)&lt;&gt;ROW(S80))*(S$2:S$1073&lt;&gt;""))),"")</f>
        <v>0.87631293745986105</v>
      </c>
      <c r="Z80" cm="1">
        <f t="array" ref="Z80">IFERROR(AVERAGE(_xlfn._xlws.FILTER(T$2:T$1073,($C$2:$C$1073=$C80)*($E$2:$E$1073=$E80)*(ROW(T$2:T$1073)&lt;&gt;ROW(T80))*(T$2:T$1073&lt;&gt;""))),"")</f>
        <v>0.17691356611538855</v>
      </c>
      <c r="AA80" cm="1">
        <f t="array" ref="AA80">IFERROR(AVERAGE(_xlfn._xlws.FILTER(U$2:U$1073,($C$2:$C$1073=$C80)*($E$2:$E$1073=$E80)*(ROW(U$2:U$1073)&lt;&gt;ROW(U80))*(U$2:U$1073&lt;&gt;""))),"")</f>
        <v>0.47475592786873022</v>
      </c>
    </row>
    <row r="81" spans="1:27" x14ac:dyDescent="0.2">
      <c r="A81" s="7" t="s">
        <v>2184</v>
      </c>
      <c r="B81" t="str">
        <f t="shared" si="13"/>
        <v>ROSN IV кв. 2010</v>
      </c>
      <c r="C81">
        <v>2010</v>
      </c>
      <c r="D81">
        <f>SUMIFS(Дивиденды!$C:$C,Дивиденды!$A:$A,A81,Дивиденды!$I:$I,C81)</f>
        <v>2.76</v>
      </c>
      <c r="E81">
        <v>1</v>
      </c>
      <c r="F81">
        <f t="shared" si="14"/>
        <v>2.76</v>
      </c>
      <c r="G81">
        <f t="shared" si="15"/>
        <v>12.061666666666666</v>
      </c>
      <c r="H81">
        <f t="shared" si="16"/>
        <v>1</v>
      </c>
      <c r="I81">
        <f t="shared" si="12"/>
        <v>0.83333333333333337</v>
      </c>
      <c r="J81" t="str">
        <f t="shared" si="17"/>
        <v/>
      </c>
      <c r="K81" t="str">
        <f t="shared" si="21"/>
        <v/>
      </c>
      <c r="L81" t="str">
        <f t="shared" si="18"/>
        <v/>
      </c>
      <c r="M81" t="str">
        <f t="shared" si="11"/>
        <v/>
      </c>
      <c r="N81" t="str">
        <f t="shared" si="19"/>
        <v/>
      </c>
      <c r="O81" t="str">
        <f t="shared" si="20"/>
        <v/>
      </c>
      <c r="P81" t="str">
        <f>IFERROR(LN('Дивиденды по годам'!I81),"")</f>
        <v/>
      </c>
      <c r="Q81" t="str">
        <f>IFERROR('Дивиденды по годам'!G81/'Дивиденды по годам'!I81, "")</f>
        <v/>
      </c>
      <c r="R81" t="str">
        <f>IFERROR(IF(AND('Дивиденды по годам'!N81&lt;&gt;"",'Дивиденды по годам'!U81&lt;&gt;"",'Дивиденды по годам'!U81&lt;&gt;0),'Дивиденды по годам'!N81/'Дивиденды по годам'!U81-1,""),"")</f>
        <v/>
      </c>
      <c r="S81" t="str">
        <f>IFERROR(IF(AND('Дивиденды по годам'!L81&lt;&gt;"",'Дивиденды по годам'!I81&lt;&gt;"",'Дивиденды по годам'!J81&lt;&gt;"",'Дивиденды по годам'!K81&lt;&gt;"",('Дивиденды по годам'!I81-'Дивиденды по годам'!J81-'Дивиденды по годам'!K81)&lt;&gt;0),'Дивиденды по годам'!L81/('Дивиденды по годам'!I81-'Дивиденды по годам'!J81-'Дивиденды по годам'!K81),""),"")</f>
        <v/>
      </c>
      <c r="T81" t="str">
        <f>IFERROR(IF(AND('Дивиденды по годам'!Q81&lt;&gt;"",'Дивиденды по годам'!I81&lt;&gt;"",'Дивиденды по годам'!V81&lt;&gt;"",('Дивиденды по годам'!I81+'Дивиденды по годам'!V81)&lt;&gt;0),'Дивиденды по годам'!Q81/(('Дивиденды по годам'!I81+'Дивиденды по годам'!V81)/2),""),"")</f>
        <v/>
      </c>
      <c r="U81" t="str">
        <f>IFERROR(IF(AND('Дивиденды по годам'!J81&lt;&gt;"",'Дивиденды по годам'!K81&lt;&gt;"",'Дивиденды по годам'!M81&lt;&gt;"",'Дивиденды по годам'!M81&lt;&gt;0),('Дивиденды по годам'!J81+'Дивиденды по годам'!K81)/'Дивиденды по годам'!M81,""),"")</f>
        <v/>
      </c>
      <c r="V81" cm="1">
        <f t="array" ref="V81">IFERROR(AVERAGE(_xlfn._xlws.FILTER(P$2:P$1073,($C$2:$C$1073=$C81)*($E$2:$E$1073=$E81)*(ROW(P$2:P$1073)&lt;&gt;ROW(P81))*(P$2:P$1073&lt;&gt;""))),"")</f>
        <v>28.26609277365635</v>
      </c>
      <c r="W81" cm="1">
        <f t="array" ref="W81">IFERROR(AVERAGE(_xlfn._xlws.FILTER(Q$2:Q$1073,($C$2:$C$1073=$C81)*($E$2:$E$1073=$E81)*(ROW(Q$2:Q$1073)&lt;&gt;ROW(Q81))*(Q$2:Q$1073&lt;&gt;""))),"")</f>
        <v>0.63165964928088458</v>
      </c>
      <c r="X81" cm="1">
        <f t="array" ref="X81">IFERROR(AVERAGE(_xlfn._xlws.FILTER(R$2:R$1073,($C$2:$C$1073=$C81)*($E$2:$E$1073=$E81)*(ROW(R$2:R$1073)&lt;&gt;ROW(R81))*(R$2:R$1073&lt;&gt;""))),"")</f>
        <v>0.23861324477859247</v>
      </c>
      <c r="Y81" cm="1">
        <f t="array" ref="Y81">IFERROR(AVERAGE(_xlfn._xlws.FILTER(S$2:S$1073,($C$2:$C$1073=$C81)*($E$2:$E$1073=$E81)*(ROW(S$2:S$1073)&lt;&gt;ROW(S81))*(S$2:S$1073&lt;&gt;""))),"")</f>
        <v>0.85870775810089295</v>
      </c>
      <c r="Z81" cm="1">
        <f t="array" ref="Z81">IFERROR(AVERAGE(_xlfn._xlws.FILTER(T$2:T$1073,($C$2:$C$1073=$C81)*($E$2:$E$1073=$E81)*(ROW(T$2:T$1073)&lt;&gt;ROW(T81))*(T$2:T$1073&lt;&gt;""))),"")</f>
        <v>0.10947396081496689</v>
      </c>
      <c r="AA81" cm="1">
        <f t="array" ref="AA81">IFERROR(AVERAGE(_xlfn._xlws.FILTER(U$2:U$1073,($C$2:$C$1073=$C81)*($E$2:$E$1073=$E81)*(ROW(U$2:U$1073)&lt;&gt;ROW(U81))*(U$2:U$1073&lt;&gt;""))),"")</f>
        <v>0.50738882547166109</v>
      </c>
    </row>
    <row r="82" spans="1:27" x14ac:dyDescent="0.2">
      <c r="A82" s="7" t="s">
        <v>2186</v>
      </c>
      <c r="B82" t="str">
        <f t="shared" si="13"/>
        <v>SNGS IV кв. 2025</v>
      </c>
      <c r="C82">
        <v>2025</v>
      </c>
      <c r="D82">
        <f>SUMIFS(Дивиденды!$C:$C,Дивиденды!$A:$A,A82,Дивиденды!$I:$I,C82)</f>
        <v>0</v>
      </c>
      <c r="E82">
        <v>1</v>
      </c>
      <c r="F82">
        <f t="shared" si="14"/>
        <v>0</v>
      </c>
      <c r="G82">
        <f t="shared" si="15"/>
        <v>77.756666666666675</v>
      </c>
      <c r="H82">
        <f t="shared" si="16"/>
        <v>0</v>
      </c>
      <c r="I82">
        <f t="shared" si="12"/>
        <v>0.66666666666666663</v>
      </c>
      <c r="J82">
        <f t="shared" si="17"/>
        <v>-1</v>
      </c>
      <c r="K82">
        <f t="shared" si="21"/>
        <v>-0.45629958331146298</v>
      </c>
      <c r="L82">
        <f t="shared" si="18"/>
        <v>0</v>
      </c>
      <c r="M82">
        <f t="shared" si="11"/>
        <v>0</v>
      </c>
      <c r="N82">
        <f t="shared" si="19"/>
        <v>1</v>
      </c>
      <c r="O82">
        <f t="shared" si="20"/>
        <v>0.66666666666666663</v>
      </c>
      <c r="P82" t="str">
        <f>IFERROR(LN('Дивиденды по годам'!I82),"")</f>
        <v/>
      </c>
      <c r="Q82" t="str">
        <f>IFERROR('Дивиденды по годам'!G82/'Дивиденды по годам'!I82, "")</f>
        <v/>
      </c>
      <c r="R82" t="str">
        <f>IFERROR(IF(AND('Дивиденды по годам'!N82&lt;&gt;"",'Дивиденды по годам'!U82&lt;&gt;"",'Дивиденды по годам'!U82&lt;&gt;0),'Дивиденды по годам'!N82/'Дивиденды по годам'!U82-1,""),"")</f>
        <v/>
      </c>
      <c r="S82" t="str">
        <f>IFERROR(IF(AND('Дивиденды по годам'!L82&lt;&gt;"",'Дивиденды по годам'!I82&lt;&gt;"",'Дивиденды по годам'!J82&lt;&gt;"",'Дивиденды по годам'!K82&lt;&gt;"",('Дивиденды по годам'!I82-'Дивиденды по годам'!J82-'Дивиденды по годам'!K82)&lt;&gt;0),'Дивиденды по годам'!L82/('Дивиденды по годам'!I82-'Дивиденды по годам'!J82-'Дивиденды по годам'!K82),""),"")</f>
        <v/>
      </c>
      <c r="T82" t="str">
        <f>IFERROR(IF(AND('Дивиденды по годам'!Q82&lt;&gt;"",'Дивиденды по годам'!I82&lt;&gt;"",'Дивиденды по годам'!V82&lt;&gt;"",('Дивиденды по годам'!I82+'Дивиденды по годам'!V82)&lt;&gt;0),'Дивиденды по годам'!Q82/(('Дивиденды по годам'!I82+'Дивиденды по годам'!V82)/2),""),"")</f>
        <v/>
      </c>
      <c r="U82" t="str">
        <f>IFERROR(IF(AND('Дивиденды по годам'!J82&lt;&gt;"",'Дивиденды по годам'!K82&lt;&gt;"",'Дивиденды по годам'!M82&lt;&gt;"",'Дивиденды по годам'!M82&lt;&gt;0),('Дивиденды по годам'!J82+'Дивиденды по годам'!K82)/'Дивиденды по годам'!M82,""),"")</f>
        <v/>
      </c>
      <c r="V82" cm="1">
        <f t="array" ref="V82">IFERROR(AVERAGE(_xlfn._xlws.FILTER(P$2:P$1073,($C$2:$C$1073=$C82)*($E$2:$E$1073=$E82)*(ROW(P$2:P$1073)&lt;&gt;ROW(P82))*(P$2:P$1073&lt;&gt;""))),"")</f>
        <v>28.307188246358621</v>
      </c>
      <c r="W82" cm="1">
        <f t="array" ref="W82">IFERROR(AVERAGE(_xlfn._xlws.FILTER(Q$2:Q$1073,($C$2:$C$1073=$C82)*($E$2:$E$1073=$E82)*(ROW(Q$2:Q$1073)&lt;&gt;ROW(Q82))*(Q$2:Q$1073&lt;&gt;""))),"")</f>
        <v>0.53419343836509714</v>
      </c>
      <c r="X82" cm="1">
        <f t="array" ref="X82">IFERROR(AVERAGE(_xlfn._xlws.FILTER(R$2:R$1073,($C$2:$C$1073=$C82)*($E$2:$E$1073=$E82)*(ROW(R$2:R$1073)&lt;&gt;ROW(R82))*(R$2:R$1073&lt;&gt;""))),"")</f>
        <v>-0.25128971877251305</v>
      </c>
      <c r="Y82" cm="1">
        <f t="array" ref="Y82">IFERROR(AVERAGE(_xlfn._xlws.FILTER(S$2:S$1073,($C$2:$C$1073=$C82)*($E$2:$E$1073=$E82)*(ROW(S$2:S$1073)&lt;&gt;ROW(S82))*(S$2:S$1073&lt;&gt;""))),"")</f>
        <v>0.7103915367710556</v>
      </c>
      <c r="Z82" cm="1">
        <f t="array" ref="Z82">IFERROR(AVERAGE(_xlfn._xlws.FILTER(T$2:T$1073,($C$2:$C$1073=$C82)*($E$2:$E$1073=$E82)*(ROW(T$2:T$1073)&lt;&gt;ROW(T82))*(T$2:T$1073&lt;&gt;""))),"")</f>
        <v>1.109913570195168E-2</v>
      </c>
      <c r="AA82" cm="1">
        <f t="array" ref="AA82">IFERROR(AVERAGE(_xlfn._xlws.FILTER(U$2:U$1073,($C$2:$C$1073=$C82)*($E$2:$E$1073=$E82)*(ROW(U$2:U$1073)&lt;&gt;ROW(U82))*(U$2:U$1073&lt;&gt;""))),"")</f>
        <v>0.71283761221882813</v>
      </c>
    </row>
    <row r="83" spans="1:27" x14ac:dyDescent="0.2">
      <c r="A83" s="7" t="s">
        <v>2186</v>
      </c>
      <c r="B83" t="str">
        <f t="shared" si="13"/>
        <v>SNGS IV кв. 2024</v>
      </c>
      <c r="C83">
        <v>2024</v>
      </c>
      <c r="D83">
        <f>SUMIFS(Дивиденды!$C:$C,Дивиденды!$A:$A,A83,Дивиденды!$I:$I,C83)</f>
        <v>0.9</v>
      </c>
      <c r="E83">
        <v>1</v>
      </c>
      <c r="F83">
        <f t="shared" si="14"/>
        <v>0.9</v>
      </c>
      <c r="G83">
        <f t="shared" si="15"/>
        <v>214.50000000000003</v>
      </c>
      <c r="H83">
        <f t="shared" si="16"/>
        <v>1</v>
      </c>
      <c r="I83">
        <f t="shared" si="12"/>
        <v>0.66666666666666663</v>
      </c>
      <c r="J83">
        <f t="shared" si="17"/>
        <v>5.8823529411764761E-2</v>
      </c>
      <c r="K83">
        <f t="shared" si="21"/>
        <v>2.3410046168816725E-2</v>
      </c>
      <c r="L83">
        <f t="shared" si="18"/>
        <v>1</v>
      </c>
      <c r="M83">
        <f t="shared" si="11"/>
        <v>0.5</v>
      </c>
      <c r="N83">
        <f t="shared" si="19"/>
        <v>0</v>
      </c>
      <c r="O83">
        <f t="shared" si="20"/>
        <v>0.16666666666666666</v>
      </c>
      <c r="P83" t="str">
        <f>IFERROR(LN('Дивиденды по годам'!I83),"")</f>
        <v/>
      </c>
      <c r="Q83" t="str">
        <f>IFERROR('Дивиденды по годам'!G83/'Дивиденды по годам'!I83, "")</f>
        <v/>
      </c>
      <c r="R83" t="str">
        <f>IFERROR(IF(AND('Дивиденды по годам'!N83&lt;&gt;"",'Дивиденды по годам'!U83&lt;&gt;"",'Дивиденды по годам'!U83&lt;&gt;0),'Дивиденды по годам'!N83/'Дивиденды по годам'!U83-1,""),"")</f>
        <v/>
      </c>
      <c r="S83" t="str">
        <f>IFERROR(IF(AND('Дивиденды по годам'!L83&lt;&gt;"",'Дивиденды по годам'!I83&lt;&gt;"",'Дивиденды по годам'!J83&lt;&gt;"",'Дивиденды по годам'!K83&lt;&gt;"",('Дивиденды по годам'!I83-'Дивиденды по годам'!J83-'Дивиденды по годам'!K83)&lt;&gt;0),'Дивиденды по годам'!L83/('Дивиденды по годам'!I83-'Дивиденды по годам'!J83-'Дивиденды по годам'!K83),""),"")</f>
        <v/>
      </c>
      <c r="T83" t="str">
        <f>IFERROR(IF(AND('Дивиденды по годам'!Q83&lt;&gt;"",'Дивиденды по годам'!I83&lt;&gt;"",'Дивиденды по годам'!V83&lt;&gt;"",('Дивиденды по годам'!I83+'Дивиденды по годам'!V83)&lt;&gt;0),'Дивиденды по годам'!Q83/(('Дивиденды по годам'!I83+'Дивиденды по годам'!V83)/2),""),"")</f>
        <v/>
      </c>
      <c r="U83" t="str">
        <f>IFERROR(IF(AND('Дивиденды по годам'!J83&lt;&gt;"",'Дивиденды по годам'!K83&lt;&gt;"",'Дивиденды по годам'!M83&lt;&gt;"",'Дивиденды по годам'!M83&lt;&gt;0),('Дивиденды по годам'!J83+'Дивиденды по годам'!K83)/'Дивиденды по годам'!M83,""),"")</f>
        <v/>
      </c>
      <c r="V83" cm="1">
        <f t="array" ref="V83">IFERROR(AVERAGE(_xlfn._xlws.FILTER(P$2:P$1073,($C$2:$C$1073=$C83)*($E$2:$E$1073=$E83)*(ROW(P$2:P$1073)&lt;&gt;ROW(P83))*(P$2:P$1073&lt;&gt;""))),"")</f>
        <v>29.255629428376704</v>
      </c>
      <c r="W83" cm="1">
        <f t="array" ref="W83">IFERROR(AVERAGE(_xlfn._xlws.FILTER(Q$2:Q$1073,($C$2:$C$1073=$C83)*($E$2:$E$1073=$E83)*(ROW(Q$2:Q$1073)&lt;&gt;ROW(Q83))*(Q$2:Q$1073&lt;&gt;""))),"")</f>
        <v>0.53947828326750868</v>
      </c>
      <c r="X83" cm="1">
        <f t="array" ref="X83">IFERROR(AVERAGE(_xlfn._xlws.FILTER(R$2:R$1073,($C$2:$C$1073=$C83)*($E$2:$E$1073=$E83)*(ROW(R$2:R$1073)&lt;&gt;ROW(R83))*(R$2:R$1073&lt;&gt;""))),"")</f>
        <v>0.18504718343902518</v>
      </c>
      <c r="Y83" cm="1">
        <f t="array" ref="Y83">IFERROR(AVERAGE(_xlfn._xlws.FILTER(S$2:S$1073,($C$2:$C$1073=$C83)*($E$2:$E$1073=$E83)*(ROW(S$2:S$1073)&lt;&gt;ROW(S83))*(S$2:S$1073&lt;&gt;""))),"")</f>
        <v>0.81580249860973608</v>
      </c>
      <c r="Z83" cm="1">
        <f t="array" ref="Z83">IFERROR(AVERAGE(_xlfn._xlws.FILTER(T$2:T$1073,($C$2:$C$1073=$C83)*($E$2:$E$1073=$E83)*(ROW(T$2:T$1073)&lt;&gt;ROW(T83))*(T$2:T$1073&lt;&gt;""))),"")</f>
        <v>0.10887944277419696</v>
      </c>
      <c r="AA83" cm="1">
        <f t="array" ref="AA83">IFERROR(AVERAGE(_xlfn._xlws.FILTER(U$2:U$1073,($C$2:$C$1073=$C83)*($E$2:$E$1073=$E83)*(ROW(U$2:U$1073)&lt;&gt;ROW(U83))*(U$2:U$1073&lt;&gt;""))),"")</f>
        <v>0.83295066867042067</v>
      </c>
    </row>
    <row r="84" spans="1:27" x14ac:dyDescent="0.2">
      <c r="A84" s="7" t="s">
        <v>2186</v>
      </c>
      <c r="B84" t="str">
        <f t="shared" si="13"/>
        <v>SNGS IV кв. 2023</v>
      </c>
      <c r="C84">
        <v>2023</v>
      </c>
      <c r="D84">
        <f>SUMIFS(Дивиденды!$C:$C,Дивиденды!$A:$A,A84,Дивиденды!$I:$I,C84)</f>
        <v>0.85</v>
      </c>
      <c r="E84">
        <v>1</v>
      </c>
      <c r="F84">
        <f t="shared" si="14"/>
        <v>0.85</v>
      </c>
      <c r="G84">
        <f t="shared" si="15"/>
        <v>195.20833333333334</v>
      </c>
      <c r="H84">
        <f t="shared" si="16"/>
        <v>1</v>
      </c>
      <c r="I84">
        <f t="shared" si="12"/>
        <v>0.66666666666666663</v>
      </c>
      <c r="J84">
        <f t="shared" si="17"/>
        <v>6.2499999999999917E-2</v>
      </c>
      <c r="K84">
        <f t="shared" si="21"/>
        <v>-0.10389828316101786</v>
      </c>
      <c r="L84">
        <f t="shared" si="18"/>
        <v>1</v>
      </c>
      <c r="M84">
        <f t="shared" si="11"/>
        <v>0.33333333333333331</v>
      </c>
      <c r="N84">
        <f t="shared" si="19"/>
        <v>0</v>
      </c>
      <c r="O84">
        <f t="shared" si="20"/>
        <v>0.5</v>
      </c>
      <c r="P84">
        <f>IFERROR(LN('Дивиденды по годам'!I84),"")</f>
        <v>29.715436268674136</v>
      </c>
      <c r="Q84">
        <f>IFERROR('Дивиденды по годам'!G84/'Дивиденды по годам'!I84, "")</f>
        <v>0.22214712443755436</v>
      </c>
      <c r="R84">
        <f>IFERROR(IF(AND('Дивиденды по годам'!N84&lt;&gt;"",'Дивиденды по годам'!U84&lt;&gt;"",'Дивиденды по годам'!U84&lt;&gt;0),'Дивиденды по годам'!N84/'Дивиденды по годам'!U84-1,""),"")</f>
        <v>-4.6719679798532532E-2</v>
      </c>
      <c r="S84">
        <f>IFERROR(IF(AND('Дивиденды по годам'!L84&lt;&gt;"",'Дивиденды по годам'!I84&lt;&gt;"",'Дивиденды по годам'!J84&lt;&gt;"",'Дивиденды по годам'!K84&lt;&gt;"",('Дивиденды по годам'!I84-'Дивиденды по годам'!J84-'Дивиденды по годам'!K84)&lt;&gt;0),'Дивиденды по годам'!L84/('Дивиденды по годам'!I84-'Дивиденды по годам'!J84-'Дивиденды по годам'!K84),""),"")</f>
        <v>0.96962581248559809</v>
      </c>
      <c r="T84">
        <f>IFERROR(IF(AND('Дивиденды по годам'!Q84&lt;&gt;"",'Дивиденды по годам'!I84&lt;&gt;"",'Дивиденды по годам'!V84&lt;&gt;"",('Дивиденды по годам'!I84+'Дивиденды по годам'!V84)&lt;&gt;0),'Дивиденды по годам'!Q84/(('Дивиденды по годам'!I84+'Дивиденды по годам'!V84)/2),""),"")</f>
        <v>0.18200184505464304</v>
      </c>
      <c r="U84">
        <f>IFERROR(IF(AND('Дивиденды по годам'!J84&lt;&gt;"",'Дивиденды по годам'!K84&lt;&gt;"",'Дивиденды по годам'!M84&lt;&gt;"",'Дивиденды по годам'!M84&lt;&gt;0),('Дивиденды по годам'!J84+'Дивиденды по годам'!K84)/'Дивиденды по годам'!M84,""),"")</f>
        <v>0.13449722517021576</v>
      </c>
      <c r="V84" cm="1">
        <f t="array" ref="V84">IFERROR(AVERAGE(_xlfn._xlws.FILTER(P$2:P$1073,($C$2:$C$1073=$C84)*($E$2:$E$1073=$E84)*(ROW(P$2:P$1073)&lt;&gt;ROW(P84))*(P$2:P$1073&lt;&gt;""))),"")</f>
        <v>29.162648164256662</v>
      </c>
      <c r="W84" cm="1">
        <f t="array" ref="W84">IFERROR(AVERAGE(_xlfn._xlws.FILTER(Q$2:Q$1073,($C$2:$C$1073=$C84)*($E$2:$E$1073=$E84)*(ROW(Q$2:Q$1073)&lt;&gt;ROW(Q84))*(Q$2:Q$1073&lt;&gt;""))),"")</f>
        <v>0.54347673993568246</v>
      </c>
      <c r="X84" cm="1">
        <f t="array" ref="X84">IFERROR(AVERAGE(_xlfn._xlws.FILTER(R$2:R$1073,($C$2:$C$1073=$C84)*($E$2:$E$1073=$E84)*(ROW(R$2:R$1073)&lt;&gt;ROW(R84))*(R$2:R$1073&lt;&gt;""))),"")</f>
        <v>-0.11136109189659267</v>
      </c>
      <c r="Y84" cm="1">
        <f t="array" ref="Y84">IFERROR(AVERAGE(_xlfn._xlws.FILTER(S$2:S$1073,($C$2:$C$1073=$C84)*($E$2:$E$1073=$E84)*(ROW(S$2:S$1073)&lt;&gt;ROW(S84))*(S$2:S$1073&lt;&gt;""))),"")</f>
        <v>0.78647717560817831</v>
      </c>
      <c r="Z84" cm="1">
        <f t="array" ref="Z84">IFERROR(AVERAGE(_xlfn._xlws.FILTER(T$2:T$1073,($C$2:$C$1073=$C84)*($E$2:$E$1073=$E84)*(ROW(T$2:T$1073)&lt;&gt;ROW(T84))*(T$2:T$1073&lt;&gt;""))),"")</f>
        <v>5.0662606047746091E-2</v>
      </c>
      <c r="AA84" cm="1">
        <f t="array" ref="AA84">IFERROR(AVERAGE(_xlfn._xlws.FILTER(U$2:U$1073,($C$2:$C$1073=$C84)*($E$2:$E$1073=$E84)*(ROW(U$2:U$1073)&lt;&gt;ROW(U84))*(U$2:U$1073&lt;&gt;""))),"")</f>
        <v>0.93997635115464695</v>
      </c>
    </row>
    <row r="85" spans="1:27" x14ac:dyDescent="0.2">
      <c r="A85" s="7" t="s">
        <v>2186</v>
      </c>
      <c r="B85" t="str">
        <f t="shared" si="13"/>
        <v>SNGS IV кв. 2022</v>
      </c>
      <c r="C85">
        <v>2022</v>
      </c>
      <c r="D85">
        <f>SUMIFS(Дивиденды!$C:$C,Дивиденды!$A:$A,A85,Дивиденды!$I:$I,C85)</f>
        <v>0.8</v>
      </c>
      <c r="E85">
        <v>1</v>
      </c>
      <c r="F85">
        <f t="shared" si="14"/>
        <v>0.8</v>
      </c>
      <c r="G85">
        <f t="shared" si="15"/>
        <v>248.87499999999997</v>
      </c>
      <c r="H85">
        <f t="shared" si="16"/>
        <v>1</v>
      </c>
      <c r="I85">
        <f t="shared" si="12"/>
        <v>0.83333333333333337</v>
      </c>
      <c r="J85">
        <f t="shared" si="17"/>
        <v>0</v>
      </c>
      <c r="K85">
        <f t="shared" si="21"/>
        <v>0.76618671052118481</v>
      </c>
      <c r="L85">
        <f t="shared" si="18"/>
        <v>0</v>
      </c>
      <c r="M85">
        <f t="shared" si="11"/>
        <v>0.66666666666666663</v>
      </c>
      <c r="N85">
        <f t="shared" si="19"/>
        <v>0</v>
      </c>
      <c r="O85">
        <f t="shared" si="20"/>
        <v>0.16666666666666666</v>
      </c>
      <c r="P85">
        <f>IFERROR(LN('Дивиденды по годам'!I85),"")</f>
        <v>29.501080082012958</v>
      </c>
      <c r="Q85">
        <f>IFERROR('Дивиденды по годам'!G85/'Дивиденды по годам'!I85, "")</f>
        <v>0.25198719184598284</v>
      </c>
      <c r="R85" t="str">
        <f>IFERROR(IF(AND('Дивиденды по годам'!N85&lt;&gt;"",'Дивиденды по годам'!U85&lt;&gt;"",'Дивиденды по годам'!U85&lt;&gt;0),'Дивиденды по годам'!N85/'Дивиденды по годам'!U85-1,""),"")</f>
        <v/>
      </c>
      <c r="S85">
        <f>IFERROR(IF(AND('Дивиденды по годам'!L85&lt;&gt;"",'Дивиденды по годам'!I85&lt;&gt;"",'Дивиденды по годам'!J85&lt;&gt;"",'Дивиденды по годам'!K85&lt;&gt;"",('Дивиденды по годам'!I85-'Дивиденды по годам'!J85-'Дивиденды по годам'!K85)&lt;&gt;0),'Дивиденды по годам'!L85/('Дивиденды по годам'!I85-'Дивиденды по годам'!J85-'Дивиденды по годам'!K85),""),"")</f>
        <v>0.96301568426027317</v>
      </c>
      <c r="T85" t="str">
        <f>IFERROR(IF(AND('Дивиденды по годам'!Q85&lt;&gt;"",'Дивиденды по годам'!I85&lt;&gt;"",'Дивиденды по годам'!V85&lt;&gt;"",('Дивиденды по годам'!I85+'Дивиденды по годам'!V85)&lt;&gt;0),'Дивиденды по годам'!Q85/(('Дивиденды по годам'!I85+'Дивиденды по годам'!V85)/2),""),"")</f>
        <v/>
      </c>
      <c r="U85">
        <f>IFERROR(IF(AND('Дивиденды по годам'!J85&lt;&gt;"",'Дивиденды по годам'!K85&lt;&gt;"",'Дивиденды по годам'!M85&lt;&gt;"",'Дивиденды по годам'!M85&lt;&gt;0),('Дивиденды по годам'!J85+'Дивиденды по годам'!K85)/'Дивиденды по годам'!M85,""),"")</f>
        <v>0.11875878357024296</v>
      </c>
      <c r="V85" cm="1">
        <f t="array" ref="V85">IFERROR(AVERAGE(_xlfn._xlws.FILTER(P$2:P$1073,($C$2:$C$1073=$C85)*($E$2:$E$1073=$E85)*(ROW(P$2:P$1073)&lt;&gt;ROW(P85))*(P$2:P$1073&lt;&gt;""))),"")</f>
        <v>28.469350715016706</v>
      </c>
      <c r="W85" cm="1">
        <f t="array" ref="W85">IFERROR(AVERAGE(_xlfn._xlws.FILTER(Q$2:Q$1073,($C$2:$C$1073=$C85)*($E$2:$E$1073=$E85)*(ROW(Q$2:Q$1073)&lt;&gt;ROW(Q85))*(Q$2:Q$1073&lt;&gt;""))),"")</f>
        <v>0.59772237245003879</v>
      </c>
      <c r="X85" cm="1">
        <f t="array" ref="X85">IFERROR(AVERAGE(_xlfn._xlws.FILTER(R$2:R$1073,($C$2:$C$1073=$C85)*($E$2:$E$1073=$E85)*(ROW(R$2:R$1073)&lt;&gt;ROW(R85))*(R$2:R$1073&lt;&gt;""))),"")</f>
        <v>0.11583545865184226</v>
      </c>
      <c r="Y85" cm="1">
        <f t="array" ref="Y85">IFERROR(AVERAGE(_xlfn._xlws.FILTER(S$2:S$1073,($C$2:$C$1073=$C85)*($E$2:$E$1073=$E85)*(ROW(S$2:S$1073)&lt;&gt;ROW(S85))*(S$2:S$1073&lt;&gt;""))),"")</f>
        <v>0.76730501118719519</v>
      </c>
      <c r="Z85" cm="1">
        <f t="array" ref="Z85">IFERROR(AVERAGE(_xlfn._xlws.FILTER(T$2:T$1073,($C$2:$C$1073=$C85)*($E$2:$E$1073=$E85)*(ROW(T$2:T$1073)&lt;&gt;ROW(T85))*(T$2:T$1073&lt;&gt;""))),"")</f>
        <v>0.10279179198494799</v>
      </c>
      <c r="AA85" cm="1">
        <f t="array" ref="AA85">IFERROR(AVERAGE(_xlfn._xlws.FILTER(U$2:U$1073,($C$2:$C$1073=$C85)*($E$2:$E$1073=$E85)*(ROW(U$2:U$1073)&lt;&gt;ROW(U85))*(U$2:U$1073&lt;&gt;""))),"")</f>
        <v>1.0404240527452673</v>
      </c>
    </row>
    <row r="86" spans="1:27" x14ac:dyDescent="0.2">
      <c r="A86" s="7" t="s">
        <v>2186</v>
      </c>
      <c r="B86" t="str">
        <f t="shared" si="13"/>
        <v>SNGS IV кв. 2021</v>
      </c>
      <c r="C86">
        <v>2021</v>
      </c>
      <c r="D86">
        <f>SUMIFS(Дивиденды!$C:$C,Дивиденды!$A:$A,A86,Дивиденды!$I:$I,C86)</f>
        <v>0.8</v>
      </c>
      <c r="E86">
        <v>1</v>
      </c>
      <c r="F86">
        <f t="shared" si="14"/>
        <v>0.8</v>
      </c>
      <c r="G86">
        <f t="shared" si="15"/>
        <v>82.623333333333335</v>
      </c>
      <c r="H86">
        <f t="shared" si="16"/>
        <v>1</v>
      </c>
      <c r="I86">
        <f t="shared" si="12"/>
        <v>0.66666666666666663</v>
      </c>
      <c r="J86">
        <f t="shared" si="17"/>
        <v>0.14285714285714299</v>
      </c>
      <c r="K86">
        <f t="shared" si="21"/>
        <v>1.0403147032187805</v>
      </c>
      <c r="L86">
        <f t="shared" si="18"/>
        <v>1</v>
      </c>
      <c r="M86">
        <f t="shared" si="11"/>
        <v>0.66666666666666663</v>
      </c>
      <c r="N86">
        <f t="shared" si="19"/>
        <v>0</v>
      </c>
      <c r="O86">
        <f t="shared" si="20"/>
        <v>0.16666666666666666</v>
      </c>
      <c r="P86" t="str">
        <f>IFERROR(LN('Дивиденды по годам'!I86),"")</f>
        <v/>
      </c>
      <c r="Q86" t="str">
        <f>IFERROR('Дивиденды по годам'!G86/'Дивиденды по годам'!I86, "")</f>
        <v/>
      </c>
      <c r="R86" t="str">
        <f>IFERROR(IF(AND('Дивиденды по годам'!N86&lt;&gt;"",'Дивиденды по годам'!U86&lt;&gt;"",'Дивиденды по годам'!U86&lt;&gt;0),'Дивиденды по годам'!N86/'Дивиденды по годам'!U86-1,""),"")</f>
        <v/>
      </c>
      <c r="S86" t="str">
        <f>IFERROR(IF(AND('Дивиденды по годам'!L86&lt;&gt;"",'Дивиденды по годам'!I86&lt;&gt;"",'Дивиденды по годам'!J86&lt;&gt;"",'Дивиденды по годам'!K86&lt;&gt;"",('Дивиденды по годам'!I86-'Дивиденды по годам'!J86-'Дивиденды по годам'!K86)&lt;&gt;0),'Дивиденды по годам'!L86/('Дивиденды по годам'!I86-'Дивиденды по годам'!J86-'Дивиденды по годам'!K86),""),"")</f>
        <v/>
      </c>
      <c r="T86" t="str">
        <f>IFERROR(IF(AND('Дивиденды по годам'!Q86&lt;&gt;"",'Дивиденды по годам'!I86&lt;&gt;"",'Дивиденды по годам'!V86&lt;&gt;"",('Дивиденды по годам'!I86+'Дивиденды по годам'!V86)&lt;&gt;0),'Дивиденды по годам'!Q86/(('Дивиденды по годам'!I86+'Дивиденды по годам'!V86)/2),""),"")</f>
        <v/>
      </c>
      <c r="U86" t="str">
        <f>IFERROR(IF(AND('Дивиденды по годам'!J86&lt;&gt;"",'Дивиденды по годам'!K86&lt;&gt;"",'Дивиденды по годам'!M86&lt;&gt;"",'Дивиденды по годам'!M86&lt;&gt;0),('Дивиденды по годам'!J86+'Дивиденды по годам'!K86)/'Дивиденды по годам'!M86,""),"")</f>
        <v/>
      </c>
      <c r="V86" cm="1">
        <f t="array" ref="V86">IFERROR(AVERAGE(_xlfn._xlws.FILTER(P$2:P$1073,($C$2:$C$1073=$C86)*($E$2:$E$1073=$E86)*(ROW(P$2:P$1073)&lt;&gt;ROW(P86))*(P$2:P$1073&lt;&gt;""))),"")</f>
        <v>28.978113061685082</v>
      </c>
      <c r="W86" cm="1">
        <f t="array" ref="W86">IFERROR(AVERAGE(_xlfn._xlws.FILTER(Q$2:Q$1073,($C$2:$C$1073=$C86)*($E$2:$E$1073=$E86)*(ROW(Q$2:Q$1073)&lt;&gt;ROW(Q86))*(Q$2:Q$1073&lt;&gt;""))),"")</f>
        <v>0.55767941108979147</v>
      </c>
      <c r="X86" cm="1">
        <f t="array" ref="X86">IFERROR(AVERAGE(_xlfn._xlws.FILTER(R$2:R$1073,($C$2:$C$1073=$C86)*($E$2:$E$1073=$E86)*(ROW(R$2:R$1073)&lt;&gt;ROW(R86))*(R$2:R$1073&lt;&gt;""))),"")</f>
        <v>0.70302846485254478</v>
      </c>
      <c r="Y86" cm="1">
        <f t="array" ref="Y86">IFERROR(AVERAGE(_xlfn._xlws.FILTER(S$2:S$1073,($C$2:$C$1073=$C86)*($E$2:$E$1073=$E86)*(ROW(S$2:S$1073)&lt;&gt;ROW(S86))*(S$2:S$1073&lt;&gt;""))),"")</f>
        <v>0.80565509033330029</v>
      </c>
      <c r="Z86" cm="1">
        <f t="array" ref="Z86">IFERROR(AVERAGE(_xlfn._xlws.FILTER(T$2:T$1073,($C$2:$C$1073=$C86)*($E$2:$E$1073=$E86)*(ROW(T$2:T$1073)&lt;&gt;ROW(T86))*(T$2:T$1073&lt;&gt;""))),"")</f>
        <v>0.12172555306294884</v>
      </c>
      <c r="AA86" cm="1">
        <f t="array" ref="AA86">IFERROR(AVERAGE(_xlfn._xlws.FILTER(U$2:U$1073,($C$2:$C$1073=$C86)*($E$2:$E$1073=$E86)*(ROW(U$2:U$1073)&lt;&gt;ROW(U86))*(U$2:U$1073&lt;&gt;""))),"")</f>
        <v>1.0407288466809115</v>
      </c>
    </row>
    <row r="87" spans="1:27" x14ac:dyDescent="0.2">
      <c r="A87" s="7" t="s">
        <v>2186</v>
      </c>
      <c r="B87" t="str">
        <f t="shared" si="13"/>
        <v>SNGS IV кв. 2020</v>
      </c>
      <c r="C87">
        <v>2020</v>
      </c>
      <c r="D87">
        <f>SUMIFS(Дивиденды!$C:$C,Дивиденды!$A:$A,A87,Дивиденды!$I:$I,C87)</f>
        <v>0.7</v>
      </c>
      <c r="E87">
        <v>1</v>
      </c>
      <c r="F87">
        <f t="shared" si="14"/>
        <v>0.7</v>
      </c>
      <c r="G87">
        <f t="shared" si="15"/>
        <v>56.048333333333339</v>
      </c>
      <c r="H87">
        <f t="shared" si="16"/>
        <v>1</v>
      </c>
      <c r="I87">
        <f t="shared" si="12"/>
        <v>0.83333333333333337</v>
      </c>
      <c r="J87">
        <f t="shared" si="17"/>
        <v>7.6923076923076816E-2</v>
      </c>
      <c r="K87">
        <f t="shared" si="21"/>
        <v>-0.34100888513652511</v>
      </c>
      <c r="L87">
        <f t="shared" si="18"/>
        <v>1</v>
      </c>
      <c r="M87">
        <f t="shared" si="11"/>
        <v>0.16666666666666666</v>
      </c>
      <c r="N87">
        <f t="shared" si="19"/>
        <v>0</v>
      </c>
      <c r="O87">
        <f t="shared" si="20"/>
        <v>0.66666666666666663</v>
      </c>
      <c r="P87">
        <f>IFERROR(LN('Дивиденды по годам'!I87),"")</f>
        <v>29.401844105292483</v>
      </c>
      <c r="Q87">
        <f>IFERROR('Дивиденды по годам'!G87/'Дивиденды по годам'!I87, "")</f>
        <v>0.29392035348377132</v>
      </c>
      <c r="R87">
        <f>IFERROR(IF(AND('Дивиденды по годам'!N87&lt;&gt;"",'Дивиденды по годам'!U87&lt;&gt;"",'Дивиденды по годам'!U87&lt;&gt;0),'Дивиденды по годам'!N87/'Дивиденды по годам'!U87-1,""),"")</f>
        <v>-0.31552713263172905</v>
      </c>
      <c r="S87">
        <f>IFERROR(IF(AND('Дивиденды по годам'!L87&lt;&gt;"",'Дивиденды по годам'!I87&lt;&gt;"",'Дивиденды по годам'!J87&lt;&gt;"",'Дивиденды по годам'!K87&lt;&gt;"",('Дивиденды по годам'!I87-'Дивиденды по годам'!J87-'Дивиденды по годам'!K87)&lt;&gt;0),'Дивиденды по годам'!L87/('Дивиденды по годам'!I87-'Дивиденды по годам'!J87-'Дивиденды по годам'!K87),""),"")</f>
        <v>0.95856102850782343</v>
      </c>
      <c r="T87">
        <f>IFERROR(IF(AND('Дивиденды по годам'!Q87&lt;&gt;"",'Дивиденды по годам'!I87&lt;&gt;"",'Дивиденды по годам'!V87&lt;&gt;"",('Дивиденды по годам'!I87+'Дивиденды по годам'!V87)&lt;&gt;0),'Дивиденды по годам'!Q87/(('Дивиденды по годам'!I87+'Дивиденды по годам'!V87)/2),""),"")</f>
        <v>0.133333955515026</v>
      </c>
      <c r="U87">
        <f>IFERROR(IF(AND('Дивиденды по годам'!J87&lt;&gt;"",'Дивиденды по годам'!K87&lt;&gt;"",'Дивиденды по годам'!M87&lt;&gt;"",'Дивиденды по годам'!M87&lt;&gt;0),('Дивиденды по годам'!J87+'Дивиденды по годам'!K87)/'Дивиденды по годам'!M87,""),"")</f>
        <v>0.13860900145879937</v>
      </c>
      <c r="V87" cm="1">
        <f t="array" ref="V87">IFERROR(AVERAGE(_xlfn._xlws.FILTER(P$2:P$1073,($C$2:$C$1073=$C87)*($E$2:$E$1073=$E87)*(ROW(P$2:P$1073)&lt;&gt;ROW(P87))*(P$2:P$1073&lt;&gt;""))),"")</f>
        <v>28.854086917477606</v>
      </c>
      <c r="W87" cm="1">
        <f t="array" ref="W87">IFERROR(AVERAGE(_xlfn._xlws.FILTER(Q$2:Q$1073,($C$2:$C$1073=$C87)*($E$2:$E$1073=$E87)*(ROW(Q$2:Q$1073)&lt;&gt;ROW(Q87))*(Q$2:Q$1073&lt;&gt;""))),"")</f>
        <v>0.60306443073956151</v>
      </c>
      <c r="X87" cm="1">
        <f t="array" ref="X87">IFERROR(AVERAGE(_xlfn._xlws.FILTER(R$2:R$1073,($C$2:$C$1073=$C87)*($E$2:$E$1073=$E87)*(ROW(R$2:R$1073)&lt;&gt;ROW(R87))*(R$2:R$1073&lt;&gt;""))),"")</f>
        <v>-0.24702195118326775</v>
      </c>
      <c r="Y87" cm="1">
        <f t="array" ref="Y87">IFERROR(AVERAGE(_xlfn._xlws.FILTER(S$2:S$1073,($C$2:$C$1073=$C87)*($E$2:$E$1073=$E87)*(ROW(S$2:S$1073)&lt;&gt;ROW(S87))*(S$2:S$1073&lt;&gt;""))),"")</f>
        <v>0.74289223938700288</v>
      </c>
      <c r="Z87" cm="1">
        <f t="array" ref="Z87">IFERROR(AVERAGE(_xlfn._xlws.FILTER(T$2:T$1073,($C$2:$C$1073=$C87)*($E$2:$E$1073=$E87)*(ROW(T$2:T$1073)&lt;&gt;ROW(T87))*(T$2:T$1073&lt;&gt;""))),"")</f>
        <v>1.1111200633264972E-2</v>
      </c>
      <c r="AA87" cm="1">
        <f t="array" ref="AA87">IFERROR(AVERAGE(_xlfn._xlws.FILTER(U$2:U$1073,($C$2:$C$1073=$C87)*($E$2:$E$1073=$E87)*(ROW(U$2:U$1073)&lt;&gt;ROW(U87))*(U$2:U$1073&lt;&gt;""))),"")</f>
        <v>1.3698957778000149</v>
      </c>
    </row>
    <row r="88" spans="1:27" x14ac:dyDescent="0.2">
      <c r="A88" s="7" t="s">
        <v>2186</v>
      </c>
      <c r="B88" t="str">
        <f t="shared" si="13"/>
        <v>SNGS IV кв. 2019</v>
      </c>
      <c r="C88">
        <v>2019</v>
      </c>
      <c r="D88">
        <f>SUMIFS(Дивиденды!$C:$C,Дивиденды!$A:$A,A88,Дивиденды!$I:$I,C88)</f>
        <v>0.65</v>
      </c>
      <c r="E88">
        <v>1</v>
      </c>
      <c r="F88">
        <f t="shared" si="14"/>
        <v>0.65</v>
      </c>
      <c r="G88">
        <f t="shared" si="15"/>
        <v>114.575</v>
      </c>
      <c r="H88">
        <f t="shared" si="16"/>
        <v>1</v>
      </c>
      <c r="I88">
        <f t="shared" si="12"/>
        <v>0.83333333333333337</v>
      </c>
      <c r="J88">
        <f t="shared" si="17"/>
        <v>0</v>
      </c>
      <c r="K88">
        <f t="shared" si="21"/>
        <v>0.22914270644381821</v>
      </c>
      <c r="L88">
        <f t="shared" si="18"/>
        <v>0</v>
      </c>
      <c r="M88">
        <f t="shared" si="11"/>
        <v>0.5</v>
      </c>
      <c r="N88">
        <f t="shared" si="19"/>
        <v>0</v>
      </c>
      <c r="O88">
        <f t="shared" si="20"/>
        <v>0.33333333333333331</v>
      </c>
      <c r="P88">
        <f>IFERROR(LN('Дивиденды по годам'!I88),"")</f>
        <v>29.292652157777201</v>
      </c>
      <c r="Q88">
        <f>IFERROR('Дивиденды по годам'!G88/'Дивиденды по годам'!I88, "")</f>
        <v>0.30220528271628749</v>
      </c>
      <c r="R88">
        <f>IFERROR(IF(AND('Дивиденды по годам'!N88&lt;&gt;"",'Дивиденды по годам'!U88&lt;&gt;"",'Дивиденды по годам'!U88&lt;&gt;0),'Дивиденды по годам'!N88/'Дивиденды по годам'!U88-1,""),"")</f>
        <v>9.5870135395599299E-3</v>
      </c>
      <c r="S88">
        <f>IFERROR(IF(AND('Дивиденды по годам'!L88&lt;&gt;"",'Дивиденды по годам'!I88&lt;&gt;"",'Дивиденды по годам'!J88&lt;&gt;"",'Дивиденды по годам'!K88&lt;&gt;"",('Дивиденды по годам'!I88-'Дивиденды по годам'!J88-'Дивиденды по годам'!K88)&lt;&gt;0),'Дивиденды по годам'!L88/('Дивиденды по годам'!I88-'Дивиденды по годам'!J88-'Дивиденды по годам'!K88),""),"")</f>
        <v>0.9519002431351079</v>
      </c>
      <c r="T88">
        <f>IFERROR(IF(AND('Дивиденды по годам'!Q88&lt;&gt;"",'Дивиденды по годам'!I88&lt;&gt;"",'Дивиденды по годам'!V88&lt;&gt;"",('Дивиденды по годам'!I88+'Дивиденды по годам'!V88)&lt;&gt;0),'Дивиденды по годам'!Q88/(('Дивиденды по годам'!I88+'Дивиденды по годам'!V88)/2),""),"")</f>
        <v>2.0415262396879106E-2</v>
      </c>
      <c r="U88">
        <f>IFERROR(IF(AND('Дивиденды по годам'!J88&lt;&gt;"",'Дивиденды по годам'!K88&lt;&gt;"",'Дивиденды по годам'!M88&lt;&gt;"",'Дивиденды по годам'!M88&lt;&gt;0),('Дивиденды по годам'!J88+'Дивиденды по годам'!K88)/'Дивиденды по годам'!M88,""),"")</f>
        <v>0.18396234260159511</v>
      </c>
      <c r="V88" cm="1">
        <f t="array" ref="V88">IFERROR(AVERAGE(_xlfn._xlws.FILTER(P$2:P$1073,($C$2:$C$1073=$C88)*($E$2:$E$1073=$E88)*(ROW(P$2:P$1073)&lt;&gt;ROW(P88))*(P$2:P$1073&lt;&gt;""))),"")</f>
        <v>28.809558606952788</v>
      </c>
      <c r="W88" cm="1">
        <f t="array" ref="W88">IFERROR(AVERAGE(_xlfn._xlws.FILTER(Q$2:Q$1073,($C$2:$C$1073=$C88)*($E$2:$E$1073=$E88)*(ROW(Q$2:Q$1073)&lt;&gt;ROW(Q88))*(Q$2:Q$1073&lt;&gt;""))),"")</f>
        <v>0.57741593437540717</v>
      </c>
      <c r="X88" cm="1">
        <f t="array" ref="X88">IFERROR(AVERAGE(_xlfn._xlws.FILTER(R$2:R$1073,($C$2:$C$1073=$C88)*($E$2:$E$1073=$E88)*(ROW(R$2:R$1073)&lt;&gt;ROW(R88))*(R$2:R$1073&lt;&gt;""))),"")</f>
        <v>1.2328612787867418E-2</v>
      </c>
      <c r="Y88" cm="1">
        <f t="array" ref="Y88">IFERROR(AVERAGE(_xlfn._xlws.FILTER(S$2:S$1073,($C$2:$C$1073=$C88)*($E$2:$E$1073=$E88)*(ROW(S$2:S$1073)&lt;&gt;ROW(S88))*(S$2:S$1073&lt;&gt;""))),"")</f>
        <v>0.8189167596247664</v>
      </c>
      <c r="Z88" cm="1">
        <f t="array" ref="Z88">IFERROR(AVERAGE(_xlfn._xlws.FILTER(T$2:T$1073,($C$2:$C$1073=$C88)*($E$2:$E$1073=$E88)*(ROW(T$2:T$1073)&lt;&gt;ROW(T88))*(T$2:T$1073&lt;&gt;""))),"")</f>
        <v>0.16971230547044988</v>
      </c>
      <c r="AA88" cm="1">
        <f t="array" ref="AA88">IFERROR(AVERAGE(_xlfn._xlws.FILTER(U$2:U$1073,($C$2:$C$1073=$C88)*($E$2:$E$1073=$E88)*(ROW(U$2:U$1073)&lt;&gt;ROW(U88))*(U$2:U$1073&lt;&gt;""))),"")</f>
        <v>1.0036708483396553</v>
      </c>
    </row>
    <row r="89" spans="1:27" x14ac:dyDescent="0.2">
      <c r="A89" s="7" t="s">
        <v>2186</v>
      </c>
      <c r="B89" t="str">
        <f t="shared" si="13"/>
        <v>SNGS IV кв. 2018</v>
      </c>
      <c r="C89">
        <v>2018</v>
      </c>
      <c r="D89">
        <f>SUMIFS(Дивиденды!$C:$C,Дивиденды!$A:$A,A89,Дивиденды!$I:$I,C89)</f>
        <v>0.65</v>
      </c>
      <c r="E89">
        <v>1</v>
      </c>
      <c r="F89">
        <f t="shared" si="14"/>
        <v>0.65</v>
      </c>
      <c r="G89">
        <f t="shared" si="15"/>
        <v>67.248333333333335</v>
      </c>
      <c r="H89">
        <f t="shared" si="16"/>
        <v>1</v>
      </c>
      <c r="I89">
        <f t="shared" si="12"/>
        <v>0.83333333333333337</v>
      </c>
      <c r="J89">
        <f t="shared" si="17"/>
        <v>0</v>
      </c>
      <c r="K89">
        <f t="shared" si="21"/>
        <v>0.76168701017179208</v>
      </c>
      <c r="L89">
        <f t="shared" si="18"/>
        <v>0</v>
      </c>
      <c r="M89">
        <f t="shared" si="11"/>
        <v>0.83333333333333337</v>
      </c>
      <c r="N89">
        <f t="shared" si="19"/>
        <v>0</v>
      </c>
      <c r="O89">
        <f t="shared" si="20"/>
        <v>0</v>
      </c>
      <c r="P89">
        <f>IFERROR(LN('Дивиденды по годам'!I89),"")</f>
        <v>29.267254988341801</v>
      </c>
      <c r="Q89">
        <f>IFERROR('Дивиденды по годам'!G89/'Дивиденды по годам'!I89, "")</f>
        <v>0.28663569058787636</v>
      </c>
      <c r="R89">
        <f>IFERROR(IF(AND('Дивиденды по годам'!N89&lt;&gt;"",'Дивиденды по годам'!U89&lt;&gt;"",'Дивиденды по годам'!U89&lt;&gt;0),'Дивиденды по годам'!N89/'Дивиденды по годам'!U89-1,""),"")</f>
        <v>0.32419901295213105</v>
      </c>
      <c r="S89">
        <f>IFERROR(IF(AND('Дивиденды по годам'!L89&lt;&gt;"",'Дивиденды по годам'!I89&lt;&gt;"",'Дивиденды по годам'!J89&lt;&gt;"",'Дивиденды по годам'!K89&lt;&gt;"",('Дивиденды по годам'!I89-'Дивиденды по годам'!J89-'Дивиденды по годам'!K89)&lt;&gt;0),'Дивиденды по годам'!L89/('Дивиденды по годам'!I89-'Дивиденды по годам'!J89-'Дивиденды по годам'!K89),""),"")</f>
        <v>0.95215622644783149</v>
      </c>
      <c r="T89">
        <f>IFERROR(IF(AND('Дивиденды по годам'!Q89&lt;&gt;"",'Дивиденды по годам'!I89&lt;&gt;"",'Дивиденды по годам'!V89&lt;&gt;"",('Дивиденды по годам'!I89+'Дивиденды по годам'!V89)&lt;&gt;0),'Дивиденды по годам'!Q89/(('Дивиденды по годам'!I89+'Дивиденды по годам'!V89)/2),""),"")</f>
        <v>0.18140103958399575</v>
      </c>
      <c r="U89">
        <f>IFERROR(IF(AND('Дивиденды по годам'!J89&lt;&gt;"",'Дивиденды по годам'!K89&lt;&gt;"",'Дивиденды по годам'!M89&lt;&gt;"",'Дивиденды по годам'!M89&lt;&gt;0),('Дивиденды по годам'!J89+'Дивиденды по годам'!K89)/'Дивиденды по годам'!M89,""),"")</f>
        <v>0.16027832450437651</v>
      </c>
      <c r="V89" cm="1">
        <f t="array" ref="V89">IFERROR(AVERAGE(_xlfn._xlws.FILTER(P$2:P$1073,($C$2:$C$1073=$C89)*($E$2:$E$1073=$E89)*(ROW(P$2:P$1073)&lt;&gt;ROW(P89))*(P$2:P$1073&lt;&gt;""))),"")</f>
        <v>28.691701956198781</v>
      </c>
      <c r="W89" cm="1">
        <f t="array" ref="W89">IFERROR(AVERAGE(_xlfn._xlws.FILTER(Q$2:Q$1073,($C$2:$C$1073=$C89)*($E$2:$E$1073=$E89)*(ROW(Q$2:Q$1073)&lt;&gt;ROW(Q89))*(Q$2:Q$1073&lt;&gt;""))),"")</f>
        <v>0.57139532349834643</v>
      </c>
      <c r="X89" cm="1">
        <f t="array" ref="X89">IFERROR(AVERAGE(_xlfn._xlws.FILTER(R$2:R$1073,($C$2:$C$1073=$C89)*($E$2:$E$1073=$E89)*(ROW(R$2:R$1073)&lt;&gt;ROW(R89))*(R$2:R$1073&lt;&gt;""))),"")</f>
        <v>0.35316026747095747</v>
      </c>
      <c r="Y89" cm="1">
        <f t="array" ref="Y89">IFERROR(AVERAGE(_xlfn._xlws.FILTER(S$2:S$1073,($C$2:$C$1073=$C89)*($E$2:$E$1073=$E89)*(ROW(S$2:S$1073)&lt;&gt;ROW(S89))*(S$2:S$1073&lt;&gt;""))),"")</f>
        <v>0.75589007582118783</v>
      </c>
      <c r="Z89" cm="1">
        <f t="array" ref="Z89">IFERROR(AVERAGE(_xlfn._xlws.FILTER(T$2:T$1073,($C$2:$C$1073=$C89)*($E$2:$E$1073=$E89)*(ROW(T$2:T$1073)&lt;&gt;ROW(T89))*(T$2:T$1073&lt;&gt;""))),"")</f>
        <v>0.10828468491547499</v>
      </c>
      <c r="AA89" cm="1">
        <f t="array" ref="AA89">IFERROR(AVERAGE(_xlfn._xlws.FILTER(U$2:U$1073,($C$2:$C$1073=$C89)*($E$2:$E$1073=$E89)*(ROW(U$2:U$1073)&lt;&gt;ROW(U89))*(U$2:U$1073&lt;&gt;""))),"")</f>
        <v>0.98298452810383397</v>
      </c>
    </row>
    <row r="90" spans="1:27" x14ac:dyDescent="0.2">
      <c r="A90" s="7" t="s">
        <v>2186</v>
      </c>
      <c r="B90" t="str">
        <f t="shared" si="13"/>
        <v>SNGS IV кв. 2017</v>
      </c>
      <c r="C90">
        <v>2017</v>
      </c>
      <c r="D90">
        <f>SUMIFS(Дивиденды!$C:$C,Дивиденды!$A:$A,A90,Дивиденды!$I:$I,C90)</f>
        <v>0.65</v>
      </c>
      <c r="E90">
        <v>1</v>
      </c>
      <c r="F90">
        <f t="shared" si="14"/>
        <v>0.65</v>
      </c>
      <c r="G90">
        <f t="shared" si="15"/>
        <v>48.068333333333328</v>
      </c>
      <c r="H90">
        <f t="shared" si="16"/>
        <v>1</v>
      </c>
      <c r="I90">
        <f t="shared" si="12"/>
        <v>0.83333333333333337</v>
      </c>
      <c r="J90">
        <f t="shared" si="17"/>
        <v>8.3333333333333412E-2</v>
      </c>
      <c r="K90">
        <f t="shared" si="21"/>
        <v>0.28026640693049504</v>
      </c>
      <c r="L90">
        <f t="shared" si="18"/>
        <v>1</v>
      </c>
      <c r="M90">
        <f t="shared" si="11"/>
        <v>0.66666666666666663</v>
      </c>
      <c r="N90">
        <f t="shared" si="19"/>
        <v>0</v>
      </c>
      <c r="O90">
        <f t="shared" si="20"/>
        <v>0</v>
      </c>
      <c r="P90">
        <f>IFERROR(LN('Дивиденды по годам'!I90),"")</f>
        <v>29.075511269291965</v>
      </c>
      <c r="Q90">
        <f>IFERROR('Дивиденды по годам'!G90/'Дивиденды по годам'!I90, "")</f>
        <v>0.33746806959942827</v>
      </c>
      <c r="R90">
        <f>IFERROR(IF(AND('Дивиденды по годам'!N90&lt;&gt;"",'Дивиденды по годам'!U90&lt;&gt;"",'Дивиденды по годам'!U90&lt;&gt;0),'Дивиденды по годам'!N90/'Дивиденды по годам'!U90-1,""),"")</f>
        <v>0.15103939625776208</v>
      </c>
      <c r="S90">
        <f>IFERROR(IF(AND('Дивиденды по годам'!L90&lt;&gt;"",'Дивиденды по годам'!I90&lt;&gt;"",'Дивиденды по годам'!J90&lt;&gt;"",'Дивиденды по годам'!K90&lt;&gt;"",('Дивиденды по годам'!I90-'Дивиденды по годам'!J90-'Дивиденды по годам'!K90)&lt;&gt;0),'Дивиденды по годам'!L90/('Дивиденды по годам'!I90-'Дивиденды по годам'!J90-'Дивиденды по годам'!K90),""),"")</f>
        <v>0.94111696649809018</v>
      </c>
      <c r="T90">
        <f>IFERROR(IF(AND('Дивиденды по годам'!Q90&lt;&gt;"",'Дивиденды по годам'!I90&lt;&gt;"",'Дивиденды по годам'!V90&lt;&gt;"",('Дивиденды по годам'!I90+'Дивиденды по годам'!V90)&lt;&gt;0),'Дивиденды по годам'!Q90/(('Дивиденды по годам'!I90+'Дивиденды по годам'!V90)/2),""),"")</f>
        <v>4.7717544133729105E-2</v>
      </c>
      <c r="U90">
        <f>IFERROR(IF(AND('Дивиденды по годам'!J90&lt;&gt;"",'Дивиденды по годам'!K90&lt;&gt;"",'Дивиденды по годам'!M90&lt;&gt;"",'Дивиденды по годам'!M90&lt;&gt;0),('Дивиденды по годам'!J90+'Дивиденды по годам'!K90)/'Дивиденды по годам'!M90,""),"")</f>
        <v>0.17339021370824784</v>
      </c>
      <c r="V90" cm="1">
        <f t="array" ref="V90">IFERROR(AVERAGE(_xlfn._xlws.FILTER(P$2:P$1073,($C$2:$C$1073=$C90)*($E$2:$E$1073=$E90)*(ROW(P$2:P$1073)&lt;&gt;ROW(P90))*(P$2:P$1073&lt;&gt;""))),"")</f>
        <v>28.583470787432507</v>
      </c>
      <c r="W90" cm="1">
        <f t="array" ref="W90">IFERROR(AVERAGE(_xlfn._xlws.FILTER(Q$2:Q$1073,($C$2:$C$1073=$C90)*($E$2:$E$1073=$E90)*(ROW(Q$2:Q$1073)&lt;&gt;ROW(Q90))*(Q$2:Q$1073&lt;&gt;""))),"")</f>
        <v>0.582648596275124</v>
      </c>
      <c r="X90" cm="1">
        <f t="array" ref="X90">IFERROR(AVERAGE(_xlfn._xlws.FILTER(R$2:R$1073,($C$2:$C$1073=$C90)*($E$2:$E$1073=$E90)*(ROW(R$2:R$1073)&lt;&gt;ROW(R90))*(R$2:R$1073&lt;&gt;""))),"")</f>
        <v>0.15037354480772791</v>
      </c>
      <c r="Y90" cm="1">
        <f t="array" ref="Y90">IFERROR(AVERAGE(_xlfn._xlws.FILTER(S$2:S$1073,($C$2:$C$1073=$C90)*($E$2:$E$1073=$E90)*(ROW(S$2:S$1073)&lt;&gt;ROW(S90))*(S$2:S$1073&lt;&gt;""))),"")</f>
        <v>0.73601990781108351</v>
      </c>
      <c r="Z90" cm="1">
        <f t="array" ref="Z90">IFERROR(AVERAGE(_xlfn._xlws.FILTER(T$2:T$1073,($C$2:$C$1073=$C90)*($E$2:$E$1073=$E90)*(ROW(T$2:T$1073)&lt;&gt;ROW(T90))*(T$2:T$1073&lt;&gt;""))),"")</f>
        <v>7.7141016182820057E-2</v>
      </c>
      <c r="AA90" cm="1">
        <f t="array" ref="AA90">IFERROR(AVERAGE(_xlfn._xlws.FILTER(U$2:U$1073,($C$2:$C$1073=$C90)*($E$2:$E$1073=$E90)*(ROW(U$2:U$1073)&lt;&gt;ROW(U90))*(U$2:U$1073&lt;&gt;""))),"")</f>
        <v>1.032146796102082</v>
      </c>
    </row>
    <row r="91" spans="1:27" x14ac:dyDescent="0.2">
      <c r="A91" s="7" t="s">
        <v>2186</v>
      </c>
      <c r="B91" t="str">
        <f t="shared" si="13"/>
        <v>SNGS IV кв. 2016</v>
      </c>
      <c r="C91">
        <v>2016</v>
      </c>
      <c r="D91">
        <f>SUMIFS(Дивиденды!$C:$C,Дивиденды!$A:$A,A91,Дивиденды!$I:$I,C91)</f>
        <v>0.6</v>
      </c>
      <c r="E91">
        <v>1</v>
      </c>
      <c r="F91">
        <f t="shared" si="14"/>
        <v>0.6</v>
      </c>
      <c r="G91">
        <f t="shared" si="15"/>
        <v>40.954999999999998</v>
      </c>
      <c r="H91">
        <f t="shared" si="16"/>
        <v>1</v>
      </c>
      <c r="I91">
        <f t="shared" si="12"/>
        <v>0.83333333333333337</v>
      </c>
      <c r="J91">
        <f t="shared" si="17"/>
        <v>0</v>
      </c>
      <c r="K91">
        <f t="shared" si="21"/>
        <v>0.12341275025046383</v>
      </c>
      <c r="L91">
        <f t="shared" si="18"/>
        <v>0</v>
      </c>
      <c r="M91">
        <f t="shared" si="11"/>
        <v>0.66666666666666663</v>
      </c>
      <c r="N91">
        <f t="shared" si="19"/>
        <v>0</v>
      </c>
      <c r="O91">
        <f t="shared" si="20"/>
        <v>0.16666666666666666</v>
      </c>
      <c r="P91">
        <f>IFERROR(LN('Дивиденды по годам'!I91),"")</f>
        <v>28.997517024743544</v>
      </c>
      <c r="Q91">
        <f>IFERROR('Дивиденды по годам'!G91/'Дивиденды по годам'!I91, "")</f>
        <v>0.33955479735872102</v>
      </c>
      <c r="R91" t="str">
        <f>IFERROR(IF(AND('Дивиденды по годам'!N91&lt;&gt;"",'Дивиденды по годам'!U91&lt;&gt;"",'Дивиденды по годам'!U91&lt;&gt;0),'Дивиденды по годам'!N91/'Дивиденды по годам'!U91-1,""),"")</f>
        <v/>
      </c>
      <c r="S91">
        <f>IFERROR(IF(AND('Дивиденды по годам'!L91&lt;&gt;"",'Дивиденды по годам'!I91&lt;&gt;"",'Дивиденды по годам'!J91&lt;&gt;"",'Дивиденды по годам'!K91&lt;&gt;"",('Дивиденды по годам'!I91-'Дивиденды по годам'!J91-'Дивиденды по годам'!K91)&lt;&gt;0),'Дивиденды по годам'!L91/('Дивиденды по годам'!I91-'Дивиденды по годам'!J91-'Дивиденды по годам'!K91),""),"")</f>
        <v>0.93826340652438667</v>
      </c>
      <c r="T91" t="str">
        <f>IFERROR(IF(AND('Дивиденды по годам'!Q91&lt;&gt;"",'Дивиденды по годам'!I91&lt;&gt;"",'Дивиденды по годам'!V91&lt;&gt;"",('Дивиденды по годам'!I91+'Дивиденды по годам'!V91)&lt;&gt;0),'Дивиденды по годам'!Q91/(('Дивиденды по годам'!I91+'Дивиденды по годам'!V91)/2),""),"")</f>
        <v/>
      </c>
      <c r="U91">
        <f>IFERROR(IF(AND('Дивиденды по годам'!J91&lt;&gt;"",'Дивиденды по годам'!K91&lt;&gt;"",'Дивиденды по годам'!M91&lt;&gt;"",'Дивиденды по годам'!M91&lt;&gt;0),('Дивиденды по годам'!J91+'Дивиденды по годам'!K91)/'Дивиденды по годам'!M91,""),"")</f>
        <v>0.1382049519767157</v>
      </c>
      <c r="V91" cm="1">
        <f t="array" ref="V91">IFERROR(AVERAGE(_xlfn._xlws.FILTER(P$2:P$1073,($C$2:$C$1073=$C91)*($E$2:$E$1073=$E91)*(ROW(P$2:P$1073)&lt;&gt;ROW(P91))*(P$2:P$1073&lt;&gt;""))),"")</f>
        <v>28.523573672963792</v>
      </c>
      <c r="W91" cm="1">
        <f t="array" ref="W91">IFERROR(AVERAGE(_xlfn._xlws.FILTER(Q$2:Q$1073,($C$2:$C$1073=$C91)*($E$2:$E$1073=$E91)*(ROW(Q$2:Q$1073)&lt;&gt;ROW(Q91))*(Q$2:Q$1073&lt;&gt;""))),"")</f>
        <v>0.5664890329389517</v>
      </c>
      <c r="X91" cm="1">
        <f t="array" ref="X91">IFERROR(AVERAGE(_xlfn._xlws.FILTER(R$2:R$1073,($C$2:$C$1073=$C91)*($E$2:$E$1073=$E91)*(ROW(R$2:R$1073)&lt;&gt;ROW(R91))*(R$2:R$1073&lt;&gt;""))),"")</f>
        <v>1.1056328076761712E-2</v>
      </c>
      <c r="Y91" cm="1">
        <f t="array" ref="Y91">IFERROR(AVERAGE(_xlfn._xlws.FILTER(S$2:S$1073,($C$2:$C$1073=$C91)*($E$2:$E$1073=$E91)*(ROW(S$2:S$1073)&lt;&gt;ROW(S91))*(S$2:S$1073&lt;&gt;""))),"")</f>
        <v>0.68652665036072646</v>
      </c>
      <c r="Z91" cm="1">
        <f t="array" ref="Z91">IFERROR(AVERAGE(_xlfn._xlws.FILTER(T$2:T$1073,($C$2:$C$1073=$C91)*($E$2:$E$1073=$E91)*(ROW(T$2:T$1073)&lt;&gt;ROW(T91))*(T$2:T$1073&lt;&gt;""))),"")</f>
        <v>9.6985184235381314E-2</v>
      </c>
      <c r="AA91" cm="1">
        <f t="array" ref="AA91">IFERROR(AVERAGE(_xlfn._xlws.FILTER(U$2:U$1073,($C$2:$C$1073=$C91)*($E$2:$E$1073=$E91)*(ROW(U$2:U$1073)&lt;&gt;ROW(U91))*(U$2:U$1073&lt;&gt;""))),"")</f>
        <v>1.0795809058394321</v>
      </c>
    </row>
    <row r="92" spans="1:27" x14ac:dyDescent="0.2">
      <c r="A92" s="7" t="s">
        <v>2186</v>
      </c>
      <c r="B92" t="str">
        <f t="shared" si="13"/>
        <v>SNGS IV кв. 2015</v>
      </c>
      <c r="C92">
        <v>2015</v>
      </c>
      <c r="D92">
        <f>SUMIFS(Дивиденды!$C:$C,Дивиденды!$A:$A,A92,Дивиденды!$I:$I,C92)</f>
        <v>0.6</v>
      </c>
      <c r="E92">
        <v>1</v>
      </c>
      <c r="F92">
        <f t="shared" si="14"/>
        <v>0.6</v>
      </c>
      <c r="G92">
        <f t="shared" si="15"/>
        <v>36.85</v>
      </c>
      <c r="H92">
        <f t="shared" si="16"/>
        <v>1</v>
      </c>
      <c r="I92">
        <f t="shared" si="12"/>
        <v>0.83333333333333337</v>
      </c>
      <c r="J92">
        <f t="shared" si="17"/>
        <v>-7.6923076923076983E-2</v>
      </c>
      <c r="K92">
        <f t="shared" si="21"/>
        <v>0.1704936507539595</v>
      </c>
      <c r="L92">
        <f t="shared" si="18"/>
        <v>0</v>
      </c>
      <c r="M92">
        <f t="shared" si="11"/>
        <v>0.83333333333333337</v>
      </c>
      <c r="N92">
        <f t="shared" si="19"/>
        <v>1</v>
      </c>
      <c r="O92">
        <f t="shared" si="20"/>
        <v>0</v>
      </c>
      <c r="P92" t="str">
        <f>IFERROR(LN('Дивиденды по годам'!I92),"")</f>
        <v/>
      </c>
      <c r="Q92" t="str">
        <f>IFERROR('Дивиденды по годам'!G92/'Дивиденды по годам'!I92, "")</f>
        <v/>
      </c>
      <c r="R92" t="str">
        <f>IFERROR(IF(AND('Дивиденды по годам'!N92&lt;&gt;"",'Дивиденды по годам'!U92&lt;&gt;"",'Дивиденды по годам'!U92&lt;&gt;0),'Дивиденды по годам'!N92/'Дивиденды по годам'!U92-1,""),"")</f>
        <v/>
      </c>
      <c r="S92" t="str">
        <f>IFERROR(IF(AND('Дивиденды по годам'!L92&lt;&gt;"",'Дивиденды по годам'!I92&lt;&gt;"",'Дивиденды по годам'!J92&lt;&gt;"",'Дивиденды по годам'!K92&lt;&gt;"",('Дивиденды по годам'!I92-'Дивиденды по годам'!J92-'Дивиденды по годам'!K92)&lt;&gt;0),'Дивиденды по годам'!L92/('Дивиденды по годам'!I92-'Дивиденды по годам'!J92-'Дивиденды по годам'!K92),""),"")</f>
        <v/>
      </c>
      <c r="T92" t="str">
        <f>IFERROR(IF(AND('Дивиденды по годам'!Q92&lt;&gt;"",'Дивиденды по годам'!I92&lt;&gt;"",'Дивиденды по годам'!V92&lt;&gt;"",('Дивиденды по годам'!I92+'Дивиденды по годам'!V92)&lt;&gt;0),'Дивиденды по годам'!Q92/(('Дивиденды по годам'!I92+'Дивиденды по годам'!V92)/2),""),"")</f>
        <v/>
      </c>
      <c r="U92" t="str">
        <f>IFERROR(IF(AND('Дивиденды по годам'!J92&lt;&gt;"",'Дивиденды по годам'!K92&lt;&gt;"",'Дивиденды по годам'!M92&lt;&gt;"",'Дивиденды по годам'!M92&lt;&gt;0),('Дивиденды по годам'!J92+'Дивиденды по годам'!K92)/'Дивиденды по годам'!M92,""),"")</f>
        <v/>
      </c>
      <c r="V92" cm="1">
        <f t="array" ref="V92">IFERROR(AVERAGE(_xlfn._xlws.FILTER(P$2:P$1073,($C$2:$C$1073=$C92)*($E$2:$E$1073=$E92)*(ROW(P$2:P$1073)&lt;&gt;ROW(P92))*(P$2:P$1073&lt;&gt;""))),"")</f>
        <v>28.434441571468565</v>
      </c>
      <c r="W92" cm="1">
        <f t="array" ref="W92">IFERROR(AVERAGE(_xlfn._xlws.FILTER(Q$2:Q$1073,($C$2:$C$1073=$C92)*($E$2:$E$1073=$E92)*(ROW(Q$2:Q$1073)&lt;&gt;ROW(Q92))*(Q$2:Q$1073&lt;&gt;""))),"")</f>
        <v>0.58381786772885969</v>
      </c>
      <c r="X92" cm="1">
        <f t="array" ref="X92">IFERROR(AVERAGE(_xlfn._xlws.FILTER(R$2:R$1073,($C$2:$C$1073=$C92)*($E$2:$E$1073=$E92)*(ROW(R$2:R$1073)&lt;&gt;ROW(R92))*(R$2:R$1073&lt;&gt;""))),"")</f>
        <v>0.10809571778120923</v>
      </c>
      <c r="Y92" cm="1">
        <f t="array" ref="Y92">IFERROR(AVERAGE(_xlfn._xlws.FILTER(S$2:S$1073,($C$2:$C$1073=$C92)*($E$2:$E$1073=$E92)*(ROW(S$2:S$1073)&lt;&gt;ROW(S92))*(S$2:S$1073&lt;&gt;""))),"")</f>
        <v>0.93450677760807999</v>
      </c>
      <c r="Z92" cm="1">
        <f t="array" ref="Z92">IFERROR(AVERAGE(_xlfn._xlws.FILTER(T$2:T$1073,($C$2:$C$1073=$C92)*($E$2:$E$1073=$E92)*(ROW(T$2:T$1073)&lt;&gt;ROW(T92))*(T$2:T$1073&lt;&gt;""))),"")</f>
        <v>7.6659418272165311E-2</v>
      </c>
      <c r="AA92" cm="1">
        <f t="array" ref="AA92">IFERROR(AVERAGE(_xlfn._xlws.FILTER(U$2:U$1073,($C$2:$C$1073=$C92)*($E$2:$E$1073=$E92)*(ROW(U$2:U$1073)&lt;&gt;ROW(U92))*(U$2:U$1073&lt;&gt;""))),"")</f>
        <v>-0.96220375125214785</v>
      </c>
    </row>
    <row r="93" spans="1:27" x14ac:dyDescent="0.2">
      <c r="A93" s="7" t="s">
        <v>2186</v>
      </c>
      <c r="B93" t="str">
        <f t="shared" si="13"/>
        <v>SNGS IV кв. 2014</v>
      </c>
      <c r="C93">
        <v>2014</v>
      </c>
      <c r="D93">
        <f>SUMIFS(Дивиденды!$C:$C,Дивиденды!$A:$A,A93,Дивиденды!$I:$I,C93)</f>
        <v>0.65</v>
      </c>
      <c r="E93">
        <v>1</v>
      </c>
      <c r="F93">
        <f t="shared" si="14"/>
        <v>0.65</v>
      </c>
      <c r="G93">
        <f t="shared" si="15"/>
        <v>31.715000000000003</v>
      </c>
      <c r="H93">
        <f t="shared" si="16"/>
        <v>1</v>
      </c>
      <c r="I93">
        <f t="shared" si="12"/>
        <v>0.83333333333333337</v>
      </c>
      <c r="J93">
        <f t="shared" si="17"/>
        <v>8.3333333333333412E-2</v>
      </c>
      <c r="K93">
        <f t="shared" si="21"/>
        <v>0.10498352453399673</v>
      </c>
      <c r="L93">
        <f t="shared" si="18"/>
        <v>1</v>
      </c>
      <c r="M93">
        <f t="shared" si="11"/>
        <v>0.5</v>
      </c>
      <c r="N93">
        <f t="shared" si="19"/>
        <v>0</v>
      </c>
      <c r="O93">
        <f t="shared" si="20"/>
        <v>0.16666666666666666</v>
      </c>
      <c r="P93" t="str">
        <f>IFERROR(LN('Дивиденды по годам'!I93),"")</f>
        <v/>
      </c>
      <c r="Q93" t="str">
        <f>IFERROR('Дивиденды по годам'!G93/'Дивиденды по годам'!I93, "")</f>
        <v/>
      </c>
      <c r="R93" t="str">
        <f>IFERROR(IF(AND('Дивиденды по годам'!N93&lt;&gt;"",'Дивиденды по годам'!U93&lt;&gt;"",'Дивиденды по годам'!U93&lt;&gt;0),'Дивиденды по годам'!N93/'Дивиденды по годам'!U93-1,""),"")</f>
        <v/>
      </c>
      <c r="S93" t="str">
        <f>IFERROR(IF(AND('Дивиденды по годам'!L93&lt;&gt;"",'Дивиденды по годам'!I93&lt;&gt;"",'Дивиденды по годам'!J93&lt;&gt;"",'Дивиденды по годам'!K93&lt;&gt;"",('Дивиденды по годам'!I93-'Дивиденды по годам'!J93-'Дивиденды по годам'!K93)&lt;&gt;0),'Дивиденды по годам'!L93/('Дивиденды по годам'!I93-'Дивиденды по годам'!J93-'Дивиденды по годам'!K93),""),"")</f>
        <v/>
      </c>
      <c r="T93" t="str">
        <f>IFERROR(IF(AND('Дивиденды по годам'!Q93&lt;&gt;"",'Дивиденды по годам'!I93&lt;&gt;"",'Дивиденды по годам'!V93&lt;&gt;"",('Дивиденды по годам'!I93+'Дивиденды по годам'!V93)&lt;&gt;0),'Дивиденды по годам'!Q93/(('Дивиденды по годам'!I93+'Дивиденды по годам'!V93)/2),""),"")</f>
        <v/>
      </c>
      <c r="U93" t="str">
        <f>IFERROR(IF(AND('Дивиденды по годам'!J93&lt;&gt;"",'Дивиденды по годам'!K93&lt;&gt;"",'Дивиденды по годам'!M93&lt;&gt;"",'Дивиденды по годам'!M93&lt;&gt;0),('Дивиденды по годам'!J93+'Дивиденды по годам'!K93)/'Дивиденды по годам'!M93,""),"")</f>
        <v/>
      </c>
      <c r="V93" cm="1">
        <f t="array" ref="V93">IFERROR(AVERAGE(_xlfn._xlws.FILTER(P$2:P$1073,($C$2:$C$1073=$C93)*($E$2:$E$1073=$E93)*(ROW(P$2:P$1073)&lt;&gt;ROW(P93))*(P$2:P$1073&lt;&gt;""))),"")</f>
        <v>28.768029773638499</v>
      </c>
      <c r="W93" cm="1">
        <f t="array" ref="W93">IFERROR(AVERAGE(_xlfn._xlws.FILTER(Q$2:Q$1073,($C$2:$C$1073=$C93)*($E$2:$E$1073=$E93)*(ROW(Q$2:Q$1073)&lt;&gt;ROW(Q93))*(Q$2:Q$1073&lt;&gt;""))),"")</f>
        <v>0.62853220057423198</v>
      </c>
      <c r="X93" cm="1">
        <f t="array" ref="X93">IFERROR(AVERAGE(_xlfn._xlws.FILTER(R$2:R$1073,($C$2:$C$1073=$C93)*($E$2:$E$1073=$E93)*(ROW(R$2:R$1073)&lt;&gt;ROW(R93))*(R$2:R$1073&lt;&gt;""))),"")</f>
        <v>0.14467781010492406</v>
      </c>
      <c r="Y93" cm="1">
        <f t="array" ref="Y93">IFERROR(AVERAGE(_xlfn._xlws.FILTER(S$2:S$1073,($C$2:$C$1073=$C93)*($E$2:$E$1073=$E93)*(ROW(S$2:S$1073)&lt;&gt;ROW(S93))*(S$2:S$1073&lt;&gt;""))),"")</f>
        <v>0.93609647675020025</v>
      </c>
      <c r="Z93" cm="1">
        <f t="array" ref="Z93">IFERROR(AVERAGE(_xlfn._xlws.FILTER(T$2:T$1073,($C$2:$C$1073=$C93)*($E$2:$E$1073=$E93)*(ROW(T$2:T$1073)&lt;&gt;ROW(T93))*(T$2:T$1073&lt;&gt;""))),"")</f>
        <v>5.9297671460212809E-2</v>
      </c>
      <c r="AA93" cm="1">
        <f t="array" ref="AA93">IFERROR(AVERAGE(_xlfn._xlws.FILTER(U$2:U$1073,($C$2:$C$1073=$C93)*($E$2:$E$1073=$E93)*(ROW(U$2:U$1073)&lt;&gt;ROW(U93))*(U$2:U$1073&lt;&gt;""))),"")</f>
        <v>0.79421863738134113</v>
      </c>
    </row>
    <row r="94" spans="1:27" x14ac:dyDescent="0.2">
      <c r="A94" s="7" t="s">
        <v>2186</v>
      </c>
      <c r="B94" t="str">
        <f t="shared" si="13"/>
        <v>SNGS IV кв. 2013</v>
      </c>
      <c r="C94">
        <v>2013</v>
      </c>
      <c r="D94">
        <f>SUMIFS(Дивиденды!$C:$C,Дивиденды!$A:$A,A94,Дивиденды!$I:$I,C94)</f>
        <v>0.6</v>
      </c>
      <c r="E94">
        <v>1</v>
      </c>
      <c r="F94">
        <f t="shared" si="14"/>
        <v>0.6</v>
      </c>
      <c r="G94">
        <f t="shared" si="15"/>
        <v>24.361666666666665</v>
      </c>
      <c r="H94">
        <f t="shared" si="16"/>
        <v>1</v>
      </c>
      <c r="I94">
        <f t="shared" si="12"/>
        <v>0.83333333333333337</v>
      </c>
      <c r="J94">
        <f t="shared" si="17"/>
        <v>0.19999999999999996</v>
      </c>
      <c r="K94">
        <f t="shared" si="21"/>
        <v>0.18793689497110841</v>
      </c>
      <c r="L94">
        <f t="shared" si="18"/>
        <v>1</v>
      </c>
      <c r="M94">
        <f t="shared" si="11"/>
        <v>0.66666666666666663</v>
      </c>
      <c r="N94">
        <f t="shared" si="19"/>
        <v>0</v>
      </c>
      <c r="O94">
        <f t="shared" si="20"/>
        <v>0.16666666666666666</v>
      </c>
      <c r="P94" t="str">
        <f>IFERROR(LN('Дивиденды по годам'!I94),"")</f>
        <v/>
      </c>
      <c r="Q94" t="str">
        <f>IFERROR('Дивиденды по годам'!G94/'Дивиденды по годам'!I94, "")</f>
        <v/>
      </c>
      <c r="R94" t="str">
        <f>IFERROR(IF(AND('Дивиденды по годам'!N94&lt;&gt;"",'Дивиденды по годам'!U94&lt;&gt;"",'Дивиденды по годам'!U94&lt;&gt;0),'Дивиденды по годам'!N94/'Дивиденды по годам'!U94-1,""),"")</f>
        <v/>
      </c>
      <c r="S94" t="str">
        <f>IFERROR(IF(AND('Дивиденды по годам'!L94&lt;&gt;"",'Дивиденды по годам'!I94&lt;&gt;"",'Дивиденды по годам'!J94&lt;&gt;"",'Дивиденды по годам'!K94&lt;&gt;"",('Дивиденды по годам'!I94-'Дивиденды по годам'!J94-'Дивиденды по годам'!K94)&lt;&gt;0),'Дивиденды по годам'!L94/('Дивиденды по годам'!I94-'Дивиденды по годам'!J94-'Дивиденды по годам'!K94),""),"")</f>
        <v/>
      </c>
      <c r="T94" t="str">
        <f>IFERROR(IF(AND('Дивиденды по годам'!Q94&lt;&gt;"",'Дивиденды по годам'!I94&lt;&gt;"",'Дивиденды по годам'!V94&lt;&gt;"",('Дивиденды по годам'!I94+'Дивиденды по годам'!V94)&lt;&gt;0),'Дивиденды по годам'!Q94/(('Дивиденды по годам'!I94+'Дивиденды по годам'!V94)/2),""),"")</f>
        <v/>
      </c>
      <c r="U94" t="str">
        <f>IFERROR(IF(AND('Дивиденды по годам'!J94&lt;&gt;"",'Дивиденды по годам'!K94&lt;&gt;"",'Дивиденды по годам'!M94&lt;&gt;"",'Дивиденды по годам'!M94&lt;&gt;0),('Дивиденды по годам'!J94+'Дивиденды по годам'!K94)/'Дивиденды по годам'!M94,""),"")</f>
        <v/>
      </c>
      <c r="V94" cm="1">
        <f t="array" ref="V94">IFERROR(AVERAGE(_xlfn._xlws.FILTER(P$2:P$1073,($C$2:$C$1073=$C94)*($E$2:$E$1073=$E94)*(ROW(P$2:P$1073)&lt;&gt;ROW(P94))*(P$2:P$1073&lt;&gt;""))),"")</f>
        <v>28.622706288201101</v>
      </c>
      <c r="W94" cm="1">
        <f t="array" ref="W94">IFERROR(AVERAGE(_xlfn._xlws.FILTER(Q$2:Q$1073,($C$2:$C$1073=$C94)*($E$2:$E$1073=$E94)*(ROW(Q$2:Q$1073)&lt;&gt;ROW(Q94))*(Q$2:Q$1073&lt;&gt;""))),"")</f>
        <v>0.64236399607477235</v>
      </c>
      <c r="X94" cm="1">
        <f t="array" ref="X94">IFERROR(AVERAGE(_xlfn._xlws.FILTER(R$2:R$1073,($C$2:$C$1073=$C94)*($E$2:$E$1073=$E94)*(ROW(R$2:R$1073)&lt;&gt;ROW(R94))*(R$2:R$1073&lt;&gt;""))),"")</f>
        <v>0.22145784870176244</v>
      </c>
      <c r="Y94" cm="1">
        <f t="array" ref="Y94">IFERROR(AVERAGE(_xlfn._xlws.FILTER(S$2:S$1073,($C$2:$C$1073=$C94)*($E$2:$E$1073=$E94)*(ROW(S$2:S$1073)&lt;&gt;ROW(S94))*(S$2:S$1073&lt;&gt;""))),"")</f>
        <v>0.89631518143572286</v>
      </c>
      <c r="Z94" cm="1">
        <f t="array" ref="Z94">IFERROR(AVERAGE(_xlfn._xlws.FILTER(T$2:T$1073,($C$2:$C$1073=$C94)*($E$2:$E$1073=$E94)*(ROW(T$2:T$1073)&lt;&gt;ROW(T94))*(T$2:T$1073&lt;&gt;""))),"")</f>
        <v>0.11790230641943103</v>
      </c>
      <c r="AA94" cm="1">
        <f t="array" ref="AA94">IFERROR(AVERAGE(_xlfn._xlws.FILTER(U$2:U$1073,($C$2:$C$1073=$C94)*($E$2:$E$1073=$E94)*(ROW(U$2:U$1073)&lt;&gt;ROW(U94))*(U$2:U$1073&lt;&gt;""))),"")</f>
        <v>0.6209255292208824</v>
      </c>
    </row>
    <row r="95" spans="1:27" x14ac:dyDescent="0.2">
      <c r="A95" s="7" t="s">
        <v>2186</v>
      </c>
      <c r="B95" t="str">
        <f t="shared" si="13"/>
        <v>SNGS IV кв. 2012</v>
      </c>
      <c r="C95">
        <v>2012</v>
      </c>
      <c r="D95">
        <f>SUMIFS(Дивиденды!$C:$C,Дивиденды!$A:$A,A95,Дивиденды!$I:$I,C95)</f>
        <v>0.5</v>
      </c>
      <c r="E95">
        <v>1</v>
      </c>
      <c r="F95">
        <f t="shared" si="14"/>
        <v>0.5</v>
      </c>
      <c r="G95">
        <f t="shared" si="15"/>
        <v>19.916666666666664</v>
      </c>
      <c r="H95">
        <f t="shared" si="16"/>
        <v>1</v>
      </c>
      <c r="I95">
        <f t="shared" si="12"/>
        <v>0.83333333333333337</v>
      </c>
      <c r="J95">
        <f t="shared" si="17"/>
        <v>-0.16666666666666663</v>
      </c>
      <c r="K95">
        <f t="shared" si="21"/>
        <v>4.9143532942030894E-2</v>
      </c>
      <c r="L95">
        <f t="shared" si="18"/>
        <v>0</v>
      </c>
      <c r="M95">
        <f t="shared" si="11"/>
        <v>0.66666666666666663</v>
      </c>
      <c r="N95">
        <f t="shared" si="19"/>
        <v>1</v>
      </c>
      <c r="O95">
        <f t="shared" si="20"/>
        <v>0.16666666666666666</v>
      </c>
      <c r="P95" t="str">
        <f>IFERROR(LN('Дивиденды по годам'!I95),"")</f>
        <v/>
      </c>
      <c r="Q95" t="str">
        <f>IFERROR('Дивиденды по годам'!G95/'Дивиденды по годам'!I95, "")</f>
        <v/>
      </c>
      <c r="R95" t="str">
        <f>IFERROR(IF(AND('Дивиденды по годам'!N95&lt;&gt;"",'Дивиденды по годам'!U95&lt;&gt;"",'Дивиденды по годам'!U95&lt;&gt;0),'Дивиденды по годам'!N95/'Дивиденды по годам'!U95-1,""),"")</f>
        <v/>
      </c>
      <c r="S95" t="str">
        <f>IFERROR(IF(AND('Дивиденды по годам'!L95&lt;&gt;"",'Дивиденды по годам'!I95&lt;&gt;"",'Дивиденды по годам'!J95&lt;&gt;"",'Дивиденды по годам'!K95&lt;&gt;"",('Дивиденды по годам'!I95-'Дивиденды по годам'!J95-'Дивиденды по годам'!K95)&lt;&gt;0),'Дивиденды по годам'!L95/('Дивиденды по годам'!I95-'Дивиденды по годам'!J95-'Дивиденды по годам'!K95),""),"")</f>
        <v/>
      </c>
      <c r="T95" t="str">
        <f>IFERROR(IF(AND('Дивиденды по годам'!Q95&lt;&gt;"",'Дивиденды по годам'!I95&lt;&gt;"",'Дивиденды по годам'!V95&lt;&gt;"",('Дивиденды по годам'!I95+'Дивиденды по годам'!V95)&lt;&gt;0),'Дивиденды по годам'!Q95/(('Дивиденды по годам'!I95+'Дивиденды по годам'!V95)/2),""),"")</f>
        <v/>
      </c>
      <c r="U95" t="str">
        <f>IFERROR(IF(AND('Дивиденды по годам'!J95&lt;&gt;"",'Дивиденды по годам'!K95&lt;&gt;"",'Дивиденды по годам'!M95&lt;&gt;"",'Дивиденды по годам'!M95&lt;&gt;0),('Дивиденды по годам'!J95+'Дивиденды по годам'!K95)/'Дивиденды по годам'!M95,""),"")</f>
        <v/>
      </c>
      <c r="V95" cm="1">
        <f t="array" ref="V95">IFERROR(AVERAGE(_xlfn._xlws.FILTER(P$2:P$1073,($C$2:$C$1073=$C95)*($E$2:$E$1073=$E95)*(ROW(P$2:P$1073)&lt;&gt;ROW(P95))*(P$2:P$1073&lt;&gt;""))),"")</f>
        <v>28.377599288247005</v>
      </c>
      <c r="W95" cm="1">
        <f t="array" ref="W95">IFERROR(AVERAGE(_xlfn._xlws.FILTER(Q$2:Q$1073,($C$2:$C$1073=$C95)*($E$2:$E$1073=$E95)*(ROW(Q$2:Q$1073)&lt;&gt;ROW(Q95))*(Q$2:Q$1073&lt;&gt;""))),"")</f>
        <v>0.61992711684076307</v>
      </c>
      <c r="X95" cm="1">
        <f t="array" ref="X95">IFERROR(AVERAGE(_xlfn._xlws.FILTER(R$2:R$1073,($C$2:$C$1073=$C95)*($E$2:$E$1073=$E95)*(ROW(R$2:R$1073)&lt;&gt;ROW(R95))*(R$2:R$1073&lt;&gt;""))),"")</f>
        <v>3.7220281362886264E-2</v>
      </c>
      <c r="Y95" cm="1">
        <f t="array" ref="Y95">IFERROR(AVERAGE(_xlfn._xlws.FILTER(S$2:S$1073,($C$2:$C$1073=$C95)*($E$2:$E$1073=$E95)*(ROW(S$2:S$1073)&lt;&gt;ROW(S95))*(S$2:S$1073&lt;&gt;""))),"")</f>
        <v>0.90617229044951875</v>
      </c>
      <c r="Z95" cm="1">
        <f t="array" ref="Z95">IFERROR(AVERAGE(_xlfn._xlws.FILTER(T$2:T$1073,($C$2:$C$1073=$C95)*($E$2:$E$1073=$E95)*(ROW(T$2:T$1073)&lt;&gt;ROW(T95))*(T$2:T$1073&lt;&gt;""))),"")</f>
        <v>0.12132203753458233</v>
      </c>
      <c r="AA95" cm="1">
        <f t="array" ref="AA95">IFERROR(AVERAGE(_xlfn._xlws.FILTER(U$2:U$1073,($C$2:$C$1073=$C95)*($E$2:$E$1073=$E95)*(ROW(U$2:U$1073)&lt;&gt;ROW(U95))*(U$2:U$1073&lt;&gt;""))),"")</f>
        <v>0.48530122005899462</v>
      </c>
    </row>
    <row r="96" spans="1:27" x14ac:dyDescent="0.2">
      <c r="A96" s="7" t="s">
        <v>2186</v>
      </c>
      <c r="B96" t="str">
        <f t="shared" si="13"/>
        <v>SNGS IV кв. 2011</v>
      </c>
      <c r="C96">
        <v>2011</v>
      </c>
      <c r="D96">
        <f>SUMIFS(Дивиденды!$C:$C,Дивиденды!$A:$A,A96,Дивиденды!$I:$I,C96)</f>
        <v>0.6</v>
      </c>
      <c r="E96">
        <v>1</v>
      </c>
      <c r="F96">
        <f t="shared" si="14"/>
        <v>0.6</v>
      </c>
      <c r="G96">
        <f t="shared" si="15"/>
        <v>17.43</v>
      </c>
      <c r="H96">
        <f t="shared" si="16"/>
        <v>1</v>
      </c>
      <c r="I96">
        <f t="shared" si="12"/>
        <v>0.83333333333333337</v>
      </c>
      <c r="J96">
        <f t="shared" si="17"/>
        <v>0.19999999999999996</v>
      </c>
      <c r="K96">
        <f t="shared" si="21"/>
        <v>0.70661266764172759</v>
      </c>
      <c r="L96">
        <f t="shared" si="18"/>
        <v>1</v>
      </c>
      <c r="M96">
        <f t="shared" si="11"/>
        <v>0.83333333333333337</v>
      </c>
      <c r="N96">
        <f t="shared" si="19"/>
        <v>0</v>
      </c>
      <c r="O96">
        <f t="shared" si="20"/>
        <v>0</v>
      </c>
      <c r="P96" t="str">
        <f>IFERROR(LN('Дивиденды по годам'!I96),"")</f>
        <v/>
      </c>
      <c r="Q96" t="str">
        <f>IFERROR('Дивиденды по годам'!G96/'Дивиденды по годам'!I96, "")</f>
        <v/>
      </c>
      <c r="R96" t="str">
        <f>IFERROR(IF(AND('Дивиденды по годам'!N96&lt;&gt;"",'Дивиденды по годам'!U96&lt;&gt;"",'Дивиденды по годам'!U96&lt;&gt;0),'Дивиденды по годам'!N96/'Дивиденды по годам'!U96-1,""),"")</f>
        <v/>
      </c>
      <c r="S96" t="str">
        <f>IFERROR(IF(AND('Дивиденды по годам'!L96&lt;&gt;"",'Дивиденды по годам'!I96&lt;&gt;"",'Дивиденды по годам'!J96&lt;&gt;"",'Дивиденды по годам'!K96&lt;&gt;"",('Дивиденды по годам'!I96-'Дивиденды по годам'!J96-'Дивиденды по годам'!K96)&lt;&gt;0),'Дивиденды по годам'!L96/('Дивиденды по годам'!I96-'Дивиденды по годам'!J96-'Дивиденды по годам'!K96),""),"")</f>
        <v/>
      </c>
      <c r="T96" t="str">
        <f>IFERROR(IF(AND('Дивиденды по годам'!Q96&lt;&gt;"",'Дивиденды по годам'!I96&lt;&gt;"",'Дивиденды по годам'!V96&lt;&gt;"",('Дивиденды по годам'!I96+'Дивиденды по годам'!V96)&lt;&gt;0),'Дивиденды по годам'!Q96/(('Дивиденды по годам'!I96+'Дивиденды по годам'!V96)/2),""),"")</f>
        <v/>
      </c>
      <c r="U96" t="str">
        <f>IFERROR(IF(AND('Дивиденды по годам'!J96&lt;&gt;"",'Дивиденды по годам'!K96&lt;&gt;"",'Дивиденды по годам'!M96&lt;&gt;"",'Дивиденды по годам'!M96&lt;&gt;0),('Дивиденды по годам'!J96+'Дивиденды по годам'!K96)/'Дивиденды по годам'!M96,""),"")</f>
        <v/>
      </c>
      <c r="V96" cm="1">
        <f t="array" ref="V96">IFERROR(AVERAGE(_xlfn._xlws.FILTER(P$2:P$1073,($C$2:$C$1073=$C96)*($E$2:$E$1073=$E96)*(ROW(P$2:P$1073)&lt;&gt;ROW(P96))*(P$2:P$1073&lt;&gt;""))),"")</f>
        <v>28.264623869977424</v>
      </c>
      <c r="W96" cm="1">
        <f t="array" ref="W96">IFERROR(AVERAGE(_xlfn._xlws.FILTER(Q$2:Q$1073,($C$2:$C$1073=$C96)*($E$2:$E$1073=$E96)*(ROW(Q$2:Q$1073)&lt;&gt;ROW(Q96))*(Q$2:Q$1073&lt;&gt;""))),"")</f>
        <v>0.60420217997005043</v>
      </c>
      <c r="X96" cm="1">
        <f t="array" ref="X96">IFERROR(AVERAGE(_xlfn._xlws.FILTER(R$2:R$1073,($C$2:$C$1073=$C96)*($E$2:$E$1073=$E96)*(ROW(R$2:R$1073)&lt;&gt;ROW(R96))*(R$2:R$1073&lt;&gt;""))),"")</f>
        <v>0.35064844247682309</v>
      </c>
      <c r="Y96" cm="1">
        <f t="array" ref="Y96">IFERROR(AVERAGE(_xlfn._xlws.FILTER(S$2:S$1073,($C$2:$C$1073=$C96)*($E$2:$E$1073=$E96)*(ROW(S$2:S$1073)&lt;&gt;ROW(S96))*(S$2:S$1073&lt;&gt;""))),"")</f>
        <v>0.88249065929606674</v>
      </c>
      <c r="Z96" cm="1">
        <f t="array" ref="Z96">IFERROR(AVERAGE(_xlfn._xlws.FILTER(T$2:T$1073,($C$2:$C$1073=$C96)*($E$2:$E$1073=$E96)*(ROW(T$2:T$1073)&lt;&gt;ROW(T96))*(T$2:T$1073&lt;&gt;""))),"")</f>
        <v>0.16149330595864375</v>
      </c>
      <c r="AA96" cm="1">
        <f t="array" ref="AA96">IFERROR(AVERAGE(_xlfn._xlws.FILTER(U$2:U$1073,($C$2:$C$1073=$C96)*($E$2:$E$1073=$E96)*(ROW(U$2:U$1073)&lt;&gt;ROW(U96))*(U$2:U$1073&lt;&gt;""))),"")</f>
        <v>0.50624263499677247</v>
      </c>
    </row>
    <row r="97" spans="1:27" x14ac:dyDescent="0.2">
      <c r="A97" s="7" t="s">
        <v>2186</v>
      </c>
      <c r="B97" t="str">
        <f t="shared" si="13"/>
        <v>SNGS IV кв. 2010</v>
      </c>
      <c r="C97">
        <v>2010</v>
      </c>
      <c r="D97">
        <f>SUMIFS(Дивиденды!$C:$C,Дивиденды!$A:$A,A97,Дивиденды!$I:$I,C97)</f>
        <v>0.5</v>
      </c>
      <c r="E97">
        <v>1</v>
      </c>
      <c r="F97">
        <f t="shared" si="14"/>
        <v>0.5</v>
      </c>
      <c r="G97">
        <f t="shared" si="15"/>
        <v>12.438333333333333</v>
      </c>
      <c r="H97">
        <f t="shared" si="16"/>
        <v>1</v>
      </c>
      <c r="I97">
        <f t="shared" si="12"/>
        <v>0.83333333333333337</v>
      </c>
      <c r="J97" t="str">
        <f t="shared" si="17"/>
        <v/>
      </c>
      <c r="K97" t="str">
        <f t="shared" si="21"/>
        <v/>
      </c>
      <c r="L97" t="str">
        <f t="shared" si="18"/>
        <v/>
      </c>
      <c r="M97" t="str">
        <f t="shared" ref="M97:M160" si="22">IFERROR(AVERAGEIFS($L:$L,$E:$E,E97,$C:$C,C97,$A:$A,"&lt;&gt;"&amp;A97),"")</f>
        <v/>
      </c>
      <c r="N97" t="str">
        <f t="shared" si="19"/>
        <v/>
      </c>
      <c r="O97" t="str">
        <f t="shared" si="20"/>
        <v/>
      </c>
      <c r="P97" t="str">
        <f>IFERROR(LN('Дивиденды по годам'!I97),"")</f>
        <v/>
      </c>
      <c r="Q97" t="str">
        <f>IFERROR('Дивиденды по годам'!G97/'Дивиденды по годам'!I97, "")</f>
        <v/>
      </c>
      <c r="R97" t="str">
        <f>IFERROR(IF(AND('Дивиденды по годам'!N97&lt;&gt;"",'Дивиденды по годам'!U97&lt;&gt;"",'Дивиденды по годам'!U97&lt;&gt;0),'Дивиденды по годам'!N97/'Дивиденды по годам'!U97-1,""),"")</f>
        <v/>
      </c>
      <c r="S97" t="str">
        <f>IFERROR(IF(AND('Дивиденды по годам'!L97&lt;&gt;"",'Дивиденды по годам'!I97&lt;&gt;"",'Дивиденды по годам'!J97&lt;&gt;"",'Дивиденды по годам'!K97&lt;&gt;"",('Дивиденды по годам'!I97-'Дивиденды по годам'!J97-'Дивиденды по годам'!K97)&lt;&gt;0),'Дивиденды по годам'!L97/('Дивиденды по годам'!I97-'Дивиденды по годам'!J97-'Дивиденды по годам'!K97),""),"")</f>
        <v/>
      </c>
      <c r="T97" t="str">
        <f>IFERROR(IF(AND('Дивиденды по годам'!Q97&lt;&gt;"",'Дивиденды по годам'!I97&lt;&gt;"",'Дивиденды по годам'!V97&lt;&gt;"",('Дивиденды по годам'!I97+'Дивиденды по годам'!V97)&lt;&gt;0),'Дивиденды по годам'!Q97/(('Дивиденды по годам'!I97+'Дивиденды по годам'!V97)/2),""),"")</f>
        <v/>
      </c>
      <c r="U97" t="str">
        <f>IFERROR(IF(AND('Дивиденды по годам'!J97&lt;&gt;"",'Дивиденды по годам'!K97&lt;&gt;"",'Дивиденды по годам'!M97&lt;&gt;"",'Дивиденды по годам'!M97&lt;&gt;0),('Дивиденды по годам'!J97+'Дивиденды по годам'!K97)/'Дивиденды по годам'!M97,""),"")</f>
        <v/>
      </c>
      <c r="V97" cm="1">
        <f t="array" ref="V97">IFERROR(AVERAGE(_xlfn._xlws.FILTER(P$2:P$1073,($C$2:$C$1073=$C97)*($E$2:$E$1073=$E97)*(ROW(P$2:P$1073)&lt;&gt;ROW(P97))*(P$2:P$1073&lt;&gt;""))),"")</f>
        <v>28.26609277365635</v>
      </c>
      <c r="W97" cm="1">
        <f t="array" ref="W97">IFERROR(AVERAGE(_xlfn._xlws.FILTER(Q$2:Q$1073,($C$2:$C$1073=$C97)*($E$2:$E$1073=$E97)*(ROW(Q$2:Q$1073)&lt;&gt;ROW(Q97))*(Q$2:Q$1073&lt;&gt;""))),"")</f>
        <v>0.63165964928088458</v>
      </c>
      <c r="X97" cm="1">
        <f t="array" ref="X97">IFERROR(AVERAGE(_xlfn._xlws.FILTER(R$2:R$1073,($C$2:$C$1073=$C97)*($E$2:$E$1073=$E97)*(ROW(R$2:R$1073)&lt;&gt;ROW(R97))*(R$2:R$1073&lt;&gt;""))),"")</f>
        <v>0.23861324477859247</v>
      </c>
      <c r="Y97" cm="1">
        <f t="array" ref="Y97">IFERROR(AVERAGE(_xlfn._xlws.FILTER(S$2:S$1073,($C$2:$C$1073=$C97)*($E$2:$E$1073=$E97)*(ROW(S$2:S$1073)&lt;&gt;ROW(S97))*(S$2:S$1073&lt;&gt;""))),"")</f>
        <v>0.85870775810089295</v>
      </c>
      <c r="Z97" cm="1">
        <f t="array" ref="Z97">IFERROR(AVERAGE(_xlfn._xlws.FILTER(T$2:T$1073,($C$2:$C$1073=$C97)*($E$2:$E$1073=$E97)*(ROW(T$2:T$1073)&lt;&gt;ROW(T97))*(T$2:T$1073&lt;&gt;""))),"")</f>
        <v>0.10947396081496689</v>
      </c>
      <c r="AA97" cm="1">
        <f t="array" ref="AA97">IFERROR(AVERAGE(_xlfn._xlws.FILTER(U$2:U$1073,($C$2:$C$1073=$C97)*($E$2:$E$1073=$E97)*(ROW(U$2:U$1073)&lt;&gt;ROW(U97))*(U$2:U$1073&lt;&gt;""))),"")</f>
        <v>0.50738882547166109</v>
      </c>
    </row>
    <row r="98" spans="1:27" x14ac:dyDescent="0.2">
      <c r="A98" s="7" t="s">
        <v>2188</v>
      </c>
      <c r="B98" t="str">
        <f t="shared" si="13"/>
        <v>TATN IV кв. 2025</v>
      </c>
      <c r="C98">
        <v>2025</v>
      </c>
      <c r="D98">
        <f>SUMIFS(Дивиденды!$C:$C,Дивиденды!$A:$A,A98,Дивиденды!$I:$I,C98)</f>
        <v>22.48</v>
      </c>
      <c r="E98">
        <v>1</v>
      </c>
      <c r="F98">
        <f t="shared" si="14"/>
        <v>22.48</v>
      </c>
      <c r="G98">
        <f t="shared" si="15"/>
        <v>74.010000000000005</v>
      </c>
      <c r="H98">
        <f t="shared" si="16"/>
        <v>1</v>
      </c>
      <c r="I98">
        <f t="shared" si="12"/>
        <v>0.5</v>
      </c>
      <c r="J98">
        <f t="shared" si="17"/>
        <v>-0.7722391084093212</v>
      </c>
      <c r="K98">
        <f t="shared" si="21"/>
        <v>-0.49425973190990941</v>
      </c>
      <c r="L98">
        <f t="shared" si="18"/>
        <v>0</v>
      </c>
      <c r="M98">
        <f t="shared" si="22"/>
        <v>0</v>
      </c>
      <c r="N98">
        <f t="shared" si="19"/>
        <v>1</v>
      </c>
      <c r="O98">
        <f t="shared" si="20"/>
        <v>0.66666666666666663</v>
      </c>
      <c r="P98">
        <f>IFERROR(LN('Дивиденды по годам'!I98),"")</f>
        <v>28.388952724888394</v>
      </c>
      <c r="Q98">
        <f>IFERROR('Дивиденды по годам'!G98/'Дивиденды по годам'!I98, "")</f>
        <v>0.60148941494701147</v>
      </c>
      <c r="R98">
        <f>IFERROR(IF(AND('Дивиденды по годам'!N98&lt;&gt;"",'Дивиденды по годам'!U98&lt;&gt;"",'Дивиденды по годам'!U98&lt;&gt;0),'Дивиденды по годам'!N98/'Дивиденды по годам'!U98-1,""),"")</f>
        <v>-0.10453114233802596</v>
      </c>
      <c r="S98">
        <f>IFERROR(IF(AND('Дивиденды по годам'!L98&lt;&gt;"",'Дивиденды по годам'!I98&lt;&gt;"",'Дивиденды по годам'!J98&lt;&gt;"",'Дивиденды по годам'!K98&lt;&gt;"",('Дивиденды по годам'!I98-'Дивиденды по годам'!J98-'Дивиденды по годам'!K98)&lt;&gt;0),'Дивиденды по годам'!L98/('Дивиденды по годам'!I98-'Дивиденды по годам'!J98-'Дивиденды по годам'!K98),""),"")</f>
        <v>0.92840826223429396</v>
      </c>
      <c r="T98">
        <f>IFERROR(IF(AND('Дивиденды по годам'!Q98&lt;&gt;"",'Дивиденды по годам'!I98&lt;&gt;"",'Дивиденды по годам'!V98&lt;&gt;"",('Дивиденды по годам'!I98+'Дивиденды по годам'!V98)&lt;&gt;0),'Дивиденды по годам'!Q98/(('Дивиденды по годам'!I98+'Дивиденды по годам'!V98)/2),""),"")</f>
        <v>7.0088114895314732E-2</v>
      </c>
      <c r="U98">
        <f>IFERROR(IF(AND('Дивиденды по годам'!J98&lt;&gt;"",'Дивиденды по годам'!K98&lt;&gt;"",'Дивиденды по годам'!M98&lt;&gt;"",'Дивиденды по годам'!M98&lt;&gt;0),('Дивиденды по годам'!J98+'Дивиденды по годам'!K98)/'Дивиденды по годам'!M98,""),"")</f>
        <v>0.6108503349493235</v>
      </c>
      <c r="V98" cm="1">
        <f t="array" ref="V98">IFERROR(AVERAGE(_xlfn._xlws.FILTER(P$2:P$1073,($C$2:$C$1073=$C98)*($E$2:$E$1073=$E98)*(ROW(P$2:P$1073)&lt;&gt;ROW(P98))*(P$2:P$1073&lt;&gt;""))),"")</f>
        <v>28.279933420182029</v>
      </c>
      <c r="W98" cm="1">
        <f t="array" ref="W98">IFERROR(AVERAGE(_xlfn._xlws.FILTER(Q$2:Q$1073,($C$2:$C$1073=$C98)*($E$2:$E$1073=$E98)*(ROW(Q$2:Q$1073)&lt;&gt;ROW(Q98))*(Q$2:Q$1073&lt;&gt;""))),"")</f>
        <v>0.51176144617112573</v>
      </c>
      <c r="X98" cm="1">
        <f t="array" ref="X98">IFERROR(AVERAGE(_xlfn._xlws.FILTER(R$2:R$1073,($C$2:$C$1073=$C98)*($E$2:$E$1073=$E98)*(ROW(R$2:R$1073)&lt;&gt;ROW(R98))*(R$2:R$1073&lt;&gt;""))),"")</f>
        <v>-0.30020924425067541</v>
      </c>
      <c r="Y98" cm="1">
        <f t="array" ref="Y98">IFERROR(AVERAGE(_xlfn._xlws.FILTER(S$2:S$1073,($C$2:$C$1073=$C98)*($E$2:$E$1073=$E98)*(ROW(S$2:S$1073)&lt;&gt;ROW(S98))*(S$2:S$1073&lt;&gt;""))),"")</f>
        <v>0.60138317403943653</v>
      </c>
      <c r="Z98" cm="1">
        <f t="array" ref="Z98">IFERROR(AVERAGE(_xlfn._xlws.FILTER(T$2:T$1073,($C$2:$C$1073=$C98)*($E$2:$E$1073=$E98)*(ROW(T$2:T$1073)&lt;&gt;ROW(T98))*(T$2:T$1073&lt;&gt;""))),"")</f>
        <v>-8.5638573625026696E-3</v>
      </c>
      <c r="AA98" cm="1">
        <f t="array" ref="AA98">IFERROR(AVERAGE(_xlfn._xlws.FILTER(U$2:U$1073,($C$2:$C$1073=$C98)*($E$2:$E$1073=$E98)*(ROW(U$2:U$1073)&lt;&gt;ROW(U98))*(U$2:U$1073&lt;&gt;""))),"")</f>
        <v>0.74683337130866301</v>
      </c>
    </row>
    <row r="99" spans="1:27" x14ac:dyDescent="0.2">
      <c r="A99" s="7" t="s">
        <v>2188</v>
      </c>
      <c r="B99" t="str">
        <f t="shared" si="13"/>
        <v>TATN IV кв. 2024</v>
      </c>
      <c r="C99">
        <v>2024</v>
      </c>
      <c r="D99">
        <f>SUMIFS(Дивиденды!$C:$C,Дивиденды!$A:$A,A99,Дивиденды!$I:$I,C99)</f>
        <v>98.7</v>
      </c>
      <c r="E99">
        <v>1</v>
      </c>
      <c r="F99">
        <f t="shared" si="14"/>
        <v>98.7</v>
      </c>
      <c r="G99">
        <f t="shared" si="15"/>
        <v>198.20000000000005</v>
      </c>
      <c r="H99">
        <f t="shared" si="16"/>
        <v>1</v>
      </c>
      <c r="I99">
        <f t="shared" si="12"/>
        <v>0.66666666666666663</v>
      </c>
      <c r="J99">
        <f t="shared" si="17"/>
        <v>0.12312243969048711</v>
      </c>
      <c r="K99">
        <f t="shared" si="21"/>
        <v>1.2693561122362999E-2</v>
      </c>
      <c r="L99">
        <f t="shared" si="18"/>
        <v>1</v>
      </c>
      <c r="M99">
        <f t="shared" si="22"/>
        <v>0.5</v>
      </c>
      <c r="N99">
        <f t="shared" si="19"/>
        <v>0</v>
      </c>
      <c r="O99">
        <f t="shared" si="20"/>
        <v>0.16666666666666666</v>
      </c>
      <c r="P99">
        <f>IFERROR(LN('Дивиденды по годам'!I99),"")</f>
        <v>28.421707354134465</v>
      </c>
      <c r="Q99">
        <f>IFERROR('Дивиденды по годам'!G99/'Дивиденды по годам'!I99, "")</f>
        <v>0.56153065727429119</v>
      </c>
      <c r="R99">
        <f>IFERROR(IF(AND('Дивиденды по годам'!N99&lt;&gt;"",'Дивиденды по годам'!U99&lt;&gt;"",'Дивиденды по годам'!U99&lt;&gt;0),'Дивиденды по годам'!N99/'Дивиденды по годам'!U99-1,""),"")</f>
        <v>0.27770058436254397</v>
      </c>
      <c r="S99">
        <f>IFERROR(IF(AND('Дивиденды по годам'!L99&lt;&gt;"",'Дивиденды по годам'!I99&lt;&gt;"",'Дивиденды по годам'!J99&lt;&gt;"",'Дивиденды по годам'!K99&lt;&gt;"",('Дивиденды по годам'!I99-'Дивиденды по годам'!J99-'Дивиденды по годам'!K99)&lt;&gt;0),'Дивиденды по годам'!L99/('Дивиденды по годам'!I99-'Дивиденды по годам'!J99-'Дивиденды по годам'!K99),""),"")</f>
        <v>0.91624844765321245</v>
      </c>
      <c r="T99">
        <f>IFERROR(IF(AND('Дивиденды по годам'!Q99&lt;&gt;"",'Дивиденды по годам'!I99&lt;&gt;"",'Дивиденды по годам'!V99&lt;&gt;"",('Дивиденды по годам'!I99+'Дивиденды по годам'!V99)&lt;&gt;0),'Дивиденды по годам'!Q99/(('Дивиденды по годам'!I99+'Дивиденды по годам'!V99)/2),""),"")</f>
        <v>0.14537554804824943</v>
      </c>
      <c r="U99">
        <f>IFERROR(IF(AND('Дивиденды по годам'!J99&lt;&gt;"",'Дивиденды по годам'!K99&lt;&gt;"",'Дивиденды по годам'!M99&lt;&gt;"",'Дивиденды по годам'!M99&lt;&gt;0),('Дивиденды по годам'!J99+'Дивиденды по годам'!K99)/'Дивиденды по годам'!M99,""),"")</f>
        <v>0.65752222900460366</v>
      </c>
      <c r="V99" cm="1">
        <f t="array" ref="V99">IFERROR(AVERAGE(_xlfn._xlws.FILTER(P$2:P$1073,($C$2:$C$1073=$C99)*($E$2:$E$1073=$E99)*(ROW(P$2:P$1073)&lt;&gt;ROW(P99))*(P$2:P$1073&lt;&gt;""))),"")</f>
        <v>29.422413843225151</v>
      </c>
      <c r="W99" cm="1">
        <f t="array" ref="W99">IFERROR(AVERAGE(_xlfn._xlws.FILTER(Q$2:Q$1073,($C$2:$C$1073=$C99)*($E$2:$E$1073=$E99)*(ROW(Q$2:Q$1073)&lt;&gt;ROW(Q99))*(Q$2:Q$1073&lt;&gt;""))),"")</f>
        <v>0.53506780846615221</v>
      </c>
      <c r="X99" cm="1">
        <f t="array" ref="X99">IFERROR(AVERAGE(_xlfn._xlws.FILTER(R$2:R$1073,($C$2:$C$1073=$C99)*($E$2:$E$1073=$E99)*(ROW(R$2:R$1073)&lt;&gt;ROW(R99))*(R$2:R$1073&lt;&gt;""))),"")</f>
        <v>0.16651650325432144</v>
      </c>
      <c r="Y99" cm="1">
        <f t="array" ref="Y99">IFERROR(AVERAGE(_xlfn._xlws.FILTER(S$2:S$1073,($C$2:$C$1073=$C99)*($E$2:$E$1073=$E99)*(ROW(S$2:S$1073)&lt;&gt;ROW(S99))*(S$2:S$1073&lt;&gt;""))),"")</f>
        <v>0.7906910113488671</v>
      </c>
      <c r="Z99" cm="1">
        <f t="array" ref="Z99">IFERROR(AVERAGE(_xlfn._xlws.FILTER(T$2:T$1073,($C$2:$C$1073=$C99)*($E$2:$E$1073=$E99)*(ROW(T$2:T$1073)&lt;&gt;ROW(T99))*(T$2:T$1073&lt;&gt;""))),"")</f>
        <v>0.10158022171938648</v>
      </c>
      <c r="AA99" cm="1">
        <f t="array" ref="AA99">IFERROR(AVERAGE(_xlfn._xlws.FILTER(U$2:U$1073,($C$2:$C$1073=$C99)*($E$2:$E$1073=$E99)*(ROW(U$2:U$1073)&lt;&gt;ROW(U99))*(U$2:U$1073&lt;&gt;""))),"")</f>
        <v>0.86803635660358403</v>
      </c>
    </row>
    <row r="100" spans="1:27" x14ac:dyDescent="0.2">
      <c r="A100" s="7" t="s">
        <v>2188</v>
      </c>
      <c r="B100" t="str">
        <f t="shared" si="13"/>
        <v>TATN IV кв. 2023</v>
      </c>
      <c r="C100">
        <v>2023</v>
      </c>
      <c r="D100">
        <f>SUMIFS(Дивиденды!$C:$C,Дивиденды!$A:$A,A100,Дивиденды!$I:$I,C100)</f>
        <v>87.88</v>
      </c>
      <c r="E100">
        <v>1</v>
      </c>
      <c r="F100">
        <f t="shared" si="14"/>
        <v>87.88</v>
      </c>
      <c r="G100">
        <f t="shared" si="15"/>
        <v>180.70333333333335</v>
      </c>
      <c r="H100">
        <f t="shared" si="16"/>
        <v>1</v>
      </c>
      <c r="I100">
        <f t="shared" si="12"/>
        <v>0.66666666666666663</v>
      </c>
      <c r="J100">
        <f t="shared" si="17"/>
        <v>0.30618311533888221</v>
      </c>
      <c r="K100">
        <f t="shared" si="21"/>
        <v>-0.14451213571749824</v>
      </c>
      <c r="L100">
        <f t="shared" si="18"/>
        <v>1</v>
      </c>
      <c r="M100">
        <f t="shared" si="22"/>
        <v>0.33333333333333331</v>
      </c>
      <c r="N100">
        <f t="shared" si="19"/>
        <v>0</v>
      </c>
      <c r="O100">
        <f t="shared" si="20"/>
        <v>0.5</v>
      </c>
      <c r="P100">
        <f>IFERROR(LN('Дивиденды по годам'!I100),"")</f>
        <v>28.346503498422241</v>
      </c>
      <c r="Q100">
        <f>IFERROR('Дивиденды по годам'!G100/'Дивиденды по годам'!I100, "")</f>
        <v>0.55324463993999529</v>
      </c>
      <c r="R100">
        <f>IFERROR(IF(AND('Дивиденды по годам'!N100&lt;&gt;"",'Дивиденды по годам'!U100&lt;&gt;"",'Дивиденды по годам'!U100&lt;&gt;0),'Дивиденды по годам'!N100/'Дивиденды по годам'!U100-1,""),"")</f>
        <v>0.11346763858243047</v>
      </c>
      <c r="S100">
        <f>IFERROR(IF(AND('Дивиденды по годам'!L100&lt;&gt;"",'Дивиденды по годам'!I100&lt;&gt;"",'Дивиденды по годам'!J100&lt;&gt;"",'Дивиденды по годам'!K100&lt;&gt;"",('Дивиденды по годам'!I100-'Дивиденды по годам'!J100-'Дивиденды по годам'!K100)&lt;&gt;0),'Дивиденды по годам'!L100/('Дивиденды по годам'!I100-'Дивиденды по годам'!J100-'Дивиденды по годам'!K100),""),"")</f>
        <v>0.91419848475989207</v>
      </c>
      <c r="T100">
        <f>IFERROR(IF(AND('Дивиденды по годам'!Q100&lt;&gt;"",'Дивиденды по годам'!I100&lt;&gt;"",'Дивиденды по годам'!V100&lt;&gt;"",('Дивиденды по годам'!I100+'Дивиденды по годам'!V100)&lt;&gt;0),'Дивиденды по годам'!Q100/(('Дивиденды по годам'!I100+'Дивиденды по годам'!V100)/2),""),"")</f>
        <v>0.15386306406056421</v>
      </c>
      <c r="U100">
        <f>IFERROR(IF(AND('Дивиденды по годам'!J100&lt;&gt;"",'Дивиденды по годам'!K100&lt;&gt;"",'Дивиденды по годам'!M100&lt;&gt;"",'Дивиденды по годам'!M100&lt;&gt;0),('Дивиденды по годам'!J100+'Дивиденды по годам'!K100)/'Дивиденды по годам'!M100,""),"")</f>
        <v>0.70833966771636447</v>
      </c>
      <c r="V100" cm="1">
        <f t="array" ref="V100">IFERROR(AVERAGE(_xlfn._xlws.FILTER(P$2:P$1073,($C$2:$C$1073=$C100)*($E$2:$E$1073=$E100)*(ROW(P$2:P$1073)&lt;&gt;ROW(P100))*(P$2:P$1073&lt;&gt;""))),"")</f>
        <v>29.390803625965308</v>
      </c>
      <c r="W100" cm="1">
        <f t="array" ref="W100">IFERROR(AVERAGE(_xlfn._xlws.FILTER(Q$2:Q$1073,($C$2:$C$1073=$C100)*($E$2:$E$1073=$E100)*(ROW(Q$2:Q$1073)&lt;&gt;ROW(Q100))*(Q$2:Q$1073&lt;&gt;""))),"")</f>
        <v>0.48829382068527566</v>
      </c>
      <c r="X100" cm="1">
        <f t="array" ref="X100">IFERROR(AVERAGE(_xlfn._xlws.FILTER(R$2:R$1073,($C$2:$C$1073=$C100)*($E$2:$E$1073=$E100)*(ROW(R$2:R$1073)&lt;&gt;ROW(R100))*(R$2:R$1073&lt;&gt;""))),"")</f>
        <v>-0.164756864690247</v>
      </c>
      <c r="Y100" cm="1">
        <f t="array" ref="Y100">IFERROR(AVERAGE(_xlfn._xlws.FILTER(S$2:S$1073,($C$2:$C$1073=$C100)*($E$2:$E$1073=$E100)*(ROW(S$2:S$1073)&lt;&gt;ROW(S100))*(S$2:S$1073&lt;&gt;""))),"")</f>
        <v>0.79756264115331954</v>
      </c>
      <c r="Z100" cm="1">
        <f t="array" ref="Z100">IFERROR(AVERAGE(_xlfn._xlws.FILTER(T$2:T$1073,($C$2:$C$1073=$C100)*($E$2:$E$1073=$E100)*(ROW(T$2:T$1073)&lt;&gt;ROW(T100))*(T$2:T$1073&lt;&gt;""))),"")</f>
        <v>6.0042199712439036E-2</v>
      </c>
      <c r="AA100" cm="1">
        <f t="array" ref="AA100">IFERROR(AVERAGE(_xlfn._xlws.FILTER(U$2:U$1073,($C$2:$C$1073=$C100)*($E$2:$E$1073=$E100)*(ROW(U$2:U$1073)&lt;&gt;ROW(U100))*(U$2:U$1073&lt;&gt;""))),"")</f>
        <v>0.84433594406362211</v>
      </c>
    </row>
    <row r="101" spans="1:27" x14ac:dyDescent="0.2">
      <c r="A101" s="7" t="s">
        <v>2188</v>
      </c>
      <c r="B101" t="str">
        <f t="shared" si="13"/>
        <v>TATN IV кв. 2022</v>
      </c>
      <c r="C101">
        <v>2022</v>
      </c>
      <c r="D101">
        <f>SUMIFS(Дивиденды!$C:$C,Дивиденды!$A:$A,A101,Дивиденды!$I:$I,C101)</f>
        <v>67.28</v>
      </c>
      <c r="E101">
        <v>1</v>
      </c>
      <c r="F101">
        <f t="shared" si="14"/>
        <v>67.28</v>
      </c>
      <c r="G101">
        <f t="shared" si="15"/>
        <v>237.79499999999996</v>
      </c>
      <c r="H101">
        <f t="shared" si="16"/>
        <v>1</v>
      </c>
      <c r="I101">
        <f t="shared" si="12"/>
        <v>0.83333333333333337</v>
      </c>
      <c r="J101">
        <f t="shared" si="17"/>
        <v>0.57786116322701686</v>
      </c>
      <c r="K101">
        <f t="shared" si="21"/>
        <v>0.66987651665001524</v>
      </c>
      <c r="L101">
        <f t="shared" si="18"/>
        <v>1</v>
      </c>
      <c r="M101">
        <f t="shared" si="22"/>
        <v>0.5</v>
      </c>
      <c r="N101">
        <f t="shared" si="19"/>
        <v>0</v>
      </c>
      <c r="O101">
        <f t="shared" si="20"/>
        <v>0.16666666666666666</v>
      </c>
      <c r="P101">
        <f>IFERROR(LN('Дивиденды по годам'!I101),"")</f>
        <v>28.147333857888899</v>
      </c>
      <c r="Q101">
        <f>IFERROR('Дивиденды по годам'!G101/'Дивиденды по годам'!I101, "")</f>
        <v>0.58190146177701052</v>
      </c>
      <c r="R101">
        <f>IFERROR(IF(AND('Дивиденды по годам'!N101&lt;&gt;"",'Дивиденды по годам'!U101&lt;&gt;"",'Дивиденды по годам'!U101&lt;&gt;0),'Дивиденды по годам'!N101/'Дивиденды по годам'!U101-1,""),"")</f>
        <v>0.12784064865890099</v>
      </c>
      <c r="S101">
        <f>IFERROR(IF(AND('Дивиденды по годам'!L101&lt;&gt;"",'Дивиденды по годам'!I101&lt;&gt;"",'Дивиденды по годам'!J101&lt;&gt;"",'Дивиденды по годам'!K101&lt;&gt;"",('Дивиденды по годам'!I101-'Дивиденды по годам'!J101-'Дивиденды по годам'!K101)&lt;&gt;0),'Дивиденды по годам'!L101/('Дивиденды по годам'!I101-'Дивиденды по годам'!J101-'Дивиденды по годам'!K101),""),"")</f>
        <v>0.91451173622202664</v>
      </c>
      <c r="T101">
        <f>IFERROR(IF(AND('Дивиденды по годам'!Q101&lt;&gt;"",'Дивиденды по годам'!I101&lt;&gt;"",'Дивиденды по годам'!V101&lt;&gt;"",('Дивиденды по годам'!I101+'Дивиденды по годам'!V101)&lt;&gt;0),'Дивиденды по годам'!Q101/(('Дивиденды по годам'!I101+'Дивиденды по годам'!V101)/2),""),"")</f>
        <v>0.18831097319615395</v>
      </c>
      <c r="U101">
        <f>IFERROR(IF(AND('Дивиденды по годам'!J101&lt;&gt;"",'Дивиденды по годам'!K101&lt;&gt;"",'Дивиденды по годам'!M101&lt;&gt;"",'Дивиденды по годам'!M101&lt;&gt;0),('Дивиденды по годам'!J101+'Дивиденды по годам'!K101)/'Дивиденды по годам'!M101,""),"")</f>
        <v>0.51735805527487133</v>
      </c>
      <c r="V101" cm="1">
        <f t="array" ref="V101">IFERROR(AVERAGE(_xlfn._xlws.FILTER(P$2:P$1073,($C$2:$C$1073=$C101)*($E$2:$E$1073=$E101)*(ROW(P$2:P$1073)&lt;&gt;ROW(P101))*(P$2:P$1073&lt;&gt;""))),"")</f>
        <v>28.920599456391397</v>
      </c>
      <c r="W101" cm="1">
        <f t="array" ref="W101">IFERROR(AVERAGE(_xlfn._xlws.FILTER(Q$2:Q$1073,($C$2:$C$1073=$C101)*($E$2:$E$1073=$E101)*(ROW(Q$2:Q$1073)&lt;&gt;ROW(Q101))*(Q$2:Q$1073&lt;&gt;""))),"")</f>
        <v>0.48775094913969613</v>
      </c>
      <c r="X101" cm="1">
        <f t="array" ref="X101">IFERROR(AVERAGE(_xlfn._xlws.FILTER(R$2:R$1073,($C$2:$C$1073=$C101)*($E$2:$E$1073=$E101)*(ROW(R$2:R$1073)&lt;&gt;ROW(R101))*(R$2:R$1073&lt;&gt;""))),"")</f>
        <v>0.10983286364831291</v>
      </c>
      <c r="Y101" cm="1">
        <f t="array" ref="Y101">IFERROR(AVERAGE(_xlfn._xlws.FILTER(S$2:S$1073,($C$2:$C$1073=$C101)*($E$2:$E$1073=$E101)*(ROW(S$2:S$1073)&lt;&gt;ROW(S101))*(S$2:S$1073&lt;&gt;""))),"")</f>
        <v>0.78347299386661085</v>
      </c>
      <c r="Z101" cm="1">
        <f t="array" ref="Z101">IFERROR(AVERAGE(_xlfn._xlws.FILTER(T$2:T$1073,($C$2:$C$1073=$C101)*($E$2:$E$1073=$E101)*(ROW(T$2:T$1073)&lt;&gt;ROW(T101))*(T$2:T$1073&lt;&gt;""))),"")</f>
        <v>6.0032201379345035E-2</v>
      </c>
      <c r="AA101" cm="1">
        <f t="array" ref="AA101">IFERROR(AVERAGE(_xlfn._xlws.FILTER(U$2:U$1073,($C$2:$C$1073=$C101)*($E$2:$E$1073=$E101)*(ROW(U$2:U$1073)&lt;&gt;ROW(U101))*(U$2:U$1073&lt;&gt;""))),"")</f>
        <v>0.90755762884372437</v>
      </c>
    </row>
    <row r="102" spans="1:27" x14ac:dyDescent="0.2">
      <c r="A102" s="7" t="s">
        <v>2188</v>
      </c>
      <c r="B102" t="str">
        <f t="shared" si="13"/>
        <v>TATN IV кв. 2021</v>
      </c>
      <c r="C102">
        <v>2021</v>
      </c>
      <c r="D102">
        <f>SUMIFS(Дивиденды!$C:$C,Дивиденды!$A:$A,A102,Дивиденды!$I:$I,C102)</f>
        <v>42.64</v>
      </c>
      <c r="E102">
        <v>1</v>
      </c>
      <c r="F102">
        <f t="shared" si="14"/>
        <v>42.64</v>
      </c>
      <c r="G102">
        <f t="shared" si="15"/>
        <v>75.650000000000006</v>
      </c>
      <c r="H102">
        <f t="shared" si="16"/>
        <v>1</v>
      </c>
      <c r="I102">
        <f t="shared" si="12"/>
        <v>0.66666666666666663</v>
      </c>
      <c r="J102">
        <f t="shared" si="17"/>
        <v>0.91726618705035956</v>
      </c>
      <c r="K102">
        <f t="shared" si="21"/>
        <v>0.91124652918657778</v>
      </c>
      <c r="L102">
        <f t="shared" si="18"/>
        <v>1</v>
      </c>
      <c r="M102">
        <f t="shared" si="22"/>
        <v>0.66666666666666663</v>
      </c>
      <c r="N102">
        <f t="shared" si="19"/>
        <v>0</v>
      </c>
      <c r="O102">
        <f t="shared" si="20"/>
        <v>0.16666666666666666</v>
      </c>
      <c r="P102">
        <f>IFERROR(LN('Дивиденды по годам'!I102),"")</f>
        <v>28.038011060881878</v>
      </c>
      <c r="Q102">
        <f>IFERROR('Дивиденды по годам'!G102/'Дивиденды по годам'!I102, "")</f>
        <v>0.58562766551575629</v>
      </c>
      <c r="R102">
        <f>IFERROR(IF(AND('Дивиденды по годам'!N102&lt;&gt;"",'Дивиденды по годам'!U102&lt;&gt;"",'Дивиденды по годам'!U102&lt;&gt;0),'Дивиденды по годам'!N102/'Дивиденды по годам'!U102-1,""),"")</f>
        <v>0.75582126250733683</v>
      </c>
      <c r="S102">
        <f>IFERROR(IF(AND('Дивиденды по годам'!L102&lt;&gt;"",'Дивиденды по годам'!I102&lt;&gt;"",'Дивиденды по годам'!J102&lt;&gt;"",'Дивиденды по годам'!K102&lt;&gt;"",('Дивиденды по годам'!I102-'Дивиденды по годам'!J102-'Дивиденды по годам'!K102)&lt;&gt;0),'Дивиденды по годам'!L102/('Дивиденды по годам'!I102-'Дивиденды по годам'!J102-'Дивиденды по годам'!K102),""),"")</f>
        <v>0.90123015767854775</v>
      </c>
      <c r="T102">
        <f>IFERROR(IF(AND('Дивиденды по годам'!Q102&lt;&gt;"",'Дивиденды по годам'!I102&lt;&gt;"",'Дивиденды по годам'!V102&lt;&gt;"",('Дивиденды по годам'!I102+'Дивиденды по годам'!V102)&lt;&gt;0),'Дивиденды по годам'!Q102/(('Дивиденды по годам'!I102+'Дивиденды по годам'!V102)/2),""),"")</f>
        <v>0.14382170349238718</v>
      </c>
      <c r="U102">
        <f>IFERROR(IF(AND('Дивиденды по годам'!J102&lt;&gt;"",'Дивиденды по годам'!K102&lt;&gt;"",'Дивиденды по годам'!M102&lt;&gt;"",'Дивиденды по годам'!M102&lt;&gt;0),('Дивиденды по годам'!J102+'Дивиденды по годам'!K102)/'Дивиденды по годам'!M102,""),"")</f>
        <v>0.59246217039883398</v>
      </c>
      <c r="V102" cm="1">
        <f t="array" ref="V102">IFERROR(AVERAGE(_xlfn._xlws.FILTER(P$2:P$1073,($C$2:$C$1073=$C102)*($E$2:$E$1073=$E102)*(ROW(P$2:P$1073)&lt;&gt;ROW(P102))*(P$2:P$1073&lt;&gt;""))),"")</f>
        <v>29.166133461845725</v>
      </c>
      <c r="W102" cm="1">
        <f t="array" ref="W102">IFERROR(AVERAGE(_xlfn._xlws.FILTER(Q$2:Q$1073,($C$2:$C$1073=$C102)*($E$2:$E$1073=$E102)*(ROW(Q$2:Q$1073)&lt;&gt;ROW(Q102))*(Q$2:Q$1073&lt;&gt;""))),"")</f>
        <v>0.55208976020459843</v>
      </c>
      <c r="X102" cm="1">
        <f t="array" ref="X102">IFERROR(AVERAGE(_xlfn._xlws.FILTER(R$2:R$1073,($C$2:$C$1073=$C102)*($E$2:$E$1073=$E102)*(ROW(R$2:R$1073)&lt;&gt;ROW(R102))*(R$2:R$1073&lt;&gt;""))),"")</f>
        <v>0.69246990532158637</v>
      </c>
      <c r="Y102" cm="1">
        <f t="array" ref="Y102">IFERROR(AVERAGE(_xlfn._xlws.FILTER(S$2:S$1073,($C$2:$C$1073=$C102)*($E$2:$E$1073=$E102)*(ROW(S$2:S$1073)&lt;&gt;ROW(S102))*(S$2:S$1073&lt;&gt;""))),"")</f>
        <v>0.78654007686425076</v>
      </c>
      <c r="Z102" cm="1">
        <f t="array" ref="Z102">IFERROR(AVERAGE(_xlfn._xlws.FILTER(T$2:T$1073,($C$2:$C$1073=$C102)*($E$2:$E$1073=$E102)*(ROW(T$2:T$1073)&lt;&gt;ROW(T102))*(T$2:T$1073&lt;&gt;""))),"")</f>
        <v>0.11730632297706116</v>
      </c>
      <c r="AA102" cm="1">
        <f t="array" ref="AA102">IFERROR(AVERAGE(_xlfn._xlws.FILTER(U$2:U$1073,($C$2:$C$1073=$C102)*($E$2:$E$1073=$E102)*(ROW(U$2:U$1073)&lt;&gt;ROW(U102))*(U$2:U$1073&lt;&gt;""))),"")</f>
        <v>1.130382181937327</v>
      </c>
    </row>
    <row r="103" spans="1:27" x14ac:dyDescent="0.2">
      <c r="A103" s="7" t="s">
        <v>2188</v>
      </c>
      <c r="B103" t="str">
        <f t="shared" si="13"/>
        <v>TATN IV кв. 2020</v>
      </c>
      <c r="C103">
        <v>2020</v>
      </c>
      <c r="D103">
        <f>SUMIFS(Дивиденды!$C:$C,Дивиденды!$A:$A,A103,Дивиденды!$I:$I,C103)</f>
        <v>22.240000000000002</v>
      </c>
      <c r="E103">
        <v>1</v>
      </c>
      <c r="F103">
        <f t="shared" si="14"/>
        <v>22.240000000000002</v>
      </c>
      <c r="G103">
        <f t="shared" si="15"/>
        <v>52.458333333333336</v>
      </c>
      <c r="H103">
        <f t="shared" si="16"/>
        <v>1</v>
      </c>
      <c r="I103">
        <f t="shared" si="12"/>
        <v>0.83333333333333337</v>
      </c>
      <c r="J103">
        <f t="shared" si="17"/>
        <v>-0.65503334884442377</v>
      </c>
      <c r="K103">
        <f t="shared" si="21"/>
        <v>-0.21901614750860834</v>
      </c>
      <c r="L103">
        <f t="shared" si="18"/>
        <v>0</v>
      </c>
      <c r="M103">
        <f t="shared" si="22"/>
        <v>0.33333333333333331</v>
      </c>
      <c r="N103">
        <f t="shared" si="19"/>
        <v>1</v>
      </c>
      <c r="O103">
        <f t="shared" si="20"/>
        <v>0.5</v>
      </c>
      <c r="P103">
        <f>IFERROR(LN('Дивиденды по годам'!I103),"")</f>
        <v>27.864860066997796</v>
      </c>
      <c r="Q103">
        <f>IFERROR('Дивиденды по годам'!G103/'Дивиденды по годам'!I103, "")</f>
        <v>0.65422049783092362</v>
      </c>
      <c r="R103">
        <f>IFERROR(IF(AND('Дивиденды по годам'!N103&lt;&gt;"",'Дивиденды по годам'!U103&lt;&gt;"",'Дивиденды по годам'!U103&lt;&gt;0),'Дивиденды по годам'!N103/'Дивиденды по годам'!U103-1,""),"")</f>
        <v>-0.22698692260827036</v>
      </c>
      <c r="S103">
        <f>IFERROR(IF(AND('Дивиденды по годам'!L103&lt;&gt;"",'Дивиденды по годам'!I103&lt;&gt;"",'Дивиденды по годам'!J103&lt;&gt;"",'Дивиденды по годам'!K103&lt;&gt;"",('Дивиденды по годам'!I103-'Дивиденды по годам'!J103-'Дивиденды по годам'!K103)&lt;&gt;0),'Дивиденды по годам'!L103/('Дивиденды по годам'!I103-'Дивиденды по годам'!J103-'Дивиденды по годам'!K103),""),"")</f>
        <v>0.88942988732428241</v>
      </c>
      <c r="T103">
        <f>IFERROR(IF(AND('Дивиденды по годам'!Q103&lt;&gt;"",'Дивиденды по годам'!I103&lt;&gt;"",'Дивиденды по годам'!V103&lt;&gt;"",('Дивиденды по годам'!I103+'Дивиденды по годам'!V103)&lt;&gt;0),'Дивиденды по годам'!Q103/(('Дивиденды по годам'!I103+'Дивиденды по годам'!V103)/2),""),"")</f>
        <v>8.1990184166773242E-2</v>
      </c>
      <c r="U103">
        <f>IFERROR(IF(AND('Дивиденды по годам'!J103&lt;&gt;"",'Дивиденды по годам'!K103&lt;&gt;"",'Дивиденды по годам'!M103&lt;&gt;"",'Дивиденды по годам'!M103&lt;&gt;0),('Дивиденды по годам'!J103+'Дивиденды по годам'!K103)/'Дивиденды по годам'!M103,""),"")</f>
        <v>0.51930759148137906</v>
      </c>
      <c r="V103" cm="1">
        <f t="array" ref="V103">IFERROR(AVERAGE(_xlfn._xlws.FILTER(P$2:P$1073,($C$2:$C$1073=$C103)*($E$2:$E$1073=$E103)*(ROW(P$2:P$1073)&lt;&gt;ROW(P103))*(P$2:P$1073&lt;&gt;""))),"")</f>
        <v>29.110250923860054</v>
      </c>
      <c r="W103" cm="1">
        <f t="array" ref="W103">IFERROR(AVERAGE(_xlfn._xlws.FILTER(Q$2:Q$1073,($C$2:$C$1073=$C103)*($E$2:$E$1073=$E103)*(ROW(Q$2:Q$1073)&lt;&gt;ROW(Q103))*(Q$2:Q$1073&lt;&gt;""))),"")</f>
        <v>0.54301440668170275</v>
      </c>
      <c r="X103" cm="1">
        <f t="array" ref="X103">IFERROR(AVERAGE(_xlfn._xlws.FILTER(R$2:R$1073,($C$2:$C$1073=$C103)*($E$2:$E$1073=$E103)*(ROW(R$2:R$1073)&lt;&gt;ROW(R103))*(R$2:R$1073&lt;&gt;""))),"")</f>
        <v>-0.26177865285384422</v>
      </c>
      <c r="Y103" cm="1">
        <f t="array" ref="Y103">IFERROR(AVERAGE(_xlfn._xlws.FILTER(S$2:S$1073,($C$2:$C$1073=$C103)*($E$2:$E$1073=$E103)*(ROW(S$2:S$1073)&lt;&gt;ROW(S103))*(S$2:S$1073&lt;&gt;""))),"")</f>
        <v>0.75441409625092637</v>
      </c>
      <c r="Z103" cm="1">
        <f t="array" ref="Z103">IFERROR(AVERAGE(_xlfn._xlws.FILTER(T$2:T$1073,($C$2:$C$1073=$C103)*($E$2:$E$1073=$E103)*(ROW(T$2:T$1073)&lt;&gt;ROW(T103))*(T$2:T$1073&lt;&gt;""))),"")</f>
        <v>1.9668495857973766E-2</v>
      </c>
      <c r="AA103" cm="1">
        <f t="array" ref="AA103">IFERROR(AVERAGE(_xlfn._xlws.FILTER(U$2:U$1073,($C$2:$C$1073=$C103)*($E$2:$E$1073=$E103)*(ROW(U$2:U$1073)&lt;&gt;ROW(U103))*(U$2:U$1073&lt;&gt;""))),"")</f>
        <v>1.3064460127962516</v>
      </c>
    </row>
    <row r="104" spans="1:27" x14ac:dyDescent="0.2">
      <c r="A104" s="7" t="s">
        <v>2188</v>
      </c>
      <c r="B104" t="str">
        <f t="shared" si="13"/>
        <v>TATN IV кв. 2019</v>
      </c>
      <c r="C104">
        <v>2019</v>
      </c>
      <c r="D104">
        <f>SUMIFS(Дивиденды!$C:$C,Дивиденды!$A:$A,A104,Дивиденды!$I:$I,C104)</f>
        <v>64.47</v>
      </c>
      <c r="E104">
        <v>1</v>
      </c>
      <c r="F104">
        <f t="shared" si="14"/>
        <v>64.47</v>
      </c>
      <c r="G104">
        <f t="shared" si="15"/>
        <v>103.93833333333333</v>
      </c>
      <c r="H104">
        <f t="shared" si="16"/>
        <v>1</v>
      </c>
      <c r="I104">
        <f t="shared" si="12"/>
        <v>0.83333333333333337</v>
      </c>
      <c r="J104">
        <f t="shared" si="17"/>
        <v>-0.24072547403132727</v>
      </c>
      <c r="K104">
        <f t="shared" si="21"/>
        <v>0.26926361878237276</v>
      </c>
      <c r="L104">
        <f t="shared" si="18"/>
        <v>0</v>
      </c>
      <c r="M104">
        <f t="shared" si="22"/>
        <v>0.5</v>
      </c>
      <c r="N104">
        <f t="shared" si="19"/>
        <v>1</v>
      </c>
      <c r="O104">
        <f t="shared" si="20"/>
        <v>0.16666666666666666</v>
      </c>
      <c r="P104">
        <f>IFERROR(LN('Дивиденды по годам'!I104),"")</f>
        <v>27.845034312117587</v>
      </c>
      <c r="Q104">
        <f>IFERROR('Дивиденды по годам'!G104/'Дивиденды по годам'!I104, "")</f>
        <v>0.62062877077179068</v>
      </c>
      <c r="R104">
        <f>IFERROR(IF(AND('Дивиденды по годам'!N104&lt;&gt;"",'Дивиденды по годам'!U104&lt;&gt;"",'Дивиденды по годам'!U104&lt;&gt;0),'Дивиденды по годам'!N104/'Дивиденды по годам'!U104-1,""),"")</f>
        <v>2.390026072612339E-2</v>
      </c>
      <c r="S104">
        <f>IFERROR(IF(AND('Дивиденды по годам'!L104&lt;&gt;"",'Дивиденды по годам'!I104&lt;&gt;"",'Дивиденды по годам'!J104&lt;&gt;"",'Дивиденды по годам'!K104&lt;&gt;"",('Дивиденды по годам'!I104-'Дивиденды по годам'!J104-'Дивиденды по годам'!K104)&lt;&gt;0),'Дивиденды по годам'!L104/('Дивиденды по годам'!I104-'Дивиденды по годам'!J104-'Дивиденды по годам'!K104),""),"")</f>
        <v>0.87566511108451994</v>
      </c>
      <c r="T104">
        <f>IFERROR(IF(AND('Дивиденды по годам'!Q104&lt;&gt;"",'Дивиденды по годам'!I104&lt;&gt;"",'Дивиденды по годам'!V104&lt;&gt;"",('Дивиденды по годам'!I104+'Дивиденды по годам'!V104)&lt;&gt;0),'Дивиденды по годам'!Q104/(('Дивиденды по годам'!I104+'Дивиденды по годам'!V104)/2),""),"")</f>
        <v>0.15805226959659038</v>
      </c>
      <c r="U104">
        <f>IFERROR(IF(AND('Дивиденды по годам'!J104&lt;&gt;"",'Дивиденды по годам'!K104&lt;&gt;"",'Дивиденды по годам'!M104&lt;&gt;"",'Дивиденды по годам'!M104&lt;&gt;0),('Дивиденды по годам'!J104+'Дивиденды по годам'!K104)/'Дивиденды по годам'!M104,""),"")</f>
        <v>0.64684163641923609</v>
      </c>
      <c r="V104" cm="1">
        <f t="array" ref="V104">IFERROR(AVERAGE(_xlfn._xlws.FILTER(P$2:P$1073,($C$2:$C$1073=$C104)*($E$2:$E$1073=$E104)*(ROW(P$2:P$1073)&lt;&gt;ROW(P104))*(P$2:P$1073&lt;&gt;""))),"")</f>
        <v>29.05082824789606</v>
      </c>
      <c r="W104" cm="1">
        <f t="array" ref="W104">IFERROR(AVERAGE(_xlfn._xlws.FILTER(Q$2:Q$1073,($C$2:$C$1073=$C104)*($E$2:$E$1073=$E104)*(ROW(Q$2:Q$1073)&lt;&gt;ROW(Q104))*(Q$2:Q$1073&lt;&gt;""))),"")</f>
        <v>0.52434535303282337</v>
      </c>
      <c r="X104" cm="1">
        <f t="array" ref="X104">IFERROR(AVERAGE(_xlfn._xlws.FILTER(R$2:R$1073,($C$2:$C$1073=$C104)*($E$2:$E$1073=$E104)*(ROW(R$2:R$1073)&lt;&gt;ROW(R104))*(R$2:R$1073&lt;&gt;""))),"")</f>
        <v>9.9430715901068414E-3</v>
      </c>
      <c r="Y104" cm="1">
        <f t="array" ref="Y104">IFERROR(AVERAGE(_xlfn._xlws.FILTER(S$2:S$1073,($C$2:$C$1073=$C104)*($E$2:$E$1073=$E104)*(ROW(S$2:S$1073)&lt;&gt;ROW(S104))*(S$2:S$1073&lt;&gt;""))),"")</f>
        <v>0.831622614966531</v>
      </c>
      <c r="Z104" cm="1">
        <f t="array" ref="Z104">IFERROR(AVERAGE(_xlfn._xlws.FILTER(T$2:T$1073,($C$2:$C$1073=$C104)*($E$2:$E$1073=$E104)*(ROW(T$2:T$1073)&lt;&gt;ROW(T104))*(T$2:T$1073&lt;&gt;""))),"")</f>
        <v>0.14677280427049796</v>
      </c>
      <c r="AA104" cm="1">
        <f t="array" ref="AA104">IFERROR(AVERAGE(_xlfn._xlws.FILTER(U$2:U$1073,($C$2:$C$1073=$C104)*($E$2:$E$1073=$E104)*(ROW(U$2:U$1073)&lt;&gt;ROW(U104))*(U$2:U$1073&lt;&gt;""))),"")</f>
        <v>0.92652429937004843</v>
      </c>
    </row>
    <row r="105" spans="1:27" x14ac:dyDescent="0.2">
      <c r="A105" s="7" t="s">
        <v>2188</v>
      </c>
      <c r="B105" t="str">
        <f t="shared" si="13"/>
        <v>TATN IV кв. 2018</v>
      </c>
      <c r="C105">
        <v>2018</v>
      </c>
      <c r="D105">
        <f>SUMIFS(Дивиденды!$C:$C,Дивиденды!$A:$A,A105,Дивиденды!$I:$I,C105)</f>
        <v>84.91</v>
      </c>
      <c r="E105">
        <v>1</v>
      </c>
      <c r="F105">
        <f t="shared" si="14"/>
        <v>84.91</v>
      </c>
      <c r="G105">
        <f t="shared" si="15"/>
        <v>53.205000000000005</v>
      </c>
      <c r="H105">
        <f t="shared" si="16"/>
        <v>1</v>
      </c>
      <c r="I105">
        <f t="shared" si="12"/>
        <v>0.83333333333333337</v>
      </c>
      <c r="J105">
        <f t="shared" si="17"/>
        <v>1.125938908362544</v>
      </c>
      <c r="K105">
        <f t="shared" si="21"/>
        <v>0.57403052544470146</v>
      </c>
      <c r="L105">
        <f t="shared" si="18"/>
        <v>1</v>
      </c>
      <c r="M105">
        <f t="shared" si="22"/>
        <v>0.66666666666666663</v>
      </c>
      <c r="N105">
        <f t="shared" si="19"/>
        <v>0</v>
      </c>
      <c r="O105">
        <f t="shared" si="20"/>
        <v>0</v>
      </c>
      <c r="P105">
        <f>IFERROR(LN('Дивиденды по годам'!I105),"")</f>
        <v>27.814415430445457</v>
      </c>
      <c r="Q105">
        <f>IFERROR('Дивиденды по годам'!G105/'Дивиденды по годам'!I105, "")</f>
        <v>0.58430784291527094</v>
      </c>
      <c r="R105">
        <f>IFERROR(IF(AND('Дивиденды по годам'!N105&lt;&gt;"",'Дивиденды по годам'!U105&lt;&gt;"",'Дивиденды по годам'!U105&lt;&gt;0),'Дивиденды по годам'!N105/'Дивиденды по годам'!U105-1,""),"")</f>
        <v>0.33674222905371587</v>
      </c>
      <c r="S105">
        <f>IFERROR(IF(AND('Дивиденды по годам'!L105&lt;&gt;"",'Дивиденды по годам'!I105&lt;&gt;"",'Дивиденды по годам'!J105&lt;&gt;"",'Дивиденды по годам'!K105&lt;&gt;"",('Дивиденды по годам'!I105-'Дивиденды по годам'!J105-'Дивиденды по годам'!K105)&lt;&gt;0),'Дивиденды по годам'!L105/('Дивиденды по годам'!I105-'Дивиденды по годам'!J105-'Дивиденды по годам'!K105),""),"")</f>
        <v>0.87992368505408858</v>
      </c>
      <c r="T105">
        <f>IFERROR(IF(AND('Дивиденды по годам'!Q105&lt;&gt;"",'Дивиденды по годам'!I105&lt;&gt;"",'Дивиденды по годам'!V105&lt;&gt;"",('Дивиденды по годам'!I105+'Дивиденды по годам'!V105)&lt;&gt;0),'Дивиденды по годам'!Q105/(('Дивиденды по годам'!I105+'Дивиденды по годам'!V105)/2),""),"")</f>
        <v>0.18325824193435214</v>
      </c>
      <c r="U105">
        <f>IFERROR(IF(AND('Дивиденды по годам'!J105&lt;&gt;"",'Дивиденды по годам'!K105&lt;&gt;"",'Дивиденды по годам'!M105&lt;&gt;"",'Дивиденды по годам'!M105&lt;&gt;0),('Дивиденды по годам'!J105+'Дивиденды по годам'!K105)/'Дивиденды по годам'!M105,""),"")</f>
        <v>0.54649508677477954</v>
      </c>
      <c r="V105" cm="1">
        <f t="array" ref="V105">IFERROR(AVERAGE(_xlfn._xlws.FILTER(P$2:P$1073,($C$2:$C$1073=$C105)*($E$2:$E$1073=$E105)*(ROW(P$2:P$1073)&lt;&gt;ROW(P105))*(P$2:P$1073&lt;&gt;""))),"")</f>
        <v>28.933841882514837</v>
      </c>
      <c r="W105" cm="1">
        <f t="array" ref="W105">IFERROR(AVERAGE(_xlfn._xlws.FILTER(Q$2:Q$1073,($C$2:$C$1073=$C105)*($E$2:$E$1073=$E105)*(ROW(Q$2:Q$1073)&lt;&gt;ROW(Q105))*(Q$2:Q$1073&lt;&gt;""))),"")</f>
        <v>0.52178329811044732</v>
      </c>
      <c r="X105" cm="1">
        <f t="array" ref="X105">IFERROR(AVERAGE(_xlfn._xlws.FILTER(R$2:R$1073,($C$2:$C$1073=$C105)*($E$2:$E$1073=$E105)*(ROW(R$2:R$1073)&lt;&gt;ROW(R105))*(R$2:R$1073&lt;&gt;""))),"")</f>
        <v>0.35106973145402659</v>
      </c>
      <c r="Y105" cm="1">
        <f t="array" ref="Y105">IFERROR(AVERAGE(_xlfn._xlws.FILTER(S$2:S$1073,($C$2:$C$1073=$C105)*($E$2:$E$1073=$E105)*(ROW(S$2:S$1073)&lt;&gt;ROW(S105))*(S$2:S$1073&lt;&gt;""))),"")</f>
        <v>0.76792883272014489</v>
      </c>
      <c r="Z105" cm="1">
        <f t="array" ref="Z105">IFERROR(AVERAGE(_xlfn._xlws.FILTER(T$2:T$1073,($C$2:$C$1073=$C105)*($E$2:$E$1073=$E105)*(ROW(T$2:T$1073)&lt;&gt;ROW(T105))*(T$2:T$1073&lt;&gt;""))),"")</f>
        <v>0.10797515119041561</v>
      </c>
      <c r="AA105" cm="1">
        <f t="array" ref="AA105">IFERROR(AVERAGE(_xlfn._xlws.FILTER(U$2:U$1073,($C$2:$C$1073=$C105)*($E$2:$E$1073=$E105)*(ROW(U$2:U$1073)&lt;&gt;ROW(U105))*(U$2:U$1073&lt;&gt;""))),"")</f>
        <v>0.91861506772543333</v>
      </c>
    </row>
    <row r="106" spans="1:27" x14ac:dyDescent="0.2">
      <c r="A106" s="7" t="s">
        <v>2188</v>
      </c>
      <c r="B106" t="str">
        <f t="shared" si="13"/>
        <v>TATN IV кв. 2017</v>
      </c>
      <c r="C106">
        <v>2017</v>
      </c>
      <c r="D106">
        <f>SUMIFS(Дивиденды!$C:$C,Дивиденды!$A:$A,A106,Дивиденды!$I:$I,C106)</f>
        <v>39.94</v>
      </c>
      <c r="E106">
        <v>1</v>
      </c>
      <c r="F106">
        <f t="shared" si="14"/>
        <v>39.94</v>
      </c>
      <c r="G106">
        <f t="shared" si="15"/>
        <v>41.519999999999996</v>
      </c>
      <c r="H106">
        <f t="shared" si="16"/>
        <v>1</v>
      </c>
      <c r="I106">
        <f t="shared" si="12"/>
        <v>0.83333333333333337</v>
      </c>
      <c r="J106">
        <f t="shared" si="17"/>
        <v>0.75098640946953088</v>
      </c>
      <c r="K106">
        <f t="shared" si="21"/>
        <v>0.16899089424112881</v>
      </c>
      <c r="L106">
        <f t="shared" si="18"/>
        <v>1</v>
      </c>
      <c r="M106">
        <f t="shared" si="22"/>
        <v>0.66666666666666663</v>
      </c>
      <c r="N106">
        <f t="shared" si="19"/>
        <v>0</v>
      </c>
      <c r="O106">
        <f t="shared" si="20"/>
        <v>0</v>
      </c>
      <c r="P106">
        <f>IFERROR(LN('Дивиденды по годам'!I106),"")</f>
        <v>27.733084803014385</v>
      </c>
      <c r="Q106">
        <f>IFERROR('Дивиденды по годам'!G106/'Дивиденды по годам'!I106, "")</f>
        <v>0.58825016659834173</v>
      </c>
      <c r="R106">
        <f>IFERROR(IF(AND('Дивиденды по годам'!N106&lt;&gt;"",'Дивиденды по годам'!U106&lt;&gt;"",'Дивиденды по годам'!U106&lt;&gt;0),'Дивиденды по годам'!N106/'Дивиденды по годам'!U106-1,""),"")</f>
        <v>0.17415496951529574</v>
      </c>
      <c r="S106">
        <f>IFERROR(IF(AND('Дивиденды по годам'!L106&lt;&gt;"",'Дивиденды по годам'!I106&lt;&gt;"",'Дивиденды по годам'!J106&lt;&gt;"",'Дивиденды по годам'!K106&lt;&gt;"",('Дивиденды по годам'!I106-'Дивиденды по годам'!J106-'Дивиденды по годам'!K106)&lt;&gt;0),'Дивиденды по годам'!L106/('Дивиденды по годам'!I106-'Дивиденды по годам'!J106-'Дивиденды по годам'!K106),""),"")</f>
        <v>0.86855268119138085</v>
      </c>
      <c r="T106">
        <f>IFERROR(IF(AND('Дивиденды по годам'!Q106&lt;&gt;"",'Дивиденды по годам'!I106&lt;&gt;"",'Дивиденды по годам'!V106&lt;&gt;"",('Дивиденды по годам'!I106+'Дивиденды по годам'!V106)&lt;&gt;0),'Дивиденды по годам'!Q106/(('Дивиденды по годам'!I106+'Дивиденды по годам'!V106)/2),""),"")</f>
        <v>0.11252418767776041</v>
      </c>
      <c r="U106">
        <f>IFERROR(IF(AND('Дивиденды по годам'!J106&lt;&gt;"",'Дивиденды по годам'!K106&lt;&gt;"",'Дивиденды по годам'!M106&lt;&gt;"",'Дивиденды по годам'!M106&lt;&gt;0),('Дивиденды по годам'!J106+'Дивиденды по годам'!K106)/'Дивиденды по годам'!M106,""),"")</f>
        <v>0.54085058485187043</v>
      </c>
      <c r="V106" cm="1">
        <f t="array" ref="V106">IFERROR(AVERAGE(_xlfn._xlws.FILTER(P$2:P$1073,($C$2:$C$1073=$C106)*($E$2:$E$1073=$E106)*(ROW(P$2:P$1073)&lt;&gt;ROW(P106))*(P$2:P$1073&lt;&gt;""))),"")</f>
        <v>28.807208531812108</v>
      </c>
      <c r="W106" cm="1">
        <f t="array" ref="W106">IFERROR(AVERAGE(_xlfn._xlws.FILTER(Q$2:Q$1073,($C$2:$C$1073=$C106)*($E$2:$E$1073=$E106)*(ROW(Q$2:Q$1073)&lt;&gt;ROW(Q106))*(Q$2:Q$1073&lt;&gt;""))),"")</f>
        <v>0.54085158010863843</v>
      </c>
      <c r="X106" cm="1">
        <f t="array" ref="X106">IFERROR(AVERAGE(_xlfn._xlws.FILTER(R$2:R$1073,($C$2:$C$1073=$C106)*($E$2:$E$1073=$E106)*(ROW(R$2:R$1073)&lt;&gt;ROW(R106))*(R$2:R$1073&lt;&gt;""))),"")</f>
        <v>0.14652094926480563</v>
      </c>
      <c r="Y106" cm="1">
        <f t="array" ref="Y106">IFERROR(AVERAGE(_xlfn._xlws.FILTER(S$2:S$1073,($C$2:$C$1073=$C106)*($E$2:$E$1073=$E106)*(ROW(S$2:S$1073)&lt;&gt;ROW(S106))*(S$2:S$1073&lt;&gt;""))),"")</f>
        <v>0.74811395536220171</v>
      </c>
      <c r="Z106" cm="1">
        <f t="array" ref="Z106">IFERROR(AVERAGE(_xlfn._xlws.FILTER(T$2:T$1073,($C$2:$C$1073=$C106)*($E$2:$E$1073=$E106)*(ROW(T$2:T$1073)&lt;&gt;ROW(T106))*(T$2:T$1073&lt;&gt;""))),"")</f>
        <v>6.6339908925481514E-2</v>
      </c>
      <c r="AA106" cm="1">
        <f t="array" ref="AA106">IFERROR(AVERAGE(_xlfn._xlws.FILTER(U$2:U$1073,($C$2:$C$1073=$C106)*($E$2:$E$1073=$E106)*(ROW(U$2:U$1073)&lt;&gt;ROW(U106))*(U$2:U$1073&lt;&gt;""))),"")</f>
        <v>0.9709034009114782</v>
      </c>
    </row>
    <row r="107" spans="1:27" x14ac:dyDescent="0.2">
      <c r="A107" s="7" t="s">
        <v>2188</v>
      </c>
      <c r="B107" t="str">
        <f t="shared" si="13"/>
        <v>TATN IV кв. 2016</v>
      </c>
      <c r="C107">
        <v>2016</v>
      </c>
      <c r="D107">
        <f>SUMIFS(Дивиденды!$C:$C,Дивиденды!$A:$A,A107,Дивиденды!$I:$I,C107)</f>
        <v>22.81</v>
      </c>
      <c r="E107">
        <v>1</v>
      </c>
      <c r="F107">
        <f t="shared" si="14"/>
        <v>22.81</v>
      </c>
      <c r="G107">
        <f t="shared" si="15"/>
        <v>37.25333333333333</v>
      </c>
      <c r="H107">
        <f t="shared" si="16"/>
        <v>1</v>
      </c>
      <c r="I107">
        <f t="shared" si="12"/>
        <v>0.83333333333333337</v>
      </c>
      <c r="J107">
        <f t="shared" si="17"/>
        <v>1.0812043795620436</v>
      </c>
      <c r="K107">
        <f t="shared" si="21"/>
        <v>-5.6787979676543442E-2</v>
      </c>
      <c r="L107">
        <f t="shared" si="18"/>
        <v>1</v>
      </c>
      <c r="M107">
        <f t="shared" si="22"/>
        <v>0.5</v>
      </c>
      <c r="N107">
        <f t="shared" si="19"/>
        <v>0</v>
      </c>
      <c r="O107">
        <f t="shared" si="20"/>
        <v>0.16666666666666666</v>
      </c>
      <c r="P107">
        <f>IFERROR(LN('Дивиденды по годам'!I107),"")</f>
        <v>27.721407374925267</v>
      </c>
      <c r="Q107">
        <f>IFERROR('Дивиденды по годам'!G107/'Дивиденды по годам'!I107, "")</f>
        <v>0.53317705054919751</v>
      </c>
      <c r="R107">
        <f>IFERROR(IF(AND('Дивиденды по годам'!N107&lt;&gt;"",'Дивиденды по годам'!U107&lt;&gt;"",'Дивиденды по годам'!U107&lt;&gt;0),'Дивиденды по годам'!N107/'Дивиденды по годам'!U107-1,""),"")</f>
        <v>4.9600877129499565E-2</v>
      </c>
      <c r="S107">
        <f>IFERROR(IF(AND('Дивиденды по годам'!L107&lt;&gt;"",'Дивиденды по годам'!I107&lt;&gt;"",'Дивиденды по годам'!J107&lt;&gt;"",'Дивиденды по годам'!K107&lt;&gt;"",('Дивиденды по годам'!I107-'Дивиденды по годам'!J107-'Дивиденды по годам'!K107)&lt;&gt;0),'Дивиденды по годам'!L107/('Дивиденды по годам'!I107-'Дивиденды по годам'!J107-'Дивиденды по годам'!K107),""),"")</f>
        <v>0.86820923566519581</v>
      </c>
      <c r="T107">
        <f>IFERROR(IF(AND('Дивиденды по годам'!Q107&lt;&gt;"",'Дивиденды по годам'!I107&lt;&gt;"",'Дивиденды по годам'!V107&lt;&gt;"",('Дивиденды по годам'!I107+'Дивиденды по годам'!V107)&lt;&gt;0),'Дивиденды по годам'!Q107/(('Дивиденды по годам'!I107+'Дивиденды по годам'!V107)/2),""),"")</f>
        <v>0.11211183929756065</v>
      </c>
      <c r="U107">
        <f>IFERROR(IF(AND('Дивиденды по годам'!J107&lt;&gt;"",'Дивиденды по годам'!K107&lt;&gt;"",'Дивиденды по годам'!M107&lt;&gt;"",'Дивиденды по годам'!M107&lt;&gt;0),('Дивиденды по годам'!J107+'Дивиденды по годам'!K107)/'Дивиденды по годам'!M107,""),"")</f>
        <v>0.54406943676435737</v>
      </c>
      <c r="V107" cm="1">
        <f t="array" ref="V107">IFERROR(AVERAGE(_xlfn._xlws.FILTER(P$2:P$1073,($C$2:$C$1073=$C107)*($E$2:$E$1073=$E107)*(ROW(P$2:P$1073)&lt;&gt;ROW(P107))*(P$2:P$1073&lt;&gt;""))),"")</f>
        <v>28.736258614600171</v>
      </c>
      <c r="W107" cm="1">
        <f t="array" ref="W107">IFERROR(AVERAGE(_xlfn._xlws.FILTER(Q$2:Q$1073,($C$2:$C$1073=$C107)*($E$2:$E$1073=$E107)*(ROW(Q$2:Q$1073)&lt;&gt;ROW(Q107))*(Q$2:Q$1073&lt;&gt;""))),"")</f>
        <v>0.53421865740720553</v>
      </c>
      <c r="X107" cm="1">
        <f t="array" ref="X107">IFERROR(AVERAGE(_xlfn._xlws.FILTER(R$2:R$1073,($C$2:$C$1073=$C107)*($E$2:$E$1073=$E107)*(ROW(R$2:R$1073)&lt;&gt;ROW(R107))*(R$2:R$1073&lt;&gt;""))),"")</f>
        <v>3.3474182662141415E-3</v>
      </c>
      <c r="Y107" cm="1">
        <f t="array" ref="Y107">IFERROR(AVERAGE(_xlfn._xlws.FILTER(S$2:S$1073,($C$2:$C$1073=$C107)*($E$2:$E$1073=$E107)*(ROW(S$2:S$1073)&lt;&gt;ROW(S107))*(S$2:S$1073&lt;&gt;""))),"")</f>
        <v>0.70053748453256459</v>
      </c>
      <c r="Z107" cm="1">
        <f t="array" ref="Z107">IFERROR(AVERAGE(_xlfn._xlws.FILTER(T$2:T$1073,($C$2:$C$1073=$C107)*($E$2:$E$1073=$E107)*(ROW(T$2:T$1073)&lt;&gt;ROW(T107))*(T$2:T$1073&lt;&gt;""))),"")</f>
        <v>9.3959853222945436E-2</v>
      </c>
      <c r="AA107" cm="1">
        <f t="array" ref="AA107">IFERROR(AVERAGE(_xlfn._xlws.FILTER(U$2:U$1073,($C$2:$C$1073=$C107)*($E$2:$E$1073=$E107)*(ROW(U$2:U$1073)&lt;&gt;ROW(U107))*(U$2:U$1073&lt;&gt;""))),"")</f>
        <v>1.0119368250414917</v>
      </c>
    </row>
    <row r="108" spans="1:27" x14ac:dyDescent="0.2">
      <c r="A108" s="7" t="s">
        <v>2188</v>
      </c>
      <c r="B108" t="str">
        <f t="shared" si="13"/>
        <v>TATN IV кв. 2015</v>
      </c>
      <c r="C108">
        <v>2015</v>
      </c>
      <c r="D108">
        <f>SUMIFS(Дивиденды!$C:$C,Дивиденды!$A:$A,A108,Дивиденды!$I:$I,C108)</f>
        <v>10.96</v>
      </c>
      <c r="E108">
        <v>1</v>
      </c>
      <c r="F108">
        <f t="shared" si="14"/>
        <v>10.96</v>
      </c>
      <c r="G108">
        <f t="shared" si="15"/>
        <v>35.123333333333328</v>
      </c>
      <c r="H108">
        <f t="shared" si="16"/>
        <v>1</v>
      </c>
      <c r="I108">
        <f t="shared" si="12"/>
        <v>0.83333333333333337</v>
      </c>
      <c r="J108">
        <f t="shared" si="17"/>
        <v>3.5916824196597426E-2</v>
      </c>
      <c r="K108">
        <f t="shared" si="21"/>
        <v>0.1516870005673471</v>
      </c>
      <c r="L108">
        <f t="shared" si="18"/>
        <v>1</v>
      </c>
      <c r="M108">
        <f t="shared" si="22"/>
        <v>0.66666666666666663</v>
      </c>
      <c r="N108">
        <f t="shared" si="19"/>
        <v>0</v>
      </c>
      <c r="O108">
        <f t="shared" si="20"/>
        <v>0.16666666666666666</v>
      </c>
      <c r="P108">
        <f>IFERROR(LN('Дивиденды по годам'!I108),"")</f>
        <v>27.406239974495261</v>
      </c>
      <c r="Q108">
        <f>IFERROR('Дивиденды по годам'!G108/'Дивиденды по годам'!I108, "")</f>
        <v>0.69836520005859593</v>
      </c>
      <c r="R108">
        <f>IFERROR(IF(AND('Дивиденды по годам'!N108&lt;&gt;"",'Дивиденды по годам'!U108&lt;&gt;"",'Дивиденды по годам'!U108&lt;&gt;0),'Дивиденды по годам'!N108/'Дивиденды по годам'!U108-1,""),"")</f>
        <v>0.16028213955831716</v>
      </c>
      <c r="S108">
        <f>IFERROR(IF(AND('Дивиденды по годам'!L108&lt;&gt;"",'Дивиденды по годам'!I108&lt;&gt;"",'Дивиденды по годам'!J108&lt;&gt;"",'Дивиденды по годам'!K108&lt;&gt;"",('Дивиденды по годам'!I108-'Дивиденды по годам'!J108-'Дивиденды по годам'!K108)&lt;&gt;0),'Дивиденды по годам'!L108/('Дивиденды по годам'!I108-'Дивиденды по годам'!J108-'Дивиденды по годам'!K108),""),"")</f>
        <v>0.81017945497507826</v>
      </c>
      <c r="T108">
        <f>IFERROR(IF(AND('Дивиденды по годам'!Q108&lt;&gt;"",'Дивиденды по годам'!I108&lt;&gt;"",'Дивиденды по годам'!V108&lt;&gt;"",('Дивиденды по годам'!I108+'Дивиденды по годам'!V108)&lt;&gt;0),'Дивиденды по годам'!Q108/(('Дивиденды по годам'!I108+'Дивиденды по годам'!V108)/2),""),"")</f>
        <v>0.13811735901411898</v>
      </c>
      <c r="U108">
        <f>IFERROR(IF(AND('Дивиденды по годам'!J108&lt;&gt;"",'Дивиденды по годам'!K108&lt;&gt;"",'Дивиденды по годам'!M108&lt;&gt;"",'Дивиденды по годам'!M108&lt;&gt;0),('Дивиденды по годам'!J108+'Дивиденды по годам'!K108)/'Дивиденды по годам'!M108,""),"")</f>
        <v>0.2144473267260491</v>
      </c>
      <c r="V108" cm="1">
        <f t="array" ref="V108">IFERROR(AVERAGE(_xlfn._xlws.FILTER(P$2:P$1073,($C$2:$C$1073=$C108)*($E$2:$E$1073=$E108)*(ROW(P$2:P$1073)&lt;&gt;ROW(P108))*(P$2:P$1073&lt;&gt;""))),"")</f>
        <v>28.640081890863222</v>
      </c>
      <c r="W108" cm="1">
        <f t="array" ref="W108">IFERROR(AVERAGE(_xlfn._xlws.FILTER(Q$2:Q$1073,($C$2:$C$1073=$C108)*($E$2:$E$1073=$E108)*(ROW(Q$2:Q$1073)&lt;&gt;ROW(Q108))*(Q$2:Q$1073&lt;&gt;""))),"")</f>
        <v>0.56090840126291241</v>
      </c>
      <c r="X108" cm="1">
        <f t="array" ref="X108">IFERROR(AVERAGE(_xlfn._xlws.FILTER(R$2:R$1073,($C$2:$C$1073=$C108)*($E$2:$E$1073=$E108)*(ROW(R$2:R$1073)&lt;&gt;ROW(R108))*(R$2:R$1073&lt;&gt;""))),"")</f>
        <v>9.5049112336932251E-2</v>
      </c>
      <c r="Y108" cm="1">
        <f t="array" ref="Y108">IFERROR(AVERAGE(_xlfn._xlws.FILTER(S$2:S$1073,($C$2:$C$1073=$C108)*($E$2:$E$1073=$E108)*(ROW(S$2:S$1073)&lt;&gt;ROW(S108))*(S$2:S$1073&lt;&gt;""))),"")</f>
        <v>0.9593722421346802</v>
      </c>
      <c r="Z108" cm="1">
        <f t="array" ref="Z108">IFERROR(AVERAGE(_xlfn._xlws.FILTER(T$2:T$1073,($C$2:$C$1073=$C108)*($E$2:$E$1073=$E108)*(ROW(T$2:T$1073)&lt;&gt;ROW(T108))*(T$2:T$1073&lt;&gt;""))),"")</f>
        <v>6.1294933086676898E-2</v>
      </c>
      <c r="AA108" cm="1">
        <f t="array" ref="AA108">IFERROR(AVERAGE(_xlfn._xlws.FILTER(U$2:U$1073,($C$2:$C$1073=$C108)*($E$2:$E$1073=$E108)*(ROW(U$2:U$1073)&lt;&gt;ROW(U108))*(U$2:U$1073&lt;&gt;""))),"")</f>
        <v>-1.1975339668477871</v>
      </c>
    </row>
    <row r="109" spans="1:27" x14ac:dyDescent="0.2">
      <c r="A109" s="7" t="s">
        <v>2188</v>
      </c>
      <c r="B109" t="str">
        <f t="shared" si="13"/>
        <v>TATN IV кв. 2014</v>
      </c>
      <c r="C109">
        <v>2014</v>
      </c>
      <c r="D109">
        <f>SUMIFS(Дивиденды!$C:$C,Дивиденды!$A:$A,A109,Дивиденды!$I:$I,C109)</f>
        <v>10.58</v>
      </c>
      <c r="E109">
        <v>1</v>
      </c>
      <c r="F109">
        <f t="shared" si="14"/>
        <v>10.58</v>
      </c>
      <c r="G109">
        <f t="shared" si="15"/>
        <v>30.060000000000002</v>
      </c>
      <c r="H109">
        <f t="shared" si="16"/>
        <v>1</v>
      </c>
      <c r="I109">
        <f t="shared" si="12"/>
        <v>0.83333333333333337</v>
      </c>
      <c r="J109">
        <f t="shared" si="17"/>
        <v>0.28554070473876059</v>
      </c>
      <c r="K109">
        <f t="shared" si="21"/>
        <v>7.1282295966425532E-2</v>
      </c>
      <c r="L109">
        <f t="shared" si="18"/>
        <v>1</v>
      </c>
      <c r="M109">
        <f t="shared" si="22"/>
        <v>0.5</v>
      </c>
      <c r="N109">
        <f t="shared" si="19"/>
        <v>0</v>
      </c>
      <c r="O109">
        <f t="shared" si="20"/>
        <v>0.16666666666666666</v>
      </c>
      <c r="P109">
        <f>IFERROR(LN('Дивиденды по годам'!I109),"")</f>
        <v>27.320321493851441</v>
      </c>
      <c r="Q109">
        <f>IFERROR('Дивиденды по годам'!G109/'Дивиденды по годам'!I109, "")</f>
        <v>0.69253984669833846</v>
      </c>
      <c r="R109">
        <f>IFERROR(IF(AND('Дивиденды по годам'!N109&lt;&gt;"",'Дивиденды по годам'!U109&lt;&gt;"",'Дивиденды по годам'!U109&lt;&gt;0),'Дивиденды по годам'!N109/'Дивиденды по годам'!U109-1,""),"")</f>
        <v>4.6984173035036436E-2</v>
      </c>
      <c r="S109">
        <f>IFERROR(IF(AND('Дивиденды по годам'!L109&lt;&gt;"",'Дивиденды по годам'!I109&lt;&gt;"",'Дивиденды по годам'!J109&lt;&gt;"",'Дивиденды по годам'!K109&lt;&gt;"",('Дивиденды по годам'!I109-'Дивиденды по годам'!J109-'Дивиденды по годам'!K109)&lt;&gt;0),'Дивиденды по годам'!L109/('Дивиденды по годам'!I109-'Дивиденды по годам'!J109-'Дивиденды по годам'!K109),""),"")</f>
        <v>0.78646581158414686</v>
      </c>
      <c r="T109">
        <f>IFERROR(IF(AND('Дивиденды по годам'!Q109&lt;&gt;"",'Дивиденды по годам'!I109&lt;&gt;"",'Дивиденды по годам'!V109&lt;&gt;"",('Дивиденды по годам'!I109+'Дивиденды по годам'!V109)&lt;&gt;0),'Дивиденды по годам'!Q109/(('Дивиденды по годам'!I109+'Дивиденды по годам'!V109)/2),""),"")</f>
        <v>0.13884208005128559</v>
      </c>
      <c r="U109">
        <f>IFERROR(IF(AND('Дивиденды по годам'!J109&lt;&gt;"",'Дивиденды по годам'!K109&lt;&gt;"",'Дивиденды по годам'!M109&lt;&gt;"",'Дивиденды по годам'!M109&lt;&gt;0),('Дивиденды по годам'!J109+'Дивиденды по годам'!K109)/'Дивиденды по годам'!M109,""),"")</f>
        <v>0.25880902164728192</v>
      </c>
      <c r="V109" cm="1">
        <f t="array" ref="V109">IFERROR(AVERAGE(_xlfn._xlws.FILTER(P$2:P$1073,($C$2:$C$1073=$C109)*($E$2:$E$1073=$E109)*(ROW(P$2:P$1073)&lt;&gt;ROW(P109))*(P$2:P$1073&lt;&gt;""))),"")</f>
        <v>29.129956843585262</v>
      </c>
      <c r="W109" cm="1">
        <f t="array" ref="W109">IFERROR(AVERAGE(_xlfn._xlws.FILTER(Q$2:Q$1073,($C$2:$C$1073=$C109)*($E$2:$E$1073=$E109)*(ROW(Q$2:Q$1073)&lt;&gt;ROW(Q109))*(Q$2:Q$1073&lt;&gt;""))),"")</f>
        <v>0.61253028904320539</v>
      </c>
      <c r="X109" cm="1">
        <f t="array" ref="X109">IFERROR(AVERAGE(_xlfn._xlws.FILTER(R$2:R$1073,($C$2:$C$1073=$C109)*($E$2:$E$1073=$E109)*(ROW(R$2:R$1073)&lt;&gt;ROW(R109))*(R$2:R$1073&lt;&gt;""))),"")</f>
        <v>0.16910121937239597</v>
      </c>
      <c r="Y109" cm="1">
        <f t="array" ref="Y109">IFERROR(AVERAGE(_xlfn._xlws.FILTER(S$2:S$1073,($C$2:$C$1073=$C109)*($E$2:$E$1073=$E109)*(ROW(S$2:S$1073)&lt;&gt;ROW(S109))*(S$2:S$1073&lt;&gt;""))),"")</f>
        <v>0.97350414304171351</v>
      </c>
      <c r="Z109" cm="1">
        <f t="array" ref="Z109">IFERROR(AVERAGE(_xlfn._xlws.FILTER(T$2:T$1073,($C$2:$C$1073=$C109)*($E$2:$E$1073=$E109)*(ROW(T$2:T$1073)&lt;&gt;ROW(T109))*(T$2:T$1073&lt;&gt;""))),"")</f>
        <v>3.9411569312444605E-2</v>
      </c>
      <c r="AA109" cm="1">
        <f t="array" ref="AA109">IFERROR(AVERAGE(_xlfn._xlws.FILTER(U$2:U$1073,($C$2:$C$1073=$C109)*($E$2:$E$1073=$E109)*(ROW(U$2:U$1073)&lt;&gt;ROW(U109))*(U$2:U$1073&lt;&gt;""))),"")</f>
        <v>0.92807104131485585</v>
      </c>
    </row>
    <row r="110" spans="1:27" x14ac:dyDescent="0.2">
      <c r="A110" s="7" t="s">
        <v>2188</v>
      </c>
      <c r="B110" t="str">
        <f t="shared" si="13"/>
        <v>TATN IV кв. 2013</v>
      </c>
      <c r="C110">
        <v>2013</v>
      </c>
      <c r="D110">
        <f>SUMIFS(Дивиденды!$C:$C,Дивиденды!$A:$A,A110,Дивиденды!$I:$I,C110)</f>
        <v>8.23</v>
      </c>
      <c r="E110">
        <v>1</v>
      </c>
      <c r="F110">
        <f t="shared" si="14"/>
        <v>8.23</v>
      </c>
      <c r="G110">
        <f t="shared" si="15"/>
        <v>23.09</v>
      </c>
      <c r="H110">
        <f t="shared" si="16"/>
        <v>1</v>
      </c>
      <c r="I110">
        <f t="shared" si="12"/>
        <v>0.83333333333333337</v>
      </c>
      <c r="J110">
        <f t="shared" si="17"/>
        <v>-4.3023255813953401E-2</v>
      </c>
      <c r="K110">
        <f t="shared" si="21"/>
        <v>0.22844077094010062</v>
      </c>
      <c r="L110">
        <f t="shared" si="18"/>
        <v>0</v>
      </c>
      <c r="M110">
        <f t="shared" si="22"/>
        <v>0.83333333333333337</v>
      </c>
      <c r="N110">
        <f t="shared" si="19"/>
        <v>1</v>
      </c>
      <c r="O110">
        <f t="shared" si="20"/>
        <v>0</v>
      </c>
      <c r="P110">
        <f>IFERROR(LN('Дивиденды по годам'!I110),"")</f>
        <v>27.236627986618963</v>
      </c>
      <c r="Q110">
        <f>IFERROR('Дивиденды по годам'!G110/'Дивиденды по годам'!I110, "")</f>
        <v>0.71486554446074624</v>
      </c>
      <c r="R110">
        <f>IFERROR(IF(AND('Дивиденды по годам'!N110&lt;&gt;"",'Дивиденды по годам'!U110&lt;&gt;"",'Дивиденды по годам'!U110&lt;&gt;0),'Дивиденды по годам'!N110/'Дивиденды по годам'!U110-1,""),"")</f>
        <v>2.4508048880992783E-2</v>
      </c>
      <c r="S110">
        <f>IFERROR(IF(AND('Дивиденды по годам'!L110&lt;&gt;"",'Дивиденды по годам'!I110&lt;&gt;"",'Дивиденды по годам'!J110&lt;&gt;"",'Дивиденды по годам'!K110&lt;&gt;"",('Дивиденды по годам'!I110-'Дивиденды по годам'!J110-'Дивиденды по годам'!K110)&lt;&gt;0),'Дивиденды по годам'!L110/('Дивиденды по годам'!I110-'Дивиденды по годам'!J110-'Дивиденды по годам'!K110),""),"")</f>
        <v>0.76267803215194196</v>
      </c>
      <c r="T110">
        <f>IFERROR(IF(AND('Дивиденды по годам'!Q110&lt;&gt;"",'Дивиденды по годам'!I110&lt;&gt;"",'Дивиденды по годам'!V110&lt;&gt;"",('Дивиденды по годам'!I110+'Дивиденды по годам'!V110)&lt;&gt;0),'Дивиденды по годам'!Q110/(('Дивиденды по годам'!I110+'Дивиденды по годам'!V110)/2),""),"")</f>
        <v>0.12009540919877121</v>
      </c>
      <c r="U110">
        <f>IFERROR(IF(AND('Дивиденды по годам'!J110&lt;&gt;"",'Дивиденды по годам'!K110&lt;&gt;"",'Дивиденды по годам'!M110&lt;&gt;"",'Дивиденды по годам'!M110&lt;&gt;0),('Дивиденды по годам'!J110+'Дивиденды по годам'!K110)/'Дивиденды по годам'!M110,""),"")</f>
        <v>0.33752594338686698</v>
      </c>
      <c r="V110" cm="1">
        <f t="array" ref="V110">IFERROR(AVERAGE(_xlfn._xlws.FILTER(P$2:P$1073,($C$2:$C$1073=$C110)*($E$2:$E$1073=$E110)*(ROW(P$2:P$1073)&lt;&gt;ROW(P110))*(P$2:P$1073&lt;&gt;""))),"")</f>
        <v>28.969225863596634</v>
      </c>
      <c r="W110" cm="1">
        <f t="array" ref="W110">IFERROR(AVERAGE(_xlfn._xlws.FILTER(Q$2:Q$1073,($C$2:$C$1073=$C110)*($E$2:$E$1073=$E110)*(ROW(Q$2:Q$1073)&lt;&gt;ROW(Q110))*(Q$2:Q$1073&lt;&gt;""))),"")</f>
        <v>0.62423860897827887</v>
      </c>
      <c r="X110" cm="1">
        <f t="array" ref="X110">IFERROR(AVERAGE(_xlfn._xlws.FILTER(R$2:R$1073,($C$2:$C$1073=$C110)*($E$2:$E$1073=$E110)*(ROW(R$2:R$1073)&lt;&gt;ROW(R110))*(R$2:R$1073&lt;&gt;""))),"")</f>
        <v>0.27069529865695485</v>
      </c>
      <c r="Y110" cm="1">
        <f t="array" ref="Y110">IFERROR(AVERAGE(_xlfn._xlws.FILTER(S$2:S$1073,($C$2:$C$1073=$C110)*($E$2:$E$1073=$E110)*(ROW(S$2:S$1073)&lt;&gt;ROW(S110))*(S$2:S$1073&lt;&gt;""))),"")</f>
        <v>0.92972446875666803</v>
      </c>
      <c r="Z110" cm="1">
        <f t="array" ref="Z110">IFERROR(AVERAGE(_xlfn._xlws.FILTER(T$2:T$1073,($C$2:$C$1073=$C110)*($E$2:$E$1073=$E110)*(ROW(T$2:T$1073)&lt;&gt;ROW(T110))*(T$2:T$1073&lt;&gt;""))),"")</f>
        <v>0.11735403072459596</v>
      </c>
      <c r="AA110" cm="1">
        <f t="array" ref="AA110">IFERROR(AVERAGE(_xlfn._xlws.FILTER(U$2:U$1073,($C$2:$C$1073=$C110)*($E$2:$E$1073=$E110)*(ROW(U$2:U$1073)&lt;&gt;ROW(U110))*(U$2:U$1073&lt;&gt;""))),"")</f>
        <v>0.69177542567938621</v>
      </c>
    </row>
    <row r="111" spans="1:27" x14ac:dyDescent="0.2">
      <c r="A111" s="7" t="s">
        <v>2188</v>
      </c>
      <c r="B111" t="str">
        <f t="shared" si="13"/>
        <v>TATN IV кв. 2012</v>
      </c>
      <c r="C111">
        <v>2012</v>
      </c>
      <c r="D111">
        <f>SUMIFS(Дивиденды!$C:$C,Дивиденды!$A:$A,A111,Дивиденды!$I:$I,C111)</f>
        <v>8.6</v>
      </c>
      <c r="E111">
        <v>1</v>
      </c>
      <c r="F111">
        <f t="shared" si="14"/>
        <v>8.6</v>
      </c>
      <c r="G111">
        <f t="shared" si="15"/>
        <v>18.566666666666666</v>
      </c>
      <c r="H111">
        <f t="shared" si="16"/>
        <v>1</v>
      </c>
      <c r="I111">
        <f t="shared" si="12"/>
        <v>0.83333333333333337</v>
      </c>
      <c r="J111">
        <f t="shared" si="17"/>
        <v>0.2146892655367231</v>
      </c>
      <c r="K111">
        <f t="shared" si="21"/>
        <v>-1.4415789091867389E-2</v>
      </c>
      <c r="L111">
        <f t="shared" si="18"/>
        <v>1</v>
      </c>
      <c r="M111">
        <f t="shared" si="22"/>
        <v>0.5</v>
      </c>
      <c r="N111">
        <f t="shared" si="19"/>
        <v>0</v>
      </c>
      <c r="O111">
        <f t="shared" si="20"/>
        <v>0.33333333333333331</v>
      </c>
      <c r="P111">
        <f>IFERROR(LN('Дивиденды по годам'!I111),"")</f>
        <v>27.16994868453493</v>
      </c>
      <c r="Q111">
        <f>IFERROR('Дивиденды по годам'!G111/'Дивиденды по годам'!I111, "")</f>
        <v>0.71185857435772204</v>
      </c>
      <c r="R111">
        <f>IFERROR(IF(AND('Дивиденды по годам'!N111&lt;&gt;"",'Дивиденды по годам'!U111&lt;&gt;"",'Дивиденды по годам'!U111&lt;&gt;0),'Дивиденды по годам'!N111/'Дивиденды по годам'!U111-1,""),"")</f>
        <v>-0.27890437383396094</v>
      </c>
      <c r="S111">
        <f>IFERROR(IF(AND('Дивиденды по годам'!L111&lt;&gt;"",'Дивиденды по годам'!I111&lt;&gt;"",'Дивиденды по годам'!J111&lt;&gt;"",'Дивиденды по годам'!K111&lt;&gt;"",('Дивиденды по годам'!I111-'Дивиденды по годам'!J111-'Дивиденды по годам'!K111)&lt;&gt;0),'Дивиденды по годам'!L111/('Дивиденды по годам'!I111-'Дивиденды по годам'!J111-'Дивиденды по годам'!K111),""),"")</f>
        <v>0.74640826653340298</v>
      </c>
      <c r="T111">
        <f>IFERROR(IF(AND('Дивиденды по годам'!Q111&lt;&gt;"",'Дивиденды по годам'!I111&lt;&gt;"",'Дивиденды по годам'!V111&lt;&gt;"",('Дивиденды по годам'!I111+'Дивиденды по годам'!V111)&lt;&gt;0),'Дивиденды по годам'!Q111/(('Дивиденды по годам'!I111+'Дивиденды по годам'!V111)/2),""),"")</f>
        <v>0.12467598515610721</v>
      </c>
      <c r="U111">
        <f>IFERROR(IF(AND('Дивиденды по годам'!J111&lt;&gt;"",'Дивиденды по годам'!K111&lt;&gt;"",'Дивиденды по годам'!M111&lt;&gt;"",'Дивиденды по годам'!M111&lt;&gt;0),('Дивиденды по годам'!J111+'Дивиденды по годам'!K111)/'Дивиденды по годам'!M111,""),"")</f>
        <v>0.41317876535352605</v>
      </c>
      <c r="V111" cm="1">
        <f t="array" ref="V111">IFERROR(AVERAGE(_xlfn._xlws.FILTER(P$2:P$1073,($C$2:$C$1073=$C111)*($E$2:$E$1073=$E111)*(ROW(P$2:P$1073)&lt;&gt;ROW(P111))*(P$2:P$1073&lt;&gt;""))),"")</f>
        <v>28.679511939175026</v>
      </c>
      <c r="W111" cm="1">
        <f t="array" ref="W111">IFERROR(AVERAGE(_xlfn._xlws.FILTER(Q$2:Q$1073,($C$2:$C$1073=$C111)*($E$2:$E$1073=$E111)*(ROW(Q$2:Q$1073)&lt;&gt;ROW(Q111))*(Q$2:Q$1073&lt;&gt;""))),"")</f>
        <v>0.59694425246152327</v>
      </c>
      <c r="X111" cm="1">
        <f t="array" ref="X111">IFERROR(AVERAGE(_xlfn._xlws.FILTER(R$2:R$1073,($C$2:$C$1073=$C111)*($E$2:$E$1073=$E111)*(ROW(R$2:R$1073)&lt;&gt;ROW(R111))*(R$2:R$1073&lt;&gt;""))),"")</f>
        <v>0.11625144516209807</v>
      </c>
      <c r="Y111" cm="1">
        <f t="array" ref="Y111">IFERROR(AVERAGE(_xlfn._xlws.FILTER(S$2:S$1073,($C$2:$C$1073=$C111)*($E$2:$E$1073=$E111)*(ROW(S$2:S$1073)&lt;&gt;ROW(S111))*(S$2:S$1073&lt;&gt;""))),"")</f>
        <v>0.9461132964285478</v>
      </c>
      <c r="Z111" cm="1">
        <f t="array" ref="Z111">IFERROR(AVERAGE(_xlfn._xlws.FILTER(T$2:T$1073,($C$2:$C$1073=$C111)*($E$2:$E$1073=$E111)*(ROW(T$2:T$1073)&lt;&gt;ROW(T111))*(T$2:T$1073&lt;&gt;""))),"")</f>
        <v>0.1204835506292011</v>
      </c>
      <c r="AA111" cm="1">
        <f t="array" ref="AA111">IFERROR(AVERAGE(_xlfn._xlws.FILTER(U$2:U$1073,($C$2:$C$1073=$C111)*($E$2:$E$1073=$E111)*(ROW(U$2:U$1073)&lt;&gt;ROW(U111))*(U$2:U$1073&lt;&gt;""))),"")</f>
        <v>0.50333183373536172</v>
      </c>
    </row>
    <row r="112" spans="1:27" x14ac:dyDescent="0.2">
      <c r="A112" s="7" t="s">
        <v>2188</v>
      </c>
      <c r="B112" t="str">
        <f t="shared" si="13"/>
        <v>TATN IV кв. 2011</v>
      </c>
      <c r="C112">
        <v>2011</v>
      </c>
      <c r="D112">
        <f>SUMIFS(Дивиденды!$C:$C,Дивиденды!$A:$A,A112,Дивиденды!$I:$I,C112)</f>
        <v>7.08</v>
      </c>
      <c r="E112">
        <v>1</v>
      </c>
      <c r="F112">
        <f t="shared" si="14"/>
        <v>7.08</v>
      </c>
      <c r="G112">
        <f t="shared" si="15"/>
        <v>16.349999999999998</v>
      </c>
      <c r="H112">
        <f t="shared" si="16"/>
        <v>1</v>
      </c>
      <c r="I112">
        <f t="shared" ref="I112:I175" si="23">IFERROR((COUNTIFS($E:$E,E112,$C:$C,C112,$H:$H,1)-H112)/(COUNTIFS($E:$E,E112,$C:$C,C112)-1),0)</f>
        <v>0.83333333333333337</v>
      </c>
      <c r="J112">
        <f t="shared" si="17"/>
        <v>0.41035856573705193</v>
      </c>
      <c r="K112">
        <f t="shared" si="21"/>
        <v>0.67155290668555223</v>
      </c>
      <c r="L112">
        <f t="shared" si="18"/>
        <v>1</v>
      </c>
      <c r="M112">
        <f t="shared" si="22"/>
        <v>0.83333333333333337</v>
      </c>
      <c r="N112">
        <f t="shared" si="19"/>
        <v>0</v>
      </c>
      <c r="O112">
        <f t="shared" si="20"/>
        <v>0</v>
      </c>
      <c r="P112">
        <f>IFERROR(LN('Дивиденды по годам'!I112),"")</f>
        <v>27.165524116554483</v>
      </c>
      <c r="Q112">
        <f>IFERROR('Дивиденды по годам'!G112/'Дивиденды по годам'!I112, "")</f>
        <v>0.6861503958918358</v>
      </c>
      <c r="R112">
        <f>IFERROR(IF(AND('Дивиденды по годам'!N112&lt;&gt;"",'Дивиденды по годам'!U112&lt;&gt;"",'Дивиденды по годам'!U112&lt;&gt;0),'Дивиденды по годам'!N112/'Дивиденды по годам'!U112-1,""),"")</f>
        <v>0.31586515451934916</v>
      </c>
      <c r="S112">
        <f>IFERROR(IF(AND('Дивиденды по годам'!L112&lt;&gt;"",'Дивиденды по годам'!I112&lt;&gt;"",'Дивиденды по годам'!J112&lt;&gt;"",'Дивиденды по годам'!K112&lt;&gt;"",('Дивиденды по годам'!I112-'Дивиденды по годам'!J112-'Дивиденды по годам'!K112)&lt;&gt;0),'Дивиденды по годам'!L112/('Дивиденды по годам'!I112-'Дивиденды по годам'!J112-'Дивиденды по годам'!K112),""),"")</f>
        <v>0.7214205859532834</v>
      </c>
      <c r="T112">
        <f>IFERROR(IF(AND('Дивиденды по годам'!Q112&lt;&gt;"",'Дивиденды по годам'!I112&lt;&gt;"",'Дивиденды по годам'!V112&lt;&gt;"",('Дивиденды по годам'!I112+'Дивиденды по годам'!V112)&lt;&gt;0),'Дивиденды по годам'!Q112/(('Дивиденды по годам'!I112+'Дивиденды по годам'!V112)/2),""),"")</f>
        <v>0.10706760323413685</v>
      </c>
      <c r="U112">
        <f>IFERROR(IF(AND('Дивиденды по годам'!J112&lt;&gt;"",'Дивиденды по годам'!K112&lt;&gt;"",'Дивиденды по годам'!M112&lt;&gt;"",'Дивиденды по годам'!M112&lt;&gt;0),('Дивиденды по годам'!J112+'Дивиденды по годам'!K112)/'Дивиденды по годам'!M112,""),"")</f>
        <v>0.55628626884244603</v>
      </c>
      <c r="V112" cm="1">
        <f t="array" ref="V112">IFERROR(AVERAGE(_xlfn._xlws.FILTER(P$2:P$1073,($C$2:$C$1073=$C112)*($E$2:$E$1073=$E112)*(ROW(P$2:P$1073)&lt;&gt;ROW(P112))*(P$2:P$1073&lt;&gt;""))),"")</f>
        <v>28.539398808333161</v>
      </c>
      <c r="W112" cm="1">
        <f t="array" ref="W112">IFERROR(AVERAGE(_xlfn._xlws.FILTER(Q$2:Q$1073,($C$2:$C$1073=$C112)*($E$2:$E$1073=$E112)*(ROW(Q$2:Q$1073)&lt;&gt;ROW(Q112))*(Q$2:Q$1073&lt;&gt;""))),"")</f>
        <v>0.58371512598960407</v>
      </c>
      <c r="X112" cm="1">
        <f t="array" ref="X112">IFERROR(AVERAGE(_xlfn._xlws.FILTER(R$2:R$1073,($C$2:$C$1073=$C112)*($E$2:$E$1073=$E112)*(ROW(R$2:R$1073)&lt;&gt;ROW(R112))*(R$2:R$1073&lt;&gt;""))),"")</f>
        <v>0.35934426446619155</v>
      </c>
      <c r="Y112" cm="1">
        <f t="array" ref="Y112">IFERROR(AVERAGE(_xlfn._xlws.FILTER(S$2:S$1073,($C$2:$C$1073=$C112)*($E$2:$E$1073=$E112)*(ROW(S$2:S$1073)&lt;&gt;ROW(S112))*(S$2:S$1073&lt;&gt;""))),"")</f>
        <v>0.9227581776317626</v>
      </c>
      <c r="Z112" cm="1">
        <f t="array" ref="Z112">IFERROR(AVERAGE(_xlfn._xlws.FILTER(T$2:T$1073,($C$2:$C$1073=$C112)*($E$2:$E$1073=$E112)*(ROW(T$2:T$1073)&lt;&gt;ROW(T112))*(T$2:T$1073&lt;&gt;""))),"")</f>
        <v>0.17509973163977047</v>
      </c>
      <c r="AA112" cm="1">
        <f t="array" ref="AA112">IFERROR(AVERAGE(_xlfn._xlws.FILTER(U$2:U$1073,($C$2:$C$1073=$C112)*($E$2:$E$1073=$E112)*(ROW(U$2:U$1073)&lt;&gt;ROW(U112))*(U$2:U$1073&lt;&gt;""))),"")</f>
        <v>0.49373172653535408</v>
      </c>
    </row>
    <row r="113" spans="1:27" x14ac:dyDescent="0.2">
      <c r="A113" s="7" t="s">
        <v>2188</v>
      </c>
      <c r="B113" t="str">
        <f t="shared" si="13"/>
        <v>TATN IV кв. 2010</v>
      </c>
      <c r="C113">
        <v>2010</v>
      </c>
      <c r="D113">
        <f>SUMIFS(Дивиденды!$C:$C,Дивиденды!$A:$A,A113,Дивиденды!$I:$I,C113)</f>
        <v>5.0199999999999996</v>
      </c>
      <c r="E113">
        <v>1</v>
      </c>
      <c r="F113">
        <f t="shared" si="14"/>
        <v>5.0199999999999996</v>
      </c>
      <c r="G113">
        <f t="shared" si="15"/>
        <v>11.685</v>
      </c>
      <c r="H113">
        <f t="shared" si="16"/>
        <v>1</v>
      </c>
      <c r="I113">
        <f t="shared" si="23"/>
        <v>0.83333333333333337</v>
      </c>
      <c r="J113" t="str">
        <f t="shared" si="17"/>
        <v/>
      </c>
      <c r="K113" t="str">
        <f t="shared" si="21"/>
        <v/>
      </c>
      <c r="L113" t="str">
        <f t="shared" si="18"/>
        <v/>
      </c>
      <c r="M113" t="str">
        <f t="shared" si="22"/>
        <v/>
      </c>
      <c r="N113" t="str">
        <f t="shared" si="19"/>
        <v/>
      </c>
      <c r="O113" t="str">
        <f t="shared" si="20"/>
        <v/>
      </c>
      <c r="P113" t="str">
        <f>IFERROR(LN('Дивиденды по годам'!I113),"")</f>
        <v/>
      </c>
      <c r="Q113" t="str">
        <f>IFERROR('Дивиденды по годам'!G113/'Дивиденды по годам'!I113, "")</f>
        <v/>
      </c>
      <c r="R113" t="str">
        <f>IFERROR(IF(AND('Дивиденды по годам'!N113&lt;&gt;"",'Дивиденды по годам'!U113&lt;&gt;"",'Дивиденды по годам'!U113&lt;&gt;0),'Дивиденды по годам'!N113/'Дивиденды по годам'!U113-1,""),"")</f>
        <v/>
      </c>
      <c r="S113" t="str">
        <f>IFERROR(IF(AND('Дивиденды по годам'!L113&lt;&gt;"",'Дивиденды по годам'!I113&lt;&gt;"",'Дивиденды по годам'!J113&lt;&gt;"",'Дивиденды по годам'!K113&lt;&gt;"",('Дивиденды по годам'!I113-'Дивиденды по годам'!J113-'Дивиденды по годам'!K113)&lt;&gt;0),'Дивиденды по годам'!L113/('Дивиденды по годам'!I113-'Дивиденды по годам'!J113-'Дивиденды по годам'!K113),""),"")</f>
        <v/>
      </c>
      <c r="T113" t="str">
        <f>IFERROR(IF(AND('Дивиденды по годам'!Q113&lt;&gt;"",'Дивиденды по годам'!I113&lt;&gt;"",'Дивиденды по годам'!V113&lt;&gt;"",('Дивиденды по годам'!I113+'Дивиденды по годам'!V113)&lt;&gt;0),'Дивиденды по годам'!Q113/(('Дивиденды по годам'!I113+'Дивиденды по годам'!V113)/2),""),"")</f>
        <v/>
      </c>
      <c r="U113" t="str">
        <f>IFERROR(IF(AND('Дивиденды по годам'!J113&lt;&gt;"",'Дивиденды по годам'!K113&lt;&gt;"",'Дивиденды по годам'!M113&lt;&gt;"",'Дивиденды по годам'!M113&lt;&gt;0),('Дивиденды по годам'!J113+'Дивиденды по годам'!K113)/'Дивиденды по годам'!M113,""),"")</f>
        <v/>
      </c>
      <c r="V113" cm="1">
        <f t="array" ref="V113">IFERROR(AVERAGE(_xlfn._xlws.FILTER(P$2:P$1073,($C$2:$C$1073=$C113)*($E$2:$E$1073=$E113)*(ROW(P$2:P$1073)&lt;&gt;ROW(P113))*(P$2:P$1073&lt;&gt;""))),"")</f>
        <v>28.26609277365635</v>
      </c>
      <c r="W113" cm="1">
        <f t="array" ref="W113">IFERROR(AVERAGE(_xlfn._xlws.FILTER(Q$2:Q$1073,($C$2:$C$1073=$C113)*($E$2:$E$1073=$E113)*(ROW(Q$2:Q$1073)&lt;&gt;ROW(Q113))*(Q$2:Q$1073&lt;&gt;""))),"")</f>
        <v>0.63165964928088458</v>
      </c>
      <c r="X113" cm="1">
        <f t="array" ref="X113">IFERROR(AVERAGE(_xlfn._xlws.FILTER(R$2:R$1073,($C$2:$C$1073=$C113)*($E$2:$E$1073=$E113)*(ROW(R$2:R$1073)&lt;&gt;ROW(R113))*(R$2:R$1073&lt;&gt;""))),"")</f>
        <v>0.23861324477859247</v>
      </c>
      <c r="Y113" cm="1">
        <f t="array" ref="Y113">IFERROR(AVERAGE(_xlfn._xlws.FILTER(S$2:S$1073,($C$2:$C$1073=$C113)*($E$2:$E$1073=$E113)*(ROW(S$2:S$1073)&lt;&gt;ROW(S113))*(S$2:S$1073&lt;&gt;""))),"")</f>
        <v>0.85870775810089295</v>
      </c>
      <c r="Z113" cm="1">
        <f t="array" ref="Z113">IFERROR(AVERAGE(_xlfn._xlws.FILTER(T$2:T$1073,($C$2:$C$1073=$C113)*($E$2:$E$1073=$E113)*(ROW(T$2:T$1073)&lt;&gt;ROW(T113))*(T$2:T$1073&lt;&gt;""))),"")</f>
        <v>0.10947396081496689</v>
      </c>
      <c r="AA113" cm="1">
        <f t="array" ref="AA113">IFERROR(AVERAGE(_xlfn._xlws.FILTER(U$2:U$1073,($C$2:$C$1073=$C113)*($E$2:$E$1073=$E113)*(ROW(U$2:U$1073)&lt;&gt;ROW(U113))*(U$2:U$1073&lt;&gt;""))),"")</f>
        <v>0.50738882547166109</v>
      </c>
    </row>
    <row r="114" spans="1:27" x14ac:dyDescent="0.2">
      <c r="A114" s="7" t="s">
        <v>2190</v>
      </c>
      <c r="B114" t="str">
        <f t="shared" si="13"/>
        <v>ELFV IV кв. 2025</v>
      </c>
      <c r="C114">
        <v>2025</v>
      </c>
      <c r="D114">
        <f>SUMIFS(Дивиденды!$C:$C,Дивиденды!$A:$A,A114,Дивиденды!$I:$I,C114)</f>
        <v>0</v>
      </c>
      <c r="E114">
        <v>2</v>
      </c>
      <c r="F114">
        <f t="shared" si="14"/>
        <v>0</v>
      </c>
      <c r="G114">
        <f t="shared" si="15"/>
        <v>0</v>
      </c>
      <c r="H114">
        <f t="shared" si="16"/>
        <v>0</v>
      </c>
      <c r="I114">
        <f t="shared" si="23"/>
        <v>0</v>
      </c>
      <c r="J114">
        <f t="shared" si="17"/>
        <v>0</v>
      </c>
      <c r="K114">
        <f t="shared" si="21"/>
        <v>-0.58333333333333337</v>
      </c>
      <c r="L114">
        <f t="shared" si="18"/>
        <v>0</v>
      </c>
      <c r="M114">
        <f t="shared" si="22"/>
        <v>0</v>
      </c>
      <c r="N114">
        <f t="shared" si="19"/>
        <v>0</v>
      </c>
      <c r="O114">
        <f t="shared" si="20"/>
        <v>0.58333333333333337</v>
      </c>
      <c r="P114" t="str">
        <f>IFERROR(LN('Дивиденды по годам'!I114),"")</f>
        <v/>
      </c>
      <c r="Q114" t="str">
        <f>IFERROR('Дивиденды по годам'!G114/'Дивиденды по годам'!I114, "")</f>
        <v/>
      </c>
      <c r="R114" t="str">
        <f>IFERROR(IF(AND('Дивиденды по годам'!N114&lt;&gt;"",'Дивиденды по годам'!U114&lt;&gt;"",'Дивиденды по годам'!U114&lt;&gt;0),'Дивиденды по годам'!N114/'Дивиденды по годам'!U114-1,""),"")</f>
        <v/>
      </c>
      <c r="S114" t="str">
        <f>IFERROR(IF(AND('Дивиденды по годам'!L114&lt;&gt;"",'Дивиденды по годам'!I114&lt;&gt;"",'Дивиденды по годам'!J114&lt;&gt;"",'Дивиденды по годам'!K114&lt;&gt;"",('Дивиденды по годам'!I114-'Дивиденды по годам'!J114-'Дивиденды по годам'!K114)&lt;&gt;0),'Дивиденды по годам'!L114/('Дивиденды по годам'!I114-'Дивиденды по годам'!J114-'Дивиденды по годам'!K114),""),"")</f>
        <v/>
      </c>
      <c r="T114" t="str">
        <f>IFERROR(IF(AND('Дивиденды по годам'!Q114&lt;&gt;"",'Дивиденды по годам'!I114&lt;&gt;"",'Дивиденды по годам'!V114&lt;&gt;"",('Дивиденды по годам'!I114+'Дивиденды по годам'!V114)&lt;&gt;0),'Дивиденды по годам'!Q114/(('Дивиденды по годам'!I114+'Дивиденды по годам'!V114)/2),""),"")</f>
        <v/>
      </c>
      <c r="U114" t="str">
        <f>IFERROR(IF(AND('Дивиденды по годам'!J114&lt;&gt;"",'Дивиденды по годам'!K114&lt;&gt;"",'Дивиденды по годам'!M114&lt;&gt;"",'Дивиденды по годам'!M114&lt;&gt;0),('Дивиденды по годам'!J114+'Дивиденды по годам'!K114)/'Дивиденды по годам'!M114,""),"")</f>
        <v/>
      </c>
      <c r="V114" cm="1">
        <f t="array" ref="V114">IFERROR(AVERAGE(_xlfn._xlws.FILTER(P$2:P$1073,($C$2:$C$1073=$C114)*($E$2:$E$1073=$E114)*(ROW(P$2:P$1073)&lt;&gt;ROW(P114))*(P$2:P$1073&lt;&gt;""))),"")</f>
        <v>26.57991857918098</v>
      </c>
      <c r="W114" cm="1">
        <f t="array" ref="W114">IFERROR(AVERAGE(_xlfn._xlws.FILTER(Q$2:Q$1073,($C$2:$C$1073=$C114)*($E$2:$E$1073=$E114)*(ROW(Q$2:Q$1073)&lt;&gt;ROW(Q114))*(Q$2:Q$1073&lt;&gt;""))),"")</f>
        <v>0.67759713674348565</v>
      </c>
      <c r="X114" cm="1">
        <f t="array" ref="X114">IFERROR(AVERAGE(_xlfn._xlws.FILTER(R$2:R$1073,($C$2:$C$1073=$C114)*($E$2:$E$1073=$E114)*(ROW(R$2:R$1073)&lt;&gt;ROW(R114))*(R$2:R$1073&lt;&gt;""))),"")</f>
        <v>0.17662623265859428</v>
      </c>
      <c r="Y114" cm="1">
        <f t="array" ref="Y114">IFERROR(AVERAGE(_xlfn._xlws.FILTER(S$2:S$1073,($C$2:$C$1073=$C114)*($E$2:$E$1073=$E114)*(ROW(S$2:S$1073)&lt;&gt;ROW(S114))*(S$2:S$1073&lt;&gt;""))),"")</f>
        <v>0.75614685785818758</v>
      </c>
      <c r="Z114" cm="1">
        <f t="array" ref="Z114">IFERROR(AVERAGE(_xlfn._xlws.FILTER(T$2:T$1073,($C$2:$C$1073=$C114)*($E$2:$E$1073=$E114)*(ROW(T$2:T$1073)&lt;&gt;ROW(T114))*(T$2:T$1073&lt;&gt;""))),"")</f>
        <v>0.10306085485751774</v>
      </c>
      <c r="AA114" cm="1">
        <f t="array" ref="AA114">IFERROR(AVERAGE(_xlfn._xlws.FILTER(U$2:U$1073,($C$2:$C$1073=$C114)*($E$2:$E$1073=$E114)*(ROW(U$2:U$1073)&lt;&gt;ROW(U114))*(U$2:U$1073&lt;&gt;""))),"")</f>
        <v>0.88935141782994176</v>
      </c>
    </row>
    <row r="115" spans="1:27" x14ac:dyDescent="0.2">
      <c r="A115" s="7" t="s">
        <v>2190</v>
      </c>
      <c r="B115" t="str">
        <f t="shared" si="13"/>
        <v>ELFV IV кв. 2024</v>
      </c>
      <c r="C115">
        <v>2024</v>
      </c>
      <c r="D115">
        <f>SUMIFS(Дивиденды!$C:$C,Дивиденды!$A:$A,A115,Дивиденды!$I:$I,C115)</f>
        <v>0</v>
      </c>
      <c r="E115">
        <v>2</v>
      </c>
      <c r="F115">
        <f t="shared" si="14"/>
        <v>0</v>
      </c>
      <c r="G115">
        <f t="shared" si="15"/>
        <v>6.3399999999999998E-2</v>
      </c>
      <c r="H115">
        <f t="shared" si="16"/>
        <v>0</v>
      </c>
      <c r="I115">
        <f t="shared" si="23"/>
        <v>0.58333333333333337</v>
      </c>
      <c r="J115">
        <f t="shared" si="17"/>
        <v>0</v>
      </c>
      <c r="K115">
        <f t="shared" si="21"/>
        <v>8.6160653443004165E-2</v>
      </c>
      <c r="L115">
        <f t="shared" si="18"/>
        <v>0</v>
      </c>
      <c r="M115">
        <f t="shared" si="22"/>
        <v>0.58333333333333337</v>
      </c>
      <c r="N115">
        <f t="shared" si="19"/>
        <v>0</v>
      </c>
      <c r="O115">
        <f t="shared" si="20"/>
        <v>8.3333333333333329E-2</v>
      </c>
      <c r="P115">
        <f>IFERROR(LN('Дивиденды по годам'!I115),"")</f>
        <v>25.02382142769336</v>
      </c>
      <c r="Q115">
        <f>IFERROR('Дивиденды по годам'!G115/'Дивиденды по годам'!I115, "")</f>
        <v>0.7550847325234763</v>
      </c>
      <c r="R115">
        <f>IFERROR(IF(AND('Дивиденды по годам'!N115&lt;&gt;"",'Дивиденды по годам'!U115&lt;&gt;"",'Дивиденды по годам'!U115&lt;&gt;0),'Дивиденды по годам'!N115/'Дивиденды по годам'!U115-1,""),"")</f>
        <v>0.12729554334767457</v>
      </c>
      <c r="S115">
        <f>IFERROR(IF(AND('Дивиденды по годам'!L115&lt;&gt;"",'Дивиденды по годам'!I115&lt;&gt;"",'Дивиденды по годам'!J115&lt;&gt;"",'Дивиденды по годам'!K115&lt;&gt;"",('Дивиденды по годам'!I115-'Дивиденды по годам'!J115-'Дивиденды по годам'!K115)&lt;&gt;0),'Дивиденды по годам'!L115/('Дивиденды по годам'!I115-'Дивиденды по годам'!J115-'Дивиденды по годам'!K115),""),"")</f>
        <v>-0.23546221013386082</v>
      </c>
      <c r="T115">
        <f>IFERROR(IF(AND('Дивиденды по годам'!Q115&lt;&gt;"",'Дивиденды по годам'!I115&lt;&gt;"",'Дивиденды по годам'!V115&lt;&gt;"",('Дивиденды по годам'!I115+'Дивиденды по годам'!V115)&lt;&gt;0),'Дивиденды по годам'!Q115/(('Дивиденды по годам'!I115+'Дивиденды по годам'!V115)/2),""),"")</f>
        <v>6.4561338548831129E-2</v>
      </c>
      <c r="U115">
        <f>IFERROR(IF(AND('Дивиденды по годам'!J115&lt;&gt;"",'Дивиденды по годам'!K115&lt;&gt;"",'Дивиденды по годам'!M115&lt;&gt;"",'Дивиденды по годам'!M115&lt;&gt;0),('Дивиденды по годам'!J115+'Дивиденды по годам'!K115)/'Дивиденды по годам'!M115,""),"")</f>
        <v>1.1667595037542531</v>
      </c>
      <c r="V115" cm="1">
        <f t="array" ref="V115">IFERROR(AVERAGE(_xlfn._xlws.FILTER(P$2:P$1073,($C$2:$C$1073=$C115)*($E$2:$E$1073=$E115)*(ROW(P$2:P$1073)&lt;&gt;ROW(P115))*(P$2:P$1073&lt;&gt;""))),"")</f>
        <v>26.697931357987038</v>
      </c>
      <c r="W115" cm="1">
        <f t="array" ref="W115">IFERROR(AVERAGE(_xlfn._xlws.FILTER(Q$2:Q$1073,($C$2:$C$1073=$C115)*($E$2:$E$1073=$E115)*(ROW(Q$2:Q$1073)&lt;&gt;ROW(Q115))*(Q$2:Q$1073&lt;&gt;""))),"")</f>
        <v>0.681629947703143</v>
      </c>
      <c r="X115" cm="1">
        <f t="array" ref="X115">IFERROR(AVERAGE(_xlfn._xlws.FILTER(R$2:R$1073,($C$2:$C$1073=$C115)*($E$2:$E$1073=$E115)*(ROW(R$2:R$1073)&lt;&gt;ROW(R115))*(R$2:R$1073&lt;&gt;""))),"")</f>
        <v>9.6229963205441915E-2</v>
      </c>
      <c r="Y115" cm="1">
        <f t="array" ref="Y115">IFERROR(AVERAGE(_xlfn._xlws.FILTER(S$2:S$1073,($C$2:$C$1073=$C115)*($E$2:$E$1073=$E115)*(ROW(S$2:S$1073)&lt;&gt;ROW(S115))*(S$2:S$1073&lt;&gt;""))),"")</f>
        <v>0.65174256569470645</v>
      </c>
      <c r="Z115" cm="1">
        <f t="array" ref="Z115">IFERROR(AVERAGE(_xlfn._xlws.FILTER(T$2:T$1073,($C$2:$C$1073=$C115)*($E$2:$E$1073=$E115)*(ROW(T$2:T$1073)&lt;&gt;ROW(T115))*(T$2:T$1073&lt;&gt;""))),"")</f>
        <v>5.6514752505388587E-2</v>
      </c>
      <c r="AA115" cm="1">
        <f t="array" ref="AA115">IFERROR(AVERAGE(_xlfn._xlws.FILTER(U$2:U$1073,($C$2:$C$1073=$C115)*($E$2:$E$1073=$E115)*(ROW(U$2:U$1073)&lt;&gt;ROW(U115))*(U$2:U$1073&lt;&gt;""))),"")</f>
        <v>0.90591746044327315</v>
      </c>
    </row>
    <row r="116" spans="1:27" x14ac:dyDescent="0.2">
      <c r="A116" s="7" t="s">
        <v>2190</v>
      </c>
      <c r="B116" t="str">
        <f t="shared" si="13"/>
        <v>ELFV IV кв. 2023</v>
      </c>
      <c r="C116">
        <v>2023</v>
      </c>
      <c r="D116">
        <f>SUMIFS(Дивиденды!$C:$C,Дивиденды!$A:$A,A116,Дивиденды!$I:$I,C116)</f>
        <v>0</v>
      </c>
      <c r="E116">
        <v>2</v>
      </c>
      <c r="F116">
        <f t="shared" si="14"/>
        <v>0</v>
      </c>
      <c r="G116">
        <f t="shared" si="15"/>
        <v>6.6299999999999998E-2</v>
      </c>
      <c r="H116">
        <f t="shared" si="16"/>
        <v>0</v>
      </c>
      <c r="I116">
        <f t="shared" si="23"/>
        <v>0.58333333333333337</v>
      </c>
      <c r="J116">
        <f t="shared" si="17"/>
        <v>0</v>
      </c>
      <c r="K116">
        <f t="shared" si="21"/>
        <v>0.11703324263565433</v>
      </c>
      <c r="L116">
        <f t="shared" si="18"/>
        <v>0</v>
      </c>
      <c r="M116">
        <f t="shared" si="22"/>
        <v>0.5</v>
      </c>
      <c r="N116">
        <f t="shared" si="19"/>
        <v>0</v>
      </c>
      <c r="O116">
        <f t="shared" si="20"/>
        <v>0.25</v>
      </c>
      <c r="P116">
        <f>IFERROR(LN('Дивиденды по годам'!I116),"")</f>
        <v>24.92762334049084</v>
      </c>
      <c r="Q116">
        <f>IFERROR('Дивиденды по годам'!G116/'Дивиденды по годам'!I116, "")</f>
        <v>0.78663655528402343</v>
      </c>
      <c r="R116">
        <f>IFERROR(IF(AND('Дивиденды по годам'!N116&lt;&gt;"",'Дивиденды по годам'!U116&lt;&gt;"",'Дивиденды по годам'!U116&lt;&gt;0),'Дивиденды по годам'!N116/'Дивиденды по годам'!U116-1,""),"")</f>
        <v>0.20470361752535471</v>
      </c>
      <c r="S116">
        <f>IFERROR(IF(AND('Дивиденды по годам'!L116&lt;&gt;"",'Дивиденды по годам'!I116&lt;&gt;"",'Дивиденды по годам'!J116&lt;&gt;"",'Дивиденды по годам'!K116&lt;&gt;"",('Дивиденды по годам'!I116-'Дивиденды по годам'!J116-'Дивиденды по годам'!K116)&lt;&gt;0),'Дивиденды по годам'!L116/('Дивиденды по годам'!I116-'Дивиденды по годам'!J116-'Дивиденды по годам'!K116),""),"")</f>
        <v>-0.42691677593303251</v>
      </c>
      <c r="T116">
        <f>IFERROR(IF(AND('Дивиденды по годам'!Q116&lt;&gt;"",'Дивиденды по годам'!I116&lt;&gt;"",'Дивиденды по годам'!V116&lt;&gt;"",('Дивиденды по годам'!I116+'Дивиденды по годам'!V116)&lt;&gt;0),'Дивиденды по годам'!Q116/(('Дивиденды по годам'!I116+'Дивиденды по годам'!V116)/2),""),"")</f>
        <v>6.9890547087433169E-2</v>
      </c>
      <c r="U116">
        <f>IFERROR(IF(AND('Дивиденды по годам'!J116&lt;&gt;"",'Дивиденды по годам'!K116&lt;&gt;"",'Дивиденды по годам'!M116&lt;&gt;"",'Дивиденды по годам'!M116&lt;&gt;0),('Дивиденды по годам'!J116+'Дивиденды по годам'!K116)/'Дивиденды по годам'!M116,""),"")</f>
        <v>1.2728518618198066</v>
      </c>
      <c r="V116" cm="1">
        <f t="array" ref="V116">IFERROR(AVERAGE(_xlfn._xlws.FILTER(P$2:P$1073,($C$2:$C$1073=$C116)*($E$2:$E$1073=$E116)*(ROW(P$2:P$1073)&lt;&gt;ROW(P116))*(P$2:P$1073&lt;&gt;""))),"")</f>
        <v>26.577869359852812</v>
      </c>
      <c r="W116" cm="1">
        <f t="array" ref="W116">IFERROR(AVERAGE(_xlfn._xlws.FILTER(Q$2:Q$1073,($C$2:$C$1073=$C116)*($E$2:$E$1073=$E116)*(ROW(Q$2:Q$1073)&lt;&gt;ROW(Q116))*(Q$2:Q$1073&lt;&gt;""))),"")</f>
        <v>0.70032483502415999</v>
      </c>
      <c r="X116" cm="1">
        <f t="array" ref="X116">IFERROR(AVERAGE(_xlfn._xlws.FILTER(R$2:R$1073,($C$2:$C$1073=$C116)*($E$2:$E$1073=$E116)*(ROW(R$2:R$1073)&lt;&gt;ROW(R116))*(R$2:R$1073&lt;&gt;""))),"")</f>
        <v>0.13261188915987768</v>
      </c>
      <c r="Y116" cm="1">
        <f t="array" ref="Y116">IFERROR(AVERAGE(_xlfn._xlws.FILTER(S$2:S$1073,($C$2:$C$1073=$C116)*($E$2:$E$1073=$E116)*(ROW(S$2:S$1073)&lt;&gt;ROW(S116))*(S$2:S$1073&lt;&gt;""))),"")</f>
        <v>0.64808270021735737</v>
      </c>
      <c r="Z116" cm="1">
        <f t="array" ref="Z116">IFERROR(AVERAGE(_xlfn._xlws.FILTER(T$2:T$1073,($C$2:$C$1073=$C116)*($E$2:$E$1073=$E116)*(ROW(T$2:T$1073)&lt;&gt;ROW(T116))*(T$2:T$1073&lt;&gt;""))),"")</f>
        <v>7.648585689957757E-2</v>
      </c>
      <c r="AA116" cm="1">
        <f t="array" ref="AA116">IFERROR(AVERAGE(_xlfn._xlws.FILTER(U$2:U$1073,($C$2:$C$1073=$C116)*($E$2:$E$1073=$E116)*(ROW(U$2:U$1073)&lt;&gt;ROW(U116))*(U$2:U$1073&lt;&gt;""))),"")</f>
        <v>0.77403121652156315</v>
      </c>
    </row>
    <row r="117" spans="1:27" x14ac:dyDescent="0.2">
      <c r="A117" s="7" t="s">
        <v>2190</v>
      </c>
      <c r="B117" t="str">
        <f t="shared" si="13"/>
        <v>ELFV IV кв. 2022</v>
      </c>
      <c r="C117">
        <v>2022</v>
      </c>
      <c r="D117">
        <f>SUMIFS(Дивиденды!$C:$C,Дивиденды!$A:$A,A117,Дивиденды!$I:$I,C117)</f>
        <v>0</v>
      </c>
      <c r="E117">
        <v>2</v>
      </c>
      <c r="F117">
        <f t="shared" si="14"/>
        <v>0</v>
      </c>
      <c r="G117">
        <f t="shared" si="15"/>
        <v>6.4731666666666673E-2</v>
      </c>
      <c r="H117">
        <f t="shared" si="16"/>
        <v>0</v>
      </c>
      <c r="I117">
        <f t="shared" si="23"/>
        <v>0.66666666666666663</v>
      </c>
      <c r="J117">
        <f t="shared" si="17"/>
        <v>0</v>
      </c>
      <c r="K117">
        <f t="shared" si="21"/>
        <v>-0.16164186159374039</v>
      </c>
      <c r="L117">
        <f t="shared" si="18"/>
        <v>0</v>
      </c>
      <c r="M117">
        <f t="shared" si="22"/>
        <v>0.33333333333333331</v>
      </c>
      <c r="N117">
        <f t="shared" si="19"/>
        <v>0</v>
      </c>
      <c r="O117">
        <f t="shared" si="20"/>
        <v>0.5</v>
      </c>
      <c r="P117">
        <f>IFERROR(LN('Дивиденды по годам'!I117),"")</f>
        <v>24.903097949056466</v>
      </c>
      <c r="Q117">
        <f>IFERROR('Дивиденды по годам'!G117/'Дивиденды по годам'!I117, "")</f>
        <v>0.71322427644270792</v>
      </c>
      <c r="R117">
        <f>IFERROR(IF(AND('Дивиденды по годам'!N117&lt;&gt;"",'Дивиденды по годам'!U117&lt;&gt;"",'Дивиденды по годам'!U117&lt;&gt;0),'Дивиденды по годам'!N117/'Дивиденды по годам'!U117-1,""),"")</f>
        <v>4.6271007492250993E-2</v>
      </c>
      <c r="S117">
        <f>IFERROR(IF(AND('Дивиденды по годам'!L117&lt;&gt;"",'Дивиденды по годам'!I117&lt;&gt;"",'Дивиденды по годам'!J117&lt;&gt;"",'Дивиденды по годам'!K117&lt;&gt;"",('Дивиденды по годам'!I117-'Дивиденды по годам'!J117-'Дивиденды по годам'!K117)&lt;&gt;0),'Дивиденды по годам'!L117/('Дивиденды по годам'!I117-'Дивиденды по годам'!J117-'Дивиденды по годам'!K117),""),"")</f>
        <v>-0.6929649007989892</v>
      </c>
      <c r="T117">
        <f>IFERROR(IF(AND('Дивиденды по годам'!Q117&lt;&gt;"",'Дивиденды по годам'!I117&lt;&gt;"",'Дивиденды по годам'!V117&lt;&gt;"",('Дивиденды по годам'!I117+'Дивиденды по годам'!V117)&lt;&gt;0),'Дивиденды по годам'!Q117/(('Дивиденды по годам'!I117+'Дивиденды по годам'!V117)/2),""),"")</f>
        <v>-0.25776320778102352</v>
      </c>
      <c r="U117">
        <f>IFERROR(IF(AND('Дивиденды по годам'!J117&lt;&gt;"",'Дивиденды по годам'!K117&lt;&gt;"",'Дивиденды по годам'!M117&lt;&gt;"",'Дивиденды по годам'!M117&lt;&gt;0),('Дивиденды по годам'!J117+'Дивиденды по годам'!K117)/'Дивиденды по годам'!M117,""),"")</f>
        <v>1.6319610423140616</v>
      </c>
      <c r="V117" cm="1">
        <f t="array" ref="V117">IFERROR(AVERAGE(_xlfn._xlws.FILTER(P$2:P$1073,($C$2:$C$1073=$C117)*($E$2:$E$1073=$E117)*(ROW(P$2:P$1073)&lt;&gt;ROW(P117))*(P$2:P$1073&lt;&gt;""))),"")</f>
        <v>26.467969552892978</v>
      </c>
      <c r="W117" cm="1">
        <f t="array" ref="W117">IFERROR(AVERAGE(_xlfn._xlws.FILTER(Q$2:Q$1073,($C$2:$C$1073=$C117)*($E$2:$E$1073=$E117)*(ROW(Q$2:Q$1073)&lt;&gt;ROW(Q117))*(Q$2:Q$1073&lt;&gt;""))),"")</f>
        <v>0.70756185394190596</v>
      </c>
      <c r="X117" cm="1">
        <f t="array" ref="X117">IFERROR(AVERAGE(_xlfn._xlws.FILTER(R$2:R$1073,($C$2:$C$1073=$C117)*($E$2:$E$1073=$E117)*(ROW(R$2:R$1073)&lt;&gt;ROW(R117))*(R$2:R$1073&lt;&gt;""))),"")</f>
        <v>7.6751964029055111E-2</v>
      </c>
      <c r="Y117" cm="1">
        <f t="array" ref="Y117">IFERROR(AVERAGE(_xlfn._xlws.FILTER(S$2:S$1073,($C$2:$C$1073=$C117)*($E$2:$E$1073=$E117)*(ROW(S$2:S$1073)&lt;&gt;ROW(S117))*(S$2:S$1073&lt;&gt;""))),"")</f>
        <v>0.64917227469347305</v>
      </c>
      <c r="Z117" cm="1">
        <f t="array" ref="Z117">IFERROR(AVERAGE(_xlfn._xlws.FILTER(T$2:T$1073,($C$2:$C$1073=$C117)*($E$2:$E$1073=$E117)*(ROW(T$2:T$1073)&lt;&gt;ROW(T117))*(T$2:T$1073&lt;&gt;""))),"")</f>
        <v>5.125712485816989E-2</v>
      </c>
      <c r="AA117" cm="1">
        <f t="array" ref="AA117">IFERROR(AVERAGE(_xlfn._xlws.FILTER(U$2:U$1073,($C$2:$C$1073=$C117)*($E$2:$E$1073=$E117)*(ROW(U$2:U$1073)&lt;&gt;ROW(U117))*(U$2:U$1073&lt;&gt;""))),"")</f>
        <v>0.8289262473536142</v>
      </c>
    </row>
    <row r="118" spans="1:27" x14ac:dyDescent="0.2">
      <c r="A118" s="7" t="s">
        <v>2190</v>
      </c>
      <c r="B118" t="str">
        <f t="shared" si="13"/>
        <v>ELFV IV кв. 2021</v>
      </c>
      <c r="C118">
        <v>2021</v>
      </c>
      <c r="D118">
        <f>SUMIFS(Дивиденды!$C:$C,Дивиденды!$A:$A,A118,Дивиденды!$I:$I,C118)</f>
        <v>0</v>
      </c>
      <c r="E118">
        <v>2</v>
      </c>
      <c r="F118">
        <f t="shared" si="14"/>
        <v>0</v>
      </c>
      <c r="G118">
        <f t="shared" si="15"/>
        <v>8.178524999999999E-2</v>
      </c>
      <c r="H118">
        <f t="shared" si="16"/>
        <v>0</v>
      </c>
      <c r="I118">
        <f t="shared" si="23"/>
        <v>0.83333333333333337</v>
      </c>
      <c r="J118">
        <f t="shared" si="17"/>
        <v>0</v>
      </c>
      <c r="K118">
        <f t="shared" si="21"/>
        <v>0.16387618392405565</v>
      </c>
      <c r="L118">
        <f t="shared" si="18"/>
        <v>0</v>
      </c>
      <c r="M118">
        <f t="shared" si="22"/>
        <v>0.66666666666666663</v>
      </c>
      <c r="N118">
        <f t="shared" si="19"/>
        <v>0</v>
      </c>
      <c r="O118">
        <f t="shared" si="20"/>
        <v>0.25</v>
      </c>
      <c r="P118">
        <f>IFERROR(LN('Дивиденды по годам'!I118),"")</f>
        <v>25.239826828295676</v>
      </c>
      <c r="Q118">
        <f>IFERROR('Дивиденды по годам'!G118/'Дивиденды по годам'!I118, "")</f>
        <v>0.76243865064409688</v>
      </c>
      <c r="R118">
        <f>IFERROR(IF(AND('Дивиденды по годам'!N118&lt;&gt;"",'Дивиденды по годам'!U118&lt;&gt;"",'Дивиденды по годам'!U118&lt;&gt;0),'Дивиденды по годам'!N118/'Дивиденды по годам'!U118-1,""),"")</f>
        <v>9.5649261923435036E-2</v>
      </c>
      <c r="S118">
        <f>IFERROR(IF(AND('Дивиденды по годам'!L118&lt;&gt;"",'Дивиденды по годам'!I118&lt;&gt;"",'Дивиденды по годам'!J118&lt;&gt;"",'Дивиденды по годам'!K118&lt;&gt;"",('Дивиденды по годам'!I118-'Дивиденды по годам'!J118-'Дивиденды по годам'!K118)&lt;&gt;0),'Дивиденды по годам'!L118/('Дивиденды по годам'!I118-'Дивиденды по годам'!J118-'Дивиденды по годам'!K118),""),"")</f>
        <v>2.3150476324480574E-2</v>
      </c>
      <c r="T118">
        <f>IFERROR(IF(AND('Дивиденды по годам'!Q118&lt;&gt;"",'Дивиденды по годам'!I118&lt;&gt;"",'Дивиденды по годам'!V118&lt;&gt;"",('Дивиденды по годам'!I118+'Дивиденды по годам'!V118)&lt;&gt;0),'Дивиденды по годам'!Q118/(('Дивиденды по годам'!I118+'Дивиденды по годам'!V118)/2),""),"")</f>
        <v>3.0664453994463534E-2</v>
      </c>
      <c r="U118">
        <f>IFERROR(IF(AND('Дивиденды по годам'!J118&lt;&gt;"",'Дивиденды по годам'!K118&lt;&gt;"",'Дивиденды по годам'!M118&lt;&gt;"",'Дивиденды по годам'!M118&lt;&gt;0),('Дивиденды по годам'!J118+'Дивиденды по годам'!K118)/'Дивиденды по годам'!M118,""),"")</f>
        <v>1.1334211361766247</v>
      </c>
      <c r="V118" cm="1">
        <f t="array" ref="V118">IFERROR(AVERAGE(_xlfn._xlws.FILTER(P$2:P$1073,($C$2:$C$1073=$C118)*($E$2:$E$1073=$E118)*(ROW(P$2:P$1073)&lt;&gt;ROW(P118))*(P$2:P$1073&lt;&gt;""))),"")</f>
        <v>25.995404596130534</v>
      </c>
      <c r="W118" cm="1">
        <f t="array" ref="W118">IFERROR(AVERAGE(_xlfn._xlws.FILTER(Q$2:Q$1073,($C$2:$C$1073=$C118)*($E$2:$E$1073=$E118)*(ROW(Q$2:Q$1073)&lt;&gt;ROW(Q118))*(Q$2:Q$1073&lt;&gt;""))),"")</f>
        <v>0.77071603374293363</v>
      </c>
      <c r="X118" cm="1">
        <f t="array" ref="X118">IFERROR(AVERAGE(_xlfn._xlws.FILTER(R$2:R$1073,($C$2:$C$1073=$C118)*($E$2:$E$1073=$E118)*(ROW(R$2:R$1073)&lt;&gt;ROW(R118))*(R$2:R$1073&lt;&gt;""))),"")</f>
        <v>0.12983824430514754</v>
      </c>
      <c r="Y118" cm="1">
        <f t="array" ref="Y118">IFERROR(AVERAGE(_xlfn._xlws.FILTER(S$2:S$1073,($C$2:$C$1073=$C118)*($E$2:$E$1073=$E118)*(ROW(S$2:S$1073)&lt;&gt;ROW(S118))*(S$2:S$1073&lt;&gt;""))),"")</f>
        <v>0.54899274750875215</v>
      </c>
      <c r="Z118" cm="1">
        <f t="array" ref="Z118">IFERROR(AVERAGE(_xlfn._xlws.FILTER(T$2:T$1073,($C$2:$C$1073=$C118)*($E$2:$E$1073=$E118)*(ROW(T$2:T$1073)&lt;&gt;ROW(T118))*(T$2:T$1073&lt;&gt;""))),"")</f>
        <v>3.7011689540205277E-2</v>
      </c>
      <c r="AA118" cm="1">
        <f t="array" ref="AA118">IFERROR(AVERAGE(_xlfn._xlws.FILTER(U$2:U$1073,($C$2:$C$1073=$C118)*($E$2:$E$1073=$E118)*(ROW(U$2:U$1073)&lt;&gt;ROW(U118))*(U$2:U$1073&lt;&gt;""))),"")</f>
        <v>0.67295271890317832</v>
      </c>
    </row>
    <row r="119" spans="1:27" x14ac:dyDescent="0.2">
      <c r="A119" s="7" t="s">
        <v>2190</v>
      </c>
      <c r="B119" t="str">
        <f t="shared" si="13"/>
        <v>ELFV IV кв. 2020</v>
      </c>
      <c r="C119">
        <v>2020</v>
      </c>
      <c r="D119">
        <f>SUMIFS(Дивиденды!$C:$C,Дивиденды!$A:$A,A119,Дивиденды!$I:$I,C119)</f>
        <v>0</v>
      </c>
      <c r="E119">
        <v>2</v>
      </c>
      <c r="F119">
        <f t="shared" si="14"/>
        <v>0</v>
      </c>
      <c r="G119">
        <f t="shared" si="15"/>
        <v>6.9905916666666665E-2</v>
      </c>
      <c r="H119">
        <f t="shared" si="16"/>
        <v>0</v>
      </c>
      <c r="I119">
        <f t="shared" si="23"/>
        <v>0.83333333333333337</v>
      </c>
      <c r="J119">
        <f t="shared" si="17"/>
        <v>-1</v>
      </c>
      <c r="K119">
        <f t="shared" si="21"/>
        <v>-2.2906983693792141E-3</v>
      </c>
      <c r="L119">
        <f t="shared" si="18"/>
        <v>0</v>
      </c>
      <c r="M119">
        <f t="shared" si="22"/>
        <v>0.58333333333333337</v>
      </c>
      <c r="N119">
        <f t="shared" si="19"/>
        <v>1</v>
      </c>
      <c r="O119">
        <f t="shared" si="20"/>
        <v>0.41666666666666669</v>
      </c>
      <c r="P119">
        <f>IFERROR(LN('Дивиденды по годам'!I119),"")</f>
        <v>25.063652056347621</v>
      </c>
      <c r="Q119">
        <f>IFERROR('Дивиденды по годам'!G119/'Дивиденды по годам'!I119, "")</f>
        <v>0.69167542024711859</v>
      </c>
      <c r="R119">
        <f>IFERROR(IF(AND('Дивиденды по годам'!N119&lt;&gt;"",'Дивиденды по годам'!U119&lt;&gt;"",'Дивиденды по годам'!U119&lt;&gt;0),'Дивиденды по годам'!N119/'Дивиденды по годам'!U119-1,""),"")</f>
        <v>-0.33110151109496833</v>
      </c>
      <c r="S119">
        <f>IFERROR(IF(AND('Дивиденды по годам'!L119&lt;&gt;"",'Дивиденды по годам'!I119&lt;&gt;"",'Дивиденды по годам'!J119&lt;&gt;"",'Дивиденды по годам'!K119&lt;&gt;"",('Дивиденды по годам'!I119-'Дивиденды по годам'!J119-'Дивиденды по годам'!K119)&lt;&gt;0),'Дивиденды по годам'!L119/('Дивиденды по годам'!I119-'Дивиденды по годам'!J119-'Дивиденды по годам'!K119),""),"")</f>
        <v>-4.2749356515657561E-2</v>
      </c>
      <c r="T119">
        <f>IFERROR(IF(AND('Дивиденды по годам'!Q119&lt;&gt;"",'Дивиденды по годам'!I119&lt;&gt;"",'Дивиденды по годам'!V119&lt;&gt;"",('Дивиденды по годам'!I119+'Дивиденды по годам'!V119)&lt;&gt;0),'Дивиденды по годам'!Q119/(('Дивиденды по годам'!I119+'Дивиденды по годам'!V119)/2),""),"")</f>
        <v>4.9391214983644384E-2</v>
      </c>
      <c r="U119">
        <f>IFERROR(IF(AND('Дивиденды по годам'!J119&lt;&gt;"",'Дивиденды по годам'!K119&lt;&gt;"",'Дивиденды по годам'!M119&lt;&gt;"",'Дивиденды по годам'!M119&lt;&gt;0),('Дивиденды по годам'!J119+'Дивиденды по годам'!K119)/'Дивиденды по годам'!M119,""),"")</f>
        <v>0.8918677824118002</v>
      </c>
      <c r="V119" cm="1">
        <f t="array" ref="V119">IFERROR(AVERAGE(_xlfn._xlws.FILTER(P$2:P$1073,($C$2:$C$1073=$C119)*($E$2:$E$1073=$E119)*(ROW(P$2:P$1073)&lt;&gt;ROW(P119))*(P$2:P$1073&lt;&gt;""))),"")</f>
        <v>26.265581106971336</v>
      </c>
      <c r="W119" cm="1">
        <f t="array" ref="W119">IFERROR(AVERAGE(_xlfn._xlws.FILTER(Q$2:Q$1073,($C$2:$C$1073=$C119)*($E$2:$E$1073=$E119)*(ROW(Q$2:Q$1073)&lt;&gt;ROW(Q119))*(Q$2:Q$1073&lt;&gt;""))),"")</f>
        <v>0.7494102705821698</v>
      </c>
      <c r="X119" cm="1">
        <f t="array" ref="X119">IFERROR(AVERAGE(_xlfn._xlws.FILTER(R$2:R$1073,($C$2:$C$1073=$C119)*($E$2:$E$1073=$E119)*(ROW(R$2:R$1073)&lt;&gt;ROW(R119))*(R$2:R$1073&lt;&gt;""))),"")</f>
        <v>-4.1950154107860287E-2</v>
      </c>
      <c r="Y119" cm="1">
        <f t="array" ref="Y119">IFERROR(AVERAGE(_xlfn._xlws.FILTER(S$2:S$1073,($C$2:$C$1073=$C119)*($E$2:$E$1073=$E119)*(ROW(S$2:S$1073)&lt;&gt;ROW(S119))*(S$2:S$1073&lt;&gt;""))),"")</f>
        <v>0.52840523671364126</v>
      </c>
      <c r="Z119" cm="1">
        <f t="array" ref="Z119">IFERROR(AVERAGE(_xlfn._xlws.FILTER(T$2:T$1073,($C$2:$C$1073=$C119)*($E$2:$E$1073=$E119)*(ROW(T$2:T$1073)&lt;&gt;ROW(T119))*(T$2:T$1073&lt;&gt;""))),"")</f>
        <v>4.2090339105536195E-2</v>
      </c>
      <c r="AA119" cm="1">
        <f t="array" ref="AA119">IFERROR(AVERAGE(_xlfn._xlws.FILTER(U$2:U$1073,($C$2:$C$1073=$C119)*($E$2:$E$1073=$E119)*(ROW(U$2:U$1073)&lt;&gt;ROW(U119))*(U$2:U$1073&lt;&gt;""))),"")</f>
        <v>0.64020820540115519</v>
      </c>
    </row>
    <row r="120" spans="1:27" x14ac:dyDescent="0.2">
      <c r="A120" s="7" t="s">
        <v>2190</v>
      </c>
      <c r="B120" t="str">
        <f t="shared" si="13"/>
        <v>ELFV IV кв. 2019</v>
      </c>
      <c r="C120">
        <v>2019</v>
      </c>
      <c r="D120">
        <f>SUMIFS(Дивиденды!$C:$C,Дивиденды!$A:$A,A120,Дивиденды!$I:$I,C120)</f>
        <v>8.5000000000000006E-2</v>
      </c>
      <c r="E120">
        <v>2</v>
      </c>
      <c r="F120">
        <f t="shared" si="14"/>
        <v>8.5000000000000006E-2</v>
      </c>
      <c r="G120">
        <f t="shared" si="15"/>
        <v>6.4225333333333329E-2</v>
      </c>
      <c r="H120">
        <f t="shared" si="16"/>
        <v>1</v>
      </c>
      <c r="I120">
        <f t="shared" si="23"/>
        <v>1</v>
      </c>
      <c r="J120">
        <f t="shared" si="17"/>
        <v>-0.39285714285714285</v>
      </c>
      <c r="K120">
        <f t="shared" si="21"/>
        <v>0.2048308529080162</v>
      </c>
      <c r="L120">
        <f t="shared" si="18"/>
        <v>0</v>
      </c>
      <c r="M120">
        <f t="shared" si="22"/>
        <v>0.5</v>
      </c>
      <c r="N120">
        <f t="shared" si="19"/>
        <v>1</v>
      </c>
      <c r="O120">
        <f t="shared" si="20"/>
        <v>0.41666666666666669</v>
      </c>
      <c r="P120">
        <f>IFERROR(LN('Дивиденды по годам'!I120),"")</f>
        <v>24.972427499745269</v>
      </c>
      <c r="Q120">
        <f>IFERROR('Дивиденды по годам'!G120/'Дивиденды по годам'!I120, "")</f>
        <v>0.58668880238623777</v>
      </c>
      <c r="R120">
        <f>IFERROR(IF(AND('Дивиденды по годам'!N120&lt;&gt;"",'Дивиденды по годам'!U120&lt;&gt;"",'Дивиденды по годам'!U120&lt;&gt;0),'Дивиденды по годам'!N120/'Дивиденды по годам'!U120-1,""),"")</f>
        <v>-0.10141449175174067</v>
      </c>
      <c r="S120">
        <f>IFERROR(IF(AND('Дивиденды по годам'!L120&lt;&gt;"",'Дивиденды по годам'!I120&lt;&gt;"",'Дивиденды по годам'!J120&lt;&gt;"",'Дивиденды по годам'!K120&lt;&gt;"",('Дивиденды по годам'!I120-'Дивиденды по годам'!J120-'Дивиденды по годам'!K120)&lt;&gt;0),'Дивиденды по годам'!L120/('Дивиденды по годам'!I120-'Дивиденды по годам'!J120-'Дивиденды по годам'!K120),""),"")</f>
        <v>-6.13346471069404E-2</v>
      </c>
      <c r="T120">
        <f>IFERROR(IF(AND('Дивиденды по годам'!Q120&lt;&gt;"",'Дивиденды по годам'!I120&lt;&gt;"",'Дивиденды по годам'!V120&lt;&gt;"",('Дивиденды по годам'!I120+'Дивиденды по годам'!V120)&lt;&gt;0),'Дивиденды по годам'!Q120/(('Дивиденды по годам'!I120+'Дивиденды по годам'!V120)/2),""),"")</f>
        <v>1.1638738079695477E-2</v>
      </c>
      <c r="U120">
        <f>IFERROR(IF(AND('Дивиденды по годам'!J120&lt;&gt;"",'Дивиденды по годам'!K120&lt;&gt;"",'Дивиденды по годам'!M120&lt;&gt;"",'Дивиденды по годам'!M120&lt;&gt;0),('Дивиденды по годам'!J120+'Дивиденды по годам'!K120)/'Дивиденды по годам'!M120,""),"")</f>
        <v>0.83239778062389191</v>
      </c>
      <c r="V120" cm="1">
        <f t="array" ref="V120">IFERROR(AVERAGE(_xlfn._xlws.FILTER(P$2:P$1073,($C$2:$C$1073=$C120)*($E$2:$E$1073=$E120)*(ROW(P$2:P$1073)&lt;&gt;ROW(P120))*(P$2:P$1073&lt;&gt;""))),"")</f>
        <v>26.23012234673833</v>
      </c>
      <c r="W120" cm="1">
        <f t="array" ref="W120">IFERROR(AVERAGE(_xlfn._xlws.FILTER(Q$2:Q$1073,($C$2:$C$1073=$C120)*($E$2:$E$1073=$E120)*(ROW(Q$2:Q$1073)&lt;&gt;ROW(Q120))*(Q$2:Q$1073&lt;&gt;""))),"")</f>
        <v>0.74952061241240975</v>
      </c>
      <c r="X120" cm="1">
        <f t="array" ref="X120">IFERROR(AVERAGE(_xlfn._xlws.FILTER(R$2:R$1073,($C$2:$C$1073=$C120)*($E$2:$E$1073=$E120)*(ROW(R$2:R$1073)&lt;&gt;ROW(R120))*(R$2:R$1073&lt;&gt;""))),"")</f>
        <v>1.2222618040345717E-2</v>
      </c>
      <c r="Y120" cm="1">
        <f t="array" ref="Y120">IFERROR(AVERAGE(_xlfn._xlws.FILTER(S$2:S$1073,($C$2:$C$1073=$C120)*($E$2:$E$1073=$E120)*(ROW(S$2:S$1073)&lt;&gt;ROW(S120))*(S$2:S$1073&lt;&gt;""))),"")</f>
        <v>0.51863777498925445</v>
      </c>
      <c r="Z120" cm="1">
        <f t="array" ref="Z120">IFERROR(AVERAGE(_xlfn._xlws.FILTER(T$2:T$1073,($C$2:$C$1073=$C120)*($E$2:$E$1073=$E120)*(ROW(T$2:T$1073)&lt;&gt;ROW(T120))*(T$2:T$1073&lt;&gt;""))),"")</f>
        <v>5.532658950115165E-2</v>
      </c>
      <c r="AA120" cm="1">
        <f t="array" ref="AA120">IFERROR(AVERAGE(_xlfn._xlws.FILTER(U$2:U$1073,($C$2:$C$1073=$C120)*($E$2:$E$1073=$E120)*(ROW(U$2:U$1073)&lt;&gt;ROW(U120))*(U$2:U$1073&lt;&gt;""))),"")</f>
        <v>0.65149220172262645</v>
      </c>
    </row>
    <row r="121" spans="1:27" x14ac:dyDescent="0.2">
      <c r="A121" s="7" t="s">
        <v>2190</v>
      </c>
      <c r="B121" t="str">
        <f t="shared" si="13"/>
        <v>ELFV IV кв. 2018</v>
      </c>
      <c r="C121">
        <v>2018</v>
      </c>
      <c r="D121">
        <f>SUMIFS(Дивиденды!$C:$C,Дивиденды!$A:$A,A121,Дивиденды!$I:$I,C121)</f>
        <v>0.14000000000000001</v>
      </c>
      <c r="E121">
        <v>2</v>
      </c>
      <c r="F121">
        <f t="shared" si="14"/>
        <v>0.14000000000000001</v>
      </c>
      <c r="G121">
        <f t="shared" si="15"/>
        <v>6.8903749999999986E-2</v>
      </c>
      <c r="H121">
        <f t="shared" si="16"/>
        <v>1</v>
      </c>
      <c r="I121">
        <f t="shared" si="23"/>
        <v>1</v>
      </c>
      <c r="J121">
        <f t="shared" si="17"/>
        <v>0</v>
      </c>
      <c r="K121">
        <f t="shared" si="21"/>
        <v>0.19625836163091881</v>
      </c>
      <c r="L121">
        <f t="shared" si="18"/>
        <v>0</v>
      </c>
      <c r="M121">
        <f t="shared" si="22"/>
        <v>0.66666666666666663</v>
      </c>
      <c r="N121">
        <f t="shared" si="19"/>
        <v>0</v>
      </c>
      <c r="O121">
        <f t="shared" si="20"/>
        <v>0.25</v>
      </c>
      <c r="P121">
        <f>IFERROR(LN('Дивиденды по годам'!I121),"")</f>
        <v>25.152437771837665</v>
      </c>
      <c r="Q121">
        <f>IFERROR('Дивиденды по годам'!G121/'Дивиденды по годам'!I121, "")</f>
        <v>0.7510716451901992</v>
      </c>
      <c r="R121">
        <f>IFERROR(IF(AND('Дивиденды по годам'!N121&lt;&gt;"",'Дивиденды по годам'!U121&lt;&gt;"",'Дивиденды по годам'!U121&lt;&gt;0),'Дивиденды по годам'!N121/'Дивиденды по годам'!U121-1,""),"")</f>
        <v>-1.5254998041396406E-2</v>
      </c>
      <c r="S121">
        <f>IFERROR(IF(AND('Дивиденды по годам'!L121&lt;&gt;"",'Дивиденды по годам'!I121&lt;&gt;"",'Дивиденды по годам'!J121&lt;&gt;"",'Дивиденды по годам'!K121&lt;&gt;"",('Дивиденды по годам'!I121-'Дивиденды по годам'!J121-'Дивиденды по годам'!K121)&lt;&gt;0),'Дивиденды по годам'!L121/('Дивиденды по годам'!I121-'Дивиденды по годам'!J121-'Дивиденды по годам'!K121),""),"")</f>
        <v>4.4630601999348825E-2</v>
      </c>
      <c r="T121">
        <f>IFERROR(IF(AND('Дивиденды по годам'!Q121&lt;&gt;"",'Дивиденды по годам'!I121&lt;&gt;"",'Дивиденды по годам'!V121&lt;&gt;"",('Дивиденды по годам'!I121+'Дивиденды по годам'!V121)&lt;&gt;0),'Дивиденды по годам'!Q121/(('Дивиденды по годам'!I121+'Дивиденды по годам'!V121)/2),""),"")</f>
        <v>9.3399836288925772E-2</v>
      </c>
      <c r="U121">
        <f>IFERROR(IF(AND('Дивиденды по годам'!J121&lt;&gt;"",'Дивиденды по годам'!K121&lt;&gt;"",'Дивиденды по годам'!M121&lt;&gt;"",'Дивиденды по годам'!M121&lt;&gt;0),('Дивиденды по годам'!J121+'Дивиденды по годам'!K121)/'Дивиденды по годам'!M121,""),"")</f>
        <v>0.8838483050722955</v>
      </c>
      <c r="V121" cm="1">
        <f t="array" ref="V121">IFERROR(AVERAGE(_xlfn._xlws.FILTER(P$2:P$1073,($C$2:$C$1073=$C121)*($E$2:$E$1073=$E121)*(ROW(P$2:P$1073)&lt;&gt;ROW(P121))*(P$2:P$1073&lt;&gt;""))),"")</f>
        <v>26.157555533535874</v>
      </c>
      <c r="W121" cm="1">
        <f t="array" ref="W121">IFERROR(AVERAGE(_xlfn._xlws.FILTER(Q$2:Q$1073,($C$2:$C$1073=$C121)*($E$2:$E$1073=$E121)*(ROW(Q$2:Q$1073)&lt;&gt;ROW(Q121))*(Q$2:Q$1073&lt;&gt;""))),"")</f>
        <v>0.75335985190247312</v>
      </c>
      <c r="X121" cm="1">
        <f t="array" ref="X121">IFERROR(AVERAGE(_xlfn._xlws.FILTER(R$2:R$1073,($C$2:$C$1073=$C121)*($E$2:$E$1073=$E121)*(ROW(R$2:R$1073)&lt;&gt;ROW(R121))*(R$2:R$1073&lt;&gt;""))),"")</f>
        <v>5.5654398540226115E-2</v>
      </c>
      <c r="Y121" cm="1">
        <f t="array" ref="Y121">IFERROR(AVERAGE(_xlfn._xlws.FILTER(S$2:S$1073,($C$2:$C$1073=$C121)*($E$2:$E$1073=$E121)*(ROW(S$2:S$1073)&lt;&gt;ROW(S121))*(S$2:S$1073&lt;&gt;""))),"")</f>
        <v>0.4993913355499644</v>
      </c>
      <c r="Z121" cm="1">
        <f t="array" ref="Z121">IFERROR(AVERAGE(_xlfn._xlws.FILTER(T$2:T$1073,($C$2:$C$1073=$C121)*($E$2:$E$1073=$E121)*(ROW(T$2:T$1073)&lt;&gt;ROW(T121))*(T$2:T$1073&lt;&gt;""))),"")</f>
        <v>6.6329108159860956E-2</v>
      </c>
      <c r="AA121" cm="1">
        <f t="array" ref="AA121">IFERROR(AVERAGE(_xlfn._xlws.FILTER(U$2:U$1073,($C$2:$C$1073=$C121)*($E$2:$E$1073=$E121)*(ROW(U$2:U$1073)&lt;&gt;ROW(U121))*(U$2:U$1073&lt;&gt;""))),"")</f>
        <v>0.61097783469722489</v>
      </c>
    </row>
    <row r="122" spans="1:27" x14ac:dyDescent="0.2">
      <c r="A122" s="7" t="s">
        <v>2190</v>
      </c>
      <c r="B122" t="str">
        <f t="shared" si="13"/>
        <v>ELFV IV кв. 2017</v>
      </c>
      <c r="C122">
        <v>2017</v>
      </c>
      <c r="D122">
        <f>SUMIFS(Дивиденды!$C:$C,Дивиденды!$A:$A,A122,Дивиденды!$I:$I,C122)</f>
        <v>0.14000000000000001</v>
      </c>
      <c r="E122">
        <v>2</v>
      </c>
      <c r="F122">
        <f t="shared" si="14"/>
        <v>0.14000000000000001</v>
      </c>
      <c r="G122">
        <f t="shared" si="15"/>
        <v>6.0442166666666665E-2</v>
      </c>
      <c r="H122">
        <f t="shared" si="16"/>
        <v>1</v>
      </c>
      <c r="I122">
        <f t="shared" si="23"/>
        <v>1</v>
      </c>
      <c r="J122">
        <f t="shared" si="17"/>
        <v>1.0527859237536661</v>
      </c>
      <c r="K122">
        <f t="shared" si="21"/>
        <v>0.55401747729414474</v>
      </c>
      <c r="L122">
        <f t="shared" si="18"/>
        <v>1</v>
      </c>
      <c r="M122">
        <f t="shared" si="22"/>
        <v>0.75</v>
      </c>
      <c r="N122">
        <f t="shared" si="19"/>
        <v>0</v>
      </c>
      <c r="O122">
        <f t="shared" si="20"/>
        <v>0.25</v>
      </c>
      <c r="P122">
        <f>IFERROR(LN('Дивиденды по годам'!I122),"")</f>
        <v>25.117599898576145</v>
      </c>
      <c r="Q122">
        <f>IFERROR('Дивиденды по годам'!G122/'Дивиденды по годам'!I122, "")</f>
        <v>0.74369813276535357</v>
      </c>
      <c r="R122">
        <f>IFERROR(IF(AND('Дивиденды по годам'!N122&lt;&gt;"",'Дивиденды по годам'!U122&lt;&gt;"",'Дивиденды по годам'!U122&lt;&gt;0),'Дивиденды по годам'!N122/'Дивиденды по годам'!U122-1,""),"")</f>
        <v>3.0307515450885392E-2</v>
      </c>
      <c r="S122">
        <f>IFERROR(IF(AND('Дивиденды по годам'!L122&lt;&gt;"",'Дивиденды по годам'!I122&lt;&gt;"",'Дивиденды по годам'!J122&lt;&gt;"",'Дивиденды по годам'!K122&lt;&gt;"",('Дивиденды по годам'!I122-'Дивиденды по годам'!J122-'Дивиденды по годам'!K122)&lt;&gt;0),'Дивиденды по годам'!L122/('Дивиденды по годам'!I122-'Дивиденды по годам'!J122-'Дивиденды по годам'!K122),""),"")</f>
        <v>-1.409860487931913E-2</v>
      </c>
      <c r="T122">
        <f>IFERROR(IF(AND('Дивиденды по годам'!Q122&lt;&gt;"",'Дивиденды по годам'!I122&lt;&gt;"",'Дивиденды по годам'!V122&lt;&gt;"",('Дивиденды по годам'!I122+'Дивиденды по годам'!V122)&lt;&gt;0),'Дивиденды по годам'!Q122/(('Дивиденды по годам'!I122+'Дивиденды по годам'!V122)/2),""),"")</f>
        <v>0.1079507836980199</v>
      </c>
      <c r="U122">
        <f>IFERROR(IF(AND('Дивиденды по годам'!J122&lt;&gt;"",'Дивиденды по годам'!K122&lt;&gt;"",'Дивиденды по годам'!M122&lt;&gt;"",'Дивиденды по годам'!M122&lt;&gt;0),('Дивиденды по годам'!J122+'Дивиденды по годам'!K122)/'Дивиденды по годам'!M122,""),"")</f>
        <v>0.96056325767697881</v>
      </c>
      <c r="V122" cm="1">
        <f t="array" ref="V122">IFERROR(AVERAGE(_xlfn._xlws.FILTER(P$2:P$1073,($C$2:$C$1073=$C122)*($E$2:$E$1073=$E122)*(ROW(P$2:P$1073)&lt;&gt;ROW(P122))*(P$2:P$1073&lt;&gt;""))),"")</f>
        <v>26.127846138291485</v>
      </c>
      <c r="W122" cm="1">
        <f t="array" ref="W122">IFERROR(AVERAGE(_xlfn._xlws.FILTER(Q$2:Q$1073,($C$2:$C$1073=$C122)*($E$2:$E$1073=$E122)*(ROW(Q$2:Q$1073)&lt;&gt;ROW(Q122))*(Q$2:Q$1073&lt;&gt;""))),"")</f>
        <v>0.76148414340283199</v>
      </c>
      <c r="X122" cm="1">
        <f t="array" ref="X122">IFERROR(AVERAGE(_xlfn._xlws.FILTER(R$2:R$1073,($C$2:$C$1073=$C122)*($E$2:$E$1073=$E122)*(ROW(R$2:R$1073)&lt;&gt;ROW(R122))*(R$2:R$1073&lt;&gt;""))),"")</f>
        <v>4.7184963668004905E-2</v>
      </c>
      <c r="Y122" cm="1">
        <f t="array" ref="Y122">IFERROR(AVERAGE(_xlfn._xlws.FILTER(S$2:S$1073,($C$2:$C$1073=$C122)*($E$2:$E$1073=$E122)*(ROW(S$2:S$1073)&lt;&gt;ROW(S122))*(S$2:S$1073&lt;&gt;""))),"")</f>
        <v>0.45668530370257104</v>
      </c>
      <c r="Z122" cm="1">
        <f t="array" ref="Z122">IFERROR(AVERAGE(_xlfn._xlws.FILTER(T$2:T$1073,($C$2:$C$1073=$C122)*($E$2:$E$1073=$E122)*(ROW(T$2:T$1073)&lt;&gt;ROW(T122))*(T$2:T$1073&lt;&gt;""))),"")</f>
        <v>7.9371624497737395E-2</v>
      </c>
      <c r="AA122" cm="1">
        <f t="array" ref="AA122">IFERROR(AVERAGE(_xlfn._xlws.FILTER(U$2:U$1073,($C$2:$C$1073=$C122)*($E$2:$E$1073=$E122)*(ROW(U$2:U$1073)&lt;&gt;ROW(U122))*(U$2:U$1073&lt;&gt;""))),"")</f>
        <v>0.60386286369874764</v>
      </c>
    </row>
    <row r="123" spans="1:27" x14ac:dyDescent="0.2">
      <c r="A123" s="7" t="s">
        <v>2190</v>
      </c>
      <c r="B123" t="str">
        <f t="shared" si="13"/>
        <v>ELFV IV кв. 2016</v>
      </c>
      <c r="C123">
        <v>2016</v>
      </c>
      <c r="D123">
        <f>SUMIFS(Дивиденды!$C:$C,Дивиденды!$A:$A,A123,Дивиденды!$I:$I,C123)</f>
        <v>6.8199999999999997E-2</v>
      </c>
      <c r="E123">
        <v>2</v>
      </c>
      <c r="F123">
        <f t="shared" si="14"/>
        <v>6.8199999999999997E-2</v>
      </c>
      <c r="G123">
        <f t="shared" si="15"/>
        <v>5.1711833333333325E-2</v>
      </c>
      <c r="H123">
        <f t="shared" si="16"/>
        <v>1</v>
      </c>
      <c r="I123">
        <f t="shared" si="23"/>
        <v>1</v>
      </c>
      <c r="J123">
        <f t="shared" si="17"/>
        <v>1</v>
      </c>
      <c r="K123">
        <f t="shared" si="21"/>
        <v>1.3237367044724768</v>
      </c>
      <c r="L123">
        <f t="shared" si="18"/>
        <v>1</v>
      </c>
      <c r="M123">
        <f t="shared" si="22"/>
        <v>0.83333333333333337</v>
      </c>
      <c r="N123">
        <f t="shared" si="19"/>
        <v>0</v>
      </c>
      <c r="O123">
        <f t="shared" si="20"/>
        <v>0.16666666666666666</v>
      </c>
      <c r="P123">
        <f>IFERROR(LN('Дивиденды по годам'!I123),"")</f>
        <v>25.071069708879101</v>
      </c>
      <c r="Q123">
        <f>IFERROR('Дивиденды по годам'!G123/'Дивиденды по годам'!I123, "")</f>
        <v>0.7310682032791298</v>
      </c>
      <c r="R123">
        <f>IFERROR(IF(AND('Дивиденды по годам'!N123&lt;&gt;"",'Дивиденды по годам'!U123&lt;&gt;"",'Дивиденды по годам'!U123&lt;&gt;0),'Дивиденды по годам'!N123/'Дивиденды по годам'!U123-1,""),"")</f>
        <v>1.7174621306279114E-2</v>
      </c>
      <c r="S123">
        <f>IFERROR(IF(AND('Дивиденды по годам'!L123&lt;&gt;"",'Дивиденды по годам'!I123&lt;&gt;"",'Дивиденды по годам'!J123&lt;&gt;"",'Дивиденды по годам'!K123&lt;&gt;"",('Дивиденды по годам'!I123-'Дивиденды по годам'!J123-'Дивиденды по годам'!K123)&lt;&gt;0),'Дивиденды по годам'!L123/('Дивиденды по годам'!I123-'Дивиденды по годам'!J123-'Дивиденды по годам'!K123),""),"")</f>
        <v>-0.18961351962027212</v>
      </c>
      <c r="T123">
        <f>IFERROR(IF(AND('Дивиденды по годам'!Q123&lt;&gt;"",'Дивиденды по годам'!I123&lt;&gt;"",'Дивиденды по годам'!V123&lt;&gt;"",('Дивиденды по годам'!I123+'Дивиденды по годам'!V123)&lt;&gt;0),'Дивиденды по годам'!Q123/(('Дивиденды по годам'!I123+'Дивиденды по годам'!V123)/2),""),"")</f>
        <v>5.3606244480413852E-2</v>
      </c>
      <c r="U123">
        <f>IFERROR(IF(AND('Дивиденды по годам'!J123&lt;&gt;"",'Дивиденды по годам'!K123&lt;&gt;"",'Дивиденды по годам'!M123&lt;&gt;"",'Дивиденды по годам'!M123&lt;&gt;0),('Дивиденды по годам'!J123+'Дивиденды по годам'!K123)/'Дивиденды по годам'!M123,""),"")</f>
        <v>1.1914539401767081</v>
      </c>
      <c r="V123" cm="1">
        <f t="array" ref="V123">IFERROR(AVERAGE(_xlfn._xlws.FILTER(P$2:P$1073,($C$2:$C$1073=$C123)*($E$2:$E$1073=$E123)*(ROW(P$2:P$1073)&lt;&gt;ROW(P123))*(P$2:P$1073&lt;&gt;""))),"")</f>
        <v>26.085916894295679</v>
      </c>
      <c r="W123" cm="1">
        <f t="array" ref="W123">IFERROR(AVERAGE(_xlfn._xlws.FILTER(Q$2:Q$1073,($C$2:$C$1073=$C123)*($E$2:$E$1073=$E123)*(ROW(Q$2:Q$1073)&lt;&gt;ROW(Q123))*(Q$2:Q$1073&lt;&gt;""))),"")</f>
        <v>0.71503169647972864</v>
      </c>
      <c r="X123" cm="1">
        <f t="array" ref="X123">IFERROR(AVERAGE(_xlfn._xlws.FILTER(R$2:R$1073,($C$2:$C$1073=$C123)*($E$2:$E$1073=$E123)*(ROW(R$2:R$1073)&lt;&gt;ROW(R123))*(R$2:R$1073&lt;&gt;""))),"")</f>
        <v>0.12387411831585479</v>
      </c>
      <c r="Y123" cm="1">
        <f t="array" ref="Y123">IFERROR(AVERAGE(_xlfn._xlws.FILTER(S$2:S$1073,($C$2:$C$1073=$C123)*($E$2:$E$1073=$E123)*(ROW(S$2:S$1073)&lt;&gt;ROW(S123))*(S$2:S$1073&lt;&gt;""))),"")</f>
        <v>0.46330210881458472</v>
      </c>
      <c r="Z123" cm="1">
        <f t="array" ref="Z123">IFERROR(AVERAGE(_xlfn._xlws.FILTER(T$2:T$1073,($C$2:$C$1073=$C123)*($E$2:$E$1073=$E123)*(ROW(T$2:T$1073)&lt;&gt;ROW(T123))*(T$2:T$1073&lt;&gt;""))),"")</f>
        <v>3.9677726507472547E-2</v>
      </c>
      <c r="AA123" cm="1">
        <f t="array" ref="AA123">IFERROR(AVERAGE(_xlfn._xlws.FILTER(U$2:U$1073,($C$2:$C$1073=$C123)*($E$2:$E$1073=$E123)*(ROW(U$2:U$1073)&lt;&gt;ROW(U123))*(U$2:U$1073&lt;&gt;""))),"")</f>
        <v>0.68750288595097075</v>
      </c>
    </row>
    <row r="124" spans="1:27" x14ac:dyDescent="0.2">
      <c r="A124" s="7" t="s">
        <v>2190</v>
      </c>
      <c r="B124" t="str">
        <f t="shared" si="13"/>
        <v>ELFV IV кв. 2015</v>
      </c>
      <c r="C124">
        <v>2015</v>
      </c>
      <c r="D124">
        <f>SUMIFS(Дивиденды!$C:$C,Дивиденды!$A:$A,A124,Дивиденды!$I:$I,C124)</f>
        <v>0</v>
      </c>
      <c r="E124">
        <v>2</v>
      </c>
      <c r="F124">
        <f t="shared" si="14"/>
        <v>0</v>
      </c>
      <c r="G124">
        <f t="shared" si="15"/>
        <v>4.1440083333333336E-2</v>
      </c>
      <c r="H124">
        <f t="shared" si="16"/>
        <v>0</v>
      </c>
      <c r="I124">
        <f t="shared" si="23"/>
        <v>1</v>
      </c>
      <c r="J124">
        <f t="shared" si="17"/>
        <v>-1</v>
      </c>
      <c r="K124">
        <f t="shared" si="21"/>
        <v>4.2283097783256762</v>
      </c>
      <c r="L124">
        <f t="shared" si="18"/>
        <v>0</v>
      </c>
      <c r="M124">
        <f t="shared" si="22"/>
        <v>0.75</v>
      </c>
      <c r="N124">
        <f t="shared" si="19"/>
        <v>1</v>
      </c>
      <c r="O124">
        <f t="shared" si="20"/>
        <v>0.25</v>
      </c>
      <c r="P124">
        <f>IFERROR(LN('Дивиденды по годам'!I124),"")</f>
        <v>25.181814319102784</v>
      </c>
      <c r="Q124">
        <f>IFERROR('Дивиденды по годам'!G124/'Дивиденды по годам'!I124, "")</f>
        <v>0.60081698836695219</v>
      </c>
      <c r="R124">
        <f>IFERROR(IF(AND('Дивиденды по годам'!N124&lt;&gt;"",'Дивиденды по годам'!U124&lt;&gt;"",'Дивиденды по годам'!U124&lt;&gt;0),'Дивиденды по годам'!N124/'Дивиденды по годам'!U124-1,""),"")</f>
        <v>-4.5870940040078967E-2</v>
      </c>
      <c r="S124">
        <f>IFERROR(IF(AND('Дивиденды по годам'!L124&lt;&gt;"",'Дивиденды по годам'!I124&lt;&gt;"",'Дивиденды по годам'!J124&lt;&gt;"",'Дивиденды по годам'!K124&lt;&gt;"",('Дивиденды по годам'!I124-'Дивиденды по годам'!J124-'Дивиденды по годам'!K124)&lt;&gt;0),'Дивиденды по годам'!L124/('Дивиденды по годам'!I124-'Дивиденды по годам'!J124-'Дивиденды по годам'!K124),""),"")</f>
        <v>-0.35157741033035783</v>
      </c>
      <c r="T124">
        <f>IFERROR(IF(AND('Дивиденды по годам'!Q124&lt;&gt;"",'Дивиденды по годам'!I124&lt;&gt;"",'Дивиденды по годам'!V124&lt;&gt;"",('Дивиденды по годам'!I124+'Дивиденды по годам'!V124)&lt;&gt;0),'Дивиденды по годам'!Q124/(('Дивиденды по годам'!I124+'Дивиденды по годам'!V124)/2),""),"")</f>
        <v>-0.42708155554479227</v>
      </c>
      <c r="U124">
        <f>IFERROR(IF(AND('Дивиденды по годам'!J124&lt;&gt;"",'Дивиденды по годам'!K124&lt;&gt;"",'Дивиденды по годам'!M124&lt;&gt;"",'Дивиденды по годам'!M124&lt;&gt;0),('Дивиденды по годам'!J124+'Дивиденды по годам'!K124)/'Дивиденды по годам'!M124,""),"")</f>
        <v>1.7831535573789352</v>
      </c>
      <c r="V124" cm="1">
        <f t="array" ref="V124">IFERROR(AVERAGE(_xlfn._xlws.FILTER(P$2:P$1073,($C$2:$C$1073=$C124)*($E$2:$E$1073=$E124)*(ROW(P$2:P$1073)&lt;&gt;ROW(P124))*(P$2:P$1073&lt;&gt;""))),"")</f>
        <v>26.003759586794569</v>
      </c>
      <c r="W124" cm="1">
        <f t="array" ref="W124">IFERROR(AVERAGE(_xlfn._xlws.FILTER(Q$2:Q$1073,($C$2:$C$1073=$C124)*($E$2:$E$1073=$E124)*(ROW(Q$2:Q$1073)&lt;&gt;ROW(Q124))*(Q$2:Q$1073&lt;&gt;""))),"")</f>
        <v>0.79723960251283477</v>
      </c>
      <c r="X124" cm="1">
        <f t="array" ref="X124">IFERROR(AVERAGE(_xlfn._xlws.FILTER(R$2:R$1073,($C$2:$C$1073=$C124)*($E$2:$E$1073=$E124)*(ROW(R$2:R$1073)&lt;&gt;ROW(R124))*(R$2:R$1073&lt;&gt;""))),"")</f>
        <v>1.2598758753794756E-2</v>
      </c>
      <c r="Y124" cm="1">
        <f t="array" ref="Y124">IFERROR(AVERAGE(_xlfn._xlws.FILTER(S$2:S$1073,($C$2:$C$1073=$C124)*($E$2:$E$1073=$E124)*(ROW(S$2:S$1073)&lt;&gt;ROW(S124))*(S$2:S$1073&lt;&gt;""))),"")</f>
        <v>0.6089933798435968</v>
      </c>
      <c r="Z124" cm="1">
        <f t="array" ref="Z124">IFERROR(AVERAGE(_xlfn._xlws.FILTER(T$2:T$1073,($C$2:$C$1073=$C124)*($E$2:$E$1073=$E124)*(ROW(T$2:T$1073)&lt;&gt;ROW(T124))*(T$2:T$1073&lt;&gt;""))),"")</f>
        <v>3.3689348305915801E-2</v>
      </c>
      <c r="AA124" cm="1">
        <f t="array" ref="AA124">IFERROR(AVERAGE(_xlfn._xlws.FILTER(U$2:U$1073,($C$2:$C$1073=$C124)*($E$2:$E$1073=$E124)*(ROW(U$2:U$1073)&lt;&gt;ROW(U124))*(U$2:U$1073&lt;&gt;""))),"")</f>
        <v>0.8035522645950397</v>
      </c>
    </row>
    <row r="125" spans="1:27" x14ac:dyDescent="0.2">
      <c r="A125" s="7" t="s">
        <v>2190</v>
      </c>
      <c r="B125" t="str">
        <f t="shared" si="13"/>
        <v>ELFV IV кв. 2014</v>
      </c>
      <c r="C125">
        <v>2014</v>
      </c>
      <c r="D125">
        <f>SUMIFS(Дивиденды!$C:$C,Дивиденды!$A:$A,A125,Дивиденды!$I:$I,C125)</f>
        <v>8.0699999999999994E-2</v>
      </c>
      <c r="E125">
        <v>2</v>
      </c>
      <c r="F125">
        <f t="shared" si="14"/>
        <v>8.0699999999999994E-2</v>
      </c>
      <c r="G125">
        <f t="shared" si="15"/>
        <v>3.224291666666667E-2</v>
      </c>
      <c r="H125">
        <f t="shared" si="16"/>
        <v>1</v>
      </c>
      <c r="I125">
        <f t="shared" si="23"/>
        <v>1</v>
      </c>
      <c r="J125">
        <f t="shared" si="17"/>
        <v>0.44364937388193193</v>
      </c>
      <c r="K125">
        <f t="shared" si="21"/>
        <v>1.3641327005264776</v>
      </c>
      <c r="L125">
        <f t="shared" si="18"/>
        <v>1</v>
      </c>
      <c r="M125">
        <f t="shared" si="22"/>
        <v>0.58333333333333337</v>
      </c>
      <c r="N125">
        <f t="shared" si="19"/>
        <v>0</v>
      </c>
      <c r="O125">
        <f t="shared" si="20"/>
        <v>0.33333333333333331</v>
      </c>
      <c r="P125">
        <f>IFERROR(LN('Дивиденды по годам'!I125),"")</f>
        <v>25.674625380756524</v>
      </c>
      <c r="Q125">
        <f>IFERROR('Дивиденды по годам'!G125/'Дивиденды по годам'!I125, "")</f>
        <v>0.78265489177575409</v>
      </c>
      <c r="R125">
        <f>IFERROR(IF(AND('Дивиденды по годам'!N125&lt;&gt;"",'Дивиденды по годам'!U125&lt;&gt;"",'Дивиденды по годам'!U125&lt;&gt;0),'Дивиденды по годам'!N125/'Дивиденды по годам'!U125-1,""),"")</f>
        <v>6.7160004565521181E-2</v>
      </c>
      <c r="S125">
        <f>IFERROR(IF(AND('Дивиденды по годам'!L125&lt;&gt;"",'Дивиденды по годам'!I125&lt;&gt;"",'Дивиденды по годам'!J125&lt;&gt;"",'Дивиденды по годам'!K125&lt;&gt;"",('Дивиденды по годам'!I125-'Дивиденды по годам'!J125-'Дивиденды по годам'!K125)&lt;&gt;0),'Дивиденды по годам'!L125/('Дивиденды по годам'!I125-'Дивиденды по годам'!J125-'Дивиденды по годам'!K125),""),"")</f>
        <v>0.48980797922819769</v>
      </c>
      <c r="T125">
        <f>IFERROR(IF(AND('Дивиденды по годам'!Q125&lt;&gt;"",'Дивиденды по годам'!I125&lt;&gt;"",'Дивиденды по годам'!V125&lt;&gt;"",('Дивиденды по годам'!I125+'Дивиденды по годам'!V125)&lt;&gt;0),'Дивиденды по годам'!Q125/(('Дивиденды по годам'!I125+'Дивиденды по годам'!V125)/2),""),"")</f>
        <v>4.0748209083108972E-2</v>
      </c>
      <c r="U125">
        <f>IFERROR(IF(AND('Дивиденды по годам'!J125&lt;&gt;"",'Дивиденды по годам'!K125&lt;&gt;"",'Дивиденды по годам'!M125&lt;&gt;"",'Дивиденды по годам'!M125&lt;&gt;0),('Дивиденды по годам'!J125+'Дивиденды по годам'!K125)/'Дивиденды по годам'!M125,""),"")</f>
        <v>0.68863859779822789</v>
      </c>
      <c r="V125" cm="1">
        <f t="array" ref="V125">IFERROR(AVERAGE(_xlfn._xlws.FILTER(P$2:P$1073,($C$2:$C$1073=$C125)*($E$2:$E$1073=$E125)*(ROW(P$2:P$1073)&lt;&gt;ROW(P125))*(P$2:P$1073&lt;&gt;""))),"")</f>
        <v>26.211135757907766</v>
      </c>
      <c r="W125" cm="1">
        <f t="array" ref="W125">IFERROR(AVERAGE(_xlfn._xlws.FILTER(Q$2:Q$1073,($C$2:$C$1073=$C125)*($E$2:$E$1073=$E125)*(ROW(Q$2:Q$1073)&lt;&gt;ROW(Q125))*(Q$2:Q$1073&lt;&gt;""))),"")</f>
        <v>0.77036634512551772</v>
      </c>
      <c r="X125" cm="1">
        <f t="array" ref="X125">IFERROR(AVERAGE(_xlfn._xlws.FILTER(R$2:R$1073,($C$2:$C$1073=$C125)*($E$2:$E$1073=$E125)*(ROW(R$2:R$1073)&lt;&gt;ROW(R125))*(R$2:R$1073&lt;&gt;""))),"")</f>
        <v>1.7772605657772809E-2</v>
      </c>
      <c r="Y125" cm="1">
        <f t="array" ref="Y125">IFERROR(AVERAGE(_xlfn._xlws.FILTER(S$2:S$1073,($C$2:$C$1073=$C125)*($E$2:$E$1073=$E125)*(ROW(S$2:S$1073)&lt;&gt;ROW(S125))*(S$2:S$1073&lt;&gt;""))),"")</f>
        <v>0.62763083364790462</v>
      </c>
      <c r="Z125" cm="1">
        <f t="array" ref="Z125">IFERROR(AVERAGE(_xlfn._xlws.FILTER(T$2:T$1073,($C$2:$C$1073=$C125)*($E$2:$E$1073=$E125)*(ROW(T$2:T$1073)&lt;&gt;ROW(T125))*(T$2:T$1073&lt;&gt;""))),"")</f>
        <v>1.6157240418124039E-2</v>
      </c>
      <c r="AA125" cm="1">
        <f t="array" ref="AA125">IFERROR(AVERAGE(_xlfn._xlws.FILTER(U$2:U$1073,($C$2:$C$1073=$C125)*($E$2:$E$1073=$E125)*(ROW(U$2:U$1073)&lt;&gt;ROW(U125))*(U$2:U$1073&lt;&gt;""))),"")</f>
        <v>0.76029587851403335</v>
      </c>
    </row>
    <row r="126" spans="1:27" x14ac:dyDescent="0.2">
      <c r="A126" s="7" t="s">
        <v>2190</v>
      </c>
      <c r="B126" t="str">
        <f t="shared" si="13"/>
        <v>ELFV IV кв. 2013</v>
      </c>
      <c r="C126">
        <v>2013</v>
      </c>
      <c r="D126">
        <f>SUMIFS(Дивиденды!$C:$C,Дивиденды!$A:$A,A126,Дивиденды!$I:$I,C126)</f>
        <v>5.5899999999999998E-2</v>
      </c>
      <c r="E126">
        <v>2</v>
      </c>
      <c r="F126">
        <f t="shared" si="14"/>
        <v>5.5899999999999998E-2</v>
      </c>
      <c r="G126">
        <f t="shared" si="15"/>
        <v>4.1784750000000002E-2</v>
      </c>
      <c r="H126">
        <f t="shared" si="16"/>
        <v>1</v>
      </c>
      <c r="I126">
        <f t="shared" si="23"/>
        <v>0.75</v>
      </c>
      <c r="J126">
        <f t="shared" si="17"/>
        <v>1</v>
      </c>
      <c r="K126">
        <f t="shared" si="21"/>
        <v>-7.0380478914656611E-2</v>
      </c>
      <c r="L126">
        <f t="shared" si="18"/>
        <v>1</v>
      </c>
      <c r="M126">
        <f t="shared" si="22"/>
        <v>0.41666666666666669</v>
      </c>
      <c r="N126">
        <f t="shared" si="19"/>
        <v>0</v>
      </c>
      <c r="O126">
        <f t="shared" si="20"/>
        <v>0.33333333333333331</v>
      </c>
      <c r="P126">
        <f>IFERROR(LN('Дивиденды по годам'!I126),"")</f>
        <v>25.610601112283277</v>
      </c>
      <c r="Q126">
        <f>IFERROR('Дивиденды по годам'!G126/'Дивиденды по годам'!I126, "")</f>
        <v>0.82822600260946166</v>
      </c>
      <c r="R126">
        <f>IFERROR(IF(AND('Дивиденды по годам'!N126&lt;&gt;"",'Дивиденды по годам'!U126&lt;&gt;"",'Дивиденды по годам'!U126&lt;&gt;0),'Дивиденды по годам'!N126/'Дивиденды по годам'!U126-1,""),"")</f>
        <v>4.7735985058507069E-2</v>
      </c>
      <c r="S126">
        <f>IFERROR(IF(AND('Дивиденды по годам'!L126&lt;&gt;"",'Дивиденды по годам'!I126&lt;&gt;"",'Дивиденды по годам'!J126&lt;&gt;"",'Дивиденды по годам'!K126&lt;&gt;"",('Дивиденды по годам'!I126-'Дивиденды по годам'!J126-'Дивиденды по годам'!K126)&lt;&gt;0),'Дивиденды по годам'!L126/('Дивиденды по годам'!I126-'Дивиденды по годам'!J126-'Дивиденды по годам'!K126),""),"")</f>
        <v>0.4636519590056305</v>
      </c>
      <c r="T126">
        <f>IFERROR(IF(AND('Дивиденды по годам'!Q126&lt;&gt;"",'Дивиденды по годам'!I126&lt;&gt;"",'Дивиденды по годам'!V126&lt;&gt;"",('Дивиденды по годам'!I126+'Дивиденды по годам'!V126)&lt;&gt;0),'Дивиденды по годам'!Q126/(('Дивиденды по годам'!I126+'Дивиденды по годам'!V126)/2),""),"")</f>
        <v>3.7923856207821627E-2</v>
      </c>
      <c r="U126">
        <f>IFERROR(IF(AND('Дивиденды по годам'!J126&lt;&gt;"",'Дивиденды по годам'!K126&lt;&gt;"",'Дивиденды по годам'!M126&lt;&gt;"",'Дивиденды по годам'!M126&lt;&gt;0),('Дивиденды по годам'!J126+'Дивиденды по годам'!K126)/'Дивиденды по годам'!M126,""),"")</f>
        <v>0.69774189933668107</v>
      </c>
      <c r="V126" cm="1">
        <f t="array" ref="V126">IFERROR(AVERAGE(_xlfn._xlws.FILTER(P$2:P$1073,($C$2:$C$1073=$C126)*($E$2:$E$1073=$E126)*(ROW(P$2:P$1073)&lt;&gt;ROW(P126))*(P$2:P$1073&lt;&gt;""))),"")</f>
        <v>26.157703520087257</v>
      </c>
      <c r="W126" cm="1">
        <f t="array" ref="W126">IFERROR(AVERAGE(_xlfn._xlws.FILTER(Q$2:Q$1073,($C$2:$C$1073=$C126)*($E$2:$E$1073=$E126)*(ROW(Q$2:Q$1073)&lt;&gt;ROW(Q126))*(Q$2:Q$1073&lt;&gt;""))),"")</f>
        <v>0.77831001233763986</v>
      </c>
      <c r="X126" cm="1">
        <f t="array" ref="X126">IFERROR(AVERAGE(_xlfn._xlws.FILTER(R$2:R$1073,($C$2:$C$1073=$C126)*($E$2:$E$1073=$E126)*(ROW(R$2:R$1073)&lt;&gt;ROW(R126))*(R$2:R$1073&lt;&gt;""))),"")</f>
        <v>0.10334610373748482</v>
      </c>
      <c r="Y126" t="str" cm="1">
        <f t="array" ref="Y126">IFERROR(AVERAGE(_xlfn._xlws.FILTER(S$2:S$1073,($C$2:$C$1073=$C126)*($E$2:$E$1073=$E126)*(ROW(S$2:S$1073)&lt;&gt;ROW(S126))*(S$2:S$1073&lt;&gt;""))),"")</f>
        <v/>
      </c>
      <c r="Z126" cm="1">
        <f t="array" ref="Z126">IFERROR(AVERAGE(_xlfn._xlws.FILTER(T$2:T$1073,($C$2:$C$1073=$C126)*($E$2:$E$1073=$E126)*(ROW(T$2:T$1073)&lt;&gt;ROW(T126))*(T$2:T$1073&lt;&gt;""))),"")</f>
        <v>-9.6390452777529896E-3</v>
      </c>
      <c r="AA126" cm="1">
        <f t="array" ref="AA126">IFERROR(AVERAGE(_xlfn._xlws.FILTER(U$2:U$1073,($C$2:$C$1073=$C126)*($E$2:$E$1073=$E126)*(ROW(U$2:U$1073)&lt;&gt;ROW(U126))*(U$2:U$1073&lt;&gt;""))),"")</f>
        <v>0.67511828653958639</v>
      </c>
    </row>
    <row r="127" spans="1:27" x14ac:dyDescent="0.2">
      <c r="A127" s="7" t="s">
        <v>2190</v>
      </c>
      <c r="B127" t="str">
        <f t="shared" si="13"/>
        <v>ELFV IV кв. 2012</v>
      </c>
      <c r="C127">
        <v>2012</v>
      </c>
      <c r="D127">
        <f>SUMIFS(Дивиденды!$C:$C,Дивиденды!$A:$A,A127,Дивиденды!$I:$I,C127)</f>
        <v>0</v>
      </c>
      <c r="E127">
        <v>2</v>
      </c>
      <c r="F127">
        <f t="shared" si="14"/>
        <v>0</v>
      </c>
      <c r="G127">
        <f t="shared" si="15"/>
        <v>3.7162333333333332E-2</v>
      </c>
      <c r="H127">
        <f t="shared" si="16"/>
        <v>0</v>
      </c>
      <c r="I127">
        <f t="shared" si="23"/>
        <v>0.75</v>
      </c>
      <c r="J127">
        <f t="shared" si="17"/>
        <v>0</v>
      </c>
      <c r="K127">
        <f t="shared" si="21"/>
        <v>0.74080204300683228</v>
      </c>
      <c r="L127">
        <f t="shared" si="18"/>
        <v>0</v>
      </c>
      <c r="M127">
        <f t="shared" si="22"/>
        <v>0.58333333333333337</v>
      </c>
      <c r="N127">
        <f t="shared" si="19"/>
        <v>0</v>
      </c>
      <c r="O127">
        <f t="shared" si="20"/>
        <v>0.16666666666666666</v>
      </c>
      <c r="P127">
        <f>IFERROR(LN('Дивиденды по годам'!I127),"")</f>
        <v>25.574231753399165</v>
      </c>
      <c r="Q127">
        <f>IFERROR('Дивиденды по годам'!G127/'Дивиденды по годам'!I127, "")</f>
        <v>0.84568472511649029</v>
      </c>
      <c r="R127">
        <f>IFERROR(IF(AND('Дивиденды по годам'!N127&lt;&gt;"",'Дивиденды по годам'!U127&lt;&gt;"",'Дивиденды по годам'!U127&lt;&gt;0),'Дивиденды по годам'!N127/'Дивиденды по годам'!U127-1,""),"")</f>
        <v>0.10720803568690696</v>
      </c>
      <c r="S127">
        <f>IFERROR(IF(AND('Дивиденды по годам'!L127&lt;&gt;"",'Дивиденды по годам'!I127&lt;&gt;"",'Дивиденды по годам'!J127&lt;&gt;"",'Дивиденды по годам'!K127&lt;&gt;"",('Дивиденды по годам'!I127-'Дивиденды по годам'!J127-'Дивиденды по годам'!K127)&lt;&gt;0),'Дивиденды по годам'!L127/('Дивиденды по годам'!I127-'Дивиденды по годам'!J127-'Дивиденды по годам'!K127),""),"")</f>
        <v>0.44715527647269881</v>
      </c>
      <c r="T127">
        <f>IFERROR(IF(AND('Дивиденды по годам'!Q127&lt;&gt;"",'Дивиденды по годам'!I127&lt;&gt;"",'Дивиденды по годам'!V127&lt;&gt;"",('Дивиденды по годам'!I127+'Дивиденды по годам'!V127)&lt;&gt;0),'Дивиденды по годам'!Q127/(('Дивиденды по годам'!I127+'Дивиденды по годам'!V127)/2),""),"")</f>
        <v>4.4991890641832316E-2</v>
      </c>
      <c r="U127">
        <f>IFERROR(IF(AND('Дивиденды по годам'!J127&lt;&gt;"",'Дивиденды по годам'!K127&lt;&gt;"",'Дивиденды по годам'!M127&lt;&gt;"",'Дивиденды по годам'!M127&lt;&gt;0),('Дивиденды по годам'!J127+'Дивиденды по годам'!K127)/'Дивиденды по годам'!M127,""),"")</f>
        <v>0.69264675731123093</v>
      </c>
      <c r="V127" cm="1">
        <f t="array" ref="V127">IFERROR(AVERAGE(_xlfn._xlws.FILTER(P$2:P$1073,($C$2:$C$1073=$C127)*($E$2:$E$1073=$E127)*(ROW(P$2:P$1073)&lt;&gt;ROW(P127))*(P$2:P$1073&lt;&gt;""))),"")</f>
        <v>26.157452957964448</v>
      </c>
      <c r="W127" cm="1">
        <f t="array" ref="W127">IFERROR(AVERAGE(_xlfn._xlws.FILTER(Q$2:Q$1073,($C$2:$C$1073=$C127)*($E$2:$E$1073=$E127)*(ROW(Q$2:Q$1073)&lt;&gt;ROW(Q127))*(Q$2:Q$1073&lt;&gt;""))),"")</f>
        <v>0.77090884686982597</v>
      </c>
      <c r="X127" cm="1">
        <f t="array" ref="X127">IFERROR(AVERAGE(_xlfn._xlws.FILTER(R$2:R$1073,($C$2:$C$1073=$C127)*($E$2:$E$1073=$E127)*(ROW(R$2:R$1073)&lt;&gt;ROW(R127))*(R$2:R$1073&lt;&gt;""))),"")</f>
        <v>-2.9531961692993387E-2</v>
      </c>
      <c r="Y127" t="str" cm="1">
        <f t="array" ref="Y127">IFERROR(AVERAGE(_xlfn._xlws.FILTER(S$2:S$1073,($C$2:$C$1073=$C127)*($E$2:$E$1073=$E127)*(ROW(S$2:S$1073)&lt;&gt;ROW(S127))*(S$2:S$1073&lt;&gt;""))),"")</f>
        <v/>
      </c>
      <c r="Z127" cm="1">
        <f t="array" ref="Z127">IFERROR(AVERAGE(_xlfn._xlws.FILTER(T$2:T$1073,($C$2:$C$1073=$C127)*($E$2:$E$1073=$E127)*(ROW(T$2:T$1073)&lt;&gt;ROW(T127))*(T$2:T$1073&lt;&gt;""))),"")</f>
        <v>1.6319533139678086E-2</v>
      </c>
      <c r="AA127" cm="1">
        <f t="array" ref="AA127">IFERROR(AVERAGE(_xlfn._xlws.FILTER(U$2:U$1073,($C$2:$C$1073=$C127)*($E$2:$E$1073=$E127)*(ROW(U$2:U$1073)&lt;&gt;ROW(U127))*(U$2:U$1073&lt;&gt;""))),"")</f>
        <v>0.64721499154258999</v>
      </c>
    </row>
    <row r="128" spans="1:27" x14ac:dyDescent="0.2">
      <c r="A128" s="7" t="s">
        <v>2190</v>
      </c>
      <c r="B128" t="str">
        <f t="shared" si="13"/>
        <v>ELFV IV кв. 2011</v>
      </c>
      <c r="C128">
        <v>2011</v>
      </c>
      <c r="D128">
        <f>SUMIFS(Дивиденды!$C:$C,Дивиденды!$A:$A,A128,Дивиденды!$I:$I,C128)</f>
        <v>0</v>
      </c>
      <c r="E128">
        <v>2</v>
      </c>
      <c r="F128">
        <f t="shared" si="14"/>
        <v>0</v>
      </c>
      <c r="G128">
        <f t="shared" si="15"/>
        <v>1.154675E-2</v>
      </c>
      <c r="H128">
        <f t="shared" si="16"/>
        <v>0</v>
      </c>
      <c r="I128">
        <f t="shared" si="23"/>
        <v>0.83333333333333337</v>
      </c>
      <c r="J128">
        <f t="shared" si="17"/>
        <v>0</v>
      </c>
      <c r="K128">
        <f t="shared" si="21"/>
        <v>5.0770249936127408E-2</v>
      </c>
      <c r="L128">
        <f t="shared" si="18"/>
        <v>0</v>
      </c>
      <c r="M128">
        <f t="shared" si="22"/>
        <v>0.5</v>
      </c>
      <c r="N128">
        <f t="shared" si="19"/>
        <v>0</v>
      </c>
      <c r="O128">
        <f t="shared" si="20"/>
        <v>0.41666666666666669</v>
      </c>
      <c r="P128">
        <f>IFERROR(LN('Дивиденды по годам'!I128),"")</f>
        <v>25.502190074913834</v>
      </c>
      <c r="Q128">
        <f>IFERROR('Дивиденды по годам'!G128/'Дивиденды по годам'!I128, "")</f>
        <v>0.84894129873320723</v>
      </c>
      <c r="R128">
        <f>IFERROR(IF(AND('Дивиденды по годам'!N128&lt;&gt;"",'Дивиденды по годам'!U128&lt;&gt;"",'Дивиденды по годам'!U128&lt;&gt;0),'Дивиденды по годам'!N128/'Дивиденды по годам'!U128-1,""),"")</f>
        <v>0.14348983045887875</v>
      </c>
      <c r="S128">
        <f>IFERROR(IF(AND('Дивиденды по годам'!L128&lt;&gt;"",'Дивиденды по годам'!I128&lt;&gt;"",'Дивиденды по годам'!J128&lt;&gt;"",'Дивиденды по годам'!K128&lt;&gt;"",('Дивиденды по годам'!I128-'Дивиденды по годам'!J128-'Дивиденды по годам'!K128)&lt;&gt;0),'Дивиденды по годам'!L128/('Дивиденды по годам'!I128-'Дивиденды по годам'!J128-'Дивиденды по годам'!K128),""),"")</f>
        <v>0.39850050246333968</v>
      </c>
      <c r="T128">
        <f>IFERROR(IF(AND('Дивиденды по годам'!Q128&lt;&gt;"",'Дивиденды по годам'!I128&lt;&gt;"",'Дивиденды по годам'!V128&lt;&gt;"",('Дивиденды по годам'!I128+'Дивиденды по годам'!V128)&lt;&gt;0),'Дивиденды по годам'!Q128/(('Дивиденды по годам'!I128+'Дивиденды по годам'!V128)/2),""),"")</f>
        <v>4.5214358774442007E-2</v>
      </c>
      <c r="U128">
        <f>IFERROR(IF(AND('Дивиденды по годам'!J128&lt;&gt;"",'Дивиденды по годам'!K128&lt;&gt;"",'Дивиденды по годам'!M128&lt;&gt;"",'Дивиденды по годам'!M128&lt;&gt;0),('Дивиденды по годам'!J128+'Дивиденды по годам'!K128)/'Дивиденды по годам'!M128,""),"")</f>
        <v>0.69589720769331875</v>
      </c>
      <c r="V128" cm="1">
        <f t="array" ref="V128">IFERROR(AVERAGE(_xlfn._xlws.FILTER(P$2:P$1073,($C$2:$C$1073=$C128)*($E$2:$E$1073=$E128)*(ROW(P$2:P$1073)&lt;&gt;ROW(P128))*(P$2:P$1073&lt;&gt;""))),"")</f>
        <v>26.216433638899886</v>
      </c>
      <c r="W128" cm="1">
        <f t="array" ref="W128">IFERROR(AVERAGE(_xlfn._xlws.FILTER(Q$2:Q$1073,($C$2:$C$1073=$C128)*($E$2:$E$1073=$E128)*(ROW(Q$2:Q$1073)&lt;&gt;ROW(Q128))*(Q$2:Q$1073&lt;&gt;""))),"")</f>
        <v>0.75750068440960105</v>
      </c>
      <c r="X128" t="str" cm="1">
        <f t="array" ref="X128">IFERROR(AVERAGE(_xlfn._xlws.FILTER(R$2:R$1073,($C$2:$C$1073=$C128)*($E$2:$E$1073=$E128)*(ROW(R$2:R$1073)&lt;&gt;ROW(R128))*(R$2:R$1073&lt;&gt;""))),"")</f>
        <v/>
      </c>
      <c r="Y128" t="str" cm="1">
        <f t="array" ref="Y128">IFERROR(AVERAGE(_xlfn._xlws.FILTER(S$2:S$1073,($C$2:$C$1073=$C128)*($E$2:$E$1073=$E128)*(ROW(S$2:S$1073)&lt;&gt;ROW(S128))*(S$2:S$1073&lt;&gt;""))),"")</f>
        <v/>
      </c>
      <c r="Z128" t="str" cm="1">
        <f t="array" ref="Z128">IFERROR(AVERAGE(_xlfn._xlws.FILTER(T$2:T$1073,($C$2:$C$1073=$C128)*($E$2:$E$1073=$E128)*(ROW(T$2:T$1073)&lt;&gt;ROW(T128))*(T$2:T$1073&lt;&gt;""))),"")</f>
        <v/>
      </c>
      <c r="AA128" cm="1">
        <f t="array" ref="AA128">IFERROR(AVERAGE(_xlfn._xlws.FILTER(U$2:U$1073,($C$2:$C$1073=$C128)*($E$2:$E$1073=$E128)*(ROW(U$2:U$1073)&lt;&gt;ROW(U128))*(U$2:U$1073&lt;&gt;""))),"")</f>
        <v>0.58346210628251594</v>
      </c>
    </row>
    <row r="129" spans="1:27" x14ac:dyDescent="0.2">
      <c r="A129" s="7" t="s">
        <v>2190</v>
      </c>
      <c r="B129" t="str">
        <f t="shared" si="13"/>
        <v>ELFV IV кв. 2010</v>
      </c>
      <c r="C129">
        <v>2010</v>
      </c>
      <c r="D129">
        <f>SUMIFS(Дивиденды!$C:$C,Дивиденды!$A:$A,A129,Дивиденды!$I:$I,C129)</f>
        <v>0</v>
      </c>
      <c r="E129">
        <v>2</v>
      </c>
      <c r="F129">
        <f t="shared" si="14"/>
        <v>0</v>
      </c>
      <c r="G129">
        <f t="shared" si="15"/>
        <v>6.5618333333333336E-3</v>
      </c>
      <c r="H129">
        <f t="shared" si="16"/>
        <v>0</v>
      </c>
      <c r="I129">
        <f t="shared" si="23"/>
        <v>0.83333333333333337</v>
      </c>
      <c r="J129" t="str">
        <f t="shared" si="17"/>
        <v/>
      </c>
      <c r="K129" t="str">
        <f t="shared" si="21"/>
        <v/>
      </c>
      <c r="L129" t="str">
        <f t="shared" si="18"/>
        <v/>
      </c>
      <c r="M129" t="str">
        <f t="shared" si="22"/>
        <v/>
      </c>
      <c r="N129" t="str">
        <f t="shared" si="19"/>
        <v/>
      </c>
      <c r="O129" t="str">
        <f t="shared" si="20"/>
        <v/>
      </c>
      <c r="P129" t="str">
        <f>IFERROR(LN('Дивиденды по годам'!I129),"")</f>
        <v/>
      </c>
      <c r="Q129" t="str">
        <f>IFERROR('Дивиденды по годам'!G129/'Дивиденды по годам'!I129, "")</f>
        <v/>
      </c>
      <c r="R129" t="str">
        <f>IFERROR(IF(AND('Дивиденды по годам'!N129&lt;&gt;"",'Дивиденды по годам'!U129&lt;&gt;"",'Дивиденды по годам'!U129&lt;&gt;0),'Дивиденды по годам'!N129/'Дивиденды по годам'!U129-1,""),"")</f>
        <v/>
      </c>
      <c r="S129" t="str">
        <f>IFERROR(IF(AND('Дивиденды по годам'!L129&lt;&gt;"",'Дивиденды по годам'!I129&lt;&gt;"",'Дивиденды по годам'!J129&lt;&gt;"",'Дивиденды по годам'!K129&lt;&gt;"",('Дивиденды по годам'!I129-'Дивиденды по годам'!J129-'Дивиденды по годам'!K129)&lt;&gt;0),'Дивиденды по годам'!L129/('Дивиденды по годам'!I129-'Дивиденды по годам'!J129-'Дивиденды по годам'!K129),""),"")</f>
        <v/>
      </c>
      <c r="T129" t="str">
        <f>IFERROR(IF(AND('Дивиденды по годам'!Q129&lt;&gt;"",'Дивиденды по годам'!I129&lt;&gt;"",'Дивиденды по годам'!V129&lt;&gt;"",('Дивиденды по годам'!I129+'Дивиденды по годам'!V129)&lt;&gt;0),'Дивиденды по годам'!Q129/(('Дивиденды по годам'!I129+'Дивиденды по годам'!V129)/2),""),"")</f>
        <v/>
      </c>
      <c r="U129" t="str">
        <f>IFERROR(IF(AND('Дивиденды по годам'!J129&lt;&gt;"",'Дивиденды по годам'!K129&lt;&gt;"",'Дивиденды по годам'!M129&lt;&gt;"",'Дивиденды по годам'!M129&lt;&gt;0),('Дивиденды по годам'!J129+'Дивиденды по годам'!K129)/'Дивиденды по годам'!M129,""),"")</f>
        <v/>
      </c>
      <c r="V129" cm="1">
        <f t="array" ref="V129">IFERROR(AVERAGE(_xlfn._xlws.FILTER(P$2:P$1073,($C$2:$C$1073=$C129)*($E$2:$E$1073=$E129)*(ROW(P$2:P$1073)&lt;&gt;ROW(P129))*(P$2:P$1073&lt;&gt;""))),"")</f>
        <v>24.730948088520865</v>
      </c>
      <c r="W129" cm="1">
        <f t="array" ref="W129">IFERROR(AVERAGE(_xlfn._xlws.FILTER(Q$2:Q$1073,($C$2:$C$1073=$C129)*($E$2:$E$1073=$E129)*(ROW(Q$2:Q$1073)&lt;&gt;ROW(Q129))*(Q$2:Q$1073&lt;&gt;""))),"")</f>
        <v>0.82035195639515091</v>
      </c>
      <c r="X129" t="str" cm="1">
        <f t="array" ref="X129">IFERROR(AVERAGE(_xlfn._xlws.FILTER(R$2:R$1073,($C$2:$C$1073=$C129)*($E$2:$E$1073=$E129)*(ROW(R$2:R$1073)&lt;&gt;ROW(R129))*(R$2:R$1073&lt;&gt;""))),"")</f>
        <v/>
      </c>
      <c r="Y129" t="str" cm="1">
        <f t="array" ref="Y129">IFERROR(AVERAGE(_xlfn._xlws.FILTER(S$2:S$1073,($C$2:$C$1073=$C129)*($E$2:$E$1073=$E129)*(ROW(S$2:S$1073)&lt;&gt;ROW(S129))*(S$2:S$1073&lt;&gt;""))),"")</f>
        <v/>
      </c>
      <c r="Z129" t="str" cm="1">
        <f t="array" ref="Z129">IFERROR(AVERAGE(_xlfn._xlws.FILTER(T$2:T$1073,($C$2:$C$1073=$C129)*($E$2:$E$1073=$E129)*(ROW(T$2:T$1073)&lt;&gt;ROW(T129))*(T$2:T$1073&lt;&gt;""))),"")</f>
        <v/>
      </c>
      <c r="AA129" cm="1">
        <f t="array" ref="AA129">IFERROR(AVERAGE(_xlfn._xlws.FILTER(U$2:U$1073,($C$2:$C$1073=$C129)*($E$2:$E$1073=$E129)*(ROW(U$2:U$1073)&lt;&gt;ROW(U129))*(U$2:U$1073&lt;&gt;""))),"")</f>
        <v>0.91314375247969903</v>
      </c>
    </row>
    <row r="130" spans="1:27" x14ac:dyDescent="0.2">
      <c r="A130" s="7" t="s">
        <v>2193</v>
      </c>
      <c r="B130" t="str">
        <f t="shared" si="13"/>
        <v>FEES IV кв. 2025</v>
      </c>
      <c r="C130">
        <v>2025</v>
      </c>
      <c r="D130">
        <f>SUMIFS(Дивиденды!$C:$C,Дивиденды!$A:$A,A130,Дивиденды!$I:$I,C130)</f>
        <v>0</v>
      </c>
      <c r="E130">
        <v>2</v>
      </c>
      <c r="F130">
        <f t="shared" si="14"/>
        <v>0</v>
      </c>
      <c r="G130">
        <f t="shared" si="15"/>
        <v>0</v>
      </c>
      <c r="H130">
        <f t="shared" si="16"/>
        <v>0</v>
      </c>
      <c r="I130">
        <f t="shared" si="23"/>
        <v>0</v>
      </c>
      <c r="J130">
        <f t="shared" si="17"/>
        <v>0</v>
      </c>
      <c r="K130">
        <f t="shared" si="21"/>
        <v>-0.58333333333333337</v>
      </c>
      <c r="L130">
        <f t="shared" si="18"/>
        <v>0</v>
      </c>
      <c r="M130">
        <f t="shared" si="22"/>
        <v>0</v>
      </c>
      <c r="N130">
        <f t="shared" si="19"/>
        <v>0</v>
      </c>
      <c r="O130">
        <f t="shared" si="20"/>
        <v>0.58333333333333337</v>
      </c>
      <c r="P130" t="str">
        <f>IFERROR(LN('Дивиденды по годам'!I130),"")</f>
        <v/>
      </c>
      <c r="Q130" t="str">
        <f>IFERROR('Дивиденды по годам'!G130/'Дивиденды по годам'!I130, "")</f>
        <v/>
      </c>
      <c r="R130" t="str">
        <f>IFERROR(IF(AND('Дивиденды по годам'!N130&lt;&gt;"",'Дивиденды по годам'!U130&lt;&gt;"",'Дивиденды по годам'!U130&lt;&gt;0),'Дивиденды по годам'!N130/'Дивиденды по годам'!U130-1,""),"")</f>
        <v/>
      </c>
      <c r="S130" t="str">
        <f>IFERROR(IF(AND('Дивиденды по годам'!L130&lt;&gt;"",'Дивиденды по годам'!I130&lt;&gt;"",'Дивиденды по годам'!J130&lt;&gt;"",'Дивиденды по годам'!K130&lt;&gt;"",('Дивиденды по годам'!I130-'Дивиденды по годам'!J130-'Дивиденды по годам'!K130)&lt;&gt;0),'Дивиденды по годам'!L130/('Дивиденды по годам'!I130-'Дивиденды по годам'!J130-'Дивиденды по годам'!K130),""),"")</f>
        <v/>
      </c>
      <c r="T130" t="str">
        <f>IFERROR(IF(AND('Дивиденды по годам'!Q130&lt;&gt;"",'Дивиденды по годам'!I130&lt;&gt;"",'Дивиденды по годам'!V130&lt;&gt;"",('Дивиденды по годам'!I130+'Дивиденды по годам'!V130)&lt;&gt;0),'Дивиденды по годам'!Q130/(('Дивиденды по годам'!I130+'Дивиденды по годам'!V130)/2),""),"")</f>
        <v/>
      </c>
      <c r="U130" t="str">
        <f>IFERROR(IF(AND('Дивиденды по годам'!J130&lt;&gt;"",'Дивиденды по годам'!K130&lt;&gt;"",'Дивиденды по годам'!M130&lt;&gt;"",'Дивиденды по годам'!M130&lt;&gt;0),('Дивиденды по годам'!J130+'Дивиденды по годам'!K130)/'Дивиденды по годам'!M130,""),"")</f>
        <v/>
      </c>
      <c r="V130" cm="1">
        <f t="array" ref="V130">IFERROR(AVERAGE(_xlfn._xlws.FILTER(P$2:P$1073,($C$2:$C$1073=$C130)*($E$2:$E$1073=$E130)*(ROW(P$2:P$1073)&lt;&gt;ROW(P130))*(P$2:P$1073&lt;&gt;""))),"")</f>
        <v>26.57991857918098</v>
      </c>
      <c r="W130" cm="1">
        <f t="array" ref="W130">IFERROR(AVERAGE(_xlfn._xlws.FILTER(Q$2:Q$1073,($C$2:$C$1073=$C130)*($E$2:$E$1073=$E130)*(ROW(Q$2:Q$1073)&lt;&gt;ROW(Q130))*(Q$2:Q$1073&lt;&gt;""))),"")</f>
        <v>0.67759713674348565</v>
      </c>
      <c r="X130" cm="1">
        <f t="array" ref="X130">IFERROR(AVERAGE(_xlfn._xlws.FILTER(R$2:R$1073,($C$2:$C$1073=$C130)*($E$2:$E$1073=$E130)*(ROW(R$2:R$1073)&lt;&gt;ROW(R130))*(R$2:R$1073&lt;&gt;""))),"")</f>
        <v>0.17662623265859428</v>
      </c>
      <c r="Y130" cm="1">
        <f t="array" ref="Y130">IFERROR(AVERAGE(_xlfn._xlws.FILTER(S$2:S$1073,($C$2:$C$1073=$C130)*($E$2:$E$1073=$E130)*(ROW(S$2:S$1073)&lt;&gt;ROW(S130))*(S$2:S$1073&lt;&gt;""))),"")</f>
        <v>0.75614685785818758</v>
      </c>
      <c r="Z130" cm="1">
        <f t="array" ref="Z130">IFERROR(AVERAGE(_xlfn._xlws.FILTER(T$2:T$1073,($C$2:$C$1073=$C130)*($E$2:$E$1073=$E130)*(ROW(T$2:T$1073)&lt;&gt;ROW(T130))*(T$2:T$1073&lt;&gt;""))),"")</f>
        <v>0.10306085485751774</v>
      </c>
      <c r="AA130" cm="1">
        <f t="array" ref="AA130">IFERROR(AVERAGE(_xlfn._xlws.FILTER(U$2:U$1073,($C$2:$C$1073=$C130)*($E$2:$E$1073=$E130)*(ROW(U$2:U$1073)&lt;&gt;ROW(U130))*(U$2:U$1073&lt;&gt;""))),"")</f>
        <v>0.88935141782994176</v>
      </c>
    </row>
    <row r="131" spans="1:27" x14ac:dyDescent="0.2">
      <c r="A131" s="7" t="s">
        <v>2193</v>
      </c>
      <c r="B131" t="str">
        <f t="shared" ref="B131:B194" si="24">A131&amp;" "&amp;
"IV"
&amp;" кв. "&amp;C131</f>
        <v>FEES IV кв. 2024</v>
      </c>
      <c r="C131">
        <v>2024</v>
      </c>
      <c r="D131">
        <f>SUMIFS(Дивиденды!$C:$C,Дивиденды!$A:$A,A131,Дивиденды!$I:$I,C131)</f>
        <v>0</v>
      </c>
      <c r="E131">
        <v>2</v>
      </c>
      <c r="F131">
        <f t="shared" ref="F131:F194" si="25">D131</f>
        <v>0</v>
      </c>
      <c r="G131">
        <f t="shared" ref="G131:G194" si="26">AVERAGEIFS($D:$D,$E:$E,E131,$C:$C,C131,$A:$A,"&lt;&gt;"&amp;A131)</f>
        <v>6.3399999999999998E-2</v>
      </c>
      <c r="H131">
        <f t="shared" ref="H131:H194" si="27">IF(D131&gt;0,1,0)</f>
        <v>0</v>
      </c>
      <c r="I131">
        <f t="shared" si="23"/>
        <v>0.58333333333333337</v>
      </c>
      <c r="J131">
        <f t="shared" ref="J131:J194" si="28">IF(A132&lt;&gt;A131,"",IF(D131=D132,0,IF(AND(D132=0,D131&lt;&gt;0), 1,(D131-D132)/D132)))</f>
        <v>0</v>
      </c>
      <c r="K131">
        <f t="shared" si="21"/>
        <v>8.6160653443004165E-2</v>
      </c>
      <c r="L131">
        <f t="shared" ref="L131:L194" si="29">IF(J131&lt;&gt;"",IF(J131&gt;0,1,0),"")</f>
        <v>0</v>
      </c>
      <c r="M131">
        <f t="shared" si="22"/>
        <v>0.58333333333333337</v>
      </c>
      <c r="N131">
        <f t="shared" ref="N131:N194" si="30">IF(J131&lt;&gt;"",IF(J131&lt;0,1,0),"")</f>
        <v>0</v>
      </c>
      <c r="O131">
        <f t="shared" ref="O131:O194" si="31">IFERROR(AVERAGEIFS($N:$N,$E:$E,E131,$C:$C,C131,$A:$A,"&lt;&gt;"&amp;A131),"")</f>
        <v>8.3333333333333329E-2</v>
      </c>
      <c r="P131">
        <f>IFERROR(LN('Дивиденды по годам'!I131),"")</f>
        <v>28.86816473500696</v>
      </c>
      <c r="Q131">
        <f>IFERROR('Дивиденды по годам'!G131/'Дивиденды по годам'!I131, "")</f>
        <v>0.78615816495475455</v>
      </c>
      <c r="R131">
        <f>IFERROR(IF(AND('Дивиденды по годам'!N131&lt;&gt;"",'Дивиденды по годам'!U131&lt;&gt;"",'Дивиденды по годам'!U131&lt;&gt;0),'Дивиденды по годам'!N131/'Дивиденды по годам'!U131-1,""),"")</f>
        <v>9.2099756360980223E-2</v>
      </c>
      <c r="S131">
        <f>IFERROR(IF(AND('Дивиденды по годам'!L131&lt;&gt;"",'Дивиденды по годам'!I131&lt;&gt;"",'Дивиденды по годам'!J131&lt;&gt;"",'Дивиденды по годам'!K131&lt;&gt;"",('Дивиденды по годам'!I131-'Дивиденды по годам'!J131-'Дивиденды по годам'!K131)&lt;&gt;0),'Дивиденды по годам'!L131/('Дивиденды по годам'!I131-'Дивиденды по годам'!J131-'Дивиденды по годам'!K131),""),"")</f>
        <v>0.21297275216059736</v>
      </c>
      <c r="T131">
        <f>IFERROR(IF(AND('Дивиденды по годам'!Q131&lt;&gt;"",'Дивиденды по годам'!I131&lt;&gt;"",'Дивиденды по годам'!V131&lt;&gt;"",('Дивиденды по годам'!I131+'Дивиденды по годам'!V131)&lt;&gt;0),'Дивиденды по годам'!Q131/(('Дивиденды по годам'!I131+'Дивиденды по годам'!V131)/2),""),"")</f>
        <v>-3.4695161134935509E-2</v>
      </c>
      <c r="U131">
        <f>IFERROR(IF(AND('Дивиденды по годам'!J131&lt;&gt;"",'Дивиденды по годам'!K131&lt;&gt;"",'Дивиденды по годам'!M131&lt;&gt;"",'Дивиденды по годам'!M131&lt;&gt;0),('Дивиденды по годам'!J131+'Дивиденды по годам'!K131)/'Дивиденды по годам'!M131,""),"")</f>
        <v>0.99943424670093295</v>
      </c>
      <c r="V131" cm="1">
        <f t="array" ref="V131">IFERROR(AVERAGE(_xlfn._xlws.FILTER(P$2:P$1073,($C$2:$C$1073=$C131)*($E$2:$E$1073=$E131)*(ROW(P$2:P$1073)&lt;&gt;ROW(P131))*(P$2:P$1073&lt;&gt;""))),"")</f>
        <v>26.270782101618863</v>
      </c>
      <c r="W131" cm="1">
        <f t="array" ref="W131">IFERROR(AVERAGE(_xlfn._xlws.FILTER(Q$2:Q$1073,($C$2:$C$1073=$C131)*($E$2:$E$1073=$E131)*(ROW(Q$2:Q$1073)&lt;&gt;ROW(Q131))*(Q$2:Q$1073&lt;&gt;""))),"")</f>
        <v>0.67817734409966757</v>
      </c>
      <c r="X131" cm="1">
        <f t="array" ref="X131">IFERROR(AVERAGE(_xlfn._xlws.FILTER(R$2:R$1073,($C$2:$C$1073=$C131)*($E$2:$E$1073=$E131)*(ROW(R$2:R$1073)&lt;&gt;ROW(R131))*(R$2:R$1073&lt;&gt;""))),"")</f>
        <v>0.10014060620396352</v>
      </c>
      <c r="Y131" cm="1">
        <f t="array" ref="Y131">IFERROR(AVERAGE(_xlfn._xlws.FILTER(S$2:S$1073,($C$2:$C$1073=$C131)*($E$2:$E$1073=$E131)*(ROW(S$2:S$1073)&lt;&gt;ROW(S131))*(S$2:S$1073&lt;&gt;""))),"")</f>
        <v>0.60191645877310007</v>
      </c>
      <c r="Z131" cm="1">
        <f t="array" ref="Z131">IFERROR(AVERAGE(_xlfn._xlws.FILTER(T$2:T$1073,($C$2:$C$1073=$C131)*($E$2:$E$1073=$E131)*(ROW(T$2:T$1073)&lt;&gt;ROW(T131))*(T$2:T$1073&lt;&gt;""))),"")</f>
        <v>6.7543252470251558E-2</v>
      </c>
      <c r="AA131" cm="1">
        <f t="array" ref="AA131">IFERROR(AVERAGE(_xlfn._xlws.FILTER(U$2:U$1073,($C$2:$C$1073=$C131)*($E$2:$E$1073=$E131)*(ROW(U$2:U$1073)&lt;&gt;ROW(U131))*(U$2:U$1073&lt;&gt;""))),"")</f>
        <v>0.92450915567141989</v>
      </c>
    </row>
    <row r="132" spans="1:27" x14ac:dyDescent="0.2">
      <c r="A132" s="7" t="s">
        <v>2193</v>
      </c>
      <c r="B132" t="str">
        <f t="shared" si="24"/>
        <v>FEES IV кв. 2023</v>
      </c>
      <c r="C132">
        <v>2023</v>
      </c>
      <c r="D132">
        <f>SUMIFS(Дивиденды!$C:$C,Дивиденды!$A:$A,A132,Дивиденды!$I:$I,C132)</f>
        <v>0</v>
      </c>
      <c r="E132">
        <v>2</v>
      </c>
      <c r="F132">
        <f t="shared" si="25"/>
        <v>0</v>
      </c>
      <c r="G132">
        <f t="shared" si="26"/>
        <v>6.6299999999999998E-2</v>
      </c>
      <c r="H132">
        <f t="shared" si="27"/>
        <v>0</v>
      </c>
      <c r="I132">
        <f t="shared" si="23"/>
        <v>0.58333333333333337</v>
      </c>
      <c r="J132">
        <f t="shared" si="28"/>
        <v>0</v>
      </c>
      <c r="K132">
        <f t="shared" ref="K132:K195" si="32">IFERROR(AVERAGEIFS($J:$J,$E:$E,E132,$C:$C,C132,$A:$A,"&lt;&gt;"&amp;A132),"")</f>
        <v>0.11703324263565433</v>
      </c>
      <c r="L132">
        <f t="shared" si="29"/>
        <v>0</v>
      </c>
      <c r="M132">
        <f t="shared" si="22"/>
        <v>0.5</v>
      </c>
      <c r="N132">
        <f t="shared" si="30"/>
        <v>0</v>
      </c>
      <c r="O132">
        <f t="shared" si="31"/>
        <v>0.25</v>
      </c>
      <c r="P132">
        <f>IFERROR(LN('Дивиденды по годам'!I132),"")</f>
        <v>28.822152419995955</v>
      </c>
      <c r="Q132">
        <f>IFERROR('Дивиденды по годам'!G132/'Дивиденды по годам'!I132, "")</f>
        <v>0.80572273871232603</v>
      </c>
      <c r="R132">
        <f>IFERROR(IF(AND('Дивиденды по годам'!N132&lt;&gt;"",'Дивиденды по годам'!U132&lt;&gt;"",'Дивиденды по годам'!U132&lt;&gt;0),'Дивиденды по годам'!N132/'Дивиденды по годам'!U132-1,""),"")</f>
        <v>0.16687092367615231</v>
      </c>
      <c r="S132">
        <f>IFERROR(IF(AND('Дивиденды по годам'!L132&lt;&gt;"",'Дивиденды по годам'!I132&lt;&gt;"",'Дивиденды по годам'!J132&lt;&gt;"",'Дивиденды по годам'!K132&lt;&gt;"",('Дивиденды по годам'!I132-'Дивиденды по годам'!J132-'Дивиденды по годам'!K132)&lt;&gt;0),'Дивиденды по годам'!L132/('Дивиденды по годам'!I132-'Дивиденды по годам'!J132-'Дивиденды по годам'!K132),""),"")</f>
        <v>0.27900671520738524</v>
      </c>
      <c r="T132">
        <f>IFERROR(IF(AND('Дивиденды по годам'!Q132&lt;&gt;"",'Дивиденды по годам'!I132&lt;&gt;"",'Дивиденды по годам'!V132&lt;&gt;"",('Дивиденды по годам'!I132+'Дивиденды по годам'!V132)&lt;&gt;0),'Дивиденды по годам'!Q132/(('Дивиденды по годам'!I132+'Дивиденды по годам'!V132)/2),""),"")</f>
        <v>5.1912842186356362E-2</v>
      </c>
      <c r="U132">
        <f>IFERROR(IF(AND('Дивиденды по годам'!J132&lt;&gt;"",'Дивиденды по годам'!K132&lt;&gt;"",'Дивиденды по годам'!M132&lt;&gt;"",'Дивиденды по годам'!M132&lt;&gt;0),('Дивиденды по годам'!J132+'Дивиденды по годам'!K132)/'Дивиденды по годам'!M132,""),"")</f>
        <v>0.77697152570634953</v>
      </c>
      <c r="V132" cm="1">
        <f t="array" ref="V132">IFERROR(AVERAGE(_xlfn._xlws.FILTER(P$2:P$1073,($C$2:$C$1073=$C132)*($E$2:$E$1073=$E132)*(ROW(P$2:P$1073)&lt;&gt;ROW(P132))*(P$2:P$1073&lt;&gt;""))),"")</f>
        <v>26.145143906574464</v>
      </c>
      <c r="W132" cm="1">
        <f t="array" ref="W132">IFERROR(AVERAGE(_xlfn._xlws.FILTER(Q$2:Q$1073,($C$2:$C$1073=$C132)*($E$2:$E$1073=$E132)*(ROW(Q$2:Q$1073)&lt;&gt;ROW(Q132))*(Q$2:Q$1073&lt;&gt;""))),"")</f>
        <v>0.69820414797657071</v>
      </c>
      <c r="X132" cm="1">
        <f t="array" ref="X132">IFERROR(AVERAGE(_xlfn._xlws.FILTER(R$2:R$1073,($C$2:$C$1073=$C132)*($E$2:$E$1073=$E132)*(ROW(R$2:R$1073)&lt;&gt;ROW(R132))*(R$2:R$1073&lt;&gt;""))),"")</f>
        <v>0.13681552180978906</v>
      </c>
      <c r="Y132" cm="1">
        <f t="array" ref="Y132">IFERROR(AVERAGE(_xlfn._xlws.FILTER(S$2:S$1073,($C$2:$C$1073=$C132)*($E$2:$E$1073=$E132)*(ROW(S$2:S$1073)&lt;&gt;ROW(S132))*(S$2:S$1073&lt;&gt;""))),"")</f>
        <v>0.5696467567573108</v>
      </c>
      <c r="Z132" cm="1">
        <f t="array" ref="Z132">IFERROR(AVERAGE(_xlfn._xlws.FILTER(T$2:T$1073,($C$2:$C$1073=$C132)*($E$2:$E$1073=$E132)*(ROW(T$2:T$1073)&lt;&gt;ROW(T132))*(T$2:T$1073&lt;&gt;""))),"")</f>
        <v>7.8483379666363887E-2</v>
      </c>
      <c r="AA132" cm="1">
        <f t="array" ref="AA132">IFERROR(AVERAGE(_xlfn._xlws.FILTER(U$2:U$1073,($C$2:$C$1073=$C132)*($E$2:$E$1073=$E132)*(ROW(U$2:U$1073)&lt;&gt;ROW(U132))*(U$2:U$1073&lt;&gt;""))),"")</f>
        <v>0.82912903164528062</v>
      </c>
    </row>
    <row r="133" spans="1:27" x14ac:dyDescent="0.2">
      <c r="A133" s="7" t="s">
        <v>2193</v>
      </c>
      <c r="B133" t="str">
        <f t="shared" si="24"/>
        <v>FEES IV кв. 2022</v>
      </c>
      <c r="C133">
        <v>2022</v>
      </c>
      <c r="D133">
        <f>SUMIFS(Дивиденды!$C:$C,Дивиденды!$A:$A,A133,Дивиденды!$I:$I,C133)</f>
        <v>0</v>
      </c>
      <c r="E133">
        <v>2</v>
      </c>
      <c r="F133">
        <f t="shared" si="25"/>
        <v>0</v>
      </c>
      <c r="G133">
        <f t="shared" si="26"/>
        <v>6.4731666666666673E-2</v>
      </c>
      <c r="H133">
        <f t="shared" si="27"/>
        <v>0</v>
      </c>
      <c r="I133">
        <f t="shared" si="23"/>
        <v>0.66666666666666663</v>
      </c>
      <c r="J133">
        <f t="shared" si="28"/>
        <v>0</v>
      </c>
      <c r="K133">
        <f t="shared" si="32"/>
        <v>-0.16164186159374039</v>
      </c>
      <c r="L133">
        <f t="shared" si="29"/>
        <v>0</v>
      </c>
      <c r="M133">
        <f t="shared" si="22"/>
        <v>0.33333333333333331</v>
      </c>
      <c r="N133">
        <f t="shared" si="30"/>
        <v>0</v>
      </c>
      <c r="O133">
        <f t="shared" si="31"/>
        <v>0.5</v>
      </c>
      <c r="P133">
        <f>IFERROR(LN('Дивиденды по годам'!I133),"")</f>
        <v>28.704065650848612</v>
      </c>
      <c r="Q133">
        <f>IFERROR('Дивиденды по годам'!G133/'Дивиденды по годам'!I133, "")</f>
        <v>0.78891340023780299</v>
      </c>
      <c r="R133" t="str">
        <f>IFERROR(IF(AND('Дивиденды по годам'!N133&lt;&gt;"",'Дивиденды по годам'!U133&lt;&gt;"",'Дивиденды по годам'!U133&lt;&gt;0),'Дивиденды по годам'!N133/'Дивиденды по годам'!U133-1,""),"")</f>
        <v/>
      </c>
      <c r="S133">
        <f>IFERROR(IF(AND('Дивиденды по годам'!L133&lt;&gt;"",'Дивиденды по годам'!I133&lt;&gt;"",'Дивиденды по годам'!J133&lt;&gt;"",'Дивиденды по годам'!K133&lt;&gt;"",('Дивиденды по годам'!I133-'Дивиденды по годам'!J133-'Дивиденды по годам'!K133)&lt;&gt;0),'Дивиденды по годам'!L133/('Дивиденды по годам'!I133-'Дивиденды по годам'!J133-'Дивиденды по годам'!K133),""),"")</f>
        <v>0.48270401903372961</v>
      </c>
      <c r="T133" t="str">
        <f>IFERROR(IF(AND('Дивиденды по годам'!Q133&lt;&gt;"",'Дивиденды по годам'!I133&lt;&gt;"",'Дивиденды по годам'!V133&lt;&gt;"",('Дивиденды по годам'!I133+'Дивиденды по годам'!V133)&lt;&gt;0),'Дивиденды по годам'!Q133/(('Дивиденды по годам'!I133+'Дивиденды по годам'!V133)/2),""),"")</f>
        <v/>
      </c>
      <c r="U133">
        <f>IFERROR(IF(AND('Дивиденды по годам'!J133&lt;&gt;"",'Дивиденды по годам'!K133&lt;&gt;"",'Дивиденды по годам'!M133&lt;&gt;"",'Дивиденды по годам'!M133&lt;&gt;0),('Дивиденды по годам'!J133+'Дивиденды по годам'!K133)/'Дивиденды по годам'!M133,""),"")</f>
        <v>0.81942159661335001</v>
      </c>
      <c r="V133" cm="1">
        <f t="array" ref="V133">IFERROR(AVERAGE(_xlfn._xlws.FILTER(P$2:P$1073,($C$2:$C$1073=$C133)*($E$2:$E$1073=$E133)*(ROW(P$2:P$1073)&lt;&gt;ROW(P133))*(P$2:P$1073&lt;&gt;""))),"")</f>
        <v>26.045639808249405</v>
      </c>
      <c r="W133" cm="1">
        <f t="array" ref="W133">IFERROR(AVERAGE(_xlfn._xlws.FILTER(Q$2:Q$1073,($C$2:$C$1073=$C133)*($E$2:$E$1073=$E133)*(ROW(Q$2:Q$1073)&lt;&gt;ROW(Q133))*(Q$2:Q$1073&lt;&gt;""))),"")</f>
        <v>0.69915195129800645</v>
      </c>
      <c r="X133" cm="1">
        <f t="array" ref="X133">IFERROR(AVERAGE(_xlfn._xlws.FILTER(R$2:R$1073,($C$2:$C$1073=$C133)*($E$2:$E$1073=$E133)*(ROW(R$2:R$1073)&lt;&gt;ROW(R133))*(R$2:R$1073&lt;&gt;""))),"")</f>
        <v>7.2941844461954591E-2</v>
      </c>
      <c r="Y133" cm="1">
        <f t="array" ref="Y133">IFERROR(AVERAGE(_xlfn._xlws.FILTER(S$2:S$1073,($C$2:$C$1073=$C133)*($E$2:$E$1073=$E133)*(ROW(S$2:S$1073)&lt;&gt;ROW(S133))*(S$2:S$1073&lt;&gt;""))),"")</f>
        <v>0.51854239471205987</v>
      </c>
      <c r="Z133" cm="1">
        <f t="array" ref="Z133">IFERROR(AVERAGE(_xlfn._xlws.FILTER(T$2:T$1073,($C$2:$C$1073=$C133)*($E$2:$E$1073=$E133)*(ROW(T$2:T$1073)&lt;&gt;ROW(T133))*(T$2:T$1073&lt;&gt;""))),"")</f>
        <v>1.2629583278270708E-2</v>
      </c>
      <c r="AA133" cm="1">
        <f t="array" ref="AA133">IFERROR(AVERAGE(_xlfn._xlws.FILTER(U$2:U$1073,($C$2:$C$1073=$C133)*($E$2:$E$1073=$E133)*(ROW(U$2:U$1073)&lt;&gt;ROW(U133))*(U$2:U$1073&lt;&gt;""))),"")</f>
        <v>0.91920840798702663</v>
      </c>
    </row>
    <row r="134" spans="1:27" x14ac:dyDescent="0.2">
      <c r="A134" s="7" t="s">
        <v>2193</v>
      </c>
      <c r="B134" t="str">
        <f t="shared" si="24"/>
        <v>FEES IV кв. 2021</v>
      </c>
      <c r="C134">
        <v>2021</v>
      </c>
      <c r="D134">
        <f>SUMIFS(Дивиденды!$C:$C,Дивиденды!$A:$A,A134,Дивиденды!$I:$I,C134)</f>
        <v>0</v>
      </c>
      <c r="E134">
        <v>2</v>
      </c>
      <c r="F134">
        <f t="shared" si="25"/>
        <v>0</v>
      </c>
      <c r="G134">
        <f t="shared" si="26"/>
        <v>8.178524999999999E-2</v>
      </c>
      <c r="H134">
        <f t="shared" si="27"/>
        <v>0</v>
      </c>
      <c r="I134">
        <f t="shared" si="23"/>
        <v>0.83333333333333337</v>
      </c>
      <c r="J134">
        <f t="shared" si="28"/>
        <v>-1</v>
      </c>
      <c r="K134">
        <f t="shared" si="32"/>
        <v>0.24720951725738896</v>
      </c>
      <c r="L134">
        <f t="shared" si="29"/>
        <v>0</v>
      </c>
      <c r="M134">
        <f t="shared" si="22"/>
        <v>0.66666666666666663</v>
      </c>
      <c r="N134">
        <f t="shared" si="30"/>
        <v>1</v>
      </c>
      <c r="O134">
        <f t="shared" si="31"/>
        <v>0.16666666666666666</v>
      </c>
      <c r="P134" t="str">
        <f>IFERROR(LN('Дивиденды по годам'!I134),"")</f>
        <v/>
      </c>
      <c r="Q134" t="str">
        <f>IFERROR('Дивиденды по годам'!G134/'Дивиденды по годам'!I134, "")</f>
        <v/>
      </c>
      <c r="R134" t="str">
        <f>IFERROR(IF(AND('Дивиденды по годам'!N134&lt;&gt;"",'Дивиденды по годам'!U134&lt;&gt;"",'Дивиденды по годам'!U134&lt;&gt;0),'Дивиденды по годам'!N134/'Дивиденды по годам'!U134-1,""),"")</f>
        <v/>
      </c>
      <c r="S134" t="str">
        <f>IFERROR(IF(AND('Дивиденды по годам'!L134&lt;&gt;"",'Дивиденды по годам'!I134&lt;&gt;"",'Дивиденды по годам'!J134&lt;&gt;"",'Дивиденды по годам'!K134&lt;&gt;"",('Дивиденды по годам'!I134-'Дивиденды по годам'!J134-'Дивиденды по годам'!K134)&lt;&gt;0),'Дивиденды по годам'!L134/('Дивиденды по годам'!I134-'Дивиденды по годам'!J134-'Дивиденды по годам'!K134),""),"")</f>
        <v/>
      </c>
      <c r="T134" t="str">
        <f>IFERROR(IF(AND('Дивиденды по годам'!Q134&lt;&gt;"",'Дивиденды по годам'!I134&lt;&gt;"",'Дивиденды по годам'!V134&lt;&gt;"",('Дивиденды по годам'!I134+'Дивиденды по годам'!V134)&lt;&gt;0),'Дивиденды по годам'!Q134/(('Дивиденды по годам'!I134+'Дивиденды по годам'!V134)/2),""),"")</f>
        <v/>
      </c>
      <c r="U134" t="str">
        <f>IFERROR(IF(AND('Дивиденды по годам'!J134&lt;&gt;"",'Дивиденды по годам'!K134&lt;&gt;"",'Дивиденды по годам'!M134&lt;&gt;"",'Дивиденды по годам'!M134&lt;&gt;0),('Дивиденды по годам'!J134+'Дивиденды по годам'!K134)/'Дивиденды по годам'!M134,""),"")</f>
        <v/>
      </c>
      <c r="V134" cm="1">
        <f t="array" ref="V134">IFERROR(AVERAGE(_xlfn._xlws.FILTER(P$2:P$1073,($C$2:$C$1073=$C134)*($E$2:$E$1073=$E134)*(ROW(P$2:P$1073)&lt;&gt;ROW(P134))*(P$2:P$1073&lt;&gt;""))),"")</f>
        <v>25.926715708145551</v>
      </c>
      <c r="W134" cm="1">
        <f t="array" ref="W134">IFERROR(AVERAGE(_xlfn._xlws.FILTER(Q$2:Q$1073,($C$2:$C$1073=$C134)*($E$2:$E$1073=$E134)*(ROW(Q$2:Q$1073)&lt;&gt;ROW(Q134))*(Q$2:Q$1073&lt;&gt;""))),"")</f>
        <v>0.76996354437031223</v>
      </c>
      <c r="X134" cm="1">
        <f t="array" ref="X134">IFERROR(AVERAGE(_xlfn._xlws.FILTER(R$2:R$1073,($C$2:$C$1073=$C134)*($E$2:$E$1073=$E134)*(ROW(R$2:R$1073)&lt;&gt;ROW(R134))*(R$2:R$1073&lt;&gt;""))),"")</f>
        <v>0.12673015499771914</v>
      </c>
      <c r="Y134" cm="1">
        <f t="array" ref="Y134">IFERROR(AVERAGE(_xlfn._xlws.FILTER(S$2:S$1073,($C$2:$C$1073=$C134)*($E$2:$E$1073=$E134)*(ROW(S$2:S$1073)&lt;&gt;ROW(S134))*(S$2:S$1073&lt;&gt;""))),"")</f>
        <v>0.50118890467381838</v>
      </c>
      <c r="Z134" cm="1">
        <f t="array" ref="Z134">IFERROR(AVERAGE(_xlfn._xlws.FILTER(T$2:T$1073,($C$2:$C$1073=$C134)*($E$2:$E$1073=$E134)*(ROW(T$2:T$1073)&lt;&gt;ROW(T134))*(T$2:T$1073&lt;&gt;""))),"")</f>
        <v>3.6434668126956032E-2</v>
      </c>
      <c r="AA134" cm="1">
        <f t="array" ref="AA134">IFERROR(AVERAGE(_xlfn._xlws.FILTER(U$2:U$1073,($C$2:$C$1073=$C134)*($E$2:$E$1073=$E134)*(ROW(U$2:U$1073)&lt;&gt;ROW(U134))*(U$2:U$1073&lt;&gt;""))),"")</f>
        <v>0.71481348410985535</v>
      </c>
    </row>
    <row r="135" spans="1:27" x14ac:dyDescent="0.2">
      <c r="A135" s="7" t="s">
        <v>2193</v>
      </c>
      <c r="B135" t="str">
        <f t="shared" si="24"/>
        <v>FEES IV кв. 2020</v>
      </c>
      <c r="C135">
        <v>2020</v>
      </c>
      <c r="D135">
        <f>SUMIFS(Дивиденды!$C:$C,Дивиденды!$A:$A,A135,Дивиденды!$I:$I,C135)</f>
        <v>1.61E-2</v>
      </c>
      <c r="E135">
        <v>2</v>
      </c>
      <c r="F135">
        <f t="shared" si="25"/>
        <v>1.61E-2</v>
      </c>
      <c r="G135">
        <f t="shared" si="26"/>
        <v>6.8564249999999993E-2</v>
      </c>
      <c r="H135">
        <f t="shared" si="27"/>
        <v>1</v>
      </c>
      <c r="I135">
        <f t="shared" si="23"/>
        <v>0.75</v>
      </c>
      <c r="J135">
        <f t="shared" si="28"/>
        <v>-0.12041083916083921</v>
      </c>
      <c r="K135">
        <f t="shared" si="32"/>
        <v>-7.5589795105975952E-2</v>
      </c>
      <c r="L135">
        <f t="shared" si="29"/>
        <v>0</v>
      </c>
      <c r="M135">
        <f t="shared" si="22"/>
        <v>0.58333333333333337</v>
      </c>
      <c r="N135">
        <f t="shared" si="30"/>
        <v>1</v>
      </c>
      <c r="O135">
        <f t="shared" si="31"/>
        <v>0.41666666666666669</v>
      </c>
      <c r="P135">
        <f>IFERROR(LN('Дивиденды по годам'!I135),"")</f>
        <v>27.923808633388241</v>
      </c>
      <c r="Q135">
        <f>IFERROR('Дивиденды по годам'!G135/'Дивиденды по годам'!I135, "")</f>
        <v>0.79775220533698266</v>
      </c>
      <c r="R135">
        <f>IFERROR(IF(AND('Дивиденды по годам'!N135&lt;&gt;"",'Дивиденды по годам'!U135&lt;&gt;"",'Дивиденды по годам'!U135&lt;&gt;0),'Дивиденды по годам'!N135/'Дивиденды по годам'!U135-1,""),"")</f>
        <v>-4.9304718141428117E-2</v>
      </c>
      <c r="S135">
        <f>IFERROR(IF(AND('Дивиденды по годам'!L135&lt;&gt;"",'Дивиденды по годам'!I135&lt;&gt;"",'Дивиденды по годам'!J135&lt;&gt;"",'Дивиденды по годам'!K135&lt;&gt;"",('Дивиденды по годам'!I135-'Дивиденды по годам'!J135-'Дивиденды по годам'!K135)&lt;&gt;0),'Дивиденды по годам'!L135/('Дивиденды по годам'!I135-'Дивиденды по годам'!J135-'Дивиденды по годам'!K135),""),"")</f>
        <v>0.28911887241242246</v>
      </c>
      <c r="T135">
        <f>IFERROR(IF(AND('Дивиденды по годам'!Q135&lt;&gt;"",'Дивиденды по годам'!I135&lt;&gt;"",'Дивиденды по годам'!V135&lt;&gt;"",('Дивиденды по годам'!I135+'Дивиденды по годам'!V135)&lt;&gt;0),'Дивиденды по годам'!Q135/(('Дивиденды по годам'!I135+'Дивиденды по годам'!V135)/2),""),"")</f>
        <v>4.5154930680452642E-2</v>
      </c>
      <c r="U135">
        <f>IFERROR(IF(AND('Дивиденды по годам'!J135&lt;&gt;"",'Дивиденды по годам'!K135&lt;&gt;"",'Дивиденды по годам'!M135&lt;&gt;"",'Дивиденды по годам'!M135&lt;&gt;0),('Дивиденды по годам'!J135+'Дивиденды по годам'!K135)/'Дивиденды по годам'!M135,""),"")</f>
        <v>0.40922999917979863</v>
      </c>
      <c r="V135" cm="1">
        <f t="array" ref="V135">IFERROR(AVERAGE(_xlfn._xlws.FILTER(P$2:P$1073,($C$2:$C$1073=$C135)*($E$2:$E$1073=$E135)*(ROW(P$2:P$1073)&lt;&gt;ROW(P135))*(P$2:P$1073&lt;&gt;""))),"")</f>
        <v>26.027234725551281</v>
      </c>
      <c r="W135" cm="1">
        <f t="array" ref="W135">IFERROR(AVERAGE(_xlfn._xlws.FILTER(Q$2:Q$1073,($C$2:$C$1073=$C135)*($E$2:$E$1073=$E135)*(ROW(Q$2:Q$1073)&lt;&gt;ROW(Q135))*(Q$2:Q$1073&lt;&gt;""))),"")</f>
        <v>0.74057053849134791</v>
      </c>
      <c r="X135" cm="1">
        <f t="array" ref="X135">IFERROR(AVERAGE(_xlfn._xlws.FILTER(R$2:R$1073,($C$2:$C$1073=$C135)*($E$2:$E$1073=$E135)*(ROW(R$2:R$1073)&lt;&gt;ROW(R135))*(R$2:R$1073&lt;&gt;""))),"")</f>
        <v>-6.5433220187321964E-2</v>
      </c>
      <c r="Y135" cm="1">
        <f t="array" ref="Y135">IFERROR(AVERAGE(_xlfn._xlws.FILTER(S$2:S$1073,($C$2:$C$1073=$C135)*($E$2:$E$1073=$E135)*(ROW(S$2:S$1073)&lt;&gt;ROW(S135))*(S$2:S$1073&lt;&gt;""))),"")</f>
        <v>0.50074955096963469</v>
      </c>
      <c r="Z135" cm="1">
        <f t="array" ref="Z135">IFERROR(AVERAGE(_xlfn._xlws.FILTER(T$2:T$1073,($C$2:$C$1073=$C135)*($E$2:$E$1073=$E135)*(ROW(T$2:T$1073)&lt;&gt;ROW(T135))*(T$2:T$1073&lt;&gt;""))),"")</f>
        <v>4.2443362797468832E-2</v>
      </c>
      <c r="AA135" cm="1">
        <f t="array" ref="AA135">IFERROR(AVERAGE(_xlfn._xlws.FILTER(U$2:U$1073,($C$2:$C$1073=$C135)*($E$2:$E$1073=$E135)*(ROW(U$2:U$1073)&lt;&gt;ROW(U135))*(U$2:U$1073&lt;&gt;""))),"")</f>
        <v>0.68042802067048858</v>
      </c>
    </row>
    <row r="136" spans="1:27" x14ac:dyDescent="0.2">
      <c r="A136" s="7" t="s">
        <v>2193</v>
      </c>
      <c r="B136" t="str">
        <f t="shared" si="24"/>
        <v>FEES IV кв. 2019</v>
      </c>
      <c r="C136">
        <v>2019</v>
      </c>
      <c r="D136">
        <f>SUMIFS(Дивиденды!$C:$C,Дивиденды!$A:$A,A136,Дивиденды!$I:$I,C136)</f>
        <v>1.8304000000000001E-2</v>
      </c>
      <c r="E136">
        <v>2</v>
      </c>
      <c r="F136">
        <f t="shared" si="25"/>
        <v>1.8304000000000001E-2</v>
      </c>
      <c r="G136">
        <f t="shared" si="26"/>
        <v>6.9783333333333322E-2</v>
      </c>
      <c r="H136">
        <f t="shared" si="27"/>
        <v>1</v>
      </c>
      <c r="I136">
        <f t="shared" si="23"/>
        <v>1</v>
      </c>
      <c r="J136">
        <f t="shared" si="28"/>
        <v>0.14400000000000002</v>
      </c>
      <c r="K136">
        <f t="shared" si="32"/>
        <v>0.16009275766992095</v>
      </c>
      <c r="L136">
        <f t="shared" si="29"/>
        <v>1</v>
      </c>
      <c r="M136">
        <f t="shared" si="22"/>
        <v>0.41666666666666669</v>
      </c>
      <c r="N136">
        <f t="shared" si="30"/>
        <v>0</v>
      </c>
      <c r="O136">
        <f t="shared" si="31"/>
        <v>0.5</v>
      </c>
      <c r="P136">
        <f>IFERROR(LN('Дивиденды по годам'!I136),"")</f>
        <v>27.885927640455453</v>
      </c>
      <c r="Q136">
        <f>IFERROR('Дивиденды по годам'!G136/'Дивиденды по годам'!I136, "")</f>
        <v>0.79428693655398064</v>
      </c>
      <c r="R136">
        <f>IFERROR(IF(AND('Дивиденды по годам'!N136&lt;&gt;"",'Дивиденды по годам'!U136&lt;&gt;"",'Дивиденды по годам'!U136&lt;&gt;0),'Дивиденды по годам'!N136/'Дивиденды по годам'!U136-1,""),"")</f>
        <v>-1.7198272298103334E-2</v>
      </c>
      <c r="S136">
        <f>IFERROR(IF(AND('Дивиденды по годам'!L136&lt;&gt;"",'Дивиденды по годам'!I136&lt;&gt;"",'Дивиденды по годам'!J136&lt;&gt;"",'Дивиденды по годам'!K136&lt;&gt;"",('Дивиденды по годам'!I136-'Дивиденды по годам'!J136-'Дивиденды по годам'!K136)&lt;&gt;0),'Дивиденды по годам'!L136/('Дивиденды по годам'!I136-'Дивиденды по годам'!J136-'Дивиденды по годам'!K136),""),"")</f>
        <v>0.25234202425414509</v>
      </c>
      <c r="T136">
        <f>IFERROR(IF(AND('Дивиденды по годам'!Q136&lt;&gt;"",'Дивиденды по годам'!I136&lt;&gt;"",'Дивиденды по годам'!V136&lt;&gt;"",('Дивиденды по годам'!I136+'Дивиденды по годам'!V136)&lt;&gt;0),'Дивиденды по годам'!Q136/(('Дивиденды по годам'!I136+'Дивиденды по годам'!V136)/2),""),"")</f>
        <v>6.9327510029475278E-2</v>
      </c>
      <c r="U136">
        <f>IFERROR(IF(AND('Дивиденды по годам'!J136&lt;&gt;"",'Дивиденды по годам'!K136&lt;&gt;"",'Дивиденды по годам'!M136&lt;&gt;"",'Дивиденды по годам'!M136&lt;&gt;0),('Дивиденды по годам'!J136+'Дивиденды по годам'!K136)/'Дивиденды по годам'!M136,""),"")</f>
        <v>0.4308759081997463</v>
      </c>
      <c r="V136" cm="1">
        <f t="array" ref="V136">IFERROR(AVERAGE(_xlfn._xlws.FILTER(P$2:P$1073,($C$2:$C$1073=$C136)*($E$2:$E$1073=$E136)*(ROW(P$2:P$1073)&lt;&gt;ROW(P136))*(P$2:P$1073&lt;&gt;""))),"")</f>
        <v>25.987330668345816</v>
      </c>
      <c r="W136" cm="1">
        <f t="array" ref="W136">IFERROR(AVERAGE(_xlfn._xlws.FILTER(Q$2:Q$1073,($C$2:$C$1073=$C136)*($E$2:$E$1073=$E136)*(ROW(Q$2:Q$1073)&lt;&gt;ROW(Q136))*(Q$2:Q$1073&lt;&gt;""))),"")</f>
        <v>0.73222076789843127</v>
      </c>
      <c r="X136" cm="1">
        <f t="array" ref="X136">IFERROR(AVERAGE(_xlfn._xlws.FILTER(R$2:R$1073,($C$2:$C$1073=$C136)*($E$2:$E$1073=$E136)*(ROW(R$2:R$1073)&lt;&gt;ROW(R136))*(R$2:R$1073&lt;&gt;""))),"")</f>
        <v>5.2045997525426062E-3</v>
      </c>
      <c r="Y136" cm="1">
        <f t="array" ref="Y136">IFERROR(AVERAGE(_xlfn._xlws.FILTER(S$2:S$1073,($C$2:$C$1073=$C136)*($E$2:$E$1073=$E136)*(ROW(S$2:S$1073)&lt;&gt;ROW(S136))*(S$2:S$1073&lt;&gt;""))),"")</f>
        <v>0.49249805237583061</v>
      </c>
      <c r="Z136" cm="1">
        <f t="array" ref="Z136">IFERROR(AVERAGE(_xlfn._xlws.FILTER(T$2:T$1073,($C$2:$C$1073=$C136)*($E$2:$E$1073=$E136)*(ROW(T$2:T$1073)&lt;&gt;ROW(T136))*(T$2:T$1073&lt;&gt;""))),"")</f>
        <v>5.0519191838669993E-2</v>
      </c>
      <c r="AA136" cm="1">
        <f t="array" ref="AA136">IFERROR(AVERAGE(_xlfn._xlws.FILTER(U$2:U$1073,($C$2:$C$1073=$C136)*($E$2:$E$1073=$E136)*(ROW(U$2:U$1073)&lt;&gt;ROW(U136))*(U$2:U$1073&lt;&gt;""))),"")</f>
        <v>0.68495235775797181</v>
      </c>
    </row>
    <row r="137" spans="1:27" x14ac:dyDescent="0.2">
      <c r="A137" s="7" t="s">
        <v>2193</v>
      </c>
      <c r="B137" t="str">
        <f t="shared" si="24"/>
        <v>FEES IV кв. 2018</v>
      </c>
      <c r="C137">
        <v>2018</v>
      </c>
      <c r="D137">
        <f>SUMIFS(Дивиденды!$C:$C,Дивиденды!$A:$A,A137,Дивиденды!$I:$I,C137)</f>
        <v>1.6E-2</v>
      </c>
      <c r="E137">
        <v>2</v>
      </c>
      <c r="F137">
        <f t="shared" si="25"/>
        <v>1.6E-2</v>
      </c>
      <c r="G137">
        <f t="shared" si="26"/>
        <v>7.9237083333333333E-2</v>
      </c>
      <c r="H137">
        <f t="shared" si="27"/>
        <v>1</v>
      </c>
      <c r="I137">
        <f t="shared" si="23"/>
        <v>1</v>
      </c>
      <c r="J137">
        <f t="shared" si="28"/>
        <v>5.2777079668258819E-3</v>
      </c>
      <c r="K137">
        <f t="shared" si="32"/>
        <v>0.19581855263368331</v>
      </c>
      <c r="L137">
        <f t="shared" si="29"/>
        <v>1</v>
      </c>
      <c r="M137">
        <f t="shared" si="22"/>
        <v>0.58333333333333337</v>
      </c>
      <c r="N137">
        <f t="shared" si="30"/>
        <v>0</v>
      </c>
      <c r="O137">
        <f t="shared" si="31"/>
        <v>0.25</v>
      </c>
      <c r="P137">
        <f>IFERROR(LN('Дивиденды по годам'!I137),"")</f>
        <v>27.820849426411897</v>
      </c>
      <c r="Q137">
        <f>IFERROR('Дивиденды по годам'!G137/'Дивиденды по годам'!I137, "")</f>
        <v>0.77522286239849403</v>
      </c>
      <c r="R137">
        <f>IFERROR(IF(AND('Дивиденды по годам'!N137&lt;&gt;"",'Дивиденды по годам'!U137&lt;&gt;"",'Дивиденды по годам'!U137&lt;&gt;0),'Дивиденды по годам'!N137/'Дивиденды по годам'!U137-1,""),"")</f>
        <v>4.8693979007869981E-2</v>
      </c>
      <c r="S137">
        <f>IFERROR(IF(AND('Дивиденды по годам'!L137&lt;&gt;"",'Дивиденды по годам'!I137&lt;&gt;"",'Дивиденды по годам'!J137&lt;&gt;"",'Дивиденды по годам'!K137&lt;&gt;"",('Дивиденды по годам'!I137-'Дивиденды по годам'!J137-'Дивиденды по годам'!K137)&lt;&gt;0),'Дивиденды по годам'!L137/('Дивиденды по годам'!I137-'Дивиденды по годам'!J137-'Дивиденды по годам'!K137),""),"")</f>
        <v>0.20341602694116273</v>
      </c>
      <c r="T137">
        <f>IFERROR(IF(AND('Дивиденды по годам'!Q137&lt;&gt;"",'Дивиденды по годам'!I137&lt;&gt;"",'Дивиденды по годам'!V137&lt;&gt;"",('Дивиденды по годам'!I137+'Дивиденды по годам'!V137)&lt;&gt;0),'Дивиденды по годам'!Q137/(('Дивиденды по годам'!I137+'Дивиденды по годам'!V137)/2),""),"")</f>
        <v>7.7601471373043296E-2</v>
      </c>
      <c r="U137">
        <f>IFERROR(IF(AND('Дивиденды по годам'!J137&lt;&gt;"",'Дивиденды по годам'!K137&lt;&gt;"",'Дивиденды по годам'!M137&lt;&gt;"",'Дивиденды по годам'!M137&lt;&gt;0),('Дивиденды по годам'!J137+'Дивиденды по годам'!K137)/'Дивиденды по годам'!M137,""),"")</f>
        <v>0.44077305693060459</v>
      </c>
      <c r="V137" cm="1">
        <f t="array" ref="V137">IFERROR(AVERAGE(_xlfn._xlws.FILTER(P$2:P$1073,($C$2:$C$1073=$C137)*($E$2:$E$1073=$E137)*(ROW(P$2:P$1073)&lt;&gt;ROW(P137))*(P$2:P$1073&lt;&gt;""))),"")</f>
        <v>25.935187895654689</v>
      </c>
      <c r="W137" cm="1">
        <f t="array" ref="W137">IFERROR(AVERAGE(_xlfn._xlws.FILTER(Q$2:Q$1073,($C$2:$C$1073=$C137)*($E$2:$E$1073=$E137)*(ROW(Q$2:Q$1073)&lt;&gt;ROW(Q137))*(Q$2:Q$1073&lt;&gt;""))),"")</f>
        <v>0.75134725046844852</v>
      </c>
      <c r="X137" cm="1">
        <f t="array" ref="X137">IFERROR(AVERAGE(_xlfn._xlws.FILTER(R$2:R$1073,($C$2:$C$1073=$C137)*($E$2:$E$1073=$E137)*(ROW(R$2:R$1073)&lt;&gt;ROW(R137))*(R$2:R$1073&lt;&gt;""))),"")</f>
        <v>5.032531711945392E-2</v>
      </c>
      <c r="Y137" cm="1">
        <f t="array" ref="Y137">IFERROR(AVERAGE(_xlfn._xlws.FILTER(S$2:S$1073,($C$2:$C$1073=$C137)*($E$2:$E$1073=$E137)*(ROW(S$2:S$1073)&lt;&gt;ROW(S137))*(S$2:S$1073&lt;&gt;""))),"")</f>
        <v>0.48615921680481328</v>
      </c>
      <c r="Z137" cm="1">
        <f t="array" ref="Z137">IFERROR(AVERAGE(_xlfn._xlws.FILTER(T$2:T$1073,($C$2:$C$1073=$C137)*($E$2:$E$1073=$E137)*(ROW(T$2:T$1073)&lt;&gt;ROW(T137))*(T$2:T$1073&lt;&gt;""))),"")</f>
        <v>6.7645638569517844E-2</v>
      </c>
      <c r="AA137" cm="1">
        <f t="array" ref="AA137">IFERROR(AVERAGE(_xlfn._xlws.FILTER(U$2:U$1073,($C$2:$C$1073=$C137)*($E$2:$E$1073=$E137)*(ROW(U$2:U$1073)&lt;&gt;ROW(U137))*(U$2:U$1073&lt;&gt;""))),"")</f>
        <v>0.64790077204236574</v>
      </c>
    </row>
    <row r="138" spans="1:27" x14ac:dyDescent="0.2">
      <c r="A138" s="7" t="s">
        <v>2193</v>
      </c>
      <c r="B138" t="str">
        <f t="shared" si="24"/>
        <v>FEES IV кв. 2017</v>
      </c>
      <c r="C138">
        <v>2017</v>
      </c>
      <c r="D138">
        <f>SUMIFS(Дивиденды!$C:$C,Дивиденды!$A:$A,A138,Дивиденды!$I:$I,C138)</f>
        <v>1.5916E-2</v>
      </c>
      <c r="E138">
        <v>2</v>
      </c>
      <c r="F138">
        <f t="shared" si="25"/>
        <v>1.5916E-2</v>
      </c>
      <c r="G138">
        <f t="shared" si="26"/>
        <v>7.0782499999999984E-2</v>
      </c>
      <c r="H138">
        <f t="shared" si="27"/>
        <v>1</v>
      </c>
      <c r="I138">
        <f t="shared" si="23"/>
        <v>1</v>
      </c>
      <c r="J138">
        <f t="shared" si="28"/>
        <v>0.11300699300699296</v>
      </c>
      <c r="K138">
        <f t="shared" si="32"/>
        <v>0.63233238818970083</v>
      </c>
      <c r="L138">
        <f t="shared" si="29"/>
        <v>1</v>
      </c>
      <c r="M138">
        <f t="shared" si="22"/>
        <v>0.75</v>
      </c>
      <c r="N138">
        <f t="shared" si="30"/>
        <v>0</v>
      </c>
      <c r="O138">
        <f t="shared" si="31"/>
        <v>0.25</v>
      </c>
      <c r="P138">
        <f>IFERROR(LN('Дивиденды по годам'!I138),"")</f>
        <v>27.799771837412212</v>
      </c>
      <c r="Q138">
        <f>IFERROR('Дивиденды по годам'!G138/'Дивиденды по годам'!I138, "")</f>
        <v>0.78932021202458136</v>
      </c>
      <c r="R138">
        <f>IFERROR(IF(AND('Дивиденды по годам'!N138&lt;&gt;"",'Дивиденды по годам'!U138&lt;&gt;"",'Дивиденды по годам'!U138&lt;&gt;0),'Дивиденды по годам'!N138/'Дивиденды по годам'!U138-1,""),"")</f>
        <v>-5.2491559175752989E-2</v>
      </c>
      <c r="S138">
        <f>IFERROR(IF(AND('Дивиденды по годам'!L138&lt;&gt;"",'Дивиденды по годам'!I138&lt;&gt;"",'Дивиденды по годам'!J138&lt;&gt;"",'Дивиденды по годам'!K138&lt;&gt;"",('Дивиденды по годам'!I138-'Дивиденды по годам'!J138-'Дивиденды по годам'!K138)&lt;&gt;0),'Дивиденды по годам'!L138/('Дивиденды по годам'!I138-'Дивиденды по годам'!J138-'Дивиденды по годам'!K138),""),"")</f>
        <v>-0.17975025194320551</v>
      </c>
      <c r="T138">
        <f>IFERROR(IF(AND('Дивиденды по годам'!Q138&lt;&gt;"",'Дивиденды по годам'!I138&lt;&gt;"",'Дивиденды по годам'!V138&lt;&gt;"",('Дивиденды по годам'!I138+'Дивиденды по годам'!V138)&lt;&gt;0),'Дивиденды по годам'!Q138/(('Дивиденды по годам'!I138+'Дивиденды по годам'!V138)/2),""),"")</f>
        <v>6.3701946789364888E-2</v>
      </c>
      <c r="U138">
        <f>IFERROR(IF(AND('Дивиденды по годам'!J138&lt;&gt;"",'Дивиденды по годам'!K138&lt;&gt;"",'Дивиденды по годам'!M138&lt;&gt;"",'Дивиденды по годам'!M138&lt;&gt;0),('Дивиденды по годам'!J138+'Дивиденды по годам'!K138)/'Дивиденды по годам'!M138,""),"")</f>
        <v>0.47651814489977151</v>
      </c>
      <c r="V138" cm="1">
        <f t="array" ref="V138">IFERROR(AVERAGE(_xlfn._xlws.FILTER(P$2:P$1073,($C$2:$C$1073=$C138)*($E$2:$E$1073=$E138)*(ROW(P$2:P$1073)&lt;&gt;ROW(P138))*(P$2:P$1073&lt;&gt;""))),"")</f>
        <v>25.904331810055144</v>
      </c>
      <c r="W138" cm="1">
        <f t="array" ref="W138">IFERROR(AVERAGE(_xlfn._xlws.FILTER(Q$2:Q$1073,($C$2:$C$1073=$C138)*($E$2:$E$1073=$E138)*(ROW(Q$2:Q$1073)&lt;&gt;ROW(Q138))*(Q$2:Q$1073&lt;&gt;""))),"")</f>
        <v>0.75768230346456289</v>
      </c>
      <c r="X138" cm="1">
        <f t="array" ref="X138">IFERROR(AVERAGE(_xlfn._xlws.FILTER(R$2:R$1073,($C$2:$C$1073=$C138)*($E$2:$E$1073=$E138)*(ROW(R$2:R$1073)&lt;&gt;ROW(R138))*(R$2:R$1073&lt;&gt;""))),"")</f>
        <v>5.4084886553558108E-2</v>
      </c>
      <c r="Y138" cm="1">
        <f t="array" ref="Y138">IFERROR(AVERAGE(_xlfn._xlws.FILTER(S$2:S$1073,($C$2:$C$1073=$C138)*($E$2:$E$1073=$E138)*(ROW(S$2:S$1073)&lt;&gt;ROW(S138))*(S$2:S$1073&lt;&gt;""))),"")</f>
        <v>0.47048960762456155</v>
      </c>
      <c r="Z138" cm="1">
        <f t="array" ref="Z138">IFERROR(AVERAGE(_xlfn._xlws.FILTER(T$2:T$1073,($C$2:$C$1073=$C138)*($E$2:$E$1073=$E138)*(ROW(T$2:T$1073)&lt;&gt;ROW(T138))*(T$2:T$1073&lt;&gt;""))),"")</f>
        <v>8.3059027573458663E-2</v>
      </c>
      <c r="AA138" cm="1">
        <f t="array" ref="AA138">IFERROR(AVERAGE(_xlfn._xlws.FILTER(U$2:U$1073,($C$2:$C$1073=$C138)*($E$2:$E$1073=$E138)*(ROW(U$2:U$1073)&lt;&gt;ROW(U138))*(U$2:U$1073&lt;&gt;""))),"")</f>
        <v>0.64419995643018158</v>
      </c>
    </row>
    <row r="139" spans="1:27" x14ac:dyDescent="0.2">
      <c r="A139" s="7" t="s">
        <v>2193</v>
      </c>
      <c r="B139" t="str">
        <f t="shared" si="24"/>
        <v>FEES IV кв. 2016</v>
      </c>
      <c r="C139">
        <v>2016</v>
      </c>
      <c r="D139">
        <f>SUMIFS(Дивиденды!$C:$C,Дивиденды!$A:$A,A139,Дивиденды!$I:$I,C139)</f>
        <v>1.43E-2</v>
      </c>
      <c r="E139">
        <v>2</v>
      </c>
      <c r="F139">
        <f t="shared" si="25"/>
        <v>1.43E-2</v>
      </c>
      <c r="G139">
        <f t="shared" si="26"/>
        <v>5.6203499999999997E-2</v>
      </c>
      <c r="H139">
        <f t="shared" si="27"/>
        <v>1</v>
      </c>
      <c r="I139">
        <f t="shared" si="23"/>
        <v>1</v>
      </c>
      <c r="J139">
        <f t="shared" si="28"/>
        <v>7.5187969924812095E-2</v>
      </c>
      <c r="K139">
        <f t="shared" si="32"/>
        <v>1.400804373645409</v>
      </c>
      <c r="L139">
        <f t="shared" si="29"/>
        <v>1</v>
      </c>
      <c r="M139">
        <f t="shared" si="22"/>
        <v>0.83333333333333337</v>
      </c>
      <c r="N139">
        <f t="shared" si="30"/>
        <v>0</v>
      </c>
      <c r="O139">
        <f t="shared" si="31"/>
        <v>0.16666666666666666</v>
      </c>
      <c r="P139">
        <f>IFERROR(LN('Дивиденды по годам'!I139),"")</f>
        <v>27.723700565667702</v>
      </c>
      <c r="Q139">
        <f>IFERROR('Дивиденды по годам'!G139/'Дивиденды по годам'!I139, "")</f>
        <v>7.7170930900274354E-2</v>
      </c>
      <c r="R139">
        <f>IFERROR(IF(AND('Дивиденды по годам'!N139&lt;&gt;"",'Дивиденды по годам'!U139&lt;&gt;"",'Дивиденды по годам'!U139&lt;&gt;0),'Дивиденды по годам'!N139/'Дивиденды по годам'!U139-1,""),"")</f>
        <v>0.36656134216562153</v>
      </c>
      <c r="S139" t="str">
        <f>IFERROR(IF(AND('Дивиденды по годам'!L139&lt;&gt;"",'Дивиденды по годам'!I139&lt;&gt;"",'Дивиденды по годам'!J139&lt;&gt;"",'Дивиденды по годам'!K139&lt;&gt;"",('Дивиденды по годам'!I139-'Дивиденды по годам'!J139-'Дивиденды по годам'!K139)&lt;&gt;0),'Дивиденды по годам'!L139/('Дивиденды по годам'!I139-'Дивиденды по годам'!J139-'Дивиденды по годам'!K139),""),"")</f>
        <v/>
      </c>
      <c r="T139">
        <f>IFERROR(IF(AND('Дивиденды по годам'!Q139&lt;&gt;"",'Дивиденды по годам'!I139&lt;&gt;"",'Дивиденды по годам'!V139&lt;&gt;"",('Дивиденды по годам'!I139+'Дивиденды по годам'!V139)&lt;&gt;0),'Дивиденды по годам'!Q139/(('Дивиденды по годам'!I139+'Дивиденды по годам'!V139)/2),""),"")</f>
        <v>6.5361076409432436E-2</v>
      </c>
      <c r="U139">
        <f>IFERROR(IF(AND('Дивиденды по годам'!J139&lt;&gt;"",'Дивиденды по годам'!K139&lt;&gt;"",'Дивиденды по годам'!M139&lt;&gt;"",'Дивиденды по годам'!M139&lt;&gt;0),('Дивиденды по годам'!J139+'Дивиденды по годам'!K139)/'Дивиденды по годам'!M139,""),"")</f>
        <v>0.50615650101521514</v>
      </c>
      <c r="V139" cm="1">
        <f t="array" ref="V139">IFERROR(AVERAGE(_xlfn._xlws.FILTER(P$2:P$1073,($C$2:$C$1073=$C139)*($E$2:$E$1073=$E139)*(ROW(P$2:P$1073)&lt;&gt;ROW(P139))*(P$2:P$1073&lt;&gt;""))),"")</f>
        <v>25.864864322896633</v>
      </c>
      <c r="W139" cm="1">
        <f t="array" ref="W139">IFERROR(AVERAGE(_xlfn._xlws.FILTER(Q$2:Q$1073,($C$2:$C$1073=$C139)*($E$2:$E$1073=$E139)*(ROW(Q$2:Q$1073)&lt;&gt;ROW(Q139))*(Q$2:Q$1073&lt;&gt;""))),"")</f>
        <v>0.76952313584463317</v>
      </c>
      <c r="X139" cm="1">
        <f t="array" ref="X139">IFERROR(AVERAGE(_xlfn._xlws.FILTER(R$2:R$1073,($C$2:$C$1073=$C139)*($E$2:$E$1073=$E139)*(ROW(R$2:R$1073)&lt;&gt;ROW(R139))*(R$2:R$1073&lt;&gt;""))),"")</f>
        <v>8.8935446229920556E-2</v>
      </c>
      <c r="Y139" cm="1">
        <f t="array" ref="Y139">IFERROR(AVERAGE(_xlfn._xlws.FILTER(S$2:S$1073,($C$2:$C$1073=$C139)*($E$2:$E$1073=$E139)*(ROW(S$2:S$1073)&lt;&gt;ROW(S139))*(S$2:S$1073&lt;&gt;""))),"")</f>
        <v>0.40889247311168003</v>
      </c>
      <c r="Z139" cm="1">
        <f t="array" ref="Z139">IFERROR(AVERAGE(_xlfn._xlws.FILTER(T$2:T$1073,($C$2:$C$1073=$C139)*($E$2:$E$1073=$E139)*(ROW(T$2:T$1073)&lt;&gt;ROW(T139))*(T$2:T$1073&lt;&gt;""))),"")</f>
        <v>3.850224331457068E-2</v>
      </c>
      <c r="AA139" cm="1">
        <f t="array" ref="AA139">IFERROR(AVERAGE(_xlfn._xlws.FILTER(U$2:U$1073,($C$2:$C$1073=$C139)*($E$2:$E$1073=$E139)*(ROW(U$2:U$1073)&lt;&gt;ROW(U139))*(U$2:U$1073&lt;&gt;""))),"")</f>
        <v>0.74461100588109508</v>
      </c>
    </row>
    <row r="140" spans="1:27" x14ac:dyDescent="0.2">
      <c r="A140" s="7" t="s">
        <v>2193</v>
      </c>
      <c r="B140" t="str">
        <f t="shared" si="24"/>
        <v>FEES IV кв. 2015</v>
      </c>
      <c r="C140">
        <v>2015</v>
      </c>
      <c r="D140">
        <f>SUMIFS(Дивиденды!$C:$C,Дивиденды!$A:$A,A140,Дивиденды!$I:$I,C140)</f>
        <v>1.3299999999999999E-2</v>
      </c>
      <c r="E140">
        <v>2</v>
      </c>
      <c r="F140">
        <f t="shared" si="25"/>
        <v>1.3299999999999999E-2</v>
      </c>
      <c r="G140">
        <f t="shared" si="26"/>
        <v>4.033175E-2</v>
      </c>
      <c r="H140">
        <f t="shared" si="27"/>
        <v>1</v>
      </c>
      <c r="I140">
        <f t="shared" si="23"/>
        <v>0.91666666666666663</v>
      </c>
      <c r="J140">
        <f t="shared" si="28"/>
        <v>12.194444444444443</v>
      </c>
      <c r="K140">
        <f t="shared" si="32"/>
        <v>3.1287727412886386</v>
      </c>
      <c r="L140">
        <f t="shared" si="29"/>
        <v>1</v>
      </c>
      <c r="M140">
        <f t="shared" si="22"/>
        <v>0.66666666666666663</v>
      </c>
      <c r="N140">
        <f t="shared" si="30"/>
        <v>0</v>
      </c>
      <c r="O140">
        <f t="shared" si="31"/>
        <v>0.33333333333333331</v>
      </c>
      <c r="P140">
        <f>IFERROR(LN('Дивиденды по годам'!I140),"")</f>
        <v>27.626338168024166</v>
      </c>
      <c r="Q140">
        <f>IFERROR('Дивиденды по годам'!G140/'Дивиденды по годам'!I140, "")</f>
        <v>0.82496825167181065</v>
      </c>
      <c r="R140">
        <f>IFERROR(IF(AND('Дивиденды по годам'!N140&lt;&gt;"",'Дивиденды по годам'!U140&lt;&gt;"",'Дивиденды по годам'!U140&lt;&gt;0),'Дивиденды по годам'!N140/'Дивиденды по годам'!U140-1,""),"")</f>
        <v>7.8960271815313288E-2</v>
      </c>
      <c r="S140" t="str">
        <f>IFERROR(IF(AND('Дивиденды по годам'!L140&lt;&gt;"",'Дивиденды по годам'!I140&lt;&gt;"",'Дивиденды по годам'!J140&lt;&gt;"",'Дивиденды по годам'!K140&lt;&gt;"",('Дивиденды по годам'!I140-'Дивиденды по годам'!J140-'Дивиденды по годам'!K140)&lt;&gt;0),'Дивиденды по годам'!L140/('Дивиденды по годам'!I140-'Дивиденды по годам'!J140-'Дивиденды по годам'!K140),""),"")</f>
        <v/>
      </c>
      <c r="T140">
        <f>IFERROR(IF(AND('Дивиденды по годам'!Q140&lt;&gt;"",'Дивиденды по годам'!I140&lt;&gt;"",'Дивиденды по годам'!V140&lt;&gt;"",('Дивиденды по годам'!I140+'Дивиденды по годам'!V140)&lt;&gt;0),'Дивиденды по годам'!Q140/(('Дивиденды по годам'!I140+'Дивиденды по годам'!V140)/2),""),"")</f>
        <v>4.5685502690231507E-2</v>
      </c>
      <c r="U140">
        <f>IFERROR(IF(AND('Дивиденды по годам'!J140&lt;&gt;"",'Дивиденды по годам'!K140&lt;&gt;"",'Дивиденды по годам'!M140&lt;&gt;"",'Дивиденды по годам'!M140&lt;&gt;0),('Дивиденды по годам'!J140+'Дивиденды по годам'!K140)/'Дивиденды по годам'!M140,""),"")</f>
        <v>0.60630561715065889</v>
      </c>
      <c r="V140" cm="1">
        <f t="array" ref="V140">IFERROR(AVERAGE(_xlfn._xlws.FILTER(P$2:P$1073,($C$2:$C$1073=$C140)*($E$2:$E$1073=$E140)*(ROW(P$2:P$1073)&lt;&gt;ROW(P140))*(P$2:P$1073&lt;&gt;""))),"")</f>
        <v>25.759307201902438</v>
      </c>
      <c r="W140" cm="1">
        <f t="array" ref="W140">IFERROR(AVERAGE(_xlfn._xlws.FILTER(Q$2:Q$1073,($C$2:$C$1073=$C140)*($E$2:$E$1073=$E140)*(ROW(Q$2:Q$1073)&lt;&gt;ROW(Q140))*(Q$2:Q$1073&lt;&gt;""))),"")</f>
        <v>0.77482447618234895</v>
      </c>
      <c r="X140" cm="1">
        <f t="array" ref="X140">IFERROR(AVERAGE(_xlfn._xlws.FILTER(R$2:R$1073,($C$2:$C$1073=$C140)*($E$2:$E$1073=$E140)*(ROW(R$2:R$1073)&lt;&gt;ROW(R140))*(R$2:R$1073&lt;&gt;""))),"")</f>
        <v>-1.2713758968043844E-3</v>
      </c>
      <c r="Y140" cm="1">
        <f t="array" ref="Y140">IFERROR(AVERAGE(_xlfn._xlws.FILTER(S$2:S$1073,($C$2:$C$1073=$C140)*($E$2:$E$1073=$E140)*(ROW(S$2:S$1073)&lt;&gt;ROW(S140))*(S$2:S$1073&lt;&gt;""))),"")</f>
        <v>0.4889220310718525</v>
      </c>
      <c r="Z140" cm="1">
        <f t="array" ref="Z140">IFERROR(AVERAGE(_xlfn._xlws.FILTER(T$2:T$1073,($C$2:$C$1073=$C140)*($E$2:$E$1073=$E140)*(ROW(T$2:T$1073)&lt;&gt;ROW(T140))*(T$2:T$1073&lt;&gt;""))),"")</f>
        <v>-1.8840324831309062E-2</v>
      </c>
      <c r="AA140" cm="1">
        <f t="array" ref="AA140">IFERROR(AVERAGE(_xlfn._xlws.FILTER(U$2:U$1073,($C$2:$C$1073=$C140)*($E$2:$E$1073=$E140)*(ROW(U$2:U$1073)&lt;&gt;ROW(U140))*(U$2:U$1073&lt;&gt;""))),"")</f>
        <v>0.9212370586178672</v>
      </c>
    </row>
    <row r="141" spans="1:27" x14ac:dyDescent="0.2">
      <c r="A141" s="7" t="s">
        <v>2193</v>
      </c>
      <c r="B141" t="str">
        <f t="shared" si="24"/>
        <v>FEES IV кв. 2014</v>
      </c>
      <c r="C141">
        <v>2014</v>
      </c>
      <c r="D141">
        <f>SUMIFS(Дивиденды!$C:$C,Дивиденды!$A:$A,A141,Дивиденды!$I:$I,C141)</f>
        <v>1.008E-3</v>
      </c>
      <c r="E141">
        <v>2</v>
      </c>
      <c r="F141">
        <f t="shared" si="25"/>
        <v>1.008E-3</v>
      </c>
      <c r="G141">
        <f t="shared" si="26"/>
        <v>3.8883916666666671E-2</v>
      </c>
      <c r="H141">
        <f t="shared" si="27"/>
        <v>1</v>
      </c>
      <c r="I141">
        <f t="shared" si="23"/>
        <v>1</v>
      </c>
      <c r="J141">
        <f t="shared" si="28"/>
        <v>1</v>
      </c>
      <c r="K141">
        <f t="shared" si="32"/>
        <v>1.3177701483499717</v>
      </c>
      <c r="L141">
        <f t="shared" si="29"/>
        <v>1</v>
      </c>
      <c r="M141">
        <f t="shared" si="22"/>
        <v>0.58333333333333337</v>
      </c>
      <c r="N141">
        <f t="shared" si="30"/>
        <v>0</v>
      </c>
      <c r="O141">
        <f t="shared" si="31"/>
        <v>0.33333333333333331</v>
      </c>
      <c r="P141">
        <f>IFERROR(LN('Дивиденды по годам'!I141),"")</f>
        <v>27.563999514497169</v>
      </c>
      <c r="Q141">
        <f>IFERROR('Дивиденды по годам'!G141/'Дивиденды по годам'!I141, "")</f>
        <v>0.85013927874462003</v>
      </c>
      <c r="R141">
        <f>IFERROR(IF(AND('Дивиденды по годам'!N141&lt;&gt;"",'Дивиденды по годам'!U141&lt;&gt;"",'Дивиденды по годам'!U141&lt;&gt;0),'Дивиденды по годам'!N141/'Дивиденды по годам'!U141-1,""),"")</f>
        <v>9.7379249224536224E-2</v>
      </c>
      <c r="S141" t="str">
        <f>IFERROR(IF(AND('Дивиденды по годам'!L141&lt;&gt;"",'Дивиденды по годам'!I141&lt;&gt;"",'Дивиденды по годам'!J141&lt;&gt;"",'Дивиденды по годам'!K141&lt;&gt;"",('Дивиденды по годам'!I141-'Дивиденды по годам'!J141-'Дивиденды по годам'!K141)&lt;&gt;0),'Дивиденды по годам'!L141/('Дивиденды по годам'!I141-'Дивиденды по годам'!J141-'Дивиденды по годам'!K141),""),"")</f>
        <v/>
      </c>
      <c r="T141">
        <f>IFERROR(IF(AND('Дивиденды по годам'!Q141&lt;&gt;"",'Дивиденды по годам'!I141&lt;&gt;"",'Дивиденды по годам'!V141&lt;&gt;"",('Дивиденды по годам'!I141+'Дивиденды по годам'!V141)&lt;&gt;0),'Дивиденды по годам'!Q141/(('Дивиденды по годам'!I141+'Дивиденды по годам'!V141)/2),""),"")</f>
        <v>-2.2227173342497103E-2</v>
      </c>
      <c r="U141">
        <f>IFERROR(IF(AND('Дивиденды по годам'!J141&lt;&gt;"",'Дивиденды по годам'!K141&lt;&gt;"",'Дивиденды по годам'!M141&lt;&gt;"",'Дивиденды по годам'!M141&lt;&gt;0),('Дивиденды по годам'!J141+'Дивиденды по годам'!K141)/'Дивиденды по годам'!M141,""),"")</f>
        <v>0.63141037382835197</v>
      </c>
      <c r="V141" cm="1">
        <f t="array" ref="V141">IFERROR(AVERAGE(_xlfn._xlws.FILTER(P$2:P$1073,($C$2:$C$1073=$C141)*($E$2:$E$1073=$E141)*(ROW(P$2:P$1073)&lt;&gt;ROW(P141))*(P$2:P$1073&lt;&gt;""))),"")</f>
        <v>26.022198344533699</v>
      </c>
      <c r="W141" cm="1">
        <f t="array" ref="W141">IFERROR(AVERAGE(_xlfn._xlws.FILTER(Q$2:Q$1073,($C$2:$C$1073=$C141)*($E$2:$E$1073=$E141)*(ROW(Q$2:Q$1073)&lt;&gt;ROW(Q141))*(Q$2:Q$1073&lt;&gt;""))),"")</f>
        <v>0.76361790642863103</v>
      </c>
      <c r="X141" cm="1">
        <f t="array" ref="X141">IFERROR(AVERAGE(_xlfn._xlws.FILTER(R$2:R$1073,($C$2:$C$1073=$C141)*($E$2:$E$1073=$E141)*(ROW(R$2:R$1073)&lt;&gt;ROW(R141))*(R$2:R$1073&lt;&gt;""))),"")</f>
        <v>1.4414911806771137E-2</v>
      </c>
      <c r="Y141" cm="1">
        <f t="array" ref="Y141">IFERROR(AVERAGE(_xlfn._xlws.FILTER(S$2:S$1073,($C$2:$C$1073=$C141)*($E$2:$E$1073=$E141)*(ROW(S$2:S$1073)&lt;&gt;ROW(S141))*(S$2:S$1073&lt;&gt;""))),"")</f>
        <v>0.60466035791128681</v>
      </c>
      <c r="Z141" cm="1">
        <f t="array" ref="Z141">IFERROR(AVERAGE(_xlfn._xlws.FILTER(T$2:T$1073,($C$2:$C$1073=$C141)*($E$2:$E$1073=$E141)*(ROW(T$2:T$1073)&lt;&gt;ROW(T141))*(T$2:T$1073&lt;&gt;""))),"")</f>
        <v>2.3154505132080269E-2</v>
      </c>
      <c r="AA141" cm="1">
        <f t="array" ref="AA141">IFERROR(AVERAGE(_xlfn._xlws.FILTER(U$2:U$1073,($C$2:$C$1073=$C141)*($E$2:$E$1073=$E141)*(ROW(U$2:U$1073)&lt;&gt;ROW(U141))*(U$2:U$1073&lt;&gt;""))),"")</f>
        <v>0.76601870091102087</v>
      </c>
    </row>
    <row r="142" spans="1:27" x14ac:dyDescent="0.2">
      <c r="A142" s="7" t="s">
        <v>2193</v>
      </c>
      <c r="B142" t="str">
        <f t="shared" si="24"/>
        <v>FEES IV кв. 2013</v>
      </c>
      <c r="C142">
        <v>2013</v>
      </c>
      <c r="D142">
        <f>SUMIFS(Дивиденды!$C:$C,Дивиденды!$A:$A,A142,Дивиденды!$I:$I,C142)</f>
        <v>0</v>
      </c>
      <c r="E142">
        <v>2</v>
      </c>
      <c r="F142">
        <f t="shared" si="25"/>
        <v>0</v>
      </c>
      <c r="G142">
        <f t="shared" si="26"/>
        <v>4.6443083333333329E-2</v>
      </c>
      <c r="H142">
        <f t="shared" si="27"/>
        <v>0</v>
      </c>
      <c r="I142">
        <f t="shared" si="23"/>
        <v>0.83333333333333337</v>
      </c>
      <c r="J142">
        <f t="shared" si="28"/>
        <v>0</v>
      </c>
      <c r="K142">
        <f t="shared" si="32"/>
        <v>1.2952854418676727E-2</v>
      </c>
      <c r="L142">
        <f t="shared" si="29"/>
        <v>0</v>
      </c>
      <c r="M142">
        <f t="shared" si="22"/>
        <v>0.5</v>
      </c>
      <c r="N142">
        <f t="shared" si="30"/>
        <v>0</v>
      </c>
      <c r="O142">
        <f t="shared" si="31"/>
        <v>0.33333333333333331</v>
      </c>
      <c r="P142">
        <f>IFERROR(LN('Дивиденды по годам'!I142),"")</f>
        <v>27.546009919062477</v>
      </c>
      <c r="Q142">
        <f>IFERROR('Дивиденды по годам'!G142/'Дивиденды по годам'!I142, "")</f>
        <v>0.81623121125484754</v>
      </c>
      <c r="R142">
        <f>IFERROR(IF(AND('Дивиденды по годам'!N142&lt;&gt;"",'Дивиденды по годам'!U142&lt;&gt;"",'Дивиденды по годам'!U142&lt;&gt;0),'Дивиденды по годам'!N142/'Дивиденды по годам'!U142-1,""),"")</f>
        <v>9.8112000889778672E-2</v>
      </c>
      <c r="S142" t="str">
        <f>IFERROR(IF(AND('Дивиденды по годам'!L142&lt;&gt;"",'Дивиденды по годам'!I142&lt;&gt;"",'Дивиденды по годам'!J142&lt;&gt;"",'Дивиденды по годам'!K142&lt;&gt;"",('Дивиденды по годам'!I142-'Дивиденды по годам'!J142-'Дивиденды по годам'!K142)&lt;&gt;0),'Дивиденды по годам'!L142/('Дивиденды по годам'!I142-'Дивиденды по годам'!J142-'Дивиденды по годам'!K142),""),"")</f>
        <v/>
      </c>
      <c r="T142">
        <f>IFERROR(IF(AND('Дивиденды по годам'!Q142&lt;&gt;"",'Дивиденды по годам'!I142&lt;&gt;"",'Дивиденды по годам'!V142&lt;&gt;"",('Дивиденды по годам'!I142+'Дивиденды по годам'!V142)&lt;&gt;0),'Дивиденды по годам'!Q142/(('Дивиденды по годам'!I142+'Дивиденды по годам'!V142)/2),""),"")</f>
        <v>-0.21551050307447919</v>
      </c>
      <c r="U142">
        <f>IFERROR(IF(AND('Дивиденды по годам'!J142&lt;&gt;"",'Дивиденды по годам'!K142&lt;&gt;"",'Дивиденды по годам'!M142&lt;&gt;"",'Дивиденды по годам'!M142&lt;&gt;0),('Дивиденды по годам'!J142+'Дивиденды по годам'!K142)/'Дивиденды по годам'!M142,""),"")</f>
        <v>0.67519063573209415</v>
      </c>
      <c r="V142" cm="1">
        <f t="array" ref="V142">IFERROR(AVERAGE(_xlfn._xlws.FILTER(P$2:P$1073,($C$2:$C$1073=$C142)*($E$2:$E$1073=$E142)*(ROW(P$2:P$1073)&lt;&gt;ROW(P142))*(P$2:P$1073&lt;&gt;""))),"")</f>
        <v>25.964162639409334</v>
      </c>
      <c r="W142" cm="1">
        <f t="array" ref="W142">IFERROR(AVERAGE(_xlfn._xlws.FILTER(Q$2:Q$1073,($C$2:$C$1073=$C142)*($E$2:$E$1073=$E142)*(ROW(Q$2:Q$1073)&lt;&gt;ROW(Q142))*(Q$2:Q$1073&lt;&gt;""))),"")</f>
        <v>0.77950949147310133</v>
      </c>
      <c r="X142" cm="1">
        <f t="array" ref="X142">IFERROR(AVERAGE(_xlfn._xlws.FILTER(R$2:R$1073,($C$2:$C$1073=$C142)*($E$2:$E$1073=$E142)*(ROW(R$2:R$1073)&lt;&gt;ROW(R142))*(R$2:R$1073&lt;&gt;""))),"")</f>
        <v>9.7748768645121276E-2</v>
      </c>
      <c r="Y142" cm="1">
        <f t="array" ref="Y142">IFERROR(AVERAGE(_xlfn._xlws.FILTER(S$2:S$1073,($C$2:$C$1073=$C142)*($E$2:$E$1073=$E142)*(ROW(S$2:S$1073)&lt;&gt;ROW(S142))*(S$2:S$1073&lt;&gt;""))),"")</f>
        <v>0.4636519590056305</v>
      </c>
      <c r="Z142" cm="1">
        <f t="array" ref="Z142">IFERROR(AVERAGE(_xlfn._xlws.FILTER(T$2:T$1073,($C$2:$C$1073=$C142)*($E$2:$E$1073=$E142)*(ROW(T$2:T$1073)&lt;&gt;ROW(T142))*(T$2:T$1073&lt;&gt;""))),"")</f>
        <v>1.8520327975835995E-2</v>
      </c>
      <c r="AA142" cm="1">
        <f t="array" ref="AA142">IFERROR(AVERAGE(_xlfn._xlws.FILTER(U$2:U$1073,($C$2:$C$1073=$C142)*($E$2:$E$1073=$E142)*(ROW(U$2:U$1073)&lt;&gt;ROW(U142))*(U$2:U$1073&lt;&gt;""))),"")</f>
        <v>0.67737341290004505</v>
      </c>
    </row>
    <row r="143" spans="1:27" x14ac:dyDescent="0.2">
      <c r="A143" s="7" t="s">
        <v>2193</v>
      </c>
      <c r="B143" t="str">
        <f t="shared" si="24"/>
        <v>FEES IV кв. 2012</v>
      </c>
      <c r="C143">
        <v>2012</v>
      </c>
      <c r="D143">
        <f>SUMIFS(Дивиденды!$C:$C,Дивиденды!$A:$A,A143,Дивиденды!$I:$I,C143)</f>
        <v>0</v>
      </c>
      <c r="E143">
        <v>2</v>
      </c>
      <c r="F143">
        <f t="shared" si="25"/>
        <v>0</v>
      </c>
      <c r="G143">
        <f t="shared" si="26"/>
        <v>3.7162333333333332E-2</v>
      </c>
      <c r="H143">
        <f t="shared" si="27"/>
        <v>0</v>
      </c>
      <c r="I143">
        <f t="shared" si="23"/>
        <v>0.75</v>
      </c>
      <c r="J143">
        <f t="shared" si="28"/>
        <v>0</v>
      </c>
      <c r="K143">
        <f t="shared" si="32"/>
        <v>0.74080204300683228</v>
      </c>
      <c r="L143">
        <f t="shared" si="29"/>
        <v>0</v>
      </c>
      <c r="M143">
        <f t="shared" si="22"/>
        <v>0.58333333333333337</v>
      </c>
      <c r="N143">
        <f t="shared" si="30"/>
        <v>0</v>
      </c>
      <c r="O143">
        <f t="shared" si="31"/>
        <v>0.16666666666666666</v>
      </c>
      <c r="P143">
        <f>IFERROR(LN('Дивиденды по годам'!I143),"")</f>
        <v>27.862324088443462</v>
      </c>
      <c r="Q143">
        <f>IFERROR('Дивиденды по годам'!G143/'Дивиденды по годам'!I143, "")</f>
        <v>0.8700994492323294</v>
      </c>
      <c r="R143">
        <f>IFERROR(IF(AND('Дивиденды по годам'!N143&lt;&gt;"",'Дивиденды по годам'!U143&lt;&gt;"",'Дивиденды по годам'!U143&lt;&gt;0),'Дивиденды по годам'!N143/'Дивиденды по годам'!U143-1,""),"")</f>
        <v>3.0701220167513199E-2</v>
      </c>
      <c r="S143" t="str">
        <f>IFERROR(IF(AND('Дивиденды по годам'!L143&lt;&gt;"",'Дивиденды по годам'!I143&lt;&gt;"",'Дивиденды по годам'!J143&lt;&gt;"",'Дивиденды по годам'!K143&lt;&gt;"",('Дивиденды по годам'!I143-'Дивиденды по годам'!J143-'Дивиденды по годам'!K143)&lt;&gt;0),'Дивиденды по годам'!L143/('Дивиденды по годам'!I143-'Дивиденды по годам'!J143-'Дивиденды по годам'!K143),""),"")</f>
        <v/>
      </c>
      <c r="T143">
        <f>IFERROR(IF(AND('Дивиденды по годам'!Q143&lt;&gt;"",'Дивиденды по годам'!I143&lt;&gt;"",'Дивиденды по годам'!V143&lt;&gt;"",('Дивиденды по годам'!I143+'Дивиденды по годам'!V143)&lt;&gt;0),'Дивиденды по годам'!Q143/(('Дивиденды по годам'!I143+'Дивиденды по годам'!V143)/2),""),"")</f>
        <v>5.8112526908913583E-3</v>
      </c>
      <c r="U143">
        <f>IFERROR(IF(AND('Дивиденды по годам'!J143&lt;&gt;"",'Дивиденды по годам'!K143&lt;&gt;"",'Дивиденды по годам'!M143&lt;&gt;"",'Дивиденды по годам'!M143&lt;&gt;0),('Дивиденды по годам'!J143+'Дивиденды по годам'!K143)/'Дивиденды по годам'!M143,""),"")</f>
        <v>0.38824251263499732</v>
      </c>
      <c r="V143" cm="1">
        <f t="array" ref="V143">IFERROR(AVERAGE(_xlfn._xlws.FILTER(P$2:P$1073,($C$2:$C$1073=$C143)*($E$2:$E$1073=$E143)*(ROW(P$2:P$1073)&lt;&gt;ROW(P143))*(P$2:P$1073&lt;&gt;""))),"")</f>
        <v>25.928643724460017</v>
      </c>
      <c r="W143" cm="1">
        <f t="array" ref="W143">IFERROR(AVERAGE(_xlfn._xlws.FILTER(Q$2:Q$1073,($C$2:$C$1073=$C143)*($E$2:$E$1073=$E143)*(ROW(Q$2:Q$1073)&lt;&gt;ROW(Q143))*(Q$2:Q$1073&lt;&gt;""))),"")</f>
        <v>0.76846737445824209</v>
      </c>
      <c r="X143" cm="1">
        <f t="array" ref="X143">IFERROR(AVERAGE(_xlfn._xlws.FILTER(R$2:R$1073,($C$2:$C$1073=$C143)*($E$2:$E$1073=$E143)*(ROW(R$2:R$1073)&lt;&gt;ROW(R143))*(R$2:R$1073&lt;&gt;""))),"")</f>
        <v>-2.1031204413060747E-2</v>
      </c>
      <c r="Y143" cm="1">
        <f t="array" ref="Y143">IFERROR(AVERAGE(_xlfn._xlws.FILTER(S$2:S$1073,($C$2:$C$1073=$C143)*($E$2:$E$1073=$E143)*(ROW(S$2:S$1073)&lt;&gt;ROW(S143))*(S$2:S$1073&lt;&gt;""))),"")</f>
        <v>0.44715527647269881</v>
      </c>
      <c r="Z143" cm="1">
        <f t="array" ref="Z143">IFERROR(AVERAGE(_xlfn._xlws.FILTER(T$2:T$1073,($C$2:$C$1073=$C143)*($E$2:$E$1073=$E143)*(ROW(T$2:T$1073)&lt;&gt;ROW(T143))*(T$2:T$1073&lt;&gt;""))),"")</f>
        <v>2.1217112883545709E-2</v>
      </c>
      <c r="AA143" cm="1">
        <f t="array" ref="AA143">IFERROR(AVERAGE(_xlfn._xlws.FILTER(U$2:U$1073,($C$2:$C$1073=$C143)*($E$2:$E$1073=$E143)*(ROW(U$2:U$1073)&lt;&gt;ROW(U143))*(U$2:U$1073&lt;&gt;""))),"")</f>
        <v>0.67765541601021329</v>
      </c>
    </row>
    <row r="144" spans="1:27" x14ac:dyDescent="0.2">
      <c r="A144" s="7" t="s">
        <v>2193</v>
      </c>
      <c r="B144" t="str">
        <f t="shared" si="24"/>
        <v>FEES IV кв. 2011</v>
      </c>
      <c r="C144">
        <v>2011</v>
      </c>
      <c r="D144">
        <f>SUMIFS(Дивиденды!$C:$C,Дивиденды!$A:$A,A144,Дивиденды!$I:$I,C144)</f>
        <v>0</v>
      </c>
      <c r="E144">
        <v>2</v>
      </c>
      <c r="F144">
        <f t="shared" si="25"/>
        <v>0</v>
      </c>
      <c r="G144">
        <f t="shared" si="26"/>
        <v>1.154675E-2</v>
      </c>
      <c r="H144">
        <f t="shared" si="27"/>
        <v>0</v>
      </c>
      <c r="I144">
        <f t="shared" si="23"/>
        <v>0.83333333333333337</v>
      </c>
      <c r="J144">
        <f t="shared" si="28"/>
        <v>-1</v>
      </c>
      <c r="K144">
        <f t="shared" si="32"/>
        <v>0.13410358326946076</v>
      </c>
      <c r="L144">
        <f t="shared" si="29"/>
        <v>0</v>
      </c>
      <c r="M144">
        <f t="shared" si="22"/>
        <v>0.5</v>
      </c>
      <c r="N144">
        <f t="shared" si="30"/>
        <v>1</v>
      </c>
      <c r="O144">
        <f t="shared" si="31"/>
        <v>0.33333333333333331</v>
      </c>
      <c r="P144">
        <f>IFERROR(LN('Дивиденды по годам'!I144),"")</f>
        <v>27.782605935320994</v>
      </c>
      <c r="Q144">
        <f>IFERROR('Дивиденды по годам'!G144/'Дивиденды по годам'!I144, "")</f>
        <v>0.84273986681871349</v>
      </c>
      <c r="R144" t="str">
        <f>IFERROR(IF(AND('Дивиденды по годам'!N144&lt;&gt;"",'Дивиденды по годам'!U144&lt;&gt;"",'Дивиденды по годам'!U144&lt;&gt;0),'Дивиденды по годам'!N144/'Дивиденды по годам'!U144-1,""),"")</f>
        <v/>
      </c>
      <c r="S144" t="str">
        <f>IFERROR(IF(AND('Дивиденды по годам'!L144&lt;&gt;"",'Дивиденды по годам'!I144&lt;&gt;"",'Дивиденды по годам'!J144&lt;&gt;"",'Дивиденды по годам'!K144&lt;&gt;"",('Дивиденды по годам'!I144-'Дивиденды по годам'!J144-'Дивиденды по годам'!K144)&lt;&gt;0),'Дивиденды по годам'!L144/('Дивиденды по годам'!I144-'Дивиденды по годам'!J144-'Дивиденды по годам'!K144),""),"")</f>
        <v/>
      </c>
      <c r="T144" t="str">
        <f>IFERROR(IF(AND('Дивиденды по годам'!Q144&lt;&gt;"",'Дивиденды по годам'!I144&lt;&gt;"",'Дивиденды по годам'!V144&lt;&gt;"",('Дивиденды по годам'!I144+'Дивиденды по годам'!V144)&lt;&gt;0),'Дивиденды по годам'!Q144/(('Дивиденды по годам'!I144+'Дивиденды по годам'!V144)/2),""),"")</f>
        <v/>
      </c>
      <c r="U144">
        <f>IFERROR(IF(AND('Дивиденды по годам'!J144&lt;&gt;"",'Дивиденды по годам'!K144&lt;&gt;"",'Дивиденды по годам'!M144&lt;&gt;"",'Дивиденды по годам'!M144&lt;&gt;0),('Дивиденды по годам'!J144+'Дивиденды по годам'!K144)/'Дивиденды по годам'!M144,""),"")</f>
        <v>0.29569973288260754</v>
      </c>
      <c r="V144" cm="1">
        <f t="array" ref="V144">IFERROR(AVERAGE(_xlfn._xlws.FILTER(P$2:P$1073,($C$2:$C$1073=$C144)*($E$2:$E$1073=$E144)*(ROW(P$2:P$1073)&lt;&gt;ROW(P144))*(P$2:P$1073&lt;&gt;""))),"")</f>
        <v>25.963054098854649</v>
      </c>
      <c r="W144" cm="1">
        <f t="array" ref="W144">IFERROR(AVERAGE(_xlfn._xlws.FILTER(Q$2:Q$1073,($C$2:$C$1073=$C144)*($E$2:$E$1073=$E144)*(ROW(Q$2:Q$1073)&lt;&gt;ROW(Q144))*(Q$2:Q$1073&lt;&gt;""))),"")</f>
        <v>0.75818973240010035</v>
      </c>
      <c r="X144" cm="1">
        <f t="array" ref="X144">IFERROR(AVERAGE(_xlfn._xlws.FILTER(R$2:R$1073,($C$2:$C$1073=$C144)*($E$2:$E$1073=$E144)*(ROW(R$2:R$1073)&lt;&gt;ROW(R144))*(R$2:R$1073&lt;&gt;""))),"")</f>
        <v>0.14348983045887875</v>
      </c>
      <c r="Y144" cm="1">
        <f t="array" ref="Y144">IFERROR(AVERAGE(_xlfn._xlws.FILTER(S$2:S$1073,($C$2:$C$1073=$C144)*($E$2:$E$1073=$E144)*(ROW(S$2:S$1073)&lt;&gt;ROW(S144))*(S$2:S$1073&lt;&gt;""))),"")</f>
        <v>0.39850050246333968</v>
      </c>
      <c r="Z144" cm="1">
        <f t="array" ref="Z144">IFERROR(AVERAGE(_xlfn._xlws.FILTER(T$2:T$1073,($C$2:$C$1073=$C144)*($E$2:$E$1073=$E144)*(ROW(T$2:T$1073)&lt;&gt;ROW(T144))*(T$2:T$1073&lt;&gt;""))),"")</f>
        <v>4.5214358774442007E-2</v>
      </c>
      <c r="AA144" cm="1">
        <f t="array" ref="AA144">IFERROR(AVERAGE(_xlfn._xlws.FILTER(U$2:U$1073,($C$2:$C$1073=$C144)*($E$2:$E$1073=$E144)*(ROW(U$2:U$1073)&lt;&gt;ROW(U144))*(U$2:U$1073&lt;&gt;""))),"")</f>
        <v>0.62792849237259507</v>
      </c>
    </row>
    <row r="145" spans="1:27" x14ac:dyDescent="0.2">
      <c r="A145" s="7" t="s">
        <v>2193</v>
      </c>
      <c r="B145" t="str">
        <f t="shared" si="24"/>
        <v>FEES IV кв. 2010</v>
      </c>
      <c r="C145">
        <v>2010</v>
      </c>
      <c r="D145">
        <f>SUMIFS(Дивиденды!$C:$C,Дивиденды!$A:$A,A145,Дивиденды!$I:$I,C145)</f>
        <v>2.052E-3</v>
      </c>
      <c r="E145">
        <v>2</v>
      </c>
      <c r="F145">
        <f t="shared" si="25"/>
        <v>2.052E-3</v>
      </c>
      <c r="G145">
        <f t="shared" si="26"/>
        <v>6.3908333333333343E-3</v>
      </c>
      <c r="H145">
        <f t="shared" si="27"/>
        <v>1</v>
      </c>
      <c r="I145">
        <f t="shared" si="23"/>
        <v>0.75</v>
      </c>
      <c r="J145" t="str">
        <f t="shared" si="28"/>
        <v/>
      </c>
      <c r="K145" t="str">
        <f t="shared" si="32"/>
        <v/>
      </c>
      <c r="L145" t="str">
        <f t="shared" si="29"/>
        <v/>
      </c>
      <c r="M145" t="str">
        <f t="shared" si="22"/>
        <v/>
      </c>
      <c r="N145" t="str">
        <f t="shared" si="30"/>
        <v/>
      </c>
      <c r="O145" t="str">
        <f t="shared" si="31"/>
        <v/>
      </c>
      <c r="P145" t="str">
        <f>IFERROR(LN('Дивиденды по годам'!I145),"")</f>
        <v/>
      </c>
      <c r="Q145" t="str">
        <f>IFERROR('Дивиденды по годам'!G145/'Дивиденды по годам'!I145, "")</f>
        <v/>
      </c>
      <c r="R145" t="str">
        <f>IFERROR(IF(AND('Дивиденды по годам'!N145&lt;&gt;"",'Дивиденды по годам'!U145&lt;&gt;"",'Дивиденды по годам'!U145&lt;&gt;0),'Дивиденды по годам'!N145/'Дивиденды по годам'!U145-1,""),"")</f>
        <v/>
      </c>
      <c r="S145" t="str">
        <f>IFERROR(IF(AND('Дивиденды по годам'!L145&lt;&gt;"",'Дивиденды по годам'!I145&lt;&gt;"",'Дивиденды по годам'!J145&lt;&gt;"",'Дивиденды по годам'!K145&lt;&gt;"",('Дивиденды по годам'!I145-'Дивиденды по годам'!J145-'Дивиденды по годам'!K145)&lt;&gt;0),'Дивиденды по годам'!L145/('Дивиденды по годам'!I145-'Дивиденды по годам'!J145-'Дивиденды по годам'!K145),""),"")</f>
        <v/>
      </c>
      <c r="T145" t="str">
        <f>IFERROR(IF(AND('Дивиденды по годам'!Q145&lt;&gt;"",'Дивиденды по годам'!I145&lt;&gt;"",'Дивиденды по годам'!V145&lt;&gt;"",('Дивиденды по годам'!I145+'Дивиденды по годам'!V145)&lt;&gt;0),'Дивиденды по годам'!Q145/(('Дивиденды по годам'!I145+'Дивиденды по годам'!V145)/2),""),"")</f>
        <v/>
      </c>
      <c r="U145" t="str">
        <f>IFERROR(IF(AND('Дивиденды по годам'!J145&lt;&gt;"",'Дивиденды по годам'!K145&lt;&gt;"",'Дивиденды по годам'!M145&lt;&gt;"",'Дивиденды по годам'!M145&lt;&gt;0),('Дивиденды по годам'!J145+'Дивиденды по годам'!K145)/'Дивиденды по годам'!M145,""),"")</f>
        <v/>
      </c>
      <c r="V145" cm="1">
        <f t="array" ref="V145">IFERROR(AVERAGE(_xlfn._xlws.FILTER(P$2:P$1073,($C$2:$C$1073=$C145)*($E$2:$E$1073=$E145)*(ROW(P$2:P$1073)&lt;&gt;ROW(P145))*(P$2:P$1073&lt;&gt;""))),"")</f>
        <v>24.730948088520865</v>
      </c>
      <c r="W145" cm="1">
        <f t="array" ref="W145">IFERROR(AVERAGE(_xlfn._xlws.FILTER(Q$2:Q$1073,($C$2:$C$1073=$C145)*($E$2:$E$1073=$E145)*(ROW(Q$2:Q$1073)&lt;&gt;ROW(Q145))*(Q$2:Q$1073&lt;&gt;""))),"")</f>
        <v>0.82035195639515091</v>
      </c>
      <c r="X145" t="str" cm="1">
        <f t="array" ref="X145">IFERROR(AVERAGE(_xlfn._xlws.FILTER(R$2:R$1073,($C$2:$C$1073=$C145)*($E$2:$E$1073=$E145)*(ROW(R$2:R$1073)&lt;&gt;ROW(R145))*(R$2:R$1073&lt;&gt;""))),"")</f>
        <v/>
      </c>
      <c r="Y145" t="str" cm="1">
        <f t="array" ref="Y145">IFERROR(AVERAGE(_xlfn._xlws.FILTER(S$2:S$1073,($C$2:$C$1073=$C145)*($E$2:$E$1073=$E145)*(ROW(S$2:S$1073)&lt;&gt;ROW(S145))*(S$2:S$1073&lt;&gt;""))),"")</f>
        <v/>
      </c>
      <c r="Z145" t="str" cm="1">
        <f t="array" ref="Z145">IFERROR(AVERAGE(_xlfn._xlws.FILTER(T$2:T$1073,($C$2:$C$1073=$C145)*($E$2:$E$1073=$E145)*(ROW(T$2:T$1073)&lt;&gt;ROW(T145))*(T$2:T$1073&lt;&gt;""))),"")</f>
        <v/>
      </c>
      <c r="AA145" cm="1">
        <f t="array" ref="AA145">IFERROR(AVERAGE(_xlfn._xlws.FILTER(U$2:U$1073,($C$2:$C$1073=$C145)*($E$2:$E$1073=$E145)*(ROW(U$2:U$1073)&lt;&gt;ROW(U145))*(U$2:U$1073&lt;&gt;""))),"")</f>
        <v>0.91314375247969903</v>
      </c>
    </row>
    <row r="146" spans="1:27" x14ac:dyDescent="0.2">
      <c r="A146" s="7" t="s">
        <v>2196</v>
      </c>
      <c r="B146" t="str">
        <f t="shared" si="24"/>
        <v>HYDR IV кв. 2025</v>
      </c>
      <c r="C146">
        <v>2025</v>
      </c>
      <c r="D146">
        <f>SUMIFS(Дивиденды!$C:$C,Дивиденды!$A:$A,A146,Дивиденды!$I:$I,C146)</f>
        <v>0</v>
      </c>
      <c r="E146">
        <v>2</v>
      </c>
      <c r="F146">
        <f t="shared" si="25"/>
        <v>0</v>
      </c>
      <c r="G146">
        <f t="shared" si="26"/>
        <v>0</v>
      </c>
      <c r="H146">
        <f t="shared" si="27"/>
        <v>0</v>
      </c>
      <c r="I146">
        <f t="shared" si="23"/>
        <v>0</v>
      </c>
      <c r="J146">
        <f t="shared" si="28"/>
        <v>0</v>
      </c>
      <c r="K146">
        <f t="shared" si="32"/>
        <v>-0.58333333333333337</v>
      </c>
      <c r="L146">
        <f t="shared" si="29"/>
        <v>0</v>
      </c>
      <c r="M146">
        <f t="shared" si="22"/>
        <v>0</v>
      </c>
      <c r="N146">
        <f t="shared" si="30"/>
        <v>0</v>
      </c>
      <c r="O146">
        <f t="shared" si="31"/>
        <v>0.58333333333333337</v>
      </c>
      <c r="P146">
        <f>IFERROR(LN('Дивиденды по годам'!I146),"")</f>
        <v>28.194093209665876</v>
      </c>
      <c r="Q146">
        <f>IFERROR('Дивиденды по годам'!G146/'Дивиденды по годам'!I146, "")</f>
        <v>0.78176018003950898</v>
      </c>
      <c r="R146">
        <f>IFERROR(IF(AND('Дивиденды по годам'!N146&lt;&gt;"",'Дивиденды по годам'!U146&lt;&gt;"",'Дивиденды по годам'!U146&lt;&gt;0),'Дивиденды по годам'!N146/'Дивиденды по годам'!U146-1,""),"")</f>
        <v>0.14479568553526367</v>
      </c>
      <c r="S146">
        <f>IFERROR(IF(AND('Дивиденды по годам'!L146&lt;&gt;"",'Дивиденды по годам'!I146&lt;&gt;"",'Дивиденды по годам'!J146&lt;&gt;"",'Дивиденды по годам'!K146&lt;&gt;"",('Дивиденды по годам'!I146-'Дивиденды по годам'!J146-'Дивиденды по годам'!K146)&lt;&gt;0),'Дивиденды по годам'!L146/('Дивиденды по годам'!I146-'Дивиденды по годам'!J146-'Дивиденды по годам'!K146),""),"")</f>
        <v>0.30463634515977278</v>
      </c>
      <c r="T146">
        <f>IFERROR(IF(AND('Дивиденды по годам'!Q146&lt;&gt;"",'Дивиденды по годам'!I146&lt;&gt;"",'Дивиденды по годам'!V146&lt;&gt;"",('Дивиденды по годам'!I146+'Дивиденды по годам'!V146)&lt;&gt;0),'Дивиденды по годам'!Q146/(('Дивиденды по годам'!I146+'Дивиденды по годам'!V146)/2),""),"")</f>
        <v>7.5494483775499388E-2</v>
      </c>
      <c r="U146">
        <f>IFERROR(IF(AND('Дивиденды по годам'!J146&lt;&gt;"",'Дивиденды по годам'!K146&lt;&gt;"",'Дивиденды по годам'!M146&lt;&gt;"",'Дивиденды по годам'!M146&lt;&gt;0),('Дивиденды по годам'!J146+'Дивиденды по годам'!K146)/'Дивиденды по годам'!M146,""),"")</f>
        <v>1.4958448989685798</v>
      </c>
      <c r="V146" cm="1">
        <f t="array" ref="V146">IFERROR(AVERAGE(_xlfn._xlws.FILTER(P$2:P$1073,($C$2:$C$1073=$C146)*($E$2:$E$1073=$E146)*(ROW(P$2:P$1073)&lt;&gt;ROW(P146))*(P$2:P$1073&lt;&gt;""))),"")</f>
        <v>26.349322203397424</v>
      </c>
      <c r="W146" cm="1">
        <f t="array" ref="W146">IFERROR(AVERAGE(_xlfn._xlws.FILTER(Q$2:Q$1073,($C$2:$C$1073=$C146)*($E$2:$E$1073=$E146)*(ROW(Q$2:Q$1073)&lt;&gt;ROW(Q146))*(Q$2:Q$1073&lt;&gt;""))),"")</f>
        <v>0.66271670198691091</v>
      </c>
      <c r="X146" cm="1">
        <f t="array" ref="X146">IFERROR(AVERAGE(_xlfn._xlws.FILTER(R$2:R$1073,($C$2:$C$1073=$C146)*($E$2:$E$1073=$E146)*(ROW(R$2:R$1073)&lt;&gt;ROW(R146))*(R$2:R$1073&lt;&gt;""))),"")</f>
        <v>0.18117345367621293</v>
      </c>
      <c r="Y146" cm="1">
        <f t="array" ref="Y146">IFERROR(AVERAGE(_xlfn._xlws.FILTER(S$2:S$1073,($C$2:$C$1073=$C146)*($E$2:$E$1073=$E146)*(ROW(S$2:S$1073)&lt;&gt;ROW(S146))*(S$2:S$1073&lt;&gt;""))),"")</f>
        <v>0.83139860997459003</v>
      </c>
      <c r="Z146" cm="1">
        <f t="array" ref="Z146">IFERROR(AVERAGE(_xlfn._xlws.FILTER(T$2:T$1073,($C$2:$C$1073=$C146)*($E$2:$E$1073=$E146)*(ROW(T$2:T$1073)&lt;&gt;ROW(T146))*(T$2:T$1073&lt;&gt;""))),"")</f>
        <v>0.10699890786923465</v>
      </c>
      <c r="AA146" cm="1">
        <f t="array" ref="AA146">IFERROR(AVERAGE(_xlfn._xlws.FILTER(U$2:U$1073,($C$2:$C$1073=$C146)*($E$2:$E$1073=$E146)*(ROW(U$2:U$1073)&lt;&gt;ROW(U146))*(U$2:U$1073&lt;&gt;""))),"")</f>
        <v>0.80270949195299346</v>
      </c>
    </row>
    <row r="147" spans="1:27" x14ac:dyDescent="0.2">
      <c r="A147" s="7" t="s">
        <v>2196</v>
      </c>
      <c r="B147" t="str">
        <f t="shared" si="24"/>
        <v>HYDR IV кв. 2024</v>
      </c>
      <c r="C147">
        <v>2024</v>
      </c>
      <c r="D147">
        <f>SUMIFS(Дивиденды!$C:$C,Дивиденды!$A:$A,A147,Дивиденды!$I:$I,C147)</f>
        <v>0</v>
      </c>
      <c r="E147">
        <v>2</v>
      </c>
      <c r="F147">
        <f t="shared" si="25"/>
        <v>0</v>
      </c>
      <c r="G147">
        <f t="shared" si="26"/>
        <v>6.3399999999999998E-2</v>
      </c>
      <c r="H147">
        <f t="shared" si="27"/>
        <v>0</v>
      </c>
      <c r="I147">
        <f t="shared" si="23"/>
        <v>0.58333333333333337</v>
      </c>
      <c r="J147">
        <f t="shared" si="28"/>
        <v>0</v>
      </c>
      <c r="K147">
        <f t="shared" si="32"/>
        <v>8.6160653443004165E-2</v>
      </c>
      <c r="L147">
        <f t="shared" si="29"/>
        <v>0</v>
      </c>
      <c r="M147">
        <f t="shared" si="22"/>
        <v>0.58333333333333337</v>
      </c>
      <c r="N147">
        <f t="shared" si="30"/>
        <v>0</v>
      </c>
      <c r="O147">
        <f t="shared" si="31"/>
        <v>8.3333333333333329E-2</v>
      </c>
      <c r="P147">
        <f>IFERROR(LN('Дивиденды по годам'!I147),"")</f>
        <v>27.942711664563724</v>
      </c>
      <c r="Q147">
        <f>IFERROR('Дивиденды по годам'!G147/'Дивиденды по годам'!I147, "")</f>
        <v>0.74829908063953987</v>
      </c>
      <c r="R147">
        <f>IFERROR(IF(AND('Дивиденды по годам'!N147&lt;&gt;"",'Дивиденды по годам'!U147&lt;&gt;"",'Дивиденды по годам'!U147&lt;&gt;0),'Дивиденды по годам'!N147/'Дивиденды по годам'!U147-1,""),"")</f>
        <v>0.1361720472248078</v>
      </c>
      <c r="S147">
        <f>IFERROR(IF(AND('Дивиденды по годам'!L147&lt;&gt;"",'Дивиденды по годам'!I147&lt;&gt;"",'Дивиденды по годам'!J147&lt;&gt;"",'Дивиденды по годам'!K147&lt;&gt;"",('Дивиденды по годам'!I147-'Дивиденды по годам'!J147-'Дивиденды по годам'!K147)&lt;&gt;0),'Дивиденды по годам'!L147/('Дивиденды по годам'!I147-'Дивиденды по годам'!J147-'Дивиденды по годам'!K147),""),"")</f>
        <v>0.16907624072276969</v>
      </c>
      <c r="T147">
        <f>IFERROR(IF(AND('Дивиденды по годам'!Q147&lt;&gt;"",'Дивиденды по годам'!I147&lt;&gt;"",'Дивиденды по годам'!V147&lt;&gt;"",('Дивиденды по годам'!I147+'Дивиденды по годам'!V147)&lt;&gt;0),'Дивиденды по годам'!Q147/(('Дивиденды по годам'!I147+'Дивиденды по годам'!V147)/2),""),"")</f>
        <v>-4.8347782782001393E-2</v>
      </c>
      <c r="U147">
        <f>IFERROR(IF(AND('Дивиденды по годам'!J147&lt;&gt;"",'Дивиденды по годам'!K147&lt;&gt;"",'Дивиденды по годам'!M147&lt;&gt;"",'Дивиденды по годам'!M147&lt;&gt;0),('Дивиденды по годам'!J147+'Дивиденды по годам'!K147)/'Дивиденды по годам'!M147,""),"")</f>
        <v>1.3333720596476362</v>
      </c>
      <c r="V147" cm="1">
        <f t="array" ref="V147">IFERROR(AVERAGE(_xlfn._xlws.FILTER(P$2:P$1073,($C$2:$C$1073=$C147)*($E$2:$E$1073=$E147)*(ROW(P$2:P$1073)&lt;&gt;ROW(P147))*(P$2:P$1073&lt;&gt;""))),"")</f>
        <v>26.373610220556998</v>
      </c>
      <c r="W147" cm="1">
        <f t="array" ref="W147">IFERROR(AVERAGE(_xlfn._xlws.FILTER(Q$2:Q$1073,($C$2:$C$1073=$C147)*($E$2:$E$1073=$E147)*(ROW(Q$2:Q$1073)&lt;&gt;ROW(Q147))*(Q$2:Q$1073&lt;&gt;""))),"")</f>
        <v>0.68238390902358026</v>
      </c>
      <c r="X147" cm="1">
        <f t="array" ref="X147">IFERROR(AVERAGE(_xlfn._xlws.FILTER(R$2:R$1073,($C$2:$C$1073=$C147)*($E$2:$E$1073=$E147)*(ROW(R$2:R$1073)&lt;&gt;ROW(R147))*(R$2:R$1073&lt;&gt;""))),"")</f>
        <v>9.5243684996871567E-2</v>
      </c>
      <c r="Y147" cm="1">
        <f t="array" ref="Y147">IFERROR(AVERAGE(_xlfn._xlws.FILTER(S$2:S$1073,($C$2:$C$1073=$C147)*($E$2:$E$1073=$E147)*(ROW(S$2:S$1073)&lt;&gt;ROW(S147))*(S$2:S$1073&lt;&gt;""))),"")</f>
        <v>0.6067938489328587</v>
      </c>
      <c r="Z147" cm="1">
        <f t="array" ref="Z147">IFERROR(AVERAGE(_xlfn._xlws.FILTER(T$2:T$1073,($C$2:$C$1073=$C147)*($E$2:$E$1073=$E147)*(ROW(T$2:T$1073)&lt;&gt;ROW(T147))*(T$2:T$1073&lt;&gt;""))),"")</f>
        <v>6.9060210431036648E-2</v>
      </c>
      <c r="AA147" cm="1">
        <f t="array" ref="AA147">IFERROR(AVERAGE(_xlfn._xlws.FILTER(U$2:U$1073,($C$2:$C$1073=$C147)*($E$2:$E$1073=$E147)*(ROW(U$2:U$1073)&lt;&gt;ROW(U147))*(U$2:U$1073&lt;&gt;""))),"")</f>
        <v>0.88740495423289734</v>
      </c>
    </row>
    <row r="148" spans="1:27" x14ac:dyDescent="0.2">
      <c r="A148" s="7" t="s">
        <v>2196</v>
      </c>
      <c r="B148" t="str">
        <f t="shared" si="24"/>
        <v>HYDR IV кв. 2023</v>
      </c>
      <c r="C148">
        <v>2023</v>
      </c>
      <c r="D148">
        <f>SUMIFS(Дивиденды!$C:$C,Дивиденды!$A:$A,A148,Дивиденды!$I:$I,C148)</f>
        <v>0</v>
      </c>
      <c r="E148">
        <v>2</v>
      </c>
      <c r="F148">
        <f t="shared" si="25"/>
        <v>0</v>
      </c>
      <c r="G148">
        <f t="shared" si="26"/>
        <v>6.6299999999999998E-2</v>
      </c>
      <c r="H148">
        <f t="shared" si="27"/>
        <v>0</v>
      </c>
      <c r="I148">
        <f t="shared" si="23"/>
        <v>0.58333333333333337</v>
      </c>
      <c r="J148">
        <f t="shared" si="28"/>
        <v>-1</v>
      </c>
      <c r="K148">
        <f t="shared" si="32"/>
        <v>0.20036657596898766</v>
      </c>
      <c r="L148">
        <f t="shared" si="29"/>
        <v>0</v>
      </c>
      <c r="M148">
        <f t="shared" si="22"/>
        <v>0.5</v>
      </c>
      <c r="N148">
        <f t="shared" si="30"/>
        <v>1</v>
      </c>
      <c r="O148">
        <f t="shared" si="31"/>
        <v>0.16666666666666666</v>
      </c>
      <c r="P148">
        <f>IFERROR(LN('Дивиденды по годам'!I148),"")</f>
        <v>27.783186683867189</v>
      </c>
      <c r="Q148">
        <f>IFERROR('Дивиденды по годам'!G148/'Дивиденды по годам'!I148, "")</f>
        <v>0.79098778463232366</v>
      </c>
      <c r="R148">
        <f>IFERROR(IF(AND('Дивиденды по годам'!N148&lt;&gt;"",'Дивиденды по годам'!U148&lt;&gt;"",'Дивиденды по годам'!U148&lt;&gt;0),'Дивиденды по годам'!N148/'Дивиденды по годам'!U148-1,""),"")</f>
        <v>0.21924560037079699</v>
      </c>
      <c r="S148">
        <f>IFERROR(IF(AND('Дивиденды по годам'!L148&lt;&gt;"",'Дивиденды по годам'!I148&lt;&gt;"",'Дивиденды по годам'!J148&lt;&gt;"",'Дивиденды по годам'!K148&lt;&gt;"",('Дивиденды по годам'!I148-'Дивиденды по годам'!J148-'Дивиденды по годам'!K148)&lt;&gt;0),'Дивиденды по годам'!L148/('Дивиденды по годам'!I148-'Дивиденды по годам'!J148-'Дивиденды по годам'!K148),""),"")</f>
        <v>0.23403615578232137</v>
      </c>
      <c r="T148">
        <f>IFERROR(IF(AND('Дивиденды по годам'!Q148&lt;&gt;"",'Дивиденды по годам'!I148&lt;&gt;"",'Дивиденды по годам'!V148&lt;&gt;"",('Дивиденды по годам'!I148+'Дивиденды по годам'!V148)&lt;&gt;0),'Дивиденды по годам'!Q148/(('Дивиденды по годам'!I148+'Дивиденды по годам'!V148)/2),""),"")</f>
        <v>2.9756881348328563E-2</v>
      </c>
      <c r="U148">
        <f>IFERROR(IF(AND('Дивиденды по годам'!J148&lt;&gt;"",'Дивиденды по годам'!K148&lt;&gt;"",'Дивиденды по годам'!M148&lt;&gt;"",'Дивиденды по годам'!M148&lt;&gt;0),('Дивиденды по годам'!J148+'Дивиденды по годам'!K148)/'Дивиденды по годам'!M148,""),"")</f>
        <v>0.8046164957657066</v>
      </c>
      <c r="V148" cm="1">
        <f t="array" ref="V148">IFERROR(AVERAGE(_xlfn._xlws.FILTER(P$2:P$1073,($C$2:$C$1073=$C148)*($E$2:$E$1073=$E148)*(ROW(P$2:P$1073)&lt;&gt;ROW(P148))*(P$2:P$1073&lt;&gt;""))),"")</f>
        <v>26.260584543922107</v>
      </c>
      <c r="W148" cm="1">
        <f t="array" ref="W148">IFERROR(AVERAGE(_xlfn._xlws.FILTER(Q$2:Q$1073,($C$2:$C$1073=$C148)*($E$2:$E$1073=$E148)*(ROW(Q$2:Q$1073)&lt;&gt;ROW(Q148))*(Q$2:Q$1073&lt;&gt;""))),"")</f>
        <v>0.69984136509657113</v>
      </c>
      <c r="X148" cm="1">
        <f t="array" ref="X148">IFERROR(AVERAGE(_xlfn._xlws.FILTER(R$2:R$1073,($C$2:$C$1073=$C148)*($E$2:$E$1073=$E148)*(ROW(R$2:R$1073)&lt;&gt;ROW(R148))*(R$2:R$1073&lt;&gt;""))),"")</f>
        <v>0.13099611328816188</v>
      </c>
      <c r="Y148" cm="1">
        <f t="array" ref="Y148">IFERROR(AVERAGE(_xlfn._xlws.FILTER(S$2:S$1073,($C$2:$C$1073=$C148)*($E$2:$E$1073=$E148)*(ROW(S$2:S$1073)&lt;&gt;ROW(S148))*(S$2:S$1073&lt;&gt;""))),"")</f>
        <v>0.57464348558231793</v>
      </c>
      <c r="Z148" cm="1">
        <f t="array" ref="Z148">IFERROR(AVERAGE(_xlfn._xlws.FILTER(T$2:T$1073,($C$2:$C$1073=$C148)*($E$2:$E$1073=$E148)*(ROW(T$2:T$1073)&lt;&gt;ROW(T148))*(T$2:T$1073&lt;&gt;""))),"")</f>
        <v>8.0945153092811417E-2</v>
      </c>
      <c r="AA148" cm="1">
        <f t="array" ref="AA148">IFERROR(AVERAGE(_xlfn._xlws.FILTER(U$2:U$1073,($C$2:$C$1073=$C148)*($E$2:$E$1073=$E148)*(ROW(U$2:U$1073)&lt;&gt;ROW(U148))*(U$2:U$1073&lt;&gt;""))),"")</f>
        <v>0.82605736830535204</v>
      </c>
    </row>
    <row r="149" spans="1:27" x14ac:dyDescent="0.2">
      <c r="A149" s="7" t="s">
        <v>2196</v>
      </c>
      <c r="B149" t="str">
        <f t="shared" si="24"/>
        <v>HYDR IV кв. 2022</v>
      </c>
      <c r="C149">
        <v>2022</v>
      </c>
      <c r="D149">
        <f>SUMIFS(Дивиденды!$C:$C,Дивиденды!$A:$A,A149,Дивиденды!$I:$I,C149)</f>
        <v>5.0299999999999997E-2</v>
      </c>
      <c r="E149">
        <v>2</v>
      </c>
      <c r="F149">
        <f t="shared" si="25"/>
        <v>5.0299999999999997E-2</v>
      </c>
      <c r="G149">
        <f t="shared" si="26"/>
        <v>6.0540000000000004E-2</v>
      </c>
      <c r="H149">
        <f t="shared" si="27"/>
        <v>1</v>
      </c>
      <c r="I149">
        <f t="shared" si="23"/>
        <v>0.58333333333333337</v>
      </c>
      <c r="J149">
        <f t="shared" si="28"/>
        <v>-5.0943396226415118E-2</v>
      </c>
      <c r="K149">
        <f t="shared" si="32"/>
        <v>-0.15739657857487246</v>
      </c>
      <c r="L149">
        <f t="shared" si="29"/>
        <v>0</v>
      </c>
      <c r="M149">
        <f t="shared" si="22"/>
        <v>0.33333333333333331</v>
      </c>
      <c r="N149">
        <f t="shared" si="30"/>
        <v>1</v>
      </c>
      <c r="O149">
        <f t="shared" si="31"/>
        <v>0.41666666666666669</v>
      </c>
      <c r="P149">
        <f>IFERROR(LN('Дивиденды по годам'!I149),"")</f>
        <v>27.62439923961966</v>
      </c>
      <c r="Q149">
        <f>IFERROR('Дивиденды по годам'!G149/'Дивиденды по годам'!I149, "")</f>
        <v>0.77685625125830482</v>
      </c>
      <c r="R149">
        <f>IFERROR(IF(AND('Дивиденды по годам'!N149&lt;&gt;"",'Дивиденды по годам'!U149&lt;&gt;"",'Дивиденды по годам'!U149&lt;&gt;0),'Дивиденды по годам'!N149/'Дивиденды по годам'!U149-1,""),"")</f>
        <v>3.0847246406080275E-2</v>
      </c>
      <c r="S149">
        <f>IFERROR(IF(AND('Дивиденды по годам'!L149&lt;&gt;"",'Дивиденды по годам'!I149&lt;&gt;"",'Дивиденды по годам'!J149&lt;&gt;"",'Дивиденды по годам'!K149&lt;&gt;"",('Дивиденды по годам'!I149-'Дивиденды по годам'!J149-'Дивиденды по годам'!K149)&lt;&gt;0),'Дивиденды по годам'!L149/('Дивиденды по годам'!I149-'Дивиденды по годам'!J149-'Дивиденды по годам'!K149),""),"")</f>
        <v>0.22169310574095791</v>
      </c>
      <c r="T149">
        <f>IFERROR(IF(AND('Дивиденды по годам'!Q149&lt;&gt;"",'Дивиденды по годам'!I149&lt;&gt;"",'Дивиденды по годам'!V149&lt;&gt;"",('Дивиденды по годам'!I149+'Дивиденды по годам'!V149)&lt;&gt;0),'Дивиденды по годам'!Q149/(('Дивиденды по годам'!I149+'Дивиденды по годам'!V149)/2),""),"")</f>
        <v>2.0089537483230564E-2</v>
      </c>
      <c r="U149">
        <f>IFERROR(IF(AND('Дивиденды по годам'!J149&lt;&gt;"",'Дивиденды по годам'!K149&lt;&gt;"",'Дивиденды по годам'!M149&lt;&gt;"",'Дивиденды по годам'!M149&lt;&gt;0),('Дивиденды по годам'!J149+'Дивиденды по годам'!K149)/'Дивиденды по годам'!M149,""),"")</f>
        <v>0.57634748830116589</v>
      </c>
      <c r="V149" cm="1">
        <f t="array" ref="V149">IFERROR(AVERAGE(_xlfn._xlws.FILTER(P$2:P$1073,($C$2:$C$1073=$C149)*($E$2:$E$1073=$E149)*(ROW(P$2:P$1073)&lt;&gt;ROW(P149))*(P$2:P$1073&lt;&gt;""))),"")</f>
        <v>26.165602742830401</v>
      </c>
      <c r="W149" cm="1">
        <f t="array" ref="W149">IFERROR(AVERAGE(_xlfn._xlws.FILTER(Q$2:Q$1073,($C$2:$C$1073=$C149)*($E$2:$E$1073=$E149)*(ROW(Q$2:Q$1073)&lt;&gt;ROW(Q149))*(Q$2:Q$1073&lt;&gt;""))),"")</f>
        <v>0.70049163451795082</v>
      </c>
      <c r="X149" cm="1">
        <f t="array" ref="X149">IFERROR(AVERAGE(_xlfn._xlws.FILTER(R$2:R$1073,($C$2:$C$1073=$C149)*($E$2:$E$1073=$E149)*(ROW(R$2:R$1073)&lt;&gt;ROW(R149))*(R$2:R$1073&lt;&gt;""))),"")</f>
        <v>7.8955358469936635E-2</v>
      </c>
      <c r="Y149" cm="1">
        <f t="array" ref="Y149">IFERROR(AVERAGE(_xlfn._xlws.FILTER(S$2:S$1073,($C$2:$C$1073=$C149)*($E$2:$E$1073=$E149)*(ROW(S$2:S$1073)&lt;&gt;ROW(S149))*(S$2:S$1073&lt;&gt;""))),"")</f>
        <v>0.54754360730014551</v>
      </c>
      <c r="Z149" cm="1">
        <f t="array" ref="Z149">IFERROR(AVERAGE(_xlfn._xlws.FILTER(T$2:T$1073,($C$2:$C$1073=$C149)*($E$2:$E$1073=$E149)*(ROW(T$2:T$1073)&lt;&gt;ROW(T149))*(T$2:T$1073&lt;&gt;""))),"")</f>
        <v>1.1563875534705016E-2</v>
      </c>
      <c r="AA149" cm="1">
        <f t="array" ref="AA149">IFERROR(AVERAGE(_xlfn._xlws.FILTER(U$2:U$1073,($C$2:$C$1073=$C149)*($E$2:$E$1073=$E149)*(ROW(U$2:U$1073)&lt;&gt;ROW(U149))*(U$2:U$1073&lt;&gt;""))),"")</f>
        <v>0.94621664224393576</v>
      </c>
    </row>
    <row r="150" spans="1:27" x14ac:dyDescent="0.2">
      <c r="A150" s="7" t="s">
        <v>2196</v>
      </c>
      <c r="B150" t="str">
        <f t="shared" si="24"/>
        <v>HYDR IV кв. 2021</v>
      </c>
      <c r="C150">
        <v>2021</v>
      </c>
      <c r="D150">
        <f>SUMIFS(Дивиденды!$C:$C,Дивиденды!$A:$A,A150,Дивиденды!$I:$I,C150)</f>
        <v>5.2999999999999999E-2</v>
      </c>
      <c r="E150">
        <v>2</v>
      </c>
      <c r="F150">
        <f t="shared" si="25"/>
        <v>5.2999999999999999E-2</v>
      </c>
      <c r="G150">
        <f t="shared" si="26"/>
        <v>7.7368583333333338E-2</v>
      </c>
      <c r="H150">
        <f t="shared" si="27"/>
        <v>1</v>
      </c>
      <c r="I150">
        <f t="shared" si="23"/>
        <v>0.75</v>
      </c>
      <c r="J150">
        <f t="shared" si="28"/>
        <v>0</v>
      </c>
      <c r="K150">
        <f t="shared" si="32"/>
        <v>0.16387618392405565</v>
      </c>
      <c r="L150">
        <f t="shared" si="29"/>
        <v>0</v>
      </c>
      <c r="M150">
        <f t="shared" si="22"/>
        <v>0.66666666666666663</v>
      </c>
      <c r="N150">
        <f t="shared" si="30"/>
        <v>0</v>
      </c>
      <c r="O150">
        <f t="shared" si="31"/>
        <v>0.25</v>
      </c>
      <c r="P150">
        <f>IFERROR(LN('Дивиденды по годам'!I150),"")</f>
        <v>27.55897394194778</v>
      </c>
      <c r="Q150">
        <f>IFERROR('Дивиденды по годам'!G150/'Дивиденды по годам'!I150, "")</f>
        <v>0.75461989259387829</v>
      </c>
      <c r="R150">
        <f>IFERROR(IF(AND('Дивиденды по годам'!N150&lt;&gt;"",'Дивиденды по годам'!U150&lt;&gt;"",'Дивиденды по годам'!U150&lt;&gt;0),'Дивиденды по годам'!N150/'Дивиденды по годам'!U150-1,""),"")</f>
        <v>6.0567592628870681E-2</v>
      </c>
      <c r="S150">
        <f>IFERROR(IF(AND('Дивиденды по годам'!L150&lt;&gt;"",'Дивиденды по годам'!I150&lt;&gt;"",'Дивиденды по годам'!J150&lt;&gt;"",'Дивиденды по годам'!K150&lt;&gt;"",('Дивиденды по годам'!I150-'Дивиденды по годам'!J150-'Дивиденды по годам'!K150)&lt;&gt;0),'Дивиденды по годам'!L150/('Дивиденды по годам'!I150-'Дивиденды по годам'!J150-'Дивиденды по годам'!K150),""),"")</f>
        <v>0.23162358803406038</v>
      </c>
      <c r="T150">
        <f>IFERROR(IF(AND('Дивиденды по годам'!Q150&lt;&gt;"",'Дивиденды по годам'!I150&lt;&gt;"",'Дивиденды по годам'!V150&lt;&gt;"",('Дивиденды по годам'!I150+'Дивиденды по годам'!V150)&lt;&gt;0),'Дивиденды по годам'!Q150/(('Дивиденды по годам'!I150+'Дивиденды по годам'!V150)/2),""),"")</f>
        <v>4.4942596135052082E-2</v>
      </c>
      <c r="U150">
        <f>IFERROR(IF(AND('Дивиденды по годам'!J150&lt;&gt;"",'Дивиденды по годам'!K150&lt;&gt;"",'Дивиденды по годам'!M150&lt;&gt;"",'Дивиденды по годам'!M150&lt;&gt;0),('Дивиденды по годам'!J150+'Дивиденды по годам'!K150)/'Дивиденды по годам'!M150,""),"")</f>
        <v>0.47848186947547722</v>
      </c>
      <c r="V150" cm="1">
        <f t="array" ref="V150">IFERROR(AVERAGE(_xlfn._xlws.FILTER(P$2:P$1073,($C$2:$C$1073=$C150)*($E$2:$E$1073=$E150)*(ROW(P$2:P$1073)&lt;&gt;ROW(P150))*(P$2:P$1073&lt;&gt;""))),"")</f>
        <v>25.763489884765324</v>
      </c>
      <c r="W150" cm="1">
        <f t="array" ref="W150">IFERROR(AVERAGE(_xlfn._xlws.FILTER(Q$2:Q$1073,($C$2:$C$1073=$C150)*($E$2:$E$1073=$E150)*(ROW(Q$2:Q$1073)&lt;&gt;ROW(Q150))*(Q$2:Q$1073&lt;&gt;""))),"")</f>
        <v>0.7714979095479555</v>
      </c>
      <c r="X150" cm="1">
        <f t="array" ref="X150">IFERROR(AVERAGE(_xlfn._xlws.FILTER(R$2:R$1073,($C$2:$C$1073=$C150)*($E$2:$E$1073=$E150)*(ROW(R$2:R$1073)&lt;&gt;ROW(R150))*(R$2:R$1073&lt;&gt;""))),"")</f>
        <v>0.13334641123460397</v>
      </c>
      <c r="Y150" cm="1">
        <f t="array" ref="Y150">IFERROR(AVERAGE(_xlfn._xlws.FILTER(S$2:S$1073,($C$2:$C$1073=$C150)*($E$2:$E$1073=$E150)*(ROW(S$2:S$1073)&lt;&gt;ROW(S150))*(S$2:S$1073&lt;&gt;""))),"")</f>
        <v>0.52814543633779409</v>
      </c>
      <c r="Z150" cm="1">
        <f t="array" ref="Z150">IFERROR(AVERAGE(_xlfn._xlws.FILTER(T$2:T$1073,($C$2:$C$1073=$C150)*($E$2:$E$1073=$E150)*(ROW(T$2:T$1073)&lt;&gt;ROW(T150))*(T$2:T$1073&lt;&gt;""))),"")</f>
        <v>3.5583875326146423E-2</v>
      </c>
      <c r="AA150" cm="1">
        <f t="array" ref="AA150">IFERROR(AVERAGE(_xlfn._xlws.FILTER(U$2:U$1073,($C$2:$C$1073=$C150)*($E$2:$E$1073=$E150)*(ROW(U$2:U$1073)&lt;&gt;ROW(U150))*(U$2:U$1073&lt;&gt;""))),"")</f>
        <v>0.73844664557329298</v>
      </c>
    </row>
    <row r="151" spans="1:27" x14ac:dyDescent="0.2">
      <c r="A151" s="7" t="s">
        <v>2196</v>
      </c>
      <c r="B151" t="str">
        <f t="shared" si="24"/>
        <v>HYDR IV кв. 2020</v>
      </c>
      <c r="C151">
        <v>2020</v>
      </c>
      <c r="D151">
        <f>SUMIFS(Дивиденды!$C:$C,Дивиденды!$A:$A,A151,Дивиденды!$I:$I,C151)</f>
        <v>5.2999999999999999E-2</v>
      </c>
      <c r="E151">
        <v>2</v>
      </c>
      <c r="F151">
        <f t="shared" si="25"/>
        <v>5.2999999999999999E-2</v>
      </c>
      <c r="G151">
        <f t="shared" si="26"/>
        <v>6.5489249999999999E-2</v>
      </c>
      <c r="H151">
        <f t="shared" si="27"/>
        <v>1</v>
      </c>
      <c r="I151">
        <f t="shared" si="23"/>
        <v>0.75</v>
      </c>
      <c r="J151">
        <f t="shared" si="28"/>
        <v>0.48459383753501384</v>
      </c>
      <c r="K151">
        <f t="shared" si="32"/>
        <v>-0.12600685149729704</v>
      </c>
      <c r="L151">
        <f t="shared" si="29"/>
        <v>1</v>
      </c>
      <c r="M151">
        <f t="shared" si="22"/>
        <v>0.5</v>
      </c>
      <c r="N151">
        <f t="shared" si="30"/>
        <v>0</v>
      </c>
      <c r="O151">
        <f t="shared" si="31"/>
        <v>0.5</v>
      </c>
      <c r="P151">
        <f>IFERROR(LN('Дивиденды по годам'!I151),"")</f>
        <v>27.57130826582193</v>
      </c>
      <c r="Q151">
        <f>IFERROR('Дивиденды по годам'!G151/'Дивиденды по годам'!I151, "")</f>
        <v>0.72465672719166485</v>
      </c>
      <c r="R151">
        <f>IFERROR(IF(AND('Дивиденды по годам'!N151&lt;&gt;"",'Дивиденды по годам'!U151&lt;&gt;"",'Дивиденды по годам'!U151&lt;&gt;0),'Дивиденды по годам'!N151/'Дивиденды по годам'!U151-1,""),"")</f>
        <v>4.4192972981818679E-2</v>
      </c>
      <c r="S151">
        <f>IFERROR(IF(AND('Дивиденды по годам'!L151&lt;&gt;"",'Дивиденды по годам'!I151&lt;&gt;"",'Дивиденды по годам'!J151&lt;&gt;"",'Дивиденды по годам'!K151&lt;&gt;"",('Дивиденды по годам'!I151-'Дивиденды по годам'!J151-'Дивиденды по годам'!K151)&lt;&gt;0),'Дивиденды по годам'!L151/('Дивиденды по годам'!I151-'Дивиденды по годам'!J151-'Дивиденды по годам'!K151),""),"")</f>
        <v>0.2064390580352744</v>
      </c>
      <c r="T151">
        <f>IFERROR(IF(AND('Дивиденды по годам'!Q151&lt;&gt;"",'Дивиденды по годам'!I151&lt;&gt;"",'Дивиденды по годам'!V151&lt;&gt;"",('Дивиденды по годам'!I151+'Дивиденды по годам'!V151)&lt;&gt;0),'Дивиденды по годам'!Q151/(('Дивиденды по годам'!I151+'Дивиденды по годам'!V151)/2),""),"")</f>
        <v>4.9923037949735266E-2</v>
      </c>
      <c r="U151">
        <f>IFERROR(IF(AND('Дивиденды по годам'!J151&lt;&gt;"",'Дивиденды по годам'!K151&lt;&gt;"",'Дивиденды по годам'!M151&lt;&gt;"",'Дивиденды по годам'!M151&lt;&gt;0),('Дивиденды по годам'!J151+'Дивиденды по годам'!K151)/'Дивиденды по годам'!M151,""),"")</f>
        <v>0.54700791539396332</v>
      </c>
      <c r="V151" cm="1">
        <f t="array" ref="V151">IFERROR(AVERAGE(_xlfn._xlws.FILTER(P$2:P$1073,($C$2:$C$1073=$C151)*($E$2:$E$1073=$E151)*(ROW(P$2:P$1073)&lt;&gt;ROW(P151))*(P$2:P$1073&lt;&gt;""))),"")</f>
        <v>26.05660975618181</v>
      </c>
      <c r="W151" cm="1">
        <f t="array" ref="W151">IFERROR(AVERAGE(_xlfn._xlws.FILTER(Q$2:Q$1073,($C$2:$C$1073=$C151)*($E$2:$E$1073=$E151)*(ROW(Q$2:Q$1073)&lt;&gt;ROW(Q151))*(Q$2:Q$1073&lt;&gt;""))),"")</f>
        <v>0.74666182833679107</v>
      </c>
      <c r="X151" cm="1">
        <f t="array" ref="X151">IFERROR(AVERAGE(_xlfn._xlws.FILTER(R$2:R$1073,($C$2:$C$1073=$C151)*($E$2:$E$1073=$E151)*(ROW(R$2:R$1073)&lt;&gt;ROW(R151))*(R$2:R$1073&lt;&gt;""))),"")</f>
        <v>-7.3224694447592539E-2</v>
      </c>
      <c r="Y151" cm="1">
        <f t="array" ref="Y151">IFERROR(AVERAGE(_xlfn._xlws.FILTER(S$2:S$1073,($C$2:$C$1073=$C151)*($E$2:$E$1073=$E151)*(ROW(S$2:S$1073)&lt;&gt;ROW(S151))*(S$2:S$1073&lt;&gt;""))),"")</f>
        <v>0.50763953550106367</v>
      </c>
      <c r="Z151" cm="1">
        <f t="array" ref="Z151">IFERROR(AVERAGE(_xlfn._xlws.FILTER(T$2:T$1073,($C$2:$C$1073=$C151)*($E$2:$E$1073=$E151)*(ROW(T$2:T$1073)&lt;&gt;ROW(T151))*(T$2:T$1073&lt;&gt;""))),"")</f>
        <v>4.2046020525028621E-2</v>
      </c>
      <c r="AA151" cm="1">
        <f t="array" ref="AA151">IFERROR(AVERAGE(_xlfn._xlws.FILTER(U$2:U$1073,($C$2:$C$1073=$C151)*($E$2:$E$1073=$E151)*(ROW(U$2:U$1073)&lt;&gt;ROW(U151))*(U$2:U$1073&lt;&gt;""))),"")</f>
        <v>0.66894652765264162</v>
      </c>
    </row>
    <row r="152" spans="1:27" x14ac:dyDescent="0.2">
      <c r="A152" s="7" t="s">
        <v>2196</v>
      </c>
      <c r="B152" t="str">
        <f t="shared" si="24"/>
        <v>HYDR IV кв. 2019</v>
      </c>
      <c r="C152">
        <v>2019</v>
      </c>
      <c r="D152">
        <f>SUMIFS(Дивиденды!$C:$C,Дивиденды!$A:$A,A152,Дивиденды!$I:$I,C152)</f>
        <v>3.5700000000000003E-2</v>
      </c>
      <c r="E152">
        <v>2</v>
      </c>
      <c r="F152">
        <f t="shared" si="25"/>
        <v>3.5700000000000003E-2</v>
      </c>
      <c r="G152">
        <f t="shared" si="26"/>
        <v>6.8333666666666668E-2</v>
      </c>
      <c r="H152">
        <f t="shared" si="27"/>
        <v>1</v>
      </c>
      <c r="I152">
        <f t="shared" si="23"/>
        <v>1</v>
      </c>
      <c r="J152">
        <f t="shared" si="28"/>
        <v>-2.7247956403269775E-2</v>
      </c>
      <c r="K152">
        <f t="shared" si="32"/>
        <v>0.17436342070352681</v>
      </c>
      <c r="L152">
        <f t="shared" si="29"/>
        <v>0</v>
      </c>
      <c r="M152">
        <f t="shared" si="22"/>
        <v>0.5</v>
      </c>
      <c r="N152">
        <f t="shared" si="30"/>
        <v>1</v>
      </c>
      <c r="O152">
        <f t="shared" si="31"/>
        <v>0.41666666666666669</v>
      </c>
      <c r="P152">
        <f>IFERROR(LN('Дивиденды по годам'!I152),"")</f>
        <v>27.553188214832957</v>
      </c>
      <c r="Q152">
        <f>IFERROR('Дивиденды по годам'!G152/'Дивиденды по годам'!I152, "")</f>
        <v>0.73272951912132389</v>
      </c>
      <c r="R152">
        <f>IFERROR(IF(AND('Дивиденды по годам'!N152&lt;&gt;"",'Дивиденды по годам'!U152&lt;&gt;"",'Дивиденды по годам'!U152&lt;&gt;0),'Дивиденды по годам'!N152/'Дивиденды по годам'!U152-1,""),"")</f>
        <v>2.1941633915879333E-2</v>
      </c>
      <c r="S152">
        <f>IFERROR(IF(AND('Дивиденды по годам'!L152&lt;&gt;"",'Дивиденды по годам'!I152&lt;&gt;"",'Дивиденды по годам'!J152&lt;&gt;"",'Дивиденды по годам'!K152&lt;&gt;"",('Дивиденды по годам'!I152-'Дивиденды по годам'!J152-'Дивиденды по годам'!K152)&lt;&gt;0),'Дивиденды по годам'!L152/('Дивиденды по годам'!I152-'Дивиденды по годам'!J152-'Дивиденды по годам'!K152),""),"")</f>
        <v>0.1838754112744023</v>
      </c>
      <c r="T152">
        <f>IFERROR(IF(AND('Дивиденды по годам'!Q152&lt;&gt;"",'Дивиденды по годам'!I152&lt;&gt;"",'Дивиденды по годам'!V152&lt;&gt;"",('Дивиденды по годам'!I152+'Дивиденды по годам'!V152)&lt;&gt;0),'Дивиденды по годам'!Q152/(('Дивиденды по годам'!I152+'Дивиденды по годам'!V152)/2),""),"")</f>
        <v>6.9249616326970192E-4</v>
      </c>
      <c r="U152">
        <f>IFERROR(IF(AND('Дивиденды по годам'!J152&lt;&gt;"",'Дивиденды по годам'!K152&lt;&gt;"",'Дивиденды по годам'!M152&lt;&gt;"",'Дивиденды по годам'!M152&lt;&gt;0),('Дивиденды по годам'!J152+'Дивиденды по годам'!K152)/'Дивиденды по годам'!M152,""),"")</f>
        <v>0.6233717920596622</v>
      </c>
      <c r="V152" cm="1">
        <f t="array" ref="V152">IFERROR(AVERAGE(_xlfn._xlws.FILTER(P$2:P$1073,($C$2:$C$1073=$C152)*($E$2:$E$1073=$E152)*(ROW(P$2:P$1073)&lt;&gt;ROW(P152))*(P$2:P$1073&lt;&gt;""))),"")</f>
        <v>26.015058953814361</v>
      </c>
      <c r="W152" cm="1">
        <f t="array" ref="W152">IFERROR(AVERAGE(_xlfn._xlws.FILTER(Q$2:Q$1073,($C$2:$C$1073=$C152)*($E$2:$E$1073=$E152)*(ROW(Q$2:Q$1073)&lt;&gt;ROW(Q152))*(Q$2:Q$1073&lt;&gt;""))),"")</f>
        <v>0.7373505526844859</v>
      </c>
      <c r="X152" cm="1">
        <f t="array" ref="X152">IFERROR(AVERAGE(_xlfn._xlws.FILTER(R$2:R$1073,($C$2:$C$1073=$C152)*($E$2:$E$1073=$E152)*(ROW(R$2:R$1073)&lt;&gt;ROW(R152))*(R$2:R$1073&lt;&gt;""))),"")</f>
        <v>1.9429409013773842E-3</v>
      </c>
      <c r="Y152" cm="1">
        <f t="array" ref="Y152">IFERROR(AVERAGE(_xlfn._xlws.FILTER(S$2:S$1073,($C$2:$C$1073=$C152)*($E$2:$E$1073=$E152)*(ROW(S$2:S$1073)&lt;&gt;ROW(S152))*(S$2:S$1073&lt;&gt;""))),"")</f>
        <v>0.49820360345747589</v>
      </c>
      <c r="Z152" cm="1">
        <f t="array" ref="Z152">IFERROR(AVERAGE(_xlfn._xlws.FILTER(T$2:T$1073,($C$2:$C$1073=$C152)*($E$2:$E$1073=$E152)*(ROW(T$2:T$1073)&lt;&gt;ROW(T152))*(T$2:T$1073&lt;&gt;""))),"")</f>
        <v>5.6238776327520466E-2</v>
      </c>
      <c r="AA152" cm="1">
        <f t="array" ref="AA152">IFERROR(AVERAGE(_xlfn._xlws.FILTER(U$2:U$1073,($C$2:$C$1073=$C152)*($E$2:$E$1073=$E152)*(ROW(U$2:U$1073)&lt;&gt;ROW(U152))*(U$2:U$1073&lt;&gt;""))),"")</f>
        <v>0.66891103410297881</v>
      </c>
    </row>
    <row r="153" spans="1:27" x14ac:dyDescent="0.2">
      <c r="A153" s="7" t="s">
        <v>2196</v>
      </c>
      <c r="B153" t="str">
        <f t="shared" si="24"/>
        <v>HYDR IV кв. 2018</v>
      </c>
      <c r="C153">
        <v>2018</v>
      </c>
      <c r="D153">
        <f>SUMIFS(Дивиденды!$C:$C,Дивиденды!$A:$A,A153,Дивиденды!$I:$I,C153)</f>
        <v>3.6700000000000003E-2</v>
      </c>
      <c r="E153">
        <v>2</v>
      </c>
      <c r="F153">
        <f t="shared" si="25"/>
        <v>3.6700000000000003E-2</v>
      </c>
      <c r="G153">
        <f t="shared" si="26"/>
        <v>7.7512083333333329E-2</v>
      </c>
      <c r="H153">
        <f t="shared" si="27"/>
        <v>1</v>
      </c>
      <c r="I153">
        <f t="shared" si="23"/>
        <v>1</v>
      </c>
      <c r="J153">
        <f t="shared" si="28"/>
        <v>0.39543726235741455</v>
      </c>
      <c r="K153">
        <f t="shared" si="32"/>
        <v>0.16330525643446758</v>
      </c>
      <c r="L153">
        <f t="shared" si="29"/>
        <v>1</v>
      </c>
      <c r="M153">
        <f t="shared" si="22"/>
        <v>0.58333333333333337</v>
      </c>
      <c r="N153">
        <f t="shared" si="30"/>
        <v>0</v>
      </c>
      <c r="O153">
        <f t="shared" si="31"/>
        <v>0.25</v>
      </c>
      <c r="P153">
        <f>IFERROR(LN('Дивиденды по годам'!I153),"")</f>
        <v>27.560524614556563</v>
      </c>
      <c r="Q153">
        <f>IFERROR('Дивиденды по годам'!G153/'Дивиденды по годам'!I153, "")</f>
        <v>0.71831927471025214</v>
      </c>
      <c r="R153">
        <f>IFERROR(IF(AND('Дивиденды по годам'!N153&lt;&gt;"",'Дивиденды по годам'!U153&lt;&gt;"",'Дивиденды по годам'!U153&lt;&gt;0),'Дивиденды по годам'!N153/'Дивиденды по годам'!U153-1,""),"")</f>
        <v>3.0595859461850727E-2</v>
      </c>
      <c r="S153">
        <f>IFERROR(IF(AND('Дивиденды по годам'!L153&lt;&gt;"",'Дивиденды по годам'!I153&lt;&gt;"",'Дивиденды по годам'!J153&lt;&gt;"",'Дивиденды по годам'!K153&lt;&gt;"",('Дивиденды по годам'!I153-'Дивиденды по годам'!J153-'Дивиденды по годам'!K153)&lt;&gt;0),'Дивиденды по годам'!L153/('Дивиденды по годам'!I153-'Дивиденды по годам'!J153-'Дивиденды по годам'!K153),""),"")</f>
        <v>0.19706457825488427</v>
      </c>
      <c r="T153">
        <f>IFERROR(IF(AND('Дивиденды по годам'!Q153&lt;&gt;"",'Дивиденды по годам'!I153&lt;&gt;"",'Дивиденды по годам'!V153&lt;&gt;"",('Дивиденды по годам'!I153+'Дивиденды по годам'!V153)&lt;&gt;0),'Дивиденды по годам'!Q153/(('Дивиденды по годам'!I153+'Дивиденды по годам'!V153)/2),""),"")</f>
        <v>3.2483718348602322E-2</v>
      </c>
      <c r="U153">
        <f>IFERROR(IF(AND('Дивиденды по годам'!J153&lt;&gt;"",'Дивиденды по годам'!K153&lt;&gt;"",'Дивиденды по годам'!M153&lt;&gt;"",'Дивиденды по годам'!M153&lt;&gt;0),('Дивиденды по годам'!J153+'Дивиденды по годам'!K153)/'Дивиденды по годам'!M153,""),"")</f>
        <v>0.58973182377234445</v>
      </c>
      <c r="V153" cm="1">
        <f t="array" ref="V153">IFERROR(AVERAGE(_xlfn._xlws.FILTER(P$2:P$1073,($C$2:$C$1073=$C153)*($E$2:$E$1073=$E153)*(ROW(P$2:P$1073)&lt;&gt;ROW(P153))*(P$2:P$1073&lt;&gt;""))),"")</f>
        <v>25.956881629975967</v>
      </c>
      <c r="W153" cm="1">
        <f t="array" ref="W153">IFERROR(AVERAGE(_xlfn._xlws.FILTER(Q$2:Q$1073,($C$2:$C$1073=$C153)*($E$2:$E$1073=$E153)*(ROW(Q$2:Q$1073)&lt;&gt;ROW(Q153))*(Q$2:Q$1073&lt;&gt;""))),"")</f>
        <v>0.75608921610913526</v>
      </c>
      <c r="X153" cm="1">
        <f t="array" ref="X153">IFERROR(AVERAGE(_xlfn._xlws.FILTER(R$2:R$1073,($C$2:$C$1073=$C153)*($E$2:$E$1073=$E153)*(ROW(R$2:R$1073)&lt;&gt;ROW(R153))*(R$2:R$1073&lt;&gt;""))),"")</f>
        <v>5.1833493748288856E-2</v>
      </c>
      <c r="Y153" cm="1">
        <f t="array" ref="Y153">IFERROR(AVERAGE(_xlfn._xlws.FILTER(S$2:S$1073,($C$2:$C$1073=$C153)*($E$2:$E$1073=$E153)*(ROW(S$2:S$1073)&lt;&gt;ROW(S153))*(S$2:S$1073&lt;&gt;""))),"")</f>
        <v>0.48668850419533644</v>
      </c>
      <c r="Z153" cm="1">
        <f t="array" ref="Z153">IFERROR(AVERAGE(_xlfn._xlws.FILTER(T$2:T$1073,($C$2:$C$1073=$C153)*($E$2:$E$1073=$E153)*(ROW(T$2:T$1073)&lt;&gt;ROW(T153))*(T$2:T$1073&lt;&gt;""))),"")</f>
        <v>7.1405451321554583E-2</v>
      </c>
      <c r="AA153" cm="1">
        <f t="array" ref="AA153">IFERROR(AVERAGE(_xlfn._xlws.FILTER(U$2:U$1073,($C$2:$C$1073=$C153)*($E$2:$E$1073=$E153)*(ROW(U$2:U$1073)&lt;&gt;ROW(U153))*(U$2:U$1073&lt;&gt;""))),"")</f>
        <v>0.63548754147222075</v>
      </c>
    </row>
    <row r="154" spans="1:27" x14ac:dyDescent="0.2">
      <c r="A154" s="7" t="s">
        <v>2196</v>
      </c>
      <c r="B154" t="str">
        <f t="shared" si="24"/>
        <v>HYDR IV кв. 2017</v>
      </c>
      <c r="C154">
        <v>2017</v>
      </c>
      <c r="D154">
        <f>SUMIFS(Дивиденды!$C:$C,Дивиденды!$A:$A,A154,Дивиденды!$I:$I,C154)</f>
        <v>2.63E-2</v>
      </c>
      <c r="E154">
        <v>2</v>
      </c>
      <c r="F154">
        <f t="shared" si="25"/>
        <v>2.63E-2</v>
      </c>
      <c r="G154">
        <f t="shared" si="26"/>
        <v>6.9917166666666655E-2</v>
      </c>
      <c r="H154">
        <f t="shared" si="27"/>
        <v>1</v>
      </c>
      <c r="I154">
        <f t="shared" si="23"/>
        <v>1</v>
      </c>
      <c r="J154">
        <f t="shared" si="28"/>
        <v>-0.43562231759656656</v>
      </c>
      <c r="K154">
        <f t="shared" si="32"/>
        <v>0.67805149740666415</v>
      </c>
      <c r="L154">
        <f t="shared" si="29"/>
        <v>0</v>
      </c>
      <c r="M154">
        <f t="shared" si="22"/>
        <v>0.83333333333333337</v>
      </c>
      <c r="N154">
        <f t="shared" si="30"/>
        <v>1</v>
      </c>
      <c r="O154">
        <f t="shared" si="31"/>
        <v>0.16666666666666666</v>
      </c>
      <c r="P154">
        <f>IFERROR(LN('Дивиденды по годам'!I154),"")</f>
        <v>27.658880416582608</v>
      </c>
      <c r="Q154">
        <f>IFERROR('Дивиденды по годам'!G154/'Дивиденды по годам'!I154, "")</f>
        <v>0.7778791365143336</v>
      </c>
      <c r="R154">
        <f>IFERROR(IF(AND('Дивиденды по годам'!N154&lt;&gt;"",'Дивиденды по годам'!U154&lt;&gt;"",'Дивиденды по годам'!U154&lt;&gt;0),'Дивиденды по годам'!N154/'Дивиденды по годам'!U154-1,""),"")</f>
        <v>-6.9379691610171323E-2</v>
      </c>
      <c r="S154">
        <f>IFERROR(IF(AND('Дивиденды по годам'!L154&lt;&gt;"",'Дивиденды по годам'!I154&lt;&gt;"",'Дивиденды по годам'!J154&lt;&gt;"",'Дивиденды по годам'!K154&lt;&gt;"",('Дивиденды по годам'!I154-'Дивиденды по годам'!J154-'Дивиденды по годам'!K154)&lt;&gt;0),'Дивиденды по годам'!L154/('Дивиденды по годам'!I154-'Дивиденды по годам'!J154-'Дивиденды по годам'!K154),""),"")</f>
        <v>0.33349483297007898</v>
      </c>
      <c r="T154">
        <f>IFERROR(IF(AND('Дивиденды по годам'!Q154&lt;&gt;"",'Дивиденды по годам'!I154&lt;&gt;"",'Дивиденды по годам'!V154&lt;&gt;"",('Дивиденды по годам'!I154+'Дивиденды по годам'!V154)&lt;&gt;0),'Дивиденды по годам'!Q154/(('Дивиденды по годам'!I154+'Дивиденды по годам'!V154)/2),""),"")</f>
        <v>2.2320458796727342E-2</v>
      </c>
      <c r="U154">
        <f>IFERROR(IF(AND('Дивиденды по годам'!J154&lt;&gt;"",'Дивиденды по годам'!K154&lt;&gt;"",'Дивиденды по годам'!M154&lt;&gt;"",'Дивиденды по годам'!M154&lt;&gt;0),('Дивиденды по годам'!J154+'Дивиденды по годам'!K154)/'Дивиденды по годам'!M154,""),"")</f>
        <v>0.47829818679517627</v>
      </c>
      <c r="V154" cm="1">
        <f t="array" ref="V154">IFERROR(AVERAGE(_xlfn._xlws.FILTER(P$2:P$1073,($C$2:$C$1073=$C154)*($E$2:$E$1073=$E154)*(ROW(P$2:P$1073)&lt;&gt;ROW(P154))*(P$2:P$1073&lt;&gt;""))),"")</f>
        <v>25.916072761790943</v>
      </c>
      <c r="W154" cm="1">
        <f t="array" ref="W154">IFERROR(AVERAGE(_xlfn._xlws.FILTER(Q$2:Q$1073,($C$2:$C$1073=$C154)*($E$2:$E$1073=$E154)*(ROW(Q$2:Q$1073)&lt;&gt;ROW(Q154))*(Q$2:Q$1073&lt;&gt;""))),"")</f>
        <v>0.75863572642375032</v>
      </c>
      <c r="X154" cm="1">
        <f t="array" ref="X154">IFERROR(AVERAGE(_xlfn._xlws.FILTER(R$2:R$1073,($C$2:$C$1073=$C154)*($E$2:$E$1073=$E154)*(ROW(R$2:R$1073)&lt;&gt;ROW(R154))*(R$2:R$1073&lt;&gt;""))),"")</f>
        <v>5.5492230923092967E-2</v>
      </c>
      <c r="Y154" cm="1">
        <f t="array" ref="Y154">IFERROR(AVERAGE(_xlfn._xlws.FILTER(S$2:S$1073,($C$2:$C$1073=$C154)*($E$2:$E$1073=$E154)*(ROW(S$2:S$1073)&lt;&gt;ROW(S154))*(S$2:S$1073&lt;&gt;""))),"")</f>
        <v>0.42771918388178792</v>
      </c>
      <c r="Z154" cm="1">
        <f t="array" ref="Z154">IFERROR(AVERAGE(_xlfn._xlws.FILTER(T$2:T$1073,($C$2:$C$1073=$C154)*($E$2:$E$1073=$E154)*(ROW(T$2:T$1073)&lt;&gt;ROW(T154))*(T$2:T$1073&lt;&gt;""))),"")</f>
        <v>8.6507484906178447E-2</v>
      </c>
      <c r="AA154" cm="1">
        <f t="array" ref="AA154">IFERROR(AVERAGE(_xlfn._xlws.FILTER(U$2:U$1073,($C$2:$C$1073=$C154)*($E$2:$E$1073=$E154)*(ROW(U$2:U$1073)&lt;&gt;ROW(U154))*(U$2:U$1073&lt;&gt;""))),"")</f>
        <v>0.64405161960556445</v>
      </c>
    </row>
    <row r="155" spans="1:27" x14ac:dyDescent="0.2">
      <c r="A155" s="7" t="s">
        <v>2196</v>
      </c>
      <c r="B155" t="str">
        <f t="shared" si="24"/>
        <v>HYDR IV кв. 2016</v>
      </c>
      <c r="C155">
        <v>2016</v>
      </c>
      <c r="D155">
        <f>SUMIFS(Дивиденды!$C:$C,Дивиденды!$A:$A,A155,Дивиденды!$I:$I,C155)</f>
        <v>4.6600000000000003E-2</v>
      </c>
      <c r="E155">
        <v>2</v>
      </c>
      <c r="F155">
        <f t="shared" si="25"/>
        <v>4.6600000000000003E-2</v>
      </c>
      <c r="G155">
        <f t="shared" si="26"/>
        <v>5.3511833333333335E-2</v>
      </c>
      <c r="H155">
        <f t="shared" si="27"/>
        <v>1</v>
      </c>
      <c r="I155">
        <f t="shared" si="23"/>
        <v>1</v>
      </c>
      <c r="J155">
        <f t="shared" si="28"/>
        <v>0.19794344473007727</v>
      </c>
      <c r="K155">
        <f t="shared" si="32"/>
        <v>1.3905747507449704</v>
      </c>
      <c r="L155">
        <f t="shared" si="29"/>
        <v>1</v>
      </c>
      <c r="M155">
        <f t="shared" si="22"/>
        <v>0.83333333333333337</v>
      </c>
      <c r="N155">
        <f t="shared" si="30"/>
        <v>0</v>
      </c>
      <c r="O155">
        <f t="shared" si="31"/>
        <v>0.16666666666666666</v>
      </c>
      <c r="P155">
        <f>IFERROR(LN('Дивиденды по годам'!I155),"")</f>
        <v>27.614328567319994</v>
      </c>
      <c r="Q155">
        <f>IFERROR('Дивиденды по годам'!G155/'Дивиденды по годам'!I155, "")</f>
        <v>0.77792476658606569</v>
      </c>
      <c r="R155">
        <f>IFERROR(IF(AND('Дивиденды по годам'!N155&lt;&gt;"",'Дивиденды по годам'!U155&lt;&gt;"",'Дивиденды по годам'!U155&lt;&gt;0),'Дивиденды по годам'!N155/'Дивиденды по годам'!U155-1,""),"")</f>
        <v>7.6429015400907074E-2</v>
      </c>
      <c r="S155">
        <f>IFERROR(IF(AND('Дивиденды по годам'!L155&lt;&gt;"",'Дивиденды по годам'!I155&lt;&gt;"",'Дивиденды по годам'!J155&lt;&gt;"",'Дивиденды по годам'!K155&lt;&gt;"",('Дивиденды по годам'!I155-'Дивиденды по годам'!J155-'Дивиденды по годам'!K155)&lt;&gt;0),'Дивиденды по годам'!L155/('Дивиденды по годам'!I155-'Дивиденды по годам'!J155-'Дивиденды по годам'!K155),""),"")</f>
        <v>0.37452452790767699</v>
      </c>
      <c r="T155">
        <f>IFERROR(IF(AND('Дивиденды по годам'!Q155&lt;&gt;"",'Дивиденды по годам'!I155&lt;&gt;"",'Дивиденды по годам'!V155&lt;&gt;"",('Дивиденды по годам'!I155+'Дивиденды по годам'!V155)&lt;&gt;0),'Дивиденды по годам'!Q155/(('Дивиденды по годам'!I155+'Дивиденды по годам'!V155)/2),""),"")</f>
        <v>4.1373180341416425E-2</v>
      </c>
      <c r="U155">
        <f>IFERROR(IF(AND('Дивиденды по годам'!J155&lt;&gt;"",'Дивиденды по годам'!K155&lt;&gt;"",'Дивиденды по годам'!M155&lt;&gt;"",'Дивиденды по годам'!M155&lt;&gt;0),('Дивиденды по годам'!J155+'Дивиденды по годам'!K155)/'Дивиденды по годам'!M155,""),"")</f>
        <v>0.51082755187945894</v>
      </c>
      <c r="V155" cm="1">
        <f t="array" ref="V155">IFERROR(AVERAGE(_xlfn._xlws.FILTER(P$2:P$1073,($C$2:$C$1073=$C155)*($E$2:$E$1073=$E155)*(ROW(P$2:P$1073)&lt;&gt;ROW(P155))*(P$2:P$1073&lt;&gt;""))),"")</f>
        <v>25.873978656092273</v>
      </c>
      <c r="W155" cm="1">
        <f t="array" ref="W155">IFERROR(AVERAGE(_xlfn._xlws.FILTER(Q$2:Q$1073,($C$2:$C$1073=$C155)*($E$2:$E$1073=$E155)*(ROW(Q$2:Q$1073)&lt;&gt;ROW(Q155))*(Q$2:Q$1073&lt;&gt;""))),"")</f>
        <v>0.71112698287081721</v>
      </c>
      <c r="X155" cm="1">
        <f t="array" ref="X155">IFERROR(AVERAGE(_xlfn._xlws.FILTER(R$2:R$1073,($C$2:$C$1073=$C155)*($E$2:$E$1073=$E155)*(ROW(R$2:R$1073)&lt;&gt;ROW(R155))*(R$2:R$1073&lt;&gt;""))),"")</f>
        <v>0.117948678906392</v>
      </c>
      <c r="Y155" cm="1">
        <f t="array" ref="Y155">IFERROR(AVERAGE(_xlfn._xlws.FILTER(S$2:S$1073,($C$2:$C$1073=$C155)*($E$2:$E$1073=$E155)*(ROW(S$2:S$1073)&lt;&gt;ROW(S155))*(S$2:S$1073&lt;&gt;""))),"")</f>
        <v>0.41201683176658926</v>
      </c>
      <c r="Z155" cm="1">
        <f t="array" ref="Z155">IFERROR(AVERAGE(_xlfn._xlws.FILTER(T$2:T$1073,($C$2:$C$1073=$C155)*($E$2:$E$1073=$E155)*(ROW(T$2:T$1073)&lt;&gt;ROW(T155))*(T$2:T$1073&lt;&gt;""))),"")</f>
        <v>4.0901032921372295E-2</v>
      </c>
      <c r="AA155" cm="1">
        <f t="array" ref="AA155">IFERROR(AVERAGE(_xlfn._xlws.FILTER(U$2:U$1073,($C$2:$C$1073=$C155)*($E$2:$E$1073=$E155)*(ROW(U$2:U$1073)&lt;&gt;ROW(U155))*(U$2:U$1073&lt;&gt;""))),"")</f>
        <v>0.74422175164240822</v>
      </c>
    </row>
    <row r="156" spans="1:27" x14ac:dyDescent="0.2">
      <c r="A156" s="7" t="s">
        <v>2196</v>
      </c>
      <c r="B156" t="str">
        <f t="shared" si="24"/>
        <v>HYDR IV кв. 2015</v>
      </c>
      <c r="C156">
        <v>2015</v>
      </c>
      <c r="D156">
        <f>SUMIFS(Дивиденды!$C:$C,Дивиденды!$A:$A,A156,Дивиденды!$I:$I,C156)</f>
        <v>3.8899999999999997E-2</v>
      </c>
      <c r="E156">
        <v>2</v>
      </c>
      <c r="F156">
        <f t="shared" si="25"/>
        <v>3.8899999999999997E-2</v>
      </c>
      <c r="G156">
        <f t="shared" si="26"/>
        <v>3.8198416666666672E-2</v>
      </c>
      <c r="H156">
        <f t="shared" si="27"/>
        <v>1</v>
      </c>
      <c r="I156">
        <f t="shared" si="23"/>
        <v>0.91666666666666663</v>
      </c>
      <c r="J156">
        <f t="shared" si="28"/>
        <v>1.4935897435897436</v>
      </c>
      <c r="K156">
        <f t="shared" si="32"/>
        <v>4.0205106330265297</v>
      </c>
      <c r="L156">
        <f t="shared" si="29"/>
        <v>1</v>
      </c>
      <c r="M156">
        <f t="shared" si="22"/>
        <v>0.66666666666666663</v>
      </c>
      <c r="N156">
        <f t="shared" si="30"/>
        <v>0</v>
      </c>
      <c r="O156">
        <f t="shared" si="31"/>
        <v>0.33333333333333331</v>
      </c>
      <c r="P156">
        <f>IFERROR(LN('Дивиденды по годам'!I156),"")</f>
        <v>27.567161830724679</v>
      </c>
      <c r="Q156">
        <f>IFERROR('Дивиденды по годам'!G156/'Дивиденды по годам'!I156, "")</f>
        <v>0.79368471769048654</v>
      </c>
      <c r="R156">
        <f>IFERROR(IF(AND('Дивиденды по годам'!N156&lt;&gt;"",'Дивиденды по годам'!U156&lt;&gt;"",'Дивиденды по годам'!U156&lt;&gt;0),'Дивиденды по годам'!N156/'Дивиденды по годам'!U156-1,""),"")</f>
        <v>5.447263017356474E-2</v>
      </c>
      <c r="S156">
        <f>IFERROR(IF(AND('Дивиденды по годам'!L156&lt;&gt;"",'Дивиденды по годам'!I156&lt;&gt;"",'Дивиденды по годам'!J156&lt;&gt;"",'Дивиденды по годам'!K156&lt;&gt;"",('Дивиденды по годам'!I156-'Дивиденды по годам'!J156-'Дивиденды по годам'!K156)&lt;&gt;0),'Дивиденды по годам'!L156/('Дивиденды по годам'!I156-'Дивиденды по годам'!J156-'Дивиденды по годам'!K156),""),"")</f>
        <v>0.33084820635947088</v>
      </c>
      <c r="T156">
        <f>IFERROR(IF(AND('Дивиденды по годам'!Q156&lt;&gt;"",'Дивиденды по годам'!I156&lt;&gt;"",'Дивиденды по годам'!V156&lt;&gt;"",('Дивиденды по годам'!I156+'Дивиденды по годам'!V156)&lt;&gt;0),'Дивиденды по годам'!Q156/(('Дивиденды по годам'!I156+'Дивиденды по годам'!V156)/2),""),"")</f>
        <v>2.9813815963163872E-2</v>
      </c>
      <c r="U156">
        <f>IFERROR(IF(AND('Дивиденды по годам'!J156&lt;&gt;"",'Дивиденды по годам'!K156&lt;&gt;"",'Дивиденды по годам'!M156&lt;&gt;"",'Дивиденды по годам'!M156&lt;&gt;0),('Дивиденды по годам'!J156+'Дивиденды по годам'!K156)/'Дивиденды по годам'!M156,""),"")</f>
        <v>0.52811201477719372</v>
      </c>
      <c r="V156" cm="1">
        <f t="array" ref="V156">IFERROR(AVERAGE(_xlfn._xlws.FILTER(P$2:P$1073,($C$2:$C$1073=$C156)*($E$2:$E$1073=$E156)*(ROW(P$2:P$1073)&lt;&gt;ROW(P156))*(P$2:P$1073&lt;&gt;""))),"")</f>
        <v>25.765224835632381</v>
      </c>
      <c r="W156" cm="1">
        <f t="array" ref="W156">IFERROR(AVERAGE(_xlfn._xlws.FILTER(Q$2:Q$1073,($C$2:$C$1073=$C156)*($E$2:$E$1073=$E156)*(ROW(Q$2:Q$1073)&lt;&gt;ROW(Q156))*(Q$2:Q$1073&lt;&gt;""))),"")</f>
        <v>0.7779528295804814</v>
      </c>
      <c r="X156" cm="1">
        <f t="array" ref="X156">IFERROR(AVERAGE(_xlfn._xlws.FILTER(R$2:R$1073,($C$2:$C$1073=$C156)*($E$2:$E$1073=$E156)*(ROW(R$2:R$1073)&lt;&gt;ROW(R156))*(R$2:R$1073&lt;&gt;""))),"")</f>
        <v>1.4494731745010097E-3</v>
      </c>
      <c r="Y156" cm="1">
        <f t="array" ref="Y156">IFERROR(AVERAGE(_xlfn._xlws.FILTER(S$2:S$1073,($C$2:$C$1073=$C156)*($E$2:$E$1073=$E156)*(ROW(S$2:S$1073)&lt;&gt;ROW(S156))*(S$2:S$1073&lt;&gt;""))),"")</f>
        <v>0.51150400603076418</v>
      </c>
      <c r="Z156" cm="1">
        <f t="array" ref="Z156">IFERROR(AVERAGE(_xlfn._xlws.FILTER(T$2:T$1073,($C$2:$C$1073=$C156)*($E$2:$E$1073=$E156)*(ROW(T$2:T$1073)&lt;&gt;ROW(T156))*(T$2:T$1073&lt;&gt;""))),"")</f>
        <v>-1.7076804083857099E-2</v>
      </c>
      <c r="AA156" cm="1">
        <f t="array" ref="AA156">IFERROR(AVERAGE(_xlfn._xlws.FILTER(U$2:U$1073,($C$2:$C$1073=$C156)*($E$2:$E$1073=$E156)*(ROW(U$2:U$1073)&lt;&gt;ROW(U156))*(U$2:U$1073&lt;&gt;""))),"")</f>
        <v>0.92905641885521373</v>
      </c>
    </row>
    <row r="157" spans="1:27" x14ac:dyDescent="0.2">
      <c r="A157" s="7" t="s">
        <v>2196</v>
      </c>
      <c r="B157" t="str">
        <f t="shared" si="24"/>
        <v>HYDR IV кв. 2014</v>
      </c>
      <c r="C157">
        <v>2014</v>
      </c>
      <c r="D157">
        <f>SUMIFS(Дивиденды!$C:$C,Дивиденды!$A:$A,A157,Дивиденды!$I:$I,C157)</f>
        <v>1.5599999999999999E-2</v>
      </c>
      <c r="E157">
        <v>2</v>
      </c>
      <c r="F157">
        <f t="shared" si="25"/>
        <v>1.5599999999999999E-2</v>
      </c>
      <c r="G157">
        <f t="shared" si="26"/>
        <v>3.7667916666666669E-2</v>
      </c>
      <c r="H157">
        <f t="shared" si="27"/>
        <v>1</v>
      </c>
      <c r="I157">
        <f t="shared" si="23"/>
        <v>1</v>
      </c>
      <c r="J157">
        <f t="shared" si="28"/>
        <v>0.14705882352941177</v>
      </c>
      <c r="K157">
        <f t="shared" si="32"/>
        <v>1.388848579722521</v>
      </c>
      <c r="L157">
        <f t="shared" si="29"/>
        <v>1</v>
      </c>
      <c r="M157">
        <f t="shared" si="22"/>
        <v>0.58333333333333337</v>
      </c>
      <c r="N157">
        <f t="shared" si="30"/>
        <v>0</v>
      </c>
      <c r="O157">
        <f t="shared" si="31"/>
        <v>0.33333333333333331</v>
      </c>
      <c r="P157">
        <f>IFERROR(LN('Дивиденды по годам'!I157),"")</f>
        <v>27.507462684735632</v>
      </c>
      <c r="Q157">
        <f>IFERROR('Дивиденды по годам'!G157/'Дивиденды по годам'!I157, "")</f>
        <v>0.77643504531722052</v>
      </c>
      <c r="R157">
        <f>IFERROR(IF(AND('Дивиденды по годам'!N157&lt;&gt;"",'Дивиденды по годам'!U157&lt;&gt;"",'Дивиденды по годам'!U157&lt;&gt;0),'Дивиденды по годам'!N157/'Дивиденды по годам'!U157-1,""),"")</f>
        <v>5.0785634118967415E-2</v>
      </c>
      <c r="S157">
        <f>IFERROR(IF(AND('Дивиденды по годам'!L157&lt;&gt;"",'Дивиденды по годам'!I157&lt;&gt;"",'Дивиденды по годам'!J157&lt;&gt;"",'Дивиденды по годам'!K157&lt;&gt;"",('Дивиденды по годам'!I157-'Дивиденды по годам'!J157-'Дивиденды по годам'!K157)&lt;&gt;0),'Дивиденды по годам'!L157/('Дивиденды по годам'!I157-'Дивиденды по годам'!J157-'Дивиденды по годам'!K157),""),"")</f>
        <v>0.30169822448420652</v>
      </c>
      <c r="T157">
        <f>IFERROR(IF(AND('Дивиденды по годам'!Q157&lt;&gt;"",'Дивиденды по годам'!I157&lt;&gt;"",'Дивиденды по годам'!V157&lt;&gt;"",('Дивиденды по годам'!I157+'Дивиденды по годам'!V157)&lt;&gt;0),'Дивиденды по годам'!Q157/(('Дивиденды по годам'!I157+'Дивиденды по годам'!V157)/2),""),"")</f>
        <v>2.7803638173631306E-2</v>
      </c>
      <c r="U157">
        <f>IFERROR(IF(AND('Дивиденды по годам'!J157&lt;&gt;"",'Дивиденды по годам'!K157&lt;&gt;"",'Дивиденды по годам'!M157&lt;&gt;"",'Дивиденды по годам'!M157&lt;&gt;0),('Дивиденды по годам'!J157+'Дивиденды по годам'!K157)/'Дивиденды по годам'!M157,""),"")</f>
        <v>0.48495087801247078</v>
      </c>
      <c r="V157" cm="1">
        <f t="array" ref="V157">IFERROR(AVERAGE(_xlfn._xlws.FILTER(P$2:P$1073,($C$2:$C$1073=$C157)*($E$2:$E$1073=$E157)*(ROW(P$2:P$1073)&lt;&gt;ROW(P157))*(P$2:P$1073&lt;&gt;""))),"")</f>
        <v>26.027852027509859</v>
      </c>
      <c r="W157" cm="1">
        <f t="array" ref="W157">IFERROR(AVERAGE(_xlfn._xlws.FILTER(Q$2:Q$1073,($C$2:$C$1073=$C157)*($E$2:$E$1073=$E157)*(ROW(Q$2:Q$1073)&lt;&gt;ROW(Q157))*(Q$2:Q$1073&lt;&gt;""))),"")</f>
        <v>0.77098832977137111</v>
      </c>
      <c r="X157" cm="1">
        <f t="array" ref="X157">IFERROR(AVERAGE(_xlfn._xlws.FILTER(R$2:R$1073,($C$2:$C$1073=$C157)*($E$2:$E$1073=$E157)*(ROW(R$2:R$1073)&lt;&gt;ROW(R157))*(R$2:R$1073&lt;&gt;""))),"")</f>
        <v>1.9591980151834339E-2</v>
      </c>
      <c r="Y157" cm="1">
        <f t="array" ref="Y157">IFERROR(AVERAGE(_xlfn._xlws.FILTER(S$2:S$1073,($C$2:$C$1073=$C157)*($E$2:$E$1073=$E157)*(ROW(S$2:S$1073)&lt;&gt;ROW(S157))*(S$2:S$1073&lt;&gt;""))),"")</f>
        <v>0.66525278459670278</v>
      </c>
      <c r="Z157" cm="1">
        <f t="array" ref="Z157">IFERROR(AVERAGE(_xlfn._xlws.FILTER(T$2:T$1073,($C$2:$C$1073=$C157)*($E$2:$E$1073=$E157)*(ROW(T$2:T$1073)&lt;&gt;ROW(T157))*(T$2:T$1073&lt;&gt;""))),"")</f>
        <v>1.7595526074732665E-2</v>
      </c>
      <c r="AA157" cm="1">
        <f t="array" ref="AA157">IFERROR(AVERAGE(_xlfn._xlws.FILTER(U$2:U$1073,($C$2:$C$1073=$C157)*($E$2:$E$1073=$E157)*(ROW(U$2:U$1073)&lt;&gt;ROW(U157))*(U$2:U$1073&lt;&gt;""))),"")</f>
        <v>0.78066465049260914</v>
      </c>
    </row>
    <row r="158" spans="1:27" x14ac:dyDescent="0.2">
      <c r="A158" s="7" t="s">
        <v>2196</v>
      </c>
      <c r="B158" t="str">
        <f t="shared" si="24"/>
        <v>HYDR IV кв. 2013</v>
      </c>
      <c r="C158">
        <v>2013</v>
      </c>
      <c r="D158">
        <f>SUMIFS(Дивиденды!$C:$C,Дивиденды!$A:$A,A158,Дивиденды!$I:$I,C158)</f>
        <v>1.3599999999999999E-2</v>
      </c>
      <c r="E158">
        <v>2</v>
      </c>
      <c r="F158">
        <f t="shared" si="25"/>
        <v>1.3599999999999999E-2</v>
      </c>
      <c r="G158">
        <f t="shared" si="26"/>
        <v>4.5309750000000003E-2</v>
      </c>
      <c r="H158">
        <f t="shared" si="27"/>
        <v>1</v>
      </c>
      <c r="I158">
        <f t="shared" si="23"/>
        <v>0.75</v>
      </c>
      <c r="J158">
        <f t="shared" si="28"/>
        <v>0.4231896190874842</v>
      </c>
      <c r="K158">
        <f t="shared" si="32"/>
        <v>-2.2312947171946956E-2</v>
      </c>
      <c r="L158">
        <f t="shared" si="29"/>
        <v>1</v>
      </c>
      <c r="M158">
        <f t="shared" si="22"/>
        <v>0.41666666666666669</v>
      </c>
      <c r="N158">
        <f t="shared" si="30"/>
        <v>0</v>
      </c>
      <c r="O158">
        <f t="shared" si="31"/>
        <v>0.33333333333333331</v>
      </c>
      <c r="P158">
        <f>IFERROR(LN('Дивиденды по годам'!I158),"")</f>
        <v>27.470906352928615</v>
      </c>
      <c r="Q158">
        <f>IFERROR('Дивиденды по годам'!G158/'Дивиденды по годам'!I158, "")</f>
        <v>0.74391054004126533</v>
      </c>
      <c r="R158">
        <f>IFERROR(IF(AND('Дивиденды по годам'!N158&lt;&gt;"",'Дивиденды по годам'!U158&lt;&gt;"",'Дивиденды по годам'!U158&lt;&gt;0),'Дивиденды по годам'!N158/'Дивиденды по годам'!U158-1,""),"")</f>
        <v>0.20215261487512071</v>
      </c>
      <c r="S158" t="str">
        <f>IFERROR(IF(AND('Дивиденды по годам'!L158&lt;&gt;"",'Дивиденды по годам'!I158&lt;&gt;"",'Дивиденды по годам'!J158&lt;&gt;"",'Дивиденды по годам'!K158&lt;&gt;"",('Дивиденды по годам'!I158-'Дивиденды по годам'!J158-'Дивиденды по годам'!K158)&lt;&gt;0),'Дивиденды по годам'!L158/('Дивиденды по годам'!I158-'Дивиденды по годам'!J158-'Дивиденды по годам'!K158),""),"")</f>
        <v/>
      </c>
      <c r="T158">
        <f>IFERROR(IF(AND('Дивиденды по годам'!Q158&lt;&gt;"",'Дивиденды по годам'!I158&lt;&gt;"",'Дивиденды по годам'!V158&lt;&gt;"",('Дивиденды по годам'!I158+'Дивиденды по годам'!V158)&lt;&gt;0),'Дивиденды по годам'!Q158/(('Дивиденды по годам'!I158+'Дивиденды по годам'!V158)/2),""),"")</f>
        <v>2.4599350946482672E-2</v>
      </c>
      <c r="U158">
        <f>IFERROR(IF(AND('Дивиденды по годам'!J158&lt;&gt;"",'Дивиденды по годам'!K158&lt;&gt;"",'Дивиденды по годам'!M158&lt;&gt;"",'Дивиденды по годам'!M158&lt;&gt;0),('Дивиденды по годам'!J158+'Дивиденды по годам'!K158)/'Дивиденды по годам'!M158,""),"")</f>
        <v>0.42791353210201993</v>
      </c>
      <c r="V158" cm="1">
        <f t="array" ref="V158">IFERROR(AVERAGE(_xlfn._xlws.FILTER(P$2:P$1073,($C$2:$C$1073=$C158)*($E$2:$E$1073=$E158)*(ROW(P$2:P$1073)&lt;&gt;ROW(P158))*(P$2:P$1073&lt;&gt;""))),"")</f>
        <v>25.971672996022722</v>
      </c>
      <c r="W158" cm="1">
        <f t="array" ref="W158">IFERROR(AVERAGE(_xlfn._xlws.FILTER(Q$2:Q$1073,($C$2:$C$1073=$C158)*($E$2:$E$1073=$E158)*(ROW(Q$2:Q$1073)&lt;&gt;ROW(Q158))*(Q$2:Q$1073&lt;&gt;""))),"")</f>
        <v>0.78674155859445949</v>
      </c>
      <c r="X158" cm="1">
        <f t="array" ref="X158">IFERROR(AVERAGE(_xlfn._xlws.FILTER(R$2:R$1073,($C$2:$C$1073=$C158)*($E$2:$E$1073=$E158)*(ROW(R$2:R$1073)&lt;&gt;ROW(R158))*(R$2:R$1073&lt;&gt;""))),"")</f>
        <v>8.6188700424527712E-2</v>
      </c>
      <c r="Y158" cm="1">
        <f t="array" ref="Y158">IFERROR(AVERAGE(_xlfn._xlws.FILTER(S$2:S$1073,($C$2:$C$1073=$C158)*($E$2:$E$1073=$E158)*(ROW(S$2:S$1073)&lt;&gt;ROW(S158))*(S$2:S$1073&lt;&gt;""))),"")</f>
        <v>0.4636519590056305</v>
      </c>
      <c r="Z158" cm="1">
        <f t="array" ref="Z158">IFERROR(AVERAGE(_xlfn._xlws.FILTER(T$2:T$1073,($C$2:$C$1073=$C158)*($E$2:$E$1073=$E158)*(ROW(T$2:T$1073)&lt;&gt;ROW(T158))*(T$2:T$1073&lt;&gt;""))),"")</f>
        <v>-8.1585446931597694E-3</v>
      </c>
      <c r="AA158" cm="1">
        <f t="array" ref="AA158">IFERROR(AVERAGE(_xlfn._xlws.FILTER(U$2:U$1073,($C$2:$C$1073=$C158)*($E$2:$E$1073=$E158)*(ROW(U$2:U$1073)&lt;&gt;ROW(U158))*(U$2:U$1073&lt;&gt;""))),"")</f>
        <v>0.70210112326305241</v>
      </c>
    </row>
    <row r="159" spans="1:27" x14ac:dyDescent="0.2">
      <c r="A159" s="7" t="s">
        <v>2196</v>
      </c>
      <c r="B159" t="str">
        <f t="shared" si="24"/>
        <v>HYDR IV кв. 2012</v>
      </c>
      <c r="C159">
        <v>2012</v>
      </c>
      <c r="D159">
        <f>SUMIFS(Дивиденды!$C:$C,Дивиденды!$A:$A,A159,Дивиденды!$I:$I,C159)</f>
        <v>9.5560000000000003E-3</v>
      </c>
      <c r="E159">
        <v>2</v>
      </c>
      <c r="F159">
        <f t="shared" si="25"/>
        <v>9.5560000000000003E-3</v>
      </c>
      <c r="G159">
        <f t="shared" si="26"/>
        <v>3.6366000000000002E-2</v>
      </c>
      <c r="H159">
        <f t="shared" si="27"/>
        <v>1</v>
      </c>
      <c r="I159">
        <f t="shared" si="23"/>
        <v>0.66666666666666663</v>
      </c>
      <c r="J159">
        <f t="shared" si="28"/>
        <v>0.21069301913087538</v>
      </c>
      <c r="K159">
        <f t="shared" si="32"/>
        <v>0.72324429141259261</v>
      </c>
      <c r="L159">
        <f t="shared" si="29"/>
        <v>1</v>
      </c>
      <c r="M159">
        <f t="shared" si="22"/>
        <v>0.5</v>
      </c>
      <c r="N159">
        <f t="shared" si="30"/>
        <v>0</v>
      </c>
      <c r="O159">
        <f t="shared" si="31"/>
        <v>0.16666666666666666</v>
      </c>
      <c r="P159">
        <f>IFERROR(LN('Дивиденды по годам'!I159),"")</f>
        <v>27.474071355661476</v>
      </c>
      <c r="Q159">
        <f>IFERROR('Дивиденды по годам'!G159/'Дивиденды по годам'!I159, "")</f>
        <v>0.70718118928759033</v>
      </c>
      <c r="R159">
        <f>IFERROR(IF(AND('Дивиденды по годам'!N159&lt;&gt;"",'Дивиденды по годам'!U159&lt;&gt;"",'Дивиденды по годам'!U159&lt;&gt;0),'Дивиденды по годам'!N159/'Дивиденды по годам'!U159-1,""),"")</f>
        <v>-0.28049443048657052</v>
      </c>
      <c r="S159" t="str">
        <f>IFERROR(IF(AND('Дивиденды по годам'!L159&lt;&gt;"",'Дивиденды по годам'!I159&lt;&gt;"",'Дивиденды по годам'!J159&lt;&gt;"",'Дивиденды по годам'!K159&lt;&gt;"",('Дивиденды по годам'!I159-'Дивиденды по годам'!J159-'Дивиденды по годам'!K159)&lt;&gt;0),'Дивиденды по годам'!L159/('Дивиденды по годам'!I159-'Дивиденды по годам'!J159-'Дивиденды по годам'!K159),""),"")</f>
        <v/>
      </c>
      <c r="T159">
        <f>IFERROR(IF(AND('Дивиденды по годам'!Q159&lt;&gt;"",'Дивиденды по годам'!I159&lt;&gt;"",'Дивиденды по годам'!V159&lt;&gt;"",('Дивиденды по годам'!I159+'Дивиденды по годам'!V159)&lt;&gt;0),'Дивиденды по годам'!Q159/(('Дивиденды по годам'!I159+'Дивиденды по годам'!V159)/2),""),"")</f>
        <v>-3.0649313243685982E-2</v>
      </c>
      <c r="U159">
        <f>IFERROR(IF(AND('Дивиденды по годам'!J159&lt;&gt;"",'Дивиденды по годам'!K159&lt;&gt;"",'Дивиденды по годам'!M159&lt;&gt;"",'Дивиденды по годам'!M159&lt;&gt;0),('Дивиденды по годам'!J159+'Дивиденды по годам'!K159)/'Дивиденды по годам'!M159,""),"")</f>
        <v>0.55713370295043607</v>
      </c>
      <c r="V159" cm="1">
        <f t="array" ref="V159">IFERROR(AVERAGE(_xlfn._xlws.FILTER(P$2:P$1073,($C$2:$C$1073=$C159)*($E$2:$E$1073=$E159)*(ROW(P$2:P$1073)&lt;&gt;ROW(P159))*(P$2:P$1073&lt;&gt;""))),"")</f>
        <v>25.967468997738216</v>
      </c>
      <c r="W159" cm="1">
        <f t="array" ref="W159">IFERROR(AVERAGE(_xlfn._xlws.FILTER(Q$2:Q$1073,($C$2:$C$1073=$C159)*($E$2:$E$1073=$E159)*(ROW(Q$2:Q$1073)&lt;&gt;ROW(Q159))*(Q$2:Q$1073&lt;&gt;""))),"")</f>
        <v>0.78475920045271597</v>
      </c>
      <c r="X159" cm="1">
        <f t="array" ref="X159">IFERROR(AVERAGE(_xlfn._xlws.FILTER(R$2:R$1073,($C$2:$C$1073=$C159)*($E$2:$E$1073=$E159)*(ROW(R$2:R$1073)&lt;&gt;ROW(R159))*(R$2:R$1073&lt;&gt;""))),"")</f>
        <v>1.3546090104059667E-2</v>
      </c>
      <c r="Y159" cm="1">
        <f t="array" ref="Y159">IFERROR(AVERAGE(_xlfn._xlws.FILTER(S$2:S$1073,($C$2:$C$1073=$C159)*($E$2:$E$1073=$E159)*(ROW(S$2:S$1073)&lt;&gt;ROW(S159))*(S$2:S$1073&lt;&gt;""))),"")</f>
        <v>0.44715527647269881</v>
      </c>
      <c r="Z159" cm="1">
        <f t="array" ref="Z159">IFERROR(AVERAGE(_xlfn._xlws.FILTER(T$2:T$1073,($C$2:$C$1073=$C159)*($E$2:$E$1073=$E159)*(ROW(T$2:T$1073)&lt;&gt;ROW(T159))*(T$2:T$1073&lt;&gt;""))),"")</f>
        <v>2.5774683625367875E-2</v>
      </c>
      <c r="AA159" cm="1">
        <f t="array" ref="AA159">IFERROR(AVERAGE(_xlfn._xlws.FILTER(U$2:U$1073,($C$2:$C$1073=$C159)*($E$2:$E$1073=$E159)*(ROW(U$2:U$1073)&lt;&gt;ROW(U159))*(U$2:U$1073&lt;&gt;""))),"")</f>
        <v>0.66076629697866951</v>
      </c>
    </row>
    <row r="160" spans="1:27" x14ac:dyDescent="0.2">
      <c r="A160" s="7" t="s">
        <v>2196</v>
      </c>
      <c r="B160" t="str">
        <f t="shared" si="24"/>
        <v>HYDR IV кв. 2011</v>
      </c>
      <c r="C160">
        <v>2011</v>
      </c>
      <c r="D160">
        <f>SUMIFS(Дивиденды!$C:$C,Дивиденды!$A:$A,A160,Дивиденды!$I:$I,C160)</f>
        <v>7.8930000000000007E-3</v>
      </c>
      <c r="E160">
        <v>2</v>
      </c>
      <c r="F160">
        <f t="shared" si="25"/>
        <v>7.8930000000000007E-3</v>
      </c>
      <c r="G160">
        <f t="shared" si="26"/>
        <v>1.0889000000000001E-2</v>
      </c>
      <c r="H160">
        <f t="shared" si="27"/>
        <v>1</v>
      </c>
      <c r="I160">
        <f t="shared" si="23"/>
        <v>0.75</v>
      </c>
      <c r="J160">
        <f t="shared" si="28"/>
        <v>-8.2316009766306084E-2</v>
      </c>
      <c r="K160">
        <f t="shared" si="32"/>
        <v>5.7629917416652909E-2</v>
      </c>
      <c r="L160">
        <f t="shared" si="29"/>
        <v>0</v>
      </c>
      <c r="M160">
        <f t="shared" si="22"/>
        <v>0.5</v>
      </c>
      <c r="N160">
        <f t="shared" si="30"/>
        <v>1</v>
      </c>
      <c r="O160">
        <f t="shared" si="31"/>
        <v>0.33333333333333331</v>
      </c>
      <c r="P160">
        <f>IFERROR(LN('Дивиденды по годам'!I160),"")</f>
        <v>27.422498900013437</v>
      </c>
      <c r="Q160">
        <f>IFERROR('Дивиденды по годам'!G160/'Дивиденды по годам'!I160, "")</f>
        <v>0.70046921406336426</v>
      </c>
      <c r="R160" t="str">
        <f>IFERROR(IF(AND('Дивиденды по годам'!N160&lt;&gt;"",'Дивиденды по годам'!U160&lt;&gt;"",'Дивиденды по годам'!U160&lt;&gt;0),'Дивиденды по годам'!N160/'Дивиденды по годам'!U160-1,""),"")</f>
        <v/>
      </c>
      <c r="S160" t="str">
        <f>IFERROR(IF(AND('Дивиденды по годам'!L160&lt;&gt;"",'Дивиденды по годам'!I160&lt;&gt;"",'Дивиденды по годам'!J160&lt;&gt;"",'Дивиденды по годам'!K160&lt;&gt;"",('Дивиденды по годам'!I160-'Дивиденды по годам'!J160-'Дивиденды по годам'!K160)&lt;&gt;0),'Дивиденды по годам'!L160/('Дивиденды по годам'!I160-'Дивиденды по годам'!J160-'Дивиденды по годам'!K160),""),"")</f>
        <v/>
      </c>
      <c r="T160" t="str">
        <f>IFERROR(IF(AND('Дивиденды по годам'!Q160&lt;&gt;"",'Дивиденды по годам'!I160&lt;&gt;"",'Дивиденды по годам'!V160&lt;&gt;"",('Дивиденды по годам'!I160+'Дивиденды по годам'!V160)&lt;&gt;0),'Дивиденды по годам'!Q160/(('Дивиденды по годам'!I160+'Дивиденды по годам'!V160)/2),""),"")</f>
        <v/>
      </c>
      <c r="U160">
        <f>IFERROR(IF(AND('Дивиденды по годам'!J160&lt;&gt;"",'Дивиденды по годам'!K160&lt;&gt;"",'Дивиденды по годам'!M160&lt;&gt;"",'Дивиденды по годам'!M160&lt;&gt;0),('Дивиденды по годам'!J160+'Дивиденды по годам'!K160)/'Дивиденды по годам'!M160,""),"")</f>
        <v>0.51940706808025738</v>
      </c>
      <c r="V160" cm="1">
        <f t="array" ref="V160">IFERROR(AVERAGE(_xlfn._xlws.FILTER(P$2:P$1073,($C$2:$C$1073=$C160)*($E$2:$E$1073=$E160)*(ROW(P$2:P$1073)&lt;&gt;ROW(P160))*(P$2:P$1073&lt;&gt;""))),"")</f>
        <v>26.003065991666599</v>
      </c>
      <c r="W160" cm="1">
        <f t="array" ref="W160">IFERROR(AVERAGE(_xlfn._xlws.FILTER(Q$2:Q$1073,($C$2:$C$1073=$C160)*($E$2:$E$1073=$E160)*(ROW(Q$2:Q$1073)&lt;&gt;ROW(Q160))*(Q$2:Q$1073&lt;&gt;""))),"")</f>
        <v>0.7739975827062503</v>
      </c>
      <c r="X160" cm="1">
        <f t="array" ref="X160">IFERROR(AVERAGE(_xlfn._xlws.FILTER(R$2:R$1073,($C$2:$C$1073=$C160)*($E$2:$E$1073=$E160)*(ROW(R$2:R$1073)&lt;&gt;ROW(R160))*(R$2:R$1073&lt;&gt;""))),"")</f>
        <v>0.14348983045887875</v>
      </c>
      <c r="Y160" cm="1">
        <f t="array" ref="Y160">IFERROR(AVERAGE(_xlfn._xlws.FILTER(S$2:S$1073,($C$2:$C$1073=$C160)*($E$2:$E$1073=$E160)*(ROW(S$2:S$1073)&lt;&gt;ROW(S160))*(S$2:S$1073&lt;&gt;""))),"")</f>
        <v>0.39850050246333968</v>
      </c>
      <c r="Z160" cm="1">
        <f t="array" ref="Z160">IFERROR(AVERAGE(_xlfn._xlws.FILTER(T$2:T$1073,($C$2:$C$1073=$C160)*($E$2:$E$1073=$E160)*(ROW(T$2:T$1073)&lt;&gt;ROW(T160))*(T$2:T$1073&lt;&gt;""))),"")</f>
        <v>4.5214358774442007E-2</v>
      </c>
      <c r="AA160" cm="1">
        <f t="array" ref="AA160">IFERROR(AVERAGE(_xlfn._xlws.FILTER(U$2:U$1073,($C$2:$C$1073=$C160)*($E$2:$E$1073=$E160)*(ROW(U$2:U$1073)&lt;&gt;ROW(U160))*(U$2:U$1073&lt;&gt;""))),"")</f>
        <v>0.60307212179507841</v>
      </c>
    </row>
    <row r="161" spans="1:27" x14ac:dyDescent="0.2">
      <c r="A161" s="7" t="s">
        <v>2196</v>
      </c>
      <c r="B161" t="str">
        <f t="shared" si="24"/>
        <v>HYDR IV кв. 2010</v>
      </c>
      <c r="C161">
        <v>2010</v>
      </c>
      <c r="D161">
        <f>SUMIFS(Дивиденды!$C:$C,Дивиденды!$A:$A,A161,Дивиденды!$I:$I,C161)</f>
        <v>8.6009999999999993E-3</v>
      </c>
      <c r="E161">
        <v>2</v>
      </c>
      <c r="F161">
        <f t="shared" si="25"/>
        <v>8.6009999999999993E-3</v>
      </c>
      <c r="G161">
        <f t="shared" si="26"/>
        <v>5.8450833333333341E-3</v>
      </c>
      <c r="H161">
        <f t="shared" si="27"/>
        <v>1</v>
      </c>
      <c r="I161">
        <f t="shared" si="23"/>
        <v>0.75</v>
      </c>
      <c r="J161" t="str">
        <f t="shared" si="28"/>
        <v/>
      </c>
      <c r="K161" t="str">
        <f t="shared" si="32"/>
        <v/>
      </c>
      <c r="L161" t="str">
        <f t="shared" si="29"/>
        <v/>
      </c>
      <c r="M161" t="str">
        <f t="shared" ref="M161:M224" si="33">IFERROR(AVERAGEIFS($L:$L,$E:$E,E161,$C:$C,C161,$A:$A,"&lt;&gt;"&amp;A161),"")</f>
        <v/>
      </c>
      <c r="N161" t="str">
        <f t="shared" si="30"/>
        <v/>
      </c>
      <c r="O161" t="str">
        <f t="shared" si="31"/>
        <v/>
      </c>
      <c r="P161" t="str">
        <f>IFERROR(LN('Дивиденды по годам'!I161),"")</f>
        <v/>
      </c>
      <c r="Q161" t="str">
        <f>IFERROR('Дивиденды по годам'!G161/'Дивиденды по годам'!I161, "")</f>
        <v/>
      </c>
      <c r="R161" t="str">
        <f>IFERROR(IF(AND('Дивиденды по годам'!N161&lt;&gt;"",'Дивиденды по годам'!U161&lt;&gt;"",'Дивиденды по годам'!U161&lt;&gt;0),'Дивиденды по годам'!N161/'Дивиденды по годам'!U161-1,""),"")</f>
        <v/>
      </c>
      <c r="S161" t="str">
        <f>IFERROR(IF(AND('Дивиденды по годам'!L161&lt;&gt;"",'Дивиденды по годам'!I161&lt;&gt;"",'Дивиденды по годам'!J161&lt;&gt;"",'Дивиденды по годам'!K161&lt;&gt;"",('Дивиденды по годам'!I161-'Дивиденды по годам'!J161-'Дивиденды по годам'!K161)&lt;&gt;0),'Дивиденды по годам'!L161/('Дивиденды по годам'!I161-'Дивиденды по годам'!J161-'Дивиденды по годам'!K161),""),"")</f>
        <v/>
      </c>
      <c r="T161" t="str">
        <f>IFERROR(IF(AND('Дивиденды по годам'!Q161&lt;&gt;"",'Дивиденды по годам'!I161&lt;&gt;"",'Дивиденды по годам'!V161&lt;&gt;"",('Дивиденды по годам'!I161+'Дивиденды по годам'!V161)&lt;&gt;0),'Дивиденды по годам'!Q161/(('Дивиденды по годам'!I161+'Дивиденды по годам'!V161)/2),""),"")</f>
        <v/>
      </c>
      <c r="U161" t="str">
        <f>IFERROR(IF(AND('Дивиденды по годам'!J161&lt;&gt;"",'Дивиденды по годам'!K161&lt;&gt;"",'Дивиденды по годам'!M161&lt;&gt;"",'Дивиденды по годам'!M161&lt;&gt;0),('Дивиденды по годам'!J161+'Дивиденды по годам'!K161)/'Дивиденды по годам'!M161,""),"")</f>
        <v/>
      </c>
      <c r="V161" cm="1">
        <f t="array" ref="V161">IFERROR(AVERAGE(_xlfn._xlws.FILTER(P$2:P$1073,($C$2:$C$1073=$C161)*($E$2:$E$1073=$E161)*(ROW(P$2:P$1073)&lt;&gt;ROW(P161))*(P$2:P$1073&lt;&gt;""))),"")</f>
        <v>24.730948088520865</v>
      </c>
      <c r="W161" cm="1">
        <f t="array" ref="W161">IFERROR(AVERAGE(_xlfn._xlws.FILTER(Q$2:Q$1073,($C$2:$C$1073=$C161)*($E$2:$E$1073=$E161)*(ROW(Q$2:Q$1073)&lt;&gt;ROW(Q161))*(Q$2:Q$1073&lt;&gt;""))),"")</f>
        <v>0.82035195639515091</v>
      </c>
      <c r="X161" t="str" cm="1">
        <f t="array" ref="X161">IFERROR(AVERAGE(_xlfn._xlws.FILTER(R$2:R$1073,($C$2:$C$1073=$C161)*($E$2:$E$1073=$E161)*(ROW(R$2:R$1073)&lt;&gt;ROW(R161))*(R$2:R$1073&lt;&gt;""))),"")</f>
        <v/>
      </c>
      <c r="Y161" t="str" cm="1">
        <f t="array" ref="Y161">IFERROR(AVERAGE(_xlfn._xlws.FILTER(S$2:S$1073,($C$2:$C$1073=$C161)*($E$2:$E$1073=$E161)*(ROW(S$2:S$1073)&lt;&gt;ROW(S161))*(S$2:S$1073&lt;&gt;""))),"")</f>
        <v/>
      </c>
      <c r="Z161" t="str" cm="1">
        <f t="array" ref="Z161">IFERROR(AVERAGE(_xlfn._xlws.FILTER(T$2:T$1073,($C$2:$C$1073=$C161)*($E$2:$E$1073=$E161)*(ROW(T$2:T$1073)&lt;&gt;ROW(T161))*(T$2:T$1073&lt;&gt;""))),"")</f>
        <v/>
      </c>
      <c r="AA161" cm="1">
        <f t="array" ref="AA161">IFERROR(AVERAGE(_xlfn._xlws.FILTER(U$2:U$1073,($C$2:$C$1073=$C161)*($E$2:$E$1073=$E161)*(ROW(U$2:U$1073)&lt;&gt;ROW(U161))*(U$2:U$1073&lt;&gt;""))),"")</f>
        <v>0.91314375247969903</v>
      </c>
    </row>
    <row r="162" spans="1:27" x14ac:dyDescent="0.2">
      <c r="A162" s="7" t="s">
        <v>2198</v>
      </c>
      <c r="B162" t="str">
        <f t="shared" si="24"/>
        <v>IRAO IV кв. 2025</v>
      </c>
      <c r="C162">
        <v>2025</v>
      </c>
      <c r="D162">
        <f>SUMIFS(Дивиденды!$C:$C,Дивиденды!$A:$A,A162,Дивиденды!$I:$I,C162)</f>
        <v>0</v>
      </c>
      <c r="E162">
        <v>2</v>
      </c>
      <c r="F162">
        <f t="shared" si="25"/>
        <v>0</v>
      </c>
      <c r="G162">
        <f t="shared" si="26"/>
        <v>0</v>
      </c>
      <c r="H162">
        <f t="shared" si="27"/>
        <v>0</v>
      </c>
      <c r="I162">
        <f t="shared" si="23"/>
        <v>0</v>
      </c>
      <c r="J162">
        <f t="shared" si="28"/>
        <v>-1</v>
      </c>
      <c r="K162">
        <f t="shared" si="32"/>
        <v>-0.5</v>
      </c>
      <c r="L162">
        <f t="shared" si="29"/>
        <v>0</v>
      </c>
      <c r="M162">
        <f t="shared" si="33"/>
        <v>0</v>
      </c>
      <c r="N162">
        <f t="shared" si="30"/>
        <v>1</v>
      </c>
      <c r="O162">
        <f t="shared" si="31"/>
        <v>0.5</v>
      </c>
      <c r="P162">
        <f>IFERROR(LN('Дивиденды по годам'!I162),"")</f>
        <v>28.086642438860924</v>
      </c>
      <c r="Q162">
        <f>IFERROR('Дивиденды по годам'!G162/'Дивиденды по годам'!I162, "")</f>
        <v>0.38897367598451132</v>
      </c>
      <c r="R162">
        <f>IFERROR(IF(AND('Дивиденды по годам'!N162&lt;&gt;"",'Дивиденды по годам'!U162&lt;&gt;"",'Дивиденды по годам'!U162&lt;&gt;0),'Дивиденды по годам'!N162/'Дивиденды по годам'!U162-1,""),"")</f>
        <v>0.13702696960244687</v>
      </c>
      <c r="S162">
        <f>IFERROR(IF(AND('Дивиденды по годам'!L162&lt;&gt;"",'Дивиденды по годам'!I162&lt;&gt;"",'Дивиденды по годам'!J162&lt;&gt;"",'Дивиденды по годам'!K162&lt;&gt;"",('Дивиденды по годам'!I162-'Дивиденды по годам'!J162-'Дивиденды по годам'!K162)&lt;&gt;0),'Дивиденды по годам'!L162/('Дивиденды по годам'!I162-'Дивиденды по годам'!J162-'Дивиденды по годам'!K162),""),"")</f>
        <v>0.74925382308648103</v>
      </c>
      <c r="T162">
        <f>IFERROR(IF(AND('Дивиденды по годам'!Q162&lt;&gt;"",'Дивиденды по годам'!I162&lt;&gt;"",'Дивиденды по годам'!V162&lt;&gt;"",('Дивиденды по годам'!I162+'Дивиденды по годам'!V162)&lt;&gt;0),'Дивиденды по годам'!Q162/(('Дивиденды по годам'!I162+'Дивиденды по годам'!V162)/2),""),"")</f>
        <v>8.8102531086433747E-2</v>
      </c>
      <c r="U162">
        <f>IFERROR(IF(AND('Дивиденды по годам'!J162&lt;&gt;"",'Дивиденды по годам'!K162&lt;&gt;"",'Дивиденды по годам'!M162&lt;&gt;"",'Дивиденды по годам'!M162&lt;&gt;0),('Дивиденды по годам'!J162+'Дивиденды по годам'!K162)/'Дивиденды по годам'!M162,""),"")</f>
        <v>0.38491927942009385</v>
      </c>
      <c r="V162" cm="1">
        <f t="array" ref="V162">IFERROR(AVERAGE(_xlfn._xlws.FILTER(P$2:P$1073,($C$2:$C$1073=$C162)*($E$2:$E$1073=$E162)*(ROW(P$2:P$1073)&lt;&gt;ROW(P162))*(P$2:P$1073&lt;&gt;""))),"")</f>
        <v>26.364672313512415</v>
      </c>
      <c r="W162" cm="1">
        <f t="array" ref="W162">IFERROR(AVERAGE(_xlfn._xlws.FILTER(Q$2:Q$1073,($C$2:$C$1073=$C162)*($E$2:$E$1073=$E162)*(ROW(Q$2:Q$1073)&lt;&gt;ROW(Q162))*(Q$2:Q$1073&lt;&gt;""))),"")</f>
        <v>0.71882905970905342</v>
      </c>
      <c r="X162" cm="1">
        <f t="array" ref="X162">IFERROR(AVERAGE(_xlfn._xlws.FILTER(R$2:R$1073,($C$2:$C$1073=$C162)*($E$2:$E$1073=$E162)*(ROW(R$2:R$1073)&lt;&gt;ROW(R162))*(R$2:R$1073&lt;&gt;""))),"")</f>
        <v>0.18228327023804392</v>
      </c>
      <c r="Y162" cm="1">
        <f t="array" ref="Y162">IFERROR(AVERAGE(_xlfn._xlws.FILTER(S$2:S$1073,($C$2:$C$1073=$C162)*($E$2:$E$1073=$E162)*(ROW(S$2:S$1073)&lt;&gt;ROW(S162))*(S$2:S$1073&lt;&gt;""))),"")</f>
        <v>0.75729569698680532</v>
      </c>
      <c r="Z162" cm="1">
        <f t="array" ref="Z162">IFERROR(AVERAGE(_xlfn._xlws.FILTER(T$2:T$1073,($C$2:$C$1073=$C162)*($E$2:$E$1073=$E162)*(ROW(T$2:T$1073)&lt;&gt;ROW(T162))*(T$2:T$1073&lt;&gt;""))),"")</f>
        <v>0.10519775825338691</v>
      </c>
      <c r="AA162" cm="1">
        <f t="array" ref="AA162">IFERROR(AVERAGE(_xlfn._xlws.FILTER(U$2:U$1073,($C$2:$C$1073=$C162)*($E$2:$E$1073=$E162)*(ROW(U$2:U$1073)&lt;&gt;ROW(U162))*(U$2:U$1073&lt;&gt;""))),"")</f>
        <v>0.96141315188849141</v>
      </c>
    </row>
    <row r="163" spans="1:27" x14ac:dyDescent="0.2">
      <c r="A163" s="7" t="s">
        <v>2198</v>
      </c>
      <c r="B163" t="str">
        <f t="shared" si="24"/>
        <v>IRAO IV кв. 2024</v>
      </c>
      <c r="C163">
        <v>2024</v>
      </c>
      <c r="D163">
        <f>SUMIFS(Дивиденды!$C:$C,Дивиденды!$A:$A,A163,Дивиденды!$I:$I,C163)</f>
        <v>0.35</v>
      </c>
      <c r="E163">
        <v>2</v>
      </c>
      <c r="F163">
        <f t="shared" si="25"/>
        <v>0.35</v>
      </c>
      <c r="G163">
        <f t="shared" si="26"/>
        <v>3.4233333333333331E-2</v>
      </c>
      <c r="H163">
        <f t="shared" si="27"/>
        <v>1</v>
      </c>
      <c r="I163">
        <f t="shared" si="23"/>
        <v>0.5</v>
      </c>
      <c r="J163">
        <f t="shared" si="28"/>
        <v>6.060606060606049E-2</v>
      </c>
      <c r="K163">
        <f t="shared" si="32"/>
        <v>8.111014839249911E-2</v>
      </c>
      <c r="L163">
        <f t="shared" si="29"/>
        <v>1</v>
      </c>
      <c r="M163">
        <f t="shared" si="33"/>
        <v>0.5</v>
      </c>
      <c r="N163">
        <f t="shared" si="30"/>
        <v>0</v>
      </c>
      <c r="O163">
        <f t="shared" si="31"/>
        <v>8.3333333333333329E-2</v>
      </c>
      <c r="P163">
        <f>IFERROR(LN('Дивиденды по годам'!I163),"")</f>
        <v>28.010134719579103</v>
      </c>
      <c r="Q163">
        <f>IFERROR('Дивиденды по годам'!G163/'Дивиденды по годам'!I163, "")</f>
        <v>0.3240749930355396</v>
      </c>
      <c r="R163">
        <f>IFERROR(IF(AND('Дивиденды по годам'!N163&lt;&gt;"",'Дивиденды по годам'!U163&lt;&gt;"",'Дивиденды по годам'!U163&lt;&gt;0),'Дивиденды по годам'!N163/'Дивиденды по годам'!U163-1,""),"")</f>
        <v>0.13873226851909726</v>
      </c>
      <c r="S163">
        <f>IFERROR(IF(AND('Дивиденды по годам'!L163&lt;&gt;"",'Дивиденды по годам'!I163&lt;&gt;"",'Дивиденды по годам'!J163&lt;&gt;"",'Дивиденды по годам'!K163&lt;&gt;"",('Дивиденды по годам'!I163-'Дивиденды по годам'!J163-'Дивиденды по годам'!K163)&lt;&gt;0),'Дивиденды по годам'!L163/('Дивиденды по годам'!I163-'Дивиденды по годам'!J163-'Дивиденды по годам'!K163),""),"")</f>
        <v>0.71775013087796014</v>
      </c>
      <c r="T163">
        <f>IFERROR(IF(AND('Дивиденды по годам'!Q163&lt;&gt;"",'Дивиденды по годам'!I163&lt;&gt;"",'Дивиденды по годам'!V163&lt;&gt;"",('Дивиденды по годам'!I163+'Дивиденды по годам'!V163)&lt;&gt;0),'Дивиденды по годам'!Q163/(('Дивиденды по годам'!I163+'Дивиденды по годам'!V163)/2),""),"")</f>
        <v>0.10684986297955344</v>
      </c>
      <c r="U163">
        <f>IFERROR(IF(AND('Дивиденды по годам'!J163&lt;&gt;"",'Дивиденды по годам'!K163&lt;&gt;"",'Дивиденды по годам'!M163&lt;&gt;"",'Дивиденды по годам'!M163&lt;&gt;0),('Дивиденды по годам'!J163+'Дивиденды по годам'!K163)/'Дивиденды по годам'!M163,""),"")</f>
        <v>0.40596514796908201</v>
      </c>
      <c r="V163" cm="1">
        <f t="array" ref="V163">IFERROR(AVERAGE(_xlfn._xlws.FILTER(P$2:P$1073,($C$2:$C$1073=$C163)*($E$2:$E$1073=$E163)*(ROW(P$2:P$1073)&lt;&gt;ROW(P163))*(P$2:P$1073&lt;&gt;""))),"")</f>
        <v>26.366118769999737</v>
      </c>
      <c r="W163" cm="1">
        <f t="array" ref="W163">IFERROR(AVERAGE(_xlfn._xlws.FILTER(Q$2:Q$1073,($C$2:$C$1073=$C163)*($E$2:$E$1073=$E163)*(ROW(Q$2:Q$1073)&lt;&gt;ROW(Q163))*(Q$2:Q$1073&lt;&gt;""))),"")</f>
        <v>0.72951991875735811</v>
      </c>
      <c r="X163" cm="1">
        <f t="array" ref="X163">IFERROR(AVERAGE(_xlfn._xlws.FILTER(R$2:R$1073,($C$2:$C$1073=$C163)*($E$2:$E$1073=$E163)*(ROW(R$2:R$1073)&lt;&gt;ROW(R163))*(R$2:R$1073&lt;&gt;""))),"")</f>
        <v>9.4959215964172727E-2</v>
      </c>
      <c r="Y163" cm="1">
        <f t="array" ref="Y163">IFERROR(AVERAGE(_xlfn._xlws.FILTER(S$2:S$1073,($C$2:$C$1073=$C163)*($E$2:$E$1073=$E163)*(ROW(S$2:S$1073)&lt;&gt;ROW(S163))*(S$2:S$1073&lt;&gt;""))),"")</f>
        <v>0.54583008336005978</v>
      </c>
      <c r="Z163" cm="1">
        <f t="array" ref="Z163">IFERROR(AVERAGE(_xlfn._xlws.FILTER(T$2:T$1073,($C$2:$C$1073=$C163)*($E$2:$E$1073=$E163)*(ROW(T$2:T$1073)&lt;&gt;ROW(T163))*(T$2:T$1073&lt;&gt;""))),"")</f>
        <v>5.1816027568641662E-2</v>
      </c>
      <c r="AA163" cm="1">
        <f t="array" ref="AA163">IFERROR(AVERAGE(_xlfn._xlws.FILTER(U$2:U$1073,($C$2:$C$1073=$C163)*($E$2:$E$1073=$E163)*(ROW(U$2:U$1073)&lt;&gt;ROW(U163))*(U$2:U$1073&lt;&gt;""))),"")</f>
        <v>0.99045016664162544</v>
      </c>
    </row>
    <row r="164" spans="1:27" x14ac:dyDescent="0.2">
      <c r="A164" s="7" t="s">
        <v>2198</v>
      </c>
      <c r="B164" t="str">
        <f t="shared" si="24"/>
        <v>IRAO IV кв. 2023</v>
      </c>
      <c r="C164">
        <v>2023</v>
      </c>
      <c r="D164">
        <f>SUMIFS(Дивиденды!$C:$C,Дивиденды!$A:$A,A164,Дивиденды!$I:$I,C164)</f>
        <v>0.33</v>
      </c>
      <c r="E164">
        <v>2</v>
      </c>
      <c r="F164">
        <f t="shared" si="25"/>
        <v>0.33</v>
      </c>
      <c r="G164">
        <f t="shared" si="26"/>
        <v>3.8800000000000001E-2</v>
      </c>
      <c r="H164">
        <f t="shared" si="27"/>
        <v>1</v>
      </c>
      <c r="I164">
        <f t="shared" si="23"/>
        <v>0.5</v>
      </c>
      <c r="J164">
        <f t="shared" si="28"/>
        <v>0.17857142857142852</v>
      </c>
      <c r="K164">
        <f t="shared" si="32"/>
        <v>0.10215229025470192</v>
      </c>
      <c r="L164">
        <f t="shared" si="29"/>
        <v>1</v>
      </c>
      <c r="M164">
        <f t="shared" si="33"/>
        <v>0.41666666666666669</v>
      </c>
      <c r="N164">
        <f t="shared" si="30"/>
        <v>0</v>
      </c>
      <c r="O164">
        <f t="shared" si="31"/>
        <v>0.25</v>
      </c>
      <c r="P164">
        <f>IFERROR(LN('Дивиденды по годам'!I164),"")</f>
        <v>27.892756721292844</v>
      </c>
      <c r="Q164">
        <f>IFERROR('Дивиденды по годам'!G164/'Дивиденды по годам'!I164, "")</f>
        <v>0.29034015993127987</v>
      </c>
      <c r="R164">
        <f>IFERROR(IF(AND('Дивиденды по годам'!N164&lt;&gt;"",'Дивиденды по годам'!U164&lt;&gt;"",'Дивиденды по годам'!U164&lt;&gt;0),'Дивиденды по годам'!N164/'Дивиденды по годам'!U164-1,""),"")</f>
        <v>7.4943319978877376E-2</v>
      </c>
      <c r="S164">
        <f>IFERROR(IF(AND('Дивиденды по годам'!L164&lt;&gt;"",'Дивиденды по годам'!I164&lt;&gt;"",'Дивиденды по годам'!J164&lt;&gt;"",'Дивиденды по годам'!K164&lt;&gt;"",('Дивиденды по годам'!I164-'Дивиденды по годам'!J164-'Дивиденды по годам'!K164)&lt;&gt;0),'Дивиденды по годам'!L164/('Дивиденды по годам'!I164-'Дивиденды по годам'!J164-'Дивиденды по годам'!K164),""),"")</f>
        <v>0.67715088385264854</v>
      </c>
      <c r="T164">
        <f>IFERROR(IF(AND('Дивиденды по годам'!Q164&lt;&gt;"",'Дивиденды по годам'!I164&lt;&gt;"",'Дивиденды по годам'!V164&lt;&gt;"",('Дивиденды по годам'!I164+'Дивиденды по годам'!V164)&lt;&gt;0),'Дивиденды по годам'!Q164/(('Дивиденды по годам'!I164+'Дивиденды по годам'!V164)/2),""),"")</f>
        <v>0.11228282050625446</v>
      </c>
      <c r="U164">
        <f>IFERROR(IF(AND('Дивиденды по годам'!J164&lt;&gt;"",'Дивиденды по годам'!K164&lt;&gt;"",'Дивиденды по годам'!M164&lt;&gt;"",'Дивиденды по годам'!M164&lt;&gt;0),('Дивиденды по годам'!J164+'Дивиденды по годам'!K164)/'Дивиденды по годам'!M164,""),"")</f>
        <v>0.39787733336776426</v>
      </c>
      <c r="V164" cm="1">
        <f t="array" ref="V164">IFERROR(AVERAGE(_xlfn._xlws.FILTER(P$2:P$1073,($C$2:$C$1073=$C164)*($E$2:$E$1073=$E164)*(ROW(P$2:P$1073)&lt;&gt;ROW(P164))*(P$2:P$1073&lt;&gt;""))),"")</f>
        <v>26.248410095319255</v>
      </c>
      <c r="W164" cm="1">
        <f t="array" ref="W164">IFERROR(AVERAGE(_xlfn._xlws.FILTER(Q$2:Q$1073,($C$2:$C$1073=$C164)*($E$2:$E$1073=$E164)*(ROW(Q$2:Q$1073)&lt;&gt;ROW(Q164))*(Q$2:Q$1073&lt;&gt;""))),"")</f>
        <v>0.75546887895224257</v>
      </c>
      <c r="X164" cm="1">
        <f t="array" ref="X164">IFERROR(AVERAGE(_xlfn._xlws.FILTER(R$2:R$1073,($C$2:$C$1073=$C164)*($E$2:$E$1073=$E164)*(ROW(R$2:R$1073)&lt;&gt;ROW(R164))*(R$2:R$1073&lt;&gt;""))),"")</f>
        <v>0.14702969999837517</v>
      </c>
      <c r="Y164" cm="1">
        <f t="array" ref="Y164">IFERROR(AVERAGE(_xlfn._xlws.FILTER(S$2:S$1073,($C$2:$C$1073=$C164)*($E$2:$E$1073=$E164)*(ROW(S$2:S$1073)&lt;&gt;ROW(S164))*(S$2:S$1073&lt;&gt;""))),"")</f>
        <v>0.52540851579672598</v>
      </c>
      <c r="Z164" cm="1">
        <f t="array" ref="Z164">IFERROR(AVERAGE(_xlfn._xlws.FILTER(T$2:T$1073,($C$2:$C$1073=$C164)*($E$2:$E$1073=$E164)*(ROW(T$2:T$1073)&lt;&gt;ROW(T164))*(T$2:T$1073&lt;&gt;""))),"")</f>
        <v>7.1775604297486306E-2</v>
      </c>
      <c r="AA164" cm="1">
        <f t="array" ref="AA164">IFERROR(AVERAGE(_xlfn._xlws.FILTER(U$2:U$1073,($C$2:$C$1073=$C164)*($E$2:$E$1073=$E164)*(ROW(U$2:U$1073)&lt;&gt;ROW(U164))*(U$2:U$1073&lt;&gt;""))),"")</f>
        <v>0.87125060857179004</v>
      </c>
    </row>
    <row r="165" spans="1:27" x14ac:dyDescent="0.2">
      <c r="A165" s="7" t="s">
        <v>2198</v>
      </c>
      <c r="B165" t="str">
        <f t="shared" si="24"/>
        <v>IRAO IV кв. 2022</v>
      </c>
      <c r="C165">
        <v>2022</v>
      </c>
      <c r="D165">
        <f>SUMIFS(Дивиденды!$C:$C,Дивиденды!$A:$A,A165,Дивиденды!$I:$I,C165)</f>
        <v>0.28000000000000003</v>
      </c>
      <c r="E165">
        <v>2</v>
      </c>
      <c r="F165">
        <f t="shared" si="25"/>
        <v>0.28000000000000003</v>
      </c>
      <c r="G165">
        <f t="shared" si="26"/>
        <v>4.1398333333333329E-2</v>
      </c>
      <c r="H165">
        <f t="shared" si="27"/>
        <v>1</v>
      </c>
      <c r="I165">
        <f t="shared" si="23"/>
        <v>0.58333333333333337</v>
      </c>
      <c r="J165">
        <f t="shared" si="28"/>
        <v>0.16666666666666682</v>
      </c>
      <c r="K165">
        <f t="shared" si="32"/>
        <v>-0.17553075048262931</v>
      </c>
      <c r="L165">
        <f t="shared" si="29"/>
        <v>1</v>
      </c>
      <c r="M165">
        <f t="shared" si="33"/>
        <v>0.25</v>
      </c>
      <c r="N165">
        <f t="shared" si="30"/>
        <v>0</v>
      </c>
      <c r="O165">
        <f t="shared" si="31"/>
        <v>0.5</v>
      </c>
      <c r="P165">
        <f>IFERROR(LN('Дивиденды по годам'!I165),"")</f>
        <v>27.746108075992705</v>
      </c>
      <c r="Q165">
        <f>IFERROR('Дивиденды по годам'!G165/'Дивиденды по годам'!I165, "")</f>
        <v>0.30530111740856047</v>
      </c>
      <c r="R165" t="str">
        <f>IFERROR(IF(AND('Дивиденды по годам'!N165&lt;&gt;"",'Дивиденды по годам'!U165&lt;&gt;"",'Дивиденды по годам'!U165&lt;&gt;0),'Дивиденды по годам'!N165/'Дивиденды по годам'!U165-1,""),"")</f>
        <v/>
      </c>
      <c r="S165">
        <f>IFERROR(IF(AND('Дивиденды по годам'!L165&lt;&gt;"",'Дивиденды по годам'!I165&lt;&gt;"",'Дивиденды по годам'!J165&lt;&gt;"",'Дивиденды по годам'!K165&lt;&gt;"",('Дивиденды по годам'!I165-'Дивиденды по годам'!J165-'Дивиденды по годам'!K165)&lt;&gt;0),'Дивиденды по годам'!L165/('Дивиденды по годам'!I165-'Дивиденды по годам'!J165-'Дивиденды по годам'!K165),""),"")</f>
        <v>0.64410252968867288</v>
      </c>
      <c r="T165" t="str">
        <f>IFERROR(IF(AND('Дивиденды по годам'!Q165&lt;&gt;"",'Дивиденды по годам'!I165&lt;&gt;"",'Дивиденды по годам'!V165&lt;&gt;"",('Дивиденды по годам'!I165+'Дивиденды по годам'!V165)&lt;&gt;0),'Дивиденды по годам'!Q165/(('Дивиденды по годам'!I165+'Дивиденды по годам'!V165)/2),""),"")</f>
        <v/>
      </c>
      <c r="U165">
        <f>IFERROR(IF(AND('Дивиденды по годам'!J165&lt;&gt;"",'Дивиденды по годам'!K165&lt;&gt;"",'Дивиденды по годам'!M165&lt;&gt;"",'Дивиденды по годам'!M165&lt;&gt;0),('Дивиденды по годам'!J165+'Дивиденды по годам'!K165)/'Дивиденды по годам'!M165,""),"")</f>
        <v>0.39430012278111654</v>
      </c>
      <c r="V165" cm="1">
        <f t="array" ref="V165">IFERROR(AVERAGE(_xlfn._xlws.FILTER(P$2:P$1073,($C$2:$C$1073=$C165)*($E$2:$E$1073=$E165)*(ROW(P$2:P$1073)&lt;&gt;ROW(P165))*(P$2:P$1073&lt;&gt;""))),"")</f>
        <v>26.152079538788954</v>
      </c>
      <c r="W165" cm="1">
        <f t="array" ref="W165">IFERROR(AVERAGE(_xlfn._xlws.FILTER(Q$2:Q$1073,($C$2:$C$1073=$C165)*($E$2:$E$1073=$E165)*(ROW(Q$2:Q$1073)&lt;&gt;ROW(Q165))*(Q$2:Q$1073&lt;&gt;""))),"")</f>
        <v>0.7528866493901446</v>
      </c>
      <c r="X165" cm="1">
        <f t="array" ref="X165">IFERROR(AVERAGE(_xlfn._xlws.FILTER(R$2:R$1073,($C$2:$C$1073=$C165)*($E$2:$E$1073=$E165)*(ROW(R$2:R$1073)&lt;&gt;ROW(R165))*(R$2:R$1073&lt;&gt;""))),"")</f>
        <v>7.2941844461954591E-2</v>
      </c>
      <c r="Y165" cm="1">
        <f t="array" ref="Y165">IFERROR(AVERAGE(_xlfn._xlws.FILTER(S$2:S$1073,($C$2:$C$1073=$C165)*($E$2:$E$1073=$E165)*(ROW(S$2:S$1073)&lt;&gt;ROW(S165))*(S$2:S$1073&lt;&gt;""))),"")</f>
        <v>0.50060922686151055</v>
      </c>
      <c r="Z165" cm="1">
        <f t="array" ref="Z165">IFERROR(AVERAGE(_xlfn._xlws.FILTER(T$2:T$1073,($C$2:$C$1073=$C165)*($E$2:$E$1073=$E165)*(ROW(T$2:T$1073)&lt;&gt;ROW(T165))*(T$2:T$1073&lt;&gt;""))),"")</f>
        <v>1.2629583278270708E-2</v>
      </c>
      <c r="AA165" cm="1">
        <f t="array" ref="AA165">IFERROR(AVERAGE(_xlfn._xlws.FILTER(U$2:U$1073,($C$2:$C$1073=$C165)*($E$2:$E$1073=$E165)*(ROW(U$2:U$1073)&lt;&gt;ROW(U165))*(U$2:U$1073&lt;&gt;""))),"")</f>
        <v>0.96644412730171902</v>
      </c>
    </row>
    <row r="166" spans="1:27" x14ac:dyDescent="0.2">
      <c r="A166" s="7" t="s">
        <v>2198</v>
      </c>
      <c r="B166" t="str">
        <f t="shared" si="24"/>
        <v>IRAO IV кв. 2021</v>
      </c>
      <c r="C166">
        <v>2021</v>
      </c>
      <c r="D166">
        <f>SUMIFS(Дивиденды!$C:$C,Дивиденды!$A:$A,A166,Дивиденды!$I:$I,C166)</f>
        <v>0.24</v>
      </c>
      <c r="E166">
        <v>2</v>
      </c>
      <c r="F166">
        <f t="shared" si="25"/>
        <v>0.24</v>
      </c>
      <c r="G166">
        <f t="shared" si="26"/>
        <v>6.1785249999999993E-2</v>
      </c>
      <c r="H166">
        <f t="shared" si="27"/>
        <v>1</v>
      </c>
      <c r="I166">
        <f t="shared" si="23"/>
        <v>0.75</v>
      </c>
      <c r="J166">
        <f t="shared" si="28"/>
        <v>0.33333333333333331</v>
      </c>
      <c r="K166">
        <f t="shared" si="32"/>
        <v>0.13609840614627791</v>
      </c>
      <c r="L166">
        <f t="shared" si="29"/>
        <v>1</v>
      </c>
      <c r="M166">
        <f t="shared" si="33"/>
        <v>0.58333333333333337</v>
      </c>
      <c r="N166">
        <f t="shared" si="30"/>
        <v>0</v>
      </c>
      <c r="O166">
        <f t="shared" si="31"/>
        <v>0.25</v>
      </c>
      <c r="P166" t="str">
        <f>IFERROR(LN('Дивиденды по годам'!I166),"")</f>
        <v/>
      </c>
      <c r="Q166" t="str">
        <f>IFERROR('Дивиденды по годам'!G166/'Дивиденды по годам'!I166, "")</f>
        <v/>
      </c>
      <c r="R166" t="str">
        <f>IFERROR(IF(AND('Дивиденды по годам'!N166&lt;&gt;"",'Дивиденды по годам'!U166&lt;&gt;"",'Дивиденды по годам'!U166&lt;&gt;0),'Дивиденды по годам'!N166/'Дивиденды по годам'!U166-1,""),"")</f>
        <v/>
      </c>
      <c r="S166" t="str">
        <f>IFERROR(IF(AND('Дивиденды по годам'!L166&lt;&gt;"",'Дивиденды по годам'!I166&lt;&gt;"",'Дивиденды по годам'!J166&lt;&gt;"",'Дивиденды по годам'!K166&lt;&gt;"",('Дивиденды по годам'!I166-'Дивиденды по годам'!J166-'Дивиденды по годам'!K166)&lt;&gt;0),'Дивиденды по годам'!L166/('Дивиденды по годам'!I166-'Дивиденды по годам'!J166-'Дивиденды по годам'!K166),""),"")</f>
        <v/>
      </c>
      <c r="T166" t="str">
        <f>IFERROR(IF(AND('Дивиденды по годам'!Q166&lt;&gt;"",'Дивиденды по годам'!I166&lt;&gt;"",'Дивиденды по годам'!V166&lt;&gt;"",('Дивиденды по годам'!I166+'Дивиденды по годам'!V166)&lt;&gt;0),'Дивиденды по годам'!Q166/(('Дивиденды по годам'!I166+'Дивиденды по годам'!V166)/2),""),"")</f>
        <v/>
      </c>
      <c r="U166" t="str">
        <f>IFERROR(IF(AND('Дивиденды по годам'!J166&lt;&gt;"",'Дивиденды по годам'!K166&lt;&gt;"",'Дивиденды по годам'!M166&lt;&gt;"",'Дивиденды по годам'!M166&lt;&gt;0),('Дивиденды по годам'!J166+'Дивиденды по годам'!K166)/'Дивиденды по годам'!M166,""),"")</f>
        <v/>
      </c>
      <c r="V166" cm="1">
        <f t="array" ref="V166">IFERROR(AVERAGE(_xlfn._xlws.FILTER(P$2:P$1073,($C$2:$C$1073=$C166)*($E$2:$E$1073=$E166)*(ROW(P$2:P$1073)&lt;&gt;ROW(P166))*(P$2:P$1073&lt;&gt;""))),"")</f>
        <v>25.926715708145551</v>
      </c>
      <c r="W166" cm="1">
        <f t="array" ref="W166">IFERROR(AVERAGE(_xlfn._xlws.FILTER(Q$2:Q$1073,($C$2:$C$1073=$C166)*($E$2:$E$1073=$E166)*(ROW(Q$2:Q$1073)&lt;&gt;ROW(Q166))*(Q$2:Q$1073&lt;&gt;""))),"")</f>
        <v>0.76996354437031223</v>
      </c>
      <c r="X166" cm="1">
        <f t="array" ref="X166">IFERROR(AVERAGE(_xlfn._xlws.FILTER(R$2:R$1073,($C$2:$C$1073=$C166)*($E$2:$E$1073=$E166)*(ROW(R$2:R$1073)&lt;&gt;ROW(R166))*(R$2:R$1073&lt;&gt;""))),"")</f>
        <v>0.12673015499771914</v>
      </c>
      <c r="Y166" cm="1">
        <f t="array" ref="Y166">IFERROR(AVERAGE(_xlfn._xlws.FILTER(S$2:S$1073,($C$2:$C$1073=$C166)*($E$2:$E$1073=$E166)*(ROW(S$2:S$1073)&lt;&gt;ROW(S166))*(S$2:S$1073&lt;&gt;""))),"")</f>
        <v>0.50118890467381838</v>
      </c>
      <c r="Z166" cm="1">
        <f t="array" ref="Z166">IFERROR(AVERAGE(_xlfn._xlws.FILTER(T$2:T$1073,($C$2:$C$1073=$C166)*($E$2:$E$1073=$E166)*(ROW(T$2:T$1073)&lt;&gt;ROW(T166))*(T$2:T$1073&lt;&gt;""))),"")</f>
        <v>3.6434668126956032E-2</v>
      </c>
      <c r="AA166" cm="1">
        <f t="array" ref="AA166">IFERROR(AVERAGE(_xlfn._xlws.FILTER(U$2:U$1073,($C$2:$C$1073=$C166)*($E$2:$E$1073=$E166)*(ROW(U$2:U$1073)&lt;&gt;ROW(U166))*(U$2:U$1073&lt;&gt;""))),"")</f>
        <v>0.71481348410985535</v>
      </c>
    </row>
    <row r="167" spans="1:27" x14ac:dyDescent="0.2">
      <c r="A167" s="7" t="s">
        <v>2198</v>
      </c>
      <c r="B167" t="str">
        <f t="shared" si="24"/>
        <v>IRAO IV кв. 2020</v>
      </c>
      <c r="C167">
        <v>2020</v>
      </c>
      <c r="D167">
        <f>SUMIFS(Дивиденды!$C:$C,Дивиденды!$A:$A,A167,Дивиденды!$I:$I,C167)</f>
        <v>0.18</v>
      </c>
      <c r="E167">
        <v>2</v>
      </c>
      <c r="F167">
        <f t="shared" si="25"/>
        <v>0.18</v>
      </c>
      <c r="G167">
        <f t="shared" si="26"/>
        <v>5.4905916666666665E-2</v>
      </c>
      <c r="H167">
        <f t="shared" si="27"/>
        <v>1</v>
      </c>
      <c r="I167">
        <f t="shared" si="23"/>
        <v>0.75</v>
      </c>
      <c r="J167">
        <f t="shared" si="28"/>
        <v>-0.10000000000000009</v>
      </c>
      <c r="K167">
        <f t="shared" si="32"/>
        <v>-7.7290698369379199E-2</v>
      </c>
      <c r="L167">
        <f t="shared" si="29"/>
        <v>0</v>
      </c>
      <c r="M167">
        <f t="shared" si="33"/>
        <v>0.58333333333333337</v>
      </c>
      <c r="N167">
        <f t="shared" si="30"/>
        <v>1</v>
      </c>
      <c r="O167">
        <f t="shared" si="31"/>
        <v>0.41666666666666669</v>
      </c>
      <c r="P167">
        <f>IFERROR(LN('Дивиденды по годам'!I167),"")</f>
        <v>27.486276229281785</v>
      </c>
      <c r="Q167">
        <f>IFERROR('Дивиденды по годам'!G167/'Дивиденды по годам'!I167, "")</f>
        <v>0.41400855019919258</v>
      </c>
      <c r="R167">
        <f>IFERROR(IF(AND('Дивиденды по годам'!N167&lt;&gt;"",'Дивиденды по годам'!U167&lt;&gt;"",'Дивиденды по годам'!U167&lt;&gt;0),'Дивиденды по годам'!N167/'Дивиденды по годам'!U167-1,""),"")</f>
        <v>-4.4401813742588114E-2</v>
      </c>
      <c r="S167">
        <f>IFERROR(IF(AND('Дивиденды по годам'!L167&lt;&gt;"",'Дивиденды по годам'!I167&lt;&gt;"",'Дивиденды по годам'!J167&lt;&gt;"",'Дивиденды по годам'!K167&lt;&gt;"",('Дивиденды по годам'!I167-'Дивиденды по годам'!J167-'Дивиденды по годам'!K167)&lt;&gt;0),'Дивиденды по годам'!L167/('Дивиденды по годам'!I167-'Дивиденды по годам'!J167-'Дивиденды по годам'!K167),""),"")</f>
        <v>0.54950437999211166</v>
      </c>
      <c r="T167">
        <f>IFERROR(IF(AND('Дивиденды по годам'!Q167&lt;&gt;"",'Дивиденды по годам'!I167&lt;&gt;"",'Дивиденды по годам'!V167&lt;&gt;"",('Дивиденды по годам'!I167+'Дивиденды по годам'!V167)&lt;&gt;0),'Дивиденды по годам'!Q167/(('Дивиденды по годам'!I167+'Дивиденды по годам'!V167)/2),""),"")</f>
        <v>9.3382715071659614E-2</v>
      </c>
      <c r="U167">
        <f>IFERROR(IF(AND('Дивиденды по годам'!J167&lt;&gt;"",'Дивиденды по годам'!K167&lt;&gt;"",'Дивиденды по годам'!M167&lt;&gt;"",'Дивиденды по годам'!M167&lt;&gt;0),('Дивиденды по годам'!J167+'Дивиденды по годам'!K167)/'Дивиденды по годам'!M167,""),"")</f>
        <v>0.40439411326463204</v>
      </c>
      <c r="V167" cm="1">
        <f t="array" ref="V167">IFERROR(AVERAGE(_xlfn._xlws.FILTER(P$2:P$1073,($C$2:$C$1073=$C167)*($E$2:$E$1073=$E167)*(ROW(P$2:P$1073)&lt;&gt;ROW(P167))*(P$2:P$1073&lt;&gt;""))),"")</f>
        <v>26.063695759226821</v>
      </c>
      <c r="W167" cm="1">
        <f t="array" ref="W167">IFERROR(AVERAGE(_xlfn._xlws.FILTER(Q$2:Q$1073,($C$2:$C$1073=$C167)*($E$2:$E$1073=$E167)*(ROW(Q$2:Q$1073)&lt;&gt;ROW(Q167))*(Q$2:Q$1073&lt;&gt;""))),"")</f>
        <v>0.77254917641949705</v>
      </c>
      <c r="X167" cm="1">
        <f t="array" ref="X167">IFERROR(AVERAGE(_xlfn._xlws.FILTER(R$2:R$1073,($C$2:$C$1073=$C167)*($E$2:$E$1073=$E167)*(ROW(R$2:R$1073)&lt;&gt;ROW(R167))*(R$2:R$1073&lt;&gt;""))),"")</f>
        <v>-6.5841795553891969E-2</v>
      </c>
      <c r="Y167" cm="1">
        <f t="array" ref="Y167">IFERROR(AVERAGE(_xlfn._xlws.FILTER(S$2:S$1073,($C$2:$C$1073=$C167)*($E$2:$E$1073=$E167)*(ROW(S$2:S$1073)&lt;&gt;ROW(S167))*(S$2:S$1073&lt;&gt;""))),"")</f>
        <v>0.47905075867132724</v>
      </c>
      <c r="Z167" cm="1">
        <f t="array" ref="Z167">IFERROR(AVERAGE(_xlfn._xlws.FILTER(T$2:T$1073,($C$2:$C$1073=$C167)*($E$2:$E$1073=$E167)*(ROW(T$2:T$1073)&lt;&gt;ROW(T167))*(T$2:T$1073&lt;&gt;""))),"")</f>
        <v>3.842438076486826E-2</v>
      </c>
      <c r="AA167" cm="1">
        <f t="array" ref="AA167">IFERROR(AVERAGE(_xlfn._xlws.FILTER(U$2:U$1073,($C$2:$C$1073=$C167)*($E$2:$E$1073=$E167)*(ROW(U$2:U$1073)&lt;&gt;ROW(U167))*(U$2:U$1073&lt;&gt;""))),"")</f>
        <v>0.68083101116341915</v>
      </c>
    </row>
    <row r="168" spans="1:27" x14ac:dyDescent="0.2">
      <c r="A168" s="7" t="s">
        <v>2198</v>
      </c>
      <c r="B168" t="str">
        <f t="shared" si="24"/>
        <v>IRAO IV кв. 2019</v>
      </c>
      <c r="C168">
        <v>2019</v>
      </c>
      <c r="D168">
        <f>SUMIFS(Дивиденды!$C:$C,Дивиденды!$A:$A,A168,Дивиденды!$I:$I,C168)</f>
        <v>0.2</v>
      </c>
      <c r="E168">
        <v>2</v>
      </c>
      <c r="F168">
        <f t="shared" si="25"/>
        <v>0.2</v>
      </c>
      <c r="G168">
        <f t="shared" si="26"/>
        <v>5.4642000000000003E-2</v>
      </c>
      <c r="H168">
        <f t="shared" si="27"/>
        <v>1</v>
      </c>
      <c r="I168">
        <f t="shared" si="23"/>
        <v>1</v>
      </c>
      <c r="J168">
        <f t="shared" si="28"/>
        <v>0.1764705882352941</v>
      </c>
      <c r="K168">
        <f t="shared" si="32"/>
        <v>0.15738687531697981</v>
      </c>
      <c r="L168">
        <f t="shared" si="29"/>
        <v>1</v>
      </c>
      <c r="M168">
        <f t="shared" si="33"/>
        <v>0.41666666666666669</v>
      </c>
      <c r="N168">
        <f t="shared" si="30"/>
        <v>0</v>
      </c>
      <c r="O168">
        <f t="shared" si="31"/>
        <v>0.5</v>
      </c>
      <c r="P168">
        <f>IFERROR(LN('Дивиденды по годам'!I168),"")</f>
        <v>27.344683472660044</v>
      </c>
      <c r="Q168">
        <f>IFERROR('Дивиденды по годам'!G168/'Дивиденды по годам'!I168, "")</f>
        <v>0.43671913385858224</v>
      </c>
      <c r="R168">
        <f>IFERROR(IF(AND('Дивиденды по годам'!N168&lt;&gt;"",'Дивиденды по годам'!U168&lt;&gt;"",'Дивиденды по годам'!U168&lt;&gt;0),'Дивиденды по годам'!N168/'Дивиденды по годам'!U168-1,""),"")</f>
        <v>7.2241118159284134E-2</v>
      </c>
      <c r="S168">
        <f>IFERROR(IF(AND('Дивиденды по годам'!L168&lt;&gt;"",'Дивиденды по годам'!I168&lt;&gt;"",'Дивиденды по годам'!J168&lt;&gt;"",'Дивиденды по годам'!K168&lt;&gt;"",('Дивиденды по годам'!I168-'Дивиденды по годам'!J168-'Дивиденды по годам'!K168)&lt;&gt;0),'Дивиденды по годам'!L168/('Дивиденды по годам'!I168-'Дивиденды по годам'!J168-'Дивиденды по годам'!K168),""),"")</f>
        <v>0.50423587003124215</v>
      </c>
      <c r="T168">
        <f>IFERROR(IF(AND('Дивиденды по годам'!Q168&lt;&gt;"",'Дивиденды по годам'!I168&lt;&gt;"",'Дивиденды по годам'!V168&lt;&gt;"",('Дивиденды по годам'!I168+'Дивиденды по годам'!V168)&lt;&gt;0),'Дивиденды по годам'!Q168/(('Дивиденды по годам'!I168+'Дивиденды по годам'!V168)/2),""),"")</f>
        <v>0.11074644700310085</v>
      </c>
      <c r="U168">
        <f>IFERROR(IF(AND('Дивиденды по годам'!J168&lt;&gt;"",'Дивиденды по годам'!K168&lt;&gt;"",'Дивиденды по годам'!M168&lt;&gt;"",'Дивиденды по годам'!M168&lt;&gt;0),('Дивиденды по годам'!J168+'Дивиденды по годам'!K168)/'Дивиденды по годам'!M168,""),"")</f>
        <v>0.35860624227765525</v>
      </c>
      <c r="V168" cm="1">
        <f t="array" ref="V168">IFERROR(AVERAGE(_xlfn._xlws.FILTER(P$2:P$1073,($C$2:$C$1073=$C168)*($E$2:$E$1073=$E168)*(ROW(P$2:P$1073)&lt;&gt;ROW(P168))*(P$2:P$1073&lt;&gt;""))),"")</f>
        <v>26.032434348995434</v>
      </c>
      <c r="W168" cm="1">
        <f t="array" ref="W168">IFERROR(AVERAGE(_xlfn._xlws.FILTER(Q$2:Q$1073,($C$2:$C$1073=$C168)*($E$2:$E$1073=$E168)*(ROW(Q$2:Q$1073)&lt;&gt;ROW(Q168))*(Q$2:Q$1073&lt;&gt;""))),"")</f>
        <v>0.76201808478971433</v>
      </c>
      <c r="X168" cm="1">
        <f t="array" ref="X168">IFERROR(AVERAGE(_xlfn._xlws.FILTER(R$2:R$1073,($C$2:$C$1073=$C168)*($E$2:$E$1073=$E168)*(ROW(R$2:R$1073)&lt;&gt;ROW(R168))*(R$2:R$1073&lt;&gt;""))),"")</f>
        <v>-2.248682785573016E-3</v>
      </c>
      <c r="Y168" cm="1">
        <f t="array" ref="Y168">IFERROR(AVERAGE(_xlfn._xlws.FILTER(S$2:S$1073,($C$2:$C$1073=$C168)*($E$2:$E$1073=$E168)*(ROW(S$2:S$1073)&lt;&gt;ROW(S168))*(S$2:S$1073&lt;&gt;""))),"")</f>
        <v>0.47150689856107247</v>
      </c>
      <c r="Z168" cm="1">
        <f t="array" ref="Z168">IFERROR(AVERAGE(_xlfn._xlws.FILTER(T$2:T$1073,($C$2:$C$1073=$C168)*($E$2:$E$1073=$E168)*(ROW(T$2:T$1073)&lt;&gt;ROW(T168))*(T$2:T$1073&lt;&gt;""))),"")</f>
        <v>4.7067613757534536E-2</v>
      </c>
      <c r="AA168" cm="1">
        <f t="array" ref="AA168">IFERROR(AVERAGE(_xlfn._xlws.FILTER(U$2:U$1073,($C$2:$C$1073=$C168)*($E$2:$E$1073=$E168)*(ROW(U$2:U$1073)&lt;&gt;ROW(U168))*(U$2:U$1073&lt;&gt;""))),"")</f>
        <v>0.69097482991814607</v>
      </c>
    </row>
    <row r="169" spans="1:27" x14ac:dyDescent="0.2">
      <c r="A169" s="7" t="s">
        <v>2198</v>
      </c>
      <c r="B169" t="str">
        <f t="shared" si="24"/>
        <v>IRAO IV кв. 2018</v>
      </c>
      <c r="C169">
        <v>2018</v>
      </c>
      <c r="D169">
        <f>SUMIFS(Дивиденды!$C:$C,Дивиденды!$A:$A,A169,Дивиденды!$I:$I,C169)</f>
        <v>0.17</v>
      </c>
      <c r="E169">
        <v>2</v>
      </c>
      <c r="F169">
        <f t="shared" si="25"/>
        <v>0.17</v>
      </c>
      <c r="G169">
        <f t="shared" si="26"/>
        <v>6.6403749999999997E-2</v>
      </c>
      <c r="H169">
        <f t="shared" si="27"/>
        <v>1</v>
      </c>
      <c r="I169">
        <f t="shared" si="23"/>
        <v>1</v>
      </c>
      <c r="J169">
        <f t="shared" si="28"/>
        <v>0.30769230769230776</v>
      </c>
      <c r="K169">
        <f t="shared" si="32"/>
        <v>0.17061733598989315</v>
      </c>
      <c r="L169">
        <f t="shared" si="29"/>
        <v>1</v>
      </c>
      <c r="M169">
        <f t="shared" si="33"/>
        <v>0.58333333333333337</v>
      </c>
      <c r="N169">
        <f t="shared" si="30"/>
        <v>0</v>
      </c>
      <c r="O169">
        <f t="shared" si="31"/>
        <v>0.25</v>
      </c>
      <c r="P169">
        <f>IFERROR(LN('Дивиденды по годам'!I169),"")</f>
        <v>27.314372878924146</v>
      </c>
      <c r="Q169">
        <f>IFERROR('Дивиденды по годам'!G169/'Дивиденды по годам'!I169, "")</f>
        <v>0.44329091789998998</v>
      </c>
      <c r="R169">
        <f>IFERROR(IF(AND('Дивиденды по годам'!N169&lt;&gt;"",'Дивиденды по годам'!U169&lt;&gt;"",'Дивиденды по годам'!U169&lt;&gt;0),'Дивиденды по годам'!N169/'Дивиденды по годам'!U169-1,""),"")</f>
        <v>4.9651654382699251E-2</v>
      </c>
      <c r="S169">
        <f>IFERROR(IF(AND('Дивиденды по годам'!L169&lt;&gt;"",'Дивиденды по годам'!I169&lt;&gt;"",'Дивиденды по годам'!J169&lt;&gt;"",'Дивиденды по годам'!K169&lt;&gt;"",('Дивиденды по годам'!I169-'Дивиденды по годам'!J169-'Дивиденды по годам'!K169)&lt;&gt;0),'Дивиденды по годам'!L169/('Дивиденды по годам'!I169-'Дивиденды по годам'!J169-'Дивиденды по годам'!K169),""),"")</f>
        <v>0.42798643810842096</v>
      </c>
      <c r="T169">
        <f>IFERROR(IF(AND('Дивиденды по годам'!Q169&lt;&gt;"",'Дивиденды по годам'!I169&lt;&gt;"",'Дивиденды по годам'!V169&lt;&gt;"",('Дивиденды по годам'!I169+'Дивиденды по годам'!V169)&lt;&gt;0),'Дивиденды по годам'!Q169/(('Дивиденды по годам'!I169+'Дивиденды по годам'!V169)/2),""),"")</f>
        <v>0.10589941365633332</v>
      </c>
      <c r="U169">
        <f>IFERROR(IF(AND('Дивиденды по годам'!J169&lt;&gt;"",'Дивиденды по годам'!K169&lt;&gt;"",'Дивиденды по годам'!M169&lt;&gt;"",'Дивиденды по годам'!M169&lt;&gt;0),('Дивиденды по годам'!J169+'Дивиденды по годам'!K169)/'Дивиденды по годам'!M169,""),"")</f>
        <v>0.50076213546236903</v>
      </c>
      <c r="V169" cm="1">
        <f t="array" ref="V169">IFERROR(AVERAGE(_xlfn._xlws.FILTER(P$2:P$1073,($C$2:$C$1073=$C169)*($E$2:$E$1073=$E169)*(ROW(P$2:P$1073)&lt;&gt;ROW(P169))*(P$2:P$1073&lt;&gt;""))),"")</f>
        <v>25.977394274611999</v>
      </c>
      <c r="W169" cm="1">
        <f t="array" ref="W169">IFERROR(AVERAGE(_xlfn._xlws.FILTER(Q$2:Q$1073,($C$2:$C$1073=$C169)*($E$2:$E$1073=$E169)*(ROW(Q$2:Q$1073)&lt;&gt;ROW(Q169))*(Q$2:Q$1073&lt;&gt;""))),"")</f>
        <v>0.77900824584332373</v>
      </c>
      <c r="X169" cm="1">
        <f t="array" ref="X169">IFERROR(AVERAGE(_xlfn._xlws.FILTER(R$2:R$1073,($C$2:$C$1073=$C169)*($E$2:$E$1073=$E169)*(ROW(R$2:R$1073)&lt;&gt;ROW(R169))*(R$2:R$1073&lt;&gt;""))),"")</f>
        <v>5.0245510838218148E-2</v>
      </c>
      <c r="Y169" cm="1">
        <f t="array" ref="Y169">IFERROR(AVERAGE(_xlfn._xlws.FILTER(S$2:S$1073,($C$2:$C$1073=$C169)*($E$2:$E$1073=$E169)*(ROW(S$2:S$1073)&lt;&gt;ROW(S169))*(S$2:S$1073&lt;&gt;""))),"")</f>
        <v>0.46744501587420845</v>
      </c>
      <c r="Z169" cm="1">
        <f t="array" ref="Z169">IFERROR(AVERAGE(_xlfn._xlws.FILTER(T$2:T$1073,($C$2:$C$1073=$C169)*($E$2:$E$1073=$E169)*(ROW(T$2:T$1073)&lt;&gt;ROW(T169))*(T$2:T$1073&lt;&gt;""))),"")</f>
        <v>6.5287476712576994E-2</v>
      </c>
      <c r="AA169" cm="1">
        <f t="array" ref="AA169">IFERROR(AVERAGE(_xlfn._xlws.FILTER(U$2:U$1073,($C$2:$C$1073=$C169)*($E$2:$E$1073=$E169)*(ROW(U$2:U$1073)&lt;&gt;ROW(U169))*(U$2:U$1073&lt;&gt;""))),"")</f>
        <v>0.64290168216471877</v>
      </c>
    </row>
    <row r="170" spans="1:27" x14ac:dyDescent="0.2">
      <c r="A170" s="7" t="s">
        <v>2198</v>
      </c>
      <c r="B170" t="str">
        <f t="shared" si="24"/>
        <v>IRAO IV кв. 2017</v>
      </c>
      <c r="C170">
        <v>2017</v>
      </c>
      <c r="D170">
        <f>SUMIFS(Дивиденды!$C:$C,Дивиденды!$A:$A,A170,Дивиденды!$I:$I,C170)</f>
        <v>0.13</v>
      </c>
      <c r="E170">
        <v>2</v>
      </c>
      <c r="F170">
        <f t="shared" si="25"/>
        <v>0.13</v>
      </c>
      <c r="G170">
        <f t="shared" si="26"/>
        <v>6.1275500000000004E-2</v>
      </c>
      <c r="H170">
        <f t="shared" si="27"/>
        <v>1</v>
      </c>
      <c r="I170">
        <f t="shared" si="23"/>
        <v>1</v>
      </c>
      <c r="J170">
        <f t="shared" si="28"/>
        <v>-0.13333333333333328</v>
      </c>
      <c r="K170">
        <f t="shared" si="32"/>
        <v>0.65286074871806132</v>
      </c>
      <c r="L170">
        <f t="shared" si="29"/>
        <v>0</v>
      </c>
      <c r="M170">
        <f t="shared" si="33"/>
        <v>0.83333333333333337</v>
      </c>
      <c r="N170">
        <f t="shared" si="30"/>
        <v>1</v>
      </c>
      <c r="O170">
        <f t="shared" si="31"/>
        <v>0.16666666666666666</v>
      </c>
      <c r="P170">
        <f>IFERROR(LN('Дивиденды по годам'!I170),"")</f>
        <v>27.161107082668973</v>
      </c>
      <c r="Q170">
        <f>IFERROR('Дивиденды по годам'!G170/'Дивиденды по годам'!I170, "")</f>
        <v>0.44037814211846621</v>
      </c>
      <c r="R170">
        <f>IFERROR(IF(AND('Дивиденды по годам'!N170&lt;&gt;"",'Дивиденды по годам'!U170&lt;&gt;"",'Дивиденды по годам'!U170&lt;&gt;0),'Дивиденды по годам'!N170/'Дивиденды по годам'!U170-1,""),"")</f>
        <v>5.6286585070872253E-2</v>
      </c>
      <c r="S170">
        <f>IFERROR(IF(AND('Дивиденды по годам'!L170&lt;&gt;"",'Дивиденды по годам'!I170&lt;&gt;"",'Дивиденды по годам'!J170&lt;&gt;"",'Дивиденды по годам'!K170&lt;&gt;"",('Дивиденды по годам'!I170-'Дивиденды по годам'!J170-'Дивиденды по годам'!K170)&lt;&gt;0),'Дивиденды по годам'!L170/('Дивиденды по годам'!I170-'Дивиденды по годам'!J170-'Дивиденды по годам'!K170),""),"")</f>
        <v>0.3264367916170558</v>
      </c>
      <c r="T170">
        <f>IFERROR(IF(AND('Дивиденды по годам'!Q170&lt;&gt;"",'Дивиденды по годам'!I170&lt;&gt;"",'Дивиденды по годам'!V170&lt;&gt;"",('Дивиденды по годам'!I170+'Дивиденды по годам'!V170)&lt;&gt;0),'Дивиденды по годам'!Q170/(('Дивиденды по годам'!I170+'Дивиденды по годам'!V170)/2),""),"")</f>
        <v>9.1000710316299666E-2</v>
      </c>
      <c r="U170">
        <f>IFERROR(IF(AND('Дивиденды по годам'!J170&lt;&gt;"",'Дивиденды по годам'!K170&lt;&gt;"",'Дивиденды по годам'!M170&lt;&gt;"",'Дивиденды по годам'!M170&lt;&gt;0),('Дивиденды по годам'!J170+'Дивиденды по годам'!K170)/'Дивиденды по годам'!M170,""),"")</f>
        <v>0.36056542209665027</v>
      </c>
      <c r="V170" cm="1">
        <f t="array" ref="V170">IFERROR(AVERAGE(_xlfn._xlws.FILTER(P$2:P$1073,($C$2:$C$1073=$C170)*($E$2:$E$1073=$E170)*(ROW(P$2:P$1073)&lt;&gt;ROW(P170))*(P$2:P$1073&lt;&gt;""))),"")</f>
        <v>25.957553872950413</v>
      </c>
      <c r="W170" cm="1">
        <f t="array" ref="W170">IFERROR(AVERAGE(_xlfn._xlws.FILTER(Q$2:Q$1073,($C$2:$C$1073=$C170)*($E$2:$E$1073=$E170)*(ROW(Q$2:Q$1073)&lt;&gt;ROW(Q170))*(Q$2:Q$1073&lt;&gt;""))),"")</f>
        <v>0.78676080929007253</v>
      </c>
      <c r="X170" cm="1">
        <f t="array" ref="X170">IFERROR(AVERAGE(_xlfn._xlws.FILTER(R$2:R$1073,($C$2:$C$1073=$C170)*($E$2:$E$1073=$E170)*(ROW(R$2:R$1073)&lt;&gt;ROW(R170))*(R$2:R$1073&lt;&gt;""))),"")</f>
        <v>4.5020041199672671E-2</v>
      </c>
      <c r="Y170" cm="1">
        <f t="array" ref="Y170">IFERROR(AVERAGE(_xlfn._xlws.FILTER(S$2:S$1073,($C$2:$C$1073=$C170)*($E$2:$E$1073=$E170)*(ROW(S$2:S$1073)&lt;&gt;ROW(S170))*(S$2:S$1073&lt;&gt;""))),"")</f>
        <v>0.42830735399453984</v>
      </c>
      <c r="Z170" cm="1">
        <f t="array" ref="Z170">IFERROR(AVERAGE(_xlfn._xlws.FILTER(T$2:T$1073,($C$2:$C$1073=$C170)*($E$2:$E$1073=$E170)*(ROW(T$2:T$1073)&lt;&gt;ROW(T170))*(T$2:T$1073&lt;&gt;""))),"")</f>
        <v>8.0784130612880756E-2</v>
      </c>
      <c r="AA170" cm="1">
        <f t="array" ref="AA170">IFERROR(AVERAGE(_xlfn._xlws.FILTER(U$2:U$1073,($C$2:$C$1073=$C170)*($E$2:$E$1073=$E170)*(ROW(U$2:U$1073)&lt;&gt;ROW(U170))*(U$2:U$1073&lt;&gt;""))),"")</f>
        <v>0.65386268333044162</v>
      </c>
    </row>
    <row r="171" spans="1:27" x14ac:dyDescent="0.2">
      <c r="A171" s="7" t="s">
        <v>2198</v>
      </c>
      <c r="B171" t="str">
        <f t="shared" si="24"/>
        <v>IRAO IV кв. 2016</v>
      </c>
      <c r="C171">
        <v>2016</v>
      </c>
      <c r="D171">
        <f>SUMIFS(Дивиденды!$C:$C,Дивиденды!$A:$A,A171,Дивиденды!$I:$I,C171)</f>
        <v>0.15</v>
      </c>
      <c r="E171">
        <v>2</v>
      </c>
      <c r="F171">
        <f t="shared" si="25"/>
        <v>0.15</v>
      </c>
      <c r="G171">
        <f t="shared" si="26"/>
        <v>4.4895166666666673E-2</v>
      </c>
      <c r="H171">
        <f t="shared" si="27"/>
        <v>1</v>
      </c>
      <c r="I171">
        <f t="shared" si="23"/>
        <v>1</v>
      </c>
      <c r="J171">
        <f t="shared" si="28"/>
        <v>7.4269662921348303</v>
      </c>
      <c r="K171">
        <f t="shared" si="32"/>
        <v>0.78815618012790767</v>
      </c>
      <c r="L171">
        <f t="shared" si="29"/>
        <v>1</v>
      </c>
      <c r="M171">
        <f t="shared" si="33"/>
        <v>0.83333333333333337</v>
      </c>
      <c r="N171">
        <f t="shared" si="30"/>
        <v>0</v>
      </c>
      <c r="O171">
        <f t="shared" si="31"/>
        <v>0.16666666666666666</v>
      </c>
      <c r="P171">
        <f>IFERROR(LN('Дивиденды по годам'!I171),"")</f>
        <v>27.071694786096085</v>
      </c>
      <c r="Q171">
        <f>IFERROR('Дивиденды по годам'!G171/'Дивиденды по годам'!I171, "")</f>
        <v>0.49073118332242815</v>
      </c>
      <c r="R171" t="str">
        <f>IFERROR(IF(AND('Дивиденды по годам'!N171&lt;&gt;"",'Дивиденды по годам'!U171&lt;&gt;"",'Дивиденды по годам'!U171&lt;&gt;0),'Дивиденды по годам'!N171/'Дивиденды по годам'!U171-1,""),"")</f>
        <v/>
      </c>
      <c r="S171">
        <f>IFERROR(IF(AND('Дивиденды по годам'!L171&lt;&gt;"",'Дивиденды по годам'!I171&lt;&gt;"",'Дивиденды по годам'!J171&lt;&gt;"",'Дивиденды по годам'!K171&lt;&gt;"",('Дивиденды по годам'!I171-'Дивиденды по годам'!J171-'Дивиденды по годам'!K171)&lt;&gt;0),'Дивиденды по годам'!L171/('Дивиденды по годам'!I171-'Дивиденды по годам'!J171-'Дивиденды по годам'!K171),""),"")</f>
        <v>0.25732898245814906</v>
      </c>
      <c r="T171" t="str">
        <f>IFERROR(IF(AND('Дивиденды по годам'!Q171&lt;&gt;"",'Дивиденды по годам'!I171&lt;&gt;"",'Дивиденды по годам'!V171&lt;&gt;"",('Дивиденды по годам'!I171+'Дивиденды по годам'!V171)&lt;&gt;0),'Дивиденды по годам'!Q171/(('Дивиденды по годам'!I171+'Дивиденды по годам'!V171)/2),""),"")</f>
        <v/>
      </c>
      <c r="U171">
        <f>IFERROR(IF(AND('Дивиденды по годам'!J171&lt;&gt;"",'Дивиденды по годам'!K171&lt;&gt;"",'Дивиденды по годам'!M171&lt;&gt;"",'Дивиденды по годам'!M171&lt;&gt;0),('Дивиденды по годам'!J171+'Дивиденды по годам'!K171)/'Дивиденды по годам'!M171,""),"")</f>
        <v>0.36345074017355794</v>
      </c>
      <c r="V171" cm="1">
        <f t="array" ref="V171">IFERROR(AVERAGE(_xlfn._xlws.FILTER(P$2:P$1073,($C$2:$C$1073=$C171)*($E$2:$E$1073=$E171)*(ROW(P$2:P$1073)&lt;&gt;ROW(P171))*(P$2:P$1073&lt;&gt;""))),"")</f>
        <v>25.919198137860931</v>
      </c>
      <c r="W171" cm="1">
        <f t="array" ref="W171">IFERROR(AVERAGE(_xlfn._xlws.FILTER(Q$2:Q$1073,($C$2:$C$1073=$C171)*($E$2:$E$1073=$E171)*(ROW(Q$2:Q$1073)&lt;&gt;ROW(Q171))*(Q$2:Q$1073&lt;&gt;""))),"")</f>
        <v>0.73505978147612039</v>
      </c>
      <c r="X171" cm="1">
        <f t="array" ref="X171">IFERROR(AVERAGE(_xlfn._xlws.FILTER(R$2:R$1073,($C$2:$C$1073=$C171)*($E$2:$E$1073=$E171)*(ROW(R$2:R$1073)&lt;&gt;ROW(R171))*(R$2:R$1073&lt;&gt;""))),"")</f>
        <v>0.11417416404225701</v>
      </c>
      <c r="Y171" cm="1">
        <f t="array" ref="Y171">IFERROR(AVERAGE(_xlfn._xlws.FILTER(S$2:S$1073,($C$2:$C$1073=$C171)*($E$2:$E$1073=$E171)*(ROW(S$2:S$1073)&lt;&gt;ROW(S171))*(S$2:S$1073&lt;&gt;""))),"")</f>
        <v>0.42267097226200084</v>
      </c>
      <c r="Z171" cm="1">
        <f t="array" ref="Z171">IFERROR(AVERAGE(_xlfn._xlws.FILTER(T$2:T$1073,($C$2:$C$1073=$C171)*($E$2:$E$1073=$E171)*(ROW(T$2:T$1073)&lt;&gt;ROW(T171))*(T$2:T$1073&lt;&gt;""))),"")</f>
        <v>4.0943955414103568E-2</v>
      </c>
      <c r="AA171" cm="1">
        <f t="array" ref="AA171">IFERROR(AVERAGE(_xlfn._xlws.FILTER(U$2:U$1073,($C$2:$C$1073=$C171)*($E$2:$E$1073=$E171)*(ROW(U$2:U$1073)&lt;&gt;ROW(U171))*(U$2:U$1073&lt;&gt;""))),"")</f>
        <v>0.75650315261789991</v>
      </c>
    </row>
    <row r="172" spans="1:27" x14ac:dyDescent="0.2">
      <c r="A172" s="7" t="s">
        <v>2198</v>
      </c>
      <c r="B172" t="str">
        <f t="shared" si="24"/>
        <v>IRAO IV кв. 2015</v>
      </c>
      <c r="C172">
        <v>2015</v>
      </c>
      <c r="D172">
        <f>SUMIFS(Дивиденды!$C:$C,Дивиденды!$A:$A,A172,Дивиденды!$I:$I,C172)</f>
        <v>1.78E-2</v>
      </c>
      <c r="E172">
        <v>2</v>
      </c>
      <c r="F172">
        <f t="shared" si="25"/>
        <v>1.78E-2</v>
      </c>
      <c r="G172">
        <f t="shared" si="26"/>
        <v>3.9956750000000006E-2</v>
      </c>
      <c r="H172">
        <f t="shared" si="27"/>
        <v>1</v>
      </c>
      <c r="I172">
        <f t="shared" si="23"/>
        <v>0.91666666666666663</v>
      </c>
      <c r="J172">
        <f t="shared" si="28"/>
        <v>16.115384615384617</v>
      </c>
      <c r="K172">
        <f t="shared" si="32"/>
        <v>2.8020277270436242</v>
      </c>
      <c r="L172">
        <f t="shared" si="29"/>
        <v>1</v>
      </c>
      <c r="M172">
        <f t="shared" si="33"/>
        <v>0.66666666666666663</v>
      </c>
      <c r="N172">
        <f t="shared" si="30"/>
        <v>0</v>
      </c>
      <c r="O172">
        <f t="shared" si="31"/>
        <v>0.33333333333333331</v>
      </c>
      <c r="P172" t="str">
        <f>IFERROR(LN('Дивиденды по годам'!I172),"")</f>
        <v/>
      </c>
      <c r="Q172" t="str">
        <f>IFERROR('Дивиденды по годам'!G172/'Дивиденды по годам'!I172, "")</f>
        <v/>
      </c>
      <c r="R172" t="str">
        <f>IFERROR(IF(AND('Дивиденды по годам'!N172&lt;&gt;"",'Дивиденды по годам'!U172&lt;&gt;"",'Дивиденды по годам'!U172&lt;&gt;0),'Дивиденды по годам'!N172/'Дивиденды по годам'!U172-1,""),"")</f>
        <v/>
      </c>
      <c r="S172" t="str">
        <f>IFERROR(IF(AND('Дивиденды по годам'!L172&lt;&gt;"",'Дивиденды по годам'!I172&lt;&gt;"",'Дивиденды по годам'!J172&lt;&gt;"",'Дивиденды по годам'!K172&lt;&gt;"",('Дивиденды по годам'!I172-'Дивиденды по годам'!J172-'Дивиденды по годам'!K172)&lt;&gt;0),'Дивиденды по годам'!L172/('Дивиденды по годам'!I172-'Дивиденды по годам'!J172-'Дивиденды по годам'!K172),""),"")</f>
        <v/>
      </c>
      <c r="T172" t="str">
        <f>IFERROR(IF(AND('Дивиденды по годам'!Q172&lt;&gt;"",'Дивиденды по годам'!I172&lt;&gt;"",'Дивиденды по годам'!V172&lt;&gt;"",('Дивиденды по годам'!I172+'Дивиденды по годам'!V172)&lt;&gt;0),'Дивиденды по годам'!Q172/(('Дивиденды по годам'!I172+'Дивиденды по годам'!V172)/2),""),"")</f>
        <v/>
      </c>
      <c r="U172" t="str">
        <f>IFERROR(IF(AND('Дивиденды по годам'!J172&lt;&gt;"",'Дивиденды по годам'!K172&lt;&gt;"",'Дивиденды по годам'!M172&lt;&gt;"",'Дивиденды по годам'!M172&lt;&gt;0),('Дивиденды по годам'!J172+'Дивиденды по годам'!K172)/'Дивиденды по годам'!M172,""),"")</f>
        <v/>
      </c>
      <c r="V172" cm="1">
        <f t="array" ref="V172">IFERROR(AVERAGE(_xlfn._xlws.FILTER(P$2:P$1073,($C$2:$C$1073=$C172)*($E$2:$E$1073=$E172)*(ROW(P$2:P$1073)&lt;&gt;ROW(P172))*(P$2:P$1073&lt;&gt;""))),"")</f>
        <v>25.929037289731681</v>
      </c>
      <c r="W172" cm="1">
        <f t="array" ref="W172">IFERROR(AVERAGE(_xlfn._xlws.FILTER(Q$2:Q$1073,($C$2:$C$1073=$C172)*($E$2:$E$1073=$E172)*(ROW(Q$2:Q$1073)&lt;&gt;ROW(Q172))*(Q$2:Q$1073&lt;&gt;""))),"")</f>
        <v>0.77938300122684545</v>
      </c>
      <c r="X172" cm="1">
        <f t="array" ref="X172">IFERROR(AVERAGE(_xlfn._xlws.FILTER(R$2:R$1073,($C$2:$C$1073=$C172)*($E$2:$E$1073=$E172)*(ROW(R$2:R$1073)&lt;&gt;ROW(R172))*(R$2:R$1073&lt;&gt;""))),"")</f>
        <v>6.7517888744073832E-3</v>
      </c>
      <c r="Y172" cm="1">
        <f t="array" ref="Y172">IFERROR(AVERAGE(_xlfn._xlws.FILTER(S$2:S$1073,($C$2:$C$1073=$C172)*($E$2:$E$1073=$E172)*(ROW(S$2:S$1073)&lt;&gt;ROW(S172))*(S$2:S$1073&lt;&gt;""))),"")</f>
        <v>0.4889220310718525</v>
      </c>
      <c r="Z172" cm="1">
        <f t="array" ref="Z172">IFERROR(AVERAGE(_xlfn._xlws.FILTER(T$2:T$1073,($C$2:$C$1073=$C172)*($E$2:$E$1073=$E172)*(ROW(T$2:T$1073)&lt;&gt;ROW(T172))*(T$2:T$1073&lt;&gt;""))),"")</f>
        <v>-1.2387742079155006E-2</v>
      </c>
      <c r="AA172" cm="1">
        <f t="array" ref="AA172">IFERROR(AVERAGE(_xlfn._xlws.FILTER(U$2:U$1073,($C$2:$C$1073=$C172)*($E$2:$E$1073=$E172)*(ROW(U$2:U$1073)&lt;&gt;ROW(U172))*(U$2:U$1073&lt;&gt;""))),"")</f>
        <v>0.89260692757539384</v>
      </c>
    </row>
    <row r="173" spans="1:27" x14ac:dyDescent="0.2">
      <c r="A173" s="7" t="s">
        <v>2198</v>
      </c>
      <c r="B173" t="str">
        <f t="shared" si="24"/>
        <v>IRAO IV кв. 2014</v>
      </c>
      <c r="C173">
        <v>2014</v>
      </c>
      <c r="D173">
        <f>SUMIFS(Дивиденды!$C:$C,Дивиденды!$A:$A,A173,Дивиденды!$I:$I,C173)</f>
        <v>1.0399999999999999E-3</v>
      </c>
      <c r="E173">
        <v>2</v>
      </c>
      <c r="F173">
        <f t="shared" si="25"/>
        <v>1.0399999999999999E-3</v>
      </c>
      <c r="G173">
        <f t="shared" si="26"/>
        <v>3.8881249999999999E-2</v>
      </c>
      <c r="H173">
        <f t="shared" si="27"/>
        <v>1</v>
      </c>
      <c r="I173">
        <f t="shared" si="23"/>
        <v>1</v>
      </c>
      <c r="J173">
        <f t="shared" si="28"/>
        <v>1</v>
      </c>
      <c r="K173">
        <f t="shared" si="32"/>
        <v>1.3177701483499717</v>
      </c>
      <c r="L173">
        <f t="shared" si="29"/>
        <v>1</v>
      </c>
      <c r="M173">
        <f t="shared" si="33"/>
        <v>0.58333333333333337</v>
      </c>
      <c r="N173">
        <f t="shared" si="30"/>
        <v>0</v>
      </c>
      <c r="O173">
        <f t="shared" si="31"/>
        <v>0.33333333333333331</v>
      </c>
      <c r="P173">
        <f>IFERROR(LN('Дивиденды по годам'!I173),"")</f>
        <v>27.095728604094489</v>
      </c>
      <c r="Q173">
        <f>IFERROR('Дивиденды по годам'!G173/'Дивиденды по годам'!I173, "")</f>
        <v>0.51003590106200192</v>
      </c>
      <c r="R173">
        <f>IFERROR(IF(AND('Дивиденды по годам'!N173&lt;&gt;"",'Дивиденды по годам'!U173&lt;&gt;"",'Дивиденды по годам'!U173&lt;&gt;0),'Дивиденды по годам'!N173/'Дивиденды по годам'!U173-1,""),"")</f>
        <v>0.11894534523290057</v>
      </c>
      <c r="S173" t="str">
        <f>IFERROR(IF(AND('Дивиденды по годам'!L173&lt;&gt;"",'Дивиденды по годам'!I173&lt;&gt;"",'Дивиденды по годам'!J173&lt;&gt;"",'Дивиденды по годам'!K173&lt;&gt;"",('Дивиденды по годам'!I173-'Дивиденды по годам'!J173-'Дивиденды по годам'!K173)&lt;&gt;0),'Дивиденды по годам'!L173/('Дивиденды по годам'!I173-'Дивиденды по годам'!J173-'Дивиденды по годам'!K173),""),"")</f>
        <v/>
      </c>
      <c r="T173">
        <f>IFERROR(IF(AND('Дивиденды по годам'!Q173&lt;&gt;"",'Дивиденды по годам'!I173&lt;&gt;"",'Дивиденды по годам'!V173&lt;&gt;"",('Дивиденды по годам'!I173+'Дивиденды по годам'!V173)&lt;&gt;0),'Дивиденды по годам'!Q173/(('Дивиденды по годам'!I173+'Дивиденды по годам'!V173)/2),""),"")</f>
        <v>1.7802241035130922E-2</v>
      </c>
      <c r="U173">
        <f>IFERROR(IF(AND('Дивиденды по годам'!J173&lt;&gt;"",'Дивиденды по годам'!K173&lt;&gt;"",'Дивиденды по годам'!M173&lt;&gt;"",'Дивиденды по годам'!M173&lt;&gt;0),('Дивиденды по годам'!J173+'Дивиденды по годам'!K173)/'Дивиденды по годам'!M173,""),"")</f>
        <v>0.68126254490321581</v>
      </c>
      <c r="V173" cm="1">
        <f t="array" ref="V173">IFERROR(AVERAGE(_xlfn._xlws.FILTER(P$2:P$1073,($C$2:$C$1073=$C173)*($E$2:$E$1073=$E173)*(ROW(P$2:P$1073)&lt;&gt;ROW(P173))*(P$2:P$1073&lt;&gt;""))),"")</f>
        <v>26.06902543557397</v>
      </c>
      <c r="W173" cm="1">
        <f t="array" ref="W173">IFERROR(AVERAGE(_xlfn._xlws.FILTER(Q$2:Q$1073,($C$2:$C$1073=$C173)*($E$2:$E$1073=$E173)*(ROW(Q$2:Q$1073)&lt;&gt;ROW(Q173))*(Q$2:Q$1073&lt;&gt;""))),"")</f>
        <v>0.79762824419689293</v>
      </c>
      <c r="X173" cm="1">
        <f t="array" ref="X173">IFERROR(AVERAGE(_xlfn._xlws.FILTER(R$2:R$1073,($C$2:$C$1073=$C173)*($E$2:$E$1073=$E173)*(ROW(R$2:R$1073)&lt;&gt;ROW(R173))*(R$2:R$1073&lt;&gt;""))),"")</f>
        <v>1.2018678916952876E-2</v>
      </c>
      <c r="Y173" cm="1">
        <f t="array" ref="Y173">IFERROR(AVERAGE(_xlfn._xlws.FILTER(S$2:S$1073,($C$2:$C$1073=$C173)*($E$2:$E$1073=$E173)*(ROW(S$2:S$1073)&lt;&gt;ROW(S173))*(S$2:S$1073&lt;&gt;""))),"")</f>
        <v>0.60466035791128681</v>
      </c>
      <c r="Z173" cm="1">
        <f t="array" ref="Z173">IFERROR(AVERAGE(_xlfn._xlws.FILTER(T$2:T$1073,($C$2:$C$1073=$C173)*($E$2:$E$1073=$E173)*(ROW(T$2:T$1073)&lt;&gt;ROW(T173))*(T$2:T$1073&lt;&gt;""))),"")</f>
        <v>1.8706792423454931E-2</v>
      </c>
      <c r="AA173" cm="1">
        <f t="array" ref="AA173">IFERROR(AVERAGE(_xlfn._xlws.FILTER(U$2:U$1073,($C$2:$C$1073=$C173)*($E$2:$E$1073=$E173)*(ROW(U$2:U$1073)&lt;&gt;ROW(U173))*(U$2:U$1073&lt;&gt;""))),"")</f>
        <v>0.76103348380353464</v>
      </c>
    </row>
    <row r="174" spans="1:27" x14ac:dyDescent="0.2">
      <c r="A174" s="7" t="s">
        <v>2198</v>
      </c>
      <c r="B174" t="str">
        <f t="shared" si="24"/>
        <v>IRAO IV кв. 2013</v>
      </c>
      <c r="C174">
        <v>2013</v>
      </c>
      <c r="D174">
        <f>SUMIFS(Дивиденды!$C:$C,Дивиденды!$A:$A,A174,Дивиденды!$I:$I,C174)</f>
        <v>0</v>
      </c>
      <c r="E174">
        <v>2</v>
      </c>
      <c r="F174">
        <f t="shared" si="25"/>
        <v>0</v>
      </c>
      <c r="G174">
        <f t="shared" si="26"/>
        <v>4.6443083333333329E-2</v>
      </c>
      <c r="H174">
        <f t="shared" si="27"/>
        <v>0</v>
      </c>
      <c r="I174">
        <f t="shared" si="23"/>
        <v>0.83333333333333337</v>
      </c>
      <c r="J174">
        <f t="shared" si="28"/>
        <v>0</v>
      </c>
      <c r="K174">
        <f t="shared" si="32"/>
        <v>1.2952854418676727E-2</v>
      </c>
      <c r="L174">
        <f t="shared" si="29"/>
        <v>0</v>
      </c>
      <c r="M174">
        <f t="shared" si="33"/>
        <v>0.5</v>
      </c>
      <c r="N174">
        <f t="shared" si="30"/>
        <v>0</v>
      </c>
      <c r="O174">
        <f t="shared" si="31"/>
        <v>0.33333333333333331</v>
      </c>
      <c r="P174">
        <f>IFERROR(LN('Дивиденды по годам'!I174),"")</f>
        <v>26.962695320155284</v>
      </c>
      <c r="Q174">
        <f>IFERROR('Дивиденды по годам'!G174/'Дивиденды по годам'!I174, "")</f>
        <v>0.55756526964332398</v>
      </c>
      <c r="R174">
        <f>IFERROR(IF(AND('Дивиденды по годам'!N174&lt;&gt;"",'Дивиденды по годам'!U174&lt;&gt;"",'Дивиденды по годам'!U174&lt;&gt;0),'Дивиденды по годам'!N174/'Дивиденды по годам'!U174-1,""),"")</f>
        <v>0.19082002700520873</v>
      </c>
      <c r="S174" t="str">
        <f>IFERROR(IF(AND('Дивиденды по годам'!L174&lt;&gt;"",'Дивиденды по годам'!I174&lt;&gt;"",'Дивиденды по годам'!J174&lt;&gt;"",'Дивиденды по годам'!K174&lt;&gt;"",('Дивиденды по годам'!I174-'Дивиденды по годам'!J174-'Дивиденды по годам'!K174)&lt;&gt;0),'Дивиденды по годам'!L174/('Дивиденды по годам'!I174-'Дивиденды по годам'!J174-'Дивиденды по годам'!K174),""),"")</f>
        <v/>
      </c>
      <c r="T174">
        <f>IFERROR(IF(AND('Дивиденды по годам'!Q174&lt;&gt;"",'Дивиденды по годам'!I174&lt;&gt;"",'Дивиденды по годам'!V174&lt;&gt;"",('Дивиденды по годам'!I174+'Дивиденды по годам'!V174)&lt;&gt;0),'Дивиденды по годам'!Q174/(('Дивиденды по годам'!I174+'Дивиденды по годам'!V174)/2),""),"")</f>
        <v>-4.615827890895121E-2</v>
      </c>
      <c r="U174">
        <f>IFERROR(IF(AND('Дивиденды по годам'!J174&lt;&gt;"",'Дивиденды по годам'!K174&lt;&gt;"",'Дивиденды по годам'!M174&lt;&gt;"",'Дивиденды по годам'!M174&lt;&gt;0),('Дивиденды по годам'!J174+'Дивиденды по годам'!K174)/'Дивиденды по годам'!M174,""),"")</f>
        <v>0.53192723012412246</v>
      </c>
      <c r="V174" cm="1">
        <f t="array" ref="V174">IFERROR(AVERAGE(_xlfn._xlws.FILTER(P$2:P$1073,($C$2:$C$1073=$C174)*($E$2:$E$1073=$E174)*(ROW(P$2:P$1073)&lt;&gt;ROW(P174))*(P$2:P$1073&lt;&gt;""))),"")</f>
        <v>26.022494099300054</v>
      </c>
      <c r="W174" cm="1">
        <f t="array" ref="W174">IFERROR(AVERAGE(_xlfn._xlws.FILTER(Q$2:Q$1073,($C$2:$C$1073=$C174)*($E$2:$E$1073=$E174)*(ROW(Q$2:Q$1073)&lt;&gt;ROW(Q174))*(Q$2:Q$1073&lt;&gt;""))),"")</f>
        <v>0.80537608563425367</v>
      </c>
      <c r="X174" cm="1">
        <f t="array" ref="X174">IFERROR(AVERAGE(_xlfn._xlws.FILTER(R$2:R$1073,($C$2:$C$1073=$C174)*($E$2:$E$1073=$E174)*(ROW(R$2:R$1073)&lt;&gt;ROW(R174))*(R$2:R$1073&lt;&gt;""))),"")</f>
        <v>8.7447876854517964E-2</v>
      </c>
      <c r="Y174" cm="1">
        <f t="array" ref="Y174">IFERROR(AVERAGE(_xlfn._xlws.FILTER(S$2:S$1073,($C$2:$C$1073=$C174)*($E$2:$E$1073=$E174)*(ROW(S$2:S$1073)&lt;&gt;ROW(S174))*(S$2:S$1073&lt;&gt;""))),"")</f>
        <v>0.4636519590056305</v>
      </c>
      <c r="Z174" cm="1">
        <f t="array" ref="Z174">IFERROR(AVERAGE(_xlfn._xlws.FILTER(T$2:T$1073,($C$2:$C$1073=$C174)*($E$2:$E$1073=$E174)*(ROW(T$2:T$1073)&lt;&gt;ROW(T174))*(T$2:T$1073&lt;&gt;""))),"")</f>
        <v>-2.9658582033378439E-4</v>
      </c>
      <c r="AA174" cm="1">
        <f t="array" ref="AA174">IFERROR(AVERAGE(_xlfn._xlws.FILTER(U$2:U$1073,($C$2:$C$1073=$C174)*($E$2:$E$1073=$E174)*(ROW(U$2:U$1073)&lt;&gt;ROW(U174))*(U$2:U$1073&lt;&gt;""))),"")</f>
        <v>0.69169975346084223</v>
      </c>
    </row>
    <row r="175" spans="1:27" x14ac:dyDescent="0.2">
      <c r="A175" s="7" t="s">
        <v>2198</v>
      </c>
      <c r="B175" t="str">
        <f t="shared" si="24"/>
        <v>IRAO IV кв. 2012</v>
      </c>
      <c r="C175">
        <v>2012</v>
      </c>
      <c r="D175">
        <f>SUMIFS(Дивиденды!$C:$C,Дивиденды!$A:$A,A175,Дивиденды!$I:$I,C175)</f>
        <v>0</v>
      </c>
      <c r="E175">
        <v>2</v>
      </c>
      <c r="F175">
        <f t="shared" si="25"/>
        <v>0</v>
      </c>
      <c r="G175">
        <f t="shared" si="26"/>
        <v>3.7162333333333332E-2</v>
      </c>
      <c r="H175">
        <f t="shared" si="27"/>
        <v>0</v>
      </c>
      <c r="I175">
        <f t="shared" si="23"/>
        <v>0.75</v>
      </c>
      <c r="J175">
        <f t="shared" si="28"/>
        <v>0</v>
      </c>
      <c r="K175">
        <f t="shared" si="32"/>
        <v>0.74080204300683228</v>
      </c>
      <c r="L175">
        <f t="shared" si="29"/>
        <v>0</v>
      </c>
      <c r="M175">
        <f t="shared" si="33"/>
        <v>0.58333333333333337</v>
      </c>
      <c r="N175">
        <f t="shared" si="30"/>
        <v>0</v>
      </c>
      <c r="O175">
        <f t="shared" si="31"/>
        <v>0.16666666666666666</v>
      </c>
      <c r="P175">
        <f>IFERROR(LN('Дивиденды по годам'!I175),"")</f>
        <v>26.993562157895624</v>
      </c>
      <c r="Q175">
        <f>IFERROR('Дивиденды по годам'!G175/'Дивиденды по годам'!I175, "")</f>
        <v>0.53488992384144796</v>
      </c>
      <c r="R175">
        <f>IFERROR(IF(AND('Дивиденды по годам'!N175&lt;&gt;"",'Дивиденды по годам'!U175&lt;&gt;"",'Дивиденды по годам'!U175&lt;&gt;0),'Дивиденды по годам'!N175/'Дивиденды по годам'!U175-1,""),"")</f>
        <v>3.7193889348878573E-2</v>
      </c>
      <c r="S175" t="str">
        <f>IFERROR(IF(AND('Дивиденды по годам'!L175&lt;&gt;"",'Дивиденды по годам'!I175&lt;&gt;"",'Дивиденды по годам'!J175&lt;&gt;"",'Дивиденды по годам'!K175&lt;&gt;"",('Дивиденды по годам'!I175-'Дивиденды по годам'!J175-'Дивиденды по годам'!K175)&lt;&gt;0),'Дивиденды по годам'!L175/('Дивиденды по годам'!I175-'Дивиденды по годам'!J175-'Дивиденды по годам'!K175),""),"")</f>
        <v/>
      </c>
      <c r="T175">
        <f>IFERROR(IF(AND('Дивиденды по годам'!Q175&lt;&gt;"",'Дивиденды по годам'!I175&lt;&gt;"",'Дивиденды по годам'!V175&lt;&gt;"",('Дивиденды по годам'!I175+'Дивиденды по годам'!V175)&lt;&gt;0),'Дивиденды по годам'!Q175/(('Дивиденды по годам'!I175+'Дивиденды по годам'!V175)/2),""),"")</f>
        <v>-4.2157371175333552E-2</v>
      </c>
      <c r="U175">
        <f>IFERROR(IF(AND('Дивиденды по годам'!J175&lt;&gt;"",'Дивиденды по годам'!K175&lt;&gt;"",'Дивиденды по годам'!M175&lt;&gt;"",'Дивиденды по годам'!M175&lt;&gt;0),('Дивиденды по годам'!J175+'Дивиденды по годам'!K175)/'Дивиденды по годам'!M175,""),"")</f>
        <v>0.49400007913225824</v>
      </c>
      <c r="V175" cm="1">
        <f t="array" ref="V175">IFERROR(AVERAGE(_xlfn._xlws.FILTER(P$2:P$1073,($C$2:$C$1073=$C175)*($E$2:$E$1073=$E175)*(ROW(P$2:P$1073)&lt;&gt;ROW(P175))*(P$2:P$1073&lt;&gt;""))),"")</f>
        <v>26.015519917514801</v>
      </c>
      <c r="W175" cm="1">
        <f t="array" ref="W175">IFERROR(AVERAGE(_xlfn._xlws.FILTER(Q$2:Q$1073,($C$2:$C$1073=$C175)*($E$2:$E$1073=$E175)*(ROW(Q$2:Q$1073)&lt;&gt;ROW(Q175))*(Q$2:Q$1073&lt;&gt;""))),"")</f>
        <v>0.80198832699733025</v>
      </c>
      <c r="X175" cm="1">
        <f t="array" ref="X175">IFERROR(AVERAGE(_xlfn._xlws.FILTER(R$2:R$1073,($C$2:$C$1073=$C175)*($E$2:$E$1073=$E175)*(ROW(R$2:R$1073)&lt;&gt;ROW(R175))*(R$2:R$1073&lt;&gt;""))),"")</f>
        <v>-2.1752612099879123E-2</v>
      </c>
      <c r="Y175" cm="1">
        <f t="array" ref="Y175">IFERROR(AVERAGE(_xlfn._xlws.FILTER(S$2:S$1073,($C$2:$C$1073=$C175)*($E$2:$E$1073=$E175)*(ROW(S$2:S$1073)&lt;&gt;ROW(S175))*(S$2:S$1073&lt;&gt;""))),"")</f>
        <v>0.44715527647269881</v>
      </c>
      <c r="Z175" cm="1">
        <f t="array" ref="Z175">IFERROR(AVERAGE(_xlfn._xlws.FILTER(T$2:T$1073,($C$2:$C$1073=$C175)*($E$2:$E$1073=$E175)*(ROW(T$2:T$1073)&lt;&gt;ROW(T175))*(T$2:T$1073&lt;&gt;""))),"")</f>
        <v>2.7213190866823819E-2</v>
      </c>
      <c r="AA175" cm="1">
        <f t="array" ref="AA175">IFERROR(AVERAGE(_xlfn._xlws.FILTER(U$2:U$1073,($C$2:$C$1073=$C175)*($E$2:$E$1073=$E175)*(ROW(U$2:U$1073)&lt;&gt;ROW(U175))*(U$2:U$1073&lt;&gt;""))),"")</f>
        <v>0.66707965936048719</v>
      </c>
    </row>
    <row r="176" spans="1:27" x14ac:dyDescent="0.2">
      <c r="A176" s="7" t="s">
        <v>2198</v>
      </c>
      <c r="B176" t="str">
        <f t="shared" si="24"/>
        <v>IRAO IV кв. 2011</v>
      </c>
      <c r="C176">
        <v>2011</v>
      </c>
      <c r="D176">
        <f>SUMIFS(Дивиденды!$C:$C,Дивиденды!$A:$A,A176,Дивиденды!$I:$I,C176)</f>
        <v>0</v>
      </c>
      <c r="E176">
        <v>2</v>
      </c>
      <c r="F176">
        <f t="shared" si="25"/>
        <v>0</v>
      </c>
      <c r="G176">
        <f t="shared" si="26"/>
        <v>1.154675E-2</v>
      </c>
      <c r="H176">
        <f t="shared" si="27"/>
        <v>0</v>
      </c>
      <c r="I176">
        <f t="shared" ref="I176:I239" si="34">IFERROR((COUNTIFS($E:$E,E176,$C:$C,C176,$H:$H,1)-H176)/(COUNTIFS($E:$E,E176,$C:$C,C176)-1),0)</f>
        <v>0.83333333333333337</v>
      </c>
      <c r="J176">
        <f t="shared" si="28"/>
        <v>-1</v>
      </c>
      <c r="K176">
        <f t="shared" si="32"/>
        <v>0.13410358326946076</v>
      </c>
      <c r="L176">
        <f t="shared" si="29"/>
        <v>0</v>
      </c>
      <c r="M176">
        <f t="shared" si="33"/>
        <v>0.5</v>
      </c>
      <c r="N176">
        <f t="shared" si="30"/>
        <v>1</v>
      </c>
      <c r="O176">
        <f t="shared" si="31"/>
        <v>0.33333333333333331</v>
      </c>
      <c r="P176">
        <f>IFERROR(LN('Дивиденды по годам'!I176),"")</f>
        <v>26.999751419084529</v>
      </c>
      <c r="Q176">
        <f>IFERROR('Дивиденды по годам'!G176/'Дивиденды по годам'!I176, "")</f>
        <v>0.42774611028809062</v>
      </c>
      <c r="R176" t="str">
        <f>IFERROR(IF(AND('Дивиденды по годам'!N176&lt;&gt;"",'Дивиденды по годам'!U176&lt;&gt;"",'Дивиденды по годам'!U176&lt;&gt;0),'Дивиденды по годам'!N176/'Дивиденды по годам'!U176-1,""),"")</f>
        <v/>
      </c>
      <c r="S176" t="str">
        <f>IFERROR(IF(AND('Дивиденды по годам'!L176&lt;&gt;"",'Дивиденды по годам'!I176&lt;&gt;"",'Дивиденды по годам'!J176&lt;&gt;"",'Дивиденды по годам'!K176&lt;&gt;"",('Дивиденды по годам'!I176-'Дивиденды по годам'!J176-'Дивиденды по годам'!K176)&lt;&gt;0),'Дивиденды по годам'!L176/('Дивиденды по годам'!I176-'Дивиденды по годам'!J176-'Дивиденды по годам'!K176),""),"")</f>
        <v/>
      </c>
      <c r="T176" t="str">
        <f>IFERROR(IF(AND('Дивиденды по годам'!Q176&lt;&gt;"",'Дивиденды по годам'!I176&lt;&gt;"",'Дивиденды по годам'!V176&lt;&gt;"",('Дивиденды по годам'!I176+'Дивиденды по годам'!V176)&lt;&gt;0),'Дивиденды по годам'!Q176/(('Дивиденды по годам'!I176+'Дивиденды по годам'!V176)/2),""),"")</f>
        <v/>
      </c>
      <c r="U176">
        <f>IFERROR(IF(AND('Дивиденды по годам'!J176&lt;&gt;"",'Дивиденды по годам'!K176&lt;&gt;"",'Дивиденды по годам'!M176&lt;&gt;"",'Дивиденды по годам'!M176&lt;&gt;0),('Дивиденды по годам'!J176+'Дивиденды по годам'!K176)/'Дивиденды по годам'!M176,""),"")</f>
        <v>0.36159341826717556</v>
      </c>
      <c r="V176" cm="1">
        <f t="array" ref="V176">IFERROR(AVERAGE(_xlfn._xlws.FILTER(P$2:P$1073,($C$2:$C$1073=$C176)*($E$2:$E$1073=$E176)*(ROW(P$2:P$1073)&lt;&gt;ROW(P176))*(P$2:P$1073&lt;&gt;""))),"")</f>
        <v>26.050037933992034</v>
      </c>
      <c r="W176" cm="1">
        <f t="array" ref="W176">IFERROR(AVERAGE(_xlfn._xlws.FILTER(Q$2:Q$1073,($C$2:$C$1073=$C176)*($E$2:$E$1073=$E176)*(ROW(Q$2:Q$1073)&lt;&gt;ROW(Q176))*(Q$2:Q$1073&lt;&gt;""))),"")</f>
        <v>0.80430014979239184</v>
      </c>
      <c r="X176" cm="1">
        <f t="array" ref="X176">IFERROR(AVERAGE(_xlfn._xlws.FILTER(R$2:R$1073,($C$2:$C$1073=$C176)*($E$2:$E$1073=$E176)*(ROW(R$2:R$1073)&lt;&gt;ROW(R176))*(R$2:R$1073&lt;&gt;""))),"")</f>
        <v>0.14348983045887875</v>
      </c>
      <c r="Y176" cm="1">
        <f t="array" ref="Y176">IFERROR(AVERAGE(_xlfn._xlws.FILTER(S$2:S$1073,($C$2:$C$1073=$C176)*($E$2:$E$1073=$E176)*(ROW(S$2:S$1073)&lt;&gt;ROW(S176))*(S$2:S$1073&lt;&gt;""))),"")</f>
        <v>0.39850050246333968</v>
      </c>
      <c r="Z176" cm="1">
        <f t="array" ref="Z176">IFERROR(AVERAGE(_xlfn._xlws.FILTER(T$2:T$1073,($C$2:$C$1073=$C176)*($E$2:$E$1073=$E176)*(ROW(T$2:T$1073)&lt;&gt;ROW(T176))*(T$2:T$1073&lt;&gt;""))),"")</f>
        <v>4.5214358774442007E-2</v>
      </c>
      <c r="AA176" cm="1">
        <f t="array" ref="AA176">IFERROR(AVERAGE(_xlfn._xlws.FILTER(U$2:U$1073,($C$2:$C$1073=$C176)*($E$2:$E$1073=$E176)*(ROW(U$2:U$1073)&lt;&gt;ROW(U176))*(U$2:U$1073&lt;&gt;""))),"")</f>
        <v>0.62060697177430968</v>
      </c>
    </row>
    <row r="177" spans="1:27" x14ac:dyDescent="0.2">
      <c r="A177" s="7" t="s">
        <v>2198</v>
      </c>
      <c r="B177" t="str">
        <f t="shared" si="24"/>
        <v>IRAO IV кв. 2010</v>
      </c>
      <c r="C177">
        <v>2010</v>
      </c>
      <c r="D177">
        <f>SUMIFS(Дивиденды!$C:$C,Дивиденды!$A:$A,A177,Дивиденды!$I:$I,C177)</f>
        <v>1.5E-5</v>
      </c>
      <c r="E177">
        <v>2</v>
      </c>
      <c r="F177">
        <f t="shared" si="25"/>
        <v>1.5E-5</v>
      </c>
      <c r="G177">
        <f t="shared" si="26"/>
        <v>6.5605833333333341E-3</v>
      </c>
      <c r="H177">
        <f t="shared" si="27"/>
        <v>1</v>
      </c>
      <c r="I177">
        <f t="shared" si="34"/>
        <v>0.75</v>
      </c>
      <c r="J177" t="str">
        <f t="shared" si="28"/>
        <v/>
      </c>
      <c r="K177" t="str">
        <f t="shared" si="32"/>
        <v/>
      </c>
      <c r="L177" t="str">
        <f t="shared" si="29"/>
        <v/>
      </c>
      <c r="M177" t="str">
        <f t="shared" si="33"/>
        <v/>
      </c>
      <c r="N177" t="str">
        <f t="shared" si="30"/>
        <v/>
      </c>
      <c r="O177" t="str">
        <f t="shared" si="31"/>
        <v/>
      </c>
      <c r="P177" t="str">
        <f>IFERROR(LN('Дивиденды по годам'!I177),"")</f>
        <v/>
      </c>
      <c r="Q177" t="str">
        <f>IFERROR('Дивиденды по годам'!G177/'Дивиденды по годам'!I177, "")</f>
        <v/>
      </c>
      <c r="R177" t="str">
        <f>IFERROR(IF(AND('Дивиденды по годам'!N177&lt;&gt;"",'Дивиденды по годам'!U177&lt;&gt;"",'Дивиденды по годам'!U177&lt;&gt;0),'Дивиденды по годам'!N177/'Дивиденды по годам'!U177-1,""),"")</f>
        <v/>
      </c>
      <c r="S177" t="str">
        <f>IFERROR(IF(AND('Дивиденды по годам'!L177&lt;&gt;"",'Дивиденды по годам'!I177&lt;&gt;"",'Дивиденды по годам'!J177&lt;&gt;"",'Дивиденды по годам'!K177&lt;&gt;"",('Дивиденды по годам'!I177-'Дивиденды по годам'!J177-'Дивиденды по годам'!K177)&lt;&gt;0),'Дивиденды по годам'!L177/('Дивиденды по годам'!I177-'Дивиденды по годам'!J177-'Дивиденды по годам'!K177),""),"")</f>
        <v/>
      </c>
      <c r="T177" t="str">
        <f>IFERROR(IF(AND('Дивиденды по годам'!Q177&lt;&gt;"",'Дивиденды по годам'!I177&lt;&gt;"",'Дивиденды по годам'!V177&lt;&gt;"",('Дивиденды по годам'!I177+'Дивиденды по годам'!V177)&lt;&gt;0),'Дивиденды по годам'!Q177/(('Дивиденды по годам'!I177+'Дивиденды по годам'!V177)/2),""),"")</f>
        <v/>
      </c>
      <c r="U177" t="str">
        <f>IFERROR(IF(AND('Дивиденды по годам'!J177&lt;&gt;"",'Дивиденды по годам'!K177&lt;&gt;"",'Дивиденды по годам'!M177&lt;&gt;"",'Дивиденды по годам'!M177&lt;&gt;0),('Дивиденды по годам'!J177+'Дивиденды по годам'!K177)/'Дивиденды по годам'!M177,""),"")</f>
        <v/>
      </c>
      <c r="V177" cm="1">
        <f t="array" ref="V177">IFERROR(AVERAGE(_xlfn._xlws.FILTER(P$2:P$1073,($C$2:$C$1073=$C177)*($E$2:$E$1073=$E177)*(ROW(P$2:P$1073)&lt;&gt;ROW(P177))*(P$2:P$1073&lt;&gt;""))),"")</f>
        <v>24.730948088520865</v>
      </c>
      <c r="W177" cm="1">
        <f t="array" ref="W177">IFERROR(AVERAGE(_xlfn._xlws.FILTER(Q$2:Q$1073,($C$2:$C$1073=$C177)*($E$2:$E$1073=$E177)*(ROW(Q$2:Q$1073)&lt;&gt;ROW(Q177))*(Q$2:Q$1073&lt;&gt;""))),"")</f>
        <v>0.82035195639515091</v>
      </c>
      <c r="X177" t="str" cm="1">
        <f t="array" ref="X177">IFERROR(AVERAGE(_xlfn._xlws.FILTER(R$2:R$1073,($C$2:$C$1073=$C177)*($E$2:$E$1073=$E177)*(ROW(R$2:R$1073)&lt;&gt;ROW(R177))*(R$2:R$1073&lt;&gt;""))),"")</f>
        <v/>
      </c>
      <c r="Y177" t="str" cm="1">
        <f t="array" ref="Y177">IFERROR(AVERAGE(_xlfn._xlws.FILTER(S$2:S$1073,($C$2:$C$1073=$C177)*($E$2:$E$1073=$E177)*(ROW(S$2:S$1073)&lt;&gt;ROW(S177))*(S$2:S$1073&lt;&gt;""))),"")</f>
        <v/>
      </c>
      <c r="Z177" t="str" cm="1">
        <f t="array" ref="Z177">IFERROR(AVERAGE(_xlfn._xlws.FILTER(T$2:T$1073,($C$2:$C$1073=$C177)*($E$2:$E$1073=$E177)*(ROW(T$2:T$1073)&lt;&gt;ROW(T177))*(T$2:T$1073&lt;&gt;""))),"")</f>
        <v/>
      </c>
      <c r="AA177" cm="1">
        <f t="array" ref="AA177">IFERROR(AVERAGE(_xlfn._xlws.FILTER(U$2:U$1073,($C$2:$C$1073=$C177)*($E$2:$E$1073=$E177)*(ROW(U$2:U$1073)&lt;&gt;ROW(U177))*(U$2:U$1073&lt;&gt;""))),"")</f>
        <v>0.91314375247969903</v>
      </c>
    </row>
    <row r="178" spans="1:27" x14ac:dyDescent="0.2">
      <c r="A178" s="7" t="s">
        <v>2200</v>
      </c>
      <c r="B178" t="str">
        <f t="shared" si="24"/>
        <v>MRKC IV кв. 2025</v>
      </c>
      <c r="C178">
        <v>2025</v>
      </c>
      <c r="D178">
        <f>SUMIFS(Дивиденды!$C:$C,Дивиденды!$A:$A,A178,Дивиденды!$I:$I,C178)</f>
        <v>0</v>
      </c>
      <c r="E178">
        <v>2</v>
      </c>
      <c r="F178">
        <f t="shared" si="25"/>
        <v>0</v>
      </c>
      <c r="G178">
        <f t="shared" si="26"/>
        <v>0</v>
      </c>
      <c r="H178">
        <f t="shared" si="27"/>
        <v>0</v>
      </c>
      <c r="I178">
        <f t="shared" si="34"/>
        <v>0</v>
      </c>
      <c r="J178">
        <f t="shared" si="28"/>
        <v>-1</v>
      </c>
      <c r="K178">
        <f t="shared" si="32"/>
        <v>-0.5</v>
      </c>
      <c r="L178">
        <f t="shared" si="29"/>
        <v>0</v>
      </c>
      <c r="M178">
        <f t="shared" si="33"/>
        <v>0</v>
      </c>
      <c r="N178">
        <f t="shared" si="30"/>
        <v>1</v>
      </c>
      <c r="O178">
        <f t="shared" si="31"/>
        <v>0.5</v>
      </c>
      <c r="P178">
        <f>IFERROR(LN('Дивиденды по годам'!I178),"")</f>
        <v>25.882317785580614</v>
      </c>
      <c r="Q178">
        <f>IFERROR('Дивиденды по годам'!G178/'Дивиденды по годам'!I178, "")</f>
        <v>0.76335324732725973</v>
      </c>
      <c r="R178">
        <f>IFERROR(IF(AND('Дивиденды по годам'!N178&lt;&gt;"",'Дивиденды по годам'!U178&lt;&gt;"",'Дивиденды по годам'!U178&lt;&gt;0),'Дивиденды по годам'!N178/'Дивиденды по годам'!U178-1,""),"")</f>
        <v>0.10716932375523447</v>
      </c>
      <c r="S178">
        <f>IFERROR(IF(AND('Дивиденды по годам'!L178&lt;&gt;"",'Дивиденды по годам'!I178&lt;&gt;"",'Дивиденды по годам'!J178&lt;&gt;"",'Дивиденды по годам'!K178&lt;&gt;"",('Дивиденды по годам'!I178-'Дивиденды по годам'!J178-'Дивиденды по годам'!K178)&lt;&gt;0),'Дивиденды по годам'!L178/('Дивиденды по годам'!I178-'Дивиденды по годам'!J178-'Дивиденды по годам'!K178),""),"")</f>
        <v>0.94511571744718947</v>
      </c>
      <c r="T178">
        <f>IFERROR(IF(AND('Дивиденды по годам'!Q178&lt;&gt;"",'Дивиденды по годам'!I178&lt;&gt;"",'Дивиденды по годам'!V178&lt;&gt;"",('Дивиденды по годам'!I178+'Дивиденды по годам'!V178)&lt;&gt;0),'Дивиденды по годам'!Q178/(('Дивиденды по годам'!I178+'Дивиденды по годам'!V178)/2),""),"")</f>
        <v>6.9709589086264456E-2</v>
      </c>
      <c r="U178">
        <f>IFERROR(IF(AND('Дивиденды по годам'!J178&lt;&gt;"",'Дивиденды по годам'!K178&lt;&gt;"",'Дивиденды по годам'!M178&lt;&gt;"",'Дивиденды по годам'!M178&lt;&gt;0),('Дивиденды по годам'!J178+'Дивиденды по годам'!K178)/'Дивиденды по годам'!M178,""),"")</f>
        <v>1.3758091056657202</v>
      </c>
      <c r="V178" cm="1">
        <f t="array" ref="V178">IFERROR(AVERAGE(_xlfn._xlws.FILTER(P$2:P$1073,($C$2:$C$1073=$C178)*($E$2:$E$1073=$E178)*(ROW(P$2:P$1073)&lt;&gt;ROW(P178))*(P$2:P$1073&lt;&gt;""))),"")</f>
        <v>26.679575835409601</v>
      </c>
      <c r="W178" cm="1">
        <f t="array" ref="W178">IFERROR(AVERAGE(_xlfn._xlws.FILTER(Q$2:Q$1073,($C$2:$C$1073=$C178)*($E$2:$E$1073=$E178)*(ROW(Q$2:Q$1073)&lt;&gt;ROW(Q178))*(Q$2:Q$1073&lt;&gt;""))),"")</f>
        <v>0.66534626380294648</v>
      </c>
      <c r="X178" cm="1">
        <f t="array" ref="X178">IFERROR(AVERAGE(_xlfn._xlws.FILTER(R$2:R$1073,($C$2:$C$1073=$C178)*($E$2:$E$1073=$E178)*(ROW(R$2:R$1073)&lt;&gt;ROW(R178))*(R$2:R$1073&lt;&gt;""))),"")</f>
        <v>0.18654864821621711</v>
      </c>
      <c r="Y178" cm="1">
        <f t="array" ref="Y178">IFERROR(AVERAGE(_xlfn._xlws.FILTER(S$2:S$1073,($C$2:$C$1073=$C178)*($E$2:$E$1073=$E178)*(ROW(S$2:S$1073)&lt;&gt;ROW(S178))*(S$2:S$1073&lt;&gt;""))),"")</f>
        <v>0.72465204792668736</v>
      </c>
      <c r="Z178" cm="1">
        <f t="array" ref="Z178">IFERROR(AVERAGE(_xlfn._xlws.FILTER(T$2:T$1073,($C$2:$C$1073=$C178)*($E$2:$E$1073=$E178)*(ROW(T$2:T$1073)&lt;&gt;ROW(T178))*(T$2:T$1073&lt;&gt;""))),"")</f>
        <v>0.10782532139626821</v>
      </c>
      <c r="AA178" cm="1">
        <f t="array" ref="AA178">IFERROR(AVERAGE(_xlfn._xlws.FILTER(U$2:U$1073,($C$2:$C$1073=$C178)*($E$2:$E$1073=$E178)*(ROW(U$2:U$1073)&lt;&gt;ROW(U178))*(U$2:U$1073&lt;&gt;""))),"")</f>
        <v>0.8198574624248306</v>
      </c>
    </row>
    <row r="179" spans="1:27" x14ac:dyDescent="0.2">
      <c r="A179" s="7" t="s">
        <v>2200</v>
      </c>
      <c r="B179" t="str">
        <f t="shared" si="24"/>
        <v>MRKC IV кв. 2024</v>
      </c>
      <c r="C179">
        <v>2024</v>
      </c>
      <c r="D179">
        <f>SUMIFS(Дивиденды!$C:$C,Дивиденды!$A:$A,A179,Дивиденды!$I:$I,C179)</f>
        <v>6.7599999999999993E-2</v>
      </c>
      <c r="E179">
        <v>2</v>
      </c>
      <c r="F179">
        <f t="shared" si="25"/>
        <v>6.7599999999999993E-2</v>
      </c>
      <c r="G179">
        <f t="shared" si="26"/>
        <v>5.7766666666666661E-2</v>
      </c>
      <c r="H179">
        <f t="shared" si="27"/>
        <v>1</v>
      </c>
      <c r="I179">
        <f t="shared" si="34"/>
        <v>0.5</v>
      </c>
      <c r="J179">
        <f t="shared" si="28"/>
        <v>2.1148036253776415E-2</v>
      </c>
      <c r="K179">
        <f t="shared" si="32"/>
        <v>8.4398317088522787E-2</v>
      </c>
      <c r="L179">
        <f t="shared" si="29"/>
        <v>1</v>
      </c>
      <c r="M179">
        <f t="shared" si="33"/>
        <v>0.5</v>
      </c>
      <c r="N179">
        <f t="shared" si="30"/>
        <v>0</v>
      </c>
      <c r="O179">
        <f t="shared" si="31"/>
        <v>8.3333333333333329E-2</v>
      </c>
      <c r="P179">
        <f>IFERROR(LN('Дивиденды по годам'!I179),"")</f>
        <v>25.791405161816868</v>
      </c>
      <c r="Q179">
        <f>IFERROR('Дивиденды по годам'!G179/'Дивиденды по годам'!I179, "")</f>
        <v>0.76643038475121905</v>
      </c>
      <c r="R179">
        <f>IFERROR(IF(AND('Дивиденды по годам'!N179&lt;&gt;"",'Дивиденды по годам'!U179&lt;&gt;"",'Дивиденды по годам'!U179&lt;&gt;0),'Дивиденды по годам'!N179/'Дивиденды по годам'!U179-1,""),"")</f>
        <v>7.5490298838866154E-2</v>
      </c>
      <c r="S179">
        <f>IFERROR(IF(AND('Дивиденды по годам'!L179&lt;&gt;"",'Дивиденды по годам'!I179&lt;&gt;"",'Дивиденды по годам'!J179&lt;&gt;"",'Дивиденды по годам'!K179&lt;&gt;"",('Дивиденды по годам'!I179-'Дивиденды по годам'!J179-'Дивиденды по годам'!K179)&lt;&gt;0),'Дивиденды по годам'!L179/('Дивиденды по годам'!I179-'Дивиденды по годам'!J179-'Дивиденды по годам'!K179),""),"")</f>
        <v>0.93244083619499385</v>
      </c>
      <c r="T179">
        <f>IFERROR(IF(AND('Дивиденды по годам'!Q179&lt;&gt;"",'Дивиденды по годам'!I179&lt;&gt;"",'Дивиденды по годам'!V179&lt;&gt;"",('Дивиденды по годам'!I179+'Дивиденды по годам'!V179)&lt;&gt;0),'Дивиденды по годам'!Q179/(('Дивиденды по годам'!I179+'Дивиденды по годам'!V179)/2),""),"")</f>
        <v>4.2652335689949805E-2</v>
      </c>
      <c r="U179">
        <f>IFERROR(IF(AND('Дивиденды по годам'!J179&lt;&gt;"",'Дивиденды по годам'!K179&lt;&gt;"",'Дивиденды по годам'!M179&lt;&gt;"",'Дивиденды по годам'!M179&lt;&gt;0),('Дивиденды по годам'!J179+'Дивиденды по годам'!K179)/'Дивиденды по годам'!M179,""),"")</f>
        <v>1.4511416596605256</v>
      </c>
      <c r="V179" cm="1">
        <f t="array" ref="V179">IFERROR(AVERAGE(_xlfn._xlws.FILTER(P$2:P$1073,($C$2:$C$1073=$C179)*($E$2:$E$1073=$E179)*(ROW(P$2:P$1073)&lt;&gt;ROW(P179))*(P$2:P$1073&lt;&gt;""))),"")</f>
        <v>26.612644276417761</v>
      </c>
      <c r="W179" cm="1">
        <f t="array" ref="W179">IFERROR(AVERAGE(_xlfn._xlws.FILTER(Q$2:Q$1073,($C$2:$C$1073=$C179)*($E$2:$E$1073=$E179)*(ROW(Q$2:Q$1073)&lt;&gt;ROW(Q179))*(Q$2:Q$1073&lt;&gt;""))),"")</f>
        <v>0.6803693196778382</v>
      </c>
      <c r="X179" cm="1">
        <f t="array" ref="X179">IFERROR(AVERAGE(_xlfn._xlws.FILTER(R$2:R$1073,($C$2:$C$1073=$C179)*($E$2:$E$1073=$E179)*(ROW(R$2:R$1073)&lt;&gt;ROW(R179))*(R$2:R$1073&lt;&gt;""))),"")</f>
        <v>0.10198610148419841</v>
      </c>
      <c r="Y179" cm="1">
        <f t="array" ref="Y179">IFERROR(AVERAGE(_xlfn._xlws.FILTER(S$2:S$1073,($C$2:$C$1073=$C179)*($E$2:$E$1073=$E179)*(ROW(S$2:S$1073)&lt;&gt;ROW(S179))*(S$2:S$1073&lt;&gt;""))),"")</f>
        <v>0.52197556054705607</v>
      </c>
      <c r="Z179" cm="1">
        <f t="array" ref="Z179">IFERROR(AVERAGE(_xlfn._xlws.FILTER(T$2:T$1073,($C$2:$C$1073=$C179)*($E$2:$E$1073=$E179)*(ROW(T$2:T$1073)&lt;&gt;ROW(T179))*(T$2:T$1073&lt;&gt;""))),"")</f>
        <v>5.894908615637541E-2</v>
      </c>
      <c r="AA179" cm="1">
        <f t="array" ref="AA179">IFERROR(AVERAGE(_xlfn._xlws.FILTER(U$2:U$1073,($C$2:$C$1073=$C179)*($E$2:$E$1073=$E179)*(ROW(U$2:U$1073)&lt;&gt;ROW(U179))*(U$2:U$1073&lt;&gt;""))),"")</f>
        <v>0.87431944312035403</v>
      </c>
    </row>
    <row r="180" spans="1:27" x14ac:dyDescent="0.2">
      <c r="A180" s="7" t="s">
        <v>2200</v>
      </c>
      <c r="B180" t="str">
        <f t="shared" si="24"/>
        <v>MRKC IV кв. 2023</v>
      </c>
      <c r="C180">
        <v>2023</v>
      </c>
      <c r="D180">
        <f>SUMIFS(Дивиденды!$C:$C,Дивиденды!$A:$A,A180,Дивиденды!$I:$I,C180)</f>
        <v>6.6199999999999995E-2</v>
      </c>
      <c r="E180">
        <v>2</v>
      </c>
      <c r="F180">
        <f t="shared" si="25"/>
        <v>6.6199999999999995E-2</v>
      </c>
      <c r="G180">
        <f t="shared" si="26"/>
        <v>6.0783333333333335E-2</v>
      </c>
      <c r="H180">
        <f t="shared" si="27"/>
        <v>1</v>
      </c>
      <c r="I180">
        <f t="shared" si="34"/>
        <v>0.5</v>
      </c>
      <c r="J180">
        <f t="shared" si="28"/>
        <v>0.4646017699115042</v>
      </c>
      <c r="K180">
        <f t="shared" si="32"/>
        <v>7.831642847636229E-2</v>
      </c>
      <c r="L180">
        <f t="shared" si="29"/>
        <v>1</v>
      </c>
      <c r="M180">
        <f t="shared" si="33"/>
        <v>0.41666666666666669</v>
      </c>
      <c r="N180">
        <f t="shared" si="30"/>
        <v>0</v>
      </c>
      <c r="O180">
        <f t="shared" si="31"/>
        <v>0.25</v>
      </c>
      <c r="P180">
        <f>IFERROR(LN('Дивиденды по годам'!I180),"")</f>
        <v>25.725561707847419</v>
      </c>
      <c r="Q180">
        <f>IFERROR('Дивиденды по годам'!G180/'Дивиденды по годам'!I180, "")</f>
        <v>0.73208762896300505</v>
      </c>
      <c r="R180">
        <f>IFERROR(IF(AND('Дивиденды по годам'!N180&lt;&gt;"",'Дивиденды по годам'!U180&lt;&gt;"",'Дивиденды по годам'!U180&lt;&gt;0),'Дивиденды по годам'!N180/'Дивиденды по годам'!U180-1,""),"")</f>
        <v>0.12099924064220713</v>
      </c>
      <c r="S180">
        <f>IFERROR(IF(AND('Дивиденды по годам'!L180&lt;&gt;"",'Дивиденды по годам'!I180&lt;&gt;"",'Дивиденды по годам'!J180&lt;&gt;"",'Дивиденды по годам'!K180&lt;&gt;"",('Дивиденды по годам'!I180-'Дивиденды по годам'!J180-'Дивиденды по годам'!K180)&lt;&gt;0),'Дивиденды по годам'!L180/('Дивиденды по годам'!I180-'Дивиденды по годам'!J180-'Дивиденды по годам'!K180),""),"")</f>
        <v>0.92849815844739703</v>
      </c>
      <c r="T180">
        <f>IFERROR(IF(AND('Дивиденды по годам'!Q180&lt;&gt;"",'Дивиденды по годам'!I180&lt;&gt;"",'Дивиденды по годам'!V180&lt;&gt;"",('Дивиденды по годам'!I180+'Дивиденды по годам'!V180)&lt;&gt;0),'Дивиденды по годам'!Q180/(('Дивиденды по годам'!I180+'Дивиденды по годам'!V180)/2),""),"")</f>
        <v>5.4867551021225036E-2</v>
      </c>
      <c r="U180">
        <f>IFERROR(IF(AND('Дивиденды по годам'!J180&lt;&gt;"",'Дивиденды по годам'!K180&lt;&gt;"",'Дивиденды по годам'!M180&lt;&gt;"",'Дивиденды по годам'!M180&lt;&gt;0),('Дивиденды по годам'!J180+'Дивиденды по годам'!K180)/'Дивиденды по годам'!M180,""),"")</f>
        <v>1.4528908154542672</v>
      </c>
      <c r="V180" cm="1">
        <f t="array" ref="V180">IFERROR(AVERAGE(_xlfn._xlws.FILTER(P$2:P$1073,($C$2:$C$1073=$C180)*($E$2:$E$1073=$E180)*(ROW(P$2:P$1073)&lt;&gt;ROW(P180))*(P$2:P$1073&lt;&gt;""))),"")</f>
        <v>26.489209541257637</v>
      </c>
      <c r="W180" cm="1">
        <f t="array" ref="W180">IFERROR(AVERAGE(_xlfn._xlws.FILTER(Q$2:Q$1073,($C$2:$C$1073=$C180)*($E$2:$E$1073=$E180)*(ROW(Q$2:Q$1073)&lt;&gt;ROW(Q180))*(Q$2:Q$1073&lt;&gt;""))),"")</f>
        <v>0.70638582683760653</v>
      </c>
      <c r="X180" cm="1">
        <f t="array" ref="X180">IFERROR(AVERAGE(_xlfn._xlws.FILTER(R$2:R$1073,($C$2:$C$1073=$C180)*($E$2:$E$1073=$E180)*(ROW(R$2:R$1073)&lt;&gt;ROW(R180))*(R$2:R$1073&lt;&gt;""))),"")</f>
        <v>0.14191237548022742</v>
      </c>
      <c r="Y180" cm="1">
        <f t="array" ref="Y180">IFERROR(AVERAGE(_xlfn._xlws.FILTER(S$2:S$1073,($C$2:$C$1073=$C180)*($E$2:$E$1073=$E180)*(ROW(S$2:S$1073)&lt;&gt;ROW(S180))*(S$2:S$1073&lt;&gt;""))),"")</f>
        <v>0.4974810408417541</v>
      </c>
      <c r="Z180" cm="1">
        <f t="array" ref="Z180">IFERROR(AVERAGE(_xlfn._xlws.FILTER(T$2:T$1073,($C$2:$C$1073=$C180)*($E$2:$E$1073=$E180)*(ROW(T$2:T$1073)&lt;&gt;ROW(T180))*(T$2:T$1073&lt;&gt;""))),"")</f>
        <v>7.8155078684711804E-2</v>
      </c>
      <c r="AA180" cm="1">
        <f t="array" ref="AA180">IFERROR(AVERAGE(_xlfn._xlws.FILTER(U$2:U$1073,($C$2:$C$1073=$C180)*($E$2:$E$1073=$E180)*(ROW(U$2:U$1073)&lt;&gt;ROW(U180))*(U$2:U$1073&lt;&gt;""))),"")</f>
        <v>0.75402688833995635</v>
      </c>
    </row>
    <row r="181" spans="1:27" x14ac:dyDescent="0.2">
      <c r="A181" s="7" t="s">
        <v>2200</v>
      </c>
      <c r="B181" t="str">
        <f t="shared" si="24"/>
        <v>MRKC IV кв. 2022</v>
      </c>
      <c r="C181">
        <v>2022</v>
      </c>
      <c r="D181">
        <f>SUMIFS(Дивиденды!$C:$C,Дивиденды!$A:$A,A181,Дивиденды!$I:$I,C181)</f>
        <v>4.5200000000000004E-2</v>
      </c>
      <c r="E181">
        <v>2</v>
      </c>
      <c r="F181">
        <f t="shared" si="25"/>
        <v>4.5200000000000004E-2</v>
      </c>
      <c r="G181">
        <f t="shared" si="26"/>
        <v>6.0965000000000012E-2</v>
      </c>
      <c r="H181">
        <f t="shared" si="27"/>
        <v>1</v>
      </c>
      <c r="I181">
        <f t="shared" si="34"/>
        <v>0.58333333333333337</v>
      </c>
      <c r="J181">
        <f t="shared" si="28"/>
        <v>0.33727810650887596</v>
      </c>
      <c r="K181">
        <f t="shared" si="32"/>
        <v>-0.18974837046948009</v>
      </c>
      <c r="L181">
        <f t="shared" si="29"/>
        <v>1</v>
      </c>
      <c r="M181">
        <f t="shared" si="33"/>
        <v>0.25</v>
      </c>
      <c r="N181">
        <f t="shared" si="30"/>
        <v>0</v>
      </c>
      <c r="O181">
        <f t="shared" si="31"/>
        <v>0.5</v>
      </c>
      <c r="P181">
        <f>IFERROR(LN('Дивиденды по годам'!I181),"")</f>
        <v>25.663505898135</v>
      </c>
      <c r="Q181">
        <f>IFERROR('Дивиденды по годам'!G181/'Дивиденды по годам'!I181, "")</f>
        <v>0.73407760634157837</v>
      </c>
      <c r="R181">
        <f>IFERROR(IF(AND('Дивиденды по годам'!N181&lt;&gt;"",'Дивиденды по годам'!U181&lt;&gt;"",'Дивиденды по годам'!U181&lt;&gt;0),'Дивиденды по годам'!N181/'Дивиденды по годам'!U181-1,""),"")</f>
        <v>6.0014609633014748E-2</v>
      </c>
      <c r="S181">
        <f>IFERROR(IF(AND('Дивиденды по годам'!L181&lt;&gt;"",'Дивиденды по годам'!I181&lt;&gt;"",'Дивиденды по годам'!J181&lt;&gt;"",'Дивиденды по годам'!K181&lt;&gt;"",('Дивиденды по годам'!I181-'Дивиденды по годам'!J181-'Дивиденды по годам'!K181)&lt;&gt;0),'Дивиденды по годам'!L181/('Дивиденды по годам'!I181-'Дивиденды по годам'!J181-'Дивиденды по годам'!K181),""),"")</f>
        <v>0.92531679776600062</v>
      </c>
      <c r="T181">
        <f>IFERROR(IF(AND('Дивиденды по годам'!Q181&lt;&gt;"",'Дивиденды по годам'!I181&lt;&gt;"",'Дивиденды по годам'!V181&lt;&gt;"",('Дивиденды по годам'!I181+'Дивиденды по годам'!V181)&lt;&gt;0),'Дивиденды по годам'!Q181/(('Дивиденды по годам'!I181+'Дивиденды по годам'!V181)/2),""),"")</f>
        <v>3.6317535572496229E-2</v>
      </c>
      <c r="U181">
        <f>IFERROR(IF(AND('Дивиденды по годам'!J181&lt;&gt;"",'Дивиденды по годам'!K181&lt;&gt;"",'Дивиденды по годам'!M181&lt;&gt;"",'Дивиденды по годам'!M181&lt;&gt;0),('Дивиденды по годам'!J181+'Дивиденды по годам'!K181)/'Дивиденды по годам'!M181,""),"")</f>
        <v>1.6454661039584235</v>
      </c>
      <c r="V181" cm="1">
        <f t="array" ref="V181">IFERROR(AVERAGE(_xlfn._xlws.FILTER(P$2:P$1073,($C$2:$C$1073=$C181)*($E$2:$E$1073=$E181)*(ROW(P$2:P$1073)&lt;&gt;ROW(P181))*(P$2:P$1073&lt;&gt;""))),"")</f>
        <v>26.383479780773143</v>
      </c>
      <c r="W181" cm="1">
        <f t="array" ref="W181">IFERROR(AVERAGE(_xlfn._xlws.FILTER(Q$2:Q$1073,($C$2:$C$1073=$C181)*($E$2:$E$1073=$E181)*(ROW(Q$2:Q$1073)&lt;&gt;ROW(Q181))*(Q$2:Q$1073&lt;&gt;""))),"")</f>
        <v>0.70524481728647592</v>
      </c>
      <c r="X181" cm="1">
        <f t="array" ref="X181">IFERROR(AVERAGE(_xlfn._xlws.FILTER(R$2:R$1073,($C$2:$C$1073=$C181)*($E$2:$E$1073=$E181)*(ROW(R$2:R$1073)&lt;&gt;ROW(R181))*(R$2:R$1073&lt;&gt;""))),"")</f>
        <v>7.4788592294660283E-2</v>
      </c>
      <c r="Y181" cm="1">
        <f t="array" ref="Y181">IFERROR(AVERAGE(_xlfn._xlws.FILTER(S$2:S$1073,($C$2:$C$1073=$C181)*($E$2:$E$1073=$E181)*(ROW(S$2:S$1073)&lt;&gt;ROW(S181))*(S$2:S$1073&lt;&gt;""))),"")</f>
        <v>0.46936319707514085</v>
      </c>
      <c r="Z181" cm="1">
        <f t="array" ref="Z181">IFERROR(AVERAGE(_xlfn._xlws.FILTER(T$2:T$1073,($C$2:$C$1073=$C181)*($E$2:$E$1073=$E181)*(ROW(T$2:T$1073)&lt;&gt;ROW(T181))*(T$2:T$1073&lt;&gt;""))),"")</f>
        <v>9.2455900933813527E-3</v>
      </c>
      <c r="AA181" cm="1">
        <f t="array" ref="AA181">IFERROR(AVERAGE(_xlfn._xlws.FILTER(U$2:U$1073,($C$2:$C$1073=$C181)*($E$2:$E$1073=$E181)*(ROW(U$2:U$1073)&lt;&gt;ROW(U181))*(U$2:U$1073&lt;&gt;""))),"")</f>
        <v>0.82742568494868507</v>
      </c>
    </row>
    <row r="182" spans="1:27" x14ac:dyDescent="0.2">
      <c r="A182" s="7" t="s">
        <v>2200</v>
      </c>
      <c r="B182" t="str">
        <f t="shared" si="24"/>
        <v>MRKC IV кв. 2021</v>
      </c>
      <c r="C182">
        <v>2021</v>
      </c>
      <c r="D182">
        <f>SUMIFS(Дивиденды!$C:$C,Дивиденды!$A:$A,A182,Дивиденды!$I:$I,C182)</f>
        <v>3.3799999999999997E-2</v>
      </c>
      <c r="E182">
        <v>2</v>
      </c>
      <c r="F182">
        <f t="shared" si="25"/>
        <v>3.3799999999999997E-2</v>
      </c>
      <c r="G182">
        <f t="shared" si="26"/>
        <v>7.8968583333333328E-2</v>
      </c>
      <c r="H182">
        <f t="shared" si="27"/>
        <v>1</v>
      </c>
      <c r="I182">
        <f t="shared" si="34"/>
        <v>0.75</v>
      </c>
      <c r="J182">
        <f t="shared" si="28"/>
        <v>8.9552238805968559E-3</v>
      </c>
      <c r="K182">
        <f t="shared" si="32"/>
        <v>0.16312991526733925</v>
      </c>
      <c r="L182">
        <f t="shared" si="29"/>
        <v>1</v>
      </c>
      <c r="M182">
        <f t="shared" si="33"/>
        <v>0.58333333333333337</v>
      </c>
      <c r="N182">
        <f t="shared" si="30"/>
        <v>0</v>
      </c>
      <c r="O182">
        <f t="shared" si="31"/>
        <v>0.25</v>
      </c>
      <c r="P182">
        <f>IFERROR(LN('Дивиденды по годам'!I182),"")</f>
        <v>25.593486760215676</v>
      </c>
      <c r="Q182">
        <f>IFERROR('Дивиденды по годам'!G182/'Дивиденды по годам'!I182, "")</f>
        <v>0.76923506182533841</v>
      </c>
      <c r="R182">
        <f>IFERROR(IF(AND('Дивиденды по годам'!N182&lt;&gt;"",'Дивиденды по годам'!U182&lt;&gt;"",'Дивиденды по годам'!U182&lt;&gt;0),'Дивиденды по годам'!N182/'Дивиденды по годам'!U182-1,""),"")</f>
        <v>0.10715451380432262</v>
      </c>
      <c r="S182">
        <f>IFERROR(IF(AND('Дивиденды по годам'!L182&lt;&gt;"",'Дивиденды по годам'!I182&lt;&gt;"",'Дивиденды по годам'!J182&lt;&gt;"",'Дивиденды по годам'!K182&lt;&gt;"",('Дивиденды по годам'!I182-'Дивиденды по годам'!J182-'Дивиденды по годам'!K182)&lt;&gt;0),'Дивиденды по годам'!L182/('Дивиденды по годам'!I182-'Дивиденды по годам'!J182-'Дивиденды по годам'!K182),""),"")</f>
        <v>0.91257190316011261</v>
      </c>
      <c r="T182">
        <f>IFERROR(IF(AND('Дивиденды по годам'!Q182&lt;&gt;"",'Дивиденды по годам'!I182&lt;&gt;"",'Дивиденды по годам'!V182&lt;&gt;"",('Дивиденды по годам'!I182+'Дивиденды по годам'!V182)&lt;&gt;0),'Дивиденды по годам'!Q182/(('Дивиденды по годам'!I182+'Дивиденды по годам'!V182)/2),""),"")</f>
        <v>3.4655733899968025E-2</v>
      </c>
      <c r="U182">
        <f>IFERROR(IF(AND('Дивиденды по годам'!J182&lt;&gt;"",'Дивиденды по годам'!K182&lt;&gt;"",'Дивиденды по годам'!M182&lt;&gt;"",'Дивиденды по годам'!M182&lt;&gt;0),('Дивиденды по годам'!J182+'Дивиденды по годам'!K182)/'Дивиденды по годам'!M182,""),"")</f>
        <v>1.5448243146817828</v>
      </c>
      <c r="V182" cm="1">
        <f t="array" ref="V182">IFERROR(AVERAGE(_xlfn._xlws.FILTER(P$2:P$1073,($C$2:$C$1073=$C182)*($E$2:$E$1073=$E182)*(ROW(P$2:P$1073)&lt;&gt;ROW(P182))*(P$2:P$1073&lt;&gt;""))),"")</f>
        <v>25.960038602938532</v>
      </c>
      <c r="W182" cm="1">
        <f t="array" ref="W182">IFERROR(AVERAGE(_xlfn._xlws.FILTER(Q$2:Q$1073,($C$2:$C$1073=$C182)*($E$2:$E$1073=$E182)*(ROW(Q$2:Q$1073)&lt;&gt;ROW(Q182))*(Q$2:Q$1073&lt;&gt;""))),"")</f>
        <v>0.7700363926248095</v>
      </c>
      <c r="X182" cm="1">
        <f t="array" ref="X182">IFERROR(AVERAGE(_xlfn._xlws.FILTER(R$2:R$1073,($C$2:$C$1073=$C182)*($E$2:$E$1073=$E182)*(ROW(R$2:R$1073)&lt;&gt;ROW(R182))*(R$2:R$1073&lt;&gt;""))),"")</f>
        <v>0.12868771911705879</v>
      </c>
      <c r="Y182" cm="1">
        <f t="array" ref="Y182">IFERROR(AVERAGE(_xlfn._xlws.FILTER(S$2:S$1073,($C$2:$C$1073=$C182)*($E$2:$E$1073=$E182)*(ROW(S$2:S$1073)&lt;&gt;ROW(S182))*(S$2:S$1073&lt;&gt;""))),"")</f>
        <v>0.46005060482518889</v>
      </c>
      <c r="Z182" cm="1">
        <f t="array" ref="Z182">IFERROR(AVERAGE(_xlfn._xlws.FILTER(T$2:T$1073,($C$2:$C$1073=$C182)*($E$2:$E$1073=$E182)*(ROW(T$2:T$1073)&lt;&gt;ROW(T182))*(T$2:T$1073&lt;&gt;""))),"")</f>
        <v>3.661256154965483E-2</v>
      </c>
      <c r="AA182" cm="1">
        <f t="array" ref="AA182">IFERROR(AVERAGE(_xlfn._xlws.FILTER(U$2:U$1073,($C$2:$C$1073=$C182)*($E$2:$E$1073=$E182)*(ROW(U$2:U$1073)&lt;&gt;ROW(U182))*(U$2:U$1073&lt;&gt;""))),"")</f>
        <v>0.63181240105266256</v>
      </c>
    </row>
    <row r="183" spans="1:27" x14ac:dyDescent="0.2">
      <c r="A183" s="7" t="s">
        <v>2200</v>
      </c>
      <c r="B183" t="str">
        <f t="shared" si="24"/>
        <v>MRKC IV кв. 2020</v>
      </c>
      <c r="C183">
        <v>2020</v>
      </c>
      <c r="D183">
        <f>SUMIFS(Дивиденды!$C:$C,Дивиденды!$A:$A,A183,Дивиденды!$I:$I,C183)</f>
        <v>3.3500000000000002E-2</v>
      </c>
      <c r="E183">
        <v>2</v>
      </c>
      <c r="F183">
        <f t="shared" si="25"/>
        <v>3.3500000000000002E-2</v>
      </c>
      <c r="G183">
        <f t="shared" si="26"/>
        <v>6.711425E-2</v>
      </c>
      <c r="H183">
        <f t="shared" si="27"/>
        <v>1</v>
      </c>
      <c r="I183">
        <f t="shared" si="34"/>
        <v>0.75</v>
      </c>
      <c r="J183">
        <f t="shared" si="28"/>
        <v>0.66666666666666674</v>
      </c>
      <c r="K183">
        <f t="shared" si="32"/>
        <v>-0.14117958725826812</v>
      </c>
      <c r="L183">
        <f t="shared" si="29"/>
        <v>1</v>
      </c>
      <c r="M183">
        <f t="shared" si="33"/>
        <v>0.5</v>
      </c>
      <c r="N183">
        <f t="shared" si="30"/>
        <v>0</v>
      </c>
      <c r="O183">
        <f t="shared" si="31"/>
        <v>0.5</v>
      </c>
      <c r="P183">
        <f>IFERROR(LN('Дивиденды по годам'!I183),"")</f>
        <v>25.527256504169095</v>
      </c>
      <c r="Q183">
        <f>IFERROR('Дивиденды по годам'!G183/'Дивиденды по годам'!I183, "")</f>
        <v>0.78777143017147722</v>
      </c>
      <c r="R183">
        <f>IFERROR(IF(AND('Дивиденды по годам'!N183&lt;&gt;"",'Дивиденды по годам'!U183&lt;&gt;"",'Дивиденды по годам'!U183&lt;&gt;0),'Дивиденды по годам'!N183/'Дивиденды по годам'!U183-1,""),"")</f>
        <v>3.1669743574181508E-2</v>
      </c>
      <c r="S183">
        <f>IFERROR(IF(AND('Дивиденды по годам'!L183&lt;&gt;"",'Дивиденды по годам'!I183&lt;&gt;"",'Дивиденды по годам'!J183&lt;&gt;"",'Дивиденды по годам'!K183&lt;&gt;"",('Дивиденды по годам'!I183-'Дивиденды по годам'!J183-'Дивиденды по годам'!K183)&lt;&gt;0),'Дивиденды по годам'!L183/('Дивиденды по годам'!I183-'Дивиденды по годам'!J183-'Дивиденды по годам'!K183),""),"")</f>
        <v>0.91715355947338173</v>
      </c>
      <c r="T183">
        <f>IFERROR(IF(AND('Дивиденды по годам'!Q183&lt;&gt;"",'Дивиденды по годам'!I183&lt;&gt;"",'Дивиденды по годам'!V183&lt;&gt;"",('Дивиденды по годам'!I183+'Дивиденды по годам'!V183)&lt;&gt;0),'Дивиденды по годам'!Q183/(('Дивиденды по годам'!I183+'Дивиденды по годам'!V183)/2),""),"")</f>
        <v>1.7939994711902937E-2</v>
      </c>
      <c r="U183">
        <f>IFERROR(IF(AND('Дивиденды по годам'!J183&lt;&gt;"",'Дивиденды по годам'!K183&lt;&gt;"",'Дивиденды по годам'!M183&lt;&gt;"",'Дивиденды по годам'!M183&lt;&gt;0),('Дивиденды по годам'!J183+'Дивиденды по годам'!K183)/'Дивиденды по годам'!M183,""),"")</f>
        <v>1.5487076270491527</v>
      </c>
      <c r="V183" cm="1">
        <f t="array" ref="V183">IFERROR(AVERAGE(_xlfn._xlws.FILTER(P$2:P$1073,($C$2:$C$1073=$C183)*($E$2:$E$1073=$E183)*(ROW(P$2:P$1073)&lt;&gt;ROW(P183))*(P$2:P$1073&lt;&gt;""))),"")</f>
        <v>26.226947402986212</v>
      </c>
      <c r="W183" cm="1">
        <f t="array" ref="W183">IFERROR(AVERAGE(_xlfn._xlws.FILTER(Q$2:Q$1073,($C$2:$C$1073=$C183)*($E$2:$E$1073=$E183)*(ROW(Q$2:Q$1073)&lt;&gt;ROW(Q183))*(Q$2:Q$1073&lt;&gt;""))),"")</f>
        <v>0.74140226975514001</v>
      </c>
      <c r="X183" cm="1">
        <f t="array" ref="X183">IFERROR(AVERAGE(_xlfn._xlws.FILTER(R$2:R$1073,($C$2:$C$1073=$C183)*($E$2:$E$1073=$E183)*(ROW(R$2:R$1073)&lt;&gt;ROW(R183))*(R$2:R$1073&lt;&gt;""))),"")</f>
        <v>-7.2181091996956104E-2</v>
      </c>
      <c r="Y183" cm="1">
        <f t="array" ref="Y183">IFERROR(AVERAGE(_xlfn._xlws.FILTER(S$2:S$1073,($C$2:$C$1073=$C183)*($E$2:$E$1073=$E183)*(ROW(S$2:S$1073)&lt;&gt;ROW(S183))*(S$2:S$1073&lt;&gt;""))),"")</f>
        <v>0.448413327047888</v>
      </c>
      <c r="Z183" cm="1">
        <f t="array" ref="Z183">IFERROR(AVERAGE(_xlfn._xlws.FILTER(T$2:T$1073,($C$2:$C$1073=$C183)*($E$2:$E$1073=$E183)*(ROW(T$2:T$1073)&lt;&gt;ROW(T183))*(T$2:T$1073&lt;&gt;""))),"")</f>
        <v>4.4711274128181315E-2</v>
      </c>
      <c r="AA183" cm="1">
        <f t="array" ref="AA183">IFERROR(AVERAGE(_xlfn._xlws.FILTER(U$2:U$1073,($C$2:$C$1073=$C183)*($E$2:$E$1073=$E183)*(ROW(U$2:U$1073)&lt;&gt;ROW(U183))*(U$2:U$1073&lt;&gt;""))),"")</f>
        <v>0.58547155168137588</v>
      </c>
    </row>
    <row r="184" spans="1:27" x14ac:dyDescent="0.2">
      <c r="A184" s="7" t="s">
        <v>2200</v>
      </c>
      <c r="B184" t="str">
        <f t="shared" si="24"/>
        <v>MRKC IV кв. 2019</v>
      </c>
      <c r="C184">
        <v>2019</v>
      </c>
      <c r="D184">
        <f>SUMIFS(Дивиденды!$C:$C,Дивиденды!$A:$A,A184,Дивиденды!$I:$I,C184)</f>
        <v>2.01E-2</v>
      </c>
      <c r="E184">
        <v>2</v>
      </c>
      <c r="F184">
        <f t="shared" si="25"/>
        <v>2.01E-2</v>
      </c>
      <c r="G184">
        <f t="shared" si="26"/>
        <v>6.9633666666666663E-2</v>
      </c>
      <c r="H184">
        <f t="shared" si="27"/>
        <v>1</v>
      </c>
      <c r="I184">
        <f t="shared" si="34"/>
        <v>1</v>
      </c>
      <c r="J184">
        <f t="shared" si="28"/>
        <v>-3.3653846153846118E-2</v>
      </c>
      <c r="K184">
        <f t="shared" si="32"/>
        <v>0.17489724484940816</v>
      </c>
      <c r="L184">
        <f t="shared" si="29"/>
        <v>0</v>
      </c>
      <c r="M184">
        <f t="shared" si="33"/>
        <v>0.5</v>
      </c>
      <c r="N184">
        <f t="shared" si="30"/>
        <v>1</v>
      </c>
      <c r="O184">
        <f t="shared" si="31"/>
        <v>0.41666666666666669</v>
      </c>
      <c r="P184">
        <f>IFERROR(LN('Дивиденды по годам'!I184),"")</f>
        <v>25.497304314006495</v>
      </c>
      <c r="Q184">
        <f>IFERROR('Дивиденды по годам'!G184/'Дивиденды по годам'!I184, "")</f>
        <v>0.79658823127074474</v>
      </c>
      <c r="R184">
        <f>IFERROR(IF(AND('Дивиденды по годам'!N184&lt;&gt;"",'Дивиденды по годам'!U184&lt;&gt;"",'Дивиденды по годам'!U184&lt;&gt;0),'Дивиденды по годам'!N184/'Дивиденды по годам'!U184-1,""),"")</f>
        <v>7.5190403211642387E-3</v>
      </c>
      <c r="S184">
        <f>IFERROR(IF(AND('Дивиденды по годам'!L184&lt;&gt;"",'Дивиденды по годам'!I184&lt;&gt;"",'Дивиденды по годам'!J184&lt;&gt;"",'Дивиденды по годам'!K184&lt;&gt;"",('Дивиденды по годам'!I184-'Дивиденды по годам'!J184-'Дивиденды по годам'!K184)&lt;&gt;0),'Дивиденды по годам'!L184/('Дивиденды по годам'!I184-'Дивиденды по годам'!J184-'Дивиденды по годам'!K184),""),"")</f>
        <v>0.91010855605843854</v>
      </c>
      <c r="T184">
        <f>IFERROR(IF(AND('Дивиденды по годам'!Q184&lt;&gt;"",'Дивиденды по годам'!I184&lt;&gt;"",'Дивиденды по годам'!V184&lt;&gt;"",('Дивиденды по годам'!I184+'Дивиденды по годам'!V184)&lt;&gt;0),'Дивиденды по годам'!Q184/(('Дивиденды по годам'!I184+'Дивиденды по годам'!V184)/2),""),"")</f>
        <v>2.7840082770987373E-2</v>
      </c>
      <c r="U184">
        <f>IFERROR(IF(AND('Дивиденды по годам'!J184&lt;&gt;"",'Дивиденды по годам'!K184&lt;&gt;"",'Дивиденды по годам'!M184&lt;&gt;"",'Дивиденды по годам'!M184&lt;&gt;0),('Дивиденды по годам'!J184+'Дивиденды по годам'!K184)/'Дивиденды по годам'!M184,""),"")</f>
        <v>1.5689677835620839</v>
      </c>
      <c r="V184" cm="1">
        <f t="array" ref="V184">IFERROR(AVERAGE(_xlfn._xlws.FILTER(P$2:P$1073,($C$2:$C$1073=$C184)*($E$2:$E$1073=$E184)*(ROW(P$2:P$1073)&lt;&gt;ROW(P184))*(P$2:P$1073&lt;&gt;""))),"")</f>
        <v>26.186382612216562</v>
      </c>
      <c r="W184" cm="1">
        <f t="array" ref="W184">IFERROR(AVERAGE(_xlfn._xlws.FILTER(Q$2:Q$1073,($C$2:$C$1073=$C184)*($E$2:$E$1073=$E184)*(ROW(Q$2:Q$1073)&lt;&gt;ROW(Q184))*(Q$2:Q$1073&lt;&gt;""))),"")</f>
        <v>0.73202899333870086</v>
      </c>
      <c r="X184" cm="1">
        <f t="array" ref="X184">IFERROR(AVERAGE(_xlfn._xlws.FILTER(R$2:R$1073,($C$2:$C$1073=$C184)*($E$2:$E$1073=$E184)*(ROW(R$2:R$1073)&lt;&gt;ROW(R184))*(R$2:R$1073&lt;&gt;""))),"")</f>
        <v>3.1448237009369753E-3</v>
      </c>
      <c r="Y184" cm="1">
        <f t="array" ref="Y184">IFERROR(AVERAGE(_xlfn._xlws.FILTER(S$2:S$1073,($C$2:$C$1073=$C184)*($E$2:$E$1073=$E184)*(ROW(S$2:S$1073)&lt;&gt;ROW(S184))*(S$2:S$1073&lt;&gt;""))),"")</f>
        <v>0.43768417472547277</v>
      </c>
      <c r="Z184" cm="1">
        <f t="array" ref="Z184">IFERROR(AVERAGE(_xlfn._xlws.FILTER(T$2:T$1073,($C$2:$C$1073=$C184)*($E$2:$E$1073=$E184)*(ROW(T$2:T$1073)&lt;&gt;ROW(T184))*(T$2:T$1073&lt;&gt;""))),"")</f>
        <v>5.3976477443543995E-2</v>
      </c>
      <c r="AA184" cm="1">
        <f t="array" ref="AA184">IFERROR(AVERAGE(_xlfn._xlws.FILTER(U$2:U$1073,($C$2:$C$1073=$C184)*($E$2:$E$1073=$E184)*(ROW(U$2:U$1073)&lt;&gt;ROW(U184))*(U$2:U$1073&lt;&gt;""))),"")</f>
        <v>0.59011136814444376</v>
      </c>
    </row>
    <row r="185" spans="1:27" x14ac:dyDescent="0.2">
      <c r="A185" s="7" t="s">
        <v>2200</v>
      </c>
      <c r="B185" t="str">
        <f t="shared" si="24"/>
        <v>MRKC IV кв. 2018</v>
      </c>
      <c r="C185">
        <v>2018</v>
      </c>
      <c r="D185">
        <f>SUMIFS(Дивиденды!$C:$C,Дивиденды!$A:$A,A185,Дивиденды!$I:$I,C185)</f>
        <v>2.0799999999999999E-2</v>
      </c>
      <c r="E185">
        <v>2</v>
      </c>
      <c r="F185">
        <f t="shared" si="25"/>
        <v>2.0799999999999999E-2</v>
      </c>
      <c r="G185">
        <f t="shared" si="26"/>
        <v>7.8837083333333335E-2</v>
      </c>
      <c r="H185">
        <f t="shared" si="27"/>
        <v>1</v>
      </c>
      <c r="I185">
        <f t="shared" si="34"/>
        <v>1</v>
      </c>
      <c r="J185">
        <f t="shared" si="28"/>
        <v>0</v>
      </c>
      <c r="K185">
        <f t="shared" si="32"/>
        <v>0.19625836163091881</v>
      </c>
      <c r="L185">
        <f t="shared" si="29"/>
        <v>0</v>
      </c>
      <c r="M185">
        <f t="shared" si="33"/>
        <v>0.66666666666666663</v>
      </c>
      <c r="N185">
        <f t="shared" si="30"/>
        <v>0</v>
      </c>
      <c r="O185">
        <f t="shared" si="31"/>
        <v>0.25</v>
      </c>
      <c r="P185">
        <f>IFERROR(LN('Дивиденды по годам'!I185),"")</f>
        <v>25.406558102767242</v>
      </c>
      <c r="Q185">
        <f>IFERROR('Дивиденды по годам'!G185/'Дивиденды по годам'!I185, "")</f>
        <v>0.81257734244194924</v>
      </c>
      <c r="R185">
        <f>IFERROR(IF(AND('Дивиденды по годам'!N185&lt;&gt;"",'Дивиденды по годам'!U185&lt;&gt;"",'Дивиденды по годам'!U185&lt;&gt;0),'Дивиденды по годам'!N185/'Дивиденды по годам'!U185-1,""),"")</f>
        <v>3.0946280301530349E-2</v>
      </c>
      <c r="S185">
        <f>IFERROR(IF(AND('Дивиденды по годам'!L185&lt;&gt;"",'Дивиденды по годам'!I185&lt;&gt;"",'Дивиденды по годам'!J185&lt;&gt;"",'Дивиденды по годам'!K185&lt;&gt;"",('Дивиденды по годам'!I185-'Дивиденды по годам'!J185-'Дивиденды по годам'!K185)&lt;&gt;0),'Дивиденды по годам'!L185/('Дивиденды по годам'!I185-'Дивиденды по годам'!J185-'Дивиденды по годам'!K185),""),"")</f>
        <v>0.90454643064902474</v>
      </c>
      <c r="T185">
        <f>IFERROR(IF(AND('Дивиденды по годам'!Q185&lt;&gt;"",'Дивиденды по годам'!I185&lt;&gt;"",'Дивиденды по годам'!V185&lt;&gt;"",('Дивиденды по годам'!I185+'Дивиденды по годам'!V185)&lt;&gt;0),'Дивиденды по годам'!Q185/(('Дивиденды по годам'!I185+'Дивиденды по годам'!V185)/2),""),"")</f>
        <v>2.8103032369707608E-2</v>
      </c>
      <c r="U185">
        <f>IFERROR(IF(AND('Дивиденды по годам'!J185&lt;&gt;"",'Дивиденды по годам'!K185&lt;&gt;"",'Дивиденды по годам'!M185&lt;&gt;"",'Дивиденды по годам'!M185&lt;&gt;0),('Дивиденды по годам'!J185+'Дивиденды по годам'!K185)/'Дивиденды по годам'!M185,""),"")</f>
        <v>1.4101270013887175</v>
      </c>
      <c r="V185" cm="1">
        <f t="array" ref="V185">IFERROR(AVERAGE(_xlfn._xlws.FILTER(P$2:P$1073,($C$2:$C$1073=$C185)*($E$2:$E$1073=$E185)*(ROW(P$2:P$1073)&lt;&gt;ROW(P185))*(P$2:P$1073&lt;&gt;""))),"")</f>
        <v>26.136378839291748</v>
      </c>
      <c r="W185" cm="1">
        <f t="array" ref="W185">IFERROR(AVERAGE(_xlfn._xlws.FILTER(Q$2:Q$1073,($C$2:$C$1073=$C185)*($E$2:$E$1073=$E185)*(ROW(Q$2:Q$1073)&lt;&gt;ROW(Q185))*(Q$2:Q$1073&lt;&gt;""))),"")</f>
        <v>0.74823437713149399</v>
      </c>
      <c r="X185" cm="1">
        <f t="array" ref="X185">IFERROR(AVERAGE(_xlfn._xlws.FILTER(R$2:R$1073,($C$2:$C$1073=$C185)*($E$2:$E$1073=$E185)*(ROW(R$2:R$1073)&lt;&gt;ROW(R185))*(R$2:R$1073&lt;&gt;""))),"")</f>
        <v>5.1804292011648885E-2</v>
      </c>
      <c r="Y185" cm="1">
        <f t="array" ref="Y185">IFERROR(AVERAGE(_xlfn._xlws.FILTER(S$2:S$1073,($C$2:$C$1073=$C185)*($E$2:$E$1073=$E185)*(ROW(S$2:S$1073)&lt;&gt;ROW(S185))*(S$2:S$1073&lt;&gt;""))),"")</f>
        <v>0.42773168316249149</v>
      </c>
      <c r="Z185" cm="1">
        <f t="array" ref="Z185">IFERROR(AVERAGE(_xlfn._xlws.FILTER(T$2:T$1073,($C$2:$C$1073=$C185)*($E$2:$E$1073=$E185)*(ROW(T$2:T$1073)&lt;&gt;ROW(T185))*(T$2:T$1073&lt;&gt;""))),"")</f>
        <v>7.1770508486462478E-2</v>
      </c>
      <c r="AA185" cm="1">
        <f t="array" ref="AA185">IFERROR(AVERAGE(_xlfn._xlws.FILTER(U$2:U$1073,($C$2:$C$1073=$C185)*($E$2:$E$1073=$E185)*(ROW(U$2:U$1073)&lt;&gt;ROW(U185))*(U$2:U$1073&lt;&gt;""))),"")</f>
        <v>0.56712127667085632</v>
      </c>
    </row>
    <row r="186" spans="1:27" x14ac:dyDescent="0.2">
      <c r="A186" s="7" t="s">
        <v>2200</v>
      </c>
      <c r="B186" t="str">
        <f t="shared" si="24"/>
        <v>MRKC IV кв. 2017</v>
      </c>
      <c r="C186">
        <v>2017</v>
      </c>
      <c r="D186">
        <f>SUMIFS(Дивиденды!$C:$C,Дивиденды!$A:$A,A186,Дивиденды!$I:$I,C186)</f>
        <v>2.0799999999999999E-2</v>
      </c>
      <c r="E186">
        <v>2</v>
      </c>
      <c r="F186">
        <f t="shared" si="25"/>
        <v>2.0799999999999999E-2</v>
      </c>
      <c r="G186">
        <f t="shared" si="26"/>
        <v>7.0375499999999994E-2</v>
      </c>
      <c r="H186">
        <f t="shared" si="27"/>
        <v>1</v>
      </c>
      <c r="I186">
        <f t="shared" si="34"/>
        <v>1</v>
      </c>
      <c r="J186">
        <f t="shared" si="28"/>
        <v>-0.52941176470588236</v>
      </c>
      <c r="K186">
        <f t="shared" si="32"/>
        <v>0.68586728466577374</v>
      </c>
      <c r="L186">
        <f t="shared" si="29"/>
        <v>0</v>
      </c>
      <c r="M186">
        <f t="shared" si="33"/>
        <v>0.83333333333333337</v>
      </c>
      <c r="N186">
        <f t="shared" si="30"/>
        <v>1</v>
      </c>
      <c r="O186">
        <f t="shared" si="31"/>
        <v>0.16666666666666666</v>
      </c>
      <c r="P186">
        <f>IFERROR(LN('Дивиденды по годам'!I186),"")</f>
        <v>25.377975582427581</v>
      </c>
      <c r="Q186">
        <f>IFERROR('Дивиденды по годам'!G186/'Дивиденды по годам'!I186, "")</f>
        <v>0.81578165648693313</v>
      </c>
      <c r="R186">
        <f>IFERROR(IF(AND('Дивиденды по годам'!N186&lt;&gt;"",'Дивиденды по годам'!U186&lt;&gt;"",'Дивиденды по годам'!U186&lt;&gt;0),'Дивиденды по годам'!N186/'Дивиденды по годам'!U186-1,""),"")</f>
        <v>5.5863209377828182E-2</v>
      </c>
      <c r="S186">
        <f>IFERROR(IF(AND('Дивиденды по годам'!L186&lt;&gt;"",'Дивиденды по годам'!I186&lt;&gt;"",'Дивиденды по годам'!J186&lt;&gt;"",'Дивиденды по годам'!K186&lt;&gt;"",('Дивиденды по годам'!I186-'Дивиденды по годам'!J186-'Дивиденды по годам'!K186)&lt;&gt;0),'Дивиденды по годам'!L186/('Дивиденды по годам'!I186-'Дивиденды по годам'!J186-'Дивиденды по годам'!K186),""),"")</f>
        <v>0.90710936639364859</v>
      </c>
      <c r="T186">
        <f>IFERROR(IF(AND('Дивиденды по годам'!Q186&lt;&gt;"",'Дивиденды по годам'!I186&lt;&gt;"",'Дивиденды по годам'!V186&lt;&gt;"",('Дивиденды по годам'!I186+'Дивиденды по годам'!V186)&lt;&gt;0),'Дивиденды по годам'!Q186/(('Дивиденды по годам'!I186+'Дивиденды по годам'!V186)/2),""),"")</f>
        <v>2.8500701783806461E-2</v>
      </c>
      <c r="U186">
        <f>IFERROR(IF(AND('Дивиденды по годам'!J186&lt;&gt;"",'Дивиденды по годам'!K186&lt;&gt;"",'Дивиденды по годам'!M186&lt;&gt;"",'Дивиденды по годам'!M186&lt;&gt;0),('Дивиденды по годам'!J186+'Дивиденды по годам'!K186)/'Дивиденды по годам'!M186,""),"")</f>
        <v>1.3793643998762299</v>
      </c>
      <c r="V186" cm="1">
        <f t="array" ref="V186">IFERROR(AVERAGE(_xlfn._xlws.FILTER(P$2:P$1073,($C$2:$C$1073=$C186)*($E$2:$E$1073=$E186)*(ROW(P$2:P$1073)&lt;&gt;ROW(P186))*(P$2:P$1073&lt;&gt;""))),"")</f>
        <v>26.10614816463719</v>
      </c>
      <c r="W186" cm="1">
        <f t="array" ref="W186">IFERROR(AVERAGE(_xlfn._xlws.FILTER(Q$2:Q$1073,($C$2:$C$1073=$C186)*($E$2:$E$1073=$E186)*(ROW(Q$2:Q$1073)&lt;&gt;ROW(Q186))*(Q$2:Q$1073&lt;&gt;""))),"")</f>
        <v>0.7554771830927004</v>
      </c>
      <c r="X186" cm="1">
        <f t="array" ref="X186">IFERROR(AVERAGE(_xlfn._xlws.FILTER(R$2:R$1073,($C$2:$C$1073=$C186)*($E$2:$E$1073=$E186)*(ROW(R$2:R$1073)&lt;&gt;ROW(R186))*(R$2:R$1073&lt;&gt;""))),"")</f>
        <v>4.5055322507426339E-2</v>
      </c>
      <c r="Y186" cm="1">
        <f t="array" ref="Y186">IFERROR(AVERAGE(_xlfn._xlws.FILTER(S$2:S$1073,($C$2:$C$1073=$C186)*($E$2:$E$1073=$E186)*(ROW(S$2:S$1073)&lt;&gt;ROW(S186))*(S$2:S$1073&lt;&gt;""))),"")</f>
        <v>0.37991797276315703</v>
      </c>
      <c r="Z186" cm="1">
        <f t="array" ref="Z186">IFERROR(AVERAGE(_xlfn._xlws.FILTER(T$2:T$1073,($C$2:$C$1073=$C186)*($E$2:$E$1073=$E186)*(ROW(T$2:T$1073)&lt;&gt;ROW(T186))*(T$2:T$1073&lt;&gt;""))),"")</f>
        <v>8.5992464657255185E-2</v>
      </c>
      <c r="AA186" cm="1">
        <f t="array" ref="AA186">IFERROR(AVERAGE(_xlfn._xlws.FILTER(U$2:U$1073,($C$2:$C$1073=$C186)*($E$2:$E$1073=$E186)*(ROW(U$2:U$1073)&lt;&gt;ROW(U186))*(U$2:U$1073&lt;&gt;""))),"")</f>
        <v>0.56896276851547667</v>
      </c>
    </row>
    <row r="187" spans="1:27" x14ac:dyDescent="0.2">
      <c r="A187" s="7" t="s">
        <v>2200</v>
      </c>
      <c r="B187" t="str">
        <f t="shared" si="24"/>
        <v>MRKC IV кв. 2016</v>
      </c>
      <c r="C187">
        <v>2016</v>
      </c>
      <c r="D187">
        <f>SUMIFS(Дивиденды!$C:$C,Дивиденды!$A:$A,A187,Дивиденды!$I:$I,C187)</f>
        <v>4.4200000000000003E-2</v>
      </c>
      <c r="E187">
        <v>2</v>
      </c>
      <c r="F187">
        <f t="shared" si="25"/>
        <v>4.4200000000000003E-2</v>
      </c>
      <c r="G187">
        <f t="shared" si="26"/>
        <v>5.3711833333333327E-2</v>
      </c>
      <c r="H187">
        <f t="shared" si="27"/>
        <v>1</v>
      </c>
      <c r="I187">
        <f t="shared" si="34"/>
        <v>1</v>
      </c>
      <c r="J187">
        <f t="shared" si="28"/>
        <v>3.0925925925925926</v>
      </c>
      <c r="K187">
        <f t="shared" si="32"/>
        <v>1.1493539884230941</v>
      </c>
      <c r="L187">
        <f t="shared" si="29"/>
        <v>1</v>
      </c>
      <c r="M187">
        <f t="shared" si="33"/>
        <v>0.83333333333333337</v>
      </c>
      <c r="N187">
        <f t="shared" si="30"/>
        <v>0</v>
      </c>
      <c r="O187">
        <f t="shared" si="31"/>
        <v>0.16666666666666666</v>
      </c>
      <c r="P187">
        <f>IFERROR(LN('Дивиденды по годам'!I187),"")</f>
        <v>25.396488668547605</v>
      </c>
      <c r="Q187">
        <f>IFERROR('Дивиденды по годам'!G187/'Дивиденды по годам'!I187, "")</f>
        <v>0.782783281870436</v>
      </c>
      <c r="R187">
        <f>IFERROR(IF(AND('Дивиденды по годам'!N187&lt;&gt;"",'Дивиденды по годам'!U187&lt;&gt;"",'Дивиденды по годам'!U187&lt;&gt;0),'Дивиденды по годам'!N187/'Дивиденды по годам'!U187-1,""),"")</f>
        <v>6.7605549885032534E-2</v>
      </c>
      <c r="S187">
        <f>IFERROR(IF(AND('Дивиденды по годам'!L187&lt;&gt;"",'Дивиденды по годам'!I187&lt;&gt;"",'Дивиденды по годам'!J187&lt;&gt;"",'Дивиденды по годам'!K187&lt;&gt;"",('Дивиденды по годам'!I187-'Дивиденды по годам'!J187-'Дивиденды по годам'!K187)&lt;&gt;0),'Дивиденды по годам'!L187/('Дивиденды по годам'!I187-'Дивиденды по годам'!J187-'Дивиденды по годам'!K187),""),"")</f>
        <v>0.9004519379022341</v>
      </c>
      <c r="T187">
        <f>IFERROR(IF(AND('Дивиденды по годам'!Q187&lt;&gt;"",'Дивиденды по годам'!I187&lt;&gt;"",'Дивиденды по годам'!V187&lt;&gt;"",('Дивиденды по годам'!I187+'Дивиденды по годам'!V187)&lt;&gt;0),'Дивиденды по годам'!Q187/(('Дивиденды по годам'!I187+'Дивиденды по годам'!V187)/2),""),"")</f>
        <v>4.59035801895653E-2</v>
      </c>
      <c r="U187">
        <f>IFERROR(IF(AND('Дивиденды по годам'!J187&lt;&gt;"",'Дивиденды по годам'!K187&lt;&gt;"",'Дивиденды по годам'!M187&lt;&gt;"",'Дивиденды по годам'!M187&lt;&gt;0),('Дивиденды по годам'!J187+'Дивиденды по годам'!K187)/'Дивиденды по годам'!M187,""),"")</f>
        <v>1.4747499464208058</v>
      </c>
      <c r="V187" cm="1">
        <f t="array" ref="V187">IFERROR(AVERAGE(_xlfn._xlws.FILTER(P$2:P$1073,($C$2:$C$1073=$C187)*($E$2:$E$1073=$E187)*(ROW(P$2:P$1073)&lt;&gt;ROW(P187))*(P$2:P$1073&lt;&gt;""))),"")</f>
        <v>26.058798647656641</v>
      </c>
      <c r="W187" cm="1">
        <f t="array" ref="W187">IFERROR(AVERAGE(_xlfn._xlws.FILTER(Q$2:Q$1073,($C$2:$C$1073=$C187)*($E$2:$E$1073=$E187)*(ROW(Q$2:Q$1073)&lt;&gt;ROW(Q187))*(Q$2:Q$1073&lt;&gt;""))),"")</f>
        <v>0.71072210659711965</v>
      </c>
      <c r="X187" cm="1">
        <f t="array" ref="X187">IFERROR(AVERAGE(_xlfn._xlws.FILTER(R$2:R$1073,($C$2:$C$1073=$C187)*($E$2:$E$1073=$E187)*(ROW(R$2:R$1073)&lt;&gt;ROW(R187))*(R$2:R$1073&lt;&gt;""))),"")</f>
        <v>0.11883102545797945</v>
      </c>
      <c r="Y187" cm="1">
        <f t="array" ref="Y187">IFERROR(AVERAGE(_xlfn._xlws.FILTER(S$2:S$1073,($C$2:$C$1073=$C187)*($E$2:$E$1073=$E187)*(ROW(S$2:S$1073)&lt;&gt;ROW(S187))*(S$2:S$1073&lt;&gt;""))),"")</f>
        <v>0.36420524903981133</v>
      </c>
      <c r="Z187" cm="1">
        <f t="array" ref="Z187">IFERROR(AVERAGE(_xlfn._xlws.FILTER(T$2:T$1073,($C$2:$C$1073=$C187)*($E$2:$E$1073=$E187)*(ROW(T$2:T$1073)&lt;&gt;ROW(T187))*(T$2:T$1073&lt;&gt;""))),"")</f>
        <v>4.0447992936557396E-2</v>
      </c>
      <c r="AA187" cm="1">
        <f t="array" ref="AA187">IFERROR(AVERAGE(_xlfn._xlws.FILTER(U$2:U$1073,($C$2:$C$1073=$C187)*($E$2:$E$1073=$E187)*(ROW(U$2:U$1073)&lt;&gt;ROW(U187))*(U$2:U$1073&lt;&gt;""))),"")</f>
        <v>0.66389488543062924</v>
      </c>
    </row>
    <row r="188" spans="1:27" x14ac:dyDescent="0.2">
      <c r="A188" s="7" t="s">
        <v>2200</v>
      </c>
      <c r="B188" t="str">
        <f t="shared" si="24"/>
        <v>MRKC IV кв. 2015</v>
      </c>
      <c r="C188">
        <v>2015</v>
      </c>
      <c r="D188">
        <f>SUMIFS(Дивиденды!$C:$C,Дивиденды!$A:$A,A188,Дивиденды!$I:$I,C188)</f>
        <v>1.0800000000000001E-2</v>
      </c>
      <c r="E188">
        <v>2</v>
      </c>
      <c r="F188">
        <f t="shared" si="25"/>
        <v>1.0800000000000001E-2</v>
      </c>
      <c r="G188">
        <f t="shared" si="26"/>
        <v>4.0540083333333331E-2</v>
      </c>
      <c r="H188">
        <f t="shared" si="27"/>
        <v>1</v>
      </c>
      <c r="I188">
        <f t="shared" si="34"/>
        <v>0.91666666666666663</v>
      </c>
      <c r="J188">
        <f t="shared" si="28"/>
        <v>-0.4517766497461928</v>
      </c>
      <c r="K188">
        <f t="shared" si="32"/>
        <v>4.1826244991378578</v>
      </c>
      <c r="L188">
        <f t="shared" si="29"/>
        <v>0</v>
      </c>
      <c r="M188">
        <f t="shared" si="33"/>
        <v>0.75</v>
      </c>
      <c r="N188">
        <f t="shared" si="30"/>
        <v>1</v>
      </c>
      <c r="O188">
        <f t="shared" si="31"/>
        <v>0.25</v>
      </c>
      <c r="P188">
        <f>IFERROR(LN('Дивиденды по годам'!I188),"")</f>
        <v>25.332915674297144</v>
      </c>
      <c r="Q188">
        <f>IFERROR('Дивиденды по годам'!G188/'Дивиденды по годам'!I188, "")</f>
        <v>0.77292135499249026</v>
      </c>
      <c r="R188">
        <f>IFERROR(IF(AND('Дивиденды по годам'!N188&lt;&gt;"",'Дивиденды по годам'!U188&lt;&gt;"",'Дивиденды по годам'!U188&lt;&gt;0),'Дивиденды по годам'!N188/'Дивиденды по годам'!U188-1,""),"")</f>
        <v>-7.0826763064608667E-2</v>
      </c>
      <c r="S188">
        <f>IFERROR(IF(AND('Дивиденды по годам'!L188&lt;&gt;"",'Дивиденды по годам'!I188&lt;&gt;"",'Дивиденды по годам'!J188&lt;&gt;"",'Дивиденды по годам'!K188&lt;&gt;"",('Дивиденды по годам'!I188-'Дивиденды по годам'!J188-'Дивиденды по годам'!K188)&lt;&gt;0),'Дивиденды по годам'!L188/('Дивиденды по годам'!I188-'Дивиденды по годам'!J188-'Дивиденды по годам'!K188),""),"")</f>
        <v>0.89162886826359578</v>
      </c>
      <c r="T188">
        <f>IFERROR(IF(AND('Дивиденды по годам'!Q188&lt;&gt;"",'Дивиденды по годам'!I188&lt;&gt;"",'Дивиденды по годам'!V188&lt;&gt;"",('Дивиденды по годам'!I188+'Дивиденды по годам'!V188)&lt;&gt;0),'Дивиденды по годам'!Q188/(('Дивиденды по годам'!I188+'Дивиденды по годам'!V188)/2),""),"")</f>
        <v>9.0705679305840906E-3</v>
      </c>
      <c r="U188">
        <f>IFERROR(IF(AND('Дивиденды по годам'!J188&lt;&gt;"",'Дивиденды по годам'!K188&lt;&gt;"",'Дивиденды по годам'!M188&lt;&gt;"",'Дивиденды по годам'!M188&lt;&gt;0),('Дивиденды по годам'!J188+'Дивиденды по годам'!K188)/'Дивиденды по годам'!M188,""),"")</f>
        <v>1.5831426215625368</v>
      </c>
      <c r="V188" cm="1">
        <f t="array" ref="V188">IFERROR(AVERAGE(_xlfn._xlws.FILTER(P$2:P$1073,($C$2:$C$1073=$C188)*($E$2:$E$1073=$E188)*(ROW(P$2:P$1073)&lt;&gt;ROW(P188))*(P$2:P$1073&lt;&gt;""))),"")</f>
        <v>25.988649451275137</v>
      </c>
      <c r="W188" cm="1">
        <f t="array" ref="W188">IFERROR(AVERAGE(_xlfn._xlws.FILTER(Q$2:Q$1073,($C$2:$C$1073=$C188)*($E$2:$E$1073=$E188)*(ROW(Q$2:Q$1073)&lt;&gt;ROW(Q188))*(Q$2:Q$1073&lt;&gt;""))),"")</f>
        <v>0.78002916585028093</v>
      </c>
      <c r="X188" cm="1">
        <f t="array" ref="X188">IFERROR(AVERAGE(_xlfn._xlws.FILTER(R$2:R$1073,($C$2:$C$1073=$C188)*($E$2:$E$1073=$E188)*(ROW(R$2:R$1073)&lt;&gt;ROW(R188))*(R$2:R$1073&lt;&gt;""))),"")</f>
        <v>1.5371627978742499E-2</v>
      </c>
      <c r="Y188" cm="1">
        <f t="array" ref="Y188">IFERROR(AVERAGE(_xlfn._xlws.FILTER(S$2:S$1073,($C$2:$C$1073=$C188)*($E$2:$E$1073=$E188)*(ROW(S$2:S$1073)&lt;&gt;ROW(S188))*(S$2:S$1073&lt;&gt;""))),"")</f>
        <v>0.43139248290160342</v>
      </c>
      <c r="Z188" cm="1">
        <f t="array" ref="Z188">IFERROR(AVERAGE(_xlfn._xlws.FILTER(T$2:T$1073,($C$2:$C$1073=$C188)*($E$2:$E$1073=$E188)*(ROW(T$2:T$1073)&lt;&gt;ROW(T188))*(T$2:T$1073&lt;&gt;""))),"")</f>
        <v>-1.477199874690379E-2</v>
      </c>
      <c r="AA188" cm="1">
        <f t="array" ref="AA188">IFERROR(AVERAGE(_xlfn._xlws.FILTER(U$2:U$1073,($C$2:$C$1073=$C188)*($E$2:$E$1073=$E188)*(ROW(U$2:U$1073)&lt;&gt;ROW(U188))*(U$2:U$1073&lt;&gt;""))),"")</f>
        <v>0.82355335817667952</v>
      </c>
    </row>
    <row r="189" spans="1:27" x14ac:dyDescent="0.2">
      <c r="A189" s="7" t="s">
        <v>2200</v>
      </c>
      <c r="B189" t="str">
        <f t="shared" si="24"/>
        <v>MRKC IV кв. 2014</v>
      </c>
      <c r="C189">
        <v>2014</v>
      </c>
      <c r="D189">
        <f>SUMIFS(Дивиденды!$C:$C,Дивиденды!$A:$A,A189,Дивиденды!$I:$I,C189)</f>
        <v>1.9699999999999999E-2</v>
      </c>
      <c r="E189">
        <v>2</v>
      </c>
      <c r="F189">
        <f t="shared" si="25"/>
        <v>1.9699999999999999E-2</v>
      </c>
      <c r="G189">
        <f t="shared" si="26"/>
        <v>3.7326250000000005E-2</v>
      </c>
      <c r="H189">
        <f t="shared" si="27"/>
        <v>1</v>
      </c>
      <c r="I189">
        <f t="shared" si="34"/>
        <v>1</v>
      </c>
      <c r="J189">
        <f t="shared" si="28"/>
        <v>9.9444444444444446</v>
      </c>
      <c r="K189">
        <f t="shared" si="32"/>
        <v>0.5723997779796014</v>
      </c>
      <c r="L189">
        <f t="shared" si="29"/>
        <v>1</v>
      </c>
      <c r="M189">
        <f t="shared" si="33"/>
        <v>0.58333333333333337</v>
      </c>
      <c r="N189">
        <f t="shared" si="30"/>
        <v>0</v>
      </c>
      <c r="O189">
        <f t="shared" si="31"/>
        <v>0.33333333333333331</v>
      </c>
      <c r="P189">
        <f>IFERROR(LN('Дивиденды по годам'!I189),"")</f>
        <v>25.264366661057846</v>
      </c>
      <c r="Q189">
        <f>IFERROR('Дивиденды по годам'!G189/'Дивиденды по годам'!I189, "")</f>
        <v>0.77922304918585727</v>
      </c>
      <c r="R189">
        <f>IFERROR(IF(AND('Дивиденды по годам'!N189&lt;&gt;"",'Дивиденды по годам'!U189&lt;&gt;"",'Дивиденды по годам'!U189&lt;&gt;0),'Дивиденды по годам'!N189/'Дивиденды по годам'!U189-1,""),"")</f>
        <v>-6.7579313607542435E-2</v>
      </c>
      <c r="S189">
        <f>IFERROR(IF(AND('Дивиденды по годам'!L189&lt;&gt;"",'Дивиденды по годам'!I189&lt;&gt;"",'Дивиденды по годам'!J189&lt;&gt;"",'Дивиденды по годам'!K189&lt;&gt;"",('Дивиденды по годам'!I189-'Дивиденды по годам'!J189-'Дивиденды по годам'!K189)&lt;&gt;0),'Дивиденды по годам'!L189/('Дивиденды по годам'!I189-'Дивиденды по годам'!J189-'Дивиденды по годам'!K189),""),"")</f>
        <v>0.88994410256618384</v>
      </c>
      <c r="T189">
        <f>IFERROR(IF(AND('Дивиденды по годам'!Q189&lt;&gt;"",'Дивиденды по годам'!I189&lt;&gt;"",'Дивиденды по годам'!V189&lt;&gt;"",('Дивиденды по годам'!I189+'Дивиденды по годам'!V189)&lt;&gt;0),'Дивиденды по годам'!Q189/(('Дивиденды по годам'!I189+'Дивиденды по годам'!V189)/2),""),"")</f>
        <v>-3.4602932023746362E-2</v>
      </c>
      <c r="U189">
        <f>IFERROR(IF(AND('Дивиденды по годам'!J189&lt;&gt;"",'Дивиденды по годам'!K189&lt;&gt;"",'Дивиденды по годам'!M189&lt;&gt;"",'Дивиденды по годам'!M189&lt;&gt;0),('Дивиденды по годам'!J189+'Дивиденды по годам'!K189)/'Дивиденды по годам'!M189,""),"")</f>
        <v>1.4091957337963121</v>
      </c>
      <c r="V189" cm="1">
        <f t="array" ref="V189">IFERROR(AVERAGE(_xlfn._xlws.FILTER(P$2:P$1073,($C$2:$C$1073=$C189)*($E$2:$E$1073=$E189)*(ROW(P$2:P$1073)&lt;&gt;ROW(P189))*(P$2:P$1073&lt;&gt;""))),"")</f>
        <v>26.252161629877634</v>
      </c>
      <c r="W189" cm="1">
        <f t="array" ref="W189">IFERROR(AVERAGE(_xlfn._xlws.FILTER(Q$2:Q$1073,($C$2:$C$1073=$C189)*($E$2:$E$1073=$E189)*(ROW(Q$2:Q$1073)&lt;&gt;ROW(Q189))*(Q$2:Q$1073&lt;&gt;""))),"")</f>
        <v>0.77070952938450743</v>
      </c>
      <c r="X189" cm="1">
        <f t="array" ref="X189">IFERROR(AVERAGE(_xlfn._xlws.FILTER(R$2:R$1073,($C$2:$C$1073=$C189)*($E$2:$E$1073=$E189)*(ROW(R$2:R$1073)&lt;&gt;ROW(R189))*(R$2:R$1073&lt;&gt;""))),"")</f>
        <v>3.2743641010335431E-2</v>
      </c>
      <c r="Y189" cm="1">
        <f t="array" ref="Y189">IFERROR(AVERAGE(_xlfn._xlws.FILTER(S$2:S$1073,($C$2:$C$1073=$C189)*($E$2:$E$1073=$E189)*(ROW(S$2:S$1073)&lt;&gt;ROW(S189))*(S$2:S$1073&lt;&gt;""))),"")</f>
        <v>0.54760360898030735</v>
      </c>
      <c r="Z189" cm="1">
        <f t="array" ref="Z189">IFERROR(AVERAGE(_xlfn._xlws.FILTER(T$2:T$1073,($C$2:$C$1073=$C189)*($E$2:$E$1073=$E189)*(ROW(T$2:T$1073)&lt;&gt;ROW(T189))*(T$2:T$1073&lt;&gt;""))),"")</f>
        <v>2.4529589429996852E-2</v>
      </c>
      <c r="AA189" cm="1">
        <f t="array" ref="AA189">IFERROR(AVERAGE(_xlfn._xlws.FILTER(U$2:U$1073,($C$2:$C$1073=$C189)*($E$2:$E$1073=$E189)*(ROW(U$2:U$1073)&lt;&gt;ROW(U189))*(U$2:U$1073&lt;&gt;""))),"")</f>
        <v>0.68824016491422491</v>
      </c>
    </row>
    <row r="190" spans="1:27" x14ac:dyDescent="0.2">
      <c r="A190" s="7" t="s">
        <v>2200</v>
      </c>
      <c r="B190" t="str">
        <f t="shared" si="24"/>
        <v>MRKC IV кв. 2013</v>
      </c>
      <c r="C190">
        <v>2013</v>
      </c>
      <c r="D190">
        <f>SUMIFS(Дивиденды!$C:$C,Дивиденды!$A:$A,A190,Дивиденды!$I:$I,C190)</f>
        <v>1.8E-3</v>
      </c>
      <c r="E190">
        <v>2</v>
      </c>
      <c r="F190">
        <f t="shared" si="25"/>
        <v>1.8E-3</v>
      </c>
      <c r="G190">
        <f t="shared" si="26"/>
        <v>4.6293083333333325E-2</v>
      </c>
      <c r="H190">
        <f t="shared" si="27"/>
        <v>1</v>
      </c>
      <c r="I190">
        <f t="shared" si="34"/>
        <v>0.75</v>
      </c>
      <c r="J190">
        <f t="shared" si="28"/>
        <v>-0.91176470588235292</v>
      </c>
      <c r="K190">
        <f t="shared" si="32"/>
        <v>8.8933246575539457E-2</v>
      </c>
      <c r="L190">
        <f t="shared" si="29"/>
        <v>0</v>
      </c>
      <c r="M190">
        <f t="shared" si="33"/>
        <v>0.5</v>
      </c>
      <c r="N190">
        <f t="shared" si="30"/>
        <v>1</v>
      </c>
      <c r="O190">
        <f t="shared" si="31"/>
        <v>0.25</v>
      </c>
      <c r="P190">
        <f>IFERROR(LN('Дивиденды по годам'!I190),"")</f>
        <v>25.288099577183029</v>
      </c>
      <c r="Q190">
        <f>IFERROR('Дивиденды по годам'!G190/'Дивиденды по годам'!I190, "")</f>
        <v>0.81287336033799584</v>
      </c>
      <c r="R190">
        <f>IFERROR(IF(AND('Дивиденды по годам'!N190&lt;&gt;"",'Дивиденды по годам'!U190&lt;&gt;"",'Дивиденды по годам'!U190&lt;&gt;0),'Дивиденды по годам'!N190/'Дивиденды по годам'!U190-1,""),"")</f>
        <v>0.33311173041108599</v>
      </c>
      <c r="S190" t="str">
        <f>IFERROR(IF(AND('Дивиденды по годам'!L190&lt;&gt;"",'Дивиденды по годам'!I190&lt;&gt;"",'Дивиденды по годам'!J190&lt;&gt;"",'Дивиденды по годам'!K190&lt;&gt;"",('Дивиденды по годам'!I190-'Дивиденды по годам'!J190-'Дивиденды по годам'!K190)&lt;&gt;0),'Дивиденды по годам'!L190/('Дивиденды по годам'!I190-'Дивиденды по годам'!J190-'Дивиденды по годам'!K190),""),"")</f>
        <v/>
      </c>
      <c r="T190">
        <f>IFERROR(IF(AND('Дивиденды по годам'!Q190&lt;&gt;"",'Дивиденды по годам'!I190&lt;&gt;"",'Дивиденды по годам'!V190&lt;&gt;"",('Дивиденды по годам'!I190+'Дивиденды по годам'!V190)&lt;&gt;0),'Дивиденды по годам'!Q190/(('Дивиденды по годам'!I190+'Дивиденды по годам'!V190)/2),""),"")</f>
        <v>2.8687676425137127E-3</v>
      </c>
      <c r="U190">
        <f>IFERROR(IF(AND('Дивиденды по годам'!J190&lt;&gt;"",'Дивиденды по годам'!K190&lt;&gt;"",'Дивиденды по годам'!M190&lt;&gt;"",'Дивиденды по годам'!M190&lt;&gt;0),('Дивиденды по годам'!J190+'Дивиденды по годам'!K190)/'Дивиденды по годам'!M190,""),"")</f>
        <v>1.300298709255949</v>
      </c>
      <c r="V190" cm="1">
        <f t="array" ref="V190">IFERROR(AVERAGE(_xlfn._xlws.FILTER(P$2:P$1073,($C$2:$C$1073=$C190)*($E$2:$E$1073=$E190)*(ROW(P$2:P$1073)&lt;&gt;ROW(P190))*(P$2:P$1073&lt;&gt;""))),"")</f>
        <v>26.18995367359728</v>
      </c>
      <c r="W190" cm="1">
        <f t="array" ref="W190">IFERROR(AVERAGE(_xlfn._xlws.FILTER(Q$2:Q$1073,($C$2:$C$1073=$C190)*($E$2:$E$1073=$E190)*(ROW(Q$2:Q$1073)&lt;&gt;ROW(Q190))*(Q$2:Q$1073&lt;&gt;""))),"")</f>
        <v>0.77984527656478642</v>
      </c>
      <c r="X190" cm="1">
        <f t="array" ref="X190">IFERROR(AVERAGE(_xlfn._xlws.FILTER(R$2:R$1073,($C$2:$C$1073=$C190)*($E$2:$E$1073=$E190)*(ROW(R$2:R$1073)&lt;&gt;ROW(R190))*(R$2:R$1073&lt;&gt;""))),"")</f>
        <v>7.1637687587198254E-2</v>
      </c>
      <c r="Y190" cm="1">
        <f t="array" ref="Y190">IFERROR(AVERAGE(_xlfn._xlws.FILTER(S$2:S$1073,($C$2:$C$1073=$C190)*($E$2:$E$1073=$E190)*(ROW(S$2:S$1073)&lt;&gt;ROW(S190))*(S$2:S$1073&lt;&gt;""))),"")</f>
        <v>0.4636519590056305</v>
      </c>
      <c r="Z190" cm="1">
        <f t="array" ref="Z190">IFERROR(AVERAGE(_xlfn._xlws.FILTER(T$2:T$1073,($C$2:$C$1073=$C190)*($E$2:$E$1073=$E190)*(ROW(T$2:T$1073)&lt;&gt;ROW(T190))*(T$2:T$1073&lt;&gt;""))),"")</f>
        <v>-5.7440354371632212E-3</v>
      </c>
      <c r="AA190" cm="1">
        <f t="array" ref="AA190">IFERROR(AVERAGE(_xlfn._xlws.FILTER(U$2:U$1073,($C$2:$C$1073=$C190)*($E$2:$E$1073=$E190)*(ROW(U$2:U$1073)&lt;&gt;ROW(U190))*(U$2:U$1073&lt;&gt;""))),"")</f>
        <v>0.61486260554765959</v>
      </c>
    </row>
    <row r="191" spans="1:27" x14ac:dyDescent="0.2">
      <c r="A191" s="7" t="s">
        <v>2200</v>
      </c>
      <c r="B191" t="str">
        <f t="shared" si="24"/>
        <v>MRKC IV кв. 2012</v>
      </c>
      <c r="C191">
        <v>2012</v>
      </c>
      <c r="D191">
        <f>SUMIFS(Дивиденды!$C:$C,Дивиденды!$A:$A,A191,Дивиденды!$I:$I,C191)</f>
        <v>2.0400000000000001E-2</v>
      </c>
      <c r="E191">
        <v>2</v>
      </c>
      <c r="F191">
        <f t="shared" si="25"/>
        <v>2.0400000000000001E-2</v>
      </c>
      <c r="G191">
        <f t="shared" si="26"/>
        <v>3.5462333333333332E-2</v>
      </c>
      <c r="H191">
        <f t="shared" si="27"/>
        <v>1</v>
      </c>
      <c r="I191">
        <f t="shared" si="34"/>
        <v>0.66666666666666663</v>
      </c>
      <c r="J191">
        <f t="shared" si="28"/>
        <v>1.04</v>
      </c>
      <c r="K191">
        <f t="shared" si="32"/>
        <v>0.65413537634016572</v>
      </c>
      <c r="L191">
        <f t="shared" si="29"/>
        <v>1</v>
      </c>
      <c r="M191">
        <f t="shared" si="33"/>
        <v>0.5</v>
      </c>
      <c r="N191">
        <f t="shared" si="30"/>
        <v>0</v>
      </c>
      <c r="O191">
        <f t="shared" si="31"/>
        <v>0.16666666666666666</v>
      </c>
      <c r="P191">
        <f>IFERROR(LN('Дивиденды по годам'!I191),"")</f>
        <v>25.218298091354377</v>
      </c>
      <c r="Q191">
        <f>IFERROR('Дивиденды по годам'!G191/'Дивиденды по годам'!I191, "")</f>
        <v>0.79668952888777977</v>
      </c>
      <c r="R191">
        <f>IFERROR(IF(AND('Дивиденды по годам'!N191&lt;&gt;"",'Дивиденды по годам'!U191&lt;&gt;"",'Дивиденды по годам'!U191&lt;&gt;0),'Дивиденды по годам'!N191/'Дивиденды по годам'!U191-1,""),"")</f>
        <v>1.3655739543211531E-2</v>
      </c>
      <c r="S191" t="str">
        <f>IFERROR(IF(AND('Дивиденды по годам'!L191&lt;&gt;"",'Дивиденды по годам'!I191&lt;&gt;"",'Дивиденды по годам'!J191&lt;&gt;"",'Дивиденды по годам'!K191&lt;&gt;"",('Дивиденды по годам'!I191-'Дивиденды по годам'!J191-'Дивиденды по годам'!K191)&lt;&gt;0),'Дивиденды по годам'!L191/('Дивиденды по годам'!I191-'Дивиденды по годам'!J191-'Дивиденды по годам'!K191),""),"")</f>
        <v/>
      </c>
      <c r="T191">
        <f>IFERROR(IF(AND('Дивиденды по годам'!Q191&lt;&gt;"",'Дивиденды по годам'!I191&lt;&gt;"",'Дивиденды по годам'!V191&lt;&gt;"",('Дивиденды по годам'!I191+'Дивиденды по годам'!V191)&lt;&gt;0),'Дивиденды по годам'!Q191/(('Дивиденды по годам'!I191+'Дивиденды по годам'!V191)/2),""),"")</f>
        <v>5.3228116357748781E-2</v>
      </c>
      <c r="U191">
        <f>IFERROR(IF(AND('Дивиденды по годам'!J191&lt;&gt;"",'Дивиденды по годам'!K191&lt;&gt;"",'Дивиденды по годам'!M191&lt;&gt;"",'Дивиденды по годам'!M191&lt;&gt;0),('Дивиденды по годам'!J191+'Дивиденды по годам'!K191)/'Дивиденды по годам'!M191,""),"")</f>
        <v>1.1034066354568361</v>
      </c>
      <c r="V191" cm="1">
        <f t="array" ref="V191">IFERROR(AVERAGE(_xlfn._xlws.FILTER(P$2:P$1073,($C$2:$C$1073=$C191)*($E$2:$E$1073=$E191)*(ROW(P$2:P$1073)&lt;&gt;ROW(P191))*(P$2:P$1073&lt;&gt;""))),"")</f>
        <v>26.193046324168925</v>
      </c>
      <c r="W191" cm="1">
        <f t="array" ref="W191">IFERROR(AVERAGE(_xlfn._xlws.FILTER(Q$2:Q$1073,($C$2:$C$1073=$C191)*($E$2:$E$1073=$E191)*(ROW(Q$2:Q$1073)&lt;&gt;ROW(Q191))*(Q$2:Q$1073&lt;&gt;""))),"")</f>
        <v>0.77580836649269702</v>
      </c>
      <c r="X191" cm="1">
        <f t="array" ref="X191">IFERROR(AVERAGE(_xlfn._xlws.FILTER(R$2:R$1073,($C$2:$C$1073=$C191)*($E$2:$E$1073=$E191)*(ROW(R$2:R$1073)&lt;&gt;ROW(R191))*(R$2:R$1073&lt;&gt;""))),"")</f>
        <v>-1.9137262121471672E-2</v>
      </c>
      <c r="Y191" cm="1">
        <f t="array" ref="Y191">IFERROR(AVERAGE(_xlfn._xlws.FILTER(S$2:S$1073,($C$2:$C$1073=$C191)*($E$2:$E$1073=$E191)*(ROW(S$2:S$1073)&lt;&gt;ROW(S191))*(S$2:S$1073&lt;&gt;""))),"")</f>
        <v>0.44715527647269881</v>
      </c>
      <c r="Z191" cm="1">
        <f t="array" ref="Z191">IFERROR(AVERAGE(_xlfn._xlws.FILTER(T$2:T$1073,($C$2:$C$1073=$C191)*($E$2:$E$1073=$E191)*(ROW(T$2:T$1073)&lt;&gt;ROW(T191))*(T$2:T$1073&lt;&gt;""))),"")</f>
        <v>1.5290004925188529E-2</v>
      </c>
      <c r="AA191" cm="1">
        <f t="array" ref="AA191">IFERROR(AVERAGE(_xlfn._xlws.FILTER(U$2:U$1073,($C$2:$C$1073=$C191)*($E$2:$E$1073=$E191)*(ROW(U$2:U$1073)&lt;&gt;ROW(U191))*(U$2:U$1073&lt;&gt;""))),"")</f>
        <v>0.60613900372802942</v>
      </c>
    </row>
    <row r="192" spans="1:27" x14ac:dyDescent="0.2">
      <c r="A192" s="7" t="s">
        <v>2200</v>
      </c>
      <c r="B192" t="str">
        <f t="shared" si="24"/>
        <v>MRKC IV кв. 2011</v>
      </c>
      <c r="C192">
        <v>2011</v>
      </c>
      <c r="D192">
        <f>SUMIFS(Дивиденды!$C:$C,Дивиденды!$A:$A,A192,Дивиденды!$I:$I,C192)</f>
        <v>0.01</v>
      </c>
      <c r="E192">
        <v>2</v>
      </c>
      <c r="F192">
        <f t="shared" si="25"/>
        <v>0.01</v>
      </c>
      <c r="G192">
        <f t="shared" si="26"/>
        <v>1.0713416666666668E-2</v>
      </c>
      <c r="H192">
        <f t="shared" si="27"/>
        <v>1</v>
      </c>
      <c r="I192">
        <f t="shared" si="34"/>
        <v>0.75</v>
      </c>
      <c r="J192">
        <f t="shared" si="28"/>
        <v>-0.31034482758620691</v>
      </c>
      <c r="K192">
        <f t="shared" si="32"/>
        <v>7.6632318901644653E-2</v>
      </c>
      <c r="L192">
        <f t="shared" si="29"/>
        <v>0</v>
      </c>
      <c r="M192">
        <f t="shared" si="33"/>
        <v>0.5</v>
      </c>
      <c r="N192">
        <f t="shared" si="30"/>
        <v>1</v>
      </c>
      <c r="O192">
        <f t="shared" si="31"/>
        <v>0.33333333333333331</v>
      </c>
      <c r="P192">
        <f>IFERROR(LN('Дивиденды по годам'!I192),"")</f>
        <v>25.064689138087815</v>
      </c>
      <c r="Q192">
        <f>IFERROR('Дивиденды по годам'!G192/'Дивиденды по годам'!I192, "")</f>
        <v>0.80966657096276928</v>
      </c>
      <c r="R192" t="str">
        <f>IFERROR(IF(AND('Дивиденды по годам'!N192&lt;&gt;"",'Дивиденды по годам'!U192&lt;&gt;"",'Дивиденды по годам'!U192&lt;&gt;0),'Дивиденды по годам'!N192/'Дивиденды по годам'!U192-1,""),"")</f>
        <v/>
      </c>
      <c r="S192" t="str">
        <f>IFERROR(IF(AND('Дивиденды по годам'!L192&lt;&gt;"",'Дивиденды по годам'!I192&lt;&gt;"",'Дивиденды по годам'!J192&lt;&gt;"",'Дивиденды по годам'!K192&lt;&gt;"",('Дивиденды по годам'!I192-'Дивиденды по годам'!J192-'Дивиденды по годам'!K192)&lt;&gt;0),'Дивиденды по годам'!L192/('Дивиденды по годам'!I192-'Дивиденды по годам'!J192-'Дивиденды по годам'!K192),""),"")</f>
        <v/>
      </c>
      <c r="T192" t="str">
        <f>IFERROR(IF(AND('Дивиденды по годам'!Q192&lt;&gt;"",'Дивиденды по годам'!I192&lt;&gt;"",'Дивиденды по годам'!V192&lt;&gt;"",('Дивиденды по годам'!I192+'Дивиденды по годам'!V192)&lt;&gt;0),'Дивиденды по годам'!Q192/(('Дивиденды по годам'!I192+'Дивиденды по годам'!V192)/2),""),"")</f>
        <v/>
      </c>
      <c r="U192">
        <f>IFERROR(IF(AND('Дивиденды по годам'!J192&lt;&gt;"",'Дивиденды по годам'!K192&lt;&gt;"",'Дивиденды по годам'!M192&lt;&gt;"",'Дивиденды по годам'!M192&lt;&gt;0),('Дивиденды по годам'!J192+'Дивиденды по годам'!K192)/'Дивиденды по годам'!M192,""),"")</f>
        <v>0.99122133371877164</v>
      </c>
      <c r="V192" cm="1">
        <f t="array" ref="V192">IFERROR(AVERAGE(_xlfn._xlws.FILTER(P$2:P$1073,($C$2:$C$1073=$C192)*($E$2:$E$1073=$E192)*(ROW(P$2:P$1073)&lt;&gt;ROW(P192))*(P$2:P$1073&lt;&gt;""))),"")</f>
        <v>26.265044854102783</v>
      </c>
      <c r="W192" cm="1">
        <f t="array" ref="W192">IFERROR(AVERAGE(_xlfn._xlws.FILTER(Q$2:Q$1073,($C$2:$C$1073=$C192)*($E$2:$E$1073=$E192)*(ROW(Q$2:Q$1073)&lt;&gt;ROW(Q192))*(Q$2:Q$1073&lt;&gt;""))),"")</f>
        <v>0.76186454305076079</v>
      </c>
      <c r="X192" cm="1">
        <f t="array" ref="X192">IFERROR(AVERAGE(_xlfn._xlws.FILTER(R$2:R$1073,($C$2:$C$1073=$C192)*($E$2:$E$1073=$E192)*(ROW(R$2:R$1073)&lt;&gt;ROW(R192))*(R$2:R$1073&lt;&gt;""))),"")</f>
        <v>0.14348983045887875</v>
      </c>
      <c r="Y192" cm="1">
        <f t="array" ref="Y192">IFERROR(AVERAGE(_xlfn._xlws.FILTER(S$2:S$1073,($C$2:$C$1073=$C192)*($E$2:$E$1073=$E192)*(ROW(S$2:S$1073)&lt;&gt;ROW(S192))*(S$2:S$1073&lt;&gt;""))),"")</f>
        <v>0.39850050246333968</v>
      </c>
      <c r="Z192" cm="1">
        <f t="array" ref="Z192">IFERROR(AVERAGE(_xlfn._xlws.FILTER(T$2:T$1073,($C$2:$C$1073=$C192)*($E$2:$E$1073=$E192)*(ROW(T$2:T$1073)&lt;&gt;ROW(T192))*(T$2:T$1073&lt;&gt;""))),"")</f>
        <v>4.5214358774442007E-2</v>
      </c>
      <c r="AA192" cm="1">
        <f t="array" ref="AA192">IFERROR(AVERAGE(_xlfn._xlws.FILTER(U$2:U$1073,($C$2:$C$1073=$C192)*($E$2:$E$1073=$E192)*(ROW(U$2:U$1073)&lt;&gt;ROW(U192))*(U$2:U$1073&lt;&gt;""))),"")</f>
        <v>0.5506483145019101</v>
      </c>
    </row>
    <row r="193" spans="1:27" x14ac:dyDescent="0.2">
      <c r="A193" s="7" t="s">
        <v>2200</v>
      </c>
      <c r="B193" t="str">
        <f t="shared" si="24"/>
        <v>MRKC IV кв. 2010</v>
      </c>
      <c r="C193">
        <v>2010</v>
      </c>
      <c r="D193">
        <f>SUMIFS(Дивиденды!$C:$C,Дивиденды!$A:$A,A193,Дивиденды!$I:$I,C193)</f>
        <v>1.4500000000000001E-2</v>
      </c>
      <c r="E193">
        <v>2</v>
      </c>
      <c r="F193">
        <f t="shared" si="25"/>
        <v>1.4500000000000001E-2</v>
      </c>
      <c r="G193">
        <f t="shared" si="26"/>
        <v>5.3535000000000006E-3</v>
      </c>
      <c r="H193">
        <f t="shared" si="27"/>
        <v>1</v>
      </c>
      <c r="I193">
        <f t="shared" si="34"/>
        <v>0.75</v>
      </c>
      <c r="J193" t="str">
        <f t="shared" si="28"/>
        <v/>
      </c>
      <c r="K193" t="str">
        <f t="shared" si="32"/>
        <v/>
      </c>
      <c r="L193" t="str">
        <f t="shared" si="29"/>
        <v/>
      </c>
      <c r="M193" t="str">
        <f t="shared" si="33"/>
        <v/>
      </c>
      <c r="N193" t="str">
        <f t="shared" si="30"/>
        <v/>
      </c>
      <c r="O193" t="str">
        <f t="shared" si="31"/>
        <v/>
      </c>
      <c r="P193" t="str">
        <f>IFERROR(LN('Дивиденды по годам'!I193),"")</f>
        <v/>
      </c>
      <c r="Q193" t="str">
        <f>IFERROR('Дивиденды по годам'!G193/'Дивиденды по годам'!I193, "")</f>
        <v/>
      </c>
      <c r="R193" t="str">
        <f>IFERROR(IF(AND('Дивиденды по годам'!N193&lt;&gt;"",'Дивиденды по годам'!U193&lt;&gt;"",'Дивиденды по годам'!U193&lt;&gt;0),'Дивиденды по годам'!N193/'Дивиденды по годам'!U193-1,""),"")</f>
        <v/>
      </c>
      <c r="S193" t="str">
        <f>IFERROR(IF(AND('Дивиденды по годам'!L193&lt;&gt;"",'Дивиденды по годам'!I193&lt;&gt;"",'Дивиденды по годам'!J193&lt;&gt;"",'Дивиденды по годам'!K193&lt;&gt;"",('Дивиденды по годам'!I193-'Дивиденды по годам'!J193-'Дивиденды по годам'!K193)&lt;&gt;0),'Дивиденды по годам'!L193/('Дивиденды по годам'!I193-'Дивиденды по годам'!J193-'Дивиденды по годам'!K193),""),"")</f>
        <v/>
      </c>
      <c r="T193" t="str">
        <f>IFERROR(IF(AND('Дивиденды по годам'!Q193&lt;&gt;"",'Дивиденды по годам'!I193&lt;&gt;"",'Дивиденды по годам'!V193&lt;&gt;"",('Дивиденды по годам'!I193+'Дивиденды по годам'!V193)&lt;&gt;0),'Дивиденды по годам'!Q193/(('Дивиденды по годам'!I193+'Дивиденды по годам'!V193)/2),""),"")</f>
        <v/>
      </c>
      <c r="U193" t="str">
        <f>IFERROR(IF(AND('Дивиденды по годам'!J193&lt;&gt;"",'Дивиденды по годам'!K193&lt;&gt;"",'Дивиденды по годам'!M193&lt;&gt;"",'Дивиденды по годам'!M193&lt;&gt;0),('Дивиденды по годам'!J193+'Дивиденды по годам'!K193)/'Дивиденды по годам'!M193,""),"")</f>
        <v/>
      </c>
      <c r="V193" cm="1">
        <f t="array" ref="V193">IFERROR(AVERAGE(_xlfn._xlws.FILTER(P$2:P$1073,($C$2:$C$1073=$C193)*($E$2:$E$1073=$E193)*(ROW(P$2:P$1073)&lt;&gt;ROW(P193))*(P$2:P$1073&lt;&gt;""))),"")</f>
        <v>24.730948088520865</v>
      </c>
      <c r="W193" cm="1">
        <f t="array" ref="W193">IFERROR(AVERAGE(_xlfn._xlws.FILTER(Q$2:Q$1073,($C$2:$C$1073=$C193)*($E$2:$E$1073=$E193)*(ROW(Q$2:Q$1073)&lt;&gt;ROW(Q193))*(Q$2:Q$1073&lt;&gt;""))),"")</f>
        <v>0.82035195639515091</v>
      </c>
      <c r="X193" t="str" cm="1">
        <f t="array" ref="X193">IFERROR(AVERAGE(_xlfn._xlws.FILTER(R$2:R$1073,($C$2:$C$1073=$C193)*($E$2:$E$1073=$E193)*(ROW(R$2:R$1073)&lt;&gt;ROW(R193))*(R$2:R$1073&lt;&gt;""))),"")</f>
        <v/>
      </c>
      <c r="Y193" t="str" cm="1">
        <f t="array" ref="Y193">IFERROR(AVERAGE(_xlfn._xlws.FILTER(S$2:S$1073,($C$2:$C$1073=$C193)*($E$2:$E$1073=$E193)*(ROW(S$2:S$1073)&lt;&gt;ROW(S193))*(S$2:S$1073&lt;&gt;""))),"")</f>
        <v/>
      </c>
      <c r="Z193" t="str" cm="1">
        <f t="array" ref="Z193">IFERROR(AVERAGE(_xlfn._xlws.FILTER(T$2:T$1073,($C$2:$C$1073=$C193)*($E$2:$E$1073=$E193)*(ROW(T$2:T$1073)&lt;&gt;ROW(T193))*(T$2:T$1073&lt;&gt;""))),"")</f>
        <v/>
      </c>
      <c r="AA193" cm="1">
        <f t="array" ref="AA193">IFERROR(AVERAGE(_xlfn._xlws.FILTER(U$2:U$1073,($C$2:$C$1073=$C193)*($E$2:$E$1073=$E193)*(ROW(U$2:U$1073)&lt;&gt;ROW(U193))*(U$2:U$1073&lt;&gt;""))),"")</f>
        <v>0.91314375247969903</v>
      </c>
    </row>
    <row r="194" spans="1:27" x14ac:dyDescent="0.2">
      <c r="A194" s="7" t="s">
        <v>2202</v>
      </c>
      <c r="B194" t="str">
        <f t="shared" si="24"/>
        <v>MRKP IV кв. 2025</v>
      </c>
      <c r="C194">
        <v>2025</v>
      </c>
      <c r="D194">
        <f>SUMIFS(Дивиденды!$C:$C,Дивиденды!$A:$A,A194,Дивиденды!$I:$I,C194)</f>
        <v>0</v>
      </c>
      <c r="E194">
        <v>2</v>
      </c>
      <c r="F194">
        <f t="shared" si="25"/>
        <v>0</v>
      </c>
      <c r="G194">
        <f t="shared" si="26"/>
        <v>0</v>
      </c>
      <c r="H194">
        <f t="shared" si="27"/>
        <v>0</v>
      </c>
      <c r="I194">
        <f t="shared" si="34"/>
        <v>0</v>
      </c>
      <c r="J194">
        <f t="shared" si="28"/>
        <v>-1</v>
      </c>
      <c r="K194">
        <f t="shared" si="32"/>
        <v>-0.5</v>
      </c>
      <c r="L194">
        <f t="shared" si="29"/>
        <v>0</v>
      </c>
      <c r="M194">
        <f t="shared" si="33"/>
        <v>0</v>
      </c>
      <c r="N194">
        <f t="shared" si="30"/>
        <v>1</v>
      </c>
      <c r="O194">
        <f t="shared" si="31"/>
        <v>0.5</v>
      </c>
      <c r="P194">
        <f>IFERROR(LN('Дивиденды по годам'!I194),"")</f>
        <v>26.075592173594472</v>
      </c>
      <c r="Q194">
        <f>IFERROR('Дивиденды по годам'!G194/'Дивиденды по годам'!I194, "")</f>
        <v>0.68298504509835856</v>
      </c>
      <c r="R194">
        <f>IFERROR(IF(AND('Дивиденды по годам'!N194&lt;&gt;"",'Дивиденды по годам'!U194&lt;&gt;"",'Дивиденды по годам'!U194&lt;&gt;0),'Дивиденды по годам'!N194/'Дивиденды по годам'!U194-1,""),"")</f>
        <v>0.15668010679223343</v>
      </c>
      <c r="S194">
        <f>IFERROR(IF(AND('Дивиденды по годам'!L194&lt;&gt;"",'Дивиденды по годам'!I194&lt;&gt;"",'Дивиденды по годам'!J194&lt;&gt;"",'Дивиденды по годам'!K194&lt;&gt;"",('Дивиденды по годам'!I194-'Дивиденды по годам'!J194-'Дивиденды по годам'!K194)&lt;&gt;0),'Дивиденды по годам'!L194/('Дивиденды по годам'!I194-'Дивиденды по годам'!J194-'Дивиденды по годам'!K194),""),"")</f>
        <v>0.91062639008082769</v>
      </c>
      <c r="T194">
        <f>IFERROR(IF(AND('Дивиденды по годам'!Q194&lt;&gt;"",'Дивиденды по годам'!I194&lt;&gt;"",'Дивиденды по годам'!V194&lt;&gt;"",('Дивиденды по годам'!I194+'Дивиденды по годам'!V194)&lt;&gt;0),'Дивиденды по годам'!Q194/(('Дивиденды по годам'!I194+'Дивиденды по годам'!V194)/2),""),"")</f>
        <v>0.11819584655342587</v>
      </c>
      <c r="U194">
        <f>IFERROR(IF(AND('Дивиденды по годам'!J194&lt;&gt;"",'Дивиденды по годам'!K194&lt;&gt;"",'Дивиденды по годам'!M194&lt;&gt;"",'Дивиденды по годам'!M194&lt;&gt;0),('Дивиденды по годам'!J194+'Дивиденды по годам'!K194)/'Дивиденды по годам'!M194,""),"")</f>
        <v>0.79671074800535691</v>
      </c>
      <c r="V194" cm="1">
        <f t="array" ref="V194">IFERROR(AVERAGE(_xlfn._xlws.FILTER(P$2:P$1073,($C$2:$C$1073=$C194)*($E$2:$E$1073=$E194)*(ROW(P$2:P$1073)&lt;&gt;ROW(P194))*(P$2:P$1073&lt;&gt;""))),"")</f>
        <v>26.651965208550479</v>
      </c>
      <c r="W194" cm="1">
        <f t="array" ref="W194">IFERROR(AVERAGE(_xlfn._xlws.FILTER(Q$2:Q$1073,($C$2:$C$1073=$C194)*($E$2:$E$1073=$E194)*(ROW(Q$2:Q$1073)&lt;&gt;ROW(Q194))*(Q$2:Q$1073&lt;&gt;""))),"")</f>
        <v>0.67682743554993241</v>
      </c>
      <c r="X194" cm="1">
        <f t="array" ref="X194">IFERROR(AVERAGE(_xlfn._xlws.FILTER(R$2:R$1073,($C$2:$C$1073=$C194)*($E$2:$E$1073=$E194)*(ROW(R$2:R$1073)&lt;&gt;ROW(R194))*(R$2:R$1073&lt;&gt;""))),"")</f>
        <v>0.17947567921093155</v>
      </c>
      <c r="Y194" cm="1">
        <f t="array" ref="Y194">IFERROR(AVERAGE(_xlfn._xlws.FILTER(S$2:S$1073,($C$2:$C$1073=$C194)*($E$2:$E$1073=$E194)*(ROW(S$2:S$1073)&lt;&gt;ROW(S194))*(S$2:S$1073&lt;&gt;""))),"")</f>
        <v>0.73040026915441425</v>
      </c>
      <c r="Z194" cm="1">
        <f t="array" ref="Z194">IFERROR(AVERAGE(_xlfn._xlws.FILTER(T$2:T$1073,($C$2:$C$1073=$C194)*($E$2:$E$1073=$E194)*(ROW(T$2:T$1073)&lt;&gt;ROW(T194))*(T$2:T$1073&lt;&gt;""))),"")</f>
        <v>0.10089871318667373</v>
      </c>
      <c r="AA194" cm="1">
        <f t="array" ref="AA194">IFERROR(AVERAGE(_xlfn._xlws.FILTER(U$2:U$1073,($C$2:$C$1073=$C194)*($E$2:$E$1073=$E194)*(ROW(U$2:U$1073)&lt;&gt;ROW(U194))*(U$2:U$1073&lt;&gt;""))),"")</f>
        <v>0.90258579923345383</v>
      </c>
    </row>
    <row r="195" spans="1:27" x14ac:dyDescent="0.2">
      <c r="A195" s="7" t="s">
        <v>2202</v>
      </c>
      <c r="B195" t="str">
        <f t="shared" ref="B195:B258" si="35">A195&amp;" "&amp;
"IV"
&amp;" кв. "&amp;C195</f>
        <v>MRKP IV кв. 2024</v>
      </c>
      <c r="C195">
        <v>2024</v>
      </c>
      <c r="D195">
        <f>SUMIFS(Дивиденды!$C:$C,Дивиденды!$A:$A,A195,Дивиденды!$I:$I,C195)</f>
        <v>5.0200000000000002E-2</v>
      </c>
      <c r="E195">
        <v>2</v>
      </c>
      <c r="F195">
        <f t="shared" ref="F195:F258" si="36">D195</f>
        <v>5.0200000000000002E-2</v>
      </c>
      <c r="G195">
        <f t="shared" ref="G195:G258" si="37">AVERAGEIFS($D:$D,$E:$E,E195,$C:$C,C195,$A:$A,"&lt;&gt;"&amp;A195)</f>
        <v>5.9216666666666661E-2</v>
      </c>
      <c r="H195">
        <f t="shared" ref="H195:H258" si="38">IF(D195&gt;0,1,0)</f>
        <v>1</v>
      </c>
      <c r="I195">
        <f t="shared" si="34"/>
        <v>0.5</v>
      </c>
      <c r="J195">
        <f t="shared" ref="J195:J258" si="39">IF(A196&lt;&gt;A195,"",IF(D195=D196,0,IF(AND(D196=0,D195&lt;&gt;0), 1,(D195-D196)/D196)))</f>
        <v>0.29381443298969073</v>
      </c>
      <c r="K195">
        <f t="shared" si="32"/>
        <v>6.1676117360529935E-2</v>
      </c>
      <c r="L195">
        <f t="shared" ref="L195:L258" si="40">IF(J195&lt;&gt;"",IF(J195&gt;0,1,0),"")</f>
        <v>1</v>
      </c>
      <c r="M195">
        <f t="shared" si="33"/>
        <v>0.5</v>
      </c>
      <c r="N195">
        <f t="shared" ref="N195:N258" si="41">IF(J195&lt;&gt;"",IF(J195&lt;0,1,0),"")</f>
        <v>0</v>
      </c>
      <c r="O195">
        <f t="shared" ref="O195:O258" si="42">IFERROR(AVERAGEIFS($N:$N,$E:$E,E195,$C:$C,C195,$A:$A,"&lt;&gt;"&amp;A195),"")</f>
        <v>8.3333333333333329E-2</v>
      </c>
      <c r="P195">
        <f>IFERROR(LN('Дивиденды по годам'!I195),"")</f>
        <v>25.957237687730142</v>
      </c>
      <c r="Q195">
        <f>IFERROR('Дивиденды по годам'!G195/'Дивиденды по годам'!I195, "")</f>
        <v>0.66297123597348084</v>
      </c>
      <c r="R195">
        <f>IFERROR(IF(AND('Дивиденды по годам'!N195&lt;&gt;"",'Дивиденды по годам'!U195&lt;&gt;"",'Дивиденды по годам'!U195&lt;&gt;0),'Дивиденды по годам'!N195/'Дивиденды по годам'!U195-1,""),"")</f>
        <v>8.7384198337613794E-2</v>
      </c>
      <c r="S195">
        <f>IFERROR(IF(AND('Дивиденды по годам'!L195&lt;&gt;"",'Дивиденды по годам'!I195&lt;&gt;"",'Дивиденды по годам'!J195&lt;&gt;"",'Дивиденды по годам'!K195&lt;&gt;"",('Дивиденды по годам'!I195-'Дивиденды по годам'!J195-'Дивиденды по годам'!K195)&lt;&gt;0),'Дивиденды по годам'!L195/('Дивиденды по годам'!I195-'Дивиденды по годам'!J195-'Дивиденды по годам'!K195),""),"")</f>
        <v>0.89330457359124116</v>
      </c>
      <c r="T195">
        <f>IFERROR(IF(AND('Дивиденды по годам'!Q195&lt;&gt;"",'Дивиденды по годам'!I195&lt;&gt;"",'Дивиденды по годам'!V195&lt;&gt;"",('Дивиденды по годам'!I195+'Дивиденды по годам'!V195)&lt;&gt;0),'Дивиденды по годам'!Q195/(('Дивиденды по годам'!I195+'Дивиденды по годам'!V195)/2),""),"")</f>
        <v>9.2401499680061533E-2</v>
      </c>
      <c r="U195">
        <f>IFERROR(IF(AND('Дивиденды по годам'!J195&lt;&gt;"",'Дивиденды по годам'!K195&lt;&gt;"",'Дивиденды по годам'!M195&lt;&gt;"",'Дивиденды по годам'!M195&lt;&gt;0),('Дивиденды по годам'!J195+'Дивиденды по годам'!K195)/'Дивиденды по годам'!M195,""),"")</f>
        <v>0.88165217030620346</v>
      </c>
      <c r="V195" cm="1">
        <f t="array" ref="V195">IFERROR(AVERAGE(_xlfn._xlws.FILTER(P$2:P$1073,($C$2:$C$1073=$C195)*($E$2:$E$1073=$E195)*(ROW(P$2:P$1073)&lt;&gt;ROW(P195))*(P$2:P$1073&lt;&gt;""))),"")</f>
        <v>26.594218440205175</v>
      </c>
      <c r="W195" cm="1">
        <f t="array" ref="W195">IFERROR(AVERAGE(_xlfn._xlws.FILTER(Q$2:Q$1073,($C$2:$C$1073=$C195)*($E$2:$E$1073=$E195)*(ROW(Q$2:Q$1073)&lt;&gt;ROW(Q195))*(Q$2:Q$1073&lt;&gt;""))),"")</f>
        <v>0.69186478065314239</v>
      </c>
      <c r="X195" cm="1">
        <f t="array" ref="X195">IFERROR(AVERAGE(_xlfn._xlws.FILTER(R$2:R$1073,($C$2:$C$1073=$C195)*($E$2:$E$1073=$E195)*(ROW(R$2:R$1073)&lt;&gt;ROW(R195))*(R$2:R$1073&lt;&gt;""))),"")</f>
        <v>0.10066455709544868</v>
      </c>
      <c r="Y195" cm="1">
        <f t="array" ref="Y195">IFERROR(AVERAGE(_xlfn._xlws.FILTER(S$2:S$1073,($C$2:$C$1073=$C195)*($E$2:$E$1073=$E195)*(ROW(S$2:S$1073)&lt;&gt;ROW(S195))*(S$2:S$1073&lt;&gt;""))),"")</f>
        <v>0.5263240341696952</v>
      </c>
      <c r="Z195" cm="1">
        <f t="array" ref="Z195">IFERROR(AVERAGE(_xlfn._xlws.FILTER(T$2:T$1073,($C$2:$C$1073=$C195)*($E$2:$E$1073=$E195)*(ROW(T$2:T$1073)&lt;&gt;ROW(T195))*(T$2:T$1073&lt;&gt;""))),"")</f>
        <v>5.3421401268585217E-2</v>
      </c>
      <c r="AA195" cm="1">
        <f t="array" ref="AA195">IFERROR(AVERAGE(_xlfn._xlws.FILTER(U$2:U$1073,($C$2:$C$1073=$C195)*($E$2:$E$1073=$E195)*(ROW(U$2:U$1073)&lt;&gt;ROW(U195))*(U$2:U$1073&lt;&gt;""))),"")</f>
        <v>0.93759605304861204</v>
      </c>
    </row>
    <row r="196" spans="1:27" x14ac:dyDescent="0.2">
      <c r="A196" s="7" t="s">
        <v>2202</v>
      </c>
      <c r="B196" t="str">
        <f t="shared" si="35"/>
        <v>MRKP IV кв. 2023</v>
      </c>
      <c r="C196">
        <v>2023</v>
      </c>
      <c r="D196">
        <f>SUMIFS(Дивиденды!$C:$C,Дивиденды!$A:$A,A196,Дивиденды!$I:$I,C196)</f>
        <v>3.8800000000000001E-2</v>
      </c>
      <c r="E196">
        <v>2</v>
      </c>
      <c r="F196">
        <f t="shared" si="36"/>
        <v>3.8800000000000001E-2</v>
      </c>
      <c r="G196">
        <f t="shared" si="37"/>
        <v>6.3066666666666674E-2</v>
      </c>
      <c r="H196">
        <f t="shared" si="38"/>
        <v>1</v>
      </c>
      <c r="I196">
        <f t="shared" si="34"/>
        <v>0.5</v>
      </c>
      <c r="J196">
        <f t="shared" si="39"/>
        <v>0.20347394540942915</v>
      </c>
      <c r="K196">
        <f t="shared" ref="K196:K259" si="43">IFERROR(AVERAGEIFS($J:$J,$E:$E,E196,$C:$C,C196,$A:$A,"&lt;&gt;"&amp;A196),"")</f>
        <v>0.1000770805182019</v>
      </c>
      <c r="L196">
        <f t="shared" si="40"/>
        <v>1</v>
      </c>
      <c r="M196">
        <f t="shared" si="33"/>
        <v>0.41666666666666669</v>
      </c>
      <c r="N196">
        <f t="shared" si="41"/>
        <v>0</v>
      </c>
      <c r="O196">
        <f t="shared" si="42"/>
        <v>0.25</v>
      </c>
      <c r="P196">
        <f>IFERROR(LN('Дивиденды по годам'!I196),"")</f>
        <v>25.848146503206717</v>
      </c>
      <c r="Q196">
        <f>IFERROR('Дивиденды по годам'!G196/'Дивиденды по годам'!I196, "")</f>
        <v>0.67228499619937843</v>
      </c>
      <c r="R196">
        <f>IFERROR(IF(AND('Дивиденды по годам'!N196&lt;&gt;"",'Дивиденды по годам'!U196&lt;&gt;"",'Дивиденды по годам'!U196&lt;&gt;0),'Дивиденды по годам'!N196/'Дивиденды по годам'!U196-1,""),"")</f>
        <v>0.15803439973516942</v>
      </c>
      <c r="S196">
        <f>IFERROR(IF(AND('Дивиденды по годам'!L196&lt;&gt;"",'Дивиденды по годам'!I196&lt;&gt;"",'Дивиденды по годам'!J196&lt;&gt;"",'Дивиденды по годам'!K196&lt;&gt;"",('Дивиденды по годам'!I196-'Дивиденды по годам'!J196-'Дивиденды по годам'!K196)&lt;&gt;0),'Дивиденды по годам'!L196/('Дивиденды по годам'!I196-'Дивиденды по годам'!J196-'Дивиденды по годам'!K196),""),"")</f>
        <v>0.88099680377920475</v>
      </c>
      <c r="T196">
        <f>IFERROR(IF(AND('Дивиденды по годам'!Q196&lt;&gt;"",'Дивиденды по годам'!I196&lt;&gt;"",'Дивиденды по годам'!V196&lt;&gt;"",('Дивиденды по годам'!I196+'Дивиденды по годам'!V196)&lt;&gt;0),'Дивиденды по годам'!Q196/(('Дивиденды по годам'!I196+'Дивиденды по годам'!V196)/2),""),"")</f>
        <v>8.7663181541146981E-2</v>
      </c>
      <c r="U196">
        <f>IFERROR(IF(AND('Дивиденды по годам'!J196&lt;&gt;"",'Дивиденды по годам'!K196&lt;&gt;"",'Дивиденды по годам'!M196&lt;&gt;"",'Дивиденды по годам'!M196&lt;&gt;0),('Дивиденды по годам'!J196+'Дивиденды по годам'!K196)/'Дивиденды по годам'!M196,""),"")</f>
        <v>0.92519118436987335</v>
      </c>
      <c r="V196" cm="1">
        <f t="array" ref="V196">IFERROR(AVERAGE(_xlfn._xlws.FILTER(P$2:P$1073,($C$2:$C$1073=$C196)*($E$2:$E$1073=$E196)*(ROW(P$2:P$1073)&lt;&gt;ROW(P196))*(P$2:P$1073&lt;&gt;""))),"")</f>
        <v>26.475589008439936</v>
      </c>
      <c r="W196" cm="1">
        <f t="array" ref="W196">IFERROR(AVERAGE(_xlfn._xlws.FILTER(Q$2:Q$1073,($C$2:$C$1073=$C196)*($E$2:$E$1073=$E196)*(ROW(Q$2:Q$1073)&lt;&gt;ROW(Q196))*(Q$2:Q$1073&lt;&gt;""))),"")</f>
        <v>0.71303056381134278</v>
      </c>
      <c r="X196" cm="1">
        <f t="array" ref="X196">IFERROR(AVERAGE(_xlfn._xlws.FILTER(R$2:R$1073,($C$2:$C$1073=$C196)*($E$2:$E$1073=$E196)*(ROW(R$2:R$1073)&lt;&gt;ROW(R196))*(R$2:R$1073&lt;&gt;""))),"")</f>
        <v>0.1377973578032316</v>
      </c>
      <c r="Y196" cm="1">
        <f t="array" ref="Y196">IFERROR(AVERAGE(_xlfn._xlws.FILTER(S$2:S$1073,($C$2:$C$1073=$C196)*($E$2:$E$1073=$E196)*(ROW(S$2:S$1073)&lt;&gt;ROW(S196))*(S$2:S$1073&lt;&gt;""))),"")</f>
        <v>0.50275896913821994</v>
      </c>
      <c r="Z196" cm="1">
        <f t="array" ref="Z196">IFERROR(AVERAGE(_xlfn._xlws.FILTER(T$2:T$1073,($C$2:$C$1073=$C196)*($E$2:$E$1073=$E196)*(ROW(T$2:T$1073)&lt;&gt;ROW(T196))*(T$2:T$1073&lt;&gt;""))),"")</f>
        <v>7.4511119738053813E-2</v>
      </c>
      <c r="AA196" cm="1">
        <f t="array" ref="AA196">IFERROR(AVERAGE(_xlfn._xlws.FILTER(U$2:U$1073,($C$2:$C$1073=$C196)*($E$2:$E$1073=$E196)*(ROW(U$2:U$1073)&lt;&gt;ROW(U196))*(U$2:U$1073&lt;&gt;""))),"")</f>
        <v>0.81266018068266688</v>
      </c>
    </row>
    <row r="197" spans="1:27" x14ac:dyDescent="0.2">
      <c r="A197" s="7" t="s">
        <v>2202</v>
      </c>
      <c r="B197" t="str">
        <f t="shared" si="35"/>
        <v>MRKP IV кв. 2022</v>
      </c>
      <c r="C197">
        <v>2022</v>
      </c>
      <c r="D197">
        <f>SUMIFS(Дивиденды!$C:$C,Дивиденды!$A:$A,A197,Дивиденды!$I:$I,C197)</f>
        <v>3.2240000000000005E-2</v>
      </c>
      <c r="E197">
        <v>2</v>
      </c>
      <c r="F197">
        <f t="shared" si="36"/>
        <v>3.2240000000000005E-2</v>
      </c>
      <c r="G197">
        <f t="shared" si="37"/>
        <v>6.204500000000001E-2</v>
      </c>
      <c r="H197">
        <f t="shared" si="38"/>
        <v>1</v>
      </c>
      <c r="I197">
        <f t="shared" si="34"/>
        <v>0.58333333333333337</v>
      </c>
      <c r="J197">
        <f t="shared" si="39"/>
        <v>0.15971223021582759</v>
      </c>
      <c r="K197">
        <f t="shared" si="43"/>
        <v>-0.17495121411172601</v>
      </c>
      <c r="L197">
        <f t="shared" si="40"/>
        <v>1</v>
      </c>
      <c r="M197">
        <f t="shared" si="33"/>
        <v>0.25</v>
      </c>
      <c r="N197">
        <f t="shared" si="41"/>
        <v>0</v>
      </c>
      <c r="O197">
        <f t="shared" si="42"/>
        <v>0.5</v>
      </c>
      <c r="P197">
        <f>IFERROR(LN('Дивиденды по годам'!I197),"")</f>
        <v>25.745607687804817</v>
      </c>
      <c r="Q197">
        <f>IFERROR('Дивиденды по годам'!G197/'Дивиденды по годам'!I197, "")</f>
        <v>0.65357561390670238</v>
      </c>
      <c r="R197">
        <f>IFERROR(IF(AND('Дивиденды по годам'!N197&lt;&gt;"",'Дивиденды по годам'!U197&lt;&gt;"",'Дивиденды по годам'!U197&lt;&gt;0),'Дивиденды по годам'!N197/'Дивиденды по годам'!U197-1,""),"")</f>
        <v>6.8651661307207901E-2</v>
      </c>
      <c r="S197">
        <f>IFERROR(IF(AND('Дивиденды по годам'!L197&lt;&gt;"",'Дивиденды по годам'!I197&lt;&gt;"",'Дивиденды по годам'!J197&lt;&gt;"",'Дивиденды по годам'!K197&lt;&gt;"",('Дивиденды по годам'!I197-'Дивиденды по годам'!J197-'Дивиденды по годам'!K197)&lt;&gt;0),'Дивиденды по годам'!L197/('Дивиденды по годам'!I197-'Дивиденды по годам'!J197-'Дивиденды по годам'!K197),""),"")</f>
        <v>0.86128677404933318</v>
      </c>
      <c r="T197">
        <f>IFERROR(IF(AND('Дивиденды по годам'!Q197&lt;&gt;"",'Дивиденды по годам'!I197&lt;&gt;"",'Дивиденды по годам'!V197&lt;&gt;"",('Дивиденды по годам'!I197+'Дивиденды по годам'!V197)&lt;&gt;0),'Дивиденды по годам'!Q197/(('Дивиденды по годам'!I197+'Дивиденды по годам'!V197)/2),""),"")</f>
        <v>7.8264352031369097E-2</v>
      </c>
      <c r="U197">
        <f>IFERROR(IF(AND('Дивиденды по годам'!J197&lt;&gt;"",'Дивиденды по годам'!K197&lt;&gt;"",'Дивиденды по годам'!M197&lt;&gt;"",'Дивиденды по годам'!M197&lt;&gt;0),('Дивиденды по годам'!J197+'Дивиденды по годам'!K197)/'Дивиденды по годам'!M197,""),"")</f>
        <v>1.0701036252807536</v>
      </c>
      <c r="V197" cm="1">
        <f t="array" ref="V197">IFERROR(AVERAGE(_xlfn._xlws.FILTER(P$2:P$1073,($C$2:$C$1073=$C197)*($E$2:$E$1073=$E197)*(ROW(P$2:P$1073)&lt;&gt;ROW(P197))*(P$2:P$1073&lt;&gt;""))),"")</f>
        <v>26.37435735969872</v>
      </c>
      <c r="W197" cm="1">
        <f t="array" ref="W197">IFERROR(AVERAGE(_xlfn._xlws.FILTER(Q$2:Q$1073,($C$2:$C$1073=$C197)*($E$2:$E$1073=$E197)*(ROW(Q$2:Q$1073)&lt;&gt;ROW(Q197))*(Q$2:Q$1073&lt;&gt;""))),"")</f>
        <v>0.71418948311257324</v>
      </c>
      <c r="X197" cm="1">
        <f t="array" ref="X197">IFERROR(AVERAGE(_xlfn._xlws.FILTER(R$2:R$1073,($C$2:$C$1073=$C197)*($E$2:$E$1073=$E197)*(ROW(R$2:R$1073)&lt;&gt;ROW(R197))*(R$2:R$1073&lt;&gt;""))),"")</f>
        <v>7.3554727769775549E-2</v>
      </c>
      <c r="Y197" cm="1">
        <f t="array" ref="Y197">IFERROR(AVERAGE(_xlfn._xlws.FILTER(S$2:S$1073,($C$2:$C$1073=$C197)*($E$2:$E$1073=$E197)*(ROW(S$2:S$1073)&lt;&gt;ROW(S197))*(S$2:S$1073&lt;&gt;""))),"")</f>
        <v>0.47647764415477056</v>
      </c>
      <c r="Z197" cm="1">
        <f t="array" ref="Z197">IFERROR(AVERAGE(_xlfn._xlws.FILTER(T$2:T$1073,($C$2:$C$1073=$C197)*($E$2:$E$1073=$E197)*(ROW(T$2:T$1073)&lt;&gt;ROW(T197))*(T$2:T$1073&lt;&gt;""))),"")</f>
        <v>3.2531877421137978E-3</v>
      </c>
      <c r="AA197" cm="1">
        <f t="array" ref="AA197">IFERROR(AVERAGE(_xlfn._xlws.FILTER(U$2:U$1073,($C$2:$C$1073=$C197)*($E$2:$E$1073=$E197)*(ROW(U$2:U$1073)&lt;&gt;ROW(U197))*(U$2:U$1073&lt;&gt;""))),"")</f>
        <v>0.89135484924620378</v>
      </c>
    </row>
    <row r="198" spans="1:27" x14ac:dyDescent="0.2">
      <c r="A198" s="7" t="s">
        <v>2202</v>
      </c>
      <c r="B198" t="str">
        <f t="shared" si="35"/>
        <v>MRKP IV кв. 2021</v>
      </c>
      <c r="C198">
        <v>2021</v>
      </c>
      <c r="D198">
        <f>SUMIFS(Дивиденды!$C:$C,Дивиденды!$A:$A,A198,Дивиденды!$I:$I,C198)</f>
        <v>2.7799999999999998E-2</v>
      </c>
      <c r="E198">
        <v>2</v>
      </c>
      <c r="F198">
        <f t="shared" si="36"/>
        <v>2.7799999999999998E-2</v>
      </c>
      <c r="G198">
        <f t="shared" si="37"/>
        <v>7.9468583333333329E-2</v>
      </c>
      <c r="H198">
        <f t="shared" si="38"/>
        <v>1</v>
      </c>
      <c r="I198">
        <f t="shared" si="34"/>
        <v>0.75</v>
      </c>
      <c r="J198">
        <f t="shared" si="39"/>
        <v>7.3359073359073323E-2</v>
      </c>
      <c r="K198">
        <f t="shared" si="43"/>
        <v>0.15776292781079954</v>
      </c>
      <c r="L198">
        <f t="shared" si="40"/>
        <v>1</v>
      </c>
      <c r="M198">
        <f t="shared" si="33"/>
        <v>0.58333333333333337</v>
      </c>
      <c r="N198">
        <f t="shared" si="41"/>
        <v>0</v>
      </c>
      <c r="O198">
        <f t="shared" si="42"/>
        <v>0.25</v>
      </c>
      <c r="P198">
        <f>IFERROR(LN('Дивиденды по годам'!I198),"")</f>
        <v>25.594504602562385</v>
      </c>
      <c r="Q198">
        <f>IFERROR('Дивиденды по годам'!G198/'Дивиденды по годам'!I198, "")</f>
        <v>0.70365445456750841</v>
      </c>
      <c r="R198">
        <f>IFERROR(IF(AND('Дивиденды по годам'!N198&lt;&gt;"",'Дивиденды по годам'!U198&lt;&gt;"",'Дивиденды по годам'!U198&lt;&gt;0),'Дивиденды по годам'!N198/'Дивиденды по годам'!U198-1,""),"")</f>
        <v>0.10282130677644608</v>
      </c>
      <c r="S198">
        <f>IFERROR(IF(AND('Дивиденды по годам'!L198&lt;&gt;"",'Дивиденды по годам'!I198&lt;&gt;"",'Дивиденды по годам'!J198&lt;&gt;"",'Дивиденды по годам'!K198&lt;&gt;"",('Дивиденды по годам'!I198-'Дивиденды по годам'!J198-'Дивиденды по годам'!K198)&lt;&gt;0),'Дивиденды по годам'!L198/('Дивиденды по годам'!I198-'Дивиденды по годам'!J198-'Дивиденды по годам'!K198),""),"")</f>
        <v>0.85283058204903017</v>
      </c>
      <c r="T198">
        <f>IFERROR(IF(AND('Дивиденды по годам'!Q198&lt;&gt;"",'Дивиденды по годам'!I198&lt;&gt;"",'Дивиденды по годам'!V198&lt;&gt;"",('Дивиденды по годам'!I198+'Дивиденды по годам'!V198)&lt;&gt;0),'Дивиденды по годам'!Q198/(('Дивиденды по годам'!I198+'Дивиденды по годам'!V198)/2),""),"")</f>
        <v>8.0028720713153853E-2</v>
      </c>
      <c r="U198">
        <f>IFERROR(IF(AND('Дивиденды по годам'!J198&lt;&gt;"",'Дивиденды по годам'!K198&lt;&gt;"",'Дивиденды по годам'!M198&lt;&gt;"",'Дивиденды по годам'!M198&lt;&gt;0),('Дивиденды по годам'!J198+'Дивиденды по годам'!K198)/'Дивиденды по годам'!M198,""),"")</f>
        <v>0.90182907390711597</v>
      </c>
      <c r="V198" cm="1">
        <f t="array" ref="V198">IFERROR(AVERAGE(_xlfn._xlws.FILTER(P$2:P$1073,($C$2:$C$1073=$C198)*($E$2:$E$1073=$E198)*(ROW(P$2:P$1073)&lt;&gt;ROW(P198))*(P$2:P$1073&lt;&gt;""))),"")</f>
        <v>25.959936818703863</v>
      </c>
      <c r="W198" cm="1">
        <f t="array" ref="W198">IFERROR(AVERAGE(_xlfn._xlws.FILTER(Q$2:Q$1073,($C$2:$C$1073=$C198)*($E$2:$E$1073=$E198)*(ROW(Q$2:Q$1073)&lt;&gt;ROW(Q198))*(Q$2:Q$1073&lt;&gt;""))),"")</f>
        <v>0.77659445335059241</v>
      </c>
      <c r="X198" cm="1">
        <f t="array" ref="X198">IFERROR(AVERAGE(_xlfn._xlws.FILTER(R$2:R$1073,($C$2:$C$1073=$C198)*($E$2:$E$1073=$E198)*(ROW(R$2:R$1073)&lt;&gt;ROW(R198))*(R$2:R$1073&lt;&gt;""))),"")</f>
        <v>0.12912103981984643</v>
      </c>
      <c r="Y198" cm="1">
        <f t="array" ref="Y198">IFERROR(AVERAGE(_xlfn._xlws.FILTER(S$2:S$1073,($C$2:$C$1073=$C198)*($E$2:$E$1073=$E198)*(ROW(S$2:S$1073)&lt;&gt;ROW(S198))*(S$2:S$1073&lt;&gt;""))),"")</f>
        <v>0.46602473693629715</v>
      </c>
      <c r="Z198" cm="1">
        <f t="array" ref="Z198">IFERROR(AVERAGE(_xlfn._xlws.FILTER(T$2:T$1073,($C$2:$C$1073=$C198)*($E$2:$E$1073=$E198)*(ROW(T$2:T$1073)&lt;&gt;ROW(T198))*(T$2:T$1073&lt;&gt;""))),"")</f>
        <v>3.2075262868336243E-2</v>
      </c>
      <c r="AA198" cm="1">
        <f t="array" ref="AA198">IFERROR(AVERAGE(_xlfn._xlws.FILTER(U$2:U$1073,($C$2:$C$1073=$C198)*($E$2:$E$1073=$E198)*(ROW(U$2:U$1073)&lt;&gt;ROW(U198))*(U$2:U$1073&lt;&gt;""))),"")</f>
        <v>0.69611192513012932</v>
      </c>
    </row>
    <row r="199" spans="1:27" x14ac:dyDescent="0.2">
      <c r="A199" s="7" t="s">
        <v>2202</v>
      </c>
      <c r="B199" t="str">
        <f t="shared" si="35"/>
        <v>MRKP IV кв. 2020</v>
      </c>
      <c r="C199">
        <v>2020</v>
      </c>
      <c r="D199">
        <f>SUMIFS(Дивиденды!$C:$C,Дивиденды!$A:$A,A199,Дивиденды!$I:$I,C199)</f>
        <v>2.5899999999999999E-2</v>
      </c>
      <c r="E199">
        <v>2</v>
      </c>
      <c r="F199">
        <f t="shared" si="36"/>
        <v>2.5899999999999999E-2</v>
      </c>
      <c r="G199">
        <f t="shared" si="37"/>
        <v>6.7747583333333319E-2</v>
      </c>
      <c r="H199">
        <f t="shared" si="38"/>
        <v>1</v>
      </c>
      <c r="I199">
        <f t="shared" si="34"/>
        <v>0.75</v>
      </c>
      <c r="J199">
        <f t="shared" si="39"/>
        <v>0.58895705521472408</v>
      </c>
      <c r="K199">
        <f t="shared" si="43"/>
        <v>-0.13470378630393956</v>
      </c>
      <c r="L199">
        <f t="shared" si="40"/>
        <v>1</v>
      </c>
      <c r="M199">
        <f t="shared" si="33"/>
        <v>0.5</v>
      </c>
      <c r="N199">
        <f t="shared" si="41"/>
        <v>0</v>
      </c>
      <c r="O199">
        <f t="shared" si="42"/>
        <v>0.5</v>
      </c>
      <c r="P199">
        <f>IFERROR(LN('Дивиденды по годам'!I199),"")</f>
        <v>25.495945114835404</v>
      </c>
      <c r="Q199">
        <f>IFERROR('Дивиденды по годам'!G199/'Дивиденды по годам'!I199, "")</f>
        <v>0.69574631682010102</v>
      </c>
      <c r="R199">
        <f>IFERROR(IF(AND('Дивиденды по годам'!N199&lt;&gt;"",'Дивиденды по годам'!U199&lt;&gt;"",'Дивиденды по годам'!U199&lt;&gt;0),'Дивиденды по годам'!N199/'Дивиденды по годам'!U199-1,""),"")</f>
        <v>2.1321497341035833E-3</v>
      </c>
      <c r="S199">
        <f>IFERROR(IF(AND('Дивиденды по годам'!L199&lt;&gt;"",'Дивиденды по годам'!I199&lt;&gt;"",'Дивиденды по годам'!J199&lt;&gt;"",'Дивиденды по годам'!K199&lt;&gt;"",('Дивиденды по годам'!I199-'Дивиденды по годам'!J199-'Дивиденды по годам'!K199)&lt;&gt;0),'Дивиденды по годам'!L199/('Дивиденды по годам'!I199-'Дивиденды по годам'!J199-'Дивиденды по годам'!K199),""),"")</f>
        <v>0.83807219476964523</v>
      </c>
      <c r="T199">
        <f>IFERROR(IF(AND('Дивиденды по годам'!Q199&lt;&gt;"",'Дивиденды по годам'!I199&lt;&gt;"",'Дивиденды по годам'!V199&lt;&gt;"",('Дивиденды по годам'!I199+'Дивиденды по годам'!V199)&lt;&gt;0),'Дивиденды по годам'!Q199/(('Дивиденды по годам'!I199+'Дивиденды по годам'!V199)/2),""),"")</f>
        <v>5.6484513543777669E-2</v>
      </c>
      <c r="U199">
        <f>IFERROR(IF(AND('Дивиденды по годам'!J199&lt;&gt;"",'Дивиденды по годам'!K199&lt;&gt;"",'Дивиденды по годам'!M199&lt;&gt;"",'Дивиденды по годам'!M199&lt;&gt;0),('Дивиденды по годам'!J199+'Дивиденды по годам'!K199)/'Дивиденды по годам'!M199,""),"")</f>
        <v>0.9260414294795184</v>
      </c>
      <c r="V199" cm="1">
        <f t="array" ref="V199">IFERROR(AVERAGE(_xlfn._xlws.FILTER(P$2:P$1073,($C$2:$C$1073=$C199)*($E$2:$E$1073=$E199)*(ROW(P$2:P$1073)&lt;&gt;ROW(P199))*(P$2:P$1073&lt;&gt;""))),"")</f>
        <v>26.229556685430683</v>
      </c>
      <c r="W199" cm="1">
        <f t="array" ref="W199">IFERROR(AVERAGE(_xlfn._xlws.FILTER(Q$2:Q$1073,($C$2:$C$1073=$C199)*($E$2:$E$1073=$E199)*(ROW(Q$2:Q$1073)&lt;&gt;ROW(Q199))*(Q$2:Q$1073&lt;&gt;""))),"")</f>
        <v>0.74907102920108803</v>
      </c>
      <c r="X199" cm="1">
        <f t="array" ref="X199">IFERROR(AVERAGE(_xlfn._xlws.FILTER(R$2:R$1073,($C$2:$C$1073=$C199)*($E$2:$E$1073=$E199)*(ROW(R$2:R$1073)&lt;&gt;ROW(R199))*(R$2:R$1073&lt;&gt;""))),"")</f>
        <v>-6.9719625843616281E-2</v>
      </c>
      <c r="Y199" cm="1">
        <f t="array" ref="Y199">IFERROR(AVERAGE(_xlfn._xlws.FILTER(S$2:S$1073,($C$2:$C$1073=$C199)*($E$2:$E$1073=$E199)*(ROW(S$2:S$1073)&lt;&gt;ROW(S199))*(S$2:S$1073&lt;&gt;""))),"")</f>
        <v>0.45500344077319949</v>
      </c>
      <c r="Z199" cm="1">
        <f t="array" ref="Z199">IFERROR(AVERAGE(_xlfn._xlws.FILTER(T$2:T$1073,($C$2:$C$1073=$C199)*($E$2:$E$1073=$E199)*(ROW(T$2:T$1073)&lt;&gt;ROW(T199))*(T$2:T$1073&lt;&gt;""))),"")</f>
        <v>4.1499230892191756E-2</v>
      </c>
      <c r="AA199" cm="1">
        <f t="array" ref="AA199">IFERROR(AVERAGE(_xlfn._xlws.FILTER(U$2:U$1073,($C$2:$C$1073=$C199)*($E$2:$E$1073=$E199)*(ROW(U$2:U$1073)&lt;&gt;ROW(U199))*(U$2:U$1073&lt;&gt;""))),"")</f>
        <v>0.63736040147884532</v>
      </c>
    </row>
    <row r="200" spans="1:27" x14ac:dyDescent="0.2">
      <c r="A200" s="7" t="s">
        <v>2202</v>
      </c>
      <c r="B200" t="str">
        <f t="shared" si="35"/>
        <v>MRKP IV кв. 2019</v>
      </c>
      <c r="C200">
        <v>2019</v>
      </c>
      <c r="D200">
        <f>SUMIFS(Дивиденды!$C:$C,Дивиденды!$A:$A,A200,Дивиденды!$I:$I,C200)</f>
        <v>1.6299999999999999E-2</v>
      </c>
      <c r="E200">
        <v>2</v>
      </c>
      <c r="F200">
        <f t="shared" si="36"/>
        <v>1.6299999999999999E-2</v>
      </c>
      <c r="G200">
        <f t="shared" si="37"/>
        <v>6.9950333333333323E-2</v>
      </c>
      <c r="H200">
        <f t="shared" si="38"/>
        <v>1</v>
      </c>
      <c r="I200">
        <f t="shared" si="34"/>
        <v>1</v>
      </c>
      <c r="J200">
        <f t="shared" si="39"/>
        <v>-0.59950859950859958</v>
      </c>
      <c r="K200">
        <f t="shared" si="43"/>
        <v>0.22205180762897095</v>
      </c>
      <c r="L200">
        <f t="shared" si="40"/>
        <v>0</v>
      </c>
      <c r="M200">
        <f t="shared" si="33"/>
        <v>0.5</v>
      </c>
      <c r="N200">
        <f t="shared" si="41"/>
        <v>1</v>
      </c>
      <c r="O200">
        <f t="shared" si="42"/>
        <v>0.41666666666666669</v>
      </c>
      <c r="P200">
        <f>IFERROR(LN('Дивиденды по годам'!I200),"")</f>
        <v>25.418338809102217</v>
      </c>
      <c r="Q200">
        <f>IFERROR('Дивиденды по годам'!G200/'Дивиденды по годам'!I200, "")</f>
        <v>0.70633359764355397</v>
      </c>
      <c r="R200">
        <f>IFERROR(IF(AND('Дивиденды по годам'!N200&lt;&gt;"",'Дивиденды по годам'!U200&lt;&gt;"",'Дивиденды по годам'!U200&lt;&gt;0),'Дивиденды по годам'!N200/'Дивиденды по годам'!U200-1,""),"")</f>
        <v>2.4637844957543287E-2</v>
      </c>
      <c r="S200">
        <f>IFERROR(IF(AND('Дивиденды по годам'!L200&lt;&gt;"",'Дивиденды по годам'!I200&lt;&gt;"",'Дивиденды по годам'!J200&lt;&gt;"",'Дивиденды по годам'!K200&lt;&gt;"",('Дивиденды по годам'!I200-'Дивиденды по годам'!J200-'Дивиденды по годам'!K200)&lt;&gt;0),'Дивиденды по годам'!L200/('Дивиденды по годам'!I200-'Дивиденды по годам'!J200-'Дивиденды по годам'!K200),""),"")</f>
        <v>0.81905941641410074</v>
      </c>
      <c r="T200">
        <f>IFERROR(IF(AND('Дивиденды по годам'!Q200&lt;&gt;"",'Дивиденды по годам'!I200&lt;&gt;"",'Дивиденды по годам'!V200&lt;&gt;"",('Дивиденды по годам'!I200+'Дивиденды по годам'!V200)&lt;&gt;0),'Дивиденды по годам'!Q200/(('Дивиденды по годам'!I200+'Дивиденды по годам'!V200)/2),""),"")</f>
        <v>6.2768263010591449E-2</v>
      </c>
      <c r="U200">
        <f>IFERROR(IF(AND('Дивиденды по годам'!J200&lt;&gt;"",'Дивиденды по годам'!K200&lt;&gt;"",'Дивиденды по годам'!M200&lt;&gt;"",'Дивиденды по годам'!M200&lt;&gt;0),('Дивиденды по годам'!J200+'Дивиденды по годам'!K200)/'Дивиденды по годам'!M200,""),"")</f>
        <v>0.99110794365441535</v>
      </c>
      <c r="V200" cm="1">
        <f t="array" ref="V200">IFERROR(AVERAGE(_xlfn._xlws.FILTER(P$2:P$1073,($C$2:$C$1073=$C200)*($E$2:$E$1073=$E200)*(ROW(P$2:P$1073)&lt;&gt;ROW(P200))*(P$2:P$1073&lt;&gt;""))),"")</f>
        <v>26.192963070958587</v>
      </c>
      <c r="W200" cm="1">
        <f t="array" ref="W200">IFERROR(AVERAGE(_xlfn._xlws.FILTER(Q$2:Q$1073,($C$2:$C$1073=$C200)*($E$2:$E$1073=$E200)*(ROW(Q$2:Q$1073)&lt;&gt;ROW(Q200))*(Q$2:Q$1073&lt;&gt;""))),"")</f>
        <v>0.73955021280763333</v>
      </c>
      <c r="X200" cm="1">
        <f t="array" ref="X200">IFERROR(AVERAGE(_xlfn._xlws.FILTER(R$2:R$1073,($C$2:$C$1073=$C200)*($E$2:$E$1073=$E200)*(ROW(R$2:R$1073)&lt;&gt;ROW(R200))*(R$2:R$1073&lt;&gt;""))),"")</f>
        <v>1.718256647905388E-3</v>
      </c>
      <c r="Y200" cm="1">
        <f t="array" ref="Y200">IFERROR(AVERAGE(_xlfn._xlws.FILTER(S$2:S$1073,($C$2:$C$1073=$C200)*($E$2:$E$1073=$E200)*(ROW(S$2:S$1073)&lt;&gt;ROW(S200))*(S$2:S$1073&lt;&gt;""))),"")</f>
        <v>0.44527160302916763</v>
      </c>
      <c r="Z200" cm="1">
        <f t="array" ref="Z200">IFERROR(AVERAGE(_xlfn._xlws.FILTER(T$2:T$1073,($C$2:$C$1073=$C200)*($E$2:$E$1073=$E200)*(ROW(T$2:T$1073)&lt;&gt;ROW(T200))*(T$2:T$1073&lt;&gt;""))),"")</f>
        <v>5.1065795756910316E-2</v>
      </c>
      <c r="AA200" cm="1">
        <f t="array" ref="AA200">IFERROR(AVERAGE(_xlfn._xlws.FILTER(U$2:U$1073,($C$2:$C$1073=$C200)*($E$2:$E$1073=$E200)*(ROW(U$2:U$1073)&lt;&gt;ROW(U200))*(U$2:U$1073&lt;&gt;""))),"")</f>
        <v>0.63826635480341609</v>
      </c>
    </row>
    <row r="201" spans="1:27" x14ac:dyDescent="0.2">
      <c r="A201" s="7" t="s">
        <v>2202</v>
      </c>
      <c r="B201" t="str">
        <f t="shared" si="35"/>
        <v>MRKP IV кв. 2018</v>
      </c>
      <c r="C201">
        <v>2018</v>
      </c>
      <c r="D201">
        <f>SUMIFS(Дивиденды!$C:$C,Дивиденды!$A:$A,A201,Дивиденды!$I:$I,C201)</f>
        <v>4.07E-2</v>
      </c>
      <c r="E201">
        <v>2</v>
      </c>
      <c r="F201">
        <f t="shared" si="36"/>
        <v>4.07E-2</v>
      </c>
      <c r="G201">
        <f t="shared" si="37"/>
        <v>7.7178750000000004E-2</v>
      </c>
      <c r="H201">
        <f t="shared" si="38"/>
        <v>1</v>
      </c>
      <c r="I201">
        <f t="shared" si="34"/>
        <v>1</v>
      </c>
      <c r="J201">
        <f t="shared" si="39"/>
        <v>1.2437810945273643E-2</v>
      </c>
      <c r="K201">
        <f t="shared" si="43"/>
        <v>0.19522187738547936</v>
      </c>
      <c r="L201">
        <f t="shared" si="40"/>
        <v>1</v>
      </c>
      <c r="M201">
        <f t="shared" si="33"/>
        <v>0.58333333333333337</v>
      </c>
      <c r="N201">
        <f t="shared" si="41"/>
        <v>0</v>
      </c>
      <c r="O201">
        <f t="shared" si="42"/>
        <v>0.25</v>
      </c>
      <c r="P201">
        <f>IFERROR(LN('Дивиденды по годам'!I201),"")</f>
        <v>25.364280948368883</v>
      </c>
      <c r="Q201">
        <f>IFERROR('Дивиденды по годам'!G201/'Дивиденды по годам'!I201, "")</f>
        <v>0.68788011636523894</v>
      </c>
      <c r="R201">
        <f>IFERROR(IF(AND('Дивиденды по годам'!N201&lt;&gt;"",'Дивиденды по годам'!U201&lt;&gt;"",'Дивиденды по годам'!U201&lt;&gt;0),'Дивиденды по годам'!N201/'Дивиденды по годам'!U201-1,""),"")</f>
        <v>3.5280831089422149E-2</v>
      </c>
      <c r="S201">
        <f>IFERROR(IF(AND('Дивиденды по годам'!L201&lt;&gt;"",'Дивиденды по годам'!I201&lt;&gt;"",'Дивиденды по годам'!J201&lt;&gt;"",'Дивиденды по годам'!K201&lt;&gt;"",('Дивиденды по годам'!I201-'Дивиденды по годам'!J201-'Дивиденды по годам'!K201)&lt;&gt;0),'Дивиденды по годам'!L201/('Дивиденды по годам'!I201-'Дивиденды по годам'!J201-'Дивиденды по годам'!K201),""),"")</f>
        <v>0.81823744107250507</v>
      </c>
      <c r="T201">
        <f>IFERROR(IF(AND('Дивиденды по годам'!Q201&lt;&gt;"",'Дивиденды по годам'!I201&lt;&gt;"",'Дивиденды по годам'!V201&lt;&gt;"",('Дивиденды по годам'!I201+'Дивиденды по годам'!V201)&lt;&gt;0),'Дивиденды по годам'!Q201/(('Дивиденды по годам'!I201+'Дивиденды по годам'!V201)/2),""),"")</f>
        <v>0.12111922120402713</v>
      </c>
      <c r="U201">
        <f>IFERROR(IF(AND('Дивиденды по годам'!J201&lt;&gt;"",'Дивиденды по годам'!K201&lt;&gt;"",'Дивиденды по годам'!M201&lt;&gt;"",'Дивиденды по годам'!M201&lt;&gt;0),('Дивиденды по годам'!J201+'Дивиденды по годам'!K201)/'Дивиденды по годам'!M201,""),"")</f>
        <v>0.89556847827907826</v>
      </c>
      <c r="V201" cm="1">
        <f t="array" ref="V201">IFERROR(AVERAGE(_xlfn._xlws.FILTER(P$2:P$1073,($C$2:$C$1073=$C201)*($E$2:$E$1073=$E201)*(ROW(P$2:P$1073)&lt;&gt;ROW(P201))*(P$2:P$1073&lt;&gt;""))),"")</f>
        <v>26.139901935491608</v>
      </c>
      <c r="W201" cm="1">
        <f t="array" ref="W201">IFERROR(AVERAGE(_xlfn._xlws.FILTER(Q$2:Q$1073,($C$2:$C$1073=$C201)*($E$2:$E$1073=$E201)*(ROW(Q$2:Q$1073)&lt;&gt;ROW(Q201))*(Q$2:Q$1073&lt;&gt;""))),"")</f>
        <v>0.75862581263788631</v>
      </c>
      <c r="X201" cm="1">
        <f t="array" ref="X201">IFERROR(AVERAGE(_xlfn._xlws.FILTER(R$2:R$1073,($C$2:$C$1073=$C201)*($E$2:$E$1073=$E201)*(ROW(R$2:R$1073)&lt;&gt;ROW(R201))*(R$2:R$1073&lt;&gt;""))),"")</f>
        <v>5.144307944599124E-2</v>
      </c>
      <c r="Y201" cm="1">
        <f t="array" ref="Y201">IFERROR(AVERAGE(_xlfn._xlws.FILTER(S$2:S$1073,($C$2:$C$1073=$C201)*($E$2:$E$1073=$E201)*(ROW(S$2:S$1073)&lt;&gt;ROW(S201))*(S$2:S$1073&lt;&gt;""))),"")</f>
        <v>0.43492409896053474</v>
      </c>
      <c r="Z201" cm="1">
        <f t="array" ref="Z201">IFERROR(AVERAGE(_xlfn._xlws.FILTER(T$2:T$1073,($C$2:$C$1073=$C201)*($E$2:$E$1073=$E201)*(ROW(T$2:T$1073)&lt;&gt;ROW(T201))*(T$2:T$1073&lt;&gt;""))),"")</f>
        <v>6.4019159416935853E-2</v>
      </c>
      <c r="AA201" cm="1">
        <f t="array" ref="AA201">IFERROR(AVERAGE(_xlfn._xlws.FILTER(U$2:U$1073,($C$2:$C$1073=$C201)*($E$2:$E$1073=$E201)*(ROW(U$2:U$1073)&lt;&gt;ROW(U201))*(U$2:U$1073&lt;&gt;""))),"")</f>
        <v>0.61000115359665963</v>
      </c>
    </row>
    <row r="202" spans="1:27" x14ac:dyDescent="0.2">
      <c r="A202" s="7" t="s">
        <v>2202</v>
      </c>
      <c r="B202" t="str">
        <f t="shared" si="35"/>
        <v>MRKP IV кв. 2017</v>
      </c>
      <c r="C202">
        <v>2017</v>
      </c>
      <c r="D202">
        <f>SUMIFS(Дивиденды!$C:$C,Дивиденды!$A:$A,A202,Дивиденды!$I:$I,C202)</f>
        <v>4.02E-2</v>
      </c>
      <c r="E202">
        <v>2</v>
      </c>
      <c r="F202">
        <f t="shared" si="36"/>
        <v>4.02E-2</v>
      </c>
      <c r="G202">
        <f t="shared" si="37"/>
        <v>6.8758833333333325E-2</v>
      </c>
      <c r="H202">
        <f t="shared" si="38"/>
        <v>1</v>
      </c>
      <c r="I202">
        <f t="shared" si="34"/>
        <v>1</v>
      </c>
      <c r="J202">
        <f t="shared" si="39"/>
        <v>2.4067796610169494</v>
      </c>
      <c r="K202">
        <f t="shared" si="43"/>
        <v>0.44118466585553778</v>
      </c>
      <c r="L202">
        <f t="shared" si="40"/>
        <v>1</v>
      </c>
      <c r="M202">
        <f t="shared" si="33"/>
        <v>0.75</v>
      </c>
      <c r="N202">
        <f t="shared" si="41"/>
        <v>0</v>
      </c>
      <c r="O202">
        <f t="shared" si="42"/>
        <v>0.25</v>
      </c>
      <c r="P202">
        <f>IFERROR(LN('Дивиденды по годам'!I202),"")</f>
        <v>25.221997215017367</v>
      </c>
      <c r="Q202">
        <f>IFERROR('Дивиденды по годам'!G202/'Дивиденды по годам'!I202, "")</f>
        <v>0.72057402618995858</v>
      </c>
      <c r="R202">
        <f>IFERROR(IF(AND('Дивиденды по годам'!N202&lt;&gt;"",'Дивиденды по годам'!U202&lt;&gt;"",'Дивиденды по годам'!U202&lt;&gt;0),'Дивиденды по годам'!N202/'Дивиденды по годам'!U202-1,""),"")</f>
        <v>0.16094835560220999</v>
      </c>
      <c r="S202">
        <f>IFERROR(IF(AND('Дивиденды по годам'!L202&lt;&gt;"",'Дивиденды по годам'!I202&lt;&gt;"",'Дивиденды по годам'!J202&lt;&gt;"",'Дивиденды по годам'!K202&lt;&gt;"",('Дивиденды по годам'!I202-'Дивиденды по годам'!J202-'Дивиденды по годам'!K202)&lt;&gt;0),'Дивиденды по годам'!L202/('Дивиденды по годам'!I202-'Дивиденды по годам'!J202-'Дивиденды по годам'!K202),""),"")</f>
        <v>0.79683640610626849</v>
      </c>
      <c r="T202">
        <f>IFERROR(IF(AND('Дивиденды по годам'!Q202&lt;&gt;"",'Дивиденды по годам'!I202&lt;&gt;"",'Дивиденды по годам'!V202&lt;&gt;"",('Дивиденды по годам'!I202+'Дивиденды по годам'!V202)&lt;&gt;0),'Дивиденды по годам'!Q202/(('Дивиденды по годам'!I202+'Дивиденды по годам'!V202)/2),""),"")</f>
        <v>0.13379631489658866</v>
      </c>
      <c r="U202">
        <f>IFERROR(IF(AND('Дивиденды по годам'!J202&lt;&gt;"",'Дивиденды по годам'!K202&lt;&gt;"",'Дивиденды по годам'!M202&lt;&gt;"",'Дивиденды по годам'!M202&lt;&gt;0),('Дивиденды по годам'!J202+'Дивиденды по годам'!K202)/'Дивиденды по годам'!M202,""),"")</f>
        <v>0.90790662274426237</v>
      </c>
      <c r="V202" cm="1">
        <f t="array" ref="V202">IFERROR(AVERAGE(_xlfn._xlws.FILTER(P$2:P$1073,($C$2:$C$1073=$C202)*($E$2:$E$1073=$E202)*(ROW(P$2:P$1073)&lt;&gt;ROW(P202))*(P$2:P$1073&lt;&gt;""))),"")</f>
        <v>26.119146361921381</v>
      </c>
      <c r="W202" cm="1">
        <f t="array" ref="W202">IFERROR(AVERAGE(_xlfn._xlws.FILTER(Q$2:Q$1073,($C$2:$C$1073=$C202)*($E$2:$E$1073=$E202)*(ROW(Q$2:Q$1073)&lt;&gt;ROW(Q202))*(Q$2:Q$1073&lt;&gt;""))),"")</f>
        <v>0.76341115228411482</v>
      </c>
      <c r="X202" cm="1">
        <f t="array" ref="X202">IFERROR(AVERAGE(_xlfn._xlws.FILTER(R$2:R$1073,($C$2:$C$1073=$C202)*($E$2:$E$1073=$E202)*(ROW(R$2:R$1073)&lt;&gt;ROW(R202))*(R$2:R$1073&lt;&gt;""))),"")</f>
        <v>3.6298226988727859E-2</v>
      </c>
      <c r="Y202" cm="1">
        <f t="array" ref="Y202">IFERROR(AVERAGE(_xlfn._xlws.FILTER(S$2:S$1073,($C$2:$C$1073=$C202)*($E$2:$E$1073=$E202)*(ROW(S$2:S$1073)&lt;&gt;ROW(S202))*(S$2:S$1073&lt;&gt;""))),"")</f>
        <v>0.38910738612043877</v>
      </c>
      <c r="Z202" cm="1">
        <f t="array" ref="Z202">IFERROR(AVERAGE(_xlfn._xlws.FILTER(T$2:T$1073,($C$2:$C$1073=$C202)*($E$2:$E$1073=$E202)*(ROW(T$2:T$1073)&lt;&gt;ROW(T202))*(T$2:T$1073&lt;&gt;""))),"")</f>
        <v>7.7217830231189999E-2</v>
      </c>
      <c r="AA202" cm="1">
        <f t="array" ref="AA202">IFERROR(AVERAGE(_xlfn._xlws.FILTER(U$2:U$1073,($C$2:$C$1073=$C202)*($E$2:$E$1073=$E202)*(ROW(U$2:U$1073)&lt;&gt;ROW(U202))*(U$2:U$1073&lt;&gt;""))),"")</f>
        <v>0.60825091660980724</v>
      </c>
    </row>
    <row r="203" spans="1:27" x14ac:dyDescent="0.2">
      <c r="A203" s="7" t="s">
        <v>2202</v>
      </c>
      <c r="B203" t="str">
        <f t="shared" si="35"/>
        <v>MRKP IV кв. 2016</v>
      </c>
      <c r="C203">
        <v>2016</v>
      </c>
      <c r="D203">
        <f>SUMIFS(Дивиденды!$C:$C,Дивиденды!$A:$A,A203,Дивиденды!$I:$I,C203)</f>
        <v>1.18E-2</v>
      </c>
      <c r="E203">
        <v>2</v>
      </c>
      <c r="F203">
        <f t="shared" si="36"/>
        <v>1.18E-2</v>
      </c>
      <c r="G203">
        <f t="shared" si="37"/>
        <v>5.6411833333333328E-2</v>
      </c>
      <c r="H203">
        <f t="shared" si="38"/>
        <v>1</v>
      </c>
      <c r="I203">
        <f t="shared" si="34"/>
        <v>1</v>
      </c>
      <c r="J203">
        <f t="shared" si="39"/>
        <v>0.41080822572931608</v>
      </c>
      <c r="K203">
        <f t="shared" si="43"/>
        <v>1.3728360189950335</v>
      </c>
      <c r="L203">
        <f t="shared" si="40"/>
        <v>1</v>
      </c>
      <c r="M203">
        <f t="shared" si="33"/>
        <v>0.83333333333333337</v>
      </c>
      <c r="N203">
        <f t="shared" si="41"/>
        <v>0</v>
      </c>
      <c r="O203">
        <f t="shared" si="42"/>
        <v>0.16666666666666666</v>
      </c>
      <c r="P203">
        <f>IFERROR(LN('Дивиденды по годам'!I203),"")</f>
        <v>25.102759666776421</v>
      </c>
      <c r="Q203">
        <f>IFERROR('Дивиденды по годам'!G203/'Дивиденды по годам'!I203, "")</f>
        <v>0.77452537689338952</v>
      </c>
      <c r="R203">
        <f>IFERROR(IF(AND('Дивиденды по годам'!N203&lt;&gt;"",'Дивиденды по годам'!U203&lt;&gt;"",'Дивиденды по годам'!U203&lt;&gt;0),'Дивиденды по годам'!N203/'Дивиденды по годам'!U203-1,""),"")</f>
        <v>0.13246401191448087</v>
      </c>
      <c r="S203">
        <f>IFERROR(IF(AND('Дивиденды по годам'!L203&lt;&gt;"",'Дивиденды по годам'!I203&lt;&gt;"",'Дивиденды по годам'!J203&lt;&gt;"",'Дивиденды по годам'!K203&lt;&gt;"",('Дивиденды по годам'!I203-'Дивиденды по годам'!J203-'Дивиденды по годам'!K203)&lt;&gt;0),'Дивиденды по годам'!L203/('Дивиденды по годам'!I203-'Дивиденды по годам'!J203-'Дивиденды по годам'!K203),""),"")</f>
        <v>0.7344296259106301</v>
      </c>
      <c r="T203">
        <f>IFERROR(IF(AND('Дивиденды по годам'!Q203&lt;&gt;"",'Дивиденды по годам'!I203&lt;&gt;"",'Дивиденды по годам'!V203&lt;&gt;"",('Дивиденды по годам'!I203+'Дивиденды по годам'!V203)&lt;&gt;0),'Дивиденды по годам'!Q203/(('Дивиденды по годам'!I203+'Дивиденды по годам'!V203)/2),""),"")</f>
        <v>4.5558205419424833E-2</v>
      </c>
      <c r="U203">
        <f>IFERROR(IF(AND('Дивиденды по годам'!J203&lt;&gt;"",'Дивиденды по годам'!K203&lt;&gt;"",'Дивиденды по годам'!M203&lt;&gt;"",'Дивиденды по годам'!M203&lt;&gt;0),('Дивиденды по годам'!J203+'Дивиденды по годам'!K203)/'Дивиденды по годам'!M203,""),"")</f>
        <v>1.1305888398741015</v>
      </c>
      <c r="V203" cm="1">
        <f t="array" ref="V203">IFERROR(AVERAGE(_xlfn._xlws.FILTER(P$2:P$1073,($C$2:$C$1073=$C203)*($E$2:$E$1073=$E203)*(ROW(P$2:P$1073)&lt;&gt;ROW(P203))*(P$2:P$1073&lt;&gt;""))),"")</f>
        <v>26.083276064470905</v>
      </c>
      <c r="W203" cm="1">
        <f t="array" ref="W203">IFERROR(AVERAGE(_xlfn._xlws.FILTER(Q$2:Q$1073,($C$2:$C$1073=$C203)*($E$2:$E$1073=$E203)*(ROW(Q$2:Q$1073)&lt;&gt;ROW(Q203))*(Q$2:Q$1073&lt;&gt;""))),"")</f>
        <v>0.7114102653452069</v>
      </c>
      <c r="X203" cm="1">
        <f t="array" ref="X203">IFERROR(AVERAGE(_xlfn._xlws.FILTER(R$2:R$1073,($C$2:$C$1073=$C203)*($E$2:$E$1073=$E203)*(ROW(R$2:R$1073)&lt;&gt;ROW(R203))*(R$2:R$1073&lt;&gt;""))),"")</f>
        <v>0.11234517925503462</v>
      </c>
      <c r="Y203" cm="1">
        <f t="array" ref="Y203">IFERROR(AVERAGE(_xlfn._xlws.FILTER(S$2:S$1073,($C$2:$C$1073=$C203)*($E$2:$E$1073=$E203)*(ROW(S$2:S$1073)&lt;&gt;ROW(S203))*(S$2:S$1073&lt;&gt;""))),"")</f>
        <v>0.37929818649359354</v>
      </c>
      <c r="Z203" cm="1">
        <f t="array" ref="Z203">IFERROR(AVERAGE(_xlfn._xlws.FILTER(T$2:T$1073,($C$2:$C$1073=$C203)*($E$2:$E$1073=$E203)*(ROW(T$2:T$1073)&lt;&gt;ROW(T203))*(T$2:T$1073&lt;&gt;""))),"")</f>
        <v>4.0482530413571451E-2</v>
      </c>
      <c r="AA203" cm="1">
        <f t="array" ref="AA203">IFERROR(AVERAGE(_xlfn._xlws.FILTER(U$2:U$1073,($C$2:$C$1073=$C203)*($E$2:$E$1073=$E203)*(ROW(U$2:U$1073)&lt;&gt;ROW(U203))*(U$2:U$1073&lt;&gt;""))),"")</f>
        <v>0.69257497764285458</v>
      </c>
    </row>
    <row r="204" spans="1:27" x14ac:dyDescent="0.2">
      <c r="A204" s="7" t="s">
        <v>2202</v>
      </c>
      <c r="B204" t="str">
        <f t="shared" si="35"/>
        <v>MRKP IV кв. 2015</v>
      </c>
      <c r="C204">
        <v>2015</v>
      </c>
      <c r="D204">
        <f>SUMIFS(Дивиденды!$C:$C,Дивиденды!$A:$A,A204,Дивиденды!$I:$I,C204)</f>
        <v>8.3639999999999999E-3</v>
      </c>
      <c r="E204">
        <v>2</v>
      </c>
      <c r="F204">
        <f t="shared" si="36"/>
        <v>8.3639999999999999E-3</v>
      </c>
      <c r="G204">
        <f t="shared" si="37"/>
        <v>4.0743083333333339E-2</v>
      </c>
      <c r="H204">
        <f t="shared" si="38"/>
        <v>1</v>
      </c>
      <c r="I204">
        <f t="shared" si="34"/>
        <v>0.91666666666666663</v>
      </c>
      <c r="J204">
        <f t="shared" si="39"/>
        <v>1.6980645161290322</v>
      </c>
      <c r="K204">
        <f t="shared" si="43"/>
        <v>4.0034710686482562</v>
      </c>
      <c r="L204">
        <f t="shared" si="40"/>
        <v>1</v>
      </c>
      <c r="M204">
        <f t="shared" si="33"/>
        <v>0.66666666666666663</v>
      </c>
      <c r="N204">
        <f t="shared" si="41"/>
        <v>0</v>
      </c>
      <c r="O204">
        <f t="shared" si="42"/>
        <v>0.33333333333333331</v>
      </c>
      <c r="P204">
        <f>IFERROR(LN('Дивиденды по годам'!I204),"")</f>
        <v>25.089817347162022</v>
      </c>
      <c r="Q204">
        <f>IFERROR('Дивиденды по годам'!G204/'Дивиденды по годам'!I204, "")</f>
        <v>0.76177436972144252</v>
      </c>
      <c r="R204">
        <f>IFERROR(IF(AND('Дивиденды по годам'!N204&lt;&gt;"",'Дивиденды по годам'!U204&lt;&gt;"",'Дивиденды по годам'!U204&lt;&gt;0),'Дивиденды по годам'!N204/'Дивиденды по годам'!U204-1,""),"")</f>
        <v>-7.9734433726306175E-3</v>
      </c>
      <c r="S204">
        <f>IFERROR(IF(AND('Дивиденды по годам'!L204&lt;&gt;"",'Дивиденды по годам'!I204&lt;&gt;"",'Дивиденды по годам'!J204&lt;&gt;"",'Дивиденды по годам'!K204&lt;&gt;"",('Дивиденды по годам'!I204-'Дивиденды по годам'!J204-'Дивиденды по годам'!K204)&lt;&gt;0),'Дивиденды по годам'!L204/('Дивиденды по годам'!I204-'Дивиденды по годам'!J204-'Дивиденды по годам'!K204),""),"")</f>
        <v>0.67497035759641399</v>
      </c>
      <c r="T204">
        <f>IFERROR(IF(AND('Дивиденды по годам'!Q204&lt;&gt;"",'Дивиденды по годам'!I204&lt;&gt;"",'Дивиденды по годам'!V204&lt;&gt;"",('Дивиденды по годам'!I204+'Дивиденды по годам'!V204)&lt;&gt;0),'Дивиденды по годам'!Q204/(('Дивиденды по годам'!I204+'Дивиденды по годам'!V204)/2),""),"")</f>
        <v>4.3508696508236848E-2</v>
      </c>
      <c r="U204">
        <f>IFERROR(IF(AND('Дивиденды по годам'!J204&lt;&gt;"",'Дивиденды по годам'!K204&lt;&gt;"",'Дивиденды по годам'!M204&lt;&gt;"",'Дивиденды по годам'!M204&lt;&gt;0),('Дивиденды по годам'!J204+'Дивиденды по годам'!K204)/'Дивиденды по годам'!M204,""),"")</f>
        <v>1.2669131204828268</v>
      </c>
      <c r="V204" cm="1">
        <f t="array" ref="V204">IFERROR(AVERAGE(_xlfn._xlws.FILTER(P$2:P$1073,($C$2:$C$1073=$C204)*($E$2:$E$1073=$E204)*(ROW(P$2:P$1073)&lt;&gt;ROW(P204))*(P$2:P$1073&lt;&gt;""))),"")</f>
        <v>26.012959283988646</v>
      </c>
      <c r="W204" cm="1">
        <f t="array" ref="W204">IFERROR(AVERAGE(_xlfn._xlws.FILTER(Q$2:Q$1073,($C$2:$C$1073=$C204)*($E$2:$E$1073=$E204)*(ROW(Q$2:Q$1073)&lt;&gt;ROW(Q204))*(Q$2:Q$1073&lt;&gt;""))),"")</f>
        <v>0.7811438643773857</v>
      </c>
      <c r="X204" cm="1">
        <f t="array" ref="X204">IFERROR(AVERAGE(_xlfn._xlws.FILTER(R$2:R$1073,($C$2:$C$1073=$C204)*($E$2:$E$1073=$E204)*(ROW(R$2:R$1073)&lt;&gt;ROW(R204))*(R$2:R$1073&lt;&gt;""))),"")</f>
        <v>8.3879257907449392E-3</v>
      </c>
      <c r="Y204" cm="1">
        <f t="array" ref="Y204">IFERROR(AVERAGE(_xlfn._xlws.FILTER(S$2:S$1073,($C$2:$C$1073=$C204)*($E$2:$E$1073=$E204)*(ROW(S$2:S$1073)&lt;&gt;ROW(S204))*(S$2:S$1073&lt;&gt;""))),"")</f>
        <v>0.4623436987112009</v>
      </c>
      <c r="Z204" cm="1">
        <f t="array" ref="Z204">IFERROR(AVERAGE(_xlfn._xlws.FILTER(T$2:T$1073,($C$2:$C$1073=$C204)*($E$2:$E$1073=$E204)*(ROW(T$2:T$1073)&lt;&gt;ROW(T204))*(T$2:T$1073&lt;&gt;""))),"")</f>
        <v>-1.8598457477754099E-2</v>
      </c>
      <c r="AA204" cm="1">
        <f t="array" ref="AA204">IFERROR(AVERAGE(_xlfn._xlws.FILTER(U$2:U$1073,($C$2:$C$1073=$C204)*($E$2:$E$1073=$E204)*(ROW(U$2:U$1073)&lt;&gt;ROW(U204))*(U$2:U$1073&lt;&gt;""))),"")</f>
        <v>0.85517630828465041</v>
      </c>
    </row>
    <row r="205" spans="1:27" x14ac:dyDescent="0.2">
      <c r="A205" s="7" t="s">
        <v>2202</v>
      </c>
      <c r="B205" t="str">
        <f t="shared" si="35"/>
        <v>MRKP IV кв. 2014</v>
      </c>
      <c r="C205">
        <v>2014</v>
      </c>
      <c r="D205">
        <f>SUMIFS(Дивиденды!$C:$C,Дивиденды!$A:$A,A205,Дивиденды!$I:$I,C205)</f>
        <v>3.0999999999999999E-3</v>
      </c>
      <c r="E205">
        <v>2</v>
      </c>
      <c r="F205">
        <f t="shared" si="36"/>
        <v>3.0999999999999999E-3</v>
      </c>
      <c r="G205">
        <f t="shared" si="37"/>
        <v>3.8709583333333332E-2</v>
      </c>
      <c r="H205">
        <f t="shared" si="38"/>
        <v>1</v>
      </c>
      <c r="I205">
        <f t="shared" si="34"/>
        <v>1</v>
      </c>
      <c r="J205">
        <f t="shared" si="39"/>
        <v>-0.44937833037300173</v>
      </c>
      <c r="K205">
        <f t="shared" si="43"/>
        <v>1.4385516758810553</v>
      </c>
      <c r="L205">
        <f t="shared" si="40"/>
        <v>0</v>
      </c>
      <c r="M205">
        <f t="shared" si="33"/>
        <v>0.66666666666666663</v>
      </c>
      <c r="N205">
        <f t="shared" si="41"/>
        <v>1</v>
      </c>
      <c r="O205">
        <f t="shared" si="42"/>
        <v>0.25</v>
      </c>
      <c r="P205">
        <f>IFERROR(LN('Дивиденды по годам'!I205),"")</f>
        <v>25.082222059426091</v>
      </c>
      <c r="Q205">
        <f>IFERROR('Дивиденды по годам'!G205/'Дивиденды по годам'!I205, "")</f>
        <v>0.74751793701489111</v>
      </c>
      <c r="R205">
        <f>IFERROR(IF(AND('Дивиденды по годам'!N205&lt;&gt;"",'Дивиденды по годам'!U205&lt;&gt;"",'Дивиденды по годам'!U205&lt;&gt;0),'Дивиденды по годам'!N205/'Дивиденды по годам'!U205-1,""),"")</f>
        <v>-0.1003266932841137</v>
      </c>
      <c r="S205" t="str">
        <f>IFERROR(IF(AND('Дивиденды по годам'!L205&lt;&gt;"",'Дивиденды по годам'!I205&lt;&gt;"",'Дивиденды по годам'!J205&lt;&gt;"",'Дивиденды по годам'!K205&lt;&gt;"",('Дивиденды по годам'!I205-'Дивиденды по годам'!J205-'Дивиденды по годам'!K205)&lt;&gt;0),'Дивиденды по годам'!L205/('Дивиденды по годам'!I205-'Дивиденды по годам'!J205-'Дивиденды по годам'!K205),""),"")</f>
        <v/>
      </c>
      <c r="T205">
        <f>IFERROR(IF(AND('Дивиденды по годам'!Q205&lt;&gt;"",'Дивиденды по годам'!I205&lt;&gt;"",'Дивиденды по годам'!V205&lt;&gt;"",('Дивиденды по годам'!I205+'Дивиденды по годам'!V205)&lt;&gt;0),'Дивиденды по годам'!Q205/(('Дивиденды по годам'!I205+'Дивиденды по годам'!V205)/2),""),"")</f>
        <v>-2.1018414136545486E-2</v>
      </c>
      <c r="U205">
        <f>IFERROR(IF(AND('Дивиденды по годам'!J205&lt;&gt;"",'Дивиденды по годам'!K205&lt;&gt;"",'Дивиденды по годам'!M205&lt;&gt;"",'Дивиденды по годам'!M205&lt;&gt;0),('Дивиденды по годам'!J205+'Дивиденды по годам'!K205)/'Дивиденды по годам'!M205,""),"")</f>
        <v>1.4240152079908184</v>
      </c>
      <c r="V205" cm="1">
        <f t="array" ref="V205">IFERROR(AVERAGE(_xlfn._xlws.FILTER(P$2:P$1073,($C$2:$C$1073=$C205)*($E$2:$E$1073=$E205)*(ROW(P$2:P$1073)&lt;&gt;ROW(P205))*(P$2:P$1073&lt;&gt;""))),"")</f>
        <v>26.270376090040809</v>
      </c>
      <c r="W205" cm="1">
        <f t="array" ref="W205">IFERROR(AVERAGE(_xlfn._xlws.FILTER(Q$2:Q$1073,($C$2:$C$1073=$C205)*($E$2:$E$1073=$E205)*(ROW(Q$2:Q$1073)&lt;&gt;ROW(Q205))*(Q$2:Q$1073&lt;&gt;""))),"")</f>
        <v>0.77388004060160398</v>
      </c>
      <c r="X205" cm="1">
        <f t="array" ref="X205">IFERROR(AVERAGE(_xlfn._xlws.FILTER(R$2:R$1073,($C$2:$C$1073=$C205)*($E$2:$E$1073=$E205)*(ROW(R$2:R$1073)&lt;&gt;ROW(R205))*(R$2:R$1073&lt;&gt;""))),"")</f>
        <v>3.6382238752176686E-2</v>
      </c>
      <c r="Y205" cm="1">
        <f t="array" ref="Y205">IFERROR(AVERAGE(_xlfn._xlws.FILTER(S$2:S$1073,($C$2:$C$1073=$C205)*($E$2:$E$1073=$E205)*(ROW(S$2:S$1073)&lt;&gt;ROW(S205))*(S$2:S$1073&lt;&gt;""))),"")</f>
        <v>0.60466035791128681</v>
      </c>
      <c r="Z205" cm="1">
        <f t="array" ref="Z205">IFERROR(AVERAGE(_xlfn._xlws.FILTER(T$2:T$1073,($C$2:$C$1073=$C205)*($E$2:$E$1073=$E205)*(ROW(T$2:T$1073)&lt;&gt;ROW(T205))*(T$2:T$1073&lt;&gt;""))),"")</f>
        <v>2.3020198553641198E-2</v>
      </c>
      <c r="AA205" cm="1">
        <f t="array" ref="AA205">IFERROR(AVERAGE(_xlfn._xlws.FILTER(U$2:U$1073,($C$2:$C$1073=$C205)*($E$2:$E$1073=$E205)*(ROW(U$2:U$1073)&lt;&gt;ROW(U205))*(U$2:U$1073&lt;&gt;""))),"")</f>
        <v>0.68675821749477428</v>
      </c>
    </row>
    <row r="206" spans="1:27" x14ac:dyDescent="0.2">
      <c r="A206" s="7" t="s">
        <v>2202</v>
      </c>
      <c r="B206" t="str">
        <f t="shared" si="35"/>
        <v>MRKP IV кв. 2013</v>
      </c>
      <c r="C206">
        <v>2013</v>
      </c>
      <c r="D206">
        <f>SUMIFS(Дивиденды!$C:$C,Дивиденды!$A:$A,A206,Дивиденды!$I:$I,C206)</f>
        <v>5.6299999999999996E-3</v>
      </c>
      <c r="E206">
        <v>2</v>
      </c>
      <c r="F206">
        <f t="shared" si="36"/>
        <v>5.6299999999999996E-3</v>
      </c>
      <c r="G206">
        <f t="shared" si="37"/>
        <v>4.5973916666666663E-2</v>
      </c>
      <c r="H206">
        <f t="shared" si="38"/>
        <v>1</v>
      </c>
      <c r="I206">
        <f t="shared" si="34"/>
        <v>0.75</v>
      </c>
      <c r="J206">
        <f t="shared" si="39"/>
        <v>0.32470588235294101</v>
      </c>
      <c r="K206">
        <f t="shared" si="43"/>
        <v>-1.4105969110735037E-2</v>
      </c>
      <c r="L206">
        <f t="shared" si="40"/>
        <v>1</v>
      </c>
      <c r="M206">
        <f t="shared" si="33"/>
        <v>0.41666666666666669</v>
      </c>
      <c r="N206">
        <f t="shared" si="41"/>
        <v>0</v>
      </c>
      <c r="O206">
        <f t="shared" si="42"/>
        <v>0.33333333333333331</v>
      </c>
      <c r="P206">
        <f>IFERROR(LN('Дивиденды по годам'!I206),"")</f>
        <v>25.065638713716666</v>
      </c>
      <c r="Q206">
        <f>IFERROR('Дивиденды по годам'!G206/'Дивиденды по годам'!I206, "")</f>
        <v>0.77766443659548845</v>
      </c>
      <c r="R206">
        <f>IFERROR(IF(AND('Дивиденды по годам'!N206&lt;&gt;"",'Дивиденды по годам'!U206&lt;&gt;"",'Дивиденды по годам'!U206&lt;&gt;0),'Дивиденды по годам'!N206/'Дивиденды по годам'!U206-1,""),"")</f>
        <v>0.29081649178190117</v>
      </c>
      <c r="S206" t="str">
        <f>IFERROR(IF(AND('Дивиденды по годам'!L206&lt;&gt;"",'Дивиденды по годам'!I206&lt;&gt;"",'Дивиденды по годам'!J206&lt;&gt;"",'Дивиденды по годам'!K206&lt;&gt;"",('Дивиденды по годам'!I206-'Дивиденды по годам'!J206-'Дивиденды по годам'!K206)&lt;&gt;0),'Дивиденды по годам'!L206/('Дивиденды по годам'!I206-'Дивиденды по годам'!J206-'Дивиденды по годам'!K206),""),"")</f>
        <v/>
      </c>
      <c r="T206">
        <f>IFERROR(IF(AND('Дивиденды по годам'!Q206&lt;&gt;"",'Дивиденды по годам'!I206&lt;&gt;"",'Дивиденды по годам'!V206&lt;&gt;"",('Дивиденды по годам'!I206+'Дивиденды по годам'!V206)&lt;&gt;0),'Дивиденды по годам'!Q206/(('Дивиденды по годам'!I206+'Дивиденды по годам'!V206)/2),""),"")</f>
        <v>2.3322867968613731E-2</v>
      </c>
      <c r="U206">
        <f>IFERROR(IF(AND('Дивиденды по годам'!J206&lt;&gt;"",'Дивиденды по годам'!K206&lt;&gt;"",'Дивиденды по годам'!M206&lt;&gt;"",'Дивиденды по годам'!M206&lt;&gt;0),('Дивиденды по годам'!J206+'Дивиденды по годам'!K206)/'Дивиденды по годам'!M206,""),"")</f>
        <v>1.2315378731172668</v>
      </c>
      <c r="V206" cm="1">
        <f t="array" ref="V206">IFERROR(AVERAGE(_xlfn._xlws.FILTER(P$2:P$1073,($C$2:$C$1073=$C206)*($E$2:$E$1073=$E206)*(ROW(P$2:P$1073)&lt;&gt;ROW(P206))*(P$2:P$1073&lt;&gt;""))),"")</f>
        <v>26.212199759943918</v>
      </c>
      <c r="W206" cm="1">
        <f t="array" ref="W206">IFERROR(AVERAGE(_xlfn._xlws.FILTER(Q$2:Q$1073,($C$2:$C$1073=$C206)*($E$2:$E$1073=$E206)*(ROW(Q$2:Q$1073)&lt;&gt;ROW(Q206))*(Q$2:Q$1073&lt;&gt;""))),"")</f>
        <v>0.78336616893903721</v>
      </c>
      <c r="X206" cm="1">
        <f t="array" ref="X206">IFERROR(AVERAGE(_xlfn._xlws.FILTER(R$2:R$1073,($C$2:$C$1073=$C206)*($E$2:$E$1073=$E206)*(ROW(R$2:R$1073)&lt;&gt;ROW(R206))*(R$2:R$1073&lt;&gt;""))),"")</f>
        <v>7.6337158545996583E-2</v>
      </c>
      <c r="Y206" cm="1">
        <f t="array" ref="Y206">IFERROR(AVERAGE(_xlfn._xlws.FILTER(S$2:S$1073,($C$2:$C$1073=$C206)*($E$2:$E$1073=$E206)*(ROW(S$2:S$1073)&lt;&gt;ROW(S206))*(S$2:S$1073&lt;&gt;""))),"")</f>
        <v>0.4636519590056305</v>
      </c>
      <c r="Z206" cm="1">
        <f t="array" ref="Z206">IFERROR(AVERAGE(_xlfn._xlws.FILTER(T$2:T$1073,($C$2:$C$1073=$C206)*($E$2:$E$1073=$E206)*(ROW(T$2:T$1073)&lt;&gt;ROW(T206))*(T$2:T$1073&lt;&gt;""))),"")</f>
        <v>-8.016713251174333E-3</v>
      </c>
      <c r="AA206" cm="1">
        <f t="array" ref="AA206">IFERROR(AVERAGE(_xlfn._xlws.FILTER(U$2:U$1073,($C$2:$C$1073=$C206)*($E$2:$E$1073=$E206)*(ROW(U$2:U$1073)&lt;&gt;ROW(U206))*(U$2:U$1073&lt;&gt;""))),"")</f>
        <v>0.62173868916152775</v>
      </c>
    </row>
    <row r="207" spans="1:27" x14ac:dyDescent="0.2">
      <c r="A207" s="7" t="s">
        <v>2202</v>
      </c>
      <c r="B207" t="str">
        <f t="shared" si="35"/>
        <v>MRKP IV кв. 2012</v>
      </c>
      <c r="C207">
        <v>2012</v>
      </c>
      <c r="D207">
        <f>SUMIFS(Дивиденды!$C:$C,Дивиденды!$A:$A,A207,Дивиденды!$I:$I,C207)</f>
        <v>4.2500000000000003E-3</v>
      </c>
      <c r="E207">
        <v>2</v>
      </c>
      <c r="F207">
        <f t="shared" si="36"/>
        <v>4.2500000000000003E-3</v>
      </c>
      <c r="G207">
        <f t="shared" si="37"/>
        <v>3.6808166666666663E-2</v>
      </c>
      <c r="H207">
        <f t="shared" si="38"/>
        <v>1</v>
      </c>
      <c r="I207">
        <f t="shared" si="34"/>
        <v>0.66666666666666663</v>
      </c>
      <c r="J207">
        <f t="shared" si="39"/>
        <v>0.51785714285714302</v>
      </c>
      <c r="K207">
        <f t="shared" si="43"/>
        <v>0.69764728110207042</v>
      </c>
      <c r="L207">
        <f t="shared" si="40"/>
        <v>1</v>
      </c>
      <c r="M207">
        <f t="shared" si="33"/>
        <v>0.5</v>
      </c>
      <c r="N207">
        <f t="shared" si="41"/>
        <v>0</v>
      </c>
      <c r="O207">
        <f t="shared" si="42"/>
        <v>0.16666666666666666</v>
      </c>
      <c r="P207">
        <f>IFERROR(LN('Дивиденды по годам'!I207),"")</f>
        <v>25.017951472129315</v>
      </c>
      <c r="Q207">
        <f>IFERROR('Дивиденды по годам'!G207/'Дивиденды по годам'!I207, "")</f>
        <v>0.79114738245893268</v>
      </c>
      <c r="R207" t="str">
        <f>IFERROR(IF(AND('Дивиденды по годам'!N207&lt;&gt;"",'Дивиденды по годам'!U207&lt;&gt;"",'Дивиденды по годам'!U207&lt;&gt;0),'Дивиденды по годам'!N207/'Дивиденды по годам'!U207-1,""),"")</f>
        <v/>
      </c>
      <c r="S207" t="str">
        <f>IFERROR(IF(AND('Дивиденды по годам'!L207&lt;&gt;"",'Дивиденды по годам'!I207&lt;&gt;"",'Дивиденды по годам'!J207&lt;&gt;"",'Дивиденды по годам'!K207&lt;&gt;"",('Дивиденды по годам'!I207-'Дивиденды по годам'!J207-'Дивиденды по годам'!K207)&lt;&gt;0),'Дивиденды по годам'!L207/('Дивиденды по годам'!I207-'Дивиденды по годам'!J207-'Дивиденды по годам'!K207),""),"")</f>
        <v/>
      </c>
      <c r="T207" t="str">
        <f>IFERROR(IF(AND('Дивиденды по годам'!Q207&lt;&gt;"",'Дивиденды по годам'!I207&lt;&gt;"",'Дивиденды по годам'!V207&lt;&gt;"",('Дивиденды по годам'!I207+'Дивиденды по годам'!V207)&lt;&gt;0),'Дивиденды по годам'!Q207/(('Дивиденды по годам'!I207+'Дивиденды по годам'!V207)/2),""),"")</f>
        <v/>
      </c>
      <c r="U207">
        <f>IFERROR(IF(AND('Дивиденды по годам'!J207&lt;&gt;"",'Дивиденды по годам'!K207&lt;&gt;"",'Дивиденды по годам'!M207&lt;&gt;"",'Дивиденды по годам'!M207&lt;&gt;0),('Дивиденды по годам'!J207+'Дивиденды по годам'!K207)/'Дивиденды по годам'!M207,""),"")</f>
        <v>1.1338914076461888</v>
      </c>
      <c r="V207" cm="1">
        <f t="array" ref="V207">IFERROR(AVERAGE(_xlfn._xlws.FILTER(P$2:P$1073,($C$2:$C$1073=$C207)*($E$2:$E$1073=$E207)*(ROW(P$2:P$1073)&lt;&gt;ROW(P207))*(P$2:P$1073&lt;&gt;""))),"")</f>
        <v>26.213080986091434</v>
      </c>
      <c r="W207" cm="1">
        <f t="array" ref="W207">IFERROR(AVERAGE(_xlfn._xlws.FILTER(Q$2:Q$1073,($C$2:$C$1073=$C207)*($E$2:$E$1073=$E207)*(ROW(Q$2:Q$1073)&lt;&gt;ROW(Q207))*(Q$2:Q$1073&lt;&gt;""))),"")</f>
        <v>0.77636258113558176</v>
      </c>
      <c r="X207" cm="1">
        <f t="array" ref="X207">IFERROR(AVERAGE(_xlfn._xlws.FILTER(R$2:R$1073,($C$2:$C$1073=$C207)*($E$2:$E$1073=$E207)*(ROW(R$2:R$1073)&lt;&gt;ROW(R207))*(R$2:R$1073&lt;&gt;""))),"")</f>
        <v>-1.5857961955003351E-2</v>
      </c>
      <c r="Y207" cm="1">
        <f t="array" ref="Y207">IFERROR(AVERAGE(_xlfn._xlws.FILTER(S$2:S$1073,($C$2:$C$1073=$C207)*($E$2:$E$1073=$E207)*(ROW(S$2:S$1073)&lt;&gt;ROW(S207))*(S$2:S$1073&lt;&gt;""))),"")</f>
        <v>0.44715527647269881</v>
      </c>
      <c r="Z207" cm="1">
        <f t="array" ref="Z207">IFERROR(AVERAGE(_xlfn._xlws.FILTER(T$2:T$1073,($C$2:$C$1073=$C207)*($E$2:$E$1073=$E207)*(ROW(T$2:T$1073)&lt;&gt;ROW(T207))*(T$2:T$1073&lt;&gt;""))),"")</f>
        <v>1.9505350639917447E-2</v>
      </c>
      <c r="AA207" cm="1">
        <f t="array" ref="AA207">IFERROR(AVERAGE(_xlfn._xlws.FILTER(U$2:U$1073,($C$2:$C$1073=$C207)*($E$2:$E$1073=$E207)*(ROW(U$2:U$1073)&lt;&gt;ROW(U207))*(U$2:U$1073&lt;&gt;""))),"")</f>
        <v>0.60309052650909423</v>
      </c>
    </row>
    <row r="208" spans="1:27" x14ac:dyDescent="0.2">
      <c r="A208" s="7" t="s">
        <v>2202</v>
      </c>
      <c r="B208" t="str">
        <f t="shared" si="35"/>
        <v>MRKP IV кв. 2011</v>
      </c>
      <c r="C208">
        <v>2011</v>
      </c>
      <c r="D208">
        <f>SUMIFS(Дивиденды!$C:$C,Дивиденды!$A:$A,A208,Дивиденды!$I:$I,C208)</f>
        <v>2.8E-3</v>
      </c>
      <c r="E208">
        <v>2</v>
      </c>
      <c r="F208">
        <f t="shared" si="36"/>
        <v>2.8E-3</v>
      </c>
      <c r="G208">
        <f t="shared" si="37"/>
        <v>1.1313416666666666E-2</v>
      </c>
      <c r="H208">
        <f t="shared" si="38"/>
        <v>1</v>
      </c>
      <c r="I208">
        <f t="shared" si="34"/>
        <v>0.75</v>
      </c>
      <c r="J208">
        <f t="shared" si="39"/>
        <v>1.2382094324540369</v>
      </c>
      <c r="K208">
        <f t="shared" si="43"/>
        <v>-5.2413869435042316E-2</v>
      </c>
      <c r="L208">
        <f t="shared" si="40"/>
        <v>1</v>
      </c>
      <c r="M208">
        <f t="shared" si="33"/>
        <v>0.41666666666666669</v>
      </c>
      <c r="N208">
        <f t="shared" si="41"/>
        <v>0</v>
      </c>
      <c r="O208">
        <f t="shared" si="42"/>
        <v>0.41666666666666669</v>
      </c>
      <c r="P208" t="str">
        <f>IFERROR(LN('Дивиденды по годам'!I208),"")</f>
        <v/>
      </c>
      <c r="Q208" t="str">
        <f>IFERROR('Дивиденды по годам'!G208/'Дивиденды по годам'!I208, "")</f>
        <v/>
      </c>
      <c r="R208" t="str">
        <f>IFERROR(IF(AND('Дивиденды по годам'!N208&lt;&gt;"",'Дивиденды по годам'!U208&lt;&gt;"",'Дивиденды по годам'!U208&lt;&gt;0),'Дивиденды по годам'!N208/'Дивиденды по годам'!U208-1,""),"")</f>
        <v/>
      </c>
      <c r="S208" t="str">
        <f>IFERROR(IF(AND('Дивиденды по годам'!L208&lt;&gt;"",'Дивиденды по годам'!I208&lt;&gt;"",'Дивиденды по годам'!J208&lt;&gt;"",'Дивиденды по годам'!K208&lt;&gt;"",('Дивиденды по годам'!I208-'Дивиденды по годам'!J208-'Дивиденды по годам'!K208)&lt;&gt;0),'Дивиденды по годам'!L208/('Дивиденды по годам'!I208-'Дивиденды по годам'!J208-'Дивиденды по годам'!K208),""),"")</f>
        <v/>
      </c>
      <c r="T208" t="str">
        <f>IFERROR(IF(AND('Дивиденды по годам'!Q208&lt;&gt;"",'Дивиденды по годам'!I208&lt;&gt;"",'Дивиденды по годам'!V208&lt;&gt;"",('Дивиденды по годам'!I208+'Дивиденды по годам'!V208)&lt;&gt;0),'Дивиденды по годам'!Q208/(('Дивиденды по годам'!I208+'Дивиденды по годам'!V208)/2),""),"")</f>
        <v/>
      </c>
      <c r="U208" t="str">
        <f>IFERROR(IF(AND('Дивиденды по годам'!J208&lt;&gt;"",'Дивиденды по годам'!K208&lt;&gt;"",'Дивиденды по годам'!M208&lt;&gt;"",'Дивиденды по годам'!M208&lt;&gt;0),('Дивиденды по годам'!J208+'Дивиденды по годам'!K208)/'Дивиденды по годам'!M208,""),"")</f>
        <v/>
      </c>
      <c r="V208" cm="1">
        <f t="array" ref="V208">IFERROR(AVERAGE(_xlfn._xlws.FILTER(P$2:P$1073,($C$2:$C$1073=$C208)*($E$2:$E$1073=$E208)*(ROW(P$2:P$1073)&lt;&gt;ROW(P208))*(P$2:P$1073&lt;&gt;""))),"")</f>
        <v>26.145009282501285</v>
      </c>
      <c r="W208" cm="1">
        <f t="array" ref="W208">IFERROR(AVERAGE(_xlfn._xlws.FILTER(Q$2:Q$1073,($C$2:$C$1073=$C208)*($E$2:$E$1073=$E208)*(ROW(Q$2:Q$1073)&lt;&gt;ROW(Q208))*(Q$2:Q$1073&lt;&gt;""))),"")</f>
        <v>0.76664474584196163</v>
      </c>
      <c r="X208" cm="1">
        <f t="array" ref="X208">IFERROR(AVERAGE(_xlfn._xlws.FILTER(R$2:R$1073,($C$2:$C$1073=$C208)*($E$2:$E$1073=$E208)*(ROW(R$2:R$1073)&lt;&gt;ROW(R208))*(R$2:R$1073&lt;&gt;""))),"")</f>
        <v>0.14348983045887875</v>
      </c>
      <c r="Y208" cm="1">
        <f t="array" ref="Y208">IFERROR(AVERAGE(_xlfn._xlws.FILTER(S$2:S$1073,($C$2:$C$1073=$C208)*($E$2:$E$1073=$E208)*(ROW(S$2:S$1073)&lt;&gt;ROW(S208))*(S$2:S$1073&lt;&gt;""))),"")</f>
        <v>0.39850050246333968</v>
      </c>
      <c r="Z208" cm="1">
        <f t="array" ref="Z208">IFERROR(AVERAGE(_xlfn._xlws.FILTER(T$2:T$1073,($C$2:$C$1073=$C208)*($E$2:$E$1073=$E208)*(ROW(T$2:T$1073)&lt;&gt;ROW(T208))*(T$2:T$1073&lt;&gt;""))),"")</f>
        <v>4.5214358774442007E-2</v>
      </c>
      <c r="AA208" cm="1">
        <f t="array" ref="AA208">IFERROR(AVERAGE(_xlfn._xlws.FILTER(U$2:U$1073,($C$2:$C$1073=$C208)*($E$2:$E$1073=$E208)*(ROW(U$2:U$1073)&lt;&gt;ROW(U208))*(U$2:U$1073&lt;&gt;""))),"")</f>
        <v>0.59470561642359621</v>
      </c>
    </row>
    <row r="209" spans="1:27" x14ac:dyDescent="0.2">
      <c r="A209" s="7" t="s">
        <v>2202</v>
      </c>
      <c r="B209" t="str">
        <f t="shared" si="35"/>
        <v>MRKP IV кв. 2010</v>
      </c>
      <c r="C209">
        <v>2010</v>
      </c>
      <c r="D209">
        <f>SUMIFS(Дивиденды!$C:$C,Дивиденды!$A:$A,A209,Дивиденды!$I:$I,C209)</f>
        <v>1.2509999999999999E-3</v>
      </c>
      <c r="E209">
        <v>2</v>
      </c>
      <c r="F209">
        <f t="shared" si="36"/>
        <v>1.2509999999999999E-3</v>
      </c>
      <c r="G209">
        <f t="shared" si="37"/>
        <v>6.4575833333333334E-3</v>
      </c>
      <c r="H209">
        <f t="shared" si="38"/>
        <v>1</v>
      </c>
      <c r="I209">
        <f t="shared" si="34"/>
        <v>0.75</v>
      </c>
      <c r="J209" t="str">
        <f t="shared" si="39"/>
        <v/>
      </c>
      <c r="K209" t="str">
        <f t="shared" si="43"/>
        <v/>
      </c>
      <c r="L209" t="str">
        <f t="shared" si="40"/>
        <v/>
      </c>
      <c r="M209" t="str">
        <f t="shared" si="33"/>
        <v/>
      </c>
      <c r="N209" t="str">
        <f t="shared" si="41"/>
        <v/>
      </c>
      <c r="O209" t="str">
        <f t="shared" si="42"/>
        <v/>
      </c>
      <c r="P209">
        <f>IFERROR(LN('Дивиденды по годам'!I209),"")</f>
        <v>24.730948088520865</v>
      </c>
      <c r="Q209">
        <f>IFERROR('Дивиденды по годам'!G209/'Дивиденды по годам'!I209, "")</f>
        <v>0.82035195639515091</v>
      </c>
      <c r="R209" t="str">
        <f>IFERROR(IF(AND('Дивиденды по годам'!N209&lt;&gt;"",'Дивиденды по годам'!U209&lt;&gt;"",'Дивиденды по годам'!U209&lt;&gt;0),'Дивиденды по годам'!N209/'Дивиденды по годам'!U209-1,""),"")</f>
        <v/>
      </c>
      <c r="S209" t="str">
        <f>IFERROR(IF(AND('Дивиденды по годам'!L209&lt;&gt;"",'Дивиденды по годам'!I209&lt;&gt;"",'Дивиденды по годам'!J209&lt;&gt;"",'Дивиденды по годам'!K209&lt;&gt;"",('Дивиденды по годам'!I209-'Дивиденды по годам'!J209-'Дивиденды по годам'!K209)&lt;&gt;0),'Дивиденды по годам'!L209/('Дивиденды по годам'!I209-'Дивиденды по годам'!J209-'Дивиденды по годам'!K209),""),"")</f>
        <v/>
      </c>
      <c r="T209" t="str">
        <f>IFERROR(IF(AND('Дивиденды по годам'!Q209&lt;&gt;"",'Дивиденды по годам'!I209&lt;&gt;"",'Дивиденды по годам'!V209&lt;&gt;"",('Дивиденды по годам'!I209+'Дивиденды по годам'!V209)&lt;&gt;0),'Дивиденды по годам'!Q209/(('Дивиденды по годам'!I209+'Дивиденды по годам'!V209)/2),""),"")</f>
        <v/>
      </c>
      <c r="U209">
        <f>IFERROR(IF(AND('Дивиденды по годам'!J209&lt;&gt;"",'Дивиденды по годам'!K209&lt;&gt;"",'Дивиденды по годам'!M209&lt;&gt;"",'Дивиденды по годам'!M209&lt;&gt;0),('Дивиденды по годам'!J209+'Дивиденды по годам'!K209)/'Дивиденды по годам'!M209,""),"")</f>
        <v>0.91314375247969903</v>
      </c>
      <c r="V209" t="str" cm="1">
        <f t="array" ref="V209">IFERROR(AVERAGE(_xlfn._xlws.FILTER(P$2:P$1073,($C$2:$C$1073=$C209)*($E$2:$E$1073=$E209)*(ROW(P$2:P$1073)&lt;&gt;ROW(P209))*(P$2:P$1073&lt;&gt;""))),"")</f>
        <v/>
      </c>
      <c r="W209" t="str" cm="1">
        <f t="array" ref="W209">IFERROR(AVERAGE(_xlfn._xlws.FILTER(Q$2:Q$1073,($C$2:$C$1073=$C209)*($E$2:$E$1073=$E209)*(ROW(Q$2:Q$1073)&lt;&gt;ROW(Q209))*(Q$2:Q$1073&lt;&gt;""))),"")</f>
        <v/>
      </c>
      <c r="X209" t="str" cm="1">
        <f t="array" ref="X209">IFERROR(AVERAGE(_xlfn._xlws.FILTER(R$2:R$1073,($C$2:$C$1073=$C209)*($E$2:$E$1073=$E209)*(ROW(R$2:R$1073)&lt;&gt;ROW(R209))*(R$2:R$1073&lt;&gt;""))),"")</f>
        <v/>
      </c>
      <c r="Y209" t="str" cm="1">
        <f t="array" ref="Y209">IFERROR(AVERAGE(_xlfn._xlws.FILTER(S$2:S$1073,($C$2:$C$1073=$C209)*($E$2:$E$1073=$E209)*(ROW(S$2:S$1073)&lt;&gt;ROW(S209))*(S$2:S$1073&lt;&gt;""))),"")</f>
        <v/>
      </c>
      <c r="Z209" t="str" cm="1">
        <f t="array" ref="Z209">IFERROR(AVERAGE(_xlfn._xlws.FILTER(T$2:T$1073,($C$2:$C$1073=$C209)*($E$2:$E$1073=$E209)*(ROW(T$2:T$1073)&lt;&gt;ROW(T209))*(T$2:T$1073&lt;&gt;""))),"")</f>
        <v/>
      </c>
      <c r="AA209" t="str" cm="1">
        <f t="array" ref="AA209">IFERROR(AVERAGE(_xlfn._xlws.FILTER(U$2:U$1073,($C$2:$C$1073=$C209)*($E$2:$E$1073=$E209)*(ROW(U$2:U$1073)&lt;&gt;ROW(U209))*(U$2:U$1073&lt;&gt;""))),"")</f>
        <v/>
      </c>
    </row>
    <row r="210" spans="1:27" x14ac:dyDescent="0.2">
      <c r="A210" s="7" t="s">
        <v>2204</v>
      </c>
      <c r="B210" t="str">
        <f t="shared" si="35"/>
        <v>MRKU IV кв. 2025</v>
      </c>
      <c r="C210">
        <v>2025</v>
      </c>
      <c r="D210">
        <f>SUMIFS(Дивиденды!$C:$C,Дивиденды!$A:$A,A210,Дивиденды!$I:$I,C210)</f>
        <v>0</v>
      </c>
      <c r="E210">
        <v>2</v>
      </c>
      <c r="F210">
        <f t="shared" si="36"/>
        <v>0</v>
      </c>
      <c r="G210">
        <f t="shared" si="37"/>
        <v>0</v>
      </c>
      <c r="H210">
        <f t="shared" si="38"/>
        <v>0</v>
      </c>
      <c r="I210">
        <f t="shared" si="34"/>
        <v>0</v>
      </c>
      <c r="J210">
        <f t="shared" si="39"/>
        <v>-1</v>
      </c>
      <c r="K210">
        <f t="shared" si="43"/>
        <v>-0.5</v>
      </c>
      <c r="L210">
        <f t="shared" si="40"/>
        <v>0</v>
      </c>
      <c r="M210">
        <f t="shared" si="33"/>
        <v>0</v>
      </c>
      <c r="N210">
        <f t="shared" si="41"/>
        <v>1</v>
      </c>
      <c r="O210">
        <f t="shared" si="42"/>
        <v>0.5</v>
      </c>
      <c r="P210">
        <f>IFERROR(LN('Дивиденды по годам'!I210),"")</f>
        <v>25.787604835722476</v>
      </c>
      <c r="Q210">
        <f>IFERROR('Дивиденды по годам'!G210/'Дивиденды по годам'!I210, "")</f>
        <v>0.75144982220180023</v>
      </c>
      <c r="R210">
        <f>IFERROR(IF(AND('Дивиденды по годам'!N210&lt;&gt;"",'Дивиденды по годам'!U210&lt;&gt;"",'Дивиденды по годам'!U210&lt;&gt;0),'Дивиденды по годам'!N210/'Дивиденды по годам'!U210-1,""),"")</f>
        <v>0.12608453706246459</v>
      </c>
      <c r="S210">
        <f>IFERROR(IF(AND('Дивиденды по годам'!L210&lt;&gt;"",'Дивиденды по годам'!I210&lt;&gt;"",'Дивиденды по годам'!J210&lt;&gt;"",'Дивиденды по годам'!K210&lt;&gt;"",('Дивиденды по годам'!I210-'Дивиденды по годам'!J210-'Дивиденды по годам'!K210)&lt;&gt;0),'Дивиденды по годам'!L210/('Дивиденды по годам'!I210-'Дивиденды по годам'!J210-'Дивиденды по годам'!K210),""),"")</f>
        <v>0.80423950823802692</v>
      </c>
      <c r="T210">
        <f>IFERROR(IF(AND('Дивиденды по годам'!Q210&lt;&gt;"",'Дивиденды по годам'!I210&lt;&gt;"",'Дивиденды по годам'!V210&lt;&gt;"",('Дивиденды по годам'!I210+'Дивиденды по годам'!V210)&lt;&gt;0),'Дивиденды по годам'!Q210/(('Дивиденды по годам'!I210+'Дивиденды по годам'!V210)/2),""),"")</f>
        <v>8.9799141488031947E-2</v>
      </c>
      <c r="U210">
        <f>IFERROR(IF(AND('Дивиденды по годам'!J210&lt;&gt;"",'Дивиденды по годам'!K210&lt;&gt;"",'Дивиденды по годам'!M210&lt;&gt;"",'Дивиденды по годам'!M210&lt;&gt;0),('Дивиденды по годам'!J210+'Дивиденды по годам'!K210)/'Дивиденды по годам'!M210,""),"")</f>
        <v>0.91215059072383664</v>
      </c>
      <c r="V210" cm="1">
        <f t="array" ref="V210">IFERROR(AVERAGE(_xlfn._xlws.FILTER(P$2:P$1073,($C$2:$C$1073=$C210)*($E$2:$E$1073=$E210)*(ROW(P$2:P$1073)&lt;&gt;ROW(P210))*(P$2:P$1073&lt;&gt;""))),"")</f>
        <v>26.693106256817909</v>
      </c>
      <c r="W210" cm="1">
        <f t="array" ref="W210">IFERROR(AVERAGE(_xlfn._xlws.FILTER(Q$2:Q$1073,($C$2:$C$1073=$C210)*($E$2:$E$1073=$E210)*(ROW(Q$2:Q$1073)&lt;&gt;ROW(Q210))*(Q$2:Q$1073&lt;&gt;""))),"")</f>
        <v>0.66704675310658357</v>
      </c>
      <c r="X210" cm="1">
        <f t="array" ref="X210">IFERROR(AVERAGE(_xlfn._xlws.FILTER(R$2:R$1073,($C$2:$C$1073=$C210)*($E$2:$E$1073=$E210)*(ROW(R$2:R$1073)&lt;&gt;ROW(R210))*(R$2:R$1073&lt;&gt;""))),"")</f>
        <v>0.18384647488661282</v>
      </c>
      <c r="Y210" cm="1">
        <f t="array" ref="Y210">IFERROR(AVERAGE(_xlfn._xlws.FILTER(S$2:S$1073,($C$2:$C$1073=$C210)*($E$2:$E$1073=$E210)*(ROW(S$2:S$1073)&lt;&gt;ROW(S210))*(S$2:S$1073&lt;&gt;""))),"")</f>
        <v>0.74813141612821443</v>
      </c>
      <c r="Z210" cm="1">
        <f t="array" ref="Z210">IFERROR(AVERAGE(_xlfn._xlws.FILTER(T$2:T$1073,($C$2:$C$1073=$C210)*($E$2:$E$1073=$E210)*(ROW(T$2:T$1073)&lt;&gt;ROW(T210))*(T$2:T$1073&lt;&gt;""))),"")</f>
        <v>0.10495538533887286</v>
      </c>
      <c r="AA210" cm="1">
        <f t="array" ref="AA210">IFERROR(AVERAGE(_xlfn._xlws.FILTER(U$2:U$1073,($C$2:$C$1073=$C210)*($E$2:$E$1073=$E210)*(ROW(U$2:U$1073)&lt;&gt;ROW(U210))*(U$2:U$1073&lt;&gt;""))),"")</f>
        <v>0.88609439313081395</v>
      </c>
    </row>
    <row r="211" spans="1:27" x14ac:dyDescent="0.2">
      <c r="A211" s="7" t="s">
        <v>2204</v>
      </c>
      <c r="B211" t="str">
        <f t="shared" si="35"/>
        <v>MRKU IV кв. 2024</v>
      </c>
      <c r="C211">
        <v>2024</v>
      </c>
      <c r="D211">
        <f>SUMIFS(Дивиденды!$C:$C,Дивиденды!$A:$A,A211,Дивиденды!$I:$I,C211)</f>
        <v>7.5800000000000006E-2</v>
      </c>
      <c r="E211">
        <v>2</v>
      </c>
      <c r="F211">
        <f t="shared" si="36"/>
        <v>7.5800000000000006E-2</v>
      </c>
      <c r="G211">
        <f t="shared" si="37"/>
        <v>5.7083333333333326E-2</v>
      </c>
      <c r="H211">
        <f t="shared" si="38"/>
        <v>1</v>
      </c>
      <c r="I211">
        <f t="shared" si="34"/>
        <v>0.5</v>
      </c>
      <c r="J211">
        <f t="shared" si="39"/>
        <v>0.39338235294117668</v>
      </c>
      <c r="K211">
        <f t="shared" si="43"/>
        <v>5.3378790697906103E-2</v>
      </c>
      <c r="L211">
        <f t="shared" si="40"/>
        <v>1</v>
      </c>
      <c r="M211">
        <f t="shared" si="33"/>
        <v>0.5</v>
      </c>
      <c r="N211">
        <f t="shared" si="41"/>
        <v>0</v>
      </c>
      <c r="O211">
        <f t="shared" si="42"/>
        <v>8.3333333333333329E-2</v>
      </c>
      <c r="P211">
        <f>IFERROR(LN('Дивиденды по годам'!I211),"")</f>
        <v>25.649780618746973</v>
      </c>
      <c r="Q211">
        <f>IFERROR('Дивиденды по годам'!G211/'Дивиденды по годам'!I211, "")</f>
        <v>0.77577219010949316</v>
      </c>
      <c r="R211">
        <f>IFERROR(IF(AND('Дивиденды по годам'!N211&lt;&gt;"",'Дивиденды по годам'!U211&lt;&gt;"",'Дивиденды по годам'!U211&lt;&gt;0),'Дивиденды по годам'!N211/'Дивиденды по годам'!U211-1,""),"")</f>
        <v>8.6663330743442346E-2</v>
      </c>
      <c r="S211">
        <f>IFERROR(IF(AND('Дивиденды по годам'!L211&lt;&gt;"",'Дивиденды по годам'!I211&lt;&gt;"",'Дивиденды по годам'!J211&lt;&gt;"",'Дивиденды по годам'!K211&lt;&gt;"",('Дивиденды по годам'!I211-'Дивиденды по годам'!J211-'Дивиденды по годам'!K211)&lt;&gt;0),'Дивиденды по годам'!L211/('Дивиденды по годам'!I211-'Дивиденды по годам'!J211-'Дивиденды по годам'!K211),""),"")</f>
        <v>0.80898697657172813</v>
      </c>
      <c r="T211">
        <f>IFERROR(IF(AND('Дивиденды по годам'!Q211&lt;&gt;"",'Дивиденды по годам'!I211&lt;&gt;"",'Дивиденды по годам'!V211&lt;&gt;"",('Дивиденды по годам'!I211+'Дивиденды по годам'!V211)&lt;&gt;0),'Дивиденды по годам'!Q211/(('Дивиденды по годам'!I211+'Дивиденды по годам'!V211)/2),""),"")</f>
        <v>9.6958349587478149E-2</v>
      </c>
      <c r="U211">
        <f>IFERROR(IF(AND('Дивиденды по годам'!J211&lt;&gt;"",'Дивиденды по годам'!K211&lt;&gt;"",'Дивиденды по годам'!M211&lt;&gt;"",'Дивиденды по годам'!M211&lt;&gt;0),('Дивиденды по годам'!J211+'Дивиденды по годам'!K211)/'Дивиденды по годам'!M211,""),"")</f>
        <v>0.96943444919852684</v>
      </c>
      <c r="V211" cm="1">
        <f t="array" ref="V211">IFERROR(AVERAGE(_xlfn._xlws.FILTER(P$2:P$1073,($C$2:$C$1073=$C211)*($E$2:$E$1073=$E211)*(ROW(P$2:P$1073)&lt;&gt;ROW(P211))*(P$2:P$1073&lt;&gt;""))),"")</f>
        <v>26.628380336758863</v>
      </c>
      <c r="W211" cm="1">
        <f t="array" ref="W211">IFERROR(AVERAGE(_xlfn._xlws.FILTER(Q$2:Q$1073,($C$2:$C$1073=$C211)*($E$2:$E$1073=$E211)*(ROW(Q$2:Q$1073)&lt;&gt;ROW(Q211))*(Q$2:Q$1073&lt;&gt;""))),"")</f>
        <v>0.67933134130469652</v>
      </c>
      <c r="X211" cm="1">
        <f t="array" ref="X211">IFERROR(AVERAGE(_xlfn._xlws.FILTER(R$2:R$1073,($C$2:$C$1073=$C211)*($E$2:$E$1073=$E211)*(ROW(R$2:R$1073)&lt;&gt;ROW(R211))*(R$2:R$1073&lt;&gt;""))),"")</f>
        <v>0.10074465349480105</v>
      </c>
      <c r="Y211" cm="1">
        <f t="array" ref="Y211">IFERROR(AVERAGE(_xlfn._xlws.FILTER(S$2:S$1073,($C$2:$C$1073=$C211)*($E$2:$E$1073=$E211)*(ROW(S$2:S$1073)&lt;&gt;ROW(S211))*(S$2:S$1073&lt;&gt;""))),"")</f>
        <v>0.53569265606075223</v>
      </c>
      <c r="Z211" cm="1">
        <f t="array" ref="Z211">IFERROR(AVERAGE(_xlfn._xlws.FILTER(T$2:T$1073,($C$2:$C$1073=$C211)*($E$2:$E$1073=$E211)*(ROW(T$2:T$1073)&lt;&gt;ROW(T211))*(T$2:T$1073&lt;&gt;""))),"")</f>
        <v>5.2915084612205593E-2</v>
      </c>
      <c r="AA211" cm="1">
        <f t="array" ref="AA211">IFERROR(AVERAGE(_xlfn._xlws.FILTER(U$2:U$1073,($C$2:$C$1073=$C211)*($E$2:$E$1073=$E211)*(ROW(U$2:U$1073)&lt;&gt;ROW(U211))*(U$2:U$1073&lt;&gt;""))),"")</f>
        <v>0.92784246650502056</v>
      </c>
    </row>
    <row r="212" spans="1:27" x14ac:dyDescent="0.2">
      <c r="A212" s="7" t="s">
        <v>2204</v>
      </c>
      <c r="B212" t="str">
        <f t="shared" si="35"/>
        <v>MRKU IV кв. 2023</v>
      </c>
      <c r="C212">
        <v>2023</v>
      </c>
      <c r="D212">
        <f>SUMIFS(Дивиденды!$C:$C,Дивиденды!$A:$A,A212,Дивиденды!$I:$I,C212)</f>
        <v>5.4399999999999997E-2</v>
      </c>
      <c r="E212">
        <v>2</v>
      </c>
      <c r="F212">
        <f t="shared" si="36"/>
        <v>5.4399999999999997E-2</v>
      </c>
      <c r="G212">
        <f t="shared" si="37"/>
        <v>6.1766666666666664E-2</v>
      </c>
      <c r="H212">
        <f t="shared" si="38"/>
        <v>1</v>
      </c>
      <c r="I212">
        <f t="shared" si="34"/>
        <v>0.5</v>
      </c>
      <c r="J212">
        <f t="shared" si="39"/>
        <v>1.2723475355054301</v>
      </c>
      <c r="K212">
        <f t="shared" si="43"/>
        <v>1.1004281343535149E-2</v>
      </c>
      <c r="L212">
        <f t="shared" si="40"/>
        <v>1</v>
      </c>
      <c r="M212">
        <f t="shared" si="33"/>
        <v>0.41666666666666669</v>
      </c>
      <c r="N212">
        <f t="shared" si="41"/>
        <v>0</v>
      </c>
      <c r="O212">
        <f t="shared" si="42"/>
        <v>0.25</v>
      </c>
      <c r="P212">
        <f>IFERROR(LN('Дивиденды по годам'!I212),"")</f>
        <v>25.535883594321572</v>
      </c>
      <c r="Q212">
        <f>IFERROR('Дивиденды по годам'!G212/'Дивиденды по годам'!I212, "")</f>
        <v>0.75774366754184286</v>
      </c>
      <c r="R212">
        <f>IFERROR(IF(AND('Дивиденды по годам'!N212&lt;&gt;"",'Дивиденды по годам'!U212&lt;&gt;"",'Дивиденды по годам'!U212&lt;&gt;0),'Дивиденды по годам'!N212/'Дивиденды по годам'!U212-1,""),"")</f>
        <v>3.0294026530472307E-2</v>
      </c>
      <c r="S212">
        <f>IFERROR(IF(AND('Дивиденды по годам'!L212&lt;&gt;"",'Дивиденды по годам'!I212&lt;&gt;"",'Дивиденды по годам'!J212&lt;&gt;"",'Дивиденды по годам'!K212&lt;&gt;"",('Дивиденды по годам'!I212-'Дивиденды по годам'!J212-'Дивиденды по годам'!K212)&lt;&gt;0),'Дивиденды по годам'!L212/('Дивиденды по годам'!I212-'Дивиденды по годам'!J212-'Дивиденды по годам'!K212),""),"")</f>
        <v>0.80018363100734868</v>
      </c>
      <c r="T212">
        <f>IFERROR(IF(AND('Дивиденды по годам'!Q212&lt;&gt;"",'Дивиденды по годам'!I212&lt;&gt;"",'Дивиденды по годам'!V212&lt;&gt;"",('Дивиденды по годам'!I212+'Дивиденды по годам'!V212)&lt;&gt;0),'Дивиденды по годам'!Q212/(('Дивиденды по годам'!I212+'Дивиденды по годам'!V212)/2),""),"")</f>
        <v>0.10306355549393796</v>
      </c>
      <c r="U212">
        <f>IFERROR(IF(AND('Дивиденды по годам'!J212&lt;&gt;"",'Дивиденды по годам'!K212&lt;&gt;"",'Дивиденды по годам'!M212&lt;&gt;"",'Дивиденды по годам'!M212&lt;&gt;0),('Дивиденды по годам'!J212+'Дивиденды по годам'!K212)/'Дивиденды по годам'!M212,""),"")</f>
        <v>0.88074551871930939</v>
      </c>
      <c r="V212" cm="1">
        <f t="array" ref="V212">IFERROR(AVERAGE(_xlfn._xlws.FILTER(P$2:P$1073,($C$2:$C$1073=$C212)*($E$2:$E$1073=$E212)*(ROW(P$2:P$1073)&lt;&gt;ROW(P212))*(P$2:P$1073&lt;&gt;""))),"")</f>
        <v>26.51028488720495</v>
      </c>
      <c r="W212" cm="1">
        <f t="array" ref="W212">IFERROR(AVERAGE(_xlfn._xlws.FILTER(Q$2:Q$1073,($C$2:$C$1073=$C212)*($E$2:$E$1073=$E212)*(ROW(Q$2:Q$1073)&lt;&gt;ROW(Q212))*(Q$2:Q$1073&lt;&gt;""))),"")</f>
        <v>0.70353515588440219</v>
      </c>
      <c r="X212" cm="1">
        <f t="array" ref="X212">IFERROR(AVERAGE(_xlfn._xlws.FILTER(R$2:R$1073,($C$2:$C$1073=$C212)*($E$2:$E$1073=$E212)*(ROW(R$2:R$1073)&lt;&gt;ROW(R212))*(R$2:R$1073&lt;&gt;""))),"")</f>
        <v>0.15199073260375351</v>
      </c>
      <c r="Y212" cm="1">
        <f t="array" ref="Y212">IFERROR(AVERAGE(_xlfn._xlws.FILTER(S$2:S$1073,($C$2:$C$1073=$C212)*($E$2:$E$1073=$E212)*(ROW(S$2:S$1073)&lt;&gt;ROW(S212))*(S$2:S$1073&lt;&gt;""))),"")</f>
        <v>0.51173821055731494</v>
      </c>
      <c r="Z212" cm="1">
        <f t="array" ref="Z212">IFERROR(AVERAGE(_xlfn._xlws.FILTER(T$2:T$1073,($C$2:$C$1073=$C212)*($E$2:$E$1073=$E212)*(ROW(T$2:T$1073)&lt;&gt;ROW(T212))*(T$2:T$1073&lt;&gt;""))),"")</f>
        <v>7.2799967076632596E-2</v>
      </c>
      <c r="AA212" cm="1">
        <f t="array" ref="AA212">IFERROR(AVERAGE(_xlfn._xlws.FILTER(U$2:U$1073,($C$2:$C$1073=$C212)*($E$2:$E$1073=$E212)*(ROW(U$2:U$1073)&lt;&gt;ROW(U212))*(U$2:U$1073&lt;&gt;""))),"")</f>
        <v>0.817598587977174</v>
      </c>
    </row>
    <row r="213" spans="1:27" x14ac:dyDescent="0.2">
      <c r="A213" s="7" t="s">
        <v>2204</v>
      </c>
      <c r="B213" t="str">
        <f t="shared" si="35"/>
        <v>MRKU IV кв. 2022</v>
      </c>
      <c r="C213">
        <v>2022</v>
      </c>
      <c r="D213">
        <f>SUMIFS(Дивиденды!$C:$C,Дивиденды!$A:$A,A213,Дивиденды!$I:$I,C213)</f>
        <v>2.3939999999999999E-2</v>
      </c>
      <c r="E213">
        <v>2</v>
      </c>
      <c r="F213">
        <f t="shared" si="36"/>
        <v>2.3939999999999999E-2</v>
      </c>
      <c r="G213">
        <f t="shared" si="37"/>
        <v>6.2736666666666677E-2</v>
      </c>
      <c r="H213">
        <f t="shared" si="38"/>
        <v>1</v>
      </c>
      <c r="I213">
        <f t="shared" si="34"/>
        <v>0.58333333333333337</v>
      </c>
      <c r="J213">
        <f t="shared" si="39"/>
        <v>-3.8554216867469841E-2</v>
      </c>
      <c r="K213">
        <f t="shared" si="43"/>
        <v>-0.15842901018811792</v>
      </c>
      <c r="L213">
        <f t="shared" si="40"/>
        <v>0</v>
      </c>
      <c r="M213">
        <f t="shared" si="33"/>
        <v>0.33333333333333331</v>
      </c>
      <c r="N213">
        <f t="shared" si="41"/>
        <v>1</v>
      </c>
      <c r="O213">
        <f t="shared" si="42"/>
        <v>0.41666666666666669</v>
      </c>
      <c r="P213">
        <f>IFERROR(LN('Дивиденды по годам'!I213),"")</f>
        <v>25.396061381134576</v>
      </c>
      <c r="Q213">
        <f>IFERROR('Дивиденды по годам'!G213/'Дивиденды по годам'!I213, "")</f>
        <v>0.76962816276182955</v>
      </c>
      <c r="R213">
        <f>IFERROR(IF(AND('Дивиденды по годам'!N213&lt;&gt;"",'Дивиденды по годам'!U213&lt;&gt;"",'Дивиденды по годам'!U213&lt;&gt;0),'Дивиденды по годам'!N213/'Дивиденды по годам'!U213-1,""),"")</f>
        <v>6.7033585140108487E-2</v>
      </c>
      <c r="S213">
        <f>IFERROR(IF(AND('Дивиденды по годам'!L213&lt;&gt;"",'Дивиденды по годам'!I213&lt;&gt;"",'Дивиденды по годам'!J213&lt;&gt;"",'Дивиденды по годам'!K213&lt;&gt;"",('Дивиденды по годам'!I213-'Дивиденды по годам'!J213-'Дивиденды по годам'!K213)&lt;&gt;0),'Дивиденды по годам'!L213/('Дивиденды по годам'!I213-'Дивиденды по годам'!J213-'Дивиденды по годам'!K213),""),"")</f>
        <v>0.79077112130081972</v>
      </c>
      <c r="T213">
        <f>IFERROR(IF(AND('Дивиденды по годам'!Q213&lt;&gt;"",'Дивиденды по годам'!I213&lt;&gt;"",'Дивиденды по годам'!V213&lt;&gt;"",('Дивиденды по годам'!I213+'Дивиденды по годам'!V213)&lt;&gt;0),'Дивиденды по годам'!Q213/(('Дивиденды по годам'!I213+'Дивиденды по годам'!V213)/2),""),"")</f>
        <v>4.1006725605803214E-2</v>
      </c>
      <c r="U213">
        <f>IFERROR(IF(AND('Дивиденды по годам'!J213&lt;&gt;"",'Дивиденды по годам'!K213&lt;&gt;"",'Дивиденды по годам'!M213&lt;&gt;"",'Дивиденды по годам'!M213&lt;&gt;0),('Дивиденды по годам'!J213+'Дивиденды по годам'!K213)/'Дивиденды по годам'!M213,""),"")</f>
        <v>1.0536376180895337</v>
      </c>
      <c r="V213" cm="1">
        <f t="array" ref="V213">IFERROR(AVERAGE(_xlfn._xlws.FILTER(P$2:P$1073,($C$2:$C$1073=$C213)*($E$2:$E$1073=$E213)*(ROW(P$2:P$1073)&lt;&gt;ROW(P213))*(P$2:P$1073&lt;&gt;""))),"")</f>
        <v>26.413195838217632</v>
      </c>
      <c r="W213" cm="1">
        <f t="array" ref="W213">IFERROR(AVERAGE(_xlfn._xlws.FILTER(Q$2:Q$1073,($C$2:$C$1073=$C213)*($E$2:$E$1073=$E213)*(ROW(Q$2:Q$1073)&lt;&gt;ROW(Q213))*(Q$2:Q$1073&lt;&gt;""))),"")</f>
        <v>0.70129475546200359</v>
      </c>
      <c r="X213" cm="1">
        <f t="array" ref="X213">IFERROR(AVERAGE(_xlfn._xlws.FILTER(R$2:R$1073,($C$2:$C$1073=$C213)*($E$2:$E$1073=$E213)*(ROW(R$2:R$1073)&lt;&gt;ROW(R213))*(R$2:R$1073&lt;&gt;""))),"")</f>
        <v>7.378588150793261E-2</v>
      </c>
      <c r="Y213" cm="1">
        <f t="array" ref="Y213">IFERROR(AVERAGE(_xlfn._xlws.FILTER(S$2:S$1073,($C$2:$C$1073=$C213)*($E$2:$E$1073=$E213)*(ROW(S$2:S$1073)&lt;&gt;ROW(S213))*(S$2:S$1073&lt;&gt;""))),"")</f>
        <v>0.48431271668238313</v>
      </c>
      <c r="Z213" cm="1">
        <f t="array" ref="Z213">IFERROR(AVERAGE(_xlfn._xlws.FILTER(T$2:T$1073,($C$2:$C$1073=$C213)*($E$2:$E$1073=$E213)*(ROW(T$2:T$1073)&lt;&gt;ROW(T213))*(T$2:T$1073&lt;&gt;""))),"")</f>
        <v>8.5757058029089228E-3</v>
      </c>
      <c r="AA213" cm="1">
        <f t="array" ref="AA213">IFERROR(AVERAGE(_xlfn._xlws.FILTER(U$2:U$1073,($C$2:$C$1073=$C213)*($E$2:$E$1073=$E213)*(ROW(U$2:U$1073)&lt;&gt;ROW(U213))*(U$2:U$1073&lt;&gt;""))),"")</f>
        <v>0.89318440560078394</v>
      </c>
    </row>
    <row r="214" spans="1:27" x14ac:dyDescent="0.2">
      <c r="A214" s="7" t="s">
        <v>2204</v>
      </c>
      <c r="B214" t="str">
        <f t="shared" si="35"/>
        <v>MRKU IV кв. 2021</v>
      </c>
      <c r="C214">
        <v>2021</v>
      </c>
      <c r="D214">
        <f>SUMIFS(Дивиденды!$C:$C,Дивиденды!$A:$A,A214,Дивиденды!$I:$I,C214)</f>
        <v>2.4899999999999999E-2</v>
      </c>
      <c r="E214">
        <v>2</v>
      </c>
      <c r="F214">
        <f t="shared" si="36"/>
        <v>2.4899999999999999E-2</v>
      </c>
      <c r="G214">
        <f t="shared" si="37"/>
        <v>7.9710249999999996E-2</v>
      </c>
      <c r="H214">
        <f t="shared" si="38"/>
        <v>1</v>
      </c>
      <c r="I214">
        <f t="shared" si="34"/>
        <v>0.75</v>
      </c>
      <c r="J214">
        <f t="shared" si="39"/>
        <v>1</v>
      </c>
      <c r="K214">
        <f t="shared" si="43"/>
        <v>8.0542850590722317E-2</v>
      </c>
      <c r="L214">
        <f t="shared" si="40"/>
        <v>1</v>
      </c>
      <c r="M214">
        <f t="shared" si="33"/>
        <v>0.58333333333333337</v>
      </c>
      <c r="N214">
        <f t="shared" si="41"/>
        <v>0</v>
      </c>
      <c r="O214">
        <f t="shared" si="42"/>
        <v>0.25</v>
      </c>
      <c r="P214">
        <f>IFERROR(LN('Дивиденды по годам'!I214),"")</f>
        <v>25.344092153618679</v>
      </c>
      <c r="Q214">
        <f>IFERROR('Дивиденды по годам'!G214/'Дивиденды по годам'!I214, "")</f>
        <v>0.77941334955102892</v>
      </c>
      <c r="R214">
        <f>IFERROR(IF(AND('Дивиденды по годам'!N214&lt;&gt;"",'Дивиденды по годам'!U214&lt;&gt;"",'Дивиденды по годам'!U214&lt;&gt;0),'Дивиденды по годам'!N214/'Дивиденды по годам'!U214-1,""),"")</f>
        <v>8.9066035333738469E-2</v>
      </c>
      <c r="S214">
        <f>IFERROR(IF(AND('Дивиденды по годам'!L214&lt;&gt;"",'Дивиденды по годам'!I214&lt;&gt;"",'Дивиденды по годам'!J214&lt;&gt;"",'Дивиденды по годам'!K214&lt;&gt;"",('Дивиденды по годам'!I214-'Дивиденды по годам'!J214-'Дивиденды по годам'!K214)&lt;&gt;0),'Дивиденды по годам'!L214/('Дивиденды по годам'!I214-'Дивиденды по годам'!J214-'Дивиденды по годам'!K214),""),"")</f>
        <v>0.77524079818932301</v>
      </c>
      <c r="T214">
        <f>IFERROR(IF(AND('Дивиденды по годам'!Q214&lt;&gt;"",'Дивиденды по годам'!I214&lt;&gt;"",'Дивиденды по годам'!V214&lt;&gt;"",('Дивиденды по годам'!I214+'Дивиденды по годам'!V214)&lt;&gt;0),'Дивиденды по годам'!Q214/(('Дивиденды по годам'!I214+'Дивиденды по годам'!V214)/2),""),"")</f>
        <v>3.9302719505697858E-2</v>
      </c>
      <c r="U214">
        <f>IFERROR(IF(AND('Дивиденды по годам'!J214&lt;&gt;"",'Дивиденды по годам'!K214&lt;&gt;"",'Дивиденды по годам'!M214&lt;&gt;"",'Дивиденды по годам'!M214&lt;&gt;0),('Дивиденды по годам'!J214+'Дивиденды по годам'!K214)/'Дивиденды по годам'!M214,""),"")</f>
        <v>0.92489856745443833</v>
      </c>
      <c r="V214" cm="1">
        <f t="array" ref="V214">IFERROR(AVERAGE(_xlfn._xlws.FILTER(P$2:P$1073,($C$2:$C$1073=$C214)*($E$2:$E$1073=$E214)*(ROW(P$2:P$1073)&lt;&gt;ROW(P214))*(P$2:P$1073&lt;&gt;""))),"")</f>
        <v>25.984978063598238</v>
      </c>
      <c r="W214" cm="1">
        <f t="array" ref="W214">IFERROR(AVERAGE(_xlfn._xlws.FILTER(Q$2:Q$1073,($C$2:$C$1073=$C214)*($E$2:$E$1073=$E214)*(ROW(Q$2:Q$1073)&lt;&gt;ROW(Q214))*(Q$2:Q$1073&lt;&gt;""))),"")</f>
        <v>0.76901856385224032</v>
      </c>
      <c r="X214" cm="1">
        <f t="array" ref="X214">IFERROR(AVERAGE(_xlfn._xlws.FILTER(R$2:R$1073,($C$2:$C$1073=$C214)*($E$2:$E$1073=$E214)*(ROW(R$2:R$1073)&lt;&gt;ROW(R214))*(R$2:R$1073&lt;&gt;""))),"")</f>
        <v>0.13049656696411721</v>
      </c>
      <c r="Y214" cm="1">
        <f t="array" ref="Y214">IFERROR(AVERAGE(_xlfn._xlws.FILTER(S$2:S$1073,($C$2:$C$1073=$C214)*($E$2:$E$1073=$E214)*(ROW(S$2:S$1073)&lt;&gt;ROW(S214))*(S$2:S$1073&lt;&gt;""))),"")</f>
        <v>0.47378371532226782</v>
      </c>
      <c r="Z214" cm="1">
        <f t="array" ref="Z214">IFERROR(AVERAGE(_xlfn._xlws.FILTER(T$2:T$1073,($C$2:$C$1073=$C214)*($E$2:$E$1073=$E214)*(ROW(T$2:T$1073)&lt;&gt;ROW(T214))*(T$2:T$1073&lt;&gt;""))),"")</f>
        <v>3.6147862989081847E-2</v>
      </c>
      <c r="AA214" cm="1">
        <f t="array" ref="AA214">IFERROR(AVERAGE(_xlfn._xlws.FILTER(U$2:U$1073,($C$2:$C$1073=$C214)*($E$2:$E$1073=$E214)*(ROW(U$2:U$1073)&lt;&gt;ROW(U214))*(U$2:U$1073&lt;&gt;""))),"")</f>
        <v>0.69380497577539713</v>
      </c>
    </row>
    <row r="215" spans="1:27" x14ac:dyDescent="0.2">
      <c r="A215" s="7" t="s">
        <v>2204</v>
      </c>
      <c r="B215" t="str">
        <f t="shared" si="35"/>
        <v>MRKU IV кв. 2020</v>
      </c>
      <c r="C215">
        <v>2020</v>
      </c>
      <c r="D215">
        <f>SUMIFS(Дивиденды!$C:$C,Дивиденды!$A:$A,A215,Дивиденды!$I:$I,C215)</f>
        <v>0</v>
      </c>
      <c r="E215">
        <v>2</v>
      </c>
      <c r="F215">
        <f t="shared" si="36"/>
        <v>0</v>
      </c>
      <c r="G215">
        <f t="shared" si="37"/>
        <v>6.9905916666666665E-2</v>
      </c>
      <c r="H215">
        <f t="shared" si="38"/>
        <v>0</v>
      </c>
      <c r="I215">
        <f t="shared" si="34"/>
        <v>0.83333333333333337</v>
      </c>
      <c r="J215">
        <f t="shared" si="39"/>
        <v>-1</v>
      </c>
      <c r="K215">
        <f t="shared" si="43"/>
        <v>-2.2906983693792141E-3</v>
      </c>
      <c r="L215">
        <f t="shared" si="40"/>
        <v>0</v>
      </c>
      <c r="M215">
        <f t="shared" si="33"/>
        <v>0.58333333333333337</v>
      </c>
      <c r="N215">
        <f t="shared" si="41"/>
        <v>1</v>
      </c>
      <c r="O215">
        <f t="shared" si="42"/>
        <v>0.41666666666666669</v>
      </c>
      <c r="P215">
        <f>IFERROR(LN('Дивиденды по годам'!I215),"")</f>
        <v>25.264678018447878</v>
      </c>
      <c r="Q215">
        <f>IFERROR('Дивиденды по годам'!G215/'Дивиденды по годам'!I215, "")</f>
        <v>0.79399759773707146</v>
      </c>
      <c r="R215">
        <f>IFERROR(IF(AND('Дивиденды по годам'!N215&lt;&gt;"",'Дивиденды по годам'!U215&lt;&gt;"",'Дивиденды по годам'!U215&lt;&gt;0),'Дивиденды по годам'!N215/'Дивиденды по годам'!U215-1,""),"")</f>
        <v>-0.16512383790898488</v>
      </c>
      <c r="S215">
        <f>IFERROR(IF(AND('Дивиденды по годам'!L215&lt;&gt;"",'Дивиденды по годам'!I215&lt;&gt;"",'Дивиденды по годам'!J215&lt;&gt;"",'Дивиденды по годам'!K215&lt;&gt;"",('Дивиденды по годам'!I215-'Дивиденды по годам'!J215-'Дивиденды по годам'!K215)&lt;&gt;0),'Дивиденды по годам'!L215/('Дивиденды по годам'!I215-'Дивиденды по годам'!J215-'Дивиденды по годам'!K215),""),"")</f>
        <v>0.77464995367538581</v>
      </c>
      <c r="T215">
        <f>IFERROR(IF(AND('Дивиденды по годам'!Q215&lt;&gt;"",'Дивиденды по годам'!I215&lt;&gt;"",'Дивиденды по годам'!V215&lt;&gt;"",('Дивиденды по годам'!I215+'Дивиденды по годам'!V215)&lt;&gt;0),'Дивиденды по годам'!Q215/(('Дивиденды по годам'!I215+'Дивиденды по годам'!V215)/2),""),"")</f>
        <v>6.7283685321027223E-3</v>
      </c>
      <c r="U215">
        <f>IFERROR(IF(AND('Дивиденды по годам'!J215&lt;&gt;"",'Дивиденды по годам'!K215&lt;&gt;"",'Дивиденды по годам'!M215&lt;&gt;"",'Дивиденды по годам'!M215&lt;&gt;0),('Дивиденды по годам'!J215+'Дивиденды по годам'!K215)/'Дивиденды по годам'!M215,""),"")</f>
        <v>0.95718631047675573</v>
      </c>
      <c r="V215" cm="1">
        <f t="array" ref="V215">IFERROR(AVERAGE(_xlfn._xlws.FILTER(P$2:P$1073,($C$2:$C$1073=$C215)*($E$2:$E$1073=$E215)*(ROW(P$2:P$1073)&lt;&gt;ROW(P215))*(P$2:P$1073&lt;&gt;""))),"")</f>
        <v>26.248828943462982</v>
      </c>
      <c r="W215" cm="1">
        <f t="array" ref="W215">IFERROR(AVERAGE(_xlfn._xlws.FILTER(Q$2:Q$1073,($C$2:$C$1073=$C215)*($E$2:$E$1073=$E215)*(ROW(Q$2:Q$1073)&lt;&gt;ROW(Q215))*(Q$2:Q$1073&lt;&gt;""))),"")</f>
        <v>0.74088342245800709</v>
      </c>
      <c r="X215" cm="1">
        <f t="array" ref="X215">IFERROR(AVERAGE(_xlfn._xlws.FILTER(R$2:R$1073,($C$2:$C$1073=$C215)*($E$2:$E$1073=$E215)*(ROW(R$2:R$1073)&lt;&gt;ROW(R215))*(R$2:R$1073&lt;&gt;""))),"")</f>
        <v>-5.5781626873358907E-2</v>
      </c>
      <c r="Y215" cm="1">
        <f t="array" ref="Y215">IFERROR(AVERAGE(_xlfn._xlws.FILTER(S$2:S$1073,($C$2:$C$1073=$C215)*($E$2:$E$1073=$E215)*(ROW(S$2:S$1073)&lt;&gt;ROW(S215))*(S$2:S$1073&lt;&gt;""))),"")</f>
        <v>0.46028862753105432</v>
      </c>
      <c r="Z215" cm="1">
        <f t="array" ref="Z215">IFERROR(AVERAGE(_xlfn._xlws.FILTER(T$2:T$1073,($C$2:$C$1073=$C215)*($E$2:$E$1073=$E215)*(ROW(T$2:T$1073)&lt;&gt;ROW(T215))*(T$2:T$1073&lt;&gt;""))),"")</f>
        <v>4.5645576309831327E-2</v>
      </c>
      <c r="AA215" cm="1">
        <f t="array" ref="AA215">IFERROR(AVERAGE(_xlfn._xlws.FILTER(U$2:U$1073,($C$2:$C$1073=$C215)*($E$2:$E$1073=$E215)*(ROW(U$2:U$1073)&lt;&gt;ROW(U215))*(U$2:U$1073&lt;&gt;""))),"")</f>
        <v>0.63476499472907555</v>
      </c>
    </row>
    <row r="216" spans="1:27" x14ac:dyDescent="0.2">
      <c r="A216" s="7" t="s">
        <v>2204</v>
      </c>
      <c r="B216" t="str">
        <f t="shared" si="35"/>
        <v>MRKU IV кв. 2019</v>
      </c>
      <c r="C216">
        <v>2019</v>
      </c>
      <c r="D216">
        <f>SUMIFS(Дивиденды!$C:$C,Дивиденды!$A:$A,A216,Дивиденды!$I:$I,C216)</f>
        <v>1.0500000000000001E-2</v>
      </c>
      <c r="E216">
        <v>2</v>
      </c>
      <c r="F216">
        <f t="shared" si="36"/>
        <v>1.0500000000000001E-2</v>
      </c>
      <c r="G216">
        <f t="shared" si="37"/>
        <v>7.0433666666666658E-2</v>
      </c>
      <c r="H216">
        <f t="shared" si="38"/>
        <v>1</v>
      </c>
      <c r="I216">
        <f t="shared" si="34"/>
        <v>1</v>
      </c>
      <c r="J216">
        <f t="shared" si="39"/>
        <v>2.5</v>
      </c>
      <c r="K216">
        <f t="shared" si="43"/>
        <v>-3.6240575663412371E-2</v>
      </c>
      <c r="L216">
        <f t="shared" si="40"/>
        <v>1</v>
      </c>
      <c r="M216">
        <f t="shared" si="33"/>
        <v>0.41666666666666669</v>
      </c>
      <c r="N216">
        <f t="shared" si="41"/>
        <v>0</v>
      </c>
      <c r="O216">
        <f t="shared" si="42"/>
        <v>0.5</v>
      </c>
      <c r="P216">
        <f>IFERROR(LN('Дивиденды по годам'!I216),"")</f>
        <v>25.234552153465813</v>
      </c>
      <c r="Q216">
        <f>IFERROR('Дивиденды по годам'!G216/'Дивиденды по годам'!I216, "")</f>
        <v>0.77134547001297726</v>
      </c>
      <c r="R216">
        <f>IFERROR(IF(AND('Дивиденды по годам'!N216&lt;&gt;"",'Дивиденды по годам'!U216&lt;&gt;"",'Дивиденды по годам'!U216&lt;&gt;0),'Дивиденды по годам'!N216/'Дивиденды по годам'!U216-1,""),"")</f>
        <v>5.8282990883574914E-2</v>
      </c>
      <c r="S216">
        <f>IFERROR(IF(AND('Дивиденды по годам'!L216&lt;&gt;"",'Дивиденды по годам'!I216&lt;&gt;"",'Дивиденды по годам'!J216&lt;&gt;"",'Дивиденды по годам'!K216&lt;&gt;"",('Дивиденды по годам'!I216-'Дивиденды по годам'!J216-'Дивиденды по годам'!K216)&lt;&gt;0),'Дивиденды по годам'!L216/('Дивиденды по годам'!I216-'Дивиденды по годам'!J216-'Дивиденды по годам'!K216),""),"")</f>
        <v>0.78446884595521349</v>
      </c>
      <c r="T216">
        <f>IFERROR(IF(AND('Дивиденды по годам'!Q216&lt;&gt;"",'Дивиденды по годам'!I216&lt;&gt;"",'Дивиденды по годам'!V216&lt;&gt;"",('Дивиденды по годам'!I216+'Дивиденды по годам'!V216)&lt;&gt;0),'Дивиденды по годам'!Q216/(('Дивиденды по годам'!I216+'Дивиденды по годам'!V216)/2),""),"")</f>
        <v>3.1991600198030885E-2</v>
      </c>
      <c r="U216">
        <f>IFERROR(IF(AND('Дивиденды по годам'!J216&lt;&gt;"",'Дивиденды по годам'!K216&lt;&gt;"",'Дивиденды по годам'!M216&lt;&gt;"",'Дивиденды по годам'!M216&lt;&gt;0),('Дивиденды по годам'!J216+'Дивиденды по годам'!K216)/'Дивиденды по годам'!M216,""),"")</f>
        <v>0.91497826438510999</v>
      </c>
      <c r="V216" cm="1">
        <f t="array" ref="V216">IFERROR(AVERAGE(_xlfn._xlws.FILTER(P$2:P$1073,($C$2:$C$1073=$C216)*($E$2:$E$1073=$E216)*(ROW(P$2:P$1073)&lt;&gt;ROW(P216))*(P$2:P$1073&lt;&gt;""))),"")</f>
        <v>26.208278625594954</v>
      </c>
      <c r="W216" cm="1">
        <f t="array" ref="W216">IFERROR(AVERAGE(_xlfn._xlws.FILTER(Q$2:Q$1073,($C$2:$C$1073=$C216)*($E$2:$E$1073=$E216)*(ROW(Q$2:Q$1073)&lt;&gt;ROW(Q216))*(Q$2:Q$1073&lt;&gt;""))),"")</f>
        <v>0.73413255677684808</v>
      </c>
      <c r="X216" cm="1">
        <f t="array" ref="X216">IFERROR(AVERAGE(_xlfn._xlws.FILTER(R$2:R$1073,($C$2:$C$1073=$C216)*($E$2:$E$1073=$E216)*(ROW(R$2:R$1073)&lt;&gt;ROW(R216))*(R$2:R$1073&lt;&gt;""))),"")</f>
        <v>-1.0855055125972475E-3</v>
      </c>
      <c r="Y216" cm="1">
        <f t="array" ref="Y216">IFERROR(AVERAGE(_xlfn._xlws.FILTER(S$2:S$1073,($C$2:$C$1073=$C216)*($E$2:$E$1073=$E216)*(ROW(S$2:S$1073)&lt;&gt;ROW(S216))*(S$2:S$1073&lt;&gt;""))),"")</f>
        <v>0.4481541505674082</v>
      </c>
      <c r="Z216" cm="1">
        <f t="array" ref="Z216">IFERROR(AVERAGE(_xlfn._xlws.FILTER(T$2:T$1073,($C$2:$C$1073=$C216)*($E$2:$E$1073=$E216)*(ROW(T$2:T$1073)&lt;&gt;ROW(T216))*(T$2:T$1073&lt;&gt;""))),"")</f>
        <v>5.3630517657957032E-2</v>
      </c>
      <c r="AA216" cm="1">
        <f t="array" ref="AA216">IFERROR(AVERAGE(_xlfn._xlws.FILTER(U$2:U$1073,($C$2:$C$1073=$C216)*($E$2:$E$1073=$E216)*(ROW(U$2:U$1073)&lt;&gt;ROW(U216))*(U$2:U$1073&lt;&gt;""))),"")</f>
        <v>0.64461049474252485</v>
      </c>
    </row>
    <row r="217" spans="1:27" x14ac:dyDescent="0.2">
      <c r="A217" s="7" t="s">
        <v>2204</v>
      </c>
      <c r="B217" t="str">
        <f t="shared" si="35"/>
        <v>MRKU IV кв. 2018</v>
      </c>
      <c r="C217">
        <v>2018</v>
      </c>
      <c r="D217">
        <f>SUMIFS(Дивиденды!$C:$C,Дивиденды!$A:$A,A217,Дивиденды!$I:$I,C217)</f>
        <v>3.0000000000000001E-3</v>
      </c>
      <c r="E217">
        <v>2</v>
      </c>
      <c r="F217">
        <f t="shared" si="36"/>
        <v>3.0000000000000001E-3</v>
      </c>
      <c r="G217">
        <f t="shared" si="37"/>
        <v>8.0320416666666658E-2</v>
      </c>
      <c r="H217">
        <f t="shared" si="38"/>
        <v>1</v>
      </c>
      <c r="I217">
        <f t="shared" si="34"/>
        <v>1</v>
      </c>
      <c r="J217">
        <f t="shared" si="39"/>
        <v>-0.86111111111111116</v>
      </c>
      <c r="K217">
        <f t="shared" si="43"/>
        <v>0.26801762089017805</v>
      </c>
      <c r="L217">
        <f t="shared" si="40"/>
        <v>0</v>
      </c>
      <c r="M217">
        <f t="shared" si="33"/>
        <v>0.66666666666666663</v>
      </c>
      <c r="N217">
        <f t="shared" si="41"/>
        <v>1</v>
      </c>
      <c r="O217">
        <f t="shared" si="42"/>
        <v>0.16666666666666666</v>
      </c>
      <c r="P217">
        <f>IFERROR(LN('Дивиденды по годам'!I217),"")</f>
        <v>25.124808906006404</v>
      </c>
      <c r="Q217">
        <f>IFERROR('Дивиденды по годам'!G217/'Дивиденды по годам'!I217, "")</f>
        <v>0.77398658807391574</v>
      </c>
      <c r="R217">
        <f>IFERROR(IF(AND('Дивиденды по годам'!N217&lt;&gt;"",'Дивиденды по годам'!U217&lt;&gt;"",'Дивиденды по годам'!U217&lt;&gt;0),'Дивиденды по годам'!N217/'Дивиденды по годам'!U217-1,""),"")</f>
        <v>0.2358284927551777</v>
      </c>
      <c r="S217">
        <f>IFERROR(IF(AND('Дивиденды по годам'!L217&lt;&gt;"",'Дивиденды по годам'!I217&lt;&gt;"",'Дивиденды по годам'!J217&lt;&gt;"",'Дивиденды по годам'!K217&lt;&gt;"",('Дивиденды по годам'!I217-'Дивиденды по годам'!J217-'Дивиденды по годам'!K217)&lt;&gt;0),'Дивиденды по годам'!L217/('Дивиденды по годам'!I217-'Дивиденды по годам'!J217-'Дивиденды по годам'!K217),""),"")</f>
        <v>0.77919191489057182</v>
      </c>
      <c r="T217">
        <f>IFERROR(IF(AND('Дивиденды по годам'!Q217&lt;&gt;"",'Дивиденды по годам'!I217&lt;&gt;"",'Дивиденды по годам'!V217&lt;&gt;"",('Дивиденды по годам'!I217+'Дивиденды по годам'!V217)&lt;&gt;0),'Дивиденды по годам'!Q217/(('Дивиденды по годам'!I217+'Дивиденды по годам'!V217)/2),""),"")</f>
        <v>8.0860235731209547E-3</v>
      </c>
      <c r="U217">
        <f>IFERROR(IF(AND('Дивиденды по годам'!J217&lt;&gt;"",'Дивиденды по годам'!K217&lt;&gt;"",'Дивиденды по годам'!M217&lt;&gt;"",'Дивиденды по годам'!M217&lt;&gt;0),('Дивиденды по годам'!J217+'Дивиденды по годам'!K217)/'Дивиденды по годам'!M217,""),"")</f>
        <v>0.80739134662676482</v>
      </c>
      <c r="V217" cm="1">
        <f t="array" ref="V217">IFERROR(AVERAGE(_xlfn._xlws.FILTER(P$2:P$1073,($C$2:$C$1073=$C217)*($E$2:$E$1073=$E217)*(ROW(P$2:P$1073)&lt;&gt;ROW(P217))*(P$2:P$1073&lt;&gt;""))),"")</f>
        <v>26.159857939021816</v>
      </c>
      <c r="W217" cm="1">
        <f t="array" ref="W217">IFERROR(AVERAGE(_xlfn._xlws.FILTER(Q$2:Q$1073,($C$2:$C$1073=$C217)*($E$2:$E$1073=$E217)*(ROW(Q$2:Q$1073)&lt;&gt;ROW(Q217))*(Q$2:Q$1073&lt;&gt;""))),"")</f>
        <v>0.75145027332882997</v>
      </c>
      <c r="X217" cm="1">
        <f t="array" ref="X217">IFERROR(AVERAGE(_xlfn._xlws.FILTER(R$2:R$1073,($C$2:$C$1073=$C217)*($E$2:$E$1073=$E217)*(ROW(R$2:R$1073)&lt;&gt;ROW(R217))*(R$2:R$1073&lt;&gt;""))),"")</f>
        <v>3.4730774307178275E-2</v>
      </c>
      <c r="Y217" cm="1">
        <f t="array" ref="Y217">IFERROR(AVERAGE(_xlfn._xlws.FILTER(S$2:S$1073,($C$2:$C$1073=$C217)*($E$2:$E$1073=$E217)*(ROW(S$2:S$1073)&lt;&gt;ROW(S217))*(S$2:S$1073&lt;&gt;""))),"")</f>
        <v>0.43817789280902919</v>
      </c>
      <c r="Z217" cm="1">
        <f t="array" ref="Z217">IFERROR(AVERAGE(_xlfn._xlws.FILTER(T$2:T$1073,($C$2:$C$1073=$C217)*($E$2:$E$1073=$E217)*(ROW(T$2:T$1073)&lt;&gt;ROW(T217))*(T$2:T$1073&lt;&gt;""))),"")</f>
        <v>7.3438592552844698E-2</v>
      </c>
      <c r="AA217" cm="1">
        <f t="array" ref="AA217">IFERROR(AVERAGE(_xlfn._xlws.FILTER(U$2:U$1073,($C$2:$C$1073=$C217)*($E$2:$E$1073=$E217)*(ROW(U$2:U$1073)&lt;&gt;ROW(U217))*(U$2:U$1073&lt;&gt;""))),"")</f>
        <v>0.61734924790101908</v>
      </c>
    </row>
    <row r="218" spans="1:27" x14ac:dyDescent="0.2">
      <c r="A218" s="7" t="s">
        <v>2204</v>
      </c>
      <c r="B218" t="str">
        <f t="shared" si="35"/>
        <v>MRKU IV кв. 2017</v>
      </c>
      <c r="C218">
        <v>2017</v>
      </c>
      <c r="D218">
        <f>SUMIFS(Дивиденды!$C:$C,Дивиденды!$A:$A,A218,Дивиденды!$I:$I,C218)</f>
        <v>2.1600000000000001E-2</v>
      </c>
      <c r="E218">
        <v>2</v>
      </c>
      <c r="F218">
        <f t="shared" si="36"/>
        <v>2.1600000000000001E-2</v>
      </c>
      <c r="G218">
        <f t="shared" si="37"/>
        <v>7.030883333333332E-2</v>
      </c>
      <c r="H218">
        <f t="shared" si="38"/>
        <v>1</v>
      </c>
      <c r="I218">
        <f t="shared" si="34"/>
        <v>1</v>
      </c>
      <c r="J218">
        <f t="shared" si="39"/>
        <v>1.602409638554217</v>
      </c>
      <c r="K218">
        <f t="shared" si="43"/>
        <v>0.50821550106076541</v>
      </c>
      <c r="L218">
        <f t="shared" si="40"/>
        <v>1</v>
      </c>
      <c r="M218">
        <f t="shared" si="33"/>
        <v>0.75</v>
      </c>
      <c r="N218">
        <f t="shared" si="41"/>
        <v>0</v>
      </c>
      <c r="O218">
        <f t="shared" si="42"/>
        <v>0.25</v>
      </c>
      <c r="P218">
        <f>IFERROR(LN('Дивиденды по годам'!I218),"")</f>
        <v>25.066103062977021</v>
      </c>
      <c r="Q218">
        <f>IFERROR('Дивиденды по годам'!G218/'Дивиденды по годам'!I218, "")</f>
        <v>0.79931620840609585</v>
      </c>
      <c r="R218">
        <f>IFERROR(IF(AND('Дивиденды по годам'!N218&lt;&gt;"",'Дивиденды по годам'!U218&lt;&gt;"",'Дивиденды по годам'!U218&lt;&gt;0),'Дивиденды по годам'!N218/'Дивиденды по годам'!U218-1,""),"")</f>
        <v>8.6138198294661628E-2</v>
      </c>
      <c r="S218">
        <f>IFERROR(IF(AND('Дивиденды по годам'!L218&lt;&gt;"",'Дивиденды по годам'!I218&lt;&gt;"",'Дивиденды по годам'!J218&lt;&gt;"",'Дивиденды по годам'!K218&lt;&gt;"",('Дивиденды по годам'!I218-'Дивиденды по годам'!J218-'Дивиденды по годам'!K218)&lt;&gt;0),'Дивиденды по годам'!L218/('Дивиденды по годам'!I218-'Дивиденды по годам'!J218-'Дивиденды по годам'!K218),""),"")</f>
        <v>0.79735143856692459</v>
      </c>
      <c r="T218">
        <f>IFERROR(IF(AND('Дивиденды по годам'!Q218&lt;&gt;"",'Дивиденды по годам'!I218&lt;&gt;"",'Дивиденды по годам'!V218&lt;&gt;"",('Дивиденды по годам'!I218+'Дивиденды по годам'!V218)&lt;&gt;0),'Дивиденды по годам'!Q218/(('Дивиденды по годам'!I218+'Дивиденды по годам'!V218)/2),""),"")</f>
        <v>5.4500068584606202E-2</v>
      </c>
      <c r="U218">
        <f>IFERROR(IF(AND('Дивиденды по годам'!J218&lt;&gt;"",'Дивиденды по годам'!K218&lt;&gt;"",'Дивиденды по годам'!M218&lt;&gt;"",'Дивиденды по годам'!M218&lt;&gt;0),('Дивиденды по годам'!J218+'Дивиденды по годам'!K218)/'Дивиденды по годам'!M218,""),"")</f>
        <v>0.66996333549958653</v>
      </c>
      <c r="V218" cm="1">
        <f t="array" ref="V218">IFERROR(AVERAGE(_xlfn._xlws.FILTER(P$2:P$1073,($C$2:$C$1073=$C218)*($E$2:$E$1073=$E218)*(ROW(P$2:P$1073)&lt;&gt;ROW(P218))*(P$2:P$1073&lt;&gt;""))),"")</f>
        <v>26.132137541258075</v>
      </c>
      <c r="W218" cm="1">
        <f t="array" ref="W218">IFERROR(AVERAGE(_xlfn._xlws.FILTER(Q$2:Q$1073,($C$2:$C$1073=$C218)*($E$2:$E$1073=$E218)*(ROW(Q$2:Q$1073)&lt;&gt;ROW(Q218))*(Q$2:Q$1073&lt;&gt;""))),"")</f>
        <v>0.75684930376610338</v>
      </c>
      <c r="X218" cm="1">
        <f t="array" ref="X218">IFERROR(AVERAGE(_xlfn._xlws.FILTER(R$2:R$1073,($C$2:$C$1073=$C218)*($E$2:$E$1073=$E218)*(ROW(R$2:R$1073)&lt;&gt;ROW(R218))*(R$2:R$1073&lt;&gt;""))),"")</f>
        <v>4.2532406764356885E-2</v>
      </c>
      <c r="Y218" cm="1">
        <f t="array" ref="Y218">IFERROR(AVERAGE(_xlfn._xlws.FILTER(S$2:S$1073,($C$2:$C$1073=$C218)*($E$2:$E$1073=$E218)*(ROW(S$2:S$1073)&lt;&gt;ROW(S218))*(S$2:S$1073&lt;&gt;""))),"")</f>
        <v>0.38906446674871736</v>
      </c>
      <c r="Z218" cm="1">
        <f t="array" ref="Z218">IFERROR(AVERAGE(_xlfn._xlws.FILTER(T$2:T$1073,($C$2:$C$1073=$C218)*($E$2:$E$1073=$E218)*(ROW(T$2:T$1073)&lt;&gt;ROW(T218))*(T$2:T$1073&lt;&gt;""))),"")</f>
        <v>8.3825850757188555E-2</v>
      </c>
      <c r="AA218" cm="1">
        <f t="array" ref="AA218">IFERROR(AVERAGE(_xlfn._xlws.FILTER(U$2:U$1073,($C$2:$C$1073=$C218)*($E$2:$E$1073=$E218)*(ROW(U$2:U$1073)&lt;&gt;ROW(U218))*(U$2:U$1073&lt;&gt;""))),"")</f>
        <v>0.62807952388019694</v>
      </c>
    </row>
    <row r="219" spans="1:27" x14ac:dyDescent="0.2">
      <c r="A219" s="7" t="s">
        <v>2204</v>
      </c>
      <c r="B219" t="str">
        <f t="shared" si="35"/>
        <v>MRKU IV кв. 2016</v>
      </c>
      <c r="C219">
        <v>2016</v>
      </c>
      <c r="D219">
        <f>SUMIFS(Дивиденды!$C:$C,Дивиденды!$A:$A,A219,Дивиденды!$I:$I,C219)</f>
        <v>8.3000000000000001E-3</v>
      </c>
      <c r="E219">
        <v>2</v>
      </c>
      <c r="F219">
        <f t="shared" si="36"/>
        <v>8.3000000000000001E-3</v>
      </c>
      <c r="G219">
        <f t="shared" si="37"/>
        <v>5.6703499999999997E-2</v>
      </c>
      <c r="H219">
        <f t="shared" si="38"/>
        <v>1</v>
      </c>
      <c r="I219">
        <f t="shared" si="34"/>
        <v>1</v>
      </c>
      <c r="J219">
        <f t="shared" si="39"/>
        <v>-0.41549295774647887</v>
      </c>
      <c r="K219">
        <f t="shared" si="43"/>
        <v>1.4416944509513498</v>
      </c>
      <c r="L219">
        <f t="shared" si="40"/>
        <v>0</v>
      </c>
      <c r="M219">
        <f t="shared" si="33"/>
        <v>0.91666666666666663</v>
      </c>
      <c r="N219">
        <f t="shared" si="41"/>
        <v>1</v>
      </c>
      <c r="O219">
        <f t="shared" si="42"/>
        <v>8.3333333333333329E-2</v>
      </c>
      <c r="P219">
        <f>IFERROR(LN('Дивиденды по годам'!I219),"")</f>
        <v>25.048259076435773</v>
      </c>
      <c r="Q219">
        <f>IFERROR('Дивиденды по годам'!G219/'Дивиденды по годам'!I219, "")</f>
        <v>0.80084212794700915</v>
      </c>
      <c r="R219">
        <f>IFERROR(IF(AND('Дивиденды по годам'!N219&lt;&gt;"",'Дивиденды по годам'!U219&lt;&gt;"",'Дивиденды по годам'!U219&lt;&gt;0),'Дивиденды по годам'!N219/'Дивиденды по годам'!U219-1,""),"")</f>
        <v>7.2539197288492785E-2</v>
      </c>
      <c r="S219">
        <f>IFERROR(IF(AND('Дивиденды по годам'!L219&lt;&gt;"",'Дивиденды по годам'!I219&lt;&gt;"",'Дивиденды по годам'!J219&lt;&gt;"",'Дивиденды по годам'!K219&lt;&gt;"",('Дивиденды по годам'!I219-'Дивиденды по годам'!J219-'Дивиденды по годам'!K219)&lt;&gt;0),'Дивиденды по годам'!L219/('Дивиденды по годам'!I219-'Дивиденды по годам'!J219-'Дивиденды по годам'!K219),""),"")</f>
        <v>0.79192589384038126</v>
      </c>
      <c r="T219">
        <f>IFERROR(IF(AND('Дивиденды по годам'!Q219&lt;&gt;"",'Дивиденды по годам'!I219&lt;&gt;"",'Дивиденды по годам'!V219&lt;&gt;"",('Дивиденды по годам'!I219+'Дивиденды по годам'!V219)&lt;&gt;0),'Дивиденды по годам'!Q219/(('Дивиденды по годам'!I219+'Дивиденды по годам'!V219)/2),""),"")</f>
        <v>1.7419896601414214E-2</v>
      </c>
      <c r="U219">
        <f>IFERROR(IF(AND('Дивиденды по годам'!J219&lt;&gt;"",'Дивиденды по годам'!K219&lt;&gt;"",'Дивиденды по годам'!M219&lt;&gt;"",'Дивиденды по годам'!M219&lt;&gt;0),('Дивиденды по годам'!J219+'Дивиденды по годам'!K219)/'Дивиденды по годам'!M219,""),"")</f>
        <v>0.79398998532686449</v>
      </c>
      <c r="V219" cm="1">
        <f t="array" ref="V219">IFERROR(AVERAGE(_xlfn._xlws.FILTER(P$2:P$1073,($C$2:$C$1073=$C219)*($E$2:$E$1073=$E219)*(ROW(P$2:P$1073)&lt;&gt;ROW(P219))*(P$2:P$1073&lt;&gt;""))),"")</f>
        <v>26.087817780332625</v>
      </c>
      <c r="W219" cm="1">
        <f t="array" ref="W219">IFERROR(AVERAGE(_xlfn._xlws.FILTER(Q$2:Q$1073,($C$2:$C$1073=$C219)*($E$2:$E$1073=$E219)*(ROW(Q$2:Q$1073)&lt;&gt;ROW(Q219))*(Q$2:Q$1073&lt;&gt;""))),"")</f>
        <v>0.7092172027574053</v>
      </c>
      <c r="X219" cm="1">
        <f t="array" ref="X219">IFERROR(AVERAGE(_xlfn._xlws.FILTER(R$2:R$1073,($C$2:$C$1073=$C219)*($E$2:$E$1073=$E219)*(ROW(R$2:R$1073)&lt;&gt;ROW(R219))*(R$2:R$1073&lt;&gt;""))),"")</f>
        <v>0.11833766071763344</v>
      </c>
      <c r="Y219" cm="1">
        <f t="array" ref="Y219">IFERROR(AVERAGE(_xlfn._xlws.FILTER(S$2:S$1073,($C$2:$C$1073=$C219)*($E$2:$E$1073=$E219)*(ROW(S$2:S$1073)&lt;&gt;ROW(S219))*(S$2:S$1073&lt;&gt;""))),"")</f>
        <v>0.37407125304543437</v>
      </c>
      <c r="Z219" cm="1">
        <f t="array" ref="Z219">IFERROR(AVERAGE(_xlfn._xlws.FILTER(T$2:T$1073,($C$2:$C$1073=$C219)*($E$2:$E$1073=$E219)*(ROW(T$2:T$1073)&lt;&gt;ROW(T219))*(T$2:T$1073&lt;&gt;""))),"")</f>
        <v>4.329636129537251E-2</v>
      </c>
      <c r="AA219" cm="1">
        <f t="array" ref="AA219">IFERROR(AVERAGE(_xlfn._xlws.FILTER(U$2:U$1073,($C$2:$C$1073=$C219)*($E$2:$E$1073=$E219)*(ROW(U$2:U$1073)&lt;&gt;ROW(U219))*(U$2:U$1073&lt;&gt;""))),"")</f>
        <v>0.72062488218845766</v>
      </c>
    </row>
    <row r="220" spans="1:27" x14ac:dyDescent="0.2">
      <c r="A220" s="7" t="s">
        <v>2204</v>
      </c>
      <c r="B220" t="str">
        <f t="shared" si="35"/>
        <v>MRKU IV кв. 2015</v>
      </c>
      <c r="C220">
        <v>2015</v>
      </c>
      <c r="D220">
        <f>SUMIFS(Дивиденды!$C:$C,Дивиденды!$A:$A,A220,Дивиденды!$I:$I,C220)</f>
        <v>1.4200000000000001E-2</v>
      </c>
      <c r="E220">
        <v>2</v>
      </c>
      <c r="F220">
        <f t="shared" si="36"/>
        <v>1.4200000000000001E-2</v>
      </c>
      <c r="G220">
        <f t="shared" si="37"/>
        <v>4.0256750000000001E-2</v>
      </c>
      <c r="H220">
        <f t="shared" si="38"/>
        <v>1</v>
      </c>
      <c r="I220">
        <f t="shared" si="34"/>
        <v>0.91666666666666663</v>
      </c>
      <c r="J220">
        <f t="shared" si="39"/>
        <v>1.4482758620689657</v>
      </c>
      <c r="K220">
        <f t="shared" si="43"/>
        <v>4.0242867898199286</v>
      </c>
      <c r="L220">
        <f t="shared" si="40"/>
        <v>1</v>
      </c>
      <c r="M220">
        <f t="shared" si="33"/>
        <v>0.66666666666666663</v>
      </c>
      <c r="N220">
        <f t="shared" si="41"/>
        <v>0</v>
      </c>
      <c r="O220">
        <f t="shared" si="42"/>
        <v>0.33333333333333331</v>
      </c>
      <c r="P220">
        <f>IFERROR(LN('Дивиденды по годам'!I220),"")</f>
        <v>25.07171956851996</v>
      </c>
      <c r="Q220">
        <f>IFERROR('Дивиденды по годам'!G220/'Дивиденды по годам'!I220, "")</f>
        <v>0.78740858193513019</v>
      </c>
      <c r="R220">
        <f>IFERROR(IF(AND('Дивиденды по годам'!N220&lt;&gt;"",'Дивиденды по годам'!U220&lt;&gt;"",'Дивиденды по годам'!U220&lt;&gt;0),'Дивиденды по годам'!N220/'Дивиденды по годам'!U220-1,""),"")</f>
        <v>1.0097238286974397E-2</v>
      </c>
      <c r="S220">
        <f>IFERROR(IF(AND('Дивиденды по годам'!L220&lt;&gt;"",'Дивиденды по годам'!I220&lt;&gt;"",'Дивиденды по годам'!J220&lt;&gt;"",'Дивиденды по годам'!K220&lt;&gt;"",('Дивиденды по годам'!I220-'Дивиденды по годам'!J220-'Дивиденды по годам'!K220)&lt;&gt;0),'Дивиденды по годам'!L220/('Дивиденды по годам'!I220-'Дивиденды по годам'!J220-'Дивиденды по годам'!K220),""),"")</f>
        <v>0.80357556044330136</v>
      </c>
      <c r="T220">
        <f>IFERROR(IF(AND('Дивиденды по годам'!Q220&lt;&gt;"",'Дивиденды по годам'!I220&lt;&gt;"",'Дивиденды по годам'!V220&lt;&gt;"",('Дивиденды по годам'!I220+'Дивиденды по годам'!V220)&lt;&gt;0),'Дивиденды по годам'!Q220/(('Дивиденды по годам'!I220+'Дивиденды по годам'!V220)/2),""),"")</f>
        <v>1.918180526952824E-2</v>
      </c>
      <c r="U220">
        <f>IFERROR(IF(AND('Дивиденды по годам'!J220&lt;&gt;"",'Дивиденды по годам'!K220&lt;&gt;"",'Дивиденды по годам'!M220&lt;&gt;"",'Дивиденды по годам'!M220&lt;&gt;0),('Дивиденды по годам'!J220+'Дивиденды по годам'!K220)/'Дивиденды по годам'!M220,""),"")</f>
        <v>0.87039096298398899</v>
      </c>
      <c r="V220" cm="1">
        <f t="array" ref="V220">IFERROR(AVERAGE(_xlfn._xlws.FILTER(P$2:P$1073,($C$2:$C$1073=$C220)*($E$2:$E$1073=$E220)*(ROW(P$2:P$1073)&lt;&gt;ROW(P220))*(P$2:P$1073&lt;&gt;""))),"")</f>
        <v>26.014769061852853</v>
      </c>
      <c r="W220" cm="1">
        <f t="array" ref="W220">IFERROR(AVERAGE(_xlfn._xlws.FILTER(Q$2:Q$1073,($C$2:$C$1073=$C220)*($E$2:$E$1073=$E220)*(ROW(Q$2:Q$1073)&lt;&gt;ROW(Q220))*(Q$2:Q$1073&lt;&gt;""))),"")</f>
        <v>0.77858044315601693</v>
      </c>
      <c r="X220" cm="1">
        <f t="array" ref="X220">IFERROR(AVERAGE(_xlfn._xlws.FILTER(R$2:R$1073,($C$2:$C$1073=$C220)*($E$2:$E$1073=$E220)*(ROW(R$2:R$1073)&lt;&gt;ROW(R220))*(R$2:R$1073&lt;&gt;""))),"")</f>
        <v>6.3800722730110483E-3</v>
      </c>
      <c r="Y220" cm="1">
        <f t="array" ref="Y220">IFERROR(AVERAGE(_xlfn._xlws.FILTER(S$2:S$1073,($C$2:$C$1073=$C220)*($E$2:$E$1073=$E220)*(ROW(S$2:S$1073)&lt;&gt;ROW(S220))*(S$2:S$1073&lt;&gt;""))),"")</f>
        <v>0.44397152687593122</v>
      </c>
      <c r="Z220" cm="1">
        <f t="array" ref="Z220">IFERROR(AVERAGE(_xlfn._xlws.FILTER(T$2:T$1073,($C$2:$C$1073=$C220)*($E$2:$E$1073=$E220)*(ROW(T$2:T$1073)&lt;&gt;ROW(T220))*(T$2:T$1073&lt;&gt;""))),"")</f>
        <v>-1.5895469562342029E-2</v>
      </c>
      <c r="AA220" cm="1">
        <f t="array" ref="AA220">IFERROR(AVERAGE(_xlfn._xlws.FILTER(U$2:U$1073,($C$2:$C$1073=$C220)*($E$2:$E$1073=$E220)*(ROW(U$2:U$1073)&lt;&gt;ROW(U220))*(U$2:U$1073&lt;&gt;""))),"")</f>
        <v>0.89482852403453417</v>
      </c>
    </row>
    <row r="221" spans="1:27" x14ac:dyDescent="0.2">
      <c r="A221" s="7" t="s">
        <v>2204</v>
      </c>
      <c r="B221" t="str">
        <f t="shared" si="35"/>
        <v>MRKU IV кв. 2014</v>
      </c>
      <c r="C221">
        <v>2014</v>
      </c>
      <c r="D221">
        <f>SUMIFS(Дивиденды!$C:$C,Дивиденды!$A:$A,A221,Дивиденды!$I:$I,C221)</f>
        <v>5.7999999999999996E-3</v>
      </c>
      <c r="E221">
        <v>2</v>
      </c>
      <c r="F221">
        <f t="shared" si="36"/>
        <v>5.7999999999999996E-3</v>
      </c>
      <c r="G221">
        <f t="shared" si="37"/>
        <v>3.8484583333333336E-2</v>
      </c>
      <c r="H221">
        <f t="shared" si="38"/>
        <v>1</v>
      </c>
      <c r="I221">
        <f t="shared" si="34"/>
        <v>1</v>
      </c>
      <c r="J221">
        <f t="shared" si="39"/>
        <v>4.6862745098039209</v>
      </c>
      <c r="K221">
        <f t="shared" si="43"/>
        <v>1.0105806058663116</v>
      </c>
      <c r="L221">
        <f t="shared" si="40"/>
        <v>1</v>
      </c>
      <c r="M221">
        <f t="shared" si="33"/>
        <v>0.58333333333333337</v>
      </c>
      <c r="N221">
        <f t="shared" si="41"/>
        <v>0</v>
      </c>
      <c r="O221">
        <f t="shared" si="42"/>
        <v>0.33333333333333331</v>
      </c>
      <c r="P221">
        <f>IFERROR(LN('Дивиденды по годам'!I221),"")</f>
        <v>25.063464528595123</v>
      </c>
      <c r="Q221">
        <f>IFERROR('Дивиденды по годам'!G221/'Дивиденды по годам'!I221, "")</f>
        <v>0.80907764788821135</v>
      </c>
      <c r="R221">
        <f>IFERROR(IF(AND('Дивиденды по годам'!N221&lt;&gt;"",'Дивиденды по годам'!U221&lt;&gt;"",'Дивиденды по годам'!U221&lt;&gt;0),'Дивиденды по годам'!N221/'Дивиденды по годам'!U221-1,""),"")</f>
        <v>5.2682844802896422E-2</v>
      </c>
      <c r="S221">
        <f>IFERROR(IF(AND('Дивиденды по годам'!L221&lt;&gt;"",'Дивиденды по годам'!I221&lt;&gt;"",'Дивиденды по годам'!J221&lt;&gt;"",'Дивиденды по годам'!K221&lt;&gt;"",('Дивиденды по годам'!I221-'Дивиденды по годам'!J221-'Дивиденды по годам'!K221)&lt;&gt;0),'Дивиденды по годам'!L221/('Дивиденды по годам'!I221-'Дивиденды по годам'!J221-'Дивиденды по годам'!K221),""),"")</f>
        <v>0.7935232260158317</v>
      </c>
      <c r="T221">
        <f>IFERROR(IF(AND('Дивиденды по годам'!Q221&lt;&gt;"",'Дивиденды по годам'!I221&lt;&gt;"",'Дивиденды по годам'!V221&lt;&gt;"",('Дивиденды по годам'!I221+'Дивиденды по годам'!V221)&lt;&gt;0),'Дивиденды по годам'!Q221/(('Дивиденды по годам'!I221+'Дивиденды по годам'!V221)/2),""),"")</f>
        <v>2.7899180634340368E-2</v>
      </c>
      <c r="U221">
        <f>IFERROR(IF(AND('Дивиденды по годам'!J221&lt;&gt;"",'Дивиденды по годам'!K221&lt;&gt;"",'Дивиденды по годам'!M221&lt;&gt;"",'Дивиденды по годам'!M221&lt;&gt;0),('Дивиденды по годам'!J221+'Дивиденды по годам'!K221)/'Дивиденды по годам'!M221,""),"")</f>
        <v>0.83368076483894538</v>
      </c>
      <c r="V221" cm="1">
        <f t="array" ref="V221">IFERROR(AVERAGE(_xlfn._xlws.FILTER(P$2:P$1073,($C$2:$C$1073=$C221)*($E$2:$E$1073=$E221)*(ROW(P$2:P$1073)&lt;&gt;ROW(P221))*(P$2:P$1073&lt;&gt;""))),"")</f>
        <v>26.272251843123904</v>
      </c>
      <c r="W221" cm="1">
        <f t="array" ref="W221">IFERROR(AVERAGE(_xlfn._xlws.FILTER(Q$2:Q$1073,($C$2:$C$1073=$C221)*($E$2:$E$1073=$E221)*(ROW(Q$2:Q$1073)&lt;&gt;ROW(Q221))*(Q$2:Q$1073&lt;&gt;""))),"")</f>
        <v>0.76772406951427197</v>
      </c>
      <c r="X221" cm="1">
        <f t="array" ref="X221">IFERROR(AVERAGE(_xlfn._xlws.FILTER(R$2:R$1073,($C$2:$C$1073=$C221)*($E$2:$E$1073=$E221)*(ROW(R$2:R$1073)&lt;&gt;ROW(R221))*(R$2:R$1073&lt;&gt;""))),"")</f>
        <v>1.9381178964731113E-2</v>
      </c>
      <c r="Y221" cm="1">
        <f t="array" ref="Y221">IFERROR(AVERAGE(_xlfn._xlws.FILTER(S$2:S$1073,($C$2:$C$1073=$C221)*($E$2:$E$1073=$E221)*(ROW(S$2:S$1073)&lt;&gt;ROW(S221))*(S$2:S$1073&lt;&gt;""))),"")</f>
        <v>0.56688778429037778</v>
      </c>
      <c r="Z221" cm="1">
        <f t="array" ref="Z221">IFERROR(AVERAGE(_xlfn._xlws.FILTER(T$2:T$1073,($C$2:$C$1073=$C221)*($E$2:$E$1073=$E221)*(ROW(T$2:T$1073)&lt;&gt;ROW(T221))*(T$2:T$1073&lt;&gt;""))),"")</f>
        <v>1.758491024576499E-2</v>
      </c>
      <c r="AA221" cm="1">
        <f t="array" ref="AA221">IFERROR(AVERAGE(_xlfn._xlws.FILTER(U$2:U$1073,($C$2:$C$1073=$C221)*($E$2:$E$1073=$E221)*(ROW(U$2:U$1073)&lt;&gt;ROW(U221))*(U$2:U$1073&lt;&gt;""))),"")</f>
        <v>0.74579166180996159</v>
      </c>
    </row>
    <row r="222" spans="1:27" x14ac:dyDescent="0.2">
      <c r="A222" s="7" t="s">
        <v>2204</v>
      </c>
      <c r="B222" t="str">
        <f t="shared" si="35"/>
        <v>MRKU IV кв. 2013</v>
      </c>
      <c r="C222">
        <v>2013</v>
      </c>
      <c r="D222">
        <f>SUMIFS(Дивиденды!$C:$C,Дивиденды!$A:$A,A222,Дивиденды!$I:$I,C222)</f>
        <v>1.0200000000000001E-3</v>
      </c>
      <c r="E222">
        <v>2</v>
      </c>
      <c r="F222">
        <f t="shared" si="36"/>
        <v>1.0200000000000001E-3</v>
      </c>
      <c r="G222">
        <f t="shared" si="37"/>
        <v>4.6358083333333328E-2</v>
      </c>
      <c r="H222">
        <f t="shared" si="38"/>
        <v>1</v>
      </c>
      <c r="I222">
        <f t="shared" si="34"/>
        <v>0.75</v>
      </c>
      <c r="J222">
        <f t="shared" si="39"/>
        <v>-0.43016759776536306</v>
      </c>
      <c r="K222">
        <f t="shared" si="43"/>
        <v>4.8800154232456983E-2</v>
      </c>
      <c r="L222">
        <f t="shared" si="40"/>
        <v>0</v>
      </c>
      <c r="M222">
        <f t="shared" si="33"/>
        <v>0.5</v>
      </c>
      <c r="N222">
        <f t="shared" si="41"/>
        <v>1</v>
      </c>
      <c r="O222">
        <f t="shared" si="42"/>
        <v>0.25</v>
      </c>
      <c r="P222">
        <f>IFERROR(LN('Дивиденды по годам'!I222),"")</f>
        <v>24.979830363147215</v>
      </c>
      <c r="Q222">
        <f>IFERROR('Дивиденды по годам'!G222/'Дивиденды по годам'!I222, "")</f>
        <v>0.82667061656959717</v>
      </c>
      <c r="R222">
        <f>IFERROR(IF(AND('Дивиденды по годам'!N222&lt;&gt;"",'Дивиденды по годам'!U222&lt;&gt;"",'Дивиденды по годам'!U222&lt;&gt;0),'Дивиденды по годам'!N222/'Дивиденды по годам'!U222-1,""),"")</f>
        <v>0.1025129420227735</v>
      </c>
      <c r="S222" t="str">
        <f>IFERROR(IF(AND('Дивиденды по годам'!L222&lt;&gt;"",'Дивиденды по годам'!I222&lt;&gt;"",'Дивиденды по годам'!J222&lt;&gt;"",'Дивиденды по годам'!K222&lt;&gt;"",('Дивиденды по годам'!I222-'Дивиденды по годам'!J222-'Дивиденды по годам'!K222)&lt;&gt;0),'Дивиденды по годам'!L222/('Дивиденды по годам'!I222-'Дивиденды по годам'!J222-'Дивиденды по годам'!K222),""),"")</f>
        <v/>
      </c>
      <c r="T222">
        <f>IFERROR(IF(AND('Дивиденды по годам'!Q222&lt;&gt;"",'Дивиденды по годам'!I222&lt;&gt;"",'Дивиденды по годам'!V222&lt;&gt;"",('Дивиденды по годам'!I222+'Дивиденды по годам'!V222)&lt;&gt;0),'Дивиденды по годам'!Q222/(('Дивиденды по годам'!I222+'Дивиденды по годам'!V222)/2),""),"")</f>
        <v>-1.6010763211437285E-2</v>
      </c>
      <c r="U222">
        <f>IFERROR(IF(AND('Дивиденды по годам'!J222&lt;&gt;"",'Дивиденды по годам'!K222&lt;&gt;"",'Дивиденды по годам'!M222&lt;&gt;"",'Дивиденды по годам'!M222&lt;&gt;0),('Дивиденды по годам'!J222+'Дивиденды по годам'!K222)/'Дивиденды по годам'!M222,""),"")</f>
        <v>0.7657640752837066</v>
      </c>
      <c r="V222" cm="1">
        <f t="array" ref="V222">IFERROR(AVERAGE(_xlfn._xlws.FILTER(P$2:P$1073,($C$2:$C$1073=$C222)*($E$2:$E$1073=$E222)*(ROW(P$2:P$1073)&lt;&gt;ROW(P222))*(P$2:P$1073&lt;&gt;""))),"")</f>
        <v>26.220780595000868</v>
      </c>
      <c r="W222" cm="1">
        <f t="array" ref="W222">IFERROR(AVERAGE(_xlfn._xlws.FILTER(Q$2:Q$1073,($C$2:$C$1073=$C222)*($E$2:$E$1073=$E222)*(ROW(Q$2:Q$1073)&lt;&gt;ROW(Q222))*(Q$2:Q$1073&lt;&gt;""))),"")</f>
        <v>0.77846555094162628</v>
      </c>
      <c r="X222" cm="1">
        <f t="array" ref="X222">IFERROR(AVERAGE(_xlfn._xlws.FILTER(R$2:R$1073,($C$2:$C$1073=$C222)*($E$2:$E$1073=$E222)*(ROW(R$2:R$1073)&lt;&gt;ROW(R222))*(R$2:R$1073&lt;&gt;""))),"")</f>
        <v>9.725977518589965E-2</v>
      </c>
      <c r="Y222" cm="1">
        <f t="array" ref="Y222">IFERROR(AVERAGE(_xlfn._xlws.FILTER(S$2:S$1073,($C$2:$C$1073=$C222)*($E$2:$E$1073=$E222)*(ROW(S$2:S$1073)&lt;&gt;ROW(S222))*(S$2:S$1073&lt;&gt;""))),"")</f>
        <v>0.4636519590056305</v>
      </c>
      <c r="Z222" cm="1">
        <f t="array" ref="Z222">IFERROR(AVERAGE(_xlfn._xlws.FILTER(T$2:T$1073,($C$2:$C$1073=$C222)*($E$2:$E$1073=$E222)*(ROW(T$2:T$1073)&lt;&gt;ROW(T222))*(T$2:T$1073&lt;&gt;""))),"")</f>
        <v>-3.6463097867242217E-3</v>
      </c>
      <c r="AA222" cm="1">
        <f t="array" ref="AA222">IFERROR(AVERAGE(_xlfn._xlws.FILTER(U$2:U$1073,($C$2:$C$1073=$C222)*($E$2:$E$1073=$E222)*(ROW(U$2:U$1073)&lt;&gt;ROW(U222))*(U$2:U$1073&lt;&gt;""))),"")</f>
        <v>0.66831606894488382</v>
      </c>
    </row>
    <row r="223" spans="1:27" x14ac:dyDescent="0.2">
      <c r="A223" s="7" t="s">
        <v>2204</v>
      </c>
      <c r="B223" t="str">
        <f t="shared" si="35"/>
        <v>MRKU IV кв. 2012</v>
      </c>
      <c r="C223">
        <v>2012</v>
      </c>
      <c r="D223">
        <f>SUMIFS(Дивиденды!$C:$C,Дивиденды!$A:$A,A223,Дивиденды!$I:$I,C223)</f>
        <v>1.7899999999999999E-3</v>
      </c>
      <c r="E223">
        <v>2</v>
      </c>
      <c r="F223">
        <f t="shared" si="36"/>
        <v>1.7899999999999999E-3</v>
      </c>
      <c r="G223">
        <f t="shared" si="37"/>
        <v>3.7013166666666666E-2</v>
      </c>
      <c r="H223">
        <f t="shared" si="38"/>
        <v>1</v>
      </c>
      <c r="I223">
        <f t="shared" si="34"/>
        <v>0.66666666666666663</v>
      </c>
      <c r="J223">
        <f t="shared" si="39"/>
        <v>-0.36071428571428571</v>
      </c>
      <c r="K223">
        <f t="shared" si="43"/>
        <v>0.7708615668163562</v>
      </c>
      <c r="L223">
        <f t="shared" si="40"/>
        <v>0</v>
      </c>
      <c r="M223">
        <f t="shared" si="33"/>
        <v>0.58333333333333337</v>
      </c>
      <c r="N223">
        <f t="shared" si="41"/>
        <v>1</v>
      </c>
      <c r="O223">
        <f t="shared" si="42"/>
        <v>8.3333333333333329E-2</v>
      </c>
      <c r="P223">
        <f>IFERROR(LN('Дивиденды по годам'!I223),"")</f>
        <v>24.925347827729386</v>
      </c>
      <c r="Q223">
        <f>IFERROR('Дивиденды по годам'!G223/'Дивиденды по годам'!I223, "")</f>
        <v>0.82070145392204352</v>
      </c>
      <c r="R223">
        <f>IFERROR(IF(AND('Дивиденды по годам'!N223&lt;&gt;"",'Дивиденды по годам'!U223&lt;&gt;"",'Дивиденды по годам'!U223&lt;&gt;0),'Дивиденды по годам'!N223/'Дивиденды по годам'!U223-1,""),"")</f>
        <v>-4.144089305575982E-2</v>
      </c>
      <c r="S223" t="str">
        <f>IFERROR(IF(AND('Дивиденды по годам'!L223&lt;&gt;"",'Дивиденды по годам'!I223&lt;&gt;"",'Дивиденды по годам'!J223&lt;&gt;"",'Дивиденды по годам'!K223&lt;&gt;"",('Дивиденды по годам'!I223-'Дивиденды по годам'!J223-'Дивиденды по годам'!K223)&lt;&gt;0),'Дивиденды по годам'!L223/('Дивиденды по годам'!I223-'Дивиденды по годам'!J223-'Дивиденды по годам'!K223),""),"")</f>
        <v/>
      </c>
      <c r="T223">
        <f>IFERROR(IF(AND('Дивиденды по годам'!Q223&lt;&gt;"",'Дивиденды по годам'!I223&lt;&gt;"",'Дивиденды по годам'!V223&lt;&gt;"",('Дивиденды по годам'!I223+'Дивиденды по годам'!V223)&lt;&gt;0),'Дивиденды по годам'!Q223/(('Дивиденды по годам'!I223+'Дивиденды по годам'!V223)/2),""),"")</f>
        <v>3.7500680734004672E-3</v>
      </c>
      <c r="U223">
        <f>IFERROR(IF(AND('Дивиденды по годам'!J223&lt;&gt;"",'Дивиденды по годам'!K223&lt;&gt;"",'Дивиденды по годам'!M223&lt;&gt;"",'Дивиденды по годам'!M223&lt;&gt;0),('Дивиденды по годам'!J223+'Дивиденды по годам'!K223)/'Дивиденды по годам'!M223,""),"")</f>
        <v>0.57394064991700255</v>
      </c>
      <c r="V223" cm="1">
        <f t="array" ref="V223">IFERROR(AVERAGE(_xlfn._xlws.FILTER(P$2:P$1073,($C$2:$C$1073=$C223)*($E$2:$E$1073=$E223)*(ROW(P$2:P$1073)&lt;&gt;ROW(P223))*(P$2:P$1073&lt;&gt;""))),"")</f>
        <v>26.222341350531423</v>
      </c>
      <c r="W223" cm="1">
        <f t="array" ref="W223">IFERROR(AVERAGE(_xlfn._xlws.FILTER(Q$2:Q$1073,($C$2:$C$1073=$C223)*($E$2:$E$1073=$E223)*(ROW(Q$2:Q$1073)&lt;&gt;ROW(Q223))*(Q$2:Q$1073&lt;&gt;""))),"")</f>
        <v>0.77340717398927061</v>
      </c>
      <c r="X223" cm="1">
        <f t="array" ref="X223">IFERROR(AVERAGE(_xlfn._xlws.FILTER(R$2:R$1073,($C$2:$C$1073=$C223)*($E$2:$E$1073=$E223)*(ROW(R$2:R$1073)&lt;&gt;ROW(R223))*(R$2:R$1073&lt;&gt;""))),"")</f>
        <v>-1.3015414054919301E-2</v>
      </c>
      <c r="Y223" cm="1">
        <f t="array" ref="Y223">IFERROR(AVERAGE(_xlfn._xlws.FILTER(S$2:S$1073,($C$2:$C$1073=$C223)*($E$2:$E$1073=$E223)*(ROW(S$2:S$1073)&lt;&gt;ROW(S223))*(S$2:S$1073&lt;&gt;""))),"")</f>
        <v>0.44715527647269881</v>
      </c>
      <c r="Z223" cm="1">
        <f t="array" ref="Z223">IFERROR(AVERAGE(_xlfn._xlws.FILTER(T$2:T$1073,($C$2:$C$1073=$C223)*($E$2:$E$1073=$E223)*(ROW(T$2:T$1073)&lt;&gt;ROW(T223))*(T$2:T$1073&lt;&gt;""))),"")</f>
        <v>2.1474760960732069E-2</v>
      </c>
      <c r="AA223" cm="1">
        <f t="array" ref="AA223">IFERROR(AVERAGE(_xlfn._xlws.FILTER(U$2:U$1073,($C$2:$C$1073=$C223)*($E$2:$E$1073=$E223)*(ROW(U$2:U$1073)&lt;&gt;ROW(U223))*(U$2:U$1073&lt;&gt;""))),"")</f>
        <v>0.65908560228201285</v>
      </c>
    </row>
    <row r="224" spans="1:27" x14ac:dyDescent="0.2">
      <c r="A224" s="7" t="s">
        <v>2204</v>
      </c>
      <c r="B224" t="str">
        <f t="shared" si="35"/>
        <v>MRKU IV кв. 2011</v>
      </c>
      <c r="C224">
        <v>2011</v>
      </c>
      <c r="D224">
        <f>SUMIFS(Дивиденды!$C:$C,Дивиденды!$A:$A,A224,Дивиденды!$I:$I,C224)</f>
        <v>2.8E-3</v>
      </c>
      <c r="E224">
        <v>2</v>
      </c>
      <c r="F224">
        <f t="shared" si="36"/>
        <v>2.8E-3</v>
      </c>
      <c r="G224">
        <f t="shared" si="37"/>
        <v>1.1313416666666666E-2</v>
      </c>
      <c r="H224">
        <f t="shared" si="38"/>
        <v>1</v>
      </c>
      <c r="I224">
        <f t="shared" si="34"/>
        <v>0.75</v>
      </c>
      <c r="J224">
        <f t="shared" si="39"/>
        <v>0</v>
      </c>
      <c r="K224">
        <f t="shared" si="43"/>
        <v>5.0770249936127408E-2</v>
      </c>
      <c r="L224">
        <f t="shared" si="40"/>
        <v>0</v>
      </c>
      <c r="M224">
        <f t="shared" si="33"/>
        <v>0.5</v>
      </c>
      <c r="N224">
        <f t="shared" si="41"/>
        <v>0</v>
      </c>
      <c r="O224">
        <f t="shared" si="42"/>
        <v>0.41666666666666669</v>
      </c>
      <c r="P224">
        <f>IFERROR(LN('Дивиденды по годам'!I224),"")</f>
        <v>24.885992119496187</v>
      </c>
      <c r="Q224">
        <f>IFERROR('Дивиденды по годам'!G224/'Дивиденды по годам'!I224, "")</f>
        <v>0.8249280839507398</v>
      </c>
      <c r="R224" t="str">
        <f>IFERROR(IF(AND('Дивиденды по годам'!N224&lt;&gt;"",'Дивиденды по годам'!U224&lt;&gt;"",'Дивиденды по годам'!U224&lt;&gt;0),'Дивиденды по годам'!N224/'Дивиденды по годам'!U224-1,""),"")</f>
        <v/>
      </c>
      <c r="S224" t="str">
        <f>IFERROR(IF(AND('Дивиденды по годам'!L224&lt;&gt;"",'Дивиденды по годам'!I224&lt;&gt;"",'Дивиденды по годам'!J224&lt;&gt;"",'Дивиденды по годам'!K224&lt;&gt;"",('Дивиденды по годам'!I224-'Дивиденды по годам'!J224-'Дивиденды по годам'!K224)&lt;&gt;0),'Дивиденды по годам'!L224/('Дивиденды по годам'!I224-'Дивиденды по годам'!J224-'Дивиденды по годам'!K224),""),"")</f>
        <v/>
      </c>
      <c r="T224" t="str">
        <f>IFERROR(IF(AND('Дивиденды по годам'!Q224&lt;&gt;"",'Дивиденды по годам'!I224&lt;&gt;"",'Дивиденды по годам'!V224&lt;&gt;"",('Дивиденды по годам'!I224+'Дивиденды по годам'!V224)&lt;&gt;0),'Дивиденды по годам'!Q224/(('Дивиденды по годам'!I224+'Дивиденды по годам'!V224)/2),""),"")</f>
        <v/>
      </c>
      <c r="U224">
        <f>IFERROR(IF(AND('Дивиденды по годам'!J224&lt;&gt;"",'Дивиденды по годам'!K224&lt;&gt;"",'Дивиденды по годам'!M224&lt;&gt;"",'Дивиденды по годам'!M224&lt;&gt;0),('Дивиденды по годам'!J224+'Дивиденды по годам'!K224)/'Дивиденды по годам'!M224,""),"")</f>
        <v>0.51198122695336334</v>
      </c>
      <c r="V224" cm="1">
        <f t="array" ref="V224">IFERROR(AVERAGE(_xlfn._xlws.FILTER(P$2:P$1073,($C$2:$C$1073=$C224)*($E$2:$E$1073=$E224)*(ROW(P$2:P$1073)&lt;&gt;ROW(P224))*(P$2:P$1073&lt;&gt;""))),"")</f>
        <v>26.284900078390741</v>
      </c>
      <c r="W224" cm="1">
        <f t="array" ref="W224">IFERROR(AVERAGE(_xlfn._xlws.FILTER(Q$2:Q$1073,($C$2:$C$1073=$C224)*($E$2:$E$1073=$E224)*(ROW(Q$2:Q$1073)&lt;&gt;ROW(Q224))*(Q$2:Q$1073&lt;&gt;""))),"")</f>
        <v>0.76016881938543079</v>
      </c>
      <c r="X224" cm="1">
        <f t="array" ref="X224">IFERROR(AVERAGE(_xlfn._xlws.FILTER(R$2:R$1073,($C$2:$C$1073=$C224)*($E$2:$E$1073=$E224)*(ROW(R$2:R$1073)&lt;&gt;ROW(R224))*(R$2:R$1073&lt;&gt;""))),"")</f>
        <v>0.14348983045887875</v>
      </c>
      <c r="Y224" cm="1">
        <f t="array" ref="Y224">IFERROR(AVERAGE(_xlfn._xlws.FILTER(S$2:S$1073,($C$2:$C$1073=$C224)*($E$2:$E$1073=$E224)*(ROW(S$2:S$1073)&lt;&gt;ROW(S224))*(S$2:S$1073&lt;&gt;""))),"")</f>
        <v>0.39850050246333968</v>
      </c>
      <c r="Z224" cm="1">
        <f t="array" ref="Z224">IFERROR(AVERAGE(_xlfn._xlws.FILTER(T$2:T$1073,($C$2:$C$1073=$C224)*($E$2:$E$1073=$E224)*(ROW(T$2:T$1073)&lt;&gt;ROW(T224))*(T$2:T$1073&lt;&gt;""))),"")</f>
        <v>4.5214358774442007E-2</v>
      </c>
      <c r="AA224" cm="1">
        <f t="array" ref="AA224">IFERROR(AVERAGE(_xlfn._xlws.FILTER(U$2:U$1073,($C$2:$C$1073=$C224)*($E$2:$E$1073=$E224)*(ROW(U$2:U$1073)&lt;&gt;ROW(U224))*(U$2:U$1073&lt;&gt;""))),"")</f>
        <v>0.60389721525362217</v>
      </c>
    </row>
    <row r="225" spans="1:27" x14ac:dyDescent="0.2">
      <c r="A225" s="7" t="s">
        <v>2204</v>
      </c>
      <c r="B225" t="str">
        <f t="shared" si="35"/>
        <v>MRKU IV кв. 2010</v>
      </c>
      <c r="C225">
        <v>2010</v>
      </c>
      <c r="D225">
        <f>SUMIFS(Дивиденды!$C:$C,Дивиденды!$A:$A,A225,Дивиденды!$I:$I,C225)</f>
        <v>2.8E-3</v>
      </c>
      <c r="E225">
        <v>2</v>
      </c>
      <c r="F225">
        <f t="shared" si="36"/>
        <v>2.8E-3</v>
      </c>
      <c r="G225">
        <f t="shared" si="37"/>
        <v>6.3285000000000008E-3</v>
      </c>
      <c r="H225">
        <f t="shared" si="38"/>
        <v>1</v>
      </c>
      <c r="I225">
        <f t="shared" si="34"/>
        <v>0.75</v>
      </c>
      <c r="J225" t="str">
        <f t="shared" si="39"/>
        <v/>
      </c>
      <c r="K225" t="str">
        <f t="shared" si="43"/>
        <v/>
      </c>
      <c r="L225" t="str">
        <f t="shared" si="40"/>
        <v/>
      </c>
      <c r="M225" t="str">
        <f t="shared" ref="M225:M288" si="44">IFERROR(AVERAGEIFS($L:$L,$E:$E,E225,$C:$C,C225,$A:$A,"&lt;&gt;"&amp;A225),"")</f>
        <v/>
      </c>
      <c r="N225" t="str">
        <f t="shared" si="41"/>
        <v/>
      </c>
      <c r="O225" t="str">
        <f t="shared" si="42"/>
        <v/>
      </c>
      <c r="P225" t="str">
        <f>IFERROR(LN('Дивиденды по годам'!I225),"")</f>
        <v/>
      </c>
      <c r="Q225" t="str">
        <f>IFERROR('Дивиденды по годам'!G225/'Дивиденды по годам'!I225, "")</f>
        <v/>
      </c>
      <c r="R225" t="str">
        <f>IFERROR(IF(AND('Дивиденды по годам'!N225&lt;&gt;"",'Дивиденды по годам'!U225&lt;&gt;"",'Дивиденды по годам'!U225&lt;&gt;0),'Дивиденды по годам'!N225/'Дивиденды по годам'!U225-1,""),"")</f>
        <v/>
      </c>
      <c r="S225" t="str">
        <f>IFERROR(IF(AND('Дивиденды по годам'!L225&lt;&gt;"",'Дивиденды по годам'!I225&lt;&gt;"",'Дивиденды по годам'!J225&lt;&gt;"",'Дивиденды по годам'!K225&lt;&gt;"",('Дивиденды по годам'!I225-'Дивиденды по годам'!J225-'Дивиденды по годам'!K225)&lt;&gt;0),'Дивиденды по годам'!L225/('Дивиденды по годам'!I225-'Дивиденды по годам'!J225-'Дивиденды по годам'!K225),""),"")</f>
        <v/>
      </c>
      <c r="T225" t="str">
        <f>IFERROR(IF(AND('Дивиденды по годам'!Q225&lt;&gt;"",'Дивиденды по годам'!I225&lt;&gt;"",'Дивиденды по годам'!V225&lt;&gt;"",('Дивиденды по годам'!I225+'Дивиденды по годам'!V225)&lt;&gt;0),'Дивиденды по годам'!Q225/(('Дивиденды по годам'!I225+'Дивиденды по годам'!V225)/2),""),"")</f>
        <v/>
      </c>
      <c r="U225" t="str">
        <f>IFERROR(IF(AND('Дивиденды по годам'!J225&lt;&gt;"",'Дивиденды по годам'!K225&lt;&gt;"",'Дивиденды по годам'!M225&lt;&gt;"",'Дивиденды по годам'!M225&lt;&gt;0),('Дивиденды по годам'!J225+'Дивиденды по годам'!K225)/'Дивиденды по годам'!M225,""),"")</f>
        <v/>
      </c>
      <c r="V225" cm="1">
        <f t="array" ref="V225">IFERROR(AVERAGE(_xlfn._xlws.FILTER(P$2:P$1073,($C$2:$C$1073=$C225)*($E$2:$E$1073=$E225)*(ROW(P$2:P$1073)&lt;&gt;ROW(P225))*(P$2:P$1073&lt;&gt;""))),"")</f>
        <v>24.730948088520865</v>
      </c>
      <c r="W225" cm="1">
        <f t="array" ref="W225">IFERROR(AVERAGE(_xlfn._xlws.FILTER(Q$2:Q$1073,($C$2:$C$1073=$C225)*($E$2:$E$1073=$E225)*(ROW(Q$2:Q$1073)&lt;&gt;ROW(Q225))*(Q$2:Q$1073&lt;&gt;""))),"")</f>
        <v>0.82035195639515091</v>
      </c>
      <c r="X225" t="str" cm="1">
        <f t="array" ref="X225">IFERROR(AVERAGE(_xlfn._xlws.FILTER(R$2:R$1073,($C$2:$C$1073=$C225)*($E$2:$E$1073=$E225)*(ROW(R$2:R$1073)&lt;&gt;ROW(R225))*(R$2:R$1073&lt;&gt;""))),"")</f>
        <v/>
      </c>
      <c r="Y225" t="str" cm="1">
        <f t="array" ref="Y225">IFERROR(AVERAGE(_xlfn._xlws.FILTER(S$2:S$1073,($C$2:$C$1073=$C225)*($E$2:$E$1073=$E225)*(ROW(S$2:S$1073)&lt;&gt;ROW(S225))*(S$2:S$1073&lt;&gt;""))),"")</f>
        <v/>
      </c>
      <c r="Z225" t="str" cm="1">
        <f t="array" ref="Z225">IFERROR(AVERAGE(_xlfn._xlws.FILTER(T$2:T$1073,($C$2:$C$1073=$C225)*($E$2:$E$1073=$E225)*(ROW(T$2:T$1073)&lt;&gt;ROW(T225))*(T$2:T$1073&lt;&gt;""))),"")</f>
        <v/>
      </c>
      <c r="AA225" cm="1">
        <f t="array" ref="AA225">IFERROR(AVERAGE(_xlfn._xlws.FILTER(U$2:U$1073,($C$2:$C$1073=$C225)*($E$2:$E$1073=$E225)*(ROW(U$2:U$1073)&lt;&gt;ROW(U225))*(U$2:U$1073&lt;&gt;""))),"")</f>
        <v>0.91314375247969903</v>
      </c>
    </row>
    <row r="226" spans="1:27" x14ac:dyDescent="0.2">
      <c r="A226" s="7" t="s">
        <v>2206</v>
      </c>
      <c r="B226" t="str">
        <f t="shared" si="35"/>
        <v>MRKV IV кв. 2025</v>
      </c>
      <c r="C226">
        <v>2025</v>
      </c>
      <c r="D226">
        <f>SUMIFS(Дивиденды!$C:$C,Дивиденды!$A:$A,A226,Дивиденды!$I:$I,C226)</f>
        <v>0</v>
      </c>
      <c r="E226">
        <v>2</v>
      </c>
      <c r="F226">
        <f t="shared" si="36"/>
        <v>0</v>
      </c>
      <c r="G226">
        <f t="shared" si="37"/>
        <v>0</v>
      </c>
      <c r="H226">
        <f t="shared" si="38"/>
        <v>0</v>
      </c>
      <c r="I226">
        <f t="shared" si="34"/>
        <v>0</v>
      </c>
      <c r="J226">
        <f t="shared" si="39"/>
        <v>-1</v>
      </c>
      <c r="K226">
        <f t="shared" si="43"/>
        <v>-0.5</v>
      </c>
      <c r="L226">
        <f t="shared" si="40"/>
        <v>0</v>
      </c>
      <c r="M226">
        <f t="shared" si="44"/>
        <v>0</v>
      </c>
      <c r="N226">
        <f t="shared" si="41"/>
        <v>1</v>
      </c>
      <c r="O226">
        <f t="shared" si="42"/>
        <v>0.5</v>
      </c>
      <c r="P226">
        <f>IFERROR(LN('Дивиденды по годам'!I226),"")</f>
        <v>25.33252278075225</v>
      </c>
      <c r="Q226">
        <f>IFERROR('Дивиденды по годам'!G226/'Дивиденды по годам'!I226, "")</f>
        <v>0.74080414811696327</v>
      </c>
      <c r="R226">
        <f>IFERROR(IF(AND('Дивиденды по годам'!N226&lt;&gt;"",'Дивиденды по годам'!U226&lt;&gt;"",'Дивиденды по годам'!U226&lt;&gt;0),'Дивиденды по годам'!N226/'Дивиденды по годам'!U226-1,""),"")</f>
        <v>0.54959464730804886</v>
      </c>
      <c r="S226">
        <f>IFERROR(IF(AND('Дивиденды по годам'!L226&lt;&gt;"",'Дивиденды по годам'!I226&lt;&gt;"",'Дивиденды по годам'!J226&lt;&gt;"",'Дивиденды по годам'!K226&lt;&gt;"",('Дивиденды по годам'!I226-'Дивиденды по годам'!J226-'Дивиденды по годам'!K226)&lt;&gt;0),'Дивиденды по годам'!L226/('Дивиденды по годам'!I226-'Дивиденды по годам'!J226-'Дивиденды по годам'!K226),""),"")</f>
        <v>0.67375536712022854</v>
      </c>
      <c r="T226">
        <f>IFERROR(IF(AND('Дивиденды по годам'!Q226&lt;&gt;"",'Дивиденды по годам'!I226&lt;&gt;"",'Дивиденды по годам'!V226&lt;&gt;"",('Дивиденды по годам'!I226+'Дивиденды по годам'!V226)&lt;&gt;0),'Дивиденды по годам'!Q226/(('Дивиденды по годам'!I226+'Дивиденды по годам'!V226)/2),""),"")</f>
        <v>0.12496063624678221</v>
      </c>
      <c r="U226">
        <f>IFERROR(IF(AND('Дивиденды по годам'!J226&lt;&gt;"",'Дивиденды по годам'!K226&lt;&gt;"",'Дивиденды по годам'!M226&lt;&gt;"",'Дивиденды по годам'!M226&lt;&gt;0),('Дивиденды по годам'!J226+'Дивиденды по годам'!K226)/'Дивиденды по годам'!M226,""),"")</f>
        <v>0.83932224831447311</v>
      </c>
      <c r="V226" cm="1">
        <f t="array" ref="V226">IFERROR(AVERAGE(_xlfn._xlws.FILTER(P$2:P$1073,($C$2:$C$1073=$C226)*($E$2:$E$1073=$E226)*(ROW(P$2:P$1073)&lt;&gt;ROW(P226))*(P$2:P$1073&lt;&gt;""))),"")</f>
        <v>26.758117978956513</v>
      </c>
      <c r="W226" cm="1">
        <f t="array" ref="W226">IFERROR(AVERAGE(_xlfn._xlws.FILTER(Q$2:Q$1073,($C$2:$C$1073=$C226)*($E$2:$E$1073=$E226)*(ROW(Q$2:Q$1073)&lt;&gt;ROW(Q226))*(Q$2:Q$1073&lt;&gt;""))),"")</f>
        <v>0.66856756369013171</v>
      </c>
      <c r="X226" cm="1">
        <f t="array" ref="X226">IFERROR(AVERAGE(_xlfn._xlws.FILTER(R$2:R$1073,($C$2:$C$1073=$C226)*($E$2:$E$1073=$E226)*(ROW(R$2:R$1073)&lt;&gt;ROW(R226))*(R$2:R$1073&lt;&gt;""))),"")</f>
        <v>0.12334503056581506</v>
      </c>
      <c r="Y226" cm="1">
        <f t="array" ref="Y226">IFERROR(AVERAGE(_xlfn._xlws.FILTER(S$2:S$1073,($C$2:$C$1073=$C226)*($E$2:$E$1073=$E226)*(ROW(S$2:S$1073)&lt;&gt;ROW(S226))*(S$2:S$1073&lt;&gt;""))),"")</f>
        <v>0.76987877298118079</v>
      </c>
      <c r="Z226" cm="1">
        <f t="array" ref="Z226">IFERROR(AVERAGE(_xlfn._xlws.FILTER(T$2:T$1073,($C$2:$C$1073=$C226)*($E$2:$E$1073=$E226)*(ROW(T$2:T$1073)&lt;&gt;ROW(T226))*(T$2:T$1073&lt;&gt;""))),"")</f>
        <v>9.9932314659051405E-2</v>
      </c>
      <c r="AA226" cm="1">
        <f t="array" ref="AA226">IFERROR(AVERAGE(_xlfn._xlws.FILTER(U$2:U$1073,($C$2:$C$1073=$C226)*($E$2:$E$1073=$E226)*(ROW(U$2:U$1073)&lt;&gt;ROW(U226))*(U$2:U$1073&lt;&gt;""))),"")</f>
        <v>0.89649844204643725</v>
      </c>
    </row>
    <row r="227" spans="1:27" x14ac:dyDescent="0.2">
      <c r="A227" s="7" t="s">
        <v>2206</v>
      </c>
      <c r="B227" t="str">
        <f t="shared" si="35"/>
        <v>MRKV IV кв. 2024</v>
      </c>
      <c r="C227">
        <v>2024</v>
      </c>
      <c r="D227">
        <f>SUMIFS(Дивиденды!$C:$C,Дивиденды!$A:$A,A227,Дивиденды!$I:$I,C227)</f>
        <v>7.4000000000000003E-3</v>
      </c>
      <c r="E227">
        <v>2</v>
      </c>
      <c r="F227">
        <f t="shared" si="36"/>
        <v>7.4000000000000003E-3</v>
      </c>
      <c r="G227">
        <f t="shared" si="37"/>
        <v>6.278333333333333E-2</v>
      </c>
      <c r="H227">
        <f t="shared" si="38"/>
        <v>1</v>
      </c>
      <c r="I227">
        <f t="shared" si="34"/>
        <v>0.5</v>
      </c>
      <c r="J227">
        <f t="shared" si="39"/>
        <v>0.1935483870967743</v>
      </c>
      <c r="K227">
        <f t="shared" si="43"/>
        <v>7.0031621184939635E-2</v>
      </c>
      <c r="L227">
        <f t="shared" si="40"/>
        <v>1</v>
      </c>
      <c r="M227">
        <f t="shared" si="44"/>
        <v>0.5</v>
      </c>
      <c r="N227">
        <f t="shared" si="41"/>
        <v>0</v>
      </c>
      <c r="O227">
        <f t="shared" si="42"/>
        <v>8.3333333333333329E-2</v>
      </c>
      <c r="P227">
        <f>IFERROR(LN('Дивиденды по годам'!I227),"")</f>
        <v>25.116119138675732</v>
      </c>
      <c r="Q227">
        <f>IFERROR('Дивиденды по годам'!G227/'Дивиденды по годам'!I227, "")</f>
        <v>0.77828647233398929</v>
      </c>
      <c r="R227">
        <f>IFERROR(IF(AND('Дивиденды по годам'!N227&lt;&gt;"",'Дивиденды по годам'!U227&lt;&gt;"",'Дивиденды по годам'!U227&lt;&gt;0),'Дивиденды по годам'!N227/'Дивиденды по годам'!U227-1,""),"")</f>
        <v>8.2633072508708993E-2</v>
      </c>
      <c r="S227">
        <f>IFERROR(IF(AND('Дивиденды по годам'!L227&lt;&gt;"",'Дивиденды по годам'!I227&lt;&gt;"",'Дивиденды по годам'!J227&lt;&gt;"",'Дивиденды по годам'!K227&lt;&gt;"",('Дивиденды по годам'!I227-'Дивиденды по годам'!J227-'Дивиденды по годам'!K227)&lt;&gt;0),'Дивиденды по годам'!L227/('Дивиденды по годам'!I227-'Дивиденды по годам'!J227-'Дивиденды по годам'!K227),""),"")</f>
        <v>0.59743693895890215</v>
      </c>
      <c r="T227">
        <f>IFERROR(IF(AND('Дивиденды по годам'!Q227&lt;&gt;"",'Дивиденды по годам'!I227&lt;&gt;"",'Дивиденды по годам'!V227&lt;&gt;"",('Дивиденды по годам'!I227+'Дивиденды по годам'!V227)&lt;&gt;0),'Дивиденды по годам'!Q227/(('Дивиденды по годам'!I227+'Дивиденды по годам'!V227)/2),""),"")</f>
        <v>4.756852010727522E-2</v>
      </c>
      <c r="U227">
        <f>IFERROR(IF(AND('Дивиденды по годам'!J227&lt;&gt;"",'Дивиденды по годам'!K227&lt;&gt;"",'Дивиденды по годам'!M227&lt;&gt;"",'Дивиденды по годам'!M227&lt;&gt;0),('Дивиденды по годам'!J227+'Дивиденды по годам'!K227)/'Дивиденды по годам'!M227,""),"")</f>
        <v>0.79966292109077353</v>
      </c>
      <c r="V227" cm="1">
        <f t="array" ref="V227">IFERROR(AVERAGE(_xlfn._xlws.FILTER(P$2:P$1073,($C$2:$C$1073=$C227)*($E$2:$E$1073=$E227)*(ROW(P$2:P$1073)&lt;&gt;ROW(P227))*(P$2:P$1073&lt;&gt;""))),"")</f>
        <v>26.687676056766772</v>
      </c>
      <c r="W227" cm="1">
        <f t="array" ref="W227">IFERROR(AVERAGE(_xlfn._xlws.FILTER(Q$2:Q$1073,($C$2:$C$1073=$C227)*($E$2:$E$1073=$E227)*(ROW(Q$2:Q$1073)&lt;&gt;ROW(Q227))*(Q$2:Q$1073&lt;&gt;""))),"")</f>
        <v>0.67905197661308592</v>
      </c>
      <c r="X227" cm="1">
        <f t="array" ref="X227">IFERROR(AVERAGE(_xlfn._xlws.FILTER(R$2:R$1073,($C$2:$C$1073=$C227)*($E$2:$E$1073=$E227)*(ROW(R$2:R$1073)&lt;&gt;ROW(R227))*(R$2:R$1073&lt;&gt;""))),"")</f>
        <v>0.10119245996532698</v>
      </c>
      <c r="Y227" cm="1">
        <f t="array" ref="Y227">IFERROR(AVERAGE(_xlfn._xlws.FILTER(S$2:S$1073,($C$2:$C$1073=$C227)*($E$2:$E$1073=$E227)*(ROW(S$2:S$1073)&lt;&gt;ROW(S227))*(S$2:S$1073&lt;&gt;""))),"")</f>
        <v>0.55919821579551066</v>
      </c>
      <c r="Z227" cm="1">
        <f t="array" ref="Z227">IFERROR(AVERAGE(_xlfn._xlws.FILTER(T$2:T$1073,($C$2:$C$1073=$C227)*($E$2:$E$1073=$E227)*(ROW(T$2:T$1073)&lt;&gt;ROW(T227))*(T$2:T$1073&lt;&gt;""))),"")</f>
        <v>5.840284344333925E-2</v>
      </c>
      <c r="AA227" cm="1">
        <f t="array" ref="AA227">IFERROR(AVERAGE(_xlfn._xlws.FILTER(U$2:U$1073,($C$2:$C$1073=$C227)*($E$2:$E$1073=$E227)*(ROW(U$2:U$1073)&lt;&gt;ROW(U227))*(U$2:U$1073&lt;&gt;""))),"")</f>
        <v>0.94670596962810427</v>
      </c>
    </row>
    <row r="228" spans="1:27" x14ac:dyDescent="0.2">
      <c r="A228" s="7" t="s">
        <v>2206</v>
      </c>
      <c r="B228" t="str">
        <f t="shared" si="35"/>
        <v>MRKV IV кв. 2023</v>
      </c>
      <c r="C228">
        <v>2023</v>
      </c>
      <c r="D228">
        <f>SUMIFS(Дивиденды!$C:$C,Дивиденды!$A:$A,A228,Дивиденды!$I:$I,C228)</f>
        <v>6.1999999999999998E-3</v>
      </c>
      <c r="E228">
        <v>2</v>
      </c>
      <c r="F228">
        <f t="shared" si="36"/>
        <v>6.1999999999999998E-3</v>
      </c>
      <c r="G228">
        <f t="shared" si="37"/>
        <v>6.5783333333333333E-2</v>
      </c>
      <c r="H228">
        <f t="shared" si="38"/>
        <v>1</v>
      </c>
      <c r="I228">
        <f t="shared" si="34"/>
        <v>0.5</v>
      </c>
      <c r="J228">
        <f t="shared" si="39"/>
        <v>1</v>
      </c>
      <c r="K228">
        <f t="shared" si="43"/>
        <v>3.3699909302320995E-2</v>
      </c>
      <c r="L228">
        <f t="shared" si="40"/>
        <v>1</v>
      </c>
      <c r="M228">
        <f t="shared" si="44"/>
        <v>0.41666666666666669</v>
      </c>
      <c r="N228">
        <f t="shared" si="41"/>
        <v>0</v>
      </c>
      <c r="O228">
        <f t="shared" si="42"/>
        <v>0.25</v>
      </c>
      <c r="P228">
        <f>IFERROR(LN('Дивиденды по годам'!I228),"")</f>
        <v>24.996262216810024</v>
      </c>
      <c r="Q228">
        <f>IFERROR('Дивиденды по годам'!G228/'Дивиденды по годам'!I228, "")</f>
        <v>0.8080634755116809</v>
      </c>
      <c r="R228">
        <f>IFERROR(IF(AND('Дивиденды по годам'!N228&lt;&gt;"",'Дивиденды по годам'!U228&lt;&gt;"",'Дивиденды по годам'!U228&lt;&gt;0),'Дивиденды по годам'!N228/'Дивиденды по годам'!U228-1,""),"")</f>
        <v>0.15335085797716719</v>
      </c>
      <c r="S228">
        <f>IFERROR(IF(AND('Дивиденды по годам'!L228&lt;&gt;"",'Дивиденды по годам'!I228&lt;&gt;"",'Дивиденды по годам'!J228&lt;&gt;"",'Дивиденды по годам'!K228&lt;&gt;"",('Дивиденды по годам'!I228-'Дивиденды по годам'!J228-'Дивиденды по годам'!K228)&lt;&gt;0),'Дивиденды по годам'!L228/('Дивиденды по годам'!I228-'Дивиденды по годам'!J228-'Дивиденды по годам'!K228),""),"")</f>
        <v>0.57868504294606038</v>
      </c>
      <c r="T228">
        <f>IFERROR(IF(AND('Дивиденды по годам'!Q228&lt;&gt;"",'Дивиденды по годам'!I228&lt;&gt;"",'Дивиденды по годам'!V228&lt;&gt;"",('Дивиденды по годам'!I228+'Дивиденды по годам'!V228)&lt;&gt;0),'Дивиденды по годам'!Q228/(('Дивиденды по годам'!I228+'Дивиденды по годам'!V228)/2),""),"")</f>
        <v>4.2658888785573626E-2</v>
      </c>
      <c r="U228">
        <f>IFERROR(IF(AND('Дивиденды по годам'!J228&lt;&gt;"",'Дивиденды по годам'!K228&lt;&gt;"",'Дивиденды по годам'!M228&lt;&gt;"",'Дивиденды по годам'!M228&lt;&gt;0),('Дивиденды по годам'!J228+'Дивиденды по годам'!K228)/'Дивиденды по годам'!M228,""),"")</f>
        <v>0.7024089439647373</v>
      </c>
      <c r="V228" cm="1">
        <f t="array" ref="V228">IFERROR(AVERAGE(_xlfn._xlws.FILTER(P$2:P$1073,($C$2:$C$1073=$C228)*($E$2:$E$1073=$E228)*(ROW(P$2:P$1073)&lt;&gt;ROW(P228))*(P$2:P$1073&lt;&gt;""))),"")</f>
        <v>26.570242818039567</v>
      </c>
      <c r="W228" cm="1">
        <f t="array" ref="W228">IFERROR(AVERAGE(_xlfn._xlws.FILTER(Q$2:Q$1073,($C$2:$C$1073=$C228)*($E$2:$E$1073=$E228)*(ROW(Q$2:Q$1073)&lt;&gt;ROW(Q228))*(Q$2:Q$1073&lt;&gt;""))),"")</f>
        <v>0.69794406610997572</v>
      </c>
      <c r="X228" cm="1">
        <f t="array" ref="X228">IFERROR(AVERAGE(_xlfn._xlws.FILTER(R$2:R$1073,($C$2:$C$1073=$C228)*($E$2:$E$1073=$E228)*(ROW(R$2:R$1073)&lt;&gt;ROW(R228))*(R$2:R$1073&lt;&gt;""))),"")</f>
        <v>0.13831775133189853</v>
      </c>
      <c r="Y228" cm="1">
        <f t="array" ref="Y228">IFERROR(AVERAGE(_xlfn._xlws.FILTER(S$2:S$1073,($C$2:$C$1073=$C228)*($E$2:$E$1073=$E228)*(ROW(S$2:S$1073)&lt;&gt;ROW(S228))*(S$2:S$1073&lt;&gt;""))),"")</f>
        <v>0.53634916478634709</v>
      </c>
      <c r="Z228" cm="1">
        <f t="array" ref="Z228">IFERROR(AVERAGE(_xlfn._xlws.FILTER(T$2:T$1073,($C$2:$C$1073=$C228)*($E$2:$E$1073=$E228)*(ROW(T$2:T$1073)&lt;&gt;ROW(T228))*(T$2:T$1073&lt;&gt;""))),"")</f>
        <v>7.9511596710895305E-2</v>
      </c>
      <c r="AA228" cm="1">
        <f t="array" ref="AA228">IFERROR(AVERAGE(_xlfn._xlws.FILTER(U$2:U$1073,($C$2:$C$1073=$C228)*($E$2:$E$1073=$E228)*(ROW(U$2:U$1073)&lt;&gt;ROW(U228))*(U$2:U$1073&lt;&gt;""))),"")</f>
        <v>0.83741376294990422</v>
      </c>
    </row>
    <row r="229" spans="1:27" x14ac:dyDescent="0.2">
      <c r="A229" s="7" t="s">
        <v>2206</v>
      </c>
      <c r="B229" t="str">
        <f t="shared" si="35"/>
        <v>MRKV IV кв. 2022</v>
      </c>
      <c r="C229">
        <v>2022</v>
      </c>
      <c r="D229">
        <f>SUMIFS(Дивиденды!$C:$C,Дивиденды!$A:$A,A229,Дивиденды!$I:$I,C229)</f>
        <v>0</v>
      </c>
      <c r="E229">
        <v>2</v>
      </c>
      <c r="F229">
        <f t="shared" si="36"/>
        <v>0</v>
      </c>
      <c r="G229">
        <f t="shared" si="37"/>
        <v>6.4731666666666673E-2</v>
      </c>
      <c r="H229">
        <f t="shared" si="38"/>
        <v>0</v>
      </c>
      <c r="I229">
        <f t="shared" si="34"/>
        <v>0.66666666666666663</v>
      </c>
      <c r="J229">
        <f t="shared" si="39"/>
        <v>-1</v>
      </c>
      <c r="K229">
        <f t="shared" si="43"/>
        <v>-7.8308528260407059E-2</v>
      </c>
      <c r="L229">
        <f t="shared" si="40"/>
        <v>0</v>
      </c>
      <c r="M229">
        <f t="shared" si="44"/>
        <v>0.33333333333333331</v>
      </c>
      <c r="N229">
        <f t="shared" si="41"/>
        <v>1</v>
      </c>
      <c r="O229">
        <f t="shared" si="42"/>
        <v>0.41666666666666669</v>
      </c>
      <c r="P229">
        <f>IFERROR(LN('Дивиденды по годам'!I229),"")</f>
        <v>24.937031884425565</v>
      </c>
      <c r="Q229">
        <f>IFERROR('Дивиденды по годам'!G229/'Дивиденды по годам'!I229, "")</f>
        <v>0.79838175284895052</v>
      </c>
      <c r="R229">
        <f>IFERROR(IF(AND('Дивиденды по годам'!N229&lt;&gt;"",'Дивиденды по годам'!U229&lt;&gt;"",'Дивиденды по годам'!U229&lt;&gt;0),'Дивиденды по годам'!N229/'Дивиденды по годам'!U229-1,""),"")</f>
        <v>2.9230764608529913E-2</v>
      </c>
      <c r="S229">
        <f>IFERROR(IF(AND('Дивиденды по годам'!L229&lt;&gt;"",'Дивиденды по годам'!I229&lt;&gt;"",'Дивиденды по годам'!J229&lt;&gt;"",'Дивиденды по годам'!K229&lt;&gt;"",('Дивиденды по годам'!I229-'Дивиденды по годам'!J229-'Дивиденды по годам'!K229)&lt;&gt;0),'Дивиденды по годам'!L229/('Дивиденды по годам'!I229-'Дивиденды по годам'!J229-'Дивиденды по годам'!K229),""),"")</f>
        <v>0.54820303248400704</v>
      </c>
      <c r="T229">
        <f>IFERROR(IF(AND('Дивиденды по годам'!Q229&lt;&gt;"",'Дивиденды по годам'!I229&lt;&gt;"",'Дивиденды по годам'!V229&lt;&gt;"",('Дивиденды по годам'!I229+'Дивиденды по годам'!V229)&lt;&gt;0),'Дивиденды по годам'!Q229/(('Дивиденды по годам'!I229+'Дивиденды по годам'!V229)/2),""),"")</f>
        <v>-7.1199751757517827E-3</v>
      </c>
      <c r="U229">
        <f>IFERROR(IF(AND('Дивиденды по годам'!J229&lt;&gt;"",'Дивиденды по годам'!K229&lt;&gt;"",'Дивиденды по годам'!M229&lt;&gt;"",'Дивиденды по годам'!M229&lt;&gt;0),('Дивиденды по годам'!J229+'Дивиденды по годам'!K229)/'Дивиденды по годам'!M229,""),"")</f>
        <v>0.73158209267755403</v>
      </c>
      <c r="V229" cm="1">
        <f t="array" ref="V229">IFERROR(AVERAGE(_xlfn._xlws.FILTER(P$2:P$1073,($C$2:$C$1073=$C229)*($E$2:$E$1073=$E229)*(ROW(P$2:P$1073)&lt;&gt;ROW(P229))*(P$2:P$1073&lt;&gt;""))),"")</f>
        <v>26.464199115629746</v>
      </c>
      <c r="W229" cm="1">
        <f t="array" ref="W229">IFERROR(AVERAGE(_xlfn._xlws.FILTER(Q$2:Q$1073,($C$2:$C$1073=$C229)*($E$2:$E$1073=$E229)*(ROW(Q$2:Q$1073)&lt;&gt;ROW(Q229))*(Q$2:Q$1073&lt;&gt;""))),"")</f>
        <v>0.69809991211899003</v>
      </c>
      <c r="X229" cm="1">
        <f t="array" ref="X229">IFERROR(AVERAGE(_xlfn._xlws.FILTER(R$2:R$1073,($C$2:$C$1073=$C229)*($E$2:$E$1073=$E229)*(ROW(R$2:R$1073)&lt;&gt;ROW(R229))*(R$2:R$1073&lt;&gt;""))),"")</f>
        <v>7.9186284441015262E-2</v>
      </c>
      <c r="Y229" cm="1">
        <f t="array" ref="Y229">IFERROR(AVERAGE(_xlfn._xlws.FILTER(S$2:S$1073,($C$2:$C$1073=$C229)*($E$2:$E$1073=$E229)*(ROW(S$2:S$1073)&lt;&gt;ROW(S229))*(S$2:S$1073&lt;&gt;""))),"")</f>
        <v>0.51126472655091793</v>
      </c>
      <c r="Z229" cm="1">
        <f t="array" ref="Z229">IFERROR(AVERAGE(_xlfn._xlws.FILTER(T$2:T$1073,($C$2:$C$1073=$C229)*($E$2:$E$1073=$E229)*(ROW(T$2:T$1073)&lt;&gt;ROW(T229))*(T$2:T$1073&lt;&gt;""))),"")</f>
        <v>1.5450948771702496E-2</v>
      </c>
      <c r="AA229" cm="1">
        <f t="array" ref="AA229">IFERROR(AVERAGE(_xlfn._xlws.FILTER(U$2:U$1073,($C$2:$C$1073=$C229)*($E$2:$E$1073=$E229)*(ROW(U$2:U$1073)&lt;&gt;ROW(U229))*(U$2:U$1073&lt;&gt;""))),"")</f>
        <v>0.92896835286878143</v>
      </c>
    </row>
    <row r="230" spans="1:27" x14ac:dyDescent="0.2">
      <c r="A230" s="7" t="s">
        <v>2206</v>
      </c>
      <c r="B230" t="str">
        <f t="shared" si="35"/>
        <v>MRKV IV кв. 2021</v>
      </c>
      <c r="C230">
        <v>2021</v>
      </c>
      <c r="D230">
        <f>SUMIFS(Дивиденды!$C:$C,Дивиденды!$A:$A,A230,Дивиденды!$I:$I,C230)</f>
        <v>3.2299999999999999E-4</v>
      </c>
      <c r="E230">
        <v>2</v>
      </c>
      <c r="F230">
        <f t="shared" si="36"/>
        <v>3.2299999999999999E-4</v>
      </c>
      <c r="G230">
        <f t="shared" si="37"/>
        <v>8.1758333333333322E-2</v>
      </c>
      <c r="H230">
        <f t="shared" si="38"/>
        <v>1</v>
      </c>
      <c r="I230">
        <f t="shared" si="34"/>
        <v>0.75</v>
      </c>
      <c r="J230">
        <f t="shared" si="39"/>
        <v>1</v>
      </c>
      <c r="K230">
        <f t="shared" si="43"/>
        <v>8.0542850590722317E-2</v>
      </c>
      <c r="L230">
        <f t="shared" si="40"/>
        <v>1</v>
      </c>
      <c r="M230">
        <f t="shared" si="44"/>
        <v>0.58333333333333337</v>
      </c>
      <c r="N230">
        <f t="shared" si="41"/>
        <v>0</v>
      </c>
      <c r="O230">
        <f t="shared" si="42"/>
        <v>0.25</v>
      </c>
      <c r="P230">
        <f>IFERROR(LN('Дивиденды по годам'!I230),"")</f>
        <v>24.89504643550125</v>
      </c>
      <c r="Q230">
        <f>IFERROR('Дивиденды по годам'!G230/'Дивиденды по годам'!I230, "")</f>
        <v>0.80233952736066583</v>
      </c>
      <c r="R230">
        <f>IFERROR(IF(AND('Дивиденды по годам'!N230&lt;&gt;"",'Дивиденды по годам'!U230&lt;&gt;"",'Дивиденды по годам'!U230&lt;&gt;0),'Дивиденды по годам'!N230/'Дивиденды по годам'!U230-1,""),"")</f>
        <v>7.4709043242167761E-2</v>
      </c>
      <c r="S230">
        <f>IFERROR(IF(AND('Дивиденды по годам'!L230&lt;&gt;"",'Дивиденды по годам'!I230&lt;&gt;"",'Дивиденды по годам'!J230&lt;&gt;"",'Дивиденды по годам'!K230&lt;&gt;"",('Дивиденды по годам'!I230-'Дивиденды по годам'!J230-'Дивиденды по годам'!K230)&lt;&gt;0),'Дивиденды по годам'!L230/('Дивиденды по годам'!I230-'Дивиденды по годам'!J230-'Дивиденды по годам'!K230),""),"")</f>
        <v>0.55220750177930389</v>
      </c>
      <c r="T230">
        <f>IFERROR(IF(AND('Дивиденды по годам'!Q230&lt;&gt;"",'Дивиденды по годам'!I230&lt;&gt;"",'Дивиденды по годам'!V230&lt;&gt;"",('Дивиденды по годам'!I230+'Дивиденды по годам'!V230)&lt;&gt;0),'Дивиденды по годам'!Q230/(('Дивиденды по годам'!I230+'Дивиденды по годам'!V230)/2),""),"")</f>
        <v>1.5562581073911572E-2</v>
      </c>
      <c r="U230">
        <f>IFERROR(IF(AND('Дивиденды по годам'!J230&lt;&gt;"",'Дивиденды по годам'!K230&lt;&gt;"",'Дивиденды по годам'!M230&lt;&gt;"",'Дивиденды по годам'!M230&lt;&gt;0),('Дивиденды по годам'!J230+'Дивиденды по годам'!K230)/'Дивиденды по годам'!M230,""),"")</f>
        <v>0.63303725498913521</v>
      </c>
      <c r="V230" cm="1">
        <f t="array" ref="V230">IFERROR(AVERAGE(_xlfn._xlws.FILTER(P$2:P$1073,($C$2:$C$1073=$C230)*($E$2:$E$1073=$E230)*(ROW(P$2:P$1073)&lt;&gt;ROW(P230))*(P$2:P$1073&lt;&gt;""))),"")</f>
        <v>26.029882635409979</v>
      </c>
      <c r="W230" cm="1">
        <f t="array" ref="W230">IFERROR(AVERAGE(_xlfn._xlws.FILTER(Q$2:Q$1073,($C$2:$C$1073=$C230)*($E$2:$E$1073=$E230)*(ROW(Q$2:Q$1073)&lt;&gt;ROW(Q230))*(Q$2:Q$1073&lt;&gt;""))),"")</f>
        <v>0.76672594607127675</v>
      </c>
      <c r="X230" cm="1">
        <f t="array" ref="X230">IFERROR(AVERAGE(_xlfn._xlws.FILTER(R$2:R$1073,($C$2:$C$1073=$C230)*($E$2:$E$1073=$E230)*(ROW(R$2:R$1073)&lt;&gt;ROW(R230))*(R$2:R$1073&lt;&gt;""))),"")</f>
        <v>0.13193226617327428</v>
      </c>
      <c r="Y230" cm="1">
        <f t="array" ref="Y230">IFERROR(AVERAGE(_xlfn._xlws.FILTER(S$2:S$1073,($C$2:$C$1073=$C230)*($E$2:$E$1073=$E230)*(ROW(S$2:S$1073)&lt;&gt;ROW(S230))*(S$2:S$1073&lt;&gt;""))),"")</f>
        <v>0.49608704496326972</v>
      </c>
      <c r="Z230" cm="1">
        <f t="array" ref="Z230">IFERROR(AVERAGE(_xlfn._xlws.FILTER(T$2:T$1073,($C$2:$C$1073=$C230)*($E$2:$E$1073=$E230)*(ROW(T$2:T$1073)&lt;&gt;ROW(T230))*(T$2:T$1073&lt;&gt;""))),"")</f>
        <v>3.8521876832260479E-2</v>
      </c>
      <c r="AA230" cm="1">
        <f t="array" ref="AA230">IFERROR(AVERAGE(_xlfn._xlws.FILTER(U$2:U$1073,($C$2:$C$1073=$C230)*($E$2:$E$1073=$E230)*(ROW(U$2:U$1073)&lt;&gt;ROW(U230))*(U$2:U$1073&lt;&gt;""))),"")</f>
        <v>0.72299110702192737</v>
      </c>
    </row>
    <row r="231" spans="1:27" x14ac:dyDescent="0.2">
      <c r="A231" s="7" t="s">
        <v>2206</v>
      </c>
      <c r="B231" t="str">
        <f t="shared" si="35"/>
        <v>MRKV IV кв. 2020</v>
      </c>
      <c r="C231">
        <v>2020</v>
      </c>
      <c r="D231">
        <f>SUMIFS(Дивиденды!$C:$C,Дивиденды!$A:$A,A231,Дивиденды!$I:$I,C231)</f>
        <v>0</v>
      </c>
      <c r="E231">
        <v>2</v>
      </c>
      <c r="F231">
        <f t="shared" si="36"/>
        <v>0</v>
      </c>
      <c r="G231">
        <f t="shared" si="37"/>
        <v>6.9905916666666665E-2</v>
      </c>
      <c r="H231">
        <f t="shared" si="38"/>
        <v>0</v>
      </c>
      <c r="I231">
        <f t="shared" si="34"/>
        <v>0.83333333333333337</v>
      </c>
      <c r="J231">
        <f t="shared" si="39"/>
        <v>-1</v>
      </c>
      <c r="K231">
        <f t="shared" si="43"/>
        <v>-2.2906983693792141E-3</v>
      </c>
      <c r="L231">
        <f t="shared" si="40"/>
        <v>0</v>
      </c>
      <c r="M231">
        <f t="shared" si="44"/>
        <v>0.58333333333333337</v>
      </c>
      <c r="N231">
        <f t="shared" si="41"/>
        <v>1</v>
      </c>
      <c r="O231">
        <f t="shared" si="42"/>
        <v>0.41666666666666669</v>
      </c>
      <c r="P231">
        <f>IFERROR(LN('Дивиденды по годам'!I231),"")</f>
        <v>24.842088679848352</v>
      </c>
      <c r="Q231">
        <f>IFERROR('Дивиденды по годам'!G231/'Дивиденды по годам'!I231, "")</f>
        <v>0.79335708042796815</v>
      </c>
      <c r="R231">
        <f>IFERROR(IF(AND('Дивиденды по годам'!N231&lt;&gt;"",'Дивиденды по годам'!U231&lt;&gt;"",'Дивиденды по годам'!U231&lt;&gt;0),'Дивиденды по годам'!N231/'Дивиденды по годам'!U231-1,""),"")</f>
        <v>-4.1031182758852536E-2</v>
      </c>
      <c r="S231">
        <f>IFERROR(IF(AND('Дивиденды по годам'!L231&lt;&gt;"",'Дивиденды по годам'!I231&lt;&gt;"",'Дивиденды по годам'!J231&lt;&gt;"",'Дивиденды по годам'!K231&lt;&gt;"",('Дивиденды по годам'!I231-'Дивиденды по годам'!J231-'Дивиденды по годам'!K231)&lt;&gt;0),'Дивиденды по годам'!L231/('Дивиденды по годам'!I231-'Дивиденды по годам'!J231-'Дивиденды по годам'!K231),""),"")</f>
        <v>0.54279641537261369</v>
      </c>
      <c r="T231">
        <f>IFERROR(IF(AND('Дивиденды по годам'!Q231&lt;&gt;"",'Дивиденды по годам'!I231&lt;&gt;"",'Дивиденды по годам'!V231&lt;&gt;"",('Дивиденды по годам'!I231+'Дивиденды по годам'!V231)&lt;&gt;0),'Дивиденды по годам'!Q231/(('Дивиденды по годам'!I231+'Дивиденды по годам'!V231)/2),""),"")</f>
        <v>-1.9501624973200364E-3</v>
      </c>
      <c r="U231">
        <f>IFERROR(IF(AND('Дивиденды по годам'!J231&lt;&gt;"",'Дивиденды по годам'!K231&lt;&gt;"",'Дивиденды по годам'!M231&lt;&gt;"",'Дивиденды по годам'!M231&lt;&gt;0),('Дивиденды по годам'!J231+'Дивиденды по годам'!K231)/'Дивиденды по годам'!M231,""),"")</f>
        <v>0.59536966515327472</v>
      </c>
      <c r="V231" cm="1">
        <f t="array" ref="V231">IFERROR(AVERAGE(_xlfn._xlws.FILTER(P$2:P$1073,($C$2:$C$1073=$C231)*($E$2:$E$1073=$E231)*(ROW(P$2:P$1073)&lt;&gt;ROW(P231))*(P$2:P$1073&lt;&gt;""))),"")</f>
        <v>26.284044721679606</v>
      </c>
      <c r="W231" cm="1">
        <f t="array" ref="W231">IFERROR(AVERAGE(_xlfn._xlws.FILTER(Q$2:Q$1073,($C$2:$C$1073=$C231)*($E$2:$E$1073=$E231)*(ROW(Q$2:Q$1073)&lt;&gt;ROW(Q231))*(Q$2:Q$1073&lt;&gt;""))),"")</f>
        <v>0.7409367989004324</v>
      </c>
      <c r="X231" cm="1">
        <f t="array" ref="X231">IFERROR(AVERAGE(_xlfn._xlws.FILTER(R$2:R$1073,($C$2:$C$1073=$C231)*($E$2:$E$1073=$E231)*(ROW(R$2:R$1073)&lt;&gt;ROW(R231))*(R$2:R$1073&lt;&gt;""))),"")</f>
        <v>-6.6122681469203262E-2</v>
      </c>
      <c r="Y231" cm="1">
        <f t="array" ref="Y231">IFERROR(AVERAGE(_xlfn._xlws.FILTER(S$2:S$1073,($C$2:$C$1073=$C231)*($E$2:$E$1073=$E231)*(ROW(S$2:S$1073)&lt;&gt;ROW(S231))*(S$2:S$1073&lt;&gt;""))),"")</f>
        <v>0.479609755722952</v>
      </c>
      <c r="Z231" cm="1">
        <f t="array" ref="Z231">IFERROR(AVERAGE(_xlfn._xlws.FILTER(T$2:T$1073,($C$2:$C$1073=$C231)*($E$2:$E$1073=$E231)*(ROW(T$2:T$1073)&lt;&gt;ROW(T231))*(T$2:T$1073&lt;&gt;""))),"")</f>
        <v>4.6368787228949888E-2</v>
      </c>
      <c r="AA231" cm="1">
        <f t="array" ref="AA231">IFERROR(AVERAGE(_xlfn._xlws.FILTER(U$2:U$1073,($C$2:$C$1073=$C231)*($E$2:$E$1073=$E231)*(ROW(U$2:U$1073)&lt;&gt;ROW(U231))*(U$2:U$1073&lt;&gt;""))),"")</f>
        <v>0.66491638183936563</v>
      </c>
    </row>
    <row r="232" spans="1:27" x14ac:dyDescent="0.2">
      <c r="A232" s="7" t="s">
        <v>2206</v>
      </c>
      <c r="B232" t="str">
        <f t="shared" si="35"/>
        <v>MRKV IV кв. 2019</v>
      </c>
      <c r="C232">
        <v>2019</v>
      </c>
      <c r="D232">
        <f>SUMIFS(Дивиденды!$C:$C,Дивиденды!$A:$A,A232,Дивиденды!$I:$I,C232)</f>
        <v>6.463E-3</v>
      </c>
      <c r="E232">
        <v>2</v>
      </c>
      <c r="F232">
        <f t="shared" si="36"/>
        <v>6.463E-3</v>
      </c>
      <c r="G232">
        <f t="shared" si="37"/>
        <v>7.0770083333333331E-2</v>
      </c>
      <c r="H232">
        <f t="shared" si="38"/>
        <v>1</v>
      </c>
      <c r="I232">
        <f t="shared" si="34"/>
        <v>1</v>
      </c>
      <c r="J232">
        <f t="shared" si="39"/>
        <v>-0.51037878787878788</v>
      </c>
      <c r="K232">
        <f t="shared" si="43"/>
        <v>0.21462432332648662</v>
      </c>
      <c r="L232">
        <f t="shared" si="40"/>
        <v>0</v>
      </c>
      <c r="M232">
        <f t="shared" si="44"/>
        <v>0.5</v>
      </c>
      <c r="N232">
        <f t="shared" si="41"/>
        <v>1</v>
      </c>
      <c r="O232">
        <f t="shared" si="42"/>
        <v>0.41666666666666669</v>
      </c>
      <c r="P232">
        <f>IFERROR(LN('Дивиденды по годам'!I232),"")</f>
        <v>24.796126275950115</v>
      </c>
      <c r="Q232">
        <f>IFERROR('Дивиденды по годам'!G232/'Дивиденды по годам'!I232, "")</f>
        <v>0.77708705575188886</v>
      </c>
      <c r="R232">
        <f>IFERROR(IF(AND('Дивиденды по годам'!N232&lt;&gt;"",'Дивиденды по годам'!U232&lt;&gt;"",'Дивиденды по годам'!U232&lt;&gt;0),'Дивиденды по годам'!N232/'Дивиденды по годам'!U232-1,""),"")</f>
        <v>-1.1154497660079921E-2</v>
      </c>
      <c r="S232">
        <f>IFERROR(IF(AND('Дивиденды по годам'!L232&lt;&gt;"",'Дивиденды по годам'!I232&lt;&gt;"",'Дивиденды по годам'!J232&lt;&gt;"",'Дивиденды по годам'!K232&lt;&gt;"",('Дивиденды по годам'!I232-'Дивиденды по годам'!J232-'Дивиденды по годам'!K232)&lt;&gt;0),'Дивиденды по годам'!L232/('Дивиденды по годам'!I232-'Дивиденды по годам'!J232-'Дивиденды по годам'!K232),""),"")</f>
        <v>0.54567815273068188</v>
      </c>
      <c r="T232">
        <f>IFERROR(IF(AND('Дивиденды по годам'!Q232&lt;&gt;"",'Дивиденды по годам'!I232&lt;&gt;"",'Дивиденды по годам'!V232&lt;&gt;"",('Дивиденды по годам'!I232+'Дивиденды по годам'!V232)&lt;&gt;0),'Дивиденды по годам'!Q232/(('Дивиденды по годам'!I232+'Дивиденды по годам'!V232)/2),""),"")</f>
        <v>6.9689177291546528E-2</v>
      </c>
      <c r="U232">
        <f>IFERROR(IF(AND('Дивиденды по годам'!J232&lt;&gt;"",'Дивиденды по годам'!K232&lt;&gt;"",'Дивиденды по годам'!M232&lt;&gt;"",'Дивиденды по годам'!M232&lt;&gt;0),('Дивиденды по годам'!J232+'Дивиденды по годам'!K232)/'Дивиденды по годам'!M232,""),"")</f>
        <v>0.50949916143649432</v>
      </c>
      <c r="V232" cm="1">
        <f t="array" ref="V232">IFERROR(AVERAGE(_xlfn._xlws.FILTER(P$2:P$1073,($C$2:$C$1073=$C232)*($E$2:$E$1073=$E232)*(ROW(P$2:P$1073)&lt;&gt;ROW(P232))*(P$2:P$1073&lt;&gt;""))),"")</f>
        <v>26.244814115387925</v>
      </c>
      <c r="W232" cm="1">
        <f t="array" ref="W232">IFERROR(AVERAGE(_xlfn._xlws.FILTER(Q$2:Q$1073,($C$2:$C$1073=$C232)*($E$2:$E$1073=$E232)*(ROW(Q$2:Q$1073)&lt;&gt;ROW(Q232))*(Q$2:Q$1073&lt;&gt;""))),"")</f>
        <v>0.73365409129860548</v>
      </c>
      <c r="X232" cm="1">
        <f t="array" ref="X232">IFERROR(AVERAGE(_xlfn._xlws.FILTER(R$2:R$1073,($C$2:$C$1073=$C232)*($E$2:$E$1073=$E232)*(ROW(R$2:R$1073)&lt;&gt;ROW(R232))*(R$2:R$1073&lt;&gt;""))),"")</f>
        <v>4.7009518660406551E-3</v>
      </c>
      <c r="Y232" cm="1">
        <f t="array" ref="Y232">IFERROR(AVERAGE(_xlfn._xlws.FILTER(S$2:S$1073,($C$2:$C$1073=$C232)*($E$2:$E$1073=$E232)*(ROW(S$2:S$1073)&lt;&gt;ROW(S232))*(S$2:S$1073&lt;&gt;""))),"")</f>
        <v>0.46805337500278582</v>
      </c>
      <c r="Z232" cm="1">
        <f t="array" ref="Z232">IFERROR(AVERAGE(_xlfn._xlws.FILTER(T$2:T$1073,($C$2:$C$1073=$C232)*($E$2:$E$1073=$E232)*(ROW(T$2:T$1073)&lt;&gt;ROW(T232))*(T$2:T$1073&lt;&gt;""))),"")</f>
        <v>5.0489052900164061E-2</v>
      </c>
      <c r="AA232" cm="1">
        <f t="array" ref="AA232">IFERROR(AVERAGE(_xlfn._xlws.FILTER(U$2:U$1073,($C$2:$C$1073=$C232)*($E$2:$E$1073=$E232)*(ROW(U$2:U$1073)&lt;&gt;ROW(U232))*(U$2:U$1073&lt;&gt;""))),"")</f>
        <v>0.67840041998824274</v>
      </c>
    </row>
    <row r="233" spans="1:27" x14ac:dyDescent="0.2">
      <c r="A233" s="7" t="s">
        <v>2206</v>
      </c>
      <c r="B233" t="str">
        <f t="shared" si="35"/>
        <v>MRKV IV кв. 2018</v>
      </c>
      <c r="C233">
        <v>2018</v>
      </c>
      <c r="D233">
        <f>SUMIFS(Дивиденды!$C:$C,Дивиденды!$A:$A,A233,Дивиденды!$I:$I,C233)</f>
        <v>1.32E-2</v>
      </c>
      <c r="E233">
        <v>2</v>
      </c>
      <c r="F233">
        <f t="shared" si="36"/>
        <v>1.32E-2</v>
      </c>
      <c r="G233">
        <f t="shared" si="37"/>
        <v>7.9470416666666654E-2</v>
      </c>
      <c r="H233">
        <f t="shared" si="38"/>
        <v>1</v>
      </c>
      <c r="I233">
        <f t="shared" si="34"/>
        <v>1</v>
      </c>
      <c r="J233">
        <f t="shared" si="39"/>
        <v>-0.10810810810810816</v>
      </c>
      <c r="K233">
        <f t="shared" si="43"/>
        <v>0.20526737063992784</v>
      </c>
      <c r="L233">
        <f t="shared" si="40"/>
        <v>0</v>
      </c>
      <c r="M233">
        <f t="shared" si="44"/>
        <v>0.66666666666666663</v>
      </c>
      <c r="N233">
        <f t="shared" si="41"/>
        <v>1</v>
      </c>
      <c r="O233">
        <f t="shared" si="42"/>
        <v>0.16666666666666666</v>
      </c>
      <c r="P233">
        <f>IFERROR(LN('Дивиденды по годам'!I233),"")</f>
        <v>24.704188794878007</v>
      </c>
      <c r="Q233">
        <f>IFERROR('Дивиденды по годам'!G233/'Дивиденды по годам'!I233, "")</f>
        <v>0.76668633507192774</v>
      </c>
      <c r="R233">
        <f>IFERROR(IF(AND('Дивиденды по годам'!N233&lt;&gt;"",'Дивиденды по годам'!U233&lt;&gt;"",'Дивиденды по годам'!U233&lt;&gt;0),'Дивиденды по годам'!N233/'Дивиденды по годам'!U233-1,""),"")</f>
        <v>7.4870642744845117E-2</v>
      </c>
      <c r="S233">
        <f>IFERROR(IF(AND('Дивиденды по годам'!L233&lt;&gt;"",'Дивиденды по годам'!I233&lt;&gt;"",'Дивиденды по годам'!J233&lt;&gt;"",'Дивиденды по годам'!K233&lt;&gt;"",('Дивиденды по годам'!I233-'Дивиденды по годам'!J233-'Дивиденды по годам'!K233)&lt;&gt;0),'Дивиденды по годам'!L233/('Дивиденды по годам'!I233-'Дивиденды по годам'!J233-'Дивиденды по годам'!K233),""),"")</f>
        <v>0.53699142530845712</v>
      </c>
      <c r="T233">
        <f>IFERROR(IF(AND('Дивиденды по годам'!Q233&lt;&gt;"",'Дивиденды по годам'!I233&lt;&gt;"",'Дивиденды по годам'!V233&lt;&gt;"",('Дивиденды по годам'!I233+'Дивиденды по годам'!V233)&lt;&gt;0),'Дивиденды по годам'!Q233/(('Дивиденды по годам'!I233+'Дивиденды по годам'!V233)/2),""),"")</f>
        <v>0.10780452503367499</v>
      </c>
      <c r="U233">
        <f>IFERROR(IF(AND('Дивиденды по годам'!J233&lt;&gt;"",'Дивиденды по годам'!K233&lt;&gt;"",'Дивиденды по годам'!M233&lt;&gt;"",'Дивиденды по годам'!M233&lt;&gt;0),('Дивиденды по годам'!J233+'Дивиденды по годам'!K233)/'Дивиденды по годам'!M233,""),"")</f>
        <v>0.38204930545679638</v>
      </c>
      <c r="V233" cm="1">
        <f t="array" ref="V233">IFERROR(AVERAGE(_xlfn._xlws.FILTER(P$2:P$1073,($C$2:$C$1073=$C233)*($E$2:$E$1073=$E233)*(ROW(P$2:P$1073)&lt;&gt;ROW(P233))*(P$2:P$1073&lt;&gt;""))),"")</f>
        <v>26.194909614949182</v>
      </c>
      <c r="W233" cm="1">
        <f t="array" ref="W233">IFERROR(AVERAGE(_xlfn._xlws.FILTER(Q$2:Q$1073,($C$2:$C$1073=$C233)*($E$2:$E$1073=$E233)*(ROW(Q$2:Q$1073)&lt;&gt;ROW(Q233))*(Q$2:Q$1073&lt;&gt;""))),"")</f>
        <v>0.75205862774566234</v>
      </c>
      <c r="X233" cm="1">
        <f t="array" ref="X233">IFERROR(AVERAGE(_xlfn._xlws.FILTER(R$2:R$1073,($C$2:$C$1073=$C233)*($E$2:$E$1073=$E233)*(ROW(R$2:R$1073)&lt;&gt;ROW(R233))*(R$2:R$1073&lt;&gt;""))),"")</f>
        <v>4.8143928474705992E-2</v>
      </c>
      <c r="Y233" cm="1">
        <f t="array" ref="Y233">IFERROR(AVERAGE(_xlfn._xlws.FILTER(S$2:S$1073,($C$2:$C$1073=$C233)*($E$2:$E$1073=$E233)*(ROW(S$2:S$1073)&lt;&gt;ROW(S233))*(S$2:S$1073&lt;&gt;""))),"")</f>
        <v>0.45836126694087204</v>
      </c>
      <c r="Z233" cm="1">
        <f t="array" ref="Z233">IFERROR(AVERAGE(_xlfn._xlws.FILTER(T$2:T$1073,($C$2:$C$1073=$C233)*($E$2:$E$1073=$E233)*(ROW(T$2:T$1073)&lt;&gt;ROW(T233))*(T$2:T$1073&lt;&gt;""))),"")</f>
        <v>6.5128717431131869E-2</v>
      </c>
      <c r="AA233" cm="1">
        <f t="array" ref="AA233">IFERROR(AVERAGE(_xlfn._xlws.FILTER(U$2:U$1073,($C$2:$C$1073=$C233)*($E$2:$E$1073=$E233)*(ROW(U$2:U$1073)&lt;&gt;ROW(U233))*(U$2:U$1073&lt;&gt;""))),"")</f>
        <v>0.65279441799851645</v>
      </c>
    </row>
    <row r="234" spans="1:27" x14ac:dyDescent="0.2">
      <c r="A234" s="7" t="s">
        <v>2206</v>
      </c>
      <c r="B234" t="str">
        <f t="shared" si="35"/>
        <v>MRKV IV кв. 2017</v>
      </c>
      <c r="C234">
        <v>2017</v>
      </c>
      <c r="D234">
        <f>SUMIFS(Дивиденды!$C:$C,Дивиденды!$A:$A,A234,Дивиденды!$I:$I,C234)</f>
        <v>1.4800000000000001E-2</v>
      </c>
      <c r="E234">
        <v>2</v>
      </c>
      <c r="F234">
        <f t="shared" si="36"/>
        <v>1.4800000000000001E-2</v>
      </c>
      <c r="G234">
        <f t="shared" si="37"/>
        <v>7.0875499999999994E-2</v>
      </c>
      <c r="H234">
        <f t="shared" si="38"/>
        <v>1</v>
      </c>
      <c r="I234">
        <f t="shared" si="34"/>
        <v>1</v>
      </c>
      <c r="J234">
        <f t="shared" si="39"/>
        <v>1.1010789324247587</v>
      </c>
      <c r="K234">
        <f t="shared" si="43"/>
        <v>0.54999305990488689</v>
      </c>
      <c r="L234">
        <f t="shared" si="40"/>
        <v>1</v>
      </c>
      <c r="M234">
        <f t="shared" si="44"/>
        <v>0.75</v>
      </c>
      <c r="N234">
        <f t="shared" si="41"/>
        <v>0</v>
      </c>
      <c r="O234">
        <f t="shared" si="42"/>
        <v>0.25</v>
      </c>
      <c r="P234">
        <f>IFERROR(LN('Дивиденды по годам'!I234),"")</f>
        <v>24.681594646886069</v>
      </c>
      <c r="Q234">
        <f>IFERROR('Дивиденды по годам'!G234/'Дивиденды по годам'!I234, "")</f>
        <v>0.73423929810755384</v>
      </c>
      <c r="R234">
        <f>IFERROR(IF(AND('Дивиденды по годам'!N234&lt;&gt;"",'Дивиденды по годам'!U234&lt;&gt;"",'Дивиденды по годам'!U234&lt;&gt;0),'Дивиденды по годам'!N234/'Дивиденды по годам'!U234-1,""),"")</f>
        <v>0.1108744185375039</v>
      </c>
      <c r="S234">
        <f>IFERROR(IF(AND('Дивиденды по годам'!L234&lt;&gt;"",'Дивиденды по годам'!I234&lt;&gt;"",'Дивиденды по годам'!J234&lt;&gt;"",'Дивиденды по годам'!K234&lt;&gt;"",('Дивиденды по годам'!I234-'Дивиденды по годам'!J234-'Дивиденды по годам'!K234)&lt;&gt;0),'Дивиденды по годам'!L234/('Дивиденды по годам'!I234-'Дивиденды по годам'!J234-'Дивиденды по годам'!K234),""),"")</f>
        <v>0.49937023290640348</v>
      </c>
      <c r="T234">
        <f>IFERROR(IF(AND('Дивиденды по годам'!Q234&lt;&gt;"",'Дивиденды по годам'!I234&lt;&gt;"",'Дивиденды по годам'!V234&lt;&gt;"",('Дивиденды по годам'!I234+'Дивиденды по годам'!V234)&lt;&gt;0),'Дивиденды по годам'!Q234/(('Дивиденды по годам'!I234+'Дивиденды по годам'!V234)/2),""),"")</f>
        <v>0.10806502412079667</v>
      </c>
      <c r="U234">
        <f>IFERROR(IF(AND('Дивиденды по годам'!J234&lt;&gt;"",'Дивиденды по годам'!K234&lt;&gt;"",'Дивиденды по годам'!M234&lt;&gt;"",'Дивиденды по годам'!M234&lt;&gt;0),('Дивиденды по годам'!J234+'Дивиденды по годам'!K234)/'Дивиденды по годам'!M234,""),"")</f>
        <v>0.46119952788254676</v>
      </c>
      <c r="V234" cm="1">
        <f t="array" ref="V234">IFERROR(AVERAGE(_xlfn._xlws.FILTER(P$2:P$1073,($C$2:$C$1073=$C234)*($E$2:$E$1073=$E234)*(ROW(P$2:P$1073)&lt;&gt;ROW(P234))*(P$2:P$1073&lt;&gt;""))),"")</f>
        <v>26.164179909265656</v>
      </c>
      <c r="W234" cm="1">
        <f t="array" ref="W234">IFERROR(AVERAGE(_xlfn._xlws.FILTER(Q$2:Q$1073,($C$2:$C$1073=$C234)*($E$2:$E$1073=$E234)*(ROW(Q$2:Q$1073)&lt;&gt;ROW(Q234))*(Q$2:Q$1073&lt;&gt;""))),"")</f>
        <v>0.76227237962431527</v>
      </c>
      <c r="X234" cm="1">
        <f t="array" ref="X234">IFERROR(AVERAGE(_xlfn._xlws.FILTER(R$2:R$1073,($C$2:$C$1073=$C234)*($E$2:$E$1073=$E234)*(ROW(R$2:R$1073)&lt;&gt;ROW(R234))*(R$2:R$1073&lt;&gt;""))),"")</f>
        <v>4.0471055077453362E-2</v>
      </c>
      <c r="Y234" cm="1">
        <f t="array" ref="Y234">IFERROR(AVERAGE(_xlfn._xlws.FILTER(S$2:S$1073,($C$2:$C$1073=$C234)*($E$2:$E$1073=$E234)*(ROW(S$2:S$1073)&lt;&gt;ROW(S234))*(S$2:S$1073&lt;&gt;""))),"")</f>
        <v>0.41389623388709412</v>
      </c>
      <c r="Z234" cm="1">
        <f t="array" ref="Z234">IFERROR(AVERAGE(_xlfn._xlws.FILTER(T$2:T$1073,($C$2:$C$1073=$C234)*($E$2:$E$1073=$E234)*(ROW(T$2:T$1073)&lt;&gt;ROW(T234))*(T$2:T$1073&lt;&gt;""))),"")</f>
        <v>7.9362104462506008E-2</v>
      </c>
      <c r="AA234" cm="1">
        <f t="array" ref="AA234">IFERROR(AVERAGE(_xlfn._xlws.FILTER(U$2:U$1073,($C$2:$C$1073=$C234)*($E$2:$E$1073=$E234)*(ROW(U$2:U$1073)&lt;&gt;ROW(U234))*(U$2:U$1073&lt;&gt;""))),"")</f>
        <v>0.64547650784828348</v>
      </c>
    </row>
    <row r="235" spans="1:27" x14ac:dyDescent="0.2">
      <c r="A235" s="7" t="s">
        <v>2206</v>
      </c>
      <c r="B235" t="str">
        <f t="shared" si="35"/>
        <v>MRKV IV кв. 2016</v>
      </c>
      <c r="C235">
        <v>2016</v>
      </c>
      <c r="D235">
        <f>SUMIFS(Дивиденды!$C:$C,Дивиденды!$A:$A,A235,Дивиденды!$I:$I,C235)</f>
        <v>7.0439999999999999E-3</v>
      </c>
      <c r="E235">
        <v>2</v>
      </c>
      <c r="F235">
        <f t="shared" si="36"/>
        <v>7.0439999999999999E-3</v>
      </c>
      <c r="G235">
        <f t="shared" si="37"/>
        <v>5.680816666666666E-2</v>
      </c>
      <c r="H235">
        <f t="shared" si="38"/>
        <v>1</v>
      </c>
      <c r="I235">
        <f t="shared" si="34"/>
        <v>1</v>
      </c>
      <c r="J235">
        <f t="shared" si="39"/>
        <v>4.4184615384615382</v>
      </c>
      <c r="K235">
        <f t="shared" si="43"/>
        <v>1.0388649096006819</v>
      </c>
      <c r="L235">
        <f t="shared" si="40"/>
        <v>1</v>
      </c>
      <c r="M235">
        <f t="shared" si="44"/>
        <v>0.83333333333333337</v>
      </c>
      <c r="N235">
        <f t="shared" si="41"/>
        <v>0</v>
      </c>
      <c r="O235">
        <f t="shared" si="42"/>
        <v>0.16666666666666666</v>
      </c>
      <c r="P235">
        <f>IFERROR(LN('Дивиденды по годам'!I235),"")</f>
        <v>24.656658887687882</v>
      </c>
      <c r="Q235">
        <f>IFERROR('Дивиденды по годам'!G235/'Дивиденды по годам'!I235, "")</f>
        <v>0.75865822712102138</v>
      </c>
      <c r="R235">
        <f>IFERROR(IF(AND('Дивиденды по годам'!N235&lt;&gt;"",'Дивиденды по годам'!U235&lt;&gt;"",'Дивиденды по годам'!U235&lt;&gt;0),'Дивиденды по годам'!N235/'Дивиденды по годам'!U235-1,""),"")</f>
        <v>0.11138402115763979</v>
      </c>
      <c r="S235">
        <f>IFERROR(IF(AND('Дивиденды по годам'!L235&lt;&gt;"",'Дивиденды по годам'!I235&lt;&gt;"",'Дивиденды по годам'!J235&lt;&gt;"",'Дивиденды по годам'!K235&lt;&gt;"",('Дивиденды по годам'!I235-'Дивиденды по годам'!J235-'Дивиденды по годам'!K235)&lt;&gt;0),'Дивиденды по годам'!L235/('Дивиденды по годам'!I235-'Дивиденды по годам'!J235-'Дивиденды по годам'!K235),""),"")</f>
        <v>0.4332971067885838</v>
      </c>
      <c r="T235">
        <f>IFERROR(IF(AND('Дивиденды по годам'!Q235&lt;&gt;"",'Дивиденды по годам'!I235&lt;&gt;"",'Дивиденды по годам'!V235&lt;&gt;"",('Дивиденды по годам'!I235+'Дивиденды по годам'!V235)&lt;&gt;0),'Дивиденды по годам'!Q235/(('Дивиденды по годам'!I235+'Дивиденды по годам'!V235)/2),""),"")</f>
        <v>5.4912976901168878E-2</v>
      </c>
      <c r="U235">
        <f>IFERROR(IF(AND('Дивиденды по годам'!J235&lt;&gt;"",'Дивиденды по годам'!K235&lt;&gt;"",'Дивиденды по годам'!M235&lt;&gt;"",'Дивиденды по годам'!M235&lt;&gt;0),('Дивиденды по годам'!J235+'Дивиденды по годам'!K235)/'Дивиденды по годам'!M235,""),"")</f>
        <v>0.62543724595184835</v>
      </c>
      <c r="V235" cm="1">
        <f t="array" ref="V235">IFERROR(AVERAGE(_xlfn._xlws.FILTER(P$2:P$1073,($C$2:$C$1073=$C235)*($E$2:$E$1073=$E235)*(ROW(P$2:P$1073)&lt;&gt;ROW(P235))*(P$2:P$1073&lt;&gt;""))),"")</f>
        <v>26.120451129394947</v>
      </c>
      <c r="W235" cm="1">
        <f t="array" ref="W235">IFERROR(AVERAGE(_xlfn._xlws.FILTER(Q$2:Q$1073,($C$2:$C$1073=$C235)*($E$2:$E$1073=$E235)*(ROW(Q$2:Q$1073)&lt;&gt;ROW(Q235))*(Q$2:Q$1073&lt;&gt;""))),"")</f>
        <v>0.71273252782623764</v>
      </c>
      <c r="X235" cm="1">
        <f t="array" ref="X235">IFERROR(AVERAGE(_xlfn._xlws.FILTER(R$2:R$1073,($C$2:$C$1073=$C235)*($E$2:$E$1073=$E235)*(ROW(R$2:R$1073)&lt;&gt;ROW(R235))*(R$2:R$1073&lt;&gt;""))),"")</f>
        <v>0.11445317833071873</v>
      </c>
      <c r="Y235" cm="1">
        <f t="array" ref="Y235">IFERROR(AVERAGE(_xlfn._xlws.FILTER(S$2:S$1073,($C$2:$C$1073=$C235)*($E$2:$E$1073=$E235)*(ROW(S$2:S$1073)&lt;&gt;ROW(S235))*(S$2:S$1073&lt;&gt;""))),"")</f>
        <v>0.40667387005014333</v>
      </c>
      <c r="Z235" cm="1">
        <f t="array" ref="Z235">IFERROR(AVERAGE(_xlfn._xlws.FILTER(T$2:T$1073,($C$2:$C$1073=$C235)*($E$2:$E$1073=$E235)*(ROW(T$2:T$1073)&lt;&gt;ROW(T235))*(T$2:T$1073&lt;&gt;""))),"")</f>
        <v>3.9547053265397036E-2</v>
      </c>
      <c r="AA235" cm="1">
        <f t="array" ref="AA235">IFERROR(AVERAGE(_xlfn._xlws.FILTER(U$2:U$1073,($C$2:$C$1073=$C235)*($E$2:$E$1073=$E235)*(ROW(U$2:U$1073)&lt;&gt;ROW(U235))*(U$2:U$1073&lt;&gt;""))),"")</f>
        <v>0.73467094380304232</v>
      </c>
    </row>
    <row r="236" spans="1:27" x14ac:dyDescent="0.2">
      <c r="A236" s="7" t="s">
        <v>2206</v>
      </c>
      <c r="B236" t="str">
        <f t="shared" si="35"/>
        <v>MRKV IV кв. 2015</v>
      </c>
      <c r="C236">
        <v>2015</v>
      </c>
      <c r="D236">
        <f>SUMIFS(Дивиденды!$C:$C,Дивиденды!$A:$A,A236,Дивиденды!$I:$I,C236)</f>
        <v>1.2999999999999999E-3</v>
      </c>
      <c r="E236">
        <v>2</v>
      </c>
      <c r="F236">
        <f t="shared" si="36"/>
        <v>1.2999999999999999E-3</v>
      </c>
      <c r="G236">
        <f t="shared" si="37"/>
        <v>4.133175E-2</v>
      </c>
      <c r="H236">
        <f t="shared" si="38"/>
        <v>1</v>
      </c>
      <c r="I236">
        <f t="shared" si="34"/>
        <v>0.91666666666666663</v>
      </c>
      <c r="J236">
        <f t="shared" si="39"/>
        <v>11.999999999999998</v>
      </c>
      <c r="K236">
        <f t="shared" si="43"/>
        <v>3.1449764449923419</v>
      </c>
      <c r="L236">
        <f t="shared" si="40"/>
        <v>1</v>
      </c>
      <c r="M236">
        <f t="shared" si="44"/>
        <v>0.66666666666666663</v>
      </c>
      <c r="N236">
        <f t="shared" si="41"/>
        <v>0</v>
      </c>
      <c r="O236">
        <f t="shared" si="42"/>
        <v>0.33333333333333331</v>
      </c>
      <c r="P236">
        <f>IFERROR(LN('Дивиденды по годам'!I236),"")</f>
        <v>24.655803666978407</v>
      </c>
      <c r="Q236">
        <f>IFERROR('Дивиденды по годам'!G236/'Дивиденды по годам'!I236, "")</f>
        <v>0.78342717987096844</v>
      </c>
      <c r="R236" t="str">
        <f>IFERROR(IF(AND('Дивиденды по годам'!N236&lt;&gt;"",'Дивиденды по годам'!U236&lt;&gt;"",'Дивиденды по годам'!U236&lt;&gt;0),'Дивиденды по годам'!N236/'Дивиденды по годам'!U236-1,""),"")</f>
        <v/>
      </c>
      <c r="S236">
        <f>IFERROR(IF(AND('Дивиденды по годам'!L236&lt;&gt;"",'Дивиденды по годам'!I236&lt;&gt;"",'Дивиденды по годам'!J236&lt;&gt;"",'Дивиденды по годам'!K236&lt;&gt;"",('Дивиденды по годам'!I236-'Дивиденды по годам'!J236-'Дивиденды по годам'!K236)&lt;&gt;0),'Дивиденды по годам'!L236/('Дивиденды по годам'!I236-'Дивиденды по годам'!J236-'Дивиденды по годам'!K236),""),"")</f>
        <v>0.39174238519886923</v>
      </c>
      <c r="T236" t="str">
        <f>IFERROR(IF(AND('Дивиденды по годам'!Q236&lt;&gt;"",'Дивиденды по годам'!I236&lt;&gt;"",'Дивиденды по годам'!V236&lt;&gt;"",('Дивиденды по годам'!I236+'Дивиденды по годам'!V236)&lt;&gt;0),'Дивиденды по годам'!Q236/(('Дивиденды по годам'!I236+'Дивиденды по годам'!V236)/2),""),"")</f>
        <v/>
      </c>
      <c r="U236">
        <f>IFERROR(IF(AND('Дивиденды по годам'!J236&lt;&gt;"",'Дивиденды по годам'!K236&lt;&gt;"",'Дивиденды по годам'!M236&lt;&gt;"",'Дивиденды по годам'!M236&lt;&gt;0),('Дивиденды по годам'!J236+'Дивиденды по годам'!K236)/'Дивиденды по годам'!M236,""),"")</f>
        <v>0.81074262596262037</v>
      </c>
      <c r="V236" cm="1">
        <f t="array" ref="V236">IFERROR(AVERAGE(_xlfn._xlws.FILTER(P$2:P$1073,($C$2:$C$1073=$C236)*($E$2:$E$1073=$E236)*(ROW(P$2:P$1073)&lt;&gt;ROW(P236))*(P$2:P$1073&lt;&gt;""))),"")</f>
        <v>26.056360652007008</v>
      </c>
      <c r="W236" cm="1">
        <f t="array" ref="W236">IFERROR(AVERAGE(_xlfn._xlws.FILTER(Q$2:Q$1073,($C$2:$C$1073=$C236)*($E$2:$E$1073=$E236)*(ROW(Q$2:Q$1073)&lt;&gt;ROW(Q236))*(Q$2:Q$1073&lt;&gt;""))),"")</f>
        <v>0.7789785833624332</v>
      </c>
      <c r="X236" cm="1">
        <f t="array" ref="X236">IFERROR(AVERAGE(_xlfn._xlws.FILTER(R$2:R$1073,($C$2:$C$1073=$C236)*($E$2:$E$1073=$E236)*(ROW(R$2:R$1073)&lt;&gt;ROW(R236))*(R$2:R$1073&lt;&gt;""))),"")</f>
        <v>6.7517888744073832E-3</v>
      </c>
      <c r="Y236" cm="1">
        <f t="array" ref="Y236">IFERROR(AVERAGE(_xlfn._xlws.FILTER(S$2:S$1073,($C$2:$C$1073=$C236)*($E$2:$E$1073=$E236)*(ROW(S$2:S$1073)&lt;&gt;ROW(S236))*(S$2:S$1073&lt;&gt;""))),"")</f>
        <v>0.50280483762513584</v>
      </c>
      <c r="Z236" cm="1">
        <f t="array" ref="Z236">IFERROR(AVERAGE(_xlfn._xlws.FILTER(T$2:T$1073,($C$2:$C$1073=$C236)*($E$2:$E$1073=$E236)*(ROW(T$2:T$1073)&lt;&gt;ROW(T236))*(T$2:T$1073&lt;&gt;""))),"")</f>
        <v>-1.2387742079155006E-2</v>
      </c>
      <c r="AA236" cm="1">
        <f t="array" ref="AA236">IFERROR(AVERAGE(_xlfn._xlws.FILTER(U$2:U$1073,($C$2:$C$1073=$C236)*($E$2:$E$1073=$E236)*(ROW(U$2:U$1073)&lt;&gt;ROW(U236))*(U$2:U$1073&lt;&gt;""))),"")</f>
        <v>0.90079335773667102</v>
      </c>
    </row>
    <row r="237" spans="1:27" x14ac:dyDescent="0.2">
      <c r="A237" s="7" t="s">
        <v>2206</v>
      </c>
      <c r="B237" t="str">
        <f t="shared" si="35"/>
        <v>MRKV IV кв. 2014</v>
      </c>
      <c r="C237">
        <v>2014</v>
      </c>
      <c r="D237">
        <f>SUMIFS(Дивиденды!$C:$C,Дивиденды!$A:$A,A237,Дивиденды!$I:$I,C237)</f>
        <v>1E-4</v>
      </c>
      <c r="E237">
        <v>2</v>
      </c>
      <c r="F237">
        <f t="shared" si="36"/>
        <v>1E-4</v>
      </c>
      <c r="G237">
        <f t="shared" si="37"/>
        <v>3.8959583333333339E-2</v>
      </c>
      <c r="H237">
        <f t="shared" si="38"/>
        <v>1</v>
      </c>
      <c r="I237">
        <f t="shared" si="34"/>
        <v>1</v>
      </c>
      <c r="J237">
        <f t="shared" si="39"/>
        <v>0</v>
      </c>
      <c r="K237">
        <f t="shared" si="43"/>
        <v>1.4011034816833055</v>
      </c>
      <c r="L237">
        <f t="shared" si="40"/>
        <v>0</v>
      </c>
      <c r="M237">
        <f t="shared" si="44"/>
        <v>0.66666666666666663</v>
      </c>
      <c r="N237">
        <f t="shared" si="41"/>
        <v>0</v>
      </c>
      <c r="O237">
        <f t="shared" si="42"/>
        <v>0.33333333333333331</v>
      </c>
      <c r="P237" t="str">
        <f>IFERROR(LN('Дивиденды по годам'!I237),"")</f>
        <v/>
      </c>
      <c r="Q237" t="str">
        <f>IFERROR('Дивиденды по годам'!G237/'Дивиденды по годам'!I237, "")</f>
        <v/>
      </c>
      <c r="R237" t="str">
        <f>IFERROR(IF(AND('Дивиденды по годам'!N237&lt;&gt;"",'Дивиденды по годам'!U237&lt;&gt;"",'Дивиденды по годам'!U237&lt;&gt;0),'Дивиденды по годам'!N237/'Дивиденды по годам'!U237-1,""),"")</f>
        <v/>
      </c>
      <c r="S237" t="str">
        <f>IFERROR(IF(AND('Дивиденды по годам'!L237&lt;&gt;"",'Дивиденды по годам'!I237&lt;&gt;"",'Дивиденды по годам'!J237&lt;&gt;"",'Дивиденды по годам'!K237&lt;&gt;"",('Дивиденды по годам'!I237-'Дивиденды по годам'!J237-'Дивиденды по годам'!K237)&lt;&gt;0),'Дивиденды по годам'!L237/('Дивиденды по годам'!I237-'Дивиденды по годам'!J237-'Дивиденды по годам'!K237),""),"")</f>
        <v/>
      </c>
      <c r="T237" t="str">
        <f>IFERROR(IF(AND('Дивиденды по годам'!Q237&lt;&gt;"",'Дивиденды по годам'!I237&lt;&gt;"",'Дивиденды по годам'!V237&lt;&gt;"",('Дивиденды по годам'!I237+'Дивиденды по годам'!V237)&lt;&gt;0),'Дивиденды по годам'!Q237/(('Дивиденды по годам'!I237+'Дивиденды по годам'!V237)/2),""),"")</f>
        <v/>
      </c>
      <c r="U237" t="str">
        <f>IFERROR(IF(AND('Дивиденды по годам'!J237&lt;&gt;"",'Дивиденды по годам'!K237&lt;&gt;"",'Дивиденды по годам'!M237&lt;&gt;"",'Дивиденды по годам'!M237&lt;&gt;0),('Дивиденды по годам'!J237+'Дивиденды по годам'!K237)/'Дивиденды по годам'!M237,""),"")</f>
        <v/>
      </c>
      <c r="V237" cm="1">
        <f t="array" ref="V237">IFERROR(AVERAGE(_xlfn._xlws.FILTER(P$2:P$1073,($C$2:$C$1073=$C237)*($E$2:$E$1073=$E237)*(ROW(P$2:P$1073)&lt;&gt;ROW(P237))*(P$2:P$1073&lt;&gt;""))),"")</f>
        <v>26.162362087257655</v>
      </c>
      <c r="W237" cm="1">
        <f t="array" ref="W237">IFERROR(AVERAGE(_xlfn._xlws.FILTER(Q$2:Q$1073,($C$2:$C$1073=$C237)*($E$2:$E$1073=$E237)*(ROW(Q$2:Q$1073)&lt;&gt;ROW(Q237))*(Q$2:Q$1073&lt;&gt;""))),"")</f>
        <v>0.77148348573008463</v>
      </c>
      <c r="X237" cm="1">
        <f t="array" ref="X237">IFERROR(AVERAGE(_xlfn._xlws.FILTER(R$2:R$1073,($C$2:$C$1073=$C237)*($E$2:$E$1073=$E237)*(ROW(R$2:R$1073)&lt;&gt;ROW(R237))*(R$2:R$1073&lt;&gt;""))),"")</f>
        <v>2.2711345548547646E-2</v>
      </c>
      <c r="Y237" cm="1">
        <f t="array" ref="Y237">IFERROR(AVERAGE(_xlfn._xlws.FILTER(S$2:S$1073,($C$2:$C$1073=$C237)*($E$2:$E$1073=$E237)*(ROW(S$2:S$1073)&lt;&gt;ROW(S237))*(S$2:S$1073&lt;&gt;""))),"")</f>
        <v>0.60466035791128681</v>
      </c>
      <c r="Z237" cm="1">
        <f t="array" ref="Z237">IFERROR(AVERAGE(_xlfn._xlws.FILTER(T$2:T$1073,($C$2:$C$1073=$C237)*($E$2:$E$1073=$E237)*(ROW(T$2:T$1073)&lt;&gt;ROW(T237))*(T$2:T$1073&lt;&gt;""))),"")</f>
        <v>1.8616337284622531E-2</v>
      </c>
      <c r="AA237" cm="1">
        <f t="array" ref="AA237">IFERROR(AVERAGE(_xlfn._xlws.FILTER(U$2:U$1073,($C$2:$C$1073=$C237)*($E$2:$E$1073=$E237)*(ROW(U$2:U$1073)&lt;&gt;ROW(U237))*(U$2:U$1073&lt;&gt;""))),"")</f>
        <v>0.75378158026714182</v>
      </c>
    </row>
    <row r="238" spans="1:27" x14ac:dyDescent="0.2">
      <c r="A238" s="7" t="s">
        <v>2206</v>
      </c>
      <c r="B238" t="str">
        <f t="shared" si="35"/>
        <v>MRKV IV кв. 2013</v>
      </c>
      <c r="C238">
        <v>2013</v>
      </c>
      <c r="D238">
        <f>SUMIFS(Дивиденды!$C:$C,Дивиденды!$A:$A,A238,Дивиденды!$I:$I,C238)</f>
        <v>1E-4</v>
      </c>
      <c r="E238">
        <v>2</v>
      </c>
      <c r="F238">
        <f t="shared" si="36"/>
        <v>1E-4</v>
      </c>
      <c r="G238">
        <f t="shared" si="37"/>
        <v>4.6434749999999997E-2</v>
      </c>
      <c r="H238">
        <f t="shared" si="38"/>
        <v>1</v>
      </c>
      <c r="I238">
        <f t="shared" si="34"/>
        <v>0.75</v>
      </c>
      <c r="J238">
        <f t="shared" si="39"/>
        <v>-0.93865030674846628</v>
      </c>
      <c r="K238">
        <f t="shared" si="43"/>
        <v>9.1173713314382246E-2</v>
      </c>
      <c r="L238">
        <f t="shared" si="40"/>
        <v>0</v>
      </c>
      <c r="M238">
        <f t="shared" si="44"/>
        <v>0.5</v>
      </c>
      <c r="N238">
        <f t="shared" si="41"/>
        <v>1</v>
      </c>
      <c r="O238">
        <f t="shared" si="42"/>
        <v>0.25</v>
      </c>
      <c r="P238" t="str">
        <f>IFERROR(LN('Дивиденды по годам'!I238),"")</f>
        <v/>
      </c>
      <c r="Q238" t="str">
        <f>IFERROR('Дивиденды по годам'!G238/'Дивиденды по годам'!I238, "")</f>
        <v/>
      </c>
      <c r="R238" t="str">
        <f>IFERROR(IF(AND('Дивиденды по годам'!N238&lt;&gt;"",'Дивиденды по годам'!U238&lt;&gt;"",'Дивиденды по годам'!U238&lt;&gt;0),'Дивиденды по годам'!N238/'Дивиденды по годам'!U238-1,""),"")</f>
        <v/>
      </c>
      <c r="S238" t="str">
        <f>IFERROR(IF(AND('Дивиденды по годам'!L238&lt;&gt;"",'Дивиденды по годам'!I238&lt;&gt;"",'Дивиденды по годам'!J238&lt;&gt;"",'Дивиденды по годам'!K238&lt;&gt;"",('Дивиденды по годам'!I238-'Дивиденды по годам'!J238-'Дивиденды по годам'!K238)&lt;&gt;0),'Дивиденды по годам'!L238/('Дивиденды по годам'!I238-'Дивиденды по годам'!J238-'Дивиденды по годам'!K238),""),"")</f>
        <v/>
      </c>
      <c r="T238" t="str">
        <f>IFERROR(IF(AND('Дивиденды по годам'!Q238&lt;&gt;"",'Дивиденды по годам'!I238&lt;&gt;"",'Дивиденды по годам'!V238&lt;&gt;"",('Дивиденды по годам'!I238+'Дивиденды по годам'!V238)&lt;&gt;0),'Дивиденды по годам'!Q238/(('Дивиденды по годам'!I238+'Дивиденды по годам'!V238)/2),""),"")</f>
        <v/>
      </c>
      <c r="U238" t="str">
        <f>IFERROR(IF(AND('Дивиденды по годам'!J238&lt;&gt;"",'Дивиденды по годам'!K238&lt;&gt;"",'Дивиденды по годам'!M238&lt;&gt;"",'Дивиденды по годам'!M238&lt;&gt;0),('Дивиденды по годам'!J238+'Дивиденды по годам'!K238)/'Дивиденды по годам'!M238,""),"")</f>
        <v/>
      </c>
      <c r="V238" cm="1">
        <f t="array" ref="V238">IFERROR(AVERAGE(_xlfn._xlws.FILTER(P$2:P$1073,($C$2:$C$1073=$C238)*($E$2:$E$1073=$E238)*(ROW(P$2:P$1073)&lt;&gt;ROW(P238))*(P$2:P$1073&lt;&gt;""))),"")</f>
        <v>26.107966937559624</v>
      </c>
      <c r="W238" cm="1">
        <f t="array" ref="W238">IFERROR(AVERAGE(_xlfn._xlws.FILTER(Q$2:Q$1073,($C$2:$C$1073=$C238)*($E$2:$E$1073=$E238)*(ROW(Q$2:Q$1073)&lt;&gt;ROW(Q238))*(Q$2:Q$1073&lt;&gt;""))),"")</f>
        <v>0.78284782963507815</v>
      </c>
      <c r="X238" cm="1">
        <f t="array" ref="X238">IFERROR(AVERAGE(_xlfn._xlws.FILTER(R$2:R$1073,($C$2:$C$1073=$C238)*($E$2:$E$1073=$E238)*(ROW(R$2:R$1073)&lt;&gt;ROW(R238))*(R$2:R$1073&lt;&gt;""))),"")</f>
        <v>9.7785091869587032E-2</v>
      </c>
      <c r="Y238" cm="1">
        <f t="array" ref="Y238">IFERROR(AVERAGE(_xlfn._xlws.FILTER(S$2:S$1073,($C$2:$C$1073=$C238)*($E$2:$E$1073=$E238)*(ROW(S$2:S$1073)&lt;&gt;ROW(S238))*(S$2:S$1073&lt;&gt;""))),"")</f>
        <v>0.4636519590056305</v>
      </c>
      <c r="Z238" cm="1">
        <f t="array" ref="Z238">IFERROR(AVERAGE(_xlfn._xlws.FILTER(T$2:T$1073,($C$2:$C$1073=$C238)*($E$2:$E$1073=$E238)*(ROW(T$2:T$1073)&lt;&gt;ROW(T238))*(T$2:T$1073&lt;&gt;""))),"")</f>
        <v>-4.8827551291955292E-3</v>
      </c>
      <c r="AA238" cm="1">
        <f t="array" ref="AA238">IFERROR(AVERAGE(_xlfn._xlws.FILTER(U$2:U$1073,($C$2:$C$1073=$C238)*($E$2:$E$1073=$E238)*(ROW(U$2:U$1073)&lt;&gt;ROW(U238))*(U$2:U$1073&lt;&gt;""))),"")</f>
        <v>0.67717497861204956</v>
      </c>
    </row>
    <row r="239" spans="1:27" x14ac:dyDescent="0.2">
      <c r="A239" s="7" t="s">
        <v>2206</v>
      </c>
      <c r="B239" t="str">
        <f t="shared" si="35"/>
        <v>MRKV IV кв. 2012</v>
      </c>
      <c r="C239">
        <v>2012</v>
      </c>
      <c r="D239">
        <f>SUMIFS(Дивиденды!$C:$C,Дивиденды!$A:$A,A239,Дивиденды!$I:$I,C239)</f>
        <v>1.6299999999999999E-3</v>
      </c>
      <c r="E239">
        <v>2</v>
      </c>
      <c r="F239">
        <f t="shared" si="36"/>
        <v>1.6299999999999999E-3</v>
      </c>
      <c r="G239">
        <f t="shared" si="37"/>
        <v>3.7026499999999997E-2</v>
      </c>
      <c r="H239">
        <f t="shared" si="38"/>
        <v>1</v>
      </c>
      <c r="I239">
        <f t="shared" si="34"/>
        <v>0.66666666666666663</v>
      </c>
      <c r="J239">
        <f t="shared" si="39"/>
        <v>0.4553571428571429</v>
      </c>
      <c r="K239">
        <f t="shared" si="43"/>
        <v>0.70285561443540379</v>
      </c>
      <c r="L239">
        <f t="shared" si="40"/>
        <v>1</v>
      </c>
      <c r="M239">
        <f t="shared" si="44"/>
        <v>0.5</v>
      </c>
      <c r="N239">
        <f t="shared" si="41"/>
        <v>0</v>
      </c>
      <c r="O239">
        <f t="shared" si="42"/>
        <v>0.16666666666666666</v>
      </c>
      <c r="P239" t="str">
        <f>IFERROR(LN('Дивиденды по годам'!I239),"")</f>
        <v/>
      </c>
      <c r="Q239" t="str">
        <f>IFERROR('Дивиденды по годам'!G239/'Дивиденды по годам'!I239, "")</f>
        <v/>
      </c>
      <c r="R239" t="str">
        <f>IFERROR(IF(AND('Дивиденды по годам'!N239&lt;&gt;"",'Дивиденды по годам'!U239&lt;&gt;"",'Дивиденды по годам'!U239&lt;&gt;0),'Дивиденды по годам'!N239/'Дивиденды по годам'!U239-1,""),"")</f>
        <v/>
      </c>
      <c r="S239" t="str">
        <f>IFERROR(IF(AND('Дивиденды по годам'!L239&lt;&gt;"",'Дивиденды по годам'!I239&lt;&gt;"",'Дивиденды по годам'!J239&lt;&gt;"",'Дивиденды по годам'!K239&lt;&gt;"",('Дивиденды по годам'!I239-'Дивиденды по годам'!J239-'Дивиденды по годам'!K239)&lt;&gt;0),'Дивиденды по годам'!L239/('Дивиденды по годам'!I239-'Дивиденды по годам'!J239-'Дивиденды по годам'!K239),""),"")</f>
        <v/>
      </c>
      <c r="T239" t="str">
        <f>IFERROR(IF(AND('Дивиденды по годам'!Q239&lt;&gt;"",'Дивиденды по годам'!I239&lt;&gt;"",'Дивиденды по годам'!V239&lt;&gt;"",('Дивиденды по годам'!I239+'Дивиденды по годам'!V239)&lt;&gt;0),'Дивиденды по годам'!Q239/(('Дивиденды по годам'!I239+'Дивиденды по годам'!V239)/2),""),"")</f>
        <v/>
      </c>
      <c r="U239" t="str">
        <f>IFERROR(IF(AND('Дивиденды по годам'!J239&lt;&gt;"",'Дивиденды по годам'!K239&lt;&gt;"",'Дивиденды по годам'!M239&lt;&gt;"",'Дивиденды по годам'!M239&lt;&gt;0),('Дивиденды по годам'!J239+'Дивиденды по годам'!K239)/'Дивиденды по годам'!M239,""),"")</f>
        <v/>
      </c>
      <c r="V239" cm="1">
        <f t="array" ref="V239">IFERROR(AVERAGE(_xlfn._xlws.FILTER(P$2:P$1073,($C$2:$C$1073=$C239)*($E$2:$E$1073=$E239)*(ROW(P$2:P$1073)&lt;&gt;ROW(P239))*(P$2:P$1073&lt;&gt;""))),"")</f>
        <v>26.104432848458512</v>
      </c>
      <c r="W239" cm="1">
        <f t="array" ref="W239">IFERROR(AVERAGE(_xlfn._xlws.FILTER(Q$2:Q$1073,($C$2:$C$1073=$C239)*($E$2:$E$1073=$E239)*(ROW(Q$2:Q$1073)&lt;&gt;ROW(Q239))*(Q$2:Q$1073&lt;&gt;""))),"")</f>
        <v>0.77770665398315908</v>
      </c>
      <c r="X239" cm="1">
        <f t="array" ref="X239">IFERROR(AVERAGE(_xlfn._xlws.FILTER(R$2:R$1073,($C$2:$C$1073=$C239)*($E$2:$E$1073=$E239)*(ROW(R$2:R$1073)&lt;&gt;ROW(R239))*(R$2:R$1073&lt;&gt;""))),"")</f>
        <v>-1.5857961955003351E-2</v>
      </c>
      <c r="Y239" cm="1">
        <f t="array" ref="Y239">IFERROR(AVERAGE(_xlfn._xlws.FILTER(S$2:S$1073,($C$2:$C$1073=$C239)*($E$2:$E$1073=$E239)*(ROW(S$2:S$1073)&lt;&gt;ROW(S239))*(S$2:S$1073&lt;&gt;""))),"")</f>
        <v>0.44715527647269881</v>
      </c>
      <c r="Z239" cm="1">
        <f t="array" ref="Z239">IFERROR(AVERAGE(_xlfn._xlws.FILTER(T$2:T$1073,($C$2:$C$1073=$C239)*($E$2:$E$1073=$E239)*(ROW(T$2:T$1073)&lt;&gt;ROW(T239))*(T$2:T$1073&lt;&gt;""))),"")</f>
        <v>1.9505350639917447E-2</v>
      </c>
      <c r="AA239" cm="1">
        <f t="array" ref="AA239">IFERROR(AVERAGE(_xlfn._xlws.FILTER(U$2:U$1073,($C$2:$C$1073=$C239)*($E$2:$E$1073=$E239)*(ROW(U$2:U$1073)&lt;&gt;ROW(U239))*(U$2:U$1073&lt;&gt;""))),"")</f>
        <v>0.65134515206701193</v>
      </c>
    </row>
    <row r="240" spans="1:27" x14ac:dyDescent="0.2">
      <c r="A240" s="7" t="s">
        <v>2206</v>
      </c>
      <c r="B240" t="str">
        <f t="shared" si="35"/>
        <v>MRKV IV кв. 2011</v>
      </c>
      <c r="C240">
        <v>2011</v>
      </c>
      <c r="D240">
        <f>SUMIFS(Дивиденды!$C:$C,Дивиденды!$A:$A,A240,Дивиденды!$I:$I,C240)</f>
        <v>1.1199999999999999E-3</v>
      </c>
      <c r="E240">
        <v>2</v>
      </c>
      <c r="F240">
        <f t="shared" si="36"/>
        <v>1.1199999999999999E-3</v>
      </c>
      <c r="G240">
        <f t="shared" si="37"/>
        <v>1.1453416666666667E-2</v>
      </c>
      <c r="H240">
        <f t="shared" si="38"/>
        <v>1</v>
      </c>
      <c r="I240">
        <f t="shared" ref="I240:I303" si="45">IFERROR((COUNTIFS($E:$E,E240,$C:$C,C240,$H:$H,1)-H240)/(COUNTIFS($E:$E,E240,$C:$C,C240)-1),0)</f>
        <v>0.75</v>
      </c>
      <c r="J240">
        <f t="shared" si="39"/>
        <v>1</v>
      </c>
      <c r="K240">
        <f t="shared" si="43"/>
        <v>-3.2563083397205907E-2</v>
      </c>
      <c r="L240">
        <f t="shared" si="40"/>
        <v>1</v>
      </c>
      <c r="M240">
        <f t="shared" si="44"/>
        <v>0.41666666666666669</v>
      </c>
      <c r="N240">
        <f t="shared" si="41"/>
        <v>0</v>
      </c>
      <c r="O240">
        <f t="shared" si="42"/>
        <v>0.41666666666666669</v>
      </c>
      <c r="P240" t="str">
        <f>IFERROR(LN('Дивиденды по годам'!I240),"")</f>
        <v/>
      </c>
      <c r="Q240" t="str">
        <f>IFERROR('Дивиденды по годам'!G240/'Дивиденды по годам'!I240, "")</f>
        <v/>
      </c>
      <c r="R240" t="str">
        <f>IFERROR(IF(AND('Дивиденды по годам'!N240&lt;&gt;"",'Дивиденды по годам'!U240&lt;&gt;"",'Дивиденды по годам'!U240&lt;&gt;0),'Дивиденды по годам'!N240/'Дивиденды по годам'!U240-1,""),"")</f>
        <v/>
      </c>
      <c r="S240" t="str">
        <f>IFERROR(IF(AND('Дивиденды по годам'!L240&lt;&gt;"",'Дивиденды по годам'!I240&lt;&gt;"",'Дивиденды по годам'!J240&lt;&gt;"",'Дивиденды по годам'!K240&lt;&gt;"",('Дивиденды по годам'!I240-'Дивиденды по годам'!J240-'Дивиденды по годам'!K240)&lt;&gt;0),'Дивиденды по годам'!L240/('Дивиденды по годам'!I240-'Дивиденды по годам'!J240-'Дивиденды по годам'!K240),""),"")</f>
        <v/>
      </c>
      <c r="T240" t="str">
        <f>IFERROR(IF(AND('Дивиденды по годам'!Q240&lt;&gt;"",'Дивиденды по годам'!I240&lt;&gt;"",'Дивиденды по годам'!V240&lt;&gt;"",('Дивиденды по годам'!I240+'Дивиденды по годам'!V240)&lt;&gt;0),'Дивиденды по годам'!Q240/(('Дивиденды по годам'!I240+'Дивиденды по годам'!V240)/2),""),"")</f>
        <v/>
      </c>
      <c r="U240" t="str">
        <f>IFERROR(IF(AND('Дивиденды по годам'!J240&lt;&gt;"",'Дивиденды по годам'!K240&lt;&gt;"",'Дивиденды по годам'!M240&lt;&gt;"",'Дивиденды по годам'!M240&lt;&gt;0),('Дивиденды по годам'!J240+'Дивиденды по годам'!K240)/'Дивиденды по годам'!M240,""),"")</f>
        <v/>
      </c>
      <c r="V240" cm="1">
        <f t="array" ref="V240">IFERROR(AVERAGE(_xlfn._xlws.FILTER(P$2:P$1073,($C$2:$C$1073=$C240)*($E$2:$E$1073=$E240)*(ROW(P$2:P$1073)&lt;&gt;ROW(P240))*(P$2:P$1073&lt;&gt;""))),"")</f>
        <v>26.145009282501285</v>
      </c>
      <c r="W240" cm="1">
        <f t="array" ref="W240">IFERROR(AVERAGE(_xlfn._xlws.FILTER(Q$2:Q$1073,($C$2:$C$1073=$C240)*($E$2:$E$1073=$E240)*(ROW(Q$2:Q$1073)&lt;&gt;ROW(Q240))*(Q$2:Q$1073&lt;&gt;""))),"")</f>
        <v>0.76664474584196163</v>
      </c>
      <c r="X240" cm="1">
        <f t="array" ref="X240">IFERROR(AVERAGE(_xlfn._xlws.FILTER(R$2:R$1073,($C$2:$C$1073=$C240)*($E$2:$E$1073=$E240)*(ROW(R$2:R$1073)&lt;&gt;ROW(R240))*(R$2:R$1073&lt;&gt;""))),"")</f>
        <v>0.14348983045887875</v>
      </c>
      <c r="Y240" cm="1">
        <f t="array" ref="Y240">IFERROR(AVERAGE(_xlfn._xlws.FILTER(S$2:S$1073,($C$2:$C$1073=$C240)*($E$2:$E$1073=$E240)*(ROW(S$2:S$1073)&lt;&gt;ROW(S240))*(S$2:S$1073&lt;&gt;""))),"")</f>
        <v>0.39850050246333968</v>
      </c>
      <c r="Z240" cm="1">
        <f t="array" ref="Z240">IFERROR(AVERAGE(_xlfn._xlws.FILTER(T$2:T$1073,($C$2:$C$1073=$C240)*($E$2:$E$1073=$E240)*(ROW(T$2:T$1073)&lt;&gt;ROW(T240))*(T$2:T$1073&lt;&gt;""))),"")</f>
        <v>4.5214358774442007E-2</v>
      </c>
      <c r="AA240" cm="1">
        <f t="array" ref="AA240">IFERROR(AVERAGE(_xlfn._xlws.FILTER(U$2:U$1073,($C$2:$C$1073=$C240)*($E$2:$E$1073=$E240)*(ROW(U$2:U$1073)&lt;&gt;ROW(U240))*(U$2:U$1073&lt;&gt;""))),"")</f>
        <v>0.59470561642359621</v>
      </c>
    </row>
    <row r="241" spans="1:27" x14ac:dyDescent="0.2">
      <c r="A241" s="7" t="s">
        <v>2206</v>
      </c>
      <c r="B241" t="str">
        <f t="shared" si="35"/>
        <v>MRKV IV кв. 2010</v>
      </c>
      <c r="C241">
        <v>2010</v>
      </c>
      <c r="D241">
        <f>SUMIFS(Дивиденды!$C:$C,Дивиденды!$A:$A,A241,Дивиденды!$I:$I,C241)</f>
        <v>0</v>
      </c>
      <c r="E241">
        <v>2</v>
      </c>
      <c r="F241">
        <f t="shared" si="36"/>
        <v>0</v>
      </c>
      <c r="G241">
        <f t="shared" si="37"/>
        <v>6.5618333333333336E-3</v>
      </c>
      <c r="H241">
        <f t="shared" si="38"/>
        <v>0</v>
      </c>
      <c r="I241">
        <f t="shared" si="45"/>
        <v>0.83333333333333337</v>
      </c>
      <c r="J241" t="str">
        <f t="shared" si="39"/>
        <v/>
      </c>
      <c r="K241" t="str">
        <f t="shared" si="43"/>
        <v/>
      </c>
      <c r="L241" t="str">
        <f t="shared" si="40"/>
        <v/>
      </c>
      <c r="M241" t="str">
        <f t="shared" si="44"/>
        <v/>
      </c>
      <c r="N241" t="str">
        <f t="shared" si="41"/>
        <v/>
      </c>
      <c r="O241" t="str">
        <f t="shared" si="42"/>
        <v/>
      </c>
      <c r="P241" t="str">
        <f>IFERROR(LN('Дивиденды по годам'!I241),"")</f>
        <v/>
      </c>
      <c r="Q241" t="str">
        <f>IFERROR('Дивиденды по годам'!G241/'Дивиденды по годам'!I241, "")</f>
        <v/>
      </c>
      <c r="R241" t="str">
        <f>IFERROR(IF(AND('Дивиденды по годам'!N241&lt;&gt;"",'Дивиденды по годам'!U241&lt;&gt;"",'Дивиденды по годам'!U241&lt;&gt;0),'Дивиденды по годам'!N241/'Дивиденды по годам'!U241-1,""),"")</f>
        <v/>
      </c>
      <c r="S241" t="str">
        <f>IFERROR(IF(AND('Дивиденды по годам'!L241&lt;&gt;"",'Дивиденды по годам'!I241&lt;&gt;"",'Дивиденды по годам'!J241&lt;&gt;"",'Дивиденды по годам'!K241&lt;&gt;"",('Дивиденды по годам'!I241-'Дивиденды по годам'!J241-'Дивиденды по годам'!K241)&lt;&gt;0),'Дивиденды по годам'!L241/('Дивиденды по годам'!I241-'Дивиденды по годам'!J241-'Дивиденды по годам'!K241),""),"")</f>
        <v/>
      </c>
      <c r="T241" t="str">
        <f>IFERROR(IF(AND('Дивиденды по годам'!Q241&lt;&gt;"",'Дивиденды по годам'!I241&lt;&gt;"",'Дивиденды по годам'!V241&lt;&gt;"",('Дивиденды по годам'!I241+'Дивиденды по годам'!V241)&lt;&gt;0),'Дивиденды по годам'!Q241/(('Дивиденды по годам'!I241+'Дивиденды по годам'!V241)/2),""),"")</f>
        <v/>
      </c>
      <c r="U241" t="str">
        <f>IFERROR(IF(AND('Дивиденды по годам'!J241&lt;&gt;"",'Дивиденды по годам'!K241&lt;&gt;"",'Дивиденды по годам'!M241&lt;&gt;"",'Дивиденды по годам'!M241&lt;&gt;0),('Дивиденды по годам'!J241+'Дивиденды по годам'!K241)/'Дивиденды по годам'!M241,""),"")</f>
        <v/>
      </c>
      <c r="V241" cm="1">
        <f t="array" ref="V241">IFERROR(AVERAGE(_xlfn._xlws.FILTER(P$2:P$1073,($C$2:$C$1073=$C241)*($E$2:$E$1073=$E241)*(ROW(P$2:P$1073)&lt;&gt;ROW(P241))*(P$2:P$1073&lt;&gt;""))),"")</f>
        <v>24.730948088520865</v>
      </c>
      <c r="W241" cm="1">
        <f t="array" ref="W241">IFERROR(AVERAGE(_xlfn._xlws.FILTER(Q$2:Q$1073,($C$2:$C$1073=$C241)*($E$2:$E$1073=$E241)*(ROW(Q$2:Q$1073)&lt;&gt;ROW(Q241))*(Q$2:Q$1073&lt;&gt;""))),"")</f>
        <v>0.82035195639515091</v>
      </c>
      <c r="X241" t="str" cm="1">
        <f t="array" ref="X241">IFERROR(AVERAGE(_xlfn._xlws.FILTER(R$2:R$1073,($C$2:$C$1073=$C241)*($E$2:$E$1073=$E241)*(ROW(R$2:R$1073)&lt;&gt;ROW(R241))*(R$2:R$1073&lt;&gt;""))),"")</f>
        <v/>
      </c>
      <c r="Y241" t="str" cm="1">
        <f t="array" ref="Y241">IFERROR(AVERAGE(_xlfn._xlws.FILTER(S$2:S$1073,($C$2:$C$1073=$C241)*($E$2:$E$1073=$E241)*(ROW(S$2:S$1073)&lt;&gt;ROW(S241))*(S$2:S$1073&lt;&gt;""))),"")</f>
        <v/>
      </c>
      <c r="Z241" t="str" cm="1">
        <f t="array" ref="Z241">IFERROR(AVERAGE(_xlfn._xlws.FILTER(T$2:T$1073,($C$2:$C$1073=$C241)*($E$2:$E$1073=$E241)*(ROW(T$2:T$1073)&lt;&gt;ROW(T241))*(T$2:T$1073&lt;&gt;""))),"")</f>
        <v/>
      </c>
      <c r="AA241" cm="1">
        <f t="array" ref="AA241">IFERROR(AVERAGE(_xlfn._xlws.FILTER(U$2:U$1073,($C$2:$C$1073=$C241)*($E$2:$E$1073=$E241)*(ROW(U$2:U$1073)&lt;&gt;ROW(U241))*(U$2:U$1073&lt;&gt;""))),"")</f>
        <v>0.91314375247969903</v>
      </c>
    </row>
    <row r="242" spans="1:27" x14ac:dyDescent="0.2">
      <c r="A242" s="7" t="s">
        <v>2208</v>
      </c>
      <c r="B242" t="str">
        <f t="shared" si="35"/>
        <v>MSNG IV кв. 2025</v>
      </c>
      <c r="C242">
        <v>2025</v>
      </c>
      <c r="D242">
        <f>SUMIFS(Дивиденды!$C:$C,Дивиденды!$A:$A,A242,Дивиденды!$I:$I,C242)</f>
        <v>0</v>
      </c>
      <c r="E242">
        <v>2</v>
      </c>
      <c r="F242">
        <f t="shared" si="36"/>
        <v>0</v>
      </c>
      <c r="G242">
        <f t="shared" si="37"/>
        <v>0</v>
      </c>
      <c r="H242">
        <f t="shared" si="38"/>
        <v>0</v>
      </c>
      <c r="I242">
        <f t="shared" si="45"/>
        <v>0</v>
      </c>
      <c r="J242">
        <f t="shared" si="39"/>
        <v>0</v>
      </c>
      <c r="K242">
        <f t="shared" si="43"/>
        <v>-0.58333333333333337</v>
      </c>
      <c r="L242">
        <f t="shared" si="40"/>
        <v>0</v>
      </c>
      <c r="M242">
        <f t="shared" si="44"/>
        <v>0</v>
      </c>
      <c r="N242">
        <f t="shared" si="41"/>
        <v>0</v>
      </c>
      <c r="O242">
        <f t="shared" si="42"/>
        <v>0.58333333333333337</v>
      </c>
      <c r="P242" t="str">
        <f>IFERROR(LN('Дивиденды по годам'!I242),"")</f>
        <v/>
      </c>
      <c r="Q242" t="str">
        <f>IFERROR('Дивиденды по годам'!G242/'Дивиденды по годам'!I242, "")</f>
        <v/>
      </c>
      <c r="R242" t="str">
        <f>IFERROR(IF(AND('Дивиденды по годам'!N242&lt;&gt;"",'Дивиденды по годам'!U242&lt;&gt;"",'Дивиденды по годам'!U242&lt;&gt;0),'Дивиденды по годам'!N242/'Дивиденды по годам'!U242-1,""),"")</f>
        <v/>
      </c>
      <c r="S242" t="str">
        <f>IFERROR(IF(AND('Дивиденды по годам'!L242&lt;&gt;"",'Дивиденды по годам'!I242&lt;&gt;"",'Дивиденды по годам'!J242&lt;&gt;"",'Дивиденды по годам'!K242&lt;&gt;"",('Дивиденды по годам'!I242-'Дивиденды по годам'!J242-'Дивиденды по годам'!K242)&lt;&gt;0),'Дивиденды по годам'!L242/('Дивиденды по годам'!I242-'Дивиденды по годам'!J242-'Дивиденды по годам'!K242),""),"")</f>
        <v/>
      </c>
      <c r="T242" t="str">
        <f>IFERROR(IF(AND('Дивиденды по годам'!Q242&lt;&gt;"",'Дивиденды по годам'!I242&lt;&gt;"",'Дивиденды по годам'!V242&lt;&gt;"",('Дивиденды по годам'!I242+'Дивиденды по годам'!V242)&lt;&gt;0),'Дивиденды по годам'!Q242/(('Дивиденды по годам'!I242+'Дивиденды по годам'!V242)/2),""),"")</f>
        <v/>
      </c>
      <c r="U242" t="str">
        <f>IFERROR(IF(AND('Дивиденды по годам'!J242&lt;&gt;"",'Дивиденды по годам'!K242&lt;&gt;"",'Дивиденды по годам'!M242&lt;&gt;"",'Дивиденды по годам'!M242&lt;&gt;0),('Дивиденды по годам'!J242+'Дивиденды по годам'!K242)/'Дивиденды по годам'!M242,""),"")</f>
        <v/>
      </c>
      <c r="V242" cm="1">
        <f t="array" ref="V242">IFERROR(AVERAGE(_xlfn._xlws.FILTER(P$2:P$1073,($C$2:$C$1073=$C242)*($E$2:$E$1073=$E242)*(ROW(P$2:P$1073)&lt;&gt;ROW(P242))*(P$2:P$1073&lt;&gt;""))),"")</f>
        <v>26.57991857918098</v>
      </c>
      <c r="W242" cm="1">
        <f t="array" ref="W242">IFERROR(AVERAGE(_xlfn._xlws.FILTER(Q$2:Q$1073,($C$2:$C$1073=$C242)*($E$2:$E$1073=$E242)*(ROW(Q$2:Q$1073)&lt;&gt;ROW(Q242))*(Q$2:Q$1073&lt;&gt;""))),"")</f>
        <v>0.67759713674348565</v>
      </c>
      <c r="X242" cm="1">
        <f t="array" ref="X242">IFERROR(AVERAGE(_xlfn._xlws.FILTER(R$2:R$1073,($C$2:$C$1073=$C242)*($E$2:$E$1073=$E242)*(ROW(R$2:R$1073)&lt;&gt;ROW(R242))*(R$2:R$1073&lt;&gt;""))),"")</f>
        <v>0.17662623265859428</v>
      </c>
      <c r="Y242" cm="1">
        <f t="array" ref="Y242">IFERROR(AVERAGE(_xlfn._xlws.FILTER(S$2:S$1073,($C$2:$C$1073=$C242)*($E$2:$E$1073=$E242)*(ROW(S$2:S$1073)&lt;&gt;ROW(S242))*(S$2:S$1073&lt;&gt;""))),"")</f>
        <v>0.75614685785818758</v>
      </c>
      <c r="Z242" cm="1">
        <f t="array" ref="Z242">IFERROR(AVERAGE(_xlfn._xlws.FILTER(T$2:T$1073,($C$2:$C$1073=$C242)*($E$2:$E$1073=$E242)*(ROW(T$2:T$1073)&lt;&gt;ROW(T242))*(T$2:T$1073&lt;&gt;""))),"")</f>
        <v>0.10306085485751774</v>
      </c>
      <c r="AA242" cm="1">
        <f t="array" ref="AA242">IFERROR(AVERAGE(_xlfn._xlws.FILTER(U$2:U$1073,($C$2:$C$1073=$C242)*($E$2:$E$1073=$E242)*(ROW(U$2:U$1073)&lt;&gt;ROW(U242))*(U$2:U$1073&lt;&gt;""))),"")</f>
        <v>0.88935141782994176</v>
      </c>
    </row>
    <row r="243" spans="1:27" x14ac:dyDescent="0.2">
      <c r="A243" s="7" t="s">
        <v>2208</v>
      </c>
      <c r="B243" t="str">
        <f t="shared" si="35"/>
        <v>MSNG IV кв. 2024</v>
      </c>
      <c r="C243">
        <v>2024</v>
      </c>
      <c r="D243">
        <f>SUMIFS(Дивиденды!$C:$C,Дивиденды!$A:$A,A243,Дивиденды!$I:$I,C243)</f>
        <v>0</v>
      </c>
      <c r="E243">
        <v>2</v>
      </c>
      <c r="F243">
        <f t="shared" si="36"/>
        <v>0</v>
      </c>
      <c r="G243">
        <f t="shared" si="37"/>
        <v>6.3399999999999998E-2</v>
      </c>
      <c r="H243">
        <f t="shared" si="38"/>
        <v>0</v>
      </c>
      <c r="I243">
        <f t="shared" si="45"/>
        <v>0.58333333333333337</v>
      </c>
      <c r="J243">
        <f t="shared" si="39"/>
        <v>-1</v>
      </c>
      <c r="K243">
        <f t="shared" si="43"/>
        <v>0.16949398677633751</v>
      </c>
      <c r="L243">
        <f t="shared" si="40"/>
        <v>0</v>
      </c>
      <c r="M243">
        <f t="shared" si="44"/>
        <v>0.58333333333333337</v>
      </c>
      <c r="N243">
        <f t="shared" si="41"/>
        <v>1</v>
      </c>
      <c r="O243">
        <f t="shared" si="42"/>
        <v>0</v>
      </c>
      <c r="P243" t="str">
        <f>IFERROR(LN('Дивиденды по годам'!I243),"")</f>
        <v/>
      </c>
      <c r="Q243" t="str">
        <f>IFERROR('Дивиденды по годам'!G243/'Дивиденды по годам'!I243, "")</f>
        <v/>
      </c>
      <c r="R243" t="str">
        <f>IFERROR(IF(AND('Дивиденды по годам'!N243&lt;&gt;"",'Дивиденды по годам'!U243&lt;&gt;"",'Дивиденды по годам'!U243&lt;&gt;0),'Дивиденды по годам'!N243/'Дивиденды по годам'!U243-1,""),"")</f>
        <v/>
      </c>
      <c r="S243" t="str">
        <f>IFERROR(IF(AND('Дивиденды по годам'!L243&lt;&gt;"",'Дивиденды по годам'!I243&lt;&gt;"",'Дивиденды по годам'!J243&lt;&gt;"",'Дивиденды по годам'!K243&lt;&gt;"",('Дивиденды по годам'!I243-'Дивиденды по годам'!J243-'Дивиденды по годам'!K243)&lt;&gt;0),'Дивиденды по годам'!L243/('Дивиденды по годам'!I243-'Дивиденды по годам'!J243-'Дивиденды по годам'!K243),""),"")</f>
        <v/>
      </c>
      <c r="T243" t="str">
        <f>IFERROR(IF(AND('Дивиденды по годам'!Q243&lt;&gt;"",'Дивиденды по годам'!I243&lt;&gt;"",'Дивиденды по годам'!V243&lt;&gt;"",('Дивиденды по годам'!I243+'Дивиденды по годам'!V243)&lt;&gt;0),'Дивиденды по годам'!Q243/(('Дивиденды по годам'!I243+'Дивиденды по годам'!V243)/2),""),"")</f>
        <v/>
      </c>
      <c r="U243" t="str">
        <f>IFERROR(IF(AND('Дивиденды по годам'!J243&lt;&gt;"",'Дивиденды по годам'!K243&lt;&gt;"",'Дивиденды по годам'!M243&lt;&gt;"",'Дивиденды по годам'!M243&lt;&gt;0),('Дивиденды по годам'!J243+'Дивиденды по годам'!K243)/'Дивиденды по годам'!M243,""),"")</f>
        <v/>
      </c>
      <c r="V243" cm="1">
        <f t="array" ref="V243">IFERROR(AVERAGE(_xlfn._xlws.FILTER(P$2:P$1073,($C$2:$C$1073=$C243)*($E$2:$E$1073=$E243)*(ROW(P$2:P$1073)&lt;&gt;ROW(P243))*(P$2:P$1073&lt;&gt;""))),"")</f>
        <v>26.53052036495767</v>
      </c>
      <c r="W243" cm="1">
        <f t="array" ref="W243">IFERROR(AVERAGE(_xlfn._xlws.FILTER(Q$2:Q$1073,($C$2:$C$1073=$C243)*($E$2:$E$1073=$E243)*(ROW(Q$2:Q$1073)&lt;&gt;ROW(Q243))*(Q$2:Q$1073&lt;&gt;""))),"")</f>
        <v>0.68897542618517627</v>
      </c>
      <c r="X243" cm="1">
        <f t="array" ref="X243">IFERROR(AVERAGE(_xlfn._xlws.FILTER(R$2:R$1073,($C$2:$C$1073=$C243)*($E$2:$E$1073=$E243)*(ROW(R$2:R$1073)&lt;&gt;ROW(R243))*(R$2:R$1073&lt;&gt;""))),"")</f>
        <v>9.9336521219665186E-2</v>
      </c>
      <c r="Y243" cm="1">
        <f t="array" ref="Y243">IFERROR(AVERAGE(_xlfn._xlws.FILTER(S$2:S$1073,($C$2:$C$1073=$C243)*($E$2:$E$1073=$E243)*(ROW(S$2:S$1073)&lt;&gt;ROW(S243))*(S$2:S$1073&lt;&gt;""))),"")</f>
        <v>0.56302208811184973</v>
      </c>
      <c r="Z243" cm="1">
        <f t="array" ref="Z243">IFERROR(AVERAGE(_xlfn._xlws.FILTER(T$2:T$1073,($C$2:$C$1073=$C243)*($E$2:$E$1073=$E243)*(ROW(T$2:T$1073)&lt;&gt;ROW(T243))*(T$2:T$1073&lt;&gt;""))),"")</f>
        <v>5.7319411109732842E-2</v>
      </c>
      <c r="AA243" cm="1">
        <f t="array" ref="AA243">IFERROR(AVERAGE(_xlfn._xlws.FILTER(U$2:U$1073,($C$2:$C$1073=$C243)*($E$2:$E$1073=$E243)*(ROW(U$2:U$1073)&lt;&gt;ROW(U243))*(U$2:U$1073&lt;&gt;""))),"")</f>
        <v>0.93200166477437119</v>
      </c>
    </row>
    <row r="244" spans="1:27" x14ac:dyDescent="0.2">
      <c r="A244" s="7" t="s">
        <v>2208</v>
      </c>
      <c r="B244" t="str">
        <f t="shared" si="35"/>
        <v>MSNG IV кв. 2023</v>
      </c>
      <c r="C244">
        <v>2023</v>
      </c>
      <c r="D244">
        <f>SUMIFS(Дивиденды!$C:$C,Дивиденды!$A:$A,A244,Дивиденды!$I:$I,C244)</f>
        <v>0.16</v>
      </c>
      <c r="E244">
        <v>2</v>
      </c>
      <c r="F244">
        <f t="shared" si="36"/>
        <v>0.16</v>
      </c>
      <c r="G244">
        <f t="shared" si="37"/>
        <v>5.2966666666666662E-2</v>
      </c>
      <c r="H244">
        <f t="shared" si="38"/>
        <v>1</v>
      </c>
      <c r="I244">
        <f t="shared" si="45"/>
        <v>0.5</v>
      </c>
      <c r="J244">
        <f t="shared" si="39"/>
        <v>-0.15789473684210525</v>
      </c>
      <c r="K244">
        <f t="shared" si="43"/>
        <v>0.13019113737249643</v>
      </c>
      <c r="L244">
        <f t="shared" si="40"/>
        <v>0</v>
      </c>
      <c r="M244">
        <f t="shared" si="44"/>
        <v>0.5</v>
      </c>
      <c r="N244">
        <f t="shared" si="41"/>
        <v>1</v>
      </c>
      <c r="O244">
        <f t="shared" si="42"/>
        <v>0.16666666666666666</v>
      </c>
      <c r="P244" t="str">
        <f>IFERROR(LN('Дивиденды по годам'!I244),"")</f>
        <v/>
      </c>
      <c r="Q244" t="str">
        <f>IFERROR('Дивиденды по годам'!G244/'Дивиденды по годам'!I244, "")</f>
        <v/>
      </c>
      <c r="R244" t="str">
        <f>IFERROR(IF(AND('Дивиденды по годам'!N244&lt;&gt;"",'Дивиденды по годам'!U244&lt;&gt;"",'Дивиденды по годам'!U244&lt;&gt;0),'Дивиденды по годам'!N244/'Дивиденды по годам'!U244-1,""),"")</f>
        <v/>
      </c>
      <c r="S244" t="str">
        <f>IFERROR(IF(AND('Дивиденды по годам'!L244&lt;&gt;"",'Дивиденды по годам'!I244&lt;&gt;"",'Дивиденды по годам'!J244&lt;&gt;"",'Дивиденды по годам'!K244&lt;&gt;"",('Дивиденды по годам'!I244-'Дивиденды по годам'!J244-'Дивиденды по годам'!K244)&lt;&gt;0),'Дивиденды по годам'!L244/('Дивиденды по годам'!I244-'Дивиденды по годам'!J244-'Дивиденды по годам'!K244),""),"")</f>
        <v/>
      </c>
      <c r="T244" t="str">
        <f>IFERROR(IF(AND('Дивиденды по годам'!Q244&lt;&gt;"",'Дивиденды по годам'!I244&lt;&gt;"",'Дивиденды по годам'!V244&lt;&gt;"",('Дивиденды по годам'!I244+'Дивиденды по годам'!V244)&lt;&gt;0),'Дивиденды по годам'!Q244/(('Дивиденды по годам'!I244+'Дивиденды по годам'!V244)/2),""),"")</f>
        <v/>
      </c>
      <c r="U244" t="str">
        <f>IFERROR(IF(AND('Дивиденды по годам'!J244&lt;&gt;"",'Дивиденды по годам'!K244&lt;&gt;"",'Дивиденды по годам'!M244&lt;&gt;"",'Дивиденды по годам'!M244&lt;&gt;0),('Дивиденды по годам'!J244+'Дивиденды по годам'!K244)/'Дивиденды по годам'!M244,""),"")</f>
        <v/>
      </c>
      <c r="V244" cm="1">
        <f t="array" ref="V244">IFERROR(AVERAGE(_xlfn._xlws.FILTER(P$2:P$1073,($C$2:$C$1073=$C244)*($E$2:$E$1073=$E244)*(ROW(P$2:P$1073)&lt;&gt;ROW(P244))*(P$2:P$1073&lt;&gt;""))),"")</f>
        <v>26.412844757916616</v>
      </c>
      <c r="W244" cm="1">
        <f t="array" ref="W244">IFERROR(AVERAGE(_xlfn._xlws.FILTER(Q$2:Q$1073,($C$2:$C$1073=$C244)*($E$2:$E$1073=$E244)*(ROW(Q$2:Q$1073)&lt;&gt;ROW(Q244))*(Q$2:Q$1073&lt;&gt;""))),"")</f>
        <v>0.70895600705014628</v>
      </c>
      <c r="X244" cm="1">
        <f t="array" ref="X244">IFERROR(AVERAGE(_xlfn._xlws.FILTER(R$2:R$1073,($C$2:$C$1073=$C244)*($E$2:$E$1073=$E244)*(ROW(R$2:R$1073)&lt;&gt;ROW(R244))*(R$2:R$1073&lt;&gt;""))),"")</f>
        <v>0.13982106199642538</v>
      </c>
      <c r="Y244" cm="1">
        <f t="array" ref="Y244">IFERROR(AVERAGE(_xlfn._xlws.FILTER(S$2:S$1073,($C$2:$C$1073=$C244)*($E$2:$E$1073=$E244)*(ROW(S$2:S$1073)&lt;&gt;ROW(S244))*(S$2:S$1073&lt;&gt;""))),"")</f>
        <v>0.54058275260231825</v>
      </c>
      <c r="Z244" cm="1">
        <f t="array" ref="Z244">IFERROR(AVERAGE(_xlfn._xlws.FILTER(T$2:T$1073,($C$2:$C$1073=$C244)*($E$2:$E$1073=$E244)*(ROW(T$2:T$1073)&lt;&gt;ROW(T244))*(T$2:T$1073&lt;&gt;""))),"")</f>
        <v>7.5826325918363136E-2</v>
      </c>
      <c r="AA244" cm="1">
        <f t="array" ref="AA244">IFERROR(AVERAGE(_xlfn._xlws.FILTER(U$2:U$1073,($C$2:$C$1073=$C244)*($E$2:$E$1073=$E244)*(ROW(U$2:U$1073)&lt;&gt;ROW(U244))*(U$2:U$1073&lt;&gt;""))),"")</f>
        <v>0.82391328105138761</v>
      </c>
    </row>
    <row r="245" spans="1:27" x14ac:dyDescent="0.2">
      <c r="A245" s="7" t="s">
        <v>2208</v>
      </c>
      <c r="B245" t="str">
        <f t="shared" si="35"/>
        <v>MSNG IV кв. 2022</v>
      </c>
      <c r="C245">
        <v>2022</v>
      </c>
      <c r="D245">
        <f>SUMIFS(Дивиденды!$C:$C,Дивиденды!$A:$A,A245,Дивиденды!$I:$I,C245)</f>
        <v>0.19</v>
      </c>
      <c r="E245">
        <v>2</v>
      </c>
      <c r="F245">
        <f t="shared" si="36"/>
        <v>0.19</v>
      </c>
      <c r="G245">
        <f t="shared" si="37"/>
        <v>4.8898333333333342E-2</v>
      </c>
      <c r="H245">
        <f t="shared" si="38"/>
        <v>1</v>
      </c>
      <c r="I245">
        <f t="shared" si="45"/>
        <v>0.58333333333333337</v>
      </c>
      <c r="J245">
        <f t="shared" si="39"/>
        <v>-0.13636363636363635</v>
      </c>
      <c r="K245">
        <f t="shared" si="43"/>
        <v>-0.15027822523010403</v>
      </c>
      <c r="L245">
        <f t="shared" si="40"/>
        <v>0</v>
      </c>
      <c r="M245">
        <f t="shared" si="44"/>
        <v>0.33333333333333331</v>
      </c>
      <c r="N245">
        <f t="shared" si="41"/>
        <v>1</v>
      </c>
      <c r="O245">
        <f t="shared" si="42"/>
        <v>0.41666666666666669</v>
      </c>
      <c r="P245" t="str">
        <f>IFERROR(LN('Дивиденды по годам'!I245),"")</f>
        <v/>
      </c>
      <c r="Q245" t="str">
        <f>IFERROR('Дивиденды по годам'!G245/'Дивиденды по годам'!I245, "")</f>
        <v/>
      </c>
      <c r="R245" t="str">
        <f>IFERROR(IF(AND('Дивиденды по годам'!N245&lt;&gt;"",'Дивиденды по годам'!U245&lt;&gt;"",'Дивиденды по годам'!U245&lt;&gt;0),'Дивиденды по годам'!N245/'Дивиденды по годам'!U245-1,""),"")</f>
        <v/>
      </c>
      <c r="S245" t="str">
        <f>IFERROR(IF(AND('Дивиденды по годам'!L245&lt;&gt;"",'Дивиденды по годам'!I245&lt;&gt;"",'Дивиденды по годам'!J245&lt;&gt;"",'Дивиденды по годам'!K245&lt;&gt;"",('Дивиденды по годам'!I245-'Дивиденды по годам'!J245-'Дивиденды по годам'!K245)&lt;&gt;0),'Дивиденды по годам'!L245/('Дивиденды по годам'!I245-'Дивиденды по годам'!J245-'Дивиденды по годам'!K245),""),"")</f>
        <v/>
      </c>
      <c r="T245" t="str">
        <f>IFERROR(IF(AND('Дивиденды по годам'!Q245&lt;&gt;"",'Дивиденды по годам'!I245&lt;&gt;"",'Дивиденды по годам'!V245&lt;&gt;"",('Дивиденды по годам'!I245+'Дивиденды по годам'!V245)&lt;&gt;0),'Дивиденды по годам'!Q245/(('Дивиденды по годам'!I245+'Дивиденды по годам'!V245)/2),""),"")</f>
        <v/>
      </c>
      <c r="U245" t="str">
        <f>IFERROR(IF(AND('Дивиденды по годам'!J245&lt;&gt;"",'Дивиденды по годам'!K245&lt;&gt;"",'Дивиденды по годам'!M245&lt;&gt;"",'Дивиденды по годам'!M245&lt;&gt;0),('Дивиденды по годам'!J245+'Дивиденды по годам'!K245)/'Дивиденды по годам'!M245,""),"")</f>
        <v/>
      </c>
      <c r="V245" cm="1">
        <f t="array" ref="V245">IFERROR(AVERAGE(_xlfn._xlws.FILTER(P$2:P$1073,($C$2:$C$1073=$C245)*($E$2:$E$1073=$E245)*(ROW(P$2:P$1073)&lt;&gt;ROW(P245))*(P$2:P$1073&lt;&gt;""))),"")</f>
        <v>26.311482392509326</v>
      </c>
      <c r="W245" cm="1">
        <f t="array" ref="W245">IFERROR(AVERAGE(_xlfn._xlws.FILTER(Q$2:Q$1073,($C$2:$C$1073=$C245)*($E$2:$E$1073=$E245)*(ROW(Q$2:Q$1073)&lt;&gt;ROW(Q245))*(Q$2:Q$1073&lt;&gt;""))),"")</f>
        <v>0.70812809619198602</v>
      </c>
      <c r="X245" cm="1">
        <f t="array" ref="X245">IFERROR(AVERAGE(_xlfn._xlws.FILTER(R$2:R$1073,($C$2:$C$1073=$C245)*($E$2:$E$1073=$E245)*(ROW(R$2:R$1073)&lt;&gt;ROW(R245))*(R$2:R$1073&lt;&gt;""))),"")</f>
        <v>7.2941844461954591E-2</v>
      </c>
      <c r="Y245" cm="1">
        <f t="array" ref="Y245">IFERROR(AVERAGE(_xlfn._xlws.FILTER(S$2:S$1073,($C$2:$C$1073=$C245)*($E$2:$E$1073=$E245)*(ROW(S$2:S$1073)&lt;&gt;ROW(S245))*(S$2:S$1073&lt;&gt;""))),"")</f>
        <v>0.51495855714422678</v>
      </c>
      <c r="Z245" cm="1">
        <f t="array" ref="Z245">IFERROR(AVERAGE(_xlfn._xlws.FILTER(T$2:T$1073,($C$2:$C$1073=$C245)*($E$2:$E$1073=$E245)*(ROW(T$2:T$1073)&lt;&gt;ROW(T245))*(T$2:T$1073&lt;&gt;""))),"")</f>
        <v>1.2629583278270708E-2</v>
      </c>
      <c r="AA245" cm="1">
        <f t="array" ref="AA245">IFERROR(AVERAGE(_xlfn._xlws.FILTER(U$2:U$1073,($C$2:$C$1073=$C245)*($E$2:$E$1073=$E245)*(ROW(U$2:U$1073)&lt;&gt;ROW(U245))*(U$2:U$1073&lt;&gt;""))),"")</f>
        <v>0.90922972684965886</v>
      </c>
    </row>
    <row r="246" spans="1:27" x14ac:dyDescent="0.2">
      <c r="A246" s="7" t="s">
        <v>2208</v>
      </c>
      <c r="B246" t="str">
        <f t="shared" si="35"/>
        <v>MSNG IV кв. 2021</v>
      </c>
      <c r="C246">
        <v>2021</v>
      </c>
      <c r="D246">
        <f>SUMIFS(Дивиденды!$C:$C,Дивиденды!$A:$A,A246,Дивиденды!$I:$I,C246)</f>
        <v>0.22</v>
      </c>
      <c r="E246">
        <v>2</v>
      </c>
      <c r="F246">
        <f t="shared" si="36"/>
        <v>0.22</v>
      </c>
      <c r="G246">
        <f t="shared" si="37"/>
        <v>6.3451916666666663E-2</v>
      </c>
      <c r="H246">
        <f t="shared" si="38"/>
        <v>1</v>
      </c>
      <c r="I246">
        <f t="shared" si="45"/>
        <v>0.75</v>
      </c>
      <c r="J246">
        <f t="shared" si="39"/>
        <v>0.22222222222222227</v>
      </c>
      <c r="K246">
        <f t="shared" si="43"/>
        <v>0.14535766540553713</v>
      </c>
      <c r="L246">
        <f t="shared" si="40"/>
        <v>1</v>
      </c>
      <c r="M246">
        <f t="shared" si="44"/>
        <v>0.58333333333333337</v>
      </c>
      <c r="N246">
        <f t="shared" si="41"/>
        <v>0</v>
      </c>
      <c r="O246">
        <f t="shared" si="42"/>
        <v>0.25</v>
      </c>
      <c r="P246">
        <f>IFERROR(LN('Дивиденды по годам'!I246),"")</f>
        <v>26.660955064621074</v>
      </c>
      <c r="Q246">
        <f>IFERROR('Дивиденды по годам'!G246/'Дивиденды по годам'!I246, "")</f>
        <v>0.65258614776630486</v>
      </c>
      <c r="R246">
        <f>IFERROR(IF(AND('Дивиденды по годам'!N246&lt;&gt;"",'Дивиденды по годам'!U246&lt;&gt;"",'Дивиденды по годам'!U246&lt;&gt;0),'Дивиденды по годам'!N246/'Дивиденды по годам'!U246-1,""),"")</f>
        <v>0.2445994649213965</v>
      </c>
      <c r="S246">
        <f>IFERROR(IF(AND('Дивиденды по годам'!L246&lt;&gt;"",'Дивиденды по годам'!I246&lt;&gt;"",'Дивиденды по годам'!J246&lt;&gt;"",'Дивиденды по годам'!K246&lt;&gt;"",('Дивиденды по годам'!I246-'Дивиденды по годам'!J246-'Дивиденды по годам'!K246)&lt;&gt;0),'Дивиденды по годам'!L246/('Дивиденды по годам'!I246-'Дивиденды по годам'!J246-'Дивиденды по годам'!K246),""),"")</f>
        <v>-0.11769378789988733</v>
      </c>
      <c r="T246">
        <f>IFERROR(IF(AND('Дивиденды по годам'!Q246&lt;&gt;"",'Дивиденды по годам'!I246&lt;&gt;"",'Дивиденды по годам'!V246&lt;&gt;"",('Дивиденды по годам'!I246+'Дивиденды по годам'!V246)&lt;&gt;0),'Дивиденды по годам'!Q246/(('Дивиденды по годам'!I246+'Дивиденды по годам'!V246)/2),""),"")</f>
        <v>7.3634086424637646E-3</v>
      </c>
      <c r="U246">
        <f>IFERROR(IF(AND('Дивиденды по годам'!J246&lt;&gt;"",'Дивиденды по годам'!K246&lt;&gt;"",'Дивиденды по годам'!M246&lt;&gt;"",'Дивиденды по годам'!M246&lt;&gt;0),('Дивиденды по годам'!J246+'Дивиденды по годам'!K246)/'Дивиденды по годам'!M246,""),"")</f>
        <v>0.19968730614880176</v>
      </c>
      <c r="V246" cm="1">
        <f t="array" ref="V246">IFERROR(AVERAGE(_xlfn._xlws.FILTER(P$2:P$1073,($C$2:$C$1073=$C246)*($E$2:$E$1073=$E246)*(ROW(P$2:P$1073)&lt;&gt;ROW(P246))*(P$2:P$1073&lt;&gt;""))),"")</f>
        <v>25.853291772497993</v>
      </c>
      <c r="W246" cm="1">
        <f t="array" ref="W246">IFERROR(AVERAGE(_xlfn._xlws.FILTER(Q$2:Q$1073,($C$2:$C$1073=$C246)*($E$2:$E$1073=$E246)*(ROW(Q$2:Q$1073)&lt;&gt;ROW(Q246))*(Q$2:Q$1073&lt;&gt;""))),"")</f>
        <v>0.78170128403071282</v>
      </c>
      <c r="X246" cm="1">
        <f t="array" ref="X246">IFERROR(AVERAGE(_xlfn._xlws.FILTER(R$2:R$1073,($C$2:$C$1073=$C246)*($E$2:$E$1073=$E246)*(ROW(R$2:R$1073)&lt;&gt;ROW(R246))*(R$2:R$1073&lt;&gt;""))),"")</f>
        <v>0.1149432240053514</v>
      </c>
      <c r="Y246" cm="1">
        <f t="array" ref="Y246">IFERROR(AVERAGE(_xlfn._xlws.FILTER(S$2:S$1073,($C$2:$C$1073=$C246)*($E$2:$E$1073=$E246)*(ROW(S$2:S$1073)&lt;&gt;ROW(S246))*(S$2:S$1073&lt;&gt;""))),"")</f>
        <v>0.56307717393118883</v>
      </c>
      <c r="Z246" cm="1">
        <f t="array" ref="Z246">IFERROR(AVERAGE(_xlfn._xlws.FILTER(T$2:T$1073,($C$2:$C$1073=$C246)*($E$2:$E$1073=$E246)*(ROW(T$2:T$1073)&lt;&gt;ROW(T246))*(T$2:T$1073&lt;&gt;""))),"")</f>
        <v>3.9341794075405258E-2</v>
      </c>
      <c r="AA246" cm="1">
        <f t="array" ref="AA246">IFERROR(AVERAGE(_xlfn._xlws.FILTER(U$2:U$1073,($C$2:$C$1073=$C246)*($E$2:$E$1073=$E246)*(ROW(U$2:U$1073)&lt;&gt;ROW(U246))*(U$2:U$1073&lt;&gt;""))),"")</f>
        <v>0.76632610190596073</v>
      </c>
    </row>
    <row r="247" spans="1:27" x14ac:dyDescent="0.2">
      <c r="A247" s="7" t="s">
        <v>2208</v>
      </c>
      <c r="B247" t="str">
        <f t="shared" si="35"/>
        <v>MSNG IV кв. 2020</v>
      </c>
      <c r="C247">
        <v>2020</v>
      </c>
      <c r="D247">
        <f>SUMIFS(Дивиденды!$C:$C,Дивиденды!$A:$A,A247,Дивиденды!$I:$I,C247)</f>
        <v>0.18</v>
      </c>
      <c r="E247">
        <v>2</v>
      </c>
      <c r="F247">
        <f t="shared" si="36"/>
        <v>0.18</v>
      </c>
      <c r="G247">
        <f t="shared" si="37"/>
        <v>5.4905916666666665E-2</v>
      </c>
      <c r="H247">
        <f t="shared" si="38"/>
        <v>1</v>
      </c>
      <c r="I247">
        <f t="shared" si="45"/>
        <v>0.75</v>
      </c>
      <c r="J247">
        <f t="shared" si="39"/>
        <v>0.5</v>
      </c>
      <c r="K247">
        <f t="shared" si="43"/>
        <v>-0.1272906983693792</v>
      </c>
      <c r="L247">
        <f t="shared" si="40"/>
        <v>1</v>
      </c>
      <c r="M247">
        <f t="shared" si="44"/>
        <v>0.5</v>
      </c>
      <c r="N247">
        <f t="shared" si="41"/>
        <v>0</v>
      </c>
      <c r="O247">
        <f t="shared" si="42"/>
        <v>0.5</v>
      </c>
      <c r="P247">
        <f>IFERROR(LN('Дивиденды по годам'!I247),"")</f>
        <v>26.732056909122395</v>
      </c>
      <c r="Q247">
        <f>IFERROR('Дивиденды по годам'!G247/'Дивиденды по годам'!I247, "")</f>
        <v>0.67595352231376127</v>
      </c>
      <c r="R247">
        <f>IFERROR(IF(AND('Дивиденды по годам'!N247&lt;&gt;"",'Дивиденды по годам'!U247&lt;&gt;"",'Дивиденды по годам'!U247&lt;&gt;0),'Дивиденды по годам'!N247/'Дивиденды по годам'!U247-1,""),"")</f>
        <v>-4.673379808933642E-2</v>
      </c>
      <c r="S247">
        <f>IFERROR(IF(AND('Дивиденды по годам'!L247&lt;&gt;"",'Дивиденды по годам'!I247&lt;&gt;"",'Дивиденды по годам'!J247&lt;&gt;"",'Дивиденды по годам'!K247&lt;&gt;"",('Дивиденды по годам'!I247-'Дивиденды по годам'!J247-'Дивиденды по годам'!K247)&lt;&gt;0),'Дивиденды по годам'!L247/('Дивиденды по годам'!I247-'Дивиденды по годам'!J247-'Дивиденды по годам'!K247),""),"")</f>
        <v>-0.11305341868031571</v>
      </c>
      <c r="T247">
        <f>IFERROR(IF(AND('Дивиденды по годам'!Q247&lt;&gt;"",'Дивиденды по годам'!I247&lt;&gt;"",'Дивиденды по годам'!V247&lt;&gt;"",('Дивиденды по годам'!I247+'Дивиденды по годам'!V247)&lt;&gt;0),'Дивиденды по годам'!Q247/(('Дивиденды по годам'!I247+'Дивиденды по годам'!V247)/2),""),"")</f>
        <v>1.9629803140768502E-2</v>
      </c>
      <c r="U247">
        <f>IFERROR(IF(AND('Дивиденды по годам'!J247&lt;&gt;"",'Дивиденды по годам'!K247&lt;&gt;"",'Дивиденды по годам'!M247&lt;&gt;"",'Дивиденды по годам'!M247&lt;&gt;0),('Дивиденды по годам'!J247+'Дивиденды по годам'!K247)/'Дивиденды по годам'!M247,""),"")</f>
        <v>0.23408764945071273</v>
      </c>
      <c r="V247" cm="1">
        <f t="array" ref="V247">IFERROR(AVERAGE(_xlfn._xlws.FILTER(P$2:P$1073,($C$2:$C$1073=$C247)*($E$2:$E$1073=$E247)*(ROW(P$2:P$1073)&lt;&gt;ROW(P247))*(P$2:P$1073&lt;&gt;""))),"")</f>
        <v>26.1265473692401</v>
      </c>
      <c r="W247" cm="1">
        <f t="array" ref="W247">IFERROR(AVERAGE(_xlfn._xlws.FILTER(Q$2:Q$1073,($C$2:$C$1073=$C247)*($E$2:$E$1073=$E247)*(ROW(Q$2:Q$1073)&lt;&gt;ROW(Q247))*(Q$2:Q$1073&lt;&gt;""))),"")</f>
        <v>0.75072042874328293</v>
      </c>
      <c r="X247" cm="1">
        <f t="array" ref="X247">IFERROR(AVERAGE(_xlfn._xlws.FILTER(R$2:R$1073,($C$2:$C$1073=$C247)*($E$2:$E$1073=$E247)*(ROW(R$2:R$1073)&lt;&gt;ROW(R247))*(R$2:R$1073&lt;&gt;""))),"")</f>
        <v>-6.5647463524996272E-2</v>
      </c>
      <c r="Y247" cm="1">
        <f t="array" ref="Y247">IFERROR(AVERAGE(_xlfn._xlws.FILTER(S$2:S$1073,($C$2:$C$1073=$C247)*($E$2:$E$1073=$E247)*(ROW(S$2:S$1073)&lt;&gt;ROW(S247))*(S$2:S$1073&lt;&gt;""))),"")</f>
        <v>0.53426390856069617</v>
      </c>
      <c r="Z247" cm="1">
        <f t="array" ref="Z247">IFERROR(AVERAGE(_xlfn._xlws.FILTER(T$2:T$1073,($C$2:$C$1073=$C247)*($E$2:$E$1073=$E247)*(ROW(T$2:T$1073)&lt;&gt;ROW(T247))*(T$2:T$1073&lt;&gt;""))),"")</f>
        <v>4.457045675910918E-2</v>
      </c>
      <c r="AA247" cm="1">
        <f t="array" ref="AA247">IFERROR(AVERAGE(_xlfn._xlws.FILTER(U$2:U$1073,($C$2:$C$1073=$C247)*($E$2:$E$1073=$E247)*(ROW(U$2:U$1073)&lt;&gt;ROW(U247))*(U$2:U$1073&lt;&gt;""))),"")</f>
        <v>0.69502321648124576</v>
      </c>
    </row>
    <row r="248" spans="1:27" x14ac:dyDescent="0.2">
      <c r="A248" s="7" t="s">
        <v>2208</v>
      </c>
      <c r="B248" t="str">
        <f t="shared" si="35"/>
        <v>MSNG IV кв. 2019</v>
      </c>
      <c r="C248">
        <v>2019</v>
      </c>
      <c r="D248">
        <f>SUMIFS(Дивиденды!$C:$C,Дивиденды!$A:$A,A248,Дивиденды!$I:$I,C248)</f>
        <v>0.12</v>
      </c>
      <c r="E248">
        <v>2</v>
      </c>
      <c r="F248">
        <f t="shared" si="36"/>
        <v>0.12</v>
      </c>
      <c r="G248">
        <f t="shared" si="37"/>
        <v>6.1308666666666657E-2</v>
      </c>
      <c r="H248">
        <f t="shared" si="38"/>
        <v>1</v>
      </c>
      <c r="I248">
        <f t="shared" si="45"/>
        <v>1</v>
      </c>
      <c r="J248">
        <f t="shared" si="39"/>
        <v>-0.42857142857142855</v>
      </c>
      <c r="K248">
        <f t="shared" si="43"/>
        <v>0.20780704338420666</v>
      </c>
      <c r="L248">
        <f t="shared" si="40"/>
        <v>0</v>
      </c>
      <c r="M248">
        <f t="shared" si="44"/>
        <v>0.5</v>
      </c>
      <c r="N248">
        <f t="shared" si="41"/>
        <v>1</v>
      </c>
      <c r="O248">
        <f t="shared" si="42"/>
        <v>0.41666666666666669</v>
      </c>
      <c r="P248">
        <f>IFERROR(LN('Дивиденды по годам'!I248),"")</f>
        <v>26.745940734360683</v>
      </c>
      <c r="Q248">
        <f>IFERROR('Дивиденды по годам'!G248/'Дивиденды по годам'!I248, "")</f>
        <v>0.65609756688580279</v>
      </c>
      <c r="R248">
        <f>IFERROR(IF(AND('Дивиденды по годам'!N248&lt;&gt;"",'Дивиденды по годам'!U248&lt;&gt;"",'Дивиденды по годам'!U248&lt;&gt;0),'Дивиденды по годам'!N248/'Дивиденды по годам'!U248-1,""),"")</f>
        <v>-4.572333685322072E-2</v>
      </c>
      <c r="S248">
        <f>IFERROR(IF(AND('Дивиденды по годам'!L248&lt;&gt;"",'Дивиденды по годам'!I248&lt;&gt;"",'Дивиденды по годам'!J248&lt;&gt;"",'Дивиденды по годам'!K248&lt;&gt;"",('Дивиденды по годам'!I248-'Дивиденды по годам'!J248-'Дивиденды по годам'!K248)&lt;&gt;0),'Дивиденды по годам'!L248/('Дивиденды по годам'!I248-'Дивиденды по годам'!J248-'Дивиденды по годам'!K248),""),"")</f>
        <v>-0.12726298054832286</v>
      </c>
      <c r="T248">
        <f>IFERROR(IF(AND('Дивиденды по годам'!Q248&lt;&gt;"",'Дивиденды по годам'!I248&lt;&gt;"",'Дивиденды по годам'!V248&lt;&gt;"",('Дивиденды по годам'!I248+'Дивиденды по годам'!V248)&lt;&gt;0),'Дивиденды по годам'!Q248/(('Дивиденды по годам'!I248+'Дивиденды по годам'!V248)/2),""),"")</f>
        <v>2.5913827547108689E-2</v>
      </c>
      <c r="U248">
        <f>IFERROR(IF(AND('Дивиденды по годам'!J248&lt;&gt;"",'Дивиденды по годам'!K248&lt;&gt;"",'Дивиденды по годам'!M248&lt;&gt;"",'Дивиденды по годам'!M248&lt;&gt;0),('Дивиденды по годам'!J248+'Дивиденды по годам'!K248)/'Дивиденды по годам'!M248,""),"")</f>
        <v>0.26414764895083476</v>
      </c>
      <c r="V248" cm="1">
        <f t="array" ref="V248">IFERROR(AVERAGE(_xlfn._xlws.FILTER(P$2:P$1073,($C$2:$C$1073=$C248)*($E$2:$E$1073=$E248)*(ROW(P$2:P$1073)&lt;&gt;ROW(P248))*(P$2:P$1073&lt;&gt;""))),"")</f>
        <v>26.08232957718705</v>
      </c>
      <c r="W248" cm="1">
        <f t="array" ref="W248">IFERROR(AVERAGE(_xlfn._xlws.FILTER(Q$2:Q$1073,($C$2:$C$1073=$C248)*($E$2:$E$1073=$E248)*(ROW(Q$2:Q$1073)&lt;&gt;ROW(Q248))*(Q$2:Q$1073&lt;&gt;""))),"")</f>
        <v>0.74373654870411265</v>
      </c>
      <c r="X248" cm="1">
        <f t="array" ref="X248">IFERROR(AVERAGE(_xlfn._xlws.FILTER(R$2:R$1073,($C$2:$C$1073=$C248)*($E$2:$E$1073=$E248)*(ROW(R$2:R$1073)&lt;&gt;ROW(R248))*(R$2:R$1073&lt;&gt;""))),"")</f>
        <v>7.5816884654690553E-3</v>
      </c>
      <c r="Y248" cm="1">
        <f t="array" ref="Y248">IFERROR(AVERAGE(_xlfn._xlws.FILTER(S$2:S$1073,($C$2:$C$1073=$C248)*($E$2:$E$1073=$E248)*(ROW(S$2:S$1073)&lt;&gt;ROW(S248))*(S$2:S$1073&lt;&gt;""))),"")</f>
        <v>0.52413180277603633</v>
      </c>
      <c r="Z248" cm="1">
        <f t="array" ref="Z248">IFERROR(AVERAGE(_xlfn._xlws.FILTER(T$2:T$1073,($C$2:$C$1073=$C248)*($E$2:$E$1073=$E248)*(ROW(T$2:T$1073)&lt;&gt;ROW(T248))*(T$2:T$1073&lt;&gt;""))),"")</f>
        <v>5.4136998712200547E-2</v>
      </c>
      <c r="AA248" cm="1">
        <f t="array" ref="AA248">IFERROR(AVERAGE(_xlfn._xlws.FILTER(U$2:U$1073,($C$2:$C$1073=$C248)*($E$2:$E$1073=$E248)*(ROW(U$2:U$1073)&lt;&gt;ROW(U248))*(U$2:U$1073&lt;&gt;""))),"")</f>
        <v>0.69884637936204774</v>
      </c>
    </row>
    <row r="249" spans="1:27" x14ac:dyDescent="0.2">
      <c r="A249" s="7" t="s">
        <v>2208</v>
      </c>
      <c r="B249" t="str">
        <f t="shared" si="35"/>
        <v>MSNG IV кв. 2018</v>
      </c>
      <c r="C249">
        <v>2018</v>
      </c>
      <c r="D249">
        <f>SUMIFS(Дивиденды!$C:$C,Дивиденды!$A:$A,A249,Дивиденды!$I:$I,C249)</f>
        <v>0.21</v>
      </c>
      <c r="E249">
        <v>2</v>
      </c>
      <c r="F249">
        <f t="shared" si="36"/>
        <v>0.21</v>
      </c>
      <c r="G249">
        <f t="shared" si="37"/>
        <v>6.307041666666667E-2</v>
      </c>
      <c r="H249">
        <f t="shared" si="38"/>
        <v>1</v>
      </c>
      <c r="I249">
        <f t="shared" si="45"/>
        <v>1</v>
      </c>
      <c r="J249">
        <f t="shared" si="39"/>
        <v>0.23529411764705868</v>
      </c>
      <c r="K249">
        <f t="shared" si="43"/>
        <v>0.17665051849366389</v>
      </c>
      <c r="L249">
        <f t="shared" si="40"/>
        <v>1</v>
      </c>
      <c r="M249">
        <f t="shared" si="44"/>
        <v>0.58333333333333337</v>
      </c>
      <c r="N249">
        <f t="shared" si="41"/>
        <v>0</v>
      </c>
      <c r="O249">
        <f t="shared" si="42"/>
        <v>0.25</v>
      </c>
      <c r="P249">
        <f>IFERROR(LN('Дивиденды по годам'!I249),"")</f>
        <v>26.516764083971836</v>
      </c>
      <c r="Q249">
        <f>IFERROR('Дивиденды по годам'!G249/'Дивиденды по годам'!I249, "")</f>
        <v>0.63899207396414548</v>
      </c>
      <c r="R249">
        <f>IFERROR(IF(AND('Дивиденды по годам'!N249&lt;&gt;"",'Дивиденды по годам'!U249&lt;&gt;"",'Дивиденды по годам'!U249&lt;&gt;0),'Дивиденды по годам'!N249/'Дивиденды по годам'!U249-1,""),"")</f>
        <v>1.4353041988003357E-2</v>
      </c>
      <c r="S249">
        <f>IFERROR(IF(AND('Дивиденды по годам'!L249&lt;&gt;"",'Дивиденды по годам'!I249&lt;&gt;"",'Дивиденды по годам'!J249&lt;&gt;"",'Дивиденды по годам'!K249&lt;&gt;"",('Дивиденды по годам'!I249-'Дивиденды по годам'!J249-'Дивиденды по годам'!K249)&lt;&gt;0),'Дивиденды по годам'!L249/('Дивиденды по годам'!I249-'Дивиденды по годам'!J249-'Дивиденды по годам'!K249),""),"")</f>
        <v>-0.15058099030058442</v>
      </c>
      <c r="T249">
        <f>IFERROR(IF(AND('Дивиденды по годам'!Q249&lt;&gt;"",'Дивиденды по годам'!I249&lt;&gt;"",'Дивиденды по годам'!V249&lt;&gt;"",('Дивиденды по годам'!I249+'Дивиденды по годам'!V249)&lt;&gt;0),'Дивиденды по годам'!Q249/(('Дивиденды по годам'!I249+'Дивиденды по годам'!V249)/2),""),"")</f>
        <v>6.4569551406774603E-2</v>
      </c>
      <c r="U249">
        <f>IFERROR(IF(AND('Дивиденды по годам'!J249&lt;&gt;"",'Дивиденды по годам'!K249&lt;&gt;"",'Дивиденды по годам'!M249&lt;&gt;"",'Дивиденды по годам'!M249&lt;&gt;0),('Дивиденды по годам'!J249+'Дивиденды по годам'!K249)/'Дивиденды по годам'!M249,""),"")</f>
        <v>0.18457406678771382</v>
      </c>
      <c r="V249" cm="1">
        <f t="array" ref="V249">IFERROR(AVERAGE(_xlfn._xlws.FILTER(P$2:P$1073,($C$2:$C$1073=$C249)*($E$2:$E$1073=$E249)*(ROW(P$2:P$1073)&lt;&gt;ROW(P249))*(P$2:P$1073&lt;&gt;""))),"")</f>
        <v>26.043861674191362</v>
      </c>
      <c r="W249" cm="1">
        <f t="array" ref="W249">IFERROR(AVERAGE(_xlfn._xlws.FILTER(Q$2:Q$1073,($C$2:$C$1073=$C249)*($E$2:$E$1073=$E249)*(ROW(Q$2:Q$1073)&lt;&gt;ROW(Q249))*(Q$2:Q$1073&lt;&gt;""))),"")</f>
        <v>0.76269981617131088</v>
      </c>
      <c r="X249" cm="1">
        <f t="array" ref="X249">IFERROR(AVERAGE(_xlfn._xlws.FILTER(R$2:R$1073,($C$2:$C$1073=$C249)*($E$2:$E$1073=$E249)*(ROW(R$2:R$1073)&lt;&gt;ROW(R249))*(R$2:R$1073&lt;&gt;""))),"")</f>
        <v>5.318706187110947E-2</v>
      </c>
      <c r="Y249" cm="1">
        <f t="array" ref="Y249">IFERROR(AVERAGE(_xlfn._xlws.FILTER(S$2:S$1073,($C$2:$C$1073=$C249)*($E$2:$E$1073=$E249)*(ROW(S$2:S$1073)&lt;&gt;ROW(S249))*(S$2:S$1073&lt;&gt;""))),"")</f>
        <v>0.51565896824162549</v>
      </c>
      <c r="Z249" cm="1">
        <f t="array" ref="Z249">IFERROR(AVERAGE(_xlfn._xlws.FILTER(T$2:T$1073,($C$2:$C$1073=$C249)*($E$2:$E$1073=$E249)*(ROW(T$2:T$1073)&lt;&gt;ROW(T249))*(T$2:T$1073&lt;&gt;""))),"")</f>
        <v>6.8731631900040238E-2</v>
      </c>
      <c r="AA249" cm="1">
        <f t="array" ref="AA249">IFERROR(AVERAGE(_xlfn._xlws.FILTER(U$2:U$1073,($C$2:$C$1073=$C249)*($E$2:$E$1073=$E249)*(ROW(U$2:U$1073)&lt;&gt;ROW(U249))*(U$2:U$1073&lt;&gt;""))),"")</f>
        <v>0.66925068788760667</v>
      </c>
    </row>
    <row r="250" spans="1:27" x14ac:dyDescent="0.2">
      <c r="A250" s="7" t="s">
        <v>2208</v>
      </c>
      <c r="B250" t="str">
        <f t="shared" si="35"/>
        <v>MSNG IV кв. 2017</v>
      </c>
      <c r="C250">
        <v>2017</v>
      </c>
      <c r="D250">
        <f>SUMIFS(Дивиденды!$C:$C,Дивиденды!$A:$A,A250,Дивиденды!$I:$I,C250)</f>
        <v>0.17</v>
      </c>
      <c r="E250">
        <v>2</v>
      </c>
      <c r="F250">
        <f t="shared" si="36"/>
        <v>0.17</v>
      </c>
      <c r="G250">
        <f t="shared" si="37"/>
        <v>5.7942166666666663E-2</v>
      </c>
      <c r="H250">
        <f t="shared" si="38"/>
        <v>1</v>
      </c>
      <c r="I250">
        <f t="shared" si="45"/>
        <v>1</v>
      </c>
      <c r="J250">
        <f t="shared" si="39"/>
        <v>1.0047169811320755</v>
      </c>
      <c r="K250">
        <f t="shared" si="43"/>
        <v>0.55802322251261061</v>
      </c>
      <c r="L250">
        <f t="shared" si="40"/>
        <v>1</v>
      </c>
      <c r="M250">
        <f t="shared" si="44"/>
        <v>0.75</v>
      </c>
      <c r="N250">
        <f t="shared" si="41"/>
        <v>0</v>
      </c>
      <c r="O250">
        <f t="shared" si="42"/>
        <v>0.25</v>
      </c>
      <c r="P250">
        <f>IFERROR(LN('Дивиденды по годам'!I250),"")</f>
        <v>26.536939548026858</v>
      </c>
      <c r="Q250">
        <f>IFERROR('Дивиденды по годам'!G250/'Дивиденды по годам'!I250, "")</f>
        <v>0.64505281516632973</v>
      </c>
      <c r="R250">
        <f>IFERROR(IF(AND('Дивиденды по годам'!N250&lt;&gt;"",'Дивиденды по годам'!U250&lt;&gt;"",'Дивиденды по годам'!U250&lt;&gt;0),'Дивиденды по годам'!N250/'Дивиденды по годам'!U250-1,""),"")</f>
        <v>2.8323262839879071E-2</v>
      </c>
      <c r="S250">
        <f>IFERROR(IF(AND('Дивиденды по годам'!L250&lt;&gt;"",'Дивиденды по годам'!I250&lt;&gt;"",'Дивиденды по годам'!J250&lt;&gt;"",'Дивиденды по годам'!K250&lt;&gt;"",('Дивиденды по годам'!I250-'Дивиденды по годам'!J250-'Дивиденды по годам'!K250)&lt;&gt;0),'Дивиденды по годам'!L250/('Дивиденды по годам'!I250-'Дивиденды по годам'!J250-'Дивиденды по годам'!K250),""),"")</f>
        <v>-0.20769508019462965</v>
      </c>
      <c r="T250">
        <f>IFERROR(IF(AND('Дивиденды по годам'!Q250&lt;&gt;"",'Дивиденды по годам'!I250&lt;&gt;"",'Дивиденды по годам'!V250&lt;&gt;"",('Дивиденды по годам'!I250+'Дивиденды по годам'!V250)&lt;&gt;0),'Дивиденды по годам'!Q250/(('Дивиденды по годам'!I250+'Дивиденды по годам'!V250)/2),""),"")</f>
        <v>7.3365566222614004E-2</v>
      </c>
      <c r="U250">
        <f>IFERROR(IF(AND('Дивиденды по годам'!J250&lt;&gt;"",'Дивиденды по годам'!K250&lt;&gt;"",'Дивиденды по годам'!M250&lt;&gt;"",'Дивиденды по годам'!M250&lt;&gt;0),('Дивиденды по годам'!J250+'Дивиденды по годам'!K250)/'Дивиденды по годам'!M250,""),"")</f>
        <v>0.25715969844416409</v>
      </c>
      <c r="V250" cm="1">
        <f t="array" ref="V250">IFERROR(AVERAGE(_xlfn._xlws.FILTER(P$2:P$1073,($C$2:$C$1073=$C250)*($E$2:$E$1073=$E250)*(ROW(P$2:P$1073)&lt;&gt;ROW(P250))*(P$2:P$1073&lt;&gt;""))),"")</f>
        <v>26.009567834170586</v>
      </c>
      <c r="W250" cm="1">
        <f t="array" ref="W250">IFERROR(AVERAGE(_xlfn._xlws.FILTER(Q$2:Q$1073,($C$2:$C$1073=$C250)*($E$2:$E$1073=$E250)*(ROW(Q$2:Q$1073)&lt;&gt;ROW(Q250))*(Q$2:Q$1073&lt;&gt;""))),"")</f>
        <v>0.76970458653608398</v>
      </c>
      <c r="X250" cm="1">
        <f t="array" ref="X250">IFERROR(AVERAGE(_xlfn._xlws.FILTER(R$2:R$1073,($C$2:$C$1073=$C250)*($E$2:$E$1073=$E250)*(ROW(R$2:R$1073)&lt;&gt;ROW(R250))*(R$2:R$1073&lt;&gt;""))),"")</f>
        <v>4.7350318052255432E-2</v>
      </c>
      <c r="Y250" cm="1">
        <f t="array" ref="Y250">IFERROR(AVERAGE(_xlfn._xlws.FILTER(S$2:S$1073,($C$2:$C$1073=$C250)*($E$2:$E$1073=$E250)*(ROW(S$2:S$1073)&lt;&gt;ROW(S250))*(S$2:S$1073&lt;&gt;""))),"")</f>
        <v>0.4728183433121802</v>
      </c>
      <c r="Z250" cm="1">
        <f t="array" ref="Z250">IFERROR(AVERAGE(_xlfn._xlws.FILTER(T$2:T$1073,($C$2:$C$1073=$C250)*($E$2:$E$1073=$E250)*(ROW(T$2:T$1073)&lt;&gt;ROW(T250))*(T$2:T$1073&lt;&gt;""))),"")</f>
        <v>8.2253725954021209E-2</v>
      </c>
      <c r="AA250" cm="1">
        <f t="array" ref="AA250">IFERROR(AVERAGE(_xlfn._xlws.FILTER(U$2:U$1073,($C$2:$C$1073=$C250)*($E$2:$E$1073=$E250)*(ROW(U$2:U$1073)&lt;&gt;ROW(U250))*(U$2:U$1073&lt;&gt;""))),"")</f>
        <v>0.66247982696814878</v>
      </c>
    </row>
    <row r="251" spans="1:27" x14ac:dyDescent="0.2">
      <c r="A251" s="7" t="s">
        <v>2208</v>
      </c>
      <c r="B251" t="str">
        <f t="shared" si="35"/>
        <v>MSNG IV кв. 2016</v>
      </c>
      <c r="C251">
        <v>2016</v>
      </c>
      <c r="D251">
        <f>SUMIFS(Дивиденды!$C:$C,Дивиденды!$A:$A,A251,Дивиденды!$I:$I,C251)</f>
        <v>8.48E-2</v>
      </c>
      <c r="E251">
        <v>2</v>
      </c>
      <c r="F251">
        <f t="shared" si="36"/>
        <v>8.48E-2</v>
      </c>
      <c r="G251">
        <f t="shared" si="37"/>
        <v>5.0328499999999998E-2</v>
      </c>
      <c r="H251">
        <f t="shared" si="38"/>
        <v>1</v>
      </c>
      <c r="I251">
        <f t="shared" si="45"/>
        <v>1</v>
      </c>
      <c r="J251">
        <f t="shared" si="39"/>
        <v>0.49559082892416223</v>
      </c>
      <c r="K251">
        <f t="shared" si="43"/>
        <v>1.3657708020621298</v>
      </c>
      <c r="L251">
        <f t="shared" si="40"/>
        <v>1</v>
      </c>
      <c r="M251">
        <f t="shared" si="44"/>
        <v>0.83333333333333337</v>
      </c>
      <c r="N251">
        <f t="shared" si="41"/>
        <v>0</v>
      </c>
      <c r="O251">
        <f t="shared" si="42"/>
        <v>0.16666666666666666</v>
      </c>
      <c r="P251">
        <f>IFERROR(LN('Дивиденды по годам'!I251),"")</f>
        <v>26.555951510642895</v>
      </c>
      <c r="Q251">
        <f>IFERROR('Дивиденды по годам'!G251/'Дивиденды по годам'!I251, "")</f>
        <v>0.65243470056318387</v>
      </c>
      <c r="R251">
        <f>IFERROR(IF(AND('Дивиденды по годам'!N251&lt;&gt;"",'Дивиденды по годам'!U251&lt;&gt;"",'Дивиденды по годам'!U251&lt;&gt;0),'Дивиденды по годам'!N251/'Дивиденды по годам'!U251-1,""),"")</f>
        <v>0.11388559443337631</v>
      </c>
      <c r="S251">
        <f>IFERROR(IF(AND('Дивиденды по годам'!L251&lt;&gt;"",'Дивиденды по годам'!I251&lt;&gt;"",'Дивиденды по годам'!J251&lt;&gt;"",'Дивиденды по годам'!K251&lt;&gt;"",('Дивиденды по годам'!I251-'Дивиденды по годам'!J251-'Дивиденды по годам'!K251)&lt;&gt;0),'Дивиденды по годам'!L251/('Дивиденды по годам'!I251-'Дивиденды по годам'!J251-'Дивиденды по годам'!K251),""),"")</f>
        <v>-0.31159216568269138</v>
      </c>
      <c r="T251">
        <f>IFERROR(IF(AND('Дивиденды по годам'!Q251&lt;&gt;"",'Дивиденды по годам'!I251&lt;&gt;"",'Дивиденды по годам'!V251&lt;&gt;"",('Дивиденды по годам'!I251+'Дивиденды по годам'!V251)&lt;&gt;0),'Дивиденды по годам'!Q251/(('Дивиденды по годам'!I251+'Дивиденды по годам'!V251)/2),""),"")</f>
        <v>4.0013041905309216E-2</v>
      </c>
      <c r="U251">
        <f>IFERROR(IF(AND('Дивиденды по годам'!J251&lt;&gt;"",'Дивиденды по годам'!K251&lt;&gt;"",'Дивиденды по годам'!M251&lt;&gt;"",'Дивиденды по годам'!M251&lt;&gt;0),('Дивиденды по годам'!J251+'Дивиденды по годам'!K251)/'Дивиденды по годам'!M251,""),"")</f>
        <v>0.390497610345797</v>
      </c>
      <c r="V251" cm="1">
        <f t="array" ref="V251">IFERROR(AVERAGE(_xlfn._xlws.FILTER(P$2:P$1073,($C$2:$C$1073=$C251)*($E$2:$E$1073=$E251)*(ROW(P$2:P$1073)&lt;&gt;ROW(P251))*(P$2:P$1073&lt;&gt;""))),"")</f>
        <v>25.962176744148696</v>
      </c>
      <c r="W251" cm="1">
        <f t="array" ref="W251">IFERROR(AVERAGE(_xlfn._xlws.FILTER(Q$2:Q$1073,($C$2:$C$1073=$C251)*($E$2:$E$1073=$E251)*(ROW(Q$2:Q$1073)&lt;&gt;ROW(Q251))*(Q$2:Q$1073&lt;&gt;""))),"")</f>
        <v>0.72158448837272404</v>
      </c>
      <c r="X251" cm="1">
        <f t="array" ref="X251">IFERROR(AVERAGE(_xlfn._xlws.FILTER(R$2:R$1073,($C$2:$C$1073=$C251)*($E$2:$E$1073=$E251)*(ROW(R$2:R$1073)&lt;&gt;ROW(R251))*(R$2:R$1073&lt;&gt;""))),"")</f>
        <v>0.11420302100314508</v>
      </c>
      <c r="Y251" cm="1">
        <f t="array" ref="Y251">IFERROR(AVERAGE(_xlfn._xlws.FILTER(S$2:S$1073,($C$2:$C$1073=$C251)*($E$2:$E$1073=$E251)*(ROW(S$2:S$1073)&lt;&gt;ROW(S251))*(S$2:S$1073&lt;&gt;""))),"")</f>
        <v>0.47439107663844099</v>
      </c>
      <c r="Z251" cm="1">
        <f t="array" ref="Z251">IFERROR(AVERAGE(_xlfn._xlws.FILTER(T$2:T$1073,($C$2:$C$1073=$C251)*($E$2:$E$1073=$E251)*(ROW(T$2:T$1073)&lt;&gt;ROW(T251))*(T$2:T$1073&lt;&gt;""))),"")</f>
        <v>4.1037046764983008E-2</v>
      </c>
      <c r="AA251" cm="1">
        <f t="array" ref="AA251">IFERROR(AVERAGE(_xlfn._xlws.FILTER(U$2:U$1073,($C$2:$C$1073=$C251)*($E$2:$E$1073=$E251)*(ROW(U$2:U$1073)&lt;&gt;ROW(U251))*(U$2:U$1073&lt;&gt;""))),"")</f>
        <v>0.75424924677021332</v>
      </c>
    </row>
    <row r="252" spans="1:27" x14ac:dyDescent="0.2">
      <c r="A252" s="7" t="s">
        <v>2208</v>
      </c>
      <c r="B252" t="str">
        <f t="shared" si="35"/>
        <v>MSNG IV кв. 2015</v>
      </c>
      <c r="C252">
        <v>2015</v>
      </c>
      <c r="D252">
        <f>SUMIFS(Дивиденды!$C:$C,Дивиденды!$A:$A,A252,Дивиденды!$I:$I,C252)</f>
        <v>5.67E-2</v>
      </c>
      <c r="E252">
        <v>2</v>
      </c>
      <c r="F252">
        <f t="shared" si="36"/>
        <v>5.67E-2</v>
      </c>
      <c r="G252">
        <f t="shared" si="37"/>
        <v>3.6715083333333336E-2</v>
      </c>
      <c r="H252">
        <f t="shared" si="38"/>
        <v>1</v>
      </c>
      <c r="I252">
        <f t="shared" si="45"/>
        <v>0.91666666666666663</v>
      </c>
      <c r="J252">
        <f t="shared" si="39"/>
        <v>4.67</v>
      </c>
      <c r="K252">
        <f t="shared" si="43"/>
        <v>3.7558097783256752</v>
      </c>
      <c r="L252">
        <f t="shared" si="40"/>
        <v>1</v>
      </c>
      <c r="M252">
        <f t="shared" si="44"/>
        <v>0.66666666666666663</v>
      </c>
      <c r="N252">
        <f t="shared" si="41"/>
        <v>0</v>
      </c>
      <c r="O252">
        <f t="shared" si="42"/>
        <v>0.33333333333333331</v>
      </c>
      <c r="P252">
        <f>IFERROR(LN('Дивиденды по годам'!I252),"")</f>
        <v>26.523591064809484</v>
      </c>
      <c r="Q252">
        <f>IFERROR('Дивиденды по годам'!G252/'Дивиденды по годам'!I252, "")</f>
        <v>0.69413783606279533</v>
      </c>
      <c r="R252">
        <f>IFERROR(IF(AND('Дивиденды по годам'!N252&lt;&gt;"",'Дивиденды по годам'!U252&lt;&gt;"",'Дивиденды по годам'!U252&lt;&gt;0),'Дивиденды по годам'!N252/'Дивиденды по годам'!U252-1,""),"")</f>
        <v>6.0279250706179788E-2</v>
      </c>
      <c r="S252" t="str">
        <f>IFERROR(IF(AND('Дивиденды по годам'!L252&lt;&gt;"",'Дивиденды по годам'!I252&lt;&gt;"",'Дивиденды по годам'!J252&lt;&gt;"",'Дивиденды по годам'!K252&lt;&gt;"",('Дивиденды по годам'!I252-'Дивиденды по годам'!J252-'Дивиденды по годам'!K252)&lt;&gt;0),'Дивиденды по годам'!L252/('Дивиденды по годам'!I252-'Дивиденды по годам'!J252-'Дивиденды по годам'!K252),""),"")</f>
        <v/>
      </c>
      <c r="T252">
        <f>IFERROR(IF(AND('Дивиденды по годам'!Q252&lt;&gt;"",'Дивиденды по годам'!I252&lt;&gt;"",'Дивиденды по годам'!V252&lt;&gt;"",('Дивиденды по годам'!I252+'Дивиденды по годам'!V252)&lt;&gt;0),'Дивиденды по годам'!Q252/(('Дивиденды по годам'!I252+'Дивиденды по годам'!V252)/2),""),"")</f>
        <v>-5.2411426752230726E-3</v>
      </c>
      <c r="U252">
        <f>IFERROR(IF(AND('Дивиденды по годам'!J252&lt;&gt;"",'Дивиденды по годам'!K252&lt;&gt;"",'Дивиденды по годам'!M252&lt;&gt;"",'Дивиденды по годам'!M252&lt;&gt;0),('Дивиденды по годам'!J252+'Дивиденды по годам'!K252)/'Дивиденды по годам'!M252,""),"")</f>
        <v>0.42497272166611322</v>
      </c>
      <c r="V252" cm="1">
        <f t="array" ref="V252">IFERROR(AVERAGE(_xlfn._xlws.FILTER(P$2:P$1073,($C$2:$C$1073=$C252)*($E$2:$E$1073=$E252)*(ROW(P$2:P$1073)&lt;&gt;ROW(P252))*(P$2:P$1073&lt;&gt;""))),"")</f>
        <v>25.8695819122239</v>
      </c>
      <c r="W252" cm="1">
        <f t="array" ref="W252">IFERROR(AVERAGE(_xlfn._xlws.FILTER(Q$2:Q$1073,($C$2:$C$1073=$C252)*($E$2:$E$1073=$E252)*(ROW(Q$2:Q$1073)&lt;&gt;ROW(Q252))*(Q$2:Q$1073&lt;&gt;""))),"")</f>
        <v>0.78790751774325041</v>
      </c>
      <c r="X252" cm="1">
        <f t="array" ref="X252">IFERROR(AVERAGE(_xlfn._xlws.FILTER(R$2:R$1073,($C$2:$C$1073=$C252)*($E$2:$E$1073=$E252)*(ROW(R$2:R$1073)&lt;&gt;ROW(R252))*(R$2:R$1073&lt;&gt;""))),"")</f>
        <v>8.0429311532156011E-4</v>
      </c>
      <c r="Y252" cm="1">
        <f t="array" ref="Y252">IFERROR(AVERAGE(_xlfn._xlws.FILTER(S$2:S$1073,($C$2:$C$1073=$C252)*($E$2:$E$1073=$E252)*(ROW(S$2:S$1073)&lt;&gt;ROW(S252))*(S$2:S$1073&lt;&gt;""))),"")</f>
        <v>0.4889220310718525</v>
      </c>
      <c r="Z252" cm="1">
        <f t="array" ref="Z252">IFERROR(AVERAGE(_xlfn._xlws.FILTER(T$2:T$1073,($C$2:$C$1073=$C252)*($E$2:$E$1073=$E252)*(ROW(T$2:T$1073)&lt;&gt;ROW(T252))*(T$2:T$1073&lt;&gt;""))),"")</f>
        <v>-1.3181808679591888E-2</v>
      </c>
      <c r="AA252" cm="1">
        <f t="array" ref="AA252">IFERROR(AVERAGE(_xlfn._xlws.FILTER(U$2:U$1073,($C$2:$C$1073=$C252)*($E$2:$E$1073=$E252)*(ROW(U$2:U$1073)&lt;&gt;ROW(U252))*(U$2:U$1073&lt;&gt;""))),"")</f>
        <v>0.93937034816632181</v>
      </c>
    </row>
    <row r="253" spans="1:27" x14ac:dyDescent="0.2">
      <c r="A253" s="7" t="s">
        <v>2208</v>
      </c>
      <c r="B253" t="str">
        <f t="shared" si="35"/>
        <v>MSNG IV кв. 2014</v>
      </c>
      <c r="C253">
        <v>2014</v>
      </c>
      <c r="D253">
        <f>SUMIFS(Дивиденды!$C:$C,Дивиденды!$A:$A,A253,Дивиденды!$I:$I,C253)</f>
        <v>0.01</v>
      </c>
      <c r="E253">
        <v>2</v>
      </c>
      <c r="F253">
        <f t="shared" si="36"/>
        <v>0.01</v>
      </c>
      <c r="G253">
        <f t="shared" si="37"/>
        <v>3.813458333333334E-2</v>
      </c>
      <c r="H253">
        <f t="shared" si="38"/>
        <v>1</v>
      </c>
      <c r="I253">
        <f t="shared" si="45"/>
        <v>1</v>
      </c>
      <c r="J253">
        <f t="shared" si="39"/>
        <v>-0.75</v>
      </c>
      <c r="K253">
        <f t="shared" si="43"/>
        <v>1.463603481683305</v>
      </c>
      <c r="L253">
        <f t="shared" si="40"/>
        <v>0</v>
      </c>
      <c r="M253">
        <f t="shared" si="44"/>
        <v>0.66666666666666663</v>
      </c>
      <c r="N253">
        <f t="shared" si="41"/>
        <v>1</v>
      </c>
      <c r="O253">
        <f t="shared" si="42"/>
        <v>0.25</v>
      </c>
      <c r="P253">
        <f>IFERROR(LN('Дивиденды по годам'!I253),"")</f>
        <v>26.575672318899532</v>
      </c>
      <c r="Q253">
        <f>IFERROR('Дивиденды по годам'!G253/'Дивиденды по годам'!I253, "")</f>
        <v>0.75641751251899758</v>
      </c>
      <c r="R253">
        <f>IFERROR(IF(AND('Дивиденды по годам'!N253&lt;&gt;"",'Дивиденды по годам'!U253&lt;&gt;"",'Дивиденды по годам'!U253&lt;&gt;0),'Дивиденды по годам'!N253/'Дивиденды по годам'!U253-1,""),"")</f>
        <v>3.0441137984080546E-2</v>
      </c>
      <c r="S253" t="str">
        <f>IFERROR(IF(AND('Дивиденды по годам'!L253&lt;&gt;"",'Дивиденды по годам'!I253&lt;&gt;"",'Дивиденды по годам'!J253&lt;&gt;"",'Дивиденды по годам'!K253&lt;&gt;"",('Дивиденды по годам'!I253-'Дивиденды по годам'!J253-'Дивиденды по годам'!K253)&lt;&gt;0),'Дивиденды по годам'!L253/('Дивиденды по годам'!I253-'Дивиденды по годам'!J253-'Дивиденды по годам'!K253),""),"")</f>
        <v/>
      </c>
      <c r="T253">
        <f>IFERROR(IF(AND('Дивиденды по годам'!Q253&lt;&gt;"",'Дивиденды по годам'!I253&lt;&gt;"",'Дивиденды по годам'!V253&lt;&gt;"",('Дивиденды по годам'!I253+'Дивиденды по годам'!V253)&lt;&gt;0),'Дивиденды по годам'!Q253/(('Дивиденды по годам'!I253+'Дивиденды по годам'!V253)/2),""),"")</f>
        <v>-7.976396851943228E-3</v>
      </c>
      <c r="U253">
        <f>IFERROR(IF(AND('Дивиденды по годам'!J253&lt;&gt;"",'Дивиденды по годам'!K253&lt;&gt;"",'Дивиденды по годам'!M253&lt;&gt;"",'Дивиденды по годам'!M253&lt;&gt;0),('Дивиденды по годам'!J253+'Дивиденды по годам'!K253)/'Дивиденды по годам'!M253,""),"")</f>
        <v>0.44012495086782927</v>
      </c>
      <c r="V253" cm="1">
        <f t="array" ref="V253">IFERROR(AVERAGE(_xlfn._xlws.FILTER(P$2:P$1073,($C$2:$C$1073=$C253)*($E$2:$E$1073=$E253)*(ROW(P$2:P$1073)&lt;&gt;ROW(P253))*(P$2:P$1073&lt;&gt;""))),"")</f>
        <v>26.121031064093465</v>
      </c>
      <c r="W253" cm="1">
        <f t="array" ref="W253">IFERROR(AVERAGE(_xlfn._xlws.FILTER(Q$2:Q$1073,($C$2:$C$1073=$C253)*($E$2:$E$1073=$E253)*(ROW(Q$2:Q$1073)&lt;&gt;ROW(Q253))*(Q$2:Q$1073&lt;&gt;""))),"")</f>
        <v>0.77299008305119332</v>
      </c>
      <c r="X253" cm="1">
        <f t="array" ref="X253">IFERROR(AVERAGE(_xlfn._xlws.FILTER(R$2:R$1073,($C$2:$C$1073=$C253)*($E$2:$E$1073=$E253)*(ROW(R$2:R$1073)&lt;&gt;ROW(R253))*(R$2:R$1073&lt;&gt;""))),"")</f>
        <v>2.1852479722377322E-2</v>
      </c>
      <c r="Y253" cm="1">
        <f t="array" ref="Y253">IFERROR(AVERAGE(_xlfn._xlws.FILTER(S$2:S$1073,($C$2:$C$1073=$C253)*($E$2:$E$1073=$E253)*(ROW(S$2:S$1073)&lt;&gt;ROW(S253))*(S$2:S$1073&lt;&gt;""))),"")</f>
        <v>0.60466035791128681</v>
      </c>
      <c r="Z253" cm="1">
        <f t="array" ref="Z253">IFERROR(AVERAGE(_xlfn._xlws.FILTER(T$2:T$1073,($C$2:$C$1073=$C253)*($E$2:$E$1073=$E253)*(ROW(T$2:T$1073)&lt;&gt;ROW(T253))*(T$2:T$1073&lt;&gt;""))),"")</f>
        <v>2.1571085522018727E-2</v>
      </c>
      <c r="AA253" cm="1">
        <f t="array" ref="AA253">IFERROR(AVERAGE(_xlfn._xlws.FILTER(U$2:U$1073,($C$2:$C$1073=$C253)*($E$2:$E$1073=$E253)*(ROW(U$2:U$1073)&lt;&gt;ROW(U253))*(U$2:U$1073&lt;&gt;""))),"")</f>
        <v>0.78514724320707319</v>
      </c>
    </row>
    <row r="254" spans="1:27" x14ac:dyDescent="0.2">
      <c r="A254" s="7" t="s">
        <v>2208</v>
      </c>
      <c r="B254" t="str">
        <f t="shared" si="35"/>
        <v>MSNG IV кв. 2013</v>
      </c>
      <c r="C254">
        <v>2013</v>
      </c>
      <c r="D254">
        <f>SUMIFS(Дивиденды!$C:$C,Дивиденды!$A:$A,A254,Дивиденды!$I:$I,C254)</f>
        <v>0.04</v>
      </c>
      <c r="E254">
        <v>2</v>
      </c>
      <c r="F254">
        <f t="shared" si="36"/>
        <v>0.04</v>
      </c>
      <c r="G254">
        <f t="shared" si="37"/>
        <v>4.3109750000000002E-2</v>
      </c>
      <c r="H254">
        <f t="shared" si="38"/>
        <v>1</v>
      </c>
      <c r="I254">
        <f t="shared" si="45"/>
        <v>0.75</v>
      </c>
      <c r="J254">
        <f t="shared" si="39"/>
        <v>0.33333333333333343</v>
      </c>
      <c r="K254">
        <f t="shared" si="43"/>
        <v>-1.4824923359101063E-2</v>
      </c>
      <c r="L254">
        <f t="shared" si="40"/>
        <v>1</v>
      </c>
      <c r="M254">
        <f t="shared" si="44"/>
        <v>0.41666666666666669</v>
      </c>
      <c r="N254">
        <f t="shared" si="41"/>
        <v>0</v>
      </c>
      <c r="O254">
        <f t="shared" si="42"/>
        <v>0.33333333333333331</v>
      </c>
      <c r="P254">
        <f>IFERROR(LN('Дивиденды по годам'!I254),"")</f>
        <v>26.54913614239263</v>
      </c>
      <c r="Q254">
        <f>IFERROR('Дивиденды по годам'!G254/'Дивиденды по годам'!I254, "")</f>
        <v>0.80767415239736129</v>
      </c>
      <c r="R254">
        <f>IFERROR(IF(AND('Дивиденды по годам'!N254&lt;&gt;"",'Дивиденды по годам'!U254&lt;&gt;"",'Дивиденды по годам'!U254&lt;&gt;0),'Дивиденды по годам'!N254/'Дивиденды по годам'!U254-1,""),"")</f>
        <v>-3.0291652613291253E-3</v>
      </c>
      <c r="S254" t="str">
        <f>IFERROR(IF(AND('Дивиденды по годам'!L254&lt;&gt;"",'Дивиденды по годам'!I254&lt;&gt;"",'Дивиденды по годам'!J254&lt;&gt;"",'Дивиденды по годам'!K254&lt;&gt;"",('Дивиденды по годам'!I254-'Дивиденды по годам'!J254-'Дивиденды по годам'!K254)&lt;&gt;0),'Дивиденды по годам'!L254/('Дивиденды по годам'!I254-'Дивиденды по годам'!J254-'Дивиденды по годам'!K254),""),"")</f>
        <v/>
      </c>
      <c r="T254">
        <f>IFERROR(IF(AND('Дивиденды по годам'!Q254&lt;&gt;"",'Дивиденды по годам'!I254&lt;&gt;"",'Дивиденды по годам'!V254&lt;&gt;"",('Дивиденды по годам'!I254+'Дивиденды по годам'!V254)&lt;&gt;0),'Дивиденды по годам'!Q254/(('Дивиденды по годам'!I254+'Дивиденды по годам'!V254)/2),""),"")</f>
        <v>2.4671171913631121E-2</v>
      </c>
      <c r="U254">
        <f>IFERROR(IF(AND('Дивиденды по годам'!J254&lt;&gt;"",'Дивиденды по годам'!K254&lt;&gt;"",'Дивиденды по годам'!M254&lt;&gt;"",'Дивиденды по годам'!M254&lt;&gt;0),('Дивиденды по годам'!J254+'Дивиденды по годам'!K254)/'Дивиденды по годам'!M254,""),"")</f>
        <v>0.30808920859977695</v>
      </c>
      <c r="V254" cm="1">
        <f t="array" ref="V254">IFERROR(AVERAGE(_xlfn._xlws.FILTER(P$2:P$1073,($C$2:$C$1073=$C254)*($E$2:$E$1073=$E254)*(ROW(P$2:P$1073)&lt;&gt;ROW(P254))*(P$2:P$1073&lt;&gt;""))),"")</f>
        <v>26.063850017076323</v>
      </c>
      <c r="W254" cm="1">
        <f t="array" ref="W254">IFERROR(AVERAGE(_xlfn._xlws.FILTER(Q$2:Q$1073,($C$2:$C$1073=$C254)*($E$2:$E$1073=$E254)*(ROW(Q$2:Q$1073)&lt;&gt;ROW(Q254))*(Q$2:Q$1073&lt;&gt;""))),"")</f>
        <v>0.7803651973588499</v>
      </c>
      <c r="X254" cm="1">
        <f t="array" ref="X254">IFERROR(AVERAGE(_xlfn._xlws.FILTER(R$2:R$1073,($C$2:$C$1073=$C254)*($E$2:$E$1073=$E254)*(ROW(R$2:R$1073)&lt;&gt;ROW(R254))*(R$2:R$1073&lt;&gt;""))),"")</f>
        <v>0.10898667599524438</v>
      </c>
      <c r="Y254" cm="1">
        <f t="array" ref="Y254">IFERROR(AVERAGE(_xlfn._xlws.FILTER(S$2:S$1073,($C$2:$C$1073=$C254)*($E$2:$E$1073=$E254)*(ROW(S$2:S$1073)&lt;&gt;ROW(S254))*(S$2:S$1073&lt;&gt;""))),"")</f>
        <v>0.4636519590056305</v>
      </c>
      <c r="Z254" cm="1">
        <f t="array" ref="Z254">IFERROR(AVERAGE(_xlfn._xlws.FILTER(T$2:T$1073,($C$2:$C$1073=$C254)*($E$2:$E$1073=$E254)*(ROW(T$2:T$1073)&lt;&gt;ROW(T254))*(T$2:T$1073&lt;&gt;""))),"")</f>
        <v>-8.16652480062071E-3</v>
      </c>
      <c r="AA254" cm="1">
        <f t="array" ref="AA254">IFERROR(AVERAGE(_xlfn._xlws.FILTER(U$2:U$1073,($C$2:$C$1073=$C254)*($E$2:$E$1073=$E254)*(ROW(U$2:U$1073)&lt;&gt;ROW(U254))*(U$2:U$1073&lt;&gt;""))),"")</f>
        <v>0.71408355561327674</v>
      </c>
    </row>
    <row r="255" spans="1:27" x14ac:dyDescent="0.2">
      <c r="A255" s="7" t="s">
        <v>2208</v>
      </c>
      <c r="B255" t="str">
        <f t="shared" si="35"/>
        <v>MSNG IV кв. 2012</v>
      </c>
      <c r="C255">
        <v>2012</v>
      </c>
      <c r="D255">
        <f>SUMIFS(Дивиденды!$C:$C,Дивиденды!$A:$A,A255,Дивиденды!$I:$I,C255)</f>
        <v>0.03</v>
      </c>
      <c r="E255">
        <v>2</v>
      </c>
      <c r="F255">
        <f t="shared" si="36"/>
        <v>0.03</v>
      </c>
      <c r="G255">
        <f t="shared" si="37"/>
        <v>3.466233333333333E-2</v>
      </c>
      <c r="H255">
        <f t="shared" si="38"/>
        <v>1</v>
      </c>
      <c r="I255">
        <f t="shared" si="45"/>
        <v>0.66666666666666663</v>
      </c>
      <c r="J255">
        <f t="shared" si="39"/>
        <v>0</v>
      </c>
      <c r="K255">
        <f t="shared" si="43"/>
        <v>0.74080204300683228</v>
      </c>
      <c r="L255">
        <f t="shared" si="40"/>
        <v>0</v>
      </c>
      <c r="M255">
        <f t="shared" si="44"/>
        <v>0.58333333333333337</v>
      </c>
      <c r="N255">
        <f t="shared" si="41"/>
        <v>0</v>
      </c>
      <c r="O255">
        <f t="shared" si="42"/>
        <v>0.16666666666666666</v>
      </c>
      <c r="P255">
        <f>IFERROR(LN('Дивиденды по годам'!I255),"")</f>
        <v>26.3132971370596</v>
      </c>
      <c r="Q255">
        <f>IFERROR('Дивиденды по годам'!G255/'Дивиденды по годам'!I255, "")</f>
        <v>0.71107849288872949</v>
      </c>
      <c r="R255">
        <f>IFERROR(IF(AND('Дивиденды по годам'!N255&lt;&gt;"",'Дивиденды по годам'!U255&lt;&gt;"",'Дивиденды по годам'!U255&lt;&gt;0),'Дивиденды по годам'!N255/'Дивиденды по годам'!U255-1,""),"")</f>
        <v>-2.4702238717966174E-2</v>
      </c>
      <c r="S255" t="str">
        <f>IFERROR(IF(AND('Дивиденды по годам'!L255&lt;&gt;"",'Дивиденды по годам'!I255&lt;&gt;"",'Дивиденды по годам'!J255&lt;&gt;"",'Дивиденды по годам'!K255&lt;&gt;"",('Дивиденды по годам'!I255-'Дивиденды по годам'!J255-'Дивиденды по годам'!K255)&lt;&gt;0),'Дивиденды по годам'!L255/('Дивиденды по годам'!I255-'Дивиденды по годам'!J255-'Дивиденды по годам'!K255),""),"")</f>
        <v/>
      </c>
      <c r="T255">
        <f>IFERROR(IF(AND('Дивиденды по годам'!Q255&lt;&gt;"",'Дивиденды по годам'!I255&lt;&gt;"",'Дивиденды по годам'!V255&lt;&gt;"",('Дивиденды по годам'!I255+'Дивиденды по годам'!V255)&lt;&gt;0),'Дивиденды по годам'!Q255/(('Дивиденды по годам'!I255+'Дивиденды по годам'!V255)/2),""),"")</f>
        <v>2.3826544566314261E-2</v>
      </c>
      <c r="U255">
        <f>IFERROR(IF(AND('Дивиденды по годам'!J255&lt;&gt;"",'Дивиденды по годам'!K255&lt;&gt;"",'Дивиденды по годам'!M255&lt;&gt;"",'Дивиденды по годам'!M255&lt;&gt;0),('Дивиденды по годам'!J255+'Дивиденды по годам'!K255)/'Дивиденды по годам'!M255,""),"")</f>
        <v>0.30202882763718414</v>
      </c>
      <c r="V255" cm="1">
        <f t="array" ref="V255">IFERROR(AVERAGE(_xlfn._xlws.FILTER(P$2:P$1073,($C$2:$C$1073=$C255)*($E$2:$E$1073=$E255)*(ROW(P$2:P$1073)&lt;&gt;ROW(P255))*(P$2:P$1073&lt;&gt;""))),"")</f>
        <v>26.083546419598399</v>
      </c>
      <c r="W255" cm="1">
        <f t="array" ref="W255">IFERROR(AVERAGE(_xlfn._xlws.FILTER(Q$2:Q$1073,($C$2:$C$1073=$C255)*($E$2:$E$1073=$E255)*(ROW(Q$2:Q$1073)&lt;&gt;ROW(Q255))*(Q$2:Q$1073&lt;&gt;""))),"")</f>
        <v>0.78436947009260205</v>
      </c>
      <c r="X255" cm="1">
        <f t="array" ref="X255">IFERROR(AVERAGE(_xlfn._xlws.FILTER(R$2:R$1073,($C$2:$C$1073=$C255)*($E$2:$E$1073=$E255)*(ROW(R$2:R$1073)&lt;&gt;ROW(R255))*(R$2:R$1073&lt;&gt;""))),"")</f>
        <v>-1.4875264536896372E-2</v>
      </c>
      <c r="Y255" cm="1">
        <f t="array" ref="Y255">IFERROR(AVERAGE(_xlfn._xlws.FILTER(S$2:S$1073,($C$2:$C$1073=$C255)*($E$2:$E$1073=$E255)*(ROW(S$2:S$1073)&lt;&gt;ROW(S255))*(S$2:S$1073&lt;&gt;""))),"")</f>
        <v>0.44715527647269881</v>
      </c>
      <c r="Z255" cm="1">
        <f t="array" ref="Z255">IFERROR(AVERAGE(_xlfn._xlws.FILTER(T$2:T$1073,($C$2:$C$1073=$C255)*($E$2:$E$1073=$E255)*(ROW(T$2:T$1073)&lt;&gt;ROW(T255))*(T$2:T$1073&lt;&gt;""))),"")</f>
        <v>1.8965201399117844E-2</v>
      </c>
      <c r="AA255" cm="1">
        <f t="array" ref="AA255">IFERROR(AVERAGE(_xlfn._xlws.FILTER(U$2:U$1073,($C$2:$C$1073=$C255)*($E$2:$E$1073=$E255)*(ROW(U$2:U$1073)&lt;&gt;ROW(U255))*(U$2:U$1073&lt;&gt;""))),"")</f>
        <v>0.68627678450999463</v>
      </c>
    </row>
    <row r="256" spans="1:27" x14ac:dyDescent="0.2">
      <c r="A256" s="7" t="s">
        <v>2208</v>
      </c>
      <c r="B256" t="str">
        <f t="shared" si="35"/>
        <v>MSNG IV кв. 2011</v>
      </c>
      <c r="C256">
        <v>2011</v>
      </c>
      <c r="D256">
        <f>SUMIFS(Дивиденды!$C:$C,Дивиденды!$A:$A,A256,Дивиденды!$I:$I,C256)</f>
        <v>0.03</v>
      </c>
      <c r="E256">
        <v>2</v>
      </c>
      <c r="F256">
        <f t="shared" si="36"/>
        <v>0.03</v>
      </c>
      <c r="G256">
        <f t="shared" si="37"/>
        <v>9.046750000000001E-3</v>
      </c>
      <c r="H256">
        <f t="shared" si="38"/>
        <v>1</v>
      </c>
      <c r="I256">
        <f t="shared" si="45"/>
        <v>0.75</v>
      </c>
      <c r="J256">
        <f t="shared" si="39"/>
        <v>0.49999999999999989</v>
      </c>
      <c r="K256">
        <f t="shared" si="43"/>
        <v>9.1035832694607577E-3</v>
      </c>
      <c r="L256">
        <f t="shared" si="40"/>
        <v>1</v>
      </c>
      <c r="M256">
        <f t="shared" si="44"/>
        <v>0.41666666666666669</v>
      </c>
      <c r="N256">
        <f t="shared" si="41"/>
        <v>0</v>
      </c>
      <c r="O256">
        <f t="shared" si="42"/>
        <v>0.41666666666666669</v>
      </c>
      <c r="P256">
        <f>IFERROR(LN('Дивиденды по годам'!I256),"")</f>
        <v>26.293215921301883</v>
      </c>
      <c r="Q256">
        <f>IFERROR('Дивиденды по годам'!G256/'Дивиденды по годам'!I256, "")</f>
        <v>0.70609821622507341</v>
      </c>
      <c r="R256" t="str">
        <f>IFERROR(IF(AND('Дивиденды по годам'!N256&lt;&gt;"",'Дивиденды по годам'!U256&lt;&gt;"",'Дивиденды по годам'!U256&lt;&gt;0),'Дивиденды по годам'!N256/'Дивиденды по годам'!U256-1,""),"")</f>
        <v/>
      </c>
      <c r="S256" t="str">
        <f>IFERROR(IF(AND('Дивиденды по годам'!L256&lt;&gt;"",'Дивиденды по годам'!I256&lt;&gt;"",'Дивиденды по годам'!J256&lt;&gt;"",'Дивиденды по годам'!K256&lt;&gt;"",('Дивиденды по годам'!I256-'Дивиденды по годам'!J256-'Дивиденды по годам'!K256)&lt;&gt;0),'Дивиденды по годам'!L256/('Дивиденды по годам'!I256-'Дивиденды по годам'!J256-'Дивиденды по годам'!K256),""),"")</f>
        <v/>
      </c>
      <c r="T256" t="str">
        <f>IFERROR(IF(AND('Дивиденды по годам'!Q256&lt;&gt;"",'Дивиденды по годам'!I256&lt;&gt;"",'Дивиденды по годам'!V256&lt;&gt;"",('Дивиденды по годам'!I256+'Дивиденды по годам'!V256)&lt;&gt;0),'Дивиденды по годам'!Q256/(('Дивиденды по годам'!I256+'Дивиденды по годам'!V256)/2),""),"")</f>
        <v/>
      </c>
      <c r="U256">
        <f>IFERROR(IF(AND('Дивиденды по годам'!J256&lt;&gt;"",'Дивиденды по годам'!K256&lt;&gt;"",'Дивиденды по годам'!M256&lt;&gt;"",'Дивиденды по годам'!M256&lt;&gt;0),('Дивиденды по годам'!J256+'Дивиденды по годам'!K256)/'Дивиденды по годам'!M256,""),"")</f>
        <v>0.31188853839116548</v>
      </c>
      <c r="V256" cm="1">
        <f t="array" ref="V256">IFERROR(AVERAGE(_xlfn._xlws.FILTER(P$2:P$1073,($C$2:$C$1073=$C256)*($E$2:$E$1073=$E256)*(ROW(P$2:P$1073)&lt;&gt;ROW(P256))*(P$2:P$1073&lt;&gt;""))),"")</f>
        <v>26.128541878190109</v>
      </c>
      <c r="W256" cm="1">
        <f t="array" ref="W256">IFERROR(AVERAGE(_xlfn._xlws.FILTER(Q$2:Q$1073,($C$2:$C$1073=$C256)*($E$2:$E$1073=$E256)*(ROW(Q$2:Q$1073)&lt;&gt;ROW(Q256))*(Q$2:Q$1073&lt;&gt;""))),"")</f>
        <v>0.77337213802161597</v>
      </c>
      <c r="X256" cm="1">
        <f t="array" ref="X256">IFERROR(AVERAGE(_xlfn._xlws.FILTER(R$2:R$1073,($C$2:$C$1073=$C256)*($E$2:$E$1073=$E256)*(ROW(R$2:R$1073)&lt;&gt;ROW(R256))*(R$2:R$1073&lt;&gt;""))),"")</f>
        <v>0.14348983045887875</v>
      </c>
      <c r="Y256" cm="1">
        <f t="array" ref="Y256">IFERROR(AVERAGE(_xlfn._xlws.FILTER(S$2:S$1073,($C$2:$C$1073=$C256)*($E$2:$E$1073=$E256)*(ROW(S$2:S$1073)&lt;&gt;ROW(S256))*(S$2:S$1073&lt;&gt;""))),"")</f>
        <v>0.39850050246333968</v>
      </c>
      <c r="Z256" cm="1">
        <f t="array" ref="Z256">IFERROR(AVERAGE(_xlfn._xlws.FILTER(T$2:T$1073,($C$2:$C$1073=$C256)*($E$2:$E$1073=$E256)*(ROW(T$2:T$1073)&lt;&gt;ROW(T256))*(T$2:T$1073&lt;&gt;""))),"")</f>
        <v>4.5214358774442007E-2</v>
      </c>
      <c r="AA256" cm="1">
        <f t="array" ref="AA256">IFERROR(AVERAGE(_xlfn._xlws.FILTER(U$2:U$1073,($C$2:$C$1073=$C256)*($E$2:$E$1073=$E256)*(ROW(U$2:U$1073)&lt;&gt;ROW(U256))*(U$2:U$1073&lt;&gt;""))),"")</f>
        <v>0.62612973620497747</v>
      </c>
    </row>
    <row r="257" spans="1:27" x14ac:dyDescent="0.2">
      <c r="A257" s="7" t="s">
        <v>2208</v>
      </c>
      <c r="B257" t="str">
        <f t="shared" si="35"/>
        <v>MSNG IV кв. 2010</v>
      </c>
      <c r="C257">
        <v>2010</v>
      </c>
      <c r="D257">
        <f>SUMIFS(Дивиденды!$C:$C,Дивиденды!$A:$A,A257,Дивиденды!$I:$I,C257)</f>
        <v>0.02</v>
      </c>
      <c r="E257">
        <v>2</v>
      </c>
      <c r="F257">
        <f t="shared" si="36"/>
        <v>0.02</v>
      </c>
      <c r="G257">
        <f t="shared" si="37"/>
        <v>4.8951666666666666E-3</v>
      </c>
      <c r="H257">
        <f t="shared" si="38"/>
        <v>1</v>
      </c>
      <c r="I257">
        <f t="shared" si="45"/>
        <v>0.75</v>
      </c>
      <c r="J257" t="str">
        <f t="shared" si="39"/>
        <v/>
      </c>
      <c r="K257" t="str">
        <f t="shared" si="43"/>
        <v/>
      </c>
      <c r="L257" t="str">
        <f t="shared" si="40"/>
        <v/>
      </c>
      <c r="M257" t="str">
        <f t="shared" si="44"/>
        <v/>
      </c>
      <c r="N257" t="str">
        <f t="shared" si="41"/>
        <v/>
      </c>
      <c r="O257" t="str">
        <f t="shared" si="42"/>
        <v/>
      </c>
      <c r="P257" t="str">
        <f>IFERROR(LN('Дивиденды по годам'!I257),"")</f>
        <v/>
      </c>
      <c r="Q257" t="str">
        <f>IFERROR('Дивиденды по годам'!G257/'Дивиденды по годам'!I257, "")</f>
        <v/>
      </c>
      <c r="R257" t="str">
        <f>IFERROR(IF(AND('Дивиденды по годам'!N257&lt;&gt;"",'Дивиденды по годам'!U257&lt;&gt;"",'Дивиденды по годам'!U257&lt;&gt;0),'Дивиденды по годам'!N257/'Дивиденды по годам'!U257-1,""),"")</f>
        <v/>
      </c>
      <c r="S257" t="str">
        <f>IFERROR(IF(AND('Дивиденды по годам'!L257&lt;&gt;"",'Дивиденды по годам'!I257&lt;&gt;"",'Дивиденды по годам'!J257&lt;&gt;"",'Дивиденды по годам'!K257&lt;&gt;"",('Дивиденды по годам'!I257-'Дивиденды по годам'!J257-'Дивиденды по годам'!K257)&lt;&gt;0),'Дивиденды по годам'!L257/('Дивиденды по годам'!I257-'Дивиденды по годам'!J257-'Дивиденды по годам'!K257),""),"")</f>
        <v/>
      </c>
      <c r="T257" t="str">
        <f>IFERROR(IF(AND('Дивиденды по годам'!Q257&lt;&gt;"",'Дивиденды по годам'!I257&lt;&gt;"",'Дивиденды по годам'!V257&lt;&gt;"",('Дивиденды по годам'!I257+'Дивиденды по годам'!V257)&lt;&gt;0),'Дивиденды по годам'!Q257/(('Дивиденды по годам'!I257+'Дивиденды по годам'!V257)/2),""),"")</f>
        <v/>
      </c>
      <c r="U257" t="str">
        <f>IFERROR(IF(AND('Дивиденды по годам'!J257&lt;&gt;"",'Дивиденды по годам'!K257&lt;&gt;"",'Дивиденды по годам'!M257&lt;&gt;"",'Дивиденды по годам'!M257&lt;&gt;0),('Дивиденды по годам'!J257+'Дивиденды по годам'!K257)/'Дивиденды по годам'!M257,""),"")</f>
        <v/>
      </c>
      <c r="V257" cm="1">
        <f t="array" ref="V257">IFERROR(AVERAGE(_xlfn._xlws.FILTER(P$2:P$1073,($C$2:$C$1073=$C257)*($E$2:$E$1073=$E257)*(ROW(P$2:P$1073)&lt;&gt;ROW(P257))*(P$2:P$1073&lt;&gt;""))),"")</f>
        <v>24.730948088520865</v>
      </c>
      <c r="W257" cm="1">
        <f t="array" ref="W257">IFERROR(AVERAGE(_xlfn._xlws.FILTER(Q$2:Q$1073,($C$2:$C$1073=$C257)*($E$2:$E$1073=$E257)*(ROW(Q$2:Q$1073)&lt;&gt;ROW(Q257))*(Q$2:Q$1073&lt;&gt;""))),"")</f>
        <v>0.82035195639515091</v>
      </c>
      <c r="X257" t="str" cm="1">
        <f t="array" ref="X257">IFERROR(AVERAGE(_xlfn._xlws.FILTER(R$2:R$1073,($C$2:$C$1073=$C257)*($E$2:$E$1073=$E257)*(ROW(R$2:R$1073)&lt;&gt;ROW(R257))*(R$2:R$1073&lt;&gt;""))),"")</f>
        <v/>
      </c>
      <c r="Y257" t="str" cm="1">
        <f t="array" ref="Y257">IFERROR(AVERAGE(_xlfn._xlws.FILTER(S$2:S$1073,($C$2:$C$1073=$C257)*($E$2:$E$1073=$E257)*(ROW(S$2:S$1073)&lt;&gt;ROW(S257))*(S$2:S$1073&lt;&gt;""))),"")</f>
        <v/>
      </c>
      <c r="Z257" t="str" cm="1">
        <f t="array" ref="Z257">IFERROR(AVERAGE(_xlfn._xlws.FILTER(T$2:T$1073,($C$2:$C$1073=$C257)*($E$2:$E$1073=$E257)*(ROW(T$2:T$1073)&lt;&gt;ROW(T257))*(T$2:T$1073&lt;&gt;""))),"")</f>
        <v/>
      </c>
      <c r="AA257" cm="1">
        <f t="array" ref="AA257">IFERROR(AVERAGE(_xlfn._xlws.FILTER(U$2:U$1073,($C$2:$C$1073=$C257)*($E$2:$E$1073=$E257)*(ROW(U$2:U$1073)&lt;&gt;ROW(U257))*(U$2:U$1073&lt;&gt;""))),"")</f>
        <v>0.91314375247969903</v>
      </c>
    </row>
    <row r="258" spans="1:27" x14ac:dyDescent="0.2">
      <c r="A258" s="7" t="s">
        <v>2210</v>
      </c>
      <c r="B258" t="str">
        <f t="shared" si="35"/>
        <v>MSRS IV кв. 2025</v>
      </c>
      <c r="C258">
        <v>2025</v>
      </c>
      <c r="D258">
        <f>SUMIFS(Дивиденды!$C:$C,Дивиденды!$A:$A,A258,Дивиденды!$I:$I,C258)</f>
        <v>0</v>
      </c>
      <c r="E258">
        <v>2</v>
      </c>
      <c r="F258">
        <f t="shared" si="36"/>
        <v>0</v>
      </c>
      <c r="G258">
        <f t="shared" si="37"/>
        <v>0</v>
      </c>
      <c r="H258">
        <f t="shared" si="38"/>
        <v>0</v>
      </c>
      <c r="I258">
        <f t="shared" si="45"/>
        <v>0</v>
      </c>
      <c r="J258">
        <f t="shared" si="39"/>
        <v>-1</v>
      </c>
      <c r="K258">
        <f t="shared" si="43"/>
        <v>-0.5</v>
      </c>
      <c r="L258">
        <f t="shared" si="40"/>
        <v>0</v>
      </c>
      <c r="M258">
        <f t="shared" si="44"/>
        <v>0</v>
      </c>
      <c r="N258">
        <f t="shared" si="41"/>
        <v>1</v>
      </c>
      <c r="O258">
        <f t="shared" si="42"/>
        <v>0.5</v>
      </c>
      <c r="P258">
        <f>IFERROR(LN('Дивиденды по годам'!I258),"")</f>
        <v>27.081764475516895</v>
      </c>
      <c r="Q258">
        <f>IFERROR('Дивиденды по годам'!G258/'Дивиденды по годам'!I258, "")</f>
        <v>0.86576644110575507</v>
      </c>
      <c r="R258">
        <f>IFERROR(IF(AND('Дивиденды по годам'!N258&lt;&gt;"",'Дивиденды по годам'!U258&lt;&gt;"",'Дивиденды по годам'!U258&lt;&gt;0),'Дивиденды по годам'!N258/'Дивиденды по годам'!U258-1,""),"")</f>
        <v>0.14446078670951201</v>
      </c>
      <c r="S258">
        <f>IFERROR(IF(AND('Дивиденды по годам'!L258&lt;&gt;"",'Дивиденды по годам'!I258&lt;&gt;"",'Дивиденды по годам'!J258&lt;&gt;"",'Дивиденды по годам'!K258&lt;&gt;"",('Дивиденды по годам'!I258-'Дивиденды по годам'!J258-'Дивиденды по годам'!K258)&lt;&gt;0),'Дивиденды по годам'!L258/('Дивиденды по годам'!I258-'Дивиденды по годам'!J258-'Дивиденды по годам'!K258),""),"")</f>
        <v>0.90540085387478686</v>
      </c>
      <c r="T258">
        <f>IFERROR(IF(AND('Дивиденды по годам'!Q258&lt;&gt;"",'Дивиденды по годам'!I258&lt;&gt;"",'Дивиденды по годам'!V258&lt;&gt;"",('Дивиденды по годам'!I258+'Дивиденды по годам'!V258)&lt;&gt;0),'Дивиденды по годам'!Q258/(('Дивиденды по годам'!I258+'Дивиденды по годам'!V258)/2),""),"")</f>
        <v>7.7528229436738372E-2</v>
      </c>
      <c r="U258">
        <f>IFERROR(IF(AND('Дивиденды по годам'!J258&lt;&gt;"",'Дивиденды по годам'!K258&lt;&gt;"",'Дивиденды по годам'!M258&lt;&gt;"",'Дивиденды по годам'!M258&lt;&gt;0),('Дивиденды по годам'!J258+'Дивиденды по годам'!K258)/'Дивиденды по годам'!M258,""),"")</f>
        <v>1.2427759101428866</v>
      </c>
      <c r="V258" cm="1">
        <f t="array" ref="V258">IFERROR(AVERAGE(_xlfn._xlws.FILTER(P$2:P$1073,($C$2:$C$1073=$C258)*($E$2:$E$1073=$E258)*(ROW(P$2:P$1073)&lt;&gt;ROW(P258))*(P$2:P$1073&lt;&gt;""))),"")</f>
        <v>26.508226308275848</v>
      </c>
      <c r="W258" cm="1">
        <f t="array" ref="W258">IFERROR(AVERAGE(_xlfn._xlws.FILTER(Q$2:Q$1073,($C$2:$C$1073=$C258)*($E$2:$E$1073=$E258)*(ROW(Q$2:Q$1073)&lt;&gt;ROW(Q258))*(Q$2:Q$1073&lt;&gt;""))),"")</f>
        <v>0.6507158075488757</v>
      </c>
      <c r="X258" cm="1">
        <f t="array" ref="X258">IFERROR(AVERAGE(_xlfn._xlws.FILTER(R$2:R$1073,($C$2:$C$1073=$C258)*($E$2:$E$1073=$E258)*(ROW(R$2:R$1073)&lt;&gt;ROW(R258))*(R$2:R$1073&lt;&gt;""))),"")</f>
        <v>0.18122129636560605</v>
      </c>
      <c r="Y258" cm="1">
        <f t="array" ref="Y258">IFERROR(AVERAGE(_xlfn._xlws.FILTER(S$2:S$1073,($C$2:$C$1073=$C258)*($E$2:$E$1073=$E258)*(ROW(S$2:S$1073)&lt;&gt;ROW(S258))*(S$2:S$1073&lt;&gt;""))),"")</f>
        <v>0.731271191855421</v>
      </c>
      <c r="Z258" cm="1">
        <f t="array" ref="Z258">IFERROR(AVERAGE(_xlfn._xlws.FILTER(T$2:T$1073,($C$2:$C$1073=$C258)*($E$2:$E$1073=$E258)*(ROW(T$2:T$1073)&lt;&gt;ROW(T258))*(T$2:T$1073&lt;&gt;""))),"")</f>
        <v>0.10670837277477195</v>
      </c>
      <c r="AA258" cm="1">
        <f t="array" ref="AA258">IFERROR(AVERAGE(_xlfn._xlws.FILTER(U$2:U$1073,($C$2:$C$1073=$C258)*($E$2:$E$1073=$E258)*(ROW(U$2:U$1073)&lt;&gt;ROW(U258))*(U$2:U$1073&lt;&gt;""))),"")</f>
        <v>0.83886220464237826</v>
      </c>
    </row>
    <row r="259" spans="1:27" x14ac:dyDescent="0.2">
      <c r="A259" s="7" t="s">
        <v>2210</v>
      </c>
      <c r="B259" t="str">
        <f t="shared" ref="B259:B322" si="46">A259&amp;" "&amp;
"IV"
&amp;" кв. "&amp;C259</f>
        <v>MSRS IV кв. 2024</v>
      </c>
      <c r="C259">
        <v>2024</v>
      </c>
      <c r="D259">
        <f>SUMIFS(Дивиденды!$C:$C,Дивиденды!$A:$A,A259,Дивиденды!$I:$I,C259)</f>
        <v>0.15</v>
      </c>
      <c r="E259">
        <v>2</v>
      </c>
      <c r="F259">
        <f t="shared" ref="F259:F322" si="47">D259</f>
        <v>0.15</v>
      </c>
      <c r="G259">
        <f t="shared" ref="G259:G322" si="48">AVERAGEIFS($D:$D,$E:$E,E259,$C:$C,C259,$A:$A,"&lt;&gt;"&amp;A259)</f>
        <v>5.0899999999999994E-2</v>
      </c>
      <c r="H259">
        <f t="shared" ref="H259:H322" si="49">IF(D259&gt;0,1,0)</f>
        <v>1</v>
      </c>
      <c r="I259">
        <f t="shared" si="45"/>
        <v>0.5</v>
      </c>
      <c r="J259">
        <f t="shared" ref="J259:J322" si="50">IF(A260&lt;&gt;A259,"",IF(D259=D260,0,IF(AND(D260=0,D259&lt;&gt;0), 1,(D259-D260)/D260)))</f>
        <v>7.1428571428571286E-2</v>
      </c>
      <c r="K259">
        <f t="shared" si="43"/>
        <v>8.020827249062322E-2</v>
      </c>
      <c r="L259">
        <f t="shared" ref="L259:L322" si="51">IF(J259&lt;&gt;"",IF(J259&gt;0,1,0),"")</f>
        <v>1</v>
      </c>
      <c r="M259">
        <f t="shared" si="44"/>
        <v>0.5</v>
      </c>
      <c r="N259">
        <f t="shared" ref="N259:N322" si="52">IF(J259&lt;&gt;"",IF(J259&lt;0,1,0),"")</f>
        <v>0</v>
      </c>
      <c r="O259">
        <f t="shared" ref="O259:O322" si="53">IFERROR(AVERAGEIFS($N:$N,$E:$E,E259,$C:$C,C259,$A:$A,"&lt;&gt;"&amp;A259),"")</f>
        <v>8.3333333333333329E-2</v>
      </c>
      <c r="P259">
        <f>IFERROR(LN('Дивиденды по годам'!I259),"")</f>
        <v>26.938597519518439</v>
      </c>
      <c r="Q259">
        <f>IFERROR('Дивиденды по годам'!G259/'Дивиденды по годам'!I259, "")</f>
        <v>0.84821605620058338</v>
      </c>
      <c r="R259">
        <f>IFERROR(IF(AND('Дивиденды по годам'!N259&lt;&gt;"",'Дивиденды по годам'!U259&lt;&gt;"",'Дивиденды по годам'!U259&lt;&gt;0),'Дивиденды по годам'!N259/'Дивиденды по годам'!U259-1,""),"")</f>
        <v>8.5812354464640972E-2</v>
      </c>
      <c r="S259">
        <f>IFERROR(IF(AND('Дивиденды по годам'!L259&lt;&gt;"",'Дивиденды по годам'!I259&lt;&gt;"",'Дивиденды по годам'!J259&lt;&gt;"",'Дивиденды по годам'!K259&lt;&gt;"",('Дивиденды по годам'!I259-'Дивиденды по годам'!J259-'Дивиденды по годам'!K259)&lt;&gt;0),'Дивиденды по годам'!L259/('Дивиденды по годам'!I259-'Дивиденды по годам'!J259-'Дивиденды по годам'!K259),""),"")</f>
        <v>0.89088486741455519</v>
      </c>
      <c r="T259">
        <f>IFERROR(IF(AND('Дивиденды по годам'!Q259&lt;&gt;"",'Дивиденды по годам'!I259&lt;&gt;"",'Дивиденды по годам'!V259&lt;&gt;"",('Дивиденды по годам'!I259+'Дивиденды по годам'!V259)&lt;&gt;0),'Дивиденды по годам'!Q259/(('Дивиденды по годам'!I259+'Дивиденды по годам'!V259)/2),""),"")</f>
        <v>2.9530773694809206E-2</v>
      </c>
      <c r="U259">
        <f>IFERROR(IF(AND('Дивиденды по годам'!J259&lt;&gt;"",'Дивиденды по годам'!K259&lt;&gt;"",'Дивиденды по годам'!M259&lt;&gt;"",'Дивиденды по годам'!M259&lt;&gt;0),('Дивиденды по годам'!J259+'Дивиденды по годам'!K259)/'Дивиденды по годам'!M259,""),"")</f>
        <v>1.2418524829547664</v>
      </c>
      <c r="V259" cm="1">
        <f t="array" ref="V259">IFERROR(AVERAGE(_xlfn._xlws.FILTER(P$2:P$1073,($C$2:$C$1073=$C259)*($E$2:$E$1073=$E259)*(ROW(P$2:P$1073)&lt;&gt;ROW(P259))*(P$2:P$1073&lt;&gt;""))),"")</f>
        <v>26.485178458895362</v>
      </c>
      <c r="W259" cm="1">
        <f t="array" ref="W259">IFERROR(AVERAGE(_xlfn._xlws.FILTER(Q$2:Q$1073,($C$2:$C$1073=$C259)*($E$2:$E$1073=$E259)*(ROW(Q$2:Q$1073)&lt;&gt;ROW(Q259))*(Q$2:Q$1073&lt;&gt;""))),"")</f>
        <v>0.67128202285013094</v>
      </c>
      <c r="X259" cm="1">
        <f t="array" ref="X259">IFERROR(AVERAGE(_xlfn._xlws.FILTER(R$2:R$1073,($C$2:$C$1073=$C259)*($E$2:$E$1073=$E259)*(ROW(R$2:R$1073)&lt;&gt;ROW(R259))*(R$2:R$1073&lt;&gt;""))),"")</f>
        <v>0.10083920641466787</v>
      </c>
      <c r="Y259" cm="1">
        <f t="array" ref="Y259">IFERROR(AVERAGE(_xlfn._xlws.FILTER(S$2:S$1073,($C$2:$C$1073=$C259)*($E$2:$E$1073=$E259)*(ROW(S$2:S$1073)&lt;&gt;ROW(S259))*(S$2:S$1073&lt;&gt;""))),"")</f>
        <v>0.52659289041154922</v>
      </c>
      <c r="Z259" cm="1">
        <f t="array" ref="Z259">IFERROR(AVERAGE(_xlfn._xlws.FILTER(T$2:T$1073,($C$2:$C$1073=$C259)*($E$2:$E$1073=$E259)*(ROW(T$2:T$1073)&lt;&gt;ROW(T259))*(T$2:T$1073&lt;&gt;""))),"")</f>
        <v>6.0407037489168806E-2</v>
      </c>
      <c r="AA259" cm="1">
        <f t="array" ref="AA259">IFERROR(AVERAGE(_xlfn._xlws.FILTER(U$2:U$1073,($C$2:$C$1073=$C259)*($E$2:$E$1073=$E259)*(ROW(U$2:U$1073)&lt;&gt;ROW(U259))*(U$2:U$1073&lt;&gt;""))),"")</f>
        <v>0.89757379608766064</v>
      </c>
    </row>
    <row r="260" spans="1:27" x14ac:dyDescent="0.2">
      <c r="A260" s="7" t="s">
        <v>2210</v>
      </c>
      <c r="B260" t="str">
        <f t="shared" si="46"/>
        <v>MSRS IV кв. 2023</v>
      </c>
      <c r="C260">
        <v>2023</v>
      </c>
      <c r="D260">
        <f>SUMIFS(Дивиденды!$C:$C,Дивиденды!$A:$A,A260,Дивиденды!$I:$I,C260)</f>
        <v>0.14000000000000001</v>
      </c>
      <c r="E260">
        <v>2</v>
      </c>
      <c r="F260">
        <f t="shared" si="47"/>
        <v>0.14000000000000001</v>
      </c>
      <c r="G260">
        <f t="shared" si="48"/>
        <v>5.4633333333333332E-2</v>
      </c>
      <c r="H260">
        <f t="shared" si="49"/>
        <v>1</v>
      </c>
      <c r="I260">
        <f t="shared" si="45"/>
        <v>0.5</v>
      </c>
      <c r="J260">
        <f t="shared" si="50"/>
        <v>0.44329896907216504</v>
      </c>
      <c r="K260">
        <f t="shared" ref="K260:K323" si="54">IFERROR(AVERAGEIFS($J:$J,$E:$E,E260,$C:$C,C260,$A:$A,"&lt;&gt;"&amp;A260),"")</f>
        <v>8.0091661879640563E-2</v>
      </c>
      <c r="L260">
        <f t="shared" si="51"/>
        <v>1</v>
      </c>
      <c r="M260">
        <f t="shared" si="44"/>
        <v>0.41666666666666669</v>
      </c>
      <c r="N260">
        <f t="shared" si="52"/>
        <v>0</v>
      </c>
      <c r="O260">
        <f t="shared" si="53"/>
        <v>0.25</v>
      </c>
      <c r="P260">
        <f>IFERROR(LN('Дивиденды по годам'!I260),"")</f>
        <v>26.76010442228521</v>
      </c>
      <c r="Q260">
        <f>IFERROR('Дивиденды по годам'!G260/'Дивиденды по годам'!I260, "")</f>
        <v>0.8716278006895779</v>
      </c>
      <c r="R260">
        <f>IFERROR(IF(AND('Дивиденды по годам'!N260&lt;&gt;"",'Дивиденды по годам'!U260&lt;&gt;"",'Дивиденды по годам'!U260&lt;&gt;0),'Дивиденды по годам'!N260/'Дивиденды по годам'!U260-1,""),"")</f>
        <v>0.14847187202346435</v>
      </c>
      <c r="S260">
        <f>IFERROR(IF(AND('Дивиденды по годам'!L260&lt;&gt;"",'Дивиденды по годам'!I260&lt;&gt;"",'Дивиденды по годам'!J260&lt;&gt;"",'Дивиденды по годам'!K260&lt;&gt;"",('Дивиденды по годам'!I260-'Дивиденды по годам'!J260-'Дивиденды по годам'!K260)&lt;&gt;0),'Дивиденды по годам'!L260/('Дивиденды по годам'!I260-'Дивиденды по годам'!J260-'Дивиденды по годам'!K260),""),"")</f>
        <v>0.88739420671371727</v>
      </c>
      <c r="T260">
        <f>IFERROR(IF(AND('Дивиденды по годам'!Q260&lt;&gt;"",'Дивиденды по годам'!I260&lt;&gt;"",'Дивиденды по годам'!V260&lt;&gt;"",('Дивиденды по годам'!I260+'Дивиденды по годам'!V260)&lt;&gt;0),'Дивиденды по годам'!Q260/(('Дивиденды по годам'!I260+'Дивиденды по годам'!V260)/2),""),"")</f>
        <v>6.5146180233366602E-2</v>
      </c>
      <c r="U260">
        <f>IFERROR(IF(AND('Дивиденды по годам'!J260&lt;&gt;"",'Дивиденды по годам'!K260&lt;&gt;"",'Дивиденды по годам'!M260&lt;&gt;"",'Дивиденды по годам'!M260&lt;&gt;0),('Дивиденды по годам'!J260+'Дивиденды по годам'!K260)/'Дивиденды по годам'!M260,""),"")</f>
        <v>0.93537093478583977</v>
      </c>
      <c r="V260" cm="1">
        <f t="array" ref="V260">IFERROR(AVERAGE(_xlfn._xlws.FILTER(P$2:P$1073,($C$2:$C$1073=$C260)*($E$2:$E$1073=$E260)*(ROW(P$2:P$1073)&lt;&gt;ROW(P260))*(P$2:P$1073&lt;&gt;""))),"")</f>
        <v>26.374260350764548</v>
      </c>
      <c r="W260" cm="1">
        <f t="array" ref="W260">IFERROR(AVERAGE(_xlfn._xlws.FILTER(Q$2:Q$1073,($C$2:$C$1073=$C260)*($E$2:$E$1073=$E260)*(ROW(Q$2:Q$1073)&lt;&gt;ROW(Q260))*(Q$2:Q$1073&lt;&gt;""))),"")</f>
        <v>0.69088136331243166</v>
      </c>
      <c r="X260" cm="1">
        <f t="array" ref="X260">IFERROR(AVERAGE(_xlfn._xlws.FILTER(R$2:R$1073,($C$2:$C$1073=$C260)*($E$2:$E$1073=$E260)*(ROW(R$2:R$1073)&lt;&gt;ROW(R260))*(R$2:R$1073&lt;&gt;""))),"")</f>
        <v>0.13885986088230995</v>
      </c>
      <c r="Y260" cm="1">
        <f t="array" ref="Y260">IFERROR(AVERAGE(_xlfn._xlws.FILTER(S$2:S$1073,($C$2:$C$1073=$C260)*($E$2:$E$1073=$E260)*(ROW(S$2:S$1073)&lt;&gt;ROW(S260))*(S$2:S$1073&lt;&gt;""))),"")</f>
        <v>0.50204814658994068</v>
      </c>
      <c r="Z260" cm="1">
        <f t="array" ref="Z260">IFERROR(AVERAGE(_xlfn._xlws.FILTER(T$2:T$1073,($C$2:$C$1073=$C260)*($E$2:$E$1073=$E260)*(ROW(T$2:T$1073)&lt;&gt;ROW(T260))*(T$2:T$1073&lt;&gt;""))),"")</f>
        <v>7.7013008772251645E-2</v>
      </c>
      <c r="AA260" cm="1">
        <f t="array" ref="AA260">IFERROR(AVERAGE(_xlfn._xlws.FILTER(U$2:U$1073,($C$2:$C$1073=$C260)*($E$2:$E$1073=$E260)*(ROW(U$2:U$1073)&lt;&gt;ROW(U260))*(U$2:U$1073&lt;&gt;""))),"")</f>
        <v>0.81152909730311507</v>
      </c>
    </row>
    <row r="261" spans="1:27" x14ac:dyDescent="0.2">
      <c r="A261" s="7" t="s">
        <v>2210</v>
      </c>
      <c r="B261" t="str">
        <f t="shared" si="46"/>
        <v>MSRS IV кв. 2022</v>
      </c>
      <c r="C261">
        <v>2022</v>
      </c>
      <c r="D261">
        <f>SUMIFS(Дивиденды!$C:$C,Дивиденды!$A:$A,A261,Дивиденды!$I:$I,C261)</f>
        <v>9.7000000000000003E-2</v>
      </c>
      <c r="E261">
        <v>2</v>
      </c>
      <c r="F261">
        <f t="shared" si="47"/>
        <v>9.7000000000000003E-2</v>
      </c>
      <c r="G261">
        <f t="shared" si="48"/>
        <v>5.6648333333333335E-2</v>
      </c>
      <c r="H261">
        <f t="shared" si="49"/>
        <v>1</v>
      </c>
      <c r="I261">
        <f t="shared" si="45"/>
        <v>0.58333333333333337</v>
      </c>
      <c r="J261">
        <f t="shared" si="50"/>
        <v>2.1052631578947385E-2</v>
      </c>
      <c r="K261">
        <f t="shared" si="54"/>
        <v>-0.16339624755865267</v>
      </c>
      <c r="L261">
        <f t="shared" si="51"/>
        <v>1</v>
      </c>
      <c r="M261">
        <f t="shared" si="44"/>
        <v>0.25</v>
      </c>
      <c r="N261">
        <f t="shared" si="52"/>
        <v>0</v>
      </c>
      <c r="O261">
        <f t="shared" si="53"/>
        <v>0.5</v>
      </c>
      <c r="P261">
        <f>IFERROR(LN('Дивиденды по годам'!I261),"")</f>
        <v>26.685566031182468</v>
      </c>
      <c r="Q261">
        <f>IFERROR('Дивиденды по годам'!G261/'Дивиденды по годам'!I261, "")</f>
        <v>0.84437235188636217</v>
      </c>
      <c r="R261">
        <f>IFERROR(IF(AND('Дивиденды по годам'!N261&lt;&gt;"",'Дивиденды по годам'!U261&lt;&gt;"",'Дивиденды по годам'!U261&lt;&gt;0),'Дивиденды по годам'!N261/'Дивиденды по годам'!U261-1,""),"")</f>
        <v>8.0989937159533065E-2</v>
      </c>
      <c r="S261">
        <f>IFERROR(IF(AND('Дивиденды по годам'!L261&lt;&gt;"",'Дивиденды по годам'!I261&lt;&gt;"",'Дивиденды по годам'!J261&lt;&gt;"",'Дивиденды по годам'!K261&lt;&gt;"",('Дивиденды по годам'!I261-'Дивиденды по годам'!J261-'Дивиденды по годам'!K261)&lt;&gt;0),'Дивиденды по годам'!L261/('Дивиденды по годам'!I261-'Дивиденды по годам'!J261-'Дивиденды по годам'!K261),""),"")</f>
        <v>0.87205453585580606</v>
      </c>
      <c r="T261">
        <f>IFERROR(IF(AND('Дивиденды по годам'!Q261&lt;&gt;"",'Дивиденды по годам'!I261&lt;&gt;"",'Дивиденды по годам'!V261&lt;&gt;"",('Дивиденды по годам'!I261+'Дивиденды по годам'!V261)&lt;&gt;0),'Дивиденды по годам'!Q261/(('Дивиденды по годам'!I261+'Дивиденды по годам'!V261)/2),""),"")</f>
        <v>3.4897872798493788E-2</v>
      </c>
      <c r="U261">
        <f>IFERROR(IF(AND('Дивиденды по годам'!J261&lt;&gt;"",'Дивиденды по годам'!K261&lt;&gt;"",'Дивиденды по годам'!M261&lt;&gt;"",'Дивиденды по годам'!M261&lt;&gt;0),('Дивиденды по годам'!J261+'Дивиденды по годам'!K261)/'Дивиденды по годам'!M261,""),"")</f>
        <v>1.0410646557668031</v>
      </c>
      <c r="V261" cm="1">
        <f t="array" ref="V261">IFERROR(AVERAGE(_xlfn._xlws.FILTER(P$2:P$1073,($C$2:$C$1073=$C261)*($E$2:$E$1073=$E261)*(ROW(P$2:P$1073)&lt;&gt;ROW(P261))*(P$2:P$1073&lt;&gt;""))),"")</f>
        <v>26.269917543767868</v>
      </c>
      <c r="W261" cm="1">
        <f t="array" ref="W261">IFERROR(AVERAGE(_xlfn._xlws.FILTER(Q$2:Q$1073,($C$2:$C$1073=$C261)*($E$2:$E$1073=$E261)*(ROW(Q$2:Q$1073)&lt;&gt;ROW(Q261))*(Q$2:Q$1073&lt;&gt;""))),"")</f>
        <v>0.69298984555927767</v>
      </c>
      <c r="X261" cm="1">
        <f t="array" ref="X261">IFERROR(AVERAGE(_xlfn._xlws.FILTER(R$2:R$1073,($C$2:$C$1073=$C261)*($E$2:$E$1073=$E261)*(ROW(R$2:R$1073)&lt;&gt;ROW(R261))*(R$2:R$1073&lt;&gt;""))),"")</f>
        <v>7.1792116933729097E-2</v>
      </c>
      <c r="Y261" cm="1">
        <f t="array" ref="Y261">IFERROR(AVERAGE(_xlfn._xlws.FILTER(S$2:S$1073,($C$2:$C$1073=$C261)*($E$2:$E$1073=$E261)*(ROW(S$2:S$1073)&lt;&gt;ROW(S261))*(S$2:S$1073&lt;&gt;""))),"")</f>
        <v>0.47528122617627361</v>
      </c>
      <c r="Z261" cm="1">
        <f t="array" ref="Z261">IFERROR(AVERAGE(_xlfn._xlws.FILTER(T$2:T$1073,($C$2:$C$1073=$C261)*($E$2:$E$1073=$E261)*(ROW(T$2:T$1073)&lt;&gt;ROW(T261))*(T$2:T$1073&lt;&gt;""))),"")</f>
        <v>9.4483990610959839E-3</v>
      </c>
      <c r="AA261" cm="1">
        <f t="array" ref="AA261">IFERROR(AVERAGE(_xlfn._xlws.FILTER(U$2:U$1073,($C$2:$C$1073=$C261)*($E$2:$E$1073=$E261)*(ROW(U$2:U$1073)&lt;&gt;ROW(U261))*(U$2:U$1073&lt;&gt;""))),"")</f>
        <v>0.89458140141442066</v>
      </c>
    </row>
    <row r="262" spans="1:27" x14ac:dyDescent="0.2">
      <c r="A262" s="7" t="s">
        <v>2210</v>
      </c>
      <c r="B262" t="str">
        <f t="shared" si="46"/>
        <v>MSRS IV кв. 2021</v>
      </c>
      <c r="C262">
        <v>2021</v>
      </c>
      <c r="D262">
        <f>SUMIFS(Дивиденды!$C:$C,Дивиденды!$A:$A,A262,Дивиденды!$I:$I,C262)</f>
        <v>9.5000000000000001E-2</v>
      </c>
      <c r="E262">
        <v>2</v>
      </c>
      <c r="F262">
        <f t="shared" si="47"/>
        <v>9.5000000000000001E-2</v>
      </c>
      <c r="G262">
        <f t="shared" si="48"/>
        <v>7.3868583333333335E-2</v>
      </c>
      <c r="H262">
        <f t="shared" si="49"/>
        <v>1</v>
      </c>
      <c r="I262">
        <f t="shared" si="45"/>
        <v>0.75</v>
      </c>
      <c r="J262">
        <f t="shared" si="50"/>
        <v>0.92697768762677502</v>
      </c>
      <c r="K262">
        <f t="shared" si="54"/>
        <v>8.6628043288491066E-2</v>
      </c>
      <c r="L262">
        <f t="shared" si="51"/>
        <v>1</v>
      </c>
      <c r="M262">
        <f t="shared" si="44"/>
        <v>0.58333333333333337</v>
      </c>
      <c r="N262">
        <f t="shared" si="52"/>
        <v>0</v>
      </c>
      <c r="O262">
        <f t="shared" si="53"/>
        <v>0.25</v>
      </c>
      <c r="P262">
        <f>IFERROR(LN('Дивиденды по годам'!I262),"")</f>
        <v>26.669693498514317</v>
      </c>
      <c r="Q262">
        <f>IFERROR('Дивиденды по годам'!G262/'Дивиденды по годам'!I262, "")</f>
        <v>0.86740642062193629</v>
      </c>
      <c r="R262">
        <f>IFERROR(IF(AND('Дивиденды по годам'!N262&lt;&gt;"",'Дивиденды по годам'!U262&lt;&gt;"",'Дивиденды по годам'!U262&lt;&gt;0),'Дивиденды по годам'!N262/'Дивиденды по годам'!U262-1,""),"")</f>
        <v>0.1256320346821338</v>
      </c>
      <c r="S262">
        <f>IFERROR(IF(AND('Дивиденды по годам'!L262&lt;&gt;"",'Дивиденды по годам'!I262&lt;&gt;"",'Дивиденды по годам'!J262&lt;&gt;"",'Дивиденды по годам'!K262&lt;&gt;"",('Дивиденды по годам'!I262-'Дивиденды по годам'!J262-'Дивиденды по годам'!K262)&lt;&gt;0),'Дивиденды по годам'!L262/('Дивиденды по годам'!I262-'Дивиденды по годам'!J262-'Дивиденды по годам'!K262),""),"")</f>
        <v>0.86877779050774162</v>
      </c>
      <c r="T262">
        <f>IFERROR(IF(AND('Дивиденды по годам'!Q262&lt;&gt;"",'Дивиденды по годам'!I262&lt;&gt;"",'Дивиденды по годам'!V262&lt;&gt;"",('Дивиденды по годам'!I262+'Дивиденды по годам'!V262)&lt;&gt;0),'Дивиденды по годам'!Q262/(('Дивиденды по годам'!I262+'Дивиденды по годам'!V262)/2),""),"")</f>
        <v>2.8277405301103134E-2</v>
      </c>
      <c r="U262">
        <f>IFERROR(IF(AND('Дивиденды по годам'!J262&lt;&gt;"",'Дивиденды по годам'!K262&lt;&gt;"",'Дивиденды по годам'!M262&lt;&gt;"",'Дивиденды по годам'!M262&lt;&gt;0),('Дивиденды по годам'!J262+'Дивиденды по годам'!K262)/'Дивиденды по годам'!M262,""),"")</f>
        <v>1.0603730512102738</v>
      </c>
      <c r="V262" cm="1">
        <f t="array" ref="V262">IFERROR(AVERAGE(_xlfn._xlws.FILTER(P$2:P$1073,($C$2:$C$1073=$C262)*($E$2:$E$1073=$E262)*(ROW(P$2:P$1073)&lt;&gt;ROW(P262))*(P$2:P$1073&lt;&gt;""))),"")</f>
        <v>25.852417929108675</v>
      </c>
      <c r="W262" cm="1">
        <f t="array" ref="W262">IFERROR(AVERAGE(_xlfn._xlws.FILTER(Q$2:Q$1073,($C$2:$C$1073=$C262)*($E$2:$E$1073=$E262)*(ROW(Q$2:Q$1073)&lt;&gt;ROW(Q262))*(Q$2:Q$1073&lt;&gt;""))),"")</f>
        <v>0.76021925674514967</v>
      </c>
      <c r="X262" cm="1">
        <f t="array" ref="X262">IFERROR(AVERAGE(_xlfn._xlws.FILTER(R$2:R$1073,($C$2:$C$1073=$C262)*($E$2:$E$1073=$E262)*(ROW(R$2:R$1073)&lt;&gt;ROW(R262))*(R$2:R$1073&lt;&gt;""))),"")</f>
        <v>0.12683996702927766</v>
      </c>
      <c r="Y262" cm="1">
        <f t="array" ref="Y262">IFERROR(AVERAGE(_xlfn._xlws.FILTER(S$2:S$1073,($C$2:$C$1073=$C262)*($E$2:$E$1073=$E262)*(ROW(S$2:S$1073)&lt;&gt;ROW(S262))*(S$2:S$1073&lt;&gt;""))),"")</f>
        <v>0.464430016090426</v>
      </c>
      <c r="Z262" cm="1">
        <f t="array" ref="Z262">IFERROR(AVERAGE(_xlfn._xlws.FILTER(T$2:T$1073,($C$2:$C$1073=$C262)*($E$2:$E$1073=$E262)*(ROW(T$2:T$1073)&lt;&gt;ROW(T262))*(T$2:T$1073&lt;&gt;""))),"")</f>
        <v>3.7250394409541324E-2</v>
      </c>
      <c r="AA262" cm="1">
        <f t="array" ref="AA262">IFERROR(AVERAGE(_xlfn._xlws.FILTER(U$2:U$1073,($C$2:$C$1073=$C262)*($E$2:$E$1073=$E262)*(ROW(U$2:U$1073)&lt;&gt;ROW(U262))*(U$2:U$1073&lt;&gt;""))),"")</f>
        <v>0.68025752739981349</v>
      </c>
    </row>
    <row r="263" spans="1:27" x14ac:dyDescent="0.2">
      <c r="A263" s="7" t="s">
        <v>2210</v>
      </c>
      <c r="B263" t="str">
        <f t="shared" si="46"/>
        <v>MSRS IV кв. 2020</v>
      </c>
      <c r="C263">
        <v>2020</v>
      </c>
      <c r="D263">
        <f>SUMIFS(Дивиденды!$C:$C,Дивиденды!$A:$A,A263,Дивиденды!$I:$I,C263)</f>
        <v>4.9299999999999997E-2</v>
      </c>
      <c r="E263">
        <v>2</v>
      </c>
      <c r="F263">
        <f t="shared" si="47"/>
        <v>4.9299999999999997E-2</v>
      </c>
      <c r="G263">
        <f t="shared" si="48"/>
        <v>6.579758333333334E-2</v>
      </c>
      <c r="H263">
        <f t="shared" si="49"/>
        <v>1</v>
      </c>
      <c r="I263">
        <f t="shared" si="45"/>
        <v>0.75</v>
      </c>
      <c r="J263">
        <f t="shared" si="50"/>
        <v>-0.27393225331369669</v>
      </c>
      <c r="K263">
        <f t="shared" si="54"/>
        <v>-6.2796343926571158E-2</v>
      </c>
      <c r="L263">
        <f t="shared" si="51"/>
        <v>0</v>
      </c>
      <c r="M263">
        <f t="shared" si="44"/>
        <v>0.58333333333333337</v>
      </c>
      <c r="N263">
        <f t="shared" si="52"/>
        <v>1</v>
      </c>
      <c r="O263">
        <f t="shared" si="53"/>
        <v>0.41666666666666669</v>
      </c>
      <c r="P263">
        <f>IFERROR(LN('Дивиденды по годам'!I263),"")</f>
        <v>26.601751592327492</v>
      </c>
      <c r="Q263">
        <f>IFERROR('Дивиденды по годам'!G263/'Дивиденды по годам'!I263, "")</f>
        <v>0.8969074269407864</v>
      </c>
      <c r="R263">
        <f>IFERROR(IF(AND('Дивиденды по годам'!N263&lt;&gt;"",'Дивиденды по годам'!U263&lt;&gt;"",'Дивиденды по годам'!U263&lt;&gt;0),'Дивиденды по годам'!N263/'Дивиденды по годам'!U263-1,""),"")</f>
        <v>1.6272985545245255E-2</v>
      </c>
      <c r="S263">
        <f>IFERROR(IF(AND('Дивиденды по годам'!L263&lt;&gt;"",'Дивиденды по годам'!I263&lt;&gt;"",'Дивиденды по годам'!J263&lt;&gt;"",'Дивиденды по годам'!K263&lt;&gt;"",('Дивиденды по годам'!I263-'Дивиденды по годам'!J263-'Дивиденды по годам'!K263)&lt;&gt;0),'Дивиденды по годам'!L263/('Дивиденды по годам'!I263-'Дивиденды по годам'!J263-'Дивиденды по годам'!K263),""),"")</f>
        <v>0.86273226813526604</v>
      </c>
      <c r="T263">
        <f>IFERROR(IF(AND('Дивиденды по годам'!Q263&lt;&gt;"",'Дивиденды по годам'!I263&lt;&gt;"",'Дивиденды по годам'!V263&lt;&gt;"",('Дивиденды по годам'!I263+'Дивиденды по годам'!V263)&lt;&gt;0),'Дивиденды по годам'!Q263/(('Дивиденды по годам'!I263+'Дивиденды по годам'!V263)/2),""),"")</f>
        <v>1.3508436482839035E-2</v>
      </c>
      <c r="U263">
        <f>IFERROR(IF(AND('Дивиденды по годам'!J263&lt;&gt;"",'Дивиденды по годам'!K263&lt;&gt;"",'Дивиденды по годам'!M263&lt;&gt;"",'Дивиденды по годам'!M263&lt;&gt;0),('Дивиденды по годам'!J263+'Дивиденды по годам'!K263)/'Дивиденды по годам'!M263,""),"")</f>
        <v>1.0137250732308312</v>
      </c>
      <c r="V263" cm="1">
        <f t="array" ref="V263">IFERROR(AVERAGE(_xlfn._xlws.FILTER(P$2:P$1073,($C$2:$C$1073=$C263)*($E$2:$E$1073=$E263)*(ROW(P$2:P$1073)&lt;&gt;ROW(P263))*(P$2:P$1073&lt;&gt;""))),"")</f>
        <v>26.137406145639677</v>
      </c>
      <c r="W263" cm="1">
        <f t="array" ref="W263">IFERROR(AVERAGE(_xlfn._xlws.FILTER(Q$2:Q$1073,($C$2:$C$1073=$C263)*($E$2:$E$1073=$E263)*(ROW(Q$2:Q$1073)&lt;&gt;ROW(Q263))*(Q$2:Q$1073&lt;&gt;""))),"")</f>
        <v>0.73230760335769751</v>
      </c>
      <c r="X263" cm="1">
        <f t="array" ref="X263">IFERROR(AVERAGE(_xlfn._xlws.FILTER(R$2:R$1073,($C$2:$C$1073=$C263)*($E$2:$E$1073=$E263)*(ROW(R$2:R$1073)&lt;&gt;ROW(R263))*(R$2:R$1073&lt;&gt;""))),"")</f>
        <v>-7.0898028827878087E-2</v>
      </c>
      <c r="Y263" cm="1">
        <f t="array" ref="Y263">IFERROR(AVERAGE(_xlfn._xlws.FILTER(S$2:S$1073,($C$2:$C$1073=$C263)*($E$2:$E$1073=$E263)*(ROW(S$2:S$1073)&lt;&gt;ROW(S263))*(S$2:S$1073&lt;&gt;""))),"")</f>
        <v>0.45294843465939771</v>
      </c>
      <c r="Z263" cm="1">
        <f t="array" ref="Z263">IFERROR(AVERAGE(_xlfn._xlws.FILTER(T$2:T$1073,($C$2:$C$1073=$C263)*($E$2:$E$1073=$E263)*(ROW(T$2:T$1073)&lt;&gt;ROW(T263))*(T$2:T$1073&lt;&gt;""))),"")</f>
        <v>4.5080570647269967E-2</v>
      </c>
      <c r="AA263" cm="1">
        <f t="array" ref="AA263">IFERROR(AVERAGE(_xlfn._xlws.FILTER(U$2:U$1073,($C$2:$C$1073=$C263)*($E$2:$E$1073=$E263)*(ROW(U$2:U$1073)&lt;&gt;ROW(U263))*(U$2:U$1073&lt;&gt;""))),"")</f>
        <v>0.63005343116623591</v>
      </c>
    </row>
    <row r="264" spans="1:27" x14ac:dyDescent="0.2">
      <c r="A264" s="7" t="s">
        <v>2210</v>
      </c>
      <c r="B264" t="str">
        <f t="shared" si="46"/>
        <v>MSRS IV кв. 2019</v>
      </c>
      <c r="C264">
        <v>2019</v>
      </c>
      <c r="D264">
        <f>SUMIFS(Дивиденды!$C:$C,Дивиденды!$A:$A,A264,Дивиденды!$I:$I,C264)</f>
        <v>6.7900000000000002E-2</v>
      </c>
      <c r="E264">
        <v>2</v>
      </c>
      <c r="F264">
        <f t="shared" si="47"/>
        <v>6.7900000000000002E-2</v>
      </c>
      <c r="G264">
        <f t="shared" si="48"/>
        <v>6.5650333333333324E-2</v>
      </c>
      <c r="H264">
        <f t="shared" si="49"/>
        <v>1</v>
      </c>
      <c r="I264">
        <f t="shared" si="45"/>
        <v>1</v>
      </c>
      <c r="J264">
        <f t="shared" si="50"/>
        <v>0.15084745762711874</v>
      </c>
      <c r="K264">
        <f t="shared" si="54"/>
        <v>0.1595221362009944</v>
      </c>
      <c r="L264">
        <f t="shared" si="51"/>
        <v>1</v>
      </c>
      <c r="M264">
        <f t="shared" si="44"/>
        <v>0.41666666666666669</v>
      </c>
      <c r="N264">
        <f t="shared" si="52"/>
        <v>0</v>
      </c>
      <c r="O264">
        <f t="shared" si="53"/>
        <v>0.5</v>
      </c>
      <c r="P264">
        <f>IFERROR(LN('Дивиденды по годам'!I264),"")</f>
        <v>26.571757105353889</v>
      </c>
      <c r="Q264">
        <f>IFERROR('Дивиденды по годам'!G264/'Дивиденды по годам'!I264, "")</f>
        <v>0.90252989513810833</v>
      </c>
      <c r="R264">
        <f>IFERROR(IF(AND('Дивиденды по годам'!N264&lt;&gt;"",'Дивиденды по годам'!U264&lt;&gt;"",'Дивиденды по годам'!U264&lt;&gt;0),'Дивиденды по годам'!N264/'Дивиденды по годам'!U264-1,""),"")</f>
        <v>1.2404559864281461E-2</v>
      </c>
      <c r="S264">
        <f>IFERROR(IF(AND('Дивиденды по годам'!L264&lt;&gt;"",'Дивиденды по годам'!I264&lt;&gt;"",'Дивиденды по годам'!J264&lt;&gt;"",'Дивиденды по годам'!K264&lt;&gt;"",('Дивиденды по годам'!I264-'Дивиденды по годам'!J264-'Дивиденды по годам'!K264)&lt;&gt;0),'Дивиденды по годам'!L264/('Дивиденды по годам'!I264-'Дивиденды по годам'!J264-'Дивиденды по годам'!K264),""),"")</f>
        <v>0.8599849943016441</v>
      </c>
      <c r="T264">
        <f>IFERROR(IF(AND('Дивиденды по годам'!Q264&lt;&gt;"",'Дивиденды по годам'!I264&lt;&gt;"",'Дивиденды по годам'!V264&lt;&gt;"",('Дивиденды по годам'!I264+'Дивиденды по годам'!V264)&lt;&gt;0),'Дивиденды по годам'!Q264/(('Дивиденды по годам'!I264+'Дивиденды по годам'!V264)/2),""),"")</f>
        <v>2.3676097436131555E-2</v>
      </c>
      <c r="U264">
        <f>IFERROR(IF(AND('Дивиденды по годам'!J264&lt;&gt;"",'Дивиденды по годам'!K264&lt;&gt;"",'Дивиденды по годам'!M264&lt;&gt;"",'Дивиденды по годам'!M264&lt;&gt;0),('Дивиденды по годам'!J264+'Дивиденды по годам'!K264)/'Дивиденды по годам'!M264,""),"")</f>
        <v>0.99333302505770871</v>
      </c>
      <c r="V264" cm="1">
        <f t="array" ref="V264">IFERROR(AVERAGE(_xlfn._xlws.FILTER(P$2:P$1073,($C$2:$C$1073=$C264)*($E$2:$E$1073=$E264)*(ROW(P$2:P$1073)&lt;&gt;ROW(P264))*(P$2:P$1073&lt;&gt;""))),"")</f>
        <v>26.096844879604276</v>
      </c>
      <c r="W264" cm="1">
        <f t="array" ref="W264">IFERROR(AVERAGE(_xlfn._xlws.FILTER(Q$2:Q$1073,($C$2:$C$1073=$C264)*($E$2:$E$1073=$E264)*(ROW(Q$2:Q$1073)&lt;&gt;ROW(Q264))*(Q$2:Q$1073&lt;&gt;""))),"")</f>
        <v>0.72320052134975388</v>
      </c>
      <c r="X264" cm="1">
        <f t="array" ref="X264">IFERROR(AVERAGE(_xlfn._xlws.FILTER(R$2:R$1073,($C$2:$C$1073=$C264)*($E$2:$E$1073=$E264)*(ROW(R$2:R$1073)&lt;&gt;ROW(R264))*(R$2:R$1073&lt;&gt;""))),"")</f>
        <v>2.7376970723438734E-3</v>
      </c>
      <c r="Y264" cm="1">
        <f t="array" ref="Y264">IFERROR(AVERAGE(_xlfn._xlws.FILTER(S$2:S$1073,($C$2:$C$1073=$C264)*($E$2:$E$1073=$E264)*(ROW(S$2:S$1073)&lt;&gt;ROW(S264))*(S$2:S$1073&lt;&gt;""))),"")</f>
        <v>0.44186113820520562</v>
      </c>
      <c r="Z264" cm="1">
        <f t="array" ref="Z264">IFERROR(AVERAGE(_xlfn._xlws.FILTER(T$2:T$1073,($C$2:$C$1073=$C264)*($E$2:$E$1073=$E264)*(ROW(T$2:T$1073)&lt;&gt;ROW(T264))*(T$2:T$1073&lt;&gt;""))),"")</f>
        <v>5.4323476221448647E-2</v>
      </c>
      <c r="AA264" cm="1">
        <f t="array" ref="AA264">IFERROR(AVERAGE(_xlfn._xlws.FILTER(U$2:U$1073,($C$2:$C$1073=$C264)*($E$2:$E$1073=$E264)*(ROW(U$2:U$1073)&lt;&gt;ROW(U264))*(U$2:U$1073&lt;&gt;""))),"")</f>
        <v>0.63808093135314159</v>
      </c>
    </row>
    <row r="265" spans="1:27" x14ac:dyDescent="0.2">
      <c r="A265" s="7" t="s">
        <v>2210</v>
      </c>
      <c r="B265" t="str">
        <f t="shared" si="46"/>
        <v>MSRS IV кв. 2018</v>
      </c>
      <c r="C265">
        <v>2018</v>
      </c>
      <c r="D265">
        <f>SUMIFS(Дивиденды!$C:$C,Дивиденды!$A:$A,A265,Дивиденды!$I:$I,C265)</f>
        <v>5.8999999999999997E-2</v>
      </c>
      <c r="E265">
        <v>2</v>
      </c>
      <c r="F265">
        <f t="shared" si="47"/>
        <v>5.8999999999999997E-2</v>
      </c>
      <c r="G265">
        <f t="shared" si="48"/>
        <v>7.5653750000000006E-2</v>
      </c>
      <c r="H265">
        <f t="shared" si="49"/>
        <v>1</v>
      </c>
      <c r="I265">
        <f t="shared" si="45"/>
        <v>1</v>
      </c>
      <c r="J265">
        <f t="shared" si="50"/>
        <v>0.86708860759493644</v>
      </c>
      <c r="K265">
        <f t="shared" si="54"/>
        <v>0.12400097766467411</v>
      </c>
      <c r="L265">
        <f t="shared" si="51"/>
        <v>1</v>
      </c>
      <c r="M265">
        <f t="shared" si="44"/>
        <v>0.58333333333333337</v>
      </c>
      <c r="N265">
        <f t="shared" si="52"/>
        <v>0</v>
      </c>
      <c r="O265">
        <f t="shared" si="53"/>
        <v>0.25</v>
      </c>
      <c r="P265">
        <f>IFERROR(LN('Дивиденды по годам'!I265),"")</f>
        <v>26.546609120157978</v>
      </c>
      <c r="Q265">
        <f>IFERROR('Дивиденды по годам'!G265/'Дивиденды по годам'!I265, "")</f>
        <v>0.90278677822370301</v>
      </c>
      <c r="R265">
        <f>IFERROR(IF(AND('Дивиденды по годам'!N265&lt;&gt;"",'Дивиденды по годам'!U265&lt;&gt;"",'Дивиденды по годам'!U265&lt;&gt;0),'Дивиденды по годам'!N265/'Дивиденды по годам'!U265-1,""),"")</f>
        <v>5.9738092597592107E-2</v>
      </c>
      <c r="S265">
        <f>IFERROR(IF(AND('Дивиденды по годам'!L265&lt;&gt;"",'Дивиденды по годам'!I265&lt;&gt;"",'Дивиденды по годам'!J265&lt;&gt;"",'Дивиденды по годам'!K265&lt;&gt;"",('Дивиденды по годам'!I265-'Дивиденды по годам'!J265-'Дивиденды по годам'!K265)&lt;&gt;0),'Дивиденды по годам'!L265/('Дивиденды по годам'!I265-'Дивиденды по годам'!J265-'Дивиденды по годам'!K265),""),"")</f>
        <v>0.85791905538411928</v>
      </c>
      <c r="T265">
        <f>IFERROR(IF(AND('Дивиденды по годам'!Q265&lt;&gt;"",'Дивиденды по годам'!I265&lt;&gt;"",'Дивиденды по годам'!V265&lt;&gt;"",('Дивиденды по годам'!I265+'Дивиденды по годам'!V265)&lt;&gt;0),'Дивиденды по годам'!Q265/(('Дивиденды по годам'!I265+'Дивиденды по годам'!V265)/2),""),"")</f>
        <v>1.9453490970538889E-2</v>
      </c>
      <c r="U265">
        <f>IFERROR(IF(AND('Дивиденды по годам'!J265&lt;&gt;"",'Дивиденды по годам'!K265&lt;&gt;"",'Дивиденды по годам'!M265&lt;&gt;"",'Дивиденды по годам'!M265&lt;&gt;0),('Дивиденды по годам'!J265+'Дивиденды по годам'!K265)/'Дивиденды по годам'!M265,""),"")</f>
        <v>0.97251122944033663</v>
      </c>
      <c r="V265" cm="1">
        <f t="array" ref="V265">IFERROR(AVERAGE(_xlfn._xlws.FILTER(P$2:P$1073,($C$2:$C$1073=$C265)*($E$2:$E$1073=$E265)*(ROW(P$2:P$1073)&lt;&gt;ROW(P265))*(P$2:P$1073&lt;&gt;""))),"")</f>
        <v>26.041374587842515</v>
      </c>
      <c r="W265" cm="1">
        <f t="array" ref="W265">IFERROR(AVERAGE(_xlfn._xlws.FILTER(Q$2:Q$1073,($C$2:$C$1073=$C265)*($E$2:$E$1073=$E265)*(ROW(Q$2:Q$1073)&lt;&gt;ROW(Q265))*(Q$2:Q$1073&lt;&gt;""))),"")</f>
        <v>0.74071692414968104</v>
      </c>
      <c r="X265" cm="1">
        <f t="array" ref="X265">IFERROR(AVERAGE(_xlfn._xlws.FILTER(R$2:R$1073,($C$2:$C$1073=$C265)*($E$2:$E$1073=$E265)*(ROW(R$2:R$1073)&lt;&gt;ROW(R265))*(R$2:R$1073&lt;&gt;""))),"")</f>
        <v>4.9404974320310407E-2</v>
      </c>
      <c r="Y265" cm="1">
        <f t="array" ref="Y265">IFERROR(AVERAGE(_xlfn._xlws.FILTER(S$2:S$1073,($C$2:$C$1073=$C265)*($E$2:$E$1073=$E265)*(ROW(S$2:S$1073)&lt;&gt;ROW(S265))*(S$2:S$1073&lt;&gt;""))),"")</f>
        <v>0.4316172977679002</v>
      </c>
      <c r="Z265" cm="1">
        <f t="array" ref="Z265">IFERROR(AVERAGE(_xlfn._xlws.FILTER(T$2:T$1073,($C$2:$C$1073=$C265)*($E$2:$E$1073=$E265)*(ROW(T$2:T$1073)&lt;&gt;ROW(T265))*(T$2:T$1073&lt;&gt;""))),"")</f>
        <v>7.2491303603059873E-2</v>
      </c>
      <c r="AA265" cm="1">
        <f t="array" ref="AA265">IFERROR(AVERAGE(_xlfn._xlws.FILTER(U$2:U$1073,($C$2:$C$1073=$C265)*($E$2:$E$1073=$E265)*(ROW(U$2:U$1073)&lt;&gt;ROW(U265))*(U$2:U$1073&lt;&gt;""))),"")</f>
        <v>0.6035892576665548</v>
      </c>
    </row>
    <row r="266" spans="1:27" x14ac:dyDescent="0.2">
      <c r="A266" s="7" t="s">
        <v>2210</v>
      </c>
      <c r="B266" t="str">
        <f t="shared" si="46"/>
        <v>MSRS IV кв. 2017</v>
      </c>
      <c r="C266">
        <v>2017</v>
      </c>
      <c r="D266">
        <f>SUMIFS(Дивиденды!$C:$C,Дивиденды!$A:$A,A266,Дивиденды!$I:$I,C266)</f>
        <v>3.1600000000000003E-2</v>
      </c>
      <c r="E266">
        <v>2</v>
      </c>
      <c r="F266">
        <f t="shared" si="47"/>
        <v>3.1600000000000003E-2</v>
      </c>
      <c r="G266">
        <f t="shared" si="48"/>
        <v>6.9475500000000009E-2</v>
      </c>
      <c r="H266">
        <f t="shared" si="49"/>
        <v>1</v>
      </c>
      <c r="I266">
        <f t="shared" si="45"/>
        <v>1</v>
      </c>
      <c r="J266">
        <f t="shared" si="50"/>
        <v>1.2820512820512966E-2</v>
      </c>
      <c r="K266">
        <f t="shared" si="54"/>
        <v>0.64068126153857408</v>
      </c>
      <c r="L266">
        <f t="shared" si="51"/>
        <v>1</v>
      </c>
      <c r="M266">
        <f t="shared" si="44"/>
        <v>0.75</v>
      </c>
      <c r="N266">
        <f t="shared" si="52"/>
        <v>0</v>
      </c>
      <c r="O266">
        <f t="shared" si="53"/>
        <v>0.25</v>
      </c>
      <c r="P266">
        <f>IFERROR(LN('Дивиденды по годам'!I266),"")</f>
        <v>26.549421952805872</v>
      </c>
      <c r="Q266">
        <f>IFERROR('Дивиденды по годам'!G266/'Дивиденды по годам'!I266, "")</f>
        <v>0.90504163847403973</v>
      </c>
      <c r="R266">
        <f>IFERROR(IF(AND('Дивиденды по годам'!N266&lt;&gt;"",'Дивиденды по годам'!U266&lt;&gt;"",'Дивиденды по годам'!U266&lt;&gt;0),'Дивиденды по годам'!N266/'Дивиденды по годам'!U266-1,""),"")</f>
        <v>4.9811704568497595E-2</v>
      </c>
      <c r="S266">
        <f>IFERROR(IF(AND('Дивиденды по годам'!L266&lt;&gt;"",'Дивиденды по годам'!I266&lt;&gt;"",'Дивиденды по годам'!J266&lt;&gt;"",'Дивиденды по годам'!K266&lt;&gt;"",('Дивиденды по годам'!I266-'Дивиденды по годам'!J266-'Дивиденды по годам'!K266)&lt;&gt;0),'Дивиденды по годам'!L266/('Дивиденды по годам'!I266-'Дивиденды по годам'!J266-'Дивиденды по годам'!K266),""),"")</f>
        <v>0.85966860752545704</v>
      </c>
      <c r="T266">
        <f>IFERROR(IF(AND('Дивиденды по годам'!Q266&lt;&gt;"",'Дивиденды по годам'!I266&lt;&gt;"",'Дивиденды по годам'!V266&lt;&gt;"",('Дивиденды по годам'!I266+'Дивиденды по годам'!V266)&lt;&gt;0),'Дивиденды по годам'!Q266/(('Дивиденды по годам'!I266+'Дивиденды по годам'!V266)/2),""),"")</f>
        <v>9.0942091394830837E-3</v>
      </c>
      <c r="U266">
        <f>IFERROR(IF(AND('Дивиденды по годам'!J266&lt;&gt;"",'Дивиденды по годам'!K266&lt;&gt;"",'Дивиденды по годам'!M266&lt;&gt;"",'Дивиденды по годам'!M266&lt;&gt;0),('Дивиденды по годам'!J266+'Дивиденды по годам'!K266)/'Дивиденды по годам'!M266,""),"")</f>
        <v>0.95370991627048651</v>
      </c>
      <c r="V266" cm="1">
        <f t="array" ref="V266">IFERROR(AVERAGE(_xlfn._xlws.FILTER(P$2:P$1073,($C$2:$C$1073=$C266)*($E$2:$E$1073=$E266)*(ROW(P$2:P$1073)&lt;&gt;ROW(P266))*(P$2:P$1073&lt;&gt;""))),"")</f>
        <v>26.008527633772335</v>
      </c>
      <c r="W266" cm="1">
        <f t="array" ref="W266">IFERROR(AVERAGE(_xlfn._xlws.FILTER(Q$2:Q$1073,($C$2:$C$1073=$C266)*($E$2:$E$1073=$E266)*(ROW(Q$2:Q$1073)&lt;&gt;ROW(Q266))*(Q$2:Q$1073&lt;&gt;""))),"")</f>
        <v>0.74803885126044145</v>
      </c>
      <c r="X266" cm="1">
        <f t="array" ref="X266">IFERROR(AVERAGE(_xlfn._xlws.FILTER(R$2:R$1073,($C$2:$C$1073=$C266)*($E$2:$E$1073=$E266)*(ROW(R$2:R$1073)&lt;&gt;ROW(R266))*(R$2:R$1073&lt;&gt;""))),"")</f>
        <v>4.5559614574870559E-2</v>
      </c>
      <c r="Y266" cm="1">
        <f t="array" ref="Y266">IFERROR(AVERAGE(_xlfn._xlws.FILTER(S$2:S$1073,($C$2:$C$1073=$C266)*($E$2:$E$1073=$E266)*(ROW(S$2:S$1073)&lt;&gt;ROW(S266))*(S$2:S$1073&lt;&gt;""))),"")</f>
        <v>0.38387136933550631</v>
      </c>
      <c r="Z266" cm="1">
        <f t="array" ref="Z266">IFERROR(AVERAGE(_xlfn._xlws.FILTER(T$2:T$1073,($C$2:$C$1073=$C266)*($E$2:$E$1073=$E266)*(ROW(T$2:T$1073)&lt;&gt;ROW(T266))*(T$2:T$1073&lt;&gt;""))),"")</f>
        <v>8.7609672377615466E-2</v>
      </c>
      <c r="AA266" cm="1">
        <f t="array" ref="AA266">IFERROR(AVERAGE(_xlfn._xlws.FILTER(U$2:U$1073,($C$2:$C$1073=$C266)*($E$2:$E$1073=$E266)*(ROW(U$2:U$1073)&lt;&gt;ROW(U266))*(U$2:U$1073&lt;&gt;""))),"")</f>
        <v>0.6044339754826219</v>
      </c>
    </row>
    <row r="267" spans="1:27" x14ac:dyDescent="0.2">
      <c r="A267" s="7" t="s">
        <v>2210</v>
      </c>
      <c r="B267" t="str">
        <f t="shared" si="46"/>
        <v>MSRS IV кв. 2016</v>
      </c>
      <c r="C267">
        <v>2016</v>
      </c>
      <c r="D267">
        <f>SUMIFS(Дивиденды!$C:$C,Дивиденды!$A:$A,A267,Дивиденды!$I:$I,C267)</f>
        <v>3.1199999999999999E-2</v>
      </c>
      <c r="E267">
        <v>2</v>
      </c>
      <c r="F267">
        <f t="shared" si="47"/>
        <v>3.1199999999999999E-2</v>
      </c>
      <c r="G267">
        <f t="shared" si="48"/>
        <v>5.4795166666666666E-2</v>
      </c>
      <c r="H267">
        <f t="shared" si="49"/>
        <v>1</v>
      </c>
      <c r="I267">
        <f t="shared" si="45"/>
        <v>1</v>
      </c>
      <c r="J267">
        <f t="shared" si="50"/>
        <v>-0.76</v>
      </c>
      <c r="K267">
        <f t="shared" si="54"/>
        <v>1.4704033711391433</v>
      </c>
      <c r="L267">
        <f t="shared" si="51"/>
        <v>0</v>
      </c>
      <c r="M267">
        <f t="shared" si="44"/>
        <v>0.91666666666666663</v>
      </c>
      <c r="N267">
        <f t="shared" si="52"/>
        <v>1</v>
      </c>
      <c r="O267">
        <f t="shared" si="53"/>
        <v>8.3333333333333329E-2</v>
      </c>
      <c r="P267">
        <f>IFERROR(LN('Дивиденды по годам'!I267),"")</f>
        <v>26.547836155704434</v>
      </c>
      <c r="Q267">
        <f>IFERROR('Дивиденды по годам'!G267/'Дивиденды по годам'!I267, "")</f>
        <v>0.89621560714380921</v>
      </c>
      <c r="R267">
        <f>IFERROR(IF(AND('Дивиденды по годам'!N267&lt;&gt;"",'Дивиденды по годам'!U267&lt;&gt;"",'Дивиденды по годам'!U267&lt;&gt;0),'Дивиденды по годам'!N267/'Дивиденды по годам'!U267-1,""),"")</f>
        <v>8.3094748266029805E-2</v>
      </c>
      <c r="S267">
        <f>IFERROR(IF(AND('Дивиденды по годам'!L267&lt;&gt;"",'Дивиденды по годам'!I267&lt;&gt;"",'Дивиденды по годам'!J267&lt;&gt;"",'Дивиденды по годам'!K267&lt;&gt;"",('Дивиденды по годам'!I267-'Дивиденды по годам'!J267-'Дивиденды по годам'!K267)&lt;&gt;0),'Дивиденды по годам'!L267/('Дивиденды по годам'!I267-'Дивиденды по годам'!J267-'Дивиденды по годам'!K267),""),"")</f>
        <v>0.75119907862881496</v>
      </c>
      <c r="T267">
        <f>IFERROR(IF(AND('Дивиденды по годам'!Q267&lt;&gt;"",'Дивиденды по годам'!I267&lt;&gt;"",'Дивиденды по годам'!V267&lt;&gt;"",('Дивиденды по годам'!I267+'Дивиденды по годам'!V267)&lt;&gt;0),'Дивиденды по годам'!Q267/(('Дивиденды по годам'!I267+'Дивиденды по годам'!V267)/2),""),"")</f>
        <v>2.8291571564999451E-2</v>
      </c>
      <c r="U267">
        <f>IFERROR(IF(AND('Дивиденды по годам'!J267&lt;&gt;"",'Дивиденды по годам'!K267&lt;&gt;"",'Дивиденды по годам'!M267&lt;&gt;"",'Дивиденды по годам'!M267&lt;&gt;0),('Дивиденды по годам'!J267+'Дивиденды по годам'!K267)/'Дивиденды по годам'!M267,""),"")</f>
        <v>0.96166566725821434</v>
      </c>
      <c r="V267" cm="1">
        <f t="array" ref="V267">IFERROR(AVERAGE(_xlfn._xlws.FILTER(P$2:P$1073,($C$2:$C$1073=$C267)*($E$2:$E$1073=$E267)*(ROW(P$2:P$1073)&lt;&gt;ROW(P267))*(P$2:P$1073&lt;&gt;""))),"")</f>
        <v>25.962853023726904</v>
      </c>
      <c r="W267" cm="1">
        <f t="array" ref="W267">IFERROR(AVERAGE(_xlfn._xlws.FILTER(Q$2:Q$1073,($C$2:$C$1073=$C267)*($E$2:$E$1073=$E267)*(ROW(Q$2:Q$1073)&lt;&gt;ROW(Q267))*(Q$2:Q$1073&lt;&gt;""))),"")</f>
        <v>0.70126941282433863</v>
      </c>
      <c r="X267" cm="1">
        <f t="array" ref="X267">IFERROR(AVERAGE(_xlfn._xlws.FILTER(R$2:R$1073,($C$2:$C$1073=$C267)*($E$2:$E$1073=$E267)*(ROW(R$2:R$1073)&lt;&gt;ROW(R267))*(R$2:R$1073&lt;&gt;""))),"")</f>
        <v>0.11728210561987973</v>
      </c>
      <c r="Y267" cm="1">
        <f t="array" ref="Y267">IFERROR(AVERAGE(_xlfn._xlws.FILTER(S$2:S$1073,($C$2:$C$1073=$C267)*($E$2:$E$1073=$E267)*(ROW(S$2:S$1073)&lt;&gt;ROW(S267))*(S$2:S$1073&lt;&gt;""))),"")</f>
        <v>0.3777736907919404</v>
      </c>
      <c r="Z267" cm="1">
        <f t="array" ref="Z267">IFERROR(AVERAGE(_xlfn._xlws.FILTER(T$2:T$1073,($C$2:$C$1073=$C267)*($E$2:$E$1073=$E267)*(ROW(T$2:T$1073)&lt;&gt;ROW(T267))*(T$2:T$1073&lt;&gt;""))),"")</f>
        <v>4.2209193799013986E-2</v>
      </c>
      <c r="AA267" cm="1">
        <f t="array" ref="AA267">IFERROR(AVERAGE(_xlfn._xlws.FILTER(U$2:U$1073,($C$2:$C$1073=$C267)*($E$2:$E$1073=$E267)*(ROW(U$2:U$1073)&lt;&gt;ROW(U267))*(U$2:U$1073&lt;&gt;""))),"")</f>
        <v>0.70665190869417849</v>
      </c>
    </row>
    <row r="268" spans="1:27" x14ac:dyDescent="0.2">
      <c r="A268" s="7" t="s">
        <v>2210</v>
      </c>
      <c r="B268" t="str">
        <f t="shared" si="46"/>
        <v>MSRS IV кв. 2015</v>
      </c>
      <c r="C268">
        <v>2015</v>
      </c>
      <c r="D268">
        <f>SUMIFS(Дивиденды!$C:$C,Дивиденды!$A:$A,A268,Дивиденды!$I:$I,C268)</f>
        <v>0.13</v>
      </c>
      <c r="E268">
        <v>2</v>
      </c>
      <c r="F268">
        <f t="shared" si="47"/>
        <v>0.13</v>
      </c>
      <c r="G268">
        <f t="shared" si="48"/>
        <v>3.0606750000000002E-2</v>
      </c>
      <c r="H268">
        <f t="shared" si="49"/>
        <v>1</v>
      </c>
      <c r="I268">
        <f t="shared" si="45"/>
        <v>0.91666666666666663</v>
      </c>
      <c r="J268">
        <f t="shared" si="50"/>
        <v>2.080568720379147</v>
      </c>
      <c r="K268">
        <f t="shared" si="54"/>
        <v>3.9715957182940795</v>
      </c>
      <c r="L268">
        <f t="shared" si="51"/>
        <v>1</v>
      </c>
      <c r="M268">
        <f t="shared" si="44"/>
        <v>0.66666666666666663</v>
      </c>
      <c r="N268">
        <f t="shared" si="52"/>
        <v>0</v>
      </c>
      <c r="O268">
        <f t="shared" si="53"/>
        <v>0.33333333333333331</v>
      </c>
      <c r="P268">
        <f>IFERROR(LN('Дивиденды по годам'!I268),"")</f>
        <v>26.508990466491269</v>
      </c>
      <c r="Q268">
        <f>IFERROR('Дивиденды по годам'!G268/'Дивиденды по годам'!I268, "")</f>
        <v>0.89034315302567191</v>
      </c>
      <c r="R268">
        <f>IFERROR(IF(AND('Дивиденды по годам'!N268&lt;&gt;"",'Дивиденды по годам'!U268&lt;&gt;"",'Дивиденды по годам'!U268&lt;&gt;0),'Дивиденды по годам'!N268/'Дивиденды по годам'!U268-1,""),"")</f>
        <v>3.3881169551069235E-2</v>
      </c>
      <c r="S268">
        <f>IFERROR(IF(AND('Дивиденды по годам'!L268&lt;&gt;"",'Дивиденды по годам'!I268&lt;&gt;"",'Дивиденды по годам'!J268&lt;&gt;"",'Дивиденды по годам'!K268&lt;&gt;"",('Дивиденды по годам'!I268-'Дивиденды по годам'!J268-'Дивиденды по годам'!K268)&lt;&gt;0),'Дивиденды по годам'!L268/('Дивиденды по годам'!I268-'Дивиденды по годам'!J268-'Дивиденды по годам'!K268),""),"")</f>
        <v>0.74629942835222074</v>
      </c>
      <c r="T268">
        <f>IFERROR(IF(AND('Дивиденды по годам'!Q268&lt;&gt;"",'Дивиденды по годам'!I268&lt;&gt;"",'Дивиденды по годам'!V268&lt;&gt;"",('Дивиденды по годам'!I268+'Дивиденды по годам'!V268)&lt;&gt;0),'Дивиденды по годам'!Q268/(('Дивиденды по годам'!I268+'Дивиденды по годам'!V268)/2),""),"")</f>
        <v>3.9706907606509835E-2</v>
      </c>
      <c r="U268">
        <f>IFERROR(IF(AND('Дивиденды по годам'!J268&lt;&gt;"",'Дивиденды по годам'!K268&lt;&gt;"",'Дивиденды по годам'!M268&lt;&gt;"",'Дивиденды по годам'!M268&lt;&gt;0),('Дивиденды по годам'!J268+'Дивиденды по годам'!K268)/'Дивиденды по годам'!M268,""),"")</f>
        <v>0.92408380519592825</v>
      </c>
      <c r="V268" cm="1">
        <f t="array" ref="V268">IFERROR(AVERAGE(_xlfn._xlws.FILTER(P$2:P$1073,($C$2:$C$1073=$C268)*($E$2:$E$1073=$E268)*(ROW(P$2:P$1073)&lt;&gt;ROW(P268))*(P$2:P$1073&lt;&gt;""))),"")</f>
        <v>25.871041972055725</v>
      </c>
      <c r="W268" cm="1">
        <f t="array" ref="W268">IFERROR(AVERAGE(_xlfn._xlws.FILTER(Q$2:Q$1073,($C$2:$C$1073=$C268)*($E$2:$E$1073=$E268)*(ROW(Q$2:Q$1073)&lt;&gt;ROW(Q268))*(Q$2:Q$1073&lt;&gt;""))),"")</f>
        <v>0.76828698604696277</v>
      </c>
      <c r="X268" cm="1">
        <f t="array" ref="X268">IFERROR(AVERAGE(_xlfn._xlws.FILTER(R$2:R$1073,($C$2:$C$1073=$C268)*($E$2:$E$1073=$E268)*(ROW(R$2:R$1073)&lt;&gt;ROW(R268))*(R$2:R$1073&lt;&gt;""))),"")</f>
        <v>3.7374132436671769E-3</v>
      </c>
      <c r="Y268" cm="1">
        <f t="array" ref="Y268">IFERROR(AVERAGE(_xlfn._xlws.FILTER(S$2:S$1073,($C$2:$C$1073=$C268)*($E$2:$E$1073=$E268)*(ROW(S$2:S$1073)&lt;&gt;ROW(S268))*(S$2:S$1073&lt;&gt;""))),"")</f>
        <v>0.4521538314603713</v>
      </c>
      <c r="Z268" cm="1">
        <f t="array" ref="Z268">IFERROR(AVERAGE(_xlfn._xlws.FILTER(T$2:T$1073,($C$2:$C$1073=$C268)*($E$2:$E$1073=$E268)*(ROW(T$2:T$1073)&lt;&gt;ROW(T268))*(T$2:T$1073&lt;&gt;""))),"")</f>
        <v>-1.817603648867332E-2</v>
      </c>
      <c r="AA268" cm="1">
        <f t="array" ref="AA268">IFERROR(AVERAGE(_xlfn._xlws.FILTER(U$2:U$1073,($C$2:$C$1073=$C268)*($E$2:$E$1073=$E268)*(ROW(U$2:U$1073)&lt;&gt;ROW(U268))*(U$2:U$1073&lt;&gt;""))),"")</f>
        <v>0.8894592398133403</v>
      </c>
    </row>
    <row r="269" spans="1:27" x14ac:dyDescent="0.2">
      <c r="A269" s="7" t="s">
        <v>2210</v>
      </c>
      <c r="B269" t="str">
        <f t="shared" si="46"/>
        <v>MSRS IV кв. 2014</v>
      </c>
      <c r="C269">
        <v>2014</v>
      </c>
      <c r="D269">
        <f>SUMIFS(Дивиденды!$C:$C,Дивиденды!$A:$A,A269,Дивиденды!$I:$I,C269)</f>
        <v>4.2200000000000001E-2</v>
      </c>
      <c r="E269">
        <v>2</v>
      </c>
      <c r="F269">
        <f t="shared" si="47"/>
        <v>4.2200000000000001E-2</v>
      </c>
      <c r="G269">
        <f t="shared" si="48"/>
        <v>3.5451250000000004E-2</v>
      </c>
      <c r="H269">
        <f t="shared" si="49"/>
        <v>1</v>
      </c>
      <c r="I269">
        <f t="shared" si="45"/>
        <v>1</v>
      </c>
      <c r="J269">
        <f t="shared" si="50"/>
        <v>-0.29431438127090298</v>
      </c>
      <c r="K269">
        <f t="shared" si="54"/>
        <v>1.4256296801225472</v>
      </c>
      <c r="L269">
        <f t="shared" si="51"/>
        <v>0</v>
      </c>
      <c r="M269">
        <f t="shared" si="44"/>
        <v>0.66666666666666663</v>
      </c>
      <c r="N269">
        <f t="shared" si="52"/>
        <v>1</v>
      </c>
      <c r="O269">
        <f t="shared" si="53"/>
        <v>0.25</v>
      </c>
      <c r="P269">
        <f>IFERROR(LN('Дивиденды по годам'!I269),"")</f>
        <v>26.461718259430786</v>
      </c>
      <c r="Q269">
        <f>IFERROR('Дивиденды по годам'!G269/'Дивиденды по годам'!I269, "")</f>
        <v>0.88114200068273452</v>
      </c>
      <c r="R269">
        <f>IFERROR(IF(AND('Дивиденды по годам'!N269&lt;&gt;"",'Дивиденды по годам'!U269&lt;&gt;"",'Дивиденды по годам'!U269&lt;&gt;0),'Дивиденды по годам'!N269/'Дивиденды по годам'!U269-1,""),"")</f>
        <v>-8.5722269774284321E-3</v>
      </c>
      <c r="S269">
        <f>IFERROR(IF(AND('Дивиденды по годам'!L269&lt;&gt;"",'Дивиденды по годам'!I269&lt;&gt;"",'Дивиденды по годам'!J269&lt;&gt;"",'Дивиденды по годам'!K269&lt;&gt;"",('Дивиденды по годам'!I269-'Дивиденды по годам'!J269-'Дивиденды по годам'!K269)&lt;&gt;0),'Дивиденды по годам'!L269/('Дивиденды по годам'!I269-'Дивиденды по годам'!J269-'Дивиденды по годам'!K269),""),"")</f>
        <v>0.72729925129256967</v>
      </c>
      <c r="T269">
        <f>IFERROR(IF(AND('Дивиденды по годам'!Q269&lt;&gt;"",'Дивиденды по годам'!I269&lt;&gt;"",'Дивиденды по годам'!V269&lt;&gt;"",('Дивиденды по годам'!I269+'Дивиденды по годам'!V269)&lt;&gt;0),'Дивиденды по годам'!Q269/(('Дивиденды по годам'!I269+'Дивиденды по годам'!V269)/2),""),"")</f>
        <v>2.7068398543860242E-2</v>
      </c>
      <c r="U269">
        <f>IFERROR(IF(AND('Дивиденды по годам'!J269&lt;&gt;"",'Дивиденды по годам'!K269&lt;&gt;"",'Дивиденды по годам'!M269&lt;&gt;"",'Дивиденды по годам'!M269&lt;&gt;0),('Дивиденды по годам'!J269+'Дивиденды по годам'!K269)/'Дивиденды по годам'!M269,""),"")</f>
        <v>0.95303933605838187</v>
      </c>
      <c r="V269" cm="1">
        <f t="array" ref="V269">IFERROR(AVERAGE(_xlfn._xlws.FILTER(P$2:P$1073,($C$2:$C$1073=$C269)*($E$2:$E$1073=$E269)*(ROW(P$2:P$1073)&lt;&gt;ROW(P269))*(P$2:P$1073&lt;&gt;""))),"")</f>
        <v>26.132426470040336</v>
      </c>
      <c r="W269" cm="1">
        <f t="array" ref="W269">IFERROR(AVERAGE(_xlfn._xlws.FILTER(Q$2:Q$1073,($C$2:$C$1073=$C269)*($E$2:$E$1073=$E269)*(ROW(Q$2:Q$1073)&lt;&gt;ROW(Q269))*(Q$2:Q$1073&lt;&gt;""))),"")</f>
        <v>0.76051763423481966</v>
      </c>
      <c r="X269" cm="1">
        <f t="array" ref="X269">IFERROR(AVERAGE(_xlfn._xlws.FILTER(R$2:R$1073,($C$2:$C$1073=$C269)*($E$2:$E$1073=$E269)*(ROW(R$2:R$1073)&lt;&gt;ROW(R269))*(R$2:R$1073&lt;&gt;""))),"")</f>
        <v>2.6187298051433876E-2</v>
      </c>
      <c r="Y269" cm="1">
        <f t="array" ref="Y269">IFERROR(AVERAGE(_xlfn._xlws.FILTER(S$2:S$1073,($C$2:$C$1073=$C269)*($E$2:$E$1073=$E269)*(ROW(S$2:S$1073)&lt;&gt;ROW(S269))*(S$2:S$1073&lt;&gt;""))),"")</f>
        <v>0.58013257923503025</v>
      </c>
      <c r="Z269" cm="1">
        <f t="array" ref="Z269">IFERROR(AVERAGE(_xlfn._xlws.FILTER(T$2:T$1073,($C$2:$C$1073=$C269)*($E$2:$E$1073=$E269)*(ROW(T$2:T$1073)&lt;&gt;ROW(T269))*(T$2:T$1073&lt;&gt;""))),"")</f>
        <v>1.767721936692945E-2</v>
      </c>
      <c r="AA269" cm="1">
        <f t="array" ref="AA269">IFERROR(AVERAGE(_xlfn._xlws.FILTER(U$2:U$1073,($C$2:$C$1073=$C269)*($E$2:$E$1073=$E269)*(ROW(U$2:U$1073)&lt;&gt;ROW(U269))*(U$2:U$1073&lt;&gt;""))),"")</f>
        <v>0.73385580468801792</v>
      </c>
    </row>
    <row r="270" spans="1:27" x14ac:dyDescent="0.2">
      <c r="A270" s="7" t="s">
        <v>2210</v>
      </c>
      <c r="B270" t="str">
        <f t="shared" si="46"/>
        <v>MSRS IV кв. 2013</v>
      </c>
      <c r="C270">
        <v>2013</v>
      </c>
      <c r="D270">
        <f>SUMIFS(Дивиденды!$C:$C,Дивиденды!$A:$A,A270,Дивиденды!$I:$I,C270)</f>
        <v>5.9799999999999999E-2</v>
      </c>
      <c r="E270">
        <v>2</v>
      </c>
      <c r="F270">
        <f t="shared" si="47"/>
        <v>5.9799999999999999E-2</v>
      </c>
      <c r="G270">
        <f t="shared" si="48"/>
        <v>4.1459749999999997E-2</v>
      </c>
      <c r="H270">
        <f t="shared" si="49"/>
        <v>1</v>
      </c>
      <c r="I270">
        <f t="shared" si="45"/>
        <v>0.75</v>
      </c>
      <c r="J270">
        <f t="shared" si="50"/>
        <v>-0.32199546485260772</v>
      </c>
      <c r="K270">
        <f t="shared" si="54"/>
        <v>3.9785809823060701E-2</v>
      </c>
      <c r="L270">
        <f t="shared" si="51"/>
        <v>0</v>
      </c>
      <c r="M270">
        <f t="shared" si="44"/>
        <v>0.5</v>
      </c>
      <c r="N270">
        <f t="shared" si="52"/>
        <v>1</v>
      </c>
      <c r="O270">
        <f t="shared" si="53"/>
        <v>0.25</v>
      </c>
      <c r="P270">
        <f>IFERROR(LN('Дивиденды по годам'!I270),"")</f>
        <v>26.380310771358577</v>
      </c>
      <c r="Q270">
        <f>IFERROR('Дивиденды по годам'!G270/'Дивиденды по годам'!I270, "")</f>
        <v>0.88450189016222325</v>
      </c>
      <c r="R270">
        <f>IFERROR(IF(AND('Дивиденды по годам'!N270&lt;&gt;"",'Дивиденды по годам'!U270&lt;&gt;"",'Дивиденды по годам'!U270&lt;&gt;0),'Дивиденды по годам'!N270/'Дивиденды по годам'!U270-1,""),"")</f>
        <v>3.032779054416479E-2</v>
      </c>
      <c r="S270" t="str">
        <f>IFERROR(IF(AND('Дивиденды по годам'!L270&lt;&gt;"",'Дивиденды по годам'!I270&lt;&gt;"",'Дивиденды по годам'!J270&lt;&gt;"",'Дивиденды по годам'!K270&lt;&gt;"",('Дивиденды по годам'!I270-'Дивиденды по годам'!J270-'Дивиденды по годам'!K270)&lt;&gt;0),'Дивиденды по годам'!L270/('Дивиденды по годам'!I270-'Дивиденды по годам'!J270-'Дивиденды по годам'!K270),""),"")</f>
        <v/>
      </c>
      <c r="T270">
        <f>IFERROR(IF(AND('Дивиденды по годам'!Q270&lt;&gt;"",'Дивиденды по годам'!I270&lt;&gt;"",'Дивиденды по годам'!V270&lt;&gt;"",('Дивиденды по годам'!I270+'Дивиденды по годам'!V270)&lt;&gt;0),'Дивиденды по годам'!Q270/(('Дивиденды по годам'!I270+'Дивиденды по годам'!V270)/2),""),"")</f>
        <v>7.0128053442467239E-2</v>
      </c>
      <c r="U270">
        <f>IFERROR(IF(AND('Дивиденды по годам'!J270&lt;&gt;"",'Дивиденды по годам'!K270&lt;&gt;"",'Дивиденды по годам'!M270&lt;&gt;"",'Дивиденды по годам'!M270&lt;&gt;0),('Дивиденды по годам'!J270+'Дивиденды по годам'!K270)/'Дивиденды по годам'!M270,""),"")</f>
        <v>0.86421220554848666</v>
      </c>
      <c r="V270" cm="1">
        <f t="array" ref="V270">IFERROR(AVERAGE(_xlfn._xlws.FILTER(P$2:P$1073,($C$2:$C$1073=$C270)*($E$2:$E$1073=$E270)*(ROW(P$2:P$1073)&lt;&gt;ROW(P270))*(P$2:P$1073&lt;&gt;""))),"")</f>
        <v>26.080732554179729</v>
      </c>
      <c r="W270" cm="1">
        <f t="array" ref="W270">IFERROR(AVERAGE(_xlfn._xlws.FILTER(Q$2:Q$1073,($C$2:$C$1073=$C270)*($E$2:$E$1073=$E270)*(ROW(Q$2:Q$1073)&lt;&gt;ROW(Q270))*(Q$2:Q$1073&lt;&gt;""))),"")</f>
        <v>0.77268242358236372</v>
      </c>
      <c r="X270" cm="1">
        <f t="array" ref="X270">IFERROR(AVERAGE(_xlfn._xlws.FILTER(R$2:R$1073,($C$2:$C$1073=$C270)*($E$2:$E$1073=$E270)*(ROW(R$2:R$1073)&lt;&gt;ROW(R270))*(R$2:R$1073&lt;&gt;""))),"")</f>
        <v>0.10528034757241173</v>
      </c>
      <c r="Y270" cm="1">
        <f t="array" ref="Y270">IFERROR(AVERAGE(_xlfn._xlws.FILTER(S$2:S$1073,($C$2:$C$1073=$C270)*($E$2:$E$1073=$E270)*(ROW(S$2:S$1073)&lt;&gt;ROW(S270))*(S$2:S$1073&lt;&gt;""))),"")</f>
        <v>0.4636519590056305</v>
      </c>
      <c r="Z270" cm="1">
        <f t="array" ref="Z270">IFERROR(AVERAGE(_xlfn._xlws.FILTER(T$2:T$1073,($C$2:$C$1073=$C270)*($E$2:$E$1073=$E270)*(ROW(T$2:T$1073)&lt;&gt;ROW(T270))*(T$2:T$1073&lt;&gt;""))),"")</f>
        <v>-1.3217289414935836E-2</v>
      </c>
      <c r="AA270" cm="1">
        <f t="array" ref="AA270">IFERROR(AVERAGE(_xlfn._xlws.FILTER(U$2:U$1073,($C$2:$C$1073=$C270)*($E$2:$E$1073=$E270)*(ROW(U$2:U$1073)&lt;&gt;ROW(U270))*(U$2:U$1073&lt;&gt;""))),"")</f>
        <v>0.65847125591840583</v>
      </c>
    </row>
    <row r="271" spans="1:27" x14ac:dyDescent="0.2">
      <c r="A271" s="7" t="s">
        <v>2210</v>
      </c>
      <c r="B271" t="str">
        <f t="shared" si="46"/>
        <v>MSRS IV кв. 2012</v>
      </c>
      <c r="C271">
        <v>2012</v>
      </c>
      <c r="D271">
        <f>SUMIFS(Дивиденды!$C:$C,Дивиденды!$A:$A,A271,Дивиденды!$I:$I,C271)</f>
        <v>8.8200000000000001E-2</v>
      </c>
      <c r="E271">
        <v>2</v>
      </c>
      <c r="F271">
        <f t="shared" si="47"/>
        <v>8.8200000000000001E-2</v>
      </c>
      <c r="G271">
        <f t="shared" si="48"/>
        <v>2.981233333333333E-2</v>
      </c>
      <c r="H271">
        <f t="shared" si="49"/>
        <v>1</v>
      </c>
      <c r="I271">
        <f t="shared" si="45"/>
        <v>0.66666666666666663</v>
      </c>
      <c r="J271">
        <f t="shared" si="50"/>
        <v>2.528</v>
      </c>
      <c r="K271">
        <f t="shared" si="54"/>
        <v>0.53013537634016561</v>
      </c>
      <c r="L271">
        <f t="shared" si="51"/>
        <v>1</v>
      </c>
      <c r="M271">
        <f t="shared" si="44"/>
        <v>0.5</v>
      </c>
      <c r="N271">
        <f t="shared" si="52"/>
        <v>0</v>
      </c>
      <c r="O271">
        <f t="shared" si="53"/>
        <v>0.16666666666666666</v>
      </c>
      <c r="P271">
        <f>IFERROR(LN('Дивиденды по годам'!I271),"")</f>
        <v>26.318187384052592</v>
      </c>
      <c r="Q271">
        <f>IFERROR('Дивиденды по годам'!G271/'Дивиденды по годам'!I271, "")</f>
        <v>0.84237736112128192</v>
      </c>
      <c r="R271">
        <f>IFERROR(IF(AND('Дивиденды по годам'!N271&lt;&gt;"",'Дивиденды по годам'!U271&lt;&gt;"",'Дивиденды по годам'!U271&lt;&gt;0),'Дивиденды по годам'!N271/'Дивиденды по годам'!U271-1,""),"")</f>
        <v>-3.1242097517528489E-2</v>
      </c>
      <c r="S271" t="str">
        <f>IFERROR(IF(AND('Дивиденды по годам'!L271&lt;&gt;"",'Дивиденды по годам'!I271&lt;&gt;"",'Дивиденды по годам'!J271&lt;&gt;"",'Дивиденды по годам'!K271&lt;&gt;"",('Дивиденды по годам'!I271-'Дивиденды по годам'!J271-'Дивиденды по годам'!K271)&lt;&gt;0),'Дивиденды по годам'!L271/('Дивиденды по годам'!I271-'Дивиденды по годам'!J271-'Дивиденды по годам'!K271),""),"")</f>
        <v/>
      </c>
      <c r="T271">
        <f>IFERROR(IF(AND('Дивиденды по годам'!Q271&lt;&gt;"",'Дивиденды по годам'!I271&lt;&gt;"",'Дивиденды по годам'!V271&lt;&gt;"",('Дивиденды по годам'!I271+'Дивиденды по годам'!V271)&lt;&gt;0),'Дивиденды по годам'!Q271/(('Дивиденды по годам'!I271+'Дивиденды по годам'!V271)/2),""),"")</f>
        <v>7.3078762939115263E-2</v>
      </c>
      <c r="U271">
        <f>IFERROR(IF(AND('Дивиденды по годам'!J271&lt;&gt;"",'Дивиденды по годам'!K271&lt;&gt;"",'Дивиденды по годам'!M271&lt;&gt;"",'Дивиденды по годам'!M271&lt;&gt;0),('Дивиденды по годам'!J271+'Дивиденды по годам'!K271)/'Дивиденды по годам'!M271,""),"")</f>
        <v>0.91370683648656381</v>
      </c>
      <c r="V271" cm="1">
        <f t="array" ref="V271">IFERROR(AVERAGE(_xlfn._xlws.FILTER(P$2:P$1073,($C$2:$C$1073=$C271)*($E$2:$E$1073=$E271)*(ROW(P$2:P$1073)&lt;&gt;ROW(P271))*(P$2:P$1073&lt;&gt;""))),"")</f>
        <v>26.083057394899107</v>
      </c>
      <c r="W271" cm="1">
        <f t="array" ref="W271">IFERROR(AVERAGE(_xlfn._xlws.FILTER(Q$2:Q$1073,($C$2:$C$1073=$C271)*($E$2:$E$1073=$E271)*(ROW(Q$2:Q$1073)&lt;&gt;ROW(Q271))*(Q$2:Q$1073&lt;&gt;""))),"")</f>
        <v>0.77123958326934683</v>
      </c>
      <c r="X271" cm="1">
        <f t="array" ref="X271">IFERROR(AVERAGE(_xlfn._xlws.FILTER(R$2:R$1073,($C$2:$C$1073=$C271)*($E$2:$E$1073=$E271)*(ROW(R$2:R$1073)&lt;&gt;ROW(R271))*(R$2:R$1073&lt;&gt;""))),"")</f>
        <v>-1.4148613559167226E-2</v>
      </c>
      <c r="Y271" cm="1">
        <f t="array" ref="Y271">IFERROR(AVERAGE(_xlfn._xlws.FILTER(S$2:S$1073,($C$2:$C$1073=$C271)*($E$2:$E$1073=$E271)*(ROW(S$2:S$1073)&lt;&gt;ROW(S271))*(S$2:S$1073&lt;&gt;""))),"")</f>
        <v>0.44715527647269881</v>
      </c>
      <c r="Z271" cm="1">
        <f t="array" ref="Z271">IFERROR(AVERAGE(_xlfn._xlws.FILTER(T$2:T$1073,($C$2:$C$1073=$C271)*($E$2:$E$1073=$E271)*(ROW(T$2:T$1073)&lt;&gt;ROW(T271))*(T$2:T$1073&lt;&gt;""))),"")</f>
        <v>1.2808674102517719E-2</v>
      </c>
      <c r="AA271" cm="1">
        <f t="array" ref="AA271">IFERROR(AVERAGE(_xlfn._xlws.FILTER(U$2:U$1073,($C$2:$C$1073=$C271)*($E$2:$E$1073=$E271)*(ROW(U$2:U$1073)&lt;&gt;ROW(U271))*(U$2:U$1073&lt;&gt;""))),"")</f>
        <v>0.62510898362505674</v>
      </c>
    </row>
    <row r="272" spans="1:27" x14ac:dyDescent="0.2">
      <c r="A272" s="7" t="s">
        <v>2210</v>
      </c>
      <c r="B272" t="str">
        <f t="shared" si="46"/>
        <v>MSRS IV кв. 2011</v>
      </c>
      <c r="C272">
        <v>2011</v>
      </c>
      <c r="D272">
        <f>SUMIFS(Дивиденды!$C:$C,Дивиденды!$A:$A,A272,Дивиденды!$I:$I,C272)</f>
        <v>2.5000000000000001E-2</v>
      </c>
      <c r="E272">
        <v>2</v>
      </c>
      <c r="F272">
        <f t="shared" si="47"/>
        <v>2.5000000000000001E-2</v>
      </c>
      <c r="G272">
        <f t="shared" si="48"/>
        <v>9.4634166666666669E-3</v>
      </c>
      <c r="H272">
        <f t="shared" si="49"/>
        <v>1</v>
      </c>
      <c r="I272">
        <f t="shared" si="45"/>
        <v>0.75</v>
      </c>
      <c r="J272">
        <f t="shared" si="50"/>
        <v>1.626016260162606E-2</v>
      </c>
      <c r="K272">
        <f t="shared" si="54"/>
        <v>4.9415236385991899E-2</v>
      </c>
      <c r="L272">
        <f t="shared" si="51"/>
        <v>1</v>
      </c>
      <c r="M272">
        <f t="shared" si="44"/>
        <v>0.41666666666666669</v>
      </c>
      <c r="N272">
        <f t="shared" si="52"/>
        <v>0</v>
      </c>
      <c r="O272">
        <f t="shared" si="53"/>
        <v>0.41666666666666669</v>
      </c>
      <c r="P272">
        <f>IFERROR(LN('Дивиденды по годам'!I272),"")</f>
        <v>26.242960419756972</v>
      </c>
      <c r="Q272">
        <f>IFERROR('Дивиденды по годам'!G272/'Дивиденды по годам'!I272, "")</f>
        <v>0.82439182290365665</v>
      </c>
      <c r="R272" t="str">
        <f>IFERROR(IF(AND('Дивиденды по годам'!N272&lt;&gt;"",'Дивиденды по годам'!U272&lt;&gt;"",'Дивиденды по годам'!U272&lt;&gt;0),'Дивиденды по годам'!N272/'Дивиденды по годам'!U272-1,""),"")</f>
        <v/>
      </c>
      <c r="S272" t="str">
        <f>IFERROR(IF(AND('Дивиденды по годам'!L272&lt;&gt;"",'Дивиденды по годам'!I272&lt;&gt;"",'Дивиденды по годам'!J272&lt;&gt;"",'Дивиденды по годам'!K272&lt;&gt;"",('Дивиденды по годам'!I272-'Дивиденды по годам'!J272-'Дивиденды по годам'!K272)&lt;&gt;0),'Дивиденды по годам'!L272/('Дивиденды по годам'!I272-'Дивиденды по годам'!J272-'Дивиденды по годам'!K272),""),"")</f>
        <v/>
      </c>
      <c r="T272" t="str">
        <f>IFERROR(IF(AND('Дивиденды по годам'!Q272&lt;&gt;"",'Дивиденды по годам'!I272&lt;&gt;"",'Дивиденды по годам'!V272&lt;&gt;"",('Дивиденды по годам'!I272+'Дивиденды по годам'!V272)&lt;&gt;0),'Дивиденды по годам'!Q272/(('Дивиденды по годам'!I272+'Дивиденды по годам'!V272)/2),""),"")</f>
        <v/>
      </c>
      <c r="U272">
        <f>IFERROR(IF(AND('Дивиденды по годам'!J272&lt;&gt;"",'Дивиденды по годам'!K272&lt;&gt;"",'Дивиденды по годам'!M272&lt;&gt;"",'Дивиденды по годам'!M272&lt;&gt;0),('Дивиденды по годам'!J272+'Дивиденды по годам'!K272)/'Дивиденды по годам'!M272,""),"")</f>
        <v>1.0303656482618109</v>
      </c>
      <c r="V272" cm="1">
        <f t="array" ref="V272">IFERROR(AVERAGE(_xlfn._xlws.FILTER(P$2:P$1073,($C$2:$C$1073=$C272)*($E$2:$E$1073=$E272)*(ROW(P$2:P$1073)&lt;&gt;ROW(P272))*(P$2:P$1073&lt;&gt;""))),"")</f>
        <v>26.134125822806212</v>
      </c>
      <c r="W272" cm="1">
        <f t="array" ref="W272">IFERROR(AVERAGE(_xlfn._xlws.FILTER(Q$2:Q$1073,($C$2:$C$1073=$C272)*($E$2:$E$1073=$E272)*(ROW(Q$2:Q$1073)&lt;&gt;ROW(Q272))*(Q$2:Q$1073&lt;&gt;""))),"")</f>
        <v>0.76022840394621782</v>
      </c>
      <c r="X272" cm="1">
        <f t="array" ref="X272">IFERROR(AVERAGE(_xlfn._xlws.FILTER(R$2:R$1073,($C$2:$C$1073=$C272)*($E$2:$E$1073=$E272)*(ROW(R$2:R$1073)&lt;&gt;ROW(R272))*(R$2:R$1073&lt;&gt;""))),"")</f>
        <v>0.14348983045887875</v>
      </c>
      <c r="Y272" cm="1">
        <f t="array" ref="Y272">IFERROR(AVERAGE(_xlfn._xlws.FILTER(S$2:S$1073,($C$2:$C$1073=$C272)*($E$2:$E$1073=$E272)*(ROW(S$2:S$1073)&lt;&gt;ROW(S272))*(S$2:S$1073&lt;&gt;""))),"")</f>
        <v>0.39850050246333968</v>
      </c>
      <c r="Z272" cm="1">
        <f t="array" ref="Z272">IFERROR(AVERAGE(_xlfn._xlws.FILTER(T$2:T$1073,($C$2:$C$1073=$C272)*($E$2:$E$1073=$E272)*(ROW(T$2:T$1073)&lt;&gt;ROW(T272))*(T$2:T$1073&lt;&gt;""))),"")</f>
        <v>4.5214358774442007E-2</v>
      </c>
      <c r="AA272" cm="1">
        <f t="array" ref="AA272">IFERROR(AVERAGE(_xlfn._xlws.FILTER(U$2:U$1073,($C$2:$C$1073=$C272)*($E$2:$E$1073=$E272)*(ROW(U$2:U$1073)&lt;&gt;ROW(U272))*(U$2:U$1073&lt;&gt;""))),"")</f>
        <v>0.54629894621935027</v>
      </c>
    </row>
    <row r="273" spans="1:27" x14ac:dyDescent="0.2">
      <c r="A273" s="7" t="s">
        <v>2210</v>
      </c>
      <c r="B273" t="str">
        <f t="shared" si="46"/>
        <v>MSRS IV кв. 2010</v>
      </c>
      <c r="C273">
        <v>2010</v>
      </c>
      <c r="D273">
        <f>SUMIFS(Дивиденды!$C:$C,Дивиденды!$A:$A,A273,Дивиденды!$I:$I,C273)</f>
        <v>2.46E-2</v>
      </c>
      <c r="E273">
        <v>2</v>
      </c>
      <c r="F273">
        <f t="shared" si="47"/>
        <v>2.46E-2</v>
      </c>
      <c r="G273">
        <f t="shared" si="48"/>
        <v>4.511833333333333E-3</v>
      </c>
      <c r="H273">
        <f t="shared" si="49"/>
        <v>1</v>
      </c>
      <c r="I273">
        <f t="shared" si="45"/>
        <v>0.75</v>
      </c>
      <c r="J273" t="str">
        <f t="shared" si="50"/>
        <v/>
      </c>
      <c r="K273" t="str">
        <f t="shared" si="54"/>
        <v/>
      </c>
      <c r="L273" t="str">
        <f t="shared" si="51"/>
        <v/>
      </c>
      <c r="M273" t="str">
        <f t="shared" si="44"/>
        <v/>
      </c>
      <c r="N273" t="str">
        <f t="shared" si="52"/>
        <v/>
      </c>
      <c r="O273" t="str">
        <f t="shared" si="53"/>
        <v/>
      </c>
      <c r="P273" t="str">
        <f>IFERROR(LN('Дивиденды по годам'!I273),"")</f>
        <v/>
      </c>
      <c r="Q273" t="str">
        <f>IFERROR('Дивиденды по годам'!G273/'Дивиденды по годам'!I273, "")</f>
        <v/>
      </c>
      <c r="R273" t="str">
        <f>IFERROR(IF(AND('Дивиденды по годам'!N273&lt;&gt;"",'Дивиденды по годам'!U273&lt;&gt;"",'Дивиденды по годам'!U273&lt;&gt;0),'Дивиденды по годам'!N273/'Дивиденды по годам'!U273-1,""),"")</f>
        <v/>
      </c>
      <c r="S273" t="str">
        <f>IFERROR(IF(AND('Дивиденды по годам'!L273&lt;&gt;"",'Дивиденды по годам'!I273&lt;&gt;"",'Дивиденды по годам'!J273&lt;&gt;"",'Дивиденды по годам'!K273&lt;&gt;"",('Дивиденды по годам'!I273-'Дивиденды по годам'!J273-'Дивиденды по годам'!K273)&lt;&gt;0),'Дивиденды по годам'!L273/('Дивиденды по годам'!I273-'Дивиденды по годам'!J273-'Дивиденды по годам'!K273),""),"")</f>
        <v/>
      </c>
      <c r="T273" t="str">
        <f>IFERROR(IF(AND('Дивиденды по годам'!Q273&lt;&gt;"",'Дивиденды по годам'!I273&lt;&gt;"",'Дивиденды по годам'!V273&lt;&gt;"",('Дивиденды по годам'!I273+'Дивиденды по годам'!V273)&lt;&gt;0),'Дивиденды по годам'!Q273/(('Дивиденды по годам'!I273+'Дивиденды по годам'!V273)/2),""),"")</f>
        <v/>
      </c>
      <c r="U273" t="str">
        <f>IFERROR(IF(AND('Дивиденды по годам'!J273&lt;&gt;"",'Дивиденды по годам'!K273&lt;&gt;"",'Дивиденды по годам'!M273&lt;&gt;"",'Дивиденды по годам'!M273&lt;&gt;0),('Дивиденды по годам'!J273+'Дивиденды по годам'!K273)/'Дивиденды по годам'!M273,""),"")</f>
        <v/>
      </c>
      <c r="V273" cm="1">
        <f t="array" ref="V273">IFERROR(AVERAGE(_xlfn._xlws.FILTER(P$2:P$1073,($C$2:$C$1073=$C273)*($E$2:$E$1073=$E273)*(ROW(P$2:P$1073)&lt;&gt;ROW(P273))*(P$2:P$1073&lt;&gt;""))),"")</f>
        <v>24.730948088520865</v>
      </c>
      <c r="W273" cm="1">
        <f t="array" ref="W273">IFERROR(AVERAGE(_xlfn._xlws.FILTER(Q$2:Q$1073,($C$2:$C$1073=$C273)*($E$2:$E$1073=$E273)*(ROW(Q$2:Q$1073)&lt;&gt;ROW(Q273))*(Q$2:Q$1073&lt;&gt;""))),"")</f>
        <v>0.82035195639515091</v>
      </c>
      <c r="X273" t="str" cm="1">
        <f t="array" ref="X273">IFERROR(AVERAGE(_xlfn._xlws.FILTER(R$2:R$1073,($C$2:$C$1073=$C273)*($E$2:$E$1073=$E273)*(ROW(R$2:R$1073)&lt;&gt;ROW(R273))*(R$2:R$1073&lt;&gt;""))),"")</f>
        <v/>
      </c>
      <c r="Y273" t="str" cm="1">
        <f t="array" ref="Y273">IFERROR(AVERAGE(_xlfn._xlws.FILTER(S$2:S$1073,($C$2:$C$1073=$C273)*($E$2:$E$1073=$E273)*(ROW(S$2:S$1073)&lt;&gt;ROW(S273))*(S$2:S$1073&lt;&gt;""))),"")</f>
        <v/>
      </c>
      <c r="Z273" t="str" cm="1">
        <f t="array" ref="Z273">IFERROR(AVERAGE(_xlfn._xlws.FILTER(T$2:T$1073,($C$2:$C$1073=$C273)*($E$2:$E$1073=$E273)*(ROW(T$2:T$1073)&lt;&gt;ROW(T273))*(T$2:T$1073&lt;&gt;""))),"")</f>
        <v/>
      </c>
      <c r="AA273" cm="1">
        <f t="array" ref="AA273">IFERROR(AVERAGE(_xlfn._xlws.FILTER(U$2:U$1073,($C$2:$C$1073=$C273)*($E$2:$E$1073=$E273)*(ROW(U$2:U$1073)&lt;&gt;ROW(U273))*(U$2:U$1073&lt;&gt;""))),"")</f>
        <v>0.91314375247969903</v>
      </c>
    </row>
    <row r="274" spans="1:27" x14ac:dyDescent="0.2">
      <c r="A274" s="7" t="s">
        <v>2212</v>
      </c>
      <c r="B274" t="str">
        <f t="shared" si="46"/>
        <v>OGKB IV кв. 2025</v>
      </c>
      <c r="C274">
        <v>2025</v>
      </c>
      <c r="D274">
        <f>SUMIFS(Дивиденды!$C:$C,Дивиденды!$A:$A,A274,Дивиденды!$I:$I,C274)</f>
        <v>0</v>
      </c>
      <c r="E274">
        <v>2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f t="shared" si="45"/>
        <v>0</v>
      </c>
      <c r="J274">
        <f t="shared" si="50"/>
        <v>-1</v>
      </c>
      <c r="K274">
        <f t="shared" si="54"/>
        <v>-0.5</v>
      </c>
      <c r="L274">
        <f t="shared" si="51"/>
        <v>0</v>
      </c>
      <c r="M274">
        <f t="shared" si="44"/>
        <v>0</v>
      </c>
      <c r="N274">
        <f t="shared" si="52"/>
        <v>1</v>
      </c>
      <c r="O274">
        <f t="shared" si="53"/>
        <v>0.5</v>
      </c>
      <c r="P274" t="str">
        <f>IFERROR(LN('Дивиденды по годам'!I274),"")</f>
        <v/>
      </c>
      <c r="Q274" t="str">
        <f>IFERROR('Дивиденды по годам'!G274/'Дивиденды по годам'!I274, "")</f>
        <v/>
      </c>
      <c r="R274" t="str">
        <f>IFERROR(IF(AND('Дивиденды по годам'!N274&lt;&gt;"",'Дивиденды по годам'!U274&lt;&gt;"",'Дивиденды по годам'!U274&lt;&gt;0),'Дивиденды по годам'!N274/'Дивиденды по годам'!U274-1,""),"")</f>
        <v/>
      </c>
      <c r="S274" t="str">
        <f>IFERROR(IF(AND('Дивиденды по годам'!L274&lt;&gt;"",'Дивиденды по годам'!I274&lt;&gt;"",'Дивиденды по годам'!J274&lt;&gt;"",'Дивиденды по годам'!K274&lt;&gt;"",('Дивиденды по годам'!I274-'Дивиденды по годам'!J274-'Дивиденды по годам'!K274)&lt;&gt;0),'Дивиденды по годам'!L274/('Дивиденды по годам'!I274-'Дивиденды по годам'!J274-'Дивиденды по годам'!K274),""),"")</f>
        <v/>
      </c>
      <c r="T274" t="str">
        <f>IFERROR(IF(AND('Дивиденды по годам'!Q274&lt;&gt;"",'Дивиденды по годам'!I274&lt;&gt;"",'Дивиденды по годам'!V274&lt;&gt;"",('Дивиденды по годам'!I274+'Дивиденды по годам'!V274)&lt;&gt;0),'Дивиденды по годам'!Q274/(('Дивиденды по годам'!I274+'Дивиденды по годам'!V274)/2),""),"")</f>
        <v/>
      </c>
      <c r="U274" t="str">
        <f>IFERROR(IF(AND('Дивиденды по годам'!J274&lt;&gt;"",'Дивиденды по годам'!K274&lt;&gt;"",'Дивиденды по годам'!M274&lt;&gt;"",'Дивиденды по годам'!M274&lt;&gt;0),('Дивиденды по годам'!J274+'Дивиденды по годам'!K274)/'Дивиденды по годам'!M274,""),"")</f>
        <v/>
      </c>
      <c r="V274" cm="1">
        <f t="array" ref="V274">IFERROR(AVERAGE(_xlfn._xlws.FILTER(P$2:P$1073,($C$2:$C$1073=$C274)*($E$2:$E$1073=$E274)*(ROW(P$2:P$1073)&lt;&gt;ROW(P274))*(P$2:P$1073&lt;&gt;""))),"")</f>
        <v>26.57991857918098</v>
      </c>
      <c r="W274" cm="1">
        <f t="array" ref="W274">IFERROR(AVERAGE(_xlfn._xlws.FILTER(Q$2:Q$1073,($C$2:$C$1073=$C274)*($E$2:$E$1073=$E274)*(ROW(Q$2:Q$1073)&lt;&gt;ROW(Q274))*(Q$2:Q$1073&lt;&gt;""))),"")</f>
        <v>0.67759713674348565</v>
      </c>
      <c r="X274" cm="1">
        <f t="array" ref="X274">IFERROR(AVERAGE(_xlfn._xlws.FILTER(R$2:R$1073,($C$2:$C$1073=$C274)*($E$2:$E$1073=$E274)*(ROW(R$2:R$1073)&lt;&gt;ROW(R274))*(R$2:R$1073&lt;&gt;""))),"")</f>
        <v>0.17662623265859428</v>
      </c>
      <c r="Y274" cm="1">
        <f t="array" ref="Y274">IFERROR(AVERAGE(_xlfn._xlws.FILTER(S$2:S$1073,($C$2:$C$1073=$C274)*($E$2:$E$1073=$E274)*(ROW(S$2:S$1073)&lt;&gt;ROW(S274))*(S$2:S$1073&lt;&gt;""))),"")</f>
        <v>0.75614685785818758</v>
      </c>
      <c r="Z274" cm="1">
        <f t="array" ref="Z274">IFERROR(AVERAGE(_xlfn._xlws.FILTER(T$2:T$1073,($C$2:$C$1073=$C274)*($E$2:$E$1073=$E274)*(ROW(T$2:T$1073)&lt;&gt;ROW(T274))*(T$2:T$1073&lt;&gt;""))),"")</f>
        <v>0.10306085485751774</v>
      </c>
      <c r="AA274" cm="1">
        <f t="array" ref="AA274">IFERROR(AVERAGE(_xlfn._xlws.FILTER(U$2:U$1073,($C$2:$C$1073=$C274)*($E$2:$E$1073=$E274)*(ROW(U$2:U$1073)&lt;&gt;ROW(U274))*(U$2:U$1073&lt;&gt;""))),"")</f>
        <v>0.88935141782994176</v>
      </c>
    </row>
    <row r="275" spans="1:27" x14ac:dyDescent="0.2">
      <c r="A275" s="7" t="s">
        <v>2212</v>
      </c>
      <c r="B275" t="str">
        <f t="shared" si="46"/>
        <v>OGKB IV кв. 2024</v>
      </c>
      <c r="C275">
        <v>2024</v>
      </c>
      <c r="D275">
        <f>SUMIFS(Дивиденды!$C:$C,Дивиденды!$A:$A,A275,Дивиденды!$I:$I,C275)</f>
        <v>5.9799999999999999E-2</v>
      </c>
      <c r="E275">
        <v>2</v>
      </c>
      <c r="F275">
        <f t="shared" si="47"/>
        <v>5.9799999999999999E-2</v>
      </c>
      <c r="G275">
        <f t="shared" si="48"/>
        <v>5.8416666666666665E-2</v>
      </c>
      <c r="H275">
        <f t="shared" si="49"/>
        <v>1</v>
      </c>
      <c r="I275">
        <f t="shared" si="45"/>
        <v>0.5</v>
      </c>
      <c r="J275">
        <f t="shared" si="50"/>
        <v>1</v>
      </c>
      <c r="K275">
        <f t="shared" si="54"/>
        <v>2.8273201096708223E-3</v>
      </c>
      <c r="L275">
        <f t="shared" si="51"/>
        <v>1</v>
      </c>
      <c r="M275">
        <f t="shared" si="44"/>
        <v>0.5</v>
      </c>
      <c r="N275">
        <f t="shared" si="52"/>
        <v>0</v>
      </c>
      <c r="O275">
        <f t="shared" si="53"/>
        <v>8.3333333333333329E-2</v>
      </c>
      <c r="P275" t="str">
        <f>IFERROR(LN('Дивиденды по годам'!I275),"")</f>
        <v/>
      </c>
      <c r="Q275" t="str">
        <f>IFERROR('Дивиденды по годам'!G275/'Дивиденды по годам'!I275, "")</f>
        <v/>
      </c>
      <c r="R275" t="str">
        <f>IFERROR(IF(AND('Дивиденды по годам'!N275&lt;&gt;"",'Дивиденды по годам'!U275&lt;&gt;"",'Дивиденды по годам'!U275&lt;&gt;0),'Дивиденды по годам'!N275/'Дивиденды по годам'!U275-1,""),"")</f>
        <v/>
      </c>
      <c r="S275" t="str">
        <f>IFERROR(IF(AND('Дивиденды по годам'!L275&lt;&gt;"",'Дивиденды по годам'!I275&lt;&gt;"",'Дивиденды по годам'!J275&lt;&gt;"",'Дивиденды по годам'!K275&lt;&gt;"",('Дивиденды по годам'!I275-'Дивиденды по годам'!J275-'Дивиденды по годам'!K275)&lt;&gt;0),'Дивиденды по годам'!L275/('Дивиденды по годам'!I275-'Дивиденды по годам'!J275-'Дивиденды по годам'!K275),""),"")</f>
        <v/>
      </c>
      <c r="T275" t="str">
        <f>IFERROR(IF(AND('Дивиденды по годам'!Q275&lt;&gt;"",'Дивиденды по годам'!I275&lt;&gt;"",'Дивиденды по годам'!V275&lt;&gt;"",('Дивиденды по годам'!I275+'Дивиденды по годам'!V275)&lt;&gt;0),'Дивиденды по годам'!Q275/(('Дивиденды по годам'!I275+'Дивиденды по годам'!V275)/2),""),"")</f>
        <v/>
      </c>
      <c r="U275" t="str">
        <f>IFERROR(IF(AND('Дивиденды по годам'!J275&lt;&gt;"",'Дивиденды по годам'!K275&lt;&gt;"",'Дивиденды по годам'!M275&lt;&gt;"",'Дивиденды по годам'!M275&lt;&gt;0),('Дивиденды по годам'!J275+'Дивиденды по годам'!K275)/'Дивиденды по годам'!M275,""),"")</f>
        <v/>
      </c>
      <c r="V275" cm="1">
        <f t="array" ref="V275">IFERROR(AVERAGE(_xlfn._xlws.FILTER(P$2:P$1073,($C$2:$C$1073=$C275)*($E$2:$E$1073=$E275)*(ROW(P$2:P$1073)&lt;&gt;ROW(P275))*(P$2:P$1073&lt;&gt;""))),"")</f>
        <v>26.53052036495767</v>
      </c>
      <c r="W275" cm="1">
        <f t="array" ref="W275">IFERROR(AVERAGE(_xlfn._xlws.FILTER(Q$2:Q$1073,($C$2:$C$1073=$C275)*($E$2:$E$1073=$E275)*(ROW(Q$2:Q$1073)&lt;&gt;ROW(Q275))*(Q$2:Q$1073&lt;&gt;""))),"")</f>
        <v>0.68897542618517627</v>
      </c>
      <c r="X275" cm="1">
        <f t="array" ref="X275">IFERROR(AVERAGE(_xlfn._xlws.FILTER(R$2:R$1073,($C$2:$C$1073=$C275)*($E$2:$E$1073=$E275)*(ROW(R$2:R$1073)&lt;&gt;ROW(R275))*(R$2:R$1073&lt;&gt;""))),"")</f>
        <v>9.9336521219665186E-2</v>
      </c>
      <c r="Y275" cm="1">
        <f t="array" ref="Y275">IFERROR(AVERAGE(_xlfn._xlws.FILTER(S$2:S$1073,($C$2:$C$1073=$C275)*($E$2:$E$1073=$E275)*(ROW(S$2:S$1073)&lt;&gt;ROW(S275))*(S$2:S$1073&lt;&gt;""))),"")</f>
        <v>0.56302208811184973</v>
      </c>
      <c r="Z275" cm="1">
        <f t="array" ref="Z275">IFERROR(AVERAGE(_xlfn._xlws.FILTER(T$2:T$1073,($C$2:$C$1073=$C275)*($E$2:$E$1073=$E275)*(ROW(T$2:T$1073)&lt;&gt;ROW(T275))*(T$2:T$1073&lt;&gt;""))),"")</f>
        <v>5.7319411109732842E-2</v>
      </c>
      <c r="AA275" cm="1">
        <f t="array" ref="AA275">IFERROR(AVERAGE(_xlfn._xlws.FILTER(U$2:U$1073,($C$2:$C$1073=$C275)*($E$2:$E$1073=$E275)*(ROW(U$2:U$1073)&lt;&gt;ROW(U275))*(U$2:U$1073&lt;&gt;""))),"")</f>
        <v>0.93200166477437119</v>
      </c>
    </row>
    <row r="276" spans="1:27" x14ac:dyDescent="0.2">
      <c r="A276" s="7" t="s">
        <v>2212</v>
      </c>
      <c r="B276" t="str">
        <f t="shared" si="46"/>
        <v>OGKB IV кв. 2023</v>
      </c>
      <c r="C276">
        <v>2023</v>
      </c>
      <c r="D276">
        <f>SUMIFS(Дивиденды!$C:$C,Дивиденды!$A:$A,A276,Дивиденды!$I:$I,C276)</f>
        <v>0</v>
      </c>
      <c r="E276">
        <v>2</v>
      </c>
      <c r="F276">
        <f t="shared" si="47"/>
        <v>0</v>
      </c>
      <c r="G276">
        <f t="shared" si="48"/>
        <v>6.6299999999999998E-2</v>
      </c>
      <c r="H276">
        <f t="shared" si="49"/>
        <v>0</v>
      </c>
      <c r="I276">
        <f t="shared" si="45"/>
        <v>0.58333333333333337</v>
      </c>
      <c r="J276">
        <f t="shared" si="50"/>
        <v>-1</v>
      </c>
      <c r="K276">
        <f t="shared" si="54"/>
        <v>0.20036657596898766</v>
      </c>
      <c r="L276">
        <f t="shared" si="51"/>
        <v>0</v>
      </c>
      <c r="M276">
        <f t="shared" si="44"/>
        <v>0.5</v>
      </c>
      <c r="N276">
        <f t="shared" si="52"/>
        <v>1</v>
      </c>
      <c r="O276">
        <f t="shared" si="53"/>
        <v>0.16666666666666666</v>
      </c>
      <c r="P276" t="str">
        <f>IFERROR(LN('Дивиденды по годам'!I276),"")</f>
        <v/>
      </c>
      <c r="Q276" t="str">
        <f>IFERROR('Дивиденды по годам'!G276/'Дивиденды по годам'!I276, "")</f>
        <v/>
      </c>
      <c r="R276" t="str">
        <f>IFERROR(IF(AND('Дивиденды по годам'!N276&lt;&gt;"",'Дивиденды по годам'!U276&lt;&gt;"",'Дивиденды по годам'!U276&lt;&gt;0),'Дивиденды по годам'!N276/'Дивиденды по годам'!U276-1,""),"")</f>
        <v/>
      </c>
      <c r="S276" t="str">
        <f>IFERROR(IF(AND('Дивиденды по годам'!L276&lt;&gt;"",'Дивиденды по годам'!I276&lt;&gt;"",'Дивиденды по годам'!J276&lt;&gt;"",'Дивиденды по годам'!K276&lt;&gt;"",('Дивиденды по годам'!I276-'Дивиденды по годам'!J276-'Дивиденды по годам'!K276)&lt;&gt;0),'Дивиденды по годам'!L276/('Дивиденды по годам'!I276-'Дивиденды по годам'!J276-'Дивиденды по годам'!K276),""),"")</f>
        <v/>
      </c>
      <c r="T276" t="str">
        <f>IFERROR(IF(AND('Дивиденды по годам'!Q276&lt;&gt;"",'Дивиденды по годам'!I276&lt;&gt;"",'Дивиденды по годам'!V276&lt;&gt;"",('Дивиденды по годам'!I276+'Дивиденды по годам'!V276)&lt;&gt;0),'Дивиденды по годам'!Q276/(('Дивиденды по годам'!I276+'Дивиденды по годам'!V276)/2),""),"")</f>
        <v/>
      </c>
      <c r="U276" t="str">
        <f>IFERROR(IF(AND('Дивиденды по годам'!J276&lt;&gt;"",'Дивиденды по годам'!K276&lt;&gt;"",'Дивиденды по годам'!M276&lt;&gt;"",'Дивиденды по годам'!M276&lt;&gt;0),('Дивиденды по годам'!J276+'Дивиденды по годам'!K276)/'Дивиденды по годам'!M276,""),"")</f>
        <v/>
      </c>
      <c r="V276" cm="1">
        <f t="array" ref="V276">IFERROR(AVERAGE(_xlfn._xlws.FILTER(P$2:P$1073,($C$2:$C$1073=$C276)*($E$2:$E$1073=$E276)*(ROW(P$2:P$1073)&lt;&gt;ROW(P276))*(P$2:P$1073&lt;&gt;""))),"")</f>
        <v>26.412844757916616</v>
      </c>
      <c r="W276" cm="1">
        <f t="array" ref="W276">IFERROR(AVERAGE(_xlfn._xlws.FILTER(Q$2:Q$1073,($C$2:$C$1073=$C276)*($E$2:$E$1073=$E276)*(ROW(Q$2:Q$1073)&lt;&gt;ROW(Q276))*(Q$2:Q$1073&lt;&gt;""))),"")</f>
        <v>0.70895600705014628</v>
      </c>
      <c r="X276" cm="1">
        <f t="array" ref="X276">IFERROR(AVERAGE(_xlfn._xlws.FILTER(R$2:R$1073,($C$2:$C$1073=$C276)*($E$2:$E$1073=$E276)*(ROW(R$2:R$1073)&lt;&gt;ROW(R276))*(R$2:R$1073&lt;&gt;""))),"")</f>
        <v>0.13982106199642538</v>
      </c>
      <c r="Y276" cm="1">
        <f t="array" ref="Y276">IFERROR(AVERAGE(_xlfn._xlws.FILTER(S$2:S$1073,($C$2:$C$1073=$C276)*($E$2:$E$1073=$E276)*(ROW(S$2:S$1073)&lt;&gt;ROW(S276))*(S$2:S$1073&lt;&gt;""))),"")</f>
        <v>0.54058275260231825</v>
      </c>
      <c r="Z276" cm="1">
        <f t="array" ref="Z276">IFERROR(AVERAGE(_xlfn._xlws.FILTER(T$2:T$1073,($C$2:$C$1073=$C276)*($E$2:$E$1073=$E276)*(ROW(T$2:T$1073)&lt;&gt;ROW(T276))*(T$2:T$1073&lt;&gt;""))),"")</f>
        <v>7.5826325918363136E-2</v>
      </c>
      <c r="AA276" cm="1">
        <f t="array" ref="AA276">IFERROR(AVERAGE(_xlfn._xlws.FILTER(U$2:U$1073,($C$2:$C$1073=$C276)*($E$2:$E$1073=$E276)*(ROW(U$2:U$1073)&lt;&gt;ROW(U276))*(U$2:U$1073&lt;&gt;""))),"")</f>
        <v>0.82391328105138761</v>
      </c>
    </row>
    <row r="277" spans="1:27" x14ac:dyDescent="0.2">
      <c r="A277" s="7" t="s">
        <v>2212</v>
      </c>
      <c r="B277" t="str">
        <f t="shared" si="46"/>
        <v>OGKB IV кв. 2022</v>
      </c>
      <c r="C277">
        <v>2022</v>
      </c>
      <c r="D277">
        <f>SUMIFS(Дивиденды!$C:$C,Дивиденды!$A:$A,A277,Дивиденды!$I:$I,C277)</f>
        <v>5.8099999999999999E-2</v>
      </c>
      <c r="E277">
        <v>2</v>
      </c>
      <c r="F277">
        <f t="shared" si="47"/>
        <v>5.8099999999999999E-2</v>
      </c>
      <c r="G277">
        <f t="shared" si="48"/>
        <v>5.9889999999999999E-2</v>
      </c>
      <c r="H277">
        <f t="shared" si="49"/>
        <v>1</v>
      </c>
      <c r="I277">
        <f t="shared" si="45"/>
        <v>0.58333333333333337</v>
      </c>
      <c r="J277">
        <f t="shared" si="50"/>
        <v>-0.39855072463768121</v>
      </c>
      <c r="K277">
        <f t="shared" si="54"/>
        <v>-0.12842930120726695</v>
      </c>
      <c r="L277">
        <f t="shared" si="51"/>
        <v>0</v>
      </c>
      <c r="M277">
        <f t="shared" si="44"/>
        <v>0.33333333333333331</v>
      </c>
      <c r="N277">
        <f t="shared" si="52"/>
        <v>1</v>
      </c>
      <c r="O277">
        <f t="shared" si="53"/>
        <v>0.41666666666666669</v>
      </c>
      <c r="P277" t="str">
        <f>IFERROR(LN('Дивиденды по годам'!I277),"")</f>
        <v/>
      </c>
      <c r="Q277" t="str">
        <f>IFERROR('Дивиденды по годам'!G277/'Дивиденды по годам'!I277, "")</f>
        <v/>
      </c>
      <c r="R277" t="str">
        <f>IFERROR(IF(AND('Дивиденды по годам'!N277&lt;&gt;"",'Дивиденды по годам'!U277&lt;&gt;"",'Дивиденды по годам'!U277&lt;&gt;0),'Дивиденды по годам'!N277/'Дивиденды по годам'!U277-1,""),"")</f>
        <v/>
      </c>
      <c r="S277" t="str">
        <f>IFERROR(IF(AND('Дивиденды по годам'!L277&lt;&gt;"",'Дивиденды по годам'!I277&lt;&gt;"",'Дивиденды по годам'!J277&lt;&gt;"",'Дивиденды по годам'!K277&lt;&gt;"",('Дивиденды по годам'!I277-'Дивиденды по годам'!J277-'Дивиденды по годам'!K277)&lt;&gt;0),'Дивиденды по годам'!L277/('Дивиденды по годам'!I277-'Дивиденды по годам'!J277-'Дивиденды по годам'!K277),""),"")</f>
        <v/>
      </c>
      <c r="T277" t="str">
        <f>IFERROR(IF(AND('Дивиденды по годам'!Q277&lt;&gt;"",'Дивиденды по годам'!I277&lt;&gt;"",'Дивиденды по годам'!V277&lt;&gt;"",('Дивиденды по годам'!I277+'Дивиденды по годам'!V277)&lt;&gt;0),'Дивиденды по годам'!Q277/(('Дивиденды по годам'!I277+'Дивиденды по годам'!V277)/2),""),"")</f>
        <v/>
      </c>
      <c r="U277" t="str">
        <f>IFERROR(IF(AND('Дивиденды по годам'!J277&lt;&gt;"",'Дивиденды по годам'!K277&lt;&gt;"",'Дивиденды по годам'!M277&lt;&gt;"",'Дивиденды по годам'!M277&lt;&gt;0),('Дивиденды по годам'!J277+'Дивиденды по годам'!K277)/'Дивиденды по годам'!M277,""),"")</f>
        <v/>
      </c>
      <c r="V277" cm="1">
        <f t="array" ref="V277">IFERROR(AVERAGE(_xlfn._xlws.FILTER(P$2:P$1073,($C$2:$C$1073=$C277)*($E$2:$E$1073=$E277)*(ROW(P$2:P$1073)&lt;&gt;ROW(P277))*(P$2:P$1073&lt;&gt;""))),"")</f>
        <v>26.311482392509326</v>
      </c>
      <c r="W277" cm="1">
        <f t="array" ref="W277">IFERROR(AVERAGE(_xlfn._xlws.FILTER(Q$2:Q$1073,($C$2:$C$1073=$C277)*($E$2:$E$1073=$E277)*(ROW(Q$2:Q$1073)&lt;&gt;ROW(Q277))*(Q$2:Q$1073&lt;&gt;""))),"")</f>
        <v>0.70812809619198602</v>
      </c>
      <c r="X277" cm="1">
        <f t="array" ref="X277">IFERROR(AVERAGE(_xlfn._xlws.FILTER(R$2:R$1073,($C$2:$C$1073=$C277)*($E$2:$E$1073=$E277)*(ROW(R$2:R$1073)&lt;&gt;ROW(R277))*(R$2:R$1073&lt;&gt;""))),"")</f>
        <v>7.2941844461954591E-2</v>
      </c>
      <c r="Y277" cm="1">
        <f t="array" ref="Y277">IFERROR(AVERAGE(_xlfn._xlws.FILTER(S$2:S$1073,($C$2:$C$1073=$C277)*($E$2:$E$1073=$E277)*(ROW(S$2:S$1073)&lt;&gt;ROW(S277))*(S$2:S$1073&lt;&gt;""))),"")</f>
        <v>0.51495855714422678</v>
      </c>
      <c r="Z277" cm="1">
        <f t="array" ref="Z277">IFERROR(AVERAGE(_xlfn._xlws.FILTER(T$2:T$1073,($C$2:$C$1073=$C277)*($E$2:$E$1073=$E277)*(ROW(T$2:T$1073)&lt;&gt;ROW(T277))*(T$2:T$1073&lt;&gt;""))),"")</f>
        <v>1.2629583278270708E-2</v>
      </c>
      <c r="AA277" cm="1">
        <f t="array" ref="AA277">IFERROR(AVERAGE(_xlfn._xlws.FILTER(U$2:U$1073,($C$2:$C$1073=$C277)*($E$2:$E$1073=$E277)*(ROW(U$2:U$1073)&lt;&gt;ROW(U277))*(U$2:U$1073&lt;&gt;""))),"")</f>
        <v>0.90922972684965886</v>
      </c>
    </row>
    <row r="278" spans="1:27" x14ac:dyDescent="0.2">
      <c r="A278" s="7" t="s">
        <v>2212</v>
      </c>
      <c r="B278" t="str">
        <f t="shared" si="46"/>
        <v>OGKB IV кв. 2021</v>
      </c>
      <c r="C278">
        <v>2021</v>
      </c>
      <c r="D278">
        <f>SUMIFS(Дивиденды!$C:$C,Дивиденды!$A:$A,A278,Дивиденды!$I:$I,C278)</f>
        <v>9.6600000000000005E-2</v>
      </c>
      <c r="E278">
        <v>2</v>
      </c>
      <c r="F278">
        <f t="shared" si="47"/>
        <v>9.6600000000000005E-2</v>
      </c>
      <c r="G278">
        <f t="shared" si="48"/>
        <v>7.3735249999999988E-2</v>
      </c>
      <c r="H278">
        <f t="shared" si="49"/>
        <v>1</v>
      </c>
      <c r="I278">
        <f t="shared" si="45"/>
        <v>0.75</v>
      </c>
      <c r="J278">
        <f t="shared" si="50"/>
        <v>0.6100000000000001</v>
      </c>
      <c r="K278">
        <f t="shared" si="54"/>
        <v>0.11304285059072229</v>
      </c>
      <c r="L278">
        <f t="shared" si="51"/>
        <v>1</v>
      </c>
      <c r="M278">
        <f t="shared" si="44"/>
        <v>0.58333333333333337</v>
      </c>
      <c r="N278">
        <f t="shared" si="52"/>
        <v>0</v>
      </c>
      <c r="O278">
        <f t="shared" si="53"/>
        <v>0.25</v>
      </c>
      <c r="P278">
        <f>IFERROR(LN('Дивиденды по годам'!I278),"")</f>
        <v>26.071011259405772</v>
      </c>
      <c r="Q278">
        <f>IFERROR('Дивиденды по годам'!G278/'Дивиденды по годам'!I278, "")</f>
        <v>0.70309897493980034</v>
      </c>
      <c r="R278">
        <f>IFERROR(IF(AND('Дивиденды по годам'!N278&lt;&gt;"",'Дивиденды по годам'!U278&lt;&gt;"",'Дивиденды по годам'!U278&lt;&gt;0),'Дивиденды по годам'!N278/'Дивиденды по годам'!U278-1,""),"")</f>
        <v>0.17306752177119322</v>
      </c>
      <c r="S278">
        <f>IFERROR(IF(AND('Дивиденды по годам'!L278&lt;&gt;"",'Дивиденды по годам'!I278&lt;&gt;"",'Дивиденды по годам'!J278&lt;&gt;"",'Дивиденды по годам'!K278&lt;&gt;"",('Дивиденды по годам'!I278-'Дивиденды по годам'!J278-'Дивиденды по годам'!K278)&lt;&gt;0),'Дивиденды по годам'!L278/('Дивиденды по годам'!I278-'Дивиденды по годам'!J278-'Дивиденды по годам'!K278),""),"")</f>
        <v>0.53136642482982721</v>
      </c>
      <c r="T278">
        <f>IFERROR(IF(AND('Дивиденды по годам'!Q278&lt;&gt;"",'Дивиденды по годам'!I278&lt;&gt;"",'Дивиденды по годам'!V278&lt;&gt;"",('Дивиденды по годам'!I278+'Дивиденды по годам'!V278)&lt;&gt;0),'Дивиденды по годам'!Q278/(('Дивиденды по годам'!I278+'Дивиденды по годам'!V278)/2),""),"")</f>
        <v>2.0411215813514665E-2</v>
      </c>
      <c r="U278">
        <f>IFERROR(IF(AND('Дивиденды по годам'!J278&lt;&gt;"",'Дивиденды по годам'!K278&lt;&gt;"",'Дивиденды по годам'!M278&lt;&gt;"",'Дивиденды по годам'!M278&lt;&gt;0),('Дивиденды по годам'!J278+'Дивиденды по годам'!K278)/'Дивиденды по годам'!M278,""),"")</f>
        <v>0.47156783103168154</v>
      </c>
      <c r="V278" cm="1">
        <f t="array" ref="V278">IFERROR(AVERAGE(_xlfn._xlws.FILTER(P$2:P$1073,($C$2:$C$1073=$C278)*($E$2:$E$1073=$E278)*(ROW(P$2:P$1073)&lt;&gt;ROW(P278))*(P$2:P$1073&lt;&gt;""))),"")</f>
        <v>25.912286153019522</v>
      </c>
      <c r="W278" cm="1">
        <f t="array" ref="W278">IFERROR(AVERAGE(_xlfn._xlws.FILTER(Q$2:Q$1073,($C$2:$C$1073=$C278)*($E$2:$E$1073=$E278)*(ROW(Q$2:Q$1073)&lt;&gt;ROW(Q278))*(Q$2:Q$1073&lt;&gt;""))),"")</f>
        <v>0.77665000131336326</v>
      </c>
      <c r="X278" cm="1">
        <f t="array" ref="X278">IFERROR(AVERAGE(_xlfn._xlws.FILTER(R$2:R$1073,($C$2:$C$1073=$C278)*($E$2:$E$1073=$E278)*(ROW(R$2:R$1073)&lt;&gt;ROW(R278))*(R$2:R$1073&lt;&gt;""))),"")</f>
        <v>0.12209641832037173</v>
      </c>
      <c r="Y278" cm="1">
        <f t="array" ref="Y278">IFERROR(AVERAGE(_xlfn._xlws.FILTER(S$2:S$1073,($C$2:$C$1073=$C278)*($E$2:$E$1073=$E278)*(ROW(S$2:S$1073)&lt;&gt;ROW(S278))*(S$2:S$1073&lt;&gt;""))),"")</f>
        <v>0.49817115265821743</v>
      </c>
      <c r="Z278" cm="1">
        <f t="array" ref="Z278">IFERROR(AVERAGE(_xlfn._xlws.FILTER(T$2:T$1073,($C$2:$C$1073=$C278)*($E$2:$E$1073=$E278)*(ROW(T$2:T$1073)&lt;&gt;ROW(T278))*(T$2:T$1073&lt;&gt;""))),"")</f>
        <v>3.8037013358300162E-2</v>
      </c>
      <c r="AA278" cm="1">
        <f t="array" ref="AA278">IFERROR(AVERAGE(_xlfn._xlws.FILTER(U$2:U$1073,($C$2:$C$1073=$C278)*($E$2:$E$1073=$E278)*(ROW(U$2:U$1073)&lt;&gt;ROW(U278))*(U$2:U$1073&lt;&gt;""))),"")</f>
        <v>0.7391380494176728</v>
      </c>
    </row>
    <row r="279" spans="1:27" x14ac:dyDescent="0.2">
      <c r="A279" s="7" t="s">
        <v>2212</v>
      </c>
      <c r="B279" t="str">
        <f t="shared" si="46"/>
        <v>OGKB IV кв. 2020</v>
      </c>
      <c r="C279">
        <v>2020</v>
      </c>
      <c r="D279">
        <f>SUMIFS(Дивиденды!$C:$C,Дивиденды!$A:$A,A279,Дивиденды!$I:$I,C279)</f>
        <v>0.06</v>
      </c>
      <c r="E279">
        <v>2</v>
      </c>
      <c r="F279">
        <f t="shared" si="47"/>
        <v>0.06</v>
      </c>
      <c r="G279">
        <f t="shared" si="48"/>
        <v>6.490591666666666E-2</v>
      </c>
      <c r="H279">
        <f t="shared" si="49"/>
        <v>1</v>
      </c>
      <c r="I279">
        <f t="shared" si="45"/>
        <v>0.75</v>
      </c>
      <c r="J279">
        <f t="shared" si="50"/>
        <v>0.10294117647058826</v>
      </c>
      <c r="K279">
        <f t="shared" si="54"/>
        <v>-9.4202463075261575E-2</v>
      </c>
      <c r="L279">
        <f t="shared" si="51"/>
        <v>1</v>
      </c>
      <c r="M279">
        <f t="shared" si="44"/>
        <v>0.5</v>
      </c>
      <c r="N279">
        <f t="shared" si="52"/>
        <v>0</v>
      </c>
      <c r="O279">
        <f t="shared" si="53"/>
        <v>0.5</v>
      </c>
      <c r="P279">
        <f>IFERROR(LN('Дивиденды по годам'!I279),"")</f>
        <v>26.136834147221208</v>
      </c>
      <c r="Q279">
        <f>IFERROR('Дивиденды по годам'!G279/'Дивиденды по годам'!I279, "")</f>
        <v>0.7167058026743186</v>
      </c>
      <c r="R279">
        <f>IFERROR(IF(AND('Дивиденды по годам'!N279&lt;&gt;"",'Дивиденды по годам'!U279&lt;&gt;"",'Дивиденды по годам'!U279&lt;&gt;0),'Дивиденды по годам'!N279/'Дивиденды по годам'!U279-1,""),"")</f>
        <v>-0.10322561469471458</v>
      </c>
      <c r="S279">
        <f>IFERROR(IF(AND('Дивиденды по годам'!L279&lt;&gt;"",'Дивиденды по годам'!I279&lt;&gt;"",'Дивиденды по годам'!J279&lt;&gt;"",'Дивиденды по годам'!K279&lt;&gt;"",('Дивиденды по годам'!I279-'Дивиденды по годам'!J279-'Дивиденды по годам'!K279)&lt;&gt;0),'Дивиденды по годам'!L279/('Дивиденды по годам'!I279-'Дивиденды по годам'!J279-'Дивиденды по годам'!K279),""),"")</f>
        <v>0.53735697742749489</v>
      </c>
      <c r="T279">
        <f>IFERROR(IF(AND('Дивиденды по годам'!Q279&lt;&gt;"",'Дивиденды по годам'!I279&lt;&gt;"",'Дивиденды по годам'!V279&lt;&gt;"",('Дивиденды по годам'!I279+'Дивиденды по годам'!V279)&lt;&gt;0),'Дивиденды по годам'!Q279/(('Дивиденды по годам'!I279+'Дивиденды по годам'!V279)/2),""),"")</f>
        <v>5.8911829886262194E-2</v>
      </c>
      <c r="U279">
        <f>IFERROR(IF(AND('Дивиденды по годам'!J279&lt;&gt;"",'Дивиденды по годам'!K279&lt;&gt;"",'Дивиденды по годам'!M279&lt;&gt;"",'Дивиденды по годам'!M279&lt;&gt;0),('Дивиденды по годам'!J279+'Дивиденды по годам'!K279)/'Дивиденды по годам'!M279,""),"")</f>
        <v>0.55159874174703583</v>
      </c>
      <c r="V279" cm="1">
        <f t="array" ref="V279">IFERROR(AVERAGE(_xlfn._xlws.FILTER(P$2:P$1073,($C$2:$C$1073=$C279)*($E$2:$E$1073=$E279)*(ROW(P$2:P$1073)&lt;&gt;ROW(P279))*(P$2:P$1073&lt;&gt;""))),"")</f>
        <v>26.176149266065199</v>
      </c>
      <c r="W279" cm="1">
        <f t="array" ref="W279">IFERROR(AVERAGE(_xlfn._xlws.FILTER(Q$2:Q$1073,($C$2:$C$1073=$C279)*($E$2:$E$1073=$E279)*(ROW(Q$2:Q$1073)&lt;&gt;ROW(Q279))*(Q$2:Q$1073&lt;&gt;""))),"")</f>
        <v>0.74732440537990319</v>
      </c>
      <c r="X279" cm="1">
        <f t="array" ref="X279">IFERROR(AVERAGE(_xlfn._xlws.FILTER(R$2:R$1073,($C$2:$C$1073=$C279)*($E$2:$E$1073=$E279)*(ROW(R$2:R$1073)&lt;&gt;ROW(R279))*(R$2:R$1073&lt;&gt;""))),"")</f>
        <v>-6.0939812141214765E-2</v>
      </c>
      <c r="Y279" cm="1">
        <f t="array" ref="Y279">IFERROR(AVERAGE(_xlfn._xlws.FILTER(S$2:S$1073,($C$2:$C$1073=$C279)*($E$2:$E$1073=$E279)*(ROW(S$2:S$1073)&lt;&gt;ROW(S279))*(S$2:S$1073&lt;&gt;""))),"")</f>
        <v>0.48006304221837864</v>
      </c>
      <c r="Z279" cm="1">
        <f t="array" ref="Z279">IFERROR(AVERAGE(_xlfn._xlws.FILTER(T$2:T$1073,($C$2:$C$1073=$C279)*($E$2:$E$1073=$E279)*(ROW(T$2:T$1073)&lt;&gt;ROW(T279))*(T$2:T$1073&lt;&gt;""))),"")</f>
        <v>4.1296954530318043E-2</v>
      </c>
      <c r="AA279" cm="1">
        <f t="array" ref="AA279">IFERROR(AVERAGE(_xlfn._xlws.FILTER(U$2:U$1073,($C$2:$C$1073=$C279)*($E$2:$E$1073=$E279)*(ROW(U$2:U$1073)&lt;&gt;ROW(U279))*(U$2:U$1073&lt;&gt;""))),"")</f>
        <v>0.6685639587898855</v>
      </c>
    </row>
    <row r="280" spans="1:27" x14ac:dyDescent="0.2">
      <c r="A280" s="7" t="s">
        <v>2212</v>
      </c>
      <c r="B280" t="str">
        <f t="shared" si="46"/>
        <v>OGKB IV кв. 2019</v>
      </c>
      <c r="C280">
        <v>2019</v>
      </c>
      <c r="D280">
        <f>SUMIFS(Дивиденды!$C:$C,Дивиденды!$A:$A,A280,Дивиденды!$I:$I,C280)</f>
        <v>5.4399999999999997E-2</v>
      </c>
      <c r="E280">
        <v>2</v>
      </c>
      <c r="F280">
        <f t="shared" si="47"/>
        <v>5.4399999999999997E-2</v>
      </c>
      <c r="G280">
        <f t="shared" si="48"/>
        <v>6.6775333333333325E-2</v>
      </c>
      <c r="H280">
        <f t="shared" si="49"/>
        <v>1</v>
      </c>
      <c r="I280">
        <f t="shared" si="45"/>
        <v>1</v>
      </c>
      <c r="J280">
        <f t="shared" si="50"/>
        <v>0.47826086956521735</v>
      </c>
      <c r="K280">
        <f t="shared" si="54"/>
        <v>0.13223768520615284</v>
      </c>
      <c r="L280">
        <f t="shared" si="51"/>
        <v>1</v>
      </c>
      <c r="M280">
        <f t="shared" si="44"/>
        <v>0.41666666666666669</v>
      </c>
      <c r="N280">
        <f t="shared" si="52"/>
        <v>0</v>
      </c>
      <c r="O280">
        <f t="shared" si="53"/>
        <v>0.5</v>
      </c>
      <c r="P280">
        <f>IFERROR(LN('Дивиденды по годам'!I280),"")</f>
        <v>26.14337154054467</v>
      </c>
      <c r="Q280">
        <f>IFERROR('Дивиденды по годам'!G280/'Дивиденды по годам'!I280, "")</f>
        <v>0.71922904963634837</v>
      </c>
      <c r="R280">
        <f>IFERROR(IF(AND('Дивиденды по годам'!N280&lt;&gt;"",'Дивиденды по годам'!U280&lt;&gt;"",'Дивиденды по годам'!U280&lt;&gt;0),'Дивиденды по годам'!N280/'Дивиденды по годам'!U280-1,""),"")</f>
        <v>-6.0379690136919906E-2</v>
      </c>
      <c r="S280">
        <f>IFERROR(IF(AND('Дивиденды по годам'!L280&lt;&gt;"",'Дивиденды по годам'!I280&lt;&gt;"",'Дивиденды по годам'!J280&lt;&gt;"",'Дивиденды по годам'!K280&lt;&gt;"",('Дивиденды по годам'!I280-'Дивиденды по годам'!J280-'Дивиденды по годам'!K280)&lt;&gt;0),'Дивиденды по годам'!L280/('Дивиденды по годам'!I280-'Дивиденды по годам'!J280-'Дивиденды по годам'!K280),""),"")</f>
        <v>0.51276020998827732</v>
      </c>
      <c r="T280">
        <f>IFERROR(IF(AND('Дивиденды по годам'!Q280&lt;&gt;"",'Дивиденды по годам'!I280&lt;&gt;"",'Дивиденды по годам'!V280&lt;&gt;"",('Дивиденды по годам'!I280+'Дивиденды по годам'!V280)&lt;&gt;0),'Дивиденды по годам'!Q280/(('Дивиденды по годам'!I280+'Дивиденды по годам'!V280)/2),""),"")</f>
        <v>5.4748128786356681E-2</v>
      </c>
      <c r="U280">
        <f>IFERROR(IF(AND('Дивиденды по годам'!J280&lt;&gt;"",'Дивиденды по годам'!K280&lt;&gt;"",'Дивиденды по годам'!M280&lt;&gt;"",'Дивиденды по годам'!M280&lt;&gt;0),('Дивиденды по годам'!J280+'Дивиденды по годам'!K280)/'Дивиденды по годам'!M280,""),"")</f>
        <v>0.64483293408377684</v>
      </c>
      <c r="V280" cm="1">
        <f t="array" ref="V280">IFERROR(AVERAGE(_xlfn._xlws.FILTER(P$2:P$1073,($C$2:$C$1073=$C280)*($E$2:$E$1073=$E280)*(ROW(P$2:P$1073)&lt;&gt;ROW(P280))*(P$2:P$1073&lt;&gt;""))),"")</f>
        <v>26.132543676671713</v>
      </c>
      <c r="W280" cm="1">
        <f t="array" ref="W280">IFERROR(AVERAGE(_xlfn._xlws.FILTER(Q$2:Q$1073,($C$2:$C$1073=$C280)*($E$2:$E$1073=$E280)*(ROW(Q$2:Q$1073)&lt;&gt;ROW(Q280))*(Q$2:Q$1073&lt;&gt;""))),"")</f>
        <v>0.73847559180823386</v>
      </c>
      <c r="X280" cm="1">
        <f t="array" ref="X280">IFERROR(AVERAGE(_xlfn._xlws.FILTER(R$2:R$1073,($C$2:$C$1073=$C280)*($E$2:$E$1073=$E280)*(ROW(R$2:R$1073)&lt;&gt;ROW(R280))*(R$2:R$1073&lt;&gt;""))),"")</f>
        <v>8.8030512391106541E-3</v>
      </c>
      <c r="Y280" cm="1">
        <f t="array" ref="Y280">IFERROR(AVERAGE(_xlfn._xlws.FILTER(S$2:S$1073,($C$2:$C$1073=$C280)*($E$2:$E$1073=$E280)*(ROW(S$2:S$1073)&lt;&gt;ROW(S280))*(S$2:S$1073&lt;&gt;""))),"")</f>
        <v>0.47079653689798623</v>
      </c>
      <c r="Z280" cm="1">
        <f t="array" ref="Z280">IFERROR(AVERAGE(_xlfn._xlws.FILTER(T$2:T$1073,($C$2:$C$1073=$C280)*($E$2:$E$1073=$E280)*(ROW(T$2:T$1073)&lt;&gt;ROW(T280))*(T$2:T$1073&lt;&gt;""))),"")</f>
        <v>5.173414027559655E-2</v>
      </c>
      <c r="AA280" cm="1">
        <f t="array" ref="AA280">IFERROR(AVERAGE(_xlfn._xlws.FILTER(U$2:U$1073,($C$2:$C$1073=$C280)*($E$2:$E$1073=$E280)*(ROW(U$2:U$1073)&lt;&gt;ROW(U280))*(U$2:U$1073&lt;&gt;""))),"")</f>
        <v>0.66712260560096937</v>
      </c>
    </row>
    <row r="281" spans="1:27" x14ac:dyDescent="0.2">
      <c r="A281" s="7" t="s">
        <v>2212</v>
      </c>
      <c r="B281" t="str">
        <f t="shared" si="46"/>
        <v>OGKB IV кв. 2018</v>
      </c>
      <c r="C281">
        <v>2018</v>
      </c>
      <c r="D281">
        <f>SUMIFS(Дивиденды!$C:$C,Дивиденды!$A:$A,A281,Дивиденды!$I:$I,C281)</f>
        <v>3.6799999999999999E-2</v>
      </c>
      <c r="E281">
        <v>2</v>
      </c>
      <c r="F281">
        <f t="shared" si="47"/>
        <v>3.6799999999999999E-2</v>
      </c>
      <c r="G281">
        <f t="shared" si="48"/>
        <v>7.7503749999999996E-2</v>
      </c>
      <c r="H281">
        <f t="shared" si="49"/>
        <v>1</v>
      </c>
      <c r="I281">
        <f t="shared" si="45"/>
        <v>1</v>
      </c>
      <c r="J281">
        <f t="shared" si="50"/>
        <v>1.2576687116564418</v>
      </c>
      <c r="K281">
        <f t="shared" si="54"/>
        <v>9.1452635659548642E-2</v>
      </c>
      <c r="L281">
        <f t="shared" si="51"/>
        <v>1</v>
      </c>
      <c r="M281">
        <f t="shared" si="44"/>
        <v>0.58333333333333337</v>
      </c>
      <c r="N281">
        <f t="shared" si="52"/>
        <v>0</v>
      </c>
      <c r="O281">
        <f t="shared" si="53"/>
        <v>0.25</v>
      </c>
      <c r="P281">
        <f>IFERROR(LN('Дивиденды по годам'!I281),"")</f>
        <v>26.086347105481845</v>
      </c>
      <c r="Q281">
        <f>IFERROR('Дивиденды по годам'!G281/'Дивиденды по годам'!I281, "")</f>
        <v>0.82713095170141804</v>
      </c>
      <c r="R281">
        <f>IFERROR(IF(AND('Дивиденды по годам'!N281&lt;&gt;"",'Дивиденды по годам'!U281&lt;&gt;"",'Дивиденды по годам'!U281&lt;&gt;0),'Дивиденды по годам'!N281/'Дивиденды по годам'!U281-1,""),"")</f>
        <v>1.3583491984915375E-2</v>
      </c>
      <c r="S281">
        <f>IFERROR(IF(AND('Дивиденды по годам'!L281&lt;&gt;"",'Дивиденды по годам'!I281&lt;&gt;"",'Дивиденды по годам'!J281&lt;&gt;"",'Дивиденды по годам'!K281&lt;&gt;"",('Дивиденды по годам'!I281-'Дивиденды по годам'!J281-'Дивиденды по годам'!K281)&lt;&gt;0),'Дивиденды по годам'!L281/('Дивиденды по годам'!I281-'Дивиденды по годам'!J281-'Дивиденды по годам'!K281),""),"")</f>
        <v>0.4915882795546801</v>
      </c>
      <c r="T281">
        <f>IFERROR(IF(AND('Дивиденды по годам'!Q281&lt;&gt;"",'Дивиденды по годам'!I281&lt;&gt;"",'Дивиденды по годам'!V281&lt;&gt;"",('Дивиденды по годам'!I281+'Дивиденды по годам'!V281)&lt;&gt;0),'Дивиденды по годам'!Q281/(('Дивиденды по годам'!I281+'Дивиденды по годам'!V281)/2),""),"")</f>
        <v>3.8677355235805455E-2</v>
      </c>
      <c r="U281">
        <f>IFERROR(IF(AND('Дивиденды по годам'!J281&lt;&gt;"",'Дивиденды по годам'!K281&lt;&gt;"",'Дивиденды по годам'!M281&lt;&gt;"",'Дивиденды по годам'!M281&lt;&gt;0),('Дивиденды по годам'!J281+'Дивиденды по годам'!K281)/'Дивиденды по годам'!M281,""),"")</f>
        <v>0.67600409477011969</v>
      </c>
      <c r="V281" cm="1">
        <f t="array" ref="V281">IFERROR(AVERAGE(_xlfn._xlws.FILTER(P$2:P$1073,($C$2:$C$1073=$C281)*($E$2:$E$1073=$E281)*(ROW(P$2:P$1073)&lt;&gt;ROW(P281))*(P$2:P$1073&lt;&gt;""))),"")</f>
        <v>26.079729755732199</v>
      </c>
      <c r="W281" cm="1">
        <f t="array" ref="W281">IFERROR(AVERAGE(_xlfn._xlws.FILTER(Q$2:Q$1073,($C$2:$C$1073=$C281)*($E$2:$E$1073=$E281)*(ROW(Q$2:Q$1073)&lt;&gt;ROW(Q281))*(Q$2:Q$1073&lt;&gt;""))),"")</f>
        <v>0.74702157635987143</v>
      </c>
      <c r="X281" cm="1">
        <f t="array" ref="X281">IFERROR(AVERAGE(_xlfn._xlws.FILTER(R$2:R$1073,($C$2:$C$1073=$C281)*($E$2:$E$1073=$E281)*(ROW(R$2:R$1073)&lt;&gt;ROW(R281))*(R$2:R$1073&lt;&gt;""))),"")</f>
        <v>5.3251191038033469E-2</v>
      </c>
      <c r="Y281" cm="1">
        <f t="array" ref="Y281">IFERROR(AVERAGE(_xlfn._xlws.FILTER(S$2:S$1073,($C$2:$C$1073=$C281)*($E$2:$E$1073=$E281)*(ROW(S$2:S$1073)&lt;&gt;ROW(S281))*(S$2:S$1073&lt;&gt;""))),"")</f>
        <v>0.46214486242035346</v>
      </c>
      <c r="Z281" cm="1">
        <f t="array" ref="Z281">IFERROR(AVERAGE(_xlfn._xlws.FILTER(T$2:T$1073,($C$2:$C$1073=$C281)*($E$2:$E$1073=$E281)*(ROW(T$2:T$1073)&lt;&gt;ROW(T281))*(T$2:T$1073&lt;&gt;""))),"")</f>
        <v>7.0889314914287654E-2</v>
      </c>
      <c r="AA281" cm="1">
        <f t="array" ref="AA281">IFERROR(AVERAGE(_xlfn._xlws.FILTER(U$2:U$1073,($C$2:$C$1073=$C281)*($E$2:$E$1073=$E281)*(ROW(U$2:U$1073)&lt;&gt;ROW(U281))*(U$2:U$1073&lt;&gt;""))),"")</f>
        <v>0.62829818555573957</v>
      </c>
    </row>
    <row r="282" spans="1:27" x14ac:dyDescent="0.2">
      <c r="A282" s="7" t="s">
        <v>2212</v>
      </c>
      <c r="B282" t="str">
        <f t="shared" si="46"/>
        <v>OGKB IV кв. 2017</v>
      </c>
      <c r="C282">
        <v>2017</v>
      </c>
      <c r="D282">
        <f>SUMIFS(Дивиденды!$C:$C,Дивиденды!$A:$A,A282,Дивиденды!$I:$I,C282)</f>
        <v>1.6299999999999999E-2</v>
      </c>
      <c r="E282">
        <v>2</v>
      </c>
      <c r="F282">
        <f t="shared" si="47"/>
        <v>1.6299999999999999E-2</v>
      </c>
      <c r="G282">
        <f t="shared" si="48"/>
        <v>7.0750499999999994E-2</v>
      </c>
      <c r="H282">
        <f t="shared" si="49"/>
        <v>1</v>
      </c>
      <c r="I282">
        <f t="shared" si="45"/>
        <v>1</v>
      </c>
      <c r="J282">
        <f t="shared" si="50"/>
        <v>0.97503937961953213</v>
      </c>
      <c r="K282">
        <f t="shared" si="54"/>
        <v>0.56049635597198921</v>
      </c>
      <c r="L282">
        <f t="shared" si="51"/>
        <v>1</v>
      </c>
      <c r="M282">
        <f t="shared" si="44"/>
        <v>0.75</v>
      </c>
      <c r="N282">
        <f t="shared" si="52"/>
        <v>0</v>
      </c>
      <c r="O282">
        <f t="shared" si="53"/>
        <v>0.25</v>
      </c>
      <c r="P282">
        <f>IFERROR(LN('Дивиденды по годам'!I282),"")</f>
        <v>26.09882098411245</v>
      </c>
      <c r="Q282">
        <f>IFERROR('Дивиденды по годам'!G282/'Дивиденды по годам'!I282, "")</f>
        <v>0.85285321770015288</v>
      </c>
      <c r="R282">
        <f>IFERROR(IF(AND('Дивиденды по годам'!N282&lt;&gt;"",'Дивиденды по годам'!U282&lt;&gt;"",'Дивиденды по годам'!U282&lt;&gt;0),'Дивиденды по годам'!N282/'Дивиденды по годам'!U282-1,""),"")</f>
        <v>5.1412092256577058E-2</v>
      </c>
      <c r="S282">
        <f>IFERROR(IF(AND('Дивиденды по годам'!L282&lt;&gt;"",'Дивиденды по годам'!I282&lt;&gt;"",'Дивиденды по годам'!J282&lt;&gt;"",'Дивиденды по годам'!K282&lt;&gt;"",('Дивиденды по годам'!I282-'Дивиденды по годам'!J282-'Дивиденды по годам'!K282)&lt;&gt;0),'Дивиденды по годам'!L282/('Дивиденды по годам'!I282-'Дивиденды по годам'!J282-'Дивиденды по годам'!K282),""),"")</f>
        <v>0.46605295590794604</v>
      </c>
      <c r="T282">
        <f>IFERROR(IF(AND('Дивиденды по годам'!Q282&lt;&gt;"",'Дивиденды по годам'!I282&lt;&gt;"",'Дивиденды по годам'!V282&lt;&gt;"",('Дивиденды по годам'!I282+'Дивиденды по годам'!V282)&lt;&gt;0),'Дивиденды по годам'!Q282/(('Дивиденды по годам'!I282+'Дивиденды по годам'!V282)/2),""),"")</f>
        <v>3.3301256958263394E-2</v>
      </c>
      <c r="U282">
        <f>IFERROR(IF(AND('Дивиденды по годам'!J282&lt;&gt;"",'Дивиденды по годам'!K282&lt;&gt;"",'Дивиденды по годам'!M282&lt;&gt;"",'Дивиденды по годам'!M282&lt;&gt;0),('Дивиденды по годам'!J282+'Дивиденды по годам'!K282)/'Дивиденды по годам'!M282,""),"")</f>
        <v>0.78543215806341093</v>
      </c>
      <c r="V282" cm="1">
        <f t="array" ref="V282">IFERROR(AVERAGE(_xlfn._xlws.FILTER(P$2:P$1073,($C$2:$C$1073=$C282)*($E$2:$E$1073=$E282)*(ROW(P$2:P$1073)&lt;&gt;ROW(P282))*(P$2:P$1073&lt;&gt;""))),"")</f>
        <v>26.046077714496789</v>
      </c>
      <c r="W282" cm="1">
        <f t="array" ref="W282">IFERROR(AVERAGE(_xlfn._xlws.FILTER(Q$2:Q$1073,($C$2:$C$1073=$C282)*($E$2:$E$1073=$E282)*(ROW(Q$2:Q$1073)&lt;&gt;ROW(Q282))*(Q$2:Q$1073&lt;&gt;""))),"")</f>
        <v>0.75238788632493214</v>
      </c>
      <c r="X282" cm="1">
        <f t="array" ref="X282">IFERROR(AVERAGE(_xlfn._xlws.FILTER(R$2:R$1073,($C$2:$C$1073=$C282)*($E$2:$E$1073=$E282)*(ROW(R$2:R$1073)&lt;&gt;ROW(R282))*(R$2:R$1073&lt;&gt;""))),"")</f>
        <v>4.5426248934197271E-2</v>
      </c>
      <c r="Y282" cm="1">
        <f t="array" ref="Y282">IFERROR(AVERAGE(_xlfn._xlws.FILTER(S$2:S$1073,($C$2:$C$1073=$C282)*($E$2:$E$1073=$E282)*(ROW(S$2:S$1073)&lt;&gt;ROW(S282))*(S$2:S$1073&lt;&gt;""))),"")</f>
        <v>0.41667267363696553</v>
      </c>
      <c r="Z282" cm="1">
        <f t="array" ref="Z282">IFERROR(AVERAGE(_xlfn._xlws.FILTER(T$2:T$1073,($C$2:$C$1073=$C282)*($E$2:$E$1073=$E282)*(ROW(T$2:T$1073)&lt;&gt;ROW(T282))*(T$2:T$1073&lt;&gt;""))),"")</f>
        <v>8.5592418392717098E-2</v>
      </c>
      <c r="AA282" cm="1">
        <f t="array" ref="AA282">IFERROR(AVERAGE(_xlfn._xlws.FILTER(U$2:U$1073,($C$2:$C$1073=$C282)*($E$2:$E$1073=$E282)*(ROW(U$2:U$1073)&lt;&gt;ROW(U282))*(U$2:U$1073&lt;&gt;""))),"")</f>
        <v>0.61845712199987812</v>
      </c>
    </row>
    <row r="283" spans="1:27" x14ac:dyDescent="0.2">
      <c r="A283" s="7" t="s">
        <v>2212</v>
      </c>
      <c r="B283" t="str">
        <f t="shared" si="46"/>
        <v>OGKB IV кв. 2016</v>
      </c>
      <c r="C283">
        <v>2016</v>
      </c>
      <c r="D283">
        <f>SUMIFS(Дивиденды!$C:$C,Дивиденды!$A:$A,A283,Дивиденды!$I:$I,C283)</f>
        <v>8.2529999999999999E-3</v>
      </c>
      <c r="E283">
        <v>2</v>
      </c>
      <c r="F283">
        <f t="shared" si="47"/>
        <v>8.2529999999999999E-3</v>
      </c>
      <c r="G283">
        <f t="shared" si="48"/>
        <v>5.6707416666666656E-2</v>
      </c>
      <c r="H283">
        <f t="shared" si="49"/>
        <v>1</v>
      </c>
      <c r="I283">
        <f t="shared" si="45"/>
        <v>1</v>
      </c>
      <c r="J283">
        <f t="shared" si="50"/>
        <v>0.4545294324991187</v>
      </c>
      <c r="K283">
        <f t="shared" si="54"/>
        <v>1.3691925850975499</v>
      </c>
      <c r="L283">
        <f t="shared" si="51"/>
        <v>1</v>
      </c>
      <c r="M283">
        <f t="shared" si="44"/>
        <v>0.83333333333333337</v>
      </c>
      <c r="N283">
        <f t="shared" si="52"/>
        <v>0</v>
      </c>
      <c r="O283">
        <f t="shared" si="53"/>
        <v>0.16666666666666666</v>
      </c>
      <c r="P283">
        <f>IFERROR(LN('Дивиденды по годам'!I283),"")</f>
        <v>26.100431518164559</v>
      </c>
      <c r="Q283">
        <f>IFERROR('Дивиденды по годам'!G283/'Дивиденды по годам'!I283, "")</f>
        <v>0.85393864948711984</v>
      </c>
      <c r="R283">
        <f>IFERROR(IF(AND('Дивиденды по годам'!N283&lt;&gt;"",'Дивиденды по годам'!U283&lt;&gt;"",'Дивиденды по годам'!U283&lt;&gt;0),'Дивиденды по годам'!N283/'Дивиденды по годам'!U283-1,""),"")</f>
        <v>0.19748583874881986</v>
      </c>
      <c r="S283">
        <f>IFERROR(IF(AND('Дивиденды по годам'!L283&lt;&gt;"",'Дивиденды по годам'!I283&lt;&gt;"",'Дивиденды по годам'!J283&lt;&gt;"",'Дивиденды по годам'!K283&lt;&gt;"",('Дивиденды по годам'!I283-'Дивиденды по годам'!J283-'Дивиденды по годам'!K283)&lt;&gt;0),'Дивиденды по годам'!L283/('Дивиденды по годам'!I283-'Дивиденды по годам'!J283-'Дивиденды по годам'!K283),""),"")</f>
        <v>0.43833668870964509</v>
      </c>
      <c r="T283">
        <f>IFERROR(IF(AND('Дивиденды по годам'!Q283&lt;&gt;"",'Дивиденды по годам'!I283&lt;&gt;"",'Дивиденды по годам'!V283&lt;&gt;"",('Дивиденды по годам'!I283+'Дивиденды по годам'!V283)&lt;&gt;0),'Дивиденды по годам'!Q283/(('Дивиденды по годам'!I283+'Дивиденды по годам'!V283)/2),""),"")</f>
        <v>1.4139390795672257E-2</v>
      </c>
      <c r="U283">
        <f>IFERROR(IF(AND('Дивиденды по годам'!J283&lt;&gt;"",'Дивиденды по годам'!K283&lt;&gt;"",'Дивиденды по годам'!M283&lt;&gt;"",'Дивиденды по годам'!M283&lt;&gt;0),('Дивиденды по годам'!J283+'Дивиденды по годам'!K283)/'Дивиденды по годам'!M283,""),"")</f>
        <v>0.88523686111007061</v>
      </c>
      <c r="V283" cm="1">
        <f t="array" ref="V283">IFERROR(AVERAGE(_xlfn._xlws.FILTER(P$2:P$1073,($C$2:$C$1073=$C283)*($E$2:$E$1073=$E283)*(ROW(P$2:P$1073)&lt;&gt;ROW(P283))*(P$2:P$1073&lt;&gt;""))),"")</f>
        <v>26.000136743521892</v>
      </c>
      <c r="W283" cm="1">
        <f t="array" ref="W283">IFERROR(AVERAGE(_xlfn._xlws.FILTER(Q$2:Q$1073,($C$2:$C$1073=$C283)*($E$2:$E$1073=$E283)*(ROW(Q$2:Q$1073)&lt;&gt;ROW(Q283))*(Q$2:Q$1073&lt;&gt;""))),"")</f>
        <v>0.70479249262906274</v>
      </c>
      <c r="X283" cm="1">
        <f t="array" ref="X283">IFERROR(AVERAGE(_xlfn._xlws.FILTER(R$2:R$1073,($C$2:$C$1073=$C283)*($E$2:$E$1073=$E283)*(ROW(R$2:R$1073)&lt;&gt;ROW(R283))*(R$2:R$1073&lt;&gt;""))),"")</f>
        <v>0.10584299657160072</v>
      </c>
      <c r="Y283" cm="1">
        <f t="array" ref="Y283">IFERROR(AVERAGE(_xlfn._xlws.FILTER(S$2:S$1073,($C$2:$C$1073=$C283)*($E$2:$E$1073=$E283)*(ROW(S$2:S$1073)&lt;&gt;ROW(S283))*(S$2:S$1073&lt;&gt;""))),"")</f>
        <v>0.40621572623913771</v>
      </c>
      <c r="Z283" cm="1">
        <f t="array" ref="Z283">IFERROR(AVERAGE(_xlfn._xlws.FILTER(T$2:T$1073,($C$2:$C$1073=$C283)*($E$2:$E$1073=$E283)*(ROW(T$2:T$1073)&lt;&gt;ROW(T283))*(T$2:T$1073&lt;&gt;""))),"")</f>
        <v>4.3624411875946699E-2</v>
      </c>
      <c r="AA283" cm="1">
        <f t="array" ref="AA283">IFERROR(AVERAGE(_xlfn._xlws.FILTER(U$2:U$1073,($C$2:$C$1073=$C283)*($E$2:$E$1073=$E283)*(ROW(U$2:U$1073)&lt;&gt;ROW(U283))*(U$2:U$1073&lt;&gt;""))),"")</f>
        <v>0.71302097587319047</v>
      </c>
    </row>
    <row r="284" spans="1:27" x14ac:dyDescent="0.2">
      <c r="A284" s="7" t="s">
        <v>2212</v>
      </c>
      <c r="B284" t="str">
        <f t="shared" si="46"/>
        <v>OGKB IV кв. 2015</v>
      </c>
      <c r="C284">
        <v>2015</v>
      </c>
      <c r="D284">
        <f>SUMIFS(Дивиденды!$C:$C,Дивиденды!$A:$A,A284,Дивиденды!$I:$I,C284)</f>
        <v>5.6740000000000002E-3</v>
      </c>
      <c r="E284">
        <v>2</v>
      </c>
      <c r="F284">
        <f t="shared" si="47"/>
        <v>5.6740000000000002E-3</v>
      </c>
      <c r="G284">
        <f t="shared" si="48"/>
        <v>4.0967250000000004E-2</v>
      </c>
      <c r="H284">
        <f t="shared" si="49"/>
        <v>1</v>
      </c>
      <c r="I284">
        <f t="shared" si="45"/>
        <v>0.91666666666666663</v>
      </c>
      <c r="J284">
        <f t="shared" si="50"/>
        <v>-0.30311962662736425</v>
      </c>
      <c r="K284">
        <f t="shared" si="54"/>
        <v>4.170236413877956</v>
      </c>
      <c r="L284">
        <f t="shared" si="51"/>
        <v>0</v>
      </c>
      <c r="M284">
        <f t="shared" si="44"/>
        <v>0.75</v>
      </c>
      <c r="N284">
        <f t="shared" si="52"/>
        <v>1</v>
      </c>
      <c r="O284">
        <f t="shared" si="53"/>
        <v>0.25</v>
      </c>
      <c r="P284">
        <f>IFERROR(LN('Дивиденды по годам'!I284),"")</f>
        <v>26.095656026816172</v>
      </c>
      <c r="Q284">
        <f>IFERROR('Дивиденды по годам'!G284/'Дивиденды по годам'!I284, "")</f>
        <v>0.82830476200469738</v>
      </c>
      <c r="R284">
        <f>IFERROR(IF(AND('Дивиденды по годам'!N284&lt;&gt;"",'Дивиденды по годам'!U284&lt;&gt;"",'Дивиденды по годам'!U284&lt;&gt;0),'Дивиденды по годам'!N284/'Дивиденды по годам'!U284-1,""),"")</f>
        <v>-3.2790234761890691E-2</v>
      </c>
      <c r="S284">
        <f>IFERROR(IF(AND('Дивиденды по годам'!L284&lt;&gt;"",'Дивиденды по годам'!I284&lt;&gt;"",'Дивиденды по годам'!J284&lt;&gt;"",'Дивиденды по годам'!K284&lt;&gt;"",('Дивиденды по годам'!I284-'Дивиденды по годам'!J284-'Дивиденды по годам'!K284)&lt;&gt;0),'Дивиденды по годам'!L284/('Дивиденды по годам'!I284-'Дивиденды по годам'!J284-'Дивиденды по годам'!K284),""),"")</f>
        <v>0.42388885269130594</v>
      </c>
      <c r="T284">
        <f>IFERROR(IF(AND('Дивиденды по годам'!Q284&lt;&gt;"",'Дивиденды по годам'!I284&lt;&gt;"",'Дивиденды по годам'!V284&lt;&gt;"",('Дивиденды по годам'!I284+'Дивиденды по годам'!V284)&lt;&gt;0),'Дивиденды по годам'!Q284/(('Дивиденды по годам'!I284+'Дивиденды по годам'!V284)/2),""),"")</f>
        <v>1.3089725809901526E-2</v>
      </c>
      <c r="U284">
        <f>IFERROR(IF(AND('Дивиденды по годам'!J284&lt;&gt;"",'Дивиденды по годам'!K284&lt;&gt;"",'Дивиденды по годам'!M284&lt;&gt;"",'Дивиденды по годам'!M284&lt;&gt;0),('Дивиденды по годам'!J284+'Дивиденды по годам'!K284)/'Дивиденды по годам'!M284,""),"")</f>
        <v>0.86957516936779633</v>
      </c>
      <c r="V284" cm="1">
        <f t="array" ref="V284">IFERROR(AVERAGE(_xlfn._xlws.FILTER(P$2:P$1073,($C$2:$C$1073=$C284)*($E$2:$E$1073=$E284)*(ROW(P$2:P$1073)&lt;&gt;ROW(P284))*(P$2:P$1073&lt;&gt;""))),"")</f>
        <v>25.912375416023234</v>
      </c>
      <c r="W284" cm="1">
        <f t="array" ref="W284">IFERROR(AVERAGE(_xlfn._xlws.FILTER(Q$2:Q$1073,($C$2:$C$1073=$C284)*($E$2:$E$1073=$E284)*(ROW(Q$2:Q$1073)&lt;&gt;ROW(Q284))*(Q$2:Q$1073&lt;&gt;""))),"")</f>
        <v>0.7744908251490602</v>
      </c>
      <c r="X284" cm="1">
        <f t="array" ref="X284">IFERROR(AVERAGE(_xlfn._xlws.FILTER(R$2:R$1073,($C$2:$C$1073=$C284)*($E$2:$E$1073=$E284)*(ROW(R$2:R$1073)&lt;&gt;ROW(R284))*(R$2:R$1073&lt;&gt;""))),"")</f>
        <v>1.114534705621828E-2</v>
      </c>
      <c r="Y284" cm="1">
        <f t="array" ref="Y284">IFERROR(AVERAGE(_xlfn._xlws.FILTER(S$2:S$1073,($C$2:$C$1073=$C284)*($E$2:$E$1073=$E284)*(ROW(S$2:S$1073)&lt;&gt;ROW(S284))*(S$2:S$1073&lt;&gt;""))),"")</f>
        <v>0.4982124851262163</v>
      </c>
      <c r="Z284" cm="1">
        <f t="array" ref="Z284">IFERROR(AVERAGE(_xlfn._xlws.FILTER(T$2:T$1073,($C$2:$C$1073=$C284)*($E$2:$E$1073=$E284)*(ROW(T$2:T$1073)&lt;&gt;ROW(T284))*(T$2:T$1073&lt;&gt;""))),"")</f>
        <v>-1.5218571844605733E-2</v>
      </c>
      <c r="AA284" cm="1">
        <f t="array" ref="AA284">IFERROR(AVERAGE(_xlfn._xlws.FILTER(U$2:U$1073,($C$2:$C$1073=$C284)*($E$2:$E$1073=$E284)*(ROW(U$2:U$1073)&lt;&gt;ROW(U284))*(U$2:U$1073&lt;&gt;""))),"")</f>
        <v>0.89491010339615362</v>
      </c>
    </row>
    <row r="285" spans="1:27" x14ac:dyDescent="0.2">
      <c r="A285" s="7" t="s">
        <v>2212</v>
      </c>
      <c r="B285" t="str">
        <f t="shared" si="46"/>
        <v>OGKB IV кв. 2014</v>
      </c>
      <c r="C285">
        <v>2014</v>
      </c>
      <c r="D285">
        <f>SUMIFS(Дивиденды!$C:$C,Дивиденды!$A:$A,A285,Дивиденды!$I:$I,C285)</f>
        <v>8.1419999999999999E-3</v>
      </c>
      <c r="E285">
        <v>2</v>
      </c>
      <c r="F285">
        <f t="shared" si="47"/>
        <v>8.1419999999999999E-3</v>
      </c>
      <c r="G285">
        <f t="shared" si="48"/>
        <v>3.8289416666666666E-2</v>
      </c>
      <c r="H285">
        <f t="shared" si="49"/>
        <v>1</v>
      </c>
      <c r="I285">
        <f t="shared" si="45"/>
        <v>1</v>
      </c>
      <c r="J285">
        <f t="shared" si="50"/>
        <v>1</v>
      </c>
      <c r="K285">
        <f t="shared" si="54"/>
        <v>1.317770148349972</v>
      </c>
      <c r="L285">
        <f t="shared" si="51"/>
        <v>1</v>
      </c>
      <c r="M285">
        <f t="shared" si="44"/>
        <v>0.58333333333333337</v>
      </c>
      <c r="N285">
        <f t="shared" si="52"/>
        <v>0</v>
      </c>
      <c r="O285">
        <f t="shared" si="53"/>
        <v>0.33333333333333331</v>
      </c>
      <c r="P285">
        <f>IFERROR(LN('Дивиденды по годам'!I285),"")</f>
        <v>25.923778007724799</v>
      </c>
      <c r="Q285">
        <f>IFERROR('Дивиденды по годам'!G285/'Дивиденды по годам'!I285, "")</f>
        <v>0.78712071783950854</v>
      </c>
      <c r="R285" t="str">
        <f>IFERROR(IF(AND('Дивиденды по годам'!N285&lt;&gt;"",'Дивиденды по годам'!U285&lt;&gt;"",'Дивиденды по годам'!U285&lt;&gt;0),'Дивиденды по годам'!N285/'Дивиденды по годам'!U285-1,""),"")</f>
        <v/>
      </c>
      <c r="S285">
        <f>IFERROR(IF(AND('Дивиденды по годам'!L285&lt;&gt;"",'Дивиденды по годам'!I285&lt;&gt;"",'Дивиденды по годам'!J285&lt;&gt;"",'Дивиденды по годам'!K285&lt;&gt;"",('Дивиденды по годам'!I285-'Дивиденды по годам'!J285-'Дивиденды по годам'!K285)&lt;&gt;0),'Дивиденды по годам'!L285/('Дивиденды по годам'!I285-'Дивиденды по годам'!J285-'Дивиденды по годам'!K285),""),"")</f>
        <v>0.42568936388073114</v>
      </c>
      <c r="T285" t="str">
        <f>IFERROR(IF(AND('Дивиденды по годам'!Q285&lt;&gt;"",'Дивиденды по годам'!I285&lt;&gt;"",'Дивиденды по годам'!V285&lt;&gt;"",('Дивиденды по годам'!I285+'Дивиденды по годам'!V285)&lt;&gt;0),'Дивиденды по годам'!Q285/(('Дивиденды по годам'!I285+'Дивиденды по годам'!V285)/2),""),"")</f>
        <v/>
      </c>
      <c r="U285">
        <f>IFERROR(IF(AND('Дивиденды по годам'!J285&lt;&gt;"",'Дивиденды по годам'!K285&lt;&gt;"",'Дивиденды по годам'!M285&lt;&gt;"",'Дивиденды по годам'!M285&lt;&gt;0),('Дивиденды по годам'!J285+'Дивиденды по годам'!K285)/'Дивиденды по годам'!M285,""),"")</f>
        <v>0.62505160464263876</v>
      </c>
      <c r="V285" cm="1">
        <f t="array" ref="V285">IFERROR(AVERAGE(_xlfn._xlws.FILTER(P$2:P$1073,($C$2:$C$1073=$C285)*($E$2:$E$1073=$E285)*(ROW(P$2:P$1073)&lt;&gt;ROW(P285))*(P$2:P$1073&lt;&gt;""))),"")</f>
        <v>26.186220495210939</v>
      </c>
      <c r="W285" cm="1">
        <f t="array" ref="W285">IFERROR(AVERAGE(_xlfn._xlws.FILTER(Q$2:Q$1073,($C$2:$C$1073=$C285)*($E$2:$E$1073=$E285)*(ROW(Q$2:Q$1073)&lt;&gt;ROW(Q285))*(Q$2:Q$1073&lt;&gt;""))),"")</f>
        <v>0.76991976251914218</v>
      </c>
      <c r="X285" cm="1">
        <f t="array" ref="X285">IFERROR(AVERAGE(_xlfn._xlws.FILTER(R$2:R$1073,($C$2:$C$1073=$C285)*($E$2:$E$1073=$E285)*(ROW(R$2:R$1073)&lt;&gt;ROW(R285))*(R$2:R$1073&lt;&gt;""))),"")</f>
        <v>2.2711345548547646E-2</v>
      </c>
      <c r="Y285" cm="1">
        <f t="array" ref="Y285">IFERROR(AVERAGE(_xlfn._xlws.FILTER(S$2:S$1073,($C$2:$C$1073=$C285)*($E$2:$E$1073=$E285)*(ROW(S$2:S$1073)&lt;&gt;ROW(S285))*(S$2:S$1073&lt;&gt;""))),"")</f>
        <v>0.64045455671739793</v>
      </c>
      <c r="Z285" cm="1">
        <f t="array" ref="Z285">IFERROR(AVERAGE(_xlfn._xlws.FILTER(T$2:T$1073,($C$2:$C$1073=$C285)*($E$2:$E$1073=$E285)*(ROW(T$2:T$1073)&lt;&gt;ROW(T285))*(T$2:T$1073&lt;&gt;""))),"")</f>
        <v>1.8616337284622531E-2</v>
      </c>
      <c r="AA285" cm="1">
        <f t="array" ref="AA285">IFERROR(AVERAGE(_xlfn._xlws.FILTER(U$2:U$1073,($C$2:$C$1073=$C285)*($E$2:$E$1073=$E285)*(ROW(U$2:U$1073)&lt;&gt;ROW(U285))*(U$2:U$1073&lt;&gt;""))),"")</f>
        <v>0.76665457782959223</v>
      </c>
    </row>
    <row r="286" spans="1:27" x14ac:dyDescent="0.2">
      <c r="A286" s="7" t="s">
        <v>2212</v>
      </c>
      <c r="B286" t="str">
        <f t="shared" si="46"/>
        <v>OGKB IV кв. 2013</v>
      </c>
      <c r="C286">
        <v>2013</v>
      </c>
      <c r="D286">
        <f>SUMIFS(Дивиденды!$C:$C,Дивиденды!$A:$A,A286,Дивиденды!$I:$I,C286)</f>
        <v>0</v>
      </c>
      <c r="E286">
        <v>2</v>
      </c>
      <c r="F286">
        <f t="shared" si="47"/>
        <v>0</v>
      </c>
      <c r="G286">
        <f t="shared" si="48"/>
        <v>4.6443083333333329E-2</v>
      </c>
      <c r="H286">
        <f t="shared" si="49"/>
        <v>0</v>
      </c>
      <c r="I286">
        <f t="shared" si="45"/>
        <v>0.83333333333333337</v>
      </c>
      <c r="J286">
        <f t="shared" si="50"/>
        <v>0</v>
      </c>
      <c r="K286">
        <f t="shared" si="54"/>
        <v>1.2952854418676727E-2</v>
      </c>
      <c r="L286">
        <f t="shared" si="51"/>
        <v>0</v>
      </c>
      <c r="M286">
        <f t="shared" si="44"/>
        <v>0.5</v>
      </c>
      <c r="N286">
        <f t="shared" si="52"/>
        <v>0</v>
      </c>
      <c r="O286">
        <f t="shared" si="53"/>
        <v>0.33333333333333331</v>
      </c>
      <c r="P286" t="str">
        <f>IFERROR(LN('Дивиденды по годам'!I286),"")</f>
        <v/>
      </c>
      <c r="Q286" t="str">
        <f>IFERROR('Дивиденды по годам'!G286/'Дивиденды по годам'!I286, "")</f>
        <v/>
      </c>
      <c r="R286" t="str">
        <f>IFERROR(IF(AND('Дивиденды по годам'!N286&lt;&gt;"",'Дивиденды по годам'!U286&lt;&gt;"",'Дивиденды по годам'!U286&lt;&gt;0),'Дивиденды по годам'!N286/'Дивиденды по годам'!U286-1,""),"")</f>
        <v/>
      </c>
      <c r="S286" t="str">
        <f>IFERROR(IF(AND('Дивиденды по годам'!L286&lt;&gt;"",'Дивиденды по годам'!I286&lt;&gt;"",'Дивиденды по годам'!J286&lt;&gt;"",'Дивиденды по годам'!K286&lt;&gt;"",('Дивиденды по годам'!I286-'Дивиденды по годам'!J286-'Дивиденды по годам'!K286)&lt;&gt;0),'Дивиденды по годам'!L286/('Дивиденды по годам'!I286-'Дивиденды по годам'!J286-'Дивиденды по годам'!K286),""),"")</f>
        <v/>
      </c>
      <c r="T286" t="str">
        <f>IFERROR(IF(AND('Дивиденды по годам'!Q286&lt;&gt;"",'Дивиденды по годам'!I286&lt;&gt;"",'Дивиденды по годам'!V286&lt;&gt;"",('Дивиденды по годам'!I286+'Дивиденды по годам'!V286)&lt;&gt;0),'Дивиденды по годам'!Q286/(('Дивиденды по годам'!I286+'Дивиденды по годам'!V286)/2),""),"")</f>
        <v/>
      </c>
      <c r="U286" t="str">
        <f>IFERROR(IF(AND('Дивиденды по годам'!J286&lt;&gt;"",'Дивиденды по годам'!K286&lt;&gt;"",'Дивиденды по годам'!M286&lt;&gt;"",'Дивиденды по годам'!M286&lt;&gt;0),('Дивиденды по годам'!J286+'Дивиденды по годам'!K286)/'Дивиденды по годам'!M286,""),"")</f>
        <v/>
      </c>
      <c r="V286" cm="1">
        <f t="array" ref="V286">IFERROR(AVERAGE(_xlfn._xlws.FILTER(P$2:P$1073,($C$2:$C$1073=$C286)*($E$2:$E$1073=$E286)*(ROW(P$2:P$1073)&lt;&gt;ROW(P286))*(P$2:P$1073&lt;&gt;""))),"")</f>
        <v>26.107966937559624</v>
      </c>
      <c r="W286" cm="1">
        <f t="array" ref="W286">IFERROR(AVERAGE(_xlfn._xlws.FILTER(Q$2:Q$1073,($C$2:$C$1073=$C286)*($E$2:$E$1073=$E286)*(ROW(Q$2:Q$1073)&lt;&gt;ROW(Q286))*(Q$2:Q$1073&lt;&gt;""))),"")</f>
        <v>0.78284782963507815</v>
      </c>
      <c r="X286" cm="1">
        <f t="array" ref="X286">IFERROR(AVERAGE(_xlfn._xlws.FILTER(R$2:R$1073,($C$2:$C$1073=$C286)*($E$2:$E$1073=$E286)*(ROW(R$2:R$1073)&lt;&gt;ROW(R286))*(R$2:R$1073&lt;&gt;""))),"")</f>
        <v>9.7785091869587032E-2</v>
      </c>
      <c r="Y286" cm="1">
        <f t="array" ref="Y286">IFERROR(AVERAGE(_xlfn._xlws.FILTER(S$2:S$1073,($C$2:$C$1073=$C286)*($E$2:$E$1073=$E286)*(ROW(S$2:S$1073)&lt;&gt;ROW(S286))*(S$2:S$1073&lt;&gt;""))),"")</f>
        <v>0.4636519590056305</v>
      </c>
      <c r="Z286" cm="1">
        <f t="array" ref="Z286">IFERROR(AVERAGE(_xlfn._xlws.FILTER(T$2:T$1073,($C$2:$C$1073=$C286)*($E$2:$E$1073=$E286)*(ROW(T$2:T$1073)&lt;&gt;ROW(T286))*(T$2:T$1073&lt;&gt;""))),"")</f>
        <v>-4.8827551291955292E-3</v>
      </c>
      <c r="AA286" cm="1">
        <f t="array" ref="AA286">IFERROR(AVERAGE(_xlfn._xlws.FILTER(U$2:U$1073,($C$2:$C$1073=$C286)*($E$2:$E$1073=$E286)*(ROW(U$2:U$1073)&lt;&gt;ROW(U286))*(U$2:U$1073&lt;&gt;""))),"")</f>
        <v>0.67717497861204956</v>
      </c>
    </row>
    <row r="287" spans="1:27" x14ac:dyDescent="0.2">
      <c r="A287" s="7" t="s">
        <v>2212</v>
      </c>
      <c r="B287" t="str">
        <f t="shared" si="46"/>
        <v>OGKB IV кв. 2012</v>
      </c>
      <c r="C287">
        <v>2012</v>
      </c>
      <c r="D287">
        <f>SUMIFS(Дивиденды!$C:$C,Дивиденды!$A:$A,A287,Дивиденды!$I:$I,C287)</f>
        <v>0</v>
      </c>
      <c r="E287">
        <v>2</v>
      </c>
      <c r="F287">
        <f t="shared" si="47"/>
        <v>0</v>
      </c>
      <c r="G287">
        <f t="shared" si="48"/>
        <v>3.7162333333333332E-2</v>
      </c>
      <c r="H287">
        <f t="shared" si="49"/>
        <v>0</v>
      </c>
      <c r="I287">
        <f t="shared" si="45"/>
        <v>0.75</v>
      </c>
      <c r="J287">
        <f t="shared" si="50"/>
        <v>-1</v>
      </c>
      <c r="K287">
        <f t="shared" si="54"/>
        <v>0.82413537634016565</v>
      </c>
      <c r="L287">
        <f t="shared" si="51"/>
        <v>0</v>
      </c>
      <c r="M287">
        <f t="shared" si="44"/>
        <v>0.58333333333333337</v>
      </c>
      <c r="N287">
        <f t="shared" si="52"/>
        <v>1</v>
      </c>
      <c r="O287">
        <f t="shared" si="53"/>
        <v>8.3333333333333329E-2</v>
      </c>
      <c r="P287">
        <f>IFERROR(LN('Дивиденды по годам'!I287),"")</f>
        <v>25.731445251170221</v>
      </c>
      <c r="Q287">
        <f>IFERROR('Дивиденды по годам'!G287/'Дивиденды по годам'!I287, "")</f>
        <v>0.7625421609151033</v>
      </c>
      <c r="R287">
        <f>IFERROR(IF(AND('Дивиденды по годам'!N287&lt;&gt;"",'Дивиденды по годам'!U287&lt;&gt;"",'Дивиденды по годам'!U287&lt;&gt;0),'Дивиденды по годам'!N287/'Дивиденды по годам'!U287-1,""),"")</f>
        <v>-6.5041026157436344E-3</v>
      </c>
      <c r="S287" t="str">
        <f>IFERROR(IF(AND('Дивиденды по годам'!L287&lt;&gt;"",'Дивиденды по годам'!I287&lt;&gt;"",'Дивиденды по годам'!J287&lt;&gt;"",'Дивиденды по годам'!K287&lt;&gt;"",('Дивиденды по годам'!I287-'Дивиденды по годам'!J287-'Дивиденды по годам'!K287)&lt;&gt;0),'Дивиденды по годам'!L287/('Дивиденды по годам'!I287-'Дивиденды по годам'!J287-'Дивиденды по годам'!K287),""),"")</f>
        <v/>
      </c>
      <c r="T287" t="str">
        <f>IFERROR(IF(AND('Дивиденды по годам'!Q287&lt;&gt;"",'Дивиденды по годам'!I287&lt;&gt;"",'Дивиденды по годам'!V287&lt;&gt;"",('Дивиденды по годам'!I287+'Дивиденды по годам'!V287)&lt;&gt;0),'Дивиденды по годам'!Q287/(('Дивиденды по годам'!I287+'Дивиденды по годам'!V287)/2),""),"")</f>
        <v/>
      </c>
      <c r="U287">
        <f>IFERROR(IF(AND('Дивиденды по годам'!J287&lt;&gt;"",'Дивиденды по годам'!K287&lt;&gt;"",'Дивиденды по годам'!M287&lt;&gt;"",'Дивиденды по годам'!M287&lt;&gt;0),('Дивиденды по годам'!J287+'Дивиденды по годам'!K287)/'Дивиденды по годам'!M287,""),"")</f>
        <v>0.37599980916692499</v>
      </c>
      <c r="V287" cm="1">
        <f t="array" ref="V287">IFERROR(AVERAGE(_xlfn._xlws.FILTER(P$2:P$1073,($C$2:$C$1073=$C287)*($E$2:$E$1073=$E287)*(ROW(P$2:P$1073)&lt;&gt;ROW(P287))*(P$2:P$1073&lt;&gt;""))),"")</f>
        <v>26.141731608187342</v>
      </c>
      <c r="W287" cm="1">
        <f t="array" ref="W287">IFERROR(AVERAGE(_xlfn._xlws.FILTER(Q$2:Q$1073,($C$2:$C$1073=$C287)*($E$2:$E$1073=$E287)*(ROW(Q$2:Q$1073)&lt;&gt;ROW(Q287))*(Q$2:Q$1073&lt;&gt;""))),"")</f>
        <v>0.77922310328996469</v>
      </c>
      <c r="X287" cm="1">
        <f t="array" ref="X287">IFERROR(AVERAGE(_xlfn._xlws.FILTER(R$2:R$1073,($C$2:$C$1073=$C287)*($E$2:$E$1073=$E287)*(ROW(R$2:R$1073)&lt;&gt;ROW(R287))*(R$2:R$1073&lt;&gt;""))),"")</f>
        <v>-1.6897279659365542E-2</v>
      </c>
      <c r="Y287" cm="1">
        <f t="array" ref="Y287">IFERROR(AVERAGE(_xlfn._xlws.FILTER(S$2:S$1073,($C$2:$C$1073=$C287)*($E$2:$E$1073=$E287)*(ROW(S$2:S$1073)&lt;&gt;ROW(S287))*(S$2:S$1073&lt;&gt;""))),"")</f>
        <v>0.44715527647269881</v>
      </c>
      <c r="Z287" cm="1">
        <f t="array" ref="Z287">IFERROR(AVERAGE(_xlfn._xlws.FILTER(T$2:T$1073,($C$2:$C$1073=$C287)*($E$2:$E$1073=$E287)*(ROW(T$2:T$1073)&lt;&gt;ROW(T287))*(T$2:T$1073&lt;&gt;""))),"")</f>
        <v>1.9505350639917447E-2</v>
      </c>
      <c r="AA287" cm="1">
        <f t="array" ref="AA287">IFERROR(AVERAGE(_xlfn._xlws.FILTER(U$2:U$1073,($C$2:$C$1073=$C287)*($E$2:$E$1073=$E287)*(ROW(U$2:U$1073)&lt;&gt;ROW(U287))*(U$2:U$1073&lt;&gt;""))),"")</f>
        <v>0.67887968635702056</v>
      </c>
    </row>
    <row r="288" spans="1:27" x14ac:dyDescent="0.2">
      <c r="A288" s="7" t="s">
        <v>2212</v>
      </c>
      <c r="B288" t="str">
        <f t="shared" si="46"/>
        <v>OGKB IV кв. 2011</v>
      </c>
      <c r="C288">
        <v>2011</v>
      </c>
      <c r="D288">
        <f>SUMIFS(Дивиденды!$C:$C,Дивиденды!$A:$A,A288,Дивиденды!$I:$I,C288)</f>
        <v>9.990000000000001E-4</v>
      </c>
      <c r="E288">
        <v>2</v>
      </c>
      <c r="F288">
        <f t="shared" si="47"/>
        <v>9.990000000000001E-4</v>
      </c>
      <c r="G288">
        <f t="shared" si="48"/>
        <v>1.14635E-2</v>
      </c>
      <c r="H288">
        <f t="shared" si="49"/>
        <v>1</v>
      </c>
      <c r="I288">
        <f t="shared" si="45"/>
        <v>0.75</v>
      </c>
      <c r="J288">
        <f t="shared" si="50"/>
        <v>-0.7951189499589828</v>
      </c>
      <c r="K288">
        <f t="shared" si="54"/>
        <v>0.11703016243270931</v>
      </c>
      <c r="L288">
        <f t="shared" si="51"/>
        <v>0</v>
      </c>
      <c r="M288">
        <f t="shared" si="44"/>
        <v>0.5</v>
      </c>
      <c r="N288">
        <f t="shared" si="52"/>
        <v>1</v>
      </c>
      <c r="O288">
        <f t="shared" si="53"/>
        <v>0.33333333333333331</v>
      </c>
      <c r="P288">
        <f>IFERROR(LN('Дивиденды по годам'!I288),"")</f>
        <v>25.606088774463483</v>
      </c>
      <c r="Q288">
        <f>IFERROR('Дивиденды по годам'!G288/'Дивиденды по годам'!I288, "")</f>
        <v>0.80678103779849353</v>
      </c>
      <c r="R288" t="str">
        <f>IFERROR(IF(AND('Дивиденды по годам'!N288&lt;&gt;"",'Дивиденды по годам'!U288&lt;&gt;"",'Дивиденды по годам'!U288&lt;&gt;0),'Дивиденды по годам'!N288/'Дивиденды по годам'!U288-1,""),"")</f>
        <v/>
      </c>
      <c r="S288" t="str">
        <f>IFERROR(IF(AND('Дивиденды по годам'!L288&lt;&gt;"",'Дивиденды по годам'!I288&lt;&gt;"",'Дивиденды по годам'!J288&lt;&gt;"",'Дивиденды по годам'!K288&lt;&gt;"",('Дивиденды по годам'!I288-'Дивиденды по годам'!J288-'Дивиденды по годам'!K288)&lt;&gt;0),'Дивиденды по годам'!L288/('Дивиденды по годам'!I288-'Дивиденды по годам'!J288-'Дивиденды по годам'!K288),""),"")</f>
        <v/>
      </c>
      <c r="T288" t="str">
        <f>IFERROR(IF(AND('Дивиденды по годам'!Q288&lt;&gt;"",'Дивиденды по годам'!I288&lt;&gt;"",'Дивиденды по годам'!V288&lt;&gt;"",('Дивиденды по годам'!I288+'Дивиденды по годам'!V288)&lt;&gt;0),'Дивиденды по годам'!Q288/(('Дивиденды по годам'!I288+'Дивиденды по годам'!V288)/2),""),"")</f>
        <v/>
      </c>
      <c r="U288">
        <f>IFERROR(IF(AND('Дивиденды по годам'!J288&lt;&gt;"",'Дивиденды по годам'!K288&lt;&gt;"",'Дивиденды по годам'!M288&lt;&gt;"",'Дивиденды по годам'!M288&lt;&gt;0),('Дивиденды по годам'!J288+'Дивиденды по годам'!K288)/'Дивиденды по годам'!M288,""),"")</f>
        <v>0.60053176792975915</v>
      </c>
      <c r="V288" cm="1">
        <f t="array" ref="V288">IFERROR(AVERAGE(_xlfn._xlws.FILTER(P$2:P$1073,($C$2:$C$1073=$C288)*($E$2:$E$1073=$E288)*(ROW(P$2:P$1073)&lt;&gt;ROW(P288))*(P$2:P$1073&lt;&gt;""))),"")</f>
        <v>26.204889338949933</v>
      </c>
      <c r="W288" cm="1">
        <f t="array" ref="W288">IFERROR(AVERAGE(_xlfn._xlws.FILTER(Q$2:Q$1073,($C$2:$C$1073=$C288)*($E$2:$E$1073=$E288)*(ROW(Q$2:Q$1073)&lt;&gt;ROW(Q288))*(Q$2:Q$1073&lt;&gt;""))),"")</f>
        <v>0.76218515784679153</v>
      </c>
      <c r="X288" cm="1">
        <f t="array" ref="X288">IFERROR(AVERAGE(_xlfn._xlws.FILTER(R$2:R$1073,($C$2:$C$1073=$C288)*($E$2:$E$1073=$E288)*(ROW(R$2:R$1073)&lt;&gt;ROW(R288))*(R$2:R$1073&lt;&gt;""))),"")</f>
        <v>0.14348983045887875</v>
      </c>
      <c r="Y288" cm="1">
        <f t="array" ref="Y288">IFERROR(AVERAGE(_xlfn._xlws.FILTER(S$2:S$1073,($C$2:$C$1073=$C288)*($E$2:$E$1073=$E288)*(ROW(S$2:S$1073)&lt;&gt;ROW(S288))*(S$2:S$1073&lt;&gt;""))),"")</f>
        <v>0.39850050246333968</v>
      </c>
      <c r="Z288" cm="1">
        <f t="array" ref="Z288">IFERROR(AVERAGE(_xlfn._xlws.FILTER(T$2:T$1073,($C$2:$C$1073=$C288)*($E$2:$E$1073=$E288)*(ROW(T$2:T$1073)&lt;&gt;ROW(T288))*(T$2:T$1073&lt;&gt;""))),"")</f>
        <v>4.5214358774442007E-2</v>
      </c>
      <c r="AA288" cm="1">
        <f t="array" ref="AA288">IFERROR(AVERAGE(_xlfn._xlws.FILTER(U$2:U$1073,($C$2:$C$1073=$C288)*($E$2:$E$1073=$E288)*(ROW(U$2:U$1073)&lt;&gt;ROW(U288))*(U$2:U$1073&lt;&gt;""))),"")</f>
        <v>0.5940582662562448</v>
      </c>
    </row>
    <row r="289" spans="1:27" x14ac:dyDescent="0.2">
      <c r="A289" s="7" t="s">
        <v>2212</v>
      </c>
      <c r="B289" t="str">
        <f t="shared" si="46"/>
        <v>OGKB IV кв. 2010</v>
      </c>
      <c r="C289">
        <v>2010</v>
      </c>
      <c r="D289">
        <f>SUMIFS(Дивиденды!$C:$C,Дивиденды!$A:$A,A289,Дивиденды!$I:$I,C289)</f>
        <v>4.8760000000000001E-3</v>
      </c>
      <c r="E289">
        <v>2</v>
      </c>
      <c r="F289">
        <f t="shared" si="47"/>
        <v>4.8760000000000001E-3</v>
      </c>
      <c r="G289">
        <f t="shared" si="48"/>
        <v>6.1555000000000004E-3</v>
      </c>
      <c r="H289">
        <f t="shared" si="49"/>
        <v>1</v>
      </c>
      <c r="I289">
        <f t="shared" si="45"/>
        <v>0.75</v>
      </c>
      <c r="J289" t="str">
        <f t="shared" si="50"/>
        <v/>
      </c>
      <c r="K289" t="str">
        <f t="shared" si="54"/>
        <v/>
      </c>
      <c r="L289" t="str">
        <f t="shared" si="51"/>
        <v/>
      </c>
      <c r="M289" t="str">
        <f t="shared" ref="M289:M352" si="55">IFERROR(AVERAGEIFS($L:$L,$E:$E,E289,$C:$C,C289,$A:$A,"&lt;&gt;"&amp;A289),"")</f>
        <v/>
      </c>
      <c r="N289" t="str">
        <f t="shared" si="52"/>
        <v/>
      </c>
      <c r="O289" t="str">
        <f t="shared" si="53"/>
        <v/>
      </c>
      <c r="P289" t="str">
        <f>IFERROR(LN('Дивиденды по годам'!I289),"")</f>
        <v/>
      </c>
      <c r="Q289" t="str">
        <f>IFERROR('Дивиденды по годам'!G289/'Дивиденды по годам'!I289, "")</f>
        <v/>
      </c>
      <c r="R289" t="str">
        <f>IFERROR(IF(AND('Дивиденды по годам'!N289&lt;&gt;"",'Дивиденды по годам'!U289&lt;&gt;"",'Дивиденды по годам'!U289&lt;&gt;0),'Дивиденды по годам'!N289/'Дивиденды по годам'!U289-1,""),"")</f>
        <v/>
      </c>
      <c r="S289" t="str">
        <f>IFERROR(IF(AND('Дивиденды по годам'!L289&lt;&gt;"",'Дивиденды по годам'!I289&lt;&gt;"",'Дивиденды по годам'!J289&lt;&gt;"",'Дивиденды по годам'!K289&lt;&gt;"",('Дивиденды по годам'!I289-'Дивиденды по годам'!J289-'Дивиденды по годам'!K289)&lt;&gt;0),'Дивиденды по годам'!L289/('Дивиденды по годам'!I289-'Дивиденды по годам'!J289-'Дивиденды по годам'!K289),""),"")</f>
        <v/>
      </c>
      <c r="T289" t="str">
        <f>IFERROR(IF(AND('Дивиденды по годам'!Q289&lt;&gt;"",'Дивиденды по годам'!I289&lt;&gt;"",'Дивиденды по годам'!V289&lt;&gt;"",('Дивиденды по годам'!I289+'Дивиденды по годам'!V289)&lt;&gt;0),'Дивиденды по годам'!Q289/(('Дивиденды по годам'!I289+'Дивиденды по годам'!V289)/2),""),"")</f>
        <v/>
      </c>
      <c r="U289" t="str">
        <f>IFERROR(IF(AND('Дивиденды по годам'!J289&lt;&gt;"",'Дивиденды по годам'!K289&lt;&gt;"",'Дивиденды по годам'!M289&lt;&gt;"",'Дивиденды по годам'!M289&lt;&gt;0),('Дивиденды по годам'!J289+'Дивиденды по годам'!K289)/'Дивиденды по годам'!M289,""),"")</f>
        <v/>
      </c>
      <c r="V289" cm="1">
        <f t="array" ref="V289">IFERROR(AVERAGE(_xlfn._xlws.FILTER(P$2:P$1073,($C$2:$C$1073=$C289)*($E$2:$E$1073=$E289)*(ROW(P$2:P$1073)&lt;&gt;ROW(P289))*(P$2:P$1073&lt;&gt;""))),"")</f>
        <v>24.730948088520865</v>
      </c>
      <c r="W289" cm="1">
        <f t="array" ref="W289">IFERROR(AVERAGE(_xlfn._xlws.FILTER(Q$2:Q$1073,($C$2:$C$1073=$C289)*($E$2:$E$1073=$E289)*(ROW(Q$2:Q$1073)&lt;&gt;ROW(Q289))*(Q$2:Q$1073&lt;&gt;""))),"")</f>
        <v>0.82035195639515091</v>
      </c>
      <c r="X289" t="str" cm="1">
        <f t="array" ref="X289">IFERROR(AVERAGE(_xlfn._xlws.FILTER(R$2:R$1073,($C$2:$C$1073=$C289)*($E$2:$E$1073=$E289)*(ROW(R$2:R$1073)&lt;&gt;ROW(R289))*(R$2:R$1073&lt;&gt;""))),"")</f>
        <v/>
      </c>
      <c r="Y289" t="str" cm="1">
        <f t="array" ref="Y289">IFERROR(AVERAGE(_xlfn._xlws.FILTER(S$2:S$1073,($C$2:$C$1073=$C289)*($E$2:$E$1073=$E289)*(ROW(S$2:S$1073)&lt;&gt;ROW(S289))*(S$2:S$1073&lt;&gt;""))),"")</f>
        <v/>
      </c>
      <c r="Z289" t="str" cm="1">
        <f t="array" ref="Z289">IFERROR(AVERAGE(_xlfn._xlws.FILTER(T$2:T$1073,($C$2:$C$1073=$C289)*($E$2:$E$1073=$E289)*(ROW(T$2:T$1073)&lt;&gt;ROW(T289))*(T$2:T$1073&lt;&gt;""))),"")</f>
        <v/>
      </c>
      <c r="AA289" cm="1">
        <f t="array" ref="AA289">IFERROR(AVERAGE(_xlfn._xlws.FILTER(U$2:U$1073,($C$2:$C$1073=$C289)*($E$2:$E$1073=$E289)*(ROW(U$2:U$1073)&lt;&gt;ROW(U289))*(U$2:U$1073&lt;&gt;""))),"")</f>
        <v>0.91314375247969903</v>
      </c>
    </row>
    <row r="290" spans="1:27" x14ac:dyDescent="0.2">
      <c r="A290" s="7" t="s">
        <v>2214</v>
      </c>
      <c r="B290" t="str">
        <f t="shared" si="46"/>
        <v>TGKA IV кв. 2025</v>
      </c>
      <c r="C290">
        <v>2025</v>
      </c>
      <c r="D290">
        <f>SUMIFS(Дивиденды!$C:$C,Дивиденды!$A:$A,A290,Дивиденды!$I:$I,C290)</f>
        <v>0</v>
      </c>
      <c r="E290">
        <v>2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f t="shared" si="45"/>
        <v>0</v>
      </c>
      <c r="J290">
        <f t="shared" si="50"/>
        <v>0</v>
      </c>
      <c r="K290">
        <f t="shared" si="54"/>
        <v>-0.58333333333333337</v>
      </c>
      <c r="L290">
        <f t="shared" si="51"/>
        <v>0</v>
      </c>
      <c r="M290">
        <f t="shared" si="55"/>
        <v>0</v>
      </c>
      <c r="N290">
        <f t="shared" si="52"/>
        <v>0</v>
      </c>
      <c r="O290">
        <f t="shared" si="53"/>
        <v>0.58333333333333337</v>
      </c>
      <c r="P290" t="str">
        <f>IFERROR(LN('Дивиденды по годам'!I290),"")</f>
        <v/>
      </c>
      <c r="Q290" t="str">
        <f>IFERROR('Дивиденды по годам'!G290/'Дивиденды по годам'!I290, "")</f>
        <v/>
      </c>
      <c r="R290" t="str">
        <f>IFERROR(IF(AND('Дивиденды по годам'!N290&lt;&gt;"",'Дивиденды по годам'!U290&lt;&gt;"",'Дивиденды по годам'!U290&lt;&gt;0),'Дивиденды по годам'!N290/'Дивиденды по годам'!U290-1,""),"")</f>
        <v/>
      </c>
      <c r="S290" t="str">
        <f>IFERROR(IF(AND('Дивиденды по годам'!L290&lt;&gt;"",'Дивиденды по годам'!I290&lt;&gt;"",'Дивиденды по годам'!J290&lt;&gt;"",'Дивиденды по годам'!K290&lt;&gt;"",('Дивиденды по годам'!I290-'Дивиденды по годам'!J290-'Дивиденды по годам'!K290)&lt;&gt;0),'Дивиденды по годам'!L290/('Дивиденды по годам'!I290-'Дивиденды по годам'!J290-'Дивиденды по годам'!K290),""),"")</f>
        <v/>
      </c>
      <c r="T290" t="str">
        <f>IFERROR(IF(AND('Дивиденды по годам'!Q290&lt;&gt;"",'Дивиденды по годам'!I290&lt;&gt;"",'Дивиденды по годам'!V290&lt;&gt;"",('Дивиденды по годам'!I290+'Дивиденды по годам'!V290)&lt;&gt;0),'Дивиденды по годам'!Q290/(('Дивиденды по годам'!I290+'Дивиденды по годам'!V290)/2),""),"")</f>
        <v/>
      </c>
      <c r="U290" t="str">
        <f>IFERROR(IF(AND('Дивиденды по годам'!J290&lt;&gt;"",'Дивиденды по годам'!K290&lt;&gt;"",'Дивиденды по годам'!M290&lt;&gt;"",'Дивиденды по годам'!M290&lt;&gt;0),('Дивиденды по годам'!J290+'Дивиденды по годам'!K290)/'Дивиденды по годам'!M290,""),"")</f>
        <v/>
      </c>
      <c r="V290" cm="1">
        <f t="array" ref="V290">IFERROR(AVERAGE(_xlfn._xlws.FILTER(P$2:P$1073,($C$2:$C$1073=$C290)*($E$2:$E$1073=$E290)*(ROW(P$2:P$1073)&lt;&gt;ROW(P290))*(P$2:P$1073&lt;&gt;""))),"")</f>
        <v>26.57991857918098</v>
      </c>
      <c r="W290" cm="1">
        <f t="array" ref="W290">IFERROR(AVERAGE(_xlfn._xlws.FILTER(Q$2:Q$1073,($C$2:$C$1073=$C290)*($E$2:$E$1073=$E290)*(ROW(Q$2:Q$1073)&lt;&gt;ROW(Q290))*(Q$2:Q$1073&lt;&gt;""))),"")</f>
        <v>0.67759713674348565</v>
      </c>
      <c r="X290" cm="1">
        <f t="array" ref="X290">IFERROR(AVERAGE(_xlfn._xlws.FILTER(R$2:R$1073,($C$2:$C$1073=$C290)*($E$2:$E$1073=$E290)*(ROW(R$2:R$1073)&lt;&gt;ROW(R290))*(R$2:R$1073&lt;&gt;""))),"")</f>
        <v>0.17662623265859428</v>
      </c>
      <c r="Y290" cm="1">
        <f t="array" ref="Y290">IFERROR(AVERAGE(_xlfn._xlws.FILTER(S$2:S$1073,($C$2:$C$1073=$C290)*($E$2:$E$1073=$E290)*(ROW(S$2:S$1073)&lt;&gt;ROW(S290))*(S$2:S$1073&lt;&gt;""))),"")</f>
        <v>0.75614685785818758</v>
      </c>
      <c r="Z290" cm="1">
        <f t="array" ref="Z290">IFERROR(AVERAGE(_xlfn._xlws.FILTER(T$2:T$1073,($C$2:$C$1073=$C290)*($E$2:$E$1073=$E290)*(ROW(T$2:T$1073)&lt;&gt;ROW(T290))*(T$2:T$1073&lt;&gt;""))),"")</f>
        <v>0.10306085485751774</v>
      </c>
      <c r="AA290" cm="1">
        <f t="array" ref="AA290">IFERROR(AVERAGE(_xlfn._xlws.FILTER(U$2:U$1073,($C$2:$C$1073=$C290)*($E$2:$E$1073=$E290)*(ROW(U$2:U$1073)&lt;&gt;ROW(U290))*(U$2:U$1073&lt;&gt;""))),"")</f>
        <v>0.88935141782994176</v>
      </c>
    </row>
    <row r="291" spans="1:27" x14ac:dyDescent="0.2">
      <c r="A291" s="7" t="s">
        <v>2214</v>
      </c>
      <c r="B291" t="str">
        <f t="shared" si="46"/>
        <v>TGKA IV кв. 2024</v>
      </c>
      <c r="C291">
        <v>2024</v>
      </c>
      <c r="D291">
        <f>SUMIFS(Дивиденды!$C:$C,Дивиденды!$A:$A,A291,Дивиденды!$I:$I,C291)</f>
        <v>0</v>
      </c>
      <c r="E291">
        <v>2</v>
      </c>
      <c r="F291">
        <f t="shared" si="47"/>
        <v>0</v>
      </c>
      <c r="G291">
        <f t="shared" si="48"/>
        <v>6.3399999999999998E-2</v>
      </c>
      <c r="H291">
        <f t="shared" si="49"/>
        <v>0</v>
      </c>
      <c r="I291">
        <f t="shared" si="45"/>
        <v>0.58333333333333337</v>
      </c>
      <c r="J291">
        <f t="shared" si="50"/>
        <v>0</v>
      </c>
      <c r="K291">
        <f t="shared" si="54"/>
        <v>8.6160653443004165E-2</v>
      </c>
      <c r="L291">
        <f t="shared" si="51"/>
        <v>0</v>
      </c>
      <c r="M291">
        <f t="shared" si="55"/>
        <v>0.58333333333333337</v>
      </c>
      <c r="N291">
        <f t="shared" si="52"/>
        <v>0</v>
      </c>
      <c r="O291">
        <f t="shared" si="53"/>
        <v>8.3333333333333329E-2</v>
      </c>
      <c r="P291" t="str">
        <f>IFERROR(LN('Дивиденды по годам'!I291),"")</f>
        <v/>
      </c>
      <c r="Q291" t="str">
        <f>IFERROR('Дивиденды по годам'!G291/'Дивиденды по годам'!I291, "")</f>
        <v/>
      </c>
      <c r="R291" t="str">
        <f>IFERROR(IF(AND('Дивиденды по годам'!N291&lt;&gt;"",'Дивиденды по годам'!U291&lt;&gt;"",'Дивиденды по годам'!U291&lt;&gt;0),'Дивиденды по годам'!N291/'Дивиденды по годам'!U291-1,""),"")</f>
        <v/>
      </c>
      <c r="S291" t="str">
        <f>IFERROR(IF(AND('Дивиденды по годам'!L291&lt;&gt;"",'Дивиденды по годам'!I291&lt;&gt;"",'Дивиденды по годам'!J291&lt;&gt;"",'Дивиденды по годам'!K291&lt;&gt;"",('Дивиденды по годам'!I291-'Дивиденды по годам'!J291-'Дивиденды по годам'!K291)&lt;&gt;0),'Дивиденды по годам'!L291/('Дивиденды по годам'!I291-'Дивиденды по годам'!J291-'Дивиденды по годам'!K291),""),"")</f>
        <v/>
      </c>
      <c r="T291" t="str">
        <f>IFERROR(IF(AND('Дивиденды по годам'!Q291&lt;&gt;"",'Дивиденды по годам'!I291&lt;&gt;"",'Дивиденды по годам'!V291&lt;&gt;"",('Дивиденды по годам'!I291+'Дивиденды по годам'!V291)&lt;&gt;0),'Дивиденды по годам'!Q291/(('Дивиденды по годам'!I291+'Дивиденды по годам'!V291)/2),""),"")</f>
        <v/>
      </c>
      <c r="U291" t="str">
        <f>IFERROR(IF(AND('Дивиденды по годам'!J291&lt;&gt;"",'Дивиденды по годам'!K291&lt;&gt;"",'Дивиденды по годам'!M291&lt;&gt;"",'Дивиденды по годам'!M291&lt;&gt;0),('Дивиденды по годам'!J291+'Дивиденды по годам'!K291)/'Дивиденды по годам'!M291,""),"")</f>
        <v/>
      </c>
      <c r="V291" cm="1">
        <f t="array" ref="V291">IFERROR(AVERAGE(_xlfn._xlws.FILTER(P$2:P$1073,($C$2:$C$1073=$C291)*($E$2:$E$1073=$E291)*(ROW(P$2:P$1073)&lt;&gt;ROW(P291))*(P$2:P$1073&lt;&gt;""))),"")</f>
        <v>26.53052036495767</v>
      </c>
      <c r="W291" cm="1">
        <f t="array" ref="W291">IFERROR(AVERAGE(_xlfn._xlws.FILTER(Q$2:Q$1073,($C$2:$C$1073=$C291)*($E$2:$E$1073=$E291)*(ROW(Q$2:Q$1073)&lt;&gt;ROW(Q291))*(Q$2:Q$1073&lt;&gt;""))),"")</f>
        <v>0.68897542618517627</v>
      </c>
      <c r="X291" cm="1">
        <f t="array" ref="X291">IFERROR(AVERAGE(_xlfn._xlws.FILTER(R$2:R$1073,($C$2:$C$1073=$C291)*($E$2:$E$1073=$E291)*(ROW(R$2:R$1073)&lt;&gt;ROW(R291))*(R$2:R$1073&lt;&gt;""))),"")</f>
        <v>9.9336521219665186E-2</v>
      </c>
      <c r="Y291" cm="1">
        <f t="array" ref="Y291">IFERROR(AVERAGE(_xlfn._xlws.FILTER(S$2:S$1073,($C$2:$C$1073=$C291)*($E$2:$E$1073=$E291)*(ROW(S$2:S$1073)&lt;&gt;ROW(S291))*(S$2:S$1073&lt;&gt;""))),"")</f>
        <v>0.56302208811184973</v>
      </c>
      <c r="Z291" cm="1">
        <f t="array" ref="Z291">IFERROR(AVERAGE(_xlfn._xlws.FILTER(T$2:T$1073,($C$2:$C$1073=$C291)*($E$2:$E$1073=$E291)*(ROW(T$2:T$1073)&lt;&gt;ROW(T291))*(T$2:T$1073&lt;&gt;""))),"")</f>
        <v>5.7319411109732842E-2</v>
      </c>
      <c r="AA291" cm="1">
        <f t="array" ref="AA291">IFERROR(AVERAGE(_xlfn._xlws.FILTER(U$2:U$1073,($C$2:$C$1073=$C291)*($E$2:$E$1073=$E291)*(ROW(U$2:U$1073)&lt;&gt;ROW(U291))*(U$2:U$1073&lt;&gt;""))),"")</f>
        <v>0.93200166477437119</v>
      </c>
    </row>
    <row r="292" spans="1:27" x14ac:dyDescent="0.2">
      <c r="A292" s="7" t="s">
        <v>2214</v>
      </c>
      <c r="B292" t="str">
        <f t="shared" si="46"/>
        <v>TGKA IV кв. 2023</v>
      </c>
      <c r="C292">
        <v>2023</v>
      </c>
      <c r="D292">
        <f>SUMIFS(Дивиденды!$C:$C,Дивиденды!$A:$A,A292,Дивиденды!$I:$I,C292)</f>
        <v>0</v>
      </c>
      <c r="E292">
        <v>2</v>
      </c>
      <c r="F292">
        <f t="shared" si="47"/>
        <v>0</v>
      </c>
      <c r="G292">
        <f t="shared" si="48"/>
        <v>6.6299999999999998E-2</v>
      </c>
      <c r="H292">
        <f t="shared" si="49"/>
        <v>0</v>
      </c>
      <c r="I292">
        <f t="shared" si="45"/>
        <v>0.58333333333333337</v>
      </c>
      <c r="J292">
        <f t="shared" si="50"/>
        <v>0</v>
      </c>
      <c r="K292">
        <f t="shared" si="54"/>
        <v>0.11703324263565433</v>
      </c>
      <c r="L292">
        <f t="shared" si="51"/>
        <v>0</v>
      </c>
      <c r="M292">
        <f t="shared" si="55"/>
        <v>0.5</v>
      </c>
      <c r="N292">
        <f t="shared" si="52"/>
        <v>0</v>
      </c>
      <c r="O292">
        <f t="shared" si="53"/>
        <v>0.25</v>
      </c>
      <c r="P292" t="str">
        <f>IFERROR(LN('Дивиденды по годам'!I292),"")</f>
        <v/>
      </c>
      <c r="Q292" t="str">
        <f>IFERROR('Дивиденды по годам'!G292/'Дивиденды по годам'!I292, "")</f>
        <v/>
      </c>
      <c r="R292" t="str">
        <f>IFERROR(IF(AND('Дивиденды по годам'!N292&lt;&gt;"",'Дивиденды по годам'!U292&lt;&gt;"",'Дивиденды по годам'!U292&lt;&gt;0),'Дивиденды по годам'!N292/'Дивиденды по годам'!U292-1,""),"")</f>
        <v/>
      </c>
      <c r="S292" t="str">
        <f>IFERROR(IF(AND('Дивиденды по годам'!L292&lt;&gt;"",'Дивиденды по годам'!I292&lt;&gt;"",'Дивиденды по годам'!J292&lt;&gt;"",'Дивиденды по годам'!K292&lt;&gt;"",('Дивиденды по годам'!I292-'Дивиденды по годам'!J292-'Дивиденды по годам'!K292)&lt;&gt;0),'Дивиденды по годам'!L292/('Дивиденды по годам'!I292-'Дивиденды по годам'!J292-'Дивиденды по годам'!K292),""),"")</f>
        <v/>
      </c>
      <c r="T292" t="str">
        <f>IFERROR(IF(AND('Дивиденды по годам'!Q292&lt;&gt;"",'Дивиденды по годам'!I292&lt;&gt;"",'Дивиденды по годам'!V292&lt;&gt;"",('Дивиденды по годам'!I292+'Дивиденды по годам'!V292)&lt;&gt;0),'Дивиденды по годам'!Q292/(('Дивиденды по годам'!I292+'Дивиденды по годам'!V292)/2),""),"")</f>
        <v/>
      </c>
      <c r="U292" t="str">
        <f>IFERROR(IF(AND('Дивиденды по годам'!J292&lt;&gt;"",'Дивиденды по годам'!K292&lt;&gt;"",'Дивиденды по годам'!M292&lt;&gt;"",'Дивиденды по годам'!M292&lt;&gt;0),('Дивиденды по годам'!J292+'Дивиденды по годам'!K292)/'Дивиденды по годам'!M292,""),"")</f>
        <v/>
      </c>
      <c r="V292" cm="1">
        <f t="array" ref="V292">IFERROR(AVERAGE(_xlfn._xlws.FILTER(P$2:P$1073,($C$2:$C$1073=$C292)*($E$2:$E$1073=$E292)*(ROW(P$2:P$1073)&lt;&gt;ROW(P292))*(P$2:P$1073&lt;&gt;""))),"")</f>
        <v>26.412844757916616</v>
      </c>
      <c r="W292" cm="1">
        <f t="array" ref="W292">IFERROR(AVERAGE(_xlfn._xlws.FILTER(Q$2:Q$1073,($C$2:$C$1073=$C292)*($E$2:$E$1073=$E292)*(ROW(Q$2:Q$1073)&lt;&gt;ROW(Q292))*(Q$2:Q$1073&lt;&gt;""))),"")</f>
        <v>0.70895600705014628</v>
      </c>
      <c r="X292" cm="1">
        <f t="array" ref="X292">IFERROR(AVERAGE(_xlfn._xlws.FILTER(R$2:R$1073,($C$2:$C$1073=$C292)*($E$2:$E$1073=$E292)*(ROW(R$2:R$1073)&lt;&gt;ROW(R292))*(R$2:R$1073&lt;&gt;""))),"")</f>
        <v>0.13982106199642538</v>
      </c>
      <c r="Y292" cm="1">
        <f t="array" ref="Y292">IFERROR(AVERAGE(_xlfn._xlws.FILTER(S$2:S$1073,($C$2:$C$1073=$C292)*($E$2:$E$1073=$E292)*(ROW(S$2:S$1073)&lt;&gt;ROW(S292))*(S$2:S$1073&lt;&gt;""))),"")</f>
        <v>0.54058275260231825</v>
      </c>
      <c r="Z292" cm="1">
        <f t="array" ref="Z292">IFERROR(AVERAGE(_xlfn._xlws.FILTER(T$2:T$1073,($C$2:$C$1073=$C292)*($E$2:$E$1073=$E292)*(ROW(T$2:T$1073)&lt;&gt;ROW(T292))*(T$2:T$1073&lt;&gt;""))),"")</f>
        <v>7.5826325918363136E-2</v>
      </c>
      <c r="AA292" cm="1">
        <f t="array" ref="AA292">IFERROR(AVERAGE(_xlfn._xlws.FILTER(U$2:U$1073,($C$2:$C$1073=$C292)*($E$2:$E$1073=$E292)*(ROW(U$2:U$1073)&lt;&gt;ROW(U292))*(U$2:U$1073&lt;&gt;""))),"")</f>
        <v>0.82391328105138761</v>
      </c>
    </row>
    <row r="293" spans="1:27" x14ac:dyDescent="0.2">
      <c r="A293" s="7" t="s">
        <v>2214</v>
      </c>
      <c r="B293" t="str">
        <f t="shared" si="46"/>
        <v>TGKA IV кв. 2022</v>
      </c>
      <c r="C293">
        <v>2022</v>
      </c>
      <c r="D293">
        <f>SUMIFS(Дивиденды!$C:$C,Дивиденды!$A:$A,A293,Дивиденды!$I:$I,C293)</f>
        <v>0</v>
      </c>
      <c r="E293">
        <v>2</v>
      </c>
      <c r="F293">
        <f t="shared" si="47"/>
        <v>0</v>
      </c>
      <c r="G293">
        <f t="shared" si="48"/>
        <v>6.4731666666666673E-2</v>
      </c>
      <c r="H293">
        <f t="shared" si="49"/>
        <v>0</v>
      </c>
      <c r="I293">
        <f t="shared" si="45"/>
        <v>0.66666666666666663</v>
      </c>
      <c r="J293">
        <f t="shared" si="50"/>
        <v>0</v>
      </c>
      <c r="K293">
        <f t="shared" si="54"/>
        <v>-0.16164186159374039</v>
      </c>
      <c r="L293">
        <f t="shared" si="51"/>
        <v>0</v>
      </c>
      <c r="M293">
        <f t="shared" si="55"/>
        <v>0.33333333333333331</v>
      </c>
      <c r="N293">
        <f t="shared" si="52"/>
        <v>0</v>
      </c>
      <c r="O293">
        <f t="shared" si="53"/>
        <v>0.5</v>
      </c>
      <c r="P293" t="str">
        <f>IFERROR(LN('Дивиденды по годам'!I293),"")</f>
        <v/>
      </c>
      <c r="Q293" t="str">
        <f>IFERROR('Дивиденды по годам'!G293/'Дивиденды по годам'!I293, "")</f>
        <v/>
      </c>
      <c r="R293" t="str">
        <f>IFERROR(IF(AND('Дивиденды по годам'!N293&lt;&gt;"",'Дивиденды по годам'!U293&lt;&gt;"",'Дивиденды по годам'!U293&lt;&gt;0),'Дивиденды по годам'!N293/'Дивиденды по годам'!U293-1,""),"")</f>
        <v/>
      </c>
      <c r="S293" t="str">
        <f>IFERROR(IF(AND('Дивиденды по годам'!L293&lt;&gt;"",'Дивиденды по годам'!I293&lt;&gt;"",'Дивиденды по годам'!J293&lt;&gt;"",'Дивиденды по годам'!K293&lt;&gt;"",('Дивиденды по годам'!I293-'Дивиденды по годам'!J293-'Дивиденды по годам'!K293)&lt;&gt;0),'Дивиденды по годам'!L293/('Дивиденды по годам'!I293-'Дивиденды по годам'!J293-'Дивиденды по годам'!K293),""),"")</f>
        <v/>
      </c>
      <c r="T293" t="str">
        <f>IFERROR(IF(AND('Дивиденды по годам'!Q293&lt;&gt;"",'Дивиденды по годам'!I293&lt;&gt;"",'Дивиденды по годам'!V293&lt;&gt;"",('Дивиденды по годам'!I293+'Дивиденды по годам'!V293)&lt;&gt;0),'Дивиденды по годам'!Q293/(('Дивиденды по годам'!I293+'Дивиденды по годам'!V293)/2),""),"")</f>
        <v/>
      </c>
      <c r="U293" t="str">
        <f>IFERROR(IF(AND('Дивиденды по годам'!J293&lt;&gt;"",'Дивиденды по годам'!K293&lt;&gt;"",'Дивиденды по годам'!M293&lt;&gt;"",'Дивиденды по годам'!M293&lt;&gt;0),('Дивиденды по годам'!J293+'Дивиденды по годам'!K293)/'Дивиденды по годам'!M293,""),"")</f>
        <v/>
      </c>
      <c r="V293" cm="1">
        <f t="array" ref="V293">IFERROR(AVERAGE(_xlfn._xlws.FILTER(P$2:P$1073,($C$2:$C$1073=$C293)*($E$2:$E$1073=$E293)*(ROW(P$2:P$1073)&lt;&gt;ROW(P293))*(P$2:P$1073&lt;&gt;""))),"")</f>
        <v>26.311482392509326</v>
      </c>
      <c r="W293" cm="1">
        <f t="array" ref="W293">IFERROR(AVERAGE(_xlfn._xlws.FILTER(Q$2:Q$1073,($C$2:$C$1073=$C293)*($E$2:$E$1073=$E293)*(ROW(Q$2:Q$1073)&lt;&gt;ROW(Q293))*(Q$2:Q$1073&lt;&gt;""))),"")</f>
        <v>0.70812809619198602</v>
      </c>
      <c r="X293" cm="1">
        <f t="array" ref="X293">IFERROR(AVERAGE(_xlfn._xlws.FILTER(R$2:R$1073,($C$2:$C$1073=$C293)*($E$2:$E$1073=$E293)*(ROW(R$2:R$1073)&lt;&gt;ROW(R293))*(R$2:R$1073&lt;&gt;""))),"")</f>
        <v>7.2941844461954591E-2</v>
      </c>
      <c r="Y293" cm="1">
        <f t="array" ref="Y293">IFERROR(AVERAGE(_xlfn._xlws.FILTER(S$2:S$1073,($C$2:$C$1073=$C293)*($E$2:$E$1073=$E293)*(ROW(S$2:S$1073)&lt;&gt;ROW(S293))*(S$2:S$1073&lt;&gt;""))),"")</f>
        <v>0.51495855714422678</v>
      </c>
      <c r="Z293" cm="1">
        <f t="array" ref="Z293">IFERROR(AVERAGE(_xlfn._xlws.FILTER(T$2:T$1073,($C$2:$C$1073=$C293)*($E$2:$E$1073=$E293)*(ROW(T$2:T$1073)&lt;&gt;ROW(T293))*(T$2:T$1073&lt;&gt;""))),"")</f>
        <v>1.2629583278270708E-2</v>
      </c>
      <c r="AA293" cm="1">
        <f t="array" ref="AA293">IFERROR(AVERAGE(_xlfn._xlws.FILTER(U$2:U$1073,($C$2:$C$1073=$C293)*($E$2:$E$1073=$E293)*(ROW(U$2:U$1073)&lt;&gt;ROW(U293))*(U$2:U$1073&lt;&gt;""))),"")</f>
        <v>0.90922972684965886</v>
      </c>
    </row>
    <row r="294" spans="1:27" x14ac:dyDescent="0.2">
      <c r="A294" s="7" t="s">
        <v>2214</v>
      </c>
      <c r="B294" t="str">
        <f t="shared" si="46"/>
        <v>TGKA IV кв. 2021</v>
      </c>
      <c r="C294">
        <v>2021</v>
      </c>
      <c r="D294">
        <f>SUMIFS(Дивиденды!$C:$C,Дивиденды!$A:$A,A294,Дивиденды!$I:$I,C294)</f>
        <v>0</v>
      </c>
      <c r="E294">
        <v>2</v>
      </c>
      <c r="F294">
        <f t="shared" si="47"/>
        <v>0</v>
      </c>
      <c r="G294">
        <f t="shared" si="48"/>
        <v>8.178524999999999E-2</v>
      </c>
      <c r="H294">
        <f t="shared" si="49"/>
        <v>0</v>
      </c>
      <c r="I294">
        <f t="shared" si="45"/>
        <v>0.83333333333333337</v>
      </c>
      <c r="J294">
        <f t="shared" si="50"/>
        <v>-1</v>
      </c>
      <c r="K294">
        <f t="shared" si="54"/>
        <v>0.24720951725738896</v>
      </c>
      <c r="L294">
        <f t="shared" si="51"/>
        <v>0</v>
      </c>
      <c r="M294">
        <f t="shared" si="55"/>
        <v>0.66666666666666663</v>
      </c>
      <c r="N294">
        <f t="shared" si="52"/>
        <v>1</v>
      </c>
      <c r="O294">
        <f t="shared" si="53"/>
        <v>0.16666666666666666</v>
      </c>
      <c r="P294">
        <f>IFERROR(LN('Дивиденды по годам'!I294),"")</f>
        <v>25.995305961041094</v>
      </c>
      <c r="Q294">
        <f>IFERROR('Дивиденды по годам'!G294/'Дивиденды по годам'!I294, "")</f>
        <v>0.79377146289005351</v>
      </c>
      <c r="R294">
        <f>IFERROR(IF(AND('Дивиденды по годам'!N294&lt;&gt;"",'Дивиденды по годам'!U294&lt;&gt;"",'Дивиденды по годам'!U294&lt;&gt;0),'Дивиденды по годам'!N294/'Дивиденды по годам'!U294-1,""),"")</f>
        <v>0.15064856168929786</v>
      </c>
      <c r="S294">
        <f>IFERROR(IF(AND('Дивиденды по годам'!L294&lt;&gt;"",'Дивиденды по годам'!I294&lt;&gt;"",'Дивиденды по годам'!J294&lt;&gt;"",'Дивиденды по годам'!K294&lt;&gt;"",('Дивиденды по годам'!I294-'Дивиденды по годам'!J294-'Дивиденды по годам'!K294)&lt;&gt;0),'Дивиденды по годам'!L294/('Дивиденды по годам'!I294-'Дивиденды по годам'!J294-'Дивиденды по годам'!K294),""),"")</f>
        <v>0.48611752064635666</v>
      </c>
      <c r="T294">
        <f>IFERROR(IF(AND('Дивиденды по годам'!Q294&lt;&gt;"",'Дивиденды по годам'!I294&lt;&gt;"",'Дивиденды по годам'!V294&lt;&gt;"",('Дивиденды по годам'!I294+'Дивиденды по годам'!V294)&lt;&gt;0),'Дивиденды по годам'!Q294/(('Дивиденды по годам'!I294+'Дивиденды по годам'!V294)/2),""),"")</f>
        <v>3.6898340248962658E-2</v>
      </c>
      <c r="U294">
        <f>IFERROR(IF(AND('Дивиденды по годам'!J294&lt;&gt;"",'Дивиденды по годам'!K294&lt;&gt;"",'Дивиденды по годам'!M294&lt;&gt;"",'Дивиденды по годам'!M294&lt;&gt;0),('Дивиденды по годам'!J294+'Дивиденды по годам'!K294)/'Дивиденды по годам'!M294,""),"")</f>
        <v>0.34184443082179045</v>
      </c>
      <c r="V294" cm="1">
        <f t="array" ref="V294">IFERROR(AVERAGE(_xlfn._xlws.FILTER(P$2:P$1073,($C$2:$C$1073=$C294)*($E$2:$E$1073=$E294)*(ROW(P$2:P$1073)&lt;&gt;ROW(P294))*(P$2:P$1073&lt;&gt;""))),"")</f>
        <v>25.919856682855993</v>
      </c>
      <c r="W294" cm="1">
        <f t="array" ref="W294">IFERROR(AVERAGE(_xlfn._xlws.FILTER(Q$2:Q$1073,($C$2:$C$1073=$C294)*($E$2:$E$1073=$E294)*(ROW(Q$2:Q$1073)&lt;&gt;ROW(Q294))*(Q$2:Q$1073&lt;&gt;""))),"")</f>
        <v>0.76758275251833796</v>
      </c>
      <c r="X294" cm="1">
        <f t="array" ref="X294">IFERROR(AVERAGE(_xlfn._xlws.FILTER(R$2:R$1073,($C$2:$C$1073=$C294)*($E$2:$E$1073=$E294)*(ROW(R$2:R$1073)&lt;&gt;ROW(R294))*(R$2:R$1073&lt;&gt;""))),"")</f>
        <v>0.12433831432856127</v>
      </c>
      <c r="Y294" cm="1">
        <f t="array" ref="Y294">IFERROR(AVERAGE(_xlfn._xlws.FILTER(S$2:S$1073,($C$2:$C$1073=$C294)*($E$2:$E$1073=$E294)*(ROW(S$2:S$1073)&lt;&gt;ROW(S294))*(S$2:S$1073&lt;&gt;""))),"")</f>
        <v>0.50269604307656457</v>
      </c>
      <c r="Z294" cm="1">
        <f t="array" ref="Z294">IFERROR(AVERAGE(_xlfn._xlws.FILTER(T$2:T$1073,($C$2:$C$1073=$C294)*($E$2:$E$1073=$E294)*(ROW(T$2:T$1073)&lt;&gt;ROW(T294))*(T$2:T$1073&lt;&gt;""))),"")</f>
        <v>3.6388300914755367E-2</v>
      </c>
      <c r="AA294" cm="1">
        <f t="array" ref="AA294">IFERROR(AVERAGE(_xlfn._xlws.FILTER(U$2:U$1073,($C$2:$C$1073=$C294)*($E$2:$E$1073=$E294)*(ROW(U$2:U$1073)&lt;&gt;ROW(U294))*(U$2:U$1073&lt;&gt;""))),"")</f>
        <v>0.75211038943866182</v>
      </c>
    </row>
    <row r="295" spans="1:27" x14ac:dyDescent="0.2">
      <c r="A295" s="7" t="s">
        <v>2214</v>
      </c>
      <c r="B295" t="str">
        <f t="shared" si="46"/>
        <v>TGKA IV кв. 2020</v>
      </c>
      <c r="C295">
        <v>2020</v>
      </c>
      <c r="D295">
        <f>SUMIFS(Дивиденды!$C:$C,Дивиденды!$A:$A,A295,Дивиденды!$I:$I,C295)</f>
        <v>1.0709999999999999E-3</v>
      </c>
      <c r="E295">
        <v>2</v>
      </c>
      <c r="F295">
        <f t="shared" si="47"/>
        <v>1.0709999999999999E-3</v>
      </c>
      <c r="G295">
        <f t="shared" si="48"/>
        <v>6.9816666666666652E-2</v>
      </c>
      <c r="H295">
        <f t="shared" si="49"/>
        <v>1</v>
      </c>
      <c r="I295">
        <f t="shared" si="45"/>
        <v>0.75</v>
      </c>
      <c r="J295">
        <f t="shared" si="50"/>
        <v>3.2786885245901599E-2</v>
      </c>
      <c r="K295">
        <f t="shared" si="54"/>
        <v>-8.8356272139871017E-2</v>
      </c>
      <c r="L295">
        <f t="shared" si="51"/>
        <v>1</v>
      </c>
      <c r="M295">
        <f t="shared" si="55"/>
        <v>0.5</v>
      </c>
      <c r="N295">
        <f t="shared" si="52"/>
        <v>0</v>
      </c>
      <c r="O295">
        <f t="shared" si="53"/>
        <v>0.5</v>
      </c>
      <c r="P295">
        <f>IFERROR(LN('Дивиденды по годам'!I295),"")</f>
        <v>25.974423459467452</v>
      </c>
      <c r="Q295">
        <f>IFERROR('Дивиденды по годам'!G295/'Дивиденды по годам'!I295, "")</f>
        <v>0.79216613291261984</v>
      </c>
      <c r="R295">
        <f>IFERROR(IF(AND('Дивиденды по годам'!N295&lt;&gt;"",'Дивиденды по годам'!U295&lt;&gt;"",'Дивиденды по годам'!U295&lt;&gt;0),'Дивиденды по годам'!N295/'Дивиденды по годам'!U295-1,""),"")</f>
        <v>-8.6027373957757169E-2</v>
      </c>
      <c r="S295">
        <f>IFERROR(IF(AND('Дивиденды по годам'!L295&lt;&gt;"",'Дивиденды по годам'!I295&lt;&gt;"",'Дивиденды по годам'!J295&lt;&gt;"",'Дивиденды по годам'!K295&lt;&gt;"",('Дивиденды по годам'!I295-'Дивиденды по годам'!J295-'Дивиденды по годам'!K295)&lt;&gt;0),'Дивиденды по годам'!L295/('Дивиденды по годам'!I295-'Дивиденды по годам'!J295-'Дивиденды по годам'!K295),""),"")</f>
        <v>0.48074238259042301</v>
      </c>
      <c r="T295">
        <f>IFERROR(IF(AND('Дивиденды по годам'!Q295&lt;&gt;"",'Дивиденды по годам'!I295&lt;&gt;"",'Дивиденды по годам'!V295&lt;&gt;"",('Дивиденды по годам'!I295+'Дивиденды по годам'!V295)&lt;&gt;0),'Дивиденды по годам'!Q295/(('Дивиденды по годам'!I295+'Дивиденды по годам'!V295)/2),""),"")</f>
        <v>4.4217489193537372E-2</v>
      </c>
      <c r="U295">
        <f>IFERROR(IF(AND('Дивиденды по годам'!J295&lt;&gt;"",'Дивиденды по годам'!K295&lt;&gt;"",'Дивиденды по годам'!M295&lt;&gt;"",'Дивиденды по годам'!M295&lt;&gt;0),('Дивиденды по годам'!J295+'Дивиденды по годам'!K295)/'Дивиденды по годам'!M295,""),"")</f>
        <v>0.37298320355790959</v>
      </c>
      <c r="V295" cm="1">
        <f t="array" ref="V295">IFERROR(AVERAGE(_xlfn._xlws.FILTER(P$2:P$1073,($C$2:$C$1073=$C295)*($E$2:$E$1073=$E295)*(ROW(P$2:P$1073)&lt;&gt;ROW(P295))*(P$2:P$1073&lt;&gt;""))),"")</f>
        <v>26.189683490044683</v>
      </c>
      <c r="W295" cm="1">
        <f t="array" ref="W295">IFERROR(AVERAGE(_xlfn._xlws.FILTER(Q$2:Q$1073,($C$2:$C$1073=$C295)*($E$2:$E$1073=$E295)*(ROW(Q$2:Q$1073)&lt;&gt;ROW(Q295))*(Q$2:Q$1073&lt;&gt;""))),"")</f>
        <v>0.74103604452671146</v>
      </c>
      <c r="X295" cm="1">
        <f t="array" ref="X295">IFERROR(AVERAGE(_xlfn._xlws.FILTER(R$2:R$1073,($C$2:$C$1073=$C295)*($E$2:$E$1073=$E295)*(ROW(R$2:R$1073)&lt;&gt;ROW(R295))*(R$2:R$1073&lt;&gt;""))),"")</f>
        <v>-6.2372998869294545E-2</v>
      </c>
      <c r="Y295" cm="1">
        <f t="array" ref="Y295">IFERROR(AVERAGE(_xlfn._xlws.FILTER(S$2:S$1073,($C$2:$C$1073=$C295)*($E$2:$E$1073=$E295)*(ROW(S$2:S$1073)&lt;&gt;ROW(S295))*(S$2:S$1073&lt;&gt;""))),"")</f>
        <v>0.48478092512146792</v>
      </c>
      <c r="Z295" cm="1">
        <f t="array" ref="Z295">IFERROR(AVERAGE(_xlfn._xlws.FILTER(T$2:T$1073,($C$2:$C$1073=$C295)*($E$2:$E$1073=$E295)*(ROW(T$2:T$1073)&lt;&gt;ROW(T295))*(T$2:T$1073&lt;&gt;""))),"")</f>
        <v>4.2521482921378445E-2</v>
      </c>
      <c r="AA295" cm="1">
        <f t="array" ref="AA295">IFERROR(AVERAGE(_xlfn._xlws.FILTER(U$2:U$1073,($C$2:$C$1073=$C295)*($E$2:$E$1073=$E295)*(ROW(U$2:U$1073)&lt;&gt;ROW(U295))*(U$2:U$1073&lt;&gt;""))),"")</f>
        <v>0.68344858697231281</v>
      </c>
    </row>
    <row r="296" spans="1:27" x14ac:dyDescent="0.2">
      <c r="A296" s="7" t="s">
        <v>2214</v>
      </c>
      <c r="B296" t="str">
        <f t="shared" si="46"/>
        <v>TGKA IV кв. 2019</v>
      </c>
      <c r="C296">
        <v>2019</v>
      </c>
      <c r="D296">
        <f>SUMIFS(Дивиденды!$C:$C,Дивиденды!$A:$A,A296,Дивиденды!$I:$I,C296)</f>
        <v>1.0369999999999999E-3</v>
      </c>
      <c r="E296">
        <v>2</v>
      </c>
      <c r="F296">
        <f t="shared" si="47"/>
        <v>1.0369999999999999E-3</v>
      </c>
      <c r="G296">
        <f t="shared" si="48"/>
        <v>7.1222250000000001E-2</v>
      </c>
      <c r="H296">
        <f t="shared" si="49"/>
        <v>1</v>
      </c>
      <c r="I296">
        <f t="shared" si="45"/>
        <v>1</v>
      </c>
      <c r="J296">
        <f t="shared" si="50"/>
        <v>0.60775193798449612</v>
      </c>
      <c r="K296">
        <f t="shared" si="54"/>
        <v>0.12144676283787963</v>
      </c>
      <c r="L296">
        <f t="shared" si="51"/>
        <v>1</v>
      </c>
      <c r="M296">
        <f t="shared" si="55"/>
        <v>0.41666666666666669</v>
      </c>
      <c r="N296">
        <f t="shared" si="52"/>
        <v>0</v>
      </c>
      <c r="O296">
        <f t="shared" si="53"/>
        <v>0.5</v>
      </c>
      <c r="P296">
        <f>IFERROR(LN('Дивиденды по годам'!I296),"")</f>
        <v>25.93003907271671</v>
      </c>
      <c r="Q296">
        <f>IFERROR('Дивиденды по годам'!G296/'Дивиденды по годам'!I296, "")</f>
        <v>0.81426405897301801</v>
      </c>
      <c r="R296">
        <f>IFERROR(IF(AND('Дивиденды по годам'!N296&lt;&gt;"",'Дивиденды по годам'!U296&lt;&gt;"",'Дивиденды по годам'!U296&lt;&gt;0),'Дивиденды по годам'!N296/'Дивиденды по годам'!U296-1,""),"")</f>
        <v>5.1922109718460341E-2</v>
      </c>
      <c r="S296">
        <f>IFERROR(IF(AND('Дивиденды по годам'!L296&lt;&gt;"",'Дивиденды по годам'!I296&lt;&gt;"",'Дивиденды по годам'!J296&lt;&gt;"",'Дивиденды по годам'!K296&lt;&gt;"",('Дивиденды по годам'!I296-'Дивиденды по годам'!J296-'Дивиденды по годам'!K296)&lt;&gt;0),'Дивиденды по годам'!L296/('Дивиденды по годам'!I296-'Дивиденды по годам'!J296-'Дивиденды по годам'!K296),""),"")</f>
        <v>0.52135966911614129</v>
      </c>
      <c r="T296">
        <f>IFERROR(IF(AND('Дивиденды по годам'!Q296&lt;&gt;"",'Дивиденды по годам'!I296&lt;&gt;"",'Дивиденды по годам'!V296&lt;&gt;"",('Дивиденды по годам'!I296+'Дивиденды по годам'!V296)&lt;&gt;0),'Дивиденды по годам'!Q296/(('Дивиденды по годам'!I296+'Дивиденды по годам'!V296)/2),""),"")</f>
        <v>4.5604230270295219E-2</v>
      </c>
      <c r="U296">
        <f>IFERROR(IF(AND('Дивиденды по годам'!J296&lt;&gt;"",'Дивиденды по годам'!K296&lt;&gt;"",'Дивиденды по годам'!M296&lt;&gt;"",'Дивиденды по годам'!M296&lt;&gt;0),('Дивиденды по годам'!J296+'Дивиденды по годам'!K296)/'Дивиденды по годам'!M296,""),"")</f>
        <v>0.38603839347167124</v>
      </c>
      <c r="V296" cm="1">
        <f t="array" ref="V296">IFERROR(AVERAGE(_xlfn._xlws.FILTER(P$2:P$1073,($C$2:$C$1073=$C296)*($E$2:$E$1073=$E296)*(ROW(P$2:P$1073)&lt;&gt;ROW(P296))*(P$2:P$1073&lt;&gt;""))),"")</f>
        <v>26.150321382324041</v>
      </c>
      <c r="W296" cm="1">
        <f t="array" ref="W296">IFERROR(AVERAGE(_xlfn._xlws.FILTER(Q$2:Q$1073,($C$2:$C$1073=$C296)*($E$2:$E$1073=$E296)*(ROW(Q$2:Q$1073)&lt;&gt;ROW(Q296))*(Q$2:Q$1073&lt;&gt;""))),"")</f>
        <v>0.73055600769684481</v>
      </c>
      <c r="X296" cm="1">
        <f t="array" ref="X296">IFERROR(AVERAGE(_xlfn._xlws.FILTER(R$2:R$1073,($C$2:$C$1073=$C296)*($E$2:$E$1073=$E296)*(ROW(R$2:R$1073)&lt;&gt;ROW(R296))*(R$2:R$1073&lt;&gt;""))),"")</f>
        <v>-5.5543208217103312E-4</v>
      </c>
      <c r="Y296" cm="1">
        <f t="array" ref="Y296">IFERROR(AVERAGE(_xlfn._xlws.FILTER(S$2:S$1073,($C$2:$C$1073=$C296)*($E$2:$E$1073=$E296)*(ROW(S$2:S$1073)&lt;&gt;ROW(S296))*(S$2:S$1073&lt;&gt;""))),"")</f>
        <v>0.47007991530399756</v>
      </c>
      <c r="Z296" cm="1">
        <f t="array" ref="Z296">IFERROR(AVERAGE(_xlfn._xlws.FILTER(T$2:T$1073,($C$2:$C$1073=$C296)*($E$2:$E$1073=$E296)*(ROW(T$2:T$1073)&lt;&gt;ROW(T296))*(T$2:T$1073&lt;&gt;""))),"")</f>
        <v>5.2496131818601667E-2</v>
      </c>
      <c r="AA296" cm="1">
        <f t="array" ref="AA296">IFERROR(AVERAGE(_xlfn._xlws.FILTER(U$2:U$1073,($C$2:$C$1073=$C296)*($E$2:$E$1073=$E296)*(ROW(U$2:U$1073)&lt;&gt;ROW(U296))*(U$2:U$1073&lt;&gt;""))),"")</f>
        <v>0.68868881731864473</v>
      </c>
    </row>
    <row r="297" spans="1:27" x14ac:dyDescent="0.2">
      <c r="A297" s="7" t="s">
        <v>2214</v>
      </c>
      <c r="B297" t="str">
        <f t="shared" si="46"/>
        <v>TGKA IV кв. 2018</v>
      </c>
      <c r="C297">
        <v>2018</v>
      </c>
      <c r="D297">
        <f>SUMIFS(Дивиденды!$C:$C,Дивиденды!$A:$A,A297,Дивиденды!$I:$I,C297)</f>
        <v>6.4499999999999996E-4</v>
      </c>
      <c r="E297">
        <v>2</v>
      </c>
      <c r="F297">
        <f t="shared" si="47"/>
        <v>6.4499999999999996E-4</v>
      </c>
      <c r="G297">
        <f t="shared" si="48"/>
        <v>8.0516666666666667E-2</v>
      </c>
      <c r="H297">
        <f t="shared" si="49"/>
        <v>1</v>
      </c>
      <c r="I297">
        <f t="shared" si="45"/>
        <v>1</v>
      </c>
      <c r="J297">
        <f t="shared" si="50"/>
        <v>0.31632653061224486</v>
      </c>
      <c r="K297">
        <f t="shared" si="54"/>
        <v>0.16989781741323173</v>
      </c>
      <c r="L297">
        <f t="shared" si="51"/>
        <v>1</v>
      </c>
      <c r="M297">
        <f t="shared" si="55"/>
        <v>0.58333333333333337</v>
      </c>
      <c r="N297">
        <f t="shared" si="52"/>
        <v>0</v>
      </c>
      <c r="O297">
        <f t="shared" si="53"/>
        <v>0.25</v>
      </c>
      <c r="P297">
        <f>IFERROR(LN('Дивиденды по годам'!I297),"")</f>
        <v>25.846704630844854</v>
      </c>
      <c r="Q297">
        <f>IFERROR('Дивиденды по годам'!G297/'Дивиденды по годам'!I297, "")</f>
        <v>0.82390480949664335</v>
      </c>
      <c r="R297">
        <f>IFERROR(IF(AND('Дивиденды по годам'!N297&lt;&gt;"",'Дивиденды по годам'!U297&lt;&gt;"",'Дивиденды по годам'!U297&lt;&gt;0),'Дивиденды по годам'!N297/'Дивиденды по годам'!U297-1,""),"")</f>
        <v>5.7903715948364853E-2</v>
      </c>
      <c r="S297">
        <f>IFERROR(IF(AND('Дивиденды по годам'!L297&lt;&gt;"",'Дивиденды по годам'!I297&lt;&gt;"",'Дивиденды по годам'!J297&lt;&gt;"",'Дивиденды по годам'!K297&lt;&gt;"",('Дивиденды по годам'!I297-'Дивиденды по годам'!J297-'Дивиденды по годам'!K297)&lt;&gt;0),'Дивиденды по годам'!L297/('Дивиденды по годам'!I297-'Дивиденды по годам'!J297-'Дивиденды по годам'!K297),""),"")</f>
        <v>0.49372686200408461</v>
      </c>
      <c r="T297">
        <f>IFERROR(IF(AND('Дивиденды по годам'!Q297&lt;&gt;"",'Дивиденды по годам'!I297&lt;&gt;"",'Дивиденды по годам'!V297&lt;&gt;"",('Дивиденды по годам'!I297+'Дивиденды по годам'!V297)&lt;&gt;0),'Дивиденды по годам'!Q297/(('Дивиденды по годам'!I297+'Дивиденды по годам'!V297)/2),""),"")</f>
        <v>6.2836405584518598E-2</v>
      </c>
      <c r="U297">
        <f>IFERROR(IF(AND('Дивиденды по годам'!J297&lt;&gt;"",'Дивиденды по годам'!K297&lt;&gt;"",'Дивиденды по годам'!M297&lt;&gt;"",'Дивиденды по годам'!M297&lt;&gt;0),('Дивиденды по годам'!J297+'Дивиденды по годам'!K297)/'Дивиденды по годам'!M297,""),"")</f>
        <v>0.34498855890815999</v>
      </c>
      <c r="V297" cm="1">
        <f t="array" ref="V297">IFERROR(AVERAGE(_xlfn._xlws.FILTER(P$2:P$1073,($C$2:$C$1073=$C297)*($E$2:$E$1073=$E297)*(ROW(P$2:P$1073)&lt;&gt;ROW(P297))*(P$2:P$1073&lt;&gt;""))),"")</f>
        <v>26.099699961951945</v>
      </c>
      <c r="W297" cm="1">
        <f t="array" ref="W297">IFERROR(AVERAGE(_xlfn._xlws.FILTER(Q$2:Q$1073,($C$2:$C$1073=$C297)*($E$2:$E$1073=$E297)*(ROW(Q$2:Q$1073)&lt;&gt;ROW(Q297))*(Q$2:Q$1073&lt;&gt;""))),"")</f>
        <v>0.7472904215436027</v>
      </c>
      <c r="X297" cm="1">
        <f t="array" ref="X297">IFERROR(AVERAGE(_xlfn._xlws.FILTER(R$2:R$1073,($C$2:$C$1073=$C297)*($E$2:$E$1073=$E297)*(ROW(R$2:R$1073)&lt;&gt;ROW(R297))*(R$2:R$1073&lt;&gt;""))),"")</f>
        <v>4.9557839041079348E-2</v>
      </c>
      <c r="Y297" cm="1">
        <f t="array" ref="Y297">IFERROR(AVERAGE(_xlfn._xlws.FILTER(S$2:S$1073,($C$2:$C$1073=$C297)*($E$2:$E$1073=$E297)*(ROW(S$2:S$1073)&lt;&gt;ROW(S297))*(S$2:S$1073&lt;&gt;""))),"")</f>
        <v>0.46196664721623643</v>
      </c>
      <c r="Z297" cm="1">
        <f t="array" ref="Z297">IFERROR(AVERAGE(_xlfn._xlws.FILTER(T$2:T$1073,($C$2:$C$1073=$C297)*($E$2:$E$1073=$E297)*(ROW(T$2:T$1073)&lt;&gt;ROW(T297))*(T$2:T$1073&lt;&gt;""))),"")</f>
        <v>6.887606071856156E-2</v>
      </c>
      <c r="AA297" cm="1">
        <f t="array" ref="AA297">IFERROR(AVERAGE(_xlfn._xlws.FILTER(U$2:U$1073,($C$2:$C$1073=$C297)*($E$2:$E$1073=$E297)*(ROW(U$2:U$1073)&lt;&gt;ROW(U297))*(U$2:U$1073&lt;&gt;""))),"")</f>
        <v>0.65588281354423617</v>
      </c>
    </row>
    <row r="298" spans="1:27" x14ac:dyDescent="0.2">
      <c r="A298" s="7" t="s">
        <v>2214</v>
      </c>
      <c r="B298" t="str">
        <f t="shared" si="46"/>
        <v>TGKA IV кв. 2017</v>
      </c>
      <c r="C298">
        <v>2017</v>
      </c>
      <c r="D298">
        <f>SUMIFS(Дивиденды!$C:$C,Дивиденды!$A:$A,A298,Дивиденды!$I:$I,C298)</f>
        <v>4.8999999999999998E-4</v>
      </c>
      <c r="E298">
        <v>2</v>
      </c>
      <c r="F298">
        <f t="shared" si="47"/>
        <v>4.8999999999999998E-4</v>
      </c>
      <c r="G298">
        <f t="shared" si="48"/>
        <v>7.2068000000000007E-2</v>
      </c>
      <c r="H298">
        <f t="shared" si="49"/>
        <v>1</v>
      </c>
      <c r="I298">
        <f t="shared" si="45"/>
        <v>1</v>
      </c>
      <c r="J298">
        <f t="shared" si="50"/>
        <v>0.4202898550724638</v>
      </c>
      <c r="K298">
        <f t="shared" si="54"/>
        <v>0.60672548301757823</v>
      </c>
      <c r="L298">
        <f t="shared" si="51"/>
        <v>1</v>
      </c>
      <c r="M298">
        <f t="shared" si="55"/>
        <v>0.75</v>
      </c>
      <c r="N298">
        <f t="shared" si="52"/>
        <v>0</v>
      </c>
      <c r="O298">
        <f t="shared" si="53"/>
        <v>0.25</v>
      </c>
      <c r="P298">
        <f>IFERROR(LN('Дивиденды по годам'!I298),"")</f>
        <v>25.821836932287169</v>
      </c>
      <c r="Q298">
        <f>IFERROR('Дивиденды по годам'!G298/'Дивиденды по годам'!I298, "")</f>
        <v>0.81454104036125352</v>
      </c>
      <c r="R298">
        <f>IFERROR(IF(AND('Дивиденды по годам'!N298&lt;&gt;"",'Дивиденды по годам'!U298&lt;&gt;"",'Дивиденды по годам'!U298&lt;&gt;0),'Дивиденды по годам'!N298/'Дивиденды по годам'!U298-1,""),"")</f>
        <v>0.10778908881257609</v>
      </c>
      <c r="S298">
        <f>IFERROR(IF(AND('Дивиденды по годам'!L298&lt;&gt;"",'Дивиденды по годам'!I298&lt;&gt;"",'Дивиденды по годам'!J298&lt;&gt;"",'Дивиденды по годам'!K298&lt;&gt;"",('Дивиденды по годам'!I298-'Дивиденды по годам'!J298-'Дивиденды по годам'!K298)&lt;&gt;0),'Дивиденды по годам'!L298/('Дивиденды по годам'!I298-'Дивиденды по годам'!J298-'Дивиденды по годам'!K298),""),"")</f>
        <v>0.46145425181766814</v>
      </c>
      <c r="T298">
        <f>IFERROR(IF(AND('Дивиденды по годам'!Q298&lt;&gt;"",'Дивиденды по годам'!I298&lt;&gt;"",'Дивиденды по годам'!V298&lt;&gt;"",('Дивиденды по годам'!I298+'Дивиденды по годам'!V298)&lt;&gt;0),'Дивиденды по годам'!Q298/(('Дивиденды по годам'!I298+'Дивиденды по годам'!V298)/2),""),"")</f>
        <v>4.9001927956450878E-2</v>
      </c>
      <c r="U298">
        <f>IFERROR(IF(AND('Дивиденды по годам'!J298&lt;&gt;"",'Дивиденды по годам'!K298&lt;&gt;"",'Дивиденды по годам'!M298&lt;&gt;"",'Дивиденды по годам'!M298&lt;&gt;0),('Дивиденды по годам'!J298+'Дивиденды по годам'!K298)/'Дивиденды по годам'!M298,""),"")</f>
        <v>0.40639509931882689</v>
      </c>
      <c r="V298" cm="1">
        <f t="array" ref="V298">IFERROR(AVERAGE(_xlfn._xlws.FILTER(P$2:P$1073,($C$2:$C$1073=$C298)*($E$2:$E$1073=$E298)*(ROW(P$2:P$1073)&lt;&gt;ROW(P298))*(P$2:P$1073&lt;&gt;""))),"")</f>
        <v>26.069159718815566</v>
      </c>
      <c r="W298" cm="1">
        <f t="array" ref="W298">IFERROR(AVERAGE(_xlfn._xlws.FILTER(Q$2:Q$1073,($C$2:$C$1073=$C298)*($E$2:$E$1073=$E298)*(ROW(Q$2:Q$1073)&lt;&gt;ROW(Q298))*(Q$2:Q$1073&lt;&gt;""))),"")</f>
        <v>0.75558056776984028</v>
      </c>
      <c r="X298" cm="1">
        <f t="array" ref="X298">IFERROR(AVERAGE(_xlfn._xlws.FILTER(R$2:R$1073,($C$2:$C$1073=$C298)*($E$2:$E$1073=$E298)*(ROW(R$2:R$1073)&lt;&gt;ROW(R298))*(R$2:R$1073&lt;&gt;""))),"")</f>
        <v>4.0728165887864015E-2</v>
      </c>
      <c r="Y298" cm="1">
        <f t="array" ref="Y298">IFERROR(AVERAGE(_xlfn._xlws.FILTER(S$2:S$1073,($C$2:$C$1073=$C298)*($E$2:$E$1073=$E298)*(ROW(S$2:S$1073)&lt;&gt;ROW(S298))*(S$2:S$1073&lt;&gt;""))),"")</f>
        <v>0.41705589897782208</v>
      </c>
      <c r="Z298" cm="1">
        <f t="array" ref="Z298">IFERROR(AVERAGE(_xlfn._xlws.FILTER(T$2:T$1073,($C$2:$C$1073=$C298)*($E$2:$E$1073=$E298)*(ROW(T$2:T$1073)&lt;&gt;ROW(T298))*(T$2:T$1073&lt;&gt;""))),"")</f>
        <v>8.4284029142868144E-2</v>
      </c>
      <c r="AA298" cm="1">
        <f t="array" ref="AA298">IFERROR(AVERAGE(_xlfn._xlws.FILTER(U$2:U$1073,($C$2:$C$1073=$C298)*($E$2:$E$1073=$E298)*(ROW(U$2:U$1073)&lt;&gt;ROW(U298))*(U$2:U$1073&lt;&gt;""))),"")</f>
        <v>0.65004354356192684</v>
      </c>
    </row>
    <row r="299" spans="1:27" x14ac:dyDescent="0.2">
      <c r="A299" s="7" t="s">
        <v>2214</v>
      </c>
      <c r="B299" t="str">
        <f t="shared" si="46"/>
        <v>TGKA IV кв. 2016</v>
      </c>
      <c r="C299">
        <v>2016</v>
      </c>
      <c r="D299">
        <f>SUMIFS(Дивиденды!$C:$C,Дивиденды!$A:$A,A299,Дивиденды!$I:$I,C299)</f>
        <v>3.4499999999999998E-4</v>
      </c>
      <c r="E299">
        <v>2</v>
      </c>
      <c r="F299">
        <f t="shared" si="47"/>
        <v>3.4499999999999998E-4</v>
      </c>
      <c r="G299">
        <f t="shared" si="48"/>
        <v>5.7366416666666663E-2</v>
      </c>
      <c r="H299">
        <f t="shared" si="49"/>
        <v>1</v>
      </c>
      <c r="I299">
        <f t="shared" si="45"/>
        <v>1</v>
      </c>
      <c r="J299">
        <f t="shared" si="50"/>
        <v>0.41975308641975301</v>
      </c>
      <c r="K299">
        <f t="shared" si="54"/>
        <v>1.3720906139374973</v>
      </c>
      <c r="L299">
        <f t="shared" si="51"/>
        <v>1</v>
      </c>
      <c r="M299">
        <f t="shared" si="55"/>
        <v>0.83333333333333337</v>
      </c>
      <c r="N299">
        <f t="shared" si="52"/>
        <v>0</v>
      </c>
      <c r="O299">
        <f t="shared" si="53"/>
        <v>0.16666666666666666</v>
      </c>
      <c r="P299">
        <f>IFERROR(LN('Дивиденды по годам'!I299),"")</f>
        <v>25.797007089051498</v>
      </c>
      <c r="Q299">
        <f>IFERROR('Дивиденды по годам'!G299/'Дивиденды по годам'!I299, "")</f>
        <v>0.82911654267270629</v>
      </c>
      <c r="R299" t="str">
        <f>IFERROR(IF(AND('Дивиденды по годам'!N299&lt;&gt;"",'Дивиденды по годам'!U299&lt;&gt;"",'Дивиденды по годам'!U299&lt;&gt;0),'Дивиденды по годам'!N299/'Дивиденды по годам'!U299-1,""),"")</f>
        <v/>
      </c>
      <c r="S299">
        <f>IFERROR(IF(AND('Дивиденды по годам'!L299&lt;&gt;"",'Дивиденды по годам'!I299&lt;&gt;"",'Дивиденды по годам'!J299&lt;&gt;"",'Дивиденды по годам'!K299&lt;&gt;"",('Дивиденды по годам'!I299-'Дивиденды по годам'!J299-'Дивиденды по годам'!K299)&lt;&gt;0),'Дивиденды по годам'!L299/('Дивиденды по годам'!I299-'Дивиденды по годам'!J299-'Дивиденды по годам'!K299),""),"")</f>
        <v>0.43155978360172664</v>
      </c>
      <c r="T299" t="str">
        <f>IFERROR(IF(AND('Дивиденды по годам'!Q299&lt;&gt;"",'Дивиденды по годам'!I299&lt;&gt;"",'Дивиденды по годам'!V299&lt;&gt;"",('Дивиденды по годам'!I299+'Дивиденды по годам'!V299)&lt;&gt;0),'Дивиденды по годам'!Q299/(('Дивиденды по годам'!I299+'Дивиденды по годам'!V299)/2),""),"")</f>
        <v/>
      </c>
      <c r="U299">
        <f>IFERROR(IF(AND('Дивиденды по годам'!J299&lt;&gt;"",'Дивиденды по годам'!K299&lt;&gt;"",'Дивиденды по годам'!M299&lt;&gt;"",'Дивиденды по годам'!M299&lt;&gt;0),('Дивиденды по годам'!J299+'Дивиденды по годам'!K299)/'Дивиденды по годам'!M299,""),"")</f>
        <v>0.45267620692604821</v>
      </c>
      <c r="V299" cm="1">
        <f t="array" ref="V299">IFERROR(AVERAGE(_xlfn._xlws.FILTER(P$2:P$1073,($C$2:$C$1073=$C299)*($E$2:$E$1073=$E299)*(ROW(P$2:P$1073)&lt;&gt;ROW(P299))*(P$2:P$1073&lt;&gt;""))),"")</f>
        <v>26.025422112614649</v>
      </c>
      <c r="W299" cm="1">
        <f t="array" ref="W299">IFERROR(AVERAGE(_xlfn._xlws.FILTER(Q$2:Q$1073,($C$2:$C$1073=$C299)*($E$2:$E$1073=$E299)*(ROW(Q$2:Q$1073)&lt;&gt;ROW(Q299))*(Q$2:Q$1073&lt;&gt;""))),"")</f>
        <v>0.70686100153026388</v>
      </c>
      <c r="X299" cm="1">
        <f t="array" ref="X299">IFERROR(AVERAGE(_xlfn._xlws.FILTER(R$2:R$1073,($C$2:$C$1073=$C299)*($E$2:$E$1073=$E299)*(ROW(R$2:R$1073)&lt;&gt;ROW(R299))*(R$2:R$1073&lt;&gt;""))),"")</f>
        <v>0.11417416404225701</v>
      </c>
      <c r="Y299" cm="1">
        <f t="array" ref="Y299">IFERROR(AVERAGE(_xlfn._xlws.FILTER(S$2:S$1073,($C$2:$C$1073=$C299)*($E$2:$E$1073=$E299)*(ROW(S$2:S$1073)&lt;&gt;ROW(S299))*(S$2:S$1073&lt;&gt;""))),"")</f>
        <v>0.40683180852167578</v>
      </c>
      <c r="Z299" cm="1">
        <f t="array" ref="Z299">IFERROR(AVERAGE(_xlfn._xlws.FILTER(T$2:T$1073,($C$2:$C$1073=$C299)*($E$2:$E$1073=$E299)*(ROW(T$2:T$1073)&lt;&gt;ROW(T299))*(T$2:T$1073&lt;&gt;""))),"")</f>
        <v>4.0943955414103568E-2</v>
      </c>
      <c r="AA299" cm="1">
        <f t="array" ref="AA299">IFERROR(AVERAGE(_xlfn._xlws.FILTER(U$2:U$1073,($C$2:$C$1073=$C299)*($E$2:$E$1073=$E299)*(ROW(U$2:U$1073)&lt;&gt;ROW(U299))*(U$2:U$1073&lt;&gt;""))),"")</f>
        <v>0.74906769705519238</v>
      </c>
    </row>
    <row r="300" spans="1:27" x14ac:dyDescent="0.2">
      <c r="A300" s="7" t="s">
        <v>2214</v>
      </c>
      <c r="B300" t="str">
        <f t="shared" si="46"/>
        <v>TGKA IV кв. 2015</v>
      </c>
      <c r="C300">
        <v>2015</v>
      </c>
      <c r="D300">
        <f>SUMIFS(Дивиденды!$C:$C,Дивиденды!$A:$A,A300,Дивиденды!$I:$I,C300)</f>
        <v>2.43E-4</v>
      </c>
      <c r="E300">
        <v>2</v>
      </c>
      <c r="F300">
        <f t="shared" si="47"/>
        <v>2.43E-4</v>
      </c>
      <c r="G300">
        <f t="shared" si="48"/>
        <v>4.1419833333333336E-2</v>
      </c>
      <c r="H300">
        <f t="shared" si="49"/>
        <v>1</v>
      </c>
      <c r="I300">
        <f t="shared" si="45"/>
        <v>0.91666666666666663</v>
      </c>
      <c r="J300">
        <f t="shared" si="50"/>
        <v>8.0000000000000016E-2</v>
      </c>
      <c r="K300">
        <f t="shared" si="54"/>
        <v>4.1383097783256755</v>
      </c>
      <c r="L300">
        <f t="shared" si="51"/>
        <v>1</v>
      </c>
      <c r="M300">
        <f t="shared" si="55"/>
        <v>0.66666666666666663</v>
      </c>
      <c r="N300">
        <f t="shared" si="52"/>
        <v>0</v>
      </c>
      <c r="O300">
        <f t="shared" si="53"/>
        <v>0.33333333333333331</v>
      </c>
      <c r="P300" t="str">
        <f>IFERROR(LN('Дивиденды по годам'!I300),"")</f>
        <v/>
      </c>
      <c r="Q300" t="str">
        <f>IFERROR('Дивиденды по годам'!G300/'Дивиденды по годам'!I300, "")</f>
        <v/>
      </c>
      <c r="R300" t="str">
        <f>IFERROR(IF(AND('Дивиденды по годам'!N300&lt;&gt;"",'Дивиденды по годам'!U300&lt;&gt;"",'Дивиденды по годам'!U300&lt;&gt;0),'Дивиденды по годам'!N300/'Дивиденды по годам'!U300-1,""),"")</f>
        <v/>
      </c>
      <c r="S300" t="str">
        <f>IFERROR(IF(AND('Дивиденды по годам'!L300&lt;&gt;"",'Дивиденды по годам'!I300&lt;&gt;"",'Дивиденды по годам'!J300&lt;&gt;"",'Дивиденды по годам'!K300&lt;&gt;"",('Дивиденды по годам'!I300-'Дивиденды по годам'!J300-'Дивиденды по годам'!K300)&lt;&gt;0),'Дивиденды по годам'!L300/('Дивиденды по годам'!I300-'Дивиденды по годам'!J300-'Дивиденды по годам'!K300),""),"")</f>
        <v/>
      </c>
      <c r="T300" t="str">
        <f>IFERROR(IF(AND('Дивиденды по годам'!Q300&lt;&gt;"",'Дивиденды по годам'!I300&lt;&gt;"",'Дивиденды по годам'!V300&lt;&gt;"",('Дивиденды по годам'!I300+'Дивиденды по годам'!V300)&lt;&gt;0),'Дивиденды по годам'!Q300/(('Дивиденды по годам'!I300+'Дивиденды по годам'!V300)/2),""),"")</f>
        <v/>
      </c>
      <c r="U300" t="str">
        <f>IFERROR(IF(AND('Дивиденды по годам'!J300&lt;&gt;"",'Дивиденды по годам'!K300&lt;&gt;"",'Дивиденды по годам'!M300&lt;&gt;"",'Дивиденды по годам'!M300&lt;&gt;0),('Дивиденды по годам'!J300+'Дивиденды по годам'!K300)/'Дивиденды по годам'!M300,""),"")</f>
        <v/>
      </c>
      <c r="V300" cm="1">
        <f t="array" ref="V300">IFERROR(AVERAGE(_xlfn._xlws.FILTER(P$2:P$1073,($C$2:$C$1073=$C300)*($E$2:$E$1073=$E300)*(ROW(P$2:P$1073)&lt;&gt;ROW(P300))*(P$2:P$1073&lt;&gt;""))),"")</f>
        <v>25.929037289731681</v>
      </c>
      <c r="W300" cm="1">
        <f t="array" ref="W300">IFERROR(AVERAGE(_xlfn._xlws.FILTER(Q$2:Q$1073,($C$2:$C$1073=$C300)*($E$2:$E$1073=$E300)*(ROW(Q$2:Q$1073)&lt;&gt;ROW(Q300))*(Q$2:Q$1073&lt;&gt;""))),"")</f>
        <v>0.77938300122684545</v>
      </c>
      <c r="X300" cm="1">
        <f t="array" ref="X300">IFERROR(AVERAGE(_xlfn._xlws.FILTER(R$2:R$1073,($C$2:$C$1073=$C300)*($E$2:$E$1073=$E300)*(ROW(R$2:R$1073)&lt;&gt;ROW(R300))*(R$2:R$1073&lt;&gt;""))),"")</f>
        <v>6.7517888744073832E-3</v>
      </c>
      <c r="Y300" cm="1">
        <f t="array" ref="Y300">IFERROR(AVERAGE(_xlfn._xlws.FILTER(S$2:S$1073,($C$2:$C$1073=$C300)*($E$2:$E$1073=$E300)*(ROW(S$2:S$1073)&lt;&gt;ROW(S300))*(S$2:S$1073&lt;&gt;""))),"")</f>
        <v>0.4889220310718525</v>
      </c>
      <c r="Z300" cm="1">
        <f t="array" ref="Z300">IFERROR(AVERAGE(_xlfn._xlws.FILTER(T$2:T$1073,($C$2:$C$1073=$C300)*($E$2:$E$1073=$E300)*(ROW(T$2:T$1073)&lt;&gt;ROW(T300))*(T$2:T$1073&lt;&gt;""))),"")</f>
        <v>-1.2387742079155006E-2</v>
      </c>
      <c r="AA300" cm="1">
        <f t="array" ref="AA300">IFERROR(AVERAGE(_xlfn._xlws.FILTER(U$2:U$1073,($C$2:$C$1073=$C300)*($E$2:$E$1073=$E300)*(ROW(U$2:U$1073)&lt;&gt;ROW(U300))*(U$2:U$1073&lt;&gt;""))),"")</f>
        <v>0.89260692757539384</v>
      </c>
    </row>
    <row r="301" spans="1:27" x14ac:dyDescent="0.2">
      <c r="A301" s="7" t="s">
        <v>2214</v>
      </c>
      <c r="B301" t="str">
        <f t="shared" si="46"/>
        <v>TGKA IV кв. 2014</v>
      </c>
      <c r="C301">
        <v>2014</v>
      </c>
      <c r="D301">
        <f>SUMIFS(Дивиденды!$C:$C,Дивиденды!$A:$A,A301,Дивиденды!$I:$I,C301)</f>
        <v>2.2499999999999999E-4</v>
      </c>
      <c r="E301">
        <v>2</v>
      </c>
      <c r="F301">
        <f t="shared" si="47"/>
        <v>2.2499999999999999E-4</v>
      </c>
      <c r="G301">
        <f t="shared" si="48"/>
        <v>3.8949166666666674E-2</v>
      </c>
      <c r="H301">
        <f t="shared" si="49"/>
        <v>1</v>
      </c>
      <c r="I301">
        <f t="shared" si="45"/>
        <v>1</v>
      </c>
      <c r="J301">
        <f t="shared" si="50"/>
        <v>0.3473053892215569</v>
      </c>
      <c r="K301">
        <f t="shared" si="54"/>
        <v>1.3721613659148424</v>
      </c>
      <c r="L301">
        <f t="shared" si="51"/>
        <v>1</v>
      </c>
      <c r="M301">
        <f t="shared" si="55"/>
        <v>0.58333333333333337</v>
      </c>
      <c r="N301">
        <f t="shared" si="52"/>
        <v>0</v>
      </c>
      <c r="O301">
        <f t="shared" si="53"/>
        <v>0.33333333333333331</v>
      </c>
      <c r="P301" t="str">
        <f>IFERROR(LN('Дивиденды по годам'!I301),"")</f>
        <v/>
      </c>
      <c r="Q301" t="str">
        <f>IFERROR('Дивиденды по годам'!G301/'Дивиденды по годам'!I301, "")</f>
        <v/>
      </c>
      <c r="R301" t="str">
        <f>IFERROR(IF(AND('Дивиденды по годам'!N301&lt;&gt;"",'Дивиденды по годам'!U301&lt;&gt;"",'Дивиденды по годам'!U301&lt;&gt;0),'Дивиденды по годам'!N301/'Дивиденды по годам'!U301-1,""),"")</f>
        <v/>
      </c>
      <c r="S301" t="str">
        <f>IFERROR(IF(AND('Дивиденды по годам'!L301&lt;&gt;"",'Дивиденды по годам'!I301&lt;&gt;"",'Дивиденды по годам'!J301&lt;&gt;"",'Дивиденды по годам'!K301&lt;&gt;"",('Дивиденды по годам'!I301-'Дивиденды по годам'!J301-'Дивиденды по годам'!K301)&lt;&gt;0),'Дивиденды по годам'!L301/('Дивиденды по годам'!I301-'Дивиденды по годам'!J301-'Дивиденды по годам'!K301),""),"")</f>
        <v/>
      </c>
      <c r="T301" t="str">
        <f>IFERROR(IF(AND('Дивиденды по годам'!Q301&lt;&gt;"",'Дивиденды по годам'!I301&lt;&gt;"",'Дивиденды по годам'!V301&lt;&gt;"",('Дивиденды по годам'!I301+'Дивиденды по годам'!V301)&lt;&gt;0),'Дивиденды по годам'!Q301/(('Дивиденды по годам'!I301+'Дивиденды по годам'!V301)/2),""),"")</f>
        <v/>
      </c>
      <c r="U301" t="str">
        <f>IFERROR(IF(AND('Дивиденды по годам'!J301&lt;&gt;"",'Дивиденды по годам'!K301&lt;&gt;"",'Дивиденды по годам'!M301&lt;&gt;"",'Дивиденды по годам'!M301&lt;&gt;0),('Дивиденды по годам'!J301+'Дивиденды по годам'!K301)/'Дивиденды по годам'!M301,""),"")</f>
        <v/>
      </c>
      <c r="V301" cm="1">
        <f t="array" ref="V301">IFERROR(AVERAGE(_xlfn._xlws.FILTER(P$2:P$1073,($C$2:$C$1073=$C301)*($E$2:$E$1073=$E301)*(ROW(P$2:P$1073)&lt;&gt;ROW(P301))*(P$2:P$1073&lt;&gt;""))),"")</f>
        <v>26.162362087257655</v>
      </c>
      <c r="W301" cm="1">
        <f t="array" ref="W301">IFERROR(AVERAGE(_xlfn._xlws.FILTER(Q$2:Q$1073,($C$2:$C$1073=$C301)*($E$2:$E$1073=$E301)*(ROW(Q$2:Q$1073)&lt;&gt;ROW(Q301))*(Q$2:Q$1073&lt;&gt;""))),"")</f>
        <v>0.77148348573008463</v>
      </c>
      <c r="X301" cm="1">
        <f t="array" ref="X301">IFERROR(AVERAGE(_xlfn._xlws.FILTER(R$2:R$1073,($C$2:$C$1073=$C301)*($E$2:$E$1073=$E301)*(ROW(R$2:R$1073)&lt;&gt;ROW(R301))*(R$2:R$1073&lt;&gt;""))),"")</f>
        <v>2.2711345548547646E-2</v>
      </c>
      <c r="Y301" cm="1">
        <f t="array" ref="Y301">IFERROR(AVERAGE(_xlfn._xlws.FILTER(S$2:S$1073,($C$2:$C$1073=$C301)*($E$2:$E$1073=$E301)*(ROW(S$2:S$1073)&lt;&gt;ROW(S301))*(S$2:S$1073&lt;&gt;""))),"")</f>
        <v>0.60466035791128681</v>
      </c>
      <c r="Z301" cm="1">
        <f t="array" ref="Z301">IFERROR(AVERAGE(_xlfn._xlws.FILTER(T$2:T$1073,($C$2:$C$1073=$C301)*($E$2:$E$1073=$E301)*(ROW(T$2:T$1073)&lt;&gt;ROW(T301))*(T$2:T$1073&lt;&gt;""))),"")</f>
        <v>1.8616337284622531E-2</v>
      </c>
      <c r="AA301" cm="1">
        <f t="array" ref="AA301">IFERROR(AVERAGE(_xlfn._xlws.FILTER(U$2:U$1073,($C$2:$C$1073=$C301)*($E$2:$E$1073=$E301)*(ROW(U$2:U$1073)&lt;&gt;ROW(U301))*(U$2:U$1073&lt;&gt;""))),"")</f>
        <v>0.75378158026714182</v>
      </c>
    </row>
    <row r="302" spans="1:27" x14ac:dyDescent="0.2">
      <c r="A302" s="7" t="s">
        <v>2214</v>
      </c>
      <c r="B302" t="str">
        <f t="shared" si="46"/>
        <v>TGKA IV кв. 2013</v>
      </c>
      <c r="C302">
        <v>2013</v>
      </c>
      <c r="D302">
        <f>SUMIFS(Дивиденды!$C:$C,Дивиденды!$A:$A,A302,Дивиденды!$I:$I,C302)</f>
        <v>1.6699999999999999E-4</v>
      </c>
      <c r="E302">
        <v>2</v>
      </c>
      <c r="F302">
        <f t="shared" si="47"/>
        <v>1.6699999999999999E-4</v>
      </c>
      <c r="G302">
        <f t="shared" si="48"/>
        <v>4.642916666666666E-2</v>
      </c>
      <c r="H302">
        <f t="shared" si="49"/>
        <v>1</v>
      </c>
      <c r="I302">
        <f t="shared" si="45"/>
        <v>0.75</v>
      </c>
      <c r="J302">
        <f t="shared" si="50"/>
        <v>0.36885245901639341</v>
      </c>
      <c r="K302">
        <f t="shared" si="54"/>
        <v>-1.7784850499356058E-2</v>
      </c>
      <c r="L302">
        <f t="shared" si="51"/>
        <v>1</v>
      </c>
      <c r="M302">
        <f t="shared" si="55"/>
        <v>0.41666666666666669</v>
      </c>
      <c r="N302">
        <f t="shared" si="52"/>
        <v>0</v>
      </c>
      <c r="O302">
        <f t="shared" si="53"/>
        <v>0.33333333333333331</v>
      </c>
      <c r="P302">
        <f>IFERROR(LN('Дивиденды по годам'!I302),"")</f>
        <v>25.737904891951128</v>
      </c>
      <c r="Q302">
        <f>IFERROR('Дивиденды по годам'!G302/'Дивиденды по годам'!I302, "")</f>
        <v>0.86445360986731579</v>
      </c>
      <c r="R302">
        <f>IFERROR(IF(AND('Дивиденды по годам'!N302&lt;&gt;"",'Дивиденды по годам'!U302&lt;&gt;"",'Дивиденды по годам'!U302&lt;&gt;0),'Дивиденды по годам'!N302/'Дивиденды по годам'!U302-1,""),"")</f>
        <v>-0.31470949863134123</v>
      </c>
      <c r="S302" t="str">
        <f>IFERROR(IF(AND('Дивиденды по годам'!L302&lt;&gt;"",'Дивиденды по годам'!I302&lt;&gt;"",'Дивиденды по годам'!J302&lt;&gt;"",'Дивиденды по годам'!K302&lt;&gt;"",('Дивиденды по годам'!I302-'Дивиденды по годам'!J302-'Дивиденды по годам'!K302)&lt;&gt;0),'Дивиденды по годам'!L302/('Дивиденды по годам'!I302-'Дивиденды по годам'!J302-'Дивиденды по годам'!K302),""),"")</f>
        <v/>
      </c>
      <c r="T302">
        <f>IFERROR(IF(AND('Дивиденды по годам'!Q302&lt;&gt;"",'Дивиденды по годам'!I302&lt;&gt;"",'Дивиденды по годам'!V302&lt;&gt;"",('Дивиденды по годам'!I302+'Дивиденды по годам'!V302)&lt;&gt;0),'Дивиденды по годам'!Q302/(('Дивиденды по годам'!I302+'Дивиденды по годам'!V302)/2),""),"")</f>
        <v>4.5337925781382335E-2</v>
      </c>
      <c r="U302">
        <f>IFERROR(IF(AND('Дивиденды по годам'!J302&lt;&gt;"",'Дивиденды по годам'!K302&lt;&gt;"",'Дивиденды по годам'!M302&lt;&gt;"",'Дивиденды по годам'!M302&lt;&gt;0),('Дивиденды по годам'!J302+'Дивиденды по годам'!K302)/'Дивиденды по годам'!M302,""),"")</f>
        <v>0.55075893622069039</v>
      </c>
      <c r="V302" cm="1">
        <f t="array" ref="V302">IFERROR(AVERAGE(_xlfn._xlws.FILTER(P$2:P$1073,($C$2:$C$1073=$C302)*($E$2:$E$1073=$E302)*(ROW(P$2:P$1073)&lt;&gt;ROW(P302))*(P$2:P$1073&lt;&gt;""))),"")</f>
        <v>26.14497314212047</v>
      </c>
      <c r="W302" cm="1">
        <f t="array" ref="W302">IFERROR(AVERAGE(_xlfn._xlws.FILTER(Q$2:Q$1073,($C$2:$C$1073=$C302)*($E$2:$E$1073=$E302)*(ROW(Q$2:Q$1073)&lt;&gt;ROW(Q302))*(Q$2:Q$1073&lt;&gt;""))),"")</f>
        <v>0.77468725161185448</v>
      </c>
      <c r="X302" cm="1">
        <f t="array" ref="X302">IFERROR(AVERAGE(_xlfn._xlws.FILTER(R$2:R$1073,($C$2:$C$1073=$C302)*($E$2:$E$1073=$E302)*(ROW(R$2:R$1073)&lt;&gt;ROW(R302))*(R$2:R$1073&lt;&gt;""))),"")</f>
        <v>0.14361782414746796</v>
      </c>
      <c r="Y302" cm="1">
        <f t="array" ref="Y302">IFERROR(AVERAGE(_xlfn._xlws.FILTER(S$2:S$1073,($C$2:$C$1073=$C302)*($E$2:$E$1073=$E302)*(ROW(S$2:S$1073)&lt;&gt;ROW(S302))*(S$2:S$1073&lt;&gt;""))),"")</f>
        <v>0.4636519590056305</v>
      </c>
      <c r="Z302" cm="1">
        <f t="array" ref="Z302">IFERROR(AVERAGE(_xlfn._xlws.FILTER(T$2:T$1073,($C$2:$C$1073=$C302)*($E$2:$E$1073=$E302)*(ROW(T$2:T$1073)&lt;&gt;ROW(T302))*(T$2:T$1073&lt;&gt;""))),"")</f>
        <v>-1.0462830785926403E-2</v>
      </c>
      <c r="AA302" cm="1">
        <f t="array" ref="AA302">IFERROR(AVERAGE(_xlfn._xlws.FILTER(U$2:U$1073,($C$2:$C$1073=$C302)*($E$2:$E$1073=$E302)*(ROW(U$2:U$1073)&lt;&gt;ROW(U302))*(U$2:U$1073&lt;&gt;""))),"")</f>
        <v>0.68981658285118541</v>
      </c>
    </row>
    <row r="303" spans="1:27" x14ac:dyDescent="0.2">
      <c r="A303" s="7" t="s">
        <v>2214</v>
      </c>
      <c r="B303" t="str">
        <f t="shared" si="46"/>
        <v>TGKA IV кв. 2012</v>
      </c>
      <c r="C303">
        <v>2012</v>
      </c>
      <c r="D303">
        <f>SUMIFS(Дивиденды!$C:$C,Дивиденды!$A:$A,A303,Дивиденды!$I:$I,C303)</f>
        <v>1.22E-4</v>
      </c>
      <c r="E303">
        <v>2</v>
      </c>
      <c r="F303">
        <f t="shared" si="47"/>
        <v>1.22E-4</v>
      </c>
      <c r="G303">
        <f t="shared" si="48"/>
        <v>3.715216666666666E-2</v>
      </c>
      <c r="H303">
        <f t="shared" si="49"/>
        <v>1</v>
      </c>
      <c r="I303">
        <f t="shared" si="45"/>
        <v>0.66666666666666663</v>
      </c>
      <c r="J303">
        <f t="shared" si="50"/>
        <v>1.489795918367347</v>
      </c>
      <c r="K303">
        <f t="shared" si="54"/>
        <v>0.61665238314288673</v>
      </c>
      <c r="L303">
        <f t="shared" si="51"/>
        <v>1</v>
      </c>
      <c r="M303">
        <f t="shared" si="55"/>
        <v>0.5</v>
      </c>
      <c r="N303">
        <f t="shared" si="52"/>
        <v>0</v>
      </c>
      <c r="O303">
        <f t="shared" si="53"/>
        <v>0.16666666666666666</v>
      </c>
      <c r="P303">
        <f>IFERROR(LN('Дивиденды по годам'!I303),"")</f>
        <v>25.720044814148427</v>
      </c>
      <c r="Q303">
        <f>IFERROR('Дивиденды по годам'!G303/'Дивиденды по годам'!I303, "")</f>
        <v>0.87238152614302122</v>
      </c>
      <c r="R303">
        <f>IFERROR(IF(AND('Дивиденды по годам'!N303&lt;&gt;"",'Дивиденды по годам'!U303&lt;&gt;"",'Дивиденды по годам'!U303&lt;&gt;0),'Дивиденды по годам'!N303/'Дивиденды по годам'!U303-1,""),"")</f>
        <v>3.7045258097024858E-2</v>
      </c>
      <c r="S303" t="str">
        <f>IFERROR(IF(AND('Дивиденды по годам'!L303&lt;&gt;"",'Дивиденды по годам'!I303&lt;&gt;"",'Дивиденды по годам'!J303&lt;&gt;"",'Дивиденды по годам'!K303&lt;&gt;"",('Дивиденды по годам'!I303-'Дивиденды по годам'!J303-'Дивиденды по годам'!K303)&lt;&gt;0),'Дивиденды по годам'!L303/('Дивиденды по годам'!I303-'Дивиденды по годам'!J303-'Дивиденды по годам'!K303),""),"")</f>
        <v/>
      </c>
      <c r="T303">
        <f>IFERROR(IF(AND('Дивиденды по годам'!Q303&lt;&gt;"",'Дивиденды по годам'!I303&lt;&gt;"",'Дивиденды по годам'!V303&lt;&gt;"",('Дивиденды по годам'!I303+'Дивиденды по годам'!V303)&lt;&gt;0),'Дивиденды по годам'!Q303/(('Дивиденды по годам'!I303+'Дивиденды по годам'!V303)/2),""),"")</f>
        <v>4.36682049089741E-2</v>
      </c>
      <c r="U303">
        <f>IFERROR(IF(AND('Дивиденды по годам'!J303&lt;&gt;"",'Дивиденды по годам'!K303&lt;&gt;"",'Дивиденды по годам'!M303&lt;&gt;"",'Дивиденды по годам'!M303&lt;&gt;0),('Дивиденды по годам'!J303+'Дивиденды по годам'!K303)/'Дивиденды по годам'!M303,""),"")</f>
        <v>0.62979945439750717</v>
      </c>
      <c r="V303" cm="1">
        <f t="array" ref="V303">IFERROR(AVERAGE(_xlfn._xlws.FILTER(P$2:P$1073,($C$2:$C$1073=$C303)*($E$2:$E$1073=$E303)*(ROW(P$2:P$1073)&lt;&gt;ROW(P303))*(P$2:P$1073&lt;&gt;""))),"")</f>
        <v>26.142871651889521</v>
      </c>
      <c r="W303" cm="1">
        <f t="array" ref="W303">IFERROR(AVERAGE(_xlfn._xlws.FILTER(Q$2:Q$1073,($C$2:$C$1073=$C303)*($E$2:$E$1073=$E303)*(ROW(Q$2:Q$1073)&lt;&gt;ROW(Q303))*(Q$2:Q$1073&lt;&gt;""))),"")</f>
        <v>0.76823916676717285</v>
      </c>
      <c r="X303" cm="1">
        <f t="array" ref="X303">IFERROR(AVERAGE(_xlfn._xlws.FILTER(R$2:R$1073,($C$2:$C$1073=$C303)*($E$2:$E$1073=$E303)*(ROW(R$2:R$1073)&lt;&gt;ROW(R303))*(R$2:R$1073&lt;&gt;""))),"")</f>
        <v>-2.1736097516339821E-2</v>
      </c>
      <c r="Y303" cm="1">
        <f t="array" ref="Y303">IFERROR(AVERAGE(_xlfn._xlws.FILTER(S$2:S$1073,($C$2:$C$1073=$C303)*($E$2:$E$1073=$E303)*(ROW(S$2:S$1073)&lt;&gt;ROW(S303))*(S$2:S$1073&lt;&gt;""))),"")</f>
        <v>0.44715527647269881</v>
      </c>
      <c r="Z303" cm="1">
        <f t="array" ref="Z303">IFERROR(AVERAGE(_xlfn._xlws.FILTER(T$2:T$1073,($C$2:$C$1073=$C303)*($E$2:$E$1073=$E303)*(ROW(T$2:T$1073)&lt;&gt;ROW(T303))*(T$2:T$1073&lt;&gt;""))),"")</f>
        <v>1.6484993856285365E-2</v>
      </c>
      <c r="AA303" cm="1">
        <f t="array" ref="AA303">IFERROR(AVERAGE(_xlfn._xlws.FILTER(U$2:U$1073,($C$2:$C$1073=$C303)*($E$2:$E$1073=$E303)*(ROW(U$2:U$1073)&lt;&gt;ROW(U303))*(U$2:U$1073&lt;&gt;""))),"")</f>
        <v>0.65349972183396232</v>
      </c>
    </row>
    <row r="304" spans="1:27" x14ac:dyDescent="0.2">
      <c r="A304" s="7" t="s">
        <v>2214</v>
      </c>
      <c r="B304" t="str">
        <f t="shared" si="46"/>
        <v>TGKA IV кв. 2011</v>
      </c>
      <c r="C304">
        <v>2011</v>
      </c>
      <c r="D304">
        <f>SUMIFS(Дивиденды!$C:$C,Дивиденды!$A:$A,A304,Дивиденды!$I:$I,C304)</f>
        <v>4.8999999999999998E-5</v>
      </c>
      <c r="E304">
        <v>2</v>
      </c>
      <c r="F304">
        <f t="shared" si="47"/>
        <v>4.8999999999999998E-5</v>
      </c>
      <c r="G304">
        <f t="shared" si="48"/>
        <v>1.1542666666666666E-2</v>
      </c>
      <c r="H304">
        <f t="shared" si="49"/>
        <v>1</v>
      </c>
      <c r="I304">
        <f t="shared" ref="I304:I367" si="56">IFERROR((COUNTIFS($E:$E,E304,$C:$C,C304,$H:$H,1)-H304)/(COUNTIFS($E:$E,E304,$C:$C,C304)-1),0)</f>
        <v>0.75</v>
      </c>
      <c r="J304">
        <f t="shared" si="50"/>
        <v>4.2553191489361729E-2</v>
      </c>
      <c r="K304">
        <f t="shared" si="54"/>
        <v>4.7224150645347261E-2</v>
      </c>
      <c r="L304">
        <f t="shared" si="51"/>
        <v>1</v>
      </c>
      <c r="M304">
        <f t="shared" si="55"/>
        <v>0.41666666666666669</v>
      </c>
      <c r="N304">
        <f t="shared" si="52"/>
        <v>0</v>
      </c>
      <c r="O304">
        <f t="shared" si="53"/>
        <v>0.41666666666666669</v>
      </c>
      <c r="P304">
        <f>IFERROR(LN('Дивиденды по годам'!I304),"")</f>
        <v>25.650100122573726</v>
      </c>
      <c r="Q304">
        <f>IFERROR('Дивиденды по годам'!G304/'Дивиденды по годам'!I304, "")</f>
        <v>0.8746852366755089</v>
      </c>
      <c r="R304" t="str">
        <f>IFERROR(IF(AND('Дивиденды по годам'!N304&lt;&gt;"",'Дивиденды по годам'!U304&lt;&gt;"",'Дивиденды по годам'!U304&lt;&gt;0),'Дивиденды по годам'!N304/'Дивиденды по годам'!U304-1,""),"")</f>
        <v/>
      </c>
      <c r="S304" t="str">
        <f>IFERROR(IF(AND('Дивиденды по годам'!L304&lt;&gt;"",'Дивиденды по годам'!I304&lt;&gt;"",'Дивиденды по годам'!J304&lt;&gt;"",'Дивиденды по годам'!K304&lt;&gt;"",('Дивиденды по годам'!I304-'Дивиденды по годам'!J304-'Дивиденды по годам'!K304)&lt;&gt;0),'Дивиденды по годам'!L304/('Дивиденды по годам'!I304-'Дивиденды по годам'!J304-'Дивиденды по годам'!K304),""),"")</f>
        <v/>
      </c>
      <c r="T304" t="str">
        <f>IFERROR(IF(AND('Дивиденды по годам'!Q304&lt;&gt;"",'Дивиденды по годам'!I304&lt;&gt;"",'Дивиденды по годам'!V304&lt;&gt;"",('Дивиденды по годам'!I304+'Дивиденды по годам'!V304)&lt;&gt;0),'Дивиденды по годам'!Q304/(('Дивиденды по годам'!I304+'Дивиденды по годам'!V304)/2),""),"")</f>
        <v/>
      </c>
      <c r="U304">
        <f>IFERROR(IF(AND('Дивиденды по годам'!J304&lt;&gt;"",'Дивиденды по годам'!K304&lt;&gt;"",'Дивиденды по годам'!M304&lt;&gt;"",'Дивиденды по годам'!M304&lt;&gt;0),('Дивиденды по годам'!J304+'Дивиденды по годам'!K304)/'Дивиденды по годам'!M304,""),"")</f>
        <v>0.62847022205773284</v>
      </c>
      <c r="V304" cm="1">
        <f t="array" ref="V304">IFERROR(AVERAGE(_xlfn._xlws.FILTER(P$2:P$1073,($C$2:$C$1073=$C304)*($E$2:$E$1073=$E304)*(ROW(P$2:P$1073)&lt;&gt;ROW(P304))*(P$2:P$1073&lt;&gt;""))),"")</f>
        <v>26.199999189159904</v>
      </c>
      <c r="W304" cm="1">
        <f t="array" ref="W304">IFERROR(AVERAGE(_xlfn._xlws.FILTER(Q$2:Q$1073,($C$2:$C$1073=$C304)*($E$2:$E$1073=$E304)*(ROW(Q$2:Q$1073)&lt;&gt;ROW(Q304))*(Q$2:Q$1073&lt;&gt;""))),"")</f>
        <v>0.75464024686045639</v>
      </c>
      <c r="X304" cm="1">
        <f t="array" ref="X304">IFERROR(AVERAGE(_xlfn._xlws.FILTER(R$2:R$1073,($C$2:$C$1073=$C304)*($E$2:$E$1073=$E304)*(ROW(R$2:R$1073)&lt;&gt;ROW(R304))*(R$2:R$1073&lt;&gt;""))),"")</f>
        <v>0.14348983045887875</v>
      </c>
      <c r="Y304" cm="1">
        <f t="array" ref="Y304">IFERROR(AVERAGE(_xlfn._xlws.FILTER(S$2:S$1073,($C$2:$C$1073=$C304)*($E$2:$E$1073=$E304)*(ROW(S$2:S$1073)&lt;&gt;ROW(S304))*(S$2:S$1073&lt;&gt;""))),"")</f>
        <v>0.39850050246333968</v>
      </c>
      <c r="Z304" cm="1">
        <f t="array" ref="Z304">IFERROR(AVERAGE(_xlfn._xlws.FILTER(T$2:T$1073,($C$2:$C$1073=$C304)*($E$2:$E$1073=$E304)*(ROW(T$2:T$1073)&lt;&gt;ROW(T304))*(T$2:T$1073&lt;&gt;""))),"")</f>
        <v>4.5214358774442007E-2</v>
      </c>
      <c r="AA304" cm="1">
        <f t="array" ref="AA304">IFERROR(AVERAGE(_xlfn._xlws.FILTER(U$2:U$1073,($C$2:$C$1073=$C304)*($E$2:$E$1073=$E304)*(ROW(U$2:U$1073)&lt;&gt;ROW(U304))*(U$2:U$1073&lt;&gt;""))),"")</f>
        <v>0.59095399357535883</v>
      </c>
    </row>
    <row r="305" spans="1:27" x14ac:dyDescent="0.2">
      <c r="A305" s="7" t="s">
        <v>2214</v>
      </c>
      <c r="B305" t="str">
        <f t="shared" si="46"/>
        <v>TGKA IV кв. 2010</v>
      </c>
      <c r="C305">
        <v>2010</v>
      </c>
      <c r="D305">
        <f>SUMIFS(Дивиденды!$C:$C,Дивиденды!$A:$A,A305,Дивиденды!$I:$I,C305)</f>
        <v>4.6999999999999997E-5</v>
      </c>
      <c r="E305">
        <v>2</v>
      </c>
      <c r="F305">
        <f t="shared" si="47"/>
        <v>4.6999999999999997E-5</v>
      </c>
      <c r="G305">
        <f t="shared" si="48"/>
        <v>6.5579166666666668E-3</v>
      </c>
      <c r="H305">
        <f t="shared" si="49"/>
        <v>1</v>
      </c>
      <c r="I305">
        <f t="shared" si="56"/>
        <v>0.75</v>
      </c>
      <c r="J305" t="str">
        <f t="shared" si="50"/>
        <v/>
      </c>
      <c r="K305" t="str">
        <f t="shared" si="54"/>
        <v/>
      </c>
      <c r="L305" t="str">
        <f t="shared" si="51"/>
        <v/>
      </c>
      <c r="M305" t="str">
        <f t="shared" si="55"/>
        <v/>
      </c>
      <c r="N305" t="str">
        <f t="shared" si="52"/>
        <v/>
      </c>
      <c r="O305" t="str">
        <f t="shared" si="53"/>
        <v/>
      </c>
      <c r="P305" t="str">
        <f>IFERROR(LN('Дивиденды по годам'!I305),"")</f>
        <v/>
      </c>
      <c r="Q305" t="str">
        <f>IFERROR('Дивиденды по годам'!G305/'Дивиденды по годам'!I305, "")</f>
        <v/>
      </c>
      <c r="R305" t="str">
        <f>IFERROR(IF(AND('Дивиденды по годам'!N305&lt;&gt;"",'Дивиденды по годам'!U305&lt;&gt;"",'Дивиденды по годам'!U305&lt;&gt;0),'Дивиденды по годам'!N305/'Дивиденды по годам'!U305-1,""),"")</f>
        <v/>
      </c>
      <c r="S305" t="str">
        <f>IFERROR(IF(AND('Дивиденды по годам'!L305&lt;&gt;"",'Дивиденды по годам'!I305&lt;&gt;"",'Дивиденды по годам'!J305&lt;&gt;"",'Дивиденды по годам'!K305&lt;&gt;"",('Дивиденды по годам'!I305-'Дивиденды по годам'!J305-'Дивиденды по годам'!K305)&lt;&gt;0),'Дивиденды по годам'!L305/('Дивиденды по годам'!I305-'Дивиденды по годам'!J305-'Дивиденды по годам'!K305),""),"")</f>
        <v/>
      </c>
      <c r="T305" t="str">
        <f>IFERROR(IF(AND('Дивиденды по годам'!Q305&lt;&gt;"",'Дивиденды по годам'!I305&lt;&gt;"",'Дивиденды по годам'!V305&lt;&gt;"",('Дивиденды по годам'!I305+'Дивиденды по годам'!V305)&lt;&gt;0),'Дивиденды по годам'!Q305/(('Дивиденды по годам'!I305+'Дивиденды по годам'!V305)/2),""),"")</f>
        <v/>
      </c>
      <c r="U305" t="str">
        <f>IFERROR(IF(AND('Дивиденды по годам'!J305&lt;&gt;"",'Дивиденды по годам'!K305&lt;&gt;"",'Дивиденды по годам'!M305&lt;&gt;"",'Дивиденды по годам'!M305&lt;&gt;0),('Дивиденды по годам'!J305+'Дивиденды по годам'!K305)/'Дивиденды по годам'!M305,""),"")</f>
        <v/>
      </c>
      <c r="V305" cm="1">
        <f t="array" ref="V305">IFERROR(AVERAGE(_xlfn._xlws.FILTER(P$2:P$1073,($C$2:$C$1073=$C305)*($E$2:$E$1073=$E305)*(ROW(P$2:P$1073)&lt;&gt;ROW(P305))*(P$2:P$1073&lt;&gt;""))),"")</f>
        <v>24.730948088520865</v>
      </c>
      <c r="W305" cm="1">
        <f t="array" ref="W305">IFERROR(AVERAGE(_xlfn._xlws.FILTER(Q$2:Q$1073,($C$2:$C$1073=$C305)*($E$2:$E$1073=$E305)*(ROW(Q$2:Q$1073)&lt;&gt;ROW(Q305))*(Q$2:Q$1073&lt;&gt;""))),"")</f>
        <v>0.82035195639515091</v>
      </c>
      <c r="X305" t="str" cm="1">
        <f t="array" ref="X305">IFERROR(AVERAGE(_xlfn._xlws.FILTER(R$2:R$1073,($C$2:$C$1073=$C305)*($E$2:$E$1073=$E305)*(ROW(R$2:R$1073)&lt;&gt;ROW(R305))*(R$2:R$1073&lt;&gt;""))),"")</f>
        <v/>
      </c>
      <c r="Y305" t="str" cm="1">
        <f t="array" ref="Y305">IFERROR(AVERAGE(_xlfn._xlws.FILTER(S$2:S$1073,($C$2:$C$1073=$C305)*($E$2:$E$1073=$E305)*(ROW(S$2:S$1073)&lt;&gt;ROW(S305))*(S$2:S$1073&lt;&gt;""))),"")</f>
        <v/>
      </c>
      <c r="Z305" t="str" cm="1">
        <f t="array" ref="Z305">IFERROR(AVERAGE(_xlfn._xlws.FILTER(T$2:T$1073,($C$2:$C$1073=$C305)*($E$2:$E$1073=$E305)*(ROW(T$2:T$1073)&lt;&gt;ROW(T305))*(T$2:T$1073&lt;&gt;""))),"")</f>
        <v/>
      </c>
      <c r="AA305" cm="1">
        <f t="array" ref="AA305">IFERROR(AVERAGE(_xlfn._xlws.FILTER(U$2:U$1073,($C$2:$C$1073=$C305)*($E$2:$E$1073=$E305)*(ROW(U$2:U$1073)&lt;&gt;ROW(U305))*(U$2:U$1073&lt;&gt;""))),"")</f>
        <v>0.91314375247969903</v>
      </c>
    </row>
    <row r="306" spans="1:27" x14ac:dyDescent="0.2">
      <c r="A306" s="7" t="s">
        <v>2216</v>
      </c>
      <c r="B306" t="str">
        <f t="shared" si="46"/>
        <v>UPRO IV кв. 2025</v>
      </c>
      <c r="C306">
        <v>2025</v>
      </c>
      <c r="D306">
        <f>SUMIFS(Дивиденды!$C:$C,Дивиденды!$A:$A,A306,Дивиденды!$I:$I,C306)</f>
        <v>0</v>
      </c>
      <c r="E306">
        <v>2</v>
      </c>
      <c r="F306">
        <f t="shared" si="47"/>
        <v>0</v>
      </c>
      <c r="G306">
        <f t="shared" si="48"/>
        <v>0</v>
      </c>
      <c r="H306">
        <f t="shared" si="49"/>
        <v>0</v>
      </c>
      <c r="I306">
        <f t="shared" si="56"/>
        <v>0</v>
      </c>
      <c r="J306">
        <f t="shared" si="50"/>
        <v>0</v>
      </c>
      <c r="K306">
        <f t="shared" si="54"/>
        <v>-0.58333333333333337</v>
      </c>
      <c r="L306">
        <f t="shared" si="51"/>
        <v>0</v>
      </c>
      <c r="M306">
        <f t="shared" si="55"/>
        <v>0</v>
      </c>
      <c r="N306">
        <f t="shared" si="52"/>
        <v>0</v>
      </c>
      <c r="O306">
        <f t="shared" si="53"/>
        <v>0.58333333333333337</v>
      </c>
      <c r="P306">
        <f>IFERROR(LN('Дивиденды по годам'!I306),"")</f>
        <v>26.198810933754309</v>
      </c>
      <c r="Q306">
        <f>IFERROR('Дивиденды по годам'!G306/'Дивиденды по годам'!I306, "")</f>
        <v>0.44568453407372854</v>
      </c>
      <c r="R306">
        <f>IFERROR(IF(AND('Дивиденды по годам'!N306&lt;&gt;"",'Дивиденды по годам'!U306&lt;&gt;"",'Дивиденды по годам'!U306&lt;&gt;0),'Дивиденды по годам'!N306/'Дивиденды по годам'!U306-1,""),"")</f>
        <v>4.7197804503550378E-2</v>
      </c>
      <c r="S306" t="str">
        <f>IFERROR(IF(AND('Дивиденды по годам'!L306&lt;&gt;"",'Дивиденды по годам'!I306&lt;&gt;"",'Дивиденды по годам'!J306&lt;&gt;"",'Дивиденды по годам'!K306&lt;&gt;"",('Дивиденды по годам'!I306-'Дивиденды по годам'!J306-'Дивиденды по годам'!K306)&lt;&gt;0),'Дивиденды по годам'!L306/('Дивиденды по годам'!I306-'Дивиденды по годам'!J306-'Дивиденды по годам'!K306),""),"")</f>
        <v/>
      </c>
      <c r="T306">
        <f>IFERROR(IF(AND('Дивиденды по годам'!Q306&lt;&gt;"",'Дивиденды по годам'!I306&lt;&gt;"",'Дивиденды по годам'!V306&lt;&gt;"",('Дивиденды по годам'!I306+'Дивиденды по годам'!V306)&lt;&gt;0),'Дивиденды по годам'!Q306/(('Дивиденды по годам'!I306+'Дивиденды по годам'!V306)/2),""),"")</f>
        <v>0.1806963811869661</v>
      </c>
      <c r="U306">
        <f>IFERROR(IF(AND('Дивиденды по годам'!J306&lt;&gt;"",'Дивиденды по годам'!K306&lt;&gt;"",'Дивиденды по годам'!M306&lt;&gt;"",'Дивиденды по годам'!M306&lt;&gt;0),('Дивиденды по годам'!J306+'Дивиденды по годам'!K306)/'Дивиденды по годам'!M306,""),"")</f>
        <v>6.7278561398587552E-2</v>
      </c>
      <c r="V306" cm="1">
        <f t="array" ref="V306">IFERROR(AVERAGE(_xlfn._xlws.FILTER(P$2:P$1073,($C$2:$C$1073=$C306)*($E$2:$E$1073=$E306)*(ROW(P$2:P$1073)&lt;&gt;ROW(P306))*(P$2:P$1073&lt;&gt;""))),"")</f>
        <v>26.634362528527646</v>
      </c>
      <c r="W306" cm="1">
        <f t="array" ref="W306">IFERROR(AVERAGE(_xlfn._xlws.FILTER(Q$2:Q$1073,($C$2:$C$1073=$C306)*($E$2:$E$1073=$E306)*(ROW(Q$2:Q$1073)&lt;&gt;ROW(Q306))*(Q$2:Q$1073&lt;&gt;""))),"")</f>
        <v>0.71072750855345102</v>
      </c>
      <c r="X306" cm="1">
        <f t="array" ref="X306">IFERROR(AVERAGE(_xlfn._xlws.FILTER(R$2:R$1073,($C$2:$C$1073=$C306)*($E$2:$E$1073=$E306)*(ROW(R$2:R$1073)&lt;&gt;ROW(R306))*(R$2:R$1073&lt;&gt;""))),"")</f>
        <v>0.19511600810931484</v>
      </c>
      <c r="Y306" cm="1">
        <f t="array" ref="Y306">IFERROR(AVERAGE(_xlfn._xlws.FILTER(S$2:S$1073,($C$2:$C$1073=$C306)*($E$2:$E$1073=$E306)*(ROW(S$2:S$1073)&lt;&gt;ROW(S306))*(S$2:S$1073&lt;&gt;""))),"")</f>
        <v>0.75614685785818758</v>
      </c>
      <c r="Z306" cm="1">
        <f t="array" ref="Z306">IFERROR(AVERAGE(_xlfn._xlws.FILTER(T$2:T$1073,($C$2:$C$1073=$C306)*($E$2:$E$1073=$E306)*(ROW(T$2:T$1073)&lt;&gt;ROW(T306))*(T$2:T$1073&lt;&gt;""))),"")</f>
        <v>9.1970065381882266E-2</v>
      </c>
      <c r="AA306" cm="1">
        <f t="array" ref="AA306">IFERROR(AVERAGE(_xlfn._xlws.FILTER(U$2:U$1073,($C$2:$C$1073=$C306)*($E$2:$E$1073=$E306)*(ROW(U$2:U$1073)&lt;&gt;ROW(U306))*(U$2:U$1073&lt;&gt;""))),"")</f>
        <v>1.0067903973201353</v>
      </c>
    </row>
    <row r="307" spans="1:27" x14ac:dyDescent="0.2">
      <c r="A307" s="7" t="s">
        <v>2216</v>
      </c>
      <c r="B307" t="str">
        <f t="shared" si="46"/>
        <v>UPRO IV кв. 2024</v>
      </c>
      <c r="C307">
        <v>2024</v>
      </c>
      <c r="D307">
        <f>SUMIFS(Дивиденды!$C:$C,Дивиденды!$A:$A,A307,Дивиденды!$I:$I,C307)</f>
        <v>0</v>
      </c>
      <c r="E307">
        <v>2</v>
      </c>
      <c r="F307">
        <f t="shared" si="47"/>
        <v>0</v>
      </c>
      <c r="G307">
        <f t="shared" si="48"/>
        <v>6.3399999999999998E-2</v>
      </c>
      <c r="H307">
        <f t="shared" si="49"/>
        <v>0</v>
      </c>
      <c r="I307">
        <f t="shared" si="56"/>
        <v>0.58333333333333337</v>
      </c>
      <c r="J307">
        <f t="shared" si="50"/>
        <v>0</v>
      </c>
      <c r="K307">
        <f t="shared" si="54"/>
        <v>8.6160653443004165E-2</v>
      </c>
      <c r="L307">
        <f t="shared" si="51"/>
        <v>0</v>
      </c>
      <c r="M307">
        <f t="shared" si="55"/>
        <v>0.58333333333333337</v>
      </c>
      <c r="N307">
        <f t="shared" si="52"/>
        <v>0</v>
      </c>
      <c r="O307">
        <f t="shared" si="53"/>
        <v>8.3333333333333329E-2</v>
      </c>
      <c r="P307">
        <f>IFERROR(LN('Дивиденды по годам'!I307),"")</f>
        <v>26.007230976245406</v>
      </c>
      <c r="Q307">
        <f>IFERROR('Дивиденды по годам'!G307/'Дивиденды по годам'!I307, "")</f>
        <v>0.44446095132968644</v>
      </c>
      <c r="R307">
        <f>IFERROR(IF(AND('Дивиденды по годам'!N307&lt;&gt;"",'Дивиденды по годам'!U307&lt;&gt;"",'Дивиденды по годам'!U307&lt;&gt;0),'Дивиденды по годам'!N307/'Дивиденды по годам'!U307-1,""),"")</f>
        <v>8.108234185081975E-2</v>
      </c>
      <c r="S307">
        <f>IFERROR(IF(AND('Дивиденды по годам'!L307&lt;&gt;"",'Дивиденды по годам'!I307&lt;&gt;"",'Дивиденды по годам'!J307&lt;&gt;"",'Дивиденды по годам'!K307&lt;&gt;"",('Дивиденды по годам'!I307-'Дивиденды по годам'!J307-'Дивиденды по годам'!K307)&lt;&gt;0),'Дивиденды по годам'!L307/('Дивиденды по годам'!I307-'Дивиденды по годам'!J307-'Дивиденды по годам'!K307),""),"")</f>
        <v>0.64282977475961078</v>
      </c>
      <c r="T307">
        <f>IFERROR(IF(AND('Дивиденды по годам'!Q307&lt;&gt;"",'Дивиденды по годам'!I307&lt;&gt;"",'Дивиденды по годам'!V307&lt;&gt;"",('Дивиденды по годам'!I307+'Дивиденды по годам'!V307)&lt;&gt;0),'Дивиденды по годам'!Q307/(('Дивиденды по годам'!I307+'Дивиденды по годам'!V307)/2),""),"")</f>
        <v>0.17571437472630685</v>
      </c>
      <c r="U307">
        <f>IFERROR(IF(AND('Дивиденды по годам'!J307&lt;&gt;"",'Дивиденды по годам'!K307&lt;&gt;"",'Дивиденды по годам'!M307&lt;&gt;"",'Дивиденды по годам'!M307&lt;&gt;0),('Дивиденды по годам'!J307+'Дивиденды по годам'!K307)/'Дивиденды по годам'!M307,""),"")</f>
        <v>7.0742006461012419E-2</v>
      </c>
      <c r="V307" cm="1">
        <f t="array" ref="V307">IFERROR(AVERAGE(_xlfn._xlws.FILTER(P$2:P$1073,($C$2:$C$1073=$C307)*($E$2:$E$1073=$E307)*(ROW(P$2:P$1073)&lt;&gt;ROW(P307))*(P$2:P$1073&lt;&gt;""))),"")</f>
        <v>26.588663630370142</v>
      </c>
      <c r="W307" cm="1">
        <f t="array" ref="W307">IFERROR(AVERAGE(_xlfn._xlws.FILTER(Q$2:Q$1073,($C$2:$C$1073=$C307)*($E$2:$E$1073=$E307)*(ROW(Q$2:Q$1073)&lt;&gt;ROW(Q307))*(Q$2:Q$1073&lt;&gt;""))),"")</f>
        <v>0.71614370116911952</v>
      </c>
      <c r="X307" cm="1">
        <f t="array" ref="X307">IFERROR(AVERAGE(_xlfn._xlws.FILTER(R$2:R$1073,($C$2:$C$1073=$C307)*($E$2:$E$1073=$E307)*(ROW(R$2:R$1073)&lt;&gt;ROW(R307))*(R$2:R$1073&lt;&gt;""))),"")</f>
        <v>0.10136476337175912</v>
      </c>
      <c r="Y307" cm="1">
        <f t="array" ref="Y307">IFERROR(AVERAGE(_xlfn._xlws.FILTER(S$2:S$1073,($C$2:$C$1073=$C307)*($E$2:$E$1073=$E307)*(ROW(S$2:S$1073)&lt;&gt;ROW(S307))*(S$2:S$1073&lt;&gt;""))),"")</f>
        <v>0.55415456737320967</v>
      </c>
      <c r="Z307" cm="1">
        <f t="array" ref="Z307">IFERROR(AVERAGE(_xlfn._xlws.FILTER(T$2:T$1073,($C$2:$C$1073=$C307)*($E$2:$E$1073=$E307)*(ROW(T$2:T$1073)&lt;&gt;ROW(T307))*(T$2:T$1073&lt;&gt;""))),"")</f>
        <v>4.4164415152335733E-2</v>
      </c>
      <c r="AA307" cm="1">
        <f t="array" ref="AA307">IFERROR(AVERAGE(_xlfn._xlws.FILTER(U$2:U$1073,($C$2:$C$1073=$C307)*($E$2:$E$1073=$E307)*(ROW(U$2:U$1073)&lt;&gt;ROW(U307))*(U$2:U$1073&lt;&gt;""))),"")</f>
        <v>1.0276971823647445</v>
      </c>
    </row>
    <row r="308" spans="1:27" x14ac:dyDescent="0.2">
      <c r="A308" s="7" t="s">
        <v>2216</v>
      </c>
      <c r="B308" t="str">
        <f t="shared" si="46"/>
        <v>UPRO IV кв. 2023</v>
      </c>
      <c r="C308">
        <v>2023</v>
      </c>
      <c r="D308">
        <f>SUMIFS(Дивиденды!$C:$C,Дивиденды!$A:$A,A308,Дивиденды!$I:$I,C308)</f>
        <v>0</v>
      </c>
      <c r="E308">
        <v>2</v>
      </c>
      <c r="F308">
        <f t="shared" si="47"/>
        <v>0</v>
      </c>
      <c r="G308">
        <f t="shared" si="48"/>
        <v>6.6299999999999998E-2</v>
      </c>
      <c r="H308">
        <f t="shared" si="49"/>
        <v>0</v>
      </c>
      <c r="I308">
        <f t="shared" si="56"/>
        <v>0.58333333333333337</v>
      </c>
      <c r="J308">
        <f t="shared" si="50"/>
        <v>0</v>
      </c>
      <c r="K308">
        <f t="shared" si="54"/>
        <v>0.11703324263565433</v>
      </c>
      <c r="L308">
        <f t="shared" si="51"/>
        <v>0</v>
      </c>
      <c r="M308">
        <f t="shared" si="55"/>
        <v>0.5</v>
      </c>
      <c r="N308">
        <f t="shared" si="52"/>
        <v>0</v>
      </c>
      <c r="O308">
        <f t="shared" si="53"/>
        <v>0.25</v>
      </c>
      <c r="P308">
        <f>IFERROR(LN('Дивиденды по годам'!I308),"")</f>
        <v>25.836769969048373</v>
      </c>
      <c r="Q308">
        <f>IFERROR('Дивиденды по годам'!G308/'Дивиденды по годам'!I308, "")</f>
        <v>0.57406526303602512</v>
      </c>
      <c r="R308">
        <f>IFERROR(IF(AND('Дивиденды по годам'!N308&lt;&gt;"",'Дивиденды по годам'!U308&lt;&gt;"",'Дивиденды по годам'!U308&lt;&gt;0),'Дивиденды по годам'!N308/'Дивиденды по годам'!U308-1,""),"")</f>
        <v>0.12129676150459212</v>
      </c>
      <c r="S308">
        <f>IFERROR(IF(AND('Дивиденды по годам'!L308&lt;&gt;"",'Дивиденды по годам'!I308&lt;&gt;"",'Дивиденды по годам'!J308&lt;&gt;"",'Дивиденды по годам'!K308&lt;&gt;"",('Дивиденды по годам'!I308-'Дивиденды по годам'!J308-'Дивиденды по годам'!K308)&lt;&gt;0),'Дивиденды по годам'!L308/('Дивиденды по годам'!I308-'Дивиденды по годам'!J308-'Дивиденды по годам'!K308),""),"")</f>
        <v>0.56679270422013284</v>
      </c>
      <c r="T308">
        <f>IFERROR(IF(AND('Дивиденды по годам'!Q308&lt;&gt;"",'Дивиденды по годам'!I308&lt;&gt;"",'Дивиденды по годам'!V308&lt;&gt;"",('Дивиденды по годам'!I308+'Дивиденды по годам'!V308)&lt;&gt;0),'Дивиденды по годам'!Q308/(('Дивиденды по годам'!I308+'Дивиденды по годам'!V308)/2),""),"")</f>
        <v>0.14102081098000849</v>
      </c>
      <c r="U308">
        <f>IFERROR(IF(AND('Дивиденды по годам'!J308&lt;&gt;"",'Дивиденды по годам'!K308&lt;&gt;"",'Дивиденды по годам'!M308&lt;&gt;"",'Дивиденды по годам'!M308&lt;&gt;0),('Дивиденды по годам'!J308+'Дивиденды по годам'!K308)/'Дивиденды по годам'!M308,""),"")</f>
        <v>9.0208196560221054E-2</v>
      </c>
      <c r="V308" cm="1">
        <f t="array" ref="V308">IFERROR(AVERAGE(_xlfn._xlws.FILTER(P$2:P$1073,($C$2:$C$1073=$C308)*($E$2:$E$1073=$E308)*(ROW(P$2:P$1073)&lt;&gt;ROW(P308))*(P$2:P$1073&lt;&gt;""))),"")</f>
        <v>26.476853067790866</v>
      </c>
      <c r="W308" cm="1">
        <f t="array" ref="W308">IFERROR(AVERAGE(_xlfn._xlws.FILTER(Q$2:Q$1073,($C$2:$C$1073=$C308)*($E$2:$E$1073=$E308)*(ROW(Q$2:Q$1073)&lt;&gt;ROW(Q308))*(Q$2:Q$1073&lt;&gt;""))),"")</f>
        <v>0.7239438674961598</v>
      </c>
      <c r="X308" cm="1">
        <f t="array" ref="X308">IFERROR(AVERAGE(_xlfn._xlws.FILTER(R$2:R$1073,($C$2:$C$1073=$C308)*($E$2:$E$1073=$E308)*(ROW(R$2:R$1073)&lt;&gt;ROW(R308))*(R$2:R$1073&lt;&gt;""))),"")</f>
        <v>0.14187931760662909</v>
      </c>
      <c r="Y308" cm="1">
        <f t="array" ref="Y308">IFERROR(AVERAGE(_xlfn._xlws.FILTER(S$2:S$1073,($C$2:$C$1073=$C308)*($E$2:$E$1073=$E308)*(ROW(S$2:S$1073)&lt;&gt;ROW(S308))*(S$2:S$1073&lt;&gt;""))),"")</f>
        <v>0.53767053575589452</v>
      </c>
      <c r="Z308" cm="1">
        <f t="array" ref="Z308">IFERROR(AVERAGE(_xlfn._xlws.FILTER(T$2:T$1073,($C$2:$C$1073=$C308)*($E$2:$E$1073=$E308)*(ROW(T$2:T$1073)&lt;&gt;ROW(T308))*(T$2:T$1073&lt;&gt;""))),"")</f>
        <v>6.8582494244846984E-2</v>
      </c>
      <c r="AA308" cm="1">
        <f t="array" ref="AA308">IFERROR(AVERAGE(_xlfn._xlws.FILTER(U$2:U$1073,($C$2:$C$1073=$C308)*($E$2:$E$1073=$E308)*(ROW(U$2:U$1073)&lt;&gt;ROW(U308))*(U$2:U$1073&lt;&gt;""))),"")</f>
        <v>0.90543606821707279</v>
      </c>
    </row>
    <row r="309" spans="1:27" x14ac:dyDescent="0.2">
      <c r="A309" s="7" t="s">
        <v>2216</v>
      </c>
      <c r="B309" t="str">
        <f t="shared" si="46"/>
        <v>UPRO IV кв. 2022</v>
      </c>
      <c r="C309">
        <v>2022</v>
      </c>
      <c r="D309">
        <f>SUMIFS(Дивиденды!$C:$C,Дивиденды!$A:$A,A309,Дивиденды!$I:$I,C309)</f>
        <v>0</v>
      </c>
      <c r="E309">
        <v>2</v>
      </c>
      <c r="F309">
        <f t="shared" si="47"/>
        <v>0</v>
      </c>
      <c r="G309">
        <f t="shared" si="48"/>
        <v>6.4731666666666673E-2</v>
      </c>
      <c r="H309">
        <f t="shared" si="49"/>
        <v>0</v>
      </c>
      <c r="I309">
        <f t="shared" si="56"/>
        <v>0.66666666666666663</v>
      </c>
      <c r="J309">
        <f t="shared" si="50"/>
        <v>-1</v>
      </c>
      <c r="K309">
        <f t="shared" si="54"/>
        <v>-7.8308528260407059E-2</v>
      </c>
      <c r="L309">
        <f t="shared" si="51"/>
        <v>0</v>
      </c>
      <c r="M309">
        <f t="shared" si="55"/>
        <v>0.33333333333333331</v>
      </c>
      <c r="N309">
        <f t="shared" si="52"/>
        <v>1</v>
      </c>
      <c r="O309">
        <f t="shared" si="53"/>
        <v>0.41666666666666669</v>
      </c>
      <c r="P309">
        <f>IFERROR(LN('Дивиденды по годам'!I309),"")</f>
        <v>25.709380126893389</v>
      </c>
      <c r="Q309">
        <f>IFERROR('Дивиденды по годам'!G309/'Дивиденды по годам'!I309, "")</f>
        <v>0.69695042882706171</v>
      </c>
      <c r="R309">
        <f>IFERROR(IF(AND('Дивиденды по годам'!N309&lt;&gt;"",'Дивиденды по годам'!U309&lt;&gt;"",'Дивиденды по годам'!U309&lt;&gt;0),'Дивиденды по годам'!N309/'Дивиденды по годам'!U309-1,""),"")</f>
        <v>0.20049594394891135</v>
      </c>
      <c r="S309">
        <f>IFERROR(IF(AND('Дивиденды по годам'!L309&lt;&gt;"",'Дивиденды по годам'!I309&lt;&gt;"",'Дивиденды по годам'!J309&lt;&gt;"",'Дивиденды по годам'!K309&lt;&gt;"",('Дивиденды по годам'!I309-'Дивиденды по годам'!J309-'Дивиденды по годам'!K309)&lt;&gt;0),'Дивиденды по годам'!L309/('Дивиденды по годам'!I309-'Дивиденды по годам'!J309-'Дивиденды по годам'!K309),""),"")</f>
        <v>0.49641855632193027</v>
      </c>
      <c r="T309">
        <f>IFERROR(IF(AND('Дивиденды по годам'!Q309&lt;&gt;"",'Дивиденды по годам'!I309&lt;&gt;"",'Дивиденды по годам'!V309&lt;&gt;"",('Дивиденды по годам'!I309+'Дивиденды по годам'!V309)&lt;&gt;0),'Дивиденды по годам'!Q309/(('Дивиденды по годам'!I309+'Дивиденды по годам'!V309)/2),""),"")</f>
        <v>0.15534382569154809</v>
      </c>
      <c r="U309">
        <f>IFERROR(IF(AND('Дивиденды по годам'!J309&lt;&gt;"",'Дивиденды по годам'!K309&lt;&gt;"",'Дивиденды по годам'!M309&lt;&gt;"",'Дивиденды по годам'!M309&lt;&gt;0),('Дивиденды по годам'!J309+'Дивиденды по годам'!K309)/'Дивиденды по годам'!M309,""),"")</f>
        <v>0.12841292271382704</v>
      </c>
      <c r="V309" cm="1">
        <f t="array" ref="V309">IFERROR(AVERAGE(_xlfn._xlws.FILTER(P$2:P$1073,($C$2:$C$1073=$C309)*($E$2:$E$1073=$E309)*(ROW(P$2:P$1073)&lt;&gt;ROW(P309))*(P$2:P$1073&lt;&gt;""))),"")</f>
        <v>26.378382644244432</v>
      </c>
      <c r="W309" cm="1">
        <f t="array" ref="W309">IFERROR(AVERAGE(_xlfn._xlws.FILTER(Q$2:Q$1073,($C$2:$C$1073=$C309)*($E$2:$E$1073=$E309)*(ROW(Q$2:Q$1073)&lt;&gt;ROW(Q309))*(Q$2:Q$1073&lt;&gt;""))),"")</f>
        <v>0.70937005923253316</v>
      </c>
      <c r="X309" cm="1">
        <f t="array" ref="X309">IFERROR(AVERAGE(_xlfn._xlws.FILTER(R$2:R$1073,($C$2:$C$1073=$C309)*($E$2:$E$1073=$E309)*(ROW(R$2:R$1073)&lt;&gt;ROW(R309))*(R$2:R$1073&lt;&gt;""))),"")</f>
        <v>5.4719830249532198E-2</v>
      </c>
      <c r="Y309" cm="1">
        <f t="array" ref="Y309">IFERROR(AVERAGE(_xlfn._xlws.FILTER(S$2:S$1073,($C$2:$C$1073=$C309)*($E$2:$E$1073=$E309)*(ROW(S$2:S$1073)&lt;&gt;ROW(S309))*(S$2:S$1073&lt;&gt;""))),"")</f>
        <v>0.51701855723559309</v>
      </c>
      <c r="Z309" cm="1">
        <f t="array" ref="Z309">IFERROR(AVERAGE(_xlfn._xlws.FILTER(T$2:T$1073,($C$2:$C$1073=$C309)*($E$2:$E$1073=$E309)*(ROW(T$2:T$1073)&lt;&gt;ROW(T309))*(T$2:T$1073&lt;&gt;""))),"")</f>
        <v>-7.7581656379117738E-3</v>
      </c>
      <c r="AA309" cm="1">
        <f t="array" ref="AA309">IFERROR(AVERAGE(_xlfn._xlws.FILTER(U$2:U$1073,($C$2:$C$1073=$C309)*($E$2:$E$1073=$E309)*(ROW(U$2:U$1073)&lt;&gt;ROW(U309))*(U$2:U$1073&lt;&gt;""))),"")</f>
        <v>0.99598714953141809</v>
      </c>
    </row>
    <row r="310" spans="1:27" x14ac:dyDescent="0.2">
      <c r="A310" s="7" t="s">
        <v>2216</v>
      </c>
      <c r="B310" t="str">
        <f t="shared" si="46"/>
        <v>UPRO IV кв. 2021</v>
      </c>
      <c r="C310">
        <v>2021</v>
      </c>
      <c r="D310">
        <f>SUMIFS(Дивиденды!$C:$C,Дивиденды!$A:$A,A310,Дивиденды!$I:$I,C310)</f>
        <v>0.19</v>
      </c>
      <c r="E310">
        <v>2</v>
      </c>
      <c r="F310">
        <f t="shared" si="47"/>
        <v>0.19</v>
      </c>
      <c r="G310">
        <f t="shared" si="48"/>
        <v>6.5951916666666666E-2</v>
      </c>
      <c r="H310">
        <f t="shared" si="49"/>
        <v>1</v>
      </c>
      <c r="I310">
        <f t="shared" si="56"/>
        <v>0.75</v>
      </c>
      <c r="J310">
        <f t="shared" si="50"/>
        <v>-0.20833333333333329</v>
      </c>
      <c r="K310">
        <f t="shared" si="54"/>
        <v>0.18123729503516675</v>
      </c>
      <c r="L310">
        <f t="shared" si="51"/>
        <v>0</v>
      </c>
      <c r="M310">
        <f t="shared" si="55"/>
        <v>0.66666666666666663</v>
      </c>
      <c r="N310">
        <f t="shared" si="52"/>
        <v>1</v>
      </c>
      <c r="O310">
        <f t="shared" si="53"/>
        <v>0.16666666666666666</v>
      </c>
      <c r="P310">
        <f>IFERROR(LN('Дивиденды по годам'!I310),"")</f>
        <v>25.570976283877343</v>
      </c>
      <c r="Q310">
        <f>IFERROR('Дивиденды по годам'!G310/'Дивиденды по годам'!I310, "")</f>
        <v>0.88103504531282095</v>
      </c>
      <c r="R310">
        <f>IFERROR(IF(AND('Дивиденды по годам'!N310&lt;&gt;"",'Дивиденды по годам'!U310&lt;&gt;"",'Дивиденды по годам'!U310&lt;&gt;0),'Дивиденды по годам'!N310/'Дивиденды по годам'!U310-1,""),"")</f>
        <v>0.17011636820190845</v>
      </c>
      <c r="S310">
        <f>IFERROR(IF(AND('Дивиденды по годам'!L310&lt;&gt;"",'Дивиденды по годам'!I310&lt;&gt;"",'Дивиденды по годам'!J310&lt;&gt;"",'Дивиденды по годам'!K310&lt;&gt;"",('Дивиденды по годам'!I310-'Дивиденды по годам'!J310-'Дивиденды по годам'!K310)&lt;&gt;0),'Дивиденды по годам'!L310/('Дивиденды по годам'!I310-'Дивиденды по годам'!J310-'Дивиденды по годам'!K310),""),"")</f>
        <v>0.39688515379165223</v>
      </c>
      <c r="T310">
        <f>IFERROR(IF(AND('Дивиденды по годам'!Q310&lt;&gt;"",'Дивиденды по годам'!I310&lt;&gt;"",'Дивиденды по годам'!V310&lt;&gt;"",('Дивиденды по годам'!I310+'Дивиденды по годам'!V310)&lt;&gt;0),'Дивиденды по годам'!Q310/(('Дивиденды по годам'!I310+'Дивиденды по годам'!V310)/2),""),"")</f>
        <v>6.2674174068225189E-2</v>
      </c>
      <c r="U310">
        <f>IFERROR(IF(AND('Дивиденды по годам'!J310&lt;&gt;"",'Дивиденды по годам'!K310&lt;&gt;"",'Дивиденды по годам'!M310&lt;&gt;"",'Дивиденды по годам'!M310&lt;&gt;0),('Дивиденды по годам'!J310+'Дивиденды по годам'!K310)/'Дивиденды по годам'!M310,""),"")</f>
        <v>0.17298348931128674</v>
      </c>
      <c r="V310" cm="1">
        <f t="array" ref="V310">IFERROR(AVERAGE(_xlfn._xlws.FILTER(P$2:P$1073,($C$2:$C$1073=$C310)*($E$2:$E$1073=$E310)*(ROW(P$2:P$1073)&lt;&gt;ROW(P310))*(P$2:P$1073&lt;&gt;""))),"")</f>
        <v>25.962289650572369</v>
      </c>
      <c r="W310" cm="1">
        <f t="array" ref="W310">IFERROR(AVERAGE(_xlfn._xlws.FILTER(Q$2:Q$1073,($C$2:$C$1073=$C310)*($E$2:$E$1073=$E310)*(ROW(Q$2:Q$1073)&lt;&gt;ROW(Q310))*(Q$2:Q$1073&lt;&gt;""))),"")</f>
        <v>0.75885639427606122</v>
      </c>
      <c r="X310" cm="1">
        <f t="array" ref="X310">IFERROR(AVERAGE(_xlfn._xlws.FILTER(R$2:R$1073,($C$2:$C$1073=$C310)*($E$2:$E$1073=$E310)*(ROW(R$2:R$1073)&lt;&gt;ROW(R310))*(R$2:R$1073&lt;&gt;""))),"")</f>
        <v>0.1223915336773002</v>
      </c>
      <c r="Y310" cm="1">
        <f t="array" ref="Y310">IFERROR(AVERAGE(_xlfn._xlws.FILTER(S$2:S$1073,($C$2:$C$1073=$C310)*($E$2:$E$1073=$E310)*(ROW(S$2:S$1073)&lt;&gt;ROW(S310))*(S$2:S$1073&lt;&gt;""))),"")</f>
        <v>0.51161927976203492</v>
      </c>
      <c r="Z310" cm="1">
        <f t="array" ref="Z310">IFERROR(AVERAGE(_xlfn._xlws.FILTER(T$2:T$1073,($C$2:$C$1073=$C310)*($E$2:$E$1073=$E310)*(ROW(T$2:T$1073)&lt;&gt;ROW(T310))*(T$2:T$1073&lt;&gt;""))),"")</f>
        <v>3.3810717532829118E-2</v>
      </c>
      <c r="AA310" cm="1">
        <f t="array" ref="AA310">IFERROR(AVERAGE(_xlfn._xlws.FILTER(U$2:U$1073,($C$2:$C$1073=$C310)*($E$2:$E$1073=$E310)*(ROW(U$2:U$1073)&lt;&gt;ROW(U310))*(U$2:U$1073&lt;&gt;""))),"")</f>
        <v>0.76899648358971218</v>
      </c>
    </row>
    <row r="311" spans="1:27" x14ac:dyDescent="0.2">
      <c r="A311" s="7" t="s">
        <v>2216</v>
      </c>
      <c r="B311" t="str">
        <f t="shared" si="46"/>
        <v>UPRO IV кв. 2020</v>
      </c>
      <c r="C311">
        <v>2020</v>
      </c>
      <c r="D311">
        <f>SUMIFS(Дивиденды!$C:$C,Дивиденды!$A:$A,A311,Дивиденды!$I:$I,C311)</f>
        <v>0.24</v>
      </c>
      <c r="E311">
        <v>2</v>
      </c>
      <c r="F311">
        <f t="shared" si="47"/>
        <v>0.24</v>
      </c>
      <c r="G311">
        <f t="shared" si="48"/>
        <v>4.9905916666666661E-2</v>
      </c>
      <c r="H311">
        <f t="shared" si="49"/>
        <v>1</v>
      </c>
      <c r="I311">
        <f t="shared" si="56"/>
        <v>0.75</v>
      </c>
      <c r="J311">
        <f t="shared" si="50"/>
        <v>9.090909090909087E-2</v>
      </c>
      <c r="K311">
        <f t="shared" si="54"/>
        <v>-9.3199789278470113E-2</v>
      </c>
      <c r="L311">
        <f t="shared" si="51"/>
        <v>1</v>
      </c>
      <c r="M311">
        <f t="shared" si="55"/>
        <v>0.5</v>
      </c>
      <c r="N311">
        <f t="shared" si="52"/>
        <v>0</v>
      </c>
      <c r="O311">
        <f t="shared" si="53"/>
        <v>0.5</v>
      </c>
      <c r="P311">
        <f>IFERROR(LN('Дивиденды по годам'!I311),"")</f>
        <v>25.630545729724748</v>
      </c>
      <c r="Q311">
        <f>IFERROR('Дивиденды по годам'!G311/'Дивиденды по годам'!I311, "")</f>
        <v>0.90390045426009469</v>
      </c>
      <c r="R311">
        <f>IFERROR(IF(AND('Дивиденды по годам'!N311&lt;&gt;"",'Дивиденды по годам'!U311&lt;&gt;"",'Дивиденды по годам'!U311&lt;&gt;0),'Дивиденды по годам'!N311/'Дивиденды по годам'!U311-1,""),"")</f>
        <v>-6.1821361836010613E-2</v>
      </c>
      <c r="S311">
        <f>IFERROR(IF(AND('Дивиденды по годам'!L311&lt;&gt;"",'Дивиденды по годам'!I311&lt;&gt;"",'Дивиденды по годам'!J311&lt;&gt;"",'Дивиденды по годам'!K311&lt;&gt;"",('Дивиденды по годам'!I311-'Дивиденды по годам'!J311-'Дивиденды по годам'!K311)&lt;&gt;0),'Дивиденды по годам'!L311/('Дивиденды по годам'!I311-'Дивиденды по годам'!J311-'Дивиденды по годам'!K311),""),"")</f>
        <v>0.45535019735999271</v>
      </c>
      <c r="T311">
        <f>IFERROR(IF(AND('Дивиденды по годам'!Q311&lt;&gt;"",'Дивиденды по годам'!I311&lt;&gt;"",'Дивиденды по годам'!V311&lt;&gt;"",('Дивиденды по годам'!I311+'Дивиденды по годам'!V311)&lt;&gt;0),'Дивиденды по годам'!Q311/(('Дивиденды по годам'!I311+'Дивиденды по годам'!V311)/2),""),"")</f>
        <v>0.10115311257071639</v>
      </c>
      <c r="U311">
        <f>IFERROR(IF(AND('Дивиденды по годам'!J311&lt;&gt;"",'Дивиденды по годам'!K311&lt;&gt;"",'Дивиденды по годам'!M311&lt;&gt;"",'Дивиденды по годам'!M311&lt;&gt;0),('Дивиденды по годам'!J311+'Дивиденды по годам'!K311)/'Дивиденды по годам'!M311,""),"")</f>
        <v>0.12216673683027822</v>
      </c>
      <c r="V311" cm="1">
        <f t="array" ref="V311">IFERROR(AVERAGE(_xlfn._xlws.FILTER(P$2:P$1073,($C$2:$C$1073=$C311)*($E$2:$E$1073=$E311)*(ROW(P$2:P$1073)&lt;&gt;ROW(P311))*(P$2:P$1073&lt;&gt;""))),"")</f>
        <v>26.218339967523239</v>
      </c>
      <c r="W311" cm="1">
        <f t="array" ref="W311">IFERROR(AVERAGE(_xlfn._xlws.FILTER(Q$2:Q$1073,($C$2:$C$1073=$C311)*($E$2:$E$1073=$E311)*(ROW(Q$2:Q$1073)&lt;&gt;ROW(Q311))*(Q$2:Q$1073&lt;&gt;""))),"")</f>
        <v>0.73172485108108853</v>
      </c>
      <c r="X311" cm="1">
        <f t="array" ref="X311">IFERROR(AVERAGE(_xlfn._xlws.FILTER(R$2:R$1073,($C$2:$C$1073=$C311)*($E$2:$E$1073=$E311)*(ROW(R$2:R$1073)&lt;&gt;ROW(R311))*(R$2:R$1073&lt;&gt;""))),"")</f>
        <v>-6.4390166546106756E-2</v>
      </c>
      <c r="Y311" cm="1">
        <f t="array" ref="Y311">IFERROR(AVERAGE(_xlfn._xlws.FILTER(S$2:S$1073,($C$2:$C$1073=$C311)*($E$2:$E$1073=$E311)*(ROW(S$2:S$1073)&lt;&gt;ROW(S311))*(S$2:S$1073&lt;&gt;""))),"")</f>
        <v>0.48689694055733712</v>
      </c>
      <c r="Z311" cm="1">
        <f t="array" ref="Z311">IFERROR(AVERAGE(_xlfn._xlws.FILTER(T$2:T$1073,($C$2:$C$1073=$C311)*($E$2:$E$1073=$E311)*(ROW(T$2:T$1073)&lt;&gt;ROW(T311))*(T$2:T$1073&lt;&gt;""))),"")</f>
        <v>3.7776847639946855E-2</v>
      </c>
      <c r="AA311" cm="1">
        <f t="array" ref="AA311">IFERROR(AVERAGE(_xlfn._xlws.FILTER(U$2:U$1073,($C$2:$C$1073=$C311)*($E$2:$E$1073=$E311)*(ROW(U$2:U$1073)&lt;&gt;ROW(U311))*(U$2:U$1073&lt;&gt;""))),"")</f>
        <v>0.70434995919961541</v>
      </c>
    </row>
    <row r="312" spans="1:27" x14ac:dyDescent="0.2">
      <c r="A312" s="7" t="s">
        <v>2216</v>
      </c>
      <c r="B312" t="str">
        <f t="shared" si="46"/>
        <v>UPRO IV кв. 2019</v>
      </c>
      <c r="C312">
        <v>2019</v>
      </c>
      <c r="D312">
        <f>SUMIFS(Дивиденды!$C:$C,Дивиденды!$A:$A,A312,Дивиденды!$I:$I,C312)</f>
        <v>0.22</v>
      </c>
      <c r="E312">
        <v>2</v>
      </c>
      <c r="F312">
        <f t="shared" si="47"/>
        <v>0.22</v>
      </c>
      <c r="G312">
        <f t="shared" si="48"/>
        <v>5.2975333333333326E-2</v>
      </c>
      <c r="H312">
        <f t="shared" si="49"/>
        <v>1</v>
      </c>
      <c r="I312">
        <f t="shared" si="56"/>
        <v>1</v>
      </c>
      <c r="J312">
        <f t="shared" si="50"/>
        <v>0</v>
      </c>
      <c r="K312">
        <f t="shared" si="54"/>
        <v>0.17209275766992096</v>
      </c>
      <c r="L312">
        <f t="shared" si="51"/>
        <v>0</v>
      </c>
      <c r="M312">
        <f t="shared" si="55"/>
        <v>0.5</v>
      </c>
      <c r="N312">
        <f t="shared" si="52"/>
        <v>0</v>
      </c>
      <c r="O312">
        <f t="shared" si="53"/>
        <v>0.5</v>
      </c>
      <c r="P312">
        <f>IFERROR(LN('Дивиденды по годам'!I312),"")</f>
        <v>25.640238827410961</v>
      </c>
      <c r="Q312">
        <f>IFERROR('Дивиденды по годам'!G312/'Дивиденды по годам'!I312, "")</f>
        <v>0.88703683410258771</v>
      </c>
      <c r="R312">
        <f>IFERROR(IF(AND('Дивиденды по годам'!N312&lt;&gt;"",'Дивиденды по годам'!U312&lt;&gt;"",'Дивиденды по годам'!U312&lt;&gt;0),'Дивиденды по годам'!N312/'Дивиденды по годам'!U312-1,""),"")</f>
        <v>3.217791561228478E-2</v>
      </c>
      <c r="S312">
        <f>IFERROR(IF(AND('Дивиденды по годам'!L312&lt;&gt;"",'Дивиденды по годам'!I312&lt;&gt;"",'Дивиденды по годам'!J312&lt;&gt;"",'Дивиденды по годам'!K312&lt;&gt;"",('Дивиденды по годам'!I312-'Дивиденды по годам'!J312-'Дивиденды по годам'!K312)&lt;&gt;0),'Дивиденды по годам'!L312/('Дивиденды по годам'!I312-'Дивиденды по годам'!J312-'Дивиденды по годам'!K312),""),"")</f>
        <v>0.45704313029508775</v>
      </c>
      <c r="T312">
        <f>IFERROR(IF(AND('Дивиденды по годам'!Q312&lt;&gt;"",'Дивиденды по годам'!I312&lt;&gt;"",'Дивиденды по годам'!V312&lt;&gt;"",('Дивиденды по годам'!I312+'Дивиденды по годам'!V312)&lt;&gt;0),'Дивиденды по годам'!Q312/(('Дивиденды по годам'!I312+'Дивиденды по годам'!V312)/2),""),"")</f>
        <v>0.14092121350692557</v>
      </c>
      <c r="U312">
        <f>IFERROR(IF(AND('Дивиденды по годам'!J312&lt;&gt;"",'Дивиденды по годам'!K312&lt;&gt;"",'Дивиденды по годам'!M312&lt;&gt;"",'Дивиденды по годам'!M312&lt;&gt;0),('Дивиденды по годам'!J312+'Дивиденды по годам'!K312)/'Дивиденды по годам'!M312,""),"")</f>
        <v>0.13214732353235817</v>
      </c>
      <c r="V312" cm="1">
        <f t="array" ref="V312">IFERROR(AVERAGE(_xlfn._xlws.FILTER(P$2:P$1073,($C$2:$C$1073=$C312)*($E$2:$E$1073=$E312)*(ROW(P$2:P$1073)&lt;&gt;ROW(P312))*(P$2:P$1073&lt;&gt;""))),"")</f>
        <v>26.174471402766187</v>
      </c>
      <c r="W312" cm="1">
        <f t="array" ref="W312">IFERROR(AVERAGE(_xlfn._xlws.FILTER(Q$2:Q$1073,($C$2:$C$1073=$C312)*($E$2:$E$1073=$E312)*(ROW(Q$2:Q$1073)&lt;&gt;ROW(Q312))*(Q$2:Q$1073&lt;&gt;""))),"")</f>
        <v>0.72449160976938065</v>
      </c>
      <c r="X312" cm="1">
        <f t="array" ref="X312">IFERROR(AVERAGE(_xlfn._xlws.FILTER(R$2:R$1073,($C$2:$C$1073=$C312)*($E$2:$E$1073=$E312)*(ROW(R$2:R$1073)&lt;&gt;ROW(R312))*(R$2:R$1073&lt;&gt;""))),"")</f>
        <v>1.0899174266769303E-3</v>
      </c>
      <c r="Y312" cm="1">
        <f t="array" ref="Y312">IFERROR(AVERAGE(_xlfn._xlws.FILTER(S$2:S$1073,($C$2:$C$1073=$C312)*($E$2:$E$1073=$E312)*(ROW(S$2:S$1073)&lt;&gt;ROW(S312))*(S$2:S$1073&lt;&gt;""))),"")</f>
        <v>0.47543962687241864</v>
      </c>
      <c r="Z312" cm="1">
        <f t="array" ref="Z312">IFERROR(AVERAGE(_xlfn._xlws.FILTER(T$2:T$1073,($C$2:$C$1073=$C312)*($E$2:$E$1073=$E312)*(ROW(T$2:T$1073)&lt;&gt;ROW(T312))*(T$2:T$1073&lt;&gt;""))),"")</f>
        <v>4.4553049882215812E-2</v>
      </c>
      <c r="AA312" cm="1">
        <f t="array" ref="AA312">IFERROR(AVERAGE(_xlfn._xlws.FILTER(U$2:U$1073,($C$2:$C$1073=$C312)*($E$2:$E$1073=$E312)*(ROW(U$2:U$1073)&lt;&gt;ROW(U312))*(U$2:U$1073&lt;&gt;""))),"")</f>
        <v>0.7098464064802541</v>
      </c>
    </row>
    <row r="313" spans="1:27" x14ac:dyDescent="0.2">
      <c r="A313" s="7" t="s">
        <v>2216</v>
      </c>
      <c r="B313" t="str">
        <f t="shared" si="46"/>
        <v>UPRO IV кв. 2018</v>
      </c>
      <c r="C313">
        <v>2018</v>
      </c>
      <c r="D313">
        <f>SUMIFS(Дивиденды!$C:$C,Дивиденды!$A:$A,A313,Дивиденды!$I:$I,C313)</f>
        <v>0.22</v>
      </c>
      <c r="E313">
        <v>2</v>
      </c>
      <c r="F313">
        <f t="shared" si="47"/>
        <v>0.22</v>
      </c>
      <c r="G313">
        <f t="shared" si="48"/>
        <v>6.2237083333333332E-2</v>
      </c>
      <c r="H313">
        <f t="shared" si="49"/>
        <v>1</v>
      </c>
      <c r="I313">
        <f t="shared" si="56"/>
        <v>1</v>
      </c>
      <c r="J313">
        <f t="shared" si="50"/>
        <v>-7.2903497682258789E-2</v>
      </c>
      <c r="K313">
        <f t="shared" si="54"/>
        <v>0.20233365310444038</v>
      </c>
      <c r="L313">
        <f t="shared" si="51"/>
        <v>0</v>
      </c>
      <c r="M313">
        <f t="shared" si="55"/>
        <v>0.66666666666666663</v>
      </c>
      <c r="N313">
        <f t="shared" si="52"/>
        <v>1</v>
      </c>
      <c r="O313">
        <f t="shared" si="53"/>
        <v>0.16666666666666666</v>
      </c>
      <c r="P313">
        <f>IFERROR(LN('Дивиденды по годам'!I313),"")</f>
        <v>25.598657790060894</v>
      </c>
      <c r="Q313">
        <f>IFERROR('Дивиденды по годам'!G313/'Дивиденды по годам'!I313, "")</f>
        <v>0.86954017248199911</v>
      </c>
      <c r="R313">
        <f>IFERROR(IF(AND('Дивиденды по годам'!N313&lt;&gt;"",'Дивиденды по годам'!U313&lt;&gt;"",'Дивиденды по годам'!U313&lt;&gt;0),'Дивиденды по годам'!N313/'Дивиденды по годам'!U313-1,""),"")</f>
        <v>1.6406700220442438E-2</v>
      </c>
      <c r="S313">
        <f>IFERROR(IF(AND('Дивиденды по годам'!L313&lt;&gt;"",'Дивиденды по годам'!I313&lt;&gt;"",'Дивиденды по годам'!J313&lt;&gt;"",'Дивиденды по годам'!K313&lt;&gt;"",('Дивиденды по годам'!I313-'Дивиденды по годам'!J313-'Дивиденды по годам'!K313)&lt;&gt;0),'Дивиденды по годам'!L313/('Дивиденды по годам'!I313-'Дивиденды по годам'!J313-'Дивиденды по годам'!K313),""),"")</f>
        <v>0.43260856473224696</v>
      </c>
      <c r="T313">
        <f>IFERROR(IF(AND('Дивиденды по годам'!Q313&lt;&gt;"",'Дивиденды по годам'!I313&lt;&gt;"",'Дивиденды по годам'!V313&lt;&gt;"",('Дивиденды по годам'!I313+'Дивиденды по годам'!V313)&lt;&gt;0),'Дивиденды по годам'!Q313/(('Дивиденды по годам'!I313+'Дивиденды по годам'!V313)/2),""),"")</f>
        <v>0.1293150891621844</v>
      </c>
      <c r="U313">
        <f>IFERROR(IF(AND('Дивиденды по годам'!J313&lt;&gt;"",'Дивиденды по годам'!K313&lt;&gt;"",'Дивиденды по годам'!M313&lt;&gt;"",'Дивиденды по годам'!M313&lt;&gt;0),('Дивиденды по годам'!J313+'Дивиденды по годам'!K313)/'Дивиденды по годам'!M313,""),"")</f>
        <v>0.12725291854369372</v>
      </c>
      <c r="V313" cm="1">
        <f t="array" ref="V313">IFERROR(AVERAGE(_xlfn._xlws.FILTER(P$2:P$1073,($C$2:$C$1073=$C313)*($E$2:$E$1073=$E313)*(ROW(P$2:P$1073)&lt;&gt;ROW(P313))*(P$2:P$1073&lt;&gt;""))),"")</f>
        <v>26.120370532017276</v>
      </c>
      <c r="W313" cm="1">
        <f t="array" ref="W313">IFERROR(AVERAGE(_xlfn._xlws.FILTER(Q$2:Q$1073,($C$2:$C$1073=$C313)*($E$2:$E$1073=$E313)*(ROW(Q$2:Q$1073)&lt;&gt;ROW(Q313))*(Q$2:Q$1073&lt;&gt;""))),"")</f>
        <v>0.74348747462815634</v>
      </c>
      <c r="X313" cm="1">
        <f t="array" ref="X313">IFERROR(AVERAGE(_xlfn._xlws.FILTER(R$2:R$1073,($C$2:$C$1073=$C313)*($E$2:$E$1073=$E313)*(ROW(R$2:R$1073)&lt;&gt;ROW(R313))*(R$2:R$1073&lt;&gt;""))),"")</f>
        <v>5.301592368507288E-2</v>
      </c>
      <c r="Y313" cm="1">
        <f t="array" ref="Y313">IFERROR(AVERAGE(_xlfn._xlws.FILTER(S$2:S$1073,($C$2:$C$1073=$C313)*($E$2:$E$1073=$E313)*(ROW(S$2:S$1073)&lt;&gt;ROW(S313))*(S$2:S$1073&lt;&gt;""))),"")</f>
        <v>0.46705983865555623</v>
      </c>
      <c r="Z313" cm="1">
        <f t="array" ref="Z313">IFERROR(AVERAGE(_xlfn._xlws.FILTER(T$2:T$1073,($C$2:$C$1073=$C313)*($E$2:$E$1073=$E313)*(ROW(T$2:T$1073)&lt;&gt;ROW(T313))*(T$2:T$1073&lt;&gt;""))),"")</f>
        <v>6.3336170420422749E-2</v>
      </c>
      <c r="AA313" cm="1">
        <f t="array" ref="AA313">IFERROR(AVERAGE(_xlfn._xlws.FILTER(U$2:U$1073,($C$2:$C$1073=$C313)*($E$2:$E$1073=$E313)*(ROW(U$2:U$1073)&lt;&gt;ROW(U313))*(U$2:U$1073&lt;&gt;""))),"")</f>
        <v>0.67402745024127508</v>
      </c>
    </row>
    <row r="314" spans="1:27" x14ac:dyDescent="0.2">
      <c r="A314" s="7" t="s">
        <v>2216</v>
      </c>
      <c r="B314" t="str">
        <f t="shared" si="46"/>
        <v>UPRO IV кв. 2017</v>
      </c>
      <c r="C314">
        <v>2017</v>
      </c>
      <c r="D314">
        <f>SUMIFS(Дивиденды!$C:$C,Дивиденды!$A:$A,A314,Дивиденды!$I:$I,C314)</f>
        <v>0.23730000000000001</v>
      </c>
      <c r="E314">
        <v>2</v>
      </c>
      <c r="F314">
        <f t="shared" si="47"/>
        <v>0.23730000000000001</v>
      </c>
      <c r="G314">
        <f t="shared" si="48"/>
        <v>5.2333833333333329E-2</v>
      </c>
      <c r="H314">
        <f t="shared" si="49"/>
        <v>1</v>
      </c>
      <c r="I314">
        <f t="shared" si="56"/>
        <v>1</v>
      </c>
      <c r="J314">
        <f t="shared" si="50"/>
        <v>0.11043518951801595</v>
      </c>
      <c r="K314">
        <f t="shared" si="54"/>
        <v>0.63254670514711553</v>
      </c>
      <c r="L314">
        <f t="shared" si="51"/>
        <v>1</v>
      </c>
      <c r="M314">
        <f t="shared" si="55"/>
        <v>0.75</v>
      </c>
      <c r="N314">
        <f t="shared" si="52"/>
        <v>0</v>
      </c>
      <c r="O314">
        <f t="shared" si="53"/>
        <v>0.25</v>
      </c>
      <c r="P314">
        <f>IFERROR(LN('Дивиденды по годам'!I314),"")</f>
        <v>25.559704398293615</v>
      </c>
      <c r="Q314">
        <f>IFERROR('Дивиденды по годам'!G314/'Дивиденды по годам'!I314, "")</f>
        <v>0.8428323292842852</v>
      </c>
      <c r="R314">
        <f>IFERROR(IF(AND('Дивиденды по годам'!N314&lt;&gt;"",'Дивиденды по годам'!U314&lt;&gt;"",'Дивиденды по годам'!U314&lt;&gt;0),'Дивиденды по годам'!N314/'Дивиденды по годам'!U314-1,""),"")</f>
        <v>-1.935610055862258E-2</v>
      </c>
      <c r="S314">
        <f>IFERROR(IF(AND('Дивиденды по годам'!L314&lt;&gt;"",'Дивиденды по годам'!I314&lt;&gt;"",'Дивиденды по годам'!J314&lt;&gt;"",'Дивиденды по годам'!K314&lt;&gt;"",('Дивиденды по годам'!I314-'Дивиденды по годам'!J314-'Дивиденды по годам'!K314)&lt;&gt;0),'Дивиденды по годам'!L314/('Дивиденды по годам'!I314-'Дивиденды по годам'!J314-'Дивиденды по годам'!K314),""),"")</f>
        <v>0.41989409275723655</v>
      </c>
      <c r="T314">
        <f>IFERROR(IF(AND('Дивиденды по годам'!Q314&lt;&gt;"",'Дивиденды по годам'!I314&lt;&gt;"",'Дивиденды по годам'!V314&lt;&gt;"",('Дивиденды по годам'!I314+'Дивиденды по годам'!V314)&lt;&gt;0),'Дивиденды по годам'!Q314/(('Дивиденды по годам'!I314+'Дивиденды по годам'!V314)/2),""),"")</f>
        <v>0.28581130840784758</v>
      </c>
      <c r="U314">
        <f>IFERROR(IF(AND('Дивиденды по годам'!J314&lt;&gt;"",'Дивиденды по годам'!K314&lt;&gt;"",'Дивиденды по годам'!M314&lt;&gt;"",'Дивиденды по годам'!M314&lt;&gt;0),('Дивиденды по годам'!J314+'Дивиденды по годам'!K314)/'Дивиденды по годам'!M314,""),"")</f>
        <v>0.10984185249385775</v>
      </c>
      <c r="V314" cm="1">
        <f t="array" ref="V314">IFERROR(AVERAGE(_xlfn._xlws.FILTER(P$2:P$1073,($C$2:$C$1073=$C314)*($E$2:$E$1073=$E314)*(ROW(P$2:P$1073)&lt;&gt;ROW(P314))*(P$2:P$1073&lt;&gt;""))),"")</f>
        <v>26.091004096648362</v>
      </c>
      <c r="W314" cm="1">
        <f t="array" ref="W314">IFERROR(AVERAGE(_xlfn._xlws.FILTER(Q$2:Q$1073,($C$2:$C$1073=$C314)*($E$2:$E$1073=$E314)*(ROW(Q$2:Q$1073)&lt;&gt;ROW(Q314))*(Q$2:Q$1073&lt;&gt;""))),"")</f>
        <v>0.7532229603595878</v>
      </c>
      <c r="X314" cm="1">
        <f t="array" ref="X314">IFERROR(AVERAGE(_xlfn._xlws.FILTER(R$2:R$1073,($C$2:$C$1073=$C314)*($E$2:$E$1073=$E314)*(ROW(R$2:R$1073)&lt;&gt;ROW(R314))*(R$2:R$1073&lt;&gt;""))),"")</f>
        <v>5.1323598335463905E-2</v>
      </c>
      <c r="Y314" cm="1">
        <f t="array" ref="Y314">IFERROR(AVERAGE(_xlfn._xlws.FILTER(S$2:S$1073,($C$2:$C$1073=$C314)*($E$2:$E$1073=$E314)*(ROW(S$2:S$1073)&lt;&gt;ROW(S314))*(S$2:S$1073&lt;&gt;""))),"")</f>
        <v>0.4205192455661913</v>
      </c>
      <c r="Z314" cm="1">
        <f t="array" ref="Z314">IFERROR(AVERAGE(_xlfn._xlws.FILTER(T$2:T$1073,($C$2:$C$1073=$C314)*($E$2:$E$1073=$E314)*(ROW(T$2:T$1073)&lt;&gt;ROW(T314))*(T$2:T$1073&lt;&gt;""))),"")</f>
        <v>6.4549914105251752E-2</v>
      </c>
      <c r="AA314" cm="1">
        <f t="array" ref="AA314">IFERROR(AVERAGE(_xlfn._xlws.FILTER(U$2:U$1073,($C$2:$C$1073=$C314)*($E$2:$E$1073=$E314)*(ROW(U$2:U$1073)&lt;&gt;ROW(U314))*(U$2:U$1073&lt;&gt;""))),"")</f>
        <v>0.67475631413067427</v>
      </c>
    </row>
    <row r="315" spans="1:27" x14ac:dyDescent="0.2">
      <c r="A315" s="7" t="s">
        <v>2216</v>
      </c>
      <c r="B315" t="str">
        <f t="shared" si="46"/>
        <v>UPRO IV кв. 2016</v>
      </c>
      <c r="C315">
        <v>2016</v>
      </c>
      <c r="D315">
        <f>SUMIFS(Дивиденды!$C:$C,Дивиденды!$A:$A,A315,Дивиденды!$I:$I,C315)</f>
        <v>0.2137</v>
      </c>
      <c r="E315">
        <v>2</v>
      </c>
      <c r="F315">
        <f t="shared" si="47"/>
        <v>0.2137</v>
      </c>
      <c r="G315">
        <f t="shared" si="48"/>
        <v>3.9586833333333328E-2</v>
      </c>
      <c r="H315">
        <f t="shared" si="49"/>
        <v>1</v>
      </c>
      <c r="I315">
        <f t="shared" si="56"/>
        <v>1</v>
      </c>
      <c r="J315">
        <f t="shared" si="50"/>
        <v>6.849999999999995E-2</v>
      </c>
      <c r="K315">
        <f t="shared" si="54"/>
        <v>1.4013617044724767</v>
      </c>
      <c r="L315">
        <f t="shared" si="51"/>
        <v>1</v>
      </c>
      <c r="M315">
        <f t="shared" si="55"/>
        <v>0.83333333333333337</v>
      </c>
      <c r="N315">
        <f t="shared" si="52"/>
        <v>0</v>
      </c>
      <c r="O315">
        <f t="shared" si="53"/>
        <v>0.16666666666666666</v>
      </c>
      <c r="P315">
        <f>IFERROR(LN('Дивиденды по годам'!I315),"")</f>
        <v>25.415886239453311</v>
      </c>
      <c r="Q315">
        <f>IFERROR('Дивиденды по годам'!G315/'Дивиденды по годам'!I315, "")</f>
        <v>0.88603896324930032</v>
      </c>
      <c r="R315">
        <f>IFERROR(IF(AND('Дивиденды по годам'!N315&lt;&gt;"",'Дивиденды по годам'!U315&lt;&gt;"",'Дивиденды по годам'!U315&lt;&gt;0),'Дивиденды по годам'!N315/'Дивиденды по годам'!U315-1,""),"")</f>
        <v>1.7291863898147408E-2</v>
      </c>
      <c r="S315">
        <f>IFERROR(IF(AND('Дивиденды по годам'!L315&lt;&gt;"",'Дивиденды по годам'!I315&lt;&gt;"",'Дивиденды по годам'!J315&lt;&gt;"",'Дивиденды по годам'!K315&lt;&gt;"",('Дивиденды по годам'!I315-'Дивиденды по годам'!J315-'Дивиденды по годам'!K315)&lt;&gt;0),'Дивиденды по годам'!L315/('Дивиденды по годам'!I315-'Дивиденды по годам'!J315-'Дивиденды по годам'!K315),""),"")</f>
        <v>0.29486173689528072</v>
      </c>
      <c r="T315">
        <f>IFERROR(IF(AND('Дивиденды по годам'!Q315&lt;&gt;"",'Дивиденды по годам'!I315&lt;&gt;"",'Дивиденды по годам'!V315&lt;&gt;"",('Дивиденды по годам'!I315+'Дивиденды по годам'!V315)&lt;&gt;0),'Дивиденды по годам'!Q315/(('Дивиденды по годам'!I315+'Дивиденды по годам'!V315)/2),""),"")</f>
        <v>4.3804344946322432E-2</v>
      </c>
      <c r="U315">
        <f>IFERROR(IF(AND('Дивиденды по годам'!J315&lt;&gt;"",'Дивиденды по годам'!K315&lt;&gt;"",'Дивиденды по годам'!M315&lt;&gt;"",'Дивиденды по годам'!M315&lt;&gt;0),('Дивиденды по годам'!J315+'Дивиденды по годам'!K315)/'Дивиденды по годам'!M315,""),"")</f>
        <v>0.1547574751296675</v>
      </c>
      <c r="V315" cm="1">
        <f t="array" ref="V315">IFERROR(AVERAGE(_xlfn._xlws.FILTER(P$2:P$1073,($C$2:$C$1073=$C315)*($E$2:$E$1073=$E315)*(ROW(P$2:P$1073)&lt;&gt;ROW(P315))*(P$2:P$1073&lt;&gt;""))),"")</f>
        <v>26.057182183414497</v>
      </c>
      <c r="W315" cm="1">
        <f t="array" ref="W315">IFERROR(AVERAGE(_xlfn._xlws.FILTER(Q$2:Q$1073,($C$2:$C$1073=$C315)*($E$2:$E$1073=$E315)*(ROW(Q$2:Q$1073)&lt;&gt;ROW(Q315))*(Q$2:Q$1073&lt;&gt;""))),"")</f>
        <v>0.7021174664822144</v>
      </c>
      <c r="X315" cm="1">
        <f t="array" ref="X315">IFERROR(AVERAGE(_xlfn._xlws.FILTER(R$2:R$1073,($C$2:$C$1073=$C315)*($E$2:$E$1073=$E315)*(ROW(R$2:R$1073)&lt;&gt;ROW(R315))*(R$2:R$1073&lt;&gt;""))),"")</f>
        <v>0.12386239405666796</v>
      </c>
      <c r="Y315" cm="1">
        <f t="array" ref="Y315">IFERROR(AVERAGE(_xlfn._xlws.FILTER(S$2:S$1073,($C$2:$C$1073=$C315)*($E$2:$E$1073=$E315)*(ROW(S$2:S$1073)&lt;&gt;ROW(S315))*(S$2:S$1073&lt;&gt;""))),"")</f>
        <v>0.41925890367680724</v>
      </c>
      <c r="Z315" cm="1">
        <f t="array" ref="Z315">IFERROR(AVERAGE(_xlfn._xlws.FILTER(T$2:T$1073,($C$2:$C$1073=$C315)*($E$2:$E$1073=$E315)*(ROW(T$2:T$1073)&lt;&gt;ROW(T315))*(T$2:T$1073&lt;&gt;""))),"")</f>
        <v>4.0657916460881689E-2</v>
      </c>
      <c r="AA315" cm="1">
        <f t="array" ref="AA315">IFERROR(AVERAGE(_xlfn._xlws.FILTER(U$2:U$1073,($C$2:$C$1073=$C315)*($E$2:$E$1073=$E315)*(ROW(U$2:U$1073)&lt;&gt;ROW(U315))*(U$2:U$1073&lt;&gt;""))),"")</f>
        <v>0.77389425803822409</v>
      </c>
    </row>
    <row r="316" spans="1:27" x14ac:dyDescent="0.2">
      <c r="A316" s="7" t="s">
        <v>2216</v>
      </c>
      <c r="B316" t="str">
        <f t="shared" si="46"/>
        <v>UPRO IV кв. 2015</v>
      </c>
      <c r="C316">
        <v>2015</v>
      </c>
      <c r="D316">
        <f>SUMIFS(Дивиденды!$C:$C,Дивиденды!$A:$A,A316,Дивиденды!$I:$I,C316)</f>
        <v>0.2</v>
      </c>
      <c r="E316">
        <v>2</v>
      </c>
      <c r="F316">
        <f t="shared" si="47"/>
        <v>0.2</v>
      </c>
      <c r="G316">
        <f t="shared" si="48"/>
        <v>2.4773416666666669E-2</v>
      </c>
      <c r="H316">
        <f t="shared" si="49"/>
        <v>1</v>
      </c>
      <c r="I316">
        <f t="shared" si="56"/>
        <v>0.91666666666666663</v>
      </c>
      <c r="J316">
        <f t="shared" si="50"/>
        <v>-0.28571428571428575</v>
      </c>
      <c r="K316">
        <f t="shared" si="54"/>
        <v>4.168785968801866</v>
      </c>
      <c r="L316">
        <f t="shared" si="51"/>
        <v>0</v>
      </c>
      <c r="M316">
        <f t="shared" si="55"/>
        <v>0.75</v>
      </c>
      <c r="N316">
        <f t="shared" si="52"/>
        <v>1</v>
      </c>
      <c r="O316">
        <f t="shared" si="53"/>
        <v>0.25</v>
      </c>
      <c r="P316">
        <f>IFERROR(LN('Дивиденды по годам'!I316),"")</f>
        <v>25.565602054122408</v>
      </c>
      <c r="Q316">
        <f>IFERROR('Дивиденды по годам'!G316/'Дивиденды по годам'!I316, "")</f>
        <v>0.8354258181528541</v>
      </c>
      <c r="R316">
        <f>IFERROR(IF(AND('Дивиденды по годам'!N316&lt;&gt;"",'Дивиденды по годам'!U316&lt;&gt;"",'Дивиденды по годам'!U316&lt;&gt;0),'Дивиденды по годам'!N316/'Дивиденды по годам'!U316-1,""),"")</f>
        <v>-1.2711290549818677E-2</v>
      </c>
      <c r="S316" t="str">
        <f>IFERROR(IF(AND('Дивиденды по годам'!L316&lt;&gt;"",'Дивиденды по годам'!I316&lt;&gt;"",'Дивиденды по годам'!J316&lt;&gt;"",'Дивиденды по годам'!K316&lt;&gt;"",('Дивиденды по годам'!I316-'Дивиденды по годам'!J316-'Дивиденды по годам'!K316)&lt;&gt;0),'Дивиденды по годам'!L316/('Дивиденды по годам'!I316-'Дивиденды по годам'!J316-'Дивиденды по годам'!K316),""),"")</f>
        <v/>
      </c>
      <c r="T316">
        <f>IFERROR(IF(AND('Дивиденды по годам'!Q316&lt;&gt;"",'Дивиденды по годам'!I316&lt;&gt;"",'Дивиденды по годам'!V316&lt;&gt;"",('Дивиденды по годам'!I316+'Дивиденды по годам'!V316)&lt;&gt;0),'Дивиденды по годам'!Q316/(('Дивиденды по годам'!I316+'Дивиденды по годам'!V316)/2),""),"")</f>
        <v>0.10838825565030938</v>
      </c>
      <c r="U316">
        <f>IFERROR(IF(AND('Дивиденды по годам'!J316&lt;&gt;"",'Дивиденды по годам'!K316&lt;&gt;"",'Дивиденды по годам'!M316&lt;&gt;"",'Дивиденды по годам'!M316&lt;&gt;0),('Дивиденды по годам'!J316+'Дивиденды по годам'!K316)/'Дивиденды по годам'!M316,""),"")</f>
        <v>0.15128398680073366</v>
      </c>
      <c r="V316" cm="1">
        <f t="array" ref="V316">IFERROR(AVERAGE(_xlfn._xlws.FILTER(P$2:P$1073,($C$2:$C$1073=$C316)*($E$2:$E$1073=$E316)*(ROW(P$2:P$1073)&lt;&gt;ROW(P316))*(P$2:P$1073&lt;&gt;""))),"")</f>
        <v>25.965380813292608</v>
      </c>
      <c r="W316" cm="1">
        <f t="array" ref="W316">IFERROR(AVERAGE(_xlfn._xlws.FILTER(Q$2:Q$1073,($C$2:$C$1073=$C316)*($E$2:$E$1073=$E316)*(ROW(Q$2:Q$1073)&lt;&gt;ROW(Q316))*(Q$2:Q$1073&lt;&gt;""))),"")</f>
        <v>0.7737787195342446</v>
      </c>
      <c r="X316" cm="1">
        <f t="array" ref="X316">IFERROR(AVERAGE(_xlfn._xlws.FILTER(R$2:R$1073,($C$2:$C$1073=$C316)*($E$2:$E$1073=$E316)*(ROW(R$2:R$1073)&lt;&gt;ROW(R316))*(R$2:R$1073&lt;&gt;""))),"")</f>
        <v>8.9143532548769458E-3</v>
      </c>
      <c r="Y316" cm="1">
        <f t="array" ref="Y316">IFERROR(AVERAGE(_xlfn._xlws.FILTER(S$2:S$1073,($C$2:$C$1073=$C316)*($E$2:$E$1073=$E316)*(ROW(S$2:S$1073)&lt;&gt;ROW(S316))*(S$2:S$1073&lt;&gt;""))),"")</f>
        <v>0.4889220310718525</v>
      </c>
      <c r="Z316" cm="1">
        <f t="array" ref="Z316">IFERROR(AVERAGE(_xlfn._xlws.FILTER(T$2:T$1073,($C$2:$C$1073=$C316)*($E$2:$E$1073=$E316)*(ROW(T$2:T$1073)&lt;&gt;ROW(T316))*(T$2:T$1073&lt;&gt;""))),"")</f>
        <v>-2.5807297382428828E-2</v>
      </c>
      <c r="AA316" cm="1">
        <f t="array" ref="AA316">IFERROR(AVERAGE(_xlfn._xlws.FILTER(U$2:U$1073,($C$2:$C$1073=$C316)*($E$2:$E$1073=$E316)*(ROW(U$2:U$1073)&lt;&gt;ROW(U316))*(U$2:U$1073&lt;&gt;""))),"")</f>
        <v>0.96673922165285986</v>
      </c>
    </row>
    <row r="317" spans="1:27" x14ac:dyDescent="0.2">
      <c r="A317" s="7" t="s">
        <v>2216</v>
      </c>
      <c r="B317" t="str">
        <f t="shared" si="46"/>
        <v>UPRO IV кв. 2014</v>
      </c>
      <c r="C317">
        <v>2014</v>
      </c>
      <c r="D317">
        <f>SUMIFS(Дивиденды!$C:$C,Дивиденды!$A:$A,A317,Дивиденды!$I:$I,C317)</f>
        <v>0.28000000000000003</v>
      </c>
      <c r="E317">
        <v>2</v>
      </c>
      <c r="F317">
        <f t="shared" si="47"/>
        <v>0.28000000000000003</v>
      </c>
      <c r="G317">
        <f t="shared" si="48"/>
        <v>1.5634583333333337E-2</v>
      </c>
      <c r="H317">
        <f t="shared" si="49"/>
        <v>1</v>
      </c>
      <c r="I317">
        <f t="shared" si="56"/>
        <v>1</v>
      </c>
      <c r="J317">
        <f t="shared" si="50"/>
        <v>-0.26179804903770088</v>
      </c>
      <c r="K317">
        <f t="shared" si="54"/>
        <v>1.4229199857697805</v>
      </c>
      <c r="L317">
        <f t="shared" si="51"/>
        <v>0</v>
      </c>
      <c r="M317">
        <f t="shared" si="55"/>
        <v>0.66666666666666663</v>
      </c>
      <c r="N317">
        <f t="shared" si="52"/>
        <v>1</v>
      </c>
      <c r="O317">
        <f t="shared" si="53"/>
        <v>0.25</v>
      </c>
      <c r="P317">
        <f>IFERROR(LN('Дивиденды по годам'!I317),"")</f>
        <v>25.572944940616178</v>
      </c>
      <c r="Q317">
        <f>IFERROR('Дивиденды по годам'!G317/'Дивиденды по годам'!I317, "")</f>
        <v>0.80655436100113387</v>
      </c>
      <c r="R317">
        <f>IFERROR(IF(AND('Дивиденды по годам'!N317&lt;&gt;"",'Дивиденды по годам'!U317&lt;&gt;"",'Дивиденды по годам'!U317&lt;&gt;0),'Дивиденды по годам'!N317/'Дивиденды по годам'!U317-1,""),"")</f>
        <v>-1.3802526574341334E-2</v>
      </c>
      <c r="S317" t="str">
        <f>IFERROR(IF(AND('Дивиденды по годам'!L317&lt;&gt;"",'Дивиденды по годам'!I317&lt;&gt;"",'Дивиденды по годам'!J317&lt;&gt;"",'Дивиденды по годам'!K317&lt;&gt;"",('Дивиденды по годам'!I317-'Дивиденды по годам'!J317-'Дивиденды по годам'!K317)&lt;&gt;0),'Дивиденды по годам'!L317/('Дивиденды по годам'!I317-'Дивиденды по годам'!J317-'Дивиденды по годам'!K317),""),"")</f>
        <v/>
      </c>
      <c r="T317">
        <f>IFERROR(IF(AND('Дивиденды по годам'!Q317&lt;&gt;"",'Дивиденды по годам'!I317&lt;&gt;"",'Дивиденды по годам'!V317&lt;&gt;"",('Дивиденды по годам'!I317+'Дивиденды по годам'!V317)&lt;&gt;0),'Дивиденды по годам'!Q317/(('Дивиденды по годам'!I317+'Дивиденды по годам'!V317)/2),""),"")</f>
        <v>0.13066662173088567</v>
      </c>
      <c r="U317">
        <f>IFERROR(IF(AND('Дивиденды по годам'!J317&lt;&gt;"",'Дивиденды по годам'!K317&lt;&gt;"",'Дивиденды по годам'!M317&lt;&gt;"",'Дивиденды по годам'!M317&lt;&gt;0),('Дивиденды по годам'!J317+'Дивиденды по годам'!K317)/'Дивиденды по годам'!M317,""),"")</f>
        <v>0.1202273902013701</v>
      </c>
      <c r="V317" cm="1">
        <f t="array" ref="V317">IFERROR(AVERAGE(_xlfn._xlws.FILTER(P$2:P$1073,($C$2:$C$1073=$C317)*($E$2:$E$1073=$E317)*(ROW(P$2:P$1073)&lt;&gt;ROW(P317))*(P$2:P$1073&lt;&gt;""))),"")</f>
        <v>26.221303801921799</v>
      </c>
      <c r="W317" cm="1">
        <f t="array" ref="W317">IFERROR(AVERAGE(_xlfn._xlws.FILTER(Q$2:Q$1073,($C$2:$C$1073=$C317)*($E$2:$E$1073=$E317)*(ROW(Q$2:Q$1073)&lt;&gt;ROW(Q317))*(Q$2:Q$1073&lt;&gt;""))),"")</f>
        <v>0.76797639820297969</v>
      </c>
      <c r="X317" cm="1">
        <f t="array" ref="X317">IFERROR(AVERAGE(_xlfn._xlws.FILTER(R$2:R$1073,($C$2:$C$1073=$C317)*($E$2:$E$1073=$E317)*(ROW(R$2:R$1073)&lt;&gt;ROW(R317))*(R$2:R$1073&lt;&gt;""))),"")</f>
        <v>2.6768442451090866E-2</v>
      </c>
      <c r="Y317" cm="1">
        <f t="array" ref="Y317">IFERROR(AVERAGE(_xlfn._xlws.FILTER(S$2:S$1073,($C$2:$C$1073=$C317)*($E$2:$E$1073=$E317)*(ROW(S$2:S$1073)&lt;&gt;ROW(S317))*(S$2:S$1073&lt;&gt;""))),"")</f>
        <v>0.60466035791128681</v>
      </c>
      <c r="Z317" cm="1">
        <f t="array" ref="Z317">IFERROR(AVERAGE(_xlfn._xlws.FILTER(T$2:T$1073,($C$2:$C$1073=$C317)*($E$2:$E$1073=$E317)*(ROW(T$2:T$1073)&lt;&gt;ROW(T317))*(T$2:T$1073&lt;&gt;""))),"")</f>
        <v>6.166305679482181E-3</v>
      </c>
      <c r="AA317" cm="1">
        <f t="array" ref="AA317">IFERROR(AVERAGE(_xlfn._xlws.FILTER(U$2:U$1073,($C$2:$C$1073=$C317)*($E$2:$E$1073=$E317)*(ROW(U$2:U$1073)&lt;&gt;ROW(U317))*(U$2:U$1073&lt;&gt;""))),"")</f>
        <v>0.81713699927371908</v>
      </c>
    </row>
    <row r="318" spans="1:27" x14ac:dyDescent="0.2">
      <c r="A318" s="7" t="s">
        <v>2216</v>
      </c>
      <c r="B318" t="str">
        <f t="shared" si="46"/>
        <v>UPRO IV кв. 2013</v>
      </c>
      <c r="C318">
        <v>2013</v>
      </c>
      <c r="D318">
        <f>SUMIFS(Дивиденды!$C:$C,Дивиденды!$A:$A,A318,Дивиденды!$I:$I,C318)</f>
        <v>0.37929999999999997</v>
      </c>
      <c r="E318">
        <v>2</v>
      </c>
      <c r="F318">
        <f t="shared" si="47"/>
        <v>0.37929999999999997</v>
      </c>
      <c r="G318">
        <f t="shared" si="48"/>
        <v>1.4834749999999999E-2</v>
      </c>
      <c r="H318">
        <f t="shared" si="49"/>
        <v>1</v>
      </c>
      <c r="I318">
        <f t="shared" si="56"/>
        <v>0.75</v>
      </c>
      <c r="J318">
        <f t="shared" si="50"/>
        <v>0.3079310344827586</v>
      </c>
      <c r="K318">
        <f t="shared" si="54"/>
        <v>-1.2708065121553156E-2</v>
      </c>
      <c r="L318">
        <f t="shared" si="51"/>
        <v>1</v>
      </c>
      <c r="M318">
        <f t="shared" si="55"/>
        <v>0.41666666666666669</v>
      </c>
      <c r="N318">
        <f t="shared" si="52"/>
        <v>0</v>
      </c>
      <c r="O318">
        <f t="shared" si="53"/>
        <v>0.33333333333333331</v>
      </c>
      <c r="P318">
        <f>IFERROR(LN('Дивиденды по годам'!I318),"")</f>
        <v>25.596503148976943</v>
      </c>
      <c r="Q318">
        <f>IFERROR('Дивиденды по годам'!G318/'Дивиденды по годам'!I318, "")</f>
        <v>0.69155503650698025</v>
      </c>
      <c r="R318" t="str">
        <f>IFERROR(IF(AND('Дивиденды по годам'!N318&lt;&gt;"",'Дивиденды по годам'!U318&lt;&gt;"",'Дивиденды по годам'!U318&lt;&gt;0),'Дивиденды по годам'!N318/'Дивиденды по годам'!U318-1,""),"")</f>
        <v/>
      </c>
      <c r="S318" t="str">
        <f>IFERROR(IF(AND('Дивиденды по годам'!L318&lt;&gt;"",'Дивиденды по годам'!I318&lt;&gt;"",'Дивиденды по годам'!J318&lt;&gt;"",'Дивиденды по годам'!K318&lt;&gt;"",('Дивиденды по годам'!I318-'Дивиденды по годам'!J318-'Дивиденды по годам'!K318)&lt;&gt;0),'Дивиденды по годам'!L318/('Дивиденды по годам'!I318-'Дивиденды по годам'!J318-'Дивиденды по годам'!K318),""),"")</f>
        <v/>
      </c>
      <c r="T318" t="str">
        <f>IFERROR(IF(AND('Дивиденды по годам'!Q318&lt;&gt;"",'Дивиденды по годам'!I318&lt;&gt;"",'Дивиденды по годам'!V318&lt;&gt;"",('Дивиденды по годам'!I318+'Дивиденды по годам'!V318)&lt;&gt;0),'Дивиденды по годам'!Q318/(('Дивиденды по годам'!I318+'Дивиденды по годам'!V318)/2),""),"")</f>
        <v/>
      </c>
      <c r="U318">
        <f>IFERROR(IF(AND('Дивиденды по годам'!J318&lt;&gt;"",'Дивиденды по годам'!K318&lt;&gt;"",'Дивиденды по годам'!M318&lt;&gt;"",'Дивиденды по годам'!M318&lt;&gt;0),('Дивиденды по годам'!J318+'Дивиденды по годам'!K318)/'Дивиденды по годам'!M318,""),"")</f>
        <v>9.5490459411750064E-2</v>
      </c>
      <c r="V318" cm="1">
        <f t="array" ref="V318">IFERROR(AVERAGE(_xlfn._xlws.FILTER(P$2:P$1073,($C$2:$C$1073=$C318)*($E$2:$E$1073=$E318)*(ROW(P$2:P$1073)&lt;&gt;ROW(P318))*(P$2:P$1073&lt;&gt;""))),"")</f>
        <v>26.159113316417894</v>
      </c>
      <c r="W318" cm="1">
        <f t="array" ref="W318">IFERROR(AVERAGE(_xlfn._xlws.FILTER(Q$2:Q$1073,($C$2:$C$1073=$C318)*($E$2:$E$1073=$E318)*(ROW(Q$2:Q$1073)&lt;&gt;ROW(Q318))*(Q$2:Q$1073&lt;&gt;""))),"")</f>
        <v>0.79197710894788798</v>
      </c>
      <c r="X318" cm="1">
        <f t="array" ref="X318">IFERROR(AVERAGE(_xlfn._xlws.FILTER(R$2:R$1073,($C$2:$C$1073=$C318)*($E$2:$E$1073=$E318)*(ROW(R$2:R$1073)&lt;&gt;ROW(R318))*(R$2:R$1073&lt;&gt;""))),"")</f>
        <v>9.7785091869587032E-2</v>
      </c>
      <c r="Y318" cm="1">
        <f t="array" ref="Y318">IFERROR(AVERAGE(_xlfn._xlws.FILTER(S$2:S$1073,($C$2:$C$1073=$C318)*($E$2:$E$1073=$E318)*(ROW(S$2:S$1073)&lt;&gt;ROW(S318))*(S$2:S$1073&lt;&gt;""))),"")</f>
        <v>0.4636519590056305</v>
      </c>
      <c r="Z318" cm="1">
        <f t="array" ref="Z318">IFERROR(AVERAGE(_xlfn._xlws.FILTER(T$2:T$1073,($C$2:$C$1073=$C318)*($E$2:$E$1073=$E318)*(ROW(T$2:T$1073)&lt;&gt;ROW(T318))*(T$2:T$1073&lt;&gt;""))),"")</f>
        <v>-4.8827551291955292E-3</v>
      </c>
      <c r="AA318" cm="1">
        <f t="array" ref="AA318">IFERROR(AVERAGE(_xlfn._xlws.FILTER(U$2:U$1073,($C$2:$C$1073=$C318)*($E$2:$E$1073=$E318)*(ROW(U$2:U$1073)&lt;&gt;ROW(U318))*(U$2:U$1073&lt;&gt;""))),"")</f>
        <v>0.7353434305320794</v>
      </c>
    </row>
    <row r="319" spans="1:27" x14ac:dyDescent="0.2">
      <c r="A319" s="7" t="s">
        <v>2216</v>
      </c>
      <c r="B319" t="str">
        <f t="shared" si="46"/>
        <v>UPRO IV кв. 2012</v>
      </c>
      <c r="C319">
        <v>2012</v>
      </c>
      <c r="D319">
        <f>SUMIFS(Дивиденды!$C:$C,Дивиденды!$A:$A,A319,Дивиденды!$I:$I,C319)</f>
        <v>0.28999999999999998</v>
      </c>
      <c r="E319">
        <v>2</v>
      </c>
      <c r="F319">
        <f t="shared" si="47"/>
        <v>0.28999999999999998</v>
      </c>
      <c r="G319">
        <f t="shared" si="48"/>
        <v>1.2995666666666668E-2</v>
      </c>
      <c r="H319">
        <f t="shared" si="49"/>
        <v>1</v>
      </c>
      <c r="I319">
        <f t="shared" si="56"/>
        <v>0.66666666666666663</v>
      </c>
      <c r="J319">
        <f t="shared" si="50"/>
        <v>4.0086355785837648</v>
      </c>
      <c r="K319">
        <f t="shared" si="54"/>
        <v>0.40674907812485195</v>
      </c>
      <c r="L319">
        <f t="shared" si="51"/>
        <v>1</v>
      </c>
      <c r="M319">
        <f t="shared" si="55"/>
        <v>0.5</v>
      </c>
      <c r="N319">
        <f t="shared" si="52"/>
        <v>0</v>
      </c>
      <c r="O319">
        <f t="shared" si="53"/>
        <v>0.16666666666666666</v>
      </c>
      <c r="P319" t="str">
        <f>IFERROR(LN('Дивиденды по годам'!I319),"")</f>
        <v/>
      </c>
      <c r="Q319" t="str">
        <f>IFERROR('Дивиденды по годам'!G319/'Дивиденды по годам'!I319, "")</f>
        <v/>
      </c>
      <c r="R319" t="str">
        <f>IFERROR(IF(AND('Дивиденды по годам'!N319&lt;&gt;"",'Дивиденды по годам'!U319&lt;&gt;"",'Дивиденды по годам'!U319&lt;&gt;0),'Дивиденды по годам'!N319/'Дивиденды по годам'!U319-1,""),"")</f>
        <v/>
      </c>
      <c r="S319" t="str">
        <f>IFERROR(IF(AND('Дивиденды по годам'!L319&lt;&gt;"",'Дивиденды по годам'!I319&lt;&gt;"",'Дивиденды по годам'!J319&lt;&gt;"",'Дивиденды по годам'!K319&lt;&gt;"",('Дивиденды по годам'!I319-'Дивиденды по годам'!J319-'Дивиденды по годам'!K319)&lt;&gt;0),'Дивиденды по годам'!L319/('Дивиденды по годам'!I319-'Дивиденды по годам'!J319-'Дивиденды по годам'!K319),""),"")</f>
        <v/>
      </c>
      <c r="T319" t="str">
        <f>IFERROR(IF(AND('Дивиденды по годам'!Q319&lt;&gt;"",'Дивиденды по годам'!I319&lt;&gt;"",'Дивиденды по годам'!V319&lt;&gt;"",('Дивиденды по годам'!I319+'Дивиденды по годам'!V319)&lt;&gt;0),'Дивиденды по годам'!Q319/(('Дивиденды по годам'!I319+'Дивиденды по годам'!V319)/2),""),"")</f>
        <v/>
      </c>
      <c r="U319" t="str">
        <f>IFERROR(IF(AND('Дивиденды по годам'!J319&lt;&gt;"",'Дивиденды по годам'!K319&lt;&gt;"",'Дивиденды по годам'!M319&lt;&gt;"",'Дивиденды по годам'!M319&lt;&gt;0),('Дивиденды по годам'!J319+'Дивиденды по годам'!K319)/'Дивиденды по годам'!M319,""),"")</f>
        <v/>
      </c>
      <c r="V319" cm="1">
        <f t="array" ref="V319">IFERROR(AVERAGE(_xlfn._xlws.FILTER(P$2:P$1073,($C$2:$C$1073=$C319)*($E$2:$E$1073=$E319)*(ROW(P$2:P$1073)&lt;&gt;ROW(P319))*(P$2:P$1073&lt;&gt;""))),"")</f>
        <v>26.104432848458512</v>
      </c>
      <c r="W319" cm="1">
        <f t="array" ref="W319">IFERROR(AVERAGE(_xlfn._xlws.FILTER(Q$2:Q$1073,($C$2:$C$1073=$C319)*($E$2:$E$1073=$E319)*(ROW(Q$2:Q$1073)&lt;&gt;ROW(Q319))*(Q$2:Q$1073&lt;&gt;""))),"")</f>
        <v>0.77770665398315908</v>
      </c>
      <c r="X319" cm="1">
        <f t="array" ref="X319">IFERROR(AVERAGE(_xlfn._xlws.FILTER(R$2:R$1073,($C$2:$C$1073=$C319)*($E$2:$E$1073=$E319)*(ROW(R$2:R$1073)&lt;&gt;ROW(R319))*(R$2:R$1073&lt;&gt;""))),"")</f>
        <v>-1.5857961955003351E-2</v>
      </c>
      <c r="Y319" cm="1">
        <f t="array" ref="Y319">IFERROR(AVERAGE(_xlfn._xlws.FILTER(S$2:S$1073,($C$2:$C$1073=$C319)*($E$2:$E$1073=$E319)*(ROW(S$2:S$1073)&lt;&gt;ROW(S319))*(S$2:S$1073&lt;&gt;""))),"")</f>
        <v>0.44715527647269881</v>
      </c>
      <c r="Z319" cm="1">
        <f t="array" ref="Z319">IFERROR(AVERAGE(_xlfn._xlws.FILTER(T$2:T$1073,($C$2:$C$1073=$C319)*($E$2:$E$1073=$E319)*(ROW(T$2:T$1073)&lt;&gt;ROW(T319))*(T$2:T$1073&lt;&gt;""))),"")</f>
        <v>1.9505350639917447E-2</v>
      </c>
      <c r="AA319" cm="1">
        <f t="array" ref="AA319">IFERROR(AVERAGE(_xlfn._xlws.FILTER(U$2:U$1073,($C$2:$C$1073=$C319)*($E$2:$E$1073=$E319)*(ROW(U$2:U$1073)&lt;&gt;ROW(U319))*(U$2:U$1073&lt;&gt;""))),"")</f>
        <v>0.65134515206701193</v>
      </c>
    </row>
    <row r="320" spans="1:27" x14ac:dyDescent="0.2">
      <c r="A320" s="7" t="s">
        <v>2216</v>
      </c>
      <c r="B320" t="str">
        <f t="shared" si="46"/>
        <v>UPRO IV кв. 2011</v>
      </c>
      <c r="C320">
        <v>2011</v>
      </c>
      <c r="D320">
        <f>SUMIFS(Дивиденды!$C:$C,Дивиденды!$A:$A,A320,Дивиденды!$I:$I,C320)</f>
        <v>5.79E-2</v>
      </c>
      <c r="E320">
        <v>2</v>
      </c>
      <c r="F320">
        <f t="shared" si="47"/>
        <v>5.79E-2</v>
      </c>
      <c r="G320">
        <f t="shared" si="48"/>
        <v>6.7217499999999986E-3</v>
      </c>
      <c r="H320">
        <f t="shared" si="49"/>
        <v>1</v>
      </c>
      <c r="I320">
        <f t="shared" si="56"/>
        <v>0.75</v>
      </c>
      <c r="J320">
        <f t="shared" si="50"/>
        <v>1</v>
      </c>
      <c r="K320">
        <f t="shared" si="54"/>
        <v>-3.2563083397205927E-2</v>
      </c>
      <c r="L320">
        <f t="shared" si="51"/>
        <v>1</v>
      </c>
      <c r="M320">
        <f t="shared" si="55"/>
        <v>0.41666666666666669</v>
      </c>
      <c r="N320">
        <f t="shared" si="52"/>
        <v>0</v>
      </c>
      <c r="O320">
        <f t="shared" si="53"/>
        <v>0.41666666666666669</v>
      </c>
      <c r="P320" t="str">
        <f>IFERROR(LN('Дивиденды по годам'!I320),"")</f>
        <v/>
      </c>
      <c r="Q320" t="str">
        <f>IFERROR('Дивиденды по годам'!G320/'Дивиденды по годам'!I320, "")</f>
        <v/>
      </c>
      <c r="R320" t="str">
        <f>IFERROR(IF(AND('Дивиденды по годам'!N320&lt;&gt;"",'Дивиденды по годам'!U320&lt;&gt;"",'Дивиденды по годам'!U320&lt;&gt;0),'Дивиденды по годам'!N320/'Дивиденды по годам'!U320-1,""),"")</f>
        <v/>
      </c>
      <c r="S320" t="str">
        <f>IFERROR(IF(AND('Дивиденды по годам'!L320&lt;&gt;"",'Дивиденды по годам'!I320&lt;&gt;"",'Дивиденды по годам'!J320&lt;&gt;"",'Дивиденды по годам'!K320&lt;&gt;"",('Дивиденды по годам'!I320-'Дивиденды по годам'!J320-'Дивиденды по годам'!K320)&lt;&gt;0),'Дивиденды по годам'!L320/('Дивиденды по годам'!I320-'Дивиденды по годам'!J320-'Дивиденды по годам'!K320),""),"")</f>
        <v/>
      </c>
      <c r="T320" t="str">
        <f>IFERROR(IF(AND('Дивиденды по годам'!Q320&lt;&gt;"",'Дивиденды по годам'!I320&lt;&gt;"",'Дивиденды по годам'!V320&lt;&gt;"",('Дивиденды по годам'!I320+'Дивиденды по годам'!V320)&lt;&gt;0),'Дивиденды по годам'!Q320/(('Дивиденды по годам'!I320+'Дивиденды по годам'!V320)/2),""),"")</f>
        <v/>
      </c>
      <c r="U320" t="str">
        <f>IFERROR(IF(AND('Дивиденды по годам'!J320&lt;&gt;"",'Дивиденды по годам'!K320&lt;&gt;"",'Дивиденды по годам'!M320&lt;&gt;"",'Дивиденды по годам'!M320&lt;&gt;0),('Дивиденды по годам'!J320+'Дивиденды по годам'!K320)/'Дивиденды по годам'!M320,""),"")</f>
        <v/>
      </c>
      <c r="V320" cm="1">
        <f t="array" ref="V320">IFERROR(AVERAGE(_xlfn._xlws.FILTER(P$2:P$1073,($C$2:$C$1073=$C320)*($E$2:$E$1073=$E320)*(ROW(P$2:P$1073)&lt;&gt;ROW(P320))*(P$2:P$1073&lt;&gt;""))),"")</f>
        <v>26.145009282501285</v>
      </c>
      <c r="W320" cm="1">
        <f t="array" ref="W320">IFERROR(AVERAGE(_xlfn._xlws.FILTER(Q$2:Q$1073,($C$2:$C$1073=$C320)*($E$2:$E$1073=$E320)*(ROW(Q$2:Q$1073)&lt;&gt;ROW(Q320))*(Q$2:Q$1073&lt;&gt;""))),"")</f>
        <v>0.76664474584196163</v>
      </c>
      <c r="X320" cm="1">
        <f t="array" ref="X320">IFERROR(AVERAGE(_xlfn._xlws.FILTER(R$2:R$1073,($C$2:$C$1073=$C320)*($E$2:$E$1073=$E320)*(ROW(R$2:R$1073)&lt;&gt;ROW(R320))*(R$2:R$1073&lt;&gt;""))),"")</f>
        <v>0.14348983045887875</v>
      </c>
      <c r="Y320" cm="1">
        <f t="array" ref="Y320">IFERROR(AVERAGE(_xlfn._xlws.FILTER(S$2:S$1073,($C$2:$C$1073=$C320)*($E$2:$E$1073=$E320)*(ROW(S$2:S$1073)&lt;&gt;ROW(S320))*(S$2:S$1073&lt;&gt;""))),"")</f>
        <v>0.39850050246333968</v>
      </c>
      <c r="Z320" cm="1">
        <f t="array" ref="Z320">IFERROR(AVERAGE(_xlfn._xlws.FILTER(T$2:T$1073,($C$2:$C$1073=$C320)*($E$2:$E$1073=$E320)*(ROW(T$2:T$1073)&lt;&gt;ROW(T320))*(T$2:T$1073&lt;&gt;""))),"")</f>
        <v>4.5214358774442007E-2</v>
      </c>
      <c r="AA320" cm="1">
        <f t="array" ref="AA320">IFERROR(AVERAGE(_xlfn._xlws.FILTER(U$2:U$1073,($C$2:$C$1073=$C320)*($E$2:$E$1073=$E320)*(ROW(U$2:U$1073)&lt;&gt;ROW(U320))*(U$2:U$1073&lt;&gt;""))),"")</f>
        <v>0.59470561642359621</v>
      </c>
    </row>
    <row r="321" spans="1:27" x14ac:dyDescent="0.2">
      <c r="A321" s="7" t="s">
        <v>2216</v>
      </c>
      <c r="B321" t="str">
        <f t="shared" si="46"/>
        <v>UPRO IV кв. 2010</v>
      </c>
      <c r="C321">
        <v>2010</v>
      </c>
      <c r="D321">
        <f>SUMIFS(Дивиденды!$C:$C,Дивиденды!$A:$A,A321,Дивиденды!$I:$I,C321)</f>
        <v>0</v>
      </c>
      <c r="E321">
        <v>2</v>
      </c>
      <c r="F321">
        <f t="shared" si="47"/>
        <v>0</v>
      </c>
      <c r="G321">
        <f t="shared" si="48"/>
        <v>6.5618333333333336E-3</v>
      </c>
      <c r="H321">
        <f t="shared" si="49"/>
        <v>0</v>
      </c>
      <c r="I321">
        <f t="shared" si="56"/>
        <v>0.83333333333333337</v>
      </c>
      <c r="J321" t="str">
        <f t="shared" si="50"/>
        <v/>
      </c>
      <c r="K321" t="str">
        <f t="shared" si="54"/>
        <v/>
      </c>
      <c r="L321" t="str">
        <f t="shared" si="51"/>
        <v/>
      </c>
      <c r="M321" t="str">
        <f t="shared" si="55"/>
        <v/>
      </c>
      <c r="N321" t="str">
        <f t="shared" si="52"/>
        <v/>
      </c>
      <c r="O321" t="str">
        <f t="shared" si="53"/>
        <v/>
      </c>
      <c r="P321" t="str">
        <f>IFERROR(LN('Дивиденды по годам'!I321),"")</f>
        <v/>
      </c>
      <c r="Q321" t="str">
        <f>IFERROR('Дивиденды по годам'!G321/'Дивиденды по годам'!I321, "")</f>
        <v/>
      </c>
      <c r="R321" t="str">
        <f>IFERROR(IF(AND('Дивиденды по годам'!N321&lt;&gt;"",'Дивиденды по годам'!U321&lt;&gt;"",'Дивиденды по годам'!U321&lt;&gt;0),'Дивиденды по годам'!N321/'Дивиденды по годам'!U321-1,""),"")</f>
        <v/>
      </c>
      <c r="S321" t="str">
        <f>IFERROR(IF(AND('Дивиденды по годам'!L321&lt;&gt;"",'Дивиденды по годам'!I321&lt;&gt;"",'Дивиденды по годам'!J321&lt;&gt;"",'Дивиденды по годам'!K321&lt;&gt;"",('Дивиденды по годам'!I321-'Дивиденды по годам'!J321-'Дивиденды по годам'!K321)&lt;&gt;0),'Дивиденды по годам'!L321/('Дивиденды по годам'!I321-'Дивиденды по годам'!J321-'Дивиденды по годам'!K321),""),"")</f>
        <v/>
      </c>
      <c r="T321" t="str">
        <f>IFERROR(IF(AND('Дивиденды по годам'!Q321&lt;&gt;"",'Дивиденды по годам'!I321&lt;&gt;"",'Дивиденды по годам'!V321&lt;&gt;"",('Дивиденды по годам'!I321+'Дивиденды по годам'!V321)&lt;&gt;0),'Дивиденды по годам'!Q321/(('Дивиденды по годам'!I321+'Дивиденды по годам'!V321)/2),""),"")</f>
        <v/>
      </c>
      <c r="U321" t="str">
        <f>IFERROR(IF(AND('Дивиденды по годам'!J321&lt;&gt;"",'Дивиденды по годам'!K321&lt;&gt;"",'Дивиденды по годам'!M321&lt;&gt;"",'Дивиденды по годам'!M321&lt;&gt;0),('Дивиденды по годам'!J321+'Дивиденды по годам'!K321)/'Дивиденды по годам'!M321,""),"")</f>
        <v/>
      </c>
      <c r="V321" cm="1">
        <f t="array" ref="V321">IFERROR(AVERAGE(_xlfn._xlws.FILTER(P$2:P$1073,($C$2:$C$1073=$C321)*($E$2:$E$1073=$E321)*(ROW(P$2:P$1073)&lt;&gt;ROW(P321))*(P$2:P$1073&lt;&gt;""))),"")</f>
        <v>24.730948088520865</v>
      </c>
      <c r="W321" cm="1">
        <f t="array" ref="W321">IFERROR(AVERAGE(_xlfn._xlws.FILTER(Q$2:Q$1073,($C$2:$C$1073=$C321)*($E$2:$E$1073=$E321)*(ROW(Q$2:Q$1073)&lt;&gt;ROW(Q321))*(Q$2:Q$1073&lt;&gt;""))),"")</f>
        <v>0.82035195639515091</v>
      </c>
      <c r="X321" t="str" cm="1">
        <f t="array" ref="X321">IFERROR(AVERAGE(_xlfn._xlws.FILTER(R$2:R$1073,($C$2:$C$1073=$C321)*($E$2:$E$1073=$E321)*(ROW(R$2:R$1073)&lt;&gt;ROW(R321))*(R$2:R$1073&lt;&gt;""))),"")</f>
        <v/>
      </c>
      <c r="Y321" t="str" cm="1">
        <f t="array" ref="Y321">IFERROR(AVERAGE(_xlfn._xlws.FILTER(S$2:S$1073,($C$2:$C$1073=$C321)*($E$2:$E$1073=$E321)*(ROW(S$2:S$1073)&lt;&gt;ROW(S321))*(S$2:S$1073&lt;&gt;""))),"")</f>
        <v/>
      </c>
      <c r="Z321" t="str" cm="1">
        <f t="array" ref="Z321">IFERROR(AVERAGE(_xlfn._xlws.FILTER(T$2:T$1073,($C$2:$C$1073=$C321)*($E$2:$E$1073=$E321)*(ROW(T$2:T$1073)&lt;&gt;ROW(T321))*(T$2:T$1073&lt;&gt;""))),"")</f>
        <v/>
      </c>
      <c r="AA321" cm="1">
        <f t="array" ref="AA321">IFERROR(AVERAGE(_xlfn._xlws.FILTER(U$2:U$1073,($C$2:$C$1073=$C321)*($E$2:$E$1073=$E321)*(ROW(U$2:U$1073)&lt;&gt;ROW(U321))*(U$2:U$1073&lt;&gt;""))),"")</f>
        <v>0.91314375247969903</v>
      </c>
    </row>
    <row r="322" spans="1:27" x14ac:dyDescent="0.2">
      <c r="A322" s="7" t="s">
        <v>2218</v>
      </c>
      <c r="B322" t="str">
        <f t="shared" si="46"/>
        <v>ALRS IV кв. 2025</v>
      </c>
      <c r="C322">
        <v>2025</v>
      </c>
      <c r="D322">
        <f>SUMIFS(Дивиденды!$C:$C,Дивиденды!$A:$A,A322,Дивиденды!$I:$I,C322)</f>
        <v>0</v>
      </c>
      <c r="E322">
        <v>3</v>
      </c>
      <c r="F322">
        <f t="shared" si="47"/>
        <v>0</v>
      </c>
      <c r="G322">
        <f t="shared" si="48"/>
        <v>10.684999999999999</v>
      </c>
      <c r="H322">
        <f t="shared" si="49"/>
        <v>0</v>
      </c>
      <c r="I322">
        <f t="shared" si="56"/>
        <v>0.1</v>
      </c>
      <c r="J322">
        <f t="shared" si="50"/>
        <v>-1</v>
      </c>
      <c r="K322">
        <f t="shared" si="54"/>
        <v>-0.34741116251599569</v>
      </c>
      <c r="L322">
        <f t="shared" si="51"/>
        <v>0</v>
      </c>
      <c r="M322">
        <f t="shared" si="55"/>
        <v>0</v>
      </c>
      <c r="N322">
        <f t="shared" si="52"/>
        <v>1</v>
      </c>
      <c r="O322">
        <f t="shared" si="53"/>
        <v>0.4</v>
      </c>
      <c r="P322">
        <f>IFERROR(LN('Дивиденды по годам'!I322),"")</f>
        <v>27.273605898054665</v>
      </c>
      <c r="Q322">
        <f>IFERROR('Дивиденды по годам'!G322/'Дивиденды по годам'!I322, "")</f>
        <v>0.44396138857039924</v>
      </c>
      <c r="R322">
        <f>IFERROR(IF(AND('Дивиденды по годам'!N322&lt;&gt;"",'Дивиденды по годам'!U322&lt;&gt;"",'Дивиденды по годам'!U322&lt;&gt;0),'Дивиденды по годам'!N322/'Дивиденды по годам'!U322-1,""),"")</f>
        <v>-1.6639686782366492E-2</v>
      </c>
      <c r="S322">
        <f>IFERROR(IF(AND('Дивиденды по годам'!L322&lt;&gt;"",'Дивиденды по годам'!I322&lt;&gt;"",'Дивиденды по годам'!J322&lt;&gt;"",'Дивиденды по годам'!K322&lt;&gt;"",('Дивиденды по годам'!I322-'Дивиденды по годам'!J322-'Дивиденды по годам'!K322)&lt;&gt;0),'Дивиденды по годам'!L322/('Дивиденды по годам'!I322-'Дивиденды по годам'!J322-'Дивиденды по годам'!K322),""),"")</f>
        <v>0.94364590350959154</v>
      </c>
      <c r="T322">
        <f>IFERROR(IF(AND('Дивиденды по годам'!Q322&lt;&gt;"",'Дивиденды по годам'!I322&lt;&gt;"",'Дивиденды по годам'!V322&lt;&gt;"",('Дивиденды по годам'!I322+'Дивиденды по годам'!V322)&lt;&gt;0),'Дивиденды по годам'!Q322/(('Дивиденды по годам'!I322+'Дивиденды по годам'!V322)/2),""),"")</f>
        <v>5.3362607006096963E-2</v>
      </c>
      <c r="U322">
        <f>IFERROR(IF(AND('Дивиденды по годам'!J322&lt;&gt;"",'Дивиденды по годам'!K322&lt;&gt;"",'Дивиденды по годам'!M322&lt;&gt;"",'Дивиденды по годам'!M322&lt;&gt;0),('Дивиденды по годам'!J322+'Дивиденды по годам'!K322)/'Дивиденды по годам'!M322,""),"")</f>
        <v>0.7198375271075006</v>
      </c>
      <c r="V322" cm="1">
        <f t="array" ref="V322">IFERROR(AVERAGE(_xlfn._xlws.FILTER(P$2:P$1073,($C$2:$C$1073=$C322)*($E$2:$E$1073=$E322)*(ROW(P$2:P$1073)&lt;&gt;ROW(P322))*(P$2:P$1073&lt;&gt;""))),"")</f>
        <v>27.562075600981228</v>
      </c>
      <c r="W322" cm="1">
        <f t="array" ref="W322">IFERROR(AVERAGE(_xlfn._xlws.FILTER(Q$2:Q$1073,($C$2:$C$1073=$C322)*($E$2:$E$1073=$E322)*(ROW(Q$2:Q$1073)&lt;&gt;ROW(Q322))*(Q$2:Q$1073&lt;&gt;""))),"")</f>
        <v>0.54129852910549947</v>
      </c>
      <c r="X322" cm="1">
        <f t="array" ref="X322">IFERROR(AVERAGE(_xlfn._xlws.FILTER(R$2:R$1073,($C$2:$C$1073=$C322)*($E$2:$E$1073=$E322)*(ROW(R$2:R$1073)&lt;&gt;ROW(R322))*(R$2:R$1073&lt;&gt;""))),"")</f>
        <v>-0.10470488613308263</v>
      </c>
      <c r="Y322" cm="1">
        <f t="array" ref="Y322">IFERROR(AVERAGE(_xlfn._xlws.FILTER(S$2:S$1073,($C$2:$C$1073=$C322)*($E$2:$E$1073=$E322)*(ROW(S$2:S$1073)&lt;&gt;ROW(S322))*(S$2:S$1073&lt;&gt;""))),"")</f>
        <v>0.99310632915342434</v>
      </c>
      <c r="Z322" cm="1">
        <f t="array" ref="Z322">IFERROR(AVERAGE(_xlfn._xlws.FILTER(T$2:T$1073,($C$2:$C$1073=$C322)*($E$2:$E$1073=$E322)*(ROW(T$2:T$1073)&lt;&gt;ROW(T322))*(T$2:T$1073&lt;&gt;""))),"")</f>
        <v>9.5936121881562732E-3</v>
      </c>
      <c r="AA322" cm="1">
        <f t="array" ref="AA322">IFERROR(AVERAGE(_xlfn._xlws.FILTER(U$2:U$1073,($C$2:$C$1073=$C322)*($E$2:$E$1073=$E322)*(ROW(U$2:U$1073)&lt;&gt;ROW(U322))*(U$2:U$1073&lt;&gt;""))),"")</f>
        <v>3.5393178177131261</v>
      </c>
    </row>
    <row r="323" spans="1:27" x14ac:dyDescent="0.2">
      <c r="A323" s="7" t="s">
        <v>2218</v>
      </c>
      <c r="B323" t="str">
        <f t="shared" ref="B323:B386" si="57">A323&amp;" "&amp;
"IV"
&amp;" кв. "&amp;C323</f>
        <v>ALRS IV кв. 2024</v>
      </c>
      <c r="C323">
        <v>2024</v>
      </c>
      <c r="D323">
        <f>SUMIFS(Дивиденды!$C:$C,Дивиденды!$A:$A,A323,Дивиденды!$I:$I,C323)</f>
        <v>2.4900000000000002</v>
      </c>
      <c r="E323">
        <v>3</v>
      </c>
      <c r="F323">
        <f t="shared" ref="F323:F386" si="58">D323</f>
        <v>2.4900000000000002</v>
      </c>
      <c r="G323">
        <f t="shared" ref="G323:G386" si="59">AVERAGEIFS($D:$D,$E:$E,E323,$C:$C,C323,$A:$A,"&lt;&gt;"&amp;A323)</f>
        <v>32.809000000000005</v>
      </c>
      <c r="H323">
        <f t="shared" ref="H323:H386" si="60">IF(D323&gt;0,1,0)</f>
        <v>1</v>
      </c>
      <c r="I323">
        <f t="shared" si="56"/>
        <v>0.4</v>
      </c>
      <c r="J323">
        <f t="shared" ref="J323:J386" si="61">IF(A324&lt;&gt;A323,"",IF(D323=D324,0,IF(AND(D324=0,D323&lt;&gt;0), 1,(D323-D324)/D324)))</f>
        <v>-0.56994818652849732</v>
      </c>
      <c r="K323">
        <f t="shared" si="54"/>
        <v>-0.14761965432614482</v>
      </c>
      <c r="L323">
        <f t="shared" ref="L323:L386" si="62">IF(J323&lt;&gt;"",IF(J323&gt;0,1,0),"")</f>
        <v>0</v>
      </c>
      <c r="M323">
        <f t="shared" si="55"/>
        <v>0.1</v>
      </c>
      <c r="N323">
        <f t="shared" ref="N323:N386" si="63">IF(J323&lt;&gt;"",IF(J323&lt;0,1,0),"")</f>
        <v>1</v>
      </c>
      <c r="O323">
        <f t="shared" ref="O323:O386" si="64">IFERROR(AVERAGEIFS($N:$N,$E:$E,E323,$C:$C,C323,$A:$A,"&lt;&gt;"&amp;A323),"")</f>
        <v>0.4</v>
      </c>
      <c r="P323">
        <f>IFERROR(LN('Дивиденды по годам'!I323),"")</f>
        <v>27.213587166144251</v>
      </c>
      <c r="Q323">
        <f>IFERROR('Дивиденды по годам'!G323/'Дивиденды по годам'!I323, "")</f>
        <v>0.45974177780139208</v>
      </c>
      <c r="R323">
        <f>IFERROR(IF(AND('Дивиденды по годам'!N323&lt;&gt;"",'Дивиденды по годам'!U323&lt;&gt;"",'Дивиденды по годам'!U323&lt;&gt;0),'Дивиденды по годам'!N323/'Дивиденды по годам'!U323-1,""),"")</f>
        <v>-0.25886094981817731</v>
      </c>
      <c r="S323">
        <f>IFERROR(IF(AND('Дивиденды по годам'!L323&lt;&gt;"",'Дивиденды по годам'!I323&lt;&gt;"",'Дивиденды по годам'!J323&lt;&gt;"",'Дивиденды по годам'!K323&lt;&gt;"",('Дивиденды по годам'!I323-'Дивиденды по годам'!J323-'Дивиденды по годам'!K323)&lt;&gt;0),'Дивиденды по годам'!L323/('Дивиденды по годам'!I323-'Дивиденды по годам'!J323-'Дивиденды по годам'!K323),""),"")</f>
        <v>0.94412296417158825</v>
      </c>
      <c r="T323">
        <f>IFERROR(IF(AND('Дивиденды по годам'!Q323&lt;&gt;"",'Дивиденды по годам'!I323&lt;&gt;"",'Дивиденды по годам'!V323&lt;&gt;"",('Дивиденды по годам'!I323+'Дивиденды по годам'!V323)&lt;&gt;0),'Дивиденды по годам'!Q323/(('Дивиденды по годам'!I323+'Дивиденды по годам'!V323)/2),""),"")</f>
        <v>3.0662316226843147E-2</v>
      </c>
      <c r="U323">
        <f>IFERROR(IF(AND('Дивиденды по годам'!J323&lt;&gt;"",'Дивиденды по годам'!K323&lt;&gt;"",'Дивиденды по годам'!M323&lt;&gt;"",'Дивиденды по годам'!M323&lt;&gt;0),('Дивиденды по годам'!J323+'Дивиденды по годам'!K323)/'Дивиденды по годам'!M323,""),"")</f>
        <v>0.78541711274877835</v>
      </c>
      <c r="V323" cm="1">
        <f t="array" ref="V323">IFERROR(AVERAGE(_xlfn._xlws.FILTER(P$2:P$1073,($C$2:$C$1073=$C323)*($E$2:$E$1073=$E323)*(ROW(P$2:P$1073)&lt;&gt;ROW(P323))*(P$2:P$1073&lt;&gt;""))),"")</f>
        <v>27.289800368507837</v>
      </c>
      <c r="W323" cm="1">
        <f t="array" ref="W323">IFERROR(AVERAGE(_xlfn._xlws.FILTER(Q$2:Q$1073,($C$2:$C$1073=$C323)*($E$2:$E$1073=$E323)*(ROW(Q$2:Q$1073)&lt;&gt;ROW(Q323))*(Q$2:Q$1073&lt;&gt;""))),"")</f>
        <v>0.48217870338457802</v>
      </c>
      <c r="X323" cm="1">
        <f t="array" ref="X323">IFERROR(AVERAGE(_xlfn._xlws.FILTER(R$2:R$1073,($C$2:$C$1073=$C323)*($E$2:$E$1073=$E323)*(ROW(R$2:R$1073)&lt;&gt;ROW(R323))*(R$2:R$1073&lt;&gt;""))),"")</f>
        <v>5.3697204823108732E-2</v>
      </c>
      <c r="Y323" cm="1">
        <f t="array" ref="Y323">IFERROR(AVERAGE(_xlfn._xlws.FILTER(S$2:S$1073,($C$2:$C$1073=$C323)*($E$2:$E$1073=$E323)*(ROW(S$2:S$1073)&lt;&gt;ROW(S323))*(S$2:S$1073&lt;&gt;""))),"")</f>
        <v>1.195474461284209</v>
      </c>
      <c r="Z323" cm="1">
        <f t="array" ref="Z323">IFERROR(AVERAGE(_xlfn._xlws.FILTER(T$2:T$1073,($C$2:$C$1073=$C323)*($E$2:$E$1073=$E323)*(ROW(T$2:T$1073)&lt;&gt;ROW(T323))*(T$2:T$1073&lt;&gt;""))),"")</f>
        <v>4.7009519387159672E-2</v>
      </c>
      <c r="AA323" cm="1">
        <f t="array" ref="AA323">IFERROR(AVERAGE(_xlfn._xlws.FILTER(U$2:U$1073,($C$2:$C$1073=$C323)*($E$2:$E$1073=$E323)*(ROW(U$2:U$1073)&lt;&gt;ROW(U323))*(U$2:U$1073&lt;&gt;""))),"")</f>
        <v>2.7426779048023375</v>
      </c>
    </row>
    <row r="324" spans="1:27" x14ac:dyDescent="0.2">
      <c r="A324" s="7" t="s">
        <v>2218</v>
      </c>
      <c r="B324" t="str">
        <f t="shared" si="57"/>
        <v>ALRS IV кв. 2023</v>
      </c>
      <c r="C324">
        <v>2023</v>
      </c>
      <c r="D324">
        <f>SUMIFS(Дивиденды!$C:$C,Дивиденды!$A:$A,A324,Дивиденды!$I:$I,C324)</f>
        <v>5.79</v>
      </c>
      <c r="E324">
        <v>3</v>
      </c>
      <c r="F324">
        <f t="shared" si="58"/>
        <v>5.79</v>
      </c>
      <c r="G324">
        <f t="shared" si="59"/>
        <v>24.664999999999999</v>
      </c>
      <c r="H324">
        <f t="shared" si="60"/>
        <v>1</v>
      </c>
      <c r="I324">
        <f t="shared" si="56"/>
        <v>0.5</v>
      </c>
      <c r="J324">
        <f t="shared" si="61"/>
        <v>1</v>
      </c>
      <c r="K324">
        <f t="shared" ref="K324:K387" si="65">IFERROR(AVERAGEIFS($J:$J,$E:$E,E324,$C:$C,C324,$A:$A,"&lt;&gt;"&amp;A324),"")</f>
        <v>0.33287037037037037</v>
      </c>
      <c r="L324">
        <f t="shared" si="62"/>
        <v>1</v>
      </c>
      <c r="M324">
        <f t="shared" si="55"/>
        <v>0.5</v>
      </c>
      <c r="N324">
        <f t="shared" si="63"/>
        <v>0</v>
      </c>
      <c r="O324">
        <f t="shared" si="64"/>
        <v>0.1</v>
      </c>
      <c r="P324">
        <f>IFERROR(LN('Дивиденды по годам'!I324),"")</f>
        <v>27.114541203424977</v>
      </c>
      <c r="Q324">
        <f>IFERROR('Дивиденды по годам'!G324/'Дивиденды по годам'!I324, "")</f>
        <v>0.47415175900116824</v>
      </c>
      <c r="R324">
        <f>IFERROR(IF(AND('Дивиденды по годам'!N324&lt;&gt;"",'Дивиденды по годам'!U324&lt;&gt;"",'Дивиденды по годам'!U324&lt;&gt;0),'Дивиденды по годам'!N324/'Дивиденды по годам'!U324-1,""),"")</f>
        <v>9.1822677439336031E-2</v>
      </c>
      <c r="S324">
        <f>IFERROR(IF(AND('Дивиденды по годам'!L324&lt;&gt;"",'Дивиденды по годам'!I324&lt;&gt;"",'Дивиденды по годам'!J324&lt;&gt;"",'Дивиденды по годам'!K324&lt;&gt;"",('Дивиденды по годам'!I324-'Дивиденды по годам'!J324-'Дивиденды по годам'!K324)&lt;&gt;0),'Дивиденды по годам'!L324/('Дивиденды по годам'!I324-'Дивиденды по годам'!J324-'Дивиденды по годам'!K324),""),"")</f>
        <v>0.94068229372621837</v>
      </c>
      <c r="T324">
        <f>IFERROR(IF(AND('Дивиденды по годам'!Q324&lt;&gt;"",'Дивиденды по годам'!I324&lt;&gt;"",'Дивиденды по годам'!V324&lt;&gt;"",('Дивиденды по годам'!I324+'Дивиденды по годам'!V324)&lt;&gt;0),'Дивиденды по годам'!Q324/(('Дивиденды по годам'!I324+'Дивиденды по годам'!V324)/2),""),"")</f>
        <v>0.15248511971358245</v>
      </c>
      <c r="U324">
        <f>IFERROR(IF(AND('Дивиденды по годам'!J324&lt;&gt;"",'Дивиденды по годам'!K324&lt;&gt;"",'Дивиденды по годам'!M324&lt;&gt;"",'Дивиденды по годам'!M324&lt;&gt;0),('Дивиденды по годам'!J324+'Дивиденды по годам'!K324)/'Дивиденды по годам'!M324,""),"")</f>
        <v>0.56240130519380194</v>
      </c>
      <c r="V324" cm="1">
        <f t="array" ref="V324">IFERROR(AVERAGE(_xlfn._xlws.FILTER(P$2:P$1073,($C$2:$C$1073=$C324)*($E$2:$E$1073=$E324)*(ROW(P$2:P$1073)&lt;&gt;ROW(P324))*(P$2:P$1073&lt;&gt;""))),"")</f>
        <v>27.220481521309704</v>
      </c>
      <c r="W324" cm="1">
        <f t="array" ref="W324">IFERROR(AVERAGE(_xlfn._xlws.FILTER(Q$2:Q$1073,($C$2:$C$1073=$C324)*($E$2:$E$1073=$E324)*(ROW(Q$2:Q$1073)&lt;&gt;ROW(Q324))*(Q$2:Q$1073&lt;&gt;""))),"")</f>
        <v>0.453938942429847</v>
      </c>
      <c r="X324" cm="1">
        <f t="array" ref="X324">IFERROR(AVERAGE(_xlfn._xlws.FILTER(R$2:R$1073,($C$2:$C$1073=$C324)*($E$2:$E$1073=$E324)*(ROW(R$2:R$1073)&lt;&gt;ROW(R324))*(R$2:R$1073&lt;&gt;""))),"")</f>
        <v>0.13474072629181838</v>
      </c>
      <c r="Y324" cm="1">
        <f t="array" ref="Y324">IFERROR(AVERAGE(_xlfn._xlws.FILTER(S$2:S$1073,($C$2:$C$1073=$C324)*($E$2:$E$1073=$E324)*(ROW(S$2:S$1073)&lt;&gt;ROW(S324))*(S$2:S$1073&lt;&gt;""))),"")</f>
        <v>5.4365464570074393E-2</v>
      </c>
      <c r="Z324" cm="1">
        <f t="array" ref="Z324">IFERROR(AVERAGE(_xlfn._xlws.FILTER(T$2:T$1073,($C$2:$C$1073=$C324)*($E$2:$E$1073=$E324)*(ROW(T$2:T$1073)&lt;&gt;ROW(T324))*(T$2:T$1073&lt;&gt;""))),"")</f>
        <v>0.11498981251535767</v>
      </c>
      <c r="AA324" cm="1">
        <f t="array" ref="AA324">IFERROR(AVERAGE(_xlfn._xlws.FILTER(U$2:U$1073,($C$2:$C$1073=$C324)*($E$2:$E$1073=$E324)*(ROW(U$2:U$1073)&lt;&gt;ROW(U324))*(U$2:U$1073&lt;&gt;""))),"")</f>
        <v>-0.66945015613383352</v>
      </c>
    </row>
    <row r="325" spans="1:27" x14ac:dyDescent="0.2">
      <c r="A325" s="7" t="s">
        <v>2218</v>
      </c>
      <c r="B325" t="str">
        <f t="shared" si="57"/>
        <v>ALRS IV кв. 2022</v>
      </c>
      <c r="C325">
        <v>2022</v>
      </c>
      <c r="D325">
        <f>SUMIFS(Дивиденды!$C:$C,Дивиденды!$A:$A,A325,Дивиденды!$I:$I,C325)</f>
        <v>0</v>
      </c>
      <c r="E325">
        <v>3</v>
      </c>
      <c r="F325">
        <f t="shared" si="58"/>
        <v>0</v>
      </c>
      <c r="G325">
        <f t="shared" si="59"/>
        <v>1.73</v>
      </c>
      <c r="H325">
        <f t="shared" si="60"/>
        <v>0</v>
      </c>
      <c r="I325">
        <f t="shared" si="56"/>
        <v>0.2</v>
      </c>
      <c r="J325">
        <f t="shared" si="61"/>
        <v>-1</v>
      </c>
      <c r="K325">
        <f t="shared" si="65"/>
        <v>-0.50242800677583288</v>
      </c>
      <c r="L325">
        <f t="shared" si="62"/>
        <v>0</v>
      </c>
      <c r="M325">
        <f t="shared" si="55"/>
        <v>0.1</v>
      </c>
      <c r="N325">
        <f t="shared" si="63"/>
        <v>1</v>
      </c>
      <c r="O325">
        <f t="shared" si="64"/>
        <v>0.7</v>
      </c>
      <c r="P325">
        <f>IFERROR(LN('Дивиденды по годам'!I325),"")</f>
        <v>26.978311215895918</v>
      </c>
      <c r="Q325">
        <f>IFERROR('Дивиденды по годам'!G325/'Дивиденды по годам'!I325, "")</f>
        <v>0.47624910445553775</v>
      </c>
      <c r="R325">
        <f>IFERROR(IF(AND('Дивиденды по годам'!N325&lt;&gt;"",'Дивиденды по годам'!U325&lt;&gt;"",'Дивиденды по годам'!U325&lt;&gt;0),'Дивиденды по годам'!N325/'Дивиденды по годам'!U325-1,""),"")</f>
        <v>-0.11013421525041867</v>
      </c>
      <c r="S325">
        <f>IFERROR(IF(AND('Дивиденды по годам'!L325&lt;&gt;"",'Дивиденды по годам'!I325&lt;&gt;"",'Дивиденды по годам'!J325&lt;&gt;"",'Дивиденды по годам'!K325&lt;&gt;"",('Дивиденды по годам'!I325-'Дивиденды по годам'!J325-'Дивиденды по годам'!K325)&lt;&gt;0),'Дивиденды по годам'!L325/('Дивиденды по годам'!I325-'Дивиденды по годам'!J325-'Дивиденды по годам'!K325),""),"")</f>
        <v>0.9293593096964563</v>
      </c>
      <c r="T325">
        <f>IFERROR(IF(AND('Дивиденды по годам'!Q325&lt;&gt;"",'Дивиденды по годам'!I325&lt;&gt;"",'Дивиденды по годам'!V325&lt;&gt;"",('Дивиденды по годам'!I325+'Дивиденды по годам'!V325)&lt;&gt;0),'Дивиденды по годам'!Q325/(('Дивиденды по годам'!I325+'Дивиденды по годам'!V325)/2),""),"")</f>
        <v>0.21281043149355497</v>
      </c>
      <c r="U325">
        <f>IFERROR(IF(AND('Дивиденды по годам'!J325&lt;&gt;"",'Дивиденды по годам'!K325&lt;&gt;"",'Дивиденды по годам'!M325&lt;&gt;"",'Дивиденды по годам'!M325&lt;&gt;0),('Дивиденды по годам'!J325+'Дивиденды по годам'!K325)/'Дивиденды по годам'!M325,""),"")</f>
        <v>0.61540275463630922</v>
      </c>
      <c r="V325" cm="1">
        <f t="array" ref="V325">IFERROR(AVERAGE(_xlfn._xlws.FILTER(P$2:P$1073,($C$2:$C$1073=$C325)*($E$2:$E$1073=$E325)*(ROW(P$2:P$1073)&lt;&gt;ROW(P325))*(P$2:P$1073&lt;&gt;""))),"")</f>
        <v>27.093285597088141</v>
      </c>
      <c r="W325" cm="1">
        <f t="array" ref="W325">IFERROR(AVERAGE(_xlfn._xlws.FILTER(Q$2:Q$1073,($C$2:$C$1073=$C325)*($E$2:$E$1073=$E325)*(ROW(Q$2:Q$1073)&lt;&gt;ROW(Q325))*(Q$2:Q$1073&lt;&gt;""))),"")</f>
        <v>0.47134005954634067</v>
      </c>
      <c r="X325" cm="1">
        <f t="array" ref="X325">IFERROR(AVERAGE(_xlfn._xlws.FILTER(R$2:R$1073,($C$2:$C$1073=$C325)*($E$2:$E$1073=$E325)*(ROW(R$2:R$1073)&lt;&gt;ROW(R325))*(R$2:R$1073&lt;&gt;""))),"")</f>
        <v>-1.2847651936121297E-2</v>
      </c>
      <c r="Y325" cm="1">
        <f t="array" ref="Y325">IFERROR(AVERAGE(_xlfn._xlws.FILTER(S$2:S$1073,($C$2:$C$1073=$C325)*($E$2:$E$1073=$E325)*(ROW(S$2:S$1073)&lt;&gt;ROW(S325))*(S$2:S$1073&lt;&gt;""))),"")</f>
        <v>0.84406251266803911</v>
      </c>
      <c r="Z325" cm="1">
        <f t="array" ref="Z325">IFERROR(AVERAGE(_xlfn._xlws.FILTER(T$2:T$1073,($C$2:$C$1073=$C325)*($E$2:$E$1073=$E325)*(ROW(T$2:T$1073)&lt;&gt;ROW(T325))*(T$2:T$1073&lt;&gt;""))),"")</f>
        <v>0.15325564476595246</v>
      </c>
      <c r="AA325" cm="1">
        <f t="array" ref="AA325">IFERROR(AVERAGE(_xlfn._xlws.FILTER(U$2:U$1073,($C$2:$C$1073=$C325)*($E$2:$E$1073=$E325)*(ROW(U$2:U$1073)&lt;&gt;ROW(U325))*(U$2:U$1073&lt;&gt;""))),"")</f>
        <v>1.2071526269304862</v>
      </c>
    </row>
    <row r="326" spans="1:27" x14ac:dyDescent="0.2">
      <c r="A326" s="7" t="s">
        <v>2218</v>
      </c>
      <c r="B326" t="str">
        <f t="shared" si="57"/>
        <v>ALRS IV кв. 2021</v>
      </c>
      <c r="C326">
        <v>2021</v>
      </c>
      <c r="D326">
        <f>SUMIFS(Дивиденды!$C:$C,Дивиденды!$A:$A,A326,Дивиденды!$I:$I,C326)</f>
        <v>8.7899999999999991</v>
      </c>
      <c r="E326">
        <v>3</v>
      </c>
      <c r="F326">
        <f t="shared" si="58"/>
        <v>8.7899999999999991</v>
      </c>
      <c r="G326">
        <f t="shared" si="59"/>
        <v>35.975999999999999</v>
      </c>
      <c r="H326">
        <f t="shared" si="60"/>
        <v>1</v>
      </c>
      <c r="I326">
        <f t="shared" si="56"/>
        <v>0.7</v>
      </c>
      <c r="J326">
        <f t="shared" si="61"/>
        <v>-7.8616352201257872E-2</v>
      </c>
      <c r="K326">
        <f t="shared" si="65"/>
        <v>0.73855796179092237</v>
      </c>
      <c r="L326">
        <f t="shared" si="62"/>
        <v>0</v>
      </c>
      <c r="M326">
        <f t="shared" si="55"/>
        <v>0.5</v>
      </c>
      <c r="N326">
        <f t="shared" si="63"/>
        <v>1</v>
      </c>
      <c r="O326">
        <f t="shared" si="64"/>
        <v>0.1</v>
      </c>
      <c r="P326">
        <f>IFERROR(LN('Дивиденды по годам'!I326),"")</f>
        <v>26.772381176656022</v>
      </c>
      <c r="Q326">
        <f>IFERROR('Дивиденды по годам'!G326/'Дивиденды по годам'!I326, "")</f>
        <v>0.54255931731400064</v>
      </c>
      <c r="R326">
        <f>IFERROR(IF(AND('Дивиденды по годам'!N326&lt;&gt;"",'Дивиденды по годам'!U326&lt;&gt;"",'Дивиденды по годам'!U326&lt;&gt;0),'Дивиденды по годам'!N326/'Дивиденды по годам'!U326-1,""),"")</f>
        <v>0.49899767026060582</v>
      </c>
      <c r="S326">
        <f>IFERROR(IF(AND('Дивиденды по годам'!L326&lt;&gt;"",'Дивиденды по годам'!I326&lt;&gt;"",'Дивиденды по годам'!J326&lt;&gt;"",'Дивиденды по годам'!K326&lt;&gt;"",('Дивиденды по годам'!I326-'Дивиденды по годам'!J326-'Дивиденды по годам'!K326)&lt;&gt;0),'Дивиденды по годам'!L326/('Дивиденды по годам'!I326-'Дивиденды по годам'!J326-'Дивиденды по годам'!K326),""),"")</f>
        <v>0.89892572226273948</v>
      </c>
      <c r="T326">
        <f>IFERROR(IF(AND('Дивиденды по годам'!Q326&lt;&gt;"",'Дивиденды по годам'!I326&lt;&gt;"",'Дивиденды по годам'!V326&lt;&gt;"",('Дивиденды по годам'!I326+'Дивиденды по годам'!V326)&lt;&gt;0),'Дивиденды по годам'!Q326/(('Дивиденды по годам'!I326+'Дивиденды по годам'!V326)/2),""),"")</f>
        <v>0.19375487999456836</v>
      </c>
      <c r="U326">
        <f>IFERROR(IF(AND('Дивиденды по годам'!J326&lt;&gt;"",'Дивиденды по годам'!K326&lt;&gt;"",'Дивиденды по годам'!M326&lt;&gt;"",'Дивиденды по годам'!M326&lt;&gt;0),('Дивиденды по годам'!J326+'Дивиденды по годам'!K326)/'Дивиденды по годам'!M326,""),"")</f>
        <v>0.89592794598633552</v>
      </c>
      <c r="V326" cm="1">
        <f t="array" ref="V326">IFERROR(AVERAGE(_xlfn._xlws.FILTER(P$2:P$1073,($C$2:$C$1073=$C326)*($E$2:$E$1073=$E326)*(ROW(P$2:P$1073)&lt;&gt;ROW(P326))*(P$2:P$1073&lt;&gt;""))),"")</f>
        <v>27.006058084526369</v>
      </c>
      <c r="W326" cm="1">
        <f t="array" ref="W326">IFERROR(AVERAGE(_xlfn._xlws.FILTER(Q$2:Q$1073,($C$2:$C$1073=$C326)*($E$2:$E$1073=$E326)*(ROW(Q$2:Q$1073)&lt;&gt;ROW(Q326))*(Q$2:Q$1073&lt;&gt;""))),"")</f>
        <v>0.48221540136848839</v>
      </c>
      <c r="X326" cm="1">
        <f t="array" ref="X326">IFERROR(AVERAGE(_xlfn._xlws.FILTER(R$2:R$1073,($C$2:$C$1073=$C326)*($E$2:$E$1073=$E326)*(ROW(R$2:R$1073)&lt;&gt;ROW(R326))*(R$2:R$1073&lt;&gt;""))),"")</f>
        <v>0.70153155137727841</v>
      </c>
      <c r="Y326" cm="1">
        <f t="array" ref="Y326">IFERROR(AVERAGE(_xlfn._xlws.FILTER(S$2:S$1073,($C$2:$C$1073=$C326)*($E$2:$E$1073=$E326)*(ROW(S$2:S$1073)&lt;&gt;ROW(S326))*(S$2:S$1073&lt;&gt;""))),"")</f>
        <v>1.0490547205199809</v>
      </c>
      <c r="Z326" cm="1">
        <f t="array" ref="Z326">IFERROR(AVERAGE(_xlfn._xlws.FILTER(T$2:T$1073,($C$2:$C$1073=$C326)*($E$2:$E$1073=$E326)*(ROW(T$2:T$1073)&lt;&gt;ROW(T326))*(T$2:T$1073&lt;&gt;""))),"")</f>
        <v>0.29671780330944453</v>
      </c>
      <c r="AA326" cm="1">
        <f t="array" ref="AA326">IFERROR(AVERAGE(_xlfn._xlws.FILTER(U$2:U$1073,($C$2:$C$1073=$C326)*($E$2:$E$1073=$E326)*(ROW(U$2:U$1073)&lt;&gt;ROW(U326))*(U$2:U$1073&lt;&gt;""))),"")</f>
        <v>2.1633834337505071</v>
      </c>
    </row>
    <row r="327" spans="1:27" x14ac:dyDescent="0.2">
      <c r="A327" s="7" t="s">
        <v>2218</v>
      </c>
      <c r="B327" t="str">
        <f t="shared" si="57"/>
        <v>ALRS IV кв. 2020</v>
      </c>
      <c r="C327">
        <v>2020</v>
      </c>
      <c r="D327">
        <f>SUMIFS(Дивиденды!$C:$C,Дивиденды!$A:$A,A327,Дивиденды!$I:$I,C327)</f>
        <v>9.5399999999999991</v>
      </c>
      <c r="E327">
        <v>3</v>
      </c>
      <c r="F327">
        <f t="shared" si="58"/>
        <v>9.5399999999999991</v>
      </c>
      <c r="G327">
        <f t="shared" si="59"/>
        <v>23.03</v>
      </c>
      <c r="H327">
        <f t="shared" si="60"/>
        <v>1</v>
      </c>
      <c r="I327">
        <f t="shared" si="56"/>
        <v>0.7</v>
      </c>
      <c r="J327">
        <f t="shared" si="61"/>
        <v>0.47449768160741879</v>
      </c>
      <c r="K327">
        <f t="shared" si="65"/>
        <v>0.61192978054924263</v>
      </c>
      <c r="L327">
        <f t="shared" si="62"/>
        <v>1</v>
      </c>
      <c r="M327">
        <f t="shared" si="55"/>
        <v>0.6</v>
      </c>
      <c r="N327">
        <f t="shared" si="63"/>
        <v>0</v>
      </c>
      <c r="O327">
        <f t="shared" si="64"/>
        <v>0.1</v>
      </c>
      <c r="P327">
        <f>IFERROR(LN('Дивиденды по годам'!I327),"")</f>
        <v>26.974950042805816</v>
      </c>
      <c r="Q327">
        <f>IFERROR('Дивиденды по годам'!G327/'Дивиденды по годам'!I327, "")</f>
        <v>0.43487972309910078</v>
      </c>
      <c r="R327">
        <f>IFERROR(IF(AND('Дивиденды по годам'!N327&lt;&gt;"",'Дивиденды по годам'!U327&lt;&gt;"",'Дивиденды по годам'!U327&lt;&gt;0),'Дивиденды по годам'!N327/'Дивиденды по годам'!U327-1,""),"")</f>
        <v>-4.8837049506991415E-2</v>
      </c>
      <c r="S327">
        <f>IFERROR(IF(AND('Дивиденды по годам'!L327&lt;&gt;"",'Дивиденды по годам'!I327&lt;&gt;"",'Дивиденды по годам'!J327&lt;&gt;"",'Дивиденды по годам'!K327&lt;&gt;"",('Дивиденды по годам'!I327-'Дивиденды по годам'!J327-'Дивиденды по годам'!K327)&lt;&gt;0),'Дивиденды по годам'!L327/('Дивиденды по годам'!I327-'Дивиденды по годам'!J327-'Дивиденды по годам'!K327),""),"")</f>
        <v>0.91137946384783119</v>
      </c>
      <c r="T327">
        <f>IFERROR(IF(AND('Дивиденды по годам'!Q327&lt;&gt;"",'Дивиденды по годам'!I327&lt;&gt;"",'Дивиденды по годам'!V327&lt;&gt;"",('Дивиденды по годам'!I327+'Дивиденды по годам'!V327)&lt;&gt;0),'Дивиденды по годам'!Q327/(('Дивиденды по годам'!I327+'Дивиденды по годам'!V327)/2),""),"")</f>
        <v>6.7956888630366794E-2</v>
      </c>
      <c r="U327">
        <f>IFERROR(IF(AND('Дивиденды по годам'!J327&lt;&gt;"",'Дивиденды по годам'!K327&lt;&gt;"",'Дивиденды по годам'!M327&lt;&gt;"",'Дивиденды по годам'!M327&lt;&gt;0),('Дивиденды по годам'!J327+'Дивиденды по годам'!K327)/'Дивиденды по годам'!M327,""),"")</f>
        <v>0.95751375087711355</v>
      </c>
      <c r="V327" cm="1">
        <f t="array" ref="V327">IFERROR(AVERAGE(_xlfn._xlws.FILTER(P$2:P$1073,($C$2:$C$1073=$C327)*($E$2:$E$1073=$E327)*(ROW(P$2:P$1073)&lt;&gt;ROW(P327))*(P$2:P$1073&lt;&gt;""))),"")</f>
        <v>26.803046008142342</v>
      </c>
      <c r="W327" cm="1">
        <f t="array" ref="W327">IFERROR(AVERAGE(_xlfn._xlws.FILTER(Q$2:Q$1073,($C$2:$C$1073=$C327)*($E$2:$E$1073=$E327)*(ROW(Q$2:Q$1073)&lt;&gt;ROW(Q327))*(Q$2:Q$1073&lt;&gt;""))),"")</f>
        <v>0.51323960734305907</v>
      </c>
      <c r="X327" cm="1">
        <f t="array" ref="X327">IFERROR(AVERAGE(_xlfn._xlws.FILTER(R$2:R$1073,($C$2:$C$1073=$C327)*($E$2:$E$1073=$E327)*(ROW(R$2:R$1073)&lt;&gt;ROW(R327))*(R$2:R$1073&lt;&gt;""))),"")</f>
        <v>3.4835173391033036E-2</v>
      </c>
      <c r="Y327" cm="1">
        <f t="array" ref="Y327">IFERROR(AVERAGE(_xlfn._xlws.FILTER(S$2:S$1073,($C$2:$C$1073=$C327)*($E$2:$E$1073=$E327)*(ROW(S$2:S$1073)&lt;&gt;ROW(S327))*(S$2:S$1073&lt;&gt;""))),"")</f>
        <v>1.0539623331607262</v>
      </c>
      <c r="Z327" cm="1">
        <f t="array" ref="Z327">IFERROR(AVERAGE(_xlfn._xlws.FILTER(T$2:T$1073,($C$2:$C$1073=$C327)*($E$2:$E$1073=$E327)*(ROW(T$2:T$1073)&lt;&gt;ROW(T327))*(T$2:T$1073&lt;&gt;""))),"")</f>
        <v>9.6933002643762881E-2</v>
      </c>
      <c r="AA327" cm="1">
        <f t="array" ref="AA327">IFERROR(AVERAGE(_xlfn._xlws.FILTER(U$2:U$1073,($C$2:$C$1073=$C327)*($E$2:$E$1073=$E327)*(ROW(U$2:U$1073)&lt;&gt;ROW(U327))*(U$2:U$1073&lt;&gt;""))),"")</f>
        <v>1.7290700820034004</v>
      </c>
    </row>
    <row r="328" spans="1:27" x14ac:dyDescent="0.2">
      <c r="A328" s="7" t="s">
        <v>2218</v>
      </c>
      <c r="B328" t="str">
        <f t="shared" si="57"/>
        <v>ALRS IV кв. 2019</v>
      </c>
      <c r="C328">
        <v>2019</v>
      </c>
      <c r="D328">
        <f>SUMIFS(Дивиденды!$C:$C,Дивиденды!$A:$A,A328,Дивиденды!$I:$I,C328)</f>
        <v>6.47</v>
      </c>
      <c r="E328">
        <v>3</v>
      </c>
      <c r="F328">
        <f t="shared" si="58"/>
        <v>6.47</v>
      </c>
      <c r="G328">
        <f t="shared" si="59"/>
        <v>18.944000000000003</v>
      </c>
      <c r="H328">
        <f t="shared" si="60"/>
        <v>1</v>
      </c>
      <c r="I328">
        <f t="shared" si="56"/>
        <v>0.7</v>
      </c>
      <c r="J328">
        <f t="shared" si="61"/>
        <v>-0.35557768924302785</v>
      </c>
      <c r="K328">
        <f t="shared" si="65"/>
        <v>0.28716436458450395</v>
      </c>
      <c r="L328">
        <f t="shared" si="62"/>
        <v>0</v>
      </c>
      <c r="M328">
        <f t="shared" si="55"/>
        <v>0.4</v>
      </c>
      <c r="N328">
        <f t="shared" si="63"/>
        <v>1</v>
      </c>
      <c r="O328">
        <f t="shared" si="64"/>
        <v>0.3</v>
      </c>
      <c r="P328">
        <f>IFERROR(LN('Дивиденды по годам'!I328),"")</f>
        <v>26.787278926643914</v>
      </c>
      <c r="Q328">
        <f>IFERROR('Дивиденды по годам'!G328/'Дивиденды по годам'!I328, "")</f>
        <v>0.52606847741677476</v>
      </c>
      <c r="R328">
        <f>IFERROR(IF(AND('Дивиденды по годам'!N328&lt;&gt;"",'Дивиденды по годам'!U328&lt;&gt;"",'Дивиденды по годам'!U328&lt;&gt;0),'Дивиденды по годам'!N328/'Дивиденды по годам'!U328-1,""),"")</f>
        <v>-0.20762241807602</v>
      </c>
      <c r="S328">
        <f>IFERROR(IF(AND('Дивиденды по годам'!L328&lt;&gt;"",'Дивиденды по годам'!I328&lt;&gt;"",'Дивиденды по годам'!J328&lt;&gt;"",'Дивиденды по годам'!K328&lt;&gt;"",('Дивиденды по годам'!I328-'Дивиденды по годам'!J328-'Дивиденды по годам'!K328)&lt;&gt;0),'Дивиденды по годам'!L328/('Дивиденды по годам'!I328-'Дивиденды по годам'!J328-'Дивиденды по годам'!K328),""),"")</f>
        <v>0.90853500074813165</v>
      </c>
      <c r="T328">
        <f>IFERROR(IF(AND('Дивиденды по годам'!Q328&lt;&gt;"",'Дивиденды по годам'!I328&lt;&gt;"",'Дивиденды по годам'!V328&lt;&gt;"",('Дивиденды по годам'!I328+'Дивиденды по годам'!V328)&lt;&gt;0),'Дивиденды по годам'!Q328/(('Дивиденды по годам'!I328+'Дивиденды по годам'!V328)/2),""),"")</f>
        <v>0.14912812466569197</v>
      </c>
      <c r="U328">
        <f>IFERROR(IF(AND('Дивиденды по годам'!J328&lt;&gt;"",'Дивиденды по годам'!K328&lt;&gt;"",'Дивиденды по годам'!M328&lt;&gt;"",'Дивиденды по годам'!M328&lt;&gt;0),('Дивиденды по годам'!J328+'Дивиденды по годам'!K328)/'Дивиденды по годам'!M328,""),"")</f>
        <v>0.6935259050424073</v>
      </c>
      <c r="V328" cm="1">
        <f t="array" ref="V328">IFERROR(AVERAGE(_xlfn._xlws.FILTER(P$2:P$1073,($C$2:$C$1073=$C328)*($E$2:$E$1073=$E328)*(ROW(P$2:P$1073)&lt;&gt;ROW(P328))*(P$2:P$1073&lt;&gt;""))),"")</f>
        <v>26.70690121229228</v>
      </c>
      <c r="W328" cm="1">
        <f t="array" ref="W328">IFERROR(AVERAGE(_xlfn._xlws.FILTER(Q$2:Q$1073,($C$2:$C$1073=$C328)*($E$2:$E$1073=$E328)*(ROW(Q$2:Q$1073)&lt;&gt;ROW(Q328))*(Q$2:Q$1073&lt;&gt;""))),"")</f>
        <v>0.49818228945267184</v>
      </c>
      <c r="X328" cm="1">
        <f t="array" ref="X328">IFERROR(AVERAGE(_xlfn._xlws.FILTER(R$2:R$1073,($C$2:$C$1073=$C328)*($E$2:$E$1073=$E328)*(ROW(R$2:R$1073)&lt;&gt;ROW(R328))*(R$2:R$1073&lt;&gt;""))),"")</f>
        <v>6.3520806074780931E-2</v>
      </c>
      <c r="Y328" cm="1">
        <f t="array" ref="Y328">IFERROR(AVERAGE(_xlfn._xlws.FILTER(S$2:S$1073,($C$2:$C$1073=$C328)*($E$2:$E$1073=$E328)*(ROW(S$2:S$1073)&lt;&gt;ROW(S328))*(S$2:S$1073&lt;&gt;""))),"")</f>
        <v>0.90814531920807673</v>
      </c>
      <c r="Z328" cm="1">
        <f t="array" ref="Z328">IFERROR(AVERAGE(_xlfn._xlws.FILTER(T$2:T$1073,($C$2:$C$1073=$C328)*($E$2:$E$1073=$E328)*(ROW(T$2:T$1073)&lt;&gt;ROW(T328))*(T$2:T$1073&lt;&gt;""))),"")</f>
        <v>0.13688891238785963</v>
      </c>
      <c r="AA328" cm="1">
        <f t="array" ref="AA328">IFERROR(AVERAGE(_xlfn._xlws.FILTER(U$2:U$1073,($C$2:$C$1073=$C328)*($E$2:$E$1073=$E328)*(ROW(U$2:U$1073)&lt;&gt;ROW(U328))*(U$2:U$1073&lt;&gt;""))),"")</f>
        <v>1.645552742507191</v>
      </c>
    </row>
    <row r="329" spans="1:27" x14ac:dyDescent="0.2">
      <c r="A329" s="7" t="s">
        <v>2218</v>
      </c>
      <c r="B329" t="str">
        <f t="shared" si="57"/>
        <v>ALRS IV кв. 2018</v>
      </c>
      <c r="C329">
        <v>2018</v>
      </c>
      <c r="D329">
        <f>SUMIFS(Дивиденды!$C:$C,Дивиденды!$A:$A,A329,Дивиденды!$I:$I,C329)</f>
        <v>10.039999999999999</v>
      </c>
      <c r="E329">
        <v>3</v>
      </c>
      <c r="F329">
        <f t="shared" si="58"/>
        <v>10.039999999999999</v>
      </c>
      <c r="G329">
        <f t="shared" si="59"/>
        <v>21.690999999999995</v>
      </c>
      <c r="H329">
        <f t="shared" si="60"/>
        <v>1</v>
      </c>
      <c r="I329">
        <f t="shared" si="56"/>
        <v>0.4</v>
      </c>
      <c r="J329">
        <f t="shared" si="61"/>
        <v>0.91603053435114479</v>
      </c>
      <c r="K329">
        <f t="shared" si="65"/>
        <v>2.9253814800940824E-2</v>
      </c>
      <c r="L329">
        <f t="shared" si="62"/>
        <v>1</v>
      </c>
      <c r="M329">
        <f t="shared" si="55"/>
        <v>0.4</v>
      </c>
      <c r="N329">
        <f t="shared" si="63"/>
        <v>0</v>
      </c>
      <c r="O329">
        <f t="shared" si="64"/>
        <v>0.2</v>
      </c>
      <c r="P329">
        <f>IFERROR(LN('Дивиденды по годам'!I329),"")</f>
        <v>26.742326095645193</v>
      </c>
      <c r="Q329">
        <f>IFERROR('Дивиденды по годам'!G329/'Дивиденды по годам'!I329, "")</f>
        <v>0.57120031518122916</v>
      </c>
      <c r="R329">
        <f>IFERROR(IF(AND('Дивиденды по годам'!N329&lt;&gt;"",'Дивиденды по годам'!U329&lt;&gt;"",'Дивиденды по годам'!U329&lt;&gt;0),'Дивиденды по годам'!N329/'Дивиденды по годам'!U329-1,""),"")</f>
        <v>8.9593854048482413E-2</v>
      </c>
      <c r="S329">
        <f>IFERROR(IF(AND('Дивиденды по годам'!L329&lt;&gt;"",'Дивиденды по годам'!I329&lt;&gt;"",'Дивиденды по годам'!J329&lt;&gt;"",'Дивиденды по годам'!K329&lt;&gt;"",('Дивиденды по годам'!I329-'Дивиденды по годам'!J329-'Дивиденды по годам'!K329)&lt;&gt;0),'Дивиденды по годам'!L329/('Дивиденды по годам'!I329-'Дивиденды по годам'!J329-'Дивиденды по годам'!K329),""),"")</f>
        <v>0.90871122923373338</v>
      </c>
      <c r="T329">
        <f>IFERROR(IF(AND('Дивиденды по годам'!Q329&lt;&gt;"",'Дивиденды по годам'!I329&lt;&gt;"",'Дивиденды по годам'!V329&lt;&gt;"",('Дивиденды по годам'!I329+'Дивиденды по годам'!V329)&lt;&gt;0),'Дивиденды по годам'!Q329/(('Дивиденды по годам'!I329+'Дивиденды по годам'!V329)/2),""),"")</f>
        <v>0.2155111070320499</v>
      </c>
      <c r="U329">
        <f>IFERROR(IF(AND('Дивиденды по годам'!J329&lt;&gt;"",'Дивиденды по годам'!K329&lt;&gt;"",'Дивиденды по годам'!M329&lt;&gt;"",'Дивиденды по годам'!M329&lt;&gt;0),('Дивиденды по годам'!J329+'Дивиденды по годам'!K329)/'Дивиденды по годам'!M329,""),"")</f>
        <v>0.66086510459372239</v>
      </c>
      <c r="V329" cm="1">
        <f t="array" ref="V329">IFERROR(AVERAGE(_xlfn._xlws.FILTER(P$2:P$1073,($C$2:$C$1073=$C329)*($E$2:$E$1073=$E329)*(ROW(P$2:P$1073)&lt;&gt;ROW(P329))*(P$2:P$1073&lt;&gt;""))),"")</f>
        <v>26.553366444012891</v>
      </c>
      <c r="W329" cm="1">
        <f t="array" ref="W329">IFERROR(AVERAGE(_xlfn._xlws.FILTER(Q$2:Q$1073,($C$2:$C$1073=$C329)*($E$2:$E$1073=$E329)*(ROW(Q$2:Q$1073)&lt;&gt;ROW(Q329))*(Q$2:Q$1073&lt;&gt;""))),"")</f>
        <v>0.51285129716833455</v>
      </c>
      <c r="X329" cm="1">
        <f t="array" ref="X329">IFERROR(AVERAGE(_xlfn._xlws.FILTER(R$2:R$1073,($C$2:$C$1073=$C329)*($E$2:$E$1073=$E329)*(ROW(R$2:R$1073)&lt;&gt;ROW(R329))*(R$2:R$1073&lt;&gt;""))),"")</f>
        <v>0.23033658192929612</v>
      </c>
      <c r="Y329" cm="1">
        <f t="array" ref="Y329">IFERROR(AVERAGE(_xlfn._xlws.FILTER(S$2:S$1073,($C$2:$C$1073=$C329)*($E$2:$E$1073=$E329)*(ROW(S$2:S$1073)&lt;&gt;ROW(S329))*(S$2:S$1073&lt;&gt;""))),"")</f>
        <v>0.92493593371088689</v>
      </c>
      <c r="Z329" cm="1">
        <f t="array" ref="Z329">IFERROR(AVERAGE(_xlfn._xlws.FILTER(T$2:T$1073,($C$2:$C$1073=$C329)*($E$2:$E$1073=$E329)*(ROW(T$2:T$1073)&lt;&gt;ROW(T329))*(T$2:T$1073&lt;&gt;""))),"")</f>
        <v>0.14921172899260929</v>
      </c>
      <c r="AA329" cm="1">
        <f t="array" ref="AA329">IFERROR(AVERAGE(_xlfn._xlws.FILTER(U$2:U$1073,($C$2:$C$1073=$C329)*($E$2:$E$1073=$E329)*(ROW(U$2:U$1073)&lt;&gt;ROW(U329))*(U$2:U$1073&lt;&gt;""))),"")</f>
        <v>2.5059889998724847</v>
      </c>
    </row>
    <row r="330" spans="1:27" x14ac:dyDescent="0.2">
      <c r="A330" s="7" t="s">
        <v>2218</v>
      </c>
      <c r="B330" t="str">
        <f t="shared" si="57"/>
        <v>ALRS IV кв. 2017</v>
      </c>
      <c r="C330">
        <v>2017</v>
      </c>
      <c r="D330">
        <f>SUMIFS(Дивиденды!$C:$C,Дивиденды!$A:$A,A330,Дивиденды!$I:$I,C330)</f>
        <v>5.24</v>
      </c>
      <c r="E330">
        <v>3</v>
      </c>
      <c r="F330">
        <f t="shared" si="58"/>
        <v>5.24</v>
      </c>
      <c r="G330">
        <f t="shared" si="59"/>
        <v>15.54487631482508</v>
      </c>
      <c r="H330">
        <f t="shared" si="60"/>
        <v>1</v>
      </c>
      <c r="I330">
        <f t="shared" si="56"/>
        <v>0.6</v>
      </c>
      <c r="J330">
        <f t="shared" si="61"/>
        <v>-0.41321388577827545</v>
      </c>
      <c r="K330">
        <f t="shared" si="65"/>
        <v>0.15841441362043282</v>
      </c>
      <c r="L330">
        <f t="shared" si="62"/>
        <v>0</v>
      </c>
      <c r="M330">
        <f t="shared" si="55"/>
        <v>0.5</v>
      </c>
      <c r="N330">
        <f t="shared" si="63"/>
        <v>1</v>
      </c>
      <c r="O330">
        <f t="shared" si="64"/>
        <v>0.1</v>
      </c>
      <c r="P330">
        <f>IFERROR(LN('Дивиденды по годам'!I330),"")</f>
        <v>26.781877219331186</v>
      </c>
      <c r="Q330">
        <f>IFERROR('Дивиденды по годам'!G330/'Дивиденды по годам'!I330, "")</f>
        <v>0.55306102889095121</v>
      </c>
      <c r="R330">
        <f>IFERROR(IF(AND('Дивиденды по годам'!N330&lt;&gt;"",'Дивиденды по годам'!U330&lt;&gt;"",'Дивиденды по годам'!U330&lt;&gt;0),'Дивиденды по годам'!N330/'Дивиденды по годам'!U330-1,""),"")</f>
        <v>-0.14943391466145262</v>
      </c>
      <c r="S330">
        <f>IFERROR(IF(AND('Дивиденды по годам'!L330&lt;&gt;"",'Дивиденды по годам'!I330&lt;&gt;"",'Дивиденды по годам'!J330&lt;&gt;"",'Дивиденды по годам'!K330&lt;&gt;"",('Дивиденды по годам'!I330-'Дивиденды по годам'!J330-'Дивиденды по годам'!K330)&lt;&gt;0),'Дивиденды по годам'!L330/('Дивиденды по годам'!I330-'Дивиденды по годам'!J330-'Дивиденды по годам'!K330),""),"")</f>
        <v>0.91532044715126815</v>
      </c>
      <c r="T330">
        <f>IFERROR(IF(AND('Дивиденды по годам'!Q330&lt;&gt;"",'Дивиденды по годам'!I330&lt;&gt;"",'Дивиденды по годам'!V330&lt;&gt;"",('Дивиденды по годам'!I330+'Дивиденды по годам'!V330)&lt;&gt;0),'Дивиденды по годам'!Q330/(('Дивиденды по годам'!I330+'Дивиденды по годам'!V330)/2),""),"")</f>
        <v>0.17460618881837212</v>
      </c>
      <c r="U330">
        <f>IFERROR(IF(AND('Дивиденды по годам'!J330&lt;&gt;"",'Дивиденды по годам'!K330&lt;&gt;"",'Дивиденды по годам'!M330&lt;&gt;"",'Дивиденды по годам'!M330&lt;&gt;0),('Дивиденды по годам'!J330+'Дивиденды по годам'!K330)/'Дивиденды по годам'!M330,""),"")</f>
        <v>0.60526029412316551</v>
      </c>
      <c r="V330" cm="1">
        <f t="array" ref="V330">IFERROR(AVERAGE(_xlfn._xlws.FILTER(P$2:P$1073,($C$2:$C$1073=$C330)*($E$2:$E$1073=$E330)*(ROW(P$2:P$1073)&lt;&gt;ROW(P330))*(P$2:P$1073&lt;&gt;""))),"")</f>
        <v>26.520156630826762</v>
      </c>
      <c r="W330" cm="1">
        <f t="array" ref="W330">IFERROR(AVERAGE(_xlfn._xlws.FILTER(Q$2:Q$1073,($C$2:$C$1073=$C330)*($E$2:$E$1073=$E330)*(ROW(Q$2:Q$1073)&lt;&gt;ROW(Q330))*(Q$2:Q$1073&lt;&gt;""))),"")</f>
        <v>0.53417089090535863</v>
      </c>
      <c r="X330" cm="1">
        <f t="array" ref="X330">IFERROR(AVERAGE(_xlfn._xlws.FILTER(R$2:R$1073,($C$2:$C$1073=$C330)*($E$2:$E$1073=$E330)*(ROW(R$2:R$1073)&lt;&gt;ROW(R330))*(R$2:R$1073&lt;&gt;""))),"")</f>
        <v>0.12521407386343203</v>
      </c>
      <c r="Y330" cm="1">
        <f t="array" ref="Y330">IFERROR(AVERAGE(_xlfn._xlws.FILTER(S$2:S$1073,($C$2:$C$1073=$C330)*($E$2:$E$1073=$E330)*(ROW(S$2:S$1073)&lt;&gt;ROW(S330))*(S$2:S$1073&lt;&gt;""))),"")</f>
        <v>1.0720925639597483</v>
      </c>
      <c r="Z330" cm="1">
        <f t="array" ref="Z330">IFERROR(AVERAGE(_xlfn._xlws.FILTER(T$2:T$1073,($C$2:$C$1073=$C330)*($E$2:$E$1073=$E330)*(ROW(T$2:T$1073)&lt;&gt;ROW(T330))*(T$2:T$1073&lt;&gt;""))),"")</f>
        <v>0.11626206433328408</v>
      </c>
      <c r="AA330" cm="1">
        <f t="array" ref="AA330">IFERROR(AVERAGE(_xlfn._xlws.FILTER(U$2:U$1073,($C$2:$C$1073=$C330)*($E$2:$E$1073=$E330)*(ROW(U$2:U$1073)&lt;&gt;ROW(U330))*(U$2:U$1073&lt;&gt;""))),"")</f>
        <v>2.1155340537928859</v>
      </c>
    </row>
    <row r="331" spans="1:27" x14ac:dyDescent="0.2">
      <c r="A331" s="7" t="s">
        <v>2218</v>
      </c>
      <c r="B331" t="str">
        <f t="shared" si="57"/>
        <v>ALRS IV кв. 2016</v>
      </c>
      <c r="C331">
        <v>2016</v>
      </c>
      <c r="D331">
        <f>SUMIFS(Дивиденды!$C:$C,Дивиденды!$A:$A,A331,Дивиденды!$I:$I,C331)</f>
        <v>8.93</v>
      </c>
      <c r="E331">
        <v>3</v>
      </c>
      <c r="F331">
        <f t="shared" si="58"/>
        <v>8.93</v>
      </c>
      <c r="G331">
        <f t="shared" si="59"/>
        <v>11.202639712606382</v>
      </c>
      <c r="H331">
        <f t="shared" si="60"/>
        <v>1</v>
      </c>
      <c r="I331">
        <f t="shared" si="56"/>
        <v>0.6</v>
      </c>
      <c r="J331">
        <f t="shared" si="61"/>
        <v>3.2727272727272729</v>
      </c>
      <c r="K331">
        <f t="shared" si="65"/>
        <v>0.36040842876710394</v>
      </c>
      <c r="L331">
        <f t="shared" si="62"/>
        <v>1</v>
      </c>
      <c r="M331">
        <f t="shared" si="55"/>
        <v>0.6</v>
      </c>
      <c r="N331">
        <f t="shared" si="63"/>
        <v>0</v>
      </c>
      <c r="O331">
        <f t="shared" si="64"/>
        <v>0</v>
      </c>
      <c r="P331">
        <f>IFERROR(LN('Дивиденды по годам'!I331),"")</f>
        <v>26.881756391400319</v>
      </c>
      <c r="Q331">
        <f>IFERROR('Дивиденды по годам'!G331/'Дивиденды по годам'!I331, "")</f>
        <v>0.61109677310170629</v>
      </c>
      <c r="R331">
        <f>IFERROR(IF(AND('Дивиденды по годам'!N331&lt;&gt;"",'Дивиденды по годам'!U331&lt;&gt;"",'Дивиденды по годам'!U331&lt;&gt;0),'Дивиденды по годам'!N331/'Дивиденды по годам'!U331-1,""),"")</f>
        <v>0.4122766385776131</v>
      </c>
      <c r="S331">
        <f>IFERROR(IF(AND('Дивиденды по годам'!L331&lt;&gt;"",'Дивиденды по годам'!I331&lt;&gt;"",'Дивиденды по годам'!J331&lt;&gt;"",'Дивиденды по годам'!K331&lt;&gt;"",('Дивиденды по годам'!I331-'Дивиденды по годам'!J331-'Дивиденды по годам'!K331)&lt;&gt;0),'Дивиденды по годам'!L331/('Дивиденды по годам'!I331-'Дивиденды по годам'!J331-'Дивиденды по годам'!K331),""),"")</f>
        <v>0.91177180215589371</v>
      </c>
      <c r="T331">
        <f>IFERROR(IF(AND('Дивиденды по годам'!Q331&lt;&gt;"",'Дивиденды по годам'!I331&lt;&gt;"",'Дивиденды по годам'!V331&lt;&gt;"",('Дивиденды по годам'!I331+'Дивиденды по годам'!V331)&lt;&gt;0),'Дивиденды по годам'!Q331/(('Дивиденды по годам'!I331+'Дивиденды по годам'!V331)/2),""),"")</f>
        <v>0.29406055879239329</v>
      </c>
      <c r="U331">
        <f>IFERROR(IF(AND('Дивиденды по годам'!J331&lt;&gt;"",'Дивиденды по годам'!K331&lt;&gt;"",'Дивиденды по годам'!M331&lt;&gt;"",'Дивиденды по годам'!M331&lt;&gt;0),('Дивиденды по годам'!J331+'Дивиденды по годам'!K331)/'Дивиденды по годам'!M331,""),"")</f>
        <v>0.83956882126318244</v>
      </c>
      <c r="V331" cm="1">
        <f t="array" ref="V331">IFERROR(AVERAGE(_xlfn._xlws.FILTER(P$2:P$1073,($C$2:$C$1073=$C331)*($E$2:$E$1073=$E331)*(ROW(P$2:P$1073)&lt;&gt;ROW(P331))*(P$2:P$1073&lt;&gt;""))),"")</f>
        <v>26.510863214490872</v>
      </c>
      <c r="W331" cm="1">
        <f t="array" ref="W331">IFERROR(AVERAGE(_xlfn._xlws.FILTER(Q$2:Q$1073,($C$2:$C$1073=$C331)*($E$2:$E$1073=$E331)*(ROW(Q$2:Q$1073)&lt;&gt;ROW(Q331))*(Q$2:Q$1073&lt;&gt;""))),"")</f>
        <v>0.49948442654261871</v>
      </c>
      <c r="X331" cm="1">
        <f t="array" ref="X331">IFERROR(AVERAGE(_xlfn._xlws.FILTER(R$2:R$1073,($C$2:$C$1073=$C331)*($E$2:$E$1073=$E331)*(ROW(R$2:R$1073)&lt;&gt;ROW(R331))*(R$2:R$1073&lt;&gt;""))),"")</f>
        <v>0.10694213313532533</v>
      </c>
      <c r="Y331" cm="1">
        <f t="array" ref="Y331">IFERROR(AVERAGE(_xlfn._xlws.FILTER(S$2:S$1073,($C$2:$C$1073=$C331)*($E$2:$E$1073=$E331)*(ROW(S$2:S$1073)&lt;&gt;ROW(S331))*(S$2:S$1073&lt;&gt;""))),"")</f>
        <v>0.23539527867540019</v>
      </c>
      <c r="Z331" cm="1">
        <f t="array" ref="Z331">IFERROR(AVERAGE(_xlfn._xlws.FILTER(T$2:T$1073,($C$2:$C$1073=$C331)*($E$2:$E$1073=$E331)*(ROW(T$2:T$1073)&lt;&gt;ROW(T331))*(T$2:T$1073&lt;&gt;""))),"")</f>
        <v>0.14865326179042423</v>
      </c>
      <c r="AA331" cm="1">
        <f t="array" ref="AA331">IFERROR(AVERAGE(_xlfn._xlws.FILTER(U$2:U$1073,($C$2:$C$1073=$C331)*($E$2:$E$1073=$E331)*(ROW(U$2:U$1073)&lt;&gt;ROW(U331))*(U$2:U$1073&lt;&gt;""))),"")</f>
        <v>8.8340155549419291E-2</v>
      </c>
    </row>
    <row r="332" spans="1:27" x14ac:dyDescent="0.2">
      <c r="A332" s="7" t="s">
        <v>2218</v>
      </c>
      <c r="B332" t="str">
        <f t="shared" si="57"/>
        <v>ALRS IV кв. 2015</v>
      </c>
      <c r="C332">
        <v>2015</v>
      </c>
      <c r="D332">
        <f>SUMIFS(Дивиденды!$C:$C,Дивиденды!$A:$A,A332,Дивиденды!$I:$I,C332)</f>
        <v>2.09</v>
      </c>
      <c r="E332">
        <v>3</v>
      </c>
      <c r="F332">
        <f t="shared" si="58"/>
        <v>2.09</v>
      </c>
      <c r="G332">
        <f t="shared" si="59"/>
        <v>7.0150627742857141</v>
      </c>
      <c r="H332">
        <f t="shared" si="60"/>
        <v>1</v>
      </c>
      <c r="I332">
        <f t="shared" si="56"/>
        <v>0.5</v>
      </c>
      <c r="J332">
        <f t="shared" si="61"/>
        <v>0.42176870748299311</v>
      </c>
      <c r="K332">
        <f t="shared" si="65"/>
        <v>0.83871029984225376</v>
      </c>
      <c r="L332">
        <f t="shared" si="62"/>
        <v>1</v>
      </c>
      <c r="M332">
        <f t="shared" si="55"/>
        <v>0.4</v>
      </c>
      <c r="N332">
        <f t="shared" si="63"/>
        <v>0</v>
      </c>
      <c r="O332">
        <f t="shared" si="64"/>
        <v>0.1</v>
      </c>
      <c r="P332">
        <f>IFERROR(LN('Дивиденды по годам'!I332),"")</f>
        <v>26.798761282159607</v>
      </c>
      <c r="Q332">
        <f>IFERROR('Дивиденды по годам'!G332/'Дивиденды по годам'!I332, "")</f>
        <v>0.65269097721030189</v>
      </c>
      <c r="R332">
        <f>IFERROR(IF(AND('Дивиденды по годам'!N332&lt;&gt;"",'Дивиденды по годам'!U332&lt;&gt;"",'Дивиденды по годам'!U332&lt;&gt;0),'Дивиденды по годам'!N332/'Дивиденды по годам'!U332-1,""),"")</f>
        <v>8.3824501952606489E-2</v>
      </c>
      <c r="S332">
        <f>IFERROR(IF(AND('Дивиденды по годам'!L332&lt;&gt;"",'Дивиденды по годам'!I332&lt;&gt;"",'Дивиденды по годам'!J332&lt;&gt;"",'Дивиденды по годам'!K332&lt;&gt;"",('Дивиденды по годам'!I332-'Дивиденды по годам'!J332-'Дивиденды по годам'!K332)&lt;&gt;0),'Дивиденды по годам'!L332/('Дивиденды по годам'!I332-'Дивиденды по годам'!J332-'Дивиденды по годам'!K332),""),"")</f>
        <v>0.8505990692147738</v>
      </c>
      <c r="T332">
        <f>IFERROR(IF(AND('Дивиденды по годам'!Q332&lt;&gt;"",'Дивиденды по годам'!I332&lt;&gt;"",'Дивиденды по годам'!V332&lt;&gt;"",('Дивиденды по годам'!I332+'Дивиденды по годам'!V332)&lt;&gt;0),'Дивиденды по годам'!Q332/(('Дивиденды по годам'!I332+'Дивиденды по годам'!V332)/2),""),"")</f>
        <v>7.8201026582810446E-2</v>
      </c>
      <c r="U332">
        <f>IFERROR(IF(AND('Дивиденды по годам'!J332&lt;&gt;"",'Дивиденды по годам'!K332&lt;&gt;"",'Дивиденды по годам'!M332&lt;&gt;"",'Дивиденды по годам'!M332&lt;&gt;0),('Дивиденды по годам'!J332+'Дивиденды по годам'!K332)/'Дивиденды по годам'!M332,""),"")</f>
        <v>1.8720005281050929</v>
      </c>
      <c r="V332" cm="1">
        <f t="array" ref="V332">IFERROR(AVERAGE(_xlfn._xlws.FILTER(P$2:P$1073,($C$2:$C$1073=$C332)*($E$2:$E$1073=$E332)*(ROW(P$2:P$1073)&lt;&gt;ROW(P332))*(P$2:P$1073&lt;&gt;""))),"")</f>
        <v>26.313886381411699</v>
      </c>
      <c r="W332" cm="1">
        <f t="array" ref="W332">IFERROR(AVERAGE(_xlfn._xlws.FILTER(Q$2:Q$1073,($C$2:$C$1073=$C332)*($E$2:$E$1073=$E332)*(ROW(Q$2:Q$1073)&lt;&gt;ROW(Q332))*(Q$2:Q$1073&lt;&gt;""))),"")</f>
        <v>0.4831987468902198</v>
      </c>
      <c r="X332" cm="1">
        <f t="array" ref="X332">IFERROR(AVERAGE(_xlfn._xlws.FILTER(R$2:R$1073,($C$2:$C$1073=$C332)*($E$2:$E$1073=$E332)*(ROW(R$2:R$1073)&lt;&gt;ROW(R332))*(R$2:R$1073&lt;&gt;""))),"")</f>
        <v>0.27192260954896202</v>
      </c>
      <c r="Y332" cm="1">
        <f t="array" ref="Y332">IFERROR(AVERAGE(_xlfn._xlws.FILTER(S$2:S$1073,($C$2:$C$1073=$C332)*($E$2:$E$1073=$E332)*(ROW(S$2:S$1073)&lt;&gt;ROW(S332))*(S$2:S$1073&lt;&gt;""))),"")</f>
        <v>0.98019359153171182</v>
      </c>
      <c r="Z332" cm="1">
        <f t="array" ref="Z332">IFERROR(AVERAGE(_xlfn._xlws.FILTER(T$2:T$1073,($C$2:$C$1073=$C332)*($E$2:$E$1073=$E332)*(ROW(T$2:T$1073)&lt;&gt;ROW(T332))*(T$2:T$1073&lt;&gt;""))),"")</f>
        <v>1.7165894388160199E-2</v>
      </c>
      <c r="AA332" cm="1">
        <f t="array" ref="AA332">IFERROR(AVERAGE(_xlfn._xlws.FILTER(U$2:U$1073,($C$2:$C$1073=$C332)*($E$2:$E$1073=$E332)*(ROW(U$2:U$1073)&lt;&gt;ROW(U332))*(U$2:U$1073&lt;&gt;""))),"")</f>
        <v>3.1088588020029024</v>
      </c>
    </row>
    <row r="333" spans="1:27" x14ac:dyDescent="0.2">
      <c r="A333" s="7" t="s">
        <v>2218</v>
      </c>
      <c r="B333" t="str">
        <f t="shared" si="57"/>
        <v>ALRS IV кв. 2014</v>
      </c>
      <c r="C333">
        <v>2014</v>
      </c>
      <c r="D333">
        <f>SUMIFS(Дивиденды!$C:$C,Дивиденды!$A:$A,A333,Дивиденды!$I:$I,C333)</f>
        <v>1.47</v>
      </c>
      <c r="E333">
        <v>3</v>
      </c>
      <c r="F333">
        <f t="shared" si="58"/>
        <v>1.47</v>
      </c>
      <c r="G333">
        <f t="shared" si="59"/>
        <v>7.7090000000000005</v>
      </c>
      <c r="H333">
        <f t="shared" si="60"/>
        <v>1</v>
      </c>
      <c r="I333">
        <f t="shared" si="56"/>
        <v>0.4</v>
      </c>
      <c r="J333">
        <f t="shared" si="61"/>
        <v>0</v>
      </c>
      <c r="K333">
        <f t="shared" si="65"/>
        <v>1.0733185192796773</v>
      </c>
      <c r="L333">
        <f t="shared" si="62"/>
        <v>0</v>
      </c>
      <c r="M333">
        <f t="shared" si="55"/>
        <v>0.3</v>
      </c>
      <c r="N333">
        <f t="shared" si="63"/>
        <v>0</v>
      </c>
      <c r="O333">
        <f t="shared" si="64"/>
        <v>0.1</v>
      </c>
      <c r="P333">
        <f>IFERROR(LN('Дивиденды по годам'!I333),"")</f>
        <v>26.684912723311879</v>
      </c>
      <c r="Q333">
        <f>IFERROR('Дивиденды по годам'!G333/'Дивиденды по годам'!I333, "")</f>
        <v>0.69959742330308639</v>
      </c>
      <c r="R333">
        <f>IFERROR(IF(AND('Дивиденды по годам'!N333&lt;&gt;"",'Дивиденды по годам'!U333&lt;&gt;"",'Дивиденды по годам'!U333&lt;&gt;0),'Дивиденды по годам'!N333/'Дивиденды по годам'!U333-1,""),"")</f>
        <v>0.22939378653452414</v>
      </c>
      <c r="S333">
        <f>IFERROR(IF(AND('Дивиденды по годам'!L333&lt;&gt;"",'Дивиденды по годам'!I333&lt;&gt;"",'Дивиденды по годам'!J333&lt;&gt;"",'Дивиденды по годам'!K333&lt;&gt;"",('Дивиденды по годам'!I333-'Дивиденды по годам'!J333-'Дивиденды по годам'!K333)&lt;&gt;0),'Дивиденды по годам'!L333/('Дивиденды по годам'!I333-'Дивиденды по годам'!J333-'Дивиденды по годам'!K333),""),"")</f>
        <v>0.83213291148468371</v>
      </c>
      <c r="T333">
        <f>IFERROR(IF(AND('Дивиденды по годам'!Q333&lt;&gt;"",'Дивиденды по годам'!I333&lt;&gt;"",'Дивиденды по годам'!V333&lt;&gt;"",('Дивиденды по годам'!I333+'Дивиденды по годам'!V333)&lt;&gt;0),'Дивиденды по годам'!Q333/(('Дивиденды по годам'!I333+'Дивиденды по годам'!V333)/2),""),"")</f>
        <v>-4.5300893529981699E-2</v>
      </c>
      <c r="U333">
        <f>IFERROR(IF(AND('Дивиденды по годам'!J333&lt;&gt;"",'Дивиденды по годам'!K333&lt;&gt;"",'Дивиденды по годам'!M333&lt;&gt;"",'Дивиденды по годам'!M333&lt;&gt;0),('Дивиденды по годам'!J333+'Дивиденды по годам'!K333)/'Дивиденды по годам'!M333,""),"")</f>
        <v>1.8303395687229358</v>
      </c>
      <c r="V333" cm="1">
        <f t="array" ref="V333">IFERROR(AVERAGE(_xlfn._xlws.FILTER(P$2:P$1073,($C$2:$C$1073=$C333)*($E$2:$E$1073=$E333)*(ROW(P$2:P$1073)&lt;&gt;ROW(P333))*(P$2:P$1073&lt;&gt;""))),"")</f>
        <v>26.255252077105766</v>
      </c>
      <c r="W333" cm="1">
        <f t="array" ref="W333">IFERROR(AVERAGE(_xlfn._xlws.FILTER(Q$2:Q$1073,($C$2:$C$1073=$C333)*($E$2:$E$1073=$E333)*(ROW(Q$2:Q$1073)&lt;&gt;ROW(Q333))*(Q$2:Q$1073&lt;&gt;""))),"")</f>
        <v>0.4955707338618614</v>
      </c>
      <c r="X333" cm="1">
        <f t="array" ref="X333">IFERROR(AVERAGE(_xlfn._xlws.FILTER(R$2:R$1073,($C$2:$C$1073=$C333)*($E$2:$E$1073=$E333)*(ROW(R$2:R$1073)&lt;&gt;ROW(R333))*(R$2:R$1073&lt;&gt;""))),"")</f>
        <v>5.8506627302245082E-2</v>
      </c>
      <c r="Y333" cm="1">
        <f t="array" ref="Y333">IFERROR(AVERAGE(_xlfn._xlws.FILTER(S$2:S$1073,($C$2:$C$1073=$C333)*($E$2:$E$1073=$E333)*(ROW(S$2:S$1073)&lt;&gt;ROW(S333))*(S$2:S$1073&lt;&gt;""))),"")</f>
        <v>0.79035076835269724</v>
      </c>
      <c r="Z333" cm="1">
        <f t="array" ref="Z333">IFERROR(AVERAGE(_xlfn._xlws.FILTER(T$2:T$1073,($C$2:$C$1073=$C333)*($E$2:$E$1073=$E333)*(ROW(T$2:T$1073)&lt;&gt;ROW(T333))*(T$2:T$1073&lt;&gt;""))),"")</f>
        <v>-8.1571496382753322E-2</v>
      </c>
      <c r="AA333" cm="1">
        <f t="array" ref="AA333">IFERROR(AVERAGE(_xlfn._xlws.FILTER(U$2:U$1073,($C$2:$C$1073=$C333)*($E$2:$E$1073=$E333)*(ROW(U$2:U$1073)&lt;&gt;ROW(U333))*(U$2:U$1073&lt;&gt;""))),"")</f>
        <v>1.6041632684905143</v>
      </c>
    </row>
    <row r="334" spans="1:27" x14ac:dyDescent="0.2">
      <c r="A334" s="7" t="s">
        <v>2218</v>
      </c>
      <c r="B334" t="str">
        <f t="shared" si="57"/>
        <v>ALRS IV кв. 2013</v>
      </c>
      <c r="C334">
        <v>2013</v>
      </c>
      <c r="D334">
        <f>SUMIFS(Дивиденды!$C:$C,Дивиденды!$A:$A,A334,Дивиденды!$I:$I,C334)</f>
        <v>1.47</v>
      </c>
      <c r="E334">
        <v>3</v>
      </c>
      <c r="F334">
        <f t="shared" si="58"/>
        <v>1.47</v>
      </c>
      <c r="G334">
        <f t="shared" si="59"/>
        <v>1.0790000000000002</v>
      </c>
      <c r="H334">
        <f t="shared" si="60"/>
        <v>1</v>
      </c>
      <c r="I334">
        <f t="shared" si="56"/>
        <v>0.3</v>
      </c>
      <c r="J334">
        <f t="shared" si="61"/>
        <v>0.32432432432432418</v>
      </c>
      <c r="K334">
        <f t="shared" si="65"/>
        <v>-0.2362965428661731</v>
      </c>
      <c r="L334">
        <f t="shared" si="62"/>
        <v>1</v>
      </c>
      <c r="M334">
        <f t="shared" si="55"/>
        <v>0.1</v>
      </c>
      <c r="N334">
        <f t="shared" si="63"/>
        <v>0</v>
      </c>
      <c r="O334">
        <f t="shared" si="64"/>
        <v>0.4</v>
      </c>
      <c r="P334">
        <f>IFERROR(LN('Дивиденды по годам'!I334),"")</f>
        <v>26.595020180101525</v>
      </c>
      <c r="Q334">
        <f>IFERROR('Дивиденды по годам'!G334/'Дивиденды по годам'!I334, "")</f>
        <v>0.60663452353108593</v>
      </c>
      <c r="R334">
        <f>IFERROR(IF(AND('Дивиденды по годам'!N334&lt;&gt;"",'Дивиденды по годам'!U334&lt;&gt;"",'Дивиденды по годам'!U334&lt;&gt;0),'Дивиденды по годам'!N334/'Дивиденды по годам'!U334-1,""),"")</f>
        <v>0.11681468716861088</v>
      </c>
      <c r="S334" t="str">
        <f>IFERROR(IF(AND('Дивиденды по годам'!L334&lt;&gt;"",'Дивиденды по годам'!I334&lt;&gt;"",'Дивиденды по годам'!J334&lt;&gt;"",'Дивиденды по годам'!K334&lt;&gt;"",('Дивиденды по годам'!I334-'Дивиденды по годам'!J334-'Дивиденды по годам'!K334)&lt;&gt;0),'Дивиденды по годам'!L334/('Дивиденды по годам'!I334-'Дивиденды по годам'!J334-'Дивиденды по годам'!K334),""),"")</f>
        <v/>
      </c>
      <c r="T334">
        <f>IFERROR(IF(AND('Дивиденды по годам'!Q334&lt;&gt;"",'Дивиденды по годам'!I334&lt;&gt;"",'Дивиденды по годам'!V334&lt;&gt;"",('Дивиденды по годам'!I334+'Дивиденды по годам'!V334)&lt;&gt;0),'Дивиденды по годам'!Q334/(('Дивиденды по годам'!I334+'Дивиденды по годам'!V334)/2),""),"")</f>
        <v>9.6537190333242373E-2</v>
      </c>
      <c r="U334">
        <f>IFERROR(IF(AND('Дивиденды по годам'!J334&lt;&gt;"",'Дивиденды по годам'!K334&lt;&gt;"",'Дивиденды по годам'!M334&lt;&gt;"",'Дивиденды по годам'!M334&lt;&gt;0),('Дивиденды по годам'!J334+'Дивиденды по годам'!K334)/'Дивиденды по годам'!M334,""),"")</f>
        <v>1.2254407033694759</v>
      </c>
      <c r="V334" cm="1">
        <f t="array" ref="V334">IFERROR(AVERAGE(_xlfn._xlws.FILTER(P$2:P$1073,($C$2:$C$1073=$C334)*($E$2:$E$1073=$E334)*(ROW(P$2:P$1073)&lt;&gt;ROW(P334))*(P$2:P$1073&lt;&gt;""))),"")</f>
        <v>26.419133733411808</v>
      </c>
      <c r="W334" cm="1">
        <f t="array" ref="W334">IFERROR(AVERAGE(_xlfn._xlws.FILTER(Q$2:Q$1073,($C$2:$C$1073=$C334)*($E$2:$E$1073=$E334)*(ROW(Q$2:Q$1073)&lt;&gt;ROW(Q334))*(Q$2:Q$1073&lt;&gt;""))),"")</f>
        <v>0.57356648433428548</v>
      </c>
      <c r="X334" cm="1">
        <f t="array" ref="X334">IFERROR(AVERAGE(_xlfn._xlws.FILTER(R$2:R$1073,($C$2:$C$1073=$C334)*($E$2:$E$1073=$E334)*(ROW(R$2:R$1073)&lt;&gt;ROW(R334))*(R$2:R$1073&lt;&gt;""))),"")</f>
        <v>-6.589414657521149E-2</v>
      </c>
      <c r="Y334" cm="1">
        <f t="array" ref="Y334">IFERROR(AVERAGE(_xlfn._xlws.FILTER(S$2:S$1073,($C$2:$C$1073=$C334)*($E$2:$E$1073=$E334)*(ROW(S$2:S$1073)&lt;&gt;ROW(S334))*(S$2:S$1073&lt;&gt;""))),"")</f>
        <v>1.1343753445927802</v>
      </c>
      <c r="Z334" cm="1">
        <f t="array" ref="Z334">IFERROR(AVERAGE(_xlfn._xlws.FILTER(T$2:T$1073,($C$2:$C$1073=$C334)*($E$2:$E$1073=$E334)*(ROW(T$2:T$1073)&lt;&gt;ROW(T334))*(T$2:T$1073&lt;&gt;""))),"")</f>
        <v>-4.7068949930795648E-2</v>
      </c>
      <c r="AA334" cm="1">
        <f t="array" ref="AA334">IFERROR(AVERAGE(_xlfn._xlws.FILTER(U$2:U$1073,($C$2:$C$1073=$C334)*($E$2:$E$1073=$E334)*(ROW(U$2:U$1073)&lt;&gt;ROW(U334))*(U$2:U$1073&lt;&gt;""))),"")</f>
        <v>3.3488707918452931</v>
      </c>
    </row>
    <row r="335" spans="1:27" x14ac:dyDescent="0.2">
      <c r="A335" s="7" t="s">
        <v>2218</v>
      </c>
      <c r="B335" t="str">
        <f t="shared" si="57"/>
        <v>ALRS IV кв. 2012</v>
      </c>
      <c r="C335">
        <v>2012</v>
      </c>
      <c r="D335">
        <f>SUMIFS(Дивиденды!$C:$C,Дивиденды!$A:$A,A335,Дивиденды!$I:$I,C335)</f>
        <v>1.1100000000000001</v>
      </c>
      <c r="E335">
        <v>3</v>
      </c>
      <c r="F335">
        <f t="shared" si="58"/>
        <v>1.1100000000000001</v>
      </c>
      <c r="G335">
        <f t="shared" si="59"/>
        <v>2.02</v>
      </c>
      <c r="H335">
        <f t="shared" si="60"/>
        <v>1</v>
      </c>
      <c r="I335">
        <f t="shared" si="56"/>
        <v>0.5</v>
      </c>
      <c r="J335">
        <f t="shared" si="61"/>
        <v>9.9009900990099098E-2</v>
      </c>
      <c r="K335">
        <f t="shared" si="65"/>
        <v>-0.19390142629670673</v>
      </c>
      <c r="L335">
        <f t="shared" si="62"/>
        <v>1</v>
      </c>
      <c r="M335">
        <f t="shared" si="55"/>
        <v>0.2</v>
      </c>
      <c r="N335">
        <f t="shared" si="63"/>
        <v>0</v>
      </c>
      <c r="O335">
        <f t="shared" si="64"/>
        <v>0.6</v>
      </c>
      <c r="P335">
        <f>IFERROR(LN('Дивиденды по годам'!I335),"")</f>
        <v>26.442623059751611</v>
      </c>
      <c r="Q335">
        <f>IFERROR('Дивиденды по годам'!G335/'Дивиденды по годам'!I335, "")</f>
        <v>0.73757585105789458</v>
      </c>
      <c r="R335">
        <f>IFERROR(IF(AND('Дивиденды по годам'!N335&lt;&gt;"",'Дивиденды по годам'!U335&lt;&gt;"",'Дивиденды по годам'!U335&lt;&gt;0),'Дивиденды по годам'!N335/'Дивиденды по годам'!U335-1,""),"")</f>
        <v>9.5460749862050998E-2</v>
      </c>
      <c r="S335" t="str">
        <f>IFERROR(IF(AND('Дивиденды по годам'!L335&lt;&gt;"",'Дивиденды по годам'!I335&lt;&gt;"",'Дивиденды по годам'!J335&lt;&gt;"",'Дивиденды по годам'!K335&lt;&gt;"",('Дивиденды по годам'!I335-'Дивиденды по годам'!J335-'Дивиденды по годам'!K335)&lt;&gt;0),'Дивиденды по годам'!L335/('Дивиденды по годам'!I335-'Дивиденды по годам'!J335-'Дивиденды по годам'!K335),""),"")</f>
        <v/>
      </c>
      <c r="T335">
        <f>IFERROR(IF(AND('Дивиденды по годам'!Q335&lt;&gt;"",'Дивиденды по годам'!I335&lt;&gt;"",'Дивиденды по годам'!V335&lt;&gt;"",('Дивиденды по годам'!I335+'Дивиденды по годам'!V335)&lt;&gt;0),'Дивиденды по годам'!Q335/(('Дивиденды по годам'!I335+'Дивиденды по годам'!V335)/2),""),"")</f>
        <v>0.12327529491105479</v>
      </c>
      <c r="U335">
        <f>IFERROR(IF(AND('Дивиденды по годам'!J335&lt;&gt;"",'Дивиденды по годам'!K335&lt;&gt;"",'Дивиденды по годам'!M335&lt;&gt;"",'Дивиденды по годам'!M335&lt;&gt;0),('Дивиденды по годам'!J335+'Дивиденды по годам'!K335)/'Дивиденды по годам'!M335,""),"")</f>
        <v>1.2104549180625177</v>
      </c>
      <c r="V335" cm="1">
        <f t="array" ref="V335">IFERROR(AVERAGE(_xlfn._xlws.FILTER(P$2:P$1073,($C$2:$C$1073=$C335)*($E$2:$E$1073=$E335)*(ROW(P$2:P$1073)&lt;&gt;ROW(P335))*(P$2:P$1073&lt;&gt;""))),"")</f>
        <v>26.743793042489862</v>
      </c>
      <c r="W335" cm="1">
        <f t="array" ref="W335">IFERROR(AVERAGE(_xlfn._xlws.FILTER(Q$2:Q$1073,($C$2:$C$1073=$C335)*($E$2:$E$1073=$E335)*(ROW(Q$2:Q$1073)&lt;&gt;ROW(Q335))*(Q$2:Q$1073&lt;&gt;""))),"")</f>
        <v>0.47290020418580936</v>
      </c>
      <c r="X335" cm="1">
        <f t="array" ref="X335">IFERROR(AVERAGE(_xlfn._xlws.FILTER(R$2:R$1073,($C$2:$C$1073=$C335)*($E$2:$E$1073=$E335)*(ROW(R$2:R$1073)&lt;&gt;ROW(R335))*(R$2:R$1073&lt;&gt;""))),"")</f>
        <v>-1.5592561508558875E-2</v>
      </c>
      <c r="Y335" t="str" cm="1">
        <f t="array" ref="Y335">IFERROR(AVERAGE(_xlfn._xlws.FILTER(S$2:S$1073,($C$2:$C$1073=$C335)*($E$2:$E$1073=$E335)*(ROW(S$2:S$1073)&lt;&gt;ROW(S335))*(S$2:S$1073&lt;&gt;""))),"")</f>
        <v/>
      </c>
      <c r="Z335" cm="1">
        <f t="array" ref="Z335">IFERROR(AVERAGE(_xlfn._xlws.FILTER(T$2:T$1073,($C$2:$C$1073=$C335)*($E$2:$E$1073=$E335)*(ROW(T$2:T$1073)&lt;&gt;ROW(T335))*(T$2:T$1073&lt;&gt;""))),"")</f>
        <v>3.9272515182356409E-2</v>
      </c>
      <c r="AA335" cm="1">
        <f t="array" ref="AA335">IFERROR(AVERAGE(_xlfn._xlws.FILTER(U$2:U$1073,($C$2:$C$1073=$C335)*($E$2:$E$1073=$E335)*(ROW(U$2:U$1073)&lt;&gt;ROW(U335))*(U$2:U$1073&lt;&gt;""))),"")</f>
        <v>1.3908846449471128</v>
      </c>
    </row>
    <row r="336" spans="1:27" x14ac:dyDescent="0.2">
      <c r="A336" s="7" t="s">
        <v>2218</v>
      </c>
      <c r="B336" t="str">
        <f t="shared" si="57"/>
        <v>ALRS IV кв. 2011</v>
      </c>
      <c r="C336">
        <v>2011</v>
      </c>
      <c r="D336">
        <f>SUMIFS(Дивиденды!$C:$C,Дивиденды!$A:$A,A336,Дивиденды!$I:$I,C336)</f>
        <v>1.01</v>
      </c>
      <c r="E336">
        <v>3</v>
      </c>
      <c r="F336">
        <f t="shared" si="58"/>
        <v>1.01</v>
      </c>
      <c r="G336">
        <f t="shared" si="59"/>
        <v>3.6650000000000005</v>
      </c>
      <c r="H336">
        <f t="shared" si="60"/>
        <v>1</v>
      </c>
      <c r="I336">
        <f t="shared" si="56"/>
        <v>0.7</v>
      </c>
      <c r="J336">
        <f t="shared" si="61"/>
        <v>3.04</v>
      </c>
      <c r="K336">
        <f t="shared" si="65"/>
        <v>0.47730568048052613</v>
      </c>
      <c r="L336">
        <f t="shared" si="62"/>
        <v>1</v>
      </c>
      <c r="M336">
        <f t="shared" si="55"/>
        <v>0.5</v>
      </c>
      <c r="N336">
        <f t="shared" si="63"/>
        <v>0</v>
      </c>
      <c r="O336">
        <f t="shared" si="64"/>
        <v>0.3</v>
      </c>
      <c r="P336">
        <f>IFERROR(LN('Дивиденды по годам'!I336),"")</f>
        <v>26.20791338168576</v>
      </c>
      <c r="Q336">
        <f>IFERROR('Дивиденды по годам'!G336/'Дивиденды по годам'!I336, "")</f>
        <v>0.70356567786059332</v>
      </c>
      <c r="R336">
        <f>IFERROR(IF(AND('Дивиденды по годам'!N336&lt;&gt;"",'Дивиденды по годам'!U336&lt;&gt;"",'Дивиденды по годам'!U336&lt;&gt;0),'Дивиденды по годам'!N336/'Дивиденды по годам'!U336-1,""),"")</f>
        <v>0.21463216748681591</v>
      </c>
      <c r="S336" t="str">
        <f>IFERROR(IF(AND('Дивиденды по годам'!L336&lt;&gt;"",'Дивиденды по годам'!I336&lt;&gt;"",'Дивиденды по годам'!J336&lt;&gt;"",'Дивиденды по годам'!K336&lt;&gt;"",('Дивиденды по годам'!I336-'Дивиденды по годам'!J336-'Дивиденды по годам'!K336)&lt;&gt;0),'Дивиденды по годам'!L336/('Дивиденды по годам'!I336-'Дивиденды по годам'!J336-'Дивиденды по годам'!K336),""),"")</f>
        <v/>
      </c>
      <c r="T336">
        <f>IFERROR(IF(AND('Дивиденды по годам'!Q336&lt;&gt;"",'Дивиденды по годам'!I336&lt;&gt;"",'Дивиденды по годам'!V336&lt;&gt;"",('Дивиденды по годам'!I336+'Дивиденды по годам'!V336)&lt;&gt;0),'Дивиденды по годам'!Q336/(('Дивиденды по годам'!I336+'Дивиденды по годам'!V336)/2),""),"")</f>
        <v>0.11505618365484008</v>
      </c>
      <c r="U336">
        <f>IFERROR(IF(AND('Дивиденды по годам'!J336&lt;&gt;"",'Дивиденды по годам'!K336&lt;&gt;"",'Дивиденды по годам'!M336&lt;&gt;"",'Дивиденды по годам'!M336&lt;&gt;0),('Дивиденды по годам'!J336+'Дивиденды по годам'!K336)/'Дивиденды по годам'!M336,""),"")</f>
        <v>1.1305958601908097</v>
      </c>
      <c r="V336" cm="1">
        <f t="array" ref="V336">IFERROR(AVERAGE(_xlfn._xlws.FILTER(P$2:P$1073,($C$2:$C$1073=$C336)*($E$2:$E$1073=$E336)*(ROW(P$2:P$1073)&lt;&gt;ROW(P336))*(P$2:P$1073&lt;&gt;""))),"")</f>
        <v>26.468115949705712</v>
      </c>
      <c r="W336" cm="1">
        <f t="array" ref="W336">IFERROR(AVERAGE(_xlfn._xlws.FILTER(Q$2:Q$1073,($C$2:$C$1073=$C336)*($E$2:$E$1073=$E336)*(ROW(Q$2:Q$1073)&lt;&gt;ROW(Q336))*(Q$2:Q$1073&lt;&gt;""))),"")</f>
        <v>0.55037250369989932</v>
      </c>
      <c r="X336" t="str" cm="1">
        <f t="array" ref="X336">IFERROR(AVERAGE(_xlfn._xlws.FILTER(R$2:R$1073,($C$2:$C$1073=$C336)*($E$2:$E$1073=$E336)*(ROW(R$2:R$1073)&lt;&gt;ROW(R336))*(R$2:R$1073&lt;&gt;""))),"")</f>
        <v/>
      </c>
      <c r="Y336" t="str" cm="1">
        <f t="array" ref="Y336">IFERROR(AVERAGE(_xlfn._xlws.FILTER(S$2:S$1073,($C$2:$C$1073=$C336)*($E$2:$E$1073=$E336)*(ROW(S$2:S$1073)&lt;&gt;ROW(S336))*(S$2:S$1073&lt;&gt;""))),"")</f>
        <v/>
      </c>
      <c r="Z336" t="str" cm="1">
        <f t="array" ref="Z336">IFERROR(AVERAGE(_xlfn._xlws.FILTER(T$2:T$1073,($C$2:$C$1073=$C336)*($E$2:$E$1073=$E336)*(ROW(T$2:T$1073)&lt;&gt;ROW(T336))*(T$2:T$1073&lt;&gt;""))),"")</f>
        <v/>
      </c>
      <c r="AA336" cm="1">
        <f t="array" ref="AA336">IFERROR(AVERAGE(_xlfn._xlws.FILTER(U$2:U$1073,($C$2:$C$1073=$C336)*($E$2:$E$1073=$E336)*(ROW(U$2:U$1073)&lt;&gt;ROW(U336))*(U$2:U$1073&lt;&gt;""))),"")</f>
        <v>1.1103221876334959</v>
      </c>
    </row>
    <row r="337" spans="1:27" x14ac:dyDescent="0.2">
      <c r="A337" s="7" t="s">
        <v>2218</v>
      </c>
      <c r="B337" t="str">
        <f t="shared" si="57"/>
        <v>ALRS IV кв. 2010</v>
      </c>
      <c r="C337">
        <v>2010</v>
      </c>
      <c r="D337">
        <f>SUMIFS(Дивиденды!$C:$C,Дивиденды!$A:$A,A337,Дивиденды!$I:$I,C337)</f>
        <v>0.25</v>
      </c>
      <c r="E337">
        <v>3</v>
      </c>
      <c r="F337">
        <f t="shared" si="58"/>
        <v>0.25</v>
      </c>
      <c r="G337">
        <f t="shared" si="59"/>
        <v>3.0539999999999998</v>
      </c>
      <c r="H337">
        <f t="shared" si="60"/>
        <v>1</v>
      </c>
      <c r="I337">
        <f t="shared" si="56"/>
        <v>0.6</v>
      </c>
      <c r="J337" t="str">
        <f t="shared" si="61"/>
        <v/>
      </c>
      <c r="K337" t="str">
        <f t="shared" si="65"/>
        <v/>
      </c>
      <c r="L337" t="str">
        <f t="shared" si="62"/>
        <v/>
      </c>
      <c r="M337" t="str">
        <f t="shared" si="55"/>
        <v/>
      </c>
      <c r="N337" t="str">
        <f t="shared" si="63"/>
        <v/>
      </c>
      <c r="O337" t="str">
        <f t="shared" si="64"/>
        <v/>
      </c>
      <c r="P337">
        <f>IFERROR(LN('Дивиденды по годам'!I337),"")</f>
        <v>26.127864794831805</v>
      </c>
      <c r="Q337">
        <f>IFERROR('Дивиденды по годам'!G337/'Дивиденды по годам'!I337, "")</f>
        <v>0.75539390451698762</v>
      </c>
      <c r="R337" t="str">
        <f>IFERROR(IF(AND('Дивиденды по годам'!N337&lt;&gt;"",'Дивиденды по годам'!U337&lt;&gt;"",'Дивиденды по годам'!U337&lt;&gt;0),'Дивиденды по годам'!N337/'Дивиденды по годам'!U337-1,""),"")</f>
        <v/>
      </c>
      <c r="S337" t="str">
        <f>IFERROR(IF(AND('Дивиденды по годам'!L337&lt;&gt;"",'Дивиденды по годам'!I337&lt;&gt;"",'Дивиденды по годам'!J337&lt;&gt;"",'Дивиденды по годам'!K337&lt;&gt;"",('Дивиденды по годам'!I337-'Дивиденды по годам'!J337-'Дивиденды по годам'!K337)&lt;&gt;0),'Дивиденды по годам'!L337/('Дивиденды по годам'!I337-'Дивиденды по годам'!J337-'Дивиденды по годам'!K337),""),"")</f>
        <v/>
      </c>
      <c r="T337" t="str">
        <f>IFERROR(IF(AND('Дивиденды по годам'!Q337&lt;&gt;"",'Дивиденды по годам'!I337&lt;&gt;"",'Дивиденды по годам'!V337&lt;&gt;"",('Дивиденды по годам'!I337+'Дивиденды по годам'!V337)&lt;&gt;0),'Дивиденды по годам'!Q337/(('Дивиденды по годам'!I337+'Дивиденды по годам'!V337)/2),""),"")</f>
        <v/>
      </c>
      <c r="U337">
        <f>IFERROR(IF(AND('Дивиденды по годам'!J337&lt;&gt;"",'Дивиденды по годам'!K337&lt;&gt;"",'Дивиденды по годам'!M337&lt;&gt;"",'Дивиденды по годам'!M337&lt;&gt;0),('Дивиденды по годам'!J337+'Дивиденды по годам'!K337)/'Дивиденды по годам'!M337,""),"")</f>
        <v>1.4017600691070078</v>
      </c>
      <c r="V337" t="str" cm="1">
        <f t="array" ref="V337">IFERROR(AVERAGE(_xlfn._xlws.FILTER(P$2:P$1073,($C$2:$C$1073=$C337)*($E$2:$E$1073=$E337)*(ROW(P$2:P$1073)&lt;&gt;ROW(P337))*(P$2:P$1073&lt;&gt;""))),"")</f>
        <v/>
      </c>
      <c r="W337" t="str" cm="1">
        <f t="array" ref="W337">IFERROR(AVERAGE(_xlfn._xlws.FILTER(Q$2:Q$1073,($C$2:$C$1073=$C337)*($E$2:$E$1073=$E337)*(ROW(Q$2:Q$1073)&lt;&gt;ROW(Q337))*(Q$2:Q$1073&lt;&gt;""))),"")</f>
        <v/>
      </c>
      <c r="X337" t="str" cm="1">
        <f t="array" ref="X337">IFERROR(AVERAGE(_xlfn._xlws.FILTER(R$2:R$1073,($C$2:$C$1073=$C337)*($E$2:$E$1073=$E337)*(ROW(R$2:R$1073)&lt;&gt;ROW(R337))*(R$2:R$1073&lt;&gt;""))),"")</f>
        <v/>
      </c>
      <c r="Y337" t="str" cm="1">
        <f t="array" ref="Y337">IFERROR(AVERAGE(_xlfn._xlws.FILTER(S$2:S$1073,($C$2:$C$1073=$C337)*($E$2:$E$1073=$E337)*(ROW(S$2:S$1073)&lt;&gt;ROW(S337))*(S$2:S$1073&lt;&gt;""))),"")</f>
        <v/>
      </c>
      <c r="Z337" t="str" cm="1">
        <f t="array" ref="Z337">IFERROR(AVERAGE(_xlfn._xlws.FILTER(T$2:T$1073,($C$2:$C$1073=$C337)*($E$2:$E$1073=$E337)*(ROW(T$2:T$1073)&lt;&gt;ROW(T337))*(T$2:T$1073&lt;&gt;""))),"")</f>
        <v/>
      </c>
      <c r="AA337" t="str" cm="1">
        <f t="array" ref="AA337">IFERROR(AVERAGE(_xlfn._xlws.FILTER(U$2:U$1073,($C$2:$C$1073=$C337)*($E$2:$E$1073=$E337)*(ROW(U$2:U$1073)&lt;&gt;ROW(U337))*(U$2:U$1073&lt;&gt;""))),"")</f>
        <v/>
      </c>
    </row>
    <row r="338" spans="1:27" x14ac:dyDescent="0.2">
      <c r="A338" s="7" t="s">
        <v>2221</v>
      </c>
      <c r="B338" t="str">
        <f t="shared" si="57"/>
        <v>CHMF IV кв. 2025</v>
      </c>
      <c r="C338">
        <v>2025</v>
      </c>
      <c r="D338">
        <f>SUMIFS(Дивиденды!$C:$C,Дивиденды!$A:$A,A338,Дивиденды!$I:$I,C338)</f>
        <v>0</v>
      </c>
      <c r="E338">
        <v>3</v>
      </c>
      <c r="F338">
        <f t="shared" si="58"/>
        <v>0</v>
      </c>
      <c r="G338">
        <f t="shared" si="59"/>
        <v>10.684999999999999</v>
      </c>
      <c r="H338">
        <f t="shared" si="60"/>
        <v>0</v>
      </c>
      <c r="I338">
        <f t="shared" si="56"/>
        <v>0.1</v>
      </c>
      <c r="J338">
        <f t="shared" si="61"/>
        <v>-1</v>
      </c>
      <c r="K338">
        <f t="shared" si="65"/>
        <v>-0.34741116251599569</v>
      </c>
      <c r="L338">
        <f t="shared" si="62"/>
        <v>0</v>
      </c>
      <c r="M338">
        <f t="shared" si="55"/>
        <v>0</v>
      </c>
      <c r="N338">
        <f t="shared" si="63"/>
        <v>1</v>
      </c>
      <c r="O338">
        <f t="shared" si="64"/>
        <v>0.4</v>
      </c>
      <c r="P338">
        <f>IFERROR(LN('Дивиденды по годам'!I338),"")</f>
        <v>27.472290296590785</v>
      </c>
      <c r="Q338">
        <f>IFERROR('Дивиденды по годам'!G338/'Дивиденды по годам'!I338, "")</f>
        <v>0.67476260685914402</v>
      </c>
      <c r="R338">
        <f>IFERROR(IF(AND('Дивиденды по годам'!N338&lt;&gt;"",'Дивиденды по годам'!U338&lt;&gt;"",'Дивиденды по годам'!U338&lt;&gt;0),'Дивиденды по годам'!N338/'Дивиденды по годам'!U338-1,""),"")</f>
        <v>-0.14086039776856252</v>
      </c>
      <c r="S338">
        <f>IFERROR(IF(AND('Дивиденды по годам'!L338&lt;&gt;"",'Дивиденды по годам'!I338&lt;&gt;"",'Дивиденды по годам'!J338&lt;&gt;"",'Дивиденды по годам'!K338&lt;&gt;"",('Дивиденды по годам'!I338-'Дивиденды по годам'!J338-'Дивиденды по годам'!K338)&lt;&gt;0),'Дивиденды по годам'!L338/('Дивиденды по годам'!I338-'Дивиденды по годам'!J338-'Дивиденды по годам'!K338),""),"")</f>
        <v>0.83380496567336793</v>
      </c>
      <c r="T338">
        <f>IFERROR(IF(AND('Дивиденды по годам'!Q338&lt;&gt;"",'Дивиденды по годам'!I338&lt;&gt;"",'Дивиденды по годам'!V338&lt;&gt;"",('Дивиденды по годам'!I338+'Дивиденды по годам'!V338)&lt;&gt;0),'Дивиденды по годам'!Q338/(('Дивиденды по годам'!I338+'Дивиденды по годам'!V338)/2),""),"")</f>
        <v>3.7307158109067838E-2</v>
      </c>
      <c r="U338">
        <f>IFERROR(IF(AND('Дивиденды по годам'!J338&lt;&gt;"",'Дивиденды по годам'!K338&lt;&gt;"",'Дивиденды по годам'!M338&lt;&gt;"",'Дивиденды по годам'!M338&lt;&gt;0),('Дивиденды по годам'!J338+'Дивиденды по годам'!K338)/'Дивиденды по годам'!M338,""),"")</f>
        <v>0.61501929749179929</v>
      </c>
      <c r="V338" cm="1">
        <f t="array" ref="V338">IFERROR(AVERAGE(_xlfn._xlws.FILTER(P$2:P$1073,($C$2:$C$1073=$C338)*($E$2:$E$1073=$E338)*(ROW(P$2:P$1073)&lt;&gt;ROW(P338))*(P$2:P$1073&lt;&gt;""))),"")</f>
        <v>27.533692115476065</v>
      </c>
      <c r="W338" cm="1">
        <f t="array" ref="W338">IFERROR(AVERAGE(_xlfn._xlws.FILTER(Q$2:Q$1073,($C$2:$C$1073=$C338)*($E$2:$E$1073=$E338)*(ROW(Q$2:Q$1073)&lt;&gt;ROW(Q338))*(Q$2:Q$1073&lt;&gt;""))),"")</f>
        <v>0.50832692649282163</v>
      </c>
      <c r="X338" cm="1">
        <f t="array" ref="X338">IFERROR(AVERAGE(_xlfn._xlws.FILTER(R$2:R$1073,($C$2:$C$1073=$C338)*($E$2:$E$1073=$E338)*(ROW(R$2:R$1073)&lt;&gt;ROW(R338))*(R$2:R$1073&lt;&gt;""))),"")</f>
        <v>-8.6959070277911762E-2</v>
      </c>
      <c r="Y338" cm="1">
        <f t="array" ref="Y338">IFERROR(AVERAGE(_xlfn._xlws.FILTER(S$2:S$1073,($C$2:$C$1073=$C338)*($E$2:$E$1073=$E338)*(ROW(S$2:S$1073)&lt;&gt;ROW(S338))*(S$2:S$1073&lt;&gt;""))),"")</f>
        <v>1.0087978917014562</v>
      </c>
      <c r="Z338" cm="1">
        <f t="array" ref="Z338">IFERROR(AVERAGE(_xlfn._xlws.FILTER(T$2:T$1073,($C$2:$C$1073=$C338)*($E$2:$E$1073=$E338)*(ROW(T$2:T$1073)&lt;&gt;ROW(T338))*(T$2:T$1073&lt;&gt;""))),"")</f>
        <v>1.1887247744874723E-2</v>
      </c>
      <c r="AA338" cm="1">
        <f t="array" ref="AA338">IFERROR(AVERAGE(_xlfn._xlws.FILTER(U$2:U$1073,($C$2:$C$1073=$C338)*($E$2:$E$1073=$E338)*(ROW(U$2:U$1073)&lt;&gt;ROW(U338))*(U$2:U$1073&lt;&gt;""))),"")</f>
        <v>3.5542918505153693</v>
      </c>
    </row>
    <row r="339" spans="1:27" x14ac:dyDescent="0.2">
      <c r="A339" s="7" t="s">
        <v>2221</v>
      </c>
      <c r="B339" t="str">
        <f t="shared" si="57"/>
        <v>CHMF IV кв. 2024</v>
      </c>
      <c r="C339">
        <v>2024</v>
      </c>
      <c r="D339">
        <f>SUMIFS(Дивиденды!$C:$C,Дивиденды!$A:$A,A339,Дивиденды!$I:$I,C339)</f>
        <v>118.42</v>
      </c>
      <c r="E339">
        <v>3</v>
      </c>
      <c r="F339">
        <f t="shared" si="58"/>
        <v>118.42</v>
      </c>
      <c r="G339">
        <f t="shared" si="59"/>
        <v>21.216000000000001</v>
      </c>
      <c r="H339">
        <f t="shared" si="60"/>
        <v>1</v>
      </c>
      <c r="I339">
        <f t="shared" si="56"/>
        <v>0.4</v>
      </c>
      <c r="J339">
        <f t="shared" si="61"/>
        <v>-0.3816510887159939</v>
      </c>
      <c r="K339">
        <f t="shared" si="65"/>
        <v>-0.16644936410739519</v>
      </c>
      <c r="L339">
        <f t="shared" si="62"/>
        <v>0</v>
      </c>
      <c r="M339">
        <f t="shared" si="55"/>
        <v>0.1</v>
      </c>
      <c r="N339">
        <f t="shared" si="63"/>
        <v>1</v>
      </c>
      <c r="O339">
        <f t="shared" si="64"/>
        <v>0.4</v>
      </c>
      <c r="P339">
        <f>IFERROR(LN('Дивиденды по годам'!I339),"")</f>
        <v>27.482265854618198</v>
      </c>
      <c r="Q339">
        <f>IFERROR('Дивиденды по годам'!G339/'Дивиденды по годам'!I339, "")</f>
        <v>0.54339390563716961</v>
      </c>
      <c r="R339">
        <f>IFERROR(IF(AND('Дивиденды по годам'!N339&lt;&gt;"",'Дивиденды по годам'!U339&lt;&gt;"",'Дивиденды по годам'!U339&lt;&gt;0),'Дивиденды по годам'!N339/'Дивиденды по годам'!U339-1,""),"")</f>
        <v>0.13931491087635273</v>
      </c>
      <c r="S339">
        <f>IFERROR(IF(AND('Дивиденды по годам'!L339&lt;&gt;"",'Дивиденды по годам'!I339&lt;&gt;"",'Дивиденды по годам'!J339&lt;&gt;"",'Дивиденды по годам'!K339&lt;&gt;"",('Дивиденды по годам'!I339-'Дивиденды по годам'!J339-'Дивиденды по годам'!K339)&lt;&gt;0),'Дивиденды по годам'!L339/('Дивиденды по годам'!I339-'Дивиденды по годам'!J339-'Дивиденды по годам'!K339),""),"")</f>
        <v>0.82306998251846841</v>
      </c>
      <c r="T339">
        <f>IFERROR(IF(AND('Дивиденды по годам'!Q339&lt;&gt;"",'Дивиденды по годам'!I339&lt;&gt;"",'Дивиденды по годам'!V339&lt;&gt;"",('Дивиденды по годам'!I339+'Дивиденды по годам'!V339)&lt;&gt;0),'Дивиденды по годам'!Q339/(('Дивиденды по годам'!I339+'Дивиденды по годам'!V339)/2),""),"")</f>
        <v>0.16116644529997656</v>
      </c>
      <c r="U339">
        <f>IFERROR(IF(AND('Дивиденды по годам'!J339&lt;&gt;"",'Дивиденды по годам'!K339&lt;&gt;"",'Дивиденды по годам'!M339&lt;&gt;"",'Дивиденды по годам'!M339&lt;&gt;0),('Дивиденды по годам'!J339+'Дивиденды по годам'!K339)/'Дивиденды по годам'!M339,""),"")</f>
        <v>0.7356260724557121</v>
      </c>
      <c r="V339" cm="1">
        <f t="array" ref="V339">IFERROR(AVERAGE(_xlfn._xlws.FILTER(P$2:P$1073,($C$2:$C$1073=$C339)*($E$2:$E$1073=$E339)*(ROW(P$2:P$1073)&lt;&gt;ROW(P339))*(P$2:P$1073&lt;&gt;""))),"")</f>
        <v>27.262932499660444</v>
      </c>
      <c r="W339" cm="1">
        <f t="array" ref="W339">IFERROR(AVERAGE(_xlfn._xlws.FILTER(Q$2:Q$1073,($C$2:$C$1073=$C339)*($E$2:$E$1073=$E339)*(ROW(Q$2:Q$1073)&lt;&gt;ROW(Q339))*(Q$2:Q$1073&lt;&gt;""))),"")</f>
        <v>0.47381349060100025</v>
      </c>
      <c r="X339" cm="1">
        <f t="array" ref="X339">IFERROR(AVERAGE(_xlfn._xlws.FILTER(R$2:R$1073,($C$2:$C$1073=$C339)*($E$2:$E$1073=$E339)*(ROW(R$2:R$1073)&lt;&gt;ROW(R339))*(R$2:R$1073&lt;&gt;""))),"")</f>
        <v>1.3879618753655731E-2</v>
      </c>
      <c r="Y339" cm="1">
        <f t="array" ref="Y339">IFERROR(AVERAGE(_xlfn._xlws.FILTER(S$2:S$1073,($C$2:$C$1073=$C339)*($E$2:$E$1073=$E339)*(ROW(S$2:S$1073)&lt;&gt;ROW(S339))*(S$2:S$1073&lt;&gt;""))),"")</f>
        <v>1.2075797594495212</v>
      </c>
      <c r="Z339" cm="1">
        <f t="array" ref="Z339">IFERROR(AVERAGE(_xlfn._xlws.FILTER(T$2:T$1073,($C$2:$C$1073=$C339)*($E$2:$E$1073=$E339)*(ROW(T$2:T$1073)&lt;&gt;ROW(T339))*(T$2:T$1073&lt;&gt;""))),"")</f>
        <v>3.3959106479846325E-2</v>
      </c>
      <c r="AA339" cm="1">
        <f t="array" ref="AA339">IFERROR(AVERAGE(_xlfn._xlws.FILTER(U$2:U$1073,($C$2:$C$1073=$C339)*($E$2:$E$1073=$E339)*(ROW(U$2:U$1073)&lt;&gt;ROW(U339))*(U$2:U$1073&lt;&gt;""))),"")</f>
        <v>2.7476570088316441</v>
      </c>
    </row>
    <row r="340" spans="1:27" x14ac:dyDescent="0.2">
      <c r="A340" s="7" t="s">
        <v>2221</v>
      </c>
      <c r="B340" t="str">
        <f t="shared" si="57"/>
        <v>CHMF IV кв. 2023</v>
      </c>
      <c r="C340">
        <v>2023</v>
      </c>
      <c r="D340">
        <f>SUMIFS(Дивиденды!$C:$C,Дивиденды!$A:$A,A340,Дивиденды!$I:$I,C340)</f>
        <v>191.51</v>
      </c>
      <c r="E340">
        <v>3</v>
      </c>
      <c r="F340">
        <f t="shared" si="58"/>
        <v>191.51</v>
      </c>
      <c r="G340">
        <f t="shared" si="59"/>
        <v>6.093</v>
      </c>
      <c r="H340">
        <f t="shared" si="60"/>
        <v>1</v>
      </c>
      <c r="I340">
        <f t="shared" si="56"/>
        <v>0.5</v>
      </c>
      <c r="J340">
        <f t="shared" si="61"/>
        <v>1</v>
      </c>
      <c r="K340">
        <f t="shared" si="65"/>
        <v>0.33287037037037037</v>
      </c>
      <c r="L340">
        <f t="shared" si="62"/>
        <v>1</v>
      </c>
      <c r="M340">
        <f t="shared" si="55"/>
        <v>0.5</v>
      </c>
      <c r="N340">
        <f t="shared" si="63"/>
        <v>0</v>
      </c>
      <c r="O340">
        <f t="shared" si="64"/>
        <v>0.1</v>
      </c>
      <c r="P340">
        <f>IFERROR(LN('Дивиденды по годам'!I340),"")</f>
        <v>27.625118731075922</v>
      </c>
      <c r="Q340">
        <f>IFERROR('Дивиденды по годам'!G340/'Дивиденды по годам'!I340, "")</f>
        <v>0.38864819462537031</v>
      </c>
      <c r="R340">
        <f>IFERROR(IF(AND('Дивиденды по годам'!N340&lt;&gt;"",'Дивиденды по годам'!U340&lt;&gt;"",'Дивиденды по годам'!U340&lt;&gt;0),'Дивиденды по годам'!N340/'Дивиденды по годам'!U340-1,""),"")</f>
        <v>6.7555326240864355E-2</v>
      </c>
      <c r="S340">
        <f>IFERROR(IF(AND('Дивиденды по годам'!L340&lt;&gt;"",'Дивиденды по годам'!I340&lt;&gt;"",'Дивиденды по годам'!J340&lt;&gt;"",'Дивиденды по годам'!K340&lt;&gt;"",('Дивиденды по годам'!I340-'Дивиденды по годам'!J340-'Дивиденды по годам'!K340)&lt;&gt;0),'Дивиденды по годам'!L340/('Дивиденды по годам'!I340-'Дивиденды по годам'!J340-'Дивиденды по годам'!K340),""),"")</f>
        <v>0.85335468567742101</v>
      </c>
      <c r="T340">
        <f>IFERROR(IF(AND('Дивиденды по годам'!Q340&lt;&gt;"",'Дивиденды по годам'!I340&lt;&gt;"",'Дивиденды по годам'!V340&lt;&gt;"",('Дивиденды по годам'!I340+'Дивиденды по годам'!V340)&lt;&gt;0),'Дивиденды по годам'!Q340/(('Дивиденды по годам'!I340+'Дивиденды по годам'!V340)/2),""),"")</f>
        <v>0.22491951622726877</v>
      </c>
      <c r="U340">
        <f>IFERROR(IF(AND('Дивиденды по годам'!J340&lt;&gt;"",'Дивиденды по годам'!K340&lt;&gt;"",'Дивиденды по годам'!M340&lt;&gt;"",'Дивиденды по годам'!M340&lt;&gt;0),('Дивиденды по годам'!J340+'Дивиденды по годам'!K340)/'Дивиденды по годам'!M340,""),"")</f>
        <v>0.61953348495018146</v>
      </c>
      <c r="V340" cm="1">
        <f t="array" ref="V340">IFERROR(AVERAGE(_xlfn._xlws.FILTER(P$2:P$1073,($C$2:$C$1073=$C340)*($E$2:$E$1073=$E340)*(ROW(P$2:P$1073)&lt;&gt;ROW(P340))*(P$2:P$1073&lt;&gt;""))),"")</f>
        <v>27.169423768544611</v>
      </c>
      <c r="W340" cm="1">
        <f t="array" ref="W340">IFERROR(AVERAGE(_xlfn._xlws.FILTER(Q$2:Q$1073,($C$2:$C$1073=$C340)*($E$2:$E$1073=$E340)*(ROW(Q$2:Q$1073)&lt;&gt;ROW(Q340))*(Q$2:Q$1073&lt;&gt;""))),"")</f>
        <v>0.46248929886742685</v>
      </c>
      <c r="X340" cm="1">
        <f t="array" ref="X340">IFERROR(AVERAGE(_xlfn._xlws.FILTER(R$2:R$1073,($C$2:$C$1073=$C340)*($E$2:$E$1073=$E340)*(ROW(R$2:R$1073)&lt;&gt;ROW(R340))*(R$2:R$1073&lt;&gt;""))),"")</f>
        <v>0.13716746141166553</v>
      </c>
      <c r="Y340" cm="1">
        <f t="array" ref="Y340">IFERROR(AVERAGE(_xlfn._xlws.FILTER(S$2:S$1073,($C$2:$C$1073=$C340)*($E$2:$E$1073=$E340)*(ROW(S$2:S$1073)&lt;&gt;ROW(S340))*(S$2:S$1073&lt;&gt;""))),"")</f>
        <v>6.3098225374954117E-2</v>
      </c>
      <c r="Z340" cm="1">
        <f t="array" ref="Z340">IFERROR(AVERAGE(_xlfn._xlws.FILTER(T$2:T$1073,($C$2:$C$1073=$C340)*($E$2:$E$1073=$E340)*(ROW(T$2:T$1073)&lt;&gt;ROW(T340))*(T$2:T$1073&lt;&gt;""))),"")</f>
        <v>0.10774637286398903</v>
      </c>
      <c r="AA340" cm="1">
        <f t="array" ref="AA340">IFERROR(AVERAGE(_xlfn._xlws.FILTER(U$2:U$1073,($C$2:$C$1073=$C340)*($E$2:$E$1073=$E340)*(ROW(U$2:U$1073)&lt;&gt;ROW(U340))*(U$2:U$1073&lt;&gt;""))),"")</f>
        <v>-0.67516337410947147</v>
      </c>
    </row>
    <row r="341" spans="1:27" x14ac:dyDescent="0.2">
      <c r="A341" s="7" t="s">
        <v>2221</v>
      </c>
      <c r="B341" t="str">
        <f t="shared" si="57"/>
        <v>CHMF IV кв. 2022</v>
      </c>
      <c r="C341">
        <v>2022</v>
      </c>
      <c r="D341">
        <f>SUMIFS(Дивиденды!$C:$C,Дивиденды!$A:$A,A341,Дивиденды!$I:$I,C341)</f>
        <v>0</v>
      </c>
      <c r="E341">
        <v>3</v>
      </c>
      <c r="F341">
        <f t="shared" si="58"/>
        <v>0</v>
      </c>
      <c r="G341">
        <f t="shared" si="59"/>
        <v>1.73</v>
      </c>
      <c r="H341">
        <f t="shared" si="60"/>
        <v>0</v>
      </c>
      <c r="I341">
        <f t="shared" si="56"/>
        <v>0.2</v>
      </c>
      <c r="J341">
        <f t="shared" si="61"/>
        <v>-1</v>
      </c>
      <c r="K341">
        <f t="shared" si="65"/>
        <v>-0.50242800677583288</v>
      </c>
      <c r="L341">
        <f t="shared" si="62"/>
        <v>0</v>
      </c>
      <c r="M341">
        <f t="shared" si="55"/>
        <v>0.1</v>
      </c>
      <c r="N341">
        <f t="shared" si="63"/>
        <v>1</v>
      </c>
      <c r="O341">
        <f t="shared" si="64"/>
        <v>0.7</v>
      </c>
      <c r="P341">
        <f>IFERROR(LN('Дивиденды по годам'!I341),"")</f>
        <v>27.316084318143545</v>
      </c>
      <c r="Q341">
        <f>IFERROR('Дивиденды по годам'!G341/'Дивиденды по годам'!I341, "")</f>
        <v>0.47345769934300219</v>
      </c>
      <c r="R341">
        <f>IFERROR(IF(AND('Дивиденды по годам'!N341&lt;&gt;"",'Дивиденды по годам'!U341&lt;&gt;"",'Дивиденды по годам'!U341&lt;&gt;0),'Дивиденды по годам'!N341/'Дивиденды по годам'!U341-1,""),"")</f>
        <v>-0.20542291638670707</v>
      </c>
      <c r="S341">
        <f>IFERROR(IF(AND('Дивиденды по годам'!L341&lt;&gt;"",'Дивиденды по годам'!I341&lt;&gt;"",'Дивиденды по годам'!J341&lt;&gt;"",'Дивиденды по годам'!K341&lt;&gt;"",('Дивиденды по годам'!I341-'Дивиденды по годам'!J341-'Дивиденды по годам'!K341)&lt;&gt;0),'Дивиденды по годам'!L341/('Дивиденды по годам'!I341-'Дивиденды по годам'!J341-'Дивиденды по годам'!K341),""),"")</f>
        <v>0.76341713423788815</v>
      </c>
      <c r="T341">
        <f>IFERROR(IF(AND('Дивиденды по годам'!Q341&lt;&gt;"",'Дивиденды по годам'!I341&lt;&gt;"",'Дивиденды по годам'!V341&lt;&gt;"",('Дивиденды по годам'!I341+'Дивиденды по годам'!V341)&lt;&gt;0),'Дивиденды по годам'!Q341/(('Дивиденды по годам'!I341+'Дивиденды по годам'!V341)/2),""),"")</f>
        <v>0.1582693864543272</v>
      </c>
      <c r="U341">
        <f>IFERROR(IF(AND('Дивиденды по годам'!J341&lt;&gt;"",'Дивиденды по годам'!K341&lt;&gt;"",'Дивиденды по годам'!M341&lt;&gt;"",'Дивиденды по годам'!M341&lt;&gt;0),('Дивиденды по годам'!J341+'Дивиденды по годам'!K341)/'Дивиденды по годам'!M341,""),"")</f>
        <v>0.7041190631297034</v>
      </c>
      <c r="V341" cm="1">
        <f t="array" ref="V341">IFERROR(AVERAGE(_xlfn._xlws.FILTER(P$2:P$1073,($C$2:$C$1073=$C341)*($E$2:$E$1073=$E341)*(ROW(P$2:P$1073)&lt;&gt;ROW(P341))*(P$2:P$1073&lt;&gt;""))),"")</f>
        <v>27.059508286863384</v>
      </c>
      <c r="W341" cm="1">
        <f t="array" ref="W341">IFERROR(AVERAGE(_xlfn._xlws.FILTER(Q$2:Q$1073,($C$2:$C$1073=$C341)*($E$2:$E$1073=$E341)*(ROW(Q$2:Q$1073)&lt;&gt;ROW(Q341))*(Q$2:Q$1073&lt;&gt;""))),"")</f>
        <v>0.47161920005759422</v>
      </c>
      <c r="X341" cm="1">
        <f t="array" ref="X341">IFERROR(AVERAGE(_xlfn._xlws.FILTER(R$2:R$1073,($C$2:$C$1073=$C341)*($E$2:$E$1073=$E341)*(ROW(R$2:R$1073)&lt;&gt;ROW(R341))*(R$2:R$1073&lt;&gt;""))),"")</f>
        <v>-3.3187818224924559E-3</v>
      </c>
      <c r="Y341" cm="1">
        <f t="array" ref="Y341">IFERROR(AVERAGE(_xlfn._xlws.FILTER(S$2:S$1073,($C$2:$C$1073=$C341)*($E$2:$E$1073=$E341)*(ROW(S$2:S$1073)&lt;&gt;ROW(S341))*(S$2:S$1073&lt;&gt;""))),"")</f>
        <v>0.86065673021389588</v>
      </c>
      <c r="Z341" cm="1">
        <f t="array" ref="Z341">IFERROR(AVERAGE(_xlfn._xlws.FILTER(T$2:T$1073,($C$2:$C$1073=$C341)*($E$2:$E$1073=$E341)*(ROW(T$2:T$1073)&lt;&gt;ROW(T341))*(T$2:T$1073&lt;&gt;""))),"")</f>
        <v>0.15870974926987524</v>
      </c>
      <c r="AA341" cm="1">
        <f t="array" ref="AA341">IFERROR(AVERAGE(_xlfn._xlws.FILTER(U$2:U$1073,($C$2:$C$1073=$C341)*($E$2:$E$1073=$E341)*(ROW(U$2:U$1073)&lt;&gt;ROW(U341))*(U$2:U$1073&lt;&gt;""))),"")</f>
        <v>1.1982809960811465</v>
      </c>
    </row>
    <row r="342" spans="1:27" x14ac:dyDescent="0.2">
      <c r="A342" s="7" t="s">
        <v>2221</v>
      </c>
      <c r="B342" t="str">
        <f t="shared" si="57"/>
        <v>CHMF IV кв. 2021</v>
      </c>
      <c r="C342">
        <v>2021</v>
      </c>
      <c r="D342">
        <f>SUMIFS(Дивиденды!$C:$C,Дивиденды!$A:$A,A342,Дивиденды!$I:$I,C342)</f>
        <v>217.15</v>
      </c>
      <c r="E342">
        <v>3</v>
      </c>
      <c r="F342">
        <f t="shared" si="58"/>
        <v>217.15</v>
      </c>
      <c r="G342">
        <f t="shared" si="59"/>
        <v>15.14</v>
      </c>
      <c r="H342">
        <f t="shared" si="60"/>
        <v>1</v>
      </c>
      <c r="I342">
        <f t="shared" si="56"/>
        <v>0.7</v>
      </c>
      <c r="J342">
        <f t="shared" si="61"/>
        <v>0.86554982817869408</v>
      </c>
      <c r="K342">
        <f t="shared" si="65"/>
        <v>0.64414134375292709</v>
      </c>
      <c r="L342">
        <f t="shared" si="62"/>
        <v>1</v>
      </c>
      <c r="M342">
        <f t="shared" si="55"/>
        <v>0.4</v>
      </c>
      <c r="N342">
        <f t="shared" si="63"/>
        <v>0</v>
      </c>
      <c r="O342">
        <f t="shared" si="64"/>
        <v>0.2</v>
      </c>
      <c r="P342">
        <f>IFERROR(LN('Дивиденды по годам'!I342),"")</f>
        <v>27.183934571806915</v>
      </c>
      <c r="Q342">
        <f>IFERROR('Дивиденды по годам'!G342/'Дивиденды по годам'!I342, "")</f>
        <v>0.57175819104753112</v>
      </c>
      <c r="R342">
        <f>IFERROR(IF(AND('Дивиденды по годам'!N342&lt;&gt;"",'Дивиденды по годам'!U342&lt;&gt;"",'Дивиденды по годам'!U342&lt;&gt;0),'Дивиденды по годам'!N342/'Дивиденды по годам'!U342-1,""),"")</f>
        <v>0.76097188192210075</v>
      </c>
      <c r="S342">
        <f>IFERROR(IF(AND('Дивиденды по годам'!L342&lt;&gt;"",'Дивиденды по годам'!I342&lt;&gt;"",'Дивиденды по годам'!J342&lt;&gt;"",'Дивиденды по годам'!K342&lt;&gt;"",('Дивиденды по годам'!I342-'Дивиденды по годам'!J342-'Дивиденды по годам'!K342)&lt;&gt;0),'Дивиденды по годам'!L342/('Дивиденды по годам'!I342-'Дивиденды по годам'!J342-'Дивиденды по годам'!K342),""),"")</f>
        <v>0.87265383701591825</v>
      </c>
      <c r="T342">
        <f>IFERROR(IF(AND('Дивиденды по годам'!Q342&lt;&gt;"",'Дивиденды по годам'!I342&lt;&gt;"",'Дивиденды по годам'!V342&lt;&gt;"",('Дивиденды по годам'!I342+'Дивиденды по годам'!V342)&lt;&gt;0),'Дивиденды по годам'!Q342/(('Дивиденды по годам'!I342+'Дивиденды по годам'!V342)/2),""),"")</f>
        <v>0.512070265650172</v>
      </c>
      <c r="U342">
        <f>IFERROR(IF(AND('Дивиденды по годам'!J342&lt;&gt;"",'Дивиденды по годам'!K342&lt;&gt;"",'Дивиденды по годам'!M342&lt;&gt;"",'Дивиденды по годам'!M342&lt;&gt;0),('Дивиденды по годам'!J342+'Дивиденды по годам'!K342)/'Дивиденды по годам'!M342,""),"")</f>
        <v>1.0593965312425755</v>
      </c>
      <c r="V342" cm="1">
        <f t="array" ref="V342">IFERROR(AVERAGE(_xlfn._xlws.FILTER(P$2:P$1073,($C$2:$C$1073=$C342)*($E$2:$E$1073=$E342)*(ROW(P$2:P$1073)&lt;&gt;ROW(P342))*(P$2:P$1073&lt;&gt;""))),"")</f>
        <v>26.96490274501128</v>
      </c>
      <c r="W342" cm="1">
        <f t="array" ref="W342">IFERROR(AVERAGE(_xlfn._xlws.FILTER(Q$2:Q$1073,($C$2:$C$1073=$C342)*($E$2:$E$1073=$E342)*(ROW(Q$2:Q$1073)&lt;&gt;ROW(Q342))*(Q$2:Q$1073&lt;&gt;""))),"")</f>
        <v>0.47929551399513526</v>
      </c>
      <c r="X342" cm="1">
        <f t="array" ref="X342">IFERROR(AVERAGE(_xlfn._xlws.FILTER(R$2:R$1073,($C$2:$C$1073=$C342)*($E$2:$E$1073=$E342)*(ROW(R$2:R$1073)&lt;&gt;ROW(R342))*(R$2:R$1073&lt;&gt;""))),"")</f>
        <v>0.67533413021112909</v>
      </c>
      <c r="Y342" cm="1">
        <f t="array" ref="Y342">IFERROR(AVERAGE(_xlfn._xlws.FILTER(S$2:S$1073,($C$2:$C$1073=$C342)*($E$2:$E$1073=$E342)*(ROW(S$2:S$1073)&lt;&gt;ROW(S342))*(S$2:S$1073&lt;&gt;""))),"")</f>
        <v>1.0516819090446632</v>
      </c>
      <c r="Z342" cm="1">
        <f t="array" ref="Z342">IFERROR(AVERAGE(_xlfn._xlws.FILTER(T$2:T$1073,($C$2:$C$1073=$C342)*($E$2:$E$1073=$E342)*(ROW(T$2:T$1073)&lt;&gt;ROW(T342))*(T$2:T$1073&lt;&gt;""))),"")</f>
        <v>0.26488626474388416</v>
      </c>
      <c r="AA342" cm="1">
        <f t="array" ref="AA342">IFERROR(AVERAGE(_xlfn._xlws.FILTER(U$2:U$1073,($C$2:$C$1073=$C342)*($E$2:$E$1073=$E342)*(ROW(U$2:U$1073)&lt;&gt;ROW(U342))*(U$2:U$1073&lt;&gt;""))),"")</f>
        <v>2.1470365752248832</v>
      </c>
    </row>
    <row r="343" spans="1:27" x14ac:dyDescent="0.2">
      <c r="A343" s="7" t="s">
        <v>2221</v>
      </c>
      <c r="B343" t="str">
        <f t="shared" si="57"/>
        <v>CHMF IV кв. 2020</v>
      </c>
      <c r="C343">
        <v>2020</v>
      </c>
      <c r="D343">
        <f>SUMIFS(Дивиденды!$C:$C,Дивиденды!$A:$A,A343,Дивиденды!$I:$I,C343)</f>
        <v>116.4</v>
      </c>
      <c r="E343">
        <v>3</v>
      </c>
      <c r="F343">
        <f t="shared" si="58"/>
        <v>116.4</v>
      </c>
      <c r="G343">
        <f t="shared" si="59"/>
        <v>12.343999999999999</v>
      </c>
      <c r="H343">
        <f t="shared" si="60"/>
        <v>1</v>
      </c>
      <c r="I343">
        <f t="shared" si="56"/>
        <v>0.7</v>
      </c>
      <c r="J343">
        <f t="shared" si="61"/>
        <v>4.4874007594062479E-3</v>
      </c>
      <c r="K343">
        <f t="shared" si="65"/>
        <v>0.65893080863404396</v>
      </c>
      <c r="L343">
        <f t="shared" si="62"/>
        <v>1</v>
      </c>
      <c r="M343">
        <f t="shared" si="55"/>
        <v>0.6</v>
      </c>
      <c r="N343">
        <f t="shared" si="63"/>
        <v>0</v>
      </c>
      <c r="O343">
        <f t="shared" si="64"/>
        <v>0.1</v>
      </c>
      <c r="P343">
        <f>IFERROR(LN('Дивиденды по годам'!I343),"")</f>
        <v>27.004992324914415</v>
      </c>
      <c r="Q343">
        <f>IFERROR('Дивиденды по годам'!G343/'Дивиденды по годам'!I343, "")</f>
        <v>0.64169821525148729</v>
      </c>
      <c r="R343">
        <f>IFERROR(IF(AND('Дивиденды по годам'!N343&lt;&gt;"",'Дивиденды по годам'!U343&lt;&gt;"",'Дивиденды по годам'!U343&lt;&gt;0),'Дивиденды по годам'!N343/'Дивиденды по годам'!U343-1,""),"")</f>
        <v>-7.598657665202968E-2</v>
      </c>
      <c r="S343">
        <f>IFERROR(IF(AND('Дивиденды по годам'!L343&lt;&gt;"",'Дивиденды по годам'!I343&lt;&gt;"",'Дивиденды по годам'!J343&lt;&gt;"",'Дивиденды по годам'!K343&lt;&gt;"",('Дивиденды по годам'!I343-'Дивиденды по годам'!J343-'Дивиденды по годам'!K343)&lt;&gt;0),'Дивиденды по годам'!L343/('Дивиденды по годам'!I343-'Дивиденды по годам'!J343-'Дивиденды по годам'!K343),""),"")</f>
        <v>0.83090379008746362</v>
      </c>
      <c r="T343">
        <f>IFERROR(IF(AND('Дивиденды по годам'!Q343&lt;&gt;"",'Дивиденды по годам'!I343&lt;&gt;"",'Дивиденды по годам'!V343&lt;&gt;"",('Дивиденды по годам'!I343+'Дивиденды по годам'!V343)&lt;&gt;0),'Дивиденды по годам'!Q343/(('Дивиденды по годам'!I343+'Дивиденды по годам'!V343)/2),""),"")</f>
        <v>0.13773698566540099</v>
      </c>
      <c r="U343">
        <f>IFERROR(IF(AND('Дивиденды по годам'!J343&lt;&gt;"",'Дивиденды по годам'!K343&lt;&gt;"",'Дивиденды по годам'!M343&lt;&gt;"",'Дивиденды по годам'!M343&lt;&gt;0),('Дивиденды по годам'!J343+'Дивиденды по годам'!K343)/'Дивиденды по годам'!M343,""),"")</f>
        <v>1.6953352769679297</v>
      </c>
      <c r="V343" cm="1">
        <f t="array" ref="V343">IFERROR(AVERAGE(_xlfn._xlws.FILTER(P$2:P$1073,($C$2:$C$1073=$C343)*($E$2:$E$1073=$E343)*(ROW(P$2:P$1073)&lt;&gt;ROW(P343))*(P$2:P$1073&lt;&gt;""))),"")</f>
        <v>26.800041779931483</v>
      </c>
      <c r="W343" cm="1">
        <f t="array" ref="W343">IFERROR(AVERAGE(_xlfn._xlws.FILTER(Q$2:Q$1073,($C$2:$C$1073=$C343)*($E$2:$E$1073=$E343)*(ROW(Q$2:Q$1073)&lt;&gt;ROW(Q343))*(Q$2:Q$1073&lt;&gt;""))),"")</f>
        <v>0.49255775812782038</v>
      </c>
      <c r="X343" cm="1">
        <f t="array" ref="X343">IFERROR(AVERAGE(_xlfn._xlws.FILTER(R$2:R$1073,($C$2:$C$1073=$C343)*($E$2:$E$1073=$E343)*(ROW(R$2:R$1073)&lt;&gt;ROW(R343))*(R$2:R$1073&lt;&gt;""))),"")</f>
        <v>3.755012610553686E-2</v>
      </c>
      <c r="Y343" cm="1">
        <f t="array" ref="Y343">IFERROR(AVERAGE(_xlfn._xlws.FILTER(S$2:S$1073,($C$2:$C$1073=$C343)*($E$2:$E$1073=$E343)*(ROW(S$2:S$1073)&lt;&gt;ROW(S343))*(S$2:S$1073&lt;&gt;""))),"")</f>
        <v>1.0620099005367629</v>
      </c>
      <c r="Z343" cm="1">
        <f t="array" ref="Z343">IFERROR(AVERAGE(_xlfn._xlws.FILTER(T$2:T$1073,($C$2:$C$1073=$C343)*($E$2:$E$1073=$E343)*(ROW(T$2:T$1073)&lt;&gt;ROW(T343))*(T$2:T$1073&lt;&gt;""))),"")</f>
        <v>8.9954992940259437E-2</v>
      </c>
      <c r="AA343" cm="1">
        <f t="array" ref="AA343">IFERROR(AVERAGE(_xlfn._xlws.FILTER(U$2:U$1073,($C$2:$C$1073=$C343)*($E$2:$E$1073=$E343)*(ROW(U$2:U$1073)&lt;&gt;ROW(U343))*(U$2:U$1073&lt;&gt;""))),"")</f>
        <v>1.6552879293943188</v>
      </c>
    </row>
    <row r="344" spans="1:27" x14ac:dyDescent="0.2">
      <c r="A344" s="7" t="s">
        <v>2221</v>
      </c>
      <c r="B344" t="str">
        <f t="shared" si="57"/>
        <v>CHMF IV кв. 2019</v>
      </c>
      <c r="C344">
        <v>2019</v>
      </c>
      <c r="D344">
        <f>SUMIFS(Дивиденды!$C:$C,Дивиденды!$A:$A,A344,Дивиденды!$I:$I,C344)</f>
        <v>115.88000000000001</v>
      </c>
      <c r="E344">
        <v>3</v>
      </c>
      <c r="F344">
        <f t="shared" si="58"/>
        <v>115.88000000000001</v>
      </c>
      <c r="G344">
        <f t="shared" si="59"/>
        <v>8.0030000000000001</v>
      </c>
      <c r="H344">
        <f t="shared" si="60"/>
        <v>1</v>
      </c>
      <c r="I344">
        <f t="shared" si="56"/>
        <v>0.7</v>
      </c>
      <c r="J344">
        <f t="shared" si="61"/>
        <v>-0.27903938281590224</v>
      </c>
      <c r="K344">
        <f t="shared" si="65"/>
        <v>0.27951053394179137</v>
      </c>
      <c r="L344">
        <f t="shared" si="62"/>
        <v>0</v>
      </c>
      <c r="M344">
        <f t="shared" si="55"/>
        <v>0.4</v>
      </c>
      <c r="N344">
        <f t="shared" si="63"/>
        <v>1</v>
      </c>
      <c r="O344">
        <f t="shared" si="64"/>
        <v>0.3</v>
      </c>
      <c r="P344">
        <f>IFERROR(LN('Дивиденды по годам'!I344),"")</f>
        <v>26.999671946259443</v>
      </c>
      <c r="Q344">
        <f>IFERROR('Дивиденды по годам'!G344/'Дивиденды по годам'!I344, "")</f>
        <v>0.5679883240087571</v>
      </c>
      <c r="R344">
        <f>IFERROR(IF(AND('Дивиденды по годам'!N344&lt;&gt;"",'Дивиденды по годам'!U344&lt;&gt;"",'Дивиденды по годам'!U344&lt;&gt;0),'Дивиденды по годам'!N344/'Дивиденды по годам'!U344-1,""),"")</f>
        <v>-2.1779066485926979E-2</v>
      </c>
      <c r="S344">
        <f>IFERROR(IF(AND('Дивиденды по годам'!L344&lt;&gt;"",'Дивиденды по годам'!I344&lt;&gt;"",'Дивиденды по годам'!J344&lt;&gt;"",'Дивиденды по годам'!K344&lt;&gt;"",('Дивиденды по годам'!I344-'Дивиденды по годам'!J344-'Дивиденды по годам'!K344)&lt;&gt;0),'Дивиденды по годам'!L344/('Дивиденды по годам'!I344-'Дивиденды по годам'!J344-'Дивиденды по годам'!K344),""),"")</f>
        <v>0.71391604370327766</v>
      </c>
      <c r="T344">
        <f>IFERROR(IF(AND('Дивиденды по годам'!Q344&lt;&gt;"",'Дивиденды по годам'!I344&lt;&gt;"",'Дивиденды по годам'!V344&lt;&gt;"",('Дивиденды по годам'!I344+'Дивиденды по годам'!V344)&lt;&gt;0),'Дивиденды по годам'!Q344/(('Дивиденды по годам'!I344+'Дивиденды по годам'!V344)/2),""),"")</f>
        <v>0.25368360416329933</v>
      </c>
      <c r="U344">
        <f>IFERROR(IF(AND('Дивиденды по годам'!J344&lt;&gt;"",'Дивиденды по годам'!K344&lt;&gt;"",'Дивиденды по годам'!M344&lt;&gt;"",'Дивиденды по годам'!M344&lt;&gt;0),('Дивиденды по годам'!J344+'Дивиденды по годам'!K344)/'Дивиденды по годам'!M344,""),"")</f>
        <v>1.3640023001725128</v>
      </c>
      <c r="V344" cm="1">
        <f t="array" ref="V344">IFERROR(AVERAGE(_xlfn._xlws.FILTER(P$2:P$1073,($C$2:$C$1073=$C344)*($E$2:$E$1073=$E344)*(ROW(P$2:P$1073)&lt;&gt;ROW(P344))*(P$2:P$1073&lt;&gt;""))),"")</f>
        <v>26.685661910330726</v>
      </c>
      <c r="W344" cm="1">
        <f t="array" ref="W344">IFERROR(AVERAGE(_xlfn._xlws.FILTER(Q$2:Q$1073,($C$2:$C$1073=$C344)*($E$2:$E$1073=$E344)*(ROW(Q$2:Q$1073)&lt;&gt;ROW(Q344))*(Q$2:Q$1073&lt;&gt;""))),"")</f>
        <v>0.49399030479347361</v>
      </c>
      <c r="X344" cm="1">
        <f t="array" ref="X344">IFERROR(AVERAGE(_xlfn._xlws.FILTER(R$2:R$1073,($C$2:$C$1073=$C344)*($E$2:$E$1073=$E344)*(ROW(R$2:R$1073)&lt;&gt;ROW(R344))*(R$2:R$1073&lt;&gt;""))),"")</f>
        <v>4.4936470915771631E-2</v>
      </c>
      <c r="Y344" cm="1">
        <f t="array" ref="Y344">IFERROR(AVERAGE(_xlfn._xlws.FILTER(S$2:S$1073,($C$2:$C$1073=$C344)*($E$2:$E$1073=$E344)*(ROW(S$2:S$1073)&lt;&gt;ROW(S344))*(S$2:S$1073&lt;&gt;""))),"")</f>
        <v>0.92760721491256215</v>
      </c>
      <c r="Z344" cm="1">
        <f t="array" ref="Z344">IFERROR(AVERAGE(_xlfn._xlws.FILTER(T$2:T$1073,($C$2:$C$1073=$C344)*($E$2:$E$1073=$E344)*(ROW(T$2:T$1073)&lt;&gt;ROW(T344))*(T$2:T$1073&lt;&gt;""))),"")</f>
        <v>0.12643336443809888</v>
      </c>
      <c r="AA344" cm="1">
        <f t="array" ref="AA344">IFERROR(AVERAGE(_xlfn._xlws.FILTER(U$2:U$1073,($C$2:$C$1073=$C344)*($E$2:$E$1073=$E344)*(ROW(U$2:U$1073)&lt;&gt;ROW(U344))*(U$2:U$1073&lt;&gt;""))),"")</f>
        <v>1.5785051029941806</v>
      </c>
    </row>
    <row r="345" spans="1:27" x14ac:dyDescent="0.2">
      <c r="A345" s="7" t="s">
        <v>2221</v>
      </c>
      <c r="B345" t="str">
        <f t="shared" si="57"/>
        <v>CHMF IV кв. 2018</v>
      </c>
      <c r="C345">
        <v>2018</v>
      </c>
      <c r="D345">
        <f>SUMIFS(Дивиденды!$C:$C,Дивиденды!$A:$A,A345,Дивиденды!$I:$I,C345)</f>
        <v>160.72999999999996</v>
      </c>
      <c r="E345">
        <v>3</v>
      </c>
      <c r="F345">
        <f t="shared" si="58"/>
        <v>160.72999999999996</v>
      </c>
      <c r="G345">
        <f t="shared" si="59"/>
        <v>6.6219999999999999</v>
      </c>
      <c r="H345">
        <f t="shared" si="60"/>
        <v>1</v>
      </c>
      <c r="I345">
        <f t="shared" si="56"/>
        <v>0.4</v>
      </c>
      <c r="J345">
        <f t="shared" si="61"/>
        <v>0.46051794638800514</v>
      </c>
      <c r="K345">
        <f t="shared" si="65"/>
        <v>7.4805073597254787E-2</v>
      </c>
      <c r="L345">
        <f t="shared" si="62"/>
        <v>1</v>
      </c>
      <c r="M345">
        <f t="shared" si="55"/>
        <v>0.4</v>
      </c>
      <c r="N345">
        <f t="shared" si="63"/>
        <v>0</v>
      </c>
      <c r="O345">
        <f t="shared" si="64"/>
        <v>0.2</v>
      </c>
      <c r="P345">
        <f>IFERROR(LN('Дивиденды по годам'!I345),"")</f>
        <v>26.63485656244978</v>
      </c>
      <c r="Q345">
        <f>IFERROR('Дивиденды по годам'!G345/'Дивиденды по годам'!I345, "")</f>
        <v>0.59056860742254003</v>
      </c>
      <c r="R345">
        <f>IFERROR(IF(AND('Дивиденды по годам'!N345&lt;&gt;"",'Дивиденды по годам'!U345&lt;&gt;"",'Дивиденды по годам'!U345&lt;&gt;0),'Дивиденды по годам'!N345/'Дивиденды по годам'!U345-1,""),"")</f>
        <v>0.17869465360613601</v>
      </c>
      <c r="S345">
        <f>IFERROR(IF(AND('Дивиденды по годам'!L345&lt;&gt;"",'Дивиденды по годам'!I345&lt;&gt;"",'Дивиденды по годам'!J345&lt;&gt;"",'Дивиденды по годам'!K345&lt;&gt;"",('Дивиденды по годам'!I345-'Дивиденды по годам'!J345-'Дивиденды по годам'!K345)&lt;&gt;0),'Дивиденды по годам'!L345/('Дивиденды по годам'!I345-'Дивиденды по годам'!J345-'Дивиденды по годам'!K345),""),"")</f>
        <v>0.78985758944077811</v>
      </c>
      <c r="T345">
        <f>IFERROR(IF(AND('Дивиденды по годам'!Q345&lt;&gt;"",'Дивиденды по годам'!I345&lt;&gt;"",'Дивиденды по годам'!V345&lt;&gt;"",('Дивиденды по годам'!I345+'Дивиденды по годам'!V345)&lt;&gt;0),'Дивиденды по годам'!Q345/(('Дивиденды по годам'!I345+'Дивиденды по годам'!V345)/2),""),"")</f>
        <v>0.32657809237108471</v>
      </c>
      <c r="U345">
        <f>IFERROR(IF(AND('Дивиденды по годам'!J345&lt;&gt;"",'Дивиденды по годам'!K345&lt;&gt;"",'Дивиденды по годам'!M345&lt;&gt;"",'Дивиденды по годам'!M345&lt;&gt;0),('Дивиденды по годам'!J345+'Дивиденды по годам'!K345)/'Дивиденды по годам'!M345,""),"")</f>
        <v>1.0402917679749915</v>
      </c>
      <c r="V345" cm="1">
        <f t="array" ref="V345">IFERROR(AVERAGE(_xlfn._xlws.FILTER(P$2:P$1073,($C$2:$C$1073=$C345)*($E$2:$E$1073=$E345)*(ROW(P$2:P$1073)&lt;&gt;ROW(P345))*(P$2:P$1073&lt;&gt;""))),"")</f>
        <v>26.564113397332431</v>
      </c>
      <c r="W345" cm="1">
        <f t="array" ref="W345">IFERROR(AVERAGE(_xlfn._xlws.FILTER(Q$2:Q$1073,($C$2:$C$1073=$C345)*($E$2:$E$1073=$E345)*(ROW(Q$2:Q$1073)&lt;&gt;ROW(Q345))*(Q$2:Q$1073&lt;&gt;""))),"")</f>
        <v>0.51091446794420337</v>
      </c>
      <c r="X345" cm="1">
        <f t="array" ref="X345">IFERROR(AVERAGE(_xlfn._xlws.FILTER(R$2:R$1073,($C$2:$C$1073=$C345)*($E$2:$E$1073=$E345)*(ROW(R$2:R$1073)&lt;&gt;ROW(R345))*(R$2:R$1073&lt;&gt;""))),"")</f>
        <v>0.22142650197353078</v>
      </c>
      <c r="Y345" cm="1">
        <f t="array" ref="Y345">IFERROR(AVERAGE(_xlfn._xlws.FILTER(S$2:S$1073,($C$2:$C$1073=$C345)*($E$2:$E$1073=$E345)*(ROW(S$2:S$1073)&lt;&gt;ROW(S345))*(S$2:S$1073&lt;&gt;""))),"")</f>
        <v>0.9368212976901823</v>
      </c>
      <c r="Z345" cm="1">
        <f t="array" ref="Z345">IFERROR(AVERAGE(_xlfn._xlws.FILTER(T$2:T$1073,($C$2:$C$1073=$C345)*($E$2:$E$1073=$E345)*(ROW(T$2:T$1073)&lt;&gt;ROW(T345))*(T$2:T$1073&lt;&gt;""))),"")</f>
        <v>0.13810503045870579</v>
      </c>
      <c r="AA345" cm="1">
        <f t="array" ref="AA345">IFERROR(AVERAGE(_xlfn._xlws.FILTER(U$2:U$1073,($C$2:$C$1073=$C345)*($E$2:$E$1073=$E345)*(ROW(U$2:U$1073)&lt;&gt;ROW(U345))*(U$2:U$1073&lt;&gt;""))),"")</f>
        <v>2.4680463335343581</v>
      </c>
    </row>
    <row r="346" spans="1:27" x14ac:dyDescent="0.2">
      <c r="A346" s="7" t="s">
        <v>2221</v>
      </c>
      <c r="B346" t="str">
        <f t="shared" si="57"/>
        <v>CHMF IV кв. 2017</v>
      </c>
      <c r="C346">
        <v>2017</v>
      </c>
      <c r="D346">
        <f>SUMIFS(Дивиденды!$C:$C,Дивиденды!$A:$A,A346,Дивиденды!$I:$I,C346)</f>
        <v>110.05</v>
      </c>
      <c r="E346">
        <v>3</v>
      </c>
      <c r="F346">
        <f t="shared" si="58"/>
        <v>110.05</v>
      </c>
      <c r="G346">
        <f t="shared" si="59"/>
        <v>5.063876314825082</v>
      </c>
      <c r="H346">
        <f t="shared" si="60"/>
        <v>1</v>
      </c>
      <c r="I346">
        <f t="shared" si="56"/>
        <v>0.6</v>
      </c>
      <c r="J346">
        <f t="shared" si="61"/>
        <v>0.3653846153846152</v>
      </c>
      <c r="K346">
        <f t="shared" si="65"/>
        <v>8.0554563504143736E-2</v>
      </c>
      <c r="L346">
        <f t="shared" si="62"/>
        <v>1</v>
      </c>
      <c r="M346">
        <f t="shared" si="55"/>
        <v>0.4</v>
      </c>
      <c r="N346">
        <f t="shared" si="63"/>
        <v>0</v>
      </c>
      <c r="O346">
        <f t="shared" si="64"/>
        <v>0.2</v>
      </c>
      <c r="P346">
        <f>IFERROR(LN('Дивиденды по годам'!I346),"")</f>
        <v>26.764418565931873</v>
      </c>
      <c r="Q346">
        <f>IFERROR('Дивиденды по годам'!G346/'Дивиденды по годам'!I346, "")</f>
        <v>0.5133860452212512</v>
      </c>
      <c r="R346">
        <f>IFERROR(IF(AND('Дивиденды по годам'!N346&lt;&gt;"",'Дивиденды по годам'!U346&lt;&gt;"",'Дивиденды по годам'!U346&lt;&gt;0),'Дивиденды по годам'!N346/'Дивиденды по годам'!U346-1,""),"")</f>
        <v>0.15363388351137708</v>
      </c>
      <c r="S346">
        <f>IFERROR(IF(AND('Дивиденды по годам'!L346&lt;&gt;"",'Дивиденды по годам'!I346&lt;&gt;"",'Дивиденды по годам'!J346&lt;&gt;"",'Дивиденды по годам'!K346&lt;&gt;"",('Дивиденды по годам'!I346-'Дивиденды по годам'!J346-'Дивиденды по годам'!K346)&lt;&gt;0),'Дивиденды по годам'!L346/('Дивиденды по годам'!I346-'Дивиденды по годам'!J346-'Дивиденды по годам'!K346),""),"")</f>
        <v>0.64596821659799897</v>
      </c>
      <c r="T346">
        <f>IFERROR(IF(AND('Дивиденды по годам'!Q346&lt;&gt;"",'Дивиденды по годам'!I346&lt;&gt;"",'Дивиденды по годам'!V346&lt;&gt;"",('Дивиденды по годам'!I346+'Дивиденды по годам'!V346)&lt;&gt;0),'Дивиденды по годам'!Q346/(('Дивиденды по годам'!I346+'Дивиденды по годам'!V346)/2),""),"")</f>
        <v>0.18480823226536769</v>
      </c>
      <c r="U346">
        <f>IFERROR(IF(AND('Дивиденды по годам'!J346&lt;&gt;"",'Дивиденды по годам'!K346&lt;&gt;"",'Дивиденды по годам'!M346&lt;&gt;"",'Дивиденды по годам'!M346&lt;&gt;0),('Дивиденды по годам'!J346+'Дивиденды по годам'!K346)/'Дивиденды по годам'!M346,""),"")</f>
        <v>1.1215420835785757</v>
      </c>
      <c r="V346" cm="1">
        <f t="array" ref="V346">IFERROR(AVERAGE(_xlfn._xlws.FILTER(P$2:P$1073,($C$2:$C$1073=$C346)*($E$2:$E$1073=$E346)*(ROW(P$2:P$1073)&lt;&gt;ROW(P346))*(P$2:P$1073&lt;&gt;""))),"")</f>
        <v>26.521902496166696</v>
      </c>
      <c r="W346" cm="1">
        <f t="array" ref="W346">IFERROR(AVERAGE(_xlfn._xlws.FILTER(Q$2:Q$1073,($C$2:$C$1073=$C346)*($E$2:$E$1073=$E346)*(ROW(Q$2:Q$1073)&lt;&gt;ROW(Q346))*(Q$2:Q$1073&lt;&gt;""))),"")</f>
        <v>0.53813838927232871</v>
      </c>
      <c r="X346" cm="1">
        <f t="array" ref="X346">IFERROR(AVERAGE(_xlfn._xlws.FILTER(R$2:R$1073,($C$2:$C$1073=$C346)*($E$2:$E$1073=$E346)*(ROW(R$2:R$1073)&lt;&gt;ROW(R346))*(R$2:R$1073&lt;&gt;""))),"")</f>
        <v>9.490729404614906E-2</v>
      </c>
      <c r="Y346" cm="1">
        <f t="array" ref="Y346">IFERROR(AVERAGE(_xlfn._xlws.FILTER(S$2:S$1073,($C$2:$C$1073=$C346)*($E$2:$E$1073=$E346)*(ROW(S$2:S$1073)&lt;&gt;ROW(S346))*(S$2:S$1073&lt;&gt;""))),"")</f>
        <v>1.0990277870150751</v>
      </c>
      <c r="Z346" cm="1">
        <f t="array" ref="Z346">IFERROR(AVERAGE(_xlfn._xlws.FILTER(T$2:T$1073,($C$2:$C$1073=$C346)*($E$2:$E$1073=$E346)*(ROW(T$2:T$1073)&lt;&gt;ROW(T346))*(T$2:T$1073&lt;&gt;""))),"")</f>
        <v>0.11524185998858454</v>
      </c>
      <c r="AA346" cm="1">
        <f t="array" ref="AA346">IFERROR(AVERAGE(_xlfn._xlws.FILTER(U$2:U$1073,($C$2:$C$1073=$C346)*($E$2:$E$1073=$E346)*(ROW(U$2:U$1073)&lt;&gt;ROW(U346))*(U$2:U$1073&lt;&gt;""))),"")</f>
        <v>2.0639058748473453</v>
      </c>
    </row>
    <row r="347" spans="1:27" x14ac:dyDescent="0.2">
      <c r="A347" s="7" t="s">
        <v>2221</v>
      </c>
      <c r="B347" t="str">
        <f t="shared" si="57"/>
        <v>CHMF IV кв. 2016</v>
      </c>
      <c r="C347">
        <v>2016</v>
      </c>
      <c r="D347">
        <f>SUMIFS(Дивиденды!$C:$C,Дивиденды!$A:$A,A347,Дивиденды!$I:$I,C347)</f>
        <v>80.600000000000009</v>
      </c>
      <c r="E347">
        <v>3</v>
      </c>
      <c r="F347">
        <f t="shared" si="58"/>
        <v>80.600000000000009</v>
      </c>
      <c r="G347">
        <f t="shared" si="59"/>
        <v>4.0356397126063834</v>
      </c>
      <c r="H347">
        <f t="shared" si="60"/>
        <v>1</v>
      </c>
      <c r="I347">
        <f t="shared" si="56"/>
        <v>0.6</v>
      </c>
      <c r="J347">
        <f t="shared" si="61"/>
        <v>0.36888586956521763</v>
      </c>
      <c r="K347">
        <f t="shared" si="65"/>
        <v>0.65079256908330951</v>
      </c>
      <c r="L347">
        <f t="shared" si="62"/>
        <v>1</v>
      </c>
      <c r="M347">
        <f t="shared" si="55"/>
        <v>0.6</v>
      </c>
      <c r="N347">
        <f t="shared" si="63"/>
        <v>0</v>
      </c>
      <c r="O347">
        <f t="shared" si="64"/>
        <v>0</v>
      </c>
      <c r="P347">
        <f>IFERROR(LN('Дивиденды по годам'!I347),"")</f>
        <v>26.797953005023718</v>
      </c>
      <c r="Q347">
        <f>IFERROR('Дивиденды по годам'!G347/'Дивиденды по годам'!I347, "")</f>
        <v>0.48357242017584445</v>
      </c>
      <c r="R347">
        <f>IFERROR(IF(AND('Дивиденды по годам'!N347&lt;&gt;"",'Дивиденды по годам'!U347&lt;&gt;"",'Дивиденды по годам'!U347&lt;&gt;0),'Дивиденды по годам'!N347/'Дивиденды по годам'!U347-1,""),"")</f>
        <v>1.2616261789647476E-2</v>
      </c>
      <c r="S347">
        <f>IFERROR(IF(AND('Дивиденды по годам'!L347&lt;&gt;"",'Дивиденды по годам'!I347&lt;&gt;"",'Дивиденды по годам'!J347&lt;&gt;"",'Дивиденды по годам'!K347&lt;&gt;"",('Дивиденды по годам'!I347-'Дивиденды по годам'!J347-'Дивиденды по годам'!K347)&lt;&gt;0),'Дивиденды по годам'!L347/('Дивиденды по годам'!I347-'Дивиденды по годам'!J347-'Дивиденды по годам'!K347),""),"")</f>
        <v>0.80565603419927645</v>
      </c>
      <c r="T347">
        <f>IFERROR(IF(AND('Дивиденды по годам'!Q347&lt;&gt;"",'Дивиденды по годам'!I347&lt;&gt;"",'Дивиденды по годам'!V347&lt;&gt;"",('Дивиденды по годам'!I347+'Дивиденды по годам'!V347)&lt;&gt;0),'Дивиденды по годам'!Q347/(('Дивиденды по годам'!I347+'Дивиденды по годам'!V347)/2),""),"")</f>
        <v>0.27360340340262868</v>
      </c>
      <c r="U347">
        <f>IFERROR(IF(AND('Дивиденды по годам'!J347&lt;&gt;"",'Дивиденды по годам'!K347&lt;&gt;"",'Дивиденды по годам'!M347&lt;&gt;"",'Дивиденды по годам'!M347&lt;&gt;0),('Дивиденды по годам'!J347+'Дивиденды по годам'!K347)/'Дивиденды по годам'!M347,""),"")</f>
        <v>1.1318645182505753</v>
      </c>
      <c r="V347" cm="1">
        <f t="array" ref="V347">IFERROR(AVERAGE(_xlfn._xlws.FILTER(P$2:P$1073,($C$2:$C$1073=$C347)*($E$2:$E$1073=$E347)*(ROW(P$2:P$1073)&lt;&gt;ROW(P347))*(P$2:P$1073&lt;&gt;""))),"")</f>
        <v>26.519243553128529</v>
      </c>
      <c r="W347" cm="1">
        <f t="array" ref="W347">IFERROR(AVERAGE(_xlfn._xlws.FILTER(Q$2:Q$1073,($C$2:$C$1073=$C347)*($E$2:$E$1073=$E347)*(ROW(Q$2:Q$1073)&lt;&gt;ROW(Q347))*(Q$2:Q$1073&lt;&gt;""))),"")</f>
        <v>0.51223686183520489</v>
      </c>
      <c r="X347" cm="1">
        <f t="array" ref="X347">IFERROR(AVERAGE(_xlfn._xlws.FILTER(R$2:R$1073,($C$2:$C$1073=$C347)*($E$2:$E$1073=$E347)*(ROW(R$2:R$1073)&lt;&gt;ROW(R347))*(R$2:R$1073&lt;&gt;""))),"")</f>
        <v>0.14690817081412189</v>
      </c>
      <c r="Y347" cm="1">
        <f t="array" ref="Y347">IFERROR(AVERAGE(_xlfn._xlws.FILTER(S$2:S$1073,($C$2:$C$1073=$C347)*($E$2:$E$1073=$E347)*(ROW(S$2:S$1073)&lt;&gt;ROW(S347))*(S$2:S$1073&lt;&gt;""))),"")</f>
        <v>0.24600685547106185</v>
      </c>
      <c r="Z347" cm="1">
        <f t="array" ref="Z347">IFERROR(AVERAGE(_xlfn._xlws.FILTER(T$2:T$1073,($C$2:$C$1073=$C347)*($E$2:$E$1073=$E347)*(ROW(T$2:T$1073)&lt;&gt;ROW(T347))*(T$2:T$1073&lt;&gt;""))),"")</f>
        <v>0.15069897732940069</v>
      </c>
      <c r="AA347" cm="1">
        <f t="array" ref="AA347">IFERROR(AVERAGE(_xlfn._xlws.FILTER(U$2:U$1073,($C$2:$C$1073=$C347)*($E$2:$E$1073=$E347)*(ROW(U$2:U$1073)&lt;&gt;ROW(U347))*(U$2:U$1073&lt;&gt;""))),"")</f>
        <v>5.9110585850680145E-2</v>
      </c>
    </row>
    <row r="348" spans="1:27" x14ac:dyDescent="0.2">
      <c r="A348" s="7" t="s">
        <v>2221</v>
      </c>
      <c r="B348" t="str">
        <f t="shared" si="57"/>
        <v>CHMF IV кв. 2015</v>
      </c>
      <c r="C348">
        <v>2015</v>
      </c>
      <c r="D348">
        <f>SUMIFS(Дивиденды!$C:$C,Дивиденды!$A:$A,A348,Дивиденды!$I:$I,C348)</f>
        <v>58.879999999999995</v>
      </c>
      <c r="E348">
        <v>3</v>
      </c>
      <c r="F348">
        <f t="shared" si="58"/>
        <v>58.879999999999995</v>
      </c>
      <c r="G348">
        <f t="shared" si="59"/>
        <v>1.3360627742857143</v>
      </c>
      <c r="H348">
        <f t="shared" si="60"/>
        <v>1</v>
      </c>
      <c r="I348">
        <f t="shared" si="56"/>
        <v>0.5</v>
      </c>
      <c r="J348">
        <f t="shared" si="61"/>
        <v>-0.20086862106406095</v>
      </c>
      <c r="K348">
        <f t="shared" si="65"/>
        <v>0.90097403269695919</v>
      </c>
      <c r="L348">
        <f t="shared" si="62"/>
        <v>0</v>
      </c>
      <c r="M348">
        <f t="shared" si="55"/>
        <v>0.5</v>
      </c>
      <c r="N348">
        <f t="shared" si="63"/>
        <v>1</v>
      </c>
      <c r="O348">
        <f t="shared" si="64"/>
        <v>0</v>
      </c>
      <c r="P348">
        <f>IFERROR(LN('Дивиденды по годам'!I348),"")</f>
        <v>26.607539184015359</v>
      </c>
      <c r="Q348">
        <f>IFERROR('Дивиденды по годам'!G348/'Дивиденды по годам'!I348, "")</f>
        <v>0.44498664941701466</v>
      </c>
      <c r="R348">
        <f>IFERROR(IF(AND('Дивиденды по годам'!N348&lt;&gt;"",'Дивиденды по годам'!U348&lt;&gt;"",'Дивиденды по годам'!U348&lt;&gt;0),'Дивиденды по годам'!N348/'Дивиденды по годам'!U348-1,""),"")</f>
        <v>0.21820015695223716</v>
      </c>
      <c r="S348">
        <f>IFERROR(IF(AND('Дивиденды по годам'!L348&lt;&gt;"",'Дивиденды по годам'!I348&lt;&gt;"",'Дивиденды по годам'!J348&lt;&gt;"",'Дивиденды по годам'!K348&lt;&gt;"",('Дивиденды по годам'!I348-'Дивиденды по годам'!J348-'Дивиденды по годам'!K348)&lt;&gt;0),'Дивиденды по годам'!L348/('Дивиденды по годам'!I348-'Дивиденды по годам'!J348-'Дивиденды по годам'!K348),""),"")</f>
        <v>0.77526978068303298</v>
      </c>
      <c r="T348">
        <f>IFERROR(IF(AND('Дивиденды по годам'!Q348&lt;&gt;"",'Дивиденды по годам'!I348&lt;&gt;"",'Дивиденды по годам'!V348&lt;&gt;"",('Дивиденды по годам'!I348+'Дивиденды по годам'!V348)&lt;&gt;0),'Дивиденды по годам'!Q348/(('Дивиденды по годам'!I348+'Дивиденды по годам'!V348)/2),""),"")</f>
        <v>0.10561147045488327</v>
      </c>
      <c r="U348">
        <f>IFERROR(IF(AND('Дивиденды по годам'!J348&lt;&gt;"",'Дивиденды по годам'!K348&lt;&gt;"",'Дивиденды по годам'!M348&lt;&gt;"",'Дивиденды по годам'!M348&lt;&gt;0),('Дивиденды по годам'!J348+'Дивиденды по годам'!K348)/'Дивиденды по годам'!M348,""),"")</f>
        <v>1.5870305075298707</v>
      </c>
      <c r="V348" cm="1">
        <f t="array" ref="V348">IFERROR(AVERAGE(_xlfn._xlws.FILTER(P$2:P$1073,($C$2:$C$1073=$C348)*($E$2:$E$1073=$E348)*(ROW(P$2:P$1073)&lt;&gt;ROW(P348))*(P$2:P$1073&lt;&gt;""))),"")</f>
        <v>26.333008591226122</v>
      </c>
      <c r="W348" cm="1">
        <f t="array" ref="W348">IFERROR(AVERAGE(_xlfn._xlws.FILTER(Q$2:Q$1073,($C$2:$C$1073=$C348)*($E$2:$E$1073=$E348)*(ROW(Q$2:Q$1073)&lt;&gt;ROW(Q348))*(Q$2:Q$1073&lt;&gt;""))),"")</f>
        <v>0.50396917966954846</v>
      </c>
      <c r="X348" cm="1">
        <f t="array" ref="X348">IFERROR(AVERAGE(_xlfn._xlws.FILTER(R$2:R$1073,($C$2:$C$1073=$C348)*($E$2:$E$1073=$E348)*(ROW(R$2:R$1073)&lt;&gt;ROW(R348))*(R$2:R$1073&lt;&gt;""))),"")</f>
        <v>0.2569919812156698</v>
      </c>
      <c r="Y348" cm="1">
        <f t="array" ref="Y348">IFERROR(AVERAGE(_xlfn._xlws.FILTER(S$2:S$1073,($C$2:$C$1073=$C348)*($E$2:$E$1073=$E348)*(ROW(S$2:S$1073)&lt;&gt;ROW(S348))*(S$2:S$1073&lt;&gt;""))),"")</f>
        <v>0.98856351247968299</v>
      </c>
      <c r="Z348" cm="1">
        <f t="array" ref="Z348">IFERROR(AVERAGE(_xlfn._xlws.FILTER(T$2:T$1073,($C$2:$C$1073=$C348)*($E$2:$E$1073=$E348)*(ROW(T$2:T$1073)&lt;&gt;ROW(T348))*(T$2:T$1073&lt;&gt;""))),"")</f>
        <v>1.4120289513485436E-2</v>
      </c>
      <c r="AA348" cm="1">
        <f t="array" ref="AA348">IFERROR(AVERAGE(_xlfn._xlws.FILTER(U$2:U$1073,($C$2:$C$1073=$C348)*($E$2:$E$1073=$E348)*(ROW(U$2:U$1073)&lt;&gt;ROW(U348))*(U$2:U$1073&lt;&gt;""))),"")</f>
        <v>3.1373558040604248</v>
      </c>
    </row>
    <row r="349" spans="1:27" x14ac:dyDescent="0.2">
      <c r="A349" s="7" t="s">
        <v>2221</v>
      </c>
      <c r="B349" t="str">
        <f t="shared" si="57"/>
        <v>CHMF IV кв. 2014</v>
      </c>
      <c r="C349">
        <v>2014</v>
      </c>
      <c r="D349">
        <f>SUMIFS(Дивиденды!$C:$C,Дивиденды!$A:$A,A349,Дивиденды!$I:$I,C349)</f>
        <v>73.680000000000007</v>
      </c>
      <c r="E349">
        <v>3</v>
      </c>
      <c r="F349">
        <f t="shared" si="58"/>
        <v>73.680000000000007</v>
      </c>
      <c r="G349">
        <f t="shared" si="59"/>
        <v>0.48799999999999999</v>
      </c>
      <c r="H349">
        <f t="shared" si="60"/>
        <v>1</v>
      </c>
      <c r="I349">
        <f t="shared" si="56"/>
        <v>0.4</v>
      </c>
      <c r="J349">
        <f t="shared" si="61"/>
        <v>7.8771084337349402</v>
      </c>
      <c r="K349">
        <f t="shared" si="65"/>
        <v>0.28560767590618336</v>
      </c>
      <c r="L349">
        <f t="shared" si="62"/>
        <v>1</v>
      </c>
      <c r="M349">
        <f t="shared" si="55"/>
        <v>0.2</v>
      </c>
      <c r="N349">
        <f t="shared" si="63"/>
        <v>0</v>
      </c>
      <c r="O349">
        <f t="shared" si="64"/>
        <v>0.1</v>
      </c>
      <c r="P349">
        <f>IFERROR(LN('Дивиденды по годам'!I349),"")</f>
        <v>26.403665635193953</v>
      </c>
      <c r="Q349">
        <f>IFERROR('Дивиденды по годам'!G349/'Дивиденды по годам'!I349, "")</f>
        <v>0.44126478257085727</v>
      </c>
      <c r="R349">
        <f>IFERROR(IF(AND('Дивиденды по годам'!N349&lt;&gt;"",'Дивиденды по годам'!U349&lt;&gt;"",'Дивиденды по годам'!U349&lt;&gt;0),'Дивиденды по годам'!N349/'Дивиденды по годам'!U349-1,""),"")</f>
        <v>-0.23343955141019124</v>
      </c>
      <c r="S349">
        <f>IFERROR(IF(AND('Дивиденды по годам'!L349&lt;&gt;"",'Дивиденды по годам'!I349&lt;&gt;"",'Дивиденды по годам'!J349&lt;&gt;"",'Дивиденды по годам'!K349&lt;&gt;"",('Дивиденды по годам'!I349-'Дивиденды по годам'!J349-'Дивиденды по годам'!K349)&lt;&gt;0),'Дивиденды по годам'!L349/('Дивиденды по годам'!I349-'Дивиденды по годам'!J349-'Дивиденды по годам'!K349),""),"")</f>
        <v>0.69219716990540858</v>
      </c>
      <c r="T349">
        <f>IFERROR(IF(AND('Дивиденды по годам'!Q349&lt;&gt;"",'Дивиденды по годам'!I349&lt;&gt;"",'Дивиденды по годам'!V349&lt;&gt;"",('Дивиденды по годам'!I349+'Дивиденды по годам'!V349)&lt;&gt;0),'Дивиденды по годам'!Q349/(('Дивиденды по годам'!I349+'Дивиденды по годам'!V349)/2),""),"")</f>
        <v>-8.3487143747977055E-2</v>
      </c>
      <c r="U349">
        <f>IFERROR(IF(AND('Дивиденды по годам'!J349&lt;&gt;"",'Дивиденды по годам'!K349&lt;&gt;"",'Дивиденды по годам'!M349&lt;&gt;"",'Дивиденды по годам'!M349&lt;&gt;0),('Дивиденды по годам'!J349+'Дивиденды по годам'!K349)/'Дивиденды по годам'!M349,""),"")</f>
        <v>1.6645171771792304</v>
      </c>
      <c r="V349" cm="1">
        <f t="array" ref="V349">IFERROR(AVERAGE(_xlfn._xlws.FILTER(P$2:P$1073,($C$2:$C$1073=$C349)*($E$2:$E$1073=$E349)*(ROW(P$2:P$1073)&lt;&gt;ROW(P349))*(P$2:P$1073&lt;&gt;""))),"")</f>
        <v>26.286501753563314</v>
      </c>
      <c r="W349" cm="1">
        <f t="array" ref="W349">IFERROR(AVERAGE(_xlfn._xlws.FILTER(Q$2:Q$1073,($C$2:$C$1073=$C349)*($E$2:$E$1073=$E349)*(ROW(Q$2:Q$1073)&lt;&gt;ROW(Q349))*(Q$2:Q$1073&lt;&gt;""))),"")</f>
        <v>0.52427436060988686</v>
      </c>
      <c r="X349" cm="1">
        <f t="array" ref="X349">IFERROR(AVERAGE(_xlfn._xlws.FILTER(R$2:R$1073,($C$2:$C$1073=$C349)*($E$2:$E$1073=$E349)*(ROW(R$2:R$1073)&lt;&gt;ROW(R349))*(R$2:R$1073&lt;&gt;""))),"")</f>
        <v>0.1163607945453345</v>
      </c>
      <c r="Y349" cm="1">
        <f t="array" ref="Y349">IFERROR(AVERAGE(_xlfn._xlws.FILTER(S$2:S$1073,($C$2:$C$1073=$C349)*($E$2:$E$1073=$E349)*(ROW(S$2:S$1073)&lt;&gt;ROW(S349))*(S$2:S$1073&lt;&gt;""))),"")</f>
        <v>0.8078427360501067</v>
      </c>
      <c r="Z349" cm="1">
        <f t="array" ref="Z349">IFERROR(AVERAGE(_xlfn._xlws.FILTER(T$2:T$1073,($C$2:$C$1073=$C349)*($E$2:$E$1073=$E349)*(ROW(T$2:T$1073)&lt;&gt;ROW(T349))*(T$2:T$1073&lt;&gt;""))),"")</f>
        <v>-7.67982151055039E-2</v>
      </c>
      <c r="AA349" cm="1">
        <f t="array" ref="AA349">IFERROR(AVERAGE(_xlfn._xlws.FILTER(U$2:U$1073,($C$2:$C$1073=$C349)*($E$2:$E$1073=$E349)*(ROW(U$2:U$1073)&lt;&gt;ROW(U349))*(U$2:U$1073&lt;&gt;""))),"")</f>
        <v>1.6225879786620372</v>
      </c>
    </row>
    <row r="350" spans="1:27" x14ac:dyDescent="0.2">
      <c r="A350" s="7" t="s">
        <v>2221</v>
      </c>
      <c r="B350" t="str">
        <f t="shared" si="57"/>
        <v>CHMF IV кв. 2013</v>
      </c>
      <c r="C350">
        <v>2013</v>
      </c>
      <c r="D350">
        <f>SUMIFS(Дивиденды!$C:$C,Дивиденды!$A:$A,A350,Дивиденды!$I:$I,C350)</f>
        <v>8.3000000000000007</v>
      </c>
      <c r="E350">
        <v>3</v>
      </c>
      <c r="F350">
        <f t="shared" si="58"/>
        <v>8.3000000000000007</v>
      </c>
      <c r="G350">
        <f t="shared" si="59"/>
        <v>0.39600000000000002</v>
      </c>
      <c r="H350">
        <f t="shared" si="60"/>
        <v>1</v>
      </c>
      <c r="I350">
        <f t="shared" si="56"/>
        <v>0.3</v>
      </c>
      <c r="J350">
        <f t="shared" si="61"/>
        <v>-0.22138836772983109</v>
      </c>
      <c r="K350">
        <f t="shared" si="65"/>
        <v>-0.18172527366075755</v>
      </c>
      <c r="L350">
        <f t="shared" si="62"/>
        <v>0</v>
      </c>
      <c r="M350">
        <f t="shared" si="55"/>
        <v>0.2</v>
      </c>
      <c r="N350">
        <f t="shared" si="63"/>
        <v>1</v>
      </c>
      <c r="O350">
        <f t="shared" si="64"/>
        <v>0.3</v>
      </c>
      <c r="P350">
        <f>IFERROR(LN('Дивиденды по годам'!I350),"")</f>
        <v>26.861214631301745</v>
      </c>
      <c r="Q350">
        <f>IFERROR('Дивиденды по годам'!G350/'Дивиденды по годам'!I350, "")</f>
        <v>0.56793360711949525</v>
      </c>
      <c r="R350">
        <f>IFERROR(IF(AND('Дивиденды по годам'!N350&lt;&gt;"",'Дивиденды по годам'!U350&lt;&gt;"",'Дивиденды по годам'!U350&lt;&gt;0),'Дивиденды по годам'!N350/'Дивиденды по годам'!U350-1,""),"")</f>
        <v>-2.948908264252359E-2</v>
      </c>
      <c r="S350" t="str">
        <f>IFERROR(IF(AND('Дивиденды по годам'!L350&lt;&gt;"",'Дивиденды по годам'!I350&lt;&gt;"",'Дивиденды по годам'!J350&lt;&gt;"",'Дивиденды по годам'!K350&lt;&gt;"",('Дивиденды по годам'!I350-'Дивиденды по годам'!J350-'Дивиденды по годам'!K350)&lt;&gt;0),'Дивиденды по годам'!L350/('Дивиденды по годам'!I350-'Дивиденды по годам'!J350-'Дивиденды по годам'!K350),""),"")</f>
        <v/>
      </c>
      <c r="T350">
        <f>IFERROR(IF(AND('Дивиденды по годам'!Q350&lt;&gt;"",'Дивиденды по годам'!I350&lt;&gt;"",'Дивиденды по годам'!V350&lt;&gt;"",('Дивиденды по годам'!I350+'Дивиденды по годам'!V350)&lt;&gt;0),'Дивиденды по годам'!Q350/(('Дивиденды по годам'!I350+'Дивиденды по годам'!V350)/2),""),"")</f>
        <v>5.9775371840260112E-3</v>
      </c>
      <c r="U350">
        <f>IFERROR(IF(AND('Дивиденды по годам'!J350&lt;&gt;"",'Дивиденды по годам'!K350&lt;&gt;"",'Дивиденды по годам'!M350&lt;&gt;"",'Дивиденды по годам'!M350&lt;&gt;0),('Дивиденды по годам'!J350+'Дивиденды по годам'!K350)/'Дивиденды по годам'!M350,""),"")</f>
        <v>4.7013498103110303</v>
      </c>
      <c r="V350" cm="1">
        <f t="array" ref="V350">IFERROR(AVERAGE(_xlfn._xlws.FILTER(P$2:P$1073,($C$2:$C$1073=$C350)*($E$2:$E$1073=$E350)*(ROW(P$2:P$1073)&lt;&gt;ROW(P350))*(P$2:P$1073&lt;&gt;""))),"")</f>
        <v>26.385859427011784</v>
      </c>
      <c r="W350" cm="1">
        <f t="array" ref="W350">IFERROR(AVERAGE(_xlfn._xlws.FILTER(Q$2:Q$1073,($C$2:$C$1073=$C350)*($E$2:$E$1073=$E350)*(ROW(Q$2:Q$1073)&lt;&gt;ROW(Q350))*(Q$2:Q$1073&lt;&gt;""))),"")</f>
        <v>0.5784040988857343</v>
      </c>
      <c r="X350" cm="1">
        <f t="array" ref="X350">IFERROR(AVERAGE(_xlfn._xlws.FILTER(R$2:R$1073,($C$2:$C$1073=$C350)*($E$2:$E$1073=$E350)*(ROW(R$2:R$1073)&lt;&gt;ROW(R350))*(R$2:R$1073&lt;&gt;""))),"")</f>
        <v>-4.7606175348819682E-2</v>
      </c>
      <c r="Y350" cm="1">
        <f t="array" ref="Y350">IFERROR(AVERAGE(_xlfn._xlws.FILTER(S$2:S$1073,($C$2:$C$1073=$C350)*($E$2:$E$1073=$E350)*(ROW(S$2:S$1073)&lt;&gt;ROW(S350))*(S$2:S$1073&lt;&gt;""))),"")</f>
        <v>1.1343753445927802</v>
      </c>
      <c r="Z350" cm="1">
        <f t="array" ref="Z350">IFERROR(AVERAGE(_xlfn._xlws.FILTER(T$2:T$1073,($C$2:$C$1073=$C350)*($E$2:$E$1073=$E350)*(ROW(T$2:T$1073)&lt;&gt;ROW(T350))*(T$2:T$1073&lt;&gt;""))),"")</f>
        <v>-3.5748993287143607E-2</v>
      </c>
      <c r="AA350" cm="1">
        <f t="array" ref="AA350">IFERROR(AVERAGE(_xlfn._xlws.FILTER(U$2:U$1073,($C$2:$C$1073=$C350)*($E$2:$E$1073=$E350)*(ROW(U$2:U$1073)&lt;&gt;ROW(U350))*(U$2:U$1073&lt;&gt;""))),"")</f>
        <v>2.9143821534775984</v>
      </c>
    </row>
    <row r="351" spans="1:27" x14ac:dyDescent="0.2">
      <c r="A351" s="7" t="s">
        <v>2221</v>
      </c>
      <c r="B351" t="str">
        <f t="shared" si="57"/>
        <v>CHMF IV кв. 2012</v>
      </c>
      <c r="C351">
        <v>2012</v>
      </c>
      <c r="D351">
        <f>SUMIFS(Дивиденды!$C:$C,Дивиденды!$A:$A,A351,Дивиденды!$I:$I,C351)</f>
        <v>10.66</v>
      </c>
      <c r="E351">
        <v>3</v>
      </c>
      <c r="F351">
        <f t="shared" si="58"/>
        <v>10.66</v>
      </c>
      <c r="G351">
        <f t="shared" si="59"/>
        <v>1.0649999999999999</v>
      </c>
      <c r="H351">
        <f t="shared" si="60"/>
        <v>1</v>
      </c>
      <c r="I351">
        <f t="shared" si="56"/>
        <v>0.5</v>
      </c>
      <c r="J351">
        <f t="shared" si="61"/>
        <v>-0.29822251481237655</v>
      </c>
      <c r="K351">
        <f t="shared" si="65"/>
        <v>-0.15417818471645917</v>
      </c>
      <c r="L351">
        <f t="shared" si="62"/>
        <v>0</v>
      </c>
      <c r="M351">
        <f t="shared" si="55"/>
        <v>0.3</v>
      </c>
      <c r="N351">
        <f t="shared" si="63"/>
        <v>1</v>
      </c>
      <c r="O351">
        <f t="shared" si="64"/>
        <v>0.5</v>
      </c>
      <c r="P351">
        <f>IFERROR(LN('Дивиденды по годам'!I351),"")</f>
        <v>26.913401992068579</v>
      </c>
      <c r="Q351">
        <f>IFERROR('Дивиденды по годам'!G351/'Дивиденды по годам'!I351, "")</f>
        <v>0.53877858041670657</v>
      </c>
      <c r="R351">
        <f>IFERROR(IF(AND('Дивиденды по годам'!N351&lt;&gt;"",'Дивиденды по годам'!U351&lt;&gt;"",'Дивиденды по годам'!U351&lt;&gt;0),'Дивиденды по годам'!N351/'Дивиденды по годам'!U351-1,""),"")</f>
        <v>-7.0255123521336338E-2</v>
      </c>
      <c r="S351" t="str">
        <f>IFERROR(IF(AND('Дивиденды по годам'!L351&lt;&gt;"",'Дивиденды по годам'!I351&lt;&gt;"",'Дивиденды по годам'!J351&lt;&gt;"",'Дивиденды по годам'!K351&lt;&gt;"",('Дивиденды по годам'!I351-'Дивиденды по годам'!J351-'Дивиденды по годам'!K351)&lt;&gt;0),'Дивиденды по годам'!L351/('Дивиденды по годам'!I351-'Дивиденды по годам'!J351-'Дивиденды по годам'!K351),""),"")</f>
        <v/>
      </c>
      <c r="T351">
        <f>IFERROR(IF(AND('Дивиденды по годам'!Q351&lt;&gt;"",'Дивиденды по годам'!I351&lt;&gt;"",'Дивиденды по годам'!V351&lt;&gt;"",('Дивиденды по годам'!I351+'Дивиденды по годам'!V351)&lt;&gt;0),'Дивиденды по годам'!Q351/(('Дивиденды по годам'!I351+'Дивиденды по годам'!V351)/2),""),"")</f>
        <v>4.7363458137667215E-2</v>
      </c>
      <c r="U351">
        <f>IFERROR(IF(AND('Дивиденды по годам'!J351&lt;&gt;"",'Дивиденды по годам'!K351&lt;&gt;"",'Дивиденды по годам'!M351&lt;&gt;"",'Дивиденды по годам'!M351&lt;&gt;0),('Дивиденды по годам'!J351+'Дивиденды по годам'!K351)/'Дивиденды по годам'!M351,""),"")</f>
        <v>1.1769488567467514</v>
      </c>
      <c r="V351" cm="1">
        <f t="array" ref="V351">IFERROR(AVERAGE(_xlfn._xlws.FILTER(P$2:P$1073,($C$2:$C$1073=$C351)*($E$2:$E$1073=$E351)*(ROW(P$2:P$1073)&lt;&gt;ROW(P351))*(P$2:P$1073&lt;&gt;""))),"")</f>
        <v>26.684945675950239</v>
      </c>
      <c r="W351" cm="1">
        <f t="array" ref="W351">IFERROR(AVERAGE(_xlfn._xlws.FILTER(Q$2:Q$1073,($C$2:$C$1073=$C351)*($E$2:$E$1073=$E351)*(ROW(Q$2:Q$1073)&lt;&gt;ROW(Q351))*(Q$2:Q$1073&lt;&gt;""))),"")</f>
        <v>0.49774986301595792</v>
      </c>
      <c r="X351" cm="1">
        <f t="array" ref="X351">IFERROR(AVERAGE(_xlfn._xlws.FILTER(R$2:R$1073,($C$2:$C$1073=$C351)*($E$2:$E$1073=$E351)*(ROW(R$2:R$1073)&lt;&gt;ROW(R351))*(R$2:R$1073&lt;&gt;""))),"")</f>
        <v>8.0811346890678881E-3</v>
      </c>
      <c r="Y351" t="str" cm="1">
        <f t="array" ref="Y351">IFERROR(AVERAGE(_xlfn._xlws.FILTER(S$2:S$1073,($C$2:$C$1073=$C351)*($E$2:$E$1073=$E351)*(ROW(S$2:S$1073)&lt;&gt;ROW(S351))*(S$2:S$1073&lt;&gt;""))),"")</f>
        <v/>
      </c>
      <c r="Z351" cm="1">
        <f t="array" ref="Z351">IFERROR(AVERAGE(_xlfn._xlws.FILTER(T$2:T$1073,($C$2:$C$1073=$C351)*($E$2:$E$1073=$E351)*(ROW(T$2:T$1073)&lt;&gt;ROW(T351))*(T$2:T$1073&lt;&gt;""))),"")</f>
        <v>5.0117063292840346E-2</v>
      </c>
      <c r="AA351" cm="1">
        <f t="array" ref="AA351">IFERROR(AVERAGE(_xlfn._xlws.FILTER(U$2:U$1073,($C$2:$C$1073=$C351)*($E$2:$E$1073=$E351)*(ROW(U$2:U$1073)&lt;&gt;ROW(U351))*(U$2:U$1073&lt;&gt;""))),"")</f>
        <v>1.3950729026115836</v>
      </c>
    </row>
    <row r="352" spans="1:27" x14ac:dyDescent="0.2">
      <c r="A352" s="7" t="s">
        <v>2221</v>
      </c>
      <c r="B352" t="str">
        <f t="shared" si="57"/>
        <v>CHMF IV кв. 2011</v>
      </c>
      <c r="C352">
        <v>2011</v>
      </c>
      <c r="D352">
        <f>SUMIFS(Дивиденды!$C:$C,Дивиденды!$A:$A,A352,Дивиденды!$I:$I,C352)</f>
        <v>15.19</v>
      </c>
      <c r="E352">
        <v>3</v>
      </c>
      <c r="F352">
        <f t="shared" si="58"/>
        <v>15.19</v>
      </c>
      <c r="G352">
        <f t="shared" si="59"/>
        <v>2.2469999999999999</v>
      </c>
      <c r="H352">
        <f t="shared" si="60"/>
        <v>1</v>
      </c>
      <c r="I352">
        <f t="shared" si="56"/>
        <v>0.7</v>
      </c>
      <c r="J352">
        <f t="shared" si="61"/>
        <v>1.2637853949329361</v>
      </c>
      <c r="K352">
        <f t="shared" si="65"/>
        <v>0.65492714098723259</v>
      </c>
      <c r="L352">
        <f t="shared" si="62"/>
        <v>1</v>
      </c>
      <c r="M352">
        <f t="shared" si="55"/>
        <v>0.5</v>
      </c>
      <c r="N352">
        <f t="shared" si="63"/>
        <v>0</v>
      </c>
      <c r="O352">
        <f t="shared" si="64"/>
        <v>0.3</v>
      </c>
      <c r="P352">
        <f>IFERROR(LN('Дивиденды по годам'!I352),"")</f>
        <v>26.98969086445571</v>
      </c>
      <c r="Q352">
        <f>IFERROR('Дивиденды по годам'!G352/'Дивиденды по годам'!I352, "")</f>
        <v>0.41672144582815063</v>
      </c>
      <c r="R352" t="str">
        <f>IFERROR(IF(AND('Дивиденды по годам'!N352&lt;&gt;"",'Дивиденды по годам'!U352&lt;&gt;"",'Дивиденды по годам'!U352&lt;&gt;0),'Дивиденды по годам'!N352/'Дивиденды по годам'!U352-1,""),"")</f>
        <v/>
      </c>
      <c r="S352" t="str">
        <f>IFERROR(IF(AND('Дивиденды по годам'!L352&lt;&gt;"",'Дивиденды по годам'!I352&lt;&gt;"",'Дивиденды по годам'!J352&lt;&gt;"",'Дивиденды по годам'!K352&lt;&gt;"",('Дивиденды по годам'!I352-'Дивиденды по годам'!J352-'Дивиденды по годам'!K352)&lt;&gt;0),'Дивиденды по годам'!L352/('Дивиденды по годам'!I352-'Дивиденды по годам'!J352-'Дивиденды по годам'!K352),""),"")</f>
        <v/>
      </c>
      <c r="T352" t="str">
        <f>IFERROR(IF(AND('Дивиденды по годам'!Q352&lt;&gt;"",'Дивиденды по годам'!I352&lt;&gt;"",'Дивиденды по годам'!V352&lt;&gt;"",('Дивиденды по годам'!I352+'Дивиденды по годам'!V352)&lt;&gt;0),'Дивиденды по годам'!Q352/(('Дивиденды по годам'!I352+'Дивиденды по годам'!V352)/2),""),"")</f>
        <v/>
      </c>
      <c r="U352">
        <f>IFERROR(IF(AND('Дивиденды по годам'!J352&lt;&gt;"",'Дивиденды по годам'!K352&lt;&gt;"",'Дивиденды по годам'!M352&lt;&gt;"",'Дивиденды по годам'!M352&lt;&gt;0),('Дивиденды по годам'!J352+'Дивиденды по годам'!K352)/'Дивиденды по годам'!M352,""),"")</f>
        <v>1.5341690198679188</v>
      </c>
      <c r="V352" cm="1">
        <f t="array" ref="V352">IFERROR(AVERAGE(_xlfn._xlws.FILTER(P$2:P$1073,($C$2:$C$1073=$C352)*($E$2:$E$1073=$E352)*(ROW(P$2:P$1073)&lt;&gt;ROW(P352))*(P$2:P$1073&lt;&gt;""))),"")</f>
        <v>26.356433452167149</v>
      </c>
      <c r="W352" cm="1">
        <f t="array" ref="W352">IFERROR(AVERAGE(_xlfn._xlws.FILTER(Q$2:Q$1073,($C$2:$C$1073=$C352)*($E$2:$E$1073=$E352)*(ROW(Q$2:Q$1073)&lt;&gt;ROW(Q352))*(Q$2:Q$1073&lt;&gt;""))),"")</f>
        <v>0.59135025113310546</v>
      </c>
      <c r="X352" cm="1">
        <f t="array" ref="X352">IFERROR(AVERAGE(_xlfn._xlws.FILTER(R$2:R$1073,($C$2:$C$1073=$C352)*($E$2:$E$1073=$E352)*(ROW(R$2:R$1073)&lt;&gt;ROW(R352))*(R$2:R$1073&lt;&gt;""))),"")</f>
        <v>0.21463216748681591</v>
      </c>
      <c r="Y352" t="str" cm="1">
        <f t="array" ref="Y352">IFERROR(AVERAGE(_xlfn._xlws.FILTER(S$2:S$1073,($C$2:$C$1073=$C352)*($E$2:$E$1073=$E352)*(ROW(S$2:S$1073)&lt;&gt;ROW(S352))*(S$2:S$1073&lt;&gt;""))),"")</f>
        <v/>
      </c>
      <c r="Z352" cm="1">
        <f t="array" ref="Z352">IFERROR(AVERAGE(_xlfn._xlws.FILTER(T$2:T$1073,($C$2:$C$1073=$C352)*($E$2:$E$1073=$E352)*(ROW(T$2:T$1073)&lt;&gt;ROW(T352))*(T$2:T$1073&lt;&gt;""))),"")</f>
        <v>0.11505618365484008</v>
      </c>
      <c r="AA352" cm="1">
        <f t="array" ref="AA352">IFERROR(AVERAGE(_xlfn._xlws.FILTER(U$2:U$1073,($C$2:$C$1073=$C352)*($E$2:$E$1073=$E352)*(ROW(U$2:U$1073)&lt;&gt;ROW(U352))*(U$2:U$1073&lt;&gt;""))),"")</f>
        <v>1.0526688791081946</v>
      </c>
    </row>
    <row r="353" spans="1:27" x14ac:dyDescent="0.2">
      <c r="A353" s="7" t="s">
        <v>2221</v>
      </c>
      <c r="B353" t="str">
        <f t="shared" si="57"/>
        <v>CHMF IV кв. 2010</v>
      </c>
      <c r="C353">
        <v>2010</v>
      </c>
      <c r="D353">
        <f>SUMIFS(Дивиденды!$C:$C,Дивиденды!$A:$A,A353,Дивиденды!$I:$I,C353)</f>
        <v>6.71</v>
      </c>
      <c r="E353">
        <v>3</v>
      </c>
      <c r="F353">
        <f t="shared" si="58"/>
        <v>6.71</v>
      </c>
      <c r="G353">
        <f t="shared" si="59"/>
        <v>2.4080000000000004</v>
      </c>
      <c r="H353">
        <f t="shared" si="60"/>
        <v>1</v>
      </c>
      <c r="I353">
        <f t="shared" si="56"/>
        <v>0.6</v>
      </c>
      <c r="J353" t="str">
        <f t="shared" si="61"/>
        <v/>
      </c>
      <c r="K353" t="str">
        <f t="shared" si="65"/>
        <v/>
      </c>
      <c r="L353" t="str">
        <f t="shared" si="62"/>
        <v/>
      </c>
      <c r="M353" t="str">
        <f t="shared" ref="M353:M416" si="66">IFERROR(AVERAGEIFS($L:$L,$E:$E,E353,$C:$C,C353,$A:$A,"&lt;&gt;"&amp;A353),"")</f>
        <v/>
      </c>
      <c r="N353" t="str">
        <f t="shared" si="63"/>
        <v/>
      </c>
      <c r="O353" t="str">
        <f t="shared" si="64"/>
        <v/>
      </c>
      <c r="P353" t="str">
        <f>IFERROR(LN('Дивиденды по годам'!I353),"")</f>
        <v/>
      </c>
      <c r="Q353" t="str">
        <f>IFERROR('Дивиденды по годам'!G353/'Дивиденды по годам'!I353, "")</f>
        <v/>
      </c>
      <c r="R353" t="str">
        <f>IFERROR(IF(AND('Дивиденды по годам'!N353&lt;&gt;"",'Дивиденды по годам'!U353&lt;&gt;"",'Дивиденды по годам'!U353&lt;&gt;0),'Дивиденды по годам'!N353/'Дивиденды по годам'!U353-1,""),"")</f>
        <v/>
      </c>
      <c r="S353" t="str">
        <f>IFERROR(IF(AND('Дивиденды по годам'!L353&lt;&gt;"",'Дивиденды по годам'!I353&lt;&gt;"",'Дивиденды по годам'!J353&lt;&gt;"",'Дивиденды по годам'!K353&lt;&gt;"",('Дивиденды по годам'!I353-'Дивиденды по годам'!J353-'Дивиденды по годам'!K353)&lt;&gt;0),'Дивиденды по годам'!L353/('Дивиденды по годам'!I353-'Дивиденды по годам'!J353-'Дивиденды по годам'!K353),""),"")</f>
        <v/>
      </c>
      <c r="T353" t="str">
        <f>IFERROR(IF(AND('Дивиденды по годам'!Q353&lt;&gt;"",'Дивиденды по годам'!I353&lt;&gt;"",'Дивиденды по годам'!V353&lt;&gt;"",('Дивиденды по годам'!I353+'Дивиденды по годам'!V353)&lt;&gt;0),'Дивиденды по годам'!Q353/(('Дивиденды по годам'!I353+'Дивиденды по годам'!V353)/2),""),"")</f>
        <v/>
      </c>
      <c r="U353" t="str">
        <f>IFERROR(IF(AND('Дивиденды по годам'!J353&lt;&gt;"",'Дивиденды по годам'!K353&lt;&gt;"",'Дивиденды по годам'!M353&lt;&gt;"",'Дивиденды по годам'!M353&lt;&gt;0),('Дивиденды по годам'!J353+'Дивиденды по годам'!K353)/'Дивиденды по годам'!M353,""),"")</f>
        <v/>
      </c>
      <c r="V353" cm="1">
        <f t="array" ref="V353">IFERROR(AVERAGE(_xlfn._xlws.FILTER(P$2:P$1073,($C$2:$C$1073=$C353)*($E$2:$E$1073=$E353)*(ROW(P$2:P$1073)&lt;&gt;ROW(P353))*(P$2:P$1073&lt;&gt;""))),"")</f>
        <v>26.127864794831805</v>
      </c>
      <c r="W353" cm="1">
        <f t="array" ref="W353">IFERROR(AVERAGE(_xlfn._xlws.FILTER(Q$2:Q$1073,($C$2:$C$1073=$C353)*($E$2:$E$1073=$E353)*(ROW(Q$2:Q$1073)&lt;&gt;ROW(Q353))*(Q$2:Q$1073&lt;&gt;""))),"")</f>
        <v>0.75539390451698762</v>
      </c>
      <c r="X353" t="str" cm="1">
        <f t="array" ref="X353">IFERROR(AVERAGE(_xlfn._xlws.FILTER(R$2:R$1073,($C$2:$C$1073=$C353)*($E$2:$E$1073=$E353)*(ROW(R$2:R$1073)&lt;&gt;ROW(R353))*(R$2:R$1073&lt;&gt;""))),"")</f>
        <v/>
      </c>
      <c r="Y353" t="str" cm="1">
        <f t="array" ref="Y353">IFERROR(AVERAGE(_xlfn._xlws.FILTER(S$2:S$1073,($C$2:$C$1073=$C353)*($E$2:$E$1073=$E353)*(ROW(S$2:S$1073)&lt;&gt;ROW(S353))*(S$2:S$1073&lt;&gt;""))),"")</f>
        <v/>
      </c>
      <c r="Z353" t="str" cm="1">
        <f t="array" ref="Z353">IFERROR(AVERAGE(_xlfn._xlws.FILTER(T$2:T$1073,($C$2:$C$1073=$C353)*($E$2:$E$1073=$E353)*(ROW(T$2:T$1073)&lt;&gt;ROW(T353))*(T$2:T$1073&lt;&gt;""))),"")</f>
        <v/>
      </c>
      <c r="AA353" cm="1">
        <f t="array" ref="AA353">IFERROR(AVERAGE(_xlfn._xlws.FILTER(U$2:U$1073,($C$2:$C$1073=$C353)*($E$2:$E$1073=$E353)*(ROW(U$2:U$1073)&lt;&gt;ROW(U353))*(U$2:U$1073&lt;&gt;""))),"")</f>
        <v>1.4017600691070078</v>
      </c>
    </row>
    <row r="354" spans="1:27" x14ac:dyDescent="0.2">
      <c r="A354" s="7" t="s">
        <v>2315</v>
      </c>
      <c r="B354" t="str">
        <f t="shared" si="57"/>
        <v>GMKN IV кв. 2025</v>
      </c>
      <c r="C354">
        <v>2025</v>
      </c>
      <c r="D354">
        <f>SUMIFS(Дивиденды!$C:$C,Дивиденды!$A:$A,A354,Дивиденды!$I:$I,C354)</f>
        <v>0</v>
      </c>
      <c r="E354">
        <v>3</v>
      </c>
      <c r="F354">
        <f t="shared" si="58"/>
        <v>0</v>
      </c>
      <c r="G354">
        <f t="shared" si="59"/>
        <v>10.684999999999999</v>
      </c>
      <c r="H354">
        <f t="shared" si="60"/>
        <v>0</v>
      </c>
      <c r="I354">
        <f t="shared" si="56"/>
        <v>0.1</v>
      </c>
      <c r="J354">
        <f t="shared" si="61"/>
        <v>0</v>
      </c>
      <c r="K354">
        <f t="shared" si="65"/>
        <v>-0.44741116251599566</v>
      </c>
      <c r="L354">
        <f t="shared" si="62"/>
        <v>0</v>
      </c>
      <c r="M354">
        <f t="shared" si="66"/>
        <v>0</v>
      </c>
      <c r="N354">
        <f t="shared" si="63"/>
        <v>0</v>
      </c>
      <c r="O354">
        <f t="shared" si="64"/>
        <v>0.5</v>
      </c>
      <c r="P354">
        <f>IFERROR(LN('Дивиденды по годам'!I354),"")</f>
        <v>28.587574214539469</v>
      </c>
      <c r="Q354">
        <f>IFERROR('Дивиденды по годам'!G354/'Дивиденды по годам'!I354, "")</f>
        <v>0.70677629895060146</v>
      </c>
      <c r="R354">
        <f>IFERROR(IF(AND('Дивиденды по годам'!N354&lt;&gt;"",'Дивиденды по годам'!U354&lt;&gt;"",'Дивиденды по годам'!U354&lt;&gt;0),'Дивиденды по годам'!N354/'Дивиденды по годам'!U354-1,""),"")</f>
        <v>-1.2650893565631316E-2</v>
      </c>
      <c r="S354">
        <f>IFERROR(IF(AND('Дивиденды по годам'!L354&lt;&gt;"",'Дивиденды по годам'!I354&lt;&gt;"",'Дивиденды по годам'!J354&lt;&gt;"",'Дивиденды по годам'!K354&lt;&gt;"",('Дивиденды по годам'!I354-'Дивиденды по годам'!J354-'Дивиденды по годам'!K354)&lt;&gt;0),'Дивиденды по годам'!L354/('Дивиденды по годам'!I354-'Дивиденды по годам'!J354-'Дивиденды по годам'!K354),""),"")</f>
        <v>1.1137225734473781</v>
      </c>
      <c r="T354">
        <f>IFERROR(IF(AND('Дивиденды по годам'!Q354&lt;&gt;"",'Дивиденды по годам'!I354&lt;&gt;"",'Дивиденды по годам'!V354&lt;&gt;"",('Дивиденды по годам'!I354+'Дивиденды по годам'!V354)&lt;&gt;0),'Дивиденды по годам'!Q354/(('Дивиденды по годам'!I354+'Дивиденды по годам'!V354)/2),""),"")</f>
        <v>8.663349379212576E-2</v>
      </c>
      <c r="U354">
        <f>IFERROR(IF(AND('Дивиденды по годам'!J354&lt;&gt;"",'Дивиденды по годам'!K354&lt;&gt;"",'Дивиденды по годам'!M354&lt;&gt;"",'Дивиденды по годам'!M354&lt;&gt;0),('Дивиденды по годам'!J354+'Дивиденды по годам'!K354)/'Дивиденды по годам'!M354,""),"")</f>
        <v>1.3247303830420227</v>
      </c>
      <c r="V354" cm="1">
        <f t="array" ref="V354">IFERROR(AVERAGE(_xlfn._xlws.FILTER(P$2:P$1073,($C$2:$C$1073=$C354)*($E$2:$E$1073=$E354)*(ROW(P$2:P$1073)&lt;&gt;ROW(P354))*(P$2:P$1073&lt;&gt;""))),"")</f>
        <v>27.374365841483399</v>
      </c>
      <c r="W354" cm="1">
        <f t="array" ref="W354">IFERROR(AVERAGE(_xlfn._xlws.FILTER(Q$2:Q$1073,($C$2:$C$1073=$C354)*($E$2:$E$1073=$E354)*(ROW(Q$2:Q$1073)&lt;&gt;ROW(Q354))*(Q$2:Q$1073&lt;&gt;""))),"")</f>
        <v>0.50375354190832777</v>
      </c>
      <c r="X354" cm="1">
        <f t="array" ref="X354">IFERROR(AVERAGE(_xlfn._xlws.FILTER(R$2:R$1073,($C$2:$C$1073=$C354)*($E$2:$E$1073=$E354)*(ROW(R$2:R$1073)&lt;&gt;ROW(R354))*(R$2:R$1073&lt;&gt;""))),"")</f>
        <v>-0.10527471373547337</v>
      </c>
      <c r="Y354" cm="1">
        <f t="array" ref="Y354">IFERROR(AVERAGE(_xlfn._xlws.FILTER(S$2:S$1073,($C$2:$C$1073=$C354)*($E$2:$E$1073=$E354)*(ROW(S$2:S$1073)&lt;&gt;ROW(S354))*(S$2:S$1073&lt;&gt;""))),"")</f>
        <v>0.96880966201945473</v>
      </c>
      <c r="Z354" cm="1">
        <f t="array" ref="Z354">IFERROR(AVERAGE(_xlfn._xlws.FILTER(T$2:T$1073,($C$2:$C$1073=$C354)*($E$2:$E$1073=$E354)*(ROW(T$2:T$1073)&lt;&gt;ROW(T354))*(T$2:T$1073&lt;&gt;""))),"")</f>
        <v>4.8406283615807302E-3</v>
      </c>
      <c r="AA354" cm="1">
        <f t="array" ref="AA354">IFERROR(AVERAGE(_xlfn._xlws.FILTER(U$2:U$1073,($C$2:$C$1073=$C354)*($E$2:$E$1073=$E354)*(ROW(U$2:U$1073)&lt;&gt;ROW(U354))*(U$2:U$1073&lt;&gt;""))),"")</f>
        <v>3.4529045525796227</v>
      </c>
    </row>
    <row r="355" spans="1:27" x14ac:dyDescent="0.2">
      <c r="A355" s="7" t="s">
        <v>2315</v>
      </c>
      <c r="B355" t="str">
        <f t="shared" si="57"/>
        <v>GMKN IV кв. 2024</v>
      </c>
      <c r="C355">
        <v>2024</v>
      </c>
      <c r="D355">
        <f>SUMIFS(Дивиденды!$C:$C,Дивиденды!$A:$A,A355,Дивиденды!$I:$I,C355)</f>
        <v>0</v>
      </c>
      <c r="E355">
        <v>3</v>
      </c>
      <c r="F355">
        <f t="shared" si="58"/>
        <v>0</v>
      </c>
      <c r="G355">
        <f t="shared" si="59"/>
        <v>33.058</v>
      </c>
      <c r="H355">
        <f t="shared" si="60"/>
        <v>0</v>
      </c>
      <c r="I355">
        <f t="shared" si="56"/>
        <v>0.5</v>
      </c>
      <c r="J355">
        <f t="shared" si="61"/>
        <v>0</v>
      </c>
      <c r="K355">
        <f t="shared" si="65"/>
        <v>-0.20461447297899457</v>
      </c>
      <c r="L355">
        <f t="shared" si="62"/>
        <v>0</v>
      </c>
      <c r="M355">
        <f t="shared" si="66"/>
        <v>0.1</v>
      </c>
      <c r="N355">
        <f t="shared" si="63"/>
        <v>0</v>
      </c>
      <c r="O355">
        <f t="shared" si="64"/>
        <v>0.5</v>
      </c>
      <c r="P355">
        <f>IFERROR(LN('Дивиденды по годам'!I355),"")</f>
        <v>28.394411893111407</v>
      </c>
      <c r="Q355">
        <f>IFERROR('Дивиденды по годам'!G355/'Дивиденды по годам'!I355, "")</f>
        <v>0.65865343116098407</v>
      </c>
      <c r="R355">
        <f>IFERROR(IF(AND('Дивиденды по годам'!N355&lt;&gt;"",'Дивиденды по годам'!U355&lt;&gt;"",'Дивиденды по годам'!U355&lt;&gt;0),'Дивиденды по годам'!N355/'Дивиденды по годам'!U355-1,""),"")</f>
        <v>-5.6942077997401919E-2</v>
      </c>
      <c r="S355">
        <f>IFERROR(IF(AND('Дивиденды по годам'!L355&lt;&gt;"",'Дивиденды по годам'!I355&lt;&gt;"",'Дивиденды по годам'!J355&lt;&gt;"",'Дивиденды по годам'!K355&lt;&gt;"",('Дивиденды по годам'!I355-'Дивиденды по годам'!J355-'Дивиденды по годам'!K355)&lt;&gt;0),'Дивиденды по годам'!L355/('Дивиденды по годам'!I355-'Дивиденды по годам'!J355-'Дивиденды по годам'!K355),""),"")</f>
        <v>1.560824996912437</v>
      </c>
      <c r="T355">
        <f>IFERROR(IF(AND('Дивиденды по годам'!Q355&lt;&gt;"",'Дивиденды по годам'!I355&lt;&gt;"",'Дивиденды по годам'!V355&lt;&gt;"",('Дивиденды по годам'!I355+'Дивиденды по годам'!V355)&lt;&gt;0),'Дивиденды по годам'!Q355/(('Дивиденды по годам'!I355+'Дивиденды по годам'!V355)/2),""),"")</f>
        <v>8.0807025787379264E-2</v>
      </c>
      <c r="U355">
        <f>IFERROR(IF(AND('Дивиденды по годам'!J355&lt;&gt;"",'Дивиденды по годам'!K355&lt;&gt;"",'Дивиденды по годам'!M355&lt;&gt;"",'Дивиденды по годам'!M355&lt;&gt;0),('Дивиденды по годам'!J355+'Дивиденды по годам'!K355)/'Дивиденды по годам'!M355,""),"")</f>
        <v>1.8615536618500679</v>
      </c>
      <c r="V355" cm="1">
        <f t="array" ref="V355">IFERROR(AVERAGE(_xlfn._xlws.FILTER(P$2:P$1073,($C$2:$C$1073=$C355)*($E$2:$E$1073=$E355)*(ROW(P$2:P$1073)&lt;&gt;ROW(P355))*(P$2:P$1073&lt;&gt;""))),"")</f>
        <v>27.171717895811121</v>
      </c>
      <c r="W355" cm="1">
        <f t="array" ref="W355">IFERROR(AVERAGE(_xlfn._xlws.FILTER(Q$2:Q$1073,($C$2:$C$1073=$C355)*($E$2:$E$1073=$E355)*(ROW(Q$2:Q$1073)&lt;&gt;ROW(Q355))*(Q$2:Q$1073&lt;&gt;""))),"")</f>
        <v>0.46228753804861877</v>
      </c>
      <c r="X355" cm="1">
        <f t="array" ref="X355">IFERROR(AVERAGE(_xlfn._xlws.FILTER(R$2:R$1073,($C$2:$C$1073=$C355)*($E$2:$E$1073=$E355)*(ROW(R$2:R$1073)&lt;&gt;ROW(R355))*(R$2:R$1073&lt;&gt;""))),"")</f>
        <v>3.3505317641031193E-2</v>
      </c>
      <c r="Y355" cm="1">
        <f t="array" ref="Y355">IFERROR(AVERAGE(_xlfn._xlws.FILTER(S$2:S$1073,($C$2:$C$1073=$C355)*($E$2:$E$1073=$E355)*(ROW(S$2:S$1073)&lt;&gt;ROW(S355))*(S$2:S$1073&lt;&gt;""))),"")</f>
        <v>1.1338042580101244</v>
      </c>
      <c r="Z355" cm="1">
        <f t="array" ref="Z355">IFERROR(AVERAGE(_xlfn._xlws.FILTER(T$2:T$1073,($C$2:$C$1073=$C355)*($E$2:$E$1073=$E355)*(ROW(T$2:T$1073)&lt;&gt;ROW(T355))*(T$2:T$1073&lt;&gt;""))),"")</f>
        <v>4.1995048431106061E-2</v>
      </c>
      <c r="AA355" cm="1">
        <f t="array" ref="AA355">IFERROR(AVERAGE(_xlfn._xlws.FILTER(U$2:U$1073,($C$2:$C$1073=$C355)*($E$2:$E$1073=$E355)*(ROW(U$2:U$1073)&lt;&gt;ROW(U355))*(U$2:U$1073&lt;&gt;""))),"")</f>
        <v>2.635064249892209</v>
      </c>
    </row>
    <row r="356" spans="1:27" x14ac:dyDescent="0.2">
      <c r="A356" s="7" t="s">
        <v>2315</v>
      </c>
      <c r="B356" t="str">
        <f t="shared" si="57"/>
        <v>GMKN IV кв. 2023</v>
      </c>
      <c r="C356">
        <v>2023</v>
      </c>
      <c r="D356">
        <f>SUMIFS(Дивиденды!$C:$C,Дивиденды!$A:$A,A356,Дивиденды!$I:$I,C356)</f>
        <v>0</v>
      </c>
      <c r="E356">
        <v>3</v>
      </c>
      <c r="F356">
        <f t="shared" si="58"/>
        <v>0</v>
      </c>
      <c r="G356">
        <f t="shared" si="59"/>
        <v>25.244</v>
      </c>
      <c r="H356">
        <f t="shared" si="60"/>
        <v>0</v>
      </c>
      <c r="I356">
        <f t="shared" si="56"/>
        <v>0.6</v>
      </c>
      <c r="J356">
        <f t="shared" si="61"/>
        <v>0</v>
      </c>
      <c r="K356">
        <f t="shared" si="65"/>
        <v>0.43287037037037035</v>
      </c>
      <c r="L356">
        <f t="shared" si="62"/>
        <v>0</v>
      </c>
      <c r="M356">
        <f t="shared" si="66"/>
        <v>0.6</v>
      </c>
      <c r="N356">
        <f t="shared" si="63"/>
        <v>0</v>
      </c>
      <c r="O356">
        <f t="shared" si="64"/>
        <v>0.1</v>
      </c>
      <c r="P356">
        <f>IFERROR(LN('Дивиденды по годам'!I356),"")</f>
        <v>28.331251745150347</v>
      </c>
      <c r="Q356">
        <f>IFERROR('Дивиденды по годам'!G356/'Дивиденды по годам'!I356, "")</f>
        <v>0.64380831212892276</v>
      </c>
      <c r="R356">
        <f>IFERROR(IF(AND('Дивиденды по годам'!N356&lt;&gt;"",'Дивиденды по годам'!U356&lt;&gt;"",'Дивиденды по годам'!U356&lt;&gt;0),'Дивиденды по годам'!N356/'Дивиденды по годам'!U356-1,""),"")</f>
        <v>7.1312308054158446E-2</v>
      </c>
      <c r="S356">
        <f>IFERROR(IF(AND('Дивиденды по годам'!L356&lt;&gt;"",'Дивиденды по годам'!I356&lt;&gt;"",'Дивиденды по годам'!J356&lt;&gt;"",'Дивиденды по годам'!K356&lt;&gt;"",('Дивиденды по годам'!I356-'Дивиденды по годам'!J356-'Дивиденды по годам'!K356)&lt;&gt;0),'Дивиденды по годам'!L356/('Дивиденды по годам'!I356-'Дивиденды по годам'!J356-'Дивиденды по годам'!K356),""),"")</f>
        <v>1.4909809084924293</v>
      </c>
      <c r="T356">
        <f>IFERROR(IF(AND('Дивиденды по годам'!Q356&lt;&gt;"",'Дивиденды по годам'!I356&lt;&gt;"",'Дивиденды по годам'!V356&lt;&gt;"",('Дивиденды по годам'!I356+'Дивиденды по годам'!V356)&lt;&gt;0),'Дивиденды по годам'!Q356/(('Дивиденды по годам'!I356+'Дивиденды по годам'!V356)/2),""),"")</f>
        <v>0.13004626724100526</v>
      </c>
      <c r="U356">
        <f>IFERROR(IF(AND('Дивиденды по годам'!J356&lt;&gt;"",'Дивиденды по годам'!K356&lt;&gt;"",'Дивиденды по годам'!M356&lt;&gt;"",'Дивиденды по годам'!M356&lt;&gt;0),('Дивиденды по годам'!J356+'Дивиденды по годам'!K356)/'Дивиденды по годам'!M356,""),"")</f>
        <v>2.1046741277156022</v>
      </c>
      <c r="V356" cm="1">
        <f t="array" ref="V356">IFERROR(AVERAGE(_xlfn._xlws.FILTER(P$2:P$1073,($C$2:$C$1073=$C356)*($E$2:$E$1073=$E356)*(ROW(P$2:P$1073)&lt;&gt;ROW(P356))*(P$2:P$1073&lt;&gt;""))),"")</f>
        <v>27.098810467137174</v>
      </c>
      <c r="W356" cm="1">
        <f t="array" ref="W356">IFERROR(AVERAGE(_xlfn._xlws.FILTER(Q$2:Q$1073,($C$2:$C$1073=$C356)*($E$2:$E$1073=$E356)*(ROW(Q$2:Q$1073)&lt;&gt;ROW(Q356))*(Q$2:Q$1073&lt;&gt;""))),"")</f>
        <v>0.43697328711707162</v>
      </c>
      <c r="X356" cm="1">
        <f t="array" ref="X356">IFERROR(AVERAGE(_xlfn._xlws.FILTER(R$2:R$1073,($C$2:$C$1073=$C356)*($E$2:$E$1073=$E356)*(ROW(R$2:R$1073)&lt;&gt;ROW(R356))*(R$2:R$1073&lt;&gt;""))),"")</f>
        <v>0.13679176323033609</v>
      </c>
      <c r="Y356" cm="1">
        <f t="array" ref="Y356">IFERROR(AVERAGE(_xlfn._xlws.FILTER(S$2:S$1073,($C$2:$C$1073=$C356)*($E$2:$E$1073=$E356)*(ROW(S$2:S$1073)&lt;&gt;ROW(S356))*(S$2:S$1073&lt;&gt;""))),"")</f>
        <v>-6.6439690654670482E-4</v>
      </c>
      <c r="Z356" cm="1">
        <f t="array" ref="Z356">IFERROR(AVERAGE(_xlfn._xlws.FILTER(T$2:T$1073,($C$2:$C$1073=$C356)*($E$2:$E$1073=$E356)*(ROW(T$2:T$1073)&lt;&gt;ROW(T356))*(T$2:T$1073&lt;&gt;""))),"")</f>
        <v>0.11723369776261539</v>
      </c>
      <c r="AA356" cm="1">
        <f t="array" ref="AA356">IFERROR(AVERAGE(_xlfn._xlws.FILTER(U$2:U$1073,($C$2:$C$1073=$C356)*($E$2:$E$1073=$E356)*(ROW(U$2:U$1073)&lt;&gt;ROW(U356))*(U$2:U$1073&lt;&gt;""))),"")</f>
        <v>-0.8236774383860137</v>
      </c>
    </row>
    <row r="357" spans="1:27" x14ac:dyDescent="0.2">
      <c r="A357" s="7" t="s">
        <v>2315</v>
      </c>
      <c r="B357" t="str">
        <f t="shared" si="57"/>
        <v>GMKN IV кв. 2022</v>
      </c>
      <c r="C357">
        <v>2022</v>
      </c>
      <c r="D357">
        <f>SUMIFS(Дивиденды!$C:$C,Дивиденды!$A:$A,A357,Дивиденды!$I:$I,C357)</f>
        <v>0</v>
      </c>
      <c r="E357">
        <v>3</v>
      </c>
      <c r="F357">
        <f t="shared" si="58"/>
        <v>0</v>
      </c>
      <c r="G357">
        <f t="shared" si="59"/>
        <v>1.73</v>
      </c>
      <c r="H357">
        <f t="shared" si="60"/>
        <v>0</v>
      </c>
      <c r="I357">
        <f t="shared" si="56"/>
        <v>0.2</v>
      </c>
      <c r="J357">
        <f t="shared" si="61"/>
        <v>0</v>
      </c>
      <c r="K357">
        <f t="shared" si="65"/>
        <v>-0.60242800677583286</v>
      </c>
      <c r="L357">
        <f t="shared" si="62"/>
        <v>0</v>
      </c>
      <c r="M357">
        <f t="shared" si="66"/>
        <v>0.1</v>
      </c>
      <c r="N357">
        <f t="shared" si="63"/>
        <v>0</v>
      </c>
      <c r="O357">
        <f t="shared" si="64"/>
        <v>0.8</v>
      </c>
      <c r="P357">
        <f>IFERROR(LN('Дивиденды по годам'!I357),"")</f>
        <v>28.194109688710178</v>
      </c>
      <c r="Q357">
        <f>IFERROR('Дивиденды по годам'!G357/'Дивиденды по годам'!I357, "")</f>
        <v>0.63050978871874397</v>
      </c>
      <c r="R357">
        <f>IFERROR(IF(AND('Дивиденды по годам'!N357&lt;&gt;"",'Дивиденды по годам'!U357&lt;&gt;"",'Дивиденды по годам'!U357&lt;&gt;0),'Дивиденды по годам'!N357/'Дивиденды по годам'!U357-1,""),"")</f>
        <v>-0.1276726521648478</v>
      </c>
      <c r="S357">
        <f>IFERROR(IF(AND('Дивиденды по годам'!L357&lt;&gt;"",'Дивиденды по годам'!I357&lt;&gt;"",'Дивиденды по годам'!J357&lt;&gt;"",'Дивиденды по годам'!K357&lt;&gt;"",('Дивиденды по годам'!I357-'Дивиденды по годам'!J357-'Дивиденды по годам'!K357)&lt;&gt;0),'Дивиденды по годам'!L357/('Дивиденды по годам'!I357-'Дивиденды по годам'!J357-'Дивиденды по годам'!K357),""),"")</f>
        <v>1.219563441111241</v>
      </c>
      <c r="T357">
        <f>IFERROR(IF(AND('Дивиденды по годам'!Q357&lt;&gt;"",'Дивиденды по годам'!I357&lt;&gt;"",'Дивиденды по годам'!V357&lt;&gt;"",('Дивиденды по годам'!I357+'Дивиденды по годам'!V357)&lt;&gt;0),'Дивиденды по годам'!Q357/(('Дивиденды по годам'!I357+'Дивиденды по годам'!V357)/2),""),"")</f>
        <v>0.22871134937663029</v>
      </c>
      <c r="U357">
        <f>IFERROR(IF(AND('Дивиденды по годам'!J357&lt;&gt;"",'Дивиденды по годам'!K357&lt;&gt;"",'Дивиденды по годам'!M357&lt;&gt;"",'Дивиденды по годам'!M357&lt;&gt;0),('Дивиденды по годам'!J357+'Дивиденды по годам'!K357)/'Дивиденды по годам'!M357,""),"")</f>
        <v>2.0109723357067812</v>
      </c>
      <c r="V357" cm="1">
        <f t="array" ref="V357">IFERROR(AVERAGE(_xlfn._xlws.FILTER(P$2:P$1073,($C$2:$C$1073=$C357)*($E$2:$E$1073=$E357)*(ROW(P$2:P$1073)&lt;&gt;ROW(P357))*(P$2:P$1073&lt;&gt;""))),"")</f>
        <v>26.971705749806716</v>
      </c>
      <c r="W357" cm="1">
        <f t="array" ref="W357">IFERROR(AVERAGE(_xlfn._xlws.FILTER(Q$2:Q$1073,($C$2:$C$1073=$C357)*($E$2:$E$1073=$E357)*(ROW(Q$2:Q$1073)&lt;&gt;ROW(Q357))*(Q$2:Q$1073&lt;&gt;""))),"")</f>
        <v>0.45591399112002007</v>
      </c>
      <c r="X357" cm="1">
        <f t="array" ref="X357">IFERROR(AVERAGE(_xlfn._xlws.FILTER(R$2:R$1073,($C$2:$C$1073=$C357)*($E$2:$E$1073=$E357)*(ROW(R$2:R$1073)&lt;&gt;ROW(R357))*(R$2:R$1073&lt;&gt;""))),"")</f>
        <v>-1.1093808244678382E-2</v>
      </c>
      <c r="Y357" cm="1">
        <f t="array" ref="Y357">IFERROR(AVERAGE(_xlfn._xlws.FILTER(S$2:S$1073,($C$2:$C$1073=$C357)*($E$2:$E$1073=$E357)*(ROW(S$2:S$1073)&lt;&gt;ROW(S357))*(S$2:S$1073&lt;&gt;""))),"")</f>
        <v>0.8150420995265607</v>
      </c>
      <c r="Z357" cm="1">
        <f t="array" ref="Z357">IFERROR(AVERAGE(_xlfn._xlws.FILTER(T$2:T$1073,($C$2:$C$1073=$C357)*($E$2:$E$1073=$E357)*(ROW(T$2:T$1073)&lt;&gt;ROW(T357))*(T$2:T$1073&lt;&gt;""))),"")</f>
        <v>0.15166555297764495</v>
      </c>
      <c r="AA357" cm="1">
        <f t="array" ref="AA357">IFERROR(AVERAGE(_xlfn._xlws.FILTER(U$2:U$1073,($C$2:$C$1073=$C357)*($E$2:$E$1073=$E357)*(ROW(U$2:U$1073)&lt;&gt;ROW(U357))*(U$2:U$1073&lt;&gt;""))),"")</f>
        <v>1.0675956688234387</v>
      </c>
    </row>
    <row r="358" spans="1:27" x14ac:dyDescent="0.2">
      <c r="A358" s="7" t="s">
        <v>2315</v>
      </c>
      <c r="B358" t="str">
        <f t="shared" si="57"/>
        <v>GMKN IV кв. 2021</v>
      </c>
      <c r="C358">
        <v>2021</v>
      </c>
      <c r="D358">
        <f>SUMIFS(Дивиденды!$C:$C,Дивиденды!$A:$A,A358,Дивиденды!$I:$I,C358)</f>
        <v>0</v>
      </c>
      <c r="E358">
        <v>3</v>
      </c>
      <c r="F358">
        <f t="shared" si="58"/>
        <v>0</v>
      </c>
      <c r="G358">
        <f t="shared" si="59"/>
        <v>36.855000000000004</v>
      </c>
      <c r="H358">
        <f t="shared" si="60"/>
        <v>0</v>
      </c>
      <c r="I358">
        <f t="shared" si="56"/>
        <v>0.8</v>
      </c>
      <c r="J358">
        <f t="shared" si="61"/>
        <v>0</v>
      </c>
      <c r="K358">
        <f t="shared" si="65"/>
        <v>0.73069632657079653</v>
      </c>
      <c r="L358">
        <f t="shared" si="62"/>
        <v>0</v>
      </c>
      <c r="M358">
        <f t="shared" si="66"/>
        <v>0.5</v>
      </c>
      <c r="N358">
        <f t="shared" si="63"/>
        <v>0</v>
      </c>
      <c r="O358">
        <f t="shared" si="64"/>
        <v>0.2</v>
      </c>
      <c r="P358">
        <f>IFERROR(LN('Дивиденды по годам'!I358),"")</f>
        <v>28.178527119507471</v>
      </c>
      <c r="Q358">
        <f>IFERROR('Дивиденды по годам'!G358/'Дивиденды по годам'!I358, "")</f>
        <v>0.5418818007254107</v>
      </c>
      <c r="R358">
        <f>IFERROR(IF(AND('Дивиденды по годам'!N358&lt;&gt;"",'Дивиденды по годам'!U358&lt;&gt;"",'Дивиденды по годам'!U358&lt;&gt;0),'Дивиденды по годам'!N358/'Дивиденды по годам'!U358-1,""),"")</f>
        <v>0.17189251945470607</v>
      </c>
      <c r="S358">
        <f>IFERROR(IF(AND('Дивиденды по годам'!L358&lt;&gt;"",'Дивиденды по годам'!I358&lt;&gt;"",'Дивиденды по годам'!J358&lt;&gt;"",'Дивиденды по годам'!K358&lt;&gt;"",('Дивиденды по годам'!I358-'Дивиденды по годам'!J358-'Дивиденды по годам'!K358)&lt;&gt;0),'Дивиденды по годам'!L358/('Дивиденды по годам'!I358-'Дивиденды по годам'!J358-'Дивиденды по годам'!K358),""),"")</f>
        <v>1.7092731829573946</v>
      </c>
      <c r="T358">
        <f>IFERROR(IF(AND('Дивиденды по годам'!Q358&lt;&gt;"",'Дивиденды по годам'!I358&lt;&gt;"",'Дивиденды по годам'!V358&lt;&gt;"",('Дивиденды по годам'!I358+'Дивиденды по годам'!V358)&lt;&gt;0),'Дивиденды по годам'!Q358/(('Дивиденды по годам'!I358+'Дивиденды по годам'!V358)/2),""),"")</f>
        <v>0.31898603074425064</v>
      </c>
      <c r="U358">
        <f>IFERROR(IF(AND('Дивиденды по годам'!J358&lt;&gt;"",'Дивиденды по годам'!K358&lt;&gt;"",'Дивиденды по годам'!M358&lt;&gt;"",'Дивиденды по годам'!M358&lt;&gt;0),('Дивиденды по годам'!J358+'Дивиденды по годам'!K358)/'Дивиденды по годам'!M358,""),"")</f>
        <v>3.8945279866332494</v>
      </c>
      <c r="V358" cm="1">
        <f t="array" ref="V358">IFERROR(AVERAGE(_xlfn._xlws.FILTER(P$2:P$1073,($C$2:$C$1073=$C358)*($E$2:$E$1073=$E358)*(ROW(P$2:P$1073)&lt;&gt;ROW(P358))*(P$2:P$1073&lt;&gt;""))),"")</f>
        <v>26.865443490241223</v>
      </c>
      <c r="W358" cm="1">
        <f t="array" ref="W358">IFERROR(AVERAGE(_xlfn._xlws.FILTER(Q$2:Q$1073,($C$2:$C$1073=$C358)*($E$2:$E$1073=$E358)*(ROW(Q$2:Q$1073)&lt;&gt;ROW(Q358))*(Q$2:Q$1073&lt;&gt;""))),"")</f>
        <v>0.48228315302734731</v>
      </c>
      <c r="X358" cm="1">
        <f t="array" ref="X358">IFERROR(AVERAGE(_xlfn._xlws.FILTER(R$2:R$1073,($C$2:$C$1073=$C358)*($E$2:$E$1073=$E358)*(ROW(R$2:R$1073)&lt;&gt;ROW(R358))*(R$2:R$1073&lt;&gt;""))),"")</f>
        <v>0.73424206645786849</v>
      </c>
      <c r="Y358" cm="1">
        <f t="array" ref="Y358">IFERROR(AVERAGE(_xlfn._xlws.FILTER(S$2:S$1073,($C$2:$C$1073=$C358)*($E$2:$E$1073=$E358)*(ROW(S$2:S$1073)&lt;&gt;ROW(S358))*(S$2:S$1073&lt;&gt;""))),"")</f>
        <v>0.96801997445051546</v>
      </c>
      <c r="Z358" cm="1">
        <f t="array" ref="Z358">IFERROR(AVERAGE(_xlfn._xlws.FILTER(T$2:T$1073,($C$2:$C$1073=$C358)*($E$2:$E$1073=$E358)*(ROW(T$2:T$1073)&lt;&gt;ROW(T358))*(T$2:T$1073&lt;&gt;""))),"")</f>
        <v>0.2841946882344763</v>
      </c>
      <c r="AA358" cm="1">
        <f t="array" ref="AA358">IFERROR(AVERAGE(_xlfn._xlws.FILTER(U$2:U$1073,($C$2:$C$1073=$C358)*($E$2:$E$1073=$E358)*(ROW(U$2:U$1073)&lt;&gt;ROW(U358))*(U$2:U$1073&lt;&gt;""))),"")</f>
        <v>1.8635234296858154</v>
      </c>
    </row>
    <row r="359" spans="1:27" x14ac:dyDescent="0.2">
      <c r="A359" s="7" t="s">
        <v>2315</v>
      </c>
      <c r="B359" t="str">
        <f t="shared" si="57"/>
        <v>GMKN IV кв. 2020</v>
      </c>
      <c r="C359">
        <v>2020</v>
      </c>
      <c r="D359">
        <f>SUMIFS(Дивиденды!$C:$C,Дивиденды!$A:$A,A359,Дивиденды!$I:$I,C359)</f>
        <v>0</v>
      </c>
      <c r="E359">
        <v>3</v>
      </c>
      <c r="F359">
        <f t="shared" si="58"/>
        <v>0</v>
      </c>
      <c r="G359">
        <f t="shared" si="59"/>
        <v>23.983999999999998</v>
      </c>
      <c r="H359">
        <f t="shared" si="60"/>
        <v>0</v>
      </c>
      <c r="I359">
        <f t="shared" si="56"/>
        <v>0.8</v>
      </c>
      <c r="J359">
        <f t="shared" si="61"/>
        <v>0</v>
      </c>
      <c r="K359">
        <f t="shared" si="65"/>
        <v>0.6593795487099845</v>
      </c>
      <c r="L359">
        <f t="shared" si="62"/>
        <v>0</v>
      </c>
      <c r="M359">
        <f t="shared" si="66"/>
        <v>0.7</v>
      </c>
      <c r="N359">
        <f t="shared" si="63"/>
        <v>0</v>
      </c>
      <c r="O359">
        <f t="shared" si="64"/>
        <v>0.1</v>
      </c>
      <c r="P359">
        <f>IFERROR(LN('Дивиденды по годам'!I359),"")</f>
        <v>28.03447652473346</v>
      </c>
      <c r="Q359">
        <f>IFERROR('Дивиденды по годам'!G359/'Дивиденды по годам'!I359, "")</f>
        <v>0.51975272867767797</v>
      </c>
      <c r="R359">
        <f>IFERROR(IF(AND('Дивиденды по годам'!N359&lt;&gt;"",'Дивиденды по годам'!U359&lt;&gt;"",'Дивиденды по годам'!U359&lt;&gt;0),'Дивиденды по годам'!N359/'Дивиденды по годам'!U359-1,""),"")</f>
        <v>0.28093220771441052</v>
      </c>
      <c r="S359">
        <f>IFERROR(IF(AND('Дивиденды по годам'!L359&lt;&gt;"",'Дивиденды по годам'!I359&lt;&gt;"",'Дивиденды по годам'!J359&lt;&gt;"",'Дивиденды по годам'!K359&lt;&gt;"",('Дивиденды по годам'!I359-'Дивиденды по годам'!J359-'Дивиденды по годам'!K359)&lt;&gt;0),'Дивиденды по годам'!L359/('Дивиденды по годам'!I359-'Дивиденды по годам'!J359-'Дивиденды по годам'!K359),""),"")</f>
        <v>1.7732620320855614</v>
      </c>
      <c r="T359">
        <f>IFERROR(IF(AND('Дивиденды по годам'!Q359&lt;&gt;"",'Дивиденды по годам'!I359&lt;&gt;"",'Дивиденды по годам'!V359&lt;&gt;"",('Дивиденды по годам'!I359+'Дивиденды по годам'!V359)&lt;&gt;0),'Дивиденды по годам'!Q359/(('Дивиденды по годам'!I359+'Дивиденды по годам'!V359)/2),""),"")</f>
        <v>0.19060783392140637</v>
      </c>
      <c r="U359">
        <f>IFERROR(IF(AND('Дивиденды по годам'!J359&lt;&gt;"",'Дивиденды по годам'!K359&lt;&gt;"",'Дивиденды по годам'!M359&lt;&gt;"",'Дивиденды по годам'!M359&lt;&gt;0),('Дивиденды по годам'!J359+'Дивиденды по годам'!K359)/'Дивиденды по годам'!M359,""),"")</f>
        <v>3.4290909090909087</v>
      </c>
      <c r="V359" cm="1">
        <f t="array" ref="V359">IFERROR(AVERAGE(_xlfn._xlws.FILTER(P$2:P$1073,($C$2:$C$1073=$C359)*($E$2:$E$1073=$E359)*(ROW(P$2:P$1073)&lt;&gt;ROW(P359))*(P$2:P$1073&lt;&gt;""))),"")</f>
        <v>26.697093359949577</v>
      </c>
      <c r="W359" cm="1">
        <f t="array" ref="W359">IFERROR(AVERAGE(_xlfn._xlws.FILTER(Q$2:Q$1073,($C$2:$C$1073=$C359)*($E$2:$E$1073=$E359)*(ROW(Q$2:Q$1073)&lt;&gt;ROW(Q359))*(Q$2:Q$1073&lt;&gt;""))),"")</f>
        <v>0.50475230678520133</v>
      </c>
      <c r="X359" cm="1">
        <f t="array" ref="X359">IFERROR(AVERAGE(_xlfn._xlws.FILTER(R$2:R$1073,($C$2:$C$1073=$C359)*($E$2:$E$1073=$E359)*(ROW(R$2:R$1073)&lt;&gt;ROW(R359))*(R$2:R$1073&lt;&gt;""))),"")</f>
        <v>1.858247668892843E-3</v>
      </c>
      <c r="Y359" cm="1">
        <f t="array" ref="Y359">IFERROR(AVERAGE(_xlfn._xlws.FILTER(S$2:S$1073,($C$2:$C$1073=$C359)*($E$2:$E$1073=$E359)*(ROW(S$2:S$1073)&lt;&gt;ROW(S359))*(S$2:S$1073&lt;&gt;""))),"")</f>
        <v>0.96777407633695312</v>
      </c>
      <c r="Z359" cm="1">
        <f t="array" ref="Z359">IFERROR(AVERAGE(_xlfn._xlws.FILTER(T$2:T$1073,($C$2:$C$1073=$C359)*($E$2:$E$1073=$E359)*(ROW(T$2:T$1073)&lt;&gt;ROW(T359))*(T$2:T$1073&lt;&gt;""))),"")</f>
        <v>8.4667908114658921E-2</v>
      </c>
      <c r="AA359" cm="1">
        <f t="array" ref="AA359">IFERROR(AVERAGE(_xlfn._xlws.FILTER(U$2:U$1073,($C$2:$C$1073=$C359)*($E$2:$E$1073=$E359)*(ROW(U$2:U$1073)&lt;&gt;ROW(U359))*(U$2:U$1073&lt;&gt;""))),"")</f>
        <v>1.481912366182021</v>
      </c>
    </row>
    <row r="360" spans="1:27" x14ac:dyDescent="0.2">
      <c r="A360" s="7" t="s">
        <v>2315</v>
      </c>
      <c r="B360" t="str">
        <f t="shared" si="57"/>
        <v>GMKN IV кв. 2019</v>
      </c>
      <c r="C360">
        <v>2019</v>
      </c>
      <c r="D360">
        <f>SUMIFS(Дивиденды!$C:$C,Дивиденды!$A:$A,A360,Дивиденды!$I:$I,C360)</f>
        <v>0</v>
      </c>
      <c r="E360">
        <v>3</v>
      </c>
      <c r="F360">
        <f t="shared" si="58"/>
        <v>0</v>
      </c>
      <c r="G360">
        <f t="shared" si="59"/>
        <v>19.591000000000001</v>
      </c>
      <c r="H360">
        <f t="shared" si="60"/>
        <v>0</v>
      </c>
      <c r="I360">
        <f t="shared" si="56"/>
        <v>0.8</v>
      </c>
      <c r="J360">
        <f t="shared" si="61"/>
        <v>0</v>
      </c>
      <c r="K360">
        <f t="shared" si="65"/>
        <v>0.25160659566020116</v>
      </c>
      <c r="L360">
        <f t="shared" si="62"/>
        <v>0</v>
      </c>
      <c r="M360">
        <f t="shared" si="66"/>
        <v>0.4</v>
      </c>
      <c r="N360">
        <f t="shared" si="63"/>
        <v>0</v>
      </c>
      <c r="O360">
        <f t="shared" si="64"/>
        <v>0.4</v>
      </c>
      <c r="P360">
        <f>IFERROR(LN('Дивиденды по годам'!I360),"")</f>
        <v>27.861938700340321</v>
      </c>
      <c r="Q360">
        <f>IFERROR('Дивиденды по годам'!G360/'Дивиденды по годам'!I360, "")</f>
        <v>0.61584677005237765</v>
      </c>
      <c r="R360">
        <f>IFERROR(IF(AND('Дивиденды по годам'!N360&lt;&gt;"",'Дивиденды по годам'!U360&lt;&gt;"",'Дивиденды по годам'!U360&lt;&gt;0),'Дивиденды по годам'!N360/'Дивиденды по годам'!U360-1,""),"")</f>
        <v>0.1958554401609709</v>
      </c>
      <c r="S360">
        <f>IFERROR(IF(AND('Дивиденды по годам'!L360&lt;&gt;"",'Дивиденды по годам'!I360&lt;&gt;"",'Дивиденды по годам'!J360&lt;&gt;"",'Дивиденды по годам'!K360&lt;&gt;"",('Дивиденды по годам'!I360-'Дивиденды по годам'!J360-'Дивиденды по годам'!K360)&lt;&gt;0),'Дивиденды по годам'!L360/('Дивиденды по годам'!I360-'Дивиденды по годам'!J360-'Дивиденды по годам'!K360),""),"")</f>
        <v>1.7382785164450669</v>
      </c>
      <c r="T360">
        <f>IFERROR(IF(AND('Дивиденды по годам'!Q360&lt;&gt;"",'Дивиденды по годам'!I360&lt;&gt;"",'Дивиденды по годам'!V360&lt;&gt;"",('Дивиденды по годам'!I360+'Дивиденды по годам'!V360)&lt;&gt;0),'Дивиденды по годам'!Q360/(('Дивиденды по годам'!I360+'Дивиденды по годам'!V360)/2),""),"")</f>
        <v>0.34791307740286848</v>
      </c>
      <c r="U360">
        <f>IFERROR(IF(AND('Дивиденды по годам'!J360&lt;&gt;"",'Дивиденды по годам'!K360&lt;&gt;"",'Дивиденды по годам'!M360&lt;&gt;"",'Дивиденды по годам'!M360&lt;&gt;0),('Дивиденды по годам'!J360+'Дивиденды по годам'!K360)/'Дивиденды по годам'!M360,""),"")</f>
        <v>3.5425705621646837</v>
      </c>
      <c r="V360" cm="1">
        <f t="array" ref="V360">IFERROR(AVERAGE(_xlfn._xlws.FILTER(P$2:P$1073,($C$2:$C$1073=$C360)*($E$2:$E$1073=$E360)*(ROW(P$2:P$1073)&lt;&gt;ROW(P360))*(P$2:P$1073&lt;&gt;""))),"")</f>
        <v>26.599435234922634</v>
      </c>
      <c r="W360" cm="1">
        <f t="array" ref="W360">IFERROR(AVERAGE(_xlfn._xlws.FILTER(Q$2:Q$1073,($C$2:$C$1073=$C360)*($E$2:$E$1073=$E360)*(ROW(Q$2:Q$1073)&lt;&gt;ROW(Q360))*(Q$2:Q$1073&lt;&gt;""))),"")</f>
        <v>0.48920446018911157</v>
      </c>
      <c r="X360" cm="1">
        <f t="array" ref="X360">IFERROR(AVERAGE(_xlfn._xlws.FILTER(R$2:R$1073,($C$2:$C$1073=$C360)*($E$2:$E$1073=$E360)*(ROW(R$2:R$1073)&lt;&gt;ROW(R360))*(R$2:R$1073&lt;&gt;""))),"")</f>
        <v>2.3173020251081845E-2</v>
      </c>
      <c r="Y360" cm="1">
        <f t="array" ref="Y360">IFERROR(AVERAGE(_xlfn._xlws.FILTER(S$2:S$1073,($C$2:$C$1073=$C360)*($E$2:$E$1073=$E360)*(ROW(S$2:S$1073)&lt;&gt;ROW(S360))*(S$2:S$1073&lt;&gt;""))),"")</f>
        <v>0.82517096763838327</v>
      </c>
      <c r="Z360" cm="1">
        <f t="array" ref="Z360">IFERROR(AVERAGE(_xlfn._xlws.FILTER(T$2:T$1073,($C$2:$C$1073=$C360)*($E$2:$E$1073=$E360)*(ROW(T$2:T$1073)&lt;&gt;ROW(T360))*(T$2:T$1073&lt;&gt;""))),"")</f>
        <v>0.11701041711414198</v>
      </c>
      <c r="AA360" cm="1">
        <f t="array" ref="AA360">IFERROR(AVERAGE(_xlfn._xlws.FILTER(U$2:U$1073,($C$2:$C$1073=$C360)*($E$2:$E$1073=$E360)*(ROW(U$2:U$1073)&lt;&gt;ROW(U360))*(U$2:U$1073&lt;&gt;""))),"")</f>
        <v>1.3606482767949633</v>
      </c>
    </row>
    <row r="361" spans="1:27" x14ac:dyDescent="0.2">
      <c r="A361" s="7" t="s">
        <v>2315</v>
      </c>
      <c r="B361" t="str">
        <f t="shared" si="57"/>
        <v>GMKN IV кв. 2018</v>
      </c>
      <c r="C361">
        <v>2018</v>
      </c>
      <c r="D361">
        <f>SUMIFS(Дивиденды!$C:$C,Дивиденды!$A:$A,A361,Дивиденды!$I:$I,C361)</f>
        <v>0</v>
      </c>
      <c r="E361">
        <v>3</v>
      </c>
      <c r="F361">
        <f t="shared" si="58"/>
        <v>0</v>
      </c>
      <c r="G361">
        <f t="shared" si="59"/>
        <v>22.694999999999997</v>
      </c>
      <c r="H361">
        <f t="shared" si="60"/>
        <v>0</v>
      </c>
      <c r="I361">
        <f t="shared" si="56"/>
        <v>0.5</v>
      </c>
      <c r="J361">
        <f t="shared" si="61"/>
        <v>0</v>
      </c>
      <c r="K361">
        <f t="shared" si="65"/>
        <v>0.12085686823605531</v>
      </c>
      <c r="L361">
        <f t="shared" si="62"/>
        <v>0</v>
      </c>
      <c r="M361">
        <f t="shared" si="66"/>
        <v>0.5</v>
      </c>
      <c r="N361">
        <f t="shared" si="63"/>
        <v>0</v>
      </c>
      <c r="O361">
        <f t="shared" si="64"/>
        <v>0.2</v>
      </c>
      <c r="P361">
        <f>IFERROR(LN('Дивиденды по годам'!I361),"")</f>
        <v>27.588965804347399</v>
      </c>
      <c r="Q361">
        <f>IFERROR('Дивиденды по годам'!G361/'Дивиденды по годам'!I361, "")</f>
        <v>0.65136712346731362</v>
      </c>
      <c r="R361">
        <f>IFERROR(IF(AND('Дивиденды по годам'!N361&lt;&gt;"",'Дивиденды по годам'!U361&lt;&gt;"",'Дивиденды по годам'!U361&lt;&gt;0),'Дивиденды по годам'!N361/'Дивиденды по годам'!U361-1,""),"")</f>
        <v>0.37566497201721849</v>
      </c>
      <c r="S361">
        <f>IFERROR(IF(AND('Дивиденды по годам'!L361&lt;&gt;"",'Дивиденды по годам'!I361&lt;&gt;"",'Дивиденды по годам'!J361&lt;&gt;"",'Дивиденды по годам'!K361&lt;&gt;"",('Дивиденды по годам'!I361-'Дивиденды по годам'!J361-'Дивиденды по годам'!K361)&lt;&gt;0),'Дивиденды по годам'!L361/('Дивиденды по годам'!I361-'Дивиденды по годам'!J361-'Дивиденды по годам'!K361),""),"")</f>
        <v>2.1036567808810833</v>
      </c>
      <c r="T361">
        <f>IFERROR(IF(AND('Дивиденды по годам'!Q361&lt;&gt;"",'Дивиденды по годам'!I361&lt;&gt;"",'Дивиденды по годам'!V361&lt;&gt;"",('Дивиденды по годам'!I361+'Дивиденды по годам'!V361)&lt;&gt;0),'Дивиденды по годам'!Q361/(('Дивиденды по годам'!I361+'Дивиденды по годам'!V361)/2),""),"")</f>
        <v>0.19941052619913002</v>
      </c>
      <c r="U361">
        <f>IFERROR(IF(AND('Дивиденды по годам'!J361&lt;&gt;"",'Дивиденды по годам'!K361&lt;&gt;"",'Дивиденды по годам'!M361&lt;&gt;"",'Дивиденды по годам'!M361&lt;&gt;0),('Дивиденды по годам'!J361+'Дивиденды по годам'!K361)/'Дивиденды по годам'!M361,""),"")</f>
        <v>3.3913043478260869</v>
      </c>
      <c r="V361" cm="1">
        <f t="array" ref="V361">IFERROR(AVERAGE(_xlfn._xlws.FILTER(P$2:P$1073,($C$2:$C$1073=$C361)*($E$2:$E$1073=$E361)*(ROW(P$2:P$1073)&lt;&gt;ROW(P361))*(P$2:P$1073&lt;&gt;""))),"")</f>
        <v>26.468702473142674</v>
      </c>
      <c r="W361" cm="1">
        <f t="array" ref="W361">IFERROR(AVERAGE(_xlfn._xlws.FILTER(Q$2:Q$1073,($C$2:$C$1073=$C361)*($E$2:$E$1073=$E361)*(ROW(Q$2:Q$1073)&lt;&gt;ROW(Q361))*(Q$2:Q$1073&lt;&gt;""))),"")</f>
        <v>0.50483461633972604</v>
      </c>
      <c r="X361" cm="1">
        <f t="array" ref="X361">IFERROR(AVERAGE(_xlfn._xlws.FILTER(R$2:R$1073,($C$2:$C$1073=$C361)*($E$2:$E$1073=$E361)*(ROW(R$2:R$1073)&lt;&gt;ROW(R361))*(R$2:R$1073&lt;&gt;""))),"")</f>
        <v>0.20172947013242251</v>
      </c>
      <c r="Y361" cm="1">
        <f t="array" ref="Y361">IFERROR(AVERAGE(_xlfn._xlws.FILTER(S$2:S$1073,($C$2:$C$1073=$C361)*($E$2:$E$1073=$E361)*(ROW(S$2:S$1073)&lt;&gt;ROW(S361))*(S$2:S$1073&lt;&gt;""))),"")</f>
        <v>0.80544137854615183</v>
      </c>
      <c r="Z361" cm="1">
        <f t="array" ref="Z361">IFERROR(AVERAGE(_xlfn._xlws.FILTER(T$2:T$1073,($C$2:$C$1073=$C361)*($E$2:$E$1073=$E361)*(ROW(T$2:T$1073)&lt;&gt;ROW(T361))*(T$2:T$1073&lt;&gt;""))),"")</f>
        <v>0.15082178707590127</v>
      </c>
      <c r="AA361" cm="1">
        <f t="array" ref="AA361">IFERROR(AVERAGE(_xlfn._xlws.FILTER(U$2:U$1073,($C$2:$C$1073=$C361)*($E$2:$E$1073=$E361)*(ROW(U$2:U$1073)&lt;&gt;ROW(U361))*(U$2:U$1073&lt;&gt;""))),"")</f>
        <v>2.2329450755492486</v>
      </c>
    </row>
    <row r="362" spans="1:27" x14ac:dyDescent="0.2">
      <c r="A362" s="7" t="s">
        <v>2315</v>
      </c>
      <c r="B362" t="str">
        <f t="shared" si="57"/>
        <v>GMKN IV кв. 2017</v>
      </c>
      <c r="C362">
        <v>2017</v>
      </c>
      <c r="D362">
        <f>SUMIFS(Дивиденды!$C:$C,Дивиденды!$A:$A,A362,Дивиденды!$I:$I,C362)</f>
        <v>0</v>
      </c>
      <c r="E362">
        <v>3</v>
      </c>
      <c r="F362">
        <f t="shared" si="58"/>
        <v>0</v>
      </c>
      <c r="G362">
        <f t="shared" si="59"/>
        <v>16.068876314825083</v>
      </c>
      <c r="H362">
        <f t="shared" si="60"/>
        <v>0</v>
      </c>
      <c r="I362">
        <f t="shared" si="56"/>
        <v>0.7</v>
      </c>
      <c r="J362">
        <f t="shared" si="61"/>
        <v>0</v>
      </c>
      <c r="K362">
        <f t="shared" si="65"/>
        <v>0.11709302504260524</v>
      </c>
      <c r="L362">
        <f t="shared" si="62"/>
        <v>0</v>
      </c>
      <c r="M362">
        <f t="shared" si="66"/>
        <v>0.5</v>
      </c>
      <c r="N362">
        <f t="shared" si="63"/>
        <v>0</v>
      </c>
      <c r="O362">
        <f t="shared" si="64"/>
        <v>0.2</v>
      </c>
      <c r="P362">
        <f>IFERROR(LN('Дивиденды по годам'!I362),"")</f>
        <v>27.600597229979872</v>
      </c>
      <c r="Q362">
        <f>IFERROR('Дивиденды по годам'!G362/'Дивиденды по годам'!I362, "")</f>
        <v>0.65885181845506458</v>
      </c>
      <c r="R362">
        <f>IFERROR(IF(AND('Дивиденды по годам'!N362&lt;&gt;"",'Дивиденды по годам'!U362&lt;&gt;"",'Дивиденды по годам'!U362&lt;&gt;0),'Дивиденды по годам'!N362/'Дивиденды по годам'!U362-1,""),"")</f>
        <v>-3.6967585577597717E-2</v>
      </c>
      <c r="S362">
        <f>IFERROR(IF(AND('Дивиденды по годам'!L362&lt;&gt;"",'Дивиденды по годам'!I362&lt;&gt;"",'Дивиденды по годам'!J362&lt;&gt;"",'Дивиденды по годам'!K362&lt;&gt;"",('Дивиденды по годам'!I362-'Дивиденды по годам'!J362-'Дивиденды по годам'!K362)&lt;&gt;0),'Дивиденды по годам'!L362/('Дивиденды по годам'!I362-'Дивиденды по годам'!J362-'Дивиденды по годам'!K362),""),"")</f>
        <v>1.6223701159295838</v>
      </c>
      <c r="T362">
        <f>IFERROR(IF(AND('Дивиденды по годам'!Q362&lt;&gt;"",'Дивиденды по годам'!I362&lt;&gt;"",'Дивиденды по годам'!V362&lt;&gt;"",('Дивиденды по годам'!I362+'Дивиденды по годам'!V362)&lt;&gt;0),'Дивиденды по годам'!Q362/(('Дивиденды по годам'!I362+'Дивиденды по годам'!V362)/2),""),"")</f>
        <v>0.11940710114228316</v>
      </c>
      <c r="U362">
        <f>IFERROR(IF(AND('Дивиденды по годам'!J362&lt;&gt;"",'Дивиденды по годам'!K362&lt;&gt;"",'Дивиденды по годам'!M362&lt;&gt;"",'Дивиденды по годам'!M362&lt;&gt;0),('Дивиденды по годам'!J362+'Дивиденды по годам'!K362)/'Дивиденды по годам'!M362,""),"")</f>
        <v>2.5712752254186344</v>
      </c>
      <c r="V362" cm="1">
        <f t="array" ref="V362">IFERROR(AVERAGE(_xlfn._xlws.FILTER(P$2:P$1073,($C$2:$C$1073=$C362)*($E$2:$E$1073=$E362)*(ROW(P$2:P$1073)&lt;&gt;ROW(P362))*(P$2:P$1073&lt;&gt;""))),"")</f>
        <v>26.438284629761892</v>
      </c>
      <c r="W362" cm="1">
        <f t="array" ref="W362">IFERROR(AVERAGE(_xlfn._xlws.FILTER(Q$2:Q$1073,($C$2:$C$1073=$C362)*($E$2:$E$1073=$E362)*(ROW(Q$2:Q$1073)&lt;&gt;ROW(Q362))*(Q$2:Q$1073&lt;&gt;""))),"")</f>
        <v>0.52359181194894744</v>
      </c>
      <c r="X362" cm="1">
        <f t="array" ref="X362">IFERROR(AVERAGE(_xlfn._xlws.FILTER(R$2:R$1073,($C$2:$C$1073=$C362)*($E$2:$E$1073=$E362)*(ROW(R$2:R$1073)&lt;&gt;ROW(R362))*(R$2:R$1073&lt;&gt;""))),"")</f>
        <v>0.11396744095504655</v>
      </c>
      <c r="Y362" cm="1">
        <f t="array" ref="Y362">IFERROR(AVERAGE(_xlfn._xlws.FILTER(S$2:S$1073,($C$2:$C$1073=$C362)*($E$2:$E$1073=$E362)*(ROW(S$2:S$1073)&lt;&gt;ROW(S362))*(S$2:S$1073&lt;&gt;""))),"")</f>
        <v>1.0013875970819166</v>
      </c>
      <c r="Z362" cm="1">
        <f t="array" ref="Z362">IFERROR(AVERAGE(_xlfn._xlws.FILTER(T$2:T$1073,($C$2:$C$1073=$C362)*($E$2:$E$1073=$E362)*(ROW(T$2:T$1073)&lt;&gt;ROW(T362))*(T$2:T$1073&lt;&gt;""))),"")</f>
        <v>0.12178197310089298</v>
      </c>
      <c r="AA362" cm="1">
        <f t="array" ref="AA362">IFERROR(AVERAGE(_xlfn._xlws.FILTER(U$2:U$1073,($C$2:$C$1073=$C362)*($E$2:$E$1073=$E362)*(ROW(U$2:U$1073)&lt;&gt;ROW(U362))*(U$2:U$1073&lt;&gt;""))),"")</f>
        <v>1.9189325606633392</v>
      </c>
    </row>
    <row r="363" spans="1:27" x14ac:dyDescent="0.2">
      <c r="A363" s="7" t="s">
        <v>2315</v>
      </c>
      <c r="B363" t="str">
        <f t="shared" si="57"/>
        <v>GMKN IV кв. 2016</v>
      </c>
      <c r="C363">
        <v>2016</v>
      </c>
      <c r="D363">
        <f>SUMIFS(Дивиденды!$C:$C,Дивиденды!$A:$A,A363,Дивиденды!$I:$I,C363)</f>
        <v>0</v>
      </c>
      <c r="E363">
        <v>3</v>
      </c>
      <c r="F363">
        <f t="shared" si="58"/>
        <v>0</v>
      </c>
      <c r="G363">
        <f t="shared" si="59"/>
        <v>12.095639712606381</v>
      </c>
      <c r="H363">
        <f t="shared" si="60"/>
        <v>0</v>
      </c>
      <c r="I363">
        <f t="shared" si="56"/>
        <v>0.7</v>
      </c>
      <c r="J363">
        <f t="shared" si="61"/>
        <v>0</v>
      </c>
      <c r="K363">
        <f t="shared" si="65"/>
        <v>0.68768115603983127</v>
      </c>
      <c r="L363">
        <f t="shared" si="62"/>
        <v>0</v>
      </c>
      <c r="M363">
        <f t="shared" si="66"/>
        <v>0.7</v>
      </c>
      <c r="N363">
        <f t="shared" si="63"/>
        <v>0</v>
      </c>
      <c r="O363">
        <f t="shared" si="64"/>
        <v>0</v>
      </c>
      <c r="P363">
        <f>IFERROR(LN('Дивиденды по годам'!I363),"")</f>
        <v>27.729520557444104</v>
      </c>
      <c r="Q363">
        <f>IFERROR('Дивиденды по годам'!G363/'Дивиденды по годам'!I363, "")</f>
        <v>0.5472443337181746</v>
      </c>
      <c r="R363">
        <f>IFERROR(IF(AND('Дивиденды по годам'!N363&lt;&gt;"",'Дивиденды по годам'!U363&lt;&gt;"",'Дивиденды по годам'!U363&lt;&gt;0),'Дивиденды по годам'!N363/'Дивиденды по годам'!U363-1,""),"")</f>
        <v>5.8492346288474328E-2</v>
      </c>
      <c r="S363">
        <f>IFERROR(IF(AND('Дивиденды по годам'!L363&lt;&gt;"",'Дивиденды по годам'!I363&lt;&gt;"",'Дивиденды по годам'!J363&lt;&gt;"",'Дивиденды по годам'!K363&lt;&gt;"",('Дивиденды по годам'!I363-'Дивиденды по годам'!J363-'Дивиденды по годам'!K363)&lt;&gt;0),'Дивиденды по годам'!L363/('Дивиденды по годам'!I363-'Дивиденды по годам'!J363-'Дивиденды по годам'!K363),""),"")</f>
        <v>1.8839835728952761</v>
      </c>
      <c r="T363">
        <f>IFERROR(IF(AND('Дивиденды по годам'!Q363&lt;&gt;"",'Дивиденды по годам'!I363&lt;&gt;"",'Дивиденды по годам'!V363&lt;&gt;"",('Дивиденды по годам'!I363+'Дивиденды по годам'!V363)&lt;&gt;0),'Дивиденды по годам'!Q363/(('Дивиденды по годам'!I363+'Дивиденды по годам'!V363)/2),""),"")</f>
        <v>0.17655710543758946</v>
      </c>
      <c r="U363">
        <f>IFERROR(IF(AND('Дивиденды по годам'!J363&lt;&gt;"",'Дивиденды по годам'!K363&lt;&gt;"",'Дивиденды по годам'!M363&lt;&gt;"",'Дивиденды по годам'!M363&lt;&gt;0),('Дивиденды по годам'!J363+'Дивиденды по годам'!K363)/'Дивиденды по годам'!M363,""),"")</f>
        <v>3.2240759753593426</v>
      </c>
      <c r="V363" cm="1">
        <f t="array" ref="V363">IFERROR(AVERAGE(_xlfn._xlws.FILTER(P$2:P$1073,($C$2:$C$1073=$C363)*($E$2:$E$1073=$E363)*(ROW(P$2:P$1073)&lt;&gt;ROW(P363))*(P$2:P$1073&lt;&gt;""))),"")</f>
        <v>26.426086797886491</v>
      </c>
      <c r="W363" cm="1">
        <f t="array" ref="W363">IFERROR(AVERAGE(_xlfn._xlws.FILTER(Q$2:Q$1073,($C$2:$C$1073=$C363)*($E$2:$E$1073=$E363)*(ROW(Q$2:Q$1073)&lt;&gt;ROW(Q363))*(Q$2:Q$1073&lt;&gt;""))),"")</f>
        <v>0.50586967048097198</v>
      </c>
      <c r="X363" cm="1">
        <f t="array" ref="X363">IFERROR(AVERAGE(_xlfn._xlws.FILTER(R$2:R$1073,($C$2:$C$1073=$C363)*($E$2:$E$1073=$E363)*(ROW(R$2:R$1073)&lt;&gt;ROW(R363))*(R$2:R$1073&lt;&gt;""))),"")</f>
        <v>0.14232056236423921</v>
      </c>
      <c r="Y363" cm="1">
        <f t="array" ref="Y363">IFERROR(AVERAGE(_xlfn._xlws.FILTER(S$2:S$1073,($C$2:$C$1073=$C363)*($E$2:$E$1073=$E363)*(ROW(S$2:S$1073)&lt;&gt;ROW(S363))*(S$2:S$1073&lt;&gt;""))),"")</f>
        <v>0.1381741016014619</v>
      </c>
      <c r="Z363" cm="1">
        <f t="array" ref="Z363">IFERROR(AVERAGE(_xlfn._xlws.FILTER(T$2:T$1073,($C$2:$C$1073=$C363)*($E$2:$E$1073=$E363)*(ROW(T$2:T$1073)&lt;&gt;ROW(T363))*(T$2:T$1073&lt;&gt;""))),"")</f>
        <v>0.1604036071259046</v>
      </c>
      <c r="AA363" cm="1">
        <f t="array" ref="AA363">IFERROR(AVERAGE(_xlfn._xlws.FILTER(U$2:U$1073,($C$2:$C$1073=$C363)*($E$2:$E$1073=$E363)*(ROW(U$2:U$1073)&lt;&gt;ROW(U363))*(U$2:U$1073&lt;&gt;""))),"")</f>
        <v>-0.15011055986019661</v>
      </c>
    </row>
    <row r="364" spans="1:27" x14ac:dyDescent="0.2">
      <c r="A364" s="7" t="s">
        <v>2315</v>
      </c>
      <c r="B364" t="str">
        <f t="shared" si="57"/>
        <v>GMKN IV кв. 2015</v>
      </c>
      <c r="C364">
        <v>2015</v>
      </c>
      <c r="D364">
        <f>SUMIFS(Дивиденды!$C:$C,Дивиденды!$A:$A,A364,Дивиденды!$I:$I,C364)</f>
        <v>0</v>
      </c>
      <c r="E364">
        <v>3</v>
      </c>
      <c r="F364">
        <f t="shared" si="58"/>
        <v>0</v>
      </c>
      <c r="G364">
        <f t="shared" si="59"/>
        <v>7.2240627742857146</v>
      </c>
      <c r="H364">
        <f t="shared" si="60"/>
        <v>0</v>
      </c>
      <c r="I364">
        <f t="shared" si="56"/>
        <v>0.6</v>
      </c>
      <c r="J364">
        <f t="shared" si="61"/>
        <v>0</v>
      </c>
      <c r="K364">
        <f t="shared" si="65"/>
        <v>0.8808871705905531</v>
      </c>
      <c r="L364">
        <f t="shared" si="62"/>
        <v>0</v>
      </c>
      <c r="M364">
        <f t="shared" si="66"/>
        <v>0.5</v>
      </c>
      <c r="N364">
        <f t="shared" si="63"/>
        <v>0</v>
      </c>
      <c r="O364">
        <f t="shared" si="64"/>
        <v>0.1</v>
      </c>
      <c r="P364">
        <f>IFERROR(LN('Дивиденды по годам'!I364),"")</f>
        <v>27.431320583020767</v>
      </c>
      <c r="Q364">
        <f>IFERROR('Дивиденды по годам'!G364/'Дивиденды по годам'!I364, "")</f>
        <v>0.47804951013387176</v>
      </c>
      <c r="R364">
        <f>IFERROR(IF(AND('Дивиденды по годам'!N364&lt;&gt;"",'Дивиденды по годам'!U364&lt;&gt;"",'Дивиденды по годам'!U364&lt;&gt;0),'Дивиденды по годам'!N364/'Дивиденды по годам'!U364-1,""),"")</f>
        <v>0.2387938033550383</v>
      </c>
      <c r="S364">
        <f>IFERROR(IF(AND('Дивиденды по годам'!L364&lt;&gt;"",'Дивиденды по годам'!I364&lt;&gt;"",'Дивиденды по годам'!J364&lt;&gt;"",'Дивиденды по годам'!K364&lt;&gt;"",('Дивиденды по годам'!I364-'Дивиденды по годам'!J364-'Дивиденды по годам'!K364)&lt;&gt;0),'Дивиденды по годам'!L364/('Дивиденды по годам'!I364-'Дивиденды по годам'!J364-'Дивиденды по годам'!K364),""),"")</f>
        <v>2.8850066342326404</v>
      </c>
      <c r="T364">
        <f>IFERROR(IF(AND('Дивиденды по годам'!Q364&lt;&gt;"",'Дивиденды по годам'!I364&lt;&gt;"",'Дивиденды по годам'!V364&lt;&gt;"",('Дивиденды по годам'!I364+'Дивиденды по годам'!V364)&lt;&gt;0),'Дивиденды по годам'!Q364/(('Дивиденды по годам'!I364+'Дивиденды по годам'!V364)/2),""),"")</f>
        <v>0.15821352161869884</v>
      </c>
      <c r="U364">
        <f>IFERROR(IF(AND('Дивиденды по годам'!J364&lt;&gt;"",'Дивиденды по годам'!K364&lt;&gt;"",'Дивиденды по годам'!M364&lt;&gt;"",'Дивиденды по годам'!M364&lt;&gt;0),('Дивиденды по годам'!J364+'Дивиденды по годам'!K364)/'Дивиденды по годам'!M364,""),"")</f>
        <v>4.9137549756744798</v>
      </c>
      <c r="V364" cm="1">
        <f t="array" ref="V364">IFERROR(AVERAGE(_xlfn._xlws.FILTER(P$2:P$1073,($C$2:$C$1073=$C364)*($E$2:$E$1073=$E364)*(ROW(P$2:P$1073)&lt;&gt;ROW(P364))*(P$2:P$1073&lt;&gt;""))),"")</f>
        <v>26.250630451325584</v>
      </c>
      <c r="W364" cm="1">
        <f t="array" ref="W364">IFERROR(AVERAGE(_xlfn._xlws.FILTER(Q$2:Q$1073,($C$2:$C$1073=$C364)*($E$2:$E$1073=$E364)*(ROW(Q$2:Q$1073)&lt;&gt;ROW(Q364))*(Q$2:Q$1073&lt;&gt;""))),"")</f>
        <v>0.50066289359786276</v>
      </c>
      <c r="X364" cm="1">
        <f t="array" ref="X364">IFERROR(AVERAGE(_xlfn._xlws.FILTER(R$2:R$1073,($C$2:$C$1073=$C364)*($E$2:$E$1073=$E364)*(ROW(R$2:R$1073)&lt;&gt;ROW(R364))*(R$2:R$1073&lt;&gt;""))),"")</f>
        <v>0.25470379828202522</v>
      </c>
      <c r="Y364" cm="1">
        <f t="array" ref="Y364">IFERROR(AVERAGE(_xlfn._xlws.FILTER(S$2:S$1073,($C$2:$C$1073=$C364)*($E$2:$E$1073=$E364)*(ROW(S$2:S$1073)&lt;&gt;ROW(S364))*(S$2:S$1073&lt;&gt;""))),"")</f>
        <v>0.75414830652972653</v>
      </c>
      <c r="Z364" cm="1">
        <f t="array" ref="Z364">IFERROR(AVERAGE(_xlfn._xlws.FILTER(T$2:T$1073,($C$2:$C$1073=$C364)*($E$2:$E$1073=$E364)*(ROW(T$2:T$1073)&lt;&gt;ROW(T364))*(T$2:T$1073&lt;&gt;""))),"")</f>
        <v>8.275617161950367E-3</v>
      </c>
      <c r="AA364" cm="1">
        <f t="array" ref="AA364">IFERROR(AVERAGE(_xlfn._xlws.FILTER(U$2:U$1073,($C$2:$C$1073=$C364)*($E$2:$E$1073=$E364)*(ROW(U$2:U$1073)&lt;&gt;ROW(U364))*(U$2:U$1073&lt;&gt;""))),"")</f>
        <v>2.8046833572459642</v>
      </c>
    </row>
    <row r="365" spans="1:27" x14ac:dyDescent="0.2">
      <c r="A365" s="7" t="s">
        <v>2315</v>
      </c>
      <c r="B365" t="str">
        <f t="shared" si="57"/>
        <v>GMKN IV кв. 2014</v>
      </c>
      <c r="C365">
        <v>2014</v>
      </c>
      <c r="D365">
        <f>SUMIFS(Дивиденды!$C:$C,Дивиденды!$A:$A,A365,Дивиденды!$I:$I,C365)</f>
        <v>0</v>
      </c>
      <c r="E365">
        <v>3</v>
      </c>
      <c r="F365">
        <f t="shared" si="58"/>
        <v>0</v>
      </c>
      <c r="G365">
        <f t="shared" si="59"/>
        <v>7.8559999999999999</v>
      </c>
      <c r="H365">
        <f t="shared" si="60"/>
        <v>0</v>
      </c>
      <c r="I365">
        <f t="shared" si="56"/>
        <v>0.5</v>
      </c>
      <c r="J365">
        <f t="shared" si="61"/>
        <v>0</v>
      </c>
      <c r="K365">
        <f t="shared" si="65"/>
        <v>1.0733185192796773</v>
      </c>
      <c r="L365">
        <f t="shared" si="62"/>
        <v>0</v>
      </c>
      <c r="M365">
        <f t="shared" si="66"/>
        <v>0.3</v>
      </c>
      <c r="N365">
        <f t="shared" si="63"/>
        <v>0</v>
      </c>
      <c r="O365">
        <f t="shared" si="64"/>
        <v>0.1</v>
      </c>
      <c r="P365">
        <f>IFERROR(LN('Дивиденды по годам'!I365),"")</f>
        <v>26.957039366535838</v>
      </c>
      <c r="Q365">
        <f>IFERROR('Дивиденды по годам'!G365/'Дивиденды по годам'!I365, "")</f>
        <v>0.53319644079397677</v>
      </c>
      <c r="R365">
        <f>IFERROR(IF(AND('Дивиденды по годам'!N365&lt;&gt;"",'Дивиденды по годам'!U365&lt;&gt;"",'Дивиденды по годам'!U365&lt;&gt;0),'Дивиденды по годам'!N365/'Дивиденды по годам'!U365-1,""),"")</f>
        <v>0.15367980833864148</v>
      </c>
      <c r="S365">
        <f>IFERROR(IF(AND('Дивиденды по годам'!L365&lt;&gt;"",'Дивиденды по годам'!I365&lt;&gt;"",'Дивиденды по годам'!J365&lt;&gt;"",'Дивиденды по годам'!K365&lt;&gt;"",('Дивиденды по годам'!I365-'Дивиденды по годам'!J365-'Дивиденды по годам'!K365)&lt;&gt;0),'Дивиденды по годам'!L365/('Дивиденды по годам'!I365-'Дивиденды по годам'!J365-'Дивиденды по годам'!K365),""),"")</f>
        <v>1.7306488629250991</v>
      </c>
      <c r="T365">
        <f>IFERROR(IF(AND('Дивиденды по годам'!Q365&lt;&gt;"",'Дивиденды по годам'!I365&lt;&gt;"",'Дивиденды по годам'!V365&lt;&gt;"",('Дивиденды по годам'!I365+'Дивиденды по годам'!V365)&lt;&gt;0),'Дивиденды по годам'!Q365/(('Дивиденды по годам'!I365+'Дивиденды по годам'!V365)/2),""),"")</f>
        <v>0.13991900036923396</v>
      </c>
      <c r="U365">
        <f>IFERROR(IF(AND('Дивиденды по годам'!J365&lt;&gt;"",'Дивиденды по годам'!K365&lt;&gt;"",'Дивиденды по годам'!M365&lt;&gt;"",'Дивиденды по годам'!M365&lt;&gt;0),('Дивиденды по годам'!J365+'Дивиденды по годам'!K365)/'Дивиденды по годам'!M365,""),"")</f>
        <v>1.7433757563112873</v>
      </c>
      <c r="V365" cm="1">
        <f t="array" ref="V365">IFERROR(AVERAGE(_xlfn._xlws.FILTER(P$2:P$1073,($C$2:$C$1073=$C365)*($E$2:$E$1073=$E365)*(ROW(P$2:P$1073)&lt;&gt;ROW(P365))*(P$2:P$1073&lt;&gt;""))),"")</f>
        <v>26.225015783414218</v>
      </c>
      <c r="W365" cm="1">
        <f t="array" ref="W365">IFERROR(AVERAGE(_xlfn._xlws.FILTER(Q$2:Q$1073,($C$2:$C$1073=$C365)*($E$2:$E$1073=$E365)*(ROW(Q$2:Q$1073)&lt;&gt;ROW(Q365))*(Q$2:Q$1073&lt;&gt;""))),"")</f>
        <v>0.51405973191842902</v>
      </c>
      <c r="X365" cm="1">
        <f t="array" ref="X365">IFERROR(AVERAGE(_xlfn._xlws.FILTER(R$2:R$1073,($C$2:$C$1073=$C365)*($E$2:$E$1073=$E365)*(ROW(R$2:R$1073)&lt;&gt;ROW(R365))*(R$2:R$1073&lt;&gt;""))),"")</f>
        <v>6.7970874576730414E-2</v>
      </c>
      <c r="Y365" cm="1">
        <f t="array" ref="Y365">IFERROR(AVERAGE(_xlfn._xlws.FILTER(S$2:S$1073,($C$2:$C$1073=$C365)*($E$2:$E$1073=$E365)*(ROW(S$2:S$1073)&lt;&gt;ROW(S365))*(S$2:S$1073&lt;&gt;""))),"")</f>
        <v>0.67803627442264525</v>
      </c>
      <c r="Z365" cm="1">
        <f t="array" ref="Z365">IFERROR(AVERAGE(_xlfn._xlws.FILTER(T$2:T$1073,($C$2:$C$1073=$C365)*($E$2:$E$1073=$E365)*(ROW(T$2:T$1073)&lt;&gt;ROW(T365))*(T$2:T$1073&lt;&gt;""))),"")</f>
        <v>-0.10472398312015528</v>
      </c>
      <c r="AA365" cm="1">
        <f t="array" ref="AA365">IFERROR(AVERAGE(_xlfn._xlws.FILTER(U$2:U$1073,($C$2:$C$1073=$C365)*($E$2:$E$1073=$E365)*(ROW(U$2:U$1073)&lt;&gt;ROW(U365))*(U$2:U$1073&lt;&gt;""))),"")</f>
        <v>1.613825914314031</v>
      </c>
    </row>
    <row r="366" spans="1:27" x14ac:dyDescent="0.2">
      <c r="A366" s="7" t="s">
        <v>2315</v>
      </c>
      <c r="B366" t="str">
        <f t="shared" si="57"/>
        <v>GMKN IV кв. 2013</v>
      </c>
      <c r="C366">
        <v>2013</v>
      </c>
      <c r="D366">
        <f>SUMIFS(Дивиденды!$C:$C,Дивиденды!$A:$A,A366,Дивиденды!$I:$I,C366)</f>
        <v>0</v>
      </c>
      <c r="E366">
        <v>3</v>
      </c>
      <c r="F366">
        <f t="shared" si="58"/>
        <v>0</v>
      </c>
      <c r="G366">
        <f t="shared" si="59"/>
        <v>1.2260000000000002</v>
      </c>
      <c r="H366">
        <f t="shared" si="60"/>
        <v>0</v>
      </c>
      <c r="I366">
        <f t="shared" si="56"/>
        <v>0.4</v>
      </c>
      <c r="J366">
        <f t="shared" si="61"/>
        <v>0</v>
      </c>
      <c r="K366">
        <f t="shared" si="65"/>
        <v>-0.20386411043374064</v>
      </c>
      <c r="L366">
        <f t="shared" si="62"/>
        <v>0</v>
      </c>
      <c r="M366">
        <f t="shared" si="66"/>
        <v>0.2</v>
      </c>
      <c r="N366">
        <f t="shared" si="63"/>
        <v>0</v>
      </c>
      <c r="O366">
        <f t="shared" si="64"/>
        <v>0.4</v>
      </c>
      <c r="P366">
        <f>IFERROR(LN('Дивиденды по годам'!I366),"")</f>
        <v>27.117588403324554</v>
      </c>
      <c r="Q366">
        <f>IFERROR('Дивиденды по годам'!G366/'Дивиденды по годам'!I366, "")</f>
        <v>0.59751876896863843</v>
      </c>
      <c r="R366">
        <f>IFERROR(IF(AND('Дивиденды по годам'!N366&lt;&gt;"",'Дивиденды по годам'!U366&lt;&gt;"",'Дивиденды по годам'!U366&lt;&gt;0),'Дивиденды по годам'!N366/'Дивиденды по годам'!U366-1,""),"")</f>
        <v>-2.4084303689486219E-2</v>
      </c>
      <c r="S366" t="str">
        <f>IFERROR(IF(AND('Дивиденды по годам'!L366&lt;&gt;"",'Дивиденды по годам'!I366&lt;&gt;"",'Дивиденды по годам'!J366&lt;&gt;"",'Дивиденды по годам'!K366&lt;&gt;"",('Дивиденды по годам'!I366-'Дивиденды по годам'!J366-'Дивиденды по годам'!K366)&lt;&gt;0),'Дивиденды по годам'!L366/('Дивиденды по годам'!I366-'Дивиденды по годам'!J366-'Дивиденды по годам'!K366),""),"")</f>
        <v/>
      </c>
      <c r="T366">
        <f>IFERROR(IF(AND('Дивиденды по годам'!Q366&lt;&gt;"",'Дивиденды по годам'!I366&lt;&gt;"",'Дивиденды по годам'!V366&lt;&gt;"",('Дивиденды по годам'!I366+'Дивиденды по годам'!V366)&lt;&gt;0),'Дивиденды по годам'!Q366/(('Дивиденды по годам'!I366+'Дивиденды по годам'!V366)/2),""),"")</f>
        <v>3.9459781367717238E-2</v>
      </c>
      <c r="U366">
        <f>IFERROR(IF(AND('Дивиденды по годам'!J366&lt;&gt;"",'Дивиденды по годам'!K366&lt;&gt;"",'Дивиденды по годам'!M366&lt;&gt;"",'Дивиденды по годам'!M366&lt;&gt;0),('Дивиденды по годам'!J366+'Дивиденды по годам'!K366)/'Дивиденды по годам'!M366,""),"")</f>
        <v>0.92625641025641026</v>
      </c>
      <c r="V366" cm="1">
        <f t="array" ref="V366">IFERROR(AVERAGE(_xlfn._xlws.FILTER(P$2:P$1073,($C$2:$C$1073=$C366)*($E$2:$E$1073=$E366)*(ROW(P$2:P$1073)&lt;&gt;ROW(P366))*(P$2:P$1073&lt;&gt;""))),"")</f>
        <v>26.353812705508933</v>
      </c>
      <c r="W366" cm="1">
        <f t="array" ref="W366">IFERROR(AVERAGE(_xlfn._xlws.FILTER(Q$2:Q$1073,($C$2:$C$1073=$C366)*($E$2:$E$1073=$E366)*(ROW(Q$2:Q$1073)&lt;&gt;ROW(Q366))*(Q$2:Q$1073&lt;&gt;""))),"")</f>
        <v>0.57470595365459143</v>
      </c>
      <c r="X366" cm="1">
        <f t="array" ref="X366">IFERROR(AVERAGE(_xlfn._xlws.FILTER(R$2:R$1073,($C$2:$C$1073=$C366)*($E$2:$E$1073=$E366)*(ROW(R$2:R$1073)&lt;&gt;ROW(R366))*(R$2:R$1073&lt;&gt;""))),"")</f>
        <v>-4.8281772717949353E-2</v>
      </c>
      <c r="Y366" cm="1">
        <f t="array" ref="Y366">IFERROR(AVERAGE(_xlfn._xlws.FILTER(S$2:S$1073,($C$2:$C$1073=$C366)*($E$2:$E$1073=$E366)*(ROW(S$2:S$1073)&lt;&gt;ROW(S366))*(S$2:S$1073&lt;&gt;""))),"")</f>
        <v>1.1343753445927802</v>
      </c>
      <c r="Z366" cm="1">
        <f t="array" ref="Z366">IFERROR(AVERAGE(_xlfn._xlws.FILTER(T$2:T$1073,($C$2:$C$1073=$C366)*($E$2:$E$1073=$E366)*(ROW(T$2:T$1073)&lt;&gt;ROW(T366))*(T$2:T$1073&lt;&gt;""))),"")</f>
        <v>-3.993427381010501E-2</v>
      </c>
      <c r="AA366" cm="1">
        <f t="array" ref="AA366">IFERROR(AVERAGE(_xlfn._xlws.FILTER(U$2:U$1073,($C$2:$C$1073=$C366)*($E$2:$E$1073=$E366)*(ROW(U$2:U$1073)&lt;&gt;ROW(U366))*(U$2:U$1073&lt;&gt;""))),"")</f>
        <v>3.3862688284844262</v>
      </c>
    </row>
    <row r="367" spans="1:27" x14ac:dyDescent="0.2">
      <c r="A367" s="7" t="s">
        <v>2315</v>
      </c>
      <c r="B367" t="str">
        <f t="shared" si="57"/>
        <v>GMKN IV кв. 2012</v>
      </c>
      <c r="C367">
        <v>2012</v>
      </c>
      <c r="D367">
        <f>SUMIFS(Дивиденды!$C:$C,Дивиденды!$A:$A,A367,Дивиденды!$I:$I,C367)</f>
        <v>0</v>
      </c>
      <c r="E367">
        <v>3</v>
      </c>
      <c r="F367">
        <f t="shared" si="58"/>
        <v>0</v>
      </c>
      <c r="G367">
        <f t="shared" si="59"/>
        <v>2.1309999999999998</v>
      </c>
      <c r="H367">
        <f t="shared" si="60"/>
        <v>0</v>
      </c>
      <c r="I367">
        <f t="shared" si="56"/>
        <v>0.6</v>
      </c>
      <c r="J367">
        <f t="shared" si="61"/>
        <v>0</v>
      </c>
      <c r="K367">
        <f t="shared" si="65"/>
        <v>-0.18400043619769682</v>
      </c>
      <c r="L367">
        <f t="shared" si="62"/>
        <v>0</v>
      </c>
      <c r="M367">
        <f t="shared" si="66"/>
        <v>0.3</v>
      </c>
      <c r="N367">
        <f t="shared" si="63"/>
        <v>0</v>
      </c>
      <c r="O367">
        <f t="shared" si="64"/>
        <v>0.6</v>
      </c>
      <c r="P367">
        <f>IFERROR(LN('Дивиденды по годам'!I367),"")</f>
        <v>27.180107703412091</v>
      </c>
      <c r="Q367">
        <f>IFERROR('Дивиденды по годам'!G367/'Дивиденды по годам'!I367, "")</f>
        <v>3.5115203611670114E-3</v>
      </c>
      <c r="R367">
        <f>IFERROR(IF(AND('Дивиденды по годам'!N367&lt;&gt;"",'Дивиденды по годам'!U367&lt;&gt;"",'Дивиденды по годам'!U367&lt;&gt;0),'Дивиденды по годам'!N367/'Дивиденды по годам'!U367-1,""),"")</f>
        <v>-9.6577880444881026E-2</v>
      </c>
      <c r="S367" t="str">
        <f>IFERROR(IF(AND('Дивиденды по годам'!L367&lt;&gt;"",'Дивиденды по годам'!I367&lt;&gt;"",'Дивиденды по годам'!J367&lt;&gt;"",'Дивиденды по годам'!K367&lt;&gt;"",('Дивиденды по годам'!I367-'Дивиденды по годам'!J367-'Дивиденды по годам'!K367)&lt;&gt;0),'Дивиденды по годам'!L367/('Дивиденды по годам'!I367-'Дивиденды по годам'!J367-'Дивиденды по годам'!K367),""),"")</f>
        <v/>
      </c>
      <c r="T367">
        <f>IFERROR(IF(AND('Дивиденды по годам'!Q367&lt;&gt;"",'Дивиденды по годам'!I367&lt;&gt;"",'Дивиденды по годам'!V367&lt;&gt;"",('Дивиденды по годам'!I367+'Дивиденды по годам'!V367)&lt;&gt;0),'Дивиденды по годам'!Q367/(('Дивиденды по годам'!I367+'Дивиденды по годам'!V367)/2),""),"")</f>
        <v>0.11290709340421819</v>
      </c>
      <c r="U367">
        <f>IFERROR(IF(AND('Дивиденды по годам'!J367&lt;&gt;"",'Дивиденды по годам'!K367&lt;&gt;"",'Дивиденды по годам'!M367&lt;&gt;"",'Дивиденды по годам'!M367&lt;&gt;0),('Дивиденды по годам'!J367+'Дивиденды по годам'!K367)/'Дивиденды по годам'!M367,""),"")</f>
        <v>0.62089969976082637</v>
      </c>
      <c r="V367" cm="1">
        <f t="array" ref="V367">IFERROR(AVERAGE(_xlfn._xlws.FILTER(P$2:P$1073,($C$2:$C$1073=$C367)*($E$2:$E$1073=$E367)*(ROW(P$2:P$1073)&lt;&gt;ROW(P367))*(P$2:P$1073&lt;&gt;""))),"")</f>
        <v>26.651607462032302</v>
      </c>
      <c r="W367" cm="1">
        <f t="array" ref="W367">IFERROR(AVERAGE(_xlfn._xlws.FILTER(Q$2:Q$1073,($C$2:$C$1073=$C367)*($E$2:$E$1073=$E367)*(ROW(Q$2:Q$1073)&lt;&gt;ROW(Q367))*(Q$2:Q$1073&lt;&gt;""))),"")</f>
        <v>0.56465824552290034</v>
      </c>
      <c r="X367" cm="1">
        <f t="array" ref="X367">IFERROR(AVERAGE(_xlfn._xlws.FILTER(R$2:R$1073,($C$2:$C$1073=$C367)*($E$2:$E$1073=$E367)*(ROW(R$2:R$1073)&lt;&gt;ROW(R367))*(R$2:R$1073&lt;&gt;""))),"")</f>
        <v>1.1841528535288557E-2</v>
      </c>
      <c r="Y367" t="str" cm="1">
        <f t="array" ref="Y367">IFERROR(AVERAGE(_xlfn._xlws.FILTER(S$2:S$1073,($C$2:$C$1073=$C367)*($E$2:$E$1073=$E367)*(ROW(S$2:S$1073)&lt;&gt;ROW(S367))*(S$2:S$1073&lt;&gt;""))),"")</f>
        <v/>
      </c>
      <c r="Z367" cm="1">
        <f t="array" ref="Z367">IFERROR(AVERAGE(_xlfn._xlws.FILTER(T$2:T$1073,($C$2:$C$1073=$C367)*($E$2:$E$1073=$E367)*(ROW(T$2:T$1073)&lt;&gt;ROW(T367))*(T$2:T$1073&lt;&gt;""))),"")</f>
        <v>4.0753686826190204E-2</v>
      </c>
      <c r="AA367" cm="1">
        <f t="array" ref="AA367">IFERROR(AVERAGE(_xlfn._xlws.FILTER(U$2:U$1073,($C$2:$C$1073=$C367)*($E$2:$E$1073=$E367)*(ROW(U$2:U$1073)&lt;&gt;ROW(U367))*(U$2:U$1073&lt;&gt;""))),"")</f>
        <v>1.4645790472348241</v>
      </c>
    </row>
    <row r="368" spans="1:27" x14ac:dyDescent="0.2">
      <c r="A368" s="7" t="s">
        <v>2315</v>
      </c>
      <c r="B368" t="str">
        <f t="shared" si="57"/>
        <v>GMKN IV кв. 2011</v>
      </c>
      <c r="C368">
        <v>2011</v>
      </c>
      <c r="D368">
        <f>SUMIFS(Дивиденды!$C:$C,Дивиденды!$A:$A,A368,Дивиденды!$I:$I,C368)</f>
        <v>0</v>
      </c>
      <c r="E368">
        <v>3</v>
      </c>
      <c r="F368">
        <f t="shared" si="58"/>
        <v>0</v>
      </c>
      <c r="G368">
        <f t="shared" si="59"/>
        <v>3.7659999999999996</v>
      </c>
      <c r="H368">
        <f t="shared" si="60"/>
        <v>0</v>
      </c>
      <c r="I368">
        <f t="shared" ref="I368:I431" si="67">IFERROR((COUNTIFS($E:$E,E368,$C:$C,C368,$H:$H,1)-H368)/(COUNTIFS($E:$E,E368,$C:$C,C368)-1),0)</f>
        <v>0.8</v>
      </c>
      <c r="J368">
        <f t="shared" si="61"/>
        <v>0</v>
      </c>
      <c r="K368">
        <f t="shared" si="65"/>
        <v>0.78130568048052607</v>
      </c>
      <c r="L368">
        <f t="shared" si="62"/>
        <v>0</v>
      </c>
      <c r="M368">
        <f t="shared" si="66"/>
        <v>0.6</v>
      </c>
      <c r="N368">
        <f t="shared" si="63"/>
        <v>0</v>
      </c>
      <c r="O368">
        <f t="shared" si="64"/>
        <v>0.3</v>
      </c>
      <c r="P368">
        <f>IFERROR(LN('Дивиденды по годам'!I368),"")</f>
        <v>27.044139959133268</v>
      </c>
      <c r="Q368">
        <f>IFERROR('Дивиденды по годам'!G368/'Дивиденды по годам'!I368, "")</f>
        <v>0.50682106598984766</v>
      </c>
      <c r="R368" t="str">
        <f>IFERROR(IF(AND('Дивиденды по годам'!N368&lt;&gt;"",'Дивиденды по годам'!U368&lt;&gt;"",'Дивиденды по годам'!U368&lt;&gt;0),'Дивиденды по годам'!N368/'Дивиденды по годам'!U368-1,""),"")</f>
        <v/>
      </c>
      <c r="S368" t="str">
        <f>IFERROR(IF(AND('Дивиденды по годам'!L368&lt;&gt;"",'Дивиденды по годам'!I368&lt;&gt;"",'Дивиденды по годам'!J368&lt;&gt;"",'Дивиденды по годам'!K368&lt;&gt;"",('Дивиденды по годам'!I368-'Дивиденды по годам'!J368-'Дивиденды по годам'!K368)&lt;&gt;0),'Дивиденды по годам'!L368/('Дивиденды по годам'!I368-'Дивиденды по годам'!J368-'Дивиденды по годам'!K368),""),"")</f>
        <v/>
      </c>
      <c r="T368" t="str">
        <f>IFERROR(IF(AND('Дивиденды по годам'!Q368&lt;&gt;"",'Дивиденды по годам'!I368&lt;&gt;"",'Дивиденды по годам'!V368&lt;&gt;"",('Дивиденды по годам'!I368+'Дивиденды по годам'!V368)&lt;&gt;0),'Дивиденды по годам'!Q368/(('Дивиденды по годам'!I368+'Дивиденды по годам'!V368)/2),""),"")</f>
        <v/>
      </c>
      <c r="U368">
        <f>IFERROR(IF(AND('Дивиденды по годам'!J368&lt;&gt;"",'Дивиденды по годам'!K368&lt;&gt;"",'Дивиденды по годам'!M368&lt;&gt;"",'Дивиденды по годам'!M368&lt;&gt;0),('Дивиденды по годам'!J368+'Дивиденды по годам'!K368)/'Дивиденды по годам'!M368,""),"")</f>
        <v>0.68526109427909465</v>
      </c>
      <c r="V368" cm="1">
        <f t="array" ref="V368">IFERROR(AVERAGE(_xlfn._xlws.FILTER(P$2:P$1073,($C$2:$C$1073=$C368)*($E$2:$E$1073=$E368)*(ROW(P$2:P$1073)&lt;&gt;ROW(P368))*(P$2:P$1073&lt;&gt;""))),"")</f>
        <v>26.348655010070356</v>
      </c>
      <c r="W368" cm="1">
        <f t="array" ref="W368">IFERROR(AVERAGE(_xlfn._xlws.FILTER(Q$2:Q$1073,($C$2:$C$1073=$C368)*($E$2:$E$1073=$E368)*(ROW(Q$2:Q$1073)&lt;&gt;ROW(Q368))*(Q$2:Q$1073&lt;&gt;""))),"")</f>
        <v>0.57847887682429155</v>
      </c>
      <c r="X368" cm="1">
        <f t="array" ref="X368">IFERROR(AVERAGE(_xlfn._xlws.FILTER(R$2:R$1073,($C$2:$C$1073=$C368)*($E$2:$E$1073=$E368)*(ROW(R$2:R$1073)&lt;&gt;ROW(R368))*(R$2:R$1073&lt;&gt;""))),"")</f>
        <v>0.21463216748681591</v>
      </c>
      <c r="Y368" t="str" cm="1">
        <f t="array" ref="Y368">IFERROR(AVERAGE(_xlfn._xlws.FILTER(S$2:S$1073,($C$2:$C$1073=$C368)*($E$2:$E$1073=$E368)*(ROW(S$2:S$1073)&lt;&gt;ROW(S368))*(S$2:S$1073&lt;&gt;""))),"")</f>
        <v/>
      </c>
      <c r="Z368" cm="1">
        <f t="array" ref="Z368">IFERROR(AVERAGE(_xlfn._xlws.FILTER(T$2:T$1073,($C$2:$C$1073=$C368)*($E$2:$E$1073=$E368)*(ROW(T$2:T$1073)&lt;&gt;ROW(T368))*(T$2:T$1073&lt;&gt;""))),"")</f>
        <v>0.11505618365484008</v>
      </c>
      <c r="AA368" cm="1">
        <f t="array" ref="AA368">IFERROR(AVERAGE(_xlfn._xlws.FILTER(U$2:U$1073,($C$2:$C$1073=$C368)*($E$2:$E$1073=$E368)*(ROW(U$2:U$1073)&lt;&gt;ROW(U368))*(U$2:U$1073&lt;&gt;""))),"")</f>
        <v>1.1739414399065982</v>
      </c>
    </row>
    <row r="369" spans="1:27" x14ac:dyDescent="0.2">
      <c r="A369" s="7" t="s">
        <v>2315</v>
      </c>
      <c r="B369" t="str">
        <f t="shared" si="57"/>
        <v>GMKN IV кв. 2010</v>
      </c>
      <c r="C369">
        <v>2010</v>
      </c>
      <c r="D369">
        <f>SUMIFS(Дивиденды!$C:$C,Дивиденды!$A:$A,A369,Дивиденды!$I:$I,C369)</f>
        <v>0</v>
      </c>
      <c r="E369">
        <v>3</v>
      </c>
      <c r="F369">
        <f t="shared" si="58"/>
        <v>0</v>
      </c>
      <c r="G369">
        <f t="shared" si="59"/>
        <v>3.0789999999999997</v>
      </c>
      <c r="H369">
        <f t="shared" si="60"/>
        <v>0</v>
      </c>
      <c r="I369">
        <f t="shared" si="67"/>
        <v>0.7</v>
      </c>
      <c r="J369" t="str">
        <f t="shared" si="61"/>
        <v/>
      </c>
      <c r="K369" t="str">
        <f t="shared" si="65"/>
        <v/>
      </c>
      <c r="L369" t="str">
        <f t="shared" si="62"/>
        <v/>
      </c>
      <c r="M369" t="str">
        <f t="shared" si="66"/>
        <v/>
      </c>
      <c r="N369" t="str">
        <f t="shared" si="63"/>
        <v/>
      </c>
      <c r="O369" t="str">
        <f t="shared" si="64"/>
        <v/>
      </c>
      <c r="P369" t="str">
        <f>IFERROR(LN('Дивиденды по годам'!I369),"")</f>
        <v/>
      </c>
      <c r="Q369" t="str">
        <f>IFERROR('Дивиденды по годам'!G369/'Дивиденды по годам'!I369, "")</f>
        <v/>
      </c>
      <c r="R369" t="str">
        <f>IFERROR(IF(AND('Дивиденды по годам'!N369&lt;&gt;"",'Дивиденды по годам'!U369&lt;&gt;"",'Дивиденды по годам'!U369&lt;&gt;0),'Дивиденды по годам'!N369/'Дивиденды по годам'!U369-1,""),"")</f>
        <v/>
      </c>
      <c r="S369" t="str">
        <f>IFERROR(IF(AND('Дивиденды по годам'!L369&lt;&gt;"",'Дивиденды по годам'!I369&lt;&gt;"",'Дивиденды по годам'!J369&lt;&gt;"",'Дивиденды по годам'!K369&lt;&gt;"",('Дивиденды по годам'!I369-'Дивиденды по годам'!J369-'Дивиденды по годам'!K369)&lt;&gt;0),'Дивиденды по годам'!L369/('Дивиденды по годам'!I369-'Дивиденды по годам'!J369-'Дивиденды по годам'!K369),""),"")</f>
        <v/>
      </c>
      <c r="T369" t="str">
        <f>IFERROR(IF(AND('Дивиденды по годам'!Q369&lt;&gt;"",'Дивиденды по годам'!I369&lt;&gt;"",'Дивиденды по годам'!V369&lt;&gt;"",('Дивиденды по годам'!I369+'Дивиденды по годам'!V369)&lt;&gt;0),'Дивиденды по годам'!Q369/(('Дивиденды по годам'!I369+'Дивиденды по годам'!V369)/2),""),"")</f>
        <v/>
      </c>
      <c r="U369" t="str">
        <f>IFERROR(IF(AND('Дивиденды по годам'!J369&lt;&gt;"",'Дивиденды по годам'!K369&lt;&gt;"",'Дивиденды по годам'!M369&lt;&gt;"",'Дивиденды по годам'!M369&lt;&gt;0),('Дивиденды по годам'!J369+'Дивиденды по годам'!K369)/'Дивиденды по годам'!M369,""),"")</f>
        <v/>
      </c>
      <c r="V369" cm="1">
        <f t="array" ref="V369">IFERROR(AVERAGE(_xlfn._xlws.FILTER(P$2:P$1073,($C$2:$C$1073=$C369)*($E$2:$E$1073=$E369)*(ROW(P$2:P$1073)&lt;&gt;ROW(P369))*(P$2:P$1073&lt;&gt;""))),"")</f>
        <v>26.127864794831805</v>
      </c>
      <c r="W369" cm="1">
        <f t="array" ref="W369">IFERROR(AVERAGE(_xlfn._xlws.FILTER(Q$2:Q$1073,($C$2:$C$1073=$C369)*($E$2:$E$1073=$E369)*(ROW(Q$2:Q$1073)&lt;&gt;ROW(Q369))*(Q$2:Q$1073&lt;&gt;""))),"")</f>
        <v>0.75539390451698762</v>
      </c>
      <c r="X369" t="str" cm="1">
        <f t="array" ref="X369">IFERROR(AVERAGE(_xlfn._xlws.FILTER(R$2:R$1073,($C$2:$C$1073=$C369)*($E$2:$E$1073=$E369)*(ROW(R$2:R$1073)&lt;&gt;ROW(R369))*(R$2:R$1073&lt;&gt;""))),"")</f>
        <v/>
      </c>
      <c r="Y369" t="str" cm="1">
        <f t="array" ref="Y369">IFERROR(AVERAGE(_xlfn._xlws.FILTER(S$2:S$1073,($C$2:$C$1073=$C369)*($E$2:$E$1073=$E369)*(ROW(S$2:S$1073)&lt;&gt;ROW(S369))*(S$2:S$1073&lt;&gt;""))),"")</f>
        <v/>
      </c>
      <c r="Z369" t="str" cm="1">
        <f t="array" ref="Z369">IFERROR(AVERAGE(_xlfn._xlws.FILTER(T$2:T$1073,($C$2:$C$1073=$C369)*($E$2:$E$1073=$E369)*(ROW(T$2:T$1073)&lt;&gt;ROW(T369))*(T$2:T$1073&lt;&gt;""))),"")</f>
        <v/>
      </c>
      <c r="AA369" cm="1">
        <f t="array" ref="AA369">IFERROR(AVERAGE(_xlfn._xlws.FILTER(U$2:U$1073,($C$2:$C$1073=$C369)*($E$2:$E$1073=$E369)*(ROW(U$2:U$1073)&lt;&gt;ROW(U369))*(U$2:U$1073&lt;&gt;""))),"")</f>
        <v>1.4017600691070078</v>
      </c>
    </row>
    <row r="370" spans="1:27" x14ac:dyDescent="0.2">
      <c r="A370" s="7" t="s">
        <v>2224</v>
      </c>
      <c r="B370" t="str">
        <f t="shared" si="57"/>
        <v>MAGN IV кв. 2025</v>
      </c>
      <c r="C370">
        <v>2025</v>
      </c>
      <c r="D370">
        <f>SUMIFS(Дивиденды!$C:$C,Дивиденды!$A:$A,A370,Дивиденды!$I:$I,C370)</f>
        <v>0</v>
      </c>
      <c r="E370">
        <v>3</v>
      </c>
      <c r="F370">
        <f t="shared" si="58"/>
        <v>0</v>
      </c>
      <c r="G370">
        <f t="shared" si="59"/>
        <v>10.684999999999999</v>
      </c>
      <c r="H370">
        <f t="shared" si="60"/>
        <v>0</v>
      </c>
      <c r="I370">
        <f t="shared" si="67"/>
        <v>0.1</v>
      </c>
      <c r="J370">
        <f t="shared" si="61"/>
        <v>-1</v>
      </c>
      <c r="K370">
        <f t="shared" si="65"/>
        <v>-0.34741116251599569</v>
      </c>
      <c r="L370">
        <f t="shared" si="62"/>
        <v>0</v>
      </c>
      <c r="M370">
        <f t="shared" si="66"/>
        <v>0</v>
      </c>
      <c r="N370">
        <f t="shared" si="63"/>
        <v>1</v>
      </c>
      <c r="O370">
        <f t="shared" si="64"/>
        <v>0.4</v>
      </c>
      <c r="P370">
        <f>IFERROR(LN('Дивиденды по годам'!I370),"")</f>
        <v>27.500847508200767</v>
      </c>
      <c r="Q370">
        <f>IFERROR('Дивиденды по годам'!G370/'Дивиденды по годам'!I370, "")</f>
        <v>0.6034936208842715</v>
      </c>
      <c r="R370">
        <f>IFERROR(IF(AND('Дивиденды по годам'!N370&lt;&gt;"",'Дивиденды по годам'!U370&lt;&gt;"",'Дивиденды по годам'!U370&lt;&gt;0),'Дивиденды по годам'!N370/'Дивиденды по годам'!U370-1,""),"")</f>
        <v>-0.20638648944780902</v>
      </c>
      <c r="S370">
        <f>IFERROR(IF(AND('Дивиденды по годам'!L370&lt;&gt;"",'Дивиденды по годам'!I370&lt;&gt;"",'Дивиденды по годам'!J370&lt;&gt;"",'Дивиденды по годам'!K370&lt;&gt;"",('Дивиденды по годам'!I370-'Дивиденды по годам'!J370-'Дивиденды по годам'!K370)&lt;&gt;0),'Дивиденды по годам'!L370/('Дивиденды по годам'!I370-'Дивиденды по годам'!J370-'Дивиденды по годам'!K370),""),"")</f>
        <v>0.91100449964571495</v>
      </c>
      <c r="T370">
        <f>IFERROR(IF(AND('Дивиденды по годам'!Q370&lt;&gt;"",'Дивиденды по годам'!I370&lt;&gt;"",'Дивиденды по годам'!V370&lt;&gt;"",('Дивиденды по годам'!I370+'Дивиденды по годам'!V370)&lt;&gt;0),'Дивиденды по годам'!Q370/(('Дивиденды по годам'!I370+'Дивиденды по годам'!V370)/2),""),"")</f>
        <v>-1.6587395924000582E-2</v>
      </c>
      <c r="U370">
        <f>IFERROR(IF(AND('Дивиденды по годам'!J370&lt;&gt;"",'Дивиденды по годам'!K370&lt;&gt;"",'Дивиденды по годам'!M370&lt;&gt;"",'Дивиденды по годам'!M370&lt;&gt;0),('Дивиденды по годам'!J370+'Дивиденды по годам'!K370)/'Дивиденды по годам'!M370,""),"")</f>
        <v>0.32077313872478447</v>
      </c>
      <c r="V370" cm="1">
        <f t="array" ref="V370">IFERROR(AVERAGE(_xlfn._xlws.FILTER(P$2:P$1073,($C$2:$C$1073=$C370)*($E$2:$E$1073=$E370)*(ROW(P$2:P$1073)&lt;&gt;ROW(P370))*(P$2:P$1073&lt;&gt;""))),"")</f>
        <v>27.529612513817501</v>
      </c>
      <c r="W370" cm="1">
        <f t="array" ref="W370">IFERROR(AVERAGE(_xlfn._xlws.FILTER(Q$2:Q$1073,($C$2:$C$1073=$C370)*($E$2:$E$1073=$E370)*(ROW(Q$2:Q$1073)&lt;&gt;ROW(Q370))*(Q$2:Q$1073&lt;&gt;""))),"")</f>
        <v>0.51850821020351767</v>
      </c>
      <c r="X370" cm="1">
        <f t="array" ref="X370">IFERROR(AVERAGE(_xlfn._xlws.FILTER(R$2:R$1073,($C$2:$C$1073=$C370)*($E$2:$E$1073=$E370)*(ROW(R$2:R$1073)&lt;&gt;ROW(R370))*(R$2:R$1073&lt;&gt;""))),"")</f>
        <v>-7.7598200038019413E-2</v>
      </c>
      <c r="Y370" cm="1">
        <f t="array" ref="Y370">IFERROR(AVERAGE(_xlfn._xlws.FILTER(S$2:S$1073,($C$2:$C$1073=$C370)*($E$2:$E$1073=$E370)*(ROW(S$2:S$1073)&lt;&gt;ROW(S370))*(S$2:S$1073&lt;&gt;""))),"")</f>
        <v>0.99776938684826377</v>
      </c>
      <c r="Z370" cm="1">
        <f t="array" ref="Z370">IFERROR(AVERAGE(_xlfn._xlws.FILTER(T$2:T$1073,($C$2:$C$1073=$C370)*($E$2:$E$1073=$E370)*(ROW(T$2:T$1073)&lt;&gt;ROW(T370))*(T$2:T$1073&lt;&gt;""))),"")</f>
        <v>1.9586469749598785E-2</v>
      </c>
      <c r="AA370" cm="1">
        <f t="array" ref="AA370">IFERROR(AVERAGE(_xlfn._xlws.FILTER(U$2:U$1073,($C$2:$C$1073=$C370)*($E$2:$E$1073=$E370)*(ROW(U$2:U$1073)&lt;&gt;ROW(U370))*(U$2:U$1073&lt;&gt;""))),"")</f>
        <v>3.5963270160535137</v>
      </c>
    </row>
    <row r="371" spans="1:27" x14ac:dyDescent="0.2">
      <c r="A371" s="7" t="s">
        <v>2224</v>
      </c>
      <c r="B371" t="str">
        <f t="shared" si="57"/>
        <v>MAGN IV кв. 2024</v>
      </c>
      <c r="C371">
        <v>2024</v>
      </c>
      <c r="D371">
        <f>SUMIFS(Дивиденды!$C:$C,Дивиденды!$A:$A,A371,Дивиденды!$I:$I,C371)</f>
        <v>2.4900000000000002</v>
      </c>
      <c r="E371">
        <v>3</v>
      </c>
      <c r="F371">
        <f t="shared" si="58"/>
        <v>2.4900000000000002</v>
      </c>
      <c r="G371">
        <f t="shared" si="59"/>
        <v>32.809000000000005</v>
      </c>
      <c r="H371">
        <f t="shared" si="60"/>
        <v>1</v>
      </c>
      <c r="I371">
        <f t="shared" si="67"/>
        <v>0.4</v>
      </c>
      <c r="J371">
        <f t="shared" si="61"/>
        <v>-9.4545454545454474E-2</v>
      </c>
      <c r="K371">
        <f t="shared" si="65"/>
        <v>-0.19515992752444913</v>
      </c>
      <c r="L371">
        <f t="shared" si="62"/>
        <v>0</v>
      </c>
      <c r="M371">
        <f t="shared" si="66"/>
        <v>0.1</v>
      </c>
      <c r="N371">
        <f t="shared" si="63"/>
        <v>1</v>
      </c>
      <c r="O371">
        <f t="shared" si="64"/>
        <v>0.4</v>
      </c>
      <c r="P371">
        <f>IFERROR(LN('Дивиденды по годам'!I371),"")</f>
        <v>27.540194470047759</v>
      </c>
      <c r="Q371">
        <f>IFERROR('Дивиденды по годам'!G371/'Дивиденды по годам'!I371, "")</f>
        <v>0.59223194652509481</v>
      </c>
      <c r="R371">
        <f>IFERROR(IF(AND('Дивиденды по годам'!N371&lt;&gt;"",'Дивиденды по годам'!U371&lt;&gt;"",'Дивиденды по годам'!U371&lt;&gt;0),'Дивиденды по годам'!N371/'Дивиденды по годам'!U371-1,""),"")</f>
        <v>6.6492880441189062E-3</v>
      </c>
      <c r="S371">
        <f>IFERROR(IF(AND('Дивиденды по годам'!L371&lt;&gt;"",'Дивиденды по годам'!I371&lt;&gt;"",'Дивиденды по годам'!J371&lt;&gt;"",'Дивиденды по годам'!K371&lt;&gt;"",('Дивиденды по годам'!I371-'Дивиденды по годам'!J371-'Дивиденды по годам'!K371)&lt;&gt;0),'Дивиденды по годам'!L371/('Дивиденды по годам'!I371-'Дивиденды по годам'!J371-'Дивиденды по годам'!K371),""),"")</f>
        <v>0.8971995268275994</v>
      </c>
      <c r="T371">
        <f>IFERROR(IF(AND('Дивиденды по годам'!Q371&lt;&gt;"",'Дивиденды по годам'!I371&lt;&gt;"",'Дивиденды по годам'!V371&lt;&gt;"",('Дивиденды по годам'!I371+'Дивиденды по годам'!V371)&lt;&gt;0),'Дивиденды по годам'!Q371/(('Дивиденды по годам'!I371+'Дивиденды по годам'!V371)/2),""),"")</f>
        <v>8.7859152105192989E-2</v>
      </c>
      <c r="U371">
        <f>IFERROR(IF(AND('Дивиденды по годам'!J371&lt;&gt;"",'Дивиденды по годам'!K371&lt;&gt;"",'Дивиденды по годам'!M371&lt;&gt;"",'Дивиденды по годам'!M371&lt;&gt;0),('Дивиденды по годам'!J371+'Дивиденды по годам'!K371)/'Дивиденды по годам'!M371,""),"")</f>
        <v>0.32380416693243957</v>
      </c>
      <c r="V371" cm="1">
        <f t="array" ref="V371">IFERROR(AVERAGE(_xlfn._xlws.FILTER(P$2:P$1073,($C$2:$C$1073=$C371)*($E$2:$E$1073=$E371)*(ROW(P$2:P$1073)&lt;&gt;ROW(P371))*(P$2:P$1073&lt;&gt;""))),"")</f>
        <v>27.257139638117486</v>
      </c>
      <c r="W371" cm="1">
        <f t="array" ref="W371">IFERROR(AVERAGE(_xlfn._xlws.FILTER(Q$2:Q$1073,($C$2:$C$1073=$C371)*($E$2:$E$1073=$E371)*(ROW(Q$2:Q$1073)&lt;&gt;ROW(Q371))*(Q$2:Q$1073&lt;&gt;""))),"")</f>
        <v>0.46892968651220779</v>
      </c>
      <c r="X371" cm="1">
        <f t="array" ref="X371">IFERROR(AVERAGE(_xlfn._xlws.FILTER(R$2:R$1073,($C$2:$C$1073=$C371)*($E$2:$E$1073=$E371)*(ROW(R$2:R$1073)&lt;&gt;ROW(R371))*(R$2:R$1073&lt;&gt;""))),"")</f>
        <v>2.7146181036879113E-2</v>
      </c>
      <c r="Y371" cm="1">
        <f t="array" ref="Y371">IFERROR(AVERAGE(_xlfn._xlws.FILTER(S$2:S$1073,($C$2:$C$1073=$C371)*($E$2:$E$1073=$E371)*(ROW(S$2:S$1073)&lt;&gt;ROW(S371))*(S$2:S$1073&lt;&gt;""))),"")</f>
        <v>1.2001668050186081</v>
      </c>
      <c r="Z371" cm="1">
        <f t="array" ref="Z371">IFERROR(AVERAGE(_xlfn._xlws.FILTER(T$2:T$1073,($C$2:$C$1073=$C371)*($E$2:$E$1073=$E371)*(ROW(T$2:T$1073)&lt;&gt;ROW(T371))*(T$2:T$1073&lt;&gt;""))),"")</f>
        <v>4.1289835799324694E-2</v>
      </c>
      <c r="AA371" cm="1">
        <f t="array" ref="AA371">IFERROR(AVERAGE(_xlfn._xlws.FILTER(U$2:U$1073,($C$2:$C$1073=$C371)*($E$2:$E$1073=$E371)*(ROW(U$2:U$1073)&lt;&gt;ROW(U371))*(U$2:U$1073&lt;&gt;""))),"")</f>
        <v>2.7888391993839718</v>
      </c>
    </row>
    <row r="372" spans="1:27" x14ac:dyDescent="0.2">
      <c r="A372" s="7" t="s">
        <v>2224</v>
      </c>
      <c r="B372" t="str">
        <f t="shared" si="57"/>
        <v>MAGN IV кв. 2023</v>
      </c>
      <c r="C372">
        <v>2023</v>
      </c>
      <c r="D372">
        <f>SUMIFS(Дивиденды!$C:$C,Дивиденды!$A:$A,A372,Дивиденды!$I:$I,C372)</f>
        <v>2.75</v>
      </c>
      <c r="E372">
        <v>3</v>
      </c>
      <c r="F372">
        <f t="shared" si="58"/>
        <v>2.75</v>
      </c>
      <c r="G372">
        <f t="shared" si="59"/>
        <v>24.969000000000001</v>
      </c>
      <c r="H372">
        <f t="shared" si="60"/>
        <v>1</v>
      </c>
      <c r="I372">
        <f t="shared" si="67"/>
        <v>0.5</v>
      </c>
      <c r="J372">
        <f t="shared" si="61"/>
        <v>1</v>
      </c>
      <c r="K372">
        <f t="shared" si="65"/>
        <v>0.33287037037037037</v>
      </c>
      <c r="L372">
        <f t="shared" si="62"/>
        <v>1</v>
      </c>
      <c r="M372">
        <f t="shared" si="66"/>
        <v>0.5</v>
      </c>
      <c r="N372">
        <f t="shared" si="63"/>
        <v>0</v>
      </c>
      <c r="O372">
        <f t="shared" si="64"/>
        <v>0.1</v>
      </c>
      <c r="P372">
        <f>IFERROR(LN('Дивиденды по годам'!I372),"")</f>
        <v>27.527882574301476</v>
      </c>
      <c r="Q372">
        <f>IFERROR('Дивиденды по годам'!G372/'Дивиденды по годам'!I372, "")</f>
        <v>0.54070168358828474</v>
      </c>
      <c r="R372">
        <f>IFERROR(IF(AND('Дивиденды по годам'!N372&lt;&gt;"",'Дивиденды по годам'!U372&lt;&gt;"",'Дивиденды по годам'!U372&lt;&gt;0),'Дивиденды по годам'!N372/'Дивиденды по годам'!U372-1,""),"")</f>
        <v>9.0842320206568239E-2</v>
      </c>
      <c r="S372">
        <f>IFERROR(IF(AND('Дивиденды по годам'!L372&lt;&gt;"",'Дивиденды по годам'!I372&lt;&gt;"",'Дивиденды по годам'!J372&lt;&gt;"",'Дивиденды по годам'!K372&lt;&gt;"",('Дивиденды по годам'!I372-'Дивиденды по годам'!J372-'Дивиденды по годам'!K372)&lt;&gt;0),'Дивиденды по годам'!L372/('Дивиденды по годам'!I372-'Дивиденды по годам'!J372-'Дивиденды по годам'!K372),""),"")</f>
        <v>0.90120592363438456</v>
      </c>
      <c r="T372">
        <f>IFERROR(IF(AND('Дивиденды по годам'!Q372&lt;&gt;"",'Дивиденды по годам'!I372&lt;&gt;"",'Дивиденды по годам'!V372&lt;&gt;"",('Дивиденды по годам'!I372+'Дивиденды по годам'!V372)&lt;&gt;0),'Дивиденды по годам'!Q372/(('Дивиденды по годам'!I372+'Дивиденды по годам'!V372)/2),""),"")</f>
        <v>0.14436021263737303</v>
      </c>
      <c r="U372">
        <f>IFERROR(IF(AND('Дивиденды по годам'!J372&lt;&gt;"",'Дивиденды по годам'!K372&lt;&gt;"",'Дивиденды по годам'!M372&lt;&gt;"",'Дивиденды по годам'!M372&lt;&gt;0),('Дивиденды по годам'!J372+'Дивиденды по годам'!K372)/'Дивиденды по годам'!M372,""),"")</f>
        <v>0.35985189406445561</v>
      </c>
      <c r="V372" cm="1">
        <f t="array" ref="V372">IFERROR(AVERAGE(_xlfn._xlws.FILTER(P$2:P$1073,($C$2:$C$1073=$C372)*($E$2:$E$1073=$E372)*(ROW(P$2:P$1073)&lt;&gt;ROW(P372))*(P$2:P$1073&lt;&gt;""))),"")</f>
        <v>27.179147384222055</v>
      </c>
      <c r="W372" cm="1">
        <f t="array" ref="W372">IFERROR(AVERAGE(_xlfn._xlws.FILTER(Q$2:Q$1073,($C$2:$C$1073=$C372)*($E$2:$E$1073=$E372)*(ROW(Q$2:Q$1073)&lt;&gt;ROW(Q372))*(Q$2:Q$1073&lt;&gt;""))),"")</f>
        <v>0.44728394997113535</v>
      </c>
      <c r="X372" cm="1">
        <f t="array" ref="X372">IFERROR(AVERAGE(_xlfn._xlws.FILTER(R$2:R$1073,($C$2:$C$1073=$C372)*($E$2:$E$1073=$E372)*(ROW(R$2:R$1073)&lt;&gt;ROW(R372))*(R$2:R$1073&lt;&gt;""))),"")</f>
        <v>0.13483876201509512</v>
      </c>
      <c r="Y372" cm="1">
        <f t="array" ref="Y372">IFERROR(AVERAGE(_xlfn._xlws.FILTER(S$2:S$1073,($C$2:$C$1073=$C372)*($E$2:$E$1073=$E372)*(ROW(S$2:S$1073)&lt;&gt;ROW(S372))*(S$2:S$1073&lt;&gt;""))),"")</f>
        <v>5.8313101579257717E-2</v>
      </c>
      <c r="Z372" cm="1">
        <f t="array" ref="Z372">IFERROR(AVERAGE(_xlfn._xlws.FILTER(T$2:T$1073,($C$2:$C$1073=$C372)*($E$2:$E$1073=$E372)*(ROW(T$2:T$1073)&lt;&gt;ROW(T372))*(T$2:T$1073&lt;&gt;""))),"")</f>
        <v>0.11580230322297862</v>
      </c>
      <c r="AA372" cm="1">
        <f t="array" ref="AA372">IFERROR(AVERAGE(_xlfn._xlws.FILTER(U$2:U$1073,($C$2:$C$1073=$C372)*($E$2:$E$1073=$E372)*(ROW(U$2:U$1073)&lt;&gt;ROW(U372))*(U$2:U$1073&lt;&gt;""))),"")</f>
        <v>-0.64919521502089883</v>
      </c>
    </row>
    <row r="373" spans="1:27" x14ac:dyDescent="0.2">
      <c r="A373" s="7" t="s">
        <v>2224</v>
      </c>
      <c r="B373" t="str">
        <f t="shared" si="57"/>
        <v>MAGN IV кв. 2022</v>
      </c>
      <c r="C373">
        <v>2022</v>
      </c>
      <c r="D373">
        <f>SUMIFS(Дивиденды!$C:$C,Дивиденды!$A:$A,A373,Дивиденды!$I:$I,C373)</f>
        <v>0</v>
      </c>
      <c r="E373">
        <v>3</v>
      </c>
      <c r="F373">
        <f t="shared" si="58"/>
        <v>0</v>
      </c>
      <c r="G373">
        <f t="shared" si="59"/>
        <v>1.73</v>
      </c>
      <c r="H373">
        <f t="shared" si="60"/>
        <v>0</v>
      </c>
      <c r="I373">
        <f t="shared" si="67"/>
        <v>0.2</v>
      </c>
      <c r="J373">
        <f t="shared" si="61"/>
        <v>-1</v>
      </c>
      <c r="K373">
        <f t="shared" si="65"/>
        <v>-0.50242800677583288</v>
      </c>
      <c r="L373">
        <f t="shared" si="62"/>
        <v>0</v>
      </c>
      <c r="M373">
        <f t="shared" si="66"/>
        <v>0.1</v>
      </c>
      <c r="N373">
        <f t="shared" si="63"/>
        <v>1</v>
      </c>
      <c r="O373">
        <f t="shared" si="64"/>
        <v>0.7</v>
      </c>
      <c r="P373">
        <f>IFERROR(LN('Дивиденды по годам'!I373),"")</f>
        <v>27.326918291189383</v>
      </c>
      <c r="Q373">
        <f>IFERROR('Дивиденды по годам'!G373/'Дивиденды по годам'!I373, "")</f>
        <v>0.5547347804577214</v>
      </c>
      <c r="R373">
        <f>IFERROR(IF(AND('Дивиденды по годам'!N373&lt;&gt;"",'Дивиденды по годам'!U373&lt;&gt;"",'Дивиденды по годам'!U373&lt;&gt;0),'Дивиденды по годам'!N373/'Дивиденды по годам'!U373-1,""),"")</f>
        <v>-0.20079815090432296</v>
      </c>
      <c r="S373">
        <f>IFERROR(IF(AND('Дивиденды по годам'!L373&lt;&gt;"",'Дивиденды по годам'!I373&lt;&gt;"",'Дивиденды по годам'!J373&lt;&gt;"",'Дивиденды по годам'!K373&lt;&gt;"",('Дивиденды по годам'!I373-'Дивиденды по годам'!J373-'Дивиденды по годам'!K373)&lt;&gt;0),'Дивиденды по годам'!L373/('Дивиденды по годам'!I373-'Дивиденды по годам'!J373-'Дивиденды по годам'!K373),""),"")</f>
        <v>0.89397572810094239</v>
      </c>
      <c r="T373">
        <f>IFERROR(IF(AND('Дивиденды по годам'!Q373&lt;&gt;"",'Дивиденды по годам'!I373&lt;&gt;"",'Дивиденды по годам'!V373&lt;&gt;"",('Дивиденды по годам'!I373+'Дивиденды по годам'!V373)&lt;&gt;0),'Дивиденды по годам'!Q373/(('Дивиденды по годам'!I373+'Дивиденды по годам'!V373)/2),""),"")</f>
        <v>9.6757905083204851E-2</v>
      </c>
      <c r="U373">
        <f>IFERROR(IF(AND('Дивиденды по годам'!J373&lt;&gt;"",'Дивиденды по годам'!K373&lt;&gt;"",'Дивиденды по годам'!M373&lt;&gt;"",'Дивиденды по годам'!M373&lt;&gt;0),('Дивиденды по годам'!J373+'Дивиденды по годам'!K373)/'Дивиденды по годам'!M373,""),"")</f>
        <v>0.37791959419835125</v>
      </c>
      <c r="V373" cm="1">
        <f t="array" ref="V373">IFERROR(AVERAGE(_xlfn._xlws.FILTER(P$2:P$1073,($C$2:$C$1073=$C373)*($E$2:$E$1073=$E373)*(ROW(P$2:P$1073)&lt;&gt;ROW(P373))*(P$2:P$1073&lt;&gt;""))),"")</f>
        <v>27.058424889558797</v>
      </c>
      <c r="W373" cm="1">
        <f t="array" ref="W373">IFERROR(AVERAGE(_xlfn._xlws.FILTER(Q$2:Q$1073,($C$2:$C$1073=$C373)*($E$2:$E$1073=$E373)*(ROW(Q$2:Q$1073)&lt;&gt;ROW(Q373))*(Q$2:Q$1073&lt;&gt;""))),"")</f>
        <v>0.46349149194612227</v>
      </c>
      <c r="X373" cm="1">
        <f t="array" ref="X373">IFERROR(AVERAGE(_xlfn._xlws.FILTER(R$2:R$1073,($C$2:$C$1073=$C373)*($E$2:$E$1073=$E373)*(ROW(R$2:R$1073)&lt;&gt;ROW(R373))*(R$2:R$1073&lt;&gt;""))),"")</f>
        <v>-3.7812583707308666E-3</v>
      </c>
      <c r="Y373" cm="1">
        <f t="array" ref="Y373">IFERROR(AVERAGE(_xlfn._xlws.FILTER(S$2:S$1073,($C$2:$C$1073=$C373)*($E$2:$E$1073=$E373)*(ROW(S$2:S$1073)&lt;&gt;ROW(S373))*(S$2:S$1073&lt;&gt;""))),"")</f>
        <v>0.84760087082759061</v>
      </c>
      <c r="Z373" cm="1">
        <f t="array" ref="Z373">IFERROR(AVERAGE(_xlfn._xlws.FILTER(T$2:T$1073,($C$2:$C$1073=$C373)*($E$2:$E$1073=$E373)*(ROW(T$2:T$1073)&lt;&gt;ROW(T373))*(T$2:T$1073&lt;&gt;""))),"")</f>
        <v>0.16486089740698745</v>
      </c>
      <c r="AA373" cm="1">
        <f t="array" ref="AA373">IFERROR(AVERAGE(_xlfn._xlws.FILTER(U$2:U$1073,($C$2:$C$1073=$C373)*($E$2:$E$1073=$E373)*(ROW(U$2:U$1073)&lt;&gt;ROW(U373))*(U$2:U$1073&lt;&gt;""))),"")</f>
        <v>1.2309009429742819</v>
      </c>
    </row>
    <row r="374" spans="1:27" x14ac:dyDescent="0.2">
      <c r="A374" s="7" t="s">
        <v>2224</v>
      </c>
      <c r="B374" t="str">
        <f t="shared" si="57"/>
        <v>MAGN IV кв. 2021</v>
      </c>
      <c r="C374">
        <v>2021</v>
      </c>
      <c r="D374">
        <f>SUMIFS(Дивиденды!$C:$C,Дивиденды!$A:$A,A374,Дивиденды!$I:$I,C374)</f>
        <v>7.99</v>
      </c>
      <c r="E374">
        <v>3</v>
      </c>
      <c r="F374">
        <f t="shared" si="58"/>
        <v>7.99</v>
      </c>
      <c r="G374">
        <f t="shared" si="59"/>
        <v>36.055999999999997</v>
      </c>
      <c r="H374">
        <f t="shared" si="60"/>
        <v>1</v>
      </c>
      <c r="I374">
        <f t="shared" si="67"/>
        <v>0.7</v>
      </c>
      <c r="J374">
        <f t="shared" si="61"/>
        <v>1.0227848101265822</v>
      </c>
      <c r="K374">
        <f t="shared" si="65"/>
        <v>0.6284178455581384</v>
      </c>
      <c r="L374">
        <f t="shared" si="62"/>
        <v>1</v>
      </c>
      <c r="M374">
        <f t="shared" si="66"/>
        <v>0.4</v>
      </c>
      <c r="N374">
        <f t="shared" si="63"/>
        <v>0</v>
      </c>
      <c r="O374">
        <f t="shared" si="64"/>
        <v>0.2</v>
      </c>
      <c r="P374">
        <f>IFERROR(LN('Дивиденды по годам'!I374),"")</f>
        <v>27.297967570962207</v>
      </c>
      <c r="Q374">
        <f>IFERROR('Дивиденды по годам'!G374/'Дивиденды по годам'!I374, "")</f>
        <v>0.55151827071538861</v>
      </c>
      <c r="R374">
        <f>IFERROR(IF(AND('Дивиденды по годам'!N374&lt;&gt;"",'Дивиденды по годам'!U374&lt;&gt;"",'Дивиденды по годам'!U374&lt;&gt;0),'Дивиденды по годам'!N374/'Дивиденды по годам'!U374-1,""),"")</f>
        <v>0.89393561650178266</v>
      </c>
      <c r="S374">
        <f>IFERROR(IF(AND('Дивиденды по годам'!L374&lt;&gt;"",'Дивиденды по годам'!I374&lt;&gt;"",'Дивиденды по годам'!J374&lt;&gt;"",'Дивиденды по годам'!K374&lt;&gt;"",('Дивиденды по годам'!I374-'Дивиденды по годам'!J374-'Дивиденды по годам'!K374)&lt;&gt;0),'Дивиденды по годам'!L374/('Дивиденды по годам'!I374-'Дивиденды по годам'!J374-'Дивиденды по годам'!K374),""),"")</f>
        <v>1.7821484992101106</v>
      </c>
      <c r="T374">
        <f>IFERROR(IF(AND('Дивиденды по годам'!Q374&lt;&gt;"",'Дивиденды по годам'!I374&lt;&gt;"",'Дивиденды по годам'!V374&lt;&gt;"",('Дивиденды по годам'!I374+'Дивиденды по годам'!V374)&lt;&gt;0),'Дивиденды по годам'!Q374/(('Дивиденды по годам'!I374+'Дивиденды по годам'!V374)/2),""),"")</f>
        <v>0.36595245283395672</v>
      </c>
      <c r="U374">
        <f>IFERROR(IF(AND('Дивиденды по годам'!J374&lt;&gt;"",'Дивиденды по годам'!K374&lt;&gt;"",'Дивиденды по годам'!M374&lt;&gt;"",'Дивиденды по годам'!M374&lt;&gt;0),('Дивиденды по годам'!J374+'Дивиденды по годам'!K374)/'Дивиденды по годам'!M374,""),"")</f>
        <v>0.53475513428120058</v>
      </c>
      <c r="V374" cm="1">
        <f t="array" ref="V374">IFERROR(AVERAGE(_xlfn._xlws.FILTER(P$2:P$1073,($C$2:$C$1073=$C374)*($E$2:$E$1073=$E374)*(ROW(P$2:P$1073)&lt;&gt;ROW(P374))*(P$2:P$1073&lt;&gt;""))),"")</f>
        <v>26.953499445095748</v>
      </c>
      <c r="W374" cm="1">
        <f t="array" ref="W374">IFERROR(AVERAGE(_xlfn._xlws.FILTER(Q$2:Q$1073,($C$2:$C$1073=$C374)*($E$2:$E$1073=$E374)*(ROW(Q$2:Q$1073)&lt;&gt;ROW(Q374))*(Q$2:Q$1073&lt;&gt;""))),"")</f>
        <v>0.4813195060283495</v>
      </c>
      <c r="X374" cm="1">
        <f t="array" ref="X374">IFERROR(AVERAGE(_xlfn._xlws.FILTER(R$2:R$1073,($C$2:$C$1073=$C374)*($E$2:$E$1073=$E374)*(ROW(R$2:R$1073)&lt;&gt;ROW(R374))*(R$2:R$1073&lt;&gt;""))),"")</f>
        <v>0.66203775675316079</v>
      </c>
      <c r="Y374" cm="1">
        <f t="array" ref="Y374">IFERROR(AVERAGE(_xlfn._xlws.FILTER(S$2:S$1073,($C$2:$C$1073=$C374)*($E$2:$E$1073=$E374)*(ROW(S$2:S$1073)&lt;&gt;ROW(S374))*(S$2:S$1073&lt;&gt;""))),"")</f>
        <v>0.96073244282524395</v>
      </c>
      <c r="Z374" cm="1">
        <f t="array" ref="Z374">IFERROR(AVERAGE(_xlfn._xlws.FILTER(T$2:T$1073,($C$2:$C$1073=$C374)*($E$2:$E$1073=$E374)*(ROW(T$2:T$1073)&lt;&gt;ROW(T374))*(T$2:T$1073&lt;&gt;""))),"")</f>
        <v>0.27949804602550571</v>
      </c>
      <c r="AA374" cm="1">
        <f t="array" ref="AA374">IFERROR(AVERAGE(_xlfn._xlws.FILTER(U$2:U$1073,($C$2:$C$1073=$C374)*($E$2:$E$1073=$E374)*(ROW(U$2:U$1073)&lt;&gt;ROW(U374))*(U$2:U$1073&lt;&gt;""))),"")</f>
        <v>2.1995007149210202</v>
      </c>
    </row>
    <row r="375" spans="1:27" x14ac:dyDescent="0.2">
      <c r="A375" s="7" t="s">
        <v>2224</v>
      </c>
      <c r="B375" t="str">
        <f t="shared" si="57"/>
        <v>MAGN IV кв. 2020</v>
      </c>
      <c r="C375">
        <v>2020</v>
      </c>
      <c r="D375">
        <f>SUMIFS(Дивиденды!$C:$C,Дивиденды!$A:$A,A375,Дивиденды!$I:$I,C375)</f>
        <v>3.95</v>
      </c>
      <c r="E375">
        <v>3</v>
      </c>
      <c r="F375">
        <f t="shared" si="58"/>
        <v>3.95</v>
      </c>
      <c r="G375">
        <f t="shared" si="59"/>
        <v>23.588999999999999</v>
      </c>
      <c r="H375">
        <f t="shared" si="60"/>
        <v>1</v>
      </c>
      <c r="I375">
        <f t="shared" si="67"/>
        <v>0.7</v>
      </c>
      <c r="J375">
        <f t="shared" si="61"/>
        <v>-0.26029962546816476</v>
      </c>
      <c r="K375">
        <f t="shared" si="65"/>
        <v>0.68540951125680105</v>
      </c>
      <c r="L375">
        <f t="shared" si="62"/>
        <v>0</v>
      </c>
      <c r="M375">
        <f t="shared" si="66"/>
        <v>0.7</v>
      </c>
      <c r="N375">
        <f t="shared" si="63"/>
        <v>1</v>
      </c>
      <c r="O375">
        <f t="shared" si="64"/>
        <v>0</v>
      </c>
      <c r="P375">
        <f>IFERROR(LN('Дивиденды по годам'!I375),"")</f>
        <v>27.01788879597138</v>
      </c>
      <c r="Q375">
        <f>IFERROR('Дивиденды по годам'!G375/'Дивиденды по годам'!I375, "")</f>
        <v>0.60611318739989328</v>
      </c>
      <c r="R375">
        <f>IFERROR(IF(AND('Дивиденды по годам'!N375&lt;&gt;"",'Дивиденды по годам'!U375&lt;&gt;"",'Дивиденды по годам'!U375&lt;&gt;0),'Дивиденды по годам'!N375/'Дивиденды по годам'!U375-1,""),"")</f>
        <v>-5.5362041482073687E-2</v>
      </c>
      <c r="S375">
        <f>IFERROR(IF(AND('Дивиденды по годам'!L375&lt;&gt;"",'Дивиденды по годам'!I375&lt;&gt;"",'Дивиденды по годам'!J375&lt;&gt;"",'Дивиденды по годам'!K375&lt;&gt;"",('Дивиденды по годам'!I375-'Дивиденды по годам'!J375-'Дивиденды по годам'!K375)&lt;&gt;0),'Дивиденды по годам'!L375/('Дивиденды по годам'!I375-'Дивиденды по годам'!J375-'Дивиденды по годам'!K375),""),"")</f>
        <v>2.0695500978048256</v>
      </c>
      <c r="T375">
        <f>IFERROR(IF(AND('Дивиденды по годам'!Q375&lt;&gt;"",'Дивиденды по годам'!I375&lt;&gt;"",'Дивиденды по годам'!V375&lt;&gt;"",('Дивиденды по годам'!I375+'Дивиденды по годам'!V375)&lt;&gt;0),'Дивиденды по годам'!Q375/(('Дивиденды по годам'!I375+'Дивиденды по годам'!V375)/2),""),"")</f>
        <v>8.1050813710317193E-2</v>
      </c>
      <c r="U375">
        <f>IFERROR(IF(AND('Дивиденды по годам'!J375&lt;&gt;"",'Дивиденды по годам'!K375&lt;&gt;"",'Дивиденды по годам'!M375&lt;&gt;"",'Дивиденды по годам'!M375&lt;&gt;0),('Дивиденды по годам'!J375+'Дивиденды по годам'!K375)/'Дивиденды по годам'!M375,""),"")</f>
        <v>0.62834166485546628</v>
      </c>
      <c r="V375" cm="1">
        <f t="array" ref="V375">IFERROR(AVERAGE(_xlfn._xlws.FILTER(P$2:P$1073,($C$2:$C$1073=$C375)*($E$2:$E$1073=$E375)*(ROW(P$2:P$1073)&lt;&gt;ROW(P375))*(P$2:P$1073&lt;&gt;""))),"")</f>
        <v>26.798752132825786</v>
      </c>
      <c r="W375" cm="1">
        <f t="array" ref="W375">IFERROR(AVERAGE(_xlfn._xlws.FILTER(Q$2:Q$1073,($C$2:$C$1073=$C375)*($E$2:$E$1073=$E375)*(ROW(Q$2:Q$1073)&lt;&gt;ROW(Q375))*(Q$2:Q$1073&lt;&gt;""))),"")</f>
        <v>0.49611626091297978</v>
      </c>
      <c r="X375" cm="1">
        <f t="array" ref="X375">IFERROR(AVERAGE(_xlfn._xlws.FILTER(R$2:R$1073,($C$2:$C$1073=$C375)*($E$2:$E$1073=$E375)*(ROW(R$2:R$1073)&lt;&gt;ROW(R375))*(R$2:R$1073&lt;&gt;""))),"")</f>
        <v>3.5487672588541262E-2</v>
      </c>
      <c r="Y375" cm="1">
        <f t="array" ref="Y375">IFERROR(AVERAGE(_xlfn._xlws.FILTER(S$2:S$1073,($C$2:$C$1073=$C375)*($E$2:$E$1073=$E375)*(ROW(S$2:S$1073)&lt;&gt;ROW(S375))*(S$2:S$1073&lt;&gt;""))),"")</f>
        <v>0.93814526976502677</v>
      </c>
      <c r="Z375" cm="1">
        <f t="array" ref="Z375">IFERROR(AVERAGE(_xlfn._xlws.FILTER(T$2:T$1073,($C$2:$C$1073=$C375)*($E$2:$E$1073=$E375)*(ROW(T$2:T$1073)&lt;&gt;ROW(T375))*(T$2:T$1073&lt;&gt;""))),"")</f>
        <v>9.5623610135767839E-2</v>
      </c>
      <c r="AA375" cm="1">
        <f t="array" ref="AA375">IFERROR(AVERAGE(_xlfn._xlws.FILTER(U$2:U$1073,($C$2:$C$1073=$C375)*($E$2:$E$1073=$E375)*(ROW(U$2:U$1073)&lt;&gt;ROW(U375))*(U$2:U$1073&lt;&gt;""))),"")</f>
        <v>1.7619872906055651</v>
      </c>
    </row>
    <row r="376" spans="1:27" x14ac:dyDescent="0.2">
      <c r="A376" s="7" t="s">
        <v>2224</v>
      </c>
      <c r="B376" t="str">
        <f t="shared" si="57"/>
        <v>MAGN IV кв. 2019</v>
      </c>
      <c r="C376">
        <v>2019</v>
      </c>
      <c r="D376">
        <f>SUMIFS(Дивиденды!$C:$C,Дивиденды!$A:$A,A376,Дивиденды!$I:$I,C376)</f>
        <v>5.34</v>
      </c>
      <c r="E376">
        <v>3</v>
      </c>
      <c r="F376">
        <f t="shared" si="58"/>
        <v>5.34</v>
      </c>
      <c r="G376">
        <f t="shared" si="59"/>
        <v>19.057000000000002</v>
      </c>
      <c r="H376">
        <f t="shared" si="60"/>
        <v>1</v>
      </c>
      <c r="I376">
        <f t="shared" si="67"/>
        <v>0.7</v>
      </c>
      <c r="J376">
        <f t="shared" si="61"/>
        <v>-9.4915254237288207E-2</v>
      </c>
      <c r="K376">
        <f t="shared" si="65"/>
        <v>0.26109812108392993</v>
      </c>
      <c r="L376">
        <f t="shared" si="62"/>
        <v>0</v>
      </c>
      <c r="M376">
        <f t="shared" si="66"/>
        <v>0.4</v>
      </c>
      <c r="N376">
        <f t="shared" si="63"/>
        <v>1</v>
      </c>
      <c r="O376">
        <f t="shared" si="64"/>
        <v>0.3</v>
      </c>
      <c r="P376">
        <f>IFERROR(LN('Дивиденды по годам'!I376),"")</f>
        <v>27.007184401317094</v>
      </c>
      <c r="Q376">
        <f>IFERROR('Дивиденды по годам'!G376/'Дивиденды по годам'!I376, "")</f>
        <v>0.62530178657653301</v>
      </c>
      <c r="R376">
        <f>IFERROR(IF(AND('Дивиденды по годам'!N376&lt;&gt;"",'Дивиденды по годам'!U376&lt;&gt;"",'Дивиденды по годам'!U376&lt;&gt;0),'Дивиденды по годам'!N376/'Дивиденды по годам'!U376-1,""),"")</f>
        <v>-5.222463467422167E-2</v>
      </c>
      <c r="S376">
        <f>IFERROR(IF(AND('Дивиденды по годам'!L376&lt;&gt;"",'Дивиденды по годам'!I376&lt;&gt;"",'Дивиденды по годам'!J376&lt;&gt;"",'Дивиденды по годам'!K376&lt;&gt;"",('Дивиденды по годам'!I376-'Дивиденды по годам'!J376-'Дивиденды по годам'!K376)&lt;&gt;0),'Дивиденды по годам'!L376/('Дивиденды по годам'!I376-'Дивиденды по годам'!J376-'Дивиденды по годам'!K376),""),"")</f>
        <v>1.7394455517303857</v>
      </c>
      <c r="T376">
        <f>IFERROR(IF(AND('Дивиденды по годам'!Q376&lt;&gt;"",'Дивиденды по годам'!I376&lt;&gt;"",'Дивиденды по годам'!V376&lt;&gt;"",('Дивиденды по годам'!I376+'Дивиденды по годам'!V376)&lt;&gt;0),'Дивиденды по годам'!Q376/(('Дивиденды по годам'!I376+'Дивиденды по годам'!V376)/2),""),"")</f>
        <v>0.11199576835220526</v>
      </c>
      <c r="U376">
        <f>IFERROR(IF(AND('Дивиденды по годам'!J376&lt;&gt;"",'Дивиденды по годам'!K376&lt;&gt;"",'Дивиденды по годам'!M376&lt;&gt;"",'Дивиденды по годам'!M376&lt;&gt;0),('Дивиденды по годам'!J376+'Дивиденды по годам'!K376)/'Дивиденды по годам'!M376,""),"")</f>
        <v>0.50099655734734549</v>
      </c>
      <c r="V376" cm="1">
        <f t="array" ref="V376">IFERROR(AVERAGE(_xlfn._xlws.FILTER(P$2:P$1073,($C$2:$C$1073=$C376)*($E$2:$E$1073=$E376)*(ROW(P$2:P$1073)&lt;&gt;ROW(P376))*(P$2:P$1073&lt;&gt;""))),"")</f>
        <v>26.684910664824958</v>
      </c>
      <c r="W376" cm="1">
        <f t="array" ref="W376">IFERROR(AVERAGE(_xlfn._xlws.FILTER(Q$2:Q$1073,($C$2:$C$1073=$C376)*($E$2:$E$1073=$E376)*(ROW(Q$2:Q$1073)&lt;&gt;ROW(Q376))*(Q$2:Q$1073&lt;&gt;""))),"")</f>
        <v>0.48825895853669604</v>
      </c>
      <c r="X376" cm="1">
        <f t="array" ref="X376">IFERROR(AVERAGE(_xlfn._xlws.FILTER(R$2:R$1073,($C$2:$C$1073=$C376)*($E$2:$E$1073=$E376)*(ROW(R$2:R$1073)&lt;&gt;ROW(R376))*(R$2:R$1073&lt;&gt;""))),"")</f>
        <v>4.7981027734601098E-2</v>
      </c>
      <c r="Y376" cm="1">
        <f t="array" ref="Y376">IFERROR(AVERAGE(_xlfn._xlws.FILTER(S$2:S$1073,($C$2:$C$1073=$C376)*($E$2:$E$1073=$E376)*(ROW(S$2:S$1073)&lt;&gt;ROW(S376))*(S$2:S$1073&lt;&gt;""))),"")</f>
        <v>0.82505426410985139</v>
      </c>
      <c r="Z376" cm="1">
        <f t="array" ref="Z376">IFERROR(AVERAGE(_xlfn._xlws.FILTER(T$2:T$1073,($C$2:$C$1073=$C376)*($E$2:$E$1073=$E376)*(ROW(T$2:T$1073)&lt;&gt;ROW(T376))*(T$2:T$1073&lt;&gt;""))),"")</f>
        <v>0.14060214801920828</v>
      </c>
      <c r="AA376" cm="1">
        <f t="array" ref="AA376">IFERROR(AVERAGE(_xlfn._xlws.FILTER(U$2:U$1073,($C$2:$C$1073=$C376)*($E$2:$E$1073=$E376)*(ROW(U$2:U$1073)&lt;&gt;ROW(U376))*(U$2:U$1073&lt;&gt;""))),"")</f>
        <v>1.6648056772766975</v>
      </c>
    </row>
    <row r="377" spans="1:27" x14ac:dyDescent="0.2">
      <c r="A377" s="7" t="s">
        <v>2224</v>
      </c>
      <c r="B377" t="str">
        <f t="shared" si="57"/>
        <v>MAGN IV кв. 2018</v>
      </c>
      <c r="C377">
        <v>2018</v>
      </c>
      <c r="D377">
        <f>SUMIFS(Дивиденды!$C:$C,Дивиденды!$A:$A,A377,Дивиденды!$I:$I,C377)</f>
        <v>5.9</v>
      </c>
      <c r="E377">
        <v>3</v>
      </c>
      <c r="F377">
        <f t="shared" si="58"/>
        <v>5.9</v>
      </c>
      <c r="G377">
        <f t="shared" si="59"/>
        <v>22.104999999999997</v>
      </c>
      <c r="H377">
        <f t="shared" si="60"/>
        <v>1</v>
      </c>
      <c r="I377">
        <f t="shared" si="67"/>
        <v>0.4</v>
      </c>
      <c r="J377">
        <f t="shared" si="61"/>
        <v>1.1146953405017923</v>
      </c>
      <c r="K377">
        <f t="shared" si="65"/>
        <v>9.3873341858760721E-3</v>
      </c>
      <c r="L377">
        <f t="shared" si="62"/>
        <v>1</v>
      </c>
      <c r="M377">
        <f t="shared" si="66"/>
        <v>0.4</v>
      </c>
      <c r="N377">
        <f t="shared" si="63"/>
        <v>0</v>
      </c>
      <c r="O377">
        <f t="shared" si="64"/>
        <v>0.2</v>
      </c>
      <c r="P377">
        <f>IFERROR(LN('Дивиденды по годам'!I377),"")</f>
        <v>26.83909595912484</v>
      </c>
      <c r="Q377">
        <f>IFERROR('Дивиденды по годам'!G377/'Дивиденды по годам'!I377, "")</f>
        <v>0.60652324774462174</v>
      </c>
      <c r="R377">
        <f>IFERROR(IF(AND('Дивиденды по годам'!N377&lt;&gt;"",'Дивиденды по годам'!U377&lt;&gt;"",'Дивиденды по годам'!U377&lt;&gt;0),'Дивиденды по годам'!N377/'Дивиденды по годам'!U377-1,""),"")</f>
        <v>0.17357518485362577</v>
      </c>
      <c r="S377">
        <f>IFERROR(IF(AND('Дивиденды по годам'!L377&lt;&gt;"",'Дивиденды по годам'!I377&lt;&gt;"",'Дивиденды по годам'!J377&lt;&gt;"",'Дивиденды по годам'!K377&lt;&gt;"",('Дивиденды по годам'!I377-'Дивиденды по годам'!J377-'Дивиденды по годам'!K377)&lt;&gt;0),'Дивиденды по годам'!L377/('Дивиденды по годам'!I377-'Дивиденды по годам'!J377-'Дивиденды по годам'!K377),""),"")</f>
        <v>1.9289279297264923</v>
      </c>
      <c r="T377">
        <f>IFERROR(IF(AND('Дивиденды по годам'!Q377&lt;&gt;"",'Дивиденды по годам'!I377&lt;&gt;"",'Дивиденды по годам'!V377&lt;&gt;"",('Дивиденды по годам'!I377+'Дивиденды по годам'!V377)&lt;&gt;0),'Дивиденды по годам'!Q377/(('Дивиденды по годам'!I377+'Дивиденды по годам'!V377)/2),""),"")</f>
        <v>0.18097208339630941</v>
      </c>
      <c r="U377">
        <f>IFERROR(IF(AND('Дивиденды по годам'!J377&lt;&gt;"",'Дивиденды по годам'!K377&lt;&gt;"",'Дивиденды по годам'!M377&lt;&gt;"",'Дивиденды по годам'!M377&lt;&gt;0),('Дивиденды по годам'!J377+'Дивиденды по годам'!K377)/'Дивиденды по годам'!M377,""),"")</f>
        <v>0.43841086045118793</v>
      </c>
      <c r="V377" cm="1">
        <f t="array" ref="V377">IFERROR(AVERAGE(_xlfn._xlws.FILTER(P$2:P$1073,($C$2:$C$1073=$C377)*($E$2:$E$1073=$E377)*(ROW(P$2:P$1073)&lt;&gt;ROW(P377))*(P$2:P$1073&lt;&gt;""))),"")</f>
        <v>26.543689457664925</v>
      </c>
      <c r="W377" cm="1">
        <f t="array" ref="W377">IFERROR(AVERAGE(_xlfn._xlws.FILTER(Q$2:Q$1073,($C$2:$C$1073=$C377)*($E$2:$E$1073=$E377)*(ROW(Q$2:Q$1073)&lt;&gt;ROW(Q377))*(Q$2:Q$1073&lt;&gt;""))),"")</f>
        <v>0.50931900391199525</v>
      </c>
      <c r="X377" cm="1">
        <f t="array" ref="X377">IFERROR(AVERAGE(_xlfn._xlws.FILTER(R$2:R$1073,($C$2:$C$1073=$C377)*($E$2:$E$1073=$E377)*(ROW(R$2:R$1073)&lt;&gt;ROW(R377))*(R$2:R$1073&lt;&gt;""))),"")</f>
        <v>0.22193844884878181</v>
      </c>
      <c r="Y377" cm="1">
        <f t="array" ref="Y377">IFERROR(AVERAGE(_xlfn._xlws.FILTER(S$2:S$1073,($C$2:$C$1073=$C377)*($E$2:$E$1073=$E377)*(ROW(S$2:S$1073)&lt;&gt;ROW(S377))*(S$2:S$1073&lt;&gt;""))),"")</f>
        <v>0.82291426366161091</v>
      </c>
      <c r="Z377" cm="1">
        <f t="array" ref="Z377">IFERROR(AVERAGE(_xlfn._xlws.FILTER(T$2:T$1073,($C$2:$C$1073=$C377)*($E$2:$E$1073=$E377)*(ROW(T$2:T$1073)&lt;&gt;ROW(T377))*(T$2:T$1073&lt;&gt;""))),"")</f>
        <v>0.15266563135618333</v>
      </c>
      <c r="AA377" cm="1">
        <f t="array" ref="AA377">IFERROR(AVERAGE(_xlfn._xlws.FILTER(U$2:U$1073,($C$2:$C$1073=$C377)*($E$2:$E$1073=$E377)*(ROW(U$2:U$1073)&lt;&gt;ROW(U377))*(U$2:U$1073&lt;&gt;""))),"")</f>
        <v>2.5282344242867385</v>
      </c>
    </row>
    <row r="378" spans="1:27" x14ac:dyDescent="0.2">
      <c r="A378" s="7" t="s">
        <v>2224</v>
      </c>
      <c r="B378" t="str">
        <f t="shared" si="57"/>
        <v>MAGN IV кв. 2017</v>
      </c>
      <c r="C378">
        <v>2017</v>
      </c>
      <c r="D378">
        <f>SUMIFS(Дивиденды!$C:$C,Дивиденды!$A:$A,A378,Дивиденды!$I:$I,C378)</f>
        <v>2.79</v>
      </c>
      <c r="E378">
        <v>3</v>
      </c>
      <c r="F378">
        <f t="shared" si="58"/>
        <v>2.79</v>
      </c>
      <c r="G378">
        <f t="shared" si="59"/>
        <v>15.789876314825079</v>
      </c>
      <c r="H378">
        <f t="shared" si="60"/>
        <v>1</v>
      </c>
      <c r="I378">
        <f t="shared" si="67"/>
        <v>0.6</v>
      </c>
      <c r="J378">
        <f t="shared" si="61"/>
        <v>0.42346938775510207</v>
      </c>
      <c r="K378">
        <f t="shared" si="65"/>
        <v>7.4746086267095044E-2</v>
      </c>
      <c r="L378">
        <f t="shared" si="62"/>
        <v>1</v>
      </c>
      <c r="M378">
        <f t="shared" si="66"/>
        <v>0.4</v>
      </c>
      <c r="N378">
        <f t="shared" si="63"/>
        <v>0</v>
      </c>
      <c r="O378">
        <f t="shared" si="64"/>
        <v>0.2</v>
      </c>
      <c r="P378">
        <f>IFERROR(LN('Дивиденды по годам'!I378),"")</f>
        <v>26.858984449345737</v>
      </c>
      <c r="Q378">
        <f>IFERROR('Дивиденды по годам'!G378/'Дивиденды по годам'!I378, "")</f>
        <v>0.61509338717819273</v>
      </c>
      <c r="R378">
        <f>IFERROR(IF(AND('Дивиденды по годам'!N378&lt;&gt;"",'Дивиденды по годам'!U378&lt;&gt;"",'Дивиденды по годам'!U378&lt;&gt;0),'Дивиденды по годам'!N378/'Дивиденды по годам'!U378-1,""),"")</f>
        <v>0.16558937580284394</v>
      </c>
      <c r="S378">
        <f>IFERROR(IF(AND('Дивиденды по годам'!L378&lt;&gt;"",'Дивиденды по годам'!I378&lt;&gt;"",'Дивиденды по годам'!J378&lt;&gt;"",'Дивиденды по годам'!K378&lt;&gt;"",('Дивиденды по годам'!I378-'Дивиденды по годам'!J378-'Дивиденды по годам'!K378)&lt;&gt;0),'Дивиденды по годам'!L378/('Дивиденды по годам'!I378-'Дивиденды по годам'!J378-'Дивиденды по годам'!K378),""),"")</f>
        <v>1.6843732945242857</v>
      </c>
      <c r="T378">
        <f>IFERROR(IF(AND('Дивиденды по годам'!Q378&lt;&gt;"",'Дивиденды по годам'!I378&lt;&gt;"",'Дивиденды по годам'!V378&lt;&gt;"",('Дивиденды по годам'!I378+'Дивиденды по годам'!V378)&lt;&gt;0),'Дивиденды по годам'!Q378/(('Дивиденды по годам'!I378+'Дивиденды по годам'!V378)/2),""),"")</f>
        <v>0.15442012409871816</v>
      </c>
      <c r="U378">
        <f>IFERROR(IF(AND('Дивиденды по годам'!J378&lt;&gt;"",'Дивиденды по годам'!K378&lt;&gt;"",'Дивиденды по годам'!M378&lt;&gt;"",'Дивиденды по годам'!M378&lt;&gt;0),('Дивиденды по годам'!J378+'Дивиденды по годам'!K378)/'Дивиденды по годам'!M378,""),"")</f>
        <v>0.44151355284700744</v>
      </c>
      <c r="V378" cm="1">
        <f t="array" ref="V378">IFERROR(AVERAGE(_xlfn._xlws.FILTER(P$2:P$1073,($C$2:$C$1073=$C378)*($E$2:$E$1073=$E378)*(ROW(P$2:P$1073)&lt;&gt;ROW(P378))*(P$2:P$1073&lt;&gt;""))),"")</f>
        <v>26.512445907825303</v>
      </c>
      <c r="W378" cm="1">
        <f t="array" ref="W378">IFERROR(AVERAGE(_xlfn._xlws.FILTER(Q$2:Q$1073,($C$2:$C$1073=$C378)*($E$2:$E$1073=$E378)*(ROW(Q$2:Q$1073)&lt;&gt;ROW(Q378))*(Q$2:Q$1073&lt;&gt;""))),"")</f>
        <v>0.52796765507663457</v>
      </c>
      <c r="X378" cm="1">
        <f t="array" ref="X378">IFERROR(AVERAGE(_xlfn._xlws.FILTER(R$2:R$1073,($C$2:$C$1073=$C378)*($E$2:$E$1073=$E378)*(ROW(R$2:R$1073)&lt;&gt;ROW(R378))*(R$2:R$1073&lt;&gt;""))),"")</f>
        <v>9.3711744817002368E-2</v>
      </c>
      <c r="Y378" cm="1">
        <f t="array" ref="Y378">IFERROR(AVERAGE(_xlfn._xlws.FILTER(S$2:S$1073,($C$2:$C$1073=$C378)*($E$2:$E$1073=$E378)*(ROW(S$2:S$1073)&lt;&gt;ROW(S378))*(S$2:S$1073&lt;&gt;""))),"")</f>
        <v>0.99518727922244632</v>
      </c>
      <c r="Z378" cm="1">
        <f t="array" ref="Z378">IFERROR(AVERAGE(_xlfn._xlws.FILTER(T$2:T$1073,($C$2:$C$1073=$C378)*($E$2:$E$1073=$E378)*(ROW(T$2:T$1073)&lt;&gt;ROW(T378))*(T$2:T$1073&lt;&gt;""))),"")</f>
        <v>0.11828067080524947</v>
      </c>
      <c r="AA378" cm="1">
        <f t="array" ref="AA378">IFERROR(AVERAGE(_xlfn._xlws.FILTER(U$2:U$1073,($C$2:$C$1073=$C378)*($E$2:$E$1073=$E378)*(ROW(U$2:U$1073)&lt;&gt;ROW(U378))*(U$2:U$1073&lt;&gt;""))),"")</f>
        <v>2.1319087279205018</v>
      </c>
    </row>
    <row r="379" spans="1:27" x14ac:dyDescent="0.2">
      <c r="A379" s="7" t="s">
        <v>2224</v>
      </c>
      <c r="B379" t="str">
        <f t="shared" si="57"/>
        <v>MAGN IV кв. 2016</v>
      </c>
      <c r="C379">
        <v>2016</v>
      </c>
      <c r="D379">
        <f>SUMIFS(Дивиденды!$C:$C,Дивиденды!$A:$A,A379,Дивиденды!$I:$I,C379)</f>
        <v>1.96</v>
      </c>
      <c r="E379">
        <v>3</v>
      </c>
      <c r="F379">
        <f t="shared" si="58"/>
        <v>1.96</v>
      </c>
      <c r="G379">
        <f t="shared" si="59"/>
        <v>11.899639712606383</v>
      </c>
      <c r="H379">
        <f t="shared" si="60"/>
        <v>1</v>
      </c>
      <c r="I379">
        <f t="shared" si="67"/>
        <v>0.6</v>
      </c>
      <c r="J379">
        <f t="shared" si="61"/>
        <v>1.2022471910112362</v>
      </c>
      <c r="K379">
        <f t="shared" si="65"/>
        <v>0.56745643693870762</v>
      </c>
      <c r="L379">
        <f t="shared" si="62"/>
        <v>1</v>
      </c>
      <c r="M379">
        <f t="shared" si="66"/>
        <v>0.6</v>
      </c>
      <c r="N379">
        <f t="shared" si="63"/>
        <v>0</v>
      </c>
      <c r="O379">
        <f t="shared" si="64"/>
        <v>0</v>
      </c>
      <c r="P379">
        <f>IFERROR(LN('Дивиденды по годам'!I379),"")</f>
        <v>26.800725650053192</v>
      </c>
      <c r="Q379">
        <f>IFERROR('Дивиденды по годам'!G379/'Дивиденды по годам'!I379, "")</f>
        <v>0.66835871404399327</v>
      </c>
      <c r="R379">
        <f>IFERROR(IF(AND('Дивиденды по годам'!N379&lt;&gt;"",'Дивиденды по годам'!U379&lt;&gt;"",'Дивиденды по годам'!U379&lt;&gt;0),'Дивиденды по годам'!N379/'Дивиденды по годам'!U379-1,""),"")</f>
        <v>5.5576571899679905E-2</v>
      </c>
      <c r="S379">
        <f>IFERROR(IF(AND('Дивиденды по годам'!L379&lt;&gt;"",'Дивиденды по годам'!I379&lt;&gt;"",'Дивиденды по годам'!J379&lt;&gt;"",'Дивиденды по годам'!K379&lt;&gt;"",('Дивиденды по годам'!I379-'Дивиденды по годам'!J379-'Дивиденды по годам'!K379)&lt;&gt;0),'Дивиденды по годам'!L379/('Дивиденды по годам'!I379-'Дивиденды по годам'!J379-'Дивиденды по годам'!K379),""),"")</f>
        <v>1.8473784759074505</v>
      </c>
      <c r="T379">
        <f>IFERROR(IF(AND('Дивиденды по годам'!Q379&lt;&gt;"",'Дивиденды по годам'!I379&lt;&gt;"",'Дивиденды по годам'!V379&lt;&gt;"",('Дивиденды по годам'!I379+'Дивиденды по годам'!V379)&lt;&gt;0),'Дивиденды по годам'!Q379/(('Дивиденды по годам'!I379+'Дивиденды по годам'!V379)/2),""),"")</f>
        <v>0.18325694544278229</v>
      </c>
      <c r="U379">
        <f>IFERROR(IF(AND('Дивиденды по годам'!J379&lt;&gt;"",'Дивиденды по годам'!K379&lt;&gt;"",'Дивиденды по годам'!M379&lt;&gt;"",'Дивиденды по годам'!M379&lt;&gt;0),('Дивиденды по годам'!J379+'Дивиденды по годам'!K379)/'Дивиденды по годам'!M379,""),"")</f>
        <v>0.37996179155168752</v>
      </c>
      <c r="V379" cm="1">
        <f t="array" ref="V379">IFERROR(AVERAGE(_xlfn._xlws.FILTER(P$2:P$1073,($C$2:$C$1073=$C379)*($E$2:$E$1073=$E379)*(ROW(P$2:P$1073)&lt;&gt;ROW(P379))*(P$2:P$1073&lt;&gt;""))),"")</f>
        <v>26.518966288625581</v>
      </c>
      <c r="W379" cm="1">
        <f t="array" ref="W379">IFERROR(AVERAGE(_xlfn._xlws.FILTER(Q$2:Q$1073,($C$2:$C$1073=$C379)*($E$2:$E$1073=$E379)*(ROW(Q$2:Q$1073)&lt;&gt;ROW(Q379))*(Q$2:Q$1073&lt;&gt;""))),"")</f>
        <v>0.49375823244839012</v>
      </c>
      <c r="X379" cm="1">
        <f t="array" ref="X379">IFERROR(AVERAGE(_xlfn._xlws.FILTER(R$2:R$1073,($C$2:$C$1073=$C379)*($E$2:$E$1073=$E379)*(ROW(R$2:R$1073)&lt;&gt;ROW(R379))*(R$2:R$1073&lt;&gt;""))),"")</f>
        <v>0.14261213980311865</v>
      </c>
      <c r="Y379" cm="1">
        <f t="array" ref="Y379">IFERROR(AVERAGE(_xlfn._xlws.FILTER(S$2:S$1073,($C$2:$C$1073=$C379)*($E$2:$E$1073=$E379)*(ROW(S$2:S$1073)&lt;&gt;ROW(S379))*(S$2:S$1073&lt;&gt;""))),"")</f>
        <v>0.14183461130024447</v>
      </c>
      <c r="Z379" cm="1">
        <f t="array" ref="Z379">IFERROR(AVERAGE(_xlfn._xlws.FILTER(T$2:T$1073,($C$2:$C$1073=$C379)*($E$2:$E$1073=$E379)*(ROW(T$2:T$1073)&lt;&gt;ROW(T379))*(T$2:T$1073&lt;&gt;""))),"")</f>
        <v>0.15973362312538533</v>
      </c>
      <c r="AA379" cm="1">
        <f t="array" ref="AA379">IFERROR(AVERAGE(_xlfn._xlws.FILTER(U$2:U$1073,($C$2:$C$1073=$C379)*($E$2:$E$1073=$E379)*(ROW(U$2:U$1073)&lt;&gt;ROW(U379))*(U$2:U$1073&lt;&gt;""))),"")</f>
        <v>0.13430085852056886</v>
      </c>
    </row>
    <row r="380" spans="1:27" x14ac:dyDescent="0.2">
      <c r="A380" s="7" t="s">
        <v>2224</v>
      </c>
      <c r="B380" t="str">
        <f t="shared" si="57"/>
        <v>MAGN IV кв. 2015</v>
      </c>
      <c r="C380">
        <v>2015</v>
      </c>
      <c r="D380">
        <f>SUMIFS(Дивиденды!$C:$C,Дивиденды!$A:$A,A380,Дивиденды!$I:$I,C380)</f>
        <v>0.8899999999999999</v>
      </c>
      <c r="E380">
        <v>3</v>
      </c>
      <c r="F380">
        <f t="shared" si="58"/>
        <v>0.8899999999999999</v>
      </c>
      <c r="G380">
        <f t="shared" si="59"/>
        <v>7.1350627742857142</v>
      </c>
      <c r="H380">
        <f t="shared" si="60"/>
        <v>1</v>
      </c>
      <c r="I380">
        <f t="shared" si="67"/>
        <v>0.5</v>
      </c>
      <c r="J380">
        <f t="shared" si="61"/>
        <v>0.53448275862068961</v>
      </c>
      <c r="K380">
        <f t="shared" si="65"/>
        <v>0.82743889472848409</v>
      </c>
      <c r="L380">
        <f t="shared" si="62"/>
        <v>1</v>
      </c>
      <c r="M380">
        <f t="shared" si="66"/>
        <v>0.4</v>
      </c>
      <c r="N380">
        <f t="shared" si="63"/>
        <v>0</v>
      </c>
      <c r="O380">
        <f t="shared" si="64"/>
        <v>0.1</v>
      </c>
      <c r="P380">
        <f>IFERROR(LN('Дивиденды по годам'!I380),"")</f>
        <v>26.655822046317311</v>
      </c>
      <c r="Q380">
        <f>IFERROR('Дивиденды по годам'!G380/'Дивиденды по годам'!I380, "")</f>
        <v>0.61133668994640245</v>
      </c>
      <c r="R380">
        <f>IFERROR(IF(AND('Дивиденды по годам'!N380&lt;&gt;"",'Дивиденды по годам'!U380&lt;&gt;"",'Дивиденды по годам'!U380&lt;&gt;0),'Дивиденды по годам'!N380/'Дивиденды по годам'!U380-1,""),"")</f>
        <v>0.16029562745591708</v>
      </c>
      <c r="S380">
        <f>IFERROR(IF(AND('Дивиденды по годам'!L380&lt;&gt;"",'Дивиденды по годам'!I380&lt;&gt;"",'Дивиденды по годам'!J380&lt;&gt;"",'Дивиденды по годам'!K380&lt;&gt;"",('Дивиденды по годам'!I380-'Дивиденды по годам'!J380-'Дивиденды по годам'!K380)&lt;&gt;0),'Дивиденды по годам'!L380/('Дивиденды по годам'!I380-'Дивиденды по годам'!J380-'Дивиденды по годам'!K380),""),"")</f>
        <v>2.3409638554216872</v>
      </c>
      <c r="T380">
        <f>IFERROR(IF(AND('Дивиденды по годам'!Q380&lt;&gt;"",'Дивиденды по годам'!I380&lt;&gt;"",'Дивиденды по годам'!V380&lt;&gt;"",('Дивиденды по годам'!I380+'Дивиденды по годам'!V380)&lt;&gt;0),'Дивиденды по годам'!Q380/(('Дивиденды по годам'!I380+'Дивиденды по годам'!V380)/2),""),"")</f>
        <v>7.5656705204798363E-2</v>
      </c>
      <c r="U380">
        <f>IFERROR(IF(AND('Дивиденды по годам'!J380&lt;&gt;"",'Дивиденды по годам'!K380&lt;&gt;"",'Дивиденды по годам'!M380&lt;&gt;"",'Дивиденды по годам'!M380&lt;&gt;0),('Дивиденды по годам'!J380+'Дивиденды по годам'!K380)/'Дивиденды по годам'!M380,""),"")</f>
        <v>0.85451807228915666</v>
      </c>
      <c r="V380" cm="1">
        <f t="array" ref="V380">IFERROR(AVERAGE(_xlfn._xlws.FILTER(P$2:P$1073,($C$2:$C$1073=$C380)*($E$2:$E$1073=$E380)*(ROW(P$2:P$1073)&lt;&gt;ROW(P380))*(P$2:P$1073&lt;&gt;""))),"")</f>
        <v>26.328180304995932</v>
      </c>
      <c r="W380" cm="1">
        <f t="array" ref="W380">IFERROR(AVERAGE(_xlfn._xlws.FILTER(Q$2:Q$1073,($C$2:$C$1073=$C380)*($E$2:$E$1073=$E380)*(ROW(Q$2:Q$1073)&lt;&gt;ROW(Q380))*(Q$2:Q$1073&lt;&gt;""))),"")</f>
        <v>0.48733417561660974</v>
      </c>
      <c r="X380" cm="1">
        <f t="array" ref="X380">IFERROR(AVERAGE(_xlfn._xlws.FILTER(R$2:R$1073,($C$2:$C$1073=$C380)*($E$2:$E$1073=$E380)*(ROW(R$2:R$1073)&lt;&gt;ROW(R380))*(R$2:R$1073&lt;&gt;""))),"")</f>
        <v>0.26342581782637198</v>
      </c>
      <c r="Y380" cm="1">
        <f t="array" ref="Y380">IFERROR(AVERAGE(_xlfn._xlws.FILTER(S$2:S$1073,($C$2:$C$1073=$C380)*($E$2:$E$1073=$E380)*(ROW(S$2:S$1073)&lt;&gt;ROW(S380))*(S$2:S$1073&lt;&gt;""))),"")</f>
        <v>0.81459750417538801</v>
      </c>
      <c r="Z380" cm="1">
        <f t="array" ref="Z380">IFERROR(AVERAGE(_xlfn._xlws.FILTER(T$2:T$1073,($C$2:$C$1073=$C380)*($E$2:$E$1073=$E380)*(ROW(T$2:T$1073)&lt;&gt;ROW(T380))*(T$2:T$1073&lt;&gt;""))),"")</f>
        <v>1.7448596763494868E-2</v>
      </c>
      <c r="AA380" cm="1">
        <f t="array" ref="AA380">IFERROR(AVERAGE(_xlfn._xlws.FILTER(U$2:U$1073,($C$2:$C$1073=$C380)*($E$2:$E$1073=$E380)*(ROW(U$2:U$1073)&lt;&gt;ROW(U380))*(U$2:U$1073&lt;&gt;""))),"")</f>
        <v>3.2106070475844959</v>
      </c>
    </row>
    <row r="381" spans="1:27" x14ac:dyDescent="0.2">
      <c r="A381" s="7" t="s">
        <v>2224</v>
      </c>
      <c r="B381" t="str">
        <f t="shared" si="57"/>
        <v>MAGN IV кв. 2014</v>
      </c>
      <c r="C381">
        <v>2014</v>
      </c>
      <c r="D381">
        <f>SUMIFS(Дивиденды!$C:$C,Дивиденды!$A:$A,A381,Дивиденды!$I:$I,C381)</f>
        <v>0.57999999999999996</v>
      </c>
      <c r="E381">
        <v>3</v>
      </c>
      <c r="F381">
        <f t="shared" si="58"/>
        <v>0.57999999999999996</v>
      </c>
      <c r="G381">
        <f t="shared" si="59"/>
        <v>7.798</v>
      </c>
      <c r="H381">
        <f t="shared" si="60"/>
        <v>1</v>
      </c>
      <c r="I381">
        <f t="shared" si="67"/>
        <v>0.4</v>
      </c>
      <c r="J381">
        <f t="shared" si="61"/>
        <v>1</v>
      </c>
      <c r="K381">
        <f t="shared" si="65"/>
        <v>0.97331851927967727</v>
      </c>
      <c r="L381">
        <f t="shared" si="62"/>
        <v>1</v>
      </c>
      <c r="M381">
        <f t="shared" si="66"/>
        <v>0.2</v>
      </c>
      <c r="N381">
        <f t="shared" si="63"/>
        <v>0</v>
      </c>
      <c r="O381">
        <f t="shared" si="64"/>
        <v>0.1</v>
      </c>
      <c r="P381">
        <f>IFERROR(LN('Дивиденды по годам'!I381),"")</f>
        <v>26.442098510624742</v>
      </c>
      <c r="Q381">
        <f>IFERROR('Дивиденды по годам'!G381/'Дивиденды по годам'!I381, "")</f>
        <v>0.6455390098001782</v>
      </c>
      <c r="R381">
        <f>IFERROR(IF(AND('Дивиденды по годам'!N381&lt;&gt;"",'Дивиденды по годам'!U381&lt;&gt;"",'Дивиденды по годам'!U381&lt;&gt;0),'Дивиденды по годам'!N381/'Дивиденды по годам'!U381-1,""),"")</f>
        <v>0.18329865751010943</v>
      </c>
      <c r="S381">
        <f>IFERROR(IF(AND('Дивиденды по годам'!L381&lt;&gt;"",'Дивиденды по годам'!I381&lt;&gt;"",'Дивиденды по годам'!J381&lt;&gt;"",'Дивиденды по годам'!K381&lt;&gt;"",('Дивиденды по годам'!I381-'Дивиденды по годам'!J381-'Дивиденды по годам'!K381)&lt;&gt;0),'Дивиденды по годам'!L381/('Дивиденды по годам'!I381-'Дивиденды по годам'!J381-'Дивиденды по годам'!K381),""),"")</f>
        <v>1.8919330289193308</v>
      </c>
      <c r="T381">
        <f>IFERROR(IF(AND('Дивиденды по годам'!Q381&lt;&gt;"",'Дивиденды по годам'!I381&lt;&gt;"",'Дивиденды по годам'!V381&lt;&gt;"",('Дивиденды по годам'!I381+'Дивиденды по годам'!V381)&lt;&gt;0),'Дивиденды по годам'!Q381/(('Дивиденды по годам'!I381+'Дивиденды по годам'!V381)/2),""),"")</f>
        <v>-4.8581681049014126E-3</v>
      </c>
      <c r="U381">
        <f>IFERROR(IF(AND('Дивиденды по годам'!J381&lt;&gt;"",'Дивиденды по годам'!K381&lt;&gt;"",'Дивиденды по годам'!M381&lt;&gt;"",'Дивиденды по годам'!M381&lt;&gt;0),('Дивиденды по годам'!J381+'Дивиденды по годам'!K381)/'Дивиденды по годам'!M381,""),"")</f>
        <v>0.99315068493150704</v>
      </c>
      <c r="V381" cm="1">
        <f t="array" ref="V381">IFERROR(AVERAGE(_xlfn._xlws.FILTER(P$2:P$1073,($C$2:$C$1073=$C381)*($E$2:$E$1073=$E381)*(ROW(P$2:P$1073)&lt;&gt;ROW(P381))*(P$2:P$1073&lt;&gt;""))),"")</f>
        <v>26.282231434071004</v>
      </c>
      <c r="W381" cm="1">
        <f t="array" ref="W381">IFERROR(AVERAGE(_xlfn._xlws.FILTER(Q$2:Q$1073,($C$2:$C$1073=$C381)*($E$2:$E$1073=$E381)*(ROW(Q$2:Q$1073)&lt;&gt;ROW(Q381))*(Q$2:Q$1073&lt;&gt;""))),"")</f>
        <v>0.50157722425107343</v>
      </c>
      <c r="X381" cm="1">
        <f t="array" ref="X381">IFERROR(AVERAGE(_xlfn._xlws.FILTER(R$2:R$1073,($C$2:$C$1073=$C381)*($E$2:$E$1073=$E381)*(ROW(R$2:R$1073)&lt;&gt;ROW(R381))*(R$2:R$1073&lt;&gt;""))),"")</f>
        <v>6.426851843029692E-2</v>
      </c>
      <c r="Y381" cm="1">
        <f t="array" ref="Y381">IFERROR(AVERAGE(_xlfn._xlws.FILTER(S$2:S$1073,($C$2:$C$1073=$C381)*($E$2:$E$1073=$E381)*(ROW(S$2:S$1073)&lt;&gt;ROW(S381))*(S$2:S$1073&lt;&gt;""))),"")</f>
        <v>0.65787575367336626</v>
      </c>
      <c r="Z381" cm="1">
        <f t="array" ref="Z381">IFERROR(AVERAGE(_xlfn._xlws.FILTER(T$2:T$1073,($C$2:$C$1073=$C381)*($E$2:$E$1073=$E381)*(ROW(T$2:T$1073)&lt;&gt;ROW(T381))*(T$2:T$1073&lt;&gt;""))),"")</f>
        <v>-8.6626837060888362E-2</v>
      </c>
      <c r="AA381" cm="1">
        <f t="array" ref="AA381">IFERROR(AVERAGE(_xlfn._xlws.FILTER(U$2:U$1073,($C$2:$C$1073=$C381)*($E$2:$E$1073=$E381)*(ROW(U$2:U$1073)&lt;&gt;ROW(U381))*(U$2:U$1073&lt;&gt;""))),"")</f>
        <v>1.6971842555784507</v>
      </c>
    </row>
    <row r="382" spans="1:27" x14ac:dyDescent="0.2">
      <c r="A382" s="7" t="s">
        <v>2224</v>
      </c>
      <c r="B382" t="str">
        <f t="shared" si="57"/>
        <v>MAGN IV кв. 2013</v>
      </c>
      <c r="C382">
        <v>2013</v>
      </c>
      <c r="D382">
        <f>SUMIFS(Дивиденды!$C:$C,Дивиденды!$A:$A,A382,Дивиденды!$I:$I,C382)</f>
        <v>0</v>
      </c>
      <c r="E382">
        <v>3</v>
      </c>
      <c r="F382">
        <f t="shared" si="58"/>
        <v>0</v>
      </c>
      <c r="G382">
        <f t="shared" si="59"/>
        <v>1.2260000000000002</v>
      </c>
      <c r="H382">
        <f t="shared" si="60"/>
        <v>0</v>
      </c>
      <c r="I382">
        <f t="shared" si="67"/>
        <v>0.4</v>
      </c>
      <c r="J382">
        <f t="shared" si="61"/>
        <v>-1</v>
      </c>
      <c r="K382">
        <f t="shared" si="65"/>
        <v>-0.10386411043374064</v>
      </c>
      <c r="L382">
        <f t="shared" si="62"/>
        <v>0</v>
      </c>
      <c r="M382">
        <f t="shared" si="66"/>
        <v>0.2</v>
      </c>
      <c r="N382">
        <f t="shared" si="63"/>
        <v>1</v>
      </c>
      <c r="O382">
        <f t="shared" si="64"/>
        <v>0.3</v>
      </c>
      <c r="P382">
        <f>IFERROR(LN('Дивиденды по годам'!I382),"")</f>
        <v>26.708636856165832</v>
      </c>
      <c r="Q382">
        <f>IFERROR('Дивиденды по годам'!G382/'Дивиденды по годам'!I382, "")</f>
        <v>0.70940966370702019</v>
      </c>
      <c r="R382">
        <f>IFERROR(IF(AND('Дивиденды по годам'!N382&lt;&gt;"",'Дивиденды по годам'!U382&lt;&gt;"",'Дивиденды по годам'!U382&lt;&gt;0),'Дивиденды по годам'!N382/'Дивиденды по годам'!U382-1,""),"")</f>
        <v>-0.10141952843368918</v>
      </c>
      <c r="S382" t="str">
        <f>IFERROR(IF(AND('Дивиденды по годам'!L382&lt;&gt;"",'Дивиденды по годам'!I382&lt;&gt;"",'Дивиденды по годам'!J382&lt;&gt;"",'Дивиденды по годам'!K382&lt;&gt;"",('Дивиденды по годам'!I382-'Дивиденды по годам'!J382-'Дивиденды по годам'!K382)&lt;&gt;0),'Дивиденды по годам'!L382/('Дивиденды по годам'!I382-'Дивиденды по годам'!J382-'Дивиденды по годам'!K382),""),"")</f>
        <v/>
      </c>
      <c r="T382">
        <f>IFERROR(IF(AND('Дивиденды по годам'!Q382&lt;&gt;"",'Дивиденды по годам'!I382&lt;&gt;"",'Дивиденды по годам'!V382&lt;&gt;"",('Дивиденды по годам'!I382+'Дивиденды по годам'!V382)&lt;&gt;0),'Дивиденды по годам'!Q382/(('Дивиденды по годам'!I382+'Дивиденды по годам'!V382)/2),""),"")</f>
        <v>-0.17786951469452839</v>
      </c>
      <c r="U382">
        <f>IFERROR(IF(AND('Дивиденды по годам'!J382&lt;&gt;"",'Дивиденды по годам'!K382&lt;&gt;"",'Дивиденды по годам'!M382&lt;&gt;"",'Дивиденды по годам'!M382&lt;&gt;0),('Дивиденды по годам'!J382+'Дивиденды по годам'!K382)/'Дивиденды по годам'!M382,""),"")</f>
        <v>0.77066075214223362</v>
      </c>
      <c r="V382" cm="1">
        <f t="array" ref="V382">IFERROR(AVERAGE(_xlfn._xlws.FILTER(P$2:P$1073,($C$2:$C$1073=$C382)*($E$2:$E$1073=$E382)*(ROW(P$2:P$1073)&lt;&gt;ROW(P382))*(P$2:P$1073&lt;&gt;""))),"")</f>
        <v>26.404931648903773</v>
      </c>
      <c r="W382" cm="1">
        <f t="array" ref="W382">IFERROR(AVERAGE(_xlfn._xlws.FILTER(Q$2:Q$1073,($C$2:$C$1073=$C382)*($E$2:$E$1073=$E382)*(ROW(Q$2:Q$1073)&lt;&gt;ROW(Q382))*(Q$2:Q$1073&lt;&gt;""))),"")</f>
        <v>0.56071959181229369</v>
      </c>
      <c r="X382" cm="1">
        <f t="array" ref="X382">IFERROR(AVERAGE(_xlfn._xlws.FILTER(R$2:R$1073,($C$2:$C$1073=$C382)*($E$2:$E$1073=$E382)*(ROW(R$2:R$1073)&lt;&gt;ROW(R382))*(R$2:R$1073&lt;&gt;""))),"")</f>
        <v>-3.8614869624923984E-2</v>
      </c>
      <c r="Y382" cm="1">
        <f t="array" ref="Y382">IFERROR(AVERAGE(_xlfn._xlws.FILTER(S$2:S$1073,($C$2:$C$1073=$C382)*($E$2:$E$1073=$E382)*(ROW(S$2:S$1073)&lt;&gt;ROW(S382))*(S$2:S$1073&lt;&gt;""))),"")</f>
        <v>1.1343753445927802</v>
      </c>
      <c r="Z382" cm="1">
        <f t="array" ref="Z382">IFERROR(AVERAGE(_xlfn._xlws.FILTER(T$2:T$1073,($C$2:$C$1073=$C382)*($E$2:$E$1073=$E382)*(ROW(T$2:T$1073)&lt;&gt;ROW(T382))*(T$2:T$1073&lt;&gt;""))),"")</f>
        <v>-1.2768111802324308E-2</v>
      </c>
      <c r="AA382" cm="1">
        <f t="array" ref="AA382">IFERROR(AVERAGE(_xlfn._xlws.FILTER(U$2:U$1073,($C$2:$C$1073=$C382)*($E$2:$E$1073=$E382)*(ROW(U$2:U$1073)&lt;&gt;ROW(U382))*(U$2:U$1073&lt;&gt;""))),"")</f>
        <v>3.4057182857486987</v>
      </c>
    </row>
    <row r="383" spans="1:27" x14ac:dyDescent="0.2">
      <c r="A383" s="7" t="s">
        <v>2224</v>
      </c>
      <c r="B383" t="str">
        <f t="shared" si="57"/>
        <v>MAGN IV кв. 2012</v>
      </c>
      <c r="C383">
        <v>2012</v>
      </c>
      <c r="D383">
        <f>SUMIFS(Дивиденды!$C:$C,Дивиденды!$A:$A,A383,Дивиденды!$I:$I,C383)</f>
        <v>0.28000000000000003</v>
      </c>
      <c r="E383">
        <v>3</v>
      </c>
      <c r="F383">
        <f t="shared" si="58"/>
        <v>0.28000000000000003</v>
      </c>
      <c r="G383">
        <f t="shared" si="59"/>
        <v>2.1029999999999998</v>
      </c>
      <c r="H383">
        <f t="shared" si="60"/>
        <v>1</v>
      </c>
      <c r="I383">
        <f t="shared" si="67"/>
        <v>0.5</v>
      </c>
      <c r="J383">
        <f t="shared" si="61"/>
        <v>1</v>
      </c>
      <c r="K383">
        <f t="shared" si="65"/>
        <v>-0.28400043619769677</v>
      </c>
      <c r="L383">
        <f t="shared" si="62"/>
        <v>1</v>
      </c>
      <c r="M383">
        <f t="shared" si="66"/>
        <v>0.2</v>
      </c>
      <c r="N383">
        <f t="shared" si="63"/>
        <v>0</v>
      </c>
      <c r="O383">
        <f t="shared" si="64"/>
        <v>0.6</v>
      </c>
      <c r="P383">
        <f>IFERROR(LN('Дивиденды по годам'!I383),"")</f>
        <v>26.927494252356986</v>
      </c>
      <c r="Q383">
        <f>IFERROR('Дивиденды по годам'!G383/'Дивиденды по годам'!I383, "")</f>
        <v>0.72616235245141325</v>
      </c>
      <c r="R383">
        <f>IFERROR(IF(AND('Дивиденды по годам'!N383&lt;&gt;"",'Дивиденды по годам'!U383&lt;&gt;"",'Дивиденды по годам'!U383&lt;&gt;0),'Дивиденды по годам'!N383/'Дивиденды по годам'!U383-1,""),"")</f>
        <v>5.9447407192567248E-2</v>
      </c>
      <c r="S383" t="str">
        <f>IFERROR(IF(AND('Дивиденды по годам'!L383&lt;&gt;"",'Дивиденды по годам'!I383&lt;&gt;"",'Дивиденды по годам'!J383&lt;&gt;"",'Дивиденды по годам'!K383&lt;&gt;"",('Дивиденды по годам'!I383-'Дивиденды по годам'!J383-'Дивиденды по годам'!K383)&lt;&gt;0),'Дивиденды по годам'!L383/('Дивиденды по годам'!I383-'Дивиденды по годам'!J383-'Дивиденды по годам'!K383),""),"")</f>
        <v/>
      </c>
      <c r="T383">
        <f>IFERROR(IF(AND('Дивиденды по годам'!Q383&lt;&gt;"",'Дивиденды по годам'!I383&lt;&gt;"",'Дивиденды по годам'!V383&lt;&gt;"",('Дивиденды по годам'!I383+'Дивиденды по годам'!V383)&lt;&gt;0),'Дивиденды по годам'!Q383/(('Дивиденды по годам'!I383+'Дивиденды по годам'!V383)/2),""),"")</f>
        <v>-6.0475404109495944E-3</v>
      </c>
      <c r="U383">
        <f>IFERROR(IF(AND('Дивиденды по годам'!J383&lt;&gt;"",'Дивиденды по годам'!K383&lt;&gt;"",'Дивиденды по годам'!M383&lt;&gt;"",'Дивиденды по годам'!M383&lt;&gt;0),('Дивиденды по годам'!J383+'Дивиденды по годам'!K383)/'Дивиденды по годам'!M383,""),"")</f>
        <v>0.65914607977253825</v>
      </c>
      <c r="V383" cm="1">
        <f t="array" ref="V383">IFERROR(AVERAGE(_xlfn._xlws.FILTER(P$2:P$1073,($C$2:$C$1073=$C383)*($E$2:$E$1073=$E383)*(ROW(P$2:P$1073)&lt;&gt;ROW(P383))*(P$2:P$1073&lt;&gt;""))),"")</f>
        <v>26.683184143414188</v>
      </c>
      <c r="W383" cm="1">
        <f t="array" ref="W383">IFERROR(AVERAGE(_xlfn._xlws.FILTER(Q$2:Q$1073,($C$2:$C$1073=$C383)*($E$2:$E$1073=$E383)*(ROW(Q$2:Q$1073)&lt;&gt;ROW(Q383))*(Q$2:Q$1073&lt;&gt;""))),"")</f>
        <v>0.47432689151161955</v>
      </c>
      <c r="X383" cm="1">
        <f t="array" ref="X383">IFERROR(AVERAGE(_xlfn._xlws.FILTER(R$2:R$1073,($C$2:$C$1073=$C383)*($E$2:$E$1073=$E383)*(ROW(R$2:R$1073)&lt;&gt;ROW(R383))*(R$2:R$1073&lt;&gt;""))),"")</f>
        <v>-1.0447798270061195E-2</v>
      </c>
      <c r="Y383" t="str" cm="1">
        <f t="array" ref="Y383">IFERROR(AVERAGE(_xlfn._xlws.FILTER(S$2:S$1073,($C$2:$C$1073=$C383)*($E$2:$E$1073=$E383)*(ROW(S$2:S$1073)&lt;&gt;ROW(S383))*(S$2:S$1073&lt;&gt;""))),"")</f>
        <v/>
      </c>
      <c r="Z383" cm="1">
        <f t="array" ref="Z383">IFERROR(AVERAGE(_xlfn._xlws.FILTER(T$2:T$1073,($C$2:$C$1073=$C383)*($E$2:$E$1073=$E383)*(ROW(T$2:T$1073)&lt;&gt;ROW(T383))*(T$2:T$1073&lt;&gt;""))),"")</f>
        <v>5.7747205942642751E-2</v>
      </c>
      <c r="AA383" cm="1">
        <f t="array" ref="AA383">IFERROR(AVERAGE(_xlfn._xlws.FILTER(U$2:U$1073,($C$2:$C$1073=$C383)*($E$2:$E$1073=$E383)*(ROW(U$2:U$1073)&lt;&gt;ROW(U383))*(U$2:U$1073&lt;&gt;""))),"")</f>
        <v>1.4597982497333604</v>
      </c>
    </row>
    <row r="384" spans="1:27" x14ac:dyDescent="0.2">
      <c r="A384" s="7" t="s">
        <v>2224</v>
      </c>
      <c r="B384" t="str">
        <f t="shared" si="57"/>
        <v>MAGN IV кв. 2011</v>
      </c>
      <c r="C384">
        <v>2011</v>
      </c>
      <c r="D384">
        <f>SUMIFS(Дивиденды!$C:$C,Дивиденды!$A:$A,A384,Дивиденды!$I:$I,C384)</f>
        <v>0</v>
      </c>
      <c r="E384">
        <v>3</v>
      </c>
      <c r="F384">
        <f t="shared" si="58"/>
        <v>0</v>
      </c>
      <c r="G384">
        <f t="shared" si="59"/>
        <v>3.7659999999999996</v>
      </c>
      <c r="H384">
        <f t="shared" si="60"/>
        <v>0</v>
      </c>
      <c r="I384">
        <f t="shared" si="67"/>
        <v>0.8</v>
      </c>
      <c r="J384">
        <f t="shared" si="61"/>
        <v>-1</v>
      </c>
      <c r="K384">
        <f t="shared" si="65"/>
        <v>0.88130568048052604</v>
      </c>
      <c r="L384">
        <f t="shared" si="62"/>
        <v>0</v>
      </c>
      <c r="M384">
        <f t="shared" si="66"/>
        <v>0.6</v>
      </c>
      <c r="N384">
        <f t="shared" si="63"/>
        <v>1</v>
      </c>
      <c r="O384">
        <f t="shared" si="64"/>
        <v>0.2</v>
      </c>
      <c r="P384">
        <f>IFERROR(LN('Дивиденды по годам'!I384),"")</f>
        <v>26.895201630199104</v>
      </c>
      <c r="Q384">
        <f>IFERROR('Дивиденды по годам'!G384/'Дивиденды по годам'!I384, "")</f>
        <v>0.72365756366983747</v>
      </c>
      <c r="R384" t="str">
        <f>IFERROR(IF(AND('Дивиденды по годам'!N384&lt;&gt;"",'Дивиденды по годам'!U384&lt;&gt;"",'Дивиденды по годам'!U384&lt;&gt;0),'Дивиденды по годам'!N384/'Дивиденды по годам'!U384-1,""),"")</f>
        <v/>
      </c>
      <c r="S384" t="str">
        <f>IFERROR(IF(AND('Дивиденды по годам'!L384&lt;&gt;"",'Дивиденды по годам'!I384&lt;&gt;"",'Дивиденды по годам'!J384&lt;&gt;"",'Дивиденды по годам'!K384&lt;&gt;"",('Дивиденды по годам'!I384-'Дивиденды по годам'!J384-'Дивиденды по годам'!K384)&lt;&gt;0),'Дивиденды по годам'!L384/('Дивиденды по годам'!I384-'Дивиденды по годам'!J384-'Дивиденды по годам'!K384),""),"")</f>
        <v/>
      </c>
      <c r="T384" t="str">
        <f>IFERROR(IF(AND('Дивиденды по годам'!Q384&lt;&gt;"",'Дивиденды по годам'!I384&lt;&gt;"",'Дивиденды по годам'!V384&lt;&gt;"",('Дивиденды по годам'!I384+'Дивиденды по годам'!V384)&lt;&gt;0),'Дивиденды по годам'!Q384/(('Дивиденды по годам'!I384+'Дивиденды по годам'!V384)/2),""),"")</f>
        <v/>
      </c>
      <c r="U384">
        <f>IFERROR(IF(AND('Дивиденды по годам'!J384&lt;&gt;"",'Дивиденды по годам'!K384&lt;&gt;"",'Дивиденды по годам'!M384&lt;&gt;"",'Дивиденды по годам'!M384&lt;&gt;0),('Дивиденды по годам'!J384+'Дивиденды по годам'!K384)/'Дивиденды по годам'!M384,""),"")</f>
        <v>0.72470364098221851</v>
      </c>
      <c r="V384" cm="1">
        <f t="array" ref="V384">IFERROR(AVERAGE(_xlfn._xlws.FILTER(P$2:P$1073,($C$2:$C$1073=$C384)*($E$2:$E$1073=$E384)*(ROW(P$2:P$1073)&lt;&gt;ROW(P384))*(P$2:P$1073&lt;&gt;""))),"")</f>
        <v>26.369931914203807</v>
      </c>
      <c r="W384" cm="1">
        <f t="array" ref="W384">IFERROR(AVERAGE(_xlfn._xlws.FILTER(Q$2:Q$1073,($C$2:$C$1073=$C384)*($E$2:$E$1073=$E384)*(ROW(Q$2:Q$1073)&lt;&gt;ROW(Q384))*(Q$2:Q$1073&lt;&gt;""))),"")</f>
        <v>0.54750223429857869</v>
      </c>
      <c r="X384" cm="1">
        <f t="array" ref="X384">IFERROR(AVERAGE(_xlfn._xlws.FILTER(R$2:R$1073,($C$2:$C$1073=$C384)*($E$2:$E$1073=$E384)*(ROW(R$2:R$1073)&lt;&gt;ROW(R384))*(R$2:R$1073&lt;&gt;""))),"")</f>
        <v>0.21463216748681591</v>
      </c>
      <c r="Y384" t="str" cm="1">
        <f t="array" ref="Y384">IFERROR(AVERAGE(_xlfn._xlws.FILTER(S$2:S$1073,($C$2:$C$1073=$C384)*($E$2:$E$1073=$E384)*(ROW(S$2:S$1073)&lt;&gt;ROW(S384))*(S$2:S$1073&lt;&gt;""))),"")</f>
        <v/>
      </c>
      <c r="Z384" cm="1">
        <f t="array" ref="Z384">IFERROR(AVERAGE(_xlfn._xlws.FILTER(T$2:T$1073,($C$2:$C$1073=$C384)*($E$2:$E$1073=$E384)*(ROW(T$2:T$1073)&lt;&gt;ROW(T384))*(T$2:T$1073&lt;&gt;""))),"")</f>
        <v>0.11505618365484008</v>
      </c>
      <c r="AA384" cm="1">
        <f t="array" ref="AA384">IFERROR(AVERAGE(_xlfn._xlws.FILTER(U$2:U$1073,($C$2:$C$1073=$C384)*($E$2:$E$1073=$E384)*(ROW(U$2:U$1073)&lt;&gt;ROW(U384))*(U$2:U$1073&lt;&gt;""))),"")</f>
        <v>1.1683067903775808</v>
      </c>
    </row>
    <row r="385" spans="1:27" x14ac:dyDescent="0.2">
      <c r="A385" s="7" t="s">
        <v>2224</v>
      </c>
      <c r="B385" t="str">
        <f t="shared" si="57"/>
        <v>MAGN IV кв. 2010</v>
      </c>
      <c r="C385">
        <v>2010</v>
      </c>
      <c r="D385">
        <f>SUMIFS(Дивиденды!$C:$C,Дивиденды!$A:$A,A385,Дивиденды!$I:$I,C385)</f>
        <v>0.33</v>
      </c>
      <c r="E385">
        <v>3</v>
      </c>
      <c r="F385">
        <f t="shared" si="58"/>
        <v>0.33</v>
      </c>
      <c r="G385">
        <f t="shared" si="59"/>
        <v>3.0460000000000003</v>
      </c>
      <c r="H385">
        <f t="shared" si="60"/>
        <v>1</v>
      </c>
      <c r="I385">
        <f t="shared" si="67"/>
        <v>0.6</v>
      </c>
      <c r="J385" t="str">
        <f t="shared" si="61"/>
        <v/>
      </c>
      <c r="K385" t="str">
        <f t="shared" si="65"/>
        <v/>
      </c>
      <c r="L385" t="str">
        <f t="shared" si="62"/>
        <v/>
      </c>
      <c r="M385" t="str">
        <f t="shared" si="66"/>
        <v/>
      </c>
      <c r="N385" t="str">
        <f t="shared" si="63"/>
        <v/>
      </c>
      <c r="O385" t="str">
        <f t="shared" si="64"/>
        <v/>
      </c>
      <c r="P385" t="str">
        <f>IFERROR(LN('Дивиденды по годам'!I385),"")</f>
        <v/>
      </c>
      <c r="Q385" t="str">
        <f>IFERROR('Дивиденды по годам'!G385/'Дивиденды по годам'!I385, "")</f>
        <v/>
      </c>
      <c r="R385" t="str">
        <f>IFERROR(IF(AND('Дивиденды по годам'!N385&lt;&gt;"",'Дивиденды по годам'!U385&lt;&gt;"",'Дивиденды по годам'!U385&lt;&gt;0),'Дивиденды по годам'!N385/'Дивиденды по годам'!U385-1,""),"")</f>
        <v/>
      </c>
      <c r="S385" t="str">
        <f>IFERROR(IF(AND('Дивиденды по годам'!L385&lt;&gt;"",'Дивиденды по годам'!I385&lt;&gt;"",'Дивиденды по годам'!J385&lt;&gt;"",'Дивиденды по годам'!K385&lt;&gt;"",('Дивиденды по годам'!I385-'Дивиденды по годам'!J385-'Дивиденды по годам'!K385)&lt;&gt;0),'Дивиденды по годам'!L385/('Дивиденды по годам'!I385-'Дивиденды по годам'!J385-'Дивиденды по годам'!K385),""),"")</f>
        <v/>
      </c>
      <c r="T385" t="str">
        <f>IFERROR(IF(AND('Дивиденды по годам'!Q385&lt;&gt;"",'Дивиденды по годам'!I385&lt;&gt;"",'Дивиденды по годам'!V385&lt;&gt;"",('Дивиденды по годам'!I385+'Дивиденды по годам'!V385)&lt;&gt;0),'Дивиденды по годам'!Q385/(('Дивиденды по годам'!I385+'Дивиденды по годам'!V385)/2),""),"")</f>
        <v/>
      </c>
      <c r="U385" t="str">
        <f>IFERROR(IF(AND('Дивиденды по годам'!J385&lt;&gt;"",'Дивиденды по годам'!K385&lt;&gt;"",'Дивиденды по годам'!M385&lt;&gt;"",'Дивиденды по годам'!M385&lt;&gt;0),('Дивиденды по годам'!J385+'Дивиденды по годам'!K385)/'Дивиденды по годам'!M385,""),"")</f>
        <v/>
      </c>
      <c r="V385" cm="1">
        <f t="array" ref="V385">IFERROR(AVERAGE(_xlfn._xlws.FILTER(P$2:P$1073,($C$2:$C$1073=$C385)*($E$2:$E$1073=$E385)*(ROW(P$2:P$1073)&lt;&gt;ROW(P385))*(P$2:P$1073&lt;&gt;""))),"")</f>
        <v>26.127864794831805</v>
      </c>
      <c r="W385" cm="1">
        <f t="array" ref="W385">IFERROR(AVERAGE(_xlfn._xlws.FILTER(Q$2:Q$1073,($C$2:$C$1073=$C385)*($E$2:$E$1073=$E385)*(ROW(Q$2:Q$1073)&lt;&gt;ROW(Q385))*(Q$2:Q$1073&lt;&gt;""))),"")</f>
        <v>0.75539390451698762</v>
      </c>
      <c r="X385" t="str" cm="1">
        <f t="array" ref="X385">IFERROR(AVERAGE(_xlfn._xlws.FILTER(R$2:R$1073,($C$2:$C$1073=$C385)*($E$2:$E$1073=$E385)*(ROW(R$2:R$1073)&lt;&gt;ROW(R385))*(R$2:R$1073&lt;&gt;""))),"")</f>
        <v/>
      </c>
      <c r="Y385" t="str" cm="1">
        <f t="array" ref="Y385">IFERROR(AVERAGE(_xlfn._xlws.FILTER(S$2:S$1073,($C$2:$C$1073=$C385)*($E$2:$E$1073=$E385)*(ROW(S$2:S$1073)&lt;&gt;ROW(S385))*(S$2:S$1073&lt;&gt;""))),"")</f>
        <v/>
      </c>
      <c r="Z385" t="str" cm="1">
        <f t="array" ref="Z385">IFERROR(AVERAGE(_xlfn._xlws.FILTER(T$2:T$1073,($C$2:$C$1073=$C385)*($E$2:$E$1073=$E385)*(ROW(T$2:T$1073)&lt;&gt;ROW(T385))*(T$2:T$1073&lt;&gt;""))),"")</f>
        <v/>
      </c>
      <c r="AA385" cm="1">
        <f t="array" ref="AA385">IFERROR(AVERAGE(_xlfn._xlws.FILTER(U$2:U$1073,($C$2:$C$1073=$C385)*($E$2:$E$1073=$E385)*(ROW(U$2:U$1073)&lt;&gt;ROW(U385))*(U$2:U$1073&lt;&gt;""))),"")</f>
        <v>1.4017600691070078</v>
      </c>
    </row>
    <row r="386" spans="1:27" x14ac:dyDescent="0.2">
      <c r="A386" s="7" t="s">
        <v>2226</v>
      </c>
      <c r="B386" t="str">
        <f t="shared" si="57"/>
        <v>MTLR IV кв. 2025</v>
      </c>
      <c r="C386">
        <v>2025</v>
      </c>
      <c r="D386">
        <f>SUMIFS(Дивиденды!$C:$C,Дивиденды!$A:$A,A386,Дивиденды!$I:$I,C386)</f>
        <v>0</v>
      </c>
      <c r="E386">
        <v>3</v>
      </c>
      <c r="F386">
        <f t="shared" si="58"/>
        <v>0</v>
      </c>
      <c r="G386">
        <f t="shared" si="59"/>
        <v>10.684999999999999</v>
      </c>
      <c r="H386">
        <f t="shared" si="60"/>
        <v>0</v>
      </c>
      <c r="I386">
        <f t="shared" si="67"/>
        <v>0.1</v>
      </c>
      <c r="J386">
        <f t="shared" si="61"/>
        <v>0</v>
      </c>
      <c r="K386">
        <f t="shared" si="65"/>
        <v>-0.44741116251599566</v>
      </c>
      <c r="L386">
        <f t="shared" si="62"/>
        <v>0</v>
      </c>
      <c r="M386">
        <f t="shared" si="66"/>
        <v>0</v>
      </c>
      <c r="N386">
        <f t="shared" si="63"/>
        <v>0</v>
      </c>
      <c r="O386">
        <f t="shared" si="64"/>
        <v>0.5</v>
      </c>
      <c r="P386" t="str">
        <f>IFERROR(LN('Дивиденды по годам'!I386),"")</f>
        <v/>
      </c>
      <c r="Q386" t="str">
        <f>IFERROR('Дивиденды по годам'!G386/'Дивиденды по годам'!I386, "")</f>
        <v/>
      </c>
      <c r="R386" t="str">
        <f>IFERROR(IF(AND('Дивиденды по годам'!N386&lt;&gt;"",'Дивиденды по годам'!U386&lt;&gt;"",'Дивиденды по годам'!U386&lt;&gt;0),'Дивиденды по годам'!N386/'Дивиденды по годам'!U386-1,""),"")</f>
        <v/>
      </c>
      <c r="S386" t="str">
        <f>IFERROR(IF(AND('Дивиденды по годам'!L386&lt;&gt;"",'Дивиденды по годам'!I386&lt;&gt;"",'Дивиденды по годам'!J386&lt;&gt;"",'Дивиденды по годам'!K386&lt;&gt;"",('Дивиденды по годам'!I386-'Дивиденды по годам'!J386-'Дивиденды по годам'!K386)&lt;&gt;0),'Дивиденды по годам'!L386/('Дивиденды по годам'!I386-'Дивиденды по годам'!J386-'Дивиденды по годам'!K386),""),"")</f>
        <v/>
      </c>
      <c r="T386" t="str">
        <f>IFERROR(IF(AND('Дивиденды по годам'!Q386&lt;&gt;"",'Дивиденды по годам'!I386&lt;&gt;"",'Дивиденды по годам'!V386&lt;&gt;"",('Дивиденды по годам'!I386+'Дивиденды по годам'!V386)&lt;&gt;0),'Дивиденды по годам'!Q386/(('Дивиденды по годам'!I386+'Дивиденды по годам'!V386)/2),""),"")</f>
        <v/>
      </c>
      <c r="U386" t="str">
        <f>IFERROR(IF(AND('Дивиденды по годам'!J386&lt;&gt;"",'Дивиденды по годам'!K386&lt;&gt;"",'Дивиденды по годам'!M386&lt;&gt;"",'Дивиденды по годам'!M386&lt;&gt;0),('Дивиденды по годам'!J386+'Дивиденды по годам'!K386)/'Дивиденды по годам'!M386,""),"")</f>
        <v/>
      </c>
      <c r="V386" cm="1">
        <f t="array" ref="V386">IFERROR(AVERAGE(_xlfn._xlws.FILTER(P$2:P$1073,($C$2:$C$1073=$C386)*($E$2:$E$1073=$E386)*(ROW(P$2:P$1073)&lt;&gt;ROW(P386))*(P$2:P$1073&lt;&gt;""))),"")</f>
        <v>27.526016888115407</v>
      </c>
      <c r="W386" cm="1">
        <f t="array" ref="W386">IFERROR(AVERAGE(_xlfn._xlws.FILTER(Q$2:Q$1073,($C$2:$C$1073=$C386)*($E$2:$E$1073=$E386)*(ROW(Q$2:Q$1073)&lt;&gt;ROW(Q386))*(Q$2:Q$1073&lt;&gt;""))),"")</f>
        <v>0.52913138653861203</v>
      </c>
      <c r="X386" cm="1">
        <f t="array" ref="X386">IFERROR(AVERAGE(_xlfn._xlws.FILTER(R$2:R$1073,($C$2:$C$1073=$C386)*($E$2:$E$1073=$E386)*(ROW(R$2:R$1073)&lt;&gt;ROW(R386))*(R$2:R$1073&lt;&gt;""))),"")</f>
        <v>-9.3696736214243112E-2</v>
      </c>
      <c r="Y386" cm="1">
        <f t="array" ref="Y386">IFERROR(AVERAGE(_xlfn._xlws.FILTER(S$2:S$1073,($C$2:$C$1073=$C386)*($E$2:$E$1073=$E386)*(ROW(S$2:S$1073)&lt;&gt;ROW(S386))*(S$2:S$1073&lt;&gt;""))),"")</f>
        <v>0.98692377594794511</v>
      </c>
      <c r="Z386" cm="1">
        <f t="array" ref="Z386">IFERROR(AVERAGE(_xlfn._xlws.FILTER(T$2:T$1073,($C$2:$C$1073=$C386)*($E$2:$E$1073=$E386)*(ROW(T$2:T$1073)&lt;&gt;ROW(T386))*(T$2:T$1073&lt;&gt;""))),"")</f>
        <v>1.506473654039886E-2</v>
      </c>
      <c r="AA386" cm="1">
        <f t="array" ref="AA386">IFERROR(AVERAGE(_xlfn._xlws.FILTER(U$2:U$1073,($C$2:$C$1073=$C386)*($E$2:$E$1073=$E386)*(ROW(U$2:U$1073)&lt;&gt;ROW(U386))*(U$2:U$1073&lt;&gt;""))),"")</f>
        <v>3.186882781387423</v>
      </c>
    </row>
    <row r="387" spans="1:27" x14ac:dyDescent="0.2">
      <c r="A387" s="7" t="s">
        <v>2226</v>
      </c>
      <c r="B387" t="str">
        <f t="shared" ref="B387:B450" si="68">A387&amp;" "&amp;
"IV"
&amp;" кв. "&amp;C387</f>
        <v>MTLR IV кв. 2024</v>
      </c>
      <c r="C387">
        <v>2024</v>
      </c>
      <c r="D387">
        <f>SUMIFS(Дивиденды!$C:$C,Дивиденды!$A:$A,A387,Дивиденды!$I:$I,C387)</f>
        <v>0</v>
      </c>
      <c r="E387">
        <v>3</v>
      </c>
      <c r="F387">
        <f t="shared" ref="F387:F450" si="69">D387</f>
        <v>0</v>
      </c>
      <c r="G387">
        <f t="shared" ref="G387:G450" si="70">AVERAGEIFS($D:$D,$E:$E,E387,$C:$C,C387,$A:$A,"&lt;&gt;"&amp;A387)</f>
        <v>33.058</v>
      </c>
      <c r="H387">
        <f t="shared" ref="H387:H450" si="71">IF(D387&gt;0,1,0)</f>
        <v>0</v>
      </c>
      <c r="I387">
        <f t="shared" si="67"/>
        <v>0.5</v>
      </c>
      <c r="J387">
        <f t="shared" ref="J387:J450" si="72">IF(A388&lt;&gt;A387,"",IF(D387=D388,0,IF(AND(D388=0,D387&lt;&gt;0), 1,(D387-D388)/D388)))</f>
        <v>0</v>
      </c>
      <c r="K387">
        <f t="shared" si="65"/>
        <v>-0.20461447297899457</v>
      </c>
      <c r="L387">
        <f t="shared" ref="L387:L450" si="73">IF(J387&lt;&gt;"",IF(J387&gt;0,1,0),"")</f>
        <v>0</v>
      </c>
      <c r="M387">
        <f t="shared" si="66"/>
        <v>0.1</v>
      </c>
      <c r="N387">
        <f t="shared" ref="N387:N450" si="74">IF(J387&lt;&gt;"",IF(J387&lt;0,1,0),"")</f>
        <v>0</v>
      </c>
      <c r="O387">
        <f t="shared" ref="O387:O450" si="75">IFERROR(AVERAGEIFS($N:$N,$E:$E,E387,$C:$C,C387,$A:$A,"&lt;&gt;"&amp;A387),"")</f>
        <v>0.5</v>
      </c>
      <c r="P387">
        <f>IFERROR(LN('Дивиденды по годам'!I387),"")</f>
        <v>26.271454368549637</v>
      </c>
      <c r="Q387">
        <f>IFERROR('Дивиденды по годам'!G387/'Дивиденды по годам'!I387, "")</f>
        <v>0.42695465237642732</v>
      </c>
      <c r="R387">
        <f>IFERROR(IF(AND('Дивиденды по годам'!N387&lt;&gt;"",'Дивиденды по годам'!U387&lt;&gt;"",'Дивиденды по годам'!U387&lt;&gt;0),'Дивиденды по годам'!N387/'Дивиденды по годам'!U387-1,""),"")</f>
        <v>-4.535039567955379E-2</v>
      </c>
      <c r="S387">
        <f>IFERROR(IF(AND('Дивиденды по годам'!L387&lt;&gt;"",'Дивиденды по годам'!I387&lt;&gt;"",'Дивиденды по годам'!J387&lt;&gt;"",'Дивиденды по годам'!K387&lt;&gt;"",('Дивиденды по годам'!I387-'Дивиденды по годам'!J387-'Дивиденды по годам'!K387)&lt;&gt;0),'Дивиденды по годам'!L387/('Дивиденды по годам'!I387-'Дивиденды по годам'!J387-'Дивиденды по годам'!K387),""),"")</f>
        <v>1.4495192307692308</v>
      </c>
      <c r="T387">
        <f>IFERROR(IF(AND('Дивиденды по годам'!Q387&lt;&gt;"",'Дивиденды по годам'!I387&lt;&gt;"",'Дивиденды по годам'!V387&lt;&gt;"",('Дивиденды по годам'!I387+'Дивиденды по годам'!V387)&lt;&gt;0),'Дивиденды по годам'!Q387/(('Дивиденды по годам'!I387+'Дивиденды по годам'!V387)/2),""),"")</f>
        <v>-0.13722693463078006</v>
      </c>
      <c r="U387">
        <f>IFERROR(IF(AND('Дивиденды по годам'!J387&lt;&gt;"",'Дивиденды по годам'!K387&lt;&gt;"",'Дивиденды по годам'!M387&lt;&gt;"",'Дивиденды по годам'!M387&lt;&gt;0),('Дивиденды по годам'!J387+'Дивиденды по годам'!K387)/'Дивиденды по годам'!M387,""),"")</f>
        <v>-3.5718349358974359</v>
      </c>
      <c r="V387" cm="1">
        <f t="array" ref="V387">IFERROR(AVERAGE(_xlfn._xlws.FILTER(P$2:P$1073,($C$2:$C$1073=$C387)*($E$2:$E$1073=$E387)*(ROW(P$2:P$1073)&lt;&gt;ROW(P387))*(P$2:P$1073&lt;&gt;""))),"")</f>
        <v>27.384013648267295</v>
      </c>
      <c r="W387" cm="1">
        <f t="array" ref="W387">IFERROR(AVERAGE(_xlfn._xlws.FILTER(Q$2:Q$1073,($C$2:$C$1073=$C387)*($E$2:$E$1073=$E387)*(ROW(Q$2:Q$1073)&lt;&gt;ROW(Q387))*(Q$2:Q$1073&lt;&gt;""))),"")</f>
        <v>0.48545741592707448</v>
      </c>
      <c r="X387" cm="1">
        <f t="array" ref="X387">IFERROR(AVERAGE(_xlfn._xlws.FILTER(R$2:R$1073,($C$2:$C$1073=$C387)*($E$2:$E$1073=$E387)*(ROW(R$2:R$1073)&lt;&gt;ROW(R387))*(R$2:R$1073&lt;&gt;""))),"")</f>
        <v>3.2346149409246384E-2</v>
      </c>
      <c r="Y387" cm="1">
        <f t="array" ref="Y387">IFERROR(AVERAGE(_xlfn._xlws.FILTER(S$2:S$1073,($C$2:$C$1073=$C387)*($E$2:$E$1073=$E387)*(ROW(S$2:S$1073)&lt;&gt;ROW(S387))*(S$2:S$1073&lt;&gt;""))),"")</f>
        <v>1.144934834624445</v>
      </c>
      <c r="Z387" cm="1">
        <f t="array" ref="Z387">IFERROR(AVERAGE(_xlfn._xlws.FILTER(T$2:T$1073,($C$2:$C$1073=$C387)*($E$2:$E$1073=$E387)*(ROW(T$2:T$1073)&lt;&gt;ROW(T387))*(T$2:T$1073&lt;&gt;""))),"")</f>
        <v>6.3798444472921989E-2</v>
      </c>
      <c r="AA387" cm="1">
        <f t="array" ref="AA387">IFERROR(AVERAGE(_xlfn._xlws.FILTER(U$2:U$1073,($C$2:$C$1073=$C387)*($E$2:$E$1073=$E387)*(ROW(U$2:U$1073)&lt;&gt;ROW(U387))*(U$2:U$1073&lt;&gt;""))),"")</f>
        <v>3.1784031096669594</v>
      </c>
    </row>
    <row r="388" spans="1:27" x14ac:dyDescent="0.2">
      <c r="A388" s="7" t="s">
        <v>2226</v>
      </c>
      <c r="B388" t="str">
        <f t="shared" si="68"/>
        <v>MTLR IV кв. 2023</v>
      </c>
      <c r="C388">
        <v>2023</v>
      </c>
      <c r="D388">
        <f>SUMIFS(Дивиденды!$C:$C,Дивиденды!$A:$A,A388,Дивиденды!$I:$I,C388)</f>
        <v>0</v>
      </c>
      <c r="E388">
        <v>3</v>
      </c>
      <c r="F388">
        <f t="shared" si="69"/>
        <v>0</v>
      </c>
      <c r="G388">
        <f t="shared" si="70"/>
        <v>25.244</v>
      </c>
      <c r="H388">
        <f t="shared" si="71"/>
        <v>0</v>
      </c>
      <c r="I388">
        <f t="shared" si="67"/>
        <v>0.6</v>
      </c>
      <c r="J388">
        <f t="shared" si="72"/>
        <v>0</v>
      </c>
      <c r="K388">
        <f t="shared" ref="K388:K451" si="76">IFERROR(AVERAGEIFS($J:$J,$E:$E,E388,$C:$C,C388,$A:$A,"&lt;&gt;"&amp;A388),"")</f>
        <v>0.43287037037037035</v>
      </c>
      <c r="L388">
        <f t="shared" si="73"/>
        <v>0</v>
      </c>
      <c r="M388">
        <f t="shared" si="66"/>
        <v>0.6</v>
      </c>
      <c r="N388">
        <f t="shared" si="74"/>
        <v>0</v>
      </c>
      <c r="O388">
        <f t="shared" si="75"/>
        <v>0.1</v>
      </c>
      <c r="P388">
        <f>IFERROR(LN('Дивиденды по годам'!I388),"")</f>
        <v>26.328538351289815</v>
      </c>
      <c r="Q388">
        <f>IFERROR('Дивиденды по годам'!G388/'Дивиденды по годам'!I388, "")</f>
        <v>0.36137146136189746</v>
      </c>
      <c r="R388">
        <f>IFERROR(IF(AND('Дивиденды по годам'!N388&lt;&gt;"",'Дивиденды по годам'!U388&lt;&gt;"",'Дивиденды по годам'!U388&lt;&gt;0),'Дивиденды по годам'!N388/'Дивиденды по годам'!U388-1,""),"")</f>
        <v>-6.4880369546936323E-2</v>
      </c>
      <c r="S388">
        <f>IFERROR(IF(AND('Дивиденды по годам'!L388&lt;&gt;"",'Дивиденды по годам'!I388&lt;&gt;"",'Дивиденды по годам'!J388&lt;&gt;"",'Дивиденды по годам'!K388&lt;&gt;"",('Дивиденды по годам'!I388-'Дивиденды по годам'!J388-'Дивиденды по годам'!K388)&lt;&gt;0),'Дивиденды по годам'!L388/('Дивиденды по годам'!I388-'Дивиденды по годам'!J388-'Дивиденды по годам'!K388),""),"")</f>
        <v>1.7764202103035514</v>
      </c>
      <c r="T388">
        <f>IFERROR(IF(AND('Дивиденды по годам'!Q388&lt;&gt;"",'Дивиденды по годам'!I388&lt;&gt;"",'Дивиденды по годам'!V388&lt;&gt;"",('Дивиденды по годам'!I388+'Дивиденды по годам'!V388)&lt;&gt;0),'Дивиденды по годам'!Q388/(('Дивиденды по годам'!I388+'Дивиденды по годам'!V388)/2),""),"")</f>
        <v>9.2374978332053895E-2</v>
      </c>
      <c r="U388">
        <f>IFERROR(IF(AND('Дивиденды по годам'!J388&lt;&gt;"",'Дивиденды по годам'!K388&lt;&gt;"",'Дивиденды по годам'!M388&lt;&gt;"",'Дивиденды по годам'!M388&lt;&gt;0),('Дивиденды по годам'!J388+'Дивиденды по годам'!K388)/'Дивиденды по годам'!M388,""),"")</f>
        <v>-5.49467627802394</v>
      </c>
      <c r="V388" cm="1">
        <f t="array" ref="V388">IFERROR(AVERAGE(_xlfn._xlws.FILTER(P$2:P$1073,($C$2:$C$1073=$C388)*($E$2:$E$1073=$E388)*(ROW(P$2:P$1073)&lt;&gt;ROW(P388))*(P$2:P$1073&lt;&gt;""))),"")</f>
        <v>27.299081806523226</v>
      </c>
      <c r="W388" cm="1">
        <f t="array" ref="W388">IFERROR(AVERAGE(_xlfn._xlws.FILTER(Q$2:Q$1073,($C$2:$C$1073=$C388)*($E$2:$E$1073=$E388)*(ROW(Q$2:Q$1073)&lt;&gt;ROW(Q388))*(Q$2:Q$1073&lt;&gt;""))),"")</f>
        <v>0.46521697219377411</v>
      </c>
      <c r="X388" cm="1">
        <f t="array" ref="X388">IFERROR(AVERAGE(_xlfn._xlws.FILTER(R$2:R$1073,($C$2:$C$1073=$C388)*($E$2:$E$1073=$E388)*(ROW(R$2:R$1073)&lt;&gt;ROW(R388))*(R$2:R$1073&lt;&gt;""))),"")</f>
        <v>0.15041103099044562</v>
      </c>
      <c r="Y388" cm="1">
        <f t="array" ref="Y388">IFERROR(AVERAGE(_xlfn._xlws.FILTER(S$2:S$1073,($C$2:$C$1073=$C388)*($E$2:$E$1073=$E388)*(ROW(S$2:S$1073)&lt;&gt;ROW(S388))*(S$2:S$1073&lt;&gt;""))),"")</f>
        <v>-2.9208327087658914E-2</v>
      </c>
      <c r="Z388" cm="1">
        <f t="array" ref="Z388">IFERROR(AVERAGE(_xlfn._xlws.FILTER(T$2:T$1073,($C$2:$C$1073=$C388)*($E$2:$E$1073=$E388)*(ROW(T$2:T$1073)&lt;&gt;ROW(T388))*(T$2:T$1073&lt;&gt;""))),"")</f>
        <v>0.12100082665351053</v>
      </c>
      <c r="AA388" cm="1">
        <f t="array" ref="AA388">IFERROR(AVERAGE(_xlfn._xlws.FILTER(U$2:U$1073,($C$2:$C$1073=$C388)*($E$2:$E$1073=$E388)*(ROW(U$2:U$1073)&lt;&gt;ROW(U388))*(U$2:U$1073&lt;&gt;""))),"")</f>
        <v>-6.3742397812059523E-2</v>
      </c>
    </row>
    <row r="389" spans="1:27" x14ac:dyDescent="0.2">
      <c r="A389" s="7" t="s">
        <v>2226</v>
      </c>
      <c r="B389" t="str">
        <f t="shared" si="68"/>
        <v>MTLR IV кв. 2022</v>
      </c>
      <c r="C389">
        <v>2022</v>
      </c>
      <c r="D389">
        <f>SUMIFS(Дивиденды!$C:$C,Дивиденды!$A:$A,A389,Дивиденды!$I:$I,C389)</f>
        <v>0</v>
      </c>
      <c r="E389">
        <v>3</v>
      </c>
      <c r="F389">
        <f t="shared" si="69"/>
        <v>0</v>
      </c>
      <c r="G389">
        <f t="shared" si="70"/>
        <v>1.73</v>
      </c>
      <c r="H389">
        <f t="shared" si="71"/>
        <v>0</v>
      </c>
      <c r="I389">
        <f t="shared" si="67"/>
        <v>0.2</v>
      </c>
      <c r="J389">
        <f t="shared" si="72"/>
        <v>0</v>
      </c>
      <c r="K389">
        <f t="shared" si="76"/>
        <v>-0.60242800677583286</v>
      </c>
      <c r="L389">
        <f t="shared" si="73"/>
        <v>0</v>
      </c>
      <c r="M389">
        <f t="shared" si="66"/>
        <v>0.1</v>
      </c>
      <c r="N389">
        <f t="shared" si="74"/>
        <v>0</v>
      </c>
      <c r="O389">
        <f t="shared" si="75"/>
        <v>0.8</v>
      </c>
      <c r="P389">
        <f>IFERROR(LN('Дивиденды по годам'!I389),"")</f>
        <v>26.257101866276042</v>
      </c>
      <c r="Q389">
        <f>IFERROR('Дивиденды по годам'!G389/'Дивиденды по годам'!I389, "")</f>
        <v>0.31308545985389924</v>
      </c>
      <c r="R389">
        <f>IFERROR(IF(AND('Дивиденды по годам'!N389&lt;&gt;"",'Дивиденды по годам'!U389&lt;&gt;"",'Дивиденды по годам'!U389&lt;&gt;0),'Дивиденды по годам'!N389/'Дивиденды по годам'!U389-1,""),"")</f>
        <v>7.9515213617393776E-2</v>
      </c>
      <c r="S389">
        <f>IFERROR(IF(AND('Дивиденды по годам'!L389&lt;&gt;"",'Дивиденды по годам'!I389&lt;&gt;"",'Дивиденды по годам'!J389&lt;&gt;"",'Дивиденды по годам'!K389&lt;&gt;"",('Дивиденды по годам'!I389-'Дивиденды по годам'!J389-'Дивиденды по годам'!K389)&lt;&gt;0),'Дивиденды по годам'!L389/('Дивиденды по годам'!I389-'Дивиденды по годам'!J389-'Дивиденды по годам'!K389),""),"")</f>
        <v>1.5775870453219218</v>
      </c>
      <c r="T389">
        <f>IFERROR(IF(AND('Дивиденды по годам'!Q389&lt;&gt;"",'Дивиденды по годам'!I389&lt;&gt;"",'Дивиденды по годам'!V389&lt;&gt;"",('Дивиденды по годам'!I389+'Дивиденды по годам'!V389)&lt;&gt;0),'Дивиденды по годам'!Q389/(('Дивиденды по годам'!I389+'Дивиденды по годам'!V389)/2),""),"")</f>
        <v>0.26565547658888439</v>
      </c>
      <c r="U389">
        <f>IFERROR(IF(AND('Дивиденды по годам'!J389&lt;&gt;"",'Дивиденды по годам'!K389&lt;&gt;"",'Дивиденды по годам'!M389&lt;&gt;"",'Дивиденды по годам'!M389&lt;&gt;0),('Дивиденды по годам'!J389+'Дивиденды по годам'!K389)/'Дивиденды по годам'!M389,""),"")</f>
        <v>-4.077137230110873</v>
      </c>
      <c r="V389" cm="1">
        <f t="array" ref="V389">IFERROR(AVERAGE(_xlfn._xlws.FILTER(P$2:P$1073,($C$2:$C$1073=$C389)*($E$2:$E$1073=$E389)*(ROW(P$2:P$1073)&lt;&gt;ROW(P389))*(P$2:P$1073&lt;&gt;""))),"")</f>
        <v>27.165406532050127</v>
      </c>
      <c r="W389" cm="1">
        <f t="array" ref="W389">IFERROR(AVERAGE(_xlfn._xlws.FILTER(Q$2:Q$1073,($C$2:$C$1073=$C389)*($E$2:$E$1073=$E389)*(ROW(Q$2:Q$1073)&lt;&gt;ROW(Q389))*(Q$2:Q$1073&lt;&gt;""))),"")</f>
        <v>0.48765642400650455</v>
      </c>
      <c r="X389" cm="1">
        <f t="array" ref="X389">IFERROR(AVERAGE(_xlfn._xlws.FILTER(R$2:R$1073,($C$2:$C$1073=$C389)*($E$2:$E$1073=$E389)*(ROW(R$2:R$1073)&lt;&gt;ROW(R389))*(R$2:R$1073&lt;&gt;""))),"")</f>
        <v>-3.1812594822902537E-2</v>
      </c>
      <c r="Y389" cm="1">
        <f t="array" ref="Y389">IFERROR(AVERAGE(_xlfn._xlws.FILTER(S$2:S$1073,($C$2:$C$1073=$C389)*($E$2:$E$1073=$E389)*(ROW(S$2:S$1073)&lt;&gt;ROW(S389))*(S$2:S$1073&lt;&gt;""))),"")</f>
        <v>0.77923973910549271</v>
      </c>
      <c r="Z389" cm="1">
        <f t="array" ref="Z389">IFERROR(AVERAGE(_xlfn._xlws.FILTER(T$2:T$1073,($C$2:$C$1073=$C389)*($E$2:$E$1073=$E389)*(ROW(T$2:T$1073)&lt;&gt;ROW(T389))*(T$2:T$1073&lt;&gt;""))),"")</f>
        <v>0.14797114025641953</v>
      </c>
      <c r="AA389" cm="1">
        <f t="array" ref="AA389">IFERROR(AVERAGE(_xlfn._xlws.FILTER(U$2:U$1073,($C$2:$C$1073=$C389)*($E$2:$E$1073=$E389)*(ROW(U$2:U$1073)&lt;&gt;ROW(U389))*(U$2:U$1073&lt;&gt;""))),"")</f>
        <v>1.6764066254052044</v>
      </c>
    </row>
    <row r="390" spans="1:27" x14ac:dyDescent="0.2">
      <c r="A390" s="7" t="s">
        <v>2226</v>
      </c>
      <c r="B390" t="str">
        <f t="shared" si="68"/>
        <v>MTLR IV кв. 2021</v>
      </c>
      <c r="C390">
        <v>2021</v>
      </c>
      <c r="D390">
        <f>SUMIFS(Дивиденды!$C:$C,Дивиденды!$A:$A,A390,Дивиденды!$I:$I,C390)</f>
        <v>0</v>
      </c>
      <c r="E390">
        <v>3</v>
      </c>
      <c r="F390">
        <f t="shared" si="69"/>
        <v>0</v>
      </c>
      <c r="G390">
        <f t="shared" si="70"/>
        <v>36.855000000000004</v>
      </c>
      <c r="H390">
        <f t="shared" si="71"/>
        <v>0</v>
      </c>
      <c r="I390">
        <f t="shared" si="67"/>
        <v>0.8</v>
      </c>
      <c r="J390">
        <f t="shared" si="72"/>
        <v>0</v>
      </c>
      <c r="K390">
        <f t="shared" si="76"/>
        <v>0.73069632657079653</v>
      </c>
      <c r="L390">
        <f t="shared" si="73"/>
        <v>0</v>
      </c>
      <c r="M390">
        <f t="shared" si="66"/>
        <v>0.5</v>
      </c>
      <c r="N390">
        <f t="shared" si="74"/>
        <v>0</v>
      </c>
      <c r="O390">
        <f t="shared" si="75"/>
        <v>0.2</v>
      </c>
      <c r="P390">
        <f>IFERROR(LN('Дивиденды по годам'!I390),"")</f>
        <v>26.193559768233413</v>
      </c>
      <c r="Q390">
        <f>IFERROR('Дивиденды по годам'!G390/'Дивиденды по годам'!I390, "")</f>
        <v>0.31789247673978022</v>
      </c>
      <c r="R390">
        <f>IFERROR(IF(AND('Дивиденды по годам'!N390&lt;&gt;"",'Дивиденды по годам'!U390&lt;&gt;"",'Дивиденды по годам'!U390&lt;&gt;0),'Дивиденды по годам'!N390/'Дивиденды по годам'!U390-1,""),"")</f>
        <v>0.5146654410933722</v>
      </c>
      <c r="S390">
        <f>IFERROR(IF(AND('Дивиденды по годам'!L390&lt;&gt;"",'Дивиденды по годам'!I390&lt;&gt;"",'Дивиденды по годам'!J390&lt;&gt;"",'Дивиденды по годам'!K390&lt;&gt;"",('Дивиденды по годам'!I390-'Дивиденды по годам'!J390-'Дивиденды по годам'!K390)&lt;&gt;0),'Дивиденды по годам'!L390/('Дивиденды по годам'!I390-'Дивиденды по годам'!J390-'Дивиденды по годам'!K390),""),"")</f>
        <v>1.3085050041418269</v>
      </c>
      <c r="T390">
        <f>IFERROR(IF(AND('Дивиденды по годам'!Q390&lt;&gt;"",'Дивиденды по годам'!I390&lt;&gt;"",'Дивиденды по годам'!V390&lt;&gt;"",('Дивиденды по годам'!I390+'Дивиденды по годам'!V390)&lt;&gt;0),'Дивиденды по годам'!Q390/(('Дивиденды по годам'!I390+'Дивиденды по годам'!V390)/2),""),"")</f>
        <v>0.38305399077358182</v>
      </c>
      <c r="U390">
        <f>IFERROR(IF(AND('Дивиденды по годам'!J390&lt;&gt;"",'Дивиденды по годам'!K390&lt;&gt;"",'Дивиденды по годам'!M390&lt;&gt;"",'Дивиденды по годам'!M390&lt;&gt;0),('Дивиденды по годам'!J390+'Дивиденды по годам'!K390)/'Дивиденды по годам'!M390,""),"")</f>
        <v>-2.6128002824590233</v>
      </c>
      <c r="V390" cm="1">
        <f t="array" ref="V390">IFERROR(AVERAGE(_xlfn._xlws.FILTER(P$2:P$1073,($C$2:$C$1073=$C390)*($E$2:$E$1073=$E390)*(ROW(P$2:P$1073)&lt;&gt;ROW(P390))*(P$2:P$1073&lt;&gt;""))),"")</f>
        <v>27.063940225368629</v>
      </c>
      <c r="W390" cm="1">
        <f t="array" ref="W390">IFERROR(AVERAGE(_xlfn._xlws.FILTER(Q$2:Q$1073,($C$2:$C$1073=$C390)*($E$2:$E$1073=$E390)*(ROW(Q$2:Q$1073)&lt;&gt;ROW(Q390))*(Q$2:Q$1073&lt;&gt;""))),"")</f>
        <v>0.50468208542591042</v>
      </c>
      <c r="X390" cm="1">
        <f t="array" ref="X390">IFERROR(AVERAGE(_xlfn._xlws.FILTER(R$2:R$1073,($C$2:$C$1073=$C390)*($E$2:$E$1073=$E390)*(ROW(R$2:R$1073)&lt;&gt;ROW(R390))*(R$2:R$1073&lt;&gt;""))),"")</f>
        <v>0.69996477429400172</v>
      </c>
      <c r="Y390" cm="1">
        <f t="array" ref="Y390">IFERROR(AVERAGE(_xlfn._xlws.FILTER(S$2:S$1073,($C$2:$C$1073=$C390)*($E$2:$E$1073=$E390)*(ROW(S$2:S$1073)&lt;&gt;ROW(S390))*(S$2:S$1073&lt;&gt;""))),"")</f>
        <v>1.0080967923320723</v>
      </c>
      <c r="Z390" cm="1">
        <f t="array" ref="Z390">IFERROR(AVERAGE(_xlfn._xlws.FILTER(T$2:T$1073,($C$2:$C$1073=$C390)*($E$2:$E$1073=$E390)*(ROW(T$2:T$1073)&lt;&gt;ROW(T390))*(T$2:T$1073&lt;&gt;""))),"")</f>
        <v>0.27778789223154321</v>
      </c>
      <c r="AA390" cm="1">
        <f t="array" ref="AA390">IFERROR(AVERAGE(_xlfn._xlws.FILTER(U$2:U$1073,($C$2:$C$1073=$C390)*($E$2:$E$1073=$E390)*(ROW(U$2:U$1073)&lt;&gt;ROW(U390))*(U$2:U$1073&lt;&gt;""))),"")</f>
        <v>2.5142562565950426</v>
      </c>
    </row>
    <row r="391" spans="1:27" x14ac:dyDescent="0.2">
      <c r="A391" s="7" t="s">
        <v>2226</v>
      </c>
      <c r="B391" t="str">
        <f t="shared" si="68"/>
        <v>MTLR IV кв. 2020</v>
      </c>
      <c r="C391">
        <v>2020</v>
      </c>
      <c r="D391">
        <f>SUMIFS(Дивиденды!$C:$C,Дивиденды!$A:$A,A391,Дивиденды!$I:$I,C391)</f>
        <v>0</v>
      </c>
      <c r="E391">
        <v>3</v>
      </c>
      <c r="F391">
        <f t="shared" si="69"/>
        <v>0</v>
      </c>
      <c r="G391">
        <f t="shared" si="70"/>
        <v>23.983999999999998</v>
      </c>
      <c r="H391">
        <f t="shared" si="71"/>
        <v>0</v>
      </c>
      <c r="I391">
        <f t="shared" si="67"/>
        <v>0.8</v>
      </c>
      <c r="J391">
        <f t="shared" si="72"/>
        <v>0</v>
      </c>
      <c r="K391">
        <f t="shared" si="76"/>
        <v>0.6593795487099845</v>
      </c>
      <c r="L391">
        <f t="shared" si="73"/>
        <v>0</v>
      </c>
      <c r="M391">
        <f t="shared" si="66"/>
        <v>0.7</v>
      </c>
      <c r="N391">
        <f t="shared" si="74"/>
        <v>0</v>
      </c>
      <c r="O391">
        <f t="shared" si="75"/>
        <v>0.1</v>
      </c>
      <c r="P391">
        <f>IFERROR(LN('Дивиденды по годам'!I391),"")</f>
        <v>25.99029891345468</v>
      </c>
      <c r="Q391">
        <f>IFERROR('Дивиденды по годам'!G391/'Дивиденды по годам'!I391, "")</f>
        <v>0.41965022699133303</v>
      </c>
      <c r="R391">
        <f>IFERROR(IF(AND('Дивиденды по годам'!N391&lt;&gt;"",'Дивиденды по годам'!U391&lt;&gt;"",'Дивиденды по годам'!U391&lt;&gt;0),'Дивиденды по годам'!N391/'Дивиденды по годам'!U391-1,""),"")</f>
        <v>-0.10491052612057306</v>
      </c>
      <c r="S391">
        <f>IFERROR(IF(AND('Дивиденды по годам'!L391&lt;&gt;"",'Дивиденды по годам'!I391&lt;&gt;"",'Дивиденды по годам'!J391&lt;&gt;"",'Дивиденды по годам'!K391&lt;&gt;"",('Дивиденды по годам'!I391-'Дивиденды по годам'!J391-'Дивиденды по годам'!K391)&lt;&gt;0),'Дивиденды по годам'!L391/('Дивиденды по годам'!I391-'Дивиденды по годам'!J391-'Дивиденды по годам'!K391),""),"")</f>
        <v>1.1843101213416511</v>
      </c>
      <c r="T391">
        <f>IFERROR(IF(AND('Дивиденды по годам'!Q391&lt;&gt;"",'Дивиденды по годам'!I391&lt;&gt;"",'Дивиденды по годам'!V391&lt;&gt;"",('Дивиденды по годам'!I391+'Дивиденды по годам'!V391)&lt;&gt;0),'Дивиденды по годам'!Q391/(('Дивиденды по годам'!I391+'Дивиденды по годам'!V391)/2),""),"")</f>
        <v>5.7510195617612499E-3</v>
      </c>
      <c r="U391">
        <f>IFERROR(IF(AND('Дивиденды по годам'!J391&lt;&gt;"",'Дивиденды по годам'!K391&lt;&gt;"",'Дивиденды по годам'!M391&lt;&gt;"",'Дивиденды по годам'!M391&lt;&gt;0),('Дивиденды по годам'!J391+'Дивиденды по годам'!K391)/'Дивиденды по годам'!M391,""),"")</f>
        <v>-1.8403310342435764</v>
      </c>
      <c r="V391" cm="1">
        <f t="array" ref="V391">IFERROR(AVERAGE(_xlfn._xlws.FILTER(P$2:P$1073,($C$2:$C$1073=$C391)*($E$2:$E$1073=$E391)*(ROW(P$2:P$1073)&lt;&gt;ROW(P391))*(P$2:P$1073&lt;&gt;""))),"")</f>
        <v>26.901511121077455</v>
      </c>
      <c r="W391" cm="1">
        <f t="array" ref="W391">IFERROR(AVERAGE(_xlfn._xlws.FILTER(Q$2:Q$1073,($C$2:$C$1073=$C391)*($E$2:$E$1073=$E391)*(ROW(Q$2:Q$1073)&lt;&gt;ROW(Q391))*(Q$2:Q$1073&lt;&gt;""))),"")</f>
        <v>0.51476255695383588</v>
      </c>
      <c r="X391" cm="1">
        <f t="array" ref="X391">IFERROR(AVERAGE(_xlfn._xlws.FILTER(R$2:R$1073,($C$2:$C$1073=$C391)*($E$2:$E$1073=$E391)*(ROW(R$2:R$1073)&lt;&gt;ROW(R391))*(R$2:R$1073&lt;&gt;""))),"")</f>
        <v>4.0442521052391198E-2</v>
      </c>
      <c r="Y391" cm="1">
        <f t="array" ref="Y391">IFERROR(AVERAGE(_xlfn._xlws.FILTER(S$2:S$1073,($C$2:$C$1073=$C391)*($E$2:$E$1073=$E391)*(ROW(S$2:S$1073)&lt;&gt;ROW(S391))*(S$2:S$1073&lt;&gt;""))),"")</f>
        <v>1.0266692674113442</v>
      </c>
      <c r="Z391" cm="1">
        <f t="array" ref="Z391">IFERROR(AVERAGE(_xlfn._xlws.FILTER(T$2:T$1073,($C$2:$C$1073=$C391)*($E$2:$E$1073=$E391)*(ROW(T$2:T$1073)&lt;&gt;ROW(T391))*(T$2:T$1073&lt;&gt;""))),"")</f>
        <v>0.10315358955062341</v>
      </c>
      <c r="AA391" cm="1">
        <f t="array" ref="AA391">IFERROR(AVERAGE(_xlfn._xlws.FILTER(U$2:U$1073,($C$2:$C$1073=$C391)*($E$2:$E$1073=$E391)*(ROW(U$2:U$1073)&lt;&gt;ROW(U391))*(U$2:U$1073&lt;&gt;""))),"")</f>
        <v>2.0088545605154695</v>
      </c>
    </row>
    <row r="392" spans="1:27" x14ac:dyDescent="0.2">
      <c r="A392" s="7" t="s">
        <v>2226</v>
      </c>
      <c r="B392" t="str">
        <f t="shared" si="68"/>
        <v>MTLR IV кв. 2019</v>
      </c>
      <c r="C392">
        <v>2019</v>
      </c>
      <c r="D392">
        <f>SUMIFS(Дивиденды!$C:$C,Дивиденды!$A:$A,A392,Дивиденды!$I:$I,C392)</f>
        <v>0</v>
      </c>
      <c r="E392">
        <v>3</v>
      </c>
      <c r="F392">
        <f t="shared" si="69"/>
        <v>0</v>
      </c>
      <c r="G392">
        <f t="shared" si="70"/>
        <v>19.591000000000001</v>
      </c>
      <c r="H392">
        <f t="shared" si="71"/>
        <v>0</v>
      </c>
      <c r="I392">
        <f t="shared" si="67"/>
        <v>0.8</v>
      </c>
      <c r="J392">
        <f t="shared" si="72"/>
        <v>0</v>
      </c>
      <c r="K392">
        <f t="shared" si="76"/>
        <v>0.25160659566020116</v>
      </c>
      <c r="L392">
        <f t="shared" si="73"/>
        <v>0</v>
      </c>
      <c r="M392">
        <f t="shared" si="66"/>
        <v>0.4</v>
      </c>
      <c r="N392">
        <f t="shared" si="74"/>
        <v>0</v>
      </c>
      <c r="O392">
        <f t="shared" si="75"/>
        <v>0.4</v>
      </c>
      <c r="P392">
        <f>IFERROR(LN('Дивиденды по годам'!I392),"")</f>
        <v>26.46788630599487</v>
      </c>
      <c r="Q392">
        <f>IFERROR('Дивиденды по годам'!G392/'Дивиденды по годам'!I392, "")</f>
        <v>0.63036431417097327</v>
      </c>
      <c r="R392">
        <f>IFERROR(IF(AND('Дивиденды по годам'!N392&lt;&gt;"",'Дивиденды по годам'!U392&lt;&gt;"",'Дивиденды по годам'!U392&lt;&gt;0),'Дивиденды по годам'!N392/'Дивиденды по годам'!U392-1,""),"")</f>
        <v>-5.1210273407257145E-2</v>
      </c>
      <c r="S392">
        <f>IFERROR(IF(AND('Дивиденды по годам'!L392&lt;&gt;"",'Дивиденды по годам'!I392&lt;&gt;"",'Дивиденды по годам'!J392&lt;&gt;"",'Дивиденды по годам'!K392&lt;&gt;"",('Дивиденды по годам'!I392-'Дивиденды по годам'!J392-'Дивиденды по годам'!K392)&lt;&gt;0),'Дивиденды по годам'!L392/('Дивиденды по годам'!I392-'Дивиденды по годам'!J392-'Дивиденды по годам'!K392),""),"")</f>
        <v>1.1719071734654127</v>
      </c>
      <c r="T392">
        <f>IFERROR(IF(AND('Дивиденды по годам'!Q392&lt;&gt;"",'Дивиденды по годам'!I392&lt;&gt;"",'Дивиденды по годам'!V392&lt;&gt;"",('Дивиденды по годам'!I392+'Дивиденды по годам'!V392)&lt;&gt;0),'Дивиденды по годам'!Q392/(('Дивиденды по годам'!I392+'Дивиденды по годам'!V392)/2),""),"")</f>
        <v>1.3600368177995016E-2</v>
      </c>
      <c r="U392">
        <f>IFERROR(IF(AND('Дивиденды по годам'!J392&lt;&gt;"",'Дивиденды по годам'!K392&lt;&gt;"",'Дивиденды по годам'!M392&lt;&gt;"",'Дивиденды по годам'!M392&lt;&gt;0),('Дивиденды по годам'!J392+'Дивиденды по годам'!K392)/'Дивиденды по годам'!M392,""),"")</f>
        <v>-2.3377954340167042</v>
      </c>
      <c r="V392" cm="1">
        <f t="array" ref="V392">IFERROR(AVERAGE(_xlfn._xlws.FILTER(P$2:P$1073,($C$2:$C$1073=$C392)*($E$2:$E$1073=$E392)*(ROW(P$2:P$1073)&lt;&gt;ROW(P392))*(P$2:P$1073&lt;&gt;""))),"")</f>
        <v>26.738840474357183</v>
      </c>
      <c r="W392" cm="1">
        <f t="array" ref="W392">IFERROR(AVERAGE(_xlfn._xlws.FILTER(Q$2:Q$1073,($C$2:$C$1073=$C392)*($E$2:$E$1073=$E392)*(ROW(Q$2:Q$1073)&lt;&gt;ROW(Q392))*(Q$2:Q$1073&lt;&gt;""))),"")</f>
        <v>0.48775270577725199</v>
      </c>
      <c r="X392" cm="1">
        <f t="array" ref="X392">IFERROR(AVERAGE(_xlfn._xlws.FILTER(R$2:R$1073,($C$2:$C$1073=$C392)*($E$2:$E$1073=$E392)*(ROW(R$2:R$1073)&lt;&gt;ROW(R392))*(R$2:R$1073&lt;&gt;""))),"")</f>
        <v>4.7879591607904649E-2</v>
      </c>
      <c r="Y392" cm="1">
        <f t="array" ref="Y392">IFERROR(AVERAGE(_xlfn._xlws.FILTER(S$2:S$1073,($C$2:$C$1073=$C392)*($E$2:$E$1073=$E392)*(ROW(S$2:S$1073)&lt;&gt;ROW(S392))*(S$2:S$1073&lt;&gt;""))),"")</f>
        <v>0.88180810193634862</v>
      </c>
      <c r="Z392" cm="1">
        <f t="array" ref="Z392">IFERROR(AVERAGE(_xlfn._xlws.FILTER(T$2:T$1073,($C$2:$C$1073=$C392)*($E$2:$E$1073=$E392)*(ROW(T$2:T$1073)&lt;&gt;ROW(T392))*(T$2:T$1073&lt;&gt;""))),"")</f>
        <v>0.15044168803662933</v>
      </c>
      <c r="AA392" cm="1">
        <f t="array" ref="AA392">IFERROR(AVERAGE(_xlfn._xlws.FILTER(U$2:U$1073,($C$2:$C$1073=$C392)*($E$2:$E$1073=$E392)*(ROW(U$2:U$1073)&lt;&gt;ROW(U392))*(U$2:U$1073&lt;&gt;""))),"")</f>
        <v>1.9486848764131026</v>
      </c>
    </row>
    <row r="393" spans="1:27" x14ac:dyDescent="0.2">
      <c r="A393" s="7" t="s">
        <v>2226</v>
      </c>
      <c r="B393" t="str">
        <f t="shared" si="68"/>
        <v>MTLR IV кв. 2018</v>
      </c>
      <c r="C393">
        <v>2018</v>
      </c>
      <c r="D393">
        <f>SUMIFS(Дивиденды!$C:$C,Дивиденды!$A:$A,A393,Дивиденды!$I:$I,C393)</f>
        <v>0</v>
      </c>
      <c r="E393">
        <v>3</v>
      </c>
      <c r="F393">
        <f t="shared" si="69"/>
        <v>0</v>
      </c>
      <c r="G393">
        <f t="shared" si="70"/>
        <v>22.694999999999997</v>
      </c>
      <c r="H393">
        <f t="shared" si="71"/>
        <v>0</v>
      </c>
      <c r="I393">
        <f t="shared" si="67"/>
        <v>0.5</v>
      </c>
      <c r="J393">
        <f t="shared" si="72"/>
        <v>0</v>
      </c>
      <c r="K393">
        <f t="shared" si="76"/>
        <v>0.12085686823605531</v>
      </c>
      <c r="L393">
        <f t="shared" si="73"/>
        <v>0</v>
      </c>
      <c r="M393">
        <f t="shared" si="66"/>
        <v>0.5</v>
      </c>
      <c r="N393">
        <f t="shared" si="74"/>
        <v>0</v>
      </c>
      <c r="O393">
        <f t="shared" si="75"/>
        <v>0.2</v>
      </c>
      <c r="P393">
        <f>IFERROR(LN('Дивиденды по годам'!I393),"")</f>
        <v>26.48413727858674</v>
      </c>
      <c r="Q393">
        <f>IFERROR('Дивиденды по годам'!G393/'Дивиденды по годам'!I393, "")</f>
        <v>0.59780873671782764</v>
      </c>
      <c r="R393">
        <f>IFERROR(IF(AND('Дивиденды по годам'!N393&lt;&gt;"",'Дивиденды по годам'!U393&lt;&gt;"",'Дивиденды по годам'!U393&lt;&gt;0),'Дивиденды по годам'!N393/'Дивиденды по годам'!U393-1,""),"")</f>
        <v>4.5003059044575133E-2</v>
      </c>
      <c r="S393">
        <f>IFERROR(IF(AND('Дивиденды по годам'!L393&lt;&gt;"",'Дивиденды по годам'!I393&lt;&gt;"",'Дивиденды по годам'!J393&lt;&gt;"",'Дивиденды по годам'!K393&lt;&gt;"",('Дивиденды по годам'!I393-'Дивиденды по годам'!J393-'Дивиденды по годам'!K393)&lt;&gt;0),'Дивиденды по годам'!L393/('Дивиденды по годам'!I393-'Дивиденды по годам'!J393-'Дивиденды по годам'!K393),""),"")</f>
        <v>1.175779926670812</v>
      </c>
      <c r="T393">
        <f>IFERROR(IF(AND('Дивиденды по годам'!Q393&lt;&gt;"",'Дивиденды по годам'!I393&lt;&gt;"",'Дивиденды по годам'!V393&lt;&gt;"",('Дивиденды по годам'!I393+'Дивиденды по годам'!V393)&lt;&gt;0),'Дивиденды по годам'!Q393/(('Дивиденды по годам'!I393+'Дивиденды по годам'!V393)/2),""),"")</f>
        <v>4.2515767520164838E-2</v>
      </c>
      <c r="U393">
        <f>IFERROR(IF(AND('Дивиденды по годам'!J393&lt;&gt;"",'Дивиденды по годам'!K393&lt;&gt;"",'Дивиденды по годам'!M393&lt;&gt;"",'Дивиденды по годам'!M393&lt;&gt;0),('Дивиденды по годам'!J393+'Дивиденды по годам'!K393)/'Дивиденды по годам'!M393,""),"")</f>
        <v>-2.3620575055211304</v>
      </c>
      <c r="V393" cm="1">
        <f t="array" ref="V393">IFERROR(AVERAGE(_xlfn._xlws.FILTER(P$2:P$1073,($C$2:$C$1073=$C393)*($E$2:$E$1073=$E393)*(ROW(P$2:P$1073)&lt;&gt;ROW(P393))*(P$2:P$1073&lt;&gt;""))),"")</f>
        <v>26.579185325718736</v>
      </c>
      <c r="W393" cm="1">
        <f t="array" ref="W393">IFERROR(AVERAGE(_xlfn._xlws.FILTER(Q$2:Q$1073,($C$2:$C$1073=$C393)*($E$2:$E$1073=$E393)*(ROW(Q$2:Q$1073)&lt;&gt;ROW(Q393))*(Q$2:Q$1073&lt;&gt;""))),"")</f>
        <v>0.51019045501467464</v>
      </c>
      <c r="X393" cm="1">
        <f t="array" ref="X393">IFERROR(AVERAGE(_xlfn._xlws.FILTER(R$2:R$1073,($C$2:$C$1073=$C393)*($E$2:$E$1073=$E393)*(ROW(R$2:R$1073)&lt;&gt;ROW(R393))*(R$2:R$1073&lt;&gt;""))),"")</f>
        <v>0.23479566142968689</v>
      </c>
      <c r="Y393" cm="1">
        <f t="array" ref="Y393">IFERROR(AVERAGE(_xlfn._xlws.FILTER(S$2:S$1073,($C$2:$C$1073=$C393)*($E$2:$E$1073=$E393)*(ROW(S$2:S$1073)&lt;&gt;ROW(S393))*(S$2:S$1073&lt;&gt;""))),"")</f>
        <v>0.89822906396717905</v>
      </c>
      <c r="Z393" cm="1">
        <f t="array" ref="Z393">IFERROR(AVERAGE(_xlfn._xlws.FILTER(T$2:T$1073,($C$2:$C$1073=$C393)*($E$2:$E$1073=$E393)*(ROW(T$2:T$1073)&lt;&gt;ROW(T393))*(T$2:T$1073&lt;&gt;""))),"")</f>
        <v>0.16651126294379778</v>
      </c>
      <c r="AA393" cm="1">
        <f t="array" ref="AA393">IFERROR(AVERAGE(_xlfn._xlws.FILTER(U$2:U$1073,($C$2:$C$1073=$C393)*($E$2:$E$1073=$E393)*(ROW(U$2:U$1073)&lt;&gt;ROW(U393))*(U$2:U$1073&lt;&gt;""))),"")</f>
        <v>2.8082812608839705</v>
      </c>
    </row>
    <row r="394" spans="1:27" x14ac:dyDescent="0.2">
      <c r="A394" s="7" t="s">
        <v>2226</v>
      </c>
      <c r="B394" t="str">
        <f t="shared" si="68"/>
        <v>MTLR IV кв. 2017</v>
      </c>
      <c r="C394">
        <v>2017</v>
      </c>
      <c r="D394">
        <f>SUMIFS(Дивиденды!$C:$C,Дивиденды!$A:$A,A394,Дивиденды!$I:$I,C394)</f>
        <v>0</v>
      </c>
      <c r="E394">
        <v>3</v>
      </c>
      <c r="F394">
        <f t="shared" si="69"/>
        <v>0</v>
      </c>
      <c r="G394">
        <f t="shared" si="70"/>
        <v>16.068876314825083</v>
      </c>
      <c r="H394">
        <f t="shared" si="71"/>
        <v>0</v>
      </c>
      <c r="I394">
        <f t="shared" si="67"/>
        <v>0.7</v>
      </c>
      <c r="J394">
        <f t="shared" si="72"/>
        <v>0</v>
      </c>
      <c r="K394">
        <f t="shared" si="76"/>
        <v>0.11709302504260524</v>
      </c>
      <c r="L394">
        <f t="shared" si="73"/>
        <v>0</v>
      </c>
      <c r="M394">
        <f t="shared" si="66"/>
        <v>0.5</v>
      </c>
      <c r="N394">
        <f t="shared" si="74"/>
        <v>0</v>
      </c>
      <c r="O394">
        <f t="shared" si="75"/>
        <v>0.2</v>
      </c>
      <c r="P394">
        <f>IFERROR(LN('Дивиденды по годам'!I394),"")</f>
        <v>26.488854979625124</v>
      </c>
      <c r="Q394">
        <f>IFERROR('Дивиденды по годам'!G394/'Дивиденды по годам'!I394, "")</f>
        <v>0.62005095150206657</v>
      </c>
      <c r="R394">
        <f>IFERROR(IF(AND('Дивиденды по годам'!N394&lt;&gt;"",'Дивиденды по годам'!U394&lt;&gt;"",'Дивиденды по годам'!U394&lt;&gt;0),'Дивиденды по годам'!N394/'Дивиденды по годам'!U394-1,""),"")</f>
        <v>8.37074153379056E-2</v>
      </c>
      <c r="S394">
        <f>IFERROR(IF(AND('Дивиденды по годам'!L394&lt;&gt;"",'Дивиденды по годам'!I394&lt;&gt;"",'Дивиденды по годам'!J394&lt;&gt;"",'Дивиденды по годам'!K394&lt;&gt;"",('Дивиденды по годам'!I394-'Дивиденды по годам'!J394-'Дивиденды по годам'!K394)&lt;&gt;0),'Дивиденды по годам'!L394/('Дивиденды по годам'!I394-'Дивиденды по годам'!J394-'Дивиденды по годам'!K394),""),"")</f>
        <v>1.1622476273178963</v>
      </c>
      <c r="T394">
        <f>IFERROR(IF(AND('Дивиденды по годам'!Q394&lt;&gt;"",'Дивиденды по годам'!I394&lt;&gt;"",'Дивиденды по годам'!V394&lt;&gt;"",('Дивиденды по годам'!I394+'Дивиденды по годам'!V394)&lt;&gt;0),'Дивиденды по годам'!Q394/(('Дивиденды по годам'!I394+'Дивиденды по годам'!V394)/2),""),"")</f>
        <v>3.9001414848462285E-2</v>
      </c>
      <c r="U394">
        <f>IFERROR(IF(AND('Дивиденды по годам'!J394&lt;&gt;"",'Дивиденды по годам'!K394&lt;&gt;"",'Дивиденды по годам'!M394&lt;&gt;"",'Дивиденды по годам'!M394&lt;&gt;0),('Дивиденды по годам'!J394+'Дивиденды по годам'!K394)/'Дивиденды по годам'!M394,""),"")</f>
        <v>-2.3071850180024822</v>
      </c>
      <c r="V394" cm="1">
        <f t="array" ref="V394">IFERROR(AVERAGE(_xlfn._xlws.FILTER(P$2:P$1073,($C$2:$C$1073=$C394)*($E$2:$E$1073=$E394)*(ROW(P$2:P$1073)&lt;&gt;ROW(P394))*(P$2:P$1073&lt;&gt;""))),"")</f>
        <v>26.549458854797365</v>
      </c>
      <c r="W394" cm="1">
        <f t="array" ref="W394">IFERROR(AVERAGE(_xlfn._xlws.FILTER(Q$2:Q$1073,($C$2:$C$1073=$C394)*($E$2:$E$1073=$E394)*(ROW(Q$2:Q$1073)&lt;&gt;ROW(Q394))*(Q$2:Q$1073&lt;&gt;""))),"")</f>
        <v>0.52747189864424715</v>
      </c>
      <c r="X394" cm="1">
        <f t="array" ref="X394">IFERROR(AVERAGE(_xlfn._xlws.FILTER(R$2:R$1073,($C$2:$C$1073=$C394)*($E$2:$E$1073=$E394)*(ROW(R$2:R$1073)&lt;&gt;ROW(R394))*(R$2:R$1073&lt;&gt;""))),"")</f>
        <v>0.10189994086349621</v>
      </c>
      <c r="Y394" cm="1">
        <f t="array" ref="Y394">IFERROR(AVERAGE(_xlfn._xlws.FILTER(S$2:S$1073,($C$2:$C$1073=$C394)*($E$2:$E$1073=$E394)*(ROW(S$2:S$1073)&lt;&gt;ROW(S394))*(S$2:S$1073&lt;&gt;""))),"")</f>
        <v>1.0473998459430853</v>
      </c>
      <c r="Z394" cm="1">
        <f t="array" ref="Z394">IFERROR(AVERAGE(_xlfn._xlws.FILTER(T$2:T$1073,($C$2:$C$1073=$C394)*($E$2:$E$1073=$E394)*(ROW(T$2:T$1073)&lt;&gt;ROW(T394))*(T$2:T$1073&lt;&gt;""))),"")</f>
        <v>0.12982254173027505</v>
      </c>
      <c r="AA394" cm="1">
        <f t="array" ref="AA394">IFERROR(AVERAGE(_xlfn._xlws.FILTER(U$2:U$1073,($C$2:$C$1073=$C394)*($E$2:$E$1073=$E394)*(ROW(U$2:U$1073)&lt;&gt;ROW(U394))*(U$2:U$1073&lt;&gt;""))),"")</f>
        <v>2.4067785850054508</v>
      </c>
    </row>
    <row r="395" spans="1:27" x14ac:dyDescent="0.2">
      <c r="A395" s="7" t="s">
        <v>2226</v>
      </c>
      <c r="B395" t="str">
        <f t="shared" si="68"/>
        <v>MTLR IV кв. 2016</v>
      </c>
      <c r="C395">
        <v>2016</v>
      </c>
      <c r="D395">
        <f>SUMIFS(Дивиденды!$C:$C,Дивиденды!$A:$A,A395,Дивиденды!$I:$I,C395)</f>
        <v>0</v>
      </c>
      <c r="E395">
        <v>3</v>
      </c>
      <c r="F395">
        <f t="shared" si="69"/>
        <v>0</v>
      </c>
      <c r="G395">
        <f t="shared" si="70"/>
        <v>12.095639712606381</v>
      </c>
      <c r="H395">
        <f t="shared" si="71"/>
        <v>0</v>
      </c>
      <c r="I395">
        <f t="shared" si="67"/>
        <v>0.7</v>
      </c>
      <c r="J395">
        <f t="shared" si="72"/>
        <v>0</v>
      </c>
      <c r="K395">
        <f t="shared" si="76"/>
        <v>0.68768115603983127</v>
      </c>
      <c r="L395">
        <f t="shared" si="73"/>
        <v>0</v>
      </c>
      <c r="M395">
        <f t="shared" si="66"/>
        <v>0.7</v>
      </c>
      <c r="N395">
        <f t="shared" si="74"/>
        <v>0</v>
      </c>
      <c r="O395">
        <f t="shared" si="75"/>
        <v>0</v>
      </c>
      <c r="P395">
        <f>IFERROR(LN('Дивиденды по годам'!I395),"")</f>
        <v>26.508520765931884</v>
      </c>
      <c r="Q395">
        <f>IFERROR('Дивиденды по годам'!G395/'Дивиденды по годам'!I395, "")</f>
        <v>0.6278801099964666</v>
      </c>
      <c r="R395">
        <f>IFERROR(IF(AND('Дивиденды по годам'!N395&lt;&gt;"",'Дивиденды по годам'!U395&lt;&gt;"",'Дивиденды по годам'!U395&lt;&gt;0),'Дивиденды по годам'!N395/'Дивиденды по годам'!U395-1,""),"")</f>
        <v>8.60467220952148E-2</v>
      </c>
      <c r="S395">
        <f>IFERROR(IF(AND('Дивиденды по годам'!L395&lt;&gt;"",'Дивиденды по годам'!I395&lt;&gt;"",'Дивиденды по годам'!J395&lt;&gt;"",'Дивиденды по годам'!K395&lt;&gt;"",('Дивиденды по годам'!I395-'Дивиденды по годам'!J395-'Дивиденды по годам'!K395)&lt;&gt;0),'Дивиденды по годам'!L395/('Дивиденды по годам'!I395-'Дивиденды по годам'!J395-'Дивиденды по годам'!K395),""),"")</f>
        <v>1.1657085847308661</v>
      </c>
      <c r="T395">
        <f>IFERROR(IF(AND('Дивиденды по годам'!Q395&lt;&gt;"",'Дивиденды по годам'!I395&lt;&gt;"",'Дивиденды по годам'!V395&lt;&gt;"",('Дивиденды по годам'!I395+'Дивиденды по годам'!V395)&lt;&gt;0),'Дивиденды по годам'!Q395/(('Дивиденды по годам'!I395+'Дивиденды по годам'!V395)/2),""),"")</f>
        <v>2.7737788317351696E-2</v>
      </c>
      <c r="U395">
        <f>IFERROR(IF(AND('Дивиденды по годам'!J395&lt;&gt;"",'Дивиденды по годам'!K395&lt;&gt;"",'Дивиденды по годам'!M395&lt;&gt;"",'Дивиденды по годам'!M395&lt;&gt;0),('Дивиденды по годам'!J395+'Дивиденды по годам'!K395)/'Дивиденды по годам'!M395,""),"")</f>
        <v>-2.2885212282452057</v>
      </c>
      <c r="V395" cm="1">
        <f t="array" ref="V395">IFERROR(AVERAGE(_xlfn._xlws.FILTER(P$2:P$1073,($C$2:$C$1073=$C395)*($E$2:$E$1073=$E395)*(ROW(P$2:P$1073)&lt;&gt;ROW(P395))*(P$2:P$1073&lt;&gt;""))),"")</f>
        <v>26.548186777037717</v>
      </c>
      <c r="W395" cm="1">
        <f t="array" ref="W395">IFERROR(AVERAGE(_xlfn._xlws.FILTER(Q$2:Q$1073,($C$2:$C$1073=$C395)*($E$2:$E$1073=$E395)*(ROW(Q$2:Q$1073)&lt;&gt;ROW(Q395))*(Q$2:Q$1073&lt;&gt;""))),"")</f>
        <v>0.49780609285314281</v>
      </c>
      <c r="X395" cm="1">
        <f t="array" ref="X395">IFERROR(AVERAGE(_xlfn._xlws.FILTER(R$2:R$1073,($C$2:$C$1073=$C395)*($E$2:$E$1073=$E395)*(ROW(R$2:R$1073)&lt;&gt;ROW(R395))*(R$2:R$1073&lt;&gt;""))),"")</f>
        <v>0.13956512478356514</v>
      </c>
      <c r="Y395" cm="1">
        <f t="array" ref="Y395">IFERROR(AVERAGE(_xlfn._xlws.FILTER(S$2:S$1073,($C$2:$C$1073=$C395)*($E$2:$E$1073=$E395)*(ROW(S$2:S$1073)&lt;&gt;ROW(S395))*(S$2:S$1073&lt;&gt;""))),"")</f>
        <v>0.21000160041790289</v>
      </c>
      <c r="Z395" cm="1">
        <f t="array" ref="Z395">IFERROR(AVERAGE(_xlfn._xlws.FILTER(T$2:T$1073,($C$2:$C$1073=$C395)*($E$2:$E$1073=$E395)*(ROW(T$2:T$1073)&lt;&gt;ROW(T395))*(T$2:T$1073&lt;&gt;""))),"")</f>
        <v>0.17528553883792836</v>
      </c>
      <c r="AA395" cm="1">
        <f t="array" ref="AA395">IFERROR(AVERAGE(_xlfn._xlws.FILTER(U$2:U$1073,($C$2:$C$1073=$C395)*($E$2:$E$1073=$E395)*(ROW(U$2:U$1073)&lt;&gt;ROW(U395))*(U$2:U$1073&lt;&gt;""))),"")</f>
        <v>0.40114916050025817</v>
      </c>
    </row>
    <row r="396" spans="1:27" x14ac:dyDescent="0.2">
      <c r="A396" s="7" t="s">
        <v>2226</v>
      </c>
      <c r="B396" t="str">
        <f t="shared" si="68"/>
        <v>MTLR IV кв. 2015</v>
      </c>
      <c r="C396">
        <v>2015</v>
      </c>
      <c r="D396">
        <f>SUMIFS(Дивиденды!$C:$C,Дивиденды!$A:$A,A396,Дивиденды!$I:$I,C396)</f>
        <v>0</v>
      </c>
      <c r="E396">
        <v>3</v>
      </c>
      <c r="F396">
        <f t="shared" si="69"/>
        <v>0</v>
      </c>
      <c r="G396">
        <f t="shared" si="70"/>
        <v>7.2240627742857146</v>
      </c>
      <c r="H396">
        <f t="shared" si="71"/>
        <v>0</v>
      </c>
      <c r="I396">
        <f t="shared" si="67"/>
        <v>0.6</v>
      </c>
      <c r="J396">
        <f t="shared" si="72"/>
        <v>0</v>
      </c>
      <c r="K396">
        <f t="shared" si="76"/>
        <v>0.8808871705905531</v>
      </c>
      <c r="L396">
        <f t="shared" si="73"/>
        <v>0</v>
      </c>
      <c r="M396">
        <f t="shared" si="66"/>
        <v>0.5</v>
      </c>
      <c r="N396">
        <f t="shared" si="74"/>
        <v>0</v>
      </c>
      <c r="O396">
        <f t="shared" si="75"/>
        <v>0.1</v>
      </c>
      <c r="P396">
        <f>IFERROR(LN('Дивиденды по годам'!I396),"")</f>
        <v>26.55828707816725</v>
      </c>
      <c r="Q396">
        <f>IFERROR('Дивиденды по годам'!G396/'Дивиденды по годам'!I396, "")</f>
        <v>0.63098996702448606</v>
      </c>
      <c r="R396">
        <f>IFERROR(IF(AND('Дивиденды по годам'!N396&lt;&gt;"",'Дивиденды по годам'!U396&lt;&gt;"",'Дивиденды по годам'!U396&lt;&gt;0),'Дивиденды по годам'!N396/'Дивиденды по годам'!U396-1,""),"")</f>
        <v>2.3535421009933666E-2</v>
      </c>
      <c r="S396" t="str">
        <f>IFERROR(IF(AND('Дивиденды по годам'!L396&lt;&gt;"",'Дивиденды по годам'!I396&lt;&gt;"",'Дивиденды по годам'!J396&lt;&gt;"",'Дивиденды по годам'!K396&lt;&gt;"",('Дивиденды по годам'!I396-'Дивиденды по годам'!J396-'Дивиденды по годам'!K396)&lt;&gt;0),'Дивиденды по годам'!L396/('Дивиденды по годам'!I396-'Дивиденды по годам'!J396-'Дивиденды по годам'!K396),""),"")</f>
        <v/>
      </c>
      <c r="T396">
        <f>IFERROR(IF(AND('Дивиденды по годам'!Q396&lt;&gt;"",'Дивиденды по годам'!I396&lt;&gt;"",'Дивиденды по годам'!V396&lt;&gt;"",('Дивиденды по годам'!I396+'Дивиденды по годам'!V396)&lt;&gt;0),'Дивиденды по годам'!Q396/(('Дивиденды по годам'!I396+'Дивиденды по годам'!V396)/2),""),"")</f>
        <v>-0.38004504225828106</v>
      </c>
      <c r="U396">
        <f>IFERROR(IF(AND('Дивиденды по годам'!J396&lt;&gt;"",'Дивиденды по годам'!K396&lt;&gt;"",'Дивиденды по годам'!M396&lt;&gt;"",'Дивиденды по годам'!M396&lt;&gt;0),('Дивиденды по годам'!J396+'Дивиденды по годам'!K396)/'Дивиденды по годам'!M396,""),"")</f>
        <v>-2.3063462845707914</v>
      </c>
      <c r="V396" cm="1">
        <f t="array" ref="V396">IFERROR(AVERAGE(_xlfn._xlws.FILTER(P$2:P$1073,($C$2:$C$1073=$C396)*($E$2:$E$1073=$E396)*(ROW(P$2:P$1073)&lt;&gt;ROW(P396))*(P$2:P$1073&lt;&gt;""))),"")</f>
        <v>26.337933801810937</v>
      </c>
      <c r="W396" cm="1">
        <f t="array" ref="W396">IFERROR(AVERAGE(_xlfn._xlws.FILTER(Q$2:Q$1073,($C$2:$C$1073=$C396)*($E$2:$E$1073=$E396)*(ROW(Q$2:Q$1073)&lt;&gt;ROW(Q396))*(Q$2:Q$1073&lt;&gt;""))),"")</f>
        <v>0.48536884790880136</v>
      </c>
      <c r="X396" cm="1">
        <f t="array" ref="X396">IFERROR(AVERAGE(_xlfn._xlws.FILTER(R$2:R$1073,($C$2:$C$1073=$C396)*($E$2:$E$1073=$E396)*(ROW(R$2:R$1073)&lt;&gt;ROW(R396))*(R$2:R$1073&lt;&gt;""))),"")</f>
        <v>0.27862139632037014</v>
      </c>
      <c r="Y396" cm="1">
        <f t="array" ref="Y396">IFERROR(AVERAGE(_xlfn._xlws.FILTER(S$2:S$1073,($C$2:$C$1073=$C396)*($E$2:$E$1073=$E396)*(ROW(S$2:S$1073)&lt;&gt;ROW(S396))*(S$2:S$1073&lt;&gt;""))),"")</f>
        <v>0.96723413930001811</v>
      </c>
      <c r="Z396" cm="1">
        <f t="array" ref="Z396">IFERROR(AVERAGE(_xlfn._xlws.FILTER(T$2:T$1073,($C$2:$C$1073=$C396)*($E$2:$E$1073=$E396)*(ROW(T$2:T$1073)&lt;&gt;ROW(T396))*(T$2:T$1073&lt;&gt;""))),"")</f>
        <v>6.8082124259392585E-2</v>
      </c>
      <c r="AA396" cm="1">
        <f t="array" ref="AA396">IFERROR(AVERAGE(_xlfn._xlws.FILTER(U$2:U$1073,($C$2:$C$1073=$C396)*($E$2:$E$1073=$E396)*(ROW(U$2:U$1073)&lt;&gt;ROW(U396))*(U$2:U$1073&lt;&gt;""))),"")</f>
        <v>3.526693483270491</v>
      </c>
    </row>
    <row r="397" spans="1:27" x14ac:dyDescent="0.2">
      <c r="A397" s="7" t="s">
        <v>2226</v>
      </c>
      <c r="B397" t="str">
        <f t="shared" si="68"/>
        <v>MTLR IV кв. 2014</v>
      </c>
      <c r="C397">
        <v>2014</v>
      </c>
      <c r="D397">
        <f>SUMIFS(Дивиденды!$C:$C,Дивиденды!$A:$A,A397,Дивиденды!$I:$I,C397)</f>
        <v>0</v>
      </c>
      <c r="E397">
        <v>3</v>
      </c>
      <c r="F397">
        <f t="shared" si="69"/>
        <v>0</v>
      </c>
      <c r="G397">
        <f t="shared" si="70"/>
        <v>7.8559999999999999</v>
      </c>
      <c r="H397">
        <f t="shared" si="71"/>
        <v>0</v>
      </c>
      <c r="I397">
        <f t="shared" si="67"/>
        <v>0.5</v>
      </c>
      <c r="J397">
        <f t="shared" si="72"/>
        <v>0</v>
      </c>
      <c r="K397">
        <f t="shared" si="76"/>
        <v>1.0733185192796773</v>
      </c>
      <c r="L397">
        <f t="shared" si="73"/>
        <v>0</v>
      </c>
      <c r="M397">
        <f t="shared" si="66"/>
        <v>0.3</v>
      </c>
      <c r="N397">
        <f t="shared" si="74"/>
        <v>0</v>
      </c>
      <c r="O397">
        <f t="shared" si="75"/>
        <v>0.1</v>
      </c>
      <c r="P397">
        <f>IFERROR(LN('Дивиденды по годам'!I397),"")</f>
        <v>26.284812591424561</v>
      </c>
      <c r="Q397">
        <f>IFERROR('Дивиденды по годам'!G397/'Дивиденды по годам'!I397, "")</f>
        <v>0.58753748050566845</v>
      </c>
      <c r="R397">
        <f>IFERROR(IF(AND('Дивиденды по годам'!N397&lt;&gt;"",'Дивиденды по годам'!U397&lt;&gt;"",'Дивиденды по годам'!U397&lt;&gt;0),'Дивиденды по годам'!N397/'Дивиденды по годам'!U397-1,""),"")</f>
        <v>-9.1416247402650752E-2</v>
      </c>
      <c r="S397" t="str">
        <f>IFERROR(IF(AND('Дивиденды по годам'!L397&lt;&gt;"",'Дивиденды по годам'!I397&lt;&gt;"",'Дивиденды по годам'!J397&lt;&gt;"",'Дивиденды по годам'!K397&lt;&gt;"",('Дивиденды по годам'!I397-'Дивиденды по годам'!J397-'Дивиденды по годам'!K397)&lt;&gt;0),'Дивиденды по годам'!L397/('Дивиденды по годам'!I397-'Дивиденды по годам'!J397-'Дивиденды по годам'!K397),""),"")</f>
        <v/>
      </c>
      <c r="T397">
        <f>IFERROR(IF(AND('Дивиденды по годам'!Q397&lt;&gt;"",'Дивиденды по годам'!I397&lt;&gt;"",'Дивиденды по годам'!V397&lt;&gt;"",('Дивиденды по годам'!I397+'Дивиденды по годам'!V397)&lt;&gt;0),'Дивиденды по годам'!Q397/(('Дивиденды по годам'!I397+'Дивиденды по годам'!V397)/2),""),"")</f>
        <v>-0.48210656188590856</v>
      </c>
      <c r="U397">
        <f>IFERROR(IF(AND('Дивиденды по годам'!J397&lt;&gt;"",'Дивиденды по годам'!K397&lt;&gt;"",'Дивиденды по годам'!M397&lt;&gt;"",'Дивиденды по годам'!M397&lt;&gt;0),('Дивиденды по годам'!J397+'Дивиденды по годам'!K397)/'Дивиденды по годам'!M397,""),"")</f>
        <v>-4.06360824088343</v>
      </c>
      <c r="V397" cm="1">
        <f t="array" ref="V397">IFERROR(AVERAGE(_xlfn._xlws.FILTER(P$2:P$1073,($C$2:$C$1073=$C397)*($E$2:$E$1073=$E397)*(ROW(P$2:P$1073)&lt;&gt;ROW(P397))*(P$2:P$1073&lt;&gt;""))),"")</f>
        <v>26.299707647315469</v>
      </c>
      <c r="W397" cm="1">
        <f t="array" ref="W397">IFERROR(AVERAGE(_xlfn._xlws.FILTER(Q$2:Q$1073,($C$2:$C$1073=$C397)*($E$2:$E$1073=$E397)*(ROW(Q$2:Q$1073)&lt;&gt;ROW(Q397))*(Q$2:Q$1073&lt;&gt;""))),"")</f>
        <v>0.50802183861713013</v>
      </c>
      <c r="X397" cm="1">
        <f t="array" ref="X397">IFERROR(AVERAGE(_xlfn._xlws.FILTER(R$2:R$1073,($C$2:$C$1073=$C397)*($E$2:$E$1073=$E397)*(ROW(R$2:R$1073)&lt;&gt;ROW(R397))*(R$2:R$1073&lt;&gt;""))),"")</f>
        <v>9.8607881544391943E-2</v>
      </c>
      <c r="Y397" cm="1">
        <f t="array" ref="Y397">IFERROR(AVERAGE(_xlfn._xlws.FILTER(S$2:S$1073,($C$2:$C$1073=$C397)*($E$2:$E$1073=$E397)*(ROW(S$2:S$1073)&lt;&gt;ROW(S397))*(S$2:S$1073&lt;&gt;""))),"")</f>
        <v>0.79499322870069589</v>
      </c>
      <c r="Z397" cm="1">
        <f t="array" ref="Z397">IFERROR(AVERAGE(_xlfn._xlws.FILTER(T$2:T$1073,($C$2:$C$1073=$C397)*($E$2:$E$1073=$E397)*(ROW(T$2:T$1073)&lt;&gt;ROW(T397))*(T$2:T$1073&lt;&gt;""))),"")</f>
        <v>-2.6970787838262466E-2</v>
      </c>
      <c r="AA397" cm="1">
        <f t="array" ref="AA397">IFERROR(AVERAGE(_xlfn._xlws.FILTER(U$2:U$1073,($C$2:$C$1073=$C397)*($E$2:$E$1073=$E397)*(ROW(U$2:U$1073)&lt;&gt;ROW(U397))*(U$2:U$1073&lt;&gt;""))),"")</f>
        <v>2.2590463584467773</v>
      </c>
    </row>
    <row r="398" spans="1:27" x14ac:dyDescent="0.2">
      <c r="A398" s="7" t="s">
        <v>2226</v>
      </c>
      <c r="B398" t="str">
        <f t="shared" si="68"/>
        <v>MTLR IV кв. 2013</v>
      </c>
      <c r="C398">
        <v>2013</v>
      </c>
      <c r="D398">
        <f>SUMIFS(Дивиденды!$C:$C,Дивиденды!$A:$A,A398,Дивиденды!$I:$I,C398)</f>
        <v>0</v>
      </c>
      <c r="E398">
        <v>3</v>
      </c>
      <c r="F398">
        <f t="shared" si="69"/>
        <v>0</v>
      </c>
      <c r="G398">
        <f t="shared" si="70"/>
        <v>1.2260000000000002</v>
      </c>
      <c r="H398">
        <f t="shared" si="71"/>
        <v>0</v>
      </c>
      <c r="I398">
        <f t="shared" si="67"/>
        <v>0.4</v>
      </c>
      <c r="J398">
        <f t="shared" si="72"/>
        <v>0</v>
      </c>
      <c r="K398">
        <f t="shared" si="76"/>
        <v>-0.20386411043374064</v>
      </c>
      <c r="L398">
        <f t="shared" si="73"/>
        <v>0</v>
      </c>
      <c r="M398">
        <f t="shared" si="66"/>
        <v>0.2</v>
      </c>
      <c r="N398">
        <f t="shared" si="74"/>
        <v>0</v>
      </c>
      <c r="O398">
        <f t="shared" si="75"/>
        <v>0.4</v>
      </c>
      <c r="P398">
        <f>IFERROR(LN('Дивиденды по годам'!I398),"")</f>
        <v>26.811908878017842</v>
      </c>
      <c r="Q398">
        <f>IFERROR('Дивиденды по годам'!G398/'Дивиденды по годам'!I398, "")</f>
        <v>0.49414442578739687</v>
      </c>
      <c r="R398">
        <f>IFERROR(IF(AND('Дивиденды по годам'!N398&lt;&gt;"",'Дивиденды по годам'!U398&lt;&gt;"",'Дивиденды по годам'!U398&lt;&gt;0),'Дивиденды по годам'!N398/'Дивиденды по годам'!U398-1,""),"")</f>
        <v>-0.21972061047598335</v>
      </c>
      <c r="S398" t="str">
        <f>IFERROR(IF(AND('Дивиденды по годам'!L398&lt;&gt;"",'Дивиденды по годам'!I398&lt;&gt;"",'Дивиденды по годам'!J398&lt;&gt;"",'Дивиденды по годам'!K398&lt;&gt;"",('Дивиденды по годам'!I398-'Дивиденды по годам'!J398-'Дивиденды по годам'!K398)&lt;&gt;0),'Дивиденды по годам'!L398/('Дивиденды по годам'!I398-'Дивиденды по годам'!J398-'Дивиденды по годам'!K398),""),"")</f>
        <v/>
      </c>
      <c r="T398">
        <f>IFERROR(IF(AND('Дивиденды по годам'!Q398&lt;&gt;"",'Дивиденды по годам'!I398&lt;&gt;"",'Дивиденды по годам'!V398&lt;&gt;"",('Дивиденды по годам'!I398+'Дивиденды по годам'!V398)&lt;&gt;0),'Дивиденды по годам'!Q398/(('Дивиденды по годам'!I398+'Дивиденды по годам'!V398)/2),""),"")</f>
        <v>-0.18800176986502953</v>
      </c>
      <c r="U398">
        <f>IFERROR(IF(AND('Дивиденды по годам'!J398&lt;&gt;"",'Дивиденды по годам'!K398&lt;&gt;"",'Дивиденды по годам'!M398&lt;&gt;"",'Дивиденды по годам'!M398&lt;&gt;0),('Дивиденды по годам'!J398+'Дивиденды по годам'!K398)/'Дивиденды по годам'!M398,""),"")</f>
        <v>16.041351531127592</v>
      </c>
      <c r="V398" cm="1">
        <f t="array" ref="V398">IFERROR(AVERAGE(_xlfn._xlws.FILTER(P$2:P$1073,($C$2:$C$1073=$C398)*($E$2:$E$1073=$E398)*(ROW(P$2:P$1073)&lt;&gt;ROW(P398))*(P$2:P$1073&lt;&gt;""))),"")</f>
        <v>26.392022646172268</v>
      </c>
      <c r="W398" cm="1">
        <f t="array" ref="W398">IFERROR(AVERAGE(_xlfn._xlws.FILTER(Q$2:Q$1073,($C$2:$C$1073=$C398)*($E$2:$E$1073=$E398)*(ROW(Q$2:Q$1073)&lt;&gt;ROW(Q398))*(Q$2:Q$1073&lt;&gt;""))),"")</f>
        <v>0.58762774655224659</v>
      </c>
      <c r="X398" cm="1">
        <f t="array" ref="X398">IFERROR(AVERAGE(_xlfn._xlws.FILTER(R$2:R$1073,($C$2:$C$1073=$C398)*($E$2:$E$1073=$E398)*(ROW(R$2:R$1073)&lt;&gt;ROW(R398))*(R$2:R$1073&lt;&gt;""))),"")</f>
        <v>-2.3827234369637212E-2</v>
      </c>
      <c r="Y398" cm="1">
        <f t="array" ref="Y398">IFERROR(AVERAGE(_xlfn._xlws.FILTER(S$2:S$1073,($C$2:$C$1073=$C398)*($E$2:$E$1073=$E398)*(ROW(S$2:S$1073)&lt;&gt;ROW(S398))*(S$2:S$1073&lt;&gt;""))),"")</f>
        <v>1.1343753445927802</v>
      </c>
      <c r="Z398" cm="1">
        <f t="array" ref="Z398">IFERROR(AVERAGE(_xlfn._xlws.FILTER(T$2:T$1073,($C$2:$C$1073=$C398)*($E$2:$E$1073=$E398)*(ROW(T$2:T$1073)&lt;&gt;ROW(T398))*(T$2:T$1073&lt;&gt;""))),"")</f>
        <v>-1.1501579906011665E-2</v>
      </c>
      <c r="AA398" cm="1">
        <f t="array" ref="AA398">IFERROR(AVERAGE(_xlfn._xlws.FILTER(U$2:U$1073,($C$2:$C$1073=$C398)*($E$2:$E$1073=$E398)*(ROW(U$2:U$1073)&lt;&gt;ROW(U398))*(U$2:U$1073&lt;&gt;""))),"")</f>
        <v>1.4968819383755281</v>
      </c>
    </row>
    <row r="399" spans="1:27" x14ac:dyDescent="0.2">
      <c r="A399" s="7" t="s">
        <v>2226</v>
      </c>
      <c r="B399" t="str">
        <f t="shared" si="68"/>
        <v>MTLR IV кв. 2012</v>
      </c>
      <c r="C399">
        <v>2012</v>
      </c>
      <c r="D399">
        <f>SUMIFS(Дивиденды!$C:$C,Дивиденды!$A:$A,A399,Дивиденды!$I:$I,C399)</f>
        <v>0</v>
      </c>
      <c r="E399">
        <v>3</v>
      </c>
      <c r="F399">
        <f t="shared" si="69"/>
        <v>0</v>
      </c>
      <c r="G399">
        <f t="shared" si="70"/>
        <v>2.1309999999999998</v>
      </c>
      <c r="H399">
        <f t="shared" si="71"/>
        <v>0</v>
      </c>
      <c r="I399">
        <f t="shared" si="67"/>
        <v>0.6</v>
      </c>
      <c r="J399">
        <f t="shared" si="72"/>
        <v>-1</v>
      </c>
      <c r="K399">
        <f t="shared" si="76"/>
        <v>-8.4000436197696815E-2</v>
      </c>
      <c r="L399">
        <f t="shared" si="73"/>
        <v>0</v>
      </c>
      <c r="M399">
        <f t="shared" si="66"/>
        <v>0.3</v>
      </c>
      <c r="N399">
        <f t="shared" si="74"/>
        <v>1</v>
      </c>
      <c r="O399">
        <f t="shared" si="75"/>
        <v>0.5</v>
      </c>
      <c r="P399">
        <f>IFERROR(LN('Дивиденды по годам'!I399),"")</f>
        <v>27.032581068268886</v>
      </c>
      <c r="Q399">
        <f>IFERROR('Дивиденды по годам'!G399/'Дивиденды по годам'!I399, "")</f>
        <v>0.44072932800302994</v>
      </c>
      <c r="R399">
        <f>IFERROR(IF(AND('Дивиденды по годам'!N399&lt;&gt;"",'Дивиденды по годам'!U399&lt;&gt;"",'Дивиденды по годам'!U399&lt;&gt;0),'Дивиденды по годам'!N399/'Дивиденды по годам'!U399-1,""),"")</f>
        <v>-5.0580135218022404E-2</v>
      </c>
      <c r="S399" t="str">
        <f>IFERROR(IF(AND('Дивиденды по годам'!L399&lt;&gt;"",'Дивиденды по годам'!I399&lt;&gt;"",'Дивиденды по годам'!J399&lt;&gt;"",'Дивиденды по годам'!K399&lt;&gt;"",('Дивиденды по годам'!I399-'Дивиденды по годам'!J399-'Дивиденды по годам'!K399)&lt;&gt;0),'Дивиденды по годам'!L399/('Дивиденды по годам'!I399-'Дивиденды по годам'!J399-'Дивиденды по годам'!K399),""),"")</f>
        <v/>
      </c>
      <c r="T399">
        <f>IFERROR(IF(AND('Дивиденды по годам'!Q399&lt;&gt;"",'Дивиденды по годам'!I399&lt;&gt;"",'Дивиденды по годам'!V399&lt;&gt;"",('Дивиденды по годам'!I399+'Дивиденды по годам'!V399)&lt;&gt;0),'Дивиденды по годам'!Q399/(('Дивиденды по годам'!I399+'Дивиденды по годам'!V399)/2),""),"")</f>
        <v>-9.2572057779097522E-2</v>
      </c>
      <c r="U399">
        <f>IFERROR(IF(AND('Дивиденды по годам'!J399&lt;&gt;"",'Дивиденды по годам'!K399&lt;&gt;"",'Дивиденды по годам'!M399&lt;&gt;"",'Дивиденды по годам'!M399&lt;&gt;0),('Дивиденды по годам'!J399+'Дивиденды по годам'!K399)/'Дивиденды по годам'!M399,""),"")</f>
        <v>3.99915754549099</v>
      </c>
      <c r="V399" cm="1">
        <f t="array" ref="V399">IFERROR(AVERAGE(_xlfn._xlws.FILTER(P$2:P$1073,($C$2:$C$1073=$C399)*($E$2:$E$1073=$E399)*(ROW(P$2:P$1073)&lt;&gt;ROW(P399))*(P$2:P$1073&lt;&gt;""))),"")</f>
        <v>26.670048291425204</v>
      </c>
      <c r="W399" cm="1">
        <f t="array" ref="W399">IFERROR(AVERAGE(_xlfn._xlws.FILTER(Q$2:Q$1073,($C$2:$C$1073=$C399)*($E$2:$E$1073=$E399)*(ROW(Q$2:Q$1073)&lt;&gt;ROW(Q399))*(Q$2:Q$1073&lt;&gt;""))),"")</f>
        <v>0.51000601956766745</v>
      </c>
      <c r="X399" cm="1">
        <f t="array" ref="X399">IFERROR(AVERAGE(_xlfn._xlws.FILTER(R$2:R$1073,($C$2:$C$1073=$C399)*($E$2:$E$1073=$E399)*(ROW(R$2:R$1073)&lt;&gt;ROW(R399))*(R$2:R$1073&lt;&gt;""))),"")</f>
        <v>5.2704220743087548E-3</v>
      </c>
      <c r="Y399" t="str" cm="1">
        <f t="array" ref="Y399">IFERROR(AVERAGE(_xlfn._xlws.FILTER(S$2:S$1073,($C$2:$C$1073=$C399)*($E$2:$E$1073=$E399)*(ROW(S$2:S$1073)&lt;&gt;ROW(S399))*(S$2:S$1073&lt;&gt;""))),"")</f>
        <v/>
      </c>
      <c r="Z399" cm="1">
        <f t="array" ref="Z399">IFERROR(AVERAGE(_xlfn._xlws.FILTER(T$2:T$1073,($C$2:$C$1073=$C399)*($E$2:$E$1073=$E399)*(ROW(T$2:T$1073)&lt;&gt;ROW(T399))*(T$2:T$1073&lt;&gt;""))),"")</f>
        <v>7.0107851280949596E-2</v>
      </c>
      <c r="AA399" cm="1">
        <f t="array" ref="AA399">IFERROR(AVERAGE(_xlfn._xlws.FILTER(U$2:U$1073,($C$2:$C$1073=$C399)*($E$2:$E$1073=$E399)*(ROW(U$2:U$1073)&lt;&gt;ROW(U399))*(U$2:U$1073&lt;&gt;""))),"")</f>
        <v>1.0422968165185538</v>
      </c>
    </row>
    <row r="400" spans="1:27" x14ac:dyDescent="0.2">
      <c r="A400" s="7" t="s">
        <v>2226</v>
      </c>
      <c r="B400" t="str">
        <f t="shared" si="68"/>
        <v>MTLR IV кв. 2011</v>
      </c>
      <c r="C400">
        <v>2011</v>
      </c>
      <c r="D400">
        <f>SUMIFS(Дивиденды!$C:$C,Дивиденды!$A:$A,A400,Дивиденды!$I:$I,C400)</f>
        <v>8.06</v>
      </c>
      <c r="E400">
        <v>3</v>
      </c>
      <c r="F400">
        <f t="shared" si="69"/>
        <v>8.06</v>
      </c>
      <c r="G400">
        <f t="shared" si="70"/>
        <v>2.96</v>
      </c>
      <c r="H400">
        <f t="shared" si="71"/>
        <v>1</v>
      </c>
      <c r="I400">
        <f t="shared" si="67"/>
        <v>0.7</v>
      </c>
      <c r="J400">
        <f t="shared" si="72"/>
        <v>-7.6746849942726222E-2</v>
      </c>
      <c r="K400">
        <f t="shared" si="76"/>
        <v>0.78898036547479877</v>
      </c>
      <c r="L400">
        <f t="shared" si="73"/>
        <v>0</v>
      </c>
      <c r="M400">
        <f t="shared" si="66"/>
        <v>0.6</v>
      </c>
      <c r="N400">
        <f t="shared" si="74"/>
        <v>1</v>
      </c>
      <c r="O400">
        <f t="shared" si="75"/>
        <v>0.2</v>
      </c>
      <c r="P400">
        <f>IFERROR(LN('Дивиденды по годам'!I400),"")</f>
        <v>27.064771522237034</v>
      </c>
      <c r="Q400">
        <f>IFERROR('Дивиденды по годам'!G400/'Дивиденды по годам'!I400, "")</f>
        <v>0.36652937597316354</v>
      </c>
      <c r="R400" t="str">
        <f>IFERROR(IF(AND('Дивиденды по годам'!N400&lt;&gt;"",'Дивиденды по годам'!U400&lt;&gt;"",'Дивиденды по годам'!U400&lt;&gt;0),'Дивиденды по годам'!N400/'Дивиденды по годам'!U400-1,""),"")</f>
        <v/>
      </c>
      <c r="S400" t="str">
        <f>IFERROR(IF(AND('Дивиденды по годам'!L400&lt;&gt;"",'Дивиденды по годам'!I400&lt;&gt;"",'Дивиденды по годам'!J400&lt;&gt;"",'Дивиденды по годам'!K400&lt;&gt;"",('Дивиденды по годам'!I400-'Дивиденды по годам'!J400-'Дивиденды по годам'!K400)&lt;&gt;0),'Дивиденды по годам'!L400/('Дивиденды по годам'!I400-'Дивиденды по годам'!J400-'Дивиденды по годам'!K400),""),"")</f>
        <v/>
      </c>
      <c r="T400" t="str">
        <f>IFERROR(IF(AND('Дивиденды по годам'!Q400&lt;&gt;"",'Дивиденды по годам'!I400&lt;&gt;"",'Дивиденды по годам'!V400&lt;&gt;"",('Дивиденды по годам'!I400+'Дивиденды по годам'!V400)&lt;&gt;0),'Дивиденды по годам'!Q400/(('Дивиденды по годам'!I400+'Дивиденды по годам'!V400)/2),""),"")</f>
        <v/>
      </c>
      <c r="U400">
        <f>IFERROR(IF(AND('Дивиденды по годам'!J400&lt;&gt;"",'Дивиденды по годам'!K400&lt;&gt;"",'Дивиденды по годам'!M400&lt;&gt;"",'Дивиденды по годам'!M400&lt;&gt;0),('Дивиденды по годам'!J400+'Дивиденды по годам'!K400)/'Дивиденды по годам'!M400,""),"")</f>
        <v>2.5983343789361544</v>
      </c>
      <c r="V400" cm="1">
        <f t="array" ref="V400">IFERROR(AVERAGE(_xlfn._xlws.FILTER(P$2:P$1073,($C$2:$C$1073=$C400)*($E$2:$E$1073=$E400)*(ROW(P$2:P$1073)&lt;&gt;ROW(P400))*(P$2:P$1073&lt;&gt;""))),"")</f>
        <v>26.345707643912672</v>
      </c>
      <c r="W400" cm="1">
        <f t="array" ref="W400">IFERROR(AVERAGE(_xlfn._xlws.FILTER(Q$2:Q$1073,($C$2:$C$1073=$C400)*($E$2:$E$1073=$E400)*(ROW(Q$2:Q$1073)&lt;&gt;ROW(Q400))*(Q$2:Q$1073&lt;&gt;""))),"")</f>
        <v>0.59852054682667499</v>
      </c>
      <c r="X400" cm="1">
        <f t="array" ref="X400">IFERROR(AVERAGE(_xlfn._xlws.FILTER(R$2:R$1073,($C$2:$C$1073=$C400)*($E$2:$E$1073=$E400)*(ROW(R$2:R$1073)&lt;&gt;ROW(R400))*(R$2:R$1073&lt;&gt;""))),"")</f>
        <v>0.21463216748681591</v>
      </c>
      <c r="Y400" t="str" cm="1">
        <f t="array" ref="Y400">IFERROR(AVERAGE(_xlfn._xlws.FILTER(S$2:S$1073,($C$2:$C$1073=$C400)*($E$2:$E$1073=$E400)*(ROW(S$2:S$1073)&lt;&gt;ROW(S400))*(S$2:S$1073&lt;&gt;""))),"")</f>
        <v/>
      </c>
      <c r="Z400" cm="1">
        <f t="array" ref="Z400">IFERROR(AVERAGE(_xlfn._xlws.FILTER(T$2:T$1073,($C$2:$C$1073=$C400)*($E$2:$E$1073=$E400)*(ROW(T$2:T$1073)&lt;&gt;ROW(T400))*(T$2:T$1073&lt;&gt;""))),"")</f>
        <v>0.11505618365484008</v>
      </c>
      <c r="AA400" cm="1">
        <f t="array" ref="AA400">IFERROR(AVERAGE(_xlfn._xlws.FILTER(U$2:U$1073,($C$2:$C$1073=$C400)*($E$2:$E$1073=$E400)*(ROW(U$2:U$1073)&lt;&gt;ROW(U400))*(U$2:U$1073&lt;&gt;""))),"")</f>
        <v>0.90064525638416104</v>
      </c>
    </row>
    <row r="401" spans="1:27" x14ac:dyDescent="0.2">
      <c r="A401" s="7" t="s">
        <v>2226</v>
      </c>
      <c r="B401" t="str">
        <f t="shared" si="68"/>
        <v>MTLR IV кв. 2010</v>
      </c>
      <c r="C401">
        <v>2010</v>
      </c>
      <c r="D401">
        <f>SUMIFS(Дивиденды!$C:$C,Дивиденды!$A:$A,A401,Дивиденды!$I:$I,C401)</f>
        <v>8.73</v>
      </c>
      <c r="E401">
        <v>3</v>
      </c>
      <c r="F401">
        <f t="shared" si="69"/>
        <v>8.73</v>
      </c>
      <c r="G401">
        <f t="shared" si="70"/>
        <v>2.2060000000000004</v>
      </c>
      <c r="H401">
        <f t="shared" si="71"/>
        <v>1</v>
      </c>
      <c r="I401">
        <f t="shared" si="67"/>
        <v>0.6</v>
      </c>
      <c r="J401" t="str">
        <f t="shared" si="72"/>
        <v/>
      </c>
      <c r="K401" t="str">
        <f t="shared" si="76"/>
        <v/>
      </c>
      <c r="L401" t="str">
        <f t="shared" si="73"/>
        <v/>
      </c>
      <c r="M401" t="str">
        <f t="shared" si="66"/>
        <v/>
      </c>
      <c r="N401" t="str">
        <f t="shared" si="74"/>
        <v/>
      </c>
      <c r="O401" t="str">
        <f t="shared" si="75"/>
        <v/>
      </c>
      <c r="P401" t="str">
        <f>IFERROR(LN('Дивиденды по годам'!I401),"")</f>
        <v/>
      </c>
      <c r="Q401" t="str">
        <f>IFERROR('Дивиденды по годам'!G401/'Дивиденды по годам'!I401, "")</f>
        <v/>
      </c>
      <c r="R401" t="str">
        <f>IFERROR(IF(AND('Дивиденды по годам'!N401&lt;&gt;"",'Дивиденды по годам'!U401&lt;&gt;"",'Дивиденды по годам'!U401&lt;&gt;0),'Дивиденды по годам'!N401/'Дивиденды по годам'!U401-1,""),"")</f>
        <v/>
      </c>
      <c r="S401" t="str">
        <f>IFERROR(IF(AND('Дивиденды по годам'!L401&lt;&gt;"",'Дивиденды по годам'!I401&lt;&gt;"",'Дивиденды по годам'!J401&lt;&gt;"",'Дивиденды по годам'!K401&lt;&gt;"",('Дивиденды по годам'!I401-'Дивиденды по годам'!J401-'Дивиденды по годам'!K401)&lt;&gt;0),'Дивиденды по годам'!L401/('Дивиденды по годам'!I401-'Дивиденды по годам'!J401-'Дивиденды по годам'!K401),""),"")</f>
        <v/>
      </c>
      <c r="T401" t="str">
        <f>IFERROR(IF(AND('Дивиденды по годам'!Q401&lt;&gt;"",'Дивиденды по годам'!I401&lt;&gt;"",'Дивиденды по годам'!V401&lt;&gt;"",('Дивиденды по годам'!I401+'Дивиденды по годам'!V401)&lt;&gt;0),'Дивиденды по годам'!Q401/(('Дивиденды по годам'!I401+'Дивиденды по годам'!V401)/2),""),"")</f>
        <v/>
      </c>
      <c r="U401" t="str">
        <f>IFERROR(IF(AND('Дивиденды по годам'!J401&lt;&gt;"",'Дивиденды по годам'!K401&lt;&gt;"",'Дивиденды по годам'!M401&lt;&gt;"",'Дивиденды по годам'!M401&lt;&gt;0),('Дивиденды по годам'!J401+'Дивиденды по годам'!K401)/'Дивиденды по годам'!M401,""),"")</f>
        <v/>
      </c>
      <c r="V401" cm="1">
        <f t="array" ref="V401">IFERROR(AVERAGE(_xlfn._xlws.FILTER(P$2:P$1073,($C$2:$C$1073=$C401)*($E$2:$E$1073=$E401)*(ROW(P$2:P$1073)&lt;&gt;ROW(P401))*(P$2:P$1073&lt;&gt;""))),"")</f>
        <v>26.127864794831805</v>
      </c>
      <c r="W401" cm="1">
        <f t="array" ref="W401">IFERROR(AVERAGE(_xlfn._xlws.FILTER(Q$2:Q$1073,($C$2:$C$1073=$C401)*($E$2:$E$1073=$E401)*(ROW(Q$2:Q$1073)&lt;&gt;ROW(Q401))*(Q$2:Q$1073&lt;&gt;""))),"")</f>
        <v>0.75539390451698762</v>
      </c>
      <c r="X401" t="str" cm="1">
        <f t="array" ref="X401">IFERROR(AVERAGE(_xlfn._xlws.FILTER(R$2:R$1073,($C$2:$C$1073=$C401)*($E$2:$E$1073=$E401)*(ROW(R$2:R$1073)&lt;&gt;ROW(R401))*(R$2:R$1073&lt;&gt;""))),"")</f>
        <v/>
      </c>
      <c r="Y401" t="str" cm="1">
        <f t="array" ref="Y401">IFERROR(AVERAGE(_xlfn._xlws.FILTER(S$2:S$1073,($C$2:$C$1073=$C401)*($E$2:$E$1073=$E401)*(ROW(S$2:S$1073)&lt;&gt;ROW(S401))*(S$2:S$1073&lt;&gt;""))),"")</f>
        <v/>
      </c>
      <c r="Z401" t="str" cm="1">
        <f t="array" ref="Z401">IFERROR(AVERAGE(_xlfn._xlws.FILTER(T$2:T$1073,($C$2:$C$1073=$C401)*($E$2:$E$1073=$E401)*(ROW(T$2:T$1073)&lt;&gt;ROW(T401))*(T$2:T$1073&lt;&gt;""))),"")</f>
        <v/>
      </c>
      <c r="AA401" cm="1">
        <f t="array" ref="AA401">IFERROR(AVERAGE(_xlfn._xlws.FILTER(U$2:U$1073,($C$2:$C$1073=$C401)*($E$2:$E$1073=$E401)*(ROW(U$2:U$1073)&lt;&gt;ROW(U401))*(U$2:U$1073&lt;&gt;""))),"")</f>
        <v>1.4017600691070078</v>
      </c>
    </row>
    <row r="402" spans="1:27" x14ac:dyDescent="0.2">
      <c r="A402" s="7" t="s">
        <v>2228</v>
      </c>
      <c r="B402" t="str">
        <f t="shared" si="68"/>
        <v>NLMK IV кв. 2025</v>
      </c>
      <c r="C402">
        <v>2025</v>
      </c>
      <c r="D402">
        <f>SUMIFS(Дивиденды!$C:$C,Дивиденды!$A:$A,A402,Дивиденды!$I:$I,C402)</f>
        <v>0</v>
      </c>
      <c r="E402">
        <v>3</v>
      </c>
      <c r="F402">
        <f t="shared" si="69"/>
        <v>0</v>
      </c>
      <c r="G402">
        <f t="shared" si="70"/>
        <v>10.684999999999999</v>
      </c>
      <c r="H402">
        <f t="shared" si="71"/>
        <v>0</v>
      </c>
      <c r="I402">
        <f t="shared" si="67"/>
        <v>0.1</v>
      </c>
      <c r="J402">
        <f t="shared" si="72"/>
        <v>0</v>
      </c>
      <c r="K402">
        <f t="shared" si="76"/>
        <v>-0.44741116251599566</v>
      </c>
      <c r="L402">
        <f t="shared" si="73"/>
        <v>0</v>
      </c>
      <c r="M402">
        <f t="shared" si="66"/>
        <v>0</v>
      </c>
      <c r="N402">
        <f t="shared" si="74"/>
        <v>0</v>
      </c>
      <c r="O402">
        <f t="shared" si="75"/>
        <v>0.5</v>
      </c>
      <c r="P402" t="str">
        <f>IFERROR(LN('Дивиденды по годам'!I402),"")</f>
        <v/>
      </c>
      <c r="Q402" t="str">
        <f>IFERROR('Дивиденды по годам'!G402/'Дивиденды по годам'!I402, "")</f>
        <v/>
      </c>
      <c r="R402" t="str">
        <f>IFERROR(IF(AND('Дивиденды по годам'!N402&lt;&gt;"",'Дивиденды по годам'!U402&lt;&gt;"",'Дивиденды по годам'!U402&lt;&gt;0),'Дивиденды по годам'!N402/'Дивиденды по годам'!U402-1,""),"")</f>
        <v/>
      </c>
      <c r="S402" t="str">
        <f>IFERROR(IF(AND('Дивиденды по годам'!L402&lt;&gt;"",'Дивиденды по годам'!I402&lt;&gt;"",'Дивиденды по годам'!J402&lt;&gt;"",'Дивиденды по годам'!K402&lt;&gt;"",('Дивиденды по годам'!I402-'Дивиденды по годам'!J402-'Дивиденды по годам'!K402)&lt;&gt;0),'Дивиденды по годам'!L402/('Дивиденды по годам'!I402-'Дивиденды по годам'!J402-'Дивиденды по годам'!K402),""),"")</f>
        <v/>
      </c>
      <c r="T402" t="str">
        <f>IFERROR(IF(AND('Дивиденды по годам'!Q402&lt;&gt;"",'Дивиденды по годам'!I402&lt;&gt;"",'Дивиденды по годам'!V402&lt;&gt;"",('Дивиденды по годам'!I402+'Дивиденды по годам'!V402)&lt;&gt;0),'Дивиденды по годам'!Q402/(('Дивиденды по годам'!I402+'Дивиденды по годам'!V402)/2),""),"")</f>
        <v/>
      </c>
      <c r="U402" t="str">
        <f>IFERROR(IF(AND('Дивиденды по годам'!J402&lt;&gt;"",'Дивиденды по годам'!K402&lt;&gt;"",'Дивиденды по годам'!M402&lt;&gt;"",'Дивиденды по годам'!M402&lt;&gt;0),('Дивиденды по годам'!J402+'Дивиденды по годам'!K402)/'Дивиденды по годам'!M402,""),"")</f>
        <v/>
      </c>
      <c r="V402" cm="1">
        <f t="array" ref="V402">IFERROR(AVERAGE(_xlfn._xlws.FILTER(P$2:P$1073,($C$2:$C$1073=$C402)*($E$2:$E$1073=$E402)*(ROW(P$2:P$1073)&lt;&gt;ROW(P402))*(P$2:P$1073&lt;&gt;""))),"")</f>
        <v>27.526016888115407</v>
      </c>
      <c r="W402" cm="1">
        <f t="array" ref="W402">IFERROR(AVERAGE(_xlfn._xlws.FILTER(Q$2:Q$1073,($C$2:$C$1073=$C402)*($E$2:$E$1073=$E402)*(ROW(Q$2:Q$1073)&lt;&gt;ROW(Q402))*(Q$2:Q$1073&lt;&gt;""))),"")</f>
        <v>0.52913138653861203</v>
      </c>
      <c r="X402" cm="1">
        <f t="array" ref="X402">IFERROR(AVERAGE(_xlfn._xlws.FILTER(R$2:R$1073,($C$2:$C$1073=$C402)*($E$2:$E$1073=$E402)*(ROW(R$2:R$1073)&lt;&gt;ROW(R402))*(R$2:R$1073&lt;&gt;""))),"")</f>
        <v>-9.3696736214243112E-2</v>
      </c>
      <c r="Y402" cm="1">
        <f t="array" ref="Y402">IFERROR(AVERAGE(_xlfn._xlws.FILTER(S$2:S$1073,($C$2:$C$1073=$C402)*($E$2:$E$1073=$E402)*(ROW(S$2:S$1073)&lt;&gt;ROW(S402))*(S$2:S$1073&lt;&gt;""))),"")</f>
        <v>0.98692377594794511</v>
      </c>
      <c r="Z402" cm="1">
        <f t="array" ref="Z402">IFERROR(AVERAGE(_xlfn._xlws.FILTER(T$2:T$1073,($C$2:$C$1073=$C402)*($E$2:$E$1073=$E402)*(ROW(T$2:T$1073)&lt;&gt;ROW(T402))*(T$2:T$1073&lt;&gt;""))),"")</f>
        <v>1.506473654039886E-2</v>
      </c>
      <c r="AA402" cm="1">
        <f t="array" ref="AA402">IFERROR(AVERAGE(_xlfn._xlws.FILTER(U$2:U$1073,($C$2:$C$1073=$C402)*($E$2:$E$1073=$E402)*(ROW(U$2:U$1073)&lt;&gt;ROW(U402))*(U$2:U$1073&lt;&gt;""))),"")</f>
        <v>3.186882781387423</v>
      </c>
    </row>
    <row r="403" spans="1:27" x14ac:dyDescent="0.2">
      <c r="A403" s="7" t="s">
        <v>2228</v>
      </c>
      <c r="B403" t="str">
        <f t="shared" si="68"/>
        <v>NLMK IV кв. 2024</v>
      </c>
      <c r="C403">
        <v>2024</v>
      </c>
      <c r="D403">
        <f>SUMIFS(Дивиденды!$C:$C,Дивиденды!$A:$A,A403,Дивиденды!$I:$I,C403)</f>
        <v>0</v>
      </c>
      <c r="E403">
        <v>3</v>
      </c>
      <c r="F403">
        <f t="shared" si="69"/>
        <v>0</v>
      </c>
      <c r="G403">
        <f t="shared" si="70"/>
        <v>33.058</v>
      </c>
      <c r="H403">
        <f t="shared" si="71"/>
        <v>0</v>
      </c>
      <c r="I403">
        <f t="shared" si="67"/>
        <v>0.5</v>
      </c>
      <c r="J403">
        <f t="shared" si="72"/>
        <v>-1</v>
      </c>
      <c r="K403">
        <f t="shared" si="76"/>
        <v>-0.10461447297899458</v>
      </c>
      <c r="L403">
        <f t="shared" si="73"/>
        <v>0</v>
      </c>
      <c r="M403">
        <f t="shared" si="66"/>
        <v>0.1</v>
      </c>
      <c r="N403">
        <f t="shared" si="74"/>
        <v>1</v>
      </c>
      <c r="O403">
        <f t="shared" si="75"/>
        <v>0.4</v>
      </c>
      <c r="P403">
        <f>IFERROR(LN('Дивиденды по годам'!I403),"")</f>
        <v>27.754008363927397</v>
      </c>
      <c r="Q403">
        <f>IFERROR('Дивиденды по годам'!G403/'Дивиденды по годам'!I403, "")</f>
        <v>0.49209192922263389</v>
      </c>
      <c r="R403">
        <f>IFERROR(IF(AND('Дивиденды по годам'!N403&lt;&gt;"",'Дивиденды по годам'!U403&lt;&gt;"",'Дивиденды по годам'!U403&lt;&gt;0),'Дивиденды по годам'!N403/'Дивиденды по годам'!U403-1,""),"")</f>
        <v>4.9449613524241043E-2</v>
      </c>
      <c r="S403">
        <f>IFERROR(IF(AND('Дивиденды по годам'!L403&lt;&gt;"",'Дивиденды по годам'!I403&lt;&gt;"",'Дивиденды по годам'!J403&lt;&gt;"",'Дивиденды по годам'!K403&lt;&gt;"",('Дивиденды по годам'!I403-'Дивиденды по годам'!J403-'Дивиденды по годам'!K403)&lt;&gt;0),'Дивиденды по годам'!L403/('Дивиденды по годам'!I403-'Дивиденды по годам'!J403-'Дивиденды по годам'!K403),""),"")</f>
        <v>0.95073571396176126</v>
      </c>
      <c r="T403">
        <f>IFERROR(IF(AND('Дивиденды по годам'!Q403&lt;&gt;"",'Дивиденды по годам'!I403&lt;&gt;"",'Дивиденды по годам'!V403&lt;&gt;"",('Дивиденды по годам'!I403+'Дивиденды по годам'!V403)&lt;&gt;0),'Дивиденды по годам'!Q403/(('Дивиденды по годам'!I403+'Дивиденды по годам'!V403)/2),""),"")</f>
        <v>0.10809528160374555</v>
      </c>
      <c r="U403">
        <f>IFERROR(IF(AND('Дивиденды по годам'!J403&lt;&gt;"",'Дивиденды по годам'!K403&lt;&gt;"",'Дивиденды по годам'!M403&lt;&gt;"",'Дивиденды по годам'!M403&lt;&gt;0),('Дивиденды по годам'!J403+'Дивиденды по годам'!K403)/'Дивиденды по годам'!M403,""),"")</f>
        <v>0.3150981552784991</v>
      </c>
      <c r="V403" cm="1">
        <f t="array" ref="V403">IFERROR(AVERAGE(_xlfn._xlws.FILTER(P$2:P$1073,($C$2:$C$1073=$C403)*($E$2:$E$1073=$E403)*(ROW(P$2:P$1073)&lt;&gt;ROW(P403))*(P$2:P$1073&lt;&gt;""))),"")</f>
        <v>27.235758248729518</v>
      </c>
      <c r="W403" cm="1">
        <f t="array" ref="W403">IFERROR(AVERAGE(_xlfn._xlws.FILTER(Q$2:Q$1073,($C$2:$C$1073=$C403)*($E$2:$E$1073=$E403)*(ROW(Q$2:Q$1073)&lt;&gt;ROW(Q403))*(Q$2:Q$1073&lt;&gt;""))),"")</f>
        <v>0.47894368824245381</v>
      </c>
      <c r="X403" cm="1">
        <f t="array" ref="X403">IFERROR(AVERAGE(_xlfn._xlws.FILTER(R$2:R$1073,($C$2:$C$1073=$C403)*($E$2:$E$1073=$E403)*(ROW(R$2:R$1073)&lt;&gt;ROW(R403))*(R$2:R$1073&lt;&gt;""))),"")</f>
        <v>2.2866148488866901E-2</v>
      </c>
      <c r="Y403" cm="1">
        <f t="array" ref="Y403">IFERROR(AVERAGE(_xlfn._xlws.FILTER(S$2:S$1073,($C$2:$C$1073=$C403)*($E$2:$E$1073=$E403)*(ROW(S$2:S$1073)&lt;&gt;ROW(S403))*(S$2:S$1073&lt;&gt;""))),"")</f>
        <v>1.1948131863051918</v>
      </c>
      <c r="Z403" cm="1">
        <f t="array" ref="Z403">IFERROR(AVERAGE(_xlfn._xlws.FILTER(T$2:T$1073,($C$2:$C$1073=$C403)*($E$2:$E$1073=$E403)*(ROW(T$2:T$1073)&lt;&gt;ROW(T403))*(T$2:T$1073&lt;&gt;""))),"")</f>
        <v>3.9266222849469422E-2</v>
      </c>
      <c r="AA403" cm="1">
        <f t="array" ref="AA403">IFERROR(AVERAGE(_xlfn._xlws.FILTER(U$2:U$1073,($C$2:$C$1073=$C403)*($E$2:$E$1073=$E403)*(ROW(U$2:U$1073)&lt;&gt;ROW(U403))*(U$2:U$1073&lt;&gt;""))),"")</f>
        <v>2.7897098005493652</v>
      </c>
    </row>
    <row r="404" spans="1:27" x14ac:dyDescent="0.2">
      <c r="A404" s="7" t="s">
        <v>2228</v>
      </c>
      <c r="B404" t="str">
        <f t="shared" si="68"/>
        <v>NLMK IV кв. 2023</v>
      </c>
      <c r="C404">
        <v>2023</v>
      </c>
      <c r="D404">
        <f>SUMIFS(Дивиденды!$C:$C,Дивиденды!$A:$A,A404,Дивиденды!$I:$I,C404)</f>
        <v>25.43</v>
      </c>
      <c r="E404">
        <v>3</v>
      </c>
      <c r="F404">
        <f t="shared" si="69"/>
        <v>25.43</v>
      </c>
      <c r="G404">
        <f t="shared" si="70"/>
        <v>22.701000000000001</v>
      </c>
      <c r="H404">
        <f t="shared" si="71"/>
        <v>1</v>
      </c>
      <c r="I404">
        <f t="shared" si="67"/>
        <v>0.5</v>
      </c>
      <c r="J404">
        <f t="shared" si="72"/>
        <v>1</v>
      </c>
      <c r="K404">
        <f t="shared" si="76"/>
        <v>0.33287037037037037</v>
      </c>
      <c r="L404">
        <f t="shared" si="73"/>
        <v>1</v>
      </c>
      <c r="M404">
        <f t="shared" si="66"/>
        <v>0.5</v>
      </c>
      <c r="N404">
        <f t="shared" si="74"/>
        <v>0</v>
      </c>
      <c r="O404">
        <f t="shared" si="75"/>
        <v>0.1</v>
      </c>
      <c r="P404">
        <f>IFERROR(LN('Дивиденды по годам'!I404),"")</f>
        <v>27.747694202485942</v>
      </c>
      <c r="Q404">
        <f>IFERROR('Дивиденды по годам'!G404/'Дивиденды по годам'!I404, "")</f>
        <v>0.43182570531576364</v>
      </c>
      <c r="R404">
        <f>IFERROR(IF(AND('Дивиденды по годам'!N404&lt;&gt;"",'Дивиденды по годам'!U404&lt;&gt;"",'Дивиденды по годам'!U404&lt;&gt;0),'Дивиденды по годам'!N404/'Дивиденды по годам'!U404-1,""),"")</f>
        <v>3.6202450425888433E-2</v>
      </c>
      <c r="S404">
        <f>IFERROR(IF(AND('Дивиденды по годам'!L404&lt;&gt;"",'Дивиденды по годам'!I404&lt;&gt;"",'Дивиденды по годам'!J404&lt;&gt;"",'Дивиденды по годам'!K404&lt;&gt;"",('Дивиденды по годам'!I404-'Дивиденды по годам'!J404-'Дивиденды по годам'!K404)&lt;&gt;0),'Дивиденды по годам'!L404/('Дивиденды по годам'!I404-'Дивиденды по годам'!J404-'Дивиденды по годам'!K404),""),"")</f>
        <v>0.98186025566968305</v>
      </c>
      <c r="T404">
        <f>IFERROR(IF(AND('Дивиденды по годам'!Q404&lt;&gt;"",'Дивиденды по годам'!I404&lt;&gt;"",'Дивиденды по годам'!V404&lt;&gt;"",('Дивиденды по годам'!I404+'Дивиденды по годам'!V404)&lt;&gt;0),'Дивиденды по годам'!Q404/(('Дивиденды по годам'!I404+'Дивиденды по годам'!V404)/2),""),"")</f>
        <v>0.20186892639897105</v>
      </c>
      <c r="U404">
        <f>IFERROR(IF(AND('Дивиденды по годам'!J404&lt;&gt;"",'Дивиденды по годам'!K404&lt;&gt;"",'Дивиденды по годам'!M404&lt;&gt;"",'Дивиденды по годам'!M404&lt;&gt;0),('Дивиденды по годам'!J404+'Дивиденды по годам'!K404)/'Дивиденды по годам'!M404,""),"")</f>
        <v>0.3008662393543316</v>
      </c>
      <c r="V404" cm="1">
        <f t="array" ref="V404">IFERROR(AVERAGE(_xlfn._xlws.FILTER(P$2:P$1073,($C$2:$C$1073=$C404)*($E$2:$E$1073=$E404)*(ROW(P$2:P$1073)&lt;&gt;ROW(P404))*(P$2:P$1073&lt;&gt;""))),"")</f>
        <v>27.15716622140361</v>
      </c>
      <c r="W404" cm="1">
        <f t="array" ref="W404">IFERROR(AVERAGE(_xlfn._xlws.FILTER(Q$2:Q$1073,($C$2:$C$1073=$C404)*($E$2:$E$1073=$E404)*(ROW(Q$2:Q$1073)&lt;&gt;ROW(Q404))*(Q$2:Q$1073&lt;&gt;""))),"")</f>
        <v>0.45817154779838748</v>
      </c>
      <c r="X404" cm="1">
        <f t="array" ref="X404">IFERROR(AVERAGE(_xlfn._xlws.FILTER(R$2:R$1073,($C$2:$C$1073=$C404)*($E$2:$E$1073=$E404)*(ROW(R$2:R$1073)&lt;&gt;ROW(R404))*(R$2:R$1073&lt;&gt;""))),"")</f>
        <v>0.14030274899316311</v>
      </c>
      <c r="Y404" cm="1">
        <f t="array" ref="Y404">IFERROR(AVERAGE(_xlfn._xlws.FILTER(S$2:S$1073,($C$2:$C$1073=$C404)*($E$2:$E$1073=$E404)*(ROW(S$2:S$1073)&lt;&gt;ROW(S404))*(S$2:S$1073&lt;&gt;""))),"")</f>
        <v>5.024766837572793E-2</v>
      </c>
      <c r="Z404" cm="1">
        <f t="array" ref="Z404">IFERROR(AVERAGE(_xlfn._xlws.FILTER(T$2:T$1073,($C$2:$C$1073=$C404)*($E$2:$E$1073=$E404)*(ROW(T$2:T$1073)&lt;&gt;ROW(T404))*(T$2:T$1073&lt;&gt;""))),"")</f>
        <v>0.1100514318468188</v>
      </c>
      <c r="AA404" cm="1">
        <f t="array" ref="AA404">IFERROR(AVERAGE(_xlfn._xlws.FILTER(U$2:U$1073,($C$2:$C$1073=$C404)*($E$2:$E$1073=$E404)*(ROW(U$2:U$1073)&lt;&gt;ROW(U404))*(U$2:U$1073&lt;&gt;""))),"")</f>
        <v>-0.64329664954988641</v>
      </c>
    </row>
    <row r="405" spans="1:27" x14ac:dyDescent="0.2">
      <c r="A405" s="7" t="s">
        <v>2228</v>
      </c>
      <c r="B405" t="str">
        <f t="shared" si="68"/>
        <v>NLMK IV кв. 2022</v>
      </c>
      <c r="C405">
        <v>2022</v>
      </c>
      <c r="D405">
        <f>SUMIFS(Дивиденды!$C:$C,Дивиденды!$A:$A,A405,Дивиденды!$I:$I,C405)</f>
        <v>0</v>
      </c>
      <c r="E405">
        <v>3</v>
      </c>
      <c r="F405">
        <f t="shared" si="69"/>
        <v>0</v>
      </c>
      <c r="G405">
        <f t="shared" si="70"/>
        <v>1.73</v>
      </c>
      <c r="H405">
        <f t="shared" si="71"/>
        <v>0</v>
      </c>
      <c r="I405">
        <f t="shared" si="67"/>
        <v>0.2</v>
      </c>
      <c r="J405">
        <f t="shared" si="72"/>
        <v>-1</v>
      </c>
      <c r="K405">
        <f t="shared" si="76"/>
        <v>-0.50242800677583288</v>
      </c>
      <c r="L405">
        <f t="shared" si="73"/>
        <v>0</v>
      </c>
      <c r="M405">
        <f t="shared" si="66"/>
        <v>0.1</v>
      </c>
      <c r="N405">
        <f t="shared" si="74"/>
        <v>1</v>
      </c>
      <c r="O405">
        <f t="shared" si="75"/>
        <v>0.7</v>
      </c>
      <c r="P405">
        <f>IFERROR(LN('Дивиденды по годам'!I405),"")</f>
        <v>27.580352889303327</v>
      </c>
      <c r="Q405">
        <f>IFERROR('Дивиденды по годам'!G405/'Дивиденды по годам'!I405, "")</f>
        <v>0.50140017715239105</v>
      </c>
      <c r="R405">
        <f>IFERROR(IF(AND('Дивиденды по годам'!N405&lt;&gt;"",'Дивиденды по годам'!U405&lt;&gt;"",'Дивиденды по годам'!U405&lt;&gt;0),'Дивиденды по годам'!N405/'Дивиденды по годам'!U405-1,""),"")</f>
        <v>-0.24609292361462121</v>
      </c>
      <c r="S405">
        <f>IFERROR(IF(AND('Дивиденды по годам'!L405&lt;&gt;"",'Дивиденды по годам'!I405&lt;&gt;"",'Дивиденды по годам'!J405&lt;&gt;"",'Дивиденды по годам'!K405&lt;&gt;"",('Дивиденды по годам'!I405-'Дивиденды по годам'!J405-'Дивиденды по годам'!K405)&lt;&gt;0),'Дивиденды по годам'!L405/('Дивиденды по годам'!I405-'Дивиденды по годам'!J405-'Дивиденды по годам'!K405),""),"")</f>
        <v>1.0202942045064531</v>
      </c>
      <c r="T405">
        <f>IFERROR(IF(AND('Дивиденды по годам'!Q405&lt;&gt;"",'Дивиденды по годам'!I405&lt;&gt;"",'Дивиденды по годам'!V405&lt;&gt;"",('Дивиденды по годам'!I405+'Дивиденды по годам'!V405)&lt;&gt;0),'Дивиденды по годам'!Q405/(('Дивиденды по годам'!I405+'Дивиденды по годам'!V405)/2),""),"")</f>
        <v>0.1801522623961441</v>
      </c>
      <c r="U405">
        <f>IFERROR(IF(AND('Дивиденды по годам'!J405&lt;&gt;"",'Дивиденды по годам'!K405&lt;&gt;"",'Дивиденды по годам'!M405&lt;&gt;"",'Дивиденды по годам'!M405&lt;&gt;0),('Дивиденды по годам'!J405+'Дивиденды по годам'!K405)/'Дивиденды по годам'!M405,""),"")</f>
        <v>0.51746629738121275</v>
      </c>
      <c r="V405" cm="1">
        <f t="array" ref="V405">IFERROR(AVERAGE(_xlfn._xlws.FILTER(P$2:P$1073,($C$2:$C$1073=$C405)*($E$2:$E$1073=$E405)*(ROW(P$2:P$1073)&lt;&gt;ROW(P405))*(P$2:P$1073&lt;&gt;""))),"")</f>
        <v>27.033081429747405</v>
      </c>
      <c r="W405" cm="1">
        <f t="array" ref="W405">IFERROR(AVERAGE(_xlfn._xlws.FILTER(Q$2:Q$1073,($C$2:$C$1073=$C405)*($E$2:$E$1073=$E405)*(ROW(Q$2:Q$1073)&lt;&gt;ROW(Q405))*(Q$2:Q$1073&lt;&gt;""))),"")</f>
        <v>0.46882495227665533</v>
      </c>
      <c r="X405" cm="1">
        <f t="array" ref="X405">IFERROR(AVERAGE(_xlfn._xlws.FILTER(R$2:R$1073,($C$2:$C$1073=$C405)*($E$2:$E$1073=$E405)*(ROW(R$2:R$1073)&lt;&gt;ROW(R405))*(R$2:R$1073&lt;&gt;""))),"")</f>
        <v>7.4821890029895814E-4</v>
      </c>
      <c r="Y405" cm="1">
        <f t="array" ref="Y405">IFERROR(AVERAGE(_xlfn._xlws.FILTER(S$2:S$1073,($C$2:$C$1073=$C405)*($E$2:$E$1073=$E405)*(ROW(S$2:S$1073)&lt;&gt;ROW(S405))*(S$2:S$1073&lt;&gt;""))),"")</f>
        <v>0.83496902318703936</v>
      </c>
      <c r="Z405" cm="1">
        <f t="array" ref="Z405">IFERROR(AVERAGE(_xlfn._xlws.FILTER(T$2:T$1073,($C$2:$C$1073=$C405)*($E$2:$E$1073=$E405)*(ROW(T$2:T$1073)&lt;&gt;ROW(T405))*(T$2:T$1073&lt;&gt;""))),"")</f>
        <v>0.15652146167569353</v>
      </c>
      <c r="AA405" cm="1">
        <f t="array" ref="AA405">IFERROR(AVERAGE(_xlfn._xlws.FILTER(U$2:U$1073,($C$2:$C$1073=$C405)*($E$2:$E$1073=$E405)*(ROW(U$2:U$1073)&lt;&gt;ROW(U405))*(U$2:U$1073&lt;&gt;""))),"")</f>
        <v>1.2169462726559956</v>
      </c>
    </row>
    <row r="406" spans="1:27" x14ac:dyDescent="0.2">
      <c r="A406" s="7" t="s">
        <v>2228</v>
      </c>
      <c r="B406" t="str">
        <f t="shared" si="68"/>
        <v>NLMK IV кв. 2021</v>
      </c>
      <c r="C406">
        <v>2021</v>
      </c>
      <c r="D406">
        <f>SUMIFS(Дивиденды!$C:$C,Дивиденды!$A:$A,A406,Дивиденды!$I:$I,C406)</f>
        <v>34.659999999999997</v>
      </c>
      <c r="E406">
        <v>3</v>
      </c>
      <c r="F406">
        <f t="shared" si="69"/>
        <v>34.659999999999997</v>
      </c>
      <c r="G406">
        <f t="shared" si="70"/>
        <v>33.388999999999996</v>
      </c>
      <c r="H406">
        <f t="shared" si="71"/>
        <v>1</v>
      </c>
      <c r="I406">
        <f t="shared" si="67"/>
        <v>0.7</v>
      </c>
      <c r="J406">
        <f t="shared" si="72"/>
        <v>0.60166358595194069</v>
      </c>
      <c r="K406">
        <f t="shared" si="76"/>
        <v>0.67052996797560249</v>
      </c>
      <c r="L406">
        <f t="shared" si="73"/>
        <v>1</v>
      </c>
      <c r="M406">
        <f t="shared" si="66"/>
        <v>0.4</v>
      </c>
      <c r="N406">
        <f t="shared" si="74"/>
        <v>0</v>
      </c>
      <c r="O406">
        <f t="shared" si="75"/>
        <v>0.2</v>
      </c>
      <c r="P406">
        <f>IFERROR(LN('Дивиденды по годам'!I406),"")</f>
        <v>27.522530598131667</v>
      </c>
      <c r="Q406">
        <f>IFERROR('Дивиденды по годам'!G406/'Дивиденды по годам'!I406, "")</f>
        <v>0.50851081325548886</v>
      </c>
      <c r="R406">
        <f>IFERROR(IF(AND('Дивиденды по годам'!N406&lt;&gt;"",'Дивиденды по годам'!U406&lt;&gt;"",'Дивиденды по годам'!U406&lt;&gt;0),'Дивиденды по годам'!N406/'Дивиденды по годам'!U406-1,""),"")</f>
        <v>0.78769111986397822</v>
      </c>
      <c r="S406">
        <f>IFERROR(IF(AND('Дивиденды по годам'!L406&lt;&gt;"",'Дивиденды по годам'!I406&lt;&gt;"",'Дивиденды по годам'!J406&lt;&gt;"",'Дивиденды по годам'!K406&lt;&gt;"",('Дивиденды по годам'!I406-'Дивиденды по годам'!J406-'Дивиденды по годам'!K406)&lt;&gt;0),'Дивиденды по годам'!L406/('Дивиденды по годам'!I406-'Дивиденды по годам'!J406-'Дивиденды по годам'!K406),""),"")</f>
        <v>2.0619372865569701</v>
      </c>
      <c r="T406">
        <f>IFERROR(IF(AND('Дивиденды по годам'!Q406&lt;&gt;"",'Дивиденды по годам'!I406&lt;&gt;"",'Дивиденды по годам'!V406&lt;&gt;"",('Дивиденды по годам'!I406+'Дивиденды по годам'!V406)&lt;&gt;0),'Дивиденды по годам'!Q406/(('Дивиденды по годам'!I406+'Дивиденды по годам'!V406)/2),""),"")</f>
        <v>0.46313083632378721</v>
      </c>
      <c r="U406">
        <f>IFERROR(IF(AND('Дивиденды по годам'!J406&lt;&gt;"",'Дивиденды по годам'!K406&lt;&gt;"",'Дивиденды по годам'!M406&lt;&gt;"",'Дивиденды по годам'!M406&lt;&gt;0),('Дивиденды по годам'!J406+'Дивиденды по годам'!K406)/'Дивиденды по годам'!M406,""),"")</f>
        <v>0.88776777398323492</v>
      </c>
      <c r="V406" cm="1">
        <f t="array" ref="V406">IFERROR(AVERAGE(_xlfn._xlws.FILTER(P$2:P$1073,($C$2:$C$1073=$C406)*($E$2:$E$1073=$E406)*(ROW(P$2:P$1073)&lt;&gt;ROW(P406))*(P$2:P$1073&lt;&gt;""))),"")</f>
        <v>26.931043142378805</v>
      </c>
      <c r="W406" cm="1">
        <f t="array" ref="W406">IFERROR(AVERAGE(_xlfn._xlws.FILTER(Q$2:Q$1073,($C$2:$C$1073=$C406)*($E$2:$E$1073=$E406)*(ROW(Q$2:Q$1073)&lt;&gt;ROW(Q406))*(Q$2:Q$1073&lt;&gt;""))),"")</f>
        <v>0.48562025177433954</v>
      </c>
      <c r="X406" cm="1">
        <f t="array" ref="X406">IFERROR(AVERAGE(_xlfn._xlws.FILTER(R$2:R$1073,($C$2:$C$1073=$C406)*($E$2:$E$1073=$E406)*(ROW(R$2:R$1073)&lt;&gt;ROW(R406))*(R$2:R$1073&lt;&gt;""))),"")</f>
        <v>0.6726622064169413</v>
      </c>
      <c r="Y406" cm="1">
        <f t="array" ref="Y406">IFERROR(AVERAGE(_xlfn._xlws.FILTER(S$2:S$1073,($C$2:$C$1073=$C406)*($E$2:$E$1073=$E406)*(ROW(S$2:S$1073)&lt;&gt;ROW(S406))*(S$2:S$1073&lt;&gt;""))),"")</f>
        <v>0.93275356409055799</v>
      </c>
      <c r="Z406" cm="1">
        <f t="array" ref="Z406">IFERROR(AVERAGE(_xlfn._xlws.FILTER(T$2:T$1073,($C$2:$C$1073=$C406)*($E$2:$E$1073=$E406)*(ROW(T$2:T$1073)&lt;&gt;ROW(T406))*(T$2:T$1073&lt;&gt;""))),"")</f>
        <v>0.26978020767652267</v>
      </c>
      <c r="AA406" cm="1">
        <f t="array" ref="AA406">IFERROR(AVERAGE(_xlfn._xlws.FILTER(U$2:U$1073,($C$2:$C$1073=$C406)*($E$2:$E$1073=$E406)*(ROW(U$2:U$1073)&lt;&gt;ROW(U406))*(U$2:U$1073&lt;&gt;""))),"")</f>
        <v>2.1641994509508171</v>
      </c>
    </row>
    <row r="407" spans="1:27" x14ac:dyDescent="0.2">
      <c r="A407" s="7" t="s">
        <v>2228</v>
      </c>
      <c r="B407" t="str">
        <f t="shared" si="68"/>
        <v>NLMK IV кв. 2020</v>
      </c>
      <c r="C407">
        <v>2020</v>
      </c>
      <c r="D407">
        <f>SUMIFS(Дивиденды!$C:$C,Дивиденды!$A:$A,A407,Дивиденды!$I:$I,C407)</f>
        <v>21.64</v>
      </c>
      <c r="E407">
        <v>3</v>
      </c>
      <c r="F407">
        <f t="shared" si="69"/>
        <v>21.64</v>
      </c>
      <c r="G407">
        <f t="shared" si="70"/>
        <v>21.82</v>
      </c>
      <c r="H407">
        <f t="shared" si="71"/>
        <v>1</v>
      </c>
      <c r="I407">
        <f t="shared" si="67"/>
        <v>0.7</v>
      </c>
      <c r="J407">
        <f t="shared" si="72"/>
        <v>0.24654377880184339</v>
      </c>
      <c r="K407">
        <f t="shared" si="76"/>
        <v>0.63472517082980018</v>
      </c>
      <c r="L407">
        <f t="shared" si="73"/>
        <v>1</v>
      </c>
      <c r="M407">
        <f t="shared" si="66"/>
        <v>0.6</v>
      </c>
      <c r="N407">
        <f t="shared" si="74"/>
        <v>0</v>
      </c>
      <c r="O407">
        <f t="shared" si="75"/>
        <v>0.1</v>
      </c>
      <c r="P407">
        <f>IFERROR(LN('Дивиденды по годам'!I407),"")</f>
        <v>27.29274199919147</v>
      </c>
      <c r="Q407">
        <f>IFERROR('Дивиденды по годам'!G407/'Дивиденды по годам'!I407, "")</f>
        <v>0.57381869803285335</v>
      </c>
      <c r="R407">
        <f>IFERROR(IF(AND('Дивиденды по годам'!N407&lt;&gt;"",'Дивиденды по годам'!U407&lt;&gt;"",'Дивиденды по годам'!U407&lt;&gt;0),'Дивиденды по годам'!N407/'Дивиденды по годам'!U407-1,""),"")</f>
        <v>-2.1003798597783008E-2</v>
      </c>
      <c r="S407">
        <f>IFERROR(IF(AND('Дивиденды по годам'!L407&lt;&gt;"",'Дивиденды по годам'!I407&lt;&gt;"",'Дивиденды по годам'!J407&lt;&gt;"",'Дивиденды по годам'!K407&lt;&gt;"",('Дивиденды по годам'!I407-'Дивиденды по годам'!J407-'Дивиденды по годам'!K407)&lt;&gt;0),'Дивиденды по годам'!L407/('Дивиденды по годам'!I407-'Дивиденды по годам'!J407-'Дивиденды по годам'!K407),""),"")</f>
        <v>2.4553891584054002</v>
      </c>
      <c r="T407">
        <f>IFERROR(IF(AND('Дивиденды по годам'!Q407&lt;&gt;"",'Дивиденды по годам'!I407&lt;&gt;"",'Дивиденды по годам'!V407&lt;&gt;"",('Дивиденды по годам'!I407+'Дивиденды по годам'!V407)&lt;&gt;0),'Дивиденды по годам'!Q407/(('Дивиденды по годам'!I407+'Дивиденды по годам'!V407)/2),""),"")</f>
        <v>0.12856815198197014</v>
      </c>
      <c r="U407">
        <f>IFERROR(IF(AND('Дивиденды по годам'!J407&lt;&gt;"",'Дивиденды по годам'!K407&lt;&gt;"",'Дивиденды по годам'!M407&lt;&gt;"",'Дивиденды по годам'!M407&lt;&gt;0),('Дивиденды по годам'!J407+'Дивиденды по годам'!K407)/'Дивиденды по годам'!M407,""),"")</f>
        <v>1.08015186669479</v>
      </c>
      <c r="V407" cm="1">
        <f t="array" ref="V407">IFERROR(AVERAGE(_xlfn._xlws.FILTER(P$2:P$1073,($C$2:$C$1073=$C407)*($E$2:$E$1073=$E407)*(ROW(P$2:P$1073)&lt;&gt;ROW(P407))*(P$2:P$1073&lt;&gt;""))),"")</f>
        <v>26.771266812503779</v>
      </c>
      <c r="W407" cm="1">
        <f t="array" ref="W407">IFERROR(AVERAGE(_xlfn._xlws.FILTER(Q$2:Q$1073,($C$2:$C$1073=$C407)*($E$2:$E$1073=$E407)*(ROW(Q$2:Q$1073)&lt;&gt;ROW(Q407))*(Q$2:Q$1073&lt;&gt;""))),"")</f>
        <v>0.49934570984968374</v>
      </c>
      <c r="X407" cm="1">
        <f t="array" ref="X407">IFERROR(AVERAGE(_xlfn._xlws.FILTER(R$2:R$1073,($C$2:$C$1073=$C407)*($E$2:$E$1073=$E407)*(ROW(R$2:R$1073)&lt;&gt;ROW(R407))*(R$2:R$1073&lt;&gt;""))),"")</f>
        <v>3.2051848300112193E-2</v>
      </c>
      <c r="Y407" cm="1">
        <f t="array" ref="Y407">IFERROR(AVERAGE(_xlfn._xlws.FILTER(S$2:S$1073,($C$2:$C$1073=$C407)*($E$2:$E$1073=$E407)*(ROW(S$2:S$1073)&lt;&gt;ROW(S407))*(S$2:S$1073&lt;&gt;""))),"")</f>
        <v>0.8995613637049692</v>
      </c>
      <c r="Z407" cm="1">
        <f t="array" ref="Z407">IFERROR(AVERAGE(_xlfn._xlws.FILTER(T$2:T$1073,($C$2:$C$1073=$C407)*($E$2:$E$1073=$E407)*(ROW(T$2:T$1073)&lt;&gt;ROW(T407))*(T$2:T$1073&lt;&gt;""))),"")</f>
        <v>9.0871876308602537E-2</v>
      </c>
      <c r="AA407" cm="1">
        <f t="array" ref="AA407">IFERROR(AVERAGE(_xlfn._xlws.FILTER(U$2:U$1073,($C$2:$C$1073=$C407)*($E$2:$E$1073=$E407)*(ROW(U$2:U$1073)&lt;&gt;ROW(U407))*(U$2:U$1073&lt;&gt;""))),"")</f>
        <v>1.7168062704216329</v>
      </c>
    </row>
    <row r="408" spans="1:27" x14ac:dyDescent="0.2">
      <c r="A408" s="7" t="s">
        <v>2228</v>
      </c>
      <c r="B408" t="str">
        <f t="shared" si="68"/>
        <v>NLMK IV кв. 2019</v>
      </c>
      <c r="C408">
        <v>2019</v>
      </c>
      <c r="D408">
        <f>SUMIFS(Дивиденды!$C:$C,Дивиденды!$A:$A,A408,Дивиденды!$I:$I,C408)</f>
        <v>17.36</v>
      </c>
      <c r="E408">
        <v>3</v>
      </c>
      <c r="F408">
        <f t="shared" si="69"/>
        <v>17.36</v>
      </c>
      <c r="G408">
        <f t="shared" si="70"/>
        <v>17.855000000000004</v>
      </c>
      <c r="H408">
        <f t="shared" si="71"/>
        <v>1</v>
      </c>
      <c r="I408">
        <f t="shared" si="67"/>
        <v>0.7</v>
      </c>
      <c r="J408">
        <f t="shared" si="72"/>
        <v>-0.23893029373081992</v>
      </c>
      <c r="K408">
        <f t="shared" si="76"/>
        <v>0.27549962503328318</v>
      </c>
      <c r="L408">
        <f t="shared" si="73"/>
        <v>0</v>
      </c>
      <c r="M408">
        <f t="shared" si="66"/>
        <v>0.4</v>
      </c>
      <c r="N408">
        <f t="shared" si="74"/>
        <v>1</v>
      </c>
      <c r="O408">
        <f t="shared" si="75"/>
        <v>0.3</v>
      </c>
      <c r="P408">
        <f>IFERROR(LN('Дивиденды по годам'!I408),"")</f>
        <v>27.242708743244915</v>
      </c>
      <c r="Q408">
        <f>IFERROR('Дивиденды по годам'!G408/'Дивиденды по годам'!I408, "")</f>
        <v>0.57602060282334988</v>
      </c>
      <c r="R408">
        <f>IFERROR(IF(AND('Дивиденды по годам'!N408&lt;&gt;"",'Дивиденды по годам'!U408&lt;&gt;"",'Дивиденды по годам'!U408&lt;&gt;0),'Дивиденды по годам'!N408/'Дивиденды по годам'!U408-1,""),"")</f>
        <v>-9.8495271790381422E-2</v>
      </c>
      <c r="S408">
        <f>IFERROR(IF(AND('Дивиденды по годам'!L408&lt;&gt;"",'Дивиденды по годам'!I408&lt;&gt;"",'Дивиденды по годам'!J408&lt;&gt;"",'Дивиденды по годам'!K408&lt;&gt;"",('Дивиденды по годам'!I408-'Дивиденды по годам'!J408-'Дивиденды по годам'!K408)&lt;&gt;0),'Дивиденды по годам'!L408/('Дивиденды по годам'!I408-'Дивиденды по годам'!J408-'Дивиденды по годам'!K408),""),"")</f>
        <v>1.9909197914915082</v>
      </c>
      <c r="T408">
        <f>IFERROR(IF(AND('Дивиденды по годам'!Q408&lt;&gt;"",'Дивиденды по годам'!I408&lt;&gt;"",'Дивиденды по годам'!V408&lt;&gt;"",('Дивиденды по годам'!I408+'Дивиденды по годам'!V408)&lt;&gt;0),'Дивиденды по годам'!Q408/(('Дивиденды по годам'!I408+'Дивиденды по годам'!V408)/2),""),"")</f>
        <v>0.13311341796971865</v>
      </c>
      <c r="U408">
        <f>IFERROR(IF(AND('Дивиденды по годам'!J408&lt;&gt;"",'Дивиденды по годам'!K408&lt;&gt;"",'Дивиденды по годам'!M408&lt;&gt;"",'Дивиденды по годам'!M408&lt;&gt;0),('Дивиденды по годам'!J408+'Дивиденды по годам'!K408)/'Дивиденды по годам'!M408,""),"")</f>
        <v>0.7629056667227172</v>
      </c>
      <c r="V408" cm="1">
        <f t="array" ref="V408">IFERROR(AVERAGE(_xlfn._xlws.FILTER(P$2:P$1073,($C$2:$C$1073=$C408)*($E$2:$E$1073=$E408)*(ROW(P$2:P$1073)&lt;&gt;ROW(P408))*(P$2:P$1073&lt;&gt;""))),"")</f>
        <v>26.661358230632182</v>
      </c>
      <c r="W408" cm="1">
        <f t="array" ref="W408">IFERROR(AVERAGE(_xlfn._xlws.FILTER(Q$2:Q$1073,($C$2:$C$1073=$C408)*($E$2:$E$1073=$E408)*(ROW(Q$2:Q$1073)&lt;&gt;ROW(Q408))*(Q$2:Q$1073&lt;&gt;""))),"")</f>
        <v>0.49318707691201435</v>
      </c>
      <c r="X408" cm="1">
        <f t="array" ref="X408">IFERROR(AVERAGE(_xlfn._xlws.FILTER(R$2:R$1073,($C$2:$C$1073=$C408)*($E$2:$E$1073=$E408)*(ROW(R$2:R$1073)&lt;&gt;ROW(R408))*(R$2:R$1073&lt;&gt;""))),"")</f>
        <v>5.2608091446217073E-2</v>
      </c>
      <c r="Y408" cm="1">
        <f t="array" ref="Y408">IFERROR(AVERAGE(_xlfn._xlws.FILTER(S$2:S$1073,($C$2:$C$1073=$C408)*($E$2:$E$1073=$E408)*(ROW(S$2:S$1073)&lt;&gt;ROW(S408))*(S$2:S$1073&lt;&gt;""))),"")</f>
        <v>0.79990684013373925</v>
      </c>
      <c r="Z408" cm="1">
        <f t="array" ref="Z408">IFERROR(AVERAGE(_xlfn._xlws.FILTER(T$2:T$1073,($C$2:$C$1073=$C408)*($E$2:$E$1073=$E408)*(ROW(T$2:T$1073)&lt;&gt;ROW(T408))*(T$2:T$1073&lt;&gt;""))),"")</f>
        <v>0.13849038305745695</v>
      </c>
      <c r="AA408" cm="1">
        <f t="array" ref="AA408">IFERROR(AVERAGE(_xlfn._xlws.FILTER(U$2:U$1073,($C$2:$C$1073=$C408)*($E$2:$E$1073=$E408)*(ROW(U$2:U$1073)&lt;&gt;ROW(U408))*(U$2:U$1073&lt;&gt;""))),"")</f>
        <v>1.6386147663391601</v>
      </c>
    </row>
    <row r="409" spans="1:27" x14ac:dyDescent="0.2">
      <c r="A409" s="7" t="s">
        <v>2228</v>
      </c>
      <c r="B409" t="str">
        <f t="shared" si="68"/>
        <v>NLMK IV кв. 2018</v>
      </c>
      <c r="C409">
        <v>2018</v>
      </c>
      <c r="D409">
        <f>SUMIFS(Дивиденды!$C:$C,Дивиденды!$A:$A,A409,Дивиденды!$I:$I,C409)</f>
        <v>22.810000000000002</v>
      </c>
      <c r="E409">
        <v>3</v>
      </c>
      <c r="F409">
        <f t="shared" si="69"/>
        <v>22.810000000000002</v>
      </c>
      <c r="G409">
        <f t="shared" si="70"/>
        <v>20.413999999999994</v>
      </c>
      <c r="H409">
        <f t="shared" si="71"/>
        <v>1</v>
      </c>
      <c r="I409">
        <f t="shared" si="67"/>
        <v>0.4</v>
      </c>
      <c r="J409">
        <f t="shared" si="72"/>
        <v>0.62464387464387494</v>
      </c>
      <c r="K409">
        <f t="shared" si="76"/>
        <v>5.839248077166781E-2</v>
      </c>
      <c r="L409">
        <f t="shared" si="73"/>
        <v>1</v>
      </c>
      <c r="M409">
        <f t="shared" si="66"/>
        <v>0.4</v>
      </c>
      <c r="N409">
        <f t="shared" si="74"/>
        <v>0</v>
      </c>
      <c r="O409">
        <f t="shared" si="75"/>
        <v>0.2</v>
      </c>
      <c r="P409">
        <f>IFERROR(LN('Дивиденды по годам'!I409),"")</f>
        <v>27.161290083881763</v>
      </c>
      <c r="Q409">
        <f>IFERROR('Дивиденды по годам'!G409/'Дивиденды по годам'!I409, "")</f>
        <v>0.48250201126307318</v>
      </c>
      <c r="R409">
        <f>IFERROR(IF(AND('Дивиденды по годам'!N409&lt;&gt;"",'Дивиденды по годам'!U409&lt;&gt;"",'Дивиденды по годам'!U409&lt;&gt;0),'Дивиденды по годам'!N409/'Дивиденды по годам'!U409-1,""),"")</f>
        <v>0.29033387755255746</v>
      </c>
      <c r="S409">
        <f>IFERROR(IF(AND('Дивиденды по годам'!L409&lt;&gt;"",'Дивиденды по годам'!I409&lt;&gt;"",'Дивиденды по годам'!J409&lt;&gt;"",'Дивиденды по годам'!K409&lt;&gt;"",('Дивиденды по годам'!I409-'Дивиденды по годам'!J409-'Дивиденды по годам'!K409)&lt;&gt;0),'Дивиденды по годам'!L409/('Дивиденды по годам'!I409-'Дивиденды по годам'!J409-'Дивиденды по годам'!K409),""),"")</f>
        <v>2.1203291052451152</v>
      </c>
      <c r="T409">
        <f>IFERROR(IF(AND('Дивиденды по годам'!Q409&lt;&gt;"",'Дивиденды по годам'!I409&lt;&gt;"",'Дивиденды по годам'!V409&lt;&gt;"",('Дивиденды по годам'!I409+'Дивиденды по годам'!V409)&lt;&gt;0),'Дивиденды по годам'!Q409/(('Дивиденды по годам'!I409+'Дивиденды по годам'!V409)/2),""),"")</f>
        <v>0.22270657082417178</v>
      </c>
      <c r="U409">
        <f>IFERROR(IF(AND('Дивиденды по годам'!J409&lt;&gt;"",'Дивиденды по годам'!K409&lt;&gt;"",'Дивиденды по годам'!M409&lt;&gt;"",'Дивиденды по годам'!M409&lt;&gt;0),('Дивиденды по годам'!J409+'Дивиденды по годам'!K409)/'Дивиденды по годам'!M409,""),"")</f>
        <v>0.70449091532396302</v>
      </c>
      <c r="V409" cm="1">
        <f t="array" ref="V409">IFERROR(AVERAGE(_xlfn._xlws.FILTER(P$2:P$1073,($C$2:$C$1073=$C409)*($E$2:$E$1073=$E409)*(ROW(P$2:P$1073)&lt;&gt;ROW(P409))*(P$2:P$1073&lt;&gt;""))),"")</f>
        <v>26.511470045189231</v>
      </c>
      <c r="W409" cm="1">
        <f t="array" ref="W409">IFERROR(AVERAGE(_xlfn._xlws.FILTER(Q$2:Q$1073,($C$2:$C$1073=$C409)*($E$2:$E$1073=$E409)*(ROW(Q$2:Q$1073)&lt;&gt;ROW(Q409))*(Q$2:Q$1073&lt;&gt;""))),"")</f>
        <v>0.5217211275601501</v>
      </c>
      <c r="X409" cm="1">
        <f t="array" ref="X409">IFERROR(AVERAGE(_xlfn._xlws.FILTER(R$2:R$1073,($C$2:$C$1073=$C409)*($E$2:$E$1073=$E409)*(ROW(R$2:R$1073)&lt;&gt;ROW(R409))*(R$2:R$1073&lt;&gt;""))),"")</f>
        <v>0.21026257957888861</v>
      </c>
      <c r="Y409" cm="1">
        <f t="array" ref="Y409">IFERROR(AVERAGE(_xlfn._xlws.FILTER(S$2:S$1073,($C$2:$C$1073=$C409)*($E$2:$E$1073=$E409)*(ROW(S$2:S$1073)&lt;&gt;ROW(S409))*(S$2:S$1073&lt;&gt;""))),"")</f>
        <v>0.80377414610974862</v>
      </c>
      <c r="Z409" cm="1">
        <f t="array" ref="Z409">IFERROR(AVERAGE(_xlfn._xlws.FILTER(T$2:T$1073,($C$2:$C$1073=$C409)*($E$2:$E$1073=$E409)*(ROW(T$2:T$1073)&lt;&gt;ROW(T409))*(T$2:T$1073&lt;&gt;""))),"")</f>
        <v>0.14849218261339708</v>
      </c>
      <c r="AA409" cm="1">
        <f t="array" ref="AA409">IFERROR(AVERAGE(_xlfn._xlws.FILTER(U$2:U$1073,($C$2:$C$1073=$C409)*($E$2:$E$1073=$E409)*(ROW(U$2:U$1073)&lt;&gt;ROW(U409))*(U$2:U$1073&lt;&gt;""))),"")</f>
        <v>2.5016264187994612</v>
      </c>
    </row>
    <row r="410" spans="1:27" x14ac:dyDescent="0.2">
      <c r="A410" s="7" t="s">
        <v>2228</v>
      </c>
      <c r="B410" t="str">
        <f t="shared" si="68"/>
        <v>NLMK IV кв. 2017</v>
      </c>
      <c r="C410">
        <v>2017</v>
      </c>
      <c r="D410">
        <f>SUMIFS(Дивиденды!$C:$C,Дивиденды!$A:$A,A410,Дивиденды!$I:$I,C410)</f>
        <v>14.04</v>
      </c>
      <c r="E410">
        <v>3</v>
      </c>
      <c r="F410">
        <f t="shared" si="69"/>
        <v>14.04</v>
      </c>
      <c r="G410">
        <f t="shared" si="70"/>
        <v>14.664876314825083</v>
      </c>
      <c r="H410">
        <f t="shared" si="71"/>
        <v>1</v>
      </c>
      <c r="I410">
        <f t="shared" si="67"/>
        <v>0.6</v>
      </c>
      <c r="J410">
        <f t="shared" si="72"/>
        <v>0.52277657266811295</v>
      </c>
      <c r="K410">
        <f t="shared" si="76"/>
        <v>6.4815367775793956E-2</v>
      </c>
      <c r="L410">
        <f t="shared" si="73"/>
        <v>1</v>
      </c>
      <c r="M410">
        <f t="shared" si="66"/>
        <v>0.4</v>
      </c>
      <c r="N410">
        <f t="shared" si="74"/>
        <v>0</v>
      </c>
      <c r="O410">
        <f t="shared" si="75"/>
        <v>0.2</v>
      </c>
      <c r="P410">
        <f>IFERROR(LN('Дивиденды по годам'!I410),"")</f>
        <v>27.18661989081243</v>
      </c>
      <c r="Q410">
        <f>IFERROR('Дивиденды по годам'!G410/'Дивиденды по годам'!I410, "")</f>
        <v>0.5046380502000728</v>
      </c>
      <c r="R410">
        <f>IFERROR(IF(AND('Дивиденды по годам'!N410&lt;&gt;"",'Дивиденды по годам'!U410&lt;&gt;"",'Дивиденды по годам'!U410&lt;&gt;0),'Дивиденды по годам'!N410/'Дивиденды по годам'!U410-1,""),"")</f>
        <v>0.14620496270882621</v>
      </c>
      <c r="S410">
        <f>IFERROR(IF(AND('Дивиденды по годам'!L410&lt;&gt;"",'Дивиденды по годам'!I410&lt;&gt;"",'Дивиденды по годам'!J410&lt;&gt;"",'Дивиденды по годам'!K410&lt;&gt;"",('Дивиденды по годам'!I410-'Дивиденды по годам'!J410-'Дивиденды по годам'!K410)&lt;&gt;0),'Дивиденды по годам'!L410/('Дивиденды по годам'!I410-'Дивиденды по годам'!J410-'Дивиденды по годам'!K410),""),"")</f>
        <v>1.809960878724044</v>
      </c>
      <c r="T410">
        <f>IFERROR(IF(AND('Дивиденды по годам'!Q410&lt;&gt;"",'Дивиденды по годам'!I410&lt;&gt;"",'Дивиденды по годам'!V410&lt;&gt;"",('Дивиденды по годам'!I410+'Дивиденды по годам'!V410)&lt;&gt;0),'Дивиденды по годам'!Q410/(('Дивиденды по годам'!I410+'Дивиденды по годам'!V410)/2),""),"")</f>
        <v>0.12753743213955465</v>
      </c>
      <c r="U410">
        <f>IFERROR(IF(AND('Дивиденды по годам'!J410&lt;&gt;"",'Дивиденды по годам'!K410&lt;&gt;"",'Дивиденды по годам'!M410&lt;&gt;"",'Дивиденды по годам'!M410&lt;&gt;0),('Дивиденды по годам'!J410+'Дивиденды по годам'!K410)/'Дивиденды по годам'!M410,""),"")</f>
        <v>0.65452904002407453</v>
      </c>
      <c r="V410" cm="1">
        <f t="array" ref="V410">IFERROR(AVERAGE(_xlfn._xlws.FILTER(P$2:P$1073,($C$2:$C$1073=$C410)*($E$2:$E$1073=$E410)*(ROW(P$2:P$1073)&lt;&gt;ROW(P410))*(P$2:P$1073&lt;&gt;""))),"")</f>
        <v>26.479682363678638</v>
      </c>
      <c r="W410" cm="1">
        <f t="array" ref="W410">IFERROR(AVERAGE(_xlfn._xlws.FILTER(Q$2:Q$1073,($C$2:$C$1073=$C410)*($E$2:$E$1073=$E410)*(ROW(Q$2:Q$1073)&lt;&gt;ROW(Q410))*(Q$2:Q$1073&lt;&gt;""))),"")</f>
        <v>0.53901318877444648</v>
      </c>
      <c r="X410" cm="1">
        <f t="array" ref="X410">IFERROR(AVERAGE(_xlfn._xlws.FILTER(R$2:R$1073,($C$2:$C$1073=$C410)*($E$2:$E$1073=$E410)*(ROW(R$2:R$1073)&lt;&gt;ROW(R410))*(R$2:R$1073&lt;&gt;""))),"")</f>
        <v>9.5650186126404149E-2</v>
      </c>
      <c r="Y410" cm="1">
        <f t="array" ref="Y410">IFERROR(AVERAGE(_xlfn._xlws.FILTER(S$2:S$1073,($C$2:$C$1073=$C410)*($E$2:$E$1073=$E410)*(ROW(S$2:S$1073)&lt;&gt;ROW(S410))*(S$2:S$1073&lt;&gt;""))),"")</f>
        <v>0.98262852080247054</v>
      </c>
      <c r="Z410" cm="1">
        <f t="array" ref="Z410">IFERROR(AVERAGE(_xlfn._xlws.FILTER(T$2:T$1073,($C$2:$C$1073=$C410)*($E$2:$E$1073=$E410)*(ROW(T$2:T$1073)&lt;&gt;ROW(T410))*(T$2:T$1073&lt;&gt;""))),"")</f>
        <v>0.12096894000116583</v>
      </c>
      <c r="AA410" cm="1">
        <f t="array" ref="AA410">IFERROR(AVERAGE(_xlfn._xlws.FILTER(U$2:U$1073,($C$2:$C$1073=$C410)*($E$2:$E$1073=$E410)*(ROW(U$2:U$1073)&lt;&gt;ROW(U410))*(U$2:U$1073&lt;&gt;""))),"")</f>
        <v>2.1106071792027956</v>
      </c>
    </row>
    <row r="411" spans="1:27" x14ac:dyDescent="0.2">
      <c r="A411" s="7" t="s">
        <v>2228</v>
      </c>
      <c r="B411" t="str">
        <f t="shared" si="68"/>
        <v>NLMK IV кв. 2016</v>
      </c>
      <c r="C411">
        <v>2016</v>
      </c>
      <c r="D411">
        <f>SUMIFS(Дивиденды!$C:$C,Дивиденды!$A:$A,A411,Дивиденды!$I:$I,C411)</f>
        <v>9.2199999999999989</v>
      </c>
      <c r="E411">
        <v>3</v>
      </c>
      <c r="F411">
        <f t="shared" si="69"/>
        <v>9.2199999999999989</v>
      </c>
      <c r="G411">
        <f t="shared" si="70"/>
        <v>11.173639712606382</v>
      </c>
      <c r="H411">
        <f t="shared" si="71"/>
        <v>1</v>
      </c>
      <c r="I411">
        <f t="shared" si="67"/>
        <v>0.6</v>
      </c>
      <c r="J411">
        <f t="shared" si="72"/>
        <v>0.32661870503597118</v>
      </c>
      <c r="K411">
        <f t="shared" si="76"/>
        <v>0.65501928553623423</v>
      </c>
      <c r="L411">
        <f t="shared" si="73"/>
        <v>1</v>
      </c>
      <c r="M411">
        <f t="shared" si="66"/>
        <v>0.6</v>
      </c>
      <c r="N411">
        <f t="shared" si="74"/>
        <v>0</v>
      </c>
      <c r="O411">
        <f t="shared" si="75"/>
        <v>0</v>
      </c>
      <c r="P411">
        <f>IFERROR(LN('Дивиденды по годам'!I411),"")</f>
        <v>27.254963830797077</v>
      </c>
      <c r="Q411">
        <f>IFERROR('Дивиденды по годам'!G411/'Дивиденды по годам'!I411, "")</f>
        <v>0.52037816562326034</v>
      </c>
      <c r="R411">
        <f>IFERROR(IF(AND('Дивиденды по годам'!N411&lt;&gt;"",'Дивиденды по годам'!U411&lt;&gt;"",'Дивиденды по годам'!U411&lt;&gt;0),'Дивиденды по годам'!N411/'Дивиденды по годам'!U411-1,""),"")</f>
        <v>4.392225942161132E-2</v>
      </c>
      <c r="S411">
        <f>IFERROR(IF(AND('Дивиденды по годам'!L411&lt;&gt;"",'Дивиденды по годам'!I411&lt;&gt;"",'Дивиденды по годам'!J411&lt;&gt;"",'Дивиденды по годам'!K411&lt;&gt;"",('Дивиденды по годам'!I411-'Дивиденды по годам'!J411-'Дивиденды по годам'!K411)&lt;&gt;0),'Дивиденды по годам'!L411/('Дивиденды по годам'!I411-'Дивиденды по годам'!J411-'Дивиденды по годам'!K411),""),"")</f>
        <v>1.9077296063890476</v>
      </c>
      <c r="T411">
        <f>IFERROR(IF(AND('Дивиденды по годам'!Q411&lt;&gt;"",'Дивиденды по годам'!I411&lt;&gt;"",'Дивиденды по годам'!V411&lt;&gt;"",('Дивиденды по годам'!I411+'Дивиденды по годам'!V411)&lt;&gt;0),'Дивиденды по годам'!Q411/(('Дивиденды по годам'!I411+'Дивиденды по годам'!V411)/2),""),"")</f>
        <v>0.10211984851237979</v>
      </c>
      <c r="U411">
        <f>IFERROR(IF(AND('Дивиденды по годам'!J411&lt;&gt;"",'Дивиденды по годам'!K411&lt;&gt;"",'Дивиденды по годам'!M411&lt;&gt;"",'Дивиденды по годам'!M411&lt;&gt;0),('Дивиденды по годам'!J411+'Дивиденды по годам'!K411)/'Дивиденды по годам'!M411,""),"")</f>
        <v>0.62244089497369581</v>
      </c>
      <c r="V411" cm="1">
        <f t="array" ref="V411">IFERROR(AVERAGE(_xlfn._xlws.FILTER(P$2:P$1073,($C$2:$C$1073=$C411)*($E$2:$E$1073=$E411)*(ROW(P$2:P$1073)&lt;&gt;ROW(P411))*(P$2:P$1073&lt;&gt;""))),"")</f>
        <v>26.473542470551195</v>
      </c>
      <c r="W411" cm="1">
        <f t="array" ref="W411">IFERROR(AVERAGE(_xlfn._xlws.FILTER(Q$2:Q$1073,($C$2:$C$1073=$C411)*($E$2:$E$1073=$E411)*(ROW(Q$2:Q$1073)&lt;&gt;ROW(Q411))*(Q$2:Q$1073&lt;&gt;""))),"")</f>
        <v>0.50855628729046343</v>
      </c>
      <c r="X411" cm="1">
        <f t="array" ref="X411">IFERROR(AVERAGE(_xlfn._xlws.FILTER(R$2:R$1073,($C$2:$C$1073=$C411)*($E$2:$E$1073=$E411)*(ROW(R$2:R$1073)&lt;&gt;ROW(R411))*(R$2:R$1073&lt;&gt;""))),"")</f>
        <v>0.14377757105092551</v>
      </c>
      <c r="Y411" cm="1">
        <f t="array" ref="Y411">IFERROR(AVERAGE(_xlfn._xlws.FILTER(S$2:S$1073,($C$2:$C$1073=$C411)*($E$2:$E$1073=$E411)*(ROW(S$2:S$1073)&lt;&gt;ROW(S411))*(S$2:S$1073&lt;&gt;""))),"")</f>
        <v>0.13579949825208476</v>
      </c>
      <c r="Z411" cm="1">
        <f t="array" ref="Z411">IFERROR(AVERAGE(_xlfn._xlws.FILTER(T$2:T$1073,($C$2:$C$1073=$C411)*($E$2:$E$1073=$E411)*(ROW(T$2:T$1073)&lt;&gt;ROW(T411))*(T$2:T$1073&lt;&gt;""))),"")</f>
        <v>0.16784733281842557</v>
      </c>
      <c r="AA411" cm="1">
        <f t="array" ref="AA411">IFERROR(AVERAGE(_xlfn._xlws.FILTER(U$2:U$1073,($C$2:$C$1073=$C411)*($E$2:$E$1073=$E411)*(ROW(U$2:U$1073)&lt;&gt;ROW(U411))*(U$2:U$1073&lt;&gt;""))),"")</f>
        <v>0.11005294817836804</v>
      </c>
    </row>
    <row r="412" spans="1:27" x14ac:dyDescent="0.2">
      <c r="A412" s="7" t="s">
        <v>2228</v>
      </c>
      <c r="B412" t="str">
        <f t="shared" si="68"/>
        <v>NLMK IV кв. 2015</v>
      </c>
      <c r="C412">
        <v>2015</v>
      </c>
      <c r="D412">
        <f>SUMIFS(Дивиденды!$C:$C,Дивиденды!$A:$A,A412,Дивиденды!$I:$I,C412)</f>
        <v>6.9499999999999993</v>
      </c>
      <c r="E412">
        <v>3</v>
      </c>
      <c r="F412">
        <f t="shared" si="69"/>
        <v>6.9499999999999993</v>
      </c>
      <c r="G412">
        <f t="shared" si="70"/>
        <v>6.5290627742857144</v>
      </c>
      <c r="H412">
        <f t="shared" si="71"/>
        <v>1</v>
      </c>
      <c r="I412">
        <f t="shared" si="67"/>
        <v>0.5</v>
      </c>
      <c r="J412">
        <f t="shared" si="72"/>
        <v>1.8483606557377048</v>
      </c>
      <c r="K412">
        <f t="shared" si="76"/>
        <v>0.69605110501678258</v>
      </c>
      <c r="L412">
        <f t="shared" si="73"/>
        <v>1</v>
      </c>
      <c r="M412">
        <f t="shared" si="66"/>
        <v>0.4</v>
      </c>
      <c r="N412">
        <f t="shared" si="74"/>
        <v>0</v>
      </c>
      <c r="O412">
        <f t="shared" si="75"/>
        <v>0.1</v>
      </c>
      <c r="P412">
        <f>IFERROR(LN('Дивиденды по годам'!I412),"")</f>
        <v>27.0264610801438</v>
      </c>
      <c r="Q412">
        <f>IFERROR('Дивиденды по годам'!G412/'Дивиденды по годам'!I412, "")</f>
        <v>0.49917034778124086</v>
      </c>
      <c r="R412">
        <f>IFERROR(IF(AND('Дивиденды по годам'!N412&lt;&gt;"",'Дивиденды по годам'!U412&lt;&gt;"",'Дивиденды по годам'!U412&lt;&gt;0),'Дивиденды по годам'!N412/'Дивиденды по годам'!U412-1,""),"")</f>
        <v>0.21728207218279572</v>
      </c>
      <c r="S412">
        <f>IFERROR(IF(AND('Дивиденды по годам'!L412&lt;&gt;"",'Дивиденды по годам'!I412&lt;&gt;"",'Дивиденды по годам'!J412&lt;&gt;"",'Дивиденды по годам'!K412&lt;&gt;"",('Дивиденды по годам'!I412-'Дивиденды по годам'!J412-'Дивиденды по годам'!K412)&lt;&gt;0),'Дивиденды по годам'!L412/('Дивиденды по годам'!I412-'Дивиденды по годам'!J412-'Дивиденды по годам'!K412),""),"")</f>
        <v>2.3129805165735635</v>
      </c>
      <c r="T412">
        <f>IFERROR(IF(AND('Дивиденды по годам'!Q412&lt;&gt;"",'Дивиденды по годам'!I412&lt;&gt;"",'Дивиденды по годам'!V412&lt;&gt;"",('Дивиденды по годам'!I412+'Дивиденды по годам'!V412)&lt;&gt;0),'Дивиденды по годам'!Q412/(('Дивиденды по годам'!I412+'Дивиденды по годам'!V412)/2),""),"")</f>
        <v>0.12489219245853601</v>
      </c>
      <c r="U412">
        <f>IFERROR(IF(AND('Дивиденды по годам'!J412&lt;&gt;"",'Дивиденды по годам'!K412&lt;&gt;"",'Дивиденды по годам'!M412&lt;&gt;"",'Дивиденды по годам'!M412&lt;&gt;0),('Дивиденды по годам'!J412+'Дивиденды по годам'!K412)/'Дивиденды по годам'!M412,""),"")</f>
        <v>0.73606866885960642</v>
      </c>
      <c r="V412" cm="1">
        <f t="array" ref="V412">IFERROR(AVERAGE(_xlfn._xlws.FILTER(P$2:P$1073,($C$2:$C$1073=$C412)*($E$2:$E$1073=$E412)*(ROW(P$2:P$1073)&lt;&gt;ROW(P412))*(P$2:P$1073&lt;&gt;""))),"")</f>
        <v>26.291116401613277</v>
      </c>
      <c r="W412" cm="1">
        <f t="array" ref="W412">IFERROR(AVERAGE(_xlfn._xlws.FILTER(Q$2:Q$1073,($C$2:$C$1073=$C412)*($E$2:$E$1073=$E412)*(ROW(Q$2:Q$1073)&lt;&gt;ROW(Q412))*(Q$2:Q$1073&lt;&gt;""))),"")</f>
        <v>0.49855080983312589</v>
      </c>
      <c r="X412" cm="1">
        <f t="array" ref="X412">IFERROR(AVERAGE(_xlfn._xlws.FILTER(R$2:R$1073,($C$2:$C$1073=$C412)*($E$2:$E$1073=$E412)*(ROW(R$2:R$1073)&lt;&gt;ROW(R412))*(R$2:R$1073&lt;&gt;""))),"")</f>
        <v>0.25709399063449656</v>
      </c>
      <c r="Y412" cm="1">
        <f t="array" ref="Y412">IFERROR(AVERAGE(_xlfn._xlws.FILTER(S$2:S$1073,($C$2:$C$1073=$C412)*($E$2:$E$1073=$E412)*(ROW(S$2:S$1073)&lt;&gt;ROW(S412))*(S$2:S$1073&lt;&gt;""))),"")</f>
        <v>0.81770676404740172</v>
      </c>
      <c r="Z412" cm="1">
        <f t="array" ref="Z412">IFERROR(AVERAGE(_xlfn._xlws.FILTER(T$2:T$1073,($C$2:$C$1073=$C412)*($E$2:$E$1073=$E412)*(ROW(T$2:T$1073)&lt;&gt;ROW(T412))*(T$2:T$1073&lt;&gt;""))),"")</f>
        <v>1.1977987068635128E-2</v>
      </c>
      <c r="AA412" cm="1">
        <f t="array" ref="AA412">IFERROR(AVERAGE(_xlfn._xlws.FILTER(U$2:U$1073,($C$2:$C$1073=$C412)*($E$2:$E$1073=$E412)*(ROW(U$2:U$1073)&lt;&gt;ROW(U412))*(U$2:U$1073&lt;&gt;""))),"")</f>
        <v>3.2224519879274509</v>
      </c>
    </row>
    <row r="413" spans="1:27" x14ac:dyDescent="0.2">
      <c r="A413" s="7" t="s">
        <v>2228</v>
      </c>
      <c r="B413" t="str">
        <f t="shared" si="68"/>
        <v>NLMK IV кв. 2014</v>
      </c>
      <c r="C413">
        <v>2014</v>
      </c>
      <c r="D413">
        <f>SUMIFS(Дивиденды!$C:$C,Дивиденды!$A:$A,A413,Дивиденды!$I:$I,C413)</f>
        <v>2.44</v>
      </c>
      <c r="E413">
        <v>3</v>
      </c>
      <c r="F413">
        <f t="shared" si="69"/>
        <v>2.44</v>
      </c>
      <c r="G413">
        <f t="shared" si="70"/>
        <v>7.6120000000000001</v>
      </c>
      <c r="H413">
        <f t="shared" si="71"/>
        <v>1</v>
      </c>
      <c r="I413">
        <f t="shared" si="67"/>
        <v>0.4</v>
      </c>
      <c r="J413">
        <f t="shared" si="72"/>
        <v>2.6417910447761193</v>
      </c>
      <c r="K413">
        <f t="shared" si="76"/>
        <v>0.8091394148020653</v>
      </c>
      <c r="L413">
        <f t="shared" si="73"/>
        <v>1</v>
      </c>
      <c r="M413">
        <f t="shared" si="66"/>
        <v>0.2</v>
      </c>
      <c r="N413">
        <f t="shared" si="74"/>
        <v>0</v>
      </c>
      <c r="O413">
        <f t="shared" si="75"/>
        <v>0.1</v>
      </c>
      <c r="P413">
        <f>IFERROR(LN('Дивиденды по годам'!I413),"")</f>
        <v>26.723052867114149</v>
      </c>
      <c r="Q413">
        <f>IFERROR('Дивиденды по годам'!G413/'Дивиденды по годам'!I413, "")</f>
        <v>0.56379069778392865</v>
      </c>
      <c r="R413">
        <f>IFERROR(IF(AND('Дивиденды по годам'!N413&lt;&gt;"",'Дивиденды по годам'!U413&lt;&gt;"",'Дивиденды по годам'!U413&lt;&gt;0),'Дивиденды по годам'!N413/'Дивиденды по годам'!U413-1,""),"")</f>
        <v>0.15918712459201223</v>
      </c>
      <c r="S413">
        <f>IFERROR(IF(AND('Дивиденды по годам'!L413&lt;&gt;"",'Дивиденды по годам'!I413&lt;&gt;"",'Дивиденды по годам'!J413&lt;&gt;"",'Дивиденды по годам'!K413&lt;&gt;"",('Дивиденды по годам'!I413-'Дивиденды по годам'!J413-'Дивиденды по годам'!K413)&lt;&gt;0),'Дивиденды по годам'!L413/('Дивиденды по годам'!I413-'Дивиденды по годам'!J413-'Дивиденды по годам'!K413),""),"")</f>
        <v>1.937614978668057</v>
      </c>
      <c r="T413">
        <f>IFERROR(IF(AND('Дивиденды по годам'!Q413&lt;&gt;"",'Дивиденды по годам'!I413&lt;&gt;"",'Дивиденды по годам'!V413&lt;&gt;"",('Дивиденды по годам'!I413+'Дивиденды по годам'!V413)&lt;&gt;0),'Дивиденды по годам'!Q413/(('Дивиденды по годам'!I413+'Дивиденды по годам'!V413)/2),""),"")</f>
        <v>0.11467507678535686</v>
      </c>
      <c r="U413">
        <f>IFERROR(IF(AND('Дивиденды по годам'!J413&lt;&gt;"",'Дивиденды по годам'!K413&lt;&gt;"",'Дивиденды по годам'!M413&lt;&gt;"",'Дивиденды по годам'!M413&lt;&gt;0),('Дивиденды по годам'!J413+'Дивиденды по годам'!K413)/'Дивиденды по годам'!M413,""),"")</f>
        <v>0.64572225582136844</v>
      </c>
      <c r="V413" cm="1">
        <f t="array" ref="V413">IFERROR(AVERAGE(_xlfn._xlws.FILTER(P$2:P$1073,($C$2:$C$1073=$C413)*($E$2:$E$1073=$E413)*(ROW(P$2:P$1073)&lt;&gt;ROW(P413))*(P$2:P$1073&lt;&gt;""))),"")</f>
        <v>26.25101428334996</v>
      </c>
      <c r="W413" cm="1">
        <f t="array" ref="W413">IFERROR(AVERAGE(_xlfn._xlws.FILTER(Q$2:Q$1073,($C$2:$C$1073=$C413)*($E$2:$E$1073=$E413)*(ROW(Q$2:Q$1073)&lt;&gt;ROW(Q413))*(Q$2:Q$1073&lt;&gt;""))),"")</f>
        <v>0.51066037003065667</v>
      </c>
      <c r="X413" cm="1">
        <f t="array" ref="X413">IFERROR(AVERAGE(_xlfn._xlws.FILTER(R$2:R$1073,($C$2:$C$1073=$C413)*($E$2:$E$1073=$E413)*(ROW(R$2:R$1073)&lt;&gt;ROW(R413))*(R$2:R$1073&lt;&gt;""))),"")</f>
        <v>6.728246004505907E-2</v>
      </c>
      <c r="Y413" cm="1">
        <f t="array" ref="Y413">IFERROR(AVERAGE(_xlfn._xlws.FILTER(S$2:S$1073,($C$2:$C$1073=$C413)*($E$2:$E$1073=$E413)*(ROW(S$2:S$1073)&lt;&gt;ROW(S413))*(S$2:S$1073&lt;&gt;""))),"")</f>
        <v>0.65216550995477551</v>
      </c>
      <c r="Z413" cm="1">
        <f t="array" ref="Z413">IFERROR(AVERAGE(_xlfn._xlws.FILTER(T$2:T$1073,($C$2:$C$1073=$C413)*($E$2:$E$1073=$E413)*(ROW(T$2:T$1073)&lt;&gt;ROW(T413))*(T$2:T$1073&lt;&gt;""))),"")</f>
        <v>-0.10156849267217065</v>
      </c>
      <c r="AA413" cm="1">
        <f t="array" ref="AA413">IFERROR(AVERAGE(_xlfn._xlws.FILTER(U$2:U$1073,($C$2:$C$1073=$C413)*($E$2:$E$1073=$E413)*(ROW(U$2:U$1073)&lt;&gt;ROW(U413))*(U$2:U$1073&lt;&gt;""))),"")</f>
        <v>1.735787414368466</v>
      </c>
    </row>
    <row r="414" spans="1:27" x14ac:dyDescent="0.2">
      <c r="A414" s="7" t="s">
        <v>2228</v>
      </c>
      <c r="B414" t="str">
        <f t="shared" si="68"/>
        <v>NLMK IV кв. 2013</v>
      </c>
      <c r="C414">
        <v>2013</v>
      </c>
      <c r="D414">
        <f>SUMIFS(Дивиденды!$C:$C,Дивиденды!$A:$A,A414,Дивиденды!$I:$I,C414)</f>
        <v>0.67</v>
      </c>
      <c r="E414">
        <v>3</v>
      </c>
      <c r="F414">
        <f t="shared" si="69"/>
        <v>0.67</v>
      </c>
      <c r="G414">
        <f t="shared" si="70"/>
        <v>1.1590000000000003</v>
      </c>
      <c r="H414">
        <f t="shared" si="71"/>
        <v>1</v>
      </c>
      <c r="I414">
        <f t="shared" si="67"/>
        <v>0.3</v>
      </c>
      <c r="J414">
        <f t="shared" si="72"/>
        <v>8.0645161290322648E-2</v>
      </c>
      <c r="K414">
        <f t="shared" si="76"/>
        <v>-0.21192862656277295</v>
      </c>
      <c r="L414">
        <f t="shared" si="73"/>
        <v>1</v>
      </c>
      <c r="M414">
        <f t="shared" si="66"/>
        <v>0.1</v>
      </c>
      <c r="N414">
        <f t="shared" si="74"/>
        <v>0</v>
      </c>
      <c r="O414">
        <f t="shared" si="75"/>
        <v>0.4</v>
      </c>
      <c r="P414">
        <f>IFERROR(LN('Дивиденды по годам'!I414),"")</f>
        <v>26.974930687661928</v>
      </c>
      <c r="Q414">
        <f>IFERROR('Дивиденды по годам'!G414/'Дивиденды по годам'!I414, "")</f>
        <v>0.61428065851551594</v>
      </c>
      <c r="R414">
        <f>IFERROR(IF(AND('Дивиденды по годам'!N414&lt;&gt;"",'Дивиденды по годам'!U414&lt;&gt;"",'Дивиденды по годам'!U414&lt;&gt;0),'Дивиденды по годам'!N414/'Дивиденды по годам'!U414-1,""),"")</f>
        <v>-7.9448258439366537E-2</v>
      </c>
      <c r="S414">
        <f>IFERROR(IF(AND('Дивиденды по годам'!L414&lt;&gt;"",'Дивиденды по годам'!I414&lt;&gt;"",'Дивиденды по годам'!J414&lt;&gt;"",'Дивиденды по годам'!K414&lt;&gt;"",('Дивиденды по годам'!I414-'Дивиденды по годам'!J414-'Дивиденды по годам'!K414)&lt;&gt;0),'Дивиденды по годам'!L414/('Дивиденды по годам'!I414-'Дивиденды по годам'!J414-'Дивиденды по годам'!K414),""),"")</f>
        <v>1.1343753445927802</v>
      </c>
      <c r="T414">
        <f>IFERROR(IF(AND('Дивиденды по годам'!Q414&lt;&gt;"",'Дивиденды по годам'!I414&lt;&gt;"",'Дивиденды по годам'!V414&lt;&gt;"",('Дивиденды по годам'!I414+'Дивиденды по годам'!V414)&lt;&gt;0),'Дивиденды по годам'!Q414/(('Дивиденды по годам'!I414+'Дивиденды по годам'!V414)/2),""),"")</f>
        <v>1.4343133896606181E-2</v>
      </c>
      <c r="U414">
        <f>IFERROR(IF(AND('Дивиденды по годам'!J414&lt;&gt;"",'Дивиденды по годам'!K414&lt;&gt;"",'Дивиденды по годам'!M414&lt;&gt;"",'Дивиденды по годам'!M414&lt;&gt;0),('Дивиденды по годам'!J414+'Дивиденды по годам'!K414)/'Дивиденды по годам'!M414,""),"")</f>
        <v>0.58485486202225268</v>
      </c>
      <c r="V414" cm="1">
        <f t="array" ref="V414">IFERROR(AVERAGE(_xlfn._xlws.FILTER(P$2:P$1073,($C$2:$C$1073=$C414)*($E$2:$E$1073=$E414)*(ROW(P$2:P$1073)&lt;&gt;ROW(P414))*(P$2:P$1073&lt;&gt;""))),"")</f>
        <v>26.371644919966759</v>
      </c>
      <c r="W414" cm="1">
        <f t="array" ref="W414">IFERROR(AVERAGE(_xlfn._xlws.FILTER(Q$2:Q$1073,($C$2:$C$1073=$C414)*($E$2:$E$1073=$E414)*(ROW(Q$2:Q$1073)&lt;&gt;ROW(Q414))*(Q$2:Q$1073&lt;&gt;""))),"")</f>
        <v>0.57261071746123171</v>
      </c>
      <c r="X414" cm="1">
        <f t="array" ref="X414">IFERROR(AVERAGE(_xlfn._xlws.FILTER(R$2:R$1073,($C$2:$C$1073=$C414)*($E$2:$E$1073=$E414)*(ROW(R$2:R$1073)&lt;&gt;ROW(R414))*(R$2:R$1073&lt;&gt;""))),"")</f>
        <v>-4.1361278374214314E-2</v>
      </c>
      <c r="Y414" t="str" cm="1">
        <f t="array" ref="Y414">IFERROR(AVERAGE(_xlfn._xlws.FILTER(S$2:S$1073,($C$2:$C$1073=$C414)*($E$2:$E$1073=$E414)*(ROW(S$2:S$1073)&lt;&gt;ROW(S414))*(S$2:S$1073&lt;&gt;""))),"")</f>
        <v/>
      </c>
      <c r="Z414" cm="1">
        <f t="array" ref="Z414">IFERROR(AVERAGE(_xlfn._xlws.FILTER(T$2:T$1073,($C$2:$C$1073=$C414)*($E$2:$E$1073=$E414)*(ROW(T$2:T$1073)&lt;&gt;ROW(T414))*(T$2:T$1073&lt;&gt;""))),"")</f>
        <v>-3.6794692876216131E-2</v>
      </c>
      <c r="AA414" cm="1">
        <f t="array" ref="AA414">IFERROR(AVERAGE(_xlfn._xlws.FILTER(U$2:U$1073,($C$2:$C$1073=$C414)*($E$2:$E$1073=$E414)*(ROW(U$2:U$1073)&lt;&gt;ROW(U414))*(U$2:U$1073&lt;&gt;""))),"")</f>
        <v>3.4289440220136957</v>
      </c>
    </row>
    <row r="415" spans="1:27" x14ac:dyDescent="0.2">
      <c r="A415" s="7" t="s">
        <v>2228</v>
      </c>
      <c r="B415" t="str">
        <f t="shared" si="68"/>
        <v>NLMK IV кв. 2012</v>
      </c>
      <c r="C415">
        <v>2012</v>
      </c>
      <c r="D415">
        <f>SUMIFS(Дивиденды!$C:$C,Дивиденды!$A:$A,A415,Дивиденды!$I:$I,C415)</f>
        <v>0.62</v>
      </c>
      <c r="E415">
        <v>3</v>
      </c>
      <c r="F415">
        <f t="shared" si="69"/>
        <v>0.62</v>
      </c>
      <c r="G415">
        <f t="shared" si="70"/>
        <v>2.069</v>
      </c>
      <c r="H415">
        <f t="shared" si="71"/>
        <v>1</v>
      </c>
      <c r="I415">
        <f t="shared" si="67"/>
        <v>0.5</v>
      </c>
      <c r="J415">
        <f t="shared" si="72"/>
        <v>-0.69</v>
      </c>
      <c r="K415">
        <f t="shared" si="76"/>
        <v>-0.11500043619769681</v>
      </c>
      <c r="L415">
        <f t="shared" si="73"/>
        <v>0</v>
      </c>
      <c r="M415">
        <f t="shared" si="66"/>
        <v>0.3</v>
      </c>
      <c r="N415">
        <f t="shared" si="74"/>
        <v>1</v>
      </c>
      <c r="O415">
        <f t="shared" si="75"/>
        <v>0.5</v>
      </c>
      <c r="P415">
        <f>IFERROR(LN('Дивиденды по годам'!I415),"")</f>
        <v>26.72331769456666</v>
      </c>
      <c r="Q415">
        <f>IFERROR('Дивиденды по годам'!G415/'Дивиденды по годам'!I415, "")</f>
        <v>0.9049152572387249</v>
      </c>
      <c r="R415">
        <f>IFERROR(IF(AND('Дивиденды по годам'!N415&lt;&gt;"",'Дивиденды по годам'!U415&lt;&gt;"",'Дивиденды по годам'!U415&lt;&gt;0),'Дивиденды по годам'!N415/'Дивиденды по годам'!U415-1,""),"")</f>
        <v>9.5031943942386343E-2</v>
      </c>
      <c r="S415" t="str">
        <f>IFERROR(IF(AND('Дивиденды по годам'!L415&lt;&gt;"",'Дивиденды по годам'!I415&lt;&gt;"",'Дивиденды по годам'!J415&lt;&gt;"",'Дивиденды по годам'!K415&lt;&gt;"",('Дивиденды по годам'!I415-'Дивиденды по годам'!J415-'Дивиденды по годам'!K415)&lt;&gt;0),'Дивиденды по годам'!L415/('Дивиденды по годам'!I415-'Дивиденды по годам'!J415-'Дивиденды по годам'!K415),""),"")</f>
        <v/>
      </c>
      <c r="T415">
        <f>IFERROR(IF(AND('Дивиденды по годам'!Q415&lt;&gt;"",'Дивиденды по годам'!I415&lt;&gt;"",'Дивиденды по годам'!V415&lt;&gt;"",('Дивиденды по годам'!I415+'Дивиденды по годам'!V415)&lt;&gt;0),'Дивиденды по годам'!Q415/(('Дивиденды по годам'!I415+'Дивиденды по годам'!V415)/2),""),"")</f>
        <v>4.1635389642401384E-2</v>
      </c>
      <c r="U415">
        <f>IFERROR(IF(AND('Дивиденды по годам'!J415&lt;&gt;"",'Дивиденды по годам'!K415&lt;&gt;"",'Дивиденды по годам'!M415&lt;&gt;"",'Дивиденды по годам'!M415&lt;&gt;0),('Дивиденды по годам'!J415+'Дивиденды по годам'!K415)/'Дивиденды по годам'!M415,""),"")</f>
        <v>1</v>
      </c>
      <c r="V415" cm="1">
        <f t="array" ref="V415">IFERROR(AVERAGE(_xlfn._xlws.FILTER(P$2:P$1073,($C$2:$C$1073=$C415)*($E$2:$E$1073=$E415)*(ROW(P$2:P$1073)&lt;&gt;ROW(P415))*(P$2:P$1073&lt;&gt;""))),"")</f>
        <v>26.70870621313798</v>
      </c>
      <c r="W415" cm="1">
        <f t="array" ref="W415">IFERROR(AVERAGE(_xlfn._xlws.FILTER(Q$2:Q$1073,($C$2:$C$1073=$C415)*($E$2:$E$1073=$E415)*(ROW(Q$2:Q$1073)&lt;&gt;ROW(Q415))*(Q$2:Q$1073&lt;&gt;""))),"")</f>
        <v>0.45198277841320555</v>
      </c>
      <c r="X415" cm="1">
        <f t="array" ref="X415">IFERROR(AVERAGE(_xlfn._xlws.FILTER(R$2:R$1073,($C$2:$C$1073=$C415)*($E$2:$E$1073=$E415)*(ROW(R$2:R$1073)&lt;&gt;ROW(R415))*(R$2:R$1073&lt;&gt;""))),"")</f>
        <v>-1.5531303520035353E-2</v>
      </c>
      <c r="Y415" t="str" cm="1">
        <f t="array" ref="Y415">IFERROR(AVERAGE(_xlfn._xlws.FILTER(S$2:S$1073,($C$2:$C$1073=$C415)*($E$2:$E$1073=$E415)*(ROW(S$2:S$1073)&lt;&gt;ROW(S415))*(S$2:S$1073&lt;&gt;""))),"")</f>
        <v/>
      </c>
      <c r="Z415" cm="1">
        <f t="array" ref="Z415">IFERROR(AVERAGE(_xlfn._xlws.FILTER(T$2:T$1073,($C$2:$C$1073=$C415)*($E$2:$E$1073=$E415)*(ROW(T$2:T$1073)&lt;&gt;ROW(T415))*(T$2:T$1073&lt;&gt;""))),"")</f>
        <v>5.0935358792164036E-2</v>
      </c>
      <c r="AA415" cm="1">
        <f t="array" ref="AA415">IFERROR(AVERAGE(_xlfn._xlws.FILTER(U$2:U$1073,($C$2:$C$1073=$C415)*($E$2:$E$1073=$E415)*(ROW(U$2:U$1073)&lt;&gt;ROW(U415))*(U$2:U$1073&lt;&gt;""))),"")</f>
        <v>1.4171915097049275</v>
      </c>
    </row>
    <row r="416" spans="1:27" x14ac:dyDescent="0.2">
      <c r="A416" s="7" t="s">
        <v>2228</v>
      </c>
      <c r="B416" t="str">
        <f t="shared" si="68"/>
        <v>NLMK IV кв. 2011</v>
      </c>
      <c r="C416">
        <v>2011</v>
      </c>
      <c r="D416">
        <f>SUMIFS(Дивиденды!$C:$C,Дивиденды!$A:$A,A416,Дивиденды!$I:$I,C416)</f>
        <v>2</v>
      </c>
      <c r="E416">
        <v>3</v>
      </c>
      <c r="F416">
        <f t="shared" si="69"/>
        <v>2</v>
      </c>
      <c r="G416">
        <f t="shared" si="70"/>
        <v>3.5660000000000003</v>
      </c>
      <c r="H416">
        <f t="shared" si="71"/>
        <v>1</v>
      </c>
      <c r="I416">
        <f t="shared" si="67"/>
        <v>0.7</v>
      </c>
      <c r="J416">
        <f t="shared" si="72"/>
        <v>9.8901098901098994E-2</v>
      </c>
      <c r="K416">
        <f t="shared" si="76"/>
        <v>0.77141557059041621</v>
      </c>
      <c r="L416">
        <f t="shared" si="73"/>
        <v>1</v>
      </c>
      <c r="M416">
        <f t="shared" si="66"/>
        <v>0.5</v>
      </c>
      <c r="N416">
        <f t="shared" si="74"/>
        <v>0</v>
      </c>
      <c r="O416">
        <f t="shared" si="75"/>
        <v>0.3</v>
      </c>
      <c r="P416">
        <f>IFERROR(LN('Дивиденды по годам'!I416),"")</f>
        <v>26.95257137488294</v>
      </c>
      <c r="Q416">
        <f>IFERROR('Дивиденды по годам'!G416/'Дивиденды по годам'!I416, "")</f>
        <v>0.6124888568094804</v>
      </c>
      <c r="R416" t="str">
        <f>IFERROR(IF(AND('Дивиденды по годам'!N416&lt;&gt;"",'Дивиденды по годам'!U416&lt;&gt;"",'Дивиденды по годам'!U416&lt;&gt;0),'Дивиденды по годам'!N416/'Дивиденды по годам'!U416-1,""),"")</f>
        <v/>
      </c>
      <c r="S416" t="str">
        <f>IFERROR(IF(AND('Дивиденды по годам'!L416&lt;&gt;"",'Дивиденды по годам'!I416&lt;&gt;"",'Дивиденды по годам'!J416&lt;&gt;"",'Дивиденды по годам'!K416&lt;&gt;"",('Дивиденды по годам'!I416-'Дивиденды по годам'!J416-'Дивиденды по годам'!K416)&lt;&gt;0),'Дивиденды по годам'!L416/('Дивиденды по годам'!I416-'Дивиденды по годам'!J416-'Дивиденды по годам'!K416),""),"")</f>
        <v/>
      </c>
      <c r="T416" t="str">
        <f>IFERROR(IF(AND('Дивиденды по годам'!Q416&lt;&gt;"",'Дивиденды по годам'!I416&lt;&gt;"",'Дивиденды по годам'!V416&lt;&gt;"",('Дивиденды по годам'!I416+'Дивиденды по годам'!V416)&lt;&gt;0),'Дивиденды по годам'!Q416/(('Дивиденды по годам'!I416+'Дивиденды по годам'!V416)/2),""),"")</f>
        <v/>
      </c>
      <c r="U416">
        <f>IFERROR(IF(AND('Дивиденды по годам'!J416&lt;&gt;"",'Дивиденды по годам'!K416&lt;&gt;"",'Дивиденды по годам'!M416&lt;&gt;"",'Дивиденды по годам'!M416&lt;&gt;0),('Дивиденды по годам'!J416+'Дивиденды по годам'!K416)/'Дивиденды по годам'!M416,""),"")</f>
        <v>0.70775863937249484</v>
      </c>
      <c r="V416" cm="1">
        <f t="array" ref="V416">IFERROR(AVERAGE(_xlfn._xlws.FILTER(P$2:P$1073,($C$2:$C$1073=$C416)*($E$2:$E$1073=$E416)*(ROW(P$2:P$1073)&lt;&gt;ROW(P416))*(P$2:P$1073&lt;&gt;""))),"")</f>
        <v>26.361736236391828</v>
      </c>
      <c r="W416" cm="1">
        <f t="array" ref="W416">IFERROR(AVERAGE(_xlfn._xlws.FILTER(Q$2:Q$1073,($C$2:$C$1073=$C416)*($E$2:$E$1073=$E416)*(ROW(Q$2:Q$1073)&lt;&gt;ROW(Q416))*(Q$2:Q$1073&lt;&gt;""))),"")</f>
        <v>0.5633834781357725</v>
      </c>
      <c r="X416" cm="1">
        <f t="array" ref="X416">IFERROR(AVERAGE(_xlfn._xlws.FILTER(R$2:R$1073,($C$2:$C$1073=$C416)*($E$2:$E$1073=$E416)*(ROW(R$2:R$1073)&lt;&gt;ROW(R416))*(R$2:R$1073&lt;&gt;""))),"")</f>
        <v>0.21463216748681591</v>
      </c>
      <c r="Y416" t="str" cm="1">
        <f t="array" ref="Y416">IFERROR(AVERAGE(_xlfn._xlws.FILTER(S$2:S$1073,($C$2:$C$1073=$C416)*($E$2:$E$1073=$E416)*(ROW(S$2:S$1073)&lt;&gt;ROW(S416))*(S$2:S$1073&lt;&gt;""))),"")</f>
        <v/>
      </c>
      <c r="Z416" cm="1">
        <f t="array" ref="Z416">IFERROR(AVERAGE(_xlfn._xlws.FILTER(T$2:T$1073,($C$2:$C$1073=$C416)*($E$2:$E$1073=$E416)*(ROW(T$2:T$1073)&lt;&gt;ROW(T416))*(T$2:T$1073&lt;&gt;""))),"")</f>
        <v>0.11505618365484008</v>
      </c>
      <c r="AA416" cm="1">
        <f t="array" ref="AA416">IFERROR(AVERAGE(_xlfn._xlws.FILTER(U$2:U$1073,($C$2:$C$1073=$C416)*($E$2:$E$1073=$E416)*(ROW(U$2:U$1073)&lt;&gt;ROW(U416))*(U$2:U$1073&lt;&gt;""))),"")</f>
        <v>1.1707275048932555</v>
      </c>
    </row>
    <row r="417" spans="1:27" x14ac:dyDescent="0.2">
      <c r="A417" s="7" t="s">
        <v>2228</v>
      </c>
      <c r="B417" t="str">
        <f t="shared" si="68"/>
        <v>NLMK IV кв. 2010</v>
      </c>
      <c r="C417">
        <v>2010</v>
      </c>
      <c r="D417">
        <f>SUMIFS(Дивиденды!$C:$C,Дивиденды!$A:$A,A417,Дивиденды!$I:$I,C417)</f>
        <v>1.8199999999999998</v>
      </c>
      <c r="E417">
        <v>3</v>
      </c>
      <c r="F417">
        <f t="shared" si="69"/>
        <v>1.8199999999999998</v>
      </c>
      <c r="G417">
        <f t="shared" si="70"/>
        <v>2.8969999999999998</v>
      </c>
      <c r="H417">
        <f t="shared" si="71"/>
        <v>1</v>
      </c>
      <c r="I417">
        <f t="shared" si="67"/>
        <v>0.6</v>
      </c>
      <c r="J417" t="str">
        <f t="shared" si="72"/>
        <v/>
      </c>
      <c r="K417" t="str">
        <f t="shared" si="76"/>
        <v/>
      </c>
      <c r="L417" t="str">
        <f t="shared" si="73"/>
        <v/>
      </c>
      <c r="M417" t="str">
        <f t="shared" ref="M417:M480" si="77">IFERROR(AVERAGEIFS($L:$L,$E:$E,E417,$C:$C,C417,$A:$A,"&lt;&gt;"&amp;A417),"")</f>
        <v/>
      </c>
      <c r="N417" t="str">
        <f t="shared" si="74"/>
        <v/>
      </c>
      <c r="O417" t="str">
        <f t="shared" si="75"/>
        <v/>
      </c>
      <c r="P417" t="str">
        <f>IFERROR(LN('Дивиденды по годам'!I417),"")</f>
        <v/>
      </c>
      <c r="Q417" t="str">
        <f>IFERROR('Дивиденды по годам'!G417/'Дивиденды по годам'!I417, "")</f>
        <v/>
      </c>
      <c r="R417" t="str">
        <f>IFERROR(IF(AND('Дивиденды по годам'!N417&lt;&gt;"",'Дивиденды по годам'!U417&lt;&gt;"",'Дивиденды по годам'!U417&lt;&gt;0),'Дивиденды по годам'!N417/'Дивиденды по годам'!U417-1,""),"")</f>
        <v/>
      </c>
      <c r="S417" t="str">
        <f>IFERROR(IF(AND('Дивиденды по годам'!L417&lt;&gt;"",'Дивиденды по годам'!I417&lt;&gt;"",'Дивиденды по годам'!J417&lt;&gt;"",'Дивиденды по годам'!K417&lt;&gt;"",('Дивиденды по годам'!I417-'Дивиденды по годам'!J417-'Дивиденды по годам'!K417)&lt;&gt;0),'Дивиденды по годам'!L417/('Дивиденды по годам'!I417-'Дивиденды по годам'!J417-'Дивиденды по годам'!K417),""),"")</f>
        <v/>
      </c>
      <c r="T417" t="str">
        <f>IFERROR(IF(AND('Дивиденды по годам'!Q417&lt;&gt;"",'Дивиденды по годам'!I417&lt;&gt;"",'Дивиденды по годам'!V417&lt;&gt;"",('Дивиденды по годам'!I417+'Дивиденды по годам'!V417)&lt;&gt;0),'Дивиденды по годам'!Q417/(('Дивиденды по годам'!I417+'Дивиденды по годам'!V417)/2),""),"")</f>
        <v/>
      </c>
      <c r="U417" t="str">
        <f>IFERROR(IF(AND('Дивиденды по годам'!J417&lt;&gt;"",'Дивиденды по годам'!K417&lt;&gt;"",'Дивиденды по годам'!M417&lt;&gt;"",'Дивиденды по годам'!M417&lt;&gt;0),('Дивиденды по годам'!J417+'Дивиденды по годам'!K417)/'Дивиденды по годам'!M417,""),"")</f>
        <v/>
      </c>
      <c r="V417" cm="1">
        <f t="array" ref="V417">IFERROR(AVERAGE(_xlfn._xlws.FILTER(P$2:P$1073,($C$2:$C$1073=$C417)*($E$2:$E$1073=$E417)*(ROW(P$2:P$1073)&lt;&gt;ROW(P417))*(P$2:P$1073&lt;&gt;""))),"")</f>
        <v>26.127864794831805</v>
      </c>
      <c r="W417" cm="1">
        <f t="array" ref="W417">IFERROR(AVERAGE(_xlfn._xlws.FILTER(Q$2:Q$1073,($C$2:$C$1073=$C417)*($E$2:$E$1073=$E417)*(ROW(Q$2:Q$1073)&lt;&gt;ROW(Q417))*(Q$2:Q$1073&lt;&gt;""))),"")</f>
        <v>0.75539390451698762</v>
      </c>
      <c r="X417" t="str" cm="1">
        <f t="array" ref="X417">IFERROR(AVERAGE(_xlfn._xlws.FILTER(R$2:R$1073,($C$2:$C$1073=$C417)*($E$2:$E$1073=$E417)*(ROW(R$2:R$1073)&lt;&gt;ROW(R417))*(R$2:R$1073&lt;&gt;""))),"")</f>
        <v/>
      </c>
      <c r="Y417" t="str" cm="1">
        <f t="array" ref="Y417">IFERROR(AVERAGE(_xlfn._xlws.FILTER(S$2:S$1073,($C$2:$C$1073=$C417)*($E$2:$E$1073=$E417)*(ROW(S$2:S$1073)&lt;&gt;ROW(S417))*(S$2:S$1073&lt;&gt;""))),"")</f>
        <v/>
      </c>
      <c r="Z417" t="str" cm="1">
        <f t="array" ref="Z417">IFERROR(AVERAGE(_xlfn._xlws.FILTER(T$2:T$1073,($C$2:$C$1073=$C417)*($E$2:$E$1073=$E417)*(ROW(T$2:T$1073)&lt;&gt;ROW(T417))*(T$2:T$1073&lt;&gt;""))),"")</f>
        <v/>
      </c>
      <c r="AA417" cm="1">
        <f t="array" ref="AA417">IFERROR(AVERAGE(_xlfn._xlws.FILTER(U$2:U$1073,($C$2:$C$1073=$C417)*($E$2:$E$1073=$E417)*(ROW(U$2:U$1073)&lt;&gt;ROW(U417))*(U$2:U$1073&lt;&gt;""))),"")</f>
        <v>1.4017600691070078</v>
      </c>
    </row>
    <row r="418" spans="1:27" x14ac:dyDescent="0.2">
      <c r="A418" s="7" t="s">
        <v>2231</v>
      </c>
      <c r="B418" t="str">
        <f t="shared" si="68"/>
        <v>PLZL IV кв. 2025</v>
      </c>
      <c r="C418">
        <v>2025</v>
      </c>
      <c r="D418">
        <f>SUMIFS(Дивиденды!$C:$C,Дивиденды!$A:$A,A418,Дивиденды!$I:$I,C418)</f>
        <v>106.85</v>
      </c>
      <c r="E418">
        <v>3</v>
      </c>
      <c r="F418">
        <f t="shared" si="69"/>
        <v>106.85</v>
      </c>
      <c r="G418">
        <f t="shared" si="70"/>
        <v>0</v>
      </c>
      <c r="H418">
        <f t="shared" si="71"/>
        <v>1</v>
      </c>
      <c r="I418">
        <f t="shared" si="67"/>
        <v>0</v>
      </c>
      <c r="J418">
        <f t="shared" si="72"/>
        <v>-0.47411162515995675</v>
      </c>
      <c r="K418">
        <f t="shared" si="76"/>
        <v>-0.4</v>
      </c>
      <c r="L418">
        <f t="shared" si="73"/>
        <v>0</v>
      </c>
      <c r="M418">
        <f t="shared" si="77"/>
        <v>0</v>
      </c>
      <c r="N418">
        <f t="shared" si="74"/>
        <v>1</v>
      </c>
      <c r="O418">
        <f t="shared" si="75"/>
        <v>0.4</v>
      </c>
      <c r="P418">
        <f>IFERROR(LN('Дивиденды по годам'!I418),"")</f>
        <v>27.854491813724511</v>
      </c>
      <c r="Q418">
        <f>IFERROR('Дивиденды по годам'!G418/'Дивиденды по годам'!I418, "")</f>
        <v>0.55182744206095768</v>
      </c>
      <c r="R418">
        <f>IFERROR(IF(AND('Дивиденды по годам'!N418&lt;&gt;"",'Дивиденды по годам'!U418&lt;&gt;"",'Дивиденды по годам'!U418&lt;&gt;0),'Дивиденды по годам'!N418/'Дивиденды по годам'!U418-1,""),"")</f>
        <v>2.5915125624669022E-2</v>
      </c>
      <c r="S418">
        <f>IFERROR(IF(AND('Дивиденды по годам'!L418&lt;&gt;"",'Дивиденды по годам'!I418&lt;&gt;"",'Дивиденды по годам'!J418&lt;&gt;"",'Дивиденды по годам'!K418&lt;&gt;"",('Дивиденды по годам'!I418-'Дивиденды по годам'!J418-'Дивиденды по годам'!K418)&lt;&gt;0),'Дивиденды по годам'!L418/('Дивиденды по годам'!I418-'Дивиденды по годам'!J418-'Дивиденды по годам'!K418),""),"")</f>
        <v>2.781368716419228</v>
      </c>
      <c r="T418">
        <f>IFERROR(IF(AND('Дивиденды по годам'!Q418&lt;&gt;"",'Дивиденды по годам'!I418&lt;&gt;"",'Дивиденды по годам'!V418&lt;&gt;"",('Дивиденды по годам'!I418+'Дивиденды по годам'!V418)&lt;&gt;0),'Дивиденды по годам'!Q418/(('Дивиденды по годам'!I418+'Дивиденды по годам'!V418)/2),""),"")</f>
        <v>0.26153392742966752</v>
      </c>
      <c r="U418">
        <f>IFERROR(IF(AND('Дивиденды по годам'!J418&lt;&gt;"",'Дивиденды по годам'!K418&lt;&gt;"",'Дивиденды по годам'!M418&lt;&gt;"",'Дивиденды по годам'!M418&lt;&gt;0),('Дивиденды по годам'!J418+'Дивиденды по годам'!K418)/'Дивиденды по годам'!M418,""),"")</f>
        <v>3.5984613064920068</v>
      </c>
      <c r="V418" cm="1">
        <f t="array" ref="V418">IFERROR(AVERAGE(_xlfn._xlws.FILTER(P$2:P$1073,($C$2:$C$1073=$C418)*($E$2:$E$1073=$E418)*(ROW(P$2:P$1073)&lt;&gt;ROW(P418))*(P$2:P$1073&lt;&gt;""))),"")</f>
        <v>27.479091898742677</v>
      </c>
      <c r="W418" cm="1">
        <f t="array" ref="W418">IFERROR(AVERAGE(_xlfn._xlws.FILTER(Q$2:Q$1073,($C$2:$C$1073=$C418)*($E$2:$E$1073=$E418)*(ROW(Q$2:Q$1073)&lt;&gt;ROW(Q418))*(Q$2:Q$1073&lt;&gt;""))),"")</f>
        <v>0.52588909289256258</v>
      </c>
      <c r="X418" cm="1">
        <f t="array" ref="X418">IFERROR(AVERAGE(_xlfn._xlws.FILTER(R$2:R$1073,($C$2:$C$1073=$C418)*($E$2:$E$1073=$E418)*(ROW(R$2:R$1073)&lt;&gt;ROW(R418))*(R$2:R$1073&lt;&gt;""))),"")</f>
        <v>-0.11078414504837342</v>
      </c>
      <c r="Y418" cm="1">
        <f t="array" ref="Y418">IFERROR(AVERAGE(_xlfn._xlws.FILTER(S$2:S$1073,($C$2:$C$1073=$C418)*($E$2:$E$1073=$E418)*(ROW(S$2:S$1073)&lt;&gt;ROW(S418))*(S$2:S$1073&lt;&gt;""))),"")</f>
        <v>0.73057449873776192</v>
      </c>
      <c r="Z418" cm="1">
        <f t="array" ref="Z418">IFERROR(AVERAGE(_xlfn._xlws.FILTER(T$2:T$1073,($C$2:$C$1073=$C418)*($E$2:$E$1073=$E418)*(ROW(T$2:T$1073)&lt;&gt;ROW(T418))*(T$2:T$1073&lt;&gt;""))),"")</f>
        <v>-2.0145147872353806E-2</v>
      </c>
      <c r="AA418" cm="1">
        <f t="array" ref="AA418">IFERROR(AVERAGE(_xlfn._xlws.FILTER(U$2:U$1073,($C$2:$C$1073=$C418)*($E$2:$E$1073=$E418)*(ROW(U$2:U$1073)&lt;&gt;ROW(U418))*(U$2:U$1073&lt;&gt;""))),"")</f>
        <v>3.1280858492296248</v>
      </c>
    </row>
    <row r="419" spans="1:27" x14ac:dyDescent="0.2">
      <c r="A419" s="7" t="s">
        <v>2231</v>
      </c>
      <c r="B419" t="str">
        <f t="shared" si="68"/>
        <v>PLZL IV кв. 2024</v>
      </c>
      <c r="C419">
        <v>2024</v>
      </c>
      <c r="D419">
        <f>SUMIFS(Дивиденды!$C:$C,Дивиденды!$A:$A,A419,Дивиденды!$I:$I,C419)</f>
        <v>203.18</v>
      </c>
      <c r="E419">
        <v>3</v>
      </c>
      <c r="F419">
        <f t="shared" si="69"/>
        <v>203.18</v>
      </c>
      <c r="G419">
        <f t="shared" si="70"/>
        <v>12.739999999999998</v>
      </c>
      <c r="H419">
        <f t="shared" si="71"/>
        <v>1</v>
      </c>
      <c r="I419">
        <f t="shared" si="67"/>
        <v>0.4</v>
      </c>
      <c r="J419">
        <f t="shared" si="72"/>
        <v>1</v>
      </c>
      <c r="K419">
        <f t="shared" si="76"/>
        <v>-0.30461447297899458</v>
      </c>
      <c r="L419">
        <f t="shared" si="73"/>
        <v>1</v>
      </c>
      <c r="M419">
        <f t="shared" si="77"/>
        <v>0</v>
      </c>
      <c r="N419">
        <f t="shared" si="74"/>
        <v>0</v>
      </c>
      <c r="O419">
        <f t="shared" si="75"/>
        <v>0.5</v>
      </c>
      <c r="P419">
        <f>IFERROR(LN('Дивиденды по годам'!I419),"")</f>
        <v>27.772429528214879</v>
      </c>
      <c r="Q419">
        <f>IFERROR('Дивиденды по годам'!G419/'Дивиденды по годам'!I419, "")</f>
        <v>0.45106802269304058</v>
      </c>
      <c r="R419">
        <f>IFERROR(IF(AND('Дивиденды по годам'!N419&lt;&gt;"",'Дивиденды по годам'!U419&lt;&gt;"",'Дивиденды по годам'!U419&lt;&gt;0),'Дивиденды по годам'!N419/'Дивиденды по годам'!U419-1,""),"")</f>
        <v>0.4794668733643237</v>
      </c>
      <c r="S419">
        <f>IFERROR(IF(AND('Дивиденды по годам'!L419&lt;&gt;"",'Дивиденды по годам'!I419&lt;&gt;"",'Дивиденды по годам'!J419&lt;&gt;"",'Дивиденды по годам'!K419&lt;&gt;"",('Дивиденды по годам'!I419-'Дивиденды по годам'!J419-'Дивиденды по годам'!K419)&lt;&gt;0),'Дивиденды по годам'!L419/('Дивиденды по годам'!I419-'Дивиденды по годам'!J419-'Дивиденды по годам'!K419),""),"")</f>
        <v>4.8244774239263082</v>
      </c>
      <c r="T419">
        <f>IFERROR(IF(AND('Дивиденды по годам'!Q419&lt;&gt;"",'Дивиденды по годам'!I419&lt;&gt;"",'Дивиденды по годам'!V419&lt;&gt;"",('Дивиденды по годам'!I419+'Дивиденды по годам'!V419)&lt;&gt;0),'Дивиденды по годам'!Q419/(('Дивиденды по годам'!I419+'Дивиденды по годам'!V419)/2),""),"")</f>
        <v>0.30789416005985809</v>
      </c>
      <c r="U419">
        <f>IFERROR(IF(AND('Дивиденды по годам'!J419&lt;&gt;"",'Дивиденды по годам'!K419&lt;&gt;"",'Дивиденды по годам'!M419&lt;&gt;"",'Дивиденды по годам'!M419&lt;&gt;0),('Дивиденды по годам'!J419+'Дивиденды по годам'!K419)/'Дивиденды по годам'!M419,""),"")</f>
        <v>8.0689682320985714</v>
      </c>
      <c r="V419" cm="1">
        <f t="array" ref="V419">IFERROR(AVERAGE(_xlfn._xlws.FILTER(P$2:P$1073,($C$2:$C$1073=$C419)*($E$2:$E$1073=$E419)*(ROW(P$2:P$1073)&lt;&gt;ROW(P419))*(P$2:P$1073&lt;&gt;""))),"")</f>
        <v>27.23391613230077</v>
      </c>
      <c r="W419" cm="1">
        <f t="array" ref="W419">IFERROR(AVERAGE(_xlfn._xlws.FILTER(Q$2:Q$1073,($C$2:$C$1073=$C419)*($E$2:$E$1073=$E419)*(ROW(Q$2:Q$1073)&lt;&gt;ROW(Q419))*(Q$2:Q$1073&lt;&gt;""))),"")</f>
        <v>0.48304607889541318</v>
      </c>
      <c r="X419" cm="1">
        <f t="array" ref="X419">IFERROR(AVERAGE(_xlfn._xlws.FILTER(R$2:R$1073,($C$2:$C$1073=$C419)*($E$2:$E$1073=$E419)*(ROW(R$2:R$1073)&lt;&gt;ROW(R419))*(R$2:R$1073&lt;&gt;""))),"")</f>
        <v>-2.0135577495141367E-2</v>
      </c>
      <c r="Y419" cm="1">
        <f t="array" ref="Y419">IFERROR(AVERAGE(_xlfn._xlws.FILTER(S$2:S$1073,($C$2:$C$1073=$C419)*($E$2:$E$1073=$E419)*(ROW(S$2:S$1073)&lt;&gt;ROW(S419))*(S$2:S$1073&lt;&gt;""))),"")</f>
        <v>0.8074390153087373</v>
      </c>
      <c r="Z419" cm="1">
        <f t="array" ref="Z419">IFERROR(AVERAGE(_xlfn._xlws.FILTER(T$2:T$1073,($C$2:$C$1073=$C419)*($E$2:$E$1073=$E419)*(ROW(T$2:T$1073)&lt;&gt;ROW(T419))*(T$2:T$1073&lt;&gt;""))),"")</f>
        <v>1.9286335003858172E-2</v>
      </c>
      <c r="AA419" cm="1">
        <f t="array" ref="AA419">IFERROR(AVERAGE(_xlfn._xlws.FILTER(U$2:U$1073,($C$2:$C$1073=$C419)*($E$2:$E$1073=$E419)*(ROW(U$2:U$1073)&lt;&gt;ROW(U419))*(U$2:U$1073&lt;&gt;""))),"")</f>
        <v>2.0143227928673584</v>
      </c>
    </row>
    <row r="420" spans="1:27" x14ac:dyDescent="0.2">
      <c r="A420" s="7" t="s">
        <v>2231</v>
      </c>
      <c r="B420" t="str">
        <f t="shared" si="68"/>
        <v>PLZL IV кв. 2023</v>
      </c>
      <c r="C420">
        <v>2023</v>
      </c>
      <c r="D420">
        <f>SUMIFS(Дивиденды!$C:$C,Дивиденды!$A:$A,A420,Дивиденды!$I:$I,C420)</f>
        <v>0</v>
      </c>
      <c r="E420">
        <v>3</v>
      </c>
      <c r="F420">
        <f t="shared" si="69"/>
        <v>0</v>
      </c>
      <c r="G420">
        <f t="shared" si="70"/>
        <v>25.244</v>
      </c>
      <c r="H420">
        <f t="shared" si="71"/>
        <v>0</v>
      </c>
      <c r="I420">
        <f t="shared" si="67"/>
        <v>0.6</v>
      </c>
      <c r="J420">
        <f t="shared" si="72"/>
        <v>0</v>
      </c>
      <c r="K420">
        <f t="shared" si="76"/>
        <v>0.43287037037037035</v>
      </c>
      <c r="L420">
        <f t="shared" si="73"/>
        <v>0</v>
      </c>
      <c r="M420">
        <f t="shared" si="77"/>
        <v>0.6</v>
      </c>
      <c r="N420">
        <f t="shared" si="74"/>
        <v>0</v>
      </c>
      <c r="O420">
        <f t="shared" si="75"/>
        <v>0.1</v>
      </c>
      <c r="P420">
        <f>IFERROR(LN('Дивиденды по годам'!I420),"")</f>
        <v>27.448059354247171</v>
      </c>
      <c r="Q420">
        <f>IFERROR('Дивиденды по годам'!G420/'Дивиденды по годам'!I420, "")</f>
        <v>0.52760086455331412</v>
      </c>
      <c r="R420">
        <f>IFERROR(IF(AND('Дивиденды по годам'!N420&lt;&gt;"",'Дивиденды по годам'!U420&lt;&gt;"",'Дивиденды по годам'!U420&lt;&gt;0),'Дивиденды по годам'!N420/'Дивиденды по годам'!U420-1,""),"")</f>
        <v>0.59693879286013041</v>
      </c>
      <c r="S420">
        <f>IFERROR(IF(AND('Дивиденды по годам'!L420&lt;&gt;"",'Дивиденды по годам'!I420&lt;&gt;"",'Дивиденды по годам'!J420&lt;&gt;"",'Дивиденды по годам'!K420&lt;&gt;"",('Дивиденды по годам'!I420-'Дивиденды по годам'!J420-'Дивиденды по годам'!K420)&lt;&gt;0),'Дивиденды по годам'!L420/('Дивиденды по годам'!I420-'Дивиденды по годам'!J420-'Дивиденды по годам'!K420),""),"")</f>
        <v>-7.7096303155495409</v>
      </c>
      <c r="T420">
        <f>IFERROR(IF(AND('Дивиденды по годам'!Q420&lt;&gt;"",'Дивиденды по годам'!I420&lt;&gt;"",'Дивиденды по годам'!V420&lt;&gt;"",('Дивиденды по годам'!I420+'Дивиденды по годам'!V420)&lt;&gt;0),'Дивиденды по годам'!Q420/(('Дивиденды по годам'!I420+'Дивиденды по годам'!V420)/2),""),"")</f>
        <v>0.19763591467151956</v>
      </c>
      <c r="U420">
        <f>IFERROR(IF(AND('Дивиденды по годам'!J420&lt;&gt;"",'Дивиденды по годам'!K420&lt;&gt;"",'Дивиденды по годам'!M420&lt;&gt;"",'Дивиденды по годам'!M420&lt;&gt;0),('Дивиденды по годам'!J420+'Дивиденды по годам'!K420)/'Дивиденды по годам'!M420,""),"")</f>
        <v>-15.830116105135694</v>
      </c>
      <c r="V420" cm="1">
        <f t="array" ref="V420">IFERROR(AVERAGE(_xlfn._xlws.FILTER(P$2:P$1073,($C$2:$C$1073=$C420)*($E$2:$E$1073=$E420)*(ROW(P$2:P$1073)&lt;&gt;ROW(P420))*(P$2:P$1073&lt;&gt;""))),"")</f>
        <v>27.187129706227488</v>
      </c>
      <c r="W420" cm="1">
        <f t="array" ref="W420">IFERROR(AVERAGE(_xlfn._xlws.FILTER(Q$2:Q$1073,($C$2:$C$1073=$C420)*($E$2:$E$1073=$E420)*(ROW(Q$2:Q$1073)&lt;&gt;ROW(Q420))*(Q$2:Q$1073&lt;&gt;""))),"")</f>
        <v>0.44859403187463237</v>
      </c>
      <c r="X420" cm="1">
        <f t="array" ref="X420">IFERROR(AVERAGE(_xlfn._xlws.FILTER(R$2:R$1073,($C$2:$C$1073=$C420)*($E$2:$E$1073=$E420)*(ROW(R$2:R$1073)&lt;&gt;ROW(R420))*(R$2:R$1073&lt;&gt;""))),"")</f>
        <v>8.4229114749738931E-2</v>
      </c>
      <c r="Y420" cm="1">
        <f t="array" ref="Y420">IFERROR(AVERAGE(_xlfn._xlws.FILTER(S$2:S$1073,($C$2:$C$1073=$C420)*($E$2:$E$1073=$E420)*(ROW(S$2:S$1073)&lt;&gt;ROW(S420))*(S$2:S$1073&lt;&gt;""))),"")</f>
        <v>0.91939672549765028</v>
      </c>
      <c r="Z420" cm="1">
        <f t="array" ref="Z420">IFERROR(AVERAGE(_xlfn._xlws.FILTER(T$2:T$1073,($C$2:$C$1073=$C420)*($E$2:$E$1073=$E420)*(ROW(T$2:T$1073)&lt;&gt;ROW(T420))*(T$2:T$1073&lt;&gt;""))),"")</f>
        <v>0.11047473301956397</v>
      </c>
      <c r="AA420" cm="1">
        <f t="array" ref="AA420">IFERROR(AVERAGE(_xlfn._xlws.FILTER(U$2:U$1073,($C$2:$C$1073=$C420)*($E$2:$E$1073=$E420)*(ROW(U$2:U$1073)&lt;&gt;ROW(U420))*(U$2:U$1073&lt;&gt;""))),"")</f>
        <v>0.96980158489911594</v>
      </c>
    </row>
    <row r="421" spans="1:27" x14ac:dyDescent="0.2">
      <c r="A421" s="7" t="s">
        <v>2231</v>
      </c>
      <c r="B421" t="str">
        <f t="shared" si="68"/>
        <v>PLZL IV кв. 2022</v>
      </c>
      <c r="C421">
        <v>2022</v>
      </c>
      <c r="D421">
        <f>SUMIFS(Дивиденды!$C:$C,Дивиденды!$A:$A,A421,Дивиденды!$I:$I,C421)</f>
        <v>0</v>
      </c>
      <c r="E421">
        <v>3</v>
      </c>
      <c r="F421">
        <f t="shared" si="69"/>
        <v>0</v>
      </c>
      <c r="G421">
        <f t="shared" si="70"/>
        <v>1.73</v>
      </c>
      <c r="H421">
        <f t="shared" si="71"/>
        <v>0</v>
      </c>
      <c r="I421">
        <f t="shared" si="67"/>
        <v>0.2</v>
      </c>
      <c r="J421">
        <f t="shared" si="72"/>
        <v>-1</v>
      </c>
      <c r="K421">
        <f t="shared" si="76"/>
        <v>-0.50242800677583288</v>
      </c>
      <c r="L421">
        <f t="shared" si="73"/>
        <v>0</v>
      </c>
      <c r="M421">
        <f t="shared" si="77"/>
        <v>0.1</v>
      </c>
      <c r="N421">
        <f t="shared" si="74"/>
        <v>1</v>
      </c>
      <c r="O421">
        <f t="shared" si="75"/>
        <v>0.7</v>
      </c>
      <c r="P421">
        <f>IFERROR(LN('Дивиденды по годам'!I421),"")</f>
        <v>27.27321553305844</v>
      </c>
      <c r="Q421">
        <f>IFERROR('Дивиденды по годам'!G421/'Дивиденды по годам'!I421, "")</f>
        <v>0.580557458499533</v>
      </c>
      <c r="R421">
        <f>IFERROR(IF(AND('Дивиденды по годам'!N421&lt;&gt;"",'Дивиденды по годам'!U421&lt;&gt;"",'Дивиденды по годам'!U421&lt;&gt;0),'Дивиденды по годам'!N421/'Дивиденды по годам'!U421-1,""),"")</f>
        <v>-0.19472969346455704</v>
      </c>
      <c r="S421">
        <f>IFERROR(IF(AND('Дивиденды по годам'!L421&lt;&gt;"",'Дивиденды по годам'!I421&lt;&gt;"",'Дивиденды по годам'!J421&lt;&gt;"",'Дивиденды по годам'!K421&lt;&gt;"",('Дивиденды по годам'!I421-'Дивиденды по годам'!J421-'Дивиденды по годам'!K421)&lt;&gt;0),'Дивиденды по годам'!L421/('Дивиденды по годам'!I421-'Дивиденды по годам'!J421-'Дивиденды по годам'!K421),""),"")</f>
        <v>0.75523138752081165</v>
      </c>
      <c r="T421">
        <f>IFERROR(IF(AND('Дивиденды по годам'!Q421&lt;&gt;"",'Дивиденды по годам'!I421&lt;&gt;"",'Дивиденды по годам'!V421&lt;&gt;"",('Дивиденды по годам'!I421+'Дивиденды по годам'!V421)&lt;&gt;0),'Дивиденды по годам'!Q421/(('Дивиденды по годам'!I421+'Дивиденды по годам'!V421)/2),""),"")</f>
        <v>0.17282704933611259</v>
      </c>
      <c r="U421">
        <f>IFERROR(IF(AND('Дивиденды по годам'!J421&lt;&gt;"",'Дивиденды по годам'!K421&lt;&gt;"",'Дивиденды по годам'!M421&lt;&gt;"",'Дивиденды по годам'!M421&lt;&gt;0),('Дивиденды по годам'!J421+'Дивиденды по годам'!K421)/'Дивиденды по годам'!M421,""),"")</f>
        <v>0.87461024319752056</v>
      </c>
      <c r="V421" cm="1">
        <f t="array" ref="V421">IFERROR(AVERAGE(_xlfn._xlws.FILTER(P$2:P$1073,($C$2:$C$1073=$C421)*($E$2:$E$1073=$E421)*(ROW(P$2:P$1073)&lt;&gt;ROW(P421))*(P$2:P$1073&lt;&gt;""))),"")</f>
        <v>27.063795165371893</v>
      </c>
      <c r="W421" cm="1">
        <f t="array" ref="W421">IFERROR(AVERAGE(_xlfn._xlws.FILTER(Q$2:Q$1073,($C$2:$C$1073=$C421)*($E$2:$E$1073=$E421)*(ROW(Q$2:Q$1073)&lt;&gt;ROW(Q421))*(Q$2:Q$1073&lt;&gt;""))),"")</f>
        <v>0.46090922414194113</v>
      </c>
      <c r="X421" cm="1">
        <f t="array" ref="X421">IFERROR(AVERAGE(_xlfn._xlws.FILTER(R$2:R$1073,($C$2:$C$1073=$C421)*($E$2:$E$1073=$E421)*(ROW(R$2:R$1073)&lt;&gt;ROW(R421))*(R$2:R$1073&lt;&gt;""))),"")</f>
        <v>-4.3881041147074583E-3</v>
      </c>
      <c r="Y421" cm="1">
        <f t="array" ref="Y421">IFERROR(AVERAGE(_xlfn._xlws.FILTER(S$2:S$1073,($C$2:$C$1073=$C421)*($E$2:$E$1073=$E421)*(ROW(S$2:S$1073)&lt;&gt;ROW(S421))*(S$2:S$1073&lt;&gt;""))),"")</f>
        <v>0.86147530488560364</v>
      </c>
      <c r="Z421" cm="1">
        <f t="array" ref="Z421">IFERROR(AVERAGE(_xlfn._xlws.FILTER(T$2:T$1073,($C$2:$C$1073=$C421)*($E$2:$E$1073=$E421)*(ROW(T$2:T$1073)&lt;&gt;ROW(T421))*(T$2:T$1073&lt;&gt;""))),"")</f>
        <v>0.15725398298169668</v>
      </c>
      <c r="AA421" cm="1">
        <f t="array" ref="AA421">IFERROR(AVERAGE(_xlfn._xlws.FILTER(U$2:U$1073,($C$2:$C$1073=$C421)*($E$2:$E$1073=$E421)*(ROW(U$2:U$1073)&lt;&gt;ROW(U421))*(U$2:U$1073&lt;&gt;""))),"")</f>
        <v>1.1812318780743649</v>
      </c>
    </row>
    <row r="422" spans="1:27" x14ac:dyDescent="0.2">
      <c r="A422" s="7" t="s">
        <v>2231</v>
      </c>
      <c r="B422" t="str">
        <f t="shared" si="68"/>
        <v>PLZL IV кв. 2021</v>
      </c>
      <c r="C422">
        <v>2021</v>
      </c>
      <c r="D422">
        <f>SUMIFS(Дивиденды!$C:$C,Дивиденды!$A:$A,A422,Дивиденды!$I:$I,C422)</f>
        <v>26.75</v>
      </c>
      <c r="E422">
        <v>3</v>
      </c>
      <c r="F422">
        <f t="shared" si="69"/>
        <v>26.75</v>
      </c>
      <c r="G422">
        <f t="shared" si="70"/>
        <v>34.18</v>
      </c>
      <c r="H422">
        <f t="shared" si="71"/>
        <v>1</v>
      </c>
      <c r="I422">
        <f t="shared" si="67"/>
        <v>0.7</v>
      </c>
      <c r="J422">
        <f t="shared" si="72"/>
        <v>-0.57363723302518321</v>
      </c>
      <c r="K422">
        <f t="shared" si="76"/>
        <v>0.78806004987331479</v>
      </c>
      <c r="L422">
        <f t="shared" si="73"/>
        <v>0</v>
      </c>
      <c r="M422">
        <f t="shared" si="77"/>
        <v>0.5</v>
      </c>
      <c r="N422">
        <f t="shared" si="74"/>
        <v>1</v>
      </c>
      <c r="O422">
        <f t="shared" si="75"/>
        <v>0.1</v>
      </c>
      <c r="P422">
        <f>IFERROR(LN('Дивиденды по годам'!I422),"")</f>
        <v>27.112057468088935</v>
      </c>
      <c r="Q422">
        <f>IFERROR('Дивиденды по годам'!G422/'Дивиденды по годам'!I422, "")</f>
        <v>0.59786906208150392</v>
      </c>
      <c r="R422">
        <f>IFERROR(IF(AND('Дивиденды по годам'!N422&lt;&gt;"",'Дивиденды по годам'!U422&lt;&gt;"",'Дивиденды по годам'!U422&lt;&gt;0),'Дивиденды по годам'!N422/'Дивиденды по годам'!U422-1,""),"")</f>
        <v>2.6412897840841776E-3</v>
      </c>
      <c r="S422">
        <f>IFERROR(IF(AND('Дивиденды по годам'!L422&lt;&gt;"",'Дивиденды по годам'!I422&lt;&gt;"",'Дивиденды по годам'!J422&lt;&gt;"",'Дивиденды по годам'!K422&lt;&gt;"",('Дивиденды по годам'!I422-'Дивиденды по годам'!J422-'Дивиденды по годам'!K422)&lt;&gt;0),'Дивиденды по годам'!L422/('Дивиденды по годам'!I422-'Дивиденды по годам'!J422-'Дивиденды по годам'!K422),""),"")</f>
        <v>0.66471778381247648</v>
      </c>
      <c r="T422">
        <f>IFERROR(IF(AND('Дивиденды по годам'!Q422&lt;&gt;"",'Дивиденды по годам'!I422&lt;&gt;"",'Дивиденды по годам'!V422&lt;&gt;"",('Дивиденды по годам'!I422+'Дивиденды по годам'!V422)&lt;&gt;0),'Дивиденды по годам'!Q422/(('Дивиденды по годам'!I422+'Дивиденды по годам'!V422)/2),""),"")</f>
        <v>0.29527148694813293</v>
      </c>
      <c r="U422">
        <f>IFERROR(IF(AND('Дивиденды по годам'!J422&lt;&gt;"",'Дивиденды по годам'!K422&lt;&gt;"",'Дивиденды по годам'!M422&lt;&gt;"",'Дивиденды по годам'!M422&lt;&gt;0),('Дивиденды по годам'!J422+'Дивиденды по годам'!K422)/'Дивиденды по годам'!M422,""),"")</f>
        <v>1.2891821615675172</v>
      </c>
      <c r="V422" cm="1">
        <f t="array" ref="V422">IFERROR(AVERAGE(_xlfn._xlws.FILTER(P$2:P$1073,($C$2:$C$1073=$C422)*($E$2:$E$1073=$E422)*(ROW(P$2:P$1073)&lt;&gt;ROW(P422))*(P$2:P$1073&lt;&gt;""))),"")</f>
        <v>26.972090455383075</v>
      </c>
      <c r="W422" cm="1">
        <f t="array" ref="W422">IFERROR(AVERAGE(_xlfn._xlws.FILTER(Q$2:Q$1073,($C$2:$C$1073=$C422)*($E$2:$E$1073=$E422)*(ROW(Q$2:Q$1073)&lt;&gt;ROW(Q422))*(Q$2:Q$1073&lt;&gt;""))),"")</f>
        <v>0.47668442689173807</v>
      </c>
      <c r="X422" cm="1">
        <f t="array" ref="X422">IFERROR(AVERAGE(_xlfn._xlws.FILTER(R$2:R$1073,($C$2:$C$1073=$C422)*($E$2:$E$1073=$E422)*(ROW(R$2:R$1073)&lt;&gt;ROW(R422))*(R$2:R$1073&lt;&gt;""))),"")</f>
        <v>0.75116718942493066</v>
      </c>
      <c r="Y422" cm="1">
        <f t="array" ref="Y422">IFERROR(AVERAGE(_xlfn._xlws.FILTER(S$2:S$1073,($C$2:$C$1073=$C422)*($E$2:$E$1073=$E422)*(ROW(S$2:S$1073)&lt;&gt;ROW(S422))*(S$2:S$1073&lt;&gt;""))),"")</f>
        <v>1.0724755143650073</v>
      </c>
      <c r="Z422" cm="1">
        <f t="array" ref="Z422">IFERROR(AVERAGE(_xlfn._xlws.FILTER(T$2:T$1073,($C$2:$C$1073=$C422)*($E$2:$E$1073=$E422)*(ROW(T$2:T$1073)&lt;&gt;ROW(T422))*(T$2:T$1073&lt;&gt;""))),"")</f>
        <v>0.28656614261408808</v>
      </c>
      <c r="AA422" cm="1">
        <f t="array" ref="AA422">IFERROR(AVERAGE(_xlfn._xlws.FILTER(U$2:U$1073,($C$2:$C$1073=$C422)*($E$2:$E$1073=$E422)*(ROW(U$2:U$1073)&lt;&gt;ROW(U422))*(U$2:U$1073&lt;&gt;""))),"")</f>
        <v>2.1240580121923887</v>
      </c>
    </row>
    <row r="423" spans="1:27" x14ac:dyDescent="0.2">
      <c r="A423" s="7" t="s">
        <v>2231</v>
      </c>
      <c r="B423" t="str">
        <f t="shared" si="68"/>
        <v>PLZL IV кв. 2020</v>
      </c>
      <c r="C423">
        <v>2020</v>
      </c>
      <c r="D423">
        <f>SUMIFS(Дивиденды!$C:$C,Дивиденды!$A:$A,A423,Дивиденды!$I:$I,C423)</f>
        <v>62.739999999999995</v>
      </c>
      <c r="E423">
        <v>3</v>
      </c>
      <c r="F423">
        <f t="shared" si="69"/>
        <v>62.739999999999995</v>
      </c>
      <c r="G423">
        <f t="shared" si="70"/>
        <v>17.709999999999997</v>
      </c>
      <c r="H423">
        <f t="shared" si="71"/>
        <v>1</v>
      </c>
      <c r="I423">
        <f t="shared" si="67"/>
        <v>0.7</v>
      </c>
      <c r="J423">
        <f t="shared" si="72"/>
        <v>0.53849926434526707</v>
      </c>
      <c r="K423">
        <f t="shared" si="76"/>
        <v>0.60552962227545781</v>
      </c>
      <c r="L423">
        <f t="shared" si="73"/>
        <v>1</v>
      </c>
      <c r="M423">
        <f t="shared" si="77"/>
        <v>0.6</v>
      </c>
      <c r="N423">
        <f t="shared" si="74"/>
        <v>0</v>
      </c>
      <c r="O423">
        <f t="shared" si="75"/>
        <v>0.1</v>
      </c>
      <c r="P423">
        <f>IFERROR(LN('Дивиденды по годам'!I423),"")</f>
        <v>27.012753181442683</v>
      </c>
      <c r="Q423">
        <f>IFERROR('Дивиденды по годам'!G423/'Дивиденды по годам'!I423, "")</f>
        <v>0.56492854584626917</v>
      </c>
      <c r="R423">
        <f>IFERROR(IF(AND('Дивиденды по годам'!N423&lt;&gt;"",'Дивиденды по годам'!U423&lt;&gt;"",'Дивиденды по годам'!U423&lt;&gt;0),'Дивиденды по годам'!N423/'Дивиденды по годам'!U423-1,""),"")</f>
        <v>0.41300434512725026</v>
      </c>
      <c r="S423">
        <f>IFERROR(IF(AND('Дивиденды по годам'!L423&lt;&gt;"",'Дивиденды по годам'!I423&lt;&gt;"",'Дивиденды по годам'!J423&lt;&gt;"",'Дивиденды по годам'!K423&lt;&gt;"",('Дивиденды по годам'!I423-'Дивиденды по годам'!J423-'Дивиденды по годам'!K423)&lt;&gt;0),'Дивиденды по годам'!L423/('Дивиденды по годам'!I423-'Дивиденды по годам'!J423-'Дивиденды по годам'!K423),""),"")</f>
        <v>0.5169378943872468</v>
      </c>
      <c r="T423">
        <f>IFERROR(IF(AND('Дивиденды по годам'!Q423&lt;&gt;"",'Дивиденды по годам'!I423&lt;&gt;"",'Дивиденды по годам'!V423&lt;&gt;"",('Дивиденды по годам'!I423+'Дивиденды по годам'!V423)&lt;&gt;0),'Дивиденды по годам'!Q423/(('Дивиденды по годам'!I423+'Дивиденды по годам'!V423)/2),""),"")</f>
        <v>0.23261191418087043</v>
      </c>
      <c r="U423">
        <f>IFERROR(IF(AND('Дивиденды по годам'!J423&lt;&gt;"",'Дивиденды по годам'!K423&lt;&gt;"",'Дивиденды по годам'!M423&lt;&gt;"",'Дивиденды по годам'!M423&lt;&gt;0),('Дивиденды по годам'!J423+'Дивиденды по годам'!K423)/'Дивиденды по годам'!M423,""),"")</f>
        <v>1.9828240894497953</v>
      </c>
      <c r="V423" cm="1">
        <f t="array" ref="V423">IFERROR(AVERAGE(_xlfn._xlws.FILTER(P$2:P$1073,($C$2:$C$1073=$C423)*($E$2:$E$1073=$E423)*(ROW(P$2:P$1073)&lt;&gt;ROW(P423))*(P$2:P$1073&lt;&gt;""))),"")</f>
        <v>26.799265694278652</v>
      </c>
      <c r="W423" cm="1">
        <f t="array" ref="W423">IFERROR(AVERAGE(_xlfn._xlws.FILTER(Q$2:Q$1073,($C$2:$C$1073=$C423)*($E$2:$E$1073=$E423)*(ROW(Q$2:Q$1073)&lt;&gt;ROW(Q423))*(Q$2:Q$1073&lt;&gt;""))),"")</f>
        <v>0.50023472506834221</v>
      </c>
      <c r="X423" cm="1">
        <f t="array" ref="X423">IFERROR(AVERAGE(_xlfn._xlws.FILTER(R$2:R$1073,($C$2:$C$1073=$C423)*($E$2:$E$1073=$E423)*(ROW(R$2:R$1073)&lt;&gt;ROW(R423))*(R$2:R$1073&lt;&gt;""))),"")</f>
        <v>-1.1348966072391132E-2</v>
      </c>
      <c r="Y423" cm="1">
        <f t="array" ref="Y423">IFERROR(AVERAGE(_xlfn._xlws.FILTER(S$2:S$1073,($C$2:$C$1073=$C423)*($E$2:$E$1073=$E423)*(ROW(S$2:S$1073)&lt;&gt;ROW(S423))*(S$2:S$1073&lt;&gt;""))),"")</f>
        <v>1.0934064901067848</v>
      </c>
      <c r="Z423" cm="1">
        <f t="array" ref="Z423">IFERROR(AVERAGE(_xlfn._xlws.FILTER(T$2:T$1073,($C$2:$C$1073=$C423)*($E$2:$E$1073=$E423)*(ROW(T$2:T$1073)&lt;&gt;ROW(T423))*(T$2:T$1073&lt;&gt;""))),"")</f>
        <v>8.0467500088712507E-2</v>
      </c>
      <c r="AA423" cm="1">
        <f t="array" ref="AA423">IFERROR(AVERAGE(_xlfn._xlws.FILTER(U$2:U$1073,($C$2:$C$1073=$C423)*($E$2:$E$1073=$E423)*(ROW(U$2:U$1073)&lt;&gt;ROW(U423))*(U$2:U$1073&lt;&gt;""))),"")</f>
        <v>1.6265390481461324</v>
      </c>
    </row>
    <row r="424" spans="1:27" x14ac:dyDescent="0.2">
      <c r="A424" s="7" t="s">
        <v>2231</v>
      </c>
      <c r="B424" t="str">
        <f t="shared" si="68"/>
        <v>PLZL IV кв. 2019</v>
      </c>
      <c r="C424">
        <v>2019</v>
      </c>
      <c r="D424">
        <f>SUMIFS(Дивиденды!$C:$C,Дивиденды!$A:$A,A424,Дивиденды!$I:$I,C424)</f>
        <v>40.78</v>
      </c>
      <c r="E424">
        <v>3</v>
      </c>
      <c r="F424">
        <f t="shared" si="69"/>
        <v>40.78</v>
      </c>
      <c r="G424">
        <f t="shared" si="70"/>
        <v>15.513000000000002</v>
      </c>
      <c r="H424">
        <f t="shared" si="71"/>
        <v>1</v>
      </c>
      <c r="I424">
        <f t="shared" si="67"/>
        <v>0.7</v>
      </c>
      <c r="J424">
        <f t="shared" si="72"/>
        <v>0.48452857662904997</v>
      </c>
      <c r="K424">
        <f t="shared" si="76"/>
        <v>0.20315373799729616</v>
      </c>
      <c r="L424">
        <f t="shared" si="73"/>
        <v>1</v>
      </c>
      <c r="M424">
        <f t="shared" si="77"/>
        <v>0.3</v>
      </c>
      <c r="N424">
        <f t="shared" si="74"/>
        <v>0</v>
      </c>
      <c r="O424">
        <f t="shared" si="75"/>
        <v>0.4</v>
      </c>
      <c r="P424">
        <f>IFERROR(LN('Дивиденды по годам'!I424),"")</f>
        <v>26.968364342366602</v>
      </c>
      <c r="Q424">
        <f>IFERROR('Дивиденды по годам'!G424/'Дивиденды по годам'!I424, "")</f>
        <v>0.5620373244354776</v>
      </c>
      <c r="R424">
        <f>IFERROR(IF(AND('Дивиденды по годам'!N424&lt;&gt;"",'Дивиденды по годам'!U424&lt;&gt;"",'Дивиденды по годам'!U424&lt;&gt;0),'Дивиденды по годам'!N424/'Дивиденды по годам'!U424-1,""),"")</f>
        <v>0.39562081736079535</v>
      </c>
      <c r="S424">
        <f>IFERROR(IF(AND('Дивиденды по годам'!L424&lt;&gt;"",'Дивиденды по годам'!I424&lt;&gt;"",'Дивиденды по годам'!J424&lt;&gt;"",'Дивиденды по годам'!K424&lt;&gt;"",('Дивиденды по годам'!I424-'Дивиденды по годам'!J424-'Дивиденды по годам'!K424)&lt;&gt;0),'Дивиденды по годам'!L424/('Дивиденды по годам'!I424-'Дивиденды по годам'!J424-'Дивиденды по годам'!K424),""),"")</f>
        <v>0.36934000894960362</v>
      </c>
      <c r="T424">
        <f>IFERROR(IF(AND('Дивиденды по годам'!Q424&lt;&gt;"",'Дивиденды по годам'!I424&lt;&gt;"",'Дивиденды по годам'!V424&lt;&gt;"",('Дивиденды по годам'!I424+'Дивиденды по годам'!V424)&lt;&gt;0),'Дивиденды по годам'!Q424/(('Дивиденды по годам'!I424+'Дивиденды по годам'!V424)/2),""),"")</f>
        <v>0.26766892492487349</v>
      </c>
      <c r="U424">
        <f>IFERROR(IF(AND('Дивиденды по годам'!J424&lt;&gt;"",'Дивиденды по годам'!K424&lt;&gt;"",'Дивиденды по годам'!M424&lt;&gt;"",'Дивиденды по годам'!M424&lt;&gt;0),('Дивиденды по годам'!J424+'Дивиденды по годам'!K424)/'Дивиденды по годам'!M424,""),"")</f>
        <v>3.3522091167754411</v>
      </c>
      <c r="V424" cm="1">
        <f t="array" ref="V424">IFERROR(AVERAGE(_xlfn._xlws.FILTER(P$2:P$1073,($C$2:$C$1073=$C424)*($E$2:$E$1073=$E424)*(ROW(P$2:P$1073)&lt;&gt;ROW(P424))*(P$2:P$1073&lt;&gt;""))),"")</f>
        <v>26.688792670720012</v>
      </c>
      <c r="W424" cm="1">
        <f t="array" ref="W424">IFERROR(AVERAGE(_xlfn._xlws.FILTER(Q$2:Q$1073,($C$2:$C$1073=$C424)*($E$2:$E$1073=$E424)*(ROW(Q$2:Q$1073)&lt;&gt;ROW(Q424))*(Q$2:Q$1073&lt;&gt;""))),"")</f>
        <v>0.49458540475080159</v>
      </c>
      <c r="X424" cm="1">
        <f t="array" ref="X424">IFERROR(AVERAGE(_xlfn._xlws.FILTER(R$2:R$1073,($C$2:$C$1073=$C424)*($E$2:$E$1073=$E424)*(ROW(R$2:R$1073)&lt;&gt;ROW(R424))*(R$2:R$1073&lt;&gt;""))),"")</f>
        <v>3.1964825310993985E-3</v>
      </c>
      <c r="Y424" cm="1">
        <f t="array" ref="Y424">IFERROR(AVERAGE(_xlfn._xlws.FILTER(S$2:S$1073,($C$2:$C$1073=$C424)*($E$2:$E$1073=$E424)*(ROW(S$2:S$1073)&lt;&gt;ROW(S424))*(S$2:S$1073&lt;&gt;""))),"")</f>
        <v>0.96206481838792968</v>
      </c>
      <c r="Z424" cm="1">
        <f t="array" ref="Z424">IFERROR(AVERAGE(_xlfn._xlws.FILTER(T$2:T$1073,($C$2:$C$1073=$C424)*($E$2:$E$1073=$E424)*(ROW(T$2:T$1073)&lt;&gt;ROW(T424))*(T$2:T$1073&lt;&gt;""))),"")</f>
        <v>0.12503483236194149</v>
      </c>
      <c r="AA424" cm="1">
        <f t="array" ref="AA424">IFERROR(AVERAGE(_xlfn._xlws.FILTER(U$2:U$1073,($C$2:$C$1073=$C424)*($E$2:$E$1073=$E424)*(ROW(U$2:U$1073)&lt;&gt;ROW(U424))*(U$2:U$1073&lt;&gt;""))),"")</f>
        <v>1.3796844213338875</v>
      </c>
    </row>
    <row r="425" spans="1:27" x14ac:dyDescent="0.2">
      <c r="A425" s="7" t="s">
        <v>2231</v>
      </c>
      <c r="B425" t="str">
        <f t="shared" si="68"/>
        <v>PLZL IV кв. 2018</v>
      </c>
      <c r="C425">
        <v>2018</v>
      </c>
      <c r="D425">
        <f>SUMIFS(Дивиденды!$C:$C,Дивиденды!$A:$A,A425,Дивиденды!$I:$I,C425)</f>
        <v>27.47</v>
      </c>
      <c r="E425">
        <v>3</v>
      </c>
      <c r="F425">
        <f t="shared" si="69"/>
        <v>27.47</v>
      </c>
      <c r="G425">
        <f t="shared" si="70"/>
        <v>19.947999999999997</v>
      </c>
      <c r="H425">
        <f t="shared" si="71"/>
        <v>1</v>
      </c>
      <c r="I425">
        <f t="shared" si="67"/>
        <v>0.4</v>
      </c>
      <c r="J425">
        <f t="shared" si="72"/>
        <v>9.2680986475735805E-2</v>
      </c>
      <c r="K425">
        <f t="shared" si="76"/>
        <v>0.11158876958848171</v>
      </c>
      <c r="L425">
        <f t="shared" si="73"/>
        <v>1</v>
      </c>
      <c r="M425">
        <f t="shared" si="77"/>
        <v>0.4</v>
      </c>
      <c r="N425">
        <f t="shared" si="74"/>
        <v>0</v>
      </c>
      <c r="O425">
        <f t="shared" si="75"/>
        <v>0.2</v>
      </c>
      <c r="P425">
        <f>IFERROR(LN('Дивиденды по годам'!I425),"")</f>
        <v>26.759412120179281</v>
      </c>
      <c r="Q425">
        <f>IFERROR('Дивиденды по годам'!G425/'Дивиденды по годам'!I425, "")</f>
        <v>0.61790483840890509</v>
      </c>
      <c r="R425">
        <f>IFERROR(IF(AND('Дивиденды по годам'!N425&lt;&gt;"",'Дивиденды по годам'!U425&lt;&gt;"",'Дивиденды по годам'!U425&lt;&gt;0),'Дивиденды по годам'!N425/'Дивиденды по годам'!U425-1,""),"")</f>
        <v>0.16400614606710828</v>
      </c>
      <c r="S425">
        <f>IFERROR(IF(AND('Дивиденды по годам'!L425&lt;&gt;"",'Дивиденды по годам'!I425&lt;&gt;"",'Дивиденды по годам'!J425&lt;&gt;"",'Дивиденды по годам'!K425&lt;&gt;"",('Дивиденды по годам'!I425-'Дивиденды по годам'!J425-'Дивиденды по годам'!K425)&lt;&gt;0),'Дивиденды по годам'!L425/('Дивиденды по годам'!I425-'Дивиденды по годам'!J425-'Дивиденды по годам'!K425),""),"")</f>
        <v>-1.2428048310420146</v>
      </c>
      <c r="T425">
        <f>IFERROR(IF(AND('Дивиденды по годам'!Q425&lt;&gt;"",'Дивиденды по годам'!I425&lt;&gt;"",'Дивиденды по годам'!V425&lt;&gt;"",('Дивиденды по годам'!I425+'Дивиденды по годам'!V425)&lt;&gt;0),'Дивиденды по годам'!Q425/(('Дивиденды по годам'!I425+'Дивиденды по годам'!V425)/2),""),"")</f>
        <v>7.3697376488828889E-2</v>
      </c>
      <c r="U425">
        <f>IFERROR(IF(AND('Дивиденды по годам'!J425&lt;&gt;"",'Дивиденды по годам'!K425&lt;&gt;"",'Дивиденды по годам'!M425&lt;&gt;"",'Дивиденды по годам'!M425&lt;&gt;0),('Дивиденды по годам'!J425+'Дивиденды по годам'!K425)/'Дивиденды по годам'!M425,""),"")</f>
        <v>12.435628934858023</v>
      </c>
      <c r="V425" cm="1">
        <f t="array" ref="V425">IFERROR(AVERAGE(_xlfn._xlws.FILTER(P$2:P$1073,($C$2:$C$1073=$C425)*($E$2:$E$1073=$E425)*(ROW(P$2:P$1073)&lt;&gt;ROW(P425))*(P$2:P$1073&lt;&gt;""))),"")</f>
        <v>26.551657841559482</v>
      </c>
      <c r="W425" cm="1">
        <f t="array" ref="W425">IFERROR(AVERAGE(_xlfn._xlws.FILTER(Q$2:Q$1073,($C$2:$C$1073=$C425)*($E$2:$E$1073=$E425)*(ROW(Q$2:Q$1073)&lt;&gt;ROW(Q425))*(Q$2:Q$1073&lt;&gt;""))),"")</f>
        <v>0.50818084484556691</v>
      </c>
      <c r="X425" cm="1">
        <f t="array" ref="X425">IFERROR(AVERAGE(_xlfn._xlws.FILTER(R$2:R$1073,($C$2:$C$1073=$C425)*($E$2:$E$1073=$E425)*(ROW(R$2:R$1073)&lt;&gt;ROW(R425))*(R$2:R$1073&lt;&gt;""))),"")</f>
        <v>0.22289535272743355</v>
      </c>
      <c r="Y425" cm="1">
        <f t="array" ref="Y425">IFERROR(AVERAGE(_xlfn._xlws.FILTER(S$2:S$1073,($C$2:$C$1073=$C425)*($E$2:$E$1073=$E425)*(ROW(S$2:S$1073)&lt;&gt;ROW(S425))*(S$2:S$1073&lt;&gt;""))),"")</f>
        <v>1.1400875397384618</v>
      </c>
      <c r="Z425" cm="1">
        <f t="array" ref="Z425">IFERROR(AVERAGE(_xlfn._xlws.FILTER(T$2:T$1073,($C$2:$C$1073=$C425)*($E$2:$E$1073=$E425)*(ROW(T$2:T$1073)&lt;&gt;ROW(T425))*(T$2:T$1073&lt;&gt;""))),"")</f>
        <v>0.16339310204693139</v>
      </c>
      <c r="AA425" cm="1">
        <f t="array" ref="AA425">IFERROR(AVERAGE(_xlfn._xlws.FILTER(U$2:U$1073,($C$2:$C$1073=$C425)*($E$2:$E$1073=$E425)*(ROW(U$2:U$1073)&lt;&gt;ROW(U425))*(U$2:U$1073&lt;&gt;""))),"")</f>
        <v>1.3285126168460555</v>
      </c>
    </row>
    <row r="426" spans="1:27" x14ac:dyDescent="0.2">
      <c r="A426" s="7" t="s">
        <v>2231</v>
      </c>
      <c r="B426" t="str">
        <f t="shared" si="68"/>
        <v>PLZL IV кв. 2017</v>
      </c>
      <c r="C426">
        <v>2017</v>
      </c>
      <c r="D426">
        <f>SUMIFS(Дивиденды!$C:$C,Дивиденды!$A:$A,A426,Дивиденды!$I:$I,C426)</f>
        <v>25.14</v>
      </c>
      <c r="E426">
        <v>3</v>
      </c>
      <c r="F426">
        <f t="shared" si="69"/>
        <v>25.14</v>
      </c>
      <c r="G426">
        <f t="shared" si="70"/>
        <v>13.554876314825083</v>
      </c>
      <c r="H426">
        <f t="shared" si="71"/>
        <v>1</v>
      </c>
      <c r="I426">
        <f t="shared" si="67"/>
        <v>0.6</v>
      </c>
      <c r="J426">
        <f t="shared" si="72"/>
        <v>0.64960629921259849</v>
      </c>
      <c r="K426">
        <f t="shared" si="76"/>
        <v>5.2132395121345397E-2</v>
      </c>
      <c r="L426">
        <f t="shared" si="73"/>
        <v>1</v>
      </c>
      <c r="M426">
        <f t="shared" si="77"/>
        <v>0.4</v>
      </c>
      <c r="N426">
        <f t="shared" si="74"/>
        <v>0</v>
      </c>
      <c r="O426">
        <f t="shared" si="75"/>
        <v>0.2</v>
      </c>
      <c r="P426">
        <f>IFERROR(LN('Дивиденды по годам'!I426),"")</f>
        <v>26.652703226837914</v>
      </c>
      <c r="Q426">
        <f>IFERROR('Дивиденды по годам'!G426/'Дивиденды по годам'!I426, "")</f>
        <v>0.62121917170777108</v>
      </c>
      <c r="R426">
        <f>IFERROR(IF(AND('Дивиденды по годам'!N426&lt;&gt;"",'Дивиденды по годам'!U426&lt;&gt;"",'Дивиденды по годам'!U426&lt;&gt;0),'Дивиденды по годам'!N426/'Дивиденды по годам'!U426-1,""),"")</f>
        <v>-2.8196546281321289E-2</v>
      </c>
      <c r="S426">
        <f>IFERROR(IF(AND('Дивиденды по годам'!L426&lt;&gt;"",'Дивиденды по годам'!I426&lt;&gt;"",'Дивиденды по годам'!J426&lt;&gt;"",'Дивиденды по годам'!K426&lt;&gt;"",('Дивиденды по годам'!I426-'Дивиденды по годам'!J426-'Дивиденды по годам'!K426)&lt;&gt;0),'Дивиденды по годам'!L426/('Дивиденды по годам'!I426-'Дивиденды по годам'!J426-'Дивиденды по годам'!K426),""),"")</f>
        <v>2.1722560975609766</v>
      </c>
      <c r="T426">
        <f>IFERROR(IF(AND('Дивиденды по годам'!Q426&lt;&gt;"",'Дивиденды по годам'!I426&lt;&gt;"",'Дивиденды по годам'!V426&lt;&gt;"",('Дивиденды по годам'!I426+'Дивиденды по годам'!V426)&lt;&gt;0),'Дивиденды по годам'!Q426/(('Дивиденды по годам'!I426+'Дивиденды по годам'!V426)/2),""),"")</f>
        <v>0.20111820672348849</v>
      </c>
      <c r="U426">
        <f>IFERROR(IF(AND('Дивиденды по годам'!J426&lt;&gt;"",'Дивиденды по годам'!K426&lt;&gt;"",'Дивиденды по годам'!M426&lt;&gt;"",'Дивиденды по годам'!M426&lt;&gt;0),('Дивиденды по годам'!J426+'Дивиденды по годам'!K426)/'Дивиденды по годам'!M426,""),"")</f>
        <v>8.8277439024390247</v>
      </c>
      <c r="V426" cm="1">
        <f t="array" ref="V426">IFERROR(AVERAGE(_xlfn._xlws.FILTER(P$2:P$1073,($C$2:$C$1073=$C426)*($E$2:$E$1073=$E426)*(ROW(P$2:P$1073)&lt;&gt;ROW(P426))*(P$2:P$1073&lt;&gt;""))),"")</f>
        <v>26.53307403007609</v>
      </c>
      <c r="W426" cm="1">
        <f t="array" ref="W426">IFERROR(AVERAGE(_xlfn._xlws.FILTER(Q$2:Q$1073,($C$2:$C$1073=$C426)*($E$2:$E$1073=$E426)*(ROW(Q$2:Q$1073)&lt;&gt;ROW(Q426))*(Q$2:Q$1073&lt;&gt;""))),"")</f>
        <v>0.52735507662367664</v>
      </c>
      <c r="X426" cm="1">
        <f t="array" ref="X426">IFERROR(AVERAGE(_xlfn._xlws.FILTER(R$2:R$1073,($C$2:$C$1073=$C426)*($E$2:$E$1073=$E426)*(ROW(R$2:R$1073)&lt;&gt;ROW(R426))*(R$2:R$1073&lt;&gt;""))),"")</f>
        <v>0.1130903370254189</v>
      </c>
      <c r="Y426" cm="1">
        <f t="array" ref="Y426">IFERROR(AVERAGE(_xlfn._xlws.FILTER(S$2:S$1073,($C$2:$C$1073=$C426)*($E$2:$E$1073=$E426)*(ROW(S$2:S$1073)&lt;&gt;ROW(S426))*(S$2:S$1073&lt;&gt;""))),"")</f>
        <v>0.94639899891877732</v>
      </c>
      <c r="Z426" cm="1">
        <f t="array" ref="Z426">IFERROR(AVERAGE(_xlfn._xlws.FILTER(T$2:T$1073,($C$2:$C$1073=$C426)*($E$2:$E$1073=$E426)*(ROW(T$2:T$1073)&lt;&gt;ROW(T426))*(T$2:T$1073&lt;&gt;""))),"")</f>
        <v>0.11361086254277245</v>
      </c>
      <c r="AA426" cm="1">
        <f t="array" ref="AA426">IFERROR(AVERAGE(_xlfn._xlws.FILTER(U$2:U$1073,($C$2:$C$1073=$C426)*($E$2:$E$1073=$E426)*(ROW(U$2:U$1073)&lt;&gt;ROW(U426))*(U$2:U$1073&lt;&gt;""))),"")</f>
        <v>1.2932856929613004</v>
      </c>
    </row>
    <row r="427" spans="1:27" x14ac:dyDescent="0.2">
      <c r="A427" s="7" t="s">
        <v>2231</v>
      </c>
      <c r="B427" t="str">
        <f t="shared" si="68"/>
        <v>PLZL IV кв. 2016</v>
      </c>
      <c r="C427">
        <v>2016</v>
      </c>
      <c r="D427">
        <f>SUMIFS(Дивиденды!$C:$C,Дивиденды!$A:$A,A427,Дивиденды!$I:$I,C427)</f>
        <v>15.24</v>
      </c>
      <c r="E427">
        <v>3</v>
      </c>
      <c r="F427">
        <f t="shared" si="69"/>
        <v>15.24</v>
      </c>
      <c r="G427">
        <f t="shared" si="70"/>
        <v>10.571639712606382</v>
      </c>
      <c r="H427">
        <f t="shared" si="71"/>
        <v>1</v>
      </c>
      <c r="I427">
        <f t="shared" si="67"/>
        <v>0.6</v>
      </c>
      <c r="J427">
        <f t="shared" si="72"/>
        <v>1</v>
      </c>
      <c r="K427">
        <f t="shared" si="76"/>
        <v>0.58768115603983129</v>
      </c>
      <c r="L427">
        <f t="shared" si="73"/>
        <v>1</v>
      </c>
      <c r="M427">
        <f t="shared" si="77"/>
        <v>0.6</v>
      </c>
      <c r="N427">
        <f t="shared" si="74"/>
        <v>0</v>
      </c>
      <c r="O427">
        <f t="shared" si="75"/>
        <v>0</v>
      </c>
      <c r="P427">
        <f>IFERROR(LN('Дивиденды по годам'!I427),"")</f>
        <v>26.563023382678033</v>
      </c>
      <c r="Q427">
        <f>IFERROR('Дивиденды по годам'!G427/'Дивиденды по годам'!I427, "")</f>
        <v>0.51847562962618132</v>
      </c>
      <c r="R427">
        <f>IFERROR(IF(AND('Дивиденды по годам'!N427&lt;&gt;"",'Дивиденды по годам'!U427&lt;&gt;"",'Дивиденды по годам'!U427&lt;&gt;0),'Дивиденды по годам'!N427/'Дивиденды по годам'!U427-1,""),"")</f>
        <v>0.21775897576867842</v>
      </c>
      <c r="S427">
        <f>IFERROR(IF(AND('Дивиденды по годам'!L427&lt;&gt;"",'Дивиденды по годам'!I427&lt;&gt;"",'Дивиденды по годам'!J427&lt;&gt;"",'Дивиденды по годам'!K427&lt;&gt;"",('Дивиденды по годам'!I427-'Дивиденды по годам'!J427-'Дивиденды по годам'!K427)&lt;&gt;0),'Дивиденды по годам'!L427/('Дивиденды по годам'!I427-'Дивиденды по годам'!J427-'Дивиденды по годам'!K427),""),"")</f>
        <v>-6.5798877790600505</v>
      </c>
      <c r="T427">
        <f>IFERROR(IF(AND('Дивиденды по годам'!Q427&lt;&gt;"",'Дивиденды по годам'!I427&lt;&gt;"",'Дивиденды по годам'!V427&lt;&gt;"",('Дивиденды по годам'!I427+'Дивиденды по годам'!V427)&lt;&gt;0),'Дивиденды по годам'!Q427/(('Дивиденды по годам'!I427+'Дивиденды по годам'!V427)/2),""),"")</f>
        <v>0.29491964411590665</v>
      </c>
      <c r="U427">
        <f>IFERROR(IF(AND('Дивиденды по годам'!J427&lt;&gt;"",'Дивиденды по годам'!K427&lt;&gt;"",'Дивиденды по годам'!M427&lt;&gt;"",'Дивиденды по годам'!M427&lt;&gt;0),('Дивиденды по годам'!J427+'Дивиденды по годам'!K427)/'Дивиденды по годам'!M427,""),"")</f>
        <v>-14.677265310995264</v>
      </c>
      <c r="V427" cm="1">
        <f t="array" ref="V427">IFERROR(AVERAGE(_xlfn._xlws.FILTER(P$2:P$1073,($C$2:$C$1073=$C427)*($E$2:$E$1073=$E427)*(ROW(P$2:P$1073)&lt;&gt;ROW(P427))*(P$2:P$1073&lt;&gt;""))),"")</f>
        <v>26.542736515363099</v>
      </c>
      <c r="W427" cm="1">
        <f t="array" ref="W427">IFERROR(AVERAGE(_xlfn._xlws.FILTER(Q$2:Q$1073,($C$2:$C$1073=$C427)*($E$2:$E$1073=$E427)*(ROW(Q$2:Q$1073)&lt;&gt;ROW(Q427))*(Q$2:Q$1073&lt;&gt;""))),"")</f>
        <v>0.50874654089017135</v>
      </c>
      <c r="X427" cm="1">
        <f t="array" ref="X427">IFERROR(AVERAGE(_xlfn._xlws.FILTER(R$2:R$1073,($C$2:$C$1073=$C427)*($E$2:$E$1073=$E427)*(ROW(R$2:R$1073)&lt;&gt;ROW(R427))*(R$2:R$1073&lt;&gt;""))),"")</f>
        <v>0.12639389941621879</v>
      </c>
      <c r="Y427" cm="1">
        <f t="array" ref="Y427">IFERROR(AVERAGE(_xlfn._xlws.FILTER(S$2:S$1073,($C$2:$C$1073=$C427)*($E$2:$E$1073=$E427)*(ROW(S$2:S$1073)&lt;&gt;ROW(S427))*(S$2:S$1073&lt;&gt;""))),"")</f>
        <v>0.9845612367969947</v>
      </c>
      <c r="Z427" cm="1">
        <f t="array" ref="Z427">IFERROR(AVERAGE(_xlfn._xlws.FILTER(T$2:T$1073,($C$2:$C$1073=$C427)*($E$2:$E$1073=$E427)*(ROW(T$2:T$1073)&lt;&gt;ROW(T427))*(T$2:T$1073&lt;&gt;""))),"")</f>
        <v>0.14856735325807288</v>
      </c>
      <c r="AA427" cm="1">
        <f t="array" ref="AA427">IFERROR(AVERAGE(_xlfn._xlws.FILTER(U$2:U$1073,($C$2:$C$1073=$C427)*($E$2:$E$1073=$E427)*(ROW(U$2:U$1073)&lt;&gt;ROW(U427))*(U$2:U$1073&lt;&gt;""))),"")</f>
        <v>1.6400235687752638</v>
      </c>
    </row>
    <row r="428" spans="1:27" x14ac:dyDescent="0.2">
      <c r="A428" s="7" t="s">
        <v>2231</v>
      </c>
      <c r="B428" t="str">
        <f t="shared" si="68"/>
        <v>PLZL IV кв. 2015</v>
      </c>
      <c r="C428">
        <v>2015</v>
      </c>
      <c r="D428">
        <f>SUMIFS(Дивиденды!$C:$C,Дивиденды!$A:$A,A428,Дивиденды!$I:$I,C428)</f>
        <v>0</v>
      </c>
      <c r="E428">
        <v>3</v>
      </c>
      <c r="F428">
        <f t="shared" si="69"/>
        <v>0</v>
      </c>
      <c r="G428">
        <f t="shared" si="70"/>
        <v>7.2240627742857146</v>
      </c>
      <c r="H428">
        <f t="shared" si="71"/>
        <v>0</v>
      </c>
      <c r="I428">
        <f t="shared" si="67"/>
        <v>0.6</v>
      </c>
      <c r="J428">
        <f t="shared" si="72"/>
        <v>0</v>
      </c>
      <c r="K428">
        <f t="shared" si="76"/>
        <v>0.8808871705905531</v>
      </c>
      <c r="L428">
        <f t="shared" si="73"/>
        <v>0</v>
      </c>
      <c r="M428">
        <f t="shared" si="77"/>
        <v>0.5</v>
      </c>
      <c r="N428">
        <f t="shared" si="74"/>
        <v>0</v>
      </c>
      <c r="O428">
        <f t="shared" si="75"/>
        <v>0.1</v>
      </c>
      <c r="P428">
        <f>IFERROR(LN('Дивиденды по годам'!I428),"")</f>
        <v>26.434787686991324</v>
      </c>
      <c r="Q428">
        <f>IFERROR('Дивиденды по годам'!G428/'Дивиденды по годам'!I428, "")</f>
        <v>0.40984602917341983</v>
      </c>
      <c r="R428">
        <f>IFERROR(IF(AND('Дивиденды по годам'!N428&lt;&gt;"",'Дивиденды по годам'!U428&lt;&gt;"",'Дивиденды по годам'!U428&lt;&gt;0),'Дивиденды по годам'!N428/'Дивиденды по годам'!U428-1,""),"")</f>
        <v>0.54489233970251583</v>
      </c>
      <c r="S428">
        <f>IFERROR(IF(AND('Дивиденды по годам'!L428&lt;&gt;"",'Дивиденды по годам'!I428&lt;&gt;"",'Дивиденды по годам'!J428&lt;&gt;"",'Дивиденды по годам'!K428&lt;&gt;"",('Дивиденды по годам'!I428-'Дивиденды по годам'!J428-'Дивиденды по годам'!K428)&lt;&gt;0),'Дивиденды по годам'!L428/('Дивиденды по годам'!I428-'Дивиденды по годам'!J428-'Дивиденды по годам'!K428),""),"")</f>
        <v>1.1225359616409167</v>
      </c>
      <c r="T428">
        <f>IFERROR(IF(AND('Дивиденды по годам'!Q428&lt;&gt;"",'Дивиденды по годам'!I428&lt;&gt;"",'Дивиденды по годам'!V428&lt;&gt;"",('Дивиденды по годам'!I428+'Дивиденды по годам'!V428)&lt;&gt;0),'Дивиденды по годам'!Q428/(('Дивиденды по годам'!I428+'Дивиденды по годам'!V428)/2),""),"")</f>
        <v>0.28036370080403633</v>
      </c>
      <c r="U428">
        <f>IFERROR(IF(AND('Дивиденды по годам'!J428&lt;&gt;"",'Дивиденды по годам'!K428&lt;&gt;"",'Дивиденды по годам'!M428&lt;&gt;"",'Дивиденды по годам'!M428&lt;&gt;0),('Дивиденды по годам'!J428+'Дивиденды по годам'!K428)/'Дивиденды по годам'!M428,""),"")</f>
        <v>1.6297282898241876</v>
      </c>
      <c r="V428" cm="1">
        <f t="array" ref="V428">IFERROR(AVERAGE(_xlfn._xlws.FILTER(P$2:P$1073,($C$2:$C$1073=$C428)*($E$2:$E$1073=$E428)*(ROW(P$2:P$1073)&lt;&gt;ROW(P428))*(P$2:P$1073&lt;&gt;""))),"")</f>
        <v>26.350283740928528</v>
      </c>
      <c r="W428" cm="1">
        <f t="array" ref="W428">IFERROR(AVERAGE(_xlfn._xlws.FILTER(Q$2:Q$1073,($C$2:$C$1073=$C428)*($E$2:$E$1073=$E428)*(ROW(Q$2:Q$1073)&lt;&gt;ROW(Q428))*(Q$2:Q$1073&lt;&gt;""))),"")</f>
        <v>0.5074832416939079</v>
      </c>
      <c r="X428" cm="1">
        <f t="array" ref="X428">IFERROR(AVERAGE(_xlfn._xlws.FILTER(R$2:R$1073,($C$2:$C$1073=$C428)*($E$2:$E$1073=$E428)*(ROW(R$2:R$1073)&lt;&gt;ROW(R428))*(R$2:R$1073&lt;&gt;""))),"")</f>
        <v>0.22069284979897213</v>
      </c>
      <c r="Y428" cm="1">
        <f t="array" ref="Y428">IFERROR(AVERAGE(_xlfn._xlws.FILTER(S$2:S$1073,($C$2:$C$1073=$C428)*($E$2:$E$1073=$E428)*(ROW(S$2:S$1073)&lt;&gt;ROW(S428))*(S$2:S$1073&lt;&gt;""))),"")</f>
        <v>0.94997838126214029</v>
      </c>
      <c r="Z428" cm="1">
        <f t="array" ref="Z428">IFERROR(AVERAGE(_xlfn._xlws.FILTER(T$2:T$1073,($C$2:$C$1073=$C428)*($E$2:$E$1073=$E428)*(ROW(T$2:T$1073)&lt;&gt;ROW(T428))*(T$2:T$1073&lt;&gt;""))),"")</f>
        <v>-5.2966249697537987E-3</v>
      </c>
      <c r="AA428" cm="1">
        <f t="array" ref="AA428">IFERROR(AVERAGE(_xlfn._xlws.FILTER(U$2:U$1073,($C$2:$C$1073=$C428)*($E$2:$E$1073=$E428)*(ROW(U$2:U$1073)&lt;&gt;ROW(U428))*(U$2:U$1073&lt;&gt;""))),"")</f>
        <v>3.1330860258309929</v>
      </c>
    </row>
    <row r="429" spans="1:27" x14ac:dyDescent="0.2">
      <c r="A429" s="7" t="s">
        <v>2231</v>
      </c>
      <c r="B429" t="str">
        <f t="shared" si="68"/>
        <v>PLZL IV кв. 2014</v>
      </c>
      <c r="C429">
        <v>2014</v>
      </c>
      <c r="D429">
        <f>SUMIFS(Дивиденды!$C:$C,Дивиденды!$A:$A,A429,Дивиденды!$I:$I,C429)</f>
        <v>0</v>
      </c>
      <c r="E429">
        <v>3</v>
      </c>
      <c r="F429">
        <f t="shared" si="69"/>
        <v>0</v>
      </c>
      <c r="G429">
        <f t="shared" si="70"/>
        <v>7.8559999999999999</v>
      </c>
      <c r="H429">
        <f t="shared" si="71"/>
        <v>0</v>
      </c>
      <c r="I429">
        <f t="shared" si="67"/>
        <v>0.5</v>
      </c>
      <c r="J429">
        <f t="shared" si="72"/>
        <v>0</v>
      </c>
      <c r="K429">
        <f t="shared" si="76"/>
        <v>1.0733185192796773</v>
      </c>
      <c r="L429">
        <f t="shared" si="73"/>
        <v>0</v>
      </c>
      <c r="M429">
        <f t="shared" si="77"/>
        <v>0.3</v>
      </c>
      <c r="N429">
        <f t="shared" si="74"/>
        <v>0</v>
      </c>
      <c r="O429">
        <f t="shared" si="75"/>
        <v>0.1</v>
      </c>
      <c r="P429">
        <f>IFERROR(LN('Дивиденды по годам'!I429),"")</f>
        <v>25.952221995791938</v>
      </c>
      <c r="Q429">
        <f>IFERROR('Дивиденды по годам'!G429/'Дивиденды по годам'!I429, "")</f>
        <v>0.19734108849189863</v>
      </c>
      <c r="R429">
        <f>IFERROR(IF(AND('Дивиденды по годам'!N429&lt;&gt;"",'Дивиденды по годам'!U429&lt;&gt;"",'Дивиденды по годам'!U429&lt;&gt;0),'Дивиденды по годам'!N429/'Дивиденды по годам'!U429-1,""),"")</f>
        <v>0.17080413681093187</v>
      </c>
      <c r="S429">
        <f>IFERROR(IF(AND('Дивиденды по годам'!L429&lt;&gt;"",'Дивиденды по годам'!I429&lt;&gt;"",'Дивиденды по годам'!J429&lt;&gt;"",'Дивиденды по годам'!K429&lt;&gt;"",('Дивиденды по годам'!I429-'Дивиденды по годам'!J429-'Дивиденды по годам'!K429)&lt;&gt;0),'Дивиденды по годам'!L429/('Дивиденды по годам'!I429-'Дивиденды по годам'!J429-'Дивиденды по годам'!K429),""),"")</f>
        <v>0.77654320987654357</v>
      </c>
      <c r="T429">
        <f>IFERROR(IF(AND('Дивиденды по годам'!Q429&lt;&gt;"",'Дивиденды по годам'!I429&lt;&gt;"",'Дивиденды по годам'!V429&lt;&gt;"",('Дивиденды по годам'!I429+'Дивиденды по годам'!V429)&lt;&gt;0),'Дивиденды по годам'!Q429/(('Дивиденды по годам'!I429+'Дивиденды по годам'!V429)/2),""),"")</f>
        <v>-3.7425611559656721E-2</v>
      </c>
      <c r="U429">
        <f>IFERROR(IF(AND('Дивиденды по годам'!J429&lt;&gt;"",'Дивиденды по годам'!K429&lt;&gt;"",'Дивиденды по годам'!M429&lt;&gt;"",'Дивиденды по годам'!M429&lt;&gt;0),('Дивиденды по годам'!J429+'Дивиденды по годам'!K429)/'Дивиденды по годам'!M429,""),"")</f>
        <v>1.971604938271605</v>
      </c>
      <c r="V429" cm="1">
        <f t="array" ref="V429">IFERROR(AVERAGE(_xlfn._xlws.FILTER(P$2:P$1073,($C$2:$C$1073=$C429)*($E$2:$E$1073=$E429)*(ROW(P$2:P$1073)&lt;&gt;ROW(P429))*(P$2:P$1073&lt;&gt;""))),"")</f>
        <v>26.336662157941319</v>
      </c>
      <c r="W429" cm="1">
        <f t="array" ref="W429">IFERROR(AVERAGE(_xlfn._xlws.FILTER(Q$2:Q$1073,($C$2:$C$1073=$C429)*($E$2:$E$1073=$E429)*(ROW(Q$2:Q$1073)&lt;&gt;ROW(Q429))*(Q$2:Q$1073&lt;&gt;""))),"")</f>
        <v>0.55137699328532674</v>
      </c>
      <c r="X429" cm="1">
        <f t="array" ref="X429">IFERROR(AVERAGE(_xlfn._xlws.FILTER(R$2:R$1073,($C$2:$C$1073=$C429)*($E$2:$E$1073=$E429)*(ROW(R$2:R$1073)&lt;&gt;ROW(R429))*(R$2:R$1073&lt;&gt;""))),"")</f>
        <v>6.5830333517694115E-2</v>
      </c>
      <c r="Y429" cm="1">
        <f t="array" ref="Y429">IFERROR(AVERAGE(_xlfn._xlws.FILTER(S$2:S$1073,($C$2:$C$1073=$C429)*($E$2:$E$1073=$E429)*(ROW(S$2:S$1073)&lt;&gt;ROW(S429))*(S$2:S$1073&lt;&gt;""))),"")</f>
        <v>0.79729948105371473</v>
      </c>
      <c r="Z429" cm="1">
        <f t="array" ref="Z429">IFERROR(AVERAGE(_xlfn._xlws.FILTER(T$2:T$1073,($C$2:$C$1073=$C429)*($E$2:$E$1073=$E429)*(ROW(T$2:T$1073)&lt;&gt;ROW(T429))*(T$2:T$1073&lt;&gt;""))),"")</f>
        <v>-8.2555906629043954E-2</v>
      </c>
      <c r="AA429" cm="1">
        <f t="array" ref="AA429">IFERROR(AVERAGE(_xlfn._xlws.FILTER(U$2:U$1073,($C$2:$C$1073=$C429)*($E$2:$E$1073=$E429)*(ROW(U$2:U$1073)&lt;&gt;ROW(U429))*(U$2:U$1073&lt;&gt;""))),"")</f>
        <v>1.5884671163184398</v>
      </c>
    </row>
    <row r="430" spans="1:27" x14ac:dyDescent="0.2">
      <c r="A430" s="7" t="s">
        <v>2231</v>
      </c>
      <c r="B430" t="str">
        <f t="shared" si="68"/>
        <v>PLZL IV кв. 2013</v>
      </c>
      <c r="C430">
        <v>2013</v>
      </c>
      <c r="D430">
        <f>SUMIFS(Дивиденды!$C:$C,Дивиденды!$A:$A,A430,Дивиденды!$I:$I,C430)</f>
        <v>0</v>
      </c>
      <c r="E430">
        <v>3</v>
      </c>
      <c r="F430">
        <f t="shared" si="69"/>
        <v>0</v>
      </c>
      <c r="G430">
        <f t="shared" si="70"/>
        <v>1.2260000000000002</v>
      </c>
      <c r="H430">
        <f t="shared" si="71"/>
        <v>0</v>
      </c>
      <c r="I430">
        <f t="shared" si="67"/>
        <v>0.4</v>
      </c>
      <c r="J430">
        <f t="shared" si="72"/>
        <v>-1</v>
      </c>
      <c r="K430">
        <f t="shared" si="76"/>
        <v>-0.10386411043374064</v>
      </c>
      <c r="L430">
        <f t="shared" si="73"/>
        <v>0</v>
      </c>
      <c r="M430">
        <f t="shared" si="77"/>
        <v>0.2</v>
      </c>
      <c r="N430">
        <f t="shared" si="74"/>
        <v>1</v>
      </c>
      <c r="O430">
        <f t="shared" si="75"/>
        <v>0.3</v>
      </c>
      <c r="P430">
        <f>IFERROR(LN('Дивиденды по годам'!I430),"")</f>
        <v>25.97236669845466</v>
      </c>
      <c r="Q430">
        <f>IFERROR('Дивиденды по годам'!G430/'Дивиденды по годам'!I430, "")</f>
        <v>0.25881456971033906</v>
      </c>
      <c r="R430">
        <f>IFERROR(IF(AND('Дивиденды по годам'!N430&lt;&gt;"",'Дивиденды по годам'!U430&lt;&gt;"",'Дивиденды по годам'!U430&lt;&gt;0),'Дивиденды по годам'!N430/'Дивиденды по годам'!U430-1,""),"")</f>
        <v>-0.11042039194978814</v>
      </c>
      <c r="S430" t="str">
        <f>IFERROR(IF(AND('Дивиденды по годам'!L430&lt;&gt;"",'Дивиденды по годам'!I430&lt;&gt;"",'Дивиденды по годам'!J430&lt;&gt;"",'Дивиденды по годам'!K430&lt;&gt;"",('Дивиденды по годам'!I430-'Дивиденды по годам'!J430-'Дивиденды по годам'!K430)&lt;&gt;0),'Дивиденды по годам'!L430/('Дивиденды по годам'!I430-'Дивиденды по годам'!J430-'Дивиденды по годам'!K430),""),"")</f>
        <v/>
      </c>
      <c r="T430">
        <f>IFERROR(IF(AND('Дивиденды по годам'!Q430&lt;&gt;"",'Дивиденды по годам'!I430&lt;&gt;"",'Дивиденды по годам'!V430&lt;&gt;"",('Дивиденды по годам'!I430+'Дивиденды по годам'!V430)&lt;&gt;0),'Дивиденды по годам'!Q430/(('Дивиденды по годам'!I430+'Дивиденды по годам'!V430)/2),""),"")</f>
        <v>-4.4645450396249122E-3</v>
      </c>
      <c r="U430">
        <f>IFERROR(IF(AND('Дивиденды по годам'!J430&lt;&gt;"",'Дивиденды по годам'!K430&lt;&gt;"",'Дивиденды по годам'!M430&lt;&gt;"",'Дивиденды по годам'!M430&lt;&gt;0),('Дивиденды по годам'!J430+'Дивиденды по годам'!K430)/'Дивиденды по годам'!M430,""),"")</f>
        <v>0.41076178691306248</v>
      </c>
      <c r="V430" cm="1">
        <f t="array" ref="V430">IFERROR(AVERAGE(_xlfn._xlws.FILTER(P$2:P$1073,($C$2:$C$1073=$C430)*($E$2:$E$1073=$E430)*(ROW(P$2:P$1073)&lt;&gt;ROW(P430))*(P$2:P$1073&lt;&gt;""))),"")</f>
        <v>26.496965418617666</v>
      </c>
      <c r="W430" cm="1">
        <f t="array" ref="W430">IFERROR(AVERAGE(_xlfn._xlws.FILTER(Q$2:Q$1073,($C$2:$C$1073=$C430)*($E$2:$E$1073=$E430)*(ROW(Q$2:Q$1073)&lt;&gt;ROW(Q430))*(Q$2:Q$1073&lt;&gt;""))),"")</f>
        <v>0.61704397856187876</v>
      </c>
      <c r="X430" cm="1">
        <f t="array" ref="X430">IFERROR(AVERAGE(_xlfn._xlws.FILTER(R$2:R$1073,($C$2:$C$1073=$C430)*($E$2:$E$1073=$E430)*(ROW(R$2:R$1073)&lt;&gt;ROW(R430))*(R$2:R$1073&lt;&gt;""))),"")</f>
        <v>-3.7489761685411613E-2</v>
      </c>
      <c r="Y430" cm="1">
        <f t="array" ref="Y430">IFERROR(AVERAGE(_xlfn._xlws.FILTER(S$2:S$1073,($C$2:$C$1073=$C430)*($E$2:$E$1073=$E430)*(ROW(S$2:S$1073)&lt;&gt;ROW(S430))*(S$2:S$1073&lt;&gt;""))),"")</f>
        <v>1.1343753445927802</v>
      </c>
      <c r="Z430" cm="1">
        <f t="array" ref="Z430">IFERROR(AVERAGE(_xlfn._xlws.FILTER(T$2:T$1073,($C$2:$C$1073=$C430)*($E$2:$E$1073=$E430)*(ROW(T$2:T$1073)&lt;&gt;ROW(T430))*(T$2:T$1073&lt;&gt;""))),"")</f>
        <v>-3.4443733009187245E-2</v>
      </c>
      <c r="AA430" cm="1">
        <f t="array" ref="AA430">IFERROR(AVERAGE(_xlfn._xlws.FILTER(U$2:U$1073,($C$2:$C$1073=$C430)*($E$2:$E$1073=$E430)*(ROW(U$2:U$1073)&lt;&gt;ROW(U430))*(U$2:U$1073&lt;&gt;""))),"")</f>
        <v>3.4507056564023442</v>
      </c>
    </row>
    <row r="431" spans="1:27" x14ac:dyDescent="0.2">
      <c r="A431" s="7" t="s">
        <v>2231</v>
      </c>
      <c r="B431" t="str">
        <f t="shared" si="68"/>
        <v>PLZL IV кв. 2012</v>
      </c>
      <c r="C431">
        <v>2012</v>
      </c>
      <c r="D431">
        <f>SUMIFS(Дивиденды!$C:$C,Дивиденды!$A:$A,A431,Дивиденды!$I:$I,C431)</f>
        <v>6.3</v>
      </c>
      <c r="E431">
        <v>3</v>
      </c>
      <c r="F431">
        <f t="shared" si="69"/>
        <v>6.3</v>
      </c>
      <c r="G431">
        <f t="shared" si="70"/>
        <v>1.5009999999999999</v>
      </c>
      <c r="H431">
        <f t="shared" si="71"/>
        <v>1</v>
      </c>
      <c r="I431">
        <f t="shared" si="67"/>
        <v>0.5</v>
      </c>
      <c r="J431">
        <f t="shared" si="72"/>
        <v>1.4045801526717556</v>
      </c>
      <c r="K431">
        <f t="shared" si="76"/>
        <v>-0.32445845146487234</v>
      </c>
      <c r="L431">
        <f t="shared" si="73"/>
        <v>1</v>
      </c>
      <c r="M431">
        <f t="shared" si="77"/>
        <v>0.2</v>
      </c>
      <c r="N431">
        <f t="shared" si="74"/>
        <v>0</v>
      </c>
      <c r="O431">
        <f t="shared" si="75"/>
        <v>0.6</v>
      </c>
      <c r="P431">
        <f>IFERROR(LN('Дивиденды по годам'!I431),"")</f>
        <v>25.865630901720561</v>
      </c>
      <c r="Q431">
        <f>IFERROR('Дивиденды по годам'!G431/'Дивиденды по годам'!I431, "")</f>
        <v>0.34613136979897147</v>
      </c>
      <c r="R431">
        <f>IFERROR(IF(AND('Дивиденды по годам'!N431&lt;&gt;"",'Дивиденды по годам'!U431&lt;&gt;"",'Дивиденды по годам'!U431&lt;&gt;0),'Дивиденды по годам'!N431/'Дивиденды по годам'!U431-1,""),"")</f>
        <v>0.17950856141512705</v>
      </c>
      <c r="S431" t="str">
        <f>IFERROR(IF(AND('Дивиденды по годам'!L431&lt;&gt;"",'Дивиденды по годам'!I431&lt;&gt;"",'Дивиденды по годам'!J431&lt;&gt;"",'Дивиденды по годам'!K431&lt;&gt;"",('Дивиденды по годам'!I431-'Дивиденды по годам'!J431-'Дивиденды по годам'!K431)&lt;&gt;0),'Дивиденды по годам'!L431/('Дивиденды по годам'!I431-'Дивиденды по годам'!J431-'Дивиденды по годам'!K431),""),"")</f>
        <v/>
      </c>
      <c r="T431">
        <f>IFERROR(IF(AND('Дивиденды по годам'!Q431&lt;&gt;"",'Дивиденды по годам'!I431&lt;&gt;"",'Дивиденды по годам'!V431&lt;&gt;"",('Дивиденды по годам'!I431+'Дивиденды по годам'!V431)&lt;&gt;0),'Дивиденды по годам'!Q431/(('Дивиденды по годам'!I431+'Дивиденды по годам'!V431)/2),""),"")</f>
        <v>0.18791256312169502</v>
      </c>
      <c r="U431">
        <f>IFERROR(IF(AND('Дивиденды по годам'!J431&lt;&gt;"",'Дивиденды по годам'!K431&lt;&gt;"",'Дивиденды по годам'!M431&lt;&gt;"",'Дивиденды по годам'!M431&lt;&gt;0),('Дивиденды по годам'!J431+'Дивиденды по годам'!K431)/'Дивиденды по годам'!M431,""),"")</f>
        <v>0.25845737483085252</v>
      </c>
      <c r="V431" cm="1">
        <f t="array" ref="V431">IFERROR(AVERAGE(_xlfn._xlws.FILTER(P$2:P$1073,($C$2:$C$1073=$C431)*($E$2:$E$1073=$E431)*(ROW(P$2:P$1073)&lt;&gt;ROW(P431))*(P$2:P$1073&lt;&gt;""))),"")</f>
        <v>26.815917062243745</v>
      </c>
      <c r="W431" cm="1">
        <f t="array" ref="W431">IFERROR(AVERAGE(_xlfn._xlws.FILTER(Q$2:Q$1073,($C$2:$C$1073=$C431)*($E$2:$E$1073=$E431)*(ROW(Q$2:Q$1073)&lt;&gt;ROW(Q431))*(Q$2:Q$1073&lt;&gt;""))),"")</f>
        <v>0.52183076434317477</v>
      </c>
      <c r="X431" cm="1">
        <f t="array" ref="X431">IFERROR(AVERAGE(_xlfn._xlws.FILTER(R$2:R$1073,($C$2:$C$1073=$C431)*($E$2:$E$1073=$E431)*(ROW(R$2:R$1073)&lt;&gt;ROW(R431))*(R$2:R$1073&lt;&gt;""))),"")</f>
        <v>-2.7599391730426883E-2</v>
      </c>
      <c r="Y431" t="str" cm="1">
        <f t="array" ref="Y431">IFERROR(AVERAGE(_xlfn._xlws.FILTER(S$2:S$1073,($C$2:$C$1073=$C431)*($E$2:$E$1073=$E431)*(ROW(S$2:S$1073)&lt;&gt;ROW(S431))*(S$2:S$1073&lt;&gt;""))),"")</f>
        <v/>
      </c>
      <c r="Z431" cm="1">
        <f t="array" ref="Z431">IFERROR(AVERAGE(_xlfn._xlws.FILTER(T$2:T$1073,($C$2:$C$1073=$C431)*($E$2:$E$1073=$E431)*(ROW(T$2:T$1073)&lt;&gt;ROW(T431))*(T$2:T$1073&lt;&gt;""))),"")</f>
        <v>3.0038619723693517E-2</v>
      </c>
      <c r="AA431" cm="1">
        <f t="array" ref="AA431">IFERROR(AVERAGE(_xlfn._xlws.FILTER(U$2:U$1073,($C$2:$C$1073=$C431)*($E$2:$E$1073=$E431)*(ROW(U$2:U$1073)&lt;&gt;ROW(U431))*(U$2:U$1073&lt;&gt;""))),"")</f>
        <v>1.5098843378510709</v>
      </c>
    </row>
    <row r="432" spans="1:27" x14ac:dyDescent="0.2">
      <c r="A432" s="7" t="s">
        <v>2231</v>
      </c>
      <c r="B432" t="str">
        <f t="shared" si="68"/>
        <v>PLZL IV кв. 2011</v>
      </c>
      <c r="C432">
        <v>2011</v>
      </c>
      <c r="D432">
        <f>SUMIFS(Дивиденды!$C:$C,Дивиденды!$A:$A,A432,Дивиденды!$I:$I,C432)</f>
        <v>2.62</v>
      </c>
      <c r="E432">
        <v>3</v>
      </c>
      <c r="F432">
        <f t="shared" si="69"/>
        <v>2.62</v>
      </c>
      <c r="G432">
        <f t="shared" si="70"/>
        <v>3.504</v>
      </c>
      <c r="H432">
        <f t="shared" si="71"/>
        <v>1</v>
      </c>
      <c r="I432">
        <f t="shared" ref="I432:I495" si="78">IFERROR((COUNTIFS($E:$E,E432,$C:$C,C432,$H:$H,1)-H432)/(COUNTIFS($E:$E,E432,$C:$C,C432)-1),0)</f>
        <v>0.7</v>
      </c>
      <c r="J432">
        <f t="shared" si="72"/>
        <v>-0.78347107438016539</v>
      </c>
      <c r="K432">
        <f t="shared" si="76"/>
        <v>0.85965278791854272</v>
      </c>
      <c r="L432">
        <f t="shared" si="73"/>
        <v>0</v>
      </c>
      <c r="M432">
        <f t="shared" si="77"/>
        <v>0.6</v>
      </c>
      <c r="N432">
        <f t="shared" si="74"/>
        <v>1</v>
      </c>
      <c r="O432">
        <f t="shared" si="75"/>
        <v>0.2</v>
      </c>
      <c r="P432">
        <f>IFERROR(LN('Дивиденды по годам'!I432),"")</f>
        <v>25.543944058301285</v>
      </c>
      <c r="Q432">
        <f>IFERROR('Дивиденды по годам'!G432/'Дивиденды по годам'!I432, "")</f>
        <v>0.48741683773756456</v>
      </c>
      <c r="R432" t="str">
        <f>IFERROR(IF(AND('Дивиденды по годам'!N432&lt;&gt;"",'Дивиденды по годам'!U432&lt;&gt;"",'Дивиденды по годам'!U432&lt;&gt;0),'Дивиденды по годам'!N432/'Дивиденды по годам'!U432-1,""),"")</f>
        <v/>
      </c>
      <c r="S432" t="str">
        <f>IFERROR(IF(AND('Дивиденды по годам'!L432&lt;&gt;"",'Дивиденды по годам'!I432&lt;&gt;"",'Дивиденды по годам'!J432&lt;&gt;"",'Дивиденды по годам'!K432&lt;&gt;"",('Дивиденды по годам'!I432-'Дивиденды по годам'!J432-'Дивиденды по годам'!K432)&lt;&gt;0),'Дивиденды по годам'!L432/('Дивиденды по годам'!I432-'Дивиденды по годам'!J432-'Дивиденды по годам'!K432),""),"")</f>
        <v/>
      </c>
      <c r="T432" t="str">
        <f>IFERROR(IF(AND('Дивиденды по годам'!Q432&lt;&gt;"",'Дивиденды по годам'!I432&lt;&gt;"",'Дивиденды по годам'!V432&lt;&gt;"",('Дивиденды по годам'!I432+'Дивиденды по годам'!V432)&lt;&gt;0),'Дивиденды по годам'!Q432/(('Дивиденды по годам'!I432+'Дивиденды по годам'!V432)/2),""),"")</f>
        <v/>
      </c>
      <c r="U432">
        <f>IFERROR(IF(AND('Дивиденды по годам'!J432&lt;&gt;"",'Дивиденды по годам'!K432&lt;&gt;"",'Дивиденды по годам'!M432&lt;&gt;"",'Дивиденды по годам'!M432&lt;&gt;0),('Дивиденды по годам'!J432+'Дивиденды по годам'!K432)/'Дивиденды по годам'!M432,""),"")</f>
        <v>0.65921107807224644</v>
      </c>
      <c r="V432" cm="1">
        <f t="array" ref="V432">IFERROR(AVERAGE(_xlfn._xlws.FILTER(P$2:P$1073,($C$2:$C$1073=$C432)*($E$2:$E$1073=$E432)*(ROW(P$2:P$1073)&lt;&gt;ROW(P432))*(P$2:P$1073&lt;&gt;""))),"")</f>
        <v>26.562968710189207</v>
      </c>
      <c r="W432" cm="1">
        <f t="array" ref="W432">IFERROR(AVERAGE(_xlfn._xlws.FILTER(Q$2:Q$1073,($C$2:$C$1073=$C432)*($E$2:$E$1073=$E432)*(ROW(Q$2:Q$1073)&lt;&gt;ROW(Q432))*(Q$2:Q$1073&lt;&gt;""))),"")</f>
        <v>0.5812509094317605</v>
      </c>
      <c r="X432" cm="1">
        <f t="array" ref="X432">IFERROR(AVERAGE(_xlfn._xlws.FILTER(R$2:R$1073,($C$2:$C$1073=$C432)*($E$2:$E$1073=$E432)*(ROW(R$2:R$1073)&lt;&gt;ROW(R432))*(R$2:R$1073&lt;&gt;""))),"")</f>
        <v>0.21463216748681591</v>
      </c>
      <c r="Y432" t="str" cm="1">
        <f t="array" ref="Y432">IFERROR(AVERAGE(_xlfn._xlws.FILTER(S$2:S$1073,($C$2:$C$1073=$C432)*($E$2:$E$1073=$E432)*(ROW(S$2:S$1073)&lt;&gt;ROW(S432))*(S$2:S$1073&lt;&gt;""))),"")</f>
        <v/>
      </c>
      <c r="Z432" cm="1">
        <f t="array" ref="Z432">IFERROR(AVERAGE(_xlfn._xlws.FILTER(T$2:T$1073,($C$2:$C$1073=$C432)*($E$2:$E$1073=$E432)*(ROW(T$2:T$1073)&lt;&gt;ROW(T432))*(T$2:T$1073&lt;&gt;""))),"")</f>
        <v>0.11505618365484008</v>
      </c>
      <c r="AA432" cm="1">
        <f t="array" ref="AA432">IFERROR(AVERAGE(_xlfn._xlws.FILTER(U$2:U$1073,($C$2:$C$1073=$C432)*($E$2:$E$1073=$E432)*(ROW(U$2:U$1073)&lt;&gt;ROW(U432))*(U$2:U$1073&lt;&gt;""))),"")</f>
        <v>1.177662870793291</v>
      </c>
    </row>
    <row r="433" spans="1:27" x14ac:dyDescent="0.2">
      <c r="A433" s="7" t="s">
        <v>2231</v>
      </c>
      <c r="B433" t="str">
        <f t="shared" si="68"/>
        <v>PLZL IV кв. 2010</v>
      </c>
      <c r="C433">
        <v>2010</v>
      </c>
      <c r="D433">
        <f>SUMIFS(Дивиденды!$C:$C,Дивиденды!$A:$A,A433,Дивиденды!$I:$I,C433)</f>
        <v>12.1</v>
      </c>
      <c r="E433">
        <v>3</v>
      </c>
      <c r="F433">
        <f t="shared" si="69"/>
        <v>12.1</v>
      </c>
      <c r="G433">
        <f t="shared" si="70"/>
        <v>1.8690000000000002</v>
      </c>
      <c r="H433">
        <f t="shared" si="71"/>
        <v>1</v>
      </c>
      <c r="I433">
        <f t="shared" si="78"/>
        <v>0.6</v>
      </c>
      <c r="J433" t="str">
        <f t="shared" si="72"/>
        <v/>
      </c>
      <c r="K433" t="str">
        <f t="shared" si="76"/>
        <v/>
      </c>
      <c r="L433" t="str">
        <f t="shared" si="73"/>
        <v/>
      </c>
      <c r="M433" t="str">
        <f t="shared" si="77"/>
        <v/>
      </c>
      <c r="N433" t="str">
        <f t="shared" si="74"/>
        <v/>
      </c>
      <c r="O433" t="str">
        <f t="shared" si="75"/>
        <v/>
      </c>
      <c r="P433" t="str">
        <f>IFERROR(LN('Дивиденды по годам'!I433),"")</f>
        <v/>
      </c>
      <c r="Q433" t="str">
        <f>IFERROR('Дивиденды по годам'!G433/'Дивиденды по годам'!I433, "")</f>
        <v/>
      </c>
      <c r="R433" t="str">
        <f>IFERROR(IF(AND('Дивиденды по годам'!N433&lt;&gt;"",'Дивиденды по годам'!U433&lt;&gt;"",'Дивиденды по годам'!U433&lt;&gt;0),'Дивиденды по годам'!N433/'Дивиденды по годам'!U433-1,""),"")</f>
        <v/>
      </c>
      <c r="S433" t="str">
        <f>IFERROR(IF(AND('Дивиденды по годам'!L433&lt;&gt;"",'Дивиденды по годам'!I433&lt;&gt;"",'Дивиденды по годам'!J433&lt;&gt;"",'Дивиденды по годам'!K433&lt;&gt;"",('Дивиденды по годам'!I433-'Дивиденды по годам'!J433-'Дивиденды по годам'!K433)&lt;&gt;0),'Дивиденды по годам'!L433/('Дивиденды по годам'!I433-'Дивиденды по годам'!J433-'Дивиденды по годам'!K433),""),"")</f>
        <v/>
      </c>
      <c r="T433" t="str">
        <f>IFERROR(IF(AND('Дивиденды по годам'!Q433&lt;&gt;"",'Дивиденды по годам'!I433&lt;&gt;"",'Дивиденды по годам'!V433&lt;&gt;"",('Дивиденды по годам'!I433+'Дивиденды по годам'!V433)&lt;&gt;0),'Дивиденды по годам'!Q433/(('Дивиденды по годам'!I433+'Дивиденды по годам'!V433)/2),""),"")</f>
        <v/>
      </c>
      <c r="U433" t="str">
        <f>IFERROR(IF(AND('Дивиденды по годам'!J433&lt;&gt;"",'Дивиденды по годам'!K433&lt;&gt;"",'Дивиденды по годам'!M433&lt;&gt;"",'Дивиденды по годам'!M433&lt;&gt;0),('Дивиденды по годам'!J433+'Дивиденды по годам'!K433)/'Дивиденды по годам'!M433,""),"")</f>
        <v/>
      </c>
      <c r="V433" cm="1">
        <f t="array" ref="V433">IFERROR(AVERAGE(_xlfn._xlws.FILTER(P$2:P$1073,($C$2:$C$1073=$C433)*($E$2:$E$1073=$E433)*(ROW(P$2:P$1073)&lt;&gt;ROW(P433))*(P$2:P$1073&lt;&gt;""))),"")</f>
        <v>26.127864794831805</v>
      </c>
      <c r="W433" cm="1">
        <f t="array" ref="W433">IFERROR(AVERAGE(_xlfn._xlws.FILTER(Q$2:Q$1073,($C$2:$C$1073=$C433)*($E$2:$E$1073=$E433)*(ROW(Q$2:Q$1073)&lt;&gt;ROW(Q433))*(Q$2:Q$1073&lt;&gt;""))),"")</f>
        <v>0.75539390451698762</v>
      </c>
      <c r="X433" t="str" cm="1">
        <f t="array" ref="X433">IFERROR(AVERAGE(_xlfn._xlws.FILTER(R$2:R$1073,($C$2:$C$1073=$C433)*($E$2:$E$1073=$E433)*(ROW(R$2:R$1073)&lt;&gt;ROW(R433))*(R$2:R$1073&lt;&gt;""))),"")</f>
        <v/>
      </c>
      <c r="Y433" t="str" cm="1">
        <f t="array" ref="Y433">IFERROR(AVERAGE(_xlfn._xlws.FILTER(S$2:S$1073,($C$2:$C$1073=$C433)*($E$2:$E$1073=$E433)*(ROW(S$2:S$1073)&lt;&gt;ROW(S433))*(S$2:S$1073&lt;&gt;""))),"")</f>
        <v/>
      </c>
      <c r="Z433" t="str" cm="1">
        <f t="array" ref="Z433">IFERROR(AVERAGE(_xlfn._xlws.FILTER(T$2:T$1073,($C$2:$C$1073=$C433)*($E$2:$E$1073=$E433)*(ROW(T$2:T$1073)&lt;&gt;ROW(T433))*(T$2:T$1073&lt;&gt;""))),"")</f>
        <v/>
      </c>
      <c r="AA433" cm="1">
        <f t="array" ref="AA433">IFERROR(AVERAGE(_xlfn._xlws.FILTER(U$2:U$1073,($C$2:$C$1073=$C433)*($E$2:$E$1073=$E433)*(ROW(U$2:U$1073)&lt;&gt;ROW(U433))*(U$2:U$1073&lt;&gt;""))),"")</f>
        <v>1.4017600691070078</v>
      </c>
    </row>
    <row r="434" spans="1:27" x14ac:dyDescent="0.2">
      <c r="A434" s="7" t="s">
        <v>2234</v>
      </c>
      <c r="B434" t="str">
        <f t="shared" si="68"/>
        <v>RASP IV кв. 2025</v>
      </c>
      <c r="C434">
        <v>2025</v>
      </c>
      <c r="D434">
        <f>SUMIFS(Дивиденды!$C:$C,Дивиденды!$A:$A,A434,Дивиденды!$I:$I,C434)</f>
        <v>0</v>
      </c>
      <c r="E434">
        <v>3</v>
      </c>
      <c r="F434">
        <f t="shared" si="69"/>
        <v>0</v>
      </c>
      <c r="G434">
        <f t="shared" si="70"/>
        <v>10.684999999999999</v>
      </c>
      <c r="H434">
        <f t="shared" si="71"/>
        <v>0</v>
      </c>
      <c r="I434">
        <f t="shared" si="78"/>
        <v>0.1</v>
      </c>
      <c r="J434">
        <f t="shared" si="72"/>
        <v>0</v>
      </c>
      <c r="K434">
        <f t="shared" si="76"/>
        <v>-0.44741116251599566</v>
      </c>
      <c r="L434">
        <f t="shared" si="73"/>
        <v>0</v>
      </c>
      <c r="M434">
        <f t="shared" si="77"/>
        <v>0</v>
      </c>
      <c r="N434">
        <f t="shared" si="74"/>
        <v>0</v>
      </c>
      <c r="O434">
        <f t="shared" si="75"/>
        <v>0.5</v>
      </c>
      <c r="P434">
        <f>IFERROR(LN('Дивиденды по годам'!I434),"")</f>
        <v>26.038509148084042</v>
      </c>
      <c r="Q434">
        <f>IFERROR('Дивиденды по годам'!G434/'Дивиденды по годам'!I434, "")</f>
        <v>0.58527436656277343</v>
      </c>
      <c r="R434">
        <f>IFERROR(IF(AND('Дивиденды по годам'!N434&lt;&gt;"",'Дивиденды по годам'!U434&lt;&gt;"",'Дивиденды по годам'!U434&lt;&gt;0),'Дивиденды по годам'!N434/'Дивиденды по годам'!U434-1,""),"")</f>
        <v>-0.26123395286263429</v>
      </c>
      <c r="S434">
        <f>IFERROR(IF(AND('Дивиденды по годам'!L434&lt;&gt;"",'Дивиденды по годам'!I434&lt;&gt;"",'Дивиденды по годам'!J434&lt;&gt;"",'Дивиденды по годам'!K434&lt;&gt;"",('Дивиденды по годам'!I434-'Дивиденды по годам'!J434-'Дивиденды по годам'!K434)&lt;&gt;0),'Дивиденды по годам'!L434/('Дивиденды по годам'!I434-'Дивиденды по годам'!J434-'Дивиденды по годам'!K434),""),"")</f>
        <v>0.96564943803877346</v>
      </c>
      <c r="T434">
        <f>IFERROR(IF(AND('Дивиденды по годам'!Q434&lt;&gt;"",'Дивиденды по годам'!I434&lt;&gt;"",'Дивиденды по годам'!V434&lt;&gt;"",('Дивиденды по годам'!I434+'Дивиденды по годам'!V434)&lt;&gt;0),'Дивиденды по годам'!Q434/(('Дивиденды по годам'!I434+'Дивиденды по годам'!V434)/2),""),"")</f>
        <v>-0.24550160124589299</v>
      </c>
      <c r="U434">
        <f>IFERROR(IF(AND('Дивиденды по годам'!J434&lt;&gt;"",'Дивиденды по годам'!K434&lt;&gt;"",'Дивиденды по годам'!M434&lt;&gt;"",'Дивиденды по годам'!M434&lt;&gt;0),('Дивиденды по годам'!J434+'Дивиденды по годам'!K434)/'Дивиденды по годам'!M434,""),"")</f>
        <v>0.47975120939875604</v>
      </c>
      <c r="V434" cm="1">
        <f t="array" ref="V434">IFERROR(AVERAGE(_xlfn._xlws.FILTER(P$2:P$1073,($C$2:$C$1073=$C434)*($E$2:$E$1073=$E434)*(ROW(P$2:P$1073)&lt;&gt;ROW(P434))*(P$2:P$1073&lt;&gt;""))),"")</f>
        <v>27.738517993834176</v>
      </c>
      <c r="W434" cm="1">
        <f t="array" ref="W434">IFERROR(AVERAGE(_xlfn._xlws.FILTER(Q$2:Q$1073,($C$2:$C$1073=$C434)*($E$2:$E$1073=$E434)*(ROW(Q$2:Q$1073)&lt;&gt;ROW(Q434))*(Q$2:Q$1073&lt;&gt;""))),"")</f>
        <v>0.5211109608208746</v>
      </c>
      <c r="X434" cm="1">
        <f t="array" ref="X434">IFERROR(AVERAGE(_xlfn._xlws.FILTER(R$2:R$1073,($C$2:$C$1073=$C434)*($E$2:$E$1073=$E434)*(ROW(R$2:R$1073)&lt;&gt;ROW(R434))*(R$2:R$1073&lt;&gt;""))),"")</f>
        <v>-6.9762848121615803E-2</v>
      </c>
      <c r="Y434" cm="1">
        <f t="array" ref="Y434">IFERROR(AVERAGE(_xlfn._xlws.FILTER(S$2:S$1073,($C$2:$C$1073=$C434)*($E$2:$E$1073=$E434)*(ROW(S$2:S$1073)&lt;&gt;ROW(S434))*(S$2:S$1073&lt;&gt;""))),"")</f>
        <v>0.98996296707782683</v>
      </c>
      <c r="Z434" cm="1">
        <f t="array" ref="Z434">IFERROR(AVERAGE(_xlfn._xlws.FILTER(T$2:T$1073,($C$2:$C$1073=$C434)*($E$2:$E$1073=$E434)*(ROW(T$2:T$1073)&lt;&gt;ROW(T434))*(T$2:T$1073&lt;&gt;""))),"")</f>
        <v>5.2288499081297693E-2</v>
      </c>
      <c r="AA434" cm="1">
        <f t="array" ref="AA434">IFERROR(AVERAGE(_xlfn._xlws.FILTER(U$2:U$1073,($C$2:$C$1073=$C434)*($E$2:$E$1073=$E434)*(ROW(U$2:U$1073)&lt;&gt;ROW(U434))*(U$2:U$1073&lt;&gt;""))),"")</f>
        <v>3.5736158631000898</v>
      </c>
    </row>
    <row r="435" spans="1:27" x14ac:dyDescent="0.2">
      <c r="A435" s="7" t="s">
        <v>2234</v>
      </c>
      <c r="B435" t="str">
        <f t="shared" si="68"/>
        <v>RASP IV кв. 2024</v>
      </c>
      <c r="C435">
        <v>2024</v>
      </c>
      <c r="D435">
        <f>SUMIFS(Дивиденды!$C:$C,Дивиденды!$A:$A,A435,Дивиденды!$I:$I,C435)</f>
        <v>0</v>
      </c>
      <c r="E435">
        <v>3</v>
      </c>
      <c r="F435">
        <f t="shared" si="69"/>
        <v>0</v>
      </c>
      <c r="G435">
        <f t="shared" si="70"/>
        <v>33.058</v>
      </c>
      <c r="H435">
        <f t="shared" si="71"/>
        <v>0</v>
      </c>
      <c r="I435">
        <f t="shared" si="78"/>
        <v>0.5</v>
      </c>
      <c r="J435">
        <f t="shared" si="72"/>
        <v>0</v>
      </c>
      <c r="K435">
        <f t="shared" si="76"/>
        <v>-0.20461447297899457</v>
      </c>
      <c r="L435">
        <f t="shared" si="73"/>
        <v>0</v>
      </c>
      <c r="M435">
        <f t="shared" si="77"/>
        <v>0.1</v>
      </c>
      <c r="N435">
        <f t="shared" si="74"/>
        <v>0</v>
      </c>
      <c r="O435">
        <f t="shared" si="75"/>
        <v>0.5</v>
      </c>
      <c r="P435">
        <f>IFERROR(LN('Дивиденды по годам'!I435),"")</f>
        <v>26.155771705307011</v>
      </c>
      <c r="Q435">
        <f>IFERROR('Дивиденды по годам'!G435/'Дивиденды по годам'!I435, "")</f>
        <v>0.51902834008097165</v>
      </c>
      <c r="R435">
        <f>IFERROR(IF(AND('Дивиденды по годам'!N435&lt;&gt;"",'Дивиденды по годам'!U435&lt;&gt;"",'Дивиденды по годам'!U435&lt;&gt;0),'Дивиденды по годам'!N435/'Дивиденды по годам'!U435-1,""),"")</f>
        <v>-0.14502584995316037</v>
      </c>
      <c r="S435">
        <f>IFERROR(IF(AND('Дивиденды по годам'!L435&lt;&gt;"",'Дивиденды по годам'!I435&lt;&gt;"",'Дивиденды по годам'!J435&lt;&gt;"",'Дивиденды по годам'!K435&lt;&gt;"",('Дивиденды по годам'!I435-'Дивиденды по годам'!J435-'Дивиденды по годам'!K435)&lt;&gt;0),'Дивиденды по годам'!L435/('Дивиденды по годам'!I435-'Дивиденды по годам'!J435-'Дивиденды по годам'!K435),""),"")</f>
        <v>1.6157530601383714</v>
      </c>
      <c r="T435">
        <f>IFERROR(IF(AND('Дивиденды по годам'!Q435&lt;&gt;"",'Дивиденды по годам'!I435&lt;&gt;"",'Дивиденды по годам'!V435&lt;&gt;"",('Дивиденды по годам'!I435+'Дивиденды по годам'!V435)&lt;&gt;0),'Дивиденды по годам'!Q435/(('Дивиденды по годам'!I435+'Дивиденды по годам'!V435)/2),""),"")</f>
        <v>-5.1680518455783149E-2</v>
      </c>
      <c r="U435">
        <f>IFERROR(IF(AND('Дивиденды по годам'!J435&lt;&gt;"",'Дивиденды по годам'!K435&lt;&gt;"",'Дивиденды по годам'!M435&lt;&gt;"",'Дивиденды по годам'!M435&lt;&gt;0),('Дивиденды по годам'!J435+'Дивиденды по годам'!K435)/'Дивиденды по годам'!M435,""),"")</f>
        <v>0.3145290047897818</v>
      </c>
      <c r="V435" cm="1">
        <f t="array" ref="V435">IFERROR(AVERAGE(_xlfn._xlws.FILTER(P$2:P$1073,($C$2:$C$1073=$C435)*($E$2:$E$1073=$E435)*(ROW(P$2:P$1073)&lt;&gt;ROW(P435))*(P$2:P$1073&lt;&gt;""))),"")</f>
        <v>27.39558191459156</v>
      </c>
      <c r="W435" cm="1">
        <f t="array" ref="W435">IFERROR(AVERAGE(_xlfn._xlws.FILTER(Q$2:Q$1073,($C$2:$C$1073=$C435)*($E$2:$E$1073=$E435)*(ROW(Q$2:Q$1073)&lt;&gt;ROW(Q435))*(Q$2:Q$1073&lt;&gt;""))),"")</f>
        <v>0.47625004715662006</v>
      </c>
      <c r="X435" cm="1">
        <f t="array" ref="X435">IFERROR(AVERAGE(_xlfn._xlws.FILTER(R$2:R$1073,($C$2:$C$1073=$C435)*($E$2:$E$1073=$E435)*(ROW(R$2:R$1073)&lt;&gt;ROW(R435))*(R$2:R$1073&lt;&gt;""))),"")</f>
        <v>4.231369483660704E-2</v>
      </c>
      <c r="Y435" cm="1">
        <f t="array" ref="Y435">IFERROR(AVERAGE(_xlfn._xlws.FILTER(S$2:S$1073,($C$2:$C$1073=$C435)*($E$2:$E$1073=$E435)*(ROW(S$2:S$1073)&lt;&gt;ROW(S435))*(S$2:S$1073&lt;&gt;""))),"")</f>
        <v>1.128311451687531</v>
      </c>
      <c r="Z435" cm="1">
        <f t="array" ref="Z435">IFERROR(AVERAGE(_xlfn._xlws.FILTER(T$2:T$1073,($C$2:$C$1073=$C435)*($E$2:$E$1073=$E435)*(ROW(T$2:T$1073)&lt;&gt;ROW(T435))*(T$2:T$1073&lt;&gt;""))),"")</f>
        <v>5.5243802855422297E-2</v>
      </c>
      <c r="AA435" cm="1">
        <f t="array" ref="AA435">IFERROR(AVERAGE(_xlfn._xlws.FILTER(U$2:U$1073,($C$2:$C$1073=$C435)*($E$2:$E$1073=$E435)*(ROW(U$2:U$1073)&lt;&gt;ROW(U435))*(U$2:U$1073&lt;&gt;""))),"")</f>
        <v>2.7897667155982377</v>
      </c>
    </row>
    <row r="436" spans="1:27" x14ac:dyDescent="0.2">
      <c r="A436" s="7" t="s">
        <v>2234</v>
      </c>
      <c r="B436" t="str">
        <f t="shared" si="68"/>
        <v>RASP IV кв. 2023</v>
      </c>
      <c r="C436">
        <v>2023</v>
      </c>
      <c r="D436">
        <f>SUMIFS(Дивиденды!$C:$C,Дивиденды!$A:$A,A436,Дивиденды!$I:$I,C436)</f>
        <v>0</v>
      </c>
      <c r="E436">
        <v>3</v>
      </c>
      <c r="F436">
        <f t="shared" si="69"/>
        <v>0</v>
      </c>
      <c r="G436">
        <f t="shared" si="70"/>
        <v>25.244</v>
      </c>
      <c r="H436">
        <f t="shared" si="71"/>
        <v>0</v>
      </c>
      <c r="I436">
        <f t="shared" si="78"/>
        <v>0.6</v>
      </c>
      <c r="J436">
        <f t="shared" si="72"/>
        <v>0</v>
      </c>
      <c r="K436">
        <f t="shared" si="76"/>
        <v>0.43287037037037035</v>
      </c>
      <c r="L436">
        <f t="shared" si="73"/>
        <v>0</v>
      </c>
      <c r="M436">
        <f t="shared" si="77"/>
        <v>0.6</v>
      </c>
      <c r="N436">
        <f t="shared" si="74"/>
        <v>0</v>
      </c>
      <c r="O436">
        <f t="shared" si="75"/>
        <v>0.1</v>
      </c>
      <c r="P436">
        <f>IFERROR(LN('Дивиденды по годам'!I436),"")</f>
        <v>26.236253004503116</v>
      </c>
      <c r="Q436">
        <f>IFERROR('Дивиденды по годам'!G436/'Дивиденды по годам'!I436, "")</f>
        <v>0.52308752584424534</v>
      </c>
      <c r="R436">
        <f>IFERROR(IF(AND('Дивиденды по годам'!N436&lt;&gt;"",'Дивиденды по годам'!U436&lt;&gt;"",'Дивиденды по годам'!U436&lt;&gt;0),'Дивиденды по годам'!N436/'Дивиденды по годам'!U436-1,""),"")</f>
        <v>-2.4291766276355764E-2</v>
      </c>
      <c r="S436">
        <f>IFERROR(IF(AND('Дивиденды по годам'!L436&lt;&gt;"",'Дивиденды по годам'!I436&lt;&gt;"",'Дивиденды по годам'!J436&lt;&gt;"",'Дивиденды по годам'!K436&lt;&gt;"",('Дивиденды по годам'!I436-'Дивиденды по годам'!J436-'Дивиденды по годам'!K436)&lt;&gt;0),'Дивиденды по годам'!L436/('Дивиденды по годам'!I436-'Дивиденды по годам'!J436-'Дивиденды по годам'!K436),""),"")</f>
        <v>1.4025686448184234</v>
      </c>
      <c r="T436">
        <f>IFERROR(IF(AND('Дивиденды по годам'!Q436&lt;&gt;"",'Дивиденды по годам'!I436&lt;&gt;"",'Дивиденды по годам'!V436&lt;&gt;"",('Дивиденды по годам'!I436+'Дивиденды по годам'!V436)&lt;&gt;0),'Дивиденды по годам'!Q436/(('Дивиденды по годам'!I436+'Дивиденды по годам'!V436)/2),""),"")</f>
        <v>0.16345331283317965</v>
      </c>
      <c r="U436">
        <f>IFERROR(IF(AND('Дивиденды по годам'!J436&lt;&gt;"",'Дивиденды по годам'!K436&lt;&gt;"",'Дивиденды по годам'!M436&lt;&gt;"",'Дивиденды по годам'!M436&lt;&gt;0),('Дивиденды по годам'!J436+'Дивиденды по годам'!K436)/'Дивиденды по годам'!M436,""),"")</f>
        <v>0.28520814880425155</v>
      </c>
      <c r="V436" cm="1">
        <f t="array" ref="V436">IFERROR(AVERAGE(_xlfn._xlws.FILTER(P$2:P$1073,($C$2:$C$1073=$C436)*($E$2:$E$1073=$E436)*(ROW(P$2:P$1073)&lt;&gt;ROW(P436))*(P$2:P$1073&lt;&gt;""))),"")</f>
        <v>27.308310341201896</v>
      </c>
      <c r="W436" cm="1">
        <f t="array" ref="W436">IFERROR(AVERAGE(_xlfn._xlws.FILTER(Q$2:Q$1073,($C$2:$C$1073=$C436)*($E$2:$E$1073=$E436)*(ROW(Q$2:Q$1073)&lt;&gt;ROW(Q436))*(Q$2:Q$1073&lt;&gt;""))),"")</f>
        <v>0.44904536574553927</v>
      </c>
      <c r="X436" cm="1">
        <f t="array" ref="X436">IFERROR(AVERAGE(_xlfn._xlws.FILTER(R$2:R$1073,($C$2:$C$1073=$C436)*($E$2:$E$1073=$E436)*(ROW(R$2:R$1073)&lt;&gt;ROW(R436))*(R$2:R$1073&lt;&gt;""))),"")</f>
        <v>0.14635217066338754</v>
      </c>
      <c r="Y436" cm="1">
        <f t="array" ref="Y436">IFERROR(AVERAGE(_xlfn._xlws.FILTER(S$2:S$1073,($C$2:$C$1073=$C436)*($E$2:$E$1073=$E436)*(ROW(S$2:S$1073)&lt;&gt;ROW(S436))*(S$2:S$1073&lt;&gt;""))),"")</f>
        <v>8.1768294608538846E-3</v>
      </c>
      <c r="Z436" cm="1">
        <f t="array" ref="Z436">IFERROR(AVERAGE(_xlfn._xlws.FILTER(T$2:T$1073,($C$2:$C$1073=$C436)*($E$2:$E$1073=$E436)*(ROW(T$2:T$1073)&lt;&gt;ROW(T436))*(T$2:T$1073&lt;&gt;""))),"")</f>
        <v>0.11389299320339794</v>
      </c>
      <c r="AA436" cm="1">
        <f t="array" ref="AA436">IFERROR(AVERAGE(_xlfn._xlws.FILTER(U$2:U$1073,($C$2:$C$1073=$C436)*($E$2:$E$1073=$E436)*(ROW(U$2:U$1073)&lt;&gt;ROW(U436))*(U$2:U$1073&lt;&gt;""))),"")</f>
        <v>-0.64173084049487839</v>
      </c>
    </row>
    <row r="437" spans="1:27" x14ac:dyDescent="0.2">
      <c r="A437" s="7" t="s">
        <v>2234</v>
      </c>
      <c r="B437" t="str">
        <f t="shared" si="68"/>
        <v>RASP IV кв. 2022</v>
      </c>
      <c r="C437">
        <v>2022</v>
      </c>
      <c r="D437">
        <f>SUMIFS(Дивиденды!$C:$C,Дивиденды!$A:$A,A437,Дивиденды!$I:$I,C437)</f>
        <v>0</v>
      </c>
      <c r="E437">
        <v>3</v>
      </c>
      <c r="F437">
        <f t="shared" si="69"/>
        <v>0</v>
      </c>
      <c r="G437">
        <f t="shared" si="70"/>
        <v>1.73</v>
      </c>
      <c r="H437">
        <f t="shared" si="71"/>
        <v>0</v>
      </c>
      <c r="I437">
        <f t="shared" si="78"/>
        <v>0.2</v>
      </c>
      <c r="J437">
        <f t="shared" si="72"/>
        <v>-1</v>
      </c>
      <c r="K437">
        <f t="shared" si="76"/>
        <v>-0.50242800677583288</v>
      </c>
      <c r="L437">
        <f t="shared" si="73"/>
        <v>0</v>
      </c>
      <c r="M437">
        <f t="shared" si="77"/>
        <v>0.1</v>
      </c>
      <c r="N437">
        <f t="shared" si="74"/>
        <v>1</v>
      </c>
      <c r="O437">
        <f t="shared" si="75"/>
        <v>0.7</v>
      </c>
      <c r="P437">
        <f>IFERROR(LN('Дивиденды по годам'!I437),"")</f>
        <v>26.079837087425371</v>
      </c>
      <c r="Q437">
        <f>IFERROR('Дивиденды по годам'!G437/'Дивиденды по годам'!I437, "")</f>
        <v>0.59890815671162489</v>
      </c>
      <c r="R437">
        <f>IFERROR(IF(AND('Дивиденды по годам'!N437&lt;&gt;"",'Дивиденды по годам'!U437&lt;&gt;"",'Дивиденды по годам'!U437&lt;&gt;0),'Дивиденды по годам'!N437/'Дивиденды по годам'!U437-1,""),"")</f>
        <v>0.25001561793176097</v>
      </c>
      <c r="S437">
        <f>IFERROR(IF(AND('Дивиденды по годам'!L437&lt;&gt;"",'Дивиденды по годам'!I437&lt;&gt;"",'Дивиденды по годам'!J437&lt;&gt;"",'Дивиденды по годам'!K437&lt;&gt;"",('Дивиденды по годам'!I437-'Дивиденды по годам'!J437-'Дивиденды по годам'!K437)&lt;&gt;0),'Дивиденды по годам'!L437/('Дивиденды по годам'!I437-'Дивиденды по годам'!J437-'Дивиденды по годам'!K437),""),"")</f>
        <v>1.1450189155107189</v>
      </c>
      <c r="T437">
        <f>IFERROR(IF(AND('Дивиденды по годам'!Q437&lt;&gt;"",'Дивиденды по годам'!I437&lt;&gt;"",'Дивиденды по годам'!V437&lt;&gt;"",('Дивиденды по годам'!I437+'Дивиденды по годам'!V437)&lt;&gt;0),'Дивиденды по годам'!Q437/(('Дивиденды по годам'!I437+'Дивиденды по годам'!V437)/2),""),"")</f>
        <v>0.2521562715003316</v>
      </c>
      <c r="U437">
        <f>IFERROR(IF(AND('Дивиденды по годам'!J437&lt;&gt;"",'Дивиденды по годам'!K437&lt;&gt;"",'Дивиденды по годам'!M437&lt;&gt;"",'Дивиденды по годам'!M437&lt;&gt;0),('Дивиденды по годам'!J437+'Дивиденды по годам'!K437)/'Дивиденды по годам'!M437,""),"")</f>
        <v>0.30895334174022704</v>
      </c>
      <c r="V437" cm="1">
        <f t="array" ref="V437">IFERROR(AVERAGE(_xlfn._xlws.FILTER(P$2:P$1073,($C$2:$C$1073=$C437)*($E$2:$E$1073=$E437)*(ROW(P$2:P$1073)&lt;&gt;ROW(P437))*(P$2:P$1073&lt;&gt;""))),"")</f>
        <v>27.183133009935197</v>
      </c>
      <c r="W437" cm="1">
        <f t="array" ref="W437">IFERROR(AVERAGE(_xlfn._xlws.FILTER(Q$2:Q$1073,($C$2:$C$1073=$C437)*($E$2:$E$1073=$E437)*(ROW(Q$2:Q$1073)&lt;&gt;ROW(Q437))*(Q$2:Q$1073&lt;&gt;""))),"")</f>
        <v>0.45907415432073195</v>
      </c>
      <c r="X437" cm="1">
        <f t="array" ref="X437">IFERROR(AVERAGE(_xlfn._xlws.FILTER(R$2:R$1073,($C$2:$C$1073=$C437)*($E$2:$E$1073=$E437)*(ROW(R$2:R$1073)&lt;&gt;ROW(R437))*(R$2:R$1073&lt;&gt;""))),"")</f>
        <v>-4.8862635254339259E-2</v>
      </c>
      <c r="Y437" cm="1">
        <f t="array" ref="Y437">IFERROR(AVERAGE(_xlfn._xlws.FILTER(S$2:S$1073,($C$2:$C$1073=$C437)*($E$2:$E$1073=$E437)*(ROW(S$2:S$1073)&lt;&gt;ROW(S437))*(S$2:S$1073&lt;&gt;""))),"")</f>
        <v>0.82249655208661299</v>
      </c>
      <c r="Z437" cm="1">
        <f t="array" ref="Z437">IFERROR(AVERAGE(_xlfn._xlws.FILTER(T$2:T$1073,($C$2:$C$1073=$C437)*($E$2:$E$1073=$E437)*(ROW(T$2:T$1073)&lt;&gt;ROW(T437))*(T$2:T$1073&lt;&gt;""))),"")</f>
        <v>0.14932106076527479</v>
      </c>
      <c r="AA437" cm="1">
        <f t="array" ref="AA437">IFERROR(AVERAGE(_xlfn._xlws.FILTER(U$2:U$1073,($C$2:$C$1073=$C437)*($E$2:$E$1073=$E437)*(ROW(U$2:U$1073)&lt;&gt;ROW(U437))*(U$2:U$1073&lt;&gt;""))),"")</f>
        <v>1.2377975682200941</v>
      </c>
    </row>
    <row r="438" spans="1:27" x14ac:dyDescent="0.2">
      <c r="A438" s="7" t="s">
        <v>2234</v>
      </c>
      <c r="B438" t="str">
        <f t="shared" si="68"/>
        <v>RASP IV кв. 2021</v>
      </c>
      <c r="C438">
        <v>2021</v>
      </c>
      <c r="D438">
        <f>SUMIFS(Дивиденды!$C:$C,Дивиденды!$A:$A,A438,Дивиденды!$I:$I,C438)</f>
        <v>51</v>
      </c>
      <c r="E438">
        <v>3</v>
      </c>
      <c r="F438">
        <f t="shared" si="69"/>
        <v>51</v>
      </c>
      <c r="G438">
        <f t="shared" si="70"/>
        <v>31.755000000000003</v>
      </c>
      <c r="H438">
        <f t="shared" si="71"/>
        <v>1</v>
      </c>
      <c r="I438">
        <f t="shared" si="78"/>
        <v>0.7</v>
      </c>
      <c r="J438">
        <f t="shared" si="72"/>
        <v>5.0714285714285712</v>
      </c>
      <c r="K438">
        <f t="shared" si="76"/>
        <v>0.22355346942793944</v>
      </c>
      <c r="L438">
        <f t="shared" si="73"/>
        <v>1</v>
      </c>
      <c r="M438">
        <f t="shared" si="77"/>
        <v>0.4</v>
      </c>
      <c r="N438">
        <f t="shared" si="74"/>
        <v>0</v>
      </c>
      <c r="O438">
        <f t="shared" si="75"/>
        <v>0.2</v>
      </c>
      <c r="P438">
        <f>IFERROR(LN('Дивиденды по годам'!I438),"")</f>
        <v>26.071615482413364</v>
      </c>
      <c r="Q438">
        <f>IFERROR('Дивиденды по годам'!G438/'Дивиденды по годам'!I438, "")</f>
        <v>0.60912280701754384</v>
      </c>
      <c r="R438">
        <f>IFERROR(IF(AND('Дивиденды по годам'!N438&lt;&gt;"",'Дивиденды по годам'!U438&lt;&gt;"",'Дивиденды по годам'!U438&lt;&gt;0),'Дивиденды по годам'!N438/'Дивиденды по годам'!U438-1,""),"")</f>
        <v>2.4586488015542365</v>
      </c>
      <c r="S438">
        <f>IFERROR(IF(AND('Дивиденды по годам'!L438&lt;&gt;"",'Дивиденды по годам'!I438&lt;&gt;"",'Дивиденды по годам'!J438&lt;&gt;"",'Дивиденды по годам'!K438&lt;&gt;"",('Дивиденды по годам'!I438-'Дивиденды по годам'!J438-'Дивиденды по годам'!K438)&lt;&gt;0),'Дивиденды по годам'!L438/('Дивиденды по годам'!I438-'Дивиденды по годам'!J438-'Дивиденды по годам'!K438),""),"")</f>
        <v>1.3326432022084191</v>
      </c>
      <c r="T438">
        <f>IFERROR(IF(AND('Дивиденды по годам'!Q438&lt;&gt;"",'Дивиденды по годам'!I438&lt;&gt;"",'Дивиденды по годам'!V438&lt;&gt;"",('Дивиденды по годам'!I438+'Дивиденды по годам'!V438)&lt;&gt;0),'Дивиденды по годам'!Q438/(('Дивиденды по годам'!I438+'Дивиденды по годам'!V438)/2),""),"")</f>
        <v>0.31638871745582159</v>
      </c>
      <c r="U438">
        <f>IFERROR(IF(AND('Дивиденды по годам'!J438&lt;&gt;"",'Дивиденды по годам'!K438&lt;&gt;"",'Дивиденды по годам'!M438&lt;&gt;"",'Дивиденды по годам'!M438&lt;&gt;0),('Дивиденды по годам'!J438+'Дивиденды по годам'!K438)/'Дивиденды по годам'!M438,""),"")</f>
        <v>0.9668737060041408</v>
      </c>
      <c r="V438" cm="1">
        <f t="array" ref="V438">IFERROR(AVERAGE(_xlfn._xlws.FILTER(P$2:P$1073,($C$2:$C$1073=$C438)*($E$2:$E$1073=$E438)*(ROW(P$2:P$1073)&lt;&gt;ROW(P438))*(P$2:P$1073&lt;&gt;""))),"")</f>
        <v>27.076134653950628</v>
      </c>
      <c r="W438" cm="1">
        <f t="array" ref="W438">IFERROR(AVERAGE(_xlfn._xlws.FILTER(Q$2:Q$1073,($C$2:$C$1073=$C438)*($E$2:$E$1073=$E438)*(ROW(Q$2:Q$1073)&lt;&gt;ROW(Q438))*(Q$2:Q$1073&lt;&gt;""))),"")</f>
        <v>0.47555905239813406</v>
      </c>
      <c r="X438" cm="1">
        <f t="array" ref="X438">IFERROR(AVERAGE(_xlfn._xlws.FILTER(R$2:R$1073,($C$2:$C$1073=$C438)*($E$2:$E$1073=$E438)*(ROW(R$2:R$1073)&lt;&gt;ROW(R438))*(R$2:R$1073&lt;&gt;""))),"")</f>
        <v>0.50556643824791536</v>
      </c>
      <c r="Y438" cm="1">
        <f t="array" ref="Y438">IFERROR(AVERAGE(_xlfn._xlws.FILTER(S$2:S$1073,($C$2:$C$1073=$C438)*($E$2:$E$1073=$E438)*(ROW(S$2:S$1073)&lt;&gt;ROW(S438))*(S$2:S$1073&lt;&gt;""))),"")</f>
        <v>1.0056829725254128</v>
      </c>
      <c r="Z438" cm="1">
        <f t="array" ref="Z438">IFERROR(AVERAGE(_xlfn._xlws.FILTER(T$2:T$1073,($C$2:$C$1073=$C438)*($E$2:$E$1073=$E438)*(ROW(T$2:T$1073)&lt;&gt;ROW(T438))*(T$2:T$1073&lt;&gt;""))),"")</f>
        <v>0.28445441956331918</v>
      </c>
      <c r="AA438" cm="1">
        <f t="array" ref="AA438">IFERROR(AVERAGE(_xlfn._xlws.FILTER(U$2:U$1073,($C$2:$C$1073=$C438)*($E$2:$E$1073=$E438)*(ROW(U$2:U$1073)&lt;&gt;ROW(U438))*(U$2:U$1073&lt;&gt;""))),"")</f>
        <v>2.1562888577487263</v>
      </c>
    </row>
    <row r="439" spans="1:27" x14ac:dyDescent="0.2">
      <c r="A439" s="7" t="s">
        <v>2234</v>
      </c>
      <c r="B439" t="str">
        <f t="shared" si="68"/>
        <v>RASP IV кв. 2020</v>
      </c>
      <c r="C439">
        <v>2020</v>
      </c>
      <c r="D439">
        <f>SUMIFS(Дивиденды!$C:$C,Дивиденды!$A:$A,A439,Дивиденды!$I:$I,C439)</f>
        <v>8.4</v>
      </c>
      <c r="E439">
        <v>3</v>
      </c>
      <c r="F439">
        <f t="shared" si="69"/>
        <v>8.4</v>
      </c>
      <c r="G439">
        <f t="shared" si="70"/>
        <v>23.143999999999998</v>
      </c>
      <c r="H439">
        <f t="shared" si="71"/>
        <v>1</v>
      </c>
      <c r="I439">
        <f t="shared" si="78"/>
        <v>0.7</v>
      </c>
      <c r="J439">
        <f t="shared" si="72"/>
        <v>0.57598499061913699</v>
      </c>
      <c r="K439">
        <f t="shared" si="76"/>
        <v>0.60178104964807078</v>
      </c>
      <c r="L439">
        <f t="shared" si="73"/>
        <v>1</v>
      </c>
      <c r="M439">
        <f t="shared" si="77"/>
        <v>0.6</v>
      </c>
      <c r="N439">
        <f t="shared" si="74"/>
        <v>0</v>
      </c>
      <c r="O439">
        <f t="shared" si="75"/>
        <v>0.1</v>
      </c>
      <c r="P439">
        <f>IFERROR(LN('Дивиденды по годам'!I439),"")</f>
        <v>26.010550011149842</v>
      </c>
      <c r="Q439">
        <f>IFERROR('Дивиденды по годам'!G439/'Дивиденды по годам'!I439, "")</f>
        <v>0.6560672514619883</v>
      </c>
      <c r="R439">
        <f>IFERROR(IF(AND('Дивиденды по годам'!N439&lt;&gt;"",'Дивиденды по годам'!U439&lt;&gt;"",'Дивиденды по годам'!U439&lt;&gt;0),'Дивиденды по годам'!N439/'Дивиденды по годам'!U439-1,""),"")</f>
        <v>-0.30541965177727892</v>
      </c>
      <c r="S439">
        <f>IFERROR(IF(AND('Дивиденды по годам'!L439&lt;&gt;"",'Дивиденды по годам'!I439&lt;&gt;"",'Дивиденды по годам'!J439&lt;&gt;"",'Дивиденды по годам'!K439&lt;&gt;"",('Дивиденды по годам'!I439-'Дивиденды по годам'!J439-'Дивиденды по годам'!K439)&lt;&gt;0),'Дивиденды по годам'!L439/('Дивиденды по годам'!I439-'Дивиденды по годам'!J439-'Дивиденды по годам'!K439),""),"")</f>
        <v>1.4040968342644322</v>
      </c>
      <c r="T439">
        <f>IFERROR(IF(AND('Дивиденды по годам'!Q439&lt;&gt;"",'Дивиденды по годам'!I439&lt;&gt;"",'Дивиденды по годам'!V439&lt;&gt;"",('Дивиденды по годам'!I439+'Дивиденды по годам'!V439)&lt;&gt;0),'Дивиденды по годам'!Q439/(('Дивиденды по годам'!I439+'Дивиденды по годам'!V439)/2),""),"")</f>
        <v>8.4360917774422575E-2</v>
      </c>
      <c r="U439">
        <f>IFERROR(IF(AND('Дивиденды по годам'!J439&lt;&gt;"",'Дивиденды по годам'!K439&lt;&gt;"",'Дивиденды по годам'!M439&lt;&gt;"",'Дивиденды по годам'!M439&lt;&gt;0),('Дивиденды по годам'!J439+'Дивиденды по годам'!K439)/'Дивиденды по годам'!M439,""),"")</f>
        <v>1.5474860335195528</v>
      </c>
      <c r="V439" cm="1">
        <f t="array" ref="V439">IFERROR(AVERAGE(_xlfn._xlws.FILTER(P$2:P$1073,($C$2:$C$1073=$C439)*($E$2:$E$1073=$E439)*(ROW(P$2:P$1073)&lt;&gt;ROW(P439))*(P$2:P$1073&lt;&gt;""))),"")</f>
        <v>26.899486011307943</v>
      </c>
      <c r="W439" cm="1">
        <f t="array" ref="W439">IFERROR(AVERAGE(_xlfn._xlws.FILTER(Q$2:Q$1073,($C$2:$C$1073=$C439)*($E$2:$E$1073=$E439)*(ROW(Q$2:Q$1073)&lt;&gt;ROW(Q439))*(Q$2:Q$1073&lt;&gt;""))),"")</f>
        <v>0.49112085450677034</v>
      </c>
      <c r="X439" cm="1">
        <f t="array" ref="X439">IFERROR(AVERAGE(_xlfn._xlws.FILTER(R$2:R$1073,($C$2:$C$1073=$C439)*($E$2:$E$1073=$E439)*(ROW(R$2:R$1073)&lt;&gt;ROW(R439))*(R$2:R$1073&lt;&gt;""))),"")</f>
        <v>6.0493433618061788E-2</v>
      </c>
      <c r="Y439" cm="1">
        <f t="array" ref="Y439">IFERROR(AVERAGE(_xlfn._xlws.FILTER(S$2:S$1073,($C$2:$C$1073=$C439)*($E$2:$E$1073=$E439)*(ROW(S$2:S$1073)&lt;&gt;ROW(S439))*(S$2:S$1073&lt;&gt;""))),"")</f>
        <v>1.0046905961190662</v>
      </c>
      <c r="Z439" cm="1">
        <f t="array" ref="Z439">IFERROR(AVERAGE(_xlfn._xlws.FILTER(T$2:T$1073,($C$2:$C$1073=$C439)*($E$2:$E$1073=$E439)*(ROW(T$2:T$1073)&lt;&gt;ROW(T439))*(T$2:T$1073&lt;&gt;""))),"")</f>
        <v>9.5292599729357289E-2</v>
      </c>
      <c r="AA439" cm="1">
        <f t="array" ref="AA439">IFERROR(AVERAGE(_xlfn._xlws.FILTER(U$2:U$1073,($C$2:$C$1073=$C439)*($E$2:$E$1073=$E439)*(ROW(U$2:U$1073)&lt;&gt;ROW(U439))*(U$2:U$1073&lt;&gt;""))),"")</f>
        <v>1.6700728537391565</v>
      </c>
    </row>
    <row r="440" spans="1:27" x14ac:dyDescent="0.2">
      <c r="A440" s="7" t="s">
        <v>2234</v>
      </c>
      <c r="B440" t="str">
        <f t="shared" si="68"/>
        <v>RASP IV кв. 2019</v>
      </c>
      <c r="C440">
        <v>2019</v>
      </c>
      <c r="D440">
        <f>SUMIFS(Дивиденды!$C:$C,Дивиденды!$A:$A,A440,Дивиденды!$I:$I,C440)</f>
        <v>5.33</v>
      </c>
      <c r="E440">
        <v>3</v>
      </c>
      <c r="F440">
        <f t="shared" si="69"/>
        <v>5.33</v>
      </c>
      <c r="G440">
        <f t="shared" si="70"/>
        <v>19.058</v>
      </c>
      <c r="H440">
        <f t="shared" si="71"/>
        <v>1</v>
      </c>
      <c r="I440">
        <f t="shared" si="78"/>
        <v>0.7</v>
      </c>
      <c r="J440">
        <f t="shared" si="72"/>
        <v>1</v>
      </c>
      <c r="K440">
        <f t="shared" si="76"/>
        <v>0.15160659566020115</v>
      </c>
      <c r="L440">
        <f t="shared" si="73"/>
        <v>1</v>
      </c>
      <c r="M440">
        <f t="shared" si="77"/>
        <v>0.3</v>
      </c>
      <c r="N440">
        <f t="shared" si="74"/>
        <v>0</v>
      </c>
      <c r="O440">
        <f t="shared" si="75"/>
        <v>0.4</v>
      </c>
      <c r="P440">
        <f>IFERROR(LN('Дивиденды по годам'!I440),"")</f>
        <v>25.382664714325671</v>
      </c>
      <c r="Q440">
        <f>IFERROR('Дивиденды по годам'!G440/'Дивиденды по годам'!I440, "")</f>
        <v>0.31801470588235298</v>
      </c>
      <c r="R440">
        <f>IFERROR(IF(AND('Дивиденды по годам'!N440&lt;&gt;"",'Дивиденды по годам'!U440&lt;&gt;"",'Дивиденды по годам'!U440&lt;&gt;0),'Дивиденды по годам'!N440/'Дивиденды по годам'!U440-1,""),"")</f>
        <v>-5.5453423893357501E-2</v>
      </c>
      <c r="S440">
        <f>IFERROR(IF(AND('Дивиденды по годам'!L440&lt;&gt;"",'Дивиденды по годам'!I440&lt;&gt;"",'Дивиденды по годам'!J440&lt;&gt;"",'Дивиденды по годам'!K440&lt;&gt;"",('Дивиденды по годам'!I440-'Дивиденды по годам'!J440-'Дивиденды по годам'!K440)&lt;&gt;0),'Дивиденды по годам'!L440/('Дивиденды по годам'!I440-'Дивиденды по годам'!J440-'Дивиденды по годам'!K440),""),"")</f>
        <v>1.194054500412882</v>
      </c>
      <c r="T440">
        <f>IFERROR(IF(AND('Дивиденды по годам'!Q440&lt;&gt;"",'Дивиденды по годам'!I440&lt;&gt;"",'Дивиденды по годам'!V440&lt;&gt;"",('Дивиденды по годам'!I440+'Дивиденды по годам'!V440)&lt;&gt;0),'Дивиденды по годам'!Q440/(('Дивиденды по годам'!I440+'Дивиденды по годам'!V440)/2),""),"")</f>
        <v>0.13210198014583921</v>
      </c>
      <c r="U440">
        <f>IFERROR(IF(AND('Дивиденды по годам'!J440&lt;&gt;"",'Дивиденды по годам'!K440&lt;&gt;"",'Дивиденды по годам'!M440&lt;&gt;"",'Дивиденды по годам'!M440&lt;&gt;0),('Дивиденды по годам'!J440+'Дивиденды по годам'!K440)/'Дивиденды по годам'!M440,""),"")</f>
        <v>0.34764657308009911</v>
      </c>
      <c r="V440" cm="1">
        <f t="array" ref="V440">IFERROR(AVERAGE(_xlfn._xlws.FILTER(P$2:P$1073,($C$2:$C$1073=$C440)*($E$2:$E$1073=$E440)*(ROW(P$2:P$1073)&lt;&gt;ROW(P440))*(P$2:P$1073&lt;&gt;""))),"")</f>
        <v>26.847362633524103</v>
      </c>
      <c r="W440" cm="1">
        <f t="array" ref="W440">IFERROR(AVERAGE(_xlfn._xlws.FILTER(Q$2:Q$1073,($C$2:$C$1073=$C440)*($E$2:$E$1073=$E440)*(ROW(Q$2:Q$1073)&lt;&gt;ROW(Q440))*(Q$2:Q$1073&lt;&gt;""))),"")</f>
        <v>0.51898766660611417</v>
      </c>
      <c r="X440" cm="1">
        <f t="array" ref="X440">IFERROR(AVERAGE(_xlfn._xlws.FILTER(R$2:R$1073,($C$2:$C$1073=$C440)*($E$2:$E$1073=$E440)*(ROW(R$2:R$1073)&lt;&gt;ROW(R440))*(R$2:R$1073&lt;&gt;""))),"")</f>
        <v>4.8303906656514684E-2</v>
      </c>
      <c r="Y440" cm="1">
        <f t="array" ref="Y440">IFERROR(AVERAGE(_xlfn._xlws.FILTER(S$2:S$1073,($C$2:$C$1073=$C440)*($E$2:$E$1073=$E440)*(ROW(S$2:S$1073)&lt;&gt;ROW(S440))*(S$2:S$1073&lt;&gt;""))),"")</f>
        <v>0.87959336924160181</v>
      </c>
      <c r="Z440" cm="1">
        <f t="array" ref="Z440">IFERROR(AVERAGE(_xlfn._xlws.FILTER(T$2:T$1073,($C$2:$C$1073=$C440)*($E$2:$E$1073=$E440)*(ROW(T$2:T$1073)&lt;&gt;ROW(T440))*(T$2:T$1073&lt;&gt;""))),"")</f>
        <v>0.13859152683984494</v>
      </c>
      <c r="AA440" cm="1">
        <f t="array" ref="AA440">IFERROR(AVERAGE(_xlfn._xlws.FILTER(U$2:U$1073,($C$2:$C$1073=$C440)*($E$2:$E$1073=$E440)*(ROW(U$2:U$1073)&lt;&gt;ROW(U440))*(U$2:U$1073&lt;&gt;""))),"")</f>
        <v>1.6801406757034218</v>
      </c>
    </row>
    <row r="441" spans="1:27" x14ac:dyDescent="0.2">
      <c r="A441" s="7" t="s">
        <v>2234</v>
      </c>
      <c r="B441" t="str">
        <f t="shared" si="68"/>
        <v>RASP IV кв. 2018</v>
      </c>
      <c r="C441">
        <v>2018</v>
      </c>
      <c r="D441">
        <f>SUMIFS(Дивиденды!$C:$C,Дивиденды!$A:$A,A441,Дивиденды!$I:$I,C441)</f>
        <v>0</v>
      </c>
      <c r="E441">
        <v>3</v>
      </c>
      <c r="F441">
        <f t="shared" si="69"/>
        <v>0</v>
      </c>
      <c r="G441">
        <f t="shared" si="70"/>
        <v>22.694999999999997</v>
      </c>
      <c r="H441">
        <f t="shared" si="71"/>
        <v>0</v>
      </c>
      <c r="I441">
        <f t="shared" si="78"/>
        <v>0.5</v>
      </c>
      <c r="J441">
        <f t="shared" si="72"/>
        <v>0</v>
      </c>
      <c r="K441">
        <f t="shared" si="76"/>
        <v>0.12085686823605531</v>
      </c>
      <c r="L441">
        <f t="shared" si="73"/>
        <v>0</v>
      </c>
      <c r="M441">
        <f t="shared" si="77"/>
        <v>0.5</v>
      </c>
      <c r="N441">
        <f t="shared" si="74"/>
        <v>0</v>
      </c>
      <c r="O441">
        <f t="shared" si="75"/>
        <v>0.2</v>
      </c>
      <c r="P441">
        <f>IFERROR(LN('Дивиденды по годам'!I441),"")</f>
        <v>25.309647371206648</v>
      </c>
      <c r="Q441">
        <f>IFERROR('Дивиденды по годам'!G441/'Дивиденды по годам'!I441, "")</f>
        <v>0.36515054452274187</v>
      </c>
      <c r="R441">
        <f>IFERROR(IF(AND('Дивиденды по годам'!N441&lt;&gt;"",'Дивиденды по годам'!U441&lt;&gt;"",'Дивиденды по годам'!U441&lt;&gt;0),'Дивиденды по годам'!N441/'Дивиденды по годам'!U441-1,""),"")</f>
        <v>0.34766836268953294</v>
      </c>
      <c r="S441">
        <f>IFERROR(IF(AND('Дивиденды по годам'!L441&lt;&gt;"",'Дивиденды по годам'!I441&lt;&gt;"",'Дивиденды по годам'!J441&lt;&gt;"",'Дивиденды по годам'!K441&lt;&gt;"",('Дивиденды по годам'!I441-'Дивиденды по годам'!J441-'Дивиденды по годам'!K441)&lt;&gt;0),'Дивиденды по годам'!L441/('Дивиденды по годам'!I441-'Дивиденды по годам'!J441-'Дивиденды по годам'!K441),""),"")</f>
        <v>1.3319327731092439</v>
      </c>
      <c r="T441">
        <f>IFERROR(IF(AND('Дивиденды по годам'!Q441&lt;&gt;"",'Дивиденды по годам'!I441&lt;&gt;"",'Дивиденды по годам'!V441&lt;&gt;"",('Дивиденды по годам'!I441+'Дивиденды по годам'!V441)&lt;&gt;0),'Дивиденды по годам'!Q441/(('Дивиденды по годам'!I441+'Дивиденды по годам'!V441)/2),""),"")</f>
        <v>0.31934506484561809</v>
      </c>
      <c r="U441">
        <f>IFERROR(IF(AND('Дивиденды по годам'!J441&lt;&gt;"",'Дивиденды по годам'!K441&lt;&gt;"",'Дивиденды по годам'!M441&lt;&gt;"",'Дивиденды по годам'!M441&lt;&gt;0),('Дивиденды по годам'!J441+'Дивиденды по годам'!K441)/'Дивиденды по годам'!M441,""),"")</f>
        <v>0.63970588235294112</v>
      </c>
      <c r="V441" cm="1">
        <f t="array" ref="V441">IFERROR(AVERAGE(_xlfn._xlws.FILTER(P$2:P$1073,($C$2:$C$1073=$C441)*($E$2:$E$1073=$E441)*(ROW(P$2:P$1073)&lt;&gt;ROW(P441))*(P$2:P$1073&lt;&gt;""))),"")</f>
        <v>26.696634316456745</v>
      </c>
      <c r="W441" cm="1">
        <f t="array" ref="W441">IFERROR(AVERAGE(_xlfn._xlws.FILTER(Q$2:Q$1073,($C$2:$C$1073=$C441)*($E$2:$E$1073=$E441)*(ROW(Q$2:Q$1073)&lt;&gt;ROW(Q441))*(Q$2:Q$1073&lt;&gt;""))),"")</f>
        <v>0.53345627423418318</v>
      </c>
      <c r="X441" cm="1">
        <f t="array" ref="X441">IFERROR(AVERAGE(_xlfn._xlws.FILTER(R$2:R$1073,($C$2:$C$1073=$C441)*($E$2:$E$1073=$E441)*(ROW(R$2:R$1073)&lt;&gt;ROW(R441))*(R$2:R$1073&lt;&gt;""))),"")</f>
        <v>0.20452913106519111</v>
      </c>
      <c r="Y441" cm="1">
        <f t="array" ref="Y441">IFERROR(AVERAGE(_xlfn._xlws.FILTER(S$2:S$1073,($C$2:$C$1073=$C441)*($E$2:$E$1073=$E441)*(ROW(S$2:S$1073)&lt;&gt;ROW(S441))*(S$2:S$1073&lt;&gt;""))),"")</f>
        <v>0.88261377932333573</v>
      </c>
      <c r="Z441" cm="1">
        <f t="array" ref="Z441">IFERROR(AVERAGE(_xlfn._xlws.FILTER(T$2:T$1073,($C$2:$C$1073=$C441)*($E$2:$E$1073=$E441)*(ROW(T$2:T$1073)&lt;&gt;ROW(T441))*(T$2:T$1073&lt;&gt;""))),"")</f>
        <v>0.13882833321125249</v>
      </c>
      <c r="AA441" cm="1">
        <f t="array" ref="AA441">IFERROR(AVERAGE(_xlfn._xlws.FILTER(U$2:U$1073,($C$2:$C$1073=$C441)*($E$2:$E$1073=$E441)*(ROW(U$2:U$1073)&lt;&gt;ROW(U441))*(U$2:U$1073&lt;&gt;""))),"")</f>
        <v>2.508104922096563</v>
      </c>
    </row>
    <row r="442" spans="1:27" x14ac:dyDescent="0.2">
      <c r="A442" s="7" t="s">
        <v>2234</v>
      </c>
      <c r="B442" t="str">
        <f t="shared" si="68"/>
        <v>RASP IV кв. 2017</v>
      </c>
      <c r="C442">
        <v>2017</v>
      </c>
      <c r="D442">
        <f>SUMIFS(Дивиденды!$C:$C,Дивиденды!$A:$A,A442,Дивиденды!$I:$I,C442)</f>
        <v>0</v>
      </c>
      <c r="E442">
        <v>3</v>
      </c>
      <c r="F442">
        <f t="shared" si="69"/>
        <v>0</v>
      </c>
      <c r="G442">
        <f t="shared" si="70"/>
        <v>16.068876314825083</v>
      </c>
      <c r="H442">
        <f t="shared" si="71"/>
        <v>0</v>
      </c>
      <c r="I442">
        <f t="shared" si="78"/>
        <v>0.7</v>
      </c>
      <c r="J442">
        <f t="shared" si="72"/>
        <v>0</v>
      </c>
      <c r="K442">
        <f t="shared" si="76"/>
        <v>0.11709302504260524</v>
      </c>
      <c r="L442">
        <f t="shared" si="73"/>
        <v>0</v>
      </c>
      <c r="M442">
        <f t="shared" si="77"/>
        <v>0.5</v>
      </c>
      <c r="N442">
        <f t="shared" si="74"/>
        <v>0</v>
      </c>
      <c r="O442">
        <f t="shared" si="75"/>
        <v>0.2</v>
      </c>
      <c r="P442">
        <f>IFERROR(LN('Дивиденды по годам'!I442),"")</f>
        <v>25.083249359058922</v>
      </c>
      <c r="Q442">
        <f>IFERROR('Дивиденды по годам'!G442/'Дивиденды по годам'!I442, "")</f>
        <v>0.5156482861400894</v>
      </c>
      <c r="R442">
        <f>IFERROR(IF(AND('Дивиденды по годам'!N442&lt;&gt;"",'Дивиденды по годам'!U442&lt;&gt;"",'Дивиденды по годам'!U442&lt;&gt;0),'Дивиденды по годам'!N442/'Дивиденды по годам'!U442-1,""),"")</f>
        <v>0.50367224060249072</v>
      </c>
      <c r="S442">
        <f>IFERROR(IF(AND('Дивиденды по годам'!L442&lt;&gt;"",'Дивиденды по годам'!I442&lt;&gt;"",'Дивиденды по годам'!J442&lt;&gt;"",'Дивиденды по годам'!K442&lt;&gt;"",('Дивиденды по годам'!I442-'Дивиденды по годам'!J442-'Дивиденды по годам'!K442)&lt;&gt;0),'Дивиденды по годам'!L442/('Дивиденды по годам'!I442-'Дивиденды по годам'!J442-'Дивиденды по годам'!K442),""),"")</f>
        <v>1.2371601208459213</v>
      </c>
      <c r="T442">
        <f>IFERROR(IF(AND('Дивиденды по годам'!Q442&lt;&gt;"",'Дивиденды по годам'!I442&lt;&gt;"",'Дивиденды по годам'!V442&lt;&gt;"",('Дивиденды по годам'!I442+'Дивиденды по годам'!V442)&lt;&gt;0),'Дивиденды по годам'!Q442/(('Дивиденды по годам'!I442+'Дивиденды по годам'!V442)/2),""),"")</f>
        <v>0.21774580814033706</v>
      </c>
      <c r="U442">
        <f>IFERROR(IF(AND('Дивиденды по годам'!J442&lt;&gt;"",'Дивиденды по годам'!K442&lt;&gt;"",'Дивиденды по годам'!M442&lt;&gt;"",'Дивиденды по годам'!M442&lt;&gt;0),('Дивиденды по годам'!J442+'Дивиденды по годам'!K442)/'Дивиденды по годам'!M442,""),"")</f>
        <v>1.0271903323262841</v>
      </c>
      <c r="V442" cm="1">
        <f t="array" ref="V442">IFERROR(AVERAGE(_xlfn._xlws.FILTER(P$2:P$1073,($C$2:$C$1073=$C442)*($E$2:$E$1073=$E442)*(ROW(P$2:P$1073)&lt;&gt;ROW(P442))*(P$2:P$1073&lt;&gt;""))),"")</f>
        <v>26.690019416853989</v>
      </c>
      <c r="W442" cm="1">
        <f t="array" ref="W442">IFERROR(AVERAGE(_xlfn._xlws.FILTER(Q$2:Q$1073,($C$2:$C$1073=$C442)*($E$2:$E$1073=$E442)*(ROW(Q$2:Q$1073)&lt;&gt;ROW(Q442))*(Q$2:Q$1073&lt;&gt;""))),"")</f>
        <v>0.53791216518044482</v>
      </c>
      <c r="X442" cm="1">
        <f t="array" ref="X442">IFERROR(AVERAGE(_xlfn._xlws.FILTER(R$2:R$1073,($C$2:$C$1073=$C442)*($E$2:$E$1073=$E442)*(ROW(R$2:R$1073)&lt;&gt;ROW(R442))*(R$2:R$1073&lt;&gt;""))),"")</f>
        <v>5.9903458337037696E-2</v>
      </c>
      <c r="Y442" cm="1">
        <f t="array" ref="Y442">IFERROR(AVERAGE(_xlfn._xlws.FILTER(S$2:S$1073,($C$2:$C$1073=$C442)*($E$2:$E$1073=$E442)*(ROW(S$2:S$1073)&lt;&gt;ROW(S442))*(S$2:S$1073&lt;&gt;""))),"")</f>
        <v>1.039908596590283</v>
      </c>
      <c r="Z442" cm="1">
        <f t="array" ref="Z442">IFERROR(AVERAGE(_xlfn._xlws.FILTER(T$2:T$1073,($C$2:$C$1073=$C442)*($E$2:$E$1073=$E442)*(ROW(T$2:T$1073)&lt;&gt;ROW(T442))*(T$2:T$1073&lt;&gt;""))),"")</f>
        <v>0.11194810240108759</v>
      </c>
      <c r="AA442" cm="1">
        <f t="array" ref="AA442">IFERROR(AVERAGE(_xlfn._xlws.FILTER(U$2:U$1073,($C$2:$C$1073=$C442)*($E$2:$E$1073=$E442)*(ROW(U$2:U$1073)&lt;&gt;ROW(U442))*(U$2:U$1073&lt;&gt;""))),"")</f>
        <v>2.0733410499725742</v>
      </c>
    </row>
    <row r="443" spans="1:27" x14ac:dyDescent="0.2">
      <c r="A443" s="7" t="s">
        <v>2234</v>
      </c>
      <c r="B443" t="str">
        <f t="shared" si="68"/>
        <v>RASP IV кв. 2016</v>
      </c>
      <c r="C443">
        <v>2016</v>
      </c>
      <c r="D443">
        <f>SUMIFS(Дивиденды!$C:$C,Дивиденды!$A:$A,A443,Дивиденды!$I:$I,C443)</f>
        <v>0</v>
      </c>
      <c r="E443">
        <v>3</v>
      </c>
      <c r="F443">
        <f t="shared" si="69"/>
        <v>0</v>
      </c>
      <c r="G443">
        <f t="shared" si="70"/>
        <v>12.095639712606381</v>
      </c>
      <c r="H443">
        <f t="shared" si="71"/>
        <v>0</v>
      </c>
      <c r="I443">
        <f t="shared" si="78"/>
        <v>0.7</v>
      </c>
      <c r="J443">
        <f t="shared" si="72"/>
        <v>0</v>
      </c>
      <c r="K443">
        <f t="shared" si="76"/>
        <v>0.68768115603983127</v>
      </c>
      <c r="L443">
        <f t="shared" si="73"/>
        <v>0</v>
      </c>
      <c r="M443">
        <f t="shared" si="77"/>
        <v>0.7</v>
      </c>
      <c r="N443">
        <f t="shared" si="74"/>
        <v>0</v>
      </c>
      <c r="O443">
        <f t="shared" si="75"/>
        <v>0</v>
      </c>
      <c r="P443">
        <f>IFERROR(LN('Дивиденды по годам'!I443),"")</f>
        <v>25.251577513258013</v>
      </c>
      <c r="Q443">
        <f>IFERROR('Дивиденды по годам'!G443/'Дивиденды по годам'!I443, "")</f>
        <v>0.4583635047067342</v>
      </c>
      <c r="R443">
        <f>IFERROR(IF(AND('Дивиденды по годам'!N443&lt;&gt;"",'Дивиденды по годам'!U443&lt;&gt;"",'Дивиденды по годам'!U443&lt;&gt;0),'Дивиденды по годам'!N443/'Дивиденды по годам'!U443-1,""),"")</f>
        <v>0.31162449071745724</v>
      </c>
      <c r="S443">
        <f>IFERROR(IF(AND('Дивиденды по годам'!L443&lt;&gt;"",'Дивиденды по годам'!I443&lt;&gt;"",'Дивиденды по годам'!J443&lt;&gt;"",'Дивиденды по годам'!K443&lt;&gt;"",('Дивиденды по годам'!I443-'Дивиденды по годам'!J443-'Дивиденды по годам'!K443)&lt;&gt;0),'Дивиденды по годам'!L443/('Дивиденды по годам'!I443-'Дивиденды по годам'!J443-'Дивиденды по годам'!K443),""),"")</f>
        <v>1.5510835913312691</v>
      </c>
      <c r="T443">
        <f>IFERROR(IF(AND('Дивиденды по годам'!Q443&lt;&gt;"",'Дивиденды по годам'!I443&lt;&gt;"",'Дивиденды по годам'!V443&lt;&gt;"",('Дивиденды по годам'!I443+'Дивиденды по годам'!V443)&lt;&gt;0),'Дивиденды по годам'!Q443/(('Дивиденды по годам'!I443+'Дивиденды по годам'!V443)/2),""),"")</f>
        <v>0.16878522516712077</v>
      </c>
      <c r="U443">
        <f>IFERROR(IF(AND('Дивиденды по годам'!J443&lt;&gt;"",'Дивиденды по годам'!K443&lt;&gt;"",'Дивиденды по годам'!M443&lt;&gt;"",'Дивиденды по годам'!M443&lt;&gt;0),('Дивиденды по годам'!J443+'Дивиденды по годам'!K443)/'Дивиденды по годам'!M443,""),"")</f>
        <v>3.2755417956656347</v>
      </c>
      <c r="V443" cm="1">
        <f t="array" ref="V443">IFERROR(AVERAGE(_xlfn._xlws.FILTER(P$2:P$1073,($C$2:$C$1073=$C443)*($E$2:$E$1073=$E443)*(ROW(P$2:P$1073)&lt;&gt;ROW(P443))*(P$2:P$1073&lt;&gt;""))),"")</f>
        <v>26.673881102305103</v>
      </c>
      <c r="W443" cm="1">
        <f t="array" ref="W443">IFERROR(AVERAGE(_xlfn._xlws.FILTER(Q$2:Q$1073,($C$2:$C$1073=$C443)*($E$2:$E$1073=$E443)*(ROW(Q$2:Q$1073)&lt;&gt;ROW(Q443))*(Q$2:Q$1073&lt;&gt;""))),"")</f>
        <v>0.51475775338211605</v>
      </c>
      <c r="X443" cm="1">
        <f t="array" ref="X443">IFERROR(AVERAGE(_xlfn._xlws.FILTER(R$2:R$1073,($C$2:$C$1073=$C443)*($E$2:$E$1073=$E443)*(ROW(R$2:R$1073)&lt;&gt;ROW(R443))*(R$2:R$1073&lt;&gt;""))),"")</f>
        <v>0.1170073479213409</v>
      </c>
      <c r="Y443" cm="1">
        <f t="array" ref="Y443">IFERROR(AVERAGE(_xlfn._xlws.FILTER(S$2:S$1073,($C$2:$C$1073=$C443)*($E$2:$E$1073=$E443)*(ROW(S$2:S$1073)&lt;&gt;ROW(S443))*(S$2:S$1073&lt;&gt;""))),"")</f>
        <v>0.17146409975786267</v>
      </c>
      <c r="Z443" cm="1">
        <f t="array" ref="Z443">IFERROR(AVERAGE(_xlfn._xlws.FILTER(T$2:T$1073,($C$2:$C$1073=$C443)*($E$2:$E$1073=$E443)*(ROW(T$2:T$1073)&lt;&gt;ROW(T443))*(T$2:T$1073&lt;&gt;""))),"")</f>
        <v>0.1611807951529515</v>
      </c>
      <c r="AA443" cm="1">
        <f t="array" ref="AA443">IFERROR(AVERAGE(_xlfn._xlws.FILTER(U$2:U$1073,($C$2:$C$1073=$C443)*($E$2:$E$1073=$E443)*(ROW(U$2:U$1073)&lt;&gt;ROW(U443))*(U$2:U$1073&lt;&gt;""))),"")</f>
        <v>-0.15525714189082604</v>
      </c>
    </row>
    <row r="444" spans="1:27" x14ac:dyDescent="0.2">
      <c r="A444" s="7" t="s">
        <v>2234</v>
      </c>
      <c r="B444" t="str">
        <f t="shared" si="68"/>
        <v>RASP IV кв. 2015</v>
      </c>
      <c r="C444">
        <v>2015</v>
      </c>
      <c r="D444">
        <f>SUMIFS(Дивиденды!$C:$C,Дивиденды!$A:$A,A444,Дивиденды!$I:$I,C444)</f>
        <v>0</v>
      </c>
      <c r="E444">
        <v>3</v>
      </c>
      <c r="F444">
        <f t="shared" si="69"/>
        <v>0</v>
      </c>
      <c r="G444">
        <f t="shared" si="70"/>
        <v>7.2240627742857146</v>
      </c>
      <c r="H444">
        <f t="shared" si="71"/>
        <v>0</v>
      </c>
      <c r="I444">
        <f t="shared" si="78"/>
        <v>0.6</v>
      </c>
      <c r="J444">
        <f t="shared" si="72"/>
        <v>0</v>
      </c>
      <c r="K444">
        <f t="shared" si="76"/>
        <v>0.8808871705905531</v>
      </c>
      <c r="L444">
        <f t="shared" si="73"/>
        <v>0</v>
      </c>
      <c r="M444">
        <f t="shared" si="77"/>
        <v>0.5</v>
      </c>
      <c r="N444">
        <f t="shared" si="74"/>
        <v>0</v>
      </c>
      <c r="O444">
        <f t="shared" si="75"/>
        <v>0.1</v>
      </c>
      <c r="P444">
        <f>IFERROR(LN('Дивиденды по годам'!I444),"")</f>
        <v>24.71944886439827</v>
      </c>
      <c r="Q444">
        <f>IFERROR('Дивиденды по годам'!G444/'Дивиденды по годам'!I444, "")</f>
        <v>0.56193693693693691</v>
      </c>
      <c r="R444">
        <f>IFERROR(IF(AND('Дивиденды по годам'!N444&lt;&gt;"",'Дивиденды по годам'!U444&lt;&gt;"",'Дивиденды по годам'!U444&lt;&gt;0),'Дивиденды по годам'!N444/'Дивиденды по годам'!U444-1,""),"")</f>
        <v>0.4932607852969968</v>
      </c>
      <c r="S444">
        <f>IFERROR(IF(AND('Дивиденды по годам'!L444&lt;&gt;"",'Дивиденды по годам'!I444&lt;&gt;"",'Дивиденды по годам'!J444&lt;&gt;"",'Дивиденды по годам'!K444&lt;&gt;"",('Дивиденды по годам'!I444-'Дивиденды по годам'!J444-'Дивиденды по годам'!K444)&lt;&gt;0),'Дивиденды по годам'!L444/('Дивиденды по годам'!I444-'Дивиденды по годам'!J444-'Дивиденды по годам'!K444),""),"")</f>
        <v>3.0980392156862755</v>
      </c>
      <c r="T444">
        <f>IFERROR(IF(AND('Дивиденды по годам'!Q444&lt;&gt;"",'Дивиденды по годам'!I444&lt;&gt;"",'Дивиденды по годам'!V444&lt;&gt;"",('Дивиденды по годам'!I444+'Дивиденды по годам'!V444)&lt;&gt;0),'Дивиденды по годам'!Q444/(('Дивиденды по годам'!I444+'Дивиденды по годам'!V444)/2),""),"")</f>
        <v>-0.16829033095142062</v>
      </c>
      <c r="U444">
        <f>IFERROR(IF(AND('Дивиденды по годам'!J444&lt;&gt;"",'Дивиденды по годам'!K444&lt;&gt;"",'Дивиденды по годам'!M444&lt;&gt;"",'Дивиденды по годам'!M444&lt;&gt;0),('Дивиденды по годам'!J444+'Дивиденды по годам'!K444)/'Дивиденды по годам'!M444,""),"")</f>
        <v>7.7058823529411766</v>
      </c>
      <c r="V444" cm="1">
        <f t="array" ref="V444">IFERROR(AVERAGE(_xlfn._xlws.FILTER(P$2:P$1073,($C$2:$C$1073=$C444)*($E$2:$E$1073=$E444)*(ROW(P$2:P$1073)&lt;&gt;ROW(P444))*(P$2:P$1073&lt;&gt;""))),"")</f>
        <v>26.521817623187832</v>
      </c>
      <c r="W444" cm="1">
        <f t="array" ref="W444">IFERROR(AVERAGE(_xlfn._xlws.FILTER(Q$2:Q$1073,($C$2:$C$1073=$C444)*($E$2:$E$1073=$E444)*(ROW(Q$2:Q$1073)&lt;&gt;ROW(Q444))*(Q$2:Q$1073&lt;&gt;""))),"")</f>
        <v>0.49227415091755622</v>
      </c>
      <c r="X444" cm="1">
        <f t="array" ref="X444">IFERROR(AVERAGE(_xlfn._xlws.FILTER(R$2:R$1073,($C$2:$C$1073=$C444)*($E$2:$E$1073=$E444)*(ROW(R$2:R$1073)&lt;&gt;ROW(R444))*(R$2:R$1073&lt;&gt;""))),"")</f>
        <v>0.22642968917736311</v>
      </c>
      <c r="Y444" cm="1">
        <f t="array" ref="Y444">IFERROR(AVERAGE(_xlfn._xlws.FILTER(S$2:S$1073,($C$2:$C$1073=$C444)*($E$2:$E$1073=$E444)*(ROW(S$2:S$1073)&lt;&gt;ROW(S444))*(S$2:S$1073&lt;&gt;""))),"")</f>
        <v>0.7304780197015448</v>
      </c>
      <c r="Z444" cm="1">
        <f t="array" ref="Z444">IFERROR(AVERAGE(_xlfn._xlws.FILTER(T$2:T$1073,($C$2:$C$1073=$C444)*($E$2:$E$1073=$E444)*(ROW(T$2:T$1073)&lt;&gt;ROW(T444))*(T$2:T$1073&lt;&gt;""))),"")</f>
        <v>4.4553823003074748E-2</v>
      </c>
      <c r="AA444" cm="1">
        <f t="array" ref="AA444">IFERROR(AVERAGE(_xlfn._xlws.FILTER(U$2:U$1073,($C$2:$C$1073=$C444)*($E$2:$E$1073=$E444)*(ROW(U$2:U$1073)&lt;&gt;ROW(U444))*(U$2:U$1073&lt;&gt;""))),"")</f>
        <v>2.525470619519294</v>
      </c>
    </row>
    <row r="445" spans="1:27" x14ac:dyDescent="0.2">
      <c r="A445" s="7" t="s">
        <v>2234</v>
      </c>
      <c r="B445" t="str">
        <f t="shared" si="68"/>
        <v>RASP IV кв. 2014</v>
      </c>
      <c r="C445">
        <v>2014</v>
      </c>
      <c r="D445">
        <f>SUMIFS(Дивиденды!$C:$C,Дивиденды!$A:$A,A445,Дивиденды!$I:$I,C445)</f>
        <v>0</v>
      </c>
      <c r="E445">
        <v>3</v>
      </c>
      <c r="F445">
        <f t="shared" si="69"/>
        <v>0</v>
      </c>
      <c r="G445">
        <f t="shared" si="70"/>
        <v>7.8559999999999999</v>
      </c>
      <c r="H445">
        <f t="shared" si="71"/>
        <v>0</v>
      </c>
      <c r="I445">
        <f t="shared" si="78"/>
        <v>0.5</v>
      </c>
      <c r="J445">
        <f t="shared" si="72"/>
        <v>0</v>
      </c>
      <c r="K445">
        <f t="shared" si="76"/>
        <v>1.0733185192796773</v>
      </c>
      <c r="L445">
        <f t="shared" si="73"/>
        <v>0</v>
      </c>
      <c r="M445">
        <f t="shared" si="77"/>
        <v>0.3</v>
      </c>
      <c r="N445">
        <f t="shared" si="74"/>
        <v>0</v>
      </c>
      <c r="O445">
        <f t="shared" si="75"/>
        <v>0.1</v>
      </c>
      <c r="P445">
        <f>IFERROR(LN('Дивиденды по годам'!I445),"")</f>
        <v>24.342972059042022</v>
      </c>
      <c r="Q445">
        <f>IFERROR('Дивиденды по годам'!G445/'Дивиденды по годам'!I445, "")</f>
        <v>0.76337020148891832</v>
      </c>
      <c r="R445">
        <f>IFERROR(IF(AND('Дивиденды по годам'!N445&lt;&gt;"",'Дивиденды по годам'!U445&lt;&gt;"",'Дивиденды по годам'!U445&lt;&gt;0),'Дивиденды по годам'!N445/'Дивиденды по годам'!U445-1,""),"")</f>
        <v>-1.1106540387522457E-2</v>
      </c>
      <c r="S445">
        <f>IFERROR(IF(AND('Дивиденды по годам'!L445&lt;&gt;"",'Дивиденды по годам'!I445&lt;&gt;"",'Дивиденды по годам'!J445&lt;&gt;"",'Дивиденды по годам'!K445&lt;&gt;"",('Дивиденды по годам'!I445-'Дивиденды по годам'!J445-'Дивиденды по годам'!K445)&lt;&gt;0),'Дивиденды по годам'!L445/('Дивиденды по годам'!I445-'Дивиденды по годам'!J445-'Дивиденды по годам'!K445),""),"")</f>
        <v>1.5592442131098985</v>
      </c>
      <c r="T445">
        <f>IFERROR(IF(AND('Дивиденды по годам'!Q445&lt;&gt;"",'Дивиденды по годам'!I445&lt;&gt;"",'Дивиденды по годам'!V445&lt;&gt;"",('Дивиденды по годам'!I445+'Дивиденды по годам'!V445)&lt;&gt;0),'Дивиденды по годам'!Q445/(('Дивиденды по годам'!I445+'Дивиденды по годам'!V445)/2),""),"")</f>
        <v>-0.2629181118909007</v>
      </c>
      <c r="U445">
        <f>IFERROR(IF(AND('Дивиденды по годам'!J445&lt;&gt;"",'Дивиденды по годам'!K445&lt;&gt;"",'Дивиденды по годам'!M445&lt;&gt;"",'Дивиденды по годам'!M445&lt;&gt;0),('Дивиденды по годам'!J445+'Дивиденды по годам'!K445)/'Дивиденды по годам'!M445,""),"")</f>
        <v>2.3958959276656366</v>
      </c>
      <c r="V445" cm="1">
        <f t="array" ref="V445">IFERROR(AVERAGE(_xlfn._xlws.FILTER(P$2:P$1073,($C$2:$C$1073=$C445)*($E$2:$E$1073=$E445)*(ROW(P$2:P$1073)&lt;&gt;ROW(P445))*(P$2:P$1073&lt;&gt;""))),"")</f>
        <v>26.515467706469089</v>
      </c>
      <c r="W445" cm="1">
        <f t="array" ref="W445">IFERROR(AVERAGE(_xlfn._xlws.FILTER(Q$2:Q$1073,($C$2:$C$1073=$C445)*($E$2:$E$1073=$E445)*(ROW(Q$2:Q$1073)&lt;&gt;ROW(Q445))*(Q$2:Q$1073&lt;&gt;""))),"")</f>
        <v>0.48848486961899112</v>
      </c>
      <c r="X445" cm="1">
        <f t="array" ref="X445">IFERROR(AVERAGE(_xlfn._xlws.FILTER(R$2:R$1073,($C$2:$C$1073=$C445)*($E$2:$E$1073=$E445)*(ROW(R$2:R$1073)&lt;&gt;ROW(R445))*(R$2:R$1073&lt;&gt;""))),"")</f>
        <v>8.8569168167500906E-2</v>
      </c>
      <c r="Y445" cm="1">
        <f t="array" ref="Y445">IFERROR(AVERAGE(_xlfn._xlws.FILTER(S$2:S$1073,($C$2:$C$1073=$C445)*($E$2:$E$1073=$E445)*(ROW(S$2:S$1073)&lt;&gt;ROW(S445))*(S$2:S$1073&lt;&gt;""))),"")</f>
        <v>0.69946185564954544</v>
      </c>
      <c r="Z445" cm="1">
        <f t="array" ref="Z445">IFERROR(AVERAGE(_xlfn._xlws.FILTER(T$2:T$1073,($C$2:$C$1073=$C445)*($E$2:$E$1073=$E445)*(ROW(T$2:T$1073)&lt;&gt;ROW(T445))*(T$2:T$1073&lt;&gt;""))),"")</f>
        <v>-5.4369344087638452E-2</v>
      </c>
      <c r="AA445" cm="1">
        <f t="array" ref="AA445">IFERROR(AVERAGE(_xlfn._xlws.FILTER(U$2:U$1073,($C$2:$C$1073=$C445)*($E$2:$E$1073=$E445)*(ROW(U$2:U$1073)&lt;&gt;ROW(U445))*(U$2:U$1073&lt;&gt;""))),"")</f>
        <v>1.5413236730524364</v>
      </c>
    </row>
    <row r="446" spans="1:27" x14ac:dyDescent="0.2">
      <c r="A446" s="7" t="s">
        <v>2234</v>
      </c>
      <c r="B446" t="str">
        <f t="shared" si="68"/>
        <v>RASP IV кв. 2013</v>
      </c>
      <c r="C446">
        <v>2013</v>
      </c>
      <c r="D446">
        <f>SUMIFS(Дивиденды!$C:$C,Дивиденды!$A:$A,A446,Дивиденды!$I:$I,C446)</f>
        <v>0</v>
      </c>
      <c r="E446">
        <v>3</v>
      </c>
      <c r="F446">
        <f t="shared" si="69"/>
        <v>0</v>
      </c>
      <c r="G446">
        <f t="shared" si="70"/>
        <v>1.2260000000000002</v>
      </c>
      <c r="H446">
        <f t="shared" si="71"/>
        <v>0</v>
      </c>
      <c r="I446">
        <f t="shared" si="78"/>
        <v>0.4</v>
      </c>
      <c r="J446">
        <f t="shared" si="72"/>
        <v>0</v>
      </c>
      <c r="K446">
        <f t="shared" si="76"/>
        <v>-0.20386411043374064</v>
      </c>
      <c r="L446">
        <f t="shared" si="73"/>
        <v>0</v>
      </c>
      <c r="M446">
        <f t="shared" si="77"/>
        <v>0.2</v>
      </c>
      <c r="N446">
        <f t="shared" si="74"/>
        <v>0</v>
      </c>
      <c r="O446">
        <f t="shared" si="75"/>
        <v>0.4</v>
      </c>
      <c r="P446">
        <f>IFERROR(LN('Дивиденды по годам'!I446),"")</f>
        <v>24.690899223367481</v>
      </c>
      <c r="Q446">
        <f>IFERROR('Дивиденды по годам'!G446/'Дивиденды по годам'!I446, "")</f>
        <v>0.82809242011136275</v>
      </c>
      <c r="R446">
        <f>IFERROR(IF(AND('Дивиденды по годам'!N446&lt;&gt;"",'Дивиденды по годам'!U446&lt;&gt;"",'Дивиденды по годам'!U446&lt;&gt;0),'Дивиденды по годам'!N446/'Дивиденды по годам'!U446-1,""),"")</f>
        <v>5.1378949613713587E-2</v>
      </c>
      <c r="S446" t="str">
        <f>IFERROR(IF(AND('Дивиденды по годам'!L446&lt;&gt;"",'Дивиденды по годам'!I446&lt;&gt;"",'Дивиденды по годам'!J446&lt;&gt;"",'Дивиденды по годам'!K446&lt;&gt;"",('Дивиденды по годам'!I446-'Дивиденды по годам'!J446-'Дивиденды по годам'!K446)&lt;&gt;0),'Дивиденды по годам'!L446/('Дивиденды по годам'!I446-'Дивиденды по годам'!J446-'Дивиденды по годам'!K446),""),"")</f>
        <v/>
      </c>
      <c r="T446">
        <f>IFERROR(IF(AND('Дивиденды по годам'!Q446&lt;&gt;"",'Дивиденды по годам'!I446&lt;&gt;"",'Дивиденды по годам'!V446&lt;&gt;"",('Дивиденды по годам'!I446+'Дивиденды по годам'!V446)&lt;&gt;0),'Дивиденды по годам'!Q446/(('Дивиденды по годам'!I446+'Дивиденды по годам'!V446)/2),""),"")</f>
        <v>-7.1230387021502709E-2</v>
      </c>
      <c r="U446">
        <f>IFERROR(IF(AND('Дивиденды по годам'!J446&lt;&gt;"",'Дивиденды по годам'!K446&lt;&gt;"",'Дивиденды по годам'!M446&lt;&gt;"",'Дивиденды по годам'!M446&lt;&gt;0),('Дивиденды по годам'!J446+'Дивиденды по годам'!K446)/'Дивиденды по годам'!M446,""),"")</f>
        <v>0.8721587286181669</v>
      </c>
      <c r="V446" cm="1">
        <f t="array" ref="V446">IFERROR(AVERAGE(_xlfn._xlws.FILTER(P$2:P$1073,($C$2:$C$1073=$C446)*($E$2:$E$1073=$E446)*(ROW(P$2:P$1073)&lt;&gt;ROW(P446))*(P$2:P$1073&lt;&gt;""))),"")</f>
        <v>26.657148853003566</v>
      </c>
      <c r="W446" cm="1">
        <f t="array" ref="W446">IFERROR(AVERAGE(_xlfn._xlws.FILTER(Q$2:Q$1073,($C$2:$C$1073=$C446)*($E$2:$E$1073=$E446)*(ROW(Q$2:Q$1073)&lt;&gt;ROW(Q446))*(Q$2:Q$1073&lt;&gt;""))),"")</f>
        <v>0.54588424726175078</v>
      </c>
      <c r="X446" cm="1">
        <f t="array" ref="X446">IFERROR(AVERAGE(_xlfn._xlws.FILTER(R$2:R$1073,($C$2:$C$1073=$C446)*($E$2:$E$1073=$E446)*(ROW(R$2:R$1073)&lt;&gt;ROW(R446))*(R$2:R$1073&lt;&gt;""))),"")</f>
        <v>-5.7714679380849329E-2</v>
      </c>
      <c r="Y446" cm="1">
        <f t="array" ref="Y446">IFERROR(AVERAGE(_xlfn._xlws.FILTER(S$2:S$1073,($C$2:$C$1073=$C446)*($E$2:$E$1073=$E446)*(ROW(S$2:S$1073)&lt;&gt;ROW(S446))*(S$2:S$1073&lt;&gt;""))),"")</f>
        <v>1.1343753445927802</v>
      </c>
      <c r="Z446" cm="1">
        <f t="array" ref="Z446">IFERROR(AVERAGE(_xlfn._xlws.FILTER(T$2:T$1073,($C$2:$C$1073=$C446)*($E$2:$E$1073=$E446)*(ROW(T$2:T$1073)&lt;&gt;ROW(T446))*(T$2:T$1073&lt;&gt;""))),"")</f>
        <v>-2.6098002761452514E-2</v>
      </c>
      <c r="AA446" cm="1">
        <f t="array" ref="AA446">IFERROR(AVERAGE(_xlfn._xlws.FILTER(U$2:U$1073,($C$2:$C$1073=$C446)*($E$2:$E$1073=$E446)*(ROW(U$2:U$1073)&lt;&gt;ROW(U446))*(U$2:U$1073&lt;&gt;""))),"")</f>
        <v>3.3930310386892062</v>
      </c>
    </row>
    <row r="447" spans="1:27" x14ac:dyDescent="0.2">
      <c r="A447" s="7" t="s">
        <v>2234</v>
      </c>
      <c r="B447" t="str">
        <f t="shared" si="68"/>
        <v>RASP IV кв. 2012</v>
      </c>
      <c r="C447">
        <v>2012</v>
      </c>
      <c r="D447">
        <f>SUMIFS(Дивиденды!$C:$C,Дивиденды!$A:$A,A447,Дивиденды!$I:$I,C447)</f>
        <v>0</v>
      </c>
      <c r="E447">
        <v>3</v>
      </c>
      <c r="F447">
        <f t="shared" si="69"/>
        <v>0</v>
      </c>
      <c r="G447">
        <f t="shared" si="70"/>
        <v>2.1309999999999998</v>
      </c>
      <c r="H447">
        <f t="shared" si="71"/>
        <v>0</v>
      </c>
      <c r="I447">
        <f t="shared" si="78"/>
        <v>0.6</v>
      </c>
      <c r="J447">
        <f t="shared" si="72"/>
        <v>-1</v>
      </c>
      <c r="K447">
        <f t="shared" si="76"/>
        <v>-8.4000436197696815E-2</v>
      </c>
      <c r="L447">
        <f t="shared" si="73"/>
        <v>0</v>
      </c>
      <c r="M447">
        <f t="shared" si="77"/>
        <v>0.3</v>
      </c>
      <c r="N447">
        <f t="shared" si="74"/>
        <v>1</v>
      </c>
      <c r="O447">
        <f t="shared" si="75"/>
        <v>0.5</v>
      </c>
      <c r="P447">
        <f>IFERROR(LN('Дивиденды по годам'!I447),"")</f>
        <v>24.81776458289745</v>
      </c>
      <c r="Q447">
        <f>IFERROR('Дивиденды по годам'!G447/'Дивиденды по годам'!I447, "")</f>
        <v>0.77289698678837326</v>
      </c>
      <c r="R447">
        <f>IFERROR(IF(AND('Дивиденды по годам'!N447&lt;&gt;"",'Дивиденды по годам'!U447&lt;&gt;"",'Дивиденды по годам'!U447&lt;&gt;0),'Дивиденды по годам'!N447/'Дивиденды по годам'!U447-1,""),"")</f>
        <v>-0.225722703925753</v>
      </c>
      <c r="S447" t="str">
        <f>IFERROR(IF(AND('Дивиденды по годам'!L447&lt;&gt;"",'Дивиденды по годам'!I447&lt;&gt;"",'Дивиденды по годам'!J447&lt;&gt;"",'Дивиденды по годам'!K447&lt;&gt;"",('Дивиденды по годам'!I447-'Дивиденды по годам'!J447-'Дивиденды по годам'!K447)&lt;&gt;0),'Дивиденды по годам'!L447/('Дивиденды по годам'!I447-'Дивиденды по годам'!J447-'Дивиденды по годам'!K447),""),"")</f>
        <v/>
      </c>
      <c r="T447">
        <f>IFERROR(IF(AND('Дивиденды по годам'!Q447&lt;&gt;"",'Дивиденды по годам'!I447&lt;&gt;"",'Дивиденды по годам'!V447&lt;&gt;"",('Дивиденды по годам'!I447+'Дивиденды по годам'!V447)&lt;&gt;0),'Дивиденды по годам'!Q447/(('Дивиденды по годам'!I447+'Дивиденды по годам'!V447)/2),""),"")</f>
        <v>-1.6291299839439843E-2</v>
      </c>
      <c r="U447">
        <f>IFERROR(IF(AND('Дивиденды по годам'!J447&lt;&gt;"",'Дивиденды по годам'!K447&lt;&gt;"",'Дивиденды по годам'!M447&lt;&gt;"",'Дивиденды по годам'!M447&lt;&gt;0),('Дивиденды по годам'!J447+'Дивиденды по годам'!K447)/'Дивиденды по годам'!M447,""),"")</f>
        <v>0.76183488614724626</v>
      </c>
      <c r="V447" cm="1">
        <f t="array" ref="V447">IFERROR(AVERAGE(_xlfn._xlws.FILTER(P$2:P$1073,($C$2:$C$1073=$C447)*($E$2:$E$1073=$E447)*(ROW(P$2:P$1073)&lt;&gt;ROW(P447))*(P$2:P$1073&lt;&gt;""))),"")</f>
        <v>26.946900352096634</v>
      </c>
      <c r="W447" cm="1">
        <f t="array" ref="W447">IFERROR(AVERAGE(_xlfn._xlws.FILTER(Q$2:Q$1073,($C$2:$C$1073=$C447)*($E$2:$E$1073=$E447)*(ROW(Q$2:Q$1073)&lt;&gt;ROW(Q447))*(Q$2:Q$1073&lt;&gt;""))),"")</f>
        <v>0.46848506221949954</v>
      </c>
      <c r="X447" cm="1">
        <f t="array" ref="X447">IFERROR(AVERAGE(_xlfn._xlws.FILTER(R$2:R$1073,($C$2:$C$1073=$C447)*($E$2:$E$1073=$E447)*(ROW(R$2:R$1073)&lt;&gt;ROW(R447))*(R$2:R$1073&lt;&gt;""))),"")</f>
        <v>3.0290789032555981E-2</v>
      </c>
      <c r="Y447" t="str" cm="1">
        <f t="array" ref="Y447">IFERROR(AVERAGE(_xlfn._xlws.FILTER(S$2:S$1073,($C$2:$C$1073=$C447)*($E$2:$E$1073=$E447)*(ROW(S$2:S$1073)&lt;&gt;ROW(S447))*(S$2:S$1073&lt;&gt;""))),"")</f>
        <v/>
      </c>
      <c r="Z447" cm="1">
        <f t="array" ref="Z447">IFERROR(AVERAGE(_xlfn._xlws.FILTER(T$2:T$1073,($C$2:$C$1073=$C447)*($E$2:$E$1073=$E447)*(ROW(T$2:T$1073)&lt;&gt;ROW(T447))*(T$2:T$1073&lt;&gt;""))),"")</f>
        <v>5.921060014671279E-2</v>
      </c>
      <c r="AA447" cm="1">
        <f t="array" ref="AA447">IFERROR(AVERAGE(_xlfn._xlws.FILTER(U$2:U$1073,($C$2:$C$1073=$C447)*($E$2:$E$1073=$E447)*(ROW(U$2:U$1073)&lt;&gt;ROW(U447))*(U$2:U$1073&lt;&gt;""))),"")</f>
        <v>1.4469621489365216</v>
      </c>
    </row>
    <row r="448" spans="1:27" x14ac:dyDescent="0.2">
      <c r="A448" s="7" t="s">
        <v>2234</v>
      </c>
      <c r="B448" t="str">
        <f t="shared" si="68"/>
        <v>RASP IV кв. 2011</v>
      </c>
      <c r="C448">
        <v>2011</v>
      </c>
      <c r="D448">
        <f>SUMIFS(Дивиденды!$C:$C,Дивиденды!$A:$A,A448,Дивиденды!$I:$I,C448)</f>
        <v>5</v>
      </c>
      <c r="E448">
        <v>3</v>
      </c>
      <c r="F448">
        <f t="shared" si="69"/>
        <v>5</v>
      </c>
      <c r="G448">
        <f t="shared" si="70"/>
        <v>3.2659999999999996</v>
      </c>
      <c r="H448">
        <f t="shared" si="71"/>
        <v>1</v>
      </c>
      <c r="I448">
        <f t="shared" si="78"/>
        <v>0.7</v>
      </c>
      <c r="J448">
        <f t="shared" si="72"/>
        <v>1</v>
      </c>
      <c r="K448">
        <f t="shared" si="76"/>
        <v>0.68130568048052598</v>
      </c>
      <c r="L448">
        <f t="shared" si="73"/>
        <v>1</v>
      </c>
      <c r="M448">
        <f t="shared" si="77"/>
        <v>0.5</v>
      </c>
      <c r="N448">
        <f t="shared" si="74"/>
        <v>0</v>
      </c>
      <c r="O448">
        <f t="shared" si="75"/>
        <v>0.3</v>
      </c>
      <c r="P448">
        <f>IFERROR(LN('Дивиденды по годам'!I448),"")</f>
        <v>24.786492238730631</v>
      </c>
      <c r="Q448">
        <f>IFERROR('Дивиденды по годам'!G448/'Дивиденды по годам'!I448, "")</f>
        <v>0.73897237989125053</v>
      </c>
      <c r="R448" t="str">
        <f>IFERROR(IF(AND('Дивиденды по годам'!N448&lt;&gt;"",'Дивиденды по годам'!U448&lt;&gt;"",'Дивиденды по годам'!U448&lt;&gt;0),'Дивиденды по годам'!N448/'Дивиденды по годам'!U448-1,""),"")</f>
        <v/>
      </c>
      <c r="S448" t="str">
        <f>IFERROR(IF(AND('Дивиденды по годам'!L448&lt;&gt;"",'Дивиденды по годам'!I448&lt;&gt;"",'Дивиденды по годам'!J448&lt;&gt;"",'Дивиденды по годам'!K448&lt;&gt;"",('Дивиденды по годам'!I448-'Дивиденды по годам'!J448-'Дивиденды по годам'!K448)&lt;&gt;0),'Дивиденды по годам'!L448/('Дивиденды по годам'!I448-'Дивиденды по годам'!J448-'Дивиденды по годам'!K448),""),"")</f>
        <v/>
      </c>
      <c r="T448" t="str">
        <f>IFERROR(IF(AND('Дивиденды по годам'!Q448&lt;&gt;"",'Дивиденды по годам'!I448&lt;&gt;"",'Дивиденды по годам'!V448&lt;&gt;"",('Дивиденды по годам'!I448+'Дивиденды по годам'!V448)&lt;&gt;0),'Дивиденды по годам'!Q448/(('Дивиденды по годам'!I448+'Дивиденды по годам'!V448)/2),""),"")</f>
        <v/>
      </c>
      <c r="U448">
        <f>IFERROR(IF(AND('Дивиденды по годам'!J448&lt;&gt;"",'Дивиденды по годам'!K448&lt;&gt;"",'Дивиденды по годам'!M448&lt;&gt;"",'Дивиденды по годам'!M448&lt;&gt;0),('Дивиденды по годам'!J448+'Дивиденды по годам'!K448)/'Дивиденды по годам'!M448,""),"")</f>
        <v>0.86281746192434494</v>
      </c>
      <c r="V448" cm="1">
        <f t="array" ref="V448">IFERROR(AVERAGE(_xlfn._xlws.FILTER(P$2:P$1073,($C$2:$C$1073=$C448)*($E$2:$E$1073=$E448)*(ROW(P$2:P$1073)&lt;&gt;ROW(P448))*(P$2:P$1073&lt;&gt;""))),"")</f>
        <v>26.671176112985016</v>
      </c>
      <c r="W448" cm="1">
        <f t="array" ref="W448">IFERROR(AVERAGE(_xlfn._xlws.FILTER(Q$2:Q$1073,($C$2:$C$1073=$C448)*($E$2:$E$1073=$E448)*(ROW(Q$2:Q$1073)&lt;&gt;ROW(Q448))*(Q$2:Q$1073&lt;&gt;""))),"")</f>
        <v>0.5453144034098053</v>
      </c>
      <c r="X448" cm="1">
        <f t="array" ref="X448">IFERROR(AVERAGE(_xlfn._xlws.FILTER(R$2:R$1073,($C$2:$C$1073=$C448)*($E$2:$E$1073=$E448)*(ROW(R$2:R$1073)&lt;&gt;ROW(R448))*(R$2:R$1073&lt;&gt;""))),"")</f>
        <v>0.21463216748681591</v>
      </c>
      <c r="Y448" t="str" cm="1">
        <f t="array" ref="Y448">IFERROR(AVERAGE(_xlfn._xlws.FILTER(S$2:S$1073,($C$2:$C$1073=$C448)*($E$2:$E$1073=$E448)*(ROW(S$2:S$1073)&lt;&gt;ROW(S448))*(S$2:S$1073&lt;&gt;""))),"")</f>
        <v/>
      </c>
      <c r="Z448" cm="1">
        <f t="array" ref="Z448">IFERROR(AVERAGE(_xlfn._xlws.FILTER(T$2:T$1073,($C$2:$C$1073=$C448)*($E$2:$E$1073=$E448)*(ROW(T$2:T$1073)&lt;&gt;ROW(T448))*(T$2:T$1073&lt;&gt;""))),"")</f>
        <v>0.11505618365484008</v>
      </c>
      <c r="AA448" cm="1">
        <f t="array" ref="AA448">IFERROR(AVERAGE(_xlfn._xlws.FILTER(U$2:U$1073,($C$2:$C$1073=$C448)*($E$2:$E$1073=$E448)*(ROW(U$2:U$1073)&lt;&gt;ROW(U448))*(U$2:U$1073&lt;&gt;""))),"")</f>
        <v>1.1485762445287053</v>
      </c>
    </row>
    <row r="449" spans="1:27" x14ac:dyDescent="0.2">
      <c r="A449" s="7" t="s">
        <v>2234</v>
      </c>
      <c r="B449" t="str">
        <f t="shared" si="68"/>
        <v>RASP IV кв. 2010</v>
      </c>
      <c r="C449">
        <v>2010</v>
      </c>
      <c r="D449">
        <f>SUMIFS(Дивиденды!$C:$C,Дивиденды!$A:$A,A449,Дивиденды!$I:$I,C449)</f>
        <v>0</v>
      </c>
      <c r="E449">
        <v>3</v>
      </c>
      <c r="F449">
        <f t="shared" si="69"/>
        <v>0</v>
      </c>
      <c r="G449">
        <f t="shared" si="70"/>
        <v>3.0789999999999997</v>
      </c>
      <c r="H449">
        <f t="shared" si="71"/>
        <v>0</v>
      </c>
      <c r="I449">
        <f t="shared" si="78"/>
        <v>0.7</v>
      </c>
      <c r="J449" t="str">
        <f t="shared" si="72"/>
        <v/>
      </c>
      <c r="K449" t="str">
        <f t="shared" si="76"/>
        <v/>
      </c>
      <c r="L449" t="str">
        <f t="shared" si="73"/>
        <v/>
      </c>
      <c r="M449" t="str">
        <f t="shared" si="77"/>
        <v/>
      </c>
      <c r="N449" t="str">
        <f t="shared" si="74"/>
        <v/>
      </c>
      <c r="O449" t="str">
        <f t="shared" si="75"/>
        <v/>
      </c>
      <c r="P449" t="str">
        <f>IFERROR(LN('Дивиденды по годам'!I449),"")</f>
        <v/>
      </c>
      <c r="Q449" t="str">
        <f>IFERROR('Дивиденды по годам'!G449/'Дивиденды по годам'!I449, "")</f>
        <v/>
      </c>
      <c r="R449" t="str">
        <f>IFERROR(IF(AND('Дивиденды по годам'!N449&lt;&gt;"",'Дивиденды по годам'!U449&lt;&gt;"",'Дивиденды по годам'!U449&lt;&gt;0),'Дивиденды по годам'!N449/'Дивиденды по годам'!U449-1,""),"")</f>
        <v/>
      </c>
      <c r="S449" t="str">
        <f>IFERROR(IF(AND('Дивиденды по годам'!L449&lt;&gt;"",'Дивиденды по годам'!I449&lt;&gt;"",'Дивиденды по годам'!J449&lt;&gt;"",'Дивиденды по годам'!K449&lt;&gt;"",('Дивиденды по годам'!I449-'Дивиденды по годам'!J449-'Дивиденды по годам'!K449)&lt;&gt;0),'Дивиденды по годам'!L449/('Дивиденды по годам'!I449-'Дивиденды по годам'!J449-'Дивиденды по годам'!K449),""),"")</f>
        <v/>
      </c>
      <c r="T449" t="str">
        <f>IFERROR(IF(AND('Дивиденды по годам'!Q449&lt;&gt;"",'Дивиденды по годам'!I449&lt;&gt;"",'Дивиденды по годам'!V449&lt;&gt;"",('Дивиденды по годам'!I449+'Дивиденды по годам'!V449)&lt;&gt;0),'Дивиденды по годам'!Q449/(('Дивиденды по годам'!I449+'Дивиденды по годам'!V449)/2),""),"")</f>
        <v/>
      </c>
      <c r="U449" t="str">
        <f>IFERROR(IF(AND('Дивиденды по годам'!J449&lt;&gt;"",'Дивиденды по годам'!K449&lt;&gt;"",'Дивиденды по годам'!M449&lt;&gt;"",'Дивиденды по годам'!M449&lt;&gt;0),('Дивиденды по годам'!J449+'Дивиденды по годам'!K449)/'Дивиденды по годам'!M449,""),"")</f>
        <v/>
      </c>
      <c r="V449" cm="1">
        <f t="array" ref="V449">IFERROR(AVERAGE(_xlfn._xlws.FILTER(P$2:P$1073,($C$2:$C$1073=$C449)*($E$2:$E$1073=$E449)*(ROW(P$2:P$1073)&lt;&gt;ROW(P449))*(P$2:P$1073&lt;&gt;""))),"")</f>
        <v>26.127864794831805</v>
      </c>
      <c r="W449" cm="1">
        <f t="array" ref="W449">IFERROR(AVERAGE(_xlfn._xlws.FILTER(Q$2:Q$1073,($C$2:$C$1073=$C449)*($E$2:$E$1073=$E449)*(ROW(Q$2:Q$1073)&lt;&gt;ROW(Q449))*(Q$2:Q$1073&lt;&gt;""))),"")</f>
        <v>0.75539390451698762</v>
      </c>
      <c r="X449" t="str" cm="1">
        <f t="array" ref="X449">IFERROR(AVERAGE(_xlfn._xlws.FILTER(R$2:R$1073,($C$2:$C$1073=$C449)*($E$2:$E$1073=$E449)*(ROW(R$2:R$1073)&lt;&gt;ROW(R449))*(R$2:R$1073&lt;&gt;""))),"")</f>
        <v/>
      </c>
      <c r="Y449" t="str" cm="1">
        <f t="array" ref="Y449">IFERROR(AVERAGE(_xlfn._xlws.FILTER(S$2:S$1073,($C$2:$C$1073=$C449)*($E$2:$E$1073=$E449)*(ROW(S$2:S$1073)&lt;&gt;ROW(S449))*(S$2:S$1073&lt;&gt;""))),"")</f>
        <v/>
      </c>
      <c r="Z449" t="str" cm="1">
        <f t="array" ref="Z449">IFERROR(AVERAGE(_xlfn._xlws.FILTER(T$2:T$1073,($C$2:$C$1073=$C449)*($E$2:$E$1073=$E449)*(ROW(T$2:T$1073)&lt;&gt;ROW(T449))*(T$2:T$1073&lt;&gt;""))),"")</f>
        <v/>
      </c>
      <c r="AA449" cm="1">
        <f t="array" ref="AA449">IFERROR(AVERAGE(_xlfn._xlws.FILTER(U$2:U$1073,($C$2:$C$1073=$C449)*($E$2:$E$1073=$E449)*(ROW(U$2:U$1073)&lt;&gt;ROW(U449))*(U$2:U$1073&lt;&gt;""))),"")</f>
        <v>1.4017600691070078</v>
      </c>
    </row>
    <row r="450" spans="1:27" x14ac:dyDescent="0.2">
      <c r="A450" s="7" t="s">
        <v>2237</v>
      </c>
      <c r="B450" t="str">
        <f t="shared" si="68"/>
        <v>RUAL IV кв. 2025</v>
      </c>
      <c r="C450">
        <v>2025</v>
      </c>
      <c r="D450">
        <f>SUMIFS(Дивиденды!$C:$C,Дивиденды!$A:$A,A450,Дивиденды!$I:$I,C450)</f>
        <v>0</v>
      </c>
      <c r="E450">
        <v>3</v>
      </c>
      <c r="F450">
        <f t="shared" si="69"/>
        <v>0</v>
      </c>
      <c r="G450">
        <f t="shared" si="70"/>
        <v>10.684999999999999</v>
      </c>
      <c r="H450">
        <f t="shared" si="71"/>
        <v>0</v>
      </c>
      <c r="I450">
        <f t="shared" si="78"/>
        <v>0.1</v>
      </c>
      <c r="J450">
        <f t="shared" si="72"/>
        <v>0</v>
      </c>
      <c r="K450">
        <f t="shared" si="76"/>
        <v>-0.44741116251599566</v>
      </c>
      <c r="L450">
        <f t="shared" si="73"/>
        <v>0</v>
      </c>
      <c r="M450">
        <f t="shared" si="77"/>
        <v>0</v>
      </c>
      <c r="N450">
        <f t="shared" si="74"/>
        <v>0</v>
      </c>
      <c r="O450">
        <f t="shared" si="75"/>
        <v>0.5</v>
      </c>
      <c r="P450">
        <f>IFERROR(LN('Дивиденды по годам'!I450),"")</f>
        <v>28.366476176595089</v>
      </c>
      <c r="Q450">
        <f>IFERROR('Дивиденды по годам'!G450/'Дивиденды по годам'!I450, "")</f>
        <v>0.28061143039591319</v>
      </c>
      <c r="R450">
        <f>IFERROR(IF(AND('Дивиденды по годам'!N450&lt;&gt;"",'Дивиденды по годам'!U450&lt;&gt;"",'Дивиденды по годам'!U450&lt;&gt;0),'Дивиденды по годам'!N450/'Дивиденды по годам'!U450-1,""),"")</f>
        <v>0.10244476074875819</v>
      </c>
      <c r="S450">
        <f>IFERROR(IF(AND('Дивиденды по годам'!L450&lt;&gt;"",'Дивиденды по годам'!I450&lt;&gt;"",'Дивиденды по годам'!J450&lt;&gt;"",'Дивиденды по годам'!K450&lt;&gt;"",('Дивиденды по годам'!I450-'Дивиденды по годам'!J450-'Дивиденды по годам'!K450)&lt;&gt;0),'Дивиденды по годам'!L450/('Дивиденды по годам'!I450-'Дивиденды по годам'!J450-'Дивиденды по годам'!K450),""),"")</f>
        <v>0.27050997782705105</v>
      </c>
      <c r="T450">
        <f>IFERROR(IF(AND('Дивиденды по годам'!Q450&lt;&gt;"",'Дивиденды по годам'!I450&lt;&gt;"",'Дивиденды по годам'!V450&lt;&gt;"",('Дивиденды по годам'!I450+'Дивиденды по годам'!V450)&lt;&gt;0),'Дивиденды по годам'!Q450/(('Дивиденды по годам'!I450+'Дивиденды по годам'!V450)/2),""),"")</f>
        <v>-1.8293566091048718E-2</v>
      </c>
      <c r="U450">
        <f>IFERROR(IF(AND('Дивиденды по годам'!J450&lt;&gt;"",'Дивиденды по годам'!K450&lt;&gt;"",'Дивиденды по годам'!M450&lt;&gt;"",'Дивиденды по годам'!M450&lt;&gt;0),('Дивиденды по годам'!J450+'Дивиденды по годам'!K450)/'Дивиденды по годам'!M450,""),"")</f>
        <v>1.1367900392290635</v>
      </c>
      <c r="V450" cm="1">
        <f t="array" ref="V450">IFERROR(AVERAGE(_xlfn._xlws.FILTER(P$2:P$1073,($C$2:$C$1073=$C450)*($E$2:$E$1073=$E450)*(ROW(P$2:P$1073)&lt;&gt;ROW(P450))*(P$2:P$1073&lt;&gt;""))),"")</f>
        <v>27.405951275475452</v>
      </c>
      <c r="W450" cm="1">
        <f t="array" ref="W450">IFERROR(AVERAGE(_xlfn._xlws.FILTER(Q$2:Q$1073,($C$2:$C$1073=$C450)*($E$2:$E$1073=$E450)*(ROW(Q$2:Q$1073)&lt;&gt;ROW(Q450))*(Q$2:Q$1073&lt;&gt;""))),"")</f>
        <v>0.56463423741614049</v>
      </c>
      <c r="X450" cm="1">
        <f t="array" ref="X450">IFERROR(AVERAGE(_xlfn._xlws.FILTER(R$2:R$1073,($C$2:$C$1073=$C450)*($E$2:$E$1073=$E450)*(ROW(R$2:R$1073)&lt;&gt;ROW(R450))*(R$2:R$1073&lt;&gt;""))),"")</f>
        <v>-0.12171695006610043</v>
      </c>
      <c r="Y450" cm="1">
        <f t="array" ref="Y450">IFERROR(AVERAGE(_xlfn._xlws.FILTER(S$2:S$1073,($C$2:$C$1073=$C450)*($E$2:$E$1073=$E450)*(ROW(S$2:S$1073)&lt;&gt;ROW(S450))*(S$2:S$1073&lt;&gt;""))),"")</f>
        <v>1.0892686042509301</v>
      </c>
      <c r="Z450" cm="1">
        <f t="array" ref="Z450">IFERROR(AVERAGE(_xlfn._xlws.FILTER(T$2:T$1073,($C$2:$C$1073=$C450)*($E$2:$E$1073=$E450)*(ROW(T$2:T$1073)&lt;&gt;ROW(T450))*(T$2:T$1073&lt;&gt;""))),"")</f>
        <v>1.9830208344891371E-2</v>
      </c>
      <c r="AA450" cm="1">
        <f t="array" ref="AA450">IFERROR(AVERAGE(_xlfn._xlws.FILTER(U$2:U$1073,($C$2:$C$1073=$C450)*($E$2:$E$1073=$E450)*(ROW(U$2:U$1073)&lt;&gt;ROW(U450))*(U$2:U$1073&lt;&gt;""))),"")</f>
        <v>3.479753173124331</v>
      </c>
    </row>
    <row r="451" spans="1:27" x14ac:dyDescent="0.2">
      <c r="A451" s="7" t="s">
        <v>2237</v>
      </c>
      <c r="B451" t="str">
        <f t="shared" ref="B451:B514" si="79">A451&amp;" "&amp;
"IV"
&amp;" кв. "&amp;C451</f>
        <v>RUAL IV кв. 2024</v>
      </c>
      <c r="C451">
        <v>2024</v>
      </c>
      <c r="D451">
        <f>SUMIFS(Дивиденды!$C:$C,Дивиденды!$A:$A,A451,Дивиденды!$I:$I,C451)</f>
        <v>0</v>
      </c>
      <c r="E451">
        <v>3</v>
      </c>
      <c r="F451">
        <f t="shared" ref="F451:F514" si="80">D451</f>
        <v>0</v>
      </c>
      <c r="G451">
        <f t="shared" ref="G451:G514" si="81">AVERAGEIFS($D:$D,$E:$E,E451,$C:$C,C451,$A:$A,"&lt;&gt;"&amp;A451)</f>
        <v>33.058</v>
      </c>
      <c r="H451">
        <f t="shared" ref="H451:H514" si="82">IF(D451&gt;0,1,0)</f>
        <v>0</v>
      </c>
      <c r="I451">
        <f t="shared" si="78"/>
        <v>0.5</v>
      </c>
      <c r="J451">
        <f t="shared" ref="J451:J514" si="83">IF(A452&lt;&gt;A451,"",IF(D451=D452,0,IF(AND(D452=0,D451&lt;&gt;0), 1,(D451-D452)/D452)))</f>
        <v>0</v>
      </c>
      <c r="K451">
        <f t="shared" si="76"/>
        <v>-0.20461447297899457</v>
      </c>
      <c r="L451">
        <f t="shared" ref="L451:L514" si="84">IF(J451&lt;&gt;"",IF(J451&gt;0,1,0),"")</f>
        <v>0</v>
      </c>
      <c r="M451">
        <f t="shared" si="77"/>
        <v>0.1</v>
      </c>
      <c r="N451">
        <f t="shared" ref="N451:N514" si="85">IF(J451&lt;&gt;"",IF(J451&lt;0,1,0),"")</f>
        <v>0</v>
      </c>
      <c r="O451">
        <f t="shared" ref="O451:O514" si="86">IFERROR(AVERAGEIFS($N:$N,$E:$E,E451,$C:$C,C451,$A:$A,"&lt;&gt;"&amp;A451),"")</f>
        <v>0.5</v>
      </c>
      <c r="P451">
        <f>IFERROR(LN('Дивиденды по годам'!I451),"")</f>
        <v>28.351690887575906</v>
      </c>
      <c r="Q451">
        <f>IFERROR('Дивиденды по годам'!G451/'Дивиденды по годам'!I451, "")</f>
        <v>0.27048331156254218</v>
      </c>
      <c r="R451">
        <f>IFERROR(IF(AND('Дивиденды по годам'!N451&lt;&gt;"",'Дивиденды по годам'!U451&lt;&gt;"",'Дивиденды по годам'!U451&lt;&gt;0),'Дивиденды по годам'!N451/'Дивиденды по годам'!U451-1,""),"")</f>
        <v>7.2418617855576128E-2</v>
      </c>
      <c r="S451">
        <f>IFERROR(IF(AND('Дивиденды по годам'!L451&lt;&gt;"",'Дивиденды по годам'!I451&lt;&gt;"",'Дивиденды по годам'!J451&lt;&gt;"",'Дивиденды по годам'!K451&lt;&gt;"",('Дивиденды по годам'!I451-'Дивиденды по годам'!J451-'Дивиденды по годам'!K451)&lt;&gt;0),'Дивиденды по годам'!L451/('Дивиденды по годам'!I451-'Дивиденды по годам'!J451-'Дивиденды по годам'!K451),""),"")</f>
        <v>0.32337731811697584</v>
      </c>
      <c r="T451">
        <f>IFERROR(IF(AND('Дивиденды по годам'!Q451&lt;&gt;"",'Дивиденды по годам'!I451&lt;&gt;"",'Дивиденды по годам'!V451&lt;&gt;"",('Дивиденды по годам'!I451+'Дивиденды по годам'!V451)&lt;&gt;0),'Дивиденды по годам'!Q451/(('Дивиденды по годам'!I451+'Дивиденды по годам'!V451)/2),""),"")</f>
        <v>3.8237284496520953E-2</v>
      </c>
      <c r="U451">
        <f>IFERROR(IF(AND('Дивиденды по годам'!J451&lt;&gt;"",'Дивиденды по годам'!K451&lt;&gt;"",'Дивиденды по годам'!M451&lt;&gt;"",'Дивиденды по годам'!M451&lt;&gt;0),('Дивиденды по годам'!J451+'Дивиденды по годам'!K451)/'Дивиденды по годам'!M451,""),"")</f>
        <v>0.97940442225392299</v>
      </c>
      <c r="V451" cm="1">
        <f t="array" ref="V451">IFERROR(AVERAGE(_xlfn._xlws.FILTER(P$2:P$1073,($C$2:$C$1073=$C451)*($E$2:$E$1073=$E451)*(ROW(P$2:P$1073)&lt;&gt;ROW(P451))*(P$2:P$1073&lt;&gt;""))),"")</f>
        <v>27.17598999636467</v>
      </c>
      <c r="W451" cm="1">
        <f t="array" ref="W451">IFERROR(AVERAGE(_xlfn._xlws.FILTER(Q$2:Q$1073,($C$2:$C$1073=$C451)*($E$2:$E$1073=$E451)*(ROW(Q$2:Q$1073)&lt;&gt;ROW(Q451))*(Q$2:Q$1073&lt;&gt;""))),"")</f>
        <v>0.5011045500084631</v>
      </c>
      <c r="X451" cm="1">
        <f t="array" ref="X451">IFERROR(AVERAGE(_xlfn._xlws.FILTER(R$2:R$1073,($C$2:$C$1073=$C451)*($E$2:$E$1073=$E451)*(ROW(R$2:R$1073)&lt;&gt;ROW(R451))*(R$2:R$1073&lt;&gt;""))),"")</f>
        <v>2.0569248055733392E-2</v>
      </c>
      <c r="Y451" cm="1">
        <f t="array" ref="Y451">IFERROR(AVERAGE(_xlfn._xlws.FILTER(S$2:S$1073,($C$2:$C$1073=$C451)*($E$2:$E$1073=$E451)*(ROW(S$2:S$1073)&lt;&gt;ROW(S451))*(S$2:S$1073&lt;&gt;""))),"")</f>
        <v>1.2575490258896704</v>
      </c>
      <c r="Z451" cm="1">
        <f t="array" ref="Z451">IFERROR(AVERAGE(_xlfn._xlws.FILTER(T$2:T$1073,($C$2:$C$1073=$C451)*($E$2:$E$1073=$E451)*(ROW(T$2:T$1073)&lt;&gt;ROW(T451))*(T$2:T$1073&lt;&gt;""))),"")</f>
        <v>4.6252022560191883E-2</v>
      </c>
      <c r="AA451" cm="1">
        <f t="array" ref="AA451">IFERROR(AVERAGE(_xlfn._xlws.FILTER(U$2:U$1073,($C$2:$C$1073=$C451)*($E$2:$E$1073=$E451)*(ROW(U$2:U$1073)&lt;&gt;ROW(U451))*(U$2:U$1073&lt;&gt;""))),"")</f>
        <v>2.7232791738518229</v>
      </c>
    </row>
    <row r="452" spans="1:27" x14ac:dyDescent="0.2">
      <c r="A452" s="7" t="s">
        <v>2237</v>
      </c>
      <c r="B452" t="str">
        <f t="shared" si="79"/>
        <v>RUAL IV кв. 2023</v>
      </c>
      <c r="C452">
        <v>2023</v>
      </c>
      <c r="D452">
        <f>SUMIFS(Дивиденды!$C:$C,Дивиденды!$A:$A,A452,Дивиденды!$I:$I,C452)</f>
        <v>0</v>
      </c>
      <c r="E452">
        <v>3</v>
      </c>
      <c r="F452">
        <f t="shared" si="80"/>
        <v>0</v>
      </c>
      <c r="G452">
        <f t="shared" si="81"/>
        <v>25.244</v>
      </c>
      <c r="H452">
        <f t="shared" si="82"/>
        <v>0</v>
      </c>
      <c r="I452">
        <f t="shared" si="78"/>
        <v>0.6</v>
      </c>
      <c r="J452">
        <f t="shared" si="83"/>
        <v>-1</v>
      </c>
      <c r="K452">
        <f t="shared" ref="K452:K515" si="87">IFERROR(AVERAGEIFS($J:$J,$E:$E,E452,$C:$C,C452,$A:$A,"&lt;&gt;"&amp;A452),"")</f>
        <v>0.53287037037037033</v>
      </c>
      <c r="L452">
        <f t="shared" si="84"/>
        <v>0</v>
      </c>
      <c r="M452">
        <f t="shared" si="77"/>
        <v>0.6</v>
      </c>
      <c r="N452">
        <f t="shared" si="85"/>
        <v>1</v>
      </c>
      <c r="O452">
        <f t="shared" si="86"/>
        <v>0</v>
      </c>
      <c r="P452">
        <f>IFERROR(LN('Дивиденды по годам'!I452),"")</f>
        <v>28.237229963164445</v>
      </c>
      <c r="Q452">
        <f>IFERROR('Дивиденды по годам'!G452/'Дивиденды по годам'!I452, "")</f>
        <v>0.27049944092433842</v>
      </c>
      <c r="R452">
        <f>IFERROR(IF(AND('Дивиденды по годам'!N452&lt;&gt;"",'Дивиденды по годам'!U452&lt;&gt;"",'Дивиденды по годам'!U452&lt;&gt;0),'Дивиденды по годам'!N452/'Дивиденды по годам'!U452-1,""),"")</f>
        <v>9.6612994894941684E-2</v>
      </c>
      <c r="S452">
        <f>IFERROR(IF(AND('Дивиденды по годам'!L452&lt;&gt;"",'Дивиденды по годам'!I452&lt;&gt;"",'Дивиденды по годам'!J452&lt;&gt;"",'Дивиденды по годам'!K452&lt;&gt;"",('Дивиденды по годам'!I452-'Дивиденды по годам'!J452-'Дивиденды по годам'!K452)&lt;&gt;0),'Дивиденды по годам'!L452/('Дивиденды по годам'!I452-'Дивиденды по годам'!J452-'Дивиденды по годам'!K452),""),"")</f>
        <v>0.2725127087872185</v>
      </c>
      <c r="T452">
        <f>IFERROR(IF(AND('Дивиденды по годам'!Q452&lt;&gt;"",'Дивиденды по годам'!I452&lt;&gt;"",'Дивиденды по годам'!V452&lt;&gt;"",('Дивиденды по годам'!I452+'Дивиденды по годам'!V452)&lt;&gt;0),'Дивиденды по годам'!Q452/(('Дивиденды по годам'!I452+'Дивиденды по годам'!V452)/2),""),"")</f>
        <v>1.3724480754249481E-2</v>
      </c>
      <c r="U452">
        <f>IFERROR(IF(AND('Дивиденды по годам'!J452&lt;&gt;"",'Дивиденды по годам'!K452&lt;&gt;"",'Дивиденды по годам'!M452&lt;&gt;"",'Дивиденды по годам'!M452&lt;&gt;0),('Дивиденды по годам'!J452+'Дивиденды по годам'!K452)/'Дивиденды по годам'!M452,""),"")</f>
        <v>0.94843863471314438</v>
      </c>
      <c r="V452" cm="1">
        <f t="array" ref="V452">IFERROR(AVERAGE(_xlfn._xlws.FILTER(P$2:P$1073,($C$2:$C$1073=$C452)*($E$2:$E$1073=$E452)*(ROW(P$2:P$1073)&lt;&gt;ROW(P452))*(P$2:P$1073&lt;&gt;""))),"")</f>
        <v>27.108212645335762</v>
      </c>
      <c r="W452" cm="1">
        <f t="array" ref="W452">IFERROR(AVERAGE(_xlfn._xlws.FILTER(Q$2:Q$1073,($C$2:$C$1073=$C452)*($E$2:$E$1073=$E452)*(ROW(Q$2:Q$1073)&lt;&gt;ROW(Q452))*(Q$2:Q$1073&lt;&gt;""))),"")</f>
        <v>0.47430417423752996</v>
      </c>
      <c r="X452" cm="1">
        <f t="array" ref="X452">IFERROR(AVERAGE(_xlfn._xlws.FILTER(R$2:R$1073,($C$2:$C$1073=$C452)*($E$2:$E$1073=$E452)*(ROW(R$2:R$1073)&lt;&gt;ROW(R452))*(R$2:R$1073&lt;&gt;""))),"")</f>
        <v>0.1342616945462578</v>
      </c>
      <c r="Y452" cm="1">
        <f t="array" ref="Y452">IFERROR(AVERAGE(_xlfn._xlws.FILTER(S$2:S$1073,($C$2:$C$1073=$C452)*($E$2:$E$1073=$E452)*(ROW(S$2:S$1073)&lt;&gt;ROW(S452))*(S$2:S$1073&lt;&gt;""))),"")</f>
        <v>0.12118242306397438</v>
      </c>
      <c r="Z452" cm="1">
        <f t="array" ref="Z452">IFERROR(AVERAGE(_xlfn._xlws.FILTER(T$2:T$1073,($C$2:$C$1073=$C452)*($E$2:$E$1073=$E452)*(ROW(T$2:T$1073)&lt;&gt;ROW(T452))*(T$2:T$1073&lt;&gt;""))),"")</f>
        <v>0.12886587641129094</v>
      </c>
      <c r="AA452" cm="1">
        <f t="array" ref="AA452">IFERROR(AVERAGE(_xlfn._xlws.FILTER(U$2:U$1073,($C$2:$C$1073=$C452)*($E$2:$E$1073=$E452)*(ROW(U$2:U$1073)&lt;&gt;ROW(U452))*(U$2:U$1073&lt;&gt;""))),"")</f>
        <v>-0.70805388908576783</v>
      </c>
    </row>
    <row r="453" spans="1:27" x14ac:dyDescent="0.2">
      <c r="A453" s="7" t="s">
        <v>2237</v>
      </c>
      <c r="B453" t="str">
        <f t="shared" si="79"/>
        <v>RUAL IV кв. 2022</v>
      </c>
      <c r="C453">
        <v>2022</v>
      </c>
      <c r="D453">
        <f>SUMIFS(Дивиденды!$C:$C,Дивиденды!$A:$A,A453,Дивиденды!$I:$I,C453)</f>
        <v>0.02</v>
      </c>
      <c r="E453">
        <v>3</v>
      </c>
      <c r="F453">
        <f t="shared" si="80"/>
        <v>0.02</v>
      </c>
      <c r="G453">
        <f t="shared" si="81"/>
        <v>1.7280000000000002</v>
      </c>
      <c r="H453">
        <f t="shared" si="82"/>
        <v>1</v>
      </c>
      <c r="I453">
        <f t="shared" si="78"/>
        <v>0.1</v>
      </c>
      <c r="J453">
        <f t="shared" si="83"/>
        <v>1</v>
      </c>
      <c r="K453">
        <f t="shared" si="87"/>
        <v>-0.70242800677583284</v>
      </c>
      <c r="L453">
        <f t="shared" si="84"/>
        <v>1</v>
      </c>
      <c r="M453">
        <f t="shared" si="77"/>
        <v>0</v>
      </c>
      <c r="N453">
        <f t="shared" si="85"/>
        <v>0</v>
      </c>
      <c r="O453">
        <f t="shared" si="86"/>
        <v>0.8</v>
      </c>
      <c r="P453">
        <f>IFERROR(LN('Дивиденды по годам'!I453),"")</f>
        <v>28.147934826215039</v>
      </c>
      <c r="Q453">
        <f>IFERROR('Дивиденды по годам'!G453/'Дивиденды по годам'!I453, "")</f>
        <v>0.23665299825423247</v>
      </c>
      <c r="R453">
        <f>IFERROR(IF(AND('Дивиденды по годам'!N453&lt;&gt;"",'Дивиденды по годам'!U453&lt;&gt;"",'Дивиденды по годам'!U453&lt;&gt;0),'Дивиденды по годам'!N453/'Дивиденды по годам'!U453-1,""),"")</f>
        <v>7.5111590452883625E-2</v>
      </c>
      <c r="S453">
        <f>IFERROR(IF(AND('Дивиденды по годам'!L453&lt;&gt;"",'Дивиденды по годам'!I453&lt;&gt;"",'Дивиденды по годам'!J453&lt;&gt;"",'Дивиденды по годам'!K453&lt;&gt;"",('Дивиденды по годам'!I453-'Дивиденды по годам'!J453-'Дивиденды по годам'!K453)&lt;&gt;0),'Дивиденды по годам'!L453/('Дивиденды по годам'!I453-'Дивиденды по годам'!J453-'Дивиденды по годам'!K453),""),"")</f>
        <v>0.22101243194929715</v>
      </c>
      <c r="T453">
        <f>IFERROR(IF(AND('Дивиденды по годам'!Q453&lt;&gt;"",'Дивиденды по годам'!I453&lt;&gt;"",'Дивиденды по годам'!V453&lt;&gt;"",('Дивиденды по годам'!I453+'Дивиденды по годам'!V453)&lt;&gt;0),'Дивиденды по годам'!Q453/(('Дивиденды по годам'!I453+'Дивиденды по годам'!V453)/2),""),"")</f>
        <v>7.5835560649665831E-2</v>
      </c>
      <c r="U453">
        <f>IFERROR(IF(AND('Дивиденды по годам'!J453&lt;&gt;"",'Дивиденды по годам'!K453&lt;&gt;"",'Дивиденды по годам'!M453&lt;&gt;"",'Дивиденды по годам'!M453&lt;&gt;0),('Дивиденды по годам'!J453+'Дивиденды по годам'!K453)/'Дивиденды по годам'!M453,""),"")</f>
        <v>1.001381327699683</v>
      </c>
      <c r="V453" cm="1">
        <f t="array" ref="V453">IFERROR(AVERAGE(_xlfn._xlws.FILTER(P$2:P$1073,($C$2:$C$1073=$C453)*($E$2:$E$1073=$E453)*(ROW(P$2:P$1073)&lt;&gt;ROW(P453))*(P$2:P$1073&lt;&gt;""))),"")</f>
        <v>26.976323236056231</v>
      </c>
      <c r="W453" cm="1">
        <f t="array" ref="W453">IFERROR(AVERAGE(_xlfn._xlws.FILTER(Q$2:Q$1073,($C$2:$C$1073=$C453)*($E$2:$E$1073=$E453)*(ROW(Q$2:Q$1073)&lt;&gt;ROW(Q453))*(Q$2:Q$1073&lt;&gt;""))),"")</f>
        <v>0.4952996701664712</v>
      </c>
      <c r="X453" cm="1">
        <f t="array" ref="X453">IFERROR(AVERAGE(_xlfn._xlws.FILTER(R$2:R$1073,($C$2:$C$1073=$C453)*($E$2:$E$1073=$E453)*(ROW(R$2:R$1073)&lt;&gt;ROW(R453))*(R$2:R$1073&lt;&gt;""))),"")</f>
        <v>-3.1372232506451526E-2</v>
      </c>
      <c r="Y453" cm="1">
        <f t="array" ref="Y453">IFERROR(AVERAGE(_xlfn._xlws.FILTER(S$2:S$1073,($C$2:$C$1073=$C453)*($E$2:$E$1073=$E453)*(ROW(S$2:S$1073)&lt;&gt;ROW(S453))*(S$2:S$1073&lt;&gt;""))),"")</f>
        <v>0.91489720044275502</v>
      </c>
      <c r="Z453" cm="1">
        <f t="array" ref="Z453">IFERROR(AVERAGE(_xlfn._xlws.FILTER(T$2:T$1073,($C$2:$C$1073=$C453)*($E$2:$E$1073=$E453)*(ROW(T$2:T$1073)&lt;&gt;ROW(T453))*(T$2:T$1073&lt;&gt;""))),"")</f>
        <v>0.16695313185034136</v>
      </c>
      <c r="AA453" cm="1">
        <f t="array" ref="AA453">IFERROR(AVERAGE(_xlfn._xlws.FILTER(U$2:U$1073,($C$2:$C$1073=$C453)*($E$2:$E$1073=$E453)*(ROW(U$2:U$1073)&lt;&gt;ROW(U453))*(U$2:U$1073&lt;&gt;""))),"")</f>
        <v>1.1685547696241485</v>
      </c>
    </row>
    <row r="454" spans="1:27" x14ac:dyDescent="0.2">
      <c r="A454" s="7" t="s">
        <v>2237</v>
      </c>
      <c r="B454" t="str">
        <f t="shared" si="79"/>
        <v>RUAL IV кв. 2021</v>
      </c>
      <c r="C454">
        <v>2021</v>
      </c>
      <c r="D454">
        <f>SUMIFS(Дивиденды!$C:$C,Дивиденды!$A:$A,A454,Дивиденды!$I:$I,C454)</f>
        <v>0</v>
      </c>
      <c r="E454">
        <v>3</v>
      </c>
      <c r="F454">
        <f t="shared" si="80"/>
        <v>0</v>
      </c>
      <c r="G454">
        <f t="shared" si="81"/>
        <v>36.855000000000004</v>
      </c>
      <c r="H454">
        <f t="shared" si="82"/>
        <v>0</v>
      </c>
      <c r="I454">
        <f t="shared" si="78"/>
        <v>0.8</v>
      </c>
      <c r="J454">
        <f t="shared" si="83"/>
        <v>0</v>
      </c>
      <c r="K454">
        <f t="shared" si="87"/>
        <v>0.73069632657079653</v>
      </c>
      <c r="L454">
        <f t="shared" si="84"/>
        <v>0</v>
      </c>
      <c r="M454">
        <f t="shared" si="77"/>
        <v>0.5</v>
      </c>
      <c r="N454">
        <f t="shared" si="85"/>
        <v>0</v>
      </c>
      <c r="O454">
        <f t="shared" si="86"/>
        <v>0.2</v>
      </c>
      <c r="P454">
        <f>IFERROR(LN('Дивиденды по годам'!I454),"")</f>
        <v>28.064332687243319</v>
      </c>
      <c r="Q454">
        <f>IFERROR('Дивиденды по годам'!G454/'Дивиденды по годам'!I454, "")</f>
        <v>0.25590739500621834</v>
      </c>
      <c r="R454">
        <f>IFERROR(IF(AND('Дивиденды по годам'!N454&lt;&gt;"",'Дивиденды по годам'!U454&lt;&gt;"",'Дивиденды по годам'!U454&lt;&gt;0),'Дивиденды по годам'!N454/'Дивиденды по годам'!U454-1,""),"")</f>
        <v>0.42882027646800447</v>
      </c>
      <c r="S454">
        <f>IFERROR(IF(AND('Дивиденды по годам'!L454&lt;&gt;"",'Дивиденды по годам'!I454&lt;&gt;"",'Дивиденды по годам'!J454&lt;&gt;"",'Дивиденды по годам'!K454&lt;&gt;"",('Дивиденды по годам'!I454-'Дивиденды по годам'!J454-'Дивиденды по годам'!K454)&lt;&gt;0),'Дивиденды по годам'!L454/('Дивиденды по годам'!I454-'Дивиденды по годам'!J454-'Дивиденды по годам'!K454),""),"")</f>
        <v>0.11697073356138352</v>
      </c>
      <c r="T454">
        <f>IFERROR(IF(AND('Дивиденды по годам'!Q454&lt;&gt;"",'Дивиденды по годам'!I454&lt;&gt;"",'Дивиденды по годам'!V454&lt;&gt;"",('Дивиденды по годам'!I454+'Дивиденды по годам'!V454)&lt;&gt;0),'Дивиденды по годам'!Q454/(('Дивиденды по годам'!I454+'Дивиденды по годам'!V454)/2),""),"")</f>
        <v>0.17002433673547465</v>
      </c>
      <c r="U454">
        <f>IFERROR(IF(AND('Дивиденды по годам'!J454&lt;&gt;"",'Дивиденды по годам'!K454&lt;&gt;"",'Дивиденды по годам'!M454&lt;&gt;"",'Дивиденды по годам'!M454&lt;&gt;0),('Дивиденды по годам'!J454+'Дивиденды по годам'!K454)/'Дивиденды по годам'!M454,""),"")</f>
        <v>0.98650703154694031</v>
      </c>
      <c r="V454" cm="1">
        <f t="array" ref="V454">IFERROR(AVERAGE(_xlfn._xlws.FILTER(P$2:P$1073,($C$2:$C$1073=$C454)*($E$2:$E$1073=$E454)*(ROW(P$2:P$1073)&lt;&gt;ROW(P454))*(P$2:P$1073&lt;&gt;""))),"")</f>
        <v>26.876862933467635</v>
      </c>
      <c r="W454" cm="1">
        <f t="array" ref="W454">IFERROR(AVERAGE(_xlfn._xlws.FILTER(Q$2:Q$1073,($C$2:$C$1073=$C454)*($E$2:$E$1073=$E454)*(ROW(Q$2:Q$1073)&lt;&gt;ROW(Q454))*(Q$2:Q$1073&lt;&gt;""))),"")</f>
        <v>0.51088059359926663</v>
      </c>
      <c r="X454" cm="1">
        <f t="array" ref="X454">IFERROR(AVERAGE(_xlfn._xlws.FILTER(R$2:R$1073,($C$2:$C$1073=$C454)*($E$2:$E$1073=$E454)*(ROW(R$2:R$1073)&lt;&gt;ROW(R454))*(R$2:R$1073&lt;&gt;""))),"")</f>
        <v>0.70854929075653861</v>
      </c>
      <c r="Y454" cm="1">
        <f t="array" ref="Y454">IFERROR(AVERAGE(_xlfn._xlws.FILTER(S$2:S$1073,($C$2:$C$1073=$C454)*($E$2:$E$1073=$E454)*(ROW(S$2:S$1073)&lt;&gt;ROW(S454))*(S$2:S$1073&lt;&gt;""))),"")</f>
        <v>1.1272502193901164</v>
      </c>
      <c r="Z454" cm="1">
        <f t="array" ref="Z454">IFERROR(AVERAGE(_xlfn._xlws.FILTER(T$2:T$1073,($C$2:$C$1073=$C454)*($E$2:$E$1073=$E454)*(ROW(T$2:T$1073)&lt;&gt;ROW(T454))*(T$2:T$1073&lt;&gt;""))),"")</f>
        <v>0.29909085763535387</v>
      </c>
      <c r="AA454" cm="1">
        <f t="array" ref="AA454">IFERROR(AVERAGE(_xlfn._xlws.FILTER(U$2:U$1073,($C$2:$C$1073=$C454)*($E$2:$E$1073=$E454)*(ROW(U$2:U$1073)&lt;&gt;ROW(U454))*(U$2:U$1073&lt;&gt;""))),"")</f>
        <v>2.1543255251944466</v>
      </c>
    </row>
    <row r="455" spans="1:27" x14ac:dyDescent="0.2">
      <c r="A455" s="7" t="s">
        <v>2237</v>
      </c>
      <c r="B455" t="str">
        <f t="shared" si="79"/>
        <v>RUAL IV кв. 2020</v>
      </c>
      <c r="C455">
        <v>2020</v>
      </c>
      <c r="D455">
        <f>SUMIFS(Дивиденды!$C:$C,Дивиденды!$A:$A,A455,Дивиденды!$I:$I,C455)</f>
        <v>0</v>
      </c>
      <c r="E455">
        <v>3</v>
      </c>
      <c r="F455">
        <f t="shared" si="80"/>
        <v>0</v>
      </c>
      <c r="G455">
        <f t="shared" si="81"/>
        <v>23.983999999999998</v>
      </c>
      <c r="H455">
        <f t="shared" si="82"/>
        <v>0</v>
      </c>
      <c r="I455">
        <f t="shared" si="78"/>
        <v>0.8</v>
      </c>
      <c r="J455">
        <f t="shared" si="83"/>
        <v>0</v>
      </c>
      <c r="K455">
        <f t="shared" si="87"/>
        <v>0.6593795487099845</v>
      </c>
      <c r="L455">
        <f t="shared" si="84"/>
        <v>0</v>
      </c>
      <c r="M455">
        <f t="shared" si="77"/>
        <v>0.7</v>
      </c>
      <c r="N455">
        <f t="shared" si="85"/>
        <v>0</v>
      </c>
      <c r="O455">
        <f t="shared" si="86"/>
        <v>0.1</v>
      </c>
      <c r="P455">
        <f>IFERROR(LN('Дивиденды по годам'!I455),"")</f>
        <v>27.859258049806552</v>
      </c>
      <c r="Q455">
        <f>IFERROR('Дивиденды по годам'!G455/'Дивиденды по годам'!I455, "")</f>
        <v>0.27937622281044999</v>
      </c>
      <c r="R455">
        <f>IFERROR(IF(AND('Дивиденды по годам'!N455&lt;&gt;"",'Дивиденды по годам'!U455&lt;&gt;"",'Дивиденды по годам'!U455&lt;&gt;0),'Дивиденды по годам'!N455/'Дивиденды по годам'!U455-1,""),"")</f>
        <v>-1.4162584337711115E-2</v>
      </c>
      <c r="S455">
        <f>IFERROR(IF(AND('Дивиденды по годам'!L455&lt;&gt;"",'Дивиденды по годам'!I455&lt;&gt;"",'Дивиденды по годам'!J455&lt;&gt;"",'Дивиденды по годам'!K455&lt;&gt;"",('Дивиденды по годам'!I455-'Дивиденды по годам'!J455-'Дивиденды по годам'!K455)&lt;&gt;0),'Дивиденды по годам'!L455/('Дивиденды по годам'!I455-'Дивиденды по годам'!J455-'Дивиденды по годам'!K455),""),"")</f>
        <v>-0.32446889805899437</v>
      </c>
      <c r="T455">
        <f>IFERROR(IF(AND('Дивиденды по годам'!Q455&lt;&gt;"",'Дивиденды по годам'!I455&lt;&gt;"",'Дивиденды по годам'!V455&lt;&gt;"",('Дивиденды по годам'!I455+'Дивиденды по годам'!V455)&lt;&gt;0),'Дивиденды по годам'!Q455/(('Дивиденды по годам'!I455+'Дивиденды по годам'!V455)/2),""),"")</f>
        <v>4.5561863977396137E-2</v>
      </c>
      <c r="U455">
        <f>IFERROR(IF(AND('Дивиденды по годам'!J455&lt;&gt;"",'Дивиденды по годам'!K455&lt;&gt;"",'Дивиденды по годам'!M455&lt;&gt;"",'Дивиденды по годам'!M455&lt;&gt;0),('Дивиденды по годам'!J455+'Дивиденды по годам'!K455)/'Дивиденды по годам'!M455,""),"")</f>
        <v>1.6559682103010853</v>
      </c>
      <c r="V455" cm="1">
        <f t="array" ref="V455">IFERROR(AVERAGE(_xlfn._xlws.FILTER(P$2:P$1073,($C$2:$C$1073=$C455)*($E$2:$E$1073=$E455)*(ROW(P$2:P$1073)&lt;&gt;ROW(P455))*(P$2:P$1073&lt;&gt;""))),"")</f>
        <v>26.714615207442268</v>
      </c>
      <c r="W455" cm="1">
        <f t="array" ref="W455">IFERROR(AVERAGE(_xlfn._xlws.FILTER(Q$2:Q$1073,($C$2:$C$1073=$C455)*($E$2:$E$1073=$E455)*(ROW(Q$2:Q$1073)&lt;&gt;ROW(Q455))*(Q$2:Q$1073&lt;&gt;""))),"")</f>
        <v>0.52878995737192414</v>
      </c>
      <c r="X455" cm="1">
        <f t="array" ref="X455">IFERROR(AVERAGE(_xlfn._xlws.FILTER(R$2:R$1073,($C$2:$C$1073=$C455)*($E$2:$E$1073=$E455)*(ROW(R$2:R$1073)&lt;&gt;ROW(R455))*(R$2:R$1073&lt;&gt;""))),"")</f>
        <v>3.1367726874105009E-2</v>
      </c>
      <c r="Y455" cm="1">
        <f t="array" ref="Y455">IFERROR(AVERAGE(_xlfn._xlws.FILTER(S$2:S$1073,($C$2:$C$1073=$C455)*($E$2:$E$1073=$E455)*(ROW(S$2:S$1073)&lt;&gt;ROW(S455))*(S$2:S$1073&lt;&gt;""))),"")</f>
        <v>1.1775471693514088</v>
      </c>
      <c r="Z455" cm="1">
        <f t="array" ref="Z455">IFERROR(AVERAGE(_xlfn._xlws.FILTER(T$2:T$1073,($C$2:$C$1073=$C455)*($E$2:$E$1073=$E455)*(ROW(T$2:T$1073)&lt;&gt;ROW(T455))*(T$2:T$1073&lt;&gt;""))),"")</f>
        <v>9.9172505109059922E-2</v>
      </c>
      <c r="AA455" cm="1">
        <f t="array" ref="AA455">IFERROR(AVERAGE(_xlfn._xlws.FILTER(U$2:U$1073,($C$2:$C$1073=$C455)*($E$2:$E$1073=$E455)*(ROW(U$2:U$1073)&lt;&gt;ROW(U455))*(U$2:U$1073&lt;&gt;""))),"")</f>
        <v>1.6592246360610035</v>
      </c>
    </row>
    <row r="456" spans="1:27" x14ac:dyDescent="0.2">
      <c r="A456" s="7" t="s">
        <v>2237</v>
      </c>
      <c r="B456" t="str">
        <f t="shared" si="79"/>
        <v>RUAL IV кв. 2019</v>
      </c>
      <c r="C456">
        <v>2019</v>
      </c>
      <c r="D456">
        <f>SUMIFS(Дивиденды!$C:$C,Дивиденды!$A:$A,A456,Дивиденды!$I:$I,C456)</f>
        <v>0</v>
      </c>
      <c r="E456">
        <v>3</v>
      </c>
      <c r="F456">
        <f t="shared" si="80"/>
        <v>0</v>
      </c>
      <c r="G456">
        <f t="shared" si="81"/>
        <v>19.591000000000001</v>
      </c>
      <c r="H456">
        <f t="shared" si="82"/>
        <v>0</v>
      </c>
      <c r="I456">
        <f t="shared" si="78"/>
        <v>0.8</v>
      </c>
      <c r="J456">
        <f t="shared" si="83"/>
        <v>0</v>
      </c>
      <c r="K456">
        <f t="shared" si="87"/>
        <v>0.25160659566020116</v>
      </c>
      <c r="L456">
        <f t="shared" si="84"/>
        <v>0</v>
      </c>
      <c r="M456">
        <f t="shared" si="77"/>
        <v>0.4</v>
      </c>
      <c r="N456">
        <f t="shared" si="85"/>
        <v>0</v>
      </c>
      <c r="O456">
        <f t="shared" si="86"/>
        <v>0.4</v>
      </c>
      <c r="P456">
        <f>IFERROR(LN('Дивиденды по годам'!I456),"")</f>
        <v>27.772843122793432</v>
      </c>
      <c r="Q456">
        <f>IFERROR('Дивиденды по годам'!G456/'Дивиденды по годам'!I456, "")</f>
        <v>0.25255417087683846</v>
      </c>
      <c r="R456">
        <f>IFERROR(IF(AND('Дивиденды по годам'!N456&lt;&gt;"",'Дивиденды по годам'!U456&lt;&gt;"",'Дивиденды по годам'!U456&lt;&gt;0),'Дивиденды по годам'!N456/'Дивиденды по годам'!U456-1,""),"")</f>
        <v>-2.8003687549791434E-2</v>
      </c>
      <c r="S456">
        <f>IFERROR(IF(AND('Дивиденды по годам'!L456&lt;&gt;"",'Дивиденды по годам'!I456&lt;&gt;"",'Дивиденды по годам'!J456&lt;&gt;"",'Дивиденды по годам'!K456&lt;&gt;"",('Дивиденды по годам'!I456-'Дивиденды по годам'!J456-'Дивиденды по годам'!K456)&lt;&gt;0),'Дивиденды по годам'!L456/('Дивиденды по годам'!I456-'Дивиденды по годам'!J456-'Дивиденды по годам'!K456),""),"")</f>
        <v>-0.42715280865569877</v>
      </c>
      <c r="T456">
        <f>IFERROR(IF(AND('Дивиденды по годам'!Q456&lt;&gt;"",'Дивиденды по годам'!I456&lt;&gt;"",'Дивиденды по годам'!V456&lt;&gt;"",('Дивиденды по годам'!I456+'Дивиденды по годам'!V456)&lt;&gt;0),'Дивиденды по годам'!Q456/(('Дивиденды по годам'!I456+'Дивиденды по годам'!V456)/2),""),"")</f>
        <v>5.7923577331941666E-2</v>
      </c>
      <c r="U456">
        <f>IFERROR(IF(AND('Дивиденды по годам'!J456&lt;&gt;"",'Дивиденды по годам'!K456&lt;&gt;"",'Дивиденды по годам'!M456&lt;&gt;"",'Дивиденды по годам'!M456&lt;&gt;0),('Дивиденды по годам'!J456+'Дивиденды по годам'!K456)/'Дивиденды по годам'!M456,""),"")</f>
        <v>1.640284570920409</v>
      </c>
      <c r="V456" cm="1">
        <f t="array" ref="V456">IFERROR(AVERAGE(_xlfn._xlws.FILTER(P$2:P$1073,($C$2:$C$1073=$C456)*($E$2:$E$1073=$E456)*(ROW(P$2:P$1073)&lt;&gt;ROW(P456))*(P$2:P$1073&lt;&gt;""))),"")</f>
        <v>26.608344792677325</v>
      </c>
      <c r="W456" cm="1">
        <f t="array" ref="W456">IFERROR(AVERAGE(_xlfn._xlws.FILTER(Q$2:Q$1073,($C$2:$C$1073=$C456)*($E$2:$E$1073=$E456)*(ROW(Q$2:Q$1073)&lt;&gt;ROW(Q456))*(Q$2:Q$1073&lt;&gt;""))),"")</f>
        <v>0.52553372010666555</v>
      </c>
      <c r="X456" cm="1">
        <f t="array" ref="X456">IFERROR(AVERAGE(_xlfn._xlws.FILTER(R$2:R$1073,($C$2:$C$1073=$C456)*($E$2:$E$1073=$E456)*(ROW(R$2:R$1073)&lt;&gt;ROW(R456))*(R$2:R$1073&lt;&gt;""))),"")</f>
        <v>4.5558933022158077E-2</v>
      </c>
      <c r="Y456" cm="1">
        <f t="array" ref="Y456">IFERROR(AVERAGE(_xlfn._xlws.FILTER(S$2:S$1073,($C$2:$C$1073=$C456)*($E$2:$E$1073=$E456)*(ROW(S$2:S$1073)&lt;&gt;ROW(S456))*(S$2:S$1073&lt;&gt;""))),"")</f>
        <v>1.0417141001484598</v>
      </c>
      <c r="Z456" cm="1">
        <f t="array" ref="Z456">IFERROR(AVERAGE(_xlfn._xlws.FILTER(T$2:T$1073,($C$2:$C$1073=$C456)*($E$2:$E$1073=$E456)*(ROW(T$2:T$1073)&lt;&gt;ROW(T456))*(T$2:T$1073&lt;&gt;""))),"")</f>
        <v>0.14600936712123466</v>
      </c>
      <c r="AA456" cm="1">
        <f t="array" ref="AA456">IFERROR(AVERAGE(_xlfn._xlws.FILTER(U$2:U$1073,($C$2:$C$1073=$C456)*($E$2:$E$1073=$E456)*(ROW(U$2:U$1073)&lt;&gt;ROW(U456))*(U$2:U$1073&lt;&gt;""))),"")</f>
        <v>1.5508768759193909</v>
      </c>
    </row>
    <row r="457" spans="1:27" x14ac:dyDescent="0.2">
      <c r="A457" s="7" t="s">
        <v>2237</v>
      </c>
      <c r="B457" t="str">
        <f t="shared" si="79"/>
        <v>RUAL IV кв. 2018</v>
      </c>
      <c r="C457">
        <v>2018</v>
      </c>
      <c r="D457">
        <f>SUMIFS(Дивиденды!$C:$C,Дивиденды!$A:$A,A457,Дивиденды!$I:$I,C457)</f>
        <v>0</v>
      </c>
      <c r="E457">
        <v>3</v>
      </c>
      <c r="F457">
        <f t="shared" si="80"/>
        <v>0</v>
      </c>
      <c r="G457">
        <f t="shared" si="81"/>
        <v>22.694999999999997</v>
      </c>
      <c r="H457">
        <f t="shared" si="82"/>
        <v>0</v>
      </c>
      <c r="I457">
        <f t="shared" si="78"/>
        <v>0.5</v>
      </c>
      <c r="J457">
        <f t="shared" si="83"/>
        <v>-1</v>
      </c>
      <c r="K457">
        <f t="shared" si="87"/>
        <v>0.2208568682360553</v>
      </c>
      <c r="L457">
        <f t="shared" si="84"/>
        <v>0</v>
      </c>
      <c r="M457">
        <f t="shared" si="77"/>
        <v>0.5</v>
      </c>
      <c r="N457">
        <f t="shared" si="85"/>
        <v>1</v>
      </c>
      <c r="O457">
        <f t="shared" si="86"/>
        <v>0.1</v>
      </c>
      <c r="P457">
        <f>IFERROR(LN('Дивиденды по годам'!I457),"")</f>
        <v>27.62287391294867</v>
      </c>
      <c r="Q457">
        <f>IFERROR('Дивиденды по годам'!G457/'Дивиденды по годам'!I457, "")</f>
        <v>0.28021803891741143</v>
      </c>
      <c r="R457">
        <f>IFERROR(IF(AND('Дивиденды по годам'!N457&lt;&gt;"",'Дивиденды по годам'!U457&lt;&gt;"",'Дивиденды по годам'!U457&lt;&gt;0),'Дивиденды по годам'!N457/'Дивиденды по годам'!U457-1,""),"")</f>
        <v>0.11176894520601044</v>
      </c>
      <c r="S457">
        <f>IFERROR(IF(AND('Дивиденды по годам'!L457&lt;&gt;"",'Дивиденды по годам'!I457&lt;&gt;"",'Дивиденды по годам'!J457&lt;&gt;"",'Дивиденды по годам'!K457&lt;&gt;"",('Дивиденды по годам'!I457-'Дивиденды по годам'!J457-'Дивиденды по годам'!K457)&lt;&gt;0),'Дивиденды по годам'!L457/('Дивиденды по годам'!I457-'Дивиденды по годам'!J457-'Дивиденды по годам'!K457),""),"")</f>
        <v>-0.73756959109234022</v>
      </c>
      <c r="T457">
        <f>IFERROR(IF(AND('Дивиденды по годам'!Q457&lt;&gt;"",'Дивиденды по годам'!I457&lt;&gt;"",'Дивиденды по годам'!V457&lt;&gt;"",('Дивиденды по годам'!I457+'Дивиденды по годам'!V457)&lt;&gt;0),'Дивиденды по годам'!Q457/(('Дивиденды по годам'!I457+'Дивиденды по годам'!V457)/2),""),"")</f>
        <v>0.11168177920403603</v>
      </c>
      <c r="U457">
        <f>IFERROR(IF(AND('Дивиденды по годам'!J457&lt;&gt;"",'Дивиденды по годам'!K457&lt;&gt;"",'Дивиденды по годам'!M457&lt;&gt;"",'Дивиденды по годам'!M457&lt;&gt;0),('Дивиденды по годам'!J457+'Дивиденды по годам'!K457)/'Дивиденды по годам'!M457,""),"")</f>
        <v>2.0287963140717991</v>
      </c>
      <c r="V457" cm="1">
        <f t="array" ref="V457">IFERROR(AVERAGE(_xlfn._xlws.FILTER(P$2:P$1073,($C$2:$C$1073=$C457)*($E$2:$E$1073=$E457)*(ROW(P$2:P$1073)&lt;&gt;ROW(P457))*(P$2:P$1073&lt;&gt;""))),"")</f>
        <v>26.465311662282545</v>
      </c>
      <c r="W457" cm="1">
        <f t="array" ref="W457">IFERROR(AVERAGE(_xlfn._xlws.FILTER(Q$2:Q$1073,($C$2:$C$1073=$C457)*($E$2:$E$1073=$E457)*(ROW(Q$2:Q$1073)&lt;&gt;ROW(Q457))*(Q$2:Q$1073&lt;&gt;""))),"")</f>
        <v>0.54194952479471614</v>
      </c>
      <c r="X457" cm="1">
        <f t="array" ref="X457">IFERROR(AVERAGE(_xlfn._xlws.FILTER(R$2:R$1073,($C$2:$C$1073=$C457)*($E$2:$E$1073=$E457)*(ROW(R$2:R$1073)&lt;&gt;ROW(R457))*(R$2:R$1073&lt;&gt;""))),"")</f>
        <v>0.22811907281354332</v>
      </c>
      <c r="Y457" cm="1">
        <f t="array" ref="Y457">IFERROR(AVERAGE(_xlfn._xlws.FILTER(S$2:S$1073,($C$2:$C$1073=$C457)*($E$2:$E$1073=$E457)*(ROW(S$2:S$1073)&lt;&gt;ROW(S457))*(S$2:S$1073&lt;&gt;""))),"")</f>
        <v>1.0895640157434943</v>
      </c>
      <c r="Z457" cm="1">
        <f t="array" ref="Z457">IFERROR(AVERAGE(_xlfn._xlws.FILTER(T$2:T$1073,($C$2:$C$1073=$C457)*($E$2:$E$1073=$E457)*(ROW(T$2:T$1073)&lt;&gt;ROW(T457))*(T$2:T$1073&lt;&gt;""))),"")</f>
        <v>0.15959466177541068</v>
      </c>
      <c r="AA457" cm="1">
        <f t="array" ref="AA457">IFERROR(AVERAGE(_xlfn._xlws.FILTER(U$2:U$1073,($C$2:$C$1073=$C457)*($E$2:$E$1073=$E457)*(ROW(U$2:U$1073)&lt;&gt;ROW(U457))*(U$2:U$1073&lt;&gt;""))),"")</f>
        <v>2.3691958789246774</v>
      </c>
    </row>
    <row r="458" spans="1:27" x14ac:dyDescent="0.2">
      <c r="A458" s="7" t="s">
        <v>2237</v>
      </c>
      <c r="B458" t="str">
        <f t="shared" si="79"/>
        <v>RUAL IV кв. 2017</v>
      </c>
      <c r="C458">
        <v>2017</v>
      </c>
      <c r="D458">
        <f>SUMIFS(Дивиденды!$C:$C,Дивиденды!$A:$A,A458,Дивиденды!$I:$I,C458)</f>
        <v>1.1487631482508245</v>
      </c>
      <c r="E458">
        <v>3</v>
      </c>
      <c r="F458">
        <f t="shared" si="80"/>
        <v>1.1487631482508245</v>
      </c>
      <c r="G458">
        <f t="shared" si="81"/>
        <v>15.953999999999999</v>
      </c>
      <c r="H458">
        <f t="shared" si="82"/>
        <v>1</v>
      </c>
      <c r="I458">
        <f t="shared" si="78"/>
        <v>0.6</v>
      </c>
      <c r="J458">
        <f t="shared" si="83"/>
        <v>3.8291876568514648E-2</v>
      </c>
      <c r="K458">
        <f t="shared" si="87"/>
        <v>0.11326383738575377</v>
      </c>
      <c r="L458">
        <f t="shared" si="84"/>
        <v>1</v>
      </c>
      <c r="M458">
        <f t="shared" si="77"/>
        <v>0.4</v>
      </c>
      <c r="N458">
        <f t="shared" si="85"/>
        <v>0</v>
      </c>
      <c r="O458">
        <f t="shared" si="86"/>
        <v>0.2</v>
      </c>
      <c r="P458">
        <f>IFERROR(LN('Дивиденды по годам'!I458),"")</f>
        <v>27.547451335485231</v>
      </c>
      <c r="Q458">
        <f>IFERROR('Дивиденды по годам'!G458/'Дивиденды по годам'!I458, "")</f>
        <v>0.27405857740585776</v>
      </c>
      <c r="R458">
        <f>IFERROR(IF(AND('Дивиденды по годам'!N458&lt;&gt;"",'Дивиденды по годам'!U458&lt;&gt;"",'Дивиденды по годам'!U458&lt;&gt;0),'Дивиденды по годам'!N458/'Дивиденды по годам'!U458-1,""),"")</f>
        <v>8.5982035041087812E-2</v>
      </c>
      <c r="S458">
        <f>IFERROR(IF(AND('Дивиденды по годам'!L458&lt;&gt;"",'Дивиденды по годам'!I458&lt;&gt;"",'Дивиденды по годам'!J458&lt;&gt;"",'Дивиденды по годам'!K458&lt;&gt;"",('Дивиденды по годам'!I458-'Дивиденды по годам'!J458-'Дивиденды по годам'!K458)&lt;&gt;0),'Дивиденды по годам'!L458/('Дивиденды по годам'!I458-'Дивиденды по годам'!J458-'Дивиденды по годам'!K458),""),"")</f>
        <v>-1.2466246624662465</v>
      </c>
      <c r="T458">
        <f>IFERROR(IF(AND('Дивиденды по годам'!Q458&lt;&gt;"",'Дивиденды по годам'!I458&lt;&gt;"",'Дивиденды по годам'!V458&lt;&gt;"",('Дивиденды по годам'!I458+'Дивиденды по годам'!V458)&lt;&gt;0),'Дивиденды по годам'!Q458/(('Дивиденды по годам'!I458+'Дивиденды по годам'!V458)/2),""),"")</f>
        <v>7.5449656882443261E-2</v>
      </c>
      <c r="U458">
        <f>IFERROR(IF(AND('Дивиденды по годам'!J458&lt;&gt;"",'Дивиденды по годам'!K458&lt;&gt;"",'Дивиденды по годам'!M458&lt;&gt;"",'Дивиденды по годам'!M458&lt;&gt;0),('Дивиденды по годам'!J458+'Дивиденды по годам'!K458)/'Дивиденды по годам'!M458,""),"")</f>
        <v>2.5495049504950495</v>
      </c>
      <c r="V458" cm="1">
        <f t="array" ref="V458">IFERROR(AVERAGE(_xlfn._xlws.FILTER(P$2:P$1073,($C$2:$C$1073=$C458)*($E$2:$E$1073=$E458)*(ROW(P$2:P$1073)&lt;&gt;ROW(P458))*(P$2:P$1073&lt;&gt;""))),"")</f>
        <v>26.443599219211357</v>
      </c>
      <c r="W458" cm="1">
        <f t="array" ref="W458">IFERROR(AVERAGE(_xlfn._xlws.FILTER(Q$2:Q$1073,($C$2:$C$1073=$C458)*($E$2:$E$1073=$E458)*(ROW(Q$2:Q$1073)&lt;&gt;ROW(Q458))*(Q$2:Q$1073&lt;&gt;""))),"")</f>
        <v>0.56207113605386794</v>
      </c>
      <c r="X458" cm="1">
        <f t="array" ref="X458">IFERROR(AVERAGE(_xlfn._xlws.FILTER(R$2:R$1073,($C$2:$C$1073=$C458)*($E$2:$E$1073=$E458)*(ROW(R$2:R$1073)&lt;&gt;ROW(R458))*(R$2:R$1073&lt;&gt;""))),"")</f>
        <v>0.10167247889317799</v>
      </c>
      <c r="Y458" cm="1">
        <f t="array" ref="Y458">IFERROR(AVERAGE(_xlfn._xlws.FILTER(S$2:S$1073,($C$2:$C$1073=$C458)*($E$2:$E$1073=$E458)*(ROW(S$2:S$1073)&lt;&gt;ROW(S458))*(S$2:S$1073&lt;&gt;""))),"")</f>
        <v>1.2882870749214996</v>
      </c>
      <c r="Z458" cm="1">
        <f t="array" ref="Z458">IFERROR(AVERAGE(_xlfn._xlws.FILTER(T$2:T$1073,($C$2:$C$1073=$C458)*($E$2:$E$1073=$E458)*(ROW(T$2:T$1073)&lt;&gt;ROW(T458))*(T$2:T$1073&lt;&gt;""))),"")</f>
        <v>0.12617771752687698</v>
      </c>
      <c r="AA458" cm="1">
        <f t="array" ref="AA458">IFERROR(AVERAGE(_xlfn._xlws.FILTER(U$2:U$1073,($C$2:$C$1073=$C458)*($E$2:$E$1073=$E458)*(ROW(U$2:U$1073)&lt;&gt;ROW(U458))*(U$2:U$1073&lt;&gt;""))),"")</f>
        <v>1.9211095881556979</v>
      </c>
    </row>
    <row r="459" spans="1:27" x14ac:dyDescent="0.2">
      <c r="A459" s="7" t="s">
        <v>2237</v>
      </c>
      <c r="B459" t="str">
        <f t="shared" si="79"/>
        <v>RUAL IV кв. 2016</v>
      </c>
      <c r="C459">
        <v>2016</v>
      </c>
      <c r="D459">
        <f>SUMIFS(Дивиденды!$C:$C,Дивиденды!$A:$A,A459,Дивиденды!$I:$I,C459)</f>
        <v>1.106397126063829</v>
      </c>
      <c r="E459">
        <v>3</v>
      </c>
      <c r="F459">
        <f t="shared" si="80"/>
        <v>1.106397126063829</v>
      </c>
      <c r="G459">
        <f t="shared" si="81"/>
        <v>11.984999999999999</v>
      </c>
      <c r="H459">
        <f t="shared" si="82"/>
        <v>1</v>
      </c>
      <c r="I459">
        <f t="shared" si="78"/>
        <v>0.6</v>
      </c>
      <c r="J459">
        <f t="shared" si="83"/>
        <v>9.4762274124730442E-2</v>
      </c>
      <c r="K459">
        <f t="shared" si="87"/>
        <v>0.67820492862735826</v>
      </c>
      <c r="L459">
        <f t="shared" si="84"/>
        <v>1</v>
      </c>
      <c r="M459">
        <f t="shared" si="77"/>
        <v>0.6</v>
      </c>
      <c r="N459">
        <f t="shared" si="85"/>
        <v>0</v>
      </c>
      <c r="O459">
        <f t="shared" si="86"/>
        <v>0</v>
      </c>
      <c r="P459">
        <f>IFERROR(LN('Дивиденды по годам'!I459),"")</f>
        <v>27.599602452116251</v>
      </c>
      <c r="Q459">
        <f>IFERROR('Дивиденды по годам'!G459/'Дивиденды по годам'!I459, "")</f>
        <v>0.28127594796567951</v>
      </c>
      <c r="R459">
        <f>IFERROR(IF(AND('Дивиденды по годам'!N459&lt;&gt;"",'Дивиденды по годам'!U459&lt;&gt;"",'Дивиденды по годам'!U459&lt;&gt;0),'Дивиденды по годам'!N459/'Дивиденды по годам'!U459-1,""),"")</f>
        <v>6.8533680112581319E-3</v>
      </c>
      <c r="S459">
        <f>IFERROR(IF(AND('Дивиденды по годам'!L459&lt;&gt;"",'Дивиденды по годам'!I459&lt;&gt;"",'Дивиденды по годам'!J459&lt;&gt;"",'Дивиденды по годам'!K459&lt;&gt;"",('Дивиденды по годам'!I459-'Дивиденды по годам'!J459-'Дивиденды по годам'!K459)&lt;&gt;0),'Дивиденды по годам'!L459/('Дивиденды по годам'!I459-'Дивиденды по годам'!J459-'Дивиденды по годам'!K459),""),"")</f>
        <v>-1.9590785086389819</v>
      </c>
      <c r="T459">
        <f>IFERROR(IF(AND('Дивиденды по годам'!Q459&lt;&gt;"",'Дивиденды по годам'!I459&lt;&gt;"",'Дивиденды по годам'!V459&lt;&gt;"",('Дивиденды по годам'!I459+'Дивиденды по годам'!V459)&lt;&gt;0),'Дивиденды по годам'!Q459/(('Дивиденды по годам'!I459+'Дивиденды по годам'!V459)/2),""),"")</f>
        <v>9.0164301949214612E-2</v>
      </c>
      <c r="U459">
        <f>IFERROR(IF(AND('Дивиденды по годам'!J459&lt;&gt;"",'Дивиденды по годам'!K459&lt;&gt;"",'Дивиденды по годам'!M459&lt;&gt;"",'Дивиденды по годам'!M459&lt;&gt;0),('Дивиденды по годам'!J459+'Дивиденды по годам'!K459)/'Дивиденды по годам'!M459,""),"")</f>
        <v>3.3807214307365872</v>
      </c>
      <c r="V459" cm="1">
        <f t="array" ref="V459">IFERROR(AVERAGE(_xlfn._xlws.FILTER(P$2:P$1073,($C$2:$C$1073=$C459)*($E$2:$E$1073=$E459)*(ROW(P$2:P$1073)&lt;&gt;ROW(P459))*(P$2:P$1073&lt;&gt;""))),"")</f>
        <v>26.439078608419276</v>
      </c>
      <c r="W459" cm="1">
        <f t="array" ref="W459">IFERROR(AVERAGE(_xlfn._xlws.FILTER(Q$2:Q$1073,($C$2:$C$1073=$C459)*($E$2:$E$1073=$E459)*(ROW(Q$2:Q$1073)&lt;&gt;ROW(Q459))*(Q$2:Q$1073&lt;&gt;""))),"")</f>
        <v>0.53246650905622162</v>
      </c>
      <c r="X459" cm="1">
        <f t="array" ref="X459">IFERROR(AVERAGE(_xlfn._xlws.FILTER(R$2:R$1073,($C$2:$C$1073=$C459)*($E$2:$E$1073=$E459)*(ROW(R$2:R$1073)&lt;&gt;ROW(R459))*(R$2:R$1073&lt;&gt;""))),"")</f>
        <v>0.14748446019196082</v>
      </c>
      <c r="Y459" cm="1">
        <f t="array" ref="Y459">IFERROR(AVERAGE(_xlfn._xlws.FILTER(S$2:S$1073,($C$2:$C$1073=$C459)*($E$2:$E$1073=$E459)*(ROW(S$2:S$1073)&lt;&gt;ROW(S459))*(S$2:S$1073&lt;&gt;""))),"")</f>
        <v>0.5224803097548878</v>
      </c>
      <c r="Z459" cm="1">
        <f t="array" ref="Z459">IFERROR(AVERAGE(_xlfn._xlws.FILTER(T$2:T$1073,($C$2:$C$1073=$C459)*($E$2:$E$1073=$E459)*(ROW(T$2:T$1073)&lt;&gt;ROW(T459))*(T$2:T$1073&lt;&gt;""))),"")</f>
        <v>0.16904288747474211</v>
      </c>
      <c r="AA459" cm="1">
        <f t="array" ref="AA459">IFERROR(AVERAGE(_xlfn._xlws.FILTER(U$2:U$1073,($C$2:$C$1073=$C459)*($E$2:$E$1073=$E459)*(ROW(U$2:U$1073)&lt;&gt;ROW(U459))*(U$2:U$1073&lt;&gt;""))),"")</f>
        <v>-0.16577510539792123</v>
      </c>
    </row>
    <row r="460" spans="1:27" x14ac:dyDescent="0.2">
      <c r="A460" s="7" t="s">
        <v>2237</v>
      </c>
      <c r="B460" t="str">
        <f t="shared" si="79"/>
        <v>RUAL IV кв. 2015</v>
      </c>
      <c r="C460">
        <v>2015</v>
      </c>
      <c r="D460">
        <f>SUMIFS(Дивиденды!$C:$C,Дивиденды!$A:$A,A460,Дивиденды!$I:$I,C460)</f>
        <v>1.0106277428571429</v>
      </c>
      <c r="E460">
        <v>3</v>
      </c>
      <c r="F460">
        <f t="shared" si="80"/>
        <v>1.0106277428571429</v>
      </c>
      <c r="G460">
        <f t="shared" si="81"/>
        <v>7.1230000000000002</v>
      </c>
      <c r="H460">
        <f t="shared" si="82"/>
        <v>1</v>
      </c>
      <c r="I460">
        <f t="shared" si="78"/>
        <v>0.5</v>
      </c>
      <c r="J460">
        <f t="shared" si="83"/>
        <v>1</v>
      </c>
      <c r="K460">
        <f t="shared" si="87"/>
        <v>0.78088717059055313</v>
      </c>
      <c r="L460">
        <f t="shared" si="84"/>
        <v>1</v>
      </c>
      <c r="M460">
        <f t="shared" si="77"/>
        <v>0.4</v>
      </c>
      <c r="N460">
        <f t="shared" si="85"/>
        <v>0</v>
      </c>
      <c r="O460">
        <f t="shared" si="86"/>
        <v>0.1</v>
      </c>
      <c r="P460">
        <f>IFERROR(LN('Дивиденды по годам'!I460),"")</f>
        <v>27.388380449237236</v>
      </c>
      <c r="Q460">
        <f>IFERROR('Дивиденды по годам'!G460/'Дивиденды по годам'!I460, "")</f>
        <v>0.30088219220860335</v>
      </c>
      <c r="R460">
        <f>IFERROR(IF(AND('Дивиденды по годам'!N460&lt;&gt;"",'Дивиденды по годам'!U460&lt;&gt;"",'Дивиденды по годам'!U460&lt;&gt;0),'Дивиденды по годам'!N460/'Дивиденды по годам'!U460-1,""),"")</f>
        <v>0.46585039188360389</v>
      </c>
      <c r="S460">
        <f>IFERROR(IF(AND('Дивиденды по годам'!L460&lt;&gt;"",'Дивиденды по годам'!I460&lt;&gt;"",'Дивиденды по годам'!J460&lt;&gt;"",'Дивиденды по годам'!K460&lt;&gt;"",('Дивиденды по годам'!I460-'Дивиденды по годам'!J460-'Дивиденды по годам'!K460)&lt;&gt;0),'Дивиденды по годам'!L460/('Дивиденды по годам'!I460-'Дивиденды по годам'!J460-'Дивиденды по годам'!K460),""),"")</f>
        <v>-5.3141624730409704</v>
      </c>
      <c r="T460">
        <f>IFERROR(IF(AND('Дивиденды по годам'!Q460&lt;&gt;"",'Дивиденды по годам'!I460&lt;&gt;"",'Дивиденды по годам'!V460&lt;&gt;"",('Дивиденды по годам'!I460+'Дивиденды по годам'!V460)&lt;&gt;0),'Дивиденды по годам'!Q460/(('Дивиденды по годам'!I460+'Дивиденды по годам'!V460)/2),""),"")</f>
        <v>5.0245162114360004E-2</v>
      </c>
      <c r="U460">
        <f>IFERROR(IF(AND('Дивиденды по годам'!J460&lt;&gt;"",'Дивиденды по годам'!K460&lt;&gt;"",'Дивиденды по годам'!M460&lt;&gt;"",'Дивиденды по годам'!M460&lt;&gt;0),('Дивиденды по годам'!J460+'Дивиденды по годам'!K460)/'Дивиденды по годам'!M460,""),"")</f>
        <v>8.2084831056793668</v>
      </c>
      <c r="V460" cm="1">
        <f t="array" ref="V460">IFERROR(AVERAGE(_xlfn._xlws.FILTER(P$2:P$1073,($C$2:$C$1073=$C460)*($E$2:$E$1073=$E460)*(ROW(P$2:P$1073)&lt;&gt;ROW(P460))*(P$2:P$1073&lt;&gt;""))),"")</f>
        <v>26.254924464703937</v>
      </c>
      <c r="W460" cm="1">
        <f t="array" ref="W460">IFERROR(AVERAGE(_xlfn._xlws.FILTER(Q$2:Q$1073,($C$2:$C$1073=$C460)*($E$2:$E$1073=$E460)*(ROW(Q$2:Q$1073)&lt;&gt;ROW(Q460))*(Q$2:Q$1073&lt;&gt;""))),"")</f>
        <v>0.51837962539038962</v>
      </c>
      <c r="X460" cm="1">
        <f t="array" ref="X460">IFERROR(AVERAGE(_xlfn._xlws.FILTER(R$2:R$1073,($C$2:$C$1073=$C460)*($E$2:$E$1073=$E460)*(ROW(R$2:R$1073)&lt;&gt;ROW(R460))*(R$2:R$1073&lt;&gt;""))),"")</f>
        <v>0.2294752884455179</v>
      </c>
      <c r="Y460" cm="1">
        <f t="array" ref="Y460">IFERROR(AVERAGE(_xlfn._xlws.FILTER(S$2:S$1073,($C$2:$C$1073=$C460)*($E$2:$E$1073=$E460)*(ROW(S$2:S$1073)&lt;&gt;ROW(S460))*(S$2:S$1073&lt;&gt;""))),"")</f>
        <v>1.6651670962267946</v>
      </c>
      <c r="Z460" cm="1">
        <f t="array" ref="Z460">IFERROR(AVERAGE(_xlfn._xlws.FILTER(T$2:T$1073,($C$2:$C$1073=$C460)*($E$2:$E$1073=$E460)*(ROW(T$2:T$1073)&lt;&gt;ROW(T460))*(T$2:T$1073&lt;&gt;""))),"")</f>
        <v>2.027210155132135E-2</v>
      </c>
      <c r="AA460" cm="1">
        <f t="array" ref="AA460">IFERROR(AVERAGE(_xlfn._xlws.FILTER(U$2:U$1073,($C$2:$C$1073=$C460)*($E$2:$E$1073=$E460)*(ROW(U$2:U$1073)&lt;&gt;ROW(U460))*(U$2:U$1073&lt;&gt;""))),"")</f>
        <v>2.475210544245475</v>
      </c>
    </row>
    <row r="461" spans="1:27" x14ac:dyDescent="0.2">
      <c r="A461" s="7" t="s">
        <v>2237</v>
      </c>
      <c r="B461" t="str">
        <f t="shared" si="79"/>
        <v>RUAL IV кв. 2014</v>
      </c>
      <c r="C461">
        <v>2014</v>
      </c>
      <c r="D461">
        <f>SUMIFS(Дивиденды!$C:$C,Дивиденды!$A:$A,A461,Дивиденды!$I:$I,C461)</f>
        <v>0</v>
      </c>
      <c r="E461">
        <v>3</v>
      </c>
      <c r="F461">
        <f t="shared" si="80"/>
        <v>0</v>
      </c>
      <c r="G461">
        <f t="shared" si="81"/>
        <v>7.8559999999999999</v>
      </c>
      <c r="H461">
        <f t="shared" si="82"/>
        <v>0</v>
      </c>
      <c r="I461">
        <f t="shared" si="78"/>
        <v>0.5</v>
      </c>
      <c r="J461">
        <f t="shared" si="83"/>
        <v>0</v>
      </c>
      <c r="K461">
        <f t="shared" si="87"/>
        <v>1.0733185192796773</v>
      </c>
      <c r="L461">
        <f t="shared" si="84"/>
        <v>0</v>
      </c>
      <c r="M461">
        <f t="shared" si="77"/>
        <v>0.3</v>
      </c>
      <c r="N461">
        <f t="shared" si="85"/>
        <v>0</v>
      </c>
      <c r="O461">
        <f t="shared" si="86"/>
        <v>0.1</v>
      </c>
      <c r="P461">
        <f>IFERROR(LN('Дивиденды по годам'!I461),"")</f>
        <v>27.079164791086271</v>
      </c>
      <c r="Q461">
        <f>IFERROR('Дивиденды по годам'!G461/'Дивиденды по годам'!I461, "")</f>
        <v>0.26606986605640437</v>
      </c>
      <c r="R461" t="str">
        <f>IFERROR(IF(AND('Дивиденды по годам'!N461&lt;&gt;"",'Дивиденды по годам'!U461&lt;&gt;"",'Дивиденды по годам'!U461&lt;&gt;0),'Дивиденды по годам'!N461/'Дивиденды по годам'!U461-1,""),"")</f>
        <v/>
      </c>
      <c r="S461">
        <f>IFERROR(IF(AND('Дивиденды по годам'!L461&lt;&gt;"",'Дивиденды по годам'!I461&lt;&gt;"",'Дивиденды по годам'!J461&lt;&gt;"",'Дивиденды по годам'!K461&lt;&gt;"",('Дивиденды по годам'!I461-'Дивиденды по годам'!J461-'Дивиденды по годам'!K461)&lt;&gt;0),'Дивиденды по годам'!L461/('Дивиденды по годам'!I461-'Дивиденды по годам'!J461-'Дивиденды по годам'!K461),""),"")</f>
        <v>-3.4421099687080923</v>
      </c>
      <c r="T461" t="str">
        <f>IFERROR(IF(AND('Дивиденды по годам'!Q461&lt;&gt;"",'Дивиденды по годам'!I461&lt;&gt;"",'Дивиденды по годам'!V461&lt;&gt;"",('Дивиденды по годам'!I461+'Дивиденды по годам'!V461)&lt;&gt;0),'Дивиденды по годам'!Q461/(('Дивиденды по годам'!I461+'Дивиденды по годам'!V461)/2),""),"")</f>
        <v/>
      </c>
      <c r="U461">
        <f>IFERROR(IF(AND('Дивиденды по годам'!J461&lt;&gt;"",'Дивиденды по годам'!K461&lt;&gt;"",'Дивиденды по годам'!M461&lt;&gt;"",'Дивиденды по годам'!M461&lt;&gt;0),('Дивиденды по годам'!J461+'Дивиденды по годам'!K461)/'Дивиденды по годам'!M461,""),"")</f>
        <v>5.6414841305319632</v>
      </c>
      <c r="V461" cm="1">
        <f t="array" ref="V461">IFERROR(AVERAGE(_xlfn._xlws.FILTER(P$2:P$1073,($C$2:$C$1073=$C461)*($E$2:$E$1073=$E461)*(ROW(P$2:P$1073)&lt;&gt;ROW(P461))*(P$2:P$1073&lt;&gt;""))),"")</f>
        <v>26.211446291797504</v>
      </c>
      <c r="W461" cm="1">
        <f t="array" ref="W461">IFERROR(AVERAGE(_xlfn._xlws.FILTER(Q$2:Q$1073,($C$2:$C$1073=$C461)*($E$2:$E$1073=$E461)*(ROW(Q$2:Q$1073)&lt;&gt;ROW(Q461))*(Q$2:Q$1073&lt;&gt;""))),"")</f>
        <v>0.5437404624448261</v>
      </c>
      <c r="X461" cm="1">
        <f t="array" ref="X461">IFERROR(AVERAGE(_xlfn._xlws.FILTER(R$2:R$1073,($C$2:$C$1073=$C461)*($E$2:$E$1073=$E461)*(ROW(R$2:R$1073)&lt;&gt;ROW(R461))*(R$2:R$1073&lt;&gt;""))),"")</f>
        <v>7.749408943916497E-2</v>
      </c>
      <c r="Y461" cm="1">
        <f t="array" ref="Y461">IFERROR(AVERAGE(_xlfn._xlws.FILTER(S$2:S$1073,($C$2:$C$1073=$C461)*($E$2:$E$1073=$E461)*(ROW(S$2:S$1073)&lt;&gt;ROW(S461))*(S$2:S$1073&lt;&gt;""))),"")</f>
        <v>1.3246311283767944</v>
      </c>
      <c r="Z461" cm="1">
        <f t="array" ref="Z461">IFERROR(AVERAGE(_xlfn._xlws.FILTER(T$2:T$1073,($C$2:$C$1073=$C461)*($E$2:$E$1073=$E461)*(ROW(T$2:T$1073)&lt;&gt;ROW(T461))*(T$2:T$1073&lt;&gt;""))),"")</f>
        <v>-7.7541429399112044E-2</v>
      </c>
      <c r="AA461" cm="1">
        <f t="array" ref="AA461">IFERROR(AVERAGE(_xlfn._xlws.FILTER(U$2:U$1073,($C$2:$C$1073=$C461)*($E$2:$E$1073=$E461)*(ROW(U$2:U$1073)&lt;&gt;ROW(U461))*(U$2:U$1073&lt;&gt;""))),"")</f>
        <v>1.1807027616228445</v>
      </c>
    </row>
    <row r="462" spans="1:27" x14ac:dyDescent="0.2">
      <c r="A462" s="7" t="s">
        <v>2237</v>
      </c>
      <c r="B462" t="str">
        <f t="shared" si="79"/>
        <v>RUAL IV кв. 2013</v>
      </c>
      <c r="C462">
        <v>2013</v>
      </c>
      <c r="D462">
        <f>SUMIFS(Дивиденды!$C:$C,Дивиденды!$A:$A,A462,Дивиденды!$I:$I,C462)</f>
        <v>0</v>
      </c>
      <c r="E462">
        <v>3</v>
      </c>
      <c r="F462">
        <f t="shared" si="80"/>
        <v>0</v>
      </c>
      <c r="G462">
        <f t="shared" si="81"/>
        <v>1.2260000000000002</v>
      </c>
      <c r="H462">
        <f t="shared" si="82"/>
        <v>0</v>
      </c>
      <c r="I462">
        <f t="shared" si="78"/>
        <v>0.4</v>
      </c>
      <c r="J462">
        <f t="shared" si="83"/>
        <v>0</v>
      </c>
      <c r="K462">
        <f t="shared" si="87"/>
        <v>-0.20386411043374064</v>
      </c>
      <c r="L462">
        <f t="shared" si="84"/>
        <v>0</v>
      </c>
      <c r="M462">
        <f t="shared" si="77"/>
        <v>0.2</v>
      </c>
      <c r="N462">
        <f t="shared" si="85"/>
        <v>0</v>
      </c>
      <c r="O462">
        <f t="shared" si="86"/>
        <v>0.4</v>
      </c>
      <c r="P462" t="str">
        <f>IFERROR(LN('Дивиденды по годам'!I462),"")</f>
        <v/>
      </c>
      <c r="Q462" t="str">
        <f>IFERROR('Дивиденды по годам'!G462/'Дивиденды по годам'!I462, "")</f>
        <v/>
      </c>
      <c r="R462" t="str">
        <f>IFERROR(IF(AND('Дивиденды по годам'!N462&lt;&gt;"",'Дивиденды по годам'!U462&lt;&gt;"",'Дивиденды по годам'!U462&lt;&gt;0),'Дивиденды по годам'!N462/'Дивиденды по годам'!U462-1,""),"")</f>
        <v/>
      </c>
      <c r="S462" t="str">
        <f>IFERROR(IF(AND('Дивиденды по годам'!L462&lt;&gt;"",'Дивиденды по годам'!I462&lt;&gt;"",'Дивиденды по годам'!J462&lt;&gt;"",'Дивиденды по годам'!K462&lt;&gt;"",('Дивиденды по годам'!I462-'Дивиденды по годам'!J462-'Дивиденды по годам'!K462)&lt;&gt;0),'Дивиденды по годам'!L462/('Дивиденды по годам'!I462-'Дивиденды по годам'!J462-'Дивиденды по годам'!K462),""),"")</f>
        <v/>
      </c>
      <c r="T462" t="str">
        <f>IFERROR(IF(AND('Дивиденды по годам'!Q462&lt;&gt;"",'Дивиденды по годам'!I462&lt;&gt;"",'Дивиденды по годам'!V462&lt;&gt;"",('Дивиденды по годам'!I462+'Дивиденды по годам'!V462)&lt;&gt;0),'Дивиденды по годам'!Q462/(('Дивиденды по годам'!I462+'Дивиденды по годам'!V462)/2),""),"")</f>
        <v/>
      </c>
      <c r="U462" t="str">
        <f>IFERROR(IF(AND('Дивиденды по годам'!J462&lt;&gt;"",'Дивиденды по годам'!K462&lt;&gt;"",'Дивиденды по годам'!M462&lt;&gt;"",'Дивиденды по годам'!M462&lt;&gt;0),('Дивиденды по годам'!J462+'Дивиденды по годам'!K462)/'Дивиденды по годам'!M462,""),"")</f>
        <v/>
      </c>
      <c r="V462" cm="1">
        <f t="array" ref="V462">IFERROR(AVERAGE(_xlfn._xlws.FILTER(P$2:P$1073,($C$2:$C$1073=$C462)*($E$2:$E$1073=$E462)*(ROW(P$2:P$1073)&lt;&gt;ROW(P462))*(P$2:P$1073&lt;&gt;""))),"")</f>
        <v>26.438676671932889</v>
      </c>
      <c r="W462" cm="1">
        <f t="array" ref="W462">IFERROR(AVERAGE(_xlfn._xlws.FILTER(Q$2:Q$1073,($C$2:$C$1073=$C462)*($E$2:$E$1073=$E462)*(ROW(Q$2:Q$1073)&lt;&gt;ROW(Q462))*(Q$2:Q$1073&lt;&gt;""))),"")</f>
        <v>0.5772407109117077</v>
      </c>
      <c r="X462" cm="1">
        <f t="array" ref="X462">IFERROR(AVERAGE(_xlfn._xlws.FILTER(R$2:R$1073,($C$2:$C$1073=$C462)*($E$2:$E$1073=$E462)*(ROW(R$2:R$1073)&lt;&gt;ROW(R462))*(R$2:R$1073&lt;&gt;""))),"")</f>
        <v>-4.5593165048120117E-2</v>
      </c>
      <c r="Y462" cm="1">
        <f t="array" ref="Y462">IFERROR(AVERAGE(_xlfn._xlws.FILTER(S$2:S$1073,($C$2:$C$1073=$C462)*($E$2:$E$1073=$E462)*(ROW(S$2:S$1073)&lt;&gt;ROW(S462))*(S$2:S$1073&lt;&gt;""))),"")</f>
        <v>1.1343753445927802</v>
      </c>
      <c r="Z462" cm="1">
        <f t="array" ref="Z462">IFERROR(AVERAGE(_xlfn._xlws.FILTER(T$2:T$1073,($C$2:$C$1073=$C462)*($E$2:$E$1073=$E462)*(ROW(T$2:T$1073)&lt;&gt;ROW(T462))*(T$2:T$1073&lt;&gt;""))),"")</f>
        <v>-3.1112712123680317E-2</v>
      </c>
      <c r="AA462" cm="1">
        <f t="array" ref="AA462">IFERROR(AVERAGE(_xlfn._xlws.FILTER(U$2:U$1073,($C$2:$C$1073=$C462)*($E$2:$E$1073=$E462)*(ROW(U$2:U$1073)&lt;&gt;ROW(U462))*(U$2:U$1073&lt;&gt;""))),"")</f>
        <v>3.1129341153479797</v>
      </c>
    </row>
    <row r="463" spans="1:27" x14ac:dyDescent="0.2">
      <c r="A463" s="7" t="s">
        <v>2237</v>
      </c>
      <c r="B463" t="str">
        <f t="shared" si="79"/>
        <v>RUAL IV кв. 2012</v>
      </c>
      <c r="C463">
        <v>2012</v>
      </c>
      <c r="D463">
        <f>SUMIFS(Дивиденды!$C:$C,Дивиденды!$A:$A,A463,Дивиденды!$I:$I,C463)</f>
        <v>0</v>
      </c>
      <c r="E463">
        <v>3</v>
      </c>
      <c r="F463">
        <f t="shared" si="80"/>
        <v>0</v>
      </c>
      <c r="G463">
        <f t="shared" si="81"/>
        <v>2.1309999999999998</v>
      </c>
      <c r="H463">
        <f t="shared" si="82"/>
        <v>0</v>
      </c>
      <c r="I463">
        <f t="shared" si="78"/>
        <v>0.6</v>
      </c>
      <c r="J463">
        <f t="shared" si="83"/>
        <v>0</v>
      </c>
      <c r="K463">
        <f t="shared" si="87"/>
        <v>-0.18400043619769682</v>
      </c>
      <c r="L463">
        <f t="shared" si="84"/>
        <v>0</v>
      </c>
      <c r="M463">
        <f t="shared" si="77"/>
        <v>0.3</v>
      </c>
      <c r="N463">
        <f t="shared" si="85"/>
        <v>0</v>
      </c>
      <c r="O463">
        <f t="shared" si="86"/>
        <v>0.6</v>
      </c>
      <c r="P463" t="str">
        <f>IFERROR(LN('Дивиденды по годам'!I463),"")</f>
        <v/>
      </c>
      <c r="Q463" t="str">
        <f>IFERROR('Дивиденды по годам'!G463/'Дивиденды по годам'!I463, "")</f>
        <v/>
      </c>
      <c r="R463" t="str">
        <f>IFERROR(IF(AND('Дивиденды по годам'!N463&lt;&gt;"",'Дивиденды по годам'!U463&lt;&gt;"",'Дивиденды по годам'!U463&lt;&gt;0),'Дивиденды по годам'!N463/'Дивиденды по годам'!U463-1,""),"")</f>
        <v/>
      </c>
      <c r="S463" t="str">
        <f>IFERROR(IF(AND('Дивиденды по годам'!L463&lt;&gt;"",'Дивиденды по годам'!I463&lt;&gt;"",'Дивиденды по годам'!J463&lt;&gt;"",'Дивиденды по годам'!K463&lt;&gt;"",('Дивиденды по годам'!I463-'Дивиденды по годам'!J463-'Дивиденды по годам'!K463)&lt;&gt;0),'Дивиденды по годам'!L463/('Дивиденды по годам'!I463-'Дивиденды по годам'!J463-'Дивиденды по годам'!K463),""),"")</f>
        <v/>
      </c>
      <c r="T463" t="str">
        <f>IFERROR(IF(AND('Дивиденды по годам'!Q463&lt;&gt;"",'Дивиденды по годам'!I463&lt;&gt;"",'Дивиденды по годам'!V463&lt;&gt;"",('Дивиденды по годам'!I463+'Дивиденды по годам'!V463)&lt;&gt;0),'Дивиденды по годам'!Q463/(('Дивиденды по годам'!I463+'Дивиденды по годам'!V463)/2),""),"")</f>
        <v/>
      </c>
      <c r="U463" t="str">
        <f>IFERROR(IF(AND('Дивиденды по годам'!J463&lt;&gt;"",'Дивиденды по годам'!K463&lt;&gt;"",'Дивиденды по годам'!M463&lt;&gt;"",'Дивиденды по годам'!M463&lt;&gt;0),('Дивиденды по годам'!J463+'Дивиденды по годам'!K463)/'Дивиденды по годам'!M463,""),"")</f>
        <v/>
      </c>
      <c r="V463" cm="1">
        <f t="array" ref="V463">IFERROR(AVERAGE(_xlfn._xlws.FILTER(P$2:P$1073,($C$2:$C$1073=$C463)*($E$2:$E$1073=$E463)*(ROW(P$2:P$1073)&lt;&gt;ROW(P463))*(P$2:P$1073&lt;&gt;""))),"")</f>
        <v>26.7103297110745</v>
      </c>
      <c r="W463" cm="1">
        <f t="array" ref="W463">IFERROR(AVERAGE(_xlfn._xlws.FILTER(Q$2:Q$1073,($C$2:$C$1073=$C463)*($E$2:$E$1073=$E463)*(ROW(Q$2:Q$1073)&lt;&gt;ROW(Q463))*(Q$2:Q$1073&lt;&gt;""))),"")</f>
        <v>0.50230860939381883</v>
      </c>
      <c r="X463" cm="1">
        <f t="array" ref="X463">IFERROR(AVERAGE(_xlfn._xlws.FILTER(R$2:R$1073,($C$2:$C$1073=$C463)*($E$2:$E$1073=$E463)*(ROW(R$2:R$1073)&lt;&gt;ROW(R463))*(R$2:R$1073&lt;&gt;""))),"")</f>
        <v>-1.7108975872326404E-3</v>
      </c>
      <c r="Y463" t="str" cm="1">
        <f t="array" ref="Y463">IFERROR(AVERAGE(_xlfn._xlws.FILTER(S$2:S$1073,($C$2:$C$1073=$C463)*($E$2:$E$1073=$E463)*(ROW(S$2:S$1073)&lt;&gt;ROW(S463))*(S$2:S$1073&lt;&gt;""))),"")</f>
        <v/>
      </c>
      <c r="Z463" cm="1">
        <f t="array" ref="Z463">IFERROR(AVERAGE(_xlfn._xlws.FILTER(T$2:T$1073,($C$2:$C$1073=$C463)*($E$2:$E$1073=$E463)*(ROW(T$2:T$1073)&lt;&gt;ROW(T463))*(T$2:T$1073&lt;&gt;""))),"")</f>
        <v>4.9772862648443709E-2</v>
      </c>
      <c r="AA463" cm="1">
        <f t="array" ref="AA463">IFERROR(AVERAGE(_xlfn._xlws.FILTER(U$2:U$1073,($C$2:$C$1073=$C463)*($E$2:$E$1073=$E463)*(ROW(U$2:U$1073)&lt;&gt;ROW(U463))*(U$2:U$1073&lt;&gt;""))),"")</f>
        <v>1.370836897515491</v>
      </c>
    </row>
    <row r="464" spans="1:27" x14ac:dyDescent="0.2">
      <c r="A464" s="7" t="s">
        <v>2237</v>
      </c>
      <c r="B464" t="str">
        <f t="shared" si="79"/>
        <v>RUAL IV кв. 2011</v>
      </c>
      <c r="C464">
        <v>2011</v>
      </c>
      <c r="D464">
        <f>SUMIFS(Дивиденды!$C:$C,Дивиденды!$A:$A,A464,Дивиденды!$I:$I,C464)</f>
        <v>0</v>
      </c>
      <c r="E464">
        <v>3</v>
      </c>
      <c r="F464">
        <f t="shared" si="80"/>
        <v>0</v>
      </c>
      <c r="G464">
        <f t="shared" si="81"/>
        <v>3.7659999999999996</v>
      </c>
      <c r="H464">
        <f t="shared" si="82"/>
        <v>0</v>
      </c>
      <c r="I464">
        <f t="shared" si="78"/>
        <v>0.8</v>
      </c>
      <c r="J464">
        <f t="shared" si="83"/>
        <v>0</v>
      </c>
      <c r="K464">
        <f t="shared" si="87"/>
        <v>0.78130568048052607</v>
      </c>
      <c r="L464">
        <f t="shared" si="84"/>
        <v>0</v>
      </c>
      <c r="M464">
        <f t="shared" si="77"/>
        <v>0.6</v>
      </c>
      <c r="N464">
        <f t="shared" si="85"/>
        <v>0</v>
      </c>
      <c r="O464">
        <f t="shared" si="86"/>
        <v>0.3</v>
      </c>
      <c r="P464" t="str">
        <f>IFERROR(LN('Дивиденды по годам'!I464),"")</f>
        <v/>
      </c>
      <c r="Q464" t="str">
        <f>IFERROR('Дивиденды по годам'!G464/'Дивиденды по годам'!I464, "")</f>
        <v/>
      </c>
      <c r="R464" t="str">
        <f>IFERROR(IF(AND('Дивиденды по годам'!N464&lt;&gt;"",'Дивиденды по годам'!U464&lt;&gt;"",'Дивиденды по годам'!U464&lt;&gt;0),'Дивиденды по годам'!N464/'Дивиденды по годам'!U464-1,""),"")</f>
        <v/>
      </c>
      <c r="S464" t="str">
        <f>IFERROR(IF(AND('Дивиденды по годам'!L464&lt;&gt;"",'Дивиденды по годам'!I464&lt;&gt;"",'Дивиденды по годам'!J464&lt;&gt;"",'Дивиденды по годам'!K464&lt;&gt;"",('Дивиденды по годам'!I464-'Дивиденды по годам'!J464-'Дивиденды по годам'!K464)&lt;&gt;0),'Дивиденды по годам'!L464/('Дивиденды по годам'!I464-'Дивиденды по годам'!J464-'Дивиденды по годам'!K464),""),"")</f>
        <v/>
      </c>
      <c r="T464" t="str">
        <f>IFERROR(IF(AND('Дивиденды по годам'!Q464&lt;&gt;"",'Дивиденды по годам'!I464&lt;&gt;"",'Дивиденды по годам'!V464&lt;&gt;"",('Дивиденды по годам'!I464+'Дивиденды по годам'!V464)&lt;&gt;0),'Дивиденды по годам'!Q464/(('Дивиденды по годам'!I464+'Дивиденды по годам'!V464)/2),""),"")</f>
        <v/>
      </c>
      <c r="U464" t="str">
        <f>IFERROR(IF(AND('Дивиденды по годам'!J464&lt;&gt;"",'Дивиденды по годам'!K464&lt;&gt;"",'Дивиденды по годам'!M464&lt;&gt;"",'Дивиденды по годам'!M464&lt;&gt;0),('Дивиденды по годам'!J464+'Дивиденды по годам'!K464)/'Дивиденды по годам'!M464,""),"")</f>
        <v/>
      </c>
      <c r="V464" cm="1">
        <f t="array" ref="V464">IFERROR(AVERAGE(_xlfn._xlws.FILTER(P$2:P$1073,($C$2:$C$1073=$C464)*($E$2:$E$1073=$E464)*(ROW(P$2:P$1073)&lt;&gt;ROW(P464))*(P$2:P$1073&lt;&gt;""))),"")</f>
        <v>26.435590628703217</v>
      </c>
      <c r="W464" cm="1">
        <f t="array" ref="W464">IFERROR(AVERAGE(_xlfn._xlws.FILTER(Q$2:Q$1073,($C$2:$C$1073=$C464)*($E$2:$E$1073=$E464)*(ROW(Q$2:Q$1073)&lt;&gt;ROW(Q464))*(Q$2:Q$1073&lt;&gt;""))),"")</f>
        <v>0.56952165046998604</v>
      </c>
      <c r="X464" cm="1">
        <f t="array" ref="X464">IFERROR(AVERAGE(_xlfn._xlws.FILTER(R$2:R$1073,($C$2:$C$1073=$C464)*($E$2:$E$1073=$E464)*(ROW(R$2:R$1073)&lt;&gt;ROW(R464))*(R$2:R$1073&lt;&gt;""))),"")</f>
        <v>0.21463216748681591</v>
      </c>
      <c r="Y464" t="str" cm="1">
        <f t="array" ref="Y464">IFERROR(AVERAGE(_xlfn._xlws.FILTER(S$2:S$1073,($C$2:$C$1073=$C464)*($E$2:$E$1073=$E464)*(ROW(S$2:S$1073)&lt;&gt;ROW(S464))*(S$2:S$1073&lt;&gt;""))),"")</f>
        <v/>
      </c>
      <c r="Z464" cm="1">
        <f t="array" ref="Z464">IFERROR(AVERAGE(_xlfn._xlws.FILTER(T$2:T$1073,($C$2:$C$1073=$C464)*($E$2:$E$1073=$E464)*(ROW(T$2:T$1073)&lt;&gt;ROW(T464))*(T$2:T$1073&lt;&gt;""))),"")</f>
        <v>0.11505618365484008</v>
      </c>
      <c r="AA464" cm="1">
        <f t="array" ref="AA464">IFERROR(AVERAGE(_xlfn._xlws.FILTER(U$2:U$1073,($C$2:$C$1073=$C464)*($E$2:$E$1073=$E464)*(ROW(U$2:U$1073)&lt;&gt;ROW(U464))*(U$2:U$1073&lt;&gt;""))),"")</f>
        <v>1.1128563967031604</v>
      </c>
    </row>
    <row r="465" spans="1:27" x14ac:dyDescent="0.2">
      <c r="A465" s="7" t="s">
        <v>2237</v>
      </c>
      <c r="B465" t="str">
        <f t="shared" si="79"/>
        <v>RUAL IV кв. 2010</v>
      </c>
      <c r="C465">
        <v>2010</v>
      </c>
      <c r="D465">
        <f>SUMIFS(Дивиденды!$C:$C,Дивиденды!$A:$A,A465,Дивиденды!$I:$I,C465)</f>
        <v>0</v>
      </c>
      <c r="E465">
        <v>3</v>
      </c>
      <c r="F465">
        <f t="shared" si="80"/>
        <v>0</v>
      </c>
      <c r="G465">
        <f t="shared" si="81"/>
        <v>3.0789999999999997</v>
      </c>
      <c r="H465">
        <f t="shared" si="82"/>
        <v>0</v>
      </c>
      <c r="I465">
        <f t="shared" si="78"/>
        <v>0.7</v>
      </c>
      <c r="J465" t="str">
        <f t="shared" si="83"/>
        <v/>
      </c>
      <c r="K465" t="str">
        <f t="shared" si="87"/>
        <v/>
      </c>
      <c r="L465" t="str">
        <f t="shared" si="84"/>
        <v/>
      </c>
      <c r="M465" t="str">
        <f t="shared" si="77"/>
        <v/>
      </c>
      <c r="N465" t="str">
        <f t="shared" si="85"/>
        <v/>
      </c>
      <c r="O465" t="str">
        <f t="shared" si="86"/>
        <v/>
      </c>
      <c r="P465" t="str">
        <f>IFERROR(LN('Дивиденды по годам'!I465),"")</f>
        <v/>
      </c>
      <c r="Q465" t="str">
        <f>IFERROR('Дивиденды по годам'!G465/'Дивиденды по годам'!I465, "")</f>
        <v/>
      </c>
      <c r="R465" t="str">
        <f>IFERROR(IF(AND('Дивиденды по годам'!N465&lt;&gt;"",'Дивиденды по годам'!U465&lt;&gt;"",'Дивиденды по годам'!U465&lt;&gt;0),'Дивиденды по годам'!N465/'Дивиденды по годам'!U465-1,""),"")</f>
        <v/>
      </c>
      <c r="S465" t="str">
        <f>IFERROR(IF(AND('Дивиденды по годам'!L465&lt;&gt;"",'Дивиденды по годам'!I465&lt;&gt;"",'Дивиденды по годам'!J465&lt;&gt;"",'Дивиденды по годам'!K465&lt;&gt;"",('Дивиденды по годам'!I465-'Дивиденды по годам'!J465-'Дивиденды по годам'!K465)&lt;&gt;0),'Дивиденды по годам'!L465/('Дивиденды по годам'!I465-'Дивиденды по годам'!J465-'Дивиденды по годам'!K465),""),"")</f>
        <v/>
      </c>
      <c r="T465" t="str">
        <f>IFERROR(IF(AND('Дивиденды по годам'!Q465&lt;&gt;"",'Дивиденды по годам'!I465&lt;&gt;"",'Дивиденды по годам'!V465&lt;&gt;"",('Дивиденды по годам'!I465+'Дивиденды по годам'!V465)&lt;&gt;0),'Дивиденды по годам'!Q465/(('Дивиденды по годам'!I465+'Дивиденды по годам'!V465)/2),""),"")</f>
        <v/>
      </c>
      <c r="U465" t="str">
        <f>IFERROR(IF(AND('Дивиденды по годам'!J465&lt;&gt;"",'Дивиденды по годам'!K465&lt;&gt;"",'Дивиденды по годам'!M465&lt;&gt;"",'Дивиденды по годам'!M465&lt;&gt;0),('Дивиденды по годам'!J465+'Дивиденды по годам'!K465)/'Дивиденды по годам'!M465,""),"")</f>
        <v/>
      </c>
      <c r="V465" cm="1">
        <f t="array" ref="V465">IFERROR(AVERAGE(_xlfn._xlws.FILTER(P$2:P$1073,($C$2:$C$1073=$C465)*($E$2:$E$1073=$E465)*(ROW(P$2:P$1073)&lt;&gt;ROW(P465))*(P$2:P$1073&lt;&gt;""))),"")</f>
        <v>26.127864794831805</v>
      </c>
      <c r="W465" cm="1">
        <f t="array" ref="W465">IFERROR(AVERAGE(_xlfn._xlws.FILTER(Q$2:Q$1073,($C$2:$C$1073=$C465)*($E$2:$E$1073=$E465)*(ROW(Q$2:Q$1073)&lt;&gt;ROW(Q465))*(Q$2:Q$1073&lt;&gt;""))),"")</f>
        <v>0.75539390451698762</v>
      </c>
      <c r="X465" t="str" cm="1">
        <f t="array" ref="X465">IFERROR(AVERAGE(_xlfn._xlws.FILTER(R$2:R$1073,($C$2:$C$1073=$C465)*($E$2:$E$1073=$E465)*(ROW(R$2:R$1073)&lt;&gt;ROW(R465))*(R$2:R$1073&lt;&gt;""))),"")</f>
        <v/>
      </c>
      <c r="Y465" t="str" cm="1">
        <f t="array" ref="Y465">IFERROR(AVERAGE(_xlfn._xlws.FILTER(S$2:S$1073,($C$2:$C$1073=$C465)*($E$2:$E$1073=$E465)*(ROW(S$2:S$1073)&lt;&gt;ROW(S465))*(S$2:S$1073&lt;&gt;""))),"")</f>
        <v/>
      </c>
      <c r="Z465" t="str" cm="1">
        <f t="array" ref="Z465">IFERROR(AVERAGE(_xlfn._xlws.FILTER(T$2:T$1073,($C$2:$C$1073=$C465)*($E$2:$E$1073=$E465)*(ROW(T$2:T$1073)&lt;&gt;ROW(T465))*(T$2:T$1073&lt;&gt;""))),"")</f>
        <v/>
      </c>
      <c r="AA465" cm="1">
        <f t="array" ref="AA465">IFERROR(AVERAGE(_xlfn._xlws.FILTER(U$2:U$1073,($C$2:$C$1073=$C465)*($E$2:$E$1073=$E465)*(ROW(U$2:U$1073)&lt;&gt;ROW(U465))*(U$2:U$1073&lt;&gt;""))),"")</f>
        <v>1.4017600691070078</v>
      </c>
    </row>
    <row r="466" spans="1:27" x14ac:dyDescent="0.2">
      <c r="A466" s="7" t="s">
        <v>2240</v>
      </c>
      <c r="B466" t="str">
        <f t="shared" si="79"/>
        <v>SELG IV кв. 2025</v>
      </c>
      <c r="C466">
        <v>2025</v>
      </c>
      <c r="D466">
        <f>SUMIFS(Дивиденды!$C:$C,Дивиденды!$A:$A,A466,Дивиденды!$I:$I,C466)</f>
        <v>0</v>
      </c>
      <c r="E466">
        <v>3</v>
      </c>
      <c r="F466">
        <f t="shared" si="80"/>
        <v>0</v>
      </c>
      <c r="G466">
        <f t="shared" si="81"/>
        <v>10.684999999999999</v>
      </c>
      <c r="H466">
        <f t="shared" si="82"/>
        <v>0</v>
      </c>
      <c r="I466">
        <f t="shared" si="78"/>
        <v>0.1</v>
      </c>
      <c r="J466">
        <f t="shared" si="83"/>
        <v>-1</v>
      </c>
      <c r="K466">
        <f t="shared" si="87"/>
        <v>-0.34741116251599569</v>
      </c>
      <c r="L466">
        <f t="shared" si="84"/>
        <v>0</v>
      </c>
      <c r="M466">
        <f t="shared" si="77"/>
        <v>0</v>
      </c>
      <c r="N466">
        <f t="shared" si="85"/>
        <v>1</v>
      </c>
      <c r="O466">
        <f t="shared" si="86"/>
        <v>0.4</v>
      </c>
      <c r="P466" t="str">
        <f>IFERROR(LN('Дивиденды по годам'!I466),"")</f>
        <v/>
      </c>
      <c r="Q466" t="str">
        <f>IFERROR('Дивиденды по годам'!G466/'Дивиденды по годам'!I466, "")</f>
        <v/>
      </c>
      <c r="R466" t="str">
        <f>IFERROR(IF(AND('Дивиденды по годам'!N466&lt;&gt;"",'Дивиденды по годам'!U466&lt;&gt;"",'Дивиденды по годам'!U466&lt;&gt;0),'Дивиденды по годам'!N466/'Дивиденды по годам'!U466-1,""),"")</f>
        <v/>
      </c>
      <c r="S466" t="str">
        <f>IFERROR(IF(AND('Дивиденды по годам'!L466&lt;&gt;"",'Дивиденды по годам'!I466&lt;&gt;"",'Дивиденды по годам'!J466&lt;&gt;"",'Дивиденды по годам'!K466&lt;&gt;"",('Дивиденды по годам'!I466-'Дивиденды по годам'!J466-'Дивиденды по годам'!K466)&lt;&gt;0),'Дивиденды по годам'!L466/('Дивиденды по годам'!I466-'Дивиденды по годам'!J466-'Дивиденды по годам'!K466),""),"")</f>
        <v/>
      </c>
      <c r="T466" t="str">
        <f>IFERROR(IF(AND('Дивиденды по годам'!Q466&lt;&gt;"",'Дивиденды по годам'!I466&lt;&gt;"",'Дивиденды по годам'!V466&lt;&gt;"",('Дивиденды по годам'!I466+'Дивиденды по годам'!V466)&lt;&gt;0),'Дивиденды по годам'!Q466/(('Дивиденды по годам'!I466+'Дивиденды по годам'!V466)/2),""),"")</f>
        <v/>
      </c>
      <c r="U466" t="str">
        <f>IFERROR(IF(AND('Дивиденды по годам'!J466&lt;&gt;"",'Дивиденды по годам'!K466&lt;&gt;"",'Дивиденды по годам'!M466&lt;&gt;"",'Дивиденды по годам'!M466&lt;&gt;0),('Дивиденды по годам'!J466+'Дивиденды по годам'!K466)/'Дивиденды по годам'!M466,""),"")</f>
        <v/>
      </c>
      <c r="V466" cm="1">
        <f t="array" ref="V466">IFERROR(AVERAGE(_xlfn._xlws.FILTER(P$2:P$1073,($C$2:$C$1073=$C466)*($E$2:$E$1073=$E466)*(ROW(P$2:P$1073)&lt;&gt;ROW(P466))*(P$2:P$1073&lt;&gt;""))),"")</f>
        <v>27.526016888115407</v>
      </c>
      <c r="W466" cm="1">
        <f t="array" ref="W466">IFERROR(AVERAGE(_xlfn._xlws.FILTER(Q$2:Q$1073,($C$2:$C$1073=$C466)*($E$2:$E$1073=$E466)*(ROW(Q$2:Q$1073)&lt;&gt;ROW(Q466))*(Q$2:Q$1073&lt;&gt;""))),"")</f>
        <v>0.52913138653861203</v>
      </c>
      <c r="X466" cm="1">
        <f t="array" ref="X466">IFERROR(AVERAGE(_xlfn._xlws.FILTER(R$2:R$1073,($C$2:$C$1073=$C466)*($E$2:$E$1073=$E466)*(ROW(R$2:R$1073)&lt;&gt;ROW(R466))*(R$2:R$1073&lt;&gt;""))),"")</f>
        <v>-9.3696736214243112E-2</v>
      </c>
      <c r="Y466" cm="1">
        <f t="array" ref="Y466">IFERROR(AVERAGE(_xlfn._xlws.FILTER(S$2:S$1073,($C$2:$C$1073=$C466)*($E$2:$E$1073=$E466)*(ROW(S$2:S$1073)&lt;&gt;ROW(S466))*(S$2:S$1073&lt;&gt;""))),"")</f>
        <v>0.98692377594794511</v>
      </c>
      <c r="Z466" cm="1">
        <f t="array" ref="Z466">IFERROR(AVERAGE(_xlfn._xlws.FILTER(T$2:T$1073,($C$2:$C$1073=$C466)*($E$2:$E$1073=$E466)*(ROW(T$2:T$1073)&lt;&gt;ROW(T466))*(T$2:T$1073&lt;&gt;""))),"")</f>
        <v>1.506473654039886E-2</v>
      </c>
      <c r="AA466" cm="1">
        <f t="array" ref="AA466">IFERROR(AVERAGE(_xlfn._xlws.FILTER(U$2:U$1073,($C$2:$C$1073=$C466)*($E$2:$E$1073=$E466)*(ROW(U$2:U$1073)&lt;&gt;ROW(U466))*(U$2:U$1073&lt;&gt;""))),"")</f>
        <v>3.186882781387423</v>
      </c>
    </row>
    <row r="467" spans="1:27" x14ac:dyDescent="0.2">
      <c r="A467" s="7" t="s">
        <v>2240</v>
      </c>
      <c r="B467" t="str">
        <f t="shared" si="79"/>
        <v>SELG IV кв. 2024</v>
      </c>
      <c r="C467">
        <v>2024</v>
      </c>
      <c r="D467">
        <f>SUMIFS(Дивиденды!$C:$C,Дивиденды!$A:$A,A467,Дивиденды!$I:$I,C467)</f>
        <v>4</v>
      </c>
      <c r="E467">
        <v>3</v>
      </c>
      <c r="F467">
        <f t="shared" si="80"/>
        <v>4</v>
      </c>
      <c r="G467">
        <f t="shared" si="81"/>
        <v>32.658000000000001</v>
      </c>
      <c r="H467">
        <f t="shared" si="82"/>
        <v>1</v>
      </c>
      <c r="I467">
        <f t="shared" si="78"/>
        <v>0.4</v>
      </c>
      <c r="J467">
        <f t="shared" si="83"/>
        <v>0</v>
      </c>
      <c r="K467">
        <f t="shared" si="87"/>
        <v>-0.20461447297899457</v>
      </c>
      <c r="L467">
        <f t="shared" si="84"/>
        <v>0</v>
      </c>
      <c r="M467">
        <f t="shared" si="77"/>
        <v>0.1</v>
      </c>
      <c r="N467">
        <f t="shared" si="85"/>
        <v>0</v>
      </c>
      <c r="O467">
        <f t="shared" si="86"/>
        <v>0.5</v>
      </c>
      <c r="P467">
        <f>IFERROR(LN('Дивиденды по годам'!I467),"")</f>
        <v>25.911606326596328</v>
      </c>
      <c r="Q467">
        <f>IFERROR('Дивиденды по годам'!G467/'Дивиденды по годам'!I467, "")</f>
        <v>0.52651252041555618</v>
      </c>
      <c r="R467">
        <f>IFERROR(IF(AND('Дивиденды по годам'!N467&lt;&gt;"",'Дивиденды по годам'!U467&lt;&gt;"",'Дивиденды по годам'!U467&lt;&gt;0),'Дивиденды по годам'!N467/'Дивиденды по годам'!U467-1,""),"")</f>
        <v>5.9222885417981264E-2</v>
      </c>
      <c r="S467">
        <f>IFERROR(IF(AND('Дивиденды по годам'!L467&lt;&gt;"",'Дивиденды по годам'!I467&lt;&gt;"",'Дивиденды по годам'!J467&lt;&gt;"",'Дивиденды по годам'!K467&lt;&gt;"",('Дивиденды по годам'!I467-'Дивиденды по годам'!J467-'Дивиденды по годам'!K467)&lt;&gt;0),'Дивиденды по годам'!L467/('Дивиденды по годам'!I467-'Дивиденды по годам'!J467-'Дивиденды по годам'!K467),""),"")</f>
        <v>-0.90195268225778169</v>
      </c>
      <c r="T467">
        <f>IFERROR(IF(AND('Дивиденды по годам'!Q467&lt;&gt;"",'Дивиденды по годам'!I467&lt;&gt;"",'Дивиденды по годам'!V467&lt;&gt;"",('Дивиденды по годам'!I467+'Дивиденды по годам'!V467)&lt;&gt;0),'Дивиденды по годам'!Q467/(('Дивиденды по годам'!I467+'Дивиденды по годам'!V467)/2),""),"")</f>
        <v>-8.1656667803458843E-2</v>
      </c>
      <c r="U467">
        <f>IFERROR(IF(AND('Дивиденды по годам'!J467&lt;&gt;"",'Дивиденды по годам'!K467&lt;&gt;"",'Дивиденды по годам'!M467&lt;&gt;"",'Дивиденды по годам'!M467&lt;&gt;0),('Дивиденды по годам'!J467+'Дивиденды по годам'!K467)/'Дивиденды по годам'!M467,""),"")</f>
        <v>7.294231945410667</v>
      </c>
      <c r="V467" cm="1">
        <f t="array" ref="V467">IFERROR(AVERAGE(_xlfn._xlws.FILTER(P$2:P$1073,($C$2:$C$1073=$C467)*($E$2:$E$1073=$E467)*(ROW(P$2:P$1073)&lt;&gt;ROW(P467))*(P$2:P$1073&lt;&gt;""))),"")</f>
        <v>27.419998452462625</v>
      </c>
      <c r="W467" cm="1">
        <f t="array" ref="W467">IFERROR(AVERAGE(_xlfn._xlws.FILTER(Q$2:Q$1073,($C$2:$C$1073=$C467)*($E$2:$E$1073=$E467)*(ROW(Q$2:Q$1073)&lt;&gt;ROW(Q467))*(Q$2:Q$1073&lt;&gt;""))),"")</f>
        <v>0.47550162912316168</v>
      </c>
      <c r="X467" cm="1">
        <f t="array" ref="X467">IFERROR(AVERAGE(_xlfn._xlws.FILTER(R$2:R$1073,($C$2:$C$1073=$C467)*($E$2:$E$1073=$E467)*(ROW(R$2:R$1073)&lt;&gt;ROW(R467))*(R$2:R$1073&lt;&gt;""))),"")</f>
        <v>2.1888821299492878E-2</v>
      </c>
      <c r="Y467" cm="1">
        <f t="array" ref="Y467">IFERROR(AVERAGE(_xlfn._xlws.FILTER(S$2:S$1073,($C$2:$C$1073=$C467)*($E$2:$E$1073=$E467)*(ROW(S$2:S$1073)&lt;&gt;ROW(S467))*(S$2:S$1073&lt;&gt;""))),"")</f>
        <v>1.3800820259271462</v>
      </c>
      <c r="Z467" cm="1">
        <f t="array" ref="Z467">IFERROR(AVERAGE(_xlfn._xlws.FILTER(T$2:T$1073,($C$2:$C$1073=$C467)*($E$2:$E$1073=$E467)*(ROW(T$2:T$1073)&lt;&gt;ROW(T467))*(T$2:T$1073&lt;&gt;""))),"")</f>
        <v>5.8241417790189862E-2</v>
      </c>
      <c r="AA467" cm="1">
        <f t="array" ref="AA467">IFERROR(AVERAGE(_xlfn._xlws.FILTER(U$2:U$1073,($C$2:$C$1073=$C467)*($E$2:$E$1073=$E467)*(ROW(U$2:U$1073)&lt;&gt;ROW(U467))*(U$2:U$1073&lt;&gt;""))),"")</f>
        <v>2.0917964215361491</v>
      </c>
    </row>
    <row r="468" spans="1:27" x14ac:dyDescent="0.2">
      <c r="A468" s="7" t="s">
        <v>2240</v>
      </c>
      <c r="B468" t="str">
        <f t="shared" si="79"/>
        <v>SELG IV кв. 2023</v>
      </c>
      <c r="C468">
        <v>2023</v>
      </c>
      <c r="D468">
        <f>SUMIFS(Дивиденды!$C:$C,Дивиденды!$A:$A,A468,Дивиденды!$I:$I,C468)</f>
        <v>4</v>
      </c>
      <c r="E468">
        <v>3</v>
      </c>
      <c r="F468">
        <f t="shared" si="80"/>
        <v>4</v>
      </c>
      <c r="G468">
        <f t="shared" si="81"/>
        <v>24.844000000000001</v>
      </c>
      <c r="H468">
        <f t="shared" si="82"/>
        <v>1</v>
      </c>
      <c r="I468">
        <f t="shared" si="78"/>
        <v>0.5</v>
      </c>
      <c r="J468">
        <f t="shared" si="83"/>
        <v>1</v>
      </c>
      <c r="K468">
        <f t="shared" si="87"/>
        <v>0.33287037037037037</v>
      </c>
      <c r="L468">
        <f t="shared" si="84"/>
        <v>1</v>
      </c>
      <c r="M468">
        <f t="shared" si="77"/>
        <v>0.5</v>
      </c>
      <c r="N468">
        <f t="shared" si="85"/>
        <v>0</v>
      </c>
      <c r="O468">
        <f t="shared" si="86"/>
        <v>0.1</v>
      </c>
      <c r="P468">
        <f>IFERROR(LN('Дивиденды по годам'!I468),"")</f>
        <v>25.62812501051458</v>
      </c>
      <c r="Q468">
        <f>IFERROR('Дивиденды по годам'!G468/'Дивиденды по годам'!I468, "")</f>
        <v>0.52800041617292759</v>
      </c>
      <c r="R468">
        <f>IFERROR(IF(AND('Дивиденды по годам'!N468&lt;&gt;"",'Дивиденды по годам'!U468&lt;&gt;"",'Дивиденды по годам'!U468&lt;&gt;0),'Дивиденды по годам'!N468/'Дивиденды по годам'!U468-1,""),"")</f>
        <v>0.61208345863964375</v>
      </c>
      <c r="S468">
        <f>IFERROR(IF(AND('Дивиденды по годам'!L468&lt;&gt;"",'Дивиденды по годам'!I468&lt;&gt;"",'Дивиденды по годам'!J468&lt;&gt;"",'Дивиденды по годам'!K468&lt;&gt;"",('Дивиденды по годам'!I468-'Дивиденды по годам'!J468-'Дивиденды по годам'!K468)&lt;&gt;0),'Дивиденды по годам'!L468/('Дивиденды по годам'!I468-'Дивиденды по годам'!J468-'Дивиденды по годам'!K468),""),"")</f>
        <v>-8.8302602439997283E-2</v>
      </c>
      <c r="T468">
        <f>IFERROR(IF(AND('Дивиденды по годам'!Q468&lt;&gt;"",'Дивиденды по годам'!I468&lt;&gt;"",'Дивиденды по годам'!V468&lt;&gt;"",('Дивиденды по годам'!I468+'Дивиденды по годам'!V468)&lt;&gt;0),'Дивиденды по годам'!Q468/(('Дивиденды по годам'!I468+'Дивиденды по годам'!V468)/2),""),"")</f>
        <v>-8.495653829914368E-2</v>
      </c>
      <c r="U468">
        <f>IFERROR(IF(AND('Дивиденды по годам'!J468&lt;&gt;"",'Дивиденды по годам'!K468&lt;&gt;"",'Дивиденды по годам'!M468&lt;&gt;"",'Дивиденды по годам'!M468&lt;&gt;0),('Дивиденды по годам'!J468+'Дивиденды по годам'!K468)/'Дивиденды по годам'!M468,""),"")</f>
        <v>4.2668558709263449</v>
      </c>
      <c r="V468" cm="1">
        <f t="array" ref="V468">IFERROR(AVERAGE(_xlfn._xlws.FILTER(P$2:P$1073,($C$2:$C$1073=$C468)*($E$2:$E$1073=$E468)*(ROW(P$2:P$1073)&lt;&gt;ROW(P468))*(P$2:P$1073&lt;&gt;""))),"")</f>
        <v>27.369123140600749</v>
      </c>
      <c r="W468" cm="1">
        <f t="array" ref="W468">IFERROR(AVERAGE(_xlfn._xlws.FILTER(Q$2:Q$1073,($C$2:$C$1073=$C468)*($E$2:$E$1073=$E468)*(ROW(Q$2:Q$1073)&lt;&gt;ROW(Q468))*(Q$2:Q$1073&lt;&gt;""))),"")</f>
        <v>0.44855407671267111</v>
      </c>
      <c r="X468" cm="1">
        <f t="array" ref="X468">IFERROR(AVERAGE(_xlfn._xlws.FILTER(R$2:R$1073,($C$2:$C$1073=$C468)*($E$2:$E$1073=$E468)*(ROW(R$2:R$1073)&lt;&gt;ROW(R468))*(R$2:R$1073&lt;&gt;""))),"")</f>
        <v>8.27146481717876E-2</v>
      </c>
      <c r="Y468" cm="1">
        <f t="array" ref="Y468">IFERROR(AVERAGE(_xlfn._xlws.FILTER(S$2:S$1073,($C$2:$C$1073=$C468)*($E$2:$E$1073=$E468)*(ROW(S$2:S$1073)&lt;&gt;ROW(S468))*(S$2:S$1073&lt;&gt;""))),"")</f>
        <v>0.15726395418669595</v>
      </c>
      <c r="Z468" cm="1">
        <f t="array" ref="Z468">IFERROR(AVERAGE(_xlfn._xlws.FILTER(T$2:T$1073,($C$2:$C$1073=$C468)*($E$2:$E$1073=$E468)*(ROW(T$2:T$1073)&lt;&gt;ROW(T468))*(T$2:T$1073&lt;&gt;""))),"")</f>
        <v>0.13873397831663029</v>
      </c>
      <c r="AA468" cm="1">
        <f t="array" ref="AA468">IFERROR(AVERAGE(_xlfn._xlws.FILTER(U$2:U$1073,($C$2:$C$1073=$C468)*($E$2:$E$1073=$E468)*(ROW(U$2:U$1073)&lt;&gt;ROW(U468))*(U$2:U$1073&lt;&gt;""))),"")</f>
        <v>-1.0398956127070877</v>
      </c>
    </row>
    <row r="469" spans="1:27" x14ac:dyDescent="0.2">
      <c r="A469" s="7" t="s">
        <v>2240</v>
      </c>
      <c r="B469" t="str">
        <f t="shared" si="79"/>
        <v>SELG IV кв. 2022</v>
      </c>
      <c r="C469">
        <v>2022</v>
      </c>
      <c r="D469">
        <f>SUMIFS(Дивиденды!$C:$C,Дивиденды!$A:$A,A469,Дивиденды!$I:$I,C469)</f>
        <v>0</v>
      </c>
      <c r="E469">
        <v>3</v>
      </c>
      <c r="F469">
        <f t="shared" si="80"/>
        <v>0</v>
      </c>
      <c r="G469">
        <f t="shared" si="81"/>
        <v>1.73</v>
      </c>
      <c r="H469">
        <f t="shared" si="82"/>
        <v>0</v>
      </c>
      <c r="I469">
        <f t="shared" si="78"/>
        <v>0.2</v>
      </c>
      <c r="J469">
        <f t="shared" si="83"/>
        <v>-1</v>
      </c>
      <c r="K469">
        <f t="shared" si="87"/>
        <v>-0.50242800677583288</v>
      </c>
      <c r="L469">
        <f t="shared" si="84"/>
        <v>0</v>
      </c>
      <c r="M469">
        <f t="shared" si="77"/>
        <v>0.1</v>
      </c>
      <c r="N469">
        <f t="shared" si="85"/>
        <v>1</v>
      </c>
      <c r="O469">
        <f t="shared" si="86"/>
        <v>0.7</v>
      </c>
      <c r="P469">
        <f>IFERROR(LN('Дивиденды по годам'!I469),"")</f>
        <v>25.636900999407139</v>
      </c>
      <c r="Q469">
        <f>IFERROR('Дивиденды по годам'!G469/'Дивиденды по годам'!I469, "")</f>
        <v>0.51127320475096105</v>
      </c>
      <c r="R469">
        <f>IFERROR(IF(AND('Дивиденды по годам'!N469&lt;&gt;"",'Дивиденды по годам'!U469&lt;&gt;"",'Дивиденды по годам'!U469&lt;&gt;0),'Дивиденды по годам'!N469/'Дивиденды по годам'!U469-1,""),"")</f>
        <v>-2.5099265053240116E-2</v>
      </c>
      <c r="S469">
        <f>IFERROR(IF(AND('Дивиденды по годам'!L469&lt;&gt;"",'Дивиденды по годам'!I469&lt;&gt;"",'Дивиденды по годам'!J469&lt;&gt;"",'Дивиденды по годам'!K469&lt;&gt;"",('Дивиденды по годам'!I469-'Дивиденды по годам'!J469-'Дивиденды по годам'!K469)&lt;&gt;0),'Дивиденды по годам'!L469/('Дивиденды по годам'!I469-'Дивиденды по годам'!J469-'Дивиденды по годам'!K469),""),"")</f>
        <v>0.25765474379777786</v>
      </c>
      <c r="T469">
        <f>IFERROR(IF(AND('Дивиденды по годам'!Q469&lt;&gt;"",'Дивиденды по годам'!I469&lt;&gt;"",'Дивиденды по годам'!V469&lt;&gt;"",('Дивиденды по годам'!I469+'Дивиденды по годам'!V469)&lt;&gt;0),'Дивиденды по годам'!Q469/(('Дивиденды по годам'!I469+'Дивиденды по годам'!V469)/2),""),"")</f>
        <v>3.7420969235527721E-2</v>
      </c>
      <c r="U469">
        <f>IFERROR(IF(AND('Дивиденды по годам'!J469&lt;&gt;"",'Дивиденды по годам'!K469&lt;&gt;"",'Дивиденды по годам'!M469&lt;&gt;"",'Дивиденды по годам'!M469&lt;&gt;0),('Дивиденды по годам'!J469+'Дивиденды по годам'!K469)/'Дивиденды по годам'!M469,""),"")</f>
        <v>2.5492656490359131</v>
      </c>
      <c r="V469" cm="1">
        <f t="array" ref="V469">IFERROR(AVERAGE(_xlfn._xlws.FILTER(P$2:P$1073,($C$2:$C$1073=$C469)*($E$2:$E$1073=$E469)*(ROW(P$2:P$1073)&lt;&gt;ROW(P469))*(P$2:P$1073&lt;&gt;""))),"")</f>
        <v>27.22742661873702</v>
      </c>
      <c r="W469" cm="1">
        <f t="array" ref="W469">IFERROR(AVERAGE(_xlfn._xlws.FILTER(Q$2:Q$1073,($C$2:$C$1073=$C469)*($E$2:$E$1073=$E469)*(ROW(Q$2:Q$1073)&lt;&gt;ROW(Q469))*(Q$2:Q$1073&lt;&gt;""))),"")</f>
        <v>0.46783764951679829</v>
      </c>
      <c r="X469" cm="1">
        <f t="array" ref="X469">IFERROR(AVERAGE(_xlfn._xlws.FILTER(R$2:R$1073,($C$2:$C$1073=$C469)*($E$2:$E$1073=$E469)*(ROW(R$2:R$1073)&lt;&gt;ROW(R469))*(R$2:R$1073&lt;&gt;""))),"")</f>
        <v>-2.1351146955839152E-2</v>
      </c>
      <c r="Y469" cm="1">
        <f t="array" ref="Y469">IFERROR(AVERAGE(_xlfn._xlws.FILTER(S$2:S$1073,($C$2:$C$1073=$C469)*($E$2:$E$1073=$E469)*(ROW(S$2:S$1073)&lt;&gt;ROW(S469))*(S$2:S$1073&lt;&gt;""))),"")</f>
        <v>0.91123296925790709</v>
      </c>
      <c r="Z469" cm="1">
        <f t="array" ref="Z469">IFERROR(AVERAGE(_xlfn._xlws.FILTER(T$2:T$1073,($C$2:$C$1073=$C469)*($E$2:$E$1073=$E469)*(ROW(T$2:T$1073)&lt;&gt;ROW(T469))*(T$2:T$1073&lt;&gt;""))),"")</f>
        <v>0.17079459099175517</v>
      </c>
      <c r="AA469" cm="1">
        <f t="array" ref="AA469">IFERROR(AVERAGE(_xlfn._xlws.FILTER(U$2:U$1073,($C$2:$C$1073=$C469)*($E$2:$E$1073=$E469)*(ROW(U$2:U$1073)&lt;&gt;ROW(U469))*(U$2:U$1073&lt;&gt;""))),"")</f>
        <v>1.0137663374905255</v>
      </c>
    </row>
    <row r="470" spans="1:27" x14ac:dyDescent="0.2">
      <c r="A470" s="7" t="s">
        <v>2240</v>
      </c>
      <c r="B470" t="str">
        <f t="shared" si="79"/>
        <v>SELG IV кв. 2021</v>
      </c>
      <c r="C470">
        <v>2021</v>
      </c>
      <c r="D470">
        <f>SUMIFS(Дивиденды!$C:$C,Дивиденды!$A:$A,A470,Дивиденды!$I:$I,C470)</f>
        <v>4.5</v>
      </c>
      <c r="E470">
        <v>3</v>
      </c>
      <c r="F470">
        <f t="shared" si="80"/>
        <v>4.5</v>
      </c>
      <c r="G470">
        <f t="shared" si="81"/>
        <v>36.405000000000001</v>
      </c>
      <c r="H470">
        <f t="shared" si="82"/>
        <v>1</v>
      </c>
      <c r="I470">
        <f t="shared" si="78"/>
        <v>0.7</v>
      </c>
      <c r="J470">
        <f t="shared" si="83"/>
        <v>0</v>
      </c>
      <c r="K470">
        <f t="shared" si="87"/>
        <v>0.73069632657079653</v>
      </c>
      <c r="L470">
        <f t="shared" si="84"/>
        <v>0</v>
      </c>
      <c r="M470">
        <f t="shared" si="77"/>
        <v>0.5</v>
      </c>
      <c r="N470">
        <f t="shared" si="85"/>
        <v>0</v>
      </c>
      <c r="O470">
        <f t="shared" si="86"/>
        <v>0.2</v>
      </c>
      <c r="P470">
        <f>IFERROR(LN('Дивиденды по годам'!I470),"")</f>
        <v>25.169486714750992</v>
      </c>
      <c r="Q470">
        <f>IFERROR('Дивиденды по годам'!G470/'Дивиденды по годам'!I470, "")</f>
        <v>0.54335478681177285</v>
      </c>
      <c r="R470">
        <f>IFERROR(IF(AND('Дивиденды по годам'!N470&lt;&gt;"",'Дивиденды по годам'!U470&lt;&gt;"",'Дивиденды по годам'!U470&lt;&gt;0),'Дивиденды по годам'!N470/'Дивиденды по годам'!U470-1,""),"")</f>
        <v>6.9091990706911188E-2</v>
      </c>
      <c r="S470">
        <f>IFERROR(IF(AND('Дивиденды по годам'!L470&lt;&gt;"",'Дивиденды по годам'!I470&lt;&gt;"",'Дивиденды по годам'!J470&lt;&gt;"",'Дивиденды по годам'!K470&lt;&gt;"",('Дивиденды по годам'!I470-'Дивиденды по годам'!J470-'Дивиденды по годам'!K470)&lt;&gt;0),'Дивиденды по годам'!L470/('Дивиденды по годам'!I470-'Дивиденды по годам'!J470-'Дивиденды по годам'!K470),""),"")</f>
        <v>0.35422848674110224</v>
      </c>
      <c r="T470">
        <f>IFERROR(IF(AND('Дивиденды по годам'!Q470&lt;&gt;"",'Дивиденды по годам'!I470&lt;&gt;"",'Дивиденды по годам'!V470&lt;&gt;"",('Дивиденды по годам'!I470+'Дивиденды по годам'!V470)&lt;&gt;0),'Дивиденды по годам'!Q470/(('Дивиденды по годам'!I470+'Дивиденды по годам'!V470)/2),""),"")</f>
        <v>0.12940029311787279</v>
      </c>
      <c r="U470">
        <f>IFERROR(IF(AND('Дивиденды по годам'!J470&lt;&gt;"",'Дивиденды по годам'!K470&lt;&gt;"",'Дивиденды по годам'!M470&lt;&gt;"",'Дивиденды по годам'!M470&lt;&gt;0),('Дивиденды по годам'!J470+'Дивиденды по годам'!K470)/'Дивиденды по годам'!M470,""),"")</f>
        <v>1.7085244770663082</v>
      </c>
      <c r="V470" cm="1">
        <f t="array" ref="V470">IFERROR(AVERAGE(_xlfn._xlws.FILTER(P$2:P$1073,($C$2:$C$1073=$C470)*($E$2:$E$1073=$E470)*(ROW(P$2:P$1073)&lt;&gt;ROW(P470))*(P$2:P$1073&lt;&gt;""))),"")</f>
        <v>27.166347530716866</v>
      </c>
      <c r="W470" cm="1">
        <f t="array" ref="W470">IFERROR(AVERAGE(_xlfn._xlws.FILTER(Q$2:Q$1073,($C$2:$C$1073=$C470)*($E$2:$E$1073=$E470)*(ROW(Q$2:Q$1073)&lt;&gt;ROW(Q470))*(Q$2:Q$1073&lt;&gt;""))),"")</f>
        <v>0.48213585441871115</v>
      </c>
      <c r="X470" cm="1">
        <f t="array" ref="X470">IFERROR(AVERAGE(_xlfn._xlws.FILTER(R$2:R$1073,($C$2:$C$1073=$C470)*($E$2:$E$1073=$E470)*(ROW(R$2:R$1073)&lt;&gt;ROW(R470))*(R$2:R$1073&lt;&gt;""))),"")</f>
        <v>0.74452211933264789</v>
      </c>
      <c r="Y470" cm="1">
        <f t="array" ref="Y470">IFERROR(AVERAGE(_xlfn._xlws.FILTER(S$2:S$1073,($C$2:$C$1073=$C470)*($E$2:$E$1073=$E470)*(ROW(S$2:S$1073)&lt;&gt;ROW(S470))*(S$2:S$1073&lt;&gt;""))),"")</f>
        <v>1.1035244440721448</v>
      </c>
      <c r="Z470" cm="1">
        <f t="array" ref="Z470">IFERROR(AVERAGE(_xlfn._xlws.FILTER(T$2:T$1073,($C$2:$C$1073=$C470)*($E$2:$E$1073=$E470)*(ROW(T$2:T$1073)&lt;&gt;ROW(T470))*(T$2:T$1073&lt;&gt;""))),"")</f>
        <v>0.30315326199711412</v>
      </c>
      <c r="AA470" cm="1">
        <f t="array" ref="AA470">IFERROR(AVERAGE(_xlfn._xlws.FILTER(U$2:U$1073,($C$2:$C$1073=$C470)*($E$2:$E$1073=$E470)*(ROW(U$2:U$1073)&lt;&gt;ROW(U470))*(U$2:U$1073&lt;&gt;""))),"")</f>
        <v>2.0821237806425095</v>
      </c>
    </row>
    <row r="471" spans="1:27" x14ac:dyDescent="0.2">
      <c r="A471" s="7" t="s">
        <v>2240</v>
      </c>
      <c r="B471" t="str">
        <f t="shared" si="79"/>
        <v>SELG IV кв. 2020</v>
      </c>
      <c r="C471">
        <v>2020</v>
      </c>
      <c r="D471">
        <f>SUMIFS(Дивиденды!$C:$C,Дивиденды!$A:$A,A471,Дивиденды!$I:$I,C471)</f>
        <v>4.5</v>
      </c>
      <c r="E471">
        <v>3</v>
      </c>
      <c r="F471">
        <f t="shared" si="80"/>
        <v>4.5</v>
      </c>
      <c r="G471">
        <f t="shared" si="81"/>
        <v>23.533999999999999</v>
      </c>
      <c r="H471">
        <f t="shared" si="82"/>
        <v>1</v>
      </c>
      <c r="I471">
        <f t="shared" si="78"/>
        <v>0.7</v>
      </c>
      <c r="J471">
        <f t="shared" si="83"/>
        <v>1.0454545454545452</v>
      </c>
      <c r="K471">
        <f t="shared" si="87"/>
        <v>0.55483409416453</v>
      </c>
      <c r="L471">
        <f t="shared" si="84"/>
        <v>1</v>
      </c>
      <c r="M471">
        <f t="shared" si="77"/>
        <v>0.6</v>
      </c>
      <c r="N471">
        <f t="shared" si="85"/>
        <v>0</v>
      </c>
      <c r="O471">
        <f t="shared" si="86"/>
        <v>0.1</v>
      </c>
      <c r="P471">
        <f>IFERROR(LN('Дивиденды по годам'!I471),"")</f>
        <v>25.046127274949715</v>
      </c>
      <c r="Q471">
        <f>IFERROR('Дивиденды по годам'!G471/'Дивиденды по годам'!I471, "")</f>
        <v>0.55427585328136864</v>
      </c>
      <c r="R471">
        <f>IFERROR(IF(AND('Дивиденды по годам'!N471&lt;&gt;"",'Дивиденды по годам'!U471&lt;&gt;"",'Дивиденды по годам'!U471&lt;&gt;0),'Дивиденды по годам'!N471/'Дивиденды по годам'!U471-1,""),"")</f>
        <v>0.50935088530056727</v>
      </c>
      <c r="S471">
        <f>IFERROR(IF(AND('Дивиденды по годам'!L471&lt;&gt;"",'Дивиденды по годам'!I471&lt;&gt;"",'Дивиденды по годам'!J471&lt;&gt;"",'Дивиденды по годам'!K471&lt;&gt;"",('Дивиденды по годам'!I471-'Дивиденды по годам'!J471-'Дивиденды по годам'!K471)&lt;&gt;0),'Дивиденды по годам'!L471/('Дивиденды по годам'!I471-'Дивиденды по годам'!J471-'Дивиденды по годам'!K471),""),"")</f>
        <v>0.13247243735927028</v>
      </c>
      <c r="T471">
        <f>IFERROR(IF(AND('Дивиденды по годам'!Q471&lt;&gt;"",'Дивиденды по годам'!I471&lt;&gt;"",'Дивиденды по годам'!V471&lt;&gt;"",('Дивиденды по годам'!I471+'Дивиденды по годам'!V471)&lt;&gt;0),'Дивиденды по годам'!Q471/(('Дивиденды по годам'!I471+'Дивиденды по годам'!V471)/2),""),"")</f>
        <v>6.5878602895758309E-5</v>
      </c>
      <c r="U471">
        <f>IFERROR(IF(AND('Дивиденды по годам'!J471&lt;&gt;"",'Дивиденды по годам'!K471&lt;&gt;"",'Дивиденды по годам'!M471&lt;&gt;"",'Дивиденды по годам'!M471&lt;&gt;0),('Дивиденды по годам'!J471+'Дивиденды по годам'!K471)/'Дивиденды по годам'!M471,""),"")</f>
        <v>2.2689412091531289</v>
      </c>
      <c r="V471" cm="1">
        <f t="array" ref="V471">IFERROR(AVERAGE(_xlfn._xlws.FILTER(P$2:P$1073,($C$2:$C$1073=$C471)*($E$2:$E$1073=$E471)*(ROW(P$2:P$1073)&lt;&gt;ROW(P471))*(P$2:P$1073&lt;&gt;""))),"")</f>
        <v>26.995928284927952</v>
      </c>
      <c r="W471" cm="1">
        <f t="array" ref="W471">IFERROR(AVERAGE(_xlfn._xlws.FILTER(Q$2:Q$1073,($C$2:$C$1073=$C471)*($E$2:$E$1073=$E471)*(ROW(Q$2:Q$1073)&lt;&gt;ROW(Q471))*(Q$2:Q$1073&lt;&gt;""))),"")</f>
        <v>0.5012999943248323</v>
      </c>
      <c r="X471" cm="1">
        <f t="array" ref="X471">IFERROR(AVERAGE(_xlfn._xlws.FILTER(R$2:R$1073,($C$2:$C$1073=$C471)*($E$2:$E$1073=$E471)*(ROW(R$2:R$1073)&lt;&gt;ROW(R471))*(R$2:R$1073&lt;&gt;""))),"")</f>
        <v>-2.0983620089722831E-2</v>
      </c>
      <c r="Y471" cm="1">
        <f t="array" ref="Y471">IFERROR(AVERAGE(_xlfn._xlws.FILTER(S$2:S$1073,($C$2:$C$1073=$C471)*($E$2:$E$1073=$E471)*(ROW(S$2:S$1073)&lt;&gt;ROW(S471))*(S$2:S$1073&lt;&gt;""))),"")</f>
        <v>1.1318530358095824</v>
      </c>
      <c r="Z471" cm="1">
        <f t="array" ref="Z471">IFERROR(AVERAGE(_xlfn._xlws.FILTER(T$2:T$1073,($C$2:$C$1073=$C471)*($E$2:$E$1073=$E471)*(ROW(T$2:T$1073)&lt;&gt;ROW(T471))*(T$2:T$1073&lt;&gt;""))),"")</f>
        <v>0.10372210364650998</v>
      </c>
      <c r="AA471" cm="1">
        <f t="array" ref="AA471">IFERROR(AVERAGE(_xlfn._xlws.FILTER(U$2:U$1073,($C$2:$C$1073=$C471)*($E$2:$E$1073=$E471)*(ROW(U$2:U$1073)&lt;&gt;ROW(U471))*(U$2:U$1073&lt;&gt;""))),"")</f>
        <v>1.5979273361757991</v>
      </c>
    </row>
    <row r="472" spans="1:27" x14ac:dyDescent="0.2">
      <c r="A472" s="7" t="s">
        <v>2240</v>
      </c>
      <c r="B472" t="str">
        <f t="shared" si="79"/>
        <v>SELG IV кв. 2019</v>
      </c>
      <c r="C472">
        <v>2019</v>
      </c>
      <c r="D472">
        <f>SUMIFS(Дивиденды!$C:$C,Дивиденды!$A:$A,A472,Дивиденды!$I:$I,C472)</f>
        <v>2.2000000000000002</v>
      </c>
      <c r="E472">
        <v>3</v>
      </c>
      <c r="F472">
        <f t="shared" si="80"/>
        <v>2.2000000000000002</v>
      </c>
      <c r="G472">
        <f t="shared" si="81"/>
        <v>19.371000000000002</v>
      </c>
      <c r="H472">
        <f t="shared" si="82"/>
        <v>1</v>
      </c>
      <c r="I472">
        <f t="shared" si="78"/>
        <v>0.7</v>
      </c>
      <c r="J472">
        <f t="shared" si="83"/>
        <v>1</v>
      </c>
      <c r="K472">
        <f t="shared" si="87"/>
        <v>0.15160659566020115</v>
      </c>
      <c r="L472">
        <f t="shared" si="84"/>
        <v>1</v>
      </c>
      <c r="M472">
        <f t="shared" si="77"/>
        <v>0.3</v>
      </c>
      <c r="N472">
        <f t="shared" si="85"/>
        <v>0</v>
      </c>
      <c r="O472">
        <f t="shared" si="86"/>
        <v>0.4</v>
      </c>
      <c r="P472">
        <f>IFERROR(LN('Дивиденды по годам'!I472),"")</f>
        <v>24.778335921903299</v>
      </c>
      <c r="Q472">
        <f>IFERROR('Дивиденды по годам'!G472/'Дивиденды по годам'!I472, "")</f>
        <v>0.50033600739798711</v>
      </c>
      <c r="R472">
        <f>IFERROR(IF(AND('Дивиденды по годам'!N472&lt;&gt;"",'Дивиденды по годам'!U472&lt;&gt;"",'Дивиденды по годам'!U472&lt;&gt;0),'Дивиденды по годам'!N472/'Дивиденды по годам'!U472-1,""),"")</f>
        <v>0.38888687873920613</v>
      </c>
      <c r="S472">
        <f>IFERROR(IF(AND('Дивиденды по годам'!L472&lt;&gt;"",'Дивиденды по годам'!I472&lt;&gt;"",'Дивиденды по годам'!J472&lt;&gt;"",'Дивиденды по годам'!K472&lt;&gt;"",('Дивиденды по годам'!I472-'Дивиденды по годам'!J472-'Дивиденды по годам'!K472)&lt;&gt;0),'Дивиденды по годам'!L472/('Дивиденды по годам'!I472-'Дивиденды по годам'!J472-'Дивиденды по годам'!K472),""),"")</f>
        <v>0.3177152140532099</v>
      </c>
      <c r="T472">
        <f>IFERROR(IF(AND('Дивиденды по годам'!Q472&lt;&gt;"",'Дивиденды по годам'!I472&lt;&gt;"",'Дивиденды по годам'!V472&lt;&gt;"",('Дивиденды по годам'!I472+'Дивиденды по годам'!V472)&lt;&gt;0),'Дивиденды по годам'!Q472/(('Дивиденды по годам'!I472+'Дивиденды по годам'!V472)/2),""),"")</f>
        <v>3.9052938946987296E-2</v>
      </c>
      <c r="U472">
        <f>IFERROR(IF(AND('Дивиденды по годам'!J472&lt;&gt;"",'Дивиденды по годам'!K472&lt;&gt;"",'Дивиденды по годам'!M472&lt;&gt;"",'Дивиденды по годам'!M472&lt;&gt;0),('Дивиденды по годам'!J472+'Дивиденды по годам'!K472)/'Дивиденды по годам'!M472,""),"")</f>
        <v>1.7115348278863745</v>
      </c>
      <c r="V472" cm="1">
        <f t="array" ref="V472">IFERROR(AVERAGE(_xlfn._xlws.FILTER(P$2:P$1073,($C$2:$C$1073=$C472)*($E$2:$E$1073=$E472)*(ROW(P$2:P$1073)&lt;&gt;ROW(P472))*(P$2:P$1073&lt;&gt;""))),"")</f>
        <v>26.907795512766342</v>
      </c>
      <c r="W472" cm="1">
        <f t="array" ref="W472">IFERROR(AVERAGE(_xlfn._xlws.FILTER(Q$2:Q$1073,($C$2:$C$1073=$C472)*($E$2:$E$1073=$E472)*(ROW(Q$2:Q$1073)&lt;&gt;ROW(Q472))*(Q$2:Q$1073&lt;&gt;""))),"")</f>
        <v>0.50075553645455073</v>
      </c>
      <c r="X472" cm="1">
        <f t="array" ref="X472">IFERROR(AVERAGE(_xlfn._xlws.FILTER(R$2:R$1073,($C$2:$C$1073=$C472)*($E$2:$E$1073=$E472)*(ROW(R$2:R$1073)&lt;&gt;ROW(R472))*(R$2:R$1073&lt;&gt;""))),"")</f>
        <v>3.8698763932583204E-3</v>
      </c>
      <c r="Y472" cm="1">
        <f t="array" ref="Y472">IFERROR(AVERAGE(_xlfn._xlws.FILTER(S$2:S$1073,($C$2:$C$1073=$C472)*($E$2:$E$1073=$E472)*(ROW(S$2:S$1073)&lt;&gt;ROW(S472))*(S$2:S$1073&lt;&gt;""))),"")</f>
        <v>0.96722729787756889</v>
      </c>
      <c r="Z472" cm="1">
        <f t="array" ref="Z472">IFERROR(AVERAGE(_xlfn._xlws.FILTER(T$2:T$1073,($C$2:$C$1073=$C472)*($E$2:$E$1073=$E472)*(ROW(T$2:T$1073)&lt;&gt;ROW(T472))*(T$2:T$1073&lt;&gt;""))),"")</f>
        <v>0.1478964309597301</v>
      </c>
      <c r="AA472" cm="1">
        <f t="array" ref="AA472">IFERROR(AVERAGE(_xlfn._xlws.FILTER(U$2:U$1073,($C$2:$C$1073=$C472)*($E$2:$E$1073=$E472)*(ROW(U$2:U$1073)&lt;&gt;ROW(U472))*(U$2:U$1073&lt;&gt;""))),"")</f>
        <v>1.5437518502227945</v>
      </c>
    </row>
    <row r="473" spans="1:27" x14ac:dyDescent="0.2">
      <c r="A473" s="7" t="s">
        <v>2240</v>
      </c>
      <c r="B473" t="str">
        <f t="shared" si="79"/>
        <v>SELG IV кв. 2018</v>
      </c>
      <c r="C473">
        <v>2018</v>
      </c>
      <c r="D473">
        <f>SUMIFS(Дивиденды!$C:$C,Дивиденды!$A:$A,A473,Дивиденды!$I:$I,C473)</f>
        <v>0</v>
      </c>
      <c r="E473">
        <v>3</v>
      </c>
      <c r="F473">
        <f t="shared" si="80"/>
        <v>0</v>
      </c>
      <c r="G473">
        <f t="shared" si="81"/>
        <v>22.694999999999997</v>
      </c>
      <c r="H473">
        <f t="shared" si="82"/>
        <v>0</v>
      </c>
      <c r="I473">
        <f t="shared" si="78"/>
        <v>0.5</v>
      </c>
      <c r="J473">
        <f t="shared" si="83"/>
        <v>0</v>
      </c>
      <c r="K473">
        <f t="shared" si="87"/>
        <v>0.12085686823605531</v>
      </c>
      <c r="L473">
        <f t="shared" si="84"/>
        <v>0</v>
      </c>
      <c r="M473">
        <f t="shared" si="77"/>
        <v>0.5</v>
      </c>
      <c r="N473">
        <f t="shared" si="85"/>
        <v>0</v>
      </c>
      <c r="O473">
        <f t="shared" si="86"/>
        <v>0.2</v>
      </c>
      <c r="P473">
        <f>IFERROR(LN('Дивиденды по годам'!I473),"")</f>
        <v>24.658730507002026</v>
      </c>
      <c r="Q473">
        <f>IFERROR('Дивиденды по годам'!G473/'Дивиденды по годам'!I473, "")</f>
        <v>0.52180301348052116</v>
      </c>
      <c r="R473">
        <f>IFERROR(IF(AND('Дивиденды по годам'!N473&lt;&gt;"",'Дивиденды по годам'!U473&lt;&gt;"",'Дивиденды по годам'!U473&lt;&gt;0),'Дивиденды по годам'!N473/'Дивиденды по годам'!U473-1,""),"")</f>
        <v>0.36548961785116951</v>
      </c>
      <c r="S473">
        <f>IFERROR(IF(AND('Дивиденды по годам'!L473&lt;&gt;"",'Дивиденды по годам'!I473&lt;&gt;"",'Дивиденды по годам'!J473&lt;&gt;"",'Дивиденды по годам'!K473&lt;&gt;"",('Дивиденды по годам'!I473-'Дивиденды по годам'!J473-'Дивиденды по годам'!K473)&lt;&gt;0),'Дивиденды по годам'!L473/('Дивиденды по годам'!I473-'Дивиденды по годам'!J473-'Дивиденды по годам'!K473),""),"")</f>
        <v>0.32166260713959655</v>
      </c>
      <c r="T473">
        <f>IFERROR(IF(AND('Дивиденды по годам'!Q473&lt;&gt;"",'Дивиденды по годам'!I473&lt;&gt;"",'Дивиденды по годам'!V473&lt;&gt;"",('Дивиденды по годам'!I473+'Дивиденды по годам'!V473)&lt;&gt;0),'Дивиденды по годам'!Q473/(('Дивиденды по годам'!I473+'Дивиденды по годам'!V473)/2),""),"")</f>
        <v>1.5240995568921317E-2</v>
      </c>
      <c r="U473">
        <f>IFERROR(IF(AND('Дивиденды по годам'!J473&lt;&gt;"",'Дивиденды по годам'!K473&lt;&gt;"",'Дивиденды по годам'!M473&lt;&gt;"",'Дивиденды по годам'!M473&lt;&gt;0),('Дивиденды по годам'!J473+'Дивиденды по годам'!K473)/'Дивиденды по годам'!M473,""),"")</f>
        <v>1.6224054232316978</v>
      </c>
      <c r="V473" cm="1">
        <f t="array" ref="V473">IFERROR(AVERAGE(_xlfn._xlws.FILTER(P$2:P$1073,($C$2:$C$1073=$C473)*($E$2:$E$1073=$E473)*(ROW(P$2:P$1073)&lt;&gt;ROW(P473))*(P$2:P$1073&lt;&gt;""))),"")</f>
        <v>26.761726002877207</v>
      </c>
      <c r="W473" cm="1">
        <f t="array" ref="W473">IFERROR(AVERAGE(_xlfn._xlws.FILTER(Q$2:Q$1073,($C$2:$C$1073=$C473)*($E$2:$E$1073=$E473)*(ROW(Q$2:Q$1073)&lt;&gt;ROW(Q473))*(Q$2:Q$1073&lt;&gt;""))),"")</f>
        <v>0.51779102733840521</v>
      </c>
      <c r="X473" cm="1">
        <f t="array" ref="X473">IFERROR(AVERAGE(_xlfn._xlws.FILTER(R$2:R$1073,($C$2:$C$1073=$C473)*($E$2:$E$1073=$E473)*(ROW(R$2:R$1073)&lt;&gt;ROW(R473))*(R$2:R$1073&lt;&gt;""))),"")</f>
        <v>0.20274700554902741</v>
      </c>
      <c r="Y473" cm="1">
        <f t="array" ref="Y473">IFERROR(AVERAGE(_xlfn._xlws.FILTER(S$2:S$1073,($C$2:$C$1073=$C473)*($E$2:$E$1073=$E473)*(ROW(S$2:S$1073)&lt;&gt;ROW(S473))*(S$2:S$1073&lt;&gt;""))),"")</f>
        <v>0.9836407959203004</v>
      </c>
      <c r="Z473" cm="1">
        <f t="array" ref="Z473">IFERROR(AVERAGE(_xlfn._xlws.FILTER(T$2:T$1073,($C$2:$C$1073=$C473)*($E$2:$E$1073=$E473)*(ROW(T$2:T$1073)&lt;&gt;ROW(T473))*(T$2:T$1073&lt;&gt;""))),"")</f>
        <v>0.16923874013892218</v>
      </c>
      <c r="AA473" cm="1">
        <f t="array" ref="AA473">IFERROR(AVERAGE(_xlfn._xlws.FILTER(U$2:U$1073,($C$2:$C$1073=$C473)*($E$2:$E$1073=$E473)*(ROW(U$2:U$1073)&lt;&gt;ROW(U473))*(U$2:U$1073&lt;&gt;""))),"")</f>
        <v>2.4098349680086875</v>
      </c>
    </row>
    <row r="474" spans="1:27" x14ac:dyDescent="0.2">
      <c r="A474" s="7" t="s">
        <v>2240</v>
      </c>
      <c r="B474" t="str">
        <f t="shared" si="79"/>
        <v>SELG IV кв. 2017</v>
      </c>
      <c r="C474">
        <v>2017</v>
      </c>
      <c r="D474">
        <f>SUMIFS(Дивиденды!$C:$C,Дивиденды!$A:$A,A474,Дивиденды!$I:$I,C474)</f>
        <v>0</v>
      </c>
      <c r="E474">
        <v>3</v>
      </c>
      <c r="F474">
        <f t="shared" si="80"/>
        <v>0</v>
      </c>
      <c r="G474">
        <f t="shared" si="81"/>
        <v>16.068876314825083</v>
      </c>
      <c r="H474">
        <f t="shared" si="82"/>
        <v>0</v>
      </c>
      <c r="I474">
        <f t="shared" si="78"/>
        <v>0.7</v>
      </c>
      <c r="J474">
        <f t="shared" si="83"/>
        <v>0</v>
      </c>
      <c r="K474">
        <f t="shared" si="87"/>
        <v>0.11709302504260524</v>
      </c>
      <c r="L474">
        <f t="shared" si="84"/>
        <v>0</v>
      </c>
      <c r="M474">
        <f t="shared" si="77"/>
        <v>0.5</v>
      </c>
      <c r="N474">
        <f t="shared" si="85"/>
        <v>0</v>
      </c>
      <c r="O474">
        <f t="shared" si="86"/>
        <v>0.2</v>
      </c>
      <c r="P474">
        <f>IFERROR(LN('Дивиденды по годам'!I474),"")</f>
        <v>24.518187471831709</v>
      </c>
      <c r="Q474">
        <f>IFERROR('Дивиденды по годам'!G474/'Дивиденды по годам'!I474, "")</f>
        <v>0.58014487815794624</v>
      </c>
      <c r="R474">
        <f>IFERROR(IF(AND('Дивиденды по годам'!N474&lt;&gt;"",'Дивиденды по годам'!U474&lt;&gt;"",'Дивиденды по годам'!U474&lt;&gt;0),'Дивиденды по годам'!N474/'Дивиденды по годам'!U474-1,""),"")</f>
        <v>3.3820428542279179E-2</v>
      </c>
      <c r="S474">
        <f>IFERROR(IF(AND('Дивиденды по годам'!L474&lt;&gt;"",'Дивиденды по годам'!I474&lt;&gt;"",'Дивиденды по годам'!J474&lt;&gt;"",'Дивиденды по годам'!K474&lt;&gt;"",('Дивиденды по годам'!I474-'Дивиденды по годам'!J474-'Дивиденды по годам'!K474)&lt;&gt;0),'Дивиденды по годам'!L474/('Дивиденды по годам'!I474-'Дивиденды по годам'!J474-'Дивиденды по годам'!K474),""),"")</f>
        <v>0.30716135310406445</v>
      </c>
      <c r="T474">
        <f>IFERROR(IF(AND('Дивиденды по годам'!Q474&lt;&gt;"",'Дивиденды по годам'!I474&lt;&gt;"",'Дивиденды по годам'!V474&lt;&gt;"",('Дивиденды по годам'!I474+'Дивиденды по годам'!V474)&lt;&gt;0),'Дивиденды по годам'!Q474/(('Дивиденды по годам'!I474+'Дивиденды по годам'!V474)/2),""),"")</f>
        <v>3.7747975952393584E-2</v>
      </c>
      <c r="U474">
        <f>IFERROR(IF(AND('Дивиденды по годам'!J474&lt;&gt;"",'Дивиденды по годам'!K474&lt;&gt;"",'Дивиденды по годам'!M474&lt;&gt;"",'Дивиденды по годам'!M474&lt;&gt;0),('Дивиденды по годам'!J474+'Дивиденды по годам'!K474)/'Дивиденды по годам'!M474,""),"")</f>
        <v>1.3363721838874678</v>
      </c>
      <c r="V474" cm="1">
        <f t="array" ref="V474">IFERROR(AVERAGE(_xlfn._xlws.FILTER(P$2:P$1073,($C$2:$C$1073=$C474)*($E$2:$E$1073=$E474)*(ROW(P$2:P$1073)&lt;&gt;ROW(P474))*(P$2:P$1073&lt;&gt;""))),"")</f>
        <v>26.746525605576711</v>
      </c>
      <c r="W474" cm="1">
        <f t="array" ref="W474">IFERROR(AVERAGE(_xlfn._xlws.FILTER(Q$2:Q$1073,($C$2:$C$1073=$C474)*($E$2:$E$1073=$E474)*(ROW(Q$2:Q$1073)&lt;&gt;ROW(Q474))*(Q$2:Q$1073&lt;&gt;""))),"")</f>
        <v>0.53146250597865907</v>
      </c>
      <c r="X474" cm="1">
        <f t="array" ref="X474">IFERROR(AVERAGE(_xlfn._xlws.FILTER(R$2:R$1073,($C$2:$C$1073=$C474)*($E$2:$E$1073=$E474)*(ROW(R$2:R$1073)&lt;&gt;ROW(R474))*(R$2:R$1073&lt;&gt;""))),"")</f>
        <v>0.10688863954305886</v>
      </c>
      <c r="Y474" cm="1">
        <f t="array" ref="Y474">IFERROR(AVERAGE(_xlfn._xlws.FILTER(S$2:S$1073,($C$2:$C$1073=$C474)*($E$2:$E$1073=$E474)*(ROW(S$2:S$1073)&lt;&gt;ROW(S474))*(S$2:S$1073&lt;&gt;""))),"")</f>
        <v>1.1329084733644685</v>
      </c>
      <c r="Z474" cm="1">
        <f t="array" ref="Z474">IFERROR(AVERAGE(_xlfn._xlws.FILTER(T$2:T$1073,($C$2:$C$1073=$C474)*($E$2:$E$1073=$E474)*(ROW(T$2:T$1073)&lt;&gt;ROW(T474))*(T$2:T$1073&lt;&gt;""))),"")</f>
        <v>0.12994788561988196</v>
      </c>
      <c r="AA474" cm="1">
        <f t="array" ref="AA474">IFERROR(AVERAGE(_xlfn._xlws.FILTER(U$2:U$1073,($C$2:$C$1073=$C474)*($E$2:$E$1073=$E474)*(ROW(U$2:U$1073)&lt;&gt;ROW(U474))*(U$2:U$1073&lt;&gt;""))),"")</f>
        <v>2.042422864816456</v>
      </c>
    </row>
    <row r="475" spans="1:27" x14ac:dyDescent="0.2">
      <c r="A475" s="7" t="s">
        <v>2240</v>
      </c>
      <c r="B475" t="str">
        <f t="shared" si="79"/>
        <v>SELG IV кв. 2016</v>
      </c>
      <c r="C475">
        <v>2016</v>
      </c>
      <c r="D475">
        <f>SUMIFS(Дивиденды!$C:$C,Дивиденды!$A:$A,A475,Дивиденды!$I:$I,C475)</f>
        <v>0</v>
      </c>
      <c r="E475">
        <v>3</v>
      </c>
      <c r="F475">
        <f t="shared" si="80"/>
        <v>0</v>
      </c>
      <c r="G475">
        <f t="shared" si="81"/>
        <v>12.095639712606381</v>
      </c>
      <c r="H475">
        <f t="shared" si="82"/>
        <v>0</v>
      </c>
      <c r="I475">
        <f t="shared" si="78"/>
        <v>0.7</v>
      </c>
      <c r="J475">
        <f t="shared" si="83"/>
        <v>0</v>
      </c>
      <c r="K475">
        <f t="shared" si="87"/>
        <v>0.68768115603983127</v>
      </c>
      <c r="L475">
        <f t="shared" si="84"/>
        <v>0</v>
      </c>
      <c r="M475">
        <f t="shared" si="77"/>
        <v>0.7</v>
      </c>
      <c r="N475">
        <f t="shared" si="85"/>
        <v>0</v>
      </c>
      <c r="O475">
        <f t="shared" si="86"/>
        <v>0</v>
      </c>
      <c r="P475">
        <f>IFERROR(LN('Дивиденды по годам'!I475),"")</f>
        <v>24.118803566281645</v>
      </c>
      <c r="Q475">
        <f>IFERROR('Дивиденды по годам'!G475/'Дивиденды по годам'!I475, "")</f>
        <v>0.40416336330135172</v>
      </c>
      <c r="R475">
        <f>IFERROR(IF(AND('Дивиденды по годам'!N475&lt;&gt;"",'Дивиденды по годам'!U475&lt;&gt;"",'Дивиденды по годам'!U475&lt;&gt;0),'Дивиденды по годам'!N475/'Дивиденды по годам'!U475-1,""),"")</f>
        <v>0.3910183244853811</v>
      </c>
      <c r="S475">
        <f>IFERROR(IF(AND('Дивиденды по годам'!L475&lt;&gt;"",'Дивиденды по годам'!I475&lt;&gt;"",'Дивиденды по годам'!J475&lt;&gt;"",'Дивиденды по годам'!K475&lt;&gt;"",('Дивиденды по годам'!I475-'Дивиденды по годам'!J475-'Дивиденды по годам'!K475)&lt;&gt;0),'Дивиденды по годам'!L475/('Дивиденды по годам'!I475-'Дивиденды по годам'!J475-'Дивиденды по годам'!K475),""),"")</f>
        <v>0.3541767006215269</v>
      </c>
      <c r="T475">
        <f>IFERROR(IF(AND('Дивиденды по годам'!Q475&lt;&gt;"",'Дивиденды по годам'!I475&lt;&gt;"",'Дивиденды по годам'!V475&lt;&gt;"",('Дивиденды по годам'!I475+'Дивиденды по годам'!V475)&lt;&gt;0),'Дивиденды по годам'!Q475/(('Дивиденды по годам'!I475+'Дивиденды по годам'!V475)/2),""),"")</f>
        <v>0.13160026836277255</v>
      </c>
      <c r="U475">
        <f>IFERROR(IF(AND('Дивиденды по годам'!J475&lt;&gt;"",'Дивиденды по годам'!K475&lt;&gt;"",'Дивиденды по годам'!M475&lt;&gt;"",'Дивиденды по годам'!M475&lt;&gt;0),('Дивиденды по годам'!J475+'Дивиденды по годам'!K475)/'Дивиденды по годам'!M475,""),"")</f>
        <v>1.5651401984803337</v>
      </c>
      <c r="V475" cm="1">
        <f t="array" ref="V475">IFERROR(AVERAGE(_xlfn._xlws.FILTER(P$2:P$1073,($C$2:$C$1073=$C475)*($E$2:$E$1073=$E475)*(ROW(P$2:P$1073)&lt;&gt;ROW(P475))*(P$2:P$1073&lt;&gt;""))),"")</f>
        <v>26.787158497002736</v>
      </c>
      <c r="W475" cm="1">
        <f t="array" ref="W475">IFERROR(AVERAGE(_xlfn._xlws.FILTER(Q$2:Q$1073,($C$2:$C$1073=$C475)*($E$2:$E$1073=$E475)*(ROW(Q$2:Q$1073)&lt;&gt;ROW(Q475))*(Q$2:Q$1073&lt;&gt;""))),"")</f>
        <v>0.52017776752265432</v>
      </c>
      <c r="X475" cm="1">
        <f t="array" ref="X475">IFERROR(AVERAGE(_xlfn._xlws.FILTER(R$2:R$1073,($C$2:$C$1073=$C475)*($E$2:$E$1073=$E475)*(ROW(R$2:R$1073)&lt;&gt;ROW(R475))*(R$2:R$1073&lt;&gt;""))),"")</f>
        <v>0.10906796454454852</v>
      </c>
      <c r="Y475" cm="1">
        <f t="array" ref="Y475">IFERROR(AVERAGE(_xlfn._xlws.FILTER(S$2:S$1073,($C$2:$C$1073=$C475)*($E$2:$E$1073=$E475)*(ROW(S$2:S$1073)&lt;&gt;ROW(S475))*(S$2:S$1073&lt;&gt;""))),"")</f>
        <v>0.29115478882883689</v>
      </c>
      <c r="Z475" cm="1">
        <f t="array" ref="Z475">IFERROR(AVERAGE(_xlfn._xlws.FILTER(T$2:T$1073,($C$2:$C$1073=$C475)*($E$2:$E$1073=$E475)*(ROW(T$2:T$1073)&lt;&gt;ROW(T475))*(T$2:T$1073&lt;&gt;""))),"")</f>
        <v>0.16489929083338631</v>
      </c>
      <c r="AA475" cm="1">
        <f t="array" ref="AA475">IFERROR(AVERAGE(_xlfn._xlws.FILTER(U$2:U$1073,($C$2:$C$1073=$C475)*($E$2:$E$1073=$E475)*(ROW(U$2:U$1073)&lt;&gt;ROW(U475))*(U$2:U$1073&lt;&gt;""))),"")</f>
        <v>1.5783017827704082E-2</v>
      </c>
    </row>
    <row r="476" spans="1:27" x14ac:dyDescent="0.2">
      <c r="A476" s="7" t="s">
        <v>2240</v>
      </c>
      <c r="B476" t="str">
        <f t="shared" si="79"/>
        <v>SELG IV кв. 2015</v>
      </c>
      <c r="C476">
        <v>2015</v>
      </c>
      <c r="D476">
        <f>SUMIFS(Дивиденды!$C:$C,Дивиденды!$A:$A,A476,Дивиденды!$I:$I,C476)</f>
        <v>0</v>
      </c>
      <c r="E476">
        <v>3</v>
      </c>
      <c r="F476">
        <f t="shared" si="80"/>
        <v>0</v>
      </c>
      <c r="G476">
        <f t="shared" si="81"/>
        <v>7.2240627742857146</v>
      </c>
      <c r="H476">
        <f t="shared" si="82"/>
        <v>0</v>
      </c>
      <c r="I476">
        <f t="shared" si="78"/>
        <v>0.6</v>
      </c>
      <c r="J476">
        <f t="shared" si="83"/>
        <v>0</v>
      </c>
      <c r="K476">
        <f t="shared" si="87"/>
        <v>0.8808871705905531</v>
      </c>
      <c r="L476">
        <f t="shared" si="84"/>
        <v>0</v>
      </c>
      <c r="M476">
        <f t="shared" si="77"/>
        <v>0.5</v>
      </c>
      <c r="N476">
        <f t="shared" si="85"/>
        <v>0</v>
      </c>
      <c r="O476">
        <f t="shared" si="86"/>
        <v>0.1</v>
      </c>
      <c r="P476">
        <f>IFERROR(LN('Дивиденды по годам'!I476),"")</f>
        <v>23.994337259004528</v>
      </c>
      <c r="Q476">
        <f>IFERROR('Дивиденды по годам'!G476/'Дивиденды по годам'!I476, "")</f>
        <v>0.41389302662593452</v>
      </c>
      <c r="R476" t="str">
        <f>IFERROR(IF(AND('Дивиденды по годам'!N476&lt;&gt;"",'Дивиденды по годам'!U476&lt;&gt;"",'Дивиденды по годам'!U476&lt;&gt;0),'Дивиденды по годам'!N476/'Дивиденды по годам'!U476-1,""),"")</f>
        <v/>
      </c>
      <c r="S476">
        <f>IFERROR(IF(AND('Дивиденды по годам'!L476&lt;&gt;"",'Дивиденды по годам'!I476&lt;&gt;"",'Дивиденды по годам'!J476&lt;&gt;"",'Дивиденды по годам'!K476&lt;&gt;"",('Дивиденды по годам'!I476-'Дивиденды по годам'!J476-'Дивиденды по годам'!K476)&lt;&gt;0),'Дивиденды по годам'!L476/('Дивиденды по годам'!I476-'Дивиденды по годам'!J476-'Дивиденды по годам'!K476),""),"")</f>
        <v>5.700842986913647E-2</v>
      </c>
      <c r="T476" t="str">
        <f>IFERROR(IF(AND('Дивиденды по годам'!Q476&lt;&gt;"",'Дивиденды по годам'!I476&lt;&gt;"",'Дивиденды по годам'!V476&lt;&gt;"",('Дивиденды по годам'!I476+'Дивиденды по годам'!V476)&lt;&gt;0),'Дивиденды по годам'!Q476/(('Дивиденды по годам'!I476+'Дивиденды по годам'!V476)/2),""),"")</f>
        <v/>
      </c>
      <c r="U476">
        <f>IFERROR(IF(AND('Дивиденды по годам'!J476&lt;&gt;"",'Дивиденды по годам'!K476&lt;&gt;"",'Дивиденды по годам'!M476&lt;&gt;"",'Дивиденды по годам'!M476&lt;&gt;0),('Дивиденды по годам'!J476+'Дивиденды по годам'!K476)/'Дивиденды по годам'!M476,""),"")</f>
        <v>2.5862473344354586</v>
      </c>
      <c r="V476" cm="1">
        <f t="array" ref="V476">IFERROR(AVERAGE(_xlfn._xlws.FILTER(P$2:P$1073,($C$2:$C$1073=$C476)*($E$2:$E$1073=$E476)*(ROW(P$2:P$1073)&lt;&gt;ROW(P476))*(P$2:P$1073&lt;&gt;""))),"")</f>
        <v>26.594328783727207</v>
      </c>
      <c r="W476" cm="1">
        <f t="array" ref="W476">IFERROR(AVERAGE(_xlfn._xlws.FILTER(Q$2:Q$1073,($C$2:$C$1073=$C476)*($E$2:$E$1073=$E476)*(ROW(Q$2:Q$1073)&lt;&gt;ROW(Q476))*(Q$2:Q$1073&lt;&gt;""))),"")</f>
        <v>0.50707854194865654</v>
      </c>
      <c r="X476" cm="1">
        <f t="array" ref="X476">IFERROR(AVERAGE(_xlfn._xlws.FILTER(R$2:R$1073,($C$2:$C$1073=$C476)*($E$2:$E$1073=$E476)*(ROW(R$2:R$1073)&lt;&gt;ROW(R476))*(R$2:R$1073&lt;&gt;""))),"")</f>
        <v>0.25311279878932647</v>
      </c>
      <c r="Y476" cm="1">
        <f t="array" ref="Y476">IFERROR(AVERAGE(_xlfn._xlws.FILTER(S$2:S$1073,($C$2:$C$1073=$C476)*($E$2:$E$1073=$E476)*(ROW(S$2:S$1073)&lt;&gt;ROW(S476))*(S$2:S$1073&lt;&gt;""))),"")</f>
        <v>1.0683703292367825</v>
      </c>
      <c r="Z476" cm="1">
        <f t="array" ref="Z476">IFERROR(AVERAGE(_xlfn._xlws.FILTER(T$2:T$1073,($C$2:$C$1073=$C476)*($E$2:$E$1073=$E476)*(ROW(T$2:T$1073)&lt;&gt;ROW(T476))*(T$2:T$1073&lt;&gt;""))),"")</f>
        <v>2.326940760762522E-2</v>
      </c>
      <c r="AA476" cm="1">
        <f t="array" ref="AA476">IFERROR(AVERAGE(_xlfn._xlws.FILTER(U$2:U$1073,($C$2:$C$1073=$C476)*($E$2:$E$1073=$E476)*(ROW(U$2:U$1073)&lt;&gt;ROW(U476))*(U$2:U$1073&lt;&gt;""))),"")</f>
        <v>3.0374341213698659</v>
      </c>
    </row>
    <row r="477" spans="1:27" x14ac:dyDescent="0.2">
      <c r="A477" s="7" t="s">
        <v>2240</v>
      </c>
      <c r="B477" t="str">
        <f t="shared" si="79"/>
        <v>SELG IV кв. 2014</v>
      </c>
      <c r="C477">
        <v>2014</v>
      </c>
      <c r="D477">
        <f>SUMIFS(Дивиденды!$C:$C,Дивиденды!$A:$A,A477,Дивиденды!$I:$I,C477)</f>
        <v>0</v>
      </c>
      <c r="E477">
        <v>3</v>
      </c>
      <c r="F477">
        <f t="shared" si="80"/>
        <v>0</v>
      </c>
      <c r="G477">
        <f t="shared" si="81"/>
        <v>7.8559999999999999</v>
      </c>
      <c r="H477">
        <f t="shared" si="82"/>
        <v>0</v>
      </c>
      <c r="I477">
        <f t="shared" si="78"/>
        <v>0.5</v>
      </c>
      <c r="J477">
        <f t="shared" si="83"/>
        <v>0</v>
      </c>
      <c r="K477">
        <f t="shared" si="87"/>
        <v>1.0733185192796773</v>
      </c>
      <c r="L477">
        <f t="shared" si="84"/>
        <v>0</v>
      </c>
      <c r="M477">
        <f t="shared" si="77"/>
        <v>0.3</v>
      </c>
      <c r="N477">
        <f t="shared" si="85"/>
        <v>0</v>
      </c>
      <c r="O477">
        <f t="shared" si="86"/>
        <v>0.1</v>
      </c>
      <c r="P477" t="str">
        <f>IFERROR(LN('Дивиденды по годам'!I477),"")</f>
        <v/>
      </c>
      <c r="Q477" t="str">
        <f>IFERROR('Дивиденды по годам'!G477/'Дивиденды по годам'!I477, "")</f>
        <v/>
      </c>
      <c r="R477" t="str">
        <f>IFERROR(IF(AND('Дивиденды по годам'!N477&lt;&gt;"",'Дивиденды по годам'!U477&lt;&gt;"",'Дивиденды по годам'!U477&lt;&gt;0),'Дивиденды по годам'!N477/'Дивиденды по годам'!U477-1,""),"")</f>
        <v/>
      </c>
      <c r="S477" t="str">
        <f>IFERROR(IF(AND('Дивиденды по годам'!L477&lt;&gt;"",'Дивиденды по годам'!I477&lt;&gt;"",'Дивиденды по годам'!J477&lt;&gt;"",'Дивиденды по годам'!K477&lt;&gt;"",('Дивиденды по годам'!I477-'Дивиденды по годам'!J477-'Дивиденды по годам'!K477)&lt;&gt;0),'Дивиденды по годам'!L477/('Дивиденды по годам'!I477-'Дивиденды по годам'!J477-'Дивиденды по годам'!K477),""),"")</f>
        <v/>
      </c>
      <c r="T477" t="str">
        <f>IFERROR(IF(AND('Дивиденды по годам'!Q477&lt;&gt;"",'Дивиденды по годам'!I477&lt;&gt;"",'Дивиденды по годам'!V477&lt;&gt;"",('Дивиденды по годам'!I477+'Дивиденды по годам'!V477)&lt;&gt;0),'Дивиденды по годам'!Q477/(('Дивиденды по годам'!I477+'Дивиденды по годам'!V477)/2),""),"")</f>
        <v/>
      </c>
      <c r="U477" t="str">
        <f>IFERROR(IF(AND('Дивиденды по годам'!J477&lt;&gt;"",'Дивиденды по годам'!K477&lt;&gt;"",'Дивиденды по годам'!M477&lt;&gt;"",'Дивиденды по годам'!M477&lt;&gt;0),('Дивиденды по годам'!J477+'Дивиденды по годам'!K477)/'Дивиденды по годам'!M477,""),"")</f>
        <v/>
      </c>
      <c r="V477" cm="1">
        <f t="array" ref="V477">IFERROR(AVERAGE(_xlfn._xlws.FILTER(P$2:P$1073,($C$2:$C$1073=$C477)*($E$2:$E$1073=$E477)*(ROW(P$2:P$1073)&lt;&gt;ROW(P477))*(P$2:P$1073&lt;&gt;""))),"")</f>
        <v>26.29821814172638</v>
      </c>
      <c r="W477" cm="1">
        <f t="array" ref="W477">IFERROR(AVERAGE(_xlfn._xlws.FILTER(Q$2:Q$1073,($C$2:$C$1073=$C477)*($E$2:$E$1073=$E477)*(ROW(Q$2:Q$1073)&lt;&gt;ROW(Q477))*(Q$2:Q$1073&lt;&gt;""))),"")</f>
        <v>0.51597340280598392</v>
      </c>
      <c r="X477" cm="1">
        <f t="array" ref="X477">IFERROR(AVERAGE(_xlfn._xlws.FILTER(R$2:R$1073,($C$2:$C$1073=$C477)*($E$2:$E$1073=$E477)*(ROW(R$2:R$1073)&lt;&gt;ROW(R477))*(R$2:R$1073&lt;&gt;""))),"")</f>
        <v>7.749408943916497E-2</v>
      </c>
      <c r="Y477" cm="1">
        <f t="array" ref="Y477">IFERROR(AVERAGE(_xlfn._xlws.FILTER(S$2:S$1073,($C$2:$C$1073=$C477)*($E$2:$E$1073=$E477)*(ROW(S$2:S$1073)&lt;&gt;ROW(S477))*(S$2:S$1073&lt;&gt;""))),"")</f>
        <v>0.79499322870069589</v>
      </c>
      <c r="Z477" cm="1">
        <f t="array" ref="Z477">IFERROR(AVERAGE(_xlfn._xlws.FILTER(T$2:T$1073,($C$2:$C$1073=$C477)*($E$2:$E$1073=$E477)*(ROW(T$2:T$1073)&lt;&gt;ROW(T477))*(T$2:T$1073&lt;&gt;""))),"")</f>
        <v>-7.7541429399112044E-2</v>
      </c>
      <c r="AA477" cm="1">
        <f t="array" ref="AA477">IFERROR(AVERAGE(_xlfn._xlws.FILTER(U$2:U$1073,($C$2:$C$1073=$C477)*($E$2:$E$1073=$E477)*(ROW(U$2:U$1073)&lt;&gt;ROW(U477))*(U$2:U$1073&lt;&gt;""))),"")</f>
        <v>1.6267808985137564</v>
      </c>
    </row>
    <row r="478" spans="1:27" x14ac:dyDescent="0.2">
      <c r="A478" s="7" t="s">
        <v>2240</v>
      </c>
      <c r="B478" t="str">
        <f t="shared" si="79"/>
        <v>SELG IV кв. 2013</v>
      </c>
      <c r="C478">
        <v>2013</v>
      </c>
      <c r="D478">
        <f>SUMIFS(Дивиденды!$C:$C,Дивиденды!$A:$A,A478,Дивиденды!$I:$I,C478)</f>
        <v>0</v>
      </c>
      <c r="E478">
        <v>3</v>
      </c>
      <c r="F478">
        <f t="shared" si="80"/>
        <v>0</v>
      </c>
      <c r="G478">
        <f t="shared" si="81"/>
        <v>1.2260000000000002</v>
      </c>
      <c r="H478">
        <f t="shared" si="82"/>
        <v>0</v>
      </c>
      <c r="I478">
        <f t="shared" si="78"/>
        <v>0.4</v>
      </c>
      <c r="J478">
        <f t="shared" si="83"/>
        <v>0</v>
      </c>
      <c r="K478">
        <f t="shared" si="87"/>
        <v>-0.20386411043374064</v>
      </c>
      <c r="L478">
        <f t="shared" si="84"/>
        <v>0</v>
      </c>
      <c r="M478">
        <f t="shared" si="77"/>
        <v>0.2</v>
      </c>
      <c r="N478">
        <f t="shared" si="85"/>
        <v>0</v>
      </c>
      <c r="O478">
        <f t="shared" si="86"/>
        <v>0.4</v>
      </c>
      <c r="P478" t="str">
        <f>IFERROR(LN('Дивиденды по годам'!I478),"")</f>
        <v/>
      </c>
      <c r="Q478" t="str">
        <f>IFERROR('Дивиденды по годам'!G478/'Дивиденды по годам'!I478, "")</f>
        <v/>
      </c>
      <c r="R478" t="str">
        <f>IFERROR(IF(AND('Дивиденды по годам'!N478&lt;&gt;"",'Дивиденды по годам'!U478&lt;&gt;"",'Дивиденды по годам'!U478&lt;&gt;0),'Дивиденды по годам'!N478/'Дивиденды по годам'!U478-1,""),"")</f>
        <v/>
      </c>
      <c r="S478" t="str">
        <f>IFERROR(IF(AND('Дивиденды по годам'!L478&lt;&gt;"",'Дивиденды по годам'!I478&lt;&gt;"",'Дивиденды по годам'!J478&lt;&gt;"",'Дивиденды по годам'!K478&lt;&gt;"",('Дивиденды по годам'!I478-'Дивиденды по годам'!J478-'Дивиденды по годам'!K478)&lt;&gt;0),'Дивиденды по годам'!L478/('Дивиденды по годам'!I478-'Дивиденды по годам'!J478-'Дивиденды по годам'!K478),""),"")</f>
        <v/>
      </c>
      <c r="T478" t="str">
        <f>IFERROR(IF(AND('Дивиденды по годам'!Q478&lt;&gt;"",'Дивиденды по годам'!I478&lt;&gt;"",'Дивиденды по годам'!V478&lt;&gt;"",('Дивиденды по годам'!I478+'Дивиденды по годам'!V478)&lt;&gt;0),'Дивиденды по годам'!Q478/(('Дивиденды по годам'!I478+'Дивиденды по годам'!V478)/2),""),"")</f>
        <v/>
      </c>
      <c r="U478" t="str">
        <f>IFERROR(IF(AND('Дивиденды по годам'!J478&lt;&gt;"",'Дивиденды по годам'!K478&lt;&gt;"",'Дивиденды по годам'!M478&lt;&gt;"",'Дивиденды по годам'!M478&lt;&gt;0),('Дивиденды по годам'!J478+'Дивиденды по годам'!K478)/'Дивиденды по годам'!M478,""),"")</f>
        <v/>
      </c>
      <c r="V478" cm="1">
        <f t="array" ref="V478">IFERROR(AVERAGE(_xlfn._xlws.FILTER(P$2:P$1073,($C$2:$C$1073=$C478)*($E$2:$E$1073=$E478)*(ROW(P$2:P$1073)&lt;&gt;ROW(P478))*(P$2:P$1073&lt;&gt;""))),"")</f>
        <v>26.438676671932889</v>
      </c>
      <c r="W478" cm="1">
        <f t="array" ref="W478">IFERROR(AVERAGE(_xlfn._xlws.FILTER(Q$2:Q$1073,($C$2:$C$1073=$C478)*($E$2:$E$1073=$E478)*(ROW(Q$2:Q$1073)&lt;&gt;ROW(Q478))*(Q$2:Q$1073&lt;&gt;""))),"")</f>
        <v>0.5772407109117077</v>
      </c>
      <c r="X478" cm="1">
        <f t="array" ref="X478">IFERROR(AVERAGE(_xlfn._xlws.FILTER(R$2:R$1073,($C$2:$C$1073=$C478)*($E$2:$E$1073=$E478)*(ROW(R$2:R$1073)&lt;&gt;ROW(R478))*(R$2:R$1073&lt;&gt;""))),"")</f>
        <v>-4.5593165048120117E-2</v>
      </c>
      <c r="Y478" cm="1">
        <f t="array" ref="Y478">IFERROR(AVERAGE(_xlfn._xlws.FILTER(S$2:S$1073,($C$2:$C$1073=$C478)*($E$2:$E$1073=$E478)*(ROW(S$2:S$1073)&lt;&gt;ROW(S478))*(S$2:S$1073&lt;&gt;""))),"")</f>
        <v>1.1343753445927802</v>
      </c>
      <c r="Z478" cm="1">
        <f t="array" ref="Z478">IFERROR(AVERAGE(_xlfn._xlws.FILTER(T$2:T$1073,($C$2:$C$1073=$C478)*($E$2:$E$1073=$E478)*(ROW(T$2:T$1073)&lt;&gt;ROW(T478))*(T$2:T$1073&lt;&gt;""))),"")</f>
        <v>-3.1112712123680317E-2</v>
      </c>
      <c r="AA478" cm="1">
        <f t="array" ref="AA478">IFERROR(AVERAGE(_xlfn._xlws.FILTER(U$2:U$1073,($C$2:$C$1073=$C478)*($E$2:$E$1073=$E478)*(ROW(U$2:U$1073)&lt;&gt;ROW(U478))*(U$2:U$1073&lt;&gt;""))),"")</f>
        <v>3.1129341153479797</v>
      </c>
    </row>
    <row r="479" spans="1:27" x14ac:dyDescent="0.2">
      <c r="A479" s="7" t="s">
        <v>2240</v>
      </c>
      <c r="B479" t="str">
        <f t="shared" si="79"/>
        <v>SELG IV кв. 2012</v>
      </c>
      <c r="C479">
        <v>2012</v>
      </c>
      <c r="D479">
        <f>SUMIFS(Дивиденды!$C:$C,Дивиденды!$A:$A,A479,Дивиденды!$I:$I,C479)</f>
        <v>0</v>
      </c>
      <c r="E479">
        <v>3</v>
      </c>
      <c r="F479">
        <f t="shared" si="80"/>
        <v>0</v>
      </c>
      <c r="G479">
        <f t="shared" si="81"/>
        <v>2.1309999999999998</v>
      </c>
      <c r="H479">
        <f t="shared" si="82"/>
        <v>0</v>
      </c>
      <c r="I479">
        <f t="shared" si="78"/>
        <v>0.6</v>
      </c>
      <c r="J479">
        <f t="shared" si="83"/>
        <v>-1</v>
      </c>
      <c r="K479">
        <f t="shared" si="87"/>
        <v>-8.4000436197696815E-2</v>
      </c>
      <c r="L479">
        <f t="shared" si="84"/>
        <v>0</v>
      </c>
      <c r="M479">
        <f t="shared" si="77"/>
        <v>0.3</v>
      </c>
      <c r="N479">
        <f t="shared" si="85"/>
        <v>1</v>
      </c>
      <c r="O479">
        <f t="shared" si="86"/>
        <v>0.5</v>
      </c>
      <c r="P479" t="str">
        <f>IFERROR(LN('Дивиденды по годам'!I479),"")</f>
        <v/>
      </c>
      <c r="Q479" t="str">
        <f>IFERROR('Дивиденды по годам'!G479/'Дивиденды по годам'!I479, "")</f>
        <v/>
      </c>
      <c r="R479" t="str">
        <f>IFERROR(IF(AND('Дивиденды по годам'!N479&lt;&gt;"",'Дивиденды по годам'!U479&lt;&gt;"",'Дивиденды по годам'!U479&lt;&gt;0),'Дивиденды по годам'!N479/'Дивиденды по годам'!U479-1,""),"")</f>
        <v/>
      </c>
      <c r="S479" t="str">
        <f>IFERROR(IF(AND('Дивиденды по годам'!L479&lt;&gt;"",'Дивиденды по годам'!I479&lt;&gt;"",'Дивиденды по годам'!J479&lt;&gt;"",'Дивиденды по годам'!K479&lt;&gt;"",('Дивиденды по годам'!I479-'Дивиденды по годам'!J479-'Дивиденды по годам'!K479)&lt;&gt;0),'Дивиденды по годам'!L479/('Дивиденды по годам'!I479-'Дивиденды по годам'!J479-'Дивиденды по годам'!K479),""),"")</f>
        <v/>
      </c>
      <c r="T479" t="str">
        <f>IFERROR(IF(AND('Дивиденды по годам'!Q479&lt;&gt;"",'Дивиденды по годам'!I479&lt;&gt;"",'Дивиденды по годам'!V479&lt;&gt;"",('Дивиденды по годам'!I479+'Дивиденды по годам'!V479)&lt;&gt;0),'Дивиденды по годам'!Q479/(('Дивиденды по годам'!I479+'Дивиденды по годам'!V479)/2),""),"")</f>
        <v/>
      </c>
      <c r="U479" t="str">
        <f>IFERROR(IF(AND('Дивиденды по годам'!J479&lt;&gt;"",'Дивиденды по годам'!K479&lt;&gt;"",'Дивиденды по годам'!M479&lt;&gt;"",'Дивиденды по годам'!M479&lt;&gt;0),('Дивиденды по годам'!J479+'Дивиденды по годам'!K479)/'Дивиденды по годам'!M479,""),"")</f>
        <v/>
      </c>
      <c r="V479" cm="1">
        <f t="array" ref="V479">IFERROR(AVERAGE(_xlfn._xlws.FILTER(P$2:P$1073,($C$2:$C$1073=$C479)*($E$2:$E$1073=$E479)*(ROW(P$2:P$1073)&lt;&gt;ROW(P479))*(P$2:P$1073&lt;&gt;""))),"")</f>
        <v>26.7103297110745</v>
      </c>
      <c r="W479" cm="1">
        <f t="array" ref="W479">IFERROR(AVERAGE(_xlfn._xlws.FILTER(Q$2:Q$1073,($C$2:$C$1073=$C479)*($E$2:$E$1073=$E479)*(ROW(Q$2:Q$1073)&lt;&gt;ROW(Q479))*(Q$2:Q$1073&lt;&gt;""))),"")</f>
        <v>0.50230860939381883</v>
      </c>
      <c r="X479" cm="1">
        <f t="array" ref="X479">IFERROR(AVERAGE(_xlfn._xlws.FILTER(R$2:R$1073,($C$2:$C$1073=$C479)*($E$2:$E$1073=$E479)*(ROW(R$2:R$1073)&lt;&gt;ROW(R479))*(R$2:R$1073&lt;&gt;""))),"")</f>
        <v>-1.7108975872326404E-3</v>
      </c>
      <c r="Y479" t="str" cm="1">
        <f t="array" ref="Y479">IFERROR(AVERAGE(_xlfn._xlws.FILTER(S$2:S$1073,($C$2:$C$1073=$C479)*($E$2:$E$1073=$E479)*(ROW(S$2:S$1073)&lt;&gt;ROW(S479))*(S$2:S$1073&lt;&gt;""))),"")</f>
        <v/>
      </c>
      <c r="Z479" cm="1">
        <f t="array" ref="Z479">IFERROR(AVERAGE(_xlfn._xlws.FILTER(T$2:T$1073,($C$2:$C$1073=$C479)*($E$2:$E$1073=$E479)*(ROW(T$2:T$1073)&lt;&gt;ROW(T479))*(T$2:T$1073&lt;&gt;""))),"")</f>
        <v>4.9772862648443709E-2</v>
      </c>
      <c r="AA479" cm="1">
        <f t="array" ref="AA479">IFERROR(AVERAGE(_xlfn._xlws.FILTER(U$2:U$1073,($C$2:$C$1073=$C479)*($E$2:$E$1073=$E479)*(ROW(U$2:U$1073)&lt;&gt;ROW(U479))*(U$2:U$1073&lt;&gt;""))),"")</f>
        <v>1.370836897515491</v>
      </c>
    </row>
    <row r="480" spans="1:27" x14ac:dyDescent="0.2">
      <c r="A480" s="7" t="s">
        <v>2240</v>
      </c>
      <c r="B480" t="str">
        <f t="shared" si="79"/>
        <v>SELG IV кв. 2011</v>
      </c>
      <c r="C480">
        <v>2011</v>
      </c>
      <c r="D480">
        <f>SUMIFS(Дивиденды!$C:$C,Дивиденды!$A:$A,A480,Дивиденды!$I:$I,C480)</f>
        <v>0.15</v>
      </c>
      <c r="E480">
        <v>3</v>
      </c>
      <c r="F480">
        <f t="shared" si="80"/>
        <v>0.15</v>
      </c>
      <c r="G480">
        <f t="shared" si="81"/>
        <v>3.7509999999999999</v>
      </c>
      <c r="H480">
        <f t="shared" si="82"/>
        <v>1</v>
      </c>
      <c r="I480">
        <f t="shared" si="78"/>
        <v>0.7</v>
      </c>
      <c r="J480">
        <f t="shared" si="83"/>
        <v>1</v>
      </c>
      <c r="K480">
        <f t="shared" si="87"/>
        <v>0.68130568048052598</v>
      </c>
      <c r="L480">
        <f t="shared" si="84"/>
        <v>1</v>
      </c>
      <c r="M480">
        <f t="shared" si="77"/>
        <v>0.5</v>
      </c>
      <c r="N480">
        <f t="shared" si="85"/>
        <v>0</v>
      </c>
      <c r="O480">
        <f t="shared" si="86"/>
        <v>0.3</v>
      </c>
      <c r="P480" t="str">
        <f>IFERROR(LN('Дивиденды по годам'!I480),"")</f>
        <v/>
      </c>
      <c r="Q480" t="str">
        <f>IFERROR('Дивиденды по годам'!G480/'Дивиденды по годам'!I480, "")</f>
        <v/>
      </c>
      <c r="R480" t="str">
        <f>IFERROR(IF(AND('Дивиденды по годам'!N480&lt;&gt;"",'Дивиденды по годам'!U480&lt;&gt;"",'Дивиденды по годам'!U480&lt;&gt;0),'Дивиденды по годам'!N480/'Дивиденды по годам'!U480-1,""),"")</f>
        <v/>
      </c>
      <c r="S480" t="str">
        <f>IFERROR(IF(AND('Дивиденды по годам'!L480&lt;&gt;"",'Дивиденды по годам'!I480&lt;&gt;"",'Дивиденды по годам'!J480&lt;&gt;"",'Дивиденды по годам'!K480&lt;&gt;"",('Дивиденды по годам'!I480-'Дивиденды по годам'!J480-'Дивиденды по годам'!K480)&lt;&gt;0),'Дивиденды по годам'!L480/('Дивиденды по годам'!I480-'Дивиденды по годам'!J480-'Дивиденды по годам'!K480),""),"")</f>
        <v/>
      </c>
      <c r="T480" t="str">
        <f>IFERROR(IF(AND('Дивиденды по годам'!Q480&lt;&gt;"",'Дивиденды по годам'!I480&lt;&gt;"",'Дивиденды по годам'!V480&lt;&gt;"",('Дивиденды по годам'!I480+'Дивиденды по годам'!V480)&lt;&gt;0),'Дивиденды по годам'!Q480/(('Дивиденды по годам'!I480+'Дивиденды по годам'!V480)/2),""),"")</f>
        <v/>
      </c>
      <c r="U480" t="str">
        <f>IFERROR(IF(AND('Дивиденды по годам'!J480&lt;&gt;"",'Дивиденды по годам'!K480&lt;&gt;"",'Дивиденды по годам'!M480&lt;&gt;"",'Дивиденды по годам'!M480&lt;&gt;0),('Дивиденды по годам'!J480+'Дивиденды по годам'!K480)/'Дивиденды по годам'!M480,""),"")</f>
        <v/>
      </c>
      <c r="V480" cm="1">
        <f t="array" ref="V480">IFERROR(AVERAGE(_xlfn._xlws.FILTER(P$2:P$1073,($C$2:$C$1073=$C480)*($E$2:$E$1073=$E480)*(ROW(P$2:P$1073)&lt;&gt;ROW(P480))*(P$2:P$1073&lt;&gt;""))),"")</f>
        <v>26.435590628703217</v>
      </c>
      <c r="W480" cm="1">
        <f t="array" ref="W480">IFERROR(AVERAGE(_xlfn._xlws.FILTER(Q$2:Q$1073,($C$2:$C$1073=$C480)*($E$2:$E$1073=$E480)*(ROW(Q$2:Q$1073)&lt;&gt;ROW(Q480))*(Q$2:Q$1073&lt;&gt;""))),"")</f>
        <v>0.56952165046998604</v>
      </c>
      <c r="X480" cm="1">
        <f t="array" ref="X480">IFERROR(AVERAGE(_xlfn._xlws.FILTER(R$2:R$1073,($C$2:$C$1073=$C480)*($E$2:$E$1073=$E480)*(ROW(R$2:R$1073)&lt;&gt;ROW(R480))*(R$2:R$1073&lt;&gt;""))),"")</f>
        <v>0.21463216748681591</v>
      </c>
      <c r="Y480" t="str" cm="1">
        <f t="array" ref="Y480">IFERROR(AVERAGE(_xlfn._xlws.FILTER(S$2:S$1073,($C$2:$C$1073=$C480)*($E$2:$E$1073=$E480)*(ROW(S$2:S$1073)&lt;&gt;ROW(S480))*(S$2:S$1073&lt;&gt;""))),"")</f>
        <v/>
      </c>
      <c r="Z480" cm="1">
        <f t="array" ref="Z480">IFERROR(AVERAGE(_xlfn._xlws.FILTER(T$2:T$1073,($C$2:$C$1073=$C480)*($E$2:$E$1073=$E480)*(ROW(T$2:T$1073)&lt;&gt;ROW(T480))*(T$2:T$1073&lt;&gt;""))),"")</f>
        <v>0.11505618365484008</v>
      </c>
      <c r="AA480" cm="1">
        <f t="array" ref="AA480">IFERROR(AVERAGE(_xlfn._xlws.FILTER(U$2:U$1073,($C$2:$C$1073=$C480)*($E$2:$E$1073=$E480)*(ROW(U$2:U$1073)&lt;&gt;ROW(U480))*(U$2:U$1073&lt;&gt;""))),"")</f>
        <v>1.1128563967031604</v>
      </c>
    </row>
    <row r="481" spans="1:27" x14ac:dyDescent="0.2">
      <c r="A481" s="7" t="s">
        <v>2240</v>
      </c>
      <c r="B481" t="str">
        <f t="shared" si="79"/>
        <v>SELG IV кв. 2010</v>
      </c>
      <c r="C481">
        <v>2010</v>
      </c>
      <c r="D481">
        <f>SUMIFS(Дивиденды!$C:$C,Дивиденды!$A:$A,A481,Дивиденды!$I:$I,C481)</f>
        <v>0</v>
      </c>
      <c r="E481">
        <v>3</v>
      </c>
      <c r="F481">
        <f t="shared" si="80"/>
        <v>0</v>
      </c>
      <c r="G481">
        <f t="shared" si="81"/>
        <v>3.0789999999999997</v>
      </c>
      <c r="H481">
        <f t="shared" si="82"/>
        <v>0</v>
      </c>
      <c r="I481">
        <f t="shared" si="78"/>
        <v>0.7</v>
      </c>
      <c r="J481" t="str">
        <f t="shared" si="83"/>
        <v/>
      </c>
      <c r="K481" t="str">
        <f t="shared" si="87"/>
        <v/>
      </c>
      <c r="L481" t="str">
        <f t="shared" si="84"/>
        <v/>
      </c>
      <c r="M481" t="str">
        <f t="shared" ref="M481:M544" si="88">IFERROR(AVERAGEIFS($L:$L,$E:$E,E481,$C:$C,C481,$A:$A,"&lt;&gt;"&amp;A481),"")</f>
        <v/>
      </c>
      <c r="N481" t="str">
        <f t="shared" si="85"/>
        <v/>
      </c>
      <c r="O481" t="str">
        <f t="shared" si="86"/>
        <v/>
      </c>
      <c r="P481" t="str">
        <f>IFERROR(LN('Дивиденды по годам'!I481),"")</f>
        <v/>
      </c>
      <c r="Q481" t="str">
        <f>IFERROR('Дивиденды по годам'!G481/'Дивиденды по годам'!I481, "")</f>
        <v/>
      </c>
      <c r="R481" t="str">
        <f>IFERROR(IF(AND('Дивиденды по годам'!N481&lt;&gt;"",'Дивиденды по годам'!U481&lt;&gt;"",'Дивиденды по годам'!U481&lt;&gt;0),'Дивиденды по годам'!N481/'Дивиденды по годам'!U481-1,""),"")</f>
        <v/>
      </c>
      <c r="S481" t="str">
        <f>IFERROR(IF(AND('Дивиденды по годам'!L481&lt;&gt;"",'Дивиденды по годам'!I481&lt;&gt;"",'Дивиденды по годам'!J481&lt;&gt;"",'Дивиденды по годам'!K481&lt;&gt;"",('Дивиденды по годам'!I481-'Дивиденды по годам'!J481-'Дивиденды по годам'!K481)&lt;&gt;0),'Дивиденды по годам'!L481/('Дивиденды по годам'!I481-'Дивиденды по годам'!J481-'Дивиденды по годам'!K481),""),"")</f>
        <v/>
      </c>
      <c r="T481" t="str">
        <f>IFERROR(IF(AND('Дивиденды по годам'!Q481&lt;&gt;"",'Дивиденды по годам'!I481&lt;&gt;"",'Дивиденды по годам'!V481&lt;&gt;"",('Дивиденды по годам'!I481+'Дивиденды по годам'!V481)&lt;&gt;0),'Дивиденды по годам'!Q481/(('Дивиденды по годам'!I481+'Дивиденды по годам'!V481)/2),""),"")</f>
        <v/>
      </c>
      <c r="U481" t="str">
        <f>IFERROR(IF(AND('Дивиденды по годам'!J481&lt;&gt;"",'Дивиденды по годам'!K481&lt;&gt;"",'Дивиденды по годам'!M481&lt;&gt;"",'Дивиденды по годам'!M481&lt;&gt;0),('Дивиденды по годам'!J481+'Дивиденды по годам'!K481)/'Дивиденды по годам'!M481,""),"")</f>
        <v/>
      </c>
      <c r="V481" cm="1">
        <f t="array" ref="V481">IFERROR(AVERAGE(_xlfn._xlws.FILTER(P$2:P$1073,($C$2:$C$1073=$C481)*($E$2:$E$1073=$E481)*(ROW(P$2:P$1073)&lt;&gt;ROW(P481))*(P$2:P$1073&lt;&gt;""))),"")</f>
        <v>26.127864794831805</v>
      </c>
      <c r="W481" cm="1">
        <f t="array" ref="W481">IFERROR(AVERAGE(_xlfn._xlws.FILTER(Q$2:Q$1073,($C$2:$C$1073=$C481)*($E$2:$E$1073=$E481)*(ROW(Q$2:Q$1073)&lt;&gt;ROW(Q481))*(Q$2:Q$1073&lt;&gt;""))),"")</f>
        <v>0.75539390451698762</v>
      </c>
      <c r="X481" t="str" cm="1">
        <f t="array" ref="X481">IFERROR(AVERAGE(_xlfn._xlws.FILTER(R$2:R$1073,($C$2:$C$1073=$C481)*($E$2:$E$1073=$E481)*(ROW(R$2:R$1073)&lt;&gt;ROW(R481))*(R$2:R$1073&lt;&gt;""))),"")</f>
        <v/>
      </c>
      <c r="Y481" t="str" cm="1">
        <f t="array" ref="Y481">IFERROR(AVERAGE(_xlfn._xlws.FILTER(S$2:S$1073,($C$2:$C$1073=$C481)*($E$2:$E$1073=$E481)*(ROW(S$2:S$1073)&lt;&gt;ROW(S481))*(S$2:S$1073&lt;&gt;""))),"")</f>
        <v/>
      </c>
      <c r="Z481" t="str" cm="1">
        <f t="array" ref="Z481">IFERROR(AVERAGE(_xlfn._xlws.FILTER(T$2:T$1073,($C$2:$C$1073=$C481)*($E$2:$E$1073=$E481)*(ROW(T$2:T$1073)&lt;&gt;ROW(T481))*(T$2:T$1073&lt;&gt;""))),"")</f>
        <v/>
      </c>
      <c r="AA481" cm="1">
        <f t="array" ref="AA481">IFERROR(AVERAGE(_xlfn._xlws.FILTER(U$2:U$1073,($C$2:$C$1073=$C481)*($E$2:$E$1073=$E481)*(ROW(U$2:U$1073)&lt;&gt;ROW(U481))*(U$2:U$1073&lt;&gt;""))),"")</f>
        <v>1.4017600691070078</v>
      </c>
    </row>
    <row r="482" spans="1:27" x14ac:dyDescent="0.2">
      <c r="A482" s="7" t="s">
        <v>2242</v>
      </c>
      <c r="B482" t="str">
        <f t="shared" si="79"/>
        <v>TRMK IV кв. 2025</v>
      </c>
      <c r="C482">
        <v>2025</v>
      </c>
      <c r="D482">
        <f>SUMIFS(Дивиденды!$C:$C,Дивиденды!$A:$A,A482,Дивиденды!$I:$I,C482)</f>
        <v>0</v>
      </c>
      <c r="E482">
        <v>3</v>
      </c>
      <c r="F482">
        <f t="shared" si="80"/>
        <v>0</v>
      </c>
      <c r="G482">
        <f t="shared" si="81"/>
        <v>10.684999999999999</v>
      </c>
      <c r="H482">
        <f t="shared" si="82"/>
        <v>0</v>
      </c>
      <c r="I482">
        <f t="shared" si="78"/>
        <v>0.1</v>
      </c>
      <c r="J482">
        <f t="shared" si="83"/>
        <v>0</v>
      </c>
      <c r="K482">
        <f t="shared" si="87"/>
        <v>-0.44741116251599566</v>
      </c>
      <c r="L482">
        <f t="shared" si="84"/>
        <v>0</v>
      </c>
      <c r="M482">
        <f t="shared" si="88"/>
        <v>0</v>
      </c>
      <c r="N482">
        <f t="shared" si="85"/>
        <v>0</v>
      </c>
      <c r="O482">
        <f t="shared" si="86"/>
        <v>0.5</v>
      </c>
      <c r="P482">
        <f>IFERROR(LN('Дивиденды по годам'!I482),"")</f>
        <v>27.114340049133929</v>
      </c>
      <c r="Q482">
        <f>IFERROR('Дивиденды по годам'!G482/'Дивиденды по годам'!I482, "")</f>
        <v>0.38634393802483502</v>
      </c>
      <c r="R482">
        <f>IFERROR(IF(AND('Дивиденды по годам'!N482&lt;&gt;"",'Дивиденды по годам'!U482&lt;&gt;"",'Дивиденды по годам'!U482&lt;&gt;0),'Дивиденды по годам'!N482/'Дивиденды по годам'!U482-1,""),"")</f>
        <v>-0.24016235566036848</v>
      </c>
      <c r="S482">
        <f>IFERROR(IF(AND('Дивиденды по годам'!L482&lt;&gt;"",'Дивиденды по годам'!I482&lt;&gt;"",'Дивиденды по годам'!J482&lt;&gt;"",'Дивиденды по годам'!K482&lt;&gt;"",('Дивиденды по годам'!I482-'Дивиденды по годам'!J482-'Дивиденды по годам'!K482)&lt;&gt;0),'Дивиденды по годам'!L482/('Дивиденды по годам'!I482-'Дивиденды по годам'!J482-'Дивиденды по годам'!K482),""),"")</f>
        <v>7.5684133022456745E-2</v>
      </c>
      <c r="T482">
        <f>IFERROR(IF(AND('Дивиденды по годам'!Q482&lt;&gt;"",'Дивиденды по годам'!I482&lt;&gt;"",'Дивиденды по годам'!V482&lt;&gt;"",('Дивиденды по годам'!I482+'Дивиденды по годам'!V482)&lt;&gt;0),'Дивиденды по годам'!Q482/(('Дивиденды по годам'!I482+'Дивиденды по годам'!V482)/2),""),"")</f>
        <v>-3.7936730752824936E-2</v>
      </c>
      <c r="U482">
        <f>IFERROR(IF(AND('Дивиденды по годам'!J482&lt;&gt;"",'Дивиденды по годам'!K482&lt;&gt;"",'Дивиденды по годам'!M482&lt;&gt;"",'Дивиденды по годам'!M482&lt;&gt;0),('Дивиденды по годам'!J482+'Дивиденды по годам'!K482)/'Дивиденды по годам'!M482,""),"")</f>
        <v>17.299699349613448</v>
      </c>
      <c r="V482" cm="1">
        <f t="array" ref="V482">IFERROR(AVERAGE(_xlfn._xlws.FILTER(P$2:P$1073,($C$2:$C$1073=$C482)*($E$2:$E$1073=$E482)*(ROW(P$2:P$1073)&lt;&gt;ROW(P482))*(P$2:P$1073&lt;&gt;""))),"")</f>
        <v>27.584827865112764</v>
      </c>
      <c r="W482" cm="1">
        <f t="array" ref="W482">IFERROR(AVERAGE(_xlfn._xlws.FILTER(Q$2:Q$1073,($C$2:$C$1073=$C482)*($E$2:$E$1073=$E482)*(ROW(Q$2:Q$1073)&lt;&gt;ROW(Q482))*(Q$2:Q$1073&lt;&gt;""))),"")</f>
        <v>0.54952959346915153</v>
      </c>
      <c r="X482" cm="1">
        <f t="array" ref="X482">IFERROR(AVERAGE(_xlfn._xlws.FILTER(R$2:R$1073,($C$2:$C$1073=$C482)*($E$2:$E$1073=$E482)*(ROW(R$2:R$1073)&lt;&gt;ROW(R482))*(R$2:R$1073&lt;&gt;""))),"")</f>
        <v>-7.2773076293368058E-2</v>
      </c>
      <c r="Y482" cm="1">
        <f t="array" ref="Y482">IFERROR(AVERAGE(_xlfn._xlws.FILTER(S$2:S$1073,($C$2:$C$1073=$C482)*($E$2:$E$1073=$E482)*(ROW(S$2:S$1073)&lt;&gt;ROW(S482))*(S$2:S$1073&lt;&gt;""))),"")</f>
        <v>1.1171008677944434</v>
      </c>
      <c r="Z482" cm="1">
        <f t="array" ref="Z482">IFERROR(AVERAGE(_xlfn._xlws.FILTER(T$2:T$1073,($C$2:$C$1073=$C482)*($E$2:$E$1073=$E482)*(ROW(T$2:T$1073)&lt;&gt;ROW(T482))*(T$2:T$1073&lt;&gt;""))),"")</f>
        <v>2.2636374725145118E-2</v>
      </c>
      <c r="AA482" cm="1">
        <f t="array" ref="AA482">IFERROR(AVERAGE(_xlfn._xlws.FILTER(U$2:U$1073,($C$2:$C$1073=$C482)*($E$2:$E$1073=$E482)*(ROW(U$2:U$1073)&lt;&gt;ROW(U482))*(U$2:U$1073&lt;&gt;""))),"")</f>
        <v>1.1707661287837048</v>
      </c>
    </row>
    <row r="483" spans="1:27" x14ac:dyDescent="0.2">
      <c r="A483" s="7" t="s">
        <v>2242</v>
      </c>
      <c r="B483" t="str">
        <f t="shared" si="79"/>
        <v>TRMK IV кв. 2024</v>
      </c>
      <c r="C483">
        <v>2024</v>
      </c>
      <c r="D483">
        <f>SUMIFS(Дивиденды!$C:$C,Дивиденды!$A:$A,A483,Дивиденды!$I:$I,C483)</f>
        <v>0</v>
      </c>
      <c r="E483">
        <v>3</v>
      </c>
      <c r="F483">
        <f t="shared" si="80"/>
        <v>0</v>
      </c>
      <c r="G483">
        <f t="shared" si="81"/>
        <v>33.058</v>
      </c>
      <c r="H483">
        <f t="shared" si="82"/>
        <v>0</v>
      </c>
      <c r="I483">
        <f t="shared" si="78"/>
        <v>0.5</v>
      </c>
      <c r="J483">
        <f t="shared" si="83"/>
        <v>-1</v>
      </c>
      <c r="K483">
        <f t="shared" si="87"/>
        <v>-0.10461447297899458</v>
      </c>
      <c r="L483">
        <f t="shared" si="84"/>
        <v>0</v>
      </c>
      <c r="M483">
        <f t="shared" si="88"/>
        <v>0.1</v>
      </c>
      <c r="N483">
        <f t="shared" si="85"/>
        <v>1</v>
      </c>
      <c r="O483">
        <f t="shared" si="86"/>
        <v>0.4</v>
      </c>
      <c r="P483">
        <f>IFERROR(LN('Дивиденды по годам'!I483),"")</f>
        <v>27.264170287129826</v>
      </c>
      <c r="Q483">
        <f>IFERROR('Дивиденды по годам'!G483/'Дивиденды по годам'!I483, "")</f>
        <v>0.34136897417136064</v>
      </c>
      <c r="R483">
        <f>IFERROR(IF(AND('Дивиденды по годам'!N483&lt;&gt;"",'Дивиденды по годам'!U483&lt;&gt;"",'Дивиденды по годам'!U483&lt;&gt;0),'Дивиденды по годам'!N483/'Дивиденды по годам'!U483-1,""),"")</f>
        <v>-2.2231817221390338E-2</v>
      </c>
      <c r="S483">
        <f>IFERROR(IF(AND('Дивиденды по годам'!L483&lt;&gt;"",'Дивиденды по годам'!I483&lt;&gt;"",'Дивиденды по годам'!J483&lt;&gt;"",'Дивиденды по годам'!K483&lt;&gt;"",('Дивиденды по годам'!I483-'Дивиденды по годам'!J483-'Дивиденды по годам'!K483)&lt;&gt;0),'Дивиденды по годам'!L483/('Дивиденды по годам'!I483-'Дивиденды по годам'!J483-'Дивиденды по годам'!K483),""),"")</f>
        <v>0.41174004192872116</v>
      </c>
      <c r="T483">
        <f>IFERROR(IF(AND('Дивиденды по годам'!Q483&lt;&gt;"",'Дивиденды по годам'!I483&lt;&gt;"",'Дивиденды по годам'!V483&lt;&gt;"",('Дивиденды по годам'!I483+'Дивиденды по годам'!V483)&lt;&gt;0),'Дивиденды по годам'!Q483/(('Дивиденды по годам'!I483+'Дивиденды по годам'!V483)/2),""),"")</f>
        <v>-4.3400034591054688E-2</v>
      </c>
      <c r="U483">
        <f>IFERROR(IF(AND('Дивиденды по годам'!J483&lt;&gt;"",'Дивиденды по годам'!K483&lt;&gt;"",'Дивиденды по годам'!M483&lt;&gt;"",'Дивиденды по годам'!M483&lt;&gt;0),('Дивиденды по годам'!J483+'Дивиденды по годам'!K483)/'Дивиденды по годам'!M483,""),"")</f>
        <v>11.105398322851153</v>
      </c>
      <c r="V483" cm="1">
        <f t="array" ref="V483">IFERROR(AVERAGE(_xlfn._xlws.FILTER(P$2:P$1073,($C$2:$C$1073=$C483)*($E$2:$E$1073=$E483)*(ROW(P$2:P$1073)&lt;&gt;ROW(P483))*(P$2:P$1073&lt;&gt;""))),"")</f>
        <v>27.284742056409279</v>
      </c>
      <c r="W483" cm="1">
        <f t="array" ref="W483">IFERROR(AVERAGE(_xlfn._xlws.FILTER(Q$2:Q$1073,($C$2:$C$1073=$C483)*($E$2:$E$1073=$E483)*(ROW(Q$2:Q$1073)&lt;&gt;ROW(Q483))*(Q$2:Q$1073&lt;&gt;""))),"")</f>
        <v>0.49401598374758127</v>
      </c>
      <c r="X483" cm="1">
        <f t="array" ref="X483">IFERROR(AVERAGE(_xlfn._xlws.FILTER(R$2:R$1073,($C$2:$C$1073=$C483)*($E$2:$E$1073=$E483)*(ROW(R$2:R$1073)&lt;&gt;ROW(R483))*(R$2:R$1073&lt;&gt;""))),"")</f>
        <v>3.0034291563430036E-2</v>
      </c>
      <c r="Y483" cm="1">
        <f t="array" ref="Y483">IFERROR(AVERAGE(_xlfn._xlws.FILTER(S$2:S$1073,($C$2:$C$1073=$C483)*($E$2:$E$1073=$E483)*(ROW(S$2:S$1073)&lt;&gt;ROW(S483))*(S$2:S$1073&lt;&gt;""))),"")</f>
        <v>1.2487127535084959</v>
      </c>
      <c r="Z483" cm="1">
        <f t="array" ref="Z483">IFERROR(AVERAGE(_xlfn._xlws.FILTER(T$2:T$1073,($C$2:$C$1073=$C483)*($E$2:$E$1073=$E483)*(ROW(T$2:T$1073)&lt;&gt;ROW(T483))*(T$2:T$1073&lt;&gt;""))),"")</f>
        <v>5.4415754468949452E-2</v>
      </c>
      <c r="AA483" cm="1">
        <f t="array" ref="AA483">IFERROR(AVERAGE(_xlfn._xlws.FILTER(U$2:U$1073,($C$2:$C$1073=$C483)*($E$2:$E$1073=$E483)*(ROW(U$2:U$1073)&lt;&gt;ROW(U483))*(U$2:U$1073&lt;&gt;""))),"")</f>
        <v>1.7106797837921004</v>
      </c>
    </row>
    <row r="484" spans="1:27" x14ac:dyDescent="0.2">
      <c r="A484" s="7" t="s">
        <v>2242</v>
      </c>
      <c r="B484" t="str">
        <f t="shared" si="79"/>
        <v>TRMK IV кв. 2023</v>
      </c>
      <c r="C484">
        <v>2023</v>
      </c>
      <c r="D484">
        <f>SUMIFS(Дивиденды!$C:$C,Дивиденды!$A:$A,A484,Дивиденды!$I:$I,C484)</f>
        <v>22.96</v>
      </c>
      <c r="E484">
        <v>3</v>
      </c>
      <c r="F484">
        <f t="shared" si="80"/>
        <v>22.96</v>
      </c>
      <c r="G484">
        <f t="shared" si="81"/>
        <v>22.948</v>
      </c>
      <c r="H484">
        <f t="shared" si="82"/>
        <v>1</v>
      </c>
      <c r="I484">
        <f t="shared" si="78"/>
        <v>0.5</v>
      </c>
      <c r="J484">
        <f t="shared" si="83"/>
        <v>0.32870370370370366</v>
      </c>
      <c r="K484">
        <f t="shared" si="87"/>
        <v>0.4</v>
      </c>
      <c r="L484">
        <f t="shared" si="84"/>
        <v>1</v>
      </c>
      <c r="M484">
        <f t="shared" si="88"/>
        <v>0.5</v>
      </c>
      <c r="N484">
        <f t="shared" si="85"/>
        <v>0</v>
      </c>
      <c r="O484">
        <f t="shared" si="86"/>
        <v>0.1</v>
      </c>
      <c r="P484">
        <f>IFERROR(LN('Дивиденды по годам'!I484),"")</f>
        <v>27.094662276364286</v>
      </c>
      <c r="Q484">
        <f>IFERROR('Дивиденды по годам'!G484/'Дивиденды по годам'!I484, "")</f>
        <v>0.32384581978340632</v>
      </c>
      <c r="R484">
        <f>IFERROR(IF(AND('Дивиденды по годам'!N484&lt;&gt;"",'Дивиденды по годам'!U484&lt;&gt;"",'Дивиденды по годам'!U484&lt;&gt;0),'Дивиденды по годам'!N484/'Дивиденды по годам'!U484-1,""),"")</f>
        <v>-0.13496825258071954</v>
      </c>
      <c r="S484">
        <f>IFERROR(IF(AND('Дивиденды по годам'!L484&lt;&gt;"",'Дивиденды по годам'!I484&lt;&gt;"",'Дивиденды по годам'!J484&lt;&gt;"",'Дивиденды по годам'!K484&lt;&gt;"",('Дивиденды по годам'!I484-'Дивиденды по годам'!J484-'Дивиденды по годам'!K484)&lt;&gt;0),'Дивиденды по годам'!L484/('Дивиденды по годам'!I484-'Дивиденды по годам'!J484-'Дивиденды по годам'!K484),""),"")</f>
        <v>0.66268422630717072</v>
      </c>
      <c r="T484">
        <f>IFERROR(IF(AND('Дивиденды по годам'!Q484&lt;&gt;"",'Дивиденды по годам'!I484&lt;&gt;"",'Дивиденды по годам'!V484&lt;&gt;"",('Дивиденды по годам'!I484+'Дивиденды по годам'!V484)&lt;&gt;0),'Дивиденды по годам'!Q484/(('Дивиденды по годам'!I484+'Дивиденды по годам'!V484)/2),""),"")</f>
        <v>6.6471054357099643E-2</v>
      </c>
      <c r="U484">
        <f>IFERROR(IF(AND('Дивиденды по годам'!J484&lt;&gt;"",'Дивиденды по годам'!K484&lt;&gt;"",'Дивиденды по годам'!M484&lt;&gt;"",'Дивиденды по годам'!M484&lt;&gt;0),('Дивиденды по годам'!J484+'Дивиденды по годам'!K484)/'Дивиденды по годам'!M484,""),"")</f>
        <v>5.7448624212929857</v>
      </c>
      <c r="V484" cm="1">
        <f t="array" ref="V484">IFERROR(AVERAGE(_xlfn._xlws.FILTER(P$2:P$1073,($C$2:$C$1073=$C484)*($E$2:$E$1073=$E484)*(ROW(P$2:P$1073)&lt;&gt;ROW(P484))*(P$2:P$1073&lt;&gt;""))),"")</f>
        <v>27.22246941401578</v>
      </c>
      <c r="W484" cm="1">
        <f t="array" ref="W484">IFERROR(AVERAGE(_xlfn._xlws.FILTER(Q$2:Q$1073,($C$2:$C$1073=$C484)*($E$2:$E$1073=$E484)*(ROW(Q$2:Q$1073)&lt;&gt;ROW(Q484))*(Q$2:Q$1073&lt;&gt;""))),"")</f>
        <v>0.46896953635162325</v>
      </c>
      <c r="X484" cm="1">
        <f t="array" ref="X484">IFERROR(AVERAGE(_xlfn._xlws.FILTER(R$2:R$1073,($C$2:$C$1073=$C484)*($E$2:$E$1073=$E484)*(ROW(R$2:R$1073)&lt;&gt;ROW(R484))*(R$2:R$1073&lt;&gt;""))),"")</f>
        <v>0.15741981929382393</v>
      </c>
      <c r="Y484" cm="1">
        <f t="array" ref="Y484">IFERROR(AVERAGE(_xlfn._xlws.FILTER(S$2:S$1073,($C$2:$C$1073=$C484)*($E$2:$E$1073=$E484)*(ROW(S$2:S$1073)&lt;&gt;ROW(S484))*(S$2:S$1073&lt;&gt;""))),"")</f>
        <v>8.2165271311979149E-2</v>
      </c>
      <c r="Z484" cm="1">
        <f t="array" ref="Z484">IFERROR(AVERAGE(_xlfn._xlws.FILTER(T$2:T$1073,($C$2:$C$1073=$C484)*($E$2:$E$1073=$E484)*(ROW(T$2:T$1073)&lt;&gt;ROW(T484))*(T$2:T$1073&lt;&gt;""))),"")</f>
        <v>0.12359121905100594</v>
      </c>
      <c r="AA484" cm="1">
        <f t="array" ref="AA484">IFERROR(AVERAGE(_xlfn._xlws.FILTER(U$2:U$1073,($C$2:$C$1073=$C484)*($E$2:$E$1073=$E484)*(ROW(U$2:U$1073)&lt;&gt;ROW(U484))*(U$2:U$1073&lt;&gt;""))),"")</f>
        <v>-1.1876962677437519</v>
      </c>
    </row>
    <row r="485" spans="1:27" x14ac:dyDescent="0.2">
      <c r="A485" s="7" t="s">
        <v>2242</v>
      </c>
      <c r="B485" t="str">
        <f t="shared" si="79"/>
        <v>TRMK IV кв. 2022</v>
      </c>
      <c r="C485">
        <v>2022</v>
      </c>
      <c r="D485">
        <f>SUMIFS(Дивиденды!$C:$C,Дивиденды!$A:$A,A485,Дивиденды!$I:$I,C485)</f>
        <v>17.28</v>
      </c>
      <c r="E485">
        <v>3</v>
      </c>
      <c r="F485">
        <f t="shared" si="80"/>
        <v>17.28</v>
      </c>
      <c r="G485">
        <f t="shared" si="81"/>
        <v>2E-3</v>
      </c>
      <c r="H485">
        <f t="shared" si="82"/>
        <v>1</v>
      </c>
      <c r="I485">
        <f t="shared" si="78"/>
        <v>0.1</v>
      </c>
      <c r="J485">
        <f t="shared" si="83"/>
        <v>-2.4280067758328611E-2</v>
      </c>
      <c r="K485">
        <f t="shared" si="87"/>
        <v>-0.6</v>
      </c>
      <c r="L485">
        <f t="shared" si="84"/>
        <v>0</v>
      </c>
      <c r="M485">
        <f t="shared" si="88"/>
        <v>0.1</v>
      </c>
      <c r="N485">
        <f t="shared" si="85"/>
        <v>1</v>
      </c>
      <c r="O485">
        <f t="shared" si="86"/>
        <v>0.7</v>
      </c>
      <c r="P485">
        <f>IFERROR(LN('Дивиденды по годам'!I485),"")</f>
        <v>27.12040047115293</v>
      </c>
      <c r="Q485">
        <f>IFERROR('Дивиденды по годам'!G485/'Дивиденды по годам'!I485, "")</f>
        <v>0.31282087172129713</v>
      </c>
      <c r="R485">
        <f>IFERROR(IF(AND('Дивиденды по годам'!N485&lt;&gt;"",'Дивиденды по годам'!U485&lt;&gt;"",'Дивиденды по годам'!U485&lt;&gt;0),'Дивиденды по годам'!N485/'Дивиденды по годам'!U485-1,""),"")</f>
        <v>0.46669666022504486</v>
      </c>
      <c r="S485">
        <f>IFERROR(IF(AND('Дивиденды по годам'!L485&lt;&gt;"",'Дивиденды по годам'!I485&lt;&gt;"",'Дивиденды по годам'!J485&lt;&gt;"",'Дивиденды по годам'!K485&lt;&gt;"",('Дивиденды по годам'!I485-'Дивиденды по годам'!J485-'Дивиденды по годам'!K485)&lt;&gt;0),'Дивиденды по годам'!L485/('Дивиденды по годам'!I485-'Дивиденды по годам'!J485-'Дивиденды по годам'!K485),""),"")</f>
        <v>0.58687009462334039</v>
      </c>
      <c r="T485">
        <f>IFERROR(IF(AND('Дивиденды по годам'!Q485&lt;&gt;"",'Дивиденды по годам'!I485&lt;&gt;"",'Дивиденды по годам'!V485&lt;&gt;"",('Дивиденды по годам'!I485+'Дивиденды по годам'!V485)&lt;&gt;0),'Дивиденды по годам'!Q485/(('Дивиденды по годам'!I485+'Дивиденды по годам'!V485)/2),""),"")</f>
        <v>6.4770217038696218E-2</v>
      </c>
      <c r="U485">
        <f>IFERROR(IF(AND('Дивиденды по годам'!J485&lt;&gt;"",'Дивиденды по годам'!K485&lt;&gt;"",'Дивиденды по годам'!M485&lt;&gt;"",'Дивиденды по годам'!M485&lt;&gt;0),('Дивиденды по годам'!J485+'Дивиденды по годам'!K485)/'Дивиденды по годам'!M485,""),"")</f>
        <v>7.8039756473263404</v>
      </c>
      <c r="V485" cm="1">
        <f t="array" ref="V485">IFERROR(AVERAGE(_xlfn._xlws.FILTER(P$2:P$1073,($C$2:$C$1073=$C485)*($E$2:$E$1073=$E485)*(ROW(P$2:P$1073)&lt;&gt;ROW(P485))*(P$2:P$1073&lt;&gt;""))),"")</f>
        <v>27.07907667156244</v>
      </c>
      <c r="W485" cm="1">
        <f t="array" ref="W485">IFERROR(AVERAGE(_xlfn._xlws.FILTER(Q$2:Q$1073,($C$2:$C$1073=$C485)*($E$2:$E$1073=$E485)*(ROW(Q$2:Q$1073)&lt;&gt;ROW(Q485))*(Q$2:Q$1073&lt;&gt;""))),"")</f>
        <v>0.48768288281976468</v>
      </c>
      <c r="X485" cm="1">
        <f t="array" ref="X485">IFERROR(AVERAGE(_xlfn._xlws.FILTER(R$2:R$1073,($C$2:$C$1073=$C485)*($E$2:$E$1073=$E485)*(ROW(R$2:R$1073)&lt;&gt;ROW(R485))*(R$2:R$1073&lt;&gt;""))),"")</f>
        <v>-7.0530739483667643E-2</v>
      </c>
      <c r="Y485" cm="1">
        <f t="array" ref="Y485">IFERROR(AVERAGE(_xlfn._xlws.FILTER(S$2:S$1073,($C$2:$C$1073=$C485)*($E$2:$E$1073=$E485)*(ROW(S$2:S$1073)&lt;&gt;ROW(S485))*(S$2:S$1073&lt;&gt;""))),"")</f>
        <v>0.87831143417535085</v>
      </c>
      <c r="Z485" cm="1">
        <f t="array" ref="Z485">IFERROR(AVERAGE(_xlfn._xlws.FILTER(T$2:T$1073,($C$2:$C$1073=$C485)*($E$2:$E$1073=$E485)*(ROW(T$2:T$1073)&lt;&gt;ROW(T485))*(T$2:T$1073&lt;&gt;""))),"")</f>
        <v>0.16805966621143834</v>
      </c>
      <c r="AA485" cm="1">
        <f t="array" ref="AA485">IFERROR(AVERAGE(_xlfn._xlws.FILTER(U$2:U$1073,($C$2:$C$1073=$C485)*($E$2:$E$1073=$E485)*(ROW(U$2:U$1073)&lt;&gt;ROW(U485))*(U$2:U$1073&lt;&gt;""))),"")</f>
        <v>0.48829533766148286</v>
      </c>
    </row>
    <row r="486" spans="1:27" x14ac:dyDescent="0.2">
      <c r="A486" s="7" t="s">
        <v>2242</v>
      </c>
      <c r="B486" t="str">
        <f t="shared" si="79"/>
        <v>TRMK IV кв. 2021</v>
      </c>
      <c r="C486">
        <v>2021</v>
      </c>
      <c r="D486">
        <f>SUMIFS(Дивиденды!$C:$C,Дивиденды!$A:$A,A486,Дивиденды!$I:$I,C486)</f>
        <v>17.71</v>
      </c>
      <c r="E486">
        <v>3</v>
      </c>
      <c r="F486">
        <f t="shared" si="80"/>
        <v>17.71</v>
      </c>
      <c r="G486">
        <f t="shared" si="81"/>
        <v>35.084000000000003</v>
      </c>
      <c r="H486">
        <f t="shared" si="82"/>
        <v>1</v>
      </c>
      <c r="I486">
        <f t="shared" si="78"/>
        <v>0.7</v>
      </c>
      <c r="J486">
        <f t="shared" si="83"/>
        <v>0.39779005524861888</v>
      </c>
      <c r="K486">
        <f t="shared" si="87"/>
        <v>0.69091732104593473</v>
      </c>
      <c r="L486">
        <f t="shared" si="84"/>
        <v>1</v>
      </c>
      <c r="M486">
        <f t="shared" si="88"/>
        <v>0.4</v>
      </c>
      <c r="N486">
        <f t="shared" si="85"/>
        <v>0</v>
      </c>
      <c r="O486">
        <f t="shared" si="86"/>
        <v>0.2</v>
      </c>
      <c r="P486">
        <f>IFERROR(LN('Дивиденды по годам'!I486),"")</f>
        <v>27.266568864125368</v>
      </c>
      <c r="Q486">
        <f>IFERROR('Дивиденды по годам'!G486/'Дивиденды по годам'!I486, "")</f>
        <v>0.32433841028424493</v>
      </c>
      <c r="R486">
        <f>IFERROR(IF(AND('Дивиденды по годам'!N486&lt;&gt;"",'Дивиденды по годам'!U486&lt;&gt;"",'Дивиденды по годам'!U486&lt;&gt;0),'Дивиденды по годам'!N486/'Дивиденды по годам'!U486-1,""),"")</f>
        <v>0.92695657642360785</v>
      </c>
      <c r="S486">
        <f>IFERROR(IF(AND('Дивиденды по годам'!L486&lt;&gt;"",'Дивиденды по годам'!I486&lt;&gt;"",'Дивиденды по годам'!J486&lt;&gt;"",'Дивиденды по годам'!K486&lt;&gt;"",('Дивиденды по годам'!I486-'Дивиденды по годам'!J486-'Дивиденды по годам'!K486)&lt;&gt;0),'Дивиденды по годам'!L486/('Дивиденды по годам'!I486-'Дивиденды по годам'!J486-'Дивиденды по годам'!K486),""),"")</f>
        <v>0.28746918899420854</v>
      </c>
      <c r="T486">
        <f>IFERROR(IF(AND('Дивиденды по годам'!Q486&lt;&gt;"",'Дивиденды по годам'!I486&lt;&gt;"",'Дивиденды по годам'!V486&lt;&gt;"",('Дивиденды по годам'!I486+'Дивиденды по годам'!V486)&lt;&gt;0),'Дивиденды по годам'!Q486/(('Дивиденды по годам'!I486+'Дивиденды по годам'!V486)/2),""),"")</f>
        <v>1.2899622511394697E-2</v>
      </c>
      <c r="U486">
        <f>IFERROR(IF(AND('Дивиденды по годам'!J486&lt;&gt;"",'Дивиденды по годам'!K486&lt;&gt;"",'Дивиденды по годам'!M486&lt;&gt;"",'Дивиденды по годам'!M486&lt;&gt;0),('Дивиденды по годам'!J486+'Дивиденды по годам'!K486)/'Дивиденды по годам'!M486,""),"")</f>
        <v>12.919099817638925</v>
      </c>
      <c r="V486" cm="1">
        <f t="array" ref="V486">IFERROR(AVERAGE(_xlfn._xlws.FILTER(P$2:P$1073,($C$2:$C$1073=$C486)*($E$2:$E$1073=$E486)*(ROW(P$2:P$1073)&lt;&gt;ROW(P486))*(P$2:P$1073&lt;&gt;""))),"")</f>
        <v>26.956639315779427</v>
      </c>
      <c r="W486" cm="1">
        <f t="array" ref="W486">IFERROR(AVERAGE(_xlfn._xlws.FILTER(Q$2:Q$1073,($C$2:$C$1073=$C486)*($E$2:$E$1073=$E486)*(ROW(Q$2:Q$1073)&lt;&gt;ROW(Q486))*(Q$2:Q$1073&lt;&gt;""))),"")</f>
        <v>0.50403749207146398</v>
      </c>
      <c r="X486" cm="1">
        <f t="array" ref="X486">IFERROR(AVERAGE(_xlfn._xlws.FILTER(R$2:R$1073,($C$2:$C$1073=$C486)*($E$2:$E$1073=$E486)*(ROW(R$2:R$1073)&lt;&gt;ROW(R486))*(R$2:R$1073&lt;&gt;""))),"")</f>
        <v>0.65873566076097823</v>
      </c>
      <c r="Y486" cm="1">
        <f t="array" ref="Y486">IFERROR(AVERAGE(_xlfn._xlws.FILTER(S$2:S$1073,($C$2:$C$1073=$C486)*($E$2:$E$1073=$E486)*(ROW(S$2:S$1073)&lt;&gt;ROW(S486))*(S$2:S$1073&lt;&gt;""))),"")</f>
        <v>1.110200373846834</v>
      </c>
      <c r="Z486" cm="1">
        <f t="array" ref="Z486">IFERROR(AVERAGE(_xlfn._xlws.FILTER(T$2:T$1073,($C$2:$C$1073=$C486)*($E$2:$E$1073=$E486)*(ROW(T$2:T$1073)&lt;&gt;ROW(T486))*(T$2:T$1073&lt;&gt;""))),"")</f>
        <v>0.31480332905776187</v>
      </c>
      <c r="AA486" cm="1">
        <f t="array" ref="AA486">IFERROR(AVERAGE(_xlfn._xlws.FILTER(U$2:U$1073,($C$2:$C$1073=$C486)*($E$2:$E$1073=$E486)*(ROW(U$2:U$1073)&lt;&gt;ROW(U486))*(U$2:U$1073&lt;&gt;""))),"")</f>
        <v>0.96106624658524797</v>
      </c>
    </row>
    <row r="487" spans="1:27" x14ac:dyDescent="0.2">
      <c r="A487" s="7" t="s">
        <v>2242</v>
      </c>
      <c r="B487" t="str">
        <f t="shared" si="79"/>
        <v>TRMK IV кв. 2020</v>
      </c>
      <c r="C487">
        <v>2020</v>
      </c>
      <c r="D487">
        <f>SUMIFS(Дивиденды!$C:$C,Дивиденды!$A:$A,A487,Дивиденды!$I:$I,C487)</f>
        <v>12.67</v>
      </c>
      <c r="E487">
        <v>3</v>
      </c>
      <c r="F487">
        <f t="shared" si="80"/>
        <v>12.67</v>
      </c>
      <c r="G487">
        <f t="shared" si="81"/>
        <v>22.716999999999999</v>
      </c>
      <c r="H487">
        <f t="shared" si="82"/>
        <v>1</v>
      </c>
      <c r="I487">
        <f t="shared" si="78"/>
        <v>0.7</v>
      </c>
      <c r="J487">
        <f t="shared" si="83"/>
        <v>3.9686274509803927</v>
      </c>
      <c r="K487">
        <f t="shared" si="87"/>
        <v>0.26251680361194529</v>
      </c>
      <c r="L487">
        <f t="shared" si="84"/>
        <v>1</v>
      </c>
      <c r="M487">
        <f t="shared" si="88"/>
        <v>0.6</v>
      </c>
      <c r="N487">
        <f t="shared" si="85"/>
        <v>0</v>
      </c>
      <c r="O487">
        <f t="shared" si="86"/>
        <v>0.1</v>
      </c>
      <c r="P487">
        <f>IFERROR(LN('Дивиденды по годам'!I487),"")</f>
        <v>26.761373005809212</v>
      </c>
      <c r="Q487">
        <f>IFERROR('Дивиденды по годам'!G487/'Дивиденды по годам'!I487, "")</f>
        <v>0.31671514367726955</v>
      </c>
      <c r="R487">
        <f>IFERROR(IF(AND('Дивиденды по годам'!N487&lt;&gt;"",'Дивиденды по годам'!U487&lt;&gt;"",'Дивиденды по годам'!U487&lt;&gt;0),'Дивиденды по годам'!N487/'Дивиденды по годам'!U487-1,""),"")</f>
        <v>-0.27809052526444822</v>
      </c>
      <c r="S487">
        <f>IFERROR(IF(AND('Дивиденды по годам'!L487&lt;&gt;"",'Дивиденды по годам'!I487&lt;&gt;"",'Дивиденды по годам'!J487&lt;&gt;"",'Дивиденды по годам'!K487&lt;&gt;"",('Дивиденды по годам'!I487-'Дивиденды по годам'!J487-'Дивиденды по годам'!K487)&lt;&gt;0),'Дивиденды по годам'!L487/('Дивиденды по годам'!I487-'Дивиденды по годам'!J487-'Дивиденды по годам'!K487),""),"")</f>
        <v>0.49716986393040374</v>
      </c>
      <c r="T487">
        <f>IFERROR(IF(AND('Дивиденды по годам'!Q487&lt;&gt;"",'Дивиденды по годам'!I487&lt;&gt;"",'Дивиденды по годам'!V487&lt;&gt;"",('Дивиденды по годам'!I487+'Дивиденды по годам'!V487)&lt;&gt;0),'Дивиденды по годам'!Q487/(('Дивиденды по годам'!I487+'Дивиденды по годам'!V487)/2),""),"")</f>
        <v>6.3014647061187812E-2</v>
      </c>
      <c r="U487">
        <f>IFERROR(IF(AND('Дивиденды по годам'!J487&lt;&gt;"",'Дивиденды по годам'!K487&lt;&gt;"",'Дивиденды по годам'!M487&lt;&gt;"",'Дивиденды по годам'!M487&lt;&gt;0),('Дивиденды по годам'!J487+'Дивиденды по годам'!K487)/'Дивиденды по годам'!M487,""),"")</f>
        <v>4.8428925942449252</v>
      </c>
      <c r="V487" cm="1">
        <f t="array" ref="V487">IFERROR(AVERAGE(_xlfn._xlws.FILTER(P$2:P$1073,($C$2:$C$1073=$C487)*($E$2:$E$1073=$E487)*(ROW(P$2:P$1073)&lt;&gt;ROW(P487))*(P$2:P$1073&lt;&gt;""))),"")</f>
        <v>26.824403711842002</v>
      </c>
      <c r="W487" cm="1">
        <f t="array" ref="W487">IFERROR(AVERAGE(_xlfn._xlws.FILTER(Q$2:Q$1073,($C$2:$C$1073=$C487)*($E$2:$E$1073=$E487)*(ROW(Q$2:Q$1073)&lt;&gt;ROW(Q487))*(Q$2:Q$1073&lt;&gt;""))),"")</f>
        <v>0.52505606528524218</v>
      </c>
      <c r="X487" cm="1">
        <f t="array" ref="X487">IFERROR(AVERAGE(_xlfn._xlws.FILTER(R$2:R$1073,($C$2:$C$1073=$C487)*($E$2:$E$1073=$E487)*(ROW(R$2:R$1073)&lt;&gt;ROW(R487))*(R$2:R$1073&lt;&gt;""))),"")</f>
        <v>5.7760520966778715E-2</v>
      </c>
      <c r="Y487" cm="1">
        <f t="array" ref="Y487">IFERROR(AVERAGE(_xlfn._xlws.FILTER(S$2:S$1073,($C$2:$C$1073=$C487)*($E$2:$E$1073=$E487)*(ROW(S$2:S$1073)&lt;&gt;ROW(S487))*(S$2:S$1073&lt;&gt;""))),"")</f>
        <v>1.095383293152469</v>
      </c>
      <c r="Z487" cm="1">
        <f t="array" ref="Z487">IFERROR(AVERAGE(_xlfn._xlws.FILTER(T$2:T$1073,($C$2:$C$1073=$C487)*($E$2:$E$1073=$E487)*(ROW(T$2:T$1073)&lt;&gt;ROW(T487))*(T$2:T$1073&lt;&gt;""))),"")</f>
        <v>9.7427226800680763E-2</v>
      </c>
      <c r="AA487" cm="1">
        <f t="array" ref="AA487">IFERROR(AVERAGE(_xlfn._xlws.FILTER(U$2:U$1073,($C$2:$C$1073=$C487)*($E$2:$E$1073=$E487)*(ROW(U$2:U$1073)&lt;&gt;ROW(U487))*(U$2:U$1073&lt;&gt;""))),"")</f>
        <v>1.3405321976666194</v>
      </c>
    </row>
    <row r="488" spans="1:27" x14ac:dyDescent="0.2">
      <c r="A488" s="7" t="s">
        <v>2242</v>
      </c>
      <c r="B488" t="str">
        <f t="shared" si="79"/>
        <v>TRMK IV кв. 2019</v>
      </c>
      <c r="C488">
        <v>2019</v>
      </c>
      <c r="D488">
        <f>SUMIFS(Дивиденды!$C:$C,Дивиденды!$A:$A,A488,Дивиденды!$I:$I,C488)</f>
        <v>2.5499999999999998</v>
      </c>
      <c r="E488">
        <v>3</v>
      </c>
      <c r="F488">
        <f t="shared" si="80"/>
        <v>2.5499999999999998</v>
      </c>
      <c r="G488">
        <f t="shared" si="81"/>
        <v>19.336000000000002</v>
      </c>
      <c r="H488">
        <f t="shared" si="82"/>
        <v>1</v>
      </c>
      <c r="I488">
        <f t="shared" si="78"/>
        <v>0.7</v>
      </c>
      <c r="J488">
        <f t="shared" si="83"/>
        <v>1</v>
      </c>
      <c r="K488">
        <f t="shared" si="87"/>
        <v>0.15160659566020115</v>
      </c>
      <c r="L488">
        <f t="shared" si="84"/>
        <v>1</v>
      </c>
      <c r="M488">
        <f t="shared" si="88"/>
        <v>0.3</v>
      </c>
      <c r="N488">
        <f t="shared" si="85"/>
        <v>0</v>
      </c>
      <c r="O488">
        <f t="shared" si="86"/>
        <v>0.4</v>
      </c>
      <c r="P488">
        <f>IFERROR(LN('Дивиденды по годам'!I488),"")</f>
        <v>26.58741392437711</v>
      </c>
      <c r="Q488">
        <f>IFERROR('Дивиденды по годам'!G488/'Дивиденды по годам'!I488, "")</f>
        <v>0.33335888830207111</v>
      </c>
      <c r="R488">
        <f>IFERROR(IF(AND('Дивиденды по годам'!N488&lt;&gt;"",'Дивиденды по годам'!U488&lt;&gt;"",'Дивиденды по годам'!U488&lt;&gt;0),'Дивиденды по годам'!N488/'Дивиденды по годам'!U488-1,""),"")</f>
        <v>-3.7988717712226894E-2</v>
      </c>
      <c r="S488">
        <f>IFERROR(IF(AND('Дивиденды по годам'!L488&lt;&gt;"",'Дивиденды по годам'!I488&lt;&gt;"",'Дивиденды по годам'!J488&lt;&gt;"",'Дивиденды по годам'!K488&lt;&gt;"",('Дивиденды по годам'!I488-'Дивиденды по годам'!J488-'Дивиденды по годам'!K488)&lt;&gt;0),'Дивиденды по годам'!L488/('Дивиденды по годам'!I488-'Дивиденды по годам'!J488-'Дивиденды по годам'!K488),""),"")</f>
        <v>0.27302920048511986</v>
      </c>
      <c r="T488">
        <f>IFERROR(IF(AND('Дивиденды по годам'!Q488&lt;&gt;"",'Дивиденды по годам'!I488&lt;&gt;"",'Дивиденды по годам'!V488&lt;&gt;"",('Дивиденды по годам'!I488+'Дивиденды по годам'!V488)&lt;&gt;0),'Дивиденды по годам'!Q488/(('Дивиденды по годам'!I488+'Дивиденды по годам'!V488)/2),""),"")</f>
        <v>1.1835466462867627E-2</v>
      </c>
      <c r="U488">
        <f>IFERROR(IF(AND('Дивиденды по годам'!J488&lt;&gt;"",'Дивиденды по годам'!K488&lt;&gt;"",'Дивиденды по годам'!M488&lt;&gt;"",'Дивиденды по годам'!M488&lt;&gt;0),('Дивиденды по годам'!J488+'Дивиденды по годам'!K488)/'Дивиденды по годам'!M488,""),"")</f>
        <v>5.5711726840190314</v>
      </c>
      <c r="V488" cm="1">
        <f t="array" ref="V488">IFERROR(AVERAGE(_xlfn._xlws.FILTER(P$2:P$1073,($C$2:$C$1073=$C488)*($E$2:$E$1073=$E488)*(ROW(P$2:P$1073)&lt;&gt;ROW(P488))*(P$2:P$1073&lt;&gt;""))),"")</f>
        <v>26.726887712518959</v>
      </c>
      <c r="W488" cm="1">
        <f t="array" ref="W488">IFERROR(AVERAGE(_xlfn._xlws.FILTER(Q$2:Q$1073,($C$2:$C$1073=$C488)*($E$2:$E$1073=$E488)*(ROW(Q$2:Q$1073)&lt;&gt;ROW(Q488))*(Q$2:Q$1073&lt;&gt;""))),"")</f>
        <v>0.5174532483641423</v>
      </c>
      <c r="X488" cm="1">
        <f t="array" ref="X488">IFERROR(AVERAGE(_xlfn._xlws.FILTER(R$2:R$1073,($C$2:$C$1073=$C488)*($E$2:$E$1073=$E488)*(ROW(R$2:R$1073)&lt;&gt;ROW(R488))*(R$2:R$1073&lt;&gt;""))),"")</f>
        <v>4.6557436038401623E-2</v>
      </c>
      <c r="Y488" cm="1">
        <f t="array" ref="Y488">IFERROR(AVERAGE(_xlfn._xlws.FILTER(S$2:S$1073,($C$2:$C$1073=$C488)*($E$2:$E$1073=$E488)*(ROW(S$2:S$1073)&lt;&gt;ROW(S488))*(S$2:S$1073&lt;&gt;""))),"")</f>
        <v>0.97169589923437805</v>
      </c>
      <c r="Z488" cm="1">
        <f t="array" ref="Z488">IFERROR(AVERAGE(_xlfn._xlws.FILTER(T$2:T$1073,($C$2:$C$1073=$C488)*($E$2:$E$1073=$E488)*(ROW(T$2:T$1073)&lt;&gt;ROW(T488))*(T$2:T$1073&lt;&gt;""))),"")</f>
        <v>0.15061817820814208</v>
      </c>
      <c r="AA488" cm="1">
        <f t="array" ref="AA488">IFERROR(AVERAGE(_xlfn._xlws.FILTER(U$2:U$1073,($C$2:$C$1073=$C488)*($E$2:$E$1073=$E488)*(ROW(U$2:U$1073)&lt;&gt;ROW(U488))*(U$2:U$1073&lt;&gt;""))),"")</f>
        <v>1.1577880646095289</v>
      </c>
    </row>
    <row r="489" spans="1:27" x14ac:dyDescent="0.2">
      <c r="A489" s="7" t="s">
        <v>2242</v>
      </c>
      <c r="B489" t="str">
        <f t="shared" si="79"/>
        <v>TRMK IV кв. 2018</v>
      </c>
      <c r="C489">
        <v>2018</v>
      </c>
      <c r="D489">
        <f>SUMIFS(Дивиденды!$C:$C,Дивиденды!$A:$A,A489,Дивиденды!$I:$I,C489)</f>
        <v>0</v>
      </c>
      <c r="E489">
        <v>3</v>
      </c>
      <c r="F489">
        <f t="shared" si="80"/>
        <v>0</v>
      </c>
      <c r="G489">
        <f t="shared" si="81"/>
        <v>22.694999999999997</v>
      </c>
      <c r="H489">
        <f t="shared" si="82"/>
        <v>0</v>
      </c>
      <c r="I489">
        <f t="shared" si="78"/>
        <v>0.5</v>
      </c>
      <c r="J489">
        <f t="shared" si="83"/>
        <v>-1</v>
      </c>
      <c r="K489">
        <f t="shared" si="87"/>
        <v>0.2208568682360553</v>
      </c>
      <c r="L489">
        <f t="shared" si="84"/>
        <v>0</v>
      </c>
      <c r="M489">
        <f t="shared" si="88"/>
        <v>0.5</v>
      </c>
      <c r="N489">
        <f t="shared" si="85"/>
        <v>1</v>
      </c>
      <c r="O489">
        <f t="shared" si="86"/>
        <v>0.1</v>
      </c>
      <c r="P489">
        <f>IFERROR(LN('Дивиденды по годам'!I489),"")</f>
        <v>26.474654840401769</v>
      </c>
      <c r="Q489">
        <f>IFERROR('Дивиденды по годам'!G489/'Дивиденды по годам'!I489, "")</f>
        <v>0.41466680973838849</v>
      </c>
      <c r="R489">
        <f>IFERROR(IF(AND('Дивиденды по годам'!N489&lt;&gt;"",'Дивиденды по годам'!U489&lt;&gt;"",'Дивиденды по годам'!U489&lt;&gt;0),'Дивиденды по годам'!N489/'Дивиденды по годам'!U489-1,""),"")</f>
        <v>0.25116100040502731</v>
      </c>
      <c r="S489">
        <f>IFERROR(IF(AND('Дивиденды по годам'!L489&lt;&gt;"",'Дивиденды по годам'!I489&lt;&gt;"",'Дивиденды по годам'!J489&lt;&gt;"",'Дивиденды по годам'!K489&lt;&gt;"",('Дивиденды по годам'!I489-'Дивиденды по годам'!J489-'Дивиденды по годам'!K489)&lt;&gt;0),'Дивиденды по годам'!L489/('Дивиденды по годам'!I489-'Дивиденды по годам'!J489-'Дивиденды по годам'!K489),""),"")</f>
        <v>1.4575870470301016</v>
      </c>
      <c r="T489">
        <f>IFERROR(IF(AND('Дивиденды по годам'!Q489&lt;&gt;"",'Дивиденды по годам'!I489&lt;&gt;"",'Дивиденды по годам'!V489&lt;&gt;"",('Дивиденды по годам'!I489+'Дивиденды по годам'!V489)&lt;&gt;0),'Дивиденды по годам'!Q489/(('Дивиденды по годам'!I489+'Дивиденды по годам'!V489)/2),""),"")</f>
        <v>-3.0966492172328515E-5</v>
      </c>
      <c r="U489">
        <f>IFERROR(IF(AND('Дивиденды по годам'!J489&lt;&gt;"",'Дивиденды по годам'!K489&lt;&gt;"",'Дивиденды по годам'!M489&lt;&gt;"",'Дивиденды по годам'!M489&lt;&gt;0),('Дивиденды по годам'!J489+'Дивиденды по годам'!K489)/'Дивиденды по годам'!M489,""),"")</f>
        <v>5.1209130581552929</v>
      </c>
      <c r="V489" cm="1">
        <f t="array" ref="V489">IFERROR(AVERAGE(_xlfn._xlws.FILTER(P$2:P$1073,($C$2:$C$1073=$C489)*($E$2:$E$1073=$E489)*(ROW(P$2:P$1073)&lt;&gt;ROW(P489))*(P$2:P$1073&lt;&gt;""))),"")</f>
        <v>26.580133569537235</v>
      </c>
      <c r="W489" cm="1">
        <f t="array" ref="W489">IFERROR(AVERAGE(_xlfn._xlws.FILTER(Q$2:Q$1073,($C$2:$C$1073=$C489)*($E$2:$E$1073=$E489)*(ROW(Q$2:Q$1073)&lt;&gt;ROW(Q489))*(Q$2:Q$1073&lt;&gt;""))),"")</f>
        <v>0.5285046477126184</v>
      </c>
      <c r="X489" cm="1">
        <f t="array" ref="X489">IFERROR(AVERAGE(_xlfn._xlws.FILTER(R$2:R$1073,($C$2:$C$1073=$C489)*($E$2:$E$1073=$E489)*(ROW(R$2:R$1073)&lt;&gt;ROW(R489))*(R$2:R$1073&lt;&gt;""))),"")</f>
        <v>0.21417986729364163</v>
      </c>
      <c r="Y489" cm="1">
        <f t="array" ref="Y489">IFERROR(AVERAGE(_xlfn._xlws.FILTER(S$2:S$1073,($C$2:$C$1073=$C489)*($E$2:$E$1073=$E489)*(ROW(S$2:S$1073)&lt;&gt;ROW(S489))*(S$2:S$1073&lt;&gt;""))),"")</f>
        <v>0.87004835193125007</v>
      </c>
      <c r="Z489" cm="1">
        <f t="array" ref="Z489">IFERROR(AVERAGE(_xlfn._xlws.FILTER(T$2:T$1073,($C$2:$C$1073=$C489)*($E$2:$E$1073=$E489)*(ROW(T$2:T$1073)&lt;&gt;ROW(T489))*(T$2:T$1073&lt;&gt;""))),"")</f>
        <v>0.17076593634503151</v>
      </c>
      <c r="AA489" cm="1">
        <f t="array" ref="AA489">IFERROR(AVERAGE(_xlfn._xlws.FILTER(U$2:U$1073,($C$2:$C$1073=$C489)*($E$2:$E$1073=$E489)*(ROW(U$2:U$1073)&lt;&gt;ROW(U489))*(U$2:U$1073&lt;&gt;""))),"")</f>
        <v>2.0599842045163284</v>
      </c>
    </row>
    <row r="490" spans="1:27" x14ac:dyDescent="0.2">
      <c r="A490" s="7" t="s">
        <v>2242</v>
      </c>
      <c r="B490" t="str">
        <f t="shared" si="79"/>
        <v>TRMK IV кв. 2017</v>
      </c>
      <c r="C490">
        <v>2017</v>
      </c>
      <c r="D490">
        <f>SUMIFS(Дивиденды!$C:$C,Дивиденды!$A:$A,A490,Дивиденды!$I:$I,C490)</f>
        <v>2.2799999999999998</v>
      </c>
      <c r="E490">
        <v>3</v>
      </c>
      <c r="F490">
        <f t="shared" si="80"/>
        <v>2.2799999999999998</v>
      </c>
      <c r="G490">
        <f t="shared" si="81"/>
        <v>15.840876314825081</v>
      </c>
      <c r="H490">
        <f t="shared" si="82"/>
        <v>1</v>
      </c>
      <c r="I490">
        <f t="shared" si="78"/>
        <v>0.6</v>
      </c>
      <c r="J490">
        <f t="shared" si="83"/>
        <v>-0.41538461538461541</v>
      </c>
      <c r="K490">
        <f t="shared" si="87"/>
        <v>0.15863148658106679</v>
      </c>
      <c r="L490">
        <f t="shared" si="84"/>
        <v>0</v>
      </c>
      <c r="M490">
        <f t="shared" si="88"/>
        <v>0.5</v>
      </c>
      <c r="N490">
        <f t="shared" si="85"/>
        <v>1</v>
      </c>
      <c r="O490">
        <f t="shared" si="86"/>
        <v>0.1</v>
      </c>
      <c r="P490">
        <f>IFERROR(LN('Дивиденды по годам'!I490),"")</f>
        <v>26.500499799358817</v>
      </c>
      <c r="Q490">
        <f>IFERROR('Дивиденды по годам'!G490/'Дивиденды по годам'!I490, "")</f>
        <v>0.43861774308527479</v>
      </c>
      <c r="R490">
        <f>IFERROR(IF(AND('Дивиденды по годам'!N490&lt;&gt;"",'Дивиденды по годам'!U490&lt;&gt;"",'Дивиденды по годам'!U490&lt;&gt;0),'Дивиденды по годам'!N490/'Дивиденды по годам'!U490-1,""),"")</f>
        <v>0.14469452894642876</v>
      </c>
      <c r="S490">
        <f>IFERROR(IF(AND('Дивиденды по годам'!L490&lt;&gt;"",'Дивиденды по годам'!I490&lt;&gt;"",'Дивиденды по годам'!J490&lt;&gt;"",'Дивиденды по годам'!K490&lt;&gt;"",('Дивиденды по годам'!I490-'Дивиденды по годам'!J490-'Дивиденды по годам'!K490)&lt;&gt;0),'Дивиденды по годам'!L490/('Дивиденды по годам'!I490-'Дивиденды по годам'!J490-'Дивиденды по годам'!K490),""),"")</f>
        <v>1.3260525974589574</v>
      </c>
      <c r="T490">
        <f>IFERROR(IF(AND('Дивиденды по годам'!Q490&lt;&gt;"",'Дивиденды по годам'!I490&lt;&gt;"",'Дивиденды по годам'!V490&lt;&gt;"",('Дивиденды по годам'!I490+'Дивиденды по годам'!V490)&lt;&gt;0),'Дивиденды по годам'!Q490/(('Дивиденды по годам'!I490+'Дивиденды по годам'!V490)/2),""),"")</f>
        <v>5.38469113979254E-3</v>
      </c>
      <c r="U490">
        <f>IFERROR(IF(AND('Дивиденды по годам'!J490&lt;&gt;"",'Дивиденды по годам'!K490&lt;&gt;"",'Дивиденды по годам'!M490&lt;&gt;"",'Дивиденды по годам'!M490&lt;&gt;0),('Дивиденды по годам'!J490+'Дивиденды по годам'!K490)/'Дивиденды по годам'!M490,""),"")</f>
        <v>4.9328542849152255</v>
      </c>
      <c r="V490" cm="1">
        <f t="array" ref="V490">IFERROR(AVERAGE(_xlfn._xlws.FILTER(P$2:P$1073,($C$2:$C$1073=$C490)*($E$2:$E$1073=$E490)*(ROW(P$2:P$1073)&lt;&gt;ROW(P490))*(P$2:P$1073&lt;&gt;""))),"")</f>
        <v>26.548294372824</v>
      </c>
      <c r="W490" cm="1">
        <f t="array" ref="W490">IFERROR(AVERAGE(_xlfn._xlws.FILTER(Q$2:Q$1073,($C$2:$C$1073=$C490)*($E$2:$E$1073=$E490)*(ROW(Q$2:Q$1073)&lt;&gt;ROW(Q490))*(Q$2:Q$1073&lt;&gt;""))),"")</f>
        <v>0.54561521948592628</v>
      </c>
      <c r="X490" cm="1">
        <f t="array" ref="X490">IFERROR(AVERAGE(_xlfn._xlws.FILTER(R$2:R$1073,($C$2:$C$1073=$C490)*($E$2:$E$1073=$E490)*(ROW(R$2:R$1073)&lt;&gt;ROW(R490))*(R$2:R$1073&lt;&gt;""))),"")</f>
        <v>9.5801229502643886E-2</v>
      </c>
      <c r="Y490" cm="1">
        <f t="array" ref="Y490">IFERROR(AVERAGE(_xlfn._xlws.FILTER(S$2:S$1073,($C$2:$C$1073=$C490)*($E$2:$E$1073=$E490)*(ROW(S$2:S$1073)&lt;&gt;ROW(S490))*(S$2:S$1073&lt;&gt;""))),"")</f>
        <v>1.0310193489289792</v>
      </c>
      <c r="Z490" cm="1">
        <f t="array" ref="Z490">IFERROR(AVERAGE(_xlfn._xlws.FILTER(T$2:T$1073,($C$2:$C$1073=$C490)*($E$2:$E$1073=$E490)*(ROW(T$2:T$1073)&lt;&gt;ROW(T490))*(T$2:T$1073&lt;&gt;""))),"")</f>
        <v>0.13318421410114206</v>
      </c>
      <c r="AA490" cm="1">
        <f t="array" ref="AA490">IFERROR(AVERAGE(_xlfn._xlws.FILTER(U$2:U$1073,($C$2:$C$1073=$C490)*($E$2:$E$1073=$E490)*(ROW(U$2:U$1073)&lt;&gt;ROW(U490))*(U$2:U$1073&lt;&gt;""))),"")</f>
        <v>1.6827746547136804</v>
      </c>
    </row>
    <row r="491" spans="1:27" x14ac:dyDescent="0.2">
      <c r="A491" s="7" t="s">
        <v>2242</v>
      </c>
      <c r="B491" t="str">
        <f t="shared" si="79"/>
        <v>TRMK IV кв. 2016</v>
      </c>
      <c r="C491">
        <v>2016</v>
      </c>
      <c r="D491">
        <f>SUMIFS(Дивиденды!$C:$C,Дивиденды!$A:$A,A491,Дивиденды!$I:$I,C491)</f>
        <v>3.9</v>
      </c>
      <c r="E491">
        <v>3</v>
      </c>
      <c r="F491">
        <f t="shared" si="80"/>
        <v>3.9</v>
      </c>
      <c r="G491">
        <f t="shared" si="81"/>
        <v>11.705639712606381</v>
      </c>
      <c r="H491">
        <f t="shared" si="82"/>
        <v>1</v>
      </c>
      <c r="I491">
        <f t="shared" si="78"/>
        <v>0.6</v>
      </c>
      <c r="J491">
        <f t="shared" si="83"/>
        <v>0.61157024793388426</v>
      </c>
      <c r="K491">
        <f t="shared" si="87"/>
        <v>0.62652413124644279</v>
      </c>
      <c r="L491">
        <f t="shared" si="84"/>
        <v>1</v>
      </c>
      <c r="M491">
        <f t="shared" si="88"/>
        <v>0.6</v>
      </c>
      <c r="N491">
        <f t="shared" si="85"/>
        <v>0</v>
      </c>
      <c r="O491">
        <f t="shared" si="86"/>
        <v>0</v>
      </c>
      <c r="P491">
        <f>IFERROR(LN('Дивиденды по годам'!I491),"")</f>
        <v>26.483941421324776</v>
      </c>
      <c r="Q491">
        <f>IFERROR('Дивиденды по годам'!G491/'Дивиденды по годам'!I491, "")</f>
        <v>0.48513207626850224</v>
      </c>
      <c r="R491">
        <f>IFERROR(IF(AND('Дивиденды по годам'!N491&lt;&gt;"",'Дивиденды по годам'!U491&lt;&gt;"",'Дивиденды по годам'!U491&lt;&gt;0),'Дивиденды по годам'!N491/'Дивиденды по годам'!U491-1,""),"")</f>
        <v>-0.11448798912414948</v>
      </c>
      <c r="S491">
        <f>IFERROR(IF(AND('Дивиденды по годам'!L491&lt;&gt;"",'Дивиденды по годам'!I491&lt;&gt;"",'Дивиденды по годам'!J491&lt;&gt;"",'Дивиденды по годам'!K491&lt;&gt;"",('Дивиденды по годам'!I491-'Дивиденды по годам'!J491-'Дивиденды по годам'!K491)&lt;&gt;0),'Дивиденды по годам'!L491/('Дивиденды по годам'!I491-'Дивиденды по годам'!J491-'Дивиденды по годам'!K491),""),"")</f>
        <v>1.3772025083783215</v>
      </c>
      <c r="T491">
        <f>IFERROR(IF(AND('Дивиденды по годам'!Q491&lt;&gt;"",'Дивиденды по годам'!I491&lt;&gt;"",'Дивиденды по годам'!V491&lt;&gt;"",('Дивиденды по годам'!I491+'Дивиденды по годам'!V491)&lt;&gt;0),'Дивиденды по годам'!Q491/(('Дивиденды по годам'!I491+'Дивиденды по годам'!V491)/2),""),"")</f>
        <v>3.7788087196495741E-2</v>
      </c>
      <c r="U491">
        <f>IFERROR(IF(AND('Дивиденды по годам'!J491&lt;&gt;"",'Дивиденды по годам'!K491&lt;&gt;"",'Дивиденды по годам'!M491&lt;&gt;"",'Дивиденды по годам'!M491&lt;&gt;0),('Дивиденды по годам'!J491+'Дивиденды по годам'!K491)/'Дивиденды по годам'!M491,""),"")</f>
        <v>4.2694414897168054</v>
      </c>
      <c r="V491" cm="1">
        <f t="array" ref="V491">IFERROR(AVERAGE(_xlfn._xlws.FILTER(P$2:P$1073,($C$2:$C$1073=$C491)*($E$2:$E$1073=$E491)*(ROW(P$2:P$1073)&lt;&gt;ROW(P491))*(P$2:P$1073&lt;&gt;""))),"")</f>
        <v>26.550644711498421</v>
      </c>
      <c r="W491" cm="1">
        <f t="array" ref="W491">IFERROR(AVERAGE(_xlfn._xlws.FILTER(Q$2:Q$1073,($C$2:$C$1073=$C491)*($E$2:$E$1073=$E491)*(ROW(Q$2:Q$1073)&lt;&gt;ROW(Q491))*(Q$2:Q$1073&lt;&gt;""))),"")</f>
        <v>0.51208089622593922</v>
      </c>
      <c r="X491" cm="1">
        <f t="array" ref="X491">IFERROR(AVERAGE(_xlfn._xlws.FILTER(R$2:R$1073,($C$2:$C$1073=$C491)*($E$2:$E$1073=$E491)*(ROW(R$2:R$1073)&lt;&gt;ROW(R491))*(R$2:R$1073&lt;&gt;""))),"")</f>
        <v>0.15961859590550159</v>
      </c>
      <c r="Y491" cm="1">
        <f t="array" ref="Y491">IFERROR(AVERAGE(_xlfn._xlws.FILTER(S$2:S$1073,($C$2:$C$1073=$C491)*($E$2:$E$1073=$E491)*(ROW(S$2:S$1073)&lt;&gt;ROW(S491))*(S$2:S$1073&lt;&gt;""))),"")</f>
        <v>0.18885220805315744</v>
      </c>
      <c r="Z491" cm="1">
        <f t="array" ref="Z491">IFERROR(AVERAGE(_xlfn._xlws.FILTER(T$2:T$1073,($C$2:$C$1073=$C491)*($E$2:$E$1073=$E491)*(ROW(T$2:T$1073)&lt;&gt;ROW(T491))*(T$2:T$1073&lt;&gt;""))),"")</f>
        <v>0.17428050895001398</v>
      </c>
      <c r="AA491" cm="1">
        <f t="array" ref="AA491">IFERROR(AVERAGE(_xlfn._xlws.FILTER(U$2:U$1073,($C$2:$C$1073=$C491)*($E$2:$E$1073=$E491)*(ROW(U$2:U$1073)&lt;&gt;ROW(U491))*(U$2:U$1073&lt;&gt;""))),"")</f>
        <v>-0.25464711129594308</v>
      </c>
    </row>
    <row r="492" spans="1:27" x14ac:dyDescent="0.2">
      <c r="A492" s="7" t="s">
        <v>2242</v>
      </c>
      <c r="B492" t="str">
        <f t="shared" si="79"/>
        <v>TRMK IV кв. 2015</v>
      </c>
      <c r="C492">
        <v>2015</v>
      </c>
      <c r="D492">
        <f>SUMIFS(Дивиденды!$C:$C,Дивиденды!$A:$A,A492,Дивиденды!$I:$I,C492)</f>
        <v>2.42</v>
      </c>
      <c r="E492">
        <v>3</v>
      </c>
      <c r="F492">
        <f t="shared" si="80"/>
        <v>2.42</v>
      </c>
      <c r="G492">
        <f t="shared" si="81"/>
        <v>6.9820627742857138</v>
      </c>
      <c r="H492">
        <f t="shared" si="82"/>
        <v>1</v>
      </c>
      <c r="I492">
        <f t="shared" si="78"/>
        <v>0.5</v>
      </c>
      <c r="J492">
        <f t="shared" si="83"/>
        <v>5.2051282051282044</v>
      </c>
      <c r="K492">
        <f t="shared" si="87"/>
        <v>0.36037435007773266</v>
      </c>
      <c r="L492">
        <f t="shared" si="84"/>
        <v>1</v>
      </c>
      <c r="M492">
        <f t="shared" si="88"/>
        <v>0.4</v>
      </c>
      <c r="N492">
        <f t="shared" si="85"/>
        <v>0</v>
      </c>
      <c r="O492">
        <f t="shared" si="86"/>
        <v>0.1</v>
      </c>
      <c r="P492">
        <f>IFERROR(LN('Дивиденды по годам'!I492),"")</f>
        <v>26.322479582821146</v>
      </c>
      <c r="Q492">
        <f>IFERROR('Дивиденды по годам'!G492/'Дивиденды по годам'!I492, "")</f>
        <v>0.48089611965428752</v>
      </c>
      <c r="R492">
        <f>IFERROR(IF(AND('Дивиденды по годам'!N492&lt;&gt;"",'Дивиденды по годам'!U492&lt;&gt;"",'Дивиденды по годам'!U492&lt;&gt;0),'Дивиденды по годам'!N492/'Дивиденды по годам'!U492-1,""),"")</f>
        <v>8.5192888101620179E-2</v>
      </c>
      <c r="S492">
        <f>IFERROR(IF(AND('Дивиденды по годам'!L492&lt;&gt;"",'Дивиденды по годам'!I492&lt;&gt;"",'Дивиденды по годам'!J492&lt;&gt;"",'Дивиденды по годам'!K492&lt;&gt;"",('Дивиденды по годам'!I492-'Дивиденды по годам'!J492-'Дивиденды по годам'!K492)&lt;&gt;0),'Дивиденды по годам'!L492/('Дивиденды по годам'!I492-'Дивиденды по годам'!J492-'Дивиденды по годам'!K492),""),"")</f>
        <v>1.5441004027191227</v>
      </c>
      <c r="T492">
        <f>IFERROR(IF(AND('Дивиденды по годам'!Q492&lt;&gt;"",'Дивиденды по годам'!I492&lt;&gt;"",'Дивиденды по годам'!V492&lt;&gt;"",('Дивиденды по годам'!I492+'Дивиденды по годам'!V492)&lt;&gt;0),'Дивиденды по годам'!Q492/(('Дивиденды по годам'!I492+'Дивиденды по годам'!V492)/2),""),"")</f>
        <v>-9.2154329952169378E-2</v>
      </c>
      <c r="U492">
        <f>IFERROR(IF(AND('Дивиденды по годам'!J492&lt;&gt;"",'Дивиденды по годам'!K492&lt;&gt;"",'Дивиденды по годам'!M492&lt;&gt;"",'Дивиденды по годам'!M492&lt;&gt;0),('Дивиденды по годам'!J492+'Дивиденды по годам'!K492)/'Дивиденды по годам'!M492,""),"")</f>
        <v>5.1732209973665135</v>
      </c>
      <c r="V492" cm="1">
        <f t="array" ref="V492">IFERROR(AVERAGE(_xlfn._xlws.FILTER(P$2:P$1073,($C$2:$C$1073=$C492)*($E$2:$E$1073=$E492)*(ROW(P$2:P$1073)&lt;&gt;ROW(P492))*(P$2:P$1073&lt;&gt;""))),"")</f>
        <v>26.361514551345543</v>
      </c>
      <c r="W492" cm="1">
        <f t="array" ref="W492">IFERROR(AVERAGE(_xlfn._xlws.FILTER(Q$2:Q$1073,($C$2:$C$1073=$C492)*($E$2:$E$1073=$E492)*(ROW(Q$2:Q$1073)&lt;&gt;ROW(Q492))*(Q$2:Q$1073&lt;&gt;""))),"")</f>
        <v>0.50037823264582115</v>
      </c>
      <c r="X492" cm="1">
        <f t="array" ref="X492">IFERROR(AVERAGE(_xlfn._xlws.FILTER(R$2:R$1073,($C$2:$C$1073=$C492)*($E$2:$E$1073=$E492)*(ROW(R$2:R$1073)&lt;&gt;ROW(R492))*(R$2:R$1073&lt;&gt;""))),"")</f>
        <v>0.27177056664351606</v>
      </c>
      <c r="Y492" cm="1">
        <f t="array" ref="Y492">IFERROR(AVERAGE(_xlfn._xlws.FILTER(S$2:S$1073,($C$2:$C$1073=$C492)*($E$2:$E$1073=$E492)*(ROW(S$2:S$1073)&lt;&gt;ROW(S492))*(S$2:S$1073&lt;&gt;""))),"")</f>
        <v>0.9031378878090065</v>
      </c>
      <c r="Z492" cm="1">
        <f t="array" ref="Z492">IFERROR(AVERAGE(_xlfn._xlws.FILTER(T$2:T$1073,($C$2:$C$1073=$C492)*($E$2:$E$1073=$E492)*(ROW(T$2:T$1073)&lt;&gt;ROW(T492))*(T$2:T$1073&lt;&gt;""))),"")</f>
        <v>3.6094267336491286E-2</v>
      </c>
      <c r="AA492" cm="1">
        <f t="array" ref="AA492">IFERROR(AVERAGE(_xlfn._xlws.FILTER(U$2:U$1073,($C$2:$C$1073=$C492)*($E$2:$E$1073=$E492)*(ROW(U$2:U$1073)&lt;&gt;ROW(U492))*(U$2:U$1073&lt;&gt;""))),"")</f>
        <v>2.7787367550767605</v>
      </c>
    </row>
    <row r="493" spans="1:27" x14ac:dyDescent="0.2">
      <c r="A493" s="7" t="s">
        <v>2242</v>
      </c>
      <c r="B493" t="str">
        <f t="shared" si="79"/>
        <v>TRMK IV кв. 2014</v>
      </c>
      <c r="C493">
        <v>2014</v>
      </c>
      <c r="D493">
        <f>SUMIFS(Дивиденды!$C:$C,Дивиденды!$A:$A,A493,Дивиденды!$I:$I,C493)</f>
        <v>0.39</v>
      </c>
      <c r="E493">
        <v>3</v>
      </c>
      <c r="F493">
        <f t="shared" si="80"/>
        <v>0.39</v>
      </c>
      <c r="G493">
        <f t="shared" si="81"/>
        <v>7.8170000000000002</v>
      </c>
      <c r="H493">
        <f t="shared" si="82"/>
        <v>1</v>
      </c>
      <c r="I493">
        <f t="shared" si="78"/>
        <v>0.4</v>
      </c>
      <c r="J493">
        <f t="shared" si="83"/>
        <v>-0.78571428571428581</v>
      </c>
      <c r="K493">
        <f t="shared" si="87"/>
        <v>1.151889947851106</v>
      </c>
      <c r="L493">
        <f t="shared" si="84"/>
        <v>0</v>
      </c>
      <c r="M493">
        <f t="shared" si="88"/>
        <v>0.3</v>
      </c>
      <c r="N493">
        <f t="shared" si="85"/>
        <v>1</v>
      </c>
      <c r="O493">
        <f t="shared" si="86"/>
        <v>0</v>
      </c>
      <c r="P493">
        <f>IFERROR(LN('Дивиденды по годам'!I493),"")</f>
        <v>26.112240877138454</v>
      </c>
      <c r="Q493">
        <f>IFERROR('Дивиденды по годам'!G493/'Дивиденды по годам'!I493, "")</f>
        <v>0.46202703726492139</v>
      </c>
      <c r="R493">
        <f>IFERROR(IF(AND('Дивиденды по годам'!N493&lt;&gt;"",'Дивиденды по годам'!U493&lt;&gt;"",'Дивиденды по годам'!U493&lt;&gt;0),'Дивиденды по годам'!N493/'Дивиденды по годам'!U493-1,""),"")</f>
        <v>0.13704563036663009</v>
      </c>
      <c r="S493">
        <f>IFERROR(IF(AND('Дивиденды по годам'!L493&lt;&gt;"",'Дивиденды по годам'!I493&lt;&gt;"",'Дивиденды по годам'!J493&lt;&gt;"",'Дивиденды по годам'!K493&lt;&gt;"",('Дивиденды по годам'!I493-'Дивиденды по годам'!J493-'Дивиденды по годам'!K493)&lt;&gt;0),'Дивиденды по годам'!L493/('Дивиденды по годам'!I493-'Дивиденды по годам'!J493-'Дивиденды по годам'!K493),""),"")</f>
        <v>1.1767346521253323</v>
      </c>
      <c r="T493">
        <f>IFERROR(IF(AND('Дивиденды по годам'!Q493&lt;&gt;"",'Дивиденды по годам'!I493&lt;&gt;"",'Дивиденды по годам'!V493&lt;&gt;"",('Дивиденды по годам'!I493+'Дивиденды по годам'!V493)&lt;&gt;0),'Дивиденды по годам'!Q493/(('Дивиденды по годам'!I493+'Дивиденды по годам'!V493)/2),""),"")</f>
        <v>-3.637045102727296E-2</v>
      </c>
      <c r="U493">
        <f>IFERROR(IF(AND('Дивиденды по годам'!J493&lt;&gt;"",'Дивиденды по годам'!K493&lt;&gt;"",'Дивиденды по годам'!M493&lt;&gt;"",'Дивиденды по годам'!M493&lt;&gt;0),('Дивиденды по годам'!J493+'Дивиденды по годам'!K493)/'Дивиденды по годам'!M493,""),"")</f>
        <v>3.4453267865854618</v>
      </c>
      <c r="V493" cm="1">
        <f t="array" ref="V493">IFERROR(AVERAGE(_xlfn._xlws.FILTER(P$2:P$1073,($C$2:$C$1073=$C493)*($E$2:$E$1073=$E493)*(ROW(P$2:P$1073)&lt;&gt;ROW(P493))*(P$2:P$1073&lt;&gt;""))),"")</f>
        <v>26.318882282236149</v>
      </c>
      <c r="W493" cm="1">
        <f t="array" ref="W493">IFERROR(AVERAGE(_xlfn._xlws.FILTER(Q$2:Q$1073,($C$2:$C$1073=$C493)*($E$2:$E$1073=$E493)*(ROW(Q$2:Q$1073)&lt;&gt;ROW(Q493))*(Q$2:Q$1073&lt;&gt;""))),"")</f>
        <v>0.52196744342165746</v>
      </c>
      <c r="X493" cm="1">
        <f t="array" ref="X493">IFERROR(AVERAGE(_xlfn._xlws.FILTER(R$2:R$1073,($C$2:$C$1073=$C493)*($E$2:$E$1073=$E493)*(ROW(R$2:R$1073)&lt;&gt;ROW(R493))*(R$2:R$1073&lt;&gt;""))),"")</f>
        <v>7.0050146823231838E-2</v>
      </c>
      <c r="Y493" cm="1">
        <f t="array" ref="Y493">IFERROR(AVERAGE(_xlfn._xlws.FILTER(S$2:S$1073,($C$2:$C$1073=$C493)*($E$2:$E$1073=$E493)*(ROW(S$2:S$1073)&lt;&gt;ROW(S493))*(S$2:S$1073&lt;&gt;""))),"")</f>
        <v>0.74727555077261631</v>
      </c>
      <c r="Z493" cm="1">
        <f t="array" ref="Z493">IFERROR(AVERAGE(_xlfn._xlws.FILTER(T$2:T$1073,($C$2:$C$1073=$C493)*($E$2:$E$1073=$E493)*(ROW(T$2:T$1073)&lt;&gt;ROW(T493))*(T$2:T$1073&lt;&gt;""))),"")</f>
        <v>-8.2687801695591923E-2</v>
      </c>
      <c r="AA493" cm="1">
        <f t="array" ref="AA493">IFERROR(AVERAGE(_xlfn._xlws.FILTER(U$2:U$1073,($C$2:$C$1073=$C493)*($E$2:$E$1073=$E493)*(ROW(U$2:U$1073)&lt;&gt;ROW(U493))*(U$2:U$1073&lt;&gt;""))),"")</f>
        <v>1.4247202442835669</v>
      </c>
    </row>
    <row r="494" spans="1:27" x14ac:dyDescent="0.2">
      <c r="A494" s="7" t="s">
        <v>2242</v>
      </c>
      <c r="B494" t="str">
        <f t="shared" si="79"/>
        <v>TRMK IV кв. 2013</v>
      </c>
      <c r="C494">
        <v>2013</v>
      </c>
      <c r="D494">
        <f>SUMIFS(Дивиденды!$C:$C,Дивиденды!$A:$A,A494,Дивиденды!$I:$I,C494)</f>
        <v>1.82</v>
      </c>
      <c r="E494">
        <v>3</v>
      </c>
      <c r="F494">
        <f t="shared" si="80"/>
        <v>1.82</v>
      </c>
      <c r="G494">
        <f t="shared" si="81"/>
        <v>1.044</v>
      </c>
      <c r="H494">
        <f t="shared" si="82"/>
        <v>1</v>
      </c>
      <c r="I494">
        <f t="shared" si="78"/>
        <v>0.3</v>
      </c>
      <c r="J494">
        <f t="shared" si="83"/>
        <v>-0.22222222222222215</v>
      </c>
      <c r="K494">
        <f t="shared" si="87"/>
        <v>-0.18164188821151844</v>
      </c>
      <c r="L494">
        <f t="shared" si="84"/>
        <v>0</v>
      </c>
      <c r="M494">
        <f t="shared" si="88"/>
        <v>0.2</v>
      </c>
      <c r="N494">
        <f t="shared" si="85"/>
        <v>1</v>
      </c>
      <c r="O494">
        <f t="shared" si="86"/>
        <v>0.3</v>
      </c>
      <c r="P494">
        <f>IFERROR(LN('Дивиденды по годам'!I494),"")</f>
        <v>26.215524489000444</v>
      </c>
      <c r="Q494">
        <f>IFERROR('Дивиденды по годам'!G494/'Дивиденды по годам'!I494, "")</f>
        <v>0.51833776075451499</v>
      </c>
      <c r="R494">
        <f>IFERROR(IF(AND('Дивиденды по годам'!N494&lt;&gt;"",'Дивиденды по годам'!U494&lt;&gt;"",'Дивиденды по годам'!U494&lt;&gt;0),'Дивиденды по годам'!N494/'Дивиденды по годам'!U494-1,""),"")</f>
        <v>-1.3949946584568496E-2</v>
      </c>
      <c r="S494" t="str">
        <f>IFERROR(IF(AND('Дивиденды по годам'!L494&lt;&gt;"",'Дивиденды по годам'!I494&lt;&gt;"",'Дивиденды по годам'!J494&lt;&gt;"",'Дивиденды по годам'!K494&lt;&gt;"",('Дивиденды по годам'!I494-'Дивиденды по годам'!J494-'Дивиденды по годам'!K494)&lt;&gt;0),'Дивиденды по годам'!L494/('Дивиденды по годам'!I494-'Дивиденды по годам'!J494-'Дивиденды по годам'!K494),""),"")</f>
        <v/>
      </c>
      <c r="T494">
        <f>IFERROR(IF(AND('Дивиденды по годам'!Q494&lt;&gt;"",'Дивиденды по годам'!I494&lt;&gt;"",'Дивиденды по годам'!V494&lt;&gt;"",('Дивиденды по годам'!I494+'Дивиденды по годам'!V494)&lt;&gt;0),'Дивиденды по годам'!Q494/(('Дивиденды по годам'!I494+'Дивиденды по годам'!V494)/2),""),"")</f>
        <v>5.2341647259708957E-3</v>
      </c>
      <c r="U494">
        <f>IFERROR(IF(AND('Дивиденды по годам'!J494&lt;&gt;"",'Дивиденды по годам'!K494&lt;&gt;"",'Дивиденды по годам'!M494&lt;&gt;"",'Дивиденды по годам'!M494&lt;&gt;0),('Дивиденды по годам'!J494+'Дивиденды по годам'!K494)/'Дивиденды по годам'!M494,""),"")</f>
        <v>2.4835724533715924</v>
      </c>
      <c r="V494" cm="1">
        <f t="array" ref="V494">IFERROR(AVERAGE(_xlfn._xlws.FILTER(P$2:P$1073,($C$2:$C$1073=$C494)*($E$2:$E$1073=$E494)*(ROW(P$2:P$1073)&lt;&gt;ROW(P494))*(P$2:P$1073&lt;&gt;""))),"")</f>
        <v>26.466570694799444</v>
      </c>
      <c r="W494" cm="1">
        <f t="array" ref="W494">IFERROR(AVERAGE(_xlfn._xlws.FILTER(Q$2:Q$1073,($C$2:$C$1073=$C494)*($E$2:$E$1073=$E494)*(ROW(Q$2:Q$1073)&lt;&gt;ROW(Q494))*(Q$2:Q$1073&lt;&gt;""))),"")</f>
        <v>0.58460357968135679</v>
      </c>
      <c r="X494" cm="1">
        <f t="array" ref="X494">IFERROR(AVERAGE(_xlfn._xlws.FILTER(R$2:R$1073,($C$2:$C$1073=$C494)*($E$2:$E$1073=$E494)*(ROW(R$2:R$1073)&lt;&gt;ROW(R494))*(R$2:R$1073&lt;&gt;""))),"")</f>
        <v>-4.9548567356064069E-2</v>
      </c>
      <c r="Y494" cm="1">
        <f t="array" ref="Y494">IFERROR(AVERAGE(_xlfn._xlws.FILTER(S$2:S$1073,($C$2:$C$1073=$C494)*($E$2:$E$1073=$E494)*(ROW(S$2:S$1073)&lt;&gt;ROW(S494))*(S$2:S$1073&lt;&gt;""))),"")</f>
        <v>1.1343753445927802</v>
      </c>
      <c r="Z494" cm="1">
        <f t="array" ref="Z494">IFERROR(AVERAGE(_xlfn._xlws.FILTER(T$2:T$1073,($C$2:$C$1073=$C494)*($E$2:$E$1073=$E494)*(ROW(T$2:T$1073)&lt;&gt;ROW(T494))*(T$2:T$1073&lt;&gt;""))),"")</f>
        <v>-3.5656071729886718E-2</v>
      </c>
      <c r="AA494" cm="1">
        <f t="array" ref="AA494">IFERROR(AVERAGE(_xlfn._xlws.FILTER(U$2:U$1073,($C$2:$C$1073=$C494)*($E$2:$E$1073=$E494)*(ROW(U$2:U$1073)&lt;&gt;ROW(U494))*(U$2:U$1073&lt;&gt;""))),"")</f>
        <v>3.191604323095028</v>
      </c>
    </row>
    <row r="495" spans="1:27" x14ac:dyDescent="0.2">
      <c r="A495" s="7" t="s">
        <v>2242</v>
      </c>
      <c r="B495" t="str">
        <f t="shared" si="79"/>
        <v>TRMK IV кв. 2012</v>
      </c>
      <c r="C495">
        <v>2012</v>
      </c>
      <c r="D495">
        <f>SUMIFS(Дивиденды!$C:$C,Дивиденды!$A:$A,A495,Дивиденды!$I:$I,C495)</f>
        <v>2.34</v>
      </c>
      <c r="E495">
        <v>3</v>
      </c>
      <c r="F495">
        <f t="shared" si="80"/>
        <v>2.34</v>
      </c>
      <c r="G495">
        <f t="shared" si="81"/>
        <v>1.8969999999999998</v>
      </c>
      <c r="H495">
        <f t="shared" si="82"/>
        <v>1</v>
      </c>
      <c r="I495">
        <f t="shared" si="78"/>
        <v>0.5</v>
      </c>
      <c r="J495">
        <f t="shared" si="83"/>
        <v>-0.35537190082644637</v>
      </c>
      <c r="K495">
        <f t="shared" si="87"/>
        <v>-0.14846324611505218</v>
      </c>
      <c r="L495">
        <f t="shared" si="84"/>
        <v>0</v>
      </c>
      <c r="M495">
        <f t="shared" si="88"/>
        <v>0.3</v>
      </c>
      <c r="N495">
        <f t="shared" si="85"/>
        <v>1</v>
      </c>
      <c r="O495">
        <f t="shared" si="86"/>
        <v>0.5</v>
      </c>
      <c r="P495">
        <f>IFERROR(LN('Дивиденды по годам'!I495),"")</f>
        <v>28.490046144627723</v>
      </c>
      <c r="Q495">
        <f>IFERROR('Дивиденды по годам'!G495/'Дивиденды по годам'!I495, "")</f>
        <v>5.0076238428088685E-2</v>
      </c>
      <c r="R495" t="str">
        <f>IFERROR(IF(AND('Дивиденды по годам'!N495&lt;&gt;"",'Дивиденды по годам'!U495&lt;&gt;"",'Дивиденды по годам'!U495&lt;&gt;0),'Дивиденды по годам'!N495/'Дивиденды по годам'!U495-1,""),"")</f>
        <v/>
      </c>
      <c r="S495" t="str">
        <f>IFERROR(IF(AND('Дивиденды по годам'!L495&lt;&gt;"",'Дивиденды по годам'!I495&lt;&gt;"",'Дивиденды по годам'!J495&lt;&gt;"",'Дивиденды по годам'!K495&lt;&gt;"",('Дивиденды по годам'!I495-'Дивиденды по годам'!J495-'Дивиденды по годам'!K495)&lt;&gt;0),'Дивиденды по годам'!L495/('Дивиденды по годам'!I495-'Дивиденды по годам'!J495-'Дивиденды по годам'!K495),""),"")</f>
        <v/>
      </c>
      <c r="T495" t="str">
        <f>IFERROR(IF(AND('Дивиденды по годам'!Q495&lt;&gt;"",'Дивиденды по годам'!I495&lt;&gt;"",'Дивиденды по годам'!V495&lt;&gt;"",('Дивиденды по годам'!I495+'Дивиденды по годам'!V495)&lt;&gt;0),'Дивиденды по годам'!Q495/(('Дивиденды по годам'!I495+'Дивиденды по годам'!V495)/2),""),"")</f>
        <v/>
      </c>
      <c r="U495">
        <f>IFERROR(IF(AND('Дивиденды по годам'!J495&lt;&gt;"",'Дивиденды по годам'!K495&lt;&gt;"",'Дивиденды по годам'!M495&lt;&gt;"",'Дивиденды по годам'!M495&lt;&gt;0),('Дивиденды по годам'!J495+'Дивиденды по годам'!K495)/'Дивиденды по годам'!M495,""),"")</f>
        <v>2.6506327168276975</v>
      </c>
      <c r="V495" cm="1">
        <f t="array" ref="V495">IFERROR(AVERAGE(_xlfn._xlws.FILTER(P$2:P$1073,($C$2:$C$1073=$C495)*($E$2:$E$1073=$E495)*(ROW(P$2:P$1073)&lt;&gt;ROW(P495))*(P$2:P$1073&lt;&gt;""))),"")</f>
        <v>26.48786515688035</v>
      </c>
      <c r="W495" cm="1">
        <f t="array" ref="W495">IFERROR(AVERAGE(_xlfn._xlws.FILTER(Q$2:Q$1073,($C$2:$C$1073=$C495)*($E$2:$E$1073=$E495)*(ROW(Q$2:Q$1073)&lt;&gt;ROW(Q495))*(Q$2:Q$1073&lt;&gt;""))),"")</f>
        <v>0.55883765576453515</v>
      </c>
      <c r="X495" cm="1">
        <f t="array" ref="X495">IFERROR(AVERAGE(_xlfn._xlws.FILTER(R$2:R$1073,($C$2:$C$1073=$C495)*($E$2:$E$1073=$E495)*(ROW(R$2:R$1073)&lt;&gt;ROW(R495))*(R$2:R$1073&lt;&gt;""))),"")</f>
        <v>-1.7108975872326404E-3</v>
      </c>
      <c r="Y495" t="str" cm="1">
        <f t="array" ref="Y495">IFERROR(AVERAGE(_xlfn._xlws.FILTER(S$2:S$1073,($C$2:$C$1073=$C495)*($E$2:$E$1073=$E495)*(ROW(S$2:S$1073)&lt;&gt;ROW(S495))*(S$2:S$1073&lt;&gt;""))),"")</f>
        <v/>
      </c>
      <c r="Z495" cm="1">
        <f t="array" ref="Z495">IFERROR(AVERAGE(_xlfn._xlws.FILTER(T$2:T$1073,($C$2:$C$1073=$C495)*($E$2:$E$1073=$E495)*(ROW(T$2:T$1073)&lt;&gt;ROW(T495))*(T$2:T$1073&lt;&gt;""))),"")</f>
        <v>4.9772862648443709E-2</v>
      </c>
      <c r="AA495" cm="1">
        <f t="array" ref="AA495">IFERROR(AVERAGE(_xlfn._xlws.FILTER(U$2:U$1073,($C$2:$C$1073=$C495)*($E$2:$E$1073=$E495)*(ROW(U$2:U$1073)&lt;&gt;ROW(U495))*(U$2:U$1073&lt;&gt;""))),"")</f>
        <v>1.2108624201014653</v>
      </c>
    </row>
    <row r="496" spans="1:27" x14ac:dyDescent="0.2">
      <c r="A496" s="7" t="s">
        <v>2242</v>
      </c>
      <c r="B496" t="str">
        <f t="shared" si="79"/>
        <v>TRMK IV кв. 2011</v>
      </c>
      <c r="C496">
        <v>2011</v>
      </c>
      <c r="D496">
        <f>SUMIFS(Дивиденды!$C:$C,Дивиденды!$A:$A,A496,Дивиденды!$I:$I,C496)</f>
        <v>3.6300000000000003</v>
      </c>
      <c r="E496">
        <v>3</v>
      </c>
      <c r="F496">
        <f t="shared" si="80"/>
        <v>3.6300000000000003</v>
      </c>
      <c r="G496">
        <f t="shared" si="81"/>
        <v>3.4029999999999996</v>
      </c>
      <c r="H496">
        <f t="shared" si="82"/>
        <v>1</v>
      </c>
      <c r="I496">
        <f t="shared" ref="I496:I559" si="89">IFERROR((COUNTIFS($E:$E,E496,$C:$C,C496,$H:$H,1)-H496)/(COUNTIFS($E:$E,E496,$C:$C,C496)-1),0)</f>
        <v>0.7</v>
      </c>
      <c r="J496">
        <f t="shared" si="83"/>
        <v>3.270588235294118</v>
      </c>
      <c r="K496">
        <f t="shared" si="87"/>
        <v>0.45424685695111428</v>
      </c>
      <c r="L496">
        <f t="shared" si="84"/>
        <v>1</v>
      </c>
      <c r="M496">
        <f t="shared" si="88"/>
        <v>0.5</v>
      </c>
      <c r="N496">
        <f t="shared" si="85"/>
        <v>0</v>
      </c>
      <c r="O496">
        <f t="shared" si="86"/>
        <v>0.3</v>
      </c>
      <c r="P496" t="str">
        <f>IFERROR(LN('Дивиденды по годам'!I496),"")</f>
        <v/>
      </c>
      <c r="Q496" t="str">
        <f>IFERROR('Дивиденды по годам'!G496/'Дивиденды по годам'!I496, "")</f>
        <v/>
      </c>
      <c r="R496" t="str">
        <f>IFERROR(IF(AND('Дивиденды по годам'!N496&lt;&gt;"",'Дивиденды по годам'!U496&lt;&gt;"",'Дивиденды по годам'!U496&lt;&gt;0),'Дивиденды по годам'!N496/'Дивиденды по годам'!U496-1,""),"")</f>
        <v/>
      </c>
      <c r="S496" t="str">
        <f>IFERROR(IF(AND('Дивиденды по годам'!L496&lt;&gt;"",'Дивиденды по годам'!I496&lt;&gt;"",'Дивиденды по годам'!J496&lt;&gt;"",'Дивиденды по годам'!K496&lt;&gt;"",('Дивиденды по годам'!I496-'Дивиденды по годам'!J496-'Дивиденды по годам'!K496)&lt;&gt;0),'Дивиденды по годам'!L496/('Дивиденды по годам'!I496-'Дивиденды по годам'!J496-'Дивиденды по годам'!K496),""),"")</f>
        <v/>
      </c>
      <c r="T496" t="str">
        <f>IFERROR(IF(AND('Дивиденды по годам'!Q496&lt;&gt;"",'Дивиденды по годам'!I496&lt;&gt;"",'Дивиденды по годам'!V496&lt;&gt;"",('Дивиденды по годам'!I496+'Дивиденды по годам'!V496)&lt;&gt;0),'Дивиденды по годам'!Q496/(('Дивиденды по годам'!I496+'Дивиденды по годам'!V496)/2),""),"")</f>
        <v/>
      </c>
      <c r="U496" t="str">
        <f>IFERROR(IF(AND('Дивиденды по годам'!J496&lt;&gt;"",'Дивиденды по годам'!K496&lt;&gt;"",'Дивиденды по годам'!M496&lt;&gt;"",'Дивиденды по годам'!M496&lt;&gt;0),('Дивиденды по годам'!J496+'Дивиденды по годам'!K496)/'Дивиденды по годам'!M496,""),"")</f>
        <v/>
      </c>
      <c r="V496" cm="1">
        <f t="array" ref="V496">IFERROR(AVERAGE(_xlfn._xlws.FILTER(P$2:P$1073,($C$2:$C$1073=$C496)*($E$2:$E$1073=$E496)*(ROW(P$2:P$1073)&lt;&gt;ROW(P496))*(P$2:P$1073&lt;&gt;""))),"")</f>
        <v>26.435590628703217</v>
      </c>
      <c r="W496" cm="1">
        <f t="array" ref="W496">IFERROR(AVERAGE(_xlfn._xlws.FILTER(Q$2:Q$1073,($C$2:$C$1073=$C496)*($E$2:$E$1073=$E496)*(ROW(Q$2:Q$1073)&lt;&gt;ROW(Q496))*(Q$2:Q$1073&lt;&gt;""))),"")</f>
        <v>0.56952165046998604</v>
      </c>
      <c r="X496" cm="1">
        <f t="array" ref="X496">IFERROR(AVERAGE(_xlfn._xlws.FILTER(R$2:R$1073,($C$2:$C$1073=$C496)*($E$2:$E$1073=$E496)*(ROW(R$2:R$1073)&lt;&gt;ROW(R496))*(R$2:R$1073&lt;&gt;""))),"")</f>
        <v>0.21463216748681591</v>
      </c>
      <c r="Y496" t="str" cm="1">
        <f t="array" ref="Y496">IFERROR(AVERAGE(_xlfn._xlws.FILTER(S$2:S$1073,($C$2:$C$1073=$C496)*($E$2:$E$1073=$E496)*(ROW(S$2:S$1073)&lt;&gt;ROW(S496))*(S$2:S$1073&lt;&gt;""))),"")</f>
        <v/>
      </c>
      <c r="Z496" cm="1">
        <f t="array" ref="Z496">IFERROR(AVERAGE(_xlfn._xlws.FILTER(T$2:T$1073,($C$2:$C$1073=$C496)*($E$2:$E$1073=$E496)*(ROW(T$2:T$1073)&lt;&gt;ROW(T496))*(T$2:T$1073&lt;&gt;""))),"")</f>
        <v>0.11505618365484008</v>
      </c>
      <c r="AA496" cm="1">
        <f t="array" ref="AA496">IFERROR(AVERAGE(_xlfn._xlws.FILTER(U$2:U$1073,($C$2:$C$1073=$C496)*($E$2:$E$1073=$E496)*(ROW(U$2:U$1073)&lt;&gt;ROW(U496))*(U$2:U$1073&lt;&gt;""))),"")</f>
        <v>1.1128563967031604</v>
      </c>
    </row>
    <row r="497" spans="1:27" x14ac:dyDescent="0.2">
      <c r="A497" s="7" t="s">
        <v>2242</v>
      </c>
      <c r="B497" t="str">
        <f t="shared" si="79"/>
        <v>TRMK IV кв. 2010</v>
      </c>
      <c r="C497">
        <v>2010</v>
      </c>
      <c r="D497">
        <f>SUMIFS(Дивиденды!$C:$C,Дивиденды!$A:$A,A497,Дивиденды!$I:$I,C497)</f>
        <v>0.85</v>
      </c>
      <c r="E497">
        <v>3</v>
      </c>
      <c r="F497">
        <f t="shared" si="80"/>
        <v>0.85</v>
      </c>
      <c r="G497">
        <f t="shared" si="81"/>
        <v>2.9939999999999998</v>
      </c>
      <c r="H497">
        <f t="shared" si="82"/>
        <v>1</v>
      </c>
      <c r="I497">
        <f t="shared" si="89"/>
        <v>0.6</v>
      </c>
      <c r="J497" t="str">
        <f t="shared" si="83"/>
        <v/>
      </c>
      <c r="K497" t="str">
        <f t="shared" si="87"/>
        <v/>
      </c>
      <c r="L497" t="str">
        <f t="shared" si="84"/>
        <v/>
      </c>
      <c r="M497" t="str">
        <f t="shared" si="88"/>
        <v/>
      </c>
      <c r="N497" t="str">
        <f t="shared" si="85"/>
        <v/>
      </c>
      <c r="O497" t="str">
        <f t="shared" si="86"/>
        <v/>
      </c>
      <c r="P497" t="str">
        <f>IFERROR(LN('Дивиденды по годам'!I497),"")</f>
        <v/>
      </c>
      <c r="Q497" t="str">
        <f>IFERROR('Дивиденды по годам'!G497/'Дивиденды по годам'!I497, "")</f>
        <v/>
      </c>
      <c r="R497" t="str">
        <f>IFERROR(IF(AND('Дивиденды по годам'!N497&lt;&gt;"",'Дивиденды по годам'!U497&lt;&gt;"",'Дивиденды по годам'!U497&lt;&gt;0),'Дивиденды по годам'!N497/'Дивиденды по годам'!U497-1,""),"")</f>
        <v/>
      </c>
      <c r="S497" t="str">
        <f>IFERROR(IF(AND('Дивиденды по годам'!L497&lt;&gt;"",'Дивиденды по годам'!I497&lt;&gt;"",'Дивиденды по годам'!J497&lt;&gt;"",'Дивиденды по годам'!K497&lt;&gt;"",('Дивиденды по годам'!I497-'Дивиденды по годам'!J497-'Дивиденды по годам'!K497)&lt;&gt;0),'Дивиденды по годам'!L497/('Дивиденды по годам'!I497-'Дивиденды по годам'!J497-'Дивиденды по годам'!K497),""),"")</f>
        <v/>
      </c>
      <c r="T497" t="str">
        <f>IFERROR(IF(AND('Дивиденды по годам'!Q497&lt;&gt;"",'Дивиденды по годам'!I497&lt;&gt;"",'Дивиденды по годам'!V497&lt;&gt;"",('Дивиденды по годам'!I497+'Дивиденды по годам'!V497)&lt;&gt;0),'Дивиденды по годам'!Q497/(('Дивиденды по годам'!I497+'Дивиденды по годам'!V497)/2),""),"")</f>
        <v/>
      </c>
      <c r="U497" t="str">
        <f>IFERROR(IF(AND('Дивиденды по годам'!J497&lt;&gt;"",'Дивиденды по годам'!K497&lt;&gt;"",'Дивиденды по годам'!M497&lt;&gt;"",'Дивиденды по годам'!M497&lt;&gt;0),('Дивиденды по годам'!J497+'Дивиденды по годам'!K497)/'Дивиденды по годам'!M497,""),"")</f>
        <v/>
      </c>
      <c r="V497" cm="1">
        <f t="array" ref="V497">IFERROR(AVERAGE(_xlfn._xlws.FILTER(P$2:P$1073,($C$2:$C$1073=$C497)*($E$2:$E$1073=$E497)*(ROW(P$2:P$1073)&lt;&gt;ROW(P497))*(P$2:P$1073&lt;&gt;""))),"")</f>
        <v>26.127864794831805</v>
      </c>
      <c r="W497" cm="1">
        <f t="array" ref="W497">IFERROR(AVERAGE(_xlfn._xlws.FILTER(Q$2:Q$1073,($C$2:$C$1073=$C497)*($E$2:$E$1073=$E497)*(ROW(Q$2:Q$1073)&lt;&gt;ROW(Q497))*(Q$2:Q$1073&lt;&gt;""))),"")</f>
        <v>0.75539390451698762</v>
      </c>
      <c r="X497" t="str" cm="1">
        <f t="array" ref="X497">IFERROR(AVERAGE(_xlfn._xlws.FILTER(R$2:R$1073,($C$2:$C$1073=$C497)*($E$2:$E$1073=$E497)*(ROW(R$2:R$1073)&lt;&gt;ROW(R497))*(R$2:R$1073&lt;&gt;""))),"")</f>
        <v/>
      </c>
      <c r="Y497" t="str" cm="1">
        <f t="array" ref="Y497">IFERROR(AVERAGE(_xlfn._xlws.FILTER(S$2:S$1073,($C$2:$C$1073=$C497)*($E$2:$E$1073=$E497)*(ROW(S$2:S$1073)&lt;&gt;ROW(S497))*(S$2:S$1073&lt;&gt;""))),"")</f>
        <v/>
      </c>
      <c r="Z497" t="str" cm="1">
        <f t="array" ref="Z497">IFERROR(AVERAGE(_xlfn._xlws.FILTER(T$2:T$1073,($C$2:$C$1073=$C497)*($E$2:$E$1073=$E497)*(ROW(T$2:T$1073)&lt;&gt;ROW(T497))*(T$2:T$1073&lt;&gt;""))),"")</f>
        <v/>
      </c>
      <c r="AA497" cm="1">
        <f t="array" ref="AA497">IFERROR(AVERAGE(_xlfn._xlws.FILTER(U$2:U$1073,($C$2:$C$1073=$C497)*($E$2:$E$1073=$E497)*(ROW(U$2:U$1073)&lt;&gt;ROW(U497))*(U$2:U$1073&lt;&gt;""))),"")</f>
        <v>1.4017600691070078</v>
      </c>
    </row>
    <row r="498" spans="1:27" x14ac:dyDescent="0.2">
      <c r="A498" s="7" t="s">
        <v>2316</v>
      </c>
      <c r="B498" t="str">
        <f t="shared" si="79"/>
        <v>APTK IV кв. 2025</v>
      </c>
      <c r="C498">
        <v>2025</v>
      </c>
      <c r="D498">
        <f>SUMIFS(Дивиденды!$C:$C,Дивиденды!$A:$A,A498,Дивиденды!$I:$I,C498)</f>
        <v>0</v>
      </c>
      <c r="E498">
        <v>4</v>
      </c>
      <c r="F498">
        <f t="shared" si="80"/>
        <v>0</v>
      </c>
      <c r="G498">
        <f t="shared" si="81"/>
        <v>31.581428571428571</v>
      </c>
      <c r="H498">
        <f t="shared" si="82"/>
        <v>0</v>
      </c>
      <c r="I498">
        <f t="shared" si="89"/>
        <v>0.42857142857142855</v>
      </c>
      <c r="J498">
        <f t="shared" si="83"/>
        <v>0</v>
      </c>
      <c r="K498">
        <f t="shared" si="87"/>
        <v>-0.1825263432406963</v>
      </c>
      <c r="L498">
        <f t="shared" si="84"/>
        <v>0</v>
      </c>
      <c r="M498">
        <f t="shared" si="88"/>
        <v>0.14285714285714285</v>
      </c>
      <c r="N498">
        <f t="shared" si="85"/>
        <v>0</v>
      </c>
      <c r="O498">
        <f t="shared" si="86"/>
        <v>0.5</v>
      </c>
      <c r="P498" t="str">
        <f>IFERROR(LN('Дивиденды по годам'!I498),"")</f>
        <v/>
      </c>
      <c r="Q498" t="str">
        <f>IFERROR('Дивиденды по годам'!G498/'Дивиденды по годам'!I498, "")</f>
        <v/>
      </c>
      <c r="R498" t="str">
        <f>IFERROR(IF(AND('Дивиденды по годам'!N498&lt;&gt;"",'Дивиденды по годам'!U498&lt;&gt;"",'Дивиденды по годам'!U498&lt;&gt;0),'Дивиденды по годам'!N498/'Дивиденды по годам'!U498-1,""),"")</f>
        <v/>
      </c>
      <c r="S498" t="str">
        <f>IFERROR(IF(AND('Дивиденды по годам'!L498&lt;&gt;"",'Дивиденды по годам'!I498&lt;&gt;"",'Дивиденды по годам'!J498&lt;&gt;"",'Дивиденды по годам'!K498&lt;&gt;"",('Дивиденды по годам'!I498-'Дивиденды по годам'!J498-'Дивиденды по годам'!K498)&lt;&gt;0),'Дивиденды по годам'!L498/('Дивиденды по годам'!I498-'Дивиденды по годам'!J498-'Дивиденды по годам'!K498),""),"")</f>
        <v/>
      </c>
      <c r="T498" t="str">
        <f>IFERROR(IF(AND('Дивиденды по годам'!Q498&lt;&gt;"",'Дивиденды по годам'!I498&lt;&gt;"",'Дивиденды по годам'!V498&lt;&gt;"",('Дивиденды по годам'!I498+'Дивиденды по годам'!V498)&lt;&gt;0),'Дивиденды по годам'!Q498/(('Дивиденды по годам'!I498+'Дивиденды по годам'!V498)/2),""),"")</f>
        <v/>
      </c>
      <c r="U498" t="str">
        <f>IFERROR(IF(AND('Дивиденды по годам'!J498&lt;&gt;"",'Дивиденды по годам'!K498&lt;&gt;"",'Дивиденды по годам'!M498&lt;&gt;"",'Дивиденды по годам'!M498&lt;&gt;0),('Дивиденды по годам'!J498+'Дивиденды по годам'!K498)/'Дивиденды по годам'!M498,""),"")</f>
        <v/>
      </c>
      <c r="V498" cm="1">
        <f t="array" ref="V498">IFERROR(AVERAGE(_xlfn._xlws.FILTER(P$2:P$1073,($C$2:$C$1073=$C498)*($E$2:$E$1073=$E498)*(ROW(P$2:P$1073)&lt;&gt;ROW(P498))*(P$2:P$1073&lt;&gt;""))),"")</f>
        <v>26.183512711155618</v>
      </c>
      <c r="W498" cm="1">
        <f t="array" ref="W498">IFERROR(AVERAGE(_xlfn._xlws.FILTER(Q$2:Q$1073,($C$2:$C$1073=$C498)*($E$2:$E$1073=$E498)*(ROW(Q$2:Q$1073)&lt;&gt;ROW(Q498))*(Q$2:Q$1073&lt;&gt;""))),"")</f>
        <v>0.42364014522274984</v>
      </c>
      <c r="X498" cm="1">
        <f t="array" ref="X498">IFERROR(AVERAGE(_xlfn._xlws.FILTER(R$2:R$1073,($C$2:$C$1073=$C498)*($E$2:$E$1073=$E498)*(ROW(R$2:R$1073)&lt;&gt;ROW(R498))*(R$2:R$1073&lt;&gt;""))),"")</f>
        <v>6.6096126428947105E-2</v>
      </c>
      <c r="Y498" cm="1">
        <f t="array" ref="Y498">IFERROR(AVERAGE(_xlfn._xlws.FILTER(S$2:S$1073,($C$2:$C$1073=$C498)*($E$2:$E$1073=$E498)*(ROW(S$2:S$1073)&lt;&gt;ROW(S498))*(S$2:S$1073&lt;&gt;""))),"")</f>
        <v>0.94174952343815033</v>
      </c>
      <c r="Z498" cm="1">
        <f t="array" ref="Z498">IFERROR(AVERAGE(_xlfn._xlws.FILTER(T$2:T$1073,($C$2:$C$1073=$C498)*($E$2:$E$1073=$E498)*(ROW(T$2:T$1073)&lt;&gt;ROW(T498))*(T$2:T$1073&lt;&gt;""))),"")</f>
        <v>1.3107153079830167E-2</v>
      </c>
      <c r="AA498" cm="1">
        <f t="array" ref="AA498">IFERROR(AVERAGE(_xlfn._xlws.FILTER(U$2:U$1073,($C$2:$C$1073=$C498)*($E$2:$E$1073=$E498)*(ROW(U$2:U$1073)&lt;&gt;ROW(U498))*(U$2:U$1073&lt;&gt;""))),"")</f>
        <v>6.2968354519658218</v>
      </c>
    </row>
    <row r="499" spans="1:27" x14ac:dyDescent="0.2">
      <c r="A499" s="7" t="s">
        <v>2316</v>
      </c>
      <c r="B499" t="str">
        <f t="shared" si="79"/>
        <v>APTK IV кв. 2024</v>
      </c>
      <c r="C499">
        <v>2024</v>
      </c>
      <c r="D499">
        <f>SUMIFS(Дивиденды!$C:$C,Дивиденды!$A:$A,A499,Дивиденды!$I:$I,C499)</f>
        <v>0</v>
      </c>
      <c r="E499">
        <v>4</v>
      </c>
      <c r="F499">
        <f t="shared" si="80"/>
        <v>0</v>
      </c>
      <c r="G499">
        <f t="shared" si="81"/>
        <v>62.511428571428574</v>
      </c>
      <c r="H499">
        <f t="shared" si="82"/>
        <v>0</v>
      </c>
      <c r="I499">
        <f t="shared" si="89"/>
        <v>0.5714285714285714</v>
      </c>
      <c r="J499">
        <f t="shared" si="83"/>
        <v>0</v>
      </c>
      <c r="K499">
        <f t="shared" si="87"/>
        <v>0.21145574536348383</v>
      </c>
      <c r="L499">
        <f t="shared" si="84"/>
        <v>0</v>
      </c>
      <c r="M499">
        <f t="shared" si="88"/>
        <v>0.35714285714285715</v>
      </c>
      <c r="N499">
        <f t="shared" si="85"/>
        <v>0</v>
      </c>
      <c r="O499">
        <f t="shared" si="86"/>
        <v>0.2857142857142857</v>
      </c>
      <c r="P499">
        <f>IFERROR(LN('Дивиденды по годам'!I499),"")</f>
        <v>24.830625336246005</v>
      </c>
      <c r="Q499">
        <f>IFERROR('Дивиденды по годам'!G499/'Дивиденды по годам'!I499, "")</f>
        <v>2.5647353008916528E-2</v>
      </c>
      <c r="R499">
        <f>IFERROR(IF(AND('Дивиденды по годам'!N499&lt;&gt;"",'Дивиденды по годам'!U499&lt;&gt;"",'Дивиденды по годам'!U499&lt;&gt;0),'Дивиденды по годам'!N499/'Дивиденды по годам'!U499-1,""),"")</f>
        <v>0.29402595088927819</v>
      </c>
      <c r="S499">
        <f>IFERROR(IF(AND('Дивиденды по годам'!L499&lt;&gt;"",'Дивиденды по годам'!I499&lt;&gt;"",'Дивиденды по годам'!J499&lt;&gt;"",'Дивиденды по годам'!K499&lt;&gt;"",('Дивиденды по годам'!I499-'Дивиденды по годам'!J499-'Дивиденды по годам'!K499)&lt;&gt;0),'Дивиденды по годам'!L499/('Дивиденды по годам'!I499-'Дивиденды по годам'!J499-'Дивиденды по годам'!K499),""),"")</f>
        <v>7.3384452670544684</v>
      </c>
      <c r="T499">
        <f>IFERROR(IF(AND('Дивиденды по годам'!Q499&lt;&gt;"",'Дивиденды по годам'!I499&lt;&gt;"",'Дивиденды по годам'!V499&lt;&gt;"",('Дивиденды по годам'!I499+'Дивиденды по годам'!V499)&lt;&gt;0),'Дивиденды по годам'!Q499/(('Дивиденды по годам'!I499+'Дивиденды по годам'!V499)/2),""),"")</f>
        <v>4.6840461738184621E-3</v>
      </c>
      <c r="U499">
        <f>IFERROR(IF(AND('Дивиденды по годам'!J499&lt;&gt;"",'Дивиденды по годам'!K499&lt;&gt;"",'Дивиденды по годам'!M499&lt;&gt;"",'Дивиденды по годам'!M499&lt;&gt;0),('Дивиденды по годам'!J499+'Дивиденды по годам'!K499)/'Дивиденды по годам'!M499,""),"")</f>
        <v>-9.0362242199894229</v>
      </c>
      <c r="V499" cm="1">
        <f t="array" ref="V499">IFERROR(AVERAGE(_xlfn._xlws.FILTER(P$2:P$1073,($C$2:$C$1073=$C499)*($E$2:$E$1073=$E499)*(ROW(P$2:P$1073)&lt;&gt;ROW(P499))*(P$2:P$1073&lt;&gt;""))),"")</f>
        <v>25.61724188367495</v>
      </c>
      <c r="W499" cm="1">
        <f t="array" ref="W499">IFERROR(AVERAGE(_xlfn._xlws.FILTER(Q$2:Q$1073,($C$2:$C$1073=$C499)*($E$2:$E$1073=$E499)*(ROW(Q$2:Q$1073)&lt;&gt;ROW(Q499))*(Q$2:Q$1073&lt;&gt;""))),"")</f>
        <v>0.27987277966365648</v>
      </c>
      <c r="X499" cm="1">
        <f t="array" ref="X499">IFERROR(AVERAGE(_xlfn._xlws.FILTER(R$2:R$1073,($C$2:$C$1073=$C499)*($E$2:$E$1073=$E499)*(ROW(R$2:R$1073)&lt;&gt;ROW(R499))*(R$2:R$1073&lt;&gt;""))),"")</f>
        <v>0.26342503791086413</v>
      </c>
      <c r="Y499" cm="1">
        <f t="array" ref="Y499">IFERROR(AVERAGE(_xlfn._xlws.FILTER(S$2:S$1073,($C$2:$C$1073=$C499)*($E$2:$E$1073=$E499)*(ROW(S$2:S$1073)&lt;&gt;ROW(S499))*(S$2:S$1073&lt;&gt;""))),"")</f>
        <v>0.73052606439314671</v>
      </c>
      <c r="Z499" cm="1">
        <f t="array" ref="Z499">IFERROR(AVERAGE(_xlfn._xlws.FILTER(T$2:T$1073,($C$2:$C$1073=$C499)*($E$2:$E$1073=$E499)*(ROW(T$2:T$1073)&lt;&gt;ROW(T499))*(T$2:T$1073&lt;&gt;""))),"")</f>
        <v>7.7832180725511346E-2</v>
      </c>
      <c r="AA499" cm="1">
        <f t="array" ref="AA499">IFERROR(AVERAGE(_xlfn._xlws.FILTER(U$2:U$1073,($C$2:$C$1073=$C499)*($E$2:$E$1073=$E499)*(ROW(U$2:U$1073)&lt;&gt;ROW(U499))*(U$2:U$1073&lt;&gt;""))),"")</f>
        <v>4.9212993773673217</v>
      </c>
    </row>
    <row r="500" spans="1:27" x14ac:dyDescent="0.2">
      <c r="A500" s="7" t="s">
        <v>2316</v>
      </c>
      <c r="B500" t="str">
        <f t="shared" si="79"/>
        <v>APTK IV кв. 2023</v>
      </c>
      <c r="C500">
        <v>2023</v>
      </c>
      <c r="D500">
        <f>SUMIFS(Дивиденды!$C:$C,Дивиденды!$A:$A,A500,Дивиденды!$I:$I,C500)</f>
        <v>0</v>
      </c>
      <c r="E500">
        <v>4</v>
      </c>
      <c r="F500">
        <f t="shared" si="80"/>
        <v>0</v>
      </c>
      <c r="G500">
        <f t="shared" si="81"/>
        <v>90.740000000000009</v>
      </c>
      <c r="H500">
        <f t="shared" si="82"/>
        <v>0</v>
      </c>
      <c r="I500">
        <f t="shared" si="89"/>
        <v>0.5</v>
      </c>
      <c r="J500">
        <f t="shared" si="83"/>
        <v>0</v>
      </c>
      <c r="K500">
        <f t="shared" si="87"/>
        <v>0.29812745098039217</v>
      </c>
      <c r="L500">
        <f t="shared" si="84"/>
        <v>0</v>
      </c>
      <c r="M500">
        <f t="shared" si="88"/>
        <v>0.42857142857142855</v>
      </c>
      <c r="N500">
        <f t="shared" si="85"/>
        <v>0</v>
      </c>
      <c r="O500">
        <f t="shared" si="86"/>
        <v>0</v>
      </c>
      <c r="P500">
        <f>IFERROR(LN('Дивиденды по годам'!I500),"")</f>
        <v>24.697662521932617</v>
      </c>
      <c r="Q500">
        <f>IFERROR('Дивиденды по годам'!G500/'Дивиденды по годам'!I500, "")</f>
        <v>3.3898305084745763E-2</v>
      </c>
      <c r="R500">
        <f>IFERROR(IF(AND('Дивиденды по годам'!N500&lt;&gt;"",'Дивиденды по годам'!U500&lt;&gt;"",'Дивиденды по годам'!U500&lt;&gt;0),'Дивиденды по годам'!N500/'Дивиденды по годам'!U500-1,""),"")</f>
        <v>0.14073296301314175</v>
      </c>
      <c r="S500">
        <f>IFERROR(IF(AND('Дивиденды по годам'!L500&lt;&gt;"",'Дивиденды по годам'!I500&lt;&gt;"",'Дивиденды по годам'!J500&lt;&gt;"",'Дивиденды по годам'!K500&lt;&gt;"",('Дивиденды по годам'!I500-'Дивиденды по годам'!J500-'Дивиденды по годам'!K500)&lt;&gt;0),'Дивиденды по годам'!L500/('Дивиденды по годам'!I500-'Дивиденды по годам'!J500-'Дивиденды по годам'!K500),""),"")</f>
        <v>8.1649831649831643</v>
      </c>
      <c r="T500">
        <f>IFERROR(IF(AND('Дивиденды по годам'!Q500&lt;&gt;"",'Дивиденды по годам'!I500&lt;&gt;"",'Дивиденды по годам'!V500&lt;&gt;"",('Дивиденды по годам'!I500+'Дивиденды по годам'!V500)&lt;&gt;0),'Дивиденды по годам'!Q500/(('Дивиденды по годам'!I500+'Дивиденды по годам'!V500)/2),""),"")</f>
        <v>2.4784171176008923E-3</v>
      </c>
      <c r="U500">
        <f>IFERROR(IF(AND('Дивиденды по годам'!J500&lt;&gt;"",'Дивиденды по годам'!K500&lt;&gt;"",'Дивиденды по годам'!M500&lt;&gt;"",'Дивиденды по годам'!M500&lt;&gt;0),('Дивиденды по годам'!J500+'Дивиденды по годам'!K500)/'Дивиденды по годам'!M500,""),"")</f>
        <v>-8.790660225442835</v>
      </c>
      <c r="V500" cm="1">
        <f t="array" ref="V500">IFERROR(AVERAGE(_xlfn._xlws.FILTER(P$2:P$1073,($C$2:$C$1073=$C500)*($E$2:$E$1073=$E500)*(ROW(P$2:P$1073)&lt;&gt;ROW(P500))*(P$2:P$1073&lt;&gt;""))),"")</f>
        <v>25.414776185816301</v>
      </c>
      <c r="W500" cm="1">
        <f t="array" ref="W500">IFERROR(AVERAGE(_xlfn._xlws.FILTER(Q$2:Q$1073,($C$2:$C$1073=$C500)*($E$2:$E$1073=$E500)*(ROW(Q$2:Q$1073)&lt;&gt;ROW(Q500))*(Q$2:Q$1073&lt;&gt;""))),"")</f>
        <v>0.26585090636349934</v>
      </c>
      <c r="X500" cm="1">
        <f t="array" ref="X500">IFERROR(AVERAGE(_xlfn._xlws.FILTER(R$2:R$1073,($C$2:$C$1073=$C500)*($E$2:$E$1073=$E500)*(ROW(R$2:R$1073)&lt;&gt;ROW(R500))*(R$2:R$1073&lt;&gt;""))),"")</f>
        <v>0.25494491799710728</v>
      </c>
      <c r="Y500" cm="1">
        <f t="array" ref="Y500">IFERROR(AVERAGE(_xlfn._xlws.FILTER(S$2:S$1073,($C$2:$C$1073=$C500)*($E$2:$E$1073=$E500)*(ROW(S$2:S$1073)&lt;&gt;ROW(S500))*(S$2:S$1073&lt;&gt;""))),"")</f>
        <v>0.75178050401890262</v>
      </c>
      <c r="Z500" cm="1">
        <f t="array" ref="Z500">IFERROR(AVERAGE(_xlfn._xlws.FILTER(T$2:T$1073,($C$2:$C$1073=$C500)*($E$2:$E$1073=$E500)*(ROW(T$2:T$1073)&lt;&gt;ROW(T500))*(T$2:T$1073&lt;&gt;""))),"")</f>
        <v>0.11929779204557962</v>
      </c>
      <c r="AA500" cm="1">
        <f t="array" ref="AA500">IFERROR(AVERAGE(_xlfn._xlws.FILTER(U$2:U$1073,($C$2:$C$1073=$C500)*($E$2:$E$1073=$E500)*(ROW(U$2:U$1073)&lt;&gt;ROW(U500))*(U$2:U$1073&lt;&gt;""))),"")</f>
        <v>3.4002021974336509</v>
      </c>
    </row>
    <row r="501" spans="1:27" x14ac:dyDescent="0.2">
      <c r="A501" s="7" t="s">
        <v>2316</v>
      </c>
      <c r="B501" t="str">
        <f t="shared" si="79"/>
        <v>APTK IV кв. 2022</v>
      </c>
      <c r="C501">
        <v>2022</v>
      </c>
      <c r="D501">
        <f>SUMIFS(Дивиденды!$C:$C,Дивиденды!$A:$A,A501,Дивиденды!$I:$I,C501)</f>
        <v>0</v>
      </c>
      <c r="E501">
        <v>4</v>
      </c>
      <c r="F501">
        <f t="shared" si="80"/>
        <v>0</v>
      </c>
      <c r="G501">
        <f t="shared" si="81"/>
        <v>80.180000000000021</v>
      </c>
      <c r="H501">
        <f t="shared" si="82"/>
        <v>0</v>
      </c>
      <c r="I501">
        <f t="shared" si="89"/>
        <v>0.2857142857142857</v>
      </c>
      <c r="J501">
        <f t="shared" si="83"/>
        <v>0</v>
      </c>
      <c r="K501">
        <f t="shared" si="87"/>
        <v>0.49583624512073399</v>
      </c>
      <c r="L501">
        <f t="shared" si="84"/>
        <v>0</v>
      </c>
      <c r="M501">
        <f t="shared" si="88"/>
        <v>0.2857142857142857</v>
      </c>
      <c r="N501">
        <f t="shared" si="85"/>
        <v>0</v>
      </c>
      <c r="O501">
        <f t="shared" si="86"/>
        <v>7.1428571428571425E-2</v>
      </c>
      <c r="P501">
        <f>IFERROR(LN('Дивиденды по годам'!I501),"")</f>
        <v>24.498735746141445</v>
      </c>
      <c r="Q501">
        <f>IFERROR('Дивиденды по годам'!G501/'Дивиденды по годам'!I501, "")</f>
        <v>4.7205282222935484E-2</v>
      </c>
      <c r="R501">
        <f>IFERROR(IF(AND('Дивиденды по годам'!N501&lt;&gt;"",'Дивиденды по годам'!U501&lt;&gt;"",'Дивиденды по годам'!U501&lt;&gt;0),'Дивиденды по годам'!N501/'Дивиденды по годам'!U501-1,""),"")</f>
        <v>0.338835479775077</v>
      </c>
      <c r="S501">
        <f>IFERROR(IF(AND('Дивиденды по годам'!L501&lt;&gt;"",'Дивиденды по годам'!I501&lt;&gt;"",'Дивиденды по годам'!J501&lt;&gt;"",'Дивиденды по годам'!K501&lt;&gt;"",('Дивиденды по годам'!I501-'Дивиденды по годам'!J501-'Дивиденды по годам'!K501)&lt;&gt;0),'Дивиденды по годам'!L501/('Дивиденды по годам'!I501-'Дивиденды по годам'!J501-'Дивиденды по годам'!K501),""),"")</f>
        <v>8.6914943243663512</v>
      </c>
      <c r="T501">
        <f>IFERROR(IF(AND('Дивиденды по годам'!Q501&lt;&gt;"",'Дивиденды по годам'!I501&lt;&gt;"",'Дивиденды по годам'!V501&lt;&gt;"",('Дивиденды по годам'!I501+'Дивиденды по годам'!V501)&lt;&gt;0),'Дивиденды по годам'!Q501/(('Дивиденды по годам'!I501+'Дивиденды по годам'!V501)/2),""),"")</f>
        <v>5.4758192242998684E-3</v>
      </c>
      <c r="U501">
        <f>IFERROR(IF(AND('Дивиденды по годам'!J501&lt;&gt;"",'Дивиденды по годам'!K501&lt;&gt;"",'Дивиденды по годам'!M501&lt;&gt;"",'Дивиденды по годам'!M501&lt;&gt;0),('Дивиденды по годам'!J501+'Дивиденды по годам'!K501)/'Дивиденды по годам'!M501,""),"")</f>
        <v>-7.7824599595708284</v>
      </c>
      <c r="V501" cm="1">
        <f t="array" ref="V501">IFERROR(AVERAGE(_xlfn._xlws.FILTER(P$2:P$1073,($C$2:$C$1073=$C501)*($E$2:$E$1073=$E501)*(ROW(P$2:P$1073)&lt;&gt;ROW(P501))*(P$2:P$1073&lt;&gt;""))),"")</f>
        <v>25.331462844332169</v>
      </c>
      <c r="W501" cm="1">
        <f t="array" ref="W501">IFERROR(AVERAGE(_xlfn._xlws.FILTER(Q$2:Q$1073,($C$2:$C$1073=$C501)*($E$2:$E$1073=$E501)*(ROW(Q$2:Q$1073)&lt;&gt;ROW(Q501))*(Q$2:Q$1073&lt;&gt;""))),"")</f>
        <v>0.26502742042013294</v>
      </c>
      <c r="X501" cm="1">
        <f t="array" ref="X501">IFERROR(AVERAGE(_xlfn._xlws.FILTER(R$2:R$1073,($C$2:$C$1073=$C501)*($E$2:$E$1073=$E501)*(ROW(R$2:R$1073)&lt;&gt;ROW(R501))*(R$2:R$1073&lt;&gt;""))),"")</f>
        <v>0.19298049508099921</v>
      </c>
      <c r="Y501" cm="1">
        <f t="array" ref="Y501">IFERROR(AVERAGE(_xlfn._xlws.FILTER(S$2:S$1073,($C$2:$C$1073=$C501)*($E$2:$E$1073=$E501)*(ROW(S$2:S$1073)&lt;&gt;ROW(S501))*(S$2:S$1073&lt;&gt;""))),"")</f>
        <v>0.72421531890110702</v>
      </c>
      <c r="Z501" cm="1">
        <f t="array" ref="Z501">IFERROR(AVERAGE(_xlfn._xlws.FILTER(T$2:T$1073,($C$2:$C$1073=$C501)*($E$2:$E$1073=$E501)*(ROW(T$2:T$1073)&lt;&gt;ROW(T501))*(T$2:T$1073&lt;&gt;""))),"")</f>
        <v>0.10948435070732226</v>
      </c>
      <c r="AA501" cm="1">
        <f t="array" ref="AA501">IFERROR(AVERAGE(_xlfn._xlws.FILTER(U$2:U$1073,($C$2:$C$1073=$C501)*($E$2:$E$1073=$E501)*(ROW(U$2:U$1073)&lt;&gt;ROW(U501))*(U$2:U$1073&lt;&gt;""))),"")</f>
        <v>3.0031387999589643</v>
      </c>
    </row>
    <row r="502" spans="1:27" x14ac:dyDescent="0.2">
      <c r="A502" s="7" t="s">
        <v>2316</v>
      </c>
      <c r="B502" t="str">
        <f t="shared" si="79"/>
        <v>APTK IV кв. 2021</v>
      </c>
      <c r="C502">
        <v>2021</v>
      </c>
      <c r="D502">
        <f>SUMIFS(Дивиденды!$C:$C,Дивиденды!$A:$A,A502,Дивиденды!$I:$I,C502)</f>
        <v>0</v>
      </c>
      <c r="E502">
        <v>4</v>
      </c>
      <c r="F502">
        <f t="shared" si="80"/>
        <v>0</v>
      </c>
      <c r="G502">
        <f t="shared" si="81"/>
        <v>31.931428571428572</v>
      </c>
      <c r="H502">
        <f t="shared" si="82"/>
        <v>0</v>
      </c>
      <c r="I502">
        <f t="shared" si="89"/>
        <v>0.2857142857142857</v>
      </c>
      <c r="J502">
        <f t="shared" si="83"/>
        <v>0</v>
      </c>
      <c r="K502">
        <f t="shared" si="87"/>
        <v>0.1975016604235505</v>
      </c>
      <c r="L502">
        <f t="shared" si="84"/>
        <v>0</v>
      </c>
      <c r="M502">
        <f t="shared" si="88"/>
        <v>0.21428571428571427</v>
      </c>
      <c r="N502">
        <f t="shared" si="85"/>
        <v>0</v>
      </c>
      <c r="O502">
        <f t="shared" si="86"/>
        <v>7.1428571428571425E-2</v>
      </c>
      <c r="P502">
        <f>IFERROR(LN('Дивиденды по годам'!I502),"")</f>
        <v>24.356394709289027</v>
      </c>
      <c r="Q502">
        <f>IFERROR('Дивиденды по годам'!G502/'Дивиденды по годам'!I502, "")</f>
        <v>5.4849197747878727E-2</v>
      </c>
      <c r="R502">
        <f>IFERROR(IF(AND('Дивиденды по годам'!N502&lt;&gt;"",'Дивиденды по годам'!U502&lt;&gt;"",'Дивиденды по годам'!U502&lt;&gt;0),'Дивиденды по годам'!N502/'Дивиденды по годам'!U502-1,""),"")</f>
        <v>0.12318231593959306</v>
      </c>
      <c r="S502">
        <f>IFERROR(IF(AND('Дивиденды по годам'!L502&lt;&gt;"",'Дивиденды по годам'!I502&lt;&gt;"",'Дивиденды по годам'!J502&lt;&gt;"",'Дивиденды по годам'!K502&lt;&gt;"",('Дивиденды по годам'!I502-'Дивиденды по годам'!J502-'Дивиденды по годам'!K502)&lt;&gt;0),'Дивиденды по годам'!L502/('Дивиденды по годам'!I502-'Дивиденды по годам'!J502-'Дивиденды по годам'!K502),""),"")</f>
        <v>8.433724075743914</v>
      </c>
      <c r="T502">
        <f>IFERROR(IF(AND('Дивиденды по годам'!Q502&lt;&gt;"",'Дивиденды по годам'!I502&lt;&gt;"",'Дивиденды по годам'!V502&lt;&gt;"",('Дивиденды по годам'!I502+'Дивиденды по годам'!V502)&lt;&gt;0),'Дивиденды по годам'!Q502/(('Дивиденды по годам'!I502+'Дивиденды по годам'!V502)/2),""),"")</f>
        <v>-2.0594196772130632E-2</v>
      </c>
      <c r="U502">
        <f>IFERROR(IF(AND('Дивиденды по годам'!J502&lt;&gt;"",'Дивиденды по годам'!K502&lt;&gt;"",'Дивиденды по годам'!M502&lt;&gt;"",'Дивиденды по годам'!M502&lt;&gt;0),('Дивиденды по годам'!J502+'Дивиденды по годам'!K502)/'Дивиденды по годам'!M502,""),"")</f>
        <v>-6.6854523594830173</v>
      </c>
      <c r="V502" cm="1">
        <f t="array" ref="V502">IFERROR(AVERAGE(_xlfn._xlws.FILTER(P$2:P$1073,($C$2:$C$1073=$C502)*($E$2:$E$1073=$E502)*(ROW(P$2:P$1073)&lt;&gt;ROW(P502))*(P$2:P$1073&lt;&gt;""))),"")</f>
        <v>25.257268145138081</v>
      </c>
      <c r="W502" cm="1">
        <f t="array" ref="W502">IFERROR(AVERAGE(_xlfn._xlws.FILTER(Q$2:Q$1073,($C$2:$C$1073=$C502)*($E$2:$E$1073=$E502)*(ROW(Q$2:Q$1073)&lt;&gt;ROW(Q502))*(Q$2:Q$1073&lt;&gt;""))),"")</f>
        <v>0.25029345392328745</v>
      </c>
      <c r="X502" cm="1">
        <f t="array" ref="X502">IFERROR(AVERAGE(_xlfn._xlws.FILTER(R$2:R$1073,($C$2:$C$1073=$C502)*($E$2:$E$1073=$E502)*(ROW(R$2:R$1073)&lt;&gt;ROW(R502))*(R$2:R$1073&lt;&gt;""))),"")</f>
        <v>0.34191257257133278</v>
      </c>
      <c r="Y502" cm="1">
        <f t="array" ref="Y502">IFERROR(AVERAGE(_xlfn._xlws.FILTER(S$2:S$1073,($C$2:$C$1073=$C502)*($E$2:$E$1073=$E502)*(ROW(S$2:S$1073)&lt;&gt;ROW(S502))*(S$2:S$1073&lt;&gt;""))),"")</f>
        <v>0.72954364629859769</v>
      </c>
      <c r="Z502" cm="1">
        <f t="array" ref="Z502">IFERROR(AVERAGE(_xlfn._xlws.FILTER(T$2:T$1073,($C$2:$C$1073=$C502)*($E$2:$E$1073=$E502)*(ROW(T$2:T$1073)&lt;&gt;ROW(T502))*(T$2:T$1073&lt;&gt;""))),"")</f>
        <v>0.11776854648795437</v>
      </c>
      <c r="AA502" cm="1">
        <f t="array" ref="AA502">IFERROR(AVERAGE(_xlfn._xlws.FILTER(U$2:U$1073,($C$2:$C$1073=$C502)*($E$2:$E$1073=$E502)*(ROW(U$2:U$1073)&lt;&gt;ROW(U502))*(U$2:U$1073&lt;&gt;""))),"")</f>
        <v>18.905638712576447</v>
      </c>
    </row>
    <row r="503" spans="1:27" x14ac:dyDescent="0.2">
      <c r="A503" s="7" t="s">
        <v>2316</v>
      </c>
      <c r="B503" t="str">
        <f t="shared" si="79"/>
        <v>APTK IV кв. 2020</v>
      </c>
      <c r="C503">
        <v>2020</v>
      </c>
      <c r="D503">
        <f>SUMIFS(Дивиденды!$C:$C,Дивиденды!$A:$A,A503,Дивиденды!$I:$I,C503)</f>
        <v>0</v>
      </c>
      <c r="E503">
        <v>4</v>
      </c>
      <c r="F503">
        <f t="shared" si="80"/>
        <v>0</v>
      </c>
      <c r="G503">
        <f t="shared" si="81"/>
        <v>43.293571428571433</v>
      </c>
      <c r="H503">
        <f t="shared" si="82"/>
        <v>0</v>
      </c>
      <c r="I503">
        <f t="shared" si="89"/>
        <v>0.2857142857142857</v>
      </c>
      <c r="J503">
        <f t="shared" si="83"/>
        <v>0</v>
      </c>
      <c r="K503">
        <f t="shared" si="87"/>
        <v>0.26831617204892738</v>
      </c>
      <c r="L503">
        <f t="shared" si="84"/>
        <v>0</v>
      </c>
      <c r="M503">
        <f t="shared" si="88"/>
        <v>0.2857142857142857</v>
      </c>
      <c r="N503">
        <f t="shared" si="85"/>
        <v>0</v>
      </c>
      <c r="O503">
        <f t="shared" si="86"/>
        <v>0</v>
      </c>
      <c r="P503">
        <f>IFERROR(LN('Дивиденды по годам'!I503),"")</f>
        <v>24.720144564275024</v>
      </c>
      <c r="Q503">
        <f>IFERROR('Дивиденды по годам'!G503/'Дивиденды по годам'!I503, "")</f>
        <v>3.7609318733005069E-2</v>
      </c>
      <c r="R503">
        <f>IFERROR(IF(AND('Дивиденды по годам'!N503&lt;&gt;"",'Дивиденды по годам'!U503&lt;&gt;"",'Дивиденды по годам'!U503&lt;&gt;0),'Дивиденды по годам'!N503/'Дивиденды по годам'!U503-1,""),"")</f>
        <v>-0.14727789962865645</v>
      </c>
      <c r="S503">
        <f>IFERROR(IF(AND('Дивиденды по годам'!L503&lt;&gt;"",'Дивиденды по годам'!I503&lt;&gt;"",'Дивиденды по годам'!J503&lt;&gt;"",'Дивиденды по годам'!K503&lt;&gt;"",('Дивиденды по годам'!I503-'Дивиденды по годам'!J503-'Дивиденды по годам'!K503)&lt;&gt;0),'Дивиденды по годам'!L503/('Дивиденды по годам'!I503-'Дивиденды по годам'!J503-'Дивиденды по годам'!K503),""),"")</f>
        <v>9.6718092566619909</v>
      </c>
      <c r="T503">
        <f>IFERROR(IF(AND('Дивиденды по годам'!Q503&lt;&gt;"",'Дивиденды по годам'!I503&lt;&gt;"",'Дивиденды по годам'!V503&lt;&gt;"",('Дивиденды по годам'!I503+'Дивиденды по годам'!V503)&lt;&gt;0),'Дивиденды по годам'!Q503/(('Дивиденды по годам'!I503+'Дивиденды по годам'!V503)/2),""),"")</f>
        <v>-2.2792022792022793E-2</v>
      </c>
      <c r="U503">
        <f>IFERROR(IF(AND('Дивиденды по годам'!J503&lt;&gt;"",'Дивиденды по годам'!K503&lt;&gt;"",'Дивиденды по годам'!M503&lt;&gt;"",'Дивиденды по годам'!M503&lt;&gt;0),('Дивиденды по годам'!J503+'Дивиденды по годам'!K503)/'Дивиденды по годам'!M503,""),"")</f>
        <v>-10.542075736325385</v>
      </c>
      <c r="V503" cm="1">
        <f t="array" ref="V503">IFERROR(AVERAGE(_xlfn._xlws.FILTER(P$2:P$1073,($C$2:$C$1073=$C503)*($E$2:$E$1073=$E503)*(ROW(P$2:P$1073)&lt;&gt;ROW(P503))*(P$2:P$1073&lt;&gt;""))),"")</f>
        <v>25.349262950876451</v>
      </c>
      <c r="W503" cm="1">
        <f t="array" ref="W503">IFERROR(AVERAGE(_xlfn._xlws.FILTER(Q$2:Q$1073,($C$2:$C$1073=$C503)*($E$2:$E$1073=$E503)*(ROW(Q$2:Q$1073)&lt;&gt;ROW(Q503))*(Q$2:Q$1073&lt;&gt;""))),"")</f>
        <v>0.28956229600461753</v>
      </c>
      <c r="X503" cm="1">
        <f t="array" ref="X503">IFERROR(AVERAGE(_xlfn._xlws.FILTER(R$2:R$1073,($C$2:$C$1073=$C503)*($E$2:$E$1073=$E503)*(ROW(R$2:R$1073)&lt;&gt;ROW(R503))*(R$2:R$1073&lt;&gt;""))),"")</f>
        <v>0.12734394935600307</v>
      </c>
      <c r="Y503" cm="1">
        <f t="array" ref="Y503">IFERROR(AVERAGE(_xlfn._xlws.FILTER(S$2:S$1073,($C$2:$C$1073=$C503)*($E$2:$E$1073=$E503)*(ROW(S$2:S$1073)&lt;&gt;ROW(S503))*(S$2:S$1073&lt;&gt;""))),"")</f>
        <v>0.72599668244151416</v>
      </c>
      <c r="Z503" cm="1">
        <f t="array" ref="Z503">IFERROR(AVERAGE(_xlfn._xlws.FILTER(T$2:T$1073,($C$2:$C$1073=$C503)*($E$2:$E$1073=$E503)*(ROW(T$2:T$1073)&lt;&gt;ROW(T503))*(T$2:T$1073&lt;&gt;""))),"")</f>
        <v>7.8766386966105079E-2</v>
      </c>
      <c r="AA503" cm="1">
        <f t="array" ref="AA503">IFERROR(AVERAGE(_xlfn._xlws.FILTER(U$2:U$1073,($C$2:$C$1073=$C503)*($E$2:$E$1073=$E503)*(ROW(U$2:U$1073)&lt;&gt;ROW(U503))*(U$2:U$1073&lt;&gt;""))),"")</f>
        <v>-10.259999442455559</v>
      </c>
    </row>
    <row r="504" spans="1:27" x14ac:dyDescent="0.2">
      <c r="A504" s="7" t="s">
        <v>2316</v>
      </c>
      <c r="B504" t="str">
        <f t="shared" si="79"/>
        <v>APTK IV кв. 2019</v>
      </c>
      <c r="C504">
        <v>2019</v>
      </c>
      <c r="D504">
        <f>SUMIFS(Дивиденды!$C:$C,Дивиденды!$A:$A,A504,Дивиденды!$I:$I,C504)</f>
        <v>0</v>
      </c>
      <c r="E504">
        <v>4</v>
      </c>
      <c r="F504">
        <f t="shared" si="80"/>
        <v>0</v>
      </c>
      <c r="G504">
        <f t="shared" si="81"/>
        <v>24.398571428571426</v>
      </c>
      <c r="H504">
        <f t="shared" si="82"/>
        <v>0</v>
      </c>
      <c r="I504">
        <f t="shared" si="89"/>
        <v>0.21428571428571427</v>
      </c>
      <c r="J504">
        <f t="shared" si="83"/>
        <v>0</v>
      </c>
      <c r="K504">
        <f t="shared" si="87"/>
        <v>0.10876410731109194</v>
      </c>
      <c r="L504">
        <f t="shared" si="84"/>
        <v>0</v>
      </c>
      <c r="M504">
        <f t="shared" si="88"/>
        <v>0.21428571428571427</v>
      </c>
      <c r="N504">
        <f t="shared" si="85"/>
        <v>0</v>
      </c>
      <c r="O504">
        <f t="shared" si="86"/>
        <v>0</v>
      </c>
      <c r="P504">
        <f>IFERROR(LN('Дивиденды по годам'!I504),"")</f>
        <v>24.20819143413928</v>
      </c>
      <c r="Q504">
        <f>IFERROR('Дивиденды по годам'!G504/'Дивиденды по годам'!I504, "")</f>
        <v>4.9172286940527284E-2</v>
      </c>
      <c r="R504">
        <f>IFERROR(IF(AND('Дивиденды по годам'!N504&lt;&gt;"",'Дивиденды по годам'!U504&lt;&gt;"",'Дивиденды по годам'!U504&lt;&gt;0),'Дивиденды по годам'!N504/'Дивиденды по годам'!U504-1,""),"")</f>
        <v>3.1009313988894949E-2</v>
      </c>
      <c r="S504">
        <f>IFERROR(IF(AND('Дивиденды по годам'!L504&lt;&gt;"",'Дивиденды по годам'!I504&lt;&gt;"",'Дивиденды по годам'!J504&lt;&gt;"",'Дивиденды по годам'!K504&lt;&gt;"",('Дивиденды по годам'!I504-'Дивиденды по годам'!J504-'Дивиденды по годам'!K504)&lt;&gt;0),'Дивиденды по годам'!L504/('Дивиденды по годам'!I504-'Дивиденды по годам'!J504-'Дивиденды по годам'!K504),""),"")</f>
        <v>2.6116063847851927</v>
      </c>
      <c r="T504">
        <f>IFERROR(IF(AND('Дивиденды по годам'!Q504&lt;&gt;"",'Дивиденды по годам'!I504&lt;&gt;"",'Дивиденды по годам'!V504&lt;&gt;"",('Дивиденды по годам'!I504+'Дивиденды по годам'!V504)&lt;&gt;0),'Дивиденды по годам'!Q504/(('Дивиденды по годам'!I504+'Дивиденды по годам'!V504)/2),""),"")</f>
        <v>-0.27104791931312078</v>
      </c>
      <c r="U504">
        <f>IFERROR(IF(AND('Дивиденды по годам'!J504&lt;&gt;"",'Дивиденды по годам'!K504&lt;&gt;"",'Дивиденды по годам'!M504&lt;&gt;"",'Дивиденды по годам'!M504&lt;&gt;0),('Дивиденды по годам'!J504+'Дивиденды по годам'!K504)/'Дивиденды по годам'!M504,""),"")</f>
        <v>-2.3847851927322128</v>
      </c>
      <c r="V504" cm="1">
        <f t="array" ref="V504">IFERROR(AVERAGE(_xlfn._xlws.FILTER(P$2:P$1073,($C$2:$C$1073=$C504)*($E$2:$E$1073=$E504)*(ROW(P$2:P$1073)&lt;&gt;ROW(P504))*(P$2:P$1073&lt;&gt;""))),"")</f>
        <v>25.229527428627208</v>
      </c>
      <c r="W504" cm="1">
        <f t="array" ref="W504">IFERROR(AVERAGE(_xlfn._xlws.FILTER(Q$2:Q$1073,($C$2:$C$1073=$C504)*($E$2:$E$1073=$E504)*(ROW(Q$2:Q$1073)&lt;&gt;ROW(Q504))*(Q$2:Q$1073&lt;&gt;""))),"")</f>
        <v>0.29851979645003002</v>
      </c>
      <c r="X504" cm="1">
        <f t="array" ref="X504">IFERROR(AVERAGE(_xlfn._xlws.FILTER(R$2:R$1073,($C$2:$C$1073=$C504)*($E$2:$E$1073=$E504)*(ROW(R$2:R$1073)&lt;&gt;ROW(R504))*(R$2:R$1073&lt;&gt;""))),"")</f>
        <v>0.47614578337257996</v>
      </c>
      <c r="Y504" cm="1">
        <f t="array" ref="Y504">IFERROR(AVERAGE(_xlfn._xlws.FILTER(S$2:S$1073,($C$2:$C$1073=$C504)*($E$2:$E$1073=$E504)*(ROW(S$2:S$1073)&lt;&gt;ROW(S504))*(S$2:S$1073&lt;&gt;""))),"")</f>
        <v>0.68275475192682933</v>
      </c>
      <c r="Z504" cm="1">
        <f t="array" ref="Z504">IFERROR(AVERAGE(_xlfn._xlws.FILTER(T$2:T$1073,($C$2:$C$1073=$C504)*($E$2:$E$1073=$E504)*(ROW(T$2:T$1073)&lt;&gt;ROW(T504))*(T$2:T$1073&lt;&gt;""))),"")</f>
        <v>0.10173401221460325</v>
      </c>
      <c r="AA504" cm="1">
        <f t="array" ref="AA504">IFERROR(AVERAGE(_xlfn._xlws.FILTER(U$2:U$1073,($C$2:$C$1073=$C504)*($E$2:$E$1073=$E504)*(ROW(U$2:U$1073)&lt;&gt;ROW(U504))*(U$2:U$1073&lt;&gt;""))),"")</f>
        <v>-2.6767631936199137</v>
      </c>
    </row>
    <row r="505" spans="1:27" x14ac:dyDescent="0.2">
      <c r="A505" s="7" t="s">
        <v>2316</v>
      </c>
      <c r="B505" t="str">
        <f t="shared" si="79"/>
        <v>APTK IV кв. 2018</v>
      </c>
      <c r="C505">
        <v>2018</v>
      </c>
      <c r="D505">
        <f>SUMIFS(Дивиденды!$C:$C,Дивиденды!$A:$A,A505,Дивиденды!$I:$I,C505)</f>
        <v>0</v>
      </c>
      <c r="E505">
        <v>4</v>
      </c>
      <c r="F505">
        <f t="shared" si="80"/>
        <v>0</v>
      </c>
      <c r="G505">
        <f t="shared" si="81"/>
        <v>21.978571428571428</v>
      </c>
      <c r="H505">
        <f t="shared" si="82"/>
        <v>0</v>
      </c>
      <c r="I505">
        <f t="shared" si="89"/>
        <v>0.14285714285714285</v>
      </c>
      <c r="J505">
        <f t="shared" si="83"/>
        <v>0</v>
      </c>
      <c r="K505">
        <f t="shared" si="87"/>
        <v>-1.8223065562117002E-2</v>
      </c>
      <c r="L505">
        <f t="shared" si="84"/>
        <v>0</v>
      </c>
      <c r="M505">
        <f t="shared" si="88"/>
        <v>7.1428571428571425E-2</v>
      </c>
      <c r="N505">
        <f t="shared" si="85"/>
        <v>0</v>
      </c>
      <c r="O505">
        <f t="shared" si="86"/>
        <v>7.1428571428571425E-2</v>
      </c>
      <c r="P505">
        <f>IFERROR(LN('Дивиденды по годам'!I505),"")</f>
        <v>24.21122178586673</v>
      </c>
      <c r="Q505">
        <f>IFERROR('Дивиденды по годам'!G505/'Дивиденды по годам'!I505, "")</f>
        <v>3.2091445337571439E-2</v>
      </c>
      <c r="R505">
        <f>IFERROR(IF(AND('Дивиденды по годам'!N505&lt;&gt;"",'Дивиденды по годам'!U505&lt;&gt;"",'Дивиденды по годам'!U505&lt;&gt;0),'Дивиденды по годам'!N505/'Дивиденды по годам'!U505-1,""),"")</f>
        <v>-7.4378795100822792E-2</v>
      </c>
      <c r="S505">
        <f>IFERROR(IF(AND('Дивиденды по годам'!L505&lt;&gt;"",'Дивиденды по годам'!I505&lt;&gt;"",'Дивиденды по годам'!J505&lt;&gt;"",'Дивиденды по годам'!K505&lt;&gt;"",('Дивиденды по годам'!I505-'Дивиденды по годам'!J505-'Дивиденды по годам'!K505)&lt;&gt;0),'Дивиденды по годам'!L505/('Дивиденды по годам'!I505-'Дивиденды по годам'!J505-'Дивиденды по годам'!K505),""),"")</f>
        <v>1.430775918278635</v>
      </c>
      <c r="T505">
        <f>IFERROR(IF(AND('Дивиденды по годам'!Q505&lt;&gt;"",'Дивиденды по годам'!I505&lt;&gt;"",'Дивиденды по годам'!V505&lt;&gt;"",('Дивиденды по годам'!I505+'Дивиденды по годам'!V505)&lt;&gt;0),'Дивиденды по годам'!Q505/(('Дивиденды по годам'!I505+'Дивиденды по годам'!V505)/2),""),"")</f>
        <v>-0.63273117805804924</v>
      </c>
      <c r="U505">
        <f>IFERROR(IF(AND('Дивиденды по годам'!J505&lt;&gt;"",'Дивиденды по годам'!K505&lt;&gt;"",'Дивиденды по годам'!M505&lt;&gt;"",'Дивиденды по годам'!M505&lt;&gt;0),('Дивиденды по годам'!J505+'Дивиденды по годам'!K505)/'Дивиденды по годам'!M505,""),"")</f>
        <v>-1.8889100195609649</v>
      </c>
      <c r="V505" cm="1">
        <f t="array" ref="V505">IFERROR(AVERAGE(_xlfn._xlws.FILTER(P$2:P$1073,($C$2:$C$1073=$C505)*($E$2:$E$1073=$E505)*(ROW(P$2:P$1073)&lt;&gt;ROW(P505))*(P$2:P$1073&lt;&gt;""))),"")</f>
        <v>25.024445524268103</v>
      </c>
      <c r="W505" cm="1">
        <f t="array" ref="W505">IFERROR(AVERAGE(_xlfn._xlws.FILTER(Q$2:Q$1073,($C$2:$C$1073=$C505)*($E$2:$E$1073=$E505)*(ROW(Q$2:Q$1073)&lt;&gt;ROW(Q505))*(Q$2:Q$1073&lt;&gt;""))),"")</f>
        <v>0.36366747676489114</v>
      </c>
      <c r="X505" cm="1">
        <f t="array" ref="X505">IFERROR(AVERAGE(_xlfn._xlws.FILTER(R$2:R$1073,($C$2:$C$1073=$C505)*($E$2:$E$1073=$E505)*(ROW(R$2:R$1073)&lt;&gt;ROW(R505))*(R$2:R$1073&lt;&gt;""))),"")</f>
        <v>7.8474469042437753E-2</v>
      </c>
      <c r="Y505" cm="1">
        <f t="array" ref="Y505">IFERROR(AVERAGE(_xlfn._xlws.FILTER(S$2:S$1073,($C$2:$C$1073=$C505)*($E$2:$E$1073=$E505)*(ROW(S$2:S$1073)&lt;&gt;ROW(S505))*(S$2:S$1073&lt;&gt;""))),"")</f>
        <v>0.51319326723697389</v>
      </c>
      <c r="Z505" cm="1">
        <f t="array" ref="Z505">IFERROR(AVERAGE(_xlfn._xlws.FILTER(T$2:T$1073,($C$2:$C$1073=$C505)*($E$2:$E$1073=$E505)*(ROW(T$2:T$1073)&lt;&gt;ROW(T505))*(T$2:T$1073&lt;&gt;""))),"")</f>
        <v>0.11378739220344815</v>
      </c>
      <c r="AA505" cm="1">
        <f t="array" ref="AA505">IFERROR(AVERAGE(_xlfn._xlws.FILTER(U$2:U$1073,($C$2:$C$1073=$C505)*($E$2:$E$1073=$E505)*(ROW(U$2:U$1073)&lt;&gt;ROW(U505))*(U$2:U$1073&lt;&gt;""))),"")</f>
        <v>1.5710632663184212</v>
      </c>
    </row>
    <row r="506" spans="1:27" x14ac:dyDescent="0.2">
      <c r="A506" s="7" t="s">
        <v>2316</v>
      </c>
      <c r="B506" t="str">
        <f t="shared" si="79"/>
        <v>APTK IV кв. 2017</v>
      </c>
      <c r="C506">
        <v>2017</v>
      </c>
      <c r="D506">
        <f>SUMIFS(Дивиденды!$C:$C,Дивиденды!$A:$A,A506,Дивиденды!$I:$I,C506)</f>
        <v>0</v>
      </c>
      <c r="E506">
        <v>4</v>
      </c>
      <c r="F506">
        <f t="shared" si="80"/>
        <v>0</v>
      </c>
      <c r="G506">
        <f t="shared" si="81"/>
        <v>18.403571428571428</v>
      </c>
      <c r="H506">
        <f t="shared" si="82"/>
        <v>0</v>
      </c>
      <c r="I506">
        <f t="shared" si="89"/>
        <v>0.14285714285714285</v>
      </c>
      <c r="J506">
        <f t="shared" si="83"/>
        <v>0</v>
      </c>
      <c r="K506">
        <f t="shared" si="87"/>
        <v>-1.7352821773673279E-2</v>
      </c>
      <c r="L506">
        <f t="shared" si="84"/>
        <v>0</v>
      </c>
      <c r="M506">
        <f t="shared" si="88"/>
        <v>0</v>
      </c>
      <c r="N506">
        <f t="shared" si="85"/>
        <v>0</v>
      </c>
      <c r="O506">
        <f t="shared" si="86"/>
        <v>0.14285714285714285</v>
      </c>
      <c r="P506">
        <f>IFERROR(LN('Дивиденды по годам'!I506),"")</f>
        <v>24.40986769931629</v>
      </c>
      <c r="Q506">
        <f>IFERROR('Дивиденды по годам'!G506/'Дивиденды по годам'!I506, "")</f>
        <v>1.9569520659500364E-2</v>
      </c>
      <c r="R506">
        <f>IFERROR(IF(AND('Дивиденды по годам'!N506&lt;&gt;"",'Дивиденды по годам'!U506&lt;&gt;"",'Дивиденды по годам'!U506&lt;&gt;0),'Дивиденды по годам'!N506/'Дивиденды по годам'!U506-1,""),"")</f>
        <v>5.0188260386967665E-2</v>
      </c>
      <c r="S506">
        <f>IFERROR(IF(AND('Дивиденды по годам'!L506&lt;&gt;"",'Дивиденды по годам'!I506&lt;&gt;"",'Дивиденды по годам'!J506&lt;&gt;"",'Дивиденды по годам'!K506&lt;&gt;"",('Дивиденды по годам'!I506-'Дивиденды по годам'!J506-'Дивиденды по годам'!K506)&lt;&gt;0),'Дивиденды по годам'!L506/('Дивиденды по годам'!I506-'Дивиденды по годам'!J506-'Дивиденды по годам'!K506),""),"")</f>
        <v>2.1484295845997972</v>
      </c>
      <c r="T506">
        <f>IFERROR(IF(AND('Дивиденды по годам'!Q506&lt;&gt;"",'Дивиденды по годам'!I506&lt;&gt;"",'Дивиденды по годам'!V506&lt;&gt;"",('Дивиденды по годам'!I506+'Дивиденды по годам'!V506)&lt;&gt;0),'Дивиденды по годам'!Q506/(('Дивиденды по годам'!I506+'Дивиденды по годам'!V506)/2),""),"")</f>
        <v>-0.30935846560846558</v>
      </c>
      <c r="U506">
        <f>IFERROR(IF(AND('Дивиденды по годам'!J506&lt;&gt;"",'Дивиденды по годам'!K506&lt;&gt;"",'Дивиденды по годам'!M506&lt;&gt;"",'Дивиденды по годам'!M506&lt;&gt;0),('Дивиденды по годам'!J506+'Дивиденды по годам'!K506)/'Дивиденды по годам'!M506,""),"")</f>
        <v>-3.8881893182805038</v>
      </c>
      <c r="V506" cm="1">
        <f t="array" ref="V506">IFERROR(AVERAGE(_xlfn._xlws.FILTER(P$2:P$1073,($C$2:$C$1073=$C506)*($E$2:$E$1073=$E506)*(ROW(P$2:P$1073)&lt;&gt;ROW(P506))*(P$2:P$1073&lt;&gt;""))),"")</f>
        <v>24.79001770980047</v>
      </c>
      <c r="W506" cm="1">
        <f t="array" ref="W506">IFERROR(AVERAGE(_xlfn._xlws.FILTER(Q$2:Q$1073,($C$2:$C$1073=$C506)*($E$2:$E$1073=$E506)*(ROW(Q$2:Q$1073)&lt;&gt;ROW(Q506))*(Q$2:Q$1073&lt;&gt;""))),"")</f>
        <v>0.39318587466176452</v>
      </c>
      <c r="X506" cm="1">
        <f t="array" ref="X506">IFERROR(AVERAGE(_xlfn._xlws.FILTER(R$2:R$1073,($C$2:$C$1073=$C506)*($E$2:$E$1073=$E506)*(ROW(R$2:R$1073)&lt;&gt;ROW(R506))*(R$2:R$1073&lt;&gt;""))),"")</f>
        <v>0.28359941642357761</v>
      </c>
      <c r="Y506" cm="1">
        <f t="array" ref="Y506">IFERROR(AVERAGE(_xlfn._xlws.FILTER(S$2:S$1073,($C$2:$C$1073=$C506)*($E$2:$E$1073=$E506)*(ROW(S$2:S$1073)&lt;&gt;ROW(S506))*(S$2:S$1073&lt;&gt;""))),"")</f>
        <v>0.36263241231029752</v>
      </c>
      <c r="Z506" cm="1">
        <f t="array" ref="Z506">IFERROR(AVERAGE(_xlfn._xlws.FILTER(T$2:T$1073,($C$2:$C$1073=$C506)*($E$2:$E$1073=$E506)*(ROW(T$2:T$1073)&lt;&gt;ROW(T506))*(T$2:T$1073&lt;&gt;""))),"")</f>
        <v>4.3534138711905326E-2</v>
      </c>
      <c r="AA506" cm="1">
        <f t="array" ref="AA506">IFERROR(AVERAGE(_xlfn._xlws.FILTER(U$2:U$1073,($C$2:$C$1073=$C506)*($E$2:$E$1073=$E506)*(ROW(U$2:U$1073)&lt;&gt;ROW(U506))*(U$2:U$1073&lt;&gt;""))),"")</f>
        <v>1.3786064226307015</v>
      </c>
    </row>
    <row r="507" spans="1:27" x14ac:dyDescent="0.2">
      <c r="A507" s="7" t="s">
        <v>2316</v>
      </c>
      <c r="B507" t="str">
        <f t="shared" si="79"/>
        <v>APTK IV кв. 2016</v>
      </c>
      <c r="C507">
        <v>2016</v>
      </c>
      <c r="D507">
        <f>SUMIFS(Дивиденды!$C:$C,Дивиденды!$A:$A,A507,Дивиденды!$I:$I,C507)</f>
        <v>0</v>
      </c>
      <c r="E507">
        <v>4</v>
      </c>
      <c r="F507">
        <f t="shared" si="80"/>
        <v>0</v>
      </c>
      <c r="G507">
        <f t="shared" si="81"/>
        <v>20.421428571428571</v>
      </c>
      <c r="H507">
        <f t="shared" si="82"/>
        <v>0</v>
      </c>
      <c r="I507">
        <f t="shared" si="89"/>
        <v>0.14285714285714285</v>
      </c>
      <c r="J507">
        <f t="shared" si="83"/>
        <v>0</v>
      </c>
      <c r="K507">
        <f t="shared" si="87"/>
        <v>2.0593461763560781E-2</v>
      </c>
      <c r="L507">
        <f t="shared" si="84"/>
        <v>0</v>
      </c>
      <c r="M507">
        <f t="shared" si="88"/>
        <v>7.1428571428571425E-2</v>
      </c>
      <c r="N507">
        <f t="shared" si="85"/>
        <v>0</v>
      </c>
      <c r="O507">
        <f t="shared" si="86"/>
        <v>7.1428571428571425E-2</v>
      </c>
      <c r="P507">
        <f>IFERROR(LN('Дивиденды по годам'!I507),"")</f>
        <v>24.524647742272805</v>
      </c>
      <c r="Q507">
        <f>IFERROR('Дивиденды по годам'!G507/'Дивиденды по годам'!I507, "")</f>
        <v>2.2920715769720528E-2</v>
      </c>
      <c r="R507">
        <f>IFERROR(IF(AND('Дивиденды по годам'!N507&lt;&gt;"",'Дивиденды по годам'!U507&lt;&gt;"",'Дивиденды по годам'!U507&lt;&gt;0),'Дивиденды по годам'!N507/'Дивиденды по годам'!U507-1,""),"")</f>
        <v>0.4407964879272499</v>
      </c>
      <c r="S507">
        <f>IFERROR(IF(AND('Дивиденды по годам'!L507&lt;&gt;"",'Дивиденды по годам'!I507&lt;&gt;"",'Дивиденды по годам'!J507&lt;&gt;"",'Дивиденды по годам'!K507&lt;&gt;"",('Дивиденды по годам'!I507-'Дивиденды по годам'!J507-'Дивиденды по годам'!K507)&lt;&gt;0),'Дивиденды по годам'!L507/('Дивиденды по годам'!I507-'Дивиденды по годам'!J507-'Дивиденды по годам'!K507),""),"")</f>
        <v>31.242937853107346</v>
      </c>
      <c r="T507">
        <f>IFERROR(IF(AND('Дивиденды по годам'!Q507&lt;&gt;"",'Дивиденды по годам'!I507&lt;&gt;"",'Дивиденды по годам'!V507&lt;&gt;"",('Дивиденды по годам'!I507+'Дивиденды по годам'!V507)&lt;&gt;0),'Дивиденды по годам'!Q507/(('Дивиденды по годам'!I507+'Дивиденды по годам'!V507)/2),""),"")</f>
        <v>-0.25930601995088587</v>
      </c>
      <c r="U507">
        <f>IFERROR(IF(AND('Дивиденды по годам'!J507&lt;&gt;"",'Дивиденды по годам'!K507&lt;&gt;"",'Дивиденды по годам'!M507&lt;&gt;"",'Дивиденды по годам'!M507&lt;&gt;0),('Дивиденды по годам'!J507+'Дивиденды по годам'!K507)/'Дивиденды по годам'!M507,""),"")</f>
        <v>-85.299435028248581</v>
      </c>
      <c r="V507" cm="1">
        <f t="array" ref="V507">IFERROR(AVERAGE(_xlfn._xlws.FILTER(P$2:P$1073,($C$2:$C$1073=$C507)*($E$2:$E$1073=$E507)*(ROW(P$2:P$1073)&lt;&gt;ROW(P507))*(P$2:P$1073&lt;&gt;""))),"")</f>
        <v>24.562975047376597</v>
      </c>
      <c r="W507" cm="1">
        <f t="array" ref="W507">IFERROR(AVERAGE(_xlfn._xlws.FILTER(Q$2:Q$1073,($C$2:$C$1073=$C507)*($E$2:$E$1073=$E507)*(ROW(Q$2:Q$1073)&lt;&gt;ROW(Q507))*(Q$2:Q$1073&lt;&gt;""))),"")</f>
        <v>0.34275240730492146</v>
      </c>
      <c r="X507" cm="1">
        <f t="array" ref="X507">IFERROR(AVERAGE(_xlfn._xlws.FILTER(R$2:R$1073,($C$2:$C$1073=$C507)*($E$2:$E$1073=$E507)*(ROW(R$2:R$1073)&lt;&gt;ROW(R507))*(R$2:R$1073&lt;&gt;""))),"")</f>
        <v>7.4565516278677357E-2</v>
      </c>
      <c r="Y507" cm="1">
        <f t="array" ref="Y507">IFERROR(AVERAGE(_xlfn._xlws.FILTER(S$2:S$1073,($C$2:$C$1073=$C507)*($E$2:$E$1073=$E507)*(ROW(S$2:S$1073)&lt;&gt;ROW(S507))*(S$2:S$1073&lt;&gt;""))),"")</f>
        <v>-3.8399248325095919E-2</v>
      </c>
      <c r="Z507" cm="1">
        <f t="array" ref="Z507">IFERROR(AVERAGE(_xlfn._xlws.FILTER(T$2:T$1073,($C$2:$C$1073=$C507)*($E$2:$E$1073=$E507)*(ROW(T$2:T$1073)&lt;&gt;ROW(T507))*(T$2:T$1073&lt;&gt;""))),"")</f>
        <v>5.9675184997266401E-2</v>
      </c>
      <c r="AA507" cm="1">
        <f t="array" ref="AA507">IFERROR(AVERAGE(_xlfn._xlws.FILTER(U$2:U$1073,($C$2:$C$1073=$C507)*($E$2:$E$1073=$E507)*(ROW(U$2:U$1073)&lt;&gt;ROW(U507))*(U$2:U$1073&lt;&gt;""))),"")</f>
        <v>1.2692241306447862</v>
      </c>
    </row>
    <row r="508" spans="1:27" x14ac:dyDescent="0.2">
      <c r="A508" s="7" t="s">
        <v>2316</v>
      </c>
      <c r="B508" t="str">
        <f t="shared" si="79"/>
        <v>APTK IV кв. 2015</v>
      </c>
      <c r="C508">
        <v>2015</v>
      </c>
      <c r="D508">
        <f>SUMIFS(Дивиденды!$C:$C,Дивиденды!$A:$A,A508,Дивиденды!$I:$I,C508)</f>
        <v>0</v>
      </c>
      <c r="E508">
        <v>4</v>
      </c>
      <c r="F508">
        <f t="shared" si="80"/>
        <v>0</v>
      </c>
      <c r="G508">
        <f t="shared" si="81"/>
        <v>22.574999999999999</v>
      </c>
      <c r="H508">
        <f t="shared" si="82"/>
        <v>0</v>
      </c>
      <c r="I508">
        <f t="shared" si="89"/>
        <v>0.14285714285714285</v>
      </c>
      <c r="J508">
        <f t="shared" si="83"/>
        <v>0</v>
      </c>
      <c r="K508">
        <f t="shared" si="87"/>
        <v>6.1102189263868886E-2</v>
      </c>
      <c r="L508">
        <f t="shared" si="84"/>
        <v>0</v>
      </c>
      <c r="M508">
        <f t="shared" si="88"/>
        <v>7.1428571428571425E-2</v>
      </c>
      <c r="N508">
        <f t="shared" si="85"/>
        <v>0</v>
      </c>
      <c r="O508">
        <f t="shared" si="86"/>
        <v>7.1428571428571425E-2</v>
      </c>
      <c r="P508">
        <f>IFERROR(LN('Дивиденды по годам'!I508),"")</f>
        <v>24.030665228202643</v>
      </c>
      <c r="Q508">
        <f>IFERROR('Дивиденды по годам'!G508/'Дивиденды по годам'!I508, "")</f>
        <v>3.675770667057187E-2</v>
      </c>
      <c r="R508">
        <f>IFERROR(IF(AND('Дивиденды по годам'!N508&lt;&gt;"",'Дивиденды по годам'!U508&lt;&gt;"",'Дивиденды по годам'!U508&lt;&gt;0),'Дивиденды по годам'!N508/'Дивиденды по годам'!U508-1,""),"")</f>
        <v>0.67217240836872749</v>
      </c>
      <c r="S508">
        <f>IFERROR(IF(AND('Дивиденды по годам'!L508&lt;&gt;"",'Дивиденды по годам'!I508&lt;&gt;"",'Дивиденды по годам'!J508&lt;&gt;"",'Дивиденды по годам'!K508&lt;&gt;"",('Дивиденды по годам'!I508-'Дивиденды по годам'!J508-'Дивиденды по годам'!K508)&lt;&gt;0),'Дивиденды по годам'!L508/('Дивиденды по годам'!I508-'Дивиденды по годам'!J508-'Дивиденды по годам'!K508),""),"")</f>
        <v>-5.2197406340057633</v>
      </c>
      <c r="T508">
        <f>IFERROR(IF(AND('Дивиденды по годам'!Q508&lt;&gt;"",'Дивиденды по годам'!I508&lt;&gt;"",'Дивиденды по годам'!V508&lt;&gt;"",('Дивиденды по годам'!I508+'Дивиденды по годам'!V508)&lt;&gt;0),'Дивиденды по годам'!Q508/(('Дивиденды по годам'!I508+'Дивиденды по годам'!V508)/2),""),"")</f>
        <v>-3.8754510223172521E-2</v>
      </c>
      <c r="U508">
        <f>IFERROR(IF(AND('Дивиденды по годам'!J508&lt;&gt;"",'Дивиденды по годам'!K508&lt;&gt;"",'Дивиденды по годам'!M508&lt;&gt;"",'Дивиденды по годам'!M508&lt;&gt;0),('Дивиденды по годам'!J508+'Дивиденды по годам'!K508)/'Дивиденды по годам'!M508,""),"")</f>
        <v>18.678674351585013</v>
      </c>
      <c r="V508" cm="1">
        <f t="array" ref="V508">IFERROR(AVERAGE(_xlfn._xlws.FILTER(P$2:P$1073,($C$2:$C$1073=$C508)*($E$2:$E$1073=$E508)*(ROW(P$2:P$1073)&lt;&gt;ROW(P508))*(P$2:P$1073&lt;&gt;""))),"")</f>
        <v>25.036254777597716</v>
      </c>
      <c r="W508" cm="1">
        <f t="array" ref="W508">IFERROR(AVERAGE(_xlfn._xlws.FILTER(Q$2:Q$1073,($C$2:$C$1073=$C508)*($E$2:$E$1073=$E508)*(ROW(Q$2:Q$1073)&lt;&gt;ROW(Q508))*(Q$2:Q$1073&lt;&gt;""))),"")</f>
        <v>0.38384485758310632</v>
      </c>
      <c r="X508" cm="1">
        <f t="array" ref="X508">IFERROR(AVERAGE(_xlfn._xlws.FILTER(R$2:R$1073,($C$2:$C$1073=$C508)*($E$2:$E$1073=$E508)*(ROW(R$2:R$1073)&lt;&gt;ROW(R508))*(R$2:R$1073&lt;&gt;""))),"")</f>
        <v>4.360503183131207E-2</v>
      </c>
      <c r="Y508" cm="1">
        <f t="array" ref="Y508">IFERROR(AVERAGE(_xlfn._xlws.FILTER(S$2:S$1073,($C$2:$C$1073=$C508)*($E$2:$E$1073=$E508)*(ROW(S$2:S$1073)&lt;&gt;ROW(S508))*(S$2:S$1073&lt;&gt;""))),"")</f>
        <v>0.93008870893751527</v>
      </c>
      <c r="Z508" cm="1">
        <f t="array" ref="Z508">IFERROR(AVERAGE(_xlfn._xlws.FILTER(T$2:T$1073,($C$2:$C$1073=$C508)*($E$2:$E$1073=$E508)*(ROW(T$2:T$1073)&lt;&gt;ROW(T508))*(T$2:T$1073&lt;&gt;""))),"")</f>
        <v>9.8294111665357897E-2</v>
      </c>
      <c r="AA508" cm="1">
        <f t="array" ref="AA508">IFERROR(AVERAGE(_xlfn._xlws.FILTER(U$2:U$1073,($C$2:$C$1073=$C508)*($E$2:$E$1073=$E508)*(ROW(U$2:U$1073)&lt;&gt;ROW(U508))*(U$2:U$1073&lt;&gt;""))),"")</f>
        <v>1.1323891595086397</v>
      </c>
    </row>
    <row r="509" spans="1:27" x14ac:dyDescent="0.2">
      <c r="A509" s="7" t="s">
        <v>2316</v>
      </c>
      <c r="B509" t="str">
        <f t="shared" si="79"/>
        <v>APTK IV кв. 2014</v>
      </c>
      <c r="C509">
        <v>2014</v>
      </c>
      <c r="D509">
        <f>SUMIFS(Дивиденды!$C:$C,Дивиденды!$A:$A,A509,Дивиденды!$I:$I,C509)</f>
        <v>0</v>
      </c>
      <c r="E509">
        <v>4</v>
      </c>
      <c r="F509">
        <f t="shared" si="80"/>
        <v>0</v>
      </c>
      <c r="G509">
        <f t="shared" si="81"/>
        <v>25.924285714285713</v>
      </c>
      <c r="H509">
        <f t="shared" si="82"/>
        <v>0</v>
      </c>
      <c r="I509">
        <f t="shared" si="89"/>
        <v>7.1428571428571425E-2</v>
      </c>
      <c r="J509">
        <f t="shared" si="83"/>
        <v>0</v>
      </c>
      <c r="K509">
        <f t="shared" si="87"/>
        <v>4.887635107293415E-2</v>
      </c>
      <c r="L509">
        <f t="shared" si="84"/>
        <v>0</v>
      </c>
      <c r="M509">
        <f t="shared" si="88"/>
        <v>7.1428571428571425E-2</v>
      </c>
      <c r="N509">
        <f t="shared" si="85"/>
        <v>0</v>
      </c>
      <c r="O509">
        <f t="shared" si="86"/>
        <v>7.1428571428571425E-2</v>
      </c>
      <c r="P509">
        <f>IFERROR(LN('Дивиденды по годам'!I509),"")</f>
        <v>24.206043205600988</v>
      </c>
      <c r="Q509">
        <f>IFERROR('Дивиденды по годам'!G509/'Дивиденды по годам'!I509, "")</f>
        <v>4.8663594470046083E-2</v>
      </c>
      <c r="R509">
        <f>IFERROR(IF(AND('Дивиденды по годам'!N509&lt;&gt;"",'Дивиденды по годам'!U509&lt;&gt;"",'Дивиденды по годам'!U509&lt;&gt;0),'Дивиденды по годам'!N509/'Дивиденды по годам'!U509-1,""),"")</f>
        <v>0.60112501049450096</v>
      </c>
      <c r="S509">
        <f>IFERROR(IF(AND('Дивиденды по годам'!L509&lt;&gt;"",'Дивиденды по годам'!I509&lt;&gt;"",'Дивиденды по годам'!J509&lt;&gt;"",'Дивиденды по годам'!K509&lt;&gt;"",('Дивиденды по годам'!I509-'Дивиденды по годам'!J509-'Дивиденды по годам'!K509)&lt;&gt;0),'Дивиденды по годам'!L509/('Дивиденды по годам'!I509-'Дивиденды по годам'!J509-'Дивиденды по годам'!K509),""),"")</f>
        <v>-28.863636363636363</v>
      </c>
      <c r="T509">
        <f>IFERROR(IF(AND('Дивиденды по годам'!Q509&lt;&gt;"",'Дивиденды по годам'!I509&lt;&gt;"",'Дивиденды по годам'!V509&lt;&gt;"",('Дивиденды по годам'!I509+'Дивиденды по годам'!V509)&lt;&gt;0),'Дивиденды по годам'!Q509/(('Дивиденды по годам'!I509+'Дивиденды по годам'!V509)/2),""),"")</f>
        <v>2.3660173874766148E-3</v>
      </c>
      <c r="U509">
        <f>IFERROR(IF(AND('Дивиденды по годам'!J509&lt;&gt;"",'Дивиденды по годам'!K509&lt;&gt;"",'Дивиденды по годам'!M509&lt;&gt;"",'Дивиденды по годам'!M509&lt;&gt;0),('Дивиденды по годам'!J509+'Дивиденды по годам'!K509)/'Дивиденды по годам'!M509,""),"")</f>
        <v>133.50413223140495</v>
      </c>
      <c r="V509" cm="1">
        <f t="array" ref="V509">IFERROR(AVERAGE(_xlfn._xlws.FILTER(P$2:P$1073,($C$2:$C$1073=$C509)*($E$2:$E$1073=$E509)*(ROW(P$2:P$1073)&lt;&gt;ROW(P509))*(P$2:P$1073&lt;&gt;""))),"")</f>
        <v>24.968453981916209</v>
      </c>
      <c r="W509" cm="1">
        <f t="array" ref="W509">IFERROR(AVERAGE(_xlfn._xlws.FILTER(Q$2:Q$1073,($C$2:$C$1073=$C509)*($E$2:$E$1073=$E509)*(ROW(Q$2:Q$1073)&lt;&gt;ROW(Q509))*(Q$2:Q$1073&lt;&gt;""))),"")</f>
        <v>0.37037815683354408</v>
      </c>
      <c r="X509" cm="1">
        <f t="array" ref="X509">IFERROR(AVERAGE(_xlfn._xlws.FILTER(R$2:R$1073,($C$2:$C$1073=$C509)*($E$2:$E$1073=$E509)*(ROW(R$2:R$1073)&lt;&gt;ROW(R509))*(R$2:R$1073&lt;&gt;""))),"")</f>
        <v>-8.6352075785101332E-2</v>
      </c>
      <c r="Y509" cm="1">
        <f t="array" ref="Y509">IFERROR(AVERAGE(_xlfn._xlws.FILTER(S$2:S$1073,($C$2:$C$1073=$C509)*($E$2:$E$1073=$E509)*(ROW(S$2:S$1073)&lt;&gt;ROW(S509))*(S$2:S$1073&lt;&gt;""))),"")</f>
        <v>0.94193423843942869</v>
      </c>
      <c r="Z509" cm="1">
        <f t="array" ref="Z509">IFERROR(AVERAGE(_xlfn._xlws.FILTER(T$2:T$1073,($C$2:$C$1073=$C509)*($E$2:$E$1073=$E509)*(ROW(T$2:T$1073)&lt;&gt;ROW(T509))*(T$2:T$1073&lt;&gt;""))),"")</f>
        <v>4.5822758525841965E-2</v>
      </c>
      <c r="AA509" cm="1">
        <f t="array" ref="AA509">IFERROR(AVERAGE(_xlfn._xlws.FILTER(U$2:U$1073,($C$2:$C$1073=$C509)*($E$2:$E$1073=$E509)*(ROW(U$2:U$1073)&lt;&gt;ROW(U509))*(U$2:U$1073&lt;&gt;""))),"")</f>
        <v>1.4243300201433804</v>
      </c>
    </row>
    <row r="510" spans="1:27" x14ac:dyDescent="0.2">
      <c r="A510" s="7" t="s">
        <v>2316</v>
      </c>
      <c r="B510" t="str">
        <f t="shared" si="79"/>
        <v>APTK IV кв. 2013</v>
      </c>
      <c r="C510">
        <v>2013</v>
      </c>
      <c r="D510">
        <f>SUMIFS(Дивиденды!$C:$C,Дивиденды!$A:$A,A510,Дивиденды!$I:$I,C510)</f>
        <v>0</v>
      </c>
      <c r="E510">
        <v>4</v>
      </c>
      <c r="F510">
        <f t="shared" si="80"/>
        <v>0</v>
      </c>
      <c r="G510">
        <f t="shared" si="81"/>
        <v>13.409285714285716</v>
      </c>
      <c r="H510">
        <f t="shared" si="82"/>
        <v>0</v>
      </c>
      <c r="I510">
        <f t="shared" si="89"/>
        <v>0.14285714285714285</v>
      </c>
      <c r="J510">
        <f t="shared" si="83"/>
        <v>0</v>
      </c>
      <c r="K510">
        <f t="shared" si="87"/>
        <v>4.7291245939064024E-2</v>
      </c>
      <c r="L510">
        <f t="shared" si="84"/>
        <v>0</v>
      </c>
      <c r="M510">
        <f t="shared" si="88"/>
        <v>7.1428571428571425E-2</v>
      </c>
      <c r="N510">
        <f t="shared" si="85"/>
        <v>0</v>
      </c>
      <c r="O510">
        <f t="shared" si="86"/>
        <v>0</v>
      </c>
      <c r="P510">
        <f>IFERROR(LN('Дивиденды по годам'!I510),"")</f>
        <v>22.057740449336507</v>
      </c>
      <c r="Q510">
        <f>IFERROR('Дивиденды по годам'!G510/'Дивиденды по годам'!I510, "")</f>
        <v>0.26829910479199581</v>
      </c>
      <c r="R510">
        <f>IFERROR(IF(AND('Дивиденды по годам'!N510&lt;&gt;"",'Дивиденды по годам'!U510&lt;&gt;"",'Дивиденды по годам'!U510&lt;&gt;0),'Дивиденды по годам'!N510/'Дивиденды по годам'!U510-1,""),"")</f>
        <v>-0.20055037250822205</v>
      </c>
      <c r="S510" t="str">
        <f>IFERROR(IF(AND('Дивиденды по годам'!L510&lt;&gt;"",'Дивиденды по годам'!I510&lt;&gt;"",'Дивиденды по годам'!J510&lt;&gt;"",'Дивиденды по годам'!K510&lt;&gt;"",('Дивиденды по годам'!I510-'Дивиденды по годам'!J510-'Дивиденды по годам'!K510)&lt;&gt;0),'Дивиденды по годам'!L510/('Дивиденды по годам'!I510-'Дивиденды по годам'!J510-'Дивиденды по годам'!K510),""),"")</f>
        <v/>
      </c>
      <c r="T510">
        <f>IFERROR(IF(AND('Дивиденды по годам'!Q510&lt;&gt;"",'Дивиденды по годам'!I510&lt;&gt;"",'Дивиденды по годам'!V510&lt;&gt;"",('Дивиденды по годам'!I510+'Дивиденды по годам'!V510)&lt;&gt;0),'Дивиденды по годам'!Q510/(('Дивиденды по годам'!I510+'Дивиденды по годам'!V510)/2),""),"")</f>
        <v>-0.7722262759706594</v>
      </c>
      <c r="U510">
        <f>IFERROR(IF(AND('Дивиденды по годам'!J510&lt;&gt;"",'Дивиденды по годам'!K510&lt;&gt;"",'Дивиденды по годам'!M510&lt;&gt;"",'Дивиденды по годам'!M510&lt;&gt;0),('Дивиденды по годам'!J510+'Дивиденды по годам'!K510)/'Дивиденды по годам'!M510,""),"")</f>
        <v>-1.3570219966159052</v>
      </c>
      <c r="V510" cm="1">
        <f t="array" ref="V510">IFERROR(AVERAGE(_xlfn._xlws.FILTER(P$2:P$1073,($C$2:$C$1073=$C510)*($E$2:$E$1073=$E510)*(ROW(P$2:P$1073)&lt;&gt;ROW(P510))*(P$2:P$1073&lt;&gt;""))),"")</f>
        <v>25.022497350650127</v>
      </c>
      <c r="W510" cm="1">
        <f t="array" ref="W510">IFERROR(AVERAGE(_xlfn._xlws.FILTER(Q$2:Q$1073,($C$2:$C$1073=$C510)*($E$2:$E$1073=$E510)*(ROW(Q$2:Q$1073)&lt;&gt;ROW(Q510))*(Q$2:Q$1073&lt;&gt;""))),"")</f>
        <v>0.37469193111821814</v>
      </c>
      <c r="X510" cm="1">
        <f t="array" ref="X510">IFERROR(AVERAGE(_xlfn._xlws.FILTER(R$2:R$1073,($C$2:$C$1073=$C510)*($E$2:$E$1073=$E510)*(ROW(R$2:R$1073)&lt;&gt;ROW(R510))*(R$2:R$1073&lt;&gt;""))),"")</f>
        <v>0.30060134639797365</v>
      </c>
      <c r="Y510" t="str" cm="1">
        <f t="array" ref="Y510">IFERROR(AVERAGE(_xlfn._xlws.FILTER(S$2:S$1073,($C$2:$C$1073=$C510)*($E$2:$E$1073=$E510)*(ROW(S$2:S$1073)&lt;&gt;ROW(S510))*(S$2:S$1073&lt;&gt;""))),"")</f>
        <v/>
      </c>
      <c r="Z510" cm="1">
        <f t="array" ref="Z510">IFERROR(AVERAGE(_xlfn._xlws.FILTER(T$2:T$1073,($C$2:$C$1073=$C510)*($E$2:$E$1073=$E510)*(ROW(T$2:T$1073)&lt;&gt;ROW(T510))*(T$2:T$1073&lt;&gt;""))),"")</f>
        <v>9.0873537813176308E-2</v>
      </c>
      <c r="AA510" cm="1">
        <f t="array" ref="AA510">IFERROR(AVERAGE(_xlfn._xlws.FILTER(U$2:U$1073,($C$2:$C$1073=$C510)*($E$2:$E$1073=$E510)*(ROW(U$2:U$1073)&lt;&gt;ROW(U510))*(U$2:U$1073&lt;&gt;""))),"")</f>
        <v>1.0465656946429822</v>
      </c>
    </row>
    <row r="511" spans="1:27" x14ac:dyDescent="0.2">
      <c r="A511" s="7" t="s">
        <v>2316</v>
      </c>
      <c r="B511" t="str">
        <f t="shared" si="79"/>
        <v>APTK IV кв. 2012</v>
      </c>
      <c r="C511">
        <v>2012</v>
      </c>
      <c r="D511">
        <f>SUMIFS(Дивиденды!$C:$C,Дивиденды!$A:$A,A511,Дивиденды!$I:$I,C511)</f>
        <v>0</v>
      </c>
      <c r="E511">
        <v>4</v>
      </c>
      <c r="F511">
        <f t="shared" si="80"/>
        <v>0</v>
      </c>
      <c r="G511">
        <f t="shared" si="81"/>
        <v>9.5621428571428577</v>
      </c>
      <c r="H511">
        <f t="shared" si="82"/>
        <v>0</v>
      </c>
      <c r="I511">
        <f t="shared" si="89"/>
        <v>0.14285714285714285</v>
      </c>
      <c r="J511">
        <f t="shared" si="83"/>
        <v>0</v>
      </c>
      <c r="K511">
        <f t="shared" si="87"/>
        <v>0.25341100242975517</v>
      </c>
      <c r="L511">
        <f t="shared" si="84"/>
        <v>0</v>
      </c>
      <c r="M511">
        <f t="shared" si="88"/>
        <v>0.14285714285714285</v>
      </c>
      <c r="N511">
        <f t="shared" si="85"/>
        <v>0</v>
      </c>
      <c r="O511">
        <f t="shared" si="86"/>
        <v>0</v>
      </c>
      <c r="P511">
        <f>IFERROR(LN('Дивиденды по годам'!I511),"")</f>
        <v>23.825203269346719</v>
      </c>
      <c r="Q511">
        <f>IFERROR('Дивиденды по годам'!G511/'Дивиденды по годам'!I511, "")</f>
        <v>0.16973157681758913</v>
      </c>
      <c r="R511">
        <f>IFERROR(IF(AND('Дивиденды по годам'!N511&lt;&gt;"",'Дивиденды по годам'!U511&lt;&gt;"",'Дивиденды по годам'!U511&lt;&gt;0),'Дивиденды по годам'!N511/'Дивиденды по годам'!U511-1,""),"")</f>
        <v>-0.31003982587755863</v>
      </c>
      <c r="S511">
        <f>IFERROR(IF(AND('Дивиденды по годам'!L511&lt;&gt;"",'Дивиденды по годам'!I511&lt;&gt;"",'Дивиденды по годам'!J511&lt;&gt;"",'Дивиденды по годам'!K511&lt;&gt;"",('Дивиденды по годам'!I511-'Дивиденды по годам'!J511-'Дивиденды по годам'!K511)&lt;&gt;0),'Дивиденды по годам'!L511/('Дивиденды по годам'!I511-'Дивиденды по годам'!J511-'Дивиденды по годам'!K511),""),"")</f>
        <v>-1.7651061513336963</v>
      </c>
      <c r="T511">
        <f>IFERROR(IF(AND('Дивиденды по годам'!Q511&lt;&gt;"",'Дивиденды по годам'!I511&lt;&gt;"",'Дивиденды по годам'!V511&lt;&gt;"",('Дивиденды по годам'!I511+'Дивиденды по годам'!V511)&lt;&gt;0),'Дивиденды по годам'!Q511/(('Дивиденды по годам'!I511+'Дивиденды по годам'!V511)/2),""),"")</f>
        <v>4.7066291829146643E-2</v>
      </c>
      <c r="U511">
        <f>IFERROR(IF(AND('Дивиденды по годам'!J511&lt;&gt;"",'Дивиденды по годам'!K511&lt;&gt;"",'Дивиденды по годам'!M511&lt;&gt;"",'Дивиденды по годам'!M511&lt;&gt;0),('Дивиденды по годам'!J511+'Дивиденды по годам'!K511)/'Дивиденды по годам'!M511,""),"")</f>
        <v>5.0536200326619491</v>
      </c>
      <c r="V511" cm="1">
        <f t="array" ref="V511">IFERROR(AVERAGE(_xlfn._xlws.FILTER(P$2:P$1073,($C$2:$C$1073=$C511)*($E$2:$E$1073=$E511)*(ROW(P$2:P$1073)&lt;&gt;ROW(P511))*(P$2:P$1073&lt;&gt;""))),"")</f>
        <v>24.329162316061005</v>
      </c>
      <c r="W511" cm="1">
        <f t="array" ref="W511">IFERROR(AVERAGE(_xlfn._xlws.FILTER(Q$2:Q$1073,($C$2:$C$1073=$C511)*($E$2:$E$1073=$E511)*(ROW(Q$2:Q$1073)&lt;&gt;ROW(Q511))*(Q$2:Q$1073&lt;&gt;""))),"")</f>
        <v>0.31013720881591</v>
      </c>
      <c r="X511" cm="1">
        <f t="array" ref="X511">IFERROR(AVERAGE(_xlfn._xlws.FILTER(R$2:R$1073,($C$2:$C$1073=$C511)*($E$2:$E$1073=$E511)*(ROW(R$2:R$1073)&lt;&gt;ROW(R511))*(R$2:R$1073&lt;&gt;""))),"")</f>
        <v>4.9357009628792803E-2</v>
      </c>
      <c r="Y511" t="str" cm="1">
        <f t="array" ref="Y511">IFERROR(AVERAGE(_xlfn._xlws.FILTER(S$2:S$1073,($C$2:$C$1073=$C511)*($E$2:$E$1073=$E511)*(ROW(S$2:S$1073)&lt;&gt;ROW(S511))*(S$2:S$1073&lt;&gt;""))),"")</f>
        <v/>
      </c>
      <c r="Z511" cm="1">
        <f t="array" ref="Z511">IFERROR(AVERAGE(_xlfn._xlws.FILTER(T$2:T$1073,($C$2:$C$1073=$C511)*($E$2:$E$1073=$E511)*(ROW(T$2:T$1073)&lt;&gt;ROW(T511))*(T$2:T$1073&lt;&gt;""))),"")</f>
        <v>7.3734000937965061E-2</v>
      </c>
      <c r="AA511" cm="1">
        <f t="array" ref="AA511">IFERROR(AVERAGE(_xlfn._xlws.FILTER(U$2:U$1073,($C$2:$C$1073=$C511)*($E$2:$E$1073=$E511)*(ROW(U$2:U$1073)&lt;&gt;ROW(U511))*(U$2:U$1073&lt;&gt;""))),"")</f>
        <v>-6.2173923699391702</v>
      </c>
    </row>
    <row r="512" spans="1:27" x14ac:dyDescent="0.2">
      <c r="A512" s="7" t="s">
        <v>2316</v>
      </c>
      <c r="B512" t="str">
        <f t="shared" si="79"/>
        <v>APTK IV кв. 2011</v>
      </c>
      <c r="C512">
        <v>2011</v>
      </c>
      <c r="D512">
        <f>SUMIFS(Дивиденды!$C:$C,Дивиденды!$A:$A,A512,Дивиденды!$I:$I,C512)</f>
        <v>0</v>
      </c>
      <c r="E512">
        <v>4</v>
      </c>
      <c r="F512">
        <f t="shared" si="80"/>
        <v>0</v>
      </c>
      <c r="G512">
        <f t="shared" si="81"/>
        <v>1.6378571428571429</v>
      </c>
      <c r="H512">
        <f t="shared" si="82"/>
        <v>0</v>
      </c>
      <c r="I512">
        <f t="shared" si="89"/>
        <v>7.1428571428571425E-2</v>
      </c>
      <c r="J512">
        <f t="shared" si="83"/>
        <v>0</v>
      </c>
      <c r="K512">
        <f t="shared" si="87"/>
        <v>0.17786475320721892</v>
      </c>
      <c r="L512">
        <f t="shared" si="84"/>
        <v>0</v>
      </c>
      <c r="M512">
        <f t="shared" si="88"/>
        <v>7.1428571428571425E-2</v>
      </c>
      <c r="N512">
        <f t="shared" si="85"/>
        <v>0</v>
      </c>
      <c r="O512">
        <f t="shared" si="86"/>
        <v>0</v>
      </c>
      <c r="P512">
        <f>IFERROR(LN('Дивиденды по годам'!I512),"")</f>
        <v>23.808244488014598</v>
      </c>
      <c r="Q512">
        <f>IFERROR('Дивиденды по годам'!G512/'Дивиденды по годам'!I512, "")</f>
        <v>0.15068367860246032</v>
      </c>
      <c r="R512">
        <f>IFERROR(IF(AND('Дивиденды по годам'!N512&lt;&gt;"",'Дивиденды по годам'!U512&lt;&gt;"",'Дивиденды по годам'!U512&lt;&gt;0),'Дивиденды по годам'!N512/'Дивиденды по годам'!U512-1,""),"")</f>
        <v>5.9511017560386792E-2</v>
      </c>
      <c r="S512" t="str">
        <f>IFERROR(IF(AND('Дивиденды по годам'!L512&lt;&gt;"",'Дивиденды по годам'!I512&lt;&gt;"",'Дивиденды по годам'!J512&lt;&gt;"",'Дивиденды по годам'!K512&lt;&gt;"",('Дивиденды по годам'!I512-'Дивиденды по годам'!J512-'Дивиденды по годам'!K512)&lt;&gt;0),'Дивиденды по годам'!L512/('Дивиденды по годам'!I512-'Дивиденды по годам'!J512-'Дивиденды по годам'!K512),""),"")</f>
        <v/>
      </c>
      <c r="T512">
        <f>IFERROR(IF(AND('Дивиденды по годам'!Q512&lt;&gt;"",'Дивиденды по годам'!I512&lt;&gt;"",'Дивиденды по годам'!V512&lt;&gt;"",('Дивиденды по годам'!I512+'Дивиденды по годам'!V512)&lt;&gt;0),'Дивиденды по годам'!Q512/(('Дивиденды по годам'!I512+'Дивиденды по годам'!V512)/2),""),"")</f>
        <v>-1.4171101286470289E-2</v>
      </c>
      <c r="U512">
        <f>IFERROR(IF(AND('Дивиденды по годам'!J512&lt;&gt;"",'Дивиденды по годам'!K512&lt;&gt;"",'Дивиденды по годам'!M512&lt;&gt;"",'Дивиденды по годам'!M512&lt;&gt;0),('Дивиденды по годам'!J512+'Дивиденды по годам'!K512)/'Дивиденды по годам'!M512,""),"")</f>
        <v>4.2089090042877562</v>
      </c>
      <c r="V512" cm="1">
        <f t="array" ref="V512">IFERROR(AVERAGE(_xlfn._xlws.FILTER(P$2:P$1073,($C$2:$C$1073=$C512)*($E$2:$E$1073=$E512)*(ROW(P$2:P$1073)&lt;&gt;ROW(P512))*(P$2:P$1073&lt;&gt;""))),"")</f>
        <v>24.273925263616949</v>
      </c>
      <c r="W512" cm="1">
        <f t="array" ref="W512">IFERROR(AVERAGE(_xlfn._xlws.FILTER(Q$2:Q$1073,($C$2:$C$1073=$C512)*($E$2:$E$1073=$E512)*(ROW(Q$2:Q$1073)&lt;&gt;ROW(Q512))*(Q$2:Q$1073&lt;&gt;""))),"")</f>
        <v>0.3323884866254283</v>
      </c>
      <c r="X512" t="str" cm="1">
        <f t="array" ref="X512">IFERROR(AVERAGE(_xlfn._xlws.FILTER(R$2:R$1073,($C$2:$C$1073=$C512)*($E$2:$E$1073=$E512)*(ROW(R$2:R$1073)&lt;&gt;ROW(R512))*(R$2:R$1073&lt;&gt;""))),"")</f>
        <v/>
      </c>
      <c r="Y512" t="str" cm="1">
        <f t="array" ref="Y512">IFERROR(AVERAGE(_xlfn._xlws.FILTER(S$2:S$1073,($C$2:$C$1073=$C512)*($E$2:$E$1073=$E512)*(ROW(S$2:S$1073)&lt;&gt;ROW(S512))*(S$2:S$1073&lt;&gt;""))),"")</f>
        <v/>
      </c>
      <c r="Z512" t="str" cm="1">
        <f t="array" ref="Z512">IFERROR(AVERAGE(_xlfn._xlws.FILTER(T$2:T$1073,($C$2:$C$1073=$C512)*($E$2:$E$1073=$E512)*(ROW(T$2:T$1073)&lt;&gt;ROW(T512))*(T$2:T$1073&lt;&gt;""))),"")</f>
        <v/>
      </c>
      <c r="AA512" cm="1">
        <f t="array" ref="AA512">IFERROR(AVERAGE(_xlfn._xlws.FILTER(U$2:U$1073,($C$2:$C$1073=$C512)*($E$2:$E$1073=$E512)*(ROW(U$2:U$1073)&lt;&gt;ROW(U512))*(U$2:U$1073&lt;&gt;""))),"")</f>
        <v>1.5109735866763803</v>
      </c>
    </row>
    <row r="513" spans="1:27" x14ac:dyDescent="0.2">
      <c r="A513" s="7" t="s">
        <v>2316</v>
      </c>
      <c r="B513" t="str">
        <f t="shared" si="79"/>
        <v>APTK IV кв. 2010</v>
      </c>
      <c r="C513">
        <v>2010</v>
      </c>
      <c r="D513">
        <f>SUMIFS(Дивиденды!$C:$C,Дивиденды!$A:$A,A513,Дивиденды!$I:$I,C513)</f>
        <v>0</v>
      </c>
      <c r="E513">
        <v>4</v>
      </c>
      <c r="F513">
        <f t="shared" si="80"/>
        <v>0</v>
      </c>
      <c r="G513">
        <f t="shared" si="81"/>
        <v>0.46928571428571431</v>
      </c>
      <c r="H513">
        <f t="shared" si="82"/>
        <v>0</v>
      </c>
      <c r="I513">
        <f t="shared" si="89"/>
        <v>7.1428571428571425E-2</v>
      </c>
      <c r="J513" t="str">
        <f t="shared" si="83"/>
        <v/>
      </c>
      <c r="K513" t="str">
        <f t="shared" si="87"/>
        <v/>
      </c>
      <c r="L513" t="str">
        <f t="shared" si="84"/>
        <v/>
      </c>
      <c r="M513" t="str">
        <f t="shared" si="88"/>
        <v/>
      </c>
      <c r="N513" t="str">
        <f t="shared" si="85"/>
        <v/>
      </c>
      <c r="O513" t="str">
        <f t="shared" si="86"/>
        <v/>
      </c>
      <c r="P513">
        <f>IFERROR(LN('Дивиденды по годам'!I513),"")</f>
        <v>23.656010386255485</v>
      </c>
      <c r="Q513">
        <f>IFERROR('Дивиденды по годам'!G513/'Дивиденды по годам'!I513, "")</f>
        <v>0.15222241747474585</v>
      </c>
      <c r="R513" t="str">
        <f>IFERROR(IF(AND('Дивиденды по годам'!N513&lt;&gt;"",'Дивиденды по годам'!U513&lt;&gt;"",'Дивиденды по годам'!U513&lt;&gt;0),'Дивиденды по годам'!N513/'Дивиденды по годам'!U513-1,""),"")</f>
        <v/>
      </c>
      <c r="S513" t="str">
        <f>IFERROR(IF(AND('Дивиденды по годам'!L513&lt;&gt;"",'Дивиденды по годам'!I513&lt;&gt;"",'Дивиденды по годам'!J513&lt;&gt;"",'Дивиденды по годам'!K513&lt;&gt;"",('Дивиденды по годам'!I513-'Дивиденды по годам'!J513-'Дивиденды по годам'!K513)&lt;&gt;0),'Дивиденды по годам'!L513/('Дивиденды по годам'!I513-'Дивиденды по годам'!J513-'Дивиденды по годам'!K513),""),"")</f>
        <v/>
      </c>
      <c r="T513" t="str">
        <f>IFERROR(IF(AND('Дивиденды по годам'!Q513&lt;&gt;"",'Дивиденды по годам'!I513&lt;&gt;"",'Дивиденды по годам'!V513&lt;&gt;"",('Дивиденды по годам'!I513+'Дивиденды по годам'!V513)&lt;&gt;0),'Дивиденды по годам'!Q513/(('Дивиденды по годам'!I513+'Дивиденды по годам'!V513)/2),""),"")</f>
        <v/>
      </c>
      <c r="U513">
        <f>IFERROR(IF(AND('Дивиденды по годам'!J513&lt;&gt;"",'Дивиденды по годам'!K513&lt;&gt;"",'Дивиденды по годам'!M513&lt;&gt;"",'Дивиденды по годам'!M513&lt;&gt;0),('Дивиденды по годам'!J513+'Дивиденды по годам'!K513)/'Дивиденды по годам'!M513,""),"")</f>
        <v>2.8988498110700496</v>
      </c>
      <c r="V513" t="str" cm="1">
        <f t="array" ref="V513">IFERROR(AVERAGE(_xlfn._xlws.FILTER(P$2:P$1073,($C$2:$C$1073=$C513)*($E$2:$E$1073=$E513)*(ROW(P$2:P$1073)&lt;&gt;ROW(P513))*(P$2:P$1073&lt;&gt;""))),"")</f>
        <v/>
      </c>
      <c r="W513" t="str" cm="1">
        <f t="array" ref="W513">IFERROR(AVERAGE(_xlfn._xlws.FILTER(Q$2:Q$1073,($C$2:$C$1073=$C513)*($E$2:$E$1073=$E513)*(ROW(Q$2:Q$1073)&lt;&gt;ROW(Q513))*(Q$2:Q$1073&lt;&gt;""))),"")</f>
        <v/>
      </c>
      <c r="X513" t="str" cm="1">
        <f t="array" ref="X513">IFERROR(AVERAGE(_xlfn._xlws.FILTER(R$2:R$1073,($C$2:$C$1073=$C513)*($E$2:$E$1073=$E513)*(ROW(R$2:R$1073)&lt;&gt;ROW(R513))*(R$2:R$1073&lt;&gt;""))),"")</f>
        <v/>
      </c>
      <c r="Y513" t="str" cm="1">
        <f t="array" ref="Y513">IFERROR(AVERAGE(_xlfn._xlws.FILTER(S$2:S$1073,($C$2:$C$1073=$C513)*($E$2:$E$1073=$E513)*(ROW(S$2:S$1073)&lt;&gt;ROW(S513))*(S$2:S$1073&lt;&gt;""))),"")</f>
        <v/>
      </c>
      <c r="Z513" t="str" cm="1">
        <f t="array" ref="Z513">IFERROR(AVERAGE(_xlfn._xlws.FILTER(T$2:T$1073,($C$2:$C$1073=$C513)*($E$2:$E$1073=$E513)*(ROW(T$2:T$1073)&lt;&gt;ROW(T513))*(T$2:T$1073&lt;&gt;""))),"")</f>
        <v/>
      </c>
      <c r="AA513" t="str" cm="1">
        <f t="array" ref="AA513">IFERROR(AVERAGE(_xlfn._xlws.FILTER(U$2:U$1073,($C$2:$C$1073=$C513)*($E$2:$E$1073=$E513)*(ROW(U$2:U$1073)&lt;&gt;ROW(U513))*(U$2:U$1073&lt;&gt;""))),"")</f>
        <v/>
      </c>
    </row>
    <row r="514" spans="1:27" x14ac:dyDescent="0.2">
      <c r="A514" s="7" t="s">
        <v>2244</v>
      </c>
      <c r="B514" t="str">
        <f t="shared" si="79"/>
        <v>AQUA IV кв. 2025</v>
      </c>
      <c r="C514">
        <v>2025</v>
      </c>
      <c r="D514">
        <f>SUMIFS(Дивиденды!$C:$C,Дивиденды!$A:$A,A514,Дивиденды!$I:$I,C514)</f>
        <v>0</v>
      </c>
      <c r="E514">
        <v>4</v>
      </c>
      <c r="F514">
        <f t="shared" si="80"/>
        <v>0</v>
      </c>
      <c r="G514">
        <f t="shared" si="81"/>
        <v>31.581428571428571</v>
      </c>
      <c r="H514">
        <f t="shared" si="82"/>
        <v>0</v>
      </c>
      <c r="I514">
        <f t="shared" si="89"/>
        <v>0.42857142857142855</v>
      </c>
      <c r="J514">
        <f t="shared" si="83"/>
        <v>-1</v>
      </c>
      <c r="K514">
        <f t="shared" si="87"/>
        <v>-0.11109777181212485</v>
      </c>
      <c r="L514">
        <f t="shared" si="84"/>
        <v>0</v>
      </c>
      <c r="M514">
        <f t="shared" si="88"/>
        <v>0.14285714285714285</v>
      </c>
      <c r="N514">
        <f t="shared" si="85"/>
        <v>1</v>
      </c>
      <c r="O514">
        <f t="shared" si="86"/>
        <v>0.42857142857142855</v>
      </c>
      <c r="P514" t="str">
        <f>IFERROR(LN('Дивиденды по годам'!I514),"")</f>
        <v/>
      </c>
      <c r="Q514" t="str">
        <f>IFERROR('Дивиденды по годам'!G514/'Дивиденды по годам'!I514, "")</f>
        <v/>
      </c>
      <c r="R514" t="str">
        <f>IFERROR(IF(AND('Дивиденды по годам'!N514&lt;&gt;"",'Дивиденды по годам'!U514&lt;&gt;"",'Дивиденды по годам'!U514&lt;&gt;0),'Дивиденды по годам'!N514/'Дивиденды по годам'!U514-1,""),"")</f>
        <v/>
      </c>
      <c r="S514" t="str">
        <f>IFERROR(IF(AND('Дивиденды по годам'!L514&lt;&gt;"",'Дивиденды по годам'!I514&lt;&gt;"",'Дивиденды по годам'!J514&lt;&gt;"",'Дивиденды по годам'!K514&lt;&gt;"",('Дивиденды по годам'!I514-'Дивиденды по годам'!J514-'Дивиденды по годам'!K514)&lt;&gt;0),'Дивиденды по годам'!L514/('Дивиденды по годам'!I514-'Дивиденды по годам'!J514-'Дивиденды по годам'!K514),""),"")</f>
        <v/>
      </c>
      <c r="T514" t="str">
        <f>IFERROR(IF(AND('Дивиденды по годам'!Q514&lt;&gt;"",'Дивиденды по годам'!I514&lt;&gt;"",'Дивиденды по годам'!V514&lt;&gt;"",('Дивиденды по годам'!I514+'Дивиденды по годам'!V514)&lt;&gt;0),'Дивиденды по годам'!Q514/(('Дивиденды по годам'!I514+'Дивиденды по годам'!V514)/2),""),"")</f>
        <v/>
      </c>
      <c r="U514" t="str">
        <f>IFERROR(IF(AND('Дивиденды по годам'!J514&lt;&gt;"",'Дивиденды по годам'!K514&lt;&gt;"",'Дивиденды по годам'!M514&lt;&gt;"",'Дивиденды по годам'!M514&lt;&gt;0),('Дивиденды по годам'!J514+'Дивиденды по годам'!K514)/'Дивиденды по годам'!M514,""),"")</f>
        <v/>
      </c>
      <c r="V514" cm="1">
        <f t="array" ref="V514">IFERROR(AVERAGE(_xlfn._xlws.FILTER(P$2:P$1073,($C$2:$C$1073=$C514)*($E$2:$E$1073=$E514)*(ROW(P$2:P$1073)&lt;&gt;ROW(P514))*(P$2:P$1073&lt;&gt;""))),"")</f>
        <v>26.183512711155618</v>
      </c>
      <c r="W514" cm="1">
        <f t="array" ref="W514">IFERROR(AVERAGE(_xlfn._xlws.FILTER(Q$2:Q$1073,($C$2:$C$1073=$C514)*($E$2:$E$1073=$E514)*(ROW(Q$2:Q$1073)&lt;&gt;ROW(Q514))*(Q$2:Q$1073&lt;&gt;""))),"")</f>
        <v>0.42364014522274984</v>
      </c>
      <c r="X514" cm="1">
        <f t="array" ref="X514">IFERROR(AVERAGE(_xlfn._xlws.FILTER(R$2:R$1073,($C$2:$C$1073=$C514)*($E$2:$E$1073=$E514)*(ROW(R$2:R$1073)&lt;&gt;ROW(R514))*(R$2:R$1073&lt;&gt;""))),"")</f>
        <v>6.6096126428947105E-2</v>
      </c>
      <c r="Y514" cm="1">
        <f t="array" ref="Y514">IFERROR(AVERAGE(_xlfn._xlws.FILTER(S$2:S$1073,($C$2:$C$1073=$C514)*($E$2:$E$1073=$E514)*(ROW(S$2:S$1073)&lt;&gt;ROW(S514))*(S$2:S$1073&lt;&gt;""))),"")</f>
        <v>0.94174952343815033</v>
      </c>
      <c r="Z514" cm="1">
        <f t="array" ref="Z514">IFERROR(AVERAGE(_xlfn._xlws.FILTER(T$2:T$1073,($C$2:$C$1073=$C514)*($E$2:$E$1073=$E514)*(ROW(T$2:T$1073)&lt;&gt;ROW(T514))*(T$2:T$1073&lt;&gt;""))),"")</f>
        <v>1.3107153079830167E-2</v>
      </c>
      <c r="AA514" cm="1">
        <f t="array" ref="AA514">IFERROR(AVERAGE(_xlfn._xlws.FILTER(U$2:U$1073,($C$2:$C$1073=$C514)*($E$2:$E$1073=$E514)*(ROW(U$2:U$1073)&lt;&gt;ROW(U514))*(U$2:U$1073&lt;&gt;""))),"")</f>
        <v>6.2968354519658218</v>
      </c>
    </row>
    <row r="515" spans="1:27" x14ac:dyDescent="0.2">
      <c r="A515" s="7" t="s">
        <v>2244</v>
      </c>
      <c r="B515" t="str">
        <f t="shared" ref="B515:B578" si="90">A515&amp;" "&amp;
"IV"
&amp;" кв. "&amp;C515</f>
        <v>AQUA IV кв. 2024</v>
      </c>
      <c r="C515">
        <v>2024</v>
      </c>
      <c r="D515">
        <f>SUMIFS(Дивиденды!$C:$C,Дивиденды!$A:$A,A515,Дивиденды!$I:$I,C515)</f>
        <v>50</v>
      </c>
      <c r="E515">
        <v>4</v>
      </c>
      <c r="F515">
        <f t="shared" ref="F515:F578" si="91">D515</f>
        <v>50</v>
      </c>
      <c r="G515">
        <f t="shared" ref="G515:G578" si="92">AVERAGEIFS($D:$D,$E:$E,E515,$C:$C,C515,$A:$A,"&lt;&gt;"&amp;A515)</f>
        <v>58.940000000000005</v>
      </c>
      <c r="H515">
        <f t="shared" ref="H515:H578" si="93">IF(D515&gt;0,1,0)</f>
        <v>1</v>
      </c>
      <c r="I515">
        <f t="shared" si="89"/>
        <v>0.5</v>
      </c>
      <c r="J515">
        <f t="shared" ref="J515:J578" si="94">IF(A516&lt;&gt;A515,"",IF(D515=D516,0,IF(AND(D516=0,D515&lt;&gt;0), 1,(D515-D516)/D516)))</f>
        <v>0.1111111111111111</v>
      </c>
      <c r="K515">
        <f t="shared" si="87"/>
        <v>0.20351923742697586</v>
      </c>
      <c r="L515">
        <f t="shared" ref="L515:L578" si="95">IF(J515&lt;&gt;"",IF(J515&gt;0,1,0),"")</f>
        <v>1</v>
      </c>
      <c r="M515">
        <f t="shared" si="88"/>
        <v>0.2857142857142857</v>
      </c>
      <c r="N515">
        <f t="shared" ref="N515:N578" si="96">IF(J515&lt;&gt;"",IF(J515&lt;0,1,0),"")</f>
        <v>0</v>
      </c>
      <c r="O515">
        <f t="shared" ref="O515:O578" si="97">IFERROR(AVERAGEIFS($N:$N,$E:$E,E515,$C:$C,C515,$A:$A,"&lt;&gt;"&amp;A515),"")</f>
        <v>0.2857142857142857</v>
      </c>
      <c r="P515">
        <f>IFERROR(LN('Дивиденды по годам'!I515),"")</f>
        <v>24.796769358908161</v>
      </c>
      <c r="Q515">
        <f>IFERROR('Дивиденды по годам'!G515/'Дивиденды по годам'!I515, "")</f>
        <v>0.29634146810486789</v>
      </c>
      <c r="R515">
        <f>IFERROR(IF(AND('Дивиденды по годам'!N515&lt;&gt;"",'Дивиденды по годам'!U515&lt;&gt;"",'Дивиденды по годам'!U515&lt;&gt;0),'Дивиденды по годам'!N515/'Дивиденды по годам'!U515-1,""),"")</f>
        <v>0.10763088637983342</v>
      </c>
      <c r="S515">
        <f>IFERROR(IF(AND('Дивиденды по годам'!L515&lt;&gt;"",'Дивиденды по годам'!I515&lt;&gt;"",'Дивиденды по годам'!J515&lt;&gt;"",'Дивиденды по годам'!K515&lt;&gt;"",('Дивиденды по годам'!I515-'Дивиденды по годам'!J515-'Дивиденды по годам'!K515)&lt;&gt;0),'Дивиденды по годам'!L515/('Дивиденды по годам'!I515-'Дивиденды по годам'!J515-'Дивиденды по годам'!K515),""),"")</f>
        <v>0.78818027060962714</v>
      </c>
      <c r="T515">
        <f>IFERROR(IF(AND('Дивиденды по годам'!Q515&lt;&gt;"",'Дивиденды по годам'!I515&lt;&gt;"",'Дивиденды по годам'!V515&lt;&gt;"",('Дивиденды по годам'!I515+'Дивиденды по годам'!V515)&lt;&gt;0),'Дивиденды по годам'!Q515/(('Дивиденды по годам'!I515+'Дивиденды по годам'!V515)/2),""),"")</f>
        <v>0.13434697755744152</v>
      </c>
      <c r="U515">
        <f>IFERROR(IF(AND('Дивиденды по годам'!J515&lt;&gt;"",'Дивиденды по годам'!K515&lt;&gt;"",'Дивиденды по годам'!M515&lt;&gt;"",'Дивиденды по годам'!M515&lt;&gt;0),('Дивиденды по годам'!J515+'Дивиденды по годам'!K515)/'Дивиденды по годам'!M515,""),"")</f>
        <v>0.37404322011454583</v>
      </c>
      <c r="V515" cm="1">
        <f t="array" ref="V515">IFERROR(AVERAGE(_xlfn._xlws.FILTER(P$2:P$1073,($C$2:$C$1073=$C515)*($E$2:$E$1073=$E515)*(ROW(P$2:P$1073)&lt;&gt;ROW(P515))*(P$2:P$1073&lt;&gt;""))),"")</f>
        <v>25.619660167770512</v>
      </c>
      <c r="W515" cm="1">
        <f t="array" ref="W515">IFERROR(AVERAGE(_xlfn._xlws.FILTER(Q$2:Q$1073,($C$2:$C$1073=$C515)*($E$2:$E$1073=$E515)*(ROW(Q$2:Q$1073)&lt;&gt;ROW(Q515))*(Q$2:Q$1073&lt;&gt;""))),"")</f>
        <v>0.26053748572823132</v>
      </c>
      <c r="X515" cm="1">
        <f t="array" ref="X515">IFERROR(AVERAGE(_xlfn._xlws.FILTER(R$2:R$1073,($C$2:$C$1073=$C515)*($E$2:$E$1073=$E515)*(ROW(R$2:R$1073)&lt;&gt;ROW(R515))*(R$2:R$1073&lt;&gt;""))),"")</f>
        <v>0.2767389710901102</v>
      </c>
      <c r="Y515" cm="1">
        <f t="array" ref="Y515">IFERROR(AVERAGE(_xlfn._xlws.FILTER(S$2:S$1073,($C$2:$C$1073=$C515)*($E$2:$E$1073=$E515)*(ROW(S$2:S$1073)&lt;&gt;ROW(S515))*(S$2:S$1073&lt;&gt;""))),"")</f>
        <v>1.1984021355677783</v>
      </c>
      <c r="Z515" cm="1">
        <f t="array" ref="Z515">IFERROR(AVERAGE(_xlfn._xlws.FILTER(T$2:T$1073,($C$2:$C$1073=$C515)*($E$2:$E$1073=$E515)*(ROW(T$2:T$1073)&lt;&gt;ROW(T515))*(T$2:T$1073&lt;&gt;""))),"")</f>
        <v>6.8570542769538292E-2</v>
      </c>
      <c r="AA515" cm="1">
        <f t="array" ref="AA515">IFERROR(AVERAGE(_xlfn._xlws.FILTER(U$2:U$1073,($C$2:$C$1073=$C515)*($E$2:$E$1073=$E515)*(ROW(U$2:U$1073)&lt;&gt;ROW(U515))*(U$2:U$1073&lt;&gt;""))),"")</f>
        <v>4.2491374173598961</v>
      </c>
    </row>
    <row r="516" spans="1:27" x14ac:dyDescent="0.2">
      <c r="A516" s="7" t="s">
        <v>2244</v>
      </c>
      <c r="B516" t="str">
        <f t="shared" si="90"/>
        <v>AQUA IV кв. 2023</v>
      </c>
      <c r="C516">
        <v>2023</v>
      </c>
      <c r="D516">
        <f>SUMIFS(Дивиденды!$C:$C,Дивиденды!$A:$A,A516,Дивиденды!$I:$I,C516)</f>
        <v>45</v>
      </c>
      <c r="E516">
        <v>4</v>
      </c>
      <c r="F516">
        <f t="shared" si="91"/>
        <v>45</v>
      </c>
      <c r="G516">
        <f t="shared" si="92"/>
        <v>87.525714285714301</v>
      </c>
      <c r="H516">
        <f t="shared" si="93"/>
        <v>1</v>
      </c>
      <c r="I516">
        <f t="shared" si="89"/>
        <v>0.42857142857142855</v>
      </c>
      <c r="J516">
        <f t="shared" si="94"/>
        <v>0.125</v>
      </c>
      <c r="K516">
        <f t="shared" ref="K516:K579" si="98">IFERROR(AVERAGEIFS($J:$J,$E:$E,E516,$C:$C,C516,$A:$A,"&lt;&gt;"&amp;A516),"")</f>
        <v>0.28919887955182072</v>
      </c>
      <c r="L516">
        <f t="shared" si="95"/>
        <v>1</v>
      </c>
      <c r="M516">
        <f t="shared" si="88"/>
        <v>0.35714285714285715</v>
      </c>
      <c r="N516">
        <f t="shared" si="96"/>
        <v>0</v>
      </c>
      <c r="O516">
        <f t="shared" si="97"/>
        <v>0</v>
      </c>
      <c r="P516">
        <f>IFERROR(LN('Дивиденды по годам'!I516),"")</f>
        <v>24.762551356576409</v>
      </c>
      <c r="Q516">
        <f>IFERROR('Дивиденды по годам'!G516/'Дивиденды по годам'!I516, "")</f>
        <v>0.20574391930258004</v>
      </c>
      <c r="R516">
        <f>IFERROR(IF(AND('Дивиденды по годам'!N516&lt;&gt;"",'Дивиденды по годам'!U516&lt;&gt;"",'Дивиденды по годам'!U516&lt;&gt;0),'Дивиденды по годам'!N516/'Дивиденды по годам'!U516-1,""),"")</f>
        <v>0.21187436345698996</v>
      </c>
      <c r="S516">
        <f>IFERROR(IF(AND('Дивиденды по годам'!L516&lt;&gt;"",'Дивиденды по годам'!I516&lt;&gt;"",'Дивиденды по годам'!J516&lt;&gt;"",'Дивиденды по годам'!K516&lt;&gt;"",('Дивиденды по годам'!I516-'Дивиденды по годам'!J516-'Дивиденды по годам'!K516)&lt;&gt;0),'Дивиденды по годам'!L516/('Дивиденды по годам'!I516-'Дивиденды по годам'!J516-'Дивиденды по годам'!K516),""),"")</f>
        <v>0.7630232021167358</v>
      </c>
      <c r="T516">
        <f>IFERROR(IF(AND('Дивиденды по годам'!Q516&lt;&gt;"",'Дивиденды по годам'!I516&lt;&gt;"",'Дивиденды по годам'!V516&lt;&gt;"",('Дивиденды по годам'!I516+'Дивиденды по годам'!V516)&lt;&gt;0),'Дивиденды по годам'!Q516/(('Дивиденды по годам'!I516+'Дивиденды по годам'!V516)/2),""),"")</f>
        <v>0.31191567451064972</v>
      </c>
      <c r="U516">
        <f>IFERROR(IF(AND('Дивиденды по годам'!J516&lt;&gt;"",'Дивиденды по годам'!K516&lt;&gt;"",'Дивиденды по годам'!M516&lt;&gt;"",'Дивиденды по годам'!M516&lt;&gt;0),('Дивиденды по годам'!J516+'Дивиденды по годам'!K516)/'Дивиденды по годам'!M516,""),"")</f>
        <v>0.43031739324152102</v>
      </c>
      <c r="V516" cm="1">
        <f t="array" ref="V516">IFERROR(AVERAGE(_xlfn._xlws.FILTER(P$2:P$1073,($C$2:$C$1073=$C516)*($E$2:$E$1073=$E516)*(ROW(P$2:P$1073)&lt;&gt;ROW(P516))*(P$2:P$1073&lt;&gt;""))),"")</f>
        <v>25.41014126905603</v>
      </c>
      <c r="W516" cm="1">
        <f t="array" ref="W516">IFERROR(AVERAGE(_xlfn._xlws.FILTER(Q$2:Q$1073,($C$2:$C$1073=$C516)*($E$2:$E$1073=$E516)*(ROW(Q$2:Q$1073)&lt;&gt;ROW(Q516))*(Q$2:Q$1073&lt;&gt;""))),"")</f>
        <v>0.25357621963365401</v>
      </c>
      <c r="X516" cm="1">
        <f t="array" ref="X516">IFERROR(AVERAGE(_xlfn._xlws.FILTER(R$2:R$1073,($C$2:$C$1073=$C516)*($E$2:$E$1073=$E516)*(ROW(R$2:R$1073)&lt;&gt;ROW(R516))*(R$2:R$1073&lt;&gt;""))),"")</f>
        <v>0.24901646796011997</v>
      </c>
      <c r="Y516" cm="1">
        <f t="array" ref="Y516">IFERROR(AVERAGE(_xlfn._xlws.FILTER(S$2:S$1073,($C$2:$C$1073=$C516)*($E$2:$E$1073=$E516)*(ROW(S$2:S$1073)&lt;&gt;ROW(S516))*(S$2:S$1073&lt;&gt;""))),"")</f>
        <v>1.2804919299379331</v>
      </c>
      <c r="Z516" cm="1">
        <f t="array" ref="Z516">IFERROR(AVERAGE(_xlfn._xlws.FILTER(T$2:T$1073,($C$2:$C$1073=$C516)*($E$2:$E$1073=$E516)*(ROW(T$2:T$1073)&lt;&gt;ROW(T516))*(T$2:T$1073&lt;&gt;""))),"")</f>
        <v>9.3511353929492239E-2</v>
      </c>
      <c r="AA516" cm="1">
        <f t="array" ref="AA516">IFERROR(AVERAGE(_xlfn._xlws.FILTER(U$2:U$1073,($C$2:$C$1073=$C516)*($E$2:$E$1073=$E516)*(ROW(U$2:U$1073)&lt;&gt;ROW(U516))*(U$2:U$1073&lt;&gt;""))),"")</f>
        <v>2.7415609389561979</v>
      </c>
    </row>
    <row r="517" spans="1:27" x14ac:dyDescent="0.2">
      <c r="A517" s="7" t="s">
        <v>2244</v>
      </c>
      <c r="B517" t="str">
        <f t="shared" si="90"/>
        <v>AQUA IV кв. 2022</v>
      </c>
      <c r="C517">
        <v>2022</v>
      </c>
      <c r="D517">
        <f>SUMIFS(Дивиденды!$C:$C,Дивиденды!$A:$A,A517,Дивиденды!$I:$I,C517)</f>
        <v>40</v>
      </c>
      <c r="E517">
        <v>4</v>
      </c>
      <c r="F517">
        <f t="shared" si="91"/>
        <v>40</v>
      </c>
      <c r="G517">
        <f t="shared" si="92"/>
        <v>77.32285714285716</v>
      </c>
      <c r="H517">
        <f t="shared" si="93"/>
        <v>1</v>
      </c>
      <c r="I517">
        <f t="shared" si="89"/>
        <v>0.21428571428571427</v>
      </c>
      <c r="J517">
        <f t="shared" si="94"/>
        <v>2.3333333333333335</v>
      </c>
      <c r="K517">
        <f t="shared" si="98"/>
        <v>0.3291695784540673</v>
      </c>
      <c r="L517">
        <f t="shared" si="95"/>
        <v>1</v>
      </c>
      <c r="M517">
        <f t="shared" si="88"/>
        <v>0.21428571428571427</v>
      </c>
      <c r="N517">
        <f t="shared" si="96"/>
        <v>0</v>
      </c>
      <c r="O517">
        <f t="shared" si="97"/>
        <v>7.1428571428571425E-2</v>
      </c>
      <c r="P517">
        <f>IFERROR(LN('Дивиденды по годам'!I517),"")</f>
        <v>24.470776774955219</v>
      </c>
      <c r="Q517">
        <f>IFERROR('Дивиденды по годам'!G517/'Дивиденды по годам'!I517, "")</f>
        <v>0.22724320538853646</v>
      </c>
      <c r="R517">
        <f>IFERROR(IF(AND('Дивиденды по годам'!N517&lt;&gt;"",'Дивиденды по годам'!U517&lt;&gt;"",'Дивиденды по годам'!U517&lt;&gt;0),'Дивиденды по годам'!N517/'Дивиденды по годам'!U517-1,""),"")</f>
        <v>0.47766893778200314</v>
      </c>
      <c r="S517">
        <f>IFERROR(IF(AND('Дивиденды по годам'!L517&lt;&gt;"",'Дивиденды по годам'!I517&lt;&gt;"",'Дивиденды по годам'!J517&lt;&gt;"",'Дивиденды по годам'!K517&lt;&gt;"",('Дивиденды по годам'!I517-'Дивиденды по годам'!J517-'Дивиденды по годам'!K517)&lt;&gt;0),'Дивиденды по годам'!L517/('Дивиденды по годам'!I517-'Дивиденды по годам'!J517-'Дивиденды по годам'!K517),""),"")</f>
        <v>0.68658393947716745</v>
      </c>
      <c r="T517">
        <f>IFERROR(IF(AND('Дивиденды по годам'!Q517&lt;&gt;"",'Дивиденды по годам'!I517&lt;&gt;"",'Дивиденды по годам'!V517&lt;&gt;"",('Дивиденды по годам'!I517+'Дивиденды по годам'!V517)&lt;&gt;0),'Дивиденды по годам'!Q517/(('Дивиденды по годам'!I517+'Дивиденды по годам'!V517)/2),""),"")</f>
        <v>0.33455722584314579</v>
      </c>
      <c r="U517">
        <f>IFERROR(IF(AND('Дивиденды по годам'!J517&lt;&gt;"",'Дивиденды по годам'!K517&lt;&gt;"",'Дивиденды по годам'!M517&lt;&gt;"",'Дивиденды по годам'!M517&lt;&gt;0),('Дивиденды по годам'!J517+'Дивиденды по годам'!K517)/'Дивиденды по годам'!M517,""),"")</f>
        <v>0.55513125151079945</v>
      </c>
      <c r="V517" cm="1">
        <f t="array" ref="V517">IFERROR(AVERAGE(_xlfn._xlws.FILTER(P$2:P$1073,($C$2:$C$1073=$C517)*($E$2:$E$1073=$E517)*(ROW(P$2:P$1073)&lt;&gt;ROW(P517))*(P$2:P$1073&lt;&gt;""))),"")</f>
        <v>25.333792758597685</v>
      </c>
      <c r="W517" cm="1">
        <f t="array" ref="W517">IFERROR(AVERAGE(_xlfn._xlws.FILTER(Q$2:Q$1073,($C$2:$C$1073=$C517)*($E$2:$E$1073=$E517)*(ROW(Q$2:Q$1073)&lt;&gt;ROW(Q517))*(Q$2:Q$1073&lt;&gt;""))),"")</f>
        <v>0.25002426015633289</v>
      </c>
      <c r="X517" cm="1">
        <f t="array" ref="X517">IFERROR(AVERAGE(_xlfn._xlws.FILTER(R$2:R$1073,($C$2:$C$1073=$C517)*($E$2:$E$1073=$E517)*(ROW(R$2:R$1073)&lt;&gt;ROW(R517))*(R$2:R$1073&lt;&gt;""))),"")</f>
        <v>0.1803592716258241</v>
      </c>
      <c r="Y517" cm="1">
        <f t="array" ref="Y517">IFERROR(AVERAGE(_xlfn._xlws.FILTER(S$2:S$1073,($C$2:$C$1073=$C517)*($E$2:$E$1073=$E517)*(ROW(S$2:S$1073)&lt;&gt;ROW(S517))*(S$2:S$1073&lt;&gt;""))),"")</f>
        <v>1.3912911843085389</v>
      </c>
      <c r="Z517" cm="1">
        <f t="array" ref="Z517">IFERROR(AVERAGE(_xlfn._xlws.FILTER(T$2:T$1073,($C$2:$C$1073=$C517)*($E$2:$E$1073=$E517)*(ROW(T$2:T$1073)&lt;&gt;ROW(T517))*(T$2:T$1073&lt;&gt;""))),"")</f>
        <v>7.9567859196518098E-2</v>
      </c>
      <c r="AA517" cm="1">
        <f t="array" ref="AA517">IFERROR(AVERAGE(_xlfn._xlws.FILTER(U$2:U$1073,($C$2:$C$1073=$C517)*($E$2:$E$1073=$E517)*(ROW(U$2:U$1073)&lt;&gt;ROW(U517))*(U$2:U$1073&lt;&gt;""))),"")</f>
        <v>2.3083395323688278</v>
      </c>
    </row>
    <row r="518" spans="1:27" x14ac:dyDescent="0.2">
      <c r="A518" s="7" t="s">
        <v>2244</v>
      </c>
      <c r="B518" t="str">
        <f t="shared" si="90"/>
        <v>AQUA IV кв. 2021</v>
      </c>
      <c r="C518">
        <v>2021</v>
      </c>
      <c r="D518">
        <f>SUMIFS(Дивиденды!$C:$C,Дивиденды!$A:$A,A518,Дивиденды!$I:$I,C518)</f>
        <v>12</v>
      </c>
      <c r="E518">
        <v>4</v>
      </c>
      <c r="F518">
        <f t="shared" si="91"/>
        <v>12</v>
      </c>
      <c r="G518">
        <f t="shared" si="92"/>
        <v>31.074285714285715</v>
      </c>
      <c r="H518">
        <f t="shared" si="93"/>
        <v>1</v>
      </c>
      <c r="I518">
        <f t="shared" si="89"/>
        <v>0.21428571428571427</v>
      </c>
      <c r="J518">
        <f t="shared" si="94"/>
        <v>0.2</v>
      </c>
      <c r="K518">
        <f t="shared" si="98"/>
        <v>0.18321594613783621</v>
      </c>
      <c r="L518">
        <f t="shared" si="95"/>
        <v>1</v>
      </c>
      <c r="M518">
        <f t="shared" si="88"/>
        <v>0.14285714285714285</v>
      </c>
      <c r="N518">
        <f t="shared" si="96"/>
        <v>0</v>
      </c>
      <c r="O518">
        <f t="shared" si="97"/>
        <v>7.1428571428571425E-2</v>
      </c>
      <c r="P518">
        <f>IFERROR(LN('Дивиденды по годам'!I518),"")</f>
        <v>24.08666380426477</v>
      </c>
      <c r="Q518">
        <f>IFERROR('Дивиденды по годам'!G518/'Дивиденды по годам'!I518, "")</f>
        <v>0.30365755302819086</v>
      </c>
      <c r="R518">
        <f>IFERROR(IF(AND('Дивиденды по годам'!N518&lt;&gt;"",'Дивиденды по годам'!U518&lt;&gt;"",'Дивиденды по годам'!U518&lt;&gt;0),'Дивиденды по годам'!N518/'Дивиденды по годам'!U518-1,""),"")</f>
        <v>0.90789807528073996</v>
      </c>
      <c r="S518">
        <f>IFERROR(IF(AND('Дивиденды по годам'!L518&lt;&gt;"",'Дивиденды по годам'!I518&lt;&gt;"",'Дивиденды по годам'!J518&lt;&gt;"",'Дивиденды по годам'!K518&lt;&gt;"",('Дивиденды по годам'!I518-'Дивиденды по годам'!J518-'Дивиденды по годам'!K518)&lt;&gt;0),'Дивиденды по годам'!L518/('Дивиденды по годам'!I518-'Дивиденды по годам'!J518-'Дивиденды по годам'!K518),""),"")</f>
        <v>0.53958548022963093</v>
      </c>
      <c r="T518">
        <f>IFERROR(IF(AND('Дивиденды по годам'!Q518&lt;&gt;"",'Дивиденды по годам'!I518&lt;&gt;"",'Дивиденды по годам'!V518&lt;&gt;"",('Дивиденды по годам'!I518+'Дивиденды по годам'!V518)&lt;&gt;0),'Дивиденды по годам'!Q518/(('Дивиденды по годам'!I518+'Дивиденды по годам'!V518)/2),""),"")</f>
        <v>0.34879658281069953</v>
      </c>
      <c r="U518">
        <f>IFERROR(IF(AND('Дивиденды по годам'!J518&lt;&gt;"",'Дивиденды по годам'!K518&lt;&gt;"",'Дивиденды по годам'!M518&lt;&gt;"",'Дивиденды по годам'!M518&lt;&gt;0),('Дивиденды по годам'!J518+'Дивиденды по годам'!K518)/'Дивиденды по годам'!M518,""),"")</f>
        <v>0.54417140574145684</v>
      </c>
      <c r="V518" cm="1">
        <f t="array" ref="V518">IFERROR(AVERAGE(_xlfn._xlws.FILTER(P$2:P$1073,($C$2:$C$1073=$C518)*($E$2:$E$1073=$E518)*(ROW(P$2:P$1073)&lt;&gt;ROW(P518))*(P$2:P$1073&lt;&gt;""))),"")</f>
        <v>25.279745720556765</v>
      </c>
      <c r="W518" cm="1">
        <f t="array" ref="W518">IFERROR(AVERAGE(_xlfn._xlws.FILTER(Q$2:Q$1073,($C$2:$C$1073=$C518)*($E$2:$E$1073=$E518)*(ROW(Q$2:Q$1073)&lt;&gt;ROW(Q518))*(Q$2:Q$1073&lt;&gt;""))),"")</f>
        <v>0.22955942431659473</v>
      </c>
      <c r="X518" cm="1">
        <f t="array" ref="X518">IFERROR(AVERAGE(_xlfn._xlws.FILTER(R$2:R$1073,($C$2:$C$1073=$C518)*($E$2:$E$1073=$E518)*(ROW(R$2:R$1073)&lt;&gt;ROW(R518))*(R$2:R$1073&lt;&gt;""))),"")</f>
        <v>0.24382310265368939</v>
      </c>
      <c r="Y518" cm="1">
        <f t="array" ref="Y518">IFERROR(AVERAGE(_xlfn._xlws.FILTER(S$2:S$1073,($C$2:$C$1073=$C518)*($E$2:$E$1073=$E518)*(ROW(S$2:S$1073)&lt;&gt;ROW(S518))*(S$2:S$1073&lt;&gt;""))),"")</f>
        <v>1.3873885292581214</v>
      </c>
      <c r="Z518" cm="1">
        <f t="array" ref="Z518">IFERROR(AVERAGE(_xlfn._xlws.FILTER(T$2:T$1073,($C$2:$C$1073=$C518)*($E$2:$E$1073=$E518)*(ROW(T$2:T$1073)&lt;&gt;ROW(T518))*(T$2:T$1073&lt;&gt;""))),"")</f>
        <v>7.1594699040100601E-2</v>
      </c>
      <c r="AA518" cm="1">
        <f t="array" ref="AA518">IFERROR(AVERAGE(_xlfn._xlws.FILTER(U$2:U$1073,($C$2:$C$1073=$C518)*($E$2:$E$1073=$E518)*(ROW(U$2:U$1073)&lt;&gt;ROW(U518))*(U$2:U$1073&lt;&gt;""))),"")</f>
        <v>18.303170065474408</v>
      </c>
    </row>
    <row r="519" spans="1:27" x14ac:dyDescent="0.2">
      <c r="A519" s="7" t="s">
        <v>2244</v>
      </c>
      <c r="B519" t="str">
        <f t="shared" si="90"/>
        <v>AQUA IV кв. 2020</v>
      </c>
      <c r="C519">
        <v>2020</v>
      </c>
      <c r="D519">
        <f>SUMIFS(Дивиденды!$C:$C,Дивиденды!$A:$A,A519,Дивиденды!$I:$I,C519)</f>
        <v>10</v>
      </c>
      <c r="E519">
        <v>4</v>
      </c>
      <c r="F519">
        <f t="shared" si="91"/>
        <v>10</v>
      </c>
      <c r="G519">
        <f t="shared" si="92"/>
        <v>42.579285714285717</v>
      </c>
      <c r="H519">
        <f t="shared" si="93"/>
        <v>1</v>
      </c>
      <c r="I519">
        <f t="shared" si="89"/>
        <v>0.21428571428571427</v>
      </c>
      <c r="J519">
        <f t="shared" si="94"/>
        <v>1</v>
      </c>
      <c r="K519">
        <f t="shared" si="98"/>
        <v>0.19688760062035593</v>
      </c>
      <c r="L519">
        <f t="shared" si="95"/>
        <v>1</v>
      </c>
      <c r="M519">
        <f t="shared" si="88"/>
        <v>0.21428571428571427</v>
      </c>
      <c r="N519">
        <f t="shared" si="96"/>
        <v>0</v>
      </c>
      <c r="O519">
        <f t="shared" si="97"/>
        <v>0</v>
      </c>
      <c r="P519">
        <f>IFERROR(LN('Дивиденды по годам'!I519),"")</f>
        <v>23.709625676132891</v>
      </c>
      <c r="Q519">
        <f>IFERROR('Дивиденды по годам'!G519/'Дивиденды по годам'!I519, "")</f>
        <v>0.32147957039435932</v>
      </c>
      <c r="R519">
        <f>IFERROR(IF(AND('Дивиденды по годам'!N519&lt;&gt;"",'Дивиденды по годам'!U519&lt;&gt;"",'Дивиденды по годам'!U519&lt;&gt;0),'Дивиденды по годам'!N519/'Дивиденды по годам'!U519-1,""),"")</f>
        <v>-5.2553890512055612E-2</v>
      </c>
      <c r="S519">
        <f>IFERROR(IF(AND('Дивиденды по годам'!L519&lt;&gt;"",'Дивиденды по годам'!I519&lt;&gt;"",'Дивиденды по годам'!J519&lt;&gt;"",'Дивиденды по годам'!K519&lt;&gt;"",('Дивиденды по годам'!I519-'Дивиденды по годам'!J519-'Дивиденды по годам'!K519)&lt;&gt;0),'Дивиденды по годам'!L519/('Дивиденды по годам'!I519-'Дивиденды по годам'!J519-'Дивиденды по годам'!K519),""),"")</f>
        <v>0.27278253267244257</v>
      </c>
      <c r="T519">
        <f>IFERROR(IF(AND('Дивиденды по годам'!Q519&lt;&gt;"",'Дивиденды по годам'!I519&lt;&gt;"",'Дивиденды по годам'!V519&lt;&gt;"",('Дивиденды по годам'!I519+'Дивиденды по годам'!V519)&lt;&gt;0),'Дивиденды по годам'!Q519/(('Дивиденды по годам'!I519+'Дивиденды по годам'!V519)/2),""),"")</f>
        <v>0.18391279119389375</v>
      </c>
      <c r="U519">
        <f>IFERROR(IF(AND('Дивиденды по годам'!J519&lt;&gt;"",'Дивиденды по годам'!K519&lt;&gt;"",'Дивиденды по годам'!M519&lt;&gt;"",'Дивиденды по годам'!M519&lt;&gt;0),('Дивиденды по годам'!J519+'Дивиденды по годам'!K519)/'Дивиденды по годам'!M519,""),"")</f>
        <v>0.68964334822054452</v>
      </c>
      <c r="V519" cm="1">
        <f t="array" ref="V519">IFERROR(AVERAGE(_xlfn._xlws.FILTER(P$2:P$1073,($C$2:$C$1073=$C519)*($E$2:$E$1073=$E519)*(ROW(P$2:P$1073)&lt;&gt;ROW(P519))*(P$2:P$1073&lt;&gt;""))),"")</f>
        <v>25.475577811894219</v>
      </c>
      <c r="W519" cm="1">
        <f t="array" ref="W519">IFERROR(AVERAGE(_xlfn._xlws.FILTER(Q$2:Q$1073,($C$2:$C$1073=$C519)*($E$2:$E$1073=$E519)*(ROW(Q$2:Q$1073)&lt;&gt;ROW(Q519))*(Q$2:Q$1073&lt;&gt;""))),"")</f>
        <v>0.25407851454694824</v>
      </c>
      <c r="X519" cm="1">
        <f t="array" ref="X519">IFERROR(AVERAGE(_xlfn._xlws.FILTER(R$2:R$1073,($C$2:$C$1073=$C519)*($E$2:$E$1073=$E519)*(ROW(R$2:R$1073)&lt;&gt;ROW(R519))*(R$2:R$1073&lt;&gt;""))),"")</f>
        <v>0.11550344821642798</v>
      </c>
      <c r="Y519" cm="1">
        <f t="array" ref="Y519">IFERROR(AVERAGE(_xlfn._xlws.FILTER(S$2:S$1073,($C$2:$C$1073=$C519)*($E$2:$E$1073=$E519)*(ROW(S$2:S$1073)&lt;&gt;ROW(S519))*(S$2:S$1073&lt;&gt;""))),"")</f>
        <v>1.9008750229402078</v>
      </c>
      <c r="Z519" cm="1">
        <f t="array" ref="Z519">IFERROR(AVERAGE(_xlfn._xlws.FILTER(T$2:T$1073,($C$2:$C$1073=$C519)*($E$2:$E$1073=$E519)*(ROW(T$2:T$1073)&lt;&gt;ROW(T519))*(T$2:T$1073&lt;&gt;""))),"")</f>
        <v>5.2928285217865502E-2</v>
      </c>
      <c r="AA519" cm="1">
        <f t="array" ref="AA519">IFERROR(AVERAGE(_xlfn._xlws.FILTER(U$2:U$1073,($C$2:$C$1073=$C519)*($E$2:$E$1073=$E519)*(ROW(U$2:U$1073)&lt;&gt;ROW(U519))*(U$2:U$1073&lt;&gt;""))),"")</f>
        <v>-11.6639643280238</v>
      </c>
    </row>
    <row r="520" spans="1:27" x14ac:dyDescent="0.2">
      <c r="A520" s="7" t="s">
        <v>2244</v>
      </c>
      <c r="B520" t="str">
        <f t="shared" si="90"/>
        <v>AQUA IV кв. 2019</v>
      </c>
      <c r="C520">
        <v>2019</v>
      </c>
      <c r="D520">
        <f>SUMIFS(Дивиденды!$C:$C,Дивиденды!$A:$A,A520,Дивиденды!$I:$I,C520)</f>
        <v>0</v>
      </c>
      <c r="E520">
        <v>4</v>
      </c>
      <c r="F520">
        <f t="shared" si="91"/>
        <v>0</v>
      </c>
      <c r="G520">
        <f t="shared" si="92"/>
        <v>24.398571428571426</v>
      </c>
      <c r="H520">
        <f t="shared" si="93"/>
        <v>0</v>
      </c>
      <c r="I520">
        <f t="shared" si="89"/>
        <v>0.21428571428571427</v>
      </c>
      <c r="J520">
        <f t="shared" si="94"/>
        <v>0</v>
      </c>
      <c r="K520">
        <f t="shared" si="98"/>
        <v>0.10876410731109194</v>
      </c>
      <c r="L520">
        <f t="shared" si="95"/>
        <v>0</v>
      </c>
      <c r="M520">
        <f t="shared" si="88"/>
        <v>0.21428571428571427</v>
      </c>
      <c r="N520">
        <f t="shared" si="96"/>
        <v>0</v>
      </c>
      <c r="O520">
        <f t="shared" si="97"/>
        <v>0</v>
      </c>
      <c r="P520">
        <f>IFERROR(LN('Дивиденды по годам'!I520),"")</f>
        <v>23.364858521260572</v>
      </c>
      <c r="Q520">
        <f>IFERROR('Дивиденды по годам'!G520/'Дивиденды по годам'!I520, "")</f>
        <v>0.34083946894811312</v>
      </c>
      <c r="R520">
        <f>IFERROR(IF(AND('Дивиденды по годам'!N520&lt;&gt;"",'Дивиденды по годам'!U520&lt;&gt;"",'Дивиденды по годам'!U520&lt;&gt;0),'Дивиденды по годам'!N520/'Дивиденды по годам'!U520-1,""),"")</f>
        <v>1.739562432354</v>
      </c>
      <c r="S520">
        <f>IFERROR(IF(AND('Дивиденды по годам'!L520&lt;&gt;"",'Дивиденды по годам'!I520&lt;&gt;"",'Дивиденды по годам'!J520&lt;&gt;"",'Дивиденды по годам'!K520&lt;&gt;"",('Дивиденды по годам'!I520-'Дивиденды по годам'!J520-'Дивиденды по годам'!K520)&lt;&gt;0),'Дивиденды по годам'!L520/('Дивиденды по годам'!I520-'Дивиденды по годам'!J520-'Дивиденды по годам'!K520),""),"")</f>
        <v>5.8182870821093031E-2</v>
      </c>
      <c r="T520">
        <f>IFERROR(IF(AND('Дивиденды по годам'!Q520&lt;&gt;"",'Дивиденды по годам'!I520&lt;&gt;"",'Дивиденды по годам'!V520&lt;&gt;"",('Дивиденды по годам'!I520+'Дивиденды по годам'!V520)&lt;&gt;0),'Дивиденды по годам'!Q520/(('Дивиденды по годам'!I520+'Дивиденды по годам'!V520)/2),""),"")</f>
        <v>0.26076029323476352</v>
      </c>
      <c r="U520">
        <f>IFERROR(IF(AND('Дивиденды по годам'!J520&lt;&gt;"",'Дивиденды по годам'!K520&lt;&gt;"",'Дивиденды по годам'!M520&lt;&gt;"",'Дивиденды по годам'!M520&lt;&gt;0),('Дивиденды по годам'!J520+'Дивиденды по годам'!K520)/'Дивиденды по годам'!M520,""),"")</f>
        <v>0.54838002215416548</v>
      </c>
      <c r="V520" cm="1">
        <f t="array" ref="V520">IFERROR(AVERAGE(_xlfn._xlws.FILTER(P$2:P$1073,($C$2:$C$1073=$C520)*($E$2:$E$1073=$E520)*(ROW(P$2:P$1073)&lt;&gt;ROW(P520))*(P$2:P$1073&lt;&gt;""))),"")</f>
        <v>25.33494404273705</v>
      </c>
      <c r="W520" cm="1">
        <f t="array" ref="W520">IFERROR(AVERAGE(_xlfn._xlws.FILTER(Q$2:Q$1073,($C$2:$C$1073=$C520)*($E$2:$E$1073=$E520)*(ROW(Q$2:Q$1073)&lt;&gt;ROW(Q520))*(Q$2:Q$1073&lt;&gt;""))),"")</f>
        <v>0.26206139869908179</v>
      </c>
      <c r="X520" cm="1">
        <f t="array" ref="X520">IFERROR(AVERAGE(_xlfn._xlws.FILTER(R$2:R$1073,($C$2:$C$1073=$C520)*($E$2:$E$1073=$E520)*(ROW(R$2:R$1073)&lt;&gt;ROW(R520))*(R$2:R$1073&lt;&gt;""))),"")</f>
        <v>0.19138693031172915</v>
      </c>
      <c r="Y520" cm="1">
        <f t="array" ref="Y520">IFERROR(AVERAGE(_xlfn._xlws.FILTER(S$2:S$1073,($C$2:$C$1073=$C520)*($E$2:$E$1073=$E520)*(ROW(S$2:S$1073)&lt;&gt;ROW(S520))*(S$2:S$1073&lt;&gt;""))),"")</f>
        <v>1.0019326911723421</v>
      </c>
      <c r="Z520" cm="1">
        <f t="array" ref="Z520">IFERROR(AVERAGE(_xlfn._xlws.FILTER(T$2:T$1073,($C$2:$C$1073=$C520)*($E$2:$E$1073=$E520)*(ROW(T$2:T$1073)&lt;&gt;ROW(T520))*(T$2:T$1073&lt;&gt;""))),"")</f>
        <v>1.3099310123289215E-2</v>
      </c>
      <c r="AA520" cm="1">
        <f t="array" ref="AA520">IFERROR(AVERAGE(_xlfn._xlws.FILTER(U$2:U$1073,($C$2:$C$1073=$C520)*($E$2:$E$1073=$E520)*(ROW(U$2:U$1073)&lt;&gt;ROW(U520))*(U$2:U$1073&lt;&gt;""))),"")</f>
        <v>-3.0434088454807107</v>
      </c>
    </row>
    <row r="521" spans="1:27" x14ac:dyDescent="0.2">
      <c r="A521" s="7" t="s">
        <v>2244</v>
      </c>
      <c r="B521" t="str">
        <f t="shared" si="90"/>
        <v>AQUA IV кв. 2018</v>
      </c>
      <c r="C521">
        <v>2018</v>
      </c>
      <c r="D521">
        <f>SUMIFS(Дивиденды!$C:$C,Дивиденды!$A:$A,A521,Дивиденды!$I:$I,C521)</f>
        <v>0</v>
      </c>
      <c r="E521">
        <v>4</v>
      </c>
      <c r="F521">
        <f t="shared" si="91"/>
        <v>0</v>
      </c>
      <c r="G521">
        <f t="shared" si="92"/>
        <v>21.978571428571428</v>
      </c>
      <c r="H521">
        <f t="shared" si="93"/>
        <v>0</v>
      </c>
      <c r="I521">
        <f t="shared" si="89"/>
        <v>0.14285714285714285</v>
      </c>
      <c r="J521">
        <f t="shared" si="94"/>
        <v>0</v>
      </c>
      <c r="K521">
        <f t="shared" si="98"/>
        <v>-1.8223065562117002E-2</v>
      </c>
      <c r="L521">
        <f t="shared" si="95"/>
        <v>0</v>
      </c>
      <c r="M521">
        <f t="shared" si="88"/>
        <v>7.1428571428571425E-2</v>
      </c>
      <c r="N521">
        <f t="shared" si="96"/>
        <v>0</v>
      </c>
      <c r="O521">
        <f t="shared" si="97"/>
        <v>7.1428571428571425E-2</v>
      </c>
      <c r="P521">
        <f>IFERROR(LN('Дивиденды по годам'!I521),"")</f>
        <v>23.116857864049948</v>
      </c>
      <c r="Q521">
        <f>IFERROR('Дивиденды по годам'!G521/'Дивиденды по годам'!I521, "")</f>
        <v>0.27983159687698977</v>
      </c>
      <c r="R521">
        <f>IFERROR(IF(AND('Дивиденды по годам'!N521&lt;&gt;"",'Дивиденды по годам'!U521&lt;&gt;"",'Дивиденды по годам'!U521&lt;&gt;0),'Дивиденды по годам'!N521/'Дивиденды по годам'!U521-1,""),"")</f>
        <v>-0.36051048100122518</v>
      </c>
      <c r="S521">
        <f>IFERROR(IF(AND('Дивиденды по годам'!L521&lt;&gt;"",'Дивиденды по годам'!I521&lt;&gt;"",'Дивиденды по годам'!J521&lt;&gt;"",'Дивиденды по годам'!K521&lt;&gt;"",('Дивиденды по годам'!I521-'Дивиденды по годам'!J521-'Дивиденды по годам'!K521)&lt;&gt;0),'Дивиденды по годам'!L521/('Дивиденды по годам'!I521-'Дивиденды по годам'!J521-'Дивиденды по годам'!K521),""),"")</f>
        <v>-0.58883690990985293</v>
      </c>
      <c r="T521">
        <f>IFERROR(IF(AND('Дивиденды по годам'!Q521&lt;&gt;"",'Дивиденды по годам'!I521&lt;&gt;"",'Дивиденды по годам'!V521&lt;&gt;"",('Дивиденды по годам'!I521+'Дивиденды по годам'!V521)&lt;&gt;0),'Дивиденды по годам'!Q521/(('Дивиденды по годам'!I521+'Дивиденды по годам'!V521)/2),""),"")</f>
        <v>0.27769792692644041</v>
      </c>
      <c r="U521">
        <f>IFERROR(IF(AND('Дивиденды по годам'!J521&lt;&gt;"",'Дивиденды по годам'!K521&lt;&gt;"",'Дивиденды по годам'!M521&lt;&gt;"",'Дивиденды по годам'!M521&lt;&gt;0),('Дивиденды по годам'!J521+'Дивиденды по годам'!K521)/'Дивиденды по годам'!M521,""),"")</f>
        <v>0.82459310188120516</v>
      </c>
      <c r="V521" cm="1">
        <f t="array" ref="V521">IFERROR(AVERAGE(_xlfn._xlws.FILTER(P$2:P$1073,($C$2:$C$1073=$C521)*($E$2:$E$1073=$E521)*(ROW(P$2:P$1073)&lt;&gt;ROW(P521))*(P$2:P$1073&lt;&gt;""))),"")</f>
        <v>25.206839511237565</v>
      </c>
      <c r="W521" cm="1">
        <f t="array" ref="W521">IFERROR(AVERAGE(_xlfn._xlws.FILTER(Q$2:Q$1073,($C$2:$C$1073=$C521)*($E$2:$E$1073=$E521)*(ROW(Q$2:Q$1073)&lt;&gt;ROW(Q521))*(Q$2:Q$1073&lt;&gt;""))),"")</f>
        <v>0.32237745150832142</v>
      </c>
      <c r="X521" cm="1">
        <f t="array" ref="X521">IFERROR(AVERAGE(_xlfn._xlws.FILTER(R$2:R$1073,($C$2:$C$1073=$C521)*($E$2:$E$1073=$E521)*(ROW(R$2:R$1073)&lt;&gt;ROW(R521))*(R$2:R$1073&lt;&gt;""))),"")</f>
        <v>0.12616308335917148</v>
      </c>
      <c r="Y521" cm="1">
        <f t="array" ref="Y521">IFERROR(AVERAGE(_xlfn._xlws.FILTER(S$2:S$1073,($C$2:$C$1073=$C521)*($E$2:$E$1073=$E521)*(ROW(S$2:S$1073)&lt;&gt;ROW(S521))*(S$2:S$1073&lt;&gt;""))),"")</f>
        <v>0.84979540526838859</v>
      </c>
      <c r="Z521" cm="1">
        <f t="array" ref="Z521">IFERROR(AVERAGE(_xlfn._xlws.FILTER(T$2:T$1073,($C$2:$C$1073=$C521)*($E$2:$E$1073=$E521)*(ROW(T$2:T$1073)&lt;&gt;ROW(T521))*(T$2:T$1073&lt;&gt;""))),"")</f>
        <v>-3.7950791960633438E-2</v>
      </c>
      <c r="AA521" cm="1">
        <f t="array" ref="AA521">IFERROR(AVERAGE(_xlfn._xlws.FILTER(U$2:U$1073,($C$2:$C$1073=$C521)*($E$2:$E$1073=$E521)*(ROW(U$2:U$1073)&lt;&gt;ROW(U521))*(U$2:U$1073&lt;&gt;""))),"")</f>
        <v>1.1188127460780593</v>
      </c>
    </row>
    <row r="522" spans="1:27" x14ac:dyDescent="0.2">
      <c r="A522" s="7" t="s">
        <v>2244</v>
      </c>
      <c r="B522" t="str">
        <f t="shared" si="90"/>
        <v>AQUA IV кв. 2017</v>
      </c>
      <c r="C522">
        <v>2017</v>
      </c>
      <c r="D522">
        <f>SUMIFS(Дивиденды!$C:$C,Дивиденды!$A:$A,A522,Дивиденды!$I:$I,C522)</f>
        <v>0</v>
      </c>
      <c r="E522">
        <v>4</v>
      </c>
      <c r="F522">
        <f t="shared" si="91"/>
        <v>0</v>
      </c>
      <c r="G522">
        <f t="shared" si="92"/>
        <v>18.403571428571428</v>
      </c>
      <c r="H522">
        <f t="shared" si="93"/>
        <v>0</v>
      </c>
      <c r="I522">
        <f t="shared" si="89"/>
        <v>0.14285714285714285</v>
      </c>
      <c r="J522">
        <f t="shared" si="94"/>
        <v>0</v>
      </c>
      <c r="K522">
        <f t="shared" si="98"/>
        <v>-1.7352821773673279E-2</v>
      </c>
      <c r="L522">
        <f t="shared" si="95"/>
        <v>0</v>
      </c>
      <c r="M522">
        <f t="shared" si="88"/>
        <v>0</v>
      </c>
      <c r="N522">
        <f t="shared" si="96"/>
        <v>0</v>
      </c>
      <c r="O522">
        <f t="shared" si="97"/>
        <v>0.14285714285714285</v>
      </c>
      <c r="P522">
        <f>IFERROR(LN('Дивиденды по годам'!I522),"")</f>
        <v>22.436477106167796</v>
      </c>
      <c r="Q522">
        <f>IFERROR('Дивиденды по годам'!G522/'Дивиденды по годам'!I522, "")</f>
        <v>0.3640544138949961</v>
      </c>
      <c r="R522">
        <f>IFERROR(IF(AND('Дивиденды по годам'!N522&lt;&gt;"",'Дивиденды по годам'!U522&lt;&gt;"",'Дивиденды по годам'!U522&lt;&gt;0),'Дивиденды по годам'!N522/'Дивиденды по годам'!U522-1,""),"")</f>
        <v>1.028693272707883</v>
      </c>
      <c r="S522">
        <f>IFERROR(IF(AND('Дивиденды по годам'!L522&lt;&gt;"",'Дивиденды по годам'!I522&lt;&gt;"",'Дивиденды по годам'!J522&lt;&gt;"",'Дивиденды по годам'!K522&lt;&gt;"",('Дивиденды по годам'!I522-'Дивиденды по годам'!J522-'Дивиденды по годам'!K522)&lt;&gt;0),'Дивиденды по годам'!L522/('Дивиденды по годам'!I522-'Дивиденды по годам'!J522-'Дивиденды по годам'!K522),""),"")</f>
        <v>-1.669059674749733</v>
      </c>
      <c r="T522">
        <f>IFERROR(IF(AND('Дивиденды по годам'!Q522&lt;&gt;"",'Дивиденды по годам'!I522&lt;&gt;"",'Дивиденды по годам'!V522&lt;&gt;"",('Дивиденды по годам'!I522+'Дивиденды по годам'!V522)&lt;&gt;0),'Дивиденды по годам'!Q522/(('Дивиденды по годам'!I522+'Дивиденды по годам'!V522)/2),""),"")</f>
        <v>6.5482425828602822E-2</v>
      </c>
      <c r="U522">
        <f>IFERROR(IF(AND('Дивиденды по годам'!J522&lt;&gt;"",'Дивиденды по годам'!K522&lt;&gt;"",'Дивиденды по годам'!M522&lt;&gt;"",'Дивиденды по годам'!M522&lt;&gt;0),('Дивиденды по годам'!J522+'Дивиденды по годам'!K522)/'Дивиденды по годам'!M522,""),"")</f>
        <v>0.57853868465568237</v>
      </c>
      <c r="V522" cm="1">
        <f t="array" ref="V522">IFERROR(AVERAGE(_xlfn._xlws.FILTER(P$2:P$1073,($C$2:$C$1073=$C522)*($E$2:$E$1073=$E522)*(ROW(P$2:P$1073)&lt;&gt;ROW(P522))*(P$2:P$1073&lt;&gt;""))),"")</f>
        <v>25.118916141991885</v>
      </c>
      <c r="W522" cm="1">
        <f t="array" ref="W522">IFERROR(AVERAGE(_xlfn._xlws.FILTER(Q$2:Q$1073,($C$2:$C$1073=$C522)*($E$2:$E$1073=$E522)*(ROW(Q$2:Q$1073)&lt;&gt;ROW(Q522))*(Q$2:Q$1073&lt;&gt;""))),"")</f>
        <v>0.33577172578918196</v>
      </c>
      <c r="X522" cm="1">
        <f t="array" ref="X522">IFERROR(AVERAGE(_xlfn._xlws.FILTER(R$2:R$1073,($C$2:$C$1073=$C522)*($E$2:$E$1073=$E522)*(ROW(R$2:R$1073)&lt;&gt;ROW(R522))*(R$2:R$1073&lt;&gt;""))),"")</f>
        <v>3.8973163343348771E-2</v>
      </c>
      <c r="Y522" cm="1">
        <f t="array" ref="Y522">IFERROR(AVERAGE(_xlfn._xlws.FILTER(S$2:S$1073,($C$2:$C$1073=$C522)*($E$2:$E$1073=$E522)*(ROW(S$2:S$1073)&lt;&gt;ROW(S522))*(S$2:S$1073&lt;&gt;""))),"")</f>
        <v>0.99888062220188589</v>
      </c>
      <c r="Z522" cm="1">
        <f t="array" ref="Z522">IFERROR(AVERAGE(_xlfn._xlws.FILTER(T$2:T$1073,($C$2:$C$1073=$C522)*($E$2:$E$1073=$E522)*(ROW(T$2:T$1073)&lt;&gt;ROW(T522))*(T$2:T$1073&lt;&gt;""))),"")</f>
        <v>-5.0176084147361785E-2</v>
      </c>
      <c r="AA522" cm="1">
        <f t="array" ref="AA522">IFERROR(AVERAGE(_xlfn._xlws.FILTER(U$2:U$1073,($C$2:$C$1073=$C522)*($E$2:$E$1073=$E522)*(ROW(U$2:U$1073)&lt;&gt;ROW(U522))*(U$2:U$1073&lt;&gt;""))),"")</f>
        <v>0.6341517554746704</v>
      </c>
    </row>
    <row r="523" spans="1:27" x14ac:dyDescent="0.2">
      <c r="A523" s="7" t="s">
        <v>2244</v>
      </c>
      <c r="B523" t="str">
        <f t="shared" si="90"/>
        <v>AQUA IV кв. 2016</v>
      </c>
      <c r="C523">
        <v>2016</v>
      </c>
      <c r="D523">
        <f>SUMIFS(Дивиденды!$C:$C,Дивиденды!$A:$A,A523,Дивиденды!$I:$I,C523)</f>
        <v>0</v>
      </c>
      <c r="E523">
        <v>4</v>
      </c>
      <c r="F523">
        <f t="shared" si="91"/>
        <v>0</v>
      </c>
      <c r="G523">
        <f t="shared" si="92"/>
        <v>20.421428571428571</v>
      </c>
      <c r="H523">
        <f t="shared" si="93"/>
        <v>0</v>
      </c>
      <c r="I523">
        <f t="shared" si="89"/>
        <v>0.14285714285714285</v>
      </c>
      <c r="J523">
        <f t="shared" si="94"/>
        <v>0</v>
      </c>
      <c r="K523">
        <f t="shared" si="98"/>
        <v>2.0593461763560781E-2</v>
      </c>
      <c r="L523">
        <f t="shared" si="95"/>
        <v>0</v>
      </c>
      <c r="M523">
        <f t="shared" si="88"/>
        <v>7.1428571428571425E-2</v>
      </c>
      <c r="N523">
        <f t="shared" si="96"/>
        <v>0</v>
      </c>
      <c r="O523">
        <f t="shared" si="97"/>
        <v>7.1428571428571425E-2</v>
      </c>
      <c r="P523">
        <f>IFERROR(LN('Дивиденды по годам'!I523),"")</f>
        <v>22.505807788414849</v>
      </c>
      <c r="Q523">
        <f>IFERROR('Дивиденды по годам'!G523/'Дивиденды по годам'!I523, "")</f>
        <v>0.28977674997716552</v>
      </c>
      <c r="R523" t="str">
        <f>IFERROR(IF(AND('Дивиденды по годам'!N523&lt;&gt;"",'Дивиденды по годам'!U523&lt;&gt;"",'Дивиденды по годам'!U523&lt;&gt;0),'Дивиденды по годам'!N523/'Дивиденды по годам'!U523-1,""),"")</f>
        <v/>
      </c>
      <c r="S523">
        <f>IFERROR(IF(AND('Дивиденды по годам'!L523&lt;&gt;"",'Дивиденды по годам'!I523&lt;&gt;"",'Дивиденды по годам'!J523&lt;&gt;"",'Дивиденды по годам'!K523&lt;&gt;"",('Дивиденды по годам'!I523-'Дивиденды по годам'!J523-'Дивиденды по годам'!K523)&lt;&gt;0),'Дивиденды по годам'!L523/('Дивиденды по годам'!I523-'Дивиденды по годам'!J523-'Дивиденды по годам'!K523),""),"")</f>
        <v>-2.6370074102367576</v>
      </c>
      <c r="T523" t="str">
        <f>IFERROR(IF(AND('Дивиденды по годам'!Q523&lt;&gt;"",'Дивиденды по годам'!I523&lt;&gt;"",'Дивиденды по годам'!V523&lt;&gt;"",('Дивиденды по годам'!I523+'Дивиденды по годам'!V523)&lt;&gt;0),'Дивиденды по годам'!Q523/(('Дивиденды по годам'!I523+'Дивиденды по годам'!V523)/2),""),"")</f>
        <v/>
      </c>
      <c r="U523">
        <f>IFERROR(IF(AND('Дивиденды по годам'!J523&lt;&gt;"",'Дивиденды по годам'!K523&lt;&gt;"",'Дивиденды по годам'!M523&lt;&gt;"",'Дивиденды по годам'!M523&lt;&gt;0),('Дивиденды по годам'!J523+'Дивиденды по годам'!K523)/'Дивиденды по годам'!M523,""),"")</f>
        <v>1.511887307613978</v>
      </c>
      <c r="V523" cm="1">
        <f t="array" ref="V523">IFERROR(AVERAGE(_xlfn._xlws.FILTER(P$2:P$1073,($C$2:$C$1073=$C523)*($E$2:$E$1073=$E523)*(ROW(P$2:P$1073)&lt;&gt;ROW(P523))*(P$2:P$1073&lt;&gt;""))),"")</f>
        <v>25.067685035841087</v>
      </c>
      <c r="W523" cm="1">
        <f t="array" ref="W523">IFERROR(AVERAGE(_xlfn._xlws.FILTER(Q$2:Q$1073,($C$2:$C$1073=$C523)*($E$2:$E$1073=$E523)*(ROW(Q$2:Q$1073)&lt;&gt;ROW(Q523))*(Q$2:Q$1073&lt;&gt;""))),"")</f>
        <v>0.27603839875306019</v>
      </c>
      <c r="X523" cm="1">
        <f t="array" ref="X523">IFERROR(AVERAGE(_xlfn._xlws.FILTER(R$2:R$1073,($C$2:$C$1073=$C523)*($E$2:$E$1073=$E523)*(ROW(R$2:R$1073)&lt;&gt;ROW(R523))*(R$2:R$1073&lt;&gt;""))),"")</f>
        <v>0.16612325919082049</v>
      </c>
      <c r="Y523" cm="1">
        <f t="array" ref="Y523">IFERROR(AVERAGE(_xlfn._xlws.FILTER(S$2:S$1073,($C$2:$C$1073=$C523)*($E$2:$E$1073=$E523)*(ROW(S$2:S$1073)&lt;&gt;ROW(S523))*(S$2:S$1073&lt;&gt;""))),"")</f>
        <v>8.4315870675109306</v>
      </c>
      <c r="Z523" cm="1">
        <f t="array" ref="Z523">IFERROR(AVERAGE(_xlfn._xlws.FILTER(T$2:T$1073,($C$2:$C$1073=$C523)*($E$2:$E$1073=$E523)*(ROW(T$2:T$1073)&lt;&gt;ROW(T523))*(T$2:T$1073&lt;&gt;""))),"")</f>
        <v>-2.007011623977166E-2</v>
      </c>
      <c r="AA523" cm="1">
        <f t="array" ref="AA523">IFERROR(AVERAGE(_xlfn._xlws.FILTER(U$2:U$1073,($C$2:$C$1073=$C523)*($E$2:$E$1073=$E523)*(ROW(U$2:U$1073)&lt;&gt;ROW(U523))*(U$2:U$1073&lt;&gt;""))),"")</f>
        <v>-20.433606453320852</v>
      </c>
    </row>
    <row r="524" spans="1:27" x14ac:dyDescent="0.2">
      <c r="A524" s="7" t="s">
        <v>2244</v>
      </c>
      <c r="B524" t="str">
        <f t="shared" si="90"/>
        <v>AQUA IV кв. 2015</v>
      </c>
      <c r="C524">
        <v>2015</v>
      </c>
      <c r="D524">
        <f>SUMIFS(Дивиденды!$C:$C,Дивиденды!$A:$A,A524,Дивиденды!$I:$I,C524)</f>
        <v>0</v>
      </c>
      <c r="E524">
        <v>4</v>
      </c>
      <c r="F524">
        <f t="shared" si="91"/>
        <v>0</v>
      </c>
      <c r="G524">
        <f t="shared" si="92"/>
        <v>22.574999999999999</v>
      </c>
      <c r="H524">
        <f t="shared" si="93"/>
        <v>0</v>
      </c>
      <c r="I524">
        <f t="shared" si="89"/>
        <v>0.14285714285714285</v>
      </c>
      <c r="J524">
        <f t="shared" si="94"/>
        <v>0</v>
      </c>
      <c r="K524">
        <f t="shared" si="98"/>
        <v>6.1102189263868886E-2</v>
      </c>
      <c r="L524">
        <f t="shared" si="95"/>
        <v>0</v>
      </c>
      <c r="M524">
        <f t="shared" si="88"/>
        <v>7.1428571428571425E-2</v>
      </c>
      <c r="N524">
        <f t="shared" si="96"/>
        <v>0</v>
      </c>
      <c r="O524">
        <f t="shared" si="97"/>
        <v>7.1428571428571425E-2</v>
      </c>
      <c r="P524" t="str">
        <f>IFERROR(LN('Дивиденды по годам'!I524),"")</f>
        <v/>
      </c>
      <c r="Q524" t="str">
        <f>IFERROR('Дивиденды по годам'!G524/'Дивиденды по годам'!I524, "")</f>
        <v/>
      </c>
      <c r="R524" t="str">
        <f>IFERROR(IF(AND('Дивиденды по годам'!N524&lt;&gt;"",'Дивиденды по годам'!U524&lt;&gt;"",'Дивиденды по годам'!U524&lt;&gt;0),'Дивиденды по годам'!N524/'Дивиденды по годам'!U524-1,""),"")</f>
        <v/>
      </c>
      <c r="S524" t="str">
        <f>IFERROR(IF(AND('Дивиденды по годам'!L524&lt;&gt;"",'Дивиденды по годам'!I524&lt;&gt;"",'Дивиденды по годам'!J524&lt;&gt;"",'Дивиденды по годам'!K524&lt;&gt;"",('Дивиденды по годам'!I524-'Дивиденды по годам'!J524-'Дивиденды по годам'!K524)&lt;&gt;0),'Дивиденды по годам'!L524/('Дивиденды по годам'!I524-'Дивиденды по годам'!J524-'Дивиденды по годам'!K524),""),"")</f>
        <v/>
      </c>
      <c r="T524" t="str">
        <f>IFERROR(IF(AND('Дивиденды по годам'!Q524&lt;&gt;"",'Дивиденды по годам'!I524&lt;&gt;"",'Дивиденды по годам'!V524&lt;&gt;"",('Дивиденды по годам'!I524+'Дивиденды по годам'!V524)&lt;&gt;0),'Дивиденды по годам'!Q524/(('Дивиденды по годам'!I524+'Дивиденды по годам'!V524)/2),""),"")</f>
        <v/>
      </c>
      <c r="U524" t="str">
        <f>IFERROR(IF(AND('Дивиденды по годам'!J524&lt;&gt;"",'Дивиденды по годам'!K524&lt;&gt;"",'Дивиденды по годам'!M524&lt;&gt;"",'Дивиденды по годам'!M524&lt;&gt;0),('Дивиденды по годам'!J524+'Дивиденды по годам'!K524)/'Дивиденды по годам'!M524,""),"")</f>
        <v/>
      </c>
      <c r="V524" cm="1">
        <f t="array" ref="V524">IFERROR(AVERAGE(_xlfn._xlws.FILTER(P$2:P$1073,($C$2:$C$1073=$C524)*($E$2:$E$1073=$E524)*(ROW(P$2:P$1073)&lt;&gt;ROW(P524))*(P$2:P$1073&lt;&gt;""))),"")</f>
        <v>24.784857390248948</v>
      </c>
      <c r="W524" cm="1">
        <f t="array" ref="W524">IFERROR(AVERAGE(_xlfn._xlws.FILTER(Q$2:Q$1073,($C$2:$C$1073=$C524)*($E$2:$E$1073=$E524)*(ROW(Q$2:Q$1073)&lt;&gt;ROW(Q524))*(Q$2:Q$1073&lt;&gt;""))),"")</f>
        <v>0.29707306985497267</v>
      </c>
      <c r="X524" cm="1">
        <f t="array" ref="X524">IFERROR(AVERAGE(_xlfn._xlws.FILTER(R$2:R$1073,($C$2:$C$1073=$C524)*($E$2:$E$1073=$E524)*(ROW(R$2:R$1073)&lt;&gt;ROW(R524))*(R$2:R$1073&lt;&gt;""))),"")</f>
        <v>0.20074687596566593</v>
      </c>
      <c r="Y524" cm="1">
        <f t="array" ref="Y524">IFERROR(AVERAGE(_xlfn._xlws.FILTER(S$2:S$1073,($C$2:$C$1073=$C524)*($E$2:$E$1073=$E524)*(ROW(S$2:S$1073)&lt;&gt;ROW(S524))*(S$2:S$1073&lt;&gt;""))),"")</f>
        <v>-0.60736862679830428</v>
      </c>
      <c r="Z524" cm="1">
        <f t="array" ref="Z524">IFERROR(AVERAGE(_xlfn._xlws.FILTER(T$2:T$1073,($C$2:$C$1073=$C524)*($E$2:$E$1073=$E524)*(ROW(T$2:T$1073)&lt;&gt;ROW(T524))*(T$2:T$1073&lt;&gt;""))),"")</f>
        <v>6.4031956193225284E-2</v>
      </c>
      <c r="AA524" cm="1">
        <f t="array" ref="AA524">IFERROR(AVERAGE(_xlfn._xlws.FILTER(U$2:U$1073,($C$2:$C$1073=$C524)*($E$2:$E$1073=$E524)*(ROW(U$2:U$1073)&lt;&gt;ROW(U524))*(U$2:U$1073&lt;&gt;""))),"")</f>
        <v>5.5189604575277329</v>
      </c>
    </row>
    <row r="525" spans="1:27" x14ac:dyDescent="0.2">
      <c r="A525" s="7" t="s">
        <v>2244</v>
      </c>
      <c r="B525" t="str">
        <f t="shared" si="90"/>
        <v>AQUA IV кв. 2014</v>
      </c>
      <c r="C525">
        <v>2014</v>
      </c>
      <c r="D525">
        <f>SUMIFS(Дивиденды!$C:$C,Дивиденды!$A:$A,A525,Дивиденды!$I:$I,C525)</f>
        <v>0</v>
      </c>
      <c r="E525">
        <v>4</v>
      </c>
      <c r="F525">
        <f t="shared" si="91"/>
        <v>0</v>
      </c>
      <c r="G525">
        <f t="shared" si="92"/>
        <v>25.924285714285713</v>
      </c>
      <c r="H525">
        <f t="shared" si="93"/>
        <v>0</v>
      </c>
      <c r="I525">
        <f t="shared" si="89"/>
        <v>7.1428571428571425E-2</v>
      </c>
      <c r="J525">
        <f t="shared" si="94"/>
        <v>0</v>
      </c>
      <c r="K525">
        <f t="shared" si="98"/>
        <v>4.887635107293415E-2</v>
      </c>
      <c r="L525">
        <f t="shared" si="95"/>
        <v>0</v>
      </c>
      <c r="M525">
        <f t="shared" si="88"/>
        <v>7.1428571428571425E-2</v>
      </c>
      <c r="N525">
        <f t="shared" si="96"/>
        <v>0</v>
      </c>
      <c r="O525">
        <f t="shared" si="97"/>
        <v>7.1428571428571425E-2</v>
      </c>
      <c r="P525" t="str">
        <f>IFERROR(LN('Дивиденды по годам'!I525),"")</f>
        <v/>
      </c>
      <c r="Q525" t="str">
        <f>IFERROR('Дивиденды по годам'!G525/'Дивиденды по годам'!I525, "")</f>
        <v/>
      </c>
      <c r="R525" t="str">
        <f>IFERROR(IF(AND('Дивиденды по годам'!N525&lt;&gt;"",'Дивиденды по годам'!U525&lt;&gt;"",'Дивиденды по годам'!U525&lt;&gt;0),'Дивиденды по годам'!N525/'Дивиденды по годам'!U525-1,""),"")</f>
        <v/>
      </c>
      <c r="S525" t="str">
        <f>IFERROR(IF(AND('Дивиденды по годам'!L525&lt;&gt;"",'Дивиденды по годам'!I525&lt;&gt;"",'Дивиденды по годам'!J525&lt;&gt;"",'Дивиденды по годам'!K525&lt;&gt;"",('Дивиденды по годам'!I525-'Дивиденды по годам'!J525-'Дивиденды по годам'!K525)&lt;&gt;0),'Дивиденды по годам'!L525/('Дивиденды по годам'!I525-'Дивиденды по годам'!J525-'Дивиденды по годам'!K525),""),"")</f>
        <v/>
      </c>
      <c r="T525" t="str">
        <f>IFERROR(IF(AND('Дивиденды по годам'!Q525&lt;&gt;"",'Дивиденды по годам'!I525&lt;&gt;"",'Дивиденды по годам'!V525&lt;&gt;"",('Дивиденды по годам'!I525+'Дивиденды по годам'!V525)&lt;&gt;0),'Дивиденды по годам'!Q525/(('Дивиденды по годам'!I525+'Дивиденды по годам'!V525)/2),""),"")</f>
        <v/>
      </c>
      <c r="U525" t="str">
        <f>IFERROR(IF(AND('Дивиденды по годам'!J525&lt;&gt;"",'Дивиденды по годам'!K525&lt;&gt;"",'Дивиденды по годам'!M525&lt;&gt;"",'Дивиденды по годам'!M525&lt;&gt;0),('Дивиденды по годам'!J525+'Дивиденды по годам'!K525)/'Дивиденды по годам'!M525,""),"")</f>
        <v/>
      </c>
      <c r="V525" cm="1">
        <f t="array" ref="V525">IFERROR(AVERAGE(_xlfn._xlws.FILTER(P$2:P$1073,($C$2:$C$1073=$C525)*($E$2:$E$1073=$E525)*(ROW(P$2:P$1073)&lt;&gt;ROW(P525))*(P$2:P$1073&lt;&gt;""))),"")</f>
        <v>24.777851287837404</v>
      </c>
      <c r="W525" cm="1">
        <f t="array" ref="W525">IFERROR(AVERAGE(_xlfn._xlws.FILTER(Q$2:Q$1073,($C$2:$C$1073=$C525)*($E$2:$E$1073=$E525)*(ROW(Q$2:Q$1073)&lt;&gt;ROW(Q525))*(Q$2:Q$1073&lt;&gt;""))),"")</f>
        <v>0.28994951624266957</v>
      </c>
      <c r="X525" cm="1">
        <f t="array" ref="X525">IFERROR(AVERAGE(_xlfn._xlws.FILTER(R$2:R$1073,($C$2:$C$1073=$C525)*($E$2:$E$1073=$E525)*(ROW(R$2:R$1073)&lt;&gt;ROW(R525))*(R$2:R$1073&lt;&gt;""))),"")</f>
        <v>8.5517195784799244E-2</v>
      </c>
      <c r="Y525" cm="1">
        <f t="array" ref="Y525">IFERROR(AVERAGE(_xlfn._xlws.FILTER(S$2:S$1073,($C$2:$C$1073=$C525)*($E$2:$E$1073=$E525)*(ROW(S$2:S$1073)&lt;&gt;ROW(S525))*(S$2:S$1073&lt;&gt;""))),"")</f>
        <v>-8.9932559622525012</v>
      </c>
      <c r="Z525" cm="1">
        <f t="array" ref="Z525">IFERROR(AVERAGE(_xlfn._xlws.FILTER(T$2:T$1073,($C$2:$C$1073=$C525)*($E$2:$E$1073=$E525)*(ROW(T$2:T$1073)&lt;&gt;ROW(T525))*(T$2:T$1073&lt;&gt;""))),"")</f>
        <v>3.4958573241250623E-2</v>
      </c>
      <c r="AA525" cm="1">
        <f t="array" ref="AA525">IFERROR(AVERAGE(_xlfn._xlws.FILTER(U$2:U$1073,($C$2:$C$1073=$C525)*($E$2:$E$1073=$E525)*(ROW(U$2:U$1073)&lt;&gt;ROW(U525))*(U$2:U$1073&lt;&gt;""))),"")</f>
        <v>34.444280572958768</v>
      </c>
    </row>
    <row r="526" spans="1:27" x14ac:dyDescent="0.2">
      <c r="A526" s="7" t="s">
        <v>2244</v>
      </c>
      <c r="B526" t="str">
        <f t="shared" si="90"/>
        <v>AQUA IV кв. 2013</v>
      </c>
      <c r="C526">
        <v>2013</v>
      </c>
      <c r="D526">
        <f>SUMIFS(Дивиденды!$C:$C,Дивиденды!$A:$A,A526,Дивиденды!$I:$I,C526)</f>
        <v>0</v>
      </c>
      <c r="E526">
        <v>4</v>
      </c>
      <c r="F526">
        <f t="shared" si="91"/>
        <v>0</v>
      </c>
      <c r="G526">
        <f t="shared" si="92"/>
        <v>13.409285714285716</v>
      </c>
      <c r="H526">
        <f t="shared" si="93"/>
        <v>0</v>
      </c>
      <c r="I526">
        <f t="shared" si="89"/>
        <v>0.14285714285714285</v>
      </c>
      <c r="J526">
        <f t="shared" si="94"/>
        <v>0</v>
      </c>
      <c r="K526">
        <f t="shared" si="98"/>
        <v>4.7291245939064024E-2</v>
      </c>
      <c r="L526">
        <f t="shared" si="95"/>
        <v>0</v>
      </c>
      <c r="M526">
        <f t="shared" si="88"/>
        <v>7.1428571428571425E-2</v>
      </c>
      <c r="N526">
        <f t="shared" si="96"/>
        <v>0</v>
      </c>
      <c r="O526">
        <f t="shared" si="97"/>
        <v>0</v>
      </c>
      <c r="P526" t="str">
        <f>IFERROR(LN('Дивиденды по годам'!I526),"")</f>
        <v/>
      </c>
      <c r="Q526" t="str">
        <f>IFERROR('Дивиденды по годам'!G526/'Дивиденды по годам'!I526, "")</f>
        <v/>
      </c>
      <c r="R526" t="str">
        <f>IFERROR(IF(AND('Дивиденды по годам'!N526&lt;&gt;"",'Дивиденды по годам'!U526&lt;&gt;"",'Дивиденды по годам'!U526&lt;&gt;0),'Дивиденды по годам'!N526/'Дивиденды по годам'!U526-1,""),"")</f>
        <v/>
      </c>
      <c r="S526" t="str">
        <f>IFERROR(IF(AND('Дивиденды по годам'!L526&lt;&gt;"",'Дивиденды по годам'!I526&lt;&gt;"",'Дивиденды по годам'!J526&lt;&gt;"",'Дивиденды по годам'!K526&lt;&gt;"",('Дивиденды по годам'!I526-'Дивиденды по годам'!J526-'Дивиденды по годам'!K526)&lt;&gt;0),'Дивиденды по годам'!L526/('Дивиденды по годам'!I526-'Дивиденды по годам'!J526-'Дивиденды по годам'!K526),""),"")</f>
        <v/>
      </c>
      <c r="T526" t="str">
        <f>IFERROR(IF(AND('Дивиденды по годам'!Q526&lt;&gt;"",'Дивиденды по годам'!I526&lt;&gt;"",'Дивиденды по годам'!V526&lt;&gt;"",('Дивиденды по годам'!I526+'Дивиденды по годам'!V526)&lt;&gt;0),'Дивиденды по годам'!Q526/(('Дивиденды по годам'!I526+'Дивиденды по годам'!V526)/2),""),"")</f>
        <v/>
      </c>
      <c r="U526" t="str">
        <f>IFERROR(IF(AND('Дивиденды по годам'!J526&lt;&gt;"",'Дивиденды по годам'!K526&lt;&gt;"",'Дивиденды по годам'!M526&lt;&gt;"",'Дивиденды по годам'!M526&lt;&gt;0),('Дивиденды по годам'!J526+'Дивиденды по годам'!K526)/'Дивиденды по годам'!M526,""),"")</f>
        <v/>
      </c>
      <c r="V526" cm="1">
        <f t="array" ref="V526">IFERROR(AVERAGE(_xlfn._xlws.FILTER(P$2:P$1073,($C$2:$C$1073=$C526)*($E$2:$E$1073=$E526)*(ROW(P$2:P$1073)&lt;&gt;ROW(P526))*(P$2:P$1073&lt;&gt;""))),"")</f>
        <v>24.281308125321722</v>
      </c>
      <c r="W526" cm="1">
        <f t="array" ref="W526">IFERROR(AVERAGE(_xlfn._xlws.FILTER(Q$2:Q$1073,($C$2:$C$1073=$C526)*($E$2:$E$1073=$E526)*(ROW(Q$2:Q$1073)&lt;&gt;ROW(Q526))*(Q$2:Q$1073&lt;&gt;""))),"")</f>
        <v>0.34809372453666254</v>
      </c>
      <c r="X526" cm="1">
        <f t="array" ref="X526">IFERROR(AVERAGE(_xlfn._xlws.FILTER(R$2:R$1073,($C$2:$C$1073=$C526)*($E$2:$E$1073=$E526)*(ROW(R$2:R$1073)&lt;&gt;ROW(R526))*(R$2:R$1073&lt;&gt;""))),"")</f>
        <v>0.17531341667142472</v>
      </c>
      <c r="Y526" t="str" cm="1">
        <f t="array" ref="Y526">IFERROR(AVERAGE(_xlfn._xlws.FILTER(S$2:S$1073,($C$2:$C$1073=$C526)*($E$2:$E$1073=$E526)*(ROW(S$2:S$1073)&lt;&gt;ROW(S526))*(S$2:S$1073&lt;&gt;""))),"")</f>
        <v/>
      </c>
      <c r="Z526" cm="1">
        <f t="array" ref="Z526">IFERROR(AVERAGE(_xlfn._xlws.FILTER(T$2:T$1073,($C$2:$C$1073=$C526)*($E$2:$E$1073=$E526)*(ROW(T$2:T$1073)&lt;&gt;ROW(T526))*(T$2:T$1073&lt;&gt;""))),"")</f>
        <v>-0.12490141563278262</v>
      </c>
      <c r="AA526" cm="1">
        <f t="array" ref="AA526">IFERROR(AVERAGE(_xlfn._xlws.FILTER(U$2:U$1073,($C$2:$C$1073=$C526)*($E$2:$E$1073=$E526)*(ROW(U$2:U$1073)&lt;&gt;ROW(U526))*(U$2:U$1073&lt;&gt;""))),"")</f>
        <v>0.44566877182826042</v>
      </c>
    </row>
    <row r="527" spans="1:27" x14ac:dyDescent="0.2">
      <c r="A527" s="7" t="s">
        <v>2244</v>
      </c>
      <c r="B527" t="str">
        <f t="shared" si="90"/>
        <v>AQUA IV кв. 2012</v>
      </c>
      <c r="C527">
        <v>2012</v>
      </c>
      <c r="D527">
        <f>SUMIFS(Дивиденды!$C:$C,Дивиденды!$A:$A,A527,Дивиденды!$I:$I,C527)</f>
        <v>0</v>
      </c>
      <c r="E527">
        <v>4</v>
      </c>
      <c r="F527">
        <f t="shared" si="91"/>
        <v>0</v>
      </c>
      <c r="G527">
        <f t="shared" si="92"/>
        <v>9.5621428571428577</v>
      </c>
      <c r="H527">
        <f t="shared" si="93"/>
        <v>0</v>
      </c>
      <c r="I527">
        <f t="shared" si="89"/>
        <v>0.14285714285714285</v>
      </c>
      <c r="J527">
        <f t="shared" si="94"/>
        <v>0</v>
      </c>
      <c r="K527">
        <f t="shared" si="98"/>
        <v>0.25341100242975517</v>
      </c>
      <c r="L527">
        <f t="shared" si="95"/>
        <v>0</v>
      </c>
      <c r="M527">
        <f t="shared" si="88"/>
        <v>0.14285714285714285</v>
      </c>
      <c r="N527">
        <f t="shared" si="96"/>
        <v>0</v>
      </c>
      <c r="O527">
        <f t="shared" si="97"/>
        <v>0</v>
      </c>
      <c r="P527">
        <f>IFERROR(LN('Дивиденды по годам'!I527),"")</f>
        <v>22.469860910953415</v>
      </c>
      <c r="Q527">
        <f>IFERROR('Дивиденды по годам'!G527/'Дивиденды по годам'!I527, "")</f>
        <v>7.748992945474506E-2</v>
      </c>
      <c r="R527">
        <f>IFERROR(IF(AND('Дивиденды по годам'!N527&lt;&gt;"",'Дивиденды по годам'!U527&lt;&gt;"",'Дивиденды по годам'!U527&lt;&gt;0),'Дивиденды по годам'!N527/'Дивиденды по годам'!U527-1,""),"")</f>
        <v>-0.13737488553211008</v>
      </c>
      <c r="S527" t="str">
        <f>IFERROR(IF(AND('Дивиденды по годам'!L527&lt;&gt;"",'Дивиденды по годам'!I527&lt;&gt;"",'Дивиденды по годам'!J527&lt;&gt;"",'Дивиденды по годам'!K527&lt;&gt;"",('Дивиденды по годам'!I527-'Дивиденды по годам'!J527-'Дивиденды по годам'!K527)&lt;&gt;0),'Дивиденды по годам'!L527/('Дивиденды по годам'!I527-'Дивиденды по годам'!J527-'Дивиденды по годам'!K527),""),"")</f>
        <v/>
      </c>
      <c r="T527">
        <f>IFERROR(IF(AND('Дивиденды по годам'!Q527&lt;&gt;"",'Дивиденды по годам'!I527&lt;&gt;"",'Дивиденды по годам'!V527&lt;&gt;"",('Дивиденды по годам'!I527+'Дивиденды по годам'!V527)&lt;&gt;0),'Дивиденды по годам'!Q527/(('Дивиденды по годам'!I527+'Дивиденды по годам'!V527)/2),""),"")</f>
        <v>-1.6497402596983846E-2</v>
      </c>
      <c r="U527">
        <f>IFERROR(IF(AND('Дивиденды по годам'!J527&lt;&gt;"",'Дивиденды по годам'!K527&lt;&gt;"",'Дивиденды по годам'!M527&lt;&gt;"",'Дивиденды по годам'!M527&lt;&gt;0),('Дивиденды по годам'!J527+'Дивиденды по годам'!K527)/'Дивиденды по годам'!M527,""),"")</f>
        <v>-28.184932026317288</v>
      </c>
      <c r="V527" cm="1">
        <f t="array" ref="V527">IFERROR(AVERAGE(_xlfn._xlws.FILTER(P$2:P$1073,($C$2:$C$1073=$C527)*($E$2:$E$1073=$E527)*(ROW(P$2:P$1073)&lt;&gt;ROW(P527))*(P$2:P$1073&lt;&gt;""))),"")</f>
        <v>24.66799790565933</v>
      </c>
      <c r="W527" cm="1">
        <f t="array" ref="W527">IFERROR(AVERAGE(_xlfn._xlws.FILTER(Q$2:Q$1073,($C$2:$C$1073=$C527)*($E$2:$E$1073=$E527)*(ROW(Q$2:Q$1073)&lt;&gt;ROW(Q527))*(Q$2:Q$1073&lt;&gt;""))),"")</f>
        <v>0.33319762065662101</v>
      </c>
      <c r="X527" cm="1">
        <f t="array" ref="X527">IFERROR(AVERAGE(_xlfn._xlws.FILTER(R$2:R$1073,($C$2:$C$1073=$C527)*($E$2:$E$1073=$E527)*(ROW(R$2:R$1073)&lt;&gt;ROW(R527))*(R$2:R$1073&lt;&gt;""))),"")</f>
        <v>6.1907745424306659E-3</v>
      </c>
      <c r="Y527" cm="1">
        <f t="array" ref="Y527">IFERROR(AVERAGE(_xlfn._xlws.FILTER(S$2:S$1073,($C$2:$C$1073=$C527)*($E$2:$E$1073=$E527)*(ROW(S$2:S$1073)&lt;&gt;ROW(S527))*(S$2:S$1073&lt;&gt;""))),"")</f>
        <v>-1.7651061513336963</v>
      </c>
      <c r="Z527" cm="1">
        <f t="array" ref="Z527">IFERROR(AVERAGE(_xlfn._xlws.FILTER(T$2:T$1073,($C$2:$C$1073=$C527)*($E$2:$E$1073=$E527)*(ROW(T$2:T$1073)&lt;&gt;ROW(T527))*(T$2:T$1073&lt;&gt;""))),"")</f>
        <v>8.9624924544497664E-2</v>
      </c>
      <c r="AA527" cm="1">
        <f t="array" ref="AA527">IFERROR(AVERAGE(_xlfn._xlws.FILTER(U$2:U$1073,($C$2:$C$1073=$C527)*($E$2:$E$1073=$E527)*(ROW(U$2:U$1073)&lt;&gt;ROW(U527))*(U$2:U$1073&lt;&gt;""))),"")</f>
        <v>2.0922456448056388</v>
      </c>
    </row>
    <row r="528" spans="1:27" x14ac:dyDescent="0.2">
      <c r="A528" s="7" t="s">
        <v>2244</v>
      </c>
      <c r="B528" t="str">
        <f t="shared" si="90"/>
        <v>AQUA IV кв. 2011</v>
      </c>
      <c r="C528">
        <v>2011</v>
      </c>
      <c r="D528">
        <f>SUMIFS(Дивиденды!$C:$C,Дивиденды!$A:$A,A528,Дивиденды!$I:$I,C528)</f>
        <v>0</v>
      </c>
      <c r="E528">
        <v>4</v>
      </c>
      <c r="F528">
        <f t="shared" si="91"/>
        <v>0</v>
      </c>
      <c r="G528">
        <f t="shared" si="92"/>
        <v>1.6378571428571429</v>
      </c>
      <c r="H528">
        <f t="shared" si="93"/>
        <v>0</v>
      </c>
      <c r="I528">
        <f t="shared" si="89"/>
        <v>7.1428571428571425E-2</v>
      </c>
      <c r="J528">
        <f t="shared" si="94"/>
        <v>0</v>
      </c>
      <c r="K528">
        <f t="shared" si="98"/>
        <v>0.17786475320721892</v>
      </c>
      <c r="L528">
        <f t="shared" si="95"/>
        <v>0</v>
      </c>
      <c r="M528">
        <f t="shared" si="88"/>
        <v>7.1428571428571425E-2</v>
      </c>
      <c r="N528">
        <f t="shared" si="96"/>
        <v>0</v>
      </c>
      <c r="O528">
        <f t="shared" si="97"/>
        <v>0</v>
      </c>
      <c r="P528">
        <f>IFERROR(LN('Дивиденды по годам'!I528),"")</f>
        <v>22.620949562900432</v>
      </c>
      <c r="Q528">
        <f>IFERROR('Дивиденды по годам'!G528/'Дивиденды по годам'!I528, "")</f>
        <v>0.20899474786168079</v>
      </c>
      <c r="R528" t="str">
        <f>IFERROR(IF(AND('Дивиденды по годам'!N528&lt;&gt;"",'Дивиденды по годам'!U528&lt;&gt;"",'Дивиденды по годам'!U528&lt;&gt;0),'Дивиденды по годам'!N528/'Дивиденды по годам'!U528-1,""),"")</f>
        <v/>
      </c>
      <c r="S528" t="str">
        <f>IFERROR(IF(AND('Дивиденды по годам'!L528&lt;&gt;"",'Дивиденды по годам'!I528&lt;&gt;"",'Дивиденды по годам'!J528&lt;&gt;"",'Дивиденды по годам'!K528&lt;&gt;"",('Дивиденды по годам'!I528-'Дивиденды по годам'!J528-'Дивиденды по годам'!K528)&lt;&gt;0),'Дивиденды по годам'!L528/('Дивиденды по годам'!I528-'Дивиденды по годам'!J528-'Дивиденды по годам'!K528),""),"")</f>
        <v/>
      </c>
      <c r="T528" t="str">
        <f>IFERROR(IF(AND('Дивиденды по годам'!Q528&lt;&gt;"",'Дивиденды по годам'!I528&lt;&gt;"",'Дивиденды по годам'!V528&lt;&gt;"",('Дивиденды по годам'!I528+'Дивиденды по годам'!V528)&lt;&gt;0),'Дивиденды по годам'!Q528/(('Дивиденды по годам'!I528+'Дивиденды по годам'!V528)/2),""),"")</f>
        <v/>
      </c>
      <c r="U528" t="str">
        <f>IFERROR(IF(AND('Дивиденды по годам'!J528&lt;&gt;"",'Дивиденды по годам'!K528&lt;&gt;"",'Дивиденды по годам'!M528&lt;&gt;"",'Дивиденды по годам'!M528&lt;&gt;0),('Дивиденды по годам'!J528+'Дивиденды по годам'!K528)/'Дивиденды по годам'!M528,""),"")</f>
        <v/>
      </c>
      <c r="V528" cm="1">
        <f t="array" ref="V528">IFERROR(AVERAGE(_xlfn._xlws.FILTER(P$2:P$1073,($C$2:$C$1073=$C528)*($E$2:$E$1073=$E528)*(ROW(P$2:P$1073)&lt;&gt;ROW(P528))*(P$2:P$1073&lt;&gt;""))),"")</f>
        <v>24.570748994895485</v>
      </c>
      <c r="W528" cm="1">
        <f t="array" ref="W528">IFERROR(AVERAGE(_xlfn._xlws.FILTER(Q$2:Q$1073,($C$2:$C$1073=$C528)*($E$2:$E$1073=$E528)*(ROW(Q$2:Q$1073)&lt;&gt;ROW(Q528))*(Q$2:Q$1073&lt;&gt;""))),"")</f>
        <v>0.3178107193106231</v>
      </c>
      <c r="X528" cm="1">
        <f t="array" ref="X528">IFERROR(AVERAGE(_xlfn._xlws.FILTER(R$2:R$1073,($C$2:$C$1073=$C528)*($E$2:$E$1073=$E528)*(ROW(R$2:R$1073)&lt;&gt;ROW(R528))*(R$2:R$1073&lt;&gt;""))),"")</f>
        <v>5.9511017560386792E-2</v>
      </c>
      <c r="Y528" t="str" cm="1">
        <f t="array" ref="Y528">IFERROR(AVERAGE(_xlfn._xlws.FILTER(S$2:S$1073,($C$2:$C$1073=$C528)*($E$2:$E$1073=$E528)*(ROW(S$2:S$1073)&lt;&gt;ROW(S528))*(S$2:S$1073&lt;&gt;""))),"")</f>
        <v/>
      </c>
      <c r="Z528" cm="1">
        <f t="array" ref="Z528">IFERROR(AVERAGE(_xlfn._xlws.FILTER(T$2:T$1073,($C$2:$C$1073=$C528)*($E$2:$E$1073=$E528)*(ROW(T$2:T$1073)&lt;&gt;ROW(T528))*(T$2:T$1073&lt;&gt;""))),"")</f>
        <v>-1.4171101286470289E-2</v>
      </c>
      <c r="AA528" cm="1">
        <f t="array" ref="AA528">IFERROR(AVERAGE(_xlfn._xlws.FILTER(U$2:U$1073,($C$2:$C$1073=$C528)*($E$2:$E$1073=$E528)*(ROW(U$2:U$1073)&lt;&gt;ROW(U528))*(U$2:U$1073&lt;&gt;""))),"")</f>
        <v>2.1854574410792247</v>
      </c>
    </row>
    <row r="529" spans="1:27" x14ac:dyDescent="0.2">
      <c r="A529" s="7" t="s">
        <v>2244</v>
      </c>
      <c r="B529" t="str">
        <f t="shared" si="90"/>
        <v>AQUA IV кв. 2010</v>
      </c>
      <c r="C529">
        <v>2010</v>
      </c>
      <c r="D529">
        <f>SUMIFS(Дивиденды!$C:$C,Дивиденды!$A:$A,A529,Дивиденды!$I:$I,C529)</f>
        <v>0</v>
      </c>
      <c r="E529">
        <v>4</v>
      </c>
      <c r="F529">
        <f t="shared" si="91"/>
        <v>0</v>
      </c>
      <c r="G529">
        <f t="shared" si="92"/>
        <v>0.46928571428571431</v>
      </c>
      <c r="H529">
        <f t="shared" si="93"/>
        <v>0</v>
      </c>
      <c r="I529">
        <f t="shared" si="89"/>
        <v>7.1428571428571425E-2</v>
      </c>
      <c r="J529" t="str">
        <f t="shared" si="94"/>
        <v/>
      </c>
      <c r="K529" t="str">
        <f t="shared" si="98"/>
        <v/>
      </c>
      <c r="L529" t="str">
        <f t="shared" si="95"/>
        <v/>
      </c>
      <c r="M529" t="str">
        <f t="shared" si="88"/>
        <v/>
      </c>
      <c r="N529" t="str">
        <f t="shared" si="96"/>
        <v/>
      </c>
      <c r="O529" t="str">
        <f t="shared" si="97"/>
        <v/>
      </c>
      <c r="P529" t="str">
        <f>IFERROR(LN('Дивиденды по годам'!I529),"")</f>
        <v/>
      </c>
      <c r="Q529" t="str">
        <f>IFERROR('Дивиденды по годам'!G529/'Дивиденды по годам'!I529, "")</f>
        <v/>
      </c>
      <c r="R529" t="str">
        <f>IFERROR(IF(AND('Дивиденды по годам'!N529&lt;&gt;"",'Дивиденды по годам'!U529&lt;&gt;"",'Дивиденды по годам'!U529&lt;&gt;0),'Дивиденды по годам'!N529/'Дивиденды по годам'!U529-1,""),"")</f>
        <v/>
      </c>
      <c r="S529" t="str">
        <f>IFERROR(IF(AND('Дивиденды по годам'!L529&lt;&gt;"",'Дивиденды по годам'!I529&lt;&gt;"",'Дивиденды по годам'!J529&lt;&gt;"",'Дивиденды по годам'!K529&lt;&gt;"",('Дивиденды по годам'!I529-'Дивиденды по годам'!J529-'Дивиденды по годам'!K529)&lt;&gt;0),'Дивиденды по годам'!L529/('Дивиденды по годам'!I529-'Дивиденды по годам'!J529-'Дивиденды по годам'!K529),""),"")</f>
        <v/>
      </c>
      <c r="T529" t="str">
        <f>IFERROR(IF(AND('Дивиденды по годам'!Q529&lt;&gt;"",'Дивиденды по годам'!I529&lt;&gt;"",'Дивиденды по годам'!V529&lt;&gt;"",('Дивиденды по годам'!I529+'Дивиденды по годам'!V529)&lt;&gt;0),'Дивиденды по годам'!Q529/(('Дивиденды по годам'!I529+'Дивиденды по годам'!V529)/2),""),"")</f>
        <v/>
      </c>
      <c r="U529" t="str">
        <f>IFERROR(IF(AND('Дивиденды по годам'!J529&lt;&gt;"",'Дивиденды по годам'!K529&lt;&gt;"",'Дивиденды по годам'!M529&lt;&gt;"",'Дивиденды по годам'!M529&lt;&gt;0),('Дивиденды по годам'!J529+'Дивиденды по годам'!K529)/'Дивиденды по годам'!M529,""),"")</f>
        <v/>
      </c>
      <c r="V529" cm="1">
        <f t="array" ref="V529">IFERROR(AVERAGE(_xlfn._xlws.FILTER(P$2:P$1073,($C$2:$C$1073=$C529)*($E$2:$E$1073=$E529)*(ROW(P$2:P$1073)&lt;&gt;ROW(P529))*(P$2:P$1073&lt;&gt;""))),"")</f>
        <v>23.656010386255485</v>
      </c>
      <c r="W529" cm="1">
        <f t="array" ref="W529">IFERROR(AVERAGE(_xlfn._xlws.FILTER(Q$2:Q$1073,($C$2:$C$1073=$C529)*($E$2:$E$1073=$E529)*(ROW(Q$2:Q$1073)&lt;&gt;ROW(Q529))*(Q$2:Q$1073&lt;&gt;""))),"")</f>
        <v>0.15222241747474585</v>
      </c>
      <c r="X529" t="str" cm="1">
        <f t="array" ref="X529">IFERROR(AVERAGE(_xlfn._xlws.FILTER(R$2:R$1073,($C$2:$C$1073=$C529)*($E$2:$E$1073=$E529)*(ROW(R$2:R$1073)&lt;&gt;ROW(R529))*(R$2:R$1073&lt;&gt;""))),"")</f>
        <v/>
      </c>
      <c r="Y529" t="str" cm="1">
        <f t="array" ref="Y529">IFERROR(AVERAGE(_xlfn._xlws.FILTER(S$2:S$1073,($C$2:$C$1073=$C529)*($E$2:$E$1073=$E529)*(ROW(S$2:S$1073)&lt;&gt;ROW(S529))*(S$2:S$1073&lt;&gt;""))),"")</f>
        <v/>
      </c>
      <c r="Z529" t="str" cm="1">
        <f t="array" ref="Z529">IFERROR(AVERAGE(_xlfn._xlws.FILTER(T$2:T$1073,($C$2:$C$1073=$C529)*($E$2:$E$1073=$E529)*(ROW(T$2:T$1073)&lt;&gt;ROW(T529))*(T$2:T$1073&lt;&gt;""))),"")</f>
        <v/>
      </c>
      <c r="AA529" cm="1">
        <f t="array" ref="AA529">IFERROR(AVERAGE(_xlfn._xlws.FILTER(U$2:U$1073,($C$2:$C$1073=$C529)*($E$2:$E$1073=$E529)*(ROW(U$2:U$1073)&lt;&gt;ROW(U529))*(U$2:U$1073&lt;&gt;""))),"")</f>
        <v>2.8988498110700496</v>
      </c>
    </row>
    <row r="530" spans="1:27" x14ac:dyDescent="0.2">
      <c r="A530" s="7" t="s">
        <v>2247</v>
      </c>
      <c r="B530" t="str">
        <f t="shared" si="90"/>
        <v>BELU IV кв. 2025</v>
      </c>
      <c r="C530">
        <v>2025</v>
      </c>
      <c r="D530">
        <f>SUMIFS(Дивиденды!$C:$C,Дивиденды!$A:$A,A530,Дивиденды!$I:$I,C530)</f>
        <v>20</v>
      </c>
      <c r="E530">
        <v>4</v>
      </c>
      <c r="F530">
        <f t="shared" si="91"/>
        <v>20</v>
      </c>
      <c r="G530">
        <f t="shared" si="92"/>
        <v>30.15285714285714</v>
      </c>
      <c r="H530">
        <f t="shared" si="93"/>
        <v>1</v>
      </c>
      <c r="I530">
        <f t="shared" si="89"/>
        <v>0.35714285714285715</v>
      </c>
      <c r="J530">
        <f t="shared" si="94"/>
        <v>-0.46666666666666667</v>
      </c>
      <c r="K530">
        <f t="shared" si="98"/>
        <v>-0.14919300990736298</v>
      </c>
      <c r="L530">
        <f t="shared" si="95"/>
        <v>0</v>
      </c>
      <c r="M530">
        <f t="shared" si="88"/>
        <v>0.14285714285714285</v>
      </c>
      <c r="N530">
        <f t="shared" si="96"/>
        <v>1</v>
      </c>
      <c r="O530">
        <f t="shared" si="97"/>
        <v>0.42857142857142855</v>
      </c>
      <c r="P530" t="str">
        <f>IFERROR(LN('Дивиденды по годам'!I530),"")</f>
        <v/>
      </c>
      <c r="Q530" t="str">
        <f>IFERROR('Дивиденды по годам'!G530/'Дивиденды по годам'!I530, "")</f>
        <v/>
      </c>
      <c r="R530" t="str">
        <f>IFERROR(IF(AND('Дивиденды по годам'!N530&lt;&gt;"",'Дивиденды по годам'!U530&lt;&gt;"",'Дивиденды по годам'!U530&lt;&gt;0),'Дивиденды по годам'!N530/'Дивиденды по годам'!U530-1,""),"")</f>
        <v/>
      </c>
      <c r="S530" t="str">
        <f>IFERROR(IF(AND('Дивиденды по годам'!L530&lt;&gt;"",'Дивиденды по годам'!I530&lt;&gt;"",'Дивиденды по годам'!J530&lt;&gt;"",'Дивиденды по годам'!K530&lt;&gt;"",('Дивиденды по годам'!I530-'Дивиденды по годам'!J530-'Дивиденды по годам'!K530)&lt;&gt;0),'Дивиденды по годам'!L530/('Дивиденды по годам'!I530-'Дивиденды по годам'!J530-'Дивиденды по годам'!K530),""),"")</f>
        <v/>
      </c>
      <c r="T530" t="str">
        <f>IFERROR(IF(AND('Дивиденды по годам'!Q530&lt;&gt;"",'Дивиденды по годам'!I530&lt;&gt;"",'Дивиденды по годам'!V530&lt;&gt;"",('Дивиденды по годам'!I530+'Дивиденды по годам'!V530)&lt;&gt;0),'Дивиденды по годам'!Q530/(('Дивиденды по годам'!I530+'Дивиденды по годам'!V530)/2),""),"")</f>
        <v/>
      </c>
      <c r="U530" t="str">
        <f>IFERROR(IF(AND('Дивиденды по годам'!J530&lt;&gt;"",'Дивиденды по годам'!K530&lt;&gt;"",'Дивиденды по годам'!M530&lt;&gt;"",'Дивиденды по годам'!M530&lt;&gt;0),('Дивиденды по годам'!J530+'Дивиденды по годам'!K530)/'Дивиденды по годам'!M530,""),"")</f>
        <v/>
      </c>
      <c r="V530" cm="1">
        <f t="array" ref="V530">IFERROR(AVERAGE(_xlfn._xlws.FILTER(P$2:P$1073,($C$2:$C$1073=$C530)*($E$2:$E$1073=$E530)*(ROW(P$2:P$1073)&lt;&gt;ROW(P530))*(P$2:P$1073&lt;&gt;""))),"")</f>
        <v>26.183512711155618</v>
      </c>
      <c r="W530" cm="1">
        <f t="array" ref="W530">IFERROR(AVERAGE(_xlfn._xlws.FILTER(Q$2:Q$1073,($C$2:$C$1073=$C530)*($E$2:$E$1073=$E530)*(ROW(Q$2:Q$1073)&lt;&gt;ROW(Q530))*(Q$2:Q$1073&lt;&gt;""))),"")</f>
        <v>0.42364014522274984</v>
      </c>
      <c r="X530" cm="1">
        <f t="array" ref="X530">IFERROR(AVERAGE(_xlfn._xlws.FILTER(R$2:R$1073,($C$2:$C$1073=$C530)*($E$2:$E$1073=$E530)*(ROW(R$2:R$1073)&lt;&gt;ROW(R530))*(R$2:R$1073&lt;&gt;""))),"")</f>
        <v>6.6096126428947105E-2</v>
      </c>
      <c r="Y530" cm="1">
        <f t="array" ref="Y530">IFERROR(AVERAGE(_xlfn._xlws.FILTER(S$2:S$1073,($C$2:$C$1073=$C530)*($E$2:$E$1073=$E530)*(ROW(S$2:S$1073)&lt;&gt;ROW(S530))*(S$2:S$1073&lt;&gt;""))),"")</f>
        <v>0.94174952343815033</v>
      </c>
      <c r="Z530" cm="1">
        <f t="array" ref="Z530">IFERROR(AVERAGE(_xlfn._xlws.FILTER(T$2:T$1073,($C$2:$C$1073=$C530)*($E$2:$E$1073=$E530)*(ROW(T$2:T$1073)&lt;&gt;ROW(T530))*(T$2:T$1073&lt;&gt;""))),"")</f>
        <v>1.3107153079830167E-2</v>
      </c>
      <c r="AA530" cm="1">
        <f t="array" ref="AA530">IFERROR(AVERAGE(_xlfn._xlws.FILTER(U$2:U$1073,($C$2:$C$1073=$C530)*($E$2:$E$1073=$E530)*(ROW(U$2:U$1073)&lt;&gt;ROW(U530))*(U$2:U$1073&lt;&gt;""))),"")</f>
        <v>6.2968354519658218</v>
      </c>
    </row>
    <row r="531" spans="1:27" x14ac:dyDescent="0.2">
      <c r="A531" s="7" t="s">
        <v>2247</v>
      </c>
      <c r="B531" t="str">
        <f t="shared" si="90"/>
        <v>BELU IV кв. 2024</v>
      </c>
      <c r="C531">
        <v>2024</v>
      </c>
      <c r="D531">
        <f>SUMIFS(Дивиденды!$C:$C,Дивиденды!$A:$A,A531,Дивиденды!$I:$I,C531)</f>
        <v>37.5</v>
      </c>
      <c r="E531">
        <v>4</v>
      </c>
      <c r="F531">
        <f t="shared" si="91"/>
        <v>37.5</v>
      </c>
      <c r="G531">
        <f t="shared" si="92"/>
        <v>59.832857142857151</v>
      </c>
      <c r="H531">
        <f t="shared" si="93"/>
        <v>1</v>
      </c>
      <c r="I531">
        <f t="shared" si="89"/>
        <v>0.5</v>
      </c>
      <c r="J531">
        <f t="shared" si="94"/>
        <v>-0.94485294117647056</v>
      </c>
      <c r="K531">
        <f t="shared" si="98"/>
        <v>0.27894524116180314</v>
      </c>
      <c r="L531">
        <f t="shared" si="95"/>
        <v>0</v>
      </c>
      <c r="M531">
        <f t="shared" si="88"/>
        <v>0.35714285714285715</v>
      </c>
      <c r="N531">
        <f t="shared" si="96"/>
        <v>1</v>
      </c>
      <c r="O531">
        <f t="shared" si="97"/>
        <v>0.21428571428571427</v>
      </c>
      <c r="P531">
        <f>IFERROR(LN('Дивиденды по годам'!I531),"")</f>
        <v>25.534319471994664</v>
      </c>
      <c r="Q531">
        <f>IFERROR('Дивиденды по годам'!G531/'Дивиденды по годам'!I531, "")</f>
        <v>0.28646193666012809</v>
      </c>
      <c r="R531">
        <f>IFERROR(IF(AND('Дивиденды по годам'!N531&lt;&gt;"",'Дивиденды по годам'!U531&lt;&gt;"",'Дивиденды по годам'!U531&lt;&gt;0),'Дивиденды по годам'!N531/'Дивиденды по годам'!U531-1,""),"")</f>
        <v>0.15892136061871187</v>
      </c>
      <c r="S531">
        <f>IFERROR(IF(AND('Дивиденды по годам'!L531&lt;&gt;"",'Дивиденды по годам'!I531&lt;&gt;"",'Дивиденды по годам'!J531&lt;&gt;"",'Дивиденды по годам'!K531&lt;&gt;"",('Дивиденды по годам'!I531-'Дивиденды по годам'!J531-'Дивиденды по годам'!K531)&lt;&gt;0),'Дивиденды по годам'!L531/('Дивиденды по годам'!I531-'Дивиденды по годам'!J531-'Дивиденды по годам'!K531),""),"")</f>
        <v>0.34952402368638036</v>
      </c>
      <c r="T531">
        <f>IFERROR(IF(AND('Дивиденды по годам'!Q531&lt;&gt;"",'Дивиденды по годам'!I531&lt;&gt;"",'Дивиденды по годам'!V531&lt;&gt;"",('Дивиденды по годам'!I531+'Дивиденды по годам'!V531)&lt;&gt;0),'Дивиденды по годам'!Q531/(('Дивиденды по годам'!I531+'Дивиденды по годам'!V531)/2),""),"")</f>
        <v>4.1879464183838797E-2</v>
      </c>
      <c r="U531">
        <f>IFERROR(IF(AND('Дивиденды по годам'!J531&lt;&gt;"",'Дивиденды по годам'!K531&lt;&gt;"",'Дивиденды по годам'!M531&lt;&gt;"",'Дивиденды по годам'!M531&lt;&gt;0),('Дивиденды по годам'!J531+'Дивиденды по годам'!K531)/'Дивиденды по годам'!M531,""),"")</f>
        <v>3.6046398320965447</v>
      </c>
      <c r="V531" cm="1">
        <f t="array" ref="V531">IFERROR(AVERAGE(_xlfn._xlws.FILTER(P$2:P$1073,($C$2:$C$1073=$C531)*($E$2:$E$1073=$E531)*(ROW(P$2:P$1073)&lt;&gt;ROW(P531))*(P$2:P$1073&lt;&gt;""))),"")</f>
        <v>25.566978016835758</v>
      </c>
      <c r="W531" cm="1">
        <f t="array" ref="W531">IFERROR(AVERAGE(_xlfn._xlws.FILTER(Q$2:Q$1073,($C$2:$C$1073=$C531)*($E$2:$E$1073=$E531)*(ROW(Q$2:Q$1073)&lt;&gt;ROW(Q531))*(Q$2:Q$1073&lt;&gt;""))),"")</f>
        <v>0.26124316654571278</v>
      </c>
      <c r="X531" cm="1">
        <f t="array" ref="X531">IFERROR(AVERAGE(_xlfn._xlws.FILTER(R$2:R$1073,($C$2:$C$1073=$C531)*($E$2:$E$1073=$E531)*(ROW(R$2:R$1073)&lt;&gt;ROW(R531))*(R$2:R$1073&lt;&gt;""))),"")</f>
        <v>0.2730753657873331</v>
      </c>
      <c r="Y531" cm="1">
        <f t="array" ref="Y531">IFERROR(AVERAGE(_xlfn._xlws.FILTER(S$2:S$1073,($C$2:$C$1073=$C531)*($E$2:$E$1073=$E531)*(ROW(S$2:S$1073)&lt;&gt;ROW(S531))*(S$2:S$1073&lt;&gt;""))),"")</f>
        <v>1.2297347246337242</v>
      </c>
      <c r="Z531" cm="1">
        <f t="array" ref="Z531">IFERROR(AVERAGE(_xlfn._xlws.FILTER(T$2:T$1073,($C$2:$C$1073=$C531)*($E$2:$E$1073=$E531)*(ROW(T$2:T$1073)&lt;&gt;ROW(T531))*(T$2:T$1073&lt;&gt;""))),"")</f>
        <v>7.5175365153367049E-2</v>
      </c>
      <c r="AA531" cm="1">
        <f t="array" ref="AA531">IFERROR(AVERAGE(_xlfn._xlws.FILTER(U$2:U$1073,($C$2:$C$1073=$C531)*($E$2:$E$1073=$E531)*(ROW(U$2:U$1073)&lt;&gt;ROW(U531))*(U$2:U$1073&lt;&gt;""))),"")</f>
        <v>4.0183805165040392</v>
      </c>
    </row>
    <row r="532" spans="1:27" x14ac:dyDescent="0.2">
      <c r="A532" s="7" t="s">
        <v>2247</v>
      </c>
      <c r="B532" t="str">
        <f t="shared" si="90"/>
        <v>BELU IV кв. 2023</v>
      </c>
      <c r="C532">
        <v>2023</v>
      </c>
      <c r="D532">
        <f>SUMIFS(Дивиденды!$C:$C,Дивиденды!$A:$A,A532,Дивиденды!$I:$I,C532)</f>
        <v>680</v>
      </c>
      <c r="E532">
        <v>4</v>
      </c>
      <c r="F532">
        <f t="shared" si="91"/>
        <v>680</v>
      </c>
      <c r="G532">
        <f t="shared" si="92"/>
        <v>42.168571428571433</v>
      </c>
      <c r="H532">
        <f t="shared" si="93"/>
        <v>1</v>
      </c>
      <c r="I532">
        <f t="shared" si="89"/>
        <v>0.42857142857142855</v>
      </c>
      <c r="J532">
        <f t="shared" si="94"/>
        <v>8.7999999999999995E-2</v>
      </c>
      <c r="K532">
        <f t="shared" si="98"/>
        <v>0.29184173669467789</v>
      </c>
      <c r="L532">
        <f t="shared" si="95"/>
        <v>1</v>
      </c>
      <c r="M532">
        <f t="shared" si="88"/>
        <v>0.35714285714285715</v>
      </c>
      <c r="N532">
        <f t="shared" si="96"/>
        <v>0</v>
      </c>
      <c r="O532">
        <f t="shared" si="97"/>
        <v>0</v>
      </c>
      <c r="P532">
        <f>IFERROR(LN('Дивиденды по годам'!I532),"")</f>
        <v>25.290152470508893</v>
      </c>
      <c r="Q532">
        <f>IFERROR('Дивиденды по годам'!G532/'Дивиденды по годам'!I532, "")</f>
        <v>0.30819583558455593</v>
      </c>
      <c r="R532">
        <f>IFERROR(IF(AND('Дивиденды по годам'!N532&lt;&gt;"",'Дивиденды по годам'!U532&lt;&gt;"",'Дивиденды по годам'!U532&lt;&gt;0),'Дивиденды по годам'!N532/'Дивиденды по годам'!U532-1,""),"")</f>
        <v>0.20111800731637142</v>
      </c>
      <c r="S532">
        <f>IFERROR(IF(AND('Дивиденды по годам'!L532&lt;&gt;"",'Дивиденды по годам'!I532&lt;&gt;"",'Дивиденды по годам'!J532&lt;&gt;"",'Дивиденды по годам'!K532&lt;&gt;"",('Дивиденды по годам'!I532-'Дивиденды по годам'!J532-'Дивиденды по годам'!K532)&lt;&gt;0),'Дивиденды по годам'!L532/('Дивиденды по годам'!I532-'Дивиденды по годам'!J532-'Дивиденды по годам'!K532),""),"")</f>
        <v>0.74786630071060645</v>
      </c>
      <c r="T532">
        <f>IFERROR(IF(AND('Дивиденды по годам'!Q532&lt;&gt;"",'Дивиденды по годам'!I532&lt;&gt;"",'Дивиденды по годам'!V532&lt;&gt;"",('Дивиденды по годам'!I532+'Дивиденды по годам'!V532)&lt;&gt;0),'Дивиденды по годам'!Q532/(('Дивиденды по годам'!I532+'Дивиденды по годам'!V532)/2),""),"")</f>
        <v>8.5160758885433216E-2</v>
      </c>
      <c r="U532">
        <f>IFERROR(IF(AND('Дивиденды по годам'!J532&lt;&gt;"",'Дивиденды по годам'!K532&lt;&gt;"",'Дивиденды по годам'!M532&lt;&gt;"",'Дивиденды по годам'!M532&lt;&gt;0),('Дивиденды по годам'!J532+'Дивиденды по годам'!K532)/'Дивиденды по годам'!M532,""),"")</f>
        <v>2.6186036019099896</v>
      </c>
      <c r="V532" cm="1">
        <f t="array" ref="V532">IFERROR(AVERAGE(_xlfn._xlws.FILTER(P$2:P$1073,($C$2:$C$1073=$C532)*($E$2:$E$1073=$E532)*(ROW(P$2:P$1073)&lt;&gt;ROW(P532))*(P$2:P$1073&lt;&gt;""))),"")</f>
        <v>25.372455475203711</v>
      </c>
      <c r="W532" cm="1">
        <f t="array" ref="W532">IFERROR(AVERAGE(_xlfn._xlws.FILTER(Q$2:Q$1073,($C$2:$C$1073=$C532)*($E$2:$E$1073=$E532)*(ROW(Q$2:Q$1073)&lt;&gt;ROW(Q532))*(Q$2:Q$1073&lt;&gt;""))),"")</f>
        <v>0.24625822561351288</v>
      </c>
      <c r="X532" cm="1">
        <f t="array" ref="X532">IFERROR(AVERAGE(_xlfn._xlws.FILTER(R$2:R$1073,($C$2:$C$1073=$C532)*($E$2:$E$1073=$E532)*(ROW(R$2:R$1073)&lt;&gt;ROW(R532))*(R$2:R$1073&lt;&gt;""))),"")</f>
        <v>0.24991283097183814</v>
      </c>
      <c r="Y532" cm="1">
        <f t="array" ref="Y532">IFERROR(AVERAGE(_xlfn._xlws.FILTER(S$2:S$1073,($C$2:$C$1073=$C532)*($E$2:$E$1073=$E532)*(ROW(S$2:S$1073)&lt;&gt;ROW(S532))*(S$2:S$1073&lt;&gt;""))),"")</f>
        <v>1.2815745657526567</v>
      </c>
      <c r="Z532" cm="1">
        <f t="array" ref="Z532">IFERROR(AVERAGE(_xlfn._xlws.FILTER(T$2:T$1073,($C$2:$C$1073=$C532)*($E$2:$E$1073=$E532)*(ROW(T$2:T$1073)&lt;&gt;ROW(T532))*(T$2:T$1073&lt;&gt;""))),"")</f>
        <v>0.11240759689826026</v>
      </c>
      <c r="AA532" cm="1">
        <f t="array" ref="AA532">IFERROR(AVERAGE(_xlfn._xlws.FILTER(U$2:U$1073,($C$2:$C$1073=$C532)*($E$2:$E$1073=$E532)*(ROW(U$2:U$1073)&lt;&gt;ROW(U532))*(U$2:U$1073&lt;&gt;""))),"")</f>
        <v>2.5852547811941635</v>
      </c>
    </row>
    <row r="533" spans="1:27" x14ac:dyDescent="0.2">
      <c r="A533" s="7" t="s">
        <v>2247</v>
      </c>
      <c r="B533" t="str">
        <f t="shared" si="90"/>
        <v>BELU IV кв. 2022</v>
      </c>
      <c r="C533">
        <v>2022</v>
      </c>
      <c r="D533">
        <f>SUMIFS(Дивиденды!$C:$C,Дивиденды!$A:$A,A533,Дивиденды!$I:$I,C533)</f>
        <v>625</v>
      </c>
      <c r="E533">
        <v>4</v>
      </c>
      <c r="F533">
        <f t="shared" si="91"/>
        <v>625</v>
      </c>
      <c r="G533">
        <f t="shared" si="92"/>
        <v>35.537142857142854</v>
      </c>
      <c r="H533">
        <f t="shared" si="93"/>
        <v>1</v>
      </c>
      <c r="I533">
        <f t="shared" si="89"/>
        <v>0.21428571428571427</v>
      </c>
      <c r="J533">
        <f t="shared" si="94"/>
        <v>4.208333333333333</v>
      </c>
      <c r="K533">
        <f t="shared" si="98"/>
        <v>0.19524100702549593</v>
      </c>
      <c r="L533">
        <f t="shared" si="95"/>
        <v>1</v>
      </c>
      <c r="M533">
        <f t="shared" si="88"/>
        <v>0.21428571428571427</v>
      </c>
      <c r="N533">
        <f t="shared" si="96"/>
        <v>0</v>
      </c>
      <c r="O533">
        <f t="shared" si="97"/>
        <v>7.1428571428571425E-2</v>
      </c>
      <c r="P533">
        <f>IFERROR(LN('Дивиденды по годам'!I533),"")</f>
        <v>25.257358837917344</v>
      </c>
      <c r="Q533">
        <f>IFERROR('Дивиденды по годам'!G533/'Дивиденды по годам'!I533, "")</f>
        <v>0.25868862667625808</v>
      </c>
      <c r="R533">
        <f>IFERROR(IF(AND('Дивиденды по годам'!N533&lt;&gt;"",'Дивиденды по годам'!U533&lt;&gt;"",'Дивиденды по годам'!U533&lt;&gt;0),'Дивиденды по годам'!N533/'Дивиденды по годам'!U533-1,""),"")</f>
        <v>0.29863752218530237</v>
      </c>
      <c r="S533">
        <f>IFERROR(IF(AND('Дивиденды по годам'!L533&lt;&gt;"",'Дивиденды по годам'!I533&lt;&gt;"",'Дивиденды по годам'!J533&lt;&gt;"",'Дивиденды по годам'!K533&lt;&gt;"",('Дивиденды по годам'!I533-'Дивиденды по годам'!J533-'Дивиденды по годам'!K533)&lt;&gt;0),'Дивиденды по годам'!L533/('Дивиденды по годам'!I533-'Дивиденды по годам'!J533-'Дивиденды по годам'!K533),""),"")</f>
        <v>0.92351018157469766</v>
      </c>
      <c r="T533">
        <f>IFERROR(IF(AND('Дивиденды по годам'!Q533&lt;&gt;"",'Дивиденды по годам'!I533&lt;&gt;"",'Дивиденды по годам'!V533&lt;&gt;"",('Дивиденды по годам'!I533+'Дивиденды по годам'!V533)&lt;&gt;0),'Дивиденды по годам'!Q533/(('Дивиденды по годам'!I533+'Дивиденды по годам'!V533)/2),""),"")</f>
        <v>9.837555643601277E-2</v>
      </c>
      <c r="U533">
        <f>IFERROR(IF(AND('Дивиденды по годам'!J533&lt;&gt;"",'Дивиденды по годам'!K533&lt;&gt;"",'Дивиденды по годам'!M533&lt;&gt;"",'Дивиденды по годам'!M533&lt;&gt;0),('Дивиденды по годам'!J533+'Дивиденды по годам'!K533)/'Дивиденды по годам'!M533,""),"")</f>
        <v>2.6684784749300881</v>
      </c>
      <c r="V533" cm="1">
        <f t="array" ref="V533">IFERROR(AVERAGE(_xlfn._xlws.FILTER(P$2:P$1073,($C$2:$C$1073=$C533)*($E$2:$E$1073=$E533)*(ROW(P$2:P$1073)&lt;&gt;ROW(P533))*(P$2:P$1073&lt;&gt;""))),"")</f>
        <v>25.268244253350844</v>
      </c>
      <c r="W533" cm="1">
        <f t="array" ref="W533">IFERROR(AVERAGE(_xlfn._xlws.FILTER(Q$2:Q$1073,($C$2:$C$1073=$C533)*($E$2:$E$1073=$E533)*(ROW(Q$2:Q$1073)&lt;&gt;ROW(Q533))*(Q$2:Q$1073&lt;&gt;""))),"")</f>
        <v>0.24740380838235607</v>
      </c>
      <c r="X533" cm="1">
        <f t="array" ref="X533">IFERROR(AVERAGE(_xlfn._xlws.FILTER(R$2:R$1073,($C$2:$C$1073=$C533)*($E$2:$E$1073=$E533)*(ROW(R$2:R$1073)&lt;&gt;ROW(R533))*(R$2:R$1073&lt;&gt;""))),"")</f>
        <v>0.19663485486188781</v>
      </c>
      <c r="Y533" cm="1">
        <f t="array" ref="Y533">IFERROR(AVERAGE(_xlfn._xlws.FILTER(S$2:S$1073,($C$2:$C$1073=$C533)*($E$2:$E$1073=$E533)*(ROW(S$2:S$1073)&lt;&gt;ROW(S533))*(S$2:S$1073&lt;&gt;""))),"")</f>
        <v>1.3715473308004114</v>
      </c>
      <c r="Z533" cm="1">
        <f t="array" ref="Z533">IFERROR(AVERAGE(_xlfn._xlws.FILTER(T$2:T$1073,($C$2:$C$1073=$C533)*($E$2:$E$1073=$E533)*(ROW(T$2:T$1073)&lt;&gt;ROW(T533))*(T$2:T$1073&lt;&gt;""))),"")</f>
        <v>0.10103892005171201</v>
      </c>
      <c r="AA533" cm="1">
        <f t="array" ref="AA533">IFERROR(AVERAGE(_xlfn._xlws.FILTER(U$2:U$1073,($C$2:$C$1073=$C533)*($E$2:$E$1073=$E533)*(ROW(U$2:U$1073)&lt;&gt;ROW(U533))*(U$2:U$1073&lt;&gt;""))),"")</f>
        <v>2.1322272637505537</v>
      </c>
    </row>
    <row r="534" spans="1:27" x14ac:dyDescent="0.2">
      <c r="A534" s="7" t="s">
        <v>2247</v>
      </c>
      <c r="B534" t="str">
        <f t="shared" si="90"/>
        <v>BELU IV кв. 2021</v>
      </c>
      <c r="C534">
        <v>2021</v>
      </c>
      <c r="D534">
        <f>SUMIFS(Дивиденды!$C:$C,Дивиденды!$A:$A,A534,Дивиденды!$I:$I,C534)</f>
        <v>120</v>
      </c>
      <c r="E534">
        <v>4</v>
      </c>
      <c r="F534">
        <f t="shared" si="91"/>
        <v>120</v>
      </c>
      <c r="G534">
        <f t="shared" si="92"/>
        <v>23.360000000000003</v>
      </c>
      <c r="H534">
        <f t="shared" si="93"/>
        <v>1</v>
      </c>
      <c r="I534">
        <f t="shared" si="89"/>
        <v>0.21428571428571427</v>
      </c>
      <c r="J534">
        <f t="shared" si="94"/>
        <v>0.2</v>
      </c>
      <c r="K534">
        <f t="shared" si="98"/>
        <v>0.18321594613783621</v>
      </c>
      <c r="L534">
        <f t="shared" si="95"/>
        <v>1</v>
      </c>
      <c r="M534">
        <f t="shared" si="88"/>
        <v>0.14285714285714285</v>
      </c>
      <c r="N534">
        <f t="shared" si="96"/>
        <v>0</v>
      </c>
      <c r="O534">
        <f t="shared" si="97"/>
        <v>7.1428571428571425E-2</v>
      </c>
      <c r="P534">
        <f>IFERROR(LN('Дивиденды по годам'!I534),"")</f>
        <v>25.086224324527478</v>
      </c>
      <c r="Q534">
        <f>IFERROR('Дивиденды по годам'!G534/'Дивиденды по годам'!I534, "")</f>
        <v>0.23398183184904892</v>
      </c>
      <c r="R534">
        <f>IFERROR(IF(AND('Дивиденды по годам'!N534&lt;&gt;"",'Дивиденды по годам'!U534&lt;&gt;"",'Дивиденды по годам'!U534&lt;&gt;0),'Дивиденды по годам'!N534/'Дивиденды по годам'!U534-1,""),"")</f>
        <v>0.18398849775643056</v>
      </c>
      <c r="S534">
        <f>IFERROR(IF(AND('Дивиденды по годам'!L534&lt;&gt;"",'Дивиденды по годам'!I534&lt;&gt;"",'Дивиденды по годам'!J534&lt;&gt;"",'Дивиденды по годам'!K534&lt;&gt;"",('Дивиденды по годам'!I534-'Дивиденды по годам'!J534-'Дивиденды по годам'!K534)&lt;&gt;0),'Дивиденды по годам'!L534/('Дивиденды по годам'!I534-'Дивиденды по годам'!J534-'Дивиденды по годам'!K534),""),"")</f>
        <v>0.67666002146909987</v>
      </c>
      <c r="T534">
        <f>IFERROR(IF(AND('Дивиденды по годам'!Q534&lt;&gt;"",'Дивиденды по годам'!I534&lt;&gt;"",'Дивиденды по годам'!V534&lt;&gt;"",('Дивиденды по годам'!I534+'Дивиденды по годам'!V534)&lt;&gt;0),'Дивиденды по годам'!Q534/(('Дивиденды по годам'!I534+'Дивиденды по годам'!V534)/2),""),"")</f>
        <v>5.4598328392679855E-2</v>
      </c>
      <c r="U534">
        <f>IFERROR(IF(AND('Дивиденды по годам'!J534&lt;&gt;"",'Дивиденды по годам'!K534&lt;&gt;"",'Дивиденды по годам'!M534&lt;&gt;"",'Дивиденды по годам'!M534&lt;&gt;0),('Дивиденды по годам'!J534+'Дивиденды по годам'!K534)/'Дивиденды по годам'!M534,""),"")</f>
        <v>2.0090860297500384</v>
      </c>
      <c r="V534" cm="1">
        <f t="array" ref="V534">IFERROR(AVERAGE(_xlfn._xlws.FILTER(P$2:P$1073,($C$2:$C$1073=$C534)*($E$2:$E$1073=$E534)*(ROW(P$2:P$1073)&lt;&gt;ROW(P534))*(P$2:P$1073&lt;&gt;""))),"")</f>
        <v>25.196449010534874</v>
      </c>
      <c r="W534" cm="1">
        <f t="array" ref="W534">IFERROR(AVERAGE(_xlfn._xlws.FILTER(Q$2:Q$1073,($C$2:$C$1073=$C534)*($E$2:$E$1073=$E534)*(ROW(Q$2:Q$1073)&lt;&gt;ROW(Q534))*(Q$2:Q$1073&lt;&gt;""))),"")</f>
        <v>0.23536573441485661</v>
      </c>
      <c r="X534" cm="1">
        <f t="array" ref="X534">IFERROR(AVERAGE(_xlfn._xlws.FILTER(R$2:R$1073,($C$2:$C$1073=$C534)*($E$2:$E$1073=$E534)*(ROW(R$2:R$1073)&lt;&gt;ROW(R534))*(R$2:R$1073&lt;&gt;""))),"")</f>
        <v>0.3343117998442281</v>
      </c>
      <c r="Y534" cm="1">
        <f t="array" ref="Y534">IFERROR(AVERAGE(_xlfn._xlws.FILTER(S$2:S$1073,($C$2:$C$1073=$C534)*($E$2:$E$1073=$E534)*(ROW(S$2:S$1073)&lt;&gt;ROW(S534))*(S$2:S$1073&lt;&gt;""))),"")</f>
        <v>1.3759656508214988</v>
      </c>
      <c r="Z534" cm="1">
        <f t="array" ref="Z534">IFERROR(AVERAGE(_xlfn._xlws.FILTER(T$2:T$1073,($C$2:$C$1073=$C534)*($E$2:$E$1073=$E534)*(ROW(T$2:T$1073)&lt;&gt;ROW(T534))*(T$2:T$1073&lt;&gt;""))),"")</f>
        <v>0.10836948084235305</v>
      </c>
      <c r="AA534" cm="1">
        <f t="array" ref="AA534">IFERROR(AVERAGE(_xlfn._xlws.FILTER(U$2:U$1073,($C$2:$C$1073=$C534)*($E$2:$E$1073=$E534)*(ROW(U$2:U$1073)&lt;&gt;ROW(U534))*(U$2:U$1073&lt;&gt;""))),"")</f>
        <v>18.181093846807027</v>
      </c>
    </row>
    <row r="535" spans="1:27" x14ac:dyDescent="0.2">
      <c r="A535" s="7" t="s">
        <v>2247</v>
      </c>
      <c r="B535" t="str">
        <f t="shared" si="90"/>
        <v>BELU IV кв. 2020</v>
      </c>
      <c r="C535">
        <v>2020</v>
      </c>
      <c r="D535">
        <f>SUMIFS(Дивиденды!$C:$C,Дивиденды!$A:$A,A535,Дивиденды!$I:$I,C535)</f>
        <v>100</v>
      </c>
      <c r="E535">
        <v>4</v>
      </c>
      <c r="F535">
        <f t="shared" si="91"/>
        <v>100</v>
      </c>
      <c r="G535">
        <f t="shared" si="92"/>
        <v>36.150714285714287</v>
      </c>
      <c r="H535">
        <f t="shared" si="93"/>
        <v>1</v>
      </c>
      <c r="I535">
        <f t="shared" si="89"/>
        <v>0.21428571428571427</v>
      </c>
      <c r="J535">
        <f t="shared" si="94"/>
        <v>2.125</v>
      </c>
      <c r="K535">
        <f t="shared" si="98"/>
        <v>0.11653045776321307</v>
      </c>
      <c r="L535">
        <f t="shared" si="95"/>
        <v>1</v>
      </c>
      <c r="M535">
        <f t="shared" si="88"/>
        <v>0.21428571428571427</v>
      </c>
      <c r="N535">
        <f t="shared" si="96"/>
        <v>0</v>
      </c>
      <c r="O535">
        <f t="shared" si="97"/>
        <v>0</v>
      </c>
      <c r="P535">
        <f>IFERROR(LN('Дивиденды по годам'!I535),"")</f>
        <v>24.874778072224853</v>
      </c>
      <c r="Q535">
        <f>IFERROR('Дивиденды по годам'!G535/'Дивиденды по годам'!I535, "")</f>
        <v>0.20273886352904139</v>
      </c>
      <c r="R535">
        <f>IFERROR(IF(AND('Дивиденды по годам'!N535&lt;&gt;"",'Дивиденды по годам'!U535&lt;&gt;"",'Дивиденды по годам'!U535&lt;&gt;0),'Дивиденды по годам'!N535/'Дивиденды по годам'!U535-1,""),"")</f>
        <v>0.19252364622979234</v>
      </c>
      <c r="S535">
        <f>IFERROR(IF(AND('Дивиденды по годам'!L535&lt;&gt;"",'Дивиденды по годам'!I535&lt;&gt;"",'Дивиденды по годам'!J535&lt;&gt;"",'Дивиденды по годам'!K535&lt;&gt;"",('Дивиденды по годам'!I535-'Дивиденды по годам'!J535-'Дивиденды по годам'!K535)&lt;&gt;0),'Дивиденды по годам'!L535/('Дивиденды по годам'!I535-'Дивиденды по годам'!J535-'Дивиденды по годам'!K535),""),"")</f>
        <v>0.7816662570656181</v>
      </c>
      <c r="T535">
        <f>IFERROR(IF(AND('Дивиденды по годам'!Q535&lt;&gt;"",'Дивиденды по годам'!I535&lt;&gt;"",'Дивиденды по годам'!V535&lt;&gt;"",('Дивиденды по годам'!I535+'Дивиденды по годам'!V535)&lt;&gt;0),'Дивиденды по годам'!Q535/(('Дивиденды по годам'!I535+'Дивиденды по годам'!V535)/2),""),"")</f>
        <v>4.065874105061261E-2</v>
      </c>
      <c r="U535">
        <f>IFERROR(IF(AND('Дивиденды по годам'!J535&lt;&gt;"",'Дивиденды по годам'!K535&lt;&gt;"",'Дивиденды по годам'!M535&lt;&gt;"",'Дивиденды по годам'!M535&lt;&gt;0),('Дивиденды по годам'!J535+'Дивиденды по годам'!K535)/'Дивиденды по годам'!M535,""),"")</f>
        <v>2.122634553944458</v>
      </c>
      <c r="V535" cm="1">
        <f t="array" ref="V535">IFERROR(AVERAGE(_xlfn._xlws.FILTER(P$2:P$1073,($C$2:$C$1073=$C535)*($E$2:$E$1073=$E535)*(ROW(P$2:P$1073)&lt;&gt;ROW(P535))*(P$2:P$1073&lt;&gt;""))),"")</f>
        <v>25.329933762382723</v>
      </c>
      <c r="W535" cm="1">
        <f t="array" ref="W535">IFERROR(AVERAGE(_xlfn._xlws.FILTER(Q$2:Q$1073,($C$2:$C$1073=$C535)*($E$2:$E$1073=$E535)*(ROW(Q$2:Q$1073)&lt;&gt;ROW(Q535))*(Q$2:Q$1073&lt;&gt;""))),"")</f>
        <v>0.26892110290511295</v>
      </c>
      <c r="X535" cm="1">
        <f t="array" ref="X535">IFERROR(AVERAGE(_xlfn._xlws.FILTER(R$2:R$1073,($C$2:$C$1073=$C535)*($E$2:$E$1073=$E535)*(ROW(R$2:R$1073)&lt;&gt;ROW(R535))*(R$2:R$1073&lt;&gt;""))),"")</f>
        <v>8.4868756123696987E-2</v>
      </c>
      <c r="Y535" cm="1">
        <f t="array" ref="Y535">IFERROR(AVERAGE(_xlfn._xlws.FILTER(S$2:S$1073,($C$2:$C$1073=$C535)*($E$2:$E$1073=$E535)*(ROW(S$2:S$1073)&lt;&gt;ROW(S535))*(S$2:S$1073&lt;&gt;""))),"")</f>
        <v>1.8372645573910609</v>
      </c>
      <c r="Z535" cm="1">
        <f t="array" ref="Z535">IFERROR(AVERAGE(_xlfn._xlws.FILTER(T$2:T$1073,($C$2:$C$1073=$C535)*($E$2:$E$1073=$E535)*(ROW(T$2:T$1073)&lt;&gt;ROW(T535))*(T$2:T$1073&lt;&gt;""))),"")</f>
        <v>7.0835041485775657E-2</v>
      </c>
      <c r="AA535" cm="1">
        <f t="array" ref="AA535">IFERROR(AVERAGE(_xlfn._xlws.FILTER(U$2:U$1073,($C$2:$C$1073=$C535)*($E$2:$E$1073=$E535)*(ROW(U$2:U$1073)&lt;&gt;ROW(U535))*(U$2:U$1073&lt;&gt;""))),"")</f>
        <v>-11.84308822873929</v>
      </c>
    </row>
    <row r="536" spans="1:27" x14ac:dyDescent="0.2">
      <c r="A536" s="7" t="s">
        <v>2247</v>
      </c>
      <c r="B536" t="str">
        <f t="shared" si="90"/>
        <v>BELU IV кв. 2019</v>
      </c>
      <c r="C536">
        <v>2019</v>
      </c>
      <c r="D536">
        <f>SUMIFS(Дивиденды!$C:$C,Дивиденды!$A:$A,A536,Дивиденды!$I:$I,C536)</f>
        <v>32</v>
      </c>
      <c r="E536">
        <v>4</v>
      </c>
      <c r="F536">
        <f t="shared" si="91"/>
        <v>32</v>
      </c>
      <c r="G536">
        <f t="shared" si="92"/>
        <v>22.112857142857141</v>
      </c>
      <c r="H536">
        <f t="shared" si="93"/>
        <v>1</v>
      </c>
      <c r="I536">
        <f t="shared" si="89"/>
        <v>0.14285714285714285</v>
      </c>
      <c r="J536">
        <f t="shared" si="94"/>
        <v>1</v>
      </c>
      <c r="K536">
        <f t="shared" si="98"/>
        <v>3.7335535882520525E-2</v>
      </c>
      <c r="L536">
        <f t="shared" si="95"/>
        <v>1</v>
      </c>
      <c r="M536">
        <f t="shared" si="88"/>
        <v>0.14285714285714285</v>
      </c>
      <c r="N536">
        <f t="shared" si="96"/>
        <v>0</v>
      </c>
      <c r="O536">
        <f t="shared" si="97"/>
        <v>0</v>
      </c>
      <c r="P536">
        <f>IFERROR(LN('Дивиденды по годам'!I536),"")</f>
        <v>24.773797826211858</v>
      </c>
      <c r="Q536">
        <f>IFERROR('Дивиденды по годам'!G536/'Дивиденды по годам'!I536, "")</f>
        <v>0.24178101274639549</v>
      </c>
      <c r="R536">
        <f>IFERROR(IF(AND('Дивиденды по годам'!N536&lt;&gt;"",'Дивиденды по годам'!U536&lt;&gt;"",'Дивиденды по годам'!U536&lt;&gt;0),'Дивиденды по годам'!N536/'Дивиденды по годам'!U536-1,""),"")</f>
        <v>0.22259335191541307</v>
      </c>
      <c r="S536">
        <f>IFERROR(IF(AND('Дивиденды по годам'!L536&lt;&gt;"",'Дивиденды по годам'!I536&lt;&gt;"",'Дивиденды по годам'!J536&lt;&gt;"",'Дивиденды по годам'!K536&lt;&gt;"",('Дивиденды по годам'!I536-'Дивиденды по годам'!J536-'Дивиденды по годам'!K536)&lt;&gt;0),'Дивиденды по годам'!L536/('Дивиденды по годам'!I536-'Дивиденды по годам'!J536-'Дивиденды по годам'!K536),""),"")</f>
        <v>0.70992861778066185</v>
      </c>
      <c r="T536">
        <f>IFERROR(IF(AND('Дивиденды по годам'!Q536&lt;&gt;"",'Дивиденды по годам'!I536&lt;&gt;"",'Дивиденды по годам'!V536&lt;&gt;"",('Дивиденды по годам'!I536+'Дивиденды по годам'!V536)&lt;&gt;0),'Дивиденды по годам'!Q536/(('Дивиденды по годам'!I536+'Дивиденды по годам'!V536)/2),""),"")</f>
        <v>2.7063778352754538E-2</v>
      </c>
      <c r="U536">
        <f>IFERROR(IF(AND('Дивиденды по годам'!J536&lt;&gt;"",'Дивиденды по годам'!K536&lt;&gt;"",'Дивиденды по годам'!M536&lt;&gt;"",'Дивиденды по годам'!M536&lt;&gt;0),('Дивиденды по годам'!J536+'Дивиденды по годам'!K536)/'Дивиденды по годам'!M536,""),"")</f>
        <v>1.8666699945090601</v>
      </c>
      <c r="V536" cm="1">
        <f t="array" ref="V536">IFERROR(AVERAGE(_xlfn._xlws.FILTER(P$2:P$1073,($C$2:$C$1073=$C536)*($E$2:$E$1073=$E536)*(ROW(P$2:P$1073)&lt;&gt;ROW(P536))*(P$2:P$1073&lt;&gt;""))),"")</f>
        <v>25.15882662961814</v>
      </c>
      <c r="W536" cm="1">
        <f t="array" ref="W536">IFERROR(AVERAGE(_xlfn._xlws.FILTER(Q$2:Q$1073,($C$2:$C$1073=$C536)*($E$2:$E$1073=$E536)*(ROW(Q$2:Q$1073)&lt;&gt;ROW(Q536))*(Q$2:Q$1073&lt;&gt;""))),"")</f>
        <v>0.27444370572429649</v>
      </c>
      <c r="X536" cm="1">
        <f t="array" ref="X536">IFERROR(AVERAGE(_xlfn._xlws.FILTER(R$2:R$1073,($C$2:$C$1073=$C536)*($E$2:$E$1073=$E536)*(ROW(R$2:R$1073)&lt;&gt;ROW(R536))*(R$2:R$1073&lt;&gt;""))),"")</f>
        <v>0.44421511038482703</v>
      </c>
      <c r="Y536" cm="1">
        <f t="array" ref="Y536">IFERROR(AVERAGE(_xlfn._xlws.FILTER(S$2:S$1073,($C$2:$C$1073=$C536)*($E$2:$E$1073=$E536)*(ROW(S$2:S$1073)&lt;&gt;ROW(S536))*(S$2:S$1073&lt;&gt;""))),"")</f>
        <v>0.92046447280239574</v>
      </c>
      <c r="Z536" cm="1">
        <f t="array" ref="Z536">IFERROR(AVERAGE(_xlfn._xlws.FILTER(T$2:T$1073,($C$2:$C$1073=$C536)*($E$2:$E$1073=$E536)*(ROW(T$2:T$1073)&lt;&gt;ROW(T536))*(T$2:T$1073&lt;&gt;""))),"")</f>
        <v>5.2048729270290715E-2</v>
      </c>
      <c r="AA536" cm="1">
        <f t="array" ref="AA536">IFERROR(AVERAGE(_xlfn._xlws.FILTER(U$2:U$1073,($C$2:$C$1073=$C536)*($E$2:$E$1073=$E536)*(ROW(U$2:U$1073)&lt;&gt;ROW(U536))*(U$2:U$1073&lt;&gt;""))),"")</f>
        <v>-3.2081950920250732</v>
      </c>
    </row>
    <row r="537" spans="1:27" x14ac:dyDescent="0.2">
      <c r="A537" s="7" t="s">
        <v>2247</v>
      </c>
      <c r="B537" t="str">
        <f t="shared" si="90"/>
        <v>BELU IV кв. 2018</v>
      </c>
      <c r="C537">
        <v>2018</v>
      </c>
      <c r="D537">
        <f>SUMIFS(Дивиденды!$C:$C,Дивиденды!$A:$A,A537,Дивиденды!$I:$I,C537)</f>
        <v>0</v>
      </c>
      <c r="E537">
        <v>4</v>
      </c>
      <c r="F537">
        <f t="shared" si="91"/>
        <v>0</v>
      </c>
      <c r="G537">
        <f t="shared" si="92"/>
        <v>21.978571428571428</v>
      </c>
      <c r="H537">
        <f t="shared" si="93"/>
        <v>0</v>
      </c>
      <c r="I537">
        <f t="shared" si="89"/>
        <v>0.14285714285714285</v>
      </c>
      <c r="J537">
        <f t="shared" si="94"/>
        <v>0</v>
      </c>
      <c r="K537">
        <f t="shared" si="98"/>
        <v>-1.8223065562117002E-2</v>
      </c>
      <c r="L537">
        <f t="shared" si="95"/>
        <v>0</v>
      </c>
      <c r="M537">
        <f t="shared" si="88"/>
        <v>7.1428571428571425E-2</v>
      </c>
      <c r="N537">
        <f t="shared" si="96"/>
        <v>0</v>
      </c>
      <c r="O537">
        <f t="shared" si="97"/>
        <v>7.1428571428571425E-2</v>
      </c>
      <c r="P537">
        <f>IFERROR(LN('Дивиденды по годам'!I537),"")</f>
        <v>24.604210886803696</v>
      </c>
      <c r="Q537">
        <f>IFERROR('Дивиденды по годам'!G537/'Дивиденды по годам'!I537, "")</f>
        <v>0.21854755518877655</v>
      </c>
      <c r="R537">
        <f>IFERROR(IF(AND('Дивиденды по годам'!N537&lt;&gt;"",'Дивиденды по годам'!U537&lt;&gt;"",'Дивиденды по годам'!U537&lt;&gt;0),'Дивиденды по годам'!N537/'Дивиденды по годам'!U537-1,""),"")</f>
        <v>0.16374018175481875</v>
      </c>
      <c r="S537">
        <f>IFERROR(IF(AND('Дивиденды по годам'!L537&lt;&gt;"",'Дивиденды по годам'!I537&lt;&gt;"",'Дивиденды по годам'!J537&lt;&gt;"",'Дивиденды по годам'!K537&lt;&gt;"",('Дивиденды по годам'!I537-'Дивиденды по годам'!J537-'Дивиденды по годам'!K537)&lt;&gt;0),'Дивиденды по годам'!L537/('Дивиденды по годам'!I537-'Дивиденды по годам'!J537-'Дивиденды по годам'!K537),""),"")</f>
        <v>0.66841321210253246</v>
      </c>
      <c r="T537">
        <f>IFERROR(IF(AND('Дивиденды по годам'!Q537&lt;&gt;"",'Дивиденды по годам'!I537&lt;&gt;"",'Дивиденды по годам'!V537&lt;&gt;"",('Дивиденды по годам'!I537+'Дивиденды по годам'!V537)&lt;&gt;0),'Дивиденды по годам'!Q537/(('Дивиденды по годам'!I537+'Дивиденды по годам'!V537)/2),""),"")</f>
        <v>2.0969094059129268E-2</v>
      </c>
      <c r="U537">
        <f>IFERROR(IF(AND('Дивиденды по годам'!J537&lt;&gt;"",'Дивиденды по годам'!K537&lt;&gt;"",'Дивиденды по годам'!M537&lt;&gt;"",'Дивиденды по годам'!M537&lt;&gt;0),('Дивиденды по годам'!J537+'Дивиденды по годам'!K537)/'Дивиденды по годам'!M537,""),"")</f>
        <v>1.4898546257769558</v>
      </c>
      <c r="V537" cm="1">
        <f t="array" ref="V537">IFERROR(AVERAGE(_xlfn._xlws.FILTER(P$2:P$1073,($C$2:$C$1073=$C537)*($E$2:$E$1073=$E537)*(ROW(P$2:P$1073)&lt;&gt;ROW(P537))*(P$2:P$1073&lt;&gt;""))),"")</f>
        <v>24.958947340778607</v>
      </c>
      <c r="W537" cm="1">
        <f t="array" ref="W537">IFERROR(AVERAGE(_xlfn._xlws.FILTER(Q$2:Q$1073,($C$2:$C$1073=$C537)*($E$2:$E$1073=$E537)*(ROW(Q$2:Q$1073)&lt;&gt;ROW(Q537))*(Q$2:Q$1073&lt;&gt;""))),"")</f>
        <v>0.33259145845635696</v>
      </c>
      <c r="X537" cm="1">
        <f t="array" ref="X537">IFERROR(AVERAGE(_xlfn._xlws.FILTER(R$2:R$1073,($C$2:$C$1073=$C537)*($E$2:$E$1073=$E537)*(ROW(R$2:R$1073)&lt;&gt;ROW(R537))*(R$2:R$1073&lt;&gt;""))),"")</f>
        <v>3.8787972899830825E-2</v>
      </c>
      <c r="Y537" cm="1">
        <f t="array" ref="Y537">IFERROR(AVERAGE(_xlfn._xlws.FILTER(S$2:S$1073,($C$2:$C$1073=$C537)*($E$2:$E$1073=$E537)*(ROW(S$2:S$1073)&lt;&gt;ROW(S537))*(S$2:S$1073&lt;&gt;""))),"")</f>
        <v>0.64025371826632438</v>
      </c>
      <c r="Z537" cm="1">
        <f t="array" ref="Z537">IFERROR(AVERAGE(_xlfn._xlws.FILTER(T$2:T$1073,($C$2:$C$1073=$C537)*($E$2:$E$1073=$E537)*(ROW(T$2:T$1073)&lt;&gt;ROW(T537))*(T$2:T$1073&lt;&gt;""))),"")</f>
        <v>4.8373468505850782E-3</v>
      </c>
      <c r="AA537" cm="1">
        <f t="array" ref="AA537">IFERROR(AVERAGE(_xlfn._xlws.FILTER(U$2:U$1073,($C$2:$C$1073=$C537)*($E$2:$E$1073=$E537)*(ROW(U$2:U$1073)&lt;&gt;ROW(U537))*(U$2:U$1073&lt;&gt;""))),"")</f>
        <v>1.0079358254287676</v>
      </c>
    </row>
    <row r="538" spans="1:27" x14ac:dyDescent="0.2">
      <c r="A538" s="7" t="s">
        <v>2247</v>
      </c>
      <c r="B538" t="str">
        <f t="shared" si="90"/>
        <v>BELU IV кв. 2017</v>
      </c>
      <c r="C538">
        <v>2017</v>
      </c>
      <c r="D538">
        <f>SUMIFS(Дивиденды!$C:$C,Дивиденды!$A:$A,A538,Дивиденды!$I:$I,C538)</f>
        <v>0</v>
      </c>
      <c r="E538">
        <v>4</v>
      </c>
      <c r="F538">
        <f t="shared" si="91"/>
        <v>0</v>
      </c>
      <c r="G538">
        <f t="shared" si="92"/>
        <v>18.403571428571428</v>
      </c>
      <c r="H538">
        <f t="shared" si="93"/>
        <v>0</v>
      </c>
      <c r="I538">
        <f t="shared" si="89"/>
        <v>0.14285714285714285</v>
      </c>
      <c r="J538">
        <f t="shared" si="94"/>
        <v>0</v>
      </c>
      <c r="K538">
        <f t="shared" si="98"/>
        <v>-1.7352821773673279E-2</v>
      </c>
      <c r="L538">
        <f t="shared" si="95"/>
        <v>0</v>
      </c>
      <c r="M538">
        <f t="shared" si="88"/>
        <v>0</v>
      </c>
      <c r="N538">
        <f t="shared" si="96"/>
        <v>0</v>
      </c>
      <c r="O538">
        <f t="shared" si="97"/>
        <v>0.14285714285714285</v>
      </c>
      <c r="P538">
        <f>IFERROR(LN('Дивиденды по годам'!I538),"")</f>
        <v>24.436715944994553</v>
      </c>
      <c r="Q538">
        <f>IFERROR('Дивиденды по годам'!G538/'Дивиденды по годам'!I538, "")</f>
        <v>0.15858031467252104</v>
      </c>
      <c r="R538">
        <f>IFERROR(IF(AND('Дивиденды по годам'!N538&lt;&gt;"",'Дивиденды по годам'!U538&lt;&gt;"",'Дивиденды по годам'!U538&lt;&gt;0),'Дивиденды по годам'!N538/'Дивиденды по годам'!U538-1,""),"")</f>
        <v>3.8993955936829749E-2</v>
      </c>
      <c r="S538">
        <f>IFERROR(IF(AND('Дивиденды по годам'!L538&lt;&gt;"",'Дивиденды по годам'!I538&lt;&gt;"",'Дивиденды по годам'!J538&lt;&gt;"",'Дивиденды по годам'!K538&lt;&gt;"",('Дивиденды по годам'!I538-'Дивиденды по годам'!J538-'Дивиденды по годам'!K538)&lt;&gt;0),'Дивиденды по годам'!L538/('Дивиденды по годам'!I538-'Дивиденды по годам'!J538-'Дивиденды по годам'!K538),""),"")</f>
        <v>0.62181201151789389</v>
      </c>
      <c r="T538">
        <f>IFERROR(IF(AND('Дивиденды по годам'!Q538&lt;&gt;"",'Дивиденды по годам'!I538&lt;&gt;"",'Дивиденды по годам'!V538&lt;&gt;"",('Дивиденды по годам'!I538+'Дивиденды по годам'!V538)&lt;&gt;0),'Дивиденды по годам'!Q538/(('Дивиденды по годам'!I538+'Дивиденды по годам'!V538)/2),""),"")</f>
        <v>1.6584797690788473E-2</v>
      </c>
      <c r="U538">
        <f>IFERROR(IF(AND('Дивиденды по годам'!J538&lt;&gt;"",'Дивиденды по годам'!K538&lt;&gt;"",'Дивиденды по годам'!M538&lt;&gt;"",'Дивиденды по годам'!M538&lt;&gt;0),('Дивиденды по годам'!J538+'Дивиденды по годам'!K538)/'Дивиденды по годам'!M538,""),"")</f>
        <v>1.1079288358700123</v>
      </c>
      <c r="V538" cm="1">
        <f t="array" ref="V538">IFERROR(AVERAGE(_xlfn._xlws.FILTER(P$2:P$1073,($C$2:$C$1073=$C538)*($E$2:$E$1073=$E538)*(ROW(P$2:P$1073)&lt;&gt;ROW(P538))*(P$2:P$1073&lt;&gt;""))),"")</f>
        <v>24.785543002187424</v>
      </c>
      <c r="W538" cm="1">
        <f t="array" ref="W538">IFERROR(AVERAGE(_xlfn._xlws.FILTER(Q$2:Q$1073,($C$2:$C$1073=$C538)*($E$2:$E$1073=$E538)*(ROW(Q$2:Q$1073)&lt;&gt;ROW(Q538))*(Q$2:Q$1073&lt;&gt;""))),"")</f>
        <v>0.37001740899292779</v>
      </c>
      <c r="X538" cm="1">
        <f t="array" ref="X538">IFERROR(AVERAGE(_xlfn._xlws.FILTER(R$2:R$1073,($C$2:$C$1073=$C538)*($E$2:$E$1073=$E538)*(ROW(R$2:R$1073)&lt;&gt;ROW(R538))*(R$2:R$1073&lt;&gt;""))),"")</f>
        <v>0.28639799253611209</v>
      </c>
      <c r="Y538" cm="1">
        <f t="array" ref="Y538">IFERROR(AVERAGE(_xlfn._xlws.FILTER(S$2:S$1073,($C$2:$C$1073=$C538)*($E$2:$E$1073=$E538)*(ROW(S$2:S$1073)&lt;&gt;ROW(S538))*(S$2:S$1073&lt;&gt;""))),"")</f>
        <v>0.61706867449061475</v>
      </c>
      <c r="Z538" cm="1">
        <f t="array" ref="Z538">IFERROR(AVERAGE(_xlfn._xlws.FILTER(T$2:T$1073,($C$2:$C$1073=$C538)*($E$2:$E$1073=$E538)*(ROW(T$2:T$1073)&lt;&gt;ROW(T538))*(T$2:T$1073&lt;&gt;""))),"")</f>
        <v>-3.79516771129082E-2</v>
      </c>
      <c r="AA538" cm="1">
        <f t="array" ref="AA538">IFERROR(AVERAGE(_xlfn._xlws.FILTER(U$2:U$1073,($C$2:$C$1073=$C538)*($E$2:$E$1073=$E538)*(ROW(U$2:U$1073)&lt;&gt;ROW(U538))*(U$2:U$1073&lt;&gt;""))),"")</f>
        <v>0.54592006360561529</v>
      </c>
    </row>
    <row r="539" spans="1:27" x14ac:dyDescent="0.2">
      <c r="A539" s="7" t="s">
        <v>2247</v>
      </c>
      <c r="B539" t="str">
        <f t="shared" si="90"/>
        <v>BELU IV кв. 2016</v>
      </c>
      <c r="C539">
        <v>2016</v>
      </c>
      <c r="D539">
        <f>SUMIFS(Дивиденды!$C:$C,Дивиденды!$A:$A,A539,Дивиденды!$I:$I,C539)</f>
        <v>0</v>
      </c>
      <c r="E539">
        <v>4</v>
      </c>
      <c r="F539">
        <f t="shared" si="91"/>
        <v>0</v>
      </c>
      <c r="G539">
        <f t="shared" si="92"/>
        <v>20.421428571428571</v>
      </c>
      <c r="H539">
        <f t="shared" si="93"/>
        <v>0</v>
      </c>
      <c r="I539">
        <f t="shared" si="89"/>
        <v>0.14285714285714285</v>
      </c>
      <c r="J539">
        <f t="shared" si="94"/>
        <v>0</v>
      </c>
      <c r="K539">
        <f t="shared" si="98"/>
        <v>2.0593461763560781E-2</v>
      </c>
      <c r="L539">
        <f t="shared" si="95"/>
        <v>0</v>
      </c>
      <c r="M539">
        <f t="shared" si="88"/>
        <v>7.1428571428571425E-2</v>
      </c>
      <c r="N539">
        <f t="shared" si="96"/>
        <v>0</v>
      </c>
      <c r="O539">
        <f t="shared" si="97"/>
        <v>7.1428571428571425E-2</v>
      </c>
      <c r="P539">
        <f>IFERROR(LN('Дивиденды по годам'!I539),"")</f>
        <v>24.360667769177638</v>
      </c>
      <c r="Q539">
        <f>IFERROR('Дивиденды по годам'!G539/'Дивиденды по годам'!I539, "")</f>
        <v>0.17316347748269417</v>
      </c>
      <c r="R539">
        <f>IFERROR(IF(AND('Дивиденды по годам'!N539&lt;&gt;"",'Дивиденды по годам'!U539&lt;&gt;"",'Дивиденды по годам'!U539&lt;&gt;0),'Дивиденды по годам'!N539/'Дивиденды по годам'!U539-1,""),"")</f>
        <v>0.16925030938578778</v>
      </c>
      <c r="S539">
        <f>IFERROR(IF(AND('Дивиденды по годам'!L539&lt;&gt;"",'Дивиденды по годам'!I539&lt;&gt;"",'Дивиденды по годам'!J539&lt;&gt;"",'Дивиденды по годам'!K539&lt;&gt;"",('Дивиденды по годам'!I539-'Дивиденды по годам'!J539-'Дивиденды по годам'!K539)&lt;&gt;0),'Дивиденды по годам'!L539/('Дивиденды по годам'!I539-'Дивиденды по годам'!J539-'Дивиденды по годам'!K539),""),"")</f>
        <v>0.59142548707140286</v>
      </c>
      <c r="T539">
        <f>IFERROR(IF(AND('Дивиденды по годам'!Q539&lt;&gt;"",'Дивиденды по годам'!I539&lt;&gt;"",'Дивиденды по годам'!V539&lt;&gt;"",('Дивиденды по годам'!I539+'Дивиденды по годам'!V539)&lt;&gt;0),'Дивиденды по годам'!Q539/(('Дивиденды по годам'!I539+'Дивиденды по годам'!V539)/2),""),"")</f>
        <v>7.4681584879015836E-3</v>
      </c>
      <c r="U539">
        <f>IFERROR(IF(AND('Дивиденды по годам'!J539&lt;&gt;"",'Дивиденды по годам'!K539&lt;&gt;"",'Дивиденды по годам'!M539&lt;&gt;"",'Дивиденды по годам'!M539&lt;&gt;0),('Дивиденды по годам'!J539+'Дивиденды по годам'!K539)/'Дивиденды по годам'!M539,""),"")</f>
        <v>0.95306636508507681</v>
      </c>
      <c r="V539" cm="1">
        <f t="array" ref="V539">IFERROR(AVERAGE(_xlfn._xlws.FILTER(P$2:P$1073,($C$2:$C$1073=$C539)*($E$2:$E$1073=$E539)*(ROW(P$2:P$1073)&lt;&gt;ROW(P539))*(P$2:P$1073&lt;&gt;""))),"")</f>
        <v>24.603970040650388</v>
      </c>
      <c r="W539" cm="1">
        <f t="array" ref="W539">IFERROR(AVERAGE(_xlfn._xlws.FILTER(Q$2:Q$1073,($C$2:$C$1073=$C539)*($E$2:$E$1073=$E539)*(ROW(Q$2:Q$1073)&lt;&gt;ROW(Q539))*(Q$2:Q$1073&lt;&gt;""))),"")</f>
        <v>0.30519171687667801</v>
      </c>
      <c r="X539" cm="1">
        <f t="array" ref="X539">IFERROR(AVERAGE(_xlfn._xlws.FILTER(R$2:R$1073,($C$2:$C$1073=$C539)*($E$2:$E$1073=$E539)*(ROW(R$2:R$1073)&lt;&gt;ROW(R539))*(R$2:R$1073&lt;&gt;""))),"")</f>
        <v>0.1650809091258314</v>
      </c>
      <c r="Y539" cm="1">
        <f t="array" ref="Y539">IFERROR(AVERAGE(_xlfn._xlws.FILTER(S$2:S$1073,($C$2:$C$1073=$C539)*($E$2:$E$1073=$E539)*(ROW(S$2:S$1073)&lt;&gt;ROW(S539))*(S$2:S$1073&lt;&gt;""))),"")</f>
        <v>7.6244788431838897</v>
      </c>
      <c r="Z539" cm="1">
        <f t="array" ref="Z539">IFERROR(AVERAGE(_xlfn._xlws.FILTER(T$2:T$1073,($C$2:$C$1073=$C539)*($E$2:$E$1073=$E539)*(ROW(T$2:T$1073)&lt;&gt;ROW(T539))*(T$2:T$1073&lt;&gt;""))),"")</f>
        <v>-2.9249541148996083E-2</v>
      </c>
      <c r="AA539" cm="1">
        <f t="array" ref="AA539">IFERROR(AVERAGE(_xlfn._xlws.FILTER(U$2:U$1073,($C$2:$C$1073=$C539)*($E$2:$E$1073=$E539)*(ROW(U$2:U$1073)&lt;&gt;ROW(U539))*(U$2:U$1073&lt;&gt;""))),"")</f>
        <v>-20.293901217688628</v>
      </c>
    </row>
    <row r="540" spans="1:27" x14ac:dyDescent="0.2">
      <c r="A540" s="7" t="s">
        <v>2247</v>
      </c>
      <c r="B540" t="str">
        <f t="shared" si="90"/>
        <v>BELU IV кв. 2015</v>
      </c>
      <c r="C540">
        <v>2015</v>
      </c>
      <c r="D540">
        <f>SUMIFS(Дивиденды!$C:$C,Дивиденды!$A:$A,A540,Дивиденды!$I:$I,C540)</f>
        <v>0</v>
      </c>
      <c r="E540">
        <v>4</v>
      </c>
      <c r="F540">
        <f t="shared" si="91"/>
        <v>0</v>
      </c>
      <c r="G540">
        <f t="shared" si="92"/>
        <v>22.574999999999999</v>
      </c>
      <c r="H540">
        <f t="shared" si="93"/>
        <v>0</v>
      </c>
      <c r="I540">
        <f t="shared" si="89"/>
        <v>0.14285714285714285</v>
      </c>
      <c r="J540">
        <f t="shared" si="94"/>
        <v>0</v>
      </c>
      <c r="K540">
        <f t="shared" si="98"/>
        <v>6.1102189263868886E-2</v>
      </c>
      <c r="L540">
        <f t="shared" si="95"/>
        <v>0</v>
      </c>
      <c r="M540">
        <f t="shared" si="88"/>
        <v>7.1428571428571425E-2</v>
      </c>
      <c r="N540">
        <f t="shared" si="96"/>
        <v>0</v>
      </c>
      <c r="O540">
        <f t="shared" si="97"/>
        <v>7.1428571428571425E-2</v>
      </c>
      <c r="P540">
        <f>IFERROR(LN('Дивиденды по годам'!I540),"")</f>
        <v>24.297099131738829</v>
      </c>
      <c r="Q540">
        <f>IFERROR('Дивиденды по годам'!G540/'Дивиденды по годам'!I540, "")</f>
        <v>0.18859563010125374</v>
      </c>
      <c r="R540">
        <f>IFERROR(IF(AND('Дивиденды по годам'!N540&lt;&gt;"",'Дивиденды по годам'!U540&lt;&gt;"",'Дивиденды по годам'!U540&lt;&gt;0),'Дивиденды по годам'!N540/'Дивиденды по годам'!U540-1,""),"")</f>
        <v>9.0295778148634653E-2</v>
      </c>
      <c r="S540">
        <f>IFERROR(IF(AND('Дивиденды по годам'!L540&lt;&gt;"",'Дивиденды по годам'!I540&lt;&gt;"",'Дивиденды по годам'!J540&lt;&gt;"",'Дивиденды по годам'!K540&lt;&gt;"",('Дивиденды по годам'!I540-'Дивиденды по годам'!J540-'Дивиденды по годам'!K540)&lt;&gt;0),'Дивиденды по годам'!L540/('Дивиденды по годам'!I540-'Дивиденды по годам'!J540-'Дивиденды по годам'!K540),""),"")</f>
        <v>0.58501635429105447</v>
      </c>
      <c r="T540">
        <f>IFERROR(IF(AND('Дивиденды по годам'!Q540&lt;&gt;"",'Дивиденды по годам'!I540&lt;&gt;"",'Дивиденды по годам'!V540&lt;&gt;"",('Дивиденды по годам'!I540+'Дивиденды по годам'!V540)&lt;&gt;0),'Дивиденды по годам'!Q540/(('Дивиденды по годам'!I540+'Дивиденды по годам'!V540)/2),""),"")</f>
        <v>6.8493150684931503E-3</v>
      </c>
      <c r="U540">
        <f>IFERROR(IF(AND('Дивиденды по годам'!J540&lt;&gt;"",'Дивиденды по годам'!K540&lt;&gt;"",'Дивиденды по годам'!M540&lt;&gt;"",'Дивиденды по годам'!M540&lt;&gt;0),('Дивиденды по годам'!J540+'Дивиденды по годам'!K540)/'Дивиденды по годам'!M540,""),"")</f>
        <v>0.85104615544364259</v>
      </c>
      <c r="V540" cm="1">
        <f t="array" ref="V540">IFERROR(AVERAGE(_xlfn._xlws.FILTER(P$2:P$1073,($C$2:$C$1073=$C540)*($E$2:$E$1073=$E540)*(ROW(P$2:P$1073)&lt;&gt;ROW(P540))*(P$2:P$1073&lt;&gt;""))),"")</f>
        <v>24.947443476418986</v>
      </c>
      <c r="W540" cm="1">
        <f t="array" ref="W540">IFERROR(AVERAGE(_xlfn._xlws.FILTER(Q$2:Q$1073,($C$2:$C$1073=$C540)*($E$2:$E$1073=$E540)*(ROW(Q$2:Q$1073)&lt;&gt;ROW(Q540))*(Q$2:Q$1073&lt;&gt;""))),"")</f>
        <v>0.33323221643954565</v>
      </c>
      <c r="X540" cm="1">
        <f t="array" ref="X540">IFERROR(AVERAGE(_xlfn._xlws.FILTER(R$2:R$1073,($C$2:$C$1073=$C540)*($E$2:$E$1073=$E540)*(ROW(R$2:R$1073)&lt;&gt;ROW(R540))*(R$2:R$1073&lt;&gt;""))),"")</f>
        <v>0.23756390857134302</v>
      </c>
      <c r="Y540" cm="1">
        <f t="array" ref="Y540">IFERROR(AVERAGE(_xlfn._xlws.FILTER(S$2:S$1073,($C$2:$C$1073=$C540)*($E$2:$E$1073=$E540)*(ROW(S$2:S$1073)&lt;&gt;ROW(S540))*(S$2:S$1073&lt;&gt;""))),"")</f>
        <v>-1.0048302871614239</v>
      </c>
      <c r="Z540" cm="1">
        <f t="array" ref="Z540">IFERROR(AVERAGE(_xlfn._xlws.FILTER(T$2:T$1073,($C$2:$C$1073=$C540)*($E$2:$E$1073=$E540)*(ROW(T$2:T$1073)&lt;&gt;ROW(T540))*(T$2:T$1073&lt;&gt;""))),"")</f>
        <v>8.3092836568136E-2</v>
      </c>
      <c r="AA540" cm="1">
        <f t="array" ref="AA540">IFERROR(AVERAGE(_xlfn._xlws.FILTER(U$2:U$1073,($C$2:$C$1073=$C540)*($E$2:$E$1073=$E540)*(ROW(U$2:U$1073)&lt;&gt;ROW(U540))*(U$2:U$1073&lt;&gt;""))),"")</f>
        <v>7.0749318915557629</v>
      </c>
    </row>
    <row r="541" spans="1:27" x14ac:dyDescent="0.2">
      <c r="A541" s="7" t="s">
        <v>2247</v>
      </c>
      <c r="B541" t="str">
        <f t="shared" si="90"/>
        <v>BELU IV кв. 2014</v>
      </c>
      <c r="C541">
        <v>2014</v>
      </c>
      <c r="D541">
        <f>SUMIFS(Дивиденды!$C:$C,Дивиденды!$A:$A,A541,Дивиденды!$I:$I,C541)</f>
        <v>0</v>
      </c>
      <c r="E541">
        <v>4</v>
      </c>
      <c r="F541">
        <f t="shared" si="91"/>
        <v>0</v>
      </c>
      <c r="G541">
        <f t="shared" si="92"/>
        <v>25.924285714285713</v>
      </c>
      <c r="H541">
        <f t="shared" si="93"/>
        <v>0</v>
      </c>
      <c r="I541">
        <f t="shared" si="89"/>
        <v>7.1428571428571425E-2</v>
      </c>
      <c r="J541">
        <f t="shared" si="94"/>
        <v>0</v>
      </c>
      <c r="K541">
        <f t="shared" si="98"/>
        <v>4.887635107293415E-2</v>
      </c>
      <c r="L541">
        <f t="shared" si="95"/>
        <v>0</v>
      </c>
      <c r="M541">
        <f t="shared" si="88"/>
        <v>7.1428571428571425E-2</v>
      </c>
      <c r="N541">
        <f t="shared" si="96"/>
        <v>0</v>
      </c>
      <c r="O541">
        <f t="shared" si="97"/>
        <v>7.1428571428571425E-2</v>
      </c>
      <c r="P541">
        <f>IFERROR(LN('Дивиденды по годам'!I541),"")</f>
        <v>24.270552924480462</v>
      </c>
      <c r="Q541">
        <f>IFERROR('Дивиденды по годам'!G541/'Дивиденды по годам'!I541, "")</f>
        <v>0.20222356634695698</v>
      </c>
      <c r="R541">
        <f>IFERROR(IF(AND('Дивиденды по годам'!N541&lt;&gt;"",'Дивиденды по годам'!U541&lt;&gt;"",'Дивиденды по годам'!U541&lt;&gt;0),'Дивиденды по годам'!N541/'Дивиденды по годам'!U541-1,""),"")</f>
        <v>-0.36845764004126114</v>
      </c>
      <c r="S541">
        <f>IFERROR(IF(AND('Дивиденды по годам'!L541&lt;&gt;"",'Дивиденды по годам'!I541&lt;&gt;"",'Дивиденды по годам'!J541&lt;&gt;"",'Дивиденды по годам'!K541&lt;&gt;"",('Дивиденды по годам'!I541-'Дивиденды по годам'!J541-'Дивиденды по годам'!K541)&lt;&gt;0),'Дивиденды по годам'!L541/('Дивиденды по годам'!I541-'Дивиденды по годам'!J541-'Дивиденды по годам'!K541),""),"")</f>
        <v>0.58122649394066028</v>
      </c>
      <c r="T541">
        <f>IFERROR(IF(AND('Дивиденды по годам'!Q541&lt;&gt;"",'Дивиденды по годам'!I541&lt;&gt;"",'Дивиденды по годам'!V541&lt;&gt;"",('Дивиденды по годам'!I541+'Дивиденды по годам'!V541)&lt;&gt;0),'Дивиденды по годам'!Q541/(('Дивиденды по годам'!I541+'Дивиденды по годам'!V541)/2),""),"")</f>
        <v>3.1593745018188145E-2</v>
      </c>
      <c r="U541">
        <f>IFERROR(IF(AND('Дивиденды по годам'!J541&lt;&gt;"",'Дивиденды по годам'!K541&lt;&gt;"",'Дивиденды по годам'!M541&lt;&gt;"",'Дивиденды по годам'!M541&lt;&gt;0),('Дивиденды по годам'!J541+'Дивиденды по годам'!K541)/'Дивиденды по годам'!M541,""),"")</f>
        <v>0.81357083159214372</v>
      </c>
      <c r="V541" cm="1">
        <f t="array" ref="V541">IFERROR(AVERAGE(_xlfn._xlws.FILTER(P$2:P$1073,($C$2:$C$1073=$C541)*($E$2:$E$1073=$E541)*(ROW(P$2:P$1073)&lt;&gt;ROW(P541))*(P$2:P$1073&lt;&gt;""))),"")</f>
        <v>24.946950742289715</v>
      </c>
      <c r="W541" cm="1">
        <f t="array" ref="W541">IFERROR(AVERAGE(_xlfn._xlws.FILTER(Q$2:Q$1073,($C$2:$C$1073=$C541)*($E$2:$E$1073=$E541)*(ROW(Q$2:Q$1073)&lt;&gt;ROW(Q541))*(Q$2:Q$1073&lt;&gt;""))),"")</f>
        <v>0.31919149954124043</v>
      </c>
      <c r="X541" cm="1">
        <f t="array" ref="X541">IFERROR(AVERAGE(_xlfn._xlws.FILTER(R$2:R$1073,($C$2:$C$1073=$C541)*($E$2:$E$1073=$E541)*(ROW(R$2:R$1073)&lt;&gt;ROW(R541))*(R$2:R$1073&lt;&gt;""))),"")</f>
        <v>0.23684214106015269</v>
      </c>
      <c r="Y541" cm="1">
        <f t="array" ref="Y541">IFERROR(AVERAGE(_xlfn._xlws.FILTER(S$2:S$1073,($C$2:$C$1073=$C541)*($E$2:$E$1073=$E541)*(ROW(S$2:S$1073)&lt;&gt;ROW(S541))*(S$2:S$1073&lt;&gt;""))),"")</f>
        <v>-13.780497190349083</v>
      </c>
      <c r="Z541" cm="1">
        <f t="array" ref="Z541">IFERROR(AVERAGE(_xlfn._xlws.FILTER(T$2:T$1073,($C$2:$C$1073=$C541)*($E$2:$E$1073=$E541)*(ROW(T$2:T$1073)&lt;&gt;ROW(T541))*(T$2:T$1073&lt;&gt;""))),"")</f>
        <v>3.6080182648938114E-2</v>
      </c>
      <c r="AA541" cm="1">
        <f t="array" ref="AA541">IFERROR(AVERAGE(_xlfn._xlws.FILTER(U$2:U$1073,($C$2:$C$1073=$C541)*($E$2:$E$1073=$E541)*(ROW(U$2:U$1073)&lt;&gt;ROW(U541))*(U$2:U$1073&lt;&gt;""))),"")</f>
        <v>45.654517153414311</v>
      </c>
    </row>
    <row r="542" spans="1:27" x14ac:dyDescent="0.2">
      <c r="A542" s="7" t="s">
        <v>2247</v>
      </c>
      <c r="B542" t="str">
        <f t="shared" si="90"/>
        <v>BELU IV кв. 2013</v>
      </c>
      <c r="C542">
        <v>2013</v>
      </c>
      <c r="D542">
        <f>SUMIFS(Дивиденды!$C:$C,Дивиденды!$A:$A,A542,Дивиденды!$I:$I,C542)</f>
        <v>0</v>
      </c>
      <c r="E542">
        <v>4</v>
      </c>
      <c r="F542">
        <f t="shared" si="91"/>
        <v>0</v>
      </c>
      <c r="G542">
        <f t="shared" si="92"/>
        <v>13.409285714285716</v>
      </c>
      <c r="H542">
        <f t="shared" si="93"/>
        <v>0</v>
      </c>
      <c r="I542">
        <f t="shared" si="89"/>
        <v>0.14285714285714285</v>
      </c>
      <c r="J542">
        <f t="shared" si="94"/>
        <v>0</v>
      </c>
      <c r="K542">
        <f t="shared" si="98"/>
        <v>4.7291245939064024E-2</v>
      </c>
      <c r="L542">
        <f t="shared" si="95"/>
        <v>0</v>
      </c>
      <c r="M542">
        <f t="shared" si="88"/>
        <v>7.1428571428571425E-2</v>
      </c>
      <c r="N542">
        <f t="shared" si="96"/>
        <v>0</v>
      </c>
      <c r="O542">
        <f t="shared" si="97"/>
        <v>0</v>
      </c>
      <c r="P542">
        <f>IFERROR(LN('Дивиденды по годам'!I542),"")</f>
        <v>24.257886272031275</v>
      </c>
      <c r="Q542">
        <f>IFERROR('Дивиденды по годам'!G542/'Дивиденды по годам'!I542, "")</f>
        <v>0.18455749372848726</v>
      </c>
      <c r="R542">
        <f>IFERROR(IF(AND('Дивиденды по годам'!N542&lt;&gt;"",'Дивиденды по годам'!U542&lt;&gt;"",'Дивиденды по годам'!U542&lt;&gt;0),'Дивиденды по годам'!N542/'Дивиденды по годам'!U542-1,""),"")</f>
        <v>0.67241201235411219</v>
      </c>
      <c r="S542" t="str">
        <f>IFERROR(IF(AND('Дивиденды по годам'!L542&lt;&gt;"",'Дивиденды по годам'!I542&lt;&gt;"",'Дивиденды по годам'!J542&lt;&gt;"",'Дивиденды по годам'!K542&lt;&gt;"",('Дивиденды по годам'!I542-'Дивиденды по годам'!J542-'Дивиденды по годам'!K542)&lt;&gt;0),'Дивиденды по годам'!L542/('Дивиденды по годам'!I542-'Дивиденды по годам'!J542-'Дивиденды по годам'!K542),""),"")</f>
        <v/>
      </c>
      <c r="T542">
        <f>IFERROR(IF(AND('Дивиденды по годам'!Q542&lt;&gt;"",'Дивиденды по годам'!I542&lt;&gt;"",'Дивиденды по годам'!V542&lt;&gt;"",('Дивиденды по годам'!I542+'Дивиденды по годам'!V542)&lt;&gt;0),'Дивиденды по годам'!Q542/(('Дивиденды по годам'!I542+'Дивиденды по годам'!V542)/2),""),"")</f>
        <v>4.7387385232042743E-2</v>
      </c>
      <c r="U542">
        <f>IFERROR(IF(AND('Дивиденды по годам'!J542&lt;&gt;"",'Дивиденды по годам'!K542&lt;&gt;"",'Дивиденды по годам'!M542&lt;&gt;"",'Дивиденды по годам'!M542&lt;&gt;0),('Дивиденды по годам'!J542+'Дивиденды по годам'!K542)/'Дивиденды по годам'!M542,""),"")</f>
        <v>0.86629647776144592</v>
      </c>
      <c r="V542" cm="1">
        <f t="array" ref="V542">IFERROR(AVERAGE(_xlfn._xlws.FILTER(P$2:P$1073,($C$2:$C$1073=$C542)*($E$2:$E$1073=$E542)*(ROW(P$2:P$1073)&lt;&gt;ROW(P542))*(P$2:P$1073&lt;&gt;""))),"")</f>
        <v>24.289115409751872</v>
      </c>
      <c r="W542" cm="1">
        <f t="array" ref="W542">IFERROR(AVERAGE(_xlfn._xlws.FILTER(Q$2:Q$1073,($C$2:$C$1073=$C542)*($E$2:$E$1073=$E542)*(ROW(Q$2:Q$1073)&lt;&gt;ROW(Q542))*(Q$2:Q$1073&lt;&gt;""))),"")</f>
        <v>0.40260580147272096</v>
      </c>
      <c r="X542" cm="1">
        <f t="array" ref="X542">IFERROR(AVERAGE(_xlfn._xlws.FILTER(R$2:R$1073,($C$2:$C$1073=$C542)*($E$2:$E$1073=$E542)*(ROW(R$2:R$1073)&lt;&gt;ROW(R542))*(R$2:R$1073&lt;&gt;""))),"")</f>
        <v>9.6138847771955662E-3</v>
      </c>
      <c r="Y542" t="str" cm="1">
        <f t="array" ref="Y542">IFERROR(AVERAGE(_xlfn._xlws.FILTER(S$2:S$1073,($C$2:$C$1073=$C542)*($E$2:$E$1073=$E542)*(ROW(S$2:S$1073)&lt;&gt;ROW(S542))*(S$2:S$1073&lt;&gt;""))),"")</f>
        <v/>
      </c>
      <c r="Z542" cm="1">
        <f t="array" ref="Z542">IFERROR(AVERAGE(_xlfn._xlws.FILTER(T$2:T$1073,($C$2:$C$1073=$C542)*($E$2:$E$1073=$E542)*(ROW(T$2:T$1073)&lt;&gt;ROW(T542))*(T$2:T$1073&lt;&gt;""))),"")</f>
        <v>-0.18233101592105774</v>
      </c>
      <c r="AA542" cm="1">
        <f t="array" ref="AA542">IFERROR(AVERAGE(_xlfn._xlws.FILTER(U$2:U$1073,($C$2:$C$1073=$C542)*($E$2:$E$1073=$E542)*(ROW(U$2:U$1073)&lt;&gt;ROW(U542))*(U$2:U$1073&lt;&gt;""))),"")</f>
        <v>0.30545953651719859</v>
      </c>
    </row>
    <row r="543" spans="1:27" x14ac:dyDescent="0.2">
      <c r="A543" s="7" t="s">
        <v>2247</v>
      </c>
      <c r="B543" t="str">
        <f t="shared" si="90"/>
        <v>BELU IV кв. 2012</v>
      </c>
      <c r="C543">
        <v>2012</v>
      </c>
      <c r="D543">
        <f>SUMIFS(Дивиденды!$C:$C,Дивиденды!$A:$A,A543,Дивиденды!$I:$I,C543)</f>
        <v>0</v>
      </c>
      <c r="E543">
        <v>4</v>
      </c>
      <c r="F543">
        <f t="shared" si="91"/>
        <v>0</v>
      </c>
      <c r="G543">
        <f t="shared" si="92"/>
        <v>9.5621428571428577</v>
      </c>
      <c r="H543">
        <f t="shared" si="93"/>
        <v>0</v>
      </c>
      <c r="I543">
        <f t="shared" si="89"/>
        <v>0.14285714285714285</v>
      </c>
      <c r="J543">
        <f t="shared" si="94"/>
        <v>0</v>
      </c>
      <c r="K543">
        <f t="shared" si="98"/>
        <v>0.25341100242975517</v>
      </c>
      <c r="L543">
        <f t="shared" si="95"/>
        <v>0</v>
      </c>
      <c r="M543">
        <f t="shared" si="88"/>
        <v>0.14285714285714285</v>
      </c>
      <c r="N543">
        <f t="shared" si="96"/>
        <v>0</v>
      </c>
      <c r="O543">
        <f t="shared" si="97"/>
        <v>0</v>
      </c>
      <c r="P543">
        <f>IFERROR(LN('Дивиденды по годам'!I543),"")</f>
        <v>24.149364134705507</v>
      </c>
      <c r="Q543">
        <f>IFERROR('Дивиденды по годам'!G543/'Дивиденды по годам'!I543, "")</f>
        <v>0.19327664617250792</v>
      </c>
      <c r="R543">
        <f>IFERROR(IF(AND('Дивиденды по годам'!N543&lt;&gt;"",'Дивиденды по годам'!U543&lt;&gt;"",'Дивиденды по годам'!U543&lt;&gt;0),'Дивиденды по годам'!N543/'Дивиденды по годам'!U543-1,""),"")</f>
        <v>5.7551932103410808E-2</v>
      </c>
      <c r="S543" t="str">
        <f>IFERROR(IF(AND('Дивиденды по годам'!L543&lt;&gt;"",'Дивиденды по годам'!I543&lt;&gt;"",'Дивиденды по годам'!J543&lt;&gt;"",'Дивиденды по годам'!K543&lt;&gt;"",('Дивиденды по годам'!I543-'Дивиденды по годам'!J543-'Дивиденды по годам'!K543)&lt;&gt;0),'Дивиденды по годам'!L543/('Дивиденды по годам'!I543-'Дивиденды по годам'!J543-'Дивиденды по годам'!K543),""),"")</f>
        <v/>
      </c>
      <c r="T543">
        <f>IFERROR(IF(AND('Дивиденды по годам'!Q543&lt;&gt;"",'Дивиденды по годам'!I543&lt;&gt;"",'Дивиденды по годам'!V543&lt;&gt;"",('Дивиденды по годам'!I543+'Дивиденды по годам'!V543)&lt;&gt;0),'Дивиденды по годам'!Q543/(('Дивиденды по годам'!I543+'Дивиденды по годам'!V543)/2),""),"")</f>
        <v>5.7854805159244814E-2</v>
      </c>
      <c r="U543">
        <f>IFERROR(IF(AND('Дивиденды по годам'!J543&lt;&gt;"",'Дивиденды по годам'!K543&lt;&gt;"",'Дивиденды по годам'!M543&lt;&gt;"",'Дивиденды по годам'!M543&lt;&gt;0),('Дивиденды по годам'!J543+'Дивиденды по годам'!K543)/'Дивиденды по годам'!M543,""),"")</f>
        <v>0.77050879926537175</v>
      </c>
      <c r="V543" cm="1">
        <f t="array" ref="V543">IFERROR(AVERAGE(_xlfn._xlws.FILTER(P$2:P$1073,($C$2:$C$1073=$C543)*($E$2:$E$1073=$E543)*(ROW(P$2:P$1073)&lt;&gt;ROW(P543))*(P$2:P$1073&lt;&gt;""))),"")</f>
        <v>24.248122099721307</v>
      </c>
      <c r="W543" cm="1">
        <f t="array" ref="W543">IFERROR(AVERAGE(_xlfn._xlws.FILTER(Q$2:Q$1073,($C$2:$C$1073=$C543)*($E$2:$E$1073=$E543)*(ROW(Q$2:Q$1073)&lt;&gt;ROW(Q543))*(Q$2:Q$1073&lt;&gt;""))),"")</f>
        <v>0.30425094147718029</v>
      </c>
      <c r="X543" cm="1">
        <f t="array" ref="X543">IFERROR(AVERAGE(_xlfn._xlws.FILTER(R$2:R$1073,($C$2:$C$1073=$C543)*($E$2:$E$1073=$E543)*(ROW(R$2:R$1073)&lt;&gt;ROW(R543))*(R$2:R$1073&lt;&gt;""))),"")</f>
        <v>-4.2540929866449556E-2</v>
      </c>
      <c r="Y543" cm="1">
        <f t="array" ref="Y543">IFERROR(AVERAGE(_xlfn._xlws.FILTER(S$2:S$1073,($C$2:$C$1073=$C543)*($E$2:$E$1073=$E543)*(ROW(S$2:S$1073)&lt;&gt;ROW(S543))*(S$2:S$1073&lt;&gt;""))),"")</f>
        <v>-1.7651061513336963</v>
      </c>
      <c r="Z543" cm="1">
        <f t="array" ref="Z543">IFERROR(AVERAGE(_xlfn._xlws.FILTER(T$2:T$1073,($C$2:$C$1073=$C543)*($E$2:$E$1073=$E543)*(ROW(T$2:T$1073)&lt;&gt;ROW(T543))*(T$2:T$1073&lt;&gt;""))),"")</f>
        <v>7.1036872605440504E-2</v>
      </c>
      <c r="AA543" cm="1">
        <f t="array" ref="AA543">IFERROR(AVERAGE(_xlfn._xlws.FILTER(U$2:U$1073,($C$2:$C$1073=$C543)*($E$2:$E$1073=$E543)*(ROW(U$2:U$1073)&lt;&gt;ROW(U543))*(U$2:U$1073&lt;&gt;""))),"")</f>
        <v>-5.1466145615900256</v>
      </c>
    </row>
    <row r="544" spans="1:27" x14ac:dyDescent="0.2">
      <c r="A544" s="7" t="s">
        <v>2247</v>
      </c>
      <c r="B544" t="str">
        <f t="shared" si="90"/>
        <v>BELU IV кв. 2011</v>
      </c>
      <c r="C544">
        <v>2011</v>
      </c>
      <c r="D544">
        <f>SUMIFS(Дивиденды!$C:$C,Дивиденды!$A:$A,A544,Дивиденды!$I:$I,C544)</f>
        <v>0</v>
      </c>
      <c r="E544">
        <v>4</v>
      </c>
      <c r="F544">
        <f t="shared" si="91"/>
        <v>0</v>
      </c>
      <c r="G544">
        <f t="shared" si="92"/>
        <v>1.6378571428571429</v>
      </c>
      <c r="H544">
        <f t="shared" si="93"/>
        <v>0</v>
      </c>
      <c r="I544">
        <f t="shared" si="89"/>
        <v>7.1428571428571425E-2</v>
      </c>
      <c r="J544">
        <f t="shared" si="94"/>
        <v>0</v>
      </c>
      <c r="K544">
        <f t="shared" si="98"/>
        <v>0.17786475320721892</v>
      </c>
      <c r="L544">
        <f t="shared" si="95"/>
        <v>0</v>
      </c>
      <c r="M544">
        <f t="shared" si="88"/>
        <v>7.1428571428571425E-2</v>
      </c>
      <c r="N544">
        <f t="shared" si="96"/>
        <v>0</v>
      </c>
      <c r="O544">
        <f t="shared" si="97"/>
        <v>0</v>
      </c>
      <c r="P544">
        <f>IFERROR(LN('Дивиденды по годам'!I544),"")</f>
        <v>24.058285986628619</v>
      </c>
      <c r="Q544">
        <f>IFERROR('Дивиденды по годам'!G544/'Дивиденды по годам'!I544, "")</f>
        <v>0.16478540560759591</v>
      </c>
      <c r="R544" t="str">
        <f>IFERROR(IF(AND('Дивиденды по годам'!N544&lt;&gt;"",'Дивиденды по годам'!U544&lt;&gt;"",'Дивиденды по годам'!U544&lt;&gt;0),'Дивиденды по годам'!N544/'Дивиденды по годам'!U544-1,""),"")</f>
        <v/>
      </c>
      <c r="S544" t="str">
        <f>IFERROR(IF(AND('Дивиденды по годам'!L544&lt;&gt;"",'Дивиденды по годам'!I544&lt;&gt;"",'Дивиденды по годам'!J544&lt;&gt;"",'Дивиденды по годам'!K544&lt;&gt;"",('Дивиденды по годам'!I544-'Дивиденды по годам'!J544-'Дивиденды по годам'!K544)&lt;&gt;0),'Дивиденды по годам'!L544/('Дивиденды по годам'!I544-'Дивиденды по годам'!J544-'Дивиденды по годам'!K544),""),"")</f>
        <v/>
      </c>
      <c r="T544" t="str">
        <f>IFERROR(IF(AND('Дивиденды по годам'!Q544&lt;&gt;"",'Дивиденды по годам'!I544&lt;&gt;"",'Дивиденды по годам'!V544&lt;&gt;"",('Дивиденды по годам'!I544+'Дивиденды по годам'!V544)&lt;&gt;0),'Дивиденды по годам'!Q544/(('Дивиденды по годам'!I544+'Дивиденды по годам'!V544)/2),""),"")</f>
        <v/>
      </c>
      <c r="U544">
        <f>IFERROR(IF(AND('Дивиденды по годам'!J544&lt;&gt;"",'Дивиденды по годам'!K544&lt;&gt;"",'Дивиденды по годам'!M544&lt;&gt;"",'Дивиденды по годам'!M544&lt;&gt;0),('Дивиденды по годам'!J544+'Дивиденды по годам'!K544)/'Дивиденды по годам'!M544,""),"")</f>
        <v>0.68220965550196011</v>
      </c>
      <c r="V544" cm="1">
        <f t="array" ref="V544">IFERROR(AVERAGE(_xlfn._xlws.FILTER(P$2:P$1073,($C$2:$C$1073=$C544)*($E$2:$E$1073=$E544)*(ROW(P$2:P$1073)&lt;&gt;ROW(P544))*(P$2:P$1073&lt;&gt;""))),"")</f>
        <v>24.211414888963443</v>
      </c>
      <c r="W544" cm="1">
        <f t="array" ref="W544">IFERROR(AVERAGE(_xlfn._xlws.FILTER(Q$2:Q$1073,($C$2:$C$1073=$C544)*($E$2:$E$1073=$E544)*(ROW(Q$2:Q$1073)&lt;&gt;ROW(Q544))*(Q$2:Q$1073&lt;&gt;""))),"")</f>
        <v>0.32886305487414436</v>
      </c>
      <c r="X544" cm="1">
        <f t="array" ref="X544">IFERROR(AVERAGE(_xlfn._xlws.FILTER(R$2:R$1073,($C$2:$C$1073=$C544)*($E$2:$E$1073=$E544)*(ROW(R$2:R$1073)&lt;&gt;ROW(R544))*(R$2:R$1073&lt;&gt;""))),"")</f>
        <v>5.9511017560386792E-2</v>
      </c>
      <c r="Y544" t="str" cm="1">
        <f t="array" ref="Y544">IFERROR(AVERAGE(_xlfn._xlws.FILTER(S$2:S$1073,($C$2:$C$1073=$C544)*($E$2:$E$1073=$E544)*(ROW(S$2:S$1073)&lt;&gt;ROW(S544))*(S$2:S$1073&lt;&gt;""))),"")</f>
        <v/>
      </c>
      <c r="Z544" cm="1">
        <f t="array" ref="Z544">IFERROR(AVERAGE(_xlfn._xlws.FILTER(T$2:T$1073,($C$2:$C$1073=$C544)*($E$2:$E$1073=$E544)*(ROW(T$2:T$1073)&lt;&gt;ROW(T544))*(T$2:T$1073&lt;&gt;""))),"")</f>
        <v>-1.4171101286470289E-2</v>
      </c>
      <c r="AA544" cm="1">
        <f t="array" ref="AA544">IFERROR(AVERAGE(_xlfn._xlws.FILTER(U$2:U$1073,($C$2:$C$1073=$C544)*($E$2:$E$1073=$E544)*(ROW(U$2:U$1073)&lt;&gt;ROW(U544))*(U$2:U$1073&lt;&gt;""))),"")</f>
        <v>2.6865400362716461</v>
      </c>
    </row>
    <row r="545" spans="1:27" x14ac:dyDescent="0.2">
      <c r="A545" s="7" t="s">
        <v>2247</v>
      </c>
      <c r="B545" t="str">
        <f t="shared" si="90"/>
        <v>BELU IV кв. 2010</v>
      </c>
      <c r="C545">
        <v>2010</v>
      </c>
      <c r="D545">
        <f>SUMIFS(Дивиденды!$C:$C,Дивиденды!$A:$A,A545,Дивиденды!$I:$I,C545)</f>
        <v>0</v>
      </c>
      <c r="E545">
        <v>4</v>
      </c>
      <c r="F545">
        <f t="shared" si="91"/>
        <v>0</v>
      </c>
      <c r="G545">
        <f t="shared" si="92"/>
        <v>0.46928571428571431</v>
      </c>
      <c r="H545">
        <f t="shared" si="93"/>
        <v>0</v>
      </c>
      <c r="I545">
        <f t="shared" si="89"/>
        <v>7.1428571428571425E-2</v>
      </c>
      <c r="J545" t="str">
        <f t="shared" si="94"/>
        <v/>
      </c>
      <c r="K545" t="str">
        <f t="shared" si="98"/>
        <v/>
      </c>
      <c r="L545" t="str">
        <f t="shared" si="95"/>
        <v/>
      </c>
      <c r="M545" t="str">
        <f t="shared" ref="M545:M608" si="99">IFERROR(AVERAGEIFS($L:$L,$E:$E,E545,$C:$C,C545,$A:$A,"&lt;&gt;"&amp;A545),"")</f>
        <v/>
      </c>
      <c r="N545" t="str">
        <f t="shared" si="96"/>
        <v/>
      </c>
      <c r="O545" t="str">
        <f t="shared" si="97"/>
        <v/>
      </c>
      <c r="P545" t="str">
        <f>IFERROR(LN('Дивиденды по годам'!I545),"")</f>
        <v/>
      </c>
      <c r="Q545" t="str">
        <f>IFERROR('Дивиденды по годам'!G545/'Дивиденды по годам'!I545, "")</f>
        <v/>
      </c>
      <c r="R545" t="str">
        <f>IFERROR(IF(AND('Дивиденды по годам'!N545&lt;&gt;"",'Дивиденды по годам'!U545&lt;&gt;"",'Дивиденды по годам'!U545&lt;&gt;0),'Дивиденды по годам'!N545/'Дивиденды по годам'!U545-1,""),"")</f>
        <v/>
      </c>
      <c r="S545" t="str">
        <f>IFERROR(IF(AND('Дивиденды по годам'!L545&lt;&gt;"",'Дивиденды по годам'!I545&lt;&gt;"",'Дивиденды по годам'!J545&lt;&gt;"",'Дивиденды по годам'!K545&lt;&gt;"",('Дивиденды по годам'!I545-'Дивиденды по годам'!J545-'Дивиденды по годам'!K545)&lt;&gt;0),'Дивиденды по годам'!L545/('Дивиденды по годам'!I545-'Дивиденды по годам'!J545-'Дивиденды по годам'!K545),""),"")</f>
        <v/>
      </c>
      <c r="T545" t="str">
        <f>IFERROR(IF(AND('Дивиденды по годам'!Q545&lt;&gt;"",'Дивиденды по годам'!I545&lt;&gt;"",'Дивиденды по годам'!V545&lt;&gt;"",('Дивиденды по годам'!I545+'Дивиденды по годам'!V545)&lt;&gt;0),'Дивиденды по годам'!Q545/(('Дивиденды по годам'!I545+'Дивиденды по годам'!V545)/2),""),"")</f>
        <v/>
      </c>
      <c r="U545" t="str">
        <f>IFERROR(IF(AND('Дивиденды по годам'!J545&lt;&gt;"",'Дивиденды по годам'!K545&lt;&gt;"",'Дивиденды по годам'!M545&lt;&gt;"",'Дивиденды по годам'!M545&lt;&gt;0),('Дивиденды по годам'!J545+'Дивиденды по годам'!K545)/'Дивиденды по годам'!M545,""),"")</f>
        <v/>
      </c>
      <c r="V545" cm="1">
        <f t="array" ref="V545">IFERROR(AVERAGE(_xlfn._xlws.FILTER(P$2:P$1073,($C$2:$C$1073=$C545)*($E$2:$E$1073=$E545)*(ROW(P$2:P$1073)&lt;&gt;ROW(P545))*(P$2:P$1073&lt;&gt;""))),"")</f>
        <v>23.656010386255485</v>
      </c>
      <c r="W545" cm="1">
        <f t="array" ref="W545">IFERROR(AVERAGE(_xlfn._xlws.FILTER(Q$2:Q$1073,($C$2:$C$1073=$C545)*($E$2:$E$1073=$E545)*(ROW(Q$2:Q$1073)&lt;&gt;ROW(Q545))*(Q$2:Q$1073&lt;&gt;""))),"")</f>
        <v>0.15222241747474585</v>
      </c>
      <c r="X545" t="str" cm="1">
        <f t="array" ref="X545">IFERROR(AVERAGE(_xlfn._xlws.FILTER(R$2:R$1073,($C$2:$C$1073=$C545)*($E$2:$E$1073=$E545)*(ROW(R$2:R$1073)&lt;&gt;ROW(R545))*(R$2:R$1073&lt;&gt;""))),"")</f>
        <v/>
      </c>
      <c r="Y545" t="str" cm="1">
        <f t="array" ref="Y545">IFERROR(AVERAGE(_xlfn._xlws.FILTER(S$2:S$1073,($C$2:$C$1073=$C545)*($E$2:$E$1073=$E545)*(ROW(S$2:S$1073)&lt;&gt;ROW(S545))*(S$2:S$1073&lt;&gt;""))),"")</f>
        <v/>
      </c>
      <c r="Z545" t="str" cm="1">
        <f t="array" ref="Z545">IFERROR(AVERAGE(_xlfn._xlws.FILTER(T$2:T$1073,($C$2:$C$1073=$C545)*($E$2:$E$1073=$E545)*(ROW(T$2:T$1073)&lt;&gt;ROW(T545))*(T$2:T$1073&lt;&gt;""))),"")</f>
        <v/>
      </c>
      <c r="AA545" cm="1">
        <f t="array" ref="AA545">IFERROR(AVERAGE(_xlfn._xlws.FILTER(U$2:U$1073,($C$2:$C$1073=$C545)*($E$2:$E$1073=$E545)*(ROW(U$2:U$1073)&lt;&gt;ROW(U545))*(U$2:U$1073&lt;&gt;""))),"")</f>
        <v>2.8988498110700496</v>
      </c>
    </row>
    <row r="546" spans="1:27" x14ac:dyDescent="0.2">
      <c r="A546" s="7" t="s">
        <v>2249</v>
      </c>
      <c r="B546" t="str">
        <f t="shared" si="90"/>
        <v>EUTR IV кв. 2025</v>
      </c>
      <c r="C546">
        <v>2025</v>
      </c>
      <c r="D546">
        <f>SUMIFS(Дивиденды!$C:$C,Дивиденды!$A:$A,A546,Дивиденды!$I:$I,C546)</f>
        <v>20.350000000000001</v>
      </c>
      <c r="E546">
        <v>4</v>
      </c>
      <c r="F546">
        <f t="shared" si="91"/>
        <v>20.350000000000001</v>
      </c>
      <c r="G546">
        <f t="shared" si="92"/>
        <v>30.127857142857145</v>
      </c>
      <c r="H546">
        <f t="shared" si="93"/>
        <v>1</v>
      </c>
      <c r="I546">
        <f t="shared" si="89"/>
        <v>0.35714285714285715</v>
      </c>
      <c r="J546">
        <f t="shared" si="94"/>
        <v>-0.25973081120407421</v>
      </c>
      <c r="K546">
        <f t="shared" si="98"/>
        <v>-0.16397414244040528</v>
      </c>
      <c r="L546">
        <f t="shared" si="95"/>
        <v>0</v>
      </c>
      <c r="M546">
        <f t="shared" si="99"/>
        <v>0.14285714285714285</v>
      </c>
      <c r="N546">
        <f t="shared" si="96"/>
        <v>1</v>
      </c>
      <c r="O546">
        <f t="shared" si="97"/>
        <v>0.42857142857142855</v>
      </c>
      <c r="P546" t="str">
        <f>IFERROR(LN('Дивиденды по годам'!I546),"")</f>
        <v/>
      </c>
      <c r="Q546" t="str">
        <f>IFERROR('Дивиденды по годам'!G546/'Дивиденды по годам'!I546, "")</f>
        <v/>
      </c>
      <c r="R546" t="str">
        <f>IFERROR(IF(AND('Дивиденды по годам'!N546&lt;&gt;"",'Дивиденды по годам'!U546&lt;&gt;"",'Дивиденды по годам'!U546&lt;&gt;0),'Дивиденды по годам'!N546/'Дивиденды по годам'!U546-1,""),"")</f>
        <v/>
      </c>
      <c r="S546" t="str">
        <f>IFERROR(IF(AND('Дивиденды по годам'!L546&lt;&gt;"",'Дивиденды по годам'!I546&lt;&gt;"",'Дивиденды по годам'!J546&lt;&gt;"",'Дивиденды по годам'!K546&lt;&gt;"",('Дивиденды по годам'!I546-'Дивиденды по годам'!J546-'Дивиденды по годам'!K546)&lt;&gt;0),'Дивиденды по годам'!L546/('Дивиденды по годам'!I546-'Дивиденды по годам'!J546-'Дивиденды по годам'!K546),""),"")</f>
        <v/>
      </c>
      <c r="T546" t="str">
        <f>IFERROR(IF(AND('Дивиденды по годам'!Q546&lt;&gt;"",'Дивиденды по годам'!I546&lt;&gt;"",'Дивиденды по годам'!V546&lt;&gt;"",('Дивиденды по годам'!I546+'Дивиденды по годам'!V546)&lt;&gt;0),'Дивиденды по годам'!Q546/(('Дивиденды по годам'!I546+'Дивиденды по годам'!V546)/2),""),"")</f>
        <v/>
      </c>
      <c r="U546" t="str">
        <f>IFERROR(IF(AND('Дивиденды по годам'!J546&lt;&gt;"",'Дивиденды по годам'!K546&lt;&gt;"",'Дивиденды по годам'!M546&lt;&gt;"",'Дивиденды по годам'!M546&lt;&gt;0),('Дивиденды по годам'!J546+'Дивиденды по годам'!K546)/'Дивиденды по годам'!M546,""),"")</f>
        <v/>
      </c>
      <c r="V546" cm="1">
        <f t="array" ref="V546">IFERROR(AVERAGE(_xlfn._xlws.FILTER(P$2:P$1073,($C$2:$C$1073=$C546)*($E$2:$E$1073=$E546)*(ROW(P$2:P$1073)&lt;&gt;ROW(P546))*(P$2:P$1073&lt;&gt;""))),"")</f>
        <v>26.183512711155618</v>
      </c>
      <c r="W546" cm="1">
        <f t="array" ref="W546">IFERROR(AVERAGE(_xlfn._xlws.FILTER(Q$2:Q$1073,($C$2:$C$1073=$C546)*($E$2:$E$1073=$E546)*(ROW(Q$2:Q$1073)&lt;&gt;ROW(Q546))*(Q$2:Q$1073&lt;&gt;""))),"")</f>
        <v>0.42364014522274984</v>
      </c>
      <c r="X546" cm="1">
        <f t="array" ref="X546">IFERROR(AVERAGE(_xlfn._xlws.FILTER(R$2:R$1073,($C$2:$C$1073=$C546)*($E$2:$E$1073=$E546)*(ROW(R$2:R$1073)&lt;&gt;ROW(R546))*(R$2:R$1073&lt;&gt;""))),"")</f>
        <v>6.6096126428947105E-2</v>
      </c>
      <c r="Y546" cm="1">
        <f t="array" ref="Y546">IFERROR(AVERAGE(_xlfn._xlws.FILTER(S$2:S$1073,($C$2:$C$1073=$C546)*($E$2:$E$1073=$E546)*(ROW(S$2:S$1073)&lt;&gt;ROW(S546))*(S$2:S$1073&lt;&gt;""))),"")</f>
        <v>0.94174952343815033</v>
      </c>
      <c r="Z546" cm="1">
        <f t="array" ref="Z546">IFERROR(AVERAGE(_xlfn._xlws.FILTER(T$2:T$1073,($C$2:$C$1073=$C546)*($E$2:$E$1073=$E546)*(ROW(T$2:T$1073)&lt;&gt;ROW(T546))*(T$2:T$1073&lt;&gt;""))),"")</f>
        <v>1.3107153079830167E-2</v>
      </c>
      <c r="AA546" cm="1">
        <f t="array" ref="AA546">IFERROR(AVERAGE(_xlfn._xlws.FILTER(U$2:U$1073,($C$2:$C$1073=$C546)*($E$2:$E$1073=$E546)*(ROW(U$2:U$1073)&lt;&gt;ROW(U546))*(U$2:U$1073&lt;&gt;""))),"")</f>
        <v>6.2968354519658218</v>
      </c>
    </row>
    <row r="547" spans="1:27" x14ac:dyDescent="0.2">
      <c r="A547" s="7" t="s">
        <v>2249</v>
      </c>
      <c r="B547" t="str">
        <f t="shared" si="90"/>
        <v>EUTR IV кв. 2024</v>
      </c>
      <c r="C547">
        <v>2024</v>
      </c>
      <c r="D547">
        <f>SUMIFS(Дивиденды!$C:$C,Дивиденды!$A:$A,A547,Дивиденды!$I:$I,C547)</f>
        <v>27.490000000000002</v>
      </c>
      <c r="E547">
        <v>4</v>
      </c>
      <c r="F547">
        <f t="shared" si="91"/>
        <v>27.490000000000002</v>
      </c>
      <c r="G547">
        <f t="shared" si="92"/>
        <v>60.547857142857147</v>
      </c>
      <c r="H547">
        <f t="shared" si="93"/>
        <v>1</v>
      </c>
      <c r="I547">
        <f t="shared" si="89"/>
        <v>0.5</v>
      </c>
      <c r="J547">
        <f t="shared" si="94"/>
        <v>7.3828125000000022E-2</v>
      </c>
      <c r="K547">
        <f t="shared" si="98"/>
        <v>0.20618230786348382</v>
      </c>
      <c r="L547">
        <f t="shared" si="95"/>
        <v>1</v>
      </c>
      <c r="M547">
        <f t="shared" si="99"/>
        <v>0.2857142857142857</v>
      </c>
      <c r="N547">
        <f t="shared" si="96"/>
        <v>0</v>
      </c>
      <c r="O547">
        <f t="shared" si="97"/>
        <v>0.2857142857142857</v>
      </c>
      <c r="P547">
        <f>IFERROR(LN('Дивиденды по годам'!I547),"")</f>
        <v>25.366439071958709</v>
      </c>
      <c r="Q547">
        <f>IFERROR('Дивиденды по годам'!G547/'Дивиденды по годам'!I547, "")</f>
        <v>0.2480764187649894</v>
      </c>
      <c r="R547">
        <f>IFERROR(IF(AND('Дивиденды по годам'!N547&lt;&gt;"",'Дивиденды по годам'!U547&lt;&gt;"",'Дивиденды по годам'!U547&lt;&gt;0),'Дивиденды по годам'!N547/'Дивиденды по годам'!U547-1,""),"")</f>
        <v>0.46884272535881388</v>
      </c>
      <c r="S547">
        <f>IFERROR(IF(AND('Дивиденды по годам'!L547&lt;&gt;"",'Дивиденды по годам'!I547&lt;&gt;"",'Дивиденды по годам'!J547&lt;&gt;"",'Дивиденды по годам'!K547&lt;&gt;"",('Дивиденды по годам'!I547-'Дивиденды по годам'!J547-'Дивиденды по годам'!K547)&lt;&gt;0),'Дивиденды по годам'!L547/('Дивиденды по годам'!I547-'Дивиденды по годам'!J547-'Дивиденды по годам'!K547),""),"")</f>
        <v>0.19580867252871367</v>
      </c>
      <c r="T547">
        <f>IFERROR(IF(AND('Дивиденды по годам'!Q547&lt;&gt;"",'Дивиденды по годам'!I547&lt;&gt;"",'Дивиденды по годам'!V547&lt;&gt;"",('Дивиденды по годам'!I547+'Дивиденды по годам'!V547)&lt;&gt;0),'Дивиденды по годам'!Q547/(('Дивиденды по годам'!I547+'Дивиденды по годам'!V547)/2),""),"")</f>
        <v>5.8649938029422581E-2</v>
      </c>
      <c r="U547">
        <f>IFERROR(IF(AND('Дивиденды по годам'!J547&lt;&gt;"",'Дивиденды по годам'!K547&lt;&gt;"",'Дивиденды по годам'!M547&lt;&gt;"",'Дивиденды по годам'!M547&lt;&gt;0),('Дивиденды по годам'!J547+'Дивиденды по годам'!K547)/'Дивиденды по годам'!M547,""),"")</f>
        <v>2.1818185995229911</v>
      </c>
      <c r="V547" cm="1">
        <f t="array" ref="V547">IFERROR(AVERAGE(_xlfn._xlws.FILTER(P$2:P$1073,($C$2:$C$1073=$C547)*($E$2:$E$1073=$E547)*(ROW(P$2:P$1073)&lt;&gt;ROW(P547))*(P$2:P$1073&lt;&gt;""))),"")</f>
        <v>25.578969473981186</v>
      </c>
      <c r="W547" cm="1">
        <f t="array" ref="W547">IFERROR(AVERAGE(_xlfn._xlws.FILTER(Q$2:Q$1073,($C$2:$C$1073=$C547)*($E$2:$E$1073=$E547)*(ROW(Q$2:Q$1073)&lt;&gt;ROW(Q547))*(Q$2:Q$1073&lt;&gt;""))),"")</f>
        <v>0.26398498925250841</v>
      </c>
      <c r="X547" cm="1">
        <f t="array" ref="X547">IFERROR(AVERAGE(_xlfn._xlws.FILTER(R$2:R$1073,($C$2:$C$1073=$C547)*($E$2:$E$1073=$E547)*(ROW(R$2:R$1073)&lt;&gt;ROW(R547))*(R$2:R$1073&lt;&gt;""))),"")</f>
        <v>0.25093812544875438</v>
      </c>
      <c r="Y547" cm="1">
        <f t="array" ref="Y547">IFERROR(AVERAGE(_xlfn._xlws.FILTER(S$2:S$1073,($C$2:$C$1073=$C547)*($E$2:$E$1073=$E547)*(ROW(S$2:S$1073)&lt;&gt;ROW(S547))*(S$2:S$1073&lt;&gt;""))),"")</f>
        <v>1.2407143925735578</v>
      </c>
      <c r="Z547" cm="1">
        <f t="array" ref="Z547">IFERROR(AVERAGE(_xlfn._xlws.FILTER(T$2:T$1073,($C$2:$C$1073=$C547)*($E$2:$E$1073=$E547)*(ROW(T$2:T$1073)&lt;&gt;ROW(T547))*(T$2:T$1073&lt;&gt;""))),"")</f>
        <v>7.3977474164396789E-2</v>
      </c>
      <c r="AA547" cm="1">
        <f t="array" ref="AA547">IFERROR(AVERAGE(_xlfn._xlws.FILTER(U$2:U$1073,($C$2:$C$1073=$C547)*($E$2:$E$1073=$E547)*(ROW(U$2:U$1073)&lt;&gt;ROW(U547))*(U$2:U$1073&lt;&gt;""))),"")</f>
        <v>4.1200106045450067</v>
      </c>
    </row>
    <row r="548" spans="1:27" x14ac:dyDescent="0.2">
      <c r="A548" s="7" t="s">
        <v>2249</v>
      </c>
      <c r="B548" t="str">
        <f t="shared" si="90"/>
        <v>EUTR IV кв. 2023</v>
      </c>
      <c r="C548">
        <v>2023</v>
      </c>
      <c r="D548">
        <f>SUMIFS(Дивиденды!$C:$C,Дивиденды!$A:$A,A548,Дивиденды!$I:$I,C548)</f>
        <v>25.6</v>
      </c>
      <c r="E548">
        <v>4</v>
      </c>
      <c r="F548">
        <f t="shared" si="91"/>
        <v>25.6</v>
      </c>
      <c r="G548">
        <f t="shared" si="92"/>
        <v>88.911428571428573</v>
      </c>
      <c r="H548">
        <f t="shared" si="93"/>
        <v>1</v>
      </c>
      <c r="I548">
        <f t="shared" si="89"/>
        <v>0.42857142857142855</v>
      </c>
      <c r="J548">
        <f t="shared" si="94"/>
        <v>1</v>
      </c>
      <c r="K548">
        <f t="shared" si="98"/>
        <v>0.22669887955182075</v>
      </c>
      <c r="L548">
        <f t="shared" si="95"/>
        <v>1</v>
      </c>
      <c r="M548">
        <f t="shared" si="99"/>
        <v>0.35714285714285715</v>
      </c>
      <c r="N548">
        <f t="shared" si="96"/>
        <v>0</v>
      </c>
      <c r="O548">
        <f t="shared" si="97"/>
        <v>0</v>
      </c>
      <c r="P548">
        <f>IFERROR(LN('Дивиденды по годам'!I548),"")</f>
        <v>25.165822900765445</v>
      </c>
      <c r="Q548">
        <f>IFERROR('Дивиденды по годам'!G548/'Дивиденды по годам'!I548, "")</f>
        <v>0.14256735757958566</v>
      </c>
      <c r="R548">
        <f>IFERROR(IF(AND('Дивиденды по годам'!N548&lt;&gt;"",'Дивиденды по годам'!U548&lt;&gt;"",'Дивиденды по годам'!U548&lt;&gt;0),'Дивиденды по годам'!N548/'Дивиденды по годам'!U548-1,""),"")</f>
        <v>1.0483167359025685</v>
      </c>
      <c r="S548">
        <f>IFERROR(IF(AND('Дивиденды по годам'!L548&lt;&gt;"",'Дивиденды по годам'!I548&lt;&gt;"",'Дивиденды по годам'!J548&lt;&gt;"",'Дивиденды по годам'!K548&lt;&gt;"",('Дивиденды по годам'!I548-'Дивиденды по годам'!J548-'Дивиденды по годам'!K548)&lt;&gt;0),'Дивиденды по годам'!L548/('Дивиденды по годам'!I548-'Дивиденды по годам'!J548-'Дивиденды по годам'!K548),""),"")</f>
        <v>0.20627008779575018</v>
      </c>
      <c r="T548">
        <f>IFERROR(IF(AND('Дивиденды по годам'!Q548&lt;&gt;"",'Дивиденды по годам'!I548&lt;&gt;"",'Дивиденды по годам'!V548&lt;&gt;"",('Дивиденды по годам'!I548+'Дивиденды по годам'!V548)&lt;&gt;0),'Дивиденды по годам'!Q548/(('Дивиденды по годам'!I548+'Дивиденды по годам'!V548)/2),""),"")</f>
        <v>7.5377729303730739E-2</v>
      </c>
      <c r="U548">
        <f>IFERROR(IF(AND('Дивиденды по годам'!J548&lt;&gt;"",'Дивиденды по годам'!K548&lt;&gt;"",'Дивиденды по годам'!M548&lt;&gt;"",'Дивиденды по годам'!M548&lt;&gt;0),('Дивиденды по годам'!J548+'Дивиденды по годам'!K548)/'Дивиденды по годам'!M548,""),"")</f>
        <v>2.0792710178956555</v>
      </c>
      <c r="V548" cm="1">
        <f t="array" ref="V548">IFERROR(AVERAGE(_xlfn._xlws.FILTER(P$2:P$1073,($C$2:$C$1073=$C548)*($E$2:$E$1073=$E548)*(ROW(P$2:P$1073)&lt;&gt;ROW(P548))*(P$2:P$1073&lt;&gt;""))),"")</f>
        <v>25.381336158756817</v>
      </c>
      <c r="W548" cm="1">
        <f t="array" ref="W548">IFERROR(AVERAGE(_xlfn._xlws.FILTER(Q$2:Q$1073,($C$2:$C$1073=$C548)*($E$2:$E$1073=$E548)*(ROW(Q$2:Q$1073)&lt;&gt;ROW(Q548))*(Q$2:Q$1073&lt;&gt;""))),"")</f>
        <v>0.25808883118529652</v>
      </c>
      <c r="X548" cm="1">
        <f t="array" ref="X548">IFERROR(AVERAGE(_xlfn._xlws.FILTER(R$2:R$1073,($C$2:$C$1073=$C548)*($E$2:$E$1073=$E548)*(ROW(R$2:R$1073)&lt;&gt;ROW(R548))*(R$2:R$1073&lt;&gt;""))),"")</f>
        <v>0.17931293692298844</v>
      </c>
      <c r="Y548" cm="1">
        <f t="array" ref="Y548">IFERROR(AVERAGE(_xlfn._xlws.FILTER(S$2:S$1073,($C$2:$C$1073=$C548)*($E$2:$E$1073=$E548)*(ROW(S$2:S$1073)&lt;&gt;ROW(S548))*(S$2:S$1073&lt;&gt;""))),"")</f>
        <v>1.3202600095322894</v>
      </c>
      <c r="Z548" cm="1">
        <f t="array" ref="Z548">IFERROR(AVERAGE(_xlfn._xlws.FILTER(T$2:T$1073,($C$2:$C$1073=$C548)*($E$2:$E$1073=$E548)*(ROW(T$2:T$1073)&lt;&gt;ROW(T548))*(T$2:T$1073&lt;&gt;""))),"")</f>
        <v>0.11322284936340214</v>
      </c>
      <c r="AA548" cm="1">
        <f t="array" ref="AA548">IFERROR(AVERAGE(_xlfn._xlws.FILTER(U$2:U$1073,($C$2:$C$1073=$C548)*($E$2:$E$1073=$E548)*(ROW(U$2:U$1073)&lt;&gt;ROW(U548))*(U$2:U$1073&lt;&gt;""))),"")</f>
        <v>2.6237785371951881</v>
      </c>
    </row>
    <row r="549" spans="1:27" x14ac:dyDescent="0.2">
      <c r="A549" s="7" t="s">
        <v>2249</v>
      </c>
      <c r="B549" t="str">
        <f t="shared" si="90"/>
        <v>EUTR IV кв. 2022</v>
      </c>
      <c r="C549">
        <v>2022</v>
      </c>
      <c r="D549">
        <f>SUMIFS(Дивиденды!$C:$C,Дивиденды!$A:$A,A549,Дивиденды!$I:$I,C549)</f>
        <v>0</v>
      </c>
      <c r="E549">
        <v>4</v>
      </c>
      <c r="F549">
        <f t="shared" si="91"/>
        <v>0</v>
      </c>
      <c r="G549">
        <f t="shared" si="92"/>
        <v>80.180000000000021</v>
      </c>
      <c r="H549">
        <f t="shared" si="93"/>
        <v>0</v>
      </c>
      <c r="I549">
        <f t="shared" si="89"/>
        <v>0.2857142857142857</v>
      </c>
      <c r="J549">
        <f t="shared" si="94"/>
        <v>0</v>
      </c>
      <c r="K549">
        <f t="shared" si="98"/>
        <v>0.49583624512073399</v>
      </c>
      <c r="L549">
        <f t="shared" si="95"/>
        <v>0</v>
      </c>
      <c r="M549">
        <f t="shared" si="99"/>
        <v>0.2857142857142857</v>
      </c>
      <c r="N549">
        <f t="shared" si="96"/>
        <v>0</v>
      </c>
      <c r="O549">
        <f t="shared" si="97"/>
        <v>7.1428571428571425E-2</v>
      </c>
      <c r="P549">
        <f>IFERROR(LN('Дивиденды по годам'!I549),"")</f>
        <v>24.672028846496573</v>
      </c>
      <c r="Q549">
        <f>IFERROR('Дивиденды по годам'!G549/'Дивиденды по годам'!I549, "")</f>
        <v>3.1388750624311242E-2</v>
      </c>
      <c r="R549">
        <f>IFERROR(IF(AND('Дивиденды по годам'!N549&lt;&gt;"",'Дивиденды по годам'!U549&lt;&gt;"",'Дивиденды по годам'!U549&lt;&gt;0),'Дивиденды по годам'!N549/'Дивиденды по годам'!U549-1,""),"")</f>
        <v>0.26484532223667112</v>
      </c>
      <c r="S549">
        <f>IFERROR(IF(AND('Дивиденды по годам'!L549&lt;&gt;"",'Дивиденды по годам'!I549&lt;&gt;"",'Дивиденды по годам'!J549&lt;&gt;"",'Дивиденды по годам'!K549&lt;&gt;"",('Дивиденды по годам'!I549-'Дивиденды по годам'!J549-'Дивиденды по годам'!K549)&lt;&gt;0),'Дивиденды по годам'!L549/('Дивиденды по годам'!I549-'Дивиденды по годам'!J549-'Дивиденды по годам'!K549),""),"")</f>
        <v>0.16058934175787523</v>
      </c>
      <c r="T549">
        <f>IFERROR(IF(AND('Дивиденды по годам'!Q549&lt;&gt;"",'Дивиденды по годам'!I549&lt;&gt;"",'Дивиденды по годам'!V549&lt;&gt;"",('Дивиденды по годам'!I549+'Дивиденды по годам'!V549)&lt;&gt;0),'Дивиденды по годам'!Q549/(('Дивиденды по годам'!I549+'Дивиденды по годам'!V549)/2),""),"")</f>
        <v>4.0868409029913275E-2</v>
      </c>
      <c r="U549">
        <f>IFERROR(IF(AND('Дивиденды по годам'!J549&lt;&gt;"",'Дивиденды по годам'!K549&lt;&gt;"",'Дивиденды по годам'!M549&lt;&gt;"",'Дивиденды по годам'!M549&lt;&gt;0),('Дивиденды по годам'!J549+'Дивиденды по годам'!K549)/'Дивиденды по годам'!M549,""),"")</f>
        <v>3.3425782883492672</v>
      </c>
      <c r="V549" cm="1">
        <f t="array" ref="V549">IFERROR(AVERAGE(_xlfn._xlws.FILTER(P$2:P$1073,($C$2:$C$1073=$C549)*($E$2:$E$1073=$E549)*(ROW(P$2:P$1073)&lt;&gt;ROW(P549))*(P$2:P$1073&lt;&gt;""))),"")</f>
        <v>25.31702175263591</v>
      </c>
      <c r="W549" cm="1">
        <f t="array" ref="W549">IFERROR(AVERAGE(_xlfn._xlws.FILTER(Q$2:Q$1073,($C$2:$C$1073=$C549)*($E$2:$E$1073=$E549)*(ROW(Q$2:Q$1073)&lt;&gt;ROW(Q549))*(Q$2:Q$1073&lt;&gt;""))),"")</f>
        <v>0.2663454647200183</v>
      </c>
      <c r="X549" cm="1">
        <f t="array" ref="X549">IFERROR(AVERAGE(_xlfn._xlws.FILTER(R$2:R$1073,($C$2:$C$1073=$C549)*($E$2:$E$1073=$E549)*(ROW(R$2:R$1073)&lt;&gt;ROW(R549))*(R$2:R$1073&lt;&gt;""))),"")</f>
        <v>0.19970687303903609</v>
      </c>
      <c r="Y549" cm="1">
        <f t="array" ref="Y549">IFERROR(AVERAGE(_xlfn._xlws.FILTER(S$2:S$1073,($C$2:$C$1073=$C549)*($E$2:$E$1073=$E549)*(ROW(S$2:S$1073)&lt;&gt;ROW(S549))*(S$2:S$1073&lt;&gt;""))),"")</f>
        <v>1.4351240674518131</v>
      </c>
      <c r="Z549" cm="1">
        <f t="array" ref="Z549">IFERROR(AVERAGE(_xlfn._xlws.FILTER(T$2:T$1073,($C$2:$C$1073=$C549)*($E$2:$E$1073=$E549)*(ROW(T$2:T$1073)&lt;&gt;ROW(T549))*(T$2:T$1073&lt;&gt;""))),"")</f>
        <v>0.1062668425431756</v>
      </c>
      <c r="AA549" cm="1">
        <f t="array" ref="AA549">IFERROR(AVERAGE(_xlfn._xlws.FILTER(U$2:U$1073,($C$2:$C$1073=$C549)*($E$2:$E$1073=$E549)*(ROW(U$2:U$1073)&lt;&gt;ROW(U549))*(U$2:U$1073&lt;&gt;""))),"")</f>
        <v>2.0760522792989557</v>
      </c>
    </row>
    <row r="550" spans="1:27" x14ac:dyDescent="0.2">
      <c r="A550" s="7" t="s">
        <v>2249</v>
      </c>
      <c r="B550" t="str">
        <f t="shared" si="90"/>
        <v>EUTR IV кв. 2021</v>
      </c>
      <c r="C550">
        <v>2021</v>
      </c>
      <c r="D550">
        <f>SUMIFS(Дивиденды!$C:$C,Дивиденды!$A:$A,A550,Дивиденды!$I:$I,C550)</f>
        <v>0</v>
      </c>
      <c r="E550">
        <v>4</v>
      </c>
      <c r="F550">
        <f t="shared" si="91"/>
        <v>0</v>
      </c>
      <c r="G550">
        <f t="shared" si="92"/>
        <v>31.931428571428572</v>
      </c>
      <c r="H550">
        <f t="shared" si="93"/>
        <v>0</v>
      </c>
      <c r="I550">
        <f t="shared" si="89"/>
        <v>0.2857142857142857</v>
      </c>
      <c r="J550">
        <f t="shared" si="94"/>
        <v>0</v>
      </c>
      <c r="K550">
        <f t="shared" si="98"/>
        <v>0.1975016604235505</v>
      </c>
      <c r="L550">
        <f t="shared" si="95"/>
        <v>0</v>
      </c>
      <c r="M550">
        <f t="shared" si="99"/>
        <v>0.21428571428571427</v>
      </c>
      <c r="N550">
        <f t="shared" si="96"/>
        <v>0</v>
      </c>
      <c r="O550">
        <f t="shared" si="97"/>
        <v>7.1428571428571425E-2</v>
      </c>
      <c r="P550">
        <f>IFERROR(LN('Дивиденды по годам'!I550),"")</f>
        <v>24.236250895743577</v>
      </c>
      <c r="Q550">
        <f>IFERROR('Дивиденды по годам'!G550/'Дивиденды по годам'!I550, "")</f>
        <v>2.3697203747842436E-3</v>
      </c>
      <c r="R550">
        <f>IFERROR(IF(AND('Дивиденды по годам'!N550&lt;&gt;"",'Дивиденды по годам'!U550&lt;&gt;"",'Дивиденды по годам'!U550&lt;&gt;0),'Дивиденды по годам'!N550/'Дивиденды по годам'!U550-1,""),"")</f>
        <v>0.36007332282610771</v>
      </c>
      <c r="S550">
        <f>IFERROR(IF(AND('Дивиденды по годам'!L550&lt;&gt;"",'Дивиденды по годам'!I550&lt;&gt;"",'Дивиденды по годам'!J550&lt;&gt;"",'Дивиденды по годам'!K550&lt;&gt;"",('Дивиденды по годам'!I550-'Дивиденды по годам'!J550-'Дивиденды по годам'!K550)&lt;&gt;0),'Дивиденды по годам'!L550/('Дивиденды по годам'!I550-'Дивиденды по годам'!J550-'Дивиденды по годам'!K550),""),"")</f>
        <v>0.97043895365051036</v>
      </c>
      <c r="T550">
        <f>IFERROR(IF(AND('Дивиденды по годам'!Q550&lt;&gt;"",'Дивиденды по годам'!I550&lt;&gt;"",'Дивиденды по годам'!V550&lt;&gt;"",('Дивиденды по годам'!I550+'Дивиденды по годам'!V550)&lt;&gt;0),'Дивиденды по годам'!Q550/(('Дивиденды по годам'!I550+'Дивиденды по годам'!V550)/2),""),"")</f>
        <v>1.8572392500597654E-2</v>
      </c>
      <c r="U550">
        <f>IFERROR(IF(AND('Дивиденды по годам'!J550&lt;&gt;"",'Дивиденды по годам'!K550&lt;&gt;"",'Дивиденды по годам'!M550&lt;&gt;"",'Дивиденды по годам'!M550&lt;&gt;0),('Дивиденды по годам'!J550+'Дивиденды по годам'!K550)/'Дивиденды по годам'!M550,""),"")</f>
        <v>186.11730715600424</v>
      </c>
      <c r="V550" cm="1">
        <f t="array" ref="V550">IFERROR(AVERAGE(_xlfn._xlws.FILTER(P$2:P$1073,($C$2:$C$1073=$C550)*($E$2:$E$1073=$E550)*(ROW(P$2:P$1073)&lt;&gt;ROW(P550))*(P$2:P$1073&lt;&gt;""))),"")</f>
        <v>25.267280129600199</v>
      </c>
      <c r="W550" cm="1">
        <f t="array" ref="W550">IFERROR(AVERAGE(_xlfn._xlws.FILTER(Q$2:Q$1073,($C$2:$C$1073=$C550)*($E$2:$E$1073=$E550)*(ROW(Q$2:Q$1073)&lt;&gt;ROW(Q550))*(Q$2:Q$1073&lt;&gt;""))),"")</f>
        <v>0.25466674370437864</v>
      </c>
      <c r="X550" cm="1">
        <f t="array" ref="X550">IFERROR(AVERAGE(_xlfn._xlws.FILTER(R$2:R$1073,($C$2:$C$1073=$C550)*($E$2:$E$1073=$E550)*(ROW(R$2:R$1073)&lt;&gt;ROW(R550))*(R$2:R$1073&lt;&gt;""))),"")</f>
        <v>0.31230119671051843</v>
      </c>
      <c r="Y550" cm="1">
        <f t="array" ref="Y550">IFERROR(AVERAGE(_xlfn._xlws.FILTER(S$2:S$1073,($C$2:$C$1073=$C550)*($E$2:$E$1073=$E550)*(ROW(S$2:S$1073)&lt;&gt;ROW(S550))*(S$2:S$1073&lt;&gt;""))),"")</f>
        <v>1.3514840731397146</v>
      </c>
      <c r="Z550" cm="1">
        <f t="array" ref="Z550">IFERROR(AVERAGE(_xlfn._xlws.FILTER(T$2:T$1073,($C$2:$C$1073=$C550)*($E$2:$E$1073=$E550)*(ROW(T$2:T$1073)&lt;&gt;ROW(T550))*(T$2:T$1073&lt;&gt;""))),"")</f>
        <v>0.11287272282886333</v>
      </c>
      <c r="AA550" cm="1">
        <f t="array" ref="AA550">IFERROR(AVERAGE(_xlfn._xlws.FILTER(U$2:U$1073,($C$2:$C$1073=$C550)*($E$2:$E$1073=$E550)*(ROW(U$2:U$1073)&lt;&gt;ROW(U550))*(U$2:U$1073&lt;&gt;""))),"")</f>
        <v>2.8387420862858441</v>
      </c>
    </row>
    <row r="551" spans="1:27" x14ac:dyDescent="0.2">
      <c r="A551" s="7" t="s">
        <v>2249</v>
      </c>
      <c r="B551" t="str">
        <f t="shared" si="90"/>
        <v>EUTR IV кв. 2020</v>
      </c>
      <c r="C551">
        <v>2020</v>
      </c>
      <c r="D551">
        <f>SUMIFS(Дивиденды!$C:$C,Дивиденды!$A:$A,A551,Дивиденды!$I:$I,C551)</f>
        <v>0</v>
      </c>
      <c r="E551">
        <v>4</v>
      </c>
      <c r="F551">
        <f t="shared" si="91"/>
        <v>0</v>
      </c>
      <c r="G551">
        <f t="shared" si="92"/>
        <v>43.293571428571433</v>
      </c>
      <c r="H551">
        <f t="shared" si="93"/>
        <v>0</v>
      </c>
      <c r="I551">
        <f t="shared" si="89"/>
        <v>0.2857142857142857</v>
      </c>
      <c r="J551">
        <f t="shared" si="94"/>
        <v>0</v>
      </c>
      <c r="K551">
        <f t="shared" si="98"/>
        <v>0.26831617204892738</v>
      </c>
      <c r="L551">
        <f t="shared" si="95"/>
        <v>0</v>
      </c>
      <c r="M551">
        <f t="shared" si="99"/>
        <v>0.2857142857142857</v>
      </c>
      <c r="N551">
        <f t="shared" si="96"/>
        <v>0</v>
      </c>
      <c r="O551">
        <f t="shared" si="97"/>
        <v>0</v>
      </c>
      <c r="P551">
        <f>IFERROR(LN('Дивиденды по годам'!I551),"")</f>
        <v>23.993249442995651</v>
      </c>
      <c r="Q551">
        <f>IFERROR('Дивиденды по годам'!G551/'Дивиденды по годам'!I551, "")</f>
        <v>2.5906745597681388E-3</v>
      </c>
      <c r="R551">
        <f>IFERROR(IF(AND('Дивиденды по годам'!N551&lt;&gt;"",'Дивиденды по годам'!U551&lt;&gt;"",'Дивиденды по годам'!U551&lt;&gt;0),'Дивиденды по годам'!N551/'Дивиденды по годам'!U551-1,""),"")</f>
        <v>6.1920418715565528E-2</v>
      </c>
      <c r="S551">
        <f>IFERROR(IF(AND('Дивиденды по годам'!L551&lt;&gt;"",'Дивиденды по годам'!I551&lt;&gt;"",'Дивиденды по годам'!J551&lt;&gt;"",'Дивиденды по годам'!K551&lt;&gt;"",('Дивиденды по годам'!I551-'Дивиденды по годам'!J551-'Дивиденды по годам'!K551)&lt;&gt;0),'Дивиденды по годам'!L551/('Дивиденды по годам'!I551-'Дивиденды по годам'!J551-'Дивиденды по годам'!K551),""),"")</f>
        <v>1.0140742589769873</v>
      </c>
      <c r="T551">
        <f>IFERROR(IF(AND('Дивиденды по годам'!Q551&lt;&gt;"",'Дивиденды по годам'!I551&lt;&gt;"",'Дивиденды по годам'!V551&lt;&gt;"",('Дивиденды по годам'!I551+'Дивиденды по годам'!V551)&lt;&gt;0),'Дивиденды по годам'!Q551/(('Дивиденды по годам'!I551+'Дивиденды по годам'!V551)/2),""),"")</f>
        <v>1.1207765991428283E-2</v>
      </c>
      <c r="U551">
        <f>IFERROR(IF(AND('Дивиденды по годам'!J551&lt;&gt;"",'Дивиденды по годам'!K551&lt;&gt;"",'Дивиденды по годам'!M551&lt;&gt;"",'Дивиденды по годам'!M551&lt;&gt;0),('Дивиденды по годам'!J551+'Дивиденды по годам'!K551)/'Дивиденды по годам'!M551,""),"")</f>
        <v>-70.869157190884124</v>
      </c>
      <c r="V551" cm="1">
        <f t="array" ref="V551">IFERROR(AVERAGE(_xlfn._xlws.FILTER(P$2:P$1073,($C$2:$C$1073=$C551)*($E$2:$E$1073=$E551)*(ROW(P$2:P$1073)&lt;&gt;ROW(P551))*(P$2:P$1073&lt;&gt;""))),"")</f>
        <v>25.440124841036372</v>
      </c>
      <c r="W551" cm="1">
        <f t="array" ref="W551">IFERROR(AVERAGE(_xlfn._xlws.FILTER(Q$2:Q$1073,($C$2:$C$1073=$C551)*($E$2:$E$1073=$E551)*(ROW(Q$2:Q$1073)&lt;&gt;ROW(Q551))*(Q$2:Q$1073&lt;&gt;""))),"")</f>
        <v>0.29393962652627215</v>
      </c>
      <c r="X551" cm="1">
        <f t="array" ref="X551">IFERROR(AVERAGE(_xlfn._xlws.FILTER(R$2:R$1073,($C$2:$C$1073=$C551)*($E$2:$E$1073=$E551)*(ROW(R$2:R$1073)&lt;&gt;ROW(R551))*(R$2:R$1073&lt;&gt;""))),"")</f>
        <v>0.10119415956297534</v>
      </c>
      <c r="Y551" cm="1">
        <f t="array" ref="Y551">IFERROR(AVERAGE(_xlfn._xlws.FILTER(S$2:S$1073,($C$2:$C$1073=$C551)*($E$2:$E$1073=$E551)*(ROW(S$2:S$1073)&lt;&gt;ROW(S551))*(S$2:S$1073&lt;&gt;""))),"")</f>
        <v>1.8082135571521396</v>
      </c>
      <c r="Z551" cm="1">
        <f t="array" ref="Z551">IFERROR(AVERAGE(_xlfn._xlws.FILTER(T$2:T$1073,($C$2:$C$1073=$C551)*($E$2:$E$1073=$E551)*(ROW(T$2:T$1073)&lt;&gt;ROW(T551))*(T$2:T$1073&lt;&gt;""))),"")</f>
        <v>7.451641336817369E-2</v>
      </c>
      <c r="AA551" cm="1">
        <f t="array" ref="AA551">IFERROR(AVERAGE(_xlfn._xlws.FILTER(U$2:U$1073,($C$2:$C$1073=$C551)*($E$2:$E$1073=$E551)*(ROW(U$2:U$1073)&lt;&gt;ROW(U551))*(U$2:U$1073&lt;&gt;""))),"")</f>
        <v>-2.7191142606357164</v>
      </c>
    </row>
    <row r="552" spans="1:27" x14ac:dyDescent="0.2">
      <c r="A552" s="7" t="s">
        <v>2249</v>
      </c>
      <c r="B552" t="str">
        <f t="shared" si="90"/>
        <v>EUTR IV кв. 2019</v>
      </c>
      <c r="C552">
        <v>2019</v>
      </c>
      <c r="D552">
        <f>SUMIFS(Дивиденды!$C:$C,Дивиденды!$A:$A,A552,Дивиденды!$I:$I,C552)</f>
        <v>0</v>
      </c>
      <c r="E552">
        <v>4</v>
      </c>
      <c r="F552">
        <f t="shared" si="91"/>
        <v>0</v>
      </c>
      <c r="G552">
        <f t="shared" si="92"/>
        <v>24.398571428571426</v>
      </c>
      <c r="H552">
        <f t="shared" si="93"/>
        <v>0</v>
      </c>
      <c r="I552">
        <f t="shared" si="89"/>
        <v>0.21428571428571427</v>
      </c>
      <c r="J552">
        <f t="shared" si="94"/>
        <v>0</v>
      </c>
      <c r="K552">
        <f t="shared" si="98"/>
        <v>0.10876410731109194</v>
      </c>
      <c r="L552">
        <f t="shared" si="95"/>
        <v>0</v>
      </c>
      <c r="M552">
        <f t="shared" si="99"/>
        <v>0.21428571428571427</v>
      </c>
      <c r="N552">
        <f t="shared" si="96"/>
        <v>0</v>
      </c>
      <c r="O552">
        <f t="shared" si="97"/>
        <v>0</v>
      </c>
      <c r="P552">
        <f>IFERROR(LN('Дивиденды по годам'!I552),"")</f>
        <v>23.915102701702541</v>
      </c>
      <c r="Q552">
        <f>IFERROR('Дивиденды по годам'!G552/'Дивиденды по годам'!I552, "")</f>
        <v>8.137070012870954E-5</v>
      </c>
      <c r="R552" t="str">
        <f>IFERROR(IF(AND('Дивиденды по годам'!N552&lt;&gt;"",'Дивиденды по годам'!U552&lt;&gt;"",'Дивиденды по годам'!U552&lt;&gt;0),'Дивиденды по годам'!N552/'Дивиденды по годам'!U552-1,""),"")</f>
        <v/>
      </c>
      <c r="S552">
        <f>IFERROR(IF(AND('Дивиденды по годам'!L552&lt;&gt;"",'Дивиденды по годам'!I552&lt;&gt;"",'Дивиденды по годам'!J552&lt;&gt;"",'Дивиденды по годам'!K552&lt;&gt;"",('Дивиденды по годам'!I552-'Дивиденды по годам'!J552-'Дивиденды по годам'!K552)&lt;&gt;0),'Дивиденды по годам'!L552/('Дивиденды по годам'!I552-'Дивиденды по годам'!J552-'Дивиденды по годам'!K552),""),"")</f>
        <v>1.008025718642533</v>
      </c>
      <c r="T552" t="str">
        <f>IFERROR(IF(AND('Дивиденды по годам'!Q552&lt;&gt;"",'Дивиденды по годам'!I552&lt;&gt;"",'Дивиденды по годам'!V552&lt;&gt;"",('Дивиденды по годам'!I552+'Дивиденды по годам'!V552)&lt;&gt;0),'Дивиденды по годам'!Q552/(('Дивиденды по годам'!I552+'Дивиденды по годам'!V552)/2),""),"")</f>
        <v/>
      </c>
      <c r="U552">
        <f>IFERROR(IF(AND('Дивиденды по годам'!J552&lt;&gt;"",'Дивиденды по годам'!K552&lt;&gt;"",'Дивиденды по годам'!M552&lt;&gt;"",'Дивиденды по годам'!M552&lt;&gt;0),('Дивиденды по годам'!J552+'Дивиденды по годам'!K552)/'Дивиденды по годам'!M552,""),"")</f>
        <v>-37.847259974226844</v>
      </c>
      <c r="V552" cm="1">
        <f t="array" ref="V552">IFERROR(AVERAGE(_xlfn._xlws.FILTER(P$2:P$1073,($C$2:$C$1073=$C552)*($E$2:$E$1073=$E552)*(ROW(P$2:P$1073)&lt;&gt;ROW(P552))*(P$2:P$1073&lt;&gt;""))),"")</f>
        <v>25.266163520181806</v>
      </c>
      <c r="W552" cm="1">
        <f t="array" ref="W552">IFERROR(AVERAGE(_xlfn._xlws.FILTER(Q$2:Q$1073,($C$2:$C$1073=$C552)*($E$2:$E$1073=$E552)*(ROW(Q$2:Q$1073)&lt;&gt;ROW(Q552))*(Q$2:Q$1073&lt;&gt;""))),"")</f>
        <v>0.30465616098007986</v>
      </c>
      <c r="X552" cm="1">
        <f t="array" ref="X552">IFERROR(AVERAGE(_xlfn._xlws.FILTER(R$2:R$1073,($C$2:$C$1073=$C552)*($E$2:$E$1073=$E552)*(ROW(R$2:R$1073)&lt;&gt;ROW(R552))*(R$2:R$1073&lt;&gt;""))),"")</f>
        <v>0.41255485917491075</v>
      </c>
      <c r="Y552" cm="1">
        <f t="array" ref="Y552">IFERROR(AVERAGE(_xlfn._xlws.FILTER(S$2:S$1073,($C$2:$C$1073=$C552)*($E$2:$E$1073=$E552)*(ROW(S$2:S$1073)&lt;&gt;ROW(S552))*(S$2:S$1073&lt;&gt;""))),"")</f>
        <v>0.88320233519466185</v>
      </c>
      <c r="Z552" cm="1">
        <f t="array" ref="Z552">IFERROR(AVERAGE(_xlfn._xlws.FILTER(T$2:T$1073,($C$2:$C$1073=$C552)*($E$2:$E$1073=$E552)*(ROW(T$2:T$1073)&lt;&gt;ROW(T552))*(T$2:T$1073&lt;&gt;""))),"")</f>
        <v>4.8479450567785541E-2</v>
      </c>
      <c r="AA552" cm="1">
        <f t="array" ref="AA552">IFERROR(AVERAGE(_xlfn._xlws.FILTER(U$2:U$1073,($C$2:$C$1073=$C552)*($E$2:$E$1073=$E552)*(ROW(U$2:U$1073)&lt;&gt;ROW(U552))*(U$2:U$1073&lt;&gt;""))),"")</f>
        <v>1.7560461540669152</v>
      </c>
    </row>
    <row r="553" spans="1:27" x14ac:dyDescent="0.2">
      <c r="A553" s="7" t="s">
        <v>2249</v>
      </c>
      <c r="B553" t="str">
        <f t="shared" si="90"/>
        <v>EUTR IV кв. 2018</v>
      </c>
      <c r="C553">
        <v>2018</v>
      </c>
      <c r="D553">
        <f>SUMIFS(Дивиденды!$C:$C,Дивиденды!$A:$A,A553,Дивиденды!$I:$I,C553)</f>
        <v>0</v>
      </c>
      <c r="E553">
        <v>4</v>
      </c>
      <c r="F553">
        <f t="shared" si="91"/>
        <v>0</v>
      </c>
      <c r="G553">
        <f t="shared" si="92"/>
        <v>21.978571428571428</v>
      </c>
      <c r="H553">
        <f t="shared" si="93"/>
        <v>0</v>
      </c>
      <c r="I553">
        <f t="shared" si="89"/>
        <v>0.14285714285714285</v>
      </c>
      <c r="J553">
        <f t="shared" si="94"/>
        <v>0</v>
      </c>
      <c r="K553">
        <f t="shared" si="98"/>
        <v>-1.8223065562117002E-2</v>
      </c>
      <c r="L553">
        <f t="shared" si="95"/>
        <v>0</v>
      </c>
      <c r="M553">
        <f t="shared" si="99"/>
        <v>7.1428571428571425E-2</v>
      </c>
      <c r="N553">
        <f t="shared" si="96"/>
        <v>0</v>
      </c>
      <c r="O553">
        <f t="shared" si="97"/>
        <v>7.1428571428571425E-2</v>
      </c>
      <c r="P553" t="str">
        <f>IFERROR(LN('Дивиденды по годам'!I553),"")</f>
        <v/>
      </c>
      <c r="Q553" t="str">
        <f>IFERROR('Дивиденды по годам'!G553/'Дивиденды по годам'!I553, "")</f>
        <v/>
      </c>
      <c r="R553" t="str">
        <f>IFERROR(IF(AND('Дивиденды по годам'!N553&lt;&gt;"",'Дивиденды по годам'!U553&lt;&gt;"",'Дивиденды по годам'!U553&lt;&gt;0),'Дивиденды по годам'!N553/'Дивиденды по годам'!U553-1,""),"")</f>
        <v/>
      </c>
      <c r="S553" t="str">
        <f>IFERROR(IF(AND('Дивиденды по годам'!L553&lt;&gt;"",'Дивиденды по годам'!I553&lt;&gt;"",'Дивиденды по годам'!J553&lt;&gt;"",'Дивиденды по годам'!K553&lt;&gt;"",('Дивиденды по годам'!I553-'Дивиденды по годам'!J553-'Дивиденды по годам'!K553)&lt;&gt;0),'Дивиденды по годам'!L553/('Дивиденды по годам'!I553-'Дивиденды по годам'!J553-'Дивиденды по годам'!K553),""),"")</f>
        <v/>
      </c>
      <c r="T553" t="str">
        <f>IFERROR(IF(AND('Дивиденды по годам'!Q553&lt;&gt;"",'Дивиденды по годам'!I553&lt;&gt;"",'Дивиденды по годам'!V553&lt;&gt;"",('Дивиденды по годам'!I553+'Дивиденды по годам'!V553)&lt;&gt;0),'Дивиденды по годам'!Q553/(('Дивиденды по годам'!I553+'Дивиденды по годам'!V553)/2),""),"")</f>
        <v/>
      </c>
      <c r="U553" t="str">
        <f>IFERROR(IF(AND('Дивиденды по годам'!J553&lt;&gt;"",'Дивиденды по годам'!K553&lt;&gt;"",'Дивиденды по годам'!M553&lt;&gt;"",'Дивиденды по годам'!M553&lt;&gt;0),('Дивиденды по годам'!J553+'Дивиденды по годам'!K553)/'Дивиденды по годам'!M553,""),"")</f>
        <v/>
      </c>
      <c r="V553" cm="1">
        <f t="array" ref="V553">IFERROR(AVERAGE(_xlfn._xlws.FILTER(P$2:P$1073,($C$2:$C$1073=$C553)*($E$2:$E$1073=$E553)*(ROW(P$2:P$1073)&lt;&gt;ROW(P553))*(P$2:P$1073&lt;&gt;""))),"")</f>
        <v>24.908270704496481</v>
      </c>
      <c r="W553" cm="1">
        <f t="array" ref="W553">IFERROR(AVERAGE(_xlfn._xlws.FILTER(Q$2:Q$1073,($C$2:$C$1073=$C553)*($E$2:$E$1073=$E553)*(ROW(Q$2:Q$1073)&lt;&gt;ROW(Q553))*(Q$2:Q$1073&lt;&gt;""))),"")</f>
        <v>0.31629947227527405</v>
      </c>
      <c r="X553" cm="1">
        <f t="array" ref="X553">IFERROR(AVERAGE(_xlfn._xlws.FILTER(R$2:R$1073,($C$2:$C$1073=$C553)*($E$2:$E$1073=$E553)*(ROW(R$2:R$1073)&lt;&gt;ROW(R553))*(R$2:R$1073&lt;&gt;""))),"")</f>
        <v>5.6638288450543382E-2</v>
      </c>
      <c r="Y553" cm="1">
        <f t="array" ref="Y553">IFERROR(AVERAGE(_xlfn._xlws.FILTER(S$2:S$1073,($C$2:$C$1073=$C553)*($E$2:$E$1073=$E553)*(ROW(S$2:S$1073)&lt;&gt;ROW(S553))*(S$2:S$1073&lt;&gt;""))),"")</f>
        <v>0.64427650310006845</v>
      </c>
      <c r="Z553" cm="1">
        <f t="array" ref="Z553">IFERROR(AVERAGE(_xlfn._xlws.FILTER(T$2:T$1073,($C$2:$C$1073=$C553)*($E$2:$E$1073=$E553)*(ROW(T$2:T$1073)&lt;&gt;ROW(T553))*(T$2:T$1073&lt;&gt;""))),"")</f>
        <v>7.1418821660913928E-3</v>
      </c>
      <c r="AA553" cm="1">
        <f t="array" ref="AA553">IFERROR(AVERAGE(_xlfn._xlws.FILTER(U$2:U$1073,($C$2:$C$1073=$C553)*($E$2:$E$1073=$E553)*(ROW(U$2:U$1073)&lt;&gt;ROW(U553))*(U$2:U$1073&lt;&gt;""))),"")</f>
        <v>1.0767813683356515</v>
      </c>
    </row>
    <row r="554" spans="1:27" x14ac:dyDescent="0.2">
      <c r="A554" s="7" t="s">
        <v>2249</v>
      </c>
      <c r="B554" t="str">
        <f t="shared" si="90"/>
        <v>EUTR IV кв. 2017</v>
      </c>
      <c r="C554">
        <v>2017</v>
      </c>
      <c r="D554">
        <f>SUMIFS(Дивиденды!$C:$C,Дивиденды!$A:$A,A554,Дивиденды!$I:$I,C554)</f>
        <v>0</v>
      </c>
      <c r="E554">
        <v>4</v>
      </c>
      <c r="F554">
        <f t="shared" si="91"/>
        <v>0</v>
      </c>
      <c r="G554">
        <f t="shared" si="92"/>
        <v>18.403571428571428</v>
      </c>
      <c r="H554">
        <f t="shared" si="93"/>
        <v>0</v>
      </c>
      <c r="I554">
        <f t="shared" si="89"/>
        <v>0.14285714285714285</v>
      </c>
      <c r="J554">
        <f t="shared" si="94"/>
        <v>0</v>
      </c>
      <c r="K554">
        <f t="shared" si="98"/>
        <v>-1.7352821773673279E-2</v>
      </c>
      <c r="L554">
        <f t="shared" si="95"/>
        <v>0</v>
      </c>
      <c r="M554">
        <f t="shared" si="99"/>
        <v>0</v>
      </c>
      <c r="N554">
        <f t="shared" si="96"/>
        <v>0</v>
      </c>
      <c r="O554">
        <f t="shared" si="97"/>
        <v>0.14285714285714285</v>
      </c>
      <c r="P554" t="str">
        <f>IFERROR(LN('Дивиденды по годам'!I554),"")</f>
        <v/>
      </c>
      <c r="Q554" t="str">
        <f>IFERROR('Дивиденды по годам'!G554/'Дивиденды по годам'!I554, "")</f>
        <v/>
      </c>
      <c r="R554" t="str">
        <f>IFERROR(IF(AND('Дивиденды по годам'!N554&lt;&gt;"",'Дивиденды по годам'!U554&lt;&gt;"",'Дивиденды по годам'!U554&lt;&gt;0),'Дивиденды по годам'!N554/'Дивиденды по годам'!U554-1,""),"")</f>
        <v/>
      </c>
      <c r="S554" t="str">
        <f>IFERROR(IF(AND('Дивиденды по годам'!L554&lt;&gt;"",'Дивиденды по годам'!I554&lt;&gt;"",'Дивиденды по годам'!J554&lt;&gt;"",'Дивиденды по годам'!K554&lt;&gt;"",('Дивиденды по годам'!I554-'Дивиденды по годам'!J554-'Дивиденды по годам'!K554)&lt;&gt;0),'Дивиденды по годам'!L554/('Дивиденды по годам'!I554-'Дивиденды по годам'!J554-'Дивиденды по годам'!K554),""),"")</f>
        <v/>
      </c>
      <c r="T554" t="str">
        <f>IFERROR(IF(AND('Дивиденды по годам'!Q554&lt;&gt;"",'Дивиденды по годам'!I554&lt;&gt;"",'Дивиденды по годам'!V554&lt;&gt;"",('Дивиденды по годам'!I554+'Дивиденды по годам'!V554)&lt;&gt;0),'Дивиденды по годам'!Q554/(('Дивиденды по годам'!I554+'Дивиденды по годам'!V554)/2),""),"")</f>
        <v/>
      </c>
      <c r="U554" t="str">
        <f>IFERROR(IF(AND('Дивиденды по годам'!J554&lt;&gt;"",'Дивиденды по годам'!K554&lt;&gt;"",'Дивиденды по годам'!M554&lt;&gt;"",'Дивиденды по годам'!M554&lt;&gt;0),('Дивиденды по годам'!J554+'Дивиденды по годам'!K554)/'Дивиденды по годам'!M554,""),"")</f>
        <v/>
      </c>
      <c r="V554" cm="1">
        <f t="array" ref="V554">IFERROR(AVERAGE(_xlfn._xlws.FILTER(P$2:P$1073,($C$2:$C$1073=$C554)*($E$2:$E$1073=$E554)*(ROW(P$2:P$1073)&lt;&gt;ROW(P554))*(P$2:P$1073&lt;&gt;""))),"")</f>
        <v>24.73571056544559</v>
      </c>
      <c r="W554" cm="1">
        <f t="array" ref="W554">IFERROR(AVERAGE(_xlfn._xlws.FILTER(Q$2:Q$1073,($C$2:$C$1073=$C554)*($E$2:$E$1073=$E554)*(ROW(Q$2:Q$1073)&lt;&gt;ROW(Q554))*(Q$2:Q$1073&lt;&gt;""))),"")</f>
        <v>0.33981210980429821</v>
      </c>
      <c r="X554" cm="1">
        <f t="array" ref="X554">IFERROR(AVERAGE(_xlfn._xlws.FILTER(R$2:R$1073,($C$2:$C$1073=$C554)*($E$2:$E$1073=$E554)*(ROW(R$2:R$1073)&lt;&gt;ROW(R554))*(R$2:R$1073&lt;&gt;""))),"")</f>
        <v>0.23691718521625563</v>
      </c>
      <c r="Y554" cm="1">
        <f t="array" ref="Y554">IFERROR(AVERAGE(_xlfn._xlws.FILTER(S$2:S$1073,($C$2:$C$1073=$C554)*($E$2:$E$1073=$E554)*(ROW(S$2:S$1073)&lt;&gt;ROW(S554))*(S$2:S$1073&lt;&gt;""))),"")</f>
        <v>0.61774629406594017</v>
      </c>
      <c r="Z554" cm="1">
        <f t="array" ref="Z554">IFERROR(AVERAGE(_xlfn._xlws.FILTER(T$2:T$1073,($C$2:$C$1073=$C554)*($E$2:$E$1073=$E554)*(ROW(T$2:T$1073)&lt;&gt;ROW(T554))*(T$2:T$1073&lt;&gt;""))),"")</f>
        <v>-2.7044382152168867E-2</v>
      </c>
      <c r="AA554" cm="1">
        <f t="array" ref="AA554">IFERROR(AVERAGE(_xlfn._xlws.FILTER(U$2:U$1073,($C$2:$C$1073=$C554)*($E$2:$E$1073=$E554)*(ROW(U$2:U$1073)&lt;&gt;ROW(U554))*(U$2:U$1073&lt;&gt;""))),"")</f>
        <v>0.62620703107195774</v>
      </c>
    </row>
    <row r="555" spans="1:27" x14ac:dyDescent="0.2">
      <c r="A555" s="7" t="s">
        <v>2249</v>
      </c>
      <c r="B555" t="str">
        <f t="shared" si="90"/>
        <v>EUTR IV кв. 2016</v>
      </c>
      <c r="C555">
        <v>2016</v>
      </c>
      <c r="D555">
        <f>SUMIFS(Дивиденды!$C:$C,Дивиденды!$A:$A,A555,Дивиденды!$I:$I,C555)</f>
        <v>0</v>
      </c>
      <c r="E555">
        <v>4</v>
      </c>
      <c r="F555">
        <f t="shared" si="91"/>
        <v>0</v>
      </c>
      <c r="G555">
        <f t="shared" si="92"/>
        <v>20.421428571428571</v>
      </c>
      <c r="H555">
        <f t="shared" si="93"/>
        <v>0</v>
      </c>
      <c r="I555">
        <f t="shared" si="89"/>
        <v>0.14285714285714285</v>
      </c>
      <c r="J555">
        <f t="shared" si="94"/>
        <v>0</v>
      </c>
      <c r="K555">
        <f t="shared" si="98"/>
        <v>2.0593461763560781E-2</v>
      </c>
      <c r="L555">
        <f t="shared" si="95"/>
        <v>0</v>
      </c>
      <c r="M555">
        <f t="shared" si="99"/>
        <v>7.1428571428571425E-2</v>
      </c>
      <c r="N555">
        <f t="shared" si="96"/>
        <v>0</v>
      </c>
      <c r="O555">
        <f t="shared" si="97"/>
        <v>7.1428571428571425E-2</v>
      </c>
      <c r="P555" t="str">
        <f>IFERROR(LN('Дивиденды по годам'!I555),"")</f>
        <v/>
      </c>
      <c r="Q555" t="str">
        <f>IFERROR('Дивиденды по годам'!G555/'Дивиденды по годам'!I555, "")</f>
        <v/>
      </c>
      <c r="R555" t="str">
        <f>IFERROR(IF(AND('Дивиденды по годам'!N555&lt;&gt;"",'Дивиденды по годам'!U555&lt;&gt;"",'Дивиденды по годам'!U555&lt;&gt;0),'Дивиденды по годам'!N555/'Дивиденды по годам'!U555-1,""),"")</f>
        <v/>
      </c>
      <c r="S555" t="str">
        <f>IFERROR(IF(AND('Дивиденды по годам'!L555&lt;&gt;"",'Дивиденды по годам'!I555&lt;&gt;"",'Дивиденды по годам'!J555&lt;&gt;"",'Дивиденды по годам'!K555&lt;&gt;"",('Дивиденды по годам'!I555-'Дивиденды по годам'!J555-'Дивиденды по годам'!K555)&lt;&gt;0),'Дивиденды по годам'!L555/('Дивиденды по годам'!I555-'Дивиденды по годам'!J555-'Дивиденды по годам'!K555),""),"")</f>
        <v/>
      </c>
      <c r="T555" t="str">
        <f>IFERROR(IF(AND('Дивиденды по годам'!Q555&lt;&gt;"",'Дивиденды по годам'!I555&lt;&gt;"",'Дивиденды по годам'!V555&lt;&gt;"",('Дивиденды по годам'!I555+'Дивиденды по годам'!V555)&lt;&gt;0),'Дивиденды по годам'!Q555/(('Дивиденды по годам'!I555+'Дивиденды по годам'!V555)/2),""),"")</f>
        <v/>
      </c>
      <c r="U555" t="str">
        <f>IFERROR(IF(AND('Дивиденды по годам'!J555&lt;&gt;"",'Дивиденды по годам'!K555&lt;&gt;"",'Дивиденды по годам'!M555&lt;&gt;"",'Дивиденды по годам'!M555&lt;&gt;0),('Дивиденды по годам'!J555+'Дивиденды по годам'!K555)/'Дивиденды по годам'!M555,""),"")</f>
        <v/>
      </c>
      <c r="V555" cm="1">
        <f t="array" ref="V555">IFERROR(AVERAGE(_xlfn._xlws.FILTER(P$2:P$1073,($C$2:$C$1073=$C555)*($E$2:$E$1073=$E555)*(ROW(P$2:P$1073)&lt;&gt;ROW(P555))*(P$2:P$1073&lt;&gt;""))),"")</f>
        <v>24.55530958635584</v>
      </c>
      <c r="W555" cm="1">
        <f t="array" ref="W555">IFERROR(AVERAGE(_xlfn._xlws.FILTER(Q$2:Q$1073,($C$2:$C$1073=$C555)*($E$2:$E$1073=$E555)*(ROW(Q$2:Q$1073)&lt;&gt;ROW(Q555))*(Q$2:Q$1073&lt;&gt;""))),"")</f>
        <v>0.27878606899788128</v>
      </c>
      <c r="X555" cm="1">
        <f t="array" ref="X555">IFERROR(AVERAGE(_xlfn._xlws.FILTER(R$2:R$1073,($C$2:$C$1073=$C555)*($E$2:$E$1073=$E555)*(ROW(R$2:R$1073)&lt;&gt;ROW(R555))*(R$2:R$1073&lt;&gt;""))),"")</f>
        <v>0.16612325919082049</v>
      </c>
      <c r="Y555" cm="1">
        <f t="array" ref="Y555">IFERROR(AVERAGE(_xlfn._xlws.FILTER(S$2:S$1073,($C$2:$C$1073=$C555)*($E$2:$E$1073=$E555)*(ROW(S$2:S$1073)&lt;&gt;ROW(S555))*(S$2:S$1073&lt;&gt;""))),"")</f>
        <v>6.2178681719613929</v>
      </c>
      <c r="Z555" cm="1">
        <f t="array" ref="Z555">IFERROR(AVERAGE(_xlfn._xlws.FILTER(T$2:T$1073,($C$2:$C$1073=$C555)*($E$2:$E$1073=$E555)*(ROW(T$2:T$1073)&lt;&gt;ROW(T555))*(T$2:T$1073&lt;&gt;""))),"")</f>
        <v>-2.007011623977166E-2</v>
      </c>
      <c r="AA555" cm="1">
        <f t="array" ref="AA555">IFERROR(AVERAGE(_xlfn._xlws.FILTER(U$2:U$1073,($C$2:$C$1073=$C555)*($E$2:$E$1073=$E555)*(ROW(U$2:U$1073)&lt;&gt;ROW(U555))*(U$2:U$1073&lt;&gt;""))),"")</f>
        <v>-16.044507701133888</v>
      </c>
    </row>
    <row r="556" spans="1:27" x14ac:dyDescent="0.2">
      <c r="A556" s="7" t="s">
        <v>2249</v>
      </c>
      <c r="B556" t="str">
        <f t="shared" si="90"/>
        <v>EUTR IV кв. 2015</v>
      </c>
      <c r="C556">
        <v>2015</v>
      </c>
      <c r="D556">
        <f>SUMIFS(Дивиденды!$C:$C,Дивиденды!$A:$A,A556,Дивиденды!$I:$I,C556)</f>
        <v>0</v>
      </c>
      <c r="E556">
        <v>4</v>
      </c>
      <c r="F556">
        <f t="shared" si="91"/>
        <v>0</v>
      </c>
      <c r="G556">
        <f t="shared" si="92"/>
        <v>22.574999999999999</v>
      </c>
      <c r="H556">
        <f t="shared" si="93"/>
        <v>0</v>
      </c>
      <c r="I556">
        <f t="shared" si="89"/>
        <v>0.14285714285714285</v>
      </c>
      <c r="J556">
        <f t="shared" si="94"/>
        <v>0</v>
      </c>
      <c r="K556">
        <f t="shared" si="98"/>
        <v>6.1102189263868886E-2</v>
      </c>
      <c r="L556">
        <f t="shared" si="95"/>
        <v>0</v>
      </c>
      <c r="M556">
        <f t="shared" si="99"/>
        <v>7.1428571428571425E-2</v>
      </c>
      <c r="N556">
        <f t="shared" si="96"/>
        <v>0</v>
      </c>
      <c r="O556">
        <f t="shared" si="97"/>
        <v>7.1428571428571425E-2</v>
      </c>
      <c r="P556" t="str">
        <f>IFERROR(LN('Дивиденды по годам'!I556),"")</f>
        <v/>
      </c>
      <c r="Q556" t="str">
        <f>IFERROR('Дивиденды по годам'!G556/'Дивиденды по годам'!I556, "")</f>
        <v/>
      </c>
      <c r="R556" t="str">
        <f>IFERROR(IF(AND('Дивиденды по годам'!N556&lt;&gt;"",'Дивиденды по годам'!U556&lt;&gt;"",'Дивиденды по годам'!U556&lt;&gt;0),'Дивиденды по годам'!N556/'Дивиденды по годам'!U556-1,""),"")</f>
        <v/>
      </c>
      <c r="S556" t="str">
        <f>IFERROR(IF(AND('Дивиденды по годам'!L556&lt;&gt;"",'Дивиденды по годам'!I556&lt;&gt;"",'Дивиденды по годам'!J556&lt;&gt;"",'Дивиденды по годам'!K556&lt;&gt;"",('Дивиденды по годам'!I556-'Дивиденды по годам'!J556-'Дивиденды по годам'!K556)&lt;&gt;0),'Дивиденды по годам'!L556/('Дивиденды по годам'!I556-'Дивиденды по годам'!J556-'Дивиденды по годам'!K556),""),"")</f>
        <v/>
      </c>
      <c r="T556" t="str">
        <f>IFERROR(IF(AND('Дивиденды по годам'!Q556&lt;&gt;"",'Дивиденды по годам'!I556&lt;&gt;"",'Дивиденды по годам'!V556&lt;&gt;"",('Дивиденды по годам'!I556+'Дивиденды по годам'!V556)&lt;&gt;0),'Дивиденды по годам'!Q556/(('Дивиденды по годам'!I556+'Дивиденды по годам'!V556)/2),""),"")</f>
        <v/>
      </c>
      <c r="U556" t="str">
        <f>IFERROR(IF(AND('Дивиденды по годам'!J556&lt;&gt;"",'Дивиденды по годам'!K556&lt;&gt;"",'Дивиденды по годам'!M556&lt;&gt;"",'Дивиденды по годам'!M556&lt;&gt;0),('Дивиденды по годам'!J556+'Дивиденды по годам'!K556)/'Дивиденды по годам'!M556,""),"")</f>
        <v/>
      </c>
      <c r="V556" cm="1">
        <f t="array" ref="V556">IFERROR(AVERAGE(_xlfn._xlws.FILTER(P$2:P$1073,($C$2:$C$1073=$C556)*($E$2:$E$1073=$E556)*(ROW(P$2:P$1073)&lt;&gt;ROW(P556))*(P$2:P$1073&lt;&gt;""))),"")</f>
        <v>24.784857390248948</v>
      </c>
      <c r="W556" cm="1">
        <f t="array" ref="W556">IFERROR(AVERAGE(_xlfn._xlws.FILTER(Q$2:Q$1073,($C$2:$C$1073=$C556)*($E$2:$E$1073=$E556)*(ROW(Q$2:Q$1073)&lt;&gt;ROW(Q556))*(Q$2:Q$1073&lt;&gt;""))),"")</f>
        <v>0.29707306985497267</v>
      </c>
      <c r="X556" cm="1">
        <f t="array" ref="X556">IFERROR(AVERAGE(_xlfn._xlws.FILTER(R$2:R$1073,($C$2:$C$1073=$C556)*($E$2:$E$1073=$E556)*(ROW(R$2:R$1073)&lt;&gt;ROW(R556))*(R$2:R$1073&lt;&gt;""))),"")</f>
        <v>0.20074687596566593</v>
      </c>
      <c r="Y556" cm="1">
        <f t="array" ref="Y556">IFERROR(AVERAGE(_xlfn._xlws.FILTER(S$2:S$1073,($C$2:$C$1073=$C556)*($E$2:$E$1073=$E556)*(ROW(S$2:S$1073)&lt;&gt;ROW(S556))*(S$2:S$1073&lt;&gt;""))),"")</f>
        <v>-0.60736862679830428</v>
      </c>
      <c r="Z556" cm="1">
        <f t="array" ref="Z556">IFERROR(AVERAGE(_xlfn._xlws.FILTER(T$2:T$1073,($C$2:$C$1073=$C556)*($E$2:$E$1073=$E556)*(ROW(T$2:T$1073)&lt;&gt;ROW(T556))*(T$2:T$1073&lt;&gt;""))),"")</f>
        <v>6.4031956193225284E-2</v>
      </c>
      <c r="AA556" cm="1">
        <f t="array" ref="AA556">IFERROR(AVERAGE(_xlfn._xlws.FILTER(U$2:U$1073,($C$2:$C$1073=$C556)*($E$2:$E$1073=$E556)*(ROW(U$2:U$1073)&lt;&gt;ROW(U556))*(U$2:U$1073&lt;&gt;""))),"")</f>
        <v>5.5189604575277329</v>
      </c>
    </row>
    <row r="557" spans="1:27" x14ac:dyDescent="0.2">
      <c r="A557" s="7" t="s">
        <v>2249</v>
      </c>
      <c r="B557" t="str">
        <f t="shared" si="90"/>
        <v>EUTR IV кв. 2014</v>
      </c>
      <c r="C557">
        <v>2014</v>
      </c>
      <c r="D557">
        <f>SUMIFS(Дивиденды!$C:$C,Дивиденды!$A:$A,A557,Дивиденды!$I:$I,C557)</f>
        <v>0</v>
      </c>
      <c r="E557">
        <v>4</v>
      </c>
      <c r="F557">
        <f t="shared" si="91"/>
        <v>0</v>
      </c>
      <c r="G557">
        <f t="shared" si="92"/>
        <v>25.924285714285713</v>
      </c>
      <c r="H557">
        <f t="shared" si="93"/>
        <v>0</v>
      </c>
      <c r="I557">
        <f t="shared" si="89"/>
        <v>7.1428571428571425E-2</v>
      </c>
      <c r="J557">
        <f t="shared" si="94"/>
        <v>0</v>
      </c>
      <c r="K557">
        <f t="shared" si="98"/>
        <v>4.887635107293415E-2</v>
      </c>
      <c r="L557">
        <f t="shared" si="95"/>
        <v>0</v>
      </c>
      <c r="M557">
        <f t="shared" si="99"/>
        <v>7.1428571428571425E-2</v>
      </c>
      <c r="N557">
        <f t="shared" si="96"/>
        <v>0</v>
      </c>
      <c r="O557">
        <f t="shared" si="97"/>
        <v>7.1428571428571425E-2</v>
      </c>
      <c r="P557" t="str">
        <f>IFERROR(LN('Дивиденды по годам'!I557),"")</f>
        <v/>
      </c>
      <c r="Q557" t="str">
        <f>IFERROR('Дивиденды по годам'!G557/'Дивиденды по годам'!I557, "")</f>
        <v/>
      </c>
      <c r="R557" t="str">
        <f>IFERROR(IF(AND('Дивиденды по годам'!N557&lt;&gt;"",'Дивиденды по годам'!U557&lt;&gt;"",'Дивиденды по годам'!U557&lt;&gt;0),'Дивиденды по годам'!N557/'Дивиденды по годам'!U557-1,""),"")</f>
        <v/>
      </c>
      <c r="S557" t="str">
        <f>IFERROR(IF(AND('Дивиденды по годам'!L557&lt;&gt;"",'Дивиденды по годам'!I557&lt;&gt;"",'Дивиденды по годам'!J557&lt;&gt;"",'Дивиденды по годам'!K557&lt;&gt;"",('Дивиденды по годам'!I557-'Дивиденды по годам'!J557-'Дивиденды по годам'!K557)&lt;&gt;0),'Дивиденды по годам'!L557/('Дивиденды по годам'!I557-'Дивиденды по годам'!J557-'Дивиденды по годам'!K557),""),"")</f>
        <v/>
      </c>
      <c r="T557" t="str">
        <f>IFERROR(IF(AND('Дивиденды по годам'!Q557&lt;&gt;"",'Дивиденды по годам'!I557&lt;&gt;"",'Дивиденды по годам'!V557&lt;&gt;"",('Дивиденды по годам'!I557+'Дивиденды по годам'!V557)&lt;&gt;0),'Дивиденды по годам'!Q557/(('Дивиденды по годам'!I557+'Дивиденды по годам'!V557)/2),""),"")</f>
        <v/>
      </c>
      <c r="U557" t="str">
        <f>IFERROR(IF(AND('Дивиденды по годам'!J557&lt;&gt;"",'Дивиденды по годам'!K557&lt;&gt;"",'Дивиденды по годам'!M557&lt;&gt;"",'Дивиденды по годам'!M557&lt;&gt;0),('Дивиденды по годам'!J557+'Дивиденды по годам'!K557)/'Дивиденды по годам'!M557,""),"")</f>
        <v/>
      </c>
      <c r="V557" cm="1">
        <f t="array" ref="V557">IFERROR(AVERAGE(_xlfn._xlws.FILTER(P$2:P$1073,($C$2:$C$1073=$C557)*($E$2:$E$1073=$E557)*(ROW(P$2:P$1073)&lt;&gt;ROW(P557))*(P$2:P$1073&lt;&gt;""))),"")</f>
        <v>24.777851287837404</v>
      </c>
      <c r="W557" cm="1">
        <f t="array" ref="W557">IFERROR(AVERAGE(_xlfn._xlws.FILTER(Q$2:Q$1073,($C$2:$C$1073=$C557)*($E$2:$E$1073=$E557)*(ROW(Q$2:Q$1073)&lt;&gt;ROW(Q557))*(Q$2:Q$1073&lt;&gt;""))),"")</f>
        <v>0.28994951624266957</v>
      </c>
      <c r="X557" cm="1">
        <f t="array" ref="X557">IFERROR(AVERAGE(_xlfn._xlws.FILTER(R$2:R$1073,($C$2:$C$1073=$C557)*($E$2:$E$1073=$E557)*(ROW(R$2:R$1073)&lt;&gt;ROW(R557))*(R$2:R$1073&lt;&gt;""))),"")</f>
        <v>8.5517195784799244E-2</v>
      </c>
      <c r="Y557" cm="1">
        <f t="array" ref="Y557">IFERROR(AVERAGE(_xlfn._xlws.FILTER(S$2:S$1073,($C$2:$C$1073=$C557)*($E$2:$E$1073=$E557)*(ROW(S$2:S$1073)&lt;&gt;ROW(S557))*(S$2:S$1073&lt;&gt;""))),"")</f>
        <v>-8.9932559622525012</v>
      </c>
      <c r="Z557" cm="1">
        <f t="array" ref="Z557">IFERROR(AVERAGE(_xlfn._xlws.FILTER(T$2:T$1073,($C$2:$C$1073=$C557)*($E$2:$E$1073=$E557)*(ROW(T$2:T$1073)&lt;&gt;ROW(T557))*(T$2:T$1073&lt;&gt;""))),"")</f>
        <v>3.4958573241250623E-2</v>
      </c>
      <c r="AA557" cm="1">
        <f t="array" ref="AA557">IFERROR(AVERAGE(_xlfn._xlws.FILTER(U$2:U$1073,($C$2:$C$1073=$C557)*($E$2:$E$1073=$E557)*(ROW(U$2:U$1073)&lt;&gt;ROW(U557))*(U$2:U$1073&lt;&gt;""))),"")</f>
        <v>34.444280572958768</v>
      </c>
    </row>
    <row r="558" spans="1:27" x14ac:dyDescent="0.2">
      <c r="A558" s="7" t="s">
        <v>2249</v>
      </c>
      <c r="B558" t="str">
        <f t="shared" si="90"/>
        <v>EUTR IV кв. 2013</v>
      </c>
      <c r="C558">
        <v>2013</v>
      </c>
      <c r="D558">
        <f>SUMIFS(Дивиденды!$C:$C,Дивиденды!$A:$A,A558,Дивиденды!$I:$I,C558)</f>
        <v>0</v>
      </c>
      <c r="E558">
        <v>4</v>
      </c>
      <c r="F558">
        <f t="shared" si="91"/>
        <v>0</v>
      </c>
      <c r="G558">
        <f t="shared" si="92"/>
        <v>13.409285714285716</v>
      </c>
      <c r="H558">
        <f t="shared" si="93"/>
        <v>0</v>
      </c>
      <c r="I558">
        <f t="shared" si="89"/>
        <v>0.14285714285714285</v>
      </c>
      <c r="J558">
        <f t="shared" si="94"/>
        <v>0</v>
      </c>
      <c r="K558">
        <f t="shared" si="98"/>
        <v>4.7291245939064024E-2</v>
      </c>
      <c r="L558">
        <f t="shared" si="95"/>
        <v>0</v>
      </c>
      <c r="M558">
        <f t="shared" si="99"/>
        <v>7.1428571428571425E-2</v>
      </c>
      <c r="N558">
        <f t="shared" si="96"/>
        <v>0</v>
      </c>
      <c r="O558">
        <f t="shared" si="97"/>
        <v>0</v>
      </c>
      <c r="P558" t="str">
        <f>IFERROR(LN('Дивиденды по годам'!I558),"")</f>
        <v/>
      </c>
      <c r="Q558" t="str">
        <f>IFERROR('Дивиденды по годам'!G558/'Дивиденды по годам'!I558, "")</f>
        <v/>
      </c>
      <c r="R558" t="str">
        <f>IFERROR(IF(AND('Дивиденды по годам'!N558&lt;&gt;"",'Дивиденды по годам'!U558&lt;&gt;"",'Дивиденды по годам'!U558&lt;&gt;0),'Дивиденды по годам'!N558/'Дивиденды по годам'!U558-1,""),"")</f>
        <v/>
      </c>
      <c r="S558" t="str">
        <f>IFERROR(IF(AND('Дивиденды по годам'!L558&lt;&gt;"",'Дивиденды по годам'!I558&lt;&gt;"",'Дивиденды по годам'!J558&lt;&gt;"",'Дивиденды по годам'!K558&lt;&gt;"",('Дивиденды по годам'!I558-'Дивиденды по годам'!J558-'Дивиденды по годам'!K558)&lt;&gt;0),'Дивиденды по годам'!L558/('Дивиденды по годам'!I558-'Дивиденды по годам'!J558-'Дивиденды по годам'!K558),""),"")</f>
        <v/>
      </c>
      <c r="T558" t="str">
        <f>IFERROR(IF(AND('Дивиденды по годам'!Q558&lt;&gt;"",'Дивиденды по годам'!I558&lt;&gt;"",'Дивиденды по годам'!V558&lt;&gt;"",('Дивиденды по годам'!I558+'Дивиденды по годам'!V558)&lt;&gt;0),'Дивиденды по годам'!Q558/(('Дивиденды по годам'!I558+'Дивиденды по годам'!V558)/2),""),"")</f>
        <v/>
      </c>
      <c r="U558" t="str">
        <f>IFERROR(IF(AND('Дивиденды по годам'!J558&lt;&gt;"",'Дивиденды по годам'!K558&lt;&gt;"",'Дивиденды по годам'!M558&lt;&gt;"",'Дивиденды по годам'!M558&lt;&gt;0),('Дивиденды по годам'!J558+'Дивиденды по годам'!K558)/'Дивиденды по годам'!M558,""),"")</f>
        <v/>
      </c>
      <c r="V558" cm="1">
        <f t="array" ref="V558">IFERROR(AVERAGE(_xlfn._xlws.FILTER(P$2:P$1073,($C$2:$C$1073=$C558)*($E$2:$E$1073=$E558)*(ROW(P$2:P$1073)&lt;&gt;ROW(P558))*(P$2:P$1073&lt;&gt;""))),"")</f>
        <v>24.281308125321722</v>
      </c>
      <c r="W558" cm="1">
        <f t="array" ref="W558">IFERROR(AVERAGE(_xlfn._xlws.FILTER(Q$2:Q$1073,($C$2:$C$1073=$C558)*($E$2:$E$1073=$E558)*(ROW(Q$2:Q$1073)&lt;&gt;ROW(Q558))*(Q$2:Q$1073&lt;&gt;""))),"")</f>
        <v>0.34809372453666254</v>
      </c>
      <c r="X558" cm="1">
        <f t="array" ref="X558">IFERROR(AVERAGE(_xlfn._xlws.FILTER(R$2:R$1073,($C$2:$C$1073=$C558)*($E$2:$E$1073=$E558)*(ROW(R$2:R$1073)&lt;&gt;ROW(R558))*(R$2:R$1073&lt;&gt;""))),"")</f>
        <v>0.17531341667142472</v>
      </c>
      <c r="Y558" t="str" cm="1">
        <f t="array" ref="Y558">IFERROR(AVERAGE(_xlfn._xlws.FILTER(S$2:S$1073,($C$2:$C$1073=$C558)*($E$2:$E$1073=$E558)*(ROW(S$2:S$1073)&lt;&gt;ROW(S558))*(S$2:S$1073&lt;&gt;""))),"")</f>
        <v/>
      </c>
      <c r="Z558" cm="1">
        <f t="array" ref="Z558">IFERROR(AVERAGE(_xlfn._xlws.FILTER(T$2:T$1073,($C$2:$C$1073=$C558)*($E$2:$E$1073=$E558)*(ROW(T$2:T$1073)&lt;&gt;ROW(T558))*(T$2:T$1073&lt;&gt;""))),"")</f>
        <v>-0.12490141563278262</v>
      </c>
      <c r="AA558" cm="1">
        <f t="array" ref="AA558">IFERROR(AVERAGE(_xlfn._xlws.FILTER(U$2:U$1073,($C$2:$C$1073=$C558)*($E$2:$E$1073=$E558)*(ROW(U$2:U$1073)&lt;&gt;ROW(U558))*(U$2:U$1073&lt;&gt;""))),"")</f>
        <v>0.44566877182826042</v>
      </c>
    </row>
    <row r="559" spans="1:27" x14ac:dyDescent="0.2">
      <c r="A559" s="7" t="s">
        <v>2249</v>
      </c>
      <c r="B559" t="str">
        <f t="shared" si="90"/>
        <v>EUTR IV кв. 2012</v>
      </c>
      <c r="C559">
        <v>2012</v>
      </c>
      <c r="D559">
        <f>SUMIFS(Дивиденды!$C:$C,Дивиденды!$A:$A,A559,Дивиденды!$I:$I,C559)</f>
        <v>0</v>
      </c>
      <c r="E559">
        <v>4</v>
      </c>
      <c r="F559">
        <f t="shared" si="91"/>
        <v>0</v>
      </c>
      <c r="G559">
        <f t="shared" si="92"/>
        <v>9.5621428571428577</v>
      </c>
      <c r="H559">
        <f t="shared" si="93"/>
        <v>0</v>
      </c>
      <c r="I559">
        <f t="shared" si="89"/>
        <v>0.14285714285714285</v>
      </c>
      <c r="J559">
        <f t="shared" si="94"/>
        <v>0</v>
      </c>
      <c r="K559">
        <f t="shared" si="98"/>
        <v>0.25341100242975517</v>
      </c>
      <c r="L559">
        <f t="shared" si="95"/>
        <v>0</v>
      </c>
      <c r="M559">
        <f t="shared" si="99"/>
        <v>0.14285714285714285</v>
      </c>
      <c r="N559">
        <f t="shared" si="96"/>
        <v>0</v>
      </c>
      <c r="O559">
        <f t="shared" si="97"/>
        <v>0</v>
      </c>
      <c r="P559" t="str">
        <f>IFERROR(LN('Дивиденды по годам'!I559),"")</f>
        <v/>
      </c>
      <c r="Q559" t="str">
        <f>IFERROR('Дивиденды по годам'!G559/'Дивиденды по годам'!I559, "")</f>
        <v/>
      </c>
      <c r="R559" t="str">
        <f>IFERROR(IF(AND('Дивиденды по годам'!N559&lt;&gt;"",'Дивиденды по годам'!U559&lt;&gt;"",'Дивиденды по годам'!U559&lt;&gt;0),'Дивиденды по годам'!N559/'Дивиденды по годам'!U559-1,""),"")</f>
        <v/>
      </c>
      <c r="S559" t="str">
        <f>IFERROR(IF(AND('Дивиденды по годам'!L559&lt;&gt;"",'Дивиденды по годам'!I559&lt;&gt;"",'Дивиденды по годам'!J559&lt;&gt;"",'Дивиденды по годам'!K559&lt;&gt;"",('Дивиденды по годам'!I559-'Дивиденды по годам'!J559-'Дивиденды по годам'!K559)&lt;&gt;0),'Дивиденды по годам'!L559/('Дивиденды по годам'!I559-'Дивиденды по годам'!J559-'Дивиденды по годам'!K559),""),"")</f>
        <v/>
      </c>
      <c r="T559" t="str">
        <f>IFERROR(IF(AND('Дивиденды по годам'!Q559&lt;&gt;"",'Дивиденды по годам'!I559&lt;&gt;"",'Дивиденды по годам'!V559&lt;&gt;"",('Дивиденды по годам'!I559+'Дивиденды по годам'!V559)&lt;&gt;0),'Дивиденды по годам'!Q559/(('Дивиденды по годам'!I559+'Дивиденды по годам'!V559)/2),""),"")</f>
        <v/>
      </c>
      <c r="U559" t="str">
        <f>IFERROR(IF(AND('Дивиденды по годам'!J559&lt;&gt;"",'Дивиденды по годам'!K559&lt;&gt;"",'Дивиденды по годам'!M559&lt;&gt;"",'Дивиденды по годам'!M559&lt;&gt;0),('Дивиденды по годам'!J559+'Дивиденды по годам'!K559)/'Дивиденды по годам'!M559,""),"")</f>
        <v/>
      </c>
      <c r="V559" cm="1">
        <f t="array" ref="V559">IFERROR(AVERAGE(_xlfn._xlws.FILTER(P$2:P$1073,($C$2:$C$1073=$C559)*($E$2:$E$1073=$E559)*(ROW(P$2:P$1073)&lt;&gt;ROW(P559))*(P$2:P$1073&lt;&gt;""))),"")</f>
        <v>24.228370506718147</v>
      </c>
      <c r="W559" cm="1">
        <f t="array" ref="W559">IFERROR(AVERAGE(_xlfn._xlws.FILTER(Q$2:Q$1073,($C$2:$C$1073=$C559)*($E$2:$E$1073=$E559)*(ROW(Q$2:Q$1073)&lt;&gt;ROW(Q559))*(Q$2:Q$1073&lt;&gt;""))),"")</f>
        <v>0.2820560824162458</v>
      </c>
      <c r="X559" cm="1">
        <f t="array" ref="X559">IFERROR(AVERAGE(_xlfn._xlws.FILTER(R$2:R$1073,($C$2:$C$1073=$C559)*($E$2:$E$1073=$E559)*(ROW(R$2:R$1073)&lt;&gt;ROW(R559))*(R$2:R$1073&lt;&gt;""))),"")</f>
        <v>-2.2522357472477484E-2</v>
      </c>
      <c r="Y559" cm="1">
        <f t="array" ref="Y559">IFERROR(AVERAGE(_xlfn._xlws.FILTER(S$2:S$1073,($C$2:$C$1073=$C559)*($E$2:$E$1073=$E559)*(ROW(S$2:S$1073)&lt;&gt;ROW(S559))*(S$2:S$1073&lt;&gt;""))),"")</f>
        <v>-1.7651061513336963</v>
      </c>
      <c r="Z559" cm="1">
        <f t="array" ref="Z559">IFERROR(AVERAGE(_xlfn._xlws.FILTER(T$2:T$1073,($C$2:$C$1073=$C559)*($E$2:$E$1073=$E559)*(ROW(T$2:T$1073)&lt;&gt;ROW(T559))*(T$2:T$1073&lt;&gt;""))),"")</f>
        <v>6.8400459116201365E-2</v>
      </c>
      <c r="AA559" cm="1">
        <f t="array" ref="AA559">IFERROR(AVERAGE(_xlfn._xlws.FILTER(U$2:U$1073,($C$2:$C$1073=$C559)*($E$2:$E$1073=$E559)*(ROW(U$2:U$1073)&lt;&gt;ROW(U559))*(U$2:U$1073&lt;&gt;""))),"")</f>
        <v>-3.9631898894189463</v>
      </c>
    </row>
    <row r="560" spans="1:27" x14ac:dyDescent="0.2">
      <c r="A560" s="7" t="s">
        <v>2249</v>
      </c>
      <c r="B560" t="str">
        <f t="shared" si="90"/>
        <v>EUTR IV кв. 2011</v>
      </c>
      <c r="C560">
        <v>2011</v>
      </c>
      <c r="D560">
        <f>SUMIFS(Дивиденды!$C:$C,Дивиденды!$A:$A,A560,Дивиденды!$I:$I,C560)</f>
        <v>0</v>
      </c>
      <c r="E560">
        <v>4</v>
      </c>
      <c r="F560">
        <f t="shared" si="91"/>
        <v>0</v>
      </c>
      <c r="G560">
        <f t="shared" si="92"/>
        <v>1.6378571428571429</v>
      </c>
      <c r="H560">
        <f t="shared" si="93"/>
        <v>0</v>
      </c>
      <c r="I560">
        <f t="shared" ref="I560:I623" si="100">IFERROR((COUNTIFS($E:$E,E560,$C:$C,C560,$H:$H,1)-H560)/(COUNTIFS($E:$E,E560,$C:$C,C560)-1),0)</f>
        <v>7.1428571428571425E-2</v>
      </c>
      <c r="J560">
        <f t="shared" si="94"/>
        <v>0</v>
      </c>
      <c r="K560">
        <f t="shared" si="98"/>
        <v>0.17786475320721892</v>
      </c>
      <c r="L560">
        <f t="shared" si="95"/>
        <v>0</v>
      </c>
      <c r="M560">
        <f t="shared" si="99"/>
        <v>7.1428571428571425E-2</v>
      </c>
      <c r="N560">
        <f t="shared" si="96"/>
        <v>0</v>
      </c>
      <c r="O560">
        <f t="shared" si="97"/>
        <v>0</v>
      </c>
      <c r="P560" t="str">
        <f>IFERROR(LN('Дивиденды по годам'!I560),"")</f>
        <v/>
      </c>
      <c r="Q560" t="str">
        <f>IFERROR('Дивиденды по годам'!G560/'Дивиденды по годам'!I560, "")</f>
        <v/>
      </c>
      <c r="R560" t="str">
        <f>IFERROR(IF(AND('Дивиденды по годам'!N560&lt;&gt;"",'Дивиденды по годам'!U560&lt;&gt;"",'Дивиденды по годам'!U560&lt;&gt;0),'Дивиденды по годам'!N560/'Дивиденды по годам'!U560-1,""),"")</f>
        <v/>
      </c>
      <c r="S560" t="str">
        <f>IFERROR(IF(AND('Дивиденды по годам'!L560&lt;&gt;"",'Дивиденды по годам'!I560&lt;&gt;"",'Дивиденды по годам'!J560&lt;&gt;"",'Дивиденды по годам'!K560&lt;&gt;"",('Дивиденды по годам'!I560-'Дивиденды по годам'!J560-'Дивиденды по годам'!K560)&lt;&gt;0),'Дивиденды по годам'!L560/('Дивиденды по годам'!I560-'Дивиденды по годам'!J560-'Дивиденды по годам'!K560),""),"")</f>
        <v/>
      </c>
      <c r="T560" t="str">
        <f>IFERROR(IF(AND('Дивиденды по годам'!Q560&lt;&gt;"",'Дивиденды по годам'!I560&lt;&gt;"",'Дивиденды по годам'!V560&lt;&gt;"",('Дивиденды по годам'!I560+'Дивиденды по годам'!V560)&lt;&gt;0),'Дивиденды по годам'!Q560/(('Дивиденды по годам'!I560+'Дивиденды по годам'!V560)/2),""),"")</f>
        <v/>
      </c>
      <c r="U560" t="str">
        <f>IFERROR(IF(AND('Дивиденды по годам'!J560&lt;&gt;"",'Дивиденды по годам'!K560&lt;&gt;"",'Дивиденды по годам'!M560&lt;&gt;"",'Дивиденды по годам'!M560&lt;&gt;0),('Дивиденды по годам'!J560+'Дивиденды по годам'!K560)/'Дивиденды по годам'!M560,""),"")</f>
        <v/>
      </c>
      <c r="V560" cm="1">
        <f t="array" ref="V560">IFERROR(AVERAGE(_xlfn._xlws.FILTER(P$2:P$1073,($C$2:$C$1073=$C560)*($E$2:$E$1073=$E560)*(ROW(P$2:P$1073)&lt;&gt;ROW(P560))*(P$2:P$1073&lt;&gt;""))),"")</f>
        <v>24.180789108496477</v>
      </c>
      <c r="W560" cm="1">
        <f t="array" ref="W560">IFERROR(AVERAGE(_xlfn._xlws.FILTER(Q$2:Q$1073,($C$2:$C$1073=$C560)*($E$2:$E$1073=$E560)*(ROW(Q$2:Q$1073)&lt;&gt;ROW(Q560))*(Q$2:Q$1073&lt;&gt;""))),"")</f>
        <v>0.29604752502083465</v>
      </c>
      <c r="X560" cm="1">
        <f t="array" ref="X560">IFERROR(AVERAGE(_xlfn._xlws.FILTER(R$2:R$1073,($C$2:$C$1073=$C560)*($E$2:$E$1073=$E560)*(ROW(R$2:R$1073)&lt;&gt;ROW(R560))*(R$2:R$1073&lt;&gt;""))),"")</f>
        <v>5.9511017560386792E-2</v>
      </c>
      <c r="Y560" t="str" cm="1">
        <f t="array" ref="Y560">IFERROR(AVERAGE(_xlfn._xlws.FILTER(S$2:S$1073,($C$2:$C$1073=$C560)*($E$2:$E$1073=$E560)*(ROW(S$2:S$1073)&lt;&gt;ROW(S560))*(S$2:S$1073&lt;&gt;""))),"")</f>
        <v/>
      </c>
      <c r="Z560" cm="1">
        <f t="array" ref="Z560">IFERROR(AVERAGE(_xlfn._xlws.FILTER(T$2:T$1073,($C$2:$C$1073=$C560)*($E$2:$E$1073=$E560)*(ROW(T$2:T$1073)&lt;&gt;ROW(T560))*(T$2:T$1073&lt;&gt;""))),"")</f>
        <v>-1.4171101286470289E-2</v>
      </c>
      <c r="AA560" cm="1">
        <f t="array" ref="AA560">IFERROR(AVERAGE(_xlfn._xlws.FILTER(U$2:U$1073,($C$2:$C$1073=$C560)*($E$2:$E$1073=$E560)*(ROW(U$2:U$1073)&lt;&gt;ROW(U560))*(U$2:U$1073&lt;&gt;""))),"")</f>
        <v>2.1854574410792247</v>
      </c>
    </row>
    <row r="561" spans="1:27" x14ac:dyDescent="0.2">
      <c r="A561" s="7" t="s">
        <v>2249</v>
      </c>
      <c r="B561" t="str">
        <f t="shared" si="90"/>
        <v>EUTR IV кв. 2010</v>
      </c>
      <c r="C561">
        <v>2010</v>
      </c>
      <c r="D561">
        <f>SUMIFS(Дивиденды!$C:$C,Дивиденды!$A:$A,A561,Дивиденды!$I:$I,C561)</f>
        <v>0</v>
      </c>
      <c r="E561">
        <v>4</v>
      </c>
      <c r="F561">
        <f t="shared" si="91"/>
        <v>0</v>
      </c>
      <c r="G561">
        <f t="shared" si="92"/>
        <v>0.46928571428571431</v>
      </c>
      <c r="H561">
        <f t="shared" si="93"/>
        <v>0</v>
      </c>
      <c r="I561">
        <f t="shared" si="100"/>
        <v>7.1428571428571425E-2</v>
      </c>
      <c r="J561" t="str">
        <f t="shared" si="94"/>
        <v/>
      </c>
      <c r="K561" t="str">
        <f t="shared" si="98"/>
        <v/>
      </c>
      <c r="L561" t="str">
        <f t="shared" si="95"/>
        <v/>
      </c>
      <c r="M561" t="str">
        <f t="shared" si="99"/>
        <v/>
      </c>
      <c r="N561" t="str">
        <f t="shared" si="96"/>
        <v/>
      </c>
      <c r="O561" t="str">
        <f t="shared" si="97"/>
        <v/>
      </c>
      <c r="P561" t="str">
        <f>IFERROR(LN('Дивиденды по годам'!I561),"")</f>
        <v/>
      </c>
      <c r="Q561" t="str">
        <f>IFERROR('Дивиденды по годам'!G561/'Дивиденды по годам'!I561, "")</f>
        <v/>
      </c>
      <c r="R561" t="str">
        <f>IFERROR(IF(AND('Дивиденды по годам'!N561&lt;&gt;"",'Дивиденды по годам'!U561&lt;&gt;"",'Дивиденды по годам'!U561&lt;&gt;0),'Дивиденды по годам'!N561/'Дивиденды по годам'!U561-1,""),"")</f>
        <v/>
      </c>
      <c r="S561" t="str">
        <f>IFERROR(IF(AND('Дивиденды по годам'!L561&lt;&gt;"",'Дивиденды по годам'!I561&lt;&gt;"",'Дивиденды по годам'!J561&lt;&gt;"",'Дивиденды по годам'!K561&lt;&gt;"",('Дивиденды по годам'!I561-'Дивиденды по годам'!J561-'Дивиденды по годам'!K561)&lt;&gt;0),'Дивиденды по годам'!L561/('Дивиденды по годам'!I561-'Дивиденды по годам'!J561-'Дивиденды по годам'!K561),""),"")</f>
        <v/>
      </c>
      <c r="T561" t="str">
        <f>IFERROR(IF(AND('Дивиденды по годам'!Q561&lt;&gt;"",'Дивиденды по годам'!I561&lt;&gt;"",'Дивиденды по годам'!V561&lt;&gt;"",('Дивиденды по годам'!I561+'Дивиденды по годам'!V561)&lt;&gt;0),'Дивиденды по годам'!Q561/(('Дивиденды по годам'!I561+'Дивиденды по годам'!V561)/2),""),"")</f>
        <v/>
      </c>
      <c r="U561" t="str">
        <f>IFERROR(IF(AND('Дивиденды по годам'!J561&lt;&gt;"",'Дивиденды по годам'!K561&lt;&gt;"",'Дивиденды по годам'!M561&lt;&gt;"",'Дивиденды по годам'!M561&lt;&gt;0),('Дивиденды по годам'!J561+'Дивиденды по годам'!K561)/'Дивиденды по годам'!M561,""),"")</f>
        <v/>
      </c>
      <c r="V561" cm="1">
        <f t="array" ref="V561">IFERROR(AVERAGE(_xlfn._xlws.FILTER(P$2:P$1073,($C$2:$C$1073=$C561)*($E$2:$E$1073=$E561)*(ROW(P$2:P$1073)&lt;&gt;ROW(P561))*(P$2:P$1073&lt;&gt;""))),"")</f>
        <v>23.656010386255485</v>
      </c>
      <c r="W561" cm="1">
        <f t="array" ref="W561">IFERROR(AVERAGE(_xlfn._xlws.FILTER(Q$2:Q$1073,($C$2:$C$1073=$C561)*($E$2:$E$1073=$E561)*(ROW(Q$2:Q$1073)&lt;&gt;ROW(Q561))*(Q$2:Q$1073&lt;&gt;""))),"")</f>
        <v>0.15222241747474585</v>
      </c>
      <c r="X561" t="str" cm="1">
        <f t="array" ref="X561">IFERROR(AVERAGE(_xlfn._xlws.FILTER(R$2:R$1073,($C$2:$C$1073=$C561)*($E$2:$E$1073=$E561)*(ROW(R$2:R$1073)&lt;&gt;ROW(R561))*(R$2:R$1073&lt;&gt;""))),"")</f>
        <v/>
      </c>
      <c r="Y561" t="str" cm="1">
        <f t="array" ref="Y561">IFERROR(AVERAGE(_xlfn._xlws.FILTER(S$2:S$1073,($C$2:$C$1073=$C561)*($E$2:$E$1073=$E561)*(ROW(S$2:S$1073)&lt;&gt;ROW(S561))*(S$2:S$1073&lt;&gt;""))),"")</f>
        <v/>
      </c>
      <c r="Z561" t="str" cm="1">
        <f t="array" ref="Z561">IFERROR(AVERAGE(_xlfn._xlws.FILTER(T$2:T$1073,($C$2:$C$1073=$C561)*($E$2:$E$1073=$E561)*(ROW(T$2:T$1073)&lt;&gt;ROW(T561))*(T$2:T$1073&lt;&gt;""))),"")</f>
        <v/>
      </c>
      <c r="AA561" cm="1">
        <f t="array" ref="AA561">IFERROR(AVERAGE(_xlfn._xlws.FILTER(U$2:U$1073,($C$2:$C$1073=$C561)*($E$2:$E$1073=$E561)*(ROW(U$2:U$1073)&lt;&gt;ROW(U561))*(U$2:U$1073&lt;&gt;""))),"")</f>
        <v>2.8988498110700496</v>
      </c>
    </row>
    <row r="562" spans="1:27" x14ac:dyDescent="0.2">
      <c r="A562" s="7" t="s">
        <v>2317</v>
      </c>
      <c r="B562" t="str">
        <f t="shared" si="90"/>
        <v>FIXR IV кв. 2025</v>
      </c>
      <c r="C562">
        <v>2025</v>
      </c>
      <c r="D562">
        <f>SUMIFS(Дивиденды!$C:$C,Дивиденды!$A:$A,A562,Дивиденды!$I:$I,C562)</f>
        <v>0</v>
      </c>
      <c r="E562">
        <v>4</v>
      </c>
      <c r="F562">
        <f t="shared" si="91"/>
        <v>0</v>
      </c>
      <c r="G562">
        <f t="shared" si="92"/>
        <v>31.581428571428571</v>
      </c>
      <c r="H562">
        <f t="shared" si="93"/>
        <v>0</v>
      </c>
      <c r="I562">
        <f t="shared" si="100"/>
        <v>0.42857142857142855</v>
      </c>
      <c r="J562">
        <f t="shared" si="94"/>
        <v>0</v>
      </c>
      <c r="K562">
        <f t="shared" si="98"/>
        <v>-0.1825263432406963</v>
      </c>
      <c r="L562">
        <f t="shared" si="95"/>
        <v>0</v>
      </c>
      <c r="M562">
        <f t="shared" si="99"/>
        <v>0.14285714285714285</v>
      </c>
      <c r="N562">
        <f t="shared" si="96"/>
        <v>0</v>
      </c>
      <c r="O562">
        <f t="shared" si="97"/>
        <v>0.5</v>
      </c>
      <c r="P562">
        <f>IFERROR(LN('Дивиденды по годам'!I562),"")</f>
        <v>25.711348726572155</v>
      </c>
      <c r="Q562">
        <f>IFERROR('Дивиденды по годам'!G562/'Дивиденды по годам'!I562, "")</f>
        <v>0.25668405441341924</v>
      </c>
      <c r="R562">
        <f>IFERROR(IF(AND('Дивиденды по годам'!N562&lt;&gt;"",'Дивиденды по годам'!U562&lt;&gt;"",'Дивиденды по годам'!U562&lt;&gt;0),'Дивиденды по годам'!N562/'Дивиденды по годам'!U562-1,""),"")</f>
        <v>3.9909442493443192E-2</v>
      </c>
      <c r="S562">
        <f>IFERROR(IF(AND('Дивиденды по годам'!L562&lt;&gt;"",'Дивиденды по годам'!I562&lt;&gt;"",'Дивиденды по годам'!J562&lt;&gt;"",'Дивиденды по годам'!K562&lt;&gt;"",('Дивиденды по годам'!I562-'Дивиденды по годам'!J562-'Дивиденды по годам'!K562)&lt;&gt;0),'Дивиденды по годам'!L562/('Дивиденды по годам'!I562-'Дивиденды по годам'!J562-'Дивиденды по годам'!K562),""),"")</f>
        <v>0.99978122265283165</v>
      </c>
      <c r="T562">
        <f>IFERROR(IF(AND('Дивиденды по годам'!Q562&lt;&gt;"",'Дивиденды по годам'!I562&lt;&gt;"",'Дивиденды по годам'!V562&lt;&gt;"",('Дивиденды по годам'!I562+'Дивиденды по годам'!V562)&lt;&gt;0),'Дивиденды по годам'!Q562/(('Дивиденды по годам'!I562+'Дивиденды по годам'!V562)/2),""),"")</f>
        <v>0.11096014652583436</v>
      </c>
      <c r="U562">
        <f>IFERROR(IF(AND('Дивиденды по годам'!J562&lt;&gt;"",'Дивиденды по годам'!K562&lt;&gt;"",'Дивиденды по годам'!M562&lt;&gt;"",'Дивиденды по годам'!M562&lt;&gt;0),('Дивиденды по годам'!J562+'Дивиденды по годам'!K562)/'Дивиденды по годам'!M562,""),"")</f>
        <v>1.2917708463557944</v>
      </c>
      <c r="V562" cm="1">
        <f t="array" ref="V562">IFERROR(AVERAGE(_xlfn._xlws.FILTER(P$2:P$1073,($C$2:$C$1073=$C562)*($E$2:$E$1073=$E562)*(ROW(P$2:P$1073)&lt;&gt;ROW(P562))*(P$2:P$1073&lt;&gt;""))),"")</f>
        <v>26.340900706016768</v>
      </c>
      <c r="W562" cm="1">
        <f t="array" ref="W562">IFERROR(AVERAGE(_xlfn._xlws.FILTER(Q$2:Q$1073,($C$2:$C$1073=$C562)*($E$2:$E$1073=$E562)*(ROW(Q$2:Q$1073)&lt;&gt;ROW(Q562))*(Q$2:Q$1073&lt;&gt;""))),"")</f>
        <v>0.47929217549252673</v>
      </c>
      <c r="X562" cm="1">
        <f t="array" ref="X562">IFERROR(AVERAGE(_xlfn._xlws.FILTER(R$2:R$1073,($C$2:$C$1073=$C562)*($E$2:$E$1073=$E562)*(ROW(R$2:R$1073)&lt;&gt;ROW(R562))*(R$2:R$1073&lt;&gt;""))),"")</f>
        <v>7.4825021074115081E-2</v>
      </c>
      <c r="Y562" cm="1">
        <f t="array" ref="Y562">IFERROR(AVERAGE(_xlfn._xlws.FILTER(S$2:S$1073,($C$2:$C$1073=$C562)*($E$2:$E$1073=$E562)*(ROW(S$2:S$1073)&lt;&gt;ROW(S562))*(S$2:S$1073&lt;&gt;""))),"")</f>
        <v>0.92240562369992318</v>
      </c>
      <c r="Z562" cm="1">
        <f t="array" ref="Z562">IFERROR(AVERAGE(_xlfn._xlws.FILTER(T$2:T$1073,($C$2:$C$1073=$C562)*($E$2:$E$1073=$E562)*(ROW(T$2:T$1073)&lt;&gt;ROW(T562))*(T$2:T$1073&lt;&gt;""))),"")</f>
        <v>-1.9510511402171232E-2</v>
      </c>
      <c r="AA562" cm="1">
        <f t="array" ref="AA562">IFERROR(AVERAGE(_xlfn._xlws.FILTER(U$2:U$1073,($C$2:$C$1073=$C562)*($E$2:$E$1073=$E562)*(ROW(U$2:U$1073)&lt;&gt;ROW(U562))*(U$2:U$1073&lt;&gt;""))),"")</f>
        <v>7.9651903205024972</v>
      </c>
    </row>
    <row r="563" spans="1:27" x14ac:dyDescent="0.2">
      <c r="A563" s="7" t="s">
        <v>2317</v>
      </c>
      <c r="B563" t="str">
        <f t="shared" si="90"/>
        <v>FIXR IV кв. 2024</v>
      </c>
      <c r="C563">
        <v>2024</v>
      </c>
      <c r="D563">
        <f>SUMIFS(Дивиденды!$C:$C,Дивиденды!$A:$A,A563,Дивиденды!$I:$I,C563)</f>
        <v>0</v>
      </c>
      <c r="E563">
        <v>4</v>
      </c>
      <c r="F563">
        <f t="shared" si="91"/>
        <v>0</v>
      </c>
      <c r="G563">
        <f t="shared" si="92"/>
        <v>62.511428571428574</v>
      </c>
      <c r="H563">
        <f t="shared" si="93"/>
        <v>0</v>
      </c>
      <c r="I563">
        <f t="shared" si="100"/>
        <v>0.5714285714285714</v>
      </c>
      <c r="J563">
        <f t="shared" si="94"/>
        <v>0</v>
      </c>
      <c r="K563">
        <f t="shared" si="98"/>
        <v>0.21145574536348383</v>
      </c>
      <c r="L563">
        <f t="shared" si="95"/>
        <v>0</v>
      </c>
      <c r="M563">
        <f t="shared" si="99"/>
        <v>0.35714285714285715</v>
      </c>
      <c r="N563">
        <f t="shared" si="96"/>
        <v>0</v>
      </c>
      <c r="O563">
        <f t="shared" si="97"/>
        <v>0.2857142857142857</v>
      </c>
      <c r="P563">
        <f>IFERROR(LN('Дивиденды по годам'!I563),"")</f>
        <v>25.641113101275582</v>
      </c>
      <c r="Q563">
        <f>IFERROR('Дивиденды по годам'!G563/'Дивиденды по годам'!I563, "")</f>
        <v>0.22618281300289669</v>
      </c>
      <c r="R563">
        <f>IFERROR(IF(AND('Дивиденды по годам'!N563&lt;&gt;"",'Дивиденды по годам'!U563&lt;&gt;"",'Дивиденды по годам'!U563&lt;&gt;0),'Дивиденды по годам'!N563/'Дивиденды по годам'!U563-1,""),"")</f>
        <v>7.9053672074417936E-2</v>
      </c>
      <c r="S563">
        <f>IFERROR(IF(AND('Дивиденды по годам'!L563&lt;&gt;"",'Дивиденды по годам'!I563&lt;&gt;"",'Дивиденды по годам'!J563&lt;&gt;"",'Дивиденды по годам'!K563&lt;&gt;"",('Дивиденды по годам'!I563-'Дивиденды по годам'!J563-'Дивиденды по годам'!K563)&lt;&gt;0),'Дивиденды по годам'!L563/('Дивиденды по годам'!I563-'Дивиденды по годам'!J563-'Дивиденды по годам'!K563),""),"")</f>
        <v>1.0002460175902577</v>
      </c>
      <c r="T563">
        <f>IFERROR(IF(AND('Дивиденды по годам'!Q563&lt;&gt;"",'Дивиденды по годам'!I563&lt;&gt;"",'Дивиденды по годам'!V563&lt;&gt;"",('Дивиденды по годам'!I563+'Дивиденды по годам'!V563)&lt;&gt;0),'Дивиденды по годам'!Q563/(('Дивиденды по годам'!I563+'Дивиденды по годам'!V563)/2),""),"")</f>
        <v>0.16179932510731959</v>
      </c>
      <c r="U563">
        <f>IFERROR(IF(AND('Дивиденды по годам'!J563&lt;&gt;"",'Дивиденды по годам'!K563&lt;&gt;"",'Дивиденды по годам'!M563&lt;&gt;"",'Дивиденды по годам'!M563&lt;&gt;0),('Дивиденды по годам'!J563+'Дивиденды по годам'!K563)/'Дивиденды по годам'!M563,""),"")</f>
        <v>1.8027143940791766</v>
      </c>
      <c r="V563" cm="1">
        <f t="array" ref="V563">IFERROR(AVERAGE(_xlfn._xlws.FILTER(P$2:P$1073,($C$2:$C$1073=$C563)*($E$2:$E$1073=$E563)*(ROW(P$2:P$1073)&lt;&gt;ROW(P563))*(P$2:P$1073&lt;&gt;""))),"")</f>
        <v>25.559349900458553</v>
      </c>
      <c r="W563" cm="1">
        <f t="array" ref="W563">IFERROR(AVERAGE(_xlfn._xlws.FILTER(Q$2:Q$1073,($C$2:$C$1073=$C563)*($E$2:$E$1073=$E563)*(ROW(Q$2:Q$1073)&lt;&gt;ROW(Q563))*(Q$2:Q$1073&lt;&gt;""))),"")</f>
        <v>0.26554881823551507</v>
      </c>
      <c r="X563" cm="1">
        <f t="array" ref="X563">IFERROR(AVERAGE(_xlfn._xlws.FILTER(R$2:R$1073,($C$2:$C$1073=$C563)*($E$2:$E$1073=$E563)*(ROW(R$2:R$1073)&lt;&gt;ROW(R563))*(R$2:R$1073&lt;&gt;""))),"")</f>
        <v>0.27878020068335413</v>
      </c>
      <c r="Y563" cm="1">
        <f t="array" ref="Y563">IFERROR(AVERAGE(_xlfn._xlws.FILTER(S$2:S$1073,($C$2:$C$1073=$C563)*($E$2:$E$1073=$E563)*(ROW(S$2:S$1073)&lt;&gt;ROW(S563))*(S$2:S$1073&lt;&gt;""))),"")</f>
        <v>1.1832545822120188</v>
      </c>
      <c r="Z563" cm="1">
        <f t="array" ref="Z563">IFERROR(AVERAGE(_xlfn._xlws.FILTER(T$2:T$1073,($C$2:$C$1073=$C563)*($E$2:$E$1073=$E563)*(ROW(T$2:T$1073)&lt;&gt;ROW(T563))*(T$2:T$1073&lt;&gt;""))),"")</f>
        <v>6.6609660801689854E-2</v>
      </c>
      <c r="AA563" cm="1">
        <f t="array" ref="AA563">IFERROR(AVERAGE(_xlfn._xlws.FILTER(U$2:U$1073,($C$2:$C$1073=$C563)*($E$2:$E$1073=$E563)*(ROW(U$2:U$1073)&lt;&gt;ROW(U563))*(U$2:U$1073&lt;&gt;""))),"")</f>
        <v>4.1470894763624226</v>
      </c>
    </row>
    <row r="564" spans="1:27" x14ac:dyDescent="0.2">
      <c r="A564" s="7" t="s">
        <v>2317</v>
      </c>
      <c r="B564" t="str">
        <f t="shared" si="90"/>
        <v>FIXR IV кв. 2023</v>
      </c>
      <c r="C564">
        <v>2023</v>
      </c>
      <c r="D564">
        <f>SUMIFS(Дивиденды!$C:$C,Дивиденды!$A:$A,A564,Дивиденды!$I:$I,C564)</f>
        <v>0</v>
      </c>
      <c r="E564">
        <v>4</v>
      </c>
      <c r="F564">
        <f t="shared" si="91"/>
        <v>0</v>
      </c>
      <c r="G564">
        <f t="shared" si="92"/>
        <v>90.740000000000009</v>
      </c>
      <c r="H564">
        <f t="shared" si="93"/>
        <v>0</v>
      </c>
      <c r="I564">
        <f t="shared" si="100"/>
        <v>0.5</v>
      </c>
      <c r="J564">
        <f t="shared" si="94"/>
        <v>0</v>
      </c>
      <c r="K564">
        <f t="shared" si="98"/>
        <v>0.29812745098039217</v>
      </c>
      <c r="L564">
        <f t="shared" si="95"/>
        <v>0</v>
      </c>
      <c r="M564">
        <f t="shared" si="99"/>
        <v>0.42857142857142855</v>
      </c>
      <c r="N564">
        <f t="shared" si="96"/>
        <v>0</v>
      </c>
      <c r="O564">
        <f t="shared" si="97"/>
        <v>0</v>
      </c>
      <c r="P564">
        <f>IFERROR(LN('Дивиденды по годам'!I564),"")</f>
        <v>25.648386814716496</v>
      </c>
      <c r="Q564">
        <f>IFERROR('Дивиденды по годам'!G564/'Дивиденды по годам'!I564, "")</f>
        <v>0.21289558915370427</v>
      </c>
      <c r="R564">
        <f>IFERROR(IF(AND('Дивиденды по годам'!N564&lt;&gt;"",'Дивиденды по годам'!U564&lt;&gt;"",'Дивиденды по годам'!U564&lt;&gt;0),'Дивиденды по годам'!N564/'Дивиденды по годам'!U564-1,""),"")</f>
        <v>5.1220267680915033E-2</v>
      </c>
      <c r="S564">
        <f>IFERROR(IF(AND('Дивиденды по годам'!L564&lt;&gt;"",'Дивиденды по годам'!I564&lt;&gt;"",'Дивиденды по годам'!J564&lt;&gt;"",'Дивиденды по годам'!K564&lt;&gt;"",('Дивиденды по годам'!I564-'Дивиденды по годам'!J564-'Дивиденды по годам'!K564)&lt;&gt;0),'Дивиденды по годам'!L564/('Дивиденды по годам'!I564-'Дивиденды по годам'!J564-'Дивиденды по годам'!K564),""),"")</f>
        <v>1.0005052128783356</v>
      </c>
      <c r="T564">
        <f>IFERROR(IF(AND('Дивиденды по годам'!Q564&lt;&gt;"",'Дивиденды по годам'!I564&lt;&gt;"",'Дивиденды по годам'!V564&lt;&gt;"",('Дивиденды по годам'!I564+'Дивиденды по годам'!V564)&lt;&gt;0),'Дивиденды по годам'!Q564/(('Дивиденды по годам'!I564+'Дивиденды по годам'!V564)/2),""),"")</f>
        <v>0.2848220410637653</v>
      </c>
      <c r="U564">
        <f>IFERROR(IF(AND('Дивиденды по годам'!J564&lt;&gt;"",'Дивиденды по годам'!K564&lt;&gt;"",'Дивиденды по годам'!M564&lt;&gt;"",'Дивиденды по годам'!M564&lt;&gt;0),('Дивиденды по годам'!J564+'Дивиденды по годам'!K564)/'Дивиденды по годам'!M564,""),"")</f>
        <v>1.1082074128507784</v>
      </c>
      <c r="V564" cm="1">
        <f t="array" ref="V564">IFERROR(AVERAGE(_xlfn._xlws.FILTER(P$2:P$1073,($C$2:$C$1073=$C564)*($E$2:$E$1073=$E564)*(ROW(P$2:P$1073)&lt;&gt;ROW(P564))*(P$2:P$1073&lt;&gt;""))),"")</f>
        <v>25.346867307760309</v>
      </c>
      <c r="W564" cm="1">
        <f t="array" ref="W564">IFERROR(AVERAGE(_xlfn._xlws.FILTER(Q$2:Q$1073,($C$2:$C$1073=$C564)*($E$2:$E$1073=$E564)*(ROW(Q$2:Q$1073)&lt;&gt;ROW(Q564))*(Q$2:Q$1073&lt;&gt;""))),"")</f>
        <v>0.25306538607285944</v>
      </c>
      <c r="X564" cm="1">
        <f t="array" ref="X564">IFERROR(AVERAGE(_xlfn._xlws.FILTER(R$2:R$1073,($C$2:$C$1073=$C564)*($E$2:$E$1073=$E564)*(ROW(R$2:R$1073)&lt;&gt;ROW(R564))*(R$2:R$1073&lt;&gt;""))),"")</f>
        <v>0.26240430927479291</v>
      </c>
      <c r="Y564" cm="1">
        <f t="array" ref="Y564">IFERROR(AVERAGE(_xlfn._xlws.FILTER(S$2:S$1073,($C$2:$C$1073=$C564)*($E$2:$E$1073=$E564)*(ROW(S$2:S$1073)&lt;&gt;ROW(S564))*(S$2:S$1073&lt;&gt;""))),"")</f>
        <v>1.2635289291692475</v>
      </c>
      <c r="Z564" cm="1">
        <f t="array" ref="Z564">IFERROR(AVERAGE(_xlfn._xlws.FILTER(T$2:T$1073,($C$2:$C$1073=$C564)*($E$2:$E$1073=$E564)*(ROW(T$2:T$1073)&lt;&gt;ROW(T564))*(T$2:T$1073&lt;&gt;""))),"")</f>
        <v>9.5769156716732584E-2</v>
      </c>
      <c r="AA564" cm="1">
        <f t="array" ref="AA564">IFERROR(AVERAGE(_xlfn._xlws.FILTER(U$2:U$1073,($C$2:$C$1073=$C564)*($E$2:$E$1073=$E564)*(ROW(U$2:U$1073)&lt;&gt;ROW(U564))*(U$2:U$1073&lt;&gt;""))),"")</f>
        <v>2.6931402232698218</v>
      </c>
    </row>
    <row r="565" spans="1:27" x14ac:dyDescent="0.2">
      <c r="A565" s="7" t="s">
        <v>2317</v>
      </c>
      <c r="B565" t="str">
        <f t="shared" si="90"/>
        <v>FIXR IV кв. 2022</v>
      </c>
      <c r="C565">
        <v>2022</v>
      </c>
      <c r="D565">
        <f>SUMIFS(Дивиденды!$C:$C,Дивиденды!$A:$A,A565,Дивиденды!$I:$I,C565)</f>
        <v>0</v>
      </c>
      <c r="E565">
        <v>4</v>
      </c>
      <c r="F565">
        <f t="shared" si="91"/>
        <v>0</v>
      </c>
      <c r="G565">
        <f t="shared" si="92"/>
        <v>80.180000000000021</v>
      </c>
      <c r="H565">
        <f t="shared" si="93"/>
        <v>0</v>
      </c>
      <c r="I565">
        <f t="shared" si="100"/>
        <v>0.2857142857142857</v>
      </c>
      <c r="J565">
        <f t="shared" si="94"/>
        <v>0</v>
      </c>
      <c r="K565">
        <f t="shared" si="98"/>
        <v>0.49583624512073399</v>
      </c>
      <c r="L565">
        <f t="shared" si="95"/>
        <v>0</v>
      </c>
      <c r="M565">
        <f t="shared" si="99"/>
        <v>0.2857142857142857</v>
      </c>
      <c r="N565">
        <f t="shared" si="96"/>
        <v>0</v>
      </c>
      <c r="O565">
        <f t="shared" si="97"/>
        <v>7.1428571428571425E-2</v>
      </c>
      <c r="P565">
        <f>IFERROR(LN('Дивиденды по годам'!I565),"")</f>
        <v>25.450883717688029</v>
      </c>
      <c r="Q565">
        <f>IFERROR('Дивиденды по годам'!G565/'Дивиденды по годам'!I565, "")</f>
        <v>0.17422539946560969</v>
      </c>
      <c r="R565">
        <f>IFERROR(IF(AND('Дивиденды по годам'!N565&lt;&gt;"",'Дивиденды по годам'!U565&lt;&gt;"",'Дивиденды по годам'!U565&lt;&gt;0),'Дивиденды по годам'!N565/'Дивиденды по годам'!U565-1,""),"")</f>
        <v>0.20467039523067787</v>
      </c>
      <c r="S565">
        <f>IFERROR(IF(AND('Дивиденды по годам'!L565&lt;&gt;"",'Дивиденды по годам'!I565&lt;&gt;"",'Дивиденды по годам'!J565&lt;&gt;"",'Дивиденды по годам'!K565&lt;&gt;"",('Дивиденды по годам'!I565-'Дивиденды по годам'!J565-'Дивиденды по годам'!K565)&lt;&gt;0),'Дивиденды по годам'!L565/('Дивиденды по годам'!I565-'Дивиденды по годам'!J565-'Дивиденды по годам'!K565),""),"")</f>
        <v>0.99911162743021154</v>
      </c>
      <c r="T565">
        <f>IFERROR(IF(AND('Дивиденды по годам'!Q565&lt;&gt;"",'Дивиденды по годам'!I565&lt;&gt;"",'Дивиденды по годам'!V565&lt;&gt;"",('Дивиденды по годам'!I565+'Дивиденды по годам'!V565)&lt;&gt;0),'Дивиденды по годам'!Q565/(('Дивиденды по годам'!I565+'Дивиденды по годам'!V565)/2),""),"")</f>
        <v>0.21632189133894067</v>
      </c>
      <c r="U565">
        <f>IFERROR(IF(AND('Дивиденды по годам'!J565&lt;&gt;"",'Дивиденды по годам'!K565&lt;&gt;"",'Дивиденды по годам'!M565&lt;&gt;"",'Дивиденды по годам'!M565&lt;&gt;0),('Дивиденды по годам'!J565+'Дивиденды по годам'!K565)/'Дивиденды по годам'!M565,""),"")</f>
        <v>2.8618922335736494</v>
      </c>
      <c r="V565" cm="1">
        <f t="array" ref="V565">IFERROR(AVERAGE(_xlfn._xlws.FILTER(P$2:P$1073,($C$2:$C$1073=$C565)*($E$2:$E$1073=$E565)*(ROW(P$2:P$1073)&lt;&gt;ROW(P565))*(P$2:P$1073&lt;&gt;""))),"")</f>
        <v>25.25211718003662</v>
      </c>
      <c r="W565" cm="1">
        <f t="array" ref="W565">IFERROR(AVERAGE(_xlfn._xlws.FILTER(Q$2:Q$1073,($C$2:$C$1073=$C565)*($E$2:$E$1073=$E565)*(ROW(Q$2:Q$1073)&lt;&gt;ROW(Q565))*(Q$2:Q$1073&lt;&gt;""))),"")</f>
        <v>0.25444241064991008</v>
      </c>
      <c r="X565" cm="1">
        <f t="array" ref="X565">IFERROR(AVERAGE(_xlfn._xlws.FILTER(R$2:R$1073,($C$2:$C$1073=$C565)*($E$2:$E$1073=$E565)*(ROW(R$2:R$1073)&lt;&gt;ROW(R565))*(R$2:R$1073&lt;&gt;""))),"")</f>
        <v>0.20517732094867186</v>
      </c>
      <c r="Y565" cm="1">
        <f t="array" ref="Y565">IFERROR(AVERAGE(_xlfn._xlws.FILTER(S$2:S$1073,($C$2:$C$1073=$C565)*($E$2:$E$1073=$E565)*(ROW(S$2:S$1073)&lt;&gt;ROW(S565))*(S$2:S$1073&lt;&gt;""))),"")</f>
        <v>1.3652472103124518</v>
      </c>
      <c r="Z565" cm="1">
        <f t="array" ref="Z565">IFERROR(AVERAGE(_xlfn._xlws.FILTER(T$2:T$1073,($C$2:$C$1073=$C565)*($E$2:$E$1073=$E565)*(ROW(T$2:T$1073)&lt;&gt;ROW(T565))*(T$2:T$1073&lt;&gt;""))),"")</f>
        <v>9.0316525969627651E-2</v>
      </c>
      <c r="AA565" cm="1">
        <f t="array" ref="AA565">IFERROR(AVERAGE(_xlfn._xlws.FILTER(U$2:U$1073,($C$2:$C$1073=$C565)*($E$2:$E$1073=$E565)*(ROW(U$2:U$1073)&lt;&gt;ROW(U565))*(U$2:U$1073&lt;&gt;""))),"")</f>
        <v>2.1161094505302569</v>
      </c>
    </row>
    <row r="566" spans="1:27" x14ac:dyDescent="0.2">
      <c r="A566" s="7" t="s">
        <v>2317</v>
      </c>
      <c r="B566" t="str">
        <f t="shared" si="90"/>
        <v>FIXR IV кв. 2021</v>
      </c>
      <c r="C566">
        <v>2021</v>
      </c>
      <c r="D566">
        <f>SUMIFS(Дивиденды!$C:$C,Дивиденды!$A:$A,A566,Дивиденды!$I:$I,C566)</f>
        <v>0</v>
      </c>
      <c r="E566">
        <v>4</v>
      </c>
      <c r="F566">
        <f t="shared" si="91"/>
        <v>0</v>
      </c>
      <c r="G566">
        <f t="shared" si="92"/>
        <v>31.931428571428572</v>
      </c>
      <c r="H566">
        <f t="shared" si="93"/>
        <v>0</v>
      </c>
      <c r="I566">
        <f t="shared" si="100"/>
        <v>0.2857142857142857</v>
      </c>
      <c r="J566">
        <f t="shared" si="94"/>
        <v>0</v>
      </c>
      <c r="K566">
        <f t="shared" si="98"/>
        <v>0.1975016604235505</v>
      </c>
      <c r="L566">
        <f t="shared" si="95"/>
        <v>0</v>
      </c>
      <c r="M566">
        <f t="shared" si="99"/>
        <v>0.21428571428571427</v>
      </c>
      <c r="N566">
        <f t="shared" si="96"/>
        <v>0</v>
      </c>
      <c r="O566">
        <f t="shared" si="97"/>
        <v>7.1428571428571425E-2</v>
      </c>
      <c r="P566">
        <f>IFERROR(LN('Дивиденды по годам'!I566),"")</f>
        <v>25.165081450266563</v>
      </c>
      <c r="Q566">
        <f>IFERROR('Дивиденды по годам'!G566/'Дивиденды по годам'!I566, "")</f>
        <v>0.2136137244050913</v>
      </c>
      <c r="R566">
        <f>IFERROR(IF(AND('Дивиденды по годам'!N566&lt;&gt;"",'Дивиденды по годам'!U566&lt;&gt;"",'Дивиденды по годам'!U566&lt;&gt;0),'Дивиденды по годам'!N566/'Дивиденды по годам'!U566-1,""),"")</f>
        <v>0.21263923308025401</v>
      </c>
      <c r="S566">
        <f>IFERROR(IF(AND('Дивиденды по годам'!L566&lt;&gt;"",'Дивиденды по годам'!I566&lt;&gt;"",'Дивиденды по годам'!J566&lt;&gt;"",'Дивиденды по годам'!K566&lt;&gt;"",('Дивиденды по годам'!I566-'Дивиденды по годам'!J566-'Дивиденды по годам'!K566)&lt;&gt;0),'Дивиденды по годам'!L566/('Дивиденды по годам'!I566-'Дивиденды по годам'!J566-'Дивиденды по годам'!K566),""),"")</f>
        <v>0.98132598069933574</v>
      </c>
      <c r="T566">
        <f>IFERROR(IF(AND('Дивиденды по годам'!Q566&lt;&gt;"",'Дивиденды по годам'!I566&lt;&gt;"",'Дивиденды по годам'!V566&lt;&gt;"",('Дивиденды по годам'!I566+'Дивиденды по годам'!V566)&lt;&gt;0),'Дивиденды по годам'!Q566/(('Дивиденды по годам'!I566+'Дивиденды по годам'!V566)/2),""),"")</f>
        <v>0.25610048133336527</v>
      </c>
      <c r="U566">
        <f>IFERROR(IF(AND('Дивиденды по годам'!J566&lt;&gt;"",'Дивиденды по годам'!K566&lt;&gt;"",'Дивиденды по годам'!M566&lt;&gt;"",'Дивиденды по годам'!M566&lt;&gt;0),('Дивиденды по годам'!J566+'Дивиденды по годам'!K566)/'Дивиденды по годам'!M566,""),"")</f>
        <v>9.644065672390024</v>
      </c>
      <c r="V566" cm="1">
        <f t="array" ref="V566">IFERROR(AVERAGE(_xlfn._xlws.FILTER(P$2:P$1073,($C$2:$C$1073=$C566)*($E$2:$E$1073=$E566)*(ROW(P$2:P$1073)&lt;&gt;ROW(P566))*(P$2:P$1073&lt;&gt;""))),"")</f>
        <v>25.189877583389954</v>
      </c>
      <c r="W566" cm="1">
        <f t="array" ref="W566">IFERROR(AVERAGE(_xlfn._xlws.FILTER(Q$2:Q$1073,($C$2:$C$1073=$C566)*($E$2:$E$1073=$E566)*(ROW(Q$2:Q$1073)&lt;&gt;ROW(Q566))*(Q$2:Q$1073&lt;&gt;""))),"")</f>
        <v>0.23706307670185303</v>
      </c>
      <c r="X566" cm="1">
        <f t="array" ref="X566">IFERROR(AVERAGE(_xlfn._xlws.FILTER(R$2:R$1073,($C$2:$C$1073=$C566)*($E$2:$E$1073=$E566)*(ROW(R$2:R$1073)&lt;&gt;ROW(R566))*(R$2:R$1073&lt;&gt;""))),"")</f>
        <v>0.33073045792875011</v>
      </c>
      <c r="Y566" cm="1">
        <f t="array" ref="Y566">IFERROR(AVERAGE(_xlfn._xlws.FILTER(S$2:S$1073,($C$2:$C$1073=$C566)*($E$2:$E$1073=$E566)*(ROW(S$2:S$1073)&lt;&gt;ROW(S566))*(S$2:S$1073&lt;&gt;""))),"")</f>
        <v>1.3505768208856459</v>
      </c>
      <c r="Z566" cm="1">
        <f t="array" ref="Z566">IFERROR(AVERAGE(_xlfn._xlws.FILTER(T$2:T$1073,($C$2:$C$1073=$C566)*($E$2:$E$1073=$E566)*(ROW(T$2:T$1073)&lt;&gt;ROW(T566))*(T$2:T$1073&lt;&gt;""))),"")</f>
        <v>8.3181711724767377E-2</v>
      </c>
      <c r="AA566" cm="1">
        <f t="array" ref="AA566">IFERROR(AVERAGE(_xlfn._xlws.FILTER(U$2:U$1073,($C$2:$C$1073=$C566)*($E$2:$E$1073=$E566)*(ROW(U$2:U$1073)&lt;&gt;ROW(U566))*(U$2:U$1073&lt;&gt;""))),"")</f>
        <v>17.544845543253693</v>
      </c>
    </row>
    <row r="567" spans="1:27" x14ac:dyDescent="0.2">
      <c r="A567" s="7" t="s">
        <v>2317</v>
      </c>
      <c r="B567" t="str">
        <f t="shared" si="90"/>
        <v>FIXR IV кв. 2020</v>
      </c>
      <c r="C567">
        <v>2020</v>
      </c>
      <c r="D567">
        <f>SUMIFS(Дивиденды!$C:$C,Дивиденды!$A:$A,A567,Дивиденды!$I:$I,C567)</f>
        <v>0</v>
      </c>
      <c r="E567">
        <v>4</v>
      </c>
      <c r="F567">
        <f t="shared" si="91"/>
        <v>0</v>
      </c>
      <c r="G567">
        <f t="shared" si="92"/>
        <v>43.293571428571433</v>
      </c>
      <c r="H567">
        <f t="shared" si="93"/>
        <v>0</v>
      </c>
      <c r="I567">
        <f t="shared" si="100"/>
        <v>0.2857142857142857</v>
      </c>
      <c r="J567">
        <f t="shared" si="94"/>
        <v>0</v>
      </c>
      <c r="K567">
        <f t="shared" si="98"/>
        <v>0.26831617204892738</v>
      </c>
      <c r="L567">
        <f t="shared" si="95"/>
        <v>0</v>
      </c>
      <c r="M567">
        <f t="shared" si="99"/>
        <v>0.2857142857142857</v>
      </c>
      <c r="N567">
        <f t="shared" si="96"/>
        <v>0</v>
      </c>
      <c r="O567">
        <f t="shared" si="97"/>
        <v>0</v>
      </c>
      <c r="P567">
        <f>IFERROR(LN('Дивиденды по годам'!I567),"")</f>
        <v>25.13128911164597</v>
      </c>
      <c r="Q567">
        <f>IFERROR('Дивиденды по годам'!G567/'Дивиденды по годам'!I567, "")</f>
        <v>0.16208118674412655</v>
      </c>
      <c r="R567">
        <f>IFERROR(IF(AND('Дивиденды по годам'!N567&lt;&gt;"",'Дивиденды по годам'!U567&lt;&gt;"",'Дивиденды по годам'!U567&lt;&gt;0),'Дивиденды по годам'!N567/'Дивиденды по годам'!U567-1,""),"")</f>
        <v>0.33020016797312435</v>
      </c>
      <c r="S567">
        <f>IFERROR(IF(AND('Дивиденды по годам'!L567&lt;&gt;"",'Дивиденды по годам'!I567&lt;&gt;"",'Дивиденды по годам'!J567&lt;&gt;"",'Дивиденды по годам'!K567&lt;&gt;"",('Дивиденды по годам'!I567-'Дивиденды по годам'!J567-'Дивиденды по годам'!K567)&lt;&gt;0),'Дивиденды по годам'!L567/('Дивиденды по годам'!I567-'Дивиденды по годам'!J567-'Дивиденды по годам'!K567),""),"")</f>
        <v>1.0448877805486285</v>
      </c>
      <c r="T567">
        <f>IFERROR(IF(AND('Дивиденды по годам'!Q567&lt;&gt;"",'Дивиденды по годам'!I567&lt;&gt;"",'Дивиденды по годам'!V567&lt;&gt;"",('Дивиденды по годам'!I567+'Дивиденды по годам'!V567)&lt;&gt;0),'Дивиденды по годам'!Q567/(('Дивиденды по годам'!I567+'Дивиденды по годам'!V567)/2),""),"")</f>
        <v>0.25889943800776333</v>
      </c>
      <c r="U567">
        <f>IFERROR(IF(AND('Дивиденды по годам'!J567&lt;&gt;"",'Дивиденды по годам'!K567&lt;&gt;"",'Дивиденды по годам'!M567&lt;&gt;"",'Дивиденды по годам'!M567&lt;&gt;0),('Дивиденды по годам'!J567+'Дивиденды по годам'!K567)/'Дивиденды по годам'!M567,""),"")</f>
        <v>-23.75062344139651</v>
      </c>
      <c r="V567" cm="1">
        <f t="array" ref="V567">IFERROR(AVERAGE(_xlfn._xlws.FILTER(P$2:P$1073,($C$2:$C$1073=$C567)*($E$2:$E$1073=$E567)*(ROW(P$2:P$1073)&lt;&gt;ROW(P567))*(P$2:P$1073&lt;&gt;""))),"")</f>
        <v>25.297869882455082</v>
      </c>
      <c r="W567" cm="1">
        <f t="array" ref="W567">IFERROR(AVERAGE(_xlfn._xlws.FILTER(Q$2:Q$1073,($C$2:$C$1073=$C567)*($E$2:$E$1073=$E567)*(ROW(Q$2:Q$1073)&lt;&gt;ROW(Q567))*(Q$2:Q$1073&lt;&gt;""))),"")</f>
        <v>0.27400331250322735</v>
      </c>
      <c r="X567" cm="1">
        <f t="array" ref="X567">IFERROR(AVERAGE(_xlfn._xlws.FILTER(R$2:R$1073,($C$2:$C$1073=$C567)*($E$2:$E$1073=$E567)*(ROW(R$2:R$1073)&lt;&gt;ROW(R567))*(R$2:R$1073&lt;&gt;""))),"")</f>
        <v>6.7659190905780486E-2</v>
      </c>
      <c r="Y567" cm="1">
        <f t="array" ref="Y567">IFERROR(AVERAGE(_xlfn._xlws.FILTER(S$2:S$1073,($C$2:$C$1073=$C567)*($E$2:$E$1073=$E567)*(ROW(S$2:S$1073)&lt;&gt;ROW(S567))*(S$2:S$1073&lt;&gt;""))),"")</f>
        <v>1.8043618669556845</v>
      </c>
      <c r="Z567" cm="1">
        <f t="array" ref="Z567">IFERROR(AVERAGE(_xlfn._xlws.FILTER(T$2:T$1073,($C$2:$C$1073=$C567)*($E$2:$E$1073=$E567)*(ROW(T$2:T$1073)&lt;&gt;ROW(T567))*(T$2:T$1073&lt;&gt;""))),"")</f>
        <v>4.3554954366131812E-2</v>
      </c>
      <c r="AA567" cm="1">
        <f t="array" ref="AA567">IFERROR(AVERAGE(_xlfn._xlws.FILTER(U$2:U$1073,($C$2:$C$1073=$C567)*($E$2:$E$1073=$E567)*(ROW(U$2:U$1073)&lt;&gt;ROW(U567))*(U$2:U$1073&lt;&gt;""))),"")</f>
        <v>-8.6089309793216682</v>
      </c>
    </row>
    <row r="568" spans="1:27" x14ac:dyDescent="0.2">
      <c r="A568" s="7" t="s">
        <v>2317</v>
      </c>
      <c r="B568" t="str">
        <f t="shared" si="90"/>
        <v>FIXR IV кв. 2019</v>
      </c>
      <c r="C568">
        <v>2019</v>
      </c>
      <c r="D568">
        <f>SUMIFS(Дивиденды!$C:$C,Дивиденды!$A:$A,A568,Дивиденды!$I:$I,C568)</f>
        <v>0</v>
      </c>
      <c r="E568">
        <v>4</v>
      </c>
      <c r="F568">
        <f t="shared" si="91"/>
        <v>0</v>
      </c>
      <c r="G568">
        <f t="shared" si="92"/>
        <v>24.398571428571426</v>
      </c>
      <c r="H568">
        <f t="shared" si="93"/>
        <v>0</v>
      </c>
      <c r="I568">
        <f t="shared" si="100"/>
        <v>0.21428571428571427</v>
      </c>
      <c r="J568">
        <f t="shared" si="94"/>
        <v>0</v>
      </c>
      <c r="K568">
        <f t="shared" si="98"/>
        <v>0.10876410731109194</v>
      </c>
      <c r="L568">
        <f t="shared" si="95"/>
        <v>0</v>
      </c>
      <c r="M568">
        <f t="shared" si="99"/>
        <v>0.21428571428571427</v>
      </c>
      <c r="N568">
        <f t="shared" si="96"/>
        <v>0</v>
      </c>
      <c r="O568">
        <f t="shared" si="97"/>
        <v>0</v>
      </c>
      <c r="P568">
        <f>IFERROR(LN('Дивиденды по годам'!I568),"")</f>
        <v>24.70593368194389</v>
      </c>
      <c r="Q568">
        <f>IFERROR('Дивиденды по годам'!G568/'Дивиденды по годам'!I568, "")</f>
        <v>0.20279537830786434</v>
      </c>
      <c r="R568">
        <f>IFERROR(IF(AND('Дивиденды по годам'!N568&lt;&gt;"",'Дивиденды по годам'!U568&lt;&gt;"",'Дивиденды по годам'!U568&lt;&gt;0),'Дивиденды по годам'!N568/'Дивиденды по годам'!U568-1,""),"")</f>
        <v>0.31368204260640109</v>
      </c>
      <c r="S568">
        <f>IFERROR(IF(AND('Дивиденды по годам'!L568&lt;&gt;"",'Дивиденды по годам'!I568&lt;&gt;"",'Дивиденды по годам'!J568&lt;&gt;"",'Дивиденды по годам'!K568&lt;&gt;"",('Дивиденды по годам'!I568-'Дивиденды по годам'!J568-'Дивиденды по годам'!K568)&lt;&gt;0),'Дивиденды по годам'!L568/('Дивиденды по годам'!I568-'Дивиденды по годам'!J568-'Дивиденды по годам'!K568),""),"")</f>
        <v>0.9864664280101284</v>
      </c>
      <c r="T568">
        <f>IFERROR(IF(AND('Дивиденды по годам'!Q568&lt;&gt;"",'Дивиденды по годам'!I568&lt;&gt;"",'Дивиденды по годам'!V568&lt;&gt;"",('Дивиденды по годам'!I568+'Дивиденды по годам'!V568)&lt;&gt;0),'Дивиденды по годам'!Q568/(('Дивиденды по годам'!I568+'Дивиденды по годам'!V568)/2),""),"")</f>
        <v>0.2962288335694529</v>
      </c>
      <c r="U568">
        <f>IFERROR(IF(AND('Дивиденды по годам'!J568&lt;&gt;"",'Дивиденды по годам'!K568&lt;&gt;"",'Дивиденды по годам'!M568&lt;&gt;"",'Дивиденды по годам'!M568&lt;&gt;0),('Дивиденды по годам'!J568+'Дивиденды по годам'!K568)/'Дивиденды по годам'!M568,""),"")</f>
        <v>3.6852353095258885</v>
      </c>
      <c r="V568" cm="1">
        <f t="array" ref="V568">IFERROR(AVERAGE(_xlfn._xlws.FILTER(P$2:P$1073,($C$2:$C$1073=$C568)*($E$2:$E$1073=$E568)*(ROW(P$2:P$1073)&lt;&gt;ROW(P568))*(P$2:P$1073&lt;&gt;""))),"")</f>
        <v>25.167309647651635</v>
      </c>
      <c r="W568" cm="1">
        <f t="array" ref="W568">IFERROR(AVERAGE(_xlfn._xlws.FILTER(Q$2:Q$1073,($C$2:$C$1073=$C568)*($E$2:$E$1073=$E568)*(ROW(Q$2:Q$1073)&lt;&gt;ROW(Q568))*(Q$2:Q$1073&lt;&gt;""))),"")</f>
        <v>0.27931691002911291</v>
      </c>
      <c r="X568" cm="1">
        <f t="array" ref="X568">IFERROR(AVERAGE(_xlfn._xlws.FILTER(R$2:R$1073,($C$2:$C$1073=$C568)*($E$2:$E$1073=$E568)*(ROW(R$2:R$1073)&lt;&gt;ROW(R568))*(R$2:R$1073&lt;&gt;""))),"")</f>
        <v>0.42903366193632902</v>
      </c>
      <c r="Y568" cm="1">
        <f t="array" ref="Y568">IFERROR(AVERAGE(_xlfn._xlws.FILTER(S$2:S$1073,($C$2:$C$1073=$C568)*($E$2:$E$1073=$E568)*(ROW(S$2:S$1073)&lt;&gt;ROW(S568))*(S$2:S$1073&lt;&gt;""))),"")</f>
        <v>0.88589724652371238</v>
      </c>
      <c r="Z568" cm="1">
        <f t="array" ref="Z568">IFERROR(AVERAGE(_xlfn._xlws.FILTER(T$2:T$1073,($C$2:$C$1073=$C568)*($E$2:$E$1073=$E568)*(ROW(T$2:T$1073)&lt;&gt;ROW(T568))*(T$2:T$1073&lt;&gt;""))),"")</f>
        <v>7.1878867341743195E-3</v>
      </c>
      <c r="AA568" cm="1">
        <f t="array" ref="AA568">IFERROR(AVERAGE(_xlfn._xlws.FILTER(U$2:U$1073,($C$2:$C$1073=$C568)*($E$2:$E$1073=$E568)*(ROW(U$2:U$1073)&lt;&gt;ROW(U568))*(U$2:U$1073&lt;&gt;""))),"")</f>
        <v>-3.4355157564021765</v>
      </c>
    </row>
    <row r="569" spans="1:27" x14ac:dyDescent="0.2">
      <c r="A569" s="7" t="s">
        <v>2317</v>
      </c>
      <c r="B569" t="str">
        <f t="shared" si="90"/>
        <v>FIXR IV кв. 2018</v>
      </c>
      <c r="C569">
        <v>2018</v>
      </c>
      <c r="D569">
        <f>SUMIFS(Дивиденды!$C:$C,Дивиденды!$A:$A,A569,Дивиденды!$I:$I,C569)</f>
        <v>0</v>
      </c>
      <c r="E569">
        <v>4</v>
      </c>
      <c r="F569">
        <f t="shared" si="91"/>
        <v>0</v>
      </c>
      <c r="G569">
        <f t="shared" si="92"/>
        <v>21.978571428571428</v>
      </c>
      <c r="H569">
        <f t="shared" si="93"/>
        <v>0</v>
      </c>
      <c r="I569">
        <f t="shared" si="100"/>
        <v>0.14285714285714285</v>
      </c>
      <c r="J569">
        <f t="shared" si="94"/>
        <v>0</v>
      </c>
      <c r="K569">
        <f t="shared" si="98"/>
        <v>-1.8223065562117002E-2</v>
      </c>
      <c r="L569">
        <f t="shared" si="95"/>
        <v>0</v>
      </c>
      <c r="M569">
        <f t="shared" si="99"/>
        <v>7.1428571428571425E-2</v>
      </c>
      <c r="N569">
        <f t="shared" si="96"/>
        <v>0</v>
      </c>
      <c r="O569">
        <f t="shared" si="97"/>
        <v>7.1428571428571425E-2</v>
      </c>
      <c r="P569">
        <f>IFERROR(LN('Дивиденды по годам'!I569),"")</f>
        <v>24.286525377135696</v>
      </c>
      <c r="Q569">
        <f>IFERROR('Дивиденды по годам'!G569/'Дивиденды по годам'!I569, "")</f>
        <v>0.25817790124156698</v>
      </c>
      <c r="R569">
        <f>IFERROR(IF(AND('Дивиденды по годам'!N569&lt;&gt;"",'Дивиденды по годам'!U569&lt;&gt;"",'Дивиденды по годам'!U569&lt;&gt;0),'Дивиденды по годам'!N569/'Дивиденды по годам'!U569-1,""),"")</f>
        <v>0.34854684322769436</v>
      </c>
      <c r="S569">
        <f>IFERROR(IF(AND('Дивиденды по годам'!L569&lt;&gt;"",'Дивиденды по годам'!I569&lt;&gt;"",'Дивиденды по годам'!J569&lt;&gt;"",'Дивиденды по годам'!K569&lt;&gt;"",('Дивиденды по годам'!I569-'Дивиденды по годам'!J569-'Дивиденды по годам'!K569)&lt;&gt;0),'Дивиденды по годам'!L569/('Дивиденды по годам'!I569-'Дивиденды по годам'!J569-'Дивиденды по годам'!K569),""),"")</f>
        <v>0.98829039812646369</v>
      </c>
      <c r="T569">
        <f>IFERROR(IF(AND('Дивиденды по годам'!Q569&lt;&gt;"",'Дивиденды по годам'!I569&lt;&gt;"",'Дивиденды по годам'!V569&lt;&gt;"",('Дивиденды по годам'!I569+'Дивиденды по годам'!V569)&lt;&gt;0),'Дивиденды по годам'!Q569/(('Дивиденды по годам'!I569+'Дивиденды по годам'!V569)/2),""),"")</f>
        <v>0.27898163146795441</v>
      </c>
      <c r="U569">
        <f>IFERROR(IF(AND('Дивиденды по годам'!J569&lt;&gt;"",'Дивиденды по годам'!K569&lt;&gt;"",'Дивиденды по годам'!M569&lt;&gt;"",'Дивиденды по годам'!M569&lt;&gt;0),('Дивиденды по годам'!J569+'Дивиденды по годам'!K569)/'Дивиденды по годам'!M569,""),"")</f>
        <v>1.6651053864168619</v>
      </c>
      <c r="V569" cm="1">
        <f t="array" ref="V569">IFERROR(AVERAGE(_xlfn._xlws.FILTER(P$2:P$1073,($C$2:$C$1073=$C569)*($E$2:$E$1073=$E569)*(ROW(P$2:P$1073)&lt;&gt;ROW(P569))*(P$2:P$1073&lt;&gt;""))),"")</f>
        <v>25.011894925723272</v>
      </c>
      <c r="W569" cm="1">
        <f t="array" ref="W569">IFERROR(AVERAGE(_xlfn._xlws.FILTER(Q$2:Q$1073,($C$2:$C$1073=$C569)*($E$2:$E$1073=$E569)*(ROW(Q$2:Q$1073)&lt;&gt;ROW(Q569))*(Q$2:Q$1073&lt;&gt;""))),"")</f>
        <v>0.32598640078089186</v>
      </c>
      <c r="X569" cm="1">
        <f t="array" ref="X569">IFERROR(AVERAGE(_xlfn._xlws.FILTER(R$2:R$1073,($C$2:$C$1073=$C569)*($E$2:$E$1073=$E569)*(ROW(R$2:R$1073)&lt;&gt;ROW(R569))*(R$2:R$1073&lt;&gt;""))),"")</f>
        <v>7.9868626543515564E-3</v>
      </c>
      <c r="Y569" cm="1">
        <f t="array" ref="Y569">IFERROR(AVERAGE(_xlfn._xlws.FILTER(S$2:S$1073,($C$2:$C$1073=$C569)*($E$2:$E$1073=$E569)*(ROW(S$2:S$1073)&lt;&gt;ROW(S569))*(S$2:S$1073&lt;&gt;""))),"")</f>
        <v>0.58694085392900253</v>
      </c>
      <c r="Z569" cm="1">
        <f t="array" ref="Z569">IFERROR(AVERAGE(_xlfn._xlws.FILTER(T$2:T$1073,($C$2:$C$1073=$C569)*($E$2:$E$1073=$E569)*(ROW(T$2:T$1073)&lt;&gt;ROW(T569))*(T$2:T$1073&lt;&gt;""))),"")</f>
        <v>-3.8164742717552443E-2</v>
      </c>
      <c r="AA569" cm="1">
        <f t="array" ref="AA569">IFERROR(AVERAGE(_xlfn._xlws.FILTER(U$2:U$1073,($C$2:$C$1073=$C569)*($E$2:$E$1073=$E569)*(ROW(U$2:U$1073)&lt;&gt;ROW(U569))*(U$2:U$1073&lt;&gt;""))),"")</f>
        <v>0.97872736532211657</v>
      </c>
    </row>
    <row r="570" spans="1:27" x14ac:dyDescent="0.2">
      <c r="A570" s="7" t="s">
        <v>2317</v>
      </c>
      <c r="B570" t="str">
        <f t="shared" si="90"/>
        <v>FIXR IV кв. 2017</v>
      </c>
      <c r="C570">
        <v>2017</v>
      </c>
      <c r="D570">
        <f>SUMIFS(Дивиденды!$C:$C,Дивиденды!$A:$A,A570,Дивиденды!$I:$I,C570)</f>
        <v>0</v>
      </c>
      <c r="E570">
        <v>4</v>
      </c>
      <c r="F570">
        <f t="shared" si="91"/>
        <v>0</v>
      </c>
      <c r="G570">
        <f t="shared" si="92"/>
        <v>18.403571428571428</v>
      </c>
      <c r="H570">
        <f t="shared" si="93"/>
        <v>0</v>
      </c>
      <c r="I570">
        <f t="shared" si="100"/>
        <v>0.14285714285714285</v>
      </c>
      <c r="J570">
        <f t="shared" si="94"/>
        <v>0</v>
      </c>
      <c r="K570">
        <f t="shared" si="98"/>
        <v>-1.7352821773673279E-2</v>
      </c>
      <c r="L570">
        <f t="shared" si="95"/>
        <v>0</v>
      </c>
      <c r="M570">
        <f t="shared" si="99"/>
        <v>0</v>
      </c>
      <c r="N570">
        <f t="shared" si="96"/>
        <v>0</v>
      </c>
      <c r="O570">
        <f t="shared" si="97"/>
        <v>0.14285714285714285</v>
      </c>
      <c r="P570">
        <f>IFERROR(LN('Дивиденды по годам'!I570),"")</f>
        <v>24.129782380086166</v>
      </c>
      <c r="Q570">
        <f>IFERROR('Дивиденды по годам'!G570/'Дивиденды по годам'!I570, "")</f>
        <v>0.26458885941644561</v>
      </c>
      <c r="R570" t="str">
        <f>IFERROR(IF(AND('Дивиденды по годам'!N570&lt;&gt;"",'Дивиденды по годам'!U570&lt;&gt;"",'Дивиденды по годам'!U570&lt;&gt;0),'Дивиденды по годам'!N570/'Дивиденды по годам'!U570-1,""),"")</f>
        <v/>
      </c>
      <c r="S570">
        <f>IFERROR(IF(AND('Дивиденды по годам'!L570&lt;&gt;"",'Дивиденды по годам'!I570&lt;&gt;"",'Дивиденды по годам'!J570&lt;&gt;"",'Дивиденды по годам'!K570&lt;&gt;"",('Дивиденды по годам'!I570-'Дивиденды по годам'!J570-'Дивиденды по годам'!K570)&lt;&gt;0),'Дивиденды по годам'!L570/('Дивиденды по годам'!I570-'Дивиденды по годам'!J570-'Дивиденды по годам'!K570),""),"")</f>
        <v>0.98557065723328985</v>
      </c>
      <c r="T570" t="str">
        <f>IFERROR(IF(AND('Дивиденды по годам'!Q570&lt;&gt;"",'Дивиденды по годам'!I570&lt;&gt;"",'Дивиденды по годам'!V570&lt;&gt;"",('Дивиденды по годам'!I570+'Дивиденды по годам'!V570)&lt;&gt;0),'Дивиденды по годам'!Q570/(('Дивиденды по годам'!I570+'Дивиденды по годам'!V570)/2),""),"")</f>
        <v/>
      </c>
      <c r="U570">
        <f>IFERROR(IF(AND('Дивиденды по годам'!J570&lt;&gt;"",'Дивиденды по годам'!K570&lt;&gt;"",'Дивиденды по годам'!M570&lt;&gt;"",'Дивиденды по годам'!M570&lt;&gt;0),('Дивиденды по годам'!J570+'Дивиденды по годам'!K570)/'Дивиденды по годам'!M570,""),"")</f>
        <v>1.807670824799851</v>
      </c>
      <c r="V570" cm="1">
        <f t="array" ref="V570">IFERROR(AVERAGE(_xlfn._xlws.FILTER(P$2:P$1073,($C$2:$C$1073=$C570)*($E$2:$E$1073=$E570)*(ROW(P$2:P$1073)&lt;&gt;ROW(P570))*(P$2:P$1073&lt;&gt;""))),"")</f>
        <v>24.836698596338824</v>
      </c>
      <c r="W570" cm="1">
        <f t="array" ref="W570">IFERROR(AVERAGE(_xlfn._xlws.FILTER(Q$2:Q$1073,($C$2:$C$1073=$C570)*($E$2:$E$1073=$E570)*(ROW(Q$2:Q$1073)&lt;&gt;ROW(Q570))*(Q$2:Q$1073&lt;&gt;""))),"")</f>
        <v>0.35234931820227372</v>
      </c>
      <c r="X570" cm="1">
        <f t="array" ref="X570">IFERROR(AVERAGE(_xlfn._xlws.FILTER(R$2:R$1073,($C$2:$C$1073=$C570)*($E$2:$E$1073=$E570)*(ROW(R$2:R$1073)&lt;&gt;ROW(R570))*(R$2:R$1073&lt;&gt;""))),"")</f>
        <v>0.23691718521625563</v>
      </c>
      <c r="Y570" cm="1">
        <f t="array" ref="Y570">IFERROR(AVERAGE(_xlfn._xlws.FILTER(S$2:S$1073,($C$2:$C$1073=$C570)*($E$2:$E$1073=$E570)*(ROW(S$2:S$1073)&lt;&gt;ROW(S570))*(S$2:S$1073&lt;&gt;""))),"")</f>
        <v>0.55644223353804878</v>
      </c>
      <c r="Z570" cm="1">
        <f t="array" ref="Z570">IFERROR(AVERAGE(_xlfn._xlws.FILTER(T$2:T$1073,($C$2:$C$1073=$C570)*($E$2:$E$1073=$E570)*(ROW(T$2:T$1073)&lt;&gt;ROW(T570))*(T$2:T$1073&lt;&gt;""))),"")</f>
        <v>-2.7044382152168867E-2</v>
      </c>
      <c r="AA570" cm="1">
        <f t="array" ref="AA570">IFERROR(AVERAGE(_xlfn._xlws.FILTER(U$2:U$1073,($C$2:$C$1073=$C570)*($E$2:$E$1073=$E570)*(ROW(U$2:U$1073)&lt;&gt;ROW(U570))*(U$2:U$1073&lt;&gt;""))),"")</f>
        <v>0.42929639878397569</v>
      </c>
    </row>
    <row r="571" spans="1:27" x14ac:dyDescent="0.2">
      <c r="A571" s="7" t="s">
        <v>2317</v>
      </c>
      <c r="B571" t="str">
        <f t="shared" si="90"/>
        <v>FIXR IV кв. 2016</v>
      </c>
      <c r="C571">
        <v>2016</v>
      </c>
      <c r="D571">
        <f>SUMIFS(Дивиденды!$C:$C,Дивиденды!$A:$A,A571,Дивиденды!$I:$I,C571)</f>
        <v>0</v>
      </c>
      <c r="E571">
        <v>4</v>
      </c>
      <c r="F571">
        <f t="shared" si="91"/>
        <v>0</v>
      </c>
      <c r="G571">
        <f t="shared" si="92"/>
        <v>20.421428571428571</v>
      </c>
      <c r="H571">
        <f t="shared" si="93"/>
        <v>0</v>
      </c>
      <c r="I571">
        <f t="shared" si="100"/>
        <v>0.14285714285714285</v>
      </c>
      <c r="J571">
        <f t="shared" si="94"/>
        <v>0</v>
      </c>
      <c r="K571">
        <f t="shared" si="98"/>
        <v>2.0593461763560781E-2</v>
      </c>
      <c r="L571">
        <f t="shared" si="95"/>
        <v>0</v>
      </c>
      <c r="M571">
        <f t="shared" si="99"/>
        <v>7.1428571428571425E-2</v>
      </c>
      <c r="N571">
        <f t="shared" si="96"/>
        <v>0</v>
      </c>
      <c r="O571">
        <f t="shared" si="97"/>
        <v>7.1428571428571425E-2</v>
      </c>
      <c r="P571" t="str">
        <f>IFERROR(LN('Дивиденды по годам'!I571),"")</f>
        <v/>
      </c>
      <c r="Q571" t="str">
        <f>IFERROR('Дивиденды по годам'!G571/'Дивиденды по годам'!I571, "")</f>
        <v/>
      </c>
      <c r="R571" t="str">
        <f>IFERROR(IF(AND('Дивиденды по годам'!N571&lt;&gt;"",'Дивиденды по годам'!U571&lt;&gt;"",'Дивиденды по годам'!U571&lt;&gt;0),'Дивиденды по годам'!N571/'Дивиденды по годам'!U571-1,""),"")</f>
        <v/>
      </c>
      <c r="S571" t="str">
        <f>IFERROR(IF(AND('Дивиденды по годам'!L571&lt;&gt;"",'Дивиденды по годам'!I571&lt;&gt;"",'Дивиденды по годам'!J571&lt;&gt;"",'Дивиденды по годам'!K571&lt;&gt;"",('Дивиденды по годам'!I571-'Дивиденды по годам'!J571-'Дивиденды по годам'!K571)&lt;&gt;0),'Дивиденды по годам'!L571/('Дивиденды по годам'!I571-'Дивиденды по годам'!J571-'Дивиденды по годам'!K571),""),"")</f>
        <v/>
      </c>
      <c r="T571" t="str">
        <f>IFERROR(IF(AND('Дивиденды по годам'!Q571&lt;&gt;"",'Дивиденды по годам'!I571&lt;&gt;"",'Дивиденды по годам'!V571&lt;&gt;"",('Дивиденды по годам'!I571+'Дивиденды по годам'!V571)&lt;&gt;0),'Дивиденды по годам'!Q571/(('Дивиденды по годам'!I571+'Дивиденды по годам'!V571)/2),""),"")</f>
        <v/>
      </c>
      <c r="U571" t="str">
        <f>IFERROR(IF(AND('Дивиденды по годам'!J571&lt;&gt;"",'Дивиденды по годам'!K571&lt;&gt;"",'Дивиденды по годам'!M571&lt;&gt;"",'Дивиденды по годам'!M571&lt;&gt;0),('Дивиденды по годам'!J571+'Дивиденды по годам'!K571)/'Дивиденды по годам'!M571,""),"")</f>
        <v/>
      </c>
      <c r="V571" cm="1">
        <f t="array" ref="V571">IFERROR(AVERAGE(_xlfn._xlws.FILTER(P$2:P$1073,($C$2:$C$1073=$C571)*($E$2:$E$1073=$E571)*(ROW(P$2:P$1073)&lt;&gt;ROW(P571))*(P$2:P$1073&lt;&gt;""))),"")</f>
        <v>24.55530958635584</v>
      </c>
      <c r="W571" cm="1">
        <f t="array" ref="W571">IFERROR(AVERAGE(_xlfn._xlws.FILTER(Q$2:Q$1073,($C$2:$C$1073=$C571)*($E$2:$E$1073=$E571)*(ROW(Q$2:Q$1073)&lt;&gt;ROW(Q571))*(Q$2:Q$1073&lt;&gt;""))),"")</f>
        <v>0.27878606899788128</v>
      </c>
      <c r="X571" cm="1">
        <f t="array" ref="X571">IFERROR(AVERAGE(_xlfn._xlws.FILTER(R$2:R$1073,($C$2:$C$1073=$C571)*($E$2:$E$1073=$E571)*(ROW(R$2:R$1073)&lt;&gt;ROW(R571))*(R$2:R$1073&lt;&gt;""))),"")</f>
        <v>0.16612325919082049</v>
      </c>
      <c r="Y571" cm="1">
        <f t="array" ref="Y571">IFERROR(AVERAGE(_xlfn._xlws.FILTER(S$2:S$1073,($C$2:$C$1073=$C571)*($E$2:$E$1073=$E571)*(ROW(S$2:S$1073)&lt;&gt;ROW(S571))*(S$2:S$1073&lt;&gt;""))),"")</f>
        <v>6.2178681719613929</v>
      </c>
      <c r="Z571" cm="1">
        <f t="array" ref="Z571">IFERROR(AVERAGE(_xlfn._xlws.FILTER(T$2:T$1073,($C$2:$C$1073=$C571)*($E$2:$E$1073=$E571)*(ROW(T$2:T$1073)&lt;&gt;ROW(T571))*(T$2:T$1073&lt;&gt;""))),"")</f>
        <v>-2.007011623977166E-2</v>
      </c>
      <c r="AA571" cm="1">
        <f t="array" ref="AA571">IFERROR(AVERAGE(_xlfn._xlws.FILTER(U$2:U$1073,($C$2:$C$1073=$C571)*($E$2:$E$1073=$E571)*(ROW(U$2:U$1073)&lt;&gt;ROW(U571))*(U$2:U$1073&lt;&gt;""))),"")</f>
        <v>-16.044507701133888</v>
      </c>
    </row>
    <row r="572" spans="1:27" x14ac:dyDescent="0.2">
      <c r="A572" s="7" t="s">
        <v>2317</v>
      </c>
      <c r="B572" t="str">
        <f t="shared" si="90"/>
        <v>FIXR IV кв. 2015</v>
      </c>
      <c r="C572">
        <v>2015</v>
      </c>
      <c r="D572">
        <f>SUMIFS(Дивиденды!$C:$C,Дивиденды!$A:$A,A572,Дивиденды!$I:$I,C572)</f>
        <v>0</v>
      </c>
      <c r="E572">
        <v>4</v>
      </c>
      <c r="F572">
        <f t="shared" si="91"/>
        <v>0</v>
      </c>
      <c r="G572">
        <f t="shared" si="92"/>
        <v>22.574999999999999</v>
      </c>
      <c r="H572">
        <f t="shared" si="93"/>
        <v>0</v>
      </c>
      <c r="I572">
        <f t="shared" si="100"/>
        <v>0.14285714285714285</v>
      </c>
      <c r="J572">
        <f t="shared" si="94"/>
        <v>0</v>
      </c>
      <c r="K572">
        <f t="shared" si="98"/>
        <v>6.1102189263868886E-2</v>
      </c>
      <c r="L572">
        <f t="shared" si="95"/>
        <v>0</v>
      </c>
      <c r="M572">
        <f t="shared" si="99"/>
        <v>7.1428571428571425E-2</v>
      </c>
      <c r="N572">
        <f t="shared" si="96"/>
        <v>0</v>
      </c>
      <c r="O572">
        <f t="shared" si="97"/>
        <v>7.1428571428571425E-2</v>
      </c>
      <c r="P572" t="str">
        <f>IFERROR(LN('Дивиденды по годам'!I572),"")</f>
        <v/>
      </c>
      <c r="Q572" t="str">
        <f>IFERROR('Дивиденды по годам'!G572/'Дивиденды по годам'!I572, "")</f>
        <v/>
      </c>
      <c r="R572" t="str">
        <f>IFERROR(IF(AND('Дивиденды по годам'!N572&lt;&gt;"",'Дивиденды по годам'!U572&lt;&gt;"",'Дивиденды по годам'!U572&lt;&gt;0),'Дивиденды по годам'!N572/'Дивиденды по годам'!U572-1,""),"")</f>
        <v/>
      </c>
      <c r="S572" t="str">
        <f>IFERROR(IF(AND('Дивиденды по годам'!L572&lt;&gt;"",'Дивиденды по годам'!I572&lt;&gt;"",'Дивиденды по годам'!J572&lt;&gt;"",'Дивиденды по годам'!K572&lt;&gt;"",('Дивиденды по годам'!I572-'Дивиденды по годам'!J572-'Дивиденды по годам'!K572)&lt;&gt;0),'Дивиденды по годам'!L572/('Дивиденды по годам'!I572-'Дивиденды по годам'!J572-'Дивиденды по годам'!K572),""),"")</f>
        <v/>
      </c>
      <c r="T572" t="str">
        <f>IFERROR(IF(AND('Дивиденды по годам'!Q572&lt;&gt;"",'Дивиденды по годам'!I572&lt;&gt;"",'Дивиденды по годам'!V572&lt;&gt;"",('Дивиденды по годам'!I572+'Дивиденды по годам'!V572)&lt;&gt;0),'Дивиденды по годам'!Q572/(('Дивиденды по годам'!I572+'Дивиденды по годам'!V572)/2),""),"")</f>
        <v/>
      </c>
      <c r="U572" t="str">
        <f>IFERROR(IF(AND('Дивиденды по годам'!J572&lt;&gt;"",'Дивиденды по годам'!K572&lt;&gt;"",'Дивиденды по годам'!M572&lt;&gt;"",'Дивиденды по годам'!M572&lt;&gt;0),('Дивиденды по годам'!J572+'Дивиденды по годам'!K572)/'Дивиденды по годам'!M572,""),"")</f>
        <v/>
      </c>
      <c r="V572" cm="1">
        <f t="array" ref="V572">IFERROR(AVERAGE(_xlfn._xlws.FILTER(P$2:P$1073,($C$2:$C$1073=$C572)*($E$2:$E$1073=$E572)*(ROW(P$2:P$1073)&lt;&gt;ROW(P572))*(P$2:P$1073&lt;&gt;""))),"")</f>
        <v>24.784857390248948</v>
      </c>
      <c r="W572" cm="1">
        <f t="array" ref="W572">IFERROR(AVERAGE(_xlfn._xlws.FILTER(Q$2:Q$1073,($C$2:$C$1073=$C572)*($E$2:$E$1073=$E572)*(ROW(Q$2:Q$1073)&lt;&gt;ROW(Q572))*(Q$2:Q$1073&lt;&gt;""))),"")</f>
        <v>0.29707306985497267</v>
      </c>
      <c r="X572" cm="1">
        <f t="array" ref="X572">IFERROR(AVERAGE(_xlfn._xlws.FILTER(R$2:R$1073,($C$2:$C$1073=$C572)*($E$2:$E$1073=$E572)*(ROW(R$2:R$1073)&lt;&gt;ROW(R572))*(R$2:R$1073&lt;&gt;""))),"")</f>
        <v>0.20074687596566593</v>
      </c>
      <c r="Y572" cm="1">
        <f t="array" ref="Y572">IFERROR(AVERAGE(_xlfn._xlws.FILTER(S$2:S$1073,($C$2:$C$1073=$C572)*($E$2:$E$1073=$E572)*(ROW(S$2:S$1073)&lt;&gt;ROW(S572))*(S$2:S$1073&lt;&gt;""))),"")</f>
        <v>-0.60736862679830428</v>
      </c>
      <c r="Z572" cm="1">
        <f t="array" ref="Z572">IFERROR(AVERAGE(_xlfn._xlws.FILTER(T$2:T$1073,($C$2:$C$1073=$C572)*($E$2:$E$1073=$E572)*(ROW(T$2:T$1073)&lt;&gt;ROW(T572))*(T$2:T$1073&lt;&gt;""))),"")</f>
        <v>6.4031956193225284E-2</v>
      </c>
      <c r="AA572" cm="1">
        <f t="array" ref="AA572">IFERROR(AVERAGE(_xlfn._xlws.FILTER(U$2:U$1073,($C$2:$C$1073=$C572)*($E$2:$E$1073=$E572)*(ROW(U$2:U$1073)&lt;&gt;ROW(U572))*(U$2:U$1073&lt;&gt;""))),"")</f>
        <v>5.5189604575277329</v>
      </c>
    </row>
    <row r="573" spans="1:27" x14ac:dyDescent="0.2">
      <c r="A573" s="7" t="s">
        <v>2317</v>
      </c>
      <c r="B573" t="str">
        <f t="shared" si="90"/>
        <v>FIXR IV кв. 2014</v>
      </c>
      <c r="C573">
        <v>2014</v>
      </c>
      <c r="D573">
        <f>SUMIFS(Дивиденды!$C:$C,Дивиденды!$A:$A,A573,Дивиденды!$I:$I,C573)</f>
        <v>0</v>
      </c>
      <c r="E573">
        <v>4</v>
      </c>
      <c r="F573">
        <f t="shared" si="91"/>
        <v>0</v>
      </c>
      <c r="G573">
        <f t="shared" si="92"/>
        <v>25.924285714285713</v>
      </c>
      <c r="H573">
        <f t="shared" si="93"/>
        <v>0</v>
      </c>
      <c r="I573">
        <f t="shared" si="100"/>
        <v>7.1428571428571425E-2</v>
      </c>
      <c r="J573">
        <f t="shared" si="94"/>
        <v>0</v>
      </c>
      <c r="K573">
        <f t="shared" si="98"/>
        <v>4.887635107293415E-2</v>
      </c>
      <c r="L573">
        <f t="shared" si="95"/>
        <v>0</v>
      </c>
      <c r="M573">
        <f t="shared" si="99"/>
        <v>7.1428571428571425E-2</v>
      </c>
      <c r="N573">
        <f t="shared" si="96"/>
        <v>0</v>
      </c>
      <c r="O573">
        <f t="shared" si="97"/>
        <v>7.1428571428571425E-2</v>
      </c>
      <c r="P573" t="str">
        <f>IFERROR(LN('Дивиденды по годам'!I573),"")</f>
        <v/>
      </c>
      <c r="Q573" t="str">
        <f>IFERROR('Дивиденды по годам'!G573/'Дивиденды по годам'!I573, "")</f>
        <v/>
      </c>
      <c r="R573" t="str">
        <f>IFERROR(IF(AND('Дивиденды по годам'!N573&lt;&gt;"",'Дивиденды по годам'!U573&lt;&gt;"",'Дивиденды по годам'!U573&lt;&gt;0),'Дивиденды по годам'!N573/'Дивиденды по годам'!U573-1,""),"")</f>
        <v/>
      </c>
      <c r="S573" t="str">
        <f>IFERROR(IF(AND('Дивиденды по годам'!L573&lt;&gt;"",'Дивиденды по годам'!I573&lt;&gt;"",'Дивиденды по годам'!J573&lt;&gt;"",'Дивиденды по годам'!K573&lt;&gt;"",('Дивиденды по годам'!I573-'Дивиденды по годам'!J573-'Дивиденды по годам'!K573)&lt;&gt;0),'Дивиденды по годам'!L573/('Дивиденды по годам'!I573-'Дивиденды по годам'!J573-'Дивиденды по годам'!K573),""),"")</f>
        <v/>
      </c>
      <c r="T573" t="str">
        <f>IFERROR(IF(AND('Дивиденды по годам'!Q573&lt;&gt;"",'Дивиденды по годам'!I573&lt;&gt;"",'Дивиденды по годам'!V573&lt;&gt;"",('Дивиденды по годам'!I573+'Дивиденды по годам'!V573)&lt;&gt;0),'Дивиденды по годам'!Q573/(('Дивиденды по годам'!I573+'Дивиденды по годам'!V573)/2),""),"")</f>
        <v/>
      </c>
      <c r="U573" t="str">
        <f>IFERROR(IF(AND('Дивиденды по годам'!J573&lt;&gt;"",'Дивиденды по годам'!K573&lt;&gt;"",'Дивиденды по годам'!M573&lt;&gt;"",'Дивиденды по годам'!M573&lt;&gt;0),('Дивиденды по годам'!J573+'Дивиденды по годам'!K573)/'Дивиденды по годам'!M573,""),"")</f>
        <v/>
      </c>
      <c r="V573" cm="1">
        <f t="array" ref="V573">IFERROR(AVERAGE(_xlfn._xlws.FILTER(P$2:P$1073,($C$2:$C$1073=$C573)*($E$2:$E$1073=$E573)*(ROW(P$2:P$1073)&lt;&gt;ROW(P573))*(P$2:P$1073&lt;&gt;""))),"")</f>
        <v>24.777851287837404</v>
      </c>
      <c r="W573" cm="1">
        <f t="array" ref="W573">IFERROR(AVERAGE(_xlfn._xlws.FILTER(Q$2:Q$1073,($C$2:$C$1073=$C573)*($E$2:$E$1073=$E573)*(ROW(Q$2:Q$1073)&lt;&gt;ROW(Q573))*(Q$2:Q$1073&lt;&gt;""))),"")</f>
        <v>0.28994951624266957</v>
      </c>
      <c r="X573" cm="1">
        <f t="array" ref="X573">IFERROR(AVERAGE(_xlfn._xlws.FILTER(R$2:R$1073,($C$2:$C$1073=$C573)*($E$2:$E$1073=$E573)*(ROW(R$2:R$1073)&lt;&gt;ROW(R573))*(R$2:R$1073&lt;&gt;""))),"")</f>
        <v>8.5517195784799244E-2</v>
      </c>
      <c r="Y573" cm="1">
        <f t="array" ref="Y573">IFERROR(AVERAGE(_xlfn._xlws.FILTER(S$2:S$1073,($C$2:$C$1073=$C573)*($E$2:$E$1073=$E573)*(ROW(S$2:S$1073)&lt;&gt;ROW(S573))*(S$2:S$1073&lt;&gt;""))),"")</f>
        <v>-8.9932559622525012</v>
      </c>
      <c r="Z573" cm="1">
        <f t="array" ref="Z573">IFERROR(AVERAGE(_xlfn._xlws.FILTER(T$2:T$1073,($C$2:$C$1073=$C573)*($E$2:$E$1073=$E573)*(ROW(T$2:T$1073)&lt;&gt;ROW(T573))*(T$2:T$1073&lt;&gt;""))),"")</f>
        <v>3.4958573241250623E-2</v>
      </c>
      <c r="AA573" cm="1">
        <f t="array" ref="AA573">IFERROR(AVERAGE(_xlfn._xlws.FILTER(U$2:U$1073,($C$2:$C$1073=$C573)*($E$2:$E$1073=$E573)*(ROW(U$2:U$1073)&lt;&gt;ROW(U573))*(U$2:U$1073&lt;&gt;""))),"")</f>
        <v>34.444280572958768</v>
      </c>
    </row>
    <row r="574" spans="1:27" x14ac:dyDescent="0.2">
      <c r="A574" s="7" t="s">
        <v>2317</v>
      </c>
      <c r="B574" t="str">
        <f t="shared" si="90"/>
        <v>FIXR IV кв. 2013</v>
      </c>
      <c r="C574">
        <v>2013</v>
      </c>
      <c r="D574">
        <f>SUMIFS(Дивиденды!$C:$C,Дивиденды!$A:$A,A574,Дивиденды!$I:$I,C574)</f>
        <v>0</v>
      </c>
      <c r="E574">
        <v>4</v>
      </c>
      <c r="F574">
        <f t="shared" si="91"/>
        <v>0</v>
      </c>
      <c r="G574">
        <f t="shared" si="92"/>
        <v>13.409285714285716</v>
      </c>
      <c r="H574">
        <f t="shared" si="93"/>
        <v>0</v>
      </c>
      <c r="I574">
        <f t="shared" si="100"/>
        <v>0.14285714285714285</v>
      </c>
      <c r="J574">
        <f t="shared" si="94"/>
        <v>0</v>
      </c>
      <c r="K574">
        <f t="shared" si="98"/>
        <v>4.7291245939064024E-2</v>
      </c>
      <c r="L574">
        <f t="shared" si="95"/>
        <v>0</v>
      </c>
      <c r="M574">
        <f t="shared" si="99"/>
        <v>7.1428571428571425E-2</v>
      </c>
      <c r="N574">
        <f t="shared" si="96"/>
        <v>0</v>
      </c>
      <c r="O574">
        <f t="shared" si="97"/>
        <v>0</v>
      </c>
      <c r="P574" t="str">
        <f>IFERROR(LN('Дивиденды по годам'!I574),"")</f>
        <v/>
      </c>
      <c r="Q574" t="str">
        <f>IFERROR('Дивиденды по годам'!G574/'Дивиденды по годам'!I574, "")</f>
        <v/>
      </c>
      <c r="R574" t="str">
        <f>IFERROR(IF(AND('Дивиденды по годам'!N574&lt;&gt;"",'Дивиденды по годам'!U574&lt;&gt;"",'Дивиденды по годам'!U574&lt;&gt;0),'Дивиденды по годам'!N574/'Дивиденды по годам'!U574-1,""),"")</f>
        <v/>
      </c>
      <c r="S574" t="str">
        <f>IFERROR(IF(AND('Дивиденды по годам'!L574&lt;&gt;"",'Дивиденды по годам'!I574&lt;&gt;"",'Дивиденды по годам'!J574&lt;&gt;"",'Дивиденды по годам'!K574&lt;&gt;"",('Дивиденды по годам'!I574-'Дивиденды по годам'!J574-'Дивиденды по годам'!K574)&lt;&gt;0),'Дивиденды по годам'!L574/('Дивиденды по годам'!I574-'Дивиденды по годам'!J574-'Дивиденды по годам'!K574),""),"")</f>
        <v/>
      </c>
      <c r="T574" t="str">
        <f>IFERROR(IF(AND('Дивиденды по годам'!Q574&lt;&gt;"",'Дивиденды по годам'!I574&lt;&gt;"",'Дивиденды по годам'!V574&lt;&gt;"",('Дивиденды по годам'!I574+'Дивиденды по годам'!V574)&lt;&gt;0),'Дивиденды по годам'!Q574/(('Дивиденды по годам'!I574+'Дивиденды по годам'!V574)/2),""),"")</f>
        <v/>
      </c>
      <c r="U574" t="str">
        <f>IFERROR(IF(AND('Дивиденды по годам'!J574&lt;&gt;"",'Дивиденды по годам'!K574&lt;&gt;"",'Дивиденды по годам'!M574&lt;&gt;"",'Дивиденды по годам'!M574&lt;&gt;0),('Дивиденды по годам'!J574+'Дивиденды по годам'!K574)/'Дивиденды по годам'!M574,""),"")</f>
        <v/>
      </c>
      <c r="V574" cm="1">
        <f t="array" ref="V574">IFERROR(AVERAGE(_xlfn._xlws.FILTER(P$2:P$1073,($C$2:$C$1073=$C574)*($E$2:$E$1073=$E574)*(ROW(P$2:P$1073)&lt;&gt;ROW(P574))*(P$2:P$1073&lt;&gt;""))),"")</f>
        <v>24.281308125321722</v>
      </c>
      <c r="W574" cm="1">
        <f t="array" ref="W574">IFERROR(AVERAGE(_xlfn._xlws.FILTER(Q$2:Q$1073,($C$2:$C$1073=$C574)*($E$2:$E$1073=$E574)*(ROW(Q$2:Q$1073)&lt;&gt;ROW(Q574))*(Q$2:Q$1073&lt;&gt;""))),"")</f>
        <v>0.34809372453666254</v>
      </c>
      <c r="X574" cm="1">
        <f t="array" ref="X574">IFERROR(AVERAGE(_xlfn._xlws.FILTER(R$2:R$1073,($C$2:$C$1073=$C574)*($E$2:$E$1073=$E574)*(ROW(R$2:R$1073)&lt;&gt;ROW(R574))*(R$2:R$1073&lt;&gt;""))),"")</f>
        <v>0.17531341667142472</v>
      </c>
      <c r="Y574" t="str" cm="1">
        <f t="array" ref="Y574">IFERROR(AVERAGE(_xlfn._xlws.FILTER(S$2:S$1073,($C$2:$C$1073=$C574)*($E$2:$E$1073=$E574)*(ROW(S$2:S$1073)&lt;&gt;ROW(S574))*(S$2:S$1073&lt;&gt;""))),"")</f>
        <v/>
      </c>
      <c r="Z574" cm="1">
        <f t="array" ref="Z574">IFERROR(AVERAGE(_xlfn._xlws.FILTER(T$2:T$1073,($C$2:$C$1073=$C574)*($E$2:$E$1073=$E574)*(ROW(T$2:T$1073)&lt;&gt;ROW(T574))*(T$2:T$1073&lt;&gt;""))),"")</f>
        <v>-0.12490141563278262</v>
      </c>
      <c r="AA574" cm="1">
        <f t="array" ref="AA574">IFERROR(AVERAGE(_xlfn._xlws.FILTER(U$2:U$1073,($C$2:$C$1073=$C574)*($E$2:$E$1073=$E574)*(ROW(U$2:U$1073)&lt;&gt;ROW(U574))*(U$2:U$1073&lt;&gt;""))),"")</f>
        <v>0.44566877182826042</v>
      </c>
    </row>
    <row r="575" spans="1:27" x14ac:dyDescent="0.2">
      <c r="A575" s="7" t="s">
        <v>2317</v>
      </c>
      <c r="B575" t="str">
        <f t="shared" si="90"/>
        <v>FIXR IV кв. 2012</v>
      </c>
      <c r="C575">
        <v>2012</v>
      </c>
      <c r="D575">
        <f>SUMIFS(Дивиденды!$C:$C,Дивиденды!$A:$A,A575,Дивиденды!$I:$I,C575)</f>
        <v>0</v>
      </c>
      <c r="E575">
        <v>4</v>
      </c>
      <c r="F575">
        <f t="shared" si="91"/>
        <v>0</v>
      </c>
      <c r="G575">
        <f t="shared" si="92"/>
        <v>9.5621428571428577</v>
      </c>
      <c r="H575">
        <f t="shared" si="93"/>
        <v>0</v>
      </c>
      <c r="I575">
        <f t="shared" si="100"/>
        <v>0.14285714285714285</v>
      </c>
      <c r="J575">
        <f t="shared" si="94"/>
        <v>0</v>
      </c>
      <c r="K575">
        <f t="shared" si="98"/>
        <v>0.25341100242975517</v>
      </c>
      <c r="L575">
        <f t="shared" si="95"/>
        <v>0</v>
      </c>
      <c r="M575">
        <f t="shared" si="99"/>
        <v>0.14285714285714285</v>
      </c>
      <c r="N575">
        <f t="shared" si="96"/>
        <v>0</v>
      </c>
      <c r="O575">
        <f t="shared" si="97"/>
        <v>0</v>
      </c>
      <c r="P575" t="str">
        <f>IFERROR(LN('Дивиденды по годам'!I575),"")</f>
        <v/>
      </c>
      <c r="Q575" t="str">
        <f>IFERROR('Дивиденды по годам'!G575/'Дивиденды по годам'!I575, "")</f>
        <v/>
      </c>
      <c r="R575" t="str">
        <f>IFERROR(IF(AND('Дивиденды по годам'!N575&lt;&gt;"",'Дивиденды по годам'!U575&lt;&gt;"",'Дивиденды по годам'!U575&lt;&gt;0),'Дивиденды по годам'!N575/'Дивиденды по годам'!U575-1,""),"")</f>
        <v/>
      </c>
      <c r="S575" t="str">
        <f>IFERROR(IF(AND('Дивиденды по годам'!L575&lt;&gt;"",'Дивиденды по годам'!I575&lt;&gt;"",'Дивиденды по годам'!J575&lt;&gt;"",'Дивиденды по годам'!K575&lt;&gt;"",('Дивиденды по годам'!I575-'Дивиденды по годам'!J575-'Дивиденды по годам'!K575)&lt;&gt;0),'Дивиденды по годам'!L575/('Дивиденды по годам'!I575-'Дивиденды по годам'!J575-'Дивиденды по годам'!K575),""),"")</f>
        <v/>
      </c>
      <c r="T575" t="str">
        <f>IFERROR(IF(AND('Дивиденды по годам'!Q575&lt;&gt;"",'Дивиденды по годам'!I575&lt;&gt;"",'Дивиденды по годам'!V575&lt;&gt;"",('Дивиденды по годам'!I575+'Дивиденды по годам'!V575)&lt;&gt;0),'Дивиденды по годам'!Q575/(('Дивиденды по годам'!I575+'Дивиденды по годам'!V575)/2),""),"")</f>
        <v/>
      </c>
      <c r="U575" t="str">
        <f>IFERROR(IF(AND('Дивиденды по годам'!J575&lt;&gt;"",'Дивиденды по годам'!K575&lt;&gt;"",'Дивиденды по годам'!M575&lt;&gt;"",'Дивиденды по годам'!M575&lt;&gt;0),('Дивиденды по годам'!J575+'Дивиденды по годам'!K575)/'Дивиденды по годам'!M575,""),"")</f>
        <v/>
      </c>
      <c r="V575" cm="1">
        <f t="array" ref="V575">IFERROR(AVERAGE(_xlfn._xlws.FILTER(P$2:P$1073,($C$2:$C$1073=$C575)*($E$2:$E$1073=$E575)*(ROW(P$2:P$1073)&lt;&gt;ROW(P575))*(P$2:P$1073&lt;&gt;""))),"")</f>
        <v>24.228370506718147</v>
      </c>
      <c r="W575" cm="1">
        <f t="array" ref="W575">IFERROR(AVERAGE(_xlfn._xlws.FILTER(Q$2:Q$1073,($C$2:$C$1073=$C575)*($E$2:$E$1073=$E575)*(ROW(Q$2:Q$1073)&lt;&gt;ROW(Q575))*(Q$2:Q$1073&lt;&gt;""))),"")</f>
        <v>0.2820560824162458</v>
      </c>
      <c r="X575" cm="1">
        <f t="array" ref="X575">IFERROR(AVERAGE(_xlfn._xlws.FILTER(R$2:R$1073,($C$2:$C$1073=$C575)*($E$2:$E$1073=$E575)*(ROW(R$2:R$1073)&lt;&gt;ROW(R575))*(R$2:R$1073&lt;&gt;""))),"")</f>
        <v>-2.2522357472477484E-2</v>
      </c>
      <c r="Y575" cm="1">
        <f t="array" ref="Y575">IFERROR(AVERAGE(_xlfn._xlws.FILTER(S$2:S$1073,($C$2:$C$1073=$C575)*($E$2:$E$1073=$E575)*(ROW(S$2:S$1073)&lt;&gt;ROW(S575))*(S$2:S$1073&lt;&gt;""))),"")</f>
        <v>-1.7651061513336963</v>
      </c>
      <c r="Z575" cm="1">
        <f t="array" ref="Z575">IFERROR(AVERAGE(_xlfn._xlws.FILTER(T$2:T$1073,($C$2:$C$1073=$C575)*($E$2:$E$1073=$E575)*(ROW(T$2:T$1073)&lt;&gt;ROW(T575))*(T$2:T$1073&lt;&gt;""))),"")</f>
        <v>6.8400459116201365E-2</v>
      </c>
      <c r="AA575" cm="1">
        <f t="array" ref="AA575">IFERROR(AVERAGE(_xlfn._xlws.FILTER(U$2:U$1073,($C$2:$C$1073=$C575)*($E$2:$E$1073=$E575)*(ROW(U$2:U$1073)&lt;&gt;ROW(U575))*(U$2:U$1073&lt;&gt;""))),"")</f>
        <v>-3.9631898894189463</v>
      </c>
    </row>
    <row r="576" spans="1:27" x14ac:dyDescent="0.2">
      <c r="A576" s="7" t="s">
        <v>2317</v>
      </c>
      <c r="B576" t="str">
        <f t="shared" si="90"/>
        <v>FIXR IV кв. 2011</v>
      </c>
      <c r="C576">
        <v>2011</v>
      </c>
      <c r="D576">
        <f>SUMIFS(Дивиденды!$C:$C,Дивиденды!$A:$A,A576,Дивиденды!$I:$I,C576)</f>
        <v>0</v>
      </c>
      <c r="E576">
        <v>4</v>
      </c>
      <c r="F576">
        <f t="shared" si="91"/>
        <v>0</v>
      </c>
      <c r="G576">
        <f t="shared" si="92"/>
        <v>1.6378571428571429</v>
      </c>
      <c r="H576">
        <f t="shared" si="93"/>
        <v>0</v>
      </c>
      <c r="I576">
        <f t="shared" si="100"/>
        <v>7.1428571428571425E-2</v>
      </c>
      <c r="J576">
        <f t="shared" si="94"/>
        <v>0</v>
      </c>
      <c r="K576">
        <f t="shared" si="98"/>
        <v>0.17786475320721892</v>
      </c>
      <c r="L576">
        <f t="shared" si="95"/>
        <v>0</v>
      </c>
      <c r="M576">
        <f t="shared" si="99"/>
        <v>7.1428571428571425E-2</v>
      </c>
      <c r="N576">
        <f t="shared" si="96"/>
        <v>0</v>
      </c>
      <c r="O576">
        <f t="shared" si="97"/>
        <v>0</v>
      </c>
      <c r="P576" t="str">
        <f>IFERROR(LN('Дивиденды по годам'!I576),"")</f>
        <v/>
      </c>
      <c r="Q576" t="str">
        <f>IFERROR('Дивиденды по годам'!G576/'Дивиденды по годам'!I576, "")</f>
        <v/>
      </c>
      <c r="R576" t="str">
        <f>IFERROR(IF(AND('Дивиденды по годам'!N576&lt;&gt;"",'Дивиденды по годам'!U576&lt;&gt;"",'Дивиденды по годам'!U576&lt;&gt;0),'Дивиденды по годам'!N576/'Дивиденды по годам'!U576-1,""),"")</f>
        <v/>
      </c>
      <c r="S576" t="str">
        <f>IFERROR(IF(AND('Дивиденды по годам'!L576&lt;&gt;"",'Дивиденды по годам'!I576&lt;&gt;"",'Дивиденды по годам'!J576&lt;&gt;"",'Дивиденды по годам'!K576&lt;&gt;"",('Дивиденды по годам'!I576-'Дивиденды по годам'!J576-'Дивиденды по годам'!K576)&lt;&gt;0),'Дивиденды по годам'!L576/('Дивиденды по годам'!I576-'Дивиденды по годам'!J576-'Дивиденды по годам'!K576),""),"")</f>
        <v/>
      </c>
      <c r="T576" t="str">
        <f>IFERROR(IF(AND('Дивиденды по годам'!Q576&lt;&gt;"",'Дивиденды по годам'!I576&lt;&gt;"",'Дивиденды по годам'!V576&lt;&gt;"",('Дивиденды по годам'!I576+'Дивиденды по годам'!V576)&lt;&gt;0),'Дивиденды по годам'!Q576/(('Дивиденды по годам'!I576+'Дивиденды по годам'!V576)/2),""),"")</f>
        <v/>
      </c>
      <c r="U576" t="str">
        <f>IFERROR(IF(AND('Дивиденды по годам'!J576&lt;&gt;"",'Дивиденды по годам'!K576&lt;&gt;"",'Дивиденды по годам'!M576&lt;&gt;"",'Дивиденды по годам'!M576&lt;&gt;0),('Дивиденды по годам'!J576+'Дивиденды по годам'!K576)/'Дивиденды по годам'!M576,""),"")</f>
        <v/>
      </c>
      <c r="V576" cm="1">
        <f t="array" ref="V576">IFERROR(AVERAGE(_xlfn._xlws.FILTER(P$2:P$1073,($C$2:$C$1073=$C576)*($E$2:$E$1073=$E576)*(ROW(P$2:P$1073)&lt;&gt;ROW(P576))*(P$2:P$1073&lt;&gt;""))),"")</f>
        <v>24.180789108496477</v>
      </c>
      <c r="W576" cm="1">
        <f t="array" ref="W576">IFERROR(AVERAGE(_xlfn._xlws.FILTER(Q$2:Q$1073,($C$2:$C$1073=$C576)*($E$2:$E$1073=$E576)*(ROW(Q$2:Q$1073)&lt;&gt;ROW(Q576))*(Q$2:Q$1073&lt;&gt;""))),"")</f>
        <v>0.29604752502083465</v>
      </c>
      <c r="X576" cm="1">
        <f t="array" ref="X576">IFERROR(AVERAGE(_xlfn._xlws.FILTER(R$2:R$1073,($C$2:$C$1073=$C576)*($E$2:$E$1073=$E576)*(ROW(R$2:R$1073)&lt;&gt;ROW(R576))*(R$2:R$1073&lt;&gt;""))),"")</f>
        <v>5.9511017560386792E-2</v>
      </c>
      <c r="Y576" t="str" cm="1">
        <f t="array" ref="Y576">IFERROR(AVERAGE(_xlfn._xlws.FILTER(S$2:S$1073,($C$2:$C$1073=$C576)*($E$2:$E$1073=$E576)*(ROW(S$2:S$1073)&lt;&gt;ROW(S576))*(S$2:S$1073&lt;&gt;""))),"")</f>
        <v/>
      </c>
      <c r="Z576" cm="1">
        <f t="array" ref="Z576">IFERROR(AVERAGE(_xlfn._xlws.FILTER(T$2:T$1073,($C$2:$C$1073=$C576)*($E$2:$E$1073=$E576)*(ROW(T$2:T$1073)&lt;&gt;ROW(T576))*(T$2:T$1073&lt;&gt;""))),"")</f>
        <v>-1.4171101286470289E-2</v>
      </c>
      <c r="AA576" cm="1">
        <f t="array" ref="AA576">IFERROR(AVERAGE(_xlfn._xlws.FILTER(U$2:U$1073,($C$2:$C$1073=$C576)*($E$2:$E$1073=$E576)*(ROW(U$2:U$1073)&lt;&gt;ROW(U576))*(U$2:U$1073&lt;&gt;""))),"")</f>
        <v>2.1854574410792247</v>
      </c>
    </row>
    <row r="577" spans="1:27" x14ac:dyDescent="0.2">
      <c r="A577" s="7" t="s">
        <v>2317</v>
      </c>
      <c r="B577" t="str">
        <f t="shared" si="90"/>
        <v>FIXR IV кв. 2010</v>
      </c>
      <c r="C577">
        <v>2010</v>
      </c>
      <c r="D577">
        <f>SUMIFS(Дивиденды!$C:$C,Дивиденды!$A:$A,A577,Дивиденды!$I:$I,C577)</f>
        <v>0</v>
      </c>
      <c r="E577">
        <v>4</v>
      </c>
      <c r="F577">
        <f t="shared" si="91"/>
        <v>0</v>
      </c>
      <c r="G577">
        <f t="shared" si="92"/>
        <v>0.46928571428571431</v>
      </c>
      <c r="H577">
        <f t="shared" si="93"/>
        <v>0</v>
      </c>
      <c r="I577">
        <f t="shared" si="100"/>
        <v>7.1428571428571425E-2</v>
      </c>
      <c r="J577" t="str">
        <f t="shared" si="94"/>
        <v/>
      </c>
      <c r="K577" t="str">
        <f t="shared" si="98"/>
        <v/>
      </c>
      <c r="L577" t="str">
        <f t="shared" si="95"/>
        <v/>
      </c>
      <c r="M577" t="str">
        <f t="shared" si="99"/>
        <v/>
      </c>
      <c r="N577" t="str">
        <f t="shared" si="96"/>
        <v/>
      </c>
      <c r="O577" t="str">
        <f t="shared" si="97"/>
        <v/>
      </c>
      <c r="P577" t="str">
        <f>IFERROR(LN('Дивиденды по годам'!I577),"")</f>
        <v/>
      </c>
      <c r="Q577" t="str">
        <f>IFERROR('Дивиденды по годам'!G577/'Дивиденды по годам'!I577, "")</f>
        <v/>
      </c>
      <c r="R577" t="str">
        <f>IFERROR(IF(AND('Дивиденды по годам'!N577&lt;&gt;"",'Дивиденды по годам'!U577&lt;&gt;"",'Дивиденды по годам'!U577&lt;&gt;0),'Дивиденды по годам'!N577/'Дивиденды по годам'!U577-1,""),"")</f>
        <v/>
      </c>
      <c r="S577" t="str">
        <f>IFERROR(IF(AND('Дивиденды по годам'!L577&lt;&gt;"",'Дивиденды по годам'!I577&lt;&gt;"",'Дивиденды по годам'!J577&lt;&gt;"",'Дивиденды по годам'!K577&lt;&gt;"",('Дивиденды по годам'!I577-'Дивиденды по годам'!J577-'Дивиденды по годам'!K577)&lt;&gt;0),'Дивиденды по годам'!L577/('Дивиденды по годам'!I577-'Дивиденды по годам'!J577-'Дивиденды по годам'!K577),""),"")</f>
        <v/>
      </c>
      <c r="T577" t="str">
        <f>IFERROR(IF(AND('Дивиденды по годам'!Q577&lt;&gt;"",'Дивиденды по годам'!I577&lt;&gt;"",'Дивиденды по годам'!V577&lt;&gt;"",('Дивиденды по годам'!I577+'Дивиденды по годам'!V577)&lt;&gt;0),'Дивиденды по годам'!Q577/(('Дивиденды по годам'!I577+'Дивиденды по годам'!V577)/2),""),"")</f>
        <v/>
      </c>
      <c r="U577" t="str">
        <f>IFERROR(IF(AND('Дивиденды по годам'!J577&lt;&gt;"",'Дивиденды по годам'!K577&lt;&gt;"",'Дивиденды по годам'!M577&lt;&gt;"",'Дивиденды по годам'!M577&lt;&gt;0),('Дивиденды по годам'!J577+'Дивиденды по годам'!K577)/'Дивиденды по годам'!M577,""),"")</f>
        <v/>
      </c>
      <c r="V577" cm="1">
        <f t="array" ref="V577">IFERROR(AVERAGE(_xlfn._xlws.FILTER(P$2:P$1073,($C$2:$C$1073=$C577)*($E$2:$E$1073=$E577)*(ROW(P$2:P$1073)&lt;&gt;ROW(P577))*(P$2:P$1073&lt;&gt;""))),"")</f>
        <v>23.656010386255485</v>
      </c>
      <c r="W577" cm="1">
        <f t="array" ref="W577">IFERROR(AVERAGE(_xlfn._xlws.FILTER(Q$2:Q$1073,($C$2:$C$1073=$C577)*($E$2:$E$1073=$E577)*(ROW(Q$2:Q$1073)&lt;&gt;ROW(Q577))*(Q$2:Q$1073&lt;&gt;""))),"")</f>
        <v>0.15222241747474585</v>
      </c>
      <c r="X577" t="str" cm="1">
        <f t="array" ref="X577">IFERROR(AVERAGE(_xlfn._xlws.FILTER(R$2:R$1073,($C$2:$C$1073=$C577)*($E$2:$E$1073=$E577)*(ROW(R$2:R$1073)&lt;&gt;ROW(R577))*(R$2:R$1073&lt;&gt;""))),"")</f>
        <v/>
      </c>
      <c r="Y577" t="str" cm="1">
        <f t="array" ref="Y577">IFERROR(AVERAGE(_xlfn._xlws.FILTER(S$2:S$1073,($C$2:$C$1073=$C577)*($E$2:$E$1073=$E577)*(ROW(S$2:S$1073)&lt;&gt;ROW(S577))*(S$2:S$1073&lt;&gt;""))),"")</f>
        <v/>
      </c>
      <c r="Z577" t="str" cm="1">
        <f t="array" ref="Z577">IFERROR(AVERAGE(_xlfn._xlws.FILTER(T$2:T$1073,($C$2:$C$1073=$C577)*($E$2:$E$1073=$E577)*(ROW(T$2:T$1073)&lt;&gt;ROW(T577))*(T$2:T$1073&lt;&gt;""))),"")</f>
        <v/>
      </c>
      <c r="AA577" cm="1">
        <f t="array" ref="AA577">IFERROR(AVERAGE(_xlfn._xlws.FILTER(U$2:U$1073,($C$2:$C$1073=$C577)*($E$2:$E$1073=$E577)*(ROW(U$2:U$1073)&lt;&gt;ROW(U577))*(U$2:U$1073&lt;&gt;""))),"")</f>
        <v>2.8988498110700496</v>
      </c>
    </row>
    <row r="578" spans="1:27" x14ac:dyDescent="0.2">
      <c r="A578" s="7" t="s">
        <v>2252</v>
      </c>
      <c r="B578" t="str">
        <f t="shared" si="90"/>
        <v>HNFG IV кв. 2025</v>
      </c>
      <c r="C578">
        <v>2025</v>
      </c>
      <c r="D578">
        <f>SUMIFS(Дивиденды!$C:$C,Дивиденды!$A:$A,A578,Дивиденды!$I:$I,C578)</f>
        <v>32</v>
      </c>
      <c r="E578">
        <v>4</v>
      </c>
      <c r="F578">
        <f t="shared" si="91"/>
        <v>32</v>
      </c>
      <c r="G578">
        <f t="shared" si="92"/>
        <v>29.295714285714286</v>
      </c>
      <c r="H578">
        <f t="shared" si="93"/>
        <v>1</v>
      </c>
      <c r="I578">
        <f t="shared" si="100"/>
        <v>0.35714285714285715</v>
      </c>
      <c r="J578">
        <f t="shared" si="94"/>
        <v>-0.19232710752145377</v>
      </c>
      <c r="K578">
        <f t="shared" si="98"/>
        <v>-0.16878869270344959</v>
      </c>
      <c r="L578">
        <f t="shared" si="95"/>
        <v>0</v>
      </c>
      <c r="M578">
        <f t="shared" si="99"/>
        <v>0.14285714285714285</v>
      </c>
      <c r="N578">
        <f t="shared" si="96"/>
        <v>1</v>
      </c>
      <c r="O578">
        <f t="shared" si="97"/>
        <v>0.42857142857142855</v>
      </c>
      <c r="P578" t="str">
        <f>IFERROR(LN('Дивиденды по годам'!I578),"")</f>
        <v/>
      </c>
      <c r="Q578" t="str">
        <f>IFERROR('Дивиденды по годам'!G578/'Дивиденды по годам'!I578, "")</f>
        <v/>
      </c>
      <c r="R578" t="str">
        <f>IFERROR(IF(AND('Дивиденды по годам'!N578&lt;&gt;"",'Дивиденды по годам'!U578&lt;&gt;"",'Дивиденды по годам'!U578&lt;&gt;0),'Дивиденды по годам'!N578/'Дивиденды по годам'!U578-1,""),"")</f>
        <v/>
      </c>
      <c r="S578" t="str">
        <f>IFERROR(IF(AND('Дивиденды по годам'!L578&lt;&gt;"",'Дивиденды по годам'!I578&lt;&gt;"",'Дивиденды по годам'!J578&lt;&gt;"",'Дивиденды по годам'!K578&lt;&gt;"",('Дивиденды по годам'!I578-'Дивиденды по годам'!J578-'Дивиденды по годам'!K578)&lt;&gt;0),'Дивиденды по годам'!L578/('Дивиденды по годам'!I578-'Дивиденды по годам'!J578-'Дивиденды по годам'!K578),""),"")</f>
        <v/>
      </c>
      <c r="T578" t="str">
        <f>IFERROR(IF(AND('Дивиденды по годам'!Q578&lt;&gt;"",'Дивиденды по годам'!I578&lt;&gt;"",'Дивиденды по годам'!V578&lt;&gt;"",('Дивиденды по годам'!I578+'Дивиденды по годам'!V578)&lt;&gt;0),'Дивиденды по годам'!Q578/(('Дивиденды по годам'!I578+'Дивиденды по годам'!V578)/2),""),"")</f>
        <v/>
      </c>
      <c r="U578" t="str">
        <f>IFERROR(IF(AND('Дивиденды по годам'!J578&lt;&gt;"",'Дивиденды по годам'!K578&lt;&gt;"",'Дивиденды по годам'!M578&lt;&gt;"",'Дивиденды по годам'!M578&lt;&gt;0),('Дивиденды по годам'!J578+'Дивиденды по годам'!K578)/'Дивиденды по годам'!M578,""),"")</f>
        <v/>
      </c>
      <c r="V578" cm="1">
        <f t="array" ref="V578">IFERROR(AVERAGE(_xlfn._xlws.FILTER(P$2:P$1073,($C$2:$C$1073=$C578)*($E$2:$E$1073=$E578)*(ROW(P$2:P$1073)&lt;&gt;ROW(P578))*(P$2:P$1073&lt;&gt;""))),"")</f>
        <v>26.183512711155618</v>
      </c>
      <c r="W578" cm="1">
        <f t="array" ref="W578">IFERROR(AVERAGE(_xlfn._xlws.FILTER(Q$2:Q$1073,($C$2:$C$1073=$C578)*($E$2:$E$1073=$E578)*(ROW(Q$2:Q$1073)&lt;&gt;ROW(Q578))*(Q$2:Q$1073&lt;&gt;""))),"")</f>
        <v>0.42364014522274984</v>
      </c>
      <c r="X578" cm="1">
        <f t="array" ref="X578">IFERROR(AVERAGE(_xlfn._xlws.FILTER(R$2:R$1073,($C$2:$C$1073=$C578)*($E$2:$E$1073=$E578)*(ROW(R$2:R$1073)&lt;&gt;ROW(R578))*(R$2:R$1073&lt;&gt;""))),"")</f>
        <v>6.6096126428947105E-2</v>
      </c>
      <c r="Y578" cm="1">
        <f t="array" ref="Y578">IFERROR(AVERAGE(_xlfn._xlws.FILTER(S$2:S$1073,($C$2:$C$1073=$C578)*($E$2:$E$1073=$E578)*(ROW(S$2:S$1073)&lt;&gt;ROW(S578))*(S$2:S$1073&lt;&gt;""))),"")</f>
        <v>0.94174952343815033</v>
      </c>
      <c r="Z578" cm="1">
        <f t="array" ref="Z578">IFERROR(AVERAGE(_xlfn._xlws.FILTER(T$2:T$1073,($C$2:$C$1073=$C578)*($E$2:$E$1073=$E578)*(ROW(T$2:T$1073)&lt;&gt;ROW(T578))*(T$2:T$1073&lt;&gt;""))),"")</f>
        <v>1.3107153079830167E-2</v>
      </c>
      <c r="AA578" cm="1">
        <f t="array" ref="AA578">IFERROR(AVERAGE(_xlfn._xlws.FILTER(U$2:U$1073,($C$2:$C$1073=$C578)*($E$2:$E$1073=$E578)*(ROW(U$2:U$1073)&lt;&gt;ROW(U578))*(U$2:U$1073&lt;&gt;""))),"")</f>
        <v>6.2968354519658218</v>
      </c>
    </row>
    <row r="579" spans="1:27" x14ac:dyDescent="0.2">
      <c r="A579" s="7" t="s">
        <v>2252</v>
      </c>
      <c r="B579" t="str">
        <f t="shared" ref="B579:B642" si="101">A579&amp;" "&amp;
"IV"
&amp;" кв. "&amp;C579</f>
        <v>HNFG IV кв. 2024</v>
      </c>
      <c r="C579">
        <v>2024</v>
      </c>
      <c r="D579">
        <f>SUMIFS(Дивиденды!$C:$C,Дивиденды!$A:$A,A579,Дивиденды!$I:$I,C579)</f>
        <v>39.619999999999997</v>
      </c>
      <c r="E579">
        <v>4</v>
      </c>
      <c r="F579">
        <f t="shared" ref="F579:F642" si="102">D579</f>
        <v>39.619999999999997</v>
      </c>
      <c r="G579">
        <f t="shared" ref="G579:G642" si="103">AVERAGEIFS($D:$D,$E:$E,E579,$C:$C,C579,$A:$A,"&lt;&gt;"&amp;A579)</f>
        <v>59.681428571428569</v>
      </c>
      <c r="H579">
        <f t="shared" ref="H579:H642" si="104">IF(D579&gt;0,1,0)</f>
        <v>1</v>
      </c>
      <c r="I579">
        <f t="shared" si="100"/>
        <v>0.5</v>
      </c>
      <c r="J579">
        <f t="shared" ref="J579:J642" si="105">IF(A580&lt;&gt;A579,"",IF(D579=D580,0,IF(AND(D580=0,D579&lt;&gt;0), 1,(D579-D580)/D580)))</f>
        <v>3.7279236276849632</v>
      </c>
      <c r="K579">
        <f t="shared" si="98"/>
        <v>-5.482451375687071E-2</v>
      </c>
      <c r="L579">
        <f t="shared" ref="L579:L642" si="106">IF(J579&lt;&gt;"",IF(J579&gt;0,1,0),"")</f>
        <v>1</v>
      </c>
      <c r="M579">
        <f t="shared" si="99"/>
        <v>0.2857142857142857</v>
      </c>
      <c r="N579">
        <f t="shared" ref="N579:N642" si="107">IF(J579&lt;&gt;"",IF(J579&lt;0,1,0),"")</f>
        <v>0</v>
      </c>
      <c r="O579">
        <f t="shared" ref="O579:O642" si="108">IFERROR(AVERAGEIFS($N:$N,$E:$E,E579,$C:$C,C579,$A:$A,"&lt;&gt;"&amp;A579),"")</f>
        <v>0.2857142857142857</v>
      </c>
      <c r="P579">
        <f>IFERROR(LN('Дивиденды по годам'!I579),"")</f>
        <v>23.839639368655511</v>
      </c>
      <c r="Q579">
        <f>IFERROR('Дивиденды по годам'!G579/'Дивиденды по годам'!I579, "")</f>
        <v>0.17827784667193927</v>
      </c>
      <c r="R579">
        <f>IFERROR(IF(AND('Дивиденды по годам'!N579&lt;&gt;"",'Дивиденды по годам'!U579&lt;&gt;"",'Дивиденды по годам'!U579&lt;&gt;0),'Дивиденды по годам'!N579/'Дивиденды по годам'!U579-1,""),"")</f>
        <v>0.24328508165740903</v>
      </c>
      <c r="S579">
        <f>IFERROR(IF(AND('Дивиденды по годам'!L579&lt;&gt;"",'Дивиденды по годам'!I579&lt;&gt;"",'Дивиденды по годам'!J579&lt;&gt;"",'Дивиденды по годам'!K579&lt;&gt;"",('Дивиденды по годам'!I579-'Дивиденды по годам'!J579-'Дивиденды по годам'!K579)&lt;&gt;0),'Дивиденды по годам'!L579/('Дивиденды по годам'!I579-'Дивиденды по годам'!J579-'Дивиденды по годам'!K579),""),"")</f>
        <v>0.49615714968319014</v>
      </c>
      <c r="T579">
        <f>IFERROR(IF(AND('Дивиденды по годам'!Q579&lt;&gt;"",'Дивиденды по годам'!I579&lt;&gt;"",'Дивиденды по годам'!V579&lt;&gt;"",('Дивиденды по годам'!I579+'Дивиденды по годам'!V579)&lt;&gt;0),'Дивиденды по годам'!Q579/(('Дивиденды по годам'!I579+'Дивиденды по годам'!V579)/2),""),"")</f>
        <v>0.14303385406590186</v>
      </c>
      <c r="U579">
        <f>IFERROR(IF(AND('Дивиденды по годам'!J579&lt;&gt;"",'Дивиденды по годам'!K579&lt;&gt;"",'Дивиденды по годам'!M579&lt;&gt;"",'Дивиденды по годам'!M579&lt;&gt;0),('Дивиденды по годам'!J579+'Дивиденды по годам'!K579)/'Дивиденды по годам'!M579,""),"")</f>
        <v>1.5261943007814895</v>
      </c>
      <c r="V579" cm="1">
        <f t="array" ref="V579">IFERROR(AVERAGE(_xlfn._xlws.FILTER(P$2:P$1073,($C$2:$C$1073=$C579)*($E$2:$E$1073=$E579)*(ROW(P$2:P$1073)&lt;&gt;ROW(P579))*(P$2:P$1073&lt;&gt;""))),"")</f>
        <v>25.688026595645699</v>
      </c>
      <c r="W579" cm="1">
        <f t="array" ref="W579">IFERROR(AVERAGE(_xlfn._xlws.FILTER(Q$2:Q$1073,($C$2:$C$1073=$C579)*($E$2:$E$1073=$E579)*(ROW(Q$2:Q$1073)&lt;&gt;ROW(Q579))*(Q$2:Q$1073&lt;&gt;""))),"")</f>
        <v>0.26897060154486913</v>
      </c>
      <c r="X579" cm="1">
        <f t="array" ref="X579">IFERROR(AVERAGE(_xlfn._xlws.FILTER(R$2:R$1073,($C$2:$C$1073=$C579)*($E$2:$E$1073=$E579)*(ROW(R$2:R$1073)&lt;&gt;ROW(R579))*(R$2:R$1073&lt;&gt;""))),"")</f>
        <v>0.26704938571314046</v>
      </c>
      <c r="Y579" cm="1">
        <f t="array" ref="Y579">IFERROR(AVERAGE(_xlfn._xlws.FILTER(S$2:S$1073,($C$2:$C$1073=$C579)*($E$2:$E$1073=$E579)*(ROW(S$2:S$1073)&lt;&gt;ROW(S579))*(S$2:S$1073&lt;&gt;""))),"")</f>
        <v>1.2192609299196664</v>
      </c>
      <c r="Z579" cm="1">
        <f t="array" ref="Z579">IFERROR(AVERAGE(_xlfn._xlws.FILTER(T$2:T$1073,($C$2:$C$1073=$C579)*($E$2:$E$1073=$E579)*(ROW(T$2:T$1073)&lt;&gt;ROW(T579))*(T$2:T$1073&lt;&gt;""))),"")</f>
        <v>6.7950051590362562E-2</v>
      </c>
      <c r="AA579" cm="1">
        <f t="array" ref="AA579">IFERROR(AVERAGE(_xlfn._xlws.FILTER(U$2:U$1073,($C$2:$C$1073=$C579)*($E$2:$E$1073=$E579)*(ROW(U$2:U$1073)&lt;&gt;ROW(U579))*(U$2:U$1073&lt;&gt;""))),"")</f>
        <v>4.166840911597971</v>
      </c>
    </row>
    <row r="580" spans="1:27" x14ac:dyDescent="0.2">
      <c r="A580" s="7" t="s">
        <v>2252</v>
      </c>
      <c r="B580" t="str">
        <f t="shared" si="101"/>
        <v>HNFG IV кв. 2023</v>
      </c>
      <c r="C580">
        <v>2023</v>
      </c>
      <c r="D580">
        <f>SUMIFS(Дивиденды!$C:$C,Дивиденды!$A:$A,A580,Дивиденды!$I:$I,C580)</f>
        <v>8.3800000000000008</v>
      </c>
      <c r="E580">
        <v>4</v>
      </c>
      <c r="F580">
        <f t="shared" si="102"/>
        <v>8.3800000000000008</v>
      </c>
      <c r="G580">
        <f t="shared" si="103"/>
        <v>90.141428571428577</v>
      </c>
      <c r="H580">
        <f t="shared" si="104"/>
        <v>1</v>
      </c>
      <c r="I580">
        <f t="shared" si="100"/>
        <v>0.42857142857142855</v>
      </c>
      <c r="J580">
        <f t="shared" si="105"/>
        <v>1</v>
      </c>
      <c r="K580">
        <f t="shared" ref="K580:K643" si="109">IFERROR(AVERAGEIFS($J:$J,$E:$E,E580,$C:$C,C580,$A:$A,"&lt;&gt;"&amp;A580),"")</f>
        <v>0.22669887955182075</v>
      </c>
      <c r="L580">
        <f t="shared" si="106"/>
        <v>1</v>
      </c>
      <c r="M580">
        <f t="shared" si="99"/>
        <v>0.35714285714285715</v>
      </c>
      <c r="N580">
        <f t="shared" si="107"/>
        <v>0</v>
      </c>
      <c r="O580">
        <f t="shared" si="108"/>
        <v>0</v>
      </c>
      <c r="P580">
        <f>IFERROR(LN('Дивиденды по годам'!I580),"")</f>
        <v>23.722901283201509</v>
      </c>
      <c r="Q580">
        <f>IFERROR('Дивиденды по годам'!G580/'Дивиденды по годам'!I580, "")</f>
        <v>0.14758367974525227</v>
      </c>
      <c r="R580">
        <f>IFERROR(IF(AND('Дивиденды по годам'!N580&lt;&gt;"",'Дивиденды по годам'!U580&lt;&gt;"",'Дивиденды по годам'!U580&lt;&gt;0),'Дивиденды по годам'!N580/'Дивиденды по годам'!U580-1,""),"")</f>
        <v>0.34823918580139357</v>
      </c>
      <c r="S580">
        <f>IFERROR(IF(AND('Дивиденды по годам'!L580&lt;&gt;"",'Дивиденды по годам'!I580&lt;&gt;"",'Дивиденды по годам'!J580&lt;&gt;"",'Дивиденды по годам'!K580&lt;&gt;"",('Дивиденды по годам'!I580-'Дивиденды по годам'!J580-'Дивиденды по годам'!K580)&lt;&gt;0),'Дивиденды по годам'!L580/('Дивиденды по годам'!I580-'Дивиденды по годам'!J580-'Дивиденды по годам'!K580),""),"")</f>
        <v>0.42466330602351871</v>
      </c>
      <c r="T580">
        <f>IFERROR(IF(AND('Дивиденды по годам'!Q580&lt;&gt;"",'Дивиденды по годам'!I580&lt;&gt;"",'Дивиденды по годам'!V580&lt;&gt;"",('Дивиденды по годам'!I580+'Дивиденды по годам'!V580)&lt;&gt;0),'Дивиденды по годам'!Q580/(('Дивиденды по годам'!I580+'Дивиденды по годам'!V580)/2),""),"")</f>
        <v>0.1363563721875625</v>
      </c>
      <c r="U580">
        <f>IFERROR(IF(AND('Дивиденды по годам'!J580&lt;&gt;"",'Дивиденды по годам'!K580&lt;&gt;"",'Дивиденды по годам'!M580&lt;&gt;"",'Дивиденды по годам'!M580&lt;&gt;0),('Дивиденды по годам'!J580+'Дивиденды по годам'!K580)/'Дивиденды по годам'!M580,""),"")</f>
        <v>1.5713525363498355</v>
      </c>
      <c r="V580" cm="1">
        <f t="array" ref="V580">IFERROR(AVERAGE(_xlfn._xlws.FILTER(P$2:P$1073,($C$2:$C$1073=$C580)*($E$2:$E$1073=$E580)*(ROW(P$2:P$1073)&lt;&gt;ROW(P580))*(P$2:P$1073&lt;&gt;""))),"")</f>
        <v>25.48440198858281</v>
      </c>
      <c r="W580" cm="1">
        <f t="array" ref="W580">IFERROR(AVERAGE(_xlfn._xlws.FILTER(Q$2:Q$1073,($C$2:$C$1073=$C580)*($E$2:$E$1073=$E580)*(ROW(Q$2:Q$1073)&lt;&gt;ROW(Q580))*(Q$2:Q$1073&lt;&gt;""))),"")</f>
        <v>0.25773052245917744</v>
      </c>
      <c r="X580" cm="1">
        <f t="array" ref="X580">IFERROR(AVERAGE(_xlfn._xlws.FILTER(R$2:R$1073,($C$2:$C$1073=$C580)*($E$2:$E$1073=$E580)*(ROW(R$2:R$1073)&lt;&gt;ROW(R580))*(R$2:R$1073&lt;&gt;""))),"")</f>
        <v>0.23765273276475299</v>
      </c>
      <c r="Y580" cm="1">
        <f t="array" ref="Y580">IFERROR(AVERAGE(_xlfn._xlws.FILTER(S$2:S$1073,($C$2:$C$1073=$C580)*($E$2:$E$1073=$E580)*(ROW(S$2:S$1073)&lt;&gt;ROW(S580))*(S$2:S$1073&lt;&gt;""))),"")</f>
        <v>1.3046604939445916</v>
      </c>
      <c r="Z580" cm="1">
        <f t="array" ref="Z580">IFERROR(AVERAGE(_xlfn._xlws.FILTER(T$2:T$1073,($C$2:$C$1073=$C580)*($E$2:$E$1073=$E580)*(ROW(T$2:T$1073)&lt;&gt;ROW(T580))*(T$2:T$1073&lt;&gt;""))),"")</f>
        <v>0.10814129578974951</v>
      </c>
      <c r="AA580" cm="1">
        <f t="array" ref="AA580">IFERROR(AVERAGE(_xlfn._xlws.FILTER(U$2:U$1073,($C$2:$C$1073=$C580)*($E$2:$E$1073=$E580)*(ROW(U$2:U$1073)&lt;&gt;ROW(U580))*(U$2:U$1073&lt;&gt;""))),"")</f>
        <v>2.6600584287341746</v>
      </c>
    </row>
    <row r="581" spans="1:27" x14ac:dyDescent="0.2">
      <c r="A581" s="7" t="s">
        <v>2252</v>
      </c>
      <c r="B581" t="str">
        <f t="shared" si="101"/>
        <v>HNFG IV кв. 2022</v>
      </c>
      <c r="C581">
        <v>2022</v>
      </c>
      <c r="D581">
        <f>SUMIFS(Дивиденды!$C:$C,Дивиденды!$A:$A,A581,Дивиденды!$I:$I,C581)</f>
        <v>0</v>
      </c>
      <c r="E581">
        <v>4</v>
      </c>
      <c r="F581">
        <f t="shared" si="102"/>
        <v>0</v>
      </c>
      <c r="G581">
        <f t="shared" si="103"/>
        <v>80.180000000000021</v>
      </c>
      <c r="H581">
        <f t="shared" si="104"/>
        <v>0</v>
      </c>
      <c r="I581">
        <f t="shared" si="100"/>
        <v>0.2857142857142857</v>
      </c>
      <c r="J581">
        <f t="shared" si="105"/>
        <v>0</v>
      </c>
      <c r="K581">
        <f t="shared" si="109"/>
        <v>0.49583624512073399</v>
      </c>
      <c r="L581">
        <f t="shared" si="106"/>
        <v>0</v>
      </c>
      <c r="M581">
        <f t="shared" si="99"/>
        <v>0.2857142857142857</v>
      </c>
      <c r="N581">
        <f t="shared" si="107"/>
        <v>0</v>
      </c>
      <c r="O581">
        <f t="shared" si="108"/>
        <v>7.1428571428571425E-2</v>
      </c>
      <c r="P581">
        <f>IFERROR(LN('Дивиденды по годам'!I581),"")</f>
        <v>23.391784529936924</v>
      </c>
      <c r="Q581">
        <f>IFERROR('Дивиденды по годам'!G581/'Дивиденды по годам'!I581, "")</f>
        <v>0.15186077422938921</v>
      </c>
      <c r="R581">
        <f>IFERROR(IF(AND('Дивиденды по годам'!N581&lt;&gt;"",'Дивиденды по годам'!U581&lt;&gt;"",'Дивиденды по годам'!U581&lt;&gt;0),'Дивиденды по годам'!N581/'Дивиденды по годам'!U581-1,""),"")</f>
        <v>0.30569193551012641</v>
      </c>
      <c r="S581">
        <f>IFERROR(IF(AND('Дивиденды по годам'!L581&lt;&gt;"",'Дивиденды по годам'!I581&lt;&gt;"",'Дивиденды по годам'!J581&lt;&gt;"",'Дивиденды по годам'!K581&lt;&gt;"",('Дивиденды по годам'!I581-'Дивиденды по годам'!J581-'Дивиденды по годам'!K581)&lt;&gt;0),'Дивиденды по годам'!L581/('Дивиденды по годам'!I581-'Дивиденды по годам'!J581-'Дивиденды по годам'!K581),""),"")</f>
        <v>0.38152946177563013</v>
      </c>
      <c r="T581">
        <f>IFERROR(IF(AND('Дивиденды по годам'!Q581&lt;&gt;"",'Дивиденды по годам'!I581&lt;&gt;"",'Дивиденды по годам'!V581&lt;&gt;"",('Дивиденды по годам'!I581+'Дивиденды по годам'!V581)&lt;&gt;0),'Дивиденды по годам'!Q581/(('Дивиденды по годам'!I581+'Дивиденды по годам'!V581)/2),""),"")</f>
        <v>0.15228118047823699</v>
      </c>
      <c r="U581">
        <f>IFERROR(IF(AND('Дивиденды по годам'!J581&lt;&gt;"",'Дивиденды по годам'!K581&lt;&gt;"",'Дивиденды по годам'!M581&lt;&gt;"",'Дивиденды по годам'!M581&lt;&gt;0),('Дивиденды по годам'!J581+'Дивиденды по годам'!K581)/'Дивиденды по годам'!M581,""),"")</f>
        <v>3.8760872924966883</v>
      </c>
      <c r="V581" cm="1">
        <f t="array" ref="V581">IFERROR(AVERAGE(_xlfn._xlws.FILTER(P$2:P$1073,($C$2:$C$1073=$C581)*($E$2:$E$1073=$E581)*(ROW(P$2:P$1073)&lt;&gt;ROW(P581))*(P$2:P$1073&lt;&gt;""))),"")</f>
        <v>25.423708779015879</v>
      </c>
      <c r="W581" cm="1">
        <f t="array" ref="W581">IFERROR(AVERAGE(_xlfn._xlws.FILTER(Q$2:Q$1073,($C$2:$C$1073=$C581)*($E$2:$E$1073=$E581)*(ROW(Q$2:Q$1073)&lt;&gt;ROW(Q581))*(Q$2:Q$1073&lt;&gt;""))),"")</f>
        <v>0.25630612941959513</v>
      </c>
      <c r="X581" cm="1">
        <f t="array" ref="X581">IFERROR(AVERAGE(_xlfn._xlws.FILTER(R$2:R$1073,($C$2:$C$1073=$C581)*($E$2:$E$1073=$E581)*(ROW(R$2:R$1073)&lt;&gt;ROW(R581))*(R$2:R$1073&lt;&gt;""))),"")</f>
        <v>0.19599354455963106</v>
      </c>
      <c r="Y581" cm="1">
        <f t="array" ref="Y581">IFERROR(AVERAGE(_xlfn._xlws.FILTER(S$2:S$1073,($C$2:$C$1073=$C581)*($E$2:$E$1073=$E581)*(ROW(S$2:S$1073)&lt;&gt;ROW(S581))*(S$2:S$1073&lt;&gt;""))),"")</f>
        <v>1.416712390783667</v>
      </c>
      <c r="Z581" cm="1">
        <f t="array" ref="Z581">IFERROR(AVERAGE(_xlfn._xlws.FILTER(T$2:T$1073,($C$2:$C$1073=$C581)*($E$2:$E$1073=$E581)*(ROW(T$2:T$1073)&lt;&gt;ROW(T581))*(T$2:T$1073&lt;&gt;""))),"")</f>
        <v>9.6138408775146178E-2</v>
      </c>
      <c r="AA581" cm="1">
        <f t="array" ref="AA581">IFERROR(AVERAGE(_xlfn._xlws.FILTER(U$2:U$1073,($C$2:$C$1073=$C581)*($E$2:$E$1073=$E581)*(ROW(U$2:U$1073)&lt;&gt;ROW(U581))*(U$2:U$1073&lt;&gt;""))),"")</f>
        <v>2.0315931956200033</v>
      </c>
    </row>
    <row r="582" spans="1:27" x14ac:dyDescent="0.2">
      <c r="A582" s="7" t="s">
        <v>2252</v>
      </c>
      <c r="B582" t="str">
        <f t="shared" si="101"/>
        <v>HNFG IV кв. 2021</v>
      </c>
      <c r="C582">
        <v>2021</v>
      </c>
      <c r="D582">
        <f>SUMIFS(Дивиденды!$C:$C,Дивиденды!$A:$A,A582,Дивиденды!$I:$I,C582)</f>
        <v>0</v>
      </c>
      <c r="E582">
        <v>4</v>
      </c>
      <c r="F582">
        <f t="shared" si="102"/>
        <v>0</v>
      </c>
      <c r="G582">
        <f t="shared" si="103"/>
        <v>31.931428571428572</v>
      </c>
      <c r="H582">
        <f t="shared" si="104"/>
        <v>0</v>
      </c>
      <c r="I582">
        <f t="shared" si="100"/>
        <v>0.2857142857142857</v>
      </c>
      <c r="J582">
        <f t="shared" si="105"/>
        <v>0</v>
      </c>
      <c r="K582">
        <f t="shared" si="109"/>
        <v>0.1975016604235505</v>
      </c>
      <c r="L582">
        <f t="shared" si="106"/>
        <v>0</v>
      </c>
      <c r="M582">
        <f t="shared" si="99"/>
        <v>0.21428571428571427</v>
      </c>
      <c r="N582">
        <f t="shared" si="107"/>
        <v>0</v>
      </c>
      <c r="O582">
        <f t="shared" si="108"/>
        <v>7.1428571428571425E-2</v>
      </c>
      <c r="P582">
        <f>IFERROR(LN('Дивиденды по годам'!I582),"")</f>
        <v>22.989137048058446</v>
      </c>
      <c r="Q582">
        <f>IFERROR('Дивиденды по годам'!G582/'Дивиденды по годам'!I582, "")</f>
        <v>0.10296405868384097</v>
      </c>
      <c r="R582" t="str">
        <f>IFERROR(IF(AND('Дивиденды по годам'!N582&lt;&gt;"",'Дивиденды по годам'!U582&lt;&gt;"",'Дивиденды по годам'!U582&lt;&gt;0),'Дивиденды по годам'!N582/'Дивиденды по годам'!U582-1,""),"")</f>
        <v/>
      </c>
      <c r="S582">
        <f>IFERROR(IF(AND('Дивиденды по годам'!L582&lt;&gt;"",'Дивиденды по годам'!I582&lt;&gt;"",'Дивиденды по годам'!J582&lt;&gt;"",'Дивиденды по годам'!K582&lt;&gt;"",('Дивиденды по годам'!I582-'Дивиденды по годам'!J582-'Дивиденды по годам'!K582)&lt;&gt;0),'Дивиденды по годам'!L582/('Дивиденды по годам'!I582-'Дивиденды по годам'!J582-'Дивиденды по годам'!K582),""),"")</f>
        <v>-1.0819092842110045</v>
      </c>
      <c r="T582" t="str">
        <f>IFERROR(IF(AND('Дивиденды по годам'!Q582&lt;&gt;"",'Дивиденды по годам'!I582&lt;&gt;"",'Дивиденды по годам'!V582&lt;&gt;"",('Дивиденды по годам'!I582+'Дивиденды по годам'!V582)&lt;&gt;0),'Дивиденды по годам'!Q582/(('Дивиденды по годам'!I582+'Дивиденды по годам'!V582)/2),""),"")</f>
        <v/>
      </c>
      <c r="U582">
        <f>IFERROR(IF(AND('Дивиденды по годам'!J582&lt;&gt;"",'Дивиденды по годам'!K582&lt;&gt;"",'Дивиденды по годам'!M582&lt;&gt;"",'Дивиденды по годам'!M582&lt;&gt;0),('Дивиденды по годам'!J582+'Дивиденды по годам'!K582)/'Дивиденды по годам'!M582,""),"")</f>
        <v>-10.520070673262575</v>
      </c>
      <c r="V582" cm="1">
        <f t="array" ref="V582">IFERROR(AVERAGE(_xlfn._xlws.FILTER(P$2:P$1073,($C$2:$C$1073=$C582)*($E$2:$E$1073=$E582)*(ROW(P$2:P$1073)&lt;&gt;ROW(P582))*(P$2:P$1073&lt;&gt;""))),"")</f>
        <v>25.371206283573958</v>
      </c>
      <c r="W582" cm="1">
        <f t="array" ref="W582">IFERROR(AVERAGE(_xlfn._xlws.FILTER(Q$2:Q$1073,($C$2:$C$1073=$C582)*($E$2:$E$1073=$E582)*(ROW(Q$2:Q$1073)&lt;&gt;ROW(Q582))*(Q$2:Q$1073&lt;&gt;""))),"")</f>
        <v>0.24628388217862388</v>
      </c>
      <c r="X582" cm="1">
        <f t="array" ref="X582">IFERROR(AVERAGE(_xlfn._xlws.FILTER(R$2:R$1073,($C$2:$C$1073=$C582)*($E$2:$E$1073=$E582)*(ROW(R$2:R$1073)&lt;&gt;ROW(R582))*(R$2:R$1073&lt;&gt;""))),"")</f>
        <v>0.31760921072336168</v>
      </c>
      <c r="Y582" cm="1">
        <f t="array" ref="Y582">IFERROR(AVERAGE(_xlfn._xlws.FILTER(S$2:S$1073,($C$2:$C$1073=$C582)*($E$2:$E$1073=$E582)*(ROW(S$2:S$1073)&lt;&gt;ROW(S582))*(S$2:S$1073&lt;&gt;""))),"")</f>
        <v>1.5225130929615078</v>
      </c>
      <c r="Z582" cm="1">
        <f t="array" ref="Z582">IFERROR(AVERAGE(_xlfn._xlws.FILTER(T$2:T$1073,($C$2:$C$1073=$C582)*($E$2:$E$1073=$E582)*(ROW(T$2:T$1073)&lt;&gt;ROW(T582))*(T$2:T$1073&lt;&gt;""))),"")</f>
        <v>0.10239490834794492</v>
      </c>
      <c r="AA582" cm="1">
        <f t="array" ref="AA582">IFERROR(AVERAGE(_xlfn._xlws.FILTER(U$2:U$1073,($C$2:$C$1073=$C582)*($E$2:$E$1073=$E582)*(ROW(U$2:U$1073)&lt;&gt;ROW(U582))*(U$2:U$1073&lt;&gt;""))),"")</f>
        <v>19.225190238724743</v>
      </c>
    </row>
    <row r="583" spans="1:27" x14ac:dyDescent="0.2">
      <c r="A583" s="7" t="s">
        <v>2252</v>
      </c>
      <c r="B583" t="str">
        <f t="shared" si="101"/>
        <v>HNFG IV кв. 2020</v>
      </c>
      <c r="C583">
        <v>2020</v>
      </c>
      <c r="D583">
        <f>SUMIFS(Дивиденды!$C:$C,Дивиденды!$A:$A,A583,Дивиденды!$I:$I,C583)</f>
        <v>0</v>
      </c>
      <c r="E583">
        <v>4</v>
      </c>
      <c r="F583">
        <f t="shared" si="102"/>
        <v>0</v>
      </c>
      <c r="G583">
        <f t="shared" si="103"/>
        <v>43.293571428571433</v>
      </c>
      <c r="H583">
        <f t="shared" si="104"/>
        <v>0</v>
      </c>
      <c r="I583">
        <f t="shared" si="100"/>
        <v>0.2857142857142857</v>
      </c>
      <c r="J583">
        <f t="shared" si="105"/>
        <v>0</v>
      </c>
      <c r="K583">
        <f t="shared" si="109"/>
        <v>0.26831617204892738</v>
      </c>
      <c r="L583">
        <f t="shared" si="106"/>
        <v>0</v>
      </c>
      <c r="M583">
        <f t="shared" si="99"/>
        <v>0.2857142857142857</v>
      </c>
      <c r="N583">
        <f t="shared" si="107"/>
        <v>0</v>
      </c>
      <c r="O583">
        <f t="shared" si="108"/>
        <v>0</v>
      </c>
      <c r="P583" t="str">
        <f>IFERROR(LN('Дивиденды по годам'!I583),"")</f>
        <v/>
      </c>
      <c r="Q583" t="str">
        <f>IFERROR('Дивиденды по годам'!G583/'Дивиденды по годам'!I583, "")</f>
        <v/>
      </c>
      <c r="R583" t="str">
        <f>IFERROR(IF(AND('Дивиденды по годам'!N583&lt;&gt;"",'Дивиденды по годам'!U583&lt;&gt;"",'Дивиденды по годам'!U583&lt;&gt;0),'Дивиденды по годам'!N583/'Дивиденды по годам'!U583-1,""),"")</f>
        <v/>
      </c>
      <c r="S583" t="str">
        <f>IFERROR(IF(AND('Дивиденды по годам'!L583&lt;&gt;"",'Дивиденды по годам'!I583&lt;&gt;"",'Дивиденды по годам'!J583&lt;&gt;"",'Дивиденды по годам'!K583&lt;&gt;"",('Дивиденды по годам'!I583-'Дивиденды по годам'!J583-'Дивиденды по годам'!K583)&lt;&gt;0),'Дивиденды по годам'!L583/('Дивиденды по годам'!I583-'Дивиденды по годам'!J583-'Дивиденды по годам'!K583),""),"")</f>
        <v/>
      </c>
      <c r="T583" t="str">
        <f>IFERROR(IF(AND('Дивиденды по годам'!Q583&lt;&gt;"",'Дивиденды по годам'!I583&lt;&gt;"",'Дивиденды по годам'!V583&lt;&gt;"",('Дивиденды по годам'!I583+'Дивиденды по годам'!V583)&lt;&gt;0),'Дивиденды по годам'!Q583/(('Дивиденды по годам'!I583+'Дивиденды по годам'!V583)/2),""),"")</f>
        <v/>
      </c>
      <c r="U583" t="str">
        <f>IFERROR(IF(AND('Дивиденды по годам'!J583&lt;&gt;"",'Дивиденды по годам'!K583&lt;&gt;"",'Дивиденды по годам'!M583&lt;&gt;"",'Дивиденды по годам'!M583&lt;&gt;0),('Дивиденды по годам'!J583+'Дивиденды по годам'!K583)/'Дивиденды по годам'!M583,""),"")</f>
        <v/>
      </c>
      <c r="V583" cm="1">
        <f t="array" ref="V583">IFERROR(AVERAGE(_xlfn._xlws.FILTER(P$2:P$1073,($C$2:$C$1073=$C583)*($E$2:$E$1073=$E583)*(ROW(P$2:P$1073)&lt;&gt;ROW(P583))*(P$2:P$1073&lt;&gt;""))),"")</f>
        <v>25.279360907920736</v>
      </c>
      <c r="W583" cm="1">
        <f t="array" ref="W583">IFERROR(AVERAGE(_xlfn._xlws.FILTER(Q$2:Q$1073,($C$2:$C$1073=$C583)*($E$2:$E$1073=$E583)*(ROW(Q$2:Q$1073)&lt;&gt;ROW(Q583))*(Q$2:Q$1073&lt;&gt;""))),"")</f>
        <v>0.26156752075221612</v>
      </c>
      <c r="X583" cm="1">
        <f t="array" ref="X583">IFERROR(AVERAGE(_xlfn._xlws.FILTER(R$2:R$1073,($C$2:$C$1073=$C583)*($E$2:$E$1073=$E583)*(ROW(R$2:R$1073)&lt;&gt;ROW(R583))*(R$2:R$1073&lt;&gt;""))),"")</f>
        <v>9.6830410579929804E-2</v>
      </c>
      <c r="Y583" cm="1">
        <f t="array" ref="Y583">IFERROR(AVERAGE(_xlfn._xlws.FILTER(S$2:S$1073,($C$2:$C$1073=$C583)*($E$2:$E$1073=$E583)*(ROW(S$2:S$1073)&lt;&gt;ROW(S583))*(S$2:S$1073&lt;&gt;""))),"")</f>
        <v>1.7199758573549004</v>
      </c>
      <c r="Z583" cm="1">
        <f t="array" ref="Z583">IFERROR(AVERAGE(_xlfn._xlws.FILTER(T$2:T$1073,($C$2:$C$1073=$C583)*($E$2:$E$1073=$E583)*(ROW(T$2:T$1073)&lt;&gt;ROW(T583))*(T$2:T$1073&lt;&gt;""))),"")</f>
        <v>6.7482119215201988E-2</v>
      </c>
      <c r="AA583" cm="1">
        <f t="array" ref="AA583">IFERROR(AVERAGE(_xlfn._xlws.FILTER(U$2:U$1073,($C$2:$C$1073=$C583)*($E$2:$E$1073=$E583)*(ROW(U$2:U$1073)&lt;&gt;ROW(U583))*(U$2:U$1073&lt;&gt;""))),"")</f>
        <v>-10.291341252885539</v>
      </c>
    </row>
    <row r="584" spans="1:27" x14ac:dyDescent="0.2">
      <c r="A584" s="7" t="s">
        <v>2252</v>
      </c>
      <c r="B584" t="str">
        <f t="shared" si="101"/>
        <v>HNFG IV кв. 2019</v>
      </c>
      <c r="C584">
        <v>2019</v>
      </c>
      <c r="D584">
        <f>SUMIFS(Дивиденды!$C:$C,Дивиденды!$A:$A,A584,Дивиденды!$I:$I,C584)</f>
        <v>0</v>
      </c>
      <c r="E584">
        <v>4</v>
      </c>
      <c r="F584">
        <f t="shared" si="102"/>
        <v>0</v>
      </c>
      <c r="G584">
        <f t="shared" si="103"/>
        <v>24.398571428571426</v>
      </c>
      <c r="H584">
        <f t="shared" si="104"/>
        <v>0</v>
      </c>
      <c r="I584">
        <f t="shared" si="100"/>
        <v>0.21428571428571427</v>
      </c>
      <c r="J584">
        <f t="shared" si="105"/>
        <v>0</v>
      </c>
      <c r="K584">
        <f t="shared" si="109"/>
        <v>0.10876410731109194</v>
      </c>
      <c r="L584">
        <f t="shared" si="106"/>
        <v>0</v>
      </c>
      <c r="M584">
        <f t="shared" si="99"/>
        <v>0.21428571428571427</v>
      </c>
      <c r="N584">
        <f t="shared" si="107"/>
        <v>0</v>
      </c>
      <c r="O584">
        <f t="shared" si="108"/>
        <v>0</v>
      </c>
      <c r="P584" t="str">
        <f>IFERROR(LN('Дивиденды по годам'!I584),"")</f>
        <v/>
      </c>
      <c r="Q584" t="str">
        <f>IFERROR('Дивиденды по годам'!G584/'Дивиденды по годам'!I584, "")</f>
        <v/>
      </c>
      <c r="R584" t="str">
        <f>IFERROR(IF(AND('Дивиденды по годам'!N584&lt;&gt;"",'Дивиденды по годам'!U584&lt;&gt;"",'Дивиденды по годам'!U584&lt;&gt;0),'Дивиденды по годам'!N584/'Дивиденды по годам'!U584-1,""),"")</f>
        <v/>
      </c>
      <c r="S584" t="str">
        <f>IFERROR(IF(AND('Дивиденды по годам'!L584&lt;&gt;"",'Дивиденды по годам'!I584&lt;&gt;"",'Дивиденды по годам'!J584&lt;&gt;"",'Дивиденды по годам'!K584&lt;&gt;"",('Дивиденды по годам'!I584-'Дивиденды по годам'!J584-'Дивиденды по годам'!K584)&lt;&gt;0),'Дивиденды по годам'!L584/('Дивиденды по годам'!I584-'Дивиденды по годам'!J584-'Дивиденды по годам'!K584),""),"")</f>
        <v/>
      </c>
      <c r="T584" t="str">
        <f>IFERROR(IF(AND('Дивиденды по годам'!Q584&lt;&gt;"",'Дивиденды по годам'!I584&lt;&gt;"",'Дивиденды по годам'!V584&lt;&gt;"",('Дивиденды по годам'!I584+'Дивиденды по годам'!V584)&lt;&gt;0),'Дивиденды по годам'!Q584/(('Дивиденды по годам'!I584+'Дивиденды по годам'!V584)/2),""),"")</f>
        <v/>
      </c>
      <c r="U584" t="str">
        <f>IFERROR(IF(AND('Дивиденды по годам'!J584&lt;&gt;"",'Дивиденды по годам'!K584&lt;&gt;"",'Дивиденды по годам'!M584&lt;&gt;"",'Дивиденды по годам'!M584&lt;&gt;0),('Дивиденды по годам'!J584+'Дивиденды по годам'!K584)/'Дивиденды по годам'!M584,""),"")</f>
        <v/>
      </c>
      <c r="V584" cm="1">
        <f t="array" ref="V584">IFERROR(AVERAGE(_xlfn._xlws.FILTER(P$2:P$1073,($C$2:$C$1073=$C584)*($E$2:$E$1073=$E584)*(ROW(P$2:P$1073)&lt;&gt;ROW(P584))*(P$2:P$1073&lt;&gt;""))),"")</f>
        <v>25.116045651461882</v>
      </c>
      <c r="W584" cm="1">
        <f t="array" ref="W584">IFERROR(AVERAGE(_xlfn._xlws.FILTER(Q$2:Q$1073,($C$2:$C$1073=$C584)*($E$2:$E$1073=$E584)*(ROW(Q$2:Q$1073)&lt;&gt;ROW(Q584))*(Q$2:Q$1073&lt;&gt;""))),"")</f>
        <v>0.27081451761564085</v>
      </c>
      <c r="X584" cm="1">
        <f t="array" ref="X584">IFERROR(AVERAGE(_xlfn._xlws.FILTER(R$2:R$1073,($C$2:$C$1073=$C584)*($E$2:$E$1073=$E584)*(ROW(R$2:R$1073)&lt;&gt;ROW(R584))*(R$2:R$1073&lt;&gt;""))),"")</f>
        <v>0.41255485917491075</v>
      </c>
      <c r="Y584" cm="1">
        <f t="array" ref="Y584">IFERROR(AVERAGE(_xlfn._xlws.FILTER(S$2:S$1073,($C$2:$C$1073=$C584)*($E$2:$E$1073=$E584)*(ROW(S$2:S$1073)&lt;&gt;ROW(S584))*(S$2:S$1073&lt;&gt;""))),"")</f>
        <v>0.89707160002220321</v>
      </c>
      <c r="Z584" cm="1">
        <f t="array" ref="Z584">IFERROR(AVERAGE(_xlfn._xlws.FILTER(T$2:T$1073,($C$2:$C$1073=$C584)*($E$2:$E$1073=$E584)*(ROW(T$2:T$1073)&lt;&gt;ROW(T584))*(T$2:T$1073&lt;&gt;""))),"")</f>
        <v>4.8479450567785541E-2</v>
      </c>
      <c r="AA584" cm="1">
        <f t="array" ref="AA584">IFERROR(AVERAGE(_xlfn._xlws.FILTER(U$2:U$1073,($C$2:$C$1073=$C584)*($E$2:$E$1073=$E584)*(ROW(U$2:U$1073)&lt;&gt;ROW(U584))*(U$2:U$1073&lt;&gt;""))),"")</f>
        <v>-2.6443211935212805</v>
      </c>
    </row>
    <row r="585" spans="1:27" x14ac:dyDescent="0.2">
      <c r="A585" s="7" t="s">
        <v>2252</v>
      </c>
      <c r="B585" t="str">
        <f t="shared" si="101"/>
        <v>HNFG IV кв. 2018</v>
      </c>
      <c r="C585">
        <v>2018</v>
      </c>
      <c r="D585">
        <f>SUMIFS(Дивиденды!$C:$C,Дивиденды!$A:$A,A585,Дивиденды!$I:$I,C585)</f>
        <v>0</v>
      </c>
      <c r="E585">
        <v>4</v>
      </c>
      <c r="F585">
        <f t="shared" si="102"/>
        <v>0</v>
      </c>
      <c r="G585">
        <f t="shared" si="103"/>
        <v>21.978571428571428</v>
      </c>
      <c r="H585">
        <f t="shared" si="104"/>
        <v>0</v>
      </c>
      <c r="I585">
        <f t="shared" si="100"/>
        <v>0.14285714285714285</v>
      </c>
      <c r="J585">
        <f t="shared" si="105"/>
        <v>0</v>
      </c>
      <c r="K585">
        <f t="shared" si="109"/>
        <v>-1.8223065562117002E-2</v>
      </c>
      <c r="L585">
        <f t="shared" si="106"/>
        <v>0</v>
      </c>
      <c r="M585">
        <f t="shared" si="99"/>
        <v>7.1428571428571425E-2</v>
      </c>
      <c r="N585">
        <f t="shared" si="107"/>
        <v>0</v>
      </c>
      <c r="O585">
        <f t="shared" si="108"/>
        <v>7.1428571428571425E-2</v>
      </c>
      <c r="P585" t="str">
        <f>IFERROR(LN('Дивиденды по годам'!I585),"")</f>
        <v/>
      </c>
      <c r="Q585" t="str">
        <f>IFERROR('Дивиденды по годам'!G585/'Дивиденды по годам'!I585, "")</f>
        <v/>
      </c>
      <c r="R585" t="str">
        <f>IFERROR(IF(AND('Дивиденды по годам'!N585&lt;&gt;"",'Дивиденды по годам'!U585&lt;&gt;"",'Дивиденды по годам'!U585&lt;&gt;0),'Дивиденды по годам'!N585/'Дивиденды по годам'!U585-1,""),"")</f>
        <v/>
      </c>
      <c r="S585" t="str">
        <f>IFERROR(IF(AND('Дивиденды по годам'!L585&lt;&gt;"",'Дивиденды по годам'!I585&lt;&gt;"",'Дивиденды по годам'!J585&lt;&gt;"",'Дивиденды по годам'!K585&lt;&gt;"",('Дивиденды по годам'!I585-'Дивиденды по годам'!J585-'Дивиденды по годам'!K585)&lt;&gt;0),'Дивиденды по годам'!L585/('Дивиденды по годам'!I585-'Дивиденды по годам'!J585-'Дивиденды по годам'!K585),""),"")</f>
        <v/>
      </c>
      <c r="T585" t="str">
        <f>IFERROR(IF(AND('Дивиденды по годам'!Q585&lt;&gt;"",'Дивиденды по годам'!I585&lt;&gt;"",'Дивиденды по годам'!V585&lt;&gt;"",('Дивиденды по годам'!I585+'Дивиденды по годам'!V585)&lt;&gt;0),'Дивиденды по годам'!Q585/(('Дивиденды по годам'!I585+'Дивиденды по годам'!V585)/2),""),"")</f>
        <v/>
      </c>
      <c r="U585" t="str">
        <f>IFERROR(IF(AND('Дивиденды по годам'!J585&lt;&gt;"",'Дивиденды по годам'!K585&lt;&gt;"",'Дивиденды по годам'!M585&lt;&gt;"",'Дивиденды по годам'!M585&lt;&gt;0),('Дивиденды по годам'!J585+'Дивиденды по годам'!K585)/'Дивиденды по годам'!M585,""),"")</f>
        <v/>
      </c>
      <c r="V585" cm="1">
        <f t="array" ref="V585">IFERROR(AVERAGE(_xlfn._xlws.FILTER(P$2:P$1073,($C$2:$C$1073=$C585)*($E$2:$E$1073=$E585)*(ROW(P$2:P$1073)&lt;&gt;ROW(P585))*(P$2:P$1073&lt;&gt;""))),"")</f>
        <v>24.908270704496481</v>
      </c>
      <c r="W585" cm="1">
        <f t="array" ref="W585">IFERROR(AVERAGE(_xlfn._xlws.FILTER(Q$2:Q$1073,($C$2:$C$1073=$C585)*($E$2:$E$1073=$E585)*(ROW(Q$2:Q$1073)&lt;&gt;ROW(Q585))*(Q$2:Q$1073&lt;&gt;""))),"")</f>
        <v>0.31629947227527405</v>
      </c>
      <c r="X585" cm="1">
        <f t="array" ref="X585">IFERROR(AVERAGE(_xlfn._xlws.FILTER(R$2:R$1073,($C$2:$C$1073=$C585)*($E$2:$E$1073=$E585)*(ROW(R$2:R$1073)&lt;&gt;ROW(R585))*(R$2:R$1073&lt;&gt;""))),"")</f>
        <v>5.6638288450543382E-2</v>
      </c>
      <c r="Y585" cm="1">
        <f t="array" ref="Y585">IFERROR(AVERAGE(_xlfn._xlws.FILTER(S$2:S$1073,($C$2:$C$1073=$C585)*($E$2:$E$1073=$E585)*(ROW(S$2:S$1073)&lt;&gt;ROW(S585))*(S$2:S$1073&lt;&gt;""))),"")</f>
        <v>0.64427650310006845</v>
      </c>
      <c r="Z585" cm="1">
        <f t="array" ref="Z585">IFERROR(AVERAGE(_xlfn._xlws.FILTER(T$2:T$1073,($C$2:$C$1073=$C585)*($E$2:$E$1073=$E585)*(ROW(T$2:T$1073)&lt;&gt;ROW(T585))*(T$2:T$1073&lt;&gt;""))),"")</f>
        <v>7.1418821660913928E-3</v>
      </c>
      <c r="AA585" cm="1">
        <f t="array" ref="AA585">IFERROR(AVERAGE(_xlfn._xlws.FILTER(U$2:U$1073,($C$2:$C$1073=$C585)*($E$2:$E$1073=$E585)*(ROW(U$2:U$1073)&lt;&gt;ROW(U585))*(U$2:U$1073&lt;&gt;""))),"")</f>
        <v>1.0767813683356515</v>
      </c>
    </row>
    <row r="586" spans="1:27" x14ac:dyDescent="0.2">
      <c r="A586" s="7" t="s">
        <v>2252</v>
      </c>
      <c r="B586" t="str">
        <f t="shared" si="101"/>
        <v>HNFG IV кв. 2017</v>
      </c>
      <c r="C586">
        <v>2017</v>
      </c>
      <c r="D586">
        <f>SUMIFS(Дивиденды!$C:$C,Дивиденды!$A:$A,A586,Дивиденды!$I:$I,C586)</f>
        <v>0</v>
      </c>
      <c r="E586">
        <v>4</v>
      </c>
      <c r="F586">
        <f t="shared" si="102"/>
        <v>0</v>
      </c>
      <c r="G586">
        <f t="shared" si="103"/>
        <v>18.403571428571428</v>
      </c>
      <c r="H586">
        <f t="shared" si="104"/>
        <v>0</v>
      </c>
      <c r="I586">
        <f t="shared" si="100"/>
        <v>0.14285714285714285</v>
      </c>
      <c r="J586">
        <f t="shared" si="105"/>
        <v>0</v>
      </c>
      <c r="K586">
        <f t="shared" si="109"/>
        <v>-1.7352821773673279E-2</v>
      </c>
      <c r="L586">
        <f t="shared" si="106"/>
        <v>0</v>
      </c>
      <c r="M586">
        <f t="shared" si="99"/>
        <v>0</v>
      </c>
      <c r="N586">
        <f t="shared" si="107"/>
        <v>0</v>
      </c>
      <c r="O586">
        <f t="shared" si="108"/>
        <v>0.14285714285714285</v>
      </c>
      <c r="P586" t="str">
        <f>IFERROR(LN('Дивиденды по годам'!I586),"")</f>
        <v/>
      </c>
      <c r="Q586" t="str">
        <f>IFERROR('Дивиденды по годам'!G586/'Дивиденды по годам'!I586, "")</f>
        <v/>
      </c>
      <c r="R586" t="str">
        <f>IFERROR(IF(AND('Дивиденды по годам'!N586&lt;&gt;"",'Дивиденды по годам'!U586&lt;&gt;"",'Дивиденды по годам'!U586&lt;&gt;0),'Дивиденды по годам'!N586/'Дивиденды по годам'!U586-1,""),"")</f>
        <v/>
      </c>
      <c r="S586" t="str">
        <f>IFERROR(IF(AND('Дивиденды по годам'!L586&lt;&gt;"",'Дивиденды по годам'!I586&lt;&gt;"",'Дивиденды по годам'!J586&lt;&gt;"",'Дивиденды по годам'!K586&lt;&gt;"",('Дивиденды по годам'!I586-'Дивиденды по годам'!J586-'Дивиденды по годам'!K586)&lt;&gt;0),'Дивиденды по годам'!L586/('Дивиденды по годам'!I586-'Дивиденды по годам'!J586-'Дивиденды по годам'!K586),""),"")</f>
        <v/>
      </c>
      <c r="T586" t="str">
        <f>IFERROR(IF(AND('Дивиденды по годам'!Q586&lt;&gt;"",'Дивиденды по годам'!I586&lt;&gt;"",'Дивиденды по годам'!V586&lt;&gt;"",('Дивиденды по годам'!I586+'Дивиденды по годам'!V586)&lt;&gt;0),'Дивиденды по годам'!Q586/(('Дивиденды по годам'!I586+'Дивиденды по годам'!V586)/2),""),"")</f>
        <v/>
      </c>
      <c r="U586" t="str">
        <f>IFERROR(IF(AND('Дивиденды по годам'!J586&lt;&gt;"",'Дивиденды по годам'!K586&lt;&gt;"",'Дивиденды по годам'!M586&lt;&gt;"",'Дивиденды по годам'!M586&lt;&gt;0),('Дивиденды по годам'!J586+'Дивиденды по годам'!K586)/'Дивиденды по годам'!M586,""),"")</f>
        <v/>
      </c>
      <c r="V586" cm="1">
        <f t="array" ref="V586">IFERROR(AVERAGE(_xlfn._xlws.FILTER(P$2:P$1073,($C$2:$C$1073=$C586)*($E$2:$E$1073=$E586)*(ROW(P$2:P$1073)&lt;&gt;ROW(P586))*(P$2:P$1073&lt;&gt;""))),"")</f>
        <v>24.73571056544559</v>
      </c>
      <c r="W586" cm="1">
        <f t="array" ref="W586">IFERROR(AVERAGE(_xlfn._xlws.FILTER(Q$2:Q$1073,($C$2:$C$1073=$C586)*($E$2:$E$1073=$E586)*(ROW(Q$2:Q$1073)&lt;&gt;ROW(Q586))*(Q$2:Q$1073&lt;&gt;""))),"")</f>
        <v>0.33981210980429821</v>
      </c>
      <c r="X586" cm="1">
        <f t="array" ref="X586">IFERROR(AVERAGE(_xlfn._xlws.FILTER(R$2:R$1073,($C$2:$C$1073=$C586)*($E$2:$E$1073=$E586)*(ROW(R$2:R$1073)&lt;&gt;ROW(R586))*(R$2:R$1073&lt;&gt;""))),"")</f>
        <v>0.23691718521625563</v>
      </c>
      <c r="Y586" cm="1">
        <f t="array" ref="Y586">IFERROR(AVERAGE(_xlfn._xlws.FILTER(S$2:S$1073,($C$2:$C$1073=$C586)*($E$2:$E$1073=$E586)*(ROW(S$2:S$1073)&lt;&gt;ROW(S586))*(S$2:S$1073&lt;&gt;""))),"")</f>
        <v>0.61774629406594017</v>
      </c>
      <c r="Z586" cm="1">
        <f t="array" ref="Z586">IFERROR(AVERAGE(_xlfn._xlws.FILTER(T$2:T$1073,($C$2:$C$1073=$C586)*($E$2:$E$1073=$E586)*(ROW(T$2:T$1073)&lt;&gt;ROW(T586))*(T$2:T$1073&lt;&gt;""))),"")</f>
        <v>-2.7044382152168867E-2</v>
      </c>
      <c r="AA586" cm="1">
        <f t="array" ref="AA586">IFERROR(AVERAGE(_xlfn._xlws.FILTER(U$2:U$1073,($C$2:$C$1073=$C586)*($E$2:$E$1073=$E586)*(ROW(U$2:U$1073)&lt;&gt;ROW(U586))*(U$2:U$1073&lt;&gt;""))),"")</f>
        <v>0.62620703107195774</v>
      </c>
    </row>
    <row r="587" spans="1:27" x14ac:dyDescent="0.2">
      <c r="A587" s="7" t="s">
        <v>2252</v>
      </c>
      <c r="B587" t="str">
        <f t="shared" si="101"/>
        <v>HNFG IV кв. 2016</v>
      </c>
      <c r="C587">
        <v>2016</v>
      </c>
      <c r="D587">
        <f>SUMIFS(Дивиденды!$C:$C,Дивиденды!$A:$A,A587,Дивиденды!$I:$I,C587)</f>
        <v>0</v>
      </c>
      <c r="E587">
        <v>4</v>
      </c>
      <c r="F587">
        <f t="shared" si="102"/>
        <v>0</v>
      </c>
      <c r="G587">
        <f t="shared" si="103"/>
        <v>20.421428571428571</v>
      </c>
      <c r="H587">
        <f t="shared" si="104"/>
        <v>0</v>
      </c>
      <c r="I587">
        <f t="shared" si="100"/>
        <v>0.14285714285714285</v>
      </c>
      <c r="J587">
        <f t="shared" si="105"/>
        <v>0</v>
      </c>
      <c r="K587">
        <f t="shared" si="109"/>
        <v>2.0593461763560781E-2</v>
      </c>
      <c r="L587">
        <f t="shared" si="106"/>
        <v>0</v>
      </c>
      <c r="M587">
        <f t="shared" si="99"/>
        <v>7.1428571428571425E-2</v>
      </c>
      <c r="N587">
        <f t="shared" si="107"/>
        <v>0</v>
      </c>
      <c r="O587">
        <f t="shared" si="108"/>
        <v>7.1428571428571425E-2</v>
      </c>
      <c r="P587" t="str">
        <f>IFERROR(LN('Дивиденды по годам'!I587),"")</f>
        <v/>
      </c>
      <c r="Q587" t="str">
        <f>IFERROR('Дивиденды по годам'!G587/'Дивиденды по годам'!I587, "")</f>
        <v/>
      </c>
      <c r="R587" t="str">
        <f>IFERROR(IF(AND('Дивиденды по годам'!N587&lt;&gt;"",'Дивиденды по годам'!U587&lt;&gt;"",'Дивиденды по годам'!U587&lt;&gt;0),'Дивиденды по годам'!N587/'Дивиденды по годам'!U587-1,""),"")</f>
        <v/>
      </c>
      <c r="S587" t="str">
        <f>IFERROR(IF(AND('Дивиденды по годам'!L587&lt;&gt;"",'Дивиденды по годам'!I587&lt;&gt;"",'Дивиденды по годам'!J587&lt;&gt;"",'Дивиденды по годам'!K587&lt;&gt;"",('Дивиденды по годам'!I587-'Дивиденды по годам'!J587-'Дивиденды по годам'!K587)&lt;&gt;0),'Дивиденды по годам'!L587/('Дивиденды по годам'!I587-'Дивиденды по годам'!J587-'Дивиденды по годам'!K587),""),"")</f>
        <v/>
      </c>
      <c r="T587" t="str">
        <f>IFERROR(IF(AND('Дивиденды по годам'!Q587&lt;&gt;"",'Дивиденды по годам'!I587&lt;&gt;"",'Дивиденды по годам'!V587&lt;&gt;"",('Дивиденды по годам'!I587+'Дивиденды по годам'!V587)&lt;&gt;0),'Дивиденды по годам'!Q587/(('Дивиденды по годам'!I587+'Дивиденды по годам'!V587)/2),""),"")</f>
        <v/>
      </c>
      <c r="U587" t="str">
        <f>IFERROR(IF(AND('Дивиденды по годам'!J587&lt;&gt;"",'Дивиденды по годам'!K587&lt;&gt;"",'Дивиденды по годам'!M587&lt;&gt;"",'Дивиденды по годам'!M587&lt;&gt;0),('Дивиденды по годам'!J587+'Дивиденды по годам'!K587)/'Дивиденды по годам'!M587,""),"")</f>
        <v/>
      </c>
      <c r="V587" cm="1">
        <f t="array" ref="V587">IFERROR(AVERAGE(_xlfn._xlws.FILTER(P$2:P$1073,($C$2:$C$1073=$C587)*($E$2:$E$1073=$E587)*(ROW(P$2:P$1073)&lt;&gt;ROW(P587))*(P$2:P$1073&lt;&gt;""))),"")</f>
        <v>24.55530958635584</v>
      </c>
      <c r="W587" cm="1">
        <f t="array" ref="W587">IFERROR(AVERAGE(_xlfn._xlws.FILTER(Q$2:Q$1073,($C$2:$C$1073=$C587)*($E$2:$E$1073=$E587)*(ROW(Q$2:Q$1073)&lt;&gt;ROW(Q587))*(Q$2:Q$1073&lt;&gt;""))),"")</f>
        <v>0.27878606899788128</v>
      </c>
      <c r="X587" cm="1">
        <f t="array" ref="X587">IFERROR(AVERAGE(_xlfn._xlws.FILTER(R$2:R$1073,($C$2:$C$1073=$C587)*($E$2:$E$1073=$E587)*(ROW(R$2:R$1073)&lt;&gt;ROW(R587))*(R$2:R$1073&lt;&gt;""))),"")</f>
        <v>0.16612325919082049</v>
      </c>
      <c r="Y587" cm="1">
        <f t="array" ref="Y587">IFERROR(AVERAGE(_xlfn._xlws.FILTER(S$2:S$1073,($C$2:$C$1073=$C587)*($E$2:$E$1073=$E587)*(ROW(S$2:S$1073)&lt;&gt;ROW(S587))*(S$2:S$1073&lt;&gt;""))),"")</f>
        <v>6.2178681719613929</v>
      </c>
      <c r="Z587" cm="1">
        <f t="array" ref="Z587">IFERROR(AVERAGE(_xlfn._xlws.FILTER(T$2:T$1073,($C$2:$C$1073=$C587)*($E$2:$E$1073=$E587)*(ROW(T$2:T$1073)&lt;&gt;ROW(T587))*(T$2:T$1073&lt;&gt;""))),"")</f>
        <v>-2.007011623977166E-2</v>
      </c>
      <c r="AA587" cm="1">
        <f t="array" ref="AA587">IFERROR(AVERAGE(_xlfn._xlws.FILTER(U$2:U$1073,($C$2:$C$1073=$C587)*($E$2:$E$1073=$E587)*(ROW(U$2:U$1073)&lt;&gt;ROW(U587))*(U$2:U$1073&lt;&gt;""))),"")</f>
        <v>-16.044507701133888</v>
      </c>
    </row>
    <row r="588" spans="1:27" x14ac:dyDescent="0.2">
      <c r="A588" s="7" t="s">
        <v>2252</v>
      </c>
      <c r="B588" t="str">
        <f t="shared" si="101"/>
        <v>HNFG IV кв. 2015</v>
      </c>
      <c r="C588">
        <v>2015</v>
      </c>
      <c r="D588">
        <f>SUMIFS(Дивиденды!$C:$C,Дивиденды!$A:$A,A588,Дивиденды!$I:$I,C588)</f>
        <v>0</v>
      </c>
      <c r="E588">
        <v>4</v>
      </c>
      <c r="F588">
        <f t="shared" si="102"/>
        <v>0</v>
      </c>
      <c r="G588">
        <f t="shared" si="103"/>
        <v>22.574999999999999</v>
      </c>
      <c r="H588">
        <f t="shared" si="104"/>
        <v>0</v>
      </c>
      <c r="I588">
        <f t="shared" si="100"/>
        <v>0.14285714285714285</v>
      </c>
      <c r="J588">
        <f t="shared" si="105"/>
        <v>0</v>
      </c>
      <c r="K588">
        <f t="shared" si="109"/>
        <v>6.1102189263868886E-2</v>
      </c>
      <c r="L588">
        <f t="shared" si="106"/>
        <v>0</v>
      </c>
      <c r="M588">
        <f t="shared" si="99"/>
        <v>7.1428571428571425E-2</v>
      </c>
      <c r="N588">
        <f t="shared" si="107"/>
        <v>0</v>
      </c>
      <c r="O588">
        <f t="shared" si="108"/>
        <v>7.1428571428571425E-2</v>
      </c>
      <c r="P588" t="str">
        <f>IFERROR(LN('Дивиденды по годам'!I588),"")</f>
        <v/>
      </c>
      <c r="Q588" t="str">
        <f>IFERROR('Дивиденды по годам'!G588/'Дивиденды по годам'!I588, "")</f>
        <v/>
      </c>
      <c r="R588" t="str">
        <f>IFERROR(IF(AND('Дивиденды по годам'!N588&lt;&gt;"",'Дивиденды по годам'!U588&lt;&gt;"",'Дивиденды по годам'!U588&lt;&gt;0),'Дивиденды по годам'!N588/'Дивиденды по годам'!U588-1,""),"")</f>
        <v/>
      </c>
      <c r="S588" t="str">
        <f>IFERROR(IF(AND('Дивиденды по годам'!L588&lt;&gt;"",'Дивиденды по годам'!I588&lt;&gt;"",'Дивиденды по годам'!J588&lt;&gt;"",'Дивиденды по годам'!K588&lt;&gt;"",('Дивиденды по годам'!I588-'Дивиденды по годам'!J588-'Дивиденды по годам'!K588)&lt;&gt;0),'Дивиденды по годам'!L588/('Дивиденды по годам'!I588-'Дивиденды по годам'!J588-'Дивиденды по годам'!K588),""),"")</f>
        <v/>
      </c>
      <c r="T588" t="str">
        <f>IFERROR(IF(AND('Дивиденды по годам'!Q588&lt;&gt;"",'Дивиденды по годам'!I588&lt;&gt;"",'Дивиденды по годам'!V588&lt;&gt;"",('Дивиденды по годам'!I588+'Дивиденды по годам'!V588)&lt;&gt;0),'Дивиденды по годам'!Q588/(('Дивиденды по годам'!I588+'Дивиденды по годам'!V588)/2),""),"")</f>
        <v/>
      </c>
      <c r="U588" t="str">
        <f>IFERROR(IF(AND('Дивиденды по годам'!J588&lt;&gt;"",'Дивиденды по годам'!K588&lt;&gt;"",'Дивиденды по годам'!M588&lt;&gt;"",'Дивиденды по годам'!M588&lt;&gt;0),('Дивиденды по годам'!J588+'Дивиденды по годам'!K588)/'Дивиденды по годам'!M588,""),"")</f>
        <v/>
      </c>
      <c r="V588" cm="1">
        <f t="array" ref="V588">IFERROR(AVERAGE(_xlfn._xlws.FILTER(P$2:P$1073,($C$2:$C$1073=$C588)*($E$2:$E$1073=$E588)*(ROW(P$2:P$1073)&lt;&gt;ROW(P588))*(P$2:P$1073&lt;&gt;""))),"")</f>
        <v>24.784857390248948</v>
      </c>
      <c r="W588" cm="1">
        <f t="array" ref="W588">IFERROR(AVERAGE(_xlfn._xlws.FILTER(Q$2:Q$1073,($C$2:$C$1073=$C588)*($E$2:$E$1073=$E588)*(ROW(Q$2:Q$1073)&lt;&gt;ROW(Q588))*(Q$2:Q$1073&lt;&gt;""))),"")</f>
        <v>0.29707306985497267</v>
      </c>
      <c r="X588" cm="1">
        <f t="array" ref="X588">IFERROR(AVERAGE(_xlfn._xlws.FILTER(R$2:R$1073,($C$2:$C$1073=$C588)*($E$2:$E$1073=$E588)*(ROW(R$2:R$1073)&lt;&gt;ROW(R588))*(R$2:R$1073&lt;&gt;""))),"")</f>
        <v>0.20074687596566593</v>
      </c>
      <c r="Y588" cm="1">
        <f t="array" ref="Y588">IFERROR(AVERAGE(_xlfn._xlws.FILTER(S$2:S$1073,($C$2:$C$1073=$C588)*($E$2:$E$1073=$E588)*(ROW(S$2:S$1073)&lt;&gt;ROW(S588))*(S$2:S$1073&lt;&gt;""))),"")</f>
        <v>-0.60736862679830428</v>
      </c>
      <c r="Z588" cm="1">
        <f t="array" ref="Z588">IFERROR(AVERAGE(_xlfn._xlws.FILTER(T$2:T$1073,($C$2:$C$1073=$C588)*($E$2:$E$1073=$E588)*(ROW(T$2:T$1073)&lt;&gt;ROW(T588))*(T$2:T$1073&lt;&gt;""))),"")</f>
        <v>6.4031956193225284E-2</v>
      </c>
      <c r="AA588" cm="1">
        <f t="array" ref="AA588">IFERROR(AVERAGE(_xlfn._xlws.FILTER(U$2:U$1073,($C$2:$C$1073=$C588)*($E$2:$E$1073=$E588)*(ROW(U$2:U$1073)&lt;&gt;ROW(U588))*(U$2:U$1073&lt;&gt;""))),"")</f>
        <v>5.5189604575277329</v>
      </c>
    </row>
    <row r="589" spans="1:27" x14ac:dyDescent="0.2">
      <c r="A589" s="7" t="s">
        <v>2252</v>
      </c>
      <c r="B589" t="str">
        <f t="shared" si="101"/>
        <v>HNFG IV кв. 2014</v>
      </c>
      <c r="C589">
        <v>2014</v>
      </c>
      <c r="D589">
        <f>SUMIFS(Дивиденды!$C:$C,Дивиденды!$A:$A,A589,Дивиденды!$I:$I,C589)</f>
        <v>0</v>
      </c>
      <c r="E589">
        <v>4</v>
      </c>
      <c r="F589">
        <f t="shared" si="102"/>
        <v>0</v>
      </c>
      <c r="G589">
        <f t="shared" si="103"/>
        <v>25.924285714285713</v>
      </c>
      <c r="H589">
        <f t="shared" si="104"/>
        <v>0</v>
      </c>
      <c r="I589">
        <f t="shared" si="100"/>
        <v>7.1428571428571425E-2</v>
      </c>
      <c r="J589">
        <f t="shared" si="105"/>
        <v>0</v>
      </c>
      <c r="K589">
        <f t="shared" si="109"/>
        <v>4.887635107293415E-2</v>
      </c>
      <c r="L589">
        <f t="shared" si="106"/>
        <v>0</v>
      </c>
      <c r="M589">
        <f t="shared" si="99"/>
        <v>7.1428571428571425E-2</v>
      </c>
      <c r="N589">
        <f t="shared" si="107"/>
        <v>0</v>
      </c>
      <c r="O589">
        <f t="shared" si="108"/>
        <v>7.1428571428571425E-2</v>
      </c>
      <c r="P589" t="str">
        <f>IFERROR(LN('Дивиденды по годам'!I589),"")</f>
        <v/>
      </c>
      <c r="Q589" t="str">
        <f>IFERROR('Дивиденды по годам'!G589/'Дивиденды по годам'!I589, "")</f>
        <v/>
      </c>
      <c r="R589" t="str">
        <f>IFERROR(IF(AND('Дивиденды по годам'!N589&lt;&gt;"",'Дивиденды по годам'!U589&lt;&gt;"",'Дивиденды по годам'!U589&lt;&gt;0),'Дивиденды по годам'!N589/'Дивиденды по годам'!U589-1,""),"")</f>
        <v/>
      </c>
      <c r="S589" t="str">
        <f>IFERROR(IF(AND('Дивиденды по годам'!L589&lt;&gt;"",'Дивиденды по годам'!I589&lt;&gt;"",'Дивиденды по годам'!J589&lt;&gt;"",'Дивиденды по годам'!K589&lt;&gt;"",('Дивиденды по годам'!I589-'Дивиденды по годам'!J589-'Дивиденды по годам'!K589)&lt;&gt;0),'Дивиденды по годам'!L589/('Дивиденды по годам'!I589-'Дивиденды по годам'!J589-'Дивиденды по годам'!K589),""),"")</f>
        <v/>
      </c>
      <c r="T589" t="str">
        <f>IFERROR(IF(AND('Дивиденды по годам'!Q589&lt;&gt;"",'Дивиденды по годам'!I589&lt;&gt;"",'Дивиденды по годам'!V589&lt;&gt;"",('Дивиденды по годам'!I589+'Дивиденды по годам'!V589)&lt;&gt;0),'Дивиденды по годам'!Q589/(('Дивиденды по годам'!I589+'Дивиденды по годам'!V589)/2),""),"")</f>
        <v/>
      </c>
      <c r="U589" t="str">
        <f>IFERROR(IF(AND('Дивиденды по годам'!J589&lt;&gt;"",'Дивиденды по годам'!K589&lt;&gt;"",'Дивиденды по годам'!M589&lt;&gt;"",'Дивиденды по годам'!M589&lt;&gt;0),('Дивиденды по годам'!J589+'Дивиденды по годам'!K589)/'Дивиденды по годам'!M589,""),"")</f>
        <v/>
      </c>
      <c r="V589" cm="1">
        <f t="array" ref="V589">IFERROR(AVERAGE(_xlfn._xlws.FILTER(P$2:P$1073,($C$2:$C$1073=$C589)*($E$2:$E$1073=$E589)*(ROW(P$2:P$1073)&lt;&gt;ROW(P589))*(P$2:P$1073&lt;&gt;""))),"")</f>
        <v>24.777851287837404</v>
      </c>
      <c r="W589" cm="1">
        <f t="array" ref="W589">IFERROR(AVERAGE(_xlfn._xlws.FILTER(Q$2:Q$1073,($C$2:$C$1073=$C589)*($E$2:$E$1073=$E589)*(ROW(Q$2:Q$1073)&lt;&gt;ROW(Q589))*(Q$2:Q$1073&lt;&gt;""))),"")</f>
        <v>0.28994951624266957</v>
      </c>
      <c r="X589" cm="1">
        <f t="array" ref="X589">IFERROR(AVERAGE(_xlfn._xlws.FILTER(R$2:R$1073,($C$2:$C$1073=$C589)*($E$2:$E$1073=$E589)*(ROW(R$2:R$1073)&lt;&gt;ROW(R589))*(R$2:R$1073&lt;&gt;""))),"")</f>
        <v>8.5517195784799244E-2</v>
      </c>
      <c r="Y589" cm="1">
        <f t="array" ref="Y589">IFERROR(AVERAGE(_xlfn._xlws.FILTER(S$2:S$1073,($C$2:$C$1073=$C589)*($E$2:$E$1073=$E589)*(ROW(S$2:S$1073)&lt;&gt;ROW(S589))*(S$2:S$1073&lt;&gt;""))),"")</f>
        <v>-8.9932559622525012</v>
      </c>
      <c r="Z589" cm="1">
        <f t="array" ref="Z589">IFERROR(AVERAGE(_xlfn._xlws.FILTER(T$2:T$1073,($C$2:$C$1073=$C589)*($E$2:$E$1073=$E589)*(ROW(T$2:T$1073)&lt;&gt;ROW(T589))*(T$2:T$1073&lt;&gt;""))),"")</f>
        <v>3.4958573241250623E-2</v>
      </c>
      <c r="AA589" cm="1">
        <f t="array" ref="AA589">IFERROR(AVERAGE(_xlfn._xlws.FILTER(U$2:U$1073,($C$2:$C$1073=$C589)*($E$2:$E$1073=$E589)*(ROW(U$2:U$1073)&lt;&gt;ROW(U589))*(U$2:U$1073&lt;&gt;""))),"")</f>
        <v>34.444280572958768</v>
      </c>
    </row>
    <row r="590" spans="1:27" x14ac:dyDescent="0.2">
      <c r="A590" s="7" t="s">
        <v>2252</v>
      </c>
      <c r="B590" t="str">
        <f t="shared" si="101"/>
        <v>HNFG IV кв. 2013</v>
      </c>
      <c r="C590">
        <v>2013</v>
      </c>
      <c r="D590">
        <f>SUMIFS(Дивиденды!$C:$C,Дивиденды!$A:$A,A590,Дивиденды!$I:$I,C590)</f>
        <v>0</v>
      </c>
      <c r="E590">
        <v>4</v>
      </c>
      <c r="F590">
        <f t="shared" si="102"/>
        <v>0</v>
      </c>
      <c r="G590">
        <f t="shared" si="103"/>
        <v>13.409285714285716</v>
      </c>
      <c r="H590">
        <f t="shared" si="104"/>
        <v>0</v>
      </c>
      <c r="I590">
        <f t="shared" si="100"/>
        <v>0.14285714285714285</v>
      </c>
      <c r="J590">
        <f t="shared" si="105"/>
        <v>0</v>
      </c>
      <c r="K590">
        <f t="shared" si="109"/>
        <v>4.7291245939064024E-2</v>
      </c>
      <c r="L590">
        <f t="shared" si="106"/>
        <v>0</v>
      </c>
      <c r="M590">
        <f t="shared" si="99"/>
        <v>7.1428571428571425E-2</v>
      </c>
      <c r="N590">
        <f t="shared" si="107"/>
        <v>0</v>
      </c>
      <c r="O590">
        <f t="shared" si="108"/>
        <v>0</v>
      </c>
      <c r="P590" t="str">
        <f>IFERROR(LN('Дивиденды по годам'!I590),"")</f>
        <v/>
      </c>
      <c r="Q590" t="str">
        <f>IFERROR('Дивиденды по годам'!G590/'Дивиденды по годам'!I590, "")</f>
        <v/>
      </c>
      <c r="R590" t="str">
        <f>IFERROR(IF(AND('Дивиденды по годам'!N590&lt;&gt;"",'Дивиденды по годам'!U590&lt;&gt;"",'Дивиденды по годам'!U590&lt;&gt;0),'Дивиденды по годам'!N590/'Дивиденды по годам'!U590-1,""),"")</f>
        <v/>
      </c>
      <c r="S590" t="str">
        <f>IFERROR(IF(AND('Дивиденды по годам'!L590&lt;&gt;"",'Дивиденды по годам'!I590&lt;&gt;"",'Дивиденды по годам'!J590&lt;&gt;"",'Дивиденды по годам'!K590&lt;&gt;"",('Дивиденды по годам'!I590-'Дивиденды по годам'!J590-'Дивиденды по годам'!K590)&lt;&gt;0),'Дивиденды по годам'!L590/('Дивиденды по годам'!I590-'Дивиденды по годам'!J590-'Дивиденды по годам'!K590),""),"")</f>
        <v/>
      </c>
      <c r="T590" t="str">
        <f>IFERROR(IF(AND('Дивиденды по годам'!Q590&lt;&gt;"",'Дивиденды по годам'!I590&lt;&gt;"",'Дивиденды по годам'!V590&lt;&gt;"",('Дивиденды по годам'!I590+'Дивиденды по годам'!V590)&lt;&gt;0),'Дивиденды по годам'!Q590/(('Дивиденды по годам'!I590+'Дивиденды по годам'!V590)/2),""),"")</f>
        <v/>
      </c>
      <c r="U590" t="str">
        <f>IFERROR(IF(AND('Дивиденды по годам'!J590&lt;&gt;"",'Дивиденды по годам'!K590&lt;&gt;"",'Дивиденды по годам'!M590&lt;&gt;"",'Дивиденды по годам'!M590&lt;&gt;0),('Дивиденды по годам'!J590+'Дивиденды по годам'!K590)/'Дивиденды по годам'!M590,""),"")</f>
        <v/>
      </c>
      <c r="V590" cm="1">
        <f t="array" ref="V590">IFERROR(AVERAGE(_xlfn._xlws.FILTER(P$2:P$1073,($C$2:$C$1073=$C590)*($E$2:$E$1073=$E590)*(ROW(P$2:P$1073)&lt;&gt;ROW(P590))*(P$2:P$1073&lt;&gt;""))),"")</f>
        <v>24.281308125321722</v>
      </c>
      <c r="W590" cm="1">
        <f t="array" ref="W590">IFERROR(AVERAGE(_xlfn._xlws.FILTER(Q$2:Q$1073,($C$2:$C$1073=$C590)*($E$2:$E$1073=$E590)*(ROW(Q$2:Q$1073)&lt;&gt;ROW(Q590))*(Q$2:Q$1073&lt;&gt;""))),"")</f>
        <v>0.34809372453666254</v>
      </c>
      <c r="X590" cm="1">
        <f t="array" ref="X590">IFERROR(AVERAGE(_xlfn._xlws.FILTER(R$2:R$1073,($C$2:$C$1073=$C590)*($E$2:$E$1073=$E590)*(ROW(R$2:R$1073)&lt;&gt;ROW(R590))*(R$2:R$1073&lt;&gt;""))),"")</f>
        <v>0.17531341667142472</v>
      </c>
      <c r="Y590" t="str" cm="1">
        <f t="array" ref="Y590">IFERROR(AVERAGE(_xlfn._xlws.FILTER(S$2:S$1073,($C$2:$C$1073=$C590)*($E$2:$E$1073=$E590)*(ROW(S$2:S$1073)&lt;&gt;ROW(S590))*(S$2:S$1073&lt;&gt;""))),"")</f>
        <v/>
      </c>
      <c r="Z590" cm="1">
        <f t="array" ref="Z590">IFERROR(AVERAGE(_xlfn._xlws.FILTER(T$2:T$1073,($C$2:$C$1073=$C590)*($E$2:$E$1073=$E590)*(ROW(T$2:T$1073)&lt;&gt;ROW(T590))*(T$2:T$1073&lt;&gt;""))),"")</f>
        <v>-0.12490141563278262</v>
      </c>
      <c r="AA590" cm="1">
        <f t="array" ref="AA590">IFERROR(AVERAGE(_xlfn._xlws.FILTER(U$2:U$1073,($C$2:$C$1073=$C590)*($E$2:$E$1073=$E590)*(ROW(U$2:U$1073)&lt;&gt;ROW(U590))*(U$2:U$1073&lt;&gt;""))),"")</f>
        <v>0.44566877182826042</v>
      </c>
    </row>
    <row r="591" spans="1:27" x14ac:dyDescent="0.2">
      <c r="A591" s="7" t="s">
        <v>2252</v>
      </c>
      <c r="B591" t="str">
        <f t="shared" si="101"/>
        <v>HNFG IV кв. 2012</v>
      </c>
      <c r="C591">
        <v>2012</v>
      </c>
      <c r="D591">
        <f>SUMIFS(Дивиденды!$C:$C,Дивиденды!$A:$A,A591,Дивиденды!$I:$I,C591)</f>
        <v>0</v>
      </c>
      <c r="E591">
        <v>4</v>
      </c>
      <c r="F591">
        <f t="shared" si="102"/>
        <v>0</v>
      </c>
      <c r="G591">
        <f t="shared" si="103"/>
        <v>9.5621428571428577</v>
      </c>
      <c r="H591">
        <f t="shared" si="104"/>
        <v>0</v>
      </c>
      <c r="I591">
        <f t="shared" si="100"/>
        <v>0.14285714285714285</v>
      </c>
      <c r="J591">
        <f t="shared" si="105"/>
        <v>0</v>
      </c>
      <c r="K591">
        <f t="shared" si="109"/>
        <v>0.25341100242975517</v>
      </c>
      <c r="L591">
        <f t="shared" si="106"/>
        <v>0</v>
      </c>
      <c r="M591">
        <f t="shared" si="99"/>
        <v>0.14285714285714285</v>
      </c>
      <c r="N591">
        <f t="shared" si="107"/>
        <v>0</v>
      </c>
      <c r="O591">
        <f t="shared" si="108"/>
        <v>0</v>
      </c>
      <c r="P591" t="str">
        <f>IFERROR(LN('Дивиденды по годам'!I591),"")</f>
        <v/>
      </c>
      <c r="Q591" t="str">
        <f>IFERROR('Дивиденды по годам'!G591/'Дивиденды по годам'!I591, "")</f>
        <v/>
      </c>
      <c r="R591" t="str">
        <f>IFERROR(IF(AND('Дивиденды по годам'!N591&lt;&gt;"",'Дивиденды по годам'!U591&lt;&gt;"",'Дивиденды по годам'!U591&lt;&gt;0),'Дивиденды по годам'!N591/'Дивиденды по годам'!U591-1,""),"")</f>
        <v/>
      </c>
      <c r="S591" t="str">
        <f>IFERROR(IF(AND('Дивиденды по годам'!L591&lt;&gt;"",'Дивиденды по годам'!I591&lt;&gt;"",'Дивиденды по годам'!J591&lt;&gt;"",'Дивиденды по годам'!K591&lt;&gt;"",('Дивиденды по годам'!I591-'Дивиденды по годам'!J591-'Дивиденды по годам'!K591)&lt;&gt;0),'Дивиденды по годам'!L591/('Дивиденды по годам'!I591-'Дивиденды по годам'!J591-'Дивиденды по годам'!K591),""),"")</f>
        <v/>
      </c>
      <c r="T591" t="str">
        <f>IFERROR(IF(AND('Дивиденды по годам'!Q591&lt;&gt;"",'Дивиденды по годам'!I591&lt;&gt;"",'Дивиденды по годам'!V591&lt;&gt;"",('Дивиденды по годам'!I591+'Дивиденды по годам'!V591)&lt;&gt;0),'Дивиденды по годам'!Q591/(('Дивиденды по годам'!I591+'Дивиденды по годам'!V591)/2),""),"")</f>
        <v/>
      </c>
      <c r="U591" t="str">
        <f>IFERROR(IF(AND('Дивиденды по годам'!J591&lt;&gt;"",'Дивиденды по годам'!K591&lt;&gt;"",'Дивиденды по годам'!M591&lt;&gt;"",'Дивиденды по годам'!M591&lt;&gt;0),('Дивиденды по годам'!J591+'Дивиденды по годам'!K591)/'Дивиденды по годам'!M591,""),"")</f>
        <v/>
      </c>
      <c r="V591" cm="1">
        <f t="array" ref="V591">IFERROR(AVERAGE(_xlfn._xlws.FILTER(P$2:P$1073,($C$2:$C$1073=$C591)*($E$2:$E$1073=$E591)*(ROW(P$2:P$1073)&lt;&gt;ROW(P591))*(P$2:P$1073&lt;&gt;""))),"")</f>
        <v>24.228370506718147</v>
      </c>
      <c r="W591" cm="1">
        <f t="array" ref="W591">IFERROR(AVERAGE(_xlfn._xlws.FILTER(Q$2:Q$1073,($C$2:$C$1073=$C591)*($E$2:$E$1073=$E591)*(ROW(Q$2:Q$1073)&lt;&gt;ROW(Q591))*(Q$2:Q$1073&lt;&gt;""))),"")</f>
        <v>0.2820560824162458</v>
      </c>
      <c r="X591" cm="1">
        <f t="array" ref="X591">IFERROR(AVERAGE(_xlfn._xlws.FILTER(R$2:R$1073,($C$2:$C$1073=$C591)*($E$2:$E$1073=$E591)*(ROW(R$2:R$1073)&lt;&gt;ROW(R591))*(R$2:R$1073&lt;&gt;""))),"")</f>
        <v>-2.2522357472477484E-2</v>
      </c>
      <c r="Y591" cm="1">
        <f t="array" ref="Y591">IFERROR(AVERAGE(_xlfn._xlws.FILTER(S$2:S$1073,($C$2:$C$1073=$C591)*($E$2:$E$1073=$E591)*(ROW(S$2:S$1073)&lt;&gt;ROW(S591))*(S$2:S$1073&lt;&gt;""))),"")</f>
        <v>-1.7651061513336963</v>
      </c>
      <c r="Z591" cm="1">
        <f t="array" ref="Z591">IFERROR(AVERAGE(_xlfn._xlws.FILTER(T$2:T$1073,($C$2:$C$1073=$C591)*($E$2:$E$1073=$E591)*(ROW(T$2:T$1073)&lt;&gt;ROW(T591))*(T$2:T$1073&lt;&gt;""))),"")</f>
        <v>6.8400459116201365E-2</v>
      </c>
      <c r="AA591" cm="1">
        <f t="array" ref="AA591">IFERROR(AVERAGE(_xlfn._xlws.FILTER(U$2:U$1073,($C$2:$C$1073=$C591)*($E$2:$E$1073=$E591)*(ROW(U$2:U$1073)&lt;&gt;ROW(U591))*(U$2:U$1073&lt;&gt;""))),"")</f>
        <v>-3.9631898894189463</v>
      </c>
    </row>
    <row r="592" spans="1:27" x14ac:dyDescent="0.2">
      <c r="A592" s="7" t="s">
        <v>2252</v>
      </c>
      <c r="B592" t="str">
        <f t="shared" si="101"/>
        <v>HNFG IV кв. 2011</v>
      </c>
      <c r="C592">
        <v>2011</v>
      </c>
      <c r="D592">
        <f>SUMIFS(Дивиденды!$C:$C,Дивиденды!$A:$A,A592,Дивиденды!$I:$I,C592)</f>
        <v>0</v>
      </c>
      <c r="E592">
        <v>4</v>
      </c>
      <c r="F592">
        <f t="shared" si="102"/>
        <v>0</v>
      </c>
      <c r="G592">
        <f t="shared" si="103"/>
        <v>1.6378571428571429</v>
      </c>
      <c r="H592">
        <f t="shared" si="104"/>
        <v>0</v>
      </c>
      <c r="I592">
        <f t="shared" si="100"/>
        <v>7.1428571428571425E-2</v>
      </c>
      <c r="J592">
        <f t="shared" si="105"/>
        <v>0</v>
      </c>
      <c r="K592">
        <f t="shared" si="109"/>
        <v>0.17786475320721892</v>
      </c>
      <c r="L592">
        <f t="shared" si="106"/>
        <v>0</v>
      </c>
      <c r="M592">
        <f t="shared" si="99"/>
        <v>7.1428571428571425E-2</v>
      </c>
      <c r="N592">
        <f t="shared" si="107"/>
        <v>0</v>
      </c>
      <c r="O592">
        <f t="shared" si="108"/>
        <v>0</v>
      </c>
      <c r="P592" t="str">
        <f>IFERROR(LN('Дивиденды по годам'!I592),"")</f>
        <v/>
      </c>
      <c r="Q592" t="str">
        <f>IFERROR('Дивиденды по годам'!G592/'Дивиденды по годам'!I592, "")</f>
        <v/>
      </c>
      <c r="R592" t="str">
        <f>IFERROR(IF(AND('Дивиденды по годам'!N592&lt;&gt;"",'Дивиденды по годам'!U592&lt;&gt;"",'Дивиденды по годам'!U592&lt;&gt;0),'Дивиденды по годам'!N592/'Дивиденды по годам'!U592-1,""),"")</f>
        <v/>
      </c>
      <c r="S592" t="str">
        <f>IFERROR(IF(AND('Дивиденды по годам'!L592&lt;&gt;"",'Дивиденды по годам'!I592&lt;&gt;"",'Дивиденды по годам'!J592&lt;&gt;"",'Дивиденды по годам'!K592&lt;&gt;"",('Дивиденды по годам'!I592-'Дивиденды по годам'!J592-'Дивиденды по годам'!K592)&lt;&gt;0),'Дивиденды по годам'!L592/('Дивиденды по годам'!I592-'Дивиденды по годам'!J592-'Дивиденды по годам'!K592),""),"")</f>
        <v/>
      </c>
      <c r="T592" t="str">
        <f>IFERROR(IF(AND('Дивиденды по годам'!Q592&lt;&gt;"",'Дивиденды по годам'!I592&lt;&gt;"",'Дивиденды по годам'!V592&lt;&gt;"",('Дивиденды по годам'!I592+'Дивиденды по годам'!V592)&lt;&gt;0),'Дивиденды по годам'!Q592/(('Дивиденды по годам'!I592+'Дивиденды по годам'!V592)/2),""),"")</f>
        <v/>
      </c>
      <c r="U592" t="str">
        <f>IFERROR(IF(AND('Дивиденды по годам'!J592&lt;&gt;"",'Дивиденды по годам'!K592&lt;&gt;"",'Дивиденды по годам'!M592&lt;&gt;"",'Дивиденды по годам'!M592&lt;&gt;0),('Дивиденды по годам'!J592+'Дивиденды по годам'!K592)/'Дивиденды по годам'!M592,""),"")</f>
        <v/>
      </c>
      <c r="V592" cm="1">
        <f t="array" ref="V592">IFERROR(AVERAGE(_xlfn._xlws.FILTER(P$2:P$1073,($C$2:$C$1073=$C592)*($E$2:$E$1073=$E592)*(ROW(P$2:P$1073)&lt;&gt;ROW(P592))*(P$2:P$1073&lt;&gt;""))),"")</f>
        <v>24.180789108496477</v>
      </c>
      <c r="W592" cm="1">
        <f t="array" ref="W592">IFERROR(AVERAGE(_xlfn._xlws.FILTER(Q$2:Q$1073,($C$2:$C$1073=$C592)*($E$2:$E$1073=$E592)*(ROW(Q$2:Q$1073)&lt;&gt;ROW(Q592))*(Q$2:Q$1073&lt;&gt;""))),"")</f>
        <v>0.29604752502083465</v>
      </c>
      <c r="X592" cm="1">
        <f t="array" ref="X592">IFERROR(AVERAGE(_xlfn._xlws.FILTER(R$2:R$1073,($C$2:$C$1073=$C592)*($E$2:$E$1073=$E592)*(ROW(R$2:R$1073)&lt;&gt;ROW(R592))*(R$2:R$1073&lt;&gt;""))),"")</f>
        <v>5.9511017560386792E-2</v>
      </c>
      <c r="Y592" t="str" cm="1">
        <f t="array" ref="Y592">IFERROR(AVERAGE(_xlfn._xlws.FILTER(S$2:S$1073,($C$2:$C$1073=$C592)*($E$2:$E$1073=$E592)*(ROW(S$2:S$1073)&lt;&gt;ROW(S592))*(S$2:S$1073&lt;&gt;""))),"")</f>
        <v/>
      </c>
      <c r="Z592" cm="1">
        <f t="array" ref="Z592">IFERROR(AVERAGE(_xlfn._xlws.FILTER(T$2:T$1073,($C$2:$C$1073=$C592)*($E$2:$E$1073=$E592)*(ROW(T$2:T$1073)&lt;&gt;ROW(T592))*(T$2:T$1073&lt;&gt;""))),"")</f>
        <v>-1.4171101286470289E-2</v>
      </c>
      <c r="AA592" cm="1">
        <f t="array" ref="AA592">IFERROR(AVERAGE(_xlfn._xlws.FILTER(U$2:U$1073,($C$2:$C$1073=$C592)*($E$2:$E$1073=$E592)*(ROW(U$2:U$1073)&lt;&gt;ROW(U592))*(U$2:U$1073&lt;&gt;""))),"")</f>
        <v>2.1854574410792247</v>
      </c>
    </row>
    <row r="593" spans="1:27" x14ac:dyDescent="0.2">
      <c r="A593" s="7" t="s">
        <v>2252</v>
      </c>
      <c r="B593" t="str">
        <f t="shared" si="101"/>
        <v>HNFG IV кв. 2010</v>
      </c>
      <c r="C593">
        <v>2010</v>
      </c>
      <c r="D593">
        <f>SUMIFS(Дивиденды!$C:$C,Дивиденды!$A:$A,A593,Дивиденды!$I:$I,C593)</f>
        <v>0</v>
      </c>
      <c r="E593">
        <v>4</v>
      </c>
      <c r="F593">
        <f t="shared" si="102"/>
        <v>0</v>
      </c>
      <c r="G593">
        <f t="shared" si="103"/>
        <v>0.46928571428571431</v>
      </c>
      <c r="H593">
        <f t="shared" si="104"/>
        <v>0</v>
      </c>
      <c r="I593">
        <f t="shared" si="100"/>
        <v>7.1428571428571425E-2</v>
      </c>
      <c r="J593" t="str">
        <f t="shared" si="105"/>
        <v/>
      </c>
      <c r="K593" t="str">
        <f t="shared" si="109"/>
        <v/>
      </c>
      <c r="L593" t="str">
        <f t="shared" si="106"/>
        <v/>
      </c>
      <c r="M593" t="str">
        <f t="shared" si="99"/>
        <v/>
      </c>
      <c r="N593" t="str">
        <f t="shared" si="107"/>
        <v/>
      </c>
      <c r="O593" t="str">
        <f t="shared" si="108"/>
        <v/>
      </c>
      <c r="P593" t="str">
        <f>IFERROR(LN('Дивиденды по годам'!I593),"")</f>
        <v/>
      </c>
      <c r="Q593" t="str">
        <f>IFERROR('Дивиденды по годам'!G593/'Дивиденды по годам'!I593, "")</f>
        <v/>
      </c>
      <c r="R593" t="str">
        <f>IFERROR(IF(AND('Дивиденды по годам'!N593&lt;&gt;"",'Дивиденды по годам'!U593&lt;&gt;"",'Дивиденды по годам'!U593&lt;&gt;0),'Дивиденды по годам'!N593/'Дивиденды по годам'!U593-1,""),"")</f>
        <v/>
      </c>
      <c r="S593" t="str">
        <f>IFERROR(IF(AND('Дивиденды по годам'!L593&lt;&gt;"",'Дивиденды по годам'!I593&lt;&gt;"",'Дивиденды по годам'!J593&lt;&gt;"",'Дивиденды по годам'!K593&lt;&gt;"",('Дивиденды по годам'!I593-'Дивиденды по годам'!J593-'Дивиденды по годам'!K593)&lt;&gt;0),'Дивиденды по годам'!L593/('Дивиденды по годам'!I593-'Дивиденды по годам'!J593-'Дивиденды по годам'!K593),""),"")</f>
        <v/>
      </c>
      <c r="T593" t="str">
        <f>IFERROR(IF(AND('Дивиденды по годам'!Q593&lt;&gt;"",'Дивиденды по годам'!I593&lt;&gt;"",'Дивиденды по годам'!V593&lt;&gt;"",('Дивиденды по годам'!I593+'Дивиденды по годам'!V593)&lt;&gt;0),'Дивиденды по годам'!Q593/(('Дивиденды по годам'!I593+'Дивиденды по годам'!V593)/2),""),"")</f>
        <v/>
      </c>
      <c r="U593" t="str">
        <f>IFERROR(IF(AND('Дивиденды по годам'!J593&lt;&gt;"",'Дивиденды по годам'!K593&lt;&gt;"",'Дивиденды по годам'!M593&lt;&gt;"",'Дивиденды по годам'!M593&lt;&gt;0),('Дивиденды по годам'!J593+'Дивиденды по годам'!K593)/'Дивиденды по годам'!M593,""),"")</f>
        <v/>
      </c>
      <c r="V593" cm="1">
        <f t="array" ref="V593">IFERROR(AVERAGE(_xlfn._xlws.FILTER(P$2:P$1073,($C$2:$C$1073=$C593)*($E$2:$E$1073=$E593)*(ROW(P$2:P$1073)&lt;&gt;ROW(P593))*(P$2:P$1073&lt;&gt;""))),"")</f>
        <v>23.656010386255485</v>
      </c>
      <c r="W593" cm="1">
        <f t="array" ref="W593">IFERROR(AVERAGE(_xlfn._xlws.FILTER(Q$2:Q$1073,($C$2:$C$1073=$C593)*($E$2:$E$1073=$E593)*(ROW(Q$2:Q$1073)&lt;&gt;ROW(Q593))*(Q$2:Q$1073&lt;&gt;""))),"")</f>
        <v>0.15222241747474585</v>
      </c>
      <c r="X593" t="str" cm="1">
        <f t="array" ref="X593">IFERROR(AVERAGE(_xlfn._xlws.FILTER(R$2:R$1073,($C$2:$C$1073=$C593)*($E$2:$E$1073=$E593)*(ROW(R$2:R$1073)&lt;&gt;ROW(R593))*(R$2:R$1073&lt;&gt;""))),"")</f>
        <v/>
      </c>
      <c r="Y593" t="str" cm="1">
        <f t="array" ref="Y593">IFERROR(AVERAGE(_xlfn._xlws.FILTER(S$2:S$1073,($C$2:$C$1073=$C593)*($E$2:$E$1073=$E593)*(ROW(S$2:S$1073)&lt;&gt;ROW(S593))*(S$2:S$1073&lt;&gt;""))),"")</f>
        <v/>
      </c>
      <c r="Z593" t="str" cm="1">
        <f t="array" ref="Z593">IFERROR(AVERAGE(_xlfn._xlws.FILTER(T$2:T$1073,($C$2:$C$1073=$C593)*($E$2:$E$1073=$E593)*(ROW(T$2:T$1073)&lt;&gt;ROW(T593))*(T$2:T$1073&lt;&gt;""))),"")</f>
        <v/>
      </c>
      <c r="AA593" cm="1">
        <f t="array" ref="AA593">IFERROR(AVERAGE(_xlfn._xlws.FILTER(U$2:U$1073,($C$2:$C$1073=$C593)*($E$2:$E$1073=$E593)*(ROW(U$2:U$1073)&lt;&gt;ROW(U593))*(U$2:U$1073&lt;&gt;""))),"")</f>
        <v>2.8988498110700496</v>
      </c>
    </row>
    <row r="594" spans="1:27" x14ac:dyDescent="0.2">
      <c r="A594" s="7" t="s">
        <v>2318</v>
      </c>
      <c r="B594" t="str">
        <f t="shared" si="101"/>
        <v>LENT IV кв. 2025</v>
      </c>
      <c r="C594">
        <v>2025</v>
      </c>
      <c r="D594">
        <f>SUMIFS(Дивиденды!$C:$C,Дивиденды!$A:$A,A594,Дивиденды!$I:$I,C594)</f>
        <v>0</v>
      </c>
      <c r="E594">
        <v>4</v>
      </c>
      <c r="F594">
        <f t="shared" si="102"/>
        <v>0</v>
      </c>
      <c r="G594">
        <f t="shared" si="103"/>
        <v>31.581428571428571</v>
      </c>
      <c r="H594">
        <f t="shared" si="104"/>
        <v>0</v>
      </c>
      <c r="I594">
        <f t="shared" si="100"/>
        <v>0.42857142857142855</v>
      </c>
      <c r="J594">
        <f t="shared" si="105"/>
        <v>0</v>
      </c>
      <c r="K594">
        <f t="shared" si="109"/>
        <v>-0.1825263432406963</v>
      </c>
      <c r="L594">
        <f t="shared" si="106"/>
        <v>0</v>
      </c>
      <c r="M594">
        <f t="shared" si="99"/>
        <v>0.14285714285714285</v>
      </c>
      <c r="N594">
        <f t="shared" si="107"/>
        <v>0</v>
      </c>
      <c r="O594">
        <f t="shared" si="108"/>
        <v>0.5</v>
      </c>
      <c r="P594" t="str">
        <f>IFERROR(LN('Дивиденды по годам'!I594),"")</f>
        <v/>
      </c>
      <c r="Q594" t="str">
        <f>IFERROR('Дивиденды по годам'!G594/'Дивиденды по годам'!I594, "")</f>
        <v/>
      </c>
      <c r="R594" t="str">
        <f>IFERROR(IF(AND('Дивиденды по годам'!N594&lt;&gt;"",'Дивиденды по годам'!U594&lt;&gt;"",'Дивиденды по годам'!U594&lt;&gt;0),'Дивиденды по годам'!N594/'Дивиденды по годам'!U594-1,""),"")</f>
        <v/>
      </c>
      <c r="S594" t="str">
        <f>IFERROR(IF(AND('Дивиденды по годам'!L594&lt;&gt;"",'Дивиденды по годам'!I594&lt;&gt;"",'Дивиденды по годам'!J594&lt;&gt;"",'Дивиденды по годам'!K594&lt;&gt;"",('Дивиденды по годам'!I594-'Дивиденды по годам'!J594-'Дивиденды по годам'!K594)&lt;&gt;0),'Дивиденды по годам'!L594/('Дивиденды по годам'!I594-'Дивиденды по годам'!J594-'Дивиденды по годам'!K594),""),"")</f>
        <v/>
      </c>
      <c r="T594" t="str">
        <f>IFERROR(IF(AND('Дивиденды по годам'!Q594&lt;&gt;"",'Дивиденды по годам'!I594&lt;&gt;"",'Дивиденды по годам'!V594&lt;&gt;"",('Дивиденды по годам'!I594+'Дивиденды по годам'!V594)&lt;&gt;0),'Дивиденды по годам'!Q594/(('Дивиденды по годам'!I594+'Дивиденды по годам'!V594)/2),""),"")</f>
        <v/>
      </c>
      <c r="U594" t="str">
        <f>IFERROR(IF(AND('Дивиденды по годам'!J594&lt;&gt;"",'Дивиденды по годам'!K594&lt;&gt;"",'Дивиденды по годам'!M594&lt;&gt;"",'Дивиденды по годам'!M594&lt;&gt;0),('Дивиденды по годам'!J594+'Дивиденды по годам'!K594)/'Дивиденды по годам'!M594,""),"")</f>
        <v/>
      </c>
      <c r="V594" cm="1">
        <f t="array" ref="V594">IFERROR(AVERAGE(_xlfn._xlws.FILTER(P$2:P$1073,($C$2:$C$1073=$C594)*($E$2:$E$1073=$E594)*(ROW(P$2:P$1073)&lt;&gt;ROW(P594))*(P$2:P$1073&lt;&gt;""))),"")</f>
        <v>26.183512711155618</v>
      </c>
      <c r="W594" cm="1">
        <f t="array" ref="W594">IFERROR(AVERAGE(_xlfn._xlws.FILTER(Q$2:Q$1073,($C$2:$C$1073=$C594)*($E$2:$E$1073=$E594)*(ROW(Q$2:Q$1073)&lt;&gt;ROW(Q594))*(Q$2:Q$1073&lt;&gt;""))),"")</f>
        <v>0.42364014522274984</v>
      </c>
      <c r="X594" cm="1">
        <f t="array" ref="X594">IFERROR(AVERAGE(_xlfn._xlws.FILTER(R$2:R$1073,($C$2:$C$1073=$C594)*($E$2:$E$1073=$E594)*(ROW(R$2:R$1073)&lt;&gt;ROW(R594))*(R$2:R$1073&lt;&gt;""))),"")</f>
        <v>6.6096126428947105E-2</v>
      </c>
      <c r="Y594" cm="1">
        <f t="array" ref="Y594">IFERROR(AVERAGE(_xlfn._xlws.FILTER(S$2:S$1073,($C$2:$C$1073=$C594)*($E$2:$E$1073=$E594)*(ROW(S$2:S$1073)&lt;&gt;ROW(S594))*(S$2:S$1073&lt;&gt;""))),"")</f>
        <v>0.94174952343815033</v>
      </c>
      <c r="Z594" cm="1">
        <f t="array" ref="Z594">IFERROR(AVERAGE(_xlfn._xlws.FILTER(T$2:T$1073,($C$2:$C$1073=$C594)*($E$2:$E$1073=$E594)*(ROW(T$2:T$1073)&lt;&gt;ROW(T594))*(T$2:T$1073&lt;&gt;""))),"")</f>
        <v>1.3107153079830167E-2</v>
      </c>
      <c r="AA594" cm="1">
        <f t="array" ref="AA594">IFERROR(AVERAGE(_xlfn._xlws.FILTER(U$2:U$1073,($C$2:$C$1073=$C594)*($E$2:$E$1073=$E594)*(ROW(U$2:U$1073)&lt;&gt;ROW(U594))*(U$2:U$1073&lt;&gt;""))),"")</f>
        <v>6.2968354519658218</v>
      </c>
    </row>
    <row r="595" spans="1:27" x14ac:dyDescent="0.2">
      <c r="A595" s="7" t="s">
        <v>2318</v>
      </c>
      <c r="B595" t="str">
        <f t="shared" si="101"/>
        <v>LENT IV кв. 2024</v>
      </c>
      <c r="C595">
        <v>2024</v>
      </c>
      <c r="D595">
        <f>SUMIFS(Дивиденды!$C:$C,Дивиденды!$A:$A,A595,Дивиденды!$I:$I,C595)</f>
        <v>0</v>
      </c>
      <c r="E595">
        <v>4</v>
      </c>
      <c r="F595">
        <f t="shared" si="102"/>
        <v>0</v>
      </c>
      <c r="G595">
        <f t="shared" si="103"/>
        <v>62.511428571428574</v>
      </c>
      <c r="H595">
        <f t="shared" si="104"/>
        <v>0</v>
      </c>
      <c r="I595">
        <f t="shared" si="100"/>
        <v>0.5714285714285714</v>
      </c>
      <c r="J595">
        <f t="shared" si="105"/>
        <v>0</v>
      </c>
      <c r="K595">
        <f t="shared" si="109"/>
        <v>0.21145574536348383</v>
      </c>
      <c r="L595">
        <f t="shared" si="106"/>
        <v>0</v>
      </c>
      <c r="M595">
        <f t="shared" si="99"/>
        <v>0.35714285714285715</v>
      </c>
      <c r="N595">
        <f t="shared" si="107"/>
        <v>0</v>
      </c>
      <c r="O595">
        <f t="shared" si="108"/>
        <v>0.2857142857142857</v>
      </c>
      <c r="P595">
        <f>IFERROR(LN('Дивиденды по годам'!I595),"")</f>
        <v>26.928628057670036</v>
      </c>
      <c r="Q595">
        <f>IFERROR('Дивиденды по годам'!G595/'Дивиденды по годам'!I595, "")</f>
        <v>0.35868002164811336</v>
      </c>
      <c r="R595">
        <f>IFERROR(IF(AND('Дивиденды по годам'!N595&lt;&gt;"",'Дивиденды по годам'!U595&lt;&gt;"",'Дивиденды по годам'!U595&lt;&gt;0),'Дивиденды по годам'!N595/'Дивиденды по годам'!U595-1,""),"")</f>
        <v>0.44223642123806206</v>
      </c>
      <c r="S595">
        <f>IFERROR(IF(AND('Дивиденды по годам'!L595&lt;&gt;"",'Дивиденды по годам'!I595&lt;&gt;"",'Дивиденды по годам'!J595&lt;&gt;"",'Дивиденды по годам'!K595&lt;&gt;"",('Дивиденды по годам'!I595-'Дивиденды по годам'!J595-'Дивиденды по годам'!K595)&lt;&gt;0),'Дивиденды по годам'!L595/('Дивиденды по годам'!I595-'Дивиденды по годам'!J595-'Дивиденды по годам'!K595),""),"")</f>
        <v>0.70042561710258044</v>
      </c>
      <c r="T595">
        <f>IFERROR(IF(AND('Дивиденды по годам'!Q595&lt;&gt;"",'Дивиденды по годам'!I595&lt;&gt;"",'Дивиденды по годам'!V595&lt;&gt;"",('Дивиденды по годам'!I595+'Дивиденды по годам'!V595)&lt;&gt;0),'Дивиденды по годам'!Q595/(('Дивиденды по годам'!I595+'Дивиденды по годам'!V595)/2),""),"")</f>
        <v>4.6917643314579059E-2</v>
      </c>
      <c r="U595">
        <f>IFERROR(IF(AND('Дивиденды по годам'!J595&lt;&gt;"",'Дивиденды по годам'!K595&lt;&gt;"",'Дивиденды по годам'!M595&lt;&gt;"",'Дивиденды по годам'!M595&lt;&gt;0),('Дивиденды по годам'!J595+'Дивиденды по годам'!K595)/'Дивиденды по годам'!M595,""),"")</f>
        <v>2.3250964346586294</v>
      </c>
      <c r="V595" cm="1">
        <f t="array" ref="V595">IFERROR(AVERAGE(_xlfn._xlws.FILTER(P$2:P$1073,($C$2:$C$1073=$C595)*($E$2:$E$1073=$E595)*(ROW(P$2:P$1073)&lt;&gt;ROW(P595))*(P$2:P$1073&lt;&gt;""))),"")</f>
        <v>25.467384546430377</v>
      </c>
      <c r="W595" cm="1">
        <f t="array" ref="W595">IFERROR(AVERAGE(_xlfn._xlws.FILTER(Q$2:Q$1073,($C$2:$C$1073=$C595)*($E$2:$E$1073=$E595)*(ROW(Q$2:Q$1073)&lt;&gt;ROW(Q595))*(Q$2:Q$1073&lt;&gt;""))),"")</f>
        <v>0.25608473190371378</v>
      </c>
      <c r="X595" cm="1">
        <f t="array" ref="X595">IFERROR(AVERAGE(_xlfn._xlws.FILTER(R$2:R$1073,($C$2:$C$1073=$C595)*($E$2:$E$1073=$E595)*(ROW(R$2:R$1073)&lt;&gt;ROW(R595))*(R$2:R$1073&lt;&gt;""))),"")</f>
        <v>0.25283857574309382</v>
      </c>
      <c r="Y595" cm="1">
        <f t="array" ref="Y595">IFERROR(AVERAGE(_xlfn._xlws.FILTER(S$2:S$1073,($C$2:$C$1073=$C595)*($E$2:$E$1073=$E595)*(ROW(S$2:S$1073)&lt;&gt;ROW(S595))*(S$2:S$1073&lt;&gt;""))),"")</f>
        <v>1.2046703251039956</v>
      </c>
      <c r="Z595" cm="1">
        <f t="array" ref="Z595">IFERROR(AVERAGE(_xlfn._xlws.FILTER(T$2:T$1073,($C$2:$C$1073=$C595)*($E$2:$E$1073=$E595)*(ROW(T$2:T$1073)&lt;&gt;ROW(T595))*(T$2:T$1073&lt;&gt;""))),"")</f>
        <v>7.4815495215457037E-2</v>
      </c>
      <c r="AA595" cm="1">
        <f t="array" ref="AA595">IFERROR(AVERAGE(_xlfn._xlws.FILTER(U$2:U$1073,($C$2:$C$1073=$C595)*($E$2:$E$1073=$E595)*(ROW(U$2:U$1073)&lt;&gt;ROW(U595))*(U$2:U$1073&lt;&gt;""))),"")</f>
        <v>4.1097764734638895</v>
      </c>
    </row>
    <row r="596" spans="1:27" x14ac:dyDescent="0.2">
      <c r="A596" s="7" t="s">
        <v>2318</v>
      </c>
      <c r="B596" t="str">
        <f t="shared" si="101"/>
        <v>LENT IV кв. 2023</v>
      </c>
      <c r="C596">
        <v>2023</v>
      </c>
      <c r="D596">
        <f>SUMIFS(Дивиденды!$C:$C,Дивиденды!$A:$A,A596,Дивиденды!$I:$I,C596)</f>
        <v>0</v>
      </c>
      <c r="E596">
        <v>4</v>
      </c>
      <c r="F596">
        <f t="shared" si="102"/>
        <v>0</v>
      </c>
      <c r="G596">
        <f t="shared" si="103"/>
        <v>90.740000000000009</v>
      </c>
      <c r="H596">
        <f t="shared" si="104"/>
        <v>0</v>
      </c>
      <c r="I596">
        <f t="shared" si="100"/>
        <v>0.5</v>
      </c>
      <c r="J596">
        <f t="shared" si="105"/>
        <v>0</v>
      </c>
      <c r="K596">
        <f t="shared" si="109"/>
        <v>0.29812745098039217</v>
      </c>
      <c r="L596">
        <f t="shared" si="106"/>
        <v>0</v>
      </c>
      <c r="M596">
        <f t="shared" si="99"/>
        <v>0.42857142857142855</v>
      </c>
      <c r="N596">
        <f t="shared" si="107"/>
        <v>0</v>
      </c>
      <c r="O596">
        <f t="shared" si="108"/>
        <v>0</v>
      </c>
      <c r="P596">
        <f>IFERROR(LN('Дивиденды по годам'!I596),"")</f>
        <v>26.859195531609103</v>
      </c>
      <c r="Q596">
        <f>IFERROR('Дивиденды по годам'!G596/'Дивиденды по годам'!I596, "")</f>
        <v>0.38491227562272357</v>
      </c>
      <c r="R596">
        <f>IFERROR(IF(AND('Дивиденды по годам'!N596&lt;&gt;"",'Дивиденды по годам'!U596&lt;&gt;"",'Дивиденды по годам'!U596&lt;&gt;0),'Дивиденды по годам'!N596/'Дивиденды по годам'!U596-1,""),"")</f>
        <v>0.14611525608265552</v>
      </c>
      <c r="S596">
        <f>IFERROR(IF(AND('Дивиденды по годам'!L596&lt;&gt;"",'Дивиденды по годам'!I596&lt;&gt;"",'Дивиденды по годам'!J596&lt;&gt;"",'Дивиденды по годам'!K596&lt;&gt;"",('Дивиденды по годам'!I596-'Дивиденды по годам'!J596-'Дивиденды по годам'!K596)&lt;&gt;0),'Дивиденды по годам'!L596/('Дивиденды по годам'!I596-'Дивиденды по годам'!J596-'Дивиденды по годам'!K596),""),"")</f>
        <v>0.64560171282980983</v>
      </c>
      <c r="T596">
        <f>IFERROR(IF(AND('Дивиденды по годам'!Q596&lt;&gt;"",'Дивиденды по годам'!I596&lt;&gt;"",'Дивиденды по годам'!V596&lt;&gt;"",('Дивиденды по годам'!I596+'Дивиденды по годам'!V596)&lt;&gt;0),'Дивиденды по годам'!Q596/(('Дивиденды по годам'!I596+'Дивиденды по годам'!V596)/2),""),"")</f>
        <v>-6.4944418615756495E-3</v>
      </c>
      <c r="U596">
        <f>IFERROR(IF(AND('Дивиденды по годам'!J596&lt;&gt;"",'Дивиденды по годам'!K596&lt;&gt;"",'Дивиденды по годам'!M596&lt;&gt;"",'Дивиденды по годам'!M596&lt;&gt;0),('Дивиденды по годам'!J596+'Дивиденды по годам'!K596)/'Дивиденды по годам'!M596,""),"")</f>
        <v>2.6435677510815161</v>
      </c>
      <c r="V596" cm="1">
        <f t="array" ref="V596">IFERROR(AVERAGE(_xlfn._xlws.FILTER(P$2:P$1073,($C$2:$C$1073=$C596)*($E$2:$E$1073=$E596)*(ROW(P$2:P$1073)&lt;&gt;ROW(P596))*(P$2:P$1073&lt;&gt;""))),"")</f>
        <v>25.26038097083941</v>
      </c>
      <c r="W596" cm="1">
        <f t="array" ref="W596">IFERROR(AVERAGE(_xlfn._xlws.FILTER(Q$2:Q$1073,($C$2:$C$1073=$C596)*($E$2:$E$1073=$E596)*(ROW(Q$2:Q$1073)&lt;&gt;ROW(Q596))*(Q$2:Q$1073&lt;&gt;""))),"")</f>
        <v>0.24077847989650092</v>
      </c>
      <c r="X596" cm="1">
        <f t="array" ref="X596">IFERROR(AVERAGE(_xlfn._xlws.FILTER(R$2:R$1073,($C$2:$C$1073=$C596)*($E$2:$E$1073=$E596)*(ROW(R$2:R$1073)&lt;&gt;ROW(R596))*(R$2:R$1073&lt;&gt;""))),"")</f>
        <v>0.25449639357464782</v>
      </c>
      <c r="Y596" cm="1">
        <f t="array" ref="Y596">IFERROR(AVERAGE(_xlfn._xlws.FILTER(S$2:S$1073,($C$2:$C$1073=$C596)*($E$2:$E$1073=$E596)*(ROW(S$2:S$1073)&lt;&gt;ROW(S596))*(S$2:S$1073&lt;&gt;""))),"")</f>
        <v>1.2888791791727134</v>
      </c>
      <c r="Z596" cm="1">
        <f t="array" ref="Z596">IFERROR(AVERAGE(_xlfn._xlws.FILTER(T$2:T$1073,($C$2:$C$1073=$C596)*($E$2:$E$1073=$E596)*(ROW(T$2:T$1073)&lt;&gt;ROW(T596))*(T$2:T$1073&lt;&gt;""))),"")</f>
        <v>0.12004553029384435</v>
      </c>
      <c r="AA596" cm="1">
        <f t="array" ref="AA596">IFERROR(AVERAGE(_xlfn._xlws.FILTER(U$2:U$1073,($C$2:$C$1073=$C596)*($E$2:$E$1073=$E596)*(ROW(U$2:U$1073)&lt;&gt;ROW(U596))*(U$2:U$1073&lt;&gt;""))),"")</f>
        <v>2.5834716276819121</v>
      </c>
    </row>
    <row r="597" spans="1:27" x14ac:dyDescent="0.2">
      <c r="A597" s="7" t="s">
        <v>2318</v>
      </c>
      <c r="B597" t="str">
        <f t="shared" si="101"/>
        <v>LENT IV кв. 2022</v>
      </c>
      <c r="C597">
        <v>2022</v>
      </c>
      <c r="D597">
        <f>SUMIFS(Дивиденды!$C:$C,Дивиденды!$A:$A,A597,Дивиденды!$I:$I,C597)</f>
        <v>0</v>
      </c>
      <c r="E597">
        <v>4</v>
      </c>
      <c r="F597">
        <f t="shared" si="102"/>
        <v>0</v>
      </c>
      <c r="G597">
        <f t="shared" si="103"/>
        <v>80.180000000000021</v>
      </c>
      <c r="H597">
        <f t="shared" si="104"/>
        <v>0</v>
      </c>
      <c r="I597">
        <f t="shared" si="100"/>
        <v>0.2857142857142857</v>
      </c>
      <c r="J597">
        <f t="shared" si="105"/>
        <v>0</v>
      </c>
      <c r="K597">
        <f t="shared" si="109"/>
        <v>0.49583624512073399</v>
      </c>
      <c r="L597">
        <f t="shared" si="106"/>
        <v>0</v>
      </c>
      <c r="M597">
        <f t="shared" si="99"/>
        <v>0.2857142857142857</v>
      </c>
      <c r="N597">
        <f t="shared" si="107"/>
        <v>0</v>
      </c>
      <c r="O597">
        <f t="shared" si="108"/>
        <v>7.1428571428571425E-2</v>
      </c>
      <c r="P597">
        <f>IFERROR(LN('Дивиденды по годам'!I597),"")</f>
        <v>26.574208854390839</v>
      </c>
      <c r="Q597">
        <f>IFERROR('Дивиденды по годам'!G597/'Дивиденды по годам'!I597, "")</f>
        <v>0.49189177574694642</v>
      </c>
      <c r="R597">
        <f>IFERROR(IF(AND('Дивиденды по годам'!N597&lt;&gt;"",'Дивиденды по годам'!U597&lt;&gt;"",'Дивиденды по годам'!U597&lt;&gt;0),'Дивиденды по годам'!N597/'Дивиденды по годам'!U597-1,""),"")</f>
        <v>0.11115644157686777</v>
      </c>
      <c r="S597">
        <f>IFERROR(IF(AND('Дивиденды по годам'!L597&lt;&gt;"",'Дивиденды по годам'!I597&lt;&gt;"",'Дивиденды по годам'!J597&lt;&gt;"",'Дивиденды по годам'!K597&lt;&gt;"",('Дивиденды по годам'!I597-'Дивиденды по годам'!J597-'Дивиденды по годам'!K597)&lt;&gt;0),'Дивиденды по годам'!L597/('Дивиденды по годам'!I597-'Дивиденды по годам'!J597-'Дивиденды по годам'!K597),""),"")</f>
        <v>0.65013582770325162</v>
      </c>
      <c r="T597">
        <f>IFERROR(IF(AND('Дивиденды по годам'!Q597&lt;&gt;"",'Дивиденды по годам'!I597&lt;&gt;"",'Дивиденды по годам'!V597&lt;&gt;"",('Дивиденды по годам'!I597+'Дивиденды по годам'!V597)&lt;&gt;0),'Дивиденды по годам'!Q597/(('Дивиденды по годам'!I597+'Дивиденды по годам'!V597)/2),""),"")</f>
        <v>1.0455030698675366E-2</v>
      </c>
      <c r="U597">
        <f>IFERROR(IF(AND('Дивиденды по годам'!J597&lt;&gt;"",'Дивиденды по годам'!K597&lt;&gt;"",'Дивиденды по годам'!M597&lt;&gt;"",'Дивиденды по годам'!M597&lt;&gt;0),('Дивиденды по годам'!J597+'Дивиденды по годам'!K597)/'Дивиденды по годам'!M597,""),"")</f>
        <v>1.6734555173069605</v>
      </c>
      <c r="V597" cm="1">
        <f t="array" ref="V597">IFERROR(AVERAGE(_xlfn._xlws.FILTER(P$2:P$1073,($C$2:$C$1073=$C597)*($E$2:$E$1073=$E597)*(ROW(P$2:P$1073)&lt;&gt;ROW(P597))*(P$2:P$1073&lt;&gt;""))),"")</f>
        <v>25.158506751978052</v>
      </c>
      <c r="W597" cm="1">
        <f t="array" ref="W597">IFERROR(AVERAGE(_xlfn._xlws.FILTER(Q$2:Q$1073,($C$2:$C$1073=$C597)*($E$2:$E$1073=$E597)*(ROW(Q$2:Q$1073)&lt;&gt;ROW(Q597))*(Q$2:Q$1073&lt;&gt;""))),"")</f>
        <v>0.22797021262646536</v>
      </c>
      <c r="X597" cm="1">
        <f t="array" ref="X597">IFERROR(AVERAGE(_xlfn._xlws.FILTER(R$2:R$1073,($C$2:$C$1073=$C597)*($E$2:$E$1073=$E597)*(ROW(R$2:R$1073)&lt;&gt;ROW(R597))*(R$2:R$1073&lt;&gt;""))),"")</f>
        <v>0.21367858946265458</v>
      </c>
      <c r="Y597" cm="1">
        <f t="array" ref="Y597">IFERROR(AVERAGE(_xlfn._xlws.FILTER(S$2:S$1073,($C$2:$C$1073=$C597)*($E$2:$E$1073=$E597)*(ROW(S$2:S$1073)&lt;&gt;ROW(S597))*(S$2:S$1073&lt;&gt;""))),"")</f>
        <v>1.3943285269563652</v>
      </c>
      <c r="Z597" cm="1">
        <f t="array" ref="Z597">IFERROR(AVERAGE(_xlfn._xlws.FILTER(T$2:T$1073,($C$2:$C$1073=$C597)*($E$2:$E$1073=$E597)*(ROW(T$2:T$1073)&lt;&gt;ROW(T597))*(T$2:T$1073&lt;&gt;""))),"")</f>
        <v>0.10903169511874268</v>
      </c>
      <c r="AA597" cm="1">
        <f t="array" ref="AA597">IFERROR(AVERAGE(_xlfn._xlws.FILTER(U$2:U$1073,($C$2:$C$1073=$C597)*($E$2:$E$1073=$E597)*(ROW(U$2:U$1073)&lt;&gt;ROW(U597))*(U$2:U$1073&lt;&gt;""))),"")</f>
        <v>2.2151458435524809</v>
      </c>
    </row>
    <row r="598" spans="1:27" x14ac:dyDescent="0.2">
      <c r="A598" s="7" t="s">
        <v>2318</v>
      </c>
      <c r="B598" t="str">
        <f t="shared" si="101"/>
        <v>LENT IV кв. 2021</v>
      </c>
      <c r="C598">
        <v>2021</v>
      </c>
      <c r="D598">
        <f>SUMIFS(Дивиденды!$C:$C,Дивиденды!$A:$A,A598,Дивиденды!$I:$I,C598)</f>
        <v>0</v>
      </c>
      <c r="E598">
        <v>4</v>
      </c>
      <c r="F598">
        <f t="shared" si="102"/>
        <v>0</v>
      </c>
      <c r="G598">
        <f t="shared" si="103"/>
        <v>31.931428571428572</v>
      </c>
      <c r="H598">
        <f t="shared" si="104"/>
        <v>0</v>
      </c>
      <c r="I598">
        <f t="shared" si="100"/>
        <v>0.2857142857142857</v>
      </c>
      <c r="J598">
        <f t="shared" si="105"/>
        <v>0</v>
      </c>
      <c r="K598">
        <f t="shared" si="109"/>
        <v>0.1975016604235505</v>
      </c>
      <c r="L598">
        <f t="shared" si="106"/>
        <v>0</v>
      </c>
      <c r="M598">
        <f t="shared" si="99"/>
        <v>0.21428571428571427</v>
      </c>
      <c r="N598">
        <f t="shared" si="107"/>
        <v>0</v>
      </c>
      <c r="O598">
        <f t="shared" si="108"/>
        <v>7.1428571428571425E-2</v>
      </c>
      <c r="P598">
        <f>IFERROR(LN('Дивиденды по годам'!I598),"")</f>
        <v>26.561835643122262</v>
      </c>
      <c r="Q598">
        <f>IFERROR('Дивиденды по годам'!G598/'Дивиденды по годам'!I598, "")</f>
        <v>0.49628807758485693</v>
      </c>
      <c r="R598">
        <f>IFERROR(IF(AND('Дивиденды по годам'!N598&lt;&gt;"",'Дивиденды по годам'!U598&lt;&gt;"",'Дивиденды по годам'!U598&lt;&gt;0),'Дивиденды по годам'!N598/'Дивиденды по годам'!U598-1,""),"")</f>
        <v>8.5506869403862762E-2</v>
      </c>
      <c r="S598">
        <f>IFERROR(IF(AND('Дивиденды по годам'!L598&lt;&gt;"",'Дивиденды по годам'!I598&lt;&gt;"",'Дивиденды по годам'!J598&lt;&gt;"",'Дивиденды по годам'!K598&lt;&gt;"",('Дивиденды по годам'!I598-'Дивиденды по годам'!J598-'Дивиденды по годам'!K598)&lt;&gt;0),'Дивиденды по годам'!L598/('Дивиденды по годам'!I598-'Дивиденды по годам'!J598-'Дивиденды по годам'!K598),""),"")</f>
        <v>0.75643824614340693</v>
      </c>
      <c r="T598">
        <f>IFERROR(IF(AND('Дивиденды по годам'!Q598&lt;&gt;"",'Дивиденды по годам'!I598&lt;&gt;"",'Дивиденды по годам'!V598&lt;&gt;"",('Дивиденды по годам'!I598+'Дивиденды по годам'!V598)&lt;&gt;0),'Дивиденды по годам'!Q598/(('Дивиденды по годам'!I598+'Дивиденды по годам'!V598)/2),""),"")</f>
        <v>4.0143343778439873E-2</v>
      </c>
      <c r="U598">
        <f>IFERROR(IF(AND('Дивиденды по годам'!J598&lt;&gt;"",'Дивиденды по годам'!K598&lt;&gt;"",'Дивиденды по годам'!M598&lt;&gt;"",'Дивиденды по годам'!M598&lt;&gt;0),('Дивиденды по годам'!J598+'Дивиденды по годам'!K598)/'Дивиденды по годам'!M598,""),"")</f>
        <v>2.2094713786267532</v>
      </c>
      <c r="V598" cm="1">
        <f t="array" ref="V598">IFERROR(AVERAGE(_xlfn._xlws.FILTER(P$2:P$1073,($C$2:$C$1073=$C598)*($E$2:$E$1073=$E598)*(ROW(P$2:P$1073)&lt;&gt;ROW(P598))*(P$2:P$1073&lt;&gt;""))),"")</f>
        <v>25.073481400651975</v>
      </c>
      <c r="W598" cm="1">
        <f t="array" ref="W598">IFERROR(AVERAGE(_xlfn._xlws.FILTER(Q$2:Q$1073,($C$2:$C$1073=$C598)*($E$2:$E$1073=$E598)*(ROW(Q$2:Q$1073)&lt;&gt;ROW(Q598))*(Q$2:Q$1073&lt;&gt;""))),"")</f>
        <v>0.21350688060353926</v>
      </c>
      <c r="X598" cm="1">
        <f t="array" ref="X598">IFERROR(AVERAGE(_xlfn._xlws.FILTER(R$2:R$1073,($C$2:$C$1073=$C598)*($E$2:$E$1073=$E598)*(ROW(R$2:R$1073)&lt;&gt;ROW(R598))*(R$2:R$1073&lt;&gt;""))),"")</f>
        <v>0.34662200338829907</v>
      </c>
      <c r="Y598" cm="1">
        <f t="array" ref="Y598">IFERROR(AVERAGE(_xlfn._xlws.FILTER(S$2:S$1073,($C$2:$C$1073=$C598)*($E$2:$E$1073=$E598)*(ROW(S$2:S$1073)&lt;&gt;ROW(S598))*(S$2:S$1073&lt;&gt;""))),"")</f>
        <v>1.3693174654319733</v>
      </c>
      <c r="Z598" cm="1">
        <f t="array" ref="Z598">IFERROR(AVERAGE(_xlfn._xlws.FILTER(T$2:T$1073,($C$2:$C$1073=$C598)*($E$2:$E$1073=$E598)*(ROW(T$2:T$1073)&lt;&gt;ROW(T598))*(T$2:T$1073&lt;&gt;""))),"")</f>
        <v>0.11017635391913305</v>
      </c>
      <c r="AA598" cm="1">
        <f t="array" ref="AA598">IFERROR(AVERAGE(_xlfn._xlws.FILTER(U$2:U$1073,($C$2:$C$1073=$C598)*($E$2:$E$1073=$E598)*(ROW(U$2:U$1073)&lt;&gt;ROW(U598))*(U$2:U$1073&lt;&gt;""))),"")</f>
        <v>18.164395067733967</v>
      </c>
    </row>
    <row r="599" spans="1:27" x14ac:dyDescent="0.2">
      <c r="A599" s="7" t="s">
        <v>2318</v>
      </c>
      <c r="B599" t="str">
        <f t="shared" si="101"/>
        <v>LENT IV кв. 2020</v>
      </c>
      <c r="C599">
        <v>2020</v>
      </c>
      <c r="D599">
        <f>SUMIFS(Дивиденды!$C:$C,Дивиденды!$A:$A,A599,Дивиденды!$I:$I,C599)</f>
        <v>0</v>
      </c>
      <c r="E599">
        <v>4</v>
      </c>
      <c r="F599">
        <f t="shared" si="102"/>
        <v>0</v>
      </c>
      <c r="G599">
        <f t="shared" si="103"/>
        <v>43.293571428571433</v>
      </c>
      <c r="H599">
        <f t="shared" si="104"/>
        <v>0</v>
      </c>
      <c r="I599">
        <f t="shared" si="100"/>
        <v>0.2857142857142857</v>
      </c>
      <c r="J599">
        <f t="shared" si="105"/>
        <v>0</v>
      </c>
      <c r="K599">
        <f t="shared" si="109"/>
        <v>0.26831617204892738</v>
      </c>
      <c r="L599">
        <f t="shared" si="106"/>
        <v>0</v>
      </c>
      <c r="M599">
        <f t="shared" si="99"/>
        <v>0.2857142857142857</v>
      </c>
      <c r="N599">
        <f t="shared" si="107"/>
        <v>0</v>
      </c>
      <c r="O599">
        <f t="shared" si="108"/>
        <v>0</v>
      </c>
      <c r="P599">
        <f>IFERROR(LN('Дивиденды по годам'!I599),"")</f>
        <v>26.352544504193375</v>
      </c>
      <c r="Q599">
        <f>IFERROR('Дивиденды по годам'!G599/'Дивиденды по годам'!I599, "")</f>
        <v>0.58859549407500544</v>
      </c>
      <c r="R599">
        <f>IFERROR(IF(AND('Дивиденды по годам'!N599&lt;&gt;"",'Дивиденды по годам'!U599&lt;&gt;"",'Дивиденды по годам'!U599&lt;&gt;0),'Дивиденды по годам'!N599/'Дивиденды по годам'!U599-1,""),"")</f>
        <v>6.7170809562725475E-2</v>
      </c>
      <c r="S599">
        <f>IFERROR(IF(AND('Дивиденды по годам'!L599&lt;&gt;"",'Дивиденды по годам'!I599&lt;&gt;"",'Дивиденды по годам'!J599&lt;&gt;"",'Дивиденды по годам'!K599&lt;&gt;"",('Дивиденды по годам'!I599-'Дивиденды по годам'!J599-'Дивиденды по годам'!K599)&lt;&gt;0),'Дивиденды по годам'!L599/('Дивиденды по годам'!I599-'Дивиденды по годам'!J599-'Дивиденды по годам'!K599),""),"")</f>
        <v>0.7237708335829417</v>
      </c>
      <c r="T599">
        <f>IFERROR(IF(AND('Дивиденды по годам'!Q599&lt;&gt;"",'Дивиденды по годам'!I599&lt;&gt;"",'Дивиденды по годам'!V599&lt;&gt;"",('Дивиденды по годам'!I599+'Дивиденды по годам'!V599)&lt;&gt;0),'Дивиденды по годам'!Q599/(('Дивиденды по годам'!I599+'Дивиденды по годам'!V599)/2),""),"")</f>
        <v>5.4778332154490531E-2</v>
      </c>
      <c r="U599">
        <f>IFERROR(IF(AND('Дивиденды по годам'!J599&lt;&gt;"",'Дивиденды по годам'!K599&lt;&gt;"",'Дивиденды по годам'!M599&lt;&gt;"",'Дивиденды по годам'!M599&lt;&gt;0),('Дивиденды по годам'!J599+'Дивиденды по годам'!K599)/'Дивиденды по годам'!M599,""),"")</f>
        <v>1.9472608921710135</v>
      </c>
      <c r="V599" cm="1">
        <f t="array" ref="V599">IFERROR(AVERAGE(_xlfn._xlws.FILTER(P$2:P$1073,($C$2:$C$1073=$C599)*($E$2:$E$1073=$E599)*(ROW(P$2:P$1073)&lt;&gt;ROW(P599))*(P$2:P$1073&lt;&gt;""))),"")</f>
        <v>25.145212958386658</v>
      </c>
      <c r="W599" cm="1">
        <f t="array" ref="W599">IFERROR(AVERAGE(_xlfn._xlws.FILTER(Q$2:Q$1073,($C$2:$C$1073=$C599)*($E$2:$E$1073=$E599)*(ROW(Q$2:Q$1073)&lt;&gt;ROW(Q599))*(Q$2:Q$1073&lt;&gt;""))),"")</f>
        <v>0.2206890240868675</v>
      </c>
      <c r="X599" cm="1">
        <f t="array" ref="X599">IFERROR(AVERAGE(_xlfn._xlws.FILTER(R$2:R$1073,($C$2:$C$1073=$C599)*($E$2:$E$1073=$E599)*(ROW(R$2:R$1073)&lt;&gt;ROW(R599))*(R$2:R$1073&lt;&gt;""))),"")</f>
        <v>0.10053786070708035</v>
      </c>
      <c r="Y599" cm="1">
        <f t="array" ref="Y599">IFERROR(AVERAGE(_xlfn._xlws.FILTER(S$2:S$1073,($C$2:$C$1073=$C599)*($E$2:$E$1073=$E599)*(ROW(S$2:S$1073)&lt;&gt;ROW(S599))*(S$2:S$1073&lt;&gt;""))),"")</f>
        <v>1.8445014853263952</v>
      </c>
      <c r="Z599" cm="1">
        <f t="array" ref="Z599">IFERROR(AVERAGE(_xlfn._xlws.FILTER(T$2:T$1073,($C$2:$C$1073=$C599)*($E$2:$E$1073=$E599)*(ROW(T$2:T$1073)&lt;&gt;ROW(T599))*(T$2:T$1073&lt;&gt;""))),"")</f>
        <v>6.9070092597790914E-2</v>
      </c>
      <c r="AA599" cm="1">
        <f t="array" ref="AA599">IFERROR(AVERAGE(_xlfn._xlws.FILTER(U$2:U$1073,($C$2:$C$1073=$C599)*($E$2:$E$1073=$E599)*(ROW(U$2:U$1073)&lt;&gt;ROW(U599))*(U$2:U$1073&lt;&gt;""))),"")</f>
        <v>-11.821166521017609</v>
      </c>
    </row>
    <row r="600" spans="1:27" x14ac:dyDescent="0.2">
      <c r="A600" s="7" t="s">
        <v>2318</v>
      </c>
      <c r="B600" t="str">
        <f t="shared" si="101"/>
        <v>LENT IV кв. 2019</v>
      </c>
      <c r="C600">
        <v>2019</v>
      </c>
      <c r="D600">
        <f>SUMIFS(Дивиденды!$C:$C,Дивиденды!$A:$A,A600,Дивиденды!$I:$I,C600)</f>
        <v>0</v>
      </c>
      <c r="E600">
        <v>4</v>
      </c>
      <c r="F600">
        <f t="shared" si="102"/>
        <v>0</v>
      </c>
      <c r="G600">
        <f t="shared" si="103"/>
        <v>24.398571428571426</v>
      </c>
      <c r="H600">
        <f t="shared" si="104"/>
        <v>0</v>
      </c>
      <c r="I600">
        <f t="shared" si="100"/>
        <v>0.21428571428571427</v>
      </c>
      <c r="J600">
        <f t="shared" si="105"/>
        <v>0</v>
      </c>
      <c r="K600">
        <f t="shared" si="109"/>
        <v>0.10876410731109194</v>
      </c>
      <c r="L600">
        <f t="shared" si="106"/>
        <v>0</v>
      </c>
      <c r="M600">
        <f t="shared" si="99"/>
        <v>0.21428571428571427</v>
      </c>
      <c r="N600">
        <f t="shared" si="107"/>
        <v>0</v>
      </c>
      <c r="O600">
        <f t="shared" si="108"/>
        <v>0</v>
      </c>
      <c r="P600">
        <f>IFERROR(LN('Дивиденды по годам'!I600),"")</f>
        <v>26.508475500439658</v>
      </c>
      <c r="Q600">
        <f>IFERROR('Дивиденды по годам'!G600/'Дивиденды по годам'!I600, "")</f>
        <v>0.50835182904197207</v>
      </c>
      <c r="R600">
        <f>IFERROR(IF(AND('Дивиденды по годам'!N600&lt;&gt;"",'Дивиденды по годам'!U600&lt;&gt;"",'Дивиденды по годам'!U600&lt;&gt;0),'Дивиденды по годам'!N600/'Дивиденды по годам'!U600-1,""),"")</f>
        <v>9.5217068401443061E-3</v>
      </c>
      <c r="S600">
        <f>IFERROR(IF(AND('Дивиденды по годам'!L600&lt;&gt;"",'Дивиденды по годам'!I600&lt;&gt;"",'Дивиденды по годам'!J600&lt;&gt;"",'Дивиденды по годам'!K600&lt;&gt;"",('Дивиденды по годам'!I600-'Дивиденды по годам'!J600-'Дивиденды по годам'!K600)&lt;&gt;0),'Дивиденды по годам'!L600/('Дивиденды по годам'!I600-'Дивиденды по годам'!J600-'Дивиденды по годам'!K600),""),"")</f>
        <v>0.6616532924537829</v>
      </c>
      <c r="T600">
        <f>IFERROR(IF(AND('Дивиденды по годам'!Q600&lt;&gt;"",'Дивиденды по годам'!I600&lt;&gt;"",'Дивиденды по годам'!V600&lt;&gt;"",('Дивиденды по годам'!I600+'Дивиденды по годам'!V600)&lt;&gt;0),'Дивиденды по годам'!Q600/(('Дивиденды по годам'!I600+'Дивиденды по годам'!V600)/2),""),"")</f>
        <v>-9.2536367571399176E-3</v>
      </c>
      <c r="U600">
        <f>IFERROR(IF(AND('Дивиденды по годам'!J600&lt;&gt;"",'Дивиденды по годам'!K600&lt;&gt;"",'Дивиденды по годам'!M600&lt;&gt;"",'Дивиденды по годам'!M600&lt;&gt;0),('Дивиденды по годам'!J600+'Дивиденды по годам'!K600)/'Дивиденды по годам'!M600,""),"")</f>
        <v>3.1643832804877006</v>
      </c>
      <c r="V600" cm="1">
        <f t="array" ref="V600">IFERROR(AVERAGE(_xlfn._xlws.FILTER(P$2:P$1073,($C$2:$C$1073=$C600)*($E$2:$E$1073=$E600)*(ROW(P$2:P$1073)&lt;&gt;ROW(P600))*(P$2:P$1073&lt;&gt;""))),"")</f>
        <v>24.94199192033966</v>
      </c>
      <c r="W600" cm="1">
        <f t="array" ref="W600">IFERROR(AVERAGE(_xlfn._xlws.FILTER(Q$2:Q$1073,($C$2:$C$1073=$C600)*($E$2:$E$1073=$E600)*(ROW(Q$2:Q$1073)&lt;&gt;ROW(Q600))*(Q$2:Q$1073&lt;&gt;""))),"")</f>
        <v>0.24112235368734941</v>
      </c>
      <c r="X600" cm="1">
        <f t="array" ref="X600">IFERROR(AVERAGE(_xlfn._xlws.FILTER(R$2:R$1073,($C$2:$C$1073=$C600)*($E$2:$E$1073=$E600)*(ROW(R$2:R$1073)&lt;&gt;ROW(R600))*(R$2:R$1073&lt;&gt;""))),"")</f>
        <v>0.47972705123070508</v>
      </c>
      <c r="Y600" cm="1">
        <f t="array" ref="Y600">IFERROR(AVERAGE(_xlfn._xlws.FILTER(S$2:S$1073,($C$2:$C$1073=$C600)*($E$2:$E$1073=$E600)*(ROW(S$2:S$1073)&lt;&gt;ROW(S600))*(S$2:S$1073&lt;&gt;""))),"")</f>
        <v>0.92649888846825557</v>
      </c>
      <c r="Z600" cm="1">
        <f t="array" ref="Z600">IFERROR(AVERAGE(_xlfn._xlws.FILTER(T$2:T$1073,($C$2:$C$1073=$C600)*($E$2:$E$1073=$E600)*(ROW(T$2:T$1073)&lt;&gt;ROW(T600))*(T$2:T$1073&lt;&gt;""))),"")</f>
        <v>5.8101631788606452E-2</v>
      </c>
      <c r="AA600" cm="1">
        <f t="array" ref="AA600">IFERROR(AVERAGE(_xlfn._xlws.FILTER(U$2:U$1073,($C$2:$C$1073=$C600)*($E$2:$E$1073=$E600)*(ROW(U$2:U$1073)&lt;&gt;ROW(U600))*(U$2:U$1073&lt;&gt;""))),"")</f>
        <v>-3.370409252772403</v>
      </c>
    </row>
    <row r="601" spans="1:27" x14ac:dyDescent="0.2">
      <c r="A601" s="7" t="s">
        <v>2318</v>
      </c>
      <c r="B601" t="str">
        <f t="shared" si="101"/>
        <v>LENT IV кв. 2018</v>
      </c>
      <c r="C601">
        <v>2018</v>
      </c>
      <c r="D601">
        <f>SUMIFS(Дивиденды!$C:$C,Дивиденды!$A:$A,A601,Дивиденды!$I:$I,C601)</f>
        <v>0</v>
      </c>
      <c r="E601">
        <v>4</v>
      </c>
      <c r="F601">
        <f t="shared" si="102"/>
        <v>0</v>
      </c>
      <c r="G601">
        <f t="shared" si="103"/>
        <v>21.978571428571428</v>
      </c>
      <c r="H601">
        <f t="shared" si="104"/>
        <v>0</v>
      </c>
      <c r="I601">
        <f t="shared" si="100"/>
        <v>0.14285714285714285</v>
      </c>
      <c r="J601">
        <f t="shared" si="105"/>
        <v>0</v>
      </c>
      <c r="K601">
        <f t="shared" si="109"/>
        <v>-1.8223065562117002E-2</v>
      </c>
      <c r="L601">
        <f t="shared" si="106"/>
        <v>0</v>
      </c>
      <c r="M601">
        <f t="shared" si="99"/>
        <v>7.1428571428571425E-2</v>
      </c>
      <c r="N601">
        <f t="shared" si="107"/>
        <v>0</v>
      </c>
      <c r="O601">
        <f t="shared" si="108"/>
        <v>7.1428571428571425E-2</v>
      </c>
      <c r="P601">
        <f>IFERROR(LN('Дивиденды по годам'!I601),"")</f>
        <v>26.352300296716514</v>
      </c>
      <c r="Q601">
        <f>IFERROR('Дивиденды по годам'!G601/'Дивиденды по годам'!I601, "")</f>
        <v>0.63587785416646048</v>
      </c>
      <c r="R601">
        <f>IFERROR(IF(AND('Дивиденды по годам'!N601&lt;&gt;"",'Дивиденды по годам'!U601&lt;&gt;"",'Дивиденды по годам'!U601&lt;&gt;0),'Дивиденды по годам'!N601/'Дивиденды по годам'!U601-1,""),"")</f>
        <v>0.132496113822276</v>
      </c>
      <c r="S601">
        <f>IFERROR(IF(AND('Дивиденды по годам'!L601&lt;&gt;"",'Дивиденды по годам'!I601&lt;&gt;"",'Дивиденды по годам'!J601&lt;&gt;"",'Дивиденды по годам'!K601&lt;&gt;"",('Дивиденды по годам'!I601-'Дивиденды по годам'!J601-'Дивиденды по годам'!K601)&lt;&gt;0),'Дивиденды по годам'!L601/('Дивиденды по годам'!I601-'Дивиденды по годам'!J601-'Дивиденды по годам'!K601),""),"")</f>
        <v>0.67036657677856071</v>
      </c>
      <c r="T601">
        <f>IFERROR(IF(AND('Дивиденды по годам'!Q601&lt;&gt;"",'Дивиденды по годам'!I601&lt;&gt;"",'Дивиденды по годам'!V601&lt;&gt;"",('Дивиденды по годам'!I601+'Дивиденды по годам'!V601)&lt;&gt;0),'Дивиденды по годам'!Q601/(('Дивиденды по годам'!I601+'Дивиденды по годам'!V601)/2),""),"")</f>
        <v>4.4920053286636938E-2</v>
      </c>
      <c r="U601">
        <f>IFERROR(IF(AND('Дивиденды по годам'!J601&lt;&gt;"",'Дивиденды по годам'!K601&lt;&gt;"",'Дивиденды по годам'!M601&lt;&gt;"",'Дивиденды по годам'!M601&lt;&gt;0),('Дивиденды по годам'!J601+'Дивиденды по годам'!K601)/'Дивиденды по годам'!M601,""),"")</f>
        <v>2.3642413409662395</v>
      </c>
      <c r="V601" cm="1">
        <f t="array" ref="V601">IFERROR(AVERAGE(_xlfn._xlws.FILTER(P$2:P$1073,($C$2:$C$1073=$C601)*($E$2:$E$1073=$E601)*(ROW(P$2:P$1073)&lt;&gt;ROW(P601))*(P$2:P$1073&lt;&gt;""))),"")</f>
        <v>24.667599105793141</v>
      </c>
      <c r="W601" cm="1">
        <f t="array" ref="W601">IFERROR(AVERAGE(_xlfn._xlws.FILTER(Q$2:Q$1073,($C$2:$C$1073=$C601)*($E$2:$E$1073=$E601)*(ROW(Q$2:Q$1073)&lt;&gt;ROW(Q601))*(Q$2:Q$1073&lt;&gt;""))),"")</f>
        <v>0.26303640862674299</v>
      </c>
      <c r="X601" cm="1">
        <f t="array" ref="X601">IFERROR(AVERAGE(_xlfn._xlws.FILTER(R$2:R$1073,($C$2:$C$1073=$C601)*($E$2:$E$1073=$E601)*(ROW(R$2:R$1073)&lt;&gt;ROW(R601))*(R$2:R$1073&lt;&gt;""))),"")</f>
        <v>4.3995317555254619E-2</v>
      </c>
      <c r="Y601" cm="1">
        <f t="array" ref="Y601">IFERROR(AVERAGE(_xlfn._xlws.FILTER(S$2:S$1073,($C$2:$C$1073=$C601)*($E$2:$E$1073=$E601)*(ROW(S$2:S$1073)&lt;&gt;ROW(S601))*(S$2:S$1073&lt;&gt;""))),"")</f>
        <v>0.63992815748698628</v>
      </c>
      <c r="Z601" cm="1">
        <f t="array" ref="Z601">IFERROR(AVERAGE(_xlfn._xlws.FILTER(T$2:T$1073,($C$2:$C$1073=$C601)*($E$2:$E$1073=$E601)*(ROW(T$2:T$1073)&lt;&gt;ROW(T601))*(T$2:T$1073&lt;&gt;""))),"")</f>
        <v>8.4552031266713534E-4</v>
      </c>
      <c r="AA601" cm="1">
        <f t="array" ref="AA601">IFERROR(AVERAGE(_xlfn._xlws.FILTER(U$2:U$1073,($C$2:$C$1073=$C601)*($E$2:$E$1073=$E601)*(ROW(U$2:U$1073)&lt;&gt;ROW(U601))*(U$2:U$1073&lt;&gt;""))),"")</f>
        <v>0.86220470623055367</v>
      </c>
    </row>
    <row r="602" spans="1:27" x14ac:dyDescent="0.2">
      <c r="A602" s="7" t="s">
        <v>2318</v>
      </c>
      <c r="B602" t="str">
        <f t="shared" si="101"/>
        <v>LENT IV кв. 2017</v>
      </c>
      <c r="C602">
        <v>2017</v>
      </c>
      <c r="D602">
        <f>SUMIFS(Дивиденды!$C:$C,Дивиденды!$A:$A,A602,Дивиденды!$I:$I,C602)</f>
        <v>0</v>
      </c>
      <c r="E602">
        <v>4</v>
      </c>
      <c r="F602">
        <f t="shared" si="102"/>
        <v>0</v>
      </c>
      <c r="G602">
        <f t="shared" si="103"/>
        <v>18.403571428571428</v>
      </c>
      <c r="H602">
        <f t="shared" si="104"/>
        <v>0</v>
      </c>
      <c r="I602">
        <f t="shared" si="100"/>
        <v>0.14285714285714285</v>
      </c>
      <c r="J602">
        <f t="shared" si="105"/>
        <v>0</v>
      </c>
      <c r="K602">
        <f t="shared" si="109"/>
        <v>-1.7352821773673279E-2</v>
      </c>
      <c r="L602">
        <f t="shared" si="106"/>
        <v>0</v>
      </c>
      <c r="M602">
        <f t="shared" si="99"/>
        <v>0</v>
      </c>
      <c r="N602">
        <f t="shared" si="107"/>
        <v>0</v>
      </c>
      <c r="O602">
        <f t="shared" si="108"/>
        <v>0.14285714285714285</v>
      </c>
      <c r="P602">
        <f>IFERROR(LN('Дивиденды по годам'!I602),"")</f>
        <v>26.231562841445946</v>
      </c>
      <c r="Q602">
        <f>IFERROR('Дивиденды по годам'!G602/'Дивиденды по годам'!I602, "")</f>
        <v>0.69026060927638211</v>
      </c>
      <c r="R602" t="str">
        <f>IFERROR(IF(AND('Дивиденды по годам'!N602&lt;&gt;"",'Дивиденды по годам'!U602&lt;&gt;"",'Дивиденды по годам'!U602&lt;&gt;0),'Дивиденды по годам'!N602/'Дивиденды по годам'!U602-1,""),"")</f>
        <v/>
      </c>
      <c r="S602">
        <f>IFERROR(IF(AND('Дивиденды по годам'!L602&lt;&gt;"",'Дивиденды по годам'!I602&lt;&gt;"",'Дивиденды по годам'!J602&lt;&gt;"",'Дивиденды по годам'!K602&lt;&gt;"",('Дивиденды по годам'!I602-'Дивиденды по годам'!J602-'Дивиденды по годам'!K602)&lt;&gt;0),'Дивиденды по годам'!L602/('Дивиденды по годам'!I602-'Дивиденды по годам'!J602-'Дивиденды по годам'!K602),""),"")</f>
        <v>0.61733013800384351</v>
      </c>
      <c r="T602" t="str">
        <f>IFERROR(IF(AND('Дивиденды по годам'!Q602&lt;&gt;"",'Дивиденды по годам'!I602&lt;&gt;"",'Дивиденды по годам'!V602&lt;&gt;"",('Дивиденды по годам'!I602+'Дивиденды по годам'!V602)&lt;&gt;0),'Дивиденды по годам'!Q602/(('Дивиденды по годам'!I602+'Дивиденды по годам'!V602)/2),""),"")</f>
        <v/>
      </c>
      <c r="U602">
        <f>IFERROR(IF(AND('Дивиденды по годам'!J602&lt;&gt;"",'Дивиденды по годам'!K602&lt;&gt;"",'Дивиденды по годам'!M602&lt;&gt;"",'Дивиденды по годам'!M602&lt;&gt;0),('Дивиденды по годам'!J602+'Дивиденды по годам'!K602)/'Дивиденды по годам'!M602,""),"")</f>
        <v>2.4369682449017844</v>
      </c>
      <c r="V602" cm="1">
        <f t="array" ref="V602">IFERROR(AVERAGE(_xlfn._xlws.FILTER(P$2:P$1073,($C$2:$C$1073=$C602)*($E$2:$E$1073=$E602)*(ROW(P$2:P$1073)&lt;&gt;ROW(P602))*(P$2:P$1073&lt;&gt;""))),"")</f>
        <v>24.486401852778858</v>
      </c>
      <c r="W602" cm="1">
        <f t="array" ref="W602">IFERROR(AVERAGE(_xlfn._xlws.FILTER(Q$2:Q$1073,($C$2:$C$1073=$C602)*($E$2:$E$1073=$E602)*(ROW(Q$2:Q$1073)&lt;&gt;ROW(Q602))*(Q$2:Q$1073&lt;&gt;""))),"")</f>
        <v>0.28140402655895097</v>
      </c>
      <c r="X602" cm="1">
        <f t="array" ref="X602">IFERROR(AVERAGE(_xlfn._xlws.FILTER(R$2:R$1073,($C$2:$C$1073=$C602)*($E$2:$E$1073=$E602)*(ROW(R$2:R$1073)&lt;&gt;ROW(R602))*(R$2:R$1073&lt;&gt;""))),"")</f>
        <v>0.23691718521625563</v>
      </c>
      <c r="Y602" cm="1">
        <f t="array" ref="Y602">IFERROR(AVERAGE(_xlfn._xlws.FILTER(S$2:S$1073,($C$2:$C$1073=$C602)*($E$2:$E$1073=$E602)*(ROW(S$2:S$1073)&lt;&gt;ROW(S602))*(S$2:S$1073&lt;&gt;""))),"")</f>
        <v>0.61781565340962319</v>
      </c>
      <c r="Z602" cm="1">
        <f t="array" ref="Z602">IFERROR(AVERAGE(_xlfn._xlws.FILTER(T$2:T$1073,($C$2:$C$1073=$C602)*($E$2:$E$1073=$E602)*(ROW(T$2:T$1073)&lt;&gt;ROW(T602))*(T$2:T$1073&lt;&gt;""))),"")</f>
        <v>-2.7044382152168867E-2</v>
      </c>
      <c r="AA602" cm="1">
        <f t="array" ref="AA602">IFERROR(AVERAGE(_xlfn._xlws.FILTER(U$2:U$1073,($C$2:$C$1073=$C602)*($E$2:$E$1073=$E602)*(ROW(U$2:U$1073)&lt;&gt;ROW(U602))*(U$2:U$1073&lt;&gt;""))),"")</f>
        <v>0.32441349543365339</v>
      </c>
    </row>
    <row r="603" spans="1:27" x14ac:dyDescent="0.2">
      <c r="A603" s="7" t="s">
        <v>2318</v>
      </c>
      <c r="B603" t="str">
        <f t="shared" si="101"/>
        <v>LENT IV кв. 2016</v>
      </c>
      <c r="C603">
        <v>2016</v>
      </c>
      <c r="D603">
        <f>SUMIFS(Дивиденды!$C:$C,Дивиденды!$A:$A,A603,Дивиденды!$I:$I,C603)</f>
        <v>0</v>
      </c>
      <c r="E603">
        <v>4</v>
      </c>
      <c r="F603">
        <f t="shared" si="102"/>
        <v>0</v>
      </c>
      <c r="G603">
        <f t="shared" si="103"/>
        <v>20.421428571428571</v>
      </c>
      <c r="H603">
        <f t="shared" si="104"/>
        <v>0</v>
      </c>
      <c r="I603">
        <f t="shared" si="100"/>
        <v>0.14285714285714285</v>
      </c>
      <c r="J603">
        <f t="shared" si="105"/>
        <v>0</v>
      </c>
      <c r="K603">
        <f t="shared" si="109"/>
        <v>2.0593461763560781E-2</v>
      </c>
      <c r="L603">
        <f t="shared" si="106"/>
        <v>0</v>
      </c>
      <c r="M603">
        <f t="shared" si="99"/>
        <v>7.1428571428571425E-2</v>
      </c>
      <c r="N603">
        <f t="shared" si="107"/>
        <v>0</v>
      </c>
      <c r="O603">
        <f t="shared" si="108"/>
        <v>7.1428571428571425E-2</v>
      </c>
      <c r="P603" t="str">
        <f>IFERROR(LN('Дивиденды по годам'!I603),"")</f>
        <v/>
      </c>
      <c r="Q603" t="str">
        <f>IFERROR('Дивиденды по годам'!G603/'Дивиденды по годам'!I603, "")</f>
        <v/>
      </c>
      <c r="R603" t="str">
        <f>IFERROR(IF(AND('Дивиденды по годам'!N603&lt;&gt;"",'Дивиденды по годам'!U603&lt;&gt;"",'Дивиденды по годам'!U603&lt;&gt;0),'Дивиденды по годам'!N603/'Дивиденды по годам'!U603-1,""),"")</f>
        <v/>
      </c>
      <c r="S603" t="str">
        <f>IFERROR(IF(AND('Дивиденды по годам'!L603&lt;&gt;"",'Дивиденды по годам'!I603&lt;&gt;"",'Дивиденды по годам'!J603&lt;&gt;"",'Дивиденды по годам'!K603&lt;&gt;"",('Дивиденды по годам'!I603-'Дивиденды по годам'!J603-'Дивиденды по годам'!K603)&lt;&gt;0),'Дивиденды по годам'!L603/('Дивиденды по годам'!I603-'Дивиденды по годам'!J603-'Дивиденды по годам'!K603),""),"")</f>
        <v/>
      </c>
      <c r="T603" t="str">
        <f>IFERROR(IF(AND('Дивиденды по годам'!Q603&lt;&gt;"",'Дивиденды по годам'!I603&lt;&gt;"",'Дивиденды по годам'!V603&lt;&gt;"",('Дивиденды по годам'!I603+'Дивиденды по годам'!V603)&lt;&gt;0),'Дивиденды по годам'!Q603/(('Дивиденды по годам'!I603+'Дивиденды по годам'!V603)/2),""),"")</f>
        <v/>
      </c>
      <c r="U603" t="str">
        <f>IFERROR(IF(AND('Дивиденды по годам'!J603&lt;&gt;"",'Дивиденды по годам'!K603&lt;&gt;"",'Дивиденды по годам'!M603&lt;&gt;"",'Дивиденды по годам'!M603&lt;&gt;0),('Дивиденды по годам'!J603+'Дивиденды по годам'!K603)/'Дивиденды по годам'!M603,""),"")</f>
        <v/>
      </c>
      <c r="V603" cm="1">
        <f t="array" ref="V603">IFERROR(AVERAGE(_xlfn._xlws.FILTER(P$2:P$1073,($C$2:$C$1073=$C603)*($E$2:$E$1073=$E603)*(ROW(P$2:P$1073)&lt;&gt;ROW(P603))*(P$2:P$1073&lt;&gt;""))),"")</f>
        <v>24.55530958635584</v>
      </c>
      <c r="W603" cm="1">
        <f t="array" ref="W603">IFERROR(AVERAGE(_xlfn._xlws.FILTER(Q$2:Q$1073,($C$2:$C$1073=$C603)*($E$2:$E$1073=$E603)*(ROW(Q$2:Q$1073)&lt;&gt;ROW(Q603))*(Q$2:Q$1073&lt;&gt;""))),"")</f>
        <v>0.27878606899788128</v>
      </c>
      <c r="X603" cm="1">
        <f t="array" ref="X603">IFERROR(AVERAGE(_xlfn._xlws.FILTER(R$2:R$1073,($C$2:$C$1073=$C603)*($E$2:$E$1073=$E603)*(ROW(R$2:R$1073)&lt;&gt;ROW(R603))*(R$2:R$1073&lt;&gt;""))),"")</f>
        <v>0.16612325919082049</v>
      </c>
      <c r="Y603" cm="1">
        <f t="array" ref="Y603">IFERROR(AVERAGE(_xlfn._xlws.FILTER(S$2:S$1073,($C$2:$C$1073=$C603)*($E$2:$E$1073=$E603)*(ROW(S$2:S$1073)&lt;&gt;ROW(S603))*(S$2:S$1073&lt;&gt;""))),"")</f>
        <v>6.2178681719613929</v>
      </c>
      <c r="Z603" cm="1">
        <f t="array" ref="Z603">IFERROR(AVERAGE(_xlfn._xlws.FILTER(T$2:T$1073,($C$2:$C$1073=$C603)*($E$2:$E$1073=$E603)*(ROW(T$2:T$1073)&lt;&gt;ROW(T603))*(T$2:T$1073&lt;&gt;""))),"")</f>
        <v>-2.007011623977166E-2</v>
      </c>
      <c r="AA603" cm="1">
        <f t="array" ref="AA603">IFERROR(AVERAGE(_xlfn._xlws.FILTER(U$2:U$1073,($C$2:$C$1073=$C603)*($E$2:$E$1073=$E603)*(ROW(U$2:U$1073)&lt;&gt;ROW(U603))*(U$2:U$1073&lt;&gt;""))),"")</f>
        <v>-16.044507701133888</v>
      </c>
    </row>
    <row r="604" spans="1:27" x14ac:dyDescent="0.2">
      <c r="A604" s="7" t="s">
        <v>2318</v>
      </c>
      <c r="B604" t="str">
        <f t="shared" si="101"/>
        <v>LENT IV кв. 2015</v>
      </c>
      <c r="C604">
        <v>2015</v>
      </c>
      <c r="D604">
        <f>SUMIFS(Дивиденды!$C:$C,Дивиденды!$A:$A,A604,Дивиденды!$I:$I,C604)</f>
        <v>0</v>
      </c>
      <c r="E604">
        <v>4</v>
      </c>
      <c r="F604">
        <f t="shared" si="102"/>
        <v>0</v>
      </c>
      <c r="G604">
        <f t="shared" si="103"/>
        <v>22.574999999999999</v>
      </c>
      <c r="H604">
        <f t="shared" si="104"/>
        <v>0</v>
      </c>
      <c r="I604">
        <f t="shared" si="100"/>
        <v>0.14285714285714285</v>
      </c>
      <c r="J604">
        <f t="shared" si="105"/>
        <v>0</v>
      </c>
      <c r="K604">
        <f t="shared" si="109"/>
        <v>6.1102189263868886E-2</v>
      </c>
      <c r="L604">
        <f t="shared" si="106"/>
        <v>0</v>
      </c>
      <c r="M604">
        <f t="shared" si="99"/>
        <v>7.1428571428571425E-2</v>
      </c>
      <c r="N604">
        <f t="shared" si="107"/>
        <v>0</v>
      </c>
      <c r="O604">
        <f t="shared" si="108"/>
        <v>7.1428571428571425E-2</v>
      </c>
      <c r="P604" t="str">
        <f>IFERROR(LN('Дивиденды по годам'!I604),"")</f>
        <v/>
      </c>
      <c r="Q604" t="str">
        <f>IFERROR('Дивиденды по годам'!G604/'Дивиденды по годам'!I604, "")</f>
        <v/>
      </c>
      <c r="R604" t="str">
        <f>IFERROR(IF(AND('Дивиденды по годам'!N604&lt;&gt;"",'Дивиденды по годам'!U604&lt;&gt;"",'Дивиденды по годам'!U604&lt;&gt;0),'Дивиденды по годам'!N604/'Дивиденды по годам'!U604-1,""),"")</f>
        <v/>
      </c>
      <c r="S604" t="str">
        <f>IFERROR(IF(AND('Дивиденды по годам'!L604&lt;&gt;"",'Дивиденды по годам'!I604&lt;&gt;"",'Дивиденды по годам'!J604&lt;&gt;"",'Дивиденды по годам'!K604&lt;&gt;"",('Дивиденды по годам'!I604-'Дивиденды по годам'!J604-'Дивиденды по годам'!K604)&lt;&gt;0),'Дивиденды по годам'!L604/('Дивиденды по годам'!I604-'Дивиденды по годам'!J604-'Дивиденды по годам'!K604),""),"")</f>
        <v/>
      </c>
      <c r="T604" t="str">
        <f>IFERROR(IF(AND('Дивиденды по годам'!Q604&lt;&gt;"",'Дивиденды по годам'!I604&lt;&gt;"",'Дивиденды по годам'!V604&lt;&gt;"",('Дивиденды по годам'!I604+'Дивиденды по годам'!V604)&lt;&gt;0),'Дивиденды по годам'!Q604/(('Дивиденды по годам'!I604+'Дивиденды по годам'!V604)/2),""),"")</f>
        <v/>
      </c>
      <c r="U604" t="str">
        <f>IFERROR(IF(AND('Дивиденды по годам'!J604&lt;&gt;"",'Дивиденды по годам'!K604&lt;&gt;"",'Дивиденды по годам'!M604&lt;&gt;"",'Дивиденды по годам'!M604&lt;&gt;0),('Дивиденды по годам'!J604+'Дивиденды по годам'!K604)/'Дивиденды по годам'!M604,""),"")</f>
        <v/>
      </c>
      <c r="V604" cm="1">
        <f t="array" ref="V604">IFERROR(AVERAGE(_xlfn._xlws.FILTER(P$2:P$1073,($C$2:$C$1073=$C604)*($E$2:$E$1073=$E604)*(ROW(P$2:P$1073)&lt;&gt;ROW(P604))*(P$2:P$1073&lt;&gt;""))),"")</f>
        <v>24.784857390248948</v>
      </c>
      <c r="W604" cm="1">
        <f t="array" ref="W604">IFERROR(AVERAGE(_xlfn._xlws.FILTER(Q$2:Q$1073,($C$2:$C$1073=$C604)*($E$2:$E$1073=$E604)*(ROW(Q$2:Q$1073)&lt;&gt;ROW(Q604))*(Q$2:Q$1073&lt;&gt;""))),"")</f>
        <v>0.29707306985497267</v>
      </c>
      <c r="X604" cm="1">
        <f t="array" ref="X604">IFERROR(AVERAGE(_xlfn._xlws.FILTER(R$2:R$1073,($C$2:$C$1073=$C604)*($E$2:$E$1073=$E604)*(ROW(R$2:R$1073)&lt;&gt;ROW(R604))*(R$2:R$1073&lt;&gt;""))),"")</f>
        <v>0.20074687596566593</v>
      </c>
      <c r="Y604" cm="1">
        <f t="array" ref="Y604">IFERROR(AVERAGE(_xlfn._xlws.FILTER(S$2:S$1073,($C$2:$C$1073=$C604)*($E$2:$E$1073=$E604)*(ROW(S$2:S$1073)&lt;&gt;ROW(S604))*(S$2:S$1073&lt;&gt;""))),"")</f>
        <v>-0.60736862679830428</v>
      </c>
      <c r="Z604" cm="1">
        <f t="array" ref="Z604">IFERROR(AVERAGE(_xlfn._xlws.FILTER(T$2:T$1073,($C$2:$C$1073=$C604)*($E$2:$E$1073=$E604)*(ROW(T$2:T$1073)&lt;&gt;ROW(T604))*(T$2:T$1073&lt;&gt;""))),"")</f>
        <v>6.4031956193225284E-2</v>
      </c>
      <c r="AA604" cm="1">
        <f t="array" ref="AA604">IFERROR(AVERAGE(_xlfn._xlws.FILTER(U$2:U$1073,($C$2:$C$1073=$C604)*($E$2:$E$1073=$E604)*(ROW(U$2:U$1073)&lt;&gt;ROW(U604))*(U$2:U$1073&lt;&gt;""))),"")</f>
        <v>5.5189604575277329</v>
      </c>
    </row>
    <row r="605" spans="1:27" x14ac:dyDescent="0.2">
      <c r="A605" s="7" t="s">
        <v>2318</v>
      </c>
      <c r="B605" t="str">
        <f t="shared" si="101"/>
        <v>LENT IV кв. 2014</v>
      </c>
      <c r="C605">
        <v>2014</v>
      </c>
      <c r="D605">
        <f>SUMIFS(Дивиденды!$C:$C,Дивиденды!$A:$A,A605,Дивиденды!$I:$I,C605)</f>
        <v>0</v>
      </c>
      <c r="E605">
        <v>4</v>
      </c>
      <c r="F605">
        <f t="shared" si="102"/>
        <v>0</v>
      </c>
      <c r="G605">
        <f t="shared" si="103"/>
        <v>25.924285714285713</v>
      </c>
      <c r="H605">
        <f t="shared" si="104"/>
        <v>0</v>
      </c>
      <c r="I605">
        <f t="shared" si="100"/>
        <v>7.1428571428571425E-2</v>
      </c>
      <c r="J605">
        <f t="shared" si="105"/>
        <v>0</v>
      </c>
      <c r="K605">
        <f t="shared" si="109"/>
        <v>4.887635107293415E-2</v>
      </c>
      <c r="L605">
        <f t="shared" si="106"/>
        <v>0</v>
      </c>
      <c r="M605">
        <f t="shared" si="99"/>
        <v>7.1428571428571425E-2</v>
      </c>
      <c r="N605">
        <f t="shared" si="107"/>
        <v>0</v>
      </c>
      <c r="O605">
        <f t="shared" si="108"/>
        <v>7.1428571428571425E-2</v>
      </c>
      <c r="P605" t="str">
        <f>IFERROR(LN('Дивиденды по годам'!I605),"")</f>
        <v/>
      </c>
      <c r="Q605" t="str">
        <f>IFERROR('Дивиденды по годам'!G605/'Дивиденды по годам'!I605, "")</f>
        <v/>
      </c>
      <c r="R605" t="str">
        <f>IFERROR(IF(AND('Дивиденды по годам'!N605&lt;&gt;"",'Дивиденды по годам'!U605&lt;&gt;"",'Дивиденды по годам'!U605&lt;&gt;0),'Дивиденды по годам'!N605/'Дивиденды по годам'!U605-1,""),"")</f>
        <v/>
      </c>
      <c r="S605" t="str">
        <f>IFERROR(IF(AND('Дивиденды по годам'!L605&lt;&gt;"",'Дивиденды по годам'!I605&lt;&gt;"",'Дивиденды по годам'!J605&lt;&gt;"",'Дивиденды по годам'!K605&lt;&gt;"",('Дивиденды по годам'!I605-'Дивиденды по годам'!J605-'Дивиденды по годам'!K605)&lt;&gt;0),'Дивиденды по годам'!L605/('Дивиденды по годам'!I605-'Дивиденды по годам'!J605-'Дивиденды по годам'!K605),""),"")</f>
        <v/>
      </c>
      <c r="T605" t="str">
        <f>IFERROR(IF(AND('Дивиденды по годам'!Q605&lt;&gt;"",'Дивиденды по годам'!I605&lt;&gt;"",'Дивиденды по годам'!V605&lt;&gt;"",('Дивиденды по годам'!I605+'Дивиденды по годам'!V605)&lt;&gt;0),'Дивиденды по годам'!Q605/(('Дивиденды по годам'!I605+'Дивиденды по годам'!V605)/2),""),"")</f>
        <v/>
      </c>
      <c r="U605" t="str">
        <f>IFERROR(IF(AND('Дивиденды по годам'!J605&lt;&gt;"",'Дивиденды по годам'!K605&lt;&gt;"",'Дивиденды по годам'!M605&lt;&gt;"",'Дивиденды по годам'!M605&lt;&gt;0),('Дивиденды по годам'!J605+'Дивиденды по годам'!K605)/'Дивиденды по годам'!M605,""),"")</f>
        <v/>
      </c>
      <c r="V605" cm="1">
        <f t="array" ref="V605">IFERROR(AVERAGE(_xlfn._xlws.FILTER(P$2:P$1073,($C$2:$C$1073=$C605)*($E$2:$E$1073=$E605)*(ROW(P$2:P$1073)&lt;&gt;ROW(P605))*(P$2:P$1073&lt;&gt;""))),"")</f>
        <v>24.777851287837404</v>
      </c>
      <c r="W605" cm="1">
        <f t="array" ref="W605">IFERROR(AVERAGE(_xlfn._xlws.FILTER(Q$2:Q$1073,($C$2:$C$1073=$C605)*($E$2:$E$1073=$E605)*(ROW(Q$2:Q$1073)&lt;&gt;ROW(Q605))*(Q$2:Q$1073&lt;&gt;""))),"")</f>
        <v>0.28994951624266957</v>
      </c>
      <c r="X605" cm="1">
        <f t="array" ref="X605">IFERROR(AVERAGE(_xlfn._xlws.FILTER(R$2:R$1073,($C$2:$C$1073=$C605)*($E$2:$E$1073=$E605)*(ROW(R$2:R$1073)&lt;&gt;ROW(R605))*(R$2:R$1073&lt;&gt;""))),"")</f>
        <v>8.5517195784799244E-2</v>
      </c>
      <c r="Y605" cm="1">
        <f t="array" ref="Y605">IFERROR(AVERAGE(_xlfn._xlws.FILTER(S$2:S$1073,($C$2:$C$1073=$C605)*($E$2:$E$1073=$E605)*(ROW(S$2:S$1073)&lt;&gt;ROW(S605))*(S$2:S$1073&lt;&gt;""))),"")</f>
        <v>-8.9932559622525012</v>
      </c>
      <c r="Z605" cm="1">
        <f t="array" ref="Z605">IFERROR(AVERAGE(_xlfn._xlws.FILTER(T$2:T$1073,($C$2:$C$1073=$C605)*($E$2:$E$1073=$E605)*(ROW(T$2:T$1073)&lt;&gt;ROW(T605))*(T$2:T$1073&lt;&gt;""))),"")</f>
        <v>3.4958573241250623E-2</v>
      </c>
      <c r="AA605" cm="1">
        <f t="array" ref="AA605">IFERROR(AVERAGE(_xlfn._xlws.FILTER(U$2:U$1073,($C$2:$C$1073=$C605)*($E$2:$E$1073=$E605)*(ROW(U$2:U$1073)&lt;&gt;ROW(U605))*(U$2:U$1073&lt;&gt;""))),"")</f>
        <v>34.444280572958768</v>
      </c>
    </row>
    <row r="606" spans="1:27" x14ac:dyDescent="0.2">
      <c r="A606" s="7" t="s">
        <v>2318</v>
      </c>
      <c r="B606" t="str">
        <f t="shared" si="101"/>
        <v>LENT IV кв. 2013</v>
      </c>
      <c r="C606">
        <v>2013</v>
      </c>
      <c r="D606">
        <f>SUMIFS(Дивиденды!$C:$C,Дивиденды!$A:$A,A606,Дивиденды!$I:$I,C606)</f>
        <v>0</v>
      </c>
      <c r="E606">
        <v>4</v>
      </c>
      <c r="F606">
        <f t="shared" si="102"/>
        <v>0</v>
      </c>
      <c r="G606">
        <f t="shared" si="103"/>
        <v>13.409285714285716</v>
      </c>
      <c r="H606">
        <f t="shared" si="104"/>
        <v>0</v>
      </c>
      <c r="I606">
        <f t="shared" si="100"/>
        <v>0.14285714285714285</v>
      </c>
      <c r="J606">
        <f t="shared" si="105"/>
        <v>0</v>
      </c>
      <c r="K606">
        <f t="shared" si="109"/>
        <v>4.7291245939064024E-2</v>
      </c>
      <c r="L606">
        <f t="shared" si="106"/>
        <v>0</v>
      </c>
      <c r="M606">
        <f t="shared" si="99"/>
        <v>7.1428571428571425E-2</v>
      </c>
      <c r="N606">
        <f t="shared" si="107"/>
        <v>0</v>
      </c>
      <c r="O606">
        <f t="shared" si="108"/>
        <v>0</v>
      </c>
      <c r="P606" t="str">
        <f>IFERROR(LN('Дивиденды по годам'!I606),"")</f>
        <v/>
      </c>
      <c r="Q606" t="str">
        <f>IFERROR('Дивиденды по годам'!G606/'Дивиденды по годам'!I606, "")</f>
        <v/>
      </c>
      <c r="R606" t="str">
        <f>IFERROR(IF(AND('Дивиденды по годам'!N606&lt;&gt;"",'Дивиденды по годам'!U606&lt;&gt;"",'Дивиденды по годам'!U606&lt;&gt;0),'Дивиденды по годам'!N606/'Дивиденды по годам'!U606-1,""),"")</f>
        <v/>
      </c>
      <c r="S606" t="str">
        <f>IFERROR(IF(AND('Дивиденды по годам'!L606&lt;&gt;"",'Дивиденды по годам'!I606&lt;&gt;"",'Дивиденды по годам'!J606&lt;&gt;"",'Дивиденды по годам'!K606&lt;&gt;"",('Дивиденды по годам'!I606-'Дивиденды по годам'!J606-'Дивиденды по годам'!K606)&lt;&gt;0),'Дивиденды по годам'!L606/('Дивиденды по годам'!I606-'Дивиденды по годам'!J606-'Дивиденды по годам'!K606),""),"")</f>
        <v/>
      </c>
      <c r="T606" t="str">
        <f>IFERROR(IF(AND('Дивиденды по годам'!Q606&lt;&gt;"",'Дивиденды по годам'!I606&lt;&gt;"",'Дивиденды по годам'!V606&lt;&gt;"",('Дивиденды по годам'!I606+'Дивиденды по годам'!V606)&lt;&gt;0),'Дивиденды по годам'!Q606/(('Дивиденды по годам'!I606+'Дивиденды по годам'!V606)/2),""),"")</f>
        <v/>
      </c>
      <c r="U606" t="str">
        <f>IFERROR(IF(AND('Дивиденды по годам'!J606&lt;&gt;"",'Дивиденды по годам'!K606&lt;&gt;"",'Дивиденды по годам'!M606&lt;&gt;"",'Дивиденды по годам'!M606&lt;&gt;0),('Дивиденды по годам'!J606+'Дивиденды по годам'!K606)/'Дивиденды по годам'!M606,""),"")</f>
        <v/>
      </c>
      <c r="V606" cm="1">
        <f t="array" ref="V606">IFERROR(AVERAGE(_xlfn._xlws.FILTER(P$2:P$1073,($C$2:$C$1073=$C606)*($E$2:$E$1073=$E606)*(ROW(P$2:P$1073)&lt;&gt;ROW(P606))*(P$2:P$1073&lt;&gt;""))),"")</f>
        <v>24.281308125321722</v>
      </c>
      <c r="W606" cm="1">
        <f t="array" ref="W606">IFERROR(AVERAGE(_xlfn._xlws.FILTER(Q$2:Q$1073,($C$2:$C$1073=$C606)*($E$2:$E$1073=$E606)*(ROW(Q$2:Q$1073)&lt;&gt;ROW(Q606))*(Q$2:Q$1073&lt;&gt;""))),"")</f>
        <v>0.34809372453666254</v>
      </c>
      <c r="X606" cm="1">
        <f t="array" ref="X606">IFERROR(AVERAGE(_xlfn._xlws.FILTER(R$2:R$1073,($C$2:$C$1073=$C606)*($E$2:$E$1073=$E606)*(ROW(R$2:R$1073)&lt;&gt;ROW(R606))*(R$2:R$1073&lt;&gt;""))),"")</f>
        <v>0.17531341667142472</v>
      </c>
      <c r="Y606" t="str" cm="1">
        <f t="array" ref="Y606">IFERROR(AVERAGE(_xlfn._xlws.FILTER(S$2:S$1073,($C$2:$C$1073=$C606)*($E$2:$E$1073=$E606)*(ROW(S$2:S$1073)&lt;&gt;ROW(S606))*(S$2:S$1073&lt;&gt;""))),"")</f>
        <v/>
      </c>
      <c r="Z606" cm="1">
        <f t="array" ref="Z606">IFERROR(AVERAGE(_xlfn._xlws.FILTER(T$2:T$1073,($C$2:$C$1073=$C606)*($E$2:$E$1073=$E606)*(ROW(T$2:T$1073)&lt;&gt;ROW(T606))*(T$2:T$1073&lt;&gt;""))),"")</f>
        <v>-0.12490141563278262</v>
      </c>
      <c r="AA606" cm="1">
        <f t="array" ref="AA606">IFERROR(AVERAGE(_xlfn._xlws.FILTER(U$2:U$1073,($C$2:$C$1073=$C606)*($E$2:$E$1073=$E606)*(ROW(U$2:U$1073)&lt;&gt;ROW(U606))*(U$2:U$1073&lt;&gt;""))),"")</f>
        <v>0.44566877182826042</v>
      </c>
    </row>
    <row r="607" spans="1:27" x14ac:dyDescent="0.2">
      <c r="A607" s="7" t="s">
        <v>2318</v>
      </c>
      <c r="B607" t="str">
        <f t="shared" si="101"/>
        <v>LENT IV кв. 2012</v>
      </c>
      <c r="C607">
        <v>2012</v>
      </c>
      <c r="D607">
        <f>SUMIFS(Дивиденды!$C:$C,Дивиденды!$A:$A,A607,Дивиденды!$I:$I,C607)</f>
        <v>0</v>
      </c>
      <c r="E607">
        <v>4</v>
      </c>
      <c r="F607">
        <f t="shared" si="102"/>
        <v>0</v>
      </c>
      <c r="G607">
        <f t="shared" si="103"/>
        <v>9.5621428571428577</v>
      </c>
      <c r="H607">
        <f t="shared" si="104"/>
        <v>0</v>
      </c>
      <c r="I607">
        <f t="shared" si="100"/>
        <v>0.14285714285714285</v>
      </c>
      <c r="J607">
        <f t="shared" si="105"/>
        <v>0</v>
      </c>
      <c r="K607">
        <f t="shared" si="109"/>
        <v>0.25341100242975517</v>
      </c>
      <c r="L607">
        <f t="shared" si="106"/>
        <v>0</v>
      </c>
      <c r="M607">
        <f t="shared" si="99"/>
        <v>0.14285714285714285</v>
      </c>
      <c r="N607">
        <f t="shared" si="107"/>
        <v>0</v>
      </c>
      <c r="O607">
        <f t="shared" si="108"/>
        <v>0</v>
      </c>
      <c r="P607" t="str">
        <f>IFERROR(LN('Дивиденды по годам'!I607),"")</f>
        <v/>
      </c>
      <c r="Q607" t="str">
        <f>IFERROR('Дивиденды по годам'!G607/'Дивиденды по годам'!I607, "")</f>
        <v/>
      </c>
      <c r="R607" t="str">
        <f>IFERROR(IF(AND('Дивиденды по годам'!N607&lt;&gt;"",'Дивиденды по годам'!U607&lt;&gt;"",'Дивиденды по годам'!U607&lt;&gt;0),'Дивиденды по годам'!N607/'Дивиденды по годам'!U607-1,""),"")</f>
        <v/>
      </c>
      <c r="S607" t="str">
        <f>IFERROR(IF(AND('Дивиденды по годам'!L607&lt;&gt;"",'Дивиденды по годам'!I607&lt;&gt;"",'Дивиденды по годам'!J607&lt;&gt;"",'Дивиденды по годам'!K607&lt;&gt;"",('Дивиденды по годам'!I607-'Дивиденды по годам'!J607-'Дивиденды по годам'!K607)&lt;&gt;0),'Дивиденды по годам'!L607/('Дивиденды по годам'!I607-'Дивиденды по годам'!J607-'Дивиденды по годам'!K607),""),"")</f>
        <v/>
      </c>
      <c r="T607" t="str">
        <f>IFERROR(IF(AND('Дивиденды по годам'!Q607&lt;&gt;"",'Дивиденды по годам'!I607&lt;&gt;"",'Дивиденды по годам'!V607&lt;&gt;"",('Дивиденды по годам'!I607+'Дивиденды по годам'!V607)&lt;&gt;0),'Дивиденды по годам'!Q607/(('Дивиденды по годам'!I607+'Дивиденды по годам'!V607)/2),""),"")</f>
        <v/>
      </c>
      <c r="U607" t="str">
        <f>IFERROR(IF(AND('Дивиденды по годам'!J607&lt;&gt;"",'Дивиденды по годам'!K607&lt;&gt;"",'Дивиденды по годам'!M607&lt;&gt;"",'Дивиденды по годам'!M607&lt;&gt;0),('Дивиденды по годам'!J607+'Дивиденды по годам'!K607)/'Дивиденды по годам'!M607,""),"")</f>
        <v/>
      </c>
      <c r="V607" cm="1">
        <f t="array" ref="V607">IFERROR(AVERAGE(_xlfn._xlws.FILTER(P$2:P$1073,($C$2:$C$1073=$C607)*($E$2:$E$1073=$E607)*(ROW(P$2:P$1073)&lt;&gt;ROW(P607))*(P$2:P$1073&lt;&gt;""))),"")</f>
        <v>24.228370506718147</v>
      </c>
      <c r="W607" cm="1">
        <f t="array" ref="W607">IFERROR(AVERAGE(_xlfn._xlws.FILTER(Q$2:Q$1073,($C$2:$C$1073=$C607)*($E$2:$E$1073=$E607)*(ROW(Q$2:Q$1073)&lt;&gt;ROW(Q607))*(Q$2:Q$1073&lt;&gt;""))),"")</f>
        <v>0.2820560824162458</v>
      </c>
      <c r="X607" cm="1">
        <f t="array" ref="X607">IFERROR(AVERAGE(_xlfn._xlws.FILTER(R$2:R$1073,($C$2:$C$1073=$C607)*($E$2:$E$1073=$E607)*(ROW(R$2:R$1073)&lt;&gt;ROW(R607))*(R$2:R$1073&lt;&gt;""))),"")</f>
        <v>-2.2522357472477484E-2</v>
      </c>
      <c r="Y607" cm="1">
        <f t="array" ref="Y607">IFERROR(AVERAGE(_xlfn._xlws.FILTER(S$2:S$1073,($C$2:$C$1073=$C607)*($E$2:$E$1073=$E607)*(ROW(S$2:S$1073)&lt;&gt;ROW(S607))*(S$2:S$1073&lt;&gt;""))),"")</f>
        <v>-1.7651061513336963</v>
      </c>
      <c r="Z607" cm="1">
        <f t="array" ref="Z607">IFERROR(AVERAGE(_xlfn._xlws.FILTER(T$2:T$1073,($C$2:$C$1073=$C607)*($E$2:$E$1073=$E607)*(ROW(T$2:T$1073)&lt;&gt;ROW(T607))*(T$2:T$1073&lt;&gt;""))),"")</f>
        <v>6.8400459116201365E-2</v>
      </c>
      <c r="AA607" cm="1">
        <f t="array" ref="AA607">IFERROR(AVERAGE(_xlfn._xlws.FILTER(U$2:U$1073,($C$2:$C$1073=$C607)*($E$2:$E$1073=$E607)*(ROW(U$2:U$1073)&lt;&gt;ROW(U607))*(U$2:U$1073&lt;&gt;""))),"")</f>
        <v>-3.9631898894189463</v>
      </c>
    </row>
    <row r="608" spans="1:27" x14ac:dyDescent="0.2">
      <c r="A608" s="7" t="s">
        <v>2318</v>
      </c>
      <c r="B608" t="str">
        <f t="shared" si="101"/>
        <v>LENT IV кв. 2011</v>
      </c>
      <c r="C608">
        <v>2011</v>
      </c>
      <c r="D608">
        <f>SUMIFS(Дивиденды!$C:$C,Дивиденды!$A:$A,A608,Дивиденды!$I:$I,C608)</f>
        <v>0</v>
      </c>
      <c r="E608">
        <v>4</v>
      </c>
      <c r="F608">
        <f t="shared" si="102"/>
        <v>0</v>
      </c>
      <c r="G608">
        <f t="shared" si="103"/>
        <v>1.6378571428571429</v>
      </c>
      <c r="H608">
        <f t="shared" si="104"/>
        <v>0</v>
      </c>
      <c r="I608">
        <f t="shared" si="100"/>
        <v>7.1428571428571425E-2</v>
      </c>
      <c r="J608">
        <f t="shared" si="105"/>
        <v>0</v>
      </c>
      <c r="K608">
        <f t="shared" si="109"/>
        <v>0.17786475320721892</v>
      </c>
      <c r="L608">
        <f t="shared" si="106"/>
        <v>0</v>
      </c>
      <c r="M608">
        <f t="shared" si="99"/>
        <v>7.1428571428571425E-2</v>
      </c>
      <c r="N608">
        <f t="shared" si="107"/>
        <v>0</v>
      </c>
      <c r="O608">
        <f t="shared" si="108"/>
        <v>0</v>
      </c>
      <c r="P608" t="str">
        <f>IFERROR(LN('Дивиденды по годам'!I608),"")</f>
        <v/>
      </c>
      <c r="Q608" t="str">
        <f>IFERROR('Дивиденды по годам'!G608/'Дивиденды по годам'!I608, "")</f>
        <v/>
      </c>
      <c r="R608" t="str">
        <f>IFERROR(IF(AND('Дивиденды по годам'!N608&lt;&gt;"",'Дивиденды по годам'!U608&lt;&gt;"",'Дивиденды по годам'!U608&lt;&gt;0),'Дивиденды по годам'!N608/'Дивиденды по годам'!U608-1,""),"")</f>
        <v/>
      </c>
      <c r="S608" t="str">
        <f>IFERROR(IF(AND('Дивиденды по годам'!L608&lt;&gt;"",'Дивиденды по годам'!I608&lt;&gt;"",'Дивиденды по годам'!J608&lt;&gt;"",'Дивиденды по годам'!K608&lt;&gt;"",('Дивиденды по годам'!I608-'Дивиденды по годам'!J608-'Дивиденды по годам'!K608)&lt;&gt;0),'Дивиденды по годам'!L608/('Дивиденды по годам'!I608-'Дивиденды по годам'!J608-'Дивиденды по годам'!K608),""),"")</f>
        <v/>
      </c>
      <c r="T608" t="str">
        <f>IFERROR(IF(AND('Дивиденды по годам'!Q608&lt;&gt;"",'Дивиденды по годам'!I608&lt;&gt;"",'Дивиденды по годам'!V608&lt;&gt;"",('Дивиденды по годам'!I608+'Дивиденды по годам'!V608)&lt;&gt;0),'Дивиденды по годам'!Q608/(('Дивиденды по годам'!I608+'Дивиденды по годам'!V608)/2),""),"")</f>
        <v/>
      </c>
      <c r="U608" t="str">
        <f>IFERROR(IF(AND('Дивиденды по годам'!J608&lt;&gt;"",'Дивиденды по годам'!K608&lt;&gt;"",'Дивиденды по годам'!M608&lt;&gt;"",'Дивиденды по годам'!M608&lt;&gt;0),('Дивиденды по годам'!J608+'Дивиденды по годам'!K608)/'Дивиденды по годам'!M608,""),"")</f>
        <v/>
      </c>
      <c r="V608" cm="1">
        <f t="array" ref="V608">IFERROR(AVERAGE(_xlfn._xlws.FILTER(P$2:P$1073,($C$2:$C$1073=$C608)*($E$2:$E$1073=$E608)*(ROW(P$2:P$1073)&lt;&gt;ROW(P608))*(P$2:P$1073&lt;&gt;""))),"")</f>
        <v>24.180789108496477</v>
      </c>
      <c r="W608" cm="1">
        <f t="array" ref="W608">IFERROR(AVERAGE(_xlfn._xlws.FILTER(Q$2:Q$1073,($C$2:$C$1073=$C608)*($E$2:$E$1073=$E608)*(ROW(Q$2:Q$1073)&lt;&gt;ROW(Q608))*(Q$2:Q$1073&lt;&gt;""))),"")</f>
        <v>0.29604752502083465</v>
      </c>
      <c r="X608" cm="1">
        <f t="array" ref="X608">IFERROR(AVERAGE(_xlfn._xlws.FILTER(R$2:R$1073,($C$2:$C$1073=$C608)*($E$2:$E$1073=$E608)*(ROW(R$2:R$1073)&lt;&gt;ROW(R608))*(R$2:R$1073&lt;&gt;""))),"")</f>
        <v>5.9511017560386792E-2</v>
      </c>
      <c r="Y608" t="str" cm="1">
        <f t="array" ref="Y608">IFERROR(AVERAGE(_xlfn._xlws.FILTER(S$2:S$1073,($C$2:$C$1073=$C608)*($E$2:$E$1073=$E608)*(ROW(S$2:S$1073)&lt;&gt;ROW(S608))*(S$2:S$1073&lt;&gt;""))),"")</f>
        <v/>
      </c>
      <c r="Z608" cm="1">
        <f t="array" ref="Z608">IFERROR(AVERAGE(_xlfn._xlws.FILTER(T$2:T$1073,($C$2:$C$1073=$C608)*($E$2:$E$1073=$E608)*(ROW(T$2:T$1073)&lt;&gt;ROW(T608))*(T$2:T$1073&lt;&gt;""))),"")</f>
        <v>-1.4171101286470289E-2</v>
      </c>
      <c r="AA608" cm="1">
        <f t="array" ref="AA608">IFERROR(AVERAGE(_xlfn._xlws.FILTER(U$2:U$1073,($C$2:$C$1073=$C608)*($E$2:$E$1073=$E608)*(ROW(U$2:U$1073)&lt;&gt;ROW(U608))*(U$2:U$1073&lt;&gt;""))),"")</f>
        <v>2.1854574410792247</v>
      </c>
    </row>
    <row r="609" spans="1:27" x14ac:dyDescent="0.2">
      <c r="A609" s="7" t="s">
        <v>2318</v>
      </c>
      <c r="B609" t="str">
        <f t="shared" si="101"/>
        <v>LENT IV кв. 2010</v>
      </c>
      <c r="C609">
        <v>2010</v>
      </c>
      <c r="D609">
        <f>SUMIFS(Дивиденды!$C:$C,Дивиденды!$A:$A,A609,Дивиденды!$I:$I,C609)</f>
        <v>0</v>
      </c>
      <c r="E609">
        <v>4</v>
      </c>
      <c r="F609">
        <f t="shared" si="102"/>
        <v>0</v>
      </c>
      <c r="G609">
        <f t="shared" si="103"/>
        <v>0.46928571428571431</v>
      </c>
      <c r="H609">
        <f t="shared" si="104"/>
        <v>0</v>
      </c>
      <c r="I609">
        <f t="shared" si="100"/>
        <v>7.1428571428571425E-2</v>
      </c>
      <c r="J609" t="str">
        <f t="shared" si="105"/>
        <v/>
      </c>
      <c r="K609" t="str">
        <f t="shared" si="109"/>
        <v/>
      </c>
      <c r="L609" t="str">
        <f t="shared" si="106"/>
        <v/>
      </c>
      <c r="M609" t="str">
        <f t="shared" ref="M609:M672" si="110">IFERROR(AVERAGEIFS($L:$L,$E:$E,E609,$C:$C,C609,$A:$A,"&lt;&gt;"&amp;A609),"")</f>
        <v/>
      </c>
      <c r="N609" t="str">
        <f t="shared" si="107"/>
        <v/>
      </c>
      <c r="O609" t="str">
        <f t="shared" si="108"/>
        <v/>
      </c>
      <c r="P609" t="str">
        <f>IFERROR(LN('Дивиденды по годам'!I609),"")</f>
        <v/>
      </c>
      <c r="Q609" t="str">
        <f>IFERROR('Дивиденды по годам'!G609/'Дивиденды по годам'!I609, "")</f>
        <v/>
      </c>
      <c r="R609" t="str">
        <f>IFERROR(IF(AND('Дивиденды по годам'!N609&lt;&gt;"",'Дивиденды по годам'!U609&lt;&gt;"",'Дивиденды по годам'!U609&lt;&gt;0),'Дивиденды по годам'!N609/'Дивиденды по годам'!U609-1,""),"")</f>
        <v/>
      </c>
      <c r="S609" t="str">
        <f>IFERROR(IF(AND('Дивиденды по годам'!L609&lt;&gt;"",'Дивиденды по годам'!I609&lt;&gt;"",'Дивиденды по годам'!J609&lt;&gt;"",'Дивиденды по годам'!K609&lt;&gt;"",('Дивиденды по годам'!I609-'Дивиденды по годам'!J609-'Дивиденды по годам'!K609)&lt;&gt;0),'Дивиденды по годам'!L609/('Дивиденды по годам'!I609-'Дивиденды по годам'!J609-'Дивиденды по годам'!K609),""),"")</f>
        <v/>
      </c>
      <c r="T609" t="str">
        <f>IFERROR(IF(AND('Дивиденды по годам'!Q609&lt;&gt;"",'Дивиденды по годам'!I609&lt;&gt;"",'Дивиденды по годам'!V609&lt;&gt;"",('Дивиденды по годам'!I609+'Дивиденды по годам'!V609)&lt;&gt;0),'Дивиденды по годам'!Q609/(('Дивиденды по годам'!I609+'Дивиденды по годам'!V609)/2),""),"")</f>
        <v/>
      </c>
      <c r="U609" t="str">
        <f>IFERROR(IF(AND('Дивиденды по годам'!J609&lt;&gt;"",'Дивиденды по годам'!K609&lt;&gt;"",'Дивиденды по годам'!M609&lt;&gt;"",'Дивиденды по годам'!M609&lt;&gt;0),('Дивиденды по годам'!J609+'Дивиденды по годам'!K609)/'Дивиденды по годам'!M609,""),"")</f>
        <v/>
      </c>
      <c r="V609" cm="1">
        <f t="array" ref="V609">IFERROR(AVERAGE(_xlfn._xlws.FILTER(P$2:P$1073,($C$2:$C$1073=$C609)*($E$2:$E$1073=$E609)*(ROW(P$2:P$1073)&lt;&gt;ROW(P609))*(P$2:P$1073&lt;&gt;""))),"")</f>
        <v>23.656010386255485</v>
      </c>
      <c r="W609" cm="1">
        <f t="array" ref="W609">IFERROR(AVERAGE(_xlfn._xlws.FILTER(Q$2:Q$1073,($C$2:$C$1073=$C609)*($E$2:$E$1073=$E609)*(ROW(Q$2:Q$1073)&lt;&gt;ROW(Q609))*(Q$2:Q$1073&lt;&gt;""))),"")</f>
        <v>0.15222241747474585</v>
      </c>
      <c r="X609" t="str" cm="1">
        <f t="array" ref="X609">IFERROR(AVERAGE(_xlfn._xlws.FILTER(R$2:R$1073,($C$2:$C$1073=$C609)*($E$2:$E$1073=$E609)*(ROW(R$2:R$1073)&lt;&gt;ROW(R609))*(R$2:R$1073&lt;&gt;""))),"")</f>
        <v/>
      </c>
      <c r="Y609" t="str" cm="1">
        <f t="array" ref="Y609">IFERROR(AVERAGE(_xlfn._xlws.FILTER(S$2:S$1073,($C$2:$C$1073=$C609)*($E$2:$E$1073=$E609)*(ROW(S$2:S$1073)&lt;&gt;ROW(S609))*(S$2:S$1073&lt;&gt;""))),"")</f>
        <v/>
      </c>
      <c r="Z609" t="str" cm="1">
        <f t="array" ref="Z609">IFERROR(AVERAGE(_xlfn._xlws.FILTER(T$2:T$1073,($C$2:$C$1073=$C609)*($E$2:$E$1073=$E609)*(ROW(T$2:T$1073)&lt;&gt;ROW(T609))*(T$2:T$1073&lt;&gt;""))),"")</f>
        <v/>
      </c>
      <c r="AA609" cm="1">
        <f t="array" ref="AA609">IFERROR(AVERAGE(_xlfn._xlws.FILTER(U$2:U$1073,($C$2:$C$1073=$C609)*($E$2:$E$1073=$E609)*(ROW(U$2:U$1073)&lt;&gt;ROW(U609))*(U$2:U$1073&lt;&gt;""))),"")</f>
        <v>2.8988498110700496</v>
      </c>
    </row>
    <row r="610" spans="1:27" x14ac:dyDescent="0.2">
      <c r="A610" s="7" t="s">
        <v>2255</v>
      </c>
      <c r="B610" t="str">
        <f t="shared" si="101"/>
        <v>MGNT IV кв. 2025</v>
      </c>
      <c r="C610">
        <v>2025</v>
      </c>
      <c r="D610">
        <f>SUMIFS(Дивиденды!$C:$C,Дивиденды!$A:$A,A610,Дивиденды!$I:$I,C610)</f>
        <v>0</v>
      </c>
      <c r="E610">
        <v>4</v>
      </c>
      <c r="F610">
        <f t="shared" si="102"/>
        <v>0</v>
      </c>
      <c r="G610">
        <f t="shared" si="103"/>
        <v>31.581428571428571</v>
      </c>
      <c r="H610">
        <f t="shared" si="104"/>
        <v>0</v>
      </c>
      <c r="I610">
        <f t="shared" si="100"/>
        <v>0.42857142857142855</v>
      </c>
      <c r="J610">
        <f t="shared" si="105"/>
        <v>0</v>
      </c>
      <c r="K610">
        <f t="shared" si="109"/>
        <v>-0.1825263432406963</v>
      </c>
      <c r="L610">
        <f t="shared" si="106"/>
        <v>0</v>
      </c>
      <c r="M610">
        <f t="shared" si="110"/>
        <v>0.14285714285714285</v>
      </c>
      <c r="N610">
        <f t="shared" si="107"/>
        <v>0</v>
      </c>
      <c r="O610">
        <f t="shared" si="108"/>
        <v>0.5</v>
      </c>
      <c r="P610" t="str">
        <f>IFERROR(LN('Дивиденды по годам'!I610),"")</f>
        <v/>
      </c>
      <c r="Q610" t="str">
        <f>IFERROR('Дивиденды по годам'!G610/'Дивиденды по годам'!I610, "")</f>
        <v/>
      </c>
      <c r="R610" t="str">
        <f>IFERROR(IF(AND('Дивиденды по годам'!N610&lt;&gt;"",'Дивиденды по годам'!U610&lt;&gt;"",'Дивиденды по годам'!U610&lt;&gt;0),'Дивиденды по годам'!N610/'Дивиденды по годам'!U610-1,""),"")</f>
        <v/>
      </c>
      <c r="S610" t="str">
        <f>IFERROR(IF(AND('Дивиденды по годам'!L610&lt;&gt;"",'Дивиденды по годам'!I610&lt;&gt;"",'Дивиденды по годам'!J610&lt;&gt;"",'Дивиденды по годам'!K610&lt;&gt;"",('Дивиденды по годам'!I610-'Дивиденды по годам'!J610-'Дивиденды по годам'!K610)&lt;&gt;0),'Дивиденды по годам'!L610/('Дивиденды по годам'!I610-'Дивиденды по годам'!J610-'Дивиденды по годам'!K610),""),"")</f>
        <v/>
      </c>
      <c r="T610" t="str">
        <f>IFERROR(IF(AND('Дивиденды по годам'!Q610&lt;&gt;"",'Дивиденды по годам'!I610&lt;&gt;"",'Дивиденды по годам'!V610&lt;&gt;"",('Дивиденды по годам'!I610+'Дивиденды по годам'!V610)&lt;&gt;0),'Дивиденды по годам'!Q610/(('Дивиденды по годам'!I610+'Дивиденды по годам'!V610)/2),""),"")</f>
        <v/>
      </c>
      <c r="U610" t="str">
        <f>IFERROR(IF(AND('Дивиденды по годам'!J610&lt;&gt;"",'Дивиденды по годам'!K610&lt;&gt;"",'Дивиденды по годам'!M610&lt;&gt;"",'Дивиденды по годам'!M610&lt;&gt;0),('Дивиденды по годам'!J610+'Дивиденды по годам'!K610)/'Дивиденды по годам'!M610,""),"")</f>
        <v/>
      </c>
      <c r="V610" cm="1">
        <f t="array" ref="V610">IFERROR(AVERAGE(_xlfn._xlws.FILTER(P$2:P$1073,($C$2:$C$1073=$C610)*($E$2:$E$1073=$E610)*(ROW(P$2:P$1073)&lt;&gt;ROW(P610))*(P$2:P$1073&lt;&gt;""))),"")</f>
        <v>26.183512711155618</v>
      </c>
      <c r="W610" cm="1">
        <f t="array" ref="W610">IFERROR(AVERAGE(_xlfn._xlws.FILTER(Q$2:Q$1073,($C$2:$C$1073=$C610)*($E$2:$E$1073=$E610)*(ROW(Q$2:Q$1073)&lt;&gt;ROW(Q610))*(Q$2:Q$1073&lt;&gt;""))),"")</f>
        <v>0.42364014522274984</v>
      </c>
      <c r="X610" cm="1">
        <f t="array" ref="X610">IFERROR(AVERAGE(_xlfn._xlws.FILTER(R$2:R$1073,($C$2:$C$1073=$C610)*($E$2:$E$1073=$E610)*(ROW(R$2:R$1073)&lt;&gt;ROW(R610))*(R$2:R$1073&lt;&gt;""))),"")</f>
        <v>6.6096126428947105E-2</v>
      </c>
      <c r="Y610" cm="1">
        <f t="array" ref="Y610">IFERROR(AVERAGE(_xlfn._xlws.FILTER(S$2:S$1073,($C$2:$C$1073=$C610)*($E$2:$E$1073=$E610)*(ROW(S$2:S$1073)&lt;&gt;ROW(S610))*(S$2:S$1073&lt;&gt;""))),"")</f>
        <v>0.94174952343815033</v>
      </c>
      <c r="Z610" cm="1">
        <f t="array" ref="Z610">IFERROR(AVERAGE(_xlfn._xlws.FILTER(T$2:T$1073,($C$2:$C$1073=$C610)*($E$2:$E$1073=$E610)*(ROW(T$2:T$1073)&lt;&gt;ROW(T610))*(T$2:T$1073&lt;&gt;""))),"")</f>
        <v>1.3107153079830167E-2</v>
      </c>
      <c r="AA610" cm="1">
        <f t="array" ref="AA610">IFERROR(AVERAGE(_xlfn._xlws.FILTER(U$2:U$1073,($C$2:$C$1073=$C610)*($E$2:$E$1073=$E610)*(ROW(U$2:U$1073)&lt;&gt;ROW(U610))*(U$2:U$1073&lt;&gt;""))),"")</f>
        <v>6.2968354519658218</v>
      </c>
    </row>
    <row r="611" spans="1:27" x14ac:dyDescent="0.2">
      <c r="A611" s="7" t="s">
        <v>2255</v>
      </c>
      <c r="B611" t="str">
        <f t="shared" si="101"/>
        <v>MGNT IV кв. 2024</v>
      </c>
      <c r="C611">
        <v>2024</v>
      </c>
      <c r="D611">
        <f>SUMIFS(Дивиденды!$C:$C,Дивиденды!$A:$A,A611,Дивиденды!$I:$I,C611)</f>
        <v>0</v>
      </c>
      <c r="E611">
        <v>4</v>
      </c>
      <c r="F611">
        <f t="shared" si="102"/>
        <v>0</v>
      </c>
      <c r="G611">
        <f t="shared" si="103"/>
        <v>62.511428571428574</v>
      </c>
      <c r="H611">
        <f t="shared" si="104"/>
        <v>0</v>
      </c>
      <c r="I611">
        <f t="shared" si="100"/>
        <v>0.5714285714285714</v>
      </c>
      <c r="J611">
        <f t="shared" si="105"/>
        <v>-1</v>
      </c>
      <c r="K611">
        <f t="shared" si="109"/>
        <v>0.28288431679205528</v>
      </c>
      <c r="L611">
        <f t="shared" si="106"/>
        <v>0</v>
      </c>
      <c r="M611">
        <f t="shared" si="110"/>
        <v>0.35714285714285715</v>
      </c>
      <c r="N611">
        <f t="shared" si="107"/>
        <v>1</v>
      </c>
      <c r="O611">
        <f t="shared" si="108"/>
        <v>0.21428571428571427</v>
      </c>
      <c r="P611">
        <f>IFERROR(LN('Дивиденды по годам'!I611),"")</f>
        <v>28.078212651034583</v>
      </c>
      <c r="Q611">
        <f>IFERROR('Дивиденды по годам'!G611/'Дивиденды по годам'!I611, "")</f>
        <v>0.28863889536010012</v>
      </c>
      <c r="R611">
        <f>IFERROR(IF(AND('Дивиденды по годам'!N611&lt;&gt;"",'Дивиденды по годам'!U611&lt;&gt;"",'Дивиденды по годам'!U611&lt;&gt;0),'Дивиденды по годам'!N611/'Дивиденды по годам'!U611-1,""),"")</f>
        <v>0.19599439196488544</v>
      </c>
      <c r="S611">
        <f>IFERROR(IF(AND('Дивиденды по годам'!L611&lt;&gt;"",'Дивиденды по годам'!I611&lt;&gt;"",'Дивиденды по годам'!J611&lt;&gt;"",'Дивиденды по годам'!K611&lt;&gt;"",('Дивиденды по годам'!I611-'Дивиденды по годам'!J611-'Дивиденды по годам'!K611)&lt;&gt;0),'Дивиденды по годам'!L611/('Дивиденды по годам'!I611-'Дивиденды по годам'!J611-'Дивиденды по годам'!K611),""),"")</f>
        <v>0.99278913512166522</v>
      </c>
      <c r="T611">
        <f>IFERROR(IF(AND('Дивиденды по годам'!Q611&lt;&gt;"",'Дивиденды по годам'!I611&lt;&gt;"",'Дивиденды по годам'!V611&lt;&gt;"",('Дивиденды по годам'!I611+'Дивиденды по годам'!V611)&lt;&gt;0),'Дивиденды по годам'!Q611/(('Дивиденды по годам'!I611+'Дивиденды по годам'!V611)/2),""),"")</f>
        <v>2.9620497495410559E-2</v>
      </c>
      <c r="U611">
        <f>IFERROR(IF(AND('Дивиденды по годам'!J611&lt;&gt;"",'Дивиденды по годам'!K611&lt;&gt;"",'Дивиденды по годам'!M611&lt;&gt;"",'Дивиденды по годам'!M611&lt;&gt;0),('Дивиденды по годам'!J611+'Дивиденды по годам'!K611)/'Дивиденды по годам'!M611,""),"")</f>
        <v>7.62546251214291</v>
      </c>
      <c r="V611" cm="1">
        <f t="array" ref="V611">IFERROR(AVERAGE(_xlfn._xlws.FILTER(P$2:P$1073,($C$2:$C$1073=$C611)*($E$2:$E$1073=$E611)*(ROW(P$2:P$1073)&lt;&gt;ROW(P611))*(P$2:P$1073&lt;&gt;""))),"")</f>
        <v>25.385271361190053</v>
      </c>
      <c r="W611" cm="1">
        <f t="array" ref="W611">IFERROR(AVERAGE(_xlfn._xlws.FILTER(Q$2:Q$1073,($C$2:$C$1073=$C611)*($E$2:$E$1073=$E611)*(ROW(Q$2:Q$1073)&lt;&gt;ROW(Q611))*(Q$2:Q$1073&lt;&gt;""))),"")</f>
        <v>0.26108766949571477</v>
      </c>
      <c r="X611" cm="1">
        <f t="array" ref="X611">IFERROR(AVERAGE(_xlfn._xlws.FILTER(R$2:R$1073,($C$2:$C$1073=$C611)*($E$2:$E$1073=$E611)*(ROW(R$2:R$1073)&lt;&gt;ROW(R611))*(R$2:R$1073&lt;&gt;""))),"")</f>
        <v>0.27042729211974931</v>
      </c>
      <c r="Y611" cm="1">
        <f t="array" ref="Y611">IFERROR(AVERAGE(_xlfn._xlws.FILTER(S$2:S$1073,($C$2:$C$1073=$C611)*($E$2:$E$1073=$E611)*(ROW(S$2:S$1073)&lt;&gt;ROW(S611))*(S$2:S$1073&lt;&gt;""))),"")</f>
        <v>1.1837872166740611</v>
      </c>
      <c r="Z611" cm="1">
        <f t="array" ref="Z611">IFERROR(AVERAGE(_xlfn._xlws.FILTER(T$2:T$1073,($C$2:$C$1073=$C611)*($E$2:$E$1073=$E611)*(ROW(T$2:T$1073)&lt;&gt;ROW(T611))*(T$2:T$1073&lt;&gt;""))),"")</f>
        <v>7.6051005631111918E-2</v>
      </c>
      <c r="AA611" cm="1">
        <f t="array" ref="AA611">IFERROR(AVERAGE(_xlfn._xlws.FILTER(U$2:U$1073,($C$2:$C$1073=$C611)*($E$2:$E$1073=$E611)*(ROW(U$2:U$1073)&lt;&gt;ROW(U611))*(U$2:U$1073&lt;&gt;""))),"")</f>
        <v>3.7311788965007269</v>
      </c>
    </row>
    <row r="612" spans="1:27" x14ac:dyDescent="0.2">
      <c r="A612" s="7" t="s">
        <v>2255</v>
      </c>
      <c r="B612" t="str">
        <f t="shared" si="101"/>
        <v>MGNT IV кв. 2023</v>
      </c>
      <c r="C612">
        <v>2023</v>
      </c>
      <c r="D612">
        <f>SUMIFS(Дивиденды!$C:$C,Дивиденды!$A:$A,A612,Дивиденды!$I:$I,C612)</f>
        <v>412.13</v>
      </c>
      <c r="E612">
        <v>4</v>
      </c>
      <c r="F612">
        <f t="shared" si="102"/>
        <v>412.13</v>
      </c>
      <c r="G612">
        <f t="shared" si="103"/>
        <v>61.302142857142861</v>
      </c>
      <c r="H612">
        <f t="shared" si="104"/>
        <v>1</v>
      </c>
      <c r="I612">
        <f t="shared" si="100"/>
        <v>0.42857142857142855</v>
      </c>
      <c r="J612">
        <f t="shared" si="105"/>
        <v>0</v>
      </c>
      <c r="K612">
        <f t="shared" si="109"/>
        <v>0.29812745098039217</v>
      </c>
      <c r="L612">
        <f t="shared" si="106"/>
        <v>0</v>
      </c>
      <c r="M612">
        <f t="shared" si="110"/>
        <v>0.42857142857142855</v>
      </c>
      <c r="N612">
        <f t="shared" si="107"/>
        <v>0</v>
      </c>
      <c r="O612">
        <f t="shared" si="108"/>
        <v>0</v>
      </c>
      <c r="P612">
        <f>IFERROR(LN('Дивиденды по годам'!I612),"")</f>
        <v>27.988376115477038</v>
      </c>
      <c r="Q612">
        <f>IFERROR('Дивиденды по годам'!G612/'Дивиденды по годам'!I612, "")</f>
        <v>0.25676031951819195</v>
      </c>
      <c r="R612">
        <f>IFERROR(IF(AND('Дивиденды по годам'!N612&lt;&gt;"",'Дивиденды по годам'!U612&lt;&gt;"",'Дивиденды по годам'!U612&lt;&gt;0),'Дивиденды по годам'!N612/'Дивиденды по годам'!U612-1,""),"")</f>
        <v>8.1927144580525635E-2</v>
      </c>
      <c r="S612">
        <f>IFERROR(IF(AND('Дивиденды по годам'!L612&lt;&gt;"",'Дивиденды по годам'!I612&lt;&gt;"",'Дивиденды по годам'!J612&lt;&gt;"",'Дивиденды по годам'!K612&lt;&gt;"",('Дивиденды по годам'!I612-'Дивиденды по годам'!J612-'Дивиденды по годам'!K612)&lt;&gt;0),'Дивиденды по годам'!L612/('Дивиденды по годам'!I612-'Дивиденды по годам'!J612-'Дивиденды по годам'!K612),""),"")</f>
        <v>1.0296257969434357</v>
      </c>
      <c r="T612">
        <f>IFERROR(IF(AND('Дивиденды по годам'!Q612&lt;&gt;"",'Дивиденды по годам'!I612&lt;&gt;"",'Дивиденды по годам'!V612&lt;&gt;"",('Дивиденды по годам'!I612+'Дивиденды по годам'!V612)&lt;&gt;0),'Дивиденды по годам'!Q612/(('Дивиденды по годам'!I612+'Дивиденды по годам'!V612)/2),""),"")</f>
        <v>4.1533700142972266E-2</v>
      </c>
      <c r="U612">
        <f>IFERROR(IF(AND('Дивиденды по годам'!J612&lt;&gt;"",'Дивиденды по годам'!K612&lt;&gt;"",'Дивиденды по годам'!M612&lt;&gt;"",'Дивиденды по годам'!M612&lt;&gt;0),('Дивиденды по годам'!J612+'Дивиденды по годам'!K612)/'Дивиденды по годам'!M612,""),"")</f>
        <v>8.0210597285754766</v>
      </c>
      <c r="V612" cm="1">
        <f t="array" ref="V612">IFERROR(AVERAGE(_xlfn._xlws.FILTER(P$2:P$1073,($C$2:$C$1073=$C612)*($E$2:$E$1073=$E612)*(ROW(P$2:P$1073)&lt;&gt;ROW(P612))*(P$2:P$1073&lt;&gt;""))),"")</f>
        <v>25.179725214848844</v>
      </c>
      <c r="W612" cm="1">
        <f t="array" ref="W612">IFERROR(AVERAGE(_xlfn._xlws.FILTER(Q$2:Q$1073,($C$2:$C$1073=$C612)*($E$2:$E$1073=$E612)*(ROW(Q$2:Q$1073)&lt;&gt;ROW(Q612))*(Q$2:Q$1073&lt;&gt;""))),"")</f>
        <v>0.24993219104682463</v>
      </c>
      <c r="X612" cm="1">
        <f t="array" ref="X612">IFERROR(AVERAGE(_xlfn._xlws.FILTER(R$2:R$1073,($C$2:$C$1073=$C612)*($E$2:$E$1073=$E612)*(ROW(R$2:R$1073)&lt;&gt;ROW(R612))*(R$2:R$1073&lt;&gt;""))),"")</f>
        <v>0.25984540286649199</v>
      </c>
      <c r="Y612" cm="1">
        <f t="array" ref="Y612">IFERROR(AVERAGE(_xlfn._xlws.FILTER(S$2:S$1073,($C$2:$C$1073=$C612)*($E$2:$E$1073=$E612)*(ROW(S$2:S$1073)&lt;&gt;ROW(S612))*(S$2:S$1073&lt;&gt;""))),"")</f>
        <v>1.2614488874503118</v>
      </c>
      <c r="Z612" cm="1">
        <f t="array" ref="Z612">IFERROR(AVERAGE(_xlfn._xlws.FILTER(T$2:T$1073,($C$2:$C$1073=$C612)*($E$2:$E$1073=$E612)*(ROW(T$2:T$1073)&lt;&gt;ROW(T612))*(T$2:T$1073&lt;&gt;""))),"")</f>
        <v>0.11604318512679868</v>
      </c>
      <c r="AA612" cm="1">
        <f t="array" ref="AA612">IFERROR(AVERAGE(_xlfn._xlws.FILTER(U$2:U$1073,($C$2:$C$1073=$C612)*($E$2:$E$1073=$E612)*(ROW(U$2:U$1073)&lt;&gt;ROW(U612))*(U$2:U$1073&lt;&gt;""))),"")</f>
        <v>2.199365057860915</v>
      </c>
    </row>
    <row r="613" spans="1:27" x14ac:dyDescent="0.2">
      <c r="A613" s="7" t="s">
        <v>2255</v>
      </c>
      <c r="B613" t="str">
        <f t="shared" si="101"/>
        <v>MGNT IV кв. 2022</v>
      </c>
      <c r="C613">
        <v>2022</v>
      </c>
      <c r="D613">
        <f>SUMIFS(Дивиденды!$C:$C,Дивиденды!$A:$A,A613,Дивиденды!$I:$I,C613)</f>
        <v>412.13</v>
      </c>
      <c r="E613">
        <v>4</v>
      </c>
      <c r="F613">
        <f t="shared" si="102"/>
        <v>412.13</v>
      </c>
      <c r="G613">
        <f t="shared" si="103"/>
        <v>50.742142857142859</v>
      </c>
      <c r="H613">
        <f t="shared" si="104"/>
        <v>1</v>
      </c>
      <c r="I613">
        <f t="shared" si="100"/>
        <v>0.21428571428571427</v>
      </c>
      <c r="J613">
        <f t="shared" si="105"/>
        <v>0.40004076502360969</v>
      </c>
      <c r="K613">
        <f t="shared" si="109"/>
        <v>0.46726190476190471</v>
      </c>
      <c r="L613">
        <f t="shared" si="106"/>
        <v>1</v>
      </c>
      <c r="M613">
        <f t="shared" si="110"/>
        <v>0.21428571428571427</v>
      </c>
      <c r="N613">
        <f t="shared" si="107"/>
        <v>0</v>
      </c>
      <c r="O613">
        <f t="shared" si="108"/>
        <v>7.1428571428571425E-2</v>
      </c>
      <c r="P613">
        <f>IFERROR(LN('Дивиденды по годам'!I613),"")</f>
        <v>27.964631002789595</v>
      </c>
      <c r="Q613">
        <f>IFERROR('Дивиденды по годам'!G613/'Дивиденды по годам'!I613, "")</f>
        <v>0.25913446937662765</v>
      </c>
      <c r="R613">
        <f>IFERROR(IF(AND('Дивиденды по годам'!N613&lt;&gt;"",'Дивиденды по годам'!U613&lt;&gt;"",'Дивиденды по годам'!U613&lt;&gt;0),'Дивиденды по годам'!N613/'Дивиденды по годам'!U613-1,""),"")</f>
        <v>0.26718554886902846</v>
      </c>
      <c r="S613">
        <f>IFERROR(IF(AND('Дивиденды по годам'!L613&lt;&gt;"",'Дивиденды по годам'!I613&lt;&gt;"",'Дивиденды по годам'!J613&lt;&gt;"",'Дивиденды по годам'!K613&lt;&gt;"",('Дивиденды по годам'!I613-'Дивиденды по годам'!J613-'Дивиденды по годам'!K613)&lt;&gt;0),'Дивиденды по годам'!L613/('Дивиденды по годам'!I613-'Дивиденды по годам'!J613-'Дивиденды по годам'!K613),""),"")</f>
        <v>0.63988246557430473</v>
      </c>
      <c r="T613">
        <f>IFERROR(IF(AND('Дивиденды по годам'!Q613&lt;&gt;"",'Дивиденды по годам'!I613&lt;&gt;"",'Дивиденды по годам'!V613&lt;&gt;"",('Дивиденды по годам'!I613+'Дивиденды по годам'!V613)&lt;&gt;0),'Дивиденды по годам'!Q613/(('Дивиденды по годам'!I613+'Дивиденды по годам'!V613)/2),""),"")</f>
        <v>2.1441671884325691E-2</v>
      </c>
      <c r="U613">
        <f>IFERROR(IF(AND('Дивиденды по годам'!J613&lt;&gt;"",'Дивиденды по годам'!K613&lt;&gt;"",'Дивиденды по годам'!M613&lt;&gt;"",'Дивиденды по годам'!M613&lt;&gt;0),('Дивиденды по годам'!J613+'Дивиденды по годам'!K613)/'Дивиденды по годам'!M613,""),"")</f>
        <v>5.7315215091833487</v>
      </c>
      <c r="V613" cm="1">
        <f t="array" ref="V613">IFERROR(AVERAGE(_xlfn._xlws.FILTER(P$2:P$1073,($C$2:$C$1073=$C613)*($E$2:$E$1073=$E613)*(ROW(P$2:P$1073)&lt;&gt;ROW(P613))*(P$2:P$1073&lt;&gt;""))),"")</f>
        <v>25.042638239611488</v>
      </c>
      <c r="W613" cm="1">
        <f t="array" ref="W613">IFERROR(AVERAGE(_xlfn._xlws.FILTER(Q$2:Q$1073,($C$2:$C$1073=$C613)*($E$2:$E$1073=$E613)*(ROW(Q$2:Q$1073)&lt;&gt;ROW(Q613))*(Q$2:Q$1073&lt;&gt;""))),"")</f>
        <v>0.24736665482399189</v>
      </c>
      <c r="X613" cm="1">
        <f t="array" ref="X613">IFERROR(AVERAGE(_xlfn._xlws.FILTER(R$2:R$1073,($C$2:$C$1073=$C613)*($E$2:$E$1073=$E613)*(ROW(R$2:R$1073)&lt;&gt;ROW(R613))*(R$2:R$1073&lt;&gt;""))),"")</f>
        <v>0.1994941251633672</v>
      </c>
      <c r="Y613" cm="1">
        <f t="array" ref="Y613">IFERROR(AVERAGE(_xlfn._xlws.FILTER(S$2:S$1073,($C$2:$C$1073=$C613)*($E$2:$E$1073=$E613)*(ROW(S$2:S$1073)&lt;&gt;ROW(S613))*(S$2:S$1073&lt;&gt;""))),"")</f>
        <v>1.395182973800444</v>
      </c>
      <c r="Z613" cm="1">
        <f t="array" ref="Z613">IFERROR(AVERAGE(_xlfn._xlws.FILTER(T$2:T$1073,($C$2:$C$1073=$C613)*($E$2:$E$1073=$E613)*(ROW(T$2:T$1073)&lt;&gt;ROW(T613))*(T$2:T$1073&lt;&gt;""))),"")</f>
        <v>0.10803290955641084</v>
      </c>
      <c r="AA613" cm="1">
        <f t="array" ref="AA613">IFERROR(AVERAGE(_xlfn._xlws.FILTER(U$2:U$1073,($C$2:$C$1073=$C613)*($E$2:$E$1073=$E613)*(ROW(U$2:U$1073)&lt;&gt;ROW(U613))*(U$2:U$1073&lt;&gt;""))),"")</f>
        <v>1.8769736775627817</v>
      </c>
    </row>
    <row r="614" spans="1:27" x14ac:dyDescent="0.2">
      <c r="A614" s="7" t="s">
        <v>2255</v>
      </c>
      <c r="B614" t="str">
        <f t="shared" si="101"/>
        <v>MGNT IV кв. 2021</v>
      </c>
      <c r="C614">
        <v>2021</v>
      </c>
      <c r="D614">
        <f>SUMIFS(Дивиденды!$C:$C,Дивиденды!$A:$A,A614,Дивиденды!$I:$I,C614)</f>
        <v>294.37</v>
      </c>
      <c r="E614">
        <v>4</v>
      </c>
      <c r="F614">
        <f t="shared" si="102"/>
        <v>294.37</v>
      </c>
      <c r="G614">
        <f t="shared" si="103"/>
        <v>10.905000000000001</v>
      </c>
      <c r="H614">
        <f t="shared" si="104"/>
        <v>1</v>
      </c>
      <c r="I614">
        <f t="shared" si="100"/>
        <v>0.21428571428571427</v>
      </c>
      <c r="J614">
        <f t="shared" si="105"/>
        <v>-0.40000407647466468</v>
      </c>
      <c r="K614">
        <f t="shared" si="109"/>
        <v>0.22607338017174081</v>
      </c>
      <c r="L614">
        <f t="shared" si="106"/>
        <v>0</v>
      </c>
      <c r="M614">
        <f t="shared" si="110"/>
        <v>0.21428571428571427</v>
      </c>
      <c r="N614">
        <f t="shared" si="107"/>
        <v>1</v>
      </c>
      <c r="O614">
        <f t="shared" si="108"/>
        <v>0</v>
      </c>
      <c r="P614">
        <f>IFERROR(LN('Дивиденды по годам'!I614),"")</f>
        <v>27.821181560701671</v>
      </c>
      <c r="Q614">
        <f>IFERROR('Дивиденды по годам'!G614/'Дивиденды по годам'!I614, "")</f>
        <v>0.31196374955320261</v>
      </c>
      <c r="R614">
        <f>IFERROR(IF(AND('Дивиденды по годам'!N614&lt;&gt;"",'Дивиденды по годам'!U614&lt;&gt;"",'Дивиденды по годам'!U614&lt;&gt;0),'Дивиденды по годам'!N614/'Дивиденды по годам'!U614-1,""),"")</f>
        <v>0.19455914890601345</v>
      </c>
      <c r="S614">
        <f>IFERROR(IF(AND('Дивиденды по годам'!L614&lt;&gt;"",'Дивиденды по годам'!I614&lt;&gt;"",'Дивиденды по годам'!J614&lt;&gt;"",'Дивиденды по годам'!K614&lt;&gt;"",('Дивиденды по годам'!I614-'Дивиденды по годам'!J614-'Дивиденды по годам'!K614)&lt;&gt;0),'Дивиденды по годам'!L614/('Дивиденды по годам'!I614-'Дивиденды по годам'!J614-'Дивиденды по годам'!K614),""),"")</f>
        <v>0.58556898725117346</v>
      </c>
      <c r="T614">
        <f>IFERROR(IF(AND('Дивиденды по годам'!Q614&lt;&gt;"",'Дивиденды по годам'!I614&lt;&gt;"",'Дивиденды по годам'!V614&lt;&gt;"",('Дивиденды по годам'!I614+'Дивиденды по годам'!V614)&lt;&gt;0),'Дивиденды по годам'!Q614/(('Дивиденды по годам'!I614+'Дивиденды по годам'!V614)/2),""),"")</f>
        <v>4.4649212876442426E-2</v>
      </c>
      <c r="U614">
        <f>IFERROR(IF(AND('Дивиденды по годам'!J614&lt;&gt;"",'Дивиденды по годам'!K614&lt;&gt;"",'Дивиденды по годам'!M614&lt;&gt;"",'Дивиденды по годам'!M614&lt;&gt;0),('Дивиденды по годам'!J614+'Дивиденды по годам'!K614)/'Дивиденды по годам'!M614,""),"")</f>
        <v>5.7572278205225027</v>
      </c>
      <c r="V614" cm="1">
        <f t="array" ref="V614">IFERROR(AVERAGE(_xlfn._xlws.FILTER(P$2:P$1073,($C$2:$C$1073=$C614)*($E$2:$E$1073=$E614)*(ROW(P$2:P$1073)&lt;&gt;ROW(P614))*(P$2:P$1073&lt;&gt;""))),"")</f>
        <v>24.968535907520359</v>
      </c>
      <c r="W614" cm="1">
        <f t="array" ref="W614">IFERROR(AVERAGE(_xlfn._xlws.FILTER(Q$2:Q$1073,($C$2:$C$1073=$C614)*($E$2:$E$1073=$E614)*(ROW(Q$2:Q$1073)&lt;&gt;ROW(Q614))*(Q$2:Q$1073&lt;&gt;""))),"")</f>
        <v>0.22886724127284377</v>
      </c>
      <c r="X614" cm="1">
        <f t="array" ref="X614">IFERROR(AVERAGE(_xlfn._xlws.FILTER(R$2:R$1073,($C$2:$C$1073=$C614)*($E$2:$E$1073=$E614)*(ROW(R$2:R$1073)&lt;&gt;ROW(R614))*(R$2:R$1073&lt;&gt;""))),"")</f>
        <v>0.33299046845053021</v>
      </c>
      <c r="Y614" cm="1">
        <f t="array" ref="Y614">IFERROR(AVERAGE(_xlfn._xlws.FILTER(S$2:S$1073,($C$2:$C$1073=$C614)*($E$2:$E$1073=$E614)*(ROW(S$2:S$1073)&lt;&gt;ROW(S614))*(S$2:S$1073&lt;&gt;""))),"")</f>
        <v>1.3835565703396595</v>
      </c>
      <c r="Z614" cm="1">
        <f t="array" ref="Z614">IFERROR(AVERAGE(_xlfn._xlws.FILTER(T$2:T$1073,($C$2:$C$1073=$C614)*($E$2:$E$1073=$E614)*(ROW(T$2:T$1073)&lt;&gt;ROW(T614))*(T$2:T$1073&lt;&gt;""))),"")</f>
        <v>0.10961312028188273</v>
      </c>
      <c r="AA614" cm="1">
        <f t="array" ref="AA614">IFERROR(AVERAGE(_xlfn._xlws.FILTER(U$2:U$1073,($C$2:$C$1073=$C614)*($E$2:$E$1073=$E614)*(ROW(U$2:U$1073)&lt;&gt;ROW(U614))*(U$2:U$1073&lt;&gt;""))),"")</f>
        <v>17.868748697575985</v>
      </c>
    </row>
    <row r="615" spans="1:27" x14ac:dyDescent="0.2">
      <c r="A615" s="7" t="s">
        <v>2255</v>
      </c>
      <c r="B615" t="str">
        <f t="shared" si="101"/>
        <v>MGNT IV кв. 2020</v>
      </c>
      <c r="C615">
        <v>2020</v>
      </c>
      <c r="D615">
        <f>SUMIFS(Дивиденды!$C:$C,Дивиденды!$A:$A,A615,Дивиденды!$I:$I,C615)</f>
        <v>490.62</v>
      </c>
      <c r="E615">
        <v>4</v>
      </c>
      <c r="F615">
        <f t="shared" si="102"/>
        <v>490.62</v>
      </c>
      <c r="G615">
        <f t="shared" si="103"/>
        <v>8.2492857142857137</v>
      </c>
      <c r="H615">
        <f t="shared" si="104"/>
        <v>1</v>
      </c>
      <c r="I615">
        <f t="shared" si="100"/>
        <v>0.21428571428571427</v>
      </c>
      <c r="J615">
        <f t="shared" si="105"/>
        <v>0.61287353298925018</v>
      </c>
      <c r="K615">
        <f t="shared" si="109"/>
        <v>0.22453949112112379</v>
      </c>
      <c r="L615">
        <f t="shared" si="106"/>
        <v>1</v>
      </c>
      <c r="M615">
        <f t="shared" si="110"/>
        <v>0.21428571428571427</v>
      </c>
      <c r="N615">
        <f t="shared" si="107"/>
        <v>0</v>
      </c>
      <c r="O615">
        <f t="shared" si="108"/>
        <v>0</v>
      </c>
      <c r="P615">
        <f>IFERROR(LN('Дивиденды по годам'!I615),"")</f>
        <v>27.574865711142095</v>
      </c>
      <c r="Q615">
        <f>IFERROR('Дивиденды по годам'!G615/'Дивиденды по годам'!I615, "")</f>
        <v>0.35595104535905175</v>
      </c>
      <c r="R615">
        <f>IFERROR(IF(AND('Дивиденды по годам'!N615&lt;&gt;"",'Дивиденды по годам'!U615&lt;&gt;"",'Дивиденды по годам'!U615&lt;&gt;0),'Дивиденды по годам'!N615/'Дивиденды по годам'!U615-1,""),"")</f>
        <v>0.13521679523679886</v>
      </c>
      <c r="S615">
        <f>IFERROR(IF(AND('Дивиденды по годам'!L615&lt;&gt;"",'Дивиденды по годам'!I615&lt;&gt;"",'Дивиденды по годам'!J615&lt;&gt;"",'Дивиденды по годам'!K615&lt;&gt;"",('Дивиденды по годам'!I615-'Дивиденды по годам'!J615-'Дивиденды по годам'!K615)&lt;&gt;0),'Дивиденды по годам'!L615/('Дивиденды по годам'!I615-'Дивиденды по годам'!J615-'Дивиденды по годам'!K615),""),"")</f>
        <v>0.59852316152289242</v>
      </c>
      <c r="T615">
        <f>IFERROR(IF(AND('Дивиденды по годам'!Q615&lt;&gt;"",'Дивиденды по годам'!I615&lt;&gt;"",'Дивиденды по годам'!V615&lt;&gt;"",('Дивиденды по годам'!I615+'Дивиденды по годам'!V615)&lt;&gt;0),'Дивиденды по годам'!Q615/(('Дивиденды по годам'!I615+'Дивиденды по годам'!V615)/2),""),"")</f>
        <v>3.4838301831092933E-2</v>
      </c>
      <c r="U615">
        <f>IFERROR(IF(AND('Дивиденды по годам'!J615&lt;&gt;"",'Дивиденды по годам'!K615&lt;&gt;"",'Дивиденды по годам'!M615&lt;&gt;"",'Дивиденды по годам'!M615&lt;&gt;0),('Дивиденды по годам'!J615+'Дивиденды по годам'!K615)/'Дивиденды по годам'!M615,""),"")</f>
        <v>4.1692152008068026</v>
      </c>
      <c r="V615" cm="1">
        <f t="array" ref="V615">IFERROR(AVERAGE(_xlfn._xlws.FILTER(P$2:P$1073,($C$2:$C$1073=$C615)*($E$2:$E$1073=$E615)*(ROW(P$2:P$1073)&lt;&gt;ROW(P615))*(P$2:P$1073&lt;&gt;""))),"")</f>
        <v>24.992422807518068</v>
      </c>
      <c r="W615" cm="1">
        <f t="array" ref="W615">IFERROR(AVERAGE(_xlfn._xlws.FILTER(Q$2:Q$1073,($C$2:$C$1073=$C615)*($E$2:$E$1073=$E615)*(ROW(Q$2:Q$1073)&lt;&gt;ROW(Q615))*(Q$2:Q$1073&lt;&gt;""))),"")</f>
        <v>0.24976958017636172</v>
      </c>
      <c r="X615" cm="1">
        <f t="array" ref="X615">IFERROR(AVERAGE(_xlfn._xlws.FILTER(R$2:R$1073,($C$2:$C$1073=$C615)*($E$2:$E$1073=$E615)*(ROW(R$2:R$1073)&lt;&gt;ROW(R615))*(R$2:R$1073&lt;&gt;""))),"")</f>
        <v>9.2032112497821172E-2</v>
      </c>
      <c r="Y615" cm="1">
        <f t="array" ref="Y615">IFERROR(AVERAGE(_xlfn._xlws.FILTER(S$2:S$1073,($C$2:$C$1073=$C615)*($E$2:$E$1073=$E615)*(ROW(S$2:S$1073)&lt;&gt;ROW(S615))*(S$2:S$1073&lt;&gt;""))),"")</f>
        <v>1.8601574443339013</v>
      </c>
      <c r="Z615" cm="1">
        <f t="array" ref="Z615">IFERROR(AVERAGE(_xlfn._xlws.FILTER(T$2:T$1073,($C$2:$C$1073=$C615)*($E$2:$E$1073=$E615)*(ROW(T$2:T$1073)&lt;&gt;ROW(T615))*(T$2:T$1073&lt;&gt;""))),"")</f>
        <v>7.1562596388215619E-2</v>
      </c>
      <c r="AA615" cm="1">
        <f t="array" ref="AA615">IFERROR(AVERAGE(_xlfn._xlws.FILTER(U$2:U$1073,($C$2:$C$1073=$C615)*($E$2:$E$1073=$E615)*(ROW(U$2:U$1073)&lt;&gt;ROW(U615))*(U$2:U$1073&lt;&gt;""))),"")</f>
        <v>-12.098910809597083</v>
      </c>
    </row>
    <row r="616" spans="1:27" x14ac:dyDescent="0.2">
      <c r="A616" s="7" t="s">
        <v>2255</v>
      </c>
      <c r="B616" t="str">
        <f t="shared" si="101"/>
        <v>MGNT IV кв. 2019</v>
      </c>
      <c r="C616">
        <v>2019</v>
      </c>
      <c r="D616">
        <f>SUMIFS(Дивиденды!$C:$C,Дивиденды!$A:$A,A616,Дивиденды!$I:$I,C616)</f>
        <v>304.19</v>
      </c>
      <c r="E616">
        <v>4</v>
      </c>
      <c r="F616">
        <f t="shared" si="102"/>
        <v>304.19</v>
      </c>
      <c r="G616">
        <f t="shared" si="103"/>
        <v>2.6707142857142858</v>
      </c>
      <c r="H616">
        <f t="shared" si="104"/>
        <v>1</v>
      </c>
      <c r="I616">
        <f t="shared" si="100"/>
        <v>0.14285714285714285</v>
      </c>
      <c r="J616">
        <f t="shared" si="105"/>
        <v>9.8632298790207664E-5</v>
      </c>
      <c r="K616">
        <f t="shared" si="109"/>
        <v>0.10875706214689264</v>
      </c>
      <c r="L616">
        <f t="shared" si="106"/>
        <v>1</v>
      </c>
      <c r="M616">
        <f t="shared" si="110"/>
        <v>0.14285714285714285</v>
      </c>
      <c r="N616">
        <f t="shared" si="107"/>
        <v>0</v>
      </c>
      <c r="O616">
        <f t="shared" si="108"/>
        <v>0</v>
      </c>
      <c r="P616">
        <f>IFERROR(LN('Дивиденды по годам'!I616),"")</f>
        <v>27.578347208933856</v>
      </c>
      <c r="Q616">
        <f>IFERROR('Дивиденды по годам'!G616/'Дивиденды по годам'!I616, "")</f>
        <v>0.37207753733726801</v>
      </c>
      <c r="R616">
        <f>IFERROR(IF(AND('Дивиденды по годам'!N616&lt;&gt;"",'Дивиденды по годам'!U616&lt;&gt;"",'Дивиденды по годам'!U616&lt;&gt;0),'Дивиденды по годам'!N616/'Дивиденды по годам'!U616-1,""),"")</f>
        <v>0.10645779424565438</v>
      </c>
      <c r="S616">
        <f>IFERROR(IF(AND('Дивиденды по годам'!L616&lt;&gt;"",'Дивиденды по годам'!I616&lt;&gt;"",'Дивиденды по годам'!J616&lt;&gt;"",'Дивиденды по годам'!K616&lt;&gt;"",('Дивиденды по годам'!I616-'Дивиденды по годам'!J616-'Дивиденды по годам'!K616)&lt;&gt;0),'Дивиденды по годам'!L616/('Дивиденды по годам'!I616-'Дивиденды по годам'!J616-'Дивиденды по годам'!K616),""),"")</f>
        <v>0.6151885189343671</v>
      </c>
      <c r="T616">
        <f>IFERROR(IF(AND('Дивиденды по годам'!Q616&lt;&gt;"",'Дивиденды по годам'!I616&lt;&gt;"",'Дивиденды по годам'!V616&lt;&gt;"",('Дивиденды по годам'!I616+'Дивиденды по годам'!V616)&lt;&gt;0),'Дивиденды по годам'!Q616/(('Дивиденды по годам'!I616+'Дивиденды по годам'!V616)/2),""),"")</f>
        <v>1.225964610955891E-2</v>
      </c>
      <c r="U616">
        <f>IFERROR(IF(AND('Дивиденды по годам'!J616&lt;&gt;"",'Дивиденды по годам'!K616&lt;&gt;"",'Дивиденды по годам'!M616&lt;&gt;"",'Дивиденды по годам'!M616&lt;&gt;0),('Дивиденды по годам'!J616+'Дивиденды по годам'!K616)/'Дивиденды по годам'!M616,""),"")</f>
        <v>4.0319586702395407</v>
      </c>
      <c r="V616" cm="1">
        <f t="array" ref="V616">IFERROR(AVERAGE(_xlfn._xlws.FILTER(P$2:P$1073,($C$2:$C$1073=$C616)*($E$2:$E$1073=$E616)*(ROW(P$2:P$1073)&lt;&gt;ROW(P616))*(P$2:P$1073&lt;&gt;""))),"")</f>
        <v>24.808257956777886</v>
      </c>
      <c r="W616" cm="1">
        <f t="array" ref="W616">IFERROR(AVERAGE(_xlfn._xlws.FILTER(Q$2:Q$1073,($C$2:$C$1073=$C616)*($E$2:$E$1073=$E616)*(ROW(Q$2:Q$1073)&lt;&gt;ROW(Q616))*(Q$2:Q$1073&lt;&gt;""))),"")</f>
        <v>0.25815664015043743</v>
      </c>
      <c r="X616" cm="1">
        <f t="array" ref="X616">IFERROR(AVERAGE(_xlfn._xlws.FILTER(R$2:R$1073,($C$2:$C$1073=$C616)*($E$2:$E$1073=$E616)*(ROW(R$2:R$1073)&lt;&gt;ROW(R616))*(R$2:R$1073&lt;&gt;""))),"")</f>
        <v>0.46357103666312011</v>
      </c>
      <c r="Y616" cm="1">
        <f t="array" ref="Y616">IFERROR(AVERAGE(_xlfn._xlws.FILTER(S$2:S$1073,($C$2:$C$1073=$C616)*($E$2:$E$1073=$E616)*(ROW(S$2:S$1073)&lt;&gt;ROW(S616))*(S$2:S$1073&lt;&gt;""))),"")</f>
        <v>0.93230698515818256</v>
      </c>
      <c r="Z616" cm="1">
        <f t="array" ref="Z616">IFERROR(AVERAGE(_xlfn._xlws.FILTER(T$2:T$1073,($C$2:$C$1073=$C616)*($E$2:$E$1073=$E616)*(ROW(T$2:T$1073)&lt;&gt;ROW(T616))*(T$2:T$1073&lt;&gt;""))),"")</f>
        <v>5.4516084644156644E-2</v>
      </c>
      <c r="AA616" cm="1">
        <f t="array" ref="AA616">IFERROR(AVERAGE(_xlfn._xlws.FILTER(U$2:U$1073,($C$2:$C$1073=$C616)*($E$2:$E$1073=$E616)*(ROW(U$2:U$1073)&lt;&gt;ROW(U616))*(U$2:U$1073&lt;&gt;""))),"")</f>
        <v>-3.4788561764913828</v>
      </c>
    </row>
    <row r="617" spans="1:27" x14ac:dyDescent="0.2">
      <c r="A617" s="7" t="s">
        <v>2255</v>
      </c>
      <c r="B617" t="str">
        <f t="shared" si="101"/>
        <v>MGNT IV кв. 2018</v>
      </c>
      <c r="C617">
        <v>2018</v>
      </c>
      <c r="D617">
        <f>SUMIFS(Дивиденды!$C:$C,Дивиденды!$A:$A,A617,Дивиденды!$I:$I,C617)</f>
        <v>304.15999999999997</v>
      </c>
      <c r="E617">
        <v>4</v>
      </c>
      <c r="F617">
        <f t="shared" si="102"/>
        <v>304.15999999999997</v>
      </c>
      <c r="G617">
        <f t="shared" si="103"/>
        <v>0.25285714285714284</v>
      </c>
      <c r="H617">
        <f t="shared" si="104"/>
        <v>1</v>
      </c>
      <c r="I617">
        <f t="shared" si="100"/>
        <v>7.1428571428571425E-2</v>
      </c>
      <c r="J617">
        <f t="shared" si="105"/>
        <v>0.21174455200987999</v>
      </c>
      <c r="K617">
        <f t="shared" si="109"/>
        <v>-3.3347676419965576E-2</v>
      </c>
      <c r="L617">
        <f t="shared" si="106"/>
        <v>1</v>
      </c>
      <c r="M617">
        <f t="shared" si="110"/>
        <v>0</v>
      </c>
      <c r="N617">
        <f t="shared" si="107"/>
        <v>0</v>
      </c>
      <c r="O617">
        <f t="shared" si="108"/>
        <v>7.1428571428571425E-2</v>
      </c>
      <c r="P617">
        <f>IFERROR(LN('Дивиденды по годам'!I617),"")</f>
        <v>27.13932418162933</v>
      </c>
      <c r="Q617">
        <f>IFERROR('Дивиденды по годам'!G617/'Дивиденды по годам'!I617, "")</f>
        <v>0.57282293659773131</v>
      </c>
      <c r="R617">
        <f>IFERROR(IF(AND('Дивиденды по годам'!N617&lt;&gt;"",'Дивиденды по годам'!U617&lt;&gt;"",'Дивиденды по годам'!U617&lt;&gt;0),'Дивиденды по годам'!N617/'Дивиденды по годам'!U617-1,""),"")</f>
        <v>8.2698751015428895E-2</v>
      </c>
      <c r="S617">
        <f>IFERROR(IF(AND('Дивиденды по годам'!L617&lt;&gt;"",'Дивиденды по годам'!I617&lt;&gt;"",'Дивиденды по годам'!J617&lt;&gt;"",'Дивиденды по годам'!K617&lt;&gt;"",('Дивиденды по годам'!I617-'Дивиденды по годам'!J617-'Дивиденды по годам'!K617)&lt;&gt;0),'Дивиденды по годам'!L617/('Дивиденды по годам'!I617-'Дивиденды по годам'!J617-'Дивиденды по годам'!K617),""),"")</f>
        <v>0.70309618240511385</v>
      </c>
      <c r="T617">
        <f>IFERROR(IF(AND('Дивиденды по годам'!Q617&lt;&gt;"",'Дивиденды по годам'!I617&lt;&gt;"",'Дивиденды по годам'!V617&lt;&gt;"",('Дивиденды по годам'!I617+'Дивиденды по годам'!V617)&lt;&gt;0),'Дивиденды по годам'!Q617/(('Дивиденды по годам'!I617+'Дивиденды по годам'!V617)/2),""),"")</f>
        <v>5.9181731491368066E-2</v>
      </c>
      <c r="U617">
        <f>IFERROR(IF(AND('Дивиденды по годам'!J617&lt;&gt;"",'Дивиденды по годам'!K617&lt;&gt;"",'Дивиденды по годам'!M617&lt;&gt;"",'Дивиденды по годам'!M617&lt;&gt;0),('Дивиденды по годам'!J617+'Дивиденды по годам'!K617)/'Дивиденды по годам'!M617,""),"")</f>
        <v>1.414442383630506</v>
      </c>
      <c r="V617" cm="1">
        <f t="array" ref="V617">IFERROR(AVERAGE(_xlfn._xlws.FILTER(P$2:P$1073,($C$2:$C$1073=$C617)*($E$2:$E$1073=$E617)*(ROW(P$2:P$1073)&lt;&gt;ROW(P617))*(P$2:P$1073&lt;&gt;""))),"")</f>
        <v>24.536428458307672</v>
      </c>
      <c r="W617" cm="1">
        <f t="array" ref="W617">IFERROR(AVERAGE(_xlfn._xlws.FILTER(Q$2:Q$1073,($C$2:$C$1073=$C617)*($E$2:$E$1073=$E617)*(ROW(Q$2:Q$1073)&lt;&gt;ROW(Q617))*(Q$2:Q$1073&lt;&gt;""))),"")</f>
        <v>0.27354556155486448</v>
      </c>
      <c r="X617" cm="1">
        <f t="array" ref="X617">IFERROR(AVERAGE(_xlfn._xlws.FILTER(R$2:R$1073,($C$2:$C$1073=$C617)*($E$2:$E$1073=$E617)*(ROW(R$2:R$1073)&lt;&gt;ROW(R617))*(R$2:R$1073&lt;&gt;""))),"")</f>
        <v>5.2294878023062465E-2</v>
      </c>
      <c r="Y617" cm="1">
        <f t="array" ref="Y617">IFERROR(AVERAGE(_xlfn._xlws.FILTER(S$2:S$1073,($C$2:$C$1073=$C617)*($E$2:$E$1073=$E617)*(ROW(S$2:S$1073)&lt;&gt;ROW(S617))*(S$2:S$1073&lt;&gt;""))),"")</f>
        <v>0.63447322321589417</v>
      </c>
      <c r="Z617" cm="1">
        <f t="array" ref="Z617">IFERROR(AVERAGE(_xlfn._xlws.FILTER(T$2:T$1073,($C$2:$C$1073=$C617)*($E$2:$E$1073=$E617)*(ROW(T$2:T$1073)&lt;&gt;ROW(T617))*(T$2:T$1073&lt;&gt;""))),"")</f>
        <v>-1.5314260547880526E-3</v>
      </c>
      <c r="AA617" cm="1">
        <f t="array" ref="AA617">IFERROR(AVERAGE(_xlfn._xlws.FILTER(U$2:U$1073,($C$2:$C$1073=$C617)*($E$2:$E$1073=$E617)*(ROW(U$2:U$1073)&lt;&gt;ROW(U617))*(U$2:U$1073&lt;&gt;""))),"")</f>
        <v>1.0205045324531758</v>
      </c>
    </row>
    <row r="618" spans="1:27" x14ac:dyDescent="0.2">
      <c r="A618" s="7" t="s">
        <v>2255</v>
      </c>
      <c r="B618" t="str">
        <f t="shared" si="101"/>
        <v>MGNT IV кв. 2017</v>
      </c>
      <c r="C618">
        <v>2017</v>
      </c>
      <c r="D618">
        <f>SUMIFS(Дивиденды!$C:$C,Дивиденды!$A:$A,A618,Дивиденды!$I:$I,C618)</f>
        <v>251.01</v>
      </c>
      <c r="E618">
        <v>4</v>
      </c>
      <c r="F618">
        <f t="shared" si="102"/>
        <v>251.01</v>
      </c>
      <c r="G618">
        <f t="shared" si="103"/>
        <v>0.47428571428571425</v>
      </c>
      <c r="H618">
        <f t="shared" si="104"/>
        <v>1</v>
      </c>
      <c r="I618">
        <f t="shared" si="100"/>
        <v>7.1428571428571425E-2</v>
      </c>
      <c r="J618">
        <f t="shared" si="105"/>
        <v>-9.7508359400280464E-2</v>
      </c>
      <c r="K618">
        <f t="shared" si="109"/>
        <v>-1.0387938959367531E-2</v>
      </c>
      <c r="L618">
        <f t="shared" si="106"/>
        <v>0</v>
      </c>
      <c r="M618">
        <f t="shared" si="110"/>
        <v>0</v>
      </c>
      <c r="N618">
        <f t="shared" si="107"/>
        <v>1</v>
      </c>
      <c r="O618">
        <f t="shared" si="108"/>
        <v>7.1428571428571425E-2</v>
      </c>
      <c r="P618">
        <f>IFERROR(LN('Дивиденды по годам'!I618),"")</f>
        <v>27.001481821349639</v>
      </c>
      <c r="Q618">
        <f>IFERROR('Дивиденды по годам'!G618/'Дивиденды по годам'!I618, "")</f>
        <v>0.62665978372127973</v>
      </c>
      <c r="R618">
        <f>IFERROR(IF(AND('Дивиденды по годам'!N618&lt;&gt;"",'Дивиденды по годам'!U618&lt;&gt;"",'Дивиденды по годам'!U618&lt;&gt;0),'Дивиденды по годам'!N618/'Дивиденды по годам'!U618-1,""),"")</f>
        <v>6.2695951212591305E-2</v>
      </c>
      <c r="S618">
        <f>IFERROR(IF(AND('Дивиденды по годам'!L618&lt;&gt;"",'Дивиденды по годам'!I618&lt;&gt;"",'Дивиденды по годам'!J618&lt;&gt;"",'Дивиденды по годам'!K618&lt;&gt;"",('Дивиденды по годам'!I618-'Дивиденды по годам'!J618-'Дивиденды по годам'!K618)&lt;&gt;0),'Дивиденды по годам'!L618/('Дивиденды по годам'!I618-'Дивиденды по годам'!J618-'Дивиденды по годам'!K618),""),"")</f>
        <v>0.98742805735419892</v>
      </c>
      <c r="T618">
        <f>IFERROR(IF(AND('Дивиденды по годам'!Q618&lt;&gt;"",'Дивиденды по годам'!I618&lt;&gt;"",'Дивиденды по годам'!V618&lt;&gt;"",('Дивиденды по годам'!I618+'Дивиденды по годам'!V618)&lt;&gt;0),'Дивиденды по годам'!Q618/(('Дивиденды по годам'!I618+'Дивиденды по годам'!V618)/2),""),"")</f>
        <v>6.8578648828670888E-2</v>
      </c>
      <c r="U618">
        <f>IFERROR(IF(AND('Дивиденды по годам'!J618&lt;&gt;"",'Дивиденды по годам'!K618&lt;&gt;"",'Дивиденды по годам'!M618&lt;&gt;"",'Дивиденды по годам'!M618&lt;&gt;0),('Дивиденды по годам'!J618+'Дивиденды по годам'!K618)/'Дивиденды по годам'!M618,""),"")</f>
        <v>1.0297346646378711</v>
      </c>
      <c r="V618" cm="1">
        <f t="array" ref="V618">IFERROR(AVERAGE(_xlfn._xlws.FILTER(P$2:P$1073,($C$2:$C$1073=$C618)*($E$2:$E$1073=$E618)*(ROW(P$2:P$1073)&lt;&gt;ROW(P618))*(P$2:P$1073&lt;&gt;""))),"")</f>
        <v>24.358082022794907</v>
      </c>
      <c r="W618" cm="1">
        <f t="array" ref="W618">IFERROR(AVERAGE(_xlfn._xlws.FILTER(Q$2:Q$1073,($C$2:$C$1073=$C618)*($E$2:$E$1073=$E618)*(ROW(Q$2:Q$1073)&lt;&gt;ROW(Q618))*(Q$2:Q$1073&lt;&gt;""))),"")</f>
        <v>0.29200416415146796</v>
      </c>
      <c r="X618" cm="1">
        <f t="array" ref="X618">IFERROR(AVERAGE(_xlfn._xlws.FILTER(R$2:R$1073,($C$2:$C$1073=$C618)*($E$2:$E$1073=$E618)*(ROW(R$2:R$1073)&lt;&gt;ROW(R618))*(R$2:R$1073&lt;&gt;""))),"")</f>
        <v>0.2804724937171717</v>
      </c>
      <c r="Y618" cm="1">
        <f t="array" ref="Y618">IFERROR(AVERAGE(_xlfn._xlws.FILTER(S$2:S$1073,($C$2:$C$1073=$C618)*($E$2:$E$1073=$E618)*(ROW(S$2:S$1073)&lt;&gt;ROW(S618))*(S$2:S$1073&lt;&gt;""))),"")</f>
        <v>0.55613266685123053</v>
      </c>
      <c r="Z618" cm="1">
        <f t="array" ref="Z618">IFERROR(AVERAGE(_xlfn._xlws.FILTER(T$2:T$1073,($C$2:$C$1073=$C618)*($E$2:$E$1073=$E618)*(ROW(T$2:T$1073)&lt;&gt;ROW(T618))*(T$2:T$1073&lt;&gt;""))),"")</f>
        <v>-5.0950139897378802E-2</v>
      </c>
      <c r="AA618" cm="1">
        <f t="array" ref="AA618">IFERROR(AVERAGE(_xlfn._xlws.FILTER(U$2:U$1073,($C$2:$C$1073=$C618)*($E$2:$E$1073=$E618)*(ROW(U$2:U$1073)&lt;&gt;ROW(U618))*(U$2:U$1073&lt;&gt;""))),"")</f>
        <v>0.5589524254776389</v>
      </c>
    </row>
    <row r="619" spans="1:27" x14ac:dyDescent="0.2">
      <c r="A619" s="7" t="s">
        <v>2255</v>
      </c>
      <c r="B619" t="str">
        <f t="shared" si="101"/>
        <v>MGNT IV кв. 2016</v>
      </c>
      <c r="C619">
        <v>2016</v>
      </c>
      <c r="D619">
        <f>SUMIFS(Дивиденды!$C:$C,Дивиденды!$A:$A,A619,Дивиденды!$I:$I,C619)</f>
        <v>278.13</v>
      </c>
      <c r="E619">
        <v>4</v>
      </c>
      <c r="F619">
        <f t="shared" si="102"/>
        <v>278.13</v>
      </c>
      <c r="G619">
        <f t="shared" si="103"/>
        <v>0.55499999999999994</v>
      </c>
      <c r="H619">
        <f t="shared" si="104"/>
        <v>1</v>
      </c>
      <c r="I619">
        <f t="shared" si="100"/>
        <v>7.1428571428571425E-2</v>
      </c>
      <c r="J619">
        <f t="shared" si="105"/>
        <v>-0.10416465358971891</v>
      </c>
      <c r="K619">
        <f t="shared" si="109"/>
        <v>2.8033794162826416E-2</v>
      </c>
      <c r="L619">
        <f t="shared" si="106"/>
        <v>0</v>
      </c>
      <c r="M619">
        <f t="shared" si="110"/>
        <v>7.1428571428571425E-2</v>
      </c>
      <c r="N619">
        <f t="shared" si="107"/>
        <v>1</v>
      </c>
      <c r="O619">
        <f t="shared" si="108"/>
        <v>0</v>
      </c>
      <c r="P619">
        <f>IFERROR(LN('Дивиденды по годам'!I619),"")</f>
        <v>26.943647725728951</v>
      </c>
      <c r="Q619">
        <f>IFERROR('Дивиденды по годам'!G619/'Дивиденды по годам'!I619, "")</f>
        <v>0.63736095819989114</v>
      </c>
      <c r="R619">
        <f>IFERROR(IF(AND('Дивиденды по годам'!N619&lt;&gt;"",'Дивиденды по годам'!U619&lt;&gt;"",'Дивиденды по годам'!U619&lt;&gt;0),'Дивиденды по годам'!N619/'Дивиденды по годам'!U619-1,""),"")</f>
        <v>0.12558238380863695</v>
      </c>
      <c r="S619">
        <f>IFERROR(IF(AND('Дивиденды по годам'!L619&lt;&gt;"",'Дивиденды по годам'!I619&lt;&gt;"",'Дивиденды по годам'!J619&lt;&gt;"",'Дивиденды по годам'!K619&lt;&gt;"",('Дивиденды по годам'!I619-'Дивиденды по годам'!J619-'Дивиденды по годам'!K619)&lt;&gt;0),'Дивиденды по годам'!L619/('Дивиденды по годам'!I619-'Дивиденды по годам'!J619-'Дивиденды по годам'!K619),""),"")</f>
        <v>1.2791247674442345</v>
      </c>
      <c r="T619">
        <f>IFERROR(IF(AND('Дивиденды по годам'!Q619&lt;&gt;"",'Дивиденды по годам'!I619&lt;&gt;"",'Дивиденды по годам'!V619&lt;&gt;"",('Дивиденды по годам'!I619+'Дивиденды по годам'!V619)&lt;&gt;0),'Дивиденды по годам'!Q619/(('Дивиденды по годам'!I619+'Дивиденды по годам'!V619)/2),""),"")</f>
        <v>0.12918664581911113</v>
      </c>
      <c r="U619">
        <f>IFERROR(IF(AND('Дивиденды по годам'!J619&lt;&gt;"",'Дивиденды по годам'!K619&lt;&gt;"",'Дивиденды по годам'!M619&lt;&gt;"",'Дивиденды по годам'!M619&lt;&gt;0),('Дивиденды по годам'!J619+'Дивиденды по годам'!K619)/'Дивиденды по годам'!M619,""),"")</f>
        <v>1.3200861361188259</v>
      </c>
      <c r="V619" cm="1">
        <f t="array" ref="V619">IFERROR(AVERAGE(_xlfn._xlws.FILTER(P$2:P$1073,($C$2:$C$1073=$C619)*($E$2:$E$1073=$E619)*(ROW(P$2:P$1073)&lt;&gt;ROW(P619))*(P$2:P$1073&lt;&gt;""))),"")</f>
        <v>23.958225051512557</v>
      </c>
      <c r="W619" cm="1">
        <f t="array" ref="W619">IFERROR(AVERAGE(_xlfn._xlws.FILTER(Q$2:Q$1073,($C$2:$C$1073=$C619)*($E$2:$E$1073=$E619)*(ROW(Q$2:Q$1073)&lt;&gt;ROW(Q619))*(Q$2:Q$1073&lt;&gt;""))),"")</f>
        <v>0.18914234669737878</v>
      </c>
      <c r="X619" cm="1">
        <f t="array" ref="X619">IFERROR(AVERAGE(_xlfn._xlws.FILTER(R$2:R$1073,($C$2:$C$1073=$C619)*($E$2:$E$1073=$E619)*(ROW(R$2:R$1073)&lt;&gt;ROW(R619))*(R$2:R$1073&lt;&gt;""))),"")</f>
        <v>0.17963688431821501</v>
      </c>
      <c r="Y619" cm="1">
        <f t="array" ref="Y619">IFERROR(AVERAGE(_xlfn._xlws.FILTER(S$2:S$1073,($C$2:$C$1073=$C619)*($E$2:$E$1073=$E619)*(ROW(S$2:S$1073)&lt;&gt;ROW(S619))*(S$2:S$1073&lt;&gt;""))),"")</f>
        <v>7.4525540230906824</v>
      </c>
      <c r="Z619" cm="1">
        <f t="array" ref="Z619">IFERROR(AVERAGE(_xlfn._xlws.FILTER(T$2:T$1073,($C$2:$C$1073=$C619)*($E$2:$E$1073=$E619)*(ROW(T$2:T$1073)&lt;&gt;ROW(T619))*(T$2:T$1073&lt;&gt;""))),"")</f>
        <v>-6.9822370259399261E-2</v>
      </c>
      <c r="AA619" cm="1">
        <f t="array" ref="AA619">IFERROR(AVERAGE(_xlfn._xlws.FILTER(U$2:U$1073,($C$2:$C$1073=$C619)*($E$2:$E$1073=$E619)*(ROW(U$2:U$1073)&lt;&gt;ROW(U619))*(U$2:U$1073&lt;&gt;""))),"")</f>
        <v>-20.385656160447066</v>
      </c>
    </row>
    <row r="620" spans="1:27" x14ac:dyDescent="0.2">
      <c r="A620" s="7" t="s">
        <v>2255</v>
      </c>
      <c r="B620" t="str">
        <f t="shared" si="101"/>
        <v>MGNT IV кв. 2015</v>
      </c>
      <c r="C620">
        <v>2015</v>
      </c>
      <c r="D620">
        <f>SUMIFS(Дивиденды!$C:$C,Дивиденды!$A:$A,A620,Дивиденды!$I:$I,C620)</f>
        <v>310.47000000000003</v>
      </c>
      <c r="E620">
        <v>4</v>
      </c>
      <c r="F620">
        <f t="shared" si="102"/>
        <v>310.47000000000003</v>
      </c>
      <c r="G620">
        <f t="shared" si="103"/>
        <v>0.39857142857142858</v>
      </c>
      <c r="H620">
        <f t="shared" si="104"/>
        <v>1</v>
      </c>
      <c r="I620">
        <f t="shared" si="100"/>
        <v>7.1428571428571425E-2</v>
      </c>
      <c r="J620">
        <f t="shared" si="105"/>
        <v>-0.14456935030583559</v>
      </c>
      <c r="K620">
        <f t="shared" si="109"/>
        <v>7.1428571428571425E-2</v>
      </c>
      <c r="L620">
        <f t="shared" si="106"/>
        <v>0</v>
      </c>
      <c r="M620">
        <f t="shared" si="110"/>
        <v>7.1428571428571425E-2</v>
      </c>
      <c r="N620">
        <f t="shared" si="107"/>
        <v>1</v>
      </c>
      <c r="O620">
        <f t="shared" si="108"/>
        <v>0</v>
      </c>
      <c r="P620">
        <f>IFERROR(LN('Дивиденды по годам'!I620),"")</f>
        <v>26.551273465221506</v>
      </c>
      <c r="Q620">
        <f>IFERROR('Дивиденды по годам'!G620/'Дивиденды по годам'!I620, "")</f>
        <v>0.6580914100596108</v>
      </c>
      <c r="R620">
        <f>IFERROR(IF(AND('Дивиденды по годам'!N620&lt;&gt;"",'Дивиденды по годам'!U620&lt;&gt;"",'Дивиденды по годам'!U620&lt;&gt;0),'Дивиденды по годам'!N620/'Дивиденды по годам'!U620-1,""),"")</f>
        <v>0.24003087098046971</v>
      </c>
      <c r="S620">
        <f>IFERROR(IF(AND('Дивиденды по годам'!L620&lt;&gt;"",'Дивиденды по годам'!I620&lt;&gt;"",'Дивиденды по годам'!J620&lt;&gt;"",'Дивиденды по годам'!K620&lt;&gt;"",('Дивиденды по годам'!I620-'Дивиденды по годам'!J620-'Дивиденды по годам'!K620)&lt;&gt;0),'Дивиденды по годам'!L620/('Дивиденды по годам'!I620-'Дивиденды по годам'!J620-'Дивиденды по годам'!K620),""),"")</f>
        <v>1.6302970949859232</v>
      </c>
      <c r="T620">
        <f>IFERROR(IF(AND('Дивиденды по годам'!Q620&lt;&gt;"",'Дивиденды по годам'!I620&lt;&gt;"",'Дивиденды по годам'!V620&lt;&gt;"",('Дивиденды по годам'!I620+'Дивиденды по годам'!V620)&lt;&gt;0),'Дивиденды по годам'!Q620/(('Дивиденды по годам'!I620+'Дивиденды по годам'!V620)/2),""),"")</f>
        <v>0.20562183763288047</v>
      </c>
      <c r="U620">
        <f>IFERROR(IF(AND('Дивиденды по годам'!J620&lt;&gt;"",'Дивиденды по годам'!K620&lt;&gt;"",'Дивиденды по годам'!M620&lt;&gt;"",'Дивиденды по годам'!M620&lt;&gt;0),('Дивиденды по годам'!J620+'Дивиденды по годам'!K620)/'Дивиденды по годам'!M620,""),"")</f>
        <v>1.447568474575224</v>
      </c>
      <c r="V620" cm="1">
        <f t="array" ref="V620">IFERROR(AVERAGE(_xlfn._xlws.FILTER(P$2:P$1073,($C$2:$C$1073=$C620)*($E$2:$E$1073=$E620)*(ROW(P$2:P$1073)&lt;&gt;ROW(P620))*(P$2:P$1073&lt;&gt;""))),"")</f>
        <v>24.196052031924761</v>
      </c>
      <c r="W620" cm="1">
        <f t="array" ref="W620">IFERROR(AVERAGE(_xlfn._xlws.FILTER(Q$2:Q$1073,($C$2:$C$1073=$C620)*($E$2:$E$1073=$E620)*(ROW(Q$2:Q$1073)&lt;&gt;ROW(Q620))*(Q$2:Q$1073&lt;&gt;""))),"")</f>
        <v>0.17673362312009333</v>
      </c>
      <c r="X620" cm="1">
        <f t="array" ref="X620">IFERROR(AVERAGE(_xlfn._xlws.FILTER(R$2:R$1073,($C$2:$C$1073=$C620)*($E$2:$E$1073=$E620)*(ROW(R$2:R$1073)&lt;&gt;ROW(R620))*(R$2:R$1073&lt;&gt;""))),"")</f>
        <v>0.18765221096073134</v>
      </c>
      <c r="Y620" cm="1">
        <f t="array" ref="Y620">IFERROR(AVERAGE(_xlfn._xlws.FILTER(S$2:S$1073,($C$2:$C$1073=$C620)*($E$2:$E$1073=$E620)*(ROW(S$2:S$1073)&lt;&gt;ROW(S620))*(S$2:S$1073&lt;&gt;""))),"")</f>
        <v>-1.3532572007263799</v>
      </c>
      <c r="Z620" cm="1">
        <f t="array" ref="Z620">IFERROR(AVERAGE(_xlfn._xlws.FILTER(T$2:T$1073,($C$2:$C$1073=$C620)*($E$2:$E$1073=$E620)*(ROW(T$2:T$1073)&lt;&gt;ROW(T620))*(T$2:T$1073&lt;&gt;""))),"")</f>
        <v>1.683532904667356E-2</v>
      </c>
      <c r="AA620" cm="1">
        <f t="array" ref="AA620">IFERROR(AVERAGE(_xlfn._xlws.FILTER(U$2:U$1073,($C$2:$C$1073=$C620)*($E$2:$E$1073=$E620)*(ROW(U$2:U$1073)&lt;&gt;ROW(U620))*(U$2:U$1073&lt;&gt;""))),"")</f>
        <v>6.8760911185119022</v>
      </c>
    </row>
    <row r="621" spans="1:27" x14ac:dyDescent="0.2">
      <c r="A621" s="7" t="s">
        <v>2255</v>
      </c>
      <c r="B621" t="str">
        <f t="shared" si="101"/>
        <v>MGNT IV кв. 2014</v>
      </c>
      <c r="C621">
        <v>2014</v>
      </c>
      <c r="D621">
        <f>SUMIFS(Дивиденды!$C:$C,Дивиденды!$A:$A,A621,Дивиденды!$I:$I,C621)</f>
        <v>362.94</v>
      </c>
      <c r="E621">
        <v>4</v>
      </c>
      <c r="F621">
        <f t="shared" si="102"/>
        <v>362.94</v>
      </c>
      <c r="G621">
        <f t="shared" si="103"/>
        <v>0</v>
      </c>
      <c r="H621">
        <f t="shared" si="104"/>
        <v>1</v>
      </c>
      <c r="I621">
        <f t="shared" si="100"/>
        <v>0</v>
      </c>
      <c r="J621">
        <f t="shared" si="105"/>
        <v>1.6842689150210781</v>
      </c>
      <c r="K621">
        <f t="shared" si="109"/>
        <v>-7.1428571428571425E-2</v>
      </c>
      <c r="L621">
        <f t="shared" si="106"/>
        <v>1</v>
      </c>
      <c r="M621">
        <f t="shared" si="110"/>
        <v>0</v>
      </c>
      <c r="N621">
        <f t="shared" si="107"/>
        <v>0</v>
      </c>
      <c r="O621">
        <f t="shared" si="108"/>
        <v>7.1428571428571425E-2</v>
      </c>
      <c r="P621">
        <f>IFERROR(LN('Дивиденды по годам'!I621),"")</f>
        <v>26.193590482722112</v>
      </c>
      <c r="Q621">
        <f>IFERROR('Дивиденды по годам'!G621/'Дивиденды по годам'!I621, "")</f>
        <v>0.67573946170588506</v>
      </c>
      <c r="R621">
        <f>IFERROR(IF(AND('Дивиденды по годам'!N621&lt;&gt;"",'Дивиденды по годам'!U621&lt;&gt;"",'Дивиденды по годам'!U621&lt;&gt;0),'Дивиденды по годам'!N621/'Дивиденды по годам'!U621-1,""),"")</f>
        <v>0.32810095767348102</v>
      </c>
      <c r="S621">
        <f>IFERROR(IF(AND('Дивиденды по годам'!L621&lt;&gt;"",'Дивиденды по годам'!I621&lt;&gt;"",'Дивиденды по годам'!J621&lt;&gt;"",'Дивиденды по годам'!K621&lt;&gt;"",('Дивиденды по годам'!I621-'Дивиденды по годам'!J621-'Дивиденды по годам'!K621)&lt;&gt;0),'Дивиденды по годам'!L621/('Дивиденды по годам'!I621-'Дивиденды по годам'!J621-'Дивиденды по годам'!K621),""),"")</f>
        <v>1.3026419829381972</v>
      </c>
      <c r="T621">
        <f>IFERROR(IF(AND('Дивиденды по годам'!Q621&lt;&gt;"",'Дивиденды по годам'!I621&lt;&gt;"",'Дивиденды по годам'!V621&lt;&gt;"",('Дивиденды по годам'!I621+'Дивиденды по годам'!V621)&lt;&gt;0),'Дивиденды по годам'!Q621/(('Дивиденды по годам'!I621+'Дивиденды по годам'!V621)/2),""),"")</f>
        <v>0.19295976266618964</v>
      </c>
      <c r="U621">
        <f>IFERROR(IF(AND('Дивиденды по годам'!J621&lt;&gt;"",'Дивиденды по годам'!K621&lt;&gt;"",'Дивиденды по годам'!M621&lt;&gt;"",'Дивиденды по годам'!M621&lt;&gt;0),('Дивиденды по годам'!J621+'Дивиденды по годам'!K621)/'Дивиденды по годам'!M621,""),"")</f>
        <v>1.3999838647963931</v>
      </c>
      <c r="V621" cm="1">
        <f t="array" ref="V621">IFERROR(AVERAGE(_xlfn._xlws.FILTER(P$2:P$1073,($C$2:$C$1073=$C621)*($E$2:$E$1073=$E621)*(ROW(P$2:P$1073)&lt;&gt;ROW(P621))*(P$2:P$1073&lt;&gt;""))),"")</f>
        <v>24.305938222875834</v>
      </c>
      <c r="W621" cm="1">
        <f t="array" ref="W621">IFERROR(AVERAGE(_xlfn._xlws.FILTER(Q$2:Q$1073,($C$2:$C$1073=$C621)*($E$2:$E$1073=$E621)*(ROW(Q$2:Q$1073)&lt;&gt;ROW(Q621))*(Q$2:Q$1073&lt;&gt;""))),"")</f>
        <v>0.1613528677549311</v>
      </c>
      <c r="X621" cm="1">
        <f t="array" ref="X621">IFERROR(AVERAGE(_xlfn._xlws.FILTER(R$2:R$1073,($C$2:$C$1073=$C621)*($E$2:$E$1073=$E621)*(ROW(R$2:R$1073)&lt;&gt;ROW(R621))*(R$2:R$1073&lt;&gt;""))),"")</f>
        <v>4.6559418219053184E-3</v>
      </c>
      <c r="Y621" cm="1">
        <f t="array" ref="Y621">IFERROR(AVERAGE(_xlfn._xlws.FILTER(S$2:S$1073,($C$2:$C$1073=$C621)*($E$2:$E$1073=$E621)*(ROW(S$2:S$1073)&lt;&gt;ROW(S621))*(S$2:S$1073&lt;&gt;""))),"")</f>
        <v>-14.141204934847851</v>
      </c>
      <c r="Z621" cm="1">
        <f t="array" ref="Z621">IFERROR(AVERAGE(_xlfn._xlws.FILTER(T$2:T$1073,($C$2:$C$1073=$C621)*($E$2:$E$1073=$E621)*(ROW(T$2:T$1073)&lt;&gt;ROW(T621))*(T$2:T$1073&lt;&gt;""))),"")</f>
        <v>-1.7708489900395714E-2</v>
      </c>
      <c r="AA621" cm="1">
        <f t="array" ref="AA621">IFERROR(AVERAGE(_xlfn._xlws.FILTER(U$2:U$1073,($C$2:$C$1073=$C621)*($E$2:$E$1073=$E621)*(ROW(U$2:U$1073)&lt;&gt;ROW(U621))*(U$2:U$1073&lt;&gt;""))),"")</f>
        <v>45.459046142346232</v>
      </c>
    </row>
    <row r="622" spans="1:27" x14ac:dyDescent="0.2">
      <c r="A622" s="7" t="s">
        <v>2255</v>
      </c>
      <c r="B622" t="str">
        <f t="shared" si="101"/>
        <v>MGNT IV кв. 2013</v>
      </c>
      <c r="C622">
        <v>2013</v>
      </c>
      <c r="D622">
        <f>SUMIFS(Дивиденды!$C:$C,Дивиденды!$A:$A,A622,Дивиденды!$I:$I,C622)</f>
        <v>135.21</v>
      </c>
      <c r="E622">
        <v>4</v>
      </c>
      <c r="F622">
        <f t="shared" si="102"/>
        <v>135.21</v>
      </c>
      <c r="G622">
        <f t="shared" si="103"/>
        <v>3.7514285714285718</v>
      </c>
      <c r="H622">
        <f t="shared" si="104"/>
        <v>1</v>
      </c>
      <c r="I622">
        <f t="shared" si="100"/>
        <v>7.1428571428571425E-2</v>
      </c>
      <c r="J622">
        <f t="shared" si="105"/>
        <v>0.66207744314689632</v>
      </c>
      <c r="K622">
        <f t="shared" si="109"/>
        <v>0</v>
      </c>
      <c r="L622">
        <f t="shared" si="106"/>
        <v>1</v>
      </c>
      <c r="M622">
        <f t="shared" si="110"/>
        <v>0</v>
      </c>
      <c r="N622">
        <f t="shared" si="107"/>
        <v>0</v>
      </c>
      <c r="O622">
        <f t="shared" si="108"/>
        <v>0</v>
      </c>
      <c r="P622">
        <f>IFERROR(LN('Дивиденды по годам'!I622),"")</f>
        <v>26.288135342744766</v>
      </c>
      <c r="Q622">
        <f>IFERROR('Дивиденды по годам'!G622/'Дивиденды по годам'!I622, "")</f>
        <v>0.7277121993594764</v>
      </c>
      <c r="R622">
        <f>IFERROR(IF(AND('Дивиденды по годам'!N622&lt;&gt;"",'Дивиденды по годам'!U622&lt;&gt;"",'Дивиденды по годам'!U622&lt;&gt;0),'Дивиденды по годам'!N622/'Дивиденды по годам'!U622-1,""),"")</f>
        <v>0.2939544152820428</v>
      </c>
      <c r="S622" t="str">
        <f>IFERROR(IF(AND('Дивиденды по годам'!L622&lt;&gt;"",'Дивиденды по годам'!I622&lt;&gt;"",'Дивиденды по годам'!J622&lt;&gt;"",'Дивиденды по годам'!K622&lt;&gt;"",('Дивиденды по годам'!I622-'Дивиденды по годам'!J622-'Дивиденды по годам'!K622)&lt;&gt;0),'Дивиденды по годам'!L622/('Дивиденды по годам'!I622-'Дивиденды по годам'!J622-'Дивиденды по годам'!K622),""),"")</f>
        <v/>
      </c>
      <c r="T622">
        <f>IFERROR(IF(AND('Дивиденды по годам'!Q622&lt;&gt;"",'Дивиденды по годам'!I622&lt;&gt;"",'Дивиденды по годам'!V622&lt;&gt;"",('Дивиденды по годам'!I622+'Дивиденды по годам'!V622)&lt;&gt;0),'Дивиденды по годам'!Q622/(('Дивиденды по годам'!I622+'Дивиденды по годам'!V622)/2),""),"")</f>
        <v>0.14641744742902063</v>
      </c>
      <c r="U622">
        <f>IFERROR(IF(AND('Дивиденды по годам'!J622&lt;&gt;"",'Дивиденды по годам'!K622&lt;&gt;"",'Дивиденды по годам'!M622&lt;&gt;"",'Дивиденды по годам'!M622&lt;&gt;0),('Дивиденды по годам'!J622+'Дивиденды по годам'!K622)/'Дивиденды по годам'!M622,""),"")</f>
        <v>1.1256820847966884</v>
      </c>
      <c r="V622" cm="1">
        <f t="array" ref="V622">IFERROR(AVERAGE(_xlfn._xlws.FILTER(P$2:P$1073,($C$2:$C$1073=$C622)*($E$2:$E$1073=$E622)*(ROW(P$2:P$1073)&lt;&gt;ROW(P622))*(P$2:P$1073&lt;&gt;""))),"")</f>
        <v>23.612365719514042</v>
      </c>
      <c r="W622" cm="1">
        <f t="array" ref="W622">IFERROR(AVERAGE(_xlfn._xlws.FILTER(Q$2:Q$1073,($C$2:$C$1073=$C622)*($E$2:$E$1073=$E622)*(ROW(Q$2:Q$1073)&lt;&gt;ROW(Q622))*(Q$2:Q$1073&lt;&gt;""))),"")</f>
        <v>0.22155423292905788</v>
      </c>
      <c r="X622" cm="1">
        <f t="array" ref="X622">IFERROR(AVERAGE(_xlfn._xlws.FILTER(R$2:R$1073,($C$2:$C$1073=$C622)*($E$2:$E$1073=$E622)*(ROW(R$2:R$1073)&lt;&gt;ROW(R622))*(R$2:R$1073&lt;&gt;""))),"")</f>
        <v>0.13576641713455204</v>
      </c>
      <c r="Y622" t="str" cm="1">
        <f t="array" ref="Y622">IFERROR(AVERAGE(_xlfn._xlws.FILTER(S$2:S$1073,($C$2:$C$1073=$C622)*($E$2:$E$1073=$E622)*(ROW(S$2:S$1073)&lt;&gt;ROW(S622))*(S$2:S$1073&lt;&gt;""))),"")</f>
        <v/>
      </c>
      <c r="Z622" cm="1">
        <f t="array" ref="Z622">IFERROR(AVERAGE(_xlfn._xlws.FILTER(T$2:T$1073,($C$2:$C$1073=$C622)*($E$2:$E$1073=$E622)*(ROW(T$2:T$1073)&lt;&gt;ROW(T622))*(T$2:T$1073&lt;&gt;""))),"")</f>
        <v>-0.21534103665338369</v>
      </c>
      <c r="AA622" cm="1">
        <f t="array" ref="AA622">IFERROR(AVERAGE(_xlfn._xlws.FILTER(U$2:U$1073,($C$2:$C$1073=$C622)*($E$2:$E$1073=$E622)*(ROW(U$2:U$1073)&lt;&gt;ROW(U622))*(U$2:U$1073&lt;&gt;""))),"")</f>
        <v>0.2189976675054511</v>
      </c>
    </row>
    <row r="623" spans="1:27" x14ac:dyDescent="0.2">
      <c r="A623" s="7" t="s">
        <v>2255</v>
      </c>
      <c r="B623" t="str">
        <f t="shared" si="101"/>
        <v>MGNT IV кв. 2012</v>
      </c>
      <c r="C623">
        <v>2012</v>
      </c>
      <c r="D623">
        <f>SUMIFS(Дивиденды!$C:$C,Дивиденды!$A:$A,A623,Дивиденды!$I:$I,C623)</f>
        <v>81.349999999999994</v>
      </c>
      <c r="E623">
        <v>4</v>
      </c>
      <c r="F623">
        <f t="shared" si="102"/>
        <v>81.349999999999994</v>
      </c>
      <c r="G623">
        <f t="shared" si="103"/>
        <v>3.7514285714285718</v>
      </c>
      <c r="H623">
        <f t="shared" si="104"/>
        <v>1</v>
      </c>
      <c r="I623">
        <f t="shared" si="100"/>
        <v>7.1428571428571425E-2</v>
      </c>
      <c r="J623">
        <f t="shared" si="105"/>
        <v>2.5477540340165721</v>
      </c>
      <c r="K623">
        <f t="shared" si="109"/>
        <v>7.1428571428571425E-2</v>
      </c>
      <c r="L623">
        <f t="shared" si="106"/>
        <v>1</v>
      </c>
      <c r="M623">
        <f t="shared" si="110"/>
        <v>7.1428571428571425E-2</v>
      </c>
      <c r="N623">
        <f t="shared" si="107"/>
        <v>0</v>
      </c>
      <c r="O623">
        <f t="shared" si="108"/>
        <v>0</v>
      </c>
      <c r="P623">
        <f>IFERROR(LN('Дивиденды по годам'!I623),"")</f>
        <v>26.141763169972759</v>
      </c>
      <c r="Q623">
        <f>IFERROR('Дивиденды по годам'!G623/'Дивиденды по годам'!I623, "")</f>
        <v>0.71987430477098946</v>
      </c>
      <c r="R623">
        <f>IFERROR(IF(AND('Дивиденды по годам'!N623&lt;&gt;"",'Дивиденды по годам'!U623&lt;&gt;"",'Дивиденды по годам'!U623&lt;&gt;0),'Дивиденды по годам'!N623/'Дивиденды по годам'!U623-1,""),"")</f>
        <v>0.33452041133953569</v>
      </c>
      <c r="S623" t="str">
        <f>IFERROR(IF(AND('Дивиденды по годам'!L623&lt;&gt;"",'Дивиденды по годам'!I623&lt;&gt;"",'Дивиденды по годам'!J623&lt;&gt;"",'Дивиденды по годам'!K623&lt;&gt;"",('Дивиденды по годам'!I623-'Дивиденды по годам'!J623-'Дивиденды по годам'!K623)&lt;&gt;0),'Дивиденды по годам'!L623/('Дивиденды по годам'!I623-'Дивиденды по годам'!J623-'Дивиденды по годам'!K623),""),"")</f>
        <v/>
      </c>
      <c r="T623">
        <f>IFERROR(IF(AND('Дивиденды по годам'!Q623&lt;&gt;"",'Дивиденды по годам'!I623&lt;&gt;"",'Дивиденды по годам'!V623&lt;&gt;"",('Дивиденды по годам'!I623+'Дивиденды по годам'!V623)&lt;&gt;0),'Дивиденды по годам'!Q623/(('Дивиденды по годам'!I623+'Дивиденды по годам'!V623)/2),""),"")</f>
        <v>0.1301150723705958</v>
      </c>
      <c r="U623">
        <f>IFERROR(IF(AND('Дивиденды по годам'!J623&lt;&gt;"",'Дивиденды по годам'!K623&lt;&gt;"",'Дивиденды по годам'!M623&lt;&gt;"",'Дивиденды по годам'!M623&lt;&gt;0),('Дивиденды по годам'!J623+'Дивиденды по годам'!K623)/'Дивиденды по годам'!M623,""),"")</f>
        <v>1.2222682342167634</v>
      </c>
      <c r="V623" cm="1">
        <f t="array" ref="V623">IFERROR(AVERAGE(_xlfn._xlws.FILTER(P$2:P$1073,($C$2:$C$1073=$C623)*($E$2:$E$1073=$E623)*(ROW(P$2:P$1073)&lt;&gt;ROW(P623))*(P$2:P$1073&lt;&gt;""))),"")</f>
        <v>23.750022340904493</v>
      </c>
      <c r="W623" cm="1">
        <f t="array" ref="W623">IFERROR(AVERAGE(_xlfn._xlws.FILTER(Q$2:Q$1073,($C$2:$C$1073=$C623)*($E$2:$E$1073=$E623)*(ROW(Q$2:Q$1073)&lt;&gt;ROW(Q623))*(Q$2:Q$1073&lt;&gt;""))),"")</f>
        <v>0.17260152682755991</v>
      </c>
      <c r="X623" cm="1">
        <f t="array" ref="X623">IFERROR(AVERAGE(_xlfn._xlws.FILTER(R$2:R$1073,($C$2:$C$1073=$C623)*($E$2:$E$1073=$E623)*(ROW(R$2:R$1073)&lt;&gt;ROW(R623))*(R$2:R$1073&lt;&gt;""))),"")</f>
        <v>-0.11178304967548078</v>
      </c>
      <c r="Y623" cm="1">
        <f t="array" ref="Y623">IFERROR(AVERAGE(_xlfn._xlws.FILTER(S$2:S$1073,($C$2:$C$1073=$C623)*($E$2:$E$1073=$E623)*(ROW(S$2:S$1073)&lt;&gt;ROW(S623))*(S$2:S$1073&lt;&gt;""))),"")</f>
        <v>-1.7651061513336963</v>
      </c>
      <c r="Z623" cm="1">
        <f t="array" ref="Z623">IFERROR(AVERAGE(_xlfn._xlws.FILTER(T$2:T$1073,($C$2:$C$1073=$C623)*($E$2:$E$1073=$E623)*(ROW(T$2:T$1073)&lt;&gt;ROW(T623))*(T$2:T$1073&lt;&gt;""))),"")</f>
        <v>5.2971805802602759E-2</v>
      </c>
      <c r="AA623" cm="1">
        <f t="array" ref="AA623">IFERROR(AVERAGE(_xlfn._xlws.FILTER(U$2:U$1073,($C$2:$C$1073=$C623)*($E$2:$E$1073=$E623)*(ROW(U$2:U$1073)&lt;&gt;ROW(U623))*(U$2:U$1073&lt;&gt;""))),"")</f>
        <v>-5.2595544203278735</v>
      </c>
    </row>
    <row r="624" spans="1:27" x14ac:dyDescent="0.2">
      <c r="A624" s="7" t="s">
        <v>2255</v>
      </c>
      <c r="B624" t="str">
        <f t="shared" si="101"/>
        <v>MGNT IV кв. 2011</v>
      </c>
      <c r="C624">
        <v>2011</v>
      </c>
      <c r="D624">
        <f>SUMIFS(Дивиденды!$C:$C,Дивиденды!$A:$A,A624,Дивиденды!$I:$I,C624)</f>
        <v>22.93</v>
      </c>
      <c r="E624">
        <v>4</v>
      </c>
      <c r="F624">
        <f t="shared" si="102"/>
        <v>22.93</v>
      </c>
      <c r="G624">
        <f t="shared" si="103"/>
        <v>0</v>
      </c>
      <c r="H624">
        <f t="shared" si="104"/>
        <v>1</v>
      </c>
      <c r="I624">
        <f t="shared" ref="I624:I687" si="111">IFERROR((COUNTIFS($E:$E,E624,$C:$C,C624,$H:$H,1)-H624)/(COUNTIFS($E:$E,E624,$C:$C,C624)-1),0)</f>
        <v>0</v>
      </c>
      <c r="J624">
        <f t="shared" si="105"/>
        <v>2.4901065449010651</v>
      </c>
      <c r="K624">
        <f t="shared" si="109"/>
        <v>0</v>
      </c>
      <c r="L624">
        <f t="shared" si="106"/>
        <v>1</v>
      </c>
      <c r="M624">
        <f t="shared" si="110"/>
        <v>0</v>
      </c>
      <c r="N624">
        <f t="shared" si="107"/>
        <v>0</v>
      </c>
      <c r="O624">
        <f t="shared" si="108"/>
        <v>0</v>
      </c>
      <c r="P624">
        <f>IFERROR(LN('Дивиденды по годам'!I624),"")</f>
        <v>25.7994628402515</v>
      </c>
      <c r="Q624">
        <f>IFERROR('Дивиденды по годам'!G624/'Дивиденды по годам'!I624, "")</f>
        <v>0.70061022925682215</v>
      </c>
      <c r="R624" t="str">
        <f>IFERROR(IF(AND('Дивиденды по годам'!N624&lt;&gt;"",'Дивиденды по годам'!U624&lt;&gt;"",'Дивиденды по годам'!U624&lt;&gt;0),'Дивиденды по годам'!N624/'Дивиденды по годам'!U624-1,""),"")</f>
        <v/>
      </c>
      <c r="S624" t="str">
        <f>IFERROR(IF(AND('Дивиденды по годам'!L624&lt;&gt;"",'Дивиденды по годам'!I624&lt;&gt;"",'Дивиденды по годам'!J624&lt;&gt;"",'Дивиденды по годам'!K624&lt;&gt;"",('Дивиденды по годам'!I624-'Дивиденды по годам'!J624-'Дивиденды по годам'!K624)&lt;&gt;0),'Дивиденды по годам'!L624/('Дивиденды по годам'!I624-'Дивиденды по годам'!J624-'Дивиденды по годам'!K624),""),"")</f>
        <v/>
      </c>
      <c r="T624" t="str">
        <f>IFERROR(IF(AND('Дивиденды по годам'!Q624&lt;&gt;"",'Дивиденды по годам'!I624&lt;&gt;"",'Дивиденды по годам'!V624&lt;&gt;"",('Дивиденды по годам'!I624+'Дивиденды по годам'!V624)&lt;&gt;0),'Дивиденды по годам'!Q624/(('Дивиденды по годам'!I624+'Дивиденды по годам'!V624)/2),""),"")</f>
        <v/>
      </c>
      <c r="U624">
        <f>IFERROR(IF(AND('Дивиденды по годам'!J624&lt;&gt;"",'Дивиденды по годам'!K624&lt;&gt;"",'Дивиденды по годам'!M624&lt;&gt;"",'Дивиденды по годам'!M624&lt;&gt;0),('Дивиденды по годам'!J624+'Дивиденды по годам'!K624)/'Дивиденды по годам'!M624,""),"")</f>
        <v>1.2286069286381447</v>
      </c>
      <c r="V624" cm="1">
        <f t="array" ref="V624">IFERROR(AVERAGE(_xlfn._xlws.FILTER(P$2:P$1073,($C$2:$C$1073=$C624)*($E$2:$E$1073=$E624)*(ROW(P$2:P$1073)&lt;&gt;ROW(P624))*(P$2:P$1073&lt;&gt;""))),"")</f>
        <v>23.776120675557721</v>
      </c>
      <c r="W624" cm="1">
        <f t="array" ref="W624">IFERROR(AVERAGE(_xlfn._xlws.FILTER(Q$2:Q$1073,($C$2:$C$1073=$C624)*($E$2:$E$1073=$E624)*(ROW(Q$2:Q$1073)&lt;&gt;ROW(Q624))*(Q$2:Q$1073&lt;&gt;""))),"")</f>
        <v>0.19490684896183777</v>
      </c>
      <c r="X624" cm="1">
        <f t="array" ref="X624">IFERROR(AVERAGE(_xlfn._xlws.FILTER(R$2:R$1073,($C$2:$C$1073=$C624)*($E$2:$E$1073=$E624)*(ROW(R$2:R$1073)&lt;&gt;ROW(R624))*(R$2:R$1073&lt;&gt;""))),"")</f>
        <v>5.9511017560386792E-2</v>
      </c>
      <c r="Y624" t="str" cm="1">
        <f t="array" ref="Y624">IFERROR(AVERAGE(_xlfn._xlws.FILTER(S$2:S$1073,($C$2:$C$1073=$C624)*($E$2:$E$1073=$E624)*(ROW(S$2:S$1073)&lt;&gt;ROW(S624))*(S$2:S$1073&lt;&gt;""))),"")</f>
        <v/>
      </c>
      <c r="Z624" cm="1">
        <f t="array" ref="Z624">IFERROR(AVERAGE(_xlfn._xlws.FILTER(T$2:T$1073,($C$2:$C$1073=$C624)*($E$2:$E$1073=$E624)*(ROW(T$2:T$1073)&lt;&gt;ROW(T624))*(T$2:T$1073&lt;&gt;""))),"")</f>
        <v>-1.4171101286470289E-2</v>
      </c>
      <c r="AA624" cm="1">
        <f t="array" ref="AA624">IFERROR(AVERAGE(_xlfn._xlws.FILTER(U$2:U$1073,($C$2:$C$1073=$C624)*($E$2:$E$1073=$E624)*(ROW(U$2:U$1073)&lt;&gt;ROW(U624))*(U$2:U$1073&lt;&gt;""))),"")</f>
        <v>2.5044076118929177</v>
      </c>
    </row>
    <row r="625" spans="1:27" x14ac:dyDescent="0.2">
      <c r="A625" s="7" t="s">
        <v>2255</v>
      </c>
      <c r="B625" t="str">
        <f t="shared" si="101"/>
        <v>MGNT IV кв. 2010</v>
      </c>
      <c r="C625">
        <v>2010</v>
      </c>
      <c r="D625">
        <f>SUMIFS(Дивиденды!$C:$C,Дивиденды!$A:$A,A625,Дивиденды!$I:$I,C625)</f>
        <v>6.57</v>
      </c>
      <c r="E625">
        <v>4</v>
      </c>
      <c r="F625">
        <f t="shared" si="102"/>
        <v>6.57</v>
      </c>
      <c r="G625">
        <f t="shared" si="103"/>
        <v>0</v>
      </c>
      <c r="H625">
        <f t="shared" si="104"/>
        <v>1</v>
      </c>
      <c r="I625">
        <f t="shared" si="111"/>
        <v>0</v>
      </c>
      <c r="J625" t="str">
        <f t="shared" si="105"/>
        <v/>
      </c>
      <c r="K625" t="str">
        <f t="shared" si="109"/>
        <v/>
      </c>
      <c r="L625" t="str">
        <f t="shared" si="106"/>
        <v/>
      </c>
      <c r="M625" t="str">
        <f t="shared" si="110"/>
        <v/>
      </c>
      <c r="N625" t="str">
        <f t="shared" si="107"/>
        <v/>
      </c>
      <c r="O625" t="str">
        <f t="shared" si="108"/>
        <v/>
      </c>
      <c r="P625" t="str">
        <f>IFERROR(LN('Дивиденды по годам'!I625),"")</f>
        <v/>
      </c>
      <c r="Q625" t="str">
        <f>IFERROR('Дивиденды по годам'!G625/'Дивиденды по годам'!I625, "")</f>
        <v/>
      </c>
      <c r="R625" t="str">
        <f>IFERROR(IF(AND('Дивиденды по годам'!N625&lt;&gt;"",'Дивиденды по годам'!U625&lt;&gt;"",'Дивиденды по годам'!U625&lt;&gt;0),'Дивиденды по годам'!N625/'Дивиденды по годам'!U625-1,""),"")</f>
        <v/>
      </c>
      <c r="S625" t="str">
        <f>IFERROR(IF(AND('Дивиденды по годам'!L625&lt;&gt;"",'Дивиденды по годам'!I625&lt;&gt;"",'Дивиденды по годам'!J625&lt;&gt;"",'Дивиденды по годам'!K625&lt;&gt;"",('Дивиденды по годам'!I625-'Дивиденды по годам'!J625-'Дивиденды по годам'!K625)&lt;&gt;0),'Дивиденды по годам'!L625/('Дивиденды по годам'!I625-'Дивиденды по годам'!J625-'Дивиденды по годам'!K625),""),"")</f>
        <v/>
      </c>
      <c r="T625" t="str">
        <f>IFERROR(IF(AND('Дивиденды по годам'!Q625&lt;&gt;"",'Дивиденды по годам'!I625&lt;&gt;"",'Дивиденды по годам'!V625&lt;&gt;"",('Дивиденды по годам'!I625+'Дивиденды по годам'!V625)&lt;&gt;0),'Дивиденды по годам'!Q625/(('Дивиденды по годам'!I625+'Дивиденды по годам'!V625)/2),""),"")</f>
        <v/>
      </c>
      <c r="U625" t="str">
        <f>IFERROR(IF(AND('Дивиденды по годам'!J625&lt;&gt;"",'Дивиденды по годам'!K625&lt;&gt;"",'Дивиденды по годам'!M625&lt;&gt;"",'Дивиденды по годам'!M625&lt;&gt;0),('Дивиденды по годам'!J625+'Дивиденды по годам'!K625)/'Дивиденды по годам'!M625,""),"")</f>
        <v/>
      </c>
      <c r="V625" cm="1">
        <f t="array" ref="V625">IFERROR(AVERAGE(_xlfn._xlws.FILTER(P$2:P$1073,($C$2:$C$1073=$C625)*($E$2:$E$1073=$E625)*(ROW(P$2:P$1073)&lt;&gt;ROW(P625))*(P$2:P$1073&lt;&gt;""))),"")</f>
        <v>23.656010386255485</v>
      </c>
      <c r="W625" cm="1">
        <f t="array" ref="W625">IFERROR(AVERAGE(_xlfn._xlws.FILTER(Q$2:Q$1073,($C$2:$C$1073=$C625)*($E$2:$E$1073=$E625)*(ROW(Q$2:Q$1073)&lt;&gt;ROW(Q625))*(Q$2:Q$1073&lt;&gt;""))),"")</f>
        <v>0.15222241747474585</v>
      </c>
      <c r="X625" t="str" cm="1">
        <f t="array" ref="X625">IFERROR(AVERAGE(_xlfn._xlws.FILTER(R$2:R$1073,($C$2:$C$1073=$C625)*($E$2:$E$1073=$E625)*(ROW(R$2:R$1073)&lt;&gt;ROW(R625))*(R$2:R$1073&lt;&gt;""))),"")</f>
        <v/>
      </c>
      <c r="Y625" t="str" cm="1">
        <f t="array" ref="Y625">IFERROR(AVERAGE(_xlfn._xlws.FILTER(S$2:S$1073,($C$2:$C$1073=$C625)*($E$2:$E$1073=$E625)*(ROW(S$2:S$1073)&lt;&gt;ROW(S625))*(S$2:S$1073&lt;&gt;""))),"")</f>
        <v/>
      </c>
      <c r="Z625" t="str" cm="1">
        <f t="array" ref="Z625">IFERROR(AVERAGE(_xlfn._xlws.FILTER(T$2:T$1073,($C$2:$C$1073=$C625)*($E$2:$E$1073=$E625)*(ROW(T$2:T$1073)&lt;&gt;ROW(T625))*(T$2:T$1073&lt;&gt;""))),"")</f>
        <v/>
      </c>
      <c r="AA625" cm="1">
        <f t="array" ref="AA625">IFERROR(AVERAGE(_xlfn._xlws.FILTER(U$2:U$1073,($C$2:$C$1073=$C625)*($E$2:$E$1073=$E625)*(ROW(U$2:U$1073)&lt;&gt;ROW(U625))*(U$2:U$1073&lt;&gt;""))),"")</f>
        <v>2.8988498110700496</v>
      </c>
    </row>
    <row r="626" spans="1:27" x14ac:dyDescent="0.2">
      <c r="A626" s="7" t="s">
        <v>2258</v>
      </c>
      <c r="B626" t="str">
        <f t="shared" si="101"/>
        <v>OZPH IV кв. 2025</v>
      </c>
      <c r="C626">
        <v>2025</v>
      </c>
      <c r="D626">
        <f>SUMIFS(Дивиденды!$C:$C,Дивиденды!$A:$A,A626,Дивиденды!$I:$I,C626)</f>
        <v>0.79</v>
      </c>
      <c r="E626">
        <v>4</v>
      </c>
      <c r="F626">
        <f t="shared" si="102"/>
        <v>0.79</v>
      </c>
      <c r="G626">
        <f t="shared" si="103"/>
        <v>31.525000000000002</v>
      </c>
      <c r="H626">
        <f t="shared" si="104"/>
        <v>1</v>
      </c>
      <c r="I626">
        <f t="shared" si="111"/>
        <v>0.35714285714285715</v>
      </c>
      <c r="J626">
        <f t="shared" si="105"/>
        <v>0.79545454545454553</v>
      </c>
      <c r="K626">
        <f t="shared" si="109"/>
        <v>-0.23934452505887813</v>
      </c>
      <c r="L626">
        <f t="shared" si="106"/>
        <v>1</v>
      </c>
      <c r="M626">
        <f t="shared" si="110"/>
        <v>7.1428571428571425E-2</v>
      </c>
      <c r="N626">
        <f t="shared" si="107"/>
        <v>0</v>
      </c>
      <c r="O626">
        <f t="shared" si="108"/>
        <v>0.5</v>
      </c>
      <c r="P626" t="str">
        <f>IFERROR(LN('Дивиденды по годам'!I626),"")</f>
        <v/>
      </c>
      <c r="Q626" t="str">
        <f>IFERROR('Дивиденды по годам'!G626/'Дивиденды по годам'!I626, "")</f>
        <v/>
      </c>
      <c r="R626" t="str">
        <f>IFERROR(IF(AND('Дивиденды по годам'!N626&lt;&gt;"",'Дивиденды по годам'!U626&lt;&gt;"",'Дивиденды по годам'!U626&lt;&gt;0),'Дивиденды по годам'!N626/'Дивиденды по годам'!U626-1,""),"")</f>
        <v/>
      </c>
      <c r="S626" t="str">
        <f>IFERROR(IF(AND('Дивиденды по годам'!L626&lt;&gt;"",'Дивиденды по годам'!I626&lt;&gt;"",'Дивиденды по годам'!J626&lt;&gt;"",'Дивиденды по годам'!K626&lt;&gt;"",('Дивиденды по годам'!I626-'Дивиденды по годам'!J626-'Дивиденды по годам'!K626)&lt;&gt;0),'Дивиденды по годам'!L626/('Дивиденды по годам'!I626-'Дивиденды по годам'!J626-'Дивиденды по годам'!K626),""),"")</f>
        <v/>
      </c>
      <c r="T626" t="str">
        <f>IFERROR(IF(AND('Дивиденды по годам'!Q626&lt;&gt;"",'Дивиденды по годам'!I626&lt;&gt;"",'Дивиденды по годам'!V626&lt;&gt;"",('Дивиденды по годам'!I626+'Дивиденды по годам'!V626)&lt;&gt;0),'Дивиденды по годам'!Q626/(('Дивиденды по годам'!I626+'Дивиденды по годам'!V626)/2),""),"")</f>
        <v/>
      </c>
      <c r="U626" t="str">
        <f>IFERROR(IF(AND('Дивиденды по годам'!J626&lt;&gt;"",'Дивиденды по годам'!K626&lt;&gt;"",'Дивиденды по годам'!M626&lt;&gt;"",'Дивиденды по годам'!M626&lt;&gt;0),('Дивиденды по годам'!J626+'Дивиденды по годам'!K626)/'Дивиденды по годам'!M626,""),"")</f>
        <v/>
      </c>
      <c r="V626" cm="1">
        <f t="array" ref="V626">IFERROR(AVERAGE(_xlfn._xlws.FILTER(P$2:P$1073,($C$2:$C$1073=$C626)*($E$2:$E$1073=$E626)*(ROW(P$2:P$1073)&lt;&gt;ROW(P626))*(P$2:P$1073&lt;&gt;""))),"")</f>
        <v>26.183512711155618</v>
      </c>
      <c r="W626" cm="1">
        <f t="array" ref="W626">IFERROR(AVERAGE(_xlfn._xlws.FILTER(Q$2:Q$1073,($C$2:$C$1073=$C626)*($E$2:$E$1073=$E626)*(ROW(Q$2:Q$1073)&lt;&gt;ROW(Q626))*(Q$2:Q$1073&lt;&gt;""))),"")</f>
        <v>0.42364014522274984</v>
      </c>
      <c r="X626" cm="1">
        <f t="array" ref="X626">IFERROR(AVERAGE(_xlfn._xlws.FILTER(R$2:R$1073,($C$2:$C$1073=$C626)*($E$2:$E$1073=$E626)*(ROW(R$2:R$1073)&lt;&gt;ROW(R626))*(R$2:R$1073&lt;&gt;""))),"")</f>
        <v>6.6096126428947105E-2</v>
      </c>
      <c r="Y626" cm="1">
        <f t="array" ref="Y626">IFERROR(AVERAGE(_xlfn._xlws.FILTER(S$2:S$1073,($C$2:$C$1073=$C626)*($E$2:$E$1073=$E626)*(ROW(S$2:S$1073)&lt;&gt;ROW(S626))*(S$2:S$1073&lt;&gt;""))),"")</f>
        <v>0.94174952343815033</v>
      </c>
      <c r="Z626" cm="1">
        <f t="array" ref="Z626">IFERROR(AVERAGE(_xlfn._xlws.FILTER(T$2:T$1073,($C$2:$C$1073=$C626)*($E$2:$E$1073=$E626)*(ROW(T$2:T$1073)&lt;&gt;ROW(T626))*(T$2:T$1073&lt;&gt;""))),"")</f>
        <v>1.3107153079830167E-2</v>
      </c>
      <c r="AA626" cm="1">
        <f t="array" ref="AA626">IFERROR(AVERAGE(_xlfn._xlws.FILTER(U$2:U$1073,($C$2:$C$1073=$C626)*($E$2:$E$1073=$E626)*(ROW(U$2:U$1073)&lt;&gt;ROW(U626))*(U$2:U$1073&lt;&gt;""))),"")</f>
        <v>6.2968354519658218</v>
      </c>
    </row>
    <row r="627" spans="1:27" x14ac:dyDescent="0.2">
      <c r="A627" s="7" t="s">
        <v>2258</v>
      </c>
      <c r="B627" t="str">
        <f t="shared" si="101"/>
        <v>OZPH IV кв. 2024</v>
      </c>
      <c r="C627">
        <v>2024</v>
      </c>
      <c r="D627">
        <f>SUMIFS(Дивиденды!$C:$C,Дивиденды!$A:$A,A627,Дивиденды!$I:$I,C627)</f>
        <v>0.44</v>
      </c>
      <c r="E627">
        <v>4</v>
      </c>
      <c r="F627">
        <f t="shared" si="102"/>
        <v>0.44</v>
      </c>
      <c r="G627">
        <f t="shared" si="103"/>
        <v>62.480000000000004</v>
      </c>
      <c r="H627">
        <f t="shared" si="104"/>
        <v>1</v>
      </c>
      <c r="I627">
        <f t="shared" si="111"/>
        <v>0.5</v>
      </c>
      <c r="J627">
        <f t="shared" si="105"/>
        <v>1</v>
      </c>
      <c r="K627">
        <f t="shared" si="109"/>
        <v>0.14002717393491237</v>
      </c>
      <c r="L627">
        <f t="shared" si="106"/>
        <v>1</v>
      </c>
      <c r="M627">
        <f t="shared" si="110"/>
        <v>0.2857142857142857</v>
      </c>
      <c r="N627">
        <f t="shared" si="107"/>
        <v>0</v>
      </c>
      <c r="O627">
        <f t="shared" si="108"/>
        <v>0.2857142857142857</v>
      </c>
      <c r="P627">
        <f>IFERROR(LN('Дивиденды по годам'!I627),"")</f>
        <v>24.626109218250644</v>
      </c>
      <c r="Q627">
        <f>IFERROR('Дивиденды по годам'!G627/'Дивиденды по годам'!I627, "")</f>
        <v>0.19799538660454544</v>
      </c>
      <c r="R627">
        <f>IFERROR(IF(AND('Дивиденды по годам'!N627&lt;&gt;"",'Дивиденды по годам'!U627&lt;&gt;"",'Дивиденды по годам'!U627&lt;&gt;0),'Дивиденды по годам'!N627/'Дивиденды по годам'!U627-1,""),"")</f>
        <v>0.2959576209201078</v>
      </c>
      <c r="S627">
        <f>IFERROR(IF(AND('Дивиденды по годам'!L627&lt;&gt;"",'Дивиденды по годам'!I627&lt;&gt;"",'Дивиденды по годам'!J627&lt;&gt;"",'Дивиденды по годам'!K627&lt;&gt;"",('Дивиденды по годам'!I627-'Дивиденды по годам'!J627-'Дивиденды по годам'!K627)&lt;&gt;0),'Дивиденды по годам'!L627/('Дивиденды по годам'!I627-'Дивиденды по годам'!J627-'Дивиденды по годам'!K627),""),"")</f>
        <v>0.88888896343906088</v>
      </c>
      <c r="T627">
        <f>IFERROR(IF(AND('Дивиденды по годам'!Q627&lt;&gt;"",'Дивиденды по годам'!I627&lt;&gt;"",'Дивиденды по годам'!V627&lt;&gt;"",('Дивиденды по годам'!I627+'Дивиденды по годам'!V627)&lt;&gt;0),'Дивиденды по годам'!Q627/(('Дивиденды по годам'!I627+'Дивиденды по годам'!V627)/2),""),"")</f>
        <v>0.11022114463855416</v>
      </c>
      <c r="U627">
        <f>IFERROR(IF(AND('Дивиденды по годам'!J627&lt;&gt;"",'Дивиденды по годам'!K627&lt;&gt;"",'Дивиденды по годам'!M627&lt;&gt;"",'Дивиденды по годам'!M627&lt;&gt;0),('Дивиденды по годам'!J627+'Дивиденды по годам'!K627)/'Дивиденды по годам'!M627,""),"")</f>
        <v>0.95535484456618047</v>
      </c>
      <c r="V627" cm="1">
        <f t="array" ref="V627">IFERROR(AVERAGE(_xlfn._xlws.FILTER(P$2:P$1073,($C$2:$C$1073=$C627)*($E$2:$E$1073=$E627)*(ROW(P$2:P$1073)&lt;&gt;ROW(P627))*(P$2:P$1073&lt;&gt;""))),"")</f>
        <v>25.63185017781748</v>
      </c>
      <c r="W627" cm="1">
        <f t="array" ref="W627">IFERROR(AVERAGE(_xlfn._xlws.FILTER(Q$2:Q$1073,($C$2:$C$1073=$C627)*($E$2:$E$1073=$E627)*(ROW(Q$2:Q$1073)&lt;&gt;ROW(Q627))*(Q$2:Q$1073&lt;&gt;""))),"")</f>
        <v>0.2675622058353973</v>
      </c>
      <c r="X627" cm="1">
        <f t="array" ref="X627">IFERROR(AVERAGE(_xlfn._xlws.FILTER(R$2:R$1073,($C$2:$C$1073=$C627)*($E$2:$E$1073=$E627)*(ROW(R$2:R$1073)&lt;&gt;ROW(R627))*(R$2:R$1073&lt;&gt;""))),"")</f>
        <v>0.26328706148009057</v>
      </c>
      <c r="Y627" cm="1">
        <f t="array" ref="Y627">IFERROR(AVERAGE(_xlfn._xlws.FILTER(S$2:S$1073,($C$2:$C$1073=$C627)*($E$2:$E$1073=$E627)*(ROW(S$2:S$1073)&lt;&gt;ROW(S627))*(S$2:S$1073&lt;&gt;""))),"")</f>
        <v>1.1912086575085328</v>
      </c>
      <c r="Z627" cm="1">
        <f t="array" ref="Z627">IFERROR(AVERAGE(_xlfn._xlws.FILTER(T$2:T$1073,($C$2:$C$1073=$C627)*($E$2:$E$1073=$E627)*(ROW(T$2:T$1073)&lt;&gt;ROW(T627))*(T$2:T$1073&lt;&gt;""))),"")</f>
        <v>7.0293816549458807E-2</v>
      </c>
      <c r="AA627" cm="1">
        <f t="array" ref="AA627">IFERROR(AVERAGE(_xlfn._xlws.FILTER(U$2:U$1073,($C$2:$C$1073=$C627)*($E$2:$E$1073=$E627)*(ROW(U$2:U$1073)&lt;&gt;ROW(U627))*(U$2:U$1073&lt;&gt;""))),"")</f>
        <v>4.2076151584704933</v>
      </c>
    </row>
    <row r="628" spans="1:27" x14ac:dyDescent="0.2">
      <c r="A628" s="7" t="s">
        <v>2258</v>
      </c>
      <c r="B628" t="str">
        <f t="shared" si="101"/>
        <v>OZPH IV кв. 2023</v>
      </c>
      <c r="C628">
        <v>2023</v>
      </c>
      <c r="D628">
        <f>SUMIFS(Дивиденды!$C:$C,Дивиденды!$A:$A,A628,Дивиденды!$I:$I,C628)</f>
        <v>0</v>
      </c>
      <c r="E628">
        <v>4</v>
      </c>
      <c r="F628">
        <f t="shared" si="102"/>
        <v>0</v>
      </c>
      <c r="G628">
        <f t="shared" si="103"/>
        <v>90.740000000000009</v>
      </c>
      <c r="H628">
        <f t="shared" si="104"/>
        <v>0</v>
      </c>
      <c r="I628">
        <f t="shared" si="111"/>
        <v>0.5</v>
      </c>
      <c r="J628">
        <f t="shared" si="105"/>
        <v>0</v>
      </c>
      <c r="K628">
        <f t="shared" si="109"/>
        <v>0.29812745098039217</v>
      </c>
      <c r="L628">
        <f t="shared" si="106"/>
        <v>0</v>
      </c>
      <c r="M628">
        <f t="shared" si="110"/>
        <v>0.42857142857142855</v>
      </c>
      <c r="N628">
        <f t="shared" si="107"/>
        <v>0</v>
      </c>
      <c r="O628">
        <f t="shared" si="108"/>
        <v>0</v>
      </c>
      <c r="P628">
        <f>IFERROR(LN('Дивиденды по годам'!I628),"")</f>
        <v>24.25311904913962</v>
      </c>
      <c r="Q628">
        <f>IFERROR('Дивиденды по годам'!G628/'Дивиденды по годам'!I628, "")</f>
        <v>0.14431278515853899</v>
      </c>
      <c r="R628">
        <f>IFERROR(IF(AND('Дивиденды по годам'!N628&lt;&gt;"",'Дивиденды по годам'!U628&lt;&gt;"",'Дивиденды по годам'!U628&lt;&gt;0),'Дивиденды по годам'!N628/'Дивиденды по годам'!U628-1,""),"")</f>
        <v>4.0320905638754789E-2</v>
      </c>
      <c r="S628">
        <f>IFERROR(IF(AND('Дивиденды по годам'!L628&lt;&gt;"",'Дивиденды по годам'!I628&lt;&gt;"",'Дивиденды по годам'!J628&lt;&gt;"",'Дивиденды по годам'!K628&lt;&gt;"",('Дивиденды по годам'!I628-'Дивиденды по годам'!J628-'Дивиденды по годам'!K628)&lt;&gt;0),'Дивиденды по годам'!L628/('Дивиденды по годам'!I628-'Дивиденды по годам'!J628-'Дивиденды по годам'!K628),""),"")</f>
        <v>0.98516164893805014</v>
      </c>
      <c r="T628">
        <f>IFERROR(IF(AND('Дивиденды по годам'!Q628&lt;&gt;"",'Дивиденды по годам'!I628&lt;&gt;"",'Дивиденды по годам'!V628&lt;&gt;"",('Дивиденды по годам'!I628+'Дивиденды по годам'!V628)&lt;&gt;0),'Дивиденды по годам'!Q628/(('Дивиденды по годам'!I628+'Дивиденды по годам'!V628)/2),""),"")</f>
        <v>0.11736327472093018</v>
      </c>
      <c r="U628">
        <f>IFERROR(IF(AND('Дивиденды по годам'!J628&lt;&gt;"",'Дивиденды по годам'!K628&lt;&gt;"",'Дивиденды по годам'!M628&lt;&gt;"",'Дивиденды по годам'!M628&lt;&gt;0),('Дивиденды по годам'!J628+'Дивиденды по годам'!K628)/'Дивиденды по годам'!M628,""),"")</f>
        <v>0.99318539964674213</v>
      </c>
      <c r="V628" cm="1">
        <f t="array" ref="V628">IFERROR(AVERAGE(_xlfn._xlws.FILTER(P$2:P$1073,($C$2:$C$1073=$C628)*($E$2:$E$1073=$E628)*(ROW(P$2:P$1073)&lt;&gt;ROW(P628))*(P$2:P$1073&lt;&gt;""))),"")</f>
        <v>25.4465292910158</v>
      </c>
      <c r="W628" cm="1">
        <f t="array" ref="W628">IFERROR(AVERAGE(_xlfn._xlws.FILTER(Q$2:Q$1073,($C$2:$C$1073=$C628)*($E$2:$E$1073=$E628)*(ROW(Q$2:Q$1073)&lt;&gt;ROW(Q628))*(Q$2:Q$1073&lt;&gt;""))),"")</f>
        <v>0.25796415778679982</v>
      </c>
      <c r="X628" cm="1">
        <f t="array" ref="X628">IFERROR(AVERAGE(_xlfn._xlws.FILTER(R$2:R$1073,($C$2:$C$1073=$C628)*($E$2:$E$1073=$E628)*(ROW(R$2:R$1073)&lt;&gt;ROW(R628))*(R$2:R$1073&lt;&gt;""))),"")</f>
        <v>0.26331258944497288</v>
      </c>
      <c r="Y628" cm="1">
        <f t="array" ref="Y628">IFERROR(AVERAGE(_xlfn._xlws.FILTER(S$2:S$1073,($C$2:$C$1073=$C628)*($E$2:$E$1073=$E628)*(ROW(S$2:S$1073)&lt;&gt;ROW(S628))*(S$2:S$1073&lt;&gt;""))),"")</f>
        <v>1.2646248980221251</v>
      </c>
      <c r="Z628" cm="1">
        <f t="array" ref="Z628">IFERROR(AVERAGE(_xlfn._xlws.FILTER(T$2:T$1073,($C$2:$C$1073=$C628)*($E$2:$E$1073=$E628)*(ROW(T$2:T$1073)&lt;&gt;ROW(T628))*(T$2:T$1073&lt;&gt;""))),"")</f>
        <v>0.10972405391196886</v>
      </c>
      <c r="AA628" cm="1">
        <f t="array" ref="AA628">IFERROR(AVERAGE(_xlfn._xlws.FILTER(U$2:U$1073,($C$2:$C$1073=$C628)*($E$2:$E$1073=$E628)*(ROW(U$2:U$1073)&lt;&gt;ROW(U628))*(U$2:U$1073&lt;&gt;""))),"")</f>
        <v>2.7013560813558244</v>
      </c>
    </row>
    <row r="629" spans="1:27" x14ac:dyDescent="0.2">
      <c r="A629" s="7" t="s">
        <v>2258</v>
      </c>
      <c r="B629" t="str">
        <f t="shared" si="101"/>
        <v>OZPH IV кв. 2022</v>
      </c>
      <c r="C629">
        <v>2022</v>
      </c>
      <c r="D629">
        <f>SUMIFS(Дивиденды!$C:$C,Дивиденды!$A:$A,A629,Дивиденды!$I:$I,C629)</f>
        <v>0</v>
      </c>
      <c r="E629">
        <v>4</v>
      </c>
      <c r="F629">
        <f t="shared" si="102"/>
        <v>0</v>
      </c>
      <c r="G629">
        <f t="shared" si="103"/>
        <v>80.180000000000021</v>
      </c>
      <c r="H629">
        <f t="shared" si="104"/>
        <v>0</v>
      </c>
      <c r="I629">
        <f t="shared" si="111"/>
        <v>0.2857142857142857</v>
      </c>
      <c r="J629">
        <f t="shared" si="105"/>
        <v>0</v>
      </c>
      <c r="K629">
        <f t="shared" si="109"/>
        <v>0.49583624512073399</v>
      </c>
      <c r="L629">
        <f t="shared" si="106"/>
        <v>0</v>
      </c>
      <c r="M629">
        <f t="shared" si="110"/>
        <v>0.2857142857142857</v>
      </c>
      <c r="N629">
        <f t="shared" si="107"/>
        <v>0</v>
      </c>
      <c r="O629">
        <f t="shared" si="108"/>
        <v>7.1428571428571425E-2</v>
      </c>
      <c r="P629">
        <f>IFERROR(LN('Дивиденды по годам'!I629),"")</f>
        <v>24.252668054450368</v>
      </c>
      <c r="Q629">
        <f>IFERROR('Дивиденды по годам'!G629/'Дивиденды по годам'!I629, "")</f>
        <v>0.14983091948571375</v>
      </c>
      <c r="R629">
        <f>IFERROR(IF(AND('Дивиденды по годам'!N629&lt;&gt;"",'Дивиденды по годам'!U629&lt;&gt;"",'Дивиденды по годам'!U629&lt;&gt;0),'Дивиденды по годам'!N629/'Дивиденды по годам'!U629-1,""),"")</f>
        <v>7.4324217124486669E-2</v>
      </c>
      <c r="S629">
        <f>IFERROR(IF(AND('Дивиденды по годам'!L629&lt;&gt;"",'Дивиденды по годам'!I629&lt;&gt;"",'Дивиденды по годам'!J629&lt;&gt;"",'Дивиденды по годам'!K629&lt;&gt;"",('Дивиденды по годам'!I629-'Дивиденды по годам'!J629-'Дивиденды по годам'!K629)&lt;&gt;0),'Дивиденды по годам'!L629/('Дивиденды по годам'!I629-'Дивиденды по годам'!J629-'Дивиденды по годам'!K629),""),"")</f>
        <v>0.98266549893095945</v>
      </c>
      <c r="T629">
        <f>IFERROR(IF(AND('Дивиденды по годам'!Q629&lt;&gt;"",'Дивиденды по годам'!I629&lt;&gt;"",'Дивиденды по годам'!V629&lt;&gt;"",('Дивиденды по годам'!I629+'Дивиденды по годам'!V629)&lt;&gt;0),'Дивиденды по годам'!Q629/(('Дивиденды по годам'!I629+'Дивиденды по годам'!V629)/2),""),"")</f>
        <v>0.11452075722743955</v>
      </c>
      <c r="U629">
        <f>IFERROR(IF(AND('Дивиденды по годам'!J629&lt;&gt;"",'Дивиденды по годам'!K629&lt;&gt;"",'Дивиденды по годам'!M629&lt;&gt;"",'Дивиденды по годам'!M629&lt;&gt;0),('Дивиденды по годам'!J629+'Дивиденды по годам'!K629)/'Дивиденды по годам'!M629,""),"")</f>
        <v>1.3274348712425337</v>
      </c>
      <c r="V629" cm="1">
        <f t="array" ref="V629">IFERROR(AVERAGE(_xlfn._xlws.FILTER(P$2:P$1073,($C$2:$C$1073=$C629)*($E$2:$E$1073=$E629)*(ROW(P$2:P$1073)&lt;&gt;ROW(P629))*(P$2:P$1073&lt;&gt;""))),"")</f>
        <v>25.351968485306426</v>
      </c>
      <c r="W629" cm="1">
        <f t="array" ref="W629">IFERROR(AVERAGE(_xlfn._xlws.FILTER(Q$2:Q$1073,($C$2:$C$1073=$C629)*($E$2:$E$1073=$E629)*(ROW(Q$2:Q$1073)&lt;&gt;ROW(Q629))*(Q$2:Q$1073&lt;&gt;""))),"")</f>
        <v>0.2564752839815681</v>
      </c>
      <c r="X629" cm="1">
        <f t="array" ref="X629">IFERROR(AVERAGE(_xlfn._xlws.FILTER(R$2:R$1073,($C$2:$C$1073=$C629)*($E$2:$E$1073=$E629)*(ROW(R$2:R$1073)&lt;&gt;ROW(R629))*(R$2:R$1073&lt;&gt;""))),"")</f>
        <v>0.21702697350378009</v>
      </c>
      <c r="Y629" cm="1">
        <f t="array" ref="Y629">IFERROR(AVERAGE(_xlfn._xlws.FILTER(S$2:S$1073,($C$2:$C$1073=$C629)*($E$2:$E$1073=$E629)*(ROW(S$2:S$1073)&lt;&gt;ROW(S629))*(S$2:S$1073&lt;&gt;""))),"")</f>
        <v>1.3666177210207229</v>
      </c>
      <c r="Z629" cm="1">
        <f t="array" ref="Z629">IFERROR(AVERAGE(_xlfn._xlws.FILTER(T$2:T$1073,($C$2:$C$1073=$C629)*($E$2:$E$1073=$E629)*(ROW(T$2:T$1073)&lt;&gt;ROW(T629))*(T$2:T$1073&lt;&gt;""))),"")</f>
        <v>9.9571174525218659E-2</v>
      </c>
      <c r="AA629" cm="1">
        <f t="array" ref="AA629">IFERROR(AVERAGE(_xlfn._xlws.FILTER(U$2:U$1073,($C$2:$C$1073=$C629)*($E$2:$E$1073=$E629)*(ROW(U$2:U$1073)&lt;&gt;ROW(U629))*(U$2:U$1073&lt;&gt;""))),"")</f>
        <v>2.2439808973911828</v>
      </c>
    </row>
    <row r="630" spans="1:27" x14ac:dyDescent="0.2">
      <c r="A630" s="7" t="s">
        <v>2258</v>
      </c>
      <c r="B630" t="str">
        <f t="shared" si="101"/>
        <v>OZPH IV кв. 2021</v>
      </c>
      <c r="C630">
        <v>2021</v>
      </c>
      <c r="D630">
        <f>SUMIFS(Дивиденды!$C:$C,Дивиденды!$A:$A,A630,Дивиденды!$I:$I,C630)</f>
        <v>0</v>
      </c>
      <c r="E630">
        <v>4</v>
      </c>
      <c r="F630">
        <f t="shared" si="102"/>
        <v>0</v>
      </c>
      <c r="G630">
        <f t="shared" si="103"/>
        <v>31.931428571428572</v>
      </c>
      <c r="H630">
        <f t="shared" si="104"/>
        <v>0</v>
      </c>
      <c r="I630">
        <f t="shared" si="111"/>
        <v>0.2857142857142857</v>
      </c>
      <c r="J630">
        <f t="shared" si="105"/>
        <v>0</v>
      </c>
      <c r="K630">
        <f t="shared" si="109"/>
        <v>0.1975016604235505</v>
      </c>
      <c r="L630">
        <f t="shared" si="106"/>
        <v>0</v>
      </c>
      <c r="M630">
        <f t="shared" si="110"/>
        <v>0.21428571428571427</v>
      </c>
      <c r="N630">
        <f t="shared" si="107"/>
        <v>0</v>
      </c>
      <c r="O630">
        <f t="shared" si="108"/>
        <v>7.1428571428571425E-2</v>
      </c>
      <c r="P630">
        <f>IFERROR(LN('Дивиденды по годам'!I630),"")</f>
        <v>24.113871254619543</v>
      </c>
      <c r="Q630">
        <f>IFERROR('Дивиденды по годам'!G630/'Дивиденды по годам'!I630, "")</f>
        <v>0.16365282372764942</v>
      </c>
      <c r="R630" t="str">
        <f>IFERROR(IF(AND('Дивиденды по годам'!N630&lt;&gt;"",'Дивиденды по годам'!U630&lt;&gt;"",'Дивиденды по годам'!U630&lt;&gt;0),'Дивиденды по годам'!N630/'Дивиденды по годам'!U630-1,""),"")</f>
        <v/>
      </c>
      <c r="S630">
        <f>IFERROR(IF(AND('Дивиденды по годам'!L630&lt;&gt;"",'Дивиденды по годам'!I630&lt;&gt;"",'Дивиденды по годам'!J630&lt;&gt;"",'Дивиденды по годам'!K630&lt;&gt;"",('Дивиденды по годам'!I630-'Дивиденды по годам'!J630-'Дивиденды по годам'!K630)&lt;&gt;0),'Дивиденды по годам'!L630/('Дивиденды по годам'!I630-'Дивиденды по годам'!J630-'Дивиденды по годам'!K630),""),"")</f>
        <v>0.98015227735426413</v>
      </c>
      <c r="T630" t="str">
        <f>IFERROR(IF(AND('Дивиденды по годам'!Q630&lt;&gt;"",'Дивиденды по годам'!I630&lt;&gt;"",'Дивиденды по годам'!V630&lt;&gt;"",('Дивиденды по годам'!I630+'Дивиденды по годам'!V630)&lt;&gt;0),'Дивиденды по годам'!Q630/(('Дивиденды по годам'!I630+'Дивиденды по годам'!V630)/2),""),"")</f>
        <v/>
      </c>
      <c r="U630">
        <f>IFERROR(IF(AND('Дивиденды по годам'!J630&lt;&gt;"",'Дивиденды по годам'!K630&lt;&gt;"",'Дивиденды по годам'!M630&lt;&gt;"",'Дивиденды по годам'!M630&lt;&gt;0),('Дивиденды по годам'!J630+'Дивиденды по годам'!K630)/'Дивиденды по годам'!M630,""),"")</f>
        <v>1.3195203602471057</v>
      </c>
      <c r="V630" cm="1">
        <f t="array" ref="V630">IFERROR(AVERAGE(_xlfn._xlws.FILTER(P$2:P$1073,($C$2:$C$1073=$C630)*($E$2:$E$1073=$E630)*(ROW(P$2:P$1073)&lt;&gt;ROW(P630))*(P$2:P$1073&lt;&gt;""))),"")</f>
        <v>25.277478433027202</v>
      </c>
      <c r="W630" cm="1">
        <f t="array" ref="W630">IFERROR(AVERAGE(_xlfn._xlws.FILTER(Q$2:Q$1073,($C$2:$C$1073=$C630)*($E$2:$E$1073=$E630)*(ROW(Q$2:Q$1073)&lt;&gt;ROW(Q630))*(Q$2:Q$1073&lt;&gt;""))),"")</f>
        <v>0.24122648509163988</v>
      </c>
      <c r="X630" cm="1">
        <f t="array" ref="X630">IFERROR(AVERAGE(_xlfn._xlws.FILTER(R$2:R$1073,($C$2:$C$1073=$C630)*($E$2:$E$1073=$E630)*(ROW(R$2:R$1073)&lt;&gt;ROW(R630))*(R$2:R$1073&lt;&gt;""))),"")</f>
        <v>0.31760921072336168</v>
      </c>
      <c r="Y630" cm="1">
        <f t="array" ref="Y630">IFERROR(AVERAGE(_xlfn._xlws.FILTER(S$2:S$1073,($C$2:$C$1073=$C630)*($E$2:$E$1073=$E630)*(ROW(S$2:S$1073)&lt;&gt;ROW(S630))*(S$2:S$1073&lt;&gt;""))),"")</f>
        <v>1.3506746294977354</v>
      </c>
      <c r="Z630" cm="1">
        <f t="array" ref="Z630">IFERROR(AVERAGE(_xlfn._xlws.FILTER(T$2:T$1073,($C$2:$C$1073=$C630)*($E$2:$E$1073=$E630)*(ROW(T$2:T$1073)&lt;&gt;ROW(T630))*(T$2:T$1073&lt;&gt;""))),"")</f>
        <v>0.10239490834794492</v>
      </c>
      <c r="AA630" cm="1">
        <f t="array" ref="AA630">IFERROR(AVERAGE(_xlfn._xlws.FILTER(U$2:U$1073,($C$2:$C$1073=$C630)*($E$2:$E$1073=$E630)*(ROW(U$2:U$1073)&lt;&gt;ROW(U630))*(U$2:U$1073&lt;&gt;""))),"")</f>
        <v>18.238557652598935</v>
      </c>
    </row>
    <row r="631" spans="1:27" x14ac:dyDescent="0.2">
      <c r="A631" s="7" t="s">
        <v>2258</v>
      </c>
      <c r="B631" t="str">
        <f t="shared" si="101"/>
        <v>OZPH IV кв. 2020</v>
      </c>
      <c r="C631">
        <v>2020</v>
      </c>
      <c r="D631">
        <f>SUMIFS(Дивиденды!$C:$C,Дивиденды!$A:$A,A631,Дивиденды!$I:$I,C631)</f>
        <v>0</v>
      </c>
      <c r="E631">
        <v>4</v>
      </c>
      <c r="F631">
        <f t="shared" si="102"/>
        <v>0</v>
      </c>
      <c r="G631">
        <f t="shared" si="103"/>
        <v>43.293571428571433</v>
      </c>
      <c r="H631">
        <f t="shared" si="104"/>
        <v>0</v>
      </c>
      <c r="I631">
        <f t="shared" si="111"/>
        <v>0.2857142857142857</v>
      </c>
      <c r="J631">
        <f t="shared" si="105"/>
        <v>0</v>
      </c>
      <c r="K631">
        <f t="shared" si="109"/>
        <v>0.26831617204892738</v>
      </c>
      <c r="L631">
        <f t="shared" si="106"/>
        <v>0</v>
      </c>
      <c r="M631">
        <f t="shared" si="110"/>
        <v>0.2857142857142857</v>
      </c>
      <c r="N631">
        <f t="shared" si="107"/>
        <v>0</v>
      </c>
      <c r="O631">
        <f t="shared" si="108"/>
        <v>0</v>
      </c>
      <c r="P631" t="str">
        <f>IFERROR(LN('Дивиденды по годам'!I631),"")</f>
        <v/>
      </c>
      <c r="Q631" t="str">
        <f>IFERROR('Дивиденды по годам'!G631/'Дивиденды по годам'!I631, "")</f>
        <v/>
      </c>
      <c r="R631" t="str">
        <f>IFERROR(IF(AND('Дивиденды по годам'!N631&lt;&gt;"",'Дивиденды по годам'!U631&lt;&gt;"",'Дивиденды по годам'!U631&lt;&gt;0),'Дивиденды по годам'!N631/'Дивиденды по годам'!U631-1,""),"")</f>
        <v/>
      </c>
      <c r="S631" t="str">
        <f>IFERROR(IF(AND('Дивиденды по годам'!L631&lt;&gt;"",'Дивиденды по годам'!I631&lt;&gt;"",'Дивиденды по годам'!J631&lt;&gt;"",'Дивиденды по годам'!K631&lt;&gt;"",('Дивиденды по годам'!I631-'Дивиденды по годам'!J631-'Дивиденды по годам'!K631)&lt;&gt;0),'Дивиденды по годам'!L631/('Дивиденды по годам'!I631-'Дивиденды по годам'!J631-'Дивиденды по годам'!K631),""),"")</f>
        <v/>
      </c>
      <c r="T631" t="str">
        <f>IFERROR(IF(AND('Дивиденды по годам'!Q631&lt;&gt;"",'Дивиденды по годам'!I631&lt;&gt;"",'Дивиденды по годам'!V631&lt;&gt;"",('Дивиденды по годам'!I631+'Дивиденды по годам'!V631)&lt;&gt;0),'Дивиденды по годам'!Q631/(('Дивиденды по годам'!I631+'Дивиденды по годам'!V631)/2),""),"")</f>
        <v/>
      </c>
      <c r="U631" t="str">
        <f>IFERROR(IF(AND('Дивиденды по годам'!J631&lt;&gt;"",'Дивиденды по годам'!K631&lt;&gt;"",'Дивиденды по годам'!M631&lt;&gt;"",'Дивиденды по годам'!M631&lt;&gt;0),('Дивиденды по годам'!J631+'Дивиденды по годам'!K631)/'Дивиденды по годам'!M631,""),"")</f>
        <v/>
      </c>
      <c r="V631" cm="1">
        <f t="array" ref="V631">IFERROR(AVERAGE(_xlfn._xlws.FILTER(P$2:P$1073,($C$2:$C$1073=$C631)*($E$2:$E$1073=$E631)*(ROW(P$2:P$1073)&lt;&gt;ROW(P631))*(P$2:P$1073&lt;&gt;""))),"")</f>
        <v>25.279360907920736</v>
      </c>
      <c r="W631" cm="1">
        <f t="array" ref="W631">IFERROR(AVERAGE(_xlfn._xlws.FILTER(Q$2:Q$1073,($C$2:$C$1073=$C631)*($E$2:$E$1073=$E631)*(ROW(Q$2:Q$1073)&lt;&gt;ROW(Q631))*(Q$2:Q$1073&lt;&gt;""))),"")</f>
        <v>0.26156752075221612</v>
      </c>
      <c r="X631" cm="1">
        <f t="array" ref="X631">IFERROR(AVERAGE(_xlfn._xlws.FILTER(R$2:R$1073,($C$2:$C$1073=$C631)*($E$2:$E$1073=$E631)*(ROW(R$2:R$1073)&lt;&gt;ROW(R631))*(R$2:R$1073&lt;&gt;""))),"")</f>
        <v>9.6830410579929804E-2</v>
      </c>
      <c r="Y631" cm="1">
        <f t="array" ref="Y631">IFERROR(AVERAGE(_xlfn._xlws.FILTER(S$2:S$1073,($C$2:$C$1073=$C631)*($E$2:$E$1073=$E631)*(ROW(S$2:S$1073)&lt;&gt;ROW(S631))*(S$2:S$1073&lt;&gt;""))),"")</f>
        <v>1.7199758573549004</v>
      </c>
      <c r="Z631" cm="1">
        <f t="array" ref="Z631">IFERROR(AVERAGE(_xlfn._xlws.FILTER(T$2:T$1073,($C$2:$C$1073=$C631)*($E$2:$E$1073=$E631)*(ROW(T$2:T$1073)&lt;&gt;ROW(T631))*(T$2:T$1073&lt;&gt;""))),"")</f>
        <v>6.7482119215201988E-2</v>
      </c>
      <c r="AA631" cm="1">
        <f t="array" ref="AA631">IFERROR(AVERAGE(_xlfn._xlws.FILTER(U$2:U$1073,($C$2:$C$1073=$C631)*($E$2:$E$1073=$E631)*(ROW(U$2:U$1073)&lt;&gt;ROW(U631))*(U$2:U$1073&lt;&gt;""))),"")</f>
        <v>-10.291341252885539</v>
      </c>
    </row>
    <row r="632" spans="1:27" x14ac:dyDescent="0.2">
      <c r="A632" s="7" t="s">
        <v>2258</v>
      </c>
      <c r="B632" t="str">
        <f t="shared" si="101"/>
        <v>OZPH IV кв. 2019</v>
      </c>
      <c r="C632">
        <v>2019</v>
      </c>
      <c r="D632">
        <f>SUMIFS(Дивиденды!$C:$C,Дивиденды!$A:$A,A632,Дивиденды!$I:$I,C632)</f>
        <v>0</v>
      </c>
      <c r="E632">
        <v>4</v>
      </c>
      <c r="F632">
        <f t="shared" si="102"/>
        <v>0</v>
      </c>
      <c r="G632">
        <f t="shared" si="103"/>
        <v>24.398571428571426</v>
      </c>
      <c r="H632">
        <f t="shared" si="104"/>
        <v>0</v>
      </c>
      <c r="I632">
        <f t="shared" si="111"/>
        <v>0.21428571428571427</v>
      </c>
      <c r="J632">
        <f t="shared" si="105"/>
        <v>0</v>
      </c>
      <c r="K632">
        <f t="shared" si="109"/>
        <v>0.10876410731109194</v>
      </c>
      <c r="L632">
        <f t="shared" si="106"/>
        <v>0</v>
      </c>
      <c r="M632">
        <f t="shared" si="110"/>
        <v>0.21428571428571427</v>
      </c>
      <c r="N632">
        <f t="shared" si="107"/>
        <v>0</v>
      </c>
      <c r="O632">
        <f t="shared" si="108"/>
        <v>0</v>
      </c>
      <c r="P632" t="str">
        <f>IFERROR(LN('Дивиденды по годам'!I632),"")</f>
        <v/>
      </c>
      <c r="Q632" t="str">
        <f>IFERROR('Дивиденды по годам'!G632/'Дивиденды по годам'!I632, "")</f>
        <v/>
      </c>
      <c r="R632" t="str">
        <f>IFERROR(IF(AND('Дивиденды по годам'!N632&lt;&gt;"",'Дивиденды по годам'!U632&lt;&gt;"",'Дивиденды по годам'!U632&lt;&gt;0),'Дивиденды по годам'!N632/'Дивиденды по годам'!U632-1,""),"")</f>
        <v/>
      </c>
      <c r="S632" t="str">
        <f>IFERROR(IF(AND('Дивиденды по годам'!L632&lt;&gt;"",'Дивиденды по годам'!I632&lt;&gt;"",'Дивиденды по годам'!J632&lt;&gt;"",'Дивиденды по годам'!K632&lt;&gt;"",('Дивиденды по годам'!I632-'Дивиденды по годам'!J632-'Дивиденды по годам'!K632)&lt;&gt;0),'Дивиденды по годам'!L632/('Дивиденды по годам'!I632-'Дивиденды по годам'!J632-'Дивиденды по годам'!K632),""),"")</f>
        <v/>
      </c>
      <c r="T632" t="str">
        <f>IFERROR(IF(AND('Дивиденды по годам'!Q632&lt;&gt;"",'Дивиденды по годам'!I632&lt;&gt;"",'Дивиденды по годам'!V632&lt;&gt;"",('Дивиденды по годам'!I632+'Дивиденды по годам'!V632)&lt;&gt;0),'Дивиденды по годам'!Q632/(('Дивиденды по годам'!I632+'Дивиденды по годам'!V632)/2),""),"")</f>
        <v/>
      </c>
      <c r="U632" t="str">
        <f>IFERROR(IF(AND('Дивиденды по годам'!J632&lt;&gt;"",'Дивиденды по годам'!K632&lt;&gt;"",'Дивиденды по годам'!M632&lt;&gt;"",'Дивиденды по годам'!M632&lt;&gt;0),('Дивиденды по годам'!J632+'Дивиденды по годам'!K632)/'Дивиденды по годам'!M632,""),"")</f>
        <v/>
      </c>
      <c r="V632" cm="1">
        <f t="array" ref="V632">IFERROR(AVERAGE(_xlfn._xlws.FILTER(P$2:P$1073,($C$2:$C$1073=$C632)*($E$2:$E$1073=$E632)*(ROW(P$2:P$1073)&lt;&gt;ROW(P632))*(P$2:P$1073&lt;&gt;""))),"")</f>
        <v>25.116045651461882</v>
      </c>
      <c r="W632" cm="1">
        <f t="array" ref="W632">IFERROR(AVERAGE(_xlfn._xlws.FILTER(Q$2:Q$1073,($C$2:$C$1073=$C632)*($E$2:$E$1073=$E632)*(ROW(Q$2:Q$1073)&lt;&gt;ROW(Q632))*(Q$2:Q$1073&lt;&gt;""))),"")</f>
        <v>0.27081451761564085</v>
      </c>
      <c r="X632" cm="1">
        <f t="array" ref="X632">IFERROR(AVERAGE(_xlfn._xlws.FILTER(R$2:R$1073,($C$2:$C$1073=$C632)*($E$2:$E$1073=$E632)*(ROW(R$2:R$1073)&lt;&gt;ROW(R632))*(R$2:R$1073&lt;&gt;""))),"")</f>
        <v>0.41255485917491075</v>
      </c>
      <c r="Y632" cm="1">
        <f t="array" ref="Y632">IFERROR(AVERAGE(_xlfn._xlws.FILTER(S$2:S$1073,($C$2:$C$1073=$C632)*($E$2:$E$1073=$E632)*(ROW(S$2:S$1073)&lt;&gt;ROW(S632))*(S$2:S$1073&lt;&gt;""))),"")</f>
        <v>0.89707160002220321</v>
      </c>
      <c r="Z632" cm="1">
        <f t="array" ref="Z632">IFERROR(AVERAGE(_xlfn._xlws.FILTER(T$2:T$1073,($C$2:$C$1073=$C632)*($E$2:$E$1073=$E632)*(ROW(T$2:T$1073)&lt;&gt;ROW(T632))*(T$2:T$1073&lt;&gt;""))),"")</f>
        <v>4.8479450567785541E-2</v>
      </c>
      <c r="AA632" cm="1">
        <f t="array" ref="AA632">IFERROR(AVERAGE(_xlfn._xlws.FILTER(U$2:U$1073,($C$2:$C$1073=$C632)*($E$2:$E$1073=$E632)*(ROW(U$2:U$1073)&lt;&gt;ROW(U632))*(U$2:U$1073&lt;&gt;""))),"")</f>
        <v>-2.6443211935212805</v>
      </c>
    </row>
    <row r="633" spans="1:27" x14ac:dyDescent="0.2">
      <c r="A633" s="7" t="s">
        <v>2258</v>
      </c>
      <c r="B633" t="str">
        <f t="shared" si="101"/>
        <v>OZPH IV кв. 2018</v>
      </c>
      <c r="C633">
        <v>2018</v>
      </c>
      <c r="D633">
        <f>SUMIFS(Дивиденды!$C:$C,Дивиденды!$A:$A,A633,Дивиденды!$I:$I,C633)</f>
        <v>0</v>
      </c>
      <c r="E633">
        <v>4</v>
      </c>
      <c r="F633">
        <f t="shared" si="102"/>
        <v>0</v>
      </c>
      <c r="G633">
        <f t="shared" si="103"/>
        <v>21.978571428571428</v>
      </c>
      <c r="H633">
        <f t="shared" si="104"/>
        <v>0</v>
      </c>
      <c r="I633">
        <f t="shared" si="111"/>
        <v>0.14285714285714285</v>
      </c>
      <c r="J633">
        <f t="shared" si="105"/>
        <v>0</v>
      </c>
      <c r="K633">
        <f t="shared" si="109"/>
        <v>-1.8223065562117002E-2</v>
      </c>
      <c r="L633">
        <f t="shared" si="106"/>
        <v>0</v>
      </c>
      <c r="M633">
        <f t="shared" si="110"/>
        <v>7.1428571428571425E-2</v>
      </c>
      <c r="N633">
        <f t="shared" si="107"/>
        <v>0</v>
      </c>
      <c r="O633">
        <f t="shared" si="108"/>
        <v>7.1428571428571425E-2</v>
      </c>
      <c r="P633" t="str">
        <f>IFERROR(LN('Дивиденды по годам'!I633),"")</f>
        <v/>
      </c>
      <c r="Q633" t="str">
        <f>IFERROR('Дивиденды по годам'!G633/'Дивиденды по годам'!I633, "")</f>
        <v/>
      </c>
      <c r="R633" t="str">
        <f>IFERROR(IF(AND('Дивиденды по годам'!N633&lt;&gt;"",'Дивиденды по годам'!U633&lt;&gt;"",'Дивиденды по годам'!U633&lt;&gt;0),'Дивиденды по годам'!N633/'Дивиденды по годам'!U633-1,""),"")</f>
        <v/>
      </c>
      <c r="S633" t="str">
        <f>IFERROR(IF(AND('Дивиденды по годам'!L633&lt;&gt;"",'Дивиденды по годам'!I633&lt;&gt;"",'Дивиденды по годам'!J633&lt;&gt;"",'Дивиденды по годам'!K633&lt;&gt;"",('Дивиденды по годам'!I633-'Дивиденды по годам'!J633-'Дивиденды по годам'!K633)&lt;&gt;0),'Дивиденды по годам'!L633/('Дивиденды по годам'!I633-'Дивиденды по годам'!J633-'Дивиденды по годам'!K633),""),"")</f>
        <v/>
      </c>
      <c r="T633" t="str">
        <f>IFERROR(IF(AND('Дивиденды по годам'!Q633&lt;&gt;"",'Дивиденды по годам'!I633&lt;&gt;"",'Дивиденды по годам'!V633&lt;&gt;"",('Дивиденды по годам'!I633+'Дивиденды по годам'!V633)&lt;&gt;0),'Дивиденды по годам'!Q633/(('Дивиденды по годам'!I633+'Дивиденды по годам'!V633)/2),""),"")</f>
        <v/>
      </c>
      <c r="U633" t="str">
        <f>IFERROR(IF(AND('Дивиденды по годам'!J633&lt;&gt;"",'Дивиденды по годам'!K633&lt;&gt;"",'Дивиденды по годам'!M633&lt;&gt;"",'Дивиденды по годам'!M633&lt;&gt;0),('Дивиденды по годам'!J633+'Дивиденды по годам'!K633)/'Дивиденды по годам'!M633,""),"")</f>
        <v/>
      </c>
      <c r="V633" cm="1">
        <f t="array" ref="V633">IFERROR(AVERAGE(_xlfn._xlws.FILTER(P$2:P$1073,($C$2:$C$1073=$C633)*($E$2:$E$1073=$E633)*(ROW(P$2:P$1073)&lt;&gt;ROW(P633))*(P$2:P$1073&lt;&gt;""))),"")</f>
        <v>24.908270704496481</v>
      </c>
      <c r="W633" cm="1">
        <f t="array" ref="W633">IFERROR(AVERAGE(_xlfn._xlws.FILTER(Q$2:Q$1073,($C$2:$C$1073=$C633)*($E$2:$E$1073=$E633)*(ROW(Q$2:Q$1073)&lt;&gt;ROW(Q633))*(Q$2:Q$1073&lt;&gt;""))),"")</f>
        <v>0.31629947227527405</v>
      </c>
      <c r="X633" cm="1">
        <f t="array" ref="X633">IFERROR(AVERAGE(_xlfn._xlws.FILTER(R$2:R$1073,($C$2:$C$1073=$C633)*($E$2:$E$1073=$E633)*(ROW(R$2:R$1073)&lt;&gt;ROW(R633))*(R$2:R$1073&lt;&gt;""))),"")</f>
        <v>5.6638288450543382E-2</v>
      </c>
      <c r="Y633" cm="1">
        <f t="array" ref="Y633">IFERROR(AVERAGE(_xlfn._xlws.FILTER(S$2:S$1073,($C$2:$C$1073=$C633)*($E$2:$E$1073=$E633)*(ROW(S$2:S$1073)&lt;&gt;ROW(S633))*(S$2:S$1073&lt;&gt;""))),"")</f>
        <v>0.64427650310006845</v>
      </c>
      <c r="Z633" cm="1">
        <f t="array" ref="Z633">IFERROR(AVERAGE(_xlfn._xlws.FILTER(T$2:T$1073,($C$2:$C$1073=$C633)*($E$2:$E$1073=$E633)*(ROW(T$2:T$1073)&lt;&gt;ROW(T633))*(T$2:T$1073&lt;&gt;""))),"")</f>
        <v>7.1418821660913928E-3</v>
      </c>
      <c r="AA633" cm="1">
        <f t="array" ref="AA633">IFERROR(AVERAGE(_xlfn._xlws.FILTER(U$2:U$1073,($C$2:$C$1073=$C633)*($E$2:$E$1073=$E633)*(ROW(U$2:U$1073)&lt;&gt;ROW(U633))*(U$2:U$1073&lt;&gt;""))),"")</f>
        <v>1.0767813683356515</v>
      </c>
    </row>
    <row r="634" spans="1:27" x14ac:dyDescent="0.2">
      <c r="A634" s="7" t="s">
        <v>2258</v>
      </c>
      <c r="B634" t="str">
        <f t="shared" si="101"/>
        <v>OZPH IV кв. 2017</v>
      </c>
      <c r="C634">
        <v>2017</v>
      </c>
      <c r="D634">
        <f>SUMIFS(Дивиденды!$C:$C,Дивиденды!$A:$A,A634,Дивиденды!$I:$I,C634)</f>
        <v>0</v>
      </c>
      <c r="E634">
        <v>4</v>
      </c>
      <c r="F634">
        <f t="shared" si="102"/>
        <v>0</v>
      </c>
      <c r="G634">
        <f t="shared" si="103"/>
        <v>18.403571428571428</v>
      </c>
      <c r="H634">
        <f t="shared" si="104"/>
        <v>0</v>
      </c>
      <c r="I634">
        <f t="shared" si="111"/>
        <v>0.14285714285714285</v>
      </c>
      <c r="J634">
        <f t="shared" si="105"/>
        <v>0</v>
      </c>
      <c r="K634">
        <f t="shared" si="109"/>
        <v>-1.7352821773673279E-2</v>
      </c>
      <c r="L634">
        <f t="shared" si="106"/>
        <v>0</v>
      </c>
      <c r="M634">
        <f t="shared" si="110"/>
        <v>0</v>
      </c>
      <c r="N634">
        <f t="shared" si="107"/>
        <v>0</v>
      </c>
      <c r="O634">
        <f t="shared" si="108"/>
        <v>0.14285714285714285</v>
      </c>
      <c r="P634" t="str">
        <f>IFERROR(LN('Дивиденды по годам'!I634),"")</f>
        <v/>
      </c>
      <c r="Q634" t="str">
        <f>IFERROR('Дивиденды по годам'!G634/'Дивиденды по годам'!I634, "")</f>
        <v/>
      </c>
      <c r="R634" t="str">
        <f>IFERROR(IF(AND('Дивиденды по годам'!N634&lt;&gt;"",'Дивиденды по годам'!U634&lt;&gt;"",'Дивиденды по годам'!U634&lt;&gt;0),'Дивиденды по годам'!N634/'Дивиденды по годам'!U634-1,""),"")</f>
        <v/>
      </c>
      <c r="S634" t="str">
        <f>IFERROR(IF(AND('Дивиденды по годам'!L634&lt;&gt;"",'Дивиденды по годам'!I634&lt;&gt;"",'Дивиденды по годам'!J634&lt;&gt;"",'Дивиденды по годам'!K634&lt;&gt;"",('Дивиденды по годам'!I634-'Дивиденды по годам'!J634-'Дивиденды по годам'!K634)&lt;&gt;0),'Дивиденды по годам'!L634/('Дивиденды по годам'!I634-'Дивиденды по годам'!J634-'Дивиденды по годам'!K634),""),"")</f>
        <v/>
      </c>
      <c r="T634" t="str">
        <f>IFERROR(IF(AND('Дивиденды по годам'!Q634&lt;&gt;"",'Дивиденды по годам'!I634&lt;&gt;"",'Дивиденды по годам'!V634&lt;&gt;"",('Дивиденды по годам'!I634+'Дивиденды по годам'!V634)&lt;&gt;0),'Дивиденды по годам'!Q634/(('Дивиденды по годам'!I634+'Дивиденды по годам'!V634)/2),""),"")</f>
        <v/>
      </c>
      <c r="U634" t="str">
        <f>IFERROR(IF(AND('Дивиденды по годам'!J634&lt;&gt;"",'Дивиденды по годам'!K634&lt;&gt;"",'Дивиденды по годам'!M634&lt;&gt;"",'Дивиденды по годам'!M634&lt;&gt;0),('Дивиденды по годам'!J634+'Дивиденды по годам'!K634)/'Дивиденды по годам'!M634,""),"")</f>
        <v/>
      </c>
      <c r="V634" cm="1">
        <f t="array" ref="V634">IFERROR(AVERAGE(_xlfn._xlws.FILTER(P$2:P$1073,($C$2:$C$1073=$C634)*($E$2:$E$1073=$E634)*(ROW(P$2:P$1073)&lt;&gt;ROW(P634))*(P$2:P$1073&lt;&gt;""))),"")</f>
        <v>24.73571056544559</v>
      </c>
      <c r="W634" cm="1">
        <f t="array" ref="W634">IFERROR(AVERAGE(_xlfn._xlws.FILTER(Q$2:Q$1073,($C$2:$C$1073=$C634)*($E$2:$E$1073=$E634)*(ROW(Q$2:Q$1073)&lt;&gt;ROW(Q634))*(Q$2:Q$1073&lt;&gt;""))),"")</f>
        <v>0.33981210980429821</v>
      </c>
      <c r="X634" cm="1">
        <f t="array" ref="X634">IFERROR(AVERAGE(_xlfn._xlws.FILTER(R$2:R$1073,($C$2:$C$1073=$C634)*($E$2:$E$1073=$E634)*(ROW(R$2:R$1073)&lt;&gt;ROW(R634))*(R$2:R$1073&lt;&gt;""))),"")</f>
        <v>0.23691718521625563</v>
      </c>
      <c r="Y634" cm="1">
        <f t="array" ref="Y634">IFERROR(AVERAGE(_xlfn._xlws.FILTER(S$2:S$1073,($C$2:$C$1073=$C634)*($E$2:$E$1073=$E634)*(ROW(S$2:S$1073)&lt;&gt;ROW(S634))*(S$2:S$1073&lt;&gt;""))),"")</f>
        <v>0.61774629406594017</v>
      </c>
      <c r="Z634" cm="1">
        <f t="array" ref="Z634">IFERROR(AVERAGE(_xlfn._xlws.FILTER(T$2:T$1073,($C$2:$C$1073=$C634)*($E$2:$E$1073=$E634)*(ROW(T$2:T$1073)&lt;&gt;ROW(T634))*(T$2:T$1073&lt;&gt;""))),"")</f>
        <v>-2.7044382152168867E-2</v>
      </c>
      <c r="AA634" cm="1">
        <f t="array" ref="AA634">IFERROR(AVERAGE(_xlfn._xlws.FILTER(U$2:U$1073,($C$2:$C$1073=$C634)*($E$2:$E$1073=$E634)*(ROW(U$2:U$1073)&lt;&gt;ROW(U634))*(U$2:U$1073&lt;&gt;""))),"")</f>
        <v>0.62620703107195774</v>
      </c>
    </row>
    <row r="635" spans="1:27" x14ac:dyDescent="0.2">
      <c r="A635" s="7" t="s">
        <v>2258</v>
      </c>
      <c r="B635" t="str">
        <f t="shared" si="101"/>
        <v>OZPH IV кв. 2016</v>
      </c>
      <c r="C635">
        <v>2016</v>
      </c>
      <c r="D635">
        <f>SUMIFS(Дивиденды!$C:$C,Дивиденды!$A:$A,A635,Дивиденды!$I:$I,C635)</f>
        <v>0</v>
      </c>
      <c r="E635">
        <v>4</v>
      </c>
      <c r="F635">
        <f t="shared" si="102"/>
        <v>0</v>
      </c>
      <c r="G635">
        <f t="shared" si="103"/>
        <v>20.421428571428571</v>
      </c>
      <c r="H635">
        <f t="shared" si="104"/>
        <v>0</v>
      </c>
      <c r="I635">
        <f t="shared" si="111"/>
        <v>0.14285714285714285</v>
      </c>
      <c r="J635">
        <f t="shared" si="105"/>
        <v>0</v>
      </c>
      <c r="K635">
        <f t="shared" si="109"/>
        <v>2.0593461763560781E-2</v>
      </c>
      <c r="L635">
        <f t="shared" si="106"/>
        <v>0</v>
      </c>
      <c r="M635">
        <f t="shared" si="110"/>
        <v>7.1428571428571425E-2</v>
      </c>
      <c r="N635">
        <f t="shared" si="107"/>
        <v>0</v>
      </c>
      <c r="O635">
        <f t="shared" si="108"/>
        <v>7.1428571428571425E-2</v>
      </c>
      <c r="P635" t="str">
        <f>IFERROR(LN('Дивиденды по годам'!I635),"")</f>
        <v/>
      </c>
      <c r="Q635" t="str">
        <f>IFERROR('Дивиденды по годам'!G635/'Дивиденды по годам'!I635, "")</f>
        <v/>
      </c>
      <c r="R635" t="str">
        <f>IFERROR(IF(AND('Дивиденды по годам'!N635&lt;&gt;"",'Дивиденды по годам'!U635&lt;&gt;"",'Дивиденды по годам'!U635&lt;&gt;0),'Дивиденды по годам'!N635/'Дивиденды по годам'!U635-1,""),"")</f>
        <v/>
      </c>
      <c r="S635" t="str">
        <f>IFERROR(IF(AND('Дивиденды по годам'!L635&lt;&gt;"",'Дивиденды по годам'!I635&lt;&gt;"",'Дивиденды по годам'!J635&lt;&gt;"",'Дивиденды по годам'!K635&lt;&gt;"",('Дивиденды по годам'!I635-'Дивиденды по годам'!J635-'Дивиденды по годам'!K635)&lt;&gt;0),'Дивиденды по годам'!L635/('Дивиденды по годам'!I635-'Дивиденды по годам'!J635-'Дивиденды по годам'!K635),""),"")</f>
        <v/>
      </c>
      <c r="T635" t="str">
        <f>IFERROR(IF(AND('Дивиденды по годам'!Q635&lt;&gt;"",'Дивиденды по годам'!I635&lt;&gt;"",'Дивиденды по годам'!V635&lt;&gt;"",('Дивиденды по годам'!I635+'Дивиденды по годам'!V635)&lt;&gt;0),'Дивиденды по годам'!Q635/(('Дивиденды по годам'!I635+'Дивиденды по годам'!V635)/2),""),"")</f>
        <v/>
      </c>
      <c r="U635" t="str">
        <f>IFERROR(IF(AND('Дивиденды по годам'!J635&lt;&gt;"",'Дивиденды по годам'!K635&lt;&gt;"",'Дивиденды по годам'!M635&lt;&gt;"",'Дивиденды по годам'!M635&lt;&gt;0),('Дивиденды по годам'!J635+'Дивиденды по годам'!K635)/'Дивиденды по годам'!M635,""),"")</f>
        <v/>
      </c>
      <c r="V635" cm="1">
        <f t="array" ref="V635">IFERROR(AVERAGE(_xlfn._xlws.FILTER(P$2:P$1073,($C$2:$C$1073=$C635)*($E$2:$E$1073=$E635)*(ROW(P$2:P$1073)&lt;&gt;ROW(P635))*(P$2:P$1073&lt;&gt;""))),"")</f>
        <v>24.55530958635584</v>
      </c>
      <c r="W635" cm="1">
        <f t="array" ref="W635">IFERROR(AVERAGE(_xlfn._xlws.FILTER(Q$2:Q$1073,($C$2:$C$1073=$C635)*($E$2:$E$1073=$E635)*(ROW(Q$2:Q$1073)&lt;&gt;ROW(Q635))*(Q$2:Q$1073&lt;&gt;""))),"")</f>
        <v>0.27878606899788128</v>
      </c>
      <c r="X635" cm="1">
        <f t="array" ref="X635">IFERROR(AVERAGE(_xlfn._xlws.FILTER(R$2:R$1073,($C$2:$C$1073=$C635)*($E$2:$E$1073=$E635)*(ROW(R$2:R$1073)&lt;&gt;ROW(R635))*(R$2:R$1073&lt;&gt;""))),"")</f>
        <v>0.16612325919082049</v>
      </c>
      <c r="Y635" cm="1">
        <f t="array" ref="Y635">IFERROR(AVERAGE(_xlfn._xlws.FILTER(S$2:S$1073,($C$2:$C$1073=$C635)*($E$2:$E$1073=$E635)*(ROW(S$2:S$1073)&lt;&gt;ROW(S635))*(S$2:S$1073&lt;&gt;""))),"")</f>
        <v>6.2178681719613929</v>
      </c>
      <c r="Z635" cm="1">
        <f t="array" ref="Z635">IFERROR(AVERAGE(_xlfn._xlws.FILTER(T$2:T$1073,($C$2:$C$1073=$C635)*($E$2:$E$1073=$E635)*(ROW(T$2:T$1073)&lt;&gt;ROW(T635))*(T$2:T$1073&lt;&gt;""))),"")</f>
        <v>-2.007011623977166E-2</v>
      </c>
      <c r="AA635" cm="1">
        <f t="array" ref="AA635">IFERROR(AVERAGE(_xlfn._xlws.FILTER(U$2:U$1073,($C$2:$C$1073=$C635)*($E$2:$E$1073=$E635)*(ROW(U$2:U$1073)&lt;&gt;ROW(U635))*(U$2:U$1073&lt;&gt;""))),"")</f>
        <v>-16.044507701133888</v>
      </c>
    </row>
    <row r="636" spans="1:27" x14ac:dyDescent="0.2">
      <c r="A636" s="7" t="s">
        <v>2258</v>
      </c>
      <c r="B636" t="str">
        <f t="shared" si="101"/>
        <v>OZPH IV кв. 2015</v>
      </c>
      <c r="C636">
        <v>2015</v>
      </c>
      <c r="D636">
        <f>SUMIFS(Дивиденды!$C:$C,Дивиденды!$A:$A,A636,Дивиденды!$I:$I,C636)</f>
        <v>0</v>
      </c>
      <c r="E636">
        <v>4</v>
      </c>
      <c r="F636">
        <f t="shared" si="102"/>
        <v>0</v>
      </c>
      <c r="G636">
        <f t="shared" si="103"/>
        <v>22.574999999999999</v>
      </c>
      <c r="H636">
        <f t="shared" si="104"/>
        <v>0</v>
      </c>
      <c r="I636">
        <f t="shared" si="111"/>
        <v>0.14285714285714285</v>
      </c>
      <c r="J636">
        <f t="shared" si="105"/>
        <v>0</v>
      </c>
      <c r="K636">
        <f t="shared" si="109"/>
        <v>6.1102189263868886E-2</v>
      </c>
      <c r="L636">
        <f t="shared" si="106"/>
        <v>0</v>
      </c>
      <c r="M636">
        <f t="shared" si="110"/>
        <v>7.1428571428571425E-2</v>
      </c>
      <c r="N636">
        <f t="shared" si="107"/>
        <v>0</v>
      </c>
      <c r="O636">
        <f t="shared" si="108"/>
        <v>7.1428571428571425E-2</v>
      </c>
      <c r="P636" t="str">
        <f>IFERROR(LN('Дивиденды по годам'!I636),"")</f>
        <v/>
      </c>
      <c r="Q636" t="str">
        <f>IFERROR('Дивиденды по годам'!G636/'Дивиденды по годам'!I636, "")</f>
        <v/>
      </c>
      <c r="R636" t="str">
        <f>IFERROR(IF(AND('Дивиденды по годам'!N636&lt;&gt;"",'Дивиденды по годам'!U636&lt;&gt;"",'Дивиденды по годам'!U636&lt;&gt;0),'Дивиденды по годам'!N636/'Дивиденды по годам'!U636-1,""),"")</f>
        <v/>
      </c>
      <c r="S636" t="str">
        <f>IFERROR(IF(AND('Дивиденды по годам'!L636&lt;&gt;"",'Дивиденды по годам'!I636&lt;&gt;"",'Дивиденды по годам'!J636&lt;&gt;"",'Дивиденды по годам'!K636&lt;&gt;"",('Дивиденды по годам'!I636-'Дивиденды по годам'!J636-'Дивиденды по годам'!K636)&lt;&gt;0),'Дивиденды по годам'!L636/('Дивиденды по годам'!I636-'Дивиденды по годам'!J636-'Дивиденды по годам'!K636),""),"")</f>
        <v/>
      </c>
      <c r="T636" t="str">
        <f>IFERROR(IF(AND('Дивиденды по годам'!Q636&lt;&gt;"",'Дивиденды по годам'!I636&lt;&gt;"",'Дивиденды по годам'!V636&lt;&gt;"",('Дивиденды по годам'!I636+'Дивиденды по годам'!V636)&lt;&gt;0),'Дивиденды по годам'!Q636/(('Дивиденды по годам'!I636+'Дивиденды по годам'!V636)/2),""),"")</f>
        <v/>
      </c>
      <c r="U636" t="str">
        <f>IFERROR(IF(AND('Дивиденды по годам'!J636&lt;&gt;"",'Дивиденды по годам'!K636&lt;&gt;"",'Дивиденды по годам'!M636&lt;&gt;"",'Дивиденды по годам'!M636&lt;&gt;0),('Дивиденды по годам'!J636+'Дивиденды по годам'!K636)/'Дивиденды по годам'!M636,""),"")</f>
        <v/>
      </c>
      <c r="V636" cm="1">
        <f t="array" ref="V636">IFERROR(AVERAGE(_xlfn._xlws.FILTER(P$2:P$1073,($C$2:$C$1073=$C636)*($E$2:$E$1073=$E636)*(ROW(P$2:P$1073)&lt;&gt;ROW(P636))*(P$2:P$1073&lt;&gt;""))),"")</f>
        <v>24.784857390248948</v>
      </c>
      <c r="W636" cm="1">
        <f t="array" ref="W636">IFERROR(AVERAGE(_xlfn._xlws.FILTER(Q$2:Q$1073,($C$2:$C$1073=$C636)*($E$2:$E$1073=$E636)*(ROW(Q$2:Q$1073)&lt;&gt;ROW(Q636))*(Q$2:Q$1073&lt;&gt;""))),"")</f>
        <v>0.29707306985497267</v>
      </c>
      <c r="X636" cm="1">
        <f t="array" ref="X636">IFERROR(AVERAGE(_xlfn._xlws.FILTER(R$2:R$1073,($C$2:$C$1073=$C636)*($E$2:$E$1073=$E636)*(ROW(R$2:R$1073)&lt;&gt;ROW(R636))*(R$2:R$1073&lt;&gt;""))),"")</f>
        <v>0.20074687596566593</v>
      </c>
      <c r="Y636" cm="1">
        <f t="array" ref="Y636">IFERROR(AVERAGE(_xlfn._xlws.FILTER(S$2:S$1073,($C$2:$C$1073=$C636)*($E$2:$E$1073=$E636)*(ROW(S$2:S$1073)&lt;&gt;ROW(S636))*(S$2:S$1073&lt;&gt;""))),"")</f>
        <v>-0.60736862679830428</v>
      </c>
      <c r="Z636" cm="1">
        <f t="array" ref="Z636">IFERROR(AVERAGE(_xlfn._xlws.FILTER(T$2:T$1073,($C$2:$C$1073=$C636)*($E$2:$E$1073=$E636)*(ROW(T$2:T$1073)&lt;&gt;ROW(T636))*(T$2:T$1073&lt;&gt;""))),"")</f>
        <v>6.4031956193225284E-2</v>
      </c>
      <c r="AA636" cm="1">
        <f t="array" ref="AA636">IFERROR(AVERAGE(_xlfn._xlws.FILTER(U$2:U$1073,($C$2:$C$1073=$C636)*($E$2:$E$1073=$E636)*(ROW(U$2:U$1073)&lt;&gt;ROW(U636))*(U$2:U$1073&lt;&gt;""))),"")</f>
        <v>5.5189604575277329</v>
      </c>
    </row>
    <row r="637" spans="1:27" x14ac:dyDescent="0.2">
      <c r="A637" s="7" t="s">
        <v>2258</v>
      </c>
      <c r="B637" t="str">
        <f t="shared" si="101"/>
        <v>OZPH IV кв. 2014</v>
      </c>
      <c r="C637">
        <v>2014</v>
      </c>
      <c r="D637">
        <f>SUMIFS(Дивиденды!$C:$C,Дивиденды!$A:$A,A637,Дивиденды!$I:$I,C637)</f>
        <v>0</v>
      </c>
      <c r="E637">
        <v>4</v>
      </c>
      <c r="F637">
        <f t="shared" si="102"/>
        <v>0</v>
      </c>
      <c r="G637">
        <f t="shared" si="103"/>
        <v>25.924285714285713</v>
      </c>
      <c r="H637">
        <f t="shared" si="104"/>
        <v>0</v>
      </c>
      <c r="I637">
        <f t="shared" si="111"/>
        <v>7.1428571428571425E-2</v>
      </c>
      <c r="J637">
        <f t="shared" si="105"/>
        <v>0</v>
      </c>
      <c r="K637">
        <f t="shared" si="109"/>
        <v>4.887635107293415E-2</v>
      </c>
      <c r="L637">
        <f t="shared" si="106"/>
        <v>0</v>
      </c>
      <c r="M637">
        <f t="shared" si="110"/>
        <v>7.1428571428571425E-2</v>
      </c>
      <c r="N637">
        <f t="shared" si="107"/>
        <v>0</v>
      </c>
      <c r="O637">
        <f t="shared" si="108"/>
        <v>7.1428571428571425E-2</v>
      </c>
      <c r="P637" t="str">
        <f>IFERROR(LN('Дивиденды по годам'!I637),"")</f>
        <v/>
      </c>
      <c r="Q637" t="str">
        <f>IFERROR('Дивиденды по годам'!G637/'Дивиденды по годам'!I637, "")</f>
        <v/>
      </c>
      <c r="R637" t="str">
        <f>IFERROR(IF(AND('Дивиденды по годам'!N637&lt;&gt;"",'Дивиденды по годам'!U637&lt;&gt;"",'Дивиденды по годам'!U637&lt;&gt;0),'Дивиденды по годам'!N637/'Дивиденды по годам'!U637-1,""),"")</f>
        <v/>
      </c>
      <c r="S637" t="str">
        <f>IFERROR(IF(AND('Дивиденды по годам'!L637&lt;&gt;"",'Дивиденды по годам'!I637&lt;&gt;"",'Дивиденды по годам'!J637&lt;&gt;"",'Дивиденды по годам'!K637&lt;&gt;"",('Дивиденды по годам'!I637-'Дивиденды по годам'!J637-'Дивиденды по годам'!K637)&lt;&gt;0),'Дивиденды по годам'!L637/('Дивиденды по годам'!I637-'Дивиденды по годам'!J637-'Дивиденды по годам'!K637),""),"")</f>
        <v/>
      </c>
      <c r="T637" t="str">
        <f>IFERROR(IF(AND('Дивиденды по годам'!Q637&lt;&gt;"",'Дивиденды по годам'!I637&lt;&gt;"",'Дивиденды по годам'!V637&lt;&gt;"",('Дивиденды по годам'!I637+'Дивиденды по годам'!V637)&lt;&gt;0),'Дивиденды по годам'!Q637/(('Дивиденды по годам'!I637+'Дивиденды по годам'!V637)/2),""),"")</f>
        <v/>
      </c>
      <c r="U637" t="str">
        <f>IFERROR(IF(AND('Дивиденды по годам'!J637&lt;&gt;"",'Дивиденды по годам'!K637&lt;&gt;"",'Дивиденды по годам'!M637&lt;&gt;"",'Дивиденды по годам'!M637&lt;&gt;0),('Дивиденды по годам'!J637+'Дивиденды по годам'!K637)/'Дивиденды по годам'!M637,""),"")</f>
        <v/>
      </c>
      <c r="V637" cm="1">
        <f t="array" ref="V637">IFERROR(AVERAGE(_xlfn._xlws.FILTER(P$2:P$1073,($C$2:$C$1073=$C637)*($E$2:$E$1073=$E637)*(ROW(P$2:P$1073)&lt;&gt;ROW(P637))*(P$2:P$1073&lt;&gt;""))),"")</f>
        <v>24.777851287837404</v>
      </c>
      <c r="W637" cm="1">
        <f t="array" ref="W637">IFERROR(AVERAGE(_xlfn._xlws.FILTER(Q$2:Q$1073,($C$2:$C$1073=$C637)*($E$2:$E$1073=$E637)*(ROW(Q$2:Q$1073)&lt;&gt;ROW(Q637))*(Q$2:Q$1073&lt;&gt;""))),"")</f>
        <v>0.28994951624266957</v>
      </c>
      <c r="X637" cm="1">
        <f t="array" ref="X637">IFERROR(AVERAGE(_xlfn._xlws.FILTER(R$2:R$1073,($C$2:$C$1073=$C637)*($E$2:$E$1073=$E637)*(ROW(R$2:R$1073)&lt;&gt;ROW(R637))*(R$2:R$1073&lt;&gt;""))),"")</f>
        <v>8.5517195784799244E-2</v>
      </c>
      <c r="Y637" cm="1">
        <f t="array" ref="Y637">IFERROR(AVERAGE(_xlfn._xlws.FILTER(S$2:S$1073,($C$2:$C$1073=$C637)*($E$2:$E$1073=$E637)*(ROW(S$2:S$1073)&lt;&gt;ROW(S637))*(S$2:S$1073&lt;&gt;""))),"")</f>
        <v>-8.9932559622525012</v>
      </c>
      <c r="Z637" cm="1">
        <f t="array" ref="Z637">IFERROR(AVERAGE(_xlfn._xlws.FILTER(T$2:T$1073,($C$2:$C$1073=$C637)*($E$2:$E$1073=$E637)*(ROW(T$2:T$1073)&lt;&gt;ROW(T637))*(T$2:T$1073&lt;&gt;""))),"")</f>
        <v>3.4958573241250623E-2</v>
      </c>
      <c r="AA637" cm="1">
        <f t="array" ref="AA637">IFERROR(AVERAGE(_xlfn._xlws.FILTER(U$2:U$1073,($C$2:$C$1073=$C637)*($E$2:$E$1073=$E637)*(ROW(U$2:U$1073)&lt;&gt;ROW(U637))*(U$2:U$1073&lt;&gt;""))),"")</f>
        <v>34.444280572958768</v>
      </c>
    </row>
    <row r="638" spans="1:27" x14ac:dyDescent="0.2">
      <c r="A638" s="7" t="s">
        <v>2258</v>
      </c>
      <c r="B638" t="str">
        <f t="shared" si="101"/>
        <v>OZPH IV кв. 2013</v>
      </c>
      <c r="C638">
        <v>2013</v>
      </c>
      <c r="D638">
        <f>SUMIFS(Дивиденды!$C:$C,Дивиденды!$A:$A,A638,Дивиденды!$I:$I,C638)</f>
        <v>0</v>
      </c>
      <c r="E638">
        <v>4</v>
      </c>
      <c r="F638">
        <f t="shared" si="102"/>
        <v>0</v>
      </c>
      <c r="G638">
        <f t="shared" si="103"/>
        <v>13.409285714285716</v>
      </c>
      <c r="H638">
        <f t="shared" si="104"/>
        <v>0</v>
      </c>
      <c r="I638">
        <f t="shared" si="111"/>
        <v>0.14285714285714285</v>
      </c>
      <c r="J638">
        <f t="shared" si="105"/>
        <v>0</v>
      </c>
      <c r="K638">
        <f t="shared" si="109"/>
        <v>4.7291245939064024E-2</v>
      </c>
      <c r="L638">
        <f t="shared" si="106"/>
        <v>0</v>
      </c>
      <c r="M638">
        <f t="shared" si="110"/>
        <v>7.1428571428571425E-2</v>
      </c>
      <c r="N638">
        <f t="shared" si="107"/>
        <v>0</v>
      </c>
      <c r="O638">
        <f t="shared" si="108"/>
        <v>0</v>
      </c>
      <c r="P638" t="str">
        <f>IFERROR(LN('Дивиденды по годам'!I638),"")</f>
        <v/>
      </c>
      <c r="Q638" t="str">
        <f>IFERROR('Дивиденды по годам'!G638/'Дивиденды по годам'!I638, "")</f>
        <v/>
      </c>
      <c r="R638" t="str">
        <f>IFERROR(IF(AND('Дивиденды по годам'!N638&lt;&gt;"",'Дивиденды по годам'!U638&lt;&gt;"",'Дивиденды по годам'!U638&lt;&gt;0),'Дивиденды по годам'!N638/'Дивиденды по годам'!U638-1,""),"")</f>
        <v/>
      </c>
      <c r="S638" t="str">
        <f>IFERROR(IF(AND('Дивиденды по годам'!L638&lt;&gt;"",'Дивиденды по годам'!I638&lt;&gt;"",'Дивиденды по годам'!J638&lt;&gt;"",'Дивиденды по годам'!K638&lt;&gt;"",('Дивиденды по годам'!I638-'Дивиденды по годам'!J638-'Дивиденды по годам'!K638)&lt;&gt;0),'Дивиденды по годам'!L638/('Дивиденды по годам'!I638-'Дивиденды по годам'!J638-'Дивиденды по годам'!K638),""),"")</f>
        <v/>
      </c>
      <c r="T638" t="str">
        <f>IFERROR(IF(AND('Дивиденды по годам'!Q638&lt;&gt;"",'Дивиденды по годам'!I638&lt;&gt;"",'Дивиденды по годам'!V638&lt;&gt;"",('Дивиденды по годам'!I638+'Дивиденды по годам'!V638)&lt;&gt;0),'Дивиденды по годам'!Q638/(('Дивиденды по годам'!I638+'Дивиденды по годам'!V638)/2),""),"")</f>
        <v/>
      </c>
      <c r="U638" t="str">
        <f>IFERROR(IF(AND('Дивиденды по годам'!J638&lt;&gt;"",'Дивиденды по годам'!K638&lt;&gt;"",'Дивиденды по годам'!M638&lt;&gt;"",'Дивиденды по годам'!M638&lt;&gt;0),('Дивиденды по годам'!J638+'Дивиденды по годам'!K638)/'Дивиденды по годам'!M638,""),"")</f>
        <v/>
      </c>
      <c r="V638" cm="1">
        <f t="array" ref="V638">IFERROR(AVERAGE(_xlfn._xlws.FILTER(P$2:P$1073,($C$2:$C$1073=$C638)*($E$2:$E$1073=$E638)*(ROW(P$2:P$1073)&lt;&gt;ROW(P638))*(P$2:P$1073&lt;&gt;""))),"")</f>
        <v>24.281308125321722</v>
      </c>
      <c r="W638" cm="1">
        <f t="array" ref="W638">IFERROR(AVERAGE(_xlfn._xlws.FILTER(Q$2:Q$1073,($C$2:$C$1073=$C638)*($E$2:$E$1073=$E638)*(ROW(Q$2:Q$1073)&lt;&gt;ROW(Q638))*(Q$2:Q$1073&lt;&gt;""))),"")</f>
        <v>0.34809372453666254</v>
      </c>
      <c r="X638" cm="1">
        <f t="array" ref="X638">IFERROR(AVERAGE(_xlfn._xlws.FILTER(R$2:R$1073,($C$2:$C$1073=$C638)*($E$2:$E$1073=$E638)*(ROW(R$2:R$1073)&lt;&gt;ROW(R638))*(R$2:R$1073&lt;&gt;""))),"")</f>
        <v>0.17531341667142472</v>
      </c>
      <c r="Y638" t="str" cm="1">
        <f t="array" ref="Y638">IFERROR(AVERAGE(_xlfn._xlws.FILTER(S$2:S$1073,($C$2:$C$1073=$C638)*($E$2:$E$1073=$E638)*(ROW(S$2:S$1073)&lt;&gt;ROW(S638))*(S$2:S$1073&lt;&gt;""))),"")</f>
        <v/>
      </c>
      <c r="Z638" cm="1">
        <f t="array" ref="Z638">IFERROR(AVERAGE(_xlfn._xlws.FILTER(T$2:T$1073,($C$2:$C$1073=$C638)*($E$2:$E$1073=$E638)*(ROW(T$2:T$1073)&lt;&gt;ROW(T638))*(T$2:T$1073&lt;&gt;""))),"")</f>
        <v>-0.12490141563278262</v>
      </c>
      <c r="AA638" cm="1">
        <f t="array" ref="AA638">IFERROR(AVERAGE(_xlfn._xlws.FILTER(U$2:U$1073,($C$2:$C$1073=$C638)*($E$2:$E$1073=$E638)*(ROW(U$2:U$1073)&lt;&gt;ROW(U638))*(U$2:U$1073&lt;&gt;""))),"")</f>
        <v>0.44566877182826042</v>
      </c>
    </row>
    <row r="639" spans="1:27" x14ac:dyDescent="0.2">
      <c r="A639" s="7" t="s">
        <v>2258</v>
      </c>
      <c r="B639" t="str">
        <f t="shared" si="101"/>
        <v>OZPH IV кв. 2012</v>
      </c>
      <c r="C639">
        <v>2012</v>
      </c>
      <c r="D639">
        <f>SUMIFS(Дивиденды!$C:$C,Дивиденды!$A:$A,A639,Дивиденды!$I:$I,C639)</f>
        <v>0</v>
      </c>
      <c r="E639">
        <v>4</v>
      </c>
      <c r="F639">
        <f t="shared" si="102"/>
        <v>0</v>
      </c>
      <c r="G639">
        <f t="shared" si="103"/>
        <v>9.5621428571428577</v>
      </c>
      <c r="H639">
        <f t="shared" si="104"/>
        <v>0</v>
      </c>
      <c r="I639">
        <f t="shared" si="111"/>
        <v>0.14285714285714285</v>
      </c>
      <c r="J639">
        <f t="shared" si="105"/>
        <v>0</v>
      </c>
      <c r="K639">
        <f t="shared" si="109"/>
        <v>0.25341100242975517</v>
      </c>
      <c r="L639">
        <f t="shared" si="106"/>
        <v>0</v>
      </c>
      <c r="M639">
        <f t="shared" si="110"/>
        <v>0.14285714285714285</v>
      </c>
      <c r="N639">
        <f t="shared" si="107"/>
        <v>0</v>
      </c>
      <c r="O639">
        <f t="shared" si="108"/>
        <v>0</v>
      </c>
      <c r="P639" t="str">
        <f>IFERROR(LN('Дивиденды по годам'!I639),"")</f>
        <v/>
      </c>
      <c r="Q639" t="str">
        <f>IFERROR('Дивиденды по годам'!G639/'Дивиденды по годам'!I639, "")</f>
        <v/>
      </c>
      <c r="R639" t="str">
        <f>IFERROR(IF(AND('Дивиденды по годам'!N639&lt;&gt;"",'Дивиденды по годам'!U639&lt;&gt;"",'Дивиденды по годам'!U639&lt;&gt;0),'Дивиденды по годам'!N639/'Дивиденды по годам'!U639-1,""),"")</f>
        <v/>
      </c>
      <c r="S639" t="str">
        <f>IFERROR(IF(AND('Дивиденды по годам'!L639&lt;&gt;"",'Дивиденды по годам'!I639&lt;&gt;"",'Дивиденды по годам'!J639&lt;&gt;"",'Дивиденды по годам'!K639&lt;&gt;"",('Дивиденды по годам'!I639-'Дивиденды по годам'!J639-'Дивиденды по годам'!K639)&lt;&gt;0),'Дивиденды по годам'!L639/('Дивиденды по годам'!I639-'Дивиденды по годам'!J639-'Дивиденды по годам'!K639),""),"")</f>
        <v/>
      </c>
      <c r="T639" t="str">
        <f>IFERROR(IF(AND('Дивиденды по годам'!Q639&lt;&gt;"",'Дивиденды по годам'!I639&lt;&gt;"",'Дивиденды по годам'!V639&lt;&gt;"",('Дивиденды по годам'!I639+'Дивиденды по годам'!V639)&lt;&gt;0),'Дивиденды по годам'!Q639/(('Дивиденды по годам'!I639+'Дивиденды по годам'!V639)/2),""),"")</f>
        <v/>
      </c>
      <c r="U639" t="str">
        <f>IFERROR(IF(AND('Дивиденды по годам'!J639&lt;&gt;"",'Дивиденды по годам'!K639&lt;&gt;"",'Дивиденды по годам'!M639&lt;&gt;"",'Дивиденды по годам'!M639&lt;&gt;0),('Дивиденды по годам'!J639+'Дивиденды по годам'!K639)/'Дивиденды по годам'!M639,""),"")</f>
        <v/>
      </c>
      <c r="V639" cm="1">
        <f t="array" ref="V639">IFERROR(AVERAGE(_xlfn._xlws.FILTER(P$2:P$1073,($C$2:$C$1073=$C639)*($E$2:$E$1073=$E639)*(ROW(P$2:P$1073)&lt;&gt;ROW(P639))*(P$2:P$1073&lt;&gt;""))),"")</f>
        <v>24.228370506718147</v>
      </c>
      <c r="W639" cm="1">
        <f t="array" ref="W639">IFERROR(AVERAGE(_xlfn._xlws.FILTER(Q$2:Q$1073,($C$2:$C$1073=$C639)*($E$2:$E$1073=$E639)*(ROW(Q$2:Q$1073)&lt;&gt;ROW(Q639))*(Q$2:Q$1073&lt;&gt;""))),"")</f>
        <v>0.2820560824162458</v>
      </c>
      <c r="X639" cm="1">
        <f t="array" ref="X639">IFERROR(AVERAGE(_xlfn._xlws.FILTER(R$2:R$1073,($C$2:$C$1073=$C639)*($E$2:$E$1073=$E639)*(ROW(R$2:R$1073)&lt;&gt;ROW(R639))*(R$2:R$1073&lt;&gt;""))),"")</f>
        <v>-2.2522357472477484E-2</v>
      </c>
      <c r="Y639" cm="1">
        <f t="array" ref="Y639">IFERROR(AVERAGE(_xlfn._xlws.FILTER(S$2:S$1073,($C$2:$C$1073=$C639)*($E$2:$E$1073=$E639)*(ROW(S$2:S$1073)&lt;&gt;ROW(S639))*(S$2:S$1073&lt;&gt;""))),"")</f>
        <v>-1.7651061513336963</v>
      </c>
      <c r="Z639" cm="1">
        <f t="array" ref="Z639">IFERROR(AVERAGE(_xlfn._xlws.FILTER(T$2:T$1073,($C$2:$C$1073=$C639)*($E$2:$E$1073=$E639)*(ROW(T$2:T$1073)&lt;&gt;ROW(T639))*(T$2:T$1073&lt;&gt;""))),"")</f>
        <v>6.8400459116201365E-2</v>
      </c>
      <c r="AA639" cm="1">
        <f t="array" ref="AA639">IFERROR(AVERAGE(_xlfn._xlws.FILTER(U$2:U$1073,($C$2:$C$1073=$C639)*($E$2:$E$1073=$E639)*(ROW(U$2:U$1073)&lt;&gt;ROW(U639))*(U$2:U$1073&lt;&gt;""))),"")</f>
        <v>-3.9631898894189463</v>
      </c>
    </row>
    <row r="640" spans="1:27" x14ac:dyDescent="0.2">
      <c r="A640" s="7" t="s">
        <v>2258</v>
      </c>
      <c r="B640" t="str">
        <f t="shared" si="101"/>
        <v>OZPH IV кв. 2011</v>
      </c>
      <c r="C640">
        <v>2011</v>
      </c>
      <c r="D640">
        <f>SUMIFS(Дивиденды!$C:$C,Дивиденды!$A:$A,A640,Дивиденды!$I:$I,C640)</f>
        <v>0</v>
      </c>
      <c r="E640">
        <v>4</v>
      </c>
      <c r="F640">
        <f t="shared" si="102"/>
        <v>0</v>
      </c>
      <c r="G640">
        <f t="shared" si="103"/>
        <v>1.6378571428571429</v>
      </c>
      <c r="H640">
        <f t="shared" si="104"/>
        <v>0</v>
      </c>
      <c r="I640">
        <f t="shared" si="111"/>
        <v>7.1428571428571425E-2</v>
      </c>
      <c r="J640">
        <f t="shared" si="105"/>
        <v>0</v>
      </c>
      <c r="K640">
        <f t="shared" si="109"/>
        <v>0.17786475320721892</v>
      </c>
      <c r="L640">
        <f t="shared" si="106"/>
        <v>0</v>
      </c>
      <c r="M640">
        <f t="shared" si="110"/>
        <v>7.1428571428571425E-2</v>
      </c>
      <c r="N640">
        <f t="shared" si="107"/>
        <v>0</v>
      </c>
      <c r="O640">
        <f t="shared" si="108"/>
        <v>0</v>
      </c>
      <c r="P640" t="str">
        <f>IFERROR(LN('Дивиденды по годам'!I640),"")</f>
        <v/>
      </c>
      <c r="Q640" t="str">
        <f>IFERROR('Дивиденды по годам'!G640/'Дивиденды по годам'!I640, "")</f>
        <v/>
      </c>
      <c r="R640" t="str">
        <f>IFERROR(IF(AND('Дивиденды по годам'!N640&lt;&gt;"",'Дивиденды по годам'!U640&lt;&gt;"",'Дивиденды по годам'!U640&lt;&gt;0),'Дивиденды по годам'!N640/'Дивиденды по годам'!U640-1,""),"")</f>
        <v/>
      </c>
      <c r="S640" t="str">
        <f>IFERROR(IF(AND('Дивиденды по годам'!L640&lt;&gt;"",'Дивиденды по годам'!I640&lt;&gt;"",'Дивиденды по годам'!J640&lt;&gt;"",'Дивиденды по годам'!K640&lt;&gt;"",('Дивиденды по годам'!I640-'Дивиденды по годам'!J640-'Дивиденды по годам'!K640)&lt;&gt;0),'Дивиденды по годам'!L640/('Дивиденды по годам'!I640-'Дивиденды по годам'!J640-'Дивиденды по годам'!K640),""),"")</f>
        <v/>
      </c>
      <c r="T640" t="str">
        <f>IFERROR(IF(AND('Дивиденды по годам'!Q640&lt;&gt;"",'Дивиденды по годам'!I640&lt;&gt;"",'Дивиденды по годам'!V640&lt;&gt;"",('Дивиденды по годам'!I640+'Дивиденды по годам'!V640)&lt;&gt;0),'Дивиденды по годам'!Q640/(('Дивиденды по годам'!I640+'Дивиденды по годам'!V640)/2),""),"")</f>
        <v/>
      </c>
      <c r="U640" t="str">
        <f>IFERROR(IF(AND('Дивиденды по годам'!J640&lt;&gt;"",'Дивиденды по годам'!K640&lt;&gt;"",'Дивиденды по годам'!M640&lt;&gt;"",'Дивиденды по годам'!M640&lt;&gt;0),('Дивиденды по годам'!J640+'Дивиденды по годам'!K640)/'Дивиденды по годам'!M640,""),"")</f>
        <v/>
      </c>
      <c r="V640" cm="1">
        <f t="array" ref="V640">IFERROR(AVERAGE(_xlfn._xlws.FILTER(P$2:P$1073,($C$2:$C$1073=$C640)*($E$2:$E$1073=$E640)*(ROW(P$2:P$1073)&lt;&gt;ROW(P640))*(P$2:P$1073&lt;&gt;""))),"")</f>
        <v>24.180789108496477</v>
      </c>
      <c r="W640" cm="1">
        <f t="array" ref="W640">IFERROR(AVERAGE(_xlfn._xlws.FILTER(Q$2:Q$1073,($C$2:$C$1073=$C640)*($E$2:$E$1073=$E640)*(ROW(Q$2:Q$1073)&lt;&gt;ROW(Q640))*(Q$2:Q$1073&lt;&gt;""))),"")</f>
        <v>0.29604752502083465</v>
      </c>
      <c r="X640" cm="1">
        <f t="array" ref="X640">IFERROR(AVERAGE(_xlfn._xlws.FILTER(R$2:R$1073,($C$2:$C$1073=$C640)*($E$2:$E$1073=$E640)*(ROW(R$2:R$1073)&lt;&gt;ROW(R640))*(R$2:R$1073&lt;&gt;""))),"")</f>
        <v>5.9511017560386792E-2</v>
      </c>
      <c r="Y640" t="str" cm="1">
        <f t="array" ref="Y640">IFERROR(AVERAGE(_xlfn._xlws.FILTER(S$2:S$1073,($C$2:$C$1073=$C640)*($E$2:$E$1073=$E640)*(ROW(S$2:S$1073)&lt;&gt;ROW(S640))*(S$2:S$1073&lt;&gt;""))),"")</f>
        <v/>
      </c>
      <c r="Z640" cm="1">
        <f t="array" ref="Z640">IFERROR(AVERAGE(_xlfn._xlws.FILTER(T$2:T$1073,($C$2:$C$1073=$C640)*($E$2:$E$1073=$E640)*(ROW(T$2:T$1073)&lt;&gt;ROW(T640))*(T$2:T$1073&lt;&gt;""))),"")</f>
        <v>-1.4171101286470289E-2</v>
      </c>
      <c r="AA640" cm="1">
        <f t="array" ref="AA640">IFERROR(AVERAGE(_xlfn._xlws.FILTER(U$2:U$1073,($C$2:$C$1073=$C640)*($E$2:$E$1073=$E640)*(ROW(U$2:U$1073)&lt;&gt;ROW(U640))*(U$2:U$1073&lt;&gt;""))),"")</f>
        <v>2.1854574410792247</v>
      </c>
    </row>
    <row r="641" spans="1:27" x14ac:dyDescent="0.2">
      <c r="A641" s="7" t="s">
        <v>2258</v>
      </c>
      <c r="B641" t="str">
        <f t="shared" si="101"/>
        <v>OZPH IV кв. 2010</v>
      </c>
      <c r="C641">
        <v>2010</v>
      </c>
      <c r="D641">
        <f>SUMIFS(Дивиденды!$C:$C,Дивиденды!$A:$A,A641,Дивиденды!$I:$I,C641)</f>
        <v>0</v>
      </c>
      <c r="E641">
        <v>4</v>
      </c>
      <c r="F641">
        <f t="shared" si="102"/>
        <v>0</v>
      </c>
      <c r="G641">
        <f t="shared" si="103"/>
        <v>0.46928571428571431</v>
      </c>
      <c r="H641">
        <f t="shared" si="104"/>
        <v>0</v>
      </c>
      <c r="I641">
        <f t="shared" si="111"/>
        <v>7.1428571428571425E-2</v>
      </c>
      <c r="J641" t="str">
        <f t="shared" si="105"/>
        <v/>
      </c>
      <c r="K641" t="str">
        <f t="shared" si="109"/>
        <v/>
      </c>
      <c r="L641" t="str">
        <f t="shared" si="106"/>
        <v/>
      </c>
      <c r="M641" t="str">
        <f t="shared" si="110"/>
        <v/>
      </c>
      <c r="N641" t="str">
        <f t="shared" si="107"/>
        <v/>
      </c>
      <c r="O641" t="str">
        <f t="shared" si="108"/>
        <v/>
      </c>
      <c r="P641" t="str">
        <f>IFERROR(LN('Дивиденды по годам'!I641),"")</f>
        <v/>
      </c>
      <c r="Q641" t="str">
        <f>IFERROR('Дивиденды по годам'!G641/'Дивиденды по годам'!I641, "")</f>
        <v/>
      </c>
      <c r="R641" t="str">
        <f>IFERROR(IF(AND('Дивиденды по годам'!N641&lt;&gt;"",'Дивиденды по годам'!U641&lt;&gt;"",'Дивиденды по годам'!U641&lt;&gt;0),'Дивиденды по годам'!N641/'Дивиденды по годам'!U641-1,""),"")</f>
        <v/>
      </c>
      <c r="S641" t="str">
        <f>IFERROR(IF(AND('Дивиденды по годам'!L641&lt;&gt;"",'Дивиденды по годам'!I641&lt;&gt;"",'Дивиденды по годам'!J641&lt;&gt;"",'Дивиденды по годам'!K641&lt;&gt;"",('Дивиденды по годам'!I641-'Дивиденды по годам'!J641-'Дивиденды по годам'!K641)&lt;&gt;0),'Дивиденды по годам'!L641/('Дивиденды по годам'!I641-'Дивиденды по годам'!J641-'Дивиденды по годам'!K641),""),"")</f>
        <v/>
      </c>
      <c r="T641" t="str">
        <f>IFERROR(IF(AND('Дивиденды по годам'!Q641&lt;&gt;"",'Дивиденды по годам'!I641&lt;&gt;"",'Дивиденды по годам'!V641&lt;&gt;"",('Дивиденды по годам'!I641+'Дивиденды по годам'!V641)&lt;&gt;0),'Дивиденды по годам'!Q641/(('Дивиденды по годам'!I641+'Дивиденды по годам'!V641)/2),""),"")</f>
        <v/>
      </c>
      <c r="U641" t="str">
        <f>IFERROR(IF(AND('Дивиденды по годам'!J641&lt;&gt;"",'Дивиденды по годам'!K641&lt;&gt;"",'Дивиденды по годам'!M641&lt;&gt;"",'Дивиденды по годам'!M641&lt;&gt;0),('Дивиденды по годам'!J641+'Дивиденды по годам'!K641)/'Дивиденды по годам'!M641,""),"")</f>
        <v/>
      </c>
      <c r="V641" cm="1">
        <f t="array" ref="V641">IFERROR(AVERAGE(_xlfn._xlws.FILTER(P$2:P$1073,($C$2:$C$1073=$C641)*($E$2:$E$1073=$E641)*(ROW(P$2:P$1073)&lt;&gt;ROW(P641))*(P$2:P$1073&lt;&gt;""))),"")</f>
        <v>23.656010386255485</v>
      </c>
      <c r="W641" cm="1">
        <f t="array" ref="W641">IFERROR(AVERAGE(_xlfn._xlws.FILTER(Q$2:Q$1073,($C$2:$C$1073=$C641)*($E$2:$E$1073=$E641)*(ROW(Q$2:Q$1073)&lt;&gt;ROW(Q641))*(Q$2:Q$1073&lt;&gt;""))),"")</f>
        <v>0.15222241747474585</v>
      </c>
      <c r="X641" t="str" cm="1">
        <f t="array" ref="X641">IFERROR(AVERAGE(_xlfn._xlws.FILTER(R$2:R$1073,($C$2:$C$1073=$C641)*($E$2:$E$1073=$E641)*(ROW(R$2:R$1073)&lt;&gt;ROW(R641))*(R$2:R$1073&lt;&gt;""))),"")</f>
        <v/>
      </c>
      <c r="Y641" t="str" cm="1">
        <f t="array" ref="Y641">IFERROR(AVERAGE(_xlfn._xlws.FILTER(S$2:S$1073,($C$2:$C$1073=$C641)*($E$2:$E$1073=$E641)*(ROW(S$2:S$1073)&lt;&gt;ROW(S641))*(S$2:S$1073&lt;&gt;""))),"")</f>
        <v/>
      </c>
      <c r="Z641" t="str" cm="1">
        <f t="array" ref="Z641">IFERROR(AVERAGE(_xlfn._xlws.FILTER(T$2:T$1073,($C$2:$C$1073=$C641)*($E$2:$E$1073=$E641)*(ROW(T$2:T$1073)&lt;&gt;ROW(T641))*(T$2:T$1073&lt;&gt;""))),"")</f>
        <v/>
      </c>
      <c r="AA641" cm="1">
        <f t="array" ref="AA641">IFERROR(AVERAGE(_xlfn._xlws.FILTER(U$2:U$1073,($C$2:$C$1073=$C641)*($E$2:$E$1073=$E641)*(ROW(U$2:U$1073)&lt;&gt;ROW(U641))*(U$2:U$1073&lt;&gt;""))),"")</f>
        <v>2.8988498110700496</v>
      </c>
    </row>
    <row r="642" spans="1:27" x14ac:dyDescent="0.2">
      <c r="A642" s="7" t="s">
        <v>2319</v>
      </c>
      <c r="B642" t="str">
        <f t="shared" si="101"/>
        <v>PRMD IV кв. 2025</v>
      </c>
      <c r="C642">
        <v>2025</v>
      </c>
      <c r="D642">
        <f>SUMIFS(Дивиденды!$C:$C,Дивиденды!$A:$A,A642,Дивиденды!$I:$I,C642)</f>
        <v>0</v>
      </c>
      <c r="E642">
        <v>4</v>
      </c>
      <c r="F642">
        <f t="shared" si="102"/>
        <v>0</v>
      </c>
      <c r="G642">
        <f t="shared" si="103"/>
        <v>31.581428571428571</v>
      </c>
      <c r="H642">
        <f t="shared" si="104"/>
        <v>0</v>
      </c>
      <c r="I642">
        <f t="shared" si="111"/>
        <v>0.42857142857142855</v>
      </c>
      <c r="J642">
        <f t="shared" si="105"/>
        <v>0</v>
      </c>
      <c r="K642">
        <f t="shared" si="109"/>
        <v>-0.1825263432406963</v>
      </c>
      <c r="L642">
        <f t="shared" si="106"/>
        <v>0</v>
      </c>
      <c r="M642">
        <f t="shared" si="110"/>
        <v>0.14285714285714285</v>
      </c>
      <c r="N642">
        <f t="shared" si="107"/>
        <v>0</v>
      </c>
      <c r="O642">
        <f t="shared" si="108"/>
        <v>0.5</v>
      </c>
      <c r="P642" t="str">
        <f>IFERROR(LN('Дивиденды по годам'!I642),"")</f>
        <v/>
      </c>
      <c r="Q642" t="str">
        <f>IFERROR('Дивиденды по годам'!G642/'Дивиденды по годам'!I642, "")</f>
        <v/>
      </c>
      <c r="R642" t="str">
        <f>IFERROR(IF(AND('Дивиденды по годам'!N642&lt;&gt;"",'Дивиденды по годам'!U642&lt;&gt;"",'Дивиденды по годам'!U642&lt;&gt;0),'Дивиденды по годам'!N642/'Дивиденды по годам'!U642-1,""),"")</f>
        <v/>
      </c>
      <c r="S642" t="str">
        <f>IFERROR(IF(AND('Дивиденды по годам'!L642&lt;&gt;"",'Дивиденды по годам'!I642&lt;&gt;"",'Дивиденды по годам'!J642&lt;&gt;"",'Дивиденды по годам'!K642&lt;&gt;"",('Дивиденды по годам'!I642-'Дивиденды по годам'!J642-'Дивиденды по годам'!K642)&lt;&gt;0),'Дивиденды по годам'!L642/('Дивиденды по годам'!I642-'Дивиденды по годам'!J642-'Дивиденды по годам'!K642),""),"")</f>
        <v/>
      </c>
      <c r="T642" t="str">
        <f>IFERROR(IF(AND('Дивиденды по годам'!Q642&lt;&gt;"",'Дивиденды по годам'!I642&lt;&gt;"",'Дивиденды по годам'!V642&lt;&gt;"",('Дивиденды по годам'!I642+'Дивиденды по годам'!V642)&lt;&gt;0),'Дивиденды по годам'!Q642/(('Дивиденды по годам'!I642+'Дивиденды по годам'!V642)/2),""),"")</f>
        <v/>
      </c>
      <c r="U642" t="str">
        <f>IFERROR(IF(AND('Дивиденды по годам'!J642&lt;&gt;"",'Дивиденды по годам'!K642&lt;&gt;"",'Дивиденды по годам'!M642&lt;&gt;"",'Дивиденды по годам'!M642&lt;&gt;0),('Дивиденды по годам'!J642+'Дивиденды по годам'!K642)/'Дивиденды по годам'!M642,""),"")</f>
        <v/>
      </c>
      <c r="V642" cm="1">
        <f t="array" ref="V642">IFERROR(AVERAGE(_xlfn._xlws.FILTER(P$2:P$1073,($C$2:$C$1073=$C642)*($E$2:$E$1073=$E642)*(ROW(P$2:P$1073)&lt;&gt;ROW(P642))*(P$2:P$1073&lt;&gt;""))),"")</f>
        <v>26.183512711155618</v>
      </c>
      <c r="W642" cm="1">
        <f t="array" ref="W642">IFERROR(AVERAGE(_xlfn._xlws.FILTER(Q$2:Q$1073,($C$2:$C$1073=$C642)*($E$2:$E$1073=$E642)*(ROW(Q$2:Q$1073)&lt;&gt;ROW(Q642))*(Q$2:Q$1073&lt;&gt;""))),"")</f>
        <v>0.42364014522274984</v>
      </c>
      <c r="X642" cm="1">
        <f t="array" ref="X642">IFERROR(AVERAGE(_xlfn._xlws.FILTER(R$2:R$1073,($C$2:$C$1073=$C642)*($E$2:$E$1073=$E642)*(ROW(R$2:R$1073)&lt;&gt;ROW(R642))*(R$2:R$1073&lt;&gt;""))),"")</f>
        <v>6.6096126428947105E-2</v>
      </c>
      <c r="Y642" cm="1">
        <f t="array" ref="Y642">IFERROR(AVERAGE(_xlfn._xlws.FILTER(S$2:S$1073,($C$2:$C$1073=$C642)*($E$2:$E$1073=$E642)*(ROW(S$2:S$1073)&lt;&gt;ROW(S642))*(S$2:S$1073&lt;&gt;""))),"")</f>
        <v>0.94174952343815033</v>
      </c>
      <c r="Z642" cm="1">
        <f t="array" ref="Z642">IFERROR(AVERAGE(_xlfn._xlws.FILTER(T$2:T$1073,($C$2:$C$1073=$C642)*($E$2:$E$1073=$E642)*(ROW(T$2:T$1073)&lt;&gt;ROW(T642))*(T$2:T$1073&lt;&gt;""))),"")</f>
        <v>1.3107153079830167E-2</v>
      </c>
      <c r="AA642" cm="1">
        <f t="array" ref="AA642">IFERROR(AVERAGE(_xlfn._xlws.FILTER(U$2:U$1073,($C$2:$C$1073=$C642)*($E$2:$E$1073=$E642)*(ROW(U$2:U$1073)&lt;&gt;ROW(U642))*(U$2:U$1073&lt;&gt;""))),"")</f>
        <v>6.2968354519658218</v>
      </c>
    </row>
    <row r="643" spans="1:27" x14ac:dyDescent="0.2">
      <c r="A643" s="7" t="s">
        <v>2319</v>
      </c>
      <c r="B643" t="str">
        <f t="shared" ref="B643:B706" si="112">A643&amp;" "&amp;
"IV"
&amp;" кв. "&amp;C643</f>
        <v>PRMD IV кв. 2024</v>
      </c>
      <c r="C643">
        <v>2024</v>
      </c>
      <c r="D643">
        <f>SUMIFS(Дивиденды!$C:$C,Дивиденды!$A:$A,A643,Дивиденды!$I:$I,C643)</f>
        <v>0</v>
      </c>
      <c r="E643">
        <v>4</v>
      </c>
      <c r="F643">
        <f t="shared" ref="F643:F706" si="113">D643</f>
        <v>0</v>
      </c>
      <c r="G643">
        <f t="shared" ref="G643:G706" si="114">AVERAGEIFS($D:$D,$E:$E,E643,$C:$C,C643,$A:$A,"&lt;&gt;"&amp;A643)</f>
        <v>62.511428571428574</v>
      </c>
      <c r="H643">
        <f t="shared" ref="H643:H706" si="115">IF(D643&gt;0,1,0)</f>
        <v>0</v>
      </c>
      <c r="I643">
        <f t="shared" si="111"/>
        <v>0.5714285714285714</v>
      </c>
      <c r="J643">
        <f t="shared" ref="J643:J706" si="116">IF(A644&lt;&gt;A643,"",IF(D643=D644,0,IF(AND(D644=0,D643&lt;&gt;0), 1,(D643-D644)/D644)))</f>
        <v>0</v>
      </c>
      <c r="K643">
        <f t="shared" si="109"/>
        <v>0.21145574536348383</v>
      </c>
      <c r="L643">
        <f t="shared" ref="L643:L706" si="117">IF(J643&lt;&gt;"",IF(J643&gt;0,1,0),"")</f>
        <v>0</v>
      </c>
      <c r="M643">
        <f t="shared" si="110"/>
        <v>0.35714285714285715</v>
      </c>
      <c r="N643">
        <f t="shared" ref="N643:N706" si="118">IF(J643&lt;&gt;"",IF(J643&lt;0,1,0),"")</f>
        <v>0</v>
      </c>
      <c r="O643">
        <f t="shared" ref="O643:O706" si="119">IFERROR(AVERAGEIFS($N:$N,$E:$E,E643,$C:$C,C643,$A:$A,"&lt;&gt;"&amp;A643),"")</f>
        <v>0.2857142857142857</v>
      </c>
      <c r="P643">
        <f>IFERROR(LN('Дивиденды по годам'!I643),"")</f>
        <v>24.695540990125256</v>
      </c>
      <c r="Q643">
        <f>IFERROR('Дивиденды по годам'!G643/'Дивиденды по годам'!I643, "")</f>
        <v>0.30327295910066537</v>
      </c>
      <c r="R643">
        <f>IFERROR(IF(AND('Дивиденды по годам'!N643&lt;&gt;"",'Дивиденды по годам'!U643&lt;&gt;"",'Дивиденды по годам'!U643&lt;&gt;0),'Дивиденды по годам'!N643/'Дивиденды по годам'!U643-1,""),"")</f>
        <v>0.35389974352401454</v>
      </c>
      <c r="S643">
        <f>IFERROR(IF(AND('Дивиденды по годам'!L643&lt;&gt;"",'Дивиденды по годам'!I643&lt;&gt;"",'Дивиденды по годам'!J643&lt;&gt;"",'Дивиденды по годам'!K643&lt;&gt;"",('Дивиденды по годам'!I643-'Дивиденды по годам'!J643-'Дивиденды по годам'!K643)&lt;&gt;0),'Дивиденды по годам'!L643/('Дивиденды по годам'!I643-'Дивиденды по годам'!J643-'Дивиденды по годам'!K643),""),"")</f>
        <v>0.79723652580125004</v>
      </c>
      <c r="T643">
        <f>IFERROR(IF(AND('Дивиденды по годам'!Q643&lt;&gt;"",'Дивиденды по годам'!I643&lt;&gt;"",'Дивиденды по годам'!V643&lt;&gt;"",('Дивиденды по годам'!I643+'Дивиденды по годам'!V643)&lt;&gt;0),'Дивиденды по годам'!Q643/(('Дивиденды по годам'!I643+'Дивиденды по годам'!V643)/2),""),"")</f>
        <v>6.5409843057219655E-2</v>
      </c>
      <c r="U643">
        <f>IFERROR(IF(AND('Дивиденды по годам'!J643&lt;&gt;"",'Дивиденды по годам'!K643&lt;&gt;"",'Дивиденды по годам'!M643&lt;&gt;"",'Дивиденды по годам'!M643&lt;&gt;0),('Дивиденды по годам'!J643+'Дивиденды по годам'!K643)/'Дивиденды по годам'!M643,""),"")</f>
        <v>1.7024892315618518</v>
      </c>
      <c r="V643" cm="1">
        <f t="array" ref="V643">IFERROR(AVERAGE(_xlfn._xlws.FILTER(P$2:P$1073,($C$2:$C$1073=$C643)*($E$2:$E$1073=$E643)*(ROW(P$2:P$1073)&lt;&gt;ROW(P643))*(P$2:P$1073&lt;&gt;""))),"")</f>
        <v>25.626890765540718</v>
      </c>
      <c r="W643" cm="1">
        <f t="array" ref="W643">IFERROR(AVERAGE(_xlfn._xlws.FILTER(Q$2:Q$1073,($C$2:$C$1073=$C643)*($E$2:$E$1073=$E643)*(ROW(Q$2:Q$1073)&lt;&gt;ROW(Q643))*(Q$2:Q$1073&lt;&gt;""))),"")</f>
        <v>0.26004237922853157</v>
      </c>
      <c r="X643" cm="1">
        <f t="array" ref="X643">IFERROR(AVERAGE(_xlfn._xlws.FILTER(R$2:R$1073,($C$2:$C$1073=$C643)*($E$2:$E$1073=$E643)*(ROW(R$2:R$1073)&lt;&gt;ROW(R643))*(R$2:R$1073&lt;&gt;""))),"")</f>
        <v>0.25914833843695434</v>
      </c>
      <c r="Y643" cm="1">
        <f t="array" ref="Y643">IFERROR(AVERAGE(_xlfn._xlws.FILTER(S$2:S$1073,($C$2:$C$1073=$C643)*($E$2:$E$1073=$E643)*(ROW(S$2:S$1073)&lt;&gt;ROW(S643))*(S$2:S$1073&lt;&gt;""))),"")</f>
        <v>1.1977552601969479</v>
      </c>
      <c r="Z643" cm="1">
        <f t="array" ref="Z643">IFERROR(AVERAGE(_xlfn._xlws.FILTER(T$2:T$1073,($C$2:$C$1073=$C643)*($E$2:$E$1073=$E643)*(ROW(T$2:T$1073)&lt;&gt;ROW(T643))*(T$2:T$1073&lt;&gt;""))),"")</f>
        <v>7.3494623805268416E-2</v>
      </c>
      <c r="AA643" cm="1">
        <f t="array" ref="AA643">IFERROR(AVERAGE(_xlfn._xlws.FILTER(U$2:U$1073,($C$2:$C$1073=$C643)*($E$2:$E$1073=$E643)*(ROW(U$2:U$1073)&lt;&gt;ROW(U643))*(U$2:U$1073&lt;&gt;""))),"")</f>
        <v>4.1542484165422309</v>
      </c>
    </row>
    <row r="644" spans="1:27" x14ac:dyDescent="0.2">
      <c r="A644" s="7" t="s">
        <v>2319</v>
      </c>
      <c r="B644" t="str">
        <f t="shared" si="112"/>
        <v>PRMD IV кв. 2023</v>
      </c>
      <c r="C644">
        <v>2023</v>
      </c>
      <c r="D644">
        <f>SUMIFS(Дивиденды!$C:$C,Дивиденды!$A:$A,A644,Дивиденды!$I:$I,C644)</f>
        <v>0</v>
      </c>
      <c r="E644">
        <v>4</v>
      </c>
      <c r="F644">
        <f t="shared" si="113"/>
        <v>0</v>
      </c>
      <c r="G644">
        <f t="shared" si="114"/>
        <v>90.740000000000009</v>
      </c>
      <c r="H644">
        <f t="shared" si="115"/>
        <v>0</v>
      </c>
      <c r="I644">
        <f t="shared" si="111"/>
        <v>0.5</v>
      </c>
      <c r="J644">
        <f t="shared" si="116"/>
        <v>0</v>
      </c>
      <c r="K644">
        <f t="shared" ref="K644:K707" si="120">IFERROR(AVERAGEIFS($J:$J,$E:$E,E644,$C:$C,C644,$A:$A,"&lt;&gt;"&amp;A644),"")</f>
        <v>0.29812745098039217</v>
      </c>
      <c r="L644">
        <f t="shared" si="117"/>
        <v>0</v>
      </c>
      <c r="M644">
        <f t="shared" si="110"/>
        <v>0.42857142857142855</v>
      </c>
      <c r="N644">
        <f t="shared" si="118"/>
        <v>0</v>
      </c>
      <c r="O644">
        <f t="shared" si="119"/>
        <v>0</v>
      </c>
      <c r="P644">
        <f>IFERROR(LN('Дивиденды по годам'!I644),"")</f>
        <v>24.273507569012637</v>
      </c>
      <c r="Q644">
        <f>IFERROR('Дивиденды по годам'!G644/'Дивиденды по годам'!I644, "")</f>
        <v>0.37489141120887315</v>
      </c>
      <c r="R644">
        <f>IFERROR(IF(AND('Дивиденды по годам'!N644&lt;&gt;"",'Дивиденды по годам'!U644&lt;&gt;"",'Дивиденды по годам'!U644&lt;&gt;0),'Дивиденды по годам'!N644/'Дивиденды по годам'!U644-1,""),"")</f>
        <v>0.13393905886809288</v>
      </c>
      <c r="S644">
        <f>IFERROR(IF(AND('Дивиденды по годам'!L644&lt;&gt;"",'Дивиденды по годам'!I644&lt;&gt;"",'Дивиденды по годам'!J644&lt;&gt;"",'Дивиденды по годам'!K644&lt;&gt;"",('Дивиденды по годам'!I644-'Дивиденды по годам'!J644-'Дивиденды по годам'!K644)&lt;&gt;0),'Дивиденды по годам'!L644/('Дивиденды по годам'!I644-'Дивиденды по годам'!J644-'Дивиденды по годам'!K644),""),"")</f>
        <v>0.98218152617309895</v>
      </c>
      <c r="T644">
        <f>IFERROR(IF(AND('Дивиденды по годам'!Q644&lt;&gt;"",'Дивиденды по годам'!I644&lt;&gt;"",'Дивиденды по годам'!V644&lt;&gt;"",('Дивиденды по годам'!I644+'Дивиденды по годам'!V644)&lt;&gt;0),'Дивиденды по годам'!Q644/(('Дивиденды по годам'!I644+'Дивиденды по годам'!V644)/2),""),"")</f>
        <v>9.3742893950839956E-2</v>
      </c>
      <c r="U644">
        <f>IFERROR(IF(AND('Дивиденды по годам'!J644&lt;&gt;"",'Дивиденды по годам'!K644&lt;&gt;"",'Дивиденды по годам'!M644&lt;&gt;"",'Дивиденды по годам'!M644&lt;&gt;0),('Дивиденды по годам'!J644+'Дивиденды по годам'!K644)/'Дивиденды по годам'!M644,""),"")</f>
        <v>1.6776488891270953</v>
      </c>
      <c r="V644" cm="1">
        <f t="array" ref="V644">IFERROR(AVERAGE(_xlfn._xlws.FILTER(P$2:P$1073,($C$2:$C$1073=$C644)*($E$2:$E$1073=$E644)*(ROW(P$2:P$1073)&lt;&gt;ROW(P644))*(P$2:P$1073&lt;&gt;""))),"")</f>
        <v>25.445072968167729</v>
      </c>
      <c r="W644" cm="1">
        <f t="array" ref="W644">IFERROR(AVERAGE(_xlfn._xlws.FILTER(Q$2:Q$1073,($C$2:$C$1073=$C644)*($E$2:$E$1073=$E644)*(ROW(Q$2:Q$1073)&lt;&gt;ROW(Q644))*(Q$2:Q$1073&lt;&gt;""))),"")</f>
        <v>0.24149425592606169</v>
      </c>
      <c r="X644" cm="1">
        <f t="array" ref="X644">IFERROR(AVERAGE(_xlfn._xlws.FILTER(R$2:R$1073,($C$2:$C$1073=$C644)*($E$2:$E$1073=$E644)*(ROW(R$2:R$1073)&lt;&gt;ROW(R644))*(R$2:R$1073&lt;&gt;""))),"")</f>
        <v>0.25551107667586143</v>
      </c>
      <c r="Y644" cm="1">
        <f t="array" ref="Y644">IFERROR(AVERAGE(_xlfn._xlws.FILTER(S$2:S$1073,($C$2:$C$1073=$C644)*($E$2:$E$1073=$E644)*(ROW(S$2:S$1073)&lt;&gt;ROW(S644))*(S$2:S$1073&lt;&gt;""))),"")</f>
        <v>1.2648377639339075</v>
      </c>
      <c r="Z644" cm="1">
        <f t="array" ref="Z644">IFERROR(AVERAGE(_xlfn._xlws.FILTER(T$2:T$1073,($C$2:$C$1073=$C644)*($E$2:$E$1073=$E644)*(ROW(T$2:T$1073)&lt;&gt;ROW(T644))*(T$2:T$1073&lt;&gt;""))),"")</f>
        <v>0.11169241897614306</v>
      </c>
      <c r="AA644" cm="1">
        <f t="array" ref="AA644">IFERROR(AVERAGE(_xlfn._xlws.FILTER(U$2:U$1073,($C$2:$C$1073=$C644)*($E$2:$E$1073=$E644)*(ROW(U$2:U$1073)&lt;&gt;ROW(U644))*(U$2:U$1073&lt;&gt;""))),"")</f>
        <v>2.6524658321072279</v>
      </c>
    </row>
    <row r="645" spans="1:27" x14ac:dyDescent="0.2">
      <c r="A645" s="7" t="s">
        <v>2319</v>
      </c>
      <c r="B645" t="str">
        <f t="shared" si="112"/>
        <v>PRMD IV кв. 2022</v>
      </c>
      <c r="C645">
        <v>2022</v>
      </c>
      <c r="D645">
        <f>SUMIFS(Дивиденды!$C:$C,Дивиденды!$A:$A,A645,Дивиденды!$I:$I,C645)</f>
        <v>0</v>
      </c>
      <c r="E645">
        <v>4</v>
      </c>
      <c r="F645">
        <f t="shared" si="113"/>
        <v>0</v>
      </c>
      <c r="G645">
        <f t="shared" si="114"/>
        <v>80.180000000000021</v>
      </c>
      <c r="H645">
        <f t="shared" si="115"/>
        <v>0</v>
      </c>
      <c r="I645">
        <f t="shared" si="111"/>
        <v>0.2857142857142857</v>
      </c>
      <c r="J645">
        <f t="shared" si="116"/>
        <v>0</v>
      </c>
      <c r="K645">
        <f t="shared" si="120"/>
        <v>0.49583624512073399</v>
      </c>
      <c r="L645">
        <f t="shared" si="117"/>
        <v>0</v>
      </c>
      <c r="M645">
        <f t="shared" si="110"/>
        <v>0.2857142857142857</v>
      </c>
      <c r="N645">
        <f t="shared" si="118"/>
        <v>0</v>
      </c>
      <c r="O645">
        <f t="shared" si="119"/>
        <v>7.1428571428571425E-2</v>
      </c>
      <c r="P645">
        <f>IFERROR(LN('Дивиденды по годам'!I645),"")</f>
        <v>24.073793834811479</v>
      </c>
      <c r="Q645">
        <f>IFERROR('Дивиденды по годам'!G645/'Дивиденды по годам'!I645, "")</f>
        <v>0.34462579442086444</v>
      </c>
      <c r="R645">
        <f>IFERROR(IF(AND('Дивиденды по годам'!N645&lt;&gt;"",'Дивиденды по годам'!U645&lt;&gt;"",'Дивиденды по годам'!U645&lt;&gt;0),'Дивиденды по годам'!N645/'Дивиденды по годам'!U645-1,""),"")</f>
        <v>-0.14673195842225106</v>
      </c>
      <c r="S645">
        <f>IFERROR(IF(AND('Дивиденды по годам'!L645&lt;&gt;"",'Дивиденды по годам'!I645&lt;&gt;"",'Дивиденды по годам'!J645&lt;&gt;"",'Дивиденды по годам'!K645&lt;&gt;"",('Дивиденды по годам'!I645-'Дивиденды по годам'!J645-'Дивиденды по годам'!K645)&lt;&gt;0),'Дивиденды по годам'!L645/('Дивиденды по годам'!I645-'Дивиденды по годам'!J645-'Дивиденды по годам'!K645),""),"")</f>
        <v>0.98593369593329938</v>
      </c>
      <c r="T645">
        <f>IFERROR(IF(AND('Дивиденды по годам'!Q645&lt;&gt;"",'Дивиденды по годам'!I645&lt;&gt;"",'Дивиденды по годам'!V645&lt;&gt;"",('Дивиденды по годам'!I645+'Дивиденды по годам'!V645)&lt;&gt;0),'Дивиденды по годам'!Q645/(('Дивиденды по годам'!I645+'Дивиденды по годам'!V645)/2),""),"")</f>
        <v>0.17841960110211214</v>
      </c>
      <c r="U645">
        <f>IFERROR(IF(AND('Дивиденды по годам'!J645&lt;&gt;"",'Дивиденды по годам'!K645&lt;&gt;"",'Дивиденды по годам'!M645&lt;&gt;"",'Дивиденды по годам'!M645&lt;&gt;0),('Дивиденды по годам'!J645+'Дивиденды по годам'!K645)/'Дивиденды по годам'!M645,""),"")</f>
        <v>1.1834543335514405</v>
      </c>
      <c r="V645" cm="1">
        <f t="array" ref="V645">IFERROR(AVERAGE(_xlfn._xlws.FILTER(P$2:P$1073,($C$2:$C$1073=$C645)*($E$2:$E$1073=$E645)*(ROW(P$2:P$1073)&lt;&gt;ROW(P645))*(P$2:P$1073&lt;&gt;""))),"")</f>
        <v>25.366874670276331</v>
      </c>
      <c r="W645" cm="1">
        <f t="array" ref="W645">IFERROR(AVERAGE(_xlfn._xlws.FILTER(Q$2:Q$1073,($C$2:$C$1073=$C645)*($E$2:$E$1073=$E645)*(ROW(Q$2:Q$1073)&lt;&gt;ROW(Q645))*(Q$2:Q$1073&lt;&gt;""))),"")</f>
        <v>0.24024237773697221</v>
      </c>
      <c r="X645" cm="1">
        <f t="array" ref="X645">IFERROR(AVERAGE(_xlfn._xlws.FILTER(R$2:R$1073,($C$2:$C$1073=$C645)*($E$2:$E$1073=$E645)*(ROW(R$2:R$1073)&lt;&gt;ROW(R645))*(R$2:R$1073&lt;&gt;""))),"")</f>
        <v>0.23712298946257446</v>
      </c>
      <c r="Y645" cm="1">
        <f t="array" ref="Y645">IFERROR(AVERAGE(_xlfn._xlws.FILTER(S$2:S$1073,($C$2:$C$1073=$C645)*($E$2:$E$1073=$E645)*(ROW(S$2:S$1073)&lt;&gt;ROW(S645))*(S$2:S$1073&lt;&gt;""))),"")</f>
        <v>1.3663453712705278</v>
      </c>
      <c r="Z645" cm="1">
        <f t="array" ref="Z645">IFERROR(AVERAGE(_xlfn._xlws.FILTER(T$2:T$1073,($C$2:$C$1073=$C645)*($E$2:$E$1073=$E645)*(ROW(T$2:T$1073)&lt;&gt;ROW(T645))*(T$2:T$1073&lt;&gt;""))),"")</f>
        <v>9.3762188718430242E-2</v>
      </c>
      <c r="AA645" cm="1">
        <f t="array" ref="AA645">IFERROR(AVERAGE(_xlfn._xlws.FILTER(U$2:U$1073,($C$2:$C$1073=$C645)*($E$2:$E$1073=$E645)*(ROW(U$2:U$1073)&lt;&gt;ROW(U645))*(U$2:U$1073&lt;&gt;""))),"")</f>
        <v>2.2559792755321078</v>
      </c>
    </row>
    <row r="646" spans="1:27" x14ac:dyDescent="0.2">
      <c r="A646" s="7" t="s">
        <v>2319</v>
      </c>
      <c r="B646" t="str">
        <f t="shared" si="112"/>
        <v>PRMD IV кв. 2021</v>
      </c>
      <c r="C646">
        <v>2021</v>
      </c>
      <c r="D646">
        <f>SUMIFS(Дивиденды!$C:$C,Дивиденды!$A:$A,A646,Дивиденды!$I:$I,C646)</f>
        <v>0</v>
      </c>
      <c r="E646">
        <v>4</v>
      </c>
      <c r="F646">
        <f t="shared" si="113"/>
        <v>0</v>
      </c>
      <c r="G646">
        <f t="shared" si="114"/>
        <v>31.931428571428572</v>
      </c>
      <c r="H646">
        <f t="shared" si="115"/>
        <v>0</v>
      </c>
      <c r="I646">
        <f t="shared" si="111"/>
        <v>0.2857142857142857</v>
      </c>
      <c r="J646">
        <f t="shared" si="116"/>
        <v>0</v>
      </c>
      <c r="K646">
        <f t="shared" si="120"/>
        <v>0.1975016604235505</v>
      </c>
      <c r="L646">
        <f t="shared" si="117"/>
        <v>0</v>
      </c>
      <c r="M646">
        <f t="shared" si="110"/>
        <v>0.21428571428571427</v>
      </c>
      <c r="N646">
        <f t="shared" si="118"/>
        <v>0</v>
      </c>
      <c r="O646">
        <f t="shared" si="119"/>
        <v>7.1428571428571425E-2</v>
      </c>
      <c r="P646">
        <f>IFERROR(LN('Дивиденды по годам'!I646),"")</f>
        <v>23.652269780146458</v>
      </c>
      <c r="Q646">
        <f>IFERROR('Дивиденды по годам'!G646/'Дивиденды по годам'!I646, "")</f>
        <v>0.26246703054884962</v>
      </c>
      <c r="R646" t="str">
        <f>IFERROR(IF(AND('Дивиденды по годам'!N646&lt;&gt;"",'Дивиденды по годам'!U646&lt;&gt;"",'Дивиденды по годам'!U646&lt;&gt;0),'Дивиденды по годам'!N646/'Дивиденды по годам'!U646-1,""),"")</f>
        <v/>
      </c>
      <c r="S646">
        <f>IFERROR(IF(AND('Дивиденды по годам'!L646&lt;&gt;"",'Дивиденды по годам'!I646&lt;&gt;"",'Дивиденды по годам'!J646&lt;&gt;"",'Дивиденды по годам'!K646&lt;&gt;"",('Дивиденды по годам'!I646-'Дивиденды по годам'!J646-'Дивиденды по годам'!K646)&lt;&gt;0),'Дивиденды по годам'!L646/('Дивиденды по годам'!I646-'Дивиденды по годам'!J646-'Дивиденды по годам'!K646),""),"")</f>
        <v>0.97898544955585565</v>
      </c>
      <c r="T646" t="str">
        <f>IFERROR(IF(AND('Дивиденды по годам'!Q646&lt;&gt;"",'Дивиденды по годам'!I646&lt;&gt;"",'Дивиденды по годам'!V646&lt;&gt;"",('Дивиденды по годам'!I646+'Дивиденды по годам'!V646)&lt;&gt;0),'Дивиденды по годам'!Q646/(('Дивиденды по годам'!I646+'Дивиденды по годам'!V646)/2),""),"")</f>
        <v/>
      </c>
      <c r="U646">
        <f>IFERROR(IF(AND('Дивиденды по годам'!J646&lt;&gt;"",'Дивиденды по годам'!K646&lt;&gt;"",'Дивиденды по годам'!M646&lt;&gt;"",'Дивиденды по годам'!M646&lt;&gt;0),('Дивиденды по годам'!J646+'Дивиденды по годам'!K646)/'Дивиденды по годам'!M646,""),"")</f>
        <v>0.96760500886206424</v>
      </c>
      <c r="V646" cm="1">
        <f t="array" ref="V646">IFERROR(AVERAGE(_xlfn._xlws.FILTER(P$2:P$1073,($C$2:$C$1073=$C646)*($E$2:$E$1073=$E646)*(ROW(P$2:P$1073)&lt;&gt;ROW(P646))*(P$2:P$1073&lt;&gt;""))),"")</f>
        <v>25.315945222566626</v>
      </c>
      <c r="W646" cm="1">
        <f t="array" ref="W646">IFERROR(AVERAGE(_xlfn._xlws.FILTER(Q$2:Q$1073,($C$2:$C$1073=$C646)*($E$2:$E$1073=$E646)*(ROW(Q$2:Q$1073)&lt;&gt;ROW(Q646))*(Q$2:Q$1073&lt;&gt;""))),"")</f>
        <v>0.23299196785653983</v>
      </c>
      <c r="X646" cm="1">
        <f t="array" ref="X646">IFERROR(AVERAGE(_xlfn._xlws.FILTER(R$2:R$1073,($C$2:$C$1073=$C646)*($E$2:$E$1073=$E646)*(ROW(R$2:R$1073)&lt;&gt;ROW(R646))*(R$2:R$1073&lt;&gt;""))),"")</f>
        <v>0.31760921072336168</v>
      </c>
      <c r="Y646" cm="1">
        <f t="array" ref="Y646">IFERROR(AVERAGE(_xlfn._xlws.FILTER(S$2:S$1073,($C$2:$C$1073=$C646)*($E$2:$E$1073=$E646)*(ROW(S$2:S$1073)&lt;&gt;ROW(S646))*(S$2:S$1073&lt;&gt;""))),"")</f>
        <v>1.3507718651476026</v>
      </c>
      <c r="Z646" cm="1">
        <f t="array" ref="Z646">IFERROR(AVERAGE(_xlfn._xlws.FILTER(T$2:T$1073,($C$2:$C$1073=$C646)*($E$2:$E$1073=$E646)*(ROW(T$2:T$1073)&lt;&gt;ROW(T646))*(T$2:T$1073&lt;&gt;""))),"")</f>
        <v>0.10239490834794492</v>
      </c>
      <c r="AA646" cm="1">
        <f t="array" ref="AA646">IFERROR(AVERAGE(_xlfn._xlws.FILTER(U$2:U$1073,($C$2:$C$1073=$C646)*($E$2:$E$1073=$E646)*(ROW(U$2:U$1073)&lt;&gt;ROW(U646))*(U$2:U$1073&lt;&gt;""))),"")</f>
        <v>18.267883931881023</v>
      </c>
    </row>
    <row r="647" spans="1:27" x14ac:dyDescent="0.2">
      <c r="A647" s="7" t="s">
        <v>2319</v>
      </c>
      <c r="B647" t="str">
        <f t="shared" si="112"/>
        <v>PRMD IV кв. 2020</v>
      </c>
      <c r="C647">
        <v>2020</v>
      </c>
      <c r="D647">
        <f>SUMIFS(Дивиденды!$C:$C,Дивиденды!$A:$A,A647,Дивиденды!$I:$I,C647)</f>
        <v>0</v>
      </c>
      <c r="E647">
        <v>4</v>
      </c>
      <c r="F647">
        <f t="shared" si="113"/>
        <v>0</v>
      </c>
      <c r="G647">
        <f t="shared" si="114"/>
        <v>43.293571428571433</v>
      </c>
      <c r="H647">
        <f t="shared" si="115"/>
        <v>0</v>
      </c>
      <c r="I647">
        <f t="shared" si="111"/>
        <v>0.2857142857142857</v>
      </c>
      <c r="J647">
        <f t="shared" si="116"/>
        <v>0</v>
      </c>
      <c r="K647">
        <f t="shared" si="120"/>
        <v>0.26831617204892738</v>
      </c>
      <c r="L647">
        <f t="shared" si="117"/>
        <v>0</v>
      </c>
      <c r="M647">
        <f t="shared" si="110"/>
        <v>0.2857142857142857</v>
      </c>
      <c r="N647">
        <f t="shared" si="118"/>
        <v>0</v>
      </c>
      <c r="O647">
        <f t="shared" si="119"/>
        <v>0</v>
      </c>
      <c r="P647" t="str">
        <f>IFERROR(LN('Дивиденды по годам'!I647),"")</f>
        <v/>
      </c>
      <c r="Q647" t="str">
        <f>IFERROR('Дивиденды по годам'!G647/'Дивиденды по годам'!I647, "")</f>
        <v/>
      </c>
      <c r="R647" t="str">
        <f>IFERROR(IF(AND('Дивиденды по годам'!N647&lt;&gt;"",'Дивиденды по годам'!U647&lt;&gt;"",'Дивиденды по годам'!U647&lt;&gt;0),'Дивиденды по годам'!N647/'Дивиденды по годам'!U647-1,""),"")</f>
        <v/>
      </c>
      <c r="S647" t="str">
        <f>IFERROR(IF(AND('Дивиденды по годам'!L647&lt;&gt;"",'Дивиденды по годам'!I647&lt;&gt;"",'Дивиденды по годам'!J647&lt;&gt;"",'Дивиденды по годам'!K647&lt;&gt;"",('Дивиденды по годам'!I647-'Дивиденды по годам'!J647-'Дивиденды по годам'!K647)&lt;&gt;0),'Дивиденды по годам'!L647/('Дивиденды по годам'!I647-'Дивиденды по годам'!J647-'Дивиденды по годам'!K647),""),"")</f>
        <v/>
      </c>
      <c r="T647" t="str">
        <f>IFERROR(IF(AND('Дивиденды по годам'!Q647&lt;&gt;"",'Дивиденды по годам'!I647&lt;&gt;"",'Дивиденды по годам'!V647&lt;&gt;"",('Дивиденды по годам'!I647+'Дивиденды по годам'!V647)&lt;&gt;0),'Дивиденды по годам'!Q647/(('Дивиденды по годам'!I647+'Дивиденды по годам'!V647)/2),""),"")</f>
        <v/>
      </c>
      <c r="U647" t="str">
        <f>IFERROR(IF(AND('Дивиденды по годам'!J647&lt;&gt;"",'Дивиденды по годам'!K647&lt;&gt;"",'Дивиденды по годам'!M647&lt;&gt;"",'Дивиденды по годам'!M647&lt;&gt;0),('Дивиденды по годам'!J647+'Дивиденды по годам'!K647)/'Дивиденды по годам'!M647,""),"")</f>
        <v/>
      </c>
      <c r="V647" cm="1">
        <f t="array" ref="V647">IFERROR(AVERAGE(_xlfn._xlws.FILTER(P$2:P$1073,($C$2:$C$1073=$C647)*($E$2:$E$1073=$E647)*(ROW(P$2:P$1073)&lt;&gt;ROW(P647))*(P$2:P$1073&lt;&gt;""))),"")</f>
        <v>25.279360907920736</v>
      </c>
      <c r="W647" cm="1">
        <f t="array" ref="W647">IFERROR(AVERAGE(_xlfn._xlws.FILTER(Q$2:Q$1073,($C$2:$C$1073=$C647)*($E$2:$E$1073=$E647)*(ROW(Q$2:Q$1073)&lt;&gt;ROW(Q647))*(Q$2:Q$1073&lt;&gt;""))),"")</f>
        <v>0.26156752075221612</v>
      </c>
      <c r="X647" cm="1">
        <f t="array" ref="X647">IFERROR(AVERAGE(_xlfn._xlws.FILTER(R$2:R$1073,($C$2:$C$1073=$C647)*($E$2:$E$1073=$E647)*(ROW(R$2:R$1073)&lt;&gt;ROW(R647))*(R$2:R$1073&lt;&gt;""))),"")</f>
        <v>9.6830410579929804E-2</v>
      </c>
      <c r="Y647" cm="1">
        <f t="array" ref="Y647">IFERROR(AVERAGE(_xlfn._xlws.FILTER(S$2:S$1073,($C$2:$C$1073=$C647)*($E$2:$E$1073=$E647)*(ROW(S$2:S$1073)&lt;&gt;ROW(S647))*(S$2:S$1073&lt;&gt;""))),"")</f>
        <v>1.7199758573549004</v>
      </c>
      <c r="Z647" cm="1">
        <f t="array" ref="Z647">IFERROR(AVERAGE(_xlfn._xlws.FILTER(T$2:T$1073,($C$2:$C$1073=$C647)*($E$2:$E$1073=$E647)*(ROW(T$2:T$1073)&lt;&gt;ROW(T647))*(T$2:T$1073&lt;&gt;""))),"")</f>
        <v>6.7482119215201988E-2</v>
      </c>
      <c r="AA647" cm="1">
        <f t="array" ref="AA647">IFERROR(AVERAGE(_xlfn._xlws.FILTER(U$2:U$1073,($C$2:$C$1073=$C647)*($E$2:$E$1073=$E647)*(ROW(U$2:U$1073)&lt;&gt;ROW(U647))*(U$2:U$1073&lt;&gt;""))),"")</f>
        <v>-10.291341252885539</v>
      </c>
    </row>
    <row r="648" spans="1:27" x14ac:dyDescent="0.2">
      <c r="A648" s="7" t="s">
        <v>2319</v>
      </c>
      <c r="B648" t="str">
        <f t="shared" si="112"/>
        <v>PRMD IV кв. 2019</v>
      </c>
      <c r="C648">
        <v>2019</v>
      </c>
      <c r="D648">
        <f>SUMIFS(Дивиденды!$C:$C,Дивиденды!$A:$A,A648,Дивиденды!$I:$I,C648)</f>
        <v>0</v>
      </c>
      <c r="E648">
        <v>4</v>
      </c>
      <c r="F648">
        <f t="shared" si="113"/>
        <v>0</v>
      </c>
      <c r="G648">
        <f t="shared" si="114"/>
        <v>24.398571428571426</v>
      </c>
      <c r="H648">
        <f t="shared" si="115"/>
        <v>0</v>
      </c>
      <c r="I648">
        <f t="shared" si="111"/>
        <v>0.21428571428571427</v>
      </c>
      <c r="J648">
        <f t="shared" si="116"/>
        <v>0</v>
      </c>
      <c r="K648">
        <f t="shared" si="120"/>
        <v>0.10876410731109194</v>
      </c>
      <c r="L648">
        <f t="shared" si="117"/>
        <v>0</v>
      </c>
      <c r="M648">
        <f t="shared" si="110"/>
        <v>0.21428571428571427</v>
      </c>
      <c r="N648">
        <f t="shared" si="118"/>
        <v>0</v>
      </c>
      <c r="O648">
        <f t="shared" si="119"/>
        <v>0</v>
      </c>
      <c r="P648" t="str">
        <f>IFERROR(LN('Дивиденды по годам'!I648),"")</f>
        <v/>
      </c>
      <c r="Q648" t="str">
        <f>IFERROR('Дивиденды по годам'!G648/'Дивиденды по годам'!I648, "")</f>
        <v/>
      </c>
      <c r="R648" t="str">
        <f>IFERROR(IF(AND('Дивиденды по годам'!N648&lt;&gt;"",'Дивиденды по годам'!U648&lt;&gt;"",'Дивиденды по годам'!U648&lt;&gt;0),'Дивиденды по годам'!N648/'Дивиденды по годам'!U648-1,""),"")</f>
        <v/>
      </c>
      <c r="S648" t="str">
        <f>IFERROR(IF(AND('Дивиденды по годам'!L648&lt;&gt;"",'Дивиденды по годам'!I648&lt;&gt;"",'Дивиденды по годам'!J648&lt;&gt;"",'Дивиденды по годам'!K648&lt;&gt;"",('Дивиденды по годам'!I648-'Дивиденды по годам'!J648-'Дивиденды по годам'!K648)&lt;&gt;0),'Дивиденды по годам'!L648/('Дивиденды по годам'!I648-'Дивиденды по годам'!J648-'Дивиденды по годам'!K648),""),"")</f>
        <v/>
      </c>
      <c r="T648" t="str">
        <f>IFERROR(IF(AND('Дивиденды по годам'!Q648&lt;&gt;"",'Дивиденды по годам'!I648&lt;&gt;"",'Дивиденды по годам'!V648&lt;&gt;"",('Дивиденды по годам'!I648+'Дивиденды по годам'!V648)&lt;&gt;0),'Дивиденды по годам'!Q648/(('Дивиденды по годам'!I648+'Дивиденды по годам'!V648)/2),""),"")</f>
        <v/>
      </c>
      <c r="U648" t="str">
        <f>IFERROR(IF(AND('Дивиденды по годам'!J648&lt;&gt;"",'Дивиденды по годам'!K648&lt;&gt;"",'Дивиденды по годам'!M648&lt;&gt;"",'Дивиденды по годам'!M648&lt;&gt;0),('Дивиденды по годам'!J648+'Дивиденды по годам'!K648)/'Дивиденды по годам'!M648,""),"")</f>
        <v/>
      </c>
      <c r="V648" cm="1">
        <f t="array" ref="V648">IFERROR(AVERAGE(_xlfn._xlws.FILTER(P$2:P$1073,($C$2:$C$1073=$C648)*($E$2:$E$1073=$E648)*(ROW(P$2:P$1073)&lt;&gt;ROW(P648))*(P$2:P$1073&lt;&gt;""))),"")</f>
        <v>25.116045651461882</v>
      </c>
      <c r="W648" cm="1">
        <f t="array" ref="W648">IFERROR(AVERAGE(_xlfn._xlws.FILTER(Q$2:Q$1073,($C$2:$C$1073=$C648)*($E$2:$E$1073=$E648)*(ROW(Q$2:Q$1073)&lt;&gt;ROW(Q648))*(Q$2:Q$1073&lt;&gt;""))),"")</f>
        <v>0.27081451761564085</v>
      </c>
      <c r="X648" cm="1">
        <f t="array" ref="X648">IFERROR(AVERAGE(_xlfn._xlws.FILTER(R$2:R$1073,($C$2:$C$1073=$C648)*($E$2:$E$1073=$E648)*(ROW(R$2:R$1073)&lt;&gt;ROW(R648))*(R$2:R$1073&lt;&gt;""))),"")</f>
        <v>0.41255485917491075</v>
      </c>
      <c r="Y648" cm="1">
        <f t="array" ref="Y648">IFERROR(AVERAGE(_xlfn._xlws.FILTER(S$2:S$1073,($C$2:$C$1073=$C648)*($E$2:$E$1073=$E648)*(ROW(S$2:S$1073)&lt;&gt;ROW(S648))*(S$2:S$1073&lt;&gt;""))),"")</f>
        <v>0.89707160002220321</v>
      </c>
      <c r="Z648" cm="1">
        <f t="array" ref="Z648">IFERROR(AVERAGE(_xlfn._xlws.FILTER(T$2:T$1073,($C$2:$C$1073=$C648)*($E$2:$E$1073=$E648)*(ROW(T$2:T$1073)&lt;&gt;ROW(T648))*(T$2:T$1073&lt;&gt;""))),"")</f>
        <v>4.8479450567785541E-2</v>
      </c>
      <c r="AA648" cm="1">
        <f t="array" ref="AA648">IFERROR(AVERAGE(_xlfn._xlws.FILTER(U$2:U$1073,($C$2:$C$1073=$C648)*($E$2:$E$1073=$E648)*(ROW(U$2:U$1073)&lt;&gt;ROW(U648))*(U$2:U$1073&lt;&gt;""))),"")</f>
        <v>-2.6443211935212805</v>
      </c>
    </row>
    <row r="649" spans="1:27" x14ac:dyDescent="0.2">
      <c r="A649" s="7" t="s">
        <v>2319</v>
      </c>
      <c r="B649" t="str">
        <f t="shared" si="112"/>
        <v>PRMD IV кв. 2018</v>
      </c>
      <c r="C649">
        <v>2018</v>
      </c>
      <c r="D649">
        <f>SUMIFS(Дивиденды!$C:$C,Дивиденды!$A:$A,A649,Дивиденды!$I:$I,C649)</f>
        <v>0</v>
      </c>
      <c r="E649">
        <v>4</v>
      </c>
      <c r="F649">
        <f t="shared" si="113"/>
        <v>0</v>
      </c>
      <c r="G649">
        <f t="shared" si="114"/>
        <v>21.978571428571428</v>
      </c>
      <c r="H649">
        <f t="shared" si="115"/>
        <v>0</v>
      </c>
      <c r="I649">
        <f t="shared" si="111"/>
        <v>0.14285714285714285</v>
      </c>
      <c r="J649">
        <f t="shared" si="116"/>
        <v>0</v>
      </c>
      <c r="K649">
        <f t="shared" si="120"/>
        <v>-1.8223065562117002E-2</v>
      </c>
      <c r="L649">
        <f t="shared" si="117"/>
        <v>0</v>
      </c>
      <c r="M649">
        <f t="shared" si="110"/>
        <v>7.1428571428571425E-2</v>
      </c>
      <c r="N649">
        <f t="shared" si="118"/>
        <v>0</v>
      </c>
      <c r="O649">
        <f t="shared" si="119"/>
        <v>7.1428571428571425E-2</v>
      </c>
      <c r="P649" t="str">
        <f>IFERROR(LN('Дивиденды по годам'!I649),"")</f>
        <v/>
      </c>
      <c r="Q649" t="str">
        <f>IFERROR('Дивиденды по годам'!G649/'Дивиденды по годам'!I649, "")</f>
        <v/>
      </c>
      <c r="R649" t="str">
        <f>IFERROR(IF(AND('Дивиденды по годам'!N649&lt;&gt;"",'Дивиденды по годам'!U649&lt;&gt;"",'Дивиденды по годам'!U649&lt;&gt;0),'Дивиденды по годам'!N649/'Дивиденды по годам'!U649-1,""),"")</f>
        <v/>
      </c>
      <c r="S649" t="str">
        <f>IFERROR(IF(AND('Дивиденды по годам'!L649&lt;&gt;"",'Дивиденды по годам'!I649&lt;&gt;"",'Дивиденды по годам'!J649&lt;&gt;"",'Дивиденды по годам'!K649&lt;&gt;"",('Дивиденды по годам'!I649-'Дивиденды по годам'!J649-'Дивиденды по годам'!K649)&lt;&gt;0),'Дивиденды по годам'!L649/('Дивиденды по годам'!I649-'Дивиденды по годам'!J649-'Дивиденды по годам'!K649),""),"")</f>
        <v/>
      </c>
      <c r="T649" t="str">
        <f>IFERROR(IF(AND('Дивиденды по годам'!Q649&lt;&gt;"",'Дивиденды по годам'!I649&lt;&gt;"",'Дивиденды по годам'!V649&lt;&gt;"",('Дивиденды по годам'!I649+'Дивиденды по годам'!V649)&lt;&gt;0),'Дивиденды по годам'!Q649/(('Дивиденды по годам'!I649+'Дивиденды по годам'!V649)/2),""),"")</f>
        <v/>
      </c>
      <c r="U649" t="str">
        <f>IFERROR(IF(AND('Дивиденды по годам'!J649&lt;&gt;"",'Дивиденды по годам'!K649&lt;&gt;"",'Дивиденды по годам'!M649&lt;&gt;"",'Дивиденды по годам'!M649&lt;&gt;0),('Дивиденды по годам'!J649+'Дивиденды по годам'!K649)/'Дивиденды по годам'!M649,""),"")</f>
        <v/>
      </c>
      <c r="V649" cm="1">
        <f t="array" ref="V649">IFERROR(AVERAGE(_xlfn._xlws.FILTER(P$2:P$1073,($C$2:$C$1073=$C649)*($E$2:$E$1073=$E649)*(ROW(P$2:P$1073)&lt;&gt;ROW(P649))*(P$2:P$1073&lt;&gt;""))),"")</f>
        <v>24.908270704496481</v>
      </c>
      <c r="W649" cm="1">
        <f t="array" ref="W649">IFERROR(AVERAGE(_xlfn._xlws.FILTER(Q$2:Q$1073,($C$2:$C$1073=$C649)*($E$2:$E$1073=$E649)*(ROW(Q$2:Q$1073)&lt;&gt;ROW(Q649))*(Q$2:Q$1073&lt;&gt;""))),"")</f>
        <v>0.31629947227527405</v>
      </c>
      <c r="X649" cm="1">
        <f t="array" ref="X649">IFERROR(AVERAGE(_xlfn._xlws.FILTER(R$2:R$1073,($C$2:$C$1073=$C649)*($E$2:$E$1073=$E649)*(ROW(R$2:R$1073)&lt;&gt;ROW(R649))*(R$2:R$1073&lt;&gt;""))),"")</f>
        <v>5.6638288450543382E-2</v>
      </c>
      <c r="Y649" cm="1">
        <f t="array" ref="Y649">IFERROR(AVERAGE(_xlfn._xlws.FILTER(S$2:S$1073,($C$2:$C$1073=$C649)*($E$2:$E$1073=$E649)*(ROW(S$2:S$1073)&lt;&gt;ROW(S649))*(S$2:S$1073&lt;&gt;""))),"")</f>
        <v>0.64427650310006845</v>
      </c>
      <c r="Z649" cm="1">
        <f t="array" ref="Z649">IFERROR(AVERAGE(_xlfn._xlws.FILTER(T$2:T$1073,($C$2:$C$1073=$C649)*($E$2:$E$1073=$E649)*(ROW(T$2:T$1073)&lt;&gt;ROW(T649))*(T$2:T$1073&lt;&gt;""))),"")</f>
        <v>7.1418821660913928E-3</v>
      </c>
      <c r="AA649" cm="1">
        <f t="array" ref="AA649">IFERROR(AVERAGE(_xlfn._xlws.FILTER(U$2:U$1073,($C$2:$C$1073=$C649)*($E$2:$E$1073=$E649)*(ROW(U$2:U$1073)&lt;&gt;ROW(U649))*(U$2:U$1073&lt;&gt;""))),"")</f>
        <v>1.0767813683356515</v>
      </c>
    </row>
    <row r="650" spans="1:27" x14ac:dyDescent="0.2">
      <c r="A650" s="7" t="s">
        <v>2319</v>
      </c>
      <c r="B650" t="str">
        <f t="shared" si="112"/>
        <v>PRMD IV кв. 2017</v>
      </c>
      <c r="C650">
        <v>2017</v>
      </c>
      <c r="D650">
        <f>SUMIFS(Дивиденды!$C:$C,Дивиденды!$A:$A,A650,Дивиденды!$I:$I,C650)</f>
        <v>0</v>
      </c>
      <c r="E650">
        <v>4</v>
      </c>
      <c r="F650">
        <f t="shared" si="113"/>
        <v>0</v>
      </c>
      <c r="G650">
        <f t="shared" si="114"/>
        <v>18.403571428571428</v>
      </c>
      <c r="H650">
        <f t="shared" si="115"/>
        <v>0</v>
      </c>
      <c r="I650">
        <f t="shared" si="111"/>
        <v>0.14285714285714285</v>
      </c>
      <c r="J650">
        <f t="shared" si="116"/>
        <v>0</v>
      </c>
      <c r="K650">
        <f t="shared" si="120"/>
        <v>-1.7352821773673279E-2</v>
      </c>
      <c r="L650">
        <f t="shared" si="117"/>
        <v>0</v>
      </c>
      <c r="M650">
        <f t="shared" si="110"/>
        <v>0</v>
      </c>
      <c r="N650">
        <f t="shared" si="118"/>
        <v>0</v>
      </c>
      <c r="O650">
        <f t="shared" si="119"/>
        <v>0.14285714285714285</v>
      </c>
      <c r="P650" t="str">
        <f>IFERROR(LN('Дивиденды по годам'!I650),"")</f>
        <v/>
      </c>
      <c r="Q650" t="str">
        <f>IFERROR('Дивиденды по годам'!G650/'Дивиденды по годам'!I650, "")</f>
        <v/>
      </c>
      <c r="R650" t="str">
        <f>IFERROR(IF(AND('Дивиденды по годам'!N650&lt;&gt;"",'Дивиденды по годам'!U650&lt;&gt;"",'Дивиденды по годам'!U650&lt;&gt;0),'Дивиденды по годам'!N650/'Дивиденды по годам'!U650-1,""),"")</f>
        <v/>
      </c>
      <c r="S650" t="str">
        <f>IFERROR(IF(AND('Дивиденды по годам'!L650&lt;&gt;"",'Дивиденды по годам'!I650&lt;&gt;"",'Дивиденды по годам'!J650&lt;&gt;"",'Дивиденды по годам'!K650&lt;&gt;"",('Дивиденды по годам'!I650-'Дивиденды по годам'!J650-'Дивиденды по годам'!K650)&lt;&gt;0),'Дивиденды по годам'!L650/('Дивиденды по годам'!I650-'Дивиденды по годам'!J650-'Дивиденды по годам'!K650),""),"")</f>
        <v/>
      </c>
      <c r="T650" t="str">
        <f>IFERROR(IF(AND('Дивиденды по годам'!Q650&lt;&gt;"",'Дивиденды по годам'!I650&lt;&gt;"",'Дивиденды по годам'!V650&lt;&gt;"",('Дивиденды по годам'!I650+'Дивиденды по годам'!V650)&lt;&gt;0),'Дивиденды по годам'!Q650/(('Дивиденды по годам'!I650+'Дивиденды по годам'!V650)/2),""),"")</f>
        <v/>
      </c>
      <c r="U650" t="str">
        <f>IFERROR(IF(AND('Дивиденды по годам'!J650&lt;&gt;"",'Дивиденды по годам'!K650&lt;&gt;"",'Дивиденды по годам'!M650&lt;&gt;"",'Дивиденды по годам'!M650&lt;&gt;0),('Дивиденды по годам'!J650+'Дивиденды по годам'!K650)/'Дивиденды по годам'!M650,""),"")</f>
        <v/>
      </c>
      <c r="V650" cm="1">
        <f t="array" ref="V650">IFERROR(AVERAGE(_xlfn._xlws.FILTER(P$2:P$1073,($C$2:$C$1073=$C650)*($E$2:$E$1073=$E650)*(ROW(P$2:P$1073)&lt;&gt;ROW(P650))*(P$2:P$1073&lt;&gt;""))),"")</f>
        <v>24.73571056544559</v>
      </c>
      <c r="W650" cm="1">
        <f t="array" ref="W650">IFERROR(AVERAGE(_xlfn._xlws.FILTER(Q$2:Q$1073,($C$2:$C$1073=$C650)*($E$2:$E$1073=$E650)*(ROW(Q$2:Q$1073)&lt;&gt;ROW(Q650))*(Q$2:Q$1073&lt;&gt;""))),"")</f>
        <v>0.33981210980429821</v>
      </c>
      <c r="X650" cm="1">
        <f t="array" ref="X650">IFERROR(AVERAGE(_xlfn._xlws.FILTER(R$2:R$1073,($C$2:$C$1073=$C650)*($E$2:$E$1073=$E650)*(ROW(R$2:R$1073)&lt;&gt;ROW(R650))*(R$2:R$1073&lt;&gt;""))),"")</f>
        <v>0.23691718521625563</v>
      </c>
      <c r="Y650" cm="1">
        <f t="array" ref="Y650">IFERROR(AVERAGE(_xlfn._xlws.FILTER(S$2:S$1073,($C$2:$C$1073=$C650)*($E$2:$E$1073=$E650)*(ROW(S$2:S$1073)&lt;&gt;ROW(S650))*(S$2:S$1073&lt;&gt;""))),"")</f>
        <v>0.61774629406594017</v>
      </c>
      <c r="Z650" cm="1">
        <f t="array" ref="Z650">IFERROR(AVERAGE(_xlfn._xlws.FILTER(T$2:T$1073,($C$2:$C$1073=$C650)*($E$2:$E$1073=$E650)*(ROW(T$2:T$1073)&lt;&gt;ROW(T650))*(T$2:T$1073&lt;&gt;""))),"")</f>
        <v>-2.7044382152168867E-2</v>
      </c>
      <c r="AA650" cm="1">
        <f t="array" ref="AA650">IFERROR(AVERAGE(_xlfn._xlws.FILTER(U$2:U$1073,($C$2:$C$1073=$C650)*($E$2:$E$1073=$E650)*(ROW(U$2:U$1073)&lt;&gt;ROW(U650))*(U$2:U$1073&lt;&gt;""))),"")</f>
        <v>0.62620703107195774</v>
      </c>
    </row>
    <row r="651" spans="1:27" x14ac:dyDescent="0.2">
      <c r="A651" s="7" t="s">
        <v>2319</v>
      </c>
      <c r="B651" t="str">
        <f t="shared" si="112"/>
        <v>PRMD IV кв. 2016</v>
      </c>
      <c r="C651">
        <v>2016</v>
      </c>
      <c r="D651">
        <f>SUMIFS(Дивиденды!$C:$C,Дивиденды!$A:$A,A651,Дивиденды!$I:$I,C651)</f>
        <v>0</v>
      </c>
      <c r="E651">
        <v>4</v>
      </c>
      <c r="F651">
        <f t="shared" si="113"/>
        <v>0</v>
      </c>
      <c r="G651">
        <f t="shared" si="114"/>
        <v>20.421428571428571</v>
      </c>
      <c r="H651">
        <f t="shared" si="115"/>
        <v>0</v>
      </c>
      <c r="I651">
        <f t="shared" si="111"/>
        <v>0.14285714285714285</v>
      </c>
      <c r="J651">
        <f t="shared" si="116"/>
        <v>0</v>
      </c>
      <c r="K651">
        <f t="shared" si="120"/>
        <v>2.0593461763560781E-2</v>
      </c>
      <c r="L651">
        <f t="shared" si="117"/>
        <v>0</v>
      </c>
      <c r="M651">
        <f t="shared" si="110"/>
        <v>7.1428571428571425E-2</v>
      </c>
      <c r="N651">
        <f t="shared" si="118"/>
        <v>0</v>
      </c>
      <c r="O651">
        <f t="shared" si="119"/>
        <v>7.1428571428571425E-2</v>
      </c>
      <c r="P651" t="str">
        <f>IFERROR(LN('Дивиденды по годам'!I651),"")</f>
        <v/>
      </c>
      <c r="Q651" t="str">
        <f>IFERROR('Дивиденды по годам'!G651/'Дивиденды по годам'!I651, "")</f>
        <v/>
      </c>
      <c r="R651" t="str">
        <f>IFERROR(IF(AND('Дивиденды по годам'!N651&lt;&gt;"",'Дивиденды по годам'!U651&lt;&gt;"",'Дивиденды по годам'!U651&lt;&gt;0),'Дивиденды по годам'!N651/'Дивиденды по годам'!U651-1,""),"")</f>
        <v/>
      </c>
      <c r="S651" t="str">
        <f>IFERROR(IF(AND('Дивиденды по годам'!L651&lt;&gt;"",'Дивиденды по годам'!I651&lt;&gt;"",'Дивиденды по годам'!J651&lt;&gt;"",'Дивиденды по годам'!K651&lt;&gt;"",('Дивиденды по годам'!I651-'Дивиденды по годам'!J651-'Дивиденды по годам'!K651)&lt;&gt;0),'Дивиденды по годам'!L651/('Дивиденды по годам'!I651-'Дивиденды по годам'!J651-'Дивиденды по годам'!K651),""),"")</f>
        <v/>
      </c>
      <c r="T651" t="str">
        <f>IFERROR(IF(AND('Дивиденды по годам'!Q651&lt;&gt;"",'Дивиденды по годам'!I651&lt;&gt;"",'Дивиденды по годам'!V651&lt;&gt;"",('Дивиденды по годам'!I651+'Дивиденды по годам'!V651)&lt;&gt;0),'Дивиденды по годам'!Q651/(('Дивиденды по годам'!I651+'Дивиденды по годам'!V651)/2),""),"")</f>
        <v/>
      </c>
      <c r="U651" t="str">
        <f>IFERROR(IF(AND('Дивиденды по годам'!J651&lt;&gt;"",'Дивиденды по годам'!K651&lt;&gt;"",'Дивиденды по годам'!M651&lt;&gt;"",'Дивиденды по годам'!M651&lt;&gt;0),('Дивиденды по годам'!J651+'Дивиденды по годам'!K651)/'Дивиденды по годам'!M651,""),"")</f>
        <v/>
      </c>
      <c r="V651" cm="1">
        <f t="array" ref="V651">IFERROR(AVERAGE(_xlfn._xlws.FILTER(P$2:P$1073,($C$2:$C$1073=$C651)*($E$2:$E$1073=$E651)*(ROW(P$2:P$1073)&lt;&gt;ROW(P651))*(P$2:P$1073&lt;&gt;""))),"")</f>
        <v>24.55530958635584</v>
      </c>
      <c r="W651" cm="1">
        <f t="array" ref="W651">IFERROR(AVERAGE(_xlfn._xlws.FILTER(Q$2:Q$1073,($C$2:$C$1073=$C651)*($E$2:$E$1073=$E651)*(ROW(Q$2:Q$1073)&lt;&gt;ROW(Q651))*(Q$2:Q$1073&lt;&gt;""))),"")</f>
        <v>0.27878606899788128</v>
      </c>
      <c r="X651" cm="1">
        <f t="array" ref="X651">IFERROR(AVERAGE(_xlfn._xlws.FILTER(R$2:R$1073,($C$2:$C$1073=$C651)*($E$2:$E$1073=$E651)*(ROW(R$2:R$1073)&lt;&gt;ROW(R651))*(R$2:R$1073&lt;&gt;""))),"")</f>
        <v>0.16612325919082049</v>
      </c>
      <c r="Y651" cm="1">
        <f t="array" ref="Y651">IFERROR(AVERAGE(_xlfn._xlws.FILTER(S$2:S$1073,($C$2:$C$1073=$C651)*($E$2:$E$1073=$E651)*(ROW(S$2:S$1073)&lt;&gt;ROW(S651))*(S$2:S$1073&lt;&gt;""))),"")</f>
        <v>6.2178681719613929</v>
      </c>
      <c r="Z651" cm="1">
        <f t="array" ref="Z651">IFERROR(AVERAGE(_xlfn._xlws.FILTER(T$2:T$1073,($C$2:$C$1073=$C651)*($E$2:$E$1073=$E651)*(ROW(T$2:T$1073)&lt;&gt;ROW(T651))*(T$2:T$1073&lt;&gt;""))),"")</f>
        <v>-2.007011623977166E-2</v>
      </c>
      <c r="AA651" cm="1">
        <f t="array" ref="AA651">IFERROR(AVERAGE(_xlfn._xlws.FILTER(U$2:U$1073,($C$2:$C$1073=$C651)*($E$2:$E$1073=$E651)*(ROW(U$2:U$1073)&lt;&gt;ROW(U651))*(U$2:U$1073&lt;&gt;""))),"")</f>
        <v>-16.044507701133888</v>
      </c>
    </row>
    <row r="652" spans="1:27" x14ac:dyDescent="0.2">
      <c r="A652" s="7" t="s">
        <v>2319</v>
      </c>
      <c r="B652" t="str">
        <f t="shared" si="112"/>
        <v>PRMD IV кв. 2015</v>
      </c>
      <c r="C652">
        <v>2015</v>
      </c>
      <c r="D652">
        <f>SUMIFS(Дивиденды!$C:$C,Дивиденды!$A:$A,A652,Дивиденды!$I:$I,C652)</f>
        <v>0</v>
      </c>
      <c r="E652">
        <v>4</v>
      </c>
      <c r="F652">
        <f t="shared" si="113"/>
        <v>0</v>
      </c>
      <c r="G652">
        <f t="shared" si="114"/>
        <v>22.574999999999999</v>
      </c>
      <c r="H652">
        <f t="shared" si="115"/>
        <v>0</v>
      </c>
      <c r="I652">
        <f t="shared" si="111"/>
        <v>0.14285714285714285</v>
      </c>
      <c r="J652">
        <f t="shared" si="116"/>
        <v>0</v>
      </c>
      <c r="K652">
        <f t="shared" si="120"/>
        <v>6.1102189263868886E-2</v>
      </c>
      <c r="L652">
        <f t="shared" si="117"/>
        <v>0</v>
      </c>
      <c r="M652">
        <f t="shared" si="110"/>
        <v>7.1428571428571425E-2</v>
      </c>
      <c r="N652">
        <f t="shared" si="118"/>
        <v>0</v>
      </c>
      <c r="O652">
        <f t="shared" si="119"/>
        <v>7.1428571428571425E-2</v>
      </c>
      <c r="P652" t="str">
        <f>IFERROR(LN('Дивиденды по годам'!I652),"")</f>
        <v/>
      </c>
      <c r="Q652" t="str">
        <f>IFERROR('Дивиденды по годам'!G652/'Дивиденды по годам'!I652, "")</f>
        <v/>
      </c>
      <c r="R652" t="str">
        <f>IFERROR(IF(AND('Дивиденды по годам'!N652&lt;&gt;"",'Дивиденды по годам'!U652&lt;&gt;"",'Дивиденды по годам'!U652&lt;&gt;0),'Дивиденды по годам'!N652/'Дивиденды по годам'!U652-1,""),"")</f>
        <v/>
      </c>
      <c r="S652" t="str">
        <f>IFERROR(IF(AND('Дивиденды по годам'!L652&lt;&gt;"",'Дивиденды по годам'!I652&lt;&gt;"",'Дивиденды по годам'!J652&lt;&gt;"",'Дивиденды по годам'!K652&lt;&gt;"",('Дивиденды по годам'!I652-'Дивиденды по годам'!J652-'Дивиденды по годам'!K652)&lt;&gt;0),'Дивиденды по годам'!L652/('Дивиденды по годам'!I652-'Дивиденды по годам'!J652-'Дивиденды по годам'!K652),""),"")</f>
        <v/>
      </c>
      <c r="T652" t="str">
        <f>IFERROR(IF(AND('Дивиденды по годам'!Q652&lt;&gt;"",'Дивиденды по годам'!I652&lt;&gt;"",'Дивиденды по годам'!V652&lt;&gt;"",('Дивиденды по годам'!I652+'Дивиденды по годам'!V652)&lt;&gt;0),'Дивиденды по годам'!Q652/(('Дивиденды по годам'!I652+'Дивиденды по годам'!V652)/2),""),"")</f>
        <v/>
      </c>
      <c r="U652" t="str">
        <f>IFERROR(IF(AND('Дивиденды по годам'!J652&lt;&gt;"",'Дивиденды по годам'!K652&lt;&gt;"",'Дивиденды по годам'!M652&lt;&gt;"",'Дивиденды по годам'!M652&lt;&gt;0),('Дивиденды по годам'!J652+'Дивиденды по годам'!K652)/'Дивиденды по годам'!M652,""),"")</f>
        <v/>
      </c>
      <c r="V652" cm="1">
        <f t="array" ref="V652">IFERROR(AVERAGE(_xlfn._xlws.FILTER(P$2:P$1073,($C$2:$C$1073=$C652)*($E$2:$E$1073=$E652)*(ROW(P$2:P$1073)&lt;&gt;ROW(P652))*(P$2:P$1073&lt;&gt;""))),"")</f>
        <v>24.784857390248948</v>
      </c>
      <c r="W652" cm="1">
        <f t="array" ref="W652">IFERROR(AVERAGE(_xlfn._xlws.FILTER(Q$2:Q$1073,($C$2:$C$1073=$C652)*($E$2:$E$1073=$E652)*(ROW(Q$2:Q$1073)&lt;&gt;ROW(Q652))*(Q$2:Q$1073&lt;&gt;""))),"")</f>
        <v>0.29707306985497267</v>
      </c>
      <c r="X652" cm="1">
        <f t="array" ref="X652">IFERROR(AVERAGE(_xlfn._xlws.FILTER(R$2:R$1073,($C$2:$C$1073=$C652)*($E$2:$E$1073=$E652)*(ROW(R$2:R$1073)&lt;&gt;ROW(R652))*(R$2:R$1073&lt;&gt;""))),"")</f>
        <v>0.20074687596566593</v>
      </c>
      <c r="Y652" cm="1">
        <f t="array" ref="Y652">IFERROR(AVERAGE(_xlfn._xlws.FILTER(S$2:S$1073,($C$2:$C$1073=$C652)*($E$2:$E$1073=$E652)*(ROW(S$2:S$1073)&lt;&gt;ROW(S652))*(S$2:S$1073&lt;&gt;""))),"")</f>
        <v>-0.60736862679830428</v>
      </c>
      <c r="Z652" cm="1">
        <f t="array" ref="Z652">IFERROR(AVERAGE(_xlfn._xlws.FILTER(T$2:T$1073,($C$2:$C$1073=$C652)*($E$2:$E$1073=$E652)*(ROW(T$2:T$1073)&lt;&gt;ROW(T652))*(T$2:T$1073&lt;&gt;""))),"")</f>
        <v>6.4031956193225284E-2</v>
      </c>
      <c r="AA652" cm="1">
        <f t="array" ref="AA652">IFERROR(AVERAGE(_xlfn._xlws.FILTER(U$2:U$1073,($C$2:$C$1073=$C652)*($E$2:$E$1073=$E652)*(ROW(U$2:U$1073)&lt;&gt;ROW(U652))*(U$2:U$1073&lt;&gt;""))),"")</f>
        <v>5.5189604575277329</v>
      </c>
    </row>
    <row r="653" spans="1:27" x14ac:dyDescent="0.2">
      <c r="A653" s="7" t="s">
        <v>2319</v>
      </c>
      <c r="B653" t="str">
        <f t="shared" si="112"/>
        <v>PRMD IV кв. 2014</v>
      </c>
      <c r="C653">
        <v>2014</v>
      </c>
      <c r="D653">
        <f>SUMIFS(Дивиденды!$C:$C,Дивиденды!$A:$A,A653,Дивиденды!$I:$I,C653)</f>
        <v>0</v>
      </c>
      <c r="E653">
        <v>4</v>
      </c>
      <c r="F653">
        <f t="shared" si="113"/>
        <v>0</v>
      </c>
      <c r="G653">
        <f t="shared" si="114"/>
        <v>25.924285714285713</v>
      </c>
      <c r="H653">
        <f t="shared" si="115"/>
        <v>0</v>
      </c>
      <c r="I653">
        <f t="shared" si="111"/>
        <v>7.1428571428571425E-2</v>
      </c>
      <c r="J653">
        <f t="shared" si="116"/>
        <v>0</v>
      </c>
      <c r="K653">
        <f t="shared" si="120"/>
        <v>4.887635107293415E-2</v>
      </c>
      <c r="L653">
        <f t="shared" si="117"/>
        <v>0</v>
      </c>
      <c r="M653">
        <f t="shared" si="110"/>
        <v>7.1428571428571425E-2</v>
      </c>
      <c r="N653">
        <f t="shared" si="118"/>
        <v>0</v>
      </c>
      <c r="O653">
        <f t="shared" si="119"/>
        <v>7.1428571428571425E-2</v>
      </c>
      <c r="P653" t="str">
        <f>IFERROR(LN('Дивиденды по годам'!I653),"")</f>
        <v/>
      </c>
      <c r="Q653" t="str">
        <f>IFERROR('Дивиденды по годам'!G653/'Дивиденды по годам'!I653, "")</f>
        <v/>
      </c>
      <c r="R653" t="str">
        <f>IFERROR(IF(AND('Дивиденды по годам'!N653&lt;&gt;"",'Дивиденды по годам'!U653&lt;&gt;"",'Дивиденды по годам'!U653&lt;&gt;0),'Дивиденды по годам'!N653/'Дивиденды по годам'!U653-1,""),"")</f>
        <v/>
      </c>
      <c r="S653" t="str">
        <f>IFERROR(IF(AND('Дивиденды по годам'!L653&lt;&gt;"",'Дивиденды по годам'!I653&lt;&gt;"",'Дивиденды по годам'!J653&lt;&gt;"",'Дивиденды по годам'!K653&lt;&gt;"",('Дивиденды по годам'!I653-'Дивиденды по годам'!J653-'Дивиденды по годам'!K653)&lt;&gt;0),'Дивиденды по годам'!L653/('Дивиденды по годам'!I653-'Дивиденды по годам'!J653-'Дивиденды по годам'!K653),""),"")</f>
        <v/>
      </c>
      <c r="T653" t="str">
        <f>IFERROR(IF(AND('Дивиденды по годам'!Q653&lt;&gt;"",'Дивиденды по годам'!I653&lt;&gt;"",'Дивиденды по годам'!V653&lt;&gt;"",('Дивиденды по годам'!I653+'Дивиденды по годам'!V653)&lt;&gt;0),'Дивиденды по годам'!Q653/(('Дивиденды по годам'!I653+'Дивиденды по годам'!V653)/2),""),"")</f>
        <v/>
      </c>
      <c r="U653" t="str">
        <f>IFERROR(IF(AND('Дивиденды по годам'!J653&lt;&gt;"",'Дивиденды по годам'!K653&lt;&gt;"",'Дивиденды по годам'!M653&lt;&gt;"",'Дивиденды по годам'!M653&lt;&gt;0),('Дивиденды по годам'!J653+'Дивиденды по годам'!K653)/'Дивиденды по годам'!M653,""),"")</f>
        <v/>
      </c>
      <c r="V653" cm="1">
        <f t="array" ref="V653">IFERROR(AVERAGE(_xlfn._xlws.FILTER(P$2:P$1073,($C$2:$C$1073=$C653)*($E$2:$E$1073=$E653)*(ROW(P$2:P$1073)&lt;&gt;ROW(P653))*(P$2:P$1073&lt;&gt;""))),"")</f>
        <v>24.777851287837404</v>
      </c>
      <c r="W653" cm="1">
        <f t="array" ref="W653">IFERROR(AVERAGE(_xlfn._xlws.FILTER(Q$2:Q$1073,($C$2:$C$1073=$C653)*($E$2:$E$1073=$E653)*(ROW(Q$2:Q$1073)&lt;&gt;ROW(Q653))*(Q$2:Q$1073&lt;&gt;""))),"")</f>
        <v>0.28994951624266957</v>
      </c>
      <c r="X653" cm="1">
        <f t="array" ref="X653">IFERROR(AVERAGE(_xlfn._xlws.FILTER(R$2:R$1073,($C$2:$C$1073=$C653)*($E$2:$E$1073=$E653)*(ROW(R$2:R$1073)&lt;&gt;ROW(R653))*(R$2:R$1073&lt;&gt;""))),"")</f>
        <v>8.5517195784799244E-2</v>
      </c>
      <c r="Y653" cm="1">
        <f t="array" ref="Y653">IFERROR(AVERAGE(_xlfn._xlws.FILTER(S$2:S$1073,($C$2:$C$1073=$C653)*($E$2:$E$1073=$E653)*(ROW(S$2:S$1073)&lt;&gt;ROW(S653))*(S$2:S$1073&lt;&gt;""))),"")</f>
        <v>-8.9932559622525012</v>
      </c>
      <c r="Z653" cm="1">
        <f t="array" ref="Z653">IFERROR(AVERAGE(_xlfn._xlws.FILTER(T$2:T$1073,($C$2:$C$1073=$C653)*($E$2:$E$1073=$E653)*(ROW(T$2:T$1073)&lt;&gt;ROW(T653))*(T$2:T$1073&lt;&gt;""))),"")</f>
        <v>3.4958573241250623E-2</v>
      </c>
      <c r="AA653" cm="1">
        <f t="array" ref="AA653">IFERROR(AVERAGE(_xlfn._xlws.FILTER(U$2:U$1073,($C$2:$C$1073=$C653)*($E$2:$E$1073=$E653)*(ROW(U$2:U$1073)&lt;&gt;ROW(U653))*(U$2:U$1073&lt;&gt;""))),"")</f>
        <v>34.444280572958768</v>
      </c>
    </row>
    <row r="654" spans="1:27" x14ac:dyDescent="0.2">
      <c r="A654" s="7" t="s">
        <v>2319</v>
      </c>
      <c r="B654" t="str">
        <f t="shared" si="112"/>
        <v>PRMD IV кв. 2013</v>
      </c>
      <c r="C654">
        <v>2013</v>
      </c>
      <c r="D654">
        <f>SUMIFS(Дивиденды!$C:$C,Дивиденды!$A:$A,A654,Дивиденды!$I:$I,C654)</f>
        <v>0</v>
      </c>
      <c r="E654">
        <v>4</v>
      </c>
      <c r="F654">
        <f t="shared" si="113"/>
        <v>0</v>
      </c>
      <c r="G654">
        <f t="shared" si="114"/>
        <v>13.409285714285716</v>
      </c>
      <c r="H654">
        <f t="shared" si="115"/>
        <v>0</v>
      </c>
      <c r="I654">
        <f t="shared" si="111"/>
        <v>0.14285714285714285</v>
      </c>
      <c r="J654">
        <f t="shared" si="116"/>
        <v>0</v>
      </c>
      <c r="K654">
        <f t="shared" si="120"/>
        <v>4.7291245939064024E-2</v>
      </c>
      <c r="L654">
        <f t="shared" si="117"/>
        <v>0</v>
      </c>
      <c r="M654">
        <f t="shared" si="110"/>
        <v>7.1428571428571425E-2</v>
      </c>
      <c r="N654">
        <f t="shared" si="118"/>
        <v>0</v>
      </c>
      <c r="O654">
        <f t="shared" si="119"/>
        <v>0</v>
      </c>
      <c r="P654" t="str">
        <f>IFERROR(LN('Дивиденды по годам'!I654),"")</f>
        <v/>
      </c>
      <c r="Q654" t="str">
        <f>IFERROR('Дивиденды по годам'!G654/'Дивиденды по годам'!I654, "")</f>
        <v/>
      </c>
      <c r="R654" t="str">
        <f>IFERROR(IF(AND('Дивиденды по годам'!N654&lt;&gt;"",'Дивиденды по годам'!U654&lt;&gt;"",'Дивиденды по годам'!U654&lt;&gt;0),'Дивиденды по годам'!N654/'Дивиденды по годам'!U654-1,""),"")</f>
        <v/>
      </c>
      <c r="S654" t="str">
        <f>IFERROR(IF(AND('Дивиденды по годам'!L654&lt;&gt;"",'Дивиденды по годам'!I654&lt;&gt;"",'Дивиденды по годам'!J654&lt;&gt;"",'Дивиденды по годам'!K654&lt;&gt;"",('Дивиденды по годам'!I654-'Дивиденды по годам'!J654-'Дивиденды по годам'!K654)&lt;&gt;0),'Дивиденды по годам'!L654/('Дивиденды по годам'!I654-'Дивиденды по годам'!J654-'Дивиденды по годам'!K654),""),"")</f>
        <v/>
      </c>
      <c r="T654" t="str">
        <f>IFERROR(IF(AND('Дивиденды по годам'!Q654&lt;&gt;"",'Дивиденды по годам'!I654&lt;&gt;"",'Дивиденды по годам'!V654&lt;&gt;"",('Дивиденды по годам'!I654+'Дивиденды по годам'!V654)&lt;&gt;0),'Дивиденды по годам'!Q654/(('Дивиденды по годам'!I654+'Дивиденды по годам'!V654)/2),""),"")</f>
        <v/>
      </c>
      <c r="U654" t="str">
        <f>IFERROR(IF(AND('Дивиденды по годам'!J654&lt;&gt;"",'Дивиденды по годам'!K654&lt;&gt;"",'Дивиденды по годам'!M654&lt;&gt;"",'Дивиденды по годам'!M654&lt;&gt;0),('Дивиденды по годам'!J654+'Дивиденды по годам'!K654)/'Дивиденды по годам'!M654,""),"")</f>
        <v/>
      </c>
      <c r="V654" cm="1">
        <f t="array" ref="V654">IFERROR(AVERAGE(_xlfn._xlws.FILTER(P$2:P$1073,($C$2:$C$1073=$C654)*($E$2:$E$1073=$E654)*(ROW(P$2:P$1073)&lt;&gt;ROW(P654))*(P$2:P$1073&lt;&gt;""))),"")</f>
        <v>24.281308125321722</v>
      </c>
      <c r="W654" cm="1">
        <f t="array" ref="W654">IFERROR(AVERAGE(_xlfn._xlws.FILTER(Q$2:Q$1073,($C$2:$C$1073=$C654)*($E$2:$E$1073=$E654)*(ROW(Q$2:Q$1073)&lt;&gt;ROW(Q654))*(Q$2:Q$1073&lt;&gt;""))),"")</f>
        <v>0.34809372453666254</v>
      </c>
      <c r="X654" cm="1">
        <f t="array" ref="X654">IFERROR(AVERAGE(_xlfn._xlws.FILTER(R$2:R$1073,($C$2:$C$1073=$C654)*($E$2:$E$1073=$E654)*(ROW(R$2:R$1073)&lt;&gt;ROW(R654))*(R$2:R$1073&lt;&gt;""))),"")</f>
        <v>0.17531341667142472</v>
      </c>
      <c r="Y654" t="str" cm="1">
        <f t="array" ref="Y654">IFERROR(AVERAGE(_xlfn._xlws.FILTER(S$2:S$1073,($C$2:$C$1073=$C654)*($E$2:$E$1073=$E654)*(ROW(S$2:S$1073)&lt;&gt;ROW(S654))*(S$2:S$1073&lt;&gt;""))),"")</f>
        <v/>
      </c>
      <c r="Z654" cm="1">
        <f t="array" ref="Z654">IFERROR(AVERAGE(_xlfn._xlws.FILTER(T$2:T$1073,($C$2:$C$1073=$C654)*($E$2:$E$1073=$E654)*(ROW(T$2:T$1073)&lt;&gt;ROW(T654))*(T$2:T$1073&lt;&gt;""))),"")</f>
        <v>-0.12490141563278262</v>
      </c>
      <c r="AA654" cm="1">
        <f t="array" ref="AA654">IFERROR(AVERAGE(_xlfn._xlws.FILTER(U$2:U$1073,($C$2:$C$1073=$C654)*($E$2:$E$1073=$E654)*(ROW(U$2:U$1073)&lt;&gt;ROW(U654))*(U$2:U$1073&lt;&gt;""))),"")</f>
        <v>0.44566877182826042</v>
      </c>
    </row>
    <row r="655" spans="1:27" x14ac:dyDescent="0.2">
      <c r="A655" s="7" t="s">
        <v>2319</v>
      </c>
      <c r="B655" t="str">
        <f t="shared" si="112"/>
        <v>PRMD IV кв. 2012</v>
      </c>
      <c r="C655">
        <v>2012</v>
      </c>
      <c r="D655">
        <f>SUMIFS(Дивиденды!$C:$C,Дивиденды!$A:$A,A655,Дивиденды!$I:$I,C655)</f>
        <v>0</v>
      </c>
      <c r="E655">
        <v>4</v>
      </c>
      <c r="F655">
        <f t="shared" si="113"/>
        <v>0</v>
      </c>
      <c r="G655">
        <f t="shared" si="114"/>
        <v>9.5621428571428577</v>
      </c>
      <c r="H655">
        <f t="shared" si="115"/>
        <v>0</v>
      </c>
      <c r="I655">
        <f t="shared" si="111"/>
        <v>0.14285714285714285</v>
      </c>
      <c r="J655">
        <f t="shared" si="116"/>
        <v>0</v>
      </c>
      <c r="K655">
        <f t="shared" si="120"/>
        <v>0.25341100242975517</v>
      </c>
      <c r="L655">
        <f t="shared" si="117"/>
        <v>0</v>
      </c>
      <c r="M655">
        <f t="shared" si="110"/>
        <v>0.14285714285714285</v>
      </c>
      <c r="N655">
        <f t="shared" si="118"/>
        <v>0</v>
      </c>
      <c r="O655">
        <f t="shared" si="119"/>
        <v>0</v>
      </c>
      <c r="P655" t="str">
        <f>IFERROR(LN('Дивиденды по годам'!I655),"")</f>
        <v/>
      </c>
      <c r="Q655" t="str">
        <f>IFERROR('Дивиденды по годам'!G655/'Дивиденды по годам'!I655, "")</f>
        <v/>
      </c>
      <c r="R655" t="str">
        <f>IFERROR(IF(AND('Дивиденды по годам'!N655&lt;&gt;"",'Дивиденды по годам'!U655&lt;&gt;"",'Дивиденды по годам'!U655&lt;&gt;0),'Дивиденды по годам'!N655/'Дивиденды по годам'!U655-1,""),"")</f>
        <v/>
      </c>
      <c r="S655" t="str">
        <f>IFERROR(IF(AND('Дивиденды по годам'!L655&lt;&gt;"",'Дивиденды по годам'!I655&lt;&gt;"",'Дивиденды по годам'!J655&lt;&gt;"",'Дивиденды по годам'!K655&lt;&gt;"",('Дивиденды по годам'!I655-'Дивиденды по годам'!J655-'Дивиденды по годам'!K655)&lt;&gt;0),'Дивиденды по годам'!L655/('Дивиденды по годам'!I655-'Дивиденды по годам'!J655-'Дивиденды по годам'!K655),""),"")</f>
        <v/>
      </c>
      <c r="T655" t="str">
        <f>IFERROR(IF(AND('Дивиденды по годам'!Q655&lt;&gt;"",'Дивиденды по годам'!I655&lt;&gt;"",'Дивиденды по годам'!V655&lt;&gt;"",('Дивиденды по годам'!I655+'Дивиденды по годам'!V655)&lt;&gt;0),'Дивиденды по годам'!Q655/(('Дивиденды по годам'!I655+'Дивиденды по годам'!V655)/2),""),"")</f>
        <v/>
      </c>
      <c r="U655" t="str">
        <f>IFERROR(IF(AND('Дивиденды по годам'!J655&lt;&gt;"",'Дивиденды по годам'!K655&lt;&gt;"",'Дивиденды по годам'!M655&lt;&gt;"",'Дивиденды по годам'!M655&lt;&gt;0),('Дивиденды по годам'!J655+'Дивиденды по годам'!K655)/'Дивиденды по годам'!M655,""),"")</f>
        <v/>
      </c>
      <c r="V655" cm="1">
        <f t="array" ref="V655">IFERROR(AVERAGE(_xlfn._xlws.FILTER(P$2:P$1073,($C$2:$C$1073=$C655)*($E$2:$E$1073=$E655)*(ROW(P$2:P$1073)&lt;&gt;ROW(P655))*(P$2:P$1073&lt;&gt;""))),"")</f>
        <v>24.228370506718147</v>
      </c>
      <c r="W655" cm="1">
        <f t="array" ref="W655">IFERROR(AVERAGE(_xlfn._xlws.FILTER(Q$2:Q$1073,($C$2:$C$1073=$C655)*($E$2:$E$1073=$E655)*(ROW(Q$2:Q$1073)&lt;&gt;ROW(Q655))*(Q$2:Q$1073&lt;&gt;""))),"")</f>
        <v>0.2820560824162458</v>
      </c>
      <c r="X655" cm="1">
        <f t="array" ref="X655">IFERROR(AVERAGE(_xlfn._xlws.FILTER(R$2:R$1073,($C$2:$C$1073=$C655)*($E$2:$E$1073=$E655)*(ROW(R$2:R$1073)&lt;&gt;ROW(R655))*(R$2:R$1073&lt;&gt;""))),"")</f>
        <v>-2.2522357472477484E-2</v>
      </c>
      <c r="Y655" cm="1">
        <f t="array" ref="Y655">IFERROR(AVERAGE(_xlfn._xlws.FILTER(S$2:S$1073,($C$2:$C$1073=$C655)*($E$2:$E$1073=$E655)*(ROW(S$2:S$1073)&lt;&gt;ROW(S655))*(S$2:S$1073&lt;&gt;""))),"")</f>
        <v>-1.7651061513336963</v>
      </c>
      <c r="Z655" cm="1">
        <f t="array" ref="Z655">IFERROR(AVERAGE(_xlfn._xlws.FILTER(T$2:T$1073,($C$2:$C$1073=$C655)*($E$2:$E$1073=$E655)*(ROW(T$2:T$1073)&lt;&gt;ROW(T655))*(T$2:T$1073&lt;&gt;""))),"")</f>
        <v>6.8400459116201365E-2</v>
      </c>
      <c r="AA655" cm="1">
        <f t="array" ref="AA655">IFERROR(AVERAGE(_xlfn._xlws.FILTER(U$2:U$1073,($C$2:$C$1073=$C655)*($E$2:$E$1073=$E655)*(ROW(U$2:U$1073)&lt;&gt;ROW(U655))*(U$2:U$1073&lt;&gt;""))),"")</f>
        <v>-3.9631898894189463</v>
      </c>
    </row>
    <row r="656" spans="1:27" x14ac:dyDescent="0.2">
      <c r="A656" s="7" t="s">
        <v>2319</v>
      </c>
      <c r="B656" t="str">
        <f t="shared" si="112"/>
        <v>PRMD IV кв. 2011</v>
      </c>
      <c r="C656">
        <v>2011</v>
      </c>
      <c r="D656">
        <f>SUMIFS(Дивиденды!$C:$C,Дивиденды!$A:$A,A656,Дивиденды!$I:$I,C656)</f>
        <v>0</v>
      </c>
      <c r="E656">
        <v>4</v>
      </c>
      <c r="F656">
        <f t="shared" si="113"/>
        <v>0</v>
      </c>
      <c r="G656">
        <f t="shared" si="114"/>
        <v>1.6378571428571429</v>
      </c>
      <c r="H656">
        <f t="shared" si="115"/>
        <v>0</v>
      </c>
      <c r="I656">
        <f t="shared" si="111"/>
        <v>7.1428571428571425E-2</v>
      </c>
      <c r="J656">
        <f t="shared" si="116"/>
        <v>0</v>
      </c>
      <c r="K656">
        <f t="shared" si="120"/>
        <v>0.17786475320721892</v>
      </c>
      <c r="L656">
        <f t="shared" si="117"/>
        <v>0</v>
      </c>
      <c r="M656">
        <f t="shared" si="110"/>
        <v>7.1428571428571425E-2</v>
      </c>
      <c r="N656">
        <f t="shared" si="118"/>
        <v>0</v>
      </c>
      <c r="O656">
        <f t="shared" si="119"/>
        <v>0</v>
      </c>
      <c r="P656" t="str">
        <f>IFERROR(LN('Дивиденды по годам'!I656),"")</f>
        <v/>
      </c>
      <c r="Q656" t="str">
        <f>IFERROR('Дивиденды по годам'!G656/'Дивиденды по годам'!I656, "")</f>
        <v/>
      </c>
      <c r="R656" t="str">
        <f>IFERROR(IF(AND('Дивиденды по годам'!N656&lt;&gt;"",'Дивиденды по годам'!U656&lt;&gt;"",'Дивиденды по годам'!U656&lt;&gt;0),'Дивиденды по годам'!N656/'Дивиденды по годам'!U656-1,""),"")</f>
        <v/>
      </c>
      <c r="S656" t="str">
        <f>IFERROR(IF(AND('Дивиденды по годам'!L656&lt;&gt;"",'Дивиденды по годам'!I656&lt;&gt;"",'Дивиденды по годам'!J656&lt;&gt;"",'Дивиденды по годам'!K656&lt;&gt;"",('Дивиденды по годам'!I656-'Дивиденды по годам'!J656-'Дивиденды по годам'!K656)&lt;&gt;0),'Дивиденды по годам'!L656/('Дивиденды по годам'!I656-'Дивиденды по годам'!J656-'Дивиденды по годам'!K656),""),"")</f>
        <v/>
      </c>
      <c r="T656" t="str">
        <f>IFERROR(IF(AND('Дивиденды по годам'!Q656&lt;&gt;"",'Дивиденды по годам'!I656&lt;&gt;"",'Дивиденды по годам'!V656&lt;&gt;"",('Дивиденды по годам'!I656+'Дивиденды по годам'!V656)&lt;&gt;0),'Дивиденды по годам'!Q656/(('Дивиденды по годам'!I656+'Дивиденды по годам'!V656)/2),""),"")</f>
        <v/>
      </c>
      <c r="U656" t="str">
        <f>IFERROR(IF(AND('Дивиденды по годам'!J656&lt;&gt;"",'Дивиденды по годам'!K656&lt;&gt;"",'Дивиденды по годам'!M656&lt;&gt;"",'Дивиденды по годам'!M656&lt;&gt;0),('Дивиденды по годам'!J656+'Дивиденды по годам'!K656)/'Дивиденды по годам'!M656,""),"")</f>
        <v/>
      </c>
      <c r="V656" cm="1">
        <f t="array" ref="V656">IFERROR(AVERAGE(_xlfn._xlws.FILTER(P$2:P$1073,($C$2:$C$1073=$C656)*($E$2:$E$1073=$E656)*(ROW(P$2:P$1073)&lt;&gt;ROW(P656))*(P$2:P$1073&lt;&gt;""))),"")</f>
        <v>24.180789108496477</v>
      </c>
      <c r="W656" cm="1">
        <f t="array" ref="W656">IFERROR(AVERAGE(_xlfn._xlws.FILTER(Q$2:Q$1073,($C$2:$C$1073=$C656)*($E$2:$E$1073=$E656)*(ROW(Q$2:Q$1073)&lt;&gt;ROW(Q656))*(Q$2:Q$1073&lt;&gt;""))),"")</f>
        <v>0.29604752502083465</v>
      </c>
      <c r="X656" cm="1">
        <f t="array" ref="X656">IFERROR(AVERAGE(_xlfn._xlws.FILTER(R$2:R$1073,($C$2:$C$1073=$C656)*($E$2:$E$1073=$E656)*(ROW(R$2:R$1073)&lt;&gt;ROW(R656))*(R$2:R$1073&lt;&gt;""))),"")</f>
        <v>5.9511017560386792E-2</v>
      </c>
      <c r="Y656" t="str" cm="1">
        <f t="array" ref="Y656">IFERROR(AVERAGE(_xlfn._xlws.FILTER(S$2:S$1073,($C$2:$C$1073=$C656)*($E$2:$E$1073=$E656)*(ROW(S$2:S$1073)&lt;&gt;ROW(S656))*(S$2:S$1073&lt;&gt;""))),"")</f>
        <v/>
      </c>
      <c r="Z656" cm="1">
        <f t="array" ref="Z656">IFERROR(AVERAGE(_xlfn._xlws.FILTER(T$2:T$1073,($C$2:$C$1073=$C656)*($E$2:$E$1073=$E656)*(ROW(T$2:T$1073)&lt;&gt;ROW(T656))*(T$2:T$1073&lt;&gt;""))),"")</f>
        <v>-1.4171101286470289E-2</v>
      </c>
      <c r="AA656" cm="1">
        <f t="array" ref="AA656">IFERROR(AVERAGE(_xlfn._xlws.FILTER(U$2:U$1073,($C$2:$C$1073=$C656)*($E$2:$E$1073=$E656)*(ROW(U$2:U$1073)&lt;&gt;ROW(U656))*(U$2:U$1073&lt;&gt;""))),"")</f>
        <v>2.1854574410792247</v>
      </c>
    </row>
    <row r="657" spans="1:27" x14ac:dyDescent="0.2">
      <c r="A657" s="7" t="s">
        <v>2319</v>
      </c>
      <c r="B657" t="str">
        <f t="shared" si="112"/>
        <v>PRMD IV кв. 2010</v>
      </c>
      <c r="C657">
        <v>2010</v>
      </c>
      <c r="D657">
        <f>SUMIFS(Дивиденды!$C:$C,Дивиденды!$A:$A,A657,Дивиденды!$I:$I,C657)</f>
        <v>0</v>
      </c>
      <c r="E657">
        <v>4</v>
      </c>
      <c r="F657">
        <f t="shared" si="113"/>
        <v>0</v>
      </c>
      <c r="G657">
        <f t="shared" si="114"/>
        <v>0.46928571428571431</v>
      </c>
      <c r="H657">
        <f t="shared" si="115"/>
        <v>0</v>
      </c>
      <c r="I657">
        <f t="shared" si="111"/>
        <v>7.1428571428571425E-2</v>
      </c>
      <c r="J657" t="str">
        <f t="shared" si="116"/>
        <v/>
      </c>
      <c r="K657" t="str">
        <f t="shared" si="120"/>
        <v/>
      </c>
      <c r="L657" t="str">
        <f t="shared" si="117"/>
        <v/>
      </c>
      <c r="M657" t="str">
        <f t="shared" si="110"/>
        <v/>
      </c>
      <c r="N657" t="str">
        <f t="shared" si="118"/>
        <v/>
      </c>
      <c r="O657" t="str">
        <f t="shared" si="119"/>
        <v/>
      </c>
      <c r="P657" t="str">
        <f>IFERROR(LN('Дивиденды по годам'!I657),"")</f>
        <v/>
      </c>
      <c r="Q657" t="str">
        <f>IFERROR('Дивиденды по годам'!G657/'Дивиденды по годам'!I657, "")</f>
        <v/>
      </c>
      <c r="R657" t="str">
        <f>IFERROR(IF(AND('Дивиденды по годам'!N657&lt;&gt;"",'Дивиденды по годам'!U657&lt;&gt;"",'Дивиденды по годам'!U657&lt;&gt;0),'Дивиденды по годам'!N657/'Дивиденды по годам'!U657-1,""),"")</f>
        <v/>
      </c>
      <c r="S657" t="str">
        <f>IFERROR(IF(AND('Дивиденды по годам'!L657&lt;&gt;"",'Дивиденды по годам'!I657&lt;&gt;"",'Дивиденды по годам'!J657&lt;&gt;"",'Дивиденды по годам'!K657&lt;&gt;"",('Дивиденды по годам'!I657-'Дивиденды по годам'!J657-'Дивиденды по годам'!K657)&lt;&gt;0),'Дивиденды по годам'!L657/('Дивиденды по годам'!I657-'Дивиденды по годам'!J657-'Дивиденды по годам'!K657),""),"")</f>
        <v/>
      </c>
      <c r="T657" t="str">
        <f>IFERROR(IF(AND('Дивиденды по годам'!Q657&lt;&gt;"",'Дивиденды по годам'!I657&lt;&gt;"",'Дивиденды по годам'!V657&lt;&gt;"",('Дивиденды по годам'!I657+'Дивиденды по годам'!V657)&lt;&gt;0),'Дивиденды по годам'!Q657/(('Дивиденды по годам'!I657+'Дивиденды по годам'!V657)/2),""),"")</f>
        <v/>
      </c>
      <c r="U657" t="str">
        <f>IFERROR(IF(AND('Дивиденды по годам'!J657&lt;&gt;"",'Дивиденды по годам'!K657&lt;&gt;"",'Дивиденды по годам'!M657&lt;&gt;"",'Дивиденды по годам'!M657&lt;&gt;0),('Дивиденды по годам'!J657+'Дивиденды по годам'!K657)/'Дивиденды по годам'!M657,""),"")</f>
        <v/>
      </c>
      <c r="V657" cm="1">
        <f t="array" ref="V657">IFERROR(AVERAGE(_xlfn._xlws.FILTER(P$2:P$1073,($C$2:$C$1073=$C657)*($E$2:$E$1073=$E657)*(ROW(P$2:P$1073)&lt;&gt;ROW(P657))*(P$2:P$1073&lt;&gt;""))),"")</f>
        <v>23.656010386255485</v>
      </c>
      <c r="W657" cm="1">
        <f t="array" ref="W657">IFERROR(AVERAGE(_xlfn._xlws.FILTER(Q$2:Q$1073,($C$2:$C$1073=$C657)*($E$2:$E$1073=$E657)*(ROW(Q$2:Q$1073)&lt;&gt;ROW(Q657))*(Q$2:Q$1073&lt;&gt;""))),"")</f>
        <v>0.15222241747474585</v>
      </c>
      <c r="X657" t="str" cm="1">
        <f t="array" ref="X657">IFERROR(AVERAGE(_xlfn._xlws.FILTER(R$2:R$1073,($C$2:$C$1073=$C657)*($E$2:$E$1073=$E657)*(ROW(R$2:R$1073)&lt;&gt;ROW(R657))*(R$2:R$1073&lt;&gt;""))),"")</f>
        <v/>
      </c>
      <c r="Y657" t="str" cm="1">
        <f t="array" ref="Y657">IFERROR(AVERAGE(_xlfn._xlws.FILTER(S$2:S$1073,($C$2:$C$1073=$C657)*($E$2:$E$1073=$E657)*(ROW(S$2:S$1073)&lt;&gt;ROW(S657))*(S$2:S$1073&lt;&gt;""))),"")</f>
        <v/>
      </c>
      <c r="Z657" t="str" cm="1">
        <f t="array" ref="Z657">IFERROR(AVERAGE(_xlfn._xlws.FILTER(T$2:T$1073,($C$2:$C$1073=$C657)*($E$2:$E$1073=$E657)*(ROW(T$2:T$1073)&lt;&gt;ROW(T657))*(T$2:T$1073&lt;&gt;""))),"")</f>
        <v/>
      </c>
      <c r="AA657" cm="1">
        <f t="array" ref="AA657">IFERROR(AVERAGE(_xlfn._xlws.FILTER(U$2:U$1073,($C$2:$C$1073=$C657)*($E$2:$E$1073=$E657)*(ROW(U$2:U$1073)&lt;&gt;ROW(U657))*(U$2:U$1073&lt;&gt;""))),"")</f>
        <v>2.8988498110700496</v>
      </c>
    </row>
    <row r="658" spans="1:27" x14ac:dyDescent="0.2">
      <c r="A658" s="8" t="s">
        <v>2320</v>
      </c>
      <c r="B658" t="str">
        <f t="shared" si="112"/>
        <v>RAGR IV кв. 2025</v>
      </c>
      <c r="C658" s="8">
        <v>2025</v>
      </c>
      <c r="D658">
        <f>SUMIFS(Дивиденды!$C:$C,Дивиденды!$A:$A,A658,Дивиденды!$I:$I,C658)</f>
        <v>0</v>
      </c>
      <c r="E658">
        <v>4</v>
      </c>
      <c r="F658">
        <f t="shared" si="113"/>
        <v>0</v>
      </c>
      <c r="G658">
        <f t="shared" si="114"/>
        <v>31.581428571428571</v>
      </c>
      <c r="H658">
        <f t="shared" si="115"/>
        <v>0</v>
      </c>
      <c r="I658">
        <f t="shared" si="111"/>
        <v>0.42857142857142855</v>
      </c>
      <c r="J658">
        <f t="shared" si="116"/>
        <v>0</v>
      </c>
      <c r="K658">
        <f t="shared" si="120"/>
        <v>-0.1825263432406963</v>
      </c>
      <c r="L658">
        <f t="shared" si="117"/>
        <v>0</v>
      </c>
      <c r="M658">
        <f t="shared" si="110"/>
        <v>0.14285714285714285</v>
      </c>
      <c r="N658">
        <f t="shared" si="118"/>
        <v>0</v>
      </c>
      <c r="O658">
        <f t="shared" si="119"/>
        <v>0.5</v>
      </c>
      <c r="P658">
        <f>IFERROR(LN('Дивиденды по годам'!I658),"")</f>
        <v>27.035302172323565</v>
      </c>
      <c r="Q658">
        <f>IFERROR('Дивиденды по годам'!G658/'Дивиденды по годам'!I658, "")</f>
        <v>0.38216761295177176</v>
      </c>
      <c r="R658">
        <f>IFERROR(IF(AND('Дивиденды по годам'!N658&lt;&gt;"",'Дивиденды по годам'!U658&lt;&gt;"",'Дивиденды по годам'!U658&lt;&gt;0),'Дивиденды по годам'!N658/'Дивиденды по годам'!U658-1,""),"")</f>
        <v>0.16572400152697453</v>
      </c>
      <c r="S658">
        <f>IFERROR(IF(AND('Дивиденды по годам'!L658&lt;&gt;"",'Дивиденды по годам'!I658&lt;&gt;"",'Дивиденды по годам'!J658&lt;&gt;"",'Дивиденды по годам'!K658&lt;&gt;"",('Дивиденды по годам'!I658-'Дивиденды по годам'!J658-'Дивиденды по годам'!K658)&lt;&gt;0),'Дивиденды по годам'!L658/('Дивиденды по годам'!I658-'Дивиденды по годам'!J658-'Дивиденды по годам'!K658),""),"")</f>
        <v>0.89689299090093288</v>
      </c>
      <c r="T658">
        <f>IFERROR(IF(AND('Дивиденды по годам'!Q658&lt;&gt;"",'Дивиденды по годам'!I658&lt;&gt;"",'Дивиденды по годам'!V658&lt;&gt;"",('Дивиденды по годам'!I658+'Дивиденды по годам'!V658)&lt;&gt;0),'Дивиденды по годам'!Q658/(('Дивиденды по годам'!I658+'Дивиденды по годам'!V658)/2),""),"")</f>
        <v>3.839991857233762E-2</v>
      </c>
      <c r="U658">
        <f>IFERROR(IF(AND('Дивиденды по годам'!J658&lt;&gt;"",'Дивиденды по годам'!K658&lt;&gt;"",'Дивиденды по годам'!M658&lt;&gt;"",'Дивиденды по годам'!M658&lt;&gt;0),('Дивиденды по годам'!J658+'Дивиденды по годам'!K658)/'Дивиденды по годам'!M658,""),"")</f>
        <v>1.1167869237645813</v>
      </c>
      <c r="V658" cm="1">
        <f t="array" ref="V658">IFERROR(AVERAGE(_xlfn._xlws.FILTER(P$2:P$1073,($C$2:$C$1073=$C658)*($E$2:$E$1073=$E658)*(ROW(P$2:P$1073)&lt;&gt;ROW(P658))*(P$2:P$1073&lt;&gt;""))),"")</f>
        <v>25.8995828907663</v>
      </c>
      <c r="W658" cm="1">
        <f t="array" ref="W658">IFERROR(AVERAGE(_xlfn._xlws.FILTER(Q$2:Q$1073,($C$2:$C$1073=$C658)*($E$2:$E$1073=$E658)*(ROW(Q$2:Q$1073)&lt;&gt;ROW(Q658))*(Q$2:Q$1073&lt;&gt;""))),"")</f>
        <v>0.43746432264640916</v>
      </c>
      <c r="X658" cm="1">
        <f t="array" ref="X658">IFERROR(AVERAGE(_xlfn._xlws.FILTER(R$2:R$1073,($C$2:$C$1073=$C658)*($E$2:$E$1073=$E658)*(ROW(R$2:R$1073)&lt;&gt;ROW(R658))*(R$2:R$1073&lt;&gt;""))),"")</f>
        <v>3.288683472960463E-2</v>
      </c>
      <c r="Y658" cm="1">
        <f t="array" ref="Y658">IFERROR(AVERAGE(_xlfn._xlws.FILTER(S$2:S$1073,($C$2:$C$1073=$C658)*($E$2:$E$1073=$E658)*(ROW(S$2:S$1073)&lt;&gt;ROW(S658))*(S$2:S$1073&lt;&gt;""))),"")</f>
        <v>0.95670170095055607</v>
      </c>
      <c r="Z658" cm="1">
        <f t="array" ref="Z658">IFERROR(AVERAGE(_xlfn._xlws.FILTER(T$2:T$1073,($C$2:$C$1073=$C658)*($E$2:$E$1073=$E658)*(ROW(T$2:T$1073)&lt;&gt;ROW(T658))*(T$2:T$1073&lt;&gt;""))),"")</f>
        <v>4.6762312489943463E-3</v>
      </c>
      <c r="AA658" cm="1">
        <f t="array" ref="AA658">IFERROR(AVERAGE(_xlfn._xlws.FILTER(U$2:U$1073,($C$2:$C$1073=$C658)*($E$2:$E$1073=$E658)*(ROW(U$2:U$1073)&lt;&gt;ROW(U658))*(U$2:U$1073&lt;&gt;""))),"")</f>
        <v>8.0235182946995689</v>
      </c>
    </row>
    <row r="659" spans="1:27" x14ac:dyDescent="0.2">
      <c r="A659" s="8" t="s">
        <v>2320</v>
      </c>
      <c r="B659" t="str">
        <f t="shared" si="112"/>
        <v>RAGR IV кв. 2024</v>
      </c>
      <c r="C659" s="8">
        <v>2024</v>
      </c>
      <c r="D659">
        <f>SUMIFS(Дивиденды!$C:$C,Дивиденды!$A:$A,A659,Дивиденды!$I:$I,C659)</f>
        <v>0</v>
      </c>
      <c r="E659">
        <v>4</v>
      </c>
      <c r="F659">
        <f t="shared" si="113"/>
        <v>0</v>
      </c>
      <c r="G659">
        <f t="shared" si="114"/>
        <v>62.511428571428574</v>
      </c>
      <c r="H659">
        <f t="shared" si="115"/>
        <v>0</v>
      </c>
      <c r="I659">
        <f t="shared" si="111"/>
        <v>0.5714285714285714</v>
      </c>
      <c r="J659">
        <f t="shared" si="116"/>
        <v>0</v>
      </c>
      <c r="K659">
        <f t="shared" si="120"/>
        <v>0.21145574536348383</v>
      </c>
      <c r="L659">
        <f t="shared" si="117"/>
        <v>0</v>
      </c>
      <c r="M659">
        <f t="shared" si="110"/>
        <v>0.35714285714285715</v>
      </c>
      <c r="N659">
        <f t="shared" si="118"/>
        <v>0</v>
      </c>
      <c r="O659">
        <f t="shared" si="119"/>
        <v>0.2857142857142857</v>
      </c>
      <c r="P659">
        <f>IFERROR(LN('Дивиденды по годам'!I659),"")</f>
        <v>26.914082625283072</v>
      </c>
      <c r="Q659">
        <f>IFERROR('Дивиденды по годам'!G659/'Дивиденды по годам'!I659, "")</f>
        <v>0.34954307013767782</v>
      </c>
      <c r="R659">
        <f>IFERROR(IF(AND('Дивиденды по годам'!N659&lt;&gt;"",'Дивиденды по годам'!U659&lt;&gt;"",'Дивиденды по годам'!U659&lt;&gt;0),'Дивиденды по годам'!N659/'Дивиденды по годам'!U659-1,""),"")</f>
        <v>0.37069946469971349</v>
      </c>
      <c r="S659">
        <f>IFERROR(IF(AND('Дивиденды по годам'!L659&lt;&gt;"",'Дивиденды по годам'!I659&lt;&gt;"",'Дивиденды по годам'!J659&lt;&gt;"",'Дивиденды по годам'!K659&lt;&gt;"",('Дивиденды по годам'!I659-'Дивиденды по годам'!J659-'Дивиденды по годам'!K659)&lt;&gt;0),'Дивиденды по годам'!L659/('Дивиденды по годам'!I659-'Дивиденды по годам'!J659-'Дивиденды по годам'!K659),""),"")</f>
        <v>0.90434027409505491</v>
      </c>
      <c r="T659">
        <f>IFERROR(IF(AND('Дивиденды по годам'!Q659&lt;&gt;"",'Дивиденды по годам'!I659&lt;&gt;"",'Дивиденды по годам'!V659&lt;&gt;"",('Дивиденды по годам'!I659+'Дивиденды по годам'!V659)&lt;&gt;0),'Дивиденды по годам'!Q659/(('Дивиденды по годам'!I659+'Дивиденды по годам'!V659)/2),""),"")</f>
        <v>7.7358323804260179E-2</v>
      </c>
      <c r="U659">
        <f>IFERROR(IF(AND('Дивиденды по годам'!J659&lt;&gt;"",'Дивиденды по годам'!K659&lt;&gt;"",'Дивиденды по годам'!M659&lt;&gt;"",'Дивиденды по годам'!M659&lt;&gt;0),('Дивиденды по годам'!J659+'Дивиденды по годам'!K659)/'Дивиденды по годам'!M659,""),"")</f>
        <v>1.1496229993904559</v>
      </c>
      <c r="V659" cm="1">
        <f t="array" ref="V659">IFERROR(AVERAGE(_xlfn._xlws.FILTER(P$2:P$1073,($C$2:$C$1073=$C659)*($E$2:$E$1073=$E659)*(ROW(P$2:P$1073)&lt;&gt;ROW(P659))*(P$2:P$1073&lt;&gt;""))),"")</f>
        <v>25.468423505886591</v>
      </c>
      <c r="W659" cm="1">
        <f t="array" ref="W659">IFERROR(AVERAGE(_xlfn._xlws.FILTER(Q$2:Q$1073,($C$2:$C$1073=$C659)*($E$2:$E$1073=$E659)*(ROW(Q$2:Q$1073)&lt;&gt;ROW(Q659))*(Q$2:Q$1073&lt;&gt;""))),"")</f>
        <v>0.25673737129731633</v>
      </c>
      <c r="X659" cm="1">
        <f t="array" ref="X659">IFERROR(AVERAGE(_xlfn._xlws.FILTER(R$2:R$1073,($C$2:$C$1073=$C659)*($E$2:$E$1073=$E659)*(ROW(R$2:R$1073)&lt;&gt;ROW(R659))*(R$2:R$1073&lt;&gt;""))),"")</f>
        <v>0.25794835835297586</v>
      </c>
      <c r="Y659" cm="1">
        <f t="array" ref="Y659">IFERROR(AVERAGE(_xlfn._xlws.FILTER(S$2:S$1073,($C$2:$C$1073=$C659)*($E$2:$E$1073=$E659)*(ROW(S$2:S$1073)&lt;&gt;ROW(S659))*(S$2:S$1073&lt;&gt;""))),"")</f>
        <v>1.190104992461676</v>
      </c>
      <c r="Z659" cm="1">
        <f t="array" ref="Z659">IFERROR(AVERAGE(_xlfn._xlws.FILTER(T$2:T$1073,($C$2:$C$1073=$C659)*($E$2:$E$1073=$E659)*(ROW(T$2:T$1073)&lt;&gt;ROW(T659))*(T$2:T$1073&lt;&gt;""))),"")</f>
        <v>7.2641160894765508E-2</v>
      </c>
      <c r="AA659" cm="1">
        <f t="array" ref="AA659">IFERROR(AVERAGE(_xlfn._xlws.FILTER(U$2:U$1073,($C$2:$C$1073=$C659)*($E$2:$E$1073=$E659)*(ROW(U$2:U$1073)&lt;&gt;ROW(U659))*(U$2:U$1073&lt;&gt;""))),"")</f>
        <v>4.193738861697331</v>
      </c>
    </row>
    <row r="660" spans="1:27" x14ac:dyDescent="0.2">
      <c r="A660" s="8" t="s">
        <v>2320</v>
      </c>
      <c r="B660" t="str">
        <f t="shared" si="112"/>
        <v>RAGR IV кв. 2023</v>
      </c>
      <c r="C660" s="8">
        <v>2023</v>
      </c>
      <c r="D660">
        <f>SUMIFS(Дивиденды!$C:$C,Дивиденды!$A:$A,A660,Дивиденды!$I:$I,C660)</f>
        <v>0</v>
      </c>
      <c r="E660">
        <v>4</v>
      </c>
      <c r="F660">
        <f t="shared" si="113"/>
        <v>0</v>
      </c>
      <c r="G660">
        <f t="shared" si="114"/>
        <v>90.740000000000009</v>
      </c>
      <c r="H660">
        <f t="shared" si="115"/>
        <v>0</v>
      </c>
      <c r="I660">
        <f t="shared" si="111"/>
        <v>0.5</v>
      </c>
      <c r="J660">
        <f t="shared" si="116"/>
        <v>0</v>
      </c>
      <c r="K660">
        <f t="shared" si="120"/>
        <v>0.29812745098039217</v>
      </c>
      <c r="L660">
        <f t="shared" si="117"/>
        <v>0</v>
      </c>
      <c r="M660">
        <f t="shared" si="110"/>
        <v>0.42857142857142855</v>
      </c>
      <c r="N660">
        <f t="shared" si="118"/>
        <v>0</v>
      </c>
      <c r="O660">
        <f t="shared" si="119"/>
        <v>0</v>
      </c>
      <c r="P660">
        <f>IFERROR(LN('Дивиденды по годам'!I660),"")</f>
        <v>26.516701426405966</v>
      </c>
      <c r="Q660">
        <f>IFERROR('Дивиденды по годам'!G660/'Дивиденды по годам'!I660, "")</f>
        <v>0.38584241573721878</v>
      </c>
      <c r="R660">
        <f>IFERROR(IF(AND('Дивиденды по годам'!N660&lt;&gt;"",'Дивиденды по годам'!U660&lt;&gt;"",'Дивиденды по годам'!U660&lt;&gt;0),'Дивиденды по годам'!N660/'Дивиденды по годам'!U660-1,""),"")</f>
        <v>4.7087426287949041E-2</v>
      </c>
      <c r="S660">
        <f>IFERROR(IF(AND('Дивиденды по годам'!L660&lt;&gt;"",'Дивиденды по годам'!I660&lt;&gt;"",'Дивиденды по годам'!J660&lt;&gt;"",'Дивиденды по годам'!K660&lt;&gt;"",('Дивиденды по годам'!I660-'Дивиденды по годам'!J660-'Дивиденды по годам'!K660)&lt;&gt;0),'Дивиденды по годам'!L660/('Дивиденды по годам'!I660-'Дивиденды по годам'!J660-'Дивиденды по годам'!K660),""),"")</f>
        <v>0.98436574309561886</v>
      </c>
      <c r="T660">
        <f>IFERROR(IF(AND('Дивиденды по годам'!Q660&lt;&gt;"",'Дивиденды по годам'!I660&lt;&gt;"",'Дивиденды по годам'!V660&lt;&gt;"",('Дивиденды по годам'!I660+'Дивиденды по годам'!V660)&lt;&gt;0),'Дивиденды по годам'!Q660/(('Дивиденды по годам'!I660+'Дивиденды по годам'!V660)/2),""),"")</f>
        <v>0.10739112230307903</v>
      </c>
      <c r="U660">
        <f>IFERROR(IF(AND('Дивиденды по годам'!J660&lt;&gt;"",'Дивиденды по годам'!K660&lt;&gt;"",'Дивиденды по годам'!M660&lt;&gt;"",'Дивиденды по годам'!M660&lt;&gt;0),('Дивиденды по годам'!J660+'Дивиденды по годам'!K660)/'Дивиденды по годам'!M660,""),"")</f>
        <v>1.1696758240020211</v>
      </c>
      <c r="V660" cm="1">
        <f t="array" ref="V660">IFERROR(AVERAGE(_xlfn._xlws.FILTER(P$2:P$1073,($C$2:$C$1073=$C660)*($E$2:$E$1073=$E660)*(ROW(P$2:P$1073)&lt;&gt;ROW(P660))*(P$2:P$1073&lt;&gt;""))),"")</f>
        <v>25.284844835496777</v>
      </c>
      <c r="W660" cm="1">
        <f t="array" ref="W660">IFERROR(AVERAGE(_xlfn._xlws.FILTER(Q$2:Q$1073,($C$2:$C$1073=$C660)*($E$2:$E$1073=$E660)*(ROW(Q$2:Q$1073)&lt;&gt;ROW(Q660))*(Q$2:Q$1073&lt;&gt;""))),"")</f>
        <v>0.24071204131689414</v>
      </c>
      <c r="X660" cm="1">
        <f t="array" ref="X660">IFERROR(AVERAGE(_xlfn._xlws.FILTER(R$2:R$1073,($C$2:$C$1073=$C660)*($E$2:$E$1073=$E660)*(ROW(R$2:R$1073)&lt;&gt;ROW(R660))*(R$2:R$1073&lt;&gt;""))),"")</f>
        <v>0.26274871272420669</v>
      </c>
      <c r="Y660" cm="1">
        <f t="array" ref="Y660">IFERROR(AVERAGE(_xlfn._xlws.FILTER(S$2:S$1073,($C$2:$C$1073=$C660)*($E$2:$E$1073=$E660)*(ROW(S$2:S$1073)&lt;&gt;ROW(S660))*(S$2:S$1073&lt;&gt;""))),"")</f>
        <v>1.2646817484394415</v>
      </c>
      <c r="Z660" cm="1">
        <f t="array" ref="Z660">IFERROR(AVERAGE(_xlfn._xlws.FILTER(T$2:T$1073,($C$2:$C$1073=$C660)*($E$2:$E$1073=$E660)*(ROW(T$2:T$1073)&lt;&gt;ROW(T660))*(T$2:T$1073&lt;&gt;""))),"")</f>
        <v>0.11055506661345645</v>
      </c>
      <c r="AA660" cm="1">
        <f t="array" ref="AA660">IFERROR(AVERAGE(_xlfn._xlws.FILTER(U$2:U$1073,($C$2:$C$1073=$C660)*($E$2:$E$1073=$E660)*(ROW(U$2:U$1073)&lt;&gt;ROW(U660))*(U$2:U$1073&lt;&gt;""))),"")</f>
        <v>2.6887496224733041</v>
      </c>
    </row>
    <row r="661" spans="1:27" x14ac:dyDescent="0.2">
      <c r="A661" s="8" t="s">
        <v>2320</v>
      </c>
      <c r="B661" t="str">
        <f t="shared" si="112"/>
        <v>RAGR IV кв. 2022</v>
      </c>
      <c r="C661" s="8">
        <v>2022</v>
      </c>
      <c r="D661">
        <f>SUMIFS(Дивиденды!$C:$C,Дивиденды!$A:$A,A661,Дивиденды!$I:$I,C661)</f>
        <v>0</v>
      </c>
      <c r="E661">
        <v>4</v>
      </c>
      <c r="F661">
        <f t="shared" si="113"/>
        <v>0</v>
      </c>
      <c r="G661">
        <f t="shared" si="114"/>
        <v>80.180000000000021</v>
      </c>
      <c r="H661">
        <f t="shared" si="115"/>
        <v>0</v>
      </c>
      <c r="I661">
        <f t="shared" si="111"/>
        <v>0.2857142857142857</v>
      </c>
      <c r="J661">
        <f t="shared" si="116"/>
        <v>-1</v>
      </c>
      <c r="K661">
        <f t="shared" si="120"/>
        <v>0.56726481654930538</v>
      </c>
      <c r="L661">
        <f t="shared" si="117"/>
        <v>0</v>
      </c>
      <c r="M661">
        <f t="shared" si="110"/>
        <v>0.2857142857142857</v>
      </c>
      <c r="N661">
        <f t="shared" si="118"/>
        <v>1</v>
      </c>
      <c r="O661">
        <f t="shared" si="119"/>
        <v>0</v>
      </c>
      <c r="P661">
        <f>IFERROR(LN('Дивиденды по годам'!I661),"")</f>
        <v>26.765379737906734</v>
      </c>
      <c r="Q661">
        <f>IFERROR('Дивиденды по годам'!G661/'Дивиденды по годам'!I661, "")</f>
        <v>0.28296316417230294</v>
      </c>
      <c r="R661">
        <f>IFERROR(IF(AND('Дивиденды по годам'!N661&lt;&gt;"",'Дивиденды по годам'!U661&lt;&gt;"",'Дивиденды по годам'!U661&lt;&gt;0),'Дивиденды по годам'!N661/'Дивиденды по годам'!U661-1,""),"")</f>
        <v>8.3738091774261392E-2</v>
      </c>
      <c r="S661">
        <f>IFERROR(IF(AND('Дивиденды по годам'!L661&lt;&gt;"",'Дивиденды по годам'!I661&lt;&gt;"",'Дивиденды по годам'!J661&lt;&gt;"",'Дивиденды по годам'!K661&lt;&gt;"",('Дивиденды по годам'!I661-'Дивиденды по годам'!J661-'Дивиденды по годам'!K661)&lt;&gt;0),'Дивиденды по годам'!L661/('Дивиденды по годам'!I661-'Дивиденды по годам'!J661-'Дивиденды по годам'!K661),""),"")</f>
        <v>0.97869263117587002</v>
      </c>
      <c r="T661">
        <f>IFERROR(IF(AND('Дивиденды по годам'!Q661&lt;&gt;"",'Дивиденды по годам'!I661&lt;&gt;"",'Дивиденды по годам'!V661&lt;&gt;"",('Дивиденды по годам'!I661+'Дивиденды по годам'!V661)&lt;&gt;0),'Дивиденды по годам'!Q661/(('Дивиденды по годам'!I661+'Дивиденды по годам'!V661)/2),""),"")</f>
        <v>3.4653056956186722E-3</v>
      </c>
      <c r="U661">
        <f>IFERROR(IF(AND('Дивиденды по годам'!J661&lt;&gt;"",'Дивиденды по годам'!K661&lt;&gt;"",'Дивиденды по годам'!M661&lt;&gt;"",'Дивиденды по годам'!M661&lt;&gt;0),('Дивиденды по годам'!J661+'Дивиденды по годам'!K661)/'Дивиденды по годам'!M661,""),"")</f>
        <v>2.78997890948366</v>
      </c>
      <c r="V661" cm="1">
        <f t="array" ref="V661">IFERROR(AVERAGE(_xlfn._xlws.FILTER(P$2:P$1073,($C$2:$C$1073=$C661)*($E$2:$E$1073=$E661)*(ROW(P$2:P$1073)&lt;&gt;ROW(P661))*(P$2:P$1073&lt;&gt;""))),"")</f>
        <v>25.142575845018396</v>
      </c>
      <c r="W661" cm="1">
        <f t="array" ref="W661">IFERROR(AVERAGE(_xlfn._xlws.FILTER(Q$2:Q$1073,($C$2:$C$1073=$C661)*($E$2:$E$1073=$E661)*(ROW(Q$2:Q$1073)&lt;&gt;ROW(Q661))*(Q$2:Q$1073&lt;&gt;""))),"")</f>
        <v>0.24538093025768568</v>
      </c>
      <c r="X661" cm="1">
        <f t="array" ref="X661">IFERROR(AVERAGE(_xlfn._xlws.FILTER(R$2:R$1073,($C$2:$C$1073=$C661)*($E$2:$E$1073=$E661)*(ROW(R$2:R$1073)&lt;&gt;ROW(R661))*(R$2:R$1073&lt;&gt;""))),"")</f>
        <v>0.21617116671743697</v>
      </c>
      <c r="Y661" cm="1">
        <f t="array" ref="Y661">IFERROR(AVERAGE(_xlfn._xlws.FILTER(S$2:S$1073,($C$2:$C$1073=$C661)*($E$2:$E$1073=$E661)*(ROW(S$2:S$1073)&lt;&gt;ROW(S661))*(S$2:S$1073&lt;&gt;""))),"")</f>
        <v>1.3669487933336468</v>
      </c>
      <c r="Z661" cm="1">
        <f t="array" ref="Z661">IFERROR(AVERAGE(_xlfn._xlws.FILTER(T$2:T$1073,($C$2:$C$1073=$C661)*($E$2:$E$1073=$E661)*(ROW(T$2:T$1073)&lt;&gt;ROW(T661))*(T$2:T$1073&lt;&gt;""))),"")</f>
        <v>0.1096671246644751</v>
      </c>
      <c r="AA661" cm="1">
        <f t="array" ref="AA661">IFERROR(AVERAGE(_xlfn._xlws.FILTER(U$2:U$1073,($C$2:$C$1073=$C661)*($E$2:$E$1073=$E661)*(ROW(U$2:U$1073)&lt;&gt;ROW(U661))*(U$2:U$1073&lt;&gt;""))),"")</f>
        <v>2.1221022275377557</v>
      </c>
    </row>
    <row r="662" spans="1:27" x14ac:dyDescent="0.2">
      <c r="A662" s="8" t="s">
        <v>2320</v>
      </c>
      <c r="B662" t="str">
        <f t="shared" si="112"/>
        <v>RAGR IV кв. 2021</v>
      </c>
      <c r="C662" s="8">
        <v>2021</v>
      </c>
      <c r="D662">
        <f>SUMIFS(Дивиденды!$C:$C,Дивиденды!$A:$A,A662,Дивиденды!$I:$I,C662)</f>
        <v>20.67</v>
      </c>
      <c r="E662">
        <v>4</v>
      </c>
      <c r="F662">
        <f t="shared" si="113"/>
        <v>20.67</v>
      </c>
      <c r="G662">
        <f t="shared" si="114"/>
        <v>30.455000000000002</v>
      </c>
      <c r="H662">
        <f t="shared" si="115"/>
        <v>1</v>
      </c>
      <c r="I662">
        <f t="shared" si="111"/>
        <v>0.21428571428571427</v>
      </c>
      <c r="J662">
        <f t="shared" si="116"/>
        <v>2.7650273224043715</v>
      </c>
      <c r="K662">
        <f t="shared" si="120"/>
        <v>-2.9117676176145958E-7</v>
      </c>
      <c r="L662">
        <f t="shared" si="117"/>
        <v>1</v>
      </c>
      <c r="M662">
        <f t="shared" si="110"/>
        <v>0.14285714285714285</v>
      </c>
      <c r="N662">
        <f t="shared" si="118"/>
        <v>0</v>
      </c>
      <c r="O662">
        <f t="shared" si="119"/>
        <v>7.1428571428571425E-2</v>
      </c>
      <c r="P662">
        <f>IFERROR(LN('Дивиденды по годам'!I662),"")</f>
        <v>26.511291667264612</v>
      </c>
      <c r="Q662">
        <f>IFERROR('Дивиденды по годам'!G662/'Дивиденды по годам'!I662, "")</f>
        <v>0.35867271787931765</v>
      </c>
      <c r="R662">
        <f>IFERROR(IF(AND('Дивиденды по годам'!N662&lt;&gt;"",'Дивиденды по годам'!U662&lt;&gt;"",'Дивиденды по годам'!U662&lt;&gt;0),'Дивиденды по годам'!N662/'Дивиденды по годам'!U662-1,""),"")</f>
        <v>0.40078925615577754</v>
      </c>
      <c r="S662">
        <f>IFERROR(IF(AND('Дивиденды по годам'!L662&lt;&gt;"",'Дивиденды по годам'!I662&lt;&gt;"",'Дивиденды по годам'!J662&lt;&gt;"",'Дивиденды по годам'!K662&lt;&gt;"",('Дивиденды по годам'!I662-'Дивиденды по годам'!J662-'Дивиденды по годам'!K662)&lt;&gt;0),'Дивиденды по годам'!L662/('Дивиденды по годам'!I662-'Дивиденды по годам'!J662-'Дивиденды по годам'!K662),""),"")</f>
        <v>0.97857892942401015</v>
      </c>
      <c r="T662">
        <f>IFERROR(IF(AND('Дивиденды по годам'!Q662&lt;&gt;"",'Дивиденды по годам'!I662&lt;&gt;"",'Дивиденды по годам'!V662&lt;&gt;"",('Дивиденды по годам'!I662+'Дивиденды по годам'!V662)&lt;&gt;0),'Дивиденды по годам'!Q662/(('Дивиденды по годам'!I662+'Дивиденды по годам'!V662)/2),""),"")</f>
        <v>0.11426331509691964</v>
      </c>
      <c r="U662">
        <f>IFERROR(IF(AND('Дивиденды по годам'!J662&lt;&gt;"",'Дивиденды по годам'!K662&lt;&gt;"",'Дивиденды по годам'!M662&lt;&gt;"",'Дивиденды по годам'!M662&lt;&gt;0),('Дивиденды по годам'!J662+'Дивиденды по годам'!K662)/'Дивиденды по годам'!M662,""),"")</f>
        <v>1.9845553269458884</v>
      </c>
      <c r="V662" cm="1">
        <f t="array" ref="V662">IFERROR(AVERAGE(_xlfn._xlws.FILTER(P$2:P$1073,($C$2:$C$1073=$C662)*($E$2:$E$1073=$E662)*(ROW(P$2:P$1073)&lt;&gt;ROW(P662))*(P$2:P$1073&lt;&gt;""))),"")</f>
        <v>25.077693398640111</v>
      </c>
      <c r="W662" cm="1">
        <f t="array" ref="W662">IFERROR(AVERAGE(_xlfn._xlws.FILTER(Q$2:Q$1073,($C$2:$C$1073=$C662)*($E$2:$E$1073=$E662)*(ROW(Q$2:Q$1073)&lt;&gt;ROW(Q662))*(Q$2:Q$1073&lt;&gt;""))),"")</f>
        <v>0.2249748272456675</v>
      </c>
      <c r="X662" cm="1">
        <f t="array" ref="X662">IFERROR(AVERAGE(_xlfn._xlws.FILTER(R$2:R$1073,($C$2:$C$1073=$C662)*($E$2:$E$1073=$E662)*(ROW(R$2:R$1073)&lt;&gt;ROW(R662))*(R$2:R$1073&lt;&gt;""))),"")</f>
        <v>0.30721170504430972</v>
      </c>
      <c r="Y662" cm="1">
        <f t="array" ref="Y662">IFERROR(AVERAGE(_xlfn._xlws.FILTER(S$2:S$1073,($C$2:$C$1073=$C662)*($E$2:$E$1073=$E662)*(ROW(S$2:S$1073)&lt;&gt;ROW(S662))*(S$2:S$1073&lt;&gt;""))),"")</f>
        <v>1.3508057418252566</v>
      </c>
      <c r="Z662" cm="1">
        <f t="array" ref="Z662">IFERROR(AVERAGE(_xlfn._xlws.FILTER(T$2:T$1073,($C$2:$C$1073=$C662)*($E$2:$E$1073=$E662)*(ROW(T$2:T$1073)&lt;&gt;ROW(T662))*(T$2:T$1073&lt;&gt;""))),"")</f>
        <v>0.10091135750432308</v>
      </c>
      <c r="AA662" cm="1">
        <f t="array" ref="AA662">IFERROR(AVERAGE(_xlfn._xlws.FILTER(U$2:U$1073,($C$2:$C$1073=$C662)*($E$2:$E$1073=$E662)*(ROW(U$2:U$1073)&lt;&gt;ROW(U662))*(U$2:U$1073&lt;&gt;""))),"")</f>
        <v>18.183138072040702</v>
      </c>
    </row>
    <row r="663" spans="1:27" x14ac:dyDescent="0.2">
      <c r="A663" s="8" t="s">
        <v>2320</v>
      </c>
      <c r="B663" t="str">
        <f t="shared" si="112"/>
        <v>RAGR IV кв. 2020</v>
      </c>
      <c r="C663" s="8">
        <v>2020</v>
      </c>
      <c r="D663">
        <f>SUMIFS(Дивиденды!$C:$C,Дивиденды!$A:$A,A663,Дивиденды!$I:$I,C663)</f>
        <v>5.49</v>
      </c>
      <c r="E663">
        <v>4</v>
      </c>
      <c r="F663">
        <f t="shared" si="113"/>
        <v>5.49</v>
      </c>
      <c r="G663">
        <f t="shared" si="114"/>
        <v>42.901428571428575</v>
      </c>
      <c r="H663">
        <f t="shared" si="115"/>
        <v>1</v>
      </c>
      <c r="I663">
        <f t="shared" si="111"/>
        <v>0.21428571428571427</v>
      </c>
      <c r="J663">
        <f t="shared" si="116"/>
        <v>1.855287569573294E-2</v>
      </c>
      <c r="K663">
        <f t="shared" si="120"/>
        <v>0.26699096664208927</v>
      </c>
      <c r="L663">
        <f t="shared" si="117"/>
        <v>1</v>
      </c>
      <c r="M663">
        <f t="shared" si="110"/>
        <v>0.21428571428571427</v>
      </c>
      <c r="N663">
        <f t="shared" si="118"/>
        <v>0</v>
      </c>
      <c r="O663">
        <f t="shared" si="119"/>
        <v>0</v>
      </c>
      <c r="P663">
        <f>IFERROR(LN('Дивиденды по годам'!I663),"")</f>
        <v>26.221602383584724</v>
      </c>
      <c r="Q663">
        <f>IFERROR('Дивиденды по годам'!G663/'Дивиденды по годам'!I663, "")</f>
        <v>0.34966898552285419</v>
      </c>
      <c r="R663">
        <f>IFERROR(IF(AND('Дивиденды по годам'!N663&lt;&gt;"",'Дивиденды по годам'!U663&lt;&gt;"",'Дивиденды по годам'!U663&lt;&gt;0),'Дивиденды по годам'!N663/'Дивиденды по годам'!U663-1,""),"")</f>
        <v>0.14343442151437436</v>
      </c>
      <c r="S663">
        <f>IFERROR(IF(AND('Дивиденды по годам'!L663&lt;&gt;"",'Дивиденды по годам'!I663&lt;&gt;"",'Дивиденды по годам'!J663&lt;&gt;"",'Дивиденды по годам'!K663&lt;&gt;"",('Дивиденды по годам'!I663-'Дивиденды по годам'!J663-'Дивиденды по годам'!K663)&lt;&gt;0),'Дивиденды по годам'!L663/('Дивиденды по годам'!I663-'Дивиденды по годам'!J663-'Дивиденды по годам'!K663),""),"")</f>
        <v>0.97121437651252918</v>
      </c>
      <c r="T663">
        <f>IFERROR(IF(AND('Дивиденды по годам'!Q663&lt;&gt;"",'Дивиденды по годам'!I663&lt;&gt;"",'Дивиденды по годам'!V663&lt;&gt;"",('Дивиденды по годам'!I663+'Дивиденды по годам'!V663)&lt;&gt;0),'Дивиденды по годам'!Q663/(('Дивиденды по годам'!I663+'Дивиденды по годам'!V663)/2),""),"")</f>
        <v>7.2173559156140987E-2</v>
      </c>
      <c r="U663">
        <f>IFERROR(IF(AND('Дивиденды по годам'!J663&lt;&gt;"",'Дивиденды по годам'!K663&lt;&gt;"",'Дивиденды по годам'!M663&lt;&gt;"",'Дивиденды по годам'!M663&lt;&gt;0),('Дивиденды по годам'!J663+'Дивиденды по годам'!K663)/'Дивиденды по годам'!M663,""),"")</f>
        <v>1.9337293654969887</v>
      </c>
      <c r="V663" cm="1">
        <f t="array" ref="V663">IFERROR(AVERAGE(_xlfn._xlws.FILTER(P$2:P$1073,($C$2:$C$1073=$C663)*($E$2:$E$1073=$E663)*(ROW(P$2:P$1073)&lt;&gt;ROW(P663))*(P$2:P$1073&lt;&gt;""))),"")</f>
        <v>25.161580723462738</v>
      </c>
      <c r="W663" cm="1">
        <f t="array" ref="W663">IFERROR(AVERAGE(_xlfn._xlws.FILTER(Q$2:Q$1073,($C$2:$C$1073=$C663)*($E$2:$E$1073=$E663)*(ROW(Q$2:Q$1073)&lt;&gt;ROW(Q663))*(Q$2:Q$1073&lt;&gt;""))),"")</f>
        <v>0.25055483765588638</v>
      </c>
      <c r="X663" cm="1">
        <f t="array" ref="X663">IFERROR(AVERAGE(_xlfn._xlws.FILTER(R$2:R$1073,($C$2:$C$1073=$C663)*($E$2:$E$1073=$E663)*(ROW(R$2:R$1073)&lt;&gt;ROW(R663))*(R$2:R$1073&lt;&gt;""))),"")</f>
        <v>9.1004909213124235E-2</v>
      </c>
      <c r="Y663" cm="1">
        <f t="array" ref="Y663">IFERROR(AVERAGE(_xlfn._xlws.FILTER(S$2:S$1073,($C$2:$C$1073=$C663)*($E$2:$E$1073=$E663)*(ROW(S$2:S$1073)&lt;&gt;ROW(S663))*(S$2:S$1073&lt;&gt;""))),"")</f>
        <v>1.8135710424601967</v>
      </c>
      <c r="Z663" cm="1">
        <f t="array" ref="Z663">IFERROR(AVERAGE(_xlfn._xlws.FILTER(T$2:T$1073,($C$2:$C$1073=$C663)*($E$2:$E$1073=$E663)*(ROW(T$2:T$1073)&lt;&gt;ROW(T663))*(T$2:T$1073&lt;&gt;""))),"")</f>
        <v>6.6895689222584612E-2</v>
      </c>
      <c r="AA663" cm="1">
        <f t="array" ref="AA663">IFERROR(AVERAGE(_xlfn._xlws.FILTER(U$2:U$1073,($C$2:$C$1073=$C663)*($E$2:$E$1073=$E663)*(ROW(U$2:U$1073)&lt;&gt;ROW(U663))*(U$2:U$1073&lt;&gt;""))),"")</f>
        <v>-11.819475080183356</v>
      </c>
    </row>
    <row r="664" spans="1:27" x14ac:dyDescent="0.2">
      <c r="A664" s="8" t="s">
        <v>2320</v>
      </c>
      <c r="B664" t="str">
        <f t="shared" si="112"/>
        <v>RAGR IV кв. 2019</v>
      </c>
      <c r="C664" s="8">
        <v>2019</v>
      </c>
      <c r="D664">
        <f>SUMIFS(Дивиденды!$C:$C,Дивиденды!$A:$A,A664,Дивиденды!$I:$I,C664)</f>
        <v>5.39</v>
      </c>
      <c r="E664">
        <v>4</v>
      </c>
      <c r="F664">
        <f t="shared" si="113"/>
        <v>5.39</v>
      </c>
      <c r="G664">
        <f t="shared" si="114"/>
        <v>24.013571428571428</v>
      </c>
      <c r="H664">
        <f t="shared" si="115"/>
        <v>1</v>
      </c>
      <c r="I664">
        <f t="shared" si="111"/>
        <v>0.14285714285714285</v>
      </c>
      <c r="J664">
        <f t="shared" si="116"/>
        <v>0.52259887005649708</v>
      </c>
      <c r="K664">
        <f t="shared" si="120"/>
        <v>7.1435616592770729E-2</v>
      </c>
      <c r="L664">
        <f t="shared" si="117"/>
        <v>1</v>
      </c>
      <c r="M664">
        <f t="shared" si="110"/>
        <v>0.14285714285714285</v>
      </c>
      <c r="N664">
        <f t="shared" si="118"/>
        <v>0</v>
      </c>
      <c r="O664">
        <f t="shared" si="119"/>
        <v>0</v>
      </c>
      <c r="P664">
        <f>IFERROR(LN('Дивиденды по годам'!I664),"")</f>
        <v>26.092697244376769</v>
      </c>
      <c r="Q664">
        <f>IFERROR('Дивиденды по годам'!G664/'Дивиденды по годам'!I664, "")</f>
        <v>0.36569370376508864</v>
      </c>
      <c r="R664" t="str">
        <f>IFERROR(IF(AND('Дивиденды по годам'!N664&lt;&gt;"",'Дивиденды по годам'!U664&lt;&gt;"",'Дивиденды по годам'!U664&lt;&gt;0),'Дивиденды по годам'!N664/'Дивиденды по годам'!U664-1,""),"")</f>
        <v/>
      </c>
      <c r="S664">
        <f>IFERROR(IF(AND('Дивиденды по годам'!L664&lt;&gt;"",'Дивиденды по годам'!I664&lt;&gt;"",'Дивиденды по годам'!J664&lt;&gt;"",'Дивиденды по годам'!K664&lt;&gt;"",('Дивиденды по годам'!I664-'Дивиденды по годам'!J664-'Дивиденды по годам'!K664)&lt;&gt;0),'Дивиденды по годам'!L664/('Дивиденды по годам'!I664-'Дивиденды по годам'!J664-'Дивиденды по годам'!K664),""),"")</f>
        <v>0.9687076340152474</v>
      </c>
      <c r="T664" t="str">
        <f>IFERROR(IF(AND('Дивиденды по годам'!Q664&lt;&gt;"",'Дивиденды по годам'!I664&lt;&gt;"",'Дивиденды по годам'!V664&lt;&gt;"",('Дивиденды по годам'!I664+'Дивиденды по годам'!V664)&lt;&gt;0),'Дивиденды по годам'!Q664/(('Дивиденды по годам'!I664+'Дивиденды по годам'!V664)/2),""),"")</f>
        <v/>
      </c>
      <c r="U664">
        <f>IFERROR(IF(AND('Дивиденды по годам'!J664&lt;&gt;"",'Дивиденды по годам'!K664&lt;&gt;"",'Дивиденды по годам'!M664&lt;&gt;"",'Дивиденды по годам'!M664&lt;&gt;0),('Дивиденды по годам'!J664+'Дивиденды по годам'!K664)/'Дивиденды по годам'!M664,""),"")</f>
        <v>1.7285348589087115</v>
      </c>
      <c r="V664" cm="1">
        <f t="array" ref="V664">IFERROR(AVERAGE(_xlfn._xlws.FILTER(P$2:P$1073,($C$2:$C$1073=$C664)*($E$2:$E$1073=$E664)*(ROW(P$2:P$1073)&lt;&gt;ROW(P664))*(P$2:P$1073&lt;&gt;""))),"")</f>
        <v>24.99396420234752</v>
      </c>
      <c r="W664" cm="1">
        <f t="array" ref="W664">IFERROR(AVERAGE(_xlfn._xlws.FILTER(Q$2:Q$1073,($C$2:$C$1073=$C664)*($E$2:$E$1073=$E664)*(ROW(Q$2:Q$1073)&lt;&gt;ROW(Q664))*(Q$2:Q$1073&lt;&gt;""))),"")</f>
        <v>0.25895461934695985</v>
      </c>
      <c r="X664" cm="1">
        <f t="array" ref="X664">IFERROR(AVERAGE(_xlfn._xlws.FILTER(R$2:R$1073,($C$2:$C$1073=$C664)*($E$2:$E$1073=$E664)*(ROW(R$2:R$1073)&lt;&gt;ROW(R664))*(R$2:R$1073&lt;&gt;""))),"")</f>
        <v>0.41255485917491075</v>
      </c>
      <c r="Y664" cm="1">
        <f t="array" ref="Y664">IFERROR(AVERAGE(_xlfn._xlws.FILTER(S$2:S$1073,($C$2:$C$1073=$C664)*($E$2:$E$1073=$E664)*(ROW(S$2:S$1073)&lt;&gt;ROW(S664))*(S$2:S$1073&lt;&gt;""))),"")</f>
        <v>0.88811709577307252</v>
      </c>
      <c r="Z664" cm="1">
        <f t="array" ref="Z664">IFERROR(AVERAGE(_xlfn._xlws.FILTER(T$2:T$1073,($C$2:$C$1073=$C664)*($E$2:$E$1073=$E664)*(ROW(T$2:T$1073)&lt;&gt;ROW(T664))*(T$2:T$1073&lt;&gt;""))),"")</f>
        <v>4.8479450567785541E-2</v>
      </c>
      <c r="AA664" cm="1">
        <f t="array" ref="AA664">IFERROR(AVERAGE(_xlfn._xlws.FILTER(U$2:U$1073,($C$2:$C$1073=$C664)*($E$2:$E$1073=$E664)*(ROW(U$2:U$1073)&lt;&gt;ROW(U664))*(U$2:U$1073&lt;&gt;""))),"")</f>
        <v>-3.1909282000750294</v>
      </c>
    </row>
    <row r="665" spans="1:27" x14ac:dyDescent="0.2">
      <c r="A665" s="8" t="s">
        <v>2320</v>
      </c>
      <c r="B665" t="str">
        <f t="shared" si="112"/>
        <v>RAGR IV кв. 2018</v>
      </c>
      <c r="C665" s="8">
        <v>2018</v>
      </c>
      <c r="D665">
        <f>SUMIFS(Дивиденды!$C:$C,Дивиденды!$A:$A,A665,Дивиденды!$I:$I,C665)</f>
        <v>3.54</v>
      </c>
      <c r="E665">
        <v>4</v>
      </c>
      <c r="F665">
        <f t="shared" si="113"/>
        <v>3.54</v>
      </c>
      <c r="G665">
        <f t="shared" si="114"/>
        <v>21.725714285714282</v>
      </c>
      <c r="H665">
        <f t="shared" si="115"/>
        <v>1</v>
      </c>
      <c r="I665">
        <f t="shared" si="111"/>
        <v>7.1428571428571425E-2</v>
      </c>
      <c r="J665">
        <f t="shared" si="116"/>
        <v>-0.46686746987951805</v>
      </c>
      <c r="K665">
        <f t="shared" si="120"/>
        <v>1.512461085784857E-2</v>
      </c>
      <c r="L665">
        <f t="shared" si="117"/>
        <v>0</v>
      </c>
      <c r="M665">
        <f t="shared" si="110"/>
        <v>7.1428571428571425E-2</v>
      </c>
      <c r="N665">
        <f t="shared" si="118"/>
        <v>1</v>
      </c>
      <c r="O665">
        <f t="shared" si="119"/>
        <v>0</v>
      </c>
      <c r="P665" t="str">
        <f>IFERROR(LN('Дивиденды по годам'!I665),"")</f>
        <v/>
      </c>
      <c r="Q665" t="str">
        <f>IFERROR('Дивиденды по годам'!G665/'Дивиденды по годам'!I665, "")</f>
        <v/>
      </c>
      <c r="R665" t="str">
        <f>IFERROR(IF(AND('Дивиденды по годам'!N665&lt;&gt;"",'Дивиденды по годам'!U665&lt;&gt;"",'Дивиденды по годам'!U665&lt;&gt;0),'Дивиденды по годам'!N665/'Дивиденды по годам'!U665-1,""),"")</f>
        <v/>
      </c>
      <c r="S665" t="str">
        <f>IFERROR(IF(AND('Дивиденды по годам'!L665&lt;&gt;"",'Дивиденды по годам'!I665&lt;&gt;"",'Дивиденды по годам'!J665&lt;&gt;"",'Дивиденды по годам'!K665&lt;&gt;"",('Дивиденды по годам'!I665-'Дивиденды по годам'!J665-'Дивиденды по годам'!K665)&lt;&gt;0),'Дивиденды по годам'!L665/('Дивиденды по годам'!I665-'Дивиденды по годам'!J665-'Дивиденды по годам'!K665),""),"")</f>
        <v/>
      </c>
      <c r="T665" t="str">
        <f>IFERROR(IF(AND('Дивиденды по годам'!Q665&lt;&gt;"",'Дивиденды по годам'!I665&lt;&gt;"",'Дивиденды по годам'!V665&lt;&gt;"",('Дивиденды по годам'!I665+'Дивиденды по годам'!V665)&lt;&gt;0),'Дивиденды по годам'!Q665/(('Дивиденды по годам'!I665+'Дивиденды по годам'!V665)/2),""),"")</f>
        <v/>
      </c>
      <c r="U665" t="str">
        <f>IFERROR(IF(AND('Дивиденды по годам'!J665&lt;&gt;"",'Дивиденды по годам'!K665&lt;&gt;"",'Дивиденды по годам'!M665&lt;&gt;"",'Дивиденды по годам'!M665&lt;&gt;0),('Дивиденды по годам'!J665+'Дивиденды по годам'!K665)/'Дивиденды по годам'!M665,""),"")</f>
        <v/>
      </c>
      <c r="V665" cm="1">
        <f t="array" ref="V665">IFERROR(AVERAGE(_xlfn._xlws.FILTER(P$2:P$1073,($C$2:$C$1073=$C665)*($E$2:$E$1073=$E665)*(ROW(P$2:P$1073)&lt;&gt;ROW(P665))*(P$2:P$1073&lt;&gt;""))),"")</f>
        <v>24.908270704496481</v>
      </c>
      <c r="W665" cm="1">
        <f t="array" ref="W665">IFERROR(AVERAGE(_xlfn._xlws.FILTER(Q$2:Q$1073,($C$2:$C$1073=$C665)*($E$2:$E$1073=$E665)*(ROW(Q$2:Q$1073)&lt;&gt;ROW(Q665))*(Q$2:Q$1073&lt;&gt;""))),"")</f>
        <v>0.31629947227527405</v>
      </c>
      <c r="X665" cm="1">
        <f t="array" ref="X665">IFERROR(AVERAGE(_xlfn._xlws.FILTER(R$2:R$1073,($C$2:$C$1073=$C665)*($E$2:$E$1073=$E665)*(ROW(R$2:R$1073)&lt;&gt;ROW(R665))*(R$2:R$1073&lt;&gt;""))),"")</f>
        <v>5.6638288450543382E-2</v>
      </c>
      <c r="Y665" cm="1">
        <f t="array" ref="Y665">IFERROR(AVERAGE(_xlfn._xlws.FILTER(S$2:S$1073,($C$2:$C$1073=$C665)*($E$2:$E$1073=$E665)*(ROW(S$2:S$1073)&lt;&gt;ROW(S665))*(S$2:S$1073&lt;&gt;""))),"")</f>
        <v>0.64427650310006845</v>
      </c>
      <c r="Z665" cm="1">
        <f t="array" ref="Z665">IFERROR(AVERAGE(_xlfn._xlws.FILTER(T$2:T$1073,($C$2:$C$1073=$C665)*($E$2:$E$1073=$E665)*(ROW(T$2:T$1073)&lt;&gt;ROW(T665))*(T$2:T$1073&lt;&gt;""))),"")</f>
        <v>7.1418821660913928E-3</v>
      </c>
      <c r="AA665" cm="1">
        <f t="array" ref="AA665">IFERROR(AVERAGE(_xlfn._xlws.FILTER(U$2:U$1073,($C$2:$C$1073=$C665)*($E$2:$E$1073=$E665)*(ROW(U$2:U$1073)&lt;&gt;ROW(U665))*(U$2:U$1073&lt;&gt;""))),"")</f>
        <v>1.0767813683356515</v>
      </c>
    </row>
    <row r="666" spans="1:27" x14ac:dyDescent="0.2">
      <c r="A666" s="8" t="s">
        <v>2320</v>
      </c>
      <c r="B666" t="str">
        <f t="shared" si="112"/>
        <v>RAGR IV кв. 2017</v>
      </c>
      <c r="C666" s="8">
        <v>2017</v>
      </c>
      <c r="D666">
        <f>SUMIFS(Дивиденды!$C:$C,Дивиденды!$A:$A,A666,Дивиденды!$I:$I,C666)</f>
        <v>6.64</v>
      </c>
      <c r="E666">
        <v>4</v>
      </c>
      <c r="F666">
        <f t="shared" si="113"/>
        <v>6.64</v>
      </c>
      <c r="G666">
        <f t="shared" si="114"/>
        <v>17.929285714285715</v>
      </c>
      <c r="H666">
        <f t="shared" si="115"/>
        <v>1</v>
      </c>
      <c r="I666">
        <f t="shared" si="111"/>
        <v>7.1428571428571425E-2</v>
      </c>
      <c r="J666">
        <f t="shared" si="116"/>
        <v>-0.14543114543114544</v>
      </c>
      <c r="K666">
        <f t="shared" si="120"/>
        <v>-6.9648828143057473E-3</v>
      </c>
      <c r="L666">
        <f t="shared" si="117"/>
        <v>0</v>
      </c>
      <c r="M666">
        <f t="shared" si="110"/>
        <v>0</v>
      </c>
      <c r="N666">
        <f t="shared" si="118"/>
        <v>1</v>
      </c>
      <c r="O666">
        <f t="shared" si="119"/>
        <v>7.1428571428571425E-2</v>
      </c>
      <c r="P666" t="str">
        <f>IFERROR(LN('Дивиденды по годам'!I666),"")</f>
        <v/>
      </c>
      <c r="Q666" t="str">
        <f>IFERROR('Дивиденды по годам'!G666/'Дивиденды по годам'!I666, "")</f>
        <v/>
      </c>
      <c r="R666" t="str">
        <f>IFERROR(IF(AND('Дивиденды по годам'!N666&lt;&gt;"",'Дивиденды по годам'!U666&lt;&gt;"",'Дивиденды по годам'!U666&lt;&gt;0),'Дивиденды по годам'!N666/'Дивиденды по годам'!U666-1,""),"")</f>
        <v/>
      </c>
      <c r="S666" t="str">
        <f>IFERROR(IF(AND('Дивиденды по годам'!L666&lt;&gt;"",'Дивиденды по годам'!I666&lt;&gt;"",'Дивиденды по годам'!J666&lt;&gt;"",'Дивиденды по годам'!K666&lt;&gt;"",('Дивиденды по годам'!I666-'Дивиденды по годам'!J666-'Дивиденды по годам'!K666)&lt;&gt;0),'Дивиденды по годам'!L666/('Дивиденды по годам'!I666-'Дивиденды по годам'!J666-'Дивиденды по годам'!K666),""),"")</f>
        <v/>
      </c>
      <c r="T666" t="str">
        <f>IFERROR(IF(AND('Дивиденды по годам'!Q666&lt;&gt;"",'Дивиденды по годам'!I666&lt;&gt;"",'Дивиденды по годам'!V666&lt;&gt;"",('Дивиденды по годам'!I666+'Дивиденды по годам'!V666)&lt;&gt;0),'Дивиденды по годам'!Q666/(('Дивиденды по годам'!I666+'Дивиденды по годам'!V666)/2),""),"")</f>
        <v/>
      </c>
      <c r="U666" t="str">
        <f>IFERROR(IF(AND('Дивиденды по годам'!J666&lt;&gt;"",'Дивиденды по годам'!K666&lt;&gt;"",'Дивиденды по годам'!M666&lt;&gt;"",'Дивиденды по годам'!M666&lt;&gt;0),('Дивиденды по годам'!J666+'Дивиденды по годам'!K666)/'Дивиденды по годам'!M666,""),"")</f>
        <v/>
      </c>
      <c r="V666" cm="1">
        <f t="array" ref="V666">IFERROR(AVERAGE(_xlfn._xlws.FILTER(P$2:P$1073,($C$2:$C$1073=$C666)*($E$2:$E$1073=$E666)*(ROW(P$2:P$1073)&lt;&gt;ROW(P666))*(P$2:P$1073&lt;&gt;""))),"")</f>
        <v>24.73571056544559</v>
      </c>
      <c r="W666" cm="1">
        <f t="array" ref="W666">IFERROR(AVERAGE(_xlfn._xlws.FILTER(Q$2:Q$1073,($C$2:$C$1073=$C666)*($E$2:$E$1073=$E666)*(ROW(Q$2:Q$1073)&lt;&gt;ROW(Q666))*(Q$2:Q$1073&lt;&gt;""))),"")</f>
        <v>0.33981210980429821</v>
      </c>
      <c r="X666" cm="1">
        <f t="array" ref="X666">IFERROR(AVERAGE(_xlfn._xlws.FILTER(R$2:R$1073,($C$2:$C$1073=$C666)*($E$2:$E$1073=$E666)*(ROW(R$2:R$1073)&lt;&gt;ROW(R666))*(R$2:R$1073&lt;&gt;""))),"")</f>
        <v>0.23691718521625563</v>
      </c>
      <c r="Y666" cm="1">
        <f t="array" ref="Y666">IFERROR(AVERAGE(_xlfn._xlws.FILTER(S$2:S$1073,($C$2:$C$1073=$C666)*($E$2:$E$1073=$E666)*(ROW(S$2:S$1073)&lt;&gt;ROW(S666))*(S$2:S$1073&lt;&gt;""))),"")</f>
        <v>0.61774629406594017</v>
      </c>
      <c r="Z666" cm="1">
        <f t="array" ref="Z666">IFERROR(AVERAGE(_xlfn._xlws.FILTER(T$2:T$1073,($C$2:$C$1073=$C666)*($E$2:$E$1073=$E666)*(ROW(T$2:T$1073)&lt;&gt;ROW(T666))*(T$2:T$1073&lt;&gt;""))),"")</f>
        <v>-2.7044382152168867E-2</v>
      </c>
      <c r="AA666" cm="1">
        <f t="array" ref="AA666">IFERROR(AVERAGE(_xlfn._xlws.FILTER(U$2:U$1073,($C$2:$C$1073=$C666)*($E$2:$E$1073=$E666)*(ROW(U$2:U$1073)&lt;&gt;ROW(U666))*(U$2:U$1073&lt;&gt;""))),"")</f>
        <v>0.62620703107195774</v>
      </c>
    </row>
    <row r="667" spans="1:27" x14ac:dyDescent="0.2">
      <c r="A667" s="8" t="s">
        <v>2320</v>
      </c>
      <c r="B667" t="str">
        <f t="shared" si="112"/>
        <v>RAGR IV кв. 2016</v>
      </c>
      <c r="C667" s="8">
        <v>2016</v>
      </c>
      <c r="D667">
        <f>SUMIFS(Дивиденды!$C:$C,Дивиденды!$A:$A,A667,Дивиденды!$I:$I,C667)</f>
        <v>7.77</v>
      </c>
      <c r="E667">
        <v>4</v>
      </c>
      <c r="F667">
        <f t="shared" si="113"/>
        <v>7.77</v>
      </c>
      <c r="G667">
        <f t="shared" si="114"/>
        <v>19.866428571428571</v>
      </c>
      <c r="H667">
        <f t="shared" si="115"/>
        <v>1</v>
      </c>
      <c r="I667">
        <f t="shared" si="111"/>
        <v>7.1428571428571425E-2</v>
      </c>
      <c r="J667">
        <f t="shared" si="116"/>
        <v>0.39247311827956982</v>
      </c>
      <c r="K667">
        <f t="shared" si="120"/>
        <v>-7.4403323992656362E-3</v>
      </c>
      <c r="L667">
        <f t="shared" si="117"/>
        <v>1</v>
      </c>
      <c r="M667">
        <f t="shared" si="110"/>
        <v>0</v>
      </c>
      <c r="N667">
        <f t="shared" si="118"/>
        <v>0</v>
      </c>
      <c r="O667">
        <f t="shared" si="119"/>
        <v>7.1428571428571425E-2</v>
      </c>
      <c r="P667" t="str">
        <f>IFERROR(LN('Дивиденды по годам'!I667),"")</f>
        <v/>
      </c>
      <c r="Q667" t="str">
        <f>IFERROR('Дивиденды по годам'!G667/'Дивиденды по годам'!I667, "")</f>
        <v/>
      </c>
      <c r="R667" t="str">
        <f>IFERROR(IF(AND('Дивиденды по годам'!N667&lt;&gt;"",'Дивиденды по годам'!U667&lt;&gt;"",'Дивиденды по годам'!U667&lt;&gt;0),'Дивиденды по годам'!N667/'Дивиденды по годам'!U667-1,""),"")</f>
        <v/>
      </c>
      <c r="S667" t="str">
        <f>IFERROR(IF(AND('Дивиденды по годам'!L667&lt;&gt;"",'Дивиденды по годам'!I667&lt;&gt;"",'Дивиденды по годам'!J667&lt;&gt;"",'Дивиденды по годам'!K667&lt;&gt;"",('Дивиденды по годам'!I667-'Дивиденды по годам'!J667-'Дивиденды по годам'!K667)&lt;&gt;0),'Дивиденды по годам'!L667/('Дивиденды по годам'!I667-'Дивиденды по годам'!J667-'Дивиденды по годам'!K667),""),"")</f>
        <v/>
      </c>
      <c r="T667" t="str">
        <f>IFERROR(IF(AND('Дивиденды по годам'!Q667&lt;&gt;"",'Дивиденды по годам'!I667&lt;&gt;"",'Дивиденды по годам'!V667&lt;&gt;"",('Дивиденды по годам'!I667+'Дивиденды по годам'!V667)&lt;&gt;0),'Дивиденды по годам'!Q667/(('Дивиденды по годам'!I667+'Дивиденды по годам'!V667)/2),""),"")</f>
        <v/>
      </c>
      <c r="U667" t="str">
        <f>IFERROR(IF(AND('Дивиденды по годам'!J667&lt;&gt;"",'Дивиденды по годам'!K667&lt;&gt;"",'Дивиденды по годам'!M667&lt;&gt;"",'Дивиденды по годам'!M667&lt;&gt;0),('Дивиденды по годам'!J667+'Дивиденды по годам'!K667)/'Дивиденды по годам'!M667,""),"")</f>
        <v/>
      </c>
      <c r="V667" cm="1">
        <f t="array" ref="V667">IFERROR(AVERAGE(_xlfn._xlws.FILTER(P$2:P$1073,($C$2:$C$1073=$C667)*($E$2:$E$1073=$E667)*(ROW(P$2:P$1073)&lt;&gt;ROW(P667))*(P$2:P$1073&lt;&gt;""))),"")</f>
        <v>24.55530958635584</v>
      </c>
      <c r="W667" cm="1">
        <f t="array" ref="W667">IFERROR(AVERAGE(_xlfn._xlws.FILTER(Q$2:Q$1073,($C$2:$C$1073=$C667)*($E$2:$E$1073=$E667)*(ROW(Q$2:Q$1073)&lt;&gt;ROW(Q667))*(Q$2:Q$1073&lt;&gt;""))),"")</f>
        <v>0.27878606899788128</v>
      </c>
      <c r="X667" cm="1">
        <f t="array" ref="X667">IFERROR(AVERAGE(_xlfn._xlws.FILTER(R$2:R$1073,($C$2:$C$1073=$C667)*($E$2:$E$1073=$E667)*(ROW(R$2:R$1073)&lt;&gt;ROW(R667))*(R$2:R$1073&lt;&gt;""))),"")</f>
        <v>0.16612325919082049</v>
      </c>
      <c r="Y667" cm="1">
        <f t="array" ref="Y667">IFERROR(AVERAGE(_xlfn._xlws.FILTER(S$2:S$1073,($C$2:$C$1073=$C667)*($E$2:$E$1073=$E667)*(ROW(S$2:S$1073)&lt;&gt;ROW(S667))*(S$2:S$1073&lt;&gt;""))),"")</f>
        <v>6.2178681719613929</v>
      </c>
      <c r="Z667" cm="1">
        <f t="array" ref="Z667">IFERROR(AVERAGE(_xlfn._xlws.FILTER(T$2:T$1073,($C$2:$C$1073=$C667)*($E$2:$E$1073=$E667)*(ROW(T$2:T$1073)&lt;&gt;ROW(T667))*(T$2:T$1073&lt;&gt;""))),"")</f>
        <v>-2.007011623977166E-2</v>
      </c>
      <c r="AA667" cm="1">
        <f t="array" ref="AA667">IFERROR(AVERAGE(_xlfn._xlws.FILTER(U$2:U$1073,($C$2:$C$1073=$C667)*($E$2:$E$1073=$E667)*(ROW(U$2:U$1073)&lt;&gt;ROW(U667))*(U$2:U$1073&lt;&gt;""))),"")</f>
        <v>-16.044507701133888</v>
      </c>
    </row>
    <row r="668" spans="1:27" x14ac:dyDescent="0.2">
      <c r="A668" s="8" t="s">
        <v>2320</v>
      </c>
      <c r="B668" t="str">
        <f t="shared" si="112"/>
        <v>RAGR IV кв. 2015</v>
      </c>
      <c r="C668" s="8">
        <v>2015</v>
      </c>
      <c r="D668">
        <f>SUMIFS(Дивиденды!$C:$C,Дивиденды!$A:$A,A668,Дивиденды!$I:$I,C668)</f>
        <v>5.58</v>
      </c>
      <c r="E668">
        <v>4</v>
      </c>
      <c r="F668">
        <f t="shared" si="113"/>
        <v>5.58</v>
      </c>
      <c r="G668">
        <f t="shared" si="114"/>
        <v>22.176428571428573</v>
      </c>
      <c r="H668">
        <f t="shared" si="115"/>
        <v>1</v>
      </c>
      <c r="I668">
        <f t="shared" si="111"/>
        <v>7.1428571428571425E-2</v>
      </c>
      <c r="J668">
        <f t="shared" si="116"/>
        <v>1</v>
      </c>
      <c r="K668">
        <f t="shared" si="120"/>
        <v>-1.0326382164702542E-2</v>
      </c>
      <c r="L668">
        <f t="shared" si="117"/>
        <v>1</v>
      </c>
      <c r="M668">
        <f t="shared" si="110"/>
        <v>0</v>
      </c>
      <c r="N668">
        <f t="shared" si="118"/>
        <v>0</v>
      </c>
      <c r="O668">
        <f t="shared" si="119"/>
        <v>7.1428571428571425E-2</v>
      </c>
      <c r="P668" t="str">
        <f>IFERROR(LN('Дивиденды по годам'!I668),"")</f>
        <v/>
      </c>
      <c r="Q668" t="str">
        <f>IFERROR('Дивиденды по годам'!G668/'Дивиденды по годам'!I668, "")</f>
        <v/>
      </c>
      <c r="R668" t="str">
        <f>IFERROR(IF(AND('Дивиденды по годам'!N668&lt;&gt;"",'Дивиденды по годам'!U668&lt;&gt;"",'Дивиденды по годам'!U668&lt;&gt;0),'Дивиденды по годам'!N668/'Дивиденды по годам'!U668-1,""),"")</f>
        <v/>
      </c>
      <c r="S668" t="str">
        <f>IFERROR(IF(AND('Дивиденды по годам'!L668&lt;&gt;"",'Дивиденды по годам'!I668&lt;&gt;"",'Дивиденды по годам'!J668&lt;&gt;"",'Дивиденды по годам'!K668&lt;&gt;"",('Дивиденды по годам'!I668-'Дивиденды по годам'!J668-'Дивиденды по годам'!K668)&lt;&gt;0),'Дивиденды по годам'!L668/('Дивиденды по годам'!I668-'Дивиденды по годам'!J668-'Дивиденды по годам'!K668),""),"")</f>
        <v/>
      </c>
      <c r="T668" t="str">
        <f>IFERROR(IF(AND('Дивиденды по годам'!Q668&lt;&gt;"",'Дивиденды по годам'!I668&lt;&gt;"",'Дивиденды по годам'!V668&lt;&gt;"",('Дивиденды по годам'!I668+'Дивиденды по годам'!V668)&lt;&gt;0),'Дивиденды по годам'!Q668/(('Дивиденды по годам'!I668+'Дивиденды по годам'!V668)/2),""),"")</f>
        <v/>
      </c>
      <c r="U668" t="str">
        <f>IFERROR(IF(AND('Дивиденды по годам'!J668&lt;&gt;"",'Дивиденды по годам'!K668&lt;&gt;"",'Дивиденды по годам'!M668&lt;&gt;"",'Дивиденды по годам'!M668&lt;&gt;0),('Дивиденды по годам'!J668+'Дивиденды по годам'!K668)/'Дивиденды по годам'!M668,""),"")</f>
        <v/>
      </c>
      <c r="V668" cm="1">
        <f t="array" ref="V668">IFERROR(AVERAGE(_xlfn._xlws.FILTER(P$2:P$1073,($C$2:$C$1073=$C668)*($E$2:$E$1073=$E668)*(ROW(P$2:P$1073)&lt;&gt;ROW(P668))*(P$2:P$1073&lt;&gt;""))),"")</f>
        <v>24.784857390248948</v>
      </c>
      <c r="W668" cm="1">
        <f t="array" ref="W668">IFERROR(AVERAGE(_xlfn._xlws.FILTER(Q$2:Q$1073,($C$2:$C$1073=$C668)*($E$2:$E$1073=$E668)*(ROW(Q$2:Q$1073)&lt;&gt;ROW(Q668))*(Q$2:Q$1073&lt;&gt;""))),"")</f>
        <v>0.29707306985497267</v>
      </c>
      <c r="X668" cm="1">
        <f t="array" ref="X668">IFERROR(AVERAGE(_xlfn._xlws.FILTER(R$2:R$1073,($C$2:$C$1073=$C668)*($E$2:$E$1073=$E668)*(ROW(R$2:R$1073)&lt;&gt;ROW(R668))*(R$2:R$1073&lt;&gt;""))),"")</f>
        <v>0.20074687596566593</v>
      </c>
      <c r="Y668" cm="1">
        <f t="array" ref="Y668">IFERROR(AVERAGE(_xlfn._xlws.FILTER(S$2:S$1073,($C$2:$C$1073=$C668)*($E$2:$E$1073=$E668)*(ROW(S$2:S$1073)&lt;&gt;ROW(S668))*(S$2:S$1073&lt;&gt;""))),"")</f>
        <v>-0.60736862679830428</v>
      </c>
      <c r="Z668" cm="1">
        <f t="array" ref="Z668">IFERROR(AVERAGE(_xlfn._xlws.FILTER(T$2:T$1073,($C$2:$C$1073=$C668)*($E$2:$E$1073=$E668)*(ROW(T$2:T$1073)&lt;&gt;ROW(T668))*(T$2:T$1073&lt;&gt;""))),"")</f>
        <v>6.4031956193225284E-2</v>
      </c>
      <c r="AA668" cm="1">
        <f t="array" ref="AA668">IFERROR(AVERAGE(_xlfn._xlws.FILTER(U$2:U$1073,($C$2:$C$1073=$C668)*($E$2:$E$1073=$E668)*(ROW(U$2:U$1073)&lt;&gt;ROW(U668))*(U$2:U$1073&lt;&gt;""))),"")</f>
        <v>5.5189604575277329</v>
      </c>
    </row>
    <row r="669" spans="1:27" x14ac:dyDescent="0.2">
      <c r="A669" s="8" t="s">
        <v>2320</v>
      </c>
      <c r="B669" t="str">
        <f t="shared" si="112"/>
        <v>RAGR IV кв. 2014</v>
      </c>
      <c r="C669" s="8">
        <v>2014</v>
      </c>
      <c r="D669">
        <f>SUMIFS(Дивиденды!$C:$C,Дивиденды!$A:$A,A669,Дивиденды!$I:$I,C669)</f>
        <v>0</v>
      </c>
      <c r="E669">
        <v>4</v>
      </c>
      <c r="F669">
        <f t="shared" si="113"/>
        <v>0</v>
      </c>
      <c r="G669">
        <f t="shared" si="114"/>
        <v>25.924285714285713</v>
      </c>
      <c r="H669">
        <f t="shared" si="115"/>
        <v>0</v>
      </c>
      <c r="I669">
        <f t="shared" si="111"/>
        <v>7.1428571428571425E-2</v>
      </c>
      <c r="J669">
        <f t="shared" si="116"/>
        <v>0</v>
      </c>
      <c r="K669">
        <f t="shared" si="120"/>
        <v>4.887635107293415E-2</v>
      </c>
      <c r="L669">
        <f t="shared" si="117"/>
        <v>0</v>
      </c>
      <c r="M669">
        <f t="shared" si="110"/>
        <v>7.1428571428571425E-2</v>
      </c>
      <c r="N669">
        <f t="shared" si="118"/>
        <v>0</v>
      </c>
      <c r="O669">
        <f t="shared" si="119"/>
        <v>7.1428571428571425E-2</v>
      </c>
      <c r="P669" t="str">
        <f>IFERROR(LN('Дивиденды по годам'!I669),"")</f>
        <v/>
      </c>
      <c r="Q669" t="str">
        <f>IFERROR('Дивиденды по годам'!G669/'Дивиденды по годам'!I669, "")</f>
        <v/>
      </c>
      <c r="R669" t="str">
        <f>IFERROR(IF(AND('Дивиденды по годам'!N669&lt;&gt;"",'Дивиденды по годам'!U669&lt;&gt;"",'Дивиденды по годам'!U669&lt;&gt;0),'Дивиденды по годам'!N669/'Дивиденды по годам'!U669-1,""),"")</f>
        <v/>
      </c>
      <c r="S669" t="str">
        <f>IFERROR(IF(AND('Дивиденды по годам'!L669&lt;&gt;"",'Дивиденды по годам'!I669&lt;&gt;"",'Дивиденды по годам'!J669&lt;&gt;"",'Дивиденды по годам'!K669&lt;&gt;"",('Дивиденды по годам'!I669-'Дивиденды по годам'!J669-'Дивиденды по годам'!K669)&lt;&gt;0),'Дивиденды по годам'!L669/('Дивиденды по годам'!I669-'Дивиденды по годам'!J669-'Дивиденды по годам'!K669),""),"")</f>
        <v/>
      </c>
      <c r="T669" t="str">
        <f>IFERROR(IF(AND('Дивиденды по годам'!Q669&lt;&gt;"",'Дивиденды по годам'!I669&lt;&gt;"",'Дивиденды по годам'!V669&lt;&gt;"",('Дивиденды по годам'!I669+'Дивиденды по годам'!V669)&lt;&gt;0),'Дивиденды по годам'!Q669/(('Дивиденды по годам'!I669+'Дивиденды по годам'!V669)/2),""),"")</f>
        <v/>
      </c>
      <c r="U669" t="str">
        <f>IFERROR(IF(AND('Дивиденды по годам'!J669&lt;&gt;"",'Дивиденды по годам'!K669&lt;&gt;"",'Дивиденды по годам'!M669&lt;&gt;"",'Дивиденды по годам'!M669&lt;&gt;0),('Дивиденды по годам'!J669+'Дивиденды по годам'!K669)/'Дивиденды по годам'!M669,""),"")</f>
        <v/>
      </c>
      <c r="V669" cm="1">
        <f t="array" ref="V669">IFERROR(AVERAGE(_xlfn._xlws.FILTER(P$2:P$1073,($C$2:$C$1073=$C669)*($E$2:$E$1073=$E669)*(ROW(P$2:P$1073)&lt;&gt;ROW(P669))*(P$2:P$1073&lt;&gt;""))),"")</f>
        <v>24.777851287837404</v>
      </c>
      <c r="W669" cm="1">
        <f t="array" ref="W669">IFERROR(AVERAGE(_xlfn._xlws.FILTER(Q$2:Q$1073,($C$2:$C$1073=$C669)*($E$2:$E$1073=$E669)*(ROW(Q$2:Q$1073)&lt;&gt;ROW(Q669))*(Q$2:Q$1073&lt;&gt;""))),"")</f>
        <v>0.28994951624266957</v>
      </c>
      <c r="X669" cm="1">
        <f t="array" ref="X669">IFERROR(AVERAGE(_xlfn._xlws.FILTER(R$2:R$1073,($C$2:$C$1073=$C669)*($E$2:$E$1073=$E669)*(ROW(R$2:R$1073)&lt;&gt;ROW(R669))*(R$2:R$1073&lt;&gt;""))),"")</f>
        <v>8.5517195784799244E-2</v>
      </c>
      <c r="Y669" cm="1">
        <f t="array" ref="Y669">IFERROR(AVERAGE(_xlfn._xlws.FILTER(S$2:S$1073,($C$2:$C$1073=$C669)*($E$2:$E$1073=$E669)*(ROW(S$2:S$1073)&lt;&gt;ROW(S669))*(S$2:S$1073&lt;&gt;""))),"")</f>
        <v>-8.9932559622525012</v>
      </c>
      <c r="Z669" cm="1">
        <f t="array" ref="Z669">IFERROR(AVERAGE(_xlfn._xlws.FILTER(T$2:T$1073,($C$2:$C$1073=$C669)*($E$2:$E$1073=$E669)*(ROW(T$2:T$1073)&lt;&gt;ROW(T669))*(T$2:T$1073&lt;&gt;""))),"")</f>
        <v>3.4958573241250623E-2</v>
      </c>
      <c r="AA669" cm="1">
        <f t="array" ref="AA669">IFERROR(AVERAGE(_xlfn._xlws.FILTER(U$2:U$1073,($C$2:$C$1073=$C669)*($E$2:$E$1073=$E669)*(ROW(U$2:U$1073)&lt;&gt;ROW(U669))*(U$2:U$1073&lt;&gt;""))),"")</f>
        <v>34.444280572958768</v>
      </c>
    </row>
    <row r="670" spans="1:27" x14ac:dyDescent="0.2">
      <c r="A670" s="8" t="s">
        <v>2320</v>
      </c>
      <c r="B670" t="str">
        <f t="shared" si="112"/>
        <v>RAGR IV кв. 2013</v>
      </c>
      <c r="C670" s="8">
        <v>2013</v>
      </c>
      <c r="D670">
        <f>SUMIFS(Дивиденды!$C:$C,Дивиденды!$A:$A,A670,Дивиденды!$I:$I,C670)</f>
        <v>0</v>
      </c>
      <c r="E670">
        <v>4</v>
      </c>
      <c r="F670">
        <f t="shared" si="113"/>
        <v>0</v>
      </c>
      <c r="G670">
        <f t="shared" si="114"/>
        <v>13.409285714285716</v>
      </c>
      <c r="H670">
        <f t="shared" si="115"/>
        <v>0</v>
      </c>
      <c r="I670">
        <f t="shared" si="111"/>
        <v>0.14285714285714285</v>
      </c>
      <c r="J670">
        <f t="shared" si="116"/>
        <v>0</v>
      </c>
      <c r="K670">
        <f t="shared" si="120"/>
        <v>4.7291245939064024E-2</v>
      </c>
      <c r="L670">
        <f t="shared" si="117"/>
        <v>0</v>
      </c>
      <c r="M670">
        <f t="shared" si="110"/>
        <v>7.1428571428571425E-2</v>
      </c>
      <c r="N670">
        <f t="shared" si="118"/>
        <v>0</v>
      </c>
      <c r="O670">
        <f t="shared" si="119"/>
        <v>0</v>
      </c>
      <c r="P670" t="str">
        <f>IFERROR(LN('Дивиденды по годам'!I670),"")</f>
        <v/>
      </c>
      <c r="Q670" t="str">
        <f>IFERROR('Дивиденды по годам'!G670/'Дивиденды по годам'!I670, "")</f>
        <v/>
      </c>
      <c r="R670" t="str">
        <f>IFERROR(IF(AND('Дивиденды по годам'!N670&lt;&gt;"",'Дивиденды по годам'!U670&lt;&gt;"",'Дивиденды по годам'!U670&lt;&gt;0),'Дивиденды по годам'!N670/'Дивиденды по годам'!U670-1,""),"")</f>
        <v/>
      </c>
      <c r="S670" t="str">
        <f>IFERROR(IF(AND('Дивиденды по годам'!L670&lt;&gt;"",'Дивиденды по годам'!I670&lt;&gt;"",'Дивиденды по годам'!J670&lt;&gt;"",'Дивиденды по годам'!K670&lt;&gt;"",('Дивиденды по годам'!I670-'Дивиденды по годам'!J670-'Дивиденды по годам'!K670)&lt;&gt;0),'Дивиденды по годам'!L670/('Дивиденды по годам'!I670-'Дивиденды по годам'!J670-'Дивиденды по годам'!K670),""),"")</f>
        <v/>
      </c>
      <c r="T670" t="str">
        <f>IFERROR(IF(AND('Дивиденды по годам'!Q670&lt;&gt;"",'Дивиденды по годам'!I670&lt;&gt;"",'Дивиденды по годам'!V670&lt;&gt;"",('Дивиденды по годам'!I670+'Дивиденды по годам'!V670)&lt;&gt;0),'Дивиденды по годам'!Q670/(('Дивиденды по годам'!I670+'Дивиденды по годам'!V670)/2),""),"")</f>
        <v/>
      </c>
      <c r="U670" t="str">
        <f>IFERROR(IF(AND('Дивиденды по годам'!J670&lt;&gt;"",'Дивиденды по годам'!K670&lt;&gt;"",'Дивиденды по годам'!M670&lt;&gt;"",'Дивиденды по годам'!M670&lt;&gt;0),('Дивиденды по годам'!J670+'Дивиденды по годам'!K670)/'Дивиденды по годам'!M670,""),"")</f>
        <v/>
      </c>
      <c r="V670" cm="1">
        <f t="array" ref="V670">IFERROR(AVERAGE(_xlfn._xlws.FILTER(P$2:P$1073,($C$2:$C$1073=$C670)*($E$2:$E$1073=$E670)*(ROW(P$2:P$1073)&lt;&gt;ROW(P670))*(P$2:P$1073&lt;&gt;""))),"")</f>
        <v>24.281308125321722</v>
      </c>
      <c r="W670" cm="1">
        <f t="array" ref="W670">IFERROR(AVERAGE(_xlfn._xlws.FILTER(Q$2:Q$1073,($C$2:$C$1073=$C670)*($E$2:$E$1073=$E670)*(ROW(Q$2:Q$1073)&lt;&gt;ROW(Q670))*(Q$2:Q$1073&lt;&gt;""))),"")</f>
        <v>0.34809372453666254</v>
      </c>
      <c r="X670" cm="1">
        <f t="array" ref="X670">IFERROR(AVERAGE(_xlfn._xlws.FILTER(R$2:R$1073,($C$2:$C$1073=$C670)*($E$2:$E$1073=$E670)*(ROW(R$2:R$1073)&lt;&gt;ROW(R670))*(R$2:R$1073&lt;&gt;""))),"")</f>
        <v>0.17531341667142472</v>
      </c>
      <c r="Y670" t="str" cm="1">
        <f t="array" ref="Y670">IFERROR(AVERAGE(_xlfn._xlws.FILTER(S$2:S$1073,($C$2:$C$1073=$C670)*($E$2:$E$1073=$E670)*(ROW(S$2:S$1073)&lt;&gt;ROW(S670))*(S$2:S$1073&lt;&gt;""))),"")</f>
        <v/>
      </c>
      <c r="Z670" cm="1">
        <f t="array" ref="Z670">IFERROR(AVERAGE(_xlfn._xlws.FILTER(T$2:T$1073,($C$2:$C$1073=$C670)*($E$2:$E$1073=$E670)*(ROW(T$2:T$1073)&lt;&gt;ROW(T670))*(T$2:T$1073&lt;&gt;""))),"")</f>
        <v>-0.12490141563278262</v>
      </c>
      <c r="AA670" cm="1">
        <f t="array" ref="AA670">IFERROR(AVERAGE(_xlfn._xlws.FILTER(U$2:U$1073,($C$2:$C$1073=$C670)*($E$2:$E$1073=$E670)*(ROW(U$2:U$1073)&lt;&gt;ROW(U670))*(U$2:U$1073&lt;&gt;""))),"")</f>
        <v>0.44566877182826042</v>
      </c>
    </row>
    <row r="671" spans="1:27" x14ac:dyDescent="0.2">
      <c r="A671" s="8" t="s">
        <v>2320</v>
      </c>
      <c r="B671" t="str">
        <f t="shared" si="112"/>
        <v>RAGR IV кв. 2012</v>
      </c>
      <c r="C671" s="8">
        <v>2012</v>
      </c>
      <c r="D671">
        <f>SUMIFS(Дивиденды!$C:$C,Дивиденды!$A:$A,A671,Дивиденды!$I:$I,C671)</f>
        <v>0</v>
      </c>
      <c r="E671">
        <v>4</v>
      </c>
      <c r="F671">
        <f t="shared" si="113"/>
        <v>0</v>
      </c>
      <c r="G671">
        <f t="shared" si="114"/>
        <v>9.5621428571428577</v>
      </c>
      <c r="H671">
        <f t="shared" si="115"/>
        <v>0</v>
      </c>
      <c r="I671">
        <f t="shared" si="111"/>
        <v>0.14285714285714285</v>
      </c>
      <c r="J671">
        <f t="shared" si="116"/>
        <v>0</v>
      </c>
      <c r="K671">
        <f t="shared" si="120"/>
        <v>0.25341100242975517</v>
      </c>
      <c r="L671">
        <f t="shared" si="117"/>
        <v>0</v>
      </c>
      <c r="M671">
        <f t="shared" si="110"/>
        <v>0.14285714285714285</v>
      </c>
      <c r="N671">
        <f t="shared" si="118"/>
        <v>0</v>
      </c>
      <c r="O671">
        <f t="shared" si="119"/>
        <v>0</v>
      </c>
      <c r="P671" t="str">
        <f>IFERROR(LN('Дивиденды по годам'!I671),"")</f>
        <v/>
      </c>
      <c r="Q671" t="str">
        <f>IFERROR('Дивиденды по годам'!G671/'Дивиденды по годам'!I671, "")</f>
        <v/>
      </c>
      <c r="R671" t="str">
        <f>IFERROR(IF(AND('Дивиденды по годам'!N671&lt;&gt;"",'Дивиденды по годам'!U671&lt;&gt;"",'Дивиденды по годам'!U671&lt;&gt;0),'Дивиденды по годам'!N671/'Дивиденды по годам'!U671-1,""),"")</f>
        <v/>
      </c>
      <c r="S671" t="str">
        <f>IFERROR(IF(AND('Дивиденды по годам'!L671&lt;&gt;"",'Дивиденды по годам'!I671&lt;&gt;"",'Дивиденды по годам'!J671&lt;&gt;"",'Дивиденды по годам'!K671&lt;&gt;"",('Дивиденды по годам'!I671-'Дивиденды по годам'!J671-'Дивиденды по годам'!K671)&lt;&gt;0),'Дивиденды по годам'!L671/('Дивиденды по годам'!I671-'Дивиденды по годам'!J671-'Дивиденды по годам'!K671),""),"")</f>
        <v/>
      </c>
      <c r="T671" t="str">
        <f>IFERROR(IF(AND('Дивиденды по годам'!Q671&lt;&gt;"",'Дивиденды по годам'!I671&lt;&gt;"",'Дивиденды по годам'!V671&lt;&gt;"",('Дивиденды по годам'!I671+'Дивиденды по годам'!V671)&lt;&gt;0),'Дивиденды по годам'!Q671/(('Дивиденды по годам'!I671+'Дивиденды по годам'!V671)/2),""),"")</f>
        <v/>
      </c>
      <c r="U671" t="str">
        <f>IFERROR(IF(AND('Дивиденды по годам'!J671&lt;&gt;"",'Дивиденды по годам'!K671&lt;&gt;"",'Дивиденды по годам'!M671&lt;&gt;"",'Дивиденды по годам'!M671&lt;&gt;0),('Дивиденды по годам'!J671+'Дивиденды по годам'!K671)/'Дивиденды по годам'!M671,""),"")</f>
        <v/>
      </c>
      <c r="V671" cm="1">
        <f t="array" ref="V671">IFERROR(AVERAGE(_xlfn._xlws.FILTER(P$2:P$1073,($C$2:$C$1073=$C671)*($E$2:$E$1073=$E671)*(ROW(P$2:P$1073)&lt;&gt;ROW(P671))*(P$2:P$1073&lt;&gt;""))),"")</f>
        <v>24.228370506718147</v>
      </c>
      <c r="W671" cm="1">
        <f t="array" ref="W671">IFERROR(AVERAGE(_xlfn._xlws.FILTER(Q$2:Q$1073,($C$2:$C$1073=$C671)*($E$2:$E$1073=$E671)*(ROW(Q$2:Q$1073)&lt;&gt;ROW(Q671))*(Q$2:Q$1073&lt;&gt;""))),"")</f>
        <v>0.2820560824162458</v>
      </c>
      <c r="X671" cm="1">
        <f t="array" ref="X671">IFERROR(AVERAGE(_xlfn._xlws.FILTER(R$2:R$1073,($C$2:$C$1073=$C671)*($E$2:$E$1073=$E671)*(ROW(R$2:R$1073)&lt;&gt;ROW(R671))*(R$2:R$1073&lt;&gt;""))),"")</f>
        <v>-2.2522357472477484E-2</v>
      </c>
      <c r="Y671" cm="1">
        <f t="array" ref="Y671">IFERROR(AVERAGE(_xlfn._xlws.FILTER(S$2:S$1073,($C$2:$C$1073=$C671)*($E$2:$E$1073=$E671)*(ROW(S$2:S$1073)&lt;&gt;ROW(S671))*(S$2:S$1073&lt;&gt;""))),"")</f>
        <v>-1.7651061513336963</v>
      </c>
      <c r="Z671" cm="1">
        <f t="array" ref="Z671">IFERROR(AVERAGE(_xlfn._xlws.FILTER(T$2:T$1073,($C$2:$C$1073=$C671)*($E$2:$E$1073=$E671)*(ROW(T$2:T$1073)&lt;&gt;ROW(T671))*(T$2:T$1073&lt;&gt;""))),"")</f>
        <v>6.8400459116201365E-2</v>
      </c>
      <c r="AA671" cm="1">
        <f t="array" ref="AA671">IFERROR(AVERAGE(_xlfn._xlws.FILTER(U$2:U$1073,($C$2:$C$1073=$C671)*($E$2:$E$1073=$E671)*(ROW(U$2:U$1073)&lt;&gt;ROW(U671))*(U$2:U$1073&lt;&gt;""))),"")</f>
        <v>-3.9631898894189463</v>
      </c>
    </row>
    <row r="672" spans="1:27" x14ac:dyDescent="0.2">
      <c r="A672" s="8" t="s">
        <v>2320</v>
      </c>
      <c r="B672" t="str">
        <f t="shared" si="112"/>
        <v>RAGR IV кв. 2011</v>
      </c>
      <c r="C672" s="8">
        <v>2011</v>
      </c>
      <c r="D672">
        <f>SUMIFS(Дивиденды!$C:$C,Дивиденды!$A:$A,A672,Дивиденды!$I:$I,C672)</f>
        <v>0</v>
      </c>
      <c r="E672">
        <v>4</v>
      </c>
      <c r="F672">
        <f t="shared" si="113"/>
        <v>0</v>
      </c>
      <c r="G672">
        <f t="shared" si="114"/>
        <v>1.6378571428571429</v>
      </c>
      <c r="H672">
        <f t="shared" si="115"/>
        <v>0</v>
      </c>
      <c r="I672">
        <f t="shared" si="111"/>
        <v>7.1428571428571425E-2</v>
      </c>
      <c r="J672">
        <f t="shared" si="116"/>
        <v>0</v>
      </c>
      <c r="K672">
        <f t="shared" si="120"/>
        <v>0.17786475320721892</v>
      </c>
      <c r="L672">
        <f t="shared" si="117"/>
        <v>0</v>
      </c>
      <c r="M672">
        <f t="shared" si="110"/>
        <v>7.1428571428571425E-2</v>
      </c>
      <c r="N672">
        <f t="shared" si="118"/>
        <v>0</v>
      </c>
      <c r="O672">
        <f t="shared" si="119"/>
        <v>0</v>
      </c>
      <c r="P672" t="str">
        <f>IFERROR(LN('Дивиденды по годам'!I672),"")</f>
        <v/>
      </c>
      <c r="Q672" t="str">
        <f>IFERROR('Дивиденды по годам'!G672/'Дивиденды по годам'!I672, "")</f>
        <v/>
      </c>
      <c r="R672" t="str">
        <f>IFERROR(IF(AND('Дивиденды по годам'!N672&lt;&gt;"",'Дивиденды по годам'!U672&lt;&gt;"",'Дивиденды по годам'!U672&lt;&gt;0),'Дивиденды по годам'!N672/'Дивиденды по годам'!U672-1,""),"")</f>
        <v/>
      </c>
      <c r="S672" t="str">
        <f>IFERROR(IF(AND('Дивиденды по годам'!L672&lt;&gt;"",'Дивиденды по годам'!I672&lt;&gt;"",'Дивиденды по годам'!J672&lt;&gt;"",'Дивиденды по годам'!K672&lt;&gt;"",('Дивиденды по годам'!I672-'Дивиденды по годам'!J672-'Дивиденды по годам'!K672)&lt;&gt;0),'Дивиденды по годам'!L672/('Дивиденды по годам'!I672-'Дивиденды по годам'!J672-'Дивиденды по годам'!K672),""),"")</f>
        <v/>
      </c>
      <c r="T672" t="str">
        <f>IFERROR(IF(AND('Дивиденды по годам'!Q672&lt;&gt;"",'Дивиденды по годам'!I672&lt;&gt;"",'Дивиденды по годам'!V672&lt;&gt;"",('Дивиденды по годам'!I672+'Дивиденды по годам'!V672)&lt;&gt;0),'Дивиденды по годам'!Q672/(('Дивиденды по годам'!I672+'Дивиденды по годам'!V672)/2),""),"")</f>
        <v/>
      </c>
      <c r="U672" t="str">
        <f>IFERROR(IF(AND('Дивиденды по годам'!J672&lt;&gt;"",'Дивиденды по годам'!K672&lt;&gt;"",'Дивиденды по годам'!M672&lt;&gt;"",'Дивиденды по годам'!M672&lt;&gt;0),('Дивиденды по годам'!J672+'Дивиденды по годам'!K672)/'Дивиденды по годам'!M672,""),"")</f>
        <v/>
      </c>
      <c r="V672" cm="1">
        <f t="array" ref="V672">IFERROR(AVERAGE(_xlfn._xlws.FILTER(P$2:P$1073,($C$2:$C$1073=$C672)*($E$2:$E$1073=$E672)*(ROW(P$2:P$1073)&lt;&gt;ROW(P672))*(P$2:P$1073&lt;&gt;""))),"")</f>
        <v>24.180789108496477</v>
      </c>
      <c r="W672" cm="1">
        <f t="array" ref="W672">IFERROR(AVERAGE(_xlfn._xlws.FILTER(Q$2:Q$1073,($C$2:$C$1073=$C672)*($E$2:$E$1073=$E672)*(ROW(Q$2:Q$1073)&lt;&gt;ROW(Q672))*(Q$2:Q$1073&lt;&gt;""))),"")</f>
        <v>0.29604752502083465</v>
      </c>
      <c r="X672" cm="1">
        <f t="array" ref="X672">IFERROR(AVERAGE(_xlfn._xlws.FILTER(R$2:R$1073,($C$2:$C$1073=$C672)*($E$2:$E$1073=$E672)*(ROW(R$2:R$1073)&lt;&gt;ROW(R672))*(R$2:R$1073&lt;&gt;""))),"")</f>
        <v>5.9511017560386792E-2</v>
      </c>
      <c r="Y672" t="str" cm="1">
        <f t="array" ref="Y672">IFERROR(AVERAGE(_xlfn._xlws.FILTER(S$2:S$1073,($C$2:$C$1073=$C672)*($E$2:$E$1073=$E672)*(ROW(S$2:S$1073)&lt;&gt;ROW(S672))*(S$2:S$1073&lt;&gt;""))),"")</f>
        <v/>
      </c>
      <c r="Z672" cm="1">
        <f t="array" ref="Z672">IFERROR(AVERAGE(_xlfn._xlws.FILTER(T$2:T$1073,($C$2:$C$1073=$C672)*($E$2:$E$1073=$E672)*(ROW(T$2:T$1073)&lt;&gt;ROW(T672))*(T$2:T$1073&lt;&gt;""))),"")</f>
        <v>-1.4171101286470289E-2</v>
      </c>
      <c r="AA672" cm="1">
        <f t="array" ref="AA672">IFERROR(AVERAGE(_xlfn._xlws.FILTER(U$2:U$1073,($C$2:$C$1073=$C672)*($E$2:$E$1073=$E672)*(ROW(U$2:U$1073)&lt;&gt;ROW(U672))*(U$2:U$1073&lt;&gt;""))),"")</f>
        <v>2.1854574410792247</v>
      </c>
    </row>
    <row r="673" spans="1:27" x14ac:dyDescent="0.2">
      <c r="A673" s="8" t="s">
        <v>2320</v>
      </c>
      <c r="B673" t="str">
        <f t="shared" si="112"/>
        <v>RAGR IV кв. 2010</v>
      </c>
      <c r="C673" s="8">
        <v>2010</v>
      </c>
      <c r="D673">
        <f>SUMIFS(Дивиденды!$C:$C,Дивиденды!$A:$A,A673,Дивиденды!$I:$I,C673)</f>
        <v>0</v>
      </c>
      <c r="E673">
        <v>4</v>
      </c>
      <c r="F673">
        <f t="shared" si="113"/>
        <v>0</v>
      </c>
      <c r="G673">
        <f t="shared" si="114"/>
        <v>0.46928571428571431</v>
      </c>
      <c r="H673">
        <f t="shared" si="115"/>
        <v>0</v>
      </c>
      <c r="I673">
        <f t="shared" si="111"/>
        <v>7.1428571428571425E-2</v>
      </c>
      <c r="J673" t="str">
        <f t="shared" si="116"/>
        <v/>
      </c>
      <c r="K673" t="str">
        <f t="shared" si="120"/>
        <v/>
      </c>
      <c r="L673" t="str">
        <f t="shared" si="117"/>
        <v/>
      </c>
      <c r="M673" t="str">
        <f t="shared" ref="M673:M736" si="121">IFERROR(AVERAGEIFS($L:$L,$E:$E,E673,$C:$C,C673,$A:$A,"&lt;&gt;"&amp;A673),"")</f>
        <v/>
      </c>
      <c r="N673" t="str">
        <f t="shared" si="118"/>
        <v/>
      </c>
      <c r="O673" t="str">
        <f t="shared" si="119"/>
        <v/>
      </c>
      <c r="P673" t="str">
        <f>IFERROR(LN('Дивиденды по годам'!I673),"")</f>
        <v/>
      </c>
      <c r="Q673" t="str">
        <f>IFERROR('Дивиденды по годам'!G673/'Дивиденды по годам'!I673, "")</f>
        <v/>
      </c>
      <c r="R673" t="str">
        <f>IFERROR(IF(AND('Дивиденды по годам'!N673&lt;&gt;"",'Дивиденды по годам'!U673&lt;&gt;"",'Дивиденды по годам'!U673&lt;&gt;0),'Дивиденды по годам'!N673/'Дивиденды по годам'!U673-1,""),"")</f>
        <v/>
      </c>
      <c r="S673" t="str">
        <f>IFERROR(IF(AND('Дивиденды по годам'!L673&lt;&gt;"",'Дивиденды по годам'!I673&lt;&gt;"",'Дивиденды по годам'!J673&lt;&gt;"",'Дивиденды по годам'!K673&lt;&gt;"",('Дивиденды по годам'!I673-'Дивиденды по годам'!J673-'Дивиденды по годам'!K673)&lt;&gt;0),'Дивиденды по годам'!L673/('Дивиденды по годам'!I673-'Дивиденды по годам'!J673-'Дивиденды по годам'!K673),""),"")</f>
        <v/>
      </c>
      <c r="T673" t="str">
        <f>IFERROR(IF(AND('Дивиденды по годам'!Q673&lt;&gt;"",'Дивиденды по годам'!I673&lt;&gt;"",'Дивиденды по годам'!V673&lt;&gt;"",('Дивиденды по годам'!I673+'Дивиденды по годам'!V673)&lt;&gt;0),'Дивиденды по годам'!Q673/(('Дивиденды по годам'!I673+'Дивиденды по годам'!V673)/2),""),"")</f>
        <v/>
      </c>
      <c r="U673" t="str">
        <f>IFERROR(IF(AND('Дивиденды по годам'!J673&lt;&gt;"",'Дивиденды по годам'!K673&lt;&gt;"",'Дивиденды по годам'!M673&lt;&gt;"",'Дивиденды по годам'!M673&lt;&gt;0),('Дивиденды по годам'!J673+'Дивиденды по годам'!K673)/'Дивиденды по годам'!M673,""),"")</f>
        <v/>
      </c>
      <c r="V673" cm="1">
        <f t="array" ref="V673">IFERROR(AVERAGE(_xlfn._xlws.FILTER(P$2:P$1073,($C$2:$C$1073=$C673)*($E$2:$E$1073=$E673)*(ROW(P$2:P$1073)&lt;&gt;ROW(P673))*(P$2:P$1073&lt;&gt;""))),"")</f>
        <v>23.656010386255485</v>
      </c>
      <c r="W673" cm="1">
        <f t="array" ref="W673">IFERROR(AVERAGE(_xlfn._xlws.FILTER(Q$2:Q$1073,($C$2:$C$1073=$C673)*($E$2:$E$1073=$E673)*(ROW(Q$2:Q$1073)&lt;&gt;ROW(Q673))*(Q$2:Q$1073&lt;&gt;""))),"")</f>
        <v>0.15222241747474585</v>
      </c>
      <c r="X673" t="str" cm="1">
        <f t="array" ref="X673">IFERROR(AVERAGE(_xlfn._xlws.FILTER(R$2:R$1073,($C$2:$C$1073=$C673)*($E$2:$E$1073=$E673)*(ROW(R$2:R$1073)&lt;&gt;ROW(R673))*(R$2:R$1073&lt;&gt;""))),"")</f>
        <v/>
      </c>
      <c r="Y673" t="str" cm="1">
        <f t="array" ref="Y673">IFERROR(AVERAGE(_xlfn._xlws.FILTER(S$2:S$1073,($C$2:$C$1073=$C673)*($E$2:$E$1073=$E673)*(ROW(S$2:S$1073)&lt;&gt;ROW(S673))*(S$2:S$1073&lt;&gt;""))),"")</f>
        <v/>
      </c>
      <c r="Z673" t="str" cm="1">
        <f t="array" ref="Z673">IFERROR(AVERAGE(_xlfn._xlws.FILTER(T$2:T$1073,($C$2:$C$1073=$C673)*($E$2:$E$1073=$E673)*(ROW(T$2:T$1073)&lt;&gt;ROW(T673))*(T$2:T$1073&lt;&gt;""))),"")</f>
        <v/>
      </c>
      <c r="AA673" cm="1">
        <f t="array" ref="AA673">IFERROR(AVERAGE(_xlfn._xlws.FILTER(U$2:U$1073,($C$2:$C$1073=$C673)*($E$2:$E$1073=$E673)*(ROW(U$2:U$1073)&lt;&gt;ROW(U673))*(U$2:U$1073&lt;&gt;""))),"")</f>
        <v>2.8988498110700496</v>
      </c>
    </row>
    <row r="674" spans="1:27" x14ac:dyDescent="0.2">
      <c r="A674" s="7" t="s">
        <v>2261</v>
      </c>
      <c r="B674" t="str">
        <f t="shared" si="112"/>
        <v>SVAV IV кв. 2025</v>
      </c>
      <c r="C674">
        <v>2025</v>
      </c>
      <c r="D674">
        <f>SUMIFS(Дивиденды!$C:$C,Дивиденды!$A:$A,A674,Дивиденды!$I:$I,C674)</f>
        <v>0</v>
      </c>
      <c r="E674">
        <v>4</v>
      </c>
      <c r="F674">
        <f t="shared" si="113"/>
        <v>0</v>
      </c>
      <c r="G674">
        <f t="shared" si="114"/>
        <v>31.581428571428571</v>
      </c>
      <c r="H674">
        <f t="shared" si="115"/>
        <v>0</v>
      </c>
      <c r="I674">
        <f t="shared" si="111"/>
        <v>0.42857142857142855</v>
      </c>
      <c r="J674">
        <f t="shared" si="116"/>
        <v>-1</v>
      </c>
      <c r="K674">
        <f t="shared" si="120"/>
        <v>-0.11109777181212487</v>
      </c>
      <c r="L674">
        <f t="shared" si="117"/>
        <v>0</v>
      </c>
      <c r="M674">
        <f t="shared" si="121"/>
        <v>0.14285714285714285</v>
      </c>
      <c r="N674">
        <f t="shared" si="118"/>
        <v>1</v>
      </c>
      <c r="O674">
        <f t="shared" si="119"/>
        <v>0.42857142857142855</v>
      </c>
      <c r="P674" t="str">
        <f>IFERROR(LN('Дивиденды по годам'!I674),"")</f>
        <v/>
      </c>
      <c r="Q674" t="str">
        <f>IFERROR('Дивиденды по годам'!G674/'Дивиденды по годам'!I674, "")</f>
        <v/>
      </c>
      <c r="R674" t="str">
        <f>IFERROR(IF(AND('Дивиденды по годам'!N674&lt;&gt;"",'Дивиденды по годам'!U674&lt;&gt;"",'Дивиденды по годам'!U674&lt;&gt;0),'Дивиденды по годам'!N674/'Дивиденды по годам'!U674-1,""),"")</f>
        <v/>
      </c>
      <c r="S674" t="str">
        <f>IFERROR(IF(AND('Дивиденды по годам'!L674&lt;&gt;"",'Дивиденды по годам'!I674&lt;&gt;"",'Дивиденды по годам'!J674&lt;&gt;"",'Дивиденды по годам'!K674&lt;&gt;"",('Дивиденды по годам'!I674-'Дивиденды по годам'!J674-'Дивиденды по годам'!K674)&lt;&gt;0),'Дивиденды по годам'!L674/('Дивиденды по годам'!I674-'Дивиденды по годам'!J674-'Дивиденды по годам'!K674),""),"")</f>
        <v/>
      </c>
      <c r="T674" t="str">
        <f>IFERROR(IF(AND('Дивиденды по годам'!Q674&lt;&gt;"",'Дивиденды по годам'!I674&lt;&gt;"",'Дивиденды по годам'!V674&lt;&gt;"",('Дивиденды по годам'!I674+'Дивиденды по годам'!V674)&lt;&gt;0),'Дивиденды по годам'!Q674/(('Дивиденды по годам'!I674+'Дивиденды по годам'!V674)/2),""),"")</f>
        <v/>
      </c>
      <c r="U674" t="str">
        <f>IFERROR(IF(AND('Дивиденды по годам'!J674&lt;&gt;"",'Дивиденды по годам'!K674&lt;&gt;"",'Дивиденды по годам'!M674&lt;&gt;"",'Дивиденды по годам'!M674&lt;&gt;0),('Дивиденды по годам'!J674+'Дивиденды по годам'!K674)/'Дивиденды по годам'!M674,""),"")</f>
        <v/>
      </c>
      <c r="V674" cm="1">
        <f t="array" ref="V674">IFERROR(AVERAGE(_xlfn._xlws.FILTER(P$2:P$1073,($C$2:$C$1073=$C674)*($E$2:$E$1073=$E674)*(ROW(P$2:P$1073)&lt;&gt;ROW(P674))*(P$2:P$1073&lt;&gt;""))),"")</f>
        <v>26.183512711155618</v>
      </c>
      <c r="W674" cm="1">
        <f t="array" ref="W674">IFERROR(AVERAGE(_xlfn._xlws.FILTER(Q$2:Q$1073,($C$2:$C$1073=$C674)*($E$2:$E$1073=$E674)*(ROW(Q$2:Q$1073)&lt;&gt;ROW(Q674))*(Q$2:Q$1073&lt;&gt;""))),"")</f>
        <v>0.42364014522274984</v>
      </c>
      <c r="X674" cm="1">
        <f t="array" ref="X674">IFERROR(AVERAGE(_xlfn._xlws.FILTER(R$2:R$1073,($C$2:$C$1073=$C674)*($E$2:$E$1073=$E674)*(ROW(R$2:R$1073)&lt;&gt;ROW(R674))*(R$2:R$1073&lt;&gt;""))),"")</f>
        <v>6.6096126428947105E-2</v>
      </c>
      <c r="Y674" cm="1">
        <f t="array" ref="Y674">IFERROR(AVERAGE(_xlfn._xlws.FILTER(S$2:S$1073,($C$2:$C$1073=$C674)*($E$2:$E$1073=$E674)*(ROW(S$2:S$1073)&lt;&gt;ROW(S674))*(S$2:S$1073&lt;&gt;""))),"")</f>
        <v>0.94174952343815033</v>
      </c>
      <c r="Z674" cm="1">
        <f t="array" ref="Z674">IFERROR(AVERAGE(_xlfn._xlws.FILTER(T$2:T$1073,($C$2:$C$1073=$C674)*($E$2:$E$1073=$E674)*(ROW(T$2:T$1073)&lt;&gt;ROW(T674))*(T$2:T$1073&lt;&gt;""))),"")</f>
        <v>1.3107153079830167E-2</v>
      </c>
      <c r="AA674" cm="1">
        <f t="array" ref="AA674">IFERROR(AVERAGE(_xlfn._xlws.FILTER(U$2:U$1073,($C$2:$C$1073=$C674)*($E$2:$E$1073=$E674)*(ROW(U$2:U$1073)&lt;&gt;ROW(U674))*(U$2:U$1073&lt;&gt;""))),"")</f>
        <v>6.2968354519658218</v>
      </c>
    </row>
    <row r="675" spans="1:27" x14ac:dyDescent="0.2">
      <c r="A675" s="7" t="s">
        <v>2261</v>
      </c>
      <c r="B675" t="str">
        <f t="shared" si="112"/>
        <v>SVAV IV кв. 2024</v>
      </c>
      <c r="C675">
        <v>2024</v>
      </c>
      <c r="D675">
        <f>SUMIFS(Дивиденды!$C:$C,Дивиденды!$A:$A,A675,Дивиденды!$I:$I,C675)</f>
        <v>70</v>
      </c>
      <c r="E675">
        <v>4</v>
      </c>
      <c r="F675">
        <f t="shared" si="113"/>
        <v>70</v>
      </c>
      <c r="G675">
        <f t="shared" si="114"/>
        <v>57.511428571428574</v>
      </c>
      <c r="H675">
        <f t="shared" si="115"/>
        <v>1</v>
      </c>
      <c r="I675">
        <f t="shared" si="111"/>
        <v>0.5</v>
      </c>
      <c r="J675">
        <f t="shared" si="116"/>
        <v>-0.21348314606741572</v>
      </c>
      <c r="K675">
        <f t="shared" si="120"/>
        <v>0.22670454151115635</v>
      </c>
      <c r="L675">
        <f t="shared" si="117"/>
        <v>0</v>
      </c>
      <c r="M675">
        <f t="shared" si="121"/>
        <v>0.35714285714285715</v>
      </c>
      <c r="N675">
        <f t="shared" si="118"/>
        <v>1</v>
      </c>
      <c r="O675">
        <f t="shared" si="119"/>
        <v>0.21428571428571427</v>
      </c>
      <c r="P675">
        <f>IFERROR(LN('Дивиденды по годам'!I675),"")</f>
        <v>25.083034081405199</v>
      </c>
      <c r="Q675">
        <f>IFERROR('Дивиденды по годам'!G675/'Дивиденды по годам'!I675, "")</f>
        <v>0.27216605529211774</v>
      </c>
      <c r="R675">
        <f>IFERROR(IF(AND('Дивиденды по годам'!N675&lt;&gt;"",'Дивиденды по годам'!U675&lt;&gt;"",'Дивиденды по годам'!U675&lt;&gt;0),'Дивиденды по годам'!N675/'Дивиденды по годам'!U675-1,""),"")</f>
        <v>0.11510651484402534</v>
      </c>
      <c r="S675">
        <f>IFERROR(IF(AND('Дивиденды по годам'!L675&lt;&gt;"",'Дивиденды по годам'!I675&lt;&gt;"",'Дивиденды по годам'!J675&lt;&gt;"",'Дивиденды по годам'!K675&lt;&gt;"",('Дивиденды по годам'!I675-'Дивиденды по годам'!J675-'Дивиденды по годам'!K675)&lt;&gt;0),'Дивиденды по годам'!L675/('Дивиденды по годам'!I675-'Дивиденды по годам'!J675-'Дивиденды по годам'!K675),""),"")</f>
        <v>0.36833053355731543</v>
      </c>
      <c r="T675">
        <f>IFERROR(IF(AND('Дивиденды по годам'!Q675&lt;&gt;"",'Дивиденды по годам'!I675&lt;&gt;"",'Дивиденды по годам'!V675&lt;&gt;"",('Дивиденды по годам'!I675+'Дивиденды по годам'!V675)&lt;&gt;0),'Дивиденды по годам'!Q675/(('Дивиденды по годам'!I675+'Дивиденды по годам'!V675)/2),""),"")</f>
        <v>5.0157877057440375E-2</v>
      </c>
      <c r="U675">
        <f>IFERROR(IF(AND('Дивиденды по годам'!J675&lt;&gt;"",'Дивиденды по годам'!K675&lt;&gt;"",'Дивиденды по годам'!M675&lt;&gt;"",'Дивиденды по годам'!M675&lt;&gt;0),('Дивиденды по годам'!J675+'Дивиденды по годам'!K675)/'Дивиденды по годам'!M675,""),"")</f>
        <v>2.1293096552275816</v>
      </c>
      <c r="V675" cm="1">
        <f t="array" ref="V675">IFERROR(AVERAGE(_xlfn._xlws.FILTER(P$2:P$1073,($C$2:$C$1073=$C675)*($E$2:$E$1073=$E675)*(ROW(P$2:P$1073)&lt;&gt;ROW(P675))*(P$2:P$1073&lt;&gt;""))),"")</f>
        <v>25.59921268759215</v>
      </c>
      <c r="W675" cm="1">
        <f t="array" ref="W675">IFERROR(AVERAGE(_xlfn._xlws.FILTER(Q$2:Q$1073,($C$2:$C$1073=$C675)*($E$2:$E$1073=$E675)*(ROW(Q$2:Q$1073)&lt;&gt;ROW(Q675))*(Q$2:Q$1073&lt;&gt;""))),"")</f>
        <v>0.2622643009291421</v>
      </c>
      <c r="X675" cm="1">
        <f t="array" ref="X675">IFERROR(AVERAGE(_xlfn._xlws.FILTER(R$2:R$1073,($C$2:$C$1073=$C675)*($E$2:$E$1073=$E675)*(ROW(R$2:R$1073)&lt;&gt;ROW(R675))*(R$2:R$1073&lt;&gt;""))),"")</f>
        <v>0.27620499762838213</v>
      </c>
      <c r="Y675" cm="1">
        <f t="array" ref="Y675">IFERROR(AVERAGE(_xlfn._xlws.FILTER(S$2:S$1073,($C$2:$C$1073=$C675)*($E$2:$E$1073=$E675)*(ROW(S$2:S$1073)&lt;&gt;ROW(S675))*(S$2:S$1073&lt;&gt;""))),"")</f>
        <v>1.2283914025000862</v>
      </c>
      <c r="Z675" cm="1">
        <f t="array" ref="Z675">IFERROR(AVERAGE(_xlfn._xlws.FILTER(T$2:T$1073,($C$2:$C$1073=$C675)*($E$2:$E$1073=$E675)*(ROW(T$2:T$1073)&lt;&gt;ROW(T675))*(T$2:T$1073&lt;&gt;""))),"")</f>
        <v>7.4584049948109785E-2</v>
      </c>
      <c r="AA675" cm="1">
        <f t="array" ref="AA675">IFERROR(AVERAGE(_xlfn._xlws.FILTER(U$2:U$1073,($C$2:$C$1073=$C675)*($E$2:$E$1073=$E675)*(ROW(U$2:U$1073)&lt;&gt;ROW(U675))*(U$2:U$1073&lt;&gt;""))),"")</f>
        <v>4.1237612434232505</v>
      </c>
    </row>
    <row r="676" spans="1:27" x14ac:dyDescent="0.2">
      <c r="A676" s="7" t="s">
        <v>2261</v>
      </c>
      <c r="B676" t="str">
        <f t="shared" si="112"/>
        <v>SVAV IV кв. 2023</v>
      </c>
      <c r="C676">
        <v>2023</v>
      </c>
      <c r="D676">
        <f>SUMIFS(Дивиденды!$C:$C,Дивиденды!$A:$A,A676,Дивиденды!$I:$I,C676)</f>
        <v>89</v>
      </c>
      <c r="E676">
        <v>4</v>
      </c>
      <c r="F676">
        <f t="shared" si="113"/>
        <v>89</v>
      </c>
      <c r="G676">
        <f t="shared" si="114"/>
        <v>84.382857142857148</v>
      </c>
      <c r="H676">
        <f t="shared" si="115"/>
        <v>1</v>
      </c>
      <c r="I676">
        <f t="shared" si="111"/>
        <v>0.42857142857142855</v>
      </c>
      <c r="J676">
        <f t="shared" si="116"/>
        <v>0.96078431372549022</v>
      </c>
      <c r="K676">
        <f t="shared" si="120"/>
        <v>0.22950000000000001</v>
      </c>
      <c r="L676">
        <f t="shared" si="117"/>
        <v>1</v>
      </c>
      <c r="M676">
        <f t="shared" si="121"/>
        <v>0.35714285714285715</v>
      </c>
      <c r="N676">
        <f t="shared" si="118"/>
        <v>0</v>
      </c>
      <c r="O676">
        <f t="shared" si="119"/>
        <v>0</v>
      </c>
      <c r="P676">
        <f>IFERROR(LN('Дивиденды по годам'!I676),"")</f>
        <v>24.980451776674339</v>
      </c>
      <c r="Q676">
        <f>IFERROR('Дивиденды по годам'!G676/'Дивиденды по годам'!I676, "")</f>
        <v>0.25701377972270611</v>
      </c>
      <c r="R676" t="str">
        <f>IFERROR(IF(AND('Дивиденды по годам'!N676&lt;&gt;"",'Дивиденды по годам'!U676&lt;&gt;"",'Дивиденды по годам'!U676&lt;&gt;0),'Дивиденды по годам'!N676/'Дивиденды по годам'!U676-1,""),"")</f>
        <v/>
      </c>
      <c r="S676">
        <f>IFERROR(IF(AND('Дивиденды по годам'!L676&lt;&gt;"",'Дивиденды по годам'!I676&lt;&gt;"",'Дивиденды по годам'!J676&lt;&gt;"",'Дивиденды по годам'!K676&lt;&gt;"",('Дивиденды по годам'!I676-'Дивиденды по годам'!J676-'Дивиденды по годам'!K676)&lt;&gt;0),'Дивиденды по годам'!L676/('Дивиденды по годам'!I676-'Дивиденды по годам'!J676-'Дивиденды по годам'!K676),""),"")</f>
        <v>0.34414856050849568</v>
      </c>
      <c r="T676" t="str">
        <f>IFERROR(IF(AND('Дивиденды по годам'!Q676&lt;&gt;"",'Дивиденды по годам'!I676&lt;&gt;"",'Дивиденды по годам'!V676&lt;&gt;"",('Дивиденды по годам'!I676+'Дивиденды по годам'!V676)&lt;&gt;0),'Дивиденды по годам'!Q676/(('Дивиденды по годам'!I676+'Дивиденды по годам'!V676)/2),""),"")</f>
        <v/>
      </c>
      <c r="U676">
        <f>IFERROR(IF(AND('Дивиденды по годам'!J676&lt;&gt;"",'Дивиденды по годам'!K676&lt;&gt;"",'Дивиденды по годам'!M676&lt;&gt;"",'Дивиденды по годам'!M676&lt;&gt;0),('Дивиденды по годам'!J676+'Дивиденды по годам'!K676)/'Дивиденды по годам'!M676,""),"")</f>
        <v>1.9334468862947114</v>
      </c>
      <c r="V676" cm="1">
        <f t="array" ref="V676">IFERROR(AVERAGE(_xlfn._xlws.FILTER(P$2:P$1073,($C$2:$C$1073=$C676)*($E$2:$E$1073=$E676)*(ROW(P$2:P$1073)&lt;&gt;ROW(P676))*(P$2:P$1073&lt;&gt;""))),"")</f>
        <v>25.394576953334752</v>
      </c>
      <c r="W676" cm="1">
        <f t="array" ref="W676">IFERROR(AVERAGE(_xlfn._xlws.FILTER(Q$2:Q$1073,($C$2:$C$1073=$C676)*($E$2:$E$1073=$E676)*(ROW(Q$2:Q$1073)&lt;&gt;ROW(Q676))*(Q$2:Q$1073&lt;&gt;""))),"")</f>
        <v>0.24991408674650217</v>
      </c>
      <c r="X676" cm="1">
        <f t="array" ref="X676">IFERROR(AVERAGE(_xlfn._xlws.FILTER(R$2:R$1073,($C$2:$C$1073=$C676)*($E$2:$E$1073=$E676)*(ROW(R$2:R$1073)&lt;&gt;ROW(R676))*(R$2:R$1073&lt;&gt;""))),"")</f>
        <v>0.24615938299834073</v>
      </c>
      <c r="Y676" cm="1">
        <f t="array" ref="Y676">IFERROR(AVERAGE(_xlfn._xlws.FILTER(S$2:S$1073,($C$2:$C$1073=$C676)*($E$2:$E$1073=$E676)*(ROW(S$2:S$1073)&lt;&gt;ROW(S676))*(S$2:S$1073&lt;&gt;""))),"")</f>
        <v>1.3104115471956646</v>
      </c>
      <c r="Z676" cm="1">
        <f t="array" ref="Z676">IFERROR(AVERAGE(_xlfn._xlws.FILTER(T$2:T$1073,($C$2:$C$1073=$C676)*($E$2:$E$1073=$E676)*(ROW(T$2:T$1073)&lt;&gt;ROW(T676))*(T$2:T$1073&lt;&gt;""))),"")</f>
        <v>0.11031168628188895</v>
      </c>
      <c r="AA676" cm="1">
        <f t="array" ref="AA676">IFERROR(AVERAGE(_xlfn._xlws.FILTER(U$2:U$1073,($C$2:$C$1073=$C676)*($E$2:$E$1073=$E676)*(ROW(U$2:U$1073)&lt;&gt;ROW(U676))*(U$2:U$1073&lt;&gt;""))),"")</f>
        <v>2.6341945465952548</v>
      </c>
    </row>
    <row r="677" spans="1:27" x14ac:dyDescent="0.2">
      <c r="A677" s="7" t="s">
        <v>2261</v>
      </c>
      <c r="B677" t="str">
        <f t="shared" si="112"/>
        <v>SVAV IV кв. 2022</v>
      </c>
      <c r="C677">
        <v>2022</v>
      </c>
      <c r="D677">
        <f>SUMIFS(Дивиденды!$C:$C,Дивиденды!$A:$A,A677,Дивиденды!$I:$I,C677)</f>
        <v>45.39</v>
      </c>
      <c r="E677">
        <v>4</v>
      </c>
      <c r="F677">
        <f t="shared" si="113"/>
        <v>45.39</v>
      </c>
      <c r="G677">
        <f t="shared" si="114"/>
        <v>76.937857142857155</v>
      </c>
      <c r="H677">
        <f t="shared" si="115"/>
        <v>1</v>
      </c>
      <c r="I677">
        <f t="shared" si="111"/>
        <v>0.21428571428571427</v>
      </c>
      <c r="J677">
        <f t="shared" si="116"/>
        <v>1</v>
      </c>
      <c r="K677">
        <f t="shared" si="120"/>
        <v>0.42440767369216253</v>
      </c>
      <c r="L677">
        <f t="shared" si="117"/>
        <v>1</v>
      </c>
      <c r="M677">
        <f t="shared" si="121"/>
        <v>0.21428571428571427</v>
      </c>
      <c r="N677">
        <f t="shared" si="118"/>
        <v>0</v>
      </c>
      <c r="O677">
        <f t="shared" si="119"/>
        <v>7.1428571428571425E-2</v>
      </c>
      <c r="P677" t="str">
        <f>IFERROR(LN('Дивиденды по годам'!I677),"")</f>
        <v/>
      </c>
      <c r="Q677" t="str">
        <f>IFERROR('Дивиденды по годам'!G677/'Дивиденды по годам'!I677, "")</f>
        <v/>
      </c>
      <c r="R677" t="str">
        <f>IFERROR(IF(AND('Дивиденды по годам'!N677&lt;&gt;"",'Дивиденды по годам'!U677&lt;&gt;"",'Дивиденды по годам'!U677&lt;&gt;0),'Дивиденды по годам'!N677/'Дивиденды по годам'!U677-1,""),"")</f>
        <v/>
      </c>
      <c r="S677" t="str">
        <f>IFERROR(IF(AND('Дивиденды по годам'!L677&lt;&gt;"",'Дивиденды по годам'!I677&lt;&gt;"",'Дивиденды по годам'!J677&lt;&gt;"",'Дивиденды по годам'!K677&lt;&gt;"",('Дивиденды по годам'!I677-'Дивиденды по годам'!J677-'Дивиденды по годам'!K677)&lt;&gt;0),'Дивиденды по годам'!L677/('Дивиденды по годам'!I677-'Дивиденды по годам'!J677-'Дивиденды по годам'!K677),""),"")</f>
        <v/>
      </c>
      <c r="T677" t="str">
        <f>IFERROR(IF(AND('Дивиденды по годам'!Q677&lt;&gt;"",'Дивиденды по годам'!I677&lt;&gt;"",'Дивиденды по годам'!V677&lt;&gt;"",('Дивиденды по годам'!I677+'Дивиденды по годам'!V677)&lt;&gt;0),'Дивиденды по годам'!Q677/(('Дивиденды по годам'!I677+'Дивиденды по годам'!V677)/2),""),"")</f>
        <v/>
      </c>
      <c r="U677" t="str">
        <f>IFERROR(IF(AND('Дивиденды по годам'!J677&lt;&gt;"",'Дивиденды по годам'!K677&lt;&gt;"",'Дивиденды по годам'!M677&lt;&gt;"",'Дивиденды по годам'!M677&lt;&gt;0),('Дивиденды по годам'!J677+'Дивиденды по годам'!K677)/'Дивиденды по годам'!M677,""),"")</f>
        <v/>
      </c>
      <c r="V677" cm="1">
        <f t="array" ref="V677">IFERROR(AVERAGE(_xlfn._xlws.FILTER(P$2:P$1073,($C$2:$C$1073=$C677)*($E$2:$E$1073=$E677)*(ROW(P$2:P$1073)&lt;&gt;ROW(P677))*(P$2:P$1073&lt;&gt;""))),"")</f>
        <v>25.267406913702111</v>
      </c>
      <c r="W677" cm="1">
        <f t="array" ref="W677">IFERROR(AVERAGE(_xlfn._xlws.FILTER(Q$2:Q$1073,($C$2:$C$1073=$C677)*($E$2:$E$1073=$E677)*(ROW(Q$2:Q$1073)&lt;&gt;ROW(Q677))*(Q$2:Q$1073&lt;&gt;""))),"")</f>
        <v>0.24827187132804085</v>
      </c>
      <c r="X677" cm="1">
        <f t="array" ref="X677">IFERROR(AVERAGE(_xlfn._xlws.FILTER(R$2:R$1073,($C$2:$C$1073=$C677)*($E$2:$E$1073=$E677)*(ROW(R$2:R$1073)&lt;&gt;ROW(R677))*(R$2:R$1073&lt;&gt;""))),"")</f>
        <v>0.20513507713883902</v>
      </c>
      <c r="Y677" cm="1">
        <f t="array" ref="Y677">IFERROR(AVERAGE(_xlfn._xlws.FILTER(S$2:S$1073,($C$2:$C$1073=$C677)*($E$2:$E$1073=$E677)*(ROW(S$2:S$1073)&lt;&gt;ROW(S677))*(S$2:S$1073&lt;&gt;""))),"")</f>
        <v>1.3370829347061257</v>
      </c>
      <c r="Z677" cm="1">
        <f t="array" ref="Z677">IFERROR(AVERAGE(_xlfn._xlws.FILTER(T$2:T$1073,($C$2:$C$1073=$C677)*($E$2:$E$1073=$E677)*(ROW(T$2:T$1073)&lt;&gt;ROW(T677))*(T$2:T$1073&lt;&gt;""))),"")</f>
        <v>0.10081697308373706</v>
      </c>
      <c r="AA677" cm="1">
        <f t="array" ref="AA677">IFERROR(AVERAGE(_xlfn._xlws.FILTER(U$2:U$1073,($C$2:$C$1073=$C677)*($E$2:$E$1073=$E677)*(ROW(U$2:U$1073)&lt;&gt;ROW(U677))*(U$2:U$1073&lt;&gt;""))),"")</f>
        <v>2.1734773569182102</v>
      </c>
    </row>
    <row r="678" spans="1:27" x14ac:dyDescent="0.2">
      <c r="A678" s="7" t="s">
        <v>2261</v>
      </c>
      <c r="B678" t="str">
        <f t="shared" si="112"/>
        <v>SVAV IV кв. 2021</v>
      </c>
      <c r="C678">
        <v>2021</v>
      </c>
      <c r="D678">
        <f>SUMIFS(Дивиденды!$C:$C,Дивиденды!$A:$A,A678,Дивиденды!$I:$I,C678)</f>
        <v>0</v>
      </c>
      <c r="E678">
        <v>4</v>
      </c>
      <c r="F678">
        <f t="shared" si="113"/>
        <v>0</v>
      </c>
      <c r="G678">
        <f t="shared" si="114"/>
        <v>31.931428571428572</v>
      </c>
      <c r="H678">
        <f t="shared" si="115"/>
        <v>0</v>
      </c>
      <c r="I678">
        <f t="shared" si="111"/>
        <v>0.2857142857142857</v>
      </c>
      <c r="J678">
        <f t="shared" si="116"/>
        <v>0</v>
      </c>
      <c r="K678">
        <f t="shared" si="120"/>
        <v>0.1975016604235505</v>
      </c>
      <c r="L678">
        <f t="shared" si="117"/>
        <v>0</v>
      </c>
      <c r="M678">
        <f t="shared" si="121"/>
        <v>0.21428571428571427</v>
      </c>
      <c r="N678">
        <f t="shared" si="118"/>
        <v>0</v>
      </c>
      <c r="O678">
        <f t="shared" si="119"/>
        <v>7.1428571428571425E-2</v>
      </c>
      <c r="P678">
        <f>IFERROR(LN('Дивиденды по годам'!I678),"")</f>
        <v>25.003287431164708</v>
      </c>
      <c r="Q678">
        <f>IFERROR('Дивиденды по годам'!G678/'Дивиденды по годам'!I678, "")</f>
        <v>0.28976218820076965</v>
      </c>
      <c r="R678">
        <f>IFERROR(IF(AND('Дивиденды по годам'!N678&lt;&gt;"",'Дивиденды по годам'!U678&lt;&gt;"",'Дивиденды по годам'!U678&lt;&gt;0),'Дивиденды по годам'!N678/'Дивиденды по годам'!U678-1,""),"")</f>
        <v>0.38984617716147607</v>
      </c>
      <c r="S678">
        <f>IFERROR(IF(AND('Дивиденды по годам'!L678&lt;&gt;"",'Дивиденды по годам'!I678&lt;&gt;"",'Дивиденды по годам'!J678&lt;&gt;"",'Дивиденды по годам'!K678&lt;&gt;"",('Дивиденды по годам'!I678-'Дивиденды по годам'!J678-'Дивиденды по годам'!K678)&lt;&gt;0),'Дивиденды по годам'!L678/('Дивиденды по годам'!I678-'Дивиденды по годам'!J678-'Дивиденды по годам'!K678),""),"")</f>
        <v>0.45250631085467002</v>
      </c>
      <c r="T678">
        <f>IFERROR(IF(AND('Дивиденды по годам'!Q678&lt;&gt;"",'Дивиденды по годам'!I678&lt;&gt;"",'Дивиденды по годам'!V678&lt;&gt;"",('Дивиденды по годам'!I678+'Дивиденды по годам'!V678)&lt;&gt;0),'Дивиденды по годам'!Q678/(('Дивиденды по годам'!I678+'Дивиденды по годам'!V678)/2),""),"")</f>
        <v>6.5024715114490705E-2</v>
      </c>
      <c r="U678">
        <f>IFERROR(IF(AND('Дивиденды по годам'!J678&lt;&gt;"",'Дивиденды по годам'!K678&lt;&gt;"",'Дивиденды по годам'!M678&lt;&gt;"",'Дивиденды по годам'!M678&lt;&gt;0),('Дивиденды по годам'!J678+'Дивиденды по годам'!K678)/'Дивиденды по годам'!M678,""),"")</f>
        <v>1.6051929318427696</v>
      </c>
      <c r="V678" cm="1">
        <f t="array" ref="V678">IFERROR(AVERAGE(_xlfn._xlws.FILTER(P$2:P$1073,($C$2:$C$1073=$C678)*($E$2:$E$1073=$E678)*(ROW(P$2:P$1073)&lt;&gt;ROW(P678))*(P$2:P$1073&lt;&gt;""))),"")</f>
        <v>25.203360418315103</v>
      </c>
      <c r="W678" cm="1">
        <f t="array" ref="W678">IFERROR(AVERAGE(_xlfn._xlws.FILTER(Q$2:Q$1073,($C$2:$C$1073=$C678)*($E$2:$E$1073=$E678)*(ROW(Q$2:Q$1073)&lt;&gt;ROW(Q678))*(Q$2:Q$1073&lt;&gt;""))),"")</f>
        <v>0.23071737138554649</v>
      </c>
      <c r="X678" cm="1">
        <f t="array" ref="X678">IFERROR(AVERAGE(_xlfn._xlws.FILTER(R$2:R$1073,($C$2:$C$1073=$C678)*($E$2:$E$1073=$E678)*(ROW(R$2:R$1073)&lt;&gt;ROW(R678))*(R$2:R$1073&lt;&gt;""))),"")</f>
        <v>0.30857958991859741</v>
      </c>
      <c r="Y678" cm="1">
        <f t="array" ref="Y678">IFERROR(AVERAGE(_xlfn._xlws.FILTER(S$2:S$1073,($C$2:$C$1073=$C678)*($E$2:$E$1073=$E678)*(ROW(S$2:S$1073)&lt;&gt;ROW(S678))*(S$2:S$1073&lt;&gt;""))),"")</f>
        <v>1.3946451267060347</v>
      </c>
      <c r="Z678" cm="1">
        <f t="array" ref="Z678">IFERROR(AVERAGE(_xlfn._xlws.FILTER(T$2:T$1073,($C$2:$C$1073=$C678)*($E$2:$E$1073=$E678)*(ROW(T$2:T$1073)&lt;&gt;ROW(T678))*(T$2:T$1073&lt;&gt;""))),"")</f>
        <v>0.1070661825021267</v>
      </c>
      <c r="AA678" cm="1">
        <f t="array" ref="AA678">IFERROR(AVERAGE(_xlfn._xlws.FILTER(U$2:U$1073,($C$2:$C$1073=$C678)*($E$2:$E$1073=$E678)*(ROW(U$2:U$1073)&lt;&gt;ROW(U678))*(U$2:U$1073&lt;&gt;""))),"")</f>
        <v>18.214751604965965</v>
      </c>
    </row>
    <row r="679" spans="1:27" x14ac:dyDescent="0.2">
      <c r="A679" s="7" t="s">
        <v>2261</v>
      </c>
      <c r="B679" t="str">
        <f t="shared" si="112"/>
        <v>SVAV IV кв. 2020</v>
      </c>
      <c r="C679">
        <v>2020</v>
      </c>
      <c r="D679">
        <f>SUMIFS(Дивиденды!$C:$C,Дивиденды!$A:$A,A679,Дивиденды!$I:$I,C679)</f>
        <v>0</v>
      </c>
      <c r="E679">
        <v>4</v>
      </c>
      <c r="F679">
        <f t="shared" si="113"/>
        <v>0</v>
      </c>
      <c r="G679">
        <f t="shared" si="114"/>
        <v>43.293571428571433</v>
      </c>
      <c r="H679">
        <f t="shared" si="115"/>
        <v>0</v>
      </c>
      <c r="I679">
        <f t="shared" si="111"/>
        <v>0.2857142857142857</v>
      </c>
      <c r="J679">
        <f t="shared" si="116"/>
        <v>0</v>
      </c>
      <c r="K679">
        <f t="shared" si="120"/>
        <v>0.26831617204892738</v>
      </c>
      <c r="L679">
        <f t="shared" si="117"/>
        <v>0</v>
      </c>
      <c r="M679">
        <f t="shared" si="121"/>
        <v>0.2857142857142857</v>
      </c>
      <c r="N679">
        <f t="shared" si="118"/>
        <v>0</v>
      </c>
      <c r="O679">
        <f t="shared" si="119"/>
        <v>0</v>
      </c>
      <c r="P679">
        <f>IFERROR(LN('Дивиденды по годам'!I679),"")</f>
        <v>24.936148705092045</v>
      </c>
      <c r="Q679">
        <f>IFERROR('Дивиденды по годам'!G679/'Дивиденды по годам'!I679, "")</f>
        <v>0.33339254785273348</v>
      </c>
      <c r="R679">
        <f>IFERROR(IF(AND('Дивиденды по годам'!N679&lt;&gt;"",'Дивиденды по годам'!U679&lt;&gt;"",'Дивиденды по годам'!U679&lt;&gt;0),'Дивиденды по годам'!N679/'Дивиденды по годам'!U679-1,""),"")</f>
        <v>0.14083922612769939</v>
      </c>
      <c r="S679">
        <f>IFERROR(IF(AND('Дивиденды по годам'!L679&lt;&gt;"",'Дивиденды по годам'!I679&lt;&gt;"",'Дивиденды по годам'!J679&lt;&gt;"",'Дивиденды по годам'!K679&lt;&gt;"",('Дивиденды по годам'!I679-'Дивиденды по годам'!J679-'Дивиденды по годам'!K679)&lt;&gt;0),'Дивиденды по годам'!L679/('Дивиденды по годам'!I679-'Дивиденды по годам'!J679-'Дивиденды по годам'!K679),""),"")</f>
        <v>0.40105425865007333</v>
      </c>
      <c r="T679">
        <f>IFERROR(IF(AND('Дивиденды по годам'!Q679&lt;&gt;"",'Дивиденды по годам'!I679&lt;&gt;"",'Дивиденды по годам'!V679&lt;&gt;"",('Дивиденды по годам'!I679+'Дивиденды по годам'!V679)&lt;&gt;0),'Дивиденды по годам'!Q679/(('Дивиденды по годам'!I679+'Дивиденды по годам'!V679)/2),""),"")</f>
        <v>-2.6337833656581818E-2</v>
      </c>
      <c r="U679">
        <f>IFERROR(IF(AND('Дивиденды по годам'!J679&lt;&gt;"",'Дивиденды по годам'!K679&lt;&gt;"",'Дивиденды по годам'!M679&lt;&gt;"",'Дивиденды по годам'!M679&lt;&gt;0),('Дивиденды по годам'!J679+'Дивиденды по годам'!K679)/'Дивиденды по годам'!M679,""),"")</f>
        <v>1.6773017319963537</v>
      </c>
      <c r="V679" cm="1">
        <f t="array" ref="V679">IFERROR(AVERAGE(_xlfn._xlws.FILTER(P$2:P$1073,($C$2:$C$1073=$C679)*($E$2:$E$1073=$E679)*(ROW(P$2:P$1073)&lt;&gt;ROW(P679))*(P$2:P$1073&lt;&gt;""))),"")</f>
        <v>25.322262433274322</v>
      </c>
      <c r="W679" cm="1">
        <f t="array" ref="W679">IFERROR(AVERAGE(_xlfn._xlws.FILTER(Q$2:Q$1073,($C$2:$C$1073=$C679)*($E$2:$E$1073=$E679)*(ROW(Q$2:Q$1073)&lt;&gt;ROW(Q679))*(Q$2:Q$1073&lt;&gt;""))),"")</f>
        <v>0.2525893923646515</v>
      </c>
      <c r="X679" cm="1">
        <f t="array" ref="X679">IFERROR(AVERAGE(_xlfn._xlws.FILTER(R$2:R$1073,($C$2:$C$1073=$C679)*($E$2:$E$1073=$E679)*(ROW(R$2:R$1073)&lt;&gt;ROW(R679))*(R$2:R$1073&lt;&gt;""))),"")</f>
        <v>9.1329308636458606E-2</v>
      </c>
      <c r="Y679" cm="1">
        <f t="array" ref="Y679">IFERROR(AVERAGE(_xlfn._xlws.FILTER(S$2:S$1073,($C$2:$C$1073=$C679)*($E$2:$E$1073=$E679)*(ROW(S$2:S$1073)&lt;&gt;ROW(S679))*(S$2:S$1073&lt;&gt;""))),"")</f>
        <v>1.8848410571930037</v>
      </c>
      <c r="Z679" cm="1">
        <f t="array" ref="Z679">IFERROR(AVERAGE(_xlfn._xlws.FILTER(T$2:T$1073,($C$2:$C$1073=$C679)*($E$2:$E$1073=$E679)*(ROW(T$2:T$1073)&lt;&gt;ROW(T679))*(T$2:T$1073&lt;&gt;""))),"")</f>
        <v>7.9209613324174963E-2</v>
      </c>
      <c r="AA679" cm="1">
        <f t="array" ref="AA679">IFERROR(AVERAGE(_xlfn._xlws.FILTER(U$2:U$1073,($C$2:$C$1073=$C679)*($E$2:$E$1073=$E679)*(ROW(U$2:U$1073)&lt;&gt;ROW(U679))*(U$2:U$1073&lt;&gt;""))),"")</f>
        <v>-11.787421625995776</v>
      </c>
    </row>
    <row r="680" spans="1:27" x14ac:dyDescent="0.2">
      <c r="A680" s="7" t="s">
        <v>2261</v>
      </c>
      <c r="B680" t="str">
        <f t="shared" si="112"/>
        <v>SVAV IV кв. 2019</v>
      </c>
      <c r="C680">
        <v>2019</v>
      </c>
      <c r="D680">
        <f>SUMIFS(Дивиденды!$C:$C,Дивиденды!$A:$A,A680,Дивиденды!$I:$I,C680)</f>
        <v>0</v>
      </c>
      <c r="E680">
        <v>4</v>
      </c>
      <c r="F680">
        <f t="shared" si="113"/>
        <v>0</v>
      </c>
      <c r="G680">
        <f t="shared" si="114"/>
        <v>24.398571428571426</v>
      </c>
      <c r="H680">
        <f t="shared" si="115"/>
        <v>0</v>
      </c>
      <c r="I680">
        <f t="shared" si="111"/>
        <v>0.21428571428571427</v>
      </c>
      <c r="J680">
        <f t="shared" si="116"/>
        <v>0</v>
      </c>
      <c r="K680">
        <f t="shared" si="120"/>
        <v>0.10876410731109194</v>
      </c>
      <c r="L680">
        <f t="shared" si="117"/>
        <v>0</v>
      </c>
      <c r="M680">
        <f t="shared" si="121"/>
        <v>0.21428571428571427</v>
      </c>
      <c r="N680">
        <f t="shared" si="118"/>
        <v>0</v>
      </c>
      <c r="O680">
        <f t="shared" si="119"/>
        <v>0</v>
      </c>
      <c r="P680">
        <f>IFERROR(LN('Дивиденды по годам'!I680),"")</f>
        <v>24.897006744148527</v>
      </c>
      <c r="Q680">
        <f>IFERROR('Дивиденды по годам'!G680/'Дивиденды по годам'!I680, "")</f>
        <v>0.35653807075340987</v>
      </c>
      <c r="R680">
        <f>IFERROR(IF(AND('Дивиденды по годам'!N680&lt;&gt;"",'Дивиденды по годам'!U680&lt;&gt;"",'Дивиденды по годам'!U680&lt;&gt;0),'Дивиденды по годам'!N680/'Дивиденды по годам'!U680-1,""),"")</f>
        <v>0.46505737227386712</v>
      </c>
      <c r="S680">
        <f>IFERROR(IF(AND('Дивиденды по годам'!L680&lt;&gt;"",'Дивиденды по годам'!I680&lt;&gt;"",'Дивиденды по годам'!J680&lt;&gt;"",'Дивиденды по годам'!K680&lt;&gt;"",('Дивиденды по годам'!I680-'Дивиденды по годам'!J680-'Дивиденды по годам'!K680)&lt;&gt;0),'Дивиденды по годам'!L680/('Дивиденды по годам'!I680-'Дивиденды по годам'!J680-'Дивиденды по годам'!K680),""),"")</f>
        <v>0.4538849347568209</v>
      </c>
      <c r="T680">
        <f>IFERROR(IF(AND('Дивиденды по годам'!Q680&lt;&gt;"",'Дивиденды по годам'!I680&lt;&gt;"",'Дивиденды по годам'!V680&lt;&gt;"",('Дивиденды по годам'!I680+'Дивиденды по годам'!V680)&lt;&gt;0),'Дивиденды по годам'!Q680/(('Дивиденды по годам'!I680+'Дивиденды по годам'!V680)/2),""),"")</f>
        <v>2.3345158778229645E-2</v>
      </c>
      <c r="U680">
        <f>IFERROR(IF(AND('Дивиденды по годам'!J680&lt;&gt;"",'Дивиденды по годам'!K680&lt;&gt;"",'Дивиденды по годам'!M680&lt;&gt;"",'Дивиденды по годам'!M680&lt;&gt;0),('Дивиденды по годам'!J680+'Дивиденды по годам'!K680)/'Дивиденды по годам'!M680,""),"")</f>
        <v>1.4079922894424675</v>
      </c>
      <c r="V680" cm="1">
        <f t="array" ref="V680">IFERROR(AVERAGE(_xlfn._xlws.FILTER(P$2:P$1073,($C$2:$C$1073=$C680)*($E$2:$E$1073=$E680)*(ROW(P$2:P$1073)&lt;&gt;ROW(P680))*(P$2:P$1073&lt;&gt;""))),"")</f>
        <v>25.143425514876053</v>
      </c>
      <c r="W680" cm="1">
        <f t="array" ref="W680">IFERROR(AVERAGE(_xlfn._xlws.FILTER(Q$2:Q$1073,($C$2:$C$1073=$C680)*($E$2:$E$1073=$E680)*(ROW(Q$2:Q$1073)&lt;&gt;ROW(Q680))*(Q$2:Q$1073&lt;&gt;""))),"")</f>
        <v>0.26009907347341971</v>
      </c>
      <c r="X680" cm="1">
        <f t="array" ref="X680">IFERROR(AVERAGE(_xlfn._xlws.FILTER(R$2:R$1073,($C$2:$C$1073=$C680)*($E$2:$E$1073=$E680)*(ROW(R$2:R$1073)&lt;&gt;ROW(R680))*(R$2:R$1073&lt;&gt;""))),"")</f>
        <v>0.40380444032508467</v>
      </c>
      <c r="Y680" cm="1">
        <f t="array" ref="Y680">IFERROR(AVERAGE(_xlfn._xlws.FILTER(S$2:S$1073,($C$2:$C$1073=$C680)*($E$2:$E$1073=$E680)*(ROW(S$2:S$1073)&lt;&gt;ROW(S680))*(S$2:S$1073&lt;&gt;""))),"")</f>
        <v>0.95246993318037587</v>
      </c>
      <c r="Z680" cm="1">
        <f t="array" ref="Z680">IFERROR(AVERAGE(_xlfn._xlws.FILTER(T$2:T$1073,($C$2:$C$1073=$C680)*($E$2:$E$1073=$E680)*(ROW(T$2:T$1073)&lt;&gt;ROW(T680))*(T$2:T$1073&lt;&gt;""))),"")</f>
        <v>5.2668499199378195E-2</v>
      </c>
      <c r="AA680" cm="1">
        <f t="array" ref="AA680">IFERROR(AVERAGE(_xlfn._xlws.FILTER(U$2:U$1073,($C$2:$C$1073=$C680)*($E$2:$E$1073=$E680)*(ROW(U$2:U$1073)&lt;&gt;ROW(U680))*(U$2:U$1073&lt;&gt;""))),"")</f>
        <v>-3.1508603788917489</v>
      </c>
    </row>
    <row r="681" spans="1:27" x14ac:dyDescent="0.2">
      <c r="A681" s="7" t="s">
        <v>2261</v>
      </c>
      <c r="B681" t="str">
        <f t="shared" si="112"/>
        <v>SVAV IV кв. 2018</v>
      </c>
      <c r="C681">
        <v>2018</v>
      </c>
      <c r="D681">
        <f>SUMIFS(Дивиденды!$C:$C,Дивиденды!$A:$A,A681,Дивиденды!$I:$I,C681)</f>
        <v>0</v>
      </c>
      <c r="E681">
        <v>4</v>
      </c>
      <c r="F681">
        <f t="shared" si="113"/>
        <v>0</v>
      </c>
      <c r="G681">
        <f t="shared" si="114"/>
        <v>21.978571428571428</v>
      </c>
      <c r="H681">
        <f t="shared" si="115"/>
        <v>0</v>
      </c>
      <c r="I681">
        <f t="shared" si="111"/>
        <v>0.14285714285714285</v>
      </c>
      <c r="J681">
        <f t="shared" si="116"/>
        <v>0</v>
      </c>
      <c r="K681">
        <f t="shared" si="120"/>
        <v>-1.8223065562117002E-2</v>
      </c>
      <c r="L681">
        <f t="shared" si="117"/>
        <v>0</v>
      </c>
      <c r="M681">
        <f t="shared" si="121"/>
        <v>7.1428571428571425E-2</v>
      </c>
      <c r="N681">
        <f t="shared" si="118"/>
        <v>0</v>
      </c>
      <c r="O681">
        <f t="shared" si="119"/>
        <v>7.1428571428571425E-2</v>
      </c>
      <c r="P681">
        <f>IFERROR(LN('Дивиденды по годам'!I681),"")</f>
        <v>24.647454539273429</v>
      </c>
      <c r="Q681">
        <f>IFERROR('Дивиденды по годам'!G681/'Дивиденды по годам'!I681, "")</f>
        <v>0.21674701651782186</v>
      </c>
      <c r="R681">
        <f>IFERROR(IF(AND('Дивиденды по годам'!N681&lt;&gt;"",'Дивиденды по годам'!U681&lt;&gt;"",'Дивиденды по годам'!U681&lt;&gt;0),'Дивиденды по годам'!N681/'Дивиденды по годам'!U681-1,""),"")</f>
        <v>0.10387540543563367</v>
      </c>
      <c r="S681">
        <f>IFERROR(IF(AND('Дивиденды по годам'!L681&lt;&gt;"",'Дивиденды по годам'!I681&lt;&gt;"",'Дивиденды по годам'!J681&lt;&gt;"",'Дивиденды по годам'!K681&lt;&gt;"",('Дивиденды по годам'!I681-'Дивиденды по годам'!J681-'Дивиденды по годам'!K681)&lt;&gt;0),'Дивиденды по годам'!L681/('Дивиденды по годам'!I681-'Дивиденды по годам'!J681-'Дивиденды по годам'!K681),""),"")</f>
        <v>0.63783014391902582</v>
      </c>
      <c r="T681">
        <f>IFERROR(IF(AND('Дивиденды по годам'!Q681&lt;&gt;"",'Дивиденды по годам'!I681&lt;&gt;"",'Дивиденды по годам'!V681&lt;&gt;"",('Дивиденды по годам'!I681+'Дивиденды по годам'!V681)&lt;&gt;0),'Дивиденды по годам'!Q681/(('Дивиденды по годам'!I681+'Дивиденды по годам'!V681)/2),""),"")</f>
        <v>9.7391598915989158E-4</v>
      </c>
      <c r="U681">
        <f>IFERROR(IF(AND('Дивиденды по годам'!J681&lt;&gt;"",'Дивиденды по годам'!K681&lt;&gt;"",'Дивиденды по годам'!M681&lt;&gt;"",'Дивиденды по годам'!M681&lt;&gt;0),('Дивиденды по годам'!J681+'Дивиденды по годам'!K681)/'Дивиденды по годам'!M681,""),"")</f>
        <v>1.6681427592387579</v>
      </c>
      <c r="V681" cm="1">
        <f t="array" ref="V681">IFERROR(AVERAGE(_xlfn._xlws.FILTER(P$2:P$1073,($C$2:$C$1073=$C681)*($E$2:$E$1073=$E681)*(ROW(P$2:P$1073)&lt;&gt;ROW(P681))*(P$2:P$1073&lt;&gt;""))),"")</f>
        <v>24.951740065366987</v>
      </c>
      <c r="W681" cm="1">
        <f t="array" ref="W681">IFERROR(AVERAGE(_xlfn._xlws.FILTER(Q$2:Q$1073,($C$2:$C$1073=$C681)*($E$2:$E$1073=$E681)*(ROW(Q$2:Q$1073)&lt;&gt;ROW(Q681))*(Q$2:Q$1073&lt;&gt;""))),"")</f>
        <v>0.3328915482348494</v>
      </c>
      <c r="X681" cm="1">
        <f t="array" ref="X681">IFERROR(AVERAGE(_xlfn._xlws.FILTER(R$2:R$1073,($C$2:$C$1073=$C681)*($E$2:$E$1073=$E681)*(ROW(R$2:R$1073)&lt;&gt;ROW(R681))*(R$2:R$1073&lt;&gt;""))),"")</f>
        <v>4.8765435619695006E-2</v>
      </c>
      <c r="Y681" cm="1">
        <f t="array" ref="Y681">IFERROR(AVERAGE(_xlfn._xlws.FILTER(S$2:S$1073,($C$2:$C$1073=$C681)*($E$2:$E$1073=$E681)*(ROW(S$2:S$1073)&lt;&gt;ROW(S681))*(S$2:S$1073&lt;&gt;""))),"")</f>
        <v>0.64535089629690878</v>
      </c>
      <c r="Z681" cm="1">
        <f t="array" ref="Z681">IFERROR(AVERAGE(_xlfn._xlws.FILTER(T$2:T$1073,($C$2:$C$1073=$C681)*($E$2:$E$1073=$E681)*(ROW(T$2:T$1073)&lt;&gt;ROW(T681))*(T$2:T$1073&lt;&gt;""))),"")</f>
        <v>8.1698765289133102E-3</v>
      </c>
      <c r="AA681" cm="1">
        <f t="array" ref="AA681">IFERROR(AVERAGE(_xlfn._xlws.FILTER(U$2:U$1073,($C$2:$C$1073=$C681)*($E$2:$E$1073=$E681)*(ROW(U$2:U$1073)&lt;&gt;ROW(U681))*(U$2:U$1073&lt;&gt;""))),"")</f>
        <v>0.9782211365184672</v>
      </c>
    </row>
    <row r="682" spans="1:27" x14ac:dyDescent="0.2">
      <c r="A682" s="7" t="s">
        <v>2261</v>
      </c>
      <c r="B682" t="str">
        <f t="shared" si="112"/>
        <v>SVAV IV кв. 2017</v>
      </c>
      <c r="C682">
        <v>2017</v>
      </c>
      <c r="D682">
        <f>SUMIFS(Дивиденды!$C:$C,Дивиденды!$A:$A,A682,Дивиденды!$I:$I,C682)</f>
        <v>0</v>
      </c>
      <c r="E682">
        <v>4</v>
      </c>
      <c r="F682">
        <f t="shared" si="113"/>
        <v>0</v>
      </c>
      <c r="G682">
        <f t="shared" si="114"/>
        <v>18.403571428571428</v>
      </c>
      <c r="H682">
        <f t="shared" si="115"/>
        <v>0</v>
      </c>
      <c r="I682">
        <f t="shared" si="111"/>
        <v>0.14285714285714285</v>
      </c>
      <c r="J682">
        <f t="shared" si="116"/>
        <v>0</v>
      </c>
      <c r="K682">
        <f t="shared" si="120"/>
        <v>-1.7352821773673279E-2</v>
      </c>
      <c r="L682">
        <f t="shared" si="117"/>
        <v>0</v>
      </c>
      <c r="M682">
        <f t="shared" si="121"/>
        <v>0</v>
      </c>
      <c r="N682">
        <f t="shared" si="118"/>
        <v>0</v>
      </c>
      <c r="O682">
        <f t="shared" si="119"/>
        <v>0.14285714285714285</v>
      </c>
      <c r="P682">
        <f>IFERROR(LN('Дивиденды по годам'!I682),"")</f>
        <v>24.504086164758704</v>
      </c>
      <c r="Q682">
        <f>IFERROR('Дивиденды по годам'!G682/'Дивиденды по годам'!I682, "")</f>
        <v>0.25497126698896289</v>
      </c>
      <c r="R682">
        <f>IFERROR(IF(AND('Дивиденды по годам'!N682&lt;&gt;"",'Дивиденды по годам'!U682&lt;&gt;"",'Дивиденды по годам'!U682&lt;&gt;0),'Дивиденды по годам'!N682/'Дивиденды по годам'!U682-1,""),"")</f>
        <v>4.0144858370063652E-3</v>
      </c>
      <c r="S682">
        <f>IFERROR(IF(AND('Дивиденды по годам'!L682&lt;&gt;"",'Дивиденды по годам'!I682&lt;&gt;"",'Дивиденды по годам'!J682&lt;&gt;"",'Дивиденды по годам'!K682&lt;&gt;"",('Дивиденды по годам'!I682-'Дивиденды по годам'!J682-'Дивиденды по годам'!K682)&lt;&gt;0),'Дивиденды по годам'!L682/('Дивиденды по годам'!I682-'Дивиденды по годам'!J682-'Дивиденды по годам'!K682),""),"")</f>
        <v>0.63271328450229225</v>
      </c>
      <c r="T682">
        <f>IFERROR(IF(AND('Дивиденды по годам'!Q682&lt;&gt;"",'Дивиденды по годам'!I682&lt;&gt;"",'Дивиденды по годам'!V682&lt;&gt;"",('Дивиденды по годам'!I682+'Дивиденды по годам'!V682)&lt;&gt;0),'Дивиденды по годам'!Q682/(('Дивиденды по годам'!I682+'Дивиденды по годам'!V682)/2),""),"")</f>
        <v>2.3490682499559108E-2</v>
      </c>
      <c r="U682">
        <f>IFERROR(IF(AND('Дивиденды по годам'!J682&lt;&gt;"",'Дивиденды по годам'!K682&lt;&gt;"",'Дивиденды по годам'!M682&lt;&gt;"",'Дивиденды по годам'!M682&lt;&gt;0),('Дивиденды по годам'!J682+'Дивиденды по годам'!K682)/'Дивиденды по годам'!M682,""),"")</f>
        <v>1.3107972809190072</v>
      </c>
      <c r="V682" cm="1">
        <f t="array" ref="V682">IFERROR(AVERAGE(_xlfn._xlws.FILTER(P$2:P$1073,($C$2:$C$1073=$C682)*($E$2:$E$1073=$E682)*(ROW(P$2:P$1073)&lt;&gt;ROW(P682))*(P$2:P$1073&lt;&gt;""))),"")</f>
        <v>24.774314632226734</v>
      </c>
      <c r="W682" cm="1">
        <f t="array" ref="W682">IFERROR(AVERAGE(_xlfn._xlws.FILTER(Q$2:Q$1073,($C$2:$C$1073=$C682)*($E$2:$E$1073=$E682)*(ROW(Q$2:Q$1073)&lt;&gt;ROW(Q682))*(Q$2:Q$1073&lt;&gt;""))),"")</f>
        <v>0.35395225027352079</v>
      </c>
      <c r="X682" cm="1">
        <f t="array" ref="X682">IFERROR(AVERAGE(_xlfn._xlws.FILTER(R$2:R$1073,($C$2:$C$1073=$C682)*($E$2:$E$1073=$E682)*(ROW(R$2:R$1073)&lt;&gt;ROW(R682))*(R$2:R$1073&lt;&gt;""))),"")</f>
        <v>0.29514286006106794</v>
      </c>
      <c r="Y682" cm="1">
        <f t="array" ref="Y682">IFERROR(AVERAGE(_xlfn._xlws.FILTER(S$2:S$1073,($C$2:$C$1073=$C682)*($E$2:$E$1073=$E682)*(ROW(S$2:S$1073)&lt;&gt;ROW(S682))*(S$2:S$1073&lt;&gt;""))),"")</f>
        <v>0.61525179565988164</v>
      </c>
      <c r="Z682" cm="1">
        <f t="array" ref="Z682">IFERROR(AVERAGE(_xlfn._xlws.FILTER(T$2:T$1073,($C$2:$C$1073=$C682)*($E$2:$E$1073=$E682)*(ROW(T$2:T$1073)&lt;&gt;ROW(T682))*(T$2:T$1073&lt;&gt;""))),"")</f>
        <v>-3.9678148315100858E-2</v>
      </c>
      <c r="AA682" cm="1">
        <f t="array" ref="AA682">IFERROR(AVERAGE(_xlfn._xlws.FILTER(U$2:U$1073,($C$2:$C$1073=$C682)*($E$2:$E$1073=$E682)*(ROW(U$2:U$1073)&lt;&gt;ROW(U682))*(U$2:U$1073&lt;&gt;""))),"")</f>
        <v>0.5121086560974496</v>
      </c>
    </row>
    <row r="683" spans="1:27" x14ac:dyDescent="0.2">
      <c r="A683" s="7" t="s">
        <v>2261</v>
      </c>
      <c r="B683" t="str">
        <f t="shared" si="112"/>
        <v>SVAV IV кв. 2016</v>
      </c>
      <c r="C683">
        <v>2016</v>
      </c>
      <c r="D683">
        <f>SUMIFS(Дивиденды!$C:$C,Дивиденды!$A:$A,A683,Дивиденды!$I:$I,C683)</f>
        <v>0</v>
      </c>
      <c r="E683">
        <v>4</v>
      </c>
      <c r="F683">
        <f t="shared" si="113"/>
        <v>0</v>
      </c>
      <c r="G683">
        <f t="shared" si="114"/>
        <v>20.421428571428571</v>
      </c>
      <c r="H683">
        <f t="shared" si="115"/>
        <v>0</v>
      </c>
      <c r="I683">
        <f t="shared" si="111"/>
        <v>0.14285714285714285</v>
      </c>
      <c r="J683">
        <f t="shared" si="116"/>
        <v>0</v>
      </c>
      <c r="K683">
        <f t="shared" si="120"/>
        <v>2.0593461763560781E-2</v>
      </c>
      <c r="L683">
        <f t="shared" si="117"/>
        <v>0</v>
      </c>
      <c r="M683">
        <f t="shared" si="121"/>
        <v>7.1428571428571425E-2</v>
      </c>
      <c r="N683">
        <f t="shared" si="118"/>
        <v>0</v>
      </c>
      <c r="O683">
        <f t="shared" si="119"/>
        <v>7.1428571428571425E-2</v>
      </c>
      <c r="P683">
        <f>IFERROR(LN('Дивиденды по годам'!I683),"")</f>
        <v>24.441776906184948</v>
      </c>
      <c r="Q683">
        <f>IFERROR('Дивиденды по годам'!G683/'Дивиденды по годам'!I683, "")</f>
        <v>0.27070844355993495</v>
      </c>
      <c r="R683">
        <f>IFERROR(IF(AND('Дивиденды по годам'!N683&lt;&gt;"",'Дивиденды по годам'!U683&lt;&gt;"",'Дивиденды по годам'!U683&lt;&gt;0),'Дивиденды по годам'!N683/'Дивиденды по годам'!U683-1,""),"")</f>
        <v>-7.1136144358392661E-2</v>
      </c>
      <c r="S683">
        <f>IFERROR(IF(AND('Дивиденды по годам'!L683&lt;&gt;"",'Дивиденды по годам'!I683&lt;&gt;"",'Дивиденды по годам'!J683&lt;&gt;"",'Дивиденды по годам'!K683&lt;&gt;"",('Дивиденды по годам'!I683-'Дивиденды по годам'!J683-'Дивиденды по годам'!K683)&lt;&gt;0),'Дивиденды по годам'!L683/('Дивиденды по годам'!I683-'Дивиденды по годам'!J683-'Дивиденды по годам'!K683),""),"")</f>
        <v>0.61286016242073649</v>
      </c>
      <c r="T683">
        <f>IFERROR(IF(AND('Дивиденды по годам'!Q683&lt;&gt;"",'Дивиденды по годам'!I683&lt;&gt;"",'Дивиденды по годам'!V683&lt;&gt;"",('Дивиденды по годам'!I683+'Дивиденды по годам'!V683)&lt;&gt;0),'Дивиденды по годам'!Q683/(('Дивиденды по годам'!I683+'Дивиденды по годам'!V683)/2),""),"")</f>
        <v>4.237075068478649E-2</v>
      </c>
      <c r="U683">
        <f>IFERROR(IF(AND('Дивиденды по годам'!J683&lt;&gt;"",'Дивиденды по годам'!K683&lt;&gt;"",'Дивиденды по годам'!M683&lt;&gt;"",'Дивиденды по годам'!M683&lt;&gt;0),('Дивиденды по годам'!J683+'Дивиденды по годам'!K683)/'Дивиденды по годам'!M683,""),"")</f>
        <v>1.2918567137612638</v>
      </c>
      <c r="V683" cm="1">
        <f t="array" ref="V683">IFERROR(AVERAGE(_xlfn._xlws.FILTER(P$2:P$1073,($C$2:$C$1073=$C683)*($E$2:$E$1073=$E683)*(ROW(P$2:P$1073)&lt;&gt;ROW(P683))*(P$2:P$1073&lt;&gt;""))),"")</f>
        <v>24.583692756398559</v>
      </c>
      <c r="W683" cm="1">
        <f t="array" ref="W683">IFERROR(AVERAGE(_xlfn._xlws.FILTER(Q$2:Q$1073,($C$2:$C$1073=$C683)*($E$2:$E$1073=$E683)*(ROW(Q$2:Q$1073)&lt;&gt;ROW(Q683))*(Q$2:Q$1073&lt;&gt;""))),"")</f>
        <v>0.28080547535736783</v>
      </c>
      <c r="X683" cm="1">
        <f t="array" ref="X683">IFERROR(AVERAGE(_xlfn._xlws.FILTER(R$2:R$1073,($C$2:$C$1073=$C683)*($E$2:$E$1073=$E683)*(ROW(R$2:R$1073)&lt;&gt;ROW(R683))*(R$2:R$1073&lt;&gt;""))),"")</f>
        <v>0.24520972704055821</v>
      </c>
      <c r="Y683" cm="1">
        <f t="array" ref="Y683">IFERROR(AVERAGE(_xlfn._xlws.FILTER(S$2:S$1073,($C$2:$C$1073=$C683)*($E$2:$E$1073=$E683)*(ROW(S$2:S$1073)&lt;&gt;ROW(S683))*(S$2:S$1073&lt;&gt;""))),"")</f>
        <v>7.6191201743465564</v>
      </c>
      <c r="Z683" cm="1">
        <f t="array" ref="Z683">IFERROR(AVERAGE(_xlfn._xlws.FILTER(T$2:T$1073,($C$2:$C$1073=$C683)*($E$2:$E$1073=$E683)*(ROW(T$2:T$1073)&lt;&gt;ROW(T683))*(T$2:T$1073&lt;&gt;""))),"")</f>
        <v>-4.088373854795771E-2</v>
      </c>
      <c r="AA683" cm="1">
        <f t="array" ref="AA683">IFERROR(AVERAGE(_xlfn._xlws.FILTER(U$2:U$1073,($C$2:$C$1073=$C683)*($E$2:$E$1073=$E683)*(ROW(U$2:U$1073)&lt;&gt;ROW(U683))*(U$2:U$1073&lt;&gt;""))),"")</f>
        <v>-20.378598804857674</v>
      </c>
    </row>
    <row r="684" spans="1:27" x14ac:dyDescent="0.2">
      <c r="A684" s="7" t="s">
        <v>2261</v>
      </c>
      <c r="B684" t="str">
        <f t="shared" si="112"/>
        <v>SVAV IV кв. 2015</v>
      </c>
      <c r="C684">
        <v>2015</v>
      </c>
      <c r="D684">
        <f>SUMIFS(Дивиденды!$C:$C,Дивиденды!$A:$A,A684,Дивиденды!$I:$I,C684)</f>
        <v>0</v>
      </c>
      <c r="E684">
        <v>4</v>
      </c>
      <c r="F684">
        <f t="shared" si="113"/>
        <v>0</v>
      </c>
      <c r="G684">
        <f t="shared" si="114"/>
        <v>22.574999999999999</v>
      </c>
      <c r="H684">
        <f t="shared" si="115"/>
        <v>0</v>
      </c>
      <c r="I684">
        <f t="shared" si="111"/>
        <v>0.14285714285714285</v>
      </c>
      <c r="J684">
        <f t="shared" si="116"/>
        <v>0</v>
      </c>
      <c r="K684">
        <f t="shared" si="120"/>
        <v>6.1102189263868886E-2</v>
      </c>
      <c r="L684">
        <f t="shared" si="117"/>
        <v>0</v>
      </c>
      <c r="M684">
        <f t="shared" si="121"/>
        <v>7.1428571428571425E-2</v>
      </c>
      <c r="N684">
        <f t="shared" si="118"/>
        <v>0</v>
      </c>
      <c r="O684">
        <f t="shared" si="119"/>
        <v>7.1428571428571425E-2</v>
      </c>
      <c r="P684">
        <f>IFERROR(LN('Дивиденды по годам'!I684),"")</f>
        <v>24.260391735832812</v>
      </c>
      <c r="Q684">
        <f>IFERROR('Дивиденды по годам'!G684/'Дивиденды по годам'!I684, "")</f>
        <v>0.30484753258845437</v>
      </c>
      <c r="R684">
        <f>IFERROR(IF(AND('Дивиденды по годам'!N684&lt;&gt;"",'Дивиденды по годам'!U684&lt;&gt;"",'Дивиденды по годам'!U684&lt;&gt;0),'Дивиденды по годам'!N684/'Дивиденды по годам'!U684-1,""),"")</f>
        <v>-0.19951155363516815</v>
      </c>
      <c r="S684">
        <f>IFERROR(IF(AND('Дивиденды по годам'!L684&lt;&gt;"",'Дивиденды по годам'!I684&lt;&gt;"",'Дивиденды по годам'!J684&lt;&gt;"",'Дивиденды по годам'!K684&lt;&gt;"",('Дивиденды по годам'!I684-'Дивиденды по годам'!J684-'Дивиденды по годам'!K684)&lt;&gt;0),'Дивиденды по годам'!L684/('Дивиденды по годам'!I684-'Дивиденды по годам'!J684-'Дивиденды по годам'!K684),""),"")</f>
        <v>0.57495267753556822</v>
      </c>
      <c r="T684">
        <f>IFERROR(IF(AND('Дивиденды по годам'!Q684&lt;&gt;"",'Дивиденды по годам'!I684&lt;&gt;"",'Дивиденды по годам'!V684&lt;&gt;"",('Дивиденды по годам'!I684+'Дивиденды по годам'!V684)&lt;&gt;0),'Дивиденды по годам'!Q684/(('Дивиденды по годам'!I684+'Дивиденды по годам'!V684)/2),""),"")</f>
        <v>8.2411182294700056E-2</v>
      </c>
      <c r="U684">
        <f>IFERROR(IF(AND('Дивиденды по годам'!J684&lt;&gt;"",'Дивиденды по годам'!K684&lt;&gt;"",'Дивиденды по годам'!M684&lt;&gt;"",'Дивиденды по годам'!M684&lt;&gt;0),('Дивиденды по годам'!J684+'Дивиденды по годам'!K684)/'Дивиденды по годам'!M684,""),"")</f>
        <v>1.0985528485070526</v>
      </c>
      <c r="V684" cm="1">
        <f t="array" ref="V684">IFERROR(AVERAGE(_xlfn._xlws.FILTER(P$2:P$1073,($C$2:$C$1073=$C684)*($E$2:$E$1073=$E684)*(ROW(P$2:P$1073)&lt;&gt;ROW(P684))*(P$2:P$1073&lt;&gt;""))),"")</f>
        <v>24.959679275054327</v>
      </c>
      <c r="W684" cm="1">
        <f t="array" ref="W684">IFERROR(AVERAGE(_xlfn._xlws.FILTER(Q$2:Q$1073,($C$2:$C$1073=$C684)*($E$2:$E$1073=$E684)*(ROW(Q$2:Q$1073)&lt;&gt;ROW(Q684))*(Q$2:Q$1073&lt;&gt;""))),"")</f>
        <v>0.29448158227714544</v>
      </c>
      <c r="X684" cm="1">
        <f t="array" ref="X684">IFERROR(AVERAGE(_xlfn._xlws.FILTER(R$2:R$1073,($C$2:$C$1073=$C684)*($E$2:$E$1073=$E684)*(ROW(R$2:R$1073)&lt;&gt;ROW(R684))*(R$2:R$1073&lt;&gt;""))),"")</f>
        <v>0.33416635249927729</v>
      </c>
      <c r="Y684" cm="1">
        <f t="array" ref="Y684">IFERROR(AVERAGE(_xlfn._xlws.FILTER(S$2:S$1073,($C$2:$C$1073=$C684)*($E$2:$E$1073=$E684)*(ROW(S$2:S$1073)&lt;&gt;ROW(S684))*(S$2:S$1073&lt;&gt;""))),"")</f>
        <v>-1.0014757282429285</v>
      </c>
      <c r="Z684" cm="1">
        <f t="array" ref="Z684">IFERROR(AVERAGE(_xlfn._xlws.FILTER(T$2:T$1073,($C$2:$C$1073=$C684)*($E$2:$E$1073=$E684)*(ROW(T$2:T$1073)&lt;&gt;ROW(T684))*(T$2:T$1073&lt;&gt;""))),"")</f>
        <v>5.7905547492733696E-2</v>
      </c>
      <c r="AA684" cm="1">
        <f t="array" ref="AA684">IFERROR(AVERAGE(_xlfn._xlws.FILTER(U$2:U$1073,($C$2:$C$1073=$C684)*($E$2:$E$1073=$E684)*(ROW(U$2:U$1073)&lt;&gt;ROW(U684))*(U$2:U$1073&lt;&gt;""))),"")</f>
        <v>6.9924296605346266</v>
      </c>
    </row>
    <row r="685" spans="1:27" x14ac:dyDescent="0.2">
      <c r="A685" s="7" t="s">
        <v>2261</v>
      </c>
      <c r="B685" t="str">
        <f t="shared" si="112"/>
        <v>SVAV IV кв. 2014</v>
      </c>
      <c r="C685">
        <v>2014</v>
      </c>
      <c r="D685">
        <f>SUMIFS(Дивиденды!$C:$C,Дивиденды!$A:$A,A685,Дивиденды!$I:$I,C685)</f>
        <v>0</v>
      </c>
      <c r="E685">
        <v>4</v>
      </c>
      <c r="F685">
        <f t="shared" si="113"/>
        <v>0</v>
      </c>
      <c r="G685">
        <f t="shared" si="114"/>
        <v>25.924285714285713</v>
      </c>
      <c r="H685">
        <f t="shared" si="115"/>
        <v>0</v>
      </c>
      <c r="I685">
        <f t="shared" si="111"/>
        <v>7.1428571428571425E-2</v>
      </c>
      <c r="J685">
        <f t="shared" si="116"/>
        <v>-1</v>
      </c>
      <c r="K685">
        <f t="shared" si="120"/>
        <v>0.12030492250150558</v>
      </c>
      <c r="L685">
        <f t="shared" si="117"/>
        <v>0</v>
      </c>
      <c r="M685">
        <f t="shared" si="121"/>
        <v>7.1428571428571425E-2</v>
      </c>
      <c r="N685">
        <f t="shared" si="118"/>
        <v>1</v>
      </c>
      <c r="O685">
        <f t="shared" si="119"/>
        <v>0</v>
      </c>
      <c r="P685">
        <f>IFERROR(LN('Дивиденды по годам'!I685),"")</f>
        <v>24.441218538546053</v>
      </c>
      <c r="Q685">
        <f>IFERROR('Дивиденды по годам'!G685/'Дивиденды по годам'!I685, "")</f>
        <v>0.2331714424477902</v>
      </c>
      <c r="R685">
        <f>IFERROR(IF(AND('Дивиденды по годам'!N685&lt;&gt;"",'Дивиденды по годам'!U685&lt;&gt;"",'Дивиденды по годам'!U685&lt;&gt;0),'Дивиденды по годам'!N685/'Дивиденды по годам'!U685-1,""),"")</f>
        <v>-0.21869954498752386</v>
      </c>
      <c r="S685" t="str">
        <f>IFERROR(IF(AND('Дивиденды по годам'!L685&lt;&gt;"",'Дивиденды по годам'!I685&lt;&gt;"",'Дивиденды по годам'!J685&lt;&gt;"",'Дивиденды по годам'!K685&lt;&gt;"",('Дивиденды по годам'!I685-'Дивиденды по годам'!J685-'Дивиденды по годам'!K685)&lt;&gt;0),'Дивиденды по годам'!L685/('Дивиденды по годам'!I685-'Дивиденды по годам'!J685-'Дивиденды по годам'!K685),""),"")</f>
        <v/>
      </c>
      <c r="T685">
        <f>IFERROR(IF(AND('Дивиденды по годам'!Q685&lt;&gt;"",'Дивиденды по годам'!I685&lt;&gt;"",'Дивиденды по годам'!V685&lt;&gt;"",('Дивиденды по годам'!I685+'Дивиденды по годам'!V685)&lt;&gt;0),'Дивиденды по годам'!Q685/(('Дивиденды по годам'!I685+'Дивиденды по годам'!V685)/2),""),"")</f>
        <v>-8.7085232106851901E-2</v>
      </c>
      <c r="U685">
        <f>IFERROR(IF(AND('Дивиденды по годам'!J685&lt;&gt;"",'Дивиденды по годам'!K685&lt;&gt;"",'Дивиденды по годам'!M685&lt;&gt;"",'Дивиденды по годам'!M685&lt;&gt;0),('Дивиденды по годам'!J685+'Дивиденды по годам'!K685)/'Дивиденды по годам'!M685,""),"")</f>
        <v>2.0594353640416045</v>
      </c>
      <c r="V685" cm="1">
        <f t="array" ref="V685">IFERROR(AVERAGE(_xlfn._xlws.FILTER(P$2:P$1073,($C$2:$C$1073=$C685)*($E$2:$E$1073=$E685)*(ROW(P$2:P$1073)&lt;&gt;ROW(P685))*(P$2:P$1073&lt;&gt;""))),"")</f>
        <v>24.890062204267853</v>
      </c>
      <c r="W685" cm="1">
        <f t="array" ref="W685">IFERROR(AVERAGE(_xlfn._xlws.FILTER(Q$2:Q$1073,($C$2:$C$1073=$C685)*($E$2:$E$1073=$E685)*(ROW(Q$2:Q$1073)&lt;&gt;ROW(Q685))*(Q$2:Q$1073&lt;&gt;""))),"")</f>
        <v>0.30887554084096269</v>
      </c>
      <c r="X685" cm="1">
        <f t="array" ref="X685">IFERROR(AVERAGE(_xlfn._xlws.FILTER(R$2:R$1073,($C$2:$C$1073=$C685)*($E$2:$E$1073=$E685)*(ROW(R$2:R$1073)&lt;&gt;ROW(R685))*(R$2:R$1073&lt;&gt;""))),"")</f>
        <v>0.18692277604224028</v>
      </c>
      <c r="Y685" cm="1">
        <f t="array" ref="Y685">IFERROR(AVERAGE(_xlfn._xlws.FILTER(S$2:S$1073,($C$2:$C$1073=$C685)*($E$2:$E$1073=$E685)*(ROW(S$2:S$1073)&lt;&gt;ROW(S685))*(S$2:S$1073&lt;&gt;""))),"")</f>
        <v>-8.9932559622525012</v>
      </c>
      <c r="Z685" cm="1">
        <f t="array" ref="Z685">IFERROR(AVERAGE(_xlfn._xlws.FILTER(T$2:T$1073,($C$2:$C$1073=$C685)*($E$2:$E$1073=$E685)*(ROW(T$2:T$1073)&lt;&gt;ROW(T685))*(T$2:T$1073&lt;&gt;""))),"")</f>
        <v>7.5639841690618131E-2</v>
      </c>
      <c r="AA685" cm="1">
        <f t="array" ref="AA685">IFERROR(AVERAGE(_xlfn._xlws.FILTER(U$2:U$1073,($C$2:$C$1073=$C685)*($E$2:$E$1073=$E685)*(ROW(U$2:U$1073)&lt;&gt;ROW(U685))*(U$2:U$1073&lt;&gt;""))),"")</f>
        <v>45.239228975931155</v>
      </c>
    </row>
    <row r="686" spans="1:27" x14ac:dyDescent="0.2">
      <c r="A686" s="7" t="s">
        <v>2261</v>
      </c>
      <c r="B686" t="str">
        <f t="shared" si="112"/>
        <v>SVAV IV кв. 2013</v>
      </c>
      <c r="C686">
        <v>2013</v>
      </c>
      <c r="D686">
        <f>SUMIFS(Дивиденды!$C:$C,Дивиденды!$A:$A,A686,Дивиденды!$I:$I,C686)</f>
        <v>52.52</v>
      </c>
      <c r="E686">
        <v>4</v>
      </c>
      <c r="F686">
        <f t="shared" si="113"/>
        <v>52.52</v>
      </c>
      <c r="G686">
        <f t="shared" si="114"/>
        <v>9.6578571428571429</v>
      </c>
      <c r="H686">
        <f t="shared" si="115"/>
        <v>1</v>
      </c>
      <c r="I686">
        <f t="shared" si="111"/>
        <v>7.1428571428571425E-2</v>
      </c>
      <c r="J686">
        <f t="shared" si="116"/>
        <v>0</v>
      </c>
      <c r="K686">
        <f t="shared" si="120"/>
        <v>4.7291245939064024E-2</v>
      </c>
      <c r="L686">
        <f t="shared" si="117"/>
        <v>0</v>
      </c>
      <c r="M686">
        <f t="shared" si="121"/>
        <v>7.1428571428571425E-2</v>
      </c>
      <c r="N686">
        <f t="shared" si="118"/>
        <v>0</v>
      </c>
      <c r="O686">
        <f t="shared" si="119"/>
        <v>0</v>
      </c>
      <c r="P686">
        <f>IFERROR(LN('Дивиденды по годам'!I686),"")</f>
        <v>24.52147043717434</v>
      </c>
      <c r="Q686">
        <f>IFERROR('Дивиденды по годам'!G686/'Дивиденды по годам'!I686, "")</f>
        <v>0.21180610026669058</v>
      </c>
      <c r="R686">
        <f>IFERROR(IF(AND('Дивиденды по годам'!N686&lt;&gt;"",'Дивиденды по годам'!U686&lt;&gt;"",'Дивиденды по годам'!U686&lt;&gt;0),'Дивиденды по годам'!N686/'Дивиденды по годам'!U686-1,""),"")</f>
        <v>-6.4562388442234053E-2</v>
      </c>
      <c r="S686" t="str">
        <f>IFERROR(IF(AND('Дивиденды по годам'!L686&lt;&gt;"",'Дивиденды по годам'!I686&lt;&gt;"",'Дивиденды по годам'!J686&lt;&gt;"",'Дивиденды по годам'!K686&lt;&gt;"",('Дивиденды по годам'!I686-'Дивиденды по годам'!J686-'Дивиденды по годам'!K686)&lt;&gt;0),'Дивиденды по годам'!L686/('Дивиденды по годам'!I686-'Дивиденды по годам'!J686-'Дивиденды по годам'!K686),""),"")</f>
        <v/>
      </c>
      <c r="T686">
        <f>IFERROR(IF(AND('Дивиденды по годам'!Q686&lt;&gt;"",'Дивиденды по годам'!I686&lt;&gt;"",'Дивиденды по годам'!V686&lt;&gt;"",('Дивиденды по годам'!I686+'Дивиденды по годам'!V686)&lt;&gt;0),'Дивиденды по годам'!Q686/(('Дивиденды по годам'!I686+'Дивиденды по годам'!V686)/2),""),"")</f>
        <v>7.8815780778465544E-2</v>
      </c>
      <c r="U686">
        <f>IFERROR(IF(AND('Дивиденды по годам'!J686&lt;&gt;"",'Дивиденды по годам'!K686&lt;&gt;"",'Дивиденды по годам'!M686&lt;&gt;"",'Дивиденды по годам'!M686&lt;&gt;0),('Дивиденды по годам'!J686+'Дивиденды по годам'!K686)/'Дивиденды по годам'!M686,""),"")</f>
        <v>1.1477185213708125</v>
      </c>
      <c r="V686" cm="1">
        <f t="array" ref="V686">IFERROR(AVERAGE(_xlfn._xlws.FILTER(P$2:P$1073,($C$2:$C$1073=$C686)*($E$2:$E$1073=$E686)*(ROW(P$2:P$1073)&lt;&gt;ROW(P686))*(P$2:P$1073&lt;&gt;""))),"")</f>
        <v>24.201254021370847</v>
      </c>
      <c r="W686" cm="1">
        <f t="array" ref="W686">IFERROR(AVERAGE(_xlfn._xlws.FILTER(Q$2:Q$1073,($C$2:$C$1073=$C686)*($E$2:$E$1073=$E686)*(ROW(Q$2:Q$1073)&lt;&gt;ROW(Q686))*(Q$2:Q$1073&lt;&gt;""))),"")</f>
        <v>0.39352293262665317</v>
      </c>
      <c r="X686" cm="1">
        <f t="array" ref="X686">IFERROR(AVERAGE(_xlfn._xlws.FILTER(R$2:R$1073,($C$2:$C$1073=$C686)*($E$2:$E$1073=$E686)*(ROW(R$2:R$1073)&lt;&gt;ROW(R686))*(R$2:R$1073&lt;&gt;""))),"")</f>
        <v>0.25527201837597763</v>
      </c>
      <c r="Y686" t="str" cm="1">
        <f t="array" ref="Y686">IFERROR(AVERAGE(_xlfn._xlws.FILTER(S$2:S$1073,($C$2:$C$1073=$C686)*($E$2:$E$1073=$E686)*(ROW(S$2:S$1073)&lt;&gt;ROW(S686))*(S$2:S$1073&lt;&gt;""))),"")</f>
        <v/>
      </c>
      <c r="Z686" cm="1">
        <f t="array" ref="Z686">IFERROR(AVERAGE(_xlfn._xlws.FILTER(T$2:T$1073,($C$2:$C$1073=$C686)*($E$2:$E$1073=$E686)*(ROW(T$2:T$1073)&lt;&gt;ROW(T686))*(T$2:T$1073&lt;&gt;""))),"")</f>
        <v>-0.19280714776986532</v>
      </c>
      <c r="AA686" cm="1">
        <f t="array" ref="AA686">IFERROR(AVERAGE(_xlfn._xlws.FILTER(U$2:U$1073,($C$2:$C$1073=$C686)*($E$2:$E$1073=$E686)*(ROW(U$2:U$1073)&lt;&gt;ROW(U686))*(U$2:U$1073&lt;&gt;""))),"")</f>
        <v>0.21165218864740973</v>
      </c>
    </row>
    <row r="687" spans="1:27" x14ac:dyDescent="0.2">
      <c r="A687" s="7" t="s">
        <v>2261</v>
      </c>
      <c r="B687" t="str">
        <f t="shared" si="112"/>
        <v>SVAV IV кв. 2012</v>
      </c>
      <c r="C687">
        <v>2012</v>
      </c>
      <c r="D687">
        <f>SUMIFS(Дивиденды!$C:$C,Дивиденды!$A:$A,A687,Дивиденды!$I:$I,C687)</f>
        <v>52.52</v>
      </c>
      <c r="E687">
        <v>4</v>
      </c>
      <c r="F687">
        <f t="shared" si="113"/>
        <v>52.52</v>
      </c>
      <c r="G687">
        <f t="shared" si="114"/>
        <v>5.8107142857142851</v>
      </c>
      <c r="H687">
        <f t="shared" si="115"/>
        <v>1</v>
      </c>
      <c r="I687">
        <f t="shared" si="111"/>
        <v>7.1428571428571425E-2</v>
      </c>
      <c r="J687">
        <f t="shared" si="116"/>
        <v>1</v>
      </c>
      <c r="K687">
        <f t="shared" si="120"/>
        <v>0.18198243100118372</v>
      </c>
      <c r="L687">
        <f t="shared" si="117"/>
        <v>1</v>
      </c>
      <c r="M687">
        <f t="shared" si="121"/>
        <v>7.1428571428571425E-2</v>
      </c>
      <c r="N687">
        <f t="shared" si="118"/>
        <v>0</v>
      </c>
      <c r="O687">
        <f t="shared" si="119"/>
        <v>0</v>
      </c>
      <c r="P687">
        <f>IFERROR(LN('Дивиденды по годам'!I687),"")</f>
        <v>24.555661048612336</v>
      </c>
      <c r="Q687">
        <f>IFERROR('Дивиденды по годам'!G687/'Дивиденды по годам'!I687, "")</f>
        <v>0.24990795486539752</v>
      </c>
      <c r="R687">
        <f>IFERROR(IF(AND('Дивиденды по годам'!N687&lt;&gt;"",'Дивиденды по годам'!U687&lt;&gt;"",'Дивиденды по годам'!U687&lt;&gt;0),'Дивиденды по годам'!N687/'Дивиденды по годам'!U687-1,""),"")</f>
        <v>-5.7269419395665211E-2</v>
      </c>
      <c r="S687" t="str">
        <f>IFERROR(IF(AND('Дивиденды по годам'!L687&lt;&gt;"",'Дивиденды по годам'!I687&lt;&gt;"",'Дивиденды по годам'!J687&lt;&gt;"",'Дивиденды по годам'!K687&lt;&gt;"",('Дивиденды по годам'!I687-'Дивиденды по годам'!J687-'Дивиденды по годам'!K687)&lt;&gt;0),'Дивиденды по годам'!L687/('Дивиденды по годам'!I687-'Дивиденды по годам'!J687-'Дивиденды по годам'!K687),""),"")</f>
        <v/>
      </c>
      <c r="T687">
        <f>IFERROR(IF(AND('Дивиденды по годам'!Q687&lt;&gt;"",'Дивиденды по годам'!I687&lt;&gt;"",'Дивиденды по годам'!V687&lt;&gt;"",('Дивиденды по годам'!I687+'Дивиденды по годам'!V687)&lt;&gt;0),'Дивиденды по годам'!Q687/(('Дивиденды по годам'!I687+'Дивиденды по годам'!V687)/2),""),"")</f>
        <v>0.12346352881900344</v>
      </c>
      <c r="U687">
        <f>IFERROR(IF(AND('Дивиденды по годам'!J687&lt;&gt;"",'Дивиденды по годам'!K687&lt;&gt;"",'Дивиденды по годам'!M687&lt;&gt;"",'Дивиденды по годам'!M687&lt;&gt;0),('Дивиденды по годам'!J687+'Дивиденды по годам'!K687)/'Дивиденды по годам'!M687,""),"")</f>
        <v>1.3225855130784707</v>
      </c>
      <c r="V687" cm="1">
        <f t="array" ref="V687">IFERROR(AVERAGE(_xlfn._xlws.FILTER(P$2:P$1073,($C$2:$C$1073=$C687)*($E$2:$E$1073=$E687)*(ROW(P$2:P$1073)&lt;&gt;ROW(P687))*(P$2:P$1073&lt;&gt;""))),"")</f>
        <v>24.1465478712446</v>
      </c>
      <c r="W687" cm="1">
        <f t="array" ref="W687">IFERROR(AVERAGE(_xlfn._xlws.FILTER(Q$2:Q$1073,($C$2:$C$1073=$C687)*($E$2:$E$1073=$E687)*(ROW(Q$2:Q$1073)&lt;&gt;ROW(Q687))*(Q$2:Q$1073&lt;&gt;""))),"")</f>
        <v>0.2900931143039579</v>
      </c>
      <c r="X687" cm="1">
        <f t="array" ref="X687">IFERROR(AVERAGE(_xlfn._xlws.FILTER(R$2:R$1073,($C$2:$C$1073=$C687)*($E$2:$E$1073=$E687)*(ROW(R$2:R$1073)&lt;&gt;ROW(R687))*(R$2:R$1073&lt;&gt;""))),"")</f>
        <v>-1.3835591991680551E-2</v>
      </c>
      <c r="Y687" cm="1">
        <f t="array" ref="Y687">IFERROR(AVERAGE(_xlfn._xlws.FILTER(S$2:S$1073,($C$2:$C$1073=$C687)*($E$2:$E$1073=$E687)*(ROW(S$2:S$1073)&lt;&gt;ROW(S687))*(S$2:S$1073&lt;&gt;""))),"")</f>
        <v>-1.7651061513336963</v>
      </c>
      <c r="Z687" cm="1">
        <f t="array" ref="Z687">IFERROR(AVERAGE(_xlfn._xlws.FILTER(T$2:T$1073,($C$2:$C$1073=$C687)*($E$2:$E$1073=$E687)*(ROW(T$2:T$1073)&lt;&gt;ROW(T687))*(T$2:T$1073&lt;&gt;""))),"")</f>
        <v>5.463469169050085E-2</v>
      </c>
      <c r="AA687" cm="1">
        <f t="array" ref="AA687">IFERROR(AVERAGE(_xlfn._xlws.FILTER(U$2:U$1073,($C$2:$C$1073=$C687)*($E$2:$E$1073=$E687)*(ROW(U$2:U$1073)&lt;&gt;ROW(U687))*(U$2:U$1073&lt;&gt;""))),"")</f>
        <v>-5.2846337400433008</v>
      </c>
    </row>
    <row r="688" spans="1:27" x14ac:dyDescent="0.2">
      <c r="A688" s="7" t="s">
        <v>2261</v>
      </c>
      <c r="B688" t="str">
        <f t="shared" si="112"/>
        <v>SVAV IV кв. 2011</v>
      </c>
      <c r="C688">
        <v>2011</v>
      </c>
      <c r="D688">
        <f>SUMIFS(Дивиденды!$C:$C,Дивиденды!$A:$A,A688,Дивиденды!$I:$I,C688)</f>
        <v>0</v>
      </c>
      <c r="E688">
        <v>4</v>
      </c>
      <c r="F688">
        <f t="shared" si="113"/>
        <v>0</v>
      </c>
      <c r="G688">
        <f t="shared" si="114"/>
        <v>1.6378571428571429</v>
      </c>
      <c r="H688">
        <f t="shared" si="115"/>
        <v>0</v>
      </c>
      <c r="I688">
        <f t="shared" ref="I688:I751" si="122">IFERROR((COUNTIFS($E:$E,E688,$C:$C,C688,$H:$H,1)-H688)/(COUNTIFS($E:$E,E688,$C:$C,C688)-1),0)</f>
        <v>7.1428571428571425E-2</v>
      </c>
      <c r="J688">
        <f t="shared" si="116"/>
        <v>0</v>
      </c>
      <c r="K688">
        <f t="shared" si="120"/>
        <v>0.17786475320721892</v>
      </c>
      <c r="L688">
        <f t="shared" si="117"/>
        <v>0</v>
      </c>
      <c r="M688">
        <f t="shared" si="121"/>
        <v>7.1428571428571425E-2</v>
      </c>
      <c r="N688">
        <f t="shared" si="118"/>
        <v>0</v>
      </c>
      <c r="O688">
        <f t="shared" si="119"/>
        <v>0</v>
      </c>
      <c r="P688">
        <f>IFERROR(LN('Дивиденды по годам'!I688),"")</f>
        <v>24.617002664687238</v>
      </c>
      <c r="Q688">
        <f>IFERROR('Дивиденды по годам'!G688/'Дивиденды по годам'!I688, "")</f>
        <v>0.25516356377561411</v>
      </c>
      <c r="R688" t="str">
        <f>IFERROR(IF(AND('Дивиденды по годам'!N688&lt;&gt;"",'Дивиденды по годам'!U688&lt;&gt;"",'Дивиденды по годам'!U688&lt;&gt;0),'Дивиденды по годам'!N688/'Дивиденды по годам'!U688-1,""),"")</f>
        <v/>
      </c>
      <c r="S688" t="str">
        <f>IFERROR(IF(AND('Дивиденды по годам'!L688&lt;&gt;"",'Дивиденды по годам'!I688&lt;&gt;"",'Дивиденды по годам'!J688&lt;&gt;"",'Дивиденды по годам'!K688&lt;&gt;"",('Дивиденды по годам'!I688-'Дивиденды по годам'!J688-'Дивиденды по годам'!K688)&lt;&gt;0),'Дивиденды по годам'!L688/('Дивиденды по годам'!I688-'Дивиденды по годам'!J688-'Дивиденды по годам'!K688),""),"")</f>
        <v/>
      </c>
      <c r="T688" t="str">
        <f>IFERROR(IF(AND('Дивиденды по годам'!Q688&lt;&gt;"",'Дивиденды по годам'!I688&lt;&gt;"",'Дивиденды по годам'!V688&lt;&gt;"",('Дивиденды по годам'!I688+'Дивиденды по годам'!V688)&lt;&gt;0),'Дивиденды по годам'!Q688/(('Дивиденды по годам'!I688+'Дивиденды по годам'!V688)/2),""),"")</f>
        <v/>
      </c>
      <c r="U688">
        <f>IFERROR(IF(AND('Дивиденды по годам'!J688&lt;&gt;"",'Дивиденды по годам'!K688&lt;&gt;"",'Дивиденды по годам'!M688&lt;&gt;"",'Дивиденды по годам'!M688&lt;&gt;0),('Дивиденды по годам'!J688+'Дивиденды по годам'!K688)/'Дивиденды по годам'!M688,""),"")</f>
        <v>2.6221041758890364</v>
      </c>
      <c r="V688" cm="1">
        <f t="array" ref="V688">IFERROR(AVERAGE(_xlfn._xlws.FILTER(P$2:P$1073,($C$2:$C$1073=$C688)*($E$2:$E$1073=$E688)*(ROW(P$2:P$1073)&lt;&gt;ROW(P688))*(P$2:P$1073&lt;&gt;""))),"")</f>
        <v>24.071735719448789</v>
      </c>
      <c r="W688" cm="1">
        <f t="array" ref="W688">IFERROR(AVERAGE(_xlfn._xlws.FILTER(Q$2:Q$1073,($C$2:$C$1073=$C688)*($E$2:$E$1073=$E688)*(ROW(Q$2:Q$1073)&lt;&gt;ROW(Q688))*(Q$2:Q$1073&lt;&gt;""))),"")</f>
        <v>0.30626851533213978</v>
      </c>
      <c r="X688" cm="1">
        <f t="array" ref="X688">IFERROR(AVERAGE(_xlfn._xlws.FILTER(R$2:R$1073,($C$2:$C$1073=$C688)*($E$2:$E$1073=$E688)*(ROW(R$2:R$1073)&lt;&gt;ROW(R688))*(R$2:R$1073&lt;&gt;""))),"")</f>
        <v>5.9511017560386792E-2</v>
      </c>
      <c r="Y688" t="str" cm="1">
        <f t="array" ref="Y688">IFERROR(AVERAGE(_xlfn._xlws.FILTER(S$2:S$1073,($C$2:$C$1073=$C688)*($E$2:$E$1073=$E688)*(ROW(S$2:S$1073)&lt;&gt;ROW(S688))*(S$2:S$1073&lt;&gt;""))),"")</f>
        <v/>
      </c>
      <c r="Z688" cm="1">
        <f t="array" ref="Z688">IFERROR(AVERAGE(_xlfn._xlws.FILTER(T$2:T$1073,($C$2:$C$1073=$C688)*($E$2:$E$1073=$E688)*(ROW(T$2:T$1073)&lt;&gt;ROW(T688))*(T$2:T$1073&lt;&gt;""))),"")</f>
        <v>-1.4171101286470289E-2</v>
      </c>
      <c r="AA688" cm="1">
        <f t="array" ref="AA688">IFERROR(AVERAGE(_xlfn._xlws.FILTER(U$2:U$1073,($C$2:$C$1073=$C688)*($E$2:$E$1073=$E688)*(ROW(U$2:U$1073)&lt;&gt;ROW(U688))*(U$2:U$1073&lt;&gt;""))),"")</f>
        <v>2.0399085294759538</v>
      </c>
    </row>
    <row r="689" spans="1:27" x14ac:dyDescent="0.2">
      <c r="A689" s="7" t="s">
        <v>2261</v>
      </c>
      <c r="B689" t="str">
        <f t="shared" si="112"/>
        <v>SVAV IV кв. 2010</v>
      </c>
      <c r="C689">
        <v>2010</v>
      </c>
      <c r="D689">
        <f>SUMIFS(Дивиденды!$C:$C,Дивиденды!$A:$A,A689,Дивиденды!$I:$I,C689)</f>
        <v>0</v>
      </c>
      <c r="E689">
        <v>4</v>
      </c>
      <c r="F689">
        <f t="shared" si="113"/>
        <v>0</v>
      </c>
      <c r="G689">
        <f t="shared" si="114"/>
        <v>0.46928571428571431</v>
      </c>
      <c r="H689">
        <f t="shared" si="115"/>
        <v>0</v>
      </c>
      <c r="I689">
        <f t="shared" si="122"/>
        <v>7.1428571428571425E-2</v>
      </c>
      <c r="J689" t="str">
        <f t="shared" si="116"/>
        <v/>
      </c>
      <c r="K689" t="str">
        <f t="shared" si="120"/>
        <v/>
      </c>
      <c r="L689" t="str">
        <f t="shared" si="117"/>
        <v/>
      </c>
      <c r="M689" t="str">
        <f t="shared" si="121"/>
        <v/>
      </c>
      <c r="N689" t="str">
        <f t="shared" si="118"/>
        <v/>
      </c>
      <c r="O689" t="str">
        <f t="shared" si="119"/>
        <v/>
      </c>
      <c r="P689" t="str">
        <f>IFERROR(LN('Дивиденды по годам'!I689),"")</f>
        <v/>
      </c>
      <c r="Q689" t="str">
        <f>IFERROR('Дивиденды по годам'!G689/'Дивиденды по годам'!I689, "")</f>
        <v/>
      </c>
      <c r="R689" t="str">
        <f>IFERROR(IF(AND('Дивиденды по годам'!N689&lt;&gt;"",'Дивиденды по годам'!U689&lt;&gt;"",'Дивиденды по годам'!U689&lt;&gt;0),'Дивиденды по годам'!N689/'Дивиденды по годам'!U689-1,""),"")</f>
        <v/>
      </c>
      <c r="S689" t="str">
        <f>IFERROR(IF(AND('Дивиденды по годам'!L689&lt;&gt;"",'Дивиденды по годам'!I689&lt;&gt;"",'Дивиденды по годам'!J689&lt;&gt;"",'Дивиденды по годам'!K689&lt;&gt;"",('Дивиденды по годам'!I689-'Дивиденды по годам'!J689-'Дивиденды по годам'!K689)&lt;&gt;0),'Дивиденды по годам'!L689/('Дивиденды по годам'!I689-'Дивиденды по годам'!J689-'Дивиденды по годам'!K689),""),"")</f>
        <v/>
      </c>
      <c r="T689" t="str">
        <f>IFERROR(IF(AND('Дивиденды по годам'!Q689&lt;&gt;"",'Дивиденды по годам'!I689&lt;&gt;"",'Дивиденды по годам'!V689&lt;&gt;"",('Дивиденды по годам'!I689+'Дивиденды по годам'!V689)&lt;&gt;0),'Дивиденды по годам'!Q689/(('Дивиденды по годам'!I689+'Дивиденды по годам'!V689)/2),""),"")</f>
        <v/>
      </c>
      <c r="U689" t="str">
        <f>IFERROR(IF(AND('Дивиденды по годам'!J689&lt;&gt;"",'Дивиденды по годам'!K689&lt;&gt;"",'Дивиденды по годам'!M689&lt;&gt;"",'Дивиденды по годам'!M689&lt;&gt;0),('Дивиденды по годам'!J689+'Дивиденды по годам'!K689)/'Дивиденды по годам'!M689,""),"")</f>
        <v/>
      </c>
      <c r="V689" cm="1">
        <f t="array" ref="V689">IFERROR(AVERAGE(_xlfn._xlws.FILTER(P$2:P$1073,($C$2:$C$1073=$C689)*($E$2:$E$1073=$E689)*(ROW(P$2:P$1073)&lt;&gt;ROW(P689))*(P$2:P$1073&lt;&gt;""))),"")</f>
        <v>23.656010386255485</v>
      </c>
      <c r="W689" cm="1">
        <f t="array" ref="W689">IFERROR(AVERAGE(_xlfn._xlws.FILTER(Q$2:Q$1073,($C$2:$C$1073=$C689)*($E$2:$E$1073=$E689)*(ROW(Q$2:Q$1073)&lt;&gt;ROW(Q689))*(Q$2:Q$1073&lt;&gt;""))),"")</f>
        <v>0.15222241747474585</v>
      </c>
      <c r="X689" t="str" cm="1">
        <f t="array" ref="X689">IFERROR(AVERAGE(_xlfn._xlws.FILTER(R$2:R$1073,($C$2:$C$1073=$C689)*($E$2:$E$1073=$E689)*(ROW(R$2:R$1073)&lt;&gt;ROW(R689))*(R$2:R$1073&lt;&gt;""))),"")</f>
        <v/>
      </c>
      <c r="Y689" t="str" cm="1">
        <f t="array" ref="Y689">IFERROR(AVERAGE(_xlfn._xlws.FILTER(S$2:S$1073,($C$2:$C$1073=$C689)*($E$2:$E$1073=$E689)*(ROW(S$2:S$1073)&lt;&gt;ROW(S689))*(S$2:S$1073&lt;&gt;""))),"")</f>
        <v/>
      </c>
      <c r="Z689" t="str" cm="1">
        <f t="array" ref="Z689">IFERROR(AVERAGE(_xlfn._xlws.FILTER(T$2:T$1073,($C$2:$C$1073=$C689)*($E$2:$E$1073=$E689)*(ROW(T$2:T$1073)&lt;&gt;ROW(T689))*(T$2:T$1073&lt;&gt;""))),"")</f>
        <v/>
      </c>
      <c r="AA689" cm="1">
        <f t="array" ref="AA689">IFERROR(AVERAGE(_xlfn._xlws.FILTER(U$2:U$1073,($C$2:$C$1073=$C689)*($E$2:$E$1073=$E689)*(ROW(U$2:U$1073)&lt;&gt;ROW(U689))*(U$2:U$1073&lt;&gt;""))),"")</f>
        <v>2.8988498110700496</v>
      </c>
    </row>
    <row r="690" spans="1:27" x14ac:dyDescent="0.2">
      <c r="A690" s="7" t="s">
        <v>2264</v>
      </c>
      <c r="B690" t="str">
        <f t="shared" si="112"/>
        <v>VSEH IV кв. 2025</v>
      </c>
      <c r="C690">
        <v>2025</v>
      </c>
      <c r="D690">
        <f>SUMIFS(Дивиденды!$C:$C,Дивиденды!$A:$A,A690,Дивиденды!$I:$I,C690)</f>
        <v>1</v>
      </c>
      <c r="E690">
        <v>4</v>
      </c>
      <c r="F690">
        <f t="shared" si="113"/>
        <v>1</v>
      </c>
      <c r="G690">
        <f t="shared" si="114"/>
        <v>31.509999999999998</v>
      </c>
      <c r="H690">
        <f t="shared" si="115"/>
        <v>1</v>
      </c>
      <c r="I690">
        <f t="shared" si="122"/>
        <v>0.35714285714285715</v>
      </c>
      <c r="J690">
        <f t="shared" si="116"/>
        <v>1</v>
      </c>
      <c r="K690">
        <f t="shared" si="120"/>
        <v>-0.25395491466926773</v>
      </c>
      <c r="L690">
        <f t="shared" si="117"/>
        <v>1</v>
      </c>
      <c r="M690">
        <f t="shared" si="121"/>
        <v>7.1428571428571425E-2</v>
      </c>
      <c r="N690">
        <f t="shared" si="118"/>
        <v>0</v>
      </c>
      <c r="O690">
        <f t="shared" si="119"/>
        <v>0.5</v>
      </c>
      <c r="P690" t="str">
        <f>IFERROR(LN('Дивиденды по годам'!I690),"")</f>
        <v/>
      </c>
      <c r="Q690" t="str">
        <f>IFERROR('Дивиденды по годам'!G690/'Дивиденды по годам'!I690, "")</f>
        <v/>
      </c>
      <c r="R690" t="str">
        <f>IFERROR(IF(AND('Дивиденды по годам'!N690&lt;&gt;"",'Дивиденды по годам'!U690&lt;&gt;"",'Дивиденды по годам'!U690&lt;&gt;0),'Дивиденды по годам'!N690/'Дивиденды по годам'!U690-1,""),"")</f>
        <v/>
      </c>
      <c r="S690" t="str">
        <f>IFERROR(IF(AND('Дивиденды по годам'!L690&lt;&gt;"",'Дивиденды по годам'!I690&lt;&gt;"",'Дивиденды по годам'!J690&lt;&gt;"",'Дивиденды по годам'!K690&lt;&gt;"",('Дивиденды по годам'!I690-'Дивиденды по годам'!J690-'Дивиденды по годам'!K690)&lt;&gt;0),'Дивиденды по годам'!L690/('Дивиденды по годам'!I690-'Дивиденды по годам'!J690-'Дивиденды по годам'!K690),""),"")</f>
        <v/>
      </c>
      <c r="T690" t="str">
        <f>IFERROR(IF(AND('Дивиденды по годам'!Q690&lt;&gt;"",'Дивиденды по годам'!I690&lt;&gt;"",'Дивиденды по годам'!V690&lt;&gt;"",('Дивиденды по годам'!I690+'Дивиденды по годам'!V690)&lt;&gt;0),'Дивиденды по годам'!Q690/(('Дивиденды по годам'!I690+'Дивиденды по годам'!V690)/2),""),"")</f>
        <v/>
      </c>
      <c r="U690" t="str">
        <f>IFERROR(IF(AND('Дивиденды по годам'!J690&lt;&gt;"",'Дивиденды по годам'!K690&lt;&gt;"",'Дивиденды по годам'!M690&lt;&gt;"",'Дивиденды по годам'!M690&lt;&gt;0),('Дивиденды по годам'!J690+'Дивиденды по годам'!K690)/'Дивиденды по годам'!M690,""),"")</f>
        <v/>
      </c>
      <c r="V690" cm="1">
        <f t="array" ref="V690">IFERROR(AVERAGE(_xlfn._xlws.FILTER(P$2:P$1073,($C$2:$C$1073=$C690)*($E$2:$E$1073=$E690)*(ROW(P$2:P$1073)&lt;&gt;ROW(P690))*(P$2:P$1073&lt;&gt;""))),"")</f>
        <v>26.183512711155618</v>
      </c>
      <c r="W690" cm="1">
        <f t="array" ref="W690">IFERROR(AVERAGE(_xlfn._xlws.FILTER(Q$2:Q$1073,($C$2:$C$1073=$C690)*($E$2:$E$1073=$E690)*(ROW(Q$2:Q$1073)&lt;&gt;ROW(Q690))*(Q$2:Q$1073&lt;&gt;""))),"")</f>
        <v>0.42364014522274984</v>
      </c>
      <c r="X690" cm="1">
        <f t="array" ref="X690">IFERROR(AVERAGE(_xlfn._xlws.FILTER(R$2:R$1073,($C$2:$C$1073=$C690)*($E$2:$E$1073=$E690)*(ROW(R$2:R$1073)&lt;&gt;ROW(R690))*(R$2:R$1073&lt;&gt;""))),"")</f>
        <v>6.6096126428947105E-2</v>
      </c>
      <c r="Y690" cm="1">
        <f t="array" ref="Y690">IFERROR(AVERAGE(_xlfn._xlws.FILTER(S$2:S$1073,($C$2:$C$1073=$C690)*($E$2:$E$1073=$E690)*(ROW(S$2:S$1073)&lt;&gt;ROW(S690))*(S$2:S$1073&lt;&gt;""))),"")</f>
        <v>0.94174952343815033</v>
      </c>
      <c r="Z690" cm="1">
        <f t="array" ref="Z690">IFERROR(AVERAGE(_xlfn._xlws.FILTER(T$2:T$1073,($C$2:$C$1073=$C690)*($E$2:$E$1073=$E690)*(ROW(T$2:T$1073)&lt;&gt;ROW(T690))*(T$2:T$1073&lt;&gt;""))),"")</f>
        <v>1.3107153079830167E-2</v>
      </c>
      <c r="AA690" cm="1">
        <f t="array" ref="AA690">IFERROR(AVERAGE(_xlfn._xlws.FILTER(U$2:U$1073,($C$2:$C$1073=$C690)*($E$2:$E$1073=$E690)*(ROW(U$2:U$1073)&lt;&gt;ROW(U690))*(U$2:U$1073&lt;&gt;""))),"")</f>
        <v>6.2968354519658218</v>
      </c>
    </row>
    <row r="691" spans="1:27" x14ac:dyDescent="0.2">
      <c r="A691" s="7" t="s">
        <v>2264</v>
      </c>
      <c r="B691" t="str">
        <f t="shared" si="112"/>
        <v>VSEH IV кв. 2024</v>
      </c>
      <c r="C691">
        <v>2024</v>
      </c>
      <c r="D691">
        <f>SUMIFS(Дивиденды!$C:$C,Дивиденды!$A:$A,A691,Дивиденды!$I:$I,C691)</f>
        <v>0</v>
      </c>
      <c r="E691">
        <v>4</v>
      </c>
      <c r="F691">
        <f t="shared" si="113"/>
        <v>0</v>
      </c>
      <c r="G691">
        <f t="shared" si="114"/>
        <v>62.511428571428574</v>
      </c>
      <c r="H691">
        <f t="shared" si="115"/>
        <v>0</v>
      </c>
      <c r="I691">
        <f t="shared" si="122"/>
        <v>0.5714285714285714</v>
      </c>
      <c r="J691">
        <f t="shared" si="116"/>
        <v>0</v>
      </c>
      <c r="K691">
        <f t="shared" si="120"/>
        <v>0.21145574536348383</v>
      </c>
      <c r="L691">
        <f t="shared" si="117"/>
        <v>0</v>
      </c>
      <c r="M691">
        <f t="shared" si="121"/>
        <v>0.35714285714285715</v>
      </c>
      <c r="N691">
        <f t="shared" si="118"/>
        <v>0</v>
      </c>
      <c r="O691">
        <f t="shared" si="119"/>
        <v>0.2857142857142857</v>
      </c>
      <c r="P691">
        <f>IFERROR(LN('Дивиденды по годам'!I691),"")</f>
        <v>25.08436958156404</v>
      </c>
      <c r="Q691">
        <f>IFERROR('Дивиденды по годам'!G691/'Дивиденды по годам'!I691, "")</f>
        <v>4.483698583104944E-2</v>
      </c>
      <c r="R691">
        <f>IFERROR(IF(AND('Дивиденды по годам'!N691&lt;&gt;"",'Дивиденды по годам'!U691&lt;&gt;"",'Дивиденды по годам'!U691&lt;&gt;0),'Дивиденды по годам'!N691/'Дивиденды по годам'!U691-1,""),"")</f>
        <v>0.28107777246364374</v>
      </c>
      <c r="S691">
        <f>IFERROR(IF(AND('Дивиденды по годам'!L691&lt;&gt;"",'Дивиденды по годам'!I691&lt;&gt;"",'Дивиденды по годам'!J691&lt;&gt;"",'Дивиденды по годам'!K691&lt;&gt;"",('Дивиденды по годам'!I691-'Дивиденды по годам'!J691-'Дивиденды по годам'!K691)&lt;&gt;0),'Дивиденды по годам'!L691/('Дивиденды по годам'!I691-'Дивиденды по годам'!J691-'Дивиденды по годам'!K691),""),"")</f>
        <v>0.99765688007959108</v>
      </c>
      <c r="T691">
        <f>IFERROR(IF(AND('Дивиденды по годам'!Q691&lt;&gt;"",'Дивиденды по годам'!I691&lt;&gt;"",'Дивиденды по годам'!V691&lt;&gt;"",('Дивиденды по годам'!I691+'Дивиденды по годам'!V691)&lt;&gt;0),'Дивиденды по годам'!Q691/(('Дивиденды по годам'!I691+'Дивиденды по годам'!V691)/2),""),"")</f>
        <v>1.045952092052542E-2</v>
      </c>
      <c r="U691">
        <f>IFERROR(IF(AND('Дивиденды по годам'!J691&lt;&gt;"",'Дивиденды по годам'!K691&lt;&gt;"",'Дивиденды по годам'!M691&lt;&gt;"",'Дивиденды по годам'!M691&lt;&gt;0),('Дивиденды по годам'!J691+'Дивиденды по годам'!K691)/'Дивиденды по годам'!M691,""),"")</f>
        <v>35.713670277102047</v>
      </c>
      <c r="V691" cm="1">
        <f t="array" ref="V691">IFERROR(AVERAGE(_xlfn._xlws.FILTER(P$2:P$1073,($C$2:$C$1073=$C691)*($E$2:$E$1073=$E691)*(ROW(P$2:P$1073)&lt;&gt;ROW(P691))*(P$2:P$1073&lt;&gt;""))),"")</f>
        <v>25.599117294723662</v>
      </c>
      <c r="W691" cm="1">
        <f t="array" ref="W691">IFERROR(AVERAGE(_xlfn._xlws.FILTER(Q$2:Q$1073,($C$2:$C$1073=$C691)*($E$2:$E$1073=$E691)*(ROW(Q$2:Q$1073)&lt;&gt;ROW(Q691))*(Q$2:Q$1073&lt;&gt;""))),"")</f>
        <v>0.27850209160493267</v>
      </c>
      <c r="X691" cm="1">
        <f t="array" ref="X691">IFERROR(AVERAGE(_xlfn._xlws.FILTER(R$2:R$1073,($C$2:$C$1073=$C691)*($E$2:$E$1073=$E691)*(ROW(R$2:R$1073)&lt;&gt;ROW(R691))*(R$2:R$1073&lt;&gt;""))),"")</f>
        <v>0.26434990779840939</v>
      </c>
      <c r="Y691" cm="1">
        <f t="array" ref="Y691">IFERROR(AVERAGE(_xlfn._xlws.FILTER(S$2:S$1073,($C$2:$C$1073=$C691)*($E$2:$E$1073=$E691)*(ROW(S$2:S$1073)&lt;&gt;ROW(S691))*(S$2:S$1073&lt;&gt;""))),"")</f>
        <v>1.1834395206056378</v>
      </c>
      <c r="Z691" cm="1">
        <f t="array" ref="Z691">IFERROR(AVERAGE(_xlfn._xlws.FILTER(T$2:T$1073,($C$2:$C$1073=$C691)*($E$2:$E$1073=$E691)*(ROW(T$2:T$1073)&lt;&gt;ROW(T691))*(T$2:T$1073&lt;&gt;""))),"")</f>
        <v>7.7419646815032286E-2</v>
      </c>
      <c r="AA691" cm="1">
        <f t="array" ref="AA691">IFERROR(AVERAGE(_xlfn._xlws.FILTER(U$2:U$1073,($C$2:$C$1073=$C691)*($E$2:$E$1073=$E691)*(ROW(U$2:U$1073)&lt;&gt;ROW(U691))*(U$2:U$1073&lt;&gt;""))),"")</f>
        <v>1.7248783418607887</v>
      </c>
    </row>
    <row r="692" spans="1:27" x14ac:dyDescent="0.2">
      <c r="A692" s="7" t="s">
        <v>2264</v>
      </c>
      <c r="B692" t="str">
        <f t="shared" si="112"/>
        <v>VSEH IV кв. 2023</v>
      </c>
      <c r="C692">
        <v>2023</v>
      </c>
      <c r="D692">
        <f>SUMIFS(Дивиденды!$C:$C,Дивиденды!$A:$A,A692,Дивиденды!$I:$I,C692)</f>
        <v>0</v>
      </c>
      <c r="E692">
        <v>4</v>
      </c>
      <c r="F692">
        <f t="shared" si="113"/>
        <v>0</v>
      </c>
      <c r="G692">
        <f t="shared" si="114"/>
        <v>90.740000000000009</v>
      </c>
      <c r="H692">
        <f t="shared" si="115"/>
        <v>0</v>
      </c>
      <c r="I692">
        <f t="shared" si="122"/>
        <v>0.5</v>
      </c>
      <c r="J692">
        <f t="shared" si="116"/>
        <v>0</v>
      </c>
      <c r="K692">
        <f t="shared" si="120"/>
        <v>0.29812745098039217</v>
      </c>
      <c r="L692">
        <f t="shared" si="117"/>
        <v>0</v>
      </c>
      <c r="M692">
        <f t="shared" si="121"/>
        <v>0.42857142857142855</v>
      </c>
      <c r="N692">
        <f t="shared" si="118"/>
        <v>0</v>
      </c>
      <c r="O692">
        <f t="shared" si="119"/>
        <v>0</v>
      </c>
      <c r="P692">
        <f>IFERROR(LN('Дивиденды по годам'!I692),"")</f>
        <v>24.629777965347373</v>
      </c>
      <c r="Q692">
        <f>IFERROR('Дивиденды по годам'!G692/'Дивиденды по годам'!I692, "")</f>
        <v>5.0566740647913548E-2</v>
      </c>
      <c r="R692" t="str">
        <f>IFERROR(IF(AND('Дивиденды по годам'!N692&lt;&gt;"",'Дивиденды по годам'!U692&lt;&gt;"",'Дивиденды по годам'!U692&lt;&gt;0),'Дивиденды по годам'!N692/'Дивиденды по годам'!U692-1,""),"")</f>
        <v/>
      </c>
      <c r="S692">
        <f>IFERROR(IF(AND('Дивиденды по годам'!L692&lt;&gt;"",'Дивиденды по годам'!I692&lt;&gt;"",'Дивиденды по годам'!J692&lt;&gt;"",'Дивиденды по годам'!K692&lt;&gt;"",('Дивиденды по годам'!I692-'Дивиденды по годам'!J692-'Дивиденды по годам'!K692)&lt;&gt;0),'Дивиденды по годам'!L692/('Дивиденды по годам'!I692-'Дивиденды по годам'!J692-'Дивиденды по годам'!K692),""),"")</f>
        <v>1</v>
      </c>
      <c r="T692" t="str">
        <f>IFERROR(IF(AND('Дивиденды по годам'!Q692&lt;&gt;"",'Дивиденды по годам'!I692&lt;&gt;"",'Дивиденды по годам'!V692&lt;&gt;"",('Дивиденды по годам'!I692+'Дивиденды по годам'!V692)&lt;&gt;0),'Дивиденды по годам'!Q692/(('Дивиденды по годам'!I692+'Дивиденды по годам'!V692)/2),""),"")</f>
        <v/>
      </c>
      <c r="U692">
        <f>IFERROR(IF(AND('Дивиденды по годам'!J692&lt;&gt;"",'Дивиденды по годам'!K692&lt;&gt;"",'Дивиденды по годам'!M692&lt;&gt;"",'Дивиденды по годам'!M692&lt;&gt;0),('Дивиденды по годам'!J692+'Дивиденды по годам'!K692)/'Дивиденды по годам'!M692,""),"")</f>
        <v>14.884493000151737</v>
      </c>
      <c r="V692" cm="1">
        <f t="array" ref="V692">IFERROR(AVERAGE(_xlfn._xlws.FILTER(P$2:P$1073,($C$2:$C$1073=$C692)*($E$2:$E$1073=$E692)*(ROW(P$2:P$1073)&lt;&gt;ROW(P692))*(P$2:P$1073&lt;&gt;""))),"")</f>
        <v>25.419625082715246</v>
      </c>
      <c r="W692" cm="1">
        <f t="array" ref="W692">IFERROR(AVERAGE(_xlfn._xlws.FILTER(Q$2:Q$1073,($C$2:$C$1073=$C692)*($E$2:$E$1073=$E692)*(ROW(Q$2:Q$1073)&lt;&gt;ROW(Q692))*(Q$2:Q$1073&lt;&gt;""))),"")</f>
        <v>0.26466030382327305</v>
      </c>
      <c r="X692" cm="1">
        <f t="array" ref="X692">IFERROR(AVERAGE(_xlfn._xlws.FILTER(R$2:R$1073,($C$2:$C$1073=$C692)*($E$2:$E$1073=$E692)*(ROW(R$2:R$1073)&lt;&gt;ROW(R692))*(R$2:R$1073&lt;&gt;""))),"")</f>
        <v>0.24615938299834073</v>
      </c>
      <c r="Y692" cm="1">
        <f t="array" ref="Y692">IFERROR(AVERAGE(_xlfn._xlws.FILTER(S$2:S$1073,($C$2:$C$1073=$C692)*($E$2:$E$1073=$E692)*(ROW(S$2:S$1073)&lt;&gt;ROW(S692))*(S$2:S$1073&lt;&gt;""))),"")</f>
        <v>1.2635650158034142</v>
      </c>
      <c r="Z692" cm="1">
        <f t="array" ref="Z692">IFERROR(AVERAGE(_xlfn._xlws.FILTER(T$2:T$1073,($C$2:$C$1073=$C692)*($E$2:$E$1073=$E692)*(ROW(T$2:T$1073)&lt;&gt;ROW(T692))*(T$2:T$1073&lt;&gt;""))),"")</f>
        <v>0.11031168628188895</v>
      </c>
      <c r="AA692" cm="1">
        <f t="array" ref="AA692">IFERROR(AVERAGE(_xlfn._xlws.FILTER(U$2:U$1073,($C$2:$C$1073=$C692)*($E$2:$E$1073=$E692)*(ROW(U$2:U$1073)&lt;&gt;ROW(U692))*(U$2:U$1073&lt;&gt;""))),"")</f>
        <v>1.7091198241768961</v>
      </c>
    </row>
    <row r="693" spans="1:27" x14ac:dyDescent="0.2">
      <c r="A693" s="7" t="s">
        <v>2264</v>
      </c>
      <c r="B693" t="str">
        <f t="shared" si="112"/>
        <v>VSEH IV кв. 2022</v>
      </c>
      <c r="C693">
        <v>2022</v>
      </c>
      <c r="D693">
        <f>SUMIFS(Дивиденды!$C:$C,Дивиденды!$A:$A,A693,Дивиденды!$I:$I,C693)</f>
        <v>0</v>
      </c>
      <c r="E693">
        <v>4</v>
      </c>
      <c r="F693">
        <f t="shared" si="113"/>
        <v>0</v>
      </c>
      <c r="G693">
        <f t="shared" si="114"/>
        <v>80.180000000000021</v>
      </c>
      <c r="H693">
        <f t="shared" si="115"/>
        <v>0</v>
      </c>
      <c r="I693">
        <f t="shared" si="122"/>
        <v>0.2857142857142857</v>
      </c>
      <c r="J693">
        <f t="shared" si="116"/>
        <v>0</v>
      </c>
      <c r="K693">
        <f t="shared" si="120"/>
        <v>0.49583624512073399</v>
      </c>
      <c r="L693">
        <f t="shared" si="117"/>
        <v>0</v>
      </c>
      <c r="M693">
        <f t="shared" si="121"/>
        <v>0.2857142857142857</v>
      </c>
      <c r="N693">
        <f t="shared" si="118"/>
        <v>0</v>
      </c>
      <c r="O693">
        <f t="shared" si="119"/>
        <v>7.1428571428571425E-2</v>
      </c>
      <c r="P693" t="str">
        <f>IFERROR(LN('Дивиденды по годам'!I693),"")</f>
        <v/>
      </c>
      <c r="Q693" t="str">
        <f>IFERROR('Дивиденды по годам'!G693/'Дивиденды по годам'!I693, "")</f>
        <v/>
      </c>
      <c r="R693" t="str">
        <f>IFERROR(IF(AND('Дивиденды по годам'!N693&lt;&gt;"",'Дивиденды по годам'!U693&lt;&gt;"",'Дивиденды по годам'!U693&lt;&gt;0),'Дивиденды по годам'!N693/'Дивиденды по годам'!U693-1,""),"")</f>
        <v/>
      </c>
      <c r="S693" t="str">
        <f>IFERROR(IF(AND('Дивиденды по годам'!L693&lt;&gt;"",'Дивиденды по годам'!I693&lt;&gt;"",'Дивиденды по годам'!J693&lt;&gt;"",'Дивиденды по годам'!K693&lt;&gt;"",('Дивиденды по годам'!I693-'Дивиденды по годам'!J693-'Дивиденды по годам'!K693)&lt;&gt;0),'Дивиденды по годам'!L693/('Дивиденды по годам'!I693-'Дивиденды по годам'!J693-'Дивиденды по годам'!K693),""),"")</f>
        <v/>
      </c>
      <c r="T693" t="str">
        <f>IFERROR(IF(AND('Дивиденды по годам'!Q693&lt;&gt;"",'Дивиденды по годам'!I693&lt;&gt;"",'Дивиденды по годам'!V693&lt;&gt;"",('Дивиденды по годам'!I693+'Дивиденды по годам'!V693)&lt;&gt;0),'Дивиденды по годам'!Q693/(('Дивиденды по годам'!I693+'Дивиденды по годам'!V693)/2),""),"")</f>
        <v/>
      </c>
      <c r="U693" t="str">
        <f>IFERROR(IF(AND('Дивиденды по годам'!J693&lt;&gt;"",'Дивиденды по годам'!K693&lt;&gt;"",'Дивиденды по годам'!M693&lt;&gt;"",'Дивиденды по годам'!M693&lt;&gt;0),('Дивиденды по годам'!J693+'Дивиденды по годам'!K693)/'Дивиденды по годам'!M693,""),"")</f>
        <v/>
      </c>
      <c r="V693" cm="1">
        <f t="array" ref="V693">IFERROR(AVERAGE(_xlfn._xlws.FILTER(P$2:P$1073,($C$2:$C$1073=$C693)*($E$2:$E$1073=$E693)*(ROW(P$2:P$1073)&lt;&gt;ROW(P693))*(P$2:P$1073&lt;&gt;""))),"")</f>
        <v>25.267406913702111</v>
      </c>
      <c r="W693" cm="1">
        <f t="array" ref="W693">IFERROR(AVERAGE(_xlfn._xlws.FILTER(Q$2:Q$1073,($C$2:$C$1073=$C693)*($E$2:$E$1073=$E693)*(ROW(Q$2:Q$1073)&lt;&gt;ROW(Q693))*(Q$2:Q$1073&lt;&gt;""))),"")</f>
        <v>0.24827187132804085</v>
      </c>
      <c r="X693" cm="1">
        <f t="array" ref="X693">IFERROR(AVERAGE(_xlfn._xlws.FILTER(R$2:R$1073,($C$2:$C$1073=$C693)*($E$2:$E$1073=$E693)*(ROW(R$2:R$1073)&lt;&gt;ROW(R693))*(R$2:R$1073&lt;&gt;""))),"")</f>
        <v>0.20513507713883902</v>
      </c>
      <c r="Y693" cm="1">
        <f t="array" ref="Y693">IFERROR(AVERAGE(_xlfn._xlws.FILTER(S$2:S$1073,($C$2:$C$1073=$C693)*($E$2:$E$1073=$E693)*(ROW(S$2:S$1073)&lt;&gt;ROW(S693))*(S$2:S$1073&lt;&gt;""))),"")</f>
        <v>1.3370829347061257</v>
      </c>
      <c r="Z693" cm="1">
        <f t="array" ref="Z693">IFERROR(AVERAGE(_xlfn._xlws.FILTER(T$2:T$1073,($C$2:$C$1073=$C693)*($E$2:$E$1073=$E693)*(ROW(T$2:T$1073)&lt;&gt;ROW(T693))*(T$2:T$1073&lt;&gt;""))),"")</f>
        <v>0.10081697308373706</v>
      </c>
      <c r="AA693" cm="1">
        <f t="array" ref="AA693">IFERROR(AVERAGE(_xlfn._xlws.FILTER(U$2:U$1073,($C$2:$C$1073=$C693)*($E$2:$E$1073=$E693)*(ROW(U$2:U$1073)&lt;&gt;ROW(U693))*(U$2:U$1073&lt;&gt;""))),"")</f>
        <v>2.1734773569182102</v>
      </c>
    </row>
    <row r="694" spans="1:27" x14ac:dyDescent="0.2">
      <c r="A694" s="7" t="s">
        <v>2264</v>
      </c>
      <c r="B694" t="str">
        <f t="shared" si="112"/>
        <v>VSEH IV кв. 2021</v>
      </c>
      <c r="C694">
        <v>2021</v>
      </c>
      <c r="D694">
        <f>SUMIFS(Дивиденды!$C:$C,Дивиденды!$A:$A,A694,Дивиденды!$I:$I,C694)</f>
        <v>0</v>
      </c>
      <c r="E694">
        <v>4</v>
      </c>
      <c r="F694">
        <f t="shared" si="113"/>
        <v>0</v>
      </c>
      <c r="G694">
        <f t="shared" si="114"/>
        <v>31.931428571428572</v>
      </c>
      <c r="H694">
        <f t="shared" si="115"/>
        <v>0</v>
      </c>
      <c r="I694">
        <f t="shared" si="122"/>
        <v>0.2857142857142857</v>
      </c>
      <c r="J694">
        <f t="shared" si="116"/>
        <v>0</v>
      </c>
      <c r="K694">
        <f t="shared" si="120"/>
        <v>0.1975016604235505</v>
      </c>
      <c r="L694">
        <f t="shared" si="117"/>
        <v>0</v>
      </c>
      <c r="M694">
        <f t="shared" si="121"/>
        <v>0.21428571428571427</v>
      </c>
      <c r="N694">
        <f t="shared" si="118"/>
        <v>0</v>
      </c>
      <c r="O694">
        <f t="shared" si="119"/>
        <v>7.1428571428571425E-2</v>
      </c>
      <c r="P694" t="str">
        <f>IFERROR(LN('Дивиденды по годам'!I694),"")</f>
        <v/>
      </c>
      <c r="Q694" t="str">
        <f>IFERROR('Дивиденды по годам'!G694/'Дивиденды по годам'!I694, "")</f>
        <v/>
      </c>
      <c r="R694" t="str">
        <f>IFERROR(IF(AND('Дивиденды по годам'!N694&lt;&gt;"",'Дивиденды по годам'!U694&lt;&gt;"",'Дивиденды по годам'!U694&lt;&gt;0),'Дивиденды по годам'!N694/'Дивиденды по годам'!U694-1,""),"")</f>
        <v/>
      </c>
      <c r="S694" t="str">
        <f>IFERROR(IF(AND('Дивиденды по годам'!L694&lt;&gt;"",'Дивиденды по годам'!I694&lt;&gt;"",'Дивиденды по годам'!J694&lt;&gt;"",'Дивиденды по годам'!K694&lt;&gt;"",('Дивиденды по годам'!I694-'Дивиденды по годам'!J694-'Дивиденды по годам'!K694)&lt;&gt;0),'Дивиденды по годам'!L694/('Дивиденды по годам'!I694-'Дивиденды по годам'!J694-'Дивиденды по годам'!K694),""),"")</f>
        <v/>
      </c>
      <c r="T694" t="str">
        <f>IFERROR(IF(AND('Дивиденды по годам'!Q694&lt;&gt;"",'Дивиденды по годам'!I694&lt;&gt;"",'Дивиденды по годам'!V694&lt;&gt;"",('Дивиденды по годам'!I694+'Дивиденды по годам'!V694)&lt;&gt;0),'Дивиденды по годам'!Q694/(('Дивиденды по годам'!I694+'Дивиденды по годам'!V694)/2),""),"")</f>
        <v/>
      </c>
      <c r="U694" t="str">
        <f>IFERROR(IF(AND('Дивиденды по годам'!J694&lt;&gt;"",'Дивиденды по годам'!K694&lt;&gt;"",'Дивиденды по годам'!M694&lt;&gt;"",'Дивиденды по годам'!M694&lt;&gt;0),('Дивиденды по годам'!J694+'Дивиденды по годам'!K694)/'Дивиденды по годам'!M694,""),"")</f>
        <v/>
      </c>
      <c r="V694" cm="1">
        <f t="array" ref="V694">IFERROR(AVERAGE(_xlfn._xlws.FILTER(P$2:P$1073,($C$2:$C$1073=$C694)*($E$2:$E$1073=$E694)*(ROW(P$2:P$1073)&lt;&gt;ROW(P694))*(P$2:P$1073&lt;&gt;""))),"")</f>
        <v>25.187970188534305</v>
      </c>
      <c r="W694" cm="1">
        <f t="array" ref="W694">IFERROR(AVERAGE(_xlfn._xlws.FILTER(Q$2:Q$1073,($C$2:$C$1073=$C694)*($E$2:$E$1073=$E694)*(ROW(Q$2:Q$1073)&lt;&gt;ROW(Q694))*(Q$2:Q$1073&lt;&gt;""))),"")</f>
        <v>0.2352592803713329</v>
      </c>
      <c r="X694" cm="1">
        <f t="array" ref="X694">IFERROR(AVERAGE(_xlfn._xlws.FILTER(R$2:R$1073,($C$2:$C$1073=$C694)*($E$2:$E$1073=$E694)*(ROW(R$2:R$1073)&lt;&gt;ROW(R694))*(R$2:R$1073&lt;&gt;""))),"")</f>
        <v>0.31760921072336168</v>
      </c>
      <c r="Y694" cm="1">
        <f t="array" ref="Y694">IFERROR(AVERAGE(_xlfn._xlws.FILTER(S$2:S$1073,($C$2:$C$1073=$C694)*($E$2:$E$1073=$E694)*(ROW(S$2:S$1073)&lt;&gt;ROW(S694))*(S$2:S$1073&lt;&gt;""))),"")</f>
        <v>1.3221729101020838</v>
      </c>
      <c r="Z694" cm="1">
        <f t="array" ref="Z694">IFERROR(AVERAGE(_xlfn._xlws.FILTER(T$2:T$1073,($C$2:$C$1073=$C694)*($E$2:$E$1073=$E694)*(ROW(T$2:T$1073)&lt;&gt;ROW(T694))*(T$2:T$1073&lt;&gt;""))),"")</f>
        <v>0.10239490834794492</v>
      </c>
      <c r="AA694" cm="1">
        <f t="array" ref="AA694">IFERROR(AVERAGE(_xlfn._xlws.FILTER(U$2:U$1073,($C$2:$C$1073=$C694)*($E$2:$E$1073=$E694)*(ROW(U$2:U$1073)&lt;&gt;ROW(U694))*(U$2:U$1073&lt;&gt;""))),"")</f>
        <v>16.93709324549495</v>
      </c>
    </row>
    <row r="695" spans="1:27" x14ac:dyDescent="0.2">
      <c r="A695" s="7" t="s">
        <v>2264</v>
      </c>
      <c r="B695" t="str">
        <f t="shared" si="112"/>
        <v>VSEH IV кв. 2020</v>
      </c>
      <c r="C695">
        <v>2020</v>
      </c>
      <c r="D695">
        <f>SUMIFS(Дивиденды!$C:$C,Дивиденды!$A:$A,A695,Дивиденды!$I:$I,C695)</f>
        <v>0</v>
      </c>
      <c r="E695">
        <v>4</v>
      </c>
      <c r="F695">
        <f t="shared" si="113"/>
        <v>0</v>
      </c>
      <c r="G695">
        <f t="shared" si="114"/>
        <v>43.293571428571433</v>
      </c>
      <c r="H695">
        <f t="shared" si="115"/>
        <v>0</v>
      </c>
      <c r="I695">
        <f t="shared" si="122"/>
        <v>0.2857142857142857</v>
      </c>
      <c r="J695">
        <f t="shared" si="116"/>
        <v>0</v>
      </c>
      <c r="K695">
        <f t="shared" si="120"/>
        <v>0.26831617204892738</v>
      </c>
      <c r="L695">
        <f t="shared" si="117"/>
        <v>0</v>
      </c>
      <c r="M695">
        <f t="shared" si="121"/>
        <v>0.2857142857142857</v>
      </c>
      <c r="N695">
        <f t="shared" si="118"/>
        <v>0</v>
      </c>
      <c r="O695">
        <f t="shared" si="119"/>
        <v>0</v>
      </c>
      <c r="P695" t="str">
        <f>IFERROR(LN('Дивиденды по годам'!I695),"")</f>
        <v/>
      </c>
      <c r="Q695" t="str">
        <f>IFERROR('Дивиденды по годам'!G695/'Дивиденды по годам'!I695, "")</f>
        <v/>
      </c>
      <c r="R695" t="str">
        <f>IFERROR(IF(AND('Дивиденды по годам'!N695&lt;&gt;"",'Дивиденды по годам'!U695&lt;&gt;"",'Дивиденды по годам'!U695&lt;&gt;0),'Дивиденды по годам'!N695/'Дивиденды по годам'!U695-1,""),"")</f>
        <v/>
      </c>
      <c r="S695" t="str">
        <f>IFERROR(IF(AND('Дивиденды по годам'!L695&lt;&gt;"",'Дивиденды по годам'!I695&lt;&gt;"",'Дивиденды по годам'!J695&lt;&gt;"",'Дивиденды по годам'!K695&lt;&gt;"",('Дивиденды по годам'!I695-'Дивиденды по годам'!J695-'Дивиденды по годам'!K695)&lt;&gt;0),'Дивиденды по годам'!L695/('Дивиденды по годам'!I695-'Дивиденды по годам'!J695-'Дивиденды по годам'!K695),""),"")</f>
        <v/>
      </c>
      <c r="T695" t="str">
        <f>IFERROR(IF(AND('Дивиденды по годам'!Q695&lt;&gt;"",'Дивиденды по годам'!I695&lt;&gt;"",'Дивиденды по годам'!V695&lt;&gt;"",('Дивиденды по годам'!I695+'Дивиденды по годам'!V695)&lt;&gt;0),'Дивиденды по годам'!Q695/(('Дивиденды по годам'!I695+'Дивиденды по годам'!V695)/2),""),"")</f>
        <v/>
      </c>
      <c r="U695" t="str">
        <f>IFERROR(IF(AND('Дивиденды по годам'!J695&lt;&gt;"",'Дивиденды по годам'!K695&lt;&gt;"",'Дивиденды по годам'!M695&lt;&gt;"",'Дивиденды по годам'!M695&lt;&gt;0),('Дивиденды по годам'!J695+'Дивиденды по годам'!K695)/'Дивиденды по годам'!M695,""),"")</f>
        <v/>
      </c>
      <c r="V695" cm="1">
        <f t="array" ref="V695">IFERROR(AVERAGE(_xlfn._xlws.FILTER(P$2:P$1073,($C$2:$C$1073=$C695)*($E$2:$E$1073=$E695)*(ROW(P$2:P$1073)&lt;&gt;ROW(P695))*(P$2:P$1073&lt;&gt;""))),"")</f>
        <v>25.279360907920736</v>
      </c>
      <c r="W695" cm="1">
        <f t="array" ref="W695">IFERROR(AVERAGE(_xlfn._xlws.FILTER(Q$2:Q$1073,($C$2:$C$1073=$C695)*($E$2:$E$1073=$E695)*(ROW(Q$2:Q$1073)&lt;&gt;ROW(Q695))*(Q$2:Q$1073&lt;&gt;""))),"")</f>
        <v>0.26156752075221612</v>
      </c>
      <c r="X695" cm="1">
        <f t="array" ref="X695">IFERROR(AVERAGE(_xlfn._xlws.FILTER(R$2:R$1073,($C$2:$C$1073=$C695)*($E$2:$E$1073=$E695)*(ROW(R$2:R$1073)&lt;&gt;ROW(R695))*(R$2:R$1073&lt;&gt;""))),"")</f>
        <v>9.6830410579929804E-2</v>
      </c>
      <c r="Y695" cm="1">
        <f t="array" ref="Y695">IFERROR(AVERAGE(_xlfn._xlws.FILTER(S$2:S$1073,($C$2:$C$1073=$C695)*($E$2:$E$1073=$E695)*(ROW(S$2:S$1073)&lt;&gt;ROW(S695))*(S$2:S$1073&lt;&gt;""))),"")</f>
        <v>1.7199758573549004</v>
      </c>
      <c r="Z695" cm="1">
        <f t="array" ref="Z695">IFERROR(AVERAGE(_xlfn._xlws.FILTER(T$2:T$1073,($C$2:$C$1073=$C695)*($E$2:$E$1073=$E695)*(ROW(T$2:T$1073)&lt;&gt;ROW(T695))*(T$2:T$1073&lt;&gt;""))),"")</f>
        <v>6.7482119215201988E-2</v>
      </c>
      <c r="AA695" cm="1">
        <f t="array" ref="AA695">IFERROR(AVERAGE(_xlfn._xlws.FILTER(U$2:U$1073,($C$2:$C$1073=$C695)*($E$2:$E$1073=$E695)*(ROW(U$2:U$1073)&lt;&gt;ROW(U695))*(U$2:U$1073&lt;&gt;""))),"")</f>
        <v>-10.291341252885539</v>
      </c>
    </row>
    <row r="696" spans="1:27" x14ac:dyDescent="0.2">
      <c r="A696" s="7" t="s">
        <v>2264</v>
      </c>
      <c r="B696" t="str">
        <f t="shared" si="112"/>
        <v>VSEH IV кв. 2019</v>
      </c>
      <c r="C696">
        <v>2019</v>
      </c>
      <c r="D696">
        <f>SUMIFS(Дивиденды!$C:$C,Дивиденды!$A:$A,A696,Дивиденды!$I:$I,C696)</f>
        <v>0</v>
      </c>
      <c r="E696">
        <v>4</v>
      </c>
      <c r="F696">
        <f t="shared" si="113"/>
        <v>0</v>
      </c>
      <c r="G696">
        <f t="shared" si="114"/>
        <v>24.398571428571426</v>
      </c>
      <c r="H696">
        <f t="shared" si="115"/>
        <v>0</v>
      </c>
      <c r="I696">
        <f t="shared" si="122"/>
        <v>0.21428571428571427</v>
      </c>
      <c r="J696">
        <f t="shared" si="116"/>
        <v>0</v>
      </c>
      <c r="K696">
        <f t="shared" si="120"/>
        <v>0.10876410731109194</v>
      </c>
      <c r="L696">
        <f t="shared" si="117"/>
        <v>0</v>
      </c>
      <c r="M696">
        <f t="shared" si="121"/>
        <v>0.21428571428571427</v>
      </c>
      <c r="N696">
        <f t="shared" si="118"/>
        <v>0</v>
      </c>
      <c r="O696">
        <f t="shared" si="119"/>
        <v>0</v>
      </c>
      <c r="P696" t="str">
        <f>IFERROR(LN('Дивиденды по годам'!I696),"")</f>
        <v/>
      </c>
      <c r="Q696" t="str">
        <f>IFERROR('Дивиденды по годам'!G696/'Дивиденды по годам'!I696, "")</f>
        <v/>
      </c>
      <c r="R696" t="str">
        <f>IFERROR(IF(AND('Дивиденды по годам'!N696&lt;&gt;"",'Дивиденды по годам'!U696&lt;&gt;"",'Дивиденды по годам'!U696&lt;&gt;0),'Дивиденды по годам'!N696/'Дивиденды по годам'!U696-1,""),"")</f>
        <v/>
      </c>
      <c r="S696" t="str">
        <f>IFERROR(IF(AND('Дивиденды по годам'!L696&lt;&gt;"",'Дивиденды по годам'!I696&lt;&gt;"",'Дивиденды по годам'!J696&lt;&gt;"",'Дивиденды по годам'!K696&lt;&gt;"",('Дивиденды по годам'!I696-'Дивиденды по годам'!J696-'Дивиденды по годам'!K696)&lt;&gt;0),'Дивиденды по годам'!L696/('Дивиденды по годам'!I696-'Дивиденды по годам'!J696-'Дивиденды по годам'!K696),""),"")</f>
        <v/>
      </c>
      <c r="T696" t="str">
        <f>IFERROR(IF(AND('Дивиденды по годам'!Q696&lt;&gt;"",'Дивиденды по годам'!I696&lt;&gt;"",'Дивиденды по годам'!V696&lt;&gt;"",('Дивиденды по годам'!I696+'Дивиденды по годам'!V696)&lt;&gt;0),'Дивиденды по годам'!Q696/(('Дивиденды по годам'!I696+'Дивиденды по годам'!V696)/2),""),"")</f>
        <v/>
      </c>
      <c r="U696" t="str">
        <f>IFERROR(IF(AND('Дивиденды по годам'!J696&lt;&gt;"",'Дивиденды по годам'!K696&lt;&gt;"",'Дивиденды по годам'!M696&lt;&gt;"",'Дивиденды по годам'!M696&lt;&gt;0),('Дивиденды по годам'!J696+'Дивиденды по годам'!K696)/'Дивиденды по годам'!M696,""),"")</f>
        <v/>
      </c>
      <c r="V696" cm="1">
        <f t="array" ref="V696">IFERROR(AVERAGE(_xlfn._xlws.FILTER(P$2:P$1073,($C$2:$C$1073=$C696)*($E$2:$E$1073=$E696)*(ROW(P$2:P$1073)&lt;&gt;ROW(P696))*(P$2:P$1073&lt;&gt;""))),"")</f>
        <v>25.116045651461882</v>
      </c>
      <c r="W696" cm="1">
        <f t="array" ref="W696">IFERROR(AVERAGE(_xlfn._xlws.FILTER(Q$2:Q$1073,($C$2:$C$1073=$C696)*($E$2:$E$1073=$E696)*(ROW(Q$2:Q$1073)&lt;&gt;ROW(Q696))*(Q$2:Q$1073&lt;&gt;""))),"")</f>
        <v>0.27081451761564085</v>
      </c>
      <c r="X696" cm="1">
        <f t="array" ref="X696">IFERROR(AVERAGE(_xlfn._xlws.FILTER(R$2:R$1073,($C$2:$C$1073=$C696)*($E$2:$E$1073=$E696)*(ROW(R$2:R$1073)&lt;&gt;ROW(R696))*(R$2:R$1073&lt;&gt;""))),"")</f>
        <v>0.41255485917491075</v>
      </c>
      <c r="Y696" cm="1">
        <f t="array" ref="Y696">IFERROR(AVERAGE(_xlfn._xlws.FILTER(S$2:S$1073,($C$2:$C$1073=$C696)*($E$2:$E$1073=$E696)*(ROW(S$2:S$1073)&lt;&gt;ROW(S696))*(S$2:S$1073&lt;&gt;""))),"")</f>
        <v>0.89707160002220321</v>
      </c>
      <c r="Z696" cm="1">
        <f t="array" ref="Z696">IFERROR(AVERAGE(_xlfn._xlws.FILTER(T$2:T$1073,($C$2:$C$1073=$C696)*($E$2:$E$1073=$E696)*(ROW(T$2:T$1073)&lt;&gt;ROW(T696))*(T$2:T$1073&lt;&gt;""))),"")</f>
        <v>4.8479450567785541E-2</v>
      </c>
      <c r="AA696" cm="1">
        <f t="array" ref="AA696">IFERROR(AVERAGE(_xlfn._xlws.FILTER(U$2:U$1073,($C$2:$C$1073=$C696)*($E$2:$E$1073=$E696)*(ROW(U$2:U$1073)&lt;&gt;ROW(U696))*(U$2:U$1073&lt;&gt;""))),"")</f>
        <v>-2.6443211935212805</v>
      </c>
    </row>
    <row r="697" spans="1:27" x14ac:dyDescent="0.2">
      <c r="A697" s="7" t="s">
        <v>2264</v>
      </c>
      <c r="B697" t="str">
        <f t="shared" si="112"/>
        <v>VSEH IV кв. 2018</v>
      </c>
      <c r="C697">
        <v>2018</v>
      </c>
      <c r="D697">
        <f>SUMIFS(Дивиденды!$C:$C,Дивиденды!$A:$A,A697,Дивиденды!$I:$I,C697)</f>
        <v>0</v>
      </c>
      <c r="E697">
        <v>4</v>
      </c>
      <c r="F697">
        <f t="shared" si="113"/>
        <v>0</v>
      </c>
      <c r="G697">
        <f t="shared" si="114"/>
        <v>21.978571428571428</v>
      </c>
      <c r="H697">
        <f t="shared" si="115"/>
        <v>0</v>
      </c>
      <c r="I697">
        <f t="shared" si="122"/>
        <v>0.14285714285714285</v>
      </c>
      <c r="J697">
        <f t="shared" si="116"/>
        <v>0</v>
      </c>
      <c r="K697">
        <f t="shared" si="120"/>
        <v>-1.8223065562117002E-2</v>
      </c>
      <c r="L697">
        <f t="shared" si="117"/>
        <v>0</v>
      </c>
      <c r="M697">
        <f t="shared" si="121"/>
        <v>7.1428571428571425E-2</v>
      </c>
      <c r="N697">
        <f t="shared" si="118"/>
        <v>0</v>
      </c>
      <c r="O697">
        <f t="shared" si="119"/>
        <v>7.1428571428571425E-2</v>
      </c>
      <c r="P697" t="str">
        <f>IFERROR(LN('Дивиденды по годам'!I697),"")</f>
        <v/>
      </c>
      <c r="Q697" t="str">
        <f>IFERROR('Дивиденды по годам'!G697/'Дивиденды по годам'!I697, "")</f>
        <v/>
      </c>
      <c r="R697" t="str">
        <f>IFERROR(IF(AND('Дивиденды по годам'!N697&lt;&gt;"",'Дивиденды по годам'!U697&lt;&gt;"",'Дивиденды по годам'!U697&lt;&gt;0),'Дивиденды по годам'!N697/'Дивиденды по годам'!U697-1,""),"")</f>
        <v/>
      </c>
      <c r="S697" t="str">
        <f>IFERROR(IF(AND('Дивиденды по годам'!L697&lt;&gt;"",'Дивиденды по годам'!I697&lt;&gt;"",'Дивиденды по годам'!J697&lt;&gt;"",'Дивиденды по годам'!K697&lt;&gt;"",('Дивиденды по годам'!I697-'Дивиденды по годам'!J697-'Дивиденды по годам'!K697)&lt;&gt;0),'Дивиденды по годам'!L697/('Дивиденды по годам'!I697-'Дивиденды по годам'!J697-'Дивиденды по годам'!K697),""),"")</f>
        <v/>
      </c>
      <c r="T697" t="str">
        <f>IFERROR(IF(AND('Дивиденды по годам'!Q697&lt;&gt;"",'Дивиденды по годам'!I697&lt;&gt;"",'Дивиденды по годам'!V697&lt;&gt;"",('Дивиденды по годам'!I697+'Дивиденды по годам'!V697)&lt;&gt;0),'Дивиденды по годам'!Q697/(('Дивиденды по годам'!I697+'Дивиденды по годам'!V697)/2),""),"")</f>
        <v/>
      </c>
      <c r="U697" t="str">
        <f>IFERROR(IF(AND('Дивиденды по годам'!J697&lt;&gt;"",'Дивиденды по годам'!K697&lt;&gt;"",'Дивиденды по годам'!M697&lt;&gt;"",'Дивиденды по годам'!M697&lt;&gt;0),('Дивиденды по годам'!J697+'Дивиденды по годам'!K697)/'Дивиденды по годам'!M697,""),"")</f>
        <v/>
      </c>
      <c r="V697" cm="1">
        <f t="array" ref="V697">IFERROR(AVERAGE(_xlfn._xlws.FILTER(P$2:P$1073,($C$2:$C$1073=$C697)*($E$2:$E$1073=$E697)*(ROW(P$2:P$1073)&lt;&gt;ROW(P697))*(P$2:P$1073&lt;&gt;""))),"")</f>
        <v>24.908270704496481</v>
      </c>
      <c r="W697" cm="1">
        <f t="array" ref="W697">IFERROR(AVERAGE(_xlfn._xlws.FILTER(Q$2:Q$1073,($C$2:$C$1073=$C697)*($E$2:$E$1073=$E697)*(ROW(Q$2:Q$1073)&lt;&gt;ROW(Q697))*(Q$2:Q$1073&lt;&gt;""))),"")</f>
        <v>0.31629947227527405</v>
      </c>
      <c r="X697" cm="1">
        <f t="array" ref="X697">IFERROR(AVERAGE(_xlfn._xlws.FILTER(R$2:R$1073,($C$2:$C$1073=$C697)*($E$2:$E$1073=$E697)*(ROW(R$2:R$1073)&lt;&gt;ROW(R697))*(R$2:R$1073&lt;&gt;""))),"")</f>
        <v>5.6638288450543382E-2</v>
      </c>
      <c r="Y697" cm="1">
        <f t="array" ref="Y697">IFERROR(AVERAGE(_xlfn._xlws.FILTER(S$2:S$1073,($C$2:$C$1073=$C697)*($E$2:$E$1073=$E697)*(ROW(S$2:S$1073)&lt;&gt;ROW(S697))*(S$2:S$1073&lt;&gt;""))),"")</f>
        <v>0.64427650310006845</v>
      </c>
      <c r="Z697" cm="1">
        <f t="array" ref="Z697">IFERROR(AVERAGE(_xlfn._xlws.FILTER(T$2:T$1073,($C$2:$C$1073=$C697)*($E$2:$E$1073=$E697)*(ROW(T$2:T$1073)&lt;&gt;ROW(T697))*(T$2:T$1073&lt;&gt;""))),"")</f>
        <v>7.1418821660913928E-3</v>
      </c>
      <c r="AA697" cm="1">
        <f t="array" ref="AA697">IFERROR(AVERAGE(_xlfn._xlws.FILTER(U$2:U$1073,($C$2:$C$1073=$C697)*($E$2:$E$1073=$E697)*(ROW(U$2:U$1073)&lt;&gt;ROW(U697))*(U$2:U$1073&lt;&gt;""))),"")</f>
        <v>1.0767813683356515</v>
      </c>
    </row>
    <row r="698" spans="1:27" x14ac:dyDescent="0.2">
      <c r="A698" s="7" t="s">
        <v>2264</v>
      </c>
      <c r="B698" t="str">
        <f t="shared" si="112"/>
        <v>VSEH IV кв. 2017</v>
      </c>
      <c r="C698">
        <v>2017</v>
      </c>
      <c r="D698">
        <f>SUMIFS(Дивиденды!$C:$C,Дивиденды!$A:$A,A698,Дивиденды!$I:$I,C698)</f>
        <v>0</v>
      </c>
      <c r="E698">
        <v>4</v>
      </c>
      <c r="F698">
        <f t="shared" si="113"/>
        <v>0</v>
      </c>
      <c r="G698">
        <f t="shared" si="114"/>
        <v>18.403571428571428</v>
      </c>
      <c r="H698">
        <f t="shared" si="115"/>
        <v>0</v>
      </c>
      <c r="I698">
        <f t="shared" si="122"/>
        <v>0.14285714285714285</v>
      </c>
      <c r="J698">
        <f t="shared" si="116"/>
        <v>0</v>
      </c>
      <c r="K698">
        <f t="shared" si="120"/>
        <v>-1.7352821773673279E-2</v>
      </c>
      <c r="L698">
        <f t="shared" si="117"/>
        <v>0</v>
      </c>
      <c r="M698">
        <f t="shared" si="121"/>
        <v>0</v>
      </c>
      <c r="N698">
        <f t="shared" si="118"/>
        <v>0</v>
      </c>
      <c r="O698">
        <f t="shared" si="119"/>
        <v>0.14285714285714285</v>
      </c>
      <c r="P698" t="str">
        <f>IFERROR(LN('Дивиденды по годам'!I698),"")</f>
        <v/>
      </c>
      <c r="Q698" t="str">
        <f>IFERROR('Дивиденды по годам'!G698/'Дивиденды по годам'!I698, "")</f>
        <v/>
      </c>
      <c r="R698" t="str">
        <f>IFERROR(IF(AND('Дивиденды по годам'!N698&lt;&gt;"",'Дивиденды по годам'!U698&lt;&gt;"",'Дивиденды по годам'!U698&lt;&gt;0),'Дивиденды по годам'!N698/'Дивиденды по годам'!U698-1,""),"")</f>
        <v/>
      </c>
      <c r="S698" t="str">
        <f>IFERROR(IF(AND('Дивиденды по годам'!L698&lt;&gt;"",'Дивиденды по годам'!I698&lt;&gt;"",'Дивиденды по годам'!J698&lt;&gt;"",'Дивиденды по годам'!K698&lt;&gt;"",('Дивиденды по годам'!I698-'Дивиденды по годам'!J698-'Дивиденды по годам'!K698)&lt;&gt;0),'Дивиденды по годам'!L698/('Дивиденды по годам'!I698-'Дивиденды по годам'!J698-'Дивиденды по годам'!K698),""),"")</f>
        <v/>
      </c>
      <c r="T698" t="str">
        <f>IFERROR(IF(AND('Дивиденды по годам'!Q698&lt;&gt;"",'Дивиденды по годам'!I698&lt;&gt;"",'Дивиденды по годам'!V698&lt;&gt;"",('Дивиденды по годам'!I698+'Дивиденды по годам'!V698)&lt;&gt;0),'Дивиденды по годам'!Q698/(('Дивиденды по годам'!I698+'Дивиденды по годам'!V698)/2),""),"")</f>
        <v/>
      </c>
      <c r="U698" t="str">
        <f>IFERROR(IF(AND('Дивиденды по годам'!J698&lt;&gt;"",'Дивиденды по годам'!K698&lt;&gt;"",'Дивиденды по годам'!M698&lt;&gt;"",'Дивиденды по годам'!M698&lt;&gt;0),('Дивиденды по годам'!J698+'Дивиденды по годам'!K698)/'Дивиденды по годам'!M698,""),"")</f>
        <v/>
      </c>
      <c r="V698" cm="1">
        <f t="array" ref="V698">IFERROR(AVERAGE(_xlfn._xlws.FILTER(P$2:P$1073,($C$2:$C$1073=$C698)*($E$2:$E$1073=$E698)*(ROW(P$2:P$1073)&lt;&gt;ROW(P698))*(P$2:P$1073&lt;&gt;""))),"")</f>
        <v>24.73571056544559</v>
      </c>
      <c r="W698" cm="1">
        <f t="array" ref="W698">IFERROR(AVERAGE(_xlfn._xlws.FILTER(Q$2:Q$1073,($C$2:$C$1073=$C698)*($E$2:$E$1073=$E698)*(ROW(Q$2:Q$1073)&lt;&gt;ROW(Q698))*(Q$2:Q$1073&lt;&gt;""))),"")</f>
        <v>0.33981210980429821</v>
      </c>
      <c r="X698" cm="1">
        <f t="array" ref="X698">IFERROR(AVERAGE(_xlfn._xlws.FILTER(R$2:R$1073,($C$2:$C$1073=$C698)*($E$2:$E$1073=$E698)*(ROW(R$2:R$1073)&lt;&gt;ROW(R698))*(R$2:R$1073&lt;&gt;""))),"")</f>
        <v>0.23691718521625563</v>
      </c>
      <c r="Y698" cm="1">
        <f t="array" ref="Y698">IFERROR(AVERAGE(_xlfn._xlws.FILTER(S$2:S$1073,($C$2:$C$1073=$C698)*($E$2:$E$1073=$E698)*(ROW(S$2:S$1073)&lt;&gt;ROW(S698))*(S$2:S$1073&lt;&gt;""))),"")</f>
        <v>0.61774629406594017</v>
      </c>
      <c r="Z698" cm="1">
        <f t="array" ref="Z698">IFERROR(AVERAGE(_xlfn._xlws.FILTER(T$2:T$1073,($C$2:$C$1073=$C698)*($E$2:$E$1073=$E698)*(ROW(T$2:T$1073)&lt;&gt;ROW(T698))*(T$2:T$1073&lt;&gt;""))),"")</f>
        <v>-2.7044382152168867E-2</v>
      </c>
      <c r="AA698" cm="1">
        <f t="array" ref="AA698">IFERROR(AVERAGE(_xlfn._xlws.FILTER(U$2:U$1073,($C$2:$C$1073=$C698)*($E$2:$E$1073=$E698)*(ROW(U$2:U$1073)&lt;&gt;ROW(U698))*(U$2:U$1073&lt;&gt;""))),"")</f>
        <v>0.62620703107195774</v>
      </c>
    </row>
    <row r="699" spans="1:27" x14ac:dyDescent="0.2">
      <c r="A699" s="7" t="s">
        <v>2264</v>
      </c>
      <c r="B699" t="str">
        <f t="shared" si="112"/>
        <v>VSEH IV кв. 2016</v>
      </c>
      <c r="C699">
        <v>2016</v>
      </c>
      <c r="D699">
        <f>SUMIFS(Дивиденды!$C:$C,Дивиденды!$A:$A,A699,Дивиденды!$I:$I,C699)</f>
        <v>0</v>
      </c>
      <c r="E699">
        <v>4</v>
      </c>
      <c r="F699">
        <f t="shared" si="113"/>
        <v>0</v>
      </c>
      <c r="G699">
        <f t="shared" si="114"/>
        <v>20.421428571428571</v>
      </c>
      <c r="H699">
        <f t="shared" si="115"/>
        <v>0</v>
      </c>
      <c r="I699">
        <f t="shared" si="122"/>
        <v>0.14285714285714285</v>
      </c>
      <c r="J699">
        <f t="shared" si="116"/>
        <v>0</v>
      </c>
      <c r="K699">
        <f t="shared" si="120"/>
        <v>2.0593461763560781E-2</v>
      </c>
      <c r="L699">
        <f t="shared" si="117"/>
        <v>0</v>
      </c>
      <c r="M699">
        <f t="shared" si="121"/>
        <v>7.1428571428571425E-2</v>
      </c>
      <c r="N699">
        <f t="shared" si="118"/>
        <v>0</v>
      </c>
      <c r="O699">
        <f t="shared" si="119"/>
        <v>7.1428571428571425E-2</v>
      </c>
      <c r="P699" t="str">
        <f>IFERROR(LN('Дивиденды по годам'!I699),"")</f>
        <v/>
      </c>
      <c r="Q699" t="str">
        <f>IFERROR('Дивиденды по годам'!G699/'Дивиденды по годам'!I699, "")</f>
        <v/>
      </c>
      <c r="R699" t="str">
        <f>IFERROR(IF(AND('Дивиденды по годам'!N699&lt;&gt;"",'Дивиденды по годам'!U699&lt;&gt;"",'Дивиденды по годам'!U699&lt;&gt;0),'Дивиденды по годам'!N699/'Дивиденды по годам'!U699-1,""),"")</f>
        <v/>
      </c>
      <c r="S699" t="str">
        <f>IFERROR(IF(AND('Дивиденды по годам'!L699&lt;&gt;"",'Дивиденды по годам'!I699&lt;&gt;"",'Дивиденды по годам'!J699&lt;&gt;"",'Дивиденды по годам'!K699&lt;&gt;"",('Дивиденды по годам'!I699-'Дивиденды по годам'!J699-'Дивиденды по годам'!K699)&lt;&gt;0),'Дивиденды по годам'!L699/('Дивиденды по годам'!I699-'Дивиденды по годам'!J699-'Дивиденды по годам'!K699),""),"")</f>
        <v/>
      </c>
      <c r="T699" t="str">
        <f>IFERROR(IF(AND('Дивиденды по годам'!Q699&lt;&gt;"",'Дивиденды по годам'!I699&lt;&gt;"",'Дивиденды по годам'!V699&lt;&gt;"",('Дивиденды по годам'!I699+'Дивиденды по годам'!V699)&lt;&gt;0),'Дивиденды по годам'!Q699/(('Дивиденды по годам'!I699+'Дивиденды по годам'!V699)/2),""),"")</f>
        <v/>
      </c>
      <c r="U699" t="str">
        <f>IFERROR(IF(AND('Дивиденды по годам'!J699&lt;&gt;"",'Дивиденды по годам'!K699&lt;&gt;"",'Дивиденды по годам'!M699&lt;&gt;"",'Дивиденды по годам'!M699&lt;&gt;0),('Дивиденды по годам'!J699+'Дивиденды по годам'!K699)/'Дивиденды по годам'!M699,""),"")</f>
        <v/>
      </c>
      <c r="V699" cm="1">
        <f t="array" ref="V699">IFERROR(AVERAGE(_xlfn._xlws.FILTER(P$2:P$1073,($C$2:$C$1073=$C699)*($E$2:$E$1073=$E699)*(ROW(P$2:P$1073)&lt;&gt;ROW(P699))*(P$2:P$1073&lt;&gt;""))),"")</f>
        <v>24.55530958635584</v>
      </c>
      <c r="W699" cm="1">
        <f t="array" ref="W699">IFERROR(AVERAGE(_xlfn._xlws.FILTER(Q$2:Q$1073,($C$2:$C$1073=$C699)*($E$2:$E$1073=$E699)*(ROW(Q$2:Q$1073)&lt;&gt;ROW(Q699))*(Q$2:Q$1073&lt;&gt;""))),"")</f>
        <v>0.27878606899788128</v>
      </c>
      <c r="X699" cm="1">
        <f t="array" ref="X699">IFERROR(AVERAGE(_xlfn._xlws.FILTER(R$2:R$1073,($C$2:$C$1073=$C699)*($E$2:$E$1073=$E699)*(ROW(R$2:R$1073)&lt;&gt;ROW(R699))*(R$2:R$1073&lt;&gt;""))),"")</f>
        <v>0.16612325919082049</v>
      </c>
      <c r="Y699" cm="1">
        <f t="array" ref="Y699">IFERROR(AVERAGE(_xlfn._xlws.FILTER(S$2:S$1073,($C$2:$C$1073=$C699)*($E$2:$E$1073=$E699)*(ROW(S$2:S$1073)&lt;&gt;ROW(S699))*(S$2:S$1073&lt;&gt;""))),"")</f>
        <v>6.2178681719613929</v>
      </c>
      <c r="Z699" cm="1">
        <f t="array" ref="Z699">IFERROR(AVERAGE(_xlfn._xlws.FILTER(T$2:T$1073,($C$2:$C$1073=$C699)*($E$2:$E$1073=$E699)*(ROW(T$2:T$1073)&lt;&gt;ROW(T699))*(T$2:T$1073&lt;&gt;""))),"")</f>
        <v>-2.007011623977166E-2</v>
      </c>
      <c r="AA699" cm="1">
        <f t="array" ref="AA699">IFERROR(AVERAGE(_xlfn._xlws.FILTER(U$2:U$1073,($C$2:$C$1073=$C699)*($E$2:$E$1073=$E699)*(ROW(U$2:U$1073)&lt;&gt;ROW(U699))*(U$2:U$1073&lt;&gt;""))),"")</f>
        <v>-16.044507701133888</v>
      </c>
    </row>
    <row r="700" spans="1:27" x14ac:dyDescent="0.2">
      <c r="A700" s="7" t="s">
        <v>2264</v>
      </c>
      <c r="B700" t="str">
        <f t="shared" si="112"/>
        <v>VSEH IV кв. 2015</v>
      </c>
      <c r="C700">
        <v>2015</v>
      </c>
      <c r="D700">
        <f>SUMIFS(Дивиденды!$C:$C,Дивиденды!$A:$A,A700,Дивиденды!$I:$I,C700)</f>
        <v>0</v>
      </c>
      <c r="E700">
        <v>4</v>
      </c>
      <c r="F700">
        <f t="shared" si="113"/>
        <v>0</v>
      </c>
      <c r="G700">
        <f t="shared" si="114"/>
        <v>22.574999999999999</v>
      </c>
      <c r="H700">
        <f t="shared" si="115"/>
        <v>0</v>
      </c>
      <c r="I700">
        <f t="shared" si="122"/>
        <v>0.14285714285714285</v>
      </c>
      <c r="J700">
        <f t="shared" si="116"/>
        <v>0</v>
      </c>
      <c r="K700">
        <f t="shared" si="120"/>
        <v>6.1102189263868886E-2</v>
      </c>
      <c r="L700">
        <f t="shared" si="117"/>
        <v>0</v>
      </c>
      <c r="M700">
        <f t="shared" si="121"/>
        <v>7.1428571428571425E-2</v>
      </c>
      <c r="N700">
        <f t="shared" si="118"/>
        <v>0</v>
      </c>
      <c r="O700">
        <f t="shared" si="119"/>
        <v>7.1428571428571425E-2</v>
      </c>
      <c r="P700" t="str">
        <f>IFERROR(LN('Дивиденды по годам'!I700),"")</f>
        <v/>
      </c>
      <c r="Q700" t="str">
        <f>IFERROR('Дивиденды по годам'!G700/'Дивиденды по годам'!I700, "")</f>
        <v/>
      </c>
      <c r="R700" t="str">
        <f>IFERROR(IF(AND('Дивиденды по годам'!N700&lt;&gt;"",'Дивиденды по годам'!U700&lt;&gt;"",'Дивиденды по годам'!U700&lt;&gt;0),'Дивиденды по годам'!N700/'Дивиденды по годам'!U700-1,""),"")</f>
        <v/>
      </c>
      <c r="S700" t="str">
        <f>IFERROR(IF(AND('Дивиденды по годам'!L700&lt;&gt;"",'Дивиденды по годам'!I700&lt;&gt;"",'Дивиденды по годам'!J700&lt;&gt;"",'Дивиденды по годам'!K700&lt;&gt;"",('Дивиденды по годам'!I700-'Дивиденды по годам'!J700-'Дивиденды по годам'!K700)&lt;&gt;0),'Дивиденды по годам'!L700/('Дивиденды по годам'!I700-'Дивиденды по годам'!J700-'Дивиденды по годам'!K700),""),"")</f>
        <v/>
      </c>
      <c r="T700" t="str">
        <f>IFERROR(IF(AND('Дивиденды по годам'!Q700&lt;&gt;"",'Дивиденды по годам'!I700&lt;&gt;"",'Дивиденды по годам'!V700&lt;&gt;"",('Дивиденды по годам'!I700+'Дивиденды по годам'!V700)&lt;&gt;0),'Дивиденды по годам'!Q700/(('Дивиденды по годам'!I700+'Дивиденды по годам'!V700)/2),""),"")</f>
        <v/>
      </c>
      <c r="U700" t="str">
        <f>IFERROR(IF(AND('Дивиденды по годам'!J700&lt;&gt;"",'Дивиденды по годам'!K700&lt;&gt;"",'Дивиденды по годам'!M700&lt;&gt;"",'Дивиденды по годам'!M700&lt;&gt;0),('Дивиденды по годам'!J700+'Дивиденды по годам'!K700)/'Дивиденды по годам'!M700,""),"")</f>
        <v/>
      </c>
      <c r="V700" cm="1">
        <f t="array" ref="V700">IFERROR(AVERAGE(_xlfn._xlws.FILTER(P$2:P$1073,($C$2:$C$1073=$C700)*($E$2:$E$1073=$E700)*(ROW(P$2:P$1073)&lt;&gt;ROW(P700))*(P$2:P$1073&lt;&gt;""))),"")</f>
        <v>24.784857390248948</v>
      </c>
      <c r="W700" cm="1">
        <f t="array" ref="W700">IFERROR(AVERAGE(_xlfn._xlws.FILTER(Q$2:Q$1073,($C$2:$C$1073=$C700)*($E$2:$E$1073=$E700)*(ROW(Q$2:Q$1073)&lt;&gt;ROW(Q700))*(Q$2:Q$1073&lt;&gt;""))),"")</f>
        <v>0.29707306985497267</v>
      </c>
      <c r="X700" cm="1">
        <f t="array" ref="X700">IFERROR(AVERAGE(_xlfn._xlws.FILTER(R$2:R$1073,($C$2:$C$1073=$C700)*($E$2:$E$1073=$E700)*(ROW(R$2:R$1073)&lt;&gt;ROW(R700))*(R$2:R$1073&lt;&gt;""))),"")</f>
        <v>0.20074687596566593</v>
      </c>
      <c r="Y700" cm="1">
        <f t="array" ref="Y700">IFERROR(AVERAGE(_xlfn._xlws.FILTER(S$2:S$1073,($C$2:$C$1073=$C700)*($E$2:$E$1073=$E700)*(ROW(S$2:S$1073)&lt;&gt;ROW(S700))*(S$2:S$1073&lt;&gt;""))),"")</f>
        <v>-0.60736862679830428</v>
      </c>
      <c r="Z700" cm="1">
        <f t="array" ref="Z700">IFERROR(AVERAGE(_xlfn._xlws.FILTER(T$2:T$1073,($C$2:$C$1073=$C700)*($E$2:$E$1073=$E700)*(ROW(T$2:T$1073)&lt;&gt;ROW(T700))*(T$2:T$1073&lt;&gt;""))),"")</f>
        <v>6.4031956193225284E-2</v>
      </c>
      <c r="AA700" cm="1">
        <f t="array" ref="AA700">IFERROR(AVERAGE(_xlfn._xlws.FILTER(U$2:U$1073,($C$2:$C$1073=$C700)*($E$2:$E$1073=$E700)*(ROW(U$2:U$1073)&lt;&gt;ROW(U700))*(U$2:U$1073&lt;&gt;""))),"")</f>
        <v>5.5189604575277329</v>
      </c>
    </row>
    <row r="701" spans="1:27" x14ac:dyDescent="0.2">
      <c r="A701" s="7" t="s">
        <v>2264</v>
      </c>
      <c r="B701" t="str">
        <f t="shared" si="112"/>
        <v>VSEH IV кв. 2014</v>
      </c>
      <c r="C701">
        <v>2014</v>
      </c>
      <c r="D701">
        <f>SUMIFS(Дивиденды!$C:$C,Дивиденды!$A:$A,A701,Дивиденды!$I:$I,C701)</f>
        <v>0</v>
      </c>
      <c r="E701">
        <v>4</v>
      </c>
      <c r="F701">
        <f t="shared" si="113"/>
        <v>0</v>
      </c>
      <c r="G701">
        <f t="shared" si="114"/>
        <v>25.924285714285713</v>
      </c>
      <c r="H701">
        <f t="shared" si="115"/>
        <v>0</v>
      </c>
      <c r="I701">
        <f t="shared" si="122"/>
        <v>7.1428571428571425E-2</v>
      </c>
      <c r="J701">
        <f t="shared" si="116"/>
        <v>0</v>
      </c>
      <c r="K701">
        <f t="shared" si="120"/>
        <v>4.887635107293415E-2</v>
      </c>
      <c r="L701">
        <f t="shared" si="117"/>
        <v>0</v>
      </c>
      <c r="M701">
        <f t="shared" si="121"/>
        <v>7.1428571428571425E-2</v>
      </c>
      <c r="N701">
        <f t="shared" si="118"/>
        <v>0</v>
      </c>
      <c r="O701">
        <f t="shared" si="119"/>
        <v>7.1428571428571425E-2</v>
      </c>
      <c r="P701" t="str">
        <f>IFERROR(LN('Дивиденды по годам'!I701),"")</f>
        <v/>
      </c>
      <c r="Q701" t="str">
        <f>IFERROR('Дивиденды по годам'!G701/'Дивиденды по годам'!I701, "")</f>
        <v/>
      </c>
      <c r="R701" t="str">
        <f>IFERROR(IF(AND('Дивиденды по годам'!N701&lt;&gt;"",'Дивиденды по годам'!U701&lt;&gt;"",'Дивиденды по годам'!U701&lt;&gt;0),'Дивиденды по годам'!N701/'Дивиденды по годам'!U701-1,""),"")</f>
        <v/>
      </c>
      <c r="S701" t="str">
        <f>IFERROR(IF(AND('Дивиденды по годам'!L701&lt;&gt;"",'Дивиденды по годам'!I701&lt;&gt;"",'Дивиденды по годам'!J701&lt;&gt;"",'Дивиденды по годам'!K701&lt;&gt;"",('Дивиденды по годам'!I701-'Дивиденды по годам'!J701-'Дивиденды по годам'!K701)&lt;&gt;0),'Дивиденды по годам'!L701/('Дивиденды по годам'!I701-'Дивиденды по годам'!J701-'Дивиденды по годам'!K701),""),"")</f>
        <v/>
      </c>
      <c r="T701" t="str">
        <f>IFERROR(IF(AND('Дивиденды по годам'!Q701&lt;&gt;"",'Дивиденды по годам'!I701&lt;&gt;"",'Дивиденды по годам'!V701&lt;&gt;"",('Дивиденды по годам'!I701+'Дивиденды по годам'!V701)&lt;&gt;0),'Дивиденды по годам'!Q701/(('Дивиденды по годам'!I701+'Дивиденды по годам'!V701)/2),""),"")</f>
        <v/>
      </c>
      <c r="U701" t="str">
        <f>IFERROR(IF(AND('Дивиденды по годам'!J701&lt;&gt;"",'Дивиденды по годам'!K701&lt;&gt;"",'Дивиденды по годам'!M701&lt;&gt;"",'Дивиденды по годам'!M701&lt;&gt;0),('Дивиденды по годам'!J701+'Дивиденды по годам'!K701)/'Дивиденды по годам'!M701,""),"")</f>
        <v/>
      </c>
      <c r="V701" cm="1">
        <f t="array" ref="V701">IFERROR(AVERAGE(_xlfn._xlws.FILTER(P$2:P$1073,($C$2:$C$1073=$C701)*($E$2:$E$1073=$E701)*(ROW(P$2:P$1073)&lt;&gt;ROW(P701))*(P$2:P$1073&lt;&gt;""))),"")</f>
        <v>24.777851287837404</v>
      </c>
      <c r="W701" cm="1">
        <f t="array" ref="W701">IFERROR(AVERAGE(_xlfn._xlws.FILTER(Q$2:Q$1073,($C$2:$C$1073=$C701)*($E$2:$E$1073=$E701)*(ROW(Q$2:Q$1073)&lt;&gt;ROW(Q701))*(Q$2:Q$1073&lt;&gt;""))),"")</f>
        <v>0.28994951624266957</v>
      </c>
      <c r="X701" cm="1">
        <f t="array" ref="X701">IFERROR(AVERAGE(_xlfn._xlws.FILTER(R$2:R$1073,($C$2:$C$1073=$C701)*($E$2:$E$1073=$E701)*(ROW(R$2:R$1073)&lt;&gt;ROW(R701))*(R$2:R$1073&lt;&gt;""))),"")</f>
        <v>8.5517195784799244E-2</v>
      </c>
      <c r="Y701" cm="1">
        <f t="array" ref="Y701">IFERROR(AVERAGE(_xlfn._xlws.FILTER(S$2:S$1073,($C$2:$C$1073=$C701)*($E$2:$E$1073=$E701)*(ROW(S$2:S$1073)&lt;&gt;ROW(S701))*(S$2:S$1073&lt;&gt;""))),"")</f>
        <v>-8.9932559622525012</v>
      </c>
      <c r="Z701" cm="1">
        <f t="array" ref="Z701">IFERROR(AVERAGE(_xlfn._xlws.FILTER(T$2:T$1073,($C$2:$C$1073=$C701)*($E$2:$E$1073=$E701)*(ROW(T$2:T$1073)&lt;&gt;ROW(T701))*(T$2:T$1073&lt;&gt;""))),"")</f>
        <v>3.4958573241250623E-2</v>
      </c>
      <c r="AA701" cm="1">
        <f t="array" ref="AA701">IFERROR(AVERAGE(_xlfn._xlws.FILTER(U$2:U$1073,($C$2:$C$1073=$C701)*($E$2:$E$1073=$E701)*(ROW(U$2:U$1073)&lt;&gt;ROW(U701))*(U$2:U$1073&lt;&gt;""))),"")</f>
        <v>34.444280572958768</v>
      </c>
    </row>
    <row r="702" spans="1:27" x14ac:dyDescent="0.2">
      <c r="A702" s="7" t="s">
        <v>2264</v>
      </c>
      <c r="B702" t="str">
        <f t="shared" si="112"/>
        <v>VSEH IV кв. 2013</v>
      </c>
      <c r="C702">
        <v>2013</v>
      </c>
      <c r="D702">
        <f>SUMIFS(Дивиденды!$C:$C,Дивиденды!$A:$A,A702,Дивиденды!$I:$I,C702)</f>
        <v>0</v>
      </c>
      <c r="E702">
        <v>4</v>
      </c>
      <c r="F702">
        <f t="shared" si="113"/>
        <v>0</v>
      </c>
      <c r="G702">
        <f t="shared" si="114"/>
        <v>13.409285714285716</v>
      </c>
      <c r="H702">
        <f t="shared" si="115"/>
        <v>0</v>
      </c>
      <c r="I702">
        <f t="shared" si="122"/>
        <v>0.14285714285714285</v>
      </c>
      <c r="J702">
        <f t="shared" si="116"/>
        <v>0</v>
      </c>
      <c r="K702">
        <f t="shared" si="120"/>
        <v>4.7291245939064024E-2</v>
      </c>
      <c r="L702">
        <f t="shared" si="117"/>
        <v>0</v>
      </c>
      <c r="M702">
        <f t="shared" si="121"/>
        <v>7.1428571428571425E-2</v>
      </c>
      <c r="N702">
        <f t="shared" si="118"/>
        <v>0</v>
      </c>
      <c r="O702">
        <f t="shared" si="119"/>
        <v>0</v>
      </c>
      <c r="P702" t="str">
        <f>IFERROR(LN('Дивиденды по годам'!I702),"")</f>
        <v/>
      </c>
      <c r="Q702" t="str">
        <f>IFERROR('Дивиденды по годам'!G702/'Дивиденды по годам'!I702, "")</f>
        <v/>
      </c>
      <c r="R702" t="str">
        <f>IFERROR(IF(AND('Дивиденды по годам'!N702&lt;&gt;"",'Дивиденды по годам'!U702&lt;&gt;"",'Дивиденды по годам'!U702&lt;&gt;0),'Дивиденды по годам'!N702/'Дивиденды по годам'!U702-1,""),"")</f>
        <v/>
      </c>
      <c r="S702" t="str">
        <f>IFERROR(IF(AND('Дивиденды по годам'!L702&lt;&gt;"",'Дивиденды по годам'!I702&lt;&gt;"",'Дивиденды по годам'!J702&lt;&gt;"",'Дивиденды по годам'!K702&lt;&gt;"",('Дивиденды по годам'!I702-'Дивиденды по годам'!J702-'Дивиденды по годам'!K702)&lt;&gt;0),'Дивиденды по годам'!L702/('Дивиденды по годам'!I702-'Дивиденды по годам'!J702-'Дивиденды по годам'!K702),""),"")</f>
        <v/>
      </c>
      <c r="T702" t="str">
        <f>IFERROR(IF(AND('Дивиденды по годам'!Q702&lt;&gt;"",'Дивиденды по годам'!I702&lt;&gt;"",'Дивиденды по годам'!V702&lt;&gt;"",('Дивиденды по годам'!I702+'Дивиденды по годам'!V702)&lt;&gt;0),'Дивиденды по годам'!Q702/(('Дивиденды по годам'!I702+'Дивиденды по годам'!V702)/2),""),"")</f>
        <v/>
      </c>
      <c r="U702" t="str">
        <f>IFERROR(IF(AND('Дивиденды по годам'!J702&lt;&gt;"",'Дивиденды по годам'!K702&lt;&gt;"",'Дивиденды по годам'!M702&lt;&gt;"",'Дивиденды по годам'!M702&lt;&gt;0),('Дивиденды по годам'!J702+'Дивиденды по годам'!K702)/'Дивиденды по годам'!M702,""),"")</f>
        <v/>
      </c>
      <c r="V702" cm="1">
        <f t="array" ref="V702">IFERROR(AVERAGE(_xlfn._xlws.FILTER(P$2:P$1073,($C$2:$C$1073=$C702)*($E$2:$E$1073=$E702)*(ROW(P$2:P$1073)&lt;&gt;ROW(P702))*(P$2:P$1073&lt;&gt;""))),"")</f>
        <v>24.281308125321722</v>
      </c>
      <c r="W702" cm="1">
        <f t="array" ref="W702">IFERROR(AVERAGE(_xlfn._xlws.FILTER(Q$2:Q$1073,($C$2:$C$1073=$C702)*($E$2:$E$1073=$E702)*(ROW(Q$2:Q$1073)&lt;&gt;ROW(Q702))*(Q$2:Q$1073&lt;&gt;""))),"")</f>
        <v>0.34809372453666254</v>
      </c>
      <c r="X702" cm="1">
        <f t="array" ref="X702">IFERROR(AVERAGE(_xlfn._xlws.FILTER(R$2:R$1073,($C$2:$C$1073=$C702)*($E$2:$E$1073=$E702)*(ROW(R$2:R$1073)&lt;&gt;ROW(R702))*(R$2:R$1073&lt;&gt;""))),"")</f>
        <v>0.17531341667142472</v>
      </c>
      <c r="Y702" t="str" cm="1">
        <f t="array" ref="Y702">IFERROR(AVERAGE(_xlfn._xlws.FILTER(S$2:S$1073,($C$2:$C$1073=$C702)*($E$2:$E$1073=$E702)*(ROW(S$2:S$1073)&lt;&gt;ROW(S702))*(S$2:S$1073&lt;&gt;""))),"")</f>
        <v/>
      </c>
      <c r="Z702" cm="1">
        <f t="array" ref="Z702">IFERROR(AVERAGE(_xlfn._xlws.FILTER(T$2:T$1073,($C$2:$C$1073=$C702)*($E$2:$E$1073=$E702)*(ROW(T$2:T$1073)&lt;&gt;ROW(T702))*(T$2:T$1073&lt;&gt;""))),"")</f>
        <v>-0.12490141563278262</v>
      </c>
      <c r="AA702" cm="1">
        <f t="array" ref="AA702">IFERROR(AVERAGE(_xlfn._xlws.FILTER(U$2:U$1073,($C$2:$C$1073=$C702)*($E$2:$E$1073=$E702)*(ROW(U$2:U$1073)&lt;&gt;ROW(U702))*(U$2:U$1073&lt;&gt;""))),"")</f>
        <v>0.44566877182826042</v>
      </c>
    </row>
    <row r="703" spans="1:27" x14ac:dyDescent="0.2">
      <c r="A703" s="7" t="s">
        <v>2264</v>
      </c>
      <c r="B703" t="str">
        <f t="shared" si="112"/>
        <v>VSEH IV кв. 2012</v>
      </c>
      <c r="C703">
        <v>2012</v>
      </c>
      <c r="D703">
        <f>SUMIFS(Дивиденды!$C:$C,Дивиденды!$A:$A,A703,Дивиденды!$I:$I,C703)</f>
        <v>0</v>
      </c>
      <c r="E703">
        <v>4</v>
      </c>
      <c r="F703">
        <f t="shared" si="113"/>
        <v>0</v>
      </c>
      <c r="G703">
        <f t="shared" si="114"/>
        <v>9.5621428571428577</v>
      </c>
      <c r="H703">
        <f t="shared" si="115"/>
        <v>0</v>
      </c>
      <c r="I703">
        <f t="shared" si="122"/>
        <v>0.14285714285714285</v>
      </c>
      <c r="J703">
        <f t="shared" si="116"/>
        <v>0</v>
      </c>
      <c r="K703">
        <f t="shared" si="120"/>
        <v>0.25341100242975517</v>
      </c>
      <c r="L703">
        <f t="shared" si="117"/>
        <v>0</v>
      </c>
      <c r="M703">
        <f t="shared" si="121"/>
        <v>0.14285714285714285</v>
      </c>
      <c r="N703">
        <f t="shared" si="118"/>
        <v>0</v>
      </c>
      <c r="O703">
        <f t="shared" si="119"/>
        <v>0</v>
      </c>
      <c r="P703" t="str">
        <f>IFERROR(LN('Дивиденды по годам'!I703),"")</f>
        <v/>
      </c>
      <c r="Q703" t="str">
        <f>IFERROR('Дивиденды по годам'!G703/'Дивиденды по годам'!I703, "")</f>
        <v/>
      </c>
      <c r="R703" t="str">
        <f>IFERROR(IF(AND('Дивиденды по годам'!N703&lt;&gt;"",'Дивиденды по годам'!U703&lt;&gt;"",'Дивиденды по годам'!U703&lt;&gt;0),'Дивиденды по годам'!N703/'Дивиденды по годам'!U703-1,""),"")</f>
        <v/>
      </c>
      <c r="S703" t="str">
        <f>IFERROR(IF(AND('Дивиденды по годам'!L703&lt;&gt;"",'Дивиденды по годам'!I703&lt;&gt;"",'Дивиденды по годам'!J703&lt;&gt;"",'Дивиденды по годам'!K703&lt;&gt;"",('Дивиденды по годам'!I703-'Дивиденды по годам'!J703-'Дивиденды по годам'!K703)&lt;&gt;0),'Дивиденды по годам'!L703/('Дивиденды по годам'!I703-'Дивиденды по годам'!J703-'Дивиденды по годам'!K703),""),"")</f>
        <v/>
      </c>
      <c r="T703" t="str">
        <f>IFERROR(IF(AND('Дивиденды по годам'!Q703&lt;&gt;"",'Дивиденды по годам'!I703&lt;&gt;"",'Дивиденды по годам'!V703&lt;&gt;"",('Дивиденды по годам'!I703+'Дивиденды по годам'!V703)&lt;&gt;0),'Дивиденды по годам'!Q703/(('Дивиденды по годам'!I703+'Дивиденды по годам'!V703)/2),""),"")</f>
        <v/>
      </c>
      <c r="U703" t="str">
        <f>IFERROR(IF(AND('Дивиденды по годам'!J703&lt;&gt;"",'Дивиденды по годам'!K703&lt;&gt;"",'Дивиденды по годам'!M703&lt;&gt;"",'Дивиденды по годам'!M703&lt;&gt;0),('Дивиденды по годам'!J703+'Дивиденды по годам'!K703)/'Дивиденды по годам'!M703,""),"")</f>
        <v/>
      </c>
      <c r="V703" cm="1">
        <f t="array" ref="V703">IFERROR(AVERAGE(_xlfn._xlws.FILTER(P$2:P$1073,($C$2:$C$1073=$C703)*($E$2:$E$1073=$E703)*(ROW(P$2:P$1073)&lt;&gt;ROW(P703))*(P$2:P$1073&lt;&gt;""))),"")</f>
        <v>24.228370506718147</v>
      </c>
      <c r="W703" cm="1">
        <f t="array" ref="W703">IFERROR(AVERAGE(_xlfn._xlws.FILTER(Q$2:Q$1073,($C$2:$C$1073=$C703)*($E$2:$E$1073=$E703)*(ROW(Q$2:Q$1073)&lt;&gt;ROW(Q703))*(Q$2:Q$1073&lt;&gt;""))),"")</f>
        <v>0.2820560824162458</v>
      </c>
      <c r="X703" cm="1">
        <f t="array" ref="X703">IFERROR(AVERAGE(_xlfn._xlws.FILTER(R$2:R$1073,($C$2:$C$1073=$C703)*($E$2:$E$1073=$E703)*(ROW(R$2:R$1073)&lt;&gt;ROW(R703))*(R$2:R$1073&lt;&gt;""))),"")</f>
        <v>-2.2522357472477484E-2</v>
      </c>
      <c r="Y703" cm="1">
        <f t="array" ref="Y703">IFERROR(AVERAGE(_xlfn._xlws.FILTER(S$2:S$1073,($C$2:$C$1073=$C703)*($E$2:$E$1073=$E703)*(ROW(S$2:S$1073)&lt;&gt;ROW(S703))*(S$2:S$1073&lt;&gt;""))),"")</f>
        <v>-1.7651061513336963</v>
      </c>
      <c r="Z703" cm="1">
        <f t="array" ref="Z703">IFERROR(AVERAGE(_xlfn._xlws.FILTER(T$2:T$1073,($C$2:$C$1073=$C703)*($E$2:$E$1073=$E703)*(ROW(T$2:T$1073)&lt;&gt;ROW(T703))*(T$2:T$1073&lt;&gt;""))),"")</f>
        <v>6.8400459116201365E-2</v>
      </c>
      <c r="AA703" cm="1">
        <f t="array" ref="AA703">IFERROR(AVERAGE(_xlfn._xlws.FILTER(U$2:U$1073,($C$2:$C$1073=$C703)*($E$2:$E$1073=$E703)*(ROW(U$2:U$1073)&lt;&gt;ROW(U703))*(U$2:U$1073&lt;&gt;""))),"")</f>
        <v>-3.9631898894189463</v>
      </c>
    </row>
    <row r="704" spans="1:27" x14ac:dyDescent="0.2">
      <c r="A704" s="7" t="s">
        <v>2264</v>
      </c>
      <c r="B704" t="str">
        <f t="shared" si="112"/>
        <v>VSEH IV кв. 2011</v>
      </c>
      <c r="C704">
        <v>2011</v>
      </c>
      <c r="D704">
        <f>SUMIFS(Дивиденды!$C:$C,Дивиденды!$A:$A,A704,Дивиденды!$I:$I,C704)</f>
        <v>0</v>
      </c>
      <c r="E704">
        <v>4</v>
      </c>
      <c r="F704">
        <f t="shared" si="113"/>
        <v>0</v>
      </c>
      <c r="G704">
        <f t="shared" si="114"/>
        <v>1.6378571428571429</v>
      </c>
      <c r="H704">
        <f t="shared" si="115"/>
        <v>0</v>
      </c>
      <c r="I704">
        <f t="shared" si="122"/>
        <v>7.1428571428571425E-2</v>
      </c>
      <c r="J704">
        <f t="shared" si="116"/>
        <v>0</v>
      </c>
      <c r="K704">
        <f t="shared" si="120"/>
        <v>0.17786475320721892</v>
      </c>
      <c r="L704">
        <f t="shared" si="117"/>
        <v>0</v>
      </c>
      <c r="M704">
        <f t="shared" si="121"/>
        <v>7.1428571428571425E-2</v>
      </c>
      <c r="N704">
        <f t="shared" si="118"/>
        <v>0</v>
      </c>
      <c r="O704">
        <f t="shared" si="119"/>
        <v>0</v>
      </c>
      <c r="P704" t="str">
        <f>IFERROR(LN('Дивиденды по годам'!I704),"")</f>
        <v/>
      </c>
      <c r="Q704" t="str">
        <f>IFERROR('Дивиденды по годам'!G704/'Дивиденды по годам'!I704, "")</f>
        <v/>
      </c>
      <c r="R704" t="str">
        <f>IFERROR(IF(AND('Дивиденды по годам'!N704&lt;&gt;"",'Дивиденды по годам'!U704&lt;&gt;"",'Дивиденды по годам'!U704&lt;&gt;0),'Дивиденды по годам'!N704/'Дивиденды по годам'!U704-1,""),"")</f>
        <v/>
      </c>
      <c r="S704" t="str">
        <f>IFERROR(IF(AND('Дивиденды по годам'!L704&lt;&gt;"",'Дивиденды по годам'!I704&lt;&gt;"",'Дивиденды по годам'!J704&lt;&gt;"",'Дивиденды по годам'!K704&lt;&gt;"",('Дивиденды по годам'!I704-'Дивиденды по годам'!J704-'Дивиденды по годам'!K704)&lt;&gt;0),'Дивиденды по годам'!L704/('Дивиденды по годам'!I704-'Дивиденды по годам'!J704-'Дивиденды по годам'!K704),""),"")</f>
        <v/>
      </c>
      <c r="T704" t="str">
        <f>IFERROR(IF(AND('Дивиденды по годам'!Q704&lt;&gt;"",'Дивиденды по годам'!I704&lt;&gt;"",'Дивиденды по годам'!V704&lt;&gt;"",('Дивиденды по годам'!I704+'Дивиденды по годам'!V704)&lt;&gt;0),'Дивиденды по годам'!Q704/(('Дивиденды по годам'!I704+'Дивиденды по годам'!V704)/2),""),"")</f>
        <v/>
      </c>
      <c r="U704" t="str">
        <f>IFERROR(IF(AND('Дивиденды по годам'!J704&lt;&gt;"",'Дивиденды по годам'!K704&lt;&gt;"",'Дивиденды по годам'!M704&lt;&gt;"",'Дивиденды по годам'!M704&lt;&gt;0),('Дивиденды по годам'!J704+'Дивиденды по годам'!K704)/'Дивиденды по годам'!M704,""),"")</f>
        <v/>
      </c>
      <c r="V704" cm="1">
        <f t="array" ref="V704">IFERROR(AVERAGE(_xlfn._xlws.FILTER(P$2:P$1073,($C$2:$C$1073=$C704)*($E$2:$E$1073=$E704)*(ROW(P$2:P$1073)&lt;&gt;ROW(P704))*(P$2:P$1073&lt;&gt;""))),"")</f>
        <v>24.180789108496477</v>
      </c>
      <c r="W704" cm="1">
        <f t="array" ref="W704">IFERROR(AVERAGE(_xlfn._xlws.FILTER(Q$2:Q$1073,($C$2:$C$1073=$C704)*($E$2:$E$1073=$E704)*(ROW(Q$2:Q$1073)&lt;&gt;ROW(Q704))*(Q$2:Q$1073&lt;&gt;""))),"")</f>
        <v>0.29604752502083465</v>
      </c>
      <c r="X704" cm="1">
        <f t="array" ref="X704">IFERROR(AVERAGE(_xlfn._xlws.FILTER(R$2:R$1073,($C$2:$C$1073=$C704)*($E$2:$E$1073=$E704)*(ROW(R$2:R$1073)&lt;&gt;ROW(R704))*(R$2:R$1073&lt;&gt;""))),"")</f>
        <v>5.9511017560386792E-2</v>
      </c>
      <c r="Y704" t="str" cm="1">
        <f t="array" ref="Y704">IFERROR(AVERAGE(_xlfn._xlws.FILTER(S$2:S$1073,($C$2:$C$1073=$C704)*($E$2:$E$1073=$E704)*(ROW(S$2:S$1073)&lt;&gt;ROW(S704))*(S$2:S$1073&lt;&gt;""))),"")</f>
        <v/>
      </c>
      <c r="Z704" cm="1">
        <f t="array" ref="Z704">IFERROR(AVERAGE(_xlfn._xlws.FILTER(T$2:T$1073,($C$2:$C$1073=$C704)*($E$2:$E$1073=$E704)*(ROW(T$2:T$1073)&lt;&gt;ROW(T704))*(T$2:T$1073&lt;&gt;""))),"")</f>
        <v>-1.4171101286470289E-2</v>
      </c>
      <c r="AA704" cm="1">
        <f t="array" ref="AA704">IFERROR(AVERAGE(_xlfn._xlws.FILTER(U$2:U$1073,($C$2:$C$1073=$C704)*($E$2:$E$1073=$E704)*(ROW(U$2:U$1073)&lt;&gt;ROW(U704))*(U$2:U$1073&lt;&gt;""))),"")</f>
        <v>2.1854574410792247</v>
      </c>
    </row>
    <row r="705" spans="1:27" x14ac:dyDescent="0.2">
      <c r="A705" s="7" t="s">
        <v>2264</v>
      </c>
      <c r="B705" t="str">
        <f t="shared" si="112"/>
        <v>VSEH IV кв. 2010</v>
      </c>
      <c r="C705">
        <v>2010</v>
      </c>
      <c r="D705">
        <f>SUMIFS(Дивиденды!$C:$C,Дивиденды!$A:$A,A705,Дивиденды!$I:$I,C705)</f>
        <v>0</v>
      </c>
      <c r="E705">
        <v>4</v>
      </c>
      <c r="F705">
        <f t="shared" si="113"/>
        <v>0</v>
      </c>
      <c r="G705">
        <f t="shared" si="114"/>
        <v>0.46928571428571431</v>
      </c>
      <c r="H705">
        <f t="shared" si="115"/>
        <v>0</v>
      </c>
      <c r="I705">
        <f t="shared" si="122"/>
        <v>7.1428571428571425E-2</v>
      </c>
      <c r="J705" t="str">
        <f t="shared" si="116"/>
        <v/>
      </c>
      <c r="K705" t="str">
        <f t="shared" si="120"/>
        <v/>
      </c>
      <c r="L705" t="str">
        <f t="shared" si="117"/>
        <v/>
      </c>
      <c r="M705" t="str">
        <f t="shared" si="121"/>
        <v/>
      </c>
      <c r="N705" t="str">
        <f t="shared" si="118"/>
        <v/>
      </c>
      <c r="O705" t="str">
        <f t="shared" si="119"/>
        <v/>
      </c>
      <c r="P705" t="str">
        <f>IFERROR(LN('Дивиденды по годам'!I705),"")</f>
        <v/>
      </c>
      <c r="Q705" t="str">
        <f>IFERROR('Дивиденды по годам'!G705/'Дивиденды по годам'!I705, "")</f>
        <v/>
      </c>
      <c r="R705" t="str">
        <f>IFERROR(IF(AND('Дивиденды по годам'!N705&lt;&gt;"",'Дивиденды по годам'!U705&lt;&gt;"",'Дивиденды по годам'!U705&lt;&gt;0),'Дивиденды по годам'!N705/'Дивиденды по годам'!U705-1,""),"")</f>
        <v/>
      </c>
      <c r="S705" t="str">
        <f>IFERROR(IF(AND('Дивиденды по годам'!L705&lt;&gt;"",'Дивиденды по годам'!I705&lt;&gt;"",'Дивиденды по годам'!J705&lt;&gt;"",'Дивиденды по годам'!K705&lt;&gt;"",('Дивиденды по годам'!I705-'Дивиденды по годам'!J705-'Дивиденды по годам'!K705)&lt;&gt;0),'Дивиденды по годам'!L705/('Дивиденды по годам'!I705-'Дивиденды по годам'!J705-'Дивиденды по годам'!K705),""),"")</f>
        <v/>
      </c>
      <c r="T705" t="str">
        <f>IFERROR(IF(AND('Дивиденды по годам'!Q705&lt;&gt;"",'Дивиденды по годам'!I705&lt;&gt;"",'Дивиденды по годам'!V705&lt;&gt;"",('Дивиденды по годам'!I705+'Дивиденды по годам'!V705)&lt;&gt;0),'Дивиденды по годам'!Q705/(('Дивиденды по годам'!I705+'Дивиденды по годам'!V705)/2),""),"")</f>
        <v/>
      </c>
      <c r="U705" t="str">
        <f>IFERROR(IF(AND('Дивиденды по годам'!J705&lt;&gt;"",'Дивиденды по годам'!K705&lt;&gt;"",'Дивиденды по годам'!M705&lt;&gt;"",'Дивиденды по годам'!M705&lt;&gt;0),('Дивиденды по годам'!J705+'Дивиденды по годам'!K705)/'Дивиденды по годам'!M705,""),"")</f>
        <v/>
      </c>
      <c r="V705" cm="1">
        <f t="array" ref="V705">IFERROR(AVERAGE(_xlfn._xlws.FILTER(P$2:P$1073,($C$2:$C$1073=$C705)*($E$2:$E$1073=$E705)*(ROW(P$2:P$1073)&lt;&gt;ROW(P705))*(P$2:P$1073&lt;&gt;""))),"")</f>
        <v>23.656010386255485</v>
      </c>
      <c r="W705" cm="1">
        <f t="array" ref="W705">IFERROR(AVERAGE(_xlfn._xlws.FILTER(Q$2:Q$1073,($C$2:$C$1073=$C705)*($E$2:$E$1073=$E705)*(ROW(Q$2:Q$1073)&lt;&gt;ROW(Q705))*(Q$2:Q$1073&lt;&gt;""))),"")</f>
        <v>0.15222241747474585</v>
      </c>
      <c r="X705" t="str" cm="1">
        <f t="array" ref="X705">IFERROR(AVERAGE(_xlfn._xlws.FILTER(R$2:R$1073,($C$2:$C$1073=$C705)*($E$2:$E$1073=$E705)*(ROW(R$2:R$1073)&lt;&gt;ROW(R705))*(R$2:R$1073&lt;&gt;""))),"")</f>
        <v/>
      </c>
      <c r="Y705" t="str" cm="1">
        <f t="array" ref="Y705">IFERROR(AVERAGE(_xlfn._xlws.FILTER(S$2:S$1073,($C$2:$C$1073=$C705)*($E$2:$E$1073=$E705)*(ROW(S$2:S$1073)&lt;&gt;ROW(S705))*(S$2:S$1073&lt;&gt;""))),"")</f>
        <v/>
      </c>
      <c r="Z705" t="str" cm="1">
        <f t="array" ref="Z705">IFERROR(AVERAGE(_xlfn._xlws.FILTER(T$2:T$1073,($C$2:$C$1073=$C705)*($E$2:$E$1073=$E705)*(ROW(T$2:T$1073)&lt;&gt;ROW(T705))*(T$2:T$1073&lt;&gt;""))),"")</f>
        <v/>
      </c>
      <c r="AA705" cm="1">
        <f t="array" ref="AA705">IFERROR(AVERAGE(_xlfn._xlws.FILTER(U$2:U$1073,($C$2:$C$1073=$C705)*($E$2:$E$1073=$E705)*(ROW(U$2:U$1073)&lt;&gt;ROW(U705))*(U$2:U$1073&lt;&gt;""))),"")</f>
        <v>2.8988498110700496</v>
      </c>
    </row>
    <row r="706" spans="1:27" x14ac:dyDescent="0.2">
      <c r="A706" s="7" t="s">
        <v>2266</v>
      </c>
      <c r="B706" t="str">
        <f t="shared" si="112"/>
        <v>WUSH IV кв. 2025</v>
      </c>
      <c r="C706">
        <v>2025</v>
      </c>
      <c r="D706">
        <f>SUMIFS(Дивиденды!$C:$C,Дивиденды!$A:$A,A706,Дивиденды!$I:$I,C706)</f>
        <v>0</v>
      </c>
      <c r="E706">
        <v>4</v>
      </c>
      <c r="F706">
        <f t="shared" si="113"/>
        <v>0</v>
      </c>
      <c r="G706">
        <f t="shared" si="114"/>
        <v>31.581428571428571</v>
      </c>
      <c r="H706">
        <f t="shared" si="115"/>
        <v>0</v>
      </c>
      <c r="I706">
        <f t="shared" si="122"/>
        <v>0.42857142857142855</v>
      </c>
      <c r="J706">
        <f t="shared" si="116"/>
        <v>-1</v>
      </c>
      <c r="K706">
        <f t="shared" si="120"/>
        <v>-0.11109777181212487</v>
      </c>
      <c r="L706">
        <f t="shared" si="117"/>
        <v>0</v>
      </c>
      <c r="M706">
        <f t="shared" si="121"/>
        <v>0.14285714285714285</v>
      </c>
      <c r="N706">
        <f t="shared" si="118"/>
        <v>1</v>
      </c>
      <c r="O706">
        <f t="shared" si="119"/>
        <v>0.42857142857142855</v>
      </c>
      <c r="P706">
        <f>IFERROR(LN('Дивиденды по годам'!I706),"")</f>
        <v>23.701202503790306</v>
      </c>
      <c r="Q706">
        <f>IFERROR('Дивиденды по годам'!G706/'Дивиденды по годам'!I706, "")</f>
        <v>0.78900426502740639</v>
      </c>
      <c r="R706">
        <f>IFERROR(IF(AND('Дивиденды по годам'!N706&lt;&gt;"",'Дивиденды по годам'!U706&lt;&gt;"",'Дивиденды по годам'!U706&lt;&gt;0),'Дивиденды по годам'!N706/'Дивиденды по годам'!U706-1,""),"")</f>
        <v>-0.12906320972971697</v>
      </c>
      <c r="S706">
        <f>IFERROR(IF(AND('Дивиденды по годам'!L706&lt;&gt;"",'Дивиденды по годам'!I706&lt;&gt;"",'Дивиденды по годам'!J706&lt;&gt;"",'Дивиденды по годам'!K706&lt;&gt;"",('Дивиденды по годам'!I706-'Дивиденды по годам'!J706-'Дивиденды по годам'!K706)&lt;&gt;0),'Дивиденды по годам'!L706/('Дивиденды по годам'!I706-'Дивиденды по годам'!J706-'Дивиденды по годам'!K706),""),"")</f>
        <v>0.29537366814860505</v>
      </c>
      <c r="T706">
        <f>IFERROR(IF(AND('Дивиденды по годам'!Q706&lt;&gt;"",'Дивиденды по годам'!I706&lt;&gt;"",'Дивиденды по годам'!V706&lt;&gt;"",('Дивиденды по годам'!I706+'Дивиденды по годам'!V706)&lt;&gt;0),'Дивиденды по годам'!Q706/(('Дивиденды по годам'!I706+'Дивиденды по годам'!V706)/2),""),"")</f>
        <v>-0.14107974378321711</v>
      </c>
      <c r="U706">
        <f>IFERROR(IF(AND('Дивиденды по годам'!J706&lt;&gt;"",'Дивиденды по годам'!K706&lt;&gt;"",'Дивиденды по годам'!M706&lt;&gt;"",'Дивиденды по годам'!M706&lt;&gt;0),('Дивиденды по годам'!J706+'Дивиденды по годам'!K706)/'Дивиденды по годам'!M706,""),"")</f>
        <v>3.9102242251313388</v>
      </c>
      <c r="V706" cm="1">
        <f t="array" ref="V706">IFERROR(AVERAGE(_xlfn._xlws.FILTER(P$2:P$1073,($C$2:$C$1073=$C706)*($E$2:$E$1073=$E706)*(ROW(P$2:P$1073)&lt;&gt;ROW(P706))*(P$2:P$1073&lt;&gt;""))),"")</f>
        <v>27.010949446944053</v>
      </c>
      <c r="W706" cm="1">
        <f t="array" ref="W706">IFERROR(AVERAGE(_xlfn._xlws.FILTER(Q$2:Q$1073,($C$2:$C$1073=$C706)*($E$2:$E$1073=$E706)*(ROW(Q$2:Q$1073)&lt;&gt;ROW(Q706))*(Q$2:Q$1073&lt;&gt;""))),"")</f>
        <v>0.30185210528786427</v>
      </c>
      <c r="X706" cm="1">
        <f t="array" ref="X706">IFERROR(AVERAGE(_xlfn._xlws.FILTER(R$2:R$1073,($C$2:$C$1073=$C706)*($E$2:$E$1073=$E706)*(ROW(R$2:R$1073)&lt;&gt;ROW(R706))*(R$2:R$1073&lt;&gt;""))),"")</f>
        <v>0.13114923848183513</v>
      </c>
      <c r="Y706" cm="1">
        <f t="array" ref="Y706">IFERROR(AVERAGE(_xlfn._xlws.FILTER(S$2:S$1073,($C$2:$C$1073=$C706)*($E$2:$E$1073=$E706)*(ROW(S$2:S$1073)&lt;&gt;ROW(S706))*(S$2:S$1073&lt;&gt;""))),"")</f>
        <v>1.1572081418679987</v>
      </c>
      <c r="Z706" cm="1">
        <f t="array" ref="Z706">IFERROR(AVERAGE(_xlfn._xlws.FILTER(T$2:T$1073,($C$2:$C$1073=$C706)*($E$2:$E$1073=$E706)*(ROW(T$2:T$1073)&lt;&gt;ROW(T706))*(T$2:T$1073&lt;&gt;""))),"")</f>
        <v>6.4502785367512597E-2</v>
      </c>
      <c r="AA706" cm="1">
        <f t="array" ref="AA706">IFERROR(AVERAGE(_xlfn._xlws.FILTER(U$2:U$1073,($C$2:$C$1073=$C706)*($E$2:$E$1073=$E706)*(ROW(U$2:U$1073)&lt;&gt;ROW(U706))*(U$2:U$1073&lt;&gt;""))),"")</f>
        <v>7.0923725275773153</v>
      </c>
    </row>
    <row r="707" spans="1:27" x14ac:dyDescent="0.2">
      <c r="A707" s="7" t="s">
        <v>2266</v>
      </c>
      <c r="B707" t="str">
        <f t="shared" ref="B707:B770" si="123">A707&amp;" "&amp;
"IV"
&amp;" кв. "&amp;C707</f>
        <v>WUSH IV кв. 2024</v>
      </c>
      <c r="C707">
        <v>2024</v>
      </c>
      <c r="D707">
        <f>SUMIFS(Дивиденды!$C:$C,Дивиденды!$A:$A,A707,Дивиденды!$I:$I,C707)</f>
        <v>2.11</v>
      </c>
      <c r="E707">
        <v>4</v>
      </c>
      <c r="F707">
        <f t="shared" ref="F707:F770" si="124">D707</f>
        <v>2.11</v>
      </c>
      <c r="G707">
        <f t="shared" ref="G707:G770" si="125">AVERAGEIFS($D:$D,$E:$E,E707,$C:$C,C707,$A:$A,"&lt;&gt;"&amp;A707)</f>
        <v>62.36071428571428</v>
      </c>
      <c r="H707">
        <f t="shared" ref="H707:H770" si="126">IF(D707&gt;0,1,0)</f>
        <v>1</v>
      </c>
      <c r="I707">
        <f t="shared" si="122"/>
        <v>0.5</v>
      </c>
      <c r="J707">
        <f t="shared" ref="J707:J770" si="127">IF(A708&lt;&gt;A707,"",IF(D707=D708,0,IF(AND(D708=0,D707&lt;&gt;0), 1,(D707-D708)/D708)))</f>
        <v>-0.79414634146341467</v>
      </c>
      <c r="K707">
        <f t="shared" si="120"/>
        <v>0.268180484039442</v>
      </c>
      <c r="L707">
        <f t="shared" ref="L707:L770" si="128">IF(J707&lt;&gt;"",IF(J707&gt;0,1,0),"")</f>
        <v>0</v>
      </c>
      <c r="M707">
        <f t="shared" si="121"/>
        <v>0.35714285714285715</v>
      </c>
      <c r="N707">
        <f t="shared" ref="N707:N770" si="129">IF(J707&lt;&gt;"",IF(J707&lt;0,1,0),"")</f>
        <v>1</v>
      </c>
      <c r="O707">
        <f t="shared" ref="O707:O770" si="130">IFERROR(AVERAGEIFS($N:$N,$E:$E,E707,$C:$C,C707,$A:$A,"&lt;&gt;"&amp;A707),"")</f>
        <v>0.21428571428571427</v>
      </c>
      <c r="P707">
        <f>IFERROR(LN('Дивиденды по годам'!I707),"")</f>
        <v>23.81063975125463</v>
      </c>
      <c r="Q707">
        <f>IFERROR('Дивиденды по годам'!G707/'Дивиденды по годам'!I707, "")</f>
        <v>0.63905264003094975</v>
      </c>
      <c r="R707">
        <f>IFERROR(IF(AND('Дивиденды по годам'!N707&lt;&gt;"",'Дивиденды по годам'!U707&lt;&gt;"",'Дивиденды по годам'!U707&lt;&gt;0),'Дивиденды по годам'!N707/'Дивиденды по годам'!U707-1,""),"")</f>
        <v>0.33296192462829222</v>
      </c>
      <c r="S707">
        <f>IFERROR(IF(AND('Дивиденды по годам'!L707&lt;&gt;"",'Дивиденды по годам'!I707&lt;&gt;"",'Дивиденды по годам'!J707&lt;&gt;"",'Дивиденды по годам'!K707&lt;&gt;"",('Дивиденды по годам'!I707-'Дивиденды по годам'!J707-'Дивиденды по годам'!K707)&lt;&gt;0),'Дивиденды по годам'!L707/('Дивиденды по годам'!I707-'Дивиденды по годам'!J707-'Дивиденды по годам'!K707),""),"")</f>
        <v>0.57298328079532101</v>
      </c>
      <c r="T707">
        <f>IFERROR(IF(AND('Дивиденды по годам'!Q707&lt;&gt;"",'Дивиденды по годам'!I707&lt;&gt;"",'Дивиденды по годам'!V707&lt;&gt;"",('Дивиденды по годам'!I707+'Дивиденды по годам'!V707)&lt;&gt;0),'Дивиденды по годам'!Q707/(('Дивиденды по годам'!I707+'Дивиденды по годам'!V707)/2),""),"")</f>
        <v>9.9177774648534361E-2</v>
      </c>
      <c r="U707">
        <f>IFERROR(IF(AND('Дивиденды по годам'!J707&lt;&gt;"",'Дивиденды по годам'!K707&lt;&gt;"",'Дивиденды по годам'!M707&lt;&gt;"",'Дивиденды по годам'!M707&lt;&gt;0),('Дивиденды по годам'!J707+'Дивиденды по годам'!K707)/'Дивиденды по годам'!M707,""),"")</f>
        <v>2.0112537493951925</v>
      </c>
      <c r="V707" cm="1">
        <f t="array" ref="V707">IFERROR(AVERAGE(_xlfn._xlws.FILTER(P$2:P$1073,($C$2:$C$1073=$C707)*($E$2:$E$1073=$E707)*(ROW(P$2:P$1073)&lt;&gt;ROW(P707))*(P$2:P$1073&lt;&gt;""))),"")</f>
        <v>25.690097996888618</v>
      </c>
      <c r="W707" cm="1">
        <f t="array" ref="W707">IFERROR(AVERAGE(_xlfn._xlws.FILTER(Q$2:Q$1073,($C$2:$C$1073=$C707)*($E$2:$E$1073=$E707)*(ROW(Q$2:Q$1073)&lt;&gt;ROW(Q707))*(Q$2:Q$1073&lt;&gt;""))),"")</f>
        <v>0.23605811630493981</v>
      </c>
      <c r="X707" cm="1">
        <f t="array" ref="X707">IFERROR(AVERAGE(_xlfn._xlws.FILTER(R$2:R$1073,($C$2:$C$1073=$C707)*($E$2:$E$1073=$E707)*(ROW(R$2:R$1073)&lt;&gt;ROW(R707))*(R$2:R$1073&lt;&gt;""))),"")</f>
        <v>0.26064389692950596</v>
      </c>
      <c r="Y707" cm="1">
        <f t="array" ref="Y707">IFERROR(AVERAGE(_xlfn._xlws.FILTER(S$2:S$1073,($C$2:$C$1073=$C707)*($E$2:$E$1073=$E707)*(ROW(S$2:S$1073)&lt;&gt;ROW(S707))*(S$2:S$1073&lt;&gt;""))),"")</f>
        <v>1.2137733491259426</v>
      </c>
      <c r="Z707" cm="1">
        <f t="array" ref="Z707">IFERROR(AVERAGE(_xlfn._xlws.FILTER(T$2:T$1073,($C$2:$C$1073=$C707)*($E$2:$E$1073=$E707)*(ROW(T$2:T$1073)&lt;&gt;ROW(T707))*(T$2:T$1073&lt;&gt;""))),"")</f>
        <v>7.1082628691603075E-2</v>
      </c>
      <c r="AA707" cm="1">
        <f t="array" ref="AA707">IFERROR(AVERAGE(_xlfn._xlws.FILTER(U$2:U$1073,($C$2:$C$1073=$C707)*($E$2:$E$1073=$E707)*(ROW(U$2:U$1073)&lt;&gt;ROW(U707))*(U$2:U$1073&lt;&gt;""))),"")</f>
        <v>4.1321938081255638</v>
      </c>
    </row>
    <row r="708" spans="1:27" x14ac:dyDescent="0.2">
      <c r="A708" s="7" t="s">
        <v>2266</v>
      </c>
      <c r="B708" t="str">
        <f t="shared" si="123"/>
        <v>WUSH IV кв. 2023</v>
      </c>
      <c r="C708">
        <v>2023</v>
      </c>
      <c r="D708">
        <f>SUMIFS(Дивиденды!$C:$C,Дивиденды!$A:$A,A708,Дивиденды!$I:$I,C708)</f>
        <v>10.25</v>
      </c>
      <c r="E708">
        <v>4</v>
      </c>
      <c r="F708">
        <f t="shared" si="124"/>
        <v>10.25</v>
      </c>
      <c r="G708">
        <f t="shared" si="125"/>
        <v>90.007857142857148</v>
      </c>
      <c r="H708">
        <f t="shared" si="126"/>
        <v>1</v>
      </c>
      <c r="I708">
        <f t="shared" si="122"/>
        <v>0.42857142857142855</v>
      </c>
      <c r="J708">
        <f t="shared" si="127"/>
        <v>1</v>
      </c>
      <c r="K708">
        <f t="shared" ref="K708:K771" si="131">IFERROR(AVERAGEIFS($J:$J,$E:$E,E708,$C:$C,C708,$A:$A,"&lt;&gt;"&amp;A708),"")</f>
        <v>0.22669887955182075</v>
      </c>
      <c r="L708">
        <f t="shared" si="128"/>
        <v>1</v>
      </c>
      <c r="M708">
        <f t="shared" si="121"/>
        <v>0.35714285714285715</v>
      </c>
      <c r="N708">
        <f t="shared" si="129"/>
        <v>0</v>
      </c>
      <c r="O708">
        <f t="shared" si="130"/>
        <v>0</v>
      </c>
      <c r="P708">
        <f>IFERROR(LN('Дивиденды по годам'!I708),"")</f>
        <v>23.62099049588776</v>
      </c>
      <c r="Q708">
        <f>IFERROR('Дивиденды по годам'!G708/'Дивиденды по годам'!I708, "")</f>
        <v>0.62149034569322847</v>
      </c>
      <c r="R708">
        <f>IFERROR(IF(AND('Дивиденды по годам'!N708&lt;&gt;"",'Дивиденды по годам'!U708&lt;&gt;"",'Дивиденды по годам'!U708&lt;&gt;0),'Дивиденды по годам'!N708/'Дивиденды по годам'!U708-1,""),"")</f>
        <v>0.54165273757475907</v>
      </c>
      <c r="S708">
        <f>IFERROR(IF(AND('Дивиденды по годам'!L708&lt;&gt;"",'Дивиденды по годам'!I708&lt;&gt;"",'Дивиденды по годам'!J708&lt;&gt;"",'Дивиденды по годам'!K708&lt;&gt;"",('Дивиденды по годам'!I708-'Дивиденды по годам'!J708-'Дивиденды по годам'!K708)&lt;&gt;0),'Дивиденды по годам'!L708/('Дивиденды по годам'!I708-'Дивиденды по годам'!J708-'Дивиденды по годам'!K708),""),"")</f>
        <v>0.42209402342291141</v>
      </c>
      <c r="T708">
        <f>IFERROR(IF(AND('Дивиденды по годам'!Q708&lt;&gt;"",'Дивиденды по годам'!I708&lt;&gt;"",'Дивиденды по годам'!V708&lt;&gt;"",('Дивиденды по годам'!I708+'Дивиденды по годам'!V708)&lt;&gt;0),'Дивиденды по годам'!Q708/(('Дивиденды по годам'!I708+'Дивиденды по годам'!V708)/2),""),"")</f>
        <v>0.13126677592247382</v>
      </c>
      <c r="U708">
        <f>IFERROR(IF(AND('Дивиденды по годам'!J708&lt;&gt;"",'Дивиденды по годам'!K708&lt;&gt;"",'Дивиденды по годам'!M708&lt;&gt;"",'Дивиденды по годам'!M708&lt;&gt;0),('Дивиденды по годам'!J708+'Дивиденды по годам'!K708)/'Дивиденды по годам'!M708,""),"")</f>
        <v>2.1630192980243557</v>
      </c>
      <c r="V708" cm="1">
        <f t="array" ref="V708">IFERROR(AVERAGE(_xlfn._xlws.FILTER(P$2:P$1073,($C$2:$C$1073=$C708)*($E$2:$E$1073=$E708)*(ROW(P$2:P$1073)&lt;&gt;ROW(P708))*(P$2:P$1073&lt;&gt;""))),"")</f>
        <v>25.49168133053379</v>
      </c>
      <c r="W708" cm="1">
        <f t="array" ref="W708">IFERROR(AVERAGE(_xlfn._xlws.FILTER(Q$2:Q$1073,($C$2:$C$1073=$C708)*($E$2:$E$1073=$E708)*(ROW(Q$2:Q$1073)&lt;&gt;ROW(Q708))*(Q$2:Q$1073&lt;&gt;""))),"")</f>
        <v>0.2238800463200363</v>
      </c>
      <c r="X708" cm="1">
        <f t="array" ref="X708">IFERROR(AVERAGE(_xlfn._xlws.FILTER(R$2:R$1073,($C$2:$C$1073=$C708)*($E$2:$E$1073=$E708)*(ROW(R$2:R$1073)&lt;&gt;ROW(R708))*(R$2:R$1073&lt;&gt;""))),"")</f>
        <v>0.2215349367836392</v>
      </c>
      <c r="Y708" cm="1">
        <f t="array" ref="Y708">IFERROR(AVERAGE(_xlfn._xlws.FILTER(S$2:S$1073,($C$2:$C$1073=$C708)*($E$2:$E$1073=$E708)*(ROW(S$2:S$1073)&lt;&gt;ROW(S708))*(S$2:S$1073&lt;&gt;""))),"")</f>
        <v>1.3048440141303492</v>
      </c>
      <c r="Z708" cm="1">
        <f t="array" ref="Z708">IFERROR(AVERAGE(_xlfn._xlws.FILTER(T$2:T$1073,($C$2:$C$1073=$C708)*($E$2:$E$1073=$E708)*(ROW(T$2:T$1073)&lt;&gt;ROW(T708))*(T$2:T$1073&lt;&gt;""))),"")</f>
        <v>0.10856542881184023</v>
      </c>
      <c r="AA708" cm="1">
        <f t="array" ref="AA708">IFERROR(AVERAGE(_xlfn._xlws.FILTER(U$2:U$1073,($C$2:$C$1073=$C708)*($E$2:$E$1073=$E708)*(ROW(U$2:U$1073)&lt;&gt;ROW(U708))*(U$2:U$1073&lt;&gt;""))),"")</f>
        <v>2.6177965171859947</v>
      </c>
    </row>
    <row r="709" spans="1:27" x14ac:dyDescent="0.2">
      <c r="A709" s="7" t="s">
        <v>2266</v>
      </c>
      <c r="B709" t="str">
        <f t="shared" si="123"/>
        <v>WUSH IV кв. 2022</v>
      </c>
      <c r="C709">
        <v>2022</v>
      </c>
      <c r="D709">
        <f>SUMIFS(Дивиденды!$C:$C,Дивиденды!$A:$A,A709,Дивиденды!$I:$I,C709)</f>
        <v>0</v>
      </c>
      <c r="E709">
        <v>4</v>
      </c>
      <c r="F709">
        <f t="shared" si="124"/>
        <v>0</v>
      </c>
      <c r="G709">
        <f t="shared" si="125"/>
        <v>80.180000000000021</v>
      </c>
      <c r="H709">
        <f t="shared" si="126"/>
        <v>0</v>
      </c>
      <c r="I709">
        <f t="shared" si="122"/>
        <v>0.2857142857142857</v>
      </c>
      <c r="J709">
        <f t="shared" si="127"/>
        <v>0</v>
      </c>
      <c r="K709">
        <f t="shared" si="131"/>
        <v>0.49583624512073399</v>
      </c>
      <c r="L709">
        <f t="shared" si="128"/>
        <v>0</v>
      </c>
      <c r="M709">
        <f t="shared" si="121"/>
        <v>0.2857142857142857</v>
      </c>
      <c r="N709">
        <f t="shared" si="129"/>
        <v>0</v>
      </c>
      <c r="O709">
        <f t="shared" si="130"/>
        <v>7.1428571428571425E-2</v>
      </c>
      <c r="P709">
        <f>IFERROR(LN('Дивиденды по годам'!I709),"")</f>
        <v>23.1593108825132</v>
      </c>
      <c r="Q709">
        <f>IFERROR('Дивиденды по годам'!G709/'Дивиденды по годам'!I709, "")</f>
        <v>0.57785409295176526</v>
      </c>
      <c r="R709" t="str">
        <f>IFERROR(IF(AND('Дивиденды по годам'!N709&lt;&gt;"",'Дивиденды по годам'!U709&lt;&gt;"",'Дивиденды по годам'!U709&lt;&gt;0),'Дивиденды по годам'!N709/'Дивиденды по годам'!U709-1,""),"")</f>
        <v/>
      </c>
      <c r="S709">
        <f>IFERROR(IF(AND('Дивиденды по годам'!L709&lt;&gt;"",'Дивиденды по годам'!I709&lt;&gt;"",'Дивиденды по годам'!J709&lt;&gt;"",'Дивиденды по годам'!K709&lt;&gt;"",('Дивиденды по годам'!I709-'Дивиденды по годам'!J709-'Дивиденды по годам'!K709)&lt;&gt;0),'Дивиденды по годам'!L709/('Дивиденды по годам'!I709-'Дивиденды по годам'!J709-'Дивиденды по годам'!K709),""),"")</f>
        <v>0.33296858772183302</v>
      </c>
      <c r="T709" t="str">
        <f>IFERROR(IF(AND('Дивиденды по годам'!Q709&lt;&gt;"",'Дивиденды по годам'!I709&lt;&gt;"",'Дивиденды по годам'!V709&lt;&gt;"",('Дивиденды по годам'!I709+'Дивиденды по годам'!V709)&lt;&gt;0),'Дивиденды по годам'!Q709/(('Дивиденды по годам'!I709+'Дивиденды по годам'!V709)/2),""),"")</f>
        <v/>
      </c>
      <c r="U709">
        <f>IFERROR(IF(AND('Дивиденды по годам'!J709&lt;&gt;"",'Дивиденды по годам'!K709&lt;&gt;"",'Дивиденды по годам'!M709&lt;&gt;"",'Дивиденды по годам'!M709&lt;&gt;0),('Дивиденды по годам'!J709+'Дивиденды по годам'!K709)/'Дивиденды по годам'!M709,""),"")</f>
        <v>1.3469726833057207</v>
      </c>
      <c r="V709" cm="1">
        <f t="array" ref="V709">IFERROR(AVERAGE(_xlfn._xlws.FILTER(P$2:P$1073,($C$2:$C$1073=$C709)*($E$2:$E$1073=$E709)*(ROW(P$2:P$1073)&lt;&gt;ROW(P709))*(P$2:P$1073&lt;&gt;""))),"")</f>
        <v>25.443081582967853</v>
      </c>
      <c r="W709" cm="1">
        <f t="array" ref="W709">IFERROR(AVERAGE(_xlfn._xlws.FILTER(Q$2:Q$1073,($C$2:$C$1073=$C709)*($E$2:$E$1073=$E709)*(ROW(Q$2:Q$1073)&lt;&gt;ROW(Q709))*(Q$2:Q$1073&lt;&gt;""))),"")</f>
        <v>0.22080668619273047</v>
      </c>
      <c r="X709" cm="1">
        <f t="array" ref="X709">IFERROR(AVERAGE(_xlfn._xlws.FILTER(R$2:R$1073,($C$2:$C$1073=$C709)*($E$2:$E$1073=$E709)*(ROW(R$2:R$1073)&lt;&gt;ROW(R709))*(R$2:R$1073&lt;&gt;""))),"")</f>
        <v>0.20513507713883902</v>
      </c>
      <c r="Y709" cm="1">
        <f t="array" ref="Y709">IFERROR(AVERAGE(_xlfn._xlws.FILTER(S$2:S$1073,($C$2:$C$1073=$C709)*($E$2:$E$1073=$E709)*(ROW(S$2:S$1073)&lt;&gt;ROW(S709))*(S$2:S$1073&lt;&gt;""))),"")</f>
        <v>1.4207591302881502</v>
      </c>
      <c r="Z709" cm="1">
        <f t="array" ref="Z709">IFERROR(AVERAGE(_xlfn._xlws.FILTER(T$2:T$1073,($C$2:$C$1073=$C709)*($E$2:$E$1073=$E709)*(ROW(T$2:T$1073)&lt;&gt;ROW(T709))*(T$2:T$1073&lt;&gt;""))),"")</f>
        <v>0.10081697308373706</v>
      </c>
      <c r="AA709" cm="1">
        <f t="array" ref="AA709">IFERROR(AVERAGE(_xlfn._xlws.FILTER(U$2:U$1073,($C$2:$C$1073=$C709)*($E$2:$E$1073=$E709)*(ROW(U$2:U$1073)&lt;&gt;ROW(U709))*(U$2:U$1073&lt;&gt;""))),"")</f>
        <v>2.2423527463859174</v>
      </c>
    </row>
    <row r="710" spans="1:27" x14ac:dyDescent="0.2">
      <c r="A710" s="7" t="s">
        <v>2266</v>
      </c>
      <c r="B710" t="str">
        <f t="shared" si="123"/>
        <v>WUSH IV кв. 2021</v>
      </c>
      <c r="C710">
        <v>2021</v>
      </c>
      <c r="D710">
        <f>SUMIFS(Дивиденды!$C:$C,Дивиденды!$A:$A,A710,Дивиденды!$I:$I,C710)</f>
        <v>0</v>
      </c>
      <c r="E710">
        <v>4</v>
      </c>
      <c r="F710">
        <f t="shared" si="124"/>
        <v>0</v>
      </c>
      <c r="G710">
        <f t="shared" si="125"/>
        <v>31.931428571428572</v>
      </c>
      <c r="H710">
        <f t="shared" si="126"/>
        <v>0</v>
      </c>
      <c r="I710">
        <f t="shared" si="122"/>
        <v>0.2857142857142857</v>
      </c>
      <c r="J710">
        <f t="shared" si="127"/>
        <v>0</v>
      </c>
      <c r="K710">
        <f t="shared" si="131"/>
        <v>0.1975016604235505</v>
      </c>
      <c r="L710">
        <f t="shared" si="128"/>
        <v>0</v>
      </c>
      <c r="M710">
        <f t="shared" si="121"/>
        <v>0.21428571428571427</v>
      </c>
      <c r="N710">
        <f t="shared" si="129"/>
        <v>0</v>
      </c>
      <c r="O710">
        <f t="shared" si="130"/>
        <v>7.1428571428571425E-2</v>
      </c>
      <c r="P710" t="str">
        <f>IFERROR(LN('Дивиденды по годам'!I710),"")</f>
        <v/>
      </c>
      <c r="Q710" t="str">
        <f>IFERROR('Дивиденды по годам'!G710/'Дивиденды по годам'!I710, "")</f>
        <v/>
      </c>
      <c r="R710" t="str">
        <f>IFERROR(IF(AND('Дивиденды по годам'!N710&lt;&gt;"",'Дивиденды по годам'!U710&lt;&gt;"",'Дивиденды по годам'!U710&lt;&gt;0),'Дивиденды по годам'!N710/'Дивиденды по годам'!U710-1,""),"")</f>
        <v/>
      </c>
      <c r="S710" t="str">
        <f>IFERROR(IF(AND('Дивиденды по годам'!L710&lt;&gt;"",'Дивиденды по годам'!I710&lt;&gt;"",'Дивиденды по годам'!J710&lt;&gt;"",'Дивиденды по годам'!K710&lt;&gt;"",('Дивиденды по годам'!I710-'Дивиденды по годам'!J710-'Дивиденды по годам'!K710)&lt;&gt;0),'Дивиденды по годам'!L710/('Дивиденды по годам'!I710-'Дивиденды по годам'!J710-'Дивиденды по годам'!K710),""),"")</f>
        <v/>
      </c>
      <c r="T710" t="str">
        <f>IFERROR(IF(AND('Дивиденды по годам'!Q710&lt;&gt;"",'Дивиденды по годам'!I710&lt;&gt;"",'Дивиденды по годам'!V710&lt;&gt;"",('Дивиденды по годам'!I710+'Дивиденды по годам'!V710)&lt;&gt;0),'Дивиденды по годам'!Q710/(('Дивиденды по годам'!I710+'Дивиденды по годам'!V710)/2),""),"")</f>
        <v/>
      </c>
      <c r="U710" t="str">
        <f>IFERROR(IF(AND('Дивиденды по годам'!J710&lt;&gt;"",'Дивиденды по годам'!K710&lt;&gt;"",'Дивиденды по годам'!M710&lt;&gt;"",'Дивиденды по годам'!M710&lt;&gt;0),('Дивиденды по годам'!J710+'Дивиденды по годам'!K710)/'Дивиденды по годам'!M710,""),"")</f>
        <v/>
      </c>
      <c r="V710" cm="1">
        <f t="array" ref="V710">IFERROR(AVERAGE(_xlfn._xlws.FILTER(P$2:P$1073,($C$2:$C$1073=$C710)*($E$2:$E$1073=$E710)*(ROW(P$2:P$1073)&lt;&gt;ROW(P710))*(P$2:P$1073&lt;&gt;""))),"")</f>
        <v>25.187970188534305</v>
      </c>
      <c r="W710" cm="1">
        <f t="array" ref="W710">IFERROR(AVERAGE(_xlfn._xlws.FILTER(Q$2:Q$1073,($C$2:$C$1073=$C710)*($E$2:$E$1073=$E710)*(ROW(Q$2:Q$1073)&lt;&gt;ROW(Q710))*(Q$2:Q$1073&lt;&gt;""))),"")</f>
        <v>0.2352592803713329</v>
      </c>
      <c r="X710" cm="1">
        <f t="array" ref="X710">IFERROR(AVERAGE(_xlfn._xlws.FILTER(R$2:R$1073,($C$2:$C$1073=$C710)*($E$2:$E$1073=$E710)*(ROW(R$2:R$1073)&lt;&gt;ROW(R710))*(R$2:R$1073&lt;&gt;""))),"")</f>
        <v>0.31760921072336168</v>
      </c>
      <c r="Y710" cm="1">
        <f t="array" ref="Y710">IFERROR(AVERAGE(_xlfn._xlws.FILTER(S$2:S$1073,($C$2:$C$1073=$C710)*($E$2:$E$1073=$E710)*(ROW(S$2:S$1073)&lt;&gt;ROW(S710))*(S$2:S$1073&lt;&gt;""))),"")</f>
        <v>1.3221729101020838</v>
      </c>
      <c r="Z710" cm="1">
        <f t="array" ref="Z710">IFERROR(AVERAGE(_xlfn._xlws.FILTER(T$2:T$1073,($C$2:$C$1073=$C710)*($E$2:$E$1073=$E710)*(ROW(T$2:T$1073)&lt;&gt;ROW(T710))*(T$2:T$1073&lt;&gt;""))),"")</f>
        <v>0.10239490834794492</v>
      </c>
      <c r="AA710" cm="1">
        <f t="array" ref="AA710">IFERROR(AVERAGE(_xlfn._xlws.FILTER(U$2:U$1073,($C$2:$C$1073=$C710)*($E$2:$E$1073=$E710)*(ROW(U$2:U$1073)&lt;&gt;ROW(U710))*(U$2:U$1073&lt;&gt;""))),"")</f>
        <v>16.93709324549495</v>
      </c>
    </row>
    <row r="711" spans="1:27" x14ac:dyDescent="0.2">
      <c r="A711" s="7" t="s">
        <v>2266</v>
      </c>
      <c r="B711" t="str">
        <f t="shared" si="123"/>
        <v>WUSH IV кв. 2020</v>
      </c>
      <c r="C711">
        <v>2020</v>
      </c>
      <c r="D711">
        <f>SUMIFS(Дивиденды!$C:$C,Дивиденды!$A:$A,A711,Дивиденды!$I:$I,C711)</f>
        <v>0</v>
      </c>
      <c r="E711">
        <v>4</v>
      </c>
      <c r="F711">
        <f t="shared" si="124"/>
        <v>0</v>
      </c>
      <c r="G711">
        <f t="shared" si="125"/>
        <v>43.293571428571433</v>
      </c>
      <c r="H711">
        <f t="shared" si="126"/>
        <v>0</v>
      </c>
      <c r="I711">
        <f t="shared" si="122"/>
        <v>0.2857142857142857</v>
      </c>
      <c r="J711">
        <f t="shared" si="127"/>
        <v>0</v>
      </c>
      <c r="K711">
        <f t="shared" si="131"/>
        <v>0.26831617204892738</v>
      </c>
      <c r="L711">
        <f t="shared" si="128"/>
        <v>0</v>
      </c>
      <c r="M711">
        <f t="shared" si="121"/>
        <v>0.2857142857142857</v>
      </c>
      <c r="N711">
        <f t="shared" si="129"/>
        <v>0</v>
      </c>
      <c r="O711">
        <f t="shared" si="130"/>
        <v>0</v>
      </c>
      <c r="P711" t="str">
        <f>IFERROR(LN('Дивиденды по годам'!I711),"")</f>
        <v/>
      </c>
      <c r="Q711" t="str">
        <f>IFERROR('Дивиденды по годам'!G711/'Дивиденды по годам'!I711, "")</f>
        <v/>
      </c>
      <c r="R711" t="str">
        <f>IFERROR(IF(AND('Дивиденды по годам'!N711&lt;&gt;"",'Дивиденды по годам'!U711&lt;&gt;"",'Дивиденды по годам'!U711&lt;&gt;0),'Дивиденды по годам'!N711/'Дивиденды по годам'!U711-1,""),"")</f>
        <v/>
      </c>
      <c r="S711" t="str">
        <f>IFERROR(IF(AND('Дивиденды по годам'!L711&lt;&gt;"",'Дивиденды по годам'!I711&lt;&gt;"",'Дивиденды по годам'!J711&lt;&gt;"",'Дивиденды по годам'!K711&lt;&gt;"",('Дивиденды по годам'!I711-'Дивиденды по годам'!J711-'Дивиденды по годам'!K711)&lt;&gt;0),'Дивиденды по годам'!L711/('Дивиденды по годам'!I711-'Дивиденды по годам'!J711-'Дивиденды по годам'!K711),""),"")</f>
        <v/>
      </c>
      <c r="T711" t="str">
        <f>IFERROR(IF(AND('Дивиденды по годам'!Q711&lt;&gt;"",'Дивиденды по годам'!I711&lt;&gt;"",'Дивиденды по годам'!V711&lt;&gt;"",('Дивиденды по годам'!I711+'Дивиденды по годам'!V711)&lt;&gt;0),'Дивиденды по годам'!Q711/(('Дивиденды по годам'!I711+'Дивиденды по годам'!V711)/2),""),"")</f>
        <v/>
      </c>
      <c r="U711" t="str">
        <f>IFERROR(IF(AND('Дивиденды по годам'!J711&lt;&gt;"",'Дивиденды по годам'!K711&lt;&gt;"",'Дивиденды по годам'!M711&lt;&gt;"",'Дивиденды по годам'!M711&lt;&gt;0),('Дивиденды по годам'!J711+'Дивиденды по годам'!K711)/'Дивиденды по годам'!M711,""),"")</f>
        <v/>
      </c>
      <c r="V711" cm="1">
        <f t="array" ref="V711">IFERROR(AVERAGE(_xlfn._xlws.FILTER(P$2:P$1073,($C$2:$C$1073=$C711)*($E$2:$E$1073=$E711)*(ROW(P$2:P$1073)&lt;&gt;ROW(P711))*(P$2:P$1073&lt;&gt;""))),"")</f>
        <v>25.279360907920736</v>
      </c>
      <c r="W711" cm="1">
        <f t="array" ref="W711">IFERROR(AVERAGE(_xlfn._xlws.FILTER(Q$2:Q$1073,($C$2:$C$1073=$C711)*($E$2:$E$1073=$E711)*(ROW(Q$2:Q$1073)&lt;&gt;ROW(Q711))*(Q$2:Q$1073&lt;&gt;""))),"")</f>
        <v>0.26156752075221612</v>
      </c>
      <c r="X711" cm="1">
        <f t="array" ref="X711">IFERROR(AVERAGE(_xlfn._xlws.FILTER(R$2:R$1073,($C$2:$C$1073=$C711)*($E$2:$E$1073=$E711)*(ROW(R$2:R$1073)&lt;&gt;ROW(R711))*(R$2:R$1073&lt;&gt;""))),"")</f>
        <v>9.6830410579929804E-2</v>
      </c>
      <c r="Y711" cm="1">
        <f t="array" ref="Y711">IFERROR(AVERAGE(_xlfn._xlws.FILTER(S$2:S$1073,($C$2:$C$1073=$C711)*($E$2:$E$1073=$E711)*(ROW(S$2:S$1073)&lt;&gt;ROW(S711))*(S$2:S$1073&lt;&gt;""))),"")</f>
        <v>1.7199758573549004</v>
      </c>
      <c r="Z711" cm="1">
        <f t="array" ref="Z711">IFERROR(AVERAGE(_xlfn._xlws.FILTER(T$2:T$1073,($C$2:$C$1073=$C711)*($E$2:$E$1073=$E711)*(ROW(T$2:T$1073)&lt;&gt;ROW(T711))*(T$2:T$1073&lt;&gt;""))),"")</f>
        <v>6.7482119215201988E-2</v>
      </c>
      <c r="AA711" cm="1">
        <f t="array" ref="AA711">IFERROR(AVERAGE(_xlfn._xlws.FILTER(U$2:U$1073,($C$2:$C$1073=$C711)*($E$2:$E$1073=$E711)*(ROW(U$2:U$1073)&lt;&gt;ROW(U711))*(U$2:U$1073&lt;&gt;""))),"")</f>
        <v>-10.291341252885539</v>
      </c>
    </row>
    <row r="712" spans="1:27" x14ac:dyDescent="0.2">
      <c r="A712" s="7" t="s">
        <v>2266</v>
      </c>
      <c r="B712" t="str">
        <f t="shared" si="123"/>
        <v>WUSH IV кв. 2019</v>
      </c>
      <c r="C712">
        <v>2019</v>
      </c>
      <c r="D712">
        <f>SUMIFS(Дивиденды!$C:$C,Дивиденды!$A:$A,A712,Дивиденды!$I:$I,C712)</f>
        <v>0</v>
      </c>
      <c r="E712">
        <v>4</v>
      </c>
      <c r="F712">
        <f t="shared" si="124"/>
        <v>0</v>
      </c>
      <c r="G712">
        <f t="shared" si="125"/>
        <v>24.398571428571426</v>
      </c>
      <c r="H712">
        <f t="shared" si="126"/>
        <v>0</v>
      </c>
      <c r="I712">
        <f t="shared" si="122"/>
        <v>0.21428571428571427</v>
      </c>
      <c r="J712">
        <f t="shared" si="127"/>
        <v>0</v>
      </c>
      <c r="K712">
        <f t="shared" si="131"/>
        <v>0.10876410731109194</v>
      </c>
      <c r="L712">
        <f t="shared" si="128"/>
        <v>0</v>
      </c>
      <c r="M712">
        <f t="shared" si="121"/>
        <v>0.21428571428571427</v>
      </c>
      <c r="N712">
        <f t="shared" si="129"/>
        <v>0</v>
      </c>
      <c r="O712">
        <f t="shared" si="130"/>
        <v>0</v>
      </c>
      <c r="P712" t="str">
        <f>IFERROR(LN('Дивиденды по годам'!I712),"")</f>
        <v/>
      </c>
      <c r="Q712" t="str">
        <f>IFERROR('Дивиденды по годам'!G712/'Дивиденды по годам'!I712, "")</f>
        <v/>
      </c>
      <c r="R712" t="str">
        <f>IFERROR(IF(AND('Дивиденды по годам'!N712&lt;&gt;"",'Дивиденды по годам'!U712&lt;&gt;"",'Дивиденды по годам'!U712&lt;&gt;0),'Дивиденды по годам'!N712/'Дивиденды по годам'!U712-1,""),"")</f>
        <v/>
      </c>
      <c r="S712" t="str">
        <f>IFERROR(IF(AND('Дивиденды по годам'!L712&lt;&gt;"",'Дивиденды по годам'!I712&lt;&gt;"",'Дивиденды по годам'!J712&lt;&gt;"",'Дивиденды по годам'!K712&lt;&gt;"",('Дивиденды по годам'!I712-'Дивиденды по годам'!J712-'Дивиденды по годам'!K712)&lt;&gt;0),'Дивиденды по годам'!L712/('Дивиденды по годам'!I712-'Дивиденды по годам'!J712-'Дивиденды по годам'!K712),""),"")</f>
        <v/>
      </c>
      <c r="T712" t="str">
        <f>IFERROR(IF(AND('Дивиденды по годам'!Q712&lt;&gt;"",'Дивиденды по годам'!I712&lt;&gt;"",'Дивиденды по годам'!V712&lt;&gt;"",('Дивиденды по годам'!I712+'Дивиденды по годам'!V712)&lt;&gt;0),'Дивиденды по годам'!Q712/(('Дивиденды по годам'!I712+'Дивиденды по годам'!V712)/2),""),"")</f>
        <v/>
      </c>
      <c r="U712" t="str">
        <f>IFERROR(IF(AND('Дивиденды по годам'!J712&lt;&gt;"",'Дивиденды по годам'!K712&lt;&gt;"",'Дивиденды по годам'!M712&lt;&gt;"",'Дивиденды по годам'!M712&lt;&gt;0),('Дивиденды по годам'!J712+'Дивиденды по годам'!K712)/'Дивиденды по годам'!M712,""),"")</f>
        <v/>
      </c>
      <c r="V712" cm="1">
        <f t="array" ref="V712">IFERROR(AVERAGE(_xlfn._xlws.FILTER(P$2:P$1073,($C$2:$C$1073=$C712)*($E$2:$E$1073=$E712)*(ROW(P$2:P$1073)&lt;&gt;ROW(P712))*(P$2:P$1073&lt;&gt;""))),"")</f>
        <v>25.116045651461882</v>
      </c>
      <c r="W712" cm="1">
        <f t="array" ref="W712">IFERROR(AVERAGE(_xlfn._xlws.FILTER(Q$2:Q$1073,($C$2:$C$1073=$C712)*($E$2:$E$1073=$E712)*(ROW(Q$2:Q$1073)&lt;&gt;ROW(Q712))*(Q$2:Q$1073&lt;&gt;""))),"")</f>
        <v>0.27081451761564085</v>
      </c>
      <c r="X712" cm="1">
        <f t="array" ref="X712">IFERROR(AVERAGE(_xlfn._xlws.FILTER(R$2:R$1073,($C$2:$C$1073=$C712)*($E$2:$E$1073=$E712)*(ROW(R$2:R$1073)&lt;&gt;ROW(R712))*(R$2:R$1073&lt;&gt;""))),"")</f>
        <v>0.41255485917491075</v>
      </c>
      <c r="Y712" cm="1">
        <f t="array" ref="Y712">IFERROR(AVERAGE(_xlfn._xlws.FILTER(S$2:S$1073,($C$2:$C$1073=$C712)*($E$2:$E$1073=$E712)*(ROW(S$2:S$1073)&lt;&gt;ROW(S712))*(S$2:S$1073&lt;&gt;""))),"")</f>
        <v>0.89707160002220321</v>
      </c>
      <c r="Z712" cm="1">
        <f t="array" ref="Z712">IFERROR(AVERAGE(_xlfn._xlws.FILTER(T$2:T$1073,($C$2:$C$1073=$C712)*($E$2:$E$1073=$E712)*(ROW(T$2:T$1073)&lt;&gt;ROW(T712))*(T$2:T$1073&lt;&gt;""))),"")</f>
        <v>4.8479450567785541E-2</v>
      </c>
      <c r="AA712" cm="1">
        <f t="array" ref="AA712">IFERROR(AVERAGE(_xlfn._xlws.FILTER(U$2:U$1073,($C$2:$C$1073=$C712)*($E$2:$E$1073=$E712)*(ROW(U$2:U$1073)&lt;&gt;ROW(U712))*(U$2:U$1073&lt;&gt;""))),"")</f>
        <v>-2.6443211935212805</v>
      </c>
    </row>
    <row r="713" spans="1:27" x14ac:dyDescent="0.2">
      <c r="A713" s="7" t="s">
        <v>2266</v>
      </c>
      <c r="B713" t="str">
        <f t="shared" si="123"/>
        <v>WUSH IV кв. 2018</v>
      </c>
      <c r="C713">
        <v>2018</v>
      </c>
      <c r="D713">
        <f>SUMIFS(Дивиденды!$C:$C,Дивиденды!$A:$A,A713,Дивиденды!$I:$I,C713)</f>
        <v>0</v>
      </c>
      <c r="E713">
        <v>4</v>
      </c>
      <c r="F713">
        <f t="shared" si="124"/>
        <v>0</v>
      </c>
      <c r="G713">
        <f t="shared" si="125"/>
        <v>21.978571428571428</v>
      </c>
      <c r="H713">
        <f t="shared" si="126"/>
        <v>0</v>
      </c>
      <c r="I713">
        <f t="shared" si="122"/>
        <v>0.14285714285714285</v>
      </c>
      <c r="J713">
        <f t="shared" si="127"/>
        <v>0</v>
      </c>
      <c r="K713">
        <f t="shared" si="131"/>
        <v>-1.8223065562117002E-2</v>
      </c>
      <c r="L713">
        <f t="shared" si="128"/>
        <v>0</v>
      </c>
      <c r="M713">
        <f t="shared" si="121"/>
        <v>7.1428571428571425E-2</v>
      </c>
      <c r="N713">
        <f t="shared" si="129"/>
        <v>0</v>
      </c>
      <c r="O713">
        <f t="shared" si="130"/>
        <v>7.1428571428571425E-2</v>
      </c>
      <c r="P713" t="str">
        <f>IFERROR(LN('Дивиденды по годам'!I713),"")</f>
        <v/>
      </c>
      <c r="Q713" t="str">
        <f>IFERROR('Дивиденды по годам'!G713/'Дивиденды по годам'!I713, "")</f>
        <v/>
      </c>
      <c r="R713" t="str">
        <f>IFERROR(IF(AND('Дивиденды по годам'!N713&lt;&gt;"",'Дивиденды по годам'!U713&lt;&gt;"",'Дивиденды по годам'!U713&lt;&gt;0),'Дивиденды по годам'!N713/'Дивиденды по годам'!U713-1,""),"")</f>
        <v/>
      </c>
      <c r="S713" t="str">
        <f>IFERROR(IF(AND('Дивиденды по годам'!L713&lt;&gt;"",'Дивиденды по годам'!I713&lt;&gt;"",'Дивиденды по годам'!J713&lt;&gt;"",'Дивиденды по годам'!K713&lt;&gt;"",('Дивиденды по годам'!I713-'Дивиденды по годам'!J713-'Дивиденды по годам'!K713)&lt;&gt;0),'Дивиденды по годам'!L713/('Дивиденды по годам'!I713-'Дивиденды по годам'!J713-'Дивиденды по годам'!K713),""),"")</f>
        <v/>
      </c>
      <c r="T713" t="str">
        <f>IFERROR(IF(AND('Дивиденды по годам'!Q713&lt;&gt;"",'Дивиденды по годам'!I713&lt;&gt;"",'Дивиденды по годам'!V713&lt;&gt;"",('Дивиденды по годам'!I713+'Дивиденды по годам'!V713)&lt;&gt;0),'Дивиденды по годам'!Q713/(('Дивиденды по годам'!I713+'Дивиденды по годам'!V713)/2),""),"")</f>
        <v/>
      </c>
      <c r="U713" t="str">
        <f>IFERROR(IF(AND('Дивиденды по годам'!J713&lt;&gt;"",'Дивиденды по годам'!K713&lt;&gt;"",'Дивиденды по годам'!M713&lt;&gt;"",'Дивиденды по годам'!M713&lt;&gt;0),('Дивиденды по годам'!J713+'Дивиденды по годам'!K713)/'Дивиденды по годам'!M713,""),"")</f>
        <v/>
      </c>
      <c r="V713" cm="1">
        <f t="array" ref="V713">IFERROR(AVERAGE(_xlfn._xlws.FILTER(P$2:P$1073,($C$2:$C$1073=$C713)*($E$2:$E$1073=$E713)*(ROW(P$2:P$1073)&lt;&gt;ROW(P713))*(P$2:P$1073&lt;&gt;""))),"")</f>
        <v>24.908270704496481</v>
      </c>
      <c r="W713" cm="1">
        <f t="array" ref="W713">IFERROR(AVERAGE(_xlfn._xlws.FILTER(Q$2:Q$1073,($C$2:$C$1073=$C713)*($E$2:$E$1073=$E713)*(ROW(Q$2:Q$1073)&lt;&gt;ROW(Q713))*(Q$2:Q$1073&lt;&gt;""))),"")</f>
        <v>0.31629947227527405</v>
      </c>
      <c r="X713" cm="1">
        <f t="array" ref="X713">IFERROR(AVERAGE(_xlfn._xlws.FILTER(R$2:R$1073,($C$2:$C$1073=$C713)*($E$2:$E$1073=$E713)*(ROW(R$2:R$1073)&lt;&gt;ROW(R713))*(R$2:R$1073&lt;&gt;""))),"")</f>
        <v>5.6638288450543382E-2</v>
      </c>
      <c r="Y713" cm="1">
        <f t="array" ref="Y713">IFERROR(AVERAGE(_xlfn._xlws.FILTER(S$2:S$1073,($C$2:$C$1073=$C713)*($E$2:$E$1073=$E713)*(ROW(S$2:S$1073)&lt;&gt;ROW(S713))*(S$2:S$1073&lt;&gt;""))),"")</f>
        <v>0.64427650310006845</v>
      </c>
      <c r="Z713" cm="1">
        <f t="array" ref="Z713">IFERROR(AVERAGE(_xlfn._xlws.FILTER(T$2:T$1073,($C$2:$C$1073=$C713)*($E$2:$E$1073=$E713)*(ROW(T$2:T$1073)&lt;&gt;ROW(T713))*(T$2:T$1073&lt;&gt;""))),"")</f>
        <v>7.1418821660913928E-3</v>
      </c>
      <c r="AA713" cm="1">
        <f t="array" ref="AA713">IFERROR(AVERAGE(_xlfn._xlws.FILTER(U$2:U$1073,($C$2:$C$1073=$C713)*($E$2:$E$1073=$E713)*(ROW(U$2:U$1073)&lt;&gt;ROW(U713))*(U$2:U$1073&lt;&gt;""))),"")</f>
        <v>1.0767813683356515</v>
      </c>
    </row>
    <row r="714" spans="1:27" x14ac:dyDescent="0.2">
      <c r="A714" s="7" t="s">
        <v>2266</v>
      </c>
      <c r="B714" t="str">
        <f t="shared" si="123"/>
        <v>WUSH IV кв. 2017</v>
      </c>
      <c r="C714">
        <v>2017</v>
      </c>
      <c r="D714">
        <f>SUMIFS(Дивиденды!$C:$C,Дивиденды!$A:$A,A714,Дивиденды!$I:$I,C714)</f>
        <v>0</v>
      </c>
      <c r="E714">
        <v>4</v>
      </c>
      <c r="F714">
        <f t="shared" si="124"/>
        <v>0</v>
      </c>
      <c r="G714">
        <f t="shared" si="125"/>
        <v>18.403571428571428</v>
      </c>
      <c r="H714">
        <f t="shared" si="126"/>
        <v>0</v>
      </c>
      <c r="I714">
        <f t="shared" si="122"/>
        <v>0.14285714285714285</v>
      </c>
      <c r="J714">
        <f t="shared" si="127"/>
        <v>0</v>
      </c>
      <c r="K714">
        <f t="shared" si="131"/>
        <v>-1.7352821773673279E-2</v>
      </c>
      <c r="L714">
        <f t="shared" si="128"/>
        <v>0</v>
      </c>
      <c r="M714">
        <f t="shared" si="121"/>
        <v>0</v>
      </c>
      <c r="N714">
        <f t="shared" si="129"/>
        <v>0</v>
      </c>
      <c r="O714">
        <f t="shared" si="130"/>
        <v>0.14285714285714285</v>
      </c>
      <c r="P714" t="str">
        <f>IFERROR(LN('Дивиденды по годам'!I714),"")</f>
        <v/>
      </c>
      <c r="Q714" t="str">
        <f>IFERROR('Дивиденды по годам'!G714/'Дивиденды по годам'!I714, "")</f>
        <v/>
      </c>
      <c r="R714" t="str">
        <f>IFERROR(IF(AND('Дивиденды по годам'!N714&lt;&gt;"",'Дивиденды по годам'!U714&lt;&gt;"",'Дивиденды по годам'!U714&lt;&gt;0),'Дивиденды по годам'!N714/'Дивиденды по годам'!U714-1,""),"")</f>
        <v/>
      </c>
      <c r="S714" t="str">
        <f>IFERROR(IF(AND('Дивиденды по годам'!L714&lt;&gt;"",'Дивиденды по годам'!I714&lt;&gt;"",'Дивиденды по годам'!J714&lt;&gt;"",'Дивиденды по годам'!K714&lt;&gt;"",('Дивиденды по годам'!I714-'Дивиденды по годам'!J714-'Дивиденды по годам'!K714)&lt;&gt;0),'Дивиденды по годам'!L714/('Дивиденды по годам'!I714-'Дивиденды по годам'!J714-'Дивиденды по годам'!K714),""),"")</f>
        <v/>
      </c>
      <c r="T714" t="str">
        <f>IFERROR(IF(AND('Дивиденды по годам'!Q714&lt;&gt;"",'Дивиденды по годам'!I714&lt;&gt;"",'Дивиденды по годам'!V714&lt;&gt;"",('Дивиденды по годам'!I714+'Дивиденды по годам'!V714)&lt;&gt;0),'Дивиденды по годам'!Q714/(('Дивиденды по годам'!I714+'Дивиденды по годам'!V714)/2),""),"")</f>
        <v/>
      </c>
      <c r="U714" t="str">
        <f>IFERROR(IF(AND('Дивиденды по годам'!J714&lt;&gt;"",'Дивиденды по годам'!K714&lt;&gt;"",'Дивиденды по годам'!M714&lt;&gt;"",'Дивиденды по годам'!M714&lt;&gt;0),('Дивиденды по годам'!J714+'Дивиденды по годам'!K714)/'Дивиденды по годам'!M714,""),"")</f>
        <v/>
      </c>
      <c r="V714" cm="1">
        <f t="array" ref="V714">IFERROR(AVERAGE(_xlfn._xlws.FILTER(P$2:P$1073,($C$2:$C$1073=$C714)*($E$2:$E$1073=$E714)*(ROW(P$2:P$1073)&lt;&gt;ROW(P714))*(P$2:P$1073&lt;&gt;""))),"")</f>
        <v>24.73571056544559</v>
      </c>
      <c r="W714" cm="1">
        <f t="array" ref="W714">IFERROR(AVERAGE(_xlfn._xlws.FILTER(Q$2:Q$1073,($C$2:$C$1073=$C714)*($E$2:$E$1073=$E714)*(ROW(Q$2:Q$1073)&lt;&gt;ROW(Q714))*(Q$2:Q$1073&lt;&gt;""))),"")</f>
        <v>0.33981210980429821</v>
      </c>
      <c r="X714" cm="1">
        <f t="array" ref="X714">IFERROR(AVERAGE(_xlfn._xlws.FILTER(R$2:R$1073,($C$2:$C$1073=$C714)*($E$2:$E$1073=$E714)*(ROW(R$2:R$1073)&lt;&gt;ROW(R714))*(R$2:R$1073&lt;&gt;""))),"")</f>
        <v>0.23691718521625563</v>
      </c>
      <c r="Y714" cm="1">
        <f t="array" ref="Y714">IFERROR(AVERAGE(_xlfn._xlws.FILTER(S$2:S$1073,($C$2:$C$1073=$C714)*($E$2:$E$1073=$E714)*(ROW(S$2:S$1073)&lt;&gt;ROW(S714))*(S$2:S$1073&lt;&gt;""))),"")</f>
        <v>0.61774629406594017</v>
      </c>
      <c r="Z714" cm="1">
        <f t="array" ref="Z714">IFERROR(AVERAGE(_xlfn._xlws.FILTER(T$2:T$1073,($C$2:$C$1073=$C714)*($E$2:$E$1073=$E714)*(ROW(T$2:T$1073)&lt;&gt;ROW(T714))*(T$2:T$1073&lt;&gt;""))),"")</f>
        <v>-2.7044382152168867E-2</v>
      </c>
      <c r="AA714" cm="1">
        <f t="array" ref="AA714">IFERROR(AVERAGE(_xlfn._xlws.FILTER(U$2:U$1073,($C$2:$C$1073=$C714)*($E$2:$E$1073=$E714)*(ROW(U$2:U$1073)&lt;&gt;ROW(U714))*(U$2:U$1073&lt;&gt;""))),"")</f>
        <v>0.62620703107195774</v>
      </c>
    </row>
    <row r="715" spans="1:27" x14ac:dyDescent="0.2">
      <c r="A715" s="7" t="s">
        <v>2266</v>
      </c>
      <c r="B715" t="str">
        <f t="shared" si="123"/>
        <v>WUSH IV кв. 2016</v>
      </c>
      <c r="C715">
        <v>2016</v>
      </c>
      <c r="D715">
        <f>SUMIFS(Дивиденды!$C:$C,Дивиденды!$A:$A,A715,Дивиденды!$I:$I,C715)</f>
        <v>0</v>
      </c>
      <c r="E715">
        <v>4</v>
      </c>
      <c r="F715">
        <f t="shared" si="124"/>
        <v>0</v>
      </c>
      <c r="G715">
        <f t="shared" si="125"/>
        <v>20.421428571428571</v>
      </c>
      <c r="H715">
        <f t="shared" si="126"/>
        <v>0</v>
      </c>
      <c r="I715">
        <f t="shared" si="122"/>
        <v>0.14285714285714285</v>
      </c>
      <c r="J715">
        <f t="shared" si="127"/>
        <v>0</v>
      </c>
      <c r="K715">
        <f t="shared" si="131"/>
        <v>2.0593461763560781E-2</v>
      </c>
      <c r="L715">
        <f t="shared" si="128"/>
        <v>0</v>
      </c>
      <c r="M715">
        <f t="shared" si="121"/>
        <v>7.1428571428571425E-2</v>
      </c>
      <c r="N715">
        <f t="shared" si="129"/>
        <v>0</v>
      </c>
      <c r="O715">
        <f t="shared" si="130"/>
        <v>7.1428571428571425E-2</v>
      </c>
      <c r="P715" t="str">
        <f>IFERROR(LN('Дивиденды по годам'!I715),"")</f>
        <v/>
      </c>
      <c r="Q715" t="str">
        <f>IFERROR('Дивиденды по годам'!G715/'Дивиденды по годам'!I715, "")</f>
        <v/>
      </c>
      <c r="R715" t="str">
        <f>IFERROR(IF(AND('Дивиденды по годам'!N715&lt;&gt;"",'Дивиденды по годам'!U715&lt;&gt;"",'Дивиденды по годам'!U715&lt;&gt;0),'Дивиденды по годам'!N715/'Дивиденды по годам'!U715-1,""),"")</f>
        <v/>
      </c>
      <c r="S715" t="str">
        <f>IFERROR(IF(AND('Дивиденды по годам'!L715&lt;&gt;"",'Дивиденды по годам'!I715&lt;&gt;"",'Дивиденды по годам'!J715&lt;&gt;"",'Дивиденды по годам'!K715&lt;&gt;"",('Дивиденды по годам'!I715-'Дивиденды по годам'!J715-'Дивиденды по годам'!K715)&lt;&gt;0),'Дивиденды по годам'!L715/('Дивиденды по годам'!I715-'Дивиденды по годам'!J715-'Дивиденды по годам'!K715),""),"")</f>
        <v/>
      </c>
      <c r="T715" t="str">
        <f>IFERROR(IF(AND('Дивиденды по годам'!Q715&lt;&gt;"",'Дивиденды по годам'!I715&lt;&gt;"",'Дивиденды по годам'!V715&lt;&gt;"",('Дивиденды по годам'!I715+'Дивиденды по годам'!V715)&lt;&gt;0),'Дивиденды по годам'!Q715/(('Дивиденды по годам'!I715+'Дивиденды по годам'!V715)/2),""),"")</f>
        <v/>
      </c>
      <c r="U715" t="str">
        <f>IFERROR(IF(AND('Дивиденды по годам'!J715&lt;&gt;"",'Дивиденды по годам'!K715&lt;&gt;"",'Дивиденды по годам'!M715&lt;&gt;"",'Дивиденды по годам'!M715&lt;&gt;0),('Дивиденды по годам'!J715+'Дивиденды по годам'!K715)/'Дивиденды по годам'!M715,""),"")</f>
        <v/>
      </c>
      <c r="V715" cm="1">
        <f t="array" ref="V715">IFERROR(AVERAGE(_xlfn._xlws.FILTER(P$2:P$1073,($C$2:$C$1073=$C715)*($E$2:$E$1073=$E715)*(ROW(P$2:P$1073)&lt;&gt;ROW(P715))*(P$2:P$1073&lt;&gt;""))),"")</f>
        <v>24.55530958635584</v>
      </c>
      <c r="W715" cm="1">
        <f t="array" ref="W715">IFERROR(AVERAGE(_xlfn._xlws.FILTER(Q$2:Q$1073,($C$2:$C$1073=$C715)*($E$2:$E$1073=$E715)*(ROW(Q$2:Q$1073)&lt;&gt;ROW(Q715))*(Q$2:Q$1073&lt;&gt;""))),"")</f>
        <v>0.27878606899788128</v>
      </c>
      <c r="X715" cm="1">
        <f t="array" ref="X715">IFERROR(AVERAGE(_xlfn._xlws.FILTER(R$2:R$1073,($C$2:$C$1073=$C715)*($E$2:$E$1073=$E715)*(ROW(R$2:R$1073)&lt;&gt;ROW(R715))*(R$2:R$1073&lt;&gt;""))),"")</f>
        <v>0.16612325919082049</v>
      </c>
      <c r="Y715" cm="1">
        <f t="array" ref="Y715">IFERROR(AVERAGE(_xlfn._xlws.FILTER(S$2:S$1073,($C$2:$C$1073=$C715)*($E$2:$E$1073=$E715)*(ROW(S$2:S$1073)&lt;&gt;ROW(S715))*(S$2:S$1073&lt;&gt;""))),"")</f>
        <v>6.2178681719613929</v>
      </c>
      <c r="Z715" cm="1">
        <f t="array" ref="Z715">IFERROR(AVERAGE(_xlfn._xlws.FILTER(T$2:T$1073,($C$2:$C$1073=$C715)*($E$2:$E$1073=$E715)*(ROW(T$2:T$1073)&lt;&gt;ROW(T715))*(T$2:T$1073&lt;&gt;""))),"")</f>
        <v>-2.007011623977166E-2</v>
      </c>
      <c r="AA715" cm="1">
        <f t="array" ref="AA715">IFERROR(AVERAGE(_xlfn._xlws.FILTER(U$2:U$1073,($C$2:$C$1073=$C715)*($E$2:$E$1073=$E715)*(ROW(U$2:U$1073)&lt;&gt;ROW(U715))*(U$2:U$1073&lt;&gt;""))),"")</f>
        <v>-16.044507701133888</v>
      </c>
    </row>
    <row r="716" spans="1:27" x14ac:dyDescent="0.2">
      <c r="A716" s="7" t="s">
        <v>2266</v>
      </c>
      <c r="B716" t="str">
        <f t="shared" si="123"/>
        <v>WUSH IV кв. 2015</v>
      </c>
      <c r="C716">
        <v>2015</v>
      </c>
      <c r="D716">
        <f>SUMIFS(Дивиденды!$C:$C,Дивиденды!$A:$A,A716,Дивиденды!$I:$I,C716)</f>
        <v>0</v>
      </c>
      <c r="E716">
        <v>4</v>
      </c>
      <c r="F716">
        <f t="shared" si="124"/>
        <v>0</v>
      </c>
      <c r="G716">
        <f t="shared" si="125"/>
        <v>22.574999999999999</v>
      </c>
      <c r="H716">
        <f t="shared" si="126"/>
        <v>0</v>
      </c>
      <c r="I716">
        <f t="shared" si="122"/>
        <v>0.14285714285714285</v>
      </c>
      <c r="J716">
        <f t="shared" si="127"/>
        <v>0</v>
      </c>
      <c r="K716">
        <f t="shared" si="131"/>
        <v>6.1102189263868886E-2</v>
      </c>
      <c r="L716">
        <f t="shared" si="128"/>
        <v>0</v>
      </c>
      <c r="M716">
        <f t="shared" si="121"/>
        <v>7.1428571428571425E-2</v>
      </c>
      <c r="N716">
        <f t="shared" si="129"/>
        <v>0</v>
      </c>
      <c r="O716">
        <f t="shared" si="130"/>
        <v>7.1428571428571425E-2</v>
      </c>
      <c r="P716" t="str">
        <f>IFERROR(LN('Дивиденды по годам'!I716),"")</f>
        <v/>
      </c>
      <c r="Q716" t="str">
        <f>IFERROR('Дивиденды по годам'!G716/'Дивиденды по годам'!I716, "")</f>
        <v/>
      </c>
      <c r="R716" t="str">
        <f>IFERROR(IF(AND('Дивиденды по годам'!N716&lt;&gt;"",'Дивиденды по годам'!U716&lt;&gt;"",'Дивиденды по годам'!U716&lt;&gt;0),'Дивиденды по годам'!N716/'Дивиденды по годам'!U716-1,""),"")</f>
        <v/>
      </c>
      <c r="S716" t="str">
        <f>IFERROR(IF(AND('Дивиденды по годам'!L716&lt;&gt;"",'Дивиденды по годам'!I716&lt;&gt;"",'Дивиденды по годам'!J716&lt;&gt;"",'Дивиденды по годам'!K716&lt;&gt;"",('Дивиденды по годам'!I716-'Дивиденды по годам'!J716-'Дивиденды по годам'!K716)&lt;&gt;0),'Дивиденды по годам'!L716/('Дивиденды по годам'!I716-'Дивиденды по годам'!J716-'Дивиденды по годам'!K716),""),"")</f>
        <v/>
      </c>
      <c r="T716" t="str">
        <f>IFERROR(IF(AND('Дивиденды по годам'!Q716&lt;&gt;"",'Дивиденды по годам'!I716&lt;&gt;"",'Дивиденды по годам'!V716&lt;&gt;"",('Дивиденды по годам'!I716+'Дивиденды по годам'!V716)&lt;&gt;0),'Дивиденды по годам'!Q716/(('Дивиденды по годам'!I716+'Дивиденды по годам'!V716)/2),""),"")</f>
        <v/>
      </c>
      <c r="U716" t="str">
        <f>IFERROR(IF(AND('Дивиденды по годам'!J716&lt;&gt;"",'Дивиденды по годам'!K716&lt;&gt;"",'Дивиденды по годам'!M716&lt;&gt;"",'Дивиденды по годам'!M716&lt;&gt;0),('Дивиденды по годам'!J716+'Дивиденды по годам'!K716)/'Дивиденды по годам'!M716,""),"")</f>
        <v/>
      </c>
      <c r="V716" cm="1">
        <f t="array" ref="V716">IFERROR(AVERAGE(_xlfn._xlws.FILTER(P$2:P$1073,($C$2:$C$1073=$C716)*($E$2:$E$1073=$E716)*(ROW(P$2:P$1073)&lt;&gt;ROW(P716))*(P$2:P$1073&lt;&gt;""))),"")</f>
        <v>24.784857390248948</v>
      </c>
      <c r="W716" cm="1">
        <f t="array" ref="W716">IFERROR(AVERAGE(_xlfn._xlws.FILTER(Q$2:Q$1073,($C$2:$C$1073=$C716)*($E$2:$E$1073=$E716)*(ROW(Q$2:Q$1073)&lt;&gt;ROW(Q716))*(Q$2:Q$1073&lt;&gt;""))),"")</f>
        <v>0.29707306985497267</v>
      </c>
      <c r="X716" cm="1">
        <f t="array" ref="X716">IFERROR(AVERAGE(_xlfn._xlws.FILTER(R$2:R$1073,($C$2:$C$1073=$C716)*($E$2:$E$1073=$E716)*(ROW(R$2:R$1073)&lt;&gt;ROW(R716))*(R$2:R$1073&lt;&gt;""))),"")</f>
        <v>0.20074687596566593</v>
      </c>
      <c r="Y716" cm="1">
        <f t="array" ref="Y716">IFERROR(AVERAGE(_xlfn._xlws.FILTER(S$2:S$1073,($C$2:$C$1073=$C716)*($E$2:$E$1073=$E716)*(ROW(S$2:S$1073)&lt;&gt;ROW(S716))*(S$2:S$1073&lt;&gt;""))),"")</f>
        <v>-0.60736862679830428</v>
      </c>
      <c r="Z716" cm="1">
        <f t="array" ref="Z716">IFERROR(AVERAGE(_xlfn._xlws.FILTER(T$2:T$1073,($C$2:$C$1073=$C716)*($E$2:$E$1073=$E716)*(ROW(T$2:T$1073)&lt;&gt;ROW(T716))*(T$2:T$1073&lt;&gt;""))),"")</f>
        <v>6.4031956193225284E-2</v>
      </c>
      <c r="AA716" cm="1">
        <f t="array" ref="AA716">IFERROR(AVERAGE(_xlfn._xlws.FILTER(U$2:U$1073,($C$2:$C$1073=$C716)*($E$2:$E$1073=$E716)*(ROW(U$2:U$1073)&lt;&gt;ROW(U716))*(U$2:U$1073&lt;&gt;""))),"")</f>
        <v>5.5189604575277329</v>
      </c>
    </row>
    <row r="717" spans="1:27" x14ac:dyDescent="0.2">
      <c r="A717" s="7" t="s">
        <v>2266</v>
      </c>
      <c r="B717" t="str">
        <f t="shared" si="123"/>
        <v>WUSH IV кв. 2014</v>
      </c>
      <c r="C717">
        <v>2014</v>
      </c>
      <c r="D717">
        <f>SUMIFS(Дивиденды!$C:$C,Дивиденды!$A:$A,A717,Дивиденды!$I:$I,C717)</f>
        <v>0</v>
      </c>
      <c r="E717">
        <v>4</v>
      </c>
      <c r="F717">
        <f t="shared" si="124"/>
        <v>0</v>
      </c>
      <c r="G717">
        <f t="shared" si="125"/>
        <v>25.924285714285713</v>
      </c>
      <c r="H717">
        <f t="shared" si="126"/>
        <v>0</v>
      </c>
      <c r="I717">
        <f t="shared" si="122"/>
        <v>7.1428571428571425E-2</v>
      </c>
      <c r="J717">
        <f t="shared" si="127"/>
        <v>0</v>
      </c>
      <c r="K717">
        <f t="shared" si="131"/>
        <v>4.887635107293415E-2</v>
      </c>
      <c r="L717">
        <f t="shared" si="128"/>
        <v>0</v>
      </c>
      <c r="M717">
        <f t="shared" si="121"/>
        <v>7.1428571428571425E-2</v>
      </c>
      <c r="N717">
        <f t="shared" si="129"/>
        <v>0</v>
      </c>
      <c r="O717">
        <f t="shared" si="130"/>
        <v>7.1428571428571425E-2</v>
      </c>
      <c r="P717" t="str">
        <f>IFERROR(LN('Дивиденды по годам'!I717),"")</f>
        <v/>
      </c>
      <c r="Q717" t="str">
        <f>IFERROR('Дивиденды по годам'!G717/'Дивиденды по годам'!I717, "")</f>
        <v/>
      </c>
      <c r="R717" t="str">
        <f>IFERROR(IF(AND('Дивиденды по годам'!N717&lt;&gt;"",'Дивиденды по годам'!U717&lt;&gt;"",'Дивиденды по годам'!U717&lt;&gt;0),'Дивиденды по годам'!N717/'Дивиденды по годам'!U717-1,""),"")</f>
        <v/>
      </c>
      <c r="S717" t="str">
        <f>IFERROR(IF(AND('Дивиденды по годам'!L717&lt;&gt;"",'Дивиденды по годам'!I717&lt;&gt;"",'Дивиденды по годам'!J717&lt;&gt;"",'Дивиденды по годам'!K717&lt;&gt;"",('Дивиденды по годам'!I717-'Дивиденды по годам'!J717-'Дивиденды по годам'!K717)&lt;&gt;0),'Дивиденды по годам'!L717/('Дивиденды по годам'!I717-'Дивиденды по годам'!J717-'Дивиденды по годам'!K717),""),"")</f>
        <v/>
      </c>
      <c r="T717" t="str">
        <f>IFERROR(IF(AND('Дивиденды по годам'!Q717&lt;&gt;"",'Дивиденды по годам'!I717&lt;&gt;"",'Дивиденды по годам'!V717&lt;&gt;"",('Дивиденды по годам'!I717+'Дивиденды по годам'!V717)&lt;&gt;0),'Дивиденды по годам'!Q717/(('Дивиденды по годам'!I717+'Дивиденды по годам'!V717)/2),""),"")</f>
        <v/>
      </c>
      <c r="U717" t="str">
        <f>IFERROR(IF(AND('Дивиденды по годам'!J717&lt;&gt;"",'Дивиденды по годам'!K717&lt;&gt;"",'Дивиденды по годам'!M717&lt;&gt;"",'Дивиденды по годам'!M717&lt;&gt;0),('Дивиденды по годам'!J717+'Дивиденды по годам'!K717)/'Дивиденды по годам'!M717,""),"")</f>
        <v/>
      </c>
      <c r="V717" cm="1">
        <f t="array" ref="V717">IFERROR(AVERAGE(_xlfn._xlws.FILTER(P$2:P$1073,($C$2:$C$1073=$C717)*($E$2:$E$1073=$E717)*(ROW(P$2:P$1073)&lt;&gt;ROW(P717))*(P$2:P$1073&lt;&gt;""))),"")</f>
        <v>24.777851287837404</v>
      </c>
      <c r="W717" cm="1">
        <f t="array" ref="W717">IFERROR(AVERAGE(_xlfn._xlws.FILTER(Q$2:Q$1073,($C$2:$C$1073=$C717)*($E$2:$E$1073=$E717)*(ROW(Q$2:Q$1073)&lt;&gt;ROW(Q717))*(Q$2:Q$1073&lt;&gt;""))),"")</f>
        <v>0.28994951624266957</v>
      </c>
      <c r="X717" cm="1">
        <f t="array" ref="X717">IFERROR(AVERAGE(_xlfn._xlws.FILTER(R$2:R$1073,($C$2:$C$1073=$C717)*($E$2:$E$1073=$E717)*(ROW(R$2:R$1073)&lt;&gt;ROW(R717))*(R$2:R$1073&lt;&gt;""))),"")</f>
        <v>8.5517195784799244E-2</v>
      </c>
      <c r="Y717" cm="1">
        <f t="array" ref="Y717">IFERROR(AVERAGE(_xlfn._xlws.FILTER(S$2:S$1073,($C$2:$C$1073=$C717)*($E$2:$E$1073=$E717)*(ROW(S$2:S$1073)&lt;&gt;ROW(S717))*(S$2:S$1073&lt;&gt;""))),"")</f>
        <v>-8.9932559622525012</v>
      </c>
      <c r="Z717" cm="1">
        <f t="array" ref="Z717">IFERROR(AVERAGE(_xlfn._xlws.FILTER(T$2:T$1073,($C$2:$C$1073=$C717)*($E$2:$E$1073=$E717)*(ROW(T$2:T$1073)&lt;&gt;ROW(T717))*(T$2:T$1073&lt;&gt;""))),"")</f>
        <v>3.4958573241250623E-2</v>
      </c>
      <c r="AA717" cm="1">
        <f t="array" ref="AA717">IFERROR(AVERAGE(_xlfn._xlws.FILTER(U$2:U$1073,($C$2:$C$1073=$C717)*($E$2:$E$1073=$E717)*(ROW(U$2:U$1073)&lt;&gt;ROW(U717))*(U$2:U$1073&lt;&gt;""))),"")</f>
        <v>34.444280572958768</v>
      </c>
    </row>
    <row r="718" spans="1:27" x14ac:dyDescent="0.2">
      <c r="A718" s="7" t="s">
        <v>2266</v>
      </c>
      <c r="B718" t="str">
        <f t="shared" si="123"/>
        <v>WUSH IV кв. 2013</v>
      </c>
      <c r="C718">
        <v>2013</v>
      </c>
      <c r="D718">
        <f>SUMIFS(Дивиденды!$C:$C,Дивиденды!$A:$A,A718,Дивиденды!$I:$I,C718)</f>
        <v>0</v>
      </c>
      <c r="E718">
        <v>4</v>
      </c>
      <c r="F718">
        <f t="shared" si="124"/>
        <v>0</v>
      </c>
      <c r="G718">
        <f t="shared" si="125"/>
        <v>13.409285714285716</v>
      </c>
      <c r="H718">
        <f t="shared" si="126"/>
        <v>0</v>
      </c>
      <c r="I718">
        <f t="shared" si="122"/>
        <v>0.14285714285714285</v>
      </c>
      <c r="J718">
        <f t="shared" si="127"/>
        <v>0</v>
      </c>
      <c r="K718">
        <f t="shared" si="131"/>
        <v>4.7291245939064024E-2</v>
      </c>
      <c r="L718">
        <f t="shared" si="128"/>
        <v>0</v>
      </c>
      <c r="M718">
        <f t="shared" si="121"/>
        <v>7.1428571428571425E-2</v>
      </c>
      <c r="N718">
        <f t="shared" si="129"/>
        <v>0</v>
      </c>
      <c r="O718">
        <f t="shared" si="130"/>
        <v>0</v>
      </c>
      <c r="P718" t="str">
        <f>IFERROR(LN('Дивиденды по годам'!I718),"")</f>
        <v/>
      </c>
      <c r="Q718" t="str">
        <f>IFERROR('Дивиденды по годам'!G718/'Дивиденды по годам'!I718, "")</f>
        <v/>
      </c>
      <c r="R718" t="str">
        <f>IFERROR(IF(AND('Дивиденды по годам'!N718&lt;&gt;"",'Дивиденды по годам'!U718&lt;&gt;"",'Дивиденды по годам'!U718&lt;&gt;0),'Дивиденды по годам'!N718/'Дивиденды по годам'!U718-1,""),"")</f>
        <v/>
      </c>
      <c r="S718" t="str">
        <f>IFERROR(IF(AND('Дивиденды по годам'!L718&lt;&gt;"",'Дивиденды по годам'!I718&lt;&gt;"",'Дивиденды по годам'!J718&lt;&gt;"",'Дивиденды по годам'!K718&lt;&gt;"",('Дивиденды по годам'!I718-'Дивиденды по годам'!J718-'Дивиденды по годам'!K718)&lt;&gt;0),'Дивиденды по годам'!L718/('Дивиденды по годам'!I718-'Дивиденды по годам'!J718-'Дивиденды по годам'!K718),""),"")</f>
        <v/>
      </c>
      <c r="T718" t="str">
        <f>IFERROR(IF(AND('Дивиденды по годам'!Q718&lt;&gt;"",'Дивиденды по годам'!I718&lt;&gt;"",'Дивиденды по годам'!V718&lt;&gt;"",('Дивиденды по годам'!I718+'Дивиденды по годам'!V718)&lt;&gt;0),'Дивиденды по годам'!Q718/(('Дивиденды по годам'!I718+'Дивиденды по годам'!V718)/2),""),"")</f>
        <v/>
      </c>
      <c r="U718" t="str">
        <f>IFERROR(IF(AND('Дивиденды по годам'!J718&lt;&gt;"",'Дивиденды по годам'!K718&lt;&gt;"",'Дивиденды по годам'!M718&lt;&gt;"",'Дивиденды по годам'!M718&lt;&gt;0),('Дивиденды по годам'!J718+'Дивиденды по годам'!K718)/'Дивиденды по годам'!M718,""),"")</f>
        <v/>
      </c>
      <c r="V718" cm="1">
        <f t="array" ref="V718">IFERROR(AVERAGE(_xlfn._xlws.FILTER(P$2:P$1073,($C$2:$C$1073=$C718)*($E$2:$E$1073=$E718)*(ROW(P$2:P$1073)&lt;&gt;ROW(P718))*(P$2:P$1073&lt;&gt;""))),"")</f>
        <v>24.281308125321722</v>
      </c>
      <c r="W718" cm="1">
        <f t="array" ref="W718">IFERROR(AVERAGE(_xlfn._xlws.FILTER(Q$2:Q$1073,($C$2:$C$1073=$C718)*($E$2:$E$1073=$E718)*(ROW(Q$2:Q$1073)&lt;&gt;ROW(Q718))*(Q$2:Q$1073&lt;&gt;""))),"")</f>
        <v>0.34809372453666254</v>
      </c>
      <c r="X718" cm="1">
        <f t="array" ref="X718">IFERROR(AVERAGE(_xlfn._xlws.FILTER(R$2:R$1073,($C$2:$C$1073=$C718)*($E$2:$E$1073=$E718)*(ROW(R$2:R$1073)&lt;&gt;ROW(R718))*(R$2:R$1073&lt;&gt;""))),"")</f>
        <v>0.17531341667142472</v>
      </c>
      <c r="Y718" t="str" cm="1">
        <f t="array" ref="Y718">IFERROR(AVERAGE(_xlfn._xlws.FILTER(S$2:S$1073,($C$2:$C$1073=$C718)*($E$2:$E$1073=$E718)*(ROW(S$2:S$1073)&lt;&gt;ROW(S718))*(S$2:S$1073&lt;&gt;""))),"")</f>
        <v/>
      </c>
      <c r="Z718" cm="1">
        <f t="array" ref="Z718">IFERROR(AVERAGE(_xlfn._xlws.FILTER(T$2:T$1073,($C$2:$C$1073=$C718)*($E$2:$E$1073=$E718)*(ROW(T$2:T$1073)&lt;&gt;ROW(T718))*(T$2:T$1073&lt;&gt;""))),"")</f>
        <v>-0.12490141563278262</v>
      </c>
      <c r="AA718" cm="1">
        <f t="array" ref="AA718">IFERROR(AVERAGE(_xlfn._xlws.FILTER(U$2:U$1073,($C$2:$C$1073=$C718)*($E$2:$E$1073=$E718)*(ROW(U$2:U$1073)&lt;&gt;ROW(U718))*(U$2:U$1073&lt;&gt;""))),"")</f>
        <v>0.44566877182826042</v>
      </c>
    </row>
    <row r="719" spans="1:27" x14ac:dyDescent="0.2">
      <c r="A719" s="7" t="s">
        <v>2266</v>
      </c>
      <c r="B719" t="str">
        <f t="shared" si="123"/>
        <v>WUSH IV кв. 2012</v>
      </c>
      <c r="C719">
        <v>2012</v>
      </c>
      <c r="D719">
        <f>SUMIFS(Дивиденды!$C:$C,Дивиденды!$A:$A,A719,Дивиденды!$I:$I,C719)</f>
        <v>0</v>
      </c>
      <c r="E719">
        <v>4</v>
      </c>
      <c r="F719">
        <f t="shared" si="124"/>
        <v>0</v>
      </c>
      <c r="G719">
        <f t="shared" si="125"/>
        <v>9.5621428571428577</v>
      </c>
      <c r="H719">
        <f t="shared" si="126"/>
        <v>0</v>
      </c>
      <c r="I719">
        <f t="shared" si="122"/>
        <v>0.14285714285714285</v>
      </c>
      <c r="J719">
        <f t="shared" si="127"/>
        <v>0</v>
      </c>
      <c r="K719">
        <f t="shared" si="131"/>
        <v>0.25341100242975517</v>
      </c>
      <c r="L719">
        <f t="shared" si="128"/>
        <v>0</v>
      </c>
      <c r="M719">
        <f t="shared" si="121"/>
        <v>0.14285714285714285</v>
      </c>
      <c r="N719">
        <f t="shared" si="129"/>
        <v>0</v>
      </c>
      <c r="O719">
        <f t="shared" si="130"/>
        <v>0</v>
      </c>
      <c r="P719" t="str">
        <f>IFERROR(LN('Дивиденды по годам'!I719),"")</f>
        <v/>
      </c>
      <c r="Q719" t="str">
        <f>IFERROR('Дивиденды по годам'!G719/'Дивиденды по годам'!I719, "")</f>
        <v/>
      </c>
      <c r="R719" t="str">
        <f>IFERROR(IF(AND('Дивиденды по годам'!N719&lt;&gt;"",'Дивиденды по годам'!U719&lt;&gt;"",'Дивиденды по годам'!U719&lt;&gt;0),'Дивиденды по годам'!N719/'Дивиденды по годам'!U719-1,""),"")</f>
        <v/>
      </c>
      <c r="S719" t="str">
        <f>IFERROR(IF(AND('Дивиденды по годам'!L719&lt;&gt;"",'Дивиденды по годам'!I719&lt;&gt;"",'Дивиденды по годам'!J719&lt;&gt;"",'Дивиденды по годам'!K719&lt;&gt;"",('Дивиденды по годам'!I719-'Дивиденды по годам'!J719-'Дивиденды по годам'!K719)&lt;&gt;0),'Дивиденды по годам'!L719/('Дивиденды по годам'!I719-'Дивиденды по годам'!J719-'Дивиденды по годам'!K719),""),"")</f>
        <v/>
      </c>
      <c r="T719" t="str">
        <f>IFERROR(IF(AND('Дивиденды по годам'!Q719&lt;&gt;"",'Дивиденды по годам'!I719&lt;&gt;"",'Дивиденды по годам'!V719&lt;&gt;"",('Дивиденды по годам'!I719+'Дивиденды по годам'!V719)&lt;&gt;0),'Дивиденды по годам'!Q719/(('Дивиденды по годам'!I719+'Дивиденды по годам'!V719)/2),""),"")</f>
        <v/>
      </c>
      <c r="U719" t="str">
        <f>IFERROR(IF(AND('Дивиденды по годам'!J719&lt;&gt;"",'Дивиденды по годам'!K719&lt;&gt;"",'Дивиденды по годам'!M719&lt;&gt;"",'Дивиденды по годам'!M719&lt;&gt;0),('Дивиденды по годам'!J719+'Дивиденды по годам'!K719)/'Дивиденды по годам'!M719,""),"")</f>
        <v/>
      </c>
      <c r="V719" cm="1">
        <f t="array" ref="V719">IFERROR(AVERAGE(_xlfn._xlws.FILTER(P$2:P$1073,($C$2:$C$1073=$C719)*($E$2:$E$1073=$E719)*(ROW(P$2:P$1073)&lt;&gt;ROW(P719))*(P$2:P$1073&lt;&gt;""))),"")</f>
        <v>24.228370506718147</v>
      </c>
      <c r="W719" cm="1">
        <f t="array" ref="W719">IFERROR(AVERAGE(_xlfn._xlws.FILTER(Q$2:Q$1073,($C$2:$C$1073=$C719)*($E$2:$E$1073=$E719)*(ROW(Q$2:Q$1073)&lt;&gt;ROW(Q719))*(Q$2:Q$1073&lt;&gt;""))),"")</f>
        <v>0.2820560824162458</v>
      </c>
      <c r="X719" cm="1">
        <f t="array" ref="X719">IFERROR(AVERAGE(_xlfn._xlws.FILTER(R$2:R$1073,($C$2:$C$1073=$C719)*($E$2:$E$1073=$E719)*(ROW(R$2:R$1073)&lt;&gt;ROW(R719))*(R$2:R$1073&lt;&gt;""))),"")</f>
        <v>-2.2522357472477484E-2</v>
      </c>
      <c r="Y719" cm="1">
        <f t="array" ref="Y719">IFERROR(AVERAGE(_xlfn._xlws.FILTER(S$2:S$1073,($C$2:$C$1073=$C719)*($E$2:$E$1073=$E719)*(ROW(S$2:S$1073)&lt;&gt;ROW(S719))*(S$2:S$1073&lt;&gt;""))),"")</f>
        <v>-1.7651061513336963</v>
      </c>
      <c r="Z719" cm="1">
        <f t="array" ref="Z719">IFERROR(AVERAGE(_xlfn._xlws.FILTER(T$2:T$1073,($C$2:$C$1073=$C719)*($E$2:$E$1073=$E719)*(ROW(T$2:T$1073)&lt;&gt;ROW(T719))*(T$2:T$1073&lt;&gt;""))),"")</f>
        <v>6.8400459116201365E-2</v>
      </c>
      <c r="AA719" cm="1">
        <f t="array" ref="AA719">IFERROR(AVERAGE(_xlfn._xlws.FILTER(U$2:U$1073,($C$2:$C$1073=$C719)*($E$2:$E$1073=$E719)*(ROW(U$2:U$1073)&lt;&gt;ROW(U719))*(U$2:U$1073&lt;&gt;""))),"")</f>
        <v>-3.9631898894189463</v>
      </c>
    </row>
    <row r="720" spans="1:27" x14ac:dyDescent="0.2">
      <c r="A720" s="7" t="s">
        <v>2266</v>
      </c>
      <c r="B720" t="str">
        <f t="shared" si="123"/>
        <v>WUSH IV кв. 2011</v>
      </c>
      <c r="C720">
        <v>2011</v>
      </c>
      <c r="D720">
        <f>SUMIFS(Дивиденды!$C:$C,Дивиденды!$A:$A,A720,Дивиденды!$I:$I,C720)</f>
        <v>0</v>
      </c>
      <c r="E720">
        <v>4</v>
      </c>
      <c r="F720">
        <f t="shared" si="124"/>
        <v>0</v>
      </c>
      <c r="G720">
        <f t="shared" si="125"/>
        <v>1.6378571428571429</v>
      </c>
      <c r="H720">
        <f t="shared" si="126"/>
        <v>0</v>
      </c>
      <c r="I720">
        <f t="shared" si="122"/>
        <v>7.1428571428571425E-2</v>
      </c>
      <c r="J720">
        <f t="shared" si="127"/>
        <v>0</v>
      </c>
      <c r="K720">
        <f t="shared" si="131"/>
        <v>0.17786475320721892</v>
      </c>
      <c r="L720">
        <f t="shared" si="128"/>
        <v>0</v>
      </c>
      <c r="M720">
        <f t="shared" si="121"/>
        <v>7.1428571428571425E-2</v>
      </c>
      <c r="N720">
        <f t="shared" si="129"/>
        <v>0</v>
      </c>
      <c r="O720">
        <f t="shared" si="130"/>
        <v>0</v>
      </c>
      <c r="P720" t="str">
        <f>IFERROR(LN('Дивиденды по годам'!I720),"")</f>
        <v/>
      </c>
      <c r="Q720" t="str">
        <f>IFERROR('Дивиденды по годам'!G720/'Дивиденды по годам'!I720, "")</f>
        <v/>
      </c>
      <c r="R720" t="str">
        <f>IFERROR(IF(AND('Дивиденды по годам'!N720&lt;&gt;"",'Дивиденды по годам'!U720&lt;&gt;"",'Дивиденды по годам'!U720&lt;&gt;0),'Дивиденды по годам'!N720/'Дивиденды по годам'!U720-1,""),"")</f>
        <v/>
      </c>
      <c r="S720" t="str">
        <f>IFERROR(IF(AND('Дивиденды по годам'!L720&lt;&gt;"",'Дивиденды по годам'!I720&lt;&gt;"",'Дивиденды по годам'!J720&lt;&gt;"",'Дивиденды по годам'!K720&lt;&gt;"",('Дивиденды по годам'!I720-'Дивиденды по годам'!J720-'Дивиденды по годам'!K720)&lt;&gt;0),'Дивиденды по годам'!L720/('Дивиденды по годам'!I720-'Дивиденды по годам'!J720-'Дивиденды по годам'!K720),""),"")</f>
        <v/>
      </c>
      <c r="T720" t="str">
        <f>IFERROR(IF(AND('Дивиденды по годам'!Q720&lt;&gt;"",'Дивиденды по годам'!I720&lt;&gt;"",'Дивиденды по годам'!V720&lt;&gt;"",('Дивиденды по годам'!I720+'Дивиденды по годам'!V720)&lt;&gt;0),'Дивиденды по годам'!Q720/(('Дивиденды по годам'!I720+'Дивиденды по годам'!V720)/2),""),"")</f>
        <v/>
      </c>
      <c r="U720" t="str">
        <f>IFERROR(IF(AND('Дивиденды по годам'!J720&lt;&gt;"",'Дивиденды по годам'!K720&lt;&gt;"",'Дивиденды по годам'!M720&lt;&gt;"",'Дивиденды по годам'!M720&lt;&gt;0),('Дивиденды по годам'!J720+'Дивиденды по годам'!K720)/'Дивиденды по годам'!M720,""),"")</f>
        <v/>
      </c>
      <c r="V720" cm="1">
        <f t="array" ref="V720">IFERROR(AVERAGE(_xlfn._xlws.FILTER(P$2:P$1073,($C$2:$C$1073=$C720)*($E$2:$E$1073=$E720)*(ROW(P$2:P$1073)&lt;&gt;ROW(P720))*(P$2:P$1073&lt;&gt;""))),"")</f>
        <v>24.180789108496477</v>
      </c>
      <c r="W720" cm="1">
        <f t="array" ref="W720">IFERROR(AVERAGE(_xlfn._xlws.FILTER(Q$2:Q$1073,($C$2:$C$1073=$C720)*($E$2:$E$1073=$E720)*(ROW(Q$2:Q$1073)&lt;&gt;ROW(Q720))*(Q$2:Q$1073&lt;&gt;""))),"")</f>
        <v>0.29604752502083465</v>
      </c>
      <c r="X720" cm="1">
        <f t="array" ref="X720">IFERROR(AVERAGE(_xlfn._xlws.FILTER(R$2:R$1073,($C$2:$C$1073=$C720)*($E$2:$E$1073=$E720)*(ROW(R$2:R$1073)&lt;&gt;ROW(R720))*(R$2:R$1073&lt;&gt;""))),"")</f>
        <v>5.9511017560386792E-2</v>
      </c>
      <c r="Y720" t="str" cm="1">
        <f t="array" ref="Y720">IFERROR(AVERAGE(_xlfn._xlws.FILTER(S$2:S$1073,($C$2:$C$1073=$C720)*($E$2:$E$1073=$E720)*(ROW(S$2:S$1073)&lt;&gt;ROW(S720))*(S$2:S$1073&lt;&gt;""))),"")</f>
        <v/>
      </c>
      <c r="Z720" cm="1">
        <f t="array" ref="Z720">IFERROR(AVERAGE(_xlfn._xlws.FILTER(T$2:T$1073,($C$2:$C$1073=$C720)*($E$2:$E$1073=$E720)*(ROW(T$2:T$1073)&lt;&gt;ROW(T720))*(T$2:T$1073&lt;&gt;""))),"")</f>
        <v>-1.4171101286470289E-2</v>
      </c>
      <c r="AA720" cm="1">
        <f t="array" ref="AA720">IFERROR(AVERAGE(_xlfn._xlws.FILTER(U$2:U$1073,($C$2:$C$1073=$C720)*($E$2:$E$1073=$E720)*(ROW(U$2:U$1073)&lt;&gt;ROW(U720))*(U$2:U$1073&lt;&gt;""))),"")</f>
        <v>2.1854574410792247</v>
      </c>
    </row>
    <row r="721" spans="1:27" x14ac:dyDescent="0.2">
      <c r="A721" s="7" t="s">
        <v>2266</v>
      </c>
      <c r="B721" t="str">
        <f t="shared" si="123"/>
        <v>WUSH IV кв. 2010</v>
      </c>
      <c r="C721">
        <v>2010</v>
      </c>
      <c r="D721">
        <f>SUMIFS(Дивиденды!$C:$C,Дивиденды!$A:$A,A721,Дивиденды!$I:$I,C721)</f>
        <v>0</v>
      </c>
      <c r="E721">
        <v>4</v>
      </c>
      <c r="F721">
        <f t="shared" si="124"/>
        <v>0</v>
      </c>
      <c r="G721">
        <f t="shared" si="125"/>
        <v>0.46928571428571431</v>
      </c>
      <c r="H721">
        <f t="shared" si="126"/>
        <v>0</v>
      </c>
      <c r="I721">
        <f t="shared" si="122"/>
        <v>7.1428571428571425E-2</v>
      </c>
      <c r="J721" t="str">
        <f t="shared" si="127"/>
        <v/>
      </c>
      <c r="K721" t="str">
        <f t="shared" si="131"/>
        <v/>
      </c>
      <c r="L721" t="str">
        <f t="shared" si="128"/>
        <v/>
      </c>
      <c r="M721" t="str">
        <f t="shared" si="121"/>
        <v/>
      </c>
      <c r="N721" t="str">
        <f t="shared" si="129"/>
        <v/>
      </c>
      <c r="O721" t="str">
        <f t="shared" si="130"/>
        <v/>
      </c>
      <c r="P721" t="str">
        <f>IFERROR(LN('Дивиденды по годам'!I721),"")</f>
        <v/>
      </c>
      <c r="Q721" t="str">
        <f>IFERROR('Дивиденды по годам'!G721/'Дивиденды по годам'!I721, "")</f>
        <v/>
      </c>
      <c r="R721" t="str">
        <f>IFERROR(IF(AND('Дивиденды по годам'!N721&lt;&gt;"",'Дивиденды по годам'!U721&lt;&gt;"",'Дивиденды по годам'!U721&lt;&gt;0),'Дивиденды по годам'!N721/'Дивиденды по годам'!U721-1,""),"")</f>
        <v/>
      </c>
      <c r="S721" t="str">
        <f>IFERROR(IF(AND('Дивиденды по годам'!L721&lt;&gt;"",'Дивиденды по годам'!I721&lt;&gt;"",'Дивиденды по годам'!J721&lt;&gt;"",'Дивиденды по годам'!K721&lt;&gt;"",('Дивиденды по годам'!I721-'Дивиденды по годам'!J721-'Дивиденды по годам'!K721)&lt;&gt;0),'Дивиденды по годам'!L721/('Дивиденды по годам'!I721-'Дивиденды по годам'!J721-'Дивиденды по годам'!K721),""),"")</f>
        <v/>
      </c>
      <c r="T721" t="str">
        <f>IFERROR(IF(AND('Дивиденды по годам'!Q721&lt;&gt;"",'Дивиденды по годам'!I721&lt;&gt;"",'Дивиденды по годам'!V721&lt;&gt;"",('Дивиденды по годам'!I721+'Дивиденды по годам'!V721)&lt;&gt;0),'Дивиденды по годам'!Q721/(('Дивиденды по годам'!I721+'Дивиденды по годам'!V721)/2),""),"")</f>
        <v/>
      </c>
      <c r="U721" t="str">
        <f>IFERROR(IF(AND('Дивиденды по годам'!J721&lt;&gt;"",'Дивиденды по годам'!K721&lt;&gt;"",'Дивиденды по годам'!M721&lt;&gt;"",'Дивиденды по годам'!M721&lt;&gt;0),('Дивиденды по годам'!J721+'Дивиденды по годам'!K721)/'Дивиденды по годам'!M721,""),"")</f>
        <v/>
      </c>
      <c r="V721" cm="1">
        <f t="array" ref="V721">IFERROR(AVERAGE(_xlfn._xlws.FILTER(P$2:P$1073,($C$2:$C$1073=$C721)*($E$2:$E$1073=$E721)*(ROW(P$2:P$1073)&lt;&gt;ROW(P721))*(P$2:P$1073&lt;&gt;""))),"")</f>
        <v>23.656010386255485</v>
      </c>
      <c r="W721" cm="1">
        <f t="array" ref="W721">IFERROR(AVERAGE(_xlfn._xlws.FILTER(Q$2:Q$1073,($C$2:$C$1073=$C721)*($E$2:$E$1073=$E721)*(ROW(Q$2:Q$1073)&lt;&gt;ROW(Q721))*(Q$2:Q$1073&lt;&gt;""))),"")</f>
        <v>0.15222241747474585</v>
      </c>
      <c r="X721" t="str" cm="1">
        <f t="array" ref="X721">IFERROR(AVERAGE(_xlfn._xlws.FILTER(R$2:R$1073,($C$2:$C$1073=$C721)*($E$2:$E$1073=$E721)*(ROW(R$2:R$1073)&lt;&gt;ROW(R721))*(R$2:R$1073&lt;&gt;""))),"")</f>
        <v/>
      </c>
      <c r="Y721" t="str" cm="1">
        <f t="array" ref="Y721">IFERROR(AVERAGE(_xlfn._xlws.FILTER(S$2:S$1073,($C$2:$C$1073=$C721)*($E$2:$E$1073=$E721)*(ROW(S$2:S$1073)&lt;&gt;ROW(S721))*(S$2:S$1073&lt;&gt;""))),"")</f>
        <v/>
      </c>
      <c r="Z721" t="str" cm="1">
        <f t="array" ref="Z721">IFERROR(AVERAGE(_xlfn._xlws.FILTER(T$2:T$1073,($C$2:$C$1073=$C721)*($E$2:$E$1073=$E721)*(ROW(T$2:T$1073)&lt;&gt;ROW(T721))*(T$2:T$1073&lt;&gt;""))),"")</f>
        <v/>
      </c>
      <c r="AA721" cm="1">
        <f t="array" ref="AA721">IFERROR(AVERAGE(_xlfn._xlws.FILTER(U$2:U$1073,($C$2:$C$1073=$C721)*($E$2:$E$1073=$E721)*(ROW(U$2:U$1073)&lt;&gt;ROW(U721))*(U$2:U$1073&lt;&gt;""))),"")</f>
        <v>2.8988498110700496</v>
      </c>
    </row>
    <row r="722" spans="1:27" x14ac:dyDescent="0.2">
      <c r="A722" s="7" t="s">
        <v>2268</v>
      </c>
      <c r="B722" t="str">
        <f t="shared" si="123"/>
        <v>X5 IV кв. 2025</v>
      </c>
      <c r="C722">
        <v>2025</v>
      </c>
      <c r="D722">
        <f>SUMIFS(Дивиденды!$C:$C,Дивиденды!$A:$A,A722,Дивиденды!$I:$I,C722)</f>
        <v>368</v>
      </c>
      <c r="E722">
        <v>4</v>
      </c>
      <c r="F722">
        <f t="shared" si="124"/>
        <v>368</v>
      </c>
      <c r="G722">
        <f t="shared" si="125"/>
        <v>5.2957142857142854</v>
      </c>
      <c r="H722">
        <f t="shared" si="126"/>
        <v>1</v>
      </c>
      <c r="I722">
        <f t="shared" si="122"/>
        <v>0.35714285714285715</v>
      </c>
      <c r="J722">
        <f t="shared" si="127"/>
        <v>-0.43209876543209874</v>
      </c>
      <c r="K722">
        <f t="shared" si="131"/>
        <v>-0.15166214570983211</v>
      </c>
      <c r="L722">
        <f t="shared" si="128"/>
        <v>0</v>
      </c>
      <c r="M722">
        <f t="shared" si="121"/>
        <v>0.14285714285714285</v>
      </c>
      <c r="N722">
        <f t="shared" si="129"/>
        <v>1</v>
      </c>
      <c r="O722">
        <f t="shared" si="130"/>
        <v>0.42857142857142855</v>
      </c>
      <c r="P722">
        <f>IFERROR(LN('Дивиденды по годам'!I722),"")</f>
        <v>28.286197441936437</v>
      </c>
      <c r="Q722">
        <f>IFERROR('Дивиденды по годам'!G722/'Дивиденды по годам'!I722, "")</f>
        <v>0.26670464849840197</v>
      </c>
      <c r="R722">
        <f>IFERROR(IF(AND('Дивиденды по годам'!N722&lt;&gt;"",'Дивиденды по годам'!U722&lt;&gt;"",'Дивиденды по годам'!U722&lt;&gt;0),'Дивиденды по годам'!N722/'Дивиденды по годам'!U722-1,""),"")</f>
        <v>0.18781427142508766</v>
      </c>
      <c r="S722">
        <f>IFERROR(IF(AND('Дивиденды по годам'!L722&lt;&gt;"",'Дивиденды по годам'!I722&lt;&gt;"",'Дивиденды по годам'!J722&lt;&gt;"",'Дивиденды по годам'!K722&lt;&gt;"",('Дивиденды по годам'!I722-'Дивиденды по годам'!J722-'Дивиденды по годам'!K722)&lt;&gt;0),'Дивиденды по годам'!L722/('Дивиденды по годам'!I722-'Дивиденды по годам'!J722-'Дивиденды по годам'!K722),""),"")</f>
        <v>1.5749502120502317</v>
      </c>
      <c r="T722">
        <f>IFERROR(IF(AND('Дивиденды по годам'!Q722&lt;&gt;"",'Дивиденды по годам'!I722&lt;&gt;"",'Дивиденды по годам'!V722&lt;&gt;"",('Дивиденды по годам'!I722+'Дивиденды по годам'!V722)&lt;&gt;0),'Дивиденды по годам'!Q722/(('Дивиденды по годам'!I722+'Дивиденды по годам'!V722)/2),""),"")</f>
        <v>4.4148291004365792E-2</v>
      </c>
      <c r="U722">
        <f>IFERROR(IF(AND('Дивиденды по годам'!J722&lt;&gt;"",'Дивиденды по годам'!K722&lt;&gt;"",'Дивиденды по годам'!M722&lt;&gt;"",'Дивиденды по годам'!M722&lt;&gt;0),('Дивиденды по годам'!J722+'Дивиденды по годам'!K722)/'Дивиденды по годам'!M722,""),"")</f>
        <v>18.868559812611572</v>
      </c>
      <c r="V722" cm="1">
        <f t="array" ref="V722">IFERROR(AVERAGE(_xlfn._xlws.FILTER(P$2:P$1073,($C$2:$C$1073=$C722)*($E$2:$E$1073=$E722)*(ROW(P$2:P$1073)&lt;&gt;ROW(P722))*(P$2:P$1073&lt;&gt;""))),"")</f>
        <v>25.482617800895344</v>
      </c>
      <c r="W722" cm="1">
        <f t="array" ref="W722">IFERROR(AVERAGE(_xlfn._xlws.FILTER(Q$2:Q$1073,($C$2:$C$1073=$C722)*($E$2:$E$1073=$E722)*(ROW(Q$2:Q$1073)&lt;&gt;ROW(Q722))*(Q$2:Q$1073&lt;&gt;""))),"")</f>
        <v>0.47595197746419915</v>
      </c>
      <c r="X722" cm="1">
        <f t="array" ref="X722">IFERROR(AVERAGE(_xlfn._xlws.FILTER(R$2:R$1073,($C$2:$C$1073=$C722)*($E$2:$E$1073=$E722)*(ROW(R$2:R$1073)&lt;&gt;ROW(R722))*(R$2:R$1073&lt;&gt;""))),"")</f>
        <v>2.5523411430233584E-2</v>
      </c>
      <c r="Y722" cm="1">
        <f t="array" ref="Y722">IFERROR(AVERAGE(_xlfn._xlws.FILTER(S$2:S$1073,($C$2:$C$1073=$C722)*($E$2:$E$1073=$E722)*(ROW(S$2:S$1073)&lt;&gt;ROW(S722))*(S$2:S$1073&lt;&gt;""))),"")</f>
        <v>0.73068262723412314</v>
      </c>
      <c r="Z722" cm="1">
        <f t="array" ref="Z722">IFERROR(AVERAGE(_xlfn._xlws.FILTER(T$2:T$1073,($C$2:$C$1073=$C722)*($E$2:$E$1073=$E722)*(ROW(T$2:T$1073)&lt;&gt;ROW(T722))*(T$2:T$1073&lt;&gt;""))),"")</f>
        <v>2.7601071049849582E-3</v>
      </c>
      <c r="AA722" cm="1">
        <f t="array" ref="AA722">IFERROR(AVERAGE(_xlfn._xlws.FILTER(U$2:U$1073,($C$2:$C$1073=$C722)*($E$2:$E$1073=$E722)*(ROW(U$2:U$1073)&lt;&gt;ROW(U722))*(U$2:U$1073&lt;&gt;""))),"")</f>
        <v>2.1062606650839046</v>
      </c>
    </row>
    <row r="723" spans="1:27" x14ac:dyDescent="0.2">
      <c r="A723" s="7" t="s">
        <v>2268</v>
      </c>
      <c r="B723" t="str">
        <f t="shared" si="123"/>
        <v>X5 IV кв. 2024</v>
      </c>
      <c r="C723">
        <v>2024</v>
      </c>
      <c r="D723">
        <f>SUMIFS(Дивиденды!$C:$C,Дивиденды!$A:$A,A723,Дивиденды!$I:$I,C723)</f>
        <v>648</v>
      </c>
      <c r="E723">
        <v>4</v>
      </c>
      <c r="F723">
        <f t="shared" si="124"/>
        <v>648</v>
      </c>
      <c r="G723">
        <f t="shared" si="125"/>
        <v>16.225714285714286</v>
      </c>
      <c r="H723">
        <f t="shared" si="126"/>
        <v>1</v>
      </c>
      <c r="I723">
        <f t="shared" si="122"/>
        <v>0.5</v>
      </c>
      <c r="J723">
        <f t="shared" si="127"/>
        <v>1</v>
      </c>
      <c r="K723">
        <f t="shared" si="131"/>
        <v>0.1400271739349124</v>
      </c>
      <c r="L723">
        <f t="shared" si="128"/>
        <v>1</v>
      </c>
      <c r="M723">
        <f t="shared" si="121"/>
        <v>0.2857142857142857</v>
      </c>
      <c r="N723">
        <f t="shared" si="129"/>
        <v>0</v>
      </c>
      <c r="O723">
        <f t="shared" si="130"/>
        <v>0.2857142857142857</v>
      </c>
      <c r="P723">
        <f>IFERROR(LN('Дивиденды по годам'!I723),"")</f>
        <v>28.242489042069224</v>
      </c>
      <c r="Q723">
        <f>IFERROR('Дивиденды по годам'!G723/'Дивиденды по годам'!I723, "")</f>
        <v>0.22869241808114979</v>
      </c>
      <c r="R723">
        <f>IFERROR(IF(AND('Дивиденды по годам'!N723&lt;&gt;"",'Дивиденды по годам'!U723&lt;&gt;"",'Дивиденды по годам'!U723&lt;&gt;0),'Дивиденды по годам'!N723/'Дивиденды по годам'!U723-1,""),"")</f>
        <v>0.24228295038016645</v>
      </c>
      <c r="S723">
        <f>IFERROR(IF(AND('Дивиденды по годам'!L723&lt;&gt;"",'Дивиденды по годам'!I723&lt;&gt;"",'Дивиденды по годам'!J723&lt;&gt;"",'Дивиденды по годам'!K723&lt;&gt;"",('Дивиденды по годам'!I723-'Дивиденды по годам'!J723-'Дивиденды по годам'!K723)&lt;&gt;0),'Дивиденды по годам'!L723/('Дивиденды по годам'!I723-'Дивиденды по годам'!J723-'Дивиденды по годам'!K723),""),"")</f>
        <v>1.1747975574140448</v>
      </c>
      <c r="T723">
        <f>IFERROR(IF(AND('Дивиденды по годам'!Q723&lt;&gt;"",'Дивиденды по годам'!I723&lt;&gt;"",'Дивиденды по годам'!V723&lt;&gt;"",('Дивиденды по годам'!I723+'Дивиденды по годам'!V723)&lt;&gt;0),'Дивиденды по годам'!Q723/(('Дивиденды по годам'!I723+'Дивиденды по годам'!V723)/2),""),"")</f>
        <v>6.0618346276711005E-2</v>
      </c>
      <c r="U723">
        <f>IFERROR(IF(AND('Дивиденды по годам'!J723&lt;&gt;"",'Дивиденды по годам'!K723&lt;&gt;"",'Дивиденды по годам'!M723&lt;&gt;"",'Дивиденды по годам'!M723&lt;&gt;0),('Дивиденды по годам'!J723+'Дивиденды по годам'!K723)/'Дивиденды по годам'!M723,""),"")</f>
        <v>5.7965212325029132</v>
      </c>
      <c r="V723" cm="1">
        <f t="array" ref="V723">IFERROR(AVERAGE(_xlfn._xlws.FILTER(P$2:P$1073,($C$2:$C$1073=$C723)*($E$2:$E$1073=$E723)*(ROW(P$2:P$1073)&lt;&gt;ROW(P723))*(P$2:P$1073&lt;&gt;""))),"")</f>
        <v>25.373537333259005</v>
      </c>
      <c r="W723" cm="1">
        <f t="array" ref="W723">IFERROR(AVERAGE(_xlfn._xlws.FILTER(Q$2:Q$1073,($C$2:$C$1073=$C723)*($E$2:$E$1073=$E723)*(ROW(Q$2:Q$1073)&lt;&gt;ROW(Q723))*(Q$2:Q$1073&lt;&gt;""))),"")</f>
        <v>0.26536956072992551</v>
      </c>
      <c r="X723" cm="1">
        <f t="array" ref="X723">IFERROR(AVERAGE(_xlfn._xlws.FILTER(R$2:R$1073,($C$2:$C$1073=$C723)*($E$2:$E$1073=$E723)*(ROW(R$2:R$1073)&lt;&gt;ROW(R723))*(R$2:R$1073&lt;&gt;""))),"")</f>
        <v>0.2671209665186578</v>
      </c>
      <c r="Y723" cm="1">
        <f t="array" ref="Y723">IFERROR(AVERAGE(_xlfn._xlws.FILTER(S$2:S$1073,($C$2:$C$1073=$C723)*($E$2:$E$1073=$E723)*(ROW(S$2:S$1073)&lt;&gt;ROW(S723))*(S$2:S$1073&lt;&gt;""))),"")</f>
        <v>1.1707866150817483</v>
      </c>
      <c r="Z723" cm="1">
        <f t="array" ref="Z723">IFERROR(AVERAGE(_xlfn._xlws.FILTER(T$2:T$1073,($C$2:$C$1073=$C723)*($E$2:$E$1073=$E723)*(ROW(T$2:T$1073)&lt;&gt;ROW(T723))*(T$2:T$1073&lt;&gt;""))),"")</f>
        <v>7.3836873575304746E-2</v>
      </c>
      <c r="AA723" cm="1">
        <f t="array" ref="AA723">IFERROR(AVERAGE(_xlfn._xlws.FILTER(U$2:U$1073,($C$2:$C$1073=$C723)*($E$2:$E$1073=$E723)*(ROW(U$2:U$1073)&lt;&gt;ROW(U723))*(U$2:U$1073&lt;&gt;""))),"")</f>
        <v>3.8618175593321555</v>
      </c>
    </row>
    <row r="724" spans="1:27" x14ac:dyDescent="0.2">
      <c r="A724" s="7" t="s">
        <v>2268</v>
      </c>
      <c r="B724" t="str">
        <f t="shared" si="123"/>
        <v>X5 IV кв. 2023</v>
      </c>
      <c r="C724">
        <v>2023</v>
      </c>
      <c r="D724">
        <f>SUMIFS(Дивиденды!$C:$C,Дивиденды!$A:$A,A724,Дивиденды!$I:$I,C724)</f>
        <v>0</v>
      </c>
      <c r="E724">
        <v>4</v>
      </c>
      <c r="F724">
        <f t="shared" si="124"/>
        <v>0</v>
      </c>
      <c r="G724">
        <f t="shared" si="125"/>
        <v>90.740000000000009</v>
      </c>
      <c r="H724">
        <f t="shared" si="126"/>
        <v>0</v>
      </c>
      <c r="I724">
        <f t="shared" si="122"/>
        <v>0.5</v>
      </c>
      <c r="J724">
        <f t="shared" si="127"/>
        <v>0</v>
      </c>
      <c r="K724">
        <f t="shared" si="131"/>
        <v>0.29812745098039217</v>
      </c>
      <c r="L724">
        <f t="shared" si="128"/>
        <v>0</v>
      </c>
      <c r="M724">
        <f t="shared" si="121"/>
        <v>0.42857142857142855</v>
      </c>
      <c r="N724">
        <f t="shared" si="129"/>
        <v>0</v>
      </c>
      <c r="O724">
        <f t="shared" si="130"/>
        <v>0</v>
      </c>
      <c r="P724">
        <f>IFERROR(LN('Дивиденды по годам'!I724),"")</f>
        <v>28.094931846105609</v>
      </c>
      <c r="Q724">
        <f>IFERROR('Дивиденды по годам'!G724/'Дивиденды по годам'!I724, "")</f>
        <v>0.22913623441391803</v>
      </c>
      <c r="R724">
        <f>IFERROR(IF(AND('Дивиденды по годам'!N724&lt;&gt;"",'Дивиденды по годам'!U724&lt;&gt;"",'Дивиденды по годам'!U724&lt;&gt;0),'Дивиденды по годам'!N724/'Дивиденды по годам'!U724-1,""),"")</f>
        <v>0.20752792677431264</v>
      </c>
      <c r="S724">
        <f>IFERROR(IF(AND('Дивиденды по годам'!L724&lt;&gt;"",'Дивиденды по годам'!I724&lt;&gt;"",'Дивиденды по годам'!J724&lt;&gt;"",'Дивиденды по годам'!K724&lt;&gt;"",('Дивиденды по годам'!I724-'Дивиденды по годам'!J724-'Дивиденды по годам'!K724)&lt;&gt;0),'Дивиденды по годам'!L724/('Дивиденды по годам'!I724-'Дивиденды по годам'!J724-'Дивиденды по годам'!K724),""),"")</f>
        <v>0.98941993482826929</v>
      </c>
      <c r="T724">
        <f>IFERROR(IF(AND('Дивиденды по годам'!Q724&lt;&gt;"",'Дивиденды по годам'!I724&lt;&gt;"",'Дивиденды по годам'!V724&lt;&gt;"",('Дивиденды по годам'!I724+'Дивиденды по годам'!V724)&lt;&gt;0),'Дивиденды по годам'!Q724/(('Дивиденды по годам'!I724+'Дивиденды по годам'!V724)/2),""),"")</f>
        <v>5.3137603417094462E-2</v>
      </c>
      <c r="U724">
        <f>IFERROR(IF(AND('Дивиденды по годам'!J724&lt;&gt;"",'Дивиденды по годам'!K724&lt;&gt;"",'Дивиденды по годам'!M724&lt;&gt;"",'Дивиденды по годам'!M724&lt;&gt;0),('Дивиденды по годам'!J724+'Дивиденды по годам'!K724)/'Дивиденды по годам'!M724,""),"")</f>
        <v>6.3089820249196844</v>
      </c>
      <c r="V724" cm="1">
        <f t="array" ref="V724">IFERROR(AVERAGE(_xlfn._xlws.FILTER(P$2:P$1073,($C$2:$C$1073=$C724)*($E$2:$E$1073=$E724)*(ROW(P$2:P$1073)&lt;&gt;ROW(P724))*(P$2:P$1073&lt;&gt;""))),"")</f>
        <v>25.172114091232515</v>
      </c>
      <c r="W724" cm="1">
        <f t="array" ref="W724">IFERROR(AVERAGE(_xlfn._xlws.FILTER(Q$2:Q$1073,($C$2:$C$1073=$C724)*($E$2:$E$1073=$E724)*(ROW(Q$2:Q$1073)&lt;&gt;ROW(Q724))*(Q$2:Q$1073&lt;&gt;""))),"")</f>
        <v>0.2519053399828442</v>
      </c>
      <c r="X724" cm="1">
        <f t="array" ref="X724">IFERROR(AVERAGE(_xlfn._xlws.FILTER(R$2:R$1073,($C$2:$C$1073=$C724)*($E$2:$E$1073=$E724)*(ROW(R$2:R$1073)&lt;&gt;ROW(R724))*(R$2:R$1073&lt;&gt;""))),"")</f>
        <v>0.24937867101700972</v>
      </c>
      <c r="Y724" cm="1">
        <f t="array" ref="Y724">IFERROR(AVERAGE(_xlfn._xlws.FILTER(S$2:S$1073,($C$2:$C$1073=$C724)*($E$2:$E$1073=$E724)*(ROW(S$2:S$1073)&lt;&gt;ROW(S724))*(S$2:S$1073&lt;&gt;""))),"")</f>
        <v>1.2643207347442522</v>
      </c>
      <c r="Z724" cm="1">
        <f t="array" ref="Z724">IFERROR(AVERAGE(_xlfn._xlws.FILTER(T$2:T$1073,($C$2:$C$1073=$C724)*($E$2:$E$1073=$E724)*(ROW(T$2:T$1073)&lt;&gt;ROW(T724))*(T$2:T$1073&lt;&gt;""))),"")</f>
        <v>0.1150761931872885</v>
      </c>
      <c r="AA724" cm="1">
        <f t="array" ref="AA724">IFERROR(AVERAGE(_xlfn._xlws.FILTER(U$2:U$1073,($C$2:$C$1073=$C724)*($E$2:$E$1073=$E724)*(ROW(U$2:U$1073)&lt;&gt;ROW(U724))*(U$2:U$1073&lt;&gt;""))),"")</f>
        <v>2.3216563224077569</v>
      </c>
    </row>
    <row r="725" spans="1:27" x14ac:dyDescent="0.2">
      <c r="A725" s="7" t="s">
        <v>2268</v>
      </c>
      <c r="B725" t="str">
        <f t="shared" si="123"/>
        <v>X5 IV кв. 2022</v>
      </c>
      <c r="C725">
        <v>2022</v>
      </c>
      <c r="D725">
        <f>SUMIFS(Дивиденды!$C:$C,Дивиденды!$A:$A,A725,Дивиденды!$I:$I,C725)</f>
        <v>0</v>
      </c>
      <c r="E725">
        <v>4</v>
      </c>
      <c r="F725">
        <f t="shared" si="124"/>
        <v>0</v>
      </c>
      <c r="G725">
        <f t="shared" si="125"/>
        <v>80.180000000000021</v>
      </c>
      <c r="H725">
        <f t="shared" si="126"/>
        <v>0</v>
      </c>
      <c r="I725">
        <f t="shared" si="122"/>
        <v>0.2857142857142857</v>
      </c>
      <c r="J725">
        <f t="shared" si="127"/>
        <v>0</v>
      </c>
      <c r="K725">
        <f t="shared" si="131"/>
        <v>0.49583624512073399</v>
      </c>
      <c r="L725">
        <f t="shared" si="128"/>
        <v>0</v>
      </c>
      <c r="M725">
        <f t="shared" si="121"/>
        <v>0.2857142857142857</v>
      </c>
      <c r="N725">
        <f t="shared" si="129"/>
        <v>0</v>
      </c>
      <c r="O725">
        <f t="shared" si="130"/>
        <v>7.1428571428571425E-2</v>
      </c>
      <c r="P725">
        <f>IFERROR(LN('Дивиденды по годам'!I725),"")</f>
        <v>27.944729058129713</v>
      </c>
      <c r="Q725">
        <f>IFERROR('Дивиденды по годам'!G725/'Дивиденды по годам'!I725, "")</f>
        <v>0.23062207250327002</v>
      </c>
      <c r="R725">
        <f>IFERROR(IF(AND('Дивиденды по годам'!N725&lt;&gt;"",'Дивиденды по годам'!U725&lt;&gt;"",'Дивиденды по годам'!U725&lt;&gt;0),'Дивиденды по годам'!N725/'Дивиденды по годам'!U725-1,""),"")</f>
        <v>0.18159899202381702</v>
      </c>
      <c r="S725">
        <f>IFERROR(IF(AND('Дивиденды по годам'!L725&lt;&gt;"",'Дивиденды по годам'!I725&lt;&gt;"",'Дивиденды по годам'!J725&lt;&gt;"",'Дивиденды по годам'!K725&lt;&gt;"",('Дивиденды по годам'!I725-'Дивиденды по годам'!J725-'Дивиденды по годам'!K725)&lt;&gt;0),'Дивиденды по годам'!L725/('Дивиденды по годам'!I725-'Дивиденды по годам'!J725-'Дивиденды по годам'!K725),""),"")</f>
        <v>0.96898056775818286</v>
      </c>
      <c r="T725">
        <f>IFERROR(IF(AND('Дивиденды по годам'!Q725&lt;&gt;"",'Дивиденды по годам'!I725&lt;&gt;"",'Дивиденды по годам'!V725&lt;&gt;"",('Дивиденды по годам'!I725+'Дивиденды по годам'!V725)&lt;&gt;0),'Дивиденды по годам'!Q725/(('Дивиденды по годам'!I725+'Дивиденды по годам'!V725)/2),""),"")</f>
        <v>3.3621228046124087E-2</v>
      </c>
      <c r="U725">
        <f>IFERROR(IF(AND('Дивиденды по годам'!J725&lt;&gt;"",'Дивиденды по годам'!K725&lt;&gt;"",'Дивиденды по годам'!M725&lt;&gt;"",'Дивиденды по годам'!M725&lt;&gt;0),('Дивиденды по годам'!J725+'Дивиденды по годам'!K725)/'Дивиденды по годам'!M725,""),"")</f>
        <v>8.6806802345734031</v>
      </c>
      <c r="V725" cm="1">
        <f t="array" ref="V725">IFERROR(AVERAGE(_xlfn._xlws.FILTER(P$2:P$1073,($C$2:$C$1073=$C725)*($E$2:$E$1073=$E725)*(ROW(P$2:P$1073)&lt;&gt;ROW(P725))*(P$2:P$1073&lt;&gt;""))),"")</f>
        <v>25.044296734999808</v>
      </c>
      <c r="W725" cm="1">
        <f t="array" ref="W725">IFERROR(AVERAGE(_xlfn._xlws.FILTER(Q$2:Q$1073,($C$2:$C$1073=$C725)*($E$2:$E$1073=$E725)*(ROW(Q$2:Q$1073)&lt;&gt;ROW(Q725))*(Q$2:Q$1073&lt;&gt;""))),"")</f>
        <v>0.24974268789677176</v>
      </c>
      <c r="X725" cm="1">
        <f t="array" ref="X725">IFERROR(AVERAGE(_xlfn._xlws.FILTER(R$2:R$1073,($C$2:$C$1073=$C725)*($E$2:$E$1073=$E725)*(ROW(R$2:R$1073)&lt;&gt;ROW(R725))*(R$2:R$1073&lt;&gt;""))),"")</f>
        <v>0.20727472124020466</v>
      </c>
      <c r="Y725" cm="1">
        <f t="array" ref="Y725">IFERROR(AVERAGE(_xlfn._xlws.FILTER(S$2:S$1073,($C$2:$C$1073=$C725)*($E$2:$E$1073=$E725)*(ROW(S$2:S$1073)&lt;&gt;ROW(S725))*(S$2:S$1073&lt;&gt;""))),"")</f>
        <v>1.3677581319517875</v>
      </c>
      <c r="Z725" cm="1">
        <f t="array" ref="Z725">IFERROR(AVERAGE(_xlfn._xlws.FILTER(T$2:T$1073,($C$2:$C$1073=$C725)*($E$2:$E$1073=$E725)*(ROW(T$2:T$1073)&lt;&gt;ROW(T725))*(T$2:T$1073&lt;&gt;""))),"")</f>
        <v>0.10692567717806552</v>
      </c>
      <c r="AA725" cm="1">
        <f t="array" ref="AA725">IFERROR(AVERAGE(_xlfn._xlws.FILTER(U$2:U$1073,($C$2:$C$1073=$C725)*($E$2:$E$1073=$E725)*(ROW(U$2:U$1073)&lt;&gt;ROW(U725))*(U$2:U$1073&lt;&gt;""))),"")</f>
        <v>1.631210450446944</v>
      </c>
    </row>
    <row r="726" spans="1:27" x14ac:dyDescent="0.2">
      <c r="A726" s="7" t="s">
        <v>2268</v>
      </c>
      <c r="B726" t="str">
        <f t="shared" si="123"/>
        <v>X5 IV кв. 2021</v>
      </c>
      <c r="C726">
        <v>2021</v>
      </c>
      <c r="D726">
        <f>SUMIFS(Дивиденды!$C:$C,Дивиденды!$A:$A,A726,Дивиденды!$I:$I,C726)</f>
        <v>0</v>
      </c>
      <c r="E726">
        <v>4</v>
      </c>
      <c r="F726">
        <f t="shared" si="124"/>
        <v>0</v>
      </c>
      <c r="G726">
        <f t="shared" si="125"/>
        <v>31.931428571428572</v>
      </c>
      <c r="H726">
        <f t="shared" si="126"/>
        <v>0</v>
      </c>
      <c r="I726">
        <f t="shared" si="122"/>
        <v>0.2857142857142857</v>
      </c>
      <c r="J726">
        <f t="shared" si="127"/>
        <v>0</v>
      </c>
      <c r="K726">
        <f t="shared" si="131"/>
        <v>0.1975016604235505</v>
      </c>
      <c r="L726">
        <f t="shared" si="128"/>
        <v>0</v>
      </c>
      <c r="M726">
        <f t="shared" si="121"/>
        <v>0.21428571428571427</v>
      </c>
      <c r="N726">
        <f t="shared" si="129"/>
        <v>0</v>
      </c>
      <c r="O726">
        <f t="shared" si="130"/>
        <v>7.1428571428571425E-2</v>
      </c>
      <c r="P726">
        <f>IFERROR(LN('Дивиденды по годам'!I726),"")</f>
        <v>27.860122881776878</v>
      </c>
      <c r="Q726">
        <f>IFERROR('Дивиденды по годам'!G726/'Дивиденды по годам'!I726, "")</f>
        <v>0.26412797124384679</v>
      </c>
      <c r="R726" t="str">
        <f>IFERROR(IF(AND('Дивиденды по годам'!N726&lt;&gt;"",'Дивиденды по годам'!U726&lt;&gt;"",'Дивиденды по годам'!U726&lt;&gt;0),'Дивиденды по годам'!N726/'Дивиденды по годам'!U726-1,""),"")</f>
        <v/>
      </c>
      <c r="S726">
        <f>IFERROR(IF(AND('Дивиденды по годам'!L726&lt;&gt;"",'Дивиденды по годам'!I726&lt;&gt;"",'Дивиденды по годам'!J726&lt;&gt;"",'Дивиденды по годам'!K726&lt;&gt;"",('Дивиденды по годам'!I726-'Дивиденды по годам'!J726-'Дивиденды по годам'!K726)&lt;&gt;0),'Дивиденды по годам'!L726/('Дивиденды по годам'!I726-'Дивиденды по годам'!J726-'Дивиденды по годам'!K726),""),"")</f>
        <v>1.9361924031622202</v>
      </c>
      <c r="T726" t="str">
        <f>IFERROR(IF(AND('Дивиденды по годам'!Q726&lt;&gt;"",'Дивиденды по годам'!I726&lt;&gt;"",'Дивиденды по годам'!V726&lt;&gt;"",('Дивиденды по годам'!I726+'Дивиденды по годам'!V726)&lt;&gt;0),'Дивиденды по годам'!Q726/(('Дивиденды по годам'!I726+'Дивиденды по годам'!V726)/2),""),"")</f>
        <v/>
      </c>
      <c r="U726">
        <f>IFERROR(IF(AND('Дивиденды по годам'!J726&lt;&gt;"",'Дивиденды по годам'!K726&lt;&gt;"",'Дивиденды по годам'!M726&lt;&gt;"",'Дивиденды по годам'!M726&lt;&gt;0),('Дивиденды по годам'!J726+'Дивиденды по годам'!K726)/'Дивиденды по годам'!M726,""),"")</f>
        <v>25.229532133247115</v>
      </c>
      <c r="V726" cm="1">
        <f t="array" ref="V726">IFERROR(AVERAGE(_xlfn._xlws.FILTER(P$2:P$1073,($C$2:$C$1073=$C726)*($E$2:$E$1073=$E726)*(ROW(P$2:P$1073)&lt;&gt;ROW(P726))*(P$2:P$1073&lt;&gt;""))),"")</f>
        <v>24.965290797430757</v>
      </c>
      <c r="W726" cm="1">
        <f t="array" ref="W726">IFERROR(AVERAGE(_xlfn._xlws.FILTER(Q$2:Q$1073,($C$2:$C$1073=$C726)*($E$2:$E$1073=$E726)*(ROW(Q$2:Q$1073)&lt;&gt;ROW(Q726))*(Q$2:Q$1073&lt;&gt;""))),"")</f>
        <v>0.23285355613195671</v>
      </c>
      <c r="X726" cm="1">
        <f t="array" ref="X726">IFERROR(AVERAGE(_xlfn._xlws.FILTER(R$2:R$1073,($C$2:$C$1073=$C726)*($E$2:$E$1073=$E726)*(ROW(R$2:R$1073)&lt;&gt;ROW(R726))*(R$2:R$1073&lt;&gt;""))),"")</f>
        <v>0.31760921072336168</v>
      </c>
      <c r="Y726" cm="1">
        <f t="array" ref="Y726">IFERROR(AVERAGE(_xlfn._xlws.FILTER(S$2:S$1073,($C$2:$C$1073=$C726)*($E$2:$E$1073=$E726)*(ROW(S$2:S$1073)&lt;&gt;ROW(S726))*(S$2:S$1073&lt;&gt;""))),"")</f>
        <v>1.271004619013739</v>
      </c>
      <c r="Z726" cm="1">
        <f t="array" ref="Z726">IFERROR(AVERAGE(_xlfn._xlws.FILTER(T$2:T$1073,($C$2:$C$1073=$C726)*($E$2:$E$1073=$E726)*(ROW(T$2:T$1073)&lt;&gt;ROW(T726))*(T$2:T$1073&lt;&gt;""))),"")</f>
        <v>0.10239490834794492</v>
      </c>
      <c r="AA726" cm="1">
        <f t="array" ref="AA726">IFERROR(AVERAGE(_xlfn._xlws.FILTER(U$2:U$1073,($C$2:$C$1073=$C726)*($E$2:$E$1073=$E726)*(ROW(U$2:U$1073)&lt;&gt;ROW(U726))*(U$2:U$1073&lt;&gt;""))),"")</f>
        <v>16.2460566715156</v>
      </c>
    </row>
    <row r="727" spans="1:27" x14ac:dyDescent="0.2">
      <c r="A727" s="7" t="s">
        <v>2268</v>
      </c>
      <c r="B727" t="str">
        <f t="shared" si="123"/>
        <v>X5 IV кв. 2020</v>
      </c>
      <c r="C727">
        <v>2020</v>
      </c>
      <c r="D727">
        <f>SUMIFS(Дивиденды!$C:$C,Дивиденды!$A:$A,A727,Дивиденды!$I:$I,C727)</f>
        <v>0</v>
      </c>
      <c r="E727">
        <v>4</v>
      </c>
      <c r="F727">
        <f t="shared" si="124"/>
        <v>0</v>
      </c>
      <c r="G727">
        <f t="shared" si="125"/>
        <v>43.293571428571433</v>
      </c>
      <c r="H727">
        <f t="shared" si="126"/>
        <v>0</v>
      </c>
      <c r="I727">
        <f t="shared" si="122"/>
        <v>0.2857142857142857</v>
      </c>
      <c r="J727">
        <f t="shared" si="127"/>
        <v>0</v>
      </c>
      <c r="K727">
        <f t="shared" si="131"/>
        <v>0.26831617204892738</v>
      </c>
      <c r="L727">
        <f t="shared" si="128"/>
        <v>0</v>
      </c>
      <c r="M727">
        <f t="shared" si="121"/>
        <v>0.2857142857142857</v>
      </c>
      <c r="N727">
        <f t="shared" si="129"/>
        <v>0</v>
      </c>
      <c r="O727">
        <f t="shared" si="130"/>
        <v>0</v>
      </c>
      <c r="P727" t="str">
        <f>IFERROR(LN('Дивиденды по годам'!I727),"")</f>
        <v/>
      </c>
      <c r="Q727" t="str">
        <f>IFERROR('Дивиденды по годам'!G727/'Дивиденды по годам'!I727, "")</f>
        <v/>
      </c>
      <c r="R727" t="str">
        <f>IFERROR(IF(AND('Дивиденды по годам'!N727&lt;&gt;"",'Дивиденды по годам'!U727&lt;&gt;"",'Дивиденды по годам'!U727&lt;&gt;0),'Дивиденды по годам'!N727/'Дивиденды по годам'!U727-1,""),"")</f>
        <v/>
      </c>
      <c r="S727" t="str">
        <f>IFERROR(IF(AND('Дивиденды по годам'!L727&lt;&gt;"",'Дивиденды по годам'!I727&lt;&gt;"",'Дивиденды по годам'!J727&lt;&gt;"",'Дивиденды по годам'!K727&lt;&gt;"",('Дивиденды по годам'!I727-'Дивиденды по годам'!J727-'Дивиденды по годам'!K727)&lt;&gt;0),'Дивиденды по годам'!L727/('Дивиденды по годам'!I727-'Дивиденды по годам'!J727-'Дивиденды по годам'!K727),""),"")</f>
        <v/>
      </c>
      <c r="T727" t="str">
        <f>IFERROR(IF(AND('Дивиденды по годам'!Q727&lt;&gt;"",'Дивиденды по годам'!I727&lt;&gt;"",'Дивиденды по годам'!V727&lt;&gt;"",('Дивиденды по годам'!I727+'Дивиденды по годам'!V727)&lt;&gt;0),'Дивиденды по годам'!Q727/(('Дивиденды по годам'!I727+'Дивиденды по годам'!V727)/2),""),"")</f>
        <v/>
      </c>
      <c r="U727" t="str">
        <f>IFERROR(IF(AND('Дивиденды по годам'!J727&lt;&gt;"",'Дивиденды по годам'!K727&lt;&gt;"",'Дивиденды по годам'!M727&lt;&gt;"",'Дивиденды по годам'!M727&lt;&gt;0),('Дивиденды по годам'!J727+'Дивиденды по годам'!K727)/'Дивиденды по годам'!M727,""),"")</f>
        <v/>
      </c>
      <c r="V727" cm="1">
        <f t="array" ref="V727">IFERROR(AVERAGE(_xlfn._xlws.FILTER(P$2:P$1073,($C$2:$C$1073=$C727)*($E$2:$E$1073=$E727)*(ROW(P$2:P$1073)&lt;&gt;ROW(P727))*(P$2:P$1073&lt;&gt;""))),"")</f>
        <v>25.279360907920736</v>
      </c>
      <c r="W727" cm="1">
        <f t="array" ref="W727">IFERROR(AVERAGE(_xlfn._xlws.FILTER(Q$2:Q$1073,($C$2:$C$1073=$C727)*($E$2:$E$1073=$E727)*(ROW(Q$2:Q$1073)&lt;&gt;ROW(Q727))*(Q$2:Q$1073&lt;&gt;""))),"")</f>
        <v>0.26156752075221612</v>
      </c>
      <c r="X727" cm="1">
        <f t="array" ref="X727">IFERROR(AVERAGE(_xlfn._xlws.FILTER(R$2:R$1073,($C$2:$C$1073=$C727)*($E$2:$E$1073=$E727)*(ROW(R$2:R$1073)&lt;&gt;ROW(R727))*(R$2:R$1073&lt;&gt;""))),"")</f>
        <v>9.6830410579929804E-2</v>
      </c>
      <c r="Y727" cm="1">
        <f t="array" ref="Y727">IFERROR(AVERAGE(_xlfn._xlws.FILTER(S$2:S$1073,($C$2:$C$1073=$C727)*($E$2:$E$1073=$E727)*(ROW(S$2:S$1073)&lt;&gt;ROW(S727))*(S$2:S$1073&lt;&gt;""))),"")</f>
        <v>1.7199758573549004</v>
      </c>
      <c r="Z727" cm="1">
        <f t="array" ref="Z727">IFERROR(AVERAGE(_xlfn._xlws.FILTER(T$2:T$1073,($C$2:$C$1073=$C727)*($E$2:$E$1073=$E727)*(ROW(T$2:T$1073)&lt;&gt;ROW(T727))*(T$2:T$1073&lt;&gt;""))),"")</f>
        <v>6.7482119215201988E-2</v>
      </c>
      <c r="AA727" cm="1">
        <f t="array" ref="AA727">IFERROR(AVERAGE(_xlfn._xlws.FILTER(U$2:U$1073,($C$2:$C$1073=$C727)*($E$2:$E$1073=$E727)*(ROW(U$2:U$1073)&lt;&gt;ROW(U727))*(U$2:U$1073&lt;&gt;""))),"")</f>
        <v>-10.291341252885539</v>
      </c>
    </row>
    <row r="728" spans="1:27" x14ac:dyDescent="0.2">
      <c r="A728" s="7" t="s">
        <v>2268</v>
      </c>
      <c r="B728" t="str">
        <f t="shared" si="123"/>
        <v>X5 IV кв. 2019</v>
      </c>
      <c r="C728">
        <v>2019</v>
      </c>
      <c r="D728">
        <f>SUMIFS(Дивиденды!$C:$C,Дивиденды!$A:$A,A728,Дивиденды!$I:$I,C728)</f>
        <v>0</v>
      </c>
      <c r="E728">
        <v>4</v>
      </c>
      <c r="F728">
        <f t="shared" si="124"/>
        <v>0</v>
      </c>
      <c r="G728">
        <f t="shared" si="125"/>
        <v>24.398571428571426</v>
      </c>
      <c r="H728">
        <f t="shared" si="126"/>
        <v>0</v>
      </c>
      <c r="I728">
        <f t="shared" si="122"/>
        <v>0.21428571428571427</v>
      </c>
      <c r="J728">
        <f t="shared" si="127"/>
        <v>0</v>
      </c>
      <c r="K728">
        <f t="shared" si="131"/>
        <v>0.10876410731109194</v>
      </c>
      <c r="L728">
        <f t="shared" si="128"/>
        <v>0</v>
      </c>
      <c r="M728">
        <f t="shared" si="121"/>
        <v>0.21428571428571427</v>
      </c>
      <c r="N728">
        <f t="shared" si="129"/>
        <v>0</v>
      </c>
      <c r="O728">
        <f t="shared" si="130"/>
        <v>0</v>
      </c>
      <c r="P728" t="str">
        <f>IFERROR(LN('Дивиденды по годам'!I728),"")</f>
        <v/>
      </c>
      <c r="Q728" t="str">
        <f>IFERROR('Дивиденды по годам'!G728/'Дивиденды по годам'!I728, "")</f>
        <v/>
      </c>
      <c r="R728" t="str">
        <f>IFERROR(IF(AND('Дивиденды по годам'!N728&lt;&gt;"",'Дивиденды по годам'!U728&lt;&gt;"",'Дивиденды по годам'!U728&lt;&gt;0),'Дивиденды по годам'!N728/'Дивиденды по годам'!U728-1,""),"")</f>
        <v/>
      </c>
      <c r="S728" t="str">
        <f>IFERROR(IF(AND('Дивиденды по годам'!L728&lt;&gt;"",'Дивиденды по годам'!I728&lt;&gt;"",'Дивиденды по годам'!J728&lt;&gt;"",'Дивиденды по годам'!K728&lt;&gt;"",('Дивиденды по годам'!I728-'Дивиденды по годам'!J728-'Дивиденды по годам'!K728)&lt;&gt;0),'Дивиденды по годам'!L728/('Дивиденды по годам'!I728-'Дивиденды по годам'!J728-'Дивиденды по годам'!K728),""),"")</f>
        <v/>
      </c>
      <c r="T728" t="str">
        <f>IFERROR(IF(AND('Дивиденды по годам'!Q728&lt;&gt;"",'Дивиденды по годам'!I728&lt;&gt;"",'Дивиденды по годам'!V728&lt;&gt;"",('Дивиденды по годам'!I728+'Дивиденды по годам'!V728)&lt;&gt;0),'Дивиденды по годам'!Q728/(('Дивиденды по годам'!I728+'Дивиденды по годам'!V728)/2),""),"")</f>
        <v/>
      </c>
      <c r="U728" t="str">
        <f>IFERROR(IF(AND('Дивиденды по годам'!J728&lt;&gt;"",'Дивиденды по годам'!K728&lt;&gt;"",'Дивиденды по годам'!M728&lt;&gt;"",'Дивиденды по годам'!M728&lt;&gt;0),('Дивиденды по годам'!J728+'Дивиденды по годам'!K728)/'Дивиденды по годам'!M728,""),"")</f>
        <v/>
      </c>
      <c r="V728" cm="1">
        <f t="array" ref="V728">IFERROR(AVERAGE(_xlfn._xlws.FILTER(P$2:P$1073,($C$2:$C$1073=$C728)*($E$2:$E$1073=$E728)*(ROW(P$2:P$1073)&lt;&gt;ROW(P728))*(P$2:P$1073&lt;&gt;""))),"")</f>
        <v>25.116045651461882</v>
      </c>
      <c r="W728" cm="1">
        <f t="array" ref="W728">IFERROR(AVERAGE(_xlfn._xlws.FILTER(Q$2:Q$1073,($C$2:$C$1073=$C728)*($E$2:$E$1073=$E728)*(ROW(Q$2:Q$1073)&lt;&gt;ROW(Q728))*(Q$2:Q$1073&lt;&gt;""))),"")</f>
        <v>0.27081451761564085</v>
      </c>
      <c r="X728" cm="1">
        <f t="array" ref="X728">IFERROR(AVERAGE(_xlfn._xlws.FILTER(R$2:R$1073,($C$2:$C$1073=$C728)*($E$2:$E$1073=$E728)*(ROW(R$2:R$1073)&lt;&gt;ROW(R728))*(R$2:R$1073&lt;&gt;""))),"")</f>
        <v>0.41255485917491075</v>
      </c>
      <c r="Y728" cm="1">
        <f t="array" ref="Y728">IFERROR(AVERAGE(_xlfn._xlws.FILTER(S$2:S$1073,($C$2:$C$1073=$C728)*($E$2:$E$1073=$E728)*(ROW(S$2:S$1073)&lt;&gt;ROW(S728))*(S$2:S$1073&lt;&gt;""))),"")</f>
        <v>0.89707160002220321</v>
      </c>
      <c r="Z728" cm="1">
        <f t="array" ref="Z728">IFERROR(AVERAGE(_xlfn._xlws.FILTER(T$2:T$1073,($C$2:$C$1073=$C728)*($E$2:$E$1073=$E728)*(ROW(T$2:T$1073)&lt;&gt;ROW(T728))*(T$2:T$1073&lt;&gt;""))),"")</f>
        <v>4.8479450567785541E-2</v>
      </c>
      <c r="AA728" cm="1">
        <f t="array" ref="AA728">IFERROR(AVERAGE(_xlfn._xlws.FILTER(U$2:U$1073,($C$2:$C$1073=$C728)*($E$2:$E$1073=$E728)*(ROW(U$2:U$1073)&lt;&gt;ROW(U728))*(U$2:U$1073&lt;&gt;""))),"")</f>
        <v>-2.6443211935212805</v>
      </c>
    </row>
    <row r="729" spans="1:27" x14ac:dyDescent="0.2">
      <c r="A729" s="7" t="s">
        <v>2268</v>
      </c>
      <c r="B729" t="str">
        <f t="shared" si="123"/>
        <v>X5 IV кв. 2018</v>
      </c>
      <c r="C729">
        <v>2018</v>
      </c>
      <c r="D729">
        <f>SUMIFS(Дивиденды!$C:$C,Дивиденды!$A:$A,A729,Дивиденды!$I:$I,C729)</f>
        <v>0</v>
      </c>
      <c r="E729">
        <v>4</v>
      </c>
      <c r="F729">
        <f t="shared" si="124"/>
        <v>0</v>
      </c>
      <c r="G729">
        <f t="shared" si="125"/>
        <v>21.978571428571428</v>
      </c>
      <c r="H729">
        <f t="shared" si="126"/>
        <v>0</v>
      </c>
      <c r="I729">
        <f t="shared" si="122"/>
        <v>0.14285714285714285</v>
      </c>
      <c r="J729">
        <f t="shared" si="127"/>
        <v>0</v>
      </c>
      <c r="K729">
        <f t="shared" si="131"/>
        <v>-1.8223065562117002E-2</v>
      </c>
      <c r="L729">
        <f t="shared" si="128"/>
        <v>0</v>
      </c>
      <c r="M729">
        <f t="shared" si="121"/>
        <v>7.1428571428571425E-2</v>
      </c>
      <c r="N729">
        <f t="shared" si="129"/>
        <v>0</v>
      </c>
      <c r="O729">
        <f t="shared" si="130"/>
        <v>7.1428571428571425E-2</v>
      </c>
      <c r="P729" t="str">
        <f>IFERROR(LN('Дивиденды по годам'!I729),"")</f>
        <v/>
      </c>
      <c r="Q729" t="str">
        <f>IFERROR('Дивиденды по годам'!G729/'Дивиденды по годам'!I729, "")</f>
        <v/>
      </c>
      <c r="R729" t="str">
        <f>IFERROR(IF(AND('Дивиденды по годам'!N729&lt;&gt;"",'Дивиденды по годам'!U729&lt;&gt;"",'Дивиденды по годам'!U729&lt;&gt;0),'Дивиденды по годам'!N729/'Дивиденды по годам'!U729-1,""),"")</f>
        <v/>
      </c>
      <c r="S729" t="str">
        <f>IFERROR(IF(AND('Дивиденды по годам'!L729&lt;&gt;"",'Дивиденды по годам'!I729&lt;&gt;"",'Дивиденды по годам'!J729&lt;&gt;"",'Дивиденды по годам'!K729&lt;&gt;"",('Дивиденды по годам'!I729-'Дивиденды по годам'!J729-'Дивиденды по годам'!K729)&lt;&gt;0),'Дивиденды по годам'!L729/('Дивиденды по годам'!I729-'Дивиденды по годам'!J729-'Дивиденды по годам'!K729),""),"")</f>
        <v/>
      </c>
      <c r="T729" t="str">
        <f>IFERROR(IF(AND('Дивиденды по годам'!Q729&lt;&gt;"",'Дивиденды по годам'!I729&lt;&gt;"",'Дивиденды по годам'!V729&lt;&gt;"",('Дивиденды по годам'!I729+'Дивиденды по годам'!V729)&lt;&gt;0),'Дивиденды по годам'!Q729/(('Дивиденды по годам'!I729+'Дивиденды по годам'!V729)/2),""),"")</f>
        <v/>
      </c>
      <c r="U729" t="str">
        <f>IFERROR(IF(AND('Дивиденды по годам'!J729&lt;&gt;"",'Дивиденды по годам'!K729&lt;&gt;"",'Дивиденды по годам'!M729&lt;&gt;"",'Дивиденды по годам'!M729&lt;&gt;0),('Дивиденды по годам'!J729+'Дивиденды по годам'!K729)/'Дивиденды по годам'!M729,""),"")</f>
        <v/>
      </c>
      <c r="V729" cm="1">
        <f t="array" ref="V729">IFERROR(AVERAGE(_xlfn._xlws.FILTER(P$2:P$1073,($C$2:$C$1073=$C729)*($E$2:$E$1073=$E729)*(ROW(P$2:P$1073)&lt;&gt;ROW(P729))*(P$2:P$1073&lt;&gt;""))),"")</f>
        <v>24.908270704496481</v>
      </c>
      <c r="W729" cm="1">
        <f t="array" ref="W729">IFERROR(AVERAGE(_xlfn._xlws.FILTER(Q$2:Q$1073,($C$2:$C$1073=$C729)*($E$2:$E$1073=$E729)*(ROW(Q$2:Q$1073)&lt;&gt;ROW(Q729))*(Q$2:Q$1073&lt;&gt;""))),"")</f>
        <v>0.31629947227527405</v>
      </c>
      <c r="X729" cm="1">
        <f t="array" ref="X729">IFERROR(AVERAGE(_xlfn._xlws.FILTER(R$2:R$1073,($C$2:$C$1073=$C729)*($E$2:$E$1073=$E729)*(ROW(R$2:R$1073)&lt;&gt;ROW(R729))*(R$2:R$1073&lt;&gt;""))),"")</f>
        <v>5.6638288450543382E-2</v>
      </c>
      <c r="Y729" cm="1">
        <f t="array" ref="Y729">IFERROR(AVERAGE(_xlfn._xlws.FILTER(S$2:S$1073,($C$2:$C$1073=$C729)*($E$2:$E$1073=$E729)*(ROW(S$2:S$1073)&lt;&gt;ROW(S729))*(S$2:S$1073&lt;&gt;""))),"")</f>
        <v>0.64427650310006845</v>
      </c>
      <c r="Z729" cm="1">
        <f t="array" ref="Z729">IFERROR(AVERAGE(_xlfn._xlws.FILTER(T$2:T$1073,($C$2:$C$1073=$C729)*($E$2:$E$1073=$E729)*(ROW(T$2:T$1073)&lt;&gt;ROW(T729))*(T$2:T$1073&lt;&gt;""))),"")</f>
        <v>7.1418821660913928E-3</v>
      </c>
      <c r="AA729" cm="1">
        <f t="array" ref="AA729">IFERROR(AVERAGE(_xlfn._xlws.FILTER(U$2:U$1073,($C$2:$C$1073=$C729)*($E$2:$E$1073=$E729)*(ROW(U$2:U$1073)&lt;&gt;ROW(U729))*(U$2:U$1073&lt;&gt;""))),"")</f>
        <v>1.0767813683356515</v>
      </c>
    </row>
    <row r="730" spans="1:27" x14ac:dyDescent="0.2">
      <c r="A730" s="7" t="s">
        <v>2268</v>
      </c>
      <c r="B730" t="str">
        <f t="shared" si="123"/>
        <v>X5 IV кв. 2017</v>
      </c>
      <c r="C730">
        <v>2017</v>
      </c>
      <c r="D730">
        <f>SUMIFS(Дивиденды!$C:$C,Дивиденды!$A:$A,A730,Дивиденды!$I:$I,C730)</f>
        <v>0</v>
      </c>
      <c r="E730">
        <v>4</v>
      </c>
      <c r="F730">
        <f t="shared" si="124"/>
        <v>0</v>
      </c>
      <c r="G730">
        <f t="shared" si="125"/>
        <v>18.403571428571428</v>
      </c>
      <c r="H730">
        <f t="shared" si="126"/>
        <v>0</v>
      </c>
      <c r="I730">
        <f t="shared" si="122"/>
        <v>0.14285714285714285</v>
      </c>
      <c r="J730">
        <f t="shared" si="127"/>
        <v>0</v>
      </c>
      <c r="K730">
        <f t="shared" si="131"/>
        <v>-1.7352821773673279E-2</v>
      </c>
      <c r="L730">
        <f t="shared" si="128"/>
        <v>0</v>
      </c>
      <c r="M730">
        <f t="shared" si="121"/>
        <v>0</v>
      </c>
      <c r="N730">
        <f t="shared" si="129"/>
        <v>0</v>
      </c>
      <c r="O730">
        <f t="shared" si="130"/>
        <v>0.14285714285714285</v>
      </c>
      <c r="P730" t="str">
        <f>IFERROR(LN('Дивиденды по годам'!I730),"")</f>
        <v/>
      </c>
      <c r="Q730" t="str">
        <f>IFERROR('Дивиденды по годам'!G730/'Дивиденды по годам'!I730, "")</f>
        <v/>
      </c>
      <c r="R730" t="str">
        <f>IFERROR(IF(AND('Дивиденды по годам'!N730&lt;&gt;"",'Дивиденды по годам'!U730&lt;&gt;"",'Дивиденды по годам'!U730&lt;&gt;0),'Дивиденды по годам'!N730/'Дивиденды по годам'!U730-1,""),"")</f>
        <v/>
      </c>
      <c r="S730" t="str">
        <f>IFERROR(IF(AND('Дивиденды по годам'!L730&lt;&gt;"",'Дивиденды по годам'!I730&lt;&gt;"",'Дивиденды по годам'!J730&lt;&gt;"",'Дивиденды по годам'!K730&lt;&gt;"",('Дивиденды по годам'!I730-'Дивиденды по годам'!J730-'Дивиденды по годам'!K730)&lt;&gt;0),'Дивиденды по годам'!L730/('Дивиденды по годам'!I730-'Дивиденды по годам'!J730-'Дивиденды по годам'!K730),""),"")</f>
        <v/>
      </c>
      <c r="T730" t="str">
        <f>IFERROR(IF(AND('Дивиденды по годам'!Q730&lt;&gt;"",'Дивиденды по годам'!I730&lt;&gt;"",'Дивиденды по годам'!V730&lt;&gt;"",('Дивиденды по годам'!I730+'Дивиденды по годам'!V730)&lt;&gt;0),'Дивиденды по годам'!Q730/(('Дивиденды по годам'!I730+'Дивиденды по годам'!V730)/2),""),"")</f>
        <v/>
      </c>
      <c r="U730" t="str">
        <f>IFERROR(IF(AND('Дивиденды по годам'!J730&lt;&gt;"",'Дивиденды по годам'!K730&lt;&gt;"",'Дивиденды по годам'!M730&lt;&gt;"",'Дивиденды по годам'!M730&lt;&gt;0),('Дивиденды по годам'!J730+'Дивиденды по годам'!K730)/'Дивиденды по годам'!M730,""),"")</f>
        <v/>
      </c>
      <c r="V730" cm="1">
        <f t="array" ref="V730">IFERROR(AVERAGE(_xlfn._xlws.FILTER(P$2:P$1073,($C$2:$C$1073=$C730)*($E$2:$E$1073=$E730)*(ROW(P$2:P$1073)&lt;&gt;ROW(P730))*(P$2:P$1073&lt;&gt;""))),"")</f>
        <v>24.73571056544559</v>
      </c>
      <c r="W730" cm="1">
        <f t="array" ref="W730">IFERROR(AVERAGE(_xlfn._xlws.FILTER(Q$2:Q$1073,($C$2:$C$1073=$C730)*($E$2:$E$1073=$E730)*(ROW(Q$2:Q$1073)&lt;&gt;ROW(Q730))*(Q$2:Q$1073&lt;&gt;""))),"")</f>
        <v>0.33981210980429821</v>
      </c>
      <c r="X730" cm="1">
        <f t="array" ref="X730">IFERROR(AVERAGE(_xlfn._xlws.FILTER(R$2:R$1073,($C$2:$C$1073=$C730)*($E$2:$E$1073=$E730)*(ROW(R$2:R$1073)&lt;&gt;ROW(R730))*(R$2:R$1073&lt;&gt;""))),"")</f>
        <v>0.23691718521625563</v>
      </c>
      <c r="Y730" cm="1">
        <f t="array" ref="Y730">IFERROR(AVERAGE(_xlfn._xlws.FILTER(S$2:S$1073,($C$2:$C$1073=$C730)*($E$2:$E$1073=$E730)*(ROW(S$2:S$1073)&lt;&gt;ROW(S730))*(S$2:S$1073&lt;&gt;""))),"")</f>
        <v>0.61774629406594017</v>
      </c>
      <c r="Z730" cm="1">
        <f t="array" ref="Z730">IFERROR(AVERAGE(_xlfn._xlws.FILTER(T$2:T$1073,($C$2:$C$1073=$C730)*($E$2:$E$1073=$E730)*(ROW(T$2:T$1073)&lt;&gt;ROW(T730))*(T$2:T$1073&lt;&gt;""))),"")</f>
        <v>-2.7044382152168867E-2</v>
      </c>
      <c r="AA730" cm="1">
        <f t="array" ref="AA730">IFERROR(AVERAGE(_xlfn._xlws.FILTER(U$2:U$1073,($C$2:$C$1073=$C730)*($E$2:$E$1073=$E730)*(ROW(U$2:U$1073)&lt;&gt;ROW(U730))*(U$2:U$1073&lt;&gt;""))),"")</f>
        <v>0.62620703107195774</v>
      </c>
    </row>
    <row r="731" spans="1:27" x14ac:dyDescent="0.2">
      <c r="A731" s="7" t="s">
        <v>2268</v>
      </c>
      <c r="B731" t="str">
        <f t="shared" si="123"/>
        <v>X5 IV кв. 2016</v>
      </c>
      <c r="C731">
        <v>2016</v>
      </c>
      <c r="D731">
        <f>SUMIFS(Дивиденды!$C:$C,Дивиденды!$A:$A,A731,Дивиденды!$I:$I,C731)</f>
        <v>0</v>
      </c>
      <c r="E731">
        <v>4</v>
      </c>
      <c r="F731">
        <f t="shared" si="124"/>
        <v>0</v>
      </c>
      <c r="G731">
        <f t="shared" si="125"/>
        <v>20.421428571428571</v>
      </c>
      <c r="H731">
        <f t="shared" si="126"/>
        <v>0</v>
      </c>
      <c r="I731">
        <f t="shared" si="122"/>
        <v>0.14285714285714285</v>
      </c>
      <c r="J731">
        <f t="shared" si="127"/>
        <v>0</v>
      </c>
      <c r="K731">
        <f t="shared" si="131"/>
        <v>2.0593461763560781E-2</v>
      </c>
      <c r="L731">
        <f t="shared" si="128"/>
        <v>0</v>
      </c>
      <c r="M731">
        <f t="shared" si="121"/>
        <v>7.1428571428571425E-2</v>
      </c>
      <c r="N731">
        <f t="shared" si="129"/>
        <v>0</v>
      </c>
      <c r="O731">
        <f t="shared" si="130"/>
        <v>7.1428571428571425E-2</v>
      </c>
      <c r="P731" t="str">
        <f>IFERROR(LN('Дивиденды по годам'!I731),"")</f>
        <v/>
      </c>
      <c r="Q731" t="str">
        <f>IFERROR('Дивиденды по годам'!G731/'Дивиденды по годам'!I731, "")</f>
        <v/>
      </c>
      <c r="R731" t="str">
        <f>IFERROR(IF(AND('Дивиденды по годам'!N731&lt;&gt;"",'Дивиденды по годам'!U731&lt;&gt;"",'Дивиденды по годам'!U731&lt;&gt;0),'Дивиденды по годам'!N731/'Дивиденды по годам'!U731-1,""),"")</f>
        <v/>
      </c>
      <c r="S731" t="str">
        <f>IFERROR(IF(AND('Дивиденды по годам'!L731&lt;&gt;"",'Дивиденды по годам'!I731&lt;&gt;"",'Дивиденды по годам'!J731&lt;&gt;"",'Дивиденды по годам'!K731&lt;&gt;"",('Дивиденды по годам'!I731-'Дивиденды по годам'!J731-'Дивиденды по годам'!K731)&lt;&gt;0),'Дивиденды по годам'!L731/('Дивиденды по годам'!I731-'Дивиденды по годам'!J731-'Дивиденды по годам'!K731),""),"")</f>
        <v/>
      </c>
      <c r="T731" t="str">
        <f>IFERROR(IF(AND('Дивиденды по годам'!Q731&lt;&gt;"",'Дивиденды по годам'!I731&lt;&gt;"",'Дивиденды по годам'!V731&lt;&gt;"",('Дивиденды по годам'!I731+'Дивиденды по годам'!V731)&lt;&gt;0),'Дивиденды по годам'!Q731/(('Дивиденды по годам'!I731+'Дивиденды по годам'!V731)/2),""),"")</f>
        <v/>
      </c>
      <c r="U731" t="str">
        <f>IFERROR(IF(AND('Дивиденды по годам'!J731&lt;&gt;"",'Дивиденды по годам'!K731&lt;&gt;"",'Дивиденды по годам'!M731&lt;&gt;"",'Дивиденды по годам'!M731&lt;&gt;0),('Дивиденды по годам'!J731+'Дивиденды по годам'!K731)/'Дивиденды по годам'!M731,""),"")</f>
        <v/>
      </c>
      <c r="V731" cm="1">
        <f t="array" ref="V731">IFERROR(AVERAGE(_xlfn._xlws.FILTER(P$2:P$1073,($C$2:$C$1073=$C731)*($E$2:$E$1073=$E731)*(ROW(P$2:P$1073)&lt;&gt;ROW(P731))*(P$2:P$1073&lt;&gt;""))),"")</f>
        <v>24.55530958635584</v>
      </c>
      <c r="W731" cm="1">
        <f t="array" ref="W731">IFERROR(AVERAGE(_xlfn._xlws.FILTER(Q$2:Q$1073,($C$2:$C$1073=$C731)*($E$2:$E$1073=$E731)*(ROW(Q$2:Q$1073)&lt;&gt;ROW(Q731))*(Q$2:Q$1073&lt;&gt;""))),"")</f>
        <v>0.27878606899788128</v>
      </c>
      <c r="X731" cm="1">
        <f t="array" ref="X731">IFERROR(AVERAGE(_xlfn._xlws.FILTER(R$2:R$1073,($C$2:$C$1073=$C731)*($E$2:$E$1073=$E731)*(ROW(R$2:R$1073)&lt;&gt;ROW(R731))*(R$2:R$1073&lt;&gt;""))),"")</f>
        <v>0.16612325919082049</v>
      </c>
      <c r="Y731" cm="1">
        <f t="array" ref="Y731">IFERROR(AVERAGE(_xlfn._xlws.FILTER(S$2:S$1073,($C$2:$C$1073=$C731)*($E$2:$E$1073=$E731)*(ROW(S$2:S$1073)&lt;&gt;ROW(S731))*(S$2:S$1073&lt;&gt;""))),"")</f>
        <v>6.2178681719613929</v>
      </c>
      <c r="Z731" cm="1">
        <f t="array" ref="Z731">IFERROR(AVERAGE(_xlfn._xlws.FILTER(T$2:T$1073,($C$2:$C$1073=$C731)*($E$2:$E$1073=$E731)*(ROW(T$2:T$1073)&lt;&gt;ROW(T731))*(T$2:T$1073&lt;&gt;""))),"")</f>
        <v>-2.007011623977166E-2</v>
      </c>
      <c r="AA731" cm="1">
        <f t="array" ref="AA731">IFERROR(AVERAGE(_xlfn._xlws.FILTER(U$2:U$1073,($C$2:$C$1073=$C731)*($E$2:$E$1073=$E731)*(ROW(U$2:U$1073)&lt;&gt;ROW(U731))*(U$2:U$1073&lt;&gt;""))),"")</f>
        <v>-16.044507701133888</v>
      </c>
    </row>
    <row r="732" spans="1:27" x14ac:dyDescent="0.2">
      <c r="A732" s="7" t="s">
        <v>2268</v>
      </c>
      <c r="B732" t="str">
        <f t="shared" si="123"/>
        <v>X5 IV кв. 2015</v>
      </c>
      <c r="C732">
        <v>2015</v>
      </c>
      <c r="D732">
        <f>SUMIFS(Дивиденды!$C:$C,Дивиденды!$A:$A,A732,Дивиденды!$I:$I,C732)</f>
        <v>0</v>
      </c>
      <c r="E732">
        <v>4</v>
      </c>
      <c r="F732">
        <f t="shared" si="124"/>
        <v>0</v>
      </c>
      <c r="G732">
        <f t="shared" si="125"/>
        <v>22.574999999999999</v>
      </c>
      <c r="H732">
        <f t="shared" si="126"/>
        <v>0</v>
      </c>
      <c r="I732">
        <f t="shared" si="122"/>
        <v>0.14285714285714285</v>
      </c>
      <c r="J732">
        <f t="shared" si="127"/>
        <v>0</v>
      </c>
      <c r="K732">
        <f t="shared" si="131"/>
        <v>6.1102189263868886E-2</v>
      </c>
      <c r="L732">
        <f t="shared" si="128"/>
        <v>0</v>
      </c>
      <c r="M732">
        <f t="shared" si="121"/>
        <v>7.1428571428571425E-2</v>
      </c>
      <c r="N732">
        <f t="shared" si="129"/>
        <v>0</v>
      </c>
      <c r="O732">
        <f t="shared" si="130"/>
        <v>7.1428571428571425E-2</v>
      </c>
      <c r="P732" t="str">
        <f>IFERROR(LN('Дивиденды по годам'!I732),"")</f>
        <v/>
      </c>
      <c r="Q732" t="str">
        <f>IFERROR('Дивиденды по годам'!G732/'Дивиденды по годам'!I732, "")</f>
        <v/>
      </c>
      <c r="R732" t="str">
        <f>IFERROR(IF(AND('Дивиденды по годам'!N732&lt;&gt;"",'Дивиденды по годам'!U732&lt;&gt;"",'Дивиденды по годам'!U732&lt;&gt;0),'Дивиденды по годам'!N732/'Дивиденды по годам'!U732-1,""),"")</f>
        <v/>
      </c>
      <c r="S732" t="str">
        <f>IFERROR(IF(AND('Дивиденды по годам'!L732&lt;&gt;"",'Дивиденды по годам'!I732&lt;&gt;"",'Дивиденды по годам'!J732&lt;&gt;"",'Дивиденды по годам'!K732&lt;&gt;"",('Дивиденды по годам'!I732-'Дивиденды по годам'!J732-'Дивиденды по годам'!K732)&lt;&gt;0),'Дивиденды по годам'!L732/('Дивиденды по годам'!I732-'Дивиденды по годам'!J732-'Дивиденды по годам'!K732),""),"")</f>
        <v/>
      </c>
      <c r="T732" t="str">
        <f>IFERROR(IF(AND('Дивиденды по годам'!Q732&lt;&gt;"",'Дивиденды по годам'!I732&lt;&gt;"",'Дивиденды по годам'!V732&lt;&gt;"",('Дивиденды по годам'!I732+'Дивиденды по годам'!V732)&lt;&gt;0),'Дивиденды по годам'!Q732/(('Дивиденды по годам'!I732+'Дивиденды по годам'!V732)/2),""),"")</f>
        <v/>
      </c>
      <c r="U732" t="str">
        <f>IFERROR(IF(AND('Дивиденды по годам'!J732&lt;&gt;"",'Дивиденды по годам'!K732&lt;&gt;"",'Дивиденды по годам'!M732&lt;&gt;"",'Дивиденды по годам'!M732&lt;&gt;0),('Дивиденды по годам'!J732+'Дивиденды по годам'!K732)/'Дивиденды по годам'!M732,""),"")</f>
        <v/>
      </c>
      <c r="V732" cm="1">
        <f t="array" ref="V732">IFERROR(AVERAGE(_xlfn._xlws.FILTER(P$2:P$1073,($C$2:$C$1073=$C732)*($E$2:$E$1073=$E732)*(ROW(P$2:P$1073)&lt;&gt;ROW(P732))*(P$2:P$1073&lt;&gt;""))),"")</f>
        <v>24.784857390248948</v>
      </c>
      <c r="W732" cm="1">
        <f t="array" ref="W732">IFERROR(AVERAGE(_xlfn._xlws.FILTER(Q$2:Q$1073,($C$2:$C$1073=$C732)*($E$2:$E$1073=$E732)*(ROW(Q$2:Q$1073)&lt;&gt;ROW(Q732))*(Q$2:Q$1073&lt;&gt;""))),"")</f>
        <v>0.29707306985497267</v>
      </c>
      <c r="X732" cm="1">
        <f t="array" ref="X732">IFERROR(AVERAGE(_xlfn._xlws.FILTER(R$2:R$1073,($C$2:$C$1073=$C732)*($E$2:$E$1073=$E732)*(ROW(R$2:R$1073)&lt;&gt;ROW(R732))*(R$2:R$1073&lt;&gt;""))),"")</f>
        <v>0.20074687596566593</v>
      </c>
      <c r="Y732" cm="1">
        <f t="array" ref="Y732">IFERROR(AVERAGE(_xlfn._xlws.FILTER(S$2:S$1073,($C$2:$C$1073=$C732)*($E$2:$E$1073=$E732)*(ROW(S$2:S$1073)&lt;&gt;ROW(S732))*(S$2:S$1073&lt;&gt;""))),"")</f>
        <v>-0.60736862679830428</v>
      </c>
      <c r="Z732" cm="1">
        <f t="array" ref="Z732">IFERROR(AVERAGE(_xlfn._xlws.FILTER(T$2:T$1073,($C$2:$C$1073=$C732)*($E$2:$E$1073=$E732)*(ROW(T$2:T$1073)&lt;&gt;ROW(T732))*(T$2:T$1073&lt;&gt;""))),"")</f>
        <v>6.4031956193225284E-2</v>
      </c>
      <c r="AA732" cm="1">
        <f t="array" ref="AA732">IFERROR(AVERAGE(_xlfn._xlws.FILTER(U$2:U$1073,($C$2:$C$1073=$C732)*($E$2:$E$1073=$E732)*(ROW(U$2:U$1073)&lt;&gt;ROW(U732))*(U$2:U$1073&lt;&gt;""))),"")</f>
        <v>5.5189604575277329</v>
      </c>
    </row>
    <row r="733" spans="1:27" x14ac:dyDescent="0.2">
      <c r="A733" s="7" t="s">
        <v>2268</v>
      </c>
      <c r="B733" t="str">
        <f t="shared" si="123"/>
        <v>X5 IV кв. 2014</v>
      </c>
      <c r="C733">
        <v>2014</v>
      </c>
      <c r="D733">
        <f>SUMIFS(Дивиденды!$C:$C,Дивиденды!$A:$A,A733,Дивиденды!$I:$I,C733)</f>
        <v>0</v>
      </c>
      <c r="E733">
        <v>4</v>
      </c>
      <c r="F733">
        <f t="shared" si="124"/>
        <v>0</v>
      </c>
      <c r="G733">
        <f t="shared" si="125"/>
        <v>25.924285714285713</v>
      </c>
      <c r="H733">
        <f t="shared" si="126"/>
        <v>0</v>
      </c>
      <c r="I733">
        <f t="shared" si="122"/>
        <v>7.1428571428571425E-2</v>
      </c>
      <c r="J733">
        <f t="shared" si="127"/>
        <v>0</v>
      </c>
      <c r="K733">
        <f t="shared" si="131"/>
        <v>4.887635107293415E-2</v>
      </c>
      <c r="L733">
        <f t="shared" si="128"/>
        <v>0</v>
      </c>
      <c r="M733">
        <f t="shared" si="121"/>
        <v>7.1428571428571425E-2</v>
      </c>
      <c r="N733">
        <f t="shared" si="129"/>
        <v>0</v>
      </c>
      <c r="O733">
        <f t="shared" si="130"/>
        <v>7.1428571428571425E-2</v>
      </c>
      <c r="P733" t="str">
        <f>IFERROR(LN('Дивиденды по годам'!I733),"")</f>
        <v/>
      </c>
      <c r="Q733" t="str">
        <f>IFERROR('Дивиденды по годам'!G733/'Дивиденды по годам'!I733, "")</f>
        <v/>
      </c>
      <c r="R733" t="str">
        <f>IFERROR(IF(AND('Дивиденды по годам'!N733&lt;&gt;"",'Дивиденды по годам'!U733&lt;&gt;"",'Дивиденды по годам'!U733&lt;&gt;0),'Дивиденды по годам'!N733/'Дивиденды по годам'!U733-1,""),"")</f>
        <v/>
      </c>
      <c r="S733" t="str">
        <f>IFERROR(IF(AND('Дивиденды по годам'!L733&lt;&gt;"",'Дивиденды по годам'!I733&lt;&gt;"",'Дивиденды по годам'!J733&lt;&gt;"",'Дивиденды по годам'!K733&lt;&gt;"",('Дивиденды по годам'!I733-'Дивиденды по годам'!J733-'Дивиденды по годам'!K733)&lt;&gt;0),'Дивиденды по годам'!L733/('Дивиденды по годам'!I733-'Дивиденды по годам'!J733-'Дивиденды по годам'!K733),""),"")</f>
        <v/>
      </c>
      <c r="T733" t="str">
        <f>IFERROR(IF(AND('Дивиденды по годам'!Q733&lt;&gt;"",'Дивиденды по годам'!I733&lt;&gt;"",'Дивиденды по годам'!V733&lt;&gt;"",('Дивиденды по годам'!I733+'Дивиденды по годам'!V733)&lt;&gt;0),'Дивиденды по годам'!Q733/(('Дивиденды по годам'!I733+'Дивиденды по годам'!V733)/2),""),"")</f>
        <v/>
      </c>
      <c r="U733" t="str">
        <f>IFERROR(IF(AND('Дивиденды по годам'!J733&lt;&gt;"",'Дивиденды по годам'!K733&lt;&gt;"",'Дивиденды по годам'!M733&lt;&gt;"",'Дивиденды по годам'!M733&lt;&gt;0),('Дивиденды по годам'!J733+'Дивиденды по годам'!K733)/'Дивиденды по годам'!M733,""),"")</f>
        <v/>
      </c>
      <c r="V733" cm="1">
        <f t="array" ref="V733">IFERROR(AVERAGE(_xlfn._xlws.FILTER(P$2:P$1073,($C$2:$C$1073=$C733)*($E$2:$E$1073=$E733)*(ROW(P$2:P$1073)&lt;&gt;ROW(P733))*(P$2:P$1073&lt;&gt;""))),"")</f>
        <v>24.777851287837404</v>
      </c>
      <c r="W733" cm="1">
        <f t="array" ref="W733">IFERROR(AVERAGE(_xlfn._xlws.FILTER(Q$2:Q$1073,($C$2:$C$1073=$C733)*($E$2:$E$1073=$E733)*(ROW(Q$2:Q$1073)&lt;&gt;ROW(Q733))*(Q$2:Q$1073&lt;&gt;""))),"")</f>
        <v>0.28994951624266957</v>
      </c>
      <c r="X733" cm="1">
        <f t="array" ref="X733">IFERROR(AVERAGE(_xlfn._xlws.FILTER(R$2:R$1073,($C$2:$C$1073=$C733)*($E$2:$E$1073=$E733)*(ROW(R$2:R$1073)&lt;&gt;ROW(R733))*(R$2:R$1073&lt;&gt;""))),"")</f>
        <v>8.5517195784799244E-2</v>
      </c>
      <c r="Y733" cm="1">
        <f t="array" ref="Y733">IFERROR(AVERAGE(_xlfn._xlws.FILTER(S$2:S$1073,($C$2:$C$1073=$C733)*($E$2:$E$1073=$E733)*(ROW(S$2:S$1073)&lt;&gt;ROW(S733))*(S$2:S$1073&lt;&gt;""))),"")</f>
        <v>-8.9932559622525012</v>
      </c>
      <c r="Z733" cm="1">
        <f t="array" ref="Z733">IFERROR(AVERAGE(_xlfn._xlws.FILTER(T$2:T$1073,($C$2:$C$1073=$C733)*($E$2:$E$1073=$E733)*(ROW(T$2:T$1073)&lt;&gt;ROW(T733))*(T$2:T$1073&lt;&gt;""))),"")</f>
        <v>3.4958573241250623E-2</v>
      </c>
      <c r="AA733" cm="1">
        <f t="array" ref="AA733">IFERROR(AVERAGE(_xlfn._xlws.FILTER(U$2:U$1073,($C$2:$C$1073=$C733)*($E$2:$E$1073=$E733)*(ROW(U$2:U$1073)&lt;&gt;ROW(U733))*(U$2:U$1073&lt;&gt;""))),"")</f>
        <v>34.444280572958768</v>
      </c>
    </row>
    <row r="734" spans="1:27" x14ac:dyDescent="0.2">
      <c r="A734" s="7" t="s">
        <v>2268</v>
      </c>
      <c r="B734" t="str">
        <f t="shared" si="123"/>
        <v>X5 IV кв. 2013</v>
      </c>
      <c r="C734">
        <v>2013</v>
      </c>
      <c r="D734">
        <f>SUMIFS(Дивиденды!$C:$C,Дивиденды!$A:$A,A734,Дивиденды!$I:$I,C734)</f>
        <v>0</v>
      </c>
      <c r="E734">
        <v>4</v>
      </c>
      <c r="F734">
        <f t="shared" si="124"/>
        <v>0</v>
      </c>
      <c r="G734">
        <f t="shared" si="125"/>
        <v>13.409285714285716</v>
      </c>
      <c r="H734">
        <f t="shared" si="126"/>
        <v>0</v>
      </c>
      <c r="I734">
        <f t="shared" si="122"/>
        <v>0.14285714285714285</v>
      </c>
      <c r="J734">
        <f t="shared" si="127"/>
        <v>0</v>
      </c>
      <c r="K734">
        <f t="shared" si="131"/>
        <v>4.7291245939064024E-2</v>
      </c>
      <c r="L734">
        <f t="shared" si="128"/>
        <v>0</v>
      </c>
      <c r="M734">
        <f t="shared" si="121"/>
        <v>7.1428571428571425E-2</v>
      </c>
      <c r="N734">
        <f t="shared" si="129"/>
        <v>0</v>
      </c>
      <c r="O734">
        <f t="shared" si="130"/>
        <v>0</v>
      </c>
      <c r="P734" t="str">
        <f>IFERROR(LN('Дивиденды по годам'!I734),"")</f>
        <v/>
      </c>
      <c r="Q734" t="str">
        <f>IFERROR('Дивиденды по годам'!G734/'Дивиденды по годам'!I734, "")</f>
        <v/>
      </c>
      <c r="R734" t="str">
        <f>IFERROR(IF(AND('Дивиденды по годам'!N734&lt;&gt;"",'Дивиденды по годам'!U734&lt;&gt;"",'Дивиденды по годам'!U734&lt;&gt;0),'Дивиденды по годам'!N734/'Дивиденды по годам'!U734-1,""),"")</f>
        <v/>
      </c>
      <c r="S734" t="str">
        <f>IFERROR(IF(AND('Дивиденды по годам'!L734&lt;&gt;"",'Дивиденды по годам'!I734&lt;&gt;"",'Дивиденды по годам'!J734&lt;&gt;"",'Дивиденды по годам'!K734&lt;&gt;"",('Дивиденды по годам'!I734-'Дивиденды по годам'!J734-'Дивиденды по годам'!K734)&lt;&gt;0),'Дивиденды по годам'!L734/('Дивиденды по годам'!I734-'Дивиденды по годам'!J734-'Дивиденды по годам'!K734),""),"")</f>
        <v/>
      </c>
      <c r="T734" t="str">
        <f>IFERROR(IF(AND('Дивиденды по годам'!Q734&lt;&gt;"",'Дивиденды по годам'!I734&lt;&gt;"",'Дивиденды по годам'!V734&lt;&gt;"",('Дивиденды по годам'!I734+'Дивиденды по годам'!V734)&lt;&gt;0),'Дивиденды по годам'!Q734/(('Дивиденды по годам'!I734+'Дивиденды по годам'!V734)/2),""),"")</f>
        <v/>
      </c>
      <c r="U734" t="str">
        <f>IFERROR(IF(AND('Дивиденды по годам'!J734&lt;&gt;"",'Дивиденды по годам'!K734&lt;&gt;"",'Дивиденды по годам'!M734&lt;&gt;"",'Дивиденды по годам'!M734&lt;&gt;0),('Дивиденды по годам'!J734+'Дивиденды по годам'!K734)/'Дивиденды по годам'!M734,""),"")</f>
        <v/>
      </c>
      <c r="V734" cm="1">
        <f t="array" ref="V734">IFERROR(AVERAGE(_xlfn._xlws.FILTER(P$2:P$1073,($C$2:$C$1073=$C734)*($E$2:$E$1073=$E734)*(ROW(P$2:P$1073)&lt;&gt;ROW(P734))*(P$2:P$1073&lt;&gt;""))),"")</f>
        <v>24.281308125321722</v>
      </c>
      <c r="W734" cm="1">
        <f t="array" ref="W734">IFERROR(AVERAGE(_xlfn._xlws.FILTER(Q$2:Q$1073,($C$2:$C$1073=$C734)*($E$2:$E$1073=$E734)*(ROW(Q$2:Q$1073)&lt;&gt;ROW(Q734))*(Q$2:Q$1073&lt;&gt;""))),"")</f>
        <v>0.34809372453666254</v>
      </c>
      <c r="X734" cm="1">
        <f t="array" ref="X734">IFERROR(AVERAGE(_xlfn._xlws.FILTER(R$2:R$1073,($C$2:$C$1073=$C734)*($E$2:$E$1073=$E734)*(ROW(R$2:R$1073)&lt;&gt;ROW(R734))*(R$2:R$1073&lt;&gt;""))),"")</f>
        <v>0.17531341667142472</v>
      </c>
      <c r="Y734" t="str" cm="1">
        <f t="array" ref="Y734">IFERROR(AVERAGE(_xlfn._xlws.FILTER(S$2:S$1073,($C$2:$C$1073=$C734)*($E$2:$E$1073=$E734)*(ROW(S$2:S$1073)&lt;&gt;ROW(S734))*(S$2:S$1073&lt;&gt;""))),"")</f>
        <v/>
      </c>
      <c r="Z734" cm="1">
        <f t="array" ref="Z734">IFERROR(AVERAGE(_xlfn._xlws.FILTER(T$2:T$1073,($C$2:$C$1073=$C734)*($E$2:$E$1073=$E734)*(ROW(T$2:T$1073)&lt;&gt;ROW(T734))*(T$2:T$1073&lt;&gt;""))),"")</f>
        <v>-0.12490141563278262</v>
      </c>
      <c r="AA734" cm="1">
        <f t="array" ref="AA734">IFERROR(AVERAGE(_xlfn._xlws.FILTER(U$2:U$1073,($C$2:$C$1073=$C734)*($E$2:$E$1073=$E734)*(ROW(U$2:U$1073)&lt;&gt;ROW(U734))*(U$2:U$1073&lt;&gt;""))),"")</f>
        <v>0.44566877182826042</v>
      </c>
    </row>
    <row r="735" spans="1:27" x14ac:dyDescent="0.2">
      <c r="A735" s="7" t="s">
        <v>2268</v>
      </c>
      <c r="B735" t="str">
        <f t="shared" si="123"/>
        <v>X5 IV кв. 2012</v>
      </c>
      <c r="C735">
        <v>2012</v>
      </c>
      <c r="D735">
        <f>SUMIFS(Дивиденды!$C:$C,Дивиденды!$A:$A,A735,Дивиденды!$I:$I,C735)</f>
        <v>0</v>
      </c>
      <c r="E735">
        <v>4</v>
      </c>
      <c r="F735">
        <f t="shared" si="124"/>
        <v>0</v>
      </c>
      <c r="G735">
        <f t="shared" si="125"/>
        <v>9.5621428571428577</v>
      </c>
      <c r="H735">
        <f t="shared" si="126"/>
        <v>0</v>
      </c>
      <c r="I735">
        <f t="shared" si="122"/>
        <v>0.14285714285714285</v>
      </c>
      <c r="J735">
        <f t="shared" si="127"/>
        <v>0</v>
      </c>
      <c r="K735">
        <f t="shared" si="131"/>
        <v>0.25341100242975517</v>
      </c>
      <c r="L735">
        <f t="shared" si="128"/>
        <v>0</v>
      </c>
      <c r="M735">
        <f t="shared" si="121"/>
        <v>0.14285714285714285</v>
      </c>
      <c r="N735">
        <f t="shared" si="129"/>
        <v>0</v>
      </c>
      <c r="O735">
        <f t="shared" si="130"/>
        <v>0</v>
      </c>
      <c r="P735" t="str">
        <f>IFERROR(LN('Дивиденды по годам'!I735),"")</f>
        <v/>
      </c>
      <c r="Q735" t="str">
        <f>IFERROR('Дивиденды по годам'!G735/'Дивиденды по годам'!I735, "")</f>
        <v/>
      </c>
      <c r="R735" t="str">
        <f>IFERROR(IF(AND('Дивиденды по годам'!N735&lt;&gt;"",'Дивиденды по годам'!U735&lt;&gt;"",'Дивиденды по годам'!U735&lt;&gt;0),'Дивиденды по годам'!N735/'Дивиденды по годам'!U735-1,""),"")</f>
        <v/>
      </c>
      <c r="S735" t="str">
        <f>IFERROR(IF(AND('Дивиденды по годам'!L735&lt;&gt;"",'Дивиденды по годам'!I735&lt;&gt;"",'Дивиденды по годам'!J735&lt;&gt;"",'Дивиденды по годам'!K735&lt;&gt;"",('Дивиденды по годам'!I735-'Дивиденды по годам'!J735-'Дивиденды по годам'!K735)&lt;&gt;0),'Дивиденды по годам'!L735/('Дивиденды по годам'!I735-'Дивиденды по годам'!J735-'Дивиденды по годам'!K735),""),"")</f>
        <v/>
      </c>
      <c r="T735" t="str">
        <f>IFERROR(IF(AND('Дивиденды по годам'!Q735&lt;&gt;"",'Дивиденды по годам'!I735&lt;&gt;"",'Дивиденды по годам'!V735&lt;&gt;"",('Дивиденды по годам'!I735+'Дивиденды по годам'!V735)&lt;&gt;0),'Дивиденды по годам'!Q735/(('Дивиденды по годам'!I735+'Дивиденды по годам'!V735)/2),""),"")</f>
        <v/>
      </c>
      <c r="U735" t="str">
        <f>IFERROR(IF(AND('Дивиденды по годам'!J735&lt;&gt;"",'Дивиденды по годам'!K735&lt;&gt;"",'Дивиденды по годам'!M735&lt;&gt;"",'Дивиденды по годам'!M735&lt;&gt;0),('Дивиденды по годам'!J735+'Дивиденды по годам'!K735)/'Дивиденды по годам'!M735,""),"")</f>
        <v/>
      </c>
      <c r="V735" cm="1">
        <f t="array" ref="V735">IFERROR(AVERAGE(_xlfn._xlws.FILTER(P$2:P$1073,($C$2:$C$1073=$C735)*($E$2:$E$1073=$E735)*(ROW(P$2:P$1073)&lt;&gt;ROW(P735))*(P$2:P$1073&lt;&gt;""))),"")</f>
        <v>24.228370506718147</v>
      </c>
      <c r="W735" cm="1">
        <f t="array" ref="W735">IFERROR(AVERAGE(_xlfn._xlws.FILTER(Q$2:Q$1073,($C$2:$C$1073=$C735)*($E$2:$E$1073=$E735)*(ROW(Q$2:Q$1073)&lt;&gt;ROW(Q735))*(Q$2:Q$1073&lt;&gt;""))),"")</f>
        <v>0.2820560824162458</v>
      </c>
      <c r="X735" cm="1">
        <f t="array" ref="X735">IFERROR(AVERAGE(_xlfn._xlws.FILTER(R$2:R$1073,($C$2:$C$1073=$C735)*($E$2:$E$1073=$E735)*(ROW(R$2:R$1073)&lt;&gt;ROW(R735))*(R$2:R$1073&lt;&gt;""))),"")</f>
        <v>-2.2522357472477484E-2</v>
      </c>
      <c r="Y735" cm="1">
        <f t="array" ref="Y735">IFERROR(AVERAGE(_xlfn._xlws.FILTER(S$2:S$1073,($C$2:$C$1073=$C735)*($E$2:$E$1073=$E735)*(ROW(S$2:S$1073)&lt;&gt;ROW(S735))*(S$2:S$1073&lt;&gt;""))),"")</f>
        <v>-1.7651061513336963</v>
      </c>
      <c r="Z735" cm="1">
        <f t="array" ref="Z735">IFERROR(AVERAGE(_xlfn._xlws.FILTER(T$2:T$1073,($C$2:$C$1073=$C735)*($E$2:$E$1073=$E735)*(ROW(T$2:T$1073)&lt;&gt;ROW(T735))*(T$2:T$1073&lt;&gt;""))),"")</f>
        <v>6.8400459116201365E-2</v>
      </c>
      <c r="AA735" cm="1">
        <f t="array" ref="AA735">IFERROR(AVERAGE(_xlfn._xlws.FILTER(U$2:U$1073,($C$2:$C$1073=$C735)*($E$2:$E$1073=$E735)*(ROW(U$2:U$1073)&lt;&gt;ROW(U735))*(U$2:U$1073&lt;&gt;""))),"")</f>
        <v>-3.9631898894189463</v>
      </c>
    </row>
    <row r="736" spans="1:27" x14ac:dyDescent="0.2">
      <c r="A736" s="7" t="s">
        <v>2268</v>
      </c>
      <c r="B736" t="str">
        <f t="shared" si="123"/>
        <v>X5 IV кв. 2011</v>
      </c>
      <c r="C736">
        <v>2011</v>
      </c>
      <c r="D736">
        <f>SUMIFS(Дивиденды!$C:$C,Дивиденды!$A:$A,A736,Дивиденды!$I:$I,C736)</f>
        <v>0</v>
      </c>
      <c r="E736">
        <v>4</v>
      </c>
      <c r="F736">
        <f t="shared" si="124"/>
        <v>0</v>
      </c>
      <c r="G736">
        <f t="shared" si="125"/>
        <v>1.6378571428571429</v>
      </c>
      <c r="H736">
        <f t="shared" si="126"/>
        <v>0</v>
      </c>
      <c r="I736">
        <f t="shared" si="122"/>
        <v>7.1428571428571425E-2</v>
      </c>
      <c r="J736">
        <f t="shared" si="127"/>
        <v>0</v>
      </c>
      <c r="K736">
        <f t="shared" si="131"/>
        <v>0.17786475320721892</v>
      </c>
      <c r="L736">
        <f t="shared" si="128"/>
        <v>0</v>
      </c>
      <c r="M736">
        <f t="shared" si="121"/>
        <v>7.1428571428571425E-2</v>
      </c>
      <c r="N736">
        <f t="shared" si="129"/>
        <v>0</v>
      </c>
      <c r="O736">
        <f t="shared" si="130"/>
        <v>0</v>
      </c>
      <c r="P736" t="str">
        <f>IFERROR(LN('Дивиденды по годам'!I736),"")</f>
        <v/>
      </c>
      <c r="Q736" t="str">
        <f>IFERROR('Дивиденды по годам'!G736/'Дивиденды по годам'!I736, "")</f>
        <v/>
      </c>
      <c r="R736" t="str">
        <f>IFERROR(IF(AND('Дивиденды по годам'!N736&lt;&gt;"",'Дивиденды по годам'!U736&lt;&gt;"",'Дивиденды по годам'!U736&lt;&gt;0),'Дивиденды по годам'!N736/'Дивиденды по годам'!U736-1,""),"")</f>
        <v/>
      </c>
      <c r="S736" t="str">
        <f>IFERROR(IF(AND('Дивиденды по годам'!L736&lt;&gt;"",'Дивиденды по годам'!I736&lt;&gt;"",'Дивиденды по годам'!J736&lt;&gt;"",'Дивиденды по годам'!K736&lt;&gt;"",('Дивиденды по годам'!I736-'Дивиденды по годам'!J736-'Дивиденды по годам'!K736)&lt;&gt;0),'Дивиденды по годам'!L736/('Дивиденды по годам'!I736-'Дивиденды по годам'!J736-'Дивиденды по годам'!K736),""),"")</f>
        <v/>
      </c>
      <c r="T736" t="str">
        <f>IFERROR(IF(AND('Дивиденды по годам'!Q736&lt;&gt;"",'Дивиденды по годам'!I736&lt;&gt;"",'Дивиденды по годам'!V736&lt;&gt;"",('Дивиденды по годам'!I736+'Дивиденды по годам'!V736)&lt;&gt;0),'Дивиденды по годам'!Q736/(('Дивиденды по годам'!I736+'Дивиденды по годам'!V736)/2),""),"")</f>
        <v/>
      </c>
      <c r="U736" t="str">
        <f>IFERROR(IF(AND('Дивиденды по годам'!J736&lt;&gt;"",'Дивиденды по годам'!K736&lt;&gt;"",'Дивиденды по годам'!M736&lt;&gt;"",'Дивиденды по годам'!M736&lt;&gt;0),('Дивиденды по годам'!J736+'Дивиденды по годам'!K736)/'Дивиденды по годам'!M736,""),"")</f>
        <v/>
      </c>
      <c r="V736" cm="1">
        <f t="array" ref="V736">IFERROR(AVERAGE(_xlfn._xlws.FILTER(P$2:P$1073,($C$2:$C$1073=$C736)*($E$2:$E$1073=$E736)*(ROW(P$2:P$1073)&lt;&gt;ROW(P736))*(P$2:P$1073&lt;&gt;""))),"")</f>
        <v>24.180789108496477</v>
      </c>
      <c r="W736" cm="1">
        <f t="array" ref="W736">IFERROR(AVERAGE(_xlfn._xlws.FILTER(Q$2:Q$1073,($C$2:$C$1073=$C736)*($E$2:$E$1073=$E736)*(ROW(Q$2:Q$1073)&lt;&gt;ROW(Q736))*(Q$2:Q$1073&lt;&gt;""))),"")</f>
        <v>0.29604752502083465</v>
      </c>
      <c r="X736" cm="1">
        <f t="array" ref="X736">IFERROR(AVERAGE(_xlfn._xlws.FILTER(R$2:R$1073,($C$2:$C$1073=$C736)*($E$2:$E$1073=$E736)*(ROW(R$2:R$1073)&lt;&gt;ROW(R736))*(R$2:R$1073&lt;&gt;""))),"")</f>
        <v>5.9511017560386792E-2</v>
      </c>
      <c r="Y736" t="str" cm="1">
        <f t="array" ref="Y736">IFERROR(AVERAGE(_xlfn._xlws.FILTER(S$2:S$1073,($C$2:$C$1073=$C736)*($E$2:$E$1073=$E736)*(ROW(S$2:S$1073)&lt;&gt;ROW(S736))*(S$2:S$1073&lt;&gt;""))),"")</f>
        <v/>
      </c>
      <c r="Z736" cm="1">
        <f t="array" ref="Z736">IFERROR(AVERAGE(_xlfn._xlws.FILTER(T$2:T$1073,($C$2:$C$1073=$C736)*($E$2:$E$1073=$E736)*(ROW(T$2:T$1073)&lt;&gt;ROW(T736))*(T$2:T$1073&lt;&gt;""))),"")</f>
        <v>-1.4171101286470289E-2</v>
      </c>
      <c r="AA736" cm="1">
        <f t="array" ref="AA736">IFERROR(AVERAGE(_xlfn._xlws.FILTER(U$2:U$1073,($C$2:$C$1073=$C736)*($E$2:$E$1073=$E736)*(ROW(U$2:U$1073)&lt;&gt;ROW(U736))*(U$2:U$1073&lt;&gt;""))),"")</f>
        <v>2.1854574410792247</v>
      </c>
    </row>
    <row r="737" spans="1:27" x14ac:dyDescent="0.2">
      <c r="A737" s="7" t="s">
        <v>2268</v>
      </c>
      <c r="B737" t="str">
        <f t="shared" si="123"/>
        <v>X5 IV кв. 2010</v>
      </c>
      <c r="C737">
        <v>2010</v>
      </c>
      <c r="D737">
        <f>SUMIFS(Дивиденды!$C:$C,Дивиденды!$A:$A,A737,Дивиденды!$I:$I,C737)</f>
        <v>0</v>
      </c>
      <c r="E737">
        <v>4</v>
      </c>
      <c r="F737">
        <f t="shared" si="124"/>
        <v>0</v>
      </c>
      <c r="G737">
        <f t="shared" si="125"/>
        <v>0.46928571428571431</v>
      </c>
      <c r="H737">
        <f t="shared" si="126"/>
        <v>0</v>
      </c>
      <c r="I737">
        <f t="shared" si="122"/>
        <v>7.1428571428571425E-2</v>
      </c>
      <c r="J737" t="str">
        <f t="shared" si="127"/>
        <v/>
      </c>
      <c r="K737" t="str">
        <f t="shared" si="131"/>
        <v/>
      </c>
      <c r="L737" t="str">
        <f t="shared" si="128"/>
        <v/>
      </c>
      <c r="M737" t="str">
        <f t="shared" ref="M737:M800" si="132">IFERROR(AVERAGEIFS($L:$L,$E:$E,E737,$C:$C,C737,$A:$A,"&lt;&gt;"&amp;A737),"")</f>
        <v/>
      </c>
      <c r="N737" t="str">
        <f t="shared" si="129"/>
        <v/>
      </c>
      <c r="O737" t="str">
        <f t="shared" si="130"/>
        <v/>
      </c>
      <c r="P737" t="str">
        <f>IFERROR(LN('Дивиденды по годам'!I737),"")</f>
        <v/>
      </c>
      <c r="Q737" t="str">
        <f>IFERROR('Дивиденды по годам'!G737/'Дивиденды по годам'!I737, "")</f>
        <v/>
      </c>
      <c r="R737" t="str">
        <f>IFERROR(IF(AND('Дивиденды по годам'!N737&lt;&gt;"",'Дивиденды по годам'!U737&lt;&gt;"",'Дивиденды по годам'!U737&lt;&gt;0),'Дивиденды по годам'!N737/'Дивиденды по годам'!U737-1,""),"")</f>
        <v/>
      </c>
      <c r="S737" t="str">
        <f>IFERROR(IF(AND('Дивиденды по годам'!L737&lt;&gt;"",'Дивиденды по годам'!I737&lt;&gt;"",'Дивиденды по годам'!J737&lt;&gt;"",'Дивиденды по годам'!K737&lt;&gt;"",('Дивиденды по годам'!I737-'Дивиденды по годам'!J737-'Дивиденды по годам'!K737)&lt;&gt;0),'Дивиденды по годам'!L737/('Дивиденды по годам'!I737-'Дивиденды по годам'!J737-'Дивиденды по годам'!K737),""),"")</f>
        <v/>
      </c>
      <c r="T737" t="str">
        <f>IFERROR(IF(AND('Дивиденды по годам'!Q737&lt;&gt;"",'Дивиденды по годам'!I737&lt;&gt;"",'Дивиденды по годам'!V737&lt;&gt;"",('Дивиденды по годам'!I737+'Дивиденды по годам'!V737)&lt;&gt;0),'Дивиденды по годам'!Q737/(('Дивиденды по годам'!I737+'Дивиденды по годам'!V737)/2),""),"")</f>
        <v/>
      </c>
      <c r="U737" t="str">
        <f>IFERROR(IF(AND('Дивиденды по годам'!J737&lt;&gt;"",'Дивиденды по годам'!K737&lt;&gt;"",'Дивиденды по годам'!M737&lt;&gt;"",'Дивиденды по годам'!M737&lt;&gt;0),('Дивиденды по годам'!J737+'Дивиденды по годам'!K737)/'Дивиденды по годам'!M737,""),"")</f>
        <v/>
      </c>
      <c r="V737" cm="1">
        <f t="array" ref="V737">IFERROR(AVERAGE(_xlfn._xlws.FILTER(P$2:P$1073,($C$2:$C$1073=$C737)*($E$2:$E$1073=$E737)*(ROW(P$2:P$1073)&lt;&gt;ROW(P737))*(P$2:P$1073&lt;&gt;""))),"")</f>
        <v>23.656010386255485</v>
      </c>
      <c r="W737" cm="1">
        <f t="array" ref="W737">IFERROR(AVERAGE(_xlfn._xlws.FILTER(Q$2:Q$1073,($C$2:$C$1073=$C737)*($E$2:$E$1073=$E737)*(ROW(Q$2:Q$1073)&lt;&gt;ROW(Q737))*(Q$2:Q$1073&lt;&gt;""))),"")</f>
        <v>0.15222241747474585</v>
      </c>
      <c r="X737" t="str" cm="1">
        <f t="array" ref="X737">IFERROR(AVERAGE(_xlfn._xlws.FILTER(R$2:R$1073,($C$2:$C$1073=$C737)*($E$2:$E$1073=$E737)*(ROW(R$2:R$1073)&lt;&gt;ROW(R737))*(R$2:R$1073&lt;&gt;""))),"")</f>
        <v/>
      </c>
      <c r="Y737" t="str" cm="1">
        <f t="array" ref="Y737">IFERROR(AVERAGE(_xlfn._xlws.FILTER(S$2:S$1073,($C$2:$C$1073=$C737)*($E$2:$E$1073=$E737)*(ROW(S$2:S$1073)&lt;&gt;ROW(S737))*(S$2:S$1073&lt;&gt;""))),"")</f>
        <v/>
      </c>
      <c r="Z737" t="str" cm="1">
        <f t="array" ref="Z737">IFERROR(AVERAGE(_xlfn._xlws.FILTER(T$2:T$1073,($C$2:$C$1073=$C737)*($E$2:$E$1073=$E737)*(ROW(T$2:T$1073)&lt;&gt;ROW(T737))*(T$2:T$1073&lt;&gt;""))),"")</f>
        <v/>
      </c>
      <c r="AA737" cm="1">
        <f t="array" ref="AA737">IFERROR(AVERAGE(_xlfn._xlws.FILTER(U$2:U$1073,($C$2:$C$1073=$C737)*($E$2:$E$1073=$E737)*(ROW(U$2:U$1073)&lt;&gt;ROW(U737))*(U$2:U$1073&lt;&gt;""))),"")</f>
        <v>2.8988498110700496</v>
      </c>
    </row>
    <row r="738" spans="1:27" x14ac:dyDescent="0.2">
      <c r="A738" s="7" t="s">
        <v>2270</v>
      </c>
      <c r="B738" t="str">
        <f t="shared" si="123"/>
        <v>ASTR IV кв. 2025</v>
      </c>
      <c r="C738">
        <v>2025</v>
      </c>
      <c r="D738">
        <f>SUMIFS(Дивиденды!$C:$C,Дивиденды!$A:$A,A738,Дивиденды!$I:$I,C738)</f>
        <v>0</v>
      </c>
      <c r="E738">
        <v>5</v>
      </c>
      <c r="F738">
        <f t="shared" si="124"/>
        <v>0</v>
      </c>
      <c r="G738">
        <f t="shared" si="125"/>
        <v>62.940000000000005</v>
      </c>
      <c r="H738">
        <f t="shared" si="126"/>
        <v>0</v>
      </c>
      <c r="I738">
        <f t="shared" si="122"/>
        <v>0.66666666666666663</v>
      </c>
      <c r="J738">
        <f t="shared" si="127"/>
        <v>-1</v>
      </c>
      <c r="K738">
        <f t="shared" si="131"/>
        <v>0.30502921577509412</v>
      </c>
      <c r="L738">
        <f t="shared" si="128"/>
        <v>0</v>
      </c>
      <c r="M738">
        <f t="shared" si="132"/>
        <v>0.44444444444444442</v>
      </c>
      <c r="N738">
        <f t="shared" si="129"/>
        <v>1</v>
      </c>
      <c r="O738">
        <f t="shared" si="130"/>
        <v>0.33333333333333331</v>
      </c>
      <c r="P738" t="str">
        <f>IFERROR(LN('Дивиденды по годам'!I738),"")</f>
        <v/>
      </c>
      <c r="Q738" t="str">
        <f>IFERROR('Дивиденды по годам'!G738/'Дивиденды по годам'!I738, "")</f>
        <v/>
      </c>
      <c r="R738" t="str">
        <f>IFERROR(IF(AND('Дивиденды по годам'!N738&lt;&gt;"",'Дивиденды по годам'!U738&lt;&gt;"",'Дивиденды по годам'!U738&lt;&gt;0),'Дивиденды по годам'!N738/'Дивиденды по годам'!U738-1,""),"")</f>
        <v/>
      </c>
      <c r="S738" t="str">
        <f>IFERROR(IF(AND('Дивиденды по годам'!L738&lt;&gt;"",'Дивиденды по годам'!I738&lt;&gt;"",'Дивиденды по годам'!J738&lt;&gt;"",'Дивиденды по годам'!K738&lt;&gt;"",('Дивиденды по годам'!I738-'Дивиденды по годам'!J738-'Дивиденды по годам'!K738)&lt;&gt;0),'Дивиденды по годам'!L738/('Дивиденды по годам'!I738-'Дивиденды по годам'!J738-'Дивиденды по годам'!K738),""),"")</f>
        <v/>
      </c>
      <c r="T738" t="str">
        <f>IFERROR(IF(AND('Дивиденды по годам'!Q738&lt;&gt;"",'Дивиденды по годам'!I738&lt;&gt;"",'Дивиденды по годам'!V738&lt;&gt;"",('Дивиденды по годам'!I738+'Дивиденды по годам'!V738)&lt;&gt;0),'Дивиденды по годам'!Q738/(('Дивиденды по годам'!I738+'Дивиденды по годам'!V738)/2),""),"")</f>
        <v/>
      </c>
      <c r="U738" t="str">
        <f>IFERROR(IF(AND('Дивиденды по годам'!J738&lt;&gt;"",'Дивиденды по годам'!K738&lt;&gt;"",'Дивиденды по годам'!M738&lt;&gt;"",'Дивиденды по годам'!M738&lt;&gt;0),('Дивиденды по годам'!J738+'Дивиденды по годам'!K738)/'Дивиденды по годам'!M738,""),"")</f>
        <v/>
      </c>
      <c r="V738" cm="1">
        <f t="array" ref="V738">IFERROR(AVERAGE(_xlfn._xlws.FILTER(P$2:P$1073,($C$2:$C$1073=$C738)*($E$2:$E$1073=$E738)*(ROW(P$2:P$1073)&lt;&gt;ROW(P738))*(P$2:P$1073&lt;&gt;""))),"")</f>
        <v>25.891438099154414</v>
      </c>
      <c r="W738" cm="1">
        <f t="array" ref="W738">IFERROR(AVERAGE(_xlfn._xlws.FILTER(Q$2:Q$1073,($C$2:$C$1073=$C738)*($E$2:$E$1073=$E738)*(ROW(Q$2:Q$1073)&lt;&gt;ROW(Q738))*(Q$2:Q$1073&lt;&gt;""))),"")</f>
        <v>0.12418203705460037</v>
      </c>
      <c r="X738" cm="1">
        <f t="array" ref="X738">IFERROR(AVERAGE(_xlfn._xlws.FILTER(R$2:R$1073,($C$2:$C$1073=$C738)*($E$2:$E$1073=$E738)*(ROW(R$2:R$1073)&lt;&gt;ROW(R738))*(R$2:R$1073&lt;&gt;""))),"")</f>
        <v>0.14684434513855163</v>
      </c>
      <c r="Y738" cm="1">
        <f t="array" ref="Y738">IFERROR(AVERAGE(_xlfn._xlws.FILTER(S$2:S$1073,($C$2:$C$1073=$C738)*($E$2:$E$1073=$E738)*(ROW(S$2:S$1073)&lt;&gt;ROW(S738))*(S$2:S$1073&lt;&gt;""))),"")</f>
        <v>0.66742602396654871</v>
      </c>
      <c r="Z738" cm="1">
        <f t="array" ref="Z738">IFERROR(AVERAGE(_xlfn._xlws.FILTER(T$2:T$1073,($C$2:$C$1073=$C738)*($E$2:$E$1073=$E738)*(ROW(T$2:T$1073)&lt;&gt;ROW(T738))*(T$2:T$1073&lt;&gt;""))),"")</f>
        <v>0.19853029448574855</v>
      </c>
      <c r="AA738" cm="1">
        <f t="array" ref="AA738">IFERROR(AVERAGE(_xlfn._xlws.FILTER(U$2:U$1073,($C$2:$C$1073=$C738)*($E$2:$E$1073=$E738)*(ROW(U$2:U$1073)&lt;&gt;ROW(U738))*(U$2:U$1073&lt;&gt;""))),"")</f>
        <v>-0.85021812770937366</v>
      </c>
    </row>
    <row r="739" spans="1:27" x14ac:dyDescent="0.2">
      <c r="A739" s="7" t="s">
        <v>2270</v>
      </c>
      <c r="B739" t="str">
        <f t="shared" si="123"/>
        <v>ASTR IV кв. 2024</v>
      </c>
      <c r="C739">
        <v>2024</v>
      </c>
      <c r="D739">
        <f>SUMIFS(Дивиденды!$C:$C,Дивиденды!$A:$A,A739,Дивиденды!$I:$I,C739)</f>
        <v>13.68</v>
      </c>
      <c r="E739">
        <v>5</v>
      </c>
      <c r="F739">
        <f t="shared" si="124"/>
        <v>13.68</v>
      </c>
      <c r="G739">
        <f t="shared" si="125"/>
        <v>119.15777777777778</v>
      </c>
      <c r="H739">
        <f t="shared" si="126"/>
        <v>1</v>
      </c>
      <c r="I739">
        <f t="shared" si="122"/>
        <v>0.44444444444444442</v>
      </c>
      <c r="J739">
        <f t="shared" si="127"/>
        <v>1</v>
      </c>
      <c r="K739">
        <f t="shared" si="131"/>
        <v>0.22563872031168053</v>
      </c>
      <c r="L739">
        <f t="shared" si="128"/>
        <v>1</v>
      </c>
      <c r="M739">
        <f t="shared" si="132"/>
        <v>0.33333333333333331</v>
      </c>
      <c r="N739">
        <f t="shared" si="129"/>
        <v>0</v>
      </c>
      <c r="O739">
        <f t="shared" si="130"/>
        <v>0.1111111111111111</v>
      </c>
      <c r="P739">
        <f>IFERROR(LN('Дивиденды по годам'!I739),"")</f>
        <v>23.676725324507618</v>
      </c>
      <c r="Q739">
        <f>IFERROR('Дивиденды по годам'!G739/'Дивиденды по годам'!I739, "")</f>
        <v>5.2991928663246951E-2</v>
      </c>
      <c r="R739">
        <f>IFERROR(IF(AND('Дивиденды по годам'!N739&lt;&gt;"",'Дивиденды по годам'!U739&lt;&gt;"",'Дивиденды по годам'!U739&lt;&gt;0),'Дивиденды по годам'!N739/'Дивиденды по годам'!U739-1,""),"")</f>
        <v>0.80347222804531393</v>
      </c>
      <c r="S739">
        <f>IFERROR(IF(AND('Дивиденды по годам'!L739&lt;&gt;"",'Дивиденды по годам'!I739&lt;&gt;"",'Дивиденды по годам'!J739&lt;&gt;"",'Дивиденды по годам'!K739&lt;&gt;"",('Дивиденды по годам'!I739-'Дивиденды по годам'!J739-'Дивиденды по годам'!K739)&lt;&gt;0),'Дивиденды по годам'!L739/('Дивиденды по годам'!I739-'Дивиденды по годам'!J739-'Дивиденды по годам'!K739),""),"")</f>
        <v>0.91453979257825779</v>
      </c>
      <c r="T739">
        <f>IFERROR(IF(AND('Дивиденды по годам'!Q739&lt;&gt;"",'Дивиденды по годам'!I739&lt;&gt;"",'Дивиденды по годам'!V739&lt;&gt;"",('Дивиденды по годам'!I739+'Дивиденды по годам'!V739)&lt;&gt;0),'Дивиденды по годам'!Q739/(('Дивиденды по годам'!I739+'Дивиденды по годам'!V739)/2),""),"")</f>
        <v>0.38327335787847538</v>
      </c>
      <c r="U739">
        <f>IFERROR(IF(AND('Дивиденды по годам'!J739&lt;&gt;"",'Дивиденды по годам'!K739&lt;&gt;"",'Дивиденды по годам'!M739&lt;&gt;"",'Дивиденды по годам'!M739&lt;&gt;0),('Дивиденды по годам'!J739+'Дивиденды по годам'!K739)/'Дивиденды по годам'!M739,""),"")</f>
        <v>1.3482278515896515</v>
      </c>
      <c r="V739" cm="1">
        <f t="array" ref="V739">IFERROR(AVERAGE(_xlfn._xlws.FILTER(P$2:P$1073,($C$2:$C$1073=$C739)*($E$2:$E$1073=$E739)*(ROW(P$2:P$1073)&lt;&gt;ROW(P739))*(P$2:P$1073&lt;&gt;""))),"")</f>
        <v>24.812738471388002</v>
      </c>
      <c r="W739" cm="1">
        <f t="array" ref="W739">IFERROR(AVERAGE(_xlfn._xlws.FILTER(Q$2:Q$1073,($C$2:$C$1073=$C739)*($E$2:$E$1073=$E739)*(ROW(Q$2:Q$1073)&lt;&gt;ROW(Q739))*(Q$2:Q$1073&lt;&gt;""))),"")</f>
        <v>7.9045366412676232E-2</v>
      </c>
      <c r="X739" cm="1">
        <f t="array" ref="X739">IFERROR(AVERAGE(_xlfn._xlws.FILTER(R$2:R$1073,($C$2:$C$1073=$C739)*($E$2:$E$1073=$E739)*(ROW(R$2:R$1073)&lt;&gt;ROW(R739))*(R$2:R$1073&lt;&gt;""))),"")</f>
        <v>0.21854235291153978</v>
      </c>
      <c r="Y739" cm="1">
        <f t="array" ref="Y739">IFERROR(AVERAGE(_xlfn._xlws.FILTER(S$2:S$1073,($C$2:$C$1073=$C739)*($E$2:$E$1073=$E739)*(ROW(S$2:S$1073)&lt;&gt;ROW(S739))*(S$2:S$1073&lt;&gt;""))),"")</f>
        <v>0.16681462819328011</v>
      </c>
      <c r="Z739" cm="1">
        <f t="array" ref="Z739">IFERROR(AVERAGE(_xlfn._xlws.FILTER(T$2:T$1073,($C$2:$C$1073=$C739)*($E$2:$E$1073=$E739)*(ROW(T$2:T$1073)&lt;&gt;ROW(T739))*(T$2:T$1073&lt;&gt;""))),"")</f>
        <v>0.22509618788191257</v>
      </c>
      <c r="AA739" cm="1">
        <f t="array" ref="AA739">IFERROR(AVERAGE(_xlfn._xlws.FILTER(U$2:U$1073,($C$2:$C$1073=$C739)*($E$2:$E$1073=$E739)*(ROW(U$2:U$1073)&lt;&gt;ROW(U739))*(U$2:U$1073&lt;&gt;""))),"")</f>
        <v>2.8742229985581176</v>
      </c>
    </row>
    <row r="740" spans="1:27" x14ac:dyDescent="0.2">
      <c r="A740" s="7" t="s">
        <v>2270</v>
      </c>
      <c r="B740" t="str">
        <f t="shared" si="123"/>
        <v>ASTR IV кв. 2023</v>
      </c>
      <c r="C740">
        <v>2023</v>
      </c>
      <c r="D740">
        <f>SUMIFS(Дивиденды!$C:$C,Дивиденды!$A:$A,A740,Дивиденды!$I:$I,C740)</f>
        <v>0</v>
      </c>
      <c r="E740">
        <v>5</v>
      </c>
      <c r="F740">
        <f t="shared" si="124"/>
        <v>0</v>
      </c>
      <c r="G740">
        <f t="shared" si="125"/>
        <v>16.477777777777778</v>
      </c>
      <c r="H740">
        <f t="shared" si="126"/>
        <v>0</v>
      </c>
      <c r="I740">
        <f t="shared" si="122"/>
        <v>0.1111111111111111</v>
      </c>
      <c r="J740">
        <f t="shared" si="127"/>
        <v>0</v>
      </c>
      <c r="K740">
        <f t="shared" si="131"/>
        <v>0.31688311688311693</v>
      </c>
      <c r="L740">
        <f t="shared" si="128"/>
        <v>0</v>
      </c>
      <c r="M740">
        <f t="shared" si="132"/>
        <v>0.1111111111111111</v>
      </c>
      <c r="N740">
        <f t="shared" si="129"/>
        <v>0</v>
      </c>
      <c r="O740">
        <f t="shared" si="130"/>
        <v>0</v>
      </c>
      <c r="P740">
        <f>IFERROR(LN('Дивиденды по годам'!I740),"")</f>
        <v>23.236891049342091</v>
      </c>
      <c r="Q740">
        <f>IFERROR('Дивиденды по годам'!G740/'Дивиденды по годам'!I740, "")</f>
        <v>3.789339573957707E-2</v>
      </c>
      <c r="R740">
        <f>IFERROR(IF(AND('Дивиденды по годам'!N740&lt;&gt;"",'Дивиденды по годам'!U740&lt;&gt;"",'Дивиденды по годам'!U740&lt;&gt;0),'Дивиденды по годам'!N740/'Дивиденды по годам'!U740-1,""),"")</f>
        <v>0.76841171843199652</v>
      </c>
      <c r="S740">
        <f>IFERROR(IF(AND('Дивиденды по годам'!L740&lt;&gt;"",'Дивиденды по годам'!I740&lt;&gt;"",'Дивиденды по годам'!J740&lt;&gt;"",'Дивиденды по годам'!K740&lt;&gt;"",('Дивиденды по годам'!I740-'Дивиденды по годам'!J740-'Дивиденды по годам'!K740)&lt;&gt;0),'Дивиденды по годам'!L740/('Дивиденды по годам'!I740-'Дивиденды по годам'!J740-'Дивиденды по годам'!K740),""),"")</f>
        <v>0.88702329025864146</v>
      </c>
      <c r="T740">
        <f>IFERROR(IF(AND('Дивиденды по годам'!Q740&lt;&gt;"",'Дивиденды по годам'!I740&lt;&gt;"",'Дивиденды по годам'!V740&lt;&gt;"",('Дивиденды по годам'!I740+'Дивиденды по годам'!V740)&lt;&gt;0),'Дивиденды по годам'!Q740/(('Дивиденды по годам'!I740+'Дивиденды по годам'!V740)/2),""),"")</f>
        <v>0.39440788528717502</v>
      </c>
      <c r="U740">
        <f>IFERROR(IF(AND('Дивиденды по годам'!J740&lt;&gt;"",'Дивиденды по годам'!K740&lt;&gt;"",'Дивиденды по годам'!M740&lt;&gt;"",'Дивиденды по годам'!M740&lt;&gt;0),('Дивиденды по годам'!J740+'Дивиденды по годам'!K740)/'Дивиденды по годам'!M740,""),"")</f>
        <v>1.5952450701431276</v>
      </c>
      <c r="V740" cm="1">
        <f t="array" ref="V740">IFERROR(AVERAGE(_xlfn._xlws.FILTER(P$2:P$1073,($C$2:$C$1073=$C740)*($E$2:$E$1073=$E740)*(ROW(P$2:P$1073)&lt;&gt;ROW(P740))*(P$2:P$1073&lt;&gt;""))),"")</f>
        <v>24.189238957414052</v>
      </c>
      <c r="W740" cm="1">
        <f t="array" ref="W740">IFERROR(AVERAGE(_xlfn._xlws.FILTER(Q$2:Q$1073,($C$2:$C$1073=$C740)*($E$2:$E$1073=$E740)*(ROW(Q$2:Q$1073)&lt;&gt;ROW(Q740))*(Q$2:Q$1073&lt;&gt;""))),"")</f>
        <v>4.3040922464977892E-2</v>
      </c>
      <c r="X740" cm="1">
        <f t="array" ref="X740">IFERROR(AVERAGE(_xlfn._xlws.FILTER(R$2:R$1073,($C$2:$C$1073=$C740)*($E$2:$E$1073=$E740)*(ROW(R$2:R$1073)&lt;&gt;ROW(R740))*(R$2:R$1073&lt;&gt;""))),"")</f>
        <v>0.42386604834680019</v>
      </c>
      <c r="Y740" cm="1">
        <f t="array" ref="Y740">IFERROR(AVERAGE(_xlfn._xlws.FILTER(S$2:S$1073,($C$2:$C$1073=$C740)*($E$2:$E$1073=$E740)*(ROW(S$2:S$1073)&lt;&gt;ROW(S740))*(S$2:S$1073&lt;&gt;""))),"")</f>
        <v>0.64827791759668263</v>
      </c>
      <c r="Z740" cm="1">
        <f t="array" ref="Z740">IFERROR(AVERAGE(_xlfn._xlws.FILTER(T$2:T$1073,($C$2:$C$1073=$C740)*($E$2:$E$1073=$E740)*(ROW(T$2:T$1073)&lt;&gt;ROW(T740))*(T$2:T$1073&lt;&gt;""))),"")</f>
        <v>0.12799911441612674</v>
      </c>
      <c r="AA740" cm="1">
        <f t="array" ref="AA740">IFERROR(AVERAGE(_xlfn._xlws.FILTER(U$2:U$1073,($C$2:$C$1073=$C740)*($E$2:$E$1073=$E740)*(ROW(U$2:U$1073)&lt;&gt;ROW(U740))*(U$2:U$1073&lt;&gt;""))),"")</f>
        <v>2.1629231277339049</v>
      </c>
    </row>
    <row r="741" spans="1:27" x14ac:dyDescent="0.2">
      <c r="A741" s="7" t="s">
        <v>2270</v>
      </c>
      <c r="B741" t="str">
        <f t="shared" si="123"/>
        <v>ASTR IV кв. 2022</v>
      </c>
      <c r="C741">
        <v>2022</v>
      </c>
      <c r="D741">
        <f>SUMIFS(Дивиденды!$C:$C,Дивиденды!$A:$A,A741,Дивиденды!$I:$I,C741)</f>
        <v>0</v>
      </c>
      <c r="E741">
        <v>5</v>
      </c>
      <c r="F741">
        <f t="shared" si="124"/>
        <v>0</v>
      </c>
      <c r="G741">
        <f t="shared" si="125"/>
        <v>4.2777777777777777</v>
      </c>
      <c r="H741">
        <f t="shared" si="126"/>
        <v>0</v>
      </c>
      <c r="I741">
        <f t="shared" si="122"/>
        <v>0.1111111111111111</v>
      </c>
      <c r="J741">
        <f t="shared" si="127"/>
        <v>0</v>
      </c>
      <c r="K741">
        <f t="shared" si="131"/>
        <v>0.1111111111111111</v>
      </c>
      <c r="L741">
        <f t="shared" si="128"/>
        <v>0</v>
      </c>
      <c r="M741">
        <f t="shared" si="132"/>
        <v>0.1111111111111111</v>
      </c>
      <c r="N741">
        <f t="shared" si="129"/>
        <v>0</v>
      </c>
      <c r="O741">
        <f t="shared" si="130"/>
        <v>0</v>
      </c>
      <c r="P741">
        <f>IFERROR(LN('Дивиденды по годам'!I741),"")</f>
        <v>22.531543296586293</v>
      </c>
      <c r="Q741">
        <f>IFERROR('Дивиденды по годам'!G741/'Дивиденды по годам'!I741, "")</f>
        <v>3.5755814287079642E-2</v>
      </c>
      <c r="R741">
        <f>IFERROR(IF(AND('Дивиденды по годам'!N741&lt;&gt;"",'Дивиденды по годам'!U741&lt;&gt;"",'Дивиденды по годам'!U741&lt;&gt;0),'Дивиденды по годам'!N741/'Дивиденды по годам'!U741-1,""),"")</f>
        <v>1.4986964602724906</v>
      </c>
      <c r="S741">
        <f>IFERROR(IF(AND('Дивиденды по годам'!L741&lt;&gt;"",'Дивиденды по годам'!I741&lt;&gt;"",'Дивиденды по годам'!J741&lt;&gt;"",'Дивиденды по годам'!K741&lt;&gt;"",('Дивиденды по годам'!I741-'Дивиденды по годам'!J741-'Дивиденды по годам'!K741)&lt;&gt;0),'Дивиденды по годам'!L741/('Дивиденды по годам'!I741-'Дивиденды по годам'!J741-'Дивиденды по годам'!K741),""),"")</f>
        <v>0.99316380480748589</v>
      </c>
      <c r="T741">
        <f>IFERROR(IF(AND('Дивиденды по годам'!Q741&lt;&gt;"",'Дивиденды по годам'!I741&lt;&gt;"",'Дивиденды по годам'!V741&lt;&gt;"",('Дивиденды по годам'!I741+'Дивиденды по годам'!V741)&lt;&gt;0),'Дивиденды по годам'!Q741/(('Дивиденды по годам'!I741+'Дивиденды по годам'!V741)/2),""),"")</f>
        <v>0.7455283476276815</v>
      </c>
      <c r="U741">
        <f>IFERROR(IF(AND('Дивиденды по годам'!J741&lt;&gt;"",'Дивиденды по годам'!K741&lt;&gt;"",'Дивиденды по годам'!M741&lt;&gt;"",'Дивиденды по годам'!M741&lt;&gt;0),('Дивиденды по годам'!J741+'Дивиденды по годам'!K741)/'Дивиденды по годам'!M741,""),"")</f>
        <v>3.1700318976867683</v>
      </c>
      <c r="V741" cm="1">
        <f t="array" ref="V741">IFERROR(AVERAGE(_xlfn._xlws.FILTER(P$2:P$1073,($C$2:$C$1073=$C741)*($E$2:$E$1073=$E741)*(ROW(P$2:P$1073)&lt;&gt;ROW(P741))*(P$2:P$1073&lt;&gt;""))),"")</f>
        <v>24.908216570247024</v>
      </c>
      <c r="W741" cm="1">
        <f t="array" ref="W741">IFERROR(AVERAGE(_xlfn._xlws.FILTER(Q$2:Q$1073,($C$2:$C$1073=$C741)*($E$2:$E$1073=$E741)*(ROW(Q$2:Q$1073)&lt;&gt;ROW(Q741))*(Q$2:Q$1073&lt;&gt;""))),"")</f>
        <v>6.3770392177090629E-2</v>
      </c>
      <c r="X741" cm="1">
        <f t="array" ref="X741">IFERROR(AVERAGE(_xlfn._xlws.FILTER(R$2:R$1073,($C$2:$C$1073=$C741)*($E$2:$E$1073=$E741)*(ROW(R$2:R$1073)&lt;&gt;ROW(R741))*(R$2:R$1073&lt;&gt;""))),"")</f>
        <v>0.39605076314639226</v>
      </c>
      <c r="Y741" cm="1">
        <f t="array" ref="Y741">IFERROR(AVERAGE(_xlfn._xlws.FILTER(S$2:S$1073,($C$2:$C$1073=$C741)*($E$2:$E$1073=$E741)*(ROW(S$2:S$1073)&lt;&gt;ROW(S741))*(S$2:S$1073&lt;&gt;""))),"")</f>
        <v>0.73528799331077488</v>
      </c>
      <c r="Z741" cm="1">
        <f t="array" ref="Z741">IFERROR(AVERAGE(_xlfn._xlws.FILTER(T$2:T$1073,($C$2:$C$1073=$C741)*($E$2:$E$1073=$E741)*(ROW(T$2:T$1073)&lt;&gt;ROW(T741))*(T$2:T$1073&lt;&gt;""))),"")</f>
        <v>0.3085989969304892</v>
      </c>
      <c r="AA741" cm="1">
        <f t="array" ref="AA741">IFERROR(AVERAGE(_xlfn._xlws.FILTER(U$2:U$1073,($C$2:$C$1073=$C741)*($E$2:$E$1073=$E741)*(ROW(U$2:U$1073)&lt;&gt;ROW(U741))*(U$2:U$1073&lt;&gt;""))),"")</f>
        <v>1.9439700720711677</v>
      </c>
    </row>
    <row r="742" spans="1:27" x14ac:dyDescent="0.2">
      <c r="A742" s="7" t="s">
        <v>2270</v>
      </c>
      <c r="B742" t="str">
        <f t="shared" si="123"/>
        <v>ASTR IV кв. 2021</v>
      </c>
      <c r="C742">
        <v>2021</v>
      </c>
      <c r="D742">
        <f>SUMIFS(Дивиденды!$C:$C,Дивиденды!$A:$A,A742,Дивиденды!$I:$I,C742)</f>
        <v>0</v>
      </c>
      <c r="E742">
        <v>5</v>
      </c>
      <c r="F742">
        <f t="shared" si="124"/>
        <v>0</v>
      </c>
      <c r="G742">
        <f t="shared" si="125"/>
        <v>0</v>
      </c>
      <c r="H742">
        <f t="shared" si="126"/>
        <v>0</v>
      </c>
      <c r="I742">
        <f t="shared" si="122"/>
        <v>0</v>
      </c>
      <c r="J742">
        <f t="shared" si="127"/>
        <v>0</v>
      </c>
      <c r="K742">
        <f t="shared" si="131"/>
        <v>0</v>
      </c>
      <c r="L742">
        <f t="shared" si="128"/>
        <v>0</v>
      </c>
      <c r="M742">
        <f t="shared" si="132"/>
        <v>0</v>
      </c>
      <c r="N742">
        <f t="shared" si="129"/>
        <v>0</v>
      </c>
      <c r="O742">
        <f t="shared" si="130"/>
        <v>0</v>
      </c>
      <c r="P742">
        <f>IFERROR(LN('Дивиденды по годам'!I742),"")</f>
        <v>21.487190628730765</v>
      </c>
      <c r="Q742">
        <f>IFERROR('Дивиденды по годам'!G742/'Дивиденды по годам'!I742, "")</f>
        <v>3.7844863126168957E-2</v>
      </c>
      <c r="R742" t="str">
        <f>IFERROR(IF(AND('Дивиденды по годам'!N742&lt;&gt;"",'Дивиденды по годам'!U742&lt;&gt;"",'Дивиденды по годам'!U742&lt;&gt;0),'Дивиденды по годам'!N742/'Дивиденды по годам'!U742-1,""),"")</f>
        <v/>
      </c>
      <c r="S742">
        <f>IFERROR(IF(AND('Дивиденды по годам'!L742&lt;&gt;"",'Дивиденды по годам'!I742&lt;&gt;"",'Дивиденды по годам'!J742&lt;&gt;"",'Дивиденды по годам'!K742&lt;&gt;"",('Дивиденды по годам'!I742-'Дивиденды по годам'!J742-'Дивиденды по годам'!K742)&lt;&gt;0),'Дивиденды по годам'!L742/('Дивиденды по годам'!I742-'Дивиденды по годам'!J742-'Дивиденды по годам'!K742),""),"")</f>
        <v>0.69412075634895842</v>
      </c>
      <c r="T742" t="str">
        <f>IFERROR(IF(AND('Дивиденды по годам'!Q742&lt;&gt;"",'Дивиденды по годам'!I742&lt;&gt;"",'Дивиденды по годам'!V742&lt;&gt;"",('Дивиденды по годам'!I742+'Дивиденды по годам'!V742)&lt;&gt;0),'Дивиденды по годам'!Q742/(('Дивиденды по годам'!I742+'Дивиденды по годам'!V742)/2),""),"")</f>
        <v/>
      </c>
      <c r="U742">
        <f>IFERROR(IF(AND('Дивиденды по годам'!J742&lt;&gt;"",'Дивиденды по годам'!K742&lt;&gt;"",'Дивиденды по годам'!M742&lt;&gt;"",'Дивиденды по годам'!M742&lt;&gt;0),('Дивиденды по годам'!J742+'Дивиденды по годам'!K742)/'Дивиденды по годам'!M742,""),"")</f>
        <v>16.192322785773207</v>
      </c>
      <c r="V742" cm="1">
        <f t="array" ref="V742">IFERROR(AVERAGE(_xlfn._xlws.FILTER(P$2:P$1073,($C$2:$C$1073=$C742)*($E$2:$E$1073=$E742)*(ROW(P$2:P$1073)&lt;&gt;ROW(P742))*(P$2:P$1073&lt;&gt;""))),"")</f>
        <v>23.604396770146678</v>
      </c>
      <c r="W742" cm="1">
        <f t="array" ref="W742">IFERROR(AVERAGE(_xlfn._xlws.FILTER(Q$2:Q$1073,($C$2:$C$1073=$C742)*($E$2:$E$1073=$E742)*(ROW(Q$2:Q$1073)&lt;&gt;ROW(Q742))*(Q$2:Q$1073&lt;&gt;""))),"")</f>
        <v>4.0758995496122545E-2</v>
      </c>
      <c r="X742" cm="1">
        <f t="array" ref="X742">IFERROR(AVERAGE(_xlfn._xlws.FILTER(R$2:R$1073,($C$2:$C$1073=$C742)*($E$2:$E$1073=$E742)*(ROW(R$2:R$1073)&lt;&gt;ROW(R742))*(R$2:R$1073&lt;&gt;""))),"")</f>
        <v>0.11948949117953805</v>
      </c>
      <c r="Y742" cm="1">
        <f t="array" ref="Y742">IFERROR(AVERAGE(_xlfn._xlws.FILTER(S$2:S$1073,($C$2:$C$1073=$C742)*($E$2:$E$1073=$E742)*(ROW(S$2:S$1073)&lt;&gt;ROW(S742))*(S$2:S$1073&lt;&gt;""))),"")</f>
        <v>0.58653806513957318</v>
      </c>
      <c r="Z742" cm="1">
        <f t="array" ref="Z742">IFERROR(AVERAGE(_xlfn._xlws.FILTER(T$2:T$1073,($C$2:$C$1073=$C742)*($E$2:$E$1073=$E742)*(ROW(T$2:T$1073)&lt;&gt;ROW(T742))*(T$2:T$1073&lt;&gt;""))),"")</f>
        <v>0.13483969312290014</v>
      </c>
      <c r="AA742" cm="1">
        <f t="array" ref="AA742">IFERROR(AVERAGE(_xlfn._xlws.FILTER(U$2:U$1073,($C$2:$C$1073=$C742)*($E$2:$E$1073=$E742)*(ROW(U$2:U$1073)&lt;&gt;ROW(U742))*(U$2:U$1073&lt;&gt;""))),"")</f>
        <v>9.9522222243618383</v>
      </c>
    </row>
    <row r="743" spans="1:27" x14ac:dyDescent="0.2">
      <c r="A743" s="7" t="s">
        <v>2270</v>
      </c>
      <c r="B743" t="str">
        <f t="shared" si="123"/>
        <v>ASTR IV кв. 2020</v>
      </c>
      <c r="C743">
        <v>2020</v>
      </c>
      <c r="D743">
        <f>SUMIFS(Дивиденды!$C:$C,Дивиденды!$A:$A,A743,Дивиденды!$I:$I,C743)</f>
        <v>0</v>
      </c>
      <c r="E743">
        <v>5</v>
      </c>
      <c r="F743">
        <f t="shared" si="124"/>
        <v>0</v>
      </c>
      <c r="G743">
        <f t="shared" si="125"/>
        <v>0</v>
      </c>
      <c r="H743">
        <f t="shared" si="126"/>
        <v>0</v>
      </c>
      <c r="I743">
        <f t="shared" si="122"/>
        <v>0</v>
      </c>
      <c r="J743">
        <f t="shared" si="127"/>
        <v>0</v>
      </c>
      <c r="K743">
        <f t="shared" si="131"/>
        <v>0</v>
      </c>
      <c r="L743">
        <f t="shared" si="128"/>
        <v>0</v>
      </c>
      <c r="M743">
        <f t="shared" si="132"/>
        <v>0</v>
      </c>
      <c r="N743">
        <f t="shared" si="129"/>
        <v>0</v>
      </c>
      <c r="O743">
        <f t="shared" si="130"/>
        <v>0</v>
      </c>
      <c r="P743" t="str">
        <f>IFERROR(LN('Дивиденды по годам'!I743),"")</f>
        <v/>
      </c>
      <c r="Q743" t="str">
        <f>IFERROR('Дивиденды по годам'!G743/'Дивиденды по годам'!I743, "")</f>
        <v/>
      </c>
      <c r="R743" t="str">
        <f>IFERROR(IF(AND('Дивиденды по годам'!N743&lt;&gt;"",'Дивиденды по годам'!U743&lt;&gt;"",'Дивиденды по годам'!U743&lt;&gt;0),'Дивиденды по годам'!N743/'Дивиденды по годам'!U743-1,""),"")</f>
        <v/>
      </c>
      <c r="S743" t="str">
        <f>IFERROR(IF(AND('Дивиденды по годам'!L743&lt;&gt;"",'Дивиденды по годам'!I743&lt;&gt;"",'Дивиденды по годам'!J743&lt;&gt;"",'Дивиденды по годам'!K743&lt;&gt;"",('Дивиденды по годам'!I743-'Дивиденды по годам'!J743-'Дивиденды по годам'!K743)&lt;&gt;0),'Дивиденды по годам'!L743/('Дивиденды по годам'!I743-'Дивиденды по годам'!J743-'Дивиденды по годам'!K743),""),"")</f>
        <v/>
      </c>
      <c r="T743" t="str">
        <f>IFERROR(IF(AND('Дивиденды по годам'!Q743&lt;&gt;"",'Дивиденды по годам'!I743&lt;&gt;"",'Дивиденды по годам'!V743&lt;&gt;"",('Дивиденды по годам'!I743+'Дивиденды по годам'!V743)&lt;&gt;0),'Дивиденды по годам'!Q743/(('Дивиденды по годам'!I743+'Дивиденды по годам'!V743)/2),""),"")</f>
        <v/>
      </c>
      <c r="U743" t="str">
        <f>IFERROR(IF(AND('Дивиденды по годам'!J743&lt;&gt;"",'Дивиденды по годам'!K743&lt;&gt;"",'Дивиденды по годам'!M743&lt;&gt;"",'Дивиденды по годам'!M743&lt;&gt;0),('Дивиденды по годам'!J743+'Дивиденды по годам'!K743)/'Дивиденды по годам'!M743,""),"")</f>
        <v/>
      </c>
      <c r="V743" cm="1">
        <f t="array" ref="V743">IFERROR(AVERAGE(_xlfn._xlws.FILTER(P$2:P$1073,($C$2:$C$1073=$C743)*($E$2:$E$1073=$E743)*(ROW(P$2:P$1073)&lt;&gt;ROW(P743))*(P$2:P$1073&lt;&gt;""))),"")</f>
        <v>23.399390394292269</v>
      </c>
      <c r="W743" cm="1">
        <f t="array" ref="W743">IFERROR(AVERAGE(_xlfn._xlws.FILTER(Q$2:Q$1073,($C$2:$C$1073=$C743)*($E$2:$E$1073=$E743)*(ROW(Q$2:Q$1073)&lt;&gt;ROW(Q743))*(Q$2:Q$1073&lt;&gt;""))),"")</f>
        <v>3.3954846784790244E-2</v>
      </c>
      <c r="X743" cm="1">
        <f t="array" ref="X743">IFERROR(AVERAGE(_xlfn._xlws.FILTER(R$2:R$1073,($C$2:$C$1073=$C743)*($E$2:$E$1073=$E743)*(ROW(R$2:R$1073)&lt;&gt;ROW(R743))*(R$2:R$1073&lt;&gt;""))),"")</f>
        <v>0.60261811450317082</v>
      </c>
      <c r="Y743" cm="1">
        <f t="array" ref="Y743">IFERROR(AVERAGE(_xlfn._xlws.FILTER(S$2:S$1073,($C$2:$C$1073=$C743)*($E$2:$E$1073=$E743)*(ROW(S$2:S$1073)&lt;&gt;ROW(S743))*(S$2:S$1073&lt;&gt;""))),"")</f>
        <v>0.8757408540128081</v>
      </c>
      <c r="Z743" cm="1">
        <f t="array" ref="Z743">IFERROR(AVERAGE(_xlfn._xlws.FILTER(T$2:T$1073,($C$2:$C$1073=$C743)*($E$2:$E$1073=$E743)*(ROW(T$2:T$1073)&lt;&gt;ROW(T743))*(T$2:T$1073&lt;&gt;""))),"")</f>
        <v>0.26070423168654877</v>
      </c>
      <c r="AA743" cm="1">
        <f t="array" ref="AA743">IFERROR(AVERAGE(_xlfn._xlws.FILTER(U$2:U$1073,($C$2:$C$1073=$C743)*($E$2:$E$1073=$E743)*(ROW(U$2:U$1073)&lt;&gt;ROW(U743))*(U$2:U$1073&lt;&gt;""))),"")</f>
        <v>3.9797585422227604</v>
      </c>
    </row>
    <row r="744" spans="1:27" x14ac:dyDescent="0.2">
      <c r="A744" s="7" t="s">
        <v>2270</v>
      </c>
      <c r="B744" t="str">
        <f t="shared" si="123"/>
        <v>ASTR IV кв. 2019</v>
      </c>
      <c r="C744">
        <v>2019</v>
      </c>
      <c r="D744">
        <f>SUMIFS(Дивиденды!$C:$C,Дивиденды!$A:$A,A744,Дивиденды!$I:$I,C744)</f>
        <v>0</v>
      </c>
      <c r="E744">
        <v>5</v>
      </c>
      <c r="F744">
        <f t="shared" si="124"/>
        <v>0</v>
      </c>
      <c r="G744">
        <f t="shared" si="125"/>
        <v>0</v>
      </c>
      <c r="H744">
        <f t="shared" si="126"/>
        <v>0</v>
      </c>
      <c r="I744">
        <f t="shared" si="122"/>
        <v>0</v>
      </c>
      <c r="J744">
        <f t="shared" si="127"/>
        <v>0</v>
      </c>
      <c r="K744">
        <f t="shared" si="131"/>
        <v>0</v>
      </c>
      <c r="L744">
        <f t="shared" si="128"/>
        <v>0</v>
      </c>
      <c r="M744">
        <f t="shared" si="132"/>
        <v>0</v>
      </c>
      <c r="N744">
        <f t="shared" si="129"/>
        <v>0</v>
      </c>
      <c r="O744">
        <f t="shared" si="130"/>
        <v>0</v>
      </c>
      <c r="P744" t="str">
        <f>IFERROR(LN('Дивиденды по годам'!I744),"")</f>
        <v/>
      </c>
      <c r="Q744" t="str">
        <f>IFERROR('Дивиденды по годам'!G744/'Дивиденды по годам'!I744, "")</f>
        <v/>
      </c>
      <c r="R744" t="str">
        <f>IFERROR(IF(AND('Дивиденды по годам'!N744&lt;&gt;"",'Дивиденды по годам'!U744&lt;&gt;"",'Дивиденды по годам'!U744&lt;&gt;0),'Дивиденды по годам'!N744/'Дивиденды по годам'!U744-1,""),"")</f>
        <v/>
      </c>
      <c r="S744" t="str">
        <f>IFERROR(IF(AND('Дивиденды по годам'!L744&lt;&gt;"",'Дивиденды по годам'!I744&lt;&gt;"",'Дивиденды по годам'!J744&lt;&gt;"",'Дивиденды по годам'!K744&lt;&gt;"",('Дивиденды по годам'!I744-'Дивиденды по годам'!J744-'Дивиденды по годам'!K744)&lt;&gt;0),'Дивиденды по годам'!L744/('Дивиденды по годам'!I744-'Дивиденды по годам'!J744-'Дивиденды по годам'!K744),""),"")</f>
        <v/>
      </c>
      <c r="T744" t="str">
        <f>IFERROR(IF(AND('Дивиденды по годам'!Q744&lt;&gt;"",'Дивиденды по годам'!I744&lt;&gt;"",'Дивиденды по годам'!V744&lt;&gt;"",('Дивиденды по годам'!I744+'Дивиденды по годам'!V744)&lt;&gt;0),'Дивиденды по годам'!Q744/(('Дивиденды по годам'!I744+'Дивиденды по годам'!V744)/2),""),"")</f>
        <v/>
      </c>
      <c r="U744" t="str">
        <f>IFERROR(IF(AND('Дивиденды по годам'!J744&lt;&gt;"",'Дивиденды по годам'!K744&lt;&gt;"",'Дивиденды по годам'!M744&lt;&gt;"",'Дивиденды по годам'!M744&lt;&gt;0),('Дивиденды по годам'!J744+'Дивиденды по годам'!K744)/'Дивиденды по годам'!M744,""),"")</f>
        <v/>
      </c>
      <c r="V744" cm="1">
        <f t="array" ref="V744">IFERROR(AVERAGE(_xlfn._xlws.FILTER(P$2:P$1073,($C$2:$C$1073=$C744)*($E$2:$E$1073=$E744)*(ROW(P$2:P$1073)&lt;&gt;ROW(P744))*(P$2:P$1073&lt;&gt;""))),"")</f>
        <v>22.346825762693463</v>
      </c>
      <c r="W744" cm="1">
        <f t="array" ref="W744">IFERROR(AVERAGE(_xlfn._xlws.FILTER(Q$2:Q$1073,($C$2:$C$1073=$C744)*($E$2:$E$1073=$E744)*(ROW(Q$2:Q$1073)&lt;&gt;ROW(Q744))*(Q$2:Q$1073&lt;&gt;""))),"")</f>
        <v>7.5056136613850494E-2</v>
      </c>
      <c r="X744" cm="1">
        <f t="array" ref="X744">IFERROR(AVERAGE(_xlfn._xlws.FILTER(R$2:R$1073,($C$2:$C$1073=$C744)*($E$2:$E$1073=$E744)*(ROW(R$2:R$1073)&lt;&gt;ROW(R744))*(R$2:R$1073&lt;&gt;""))),"")</f>
        <v>0.33893563509351354</v>
      </c>
      <c r="Y744" cm="1">
        <f t="array" ref="Y744">IFERROR(AVERAGE(_xlfn._xlws.FILTER(S$2:S$1073,($C$2:$C$1073=$C744)*($E$2:$E$1073=$E744)*(ROW(S$2:S$1073)&lt;&gt;ROW(S744))*(S$2:S$1073&lt;&gt;""))),"")</f>
        <v>0.96665544321096464</v>
      </c>
      <c r="Z744" cm="1">
        <f t="array" ref="Z744">IFERROR(AVERAGE(_xlfn._xlws.FILTER(T$2:T$1073,($C$2:$C$1073=$C744)*($E$2:$E$1073=$E744)*(ROW(T$2:T$1073)&lt;&gt;ROW(T744))*(T$2:T$1073&lt;&gt;""))),"")</f>
        <v>3.4488878181792075E-2</v>
      </c>
      <c r="AA744" cm="1">
        <f t="array" ref="AA744">IFERROR(AVERAGE(_xlfn._xlws.FILTER(U$2:U$1073,($C$2:$C$1073=$C744)*($E$2:$E$1073=$E744)*(ROW(U$2:U$1073)&lt;&gt;ROW(U744))*(U$2:U$1073&lt;&gt;""))),"")</f>
        <v>4.0219461472187286</v>
      </c>
    </row>
    <row r="745" spans="1:27" x14ac:dyDescent="0.2">
      <c r="A745" s="7" t="s">
        <v>2270</v>
      </c>
      <c r="B745" t="str">
        <f t="shared" si="123"/>
        <v>ASTR IV кв. 2018</v>
      </c>
      <c r="C745">
        <v>2018</v>
      </c>
      <c r="D745">
        <f>SUMIFS(Дивиденды!$C:$C,Дивиденды!$A:$A,A745,Дивиденды!$I:$I,C745)</f>
        <v>0</v>
      </c>
      <c r="E745">
        <v>5</v>
      </c>
      <c r="F745">
        <f t="shared" si="124"/>
        <v>0</v>
      </c>
      <c r="G745">
        <f t="shared" si="125"/>
        <v>0</v>
      </c>
      <c r="H745">
        <f t="shared" si="126"/>
        <v>0</v>
      </c>
      <c r="I745">
        <f t="shared" si="122"/>
        <v>0</v>
      </c>
      <c r="J745">
        <f t="shared" si="127"/>
        <v>0</v>
      </c>
      <c r="K745">
        <f t="shared" si="131"/>
        <v>0</v>
      </c>
      <c r="L745">
        <f t="shared" si="128"/>
        <v>0</v>
      </c>
      <c r="M745">
        <f t="shared" si="132"/>
        <v>0</v>
      </c>
      <c r="N745">
        <f t="shared" si="129"/>
        <v>0</v>
      </c>
      <c r="O745">
        <f t="shared" si="130"/>
        <v>0</v>
      </c>
      <c r="P745" t="str">
        <f>IFERROR(LN('Дивиденды по годам'!I745),"")</f>
        <v/>
      </c>
      <c r="Q745" t="str">
        <f>IFERROR('Дивиденды по годам'!G745/'Дивиденды по годам'!I745, "")</f>
        <v/>
      </c>
      <c r="R745" t="str">
        <f>IFERROR(IF(AND('Дивиденды по годам'!N745&lt;&gt;"",'Дивиденды по годам'!U745&lt;&gt;"",'Дивиденды по годам'!U745&lt;&gt;0),'Дивиденды по годам'!N745/'Дивиденды по годам'!U745-1,""),"")</f>
        <v/>
      </c>
      <c r="S745" t="str">
        <f>IFERROR(IF(AND('Дивиденды по годам'!L745&lt;&gt;"",'Дивиденды по годам'!I745&lt;&gt;"",'Дивиденды по годам'!J745&lt;&gt;"",'Дивиденды по годам'!K745&lt;&gt;"",('Дивиденды по годам'!I745-'Дивиденды по годам'!J745-'Дивиденды по годам'!K745)&lt;&gt;0),'Дивиденды по годам'!L745/('Дивиденды по годам'!I745-'Дивиденды по годам'!J745-'Дивиденды по годам'!K745),""),"")</f>
        <v/>
      </c>
      <c r="T745" t="str">
        <f>IFERROR(IF(AND('Дивиденды по годам'!Q745&lt;&gt;"",'Дивиденды по годам'!I745&lt;&gt;"",'Дивиденды по годам'!V745&lt;&gt;"",('Дивиденды по годам'!I745+'Дивиденды по годам'!V745)&lt;&gt;0),'Дивиденды по годам'!Q745/(('Дивиденды по годам'!I745+'Дивиденды по годам'!V745)/2),""),"")</f>
        <v/>
      </c>
      <c r="U745" t="str">
        <f>IFERROR(IF(AND('Дивиденды по годам'!J745&lt;&gt;"",'Дивиденды по годам'!K745&lt;&gt;"",'Дивиденды по годам'!M745&lt;&gt;"",'Дивиденды по годам'!M745&lt;&gt;0),('Дивиденды по годам'!J745+'Дивиденды по годам'!K745)/'Дивиденды по годам'!M745,""),"")</f>
        <v/>
      </c>
      <c r="V745" cm="1">
        <f t="array" ref="V745">IFERROR(AVERAGE(_xlfn._xlws.FILTER(P$2:P$1073,($C$2:$C$1073=$C745)*($E$2:$E$1073=$E745)*(ROW(P$2:P$1073)&lt;&gt;ROW(P745))*(P$2:P$1073&lt;&gt;""))),"")</f>
        <v>22.172578892977874</v>
      </c>
      <c r="W745" cm="1">
        <f t="array" ref="W745">IFERROR(AVERAGE(_xlfn._xlws.FILTER(Q$2:Q$1073,($C$2:$C$1073=$C745)*($E$2:$E$1073=$E745)*(ROW(Q$2:Q$1073)&lt;&gt;ROW(Q745))*(Q$2:Q$1073&lt;&gt;""))),"")</f>
        <v>8.054458642308425E-2</v>
      </c>
      <c r="X745" t="str" cm="1">
        <f t="array" ref="X745">IFERROR(AVERAGE(_xlfn._xlws.FILTER(R$2:R$1073,($C$2:$C$1073=$C745)*($E$2:$E$1073=$E745)*(ROW(R$2:R$1073)&lt;&gt;ROW(R745))*(R$2:R$1073&lt;&gt;""))),"")</f>
        <v/>
      </c>
      <c r="Y745" cm="1">
        <f t="array" ref="Y745">IFERROR(AVERAGE(_xlfn._xlws.FILTER(S$2:S$1073,($C$2:$C$1073=$C745)*($E$2:$E$1073=$E745)*(ROW(S$2:S$1073)&lt;&gt;ROW(S745))*(S$2:S$1073&lt;&gt;""))),"")</f>
        <v>0.96159636867391751</v>
      </c>
      <c r="Z745" t="str" cm="1">
        <f t="array" ref="Z745">IFERROR(AVERAGE(_xlfn._xlws.FILTER(T$2:T$1073,($C$2:$C$1073=$C745)*($E$2:$E$1073=$E745)*(ROW(T$2:T$1073)&lt;&gt;ROW(T745))*(T$2:T$1073&lt;&gt;""))),"")</f>
        <v/>
      </c>
      <c r="AA745" cm="1">
        <f t="array" ref="AA745">IFERROR(AVERAGE(_xlfn._xlws.FILTER(U$2:U$1073,($C$2:$C$1073=$C745)*($E$2:$E$1073=$E745)*(ROW(U$2:U$1073)&lt;&gt;ROW(U745))*(U$2:U$1073&lt;&gt;""))),"")</f>
        <v>4.0227688861378841</v>
      </c>
    </row>
    <row r="746" spans="1:27" x14ac:dyDescent="0.2">
      <c r="A746" s="7" t="s">
        <v>2270</v>
      </c>
      <c r="B746" t="str">
        <f t="shared" si="123"/>
        <v>ASTR IV кв. 2017</v>
      </c>
      <c r="C746">
        <v>2017</v>
      </c>
      <c r="D746">
        <f>SUMIFS(Дивиденды!$C:$C,Дивиденды!$A:$A,A746,Дивиденды!$I:$I,C746)</f>
        <v>0</v>
      </c>
      <c r="E746">
        <v>5</v>
      </c>
      <c r="F746">
        <f t="shared" si="124"/>
        <v>0</v>
      </c>
      <c r="G746">
        <f t="shared" si="125"/>
        <v>0</v>
      </c>
      <c r="H746">
        <f t="shared" si="126"/>
        <v>0</v>
      </c>
      <c r="I746">
        <f t="shared" si="122"/>
        <v>0</v>
      </c>
      <c r="J746">
        <f t="shared" si="127"/>
        <v>0</v>
      </c>
      <c r="K746">
        <f t="shared" si="131"/>
        <v>0</v>
      </c>
      <c r="L746">
        <f t="shared" si="128"/>
        <v>0</v>
      </c>
      <c r="M746">
        <f t="shared" si="132"/>
        <v>0</v>
      </c>
      <c r="N746">
        <f t="shared" si="129"/>
        <v>0</v>
      </c>
      <c r="O746">
        <f t="shared" si="130"/>
        <v>0</v>
      </c>
      <c r="P746" t="str">
        <f>IFERROR(LN('Дивиденды по годам'!I746),"")</f>
        <v/>
      </c>
      <c r="Q746" t="str">
        <f>IFERROR('Дивиденды по годам'!G746/'Дивиденды по годам'!I746, "")</f>
        <v/>
      </c>
      <c r="R746" t="str">
        <f>IFERROR(IF(AND('Дивиденды по годам'!N746&lt;&gt;"",'Дивиденды по годам'!U746&lt;&gt;"",'Дивиденды по годам'!U746&lt;&gt;0),'Дивиденды по годам'!N746/'Дивиденды по годам'!U746-1,""),"")</f>
        <v/>
      </c>
      <c r="S746" t="str">
        <f>IFERROR(IF(AND('Дивиденды по годам'!L746&lt;&gt;"",'Дивиденды по годам'!I746&lt;&gt;"",'Дивиденды по годам'!J746&lt;&gt;"",'Дивиденды по годам'!K746&lt;&gt;"",('Дивиденды по годам'!I746-'Дивиденды по годам'!J746-'Дивиденды по годам'!K746)&lt;&gt;0),'Дивиденды по годам'!L746/('Дивиденды по годам'!I746-'Дивиденды по годам'!J746-'Дивиденды по годам'!K746),""),"")</f>
        <v/>
      </c>
      <c r="T746" t="str">
        <f>IFERROR(IF(AND('Дивиденды по годам'!Q746&lt;&gt;"",'Дивиденды по годам'!I746&lt;&gt;"",'Дивиденды по годам'!V746&lt;&gt;"",('Дивиденды по годам'!I746+'Дивиденды по годам'!V746)&lt;&gt;0),'Дивиденды по годам'!Q746/(('Дивиденды по годам'!I746+'Дивиденды по годам'!V746)/2),""),"")</f>
        <v/>
      </c>
      <c r="U746" t="str">
        <f>IFERROR(IF(AND('Дивиденды по годам'!J746&lt;&gt;"",'Дивиденды по годам'!K746&lt;&gt;"",'Дивиденды по годам'!M746&lt;&gt;"",'Дивиденды по годам'!M746&lt;&gt;0),('Дивиденды по годам'!J746+'Дивиденды по годам'!K746)/'Дивиденды по годам'!M746,""),"")</f>
        <v/>
      </c>
      <c r="V746" t="str" cm="1">
        <f t="array" ref="V746">IFERROR(AVERAGE(_xlfn._xlws.FILTER(P$2:P$1073,($C$2:$C$1073=$C746)*($E$2:$E$1073=$E746)*(ROW(P$2:P$1073)&lt;&gt;ROW(P746))*(P$2:P$1073&lt;&gt;""))),"")</f>
        <v/>
      </c>
      <c r="W746" t="str" cm="1">
        <f t="array" ref="W746">IFERROR(AVERAGE(_xlfn._xlws.FILTER(Q$2:Q$1073,($C$2:$C$1073=$C746)*($E$2:$E$1073=$E746)*(ROW(Q$2:Q$1073)&lt;&gt;ROW(Q746))*(Q$2:Q$1073&lt;&gt;""))),"")</f>
        <v/>
      </c>
      <c r="X746" t="str" cm="1">
        <f t="array" ref="X746">IFERROR(AVERAGE(_xlfn._xlws.FILTER(R$2:R$1073,($C$2:$C$1073=$C746)*($E$2:$E$1073=$E746)*(ROW(R$2:R$1073)&lt;&gt;ROW(R746))*(R$2:R$1073&lt;&gt;""))),"")</f>
        <v/>
      </c>
      <c r="Y746" t="str" cm="1">
        <f t="array" ref="Y746">IFERROR(AVERAGE(_xlfn._xlws.FILTER(S$2:S$1073,($C$2:$C$1073=$C746)*($E$2:$E$1073=$E746)*(ROW(S$2:S$1073)&lt;&gt;ROW(S746))*(S$2:S$1073&lt;&gt;""))),"")</f>
        <v/>
      </c>
      <c r="Z746" t="str" cm="1">
        <f t="array" ref="Z746">IFERROR(AVERAGE(_xlfn._xlws.FILTER(T$2:T$1073,($C$2:$C$1073=$C746)*($E$2:$E$1073=$E746)*(ROW(T$2:T$1073)&lt;&gt;ROW(T746))*(T$2:T$1073&lt;&gt;""))),"")</f>
        <v/>
      </c>
      <c r="AA746" t="str" cm="1">
        <f t="array" ref="AA746">IFERROR(AVERAGE(_xlfn._xlws.FILTER(U$2:U$1073,($C$2:$C$1073=$C746)*($E$2:$E$1073=$E746)*(ROW(U$2:U$1073)&lt;&gt;ROW(U746))*(U$2:U$1073&lt;&gt;""))),"")</f>
        <v/>
      </c>
    </row>
    <row r="747" spans="1:27" x14ac:dyDescent="0.2">
      <c r="A747" s="7" t="s">
        <v>2270</v>
      </c>
      <c r="B747" t="str">
        <f t="shared" si="123"/>
        <v>ASTR IV кв. 2016</v>
      </c>
      <c r="C747">
        <v>2016</v>
      </c>
      <c r="D747">
        <f>SUMIFS(Дивиденды!$C:$C,Дивиденды!$A:$A,A747,Дивиденды!$I:$I,C747)</f>
        <v>0</v>
      </c>
      <c r="E747">
        <v>5</v>
      </c>
      <c r="F747">
        <f t="shared" si="124"/>
        <v>0</v>
      </c>
      <c r="G747">
        <f t="shared" si="125"/>
        <v>0</v>
      </c>
      <c r="H747">
        <f t="shared" si="126"/>
        <v>0</v>
      </c>
      <c r="I747">
        <f t="shared" si="122"/>
        <v>0</v>
      </c>
      <c r="J747">
        <f t="shared" si="127"/>
        <v>0</v>
      </c>
      <c r="K747">
        <f t="shared" si="131"/>
        <v>0</v>
      </c>
      <c r="L747">
        <f t="shared" si="128"/>
        <v>0</v>
      </c>
      <c r="M747">
        <f t="shared" si="132"/>
        <v>0</v>
      </c>
      <c r="N747">
        <f t="shared" si="129"/>
        <v>0</v>
      </c>
      <c r="O747">
        <f t="shared" si="130"/>
        <v>0</v>
      </c>
      <c r="P747" t="str">
        <f>IFERROR(LN('Дивиденды по годам'!I747),"")</f>
        <v/>
      </c>
      <c r="Q747" t="str">
        <f>IFERROR('Дивиденды по годам'!G747/'Дивиденды по годам'!I747, "")</f>
        <v/>
      </c>
      <c r="R747" t="str">
        <f>IFERROR(IF(AND('Дивиденды по годам'!N747&lt;&gt;"",'Дивиденды по годам'!U747&lt;&gt;"",'Дивиденды по годам'!U747&lt;&gt;0),'Дивиденды по годам'!N747/'Дивиденды по годам'!U747-1,""),"")</f>
        <v/>
      </c>
      <c r="S747" t="str">
        <f>IFERROR(IF(AND('Дивиденды по годам'!L747&lt;&gt;"",'Дивиденды по годам'!I747&lt;&gt;"",'Дивиденды по годам'!J747&lt;&gt;"",'Дивиденды по годам'!K747&lt;&gt;"",('Дивиденды по годам'!I747-'Дивиденды по годам'!J747-'Дивиденды по годам'!K747)&lt;&gt;0),'Дивиденды по годам'!L747/('Дивиденды по годам'!I747-'Дивиденды по годам'!J747-'Дивиденды по годам'!K747),""),"")</f>
        <v/>
      </c>
      <c r="T747" t="str">
        <f>IFERROR(IF(AND('Дивиденды по годам'!Q747&lt;&gt;"",'Дивиденды по годам'!I747&lt;&gt;"",'Дивиденды по годам'!V747&lt;&gt;"",('Дивиденды по годам'!I747+'Дивиденды по годам'!V747)&lt;&gt;0),'Дивиденды по годам'!Q747/(('Дивиденды по годам'!I747+'Дивиденды по годам'!V747)/2),""),"")</f>
        <v/>
      </c>
      <c r="U747" t="str">
        <f>IFERROR(IF(AND('Дивиденды по годам'!J747&lt;&gt;"",'Дивиденды по годам'!K747&lt;&gt;"",'Дивиденды по годам'!M747&lt;&gt;"",'Дивиденды по годам'!M747&lt;&gt;0),('Дивиденды по годам'!J747+'Дивиденды по годам'!K747)/'Дивиденды по годам'!M747,""),"")</f>
        <v/>
      </c>
      <c r="V747" t="str" cm="1">
        <f t="array" ref="V747">IFERROR(AVERAGE(_xlfn._xlws.FILTER(P$2:P$1073,($C$2:$C$1073=$C747)*($E$2:$E$1073=$E747)*(ROW(P$2:P$1073)&lt;&gt;ROW(P747))*(P$2:P$1073&lt;&gt;""))),"")</f>
        <v/>
      </c>
      <c r="W747" t="str" cm="1">
        <f t="array" ref="W747">IFERROR(AVERAGE(_xlfn._xlws.FILTER(Q$2:Q$1073,($C$2:$C$1073=$C747)*($E$2:$E$1073=$E747)*(ROW(Q$2:Q$1073)&lt;&gt;ROW(Q747))*(Q$2:Q$1073&lt;&gt;""))),"")</f>
        <v/>
      </c>
      <c r="X747" t="str" cm="1">
        <f t="array" ref="X747">IFERROR(AVERAGE(_xlfn._xlws.FILTER(R$2:R$1073,($C$2:$C$1073=$C747)*($E$2:$E$1073=$E747)*(ROW(R$2:R$1073)&lt;&gt;ROW(R747))*(R$2:R$1073&lt;&gt;""))),"")</f>
        <v/>
      </c>
      <c r="Y747" t="str" cm="1">
        <f t="array" ref="Y747">IFERROR(AVERAGE(_xlfn._xlws.FILTER(S$2:S$1073,($C$2:$C$1073=$C747)*($E$2:$E$1073=$E747)*(ROW(S$2:S$1073)&lt;&gt;ROW(S747))*(S$2:S$1073&lt;&gt;""))),"")</f>
        <v/>
      </c>
      <c r="Z747" t="str" cm="1">
        <f t="array" ref="Z747">IFERROR(AVERAGE(_xlfn._xlws.FILTER(T$2:T$1073,($C$2:$C$1073=$C747)*($E$2:$E$1073=$E747)*(ROW(T$2:T$1073)&lt;&gt;ROW(T747))*(T$2:T$1073&lt;&gt;""))),"")</f>
        <v/>
      </c>
      <c r="AA747" t="str" cm="1">
        <f t="array" ref="AA747">IFERROR(AVERAGE(_xlfn._xlws.FILTER(U$2:U$1073,($C$2:$C$1073=$C747)*($E$2:$E$1073=$E747)*(ROW(U$2:U$1073)&lt;&gt;ROW(U747))*(U$2:U$1073&lt;&gt;""))),"")</f>
        <v/>
      </c>
    </row>
    <row r="748" spans="1:27" x14ac:dyDescent="0.2">
      <c r="A748" s="7" t="s">
        <v>2270</v>
      </c>
      <c r="B748" t="str">
        <f t="shared" si="123"/>
        <v>ASTR IV кв. 2015</v>
      </c>
      <c r="C748">
        <v>2015</v>
      </c>
      <c r="D748">
        <f>SUMIFS(Дивиденды!$C:$C,Дивиденды!$A:$A,A748,Дивиденды!$I:$I,C748)</f>
        <v>0</v>
      </c>
      <c r="E748">
        <v>5</v>
      </c>
      <c r="F748">
        <f t="shared" si="124"/>
        <v>0</v>
      </c>
      <c r="G748">
        <f t="shared" si="125"/>
        <v>0</v>
      </c>
      <c r="H748">
        <f t="shared" si="126"/>
        <v>0</v>
      </c>
      <c r="I748">
        <f t="shared" si="122"/>
        <v>0</v>
      </c>
      <c r="J748">
        <f t="shared" si="127"/>
        <v>0</v>
      </c>
      <c r="K748">
        <f t="shared" si="131"/>
        <v>0</v>
      </c>
      <c r="L748">
        <f t="shared" si="128"/>
        <v>0</v>
      </c>
      <c r="M748">
        <f t="shared" si="132"/>
        <v>0</v>
      </c>
      <c r="N748">
        <f t="shared" si="129"/>
        <v>0</v>
      </c>
      <c r="O748">
        <f t="shared" si="130"/>
        <v>0</v>
      </c>
      <c r="P748" t="str">
        <f>IFERROR(LN('Дивиденды по годам'!I748),"")</f>
        <v/>
      </c>
      <c r="Q748" t="str">
        <f>IFERROR('Дивиденды по годам'!G748/'Дивиденды по годам'!I748, "")</f>
        <v/>
      </c>
      <c r="R748" t="str">
        <f>IFERROR(IF(AND('Дивиденды по годам'!N748&lt;&gt;"",'Дивиденды по годам'!U748&lt;&gt;"",'Дивиденды по годам'!U748&lt;&gt;0),'Дивиденды по годам'!N748/'Дивиденды по годам'!U748-1,""),"")</f>
        <v/>
      </c>
      <c r="S748" t="str">
        <f>IFERROR(IF(AND('Дивиденды по годам'!L748&lt;&gt;"",'Дивиденды по годам'!I748&lt;&gt;"",'Дивиденды по годам'!J748&lt;&gt;"",'Дивиденды по годам'!K748&lt;&gt;"",('Дивиденды по годам'!I748-'Дивиденды по годам'!J748-'Дивиденды по годам'!K748)&lt;&gt;0),'Дивиденды по годам'!L748/('Дивиденды по годам'!I748-'Дивиденды по годам'!J748-'Дивиденды по годам'!K748),""),"")</f>
        <v/>
      </c>
      <c r="T748" t="str">
        <f>IFERROR(IF(AND('Дивиденды по годам'!Q748&lt;&gt;"",'Дивиденды по годам'!I748&lt;&gt;"",'Дивиденды по годам'!V748&lt;&gt;"",('Дивиденды по годам'!I748+'Дивиденды по годам'!V748)&lt;&gt;0),'Дивиденды по годам'!Q748/(('Дивиденды по годам'!I748+'Дивиденды по годам'!V748)/2),""),"")</f>
        <v/>
      </c>
      <c r="U748" t="str">
        <f>IFERROR(IF(AND('Дивиденды по годам'!J748&lt;&gt;"",'Дивиденды по годам'!K748&lt;&gt;"",'Дивиденды по годам'!M748&lt;&gt;"",'Дивиденды по годам'!M748&lt;&gt;0),('Дивиденды по годам'!J748+'Дивиденды по годам'!K748)/'Дивиденды по годам'!M748,""),"")</f>
        <v/>
      </c>
      <c r="V748" t="str" cm="1">
        <f t="array" ref="V748">IFERROR(AVERAGE(_xlfn._xlws.FILTER(P$2:P$1073,($C$2:$C$1073=$C748)*($E$2:$E$1073=$E748)*(ROW(P$2:P$1073)&lt;&gt;ROW(P748))*(P$2:P$1073&lt;&gt;""))),"")</f>
        <v/>
      </c>
      <c r="W748" t="str" cm="1">
        <f t="array" ref="W748">IFERROR(AVERAGE(_xlfn._xlws.FILTER(Q$2:Q$1073,($C$2:$C$1073=$C748)*($E$2:$E$1073=$E748)*(ROW(Q$2:Q$1073)&lt;&gt;ROW(Q748))*(Q$2:Q$1073&lt;&gt;""))),"")</f>
        <v/>
      </c>
      <c r="X748" t="str" cm="1">
        <f t="array" ref="X748">IFERROR(AVERAGE(_xlfn._xlws.FILTER(R$2:R$1073,($C$2:$C$1073=$C748)*($E$2:$E$1073=$E748)*(ROW(R$2:R$1073)&lt;&gt;ROW(R748))*(R$2:R$1073&lt;&gt;""))),"")</f>
        <v/>
      </c>
      <c r="Y748" t="str" cm="1">
        <f t="array" ref="Y748">IFERROR(AVERAGE(_xlfn._xlws.FILTER(S$2:S$1073,($C$2:$C$1073=$C748)*($E$2:$E$1073=$E748)*(ROW(S$2:S$1073)&lt;&gt;ROW(S748))*(S$2:S$1073&lt;&gt;""))),"")</f>
        <v/>
      </c>
      <c r="Z748" t="str" cm="1">
        <f t="array" ref="Z748">IFERROR(AVERAGE(_xlfn._xlws.FILTER(T$2:T$1073,($C$2:$C$1073=$C748)*($E$2:$E$1073=$E748)*(ROW(T$2:T$1073)&lt;&gt;ROW(T748))*(T$2:T$1073&lt;&gt;""))),"")</f>
        <v/>
      </c>
      <c r="AA748" t="str" cm="1">
        <f t="array" ref="AA748">IFERROR(AVERAGE(_xlfn._xlws.FILTER(U$2:U$1073,($C$2:$C$1073=$C748)*($E$2:$E$1073=$E748)*(ROW(U$2:U$1073)&lt;&gt;ROW(U748))*(U$2:U$1073&lt;&gt;""))),"")</f>
        <v/>
      </c>
    </row>
    <row r="749" spans="1:27" x14ac:dyDescent="0.2">
      <c r="A749" s="7" t="s">
        <v>2270</v>
      </c>
      <c r="B749" t="str">
        <f t="shared" si="123"/>
        <v>ASTR IV кв. 2014</v>
      </c>
      <c r="C749">
        <v>2014</v>
      </c>
      <c r="D749">
        <f>SUMIFS(Дивиденды!$C:$C,Дивиденды!$A:$A,A749,Дивиденды!$I:$I,C749)</f>
        <v>0</v>
      </c>
      <c r="E749">
        <v>5</v>
      </c>
      <c r="F749">
        <f t="shared" si="124"/>
        <v>0</v>
      </c>
      <c r="G749">
        <f t="shared" si="125"/>
        <v>0</v>
      </c>
      <c r="H749">
        <f t="shared" si="126"/>
        <v>0</v>
      </c>
      <c r="I749">
        <f t="shared" si="122"/>
        <v>0</v>
      </c>
      <c r="J749">
        <f t="shared" si="127"/>
        <v>0</v>
      </c>
      <c r="K749">
        <f t="shared" si="131"/>
        <v>0</v>
      </c>
      <c r="L749">
        <f t="shared" si="128"/>
        <v>0</v>
      </c>
      <c r="M749">
        <f t="shared" si="132"/>
        <v>0</v>
      </c>
      <c r="N749">
        <f t="shared" si="129"/>
        <v>0</v>
      </c>
      <c r="O749">
        <f t="shared" si="130"/>
        <v>0</v>
      </c>
      <c r="P749" t="str">
        <f>IFERROR(LN('Дивиденды по годам'!I749),"")</f>
        <v/>
      </c>
      <c r="Q749" t="str">
        <f>IFERROR('Дивиденды по годам'!G749/'Дивиденды по годам'!I749, "")</f>
        <v/>
      </c>
      <c r="R749" t="str">
        <f>IFERROR(IF(AND('Дивиденды по годам'!N749&lt;&gt;"",'Дивиденды по годам'!U749&lt;&gt;"",'Дивиденды по годам'!U749&lt;&gt;0),'Дивиденды по годам'!N749/'Дивиденды по годам'!U749-1,""),"")</f>
        <v/>
      </c>
      <c r="S749" t="str">
        <f>IFERROR(IF(AND('Дивиденды по годам'!L749&lt;&gt;"",'Дивиденды по годам'!I749&lt;&gt;"",'Дивиденды по годам'!J749&lt;&gt;"",'Дивиденды по годам'!K749&lt;&gt;"",('Дивиденды по годам'!I749-'Дивиденды по годам'!J749-'Дивиденды по годам'!K749)&lt;&gt;0),'Дивиденды по годам'!L749/('Дивиденды по годам'!I749-'Дивиденды по годам'!J749-'Дивиденды по годам'!K749),""),"")</f>
        <v/>
      </c>
      <c r="T749" t="str">
        <f>IFERROR(IF(AND('Дивиденды по годам'!Q749&lt;&gt;"",'Дивиденды по годам'!I749&lt;&gt;"",'Дивиденды по годам'!V749&lt;&gt;"",('Дивиденды по годам'!I749+'Дивиденды по годам'!V749)&lt;&gt;0),'Дивиденды по годам'!Q749/(('Дивиденды по годам'!I749+'Дивиденды по годам'!V749)/2),""),"")</f>
        <v/>
      </c>
      <c r="U749" t="str">
        <f>IFERROR(IF(AND('Дивиденды по годам'!J749&lt;&gt;"",'Дивиденды по годам'!K749&lt;&gt;"",'Дивиденды по годам'!M749&lt;&gt;"",'Дивиденды по годам'!M749&lt;&gt;0),('Дивиденды по годам'!J749+'Дивиденды по годам'!K749)/'Дивиденды по годам'!M749,""),"")</f>
        <v/>
      </c>
      <c r="V749" t="str" cm="1">
        <f t="array" ref="V749">IFERROR(AVERAGE(_xlfn._xlws.FILTER(P$2:P$1073,($C$2:$C$1073=$C749)*($E$2:$E$1073=$E749)*(ROW(P$2:P$1073)&lt;&gt;ROW(P749))*(P$2:P$1073&lt;&gt;""))),"")</f>
        <v/>
      </c>
      <c r="W749" t="str" cm="1">
        <f t="array" ref="W749">IFERROR(AVERAGE(_xlfn._xlws.FILTER(Q$2:Q$1073,($C$2:$C$1073=$C749)*($E$2:$E$1073=$E749)*(ROW(Q$2:Q$1073)&lt;&gt;ROW(Q749))*(Q$2:Q$1073&lt;&gt;""))),"")</f>
        <v/>
      </c>
      <c r="X749" t="str" cm="1">
        <f t="array" ref="X749">IFERROR(AVERAGE(_xlfn._xlws.FILTER(R$2:R$1073,($C$2:$C$1073=$C749)*($E$2:$E$1073=$E749)*(ROW(R$2:R$1073)&lt;&gt;ROW(R749))*(R$2:R$1073&lt;&gt;""))),"")</f>
        <v/>
      </c>
      <c r="Y749" t="str" cm="1">
        <f t="array" ref="Y749">IFERROR(AVERAGE(_xlfn._xlws.FILTER(S$2:S$1073,($C$2:$C$1073=$C749)*($E$2:$E$1073=$E749)*(ROW(S$2:S$1073)&lt;&gt;ROW(S749))*(S$2:S$1073&lt;&gt;""))),"")</f>
        <v/>
      </c>
      <c r="Z749" t="str" cm="1">
        <f t="array" ref="Z749">IFERROR(AVERAGE(_xlfn._xlws.FILTER(T$2:T$1073,($C$2:$C$1073=$C749)*($E$2:$E$1073=$E749)*(ROW(T$2:T$1073)&lt;&gt;ROW(T749))*(T$2:T$1073&lt;&gt;""))),"")</f>
        <v/>
      </c>
      <c r="AA749" t="str" cm="1">
        <f t="array" ref="AA749">IFERROR(AVERAGE(_xlfn._xlws.FILTER(U$2:U$1073,($C$2:$C$1073=$C749)*($E$2:$E$1073=$E749)*(ROW(U$2:U$1073)&lt;&gt;ROW(U749))*(U$2:U$1073&lt;&gt;""))),"")</f>
        <v/>
      </c>
    </row>
    <row r="750" spans="1:27" x14ac:dyDescent="0.2">
      <c r="A750" s="7" t="s">
        <v>2270</v>
      </c>
      <c r="B750" t="str">
        <f t="shared" si="123"/>
        <v>ASTR IV кв. 2013</v>
      </c>
      <c r="C750">
        <v>2013</v>
      </c>
      <c r="D750">
        <f>SUMIFS(Дивиденды!$C:$C,Дивиденды!$A:$A,A750,Дивиденды!$I:$I,C750)</f>
        <v>0</v>
      </c>
      <c r="E750">
        <v>5</v>
      </c>
      <c r="F750">
        <f t="shared" si="124"/>
        <v>0</v>
      </c>
      <c r="G750">
        <f t="shared" si="125"/>
        <v>0</v>
      </c>
      <c r="H750">
        <f t="shared" si="126"/>
        <v>0</v>
      </c>
      <c r="I750">
        <f t="shared" si="122"/>
        <v>0</v>
      </c>
      <c r="J750">
        <f t="shared" si="127"/>
        <v>0</v>
      </c>
      <c r="K750">
        <f t="shared" si="131"/>
        <v>0</v>
      </c>
      <c r="L750">
        <f t="shared" si="128"/>
        <v>0</v>
      </c>
      <c r="M750">
        <f t="shared" si="132"/>
        <v>0</v>
      </c>
      <c r="N750">
        <f t="shared" si="129"/>
        <v>0</v>
      </c>
      <c r="O750">
        <f t="shared" si="130"/>
        <v>0</v>
      </c>
      <c r="P750" t="str">
        <f>IFERROR(LN('Дивиденды по годам'!I750),"")</f>
        <v/>
      </c>
      <c r="Q750" t="str">
        <f>IFERROR('Дивиденды по годам'!G750/'Дивиденды по годам'!I750, "")</f>
        <v/>
      </c>
      <c r="R750" t="str">
        <f>IFERROR(IF(AND('Дивиденды по годам'!N750&lt;&gt;"",'Дивиденды по годам'!U750&lt;&gt;"",'Дивиденды по годам'!U750&lt;&gt;0),'Дивиденды по годам'!N750/'Дивиденды по годам'!U750-1,""),"")</f>
        <v/>
      </c>
      <c r="S750" t="str">
        <f>IFERROR(IF(AND('Дивиденды по годам'!L750&lt;&gt;"",'Дивиденды по годам'!I750&lt;&gt;"",'Дивиденды по годам'!J750&lt;&gt;"",'Дивиденды по годам'!K750&lt;&gt;"",('Дивиденды по годам'!I750-'Дивиденды по годам'!J750-'Дивиденды по годам'!K750)&lt;&gt;0),'Дивиденды по годам'!L750/('Дивиденды по годам'!I750-'Дивиденды по годам'!J750-'Дивиденды по годам'!K750),""),"")</f>
        <v/>
      </c>
      <c r="T750" t="str">
        <f>IFERROR(IF(AND('Дивиденды по годам'!Q750&lt;&gt;"",'Дивиденды по годам'!I750&lt;&gt;"",'Дивиденды по годам'!V750&lt;&gt;"",('Дивиденды по годам'!I750+'Дивиденды по годам'!V750)&lt;&gt;0),'Дивиденды по годам'!Q750/(('Дивиденды по годам'!I750+'Дивиденды по годам'!V750)/2),""),"")</f>
        <v/>
      </c>
      <c r="U750" t="str">
        <f>IFERROR(IF(AND('Дивиденды по годам'!J750&lt;&gt;"",'Дивиденды по годам'!K750&lt;&gt;"",'Дивиденды по годам'!M750&lt;&gt;"",'Дивиденды по годам'!M750&lt;&gt;0),('Дивиденды по годам'!J750+'Дивиденды по годам'!K750)/'Дивиденды по годам'!M750,""),"")</f>
        <v/>
      </c>
      <c r="V750" t="str" cm="1">
        <f t="array" ref="V750">IFERROR(AVERAGE(_xlfn._xlws.FILTER(P$2:P$1073,($C$2:$C$1073=$C750)*($E$2:$E$1073=$E750)*(ROW(P$2:P$1073)&lt;&gt;ROW(P750))*(P$2:P$1073&lt;&gt;""))),"")</f>
        <v/>
      </c>
      <c r="W750" t="str" cm="1">
        <f t="array" ref="W750">IFERROR(AVERAGE(_xlfn._xlws.FILTER(Q$2:Q$1073,($C$2:$C$1073=$C750)*($E$2:$E$1073=$E750)*(ROW(Q$2:Q$1073)&lt;&gt;ROW(Q750))*(Q$2:Q$1073&lt;&gt;""))),"")</f>
        <v/>
      </c>
      <c r="X750" t="str" cm="1">
        <f t="array" ref="X750">IFERROR(AVERAGE(_xlfn._xlws.FILTER(R$2:R$1073,($C$2:$C$1073=$C750)*($E$2:$E$1073=$E750)*(ROW(R$2:R$1073)&lt;&gt;ROW(R750))*(R$2:R$1073&lt;&gt;""))),"")</f>
        <v/>
      </c>
      <c r="Y750" t="str" cm="1">
        <f t="array" ref="Y750">IFERROR(AVERAGE(_xlfn._xlws.FILTER(S$2:S$1073,($C$2:$C$1073=$C750)*($E$2:$E$1073=$E750)*(ROW(S$2:S$1073)&lt;&gt;ROW(S750))*(S$2:S$1073&lt;&gt;""))),"")</f>
        <v/>
      </c>
      <c r="Z750" t="str" cm="1">
        <f t="array" ref="Z750">IFERROR(AVERAGE(_xlfn._xlws.FILTER(T$2:T$1073,($C$2:$C$1073=$C750)*($E$2:$E$1073=$E750)*(ROW(T$2:T$1073)&lt;&gt;ROW(T750))*(T$2:T$1073&lt;&gt;""))),"")</f>
        <v/>
      </c>
      <c r="AA750" t="str" cm="1">
        <f t="array" ref="AA750">IFERROR(AVERAGE(_xlfn._xlws.FILTER(U$2:U$1073,($C$2:$C$1073=$C750)*($E$2:$E$1073=$E750)*(ROW(U$2:U$1073)&lt;&gt;ROW(U750))*(U$2:U$1073&lt;&gt;""))),"")</f>
        <v/>
      </c>
    </row>
    <row r="751" spans="1:27" x14ac:dyDescent="0.2">
      <c r="A751" s="7" t="s">
        <v>2270</v>
      </c>
      <c r="B751" t="str">
        <f t="shared" si="123"/>
        <v>ASTR IV кв. 2012</v>
      </c>
      <c r="C751">
        <v>2012</v>
      </c>
      <c r="D751">
        <f>SUMIFS(Дивиденды!$C:$C,Дивиденды!$A:$A,A751,Дивиденды!$I:$I,C751)</f>
        <v>0</v>
      </c>
      <c r="E751">
        <v>5</v>
      </c>
      <c r="F751">
        <f t="shared" si="124"/>
        <v>0</v>
      </c>
      <c r="G751">
        <f t="shared" si="125"/>
        <v>0</v>
      </c>
      <c r="H751">
        <f t="shared" si="126"/>
        <v>0</v>
      </c>
      <c r="I751">
        <f t="shared" si="122"/>
        <v>0</v>
      </c>
      <c r="J751">
        <f t="shared" si="127"/>
        <v>0</v>
      </c>
      <c r="K751">
        <f t="shared" si="131"/>
        <v>0</v>
      </c>
      <c r="L751">
        <f t="shared" si="128"/>
        <v>0</v>
      </c>
      <c r="M751">
        <f t="shared" si="132"/>
        <v>0</v>
      </c>
      <c r="N751">
        <f t="shared" si="129"/>
        <v>0</v>
      </c>
      <c r="O751">
        <f t="shared" si="130"/>
        <v>0</v>
      </c>
      <c r="P751" t="str">
        <f>IFERROR(LN('Дивиденды по годам'!I751),"")</f>
        <v/>
      </c>
      <c r="Q751" t="str">
        <f>IFERROR('Дивиденды по годам'!G751/'Дивиденды по годам'!I751, "")</f>
        <v/>
      </c>
      <c r="R751" t="str">
        <f>IFERROR(IF(AND('Дивиденды по годам'!N751&lt;&gt;"",'Дивиденды по годам'!U751&lt;&gt;"",'Дивиденды по годам'!U751&lt;&gt;0),'Дивиденды по годам'!N751/'Дивиденды по годам'!U751-1,""),"")</f>
        <v/>
      </c>
      <c r="S751" t="str">
        <f>IFERROR(IF(AND('Дивиденды по годам'!L751&lt;&gt;"",'Дивиденды по годам'!I751&lt;&gt;"",'Дивиденды по годам'!J751&lt;&gt;"",'Дивиденды по годам'!K751&lt;&gt;"",('Дивиденды по годам'!I751-'Дивиденды по годам'!J751-'Дивиденды по годам'!K751)&lt;&gt;0),'Дивиденды по годам'!L751/('Дивиденды по годам'!I751-'Дивиденды по годам'!J751-'Дивиденды по годам'!K751),""),"")</f>
        <v/>
      </c>
      <c r="T751" t="str">
        <f>IFERROR(IF(AND('Дивиденды по годам'!Q751&lt;&gt;"",'Дивиденды по годам'!I751&lt;&gt;"",'Дивиденды по годам'!V751&lt;&gt;"",('Дивиденды по годам'!I751+'Дивиденды по годам'!V751)&lt;&gt;0),'Дивиденды по годам'!Q751/(('Дивиденды по годам'!I751+'Дивиденды по годам'!V751)/2),""),"")</f>
        <v/>
      </c>
      <c r="U751" t="str">
        <f>IFERROR(IF(AND('Дивиденды по годам'!J751&lt;&gt;"",'Дивиденды по годам'!K751&lt;&gt;"",'Дивиденды по годам'!M751&lt;&gt;"",'Дивиденды по годам'!M751&lt;&gt;0),('Дивиденды по годам'!J751+'Дивиденды по годам'!K751)/'Дивиденды по годам'!M751,""),"")</f>
        <v/>
      </c>
      <c r="V751" t="str" cm="1">
        <f t="array" ref="V751">IFERROR(AVERAGE(_xlfn._xlws.FILTER(P$2:P$1073,($C$2:$C$1073=$C751)*($E$2:$E$1073=$E751)*(ROW(P$2:P$1073)&lt;&gt;ROW(P751))*(P$2:P$1073&lt;&gt;""))),"")</f>
        <v/>
      </c>
      <c r="W751" t="str" cm="1">
        <f t="array" ref="W751">IFERROR(AVERAGE(_xlfn._xlws.FILTER(Q$2:Q$1073,($C$2:$C$1073=$C751)*($E$2:$E$1073=$E751)*(ROW(Q$2:Q$1073)&lt;&gt;ROW(Q751))*(Q$2:Q$1073&lt;&gt;""))),"")</f>
        <v/>
      </c>
      <c r="X751" t="str" cm="1">
        <f t="array" ref="X751">IFERROR(AVERAGE(_xlfn._xlws.FILTER(R$2:R$1073,($C$2:$C$1073=$C751)*($E$2:$E$1073=$E751)*(ROW(R$2:R$1073)&lt;&gt;ROW(R751))*(R$2:R$1073&lt;&gt;""))),"")</f>
        <v/>
      </c>
      <c r="Y751" t="str" cm="1">
        <f t="array" ref="Y751">IFERROR(AVERAGE(_xlfn._xlws.FILTER(S$2:S$1073,($C$2:$C$1073=$C751)*($E$2:$E$1073=$E751)*(ROW(S$2:S$1073)&lt;&gt;ROW(S751))*(S$2:S$1073&lt;&gt;""))),"")</f>
        <v/>
      </c>
      <c r="Z751" t="str" cm="1">
        <f t="array" ref="Z751">IFERROR(AVERAGE(_xlfn._xlws.FILTER(T$2:T$1073,($C$2:$C$1073=$C751)*($E$2:$E$1073=$E751)*(ROW(T$2:T$1073)&lt;&gt;ROW(T751))*(T$2:T$1073&lt;&gt;""))),"")</f>
        <v/>
      </c>
      <c r="AA751" t="str" cm="1">
        <f t="array" ref="AA751">IFERROR(AVERAGE(_xlfn._xlws.FILTER(U$2:U$1073,($C$2:$C$1073=$C751)*($E$2:$E$1073=$E751)*(ROW(U$2:U$1073)&lt;&gt;ROW(U751))*(U$2:U$1073&lt;&gt;""))),"")</f>
        <v/>
      </c>
    </row>
    <row r="752" spans="1:27" x14ac:dyDescent="0.2">
      <c r="A752" s="7" t="s">
        <v>2270</v>
      </c>
      <c r="B752" t="str">
        <f t="shared" si="123"/>
        <v>ASTR IV кв. 2011</v>
      </c>
      <c r="C752">
        <v>2011</v>
      </c>
      <c r="D752">
        <f>SUMIFS(Дивиденды!$C:$C,Дивиденды!$A:$A,A752,Дивиденды!$I:$I,C752)</f>
        <v>0</v>
      </c>
      <c r="E752">
        <v>5</v>
      </c>
      <c r="F752">
        <f t="shared" si="124"/>
        <v>0</v>
      </c>
      <c r="G752">
        <f t="shared" si="125"/>
        <v>0</v>
      </c>
      <c r="H752">
        <f t="shared" si="126"/>
        <v>0</v>
      </c>
      <c r="I752">
        <f t="shared" ref="I752:I815" si="133">IFERROR((COUNTIFS($E:$E,E752,$C:$C,C752,$H:$H,1)-H752)/(COUNTIFS($E:$E,E752,$C:$C,C752)-1),0)</f>
        <v>0</v>
      </c>
      <c r="J752">
        <f t="shared" si="127"/>
        <v>0</v>
      </c>
      <c r="K752">
        <f t="shared" si="131"/>
        <v>0</v>
      </c>
      <c r="L752">
        <f t="shared" si="128"/>
        <v>0</v>
      </c>
      <c r="M752">
        <f t="shared" si="132"/>
        <v>0</v>
      </c>
      <c r="N752">
        <f t="shared" si="129"/>
        <v>0</v>
      </c>
      <c r="O752">
        <f t="shared" si="130"/>
        <v>0</v>
      </c>
      <c r="P752" t="str">
        <f>IFERROR(LN('Дивиденды по годам'!I752),"")</f>
        <v/>
      </c>
      <c r="Q752" t="str">
        <f>IFERROR('Дивиденды по годам'!G752/'Дивиденды по годам'!I752, "")</f>
        <v/>
      </c>
      <c r="R752" t="str">
        <f>IFERROR(IF(AND('Дивиденды по годам'!N752&lt;&gt;"",'Дивиденды по годам'!U752&lt;&gt;"",'Дивиденды по годам'!U752&lt;&gt;0),'Дивиденды по годам'!N752/'Дивиденды по годам'!U752-1,""),"")</f>
        <v/>
      </c>
      <c r="S752" t="str">
        <f>IFERROR(IF(AND('Дивиденды по годам'!L752&lt;&gt;"",'Дивиденды по годам'!I752&lt;&gt;"",'Дивиденды по годам'!J752&lt;&gt;"",'Дивиденды по годам'!K752&lt;&gt;"",('Дивиденды по годам'!I752-'Дивиденды по годам'!J752-'Дивиденды по годам'!K752)&lt;&gt;0),'Дивиденды по годам'!L752/('Дивиденды по годам'!I752-'Дивиденды по годам'!J752-'Дивиденды по годам'!K752),""),"")</f>
        <v/>
      </c>
      <c r="T752" t="str">
        <f>IFERROR(IF(AND('Дивиденды по годам'!Q752&lt;&gt;"",'Дивиденды по годам'!I752&lt;&gt;"",'Дивиденды по годам'!V752&lt;&gt;"",('Дивиденды по годам'!I752+'Дивиденды по годам'!V752)&lt;&gt;0),'Дивиденды по годам'!Q752/(('Дивиденды по годам'!I752+'Дивиденды по годам'!V752)/2),""),"")</f>
        <v/>
      </c>
      <c r="U752" t="str">
        <f>IFERROR(IF(AND('Дивиденды по годам'!J752&lt;&gt;"",'Дивиденды по годам'!K752&lt;&gt;"",'Дивиденды по годам'!M752&lt;&gt;"",'Дивиденды по годам'!M752&lt;&gt;0),('Дивиденды по годам'!J752+'Дивиденды по годам'!K752)/'Дивиденды по годам'!M752,""),"")</f>
        <v/>
      </c>
      <c r="V752" t="str" cm="1">
        <f t="array" ref="V752">IFERROR(AVERAGE(_xlfn._xlws.FILTER(P$2:P$1073,($C$2:$C$1073=$C752)*($E$2:$E$1073=$E752)*(ROW(P$2:P$1073)&lt;&gt;ROW(P752))*(P$2:P$1073&lt;&gt;""))),"")</f>
        <v/>
      </c>
      <c r="W752" t="str" cm="1">
        <f t="array" ref="W752">IFERROR(AVERAGE(_xlfn._xlws.FILTER(Q$2:Q$1073,($C$2:$C$1073=$C752)*($E$2:$E$1073=$E752)*(ROW(Q$2:Q$1073)&lt;&gt;ROW(Q752))*(Q$2:Q$1073&lt;&gt;""))),"")</f>
        <v/>
      </c>
      <c r="X752" t="str" cm="1">
        <f t="array" ref="X752">IFERROR(AVERAGE(_xlfn._xlws.FILTER(R$2:R$1073,($C$2:$C$1073=$C752)*($E$2:$E$1073=$E752)*(ROW(R$2:R$1073)&lt;&gt;ROW(R752))*(R$2:R$1073&lt;&gt;""))),"")</f>
        <v/>
      </c>
      <c r="Y752" t="str" cm="1">
        <f t="array" ref="Y752">IFERROR(AVERAGE(_xlfn._xlws.FILTER(S$2:S$1073,($C$2:$C$1073=$C752)*($E$2:$E$1073=$E752)*(ROW(S$2:S$1073)&lt;&gt;ROW(S752))*(S$2:S$1073&lt;&gt;""))),"")</f>
        <v/>
      </c>
      <c r="Z752" t="str" cm="1">
        <f t="array" ref="Z752">IFERROR(AVERAGE(_xlfn._xlws.FILTER(T$2:T$1073,($C$2:$C$1073=$C752)*($E$2:$E$1073=$E752)*(ROW(T$2:T$1073)&lt;&gt;ROW(T752))*(T$2:T$1073&lt;&gt;""))),"")</f>
        <v/>
      </c>
      <c r="AA752" t="str" cm="1">
        <f t="array" ref="AA752">IFERROR(AVERAGE(_xlfn._xlws.FILTER(U$2:U$1073,($C$2:$C$1073=$C752)*($E$2:$E$1073=$E752)*(ROW(U$2:U$1073)&lt;&gt;ROW(U752))*(U$2:U$1073&lt;&gt;""))),"")</f>
        <v/>
      </c>
    </row>
    <row r="753" spans="1:27" x14ac:dyDescent="0.2">
      <c r="A753" s="7" t="s">
        <v>2270</v>
      </c>
      <c r="B753" t="str">
        <f t="shared" si="123"/>
        <v>ASTR IV кв. 2010</v>
      </c>
      <c r="C753">
        <v>2010</v>
      </c>
      <c r="D753">
        <f>SUMIFS(Дивиденды!$C:$C,Дивиденды!$A:$A,A753,Дивиденды!$I:$I,C753)</f>
        <v>0</v>
      </c>
      <c r="E753">
        <v>5</v>
      </c>
      <c r="F753">
        <f t="shared" si="124"/>
        <v>0</v>
      </c>
      <c r="G753">
        <f t="shared" si="125"/>
        <v>0</v>
      </c>
      <c r="H753">
        <f t="shared" si="126"/>
        <v>0</v>
      </c>
      <c r="I753">
        <f t="shared" si="133"/>
        <v>0</v>
      </c>
      <c r="J753" t="str">
        <f t="shared" si="127"/>
        <v/>
      </c>
      <c r="K753" t="str">
        <f t="shared" si="131"/>
        <v/>
      </c>
      <c r="L753" t="str">
        <f t="shared" si="128"/>
        <v/>
      </c>
      <c r="M753" t="str">
        <f t="shared" si="132"/>
        <v/>
      </c>
      <c r="N753" t="str">
        <f t="shared" si="129"/>
        <v/>
      </c>
      <c r="O753" t="str">
        <f t="shared" si="130"/>
        <v/>
      </c>
      <c r="P753" t="str">
        <f>IFERROR(LN('Дивиденды по годам'!I753),"")</f>
        <v/>
      </c>
      <c r="Q753" t="str">
        <f>IFERROR('Дивиденды по годам'!G753/'Дивиденды по годам'!I753, "")</f>
        <v/>
      </c>
      <c r="R753" t="str">
        <f>IFERROR(IF(AND('Дивиденды по годам'!N753&lt;&gt;"",'Дивиденды по годам'!U753&lt;&gt;"",'Дивиденды по годам'!U753&lt;&gt;0),'Дивиденды по годам'!N753/'Дивиденды по годам'!U753-1,""),"")</f>
        <v/>
      </c>
      <c r="S753" t="str">
        <f>IFERROR(IF(AND('Дивиденды по годам'!L753&lt;&gt;"",'Дивиденды по годам'!I753&lt;&gt;"",'Дивиденды по годам'!J753&lt;&gt;"",'Дивиденды по годам'!K753&lt;&gt;"",('Дивиденды по годам'!I753-'Дивиденды по годам'!J753-'Дивиденды по годам'!K753)&lt;&gt;0),'Дивиденды по годам'!L753/('Дивиденды по годам'!I753-'Дивиденды по годам'!J753-'Дивиденды по годам'!K753),""),"")</f>
        <v/>
      </c>
      <c r="T753" t="str">
        <f>IFERROR(IF(AND('Дивиденды по годам'!Q753&lt;&gt;"",'Дивиденды по годам'!I753&lt;&gt;"",'Дивиденды по годам'!V753&lt;&gt;"",('Дивиденды по годам'!I753+'Дивиденды по годам'!V753)&lt;&gt;0),'Дивиденды по годам'!Q753/(('Дивиденды по годам'!I753+'Дивиденды по годам'!V753)/2),""),"")</f>
        <v/>
      </c>
      <c r="U753" t="str">
        <f>IFERROR(IF(AND('Дивиденды по годам'!J753&lt;&gt;"",'Дивиденды по годам'!K753&lt;&gt;"",'Дивиденды по годам'!M753&lt;&gt;"",'Дивиденды по годам'!M753&lt;&gt;0),('Дивиденды по годам'!J753+'Дивиденды по годам'!K753)/'Дивиденды по годам'!M753,""),"")</f>
        <v/>
      </c>
      <c r="V753" t="str" cm="1">
        <f t="array" ref="V753">IFERROR(AVERAGE(_xlfn._xlws.FILTER(P$2:P$1073,($C$2:$C$1073=$C753)*($E$2:$E$1073=$E753)*(ROW(P$2:P$1073)&lt;&gt;ROW(P753))*(P$2:P$1073&lt;&gt;""))),"")</f>
        <v/>
      </c>
      <c r="W753" t="str" cm="1">
        <f t="array" ref="W753">IFERROR(AVERAGE(_xlfn._xlws.FILTER(Q$2:Q$1073,($C$2:$C$1073=$C753)*($E$2:$E$1073=$E753)*(ROW(Q$2:Q$1073)&lt;&gt;ROW(Q753))*(Q$2:Q$1073&lt;&gt;""))),"")</f>
        <v/>
      </c>
      <c r="X753" t="str" cm="1">
        <f t="array" ref="X753">IFERROR(AVERAGE(_xlfn._xlws.FILTER(R$2:R$1073,($C$2:$C$1073=$C753)*($E$2:$E$1073=$E753)*(ROW(R$2:R$1073)&lt;&gt;ROW(R753))*(R$2:R$1073&lt;&gt;""))),"")</f>
        <v/>
      </c>
      <c r="Y753" t="str" cm="1">
        <f t="array" ref="Y753">IFERROR(AVERAGE(_xlfn._xlws.FILTER(S$2:S$1073,($C$2:$C$1073=$C753)*($E$2:$E$1073=$E753)*(ROW(S$2:S$1073)&lt;&gt;ROW(S753))*(S$2:S$1073&lt;&gt;""))),"")</f>
        <v/>
      </c>
      <c r="Z753" t="str" cm="1">
        <f t="array" ref="Z753">IFERROR(AVERAGE(_xlfn._xlws.FILTER(T$2:T$1073,($C$2:$C$1073=$C753)*($E$2:$E$1073=$E753)*(ROW(T$2:T$1073)&lt;&gt;ROW(T753))*(T$2:T$1073&lt;&gt;""))),"")</f>
        <v/>
      </c>
      <c r="AA753" t="str" cm="1">
        <f t="array" ref="AA753">IFERROR(AVERAGE(_xlfn._xlws.FILTER(U$2:U$1073,($C$2:$C$1073=$C753)*($E$2:$E$1073=$E753)*(ROW(U$2:U$1073)&lt;&gt;ROW(U753))*(U$2:U$1073&lt;&gt;""))),"")</f>
        <v/>
      </c>
    </row>
    <row r="754" spans="1:27" x14ac:dyDescent="0.2">
      <c r="A754" s="7" t="s">
        <v>2273</v>
      </c>
      <c r="B754" t="str">
        <f t="shared" si="123"/>
        <v>BAZA IV кв. 2025</v>
      </c>
      <c r="C754">
        <v>2025</v>
      </c>
      <c r="D754">
        <f>SUMIFS(Дивиденды!$C:$C,Дивиденды!$A:$A,A754,Дивиденды!$I:$I,C754)</f>
        <v>3.34</v>
      </c>
      <c r="E754">
        <v>5</v>
      </c>
      <c r="F754">
        <f t="shared" si="124"/>
        <v>3.34</v>
      </c>
      <c r="G754">
        <f t="shared" si="125"/>
        <v>62.568888888888893</v>
      </c>
      <c r="H754">
        <f t="shared" si="126"/>
        <v>1</v>
      </c>
      <c r="I754">
        <f t="shared" si="133"/>
        <v>0.55555555555555558</v>
      </c>
      <c r="J754">
        <f t="shared" si="127"/>
        <v>1</v>
      </c>
      <c r="K754">
        <f t="shared" si="131"/>
        <v>8.2806993552871883E-2</v>
      </c>
      <c r="L754">
        <f t="shared" si="128"/>
        <v>1</v>
      </c>
      <c r="M754">
        <f t="shared" si="132"/>
        <v>0.33333333333333331</v>
      </c>
      <c r="N754">
        <f t="shared" si="129"/>
        <v>0</v>
      </c>
      <c r="O754">
        <f t="shared" si="130"/>
        <v>0.44444444444444442</v>
      </c>
      <c r="P754">
        <f>IFERROR(LN('Дивиденды по годам'!I754),"")</f>
        <v>22.716539963582342</v>
      </c>
      <c r="Q754">
        <f>IFERROR('Дивиденды по годам'!G754/'Дивиденды по годам'!I754, "")</f>
        <v>5.1597072017603322E-2</v>
      </c>
      <c r="R754" t="str">
        <f>IFERROR(IF(AND('Дивиденды по годам'!N754&lt;&gt;"",'Дивиденды по годам'!U754&lt;&gt;"",'Дивиденды по годам'!U754&lt;&gt;0),'Дивиденды по годам'!N754/'Дивиденды по годам'!U754-1,""),"")</f>
        <v/>
      </c>
      <c r="S754">
        <f>IFERROR(IF(AND('Дивиденды по годам'!L754&lt;&gt;"",'Дивиденды по годам'!I754&lt;&gt;"",'Дивиденды по годам'!J754&lt;&gt;"",'Дивиденды по годам'!K754&lt;&gt;"",('Дивиденды по годам'!I754-'Дивиденды по годам'!J754-'Дивиденды по годам'!K754)&lt;&gt;0),'Дивиденды по годам'!L754/('Дивиденды по годам'!I754-'Дивиденды по годам'!J754-'Дивиденды по годам'!K754),""),"")</f>
        <v>0.8706669359299174</v>
      </c>
      <c r="T754" t="str">
        <f>IFERROR(IF(AND('Дивиденды по годам'!Q754&lt;&gt;"",'Дивиденды по годам'!I754&lt;&gt;"",'Дивиденды по годам'!V754&lt;&gt;"",('Дивиденды по годам'!I754+'Дивиденды по годам'!V754)&lt;&gt;0),'Дивиденды по годам'!Q754/(('Дивиденды по годам'!I754+'Дивиденды по годам'!V754)/2),""),"")</f>
        <v/>
      </c>
      <c r="U754">
        <f>IFERROR(IF(AND('Дивиденды по годам'!J754&lt;&gt;"",'Дивиденды по годам'!K754&lt;&gt;"",'Дивиденды по годам'!M754&lt;&gt;"",'Дивиденды по годам'!M754&lt;&gt;0),('Дивиденды по годам'!J754+'Дивиденды по годам'!K754)/'Дивиденды по годам'!M754,""),"")</f>
        <v>0.32575873892314688</v>
      </c>
      <c r="V754" cm="1">
        <f t="array" ref="V754">IFERROR(AVERAGE(_xlfn._xlws.FILTER(P$2:P$1073,($C$2:$C$1073=$C754)*($E$2:$E$1073=$E754)*(ROW(P$2:P$1073)&lt;&gt;ROW(P754))*(P$2:P$1073&lt;&gt;""))),"")</f>
        <v>26.685162633047437</v>
      </c>
      <c r="W754" cm="1">
        <f t="array" ref="W754">IFERROR(AVERAGE(_xlfn._xlws.FILTER(Q$2:Q$1073,($C$2:$C$1073=$C754)*($E$2:$E$1073=$E754)*(ROW(Q$2:Q$1073)&lt;&gt;ROW(Q754))*(Q$2:Q$1073&lt;&gt;""))),"")</f>
        <v>0.14232827831384967</v>
      </c>
      <c r="X754" cm="1">
        <f t="array" ref="X754">IFERROR(AVERAGE(_xlfn._xlws.FILTER(R$2:R$1073,($C$2:$C$1073=$C754)*($E$2:$E$1073=$E754)*(ROW(R$2:R$1073)&lt;&gt;ROW(R754))*(R$2:R$1073&lt;&gt;""))),"")</f>
        <v>0.14684434513855163</v>
      </c>
      <c r="Y754" cm="1">
        <f t="array" ref="Y754">IFERROR(AVERAGE(_xlfn._xlws.FILTER(S$2:S$1073,($C$2:$C$1073=$C754)*($E$2:$E$1073=$E754)*(ROW(S$2:S$1073)&lt;&gt;ROW(S754))*(S$2:S$1073&lt;&gt;""))),"")</f>
        <v>0.61661579597570659</v>
      </c>
      <c r="Z754" cm="1">
        <f t="array" ref="Z754">IFERROR(AVERAGE(_xlfn._xlws.FILTER(T$2:T$1073,($C$2:$C$1073=$C754)*($E$2:$E$1073=$E754)*(ROW(T$2:T$1073)&lt;&gt;ROW(T754))*(T$2:T$1073&lt;&gt;""))),"")</f>
        <v>0.19853029448574855</v>
      </c>
      <c r="AA754" cm="1">
        <f t="array" ref="AA754">IFERROR(AVERAGE(_xlfn._xlws.FILTER(U$2:U$1073,($C$2:$C$1073=$C754)*($E$2:$E$1073=$E754)*(ROW(U$2:U$1073)&lt;&gt;ROW(U754))*(U$2:U$1073&lt;&gt;""))),"")</f>
        <v>-1.1442123443675039</v>
      </c>
    </row>
    <row r="755" spans="1:27" x14ac:dyDescent="0.2">
      <c r="A755" s="7" t="s">
        <v>2273</v>
      </c>
      <c r="B755" t="str">
        <f t="shared" si="123"/>
        <v>BAZA IV кв. 2024</v>
      </c>
      <c r="C755">
        <v>2024</v>
      </c>
      <c r="D755">
        <f>SUMIFS(Дивиденды!$C:$C,Дивиденды!$A:$A,A755,Дивиденды!$I:$I,C755)</f>
        <v>0</v>
      </c>
      <c r="E755">
        <v>5</v>
      </c>
      <c r="F755">
        <f t="shared" si="124"/>
        <v>0</v>
      </c>
      <c r="G755">
        <f t="shared" si="125"/>
        <v>120.67777777777776</v>
      </c>
      <c r="H755">
        <f t="shared" si="126"/>
        <v>0</v>
      </c>
      <c r="I755">
        <f t="shared" si="133"/>
        <v>0.55555555555555558</v>
      </c>
      <c r="J755">
        <f t="shared" si="127"/>
        <v>0</v>
      </c>
      <c r="K755">
        <f t="shared" si="131"/>
        <v>0.33674983142279163</v>
      </c>
      <c r="L755">
        <f t="shared" si="128"/>
        <v>0</v>
      </c>
      <c r="M755">
        <f t="shared" si="132"/>
        <v>0.44444444444444442</v>
      </c>
      <c r="N755">
        <f t="shared" si="129"/>
        <v>0</v>
      </c>
      <c r="O755">
        <f t="shared" si="130"/>
        <v>0.1111111111111111</v>
      </c>
      <c r="P755" t="str">
        <f>IFERROR(LN('Дивиденды по годам'!I755),"")</f>
        <v/>
      </c>
      <c r="Q755" t="str">
        <f>IFERROR('Дивиденды по годам'!G755/'Дивиденды по годам'!I755, "")</f>
        <v/>
      </c>
      <c r="R755" t="str">
        <f>IFERROR(IF(AND('Дивиденды по годам'!N755&lt;&gt;"",'Дивиденды по годам'!U755&lt;&gt;"",'Дивиденды по годам'!U755&lt;&gt;0),'Дивиденды по годам'!N755/'Дивиденды по годам'!U755-1,""),"")</f>
        <v/>
      </c>
      <c r="S755" t="str">
        <f>IFERROR(IF(AND('Дивиденды по годам'!L755&lt;&gt;"",'Дивиденды по годам'!I755&lt;&gt;"",'Дивиденды по годам'!J755&lt;&gt;"",'Дивиденды по годам'!K755&lt;&gt;"",('Дивиденды по годам'!I755-'Дивиденды по годам'!J755-'Дивиденды по годам'!K755)&lt;&gt;0),'Дивиденды по годам'!L755/('Дивиденды по годам'!I755-'Дивиденды по годам'!J755-'Дивиденды по годам'!K755),""),"")</f>
        <v/>
      </c>
      <c r="T755" t="str">
        <f>IFERROR(IF(AND('Дивиденды по годам'!Q755&lt;&gt;"",'Дивиденды по годам'!I755&lt;&gt;"",'Дивиденды по годам'!V755&lt;&gt;"",('Дивиденды по годам'!I755+'Дивиденды по годам'!V755)&lt;&gt;0),'Дивиденды по годам'!Q755/(('Дивиденды по годам'!I755+'Дивиденды по годам'!V755)/2),""),"")</f>
        <v/>
      </c>
      <c r="U755" t="str">
        <f>IFERROR(IF(AND('Дивиденды по годам'!J755&lt;&gt;"",'Дивиденды по годам'!K755&lt;&gt;"",'Дивиденды по годам'!M755&lt;&gt;"",'Дивиденды по годам'!M755&lt;&gt;0),('Дивиденды по годам'!J755+'Дивиденды по годам'!K755)/'Дивиденды по годам'!M755,""),"")</f>
        <v/>
      </c>
      <c r="V755" cm="1">
        <f t="array" ref="V755">IFERROR(AVERAGE(_xlfn._xlws.FILTER(P$2:P$1073,($C$2:$C$1073=$C755)*($E$2:$E$1073=$E755)*(ROW(P$2:P$1073)&lt;&gt;ROW(P755))*(P$2:P$1073&lt;&gt;""))),"")</f>
        <v>24.670736828027955</v>
      </c>
      <c r="W755" cm="1">
        <f t="array" ref="W755">IFERROR(AVERAGE(_xlfn._xlws.FILTER(Q$2:Q$1073,($C$2:$C$1073=$C755)*($E$2:$E$1073=$E755)*(ROW(Q$2:Q$1073)&lt;&gt;ROW(Q755))*(Q$2:Q$1073&lt;&gt;""))),"")</f>
        <v>7.5788686693997576E-2</v>
      </c>
      <c r="X755" cm="1">
        <f t="array" ref="X755">IFERROR(AVERAGE(_xlfn._xlws.FILTER(R$2:R$1073,($C$2:$C$1073=$C755)*($E$2:$E$1073=$E755)*(ROW(R$2:R$1073)&lt;&gt;ROW(R755))*(R$2:R$1073&lt;&gt;""))),"")</f>
        <v>0.30210376364493607</v>
      </c>
      <c r="Y755" cm="1">
        <f t="array" ref="Y755">IFERROR(AVERAGE(_xlfn._xlws.FILTER(S$2:S$1073,($C$2:$C$1073=$C755)*($E$2:$E$1073=$E755)*(ROW(S$2:S$1073)&lt;&gt;ROW(S755))*(S$2:S$1073&lt;&gt;""))),"")</f>
        <v>0.26028027374140228</v>
      </c>
      <c r="Z755" cm="1">
        <f t="array" ref="Z755">IFERROR(AVERAGE(_xlfn._xlws.FILTER(T$2:T$1073,($C$2:$C$1073=$C755)*($E$2:$E$1073=$E755)*(ROW(T$2:T$1073)&lt;&gt;ROW(T755))*(T$2:T$1073&lt;&gt;""))),"")</f>
        <v>0.24769292645285018</v>
      </c>
      <c r="AA755" cm="1">
        <f t="array" ref="AA755">IFERROR(AVERAGE(_xlfn._xlws.FILTER(U$2:U$1073,($C$2:$C$1073=$C755)*($E$2:$E$1073=$E755)*(ROW(U$2:U$1073)&lt;&gt;ROW(U755))*(U$2:U$1073&lt;&gt;""))),"")</f>
        <v>2.6834736051870598</v>
      </c>
    </row>
    <row r="756" spans="1:27" x14ac:dyDescent="0.2">
      <c r="A756" s="7" t="s">
        <v>2273</v>
      </c>
      <c r="B756" t="str">
        <f t="shared" si="123"/>
        <v>BAZA IV кв. 2023</v>
      </c>
      <c r="C756">
        <v>2023</v>
      </c>
      <c r="D756">
        <f>SUMIFS(Дивиденды!$C:$C,Дивиденды!$A:$A,A756,Дивиденды!$I:$I,C756)</f>
        <v>0</v>
      </c>
      <c r="E756">
        <v>5</v>
      </c>
      <c r="F756">
        <f t="shared" si="124"/>
        <v>0</v>
      </c>
      <c r="G756">
        <f t="shared" si="125"/>
        <v>16.477777777777778</v>
      </c>
      <c r="H756">
        <f t="shared" si="126"/>
        <v>0</v>
      </c>
      <c r="I756">
        <f t="shared" si="133"/>
        <v>0.1111111111111111</v>
      </c>
      <c r="J756">
        <f t="shared" si="127"/>
        <v>0</v>
      </c>
      <c r="K756">
        <f t="shared" si="131"/>
        <v>0.31688311688311693</v>
      </c>
      <c r="L756">
        <f t="shared" si="128"/>
        <v>0</v>
      </c>
      <c r="M756">
        <f t="shared" si="132"/>
        <v>0.1111111111111111</v>
      </c>
      <c r="N756">
        <f t="shared" si="129"/>
        <v>0</v>
      </c>
      <c r="O756">
        <f t="shared" si="130"/>
        <v>0</v>
      </c>
      <c r="P756" t="str">
        <f>IFERROR(LN('Дивиденды по годам'!I756),"")</f>
        <v/>
      </c>
      <c r="Q756" t="str">
        <f>IFERROR('Дивиденды по годам'!G756/'Дивиденды по годам'!I756, "")</f>
        <v/>
      </c>
      <c r="R756" t="str">
        <f>IFERROR(IF(AND('Дивиденды по годам'!N756&lt;&gt;"",'Дивиденды по годам'!U756&lt;&gt;"",'Дивиденды по годам'!U756&lt;&gt;0),'Дивиденды по годам'!N756/'Дивиденды по годам'!U756-1,""),"")</f>
        <v/>
      </c>
      <c r="S756" t="str">
        <f>IFERROR(IF(AND('Дивиденды по годам'!L756&lt;&gt;"",'Дивиденды по годам'!I756&lt;&gt;"",'Дивиденды по годам'!J756&lt;&gt;"",'Дивиденды по годам'!K756&lt;&gt;"",('Дивиденды по годам'!I756-'Дивиденды по годам'!J756-'Дивиденды по годам'!K756)&lt;&gt;0),'Дивиденды по годам'!L756/('Дивиденды по годам'!I756-'Дивиденды по годам'!J756-'Дивиденды по годам'!K756),""),"")</f>
        <v/>
      </c>
      <c r="T756" t="str">
        <f>IFERROR(IF(AND('Дивиденды по годам'!Q756&lt;&gt;"",'Дивиденды по годам'!I756&lt;&gt;"",'Дивиденды по годам'!V756&lt;&gt;"",('Дивиденды по годам'!I756+'Дивиденды по годам'!V756)&lt;&gt;0),'Дивиденды по годам'!Q756/(('Дивиденды по годам'!I756+'Дивиденды по годам'!V756)/2),""),"")</f>
        <v/>
      </c>
      <c r="U756" t="str">
        <f>IFERROR(IF(AND('Дивиденды по годам'!J756&lt;&gt;"",'Дивиденды по годам'!K756&lt;&gt;"",'Дивиденды по годам'!M756&lt;&gt;"",'Дивиденды по годам'!M756&lt;&gt;0),('Дивиденды по годам'!J756+'Дивиденды по годам'!K756)/'Дивиденды по годам'!M756,""),"")</f>
        <v/>
      </c>
      <c r="V756" cm="1">
        <f t="array" ref="V756">IFERROR(AVERAGE(_xlfn._xlws.FILTER(P$2:P$1073,($C$2:$C$1073=$C756)*($E$2:$E$1073=$E756)*(ROW(P$2:P$1073)&lt;&gt;ROW(P756))*(P$2:P$1073&lt;&gt;""))),"")</f>
        <v>24.053189256260914</v>
      </c>
      <c r="W756" cm="1">
        <f t="array" ref="W756">IFERROR(AVERAGE(_xlfn._xlws.FILTER(Q$2:Q$1073,($C$2:$C$1073=$C756)*($E$2:$E$1073=$E756)*(ROW(Q$2:Q$1073)&lt;&gt;ROW(Q756))*(Q$2:Q$1073&lt;&gt;""))),"")</f>
        <v>4.2305561504206342E-2</v>
      </c>
      <c r="X756" cm="1">
        <f t="array" ref="X756">IFERROR(AVERAGE(_xlfn._xlws.FILTER(R$2:R$1073,($C$2:$C$1073=$C756)*($E$2:$E$1073=$E756)*(ROW(R$2:R$1073)&lt;&gt;ROW(R756))*(R$2:R$1073&lt;&gt;""))),"")</f>
        <v>0.51000246586809928</v>
      </c>
      <c r="Y756" cm="1">
        <f t="array" ref="Y756">IFERROR(AVERAGE(_xlfn._xlws.FILTER(S$2:S$1073,($C$2:$C$1073=$C756)*($E$2:$E$1073=$E756)*(ROW(S$2:S$1073)&lt;&gt;ROW(S756))*(S$2:S$1073&lt;&gt;""))),"")</f>
        <v>0.68238439940553408</v>
      </c>
      <c r="Z756" cm="1">
        <f t="array" ref="Z756">IFERROR(AVERAGE(_xlfn._xlws.FILTER(T$2:T$1073,($C$2:$C$1073=$C756)*($E$2:$E$1073=$E756)*(ROW(T$2:T$1073)&lt;&gt;ROW(T756))*(T$2:T$1073&lt;&gt;""))),"")</f>
        <v>0.19460130713388882</v>
      </c>
      <c r="AA756" cm="1">
        <f t="array" ref="AA756">IFERROR(AVERAGE(_xlfn._xlws.FILTER(U$2:U$1073,($C$2:$C$1073=$C756)*($E$2:$E$1073=$E756)*(ROW(U$2:U$1073)&lt;&gt;ROW(U756))*(U$2:U$1073&lt;&gt;""))),"")</f>
        <v>2.0818262623637938</v>
      </c>
    </row>
    <row r="757" spans="1:27" x14ac:dyDescent="0.2">
      <c r="A757" s="7" t="s">
        <v>2273</v>
      </c>
      <c r="B757" t="str">
        <f t="shared" si="123"/>
        <v>BAZA IV кв. 2022</v>
      </c>
      <c r="C757">
        <v>2022</v>
      </c>
      <c r="D757">
        <f>SUMIFS(Дивиденды!$C:$C,Дивиденды!$A:$A,A757,Дивиденды!$I:$I,C757)</f>
        <v>0</v>
      </c>
      <c r="E757">
        <v>5</v>
      </c>
      <c r="F757">
        <f t="shared" si="124"/>
        <v>0</v>
      </c>
      <c r="G757">
        <f t="shared" si="125"/>
        <v>4.2777777777777777</v>
      </c>
      <c r="H757">
        <f t="shared" si="126"/>
        <v>0</v>
      </c>
      <c r="I757">
        <f t="shared" si="133"/>
        <v>0.1111111111111111</v>
      </c>
      <c r="J757">
        <f t="shared" si="127"/>
        <v>0</v>
      </c>
      <c r="K757">
        <f t="shared" si="131"/>
        <v>0.1111111111111111</v>
      </c>
      <c r="L757">
        <f t="shared" si="128"/>
        <v>0</v>
      </c>
      <c r="M757">
        <f t="shared" si="132"/>
        <v>0.1111111111111111</v>
      </c>
      <c r="N757">
        <f t="shared" si="129"/>
        <v>0</v>
      </c>
      <c r="O757">
        <f t="shared" si="130"/>
        <v>0</v>
      </c>
      <c r="P757" t="str">
        <f>IFERROR(LN('Дивиденды по годам'!I757),"")</f>
        <v/>
      </c>
      <c r="Q757" t="str">
        <f>IFERROR('Дивиденды по годам'!G757/'Дивиденды по годам'!I757, "")</f>
        <v/>
      </c>
      <c r="R757" t="str">
        <f>IFERROR(IF(AND('Дивиденды по годам'!N757&lt;&gt;"",'Дивиденды по годам'!U757&lt;&gt;"",'Дивиденды по годам'!U757&lt;&gt;0),'Дивиденды по годам'!N757/'Дивиденды по годам'!U757-1,""),"")</f>
        <v/>
      </c>
      <c r="S757" t="str">
        <f>IFERROR(IF(AND('Дивиденды по годам'!L757&lt;&gt;"",'Дивиденды по годам'!I757&lt;&gt;"",'Дивиденды по годам'!J757&lt;&gt;"",'Дивиденды по годам'!K757&lt;&gt;"",('Дивиденды по годам'!I757-'Дивиденды по годам'!J757-'Дивиденды по годам'!K757)&lt;&gt;0),'Дивиденды по годам'!L757/('Дивиденды по годам'!I757-'Дивиденды по годам'!J757-'Дивиденды по годам'!K757),""),"")</f>
        <v/>
      </c>
      <c r="T757" t="str">
        <f>IFERROR(IF(AND('Дивиденды по годам'!Q757&lt;&gt;"",'Дивиденды по годам'!I757&lt;&gt;"",'Дивиденды по годам'!V757&lt;&gt;"",('Дивиденды по годам'!I757+'Дивиденды по годам'!V757)&lt;&gt;0),'Дивиденды по годам'!Q757/(('Дивиденды по годам'!I757+'Дивиденды по годам'!V757)/2),""),"")</f>
        <v/>
      </c>
      <c r="U757" t="str">
        <f>IFERROR(IF(AND('Дивиденды по годам'!J757&lt;&gt;"",'Дивиденды по годам'!K757&lt;&gt;"",'Дивиденды по годам'!M757&lt;&gt;"",'Дивиденды по годам'!M757&lt;&gt;0),('Дивиденды по годам'!J757+'Дивиденды по годам'!K757)/'Дивиденды по годам'!M757,""),"")</f>
        <v/>
      </c>
      <c r="V757" cm="1">
        <f t="array" ref="V757">IFERROR(AVERAGE(_xlfn._xlws.FILTER(P$2:P$1073,($C$2:$C$1073=$C757)*($E$2:$E$1073=$E757)*(ROW(P$2:P$1073)&lt;&gt;ROW(P757))*(P$2:P$1073&lt;&gt;""))),"")</f>
        <v>24.314048251831842</v>
      </c>
      <c r="W757" cm="1">
        <f t="array" ref="W757">IFERROR(AVERAGE(_xlfn._xlws.FILTER(Q$2:Q$1073,($C$2:$C$1073=$C757)*($E$2:$E$1073=$E757)*(ROW(Q$2:Q$1073)&lt;&gt;ROW(Q757))*(Q$2:Q$1073&lt;&gt;""))),"")</f>
        <v>5.676674770458788E-2</v>
      </c>
      <c r="X757" cm="1">
        <f t="array" ref="X757">IFERROR(AVERAGE(_xlfn._xlws.FILTER(R$2:R$1073,($C$2:$C$1073=$C757)*($E$2:$E$1073=$E757)*(ROW(R$2:R$1073)&lt;&gt;ROW(R757))*(R$2:R$1073&lt;&gt;""))),"")</f>
        <v>0.76359932885509174</v>
      </c>
      <c r="Y757" cm="1">
        <f t="array" ref="Y757">IFERROR(AVERAGE(_xlfn._xlws.FILTER(S$2:S$1073,($C$2:$C$1073=$C757)*($E$2:$E$1073=$E757)*(ROW(S$2:S$1073)&lt;&gt;ROW(S757))*(S$2:S$1073&lt;&gt;""))),"")</f>
        <v>0.79975694618495274</v>
      </c>
      <c r="Z757" cm="1">
        <f t="array" ref="Z757">IFERROR(AVERAGE(_xlfn._xlws.FILTER(T$2:T$1073,($C$2:$C$1073=$C757)*($E$2:$E$1073=$E757)*(ROW(T$2:T$1073)&lt;&gt;ROW(T757))*(T$2:T$1073&lt;&gt;""))),"")</f>
        <v>0.45424211382955332</v>
      </c>
      <c r="AA757" cm="1">
        <f t="array" ref="AA757">IFERROR(AVERAGE(_xlfn._xlws.FILTER(U$2:U$1073,($C$2:$C$1073=$C757)*($E$2:$E$1073=$E757)*(ROW(U$2:U$1073)&lt;&gt;ROW(U757))*(U$2:U$1073&lt;&gt;""))),"")</f>
        <v>2.2504855284750676</v>
      </c>
    </row>
    <row r="758" spans="1:27" x14ac:dyDescent="0.2">
      <c r="A758" s="7" t="s">
        <v>2273</v>
      </c>
      <c r="B758" t="str">
        <f t="shared" si="123"/>
        <v>BAZA IV кв. 2021</v>
      </c>
      <c r="C758">
        <v>2021</v>
      </c>
      <c r="D758">
        <f>SUMIFS(Дивиденды!$C:$C,Дивиденды!$A:$A,A758,Дивиденды!$I:$I,C758)</f>
        <v>0</v>
      </c>
      <c r="E758">
        <v>5</v>
      </c>
      <c r="F758">
        <f t="shared" si="124"/>
        <v>0</v>
      </c>
      <c r="G758">
        <f t="shared" si="125"/>
        <v>0</v>
      </c>
      <c r="H758">
        <f t="shared" si="126"/>
        <v>0</v>
      </c>
      <c r="I758">
        <f t="shared" si="133"/>
        <v>0</v>
      </c>
      <c r="J758">
        <f t="shared" si="127"/>
        <v>0</v>
      </c>
      <c r="K758">
        <f t="shared" si="131"/>
        <v>0</v>
      </c>
      <c r="L758">
        <f t="shared" si="128"/>
        <v>0</v>
      </c>
      <c r="M758">
        <f t="shared" si="132"/>
        <v>0</v>
      </c>
      <c r="N758">
        <f t="shared" si="129"/>
        <v>0</v>
      </c>
      <c r="O758">
        <f t="shared" si="130"/>
        <v>0</v>
      </c>
      <c r="P758" t="str">
        <f>IFERROR(LN('Дивиденды по годам'!I758),"")</f>
        <v/>
      </c>
      <c r="Q758" t="str">
        <f>IFERROR('Дивиденды по годам'!G758/'Дивиденды по годам'!I758, "")</f>
        <v/>
      </c>
      <c r="R758" t="str">
        <f>IFERROR(IF(AND('Дивиденды по годам'!N758&lt;&gt;"",'Дивиденды по годам'!U758&lt;&gt;"",'Дивиденды по годам'!U758&lt;&gt;0),'Дивиденды по годам'!N758/'Дивиденды по годам'!U758-1,""),"")</f>
        <v/>
      </c>
      <c r="S758" t="str">
        <f>IFERROR(IF(AND('Дивиденды по годам'!L758&lt;&gt;"",'Дивиденды по годам'!I758&lt;&gt;"",'Дивиденды по годам'!J758&lt;&gt;"",'Дивиденды по годам'!K758&lt;&gt;"",('Дивиденды по годам'!I758-'Дивиденды по годам'!J758-'Дивиденды по годам'!K758)&lt;&gt;0),'Дивиденды по годам'!L758/('Дивиденды по годам'!I758-'Дивиденды по годам'!J758-'Дивиденды по годам'!K758),""),"")</f>
        <v/>
      </c>
      <c r="T758" t="str">
        <f>IFERROR(IF(AND('Дивиденды по годам'!Q758&lt;&gt;"",'Дивиденды по годам'!I758&lt;&gt;"",'Дивиденды по годам'!V758&lt;&gt;"",('Дивиденды по годам'!I758+'Дивиденды по годам'!V758)&lt;&gt;0),'Дивиденды по годам'!Q758/(('Дивиденды по годам'!I758+'Дивиденды по годам'!V758)/2),""),"")</f>
        <v/>
      </c>
      <c r="U758" t="str">
        <f>IFERROR(IF(AND('Дивиденды по годам'!J758&lt;&gt;"",'Дивиденды по годам'!K758&lt;&gt;"",'Дивиденды по годам'!M758&lt;&gt;"",'Дивиденды по годам'!M758&lt;&gt;0),('Дивиденды по годам'!J758+'Дивиденды по годам'!K758)/'Дивиденды по годам'!M758,""),"")</f>
        <v/>
      </c>
      <c r="V758" cm="1">
        <f t="array" ref="V758">IFERROR(AVERAGE(_xlfn._xlws.FILTER(P$2:P$1073,($C$2:$C$1073=$C758)*($E$2:$E$1073=$E758)*(ROW(P$2:P$1073)&lt;&gt;ROW(P758))*(P$2:P$1073&lt;&gt;""))),"")</f>
        <v>22.898661389674704</v>
      </c>
      <c r="W758" cm="1">
        <f t="array" ref="W758">IFERROR(AVERAGE(_xlfn._xlws.FILTER(Q$2:Q$1073,($C$2:$C$1073=$C758)*($E$2:$E$1073=$E758)*(ROW(Q$2:Q$1073)&lt;&gt;ROW(Q758))*(Q$2:Q$1073&lt;&gt;""))),"")</f>
        <v>3.9787618039471354E-2</v>
      </c>
      <c r="X758" cm="1">
        <f t="array" ref="X758">IFERROR(AVERAGE(_xlfn._xlws.FILTER(R$2:R$1073,($C$2:$C$1073=$C758)*($E$2:$E$1073=$E758)*(ROW(R$2:R$1073)&lt;&gt;ROW(R758))*(R$2:R$1073&lt;&gt;""))),"")</f>
        <v>0.11948949117953805</v>
      </c>
      <c r="Y758" cm="1">
        <f t="array" ref="Y758">IFERROR(AVERAGE(_xlfn._xlws.FILTER(S$2:S$1073,($C$2:$C$1073=$C758)*($E$2:$E$1073=$E758)*(ROW(S$2:S$1073)&lt;&gt;ROW(S758))*(S$2:S$1073&lt;&gt;""))),"")</f>
        <v>0.6223989622093683</v>
      </c>
      <c r="Z758" cm="1">
        <f t="array" ref="Z758">IFERROR(AVERAGE(_xlfn._xlws.FILTER(T$2:T$1073,($C$2:$C$1073=$C758)*($E$2:$E$1073=$E758)*(ROW(T$2:T$1073)&lt;&gt;ROW(T758))*(T$2:T$1073&lt;&gt;""))),"")</f>
        <v>0.13483969312290014</v>
      </c>
      <c r="AA758" cm="1">
        <f t="array" ref="AA758">IFERROR(AVERAGE(_xlfn._xlws.FILTER(U$2:U$1073,($C$2:$C$1073=$C758)*($E$2:$E$1073=$E758)*(ROW(U$2:U$1073)&lt;&gt;ROW(U758))*(U$2:U$1073&lt;&gt;""))),"")</f>
        <v>12.032255744832293</v>
      </c>
    </row>
    <row r="759" spans="1:27" x14ac:dyDescent="0.2">
      <c r="A759" s="7" t="s">
        <v>2273</v>
      </c>
      <c r="B759" t="str">
        <f t="shared" si="123"/>
        <v>BAZA IV кв. 2020</v>
      </c>
      <c r="C759">
        <v>2020</v>
      </c>
      <c r="D759">
        <f>SUMIFS(Дивиденды!$C:$C,Дивиденды!$A:$A,A759,Дивиденды!$I:$I,C759)</f>
        <v>0</v>
      </c>
      <c r="E759">
        <v>5</v>
      </c>
      <c r="F759">
        <f t="shared" si="124"/>
        <v>0</v>
      </c>
      <c r="G759">
        <f t="shared" si="125"/>
        <v>0</v>
      </c>
      <c r="H759">
        <f t="shared" si="126"/>
        <v>0</v>
      </c>
      <c r="I759">
        <f t="shared" si="133"/>
        <v>0</v>
      </c>
      <c r="J759">
        <f t="shared" si="127"/>
        <v>0</v>
      </c>
      <c r="K759">
        <f t="shared" si="131"/>
        <v>0</v>
      </c>
      <c r="L759">
        <f t="shared" si="128"/>
        <v>0</v>
      </c>
      <c r="M759">
        <f t="shared" si="132"/>
        <v>0</v>
      </c>
      <c r="N759">
        <f t="shared" si="129"/>
        <v>0</v>
      </c>
      <c r="O759">
        <f t="shared" si="130"/>
        <v>0</v>
      </c>
      <c r="P759" t="str">
        <f>IFERROR(LN('Дивиденды по годам'!I759),"")</f>
        <v/>
      </c>
      <c r="Q759" t="str">
        <f>IFERROR('Дивиденды по годам'!G759/'Дивиденды по годам'!I759, "")</f>
        <v/>
      </c>
      <c r="R759" t="str">
        <f>IFERROR(IF(AND('Дивиденды по годам'!N759&lt;&gt;"",'Дивиденды по годам'!U759&lt;&gt;"",'Дивиденды по годам'!U759&lt;&gt;0),'Дивиденды по годам'!N759/'Дивиденды по годам'!U759-1,""),"")</f>
        <v/>
      </c>
      <c r="S759" t="str">
        <f>IFERROR(IF(AND('Дивиденды по годам'!L759&lt;&gt;"",'Дивиденды по годам'!I759&lt;&gt;"",'Дивиденды по годам'!J759&lt;&gt;"",'Дивиденды по годам'!K759&lt;&gt;"",('Дивиденды по годам'!I759-'Дивиденды по годам'!J759-'Дивиденды по годам'!K759)&lt;&gt;0),'Дивиденды по годам'!L759/('Дивиденды по годам'!I759-'Дивиденды по годам'!J759-'Дивиденды по годам'!K759),""),"")</f>
        <v/>
      </c>
      <c r="T759" t="str">
        <f>IFERROR(IF(AND('Дивиденды по годам'!Q759&lt;&gt;"",'Дивиденды по годам'!I759&lt;&gt;"",'Дивиденды по годам'!V759&lt;&gt;"",('Дивиденды по годам'!I759+'Дивиденды по годам'!V759)&lt;&gt;0),'Дивиденды по годам'!Q759/(('Дивиденды по годам'!I759+'Дивиденды по годам'!V759)/2),""),"")</f>
        <v/>
      </c>
      <c r="U759" t="str">
        <f>IFERROR(IF(AND('Дивиденды по годам'!J759&lt;&gt;"",'Дивиденды по годам'!K759&lt;&gt;"",'Дивиденды по годам'!M759&lt;&gt;"",'Дивиденды по годам'!M759&lt;&gt;0),('Дивиденды по годам'!J759+'Дивиденды по годам'!K759)/'Дивиденды по годам'!M759,""),"")</f>
        <v/>
      </c>
      <c r="V759" cm="1">
        <f t="array" ref="V759">IFERROR(AVERAGE(_xlfn._xlws.FILTER(P$2:P$1073,($C$2:$C$1073=$C759)*($E$2:$E$1073=$E759)*(ROW(P$2:P$1073)&lt;&gt;ROW(P759))*(P$2:P$1073&lt;&gt;""))),"")</f>
        <v>23.399390394292269</v>
      </c>
      <c r="W759" cm="1">
        <f t="array" ref="W759">IFERROR(AVERAGE(_xlfn._xlws.FILTER(Q$2:Q$1073,($C$2:$C$1073=$C759)*($E$2:$E$1073=$E759)*(ROW(Q$2:Q$1073)&lt;&gt;ROW(Q759))*(Q$2:Q$1073&lt;&gt;""))),"")</f>
        <v>3.3954846784790244E-2</v>
      </c>
      <c r="X759" cm="1">
        <f t="array" ref="X759">IFERROR(AVERAGE(_xlfn._xlws.FILTER(R$2:R$1073,($C$2:$C$1073=$C759)*($E$2:$E$1073=$E759)*(ROW(R$2:R$1073)&lt;&gt;ROW(R759))*(R$2:R$1073&lt;&gt;""))),"")</f>
        <v>0.60261811450317082</v>
      </c>
      <c r="Y759" cm="1">
        <f t="array" ref="Y759">IFERROR(AVERAGE(_xlfn._xlws.FILTER(S$2:S$1073,($C$2:$C$1073=$C759)*($E$2:$E$1073=$E759)*(ROW(S$2:S$1073)&lt;&gt;ROW(S759))*(S$2:S$1073&lt;&gt;""))),"")</f>
        <v>0.8757408540128081</v>
      </c>
      <c r="Z759" cm="1">
        <f t="array" ref="Z759">IFERROR(AVERAGE(_xlfn._xlws.FILTER(T$2:T$1073,($C$2:$C$1073=$C759)*($E$2:$E$1073=$E759)*(ROW(T$2:T$1073)&lt;&gt;ROW(T759))*(T$2:T$1073&lt;&gt;""))),"")</f>
        <v>0.26070423168654877</v>
      </c>
      <c r="AA759" cm="1">
        <f t="array" ref="AA759">IFERROR(AVERAGE(_xlfn._xlws.FILTER(U$2:U$1073,($C$2:$C$1073=$C759)*($E$2:$E$1073=$E759)*(ROW(U$2:U$1073)&lt;&gt;ROW(U759))*(U$2:U$1073&lt;&gt;""))),"")</f>
        <v>3.9797585422227604</v>
      </c>
    </row>
    <row r="760" spans="1:27" x14ac:dyDescent="0.2">
      <c r="A760" s="7" t="s">
        <v>2273</v>
      </c>
      <c r="B760" t="str">
        <f t="shared" si="123"/>
        <v>BAZA IV кв. 2019</v>
      </c>
      <c r="C760">
        <v>2019</v>
      </c>
      <c r="D760">
        <f>SUMIFS(Дивиденды!$C:$C,Дивиденды!$A:$A,A760,Дивиденды!$I:$I,C760)</f>
        <v>0</v>
      </c>
      <c r="E760">
        <v>5</v>
      </c>
      <c r="F760">
        <f t="shared" si="124"/>
        <v>0</v>
      </c>
      <c r="G760">
        <f t="shared" si="125"/>
        <v>0</v>
      </c>
      <c r="H760">
        <f t="shared" si="126"/>
        <v>0</v>
      </c>
      <c r="I760">
        <f t="shared" si="133"/>
        <v>0</v>
      </c>
      <c r="J760">
        <f t="shared" si="127"/>
        <v>0</v>
      </c>
      <c r="K760">
        <f t="shared" si="131"/>
        <v>0</v>
      </c>
      <c r="L760">
        <f t="shared" si="128"/>
        <v>0</v>
      </c>
      <c r="M760">
        <f t="shared" si="132"/>
        <v>0</v>
      </c>
      <c r="N760">
        <f t="shared" si="129"/>
        <v>0</v>
      </c>
      <c r="O760">
        <f t="shared" si="130"/>
        <v>0</v>
      </c>
      <c r="P760" t="str">
        <f>IFERROR(LN('Дивиденды по годам'!I760),"")</f>
        <v/>
      </c>
      <c r="Q760" t="str">
        <f>IFERROR('Дивиденды по годам'!G760/'Дивиденды по годам'!I760, "")</f>
        <v/>
      </c>
      <c r="R760" t="str">
        <f>IFERROR(IF(AND('Дивиденды по годам'!N760&lt;&gt;"",'Дивиденды по годам'!U760&lt;&gt;"",'Дивиденды по годам'!U760&lt;&gt;0),'Дивиденды по годам'!N760/'Дивиденды по годам'!U760-1,""),"")</f>
        <v/>
      </c>
      <c r="S760" t="str">
        <f>IFERROR(IF(AND('Дивиденды по годам'!L760&lt;&gt;"",'Дивиденды по годам'!I760&lt;&gt;"",'Дивиденды по годам'!J760&lt;&gt;"",'Дивиденды по годам'!K760&lt;&gt;"",('Дивиденды по годам'!I760-'Дивиденды по годам'!J760-'Дивиденды по годам'!K760)&lt;&gt;0),'Дивиденды по годам'!L760/('Дивиденды по годам'!I760-'Дивиденды по годам'!J760-'Дивиденды по годам'!K760),""),"")</f>
        <v/>
      </c>
      <c r="T760" t="str">
        <f>IFERROR(IF(AND('Дивиденды по годам'!Q760&lt;&gt;"",'Дивиденды по годам'!I760&lt;&gt;"",'Дивиденды по годам'!V760&lt;&gt;"",('Дивиденды по годам'!I760+'Дивиденды по годам'!V760)&lt;&gt;0),'Дивиденды по годам'!Q760/(('Дивиденды по годам'!I760+'Дивиденды по годам'!V760)/2),""),"")</f>
        <v/>
      </c>
      <c r="U760" t="str">
        <f>IFERROR(IF(AND('Дивиденды по годам'!J760&lt;&gt;"",'Дивиденды по годам'!K760&lt;&gt;"",'Дивиденды по годам'!M760&lt;&gt;"",'Дивиденды по годам'!M760&lt;&gt;0),('Дивиденды по годам'!J760+'Дивиденды по годам'!K760)/'Дивиденды по годам'!M760,""),"")</f>
        <v/>
      </c>
      <c r="V760" cm="1">
        <f t="array" ref="V760">IFERROR(AVERAGE(_xlfn._xlws.FILTER(P$2:P$1073,($C$2:$C$1073=$C760)*($E$2:$E$1073=$E760)*(ROW(P$2:P$1073)&lt;&gt;ROW(P760))*(P$2:P$1073&lt;&gt;""))),"")</f>
        <v>22.346825762693463</v>
      </c>
      <c r="W760" cm="1">
        <f t="array" ref="W760">IFERROR(AVERAGE(_xlfn._xlws.FILTER(Q$2:Q$1073,($C$2:$C$1073=$C760)*($E$2:$E$1073=$E760)*(ROW(Q$2:Q$1073)&lt;&gt;ROW(Q760))*(Q$2:Q$1073&lt;&gt;""))),"")</f>
        <v>7.5056136613850494E-2</v>
      </c>
      <c r="X760" cm="1">
        <f t="array" ref="X760">IFERROR(AVERAGE(_xlfn._xlws.FILTER(R$2:R$1073,($C$2:$C$1073=$C760)*($E$2:$E$1073=$E760)*(ROW(R$2:R$1073)&lt;&gt;ROW(R760))*(R$2:R$1073&lt;&gt;""))),"")</f>
        <v>0.33893563509351354</v>
      </c>
      <c r="Y760" cm="1">
        <f t="array" ref="Y760">IFERROR(AVERAGE(_xlfn._xlws.FILTER(S$2:S$1073,($C$2:$C$1073=$C760)*($E$2:$E$1073=$E760)*(ROW(S$2:S$1073)&lt;&gt;ROW(S760))*(S$2:S$1073&lt;&gt;""))),"")</f>
        <v>0.96665544321096464</v>
      </c>
      <c r="Z760" cm="1">
        <f t="array" ref="Z760">IFERROR(AVERAGE(_xlfn._xlws.FILTER(T$2:T$1073,($C$2:$C$1073=$C760)*($E$2:$E$1073=$E760)*(ROW(T$2:T$1073)&lt;&gt;ROW(T760))*(T$2:T$1073&lt;&gt;""))),"")</f>
        <v>3.4488878181792075E-2</v>
      </c>
      <c r="AA760" cm="1">
        <f t="array" ref="AA760">IFERROR(AVERAGE(_xlfn._xlws.FILTER(U$2:U$1073,($C$2:$C$1073=$C760)*($E$2:$E$1073=$E760)*(ROW(U$2:U$1073)&lt;&gt;ROW(U760))*(U$2:U$1073&lt;&gt;""))),"")</f>
        <v>4.0219461472187286</v>
      </c>
    </row>
    <row r="761" spans="1:27" x14ac:dyDescent="0.2">
      <c r="A761" s="7" t="s">
        <v>2273</v>
      </c>
      <c r="B761" t="str">
        <f t="shared" si="123"/>
        <v>BAZA IV кв. 2018</v>
      </c>
      <c r="C761">
        <v>2018</v>
      </c>
      <c r="D761">
        <f>SUMIFS(Дивиденды!$C:$C,Дивиденды!$A:$A,A761,Дивиденды!$I:$I,C761)</f>
        <v>0</v>
      </c>
      <c r="E761">
        <v>5</v>
      </c>
      <c r="F761">
        <f t="shared" si="124"/>
        <v>0</v>
      </c>
      <c r="G761">
        <f t="shared" si="125"/>
        <v>0</v>
      </c>
      <c r="H761">
        <f t="shared" si="126"/>
        <v>0</v>
      </c>
      <c r="I761">
        <f t="shared" si="133"/>
        <v>0</v>
      </c>
      <c r="J761">
        <f t="shared" si="127"/>
        <v>0</v>
      </c>
      <c r="K761">
        <f t="shared" si="131"/>
        <v>0</v>
      </c>
      <c r="L761">
        <f t="shared" si="128"/>
        <v>0</v>
      </c>
      <c r="M761">
        <f t="shared" si="132"/>
        <v>0</v>
      </c>
      <c r="N761">
        <f t="shared" si="129"/>
        <v>0</v>
      </c>
      <c r="O761">
        <f t="shared" si="130"/>
        <v>0</v>
      </c>
      <c r="P761" t="str">
        <f>IFERROR(LN('Дивиденды по годам'!I761),"")</f>
        <v/>
      </c>
      <c r="Q761" t="str">
        <f>IFERROR('Дивиденды по годам'!G761/'Дивиденды по годам'!I761, "")</f>
        <v/>
      </c>
      <c r="R761" t="str">
        <f>IFERROR(IF(AND('Дивиденды по годам'!N761&lt;&gt;"",'Дивиденды по годам'!U761&lt;&gt;"",'Дивиденды по годам'!U761&lt;&gt;0),'Дивиденды по годам'!N761/'Дивиденды по годам'!U761-1,""),"")</f>
        <v/>
      </c>
      <c r="S761" t="str">
        <f>IFERROR(IF(AND('Дивиденды по годам'!L761&lt;&gt;"",'Дивиденды по годам'!I761&lt;&gt;"",'Дивиденды по годам'!J761&lt;&gt;"",'Дивиденды по годам'!K761&lt;&gt;"",('Дивиденды по годам'!I761-'Дивиденды по годам'!J761-'Дивиденды по годам'!K761)&lt;&gt;0),'Дивиденды по годам'!L761/('Дивиденды по годам'!I761-'Дивиденды по годам'!J761-'Дивиденды по годам'!K761),""),"")</f>
        <v/>
      </c>
      <c r="T761" t="str">
        <f>IFERROR(IF(AND('Дивиденды по годам'!Q761&lt;&gt;"",'Дивиденды по годам'!I761&lt;&gt;"",'Дивиденды по годам'!V761&lt;&gt;"",('Дивиденды по годам'!I761+'Дивиденды по годам'!V761)&lt;&gt;0),'Дивиденды по годам'!Q761/(('Дивиденды по годам'!I761+'Дивиденды по годам'!V761)/2),""),"")</f>
        <v/>
      </c>
      <c r="U761" t="str">
        <f>IFERROR(IF(AND('Дивиденды по годам'!J761&lt;&gt;"",'Дивиденды по годам'!K761&lt;&gt;"",'Дивиденды по годам'!M761&lt;&gt;"",'Дивиденды по годам'!M761&lt;&gt;0),('Дивиденды по годам'!J761+'Дивиденды по годам'!K761)/'Дивиденды по годам'!M761,""),"")</f>
        <v/>
      </c>
      <c r="V761" cm="1">
        <f t="array" ref="V761">IFERROR(AVERAGE(_xlfn._xlws.FILTER(P$2:P$1073,($C$2:$C$1073=$C761)*($E$2:$E$1073=$E761)*(ROW(P$2:P$1073)&lt;&gt;ROW(P761))*(P$2:P$1073&lt;&gt;""))),"")</f>
        <v>22.172578892977874</v>
      </c>
      <c r="W761" cm="1">
        <f t="array" ref="W761">IFERROR(AVERAGE(_xlfn._xlws.FILTER(Q$2:Q$1073,($C$2:$C$1073=$C761)*($E$2:$E$1073=$E761)*(ROW(Q$2:Q$1073)&lt;&gt;ROW(Q761))*(Q$2:Q$1073&lt;&gt;""))),"")</f>
        <v>8.054458642308425E-2</v>
      </c>
      <c r="X761" t="str" cm="1">
        <f t="array" ref="X761">IFERROR(AVERAGE(_xlfn._xlws.FILTER(R$2:R$1073,($C$2:$C$1073=$C761)*($E$2:$E$1073=$E761)*(ROW(R$2:R$1073)&lt;&gt;ROW(R761))*(R$2:R$1073&lt;&gt;""))),"")</f>
        <v/>
      </c>
      <c r="Y761" cm="1">
        <f t="array" ref="Y761">IFERROR(AVERAGE(_xlfn._xlws.FILTER(S$2:S$1073,($C$2:$C$1073=$C761)*($E$2:$E$1073=$E761)*(ROW(S$2:S$1073)&lt;&gt;ROW(S761))*(S$2:S$1073&lt;&gt;""))),"")</f>
        <v>0.96159636867391751</v>
      </c>
      <c r="Z761" t="str" cm="1">
        <f t="array" ref="Z761">IFERROR(AVERAGE(_xlfn._xlws.FILTER(T$2:T$1073,($C$2:$C$1073=$C761)*($E$2:$E$1073=$E761)*(ROW(T$2:T$1073)&lt;&gt;ROW(T761))*(T$2:T$1073&lt;&gt;""))),"")</f>
        <v/>
      </c>
      <c r="AA761" cm="1">
        <f t="array" ref="AA761">IFERROR(AVERAGE(_xlfn._xlws.FILTER(U$2:U$1073,($C$2:$C$1073=$C761)*($E$2:$E$1073=$E761)*(ROW(U$2:U$1073)&lt;&gt;ROW(U761))*(U$2:U$1073&lt;&gt;""))),"")</f>
        <v>4.0227688861378841</v>
      </c>
    </row>
    <row r="762" spans="1:27" x14ac:dyDescent="0.2">
      <c r="A762" s="7" t="s">
        <v>2273</v>
      </c>
      <c r="B762" t="str">
        <f t="shared" si="123"/>
        <v>BAZA IV кв. 2017</v>
      </c>
      <c r="C762">
        <v>2017</v>
      </c>
      <c r="D762">
        <f>SUMIFS(Дивиденды!$C:$C,Дивиденды!$A:$A,A762,Дивиденды!$I:$I,C762)</f>
        <v>0</v>
      </c>
      <c r="E762">
        <v>5</v>
      </c>
      <c r="F762">
        <f t="shared" si="124"/>
        <v>0</v>
      </c>
      <c r="G762">
        <f t="shared" si="125"/>
        <v>0</v>
      </c>
      <c r="H762">
        <f t="shared" si="126"/>
        <v>0</v>
      </c>
      <c r="I762">
        <f t="shared" si="133"/>
        <v>0</v>
      </c>
      <c r="J762">
        <f t="shared" si="127"/>
        <v>0</v>
      </c>
      <c r="K762">
        <f t="shared" si="131"/>
        <v>0</v>
      </c>
      <c r="L762">
        <f t="shared" si="128"/>
        <v>0</v>
      </c>
      <c r="M762">
        <f t="shared" si="132"/>
        <v>0</v>
      </c>
      <c r="N762">
        <f t="shared" si="129"/>
        <v>0</v>
      </c>
      <c r="O762">
        <f t="shared" si="130"/>
        <v>0</v>
      </c>
      <c r="P762" t="str">
        <f>IFERROR(LN('Дивиденды по годам'!I762),"")</f>
        <v/>
      </c>
      <c r="Q762" t="str">
        <f>IFERROR('Дивиденды по годам'!G762/'Дивиденды по годам'!I762, "")</f>
        <v/>
      </c>
      <c r="R762" t="str">
        <f>IFERROR(IF(AND('Дивиденды по годам'!N762&lt;&gt;"",'Дивиденды по годам'!U762&lt;&gt;"",'Дивиденды по годам'!U762&lt;&gt;0),'Дивиденды по годам'!N762/'Дивиденды по годам'!U762-1,""),"")</f>
        <v/>
      </c>
      <c r="S762" t="str">
        <f>IFERROR(IF(AND('Дивиденды по годам'!L762&lt;&gt;"",'Дивиденды по годам'!I762&lt;&gt;"",'Дивиденды по годам'!J762&lt;&gt;"",'Дивиденды по годам'!K762&lt;&gt;"",('Дивиденды по годам'!I762-'Дивиденды по годам'!J762-'Дивиденды по годам'!K762)&lt;&gt;0),'Дивиденды по годам'!L762/('Дивиденды по годам'!I762-'Дивиденды по годам'!J762-'Дивиденды по годам'!K762),""),"")</f>
        <v/>
      </c>
      <c r="T762" t="str">
        <f>IFERROR(IF(AND('Дивиденды по годам'!Q762&lt;&gt;"",'Дивиденды по годам'!I762&lt;&gt;"",'Дивиденды по годам'!V762&lt;&gt;"",('Дивиденды по годам'!I762+'Дивиденды по годам'!V762)&lt;&gt;0),'Дивиденды по годам'!Q762/(('Дивиденды по годам'!I762+'Дивиденды по годам'!V762)/2),""),"")</f>
        <v/>
      </c>
      <c r="U762" t="str">
        <f>IFERROR(IF(AND('Дивиденды по годам'!J762&lt;&gt;"",'Дивиденды по годам'!K762&lt;&gt;"",'Дивиденды по годам'!M762&lt;&gt;"",'Дивиденды по годам'!M762&lt;&gt;0),('Дивиденды по годам'!J762+'Дивиденды по годам'!K762)/'Дивиденды по годам'!M762,""),"")</f>
        <v/>
      </c>
      <c r="V762" t="str" cm="1">
        <f t="array" ref="V762">IFERROR(AVERAGE(_xlfn._xlws.FILTER(P$2:P$1073,($C$2:$C$1073=$C762)*($E$2:$E$1073=$E762)*(ROW(P$2:P$1073)&lt;&gt;ROW(P762))*(P$2:P$1073&lt;&gt;""))),"")</f>
        <v/>
      </c>
      <c r="W762" t="str" cm="1">
        <f t="array" ref="W762">IFERROR(AVERAGE(_xlfn._xlws.FILTER(Q$2:Q$1073,($C$2:$C$1073=$C762)*($E$2:$E$1073=$E762)*(ROW(Q$2:Q$1073)&lt;&gt;ROW(Q762))*(Q$2:Q$1073&lt;&gt;""))),"")</f>
        <v/>
      </c>
      <c r="X762" t="str" cm="1">
        <f t="array" ref="X762">IFERROR(AVERAGE(_xlfn._xlws.FILTER(R$2:R$1073,($C$2:$C$1073=$C762)*($E$2:$E$1073=$E762)*(ROW(R$2:R$1073)&lt;&gt;ROW(R762))*(R$2:R$1073&lt;&gt;""))),"")</f>
        <v/>
      </c>
      <c r="Y762" t="str" cm="1">
        <f t="array" ref="Y762">IFERROR(AVERAGE(_xlfn._xlws.FILTER(S$2:S$1073,($C$2:$C$1073=$C762)*($E$2:$E$1073=$E762)*(ROW(S$2:S$1073)&lt;&gt;ROW(S762))*(S$2:S$1073&lt;&gt;""))),"")</f>
        <v/>
      </c>
      <c r="Z762" t="str" cm="1">
        <f t="array" ref="Z762">IFERROR(AVERAGE(_xlfn._xlws.FILTER(T$2:T$1073,($C$2:$C$1073=$C762)*($E$2:$E$1073=$E762)*(ROW(T$2:T$1073)&lt;&gt;ROW(T762))*(T$2:T$1073&lt;&gt;""))),"")</f>
        <v/>
      </c>
      <c r="AA762" t="str" cm="1">
        <f t="array" ref="AA762">IFERROR(AVERAGE(_xlfn._xlws.FILTER(U$2:U$1073,($C$2:$C$1073=$C762)*($E$2:$E$1073=$E762)*(ROW(U$2:U$1073)&lt;&gt;ROW(U762))*(U$2:U$1073&lt;&gt;""))),"")</f>
        <v/>
      </c>
    </row>
    <row r="763" spans="1:27" x14ac:dyDescent="0.2">
      <c r="A763" s="7" t="s">
        <v>2273</v>
      </c>
      <c r="B763" t="str">
        <f t="shared" si="123"/>
        <v>BAZA IV кв. 2016</v>
      </c>
      <c r="C763">
        <v>2016</v>
      </c>
      <c r="D763">
        <f>SUMIFS(Дивиденды!$C:$C,Дивиденды!$A:$A,A763,Дивиденды!$I:$I,C763)</f>
        <v>0</v>
      </c>
      <c r="E763">
        <v>5</v>
      </c>
      <c r="F763">
        <f t="shared" si="124"/>
        <v>0</v>
      </c>
      <c r="G763">
        <f t="shared" si="125"/>
        <v>0</v>
      </c>
      <c r="H763">
        <f t="shared" si="126"/>
        <v>0</v>
      </c>
      <c r="I763">
        <f t="shared" si="133"/>
        <v>0</v>
      </c>
      <c r="J763">
        <f t="shared" si="127"/>
        <v>0</v>
      </c>
      <c r="K763">
        <f t="shared" si="131"/>
        <v>0</v>
      </c>
      <c r="L763">
        <f t="shared" si="128"/>
        <v>0</v>
      </c>
      <c r="M763">
        <f t="shared" si="132"/>
        <v>0</v>
      </c>
      <c r="N763">
        <f t="shared" si="129"/>
        <v>0</v>
      </c>
      <c r="O763">
        <f t="shared" si="130"/>
        <v>0</v>
      </c>
      <c r="P763" t="str">
        <f>IFERROR(LN('Дивиденды по годам'!I763),"")</f>
        <v/>
      </c>
      <c r="Q763" t="str">
        <f>IFERROR('Дивиденды по годам'!G763/'Дивиденды по годам'!I763, "")</f>
        <v/>
      </c>
      <c r="R763" t="str">
        <f>IFERROR(IF(AND('Дивиденды по годам'!N763&lt;&gt;"",'Дивиденды по годам'!U763&lt;&gt;"",'Дивиденды по годам'!U763&lt;&gt;0),'Дивиденды по годам'!N763/'Дивиденды по годам'!U763-1,""),"")</f>
        <v/>
      </c>
      <c r="S763" t="str">
        <f>IFERROR(IF(AND('Дивиденды по годам'!L763&lt;&gt;"",'Дивиденды по годам'!I763&lt;&gt;"",'Дивиденды по годам'!J763&lt;&gt;"",'Дивиденды по годам'!K763&lt;&gt;"",('Дивиденды по годам'!I763-'Дивиденды по годам'!J763-'Дивиденды по годам'!K763)&lt;&gt;0),'Дивиденды по годам'!L763/('Дивиденды по годам'!I763-'Дивиденды по годам'!J763-'Дивиденды по годам'!K763),""),"")</f>
        <v/>
      </c>
      <c r="T763" t="str">
        <f>IFERROR(IF(AND('Дивиденды по годам'!Q763&lt;&gt;"",'Дивиденды по годам'!I763&lt;&gt;"",'Дивиденды по годам'!V763&lt;&gt;"",('Дивиденды по годам'!I763+'Дивиденды по годам'!V763)&lt;&gt;0),'Дивиденды по годам'!Q763/(('Дивиденды по годам'!I763+'Дивиденды по годам'!V763)/2),""),"")</f>
        <v/>
      </c>
      <c r="U763" t="str">
        <f>IFERROR(IF(AND('Дивиденды по годам'!J763&lt;&gt;"",'Дивиденды по годам'!K763&lt;&gt;"",'Дивиденды по годам'!M763&lt;&gt;"",'Дивиденды по годам'!M763&lt;&gt;0),('Дивиденды по годам'!J763+'Дивиденды по годам'!K763)/'Дивиденды по годам'!M763,""),"")</f>
        <v/>
      </c>
      <c r="V763" t="str" cm="1">
        <f t="array" ref="V763">IFERROR(AVERAGE(_xlfn._xlws.FILTER(P$2:P$1073,($C$2:$C$1073=$C763)*($E$2:$E$1073=$E763)*(ROW(P$2:P$1073)&lt;&gt;ROW(P763))*(P$2:P$1073&lt;&gt;""))),"")</f>
        <v/>
      </c>
      <c r="W763" t="str" cm="1">
        <f t="array" ref="W763">IFERROR(AVERAGE(_xlfn._xlws.FILTER(Q$2:Q$1073,($C$2:$C$1073=$C763)*($E$2:$E$1073=$E763)*(ROW(Q$2:Q$1073)&lt;&gt;ROW(Q763))*(Q$2:Q$1073&lt;&gt;""))),"")</f>
        <v/>
      </c>
      <c r="X763" t="str" cm="1">
        <f t="array" ref="X763">IFERROR(AVERAGE(_xlfn._xlws.FILTER(R$2:R$1073,($C$2:$C$1073=$C763)*($E$2:$E$1073=$E763)*(ROW(R$2:R$1073)&lt;&gt;ROW(R763))*(R$2:R$1073&lt;&gt;""))),"")</f>
        <v/>
      </c>
      <c r="Y763" t="str" cm="1">
        <f t="array" ref="Y763">IFERROR(AVERAGE(_xlfn._xlws.FILTER(S$2:S$1073,($C$2:$C$1073=$C763)*($E$2:$E$1073=$E763)*(ROW(S$2:S$1073)&lt;&gt;ROW(S763))*(S$2:S$1073&lt;&gt;""))),"")</f>
        <v/>
      </c>
      <c r="Z763" t="str" cm="1">
        <f t="array" ref="Z763">IFERROR(AVERAGE(_xlfn._xlws.FILTER(T$2:T$1073,($C$2:$C$1073=$C763)*($E$2:$E$1073=$E763)*(ROW(T$2:T$1073)&lt;&gt;ROW(T763))*(T$2:T$1073&lt;&gt;""))),"")</f>
        <v/>
      </c>
      <c r="AA763" t="str" cm="1">
        <f t="array" ref="AA763">IFERROR(AVERAGE(_xlfn._xlws.FILTER(U$2:U$1073,($C$2:$C$1073=$C763)*($E$2:$E$1073=$E763)*(ROW(U$2:U$1073)&lt;&gt;ROW(U763))*(U$2:U$1073&lt;&gt;""))),"")</f>
        <v/>
      </c>
    </row>
    <row r="764" spans="1:27" x14ac:dyDescent="0.2">
      <c r="A764" s="7" t="s">
        <v>2273</v>
      </c>
      <c r="B764" t="str">
        <f t="shared" si="123"/>
        <v>BAZA IV кв. 2015</v>
      </c>
      <c r="C764">
        <v>2015</v>
      </c>
      <c r="D764">
        <f>SUMIFS(Дивиденды!$C:$C,Дивиденды!$A:$A,A764,Дивиденды!$I:$I,C764)</f>
        <v>0</v>
      </c>
      <c r="E764">
        <v>5</v>
      </c>
      <c r="F764">
        <f t="shared" si="124"/>
        <v>0</v>
      </c>
      <c r="G764">
        <f t="shared" si="125"/>
        <v>0</v>
      </c>
      <c r="H764">
        <f t="shared" si="126"/>
        <v>0</v>
      </c>
      <c r="I764">
        <f t="shared" si="133"/>
        <v>0</v>
      </c>
      <c r="J764">
        <f t="shared" si="127"/>
        <v>0</v>
      </c>
      <c r="K764">
        <f t="shared" si="131"/>
        <v>0</v>
      </c>
      <c r="L764">
        <f t="shared" si="128"/>
        <v>0</v>
      </c>
      <c r="M764">
        <f t="shared" si="132"/>
        <v>0</v>
      </c>
      <c r="N764">
        <f t="shared" si="129"/>
        <v>0</v>
      </c>
      <c r="O764">
        <f t="shared" si="130"/>
        <v>0</v>
      </c>
      <c r="P764" t="str">
        <f>IFERROR(LN('Дивиденды по годам'!I764),"")</f>
        <v/>
      </c>
      <c r="Q764" t="str">
        <f>IFERROR('Дивиденды по годам'!G764/'Дивиденды по годам'!I764, "")</f>
        <v/>
      </c>
      <c r="R764" t="str">
        <f>IFERROR(IF(AND('Дивиденды по годам'!N764&lt;&gt;"",'Дивиденды по годам'!U764&lt;&gt;"",'Дивиденды по годам'!U764&lt;&gt;0),'Дивиденды по годам'!N764/'Дивиденды по годам'!U764-1,""),"")</f>
        <v/>
      </c>
      <c r="S764" t="str">
        <f>IFERROR(IF(AND('Дивиденды по годам'!L764&lt;&gt;"",'Дивиденды по годам'!I764&lt;&gt;"",'Дивиденды по годам'!J764&lt;&gt;"",'Дивиденды по годам'!K764&lt;&gt;"",('Дивиденды по годам'!I764-'Дивиденды по годам'!J764-'Дивиденды по годам'!K764)&lt;&gt;0),'Дивиденды по годам'!L764/('Дивиденды по годам'!I764-'Дивиденды по годам'!J764-'Дивиденды по годам'!K764),""),"")</f>
        <v/>
      </c>
      <c r="T764" t="str">
        <f>IFERROR(IF(AND('Дивиденды по годам'!Q764&lt;&gt;"",'Дивиденды по годам'!I764&lt;&gt;"",'Дивиденды по годам'!V764&lt;&gt;"",('Дивиденды по годам'!I764+'Дивиденды по годам'!V764)&lt;&gt;0),'Дивиденды по годам'!Q764/(('Дивиденды по годам'!I764+'Дивиденды по годам'!V764)/2),""),"")</f>
        <v/>
      </c>
      <c r="U764" t="str">
        <f>IFERROR(IF(AND('Дивиденды по годам'!J764&lt;&gt;"",'Дивиденды по годам'!K764&lt;&gt;"",'Дивиденды по годам'!M764&lt;&gt;"",'Дивиденды по годам'!M764&lt;&gt;0),('Дивиденды по годам'!J764+'Дивиденды по годам'!K764)/'Дивиденды по годам'!M764,""),"")</f>
        <v/>
      </c>
      <c r="V764" t="str" cm="1">
        <f t="array" ref="V764">IFERROR(AVERAGE(_xlfn._xlws.FILTER(P$2:P$1073,($C$2:$C$1073=$C764)*($E$2:$E$1073=$E764)*(ROW(P$2:P$1073)&lt;&gt;ROW(P764))*(P$2:P$1073&lt;&gt;""))),"")</f>
        <v/>
      </c>
      <c r="W764" t="str" cm="1">
        <f t="array" ref="W764">IFERROR(AVERAGE(_xlfn._xlws.FILTER(Q$2:Q$1073,($C$2:$C$1073=$C764)*($E$2:$E$1073=$E764)*(ROW(Q$2:Q$1073)&lt;&gt;ROW(Q764))*(Q$2:Q$1073&lt;&gt;""))),"")</f>
        <v/>
      </c>
      <c r="X764" t="str" cm="1">
        <f t="array" ref="X764">IFERROR(AVERAGE(_xlfn._xlws.FILTER(R$2:R$1073,($C$2:$C$1073=$C764)*($E$2:$E$1073=$E764)*(ROW(R$2:R$1073)&lt;&gt;ROW(R764))*(R$2:R$1073&lt;&gt;""))),"")</f>
        <v/>
      </c>
      <c r="Y764" t="str" cm="1">
        <f t="array" ref="Y764">IFERROR(AVERAGE(_xlfn._xlws.FILTER(S$2:S$1073,($C$2:$C$1073=$C764)*($E$2:$E$1073=$E764)*(ROW(S$2:S$1073)&lt;&gt;ROW(S764))*(S$2:S$1073&lt;&gt;""))),"")</f>
        <v/>
      </c>
      <c r="Z764" t="str" cm="1">
        <f t="array" ref="Z764">IFERROR(AVERAGE(_xlfn._xlws.FILTER(T$2:T$1073,($C$2:$C$1073=$C764)*($E$2:$E$1073=$E764)*(ROW(T$2:T$1073)&lt;&gt;ROW(T764))*(T$2:T$1073&lt;&gt;""))),"")</f>
        <v/>
      </c>
      <c r="AA764" t="str" cm="1">
        <f t="array" ref="AA764">IFERROR(AVERAGE(_xlfn._xlws.FILTER(U$2:U$1073,($C$2:$C$1073=$C764)*($E$2:$E$1073=$E764)*(ROW(U$2:U$1073)&lt;&gt;ROW(U764))*(U$2:U$1073&lt;&gt;""))),"")</f>
        <v/>
      </c>
    </row>
    <row r="765" spans="1:27" x14ac:dyDescent="0.2">
      <c r="A765" s="7" t="s">
        <v>2273</v>
      </c>
      <c r="B765" t="str">
        <f t="shared" si="123"/>
        <v>BAZA IV кв. 2014</v>
      </c>
      <c r="C765">
        <v>2014</v>
      </c>
      <c r="D765">
        <f>SUMIFS(Дивиденды!$C:$C,Дивиденды!$A:$A,A765,Дивиденды!$I:$I,C765)</f>
        <v>0</v>
      </c>
      <c r="E765">
        <v>5</v>
      </c>
      <c r="F765">
        <f t="shared" si="124"/>
        <v>0</v>
      </c>
      <c r="G765">
        <f t="shared" si="125"/>
        <v>0</v>
      </c>
      <c r="H765">
        <f t="shared" si="126"/>
        <v>0</v>
      </c>
      <c r="I765">
        <f t="shared" si="133"/>
        <v>0</v>
      </c>
      <c r="J765">
        <f t="shared" si="127"/>
        <v>0</v>
      </c>
      <c r="K765">
        <f t="shared" si="131"/>
        <v>0</v>
      </c>
      <c r="L765">
        <f t="shared" si="128"/>
        <v>0</v>
      </c>
      <c r="M765">
        <f t="shared" si="132"/>
        <v>0</v>
      </c>
      <c r="N765">
        <f t="shared" si="129"/>
        <v>0</v>
      </c>
      <c r="O765">
        <f t="shared" si="130"/>
        <v>0</v>
      </c>
      <c r="P765" t="str">
        <f>IFERROR(LN('Дивиденды по годам'!I765),"")</f>
        <v/>
      </c>
      <c r="Q765" t="str">
        <f>IFERROR('Дивиденды по годам'!G765/'Дивиденды по годам'!I765, "")</f>
        <v/>
      </c>
      <c r="R765" t="str">
        <f>IFERROR(IF(AND('Дивиденды по годам'!N765&lt;&gt;"",'Дивиденды по годам'!U765&lt;&gt;"",'Дивиденды по годам'!U765&lt;&gt;0),'Дивиденды по годам'!N765/'Дивиденды по годам'!U765-1,""),"")</f>
        <v/>
      </c>
      <c r="S765" t="str">
        <f>IFERROR(IF(AND('Дивиденды по годам'!L765&lt;&gt;"",'Дивиденды по годам'!I765&lt;&gt;"",'Дивиденды по годам'!J765&lt;&gt;"",'Дивиденды по годам'!K765&lt;&gt;"",('Дивиденды по годам'!I765-'Дивиденды по годам'!J765-'Дивиденды по годам'!K765)&lt;&gt;0),'Дивиденды по годам'!L765/('Дивиденды по годам'!I765-'Дивиденды по годам'!J765-'Дивиденды по годам'!K765),""),"")</f>
        <v/>
      </c>
      <c r="T765" t="str">
        <f>IFERROR(IF(AND('Дивиденды по годам'!Q765&lt;&gt;"",'Дивиденды по годам'!I765&lt;&gt;"",'Дивиденды по годам'!V765&lt;&gt;"",('Дивиденды по годам'!I765+'Дивиденды по годам'!V765)&lt;&gt;0),'Дивиденды по годам'!Q765/(('Дивиденды по годам'!I765+'Дивиденды по годам'!V765)/2),""),"")</f>
        <v/>
      </c>
      <c r="U765" t="str">
        <f>IFERROR(IF(AND('Дивиденды по годам'!J765&lt;&gt;"",'Дивиденды по годам'!K765&lt;&gt;"",'Дивиденды по годам'!M765&lt;&gt;"",'Дивиденды по годам'!M765&lt;&gt;0),('Дивиденды по годам'!J765+'Дивиденды по годам'!K765)/'Дивиденды по годам'!M765,""),"")</f>
        <v/>
      </c>
      <c r="V765" t="str" cm="1">
        <f t="array" ref="V765">IFERROR(AVERAGE(_xlfn._xlws.FILTER(P$2:P$1073,($C$2:$C$1073=$C765)*($E$2:$E$1073=$E765)*(ROW(P$2:P$1073)&lt;&gt;ROW(P765))*(P$2:P$1073&lt;&gt;""))),"")</f>
        <v/>
      </c>
      <c r="W765" t="str" cm="1">
        <f t="array" ref="W765">IFERROR(AVERAGE(_xlfn._xlws.FILTER(Q$2:Q$1073,($C$2:$C$1073=$C765)*($E$2:$E$1073=$E765)*(ROW(Q$2:Q$1073)&lt;&gt;ROW(Q765))*(Q$2:Q$1073&lt;&gt;""))),"")</f>
        <v/>
      </c>
      <c r="X765" t="str" cm="1">
        <f t="array" ref="X765">IFERROR(AVERAGE(_xlfn._xlws.FILTER(R$2:R$1073,($C$2:$C$1073=$C765)*($E$2:$E$1073=$E765)*(ROW(R$2:R$1073)&lt;&gt;ROW(R765))*(R$2:R$1073&lt;&gt;""))),"")</f>
        <v/>
      </c>
      <c r="Y765" t="str" cm="1">
        <f t="array" ref="Y765">IFERROR(AVERAGE(_xlfn._xlws.FILTER(S$2:S$1073,($C$2:$C$1073=$C765)*($E$2:$E$1073=$E765)*(ROW(S$2:S$1073)&lt;&gt;ROW(S765))*(S$2:S$1073&lt;&gt;""))),"")</f>
        <v/>
      </c>
      <c r="Z765" t="str" cm="1">
        <f t="array" ref="Z765">IFERROR(AVERAGE(_xlfn._xlws.FILTER(T$2:T$1073,($C$2:$C$1073=$C765)*($E$2:$E$1073=$E765)*(ROW(T$2:T$1073)&lt;&gt;ROW(T765))*(T$2:T$1073&lt;&gt;""))),"")</f>
        <v/>
      </c>
      <c r="AA765" t="str" cm="1">
        <f t="array" ref="AA765">IFERROR(AVERAGE(_xlfn._xlws.FILTER(U$2:U$1073,($C$2:$C$1073=$C765)*($E$2:$E$1073=$E765)*(ROW(U$2:U$1073)&lt;&gt;ROW(U765))*(U$2:U$1073&lt;&gt;""))),"")</f>
        <v/>
      </c>
    </row>
    <row r="766" spans="1:27" x14ac:dyDescent="0.2">
      <c r="A766" s="7" t="s">
        <v>2273</v>
      </c>
      <c r="B766" t="str">
        <f t="shared" si="123"/>
        <v>BAZA IV кв. 2013</v>
      </c>
      <c r="C766">
        <v>2013</v>
      </c>
      <c r="D766">
        <f>SUMIFS(Дивиденды!$C:$C,Дивиденды!$A:$A,A766,Дивиденды!$I:$I,C766)</f>
        <v>0</v>
      </c>
      <c r="E766">
        <v>5</v>
      </c>
      <c r="F766">
        <f t="shared" si="124"/>
        <v>0</v>
      </c>
      <c r="G766">
        <f t="shared" si="125"/>
        <v>0</v>
      </c>
      <c r="H766">
        <f t="shared" si="126"/>
        <v>0</v>
      </c>
      <c r="I766">
        <f t="shared" si="133"/>
        <v>0</v>
      </c>
      <c r="J766">
        <f t="shared" si="127"/>
        <v>0</v>
      </c>
      <c r="K766">
        <f t="shared" si="131"/>
        <v>0</v>
      </c>
      <c r="L766">
        <f t="shared" si="128"/>
        <v>0</v>
      </c>
      <c r="M766">
        <f t="shared" si="132"/>
        <v>0</v>
      </c>
      <c r="N766">
        <f t="shared" si="129"/>
        <v>0</v>
      </c>
      <c r="O766">
        <f t="shared" si="130"/>
        <v>0</v>
      </c>
      <c r="P766" t="str">
        <f>IFERROR(LN('Дивиденды по годам'!I766),"")</f>
        <v/>
      </c>
      <c r="Q766" t="str">
        <f>IFERROR('Дивиденды по годам'!G766/'Дивиденды по годам'!I766, "")</f>
        <v/>
      </c>
      <c r="R766" t="str">
        <f>IFERROR(IF(AND('Дивиденды по годам'!N766&lt;&gt;"",'Дивиденды по годам'!U766&lt;&gt;"",'Дивиденды по годам'!U766&lt;&gt;0),'Дивиденды по годам'!N766/'Дивиденды по годам'!U766-1,""),"")</f>
        <v/>
      </c>
      <c r="S766" t="str">
        <f>IFERROR(IF(AND('Дивиденды по годам'!L766&lt;&gt;"",'Дивиденды по годам'!I766&lt;&gt;"",'Дивиденды по годам'!J766&lt;&gt;"",'Дивиденды по годам'!K766&lt;&gt;"",('Дивиденды по годам'!I766-'Дивиденды по годам'!J766-'Дивиденды по годам'!K766)&lt;&gt;0),'Дивиденды по годам'!L766/('Дивиденды по годам'!I766-'Дивиденды по годам'!J766-'Дивиденды по годам'!K766),""),"")</f>
        <v/>
      </c>
      <c r="T766" t="str">
        <f>IFERROR(IF(AND('Дивиденды по годам'!Q766&lt;&gt;"",'Дивиденды по годам'!I766&lt;&gt;"",'Дивиденды по годам'!V766&lt;&gt;"",('Дивиденды по годам'!I766+'Дивиденды по годам'!V766)&lt;&gt;0),'Дивиденды по годам'!Q766/(('Дивиденды по годам'!I766+'Дивиденды по годам'!V766)/2),""),"")</f>
        <v/>
      </c>
      <c r="U766" t="str">
        <f>IFERROR(IF(AND('Дивиденды по годам'!J766&lt;&gt;"",'Дивиденды по годам'!K766&lt;&gt;"",'Дивиденды по годам'!M766&lt;&gt;"",'Дивиденды по годам'!M766&lt;&gt;0),('Дивиденды по годам'!J766+'Дивиденды по годам'!K766)/'Дивиденды по годам'!M766,""),"")</f>
        <v/>
      </c>
      <c r="V766" t="str" cm="1">
        <f t="array" ref="V766">IFERROR(AVERAGE(_xlfn._xlws.FILTER(P$2:P$1073,($C$2:$C$1073=$C766)*($E$2:$E$1073=$E766)*(ROW(P$2:P$1073)&lt;&gt;ROW(P766))*(P$2:P$1073&lt;&gt;""))),"")</f>
        <v/>
      </c>
      <c r="W766" t="str" cm="1">
        <f t="array" ref="W766">IFERROR(AVERAGE(_xlfn._xlws.FILTER(Q$2:Q$1073,($C$2:$C$1073=$C766)*($E$2:$E$1073=$E766)*(ROW(Q$2:Q$1073)&lt;&gt;ROW(Q766))*(Q$2:Q$1073&lt;&gt;""))),"")</f>
        <v/>
      </c>
      <c r="X766" t="str" cm="1">
        <f t="array" ref="X766">IFERROR(AVERAGE(_xlfn._xlws.FILTER(R$2:R$1073,($C$2:$C$1073=$C766)*($E$2:$E$1073=$E766)*(ROW(R$2:R$1073)&lt;&gt;ROW(R766))*(R$2:R$1073&lt;&gt;""))),"")</f>
        <v/>
      </c>
      <c r="Y766" t="str" cm="1">
        <f t="array" ref="Y766">IFERROR(AVERAGE(_xlfn._xlws.FILTER(S$2:S$1073,($C$2:$C$1073=$C766)*($E$2:$E$1073=$E766)*(ROW(S$2:S$1073)&lt;&gt;ROW(S766))*(S$2:S$1073&lt;&gt;""))),"")</f>
        <v/>
      </c>
      <c r="Z766" t="str" cm="1">
        <f t="array" ref="Z766">IFERROR(AVERAGE(_xlfn._xlws.FILTER(T$2:T$1073,($C$2:$C$1073=$C766)*($E$2:$E$1073=$E766)*(ROW(T$2:T$1073)&lt;&gt;ROW(T766))*(T$2:T$1073&lt;&gt;""))),"")</f>
        <v/>
      </c>
      <c r="AA766" t="str" cm="1">
        <f t="array" ref="AA766">IFERROR(AVERAGE(_xlfn._xlws.FILTER(U$2:U$1073,($C$2:$C$1073=$C766)*($E$2:$E$1073=$E766)*(ROW(U$2:U$1073)&lt;&gt;ROW(U766))*(U$2:U$1073&lt;&gt;""))),"")</f>
        <v/>
      </c>
    </row>
    <row r="767" spans="1:27" x14ac:dyDescent="0.2">
      <c r="A767" s="7" t="s">
        <v>2273</v>
      </c>
      <c r="B767" t="str">
        <f t="shared" si="123"/>
        <v>BAZA IV кв. 2012</v>
      </c>
      <c r="C767">
        <v>2012</v>
      </c>
      <c r="D767">
        <f>SUMIFS(Дивиденды!$C:$C,Дивиденды!$A:$A,A767,Дивиденды!$I:$I,C767)</f>
        <v>0</v>
      </c>
      <c r="E767">
        <v>5</v>
      </c>
      <c r="F767">
        <f t="shared" si="124"/>
        <v>0</v>
      </c>
      <c r="G767">
        <f t="shared" si="125"/>
        <v>0</v>
      </c>
      <c r="H767">
        <f t="shared" si="126"/>
        <v>0</v>
      </c>
      <c r="I767">
        <f t="shared" si="133"/>
        <v>0</v>
      </c>
      <c r="J767">
        <f t="shared" si="127"/>
        <v>0</v>
      </c>
      <c r="K767">
        <f t="shared" si="131"/>
        <v>0</v>
      </c>
      <c r="L767">
        <f t="shared" si="128"/>
        <v>0</v>
      </c>
      <c r="M767">
        <f t="shared" si="132"/>
        <v>0</v>
      </c>
      <c r="N767">
        <f t="shared" si="129"/>
        <v>0</v>
      </c>
      <c r="O767">
        <f t="shared" si="130"/>
        <v>0</v>
      </c>
      <c r="P767" t="str">
        <f>IFERROR(LN('Дивиденды по годам'!I767),"")</f>
        <v/>
      </c>
      <c r="Q767" t="str">
        <f>IFERROR('Дивиденды по годам'!G767/'Дивиденды по годам'!I767, "")</f>
        <v/>
      </c>
      <c r="R767" t="str">
        <f>IFERROR(IF(AND('Дивиденды по годам'!N767&lt;&gt;"",'Дивиденды по годам'!U767&lt;&gt;"",'Дивиденды по годам'!U767&lt;&gt;0),'Дивиденды по годам'!N767/'Дивиденды по годам'!U767-1,""),"")</f>
        <v/>
      </c>
      <c r="S767" t="str">
        <f>IFERROR(IF(AND('Дивиденды по годам'!L767&lt;&gt;"",'Дивиденды по годам'!I767&lt;&gt;"",'Дивиденды по годам'!J767&lt;&gt;"",'Дивиденды по годам'!K767&lt;&gt;"",('Дивиденды по годам'!I767-'Дивиденды по годам'!J767-'Дивиденды по годам'!K767)&lt;&gt;0),'Дивиденды по годам'!L767/('Дивиденды по годам'!I767-'Дивиденды по годам'!J767-'Дивиденды по годам'!K767),""),"")</f>
        <v/>
      </c>
      <c r="T767" t="str">
        <f>IFERROR(IF(AND('Дивиденды по годам'!Q767&lt;&gt;"",'Дивиденды по годам'!I767&lt;&gt;"",'Дивиденды по годам'!V767&lt;&gt;"",('Дивиденды по годам'!I767+'Дивиденды по годам'!V767)&lt;&gt;0),'Дивиденды по годам'!Q767/(('Дивиденды по годам'!I767+'Дивиденды по годам'!V767)/2),""),"")</f>
        <v/>
      </c>
      <c r="U767" t="str">
        <f>IFERROR(IF(AND('Дивиденды по годам'!J767&lt;&gt;"",'Дивиденды по годам'!K767&lt;&gt;"",'Дивиденды по годам'!M767&lt;&gt;"",'Дивиденды по годам'!M767&lt;&gt;0),('Дивиденды по годам'!J767+'Дивиденды по годам'!K767)/'Дивиденды по годам'!M767,""),"")</f>
        <v/>
      </c>
      <c r="V767" t="str" cm="1">
        <f t="array" ref="V767">IFERROR(AVERAGE(_xlfn._xlws.FILTER(P$2:P$1073,($C$2:$C$1073=$C767)*($E$2:$E$1073=$E767)*(ROW(P$2:P$1073)&lt;&gt;ROW(P767))*(P$2:P$1073&lt;&gt;""))),"")</f>
        <v/>
      </c>
      <c r="W767" t="str" cm="1">
        <f t="array" ref="W767">IFERROR(AVERAGE(_xlfn._xlws.FILTER(Q$2:Q$1073,($C$2:$C$1073=$C767)*($E$2:$E$1073=$E767)*(ROW(Q$2:Q$1073)&lt;&gt;ROW(Q767))*(Q$2:Q$1073&lt;&gt;""))),"")</f>
        <v/>
      </c>
      <c r="X767" t="str" cm="1">
        <f t="array" ref="X767">IFERROR(AVERAGE(_xlfn._xlws.FILTER(R$2:R$1073,($C$2:$C$1073=$C767)*($E$2:$E$1073=$E767)*(ROW(R$2:R$1073)&lt;&gt;ROW(R767))*(R$2:R$1073&lt;&gt;""))),"")</f>
        <v/>
      </c>
      <c r="Y767" t="str" cm="1">
        <f t="array" ref="Y767">IFERROR(AVERAGE(_xlfn._xlws.FILTER(S$2:S$1073,($C$2:$C$1073=$C767)*($E$2:$E$1073=$E767)*(ROW(S$2:S$1073)&lt;&gt;ROW(S767))*(S$2:S$1073&lt;&gt;""))),"")</f>
        <v/>
      </c>
      <c r="Z767" t="str" cm="1">
        <f t="array" ref="Z767">IFERROR(AVERAGE(_xlfn._xlws.FILTER(T$2:T$1073,($C$2:$C$1073=$C767)*($E$2:$E$1073=$E767)*(ROW(T$2:T$1073)&lt;&gt;ROW(T767))*(T$2:T$1073&lt;&gt;""))),"")</f>
        <v/>
      </c>
      <c r="AA767" t="str" cm="1">
        <f t="array" ref="AA767">IFERROR(AVERAGE(_xlfn._xlws.FILTER(U$2:U$1073,($C$2:$C$1073=$C767)*($E$2:$E$1073=$E767)*(ROW(U$2:U$1073)&lt;&gt;ROW(U767))*(U$2:U$1073&lt;&gt;""))),"")</f>
        <v/>
      </c>
    </row>
    <row r="768" spans="1:27" x14ac:dyDescent="0.2">
      <c r="A768" s="7" t="s">
        <v>2273</v>
      </c>
      <c r="B768" t="str">
        <f t="shared" si="123"/>
        <v>BAZA IV кв. 2011</v>
      </c>
      <c r="C768">
        <v>2011</v>
      </c>
      <c r="D768">
        <f>SUMIFS(Дивиденды!$C:$C,Дивиденды!$A:$A,A768,Дивиденды!$I:$I,C768)</f>
        <v>0</v>
      </c>
      <c r="E768">
        <v>5</v>
      </c>
      <c r="F768">
        <f t="shared" si="124"/>
        <v>0</v>
      </c>
      <c r="G768">
        <f t="shared" si="125"/>
        <v>0</v>
      </c>
      <c r="H768">
        <f t="shared" si="126"/>
        <v>0</v>
      </c>
      <c r="I768">
        <f t="shared" si="133"/>
        <v>0</v>
      </c>
      <c r="J768">
        <f t="shared" si="127"/>
        <v>0</v>
      </c>
      <c r="K768">
        <f t="shared" si="131"/>
        <v>0</v>
      </c>
      <c r="L768">
        <f t="shared" si="128"/>
        <v>0</v>
      </c>
      <c r="M768">
        <f t="shared" si="132"/>
        <v>0</v>
      </c>
      <c r="N768">
        <f t="shared" si="129"/>
        <v>0</v>
      </c>
      <c r="O768">
        <f t="shared" si="130"/>
        <v>0</v>
      </c>
      <c r="P768" t="str">
        <f>IFERROR(LN('Дивиденды по годам'!I768),"")</f>
        <v/>
      </c>
      <c r="Q768" t="str">
        <f>IFERROR('Дивиденды по годам'!G768/'Дивиденды по годам'!I768, "")</f>
        <v/>
      </c>
      <c r="R768" t="str">
        <f>IFERROR(IF(AND('Дивиденды по годам'!N768&lt;&gt;"",'Дивиденды по годам'!U768&lt;&gt;"",'Дивиденды по годам'!U768&lt;&gt;0),'Дивиденды по годам'!N768/'Дивиденды по годам'!U768-1,""),"")</f>
        <v/>
      </c>
      <c r="S768" t="str">
        <f>IFERROR(IF(AND('Дивиденды по годам'!L768&lt;&gt;"",'Дивиденды по годам'!I768&lt;&gt;"",'Дивиденды по годам'!J768&lt;&gt;"",'Дивиденды по годам'!K768&lt;&gt;"",('Дивиденды по годам'!I768-'Дивиденды по годам'!J768-'Дивиденды по годам'!K768)&lt;&gt;0),'Дивиденды по годам'!L768/('Дивиденды по годам'!I768-'Дивиденды по годам'!J768-'Дивиденды по годам'!K768),""),"")</f>
        <v/>
      </c>
      <c r="T768" t="str">
        <f>IFERROR(IF(AND('Дивиденды по годам'!Q768&lt;&gt;"",'Дивиденды по годам'!I768&lt;&gt;"",'Дивиденды по годам'!V768&lt;&gt;"",('Дивиденды по годам'!I768+'Дивиденды по годам'!V768)&lt;&gt;0),'Дивиденды по годам'!Q768/(('Дивиденды по годам'!I768+'Дивиденды по годам'!V768)/2),""),"")</f>
        <v/>
      </c>
      <c r="U768" t="str">
        <f>IFERROR(IF(AND('Дивиденды по годам'!J768&lt;&gt;"",'Дивиденды по годам'!K768&lt;&gt;"",'Дивиденды по годам'!M768&lt;&gt;"",'Дивиденды по годам'!M768&lt;&gt;0),('Дивиденды по годам'!J768+'Дивиденды по годам'!K768)/'Дивиденды по годам'!M768,""),"")</f>
        <v/>
      </c>
      <c r="V768" t="str" cm="1">
        <f t="array" ref="V768">IFERROR(AVERAGE(_xlfn._xlws.FILTER(P$2:P$1073,($C$2:$C$1073=$C768)*($E$2:$E$1073=$E768)*(ROW(P$2:P$1073)&lt;&gt;ROW(P768))*(P$2:P$1073&lt;&gt;""))),"")</f>
        <v/>
      </c>
      <c r="W768" t="str" cm="1">
        <f t="array" ref="W768">IFERROR(AVERAGE(_xlfn._xlws.FILTER(Q$2:Q$1073,($C$2:$C$1073=$C768)*($E$2:$E$1073=$E768)*(ROW(Q$2:Q$1073)&lt;&gt;ROW(Q768))*(Q$2:Q$1073&lt;&gt;""))),"")</f>
        <v/>
      </c>
      <c r="X768" t="str" cm="1">
        <f t="array" ref="X768">IFERROR(AVERAGE(_xlfn._xlws.FILTER(R$2:R$1073,($C$2:$C$1073=$C768)*($E$2:$E$1073=$E768)*(ROW(R$2:R$1073)&lt;&gt;ROW(R768))*(R$2:R$1073&lt;&gt;""))),"")</f>
        <v/>
      </c>
      <c r="Y768" t="str" cm="1">
        <f t="array" ref="Y768">IFERROR(AVERAGE(_xlfn._xlws.FILTER(S$2:S$1073,($C$2:$C$1073=$C768)*($E$2:$E$1073=$E768)*(ROW(S$2:S$1073)&lt;&gt;ROW(S768))*(S$2:S$1073&lt;&gt;""))),"")</f>
        <v/>
      </c>
      <c r="Z768" t="str" cm="1">
        <f t="array" ref="Z768">IFERROR(AVERAGE(_xlfn._xlws.FILTER(T$2:T$1073,($C$2:$C$1073=$C768)*($E$2:$E$1073=$E768)*(ROW(T$2:T$1073)&lt;&gt;ROW(T768))*(T$2:T$1073&lt;&gt;""))),"")</f>
        <v/>
      </c>
      <c r="AA768" t="str" cm="1">
        <f t="array" ref="AA768">IFERROR(AVERAGE(_xlfn._xlws.FILTER(U$2:U$1073,($C$2:$C$1073=$C768)*($E$2:$E$1073=$E768)*(ROW(U$2:U$1073)&lt;&gt;ROW(U768))*(U$2:U$1073&lt;&gt;""))),"")</f>
        <v/>
      </c>
    </row>
    <row r="769" spans="1:27" x14ac:dyDescent="0.2">
      <c r="A769" s="7" t="s">
        <v>2273</v>
      </c>
      <c r="B769" t="str">
        <f t="shared" si="123"/>
        <v>BAZA IV кв. 2010</v>
      </c>
      <c r="C769">
        <v>2010</v>
      </c>
      <c r="D769">
        <f>SUMIFS(Дивиденды!$C:$C,Дивиденды!$A:$A,A769,Дивиденды!$I:$I,C769)</f>
        <v>0</v>
      </c>
      <c r="E769">
        <v>5</v>
      </c>
      <c r="F769">
        <f t="shared" si="124"/>
        <v>0</v>
      </c>
      <c r="G769">
        <f t="shared" si="125"/>
        <v>0</v>
      </c>
      <c r="H769">
        <f t="shared" si="126"/>
        <v>0</v>
      </c>
      <c r="I769">
        <f t="shared" si="133"/>
        <v>0</v>
      </c>
      <c r="J769" t="str">
        <f t="shared" si="127"/>
        <v/>
      </c>
      <c r="K769" t="str">
        <f t="shared" si="131"/>
        <v/>
      </c>
      <c r="L769" t="str">
        <f t="shared" si="128"/>
        <v/>
      </c>
      <c r="M769" t="str">
        <f t="shared" si="132"/>
        <v/>
      </c>
      <c r="N769" t="str">
        <f t="shared" si="129"/>
        <v/>
      </c>
      <c r="O769" t="str">
        <f t="shared" si="130"/>
        <v/>
      </c>
      <c r="P769" t="str">
        <f>IFERROR(LN('Дивиденды по годам'!I769),"")</f>
        <v/>
      </c>
      <c r="Q769" t="str">
        <f>IFERROR('Дивиденды по годам'!G769/'Дивиденды по годам'!I769, "")</f>
        <v/>
      </c>
      <c r="R769" t="str">
        <f>IFERROR(IF(AND('Дивиденды по годам'!N769&lt;&gt;"",'Дивиденды по годам'!U769&lt;&gt;"",'Дивиденды по годам'!U769&lt;&gt;0),'Дивиденды по годам'!N769/'Дивиденды по годам'!U769-1,""),"")</f>
        <v/>
      </c>
      <c r="S769" t="str">
        <f>IFERROR(IF(AND('Дивиденды по годам'!L769&lt;&gt;"",'Дивиденды по годам'!I769&lt;&gt;"",'Дивиденды по годам'!J769&lt;&gt;"",'Дивиденды по годам'!K769&lt;&gt;"",('Дивиденды по годам'!I769-'Дивиденды по годам'!J769-'Дивиденды по годам'!K769)&lt;&gt;0),'Дивиденды по годам'!L769/('Дивиденды по годам'!I769-'Дивиденды по годам'!J769-'Дивиденды по годам'!K769),""),"")</f>
        <v/>
      </c>
      <c r="T769" t="str">
        <f>IFERROR(IF(AND('Дивиденды по годам'!Q769&lt;&gt;"",'Дивиденды по годам'!I769&lt;&gt;"",'Дивиденды по годам'!V769&lt;&gt;"",('Дивиденды по годам'!I769+'Дивиденды по годам'!V769)&lt;&gt;0),'Дивиденды по годам'!Q769/(('Дивиденды по годам'!I769+'Дивиденды по годам'!V769)/2),""),"")</f>
        <v/>
      </c>
      <c r="U769" t="str">
        <f>IFERROR(IF(AND('Дивиденды по годам'!J769&lt;&gt;"",'Дивиденды по годам'!K769&lt;&gt;"",'Дивиденды по годам'!M769&lt;&gt;"",'Дивиденды по годам'!M769&lt;&gt;0),('Дивиденды по годам'!J769+'Дивиденды по годам'!K769)/'Дивиденды по годам'!M769,""),"")</f>
        <v/>
      </c>
      <c r="V769" t="str" cm="1">
        <f t="array" ref="V769">IFERROR(AVERAGE(_xlfn._xlws.FILTER(P$2:P$1073,($C$2:$C$1073=$C769)*($E$2:$E$1073=$E769)*(ROW(P$2:P$1073)&lt;&gt;ROW(P769))*(P$2:P$1073&lt;&gt;""))),"")</f>
        <v/>
      </c>
      <c r="W769" t="str" cm="1">
        <f t="array" ref="W769">IFERROR(AVERAGE(_xlfn._xlws.FILTER(Q$2:Q$1073,($C$2:$C$1073=$C769)*($E$2:$E$1073=$E769)*(ROW(Q$2:Q$1073)&lt;&gt;ROW(Q769))*(Q$2:Q$1073&lt;&gt;""))),"")</f>
        <v/>
      </c>
      <c r="X769" t="str" cm="1">
        <f t="array" ref="X769">IFERROR(AVERAGE(_xlfn._xlws.FILTER(R$2:R$1073,($C$2:$C$1073=$C769)*($E$2:$E$1073=$E769)*(ROW(R$2:R$1073)&lt;&gt;ROW(R769))*(R$2:R$1073&lt;&gt;""))),"")</f>
        <v/>
      </c>
      <c r="Y769" t="str" cm="1">
        <f t="array" ref="Y769">IFERROR(AVERAGE(_xlfn._xlws.FILTER(S$2:S$1073,($C$2:$C$1073=$C769)*($E$2:$E$1073=$E769)*(ROW(S$2:S$1073)&lt;&gt;ROW(S769))*(S$2:S$1073&lt;&gt;""))),"")</f>
        <v/>
      </c>
      <c r="Z769" t="str" cm="1">
        <f t="array" ref="Z769">IFERROR(AVERAGE(_xlfn._xlws.FILTER(T$2:T$1073,($C$2:$C$1073=$C769)*($E$2:$E$1073=$E769)*(ROW(T$2:T$1073)&lt;&gt;ROW(T769))*(T$2:T$1073&lt;&gt;""))),"")</f>
        <v/>
      </c>
      <c r="AA769" t="str" cm="1">
        <f t="array" ref="AA769">IFERROR(AVERAGE(_xlfn._xlws.FILTER(U$2:U$1073,($C$2:$C$1073=$C769)*($E$2:$E$1073=$E769)*(ROW(U$2:U$1073)&lt;&gt;ROW(U769))*(U$2:U$1073&lt;&gt;""))),"")</f>
        <v/>
      </c>
    </row>
    <row r="770" spans="1:27" x14ac:dyDescent="0.2">
      <c r="A770" s="7" t="s">
        <v>2275</v>
      </c>
      <c r="B770" t="str">
        <f t="shared" si="123"/>
        <v>CNRU IV кв. 2025</v>
      </c>
      <c r="C770">
        <v>2025</v>
      </c>
      <c r="D770">
        <f>SUMIFS(Дивиденды!$C:$C,Дивиденды!$A:$A,A770,Дивиденды!$I:$I,C770)</f>
        <v>104</v>
      </c>
      <c r="E770">
        <v>5</v>
      </c>
      <c r="F770">
        <f t="shared" si="124"/>
        <v>104</v>
      </c>
      <c r="G770">
        <f t="shared" si="125"/>
        <v>51.384444444444448</v>
      </c>
      <c r="H770">
        <f t="shared" si="126"/>
        <v>1</v>
      </c>
      <c r="I770">
        <f t="shared" si="133"/>
        <v>0.55555555555555558</v>
      </c>
      <c r="J770">
        <f t="shared" si="127"/>
        <v>1</v>
      </c>
      <c r="K770">
        <f t="shared" si="131"/>
        <v>8.2806993552871883E-2</v>
      </c>
      <c r="L770">
        <f t="shared" si="128"/>
        <v>1</v>
      </c>
      <c r="M770">
        <f t="shared" si="132"/>
        <v>0.33333333333333331</v>
      </c>
      <c r="N770">
        <f t="shared" si="129"/>
        <v>0</v>
      </c>
      <c r="O770">
        <f t="shared" si="130"/>
        <v>0.44444444444444442</v>
      </c>
      <c r="P770" t="str">
        <f>IFERROR(LN('Дивиденды по годам'!I770),"")</f>
        <v/>
      </c>
      <c r="Q770" t="str">
        <f>IFERROR('Дивиденды по годам'!G770/'Дивиденды по годам'!I770, "")</f>
        <v/>
      </c>
      <c r="R770" t="str">
        <f>IFERROR(IF(AND('Дивиденды по годам'!N770&lt;&gt;"",'Дивиденды по годам'!U770&lt;&gt;"",'Дивиденды по годам'!U770&lt;&gt;0),'Дивиденды по годам'!N770/'Дивиденды по годам'!U770-1,""),"")</f>
        <v/>
      </c>
      <c r="S770" t="str">
        <f>IFERROR(IF(AND('Дивиденды по годам'!L770&lt;&gt;"",'Дивиденды по годам'!I770&lt;&gt;"",'Дивиденды по годам'!J770&lt;&gt;"",'Дивиденды по годам'!K770&lt;&gt;"",('Дивиденды по годам'!I770-'Дивиденды по годам'!J770-'Дивиденды по годам'!K770)&lt;&gt;0),'Дивиденды по годам'!L770/('Дивиденды по годам'!I770-'Дивиденды по годам'!J770-'Дивиденды по годам'!K770),""),"")</f>
        <v/>
      </c>
      <c r="T770" t="str">
        <f>IFERROR(IF(AND('Дивиденды по годам'!Q770&lt;&gt;"",'Дивиденды по годам'!I770&lt;&gt;"",'Дивиденды по годам'!V770&lt;&gt;"",('Дивиденды по годам'!I770+'Дивиденды по годам'!V770)&lt;&gt;0),'Дивиденды по годам'!Q770/(('Дивиденды по годам'!I770+'Дивиденды по годам'!V770)/2),""),"")</f>
        <v/>
      </c>
      <c r="U770" t="str">
        <f>IFERROR(IF(AND('Дивиденды по годам'!J770&lt;&gt;"",'Дивиденды по годам'!K770&lt;&gt;"",'Дивиденды по годам'!M770&lt;&gt;"",'Дивиденды по годам'!M770&lt;&gt;0),('Дивиденды по годам'!J770+'Дивиденды по годам'!K770)/'Дивиденды по годам'!M770,""),"")</f>
        <v/>
      </c>
      <c r="V770" cm="1">
        <f t="array" ref="V770">IFERROR(AVERAGE(_xlfn._xlws.FILTER(P$2:P$1073,($C$2:$C$1073=$C770)*($E$2:$E$1073=$E770)*(ROW(P$2:P$1073)&lt;&gt;ROW(P770))*(P$2:P$1073&lt;&gt;""))),"")</f>
        <v>25.891438099154414</v>
      </c>
      <c r="W770" cm="1">
        <f t="array" ref="W770">IFERROR(AVERAGE(_xlfn._xlws.FILTER(Q$2:Q$1073,($C$2:$C$1073=$C770)*($E$2:$E$1073=$E770)*(ROW(Q$2:Q$1073)&lt;&gt;ROW(Q770))*(Q$2:Q$1073&lt;&gt;""))),"")</f>
        <v>0.12418203705460037</v>
      </c>
      <c r="X770" cm="1">
        <f t="array" ref="X770">IFERROR(AVERAGE(_xlfn._xlws.FILTER(R$2:R$1073,($C$2:$C$1073=$C770)*($E$2:$E$1073=$E770)*(ROW(R$2:R$1073)&lt;&gt;ROW(R770))*(R$2:R$1073&lt;&gt;""))),"")</f>
        <v>0.14684434513855163</v>
      </c>
      <c r="Y770" cm="1">
        <f t="array" ref="Y770">IFERROR(AVERAGE(_xlfn._xlws.FILTER(S$2:S$1073,($C$2:$C$1073=$C770)*($E$2:$E$1073=$E770)*(ROW(S$2:S$1073)&lt;&gt;ROW(S770))*(S$2:S$1073&lt;&gt;""))),"")</f>
        <v>0.66742602396654871</v>
      </c>
      <c r="Z770" cm="1">
        <f t="array" ref="Z770">IFERROR(AVERAGE(_xlfn._xlws.FILTER(T$2:T$1073,($C$2:$C$1073=$C770)*($E$2:$E$1073=$E770)*(ROW(T$2:T$1073)&lt;&gt;ROW(T770))*(T$2:T$1073&lt;&gt;""))),"")</f>
        <v>0.19853029448574855</v>
      </c>
      <c r="AA770" cm="1">
        <f t="array" ref="AA770">IFERROR(AVERAGE(_xlfn._xlws.FILTER(U$2:U$1073,($C$2:$C$1073=$C770)*($E$2:$E$1073=$E770)*(ROW(U$2:U$1073)&lt;&gt;ROW(U770))*(U$2:U$1073&lt;&gt;""))),"")</f>
        <v>-0.85021812770937366</v>
      </c>
    </row>
    <row r="771" spans="1:27" x14ac:dyDescent="0.2">
      <c r="A771" s="7" t="s">
        <v>2275</v>
      </c>
      <c r="B771" t="str">
        <f t="shared" ref="B771:B834" si="134">A771&amp;" "&amp;
"IV"
&amp;" кв. "&amp;C771</f>
        <v>CNRU IV кв. 2024</v>
      </c>
      <c r="C771">
        <v>2024</v>
      </c>
      <c r="D771">
        <f>SUMIFS(Дивиденды!$C:$C,Дивиденды!$A:$A,A771,Дивиденды!$I:$I,C771)</f>
        <v>0</v>
      </c>
      <c r="E771">
        <v>5</v>
      </c>
      <c r="F771">
        <f t="shared" ref="F771:F834" si="135">D771</f>
        <v>0</v>
      </c>
      <c r="G771">
        <f t="shared" ref="G771:G834" si="136">AVERAGEIFS($D:$D,$E:$E,E771,$C:$C,C771,$A:$A,"&lt;&gt;"&amp;A771)</f>
        <v>120.67777777777776</v>
      </c>
      <c r="H771">
        <f t="shared" ref="H771:H834" si="137">IF(D771&gt;0,1,0)</f>
        <v>0</v>
      </c>
      <c r="I771">
        <f t="shared" si="133"/>
        <v>0.55555555555555558</v>
      </c>
      <c r="J771">
        <f t="shared" ref="J771:J834" si="138">IF(A772&lt;&gt;A771,"",IF(D771=D772,0,IF(AND(D772=0,D771&lt;&gt;0), 1,(D771-D772)/D772)))</f>
        <v>0</v>
      </c>
      <c r="K771">
        <f t="shared" si="131"/>
        <v>0.33674983142279163</v>
      </c>
      <c r="L771">
        <f t="shared" ref="L771:L834" si="139">IF(J771&lt;&gt;"",IF(J771&gt;0,1,0),"")</f>
        <v>0</v>
      </c>
      <c r="M771">
        <f t="shared" si="132"/>
        <v>0.44444444444444442</v>
      </c>
      <c r="N771">
        <f t="shared" ref="N771:N834" si="140">IF(J771&lt;&gt;"",IF(J771&lt;0,1,0),"")</f>
        <v>0</v>
      </c>
      <c r="O771">
        <f t="shared" ref="O771:O834" si="141">IFERROR(AVERAGEIFS($N:$N,$E:$E,E771,$C:$C,C771,$A:$A,"&lt;&gt;"&amp;A771),"")</f>
        <v>0.1111111111111111</v>
      </c>
      <c r="P771">
        <f>IFERROR(LN('Дивиденды по годам'!I771),"")</f>
        <v>23.291670755535105</v>
      </c>
      <c r="Q771">
        <f>IFERROR('Дивиденды по годам'!G771/'Дивиденды по годам'!I771, "")</f>
        <v>6.5159064775776156E-3</v>
      </c>
      <c r="R771">
        <f>IFERROR(IF(AND('Дивиденды по годам'!N771&lt;&gt;"",'Дивиденды по годам'!U771&lt;&gt;"",'Дивиденды по годам'!U771&lt;&gt;0),'Дивиденды по годам'!N771/'Дивиденды по годам'!U771-1,""),"")</f>
        <v>0.12237490277417673</v>
      </c>
      <c r="S771">
        <f>IFERROR(IF(AND('Дивиденды по годам'!L771&lt;&gt;"",'Дивиденды по годам'!I771&lt;&gt;"",'Дивиденды по годам'!J771&lt;&gt;"",'Дивиденды по годам'!K771&lt;&gt;"",('Дивиденды по годам'!I771-'Дивиденды по годам'!J771-'Дивиденды по годам'!K771)&lt;&gt;0),'Дивиденды по годам'!L771/('Дивиденды по годам'!I771-'Дивиденды по годам'!J771-'Дивиденды по годам'!K771),""),"")</f>
        <v>5.5050454590868221E-2</v>
      </c>
      <c r="T771">
        <f>IFERROR(IF(AND('Дивиденды по годам'!Q771&lt;&gt;"",'Дивиденды по годам'!I771&lt;&gt;"",'Дивиденды по годам'!V771&lt;&gt;"",('Дивиденды по годам'!I771+'Дивиденды по годам'!V771)&lt;&gt;0),'Дивиденды по годам'!Q771/(('Дивиденды по годам'!I771+'Дивиденды по годам'!V771)/2),""),"")</f>
        <v>0.21114872102489396</v>
      </c>
      <c r="U771">
        <f>IFERROR(IF(AND('Дивиденды по годам'!J771&lt;&gt;"",'Дивиденды по годам'!K771&lt;&gt;"",'Дивиденды по годам'!M771&lt;&gt;"",'Дивиденды по годам'!M771&lt;&gt;0),('Дивиденды по годам'!J771+'Дивиденды по годам'!K771)/'Дивиденды по годам'!M771,""),"")</f>
        <v>0.30332700569487459</v>
      </c>
      <c r="V771" cm="1">
        <f t="array" ref="V771">IFERROR(AVERAGE(_xlfn._xlws.FILTER(P$2:P$1073,($C$2:$C$1073=$C771)*($E$2:$E$1073=$E771)*(ROW(P$2:P$1073)&lt;&gt;ROW(P771))*(P$2:P$1073&lt;&gt;""))),"")</f>
        <v>24.867746266955503</v>
      </c>
      <c r="W771" cm="1">
        <f t="array" ref="W771">IFERROR(AVERAGE(_xlfn._xlws.FILTER(Q$2:Q$1073,($C$2:$C$1073=$C771)*($E$2:$E$1073=$E771)*(ROW(Q$2:Q$1073)&lt;&gt;ROW(Q771))*(Q$2:Q$1073&lt;&gt;""))),"")</f>
        <v>8.5684798153486133E-2</v>
      </c>
      <c r="X771" cm="1">
        <f t="array" ref="X771">IFERROR(AVERAGE(_xlfn._xlws.FILTER(R$2:R$1073,($C$2:$C$1073=$C771)*($E$2:$E$1073=$E771)*(ROW(R$2:R$1073)&lt;&gt;ROW(R771))*(R$2:R$1073&lt;&gt;""))),"")</f>
        <v>0.33205857379006265</v>
      </c>
      <c r="Y771" cm="1">
        <f t="array" ref="Y771">IFERROR(AVERAGE(_xlfn._xlws.FILTER(S$2:S$1073,($C$2:$C$1073=$C771)*($E$2:$E$1073=$E771)*(ROW(S$2:S$1073)&lt;&gt;ROW(S771))*(S$2:S$1073&lt;&gt;""))),"")</f>
        <v>0.28959881933433568</v>
      </c>
      <c r="Z771" cm="1">
        <f t="array" ref="Z771">IFERROR(AVERAGE(_xlfn._xlws.FILTER(T$2:T$1073,($C$2:$C$1073=$C771)*($E$2:$E$1073=$E771)*(ROW(T$2:T$1073)&lt;&gt;ROW(T771))*(T$2:T$1073&lt;&gt;""))),"")</f>
        <v>0.25378362735750953</v>
      </c>
      <c r="AA771" cm="1">
        <f t="array" ref="AA771">IFERROR(AVERAGE(_xlfn._xlws.FILTER(U$2:U$1073,($C$2:$C$1073=$C771)*($E$2:$E$1073=$E771)*(ROW(U$2:U$1073)&lt;&gt;ROW(U771))*(U$2:U$1073&lt;&gt;""))),"")</f>
        <v>3.0234945479716577</v>
      </c>
    </row>
    <row r="772" spans="1:27" x14ac:dyDescent="0.2">
      <c r="A772" s="7" t="s">
        <v>2275</v>
      </c>
      <c r="B772" t="str">
        <f t="shared" si="134"/>
        <v>CNRU IV кв. 2023</v>
      </c>
      <c r="C772">
        <v>2023</v>
      </c>
      <c r="D772">
        <f>SUMIFS(Дивиденды!$C:$C,Дивиденды!$A:$A,A772,Дивиденды!$I:$I,C772)</f>
        <v>0</v>
      </c>
      <c r="E772">
        <v>5</v>
      </c>
      <c r="F772">
        <f t="shared" si="135"/>
        <v>0</v>
      </c>
      <c r="G772">
        <f t="shared" si="136"/>
        <v>16.477777777777778</v>
      </c>
      <c r="H772">
        <f t="shared" si="137"/>
        <v>0</v>
      </c>
      <c r="I772">
        <f t="shared" si="133"/>
        <v>0.1111111111111111</v>
      </c>
      <c r="J772">
        <f t="shared" si="138"/>
        <v>0</v>
      </c>
      <c r="K772">
        <f t="shared" ref="K772:K835" si="142">IFERROR(AVERAGEIFS($J:$J,$E:$E,E772,$C:$C,C772,$A:$A,"&lt;&gt;"&amp;A772),"")</f>
        <v>0.31688311688311693</v>
      </c>
      <c r="L772">
        <f t="shared" si="139"/>
        <v>0</v>
      </c>
      <c r="M772">
        <f t="shared" si="132"/>
        <v>0.1111111111111111</v>
      </c>
      <c r="N772">
        <f t="shared" si="140"/>
        <v>0</v>
      </c>
      <c r="O772">
        <f t="shared" si="141"/>
        <v>0</v>
      </c>
      <c r="P772">
        <f>IFERROR(LN('Дивиденды по годам'!I772),"")</f>
        <v>23.054827038176974</v>
      </c>
      <c r="Q772">
        <f>IFERROR('Дивиденды по годам'!G772/'Дивиденды по годам'!I772, "")</f>
        <v>7.0915096172527682E-3</v>
      </c>
      <c r="R772" t="str">
        <f>IFERROR(IF(AND('Дивиденды по годам'!N772&lt;&gt;"",'Дивиденды по годам'!U772&lt;&gt;"",'Дивиденды по годам'!U772&lt;&gt;0),'Дивиденды по годам'!N772/'Дивиденды по годам'!U772-1,""),"")</f>
        <v/>
      </c>
      <c r="S772">
        <f>IFERROR(IF(AND('Дивиденды по годам'!L772&lt;&gt;"",'Дивиденды по годам'!I772&lt;&gt;"",'Дивиденды по годам'!J772&lt;&gt;"",'Дивиденды по годам'!K772&lt;&gt;"",('Дивиденды по годам'!I772-'Дивиденды по годам'!J772-'Дивиденды по годам'!K772)&lt;&gt;0),'Дивиденды по годам'!L772/('Дивиденды по годам'!I772-'Дивиденды по годам'!J772-'Дивиденды по годам'!K772),""),"")</f>
        <v>-0.16055749128919861</v>
      </c>
      <c r="T772" t="str">
        <f>IFERROR(IF(AND('Дивиденды по годам'!Q772&lt;&gt;"",'Дивиденды по годам'!I772&lt;&gt;"",'Дивиденды по годам'!V772&lt;&gt;"",('Дивиденды по годам'!I772+'Дивиденды по годам'!V772)&lt;&gt;0),'Дивиденды по годам'!Q772/(('Дивиденды по годам'!I772+'Дивиденды по годам'!V772)/2),""),"")</f>
        <v/>
      </c>
      <c r="U772">
        <f>IFERROR(IF(AND('Дивиденды по годам'!J772&lt;&gt;"",'Дивиденды по годам'!K772&lt;&gt;"",'Дивиденды по годам'!M772&lt;&gt;"",'Дивиденды по годам'!M772&lt;&gt;0),('Дивиденды по годам'!J772+'Дивиденды по годам'!K772)/'Дивиденды по годам'!M772,""),"")</f>
        <v>0.43470383275261326</v>
      </c>
      <c r="V772" cm="1">
        <f t="array" ref="V772">IFERROR(AVERAGE(_xlfn._xlws.FILTER(P$2:P$1073,($C$2:$C$1073=$C772)*($E$2:$E$1073=$E772)*(ROW(P$2:P$1073)&lt;&gt;ROW(P772))*(P$2:P$1073&lt;&gt;""))),"")</f>
        <v>24.219582959274902</v>
      </c>
      <c r="W772" cm="1">
        <f t="array" ref="W772">IFERROR(AVERAGE(_xlfn._xlws.FILTER(Q$2:Q$1073,($C$2:$C$1073=$C772)*($E$2:$E$1073=$E772)*(ROW(Q$2:Q$1073)&lt;&gt;ROW(Q772))*(Q$2:Q$1073&lt;&gt;""))),"")</f>
        <v>4.8174570152031936E-2</v>
      </c>
      <c r="X772" cm="1">
        <f t="array" ref="X772">IFERROR(AVERAGE(_xlfn._xlws.FILTER(R$2:R$1073,($C$2:$C$1073=$C772)*($E$2:$E$1073=$E772)*(ROW(R$2:R$1073)&lt;&gt;ROW(R772))*(R$2:R$1073&lt;&gt;""))),"")</f>
        <v>0.51000246586809928</v>
      </c>
      <c r="Y772" cm="1">
        <f t="array" ref="Y772">IFERROR(AVERAGE(_xlfn._xlws.FILTER(S$2:S$1073,($C$2:$C$1073=$C772)*($E$2:$E$1073=$E772)*(ROW(S$2:S$1073)&lt;&gt;ROW(S772))*(S$2:S$1073&lt;&gt;""))),"")</f>
        <v>0.82287471452132277</v>
      </c>
      <c r="Z772" cm="1">
        <f t="array" ref="Z772">IFERROR(AVERAGE(_xlfn._xlws.FILTER(T$2:T$1073,($C$2:$C$1073=$C772)*($E$2:$E$1073=$E772)*(ROW(T$2:T$1073)&lt;&gt;ROW(T772))*(T$2:T$1073&lt;&gt;""))),"")</f>
        <v>0.19460130713388882</v>
      </c>
      <c r="AA772" cm="1">
        <f t="array" ref="AA772">IFERROR(AVERAGE(_xlfn._xlws.FILTER(U$2:U$1073,($C$2:$C$1073=$C772)*($E$2:$E$1073=$E772)*(ROW(U$2:U$1073)&lt;&gt;ROW(U772))*(U$2:U$1073&lt;&gt;""))),"")</f>
        <v>2.3563466672989906</v>
      </c>
    </row>
    <row r="773" spans="1:27" x14ac:dyDescent="0.2">
      <c r="A773" s="7" t="s">
        <v>2275</v>
      </c>
      <c r="B773" t="str">
        <f t="shared" si="134"/>
        <v>CNRU IV кв. 2022</v>
      </c>
      <c r="C773">
        <v>2022</v>
      </c>
      <c r="D773">
        <f>SUMIFS(Дивиденды!$C:$C,Дивиденды!$A:$A,A773,Дивиденды!$I:$I,C773)</f>
        <v>0</v>
      </c>
      <c r="E773">
        <v>5</v>
      </c>
      <c r="F773">
        <f t="shared" si="135"/>
        <v>0</v>
      </c>
      <c r="G773">
        <f t="shared" si="136"/>
        <v>4.2777777777777777</v>
      </c>
      <c r="H773">
        <f t="shared" si="137"/>
        <v>0</v>
      </c>
      <c r="I773">
        <f t="shared" si="133"/>
        <v>0.1111111111111111</v>
      </c>
      <c r="J773">
        <f t="shared" si="138"/>
        <v>0</v>
      </c>
      <c r="K773">
        <f t="shared" si="142"/>
        <v>0.1111111111111111</v>
      </c>
      <c r="L773">
        <f t="shared" si="139"/>
        <v>0</v>
      </c>
      <c r="M773">
        <f t="shared" si="132"/>
        <v>0.1111111111111111</v>
      </c>
      <c r="N773">
        <f t="shared" si="140"/>
        <v>0</v>
      </c>
      <c r="O773">
        <f t="shared" si="141"/>
        <v>0</v>
      </c>
      <c r="P773" t="str">
        <f>IFERROR(LN('Дивиденды по годам'!I773),"")</f>
        <v/>
      </c>
      <c r="Q773" t="str">
        <f>IFERROR('Дивиденды по годам'!G773/'Дивиденды по годам'!I773, "")</f>
        <v/>
      </c>
      <c r="R773" t="str">
        <f>IFERROR(IF(AND('Дивиденды по годам'!N773&lt;&gt;"",'Дивиденды по годам'!U773&lt;&gt;"",'Дивиденды по годам'!U773&lt;&gt;0),'Дивиденды по годам'!N773/'Дивиденды по годам'!U773-1,""),"")</f>
        <v/>
      </c>
      <c r="S773" t="str">
        <f>IFERROR(IF(AND('Дивиденды по годам'!L773&lt;&gt;"",'Дивиденды по годам'!I773&lt;&gt;"",'Дивиденды по годам'!J773&lt;&gt;"",'Дивиденды по годам'!K773&lt;&gt;"",('Дивиденды по годам'!I773-'Дивиденды по годам'!J773-'Дивиденды по годам'!K773)&lt;&gt;0),'Дивиденды по годам'!L773/('Дивиденды по годам'!I773-'Дивиденды по годам'!J773-'Дивиденды по годам'!K773),""),"")</f>
        <v/>
      </c>
      <c r="T773" t="str">
        <f>IFERROR(IF(AND('Дивиденды по годам'!Q773&lt;&gt;"",'Дивиденды по годам'!I773&lt;&gt;"",'Дивиденды по годам'!V773&lt;&gt;"",('Дивиденды по годам'!I773+'Дивиденды по годам'!V773)&lt;&gt;0),'Дивиденды по годам'!Q773/(('Дивиденды по годам'!I773+'Дивиденды по годам'!V773)/2),""),"")</f>
        <v/>
      </c>
      <c r="U773" t="str">
        <f>IFERROR(IF(AND('Дивиденды по годам'!J773&lt;&gt;"",'Дивиденды по годам'!K773&lt;&gt;"",'Дивиденды по годам'!M773&lt;&gt;"",'Дивиденды по годам'!M773&lt;&gt;0),('Дивиденды по годам'!J773+'Дивиденды по годам'!K773)/'Дивиденды по годам'!M773,""),"")</f>
        <v/>
      </c>
      <c r="V773" cm="1">
        <f t="array" ref="V773">IFERROR(AVERAGE(_xlfn._xlws.FILTER(P$2:P$1073,($C$2:$C$1073=$C773)*($E$2:$E$1073=$E773)*(ROW(P$2:P$1073)&lt;&gt;ROW(P773))*(P$2:P$1073&lt;&gt;""))),"")</f>
        <v>24.314048251831842</v>
      </c>
      <c r="W773" cm="1">
        <f t="array" ref="W773">IFERROR(AVERAGE(_xlfn._xlws.FILTER(Q$2:Q$1073,($C$2:$C$1073=$C773)*($E$2:$E$1073=$E773)*(ROW(Q$2:Q$1073)&lt;&gt;ROW(Q773))*(Q$2:Q$1073&lt;&gt;""))),"")</f>
        <v>5.676674770458788E-2</v>
      </c>
      <c r="X773" cm="1">
        <f t="array" ref="X773">IFERROR(AVERAGE(_xlfn._xlws.FILTER(R$2:R$1073,($C$2:$C$1073=$C773)*($E$2:$E$1073=$E773)*(ROW(R$2:R$1073)&lt;&gt;ROW(R773))*(R$2:R$1073&lt;&gt;""))),"")</f>
        <v>0.76359932885509174</v>
      </c>
      <c r="Y773" cm="1">
        <f t="array" ref="Y773">IFERROR(AVERAGE(_xlfn._xlws.FILTER(S$2:S$1073,($C$2:$C$1073=$C773)*($E$2:$E$1073=$E773)*(ROW(S$2:S$1073)&lt;&gt;ROW(S773))*(S$2:S$1073&lt;&gt;""))),"")</f>
        <v>0.79975694618495274</v>
      </c>
      <c r="Z773" cm="1">
        <f t="array" ref="Z773">IFERROR(AVERAGE(_xlfn._xlws.FILTER(T$2:T$1073,($C$2:$C$1073=$C773)*($E$2:$E$1073=$E773)*(ROW(T$2:T$1073)&lt;&gt;ROW(T773))*(T$2:T$1073&lt;&gt;""))),"")</f>
        <v>0.45424211382955332</v>
      </c>
      <c r="AA773" cm="1">
        <f t="array" ref="AA773">IFERROR(AVERAGE(_xlfn._xlws.FILTER(U$2:U$1073,($C$2:$C$1073=$C773)*($E$2:$E$1073=$E773)*(ROW(U$2:U$1073)&lt;&gt;ROW(U773))*(U$2:U$1073&lt;&gt;""))),"")</f>
        <v>2.2504855284750676</v>
      </c>
    </row>
    <row r="774" spans="1:27" x14ac:dyDescent="0.2">
      <c r="A774" s="7" t="s">
        <v>2275</v>
      </c>
      <c r="B774" t="str">
        <f t="shared" si="134"/>
        <v>CNRU IV кв. 2021</v>
      </c>
      <c r="C774">
        <v>2021</v>
      </c>
      <c r="D774">
        <f>SUMIFS(Дивиденды!$C:$C,Дивиденды!$A:$A,A774,Дивиденды!$I:$I,C774)</f>
        <v>0</v>
      </c>
      <c r="E774">
        <v>5</v>
      </c>
      <c r="F774">
        <f t="shared" si="135"/>
        <v>0</v>
      </c>
      <c r="G774">
        <f t="shared" si="136"/>
        <v>0</v>
      </c>
      <c r="H774">
        <f t="shared" si="137"/>
        <v>0</v>
      </c>
      <c r="I774">
        <f t="shared" si="133"/>
        <v>0</v>
      </c>
      <c r="J774">
        <f t="shared" si="138"/>
        <v>0</v>
      </c>
      <c r="K774">
        <f t="shared" si="142"/>
        <v>0</v>
      </c>
      <c r="L774">
        <f t="shared" si="139"/>
        <v>0</v>
      </c>
      <c r="M774">
        <f t="shared" si="132"/>
        <v>0</v>
      </c>
      <c r="N774">
        <f t="shared" si="140"/>
        <v>0</v>
      </c>
      <c r="O774">
        <f t="shared" si="141"/>
        <v>0</v>
      </c>
      <c r="P774" t="str">
        <f>IFERROR(LN('Дивиденды по годам'!I774),"")</f>
        <v/>
      </c>
      <c r="Q774" t="str">
        <f>IFERROR('Дивиденды по годам'!G774/'Дивиденды по годам'!I774, "")</f>
        <v/>
      </c>
      <c r="R774" t="str">
        <f>IFERROR(IF(AND('Дивиденды по годам'!N774&lt;&gt;"",'Дивиденды по годам'!U774&lt;&gt;"",'Дивиденды по годам'!U774&lt;&gt;0),'Дивиденды по годам'!N774/'Дивиденды по годам'!U774-1,""),"")</f>
        <v/>
      </c>
      <c r="S774" t="str">
        <f>IFERROR(IF(AND('Дивиденды по годам'!L774&lt;&gt;"",'Дивиденды по годам'!I774&lt;&gt;"",'Дивиденды по годам'!J774&lt;&gt;"",'Дивиденды по годам'!K774&lt;&gt;"",('Дивиденды по годам'!I774-'Дивиденды по годам'!J774-'Дивиденды по годам'!K774)&lt;&gt;0),'Дивиденды по годам'!L774/('Дивиденды по годам'!I774-'Дивиденды по годам'!J774-'Дивиденды по годам'!K774),""),"")</f>
        <v/>
      </c>
      <c r="T774" t="str">
        <f>IFERROR(IF(AND('Дивиденды по годам'!Q774&lt;&gt;"",'Дивиденды по годам'!I774&lt;&gt;"",'Дивиденды по годам'!V774&lt;&gt;"",('Дивиденды по годам'!I774+'Дивиденды по годам'!V774)&lt;&gt;0),'Дивиденды по годам'!Q774/(('Дивиденды по годам'!I774+'Дивиденды по годам'!V774)/2),""),"")</f>
        <v/>
      </c>
      <c r="U774" t="str">
        <f>IFERROR(IF(AND('Дивиденды по годам'!J774&lt;&gt;"",'Дивиденды по годам'!K774&lt;&gt;"",'Дивиденды по годам'!M774&lt;&gt;"",'Дивиденды по годам'!M774&lt;&gt;0),('Дивиденды по годам'!J774+'Дивиденды по годам'!K774)/'Дивиденды по годам'!M774,""),"")</f>
        <v/>
      </c>
      <c r="V774" cm="1">
        <f t="array" ref="V774">IFERROR(AVERAGE(_xlfn._xlws.FILTER(P$2:P$1073,($C$2:$C$1073=$C774)*($E$2:$E$1073=$E774)*(ROW(P$2:P$1073)&lt;&gt;ROW(P774))*(P$2:P$1073&lt;&gt;""))),"")</f>
        <v>22.898661389674704</v>
      </c>
      <c r="W774" cm="1">
        <f t="array" ref="W774">IFERROR(AVERAGE(_xlfn._xlws.FILTER(Q$2:Q$1073,($C$2:$C$1073=$C774)*($E$2:$E$1073=$E774)*(ROW(Q$2:Q$1073)&lt;&gt;ROW(Q774))*(Q$2:Q$1073&lt;&gt;""))),"")</f>
        <v>3.9787618039471354E-2</v>
      </c>
      <c r="X774" cm="1">
        <f t="array" ref="X774">IFERROR(AVERAGE(_xlfn._xlws.FILTER(R$2:R$1073,($C$2:$C$1073=$C774)*($E$2:$E$1073=$E774)*(ROW(R$2:R$1073)&lt;&gt;ROW(R774))*(R$2:R$1073&lt;&gt;""))),"")</f>
        <v>0.11948949117953805</v>
      </c>
      <c r="Y774" cm="1">
        <f t="array" ref="Y774">IFERROR(AVERAGE(_xlfn._xlws.FILTER(S$2:S$1073,($C$2:$C$1073=$C774)*($E$2:$E$1073=$E774)*(ROW(S$2:S$1073)&lt;&gt;ROW(S774))*(S$2:S$1073&lt;&gt;""))),"")</f>
        <v>0.6223989622093683</v>
      </c>
      <c r="Z774" cm="1">
        <f t="array" ref="Z774">IFERROR(AVERAGE(_xlfn._xlws.FILTER(T$2:T$1073,($C$2:$C$1073=$C774)*($E$2:$E$1073=$E774)*(ROW(T$2:T$1073)&lt;&gt;ROW(T774))*(T$2:T$1073&lt;&gt;""))),"")</f>
        <v>0.13483969312290014</v>
      </c>
      <c r="AA774" cm="1">
        <f t="array" ref="AA774">IFERROR(AVERAGE(_xlfn._xlws.FILTER(U$2:U$1073,($C$2:$C$1073=$C774)*($E$2:$E$1073=$E774)*(ROW(U$2:U$1073)&lt;&gt;ROW(U774))*(U$2:U$1073&lt;&gt;""))),"")</f>
        <v>12.032255744832293</v>
      </c>
    </row>
    <row r="775" spans="1:27" x14ac:dyDescent="0.2">
      <c r="A775" s="7" t="s">
        <v>2275</v>
      </c>
      <c r="B775" t="str">
        <f t="shared" si="134"/>
        <v>CNRU IV кв. 2020</v>
      </c>
      <c r="C775">
        <v>2020</v>
      </c>
      <c r="D775">
        <f>SUMIFS(Дивиденды!$C:$C,Дивиденды!$A:$A,A775,Дивиденды!$I:$I,C775)</f>
        <v>0</v>
      </c>
      <c r="E775">
        <v>5</v>
      </c>
      <c r="F775">
        <f t="shared" si="135"/>
        <v>0</v>
      </c>
      <c r="G775">
        <f t="shared" si="136"/>
        <v>0</v>
      </c>
      <c r="H775">
        <f t="shared" si="137"/>
        <v>0</v>
      </c>
      <c r="I775">
        <f t="shared" si="133"/>
        <v>0</v>
      </c>
      <c r="J775">
        <f t="shared" si="138"/>
        <v>0</v>
      </c>
      <c r="K775">
        <f t="shared" si="142"/>
        <v>0</v>
      </c>
      <c r="L775">
        <f t="shared" si="139"/>
        <v>0</v>
      </c>
      <c r="M775">
        <f t="shared" si="132"/>
        <v>0</v>
      </c>
      <c r="N775">
        <f t="shared" si="140"/>
        <v>0</v>
      </c>
      <c r="O775">
        <f t="shared" si="141"/>
        <v>0</v>
      </c>
      <c r="P775" t="str">
        <f>IFERROR(LN('Дивиденды по годам'!I775),"")</f>
        <v/>
      </c>
      <c r="Q775" t="str">
        <f>IFERROR('Дивиденды по годам'!G775/'Дивиденды по годам'!I775, "")</f>
        <v/>
      </c>
      <c r="R775" t="str">
        <f>IFERROR(IF(AND('Дивиденды по годам'!N775&lt;&gt;"",'Дивиденды по годам'!U775&lt;&gt;"",'Дивиденды по годам'!U775&lt;&gt;0),'Дивиденды по годам'!N775/'Дивиденды по годам'!U775-1,""),"")</f>
        <v/>
      </c>
      <c r="S775" t="str">
        <f>IFERROR(IF(AND('Дивиденды по годам'!L775&lt;&gt;"",'Дивиденды по годам'!I775&lt;&gt;"",'Дивиденды по годам'!J775&lt;&gt;"",'Дивиденды по годам'!K775&lt;&gt;"",('Дивиденды по годам'!I775-'Дивиденды по годам'!J775-'Дивиденды по годам'!K775)&lt;&gt;0),'Дивиденды по годам'!L775/('Дивиденды по годам'!I775-'Дивиденды по годам'!J775-'Дивиденды по годам'!K775),""),"")</f>
        <v/>
      </c>
      <c r="T775" t="str">
        <f>IFERROR(IF(AND('Дивиденды по годам'!Q775&lt;&gt;"",'Дивиденды по годам'!I775&lt;&gt;"",'Дивиденды по годам'!V775&lt;&gt;"",('Дивиденды по годам'!I775+'Дивиденды по годам'!V775)&lt;&gt;0),'Дивиденды по годам'!Q775/(('Дивиденды по годам'!I775+'Дивиденды по годам'!V775)/2),""),"")</f>
        <v/>
      </c>
      <c r="U775" t="str">
        <f>IFERROR(IF(AND('Дивиденды по годам'!J775&lt;&gt;"",'Дивиденды по годам'!K775&lt;&gt;"",'Дивиденды по годам'!M775&lt;&gt;"",'Дивиденды по годам'!M775&lt;&gt;0),('Дивиденды по годам'!J775+'Дивиденды по годам'!K775)/'Дивиденды по годам'!M775,""),"")</f>
        <v/>
      </c>
      <c r="V775" cm="1">
        <f t="array" ref="V775">IFERROR(AVERAGE(_xlfn._xlws.FILTER(P$2:P$1073,($C$2:$C$1073=$C775)*($E$2:$E$1073=$E775)*(ROW(P$2:P$1073)&lt;&gt;ROW(P775))*(P$2:P$1073&lt;&gt;""))),"")</f>
        <v>23.399390394292269</v>
      </c>
      <c r="W775" cm="1">
        <f t="array" ref="W775">IFERROR(AVERAGE(_xlfn._xlws.FILTER(Q$2:Q$1073,($C$2:$C$1073=$C775)*($E$2:$E$1073=$E775)*(ROW(Q$2:Q$1073)&lt;&gt;ROW(Q775))*(Q$2:Q$1073&lt;&gt;""))),"")</f>
        <v>3.3954846784790244E-2</v>
      </c>
      <c r="X775" cm="1">
        <f t="array" ref="X775">IFERROR(AVERAGE(_xlfn._xlws.FILTER(R$2:R$1073,($C$2:$C$1073=$C775)*($E$2:$E$1073=$E775)*(ROW(R$2:R$1073)&lt;&gt;ROW(R775))*(R$2:R$1073&lt;&gt;""))),"")</f>
        <v>0.60261811450317082</v>
      </c>
      <c r="Y775" cm="1">
        <f t="array" ref="Y775">IFERROR(AVERAGE(_xlfn._xlws.FILTER(S$2:S$1073,($C$2:$C$1073=$C775)*($E$2:$E$1073=$E775)*(ROW(S$2:S$1073)&lt;&gt;ROW(S775))*(S$2:S$1073&lt;&gt;""))),"")</f>
        <v>0.8757408540128081</v>
      </c>
      <c r="Z775" cm="1">
        <f t="array" ref="Z775">IFERROR(AVERAGE(_xlfn._xlws.FILTER(T$2:T$1073,($C$2:$C$1073=$C775)*($E$2:$E$1073=$E775)*(ROW(T$2:T$1073)&lt;&gt;ROW(T775))*(T$2:T$1073&lt;&gt;""))),"")</f>
        <v>0.26070423168654877</v>
      </c>
      <c r="AA775" cm="1">
        <f t="array" ref="AA775">IFERROR(AVERAGE(_xlfn._xlws.FILTER(U$2:U$1073,($C$2:$C$1073=$C775)*($E$2:$E$1073=$E775)*(ROW(U$2:U$1073)&lt;&gt;ROW(U775))*(U$2:U$1073&lt;&gt;""))),"")</f>
        <v>3.9797585422227604</v>
      </c>
    </row>
    <row r="776" spans="1:27" x14ac:dyDescent="0.2">
      <c r="A776" s="7" t="s">
        <v>2275</v>
      </c>
      <c r="B776" t="str">
        <f t="shared" si="134"/>
        <v>CNRU IV кв. 2019</v>
      </c>
      <c r="C776">
        <v>2019</v>
      </c>
      <c r="D776">
        <f>SUMIFS(Дивиденды!$C:$C,Дивиденды!$A:$A,A776,Дивиденды!$I:$I,C776)</f>
        <v>0</v>
      </c>
      <c r="E776">
        <v>5</v>
      </c>
      <c r="F776">
        <f t="shared" si="135"/>
        <v>0</v>
      </c>
      <c r="G776">
        <f t="shared" si="136"/>
        <v>0</v>
      </c>
      <c r="H776">
        <f t="shared" si="137"/>
        <v>0</v>
      </c>
      <c r="I776">
        <f t="shared" si="133"/>
        <v>0</v>
      </c>
      <c r="J776">
        <f t="shared" si="138"/>
        <v>0</v>
      </c>
      <c r="K776">
        <f t="shared" si="142"/>
        <v>0</v>
      </c>
      <c r="L776">
        <f t="shared" si="139"/>
        <v>0</v>
      </c>
      <c r="M776">
        <f t="shared" si="132"/>
        <v>0</v>
      </c>
      <c r="N776">
        <f t="shared" si="140"/>
        <v>0</v>
      </c>
      <c r="O776">
        <f t="shared" si="141"/>
        <v>0</v>
      </c>
      <c r="P776" t="str">
        <f>IFERROR(LN('Дивиденды по годам'!I776),"")</f>
        <v/>
      </c>
      <c r="Q776" t="str">
        <f>IFERROR('Дивиденды по годам'!G776/'Дивиденды по годам'!I776, "")</f>
        <v/>
      </c>
      <c r="R776" t="str">
        <f>IFERROR(IF(AND('Дивиденды по годам'!N776&lt;&gt;"",'Дивиденды по годам'!U776&lt;&gt;"",'Дивиденды по годам'!U776&lt;&gt;0),'Дивиденды по годам'!N776/'Дивиденды по годам'!U776-1,""),"")</f>
        <v/>
      </c>
      <c r="S776" t="str">
        <f>IFERROR(IF(AND('Дивиденды по годам'!L776&lt;&gt;"",'Дивиденды по годам'!I776&lt;&gt;"",'Дивиденды по годам'!J776&lt;&gt;"",'Дивиденды по годам'!K776&lt;&gt;"",('Дивиденды по годам'!I776-'Дивиденды по годам'!J776-'Дивиденды по годам'!K776)&lt;&gt;0),'Дивиденды по годам'!L776/('Дивиденды по годам'!I776-'Дивиденды по годам'!J776-'Дивиденды по годам'!K776),""),"")</f>
        <v/>
      </c>
      <c r="T776" t="str">
        <f>IFERROR(IF(AND('Дивиденды по годам'!Q776&lt;&gt;"",'Дивиденды по годам'!I776&lt;&gt;"",'Дивиденды по годам'!V776&lt;&gt;"",('Дивиденды по годам'!I776+'Дивиденды по годам'!V776)&lt;&gt;0),'Дивиденды по годам'!Q776/(('Дивиденды по годам'!I776+'Дивиденды по годам'!V776)/2),""),"")</f>
        <v/>
      </c>
      <c r="U776" t="str">
        <f>IFERROR(IF(AND('Дивиденды по годам'!J776&lt;&gt;"",'Дивиденды по годам'!K776&lt;&gt;"",'Дивиденды по годам'!M776&lt;&gt;"",'Дивиденды по годам'!M776&lt;&gt;0),('Дивиденды по годам'!J776+'Дивиденды по годам'!K776)/'Дивиденды по годам'!M776,""),"")</f>
        <v/>
      </c>
      <c r="V776" cm="1">
        <f t="array" ref="V776">IFERROR(AVERAGE(_xlfn._xlws.FILTER(P$2:P$1073,($C$2:$C$1073=$C776)*($E$2:$E$1073=$E776)*(ROW(P$2:P$1073)&lt;&gt;ROW(P776))*(P$2:P$1073&lt;&gt;""))),"")</f>
        <v>22.346825762693463</v>
      </c>
      <c r="W776" cm="1">
        <f t="array" ref="W776">IFERROR(AVERAGE(_xlfn._xlws.FILTER(Q$2:Q$1073,($C$2:$C$1073=$C776)*($E$2:$E$1073=$E776)*(ROW(Q$2:Q$1073)&lt;&gt;ROW(Q776))*(Q$2:Q$1073&lt;&gt;""))),"")</f>
        <v>7.5056136613850494E-2</v>
      </c>
      <c r="X776" cm="1">
        <f t="array" ref="X776">IFERROR(AVERAGE(_xlfn._xlws.FILTER(R$2:R$1073,($C$2:$C$1073=$C776)*($E$2:$E$1073=$E776)*(ROW(R$2:R$1073)&lt;&gt;ROW(R776))*(R$2:R$1073&lt;&gt;""))),"")</f>
        <v>0.33893563509351354</v>
      </c>
      <c r="Y776" cm="1">
        <f t="array" ref="Y776">IFERROR(AVERAGE(_xlfn._xlws.FILTER(S$2:S$1073,($C$2:$C$1073=$C776)*($E$2:$E$1073=$E776)*(ROW(S$2:S$1073)&lt;&gt;ROW(S776))*(S$2:S$1073&lt;&gt;""))),"")</f>
        <v>0.96665544321096464</v>
      </c>
      <c r="Z776" cm="1">
        <f t="array" ref="Z776">IFERROR(AVERAGE(_xlfn._xlws.FILTER(T$2:T$1073,($C$2:$C$1073=$C776)*($E$2:$E$1073=$E776)*(ROW(T$2:T$1073)&lt;&gt;ROW(T776))*(T$2:T$1073&lt;&gt;""))),"")</f>
        <v>3.4488878181792075E-2</v>
      </c>
      <c r="AA776" cm="1">
        <f t="array" ref="AA776">IFERROR(AVERAGE(_xlfn._xlws.FILTER(U$2:U$1073,($C$2:$C$1073=$C776)*($E$2:$E$1073=$E776)*(ROW(U$2:U$1073)&lt;&gt;ROW(U776))*(U$2:U$1073&lt;&gt;""))),"")</f>
        <v>4.0219461472187286</v>
      </c>
    </row>
    <row r="777" spans="1:27" x14ac:dyDescent="0.2">
      <c r="A777" s="7" t="s">
        <v>2275</v>
      </c>
      <c r="B777" t="str">
        <f t="shared" si="134"/>
        <v>CNRU IV кв. 2018</v>
      </c>
      <c r="C777">
        <v>2018</v>
      </c>
      <c r="D777">
        <f>SUMIFS(Дивиденды!$C:$C,Дивиденды!$A:$A,A777,Дивиденды!$I:$I,C777)</f>
        <v>0</v>
      </c>
      <c r="E777">
        <v>5</v>
      </c>
      <c r="F777">
        <f t="shared" si="135"/>
        <v>0</v>
      </c>
      <c r="G777">
        <f t="shared" si="136"/>
        <v>0</v>
      </c>
      <c r="H777">
        <f t="shared" si="137"/>
        <v>0</v>
      </c>
      <c r="I777">
        <f t="shared" si="133"/>
        <v>0</v>
      </c>
      <c r="J777">
        <f t="shared" si="138"/>
        <v>0</v>
      </c>
      <c r="K777">
        <f t="shared" si="142"/>
        <v>0</v>
      </c>
      <c r="L777">
        <f t="shared" si="139"/>
        <v>0</v>
      </c>
      <c r="M777">
        <f t="shared" si="132"/>
        <v>0</v>
      </c>
      <c r="N777">
        <f t="shared" si="140"/>
        <v>0</v>
      </c>
      <c r="O777">
        <f t="shared" si="141"/>
        <v>0</v>
      </c>
      <c r="P777" t="str">
        <f>IFERROR(LN('Дивиденды по годам'!I777),"")</f>
        <v/>
      </c>
      <c r="Q777" t="str">
        <f>IFERROR('Дивиденды по годам'!G777/'Дивиденды по годам'!I777, "")</f>
        <v/>
      </c>
      <c r="R777" t="str">
        <f>IFERROR(IF(AND('Дивиденды по годам'!N777&lt;&gt;"",'Дивиденды по годам'!U777&lt;&gt;"",'Дивиденды по годам'!U777&lt;&gt;0),'Дивиденды по годам'!N777/'Дивиденды по годам'!U777-1,""),"")</f>
        <v/>
      </c>
      <c r="S777" t="str">
        <f>IFERROR(IF(AND('Дивиденды по годам'!L777&lt;&gt;"",'Дивиденды по годам'!I777&lt;&gt;"",'Дивиденды по годам'!J777&lt;&gt;"",'Дивиденды по годам'!K777&lt;&gt;"",('Дивиденды по годам'!I777-'Дивиденды по годам'!J777-'Дивиденды по годам'!K777)&lt;&gt;0),'Дивиденды по годам'!L777/('Дивиденды по годам'!I777-'Дивиденды по годам'!J777-'Дивиденды по годам'!K777),""),"")</f>
        <v/>
      </c>
      <c r="T777" t="str">
        <f>IFERROR(IF(AND('Дивиденды по годам'!Q777&lt;&gt;"",'Дивиденды по годам'!I777&lt;&gt;"",'Дивиденды по годам'!V777&lt;&gt;"",('Дивиденды по годам'!I777+'Дивиденды по годам'!V777)&lt;&gt;0),'Дивиденды по годам'!Q777/(('Дивиденды по годам'!I777+'Дивиденды по годам'!V777)/2),""),"")</f>
        <v/>
      </c>
      <c r="U777" t="str">
        <f>IFERROR(IF(AND('Дивиденды по годам'!J777&lt;&gt;"",'Дивиденды по годам'!K777&lt;&gt;"",'Дивиденды по годам'!M777&lt;&gt;"",'Дивиденды по годам'!M777&lt;&gt;0),('Дивиденды по годам'!J777+'Дивиденды по годам'!K777)/'Дивиденды по годам'!M777,""),"")</f>
        <v/>
      </c>
      <c r="V777" cm="1">
        <f t="array" ref="V777">IFERROR(AVERAGE(_xlfn._xlws.FILTER(P$2:P$1073,($C$2:$C$1073=$C777)*($E$2:$E$1073=$E777)*(ROW(P$2:P$1073)&lt;&gt;ROW(P777))*(P$2:P$1073&lt;&gt;""))),"")</f>
        <v>22.172578892977874</v>
      </c>
      <c r="W777" cm="1">
        <f t="array" ref="W777">IFERROR(AVERAGE(_xlfn._xlws.FILTER(Q$2:Q$1073,($C$2:$C$1073=$C777)*($E$2:$E$1073=$E777)*(ROW(Q$2:Q$1073)&lt;&gt;ROW(Q777))*(Q$2:Q$1073&lt;&gt;""))),"")</f>
        <v>8.054458642308425E-2</v>
      </c>
      <c r="X777" t="str" cm="1">
        <f t="array" ref="X777">IFERROR(AVERAGE(_xlfn._xlws.FILTER(R$2:R$1073,($C$2:$C$1073=$C777)*($E$2:$E$1073=$E777)*(ROW(R$2:R$1073)&lt;&gt;ROW(R777))*(R$2:R$1073&lt;&gt;""))),"")</f>
        <v/>
      </c>
      <c r="Y777" cm="1">
        <f t="array" ref="Y777">IFERROR(AVERAGE(_xlfn._xlws.FILTER(S$2:S$1073,($C$2:$C$1073=$C777)*($E$2:$E$1073=$E777)*(ROW(S$2:S$1073)&lt;&gt;ROW(S777))*(S$2:S$1073&lt;&gt;""))),"")</f>
        <v>0.96159636867391751</v>
      </c>
      <c r="Z777" t="str" cm="1">
        <f t="array" ref="Z777">IFERROR(AVERAGE(_xlfn._xlws.FILTER(T$2:T$1073,($C$2:$C$1073=$C777)*($E$2:$E$1073=$E777)*(ROW(T$2:T$1073)&lt;&gt;ROW(T777))*(T$2:T$1073&lt;&gt;""))),"")</f>
        <v/>
      </c>
      <c r="AA777" cm="1">
        <f t="array" ref="AA777">IFERROR(AVERAGE(_xlfn._xlws.FILTER(U$2:U$1073,($C$2:$C$1073=$C777)*($E$2:$E$1073=$E777)*(ROW(U$2:U$1073)&lt;&gt;ROW(U777))*(U$2:U$1073&lt;&gt;""))),"")</f>
        <v>4.0227688861378841</v>
      </c>
    </row>
    <row r="778" spans="1:27" x14ac:dyDescent="0.2">
      <c r="A778" s="7" t="s">
        <v>2275</v>
      </c>
      <c r="B778" t="str">
        <f t="shared" si="134"/>
        <v>CNRU IV кв. 2017</v>
      </c>
      <c r="C778">
        <v>2017</v>
      </c>
      <c r="D778">
        <f>SUMIFS(Дивиденды!$C:$C,Дивиденды!$A:$A,A778,Дивиденды!$I:$I,C778)</f>
        <v>0</v>
      </c>
      <c r="E778">
        <v>5</v>
      </c>
      <c r="F778">
        <f t="shared" si="135"/>
        <v>0</v>
      </c>
      <c r="G778">
        <f t="shared" si="136"/>
        <v>0</v>
      </c>
      <c r="H778">
        <f t="shared" si="137"/>
        <v>0</v>
      </c>
      <c r="I778">
        <f t="shared" si="133"/>
        <v>0</v>
      </c>
      <c r="J778">
        <f t="shared" si="138"/>
        <v>0</v>
      </c>
      <c r="K778">
        <f t="shared" si="142"/>
        <v>0</v>
      </c>
      <c r="L778">
        <f t="shared" si="139"/>
        <v>0</v>
      </c>
      <c r="M778">
        <f t="shared" si="132"/>
        <v>0</v>
      </c>
      <c r="N778">
        <f t="shared" si="140"/>
        <v>0</v>
      </c>
      <c r="O778">
        <f t="shared" si="141"/>
        <v>0</v>
      </c>
      <c r="P778" t="str">
        <f>IFERROR(LN('Дивиденды по годам'!I778),"")</f>
        <v/>
      </c>
      <c r="Q778" t="str">
        <f>IFERROR('Дивиденды по годам'!G778/'Дивиденды по годам'!I778, "")</f>
        <v/>
      </c>
      <c r="R778" t="str">
        <f>IFERROR(IF(AND('Дивиденды по годам'!N778&lt;&gt;"",'Дивиденды по годам'!U778&lt;&gt;"",'Дивиденды по годам'!U778&lt;&gt;0),'Дивиденды по годам'!N778/'Дивиденды по годам'!U778-1,""),"")</f>
        <v/>
      </c>
      <c r="S778" t="str">
        <f>IFERROR(IF(AND('Дивиденды по годам'!L778&lt;&gt;"",'Дивиденды по годам'!I778&lt;&gt;"",'Дивиденды по годам'!J778&lt;&gt;"",'Дивиденды по годам'!K778&lt;&gt;"",('Дивиденды по годам'!I778-'Дивиденды по годам'!J778-'Дивиденды по годам'!K778)&lt;&gt;0),'Дивиденды по годам'!L778/('Дивиденды по годам'!I778-'Дивиденды по годам'!J778-'Дивиденды по годам'!K778),""),"")</f>
        <v/>
      </c>
      <c r="T778" t="str">
        <f>IFERROR(IF(AND('Дивиденды по годам'!Q778&lt;&gt;"",'Дивиденды по годам'!I778&lt;&gt;"",'Дивиденды по годам'!V778&lt;&gt;"",('Дивиденды по годам'!I778+'Дивиденды по годам'!V778)&lt;&gt;0),'Дивиденды по годам'!Q778/(('Дивиденды по годам'!I778+'Дивиденды по годам'!V778)/2),""),"")</f>
        <v/>
      </c>
      <c r="U778" t="str">
        <f>IFERROR(IF(AND('Дивиденды по годам'!J778&lt;&gt;"",'Дивиденды по годам'!K778&lt;&gt;"",'Дивиденды по годам'!M778&lt;&gt;"",'Дивиденды по годам'!M778&lt;&gt;0),('Дивиденды по годам'!J778+'Дивиденды по годам'!K778)/'Дивиденды по годам'!M778,""),"")</f>
        <v/>
      </c>
      <c r="V778" t="str" cm="1">
        <f t="array" ref="V778">IFERROR(AVERAGE(_xlfn._xlws.FILTER(P$2:P$1073,($C$2:$C$1073=$C778)*($E$2:$E$1073=$E778)*(ROW(P$2:P$1073)&lt;&gt;ROW(P778))*(P$2:P$1073&lt;&gt;""))),"")</f>
        <v/>
      </c>
      <c r="W778" t="str" cm="1">
        <f t="array" ref="W778">IFERROR(AVERAGE(_xlfn._xlws.FILTER(Q$2:Q$1073,($C$2:$C$1073=$C778)*($E$2:$E$1073=$E778)*(ROW(Q$2:Q$1073)&lt;&gt;ROW(Q778))*(Q$2:Q$1073&lt;&gt;""))),"")</f>
        <v/>
      </c>
      <c r="X778" t="str" cm="1">
        <f t="array" ref="X778">IFERROR(AVERAGE(_xlfn._xlws.FILTER(R$2:R$1073,($C$2:$C$1073=$C778)*($E$2:$E$1073=$E778)*(ROW(R$2:R$1073)&lt;&gt;ROW(R778))*(R$2:R$1073&lt;&gt;""))),"")</f>
        <v/>
      </c>
      <c r="Y778" t="str" cm="1">
        <f t="array" ref="Y778">IFERROR(AVERAGE(_xlfn._xlws.FILTER(S$2:S$1073,($C$2:$C$1073=$C778)*($E$2:$E$1073=$E778)*(ROW(S$2:S$1073)&lt;&gt;ROW(S778))*(S$2:S$1073&lt;&gt;""))),"")</f>
        <v/>
      </c>
      <c r="Z778" t="str" cm="1">
        <f t="array" ref="Z778">IFERROR(AVERAGE(_xlfn._xlws.FILTER(T$2:T$1073,($C$2:$C$1073=$C778)*($E$2:$E$1073=$E778)*(ROW(T$2:T$1073)&lt;&gt;ROW(T778))*(T$2:T$1073&lt;&gt;""))),"")</f>
        <v/>
      </c>
      <c r="AA778" t="str" cm="1">
        <f t="array" ref="AA778">IFERROR(AVERAGE(_xlfn._xlws.FILTER(U$2:U$1073,($C$2:$C$1073=$C778)*($E$2:$E$1073=$E778)*(ROW(U$2:U$1073)&lt;&gt;ROW(U778))*(U$2:U$1073&lt;&gt;""))),"")</f>
        <v/>
      </c>
    </row>
    <row r="779" spans="1:27" x14ac:dyDescent="0.2">
      <c r="A779" s="7" t="s">
        <v>2275</v>
      </c>
      <c r="B779" t="str">
        <f t="shared" si="134"/>
        <v>CNRU IV кв. 2016</v>
      </c>
      <c r="C779">
        <v>2016</v>
      </c>
      <c r="D779">
        <f>SUMIFS(Дивиденды!$C:$C,Дивиденды!$A:$A,A779,Дивиденды!$I:$I,C779)</f>
        <v>0</v>
      </c>
      <c r="E779">
        <v>5</v>
      </c>
      <c r="F779">
        <f t="shared" si="135"/>
        <v>0</v>
      </c>
      <c r="G779">
        <f t="shared" si="136"/>
        <v>0</v>
      </c>
      <c r="H779">
        <f t="shared" si="137"/>
        <v>0</v>
      </c>
      <c r="I779">
        <f t="shared" si="133"/>
        <v>0</v>
      </c>
      <c r="J779">
        <f t="shared" si="138"/>
        <v>0</v>
      </c>
      <c r="K779">
        <f t="shared" si="142"/>
        <v>0</v>
      </c>
      <c r="L779">
        <f t="shared" si="139"/>
        <v>0</v>
      </c>
      <c r="M779">
        <f t="shared" si="132"/>
        <v>0</v>
      </c>
      <c r="N779">
        <f t="shared" si="140"/>
        <v>0</v>
      </c>
      <c r="O779">
        <f t="shared" si="141"/>
        <v>0</v>
      </c>
      <c r="P779" t="str">
        <f>IFERROR(LN('Дивиденды по годам'!I779),"")</f>
        <v/>
      </c>
      <c r="Q779" t="str">
        <f>IFERROR('Дивиденды по годам'!G779/'Дивиденды по годам'!I779, "")</f>
        <v/>
      </c>
      <c r="R779" t="str">
        <f>IFERROR(IF(AND('Дивиденды по годам'!N779&lt;&gt;"",'Дивиденды по годам'!U779&lt;&gt;"",'Дивиденды по годам'!U779&lt;&gt;0),'Дивиденды по годам'!N779/'Дивиденды по годам'!U779-1,""),"")</f>
        <v/>
      </c>
      <c r="S779" t="str">
        <f>IFERROR(IF(AND('Дивиденды по годам'!L779&lt;&gt;"",'Дивиденды по годам'!I779&lt;&gt;"",'Дивиденды по годам'!J779&lt;&gt;"",'Дивиденды по годам'!K779&lt;&gt;"",('Дивиденды по годам'!I779-'Дивиденды по годам'!J779-'Дивиденды по годам'!K779)&lt;&gt;0),'Дивиденды по годам'!L779/('Дивиденды по годам'!I779-'Дивиденды по годам'!J779-'Дивиденды по годам'!K779),""),"")</f>
        <v/>
      </c>
      <c r="T779" t="str">
        <f>IFERROR(IF(AND('Дивиденды по годам'!Q779&lt;&gt;"",'Дивиденды по годам'!I779&lt;&gt;"",'Дивиденды по годам'!V779&lt;&gt;"",('Дивиденды по годам'!I779+'Дивиденды по годам'!V779)&lt;&gt;0),'Дивиденды по годам'!Q779/(('Дивиденды по годам'!I779+'Дивиденды по годам'!V779)/2),""),"")</f>
        <v/>
      </c>
      <c r="U779" t="str">
        <f>IFERROR(IF(AND('Дивиденды по годам'!J779&lt;&gt;"",'Дивиденды по годам'!K779&lt;&gt;"",'Дивиденды по годам'!M779&lt;&gt;"",'Дивиденды по годам'!M779&lt;&gt;0),('Дивиденды по годам'!J779+'Дивиденды по годам'!K779)/'Дивиденды по годам'!M779,""),"")</f>
        <v/>
      </c>
      <c r="V779" t="str" cm="1">
        <f t="array" ref="V779">IFERROR(AVERAGE(_xlfn._xlws.FILTER(P$2:P$1073,($C$2:$C$1073=$C779)*($E$2:$E$1073=$E779)*(ROW(P$2:P$1073)&lt;&gt;ROW(P779))*(P$2:P$1073&lt;&gt;""))),"")</f>
        <v/>
      </c>
      <c r="W779" t="str" cm="1">
        <f t="array" ref="W779">IFERROR(AVERAGE(_xlfn._xlws.FILTER(Q$2:Q$1073,($C$2:$C$1073=$C779)*($E$2:$E$1073=$E779)*(ROW(Q$2:Q$1073)&lt;&gt;ROW(Q779))*(Q$2:Q$1073&lt;&gt;""))),"")</f>
        <v/>
      </c>
      <c r="X779" t="str" cm="1">
        <f t="array" ref="X779">IFERROR(AVERAGE(_xlfn._xlws.FILTER(R$2:R$1073,($C$2:$C$1073=$C779)*($E$2:$E$1073=$E779)*(ROW(R$2:R$1073)&lt;&gt;ROW(R779))*(R$2:R$1073&lt;&gt;""))),"")</f>
        <v/>
      </c>
      <c r="Y779" t="str" cm="1">
        <f t="array" ref="Y779">IFERROR(AVERAGE(_xlfn._xlws.FILTER(S$2:S$1073,($C$2:$C$1073=$C779)*($E$2:$E$1073=$E779)*(ROW(S$2:S$1073)&lt;&gt;ROW(S779))*(S$2:S$1073&lt;&gt;""))),"")</f>
        <v/>
      </c>
      <c r="Z779" t="str" cm="1">
        <f t="array" ref="Z779">IFERROR(AVERAGE(_xlfn._xlws.FILTER(T$2:T$1073,($C$2:$C$1073=$C779)*($E$2:$E$1073=$E779)*(ROW(T$2:T$1073)&lt;&gt;ROW(T779))*(T$2:T$1073&lt;&gt;""))),"")</f>
        <v/>
      </c>
      <c r="AA779" t="str" cm="1">
        <f t="array" ref="AA779">IFERROR(AVERAGE(_xlfn._xlws.FILTER(U$2:U$1073,($C$2:$C$1073=$C779)*($E$2:$E$1073=$E779)*(ROW(U$2:U$1073)&lt;&gt;ROW(U779))*(U$2:U$1073&lt;&gt;""))),"")</f>
        <v/>
      </c>
    </row>
    <row r="780" spans="1:27" x14ac:dyDescent="0.2">
      <c r="A780" s="7" t="s">
        <v>2275</v>
      </c>
      <c r="B780" t="str">
        <f t="shared" si="134"/>
        <v>CNRU IV кв. 2015</v>
      </c>
      <c r="C780">
        <v>2015</v>
      </c>
      <c r="D780">
        <f>SUMIFS(Дивиденды!$C:$C,Дивиденды!$A:$A,A780,Дивиденды!$I:$I,C780)</f>
        <v>0</v>
      </c>
      <c r="E780">
        <v>5</v>
      </c>
      <c r="F780">
        <f t="shared" si="135"/>
        <v>0</v>
      </c>
      <c r="G780">
        <f t="shared" si="136"/>
        <v>0</v>
      </c>
      <c r="H780">
        <f t="shared" si="137"/>
        <v>0</v>
      </c>
      <c r="I780">
        <f t="shared" si="133"/>
        <v>0</v>
      </c>
      <c r="J780">
        <f t="shared" si="138"/>
        <v>0</v>
      </c>
      <c r="K780">
        <f t="shared" si="142"/>
        <v>0</v>
      </c>
      <c r="L780">
        <f t="shared" si="139"/>
        <v>0</v>
      </c>
      <c r="M780">
        <f t="shared" si="132"/>
        <v>0</v>
      </c>
      <c r="N780">
        <f t="shared" si="140"/>
        <v>0</v>
      </c>
      <c r="O780">
        <f t="shared" si="141"/>
        <v>0</v>
      </c>
      <c r="P780" t="str">
        <f>IFERROR(LN('Дивиденды по годам'!I780),"")</f>
        <v/>
      </c>
      <c r="Q780" t="str">
        <f>IFERROR('Дивиденды по годам'!G780/'Дивиденды по годам'!I780, "")</f>
        <v/>
      </c>
      <c r="R780" t="str">
        <f>IFERROR(IF(AND('Дивиденды по годам'!N780&lt;&gt;"",'Дивиденды по годам'!U780&lt;&gt;"",'Дивиденды по годам'!U780&lt;&gt;0),'Дивиденды по годам'!N780/'Дивиденды по годам'!U780-1,""),"")</f>
        <v/>
      </c>
      <c r="S780" t="str">
        <f>IFERROR(IF(AND('Дивиденды по годам'!L780&lt;&gt;"",'Дивиденды по годам'!I780&lt;&gt;"",'Дивиденды по годам'!J780&lt;&gt;"",'Дивиденды по годам'!K780&lt;&gt;"",('Дивиденды по годам'!I780-'Дивиденды по годам'!J780-'Дивиденды по годам'!K780)&lt;&gt;0),'Дивиденды по годам'!L780/('Дивиденды по годам'!I780-'Дивиденды по годам'!J780-'Дивиденды по годам'!K780),""),"")</f>
        <v/>
      </c>
      <c r="T780" t="str">
        <f>IFERROR(IF(AND('Дивиденды по годам'!Q780&lt;&gt;"",'Дивиденды по годам'!I780&lt;&gt;"",'Дивиденды по годам'!V780&lt;&gt;"",('Дивиденды по годам'!I780+'Дивиденды по годам'!V780)&lt;&gt;0),'Дивиденды по годам'!Q780/(('Дивиденды по годам'!I780+'Дивиденды по годам'!V780)/2),""),"")</f>
        <v/>
      </c>
      <c r="U780" t="str">
        <f>IFERROR(IF(AND('Дивиденды по годам'!J780&lt;&gt;"",'Дивиденды по годам'!K780&lt;&gt;"",'Дивиденды по годам'!M780&lt;&gt;"",'Дивиденды по годам'!M780&lt;&gt;0),('Дивиденды по годам'!J780+'Дивиденды по годам'!K780)/'Дивиденды по годам'!M780,""),"")</f>
        <v/>
      </c>
      <c r="V780" t="str" cm="1">
        <f t="array" ref="V780">IFERROR(AVERAGE(_xlfn._xlws.FILTER(P$2:P$1073,($C$2:$C$1073=$C780)*($E$2:$E$1073=$E780)*(ROW(P$2:P$1073)&lt;&gt;ROW(P780))*(P$2:P$1073&lt;&gt;""))),"")</f>
        <v/>
      </c>
      <c r="W780" t="str" cm="1">
        <f t="array" ref="W780">IFERROR(AVERAGE(_xlfn._xlws.FILTER(Q$2:Q$1073,($C$2:$C$1073=$C780)*($E$2:$E$1073=$E780)*(ROW(Q$2:Q$1073)&lt;&gt;ROW(Q780))*(Q$2:Q$1073&lt;&gt;""))),"")</f>
        <v/>
      </c>
      <c r="X780" t="str" cm="1">
        <f t="array" ref="X780">IFERROR(AVERAGE(_xlfn._xlws.FILTER(R$2:R$1073,($C$2:$C$1073=$C780)*($E$2:$E$1073=$E780)*(ROW(R$2:R$1073)&lt;&gt;ROW(R780))*(R$2:R$1073&lt;&gt;""))),"")</f>
        <v/>
      </c>
      <c r="Y780" t="str" cm="1">
        <f t="array" ref="Y780">IFERROR(AVERAGE(_xlfn._xlws.FILTER(S$2:S$1073,($C$2:$C$1073=$C780)*($E$2:$E$1073=$E780)*(ROW(S$2:S$1073)&lt;&gt;ROW(S780))*(S$2:S$1073&lt;&gt;""))),"")</f>
        <v/>
      </c>
      <c r="Z780" t="str" cm="1">
        <f t="array" ref="Z780">IFERROR(AVERAGE(_xlfn._xlws.FILTER(T$2:T$1073,($C$2:$C$1073=$C780)*($E$2:$E$1073=$E780)*(ROW(T$2:T$1073)&lt;&gt;ROW(T780))*(T$2:T$1073&lt;&gt;""))),"")</f>
        <v/>
      </c>
      <c r="AA780" t="str" cm="1">
        <f t="array" ref="AA780">IFERROR(AVERAGE(_xlfn._xlws.FILTER(U$2:U$1073,($C$2:$C$1073=$C780)*($E$2:$E$1073=$E780)*(ROW(U$2:U$1073)&lt;&gt;ROW(U780))*(U$2:U$1073&lt;&gt;""))),"")</f>
        <v/>
      </c>
    </row>
    <row r="781" spans="1:27" x14ac:dyDescent="0.2">
      <c r="A781" s="7" t="s">
        <v>2275</v>
      </c>
      <c r="B781" t="str">
        <f t="shared" si="134"/>
        <v>CNRU IV кв. 2014</v>
      </c>
      <c r="C781">
        <v>2014</v>
      </c>
      <c r="D781">
        <f>SUMIFS(Дивиденды!$C:$C,Дивиденды!$A:$A,A781,Дивиденды!$I:$I,C781)</f>
        <v>0</v>
      </c>
      <c r="E781">
        <v>5</v>
      </c>
      <c r="F781">
        <f t="shared" si="135"/>
        <v>0</v>
      </c>
      <c r="G781">
        <f t="shared" si="136"/>
        <v>0</v>
      </c>
      <c r="H781">
        <f t="shared" si="137"/>
        <v>0</v>
      </c>
      <c r="I781">
        <f t="shared" si="133"/>
        <v>0</v>
      </c>
      <c r="J781">
        <f t="shared" si="138"/>
        <v>0</v>
      </c>
      <c r="K781">
        <f t="shared" si="142"/>
        <v>0</v>
      </c>
      <c r="L781">
        <f t="shared" si="139"/>
        <v>0</v>
      </c>
      <c r="M781">
        <f t="shared" si="132"/>
        <v>0</v>
      </c>
      <c r="N781">
        <f t="shared" si="140"/>
        <v>0</v>
      </c>
      <c r="O781">
        <f t="shared" si="141"/>
        <v>0</v>
      </c>
      <c r="P781" t="str">
        <f>IFERROR(LN('Дивиденды по годам'!I781),"")</f>
        <v/>
      </c>
      <c r="Q781" t="str">
        <f>IFERROR('Дивиденды по годам'!G781/'Дивиденды по годам'!I781, "")</f>
        <v/>
      </c>
      <c r="R781" t="str">
        <f>IFERROR(IF(AND('Дивиденды по годам'!N781&lt;&gt;"",'Дивиденды по годам'!U781&lt;&gt;"",'Дивиденды по годам'!U781&lt;&gt;0),'Дивиденды по годам'!N781/'Дивиденды по годам'!U781-1,""),"")</f>
        <v/>
      </c>
      <c r="S781" t="str">
        <f>IFERROR(IF(AND('Дивиденды по годам'!L781&lt;&gt;"",'Дивиденды по годам'!I781&lt;&gt;"",'Дивиденды по годам'!J781&lt;&gt;"",'Дивиденды по годам'!K781&lt;&gt;"",('Дивиденды по годам'!I781-'Дивиденды по годам'!J781-'Дивиденды по годам'!K781)&lt;&gt;0),'Дивиденды по годам'!L781/('Дивиденды по годам'!I781-'Дивиденды по годам'!J781-'Дивиденды по годам'!K781),""),"")</f>
        <v/>
      </c>
      <c r="T781" t="str">
        <f>IFERROR(IF(AND('Дивиденды по годам'!Q781&lt;&gt;"",'Дивиденды по годам'!I781&lt;&gt;"",'Дивиденды по годам'!V781&lt;&gt;"",('Дивиденды по годам'!I781+'Дивиденды по годам'!V781)&lt;&gt;0),'Дивиденды по годам'!Q781/(('Дивиденды по годам'!I781+'Дивиденды по годам'!V781)/2),""),"")</f>
        <v/>
      </c>
      <c r="U781" t="str">
        <f>IFERROR(IF(AND('Дивиденды по годам'!J781&lt;&gt;"",'Дивиденды по годам'!K781&lt;&gt;"",'Дивиденды по годам'!M781&lt;&gt;"",'Дивиденды по годам'!M781&lt;&gt;0),('Дивиденды по годам'!J781+'Дивиденды по годам'!K781)/'Дивиденды по годам'!M781,""),"")</f>
        <v/>
      </c>
      <c r="V781" t="str" cm="1">
        <f t="array" ref="V781">IFERROR(AVERAGE(_xlfn._xlws.FILTER(P$2:P$1073,($C$2:$C$1073=$C781)*($E$2:$E$1073=$E781)*(ROW(P$2:P$1073)&lt;&gt;ROW(P781))*(P$2:P$1073&lt;&gt;""))),"")</f>
        <v/>
      </c>
      <c r="W781" t="str" cm="1">
        <f t="array" ref="W781">IFERROR(AVERAGE(_xlfn._xlws.FILTER(Q$2:Q$1073,($C$2:$C$1073=$C781)*($E$2:$E$1073=$E781)*(ROW(Q$2:Q$1073)&lt;&gt;ROW(Q781))*(Q$2:Q$1073&lt;&gt;""))),"")</f>
        <v/>
      </c>
      <c r="X781" t="str" cm="1">
        <f t="array" ref="X781">IFERROR(AVERAGE(_xlfn._xlws.FILTER(R$2:R$1073,($C$2:$C$1073=$C781)*($E$2:$E$1073=$E781)*(ROW(R$2:R$1073)&lt;&gt;ROW(R781))*(R$2:R$1073&lt;&gt;""))),"")</f>
        <v/>
      </c>
      <c r="Y781" t="str" cm="1">
        <f t="array" ref="Y781">IFERROR(AVERAGE(_xlfn._xlws.FILTER(S$2:S$1073,($C$2:$C$1073=$C781)*($E$2:$E$1073=$E781)*(ROW(S$2:S$1073)&lt;&gt;ROW(S781))*(S$2:S$1073&lt;&gt;""))),"")</f>
        <v/>
      </c>
      <c r="Z781" t="str" cm="1">
        <f t="array" ref="Z781">IFERROR(AVERAGE(_xlfn._xlws.FILTER(T$2:T$1073,($C$2:$C$1073=$C781)*($E$2:$E$1073=$E781)*(ROW(T$2:T$1073)&lt;&gt;ROW(T781))*(T$2:T$1073&lt;&gt;""))),"")</f>
        <v/>
      </c>
      <c r="AA781" t="str" cm="1">
        <f t="array" ref="AA781">IFERROR(AVERAGE(_xlfn._xlws.FILTER(U$2:U$1073,($C$2:$C$1073=$C781)*($E$2:$E$1073=$E781)*(ROW(U$2:U$1073)&lt;&gt;ROW(U781))*(U$2:U$1073&lt;&gt;""))),"")</f>
        <v/>
      </c>
    </row>
    <row r="782" spans="1:27" x14ac:dyDescent="0.2">
      <c r="A782" s="7" t="s">
        <v>2275</v>
      </c>
      <c r="B782" t="str">
        <f t="shared" si="134"/>
        <v>CNRU IV кв. 2013</v>
      </c>
      <c r="C782">
        <v>2013</v>
      </c>
      <c r="D782">
        <f>SUMIFS(Дивиденды!$C:$C,Дивиденды!$A:$A,A782,Дивиденды!$I:$I,C782)</f>
        <v>0</v>
      </c>
      <c r="E782">
        <v>5</v>
      </c>
      <c r="F782">
        <f t="shared" si="135"/>
        <v>0</v>
      </c>
      <c r="G782">
        <f t="shared" si="136"/>
        <v>0</v>
      </c>
      <c r="H782">
        <f t="shared" si="137"/>
        <v>0</v>
      </c>
      <c r="I782">
        <f t="shared" si="133"/>
        <v>0</v>
      </c>
      <c r="J782">
        <f t="shared" si="138"/>
        <v>0</v>
      </c>
      <c r="K782">
        <f t="shared" si="142"/>
        <v>0</v>
      </c>
      <c r="L782">
        <f t="shared" si="139"/>
        <v>0</v>
      </c>
      <c r="M782">
        <f t="shared" si="132"/>
        <v>0</v>
      </c>
      <c r="N782">
        <f t="shared" si="140"/>
        <v>0</v>
      </c>
      <c r="O782">
        <f t="shared" si="141"/>
        <v>0</v>
      </c>
      <c r="P782" t="str">
        <f>IFERROR(LN('Дивиденды по годам'!I782),"")</f>
        <v/>
      </c>
      <c r="Q782" t="str">
        <f>IFERROR('Дивиденды по годам'!G782/'Дивиденды по годам'!I782, "")</f>
        <v/>
      </c>
      <c r="R782" t="str">
        <f>IFERROR(IF(AND('Дивиденды по годам'!N782&lt;&gt;"",'Дивиденды по годам'!U782&lt;&gt;"",'Дивиденды по годам'!U782&lt;&gt;0),'Дивиденды по годам'!N782/'Дивиденды по годам'!U782-1,""),"")</f>
        <v/>
      </c>
      <c r="S782" t="str">
        <f>IFERROR(IF(AND('Дивиденды по годам'!L782&lt;&gt;"",'Дивиденды по годам'!I782&lt;&gt;"",'Дивиденды по годам'!J782&lt;&gt;"",'Дивиденды по годам'!K782&lt;&gt;"",('Дивиденды по годам'!I782-'Дивиденды по годам'!J782-'Дивиденды по годам'!K782)&lt;&gt;0),'Дивиденды по годам'!L782/('Дивиденды по годам'!I782-'Дивиденды по годам'!J782-'Дивиденды по годам'!K782),""),"")</f>
        <v/>
      </c>
      <c r="T782" t="str">
        <f>IFERROR(IF(AND('Дивиденды по годам'!Q782&lt;&gt;"",'Дивиденды по годам'!I782&lt;&gt;"",'Дивиденды по годам'!V782&lt;&gt;"",('Дивиденды по годам'!I782+'Дивиденды по годам'!V782)&lt;&gt;0),'Дивиденды по годам'!Q782/(('Дивиденды по годам'!I782+'Дивиденды по годам'!V782)/2),""),"")</f>
        <v/>
      </c>
      <c r="U782" t="str">
        <f>IFERROR(IF(AND('Дивиденды по годам'!J782&lt;&gt;"",'Дивиденды по годам'!K782&lt;&gt;"",'Дивиденды по годам'!M782&lt;&gt;"",'Дивиденды по годам'!M782&lt;&gt;0),('Дивиденды по годам'!J782+'Дивиденды по годам'!K782)/'Дивиденды по годам'!M782,""),"")</f>
        <v/>
      </c>
      <c r="V782" t="str" cm="1">
        <f t="array" ref="V782">IFERROR(AVERAGE(_xlfn._xlws.FILTER(P$2:P$1073,($C$2:$C$1073=$C782)*($E$2:$E$1073=$E782)*(ROW(P$2:P$1073)&lt;&gt;ROW(P782))*(P$2:P$1073&lt;&gt;""))),"")</f>
        <v/>
      </c>
      <c r="W782" t="str" cm="1">
        <f t="array" ref="W782">IFERROR(AVERAGE(_xlfn._xlws.FILTER(Q$2:Q$1073,($C$2:$C$1073=$C782)*($E$2:$E$1073=$E782)*(ROW(Q$2:Q$1073)&lt;&gt;ROW(Q782))*(Q$2:Q$1073&lt;&gt;""))),"")</f>
        <v/>
      </c>
      <c r="X782" t="str" cm="1">
        <f t="array" ref="X782">IFERROR(AVERAGE(_xlfn._xlws.FILTER(R$2:R$1073,($C$2:$C$1073=$C782)*($E$2:$E$1073=$E782)*(ROW(R$2:R$1073)&lt;&gt;ROW(R782))*(R$2:R$1073&lt;&gt;""))),"")</f>
        <v/>
      </c>
      <c r="Y782" t="str" cm="1">
        <f t="array" ref="Y782">IFERROR(AVERAGE(_xlfn._xlws.FILTER(S$2:S$1073,($C$2:$C$1073=$C782)*($E$2:$E$1073=$E782)*(ROW(S$2:S$1073)&lt;&gt;ROW(S782))*(S$2:S$1073&lt;&gt;""))),"")</f>
        <v/>
      </c>
      <c r="Z782" t="str" cm="1">
        <f t="array" ref="Z782">IFERROR(AVERAGE(_xlfn._xlws.FILTER(T$2:T$1073,($C$2:$C$1073=$C782)*($E$2:$E$1073=$E782)*(ROW(T$2:T$1073)&lt;&gt;ROW(T782))*(T$2:T$1073&lt;&gt;""))),"")</f>
        <v/>
      </c>
      <c r="AA782" t="str" cm="1">
        <f t="array" ref="AA782">IFERROR(AVERAGE(_xlfn._xlws.FILTER(U$2:U$1073,($C$2:$C$1073=$C782)*($E$2:$E$1073=$E782)*(ROW(U$2:U$1073)&lt;&gt;ROW(U782))*(U$2:U$1073&lt;&gt;""))),"")</f>
        <v/>
      </c>
    </row>
    <row r="783" spans="1:27" x14ac:dyDescent="0.2">
      <c r="A783" s="7" t="s">
        <v>2275</v>
      </c>
      <c r="B783" t="str">
        <f t="shared" si="134"/>
        <v>CNRU IV кв. 2012</v>
      </c>
      <c r="C783">
        <v>2012</v>
      </c>
      <c r="D783">
        <f>SUMIFS(Дивиденды!$C:$C,Дивиденды!$A:$A,A783,Дивиденды!$I:$I,C783)</f>
        <v>0</v>
      </c>
      <c r="E783">
        <v>5</v>
      </c>
      <c r="F783">
        <f t="shared" si="135"/>
        <v>0</v>
      </c>
      <c r="G783">
        <f t="shared" si="136"/>
        <v>0</v>
      </c>
      <c r="H783">
        <f t="shared" si="137"/>
        <v>0</v>
      </c>
      <c r="I783">
        <f t="shared" si="133"/>
        <v>0</v>
      </c>
      <c r="J783">
        <f t="shared" si="138"/>
        <v>0</v>
      </c>
      <c r="K783">
        <f t="shared" si="142"/>
        <v>0</v>
      </c>
      <c r="L783">
        <f t="shared" si="139"/>
        <v>0</v>
      </c>
      <c r="M783">
        <f t="shared" si="132"/>
        <v>0</v>
      </c>
      <c r="N783">
        <f t="shared" si="140"/>
        <v>0</v>
      </c>
      <c r="O783">
        <f t="shared" si="141"/>
        <v>0</v>
      </c>
      <c r="P783" t="str">
        <f>IFERROR(LN('Дивиденды по годам'!I783),"")</f>
        <v/>
      </c>
      <c r="Q783" t="str">
        <f>IFERROR('Дивиденды по годам'!G783/'Дивиденды по годам'!I783, "")</f>
        <v/>
      </c>
      <c r="R783" t="str">
        <f>IFERROR(IF(AND('Дивиденды по годам'!N783&lt;&gt;"",'Дивиденды по годам'!U783&lt;&gt;"",'Дивиденды по годам'!U783&lt;&gt;0),'Дивиденды по годам'!N783/'Дивиденды по годам'!U783-1,""),"")</f>
        <v/>
      </c>
      <c r="S783" t="str">
        <f>IFERROR(IF(AND('Дивиденды по годам'!L783&lt;&gt;"",'Дивиденды по годам'!I783&lt;&gt;"",'Дивиденды по годам'!J783&lt;&gt;"",'Дивиденды по годам'!K783&lt;&gt;"",('Дивиденды по годам'!I783-'Дивиденды по годам'!J783-'Дивиденды по годам'!K783)&lt;&gt;0),'Дивиденды по годам'!L783/('Дивиденды по годам'!I783-'Дивиденды по годам'!J783-'Дивиденды по годам'!K783),""),"")</f>
        <v/>
      </c>
      <c r="T783" t="str">
        <f>IFERROR(IF(AND('Дивиденды по годам'!Q783&lt;&gt;"",'Дивиденды по годам'!I783&lt;&gt;"",'Дивиденды по годам'!V783&lt;&gt;"",('Дивиденды по годам'!I783+'Дивиденды по годам'!V783)&lt;&gt;0),'Дивиденды по годам'!Q783/(('Дивиденды по годам'!I783+'Дивиденды по годам'!V783)/2),""),"")</f>
        <v/>
      </c>
      <c r="U783" t="str">
        <f>IFERROR(IF(AND('Дивиденды по годам'!J783&lt;&gt;"",'Дивиденды по годам'!K783&lt;&gt;"",'Дивиденды по годам'!M783&lt;&gt;"",'Дивиденды по годам'!M783&lt;&gt;0),('Дивиденды по годам'!J783+'Дивиденды по годам'!K783)/'Дивиденды по годам'!M783,""),"")</f>
        <v/>
      </c>
      <c r="V783" t="str" cm="1">
        <f t="array" ref="V783">IFERROR(AVERAGE(_xlfn._xlws.FILTER(P$2:P$1073,($C$2:$C$1073=$C783)*($E$2:$E$1073=$E783)*(ROW(P$2:P$1073)&lt;&gt;ROW(P783))*(P$2:P$1073&lt;&gt;""))),"")</f>
        <v/>
      </c>
      <c r="W783" t="str" cm="1">
        <f t="array" ref="W783">IFERROR(AVERAGE(_xlfn._xlws.FILTER(Q$2:Q$1073,($C$2:$C$1073=$C783)*($E$2:$E$1073=$E783)*(ROW(Q$2:Q$1073)&lt;&gt;ROW(Q783))*(Q$2:Q$1073&lt;&gt;""))),"")</f>
        <v/>
      </c>
      <c r="X783" t="str" cm="1">
        <f t="array" ref="X783">IFERROR(AVERAGE(_xlfn._xlws.FILTER(R$2:R$1073,($C$2:$C$1073=$C783)*($E$2:$E$1073=$E783)*(ROW(R$2:R$1073)&lt;&gt;ROW(R783))*(R$2:R$1073&lt;&gt;""))),"")</f>
        <v/>
      </c>
      <c r="Y783" t="str" cm="1">
        <f t="array" ref="Y783">IFERROR(AVERAGE(_xlfn._xlws.FILTER(S$2:S$1073,($C$2:$C$1073=$C783)*($E$2:$E$1073=$E783)*(ROW(S$2:S$1073)&lt;&gt;ROW(S783))*(S$2:S$1073&lt;&gt;""))),"")</f>
        <v/>
      </c>
      <c r="Z783" t="str" cm="1">
        <f t="array" ref="Z783">IFERROR(AVERAGE(_xlfn._xlws.FILTER(T$2:T$1073,($C$2:$C$1073=$C783)*($E$2:$E$1073=$E783)*(ROW(T$2:T$1073)&lt;&gt;ROW(T783))*(T$2:T$1073&lt;&gt;""))),"")</f>
        <v/>
      </c>
      <c r="AA783" t="str" cm="1">
        <f t="array" ref="AA783">IFERROR(AVERAGE(_xlfn._xlws.FILTER(U$2:U$1073,($C$2:$C$1073=$C783)*($E$2:$E$1073=$E783)*(ROW(U$2:U$1073)&lt;&gt;ROW(U783))*(U$2:U$1073&lt;&gt;""))),"")</f>
        <v/>
      </c>
    </row>
    <row r="784" spans="1:27" x14ac:dyDescent="0.2">
      <c r="A784" s="7" t="s">
        <v>2275</v>
      </c>
      <c r="B784" t="str">
        <f t="shared" si="134"/>
        <v>CNRU IV кв. 2011</v>
      </c>
      <c r="C784">
        <v>2011</v>
      </c>
      <c r="D784">
        <f>SUMIFS(Дивиденды!$C:$C,Дивиденды!$A:$A,A784,Дивиденды!$I:$I,C784)</f>
        <v>0</v>
      </c>
      <c r="E784">
        <v>5</v>
      </c>
      <c r="F784">
        <f t="shared" si="135"/>
        <v>0</v>
      </c>
      <c r="G784">
        <f t="shared" si="136"/>
        <v>0</v>
      </c>
      <c r="H784">
        <f t="shared" si="137"/>
        <v>0</v>
      </c>
      <c r="I784">
        <f t="shared" si="133"/>
        <v>0</v>
      </c>
      <c r="J784">
        <f t="shared" si="138"/>
        <v>0</v>
      </c>
      <c r="K784">
        <f t="shared" si="142"/>
        <v>0</v>
      </c>
      <c r="L784">
        <f t="shared" si="139"/>
        <v>0</v>
      </c>
      <c r="M784">
        <f t="shared" si="132"/>
        <v>0</v>
      </c>
      <c r="N784">
        <f t="shared" si="140"/>
        <v>0</v>
      </c>
      <c r="O784">
        <f t="shared" si="141"/>
        <v>0</v>
      </c>
      <c r="P784" t="str">
        <f>IFERROR(LN('Дивиденды по годам'!I784),"")</f>
        <v/>
      </c>
      <c r="Q784" t="str">
        <f>IFERROR('Дивиденды по годам'!G784/'Дивиденды по годам'!I784, "")</f>
        <v/>
      </c>
      <c r="R784" t="str">
        <f>IFERROR(IF(AND('Дивиденды по годам'!N784&lt;&gt;"",'Дивиденды по годам'!U784&lt;&gt;"",'Дивиденды по годам'!U784&lt;&gt;0),'Дивиденды по годам'!N784/'Дивиденды по годам'!U784-1,""),"")</f>
        <v/>
      </c>
      <c r="S784" t="str">
        <f>IFERROR(IF(AND('Дивиденды по годам'!L784&lt;&gt;"",'Дивиденды по годам'!I784&lt;&gt;"",'Дивиденды по годам'!J784&lt;&gt;"",'Дивиденды по годам'!K784&lt;&gt;"",('Дивиденды по годам'!I784-'Дивиденды по годам'!J784-'Дивиденды по годам'!K784)&lt;&gt;0),'Дивиденды по годам'!L784/('Дивиденды по годам'!I784-'Дивиденды по годам'!J784-'Дивиденды по годам'!K784),""),"")</f>
        <v/>
      </c>
      <c r="T784" t="str">
        <f>IFERROR(IF(AND('Дивиденды по годам'!Q784&lt;&gt;"",'Дивиденды по годам'!I784&lt;&gt;"",'Дивиденды по годам'!V784&lt;&gt;"",('Дивиденды по годам'!I784+'Дивиденды по годам'!V784)&lt;&gt;0),'Дивиденды по годам'!Q784/(('Дивиденды по годам'!I784+'Дивиденды по годам'!V784)/2),""),"")</f>
        <v/>
      </c>
      <c r="U784" t="str">
        <f>IFERROR(IF(AND('Дивиденды по годам'!J784&lt;&gt;"",'Дивиденды по годам'!K784&lt;&gt;"",'Дивиденды по годам'!M784&lt;&gt;"",'Дивиденды по годам'!M784&lt;&gt;0),('Дивиденды по годам'!J784+'Дивиденды по годам'!K784)/'Дивиденды по годам'!M784,""),"")</f>
        <v/>
      </c>
      <c r="V784" t="str" cm="1">
        <f t="array" ref="V784">IFERROR(AVERAGE(_xlfn._xlws.FILTER(P$2:P$1073,($C$2:$C$1073=$C784)*($E$2:$E$1073=$E784)*(ROW(P$2:P$1073)&lt;&gt;ROW(P784))*(P$2:P$1073&lt;&gt;""))),"")</f>
        <v/>
      </c>
      <c r="W784" t="str" cm="1">
        <f t="array" ref="W784">IFERROR(AVERAGE(_xlfn._xlws.FILTER(Q$2:Q$1073,($C$2:$C$1073=$C784)*($E$2:$E$1073=$E784)*(ROW(Q$2:Q$1073)&lt;&gt;ROW(Q784))*(Q$2:Q$1073&lt;&gt;""))),"")</f>
        <v/>
      </c>
      <c r="X784" t="str" cm="1">
        <f t="array" ref="X784">IFERROR(AVERAGE(_xlfn._xlws.FILTER(R$2:R$1073,($C$2:$C$1073=$C784)*($E$2:$E$1073=$E784)*(ROW(R$2:R$1073)&lt;&gt;ROW(R784))*(R$2:R$1073&lt;&gt;""))),"")</f>
        <v/>
      </c>
      <c r="Y784" t="str" cm="1">
        <f t="array" ref="Y784">IFERROR(AVERAGE(_xlfn._xlws.FILTER(S$2:S$1073,($C$2:$C$1073=$C784)*($E$2:$E$1073=$E784)*(ROW(S$2:S$1073)&lt;&gt;ROW(S784))*(S$2:S$1073&lt;&gt;""))),"")</f>
        <v/>
      </c>
      <c r="Z784" t="str" cm="1">
        <f t="array" ref="Z784">IFERROR(AVERAGE(_xlfn._xlws.FILTER(T$2:T$1073,($C$2:$C$1073=$C784)*($E$2:$E$1073=$E784)*(ROW(T$2:T$1073)&lt;&gt;ROW(T784))*(T$2:T$1073&lt;&gt;""))),"")</f>
        <v/>
      </c>
      <c r="AA784" t="str" cm="1">
        <f t="array" ref="AA784">IFERROR(AVERAGE(_xlfn._xlws.FILTER(U$2:U$1073,($C$2:$C$1073=$C784)*($E$2:$E$1073=$E784)*(ROW(U$2:U$1073)&lt;&gt;ROW(U784))*(U$2:U$1073&lt;&gt;""))),"")</f>
        <v/>
      </c>
    </row>
    <row r="785" spans="1:27" x14ac:dyDescent="0.2">
      <c r="A785" s="7" t="s">
        <v>2275</v>
      </c>
      <c r="B785" t="str">
        <f t="shared" si="134"/>
        <v>CNRU IV кв. 2010</v>
      </c>
      <c r="C785">
        <v>2010</v>
      </c>
      <c r="D785">
        <f>SUMIFS(Дивиденды!$C:$C,Дивиденды!$A:$A,A785,Дивиденды!$I:$I,C785)</f>
        <v>0</v>
      </c>
      <c r="E785">
        <v>5</v>
      </c>
      <c r="F785">
        <f t="shared" si="135"/>
        <v>0</v>
      </c>
      <c r="G785">
        <f t="shared" si="136"/>
        <v>0</v>
      </c>
      <c r="H785">
        <f t="shared" si="137"/>
        <v>0</v>
      </c>
      <c r="I785">
        <f t="shared" si="133"/>
        <v>0</v>
      </c>
      <c r="J785" t="str">
        <f t="shared" si="138"/>
        <v/>
      </c>
      <c r="K785" t="str">
        <f t="shared" si="142"/>
        <v/>
      </c>
      <c r="L785" t="str">
        <f t="shared" si="139"/>
        <v/>
      </c>
      <c r="M785" t="str">
        <f t="shared" si="132"/>
        <v/>
      </c>
      <c r="N785" t="str">
        <f t="shared" si="140"/>
        <v/>
      </c>
      <c r="O785" t="str">
        <f t="shared" si="141"/>
        <v/>
      </c>
      <c r="P785" t="str">
        <f>IFERROR(LN('Дивиденды по годам'!I785),"")</f>
        <v/>
      </c>
      <c r="Q785" t="str">
        <f>IFERROR('Дивиденды по годам'!G785/'Дивиденды по годам'!I785, "")</f>
        <v/>
      </c>
      <c r="R785" t="str">
        <f>IFERROR(IF(AND('Дивиденды по годам'!N785&lt;&gt;"",'Дивиденды по годам'!U785&lt;&gt;"",'Дивиденды по годам'!U785&lt;&gt;0),'Дивиденды по годам'!N785/'Дивиденды по годам'!U785-1,""),"")</f>
        <v/>
      </c>
      <c r="S785" t="str">
        <f>IFERROR(IF(AND('Дивиденды по годам'!L785&lt;&gt;"",'Дивиденды по годам'!I785&lt;&gt;"",'Дивиденды по годам'!J785&lt;&gt;"",'Дивиденды по годам'!K785&lt;&gt;"",('Дивиденды по годам'!I785-'Дивиденды по годам'!J785-'Дивиденды по годам'!K785)&lt;&gt;0),'Дивиденды по годам'!L785/('Дивиденды по годам'!I785-'Дивиденды по годам'!J785-'Дивиденды по годам'!K785),""),"")</f>
        <v/>
      </c>
      <c r="T785" t="str">
        <f>IFERROR(IF(AND('Дивиденды по годам'!Q785&lt;&gt;"",'Дивиденды по годам'!I785&lt;&gt;"",'Дивиденды по годам'!V785&lt;&gt;"",('Дивиденды по годам'!I785+'Дивиденды по годам'!V785)&lt;&gt;0),'Дивиденды по годам'!Q785/(('Дивиденды по годам'!I785+'Дивиденды по годам'!V785)/2),""),"")</f>
        <v/>
      </c>
      <c r="U785" t="str">
        <f>IFERROR(IF(AND('Дивиденды по годам'!J785&lt;&gt;"",'Дивиденды по годам'!K785&lt;&gt;"",'Дивиденды по годам'!M785&lt;&gt;"",'Дивиденды по годам'!M785&lt;&gt;0),('Дивиденды по годам'!J785+'Дивиденды по годам'!K785)/'Дивиденды по годам'!M785,""),"")</f>
        <v/>
      </c>
      <c r="V785" t="str" cm="1">
        <f t="array" ref="V785">IFERROR(AVERAGE(_xlfn._xlws.FILTER(P$2:P$1073,($C$2:$C$1073=$C785)*($E$2:$E$1073=$E785)*(ROW(P$2:P$1073)&lt;&gt;ROW(P785))*(P$2:P$1073&lt;&gt;""))),"")</f>
        <v/>
      </c>
      <c r="W785" t="str" cm="1">
        <f t="array" ref="W785">IFERROR(AVERAGE(_xlfn._xlws.FILTER(Q$2:Q$1073,($C$2:$C$1073=$C785)*($E$2:$E$1073=$E785)*(ROW(Q$2:Q$1073)&lt;&gt;ROW(Q785))*(Q$2:Q$1073&lt;&gt;""))),"")</f>
        <v/>
      </c>
      <c r="X785" t="str" cm="1">
        <f t="array" ref="X785">IFERROR(AVERAGE(_xlfn._xlws.FILTER(R$2:R$1073,($C$2:$C$1073=$C785)*($E$2:$E$1073=$E785)*(ROW(R$2:R$1073)&lt;&gt;ROW(R785))*(R$2:R$1073&lt;&gt;""))),"")</f>
        <v/>
      </c>
      <c r="Y785" t="str" cm="1">
        <f t="array" ref="Y785">IFERROR(AVERAGE(_xlfn._xlws.FILTER(S$2:S$1073,($C$2:$C$1073=$C785)*($E$2:$E$1073=$E785)*(ROW(S$2:S$1073)&lt;&gt;ROW(S785))*(S$2:S$1073&lt;&gt;""))),"")</f>
        <v/>
      </c>
      <c r="Z785" t="str" cm="1">
        <f t="array" ref="Z785">IFERROR(AVERAGE(_xlfn._xlws.FILTER(T$2:T$1073,($C$2:$C$1073=$C785)*($E$2:$E$1073=$E785)*(ROW(T$2:T$1073)&lt;&gt;ROW(T785))*(T$2:T$1073&lt;&gt;""))),"")</f>
        <v/>
      </c>
      <c r="AA785" t="str" cm="1">
        <f t="array" ref="AA785">IFERROR(AVERAGE(_xlfn._xlws.FILTER(U$2:U$1073,($C$2:$C$1073=$C785)*($E$2:$E$1073=$E785)*(ROW(U$2:U$1073)&lt;&gt;ROW(U785))*(U$2:U$1073&lt;&gt;""))),"")</f>
        <v/>
      </c>
    </row>
    <row r="786" spans="1:27" x14ac:dyDescent="0.2">
      <c r="A786" s="7" t="s">
        <v>2277</v>
      </c>
      <c r="B786" t="str">
        <f t="shared" si="134"/>
        <v>DATA IV кв. 2025</v>
      </c>
      <c r="C786">
        <v>2025</v>
      </c>
      <c r="D786">
        <f>SUMIFS(Дивиденды!$C:$C,Дивиденды!$A:$A,A786,Дивиденды!$I:$I,C786)</f>
        <v>2.57</v>
      </c>
      <c r="E786">
        <v>5</v>
      </c>
      <c r="F786">
        <f t="shared" si="135"/>
        <v>2.57</v>
      </c>
      <c r="G786">
        <f t="shared" si="136"/>
        <v>62.654444444444458</v>
      </c>
      <c r="H786">
        <f t="shared" si="137"/>
        <v>1</v>
      </c>
      <c r="I786">
        <f t="shared" si="133"/>
        <v>0.55555555555555558</v>
      </c>
      <c r="J786">
        <f t="shared" si="138"/>
        <v>1.9883720930232558</v>
      </c>
      <c r="K786">
        <f t="shared" si="142"/>
        <v>-2.7012127894156562E-2</v>
      </c>
      <c r="L786">
        <f t="shared" si="139"/>
        <v>1</v>
      </c>
      <c r="M786">
        <f t="shared" si="132"/>
        <v>0.33333333333333331</v>
      </c>
      <c r="N786">
        <f t="shared" si="140"/>
        <v>0</v>
      </c>
      <c r="O786">
        <f t="shared" si="141"/>
        <v>0.44444444444444442</v>
      </c>
      <c r="P786" t="str">
        <f>IFERROR(LN('Дивиденды по годам'!I786),"")</f>
        <v/>
      </c>
      <c r="Q786" t="str">
        <f>IFERROR('Дивиденды по годам'!G786/'Дивиденды по годам'!I786, "")</f>
        <v/>
      </c>
      <c r="R786" t="str">
        <f>IFERROR(IF(AND('Дивиденды по годам'!N786&lt;&gt;"",'Дивиденды по годам'!U786&lt;&gt;"",'Дивиденды по годам'!U786&lt;&gt;0),'Дивиденды по годам'!N786/'Дивиденды по годам'!U786-1,""),"")</f>
        <v/>
      </c>
      <c r="S786" t="str">
        <f>IFERROR(IF(AND('Дивиденды по годам'!L786&lt;&gt;"",'Дивиденды по годам'!I786&lt;&gt;"",'Дивиденды по годам'!J786&lt;&gt;"",'Дивиденды по годам'!K786&lt;&gt;"",('Дивиденды по годам'!I786-'Дивиденды по годам'!J786-'Дивиденды по годам'!K786)&lt;&gt;0),'Дивиденды по годам'!L786/('Дивиденды по годам'!I786-'Дивиденды по годам'!J786-'Дивиденды по годам'!K786),""),"")</f>
        <v/>
      </c>
      <c r="T786" t="str">
        <f>IFERROR(IF(AND('Дивиденды по годам'!Q786&lt;&gt;"",'Дивиденды по годам'!I786&lt;&gt;"",'Дивиденды по годам'!V786&lt;&gt;"",('Дивиденды по годам'!I786+'Дивиденды по годам'!V786)&lt;&gt;0),'Дивиденды по годам'!Q786/(('Дивиденды по годам'!I786+'Дивиденды по годам'!V786)/2),""),"")</f>
        <v/>
      </c>
      <c r="U786" t="str">
        <f>IFERROR(IF(AND('Дивиденды по годам'!J786&lt;&gt;"",'Дивиденды по годам'!K786&lt;&gt;"",'Дивиденды по годам'!M786&lt;&gt;"",'Дивиденды по годам'!M786&lt;&gt;0),('Дивиденды по годам'!J786+'Дивиденды по годам'!K786)/'Дивиденды по годам'!M786,""),"")</f>
        <v/>
      </c>
      <c r="V786" cm="1">
        <f t="array" ref="V786">IFERROR(AVERAGE(_xlfn._xlws.FILTER(P$2:P$1073,($C$2:$C$1073=$C786)*($E$2:$E$1073=$E786)*(ROW(P$2:P$1073)&lt;&gt;ROW(P786))*(P$2:P$1073&lt;&gt;""))),"")</f>
        <v>25.891438099154414</v>
      </c>
      <c r="W786" cm="1">
        <f t="array" ref="W786">IFERROR(AVERAGE(_xlfn._xlws.FILTER(Q$2:Q$1073,($C$2:$C$1073=$C786)*($E$2:$E$1073=$E786)*(ROW(Q$2:Q$1073)&lt;&gt;ROW(Q786))*(Q$2:Q$1073&lt;&gt;""))),"")</f>
        <v>0.12418203705460037</v>
      </c>
      <c r="X786" cm="1">
        <f t="array" ref="X786">IFERROR(AVERAGE(_xlfn._xlws.FILTER(R$2:R$1073,($C$2:$C$1073=$C786)*($E$2:$E$1073=$E786)*(ROW(R$2:R$1073)&lt;&gt;ROW(R786))*(R$2:R$1073&lt;&gt;""))),"")</f>
        <v>0.14684434513855163</v>
      </c>
      <c r="Y786" cm="1">
        <f t="array" ref="Y786">IFERROR(AVERAGE(_xlfn._xlws.FILTER(S$2:S$1073,($C$2:$C$1073=$C786)*($E$2:$E$1073=$E786)*(ROW(S$2:S$1073)&lt;&gt;ROW(S786))*(S$2:S$1073&lt;&gt;""))),"")</f>
        <v>0.66742602396654871</v>
      </c>
      <c r="Z786" cm="1">
        <f t="array" ref="Z786">IFERROR(AVERAGE(_xlfn._xlws.FILTER(T$2:T$1073,($C$2:$C$1073=$C786)*($E$2:$E$1073=$E786)*(ROW(T$2:T$1073)&lt;&gt;ROW(T786))*(T$2:T$1073&lt;&gt;""))),"")</f>
        <v>0.19853029448574855</v>
      </c>
      <c r="AA786" cm="1">
        <f t="array" ref="AA786">IFERROR(AVERAGE(_xlfn._xlws.FILTER(U$2:U$1073,($C$2:$C$1073=$C786)*($E$2:$E$1073=$E786)*(ROW(U$2:U$1073)&lt;&gt;ROW(U786))*(U$2:U$1073&lt;&gt;""))),"")</f>
        <v>-0.85021812770937366</v>
      </c>
    </row>
    <row r="787" spans="1:27" x14ac:dyDescent="0.2">
      <c r="A787" s="7" t="s">
        <v>2277</v>
      </c>
      <c r="B787" t="str">
        <f t="shared" si="134"/>
        <v>DATA IV кв. 2024</v>
      </c>
      <c r="C787">
        <v>2024</v>
      </c>
      <c r="D787">
        <f>SUMIFS(Дивиденды!$C:$C,Дивиденды!$A:$A,A787,Дивиденды!$I:$I,C787)</f>
        <v>0.86</v>
      </c>
      <c r="E787">
        <v>5</v>
      </c>
      <c r="F787">
        <f t="shared" si="135"/>
        <v>0.86</v>
      </c>
      <c r="G787">
        <f t="shared" si="136"/>
        <v>120.5822222222222</v>
      </c>
      <c r="H787">
        <f t="shared" si="137"/>
        <v>1</v>
      </c>
      <c r="I787">
        <f t="shared" si="133"/>
        <v>0.44444444444444442</v>
      </c>
      <c r="J787">
        <f t="shared" si="138"/>
        <v>1</v>
      </c>
      <c r="K787">
        <f t="shared" si="142"/>
        <v>0.22563872031168053</v>
      </c>
      <c r="L787">
        <f t="shared" si="139"/>
        <v>1</v>
      </c>
      <c r="M787">
        <f t="shared" si="132"/>
        <v>0.33333333333333331</v>
      </c>
      <c r="N787">
        <f t="shared" si="140"/>
        <v>0</v>
      </c>
      <c r="O787">
        <f t="shared" si="141"/>
        <v>0.1111111111111111</v>
      </c>
      <c r="P787">
        <f>IFERROR(LN('Дивиденды по годам'!I787),"")</f>
        <v>22.212437357746587</v>
      </c>
      <c r="Q787">
        <f>IFERROR('Дивиденды по годам'!G787/'Дивиденды по годам'!I787, "")</f>
        <v>1.6485237923490687E-2</v>
      </c>
      <c r="R787">
        <f>IFERROR(IF(AND('Дивиденды по годам'!N787&lt;&gt;"",'Дивиденды по годам'!U787&lt;&gt;"",'Дивиденды по годам'!U787&lt;&gt;0),'Дивиденды по годам'!N787/'Дивиденды по годам'!U787-1,""),"")</f>
        <v>0.52244243151695691</v>
      </c>
      <c r="S787">
        <f>IFERROR(IF(AND('Дивиденды по годам'!L787&lt;&gt;"",'Дивиденды по годам'!I787&lt;&gt;"",'Дивиденды по годам'!J787&lt;&gt;"",'Дивиденды по годам'!K787&lt;&gt;"",('Дивиденды по годам'!I787-'Дивиденды по годам'!J787-'Дивиденды по годам'!K787)&lt;&gt;0),'Дивиденды по годам'!L787/('Дивиденды по годам'!I787-'Дивиденды по годам'!J787-'Дивиденды по годам'!K787),""),"")</f>
        <v>0.87048976341165651</v>
      </c>
      <c r="T787">
        <f>IFERROR(IF(AND('Дивиденды по годам'!Q787&lt;&gt;"",'Дивиденды по годам'!I787&lt;&gt;"",'Дивиденды по годам'!V787&lt;&gt;"",('Дивиденды по годам'!I787+'Дивиденды по годам'!V787)&lt;&gt;0),'Дивиденды по годам'!Q787/(('Дивиденды по годам'!I787+'Дивиденды по годам'!V787)/2),""),"")</f>
        <v>0.49769532246421605</v>
      </c>
      <c r="U787">
        <f>IFERROR(IF(AND('Дивиденды по годам'!J787&lt;&gt;"",'Дивиденды по годам'!K787&lt;&gt;"",'Дивиденды по годам'!M787&lt;&gt;"",'Дивиденды по годам'!M787&lt;&gt;0),('Дивиденды по годам'!J787+'Дивиденды по годам'!K787)/'Дивиденды по годам'!M787,""),"")</f>
        <v>0.8593156371923435</v>
      </c>
      <c r="V787" cm="1">
        <f t="array" ref="V787">IFERROR(AVERAGE(_xlfn._xlws.FILTER(P$2:P$1073,($C$2:$C$1073=$C787)*($E$2:$E$1073=$E787)*(ROW(P$2:P$1073)&lt;&gt;ROW(P787))*(P$2:P$1073&lt;&gt;""))),"")</f>
        <v>25.021922466639573</v>
      </c>
      <c r="W787" cm="1">
        <f t="array" ref="W787">IFERROR(AVERAGE(_xlfn._xlws.FILTER(Q$2:Q$1073,($C$2:$C$1073=$C787)*($E$2:$E$1073=$E787)*(ROW(Q$2:Q$1073)&lt;&gt;ROW(Q787))*(Q$2:Q$1073&lt;&gt;""))),"")</f>
        <v>8.4260607946927121E-2</v>
      </c>
      <c r="X787" cm="1">
        <f t="array" ref="X787">IFERROR(AVERAGE(_xlfn._xlws.FILTER(R$2:R$1073,($C$2:$C$1073=$C787)*($E$2:$E$1073=$E787)*(ROW(R$2:R$1073)&lt;&gt;ROW(R787))*(R$2:R$1073&lt;&gt;""))),"")</f>
        <v>0.26538065233293262</v>
      </c>
      <c r="Y787" cm="1">
        <f t="array" ref="Y787">IFERROR(AVERAGE(_xlfn._xlws.FILTER(S$2:S$1073,($C$2:$C$1073=$C787)*($E$2:$E$1073=$E787)*(ROW(S$2:S$1073)&lt;&gt;ROW(S787))*(S$2:S$1073&lt;&gt;""))),"")</f>
        <v>0.17310748950279456</v>
      </c>
      <c r="Z787" cm="1">
        <f t="array" ref="Z787">IFERROR(AVERAGE(_xlfn._xlws.FILTER(T$2:T$1073,($C$2:$C$1073=$C787)*($E$2:$E$1073=$E787)*(ROW(T$2:T$1073)&lt;&gt;ROW(T787))*(T$2:T$1073&lt;&gt;""))),"")</f>
        <v>0.20602586045095586</v>
      </c>
      <c r="AA787" cm="1">
        <f t="array" ref="AA787">IFERROR(AVERAGE(_xlfn._xlws.FILTER(U$2:U$1073,($C$2:$C$1073=$C787)*($E$2:$E$1073=$E787)*(ROW(U$2:U$1073)&lt;&gt;ROW(U787))*(U$2:U$1073&lt;&gt;""))),"")</f>
        <v>2.944067600614876</v>
      </c>
    </row>
    <row r="788" spans="1:27" x14ac:dyDescent="0.2">
      <c r="A788" s="7" t="s">
        <v>2277</v>
      </c>
      <c r="B788" t="str">
        <f t="shared" si="134"/>
        <v>DATA IV кв. 2023</v>
      </c>
      <c r="C788">
        <v>2023</v>
      </c>
      <c r="D788">
        <f>SUMIFS(Дивиденды!$C:$C,Дивиденды!$A:$A,A788,Дивиденды!$I:$I,C788)</f>
        <v>0</v>
      </c>
      <c r="E788">
        <v>5</v>
      </c>
      <c r="F788">
        <f t="shared" si="135"/>
        <v>0</v>
      </c>
      <c r="G788">
        <f t="shared" si="136"/>
        <v>16.477777777777778</v>
      </c>
      <c r="H788">
        <f t="shared" si="137"/>
        <v>0</v>
      </c>
      <c r="I788">
        <f t="shared" si="133"/>
        <v>0.1111111111111111</v>
      </c>
      <c r="J788">
        <f t="shared" si="138"/>
        <v>0</v>
      </c>
      <c r="K788">
        <f t="shared" si="142"/>
        <v>0.31688311688311693</v>
      </c>
      <c r="L788">
        <f t="shared" si="139"/>
        <v>0</v>
      </c>
      <c r="M788">
        <f t="shared" si="132"/>
        <v>0.1111111111111111</v>
      </c>
      <c r="N788">
        <f t="shared" si="140"/>
        <v>0</v>
      </c>
      <c r="O788">
        <f t="shared" si="141"/>
        <v>0</v>
      </c>
      <c r="P788">
        <f>IFERROR(LN('Дивиденды по годам'!I788),"")</f>
        <v>21.934066875727925</v>
      </c>
      <c r="Q788">
        <f>IFERROR('Дивиденды по годам'!G788/'Дивиденды по годам'!I788, "")</f>
        <v>1.6088865528941902E-2</v>
      </c>
      <c r="R788" t="str">
        <f>IFERROR(IF(AND('Дивиденды по годам'!N788&lt;&gt;"",'Дивиденды по годам'!U788&lt;&gt;"",'Дивиденды по годам'!U788&lt;&gt;0),'Дивиденды по годам'!N788/'Дивиденды по годам'!U788-1,""),"")</f>
        <v/>
      </c>
      <c r="S788">
        <f>IFERROR(IF(AND('Дивиденды по годам'!L788&lt;&gt;"",'Дивиденды по годам'!I788&lt;&gt;"",'Дивиденды по годам'!J788&lt;&gt;"",'Дивиденды по годам'!K788&lt;&gt;"",('Дивиденды по годам'!I788-'Дивиденды по годам'!J788-'Дивиденды по годам'!K788)&lt;&gt;0),'Дивиденды по годам'!L788/('Дивиденды по годам'!I788-'Дивиденды по годам'!J788-'Дивиденды по годам'!K788),""),"")</f>
        <v>0.87131823486453785</v>
      </c>
      <c r="T788" t="str">
        <f>IFERROR(IF(AND('Дивиденды по годам'!Q788&lt;&gt;"",'Дивиденды по годам'!I788&lt;&gt;"",'Дивиденды по годам'!V788&lt;&gt;"",('Дивиденды по годам'!I788+'Дивиденды по годам'!V788)&lt;&gt;0),'Дивиденды по годам'!Q788/(('Дивиденды по годам'!I788+'Дивиденды по годам'!V788)/2),""),"")</f>
        <v/>
      </c>
      <c r="U788">
        <f>IFERROR(IF(AND('Дивиденды по годам'!J788&lt;&gt;"",'Дивиденды по годам'!K788&lt;&gt;"",'Дивиденды по годам'!M788&lt;&gt;"",'Дивиденды по годам'!M788&lt;&gt;0),('Дивиденды по годам'!J788+'Дивиденды по годам'!K788)/'Дивиденды по годам'!M788,""),"")</f>
        <v>0.85538573294760678</v>
      </c>
      <c r="V788" cm="1">
        <f t="array" ref="V788">IFERROR(AVERAGE(_xlfn._xlws.FILTER(P$2:P$1073,($C$2:$C$1073=$C788)*($E$2:$E$1073=$E788)*(ROW(P$2:P$1073)&lt;&gt;ROW(P788))*(P$2:P$1073&lt;&gt;""))),"")</f>
        <v>24.40637631968308</v>
      </c>
      <c r="W788" cm="1">
        <f t="array" ref="W788">IFERROR(AVERAGE(_xlfn._xlws.FILTER(Q$2:Q$1073,($C$2:$C$1073=$C788)*($E$2:$E$1073=$E788)*(ROW(Q$2:Q$1073)&lt;&gt;ROW(Q788))*(Q$2:Q$1073&lt;&gt;""))),"")</f>
        <v>4.6675010833417074E-2</v>
      </c>
      <c r="X788" cm="1">
        <f t="array" ref="X788">IFERROR(AVERAGE(_xlfn._xlws.FILTER(R$2:R$1073,($C$2:$C$1073=$C788)*($E$2:$E$1073=$E788)*(ROW(R$2:R$1073)&lt;&gt;ROW(R788))*(R$2:R$1073&lt;&gt;""))),"")</f>
        <v>0.51000246586809928</v>
      </c>
      <c r="Y788" cm="1">
        <f t="array" ref="Y788">IFERROR(AVERAGE(_xlfn._xlws.FILTER(S$2:S$1073,($C$2:$C$1073=$C788)*($E$2:$E$1073=$E788)*(ROW(S$2:S$1073)&lt;&gt;ROW(S788))*(S$2:S$1073&lt;&gt;""))),"")</f>
        <v>0.65089542682903334</v>
      </c>
      <c r="Z788" cm="1">
        <f t="array" ref="Z788">IFERROR(AVERAGE(_xlfn._xlws.FILTER(T$2:T$1073,($C$2:$C$1073=$C788)*($E$2:$E$1073=$E788)*(ROW(T$2:T$1073)&lt;&gt;ROW(T788))*(T$2:T$1073&lt;&gt;""))),"")</f>
        <v>0.19460130713388882</v>
      </c>
      <c r="AA788" cm="1">
        <f t="array" ref="AA788">IFERROR(AVERAGE(_xlfn._xlws.FILTER(U$2:U$1073,($C$2:$C$1073=$C788)*($E$2:$E$1073=$E788)*(ROW(U$2:U$1073)&lt;&gt;ROW(U788))*(U$2:U$1073&lt;&gt;""))),"")</f>
        <v>2.286233017266492</v>
      </c>
    </row>
    <row r="789" spans="1:27" x14ac:dyDescent="0.2">
      <c r="A789" s="7" t="s">
        <v>2277</v>
      </c>
      <c r="B789" t="str">
        <f t="shared" si="134"/>
        <v>DATA IV кв. 2022</v>
      </c>
      <c r="C789">
        <v>2022</v>
      </c>
      <c r="D789">
        <f>SUMIFS(Дивиденды!$C:$C,Дивиденды!$A:$A,A789,Дивиденды!$I:$I,C789)</f>
        <v>0</v>
      </c>
      <c r="E789">
        <v>5</v>
      </c>
      <c r="F789">
        <f t="shared" si="135"/>
        <v>0</v>
      </c>
      <c r="G789">
        <f t="shared" si="136"/>
        <v>4.2777777777777777</v>
      </c>
      <c r="H789">
        <f t="shared" si="137"/>
        <v>0</v>
      </c>
      <c r="I789">
        <f t="shared" si="133"/>
        <v>0.1111111111111111</v>
      </c>
      <c r="J789">
        <f t="shared" si="138"/>
        <v>0</v>
      </c>
      <c r="K789">
        <f t="shared" si="142"/>
        <v>0.1111111111111111</v>
      </c>
      <c r="L789">
        <f t="shared" si="139"/>
        <v>0</v>
      </c>
      <c r="M789">
        <f t="shared" si="132"/>
        <v>0.1111111111111111</v>
      </c>
      <c r="N789">
        <f t="shared" si="140"/>
        <v>0</v>
      </c>
      <c r="O789">
        <f t="shared" si="141"/>
        <v>0</v>
      </c>
      <c r="P789" t="str">
        <f>IFERROR(LN('Дивиденды по годам'!I789),"")</f>
        <v/>
      </c>
      <c r="Q789" t="str">
        <f>IFERROR('Дивиденды по годам'!G789/'Дивиденды по годам'!I789, "")</f>
        <v/>
      </c>
      <c r="R789" t="str">
        <f>IFERROR(IF(AND('Дивиденды по годам'!N789&lt;&gt;"",'Дивиденды по годам'!U789&lt;&gt;"",'Дивиденды по годам'!U789&lt;&gt;0),'Дивиденды по годам'!N789/'Дивиденды по годам'!U789-1,""),"")</f>
        <v/>
      </c>
      <c r="S789" t="str">
        <f>IFERROR(IF(AND('Дивиденды по годам'!L789&lt;&gt;"",'Дивиденды по годам'!I789&lt;&gt;"",'Дивиденды по годам'!J789&lt;&gt;"",'Дивиденды по годам'!K789&lt;&gt;"",('Дивиденды по годам'!I789-'Дивиденды по годам'!J789-'Дивиденды по годам'!K789)&lt;&gt;0),'Дивиденды по годам'!L789/('Дивиденды по годам'!I789-'Дивиденды по годам'!J789-'Дивиденды по годам'!K789),""),"")</f>
        <v/>
      </c>
      <c r="T789" t="str">
        <f>IFERROR(IF(AND('Дивиденды по годам'!Q789&lt;&gt;"",'Дивиденды по годам'!I789&lt;&gt;"",'Дивиденды по годам'!V789&lt;&gt;"",('Дивиденды по годам'!I789+'Дивиденды по годам'!V789)&lt;&gt;0),'Дивиденды по годам'!Q789/(('Дивиденды по годам'!I789+'Дивиденды по годам'!V789)/2),""),"")</f>
        <v/>
      </c>
      <c r="U789" t="str">
        <f>IFERROR(IF(AND('Дивиденды по годам'!J789&lt;&gt;"",'Дивиденды по годам'!K789&lt;&gt;"",'Дивиденды по годам'!M789&lt;&gt;"",'Дивиденды по годам'!M789&lt;&gt;0),('Дивиденды по годам'!J789+'Дивиденды по годам'!K789)/'Дивиденды по годам'!M789,""),"")</f>
        <v/>
      </c>
      <c r="V789" cm="1">
        <f t="array" ref="V789">IFERROR(AVERAGE(_xlfn._xlws.FILTER(P$2:P$1073,($C$2:$C$1073=$C789)*($E$2:$E$1073=$E789)*(ROW(P$2:P$1073)&lt;&gt;ROW(P789))*(P$2:P$1073&lt;&gt;""))),"")</f>
        <v>24.314048251831842</v>
      </c>
      <c r="W789" cm="1">
        <f t="array" ref="W789">IFERROR(AVERAGE(_xlfn._xlws.FILTER(Q$2:Q$1073,($C$2:$C$1073=$C789)*($E$2:$E$1073=$E789)*(ROW(Q$2:Q$1073)&lt;&gt;ROW(Q789))*(Q$2:Q$1073&lt;&gt;""))),"")</f>
        <v>5.676674770458788E-2</v>
      </c>
      <c r="X789" cm="1">
        <f t="array" ref="X789">IFERROR(AVERAGE(_xlfn._xlws.FILTER(R$2:R$1073,($C$2:$C$1073=$C789)*($E$2:$E$1073=$E789)*(ROW(R$2:R$1073)&lt;&gt;ROW(R789))*(R$2:R$1073&lt;&gt;""))),"")</f>
        <v>0.76359932885509174</v>
      </c>
      <c r="Y789" cm="1">
        <f t="array" ref="Y789">IFERROR(AVERAGE(_xlfn._xlws.FILTER(S$2:S$1073,($C$2:$C$1073=$C789)*($E$2:$E$1073=$E789)*(ROW(S$2:S$1073)&lt;&gt;ROW(S789))*(S$2:S$1073&lt;&gt;""))),"")</f>
        <v>0.79975694618495274</v>
      </c>
      <c r="Z789" cm="1">
        <f t="array" ref="Z789">IFERROR(AVERAGE(_xlfn._xlws.FILTER(T$2:T$1073,($C$2:$C$1073=$C789)*($E$2:$E$1073=$E789)*(ROW(T$2:T$1073)&lt;&gt;ROW(T789))*(T$2:T$1073&lt;&gt;""))),"")</f>
        <v>0.45424211382955332</v>
      </c>
      <c r="AA789" cm="1">
        <f t="array" ref="AA789">IFERROR(AVERAGE(_xlfn._xlws.FILTER(U$2:U$1073,($C$2:$C$1073=$C789)*($E$2:$E$1073=$E789)*(ROW(U$2:U$1073)&lt;&gt;ROW(U789))*(U$2:U$1073&lt;&gt;""))),"")</f>
        <v>2.2504855284750676</v>
      </c>
    </row>
    <row r="790" spans="1:27" x14ac:dyDescent="0.2">
      <c r="A790" s="7" t="s">
        <v>2277</v>
      </c>
      <c r="B790" t="str">
        <f t="shared" si="134"/>
        <v>DATA IV кв. 2021</v>
      </c>
      <c r="C790">
        <v>2021</v>
      </c>
      <c r="D790">
        <f>SUMIFS(Дивиденды!$C:$C,Дивиденды!$A:$A,A790,Дивиденды!$I:$I,C790)</f>
        <v>0</v>
      </c>
      <c r="E790">
        <v>5</v>
      </c>
      <c r="F790">
        <f t="shared" si="135"/>
        <v>0</v>
      </c>
      <c r="G790">
        <f t="shared" si="136"/>
        <v>0</v>
      </c>
      <c r="H790">
        <f t="shared" si="137"/>
        <v>0</v>
      </c>
      <c r="I790">
        <f t="shared" si="133"/>
        <v>0</v>
      </c>
      <c r="J790">
        <f t="shared" si="138"/>
        <v>0</v>
      </c>
      <c r="K790">
        <f t="shared" si="142"/>
        <v>0</v>
      </c>
      <c r="L790">
        <f t="shared" si="139"/>
        <v>0</v>
      </c>
      <c r="M790">
        <f t="shared" si="132"/>
        <v>0</v>
      </c>
      <c r="N790">
        <f t="shared" si="140"/>
        <v>0</v>
      </c>
      <c r="O790">
        <f t="shared" si="141"/>
        <v>0</v>
      </c>
      <c r="P790" t="str">
        <f>IFERROR(LN('Дивиденды по годам'!I790),"")</f>
        <v/>
      </c>
      <c r="Q790" t="str">
        <f>IFERROR('Дивиденды по годам'!G790/'Дивиденды по годам'!I790, "")</f>
        <v/>
      </c>
      <c r="R790" t="str">
        <f>IFERROR(IF(AND('Дивиденды по годам'!N790&lt;&gt;"",'Дивиденды по годам'!U790&lt;&gt;"",'Дивиденды по годам'!U790&lt;&gt;0),'Дивиденды по годам'!N790/'Дивиденды по годам'!U790-1,""),"")</f>
        <v/>
      </c>
      <c r="S790" t="str">
        <f>IFERROR(IF(AND('Дивиденды по годам'!L790&lt;&gt;"",'Дивиденды по годам'!I790&lt;&gt;"",'Дивиденды по годам'!J790&lt;&gt;"",'Дивиденды по годам'!K790&lt;&gt;"",('Дивиденды по годам'!I790-'Дивиденды по годам'!J790-'Дивиденды по годам'!K790)&lt;&gt;0),'Дивиденды по годам'!L790/('Дивиденды по годам'!I790-'Дивиденды по годам'!J790-'Дивиденды по годам'!K790),""),"")</f>
        <v/>
      </c>
      <c r="T790" t="str">
        <f>IFERROR(IF(AND('Дивиденды по годам'!Q790&lt;&gt;"",'Дивиденды по годам'!I790&lt;&gt;"",'Дивиденды по годам'!V790&lt;&gt;"",('Дивиденды по годам'!I790+'Дивиденды по годам'!V790)&lt;&gt;0),'Дивиденды по годам'!Q790/(('Дивиденды по годам'!I790+'Дивиденды по годам'!V790)/2),""),"")</f>
        <v/>
      </c>
      <c r="U790" t="str">
        <f>IFERROR(IF(AND('Дивиденды по годам'!J790&lt;&gt;"",'Дивиденды по годам'!K790&lt;&gt;"",'Дивиденды по годам'!M790&lt;&gt;"",'Дивиденды по годам'!M790&lt;&gt;0),('Дивиденды по годам'!J790+'Дивиденды по годам'!K790)/'Дивиденды по годам'!M790,""),"")</f>
        <v/>
      </c>
      <c r="V790" cm="1">
        <f t="array" ref="V790">IFERROR(AVERAGE(_xlfn._xlws.FILTER(P$2:P$1073,($C$2:$C$1073=$C790)*($E$2:$E$1073=$E790)*(ROW(P$2:P$1073)&lt;&gt;ROW(P790))*(P$2:P$1073&lt;&gt;""))),"")</f>
        <v>22.898661389674704</v>
      </c>
      <c r="W790" cm="1">
        <f t="array" ref="W790">IFERROR(AVERAGE(_xlfn._xlws.FILTER(Q$2:Q$1073,($C$2:$C$1073=$C790)*($E$2:$E$1073=$E790)*(ROW(Q$2:Q$1073)&lt;&gt;ROW(Q790))*(Q$2:Q$1073&lt;&gt;""))),"")</f>
        <v>3.9787618039471354E-2</v>
      </c>
      <c r="X790" cm="1">
        <f t="array" ref="X790">IFERROR(AVERAGE(_xlfn._xlws.FILTER(R$2:R$1073,($C$2:$C$1073=$C790)*($E$2:$E$1073=$E790)*(ROW(R$2:R$1073)&lt;&gt;ROW(R790))*(R$2:R$1073&lt;&gt;""))),"")</f>
        <v>0.11948949117953805</v>
      </c>
      <c r="Y790" cm="1">
        <f t="array" ref="Y790">IFERROR(AVERAGE(_xlfn._xlws.FILTER(S$2:S$1073,($C$2:$C$1073=$C790)*($E$2:$E$1073=$E790)*(ROW(S$2:S$1073)&lt;&gt;ROW(S790))*(S$2:S$1073&lt;&gt;""))),"")</f>
        <v>0.6223989622093683</v>
      </c>
      <c r="Z790" cm="1">
        <f t="array" ref="Z790">IFERROR(AVERAGE(_xlfn._xlws.FILTER(T$2:T$1073,($C$2:$C$1073=$C790)*($E$2:$E$1073=$E790)*(ROW(T$2:T$1073)&lt;&gt;ROW(T790))*(T$2:T$1073&lt;&gt;""))),"")</f>
        <v>0.13483969312290014</v>
      </c>
      <c r="AA790" cm="1">
        <f t="array" ref="AA790">IFERROR(AVERAGE(_xlfn._xlws.FILTER(U$2:U$1073,($C$2:$C$1073=$C790)*($E$2:$E$1073=$E790)*(ROW(U$2:U$1073)&lt;&gt;ROW(U790))*(U$2:U$1073&lt;&gt;""))),"")</f>
        <v>12.032255744832293</v>
      </c>
    </row>
    <row r="791" spans="1:27" x14ac:dyDescent="0.2">
      <c r="A791" s="7" t="s">
        <v>2277</v>
      </c>
      <c r="B791" t="str">
        <f t="shared" si="134"/>
        <v>DATA IV кв. 2020</v>
      </c>
      <c r="C791">
        <v>2020</v>
      </c>
      <c r="D791">
        <f>SUMIFS(Дивиденды!$C:$C,Дивиденды!$A:$A,A791,Дивиденды!$I:$I,C791)</f>
        <v>0</v>
      </c>
      <c r="E791">
        <v>5</v>
      </c>
      <c r="F791">
        <f t="shared" si="135"/>
        <v>0</v>
      </c>
      <c r="G791">
        <f t="shared" si="136"/>
        <v>0</v>
      </c>
      <c r="H791">
        <f t="shared" si="137"/>
        <v>0</v>
      </c>
      <c r="I791">
        <f t="shared" si="133"/>
        <v>0</v>
      </c>
      <c r="J791">
        <f t="shared" si="138"/>
        <v>0</v>
      </c>
      <c r="K791">
        <f t="shared" si="142"/>
        <v>0</v>
      </c>
      <c r="L791">
        <f t="shared" si="139"/>
        <v>0</v>
      </c>
      <c r="M791">
        <f t="shared" si="132"/>
        <v>0</v>
      </c>
      <c r="N791">
        <f t="shared" si="140"/>
        <v>0</v>
      </c>
      <c r="O791">
        <f t="shared" si="141"/>
        <v>0</v>
      </c>
      <c r="P791" t="str">
        <f>IFERROR(LN('Дивиденды по годам'!I791),"")</f>
        <v/>
      </c>
      <c r="Q791" t="str">
        <f>IFERROR('Дивиденды по годам'!G791/'Дивиденды по годам'!I791, "")</f>
        <v/>
      </c>
      <c r="R791" t="str">
        <f>IFERROR(IF(AND('Дивиденды по годам'!N791&lt;&gt;"",'Дивиденды по годам'!U791&lt;&gt;"",'Дивиденды по годам'!U791&lt;&gt;0),'Дивиденды по годам'!N791/'Дивиденды по годам'!U791-1,""),"")</f>
        <v/>
      </c>
      <c r="S791" t="str">
        <f>IFERROR(IF(AND('Дивиденды по годам'!L791&lt;&gt;"",'Дивиденды по годам'!I791&lt;&gt;"",'Дивиденды по годам'!J791&lt;&gt;"",'Дивиденды по годам'!K791&lt;&gt;"",('Дивиденды по годам'!I791-'Дивиденды по годам'!J791-'Дивиденды по годам'!K791)&lt;&gt;0),'Дивиденды по годам'!L791/('Дивиденды по годам'!I791-'Дивиденды по годам'!J791-'Дивиденды по годам'!K791),""),"")</f>
        <v/>
      </c>
      <c r="T791" t="str">
        <f>IFERROR(IF(AND('Дивиденды по годам'!Q791&lt;&gt;"",'Дивиденды по годам'!I791&lt;&gt;"",'Дивиденды по годам'!V791&lt;&gt;"",('Дивиденды по годам'!I791+'Дивиденды по годам'!V791)&lt;&gt;0),'Дивиденды по годам'!Q791/(('Дивиденды по годам'!I791+'Дивиденды по годам'!V791)/2),""),"")</f>
        <v/>
      </c>
      <c r="U791" t="str">
        <f>IFERROR(IF(AND('Дивиденды по годам'!J791&lt;&gt;"",'Дивиденды по годам'!K791&lt;&gt;"",'Дивиденды по годам'!M791&lt;&gt;"",'Дивиденды по годам'!M791&lt;&gt;0),('Дивиденды по годам'!J791+'Дивиденды по годам'!K791)/'Дивиденды по годам'!M791,""),"")</f>
        <v/>
      </c>
      <c r="V791" cm="1">
        <f t="array" ref="V791">IFERROR(AVERAGE(_xlfn._xlws.FILTER(P$2:P$1073,($C$2:$C$1073=$C791)*($E$2:$E$1073=$E791)*(ROW(P$2:P$1073)&lt;&gt;ROW(P791))*(P$2:P$1073&lt;&gt;""))),"")</f>
        <v>23.399390394292269</v>
      </c>
      <c r="W791" cm="1">
        <f t="array" ref="W791">IFERROR(AVERAGE(_xlfn._xlws.FILTER(Q$2:Q$1073,($C$2:$C$1073=$C791)*($E$2:$E$1073=$E791)*(ROW(Q$2:Q$1073)&lt;&gt;ROW(Q791))*(Q$2:Q$1073&lt;&gt;""))),"")</f>
        <v>3.3954846784790244E-2</v>
      </c>
      <c r="X791" cm="1">
        <f t="array" ref="X791">IFERROR(AVERAGE(_xlfn._xlws.FILTER(R$2:R$1073,($C$2:$C$1073=$C791)*($E$2:$E$1073=$E791)*(ROW(R$2:R$1073)&lt;&gt;ROW(R791))*(R$2:R$1073&lt;&gt;""))),"")</f>
        <v>0.60261811450317082</v>
      </c>
      <c r="Y791" cm="1">
        <f t="array" ref="Y791">IFERROR(AVERAGE(_xlfn._xlws.FILTER(S$2:S$1073,($C$2:$C$1073=$C791)*($E$2:$E$1073=$E791)*(ROW(S$2:S$1073)&lt;&gt;ROW(S791))*(S$2:S$1073&lt;&gt;""))),"")</f>
        <v>0.8757408540128081</v>
      </c>
      <c r="Z791" cm="1">
        <f t="array" ref="Z791">IFERROR(AVERAGE(_xlfn._xlws.FILTER(T$2:T$1073,($C$2:$C$1073=$C791)*($E$2:$E$1073=$E791)*(ROW(T$2:T$1073)&lt;&gt;ROW(T791))*(T$2:T$1073&lt;&gt;""))),"")</f>
        <v>0.26070423168654877</v>
      </c>
      <c r="AA791" cm="1">
        <f t="array" ref="AA791">IFERROR(AVERAGE(_xlfn._xlws.FILTER(U$2:U$1073,($C$2:$C$1073=$C791)*($E$2:$E$1073=$E791)*(ROW(U$2:U$1073)&lt;&gt;ROW(U791))*(U$2:U$1073&lt;&gt;""))),"")</f>
        <v>3.9797585422227604</v>
      </c>
    </row>
    <row r="792" spans="1:27" x14ac:dyDescent="0.2">
      <c r="A792" s="7" t="s">
        <v>2277</v>
      </c>
      <c r="B792" t="str">
        <f t="shared" si="134"/>
        <v>DATA IV кв. 2019</v>
      </c>
      <c r="C792">
        <v>2019</v>
      </c>
      <c r="D792">
        <f>SUMIFS(Дивиденды!$C:$C,Дивиденды!$A:$A,A792,Дивиденды!$I:$I,C792)</f>
        <v>0</v>
      </c>
      <c r="E792">
        <v>5</v>
      </c>
      <c r="F792">
        <f t="shared" si="135"/>
        <v>0</v>
      </c>
      <c r="G792">
        <f t="shared" si="136"/>
        <v>0</v>
      </c>
      <c r="H792">
        <f t="shared" si="137"/>
        <v>0</v>
      </c>
      <c r="I792">
        <f t="shared" si="133"/>
        <v>0</v>
      </c>
      <c r="J792">
        <f t="shared" si="138"/>
        <v>0</v>
      </c>
      <c r="K792">
        <f t="shared" si="142"/>
        <v>0</v>
      </c>
      <c r="L792">
        <f t="shared" si="139"/>
        <v>0</v>
      </c>
      <c r="M792">
        <f t="shared" si="132"/>
        <v>0</v>
      </c>
      <c r="N792">
        <f t="shared" si="140"/>
        <v>0</v>
      </c>
      <c r="O792">
        <f t="shared" si="141"/>
        <v>0</v>
      </c>
      <c r="P792" t="str">
        <f>IFERROR(LN('Дивиденды по годам'!I792),"")</f>
        <v/>
      </c>
      <c r="Q792" t="str">
        <f>IFERROR('Дивиденды по годам'!G792/'Дивиденды по годам'!I792, "")</f>
        <v/>
      </c>
      <c r="R792" t="str">
        <f>IFERROR(IF(AND('Дивиденды по годам'!N792&lt;&gt;"",'Дивиденды по годам'!U792&lt;&gt;"",'Дивиденды по годам'!U792&lt;&gt;0),'Дивиденды по годам'!N792/'Дивиденды по годам'!U792-1,""),"")</f>
        <v/>
      </c>
      <c r="S792" t="str">
        <f>IFERROR(IF(AND('Дивиденды по годам'!L792&lt;&gt;"",'Дивиденды по годам'!I792&lt;&gt;"",'Дивиденды по годам'!J792&lt;&gt;"",'Дивиденды по годам'!K792&lt;&gt;"",('Дивиденды по годам'!I792-'Дивиденды по годам'!J792-'Дивиденды по годам'!K792)&lt;&gt;0),'Дивиденды по годам'!L792/('Дивиденды по годам'!I792-'Дивиденды по годам'!J792-'Дивиденды по годам'!K792),""),"")</f>
        <v/>
      </c>
      <c r="T792" t="str">
        <f>IFERROR(IF(AND('Дивиденды по годам'!Q792&lt;&gt;"",'Дивиденды по годам'!I792&lt;&gt;"",'Дивиденды по годам'!V792&lt;&gt;"",('Дивиденды по годам'!I792+'Дивиденды по годам'!V792)&lt;&gt;0),'Дивиденды по годам'!Q792/(('Дивиденды по годам'!I792+'Дивиденды по годам'!V792)/2),""),"")</f>
        <v/>
      </c>
      <c r="U792" t="str">
        <f>IFERROR(IF(AND('Дивиденды по годам'!J792&lt;&gt;"",'Дивиденды по годам'!K792&lt;&gt;"",'Дивиденды по годам'!M792&lt;&gt;"",'Дивиденды по годам'!M792&lt;&gt;0),('Дивиденды по годам'!J792+'Дивиденды по годам'!K792)/'Дивиденды по годам'!M792,""),"")</f>
        <v/>
      </c>
      <c r="V792" cm="1">
        <f t="array" ref="V792">IFERROR(AVERAGE(_xlfn._xlws.FILTER(P$2:P$1073,($C$2:$C$1073=$C792)*($E$2:$E$1073=$E792)*(ROW(P$2:P$1073)&lt;&gt;ROW(P792))*(P$2:P$1073&lt;&gt;""))),"")</f>
        <v>22.346825762693463</v>
      </c>
      <c r="W792" cm="1">
        <f t="array" ref="W792">IFERROR(AVERAGE(_xlfn._xlws.FILTER(Q$2:Q$1073,($C$2:$C$1073=$C792)*($E$2:$E$1073=$E792)*(ROW(Q$2:Q$1073)&lt;&gt;ROW(Q792))*(Q$2:Q$1073&lt;&gt;""))),"")</f>
        <v>7.5056136613850494E-2</v>
      </c>
      <c r="X792" cm="1">
        <f t="array" ref="X792">IFERROR(AVERAGE(_xlfn._xlws.FILTER(R$2:R$1073,($C$2:$C$1073=$C792)*($E$2:$E$1073=$E792)*(ROW(R$2:R$1073)&lt;&gt;ROW(R792))*(R$2:R$1073&lt;&gt;""))),"")</f>
        <v>0.33893563509351354</v>
      </c>
      <c r="Y792" cm="1">
        <f t="array" ref="Y792">IFERROR(AVERAGE(_xlfn._xlws.FILTER(S$2:S$1073,($C$2:$C$1073=$C792)*($E$2:$E$1073=$E792)*(ROW(S$2:S$1073)&lt;&gt;ROW(S792))*(S$2:S$1073&lt;&gt;""))),"")</f>
        <v>0.96665544321096464</v>
      </c>
      <c r="Z792" cm="1">
        <f t="array" ref="Z792">IFERROR(AVERAGE(_xlfn._xlws.FILTER(T$2:T$1073,($C$2:$C$1073=$C792)*($E$2:$E$1073=$E792)*(ROW(T$2:T$1073)&lt;&gt;ROW(T792))*(T$2:T$1073&lt;&gt;""))),"")</f>
        <v>3.4488878181792075E-2</v>
      </c>
      <c r="AA792" cm="1">
        <f t="array" ref="AA792">IFERROR(AVERAGE(_xlfn._xlws.FILTER(U$2:U$1073,($C$2:$C$1073=$C792)*($E$2:$E$1073=$E792)*(ROW(U$2:U$1073)&lt;&gt;ROW(U792))*(U$2:U$1073&lt;&gt;""))),"")</f>
        <v>4.0219461472187286</v>
      </c>
    </row>
    <row r="793" spans="1:27" x14ac:dyDescent="0.2">
      <c r="A793" s="7" t="s">
        <v>2277</v>
      </c>
      <c r="B793" t="str">
        <f t="shared" si="134"/>
        <v>DATA IV кв. 2018</v>
      </c>
      <c r="C793">
        <v>2018</v>
      </c>
      <c r="D793">
        <f>SUMIFS(Дивиденды!$C:$C,Дивиденды!$A:$A,A793,Дивиденды!$I:$I,C793)</f>
        <v>0</v>
      </c>
      <c r="E793">
        <v>5</v>
      </c>
      <c r="F793">
        <f t="shared" si="135"/>
        <v>0</v>
      </c>
      <c r="G793">
        <f t="shared" si="136"/>
        <v>0</v>
      </c>
      <c r="H793">
        <f t="shared" si="137"/>
        <v>0</v>
      </c>
      <c r="I793">
        <f t="shared" si="133"/>
        <v>0</v>
      </c>
      <c r="J793">
        <f t="shared" si="138"/>
        <v>0</v>
      </c>
      <c r="K793">
        <f t="shared" si="142"/>
        <v>0</v>
      </c>
      <c r="L793">
        <f t="shared" si="139"/>
        <v>0</v>
      </c>
      <c r="M793">
        <f t="shared" si="132"/>
        <v>0</v>
      </c>
      <c r="N793">
        <f t="shared" si="140"/>
        <v>0</v>
      </c>
      <c r="O793">
        <f t="shared" si="141"/>
        <v>0</v>
      </c>
      <c r="P793" t="str">
        <f>IFERROR(LN('Дивиденды по годам'!I793),"")</f>
        <v/>
      </c>
      <c r="Q793" t="str">
        <f>IFERROR('Дивиденды по годам'!G793/'Дивиденды по годам'!I793, "")</f>
        <v/>
      </c>
      <c r="R793" t="str">
        <f>IFERROR(IF(AND('Дивиденды по годам'!N793&lt;&gt;"",'Дивиденды по годам'!U793&lt;&gt;"",'Дивиденды по годам'!U793&lt;&gt;0),'Дивиденды по годам'!N793/'Дивиденды по годам'!U793-1,""),"")</f>
        <v/>
      </c>
      <c r="S793" t="str">
        <f>IFERROR(IF(AND('Дивиденды по годам'!L793&lt;&gt;"",'Дивиденды по годам'!I793&lt;&gt;"",'Дивиденды по годам'!J793&lt;&gt;"",'Дивиденды по годам'!K793&lt;&gt;"",('Дивиденды по годам'!I793-'Дивиденды по годам'!J793-'Дивиденды по годам'!K793)&lt;&gt;0),'Дивиденды по годам'!L793/('Дивиденды по годам'!I793-'Дивиденды по годам'!J793-'Дивиденды по годам'!K793),""),"")</f>
        <v/>
      </c>
      <c r="T793" t="str">
        <f>IFERROR(IF(AND('Дивиденды по годам'!Q793&lt;&gt;"",'Дивиденды по годам'!I793&lt;&gt;"",'Дивиденды по годам'!V793&lt;&gt;"",('Дивиденды по годам'!I793+'Дивиденды по годам'!V793)&lt;&gt;0),'Дивиденды по годам'!Q793/(('Дивиденды по годам'!I793+'Дивиденды по годам'!V793)/2),""),"")</f>
        <v/>
      </c>
      <c r="U793" t="str">
        <f>IFERROR(IF(AND('Дивиденды по годам'!J793&lt;&gt;"",'Дивиденды по годам'!K793&lt;&gt;"",'Дивиденды по годам'!M793&lt;&gt;"",'Дивиденды по годам'!M793&lt;&gt;0),('Дивиденды по годам'!J793+'Дивиденды по годам'!K793)/'Дивиденды по годам'!M793,""),"")</f>
        <v/>
      </c>
      <c r="V793" cm="1">
        <f t="array" ref="V793">IFERROR(AVERAGE(_xlfn._xlws.FILTER(P$2:P$1073,($C$2:$C$1073=$C793)*($E$2:$E$1073=$E793)*(ROW(P$2:P$1073)&lt;&gt;ROW(P793))*(P$2:P$1073&lt;&gt;""))),"")</f>
        <v>22.172578892977874</v>
      </c>
      <c r="W793" cm="1">
        <f t="array" ref="W793">IFERROR(AVERAGE(_xlfn._xlws.FILTER(Q$2:Q$1073,($C$2:$C$1073=$C793)*($E$2:$E$1073=$E793)*(ROW(Q$2:Q$1073)&lt;&gt;ROW(Q793))*(Q$2:Q$1073&lt;&gt;""))),"")</f>
        <v>8.054458642308425E-2</v>
      </c>
      <c r="X793" t="str" cm="1">
        <f t="array" ref="X793">IFERROR(AVERAGE(_xlfn._xlws.FILTER(R$2:R$1073,($C$2:$C$1073=$C793)*($E$2:$E$1073=$E793)*(ROW(R$2:R$1073)&lt;&gt;ROW(R793))*(R$2:R$1073&lt;&gt;""))),"")</f>
        <v/>
      </c>
      <c r="Y793" cm="1">
        <f t="array" ref="Y793">IFERROR(AVERAGE(_xlfn._xlws.FILTER(S$2:S$1073,($C$2:$C$1073=$C793)*($E$2:$E$1073=$E793)*(ROW(S$2:S$1073)&lt;&gt;ROW(S793))*(S$2:S$1073&lt;&gt;""))),"")</f>
        <v>0.96159636867391751</v>
      </c>
      <c r="Z793" t="str" cm="1">
        <f t="array" ref="Z793">IFERROR(AVERAGE(_xlfn._xlws.FILTER(T$2:T$1073,($C$2:$C$1073=$C793)*($E$2:$E$1073=$E793)*(ROW(T$2:T$1073)&lt;&gt;ROW(T793))*(T$2:T$1073&lt;&gt;""))),"")</f>
        <v/>
      </c>
      <c r="AA793" cm="1">
        <f t="array" ref="AA793">IFERROR(AVERAGE(_xlfn._xlws.FILTER(U$2:U$1073,($C$2:$C$1073=$C793)*($E$2:$E$1073=$E793)*(ROW(U$2:U$1073)&lt;&gt;ROW(U793))*(U$2:U$1073&lt;&gt;""))),"")</f>
        <v>4.0227688861378841</v>
      </c>
    </row>
    <row r="794" spans="1:27" x14ac:dyDescent="0.2">
      <c r="A794" s="7" t="s">
        <v>2277</v>
      </c>
      <c r="B794" t="str">
        <f t="shared" si="134"/>
        <v>DATA IV кв. 2017</v>
      </c>
      <c r="C794">
        <v>2017</v>
      </c>
      <c r="D794">
        <f>SUMIFS(Дивиденды!$C:$C,Дивиденды!$A:$A,A794,Дивиденды!$I:$I,C794)</f>
        <v>0</v>
      </c>
      <c r="E794">
        <v>5</v>
      </c>
      <c r="F794">
        <f t="shared" si="135"/>
        <v>0</v>
      </c>
      <c r="G794">
        <f t="shared" si="136"/>
        <v>0</v>
      </c>
      <c r="H794">
        <f t="shared" si="137"/>
        <v>0</v>
      </c>
      <c r="I794">
        <f t="shared" si="133"/>
        <v>0</v>
      </c>
      <c r="J794">
        <f t="shared" si="138"/>
        <v>0</v>
      </c>
      <c r="K794">
        <f t="shared" si="142"/>
        <v>0</v>
      </c>
      <c r="L794">
        <f t="shared" si="139"/>
        <v>0</v>
      </c>
      <c r="M794">
        <f t="shared" si="132"/>
        <v>0</v>
      </c>
      <c r="N794">
        <f t="shared" si="140"/>
        <v>0</v>
      </c>
      <c r="O794">
        <f t="shared" si="141"/>
        <v>0</v>
      </c>
      <c r="P794" t="str">
        <f>IFERROR(LN('Дивиденды по годам'!I794),"")</f>
        <v/>
      </c>
      <c r="Q794" t="str">
        <f>IFERROR('Дивиденды по годам'!G794/'Дивиденды по годам'!I794, "")</f>
        <v/>
      </c>
      <c r="R794" t="str">
        <f>IFERROR(IF(AND('Дивиденды по годам'!N794&lt;&gt;"",'Дивиденды по годам'!U794&lt;&gt;"",'Дивиденды по годам'!U794&lt;&gt;0),'Дивиденды по годам'!N794/'Дивиденды по годам'!U794-1,""),"")</f>
        <v/>
      </c>
      <c r="S794" t="str">
        <f>IFERROR(IF(AND('Дивиденды по годам'!L794&lt;&gt;"",'Дивиденды по годам'!I794&lt;&gt;"",'Дивиденды по годам'!J794&lt;&gt;"",'Дивиденды по годам'!K794&lt;&gt;"",('Дивиденды по годам'!I794-'Дивиденды по годам'!J794-'Дивиденды по годам'!K794)&lt;&gt;0),'Дивиденды по годам'!L794/('Дивиденды по годам'!I794-'Дивиденды по годам'!J794-'Дивиденды по годам'!K794),""),"")</f>
        <v/>
      </c>
      <c r="T794" t="str">
        <f>IFERROR(IF(AND('Дивиденды по годам'!Q794&lt;&gt;"",'Дивиденды по годам'!I794&lt;&gt;"",'Дивиденды по годам'!V794&lt;&gt;"",('Дивиденды по годам'!I794+'Дивиденды по годам'!V794)&lt;&gt;0),'Дивиденды по годам'!Q794/(('Дивиденды по годам'!I794+'Дивиденды по годам'!V794)/2),""),"")</f>
        <v/>
      </c>
      <c r="U794" t="str">
        <f>IFERROR(IF(AND('Дивиденды по годам'!J794&lt;&gt;"",'Дивиденды по годам'!K794&lt;&gt;"",'Дивиденды по годам'!M794&lt;&gt;"",'Дивиденды по годам'!M794&lt;&gt;0),('Дивиденды по годам'!J794+'Дивиденды по годам'!K794)/'Дивиденды по годам'!M794,""),"")</f>
        <v/>
      </c>
      <c r="V794" t="str" cm="1">
        <f t="array" ref="V794">IFERROR(AVERAGE(_xlfn._xlws.FILTER(P$2:P$1073,($C$2:$C$1073=$C794)*($E$2:$E$1073=$E794)*(ROW(P$2:P$1073)&lt;&gt;ROW(P794))*(P$2:P$1073&lt;&gt;""))),"")</f>
        <v/>
      </c>
      <c r="W794" t="str" cm="1">
        <f t="array" ref="W794">IFERROR(AVERAGE(_xlfn._xlws.FILTER(Q$2:Q$1073,($C$2:$C$1073=$C794)*($E$2:$E$1073=$E794)*(ROW(Q$2:Q$1073)&lt;&gt;ROW(Q794))*(Q$2:Q$1073&lt;&gt;""))),"")</f>
        <v/>
      </c>
      <c r="X794" t="str" cm="1">
        <f t="array" ref="X794">IFERROR(AVERAGE(_xlfn._xlws.FILTER(R$2:R$1073,($C$2:$C$1073=$C794)*($E$2:$E$1073=$E794)*(ROW(R$2:R$1073)&lt;&gt;ROW(R794))*(R$2:R$1073&lt;&gt;""))),"")</f>
        <v/>
      </c>
      <c r="Y794" t="str" cm="1">
        <f t="array" ref="Y794">IFERROR(AVERAGE(_xlfn._xlws.FILTER(S$2:S$1073,($C$2:$C$1073=$C794)*($E$2:$E$1073=$E794)*(ROW(S$2:S$1073)&lt;&gt;ROW(S794))*(S$2:S$1073&lt;&gt;""))),"")</f>
        <v/>
      </c>
      <c r="Z794" t="str" cm="1">
        <f t="array" ref="Z794">IFERROR(AVERAGE(_xlfn._xlws.FILTER(T$2:T$1073,($C$2:$C$1073=$C794)*($E$2:$E$1073=$E794)*(ROW(T$2:T$1073)&lt;&gt;ROW(T794))*(T$2:T$1073&lt;&gt;""))),"")</f>
        <v/>
      </c>
      <c r="AA794" t="str" cm="1">
        <f t="array" ref="AA794">IFERROR(AVERAGE(_xlfn._xlws.FILTER(U$2:U$1073,($C$2:$C$1073=$C794)*($E$2:$E$1073=$E794)*(ROW(U$2:U$1073)&lt;&gt;ROW(U794))*(U$2:U$1073&lt;&gt;""))),"")</f>
        <v/>
      </c>
    </row>
    <row r="795" spans="1:27" x14ac:dyDescent="0.2">
      <c r="A795" s="7" t="s">
        <v>2277</v>
      </c>
      <c r="B795" t="str">
        <f t="shared" si="134"/>
        <v>DATA IV кв. 2016</v>
      </c>
      <c r="C795">
        <v>2016</v>
      </c>
      <c r="D795">
        <f>SUMIFS(Дивиденды!$C:$C,Дивиденды!$A:$A,A795,Дивиденды!$I:$I,C795)</f>
        <v>0</v>
      </c>
      <c r="E795">
        <v>5</v>
      </c>
      <c r="F795">
        <f t="shared" si="135"/>
        <v>0</v>
      </c>
      <c r="G795">
        <f t="shared" si="136"/>
        <v>0</v>
      </c>
      <c r="H795">
        <f t="shared" si="137"/>
        <v>0</v>
      </c>
      <c r="I795">
        <f t="shared" si="133"/>
        <v>0</v>
      </c>
      <c r="J795">
        <f t="shared" si="138"/>
        <v>0</v>
      </c>
      <c r="K795">
        <f t="shared" si="142"/>
        <v>0</v>
      </c>
      <c r="L795">
        <f t="shared" si="139"/>
        <v>0</v>
      </c>
      <c r="M795">
        <f t="shared" si="132"/>
        <v>0</v>
      </c>
      <c r="N795">
        <f t="shared" si="140"/>
        <v>0</v>
      </c>
      <c r="O795">
        <f t="shared" si="141"/>
        <v>0</v>
      </c>
      <c r="P795" t="str">
        <f>IFERROR(LN('Дивиденды по годам'!I795),"")</f>
        <v/>
      </c>
      <c r="Q795" t="str">
        <f>IFERROR('Дивиденды по годам'!G795/'Дивиденды по годам'!I795, "")</f>
        <v/>
      </c>
      <c r="R795" t="str">
        <f>IFERROR(IF(AND('Дивиденды по годам'!N795&lt;&gt;"",'Дивиденды по годам'!U795&lt;&gt;"",'Дивиденды по годам'!U795&lt;&gt;0),'Дивиденды по годам'!N795/'Дивиденды по годам'!U795-1,""),"")</f>
        <v/>
      </c>
      <c r="S795" t="str">
        <f>IFERROR(IF(AND('Дивиденды по годам'!L795&lt;&gt;"",'Дивиденды по годам'!I795&lt;&gt;"",'Дивиденды по годам'!J795&lt;&gt;"",'Дивиденды по годам'!K795&lt;&gt;"",('Дивиденды по годам'!I795-'Дивиденды по годам'!J795-'Дивиденды по годам'!K795)&lt;&gt;0),'Дивиденды по годам'!L795/('Дивиденды по годам'!I795-'Дивиденды по годам'!J795-'Дивиденды по годам'!K795),""),"")</f>
        <v/>
      </c>
      <c r="T795" t="str">
        <f>IFERROR(IF(AND('Дивиденды по годам'!Q795&lt;&gt;"",'Дивиденды по годам'!I795&lt;&gt;"",'Дивиденды по годам'!V795&lt;&gt;"",('Дивиденды по годам'!I795+'Дивиденды по годам'!V795)&lt;&gt;0),'Дивиденды по годам'!Q795/(('Дивиденды по годам'!I795+'Дивиденды по годам'!V795)/2),""),"")</f>
        <v/>
      </c>
      <c r="U795" t="str">
        <f>IFERROR(IF(AND('Дивиденды по годам'!J795&lt;&gt;"",'Дивиденды по годам'!K795&lt;&gt;"",'Дивиденды по годам'!M795&lt;&gt;"",'Дивиденды по годам'!M795&lt;&gt;0),('Дивиденды по годам'!J795+'Дивиденды по годам'!K795)/'Дивиденды по годам'!M795,""),"")</f>
        <v/>
      </c>
      <c r="V795" t="str" cm="1">
        <f t="array" ref="V795">IFERROR(AVERAGE(_xlfn._xlws.FILTER(P$2:P$1073,($C$2:$C$1073=$C795)*($E$2:$E$1073=$E795)*(ROW(P$2:P$1073)&lt;&gt;ROW(P795))*(P$2:P$1073&lt;&gt;""))),"")</f>
        <v/>
      </c>
      <c r="W795" t="str" cm="1">
        <f t="array" ref="W795">IFERROR(AVERAGE(_xlfn._xlws.FILTER(Q$2:Q$1073,($C$2:$C$1073=$C795)*($E$2:$E$1073=$E795)*(ROW(Q$2:Q$1073)&lt;&gt;ROW(Q795))*(Q$2:Q$1073&lt;&gt;""))),"")</f>
        <v/>
      </c>
      <c r="X795" t="str" cm="1">
        <f t="array" ref="X795">IFERROR(AVERAGE(_xlfn._xlws.FILTER(R$2:R$1073,($C$2:$C$1073=$C795)*($E$2:$E$1073=$E795)*(ROW(R$2:R$1073)&lt;&gt;ROW(R795))*(R$2:R$1073&lt;&gt;""))),"")</f>
        <v/>
      </c>
      <c r="Y795" t="str" cm="1">
        <f t="array" ref="Y795">IFERROR(AVERAGE(_xlfn._xlws.FILTER(S$2:S$1073,($C$2:$C$1073=$C795)*($E$2:$E$1073=$E795)*(ROW(S$2:S$1073)&lt;&gt;ROW(S795))*(S$2:S$1073&lt;&gt;""))),"")</f>
        <v/>
      </c>
      <c r="Z795" t="str" cm="1">
        <f t="array" ref="Z795">IFERROR(AVERAGE(_xlfn._xlws.FILTER(T$2:T$1073,($C$2:$C$1073=$C795)*($E$2:$E$1073=$E795)*(ROW(T$2:T$1073)&lt;&gt;ROW(T795))*(T$2:T$1073&lt;&gt;""))),"")</f>
        <v/>
      </c>
      <c r="AA795" t="str" cm="1">
        <f t="array" ref="AA795">IFERROR(AVERAGE(_xlfn._xlws.FILTER(U$2:U$1073,($C$2:$C$1073=$C795)*($E$2:$E$1073=$E795)*(ROW(U$2:U$1073)&lt;&gt;ROW(U795))*(U$2:U$1073&lt;&gt;""))),"")</f>
        <v/>
      </c>
    </row>
    <row r="796" spans="1:27" x14ac:dyDescent="0.2">
      <c r="A796" s="7" t="s">
        <v>2277</v>
      </c>
      <c r="B796" t="str">
        <f t="shared" si="134"/>
        <v>DATA IV кв. 2015</v>
      </c>
      <c r="C796">
        <v>2015</v>
      </c>
      <c r="D796">
        <f>SUMIFS(Дивиденды!$C:$C,Дивиденды!$A:$A,A796,Дивиденды!$I:$I,C796)</f>
        <v>0</v>
      </c>
      <c r="E796">
        <v>5</v>
      </c>
      <c r="F796">
        <f t="shared" si="135"/>
        <v>0</v>
      </c>
      <c r="G796">
        <f t="shared" si="136"/>
        <v>0</v>
      </c>
      <c r="H796">
        <f t="shared" si="137"/>
        <v>0</v>
      </c>
      <c r="I796">
        <f t="shared" si="133"/>
        <v>0</v>
      </c>
      <c r="J796">
        <f t="shared" si="138"/>
        <v>0</v>
      </c>
      <c r="K796">
        <f t="shared" si="142"/>
        <v>0</v>
      </c>
      <c r="L796">
        <f t="shared" si="139"/>
        <v>0</v>
      </c>
      <c r="M796">
        <f t="shared" si="132"/>
        <v>0</v>
      </c>
      <c r="N796">
        <f t="shared" si="140"/>
        <v>0</v>
      </c>
      <c r="O796">
        <f t="shared" si="141"/>
        <v>0</v>
      </c>
      <c r="P796" t="str">
        <f>IFERROR(LN('Дивиденды по годам'!I796),"")</f>
        <v/>
      </c>
      <c r="Q796" t="str">
        <f>IFERROR('Дивиденды по годам'!G796/'Дивиденды по годам'!I796, "")</f>
        <v/>
      </c>
      <c r="R796" t="str">
        <f>IFERROR(IF(AND('Дивиденды по годам'!N796&lt;&gt;"",'Дивиденды по годам'!U796&lt;&gt;"",'Дивиденды по годам'!U796&lt;&gt;0),'Дивиденды по годам'!N796/'Дивиденды по годам'!U796-1,""),"")</f>
        <v/>
      </c>
      <c r="S796" t="str">
        <f>IFERROR(IF(AND('Дивиденды по годам'!L796&lt;&gt;"",'Дивиденды по годам'!I796&lt;&gt;"",'Дивиденды по годам'!J796&lt;&gt;"",'Дивиденды по годам'!K796&lt;&gt;"",('Дивиденды по годам'!I796-'Дивиденды по годам'!J796-'Дивиденды по годам'!K796)&lt;&gt;0),'Дивиденды по годам'!L796/('Дивиденды по годам'!I796-'Дивиденды по годам'!J796-'Дивиденды по годам'!K796),""),"")</f>
        <v/>
      </c>
      <c r="T796" t="str">
        <f>IFERROR(IF(AND('Дивиденды по годам'!Q796&lt;&gt;"",'Дивиденды по годам'!I796&lt;&gt;"",'Дивиденды по годам'!V796&lt;&gt;"",('Дивиденды по годам'!I796+'Дивиденды по годам'!V796)&lt;&gt;0),'Дивиденды по годам'!Q796/(('Дивиденды по годам'!I796+'Дивиденды по годам'!V796)/2),""),"")</f>
        <v/>
      </c>
      <c r="U796" t="str">
        <f>IFERROR(IF(AND('Дивиденды по годам'!J796&lt;&gt;"",'Дивиденды по годам'!K796&lt;&gt;"",'Дивиденды по годам'!M796&lt;&gt;"",'Дивиденды по годам'!M796&lt;&gt;0),('Дивиденды по годам'!J796+'Дивиденды по годам'!K796)/'Дивиденды по годам'!M796,""),"")</f>
        <v/>
      </c>
      <c r="V796" t="str" cm="1">
        <f t="array" ref="V796">IFERROR(AVERAGE(_xlfn._xlws.FILTER(P$2:P$1073,($C$2:$C$1073=$C796)*($E$2:$E$1073=$E796)*(ROW(P$2:P$1073)&lt;&gt;ROW(P796))*(P$2:P$1073&lt;&gt;""))),"")</f>
        <v/>
      </c>
      <c r="W796" t="str" cm="1">
        <f t="array" ref="W796">IFERROR(AVERAGE(_xlfn._xlws.FILTER(Q$2:Q$1073,($C$2:$C$1073=$C796)*($E$2:$E$1073=$E796)*(ROW(Q$2:Q$1073)&lt;&gt;ROW(Q796))*(Q$2:Q$1073&lt;&gt;""))),"")</f>
        <v/>
      </c>
      <c r="X796" t="str" cm="1">
        <f t="array" ref="X796">IFERROR(AVERAGE(_xlfn._xlws.FILTER(R$2:R$1073,($C$2:$C$1073=$C796)*($E$2:$E$1073=$E796)*(ROW(R$2:R$1073)&lt;&gt;ROW(R796))*(R$2:R$1073&lt;&gt;""))),"")</f>
        <v/>
      </c>
      <c r="Y796" t="str" cm="1">
        <f t="array" ref="Y796">IFERROR(AVERAGE(_xlfn._xlws.FILTER(S$2:S$1073,($C$2:$C$1073=$C796)*($E$2:$E$1073=$E796)*(ROW(S$2:S$1073)&lt;&gt;ROW(S796))*(S$2:S$1073&lt;&gt;""))),"")</f>
        <v/>
      </c>
      <c r="Z796" t="str" cm="1">
        <f t="array" ref="Z796">IFERROR(AVERAGE(_xlfn._xlws.FILTER(T$2:T$1073,($C$2:$C$1073=$C796)*($E$2:$E$1073=$E796)*(ROW(T$2:T$1073)&lt;&gt;ROW(T796))*(T$2:T$1073&lt;&gt;""))),"")</f>
        <v/>
      </c>
      <c r="AA796" t="str" cm="1">
        <f t="array" ref="AA796">IFERROR(AVERAGE(_xlfn._xlws.FILTER(U$2:U$1073,($C$2:$C$1073=$C796)*($E$2:$E$1073=$E796)*(ROW(U$2:U$1073)&lt;&gt;ROW(U796))*(U$2:U$1073&lt;&gt;""))),"")</f>
        <v/>
      </c>
    </row>
    <row r="797" spans="1:27" x14ac:dyDescent="0.2">
      <c r="A797" s="7" t="s">
        <v>2277</v>
      </c>
      <c r="B797" t="str">
        <f t="shared" si="134"/>
        <v>DATA IV кв. 2014</v>
      </c>
      <c r="C797">
        <v>2014</v>
      </c>
      <c r="D797">
        <f>SUMIFS(Дивиденды!$C:$C,Дивиденды!$A:$A,A797,Дивиденды!$I:$I,C797)</f>
        <v>0</v>
      </c>
      <c r="E797">
        <v>5</v>
      </c>
      <c r="F797">
        <f t="shared" si="135"/>
        <v>0</v>
      </c>
      <c r="G797">
        <f t="shared" si="136"/>
        <v>0</v>
      </c>
      <c r="H797">
        <f t="shared" si="137"/>
        <v>0</v>
      </c>
      <c r="I797">
        <f t="shared" si="133"/>
        <v>0</v>
      </c>
      <c r="J797">
        <f t="shared" si="138"/>
        <v>0</v>
      </c>
      <c r="K797">
        <f t="shared" si="142"/>
        <v>0</v>
      </c>
      <c r="L797">
        <f t="shared" si="139"/>
        <v>0</v>
      </c>
      <c r="M797">
        <f t="shared" si="132"/>
        <v>0</v>
      </c>
      <c r="N797">
        <f t="shared" si="140"/>
        <v>0</v>
      </c>
      <c r="O797">
        <f t="shared" si="141"/>
        <v>0</v>
      </c>
      <c r="P797" t="str">
        <f>IFERROR(LN('Дивиденды по годам'!I797),"")</f>
        <v/>
      </c>
      <c r="Q797" t="str">
        <f>IFERROR('Дивиденды по годам'!G797/'Дивиденды по годам'!I797, "")</f>
        <v/>
      </c>
      <c r="R797" t="str">
        <f>IFERROR(IF(AND('Дивиденды по годам'!N797&lt;&gt;"",'Дивиденды по годам'!U797&lt;&gt;"",'Дивиденды по годам'!U797&lt;&gt;0),'Дивиденды по годам'!N797/'Дивиденды по годам'!U797-1,""),"")</f>
        <v/>
      </c>
      <c r="S797" t="str">
        <f>IFERROR(IF(AND('Дивиденды по годам'!L797&lt;&gt;"",'Дивиденды по годам'!I797&lt;&gt;"",'Дивиденды по годам'!J797&lt;&gt;"",'Дивиденды по годам'!K797&lt;&gt;"",('Дивиденды по годам'!I797-'Дивиденды по годам'!J797-'Дивиденды по годам'!K797)&lt;&gt;0),'Дивиденды по годам'!L797/('Дивиденды по годам'!I797-'Дивиденды по годам'!J797-'Дивиденды по годам'!K797),""),"")</f>
        <v/>
      </c>
      <c r="T797" t="str">
        <f>IFERROR(IF(AND('Дивиденды по годам'!Q797&lt;&gt;"",'Дивиденды по годам'!I797&lt;&gt;"",'Дивиденды по годам'!V797&lt;&gt;"",('Дивиденды по годам'!I797+'Дивиденды по годам'!V797)&lt;&gt;0),'Дивиденды по годам'!Q797/(('Дивиденды по годам'!I797+'Дивиденды по годам'!V797)/2),""),"")</f>
        <v/>
      </c>
      <c r="U797" t="str">
        <f>IFERROR(IF(AND('Дивиденды по годам'!J797&lt;&gt;"",'Дивиденды по годам'!K797&lt;&gt;"",'Дивиденды по годам'!M797&lt;&gt;"",'Дивиденды по годам'!M797&lt;&gt;0),('Дивиденды по годам'!J797+'Дивиденды по годам'!K797)/'Дивиденды по годам'!M797,""),"")</f>
        <v/>
      </c>
      <c r="V797" t="str" cm="1">
        <f t="array" ref="V797">IFERROR(AVERAGE(_xlfn._xlws.FILTER(P$2:P$1073,($C$2:$C$1073=$C797)*($E$2:$E$1073=$E797)*(ROW(P$2:P$1073)&lt;&gt;ROW(P797))*(P$2:P$1073&lt;&gt;""))),"")</f>
        <v/>
      </c>
      <c r="W797" t="str" cm="1">
        <f t="array" ref="W797">IFERROR(AVERAGE(_xlfn._xlws.FILTER(Q$2:Q$1073,($C$2:$C$1073=$C797)*($E$2:$E$1073=$E797)*(ROW(Q$2:Q$1073)&lt;&gt;ROW(Q797))*(Q$2:Q$1073&lt;&gt;""))),"")</f>
        <v/>
      </c>
      <c r="X797" t="str" cm="1">
        <f t="array" ref="X797">IFERROR(AVERAGE(_xlfn._xlws.FILTER(R$2:R$1073,($C$2:$C$1073=$C797)*($E$2:$E$1073=$E797)*(ROW(R$2:R$1073)&lt;&gt;ROW(R797))*(R$2:R$1073&lt;&gt;""))),"")</f>
        <v/>
      </c>
      <c r="Y797" t="str" cm="1">
        <f t="array" ref="Y797">IFERROR(AVERAGE(_xlfn._xlws.FILTER(S$2:S$1073,($C$2:$C$1073=$C797)*($E$2:$E$1073=$E797)*(ROW(S$2:S$1073)&lt;&gt;ROW(S797))*(S$2:S$1073&lt;&gt;""))),"")</f>
        <v/>
      </c>
      <c r="Z797" t="str" cm="1">
        <f t="array" ref="Z797">IFERROR(AVERAGE(_xlfn._xlws.FILTER(T$2:T$1073,($C$2:$C$1073=$C797)*($E$2:$E$1073=$E797)*(ROW(T$2:T$1073)&lt;&gt;ROW(T797))*(T$2:T$1073&lt;&gt;""))),"")</f>
        <v/>
      </c>
      <c r="AA797" t="str" cm="1">
        <f t="array" ref="AA797">IFERROR(AVERAGE(_xlfn._xlws.FILTER(U$2:U$1073,($C$2:$C$1073=$C797)*($E$2:$E$1073=$E797)*(ROW(U$2:U$1073)&lt;&gt;ROW(U797))*(U$2:U$1073&lt;&gt;""))),"")</f>
        <v/>
      </c>
    </row>
    <row r="798" spans="1:27" x14ac:dyDescent="0.2">
      <c r="A798" s="7" t="s">
        <v>2277</v>
      </c>
      <c r="B798" t="str">
        <f t="shared" si="134"/>
        <v>DATA IV кв. 2013</v>
      </c>
      <c r="C798">
        <v>2013</v>
      </c>
      <c r="D798">
        <f>SUMIFS(Дивиденды!$C:$C,Дивиденды!$A:$A,A798,Дивиденды!$I:$I,C798)</f>
        <v>0</v>
      </c>
      <c r="E798">
        <v>5</v>
      </c>
      <c r="F798">
        <f t="shared" si="135"/>
        <v>0</v>
      </c>
      <c r="G798">
        <f t="shared" si="136"/>
        <v>0</v>
      </c>
      <c r="H798">
        <f t="shared" si="137"/>
        <v>0</v>
      </c>
      <c r="I798">
        <f t="shared" si="133"/>
        <v>0</v>
      </c>
      <c r="J798">
        <f t="shared" si="138"/>
        <v>0</v>
      </c>
      <c r="K798">
        <f t="shared" si="142"/>
        <v>0</v>
      </c>
      <c r="L798">
        <f t="shared" si="139"/>
        <v>0</v>
      </c>
      <c r="M798">
        <f t="shared" si="132"/>
        <v>0</v>
      </c>
      <c r="N798">
        <f t="shared" si="140"/>
        <v>0</v>
      </c>
      <c r="O798">
        <f t="shared" si="141"/>
        <v>0</v>
      </c>
      <c r="P798" t="str">
        <f>IFERROR(LN('Дивиденды по годам'!I798),"")</f>
        <v/>
      </c>
      <c r="Q798" t="str">
        <f>IFERROR('Дивиденды по годам'!G798/'Дивиденды по годам'!I798, "")</f>
        <v/>
      </c>
      <c r="R798" t="str">
        <f>IFERROR(IF(AND('Дивиденды по годам'!N798&lt;&gt;"",'Дивиденды по годам'!U798&lt;&gt;"",'Дивиденды по годам'!U798&lt;&gt;0),'Дивиденды по годам'!N798/'Дивиденды по годам'!U798-1,""),"")</f>
        <v/>
      </c>
      <c r="S798" t="str">
        <f>IFERROR(IF(AND('Дивиденды по годам'!L798&lt;&gt;"",'Дивиденды по годам'!I798&lt;&gt;"",'Дивиденды по годам'!J798&lt;&gt;"",'Дивиденды по годам'!K798&lt;&gt;"",('Дивиденды по годам'!I798-'Дивиденды по годам'!J798-'Дивиденды по годам'!K798)&lt;&gt;0),'Дивиденды по годам'!L798/('Дивиденды по годам'!I798-'Дивиденды по годам'!J798-'Дивиденды по годам'!K798),""),"")</f>
        <v/>
      </c>
      <c r="T798" t="str">
        <f>IFERROR(IF(AND('Дивиденды по годам'!Q798&lt;&gt;"",'Дивиденды по годам'!I798&lt;&gt;"",'Дивиденды по годам'!V798&lt;&gt;"",('Дивиденды по годам'!I798+'Дивиденды по годам'!V798)&lt;&gt;0),'Дивиденды по годам'!Q798/(('Дивиденды по годам'!I798+'Дивиденды по годам'!V798)/2),""),"")</f>
        <v/>
      </c>
      <c r="U798" t="str">
        <f>IFERROR(IF(AND('Дивиденды по годам'!J798&lt;&gt;"",'Дивиденды по годам'!K798&lt;&gt;"",'Дивиденды по годам'!M798&lt;&gt;"",'Дивиденды по годам'!M798&lt;&gt;0),('Дивиденды по годам'!J798+'Дивиденды по годам'!K798)/'Дивиденды по годам'!M798,""),"")</f>
        <v/>
      </c>
      <c r="V798" t="str" cm="1">
        <f t="array" ref="V798">IFERROR(AVERAGE(_xlfn._xlws.FILTER(P$2:P$1073,($C$2:$C$1073=$C798)*($E$2:$E$1073=$E798)*(ROW(P$2:P$1073)&lt;&gt;ROW(P798))*(P$2:P$1073&lt;&gt;""))),"")</f>
        <v/>
      </c>
      <c r="W798" t="str" cm="1">
        <f t="array" ref="W798">IFERROR(AVERAGE(_xlfn._xlws.FILTER(Q$2:Q$1073,($C$2:$C$1073=$C798)*($E$2:$E$1073=$E798)*(ROW(Q$2:Q$1073)&lt;&gt;ROW(Q798))*(Q$2:Q$1073&lt;&gt;""))),"")</f>
        <v/>
      </c>
      <c r="X798" t="str" cm="1">
        <f t="array" ref="X798">IFERROR(AVERAGE(_xlfn._xlws.FILTER(R$2:R$1073,($C$2:$C$1073=$C798)*($E$2:$E$1073=$E798)*(ROW(R$2:R$1073)&lt;&gt;ROW(R798))*(R$2:R$1073&lt;&gt;""))),"")</f>
        <v/>
      </c>
      <c r="Y798" t="str" cm="1">
        <f t="array" ref="Y798">IFERROR(AVERAGE(_xlfn._xlws.FILTER(S$2:S$1073,($C$2:$C$1073=$C798)*($E$2:$E$1073=$E798)*(ROW(S$2:S$1073)&lt;&gt;ROW(S798))*(S$2:S$1073&lt;&gt;""))),"")</f>
        <v/>
      </c>
      <c r="Z798" t="str" cm="1">
        <f t="array" ref="Z798">IFERROR(AVERAGE(_xlfn._xlws.FILTER(T$2:T$1073,($C$2:$C$1073=$C798)*($E$2:$E$1073=$E798)*(ROW(T$2:T$1073)&lt;&gt;ROW(T798))*(T$2:T$1073&lt;&gt;""))),"")</f>
        <v/>
      </c>
      <c r="AA798" t="str" cm="1">
        <f t="array" ref="AA798">IFERROR(AVERAGE(_xlfn._xlws.FILTER(U$2:U$1073,($C$2:$C$1073=$C798)*($E$2:$E$1073=$E798)*(ROW(U$2:U$1073)&lt;&gt;ROW(U798))*(U$2:U$1073&lt;&gt;""))),"")</f>
        <v/>
      </c>
    </row>
    <row r="799" spans="1:27" x14ac:dyDescent="0.2">
      <c r="A799" s="7" t="s">
        <v>2277</v>
      </c>
      <c r="B799" t="str">
        <f t="shared" si="134"/>
        <v>DATA IV кв. 2012</v>
      </c>
      <c r="C799">
        <v>2012</v>
      </c>
      <c r="D799">
        <f>SUMIFS(Дивиденды!$C:$C,Дивиденды!$A:$A,A799,Дивиденды!$I:$I,C799)</f>
        <v>0</v>
      </c>
      <c r="E799">
        <v>5</v>
      </c>
      <c r="F799">
        <f t="shared" si="135"/>
        <v>0</v>
      </c>
      <c r="G799">
        <f t="shared" si="136"/>
        <v>0</v>
      </c>
      <c r="H799">
        <f t="shared" si="137"/>
        <v>0</v>
      </c>
      <c r="I799">
        <f t="shared" si="133"/>
        <v>0</v>
      </c>
      <c r="J799">
        <f t="shared" si="138"/>
        <v>0</v>
      </c>
      <c r="K799">
        <f t="shared" si="142"/>
        <v>0</v>
      </c>
      <c r="L799">
        <f t="shared" si="139"/>
        <v>0</v>
      </c>
      <c r="M799">
        <f t="shared" si="132"/>
        <v>0</v>
      </c>
      <c r="N799">
        <f t="shared" si="140"/>
        <v>0</v>
      </c>
      <c r="O799">
        <f t="shared" si="141"/>
        <v>0</v>
      </c>
      <c r="P799" t="str">
        <f>IFERROR(LN('Дивиденды по годам'!I799),"")</f>
        <v/>
      </c>
      <c r="Q799" t="str">
        <f>IFERROR('Дивиденды по годам'!G799/'Дивиденды по годам'!I799, "")</f>
        <v/>
      </c>
      <c r="R799" t="str">
        <f>IFERROR(IF(AND('Дивиденды по годам'!N799&lt;&gt;"",'Дивиденды по годам'!U799&lt;&gt;"",'Дивиденды по годам'!U799&lt;&gt;0),'Дивиденды по годам'!N799/'Дивиденды по годам'!U799-1,""),"")</f>
        <v/>
      </c>
      <c r="S799" t="str">
        <f>IFERROR(IF(AND('Дивиденды по годам'!L799&lt;&gt;"",'Дивиденды по годам'!I799&lt;&gt;"",'Дивиденды по годам'!J799&lt;&gt;"",'Дивиденды по годам'!K799&lt;&gt;"",('Дивиденды по годам'!I799-'Дивиденды по годам'!J799-'Дивиденды по годам'!K799)&lt;&gt;0),'Дивиденды по годам'!L799/('Дивиденды по годам'!I799-'Дивиденды по годам'!J799-'Дивиденды по годам'!K799),""),"")</f>
        <v/>
      </c>
      <c r="T799" t="str">
        <f>IFERROR(IF(AND('Дивиденды по годам'!Q799&lt;&gt;"",'Дивиденды по годам'!I799&lt;&gt;"",'Дивиденды по годам'!V799&lt;&gt;"",('Дивиденды по годам'!I799+'Дивиденды по годам'!V799)&lt;&gt;0),'Дивиденды по годам'!Q799/(('Дивиденды по годам'!I799+'Дивиденды по годам'!V799)/2),""),"")</f>
        <v/>
      </c>
      <c r="U799" t="str">
        <f>IFERROR(IF(AND('Дивиденды по годам'!J799&lt;&gt;"",'Дивиденды по годам'!K799&lt;&gt;"",'Дивиденды по годам'!M799&lt;&gt;"",'Дивиденды по годам'!M799&lt;&gt;0),('Дивиденды по годам'!J799+'Дивиденды по годам'!K799)/'Дивиденды по годам'!M799,""),"")</f>
        <v/>
      </c>
      <c r="V799" t="str" cm="1">
        <f t="array" ref="V799">IFERROR(AVERAGE(_xlfn._xlws.FILTER(P$2:P$1073,($C$2:$C$1073=$C799)*($E$2:$E$1073=$E799)*(ROW(P$2:P$1073)&lt;&gt;ROW(P799))*(P$2:P$1073&lt;&gt;""))),"")</f>
        <v/>
      </c>
      <c r="W799" t="str" cm="1">
        <f t="array" ref="W799">IFERROR(AVERAGE(_xlfn._xlws.FILTER(Q$2:Q$1073,($C$2:$C$1073=$C799)*($E$2:$E$1073=$E799)*(ROW(Q$2:Q$1073)&lt;&gt;ROW(Q799))*(Q$2:Q$1073&lt;&gt;""))),"")</f>
        <v/>
      </c>
      <c r="X799" t="str" cm="1">
        <f t="array" ref="X799">IFERROR(AVERAGE(_xlfn._xlws.FILTER(R$2:R$1073,($C$2:$C$1073=$C799)*($E$2:$E$1073=$E799)*(ROW(R$2:R$1073)&lt;&gt;ROW(R799))*(R$2:R$1073&lt;&gt;""))),"")</f>
        <v/>
      </c>
      <c r="Y799" t="str" cm="1">
        <f t="array" ref="Y799">IFERROR(AVERAGE(_xlfn._xlws.FILTER(S$2:S$1073,($C$2:$C$1073=$C799)*($E$2:$E$1073=$E799)*(ROW(S$2:S$1073)&lt;&gt;ROW(S799))*(S$2:S$1073&lt;&gt;""))),"")</f>
        <v/>
      </c>
      <c r="Z799" t="str" cm="1">
        <f t="array" ref="Z799">IFERROR(AVERAGE(_xlfn._xlws.FILTER(T$2:T$1073,($C$2:$C$1073=$C799)*($E$2:$E$1073=$E799)*(ROW(T$2:T$1073)&lt;&gt;ROW(T799))*(T$2:T$1073&lt;&gt;""))),"")</f>
        <v/>
      </c>
      <c r="AA799" t="str" cm="1">
        <f t="array" ref="AA799">IFERROR(AVERAGE(_xlfn._xlws.FILTER(U$2:U$1073,($C$2:$C$1073=$C799)*($E$2:$E$1073=$E799)*(ROW(U$2:U$1073)&lt;&gt;ROW(U799))*(U$2:U$1073&lt;&gt;""))),"")</f>
        <v/>
      </c>
    </row>
    <row r="800" spans="1:27" x14ac:dyDescent="0.2">
      <c r="A800" s="7" t="s">
        <v>2277</v>
      </c>
      <c r="B800" t="str">
        <f t="shared" si="134"/>
        <v>DATA IV кв. 2011</v>
      </c>
      <c r="C800">
        <v>2011</v>
      </c>
      <c r="D800">
        <f>SUMIFS(Дивиденды!$C:$C,Дивиденды!$A:$A,A800,Дивиденды!$I:$I,C800)</f>
        <v>0</v>
      </c>
      <c r="E800">
        <v>5</v>
      </c>
      <c r="F800">
        <f t="shared" si="135"/>
        <v>0</v>
      </c>
      <c r="G800">
        <f t="shared" si="136"/>
        <v>0</v>
      </c>
      <c r="H800">
        <f t="shared" si="137"/>
        <v>0</v>
      </c>
      <c r="I800">
        <f t="shared" si="133"/>
        <v>0</v>
      </c>
      <c r="J800">
        <f t="shared" si="138"/>
        <v>0</v>
      </c>
      <c r="K800">
        <f t="shared" si="142"/>
        <v>0</v>
      </c>
      <c r="L800">
        <f t="shared" si="139"/>
        <v>0</v>
      </c>
      <c r="M800">
        <f t="shared" si="132"/>
        <v>0</v>
      </c>
      <c r="N800">
        <f t="shared" si="140"/>
        <v>0</v>
      </c>
      <c r="O800">
        <f t="shared" si="141"/>
        <v>0</v>
      </c>
      <c r="P800" t="str">
        <f>IFERROR(LN('Дивиденды по годам'!I800),"")</f>
        <v/>
      </c>
      <c r="Q800" t="str">
        <f>IFERROR('Дивиденды по годам'!G800/'Дивиденды по годам'!I800, "")</f>
        <v/>
      </c>
      <c r="R800" t="str">
        <f>IFERROR(IF(AND('Дивиденды по годам'!N800&lt;&gt;"",'Дивиденды по годам'!U800&lt;&gt;"",'Дивиденды по годам'!U800&lt;&gt;0),'Дивиденды по годам'!N800/'Дивиденды по годам'!U800-1,""),"")</f>
        <v/>
      </c>
      <c r="S800" t="str">
        <f>IFERROR(IF(AND('Дивиденды по годам'!L800&lt;&gt;"",'Дивиденды по годам'!I800&lt;&gt;"",'Дивиденды по годам'!J800&lt;&gt;"",'Дивиденды по годам'!K800&lt;&gt;"",('Дивиденды по годам'!I800-'Дивиденды по годам'!J800-'Дивиденды по годам'!K800)&lt;&gt;0),'Дивиденды по годам'!L800/('Дивиденды по годам'!I800-'Дивиденды по годам'!J800-'Дивиденды по годам'!K800),""),"")</f>
        <v/>
      </c>
      <c r="T800" t="str">
        <f>IFERROR(IF(AND('Дивиденды по годам'!Q800&lt;&gt;"",'Дивиденды по годам'!I800&lt;&gt;"",'Дивиденды по годам'!V800&lt;&gt;"",('Дивиденды по годам'!I800+'Дивиденды по годам'!V800)&lt;&gt;0),'Дивиденды по годам'!Q800/(('Дивиденды по годам'!I800+'Дивиденды по годам'!V800)/2),""),"")</f>
        <v/>
      </c>
      <c r="U800" t="str">
        <f>IFERROR(IF(AND('Дивиденды по годам'!J800&lt;&gt;"",'Дивиденды по годам'!K800&lt;&gt;"",'Дивиденды по годам'!M800&lt;&gt;"",'Дивиденды по годам'!M800&lt;&gt;0),('Дивиденды по годам'!J800+'Дивиденды по годам'!K800)/'Дивиденды по годам'!M800,""),"")</f>
        <v/>
      </c>
      <c r="V800" t="str" cm="1">
        <f t="array" ref="V800">IFERROR(AVERAGE(_xlfn._xlws.FILTER(P$2:P$1073,($C$2:$C$1073=$C800)*($E$2:$E$1073=$E800)*(ROW(P$2:P$1073)&lt;&gt;ROW(P800))*(P$2:P$1073&lt;&gt;""))),"")</f>
        <v/>
      </c>
      <c r="W800" t="str" cm="1">
        <f t="array" ref="W800">IFERROR(AVERAGE(_xlfn._xlws.FILTER(Q$2:Q$1073,($C$2:$C$1073=$C800)*($E$2:$E$1073=$E800)*(ROW(Q$2:Q$1073)&lt;&gt;ROW(Q800))*(Q$2:Q$1073&lt;&gt;""))),"")</f>
        <v/>
      </c>
      <c r="X800" t="str" cm="1">
        <f t="array" ref="X800">IFERROR(AVERAGE(_xlfn._xlws.FILTER(R$2:R$1073,($C$2:$C$1073=$C800)*($E$2:$E$1073=$E800)*(ROW(R$2:R$1073)&lt;&gt;ROW(R800))*(R$2:R$1073&lt;&gt;""))),"")</f>
        <v/>
      </c>
      <c r="Y800" t="str" cm="1">
        <f t="array" ref="Y800">IFERROR(AVERAGE(_xlfn._xlws.FILTER(S$2:S$1073,($C$2:$C$1073=$C800)*($E$2:$E$1073=$E800)*(ROW(S$2:S$1073)&lt;&gt;ROW(S800))*(S$2:S$1073&lt;&gt;""))),"")</f>
        <v/>
      </c>
      <c r="Z800" t="str" cm="1">
        <f t="array" ref="Z800">IFERROR(AVERAGE(_xlfn._xlws.FILTER(T$2:T$1073,($C$2:$C$1073=$C800)*($E$2:$E$1073=$E800)*(ROW(T$2:T$1073)&lt;&gt;ROW(T800))*(T$2:T$1073&lt;&gt;""))),"")</f>
        <v/>
      </c>
      <c r="AA800" t="str" cm="1">
        <f t="array" ref="AA800">IFERROR(AVERAGE(_xlfn._xlws.FILTER(U$2:U$1073,($C$2:$C$1073=$C800)*($E$2:$E$1073=$E800)*(ROW(U$2:U$1073)&lt;&gt;ROW(U800))*(U$2:U$1073&lt;&gt;""))),"")</f>
        <v/>
      </c>
    </row>
    <row r="801" spans="1:27" x14ac:dyDescent="0.2">
      <c r="A801" s="7" t="s">
        <v>2277</v>
      </c>
      <c r="B801" t="str">
        <f t="shared" si="134"/>
        <v>DATA IV кв. 2010</v>
      </c>
      <c r="C801">
        <v>2010</v>
      </c>
      <c r="D801">
        <f>SUMIFS(Дивиденды!$C:$C,Дивиденды!$A:$A,A801,Дивиденды!$I:$I,C801)</f>
        <v>0</v>
      </c>
      <c r="E801">
        <v>5</v>
      </c>
      <c r="F801">
        <f t="shared" si="135"/>
        <v>0</v>
      </c>
      <c r="G801">
        <f t="shared" si="136"/>
        <v>0</v>
      </c>
      <c r="H801">
        <f t="shared" si="137"/>
        <v>0</v>
      </c>
      <c r="I801">
        <f t="shared" si="133"/>
        <v>0</v>
      </c>
      <c r="J801" t="str">
        <f t="shared" si="138"/>
        <v/>
      </c>
      <c r="K801" t="str">
        <f t="shared" si="142"/>
        <v/>
      </c>
      <c r="L801" t="str">
        <f t="shared" si="139"/>
        <v/>
      </c>
      <c r="M801" t="str">
        <f t="shared" ref="M801:M864" si="143">IFERROR(AVERAGEIFS($L:$L,$E:$E,E801,$C:$C,C801,$A:$A,"&lt;&gt;"&amp;A801),"")</f>
        <v/>
      </c>
      <c r="N801" t="str">
        <f t="shared" si="140"/>
        <v/>
      </c>
      <c r="O801" t="str">
        <f t="shared" si="141"/>
        <v/>
      </c>
      <c r="P801" t="str">
        <f>IFERROR(LN('Дивиденды по годам'!I801),"")</f>
        <v/>
      </c>
      <c r="Q801" t="str">
        <f>IFERROR('Дивиденды по годам'!G801/'Дивиденды по годам'!I801, "")</f>
        <v/>
      </c>
      <c r="R801" t="str">
        <f>IFERROR(IF(AND('Дивиденды по годам'!N801&lt;&gt;"",'Дивиденды по годам'!U801&lt;&gt;"",'Дивиденды по годам'!U801&lt;&gt;0),'Дивиденды по годам'!N801/'Дивиденды по годам'!U801-1,""),"")</f>
        <v/>
      </c>
      <c r="S801" t="str">
        <f>IFERROR(IF(AND('Дивиденды по годам'!L801&lt;&gt;"",'Дивиденды по годам'!I801&lt;&gt;"",'Дивиденды по годам'!J801&lt;&gt;"",'Дивиденды по годам'!K801&lt;&gt;"",('Дивиденды по годам'!I801-'Дивиденды по годам'!J801-'Дивиденды по годам'!K801)&lt;&gt;0),'Дивиденды по годам'!L801/('Дивиденды по годам'!I801-'Дивиденды по годам'!J801-'Дивиденды по годам'!K801),""),"")</f>
        <v/>
      </c>
      <c r="T801" t="str">
        <f>IFERROR(IF(AND('Дивиденды по годам'!Q801&lt;&gt;"",'Дивиденды по годам'!I801&lt;&gt;"",'Дивиденды по годам'!V801&lt;&gt;"",('Дивиденды по годам'!I801+'Дивиденды по годам'!V801)&lt;&gt;0),'Дивиденды по годам'!Q801/(('Дивиденды по годам'!I801+'Дивиденды по годам'!V801)/2),""),"")</f>
        <v/>
      </c>
      <c r="U801" t="str">
        <f>IFERROR(IF(AND('Дивиденды по годам'!J801&lt;&gt;"",'Дивиденды по годам'!K801&lt;&gt;"",'Дивиденды по годам'!M801&lt;&gt;"",'Дивиденды по годам'!M801&lt;&gt;0),('Дивиденды по годам'!J801+'Дивиденды по годам'!K801)/'Дивиденды по годам'!M801,""),"")</f>
        <v/>
      </c>
      <c r="V801" t="str" cm="1">
        <f t="array" ref="V801">IFERROR(AVERAGE(_xlfn._xlws.FILTER(P$2:P$1073,($C$2:$C$1073=$C801)*($E$2:$E$1073=$E801)*(ROW(P$2:P$1073)&lt;&gt;ROW(P801))*(P$2:P$1073&lt;&gt;""))),"")</f>
        <v/>
      </c>
      <c r="W801" t="str" cm="1">
        <f t="array" ref="W801">IFERROR(AVERAGE(_xlfn._xlws.FILTER(Q$2:Q$1073,($C$2:$C$1073=$C801)*($E$2:$E$1073=$E801)*(ROW(Q$2:Q$1073)&lt;&gt;ROW(Q801))*(Q$2:Q$1073&lt;&gt;""))),"")</f>
        <v/>
      </c>
      <c r="X801" t="str" cm="1">
        <f t="array" ref="X801">IFERROR(AVERAGE(_xlfn._xlws.FILTER(R$2:R$1073,($C$2:$C$1073=$C801)*($E$2:$E$1073=$E801)*(ROW(R$2:R$1073)&lt;&gt;ROW(R801))*(R$2:R$1073&lt;&gt;""))),"")</f>
        <v/>
      </c>
      <c r="Y801" t="str" cm="1">
        <f t="array" ref="Y801">IFERROR(AVERAGE(_xlfn._xlws.FILTER(S$2:S$1073,($C$2:$C$1073=$C801)*($E$2:$E$1073=$E801)*(ROW(S$2:S$1073)&lt;&gt;ROW(S801))*(S$2:S$1073&lt;&gt;""))),"")</f>
        <v/>
      </c>
      <c r="Z801" t="str" cm="1">
        <f t="array" ref="Z801">IFERROR(AVERAGE(_xlfn._xlws.FILTER(T$2:T$1073,($C$2:$C$1073=$C801)*($E$2:$E$1073=$E801)*(ROW(T$2:T$1073)&lt;&gt;ROW(T801))*(T$2:T$1073&lt;&gt;""))),"")</f>
        <v/>
      </c>
      <c r="AA801" t="str" cm="1">
        <f t="array" ref="AA801">IFERROR(AVERAGE(_xlfn._xlws.FILTER(U$2:U$1073,($C$2:$C$1073=$C801)*($E$2:$E$1073=$E801)*(ROW(U$2:U$1073)&lt;&gt;ROW(U801))*(U$2:U$1073&lt;&gt;""))),"")</f>
        <v/>
      </c>
    </row>
    <row r="802" spans="1:27" x14ac:dyDescent="0.2">
      <c r="A802" s="7" t="s">
        <v>2279</v>
      </c>
      <c r="B802" t="str">
        <f t="shared" si="134"/>
        <v>HEAD IV кв. 2025</v>
      </c>
      <c r="C802">
        <v>2025</v>
      </c>
      <c r="D802">
        <f>SUMIFS(Дивиденды!$C:$C,Дивиденды!$A:$A,A802,Дивиденды!$I:$I,C802)</f>
        <v>233</v>
      </c>
      <c r="E802">
        <v>5</v>
      </c>
      <c r="F802">
        <f t="shared" si="135"/>
        <v>233</v>
      </c>
      <c r="G802">
        <f t="shared" si="136"/>
        <v>37.051111111111112</v>
      </c>
      <c r="H802">
        <f t="shared" si="137"/>
        <v>1</v>
      </c>
      <c r="I802">
        <f t="shared" si="133"/>
        <v>0.55555555555555558</v>
      </c>
      <c r="J802">
        <f t="shared" si="138"/>
        <v>-0.74310915104740904</v>
      </c>
      <c r="K802">
        <f t="shared" si="142"/>
        <v>0.27648578811369506</v>
      </c>
      <c r="L802">
        <f t="shared" si="139"/>
        <v>0</v>
      </c>
      <c r="M802">
        <f t="shared" si="143"/>
        <v>0.44444444444444442</v>
      </c>
      <c r="N802">
        <f t="shared" si="140"/>
        <v>1</v>
      </c>
      <c r="O802">
        <f t="shared" si="141"/>
        <v>0.33333333333333331</v>
      </c>
      <c r="P802">
        <f>IFERROR(LN('Дивиденды по годам'!I802),"")</f>
        <v>24.27525251244548</v>
      </c>
      <c r="Q802">
        <f>IFERROR('Дивиденды по годам'!G802/'Дивиденды по годам'!I802, "")</f>
        <v>6.1743222950822775E-2</v>
      </c>
      <c r="R802">
        <f>IFERROR(IF(AND('Дивиденды по годам'!N802&lt;&gt;"",'Дивиденды по годам'!U802&lt;&gt;"",'Дивиденды по годам'!U802&lt;&gt;0),'Дивиденды по годам'!N802/'Дивиденды по годам'!U802-1,""),"")</f>
        <v>3.99946389169199E-2</v>
      </c>
      <c r="S802">
        <f>IFERROR(IF(AND('Дивиденды по годам'!L802&lt;&gt;"",'Дивиденды по годам'!I802&lt;&gt;"",'Дивиденды по годам'!J802&lt;&gt;"",'Дивиденды по годам'!K802&lt;&gt;"",('Дивиденды по годам'!I802-'Дивиденды по годам'!J802-'Дивиденды по годам'!K802)&lt;&gt;0),'Дивиденды по годам'!L802/('Дивиденды по годам'!I802-'Дивиденды по годам'!J802-'Дивиденды по годам'!K802),""),"")</f>
        <v>0.13523305906417371</v>
      </c>
      <c r="T802">
        <f>IFERROR(IF(AND('Дивиденды по годам'!Q802&lt;&gt;"",'Дивиденды по годам'!I802&lt;&gt;"",'Дивиденды по годам'!V802&lt;&gt;"",('Дивиденды по годам'!I802+'Дивиденды по годам'!V802)&lt;&gt;0),'Дивиденды по годам'!Q802/(('Дивиденды по годам'!I802+'Дивиденды по годам'!V802)/2),""),"")</f>
        <v>0.60594849219699087</v>
      </c>
      <c r="U802">
        <f>IFERROR(IF(AND('Дивиденды по годам'!J802&lt;&gt;"",'Дивиденды по годам'!K802&lt;&gt;"",'Дивиденды по годам'!M802&lt;&gt;"",'Дивиденды по годам'!M802&lt;&gt;0),('Дивиденды по годам'!J802+'Дивиденды по годам'!K802)/'Дивиденды по годам'!M802,""),"")</f>
        <v>1.6531602435039783</v>
      </c>
      <c r="V802" cm="1">
        <f t="array" ref="V802">IFERROR(AVERAGE(_xlfn._xlws.FILTER(P$2:P$1073,($C$2:$C$1073=$C802)*($E$2:$E$1073=$E802)*(ROW(P$2:P$1073)&lt;&gt;ROW(P802))*(P$2:P$1073&lt;&gt;""))),"")</f>
        <v>26.295484495831648</v>
      </c>
      <c r="W802" cm="1">
        <f t="array" ref="W802">IFERROR(AVERAGE(_xlfn._xlws.FILTER(Q$2:Q$1073,($C$2:$C$1073=$C802)*($E$2:$E$1073=$E802)*(ROW(Q$2:Q$1073)&lt;&gt;ROW(Q802))*(Q$2:Q$1073&lt;&gt;""))),"")</f>
        <v>0.1397917405805448</v>
      </c>
      <c r="X802" cm="1">
        <f t="array" ref="X802">IFERROR(AVERAGE(_xlfn._xlws.FILTER(R$2:R$1073,($C$2:$C$1073=$C802)*($E$2:$E$1073=$E802)*(ROW(R$2:R$1073)&lt;&gt;ROW(R802))*(R$2:R$1073&lt;&gt;""))),"")</f>
        <v>0.20026919824936751</v>
      </c>
      <c r="Y802" cm="1">
        <f t="array" ref="Y802">IFERROR(AVERAGE(_xlfn._xlws.FILTER(S$2:S$1073,($C$2:$C$1073=$C802)*($E$2:$E$1073=$E802)*(ROW(S$2:S$1073)&lt;&gt;ROW(S802))*(S$2:S$1073&lt;&gt;""))),"")</f>
        <v>0.80047426519214249</v>
      </c>
      <c r="Z802" cm="1">
        <f t="array" ref="Z802">IFERROR(AVERAGE(_xlfn._xlws.FILTER(T$2:T$1073,($C$2:$C$1073=$C802)*($E$2:$E$1073=$E802)*(ROW(T$2:T$1073)&lt;&gt;ROW(T802))*(T$2:T$1073&lt;&gt;""))),"")</f>
        <v>-5.1788043698726069E-3</v>
      </c>
      <c r="AA802" cm="1">
        <f t="array" ref="AA802">IFERROR(AVERAGE(_xlfn._xlws.FILTER(U$2:U$1073,($C$2:$C$1073=$C802)*($E$2:$E$1073=$E802)*(ROW(U$2:U$1073)&lt;&gt;ROW(U802))*(U$2:U$1073&lt;&gt;""))),"")</f>
        <v>-1.4760627205127115</v>
      </c>
    </row>
    <row r="803" spans="1:27" x14ac:dyDescent="0.2">
      <c r="A803" s="7" t="s">
        <v>2279</v>
      </c>
      <c r="B803" t="str">
        <f t="shared" si="134"/>
        <v>HEAD IV кв. 2024</v>
      </c>
      <c r="C803">
        <v>2024</v>
      </c>
      <c r="D803">
        <f>SUMIFS(Дивиденды!$C:$C,Дивиденды!$A:$A,A803,Дивиденды!$I:$I,C803)</f>
        <v>907</v>
      </c>
      <c r="E803">
        <v>5</v>
      </c>
      <c r="F803">
        <f t="shared" si="135"/>
        <v>907</v>
      </c>
      <c r="G803">
        <f t="shared" si="136"/>
        <v>19.899999999999999</v>
      </c>
      <c r="H803">
        <f t="shared" si="137"/>
        <v>1</v>
      </c>
      <c r="I803">
        <f t="shared" si="133"/>
        <v>0.44444444444444442</v>
      </c>
      <c r="J803">
        <f t="shared" si="138"/>
        <v>1</v>
      </c>
      <c r="K803">
        <f t="shared" si="142"/>
        <v>0.22563872031168053</v>
      </c>
      <c r="L803">
        <f t="shared" si="139"/>
        <v>1</v>
      </c>
      <c r="M803">
        <f t="shared" si="143"/>
        <v>0.33333333333333331</v>
      </c>
      <c r="N803">
        <f t="shared" si="140"/>
        <v>0</v>
      </c>
      <c r="O803">
        <f t="shared" si="141"/>
        <v>0.1111111111111111</v>
      </c>
      <c r="P803">
        <f>IFERROR(LN('Дивиденды по годам'!I803),"")</f>
        <v>23.921684840580234</v>
      </c>
      <c r="Q803">
        <f>IFERROR('Дивиденды по годам'!G803/'Дивиденды по годам'!I803, "")</f>
        <v>3.7973975020183702E-2</v>
      </c>
      <c r="R803">
        <f>IFERROR(IF(AND('Дивиденды по годам'!N803&lt;&gt;"",'Дивиденды по годам'!U803&lt;&gt;"",'Дивиденды по годам'!U803&lt;&gt;0),'Дивиденды по годам'!N803/'Дивиденды по годам'!U803-1,""),"")</f>
        <v>0.34533333663847077</v>
      </c>
      <c r="S803">
        <f>IFERROR(IF(AND('Дивиденды по годам'!L803&lt;&gt;"",'Дивиденды по годам'!I803&lt;&gt;"",'Дивиденды по годам'!J803&lt;&gt;"",'Дивиденды по годам'!K803&lt;&gt;"",('Дивиденды по годам'!I803-'Дивиденды по годам'!J803-'Дивиденды по годам'!K803)&lt;&gt;0),'Дивиденды по годам'!L803/('Дивиденды по годам'!I803-'Дивиденды по годам'!J803-'Дивиденды по годам'!K803),""),"")</f>
        <v>-0.71277047066491661</v>
      </c>
      <c r="T803">
        <f>IFERROR(IF(AND('Дивиденды по годам'!Q803&lt;&gt;"",'Дивиденды по годам'!I803&lt;&gt;"",'Дивиденды по годам'!V803&lt;&gt;"",('Дивиденды по годам'!I803+'Дивиденды по годам'!V803)&lt;&gt;0),'Дивиденды по годам'!Q803/(('Дивиденды по годам'!I803+'Дивиденды по годам'!V803)/2),""),"")</f>
        <v>0.77995295684965693</v>
      </c>
      <c r="U803">
        <f>IFERROR(IF(AND('Дивиденды по годам'!J803&lt;&gt;"",'Дивиденды по годам'!K803&lt;&gt;"",'Дивиденды по годам'!M803&lt;&gt;"",'Дивиденды по годам'!M803&lt;&gt;0),('Дивиденды по годам'!J803+'Дивиденды по годам'!K803)/'Дивиденды по годам'!M803,""),"")</f>
        <v>4.2481315117474461</v>
      </c>
      <c r="V803" cm="1">
        <f t="array" ref="V803">IFERROR(AVERAGE(_xlfn._xlws.FILTER(P$2:P$1073,($C$2:$C$1073=$C803)*($E$2:$E$1073=$E803)*(ROW(P$2:P$1073)&lt;&gt;ROW(P803))*(P$2:P$1073&lt;&gt;""))),"")</f>
        <v>24.777744254806198</v>
      </c>
      <c r="W803" cm="1">
        <f t="array" ref="W803">IFERROR(AVERAGE(_xlfn._xlws.FILTER(Q$2:Q$1073,($C$2:$C$1073=$C803)*($E$2:$E$1073=$E803)*(ROW(Q$2:Q$1073)&lt;&gt;ROW(Q803))*(Q$2:Q$1073&lt;&gt;""))),"")</f>
        <v>8.1190788361685265E-2</v>
      </c>
      <c r="X803" cm="1">
        <f t="array" ref="X803">IFERROR(AVERAGE(_xlfn._xlws.FILTER(R$2:R$1073,($C$2:$C$1073=$C803)*($E$2:$E$1073=$E803)*(ROW(R$2:R$1073)&lt;&gt;ROW(R803))*(R$2:R$1073&lt;&gt;""))),"")</f>
        <v>0.29489883481268031</v>
      </c>
      <c r="Y803" cm="1">
        <f t="array" ref="Y803">IFERROR(AVERAGE(_xlfn._xlws.FILTER(S$2:S$1073,($C$2:$C$1073=$C803)*($E$2:$E$1073=$E803)*(ROW(S$2:S$1073)&lt;&gt;ROW(S803))*(S$2:S$1073&lt;&gt;""))),"")</f>
        <v>0.39928752294230502</v>
      </c>
      <c r="Z803" cm="1">
        <f t="array" ref="Z803">IFERROR(AVERAGE(_xlfn._xlws.FILTER(T$2:T$1073,($C$2:$C$1073=$C803)*($E$2:$E$1073=$E803)*(ROW(T$2:T$1073)&lt;&gt;ROW(T803))*(T$2:T$1073&lt;&gt;""))),"")</f>
        <v>0.15898292138671569</v>
      </c>
      <c r="AA803" cm="1">
        <f t="array" ref="AA803">IFERROR(AVERAGE(_xlfn._xlws.FILTER(U$2:U$1073,($C$2:$C$1073=$C803)*($E$2:$E$1073=$E803)*(ROW(U$2:U$1073)&lt;&gt;ROW(U803))*(U$2:U$1073&lt;&gt;""))),"")</f>
        <v>2.4599510471070043</v>
      </c>
    </row>
    <row r="804" spans="1:27" x14ac:dyDescent="0.2">
      <c r="A804" s="7" t="s">
        <v>2279</v>
      </c>
      <c r="B804" t="str">
        <f t="shared" si="134"/>
        <v>HEAD IV кв. 2023</v>
      </c>
      <c r="C804">
        <v>2023</v>
      </c>
      <c r="D804">
        <f>SUMIFS(Дивиденды!$C:$C,Дивиденды!$A:$A,A804,Дивиденды!$I:$I,C804)</f>
        <v>0</v>
      </c>
      <c r="E804">
        <v>5</v>
      </c>
      <c r="F804">
        <f t="shared" si="135"/>
        <v>0</v>
      </c>
      <c r="G804">
        <f t="shared" si="136"/>
        <v>16.477777777777778</v>
      </c>
      <c r="H804">
        <f t="shared" si="137"/>
        <v>0</v>
      </c>
      <c r="I804">
        <f t="shared" si="133"/>
        <v>0.1111111111111111</v>
      </c>
      <c r="J804">
        <f t="shared" si="138"/>
        <v>0</v>
      </c>
      <c r="K804">
        <f t="shared" si="142"/>
        <v>0.31688311688311693</v>
      </c>
      <c r="L804">
        <f t="shared" si="139"/>
        <v>0</v>
      </c>
      <c r="M804">
        <f t="shared" si="143"/>
        <v>0.1111111111111111</v>
      </c>
      <c r="N804">
        <f t="shared" si="140"/>
        <v>0</v>
      </c>
      <c r="O804">
        <f t="shared" si="141"/>
        <v>0</v>
      </c>
      <c r="P804">
        <f>IFERROR(LN('Дивиденды по годам'!I804),"")</f>
        <v>24.32727673477152</v>
      </c>
      <c r="Q804">
        <f>IFERROR('Дивиденды по годам'!G804/'Дивиденды по годам'!I804, "")</f>
        <v>1.7721984249368782E-2</v>
      </c>
      <c r="R804" t="str">
        <f>IFERROR(IF(AND('Дивиденды по годам'!N804&lt;&gt;"",'Дивиденды по годам'!U804&lt;&gt;"",'Дивиденды по годам'!U804&lt;&gt;0),'Дивиденды по годам'!N804/'Дивиденды по годам'!U804-1,""),"")</f>
        <v/>
      </c>
      <c r="S804">
        <f>IFERROR(IF(AND('Дивиденды по годам'!L804&lt;&gt;"",'Дивиденды по годам'!I804&lt;&gt;"",'Дивиденды по годам'!J804&lt;&gt;"",'Дивиденды по годам'!K804&lt;&gt;"",('Дивиденды по годам'!I804-'Дивиденды по годам'!J804-'Дивиденды по годам'!K804)&lt;&gt;0),'Дивиденды по годам'!L804/('Дивиденды по годам'!I804-'Дивиденды по годам'!J804-'Дивиденды по годам'!K804),""),"")</f>
        <v>0.63646281737541122</v>
      </c>
      <c r="T804" t="str">
        <f>IFERROR(IF(AND('Дивиденды по годам'!Q804&lt;&gt;"",'Дивиденды по годам'!I804&lt;&gt;"",'Дивиденды по годам'!V804&lt;&gt;"",('Дивиденды по годам'!I804+'Дивиденды по годам'!V804)&lt;&gt;0),'Дивиденды по годам'!Q804/(('Дивиденды по годам'!I804+'Дивиденды по годам'!V804)/2),""),"")</f>
        <v/>
      </c>
      <c r="U804">
        <f>IFERROR(IF(AND('Дивиденды по годам'!J804&lt;&gt;"",'Дивиденды по годам'!K804&lt;&gt;"",'Дивиденды по годам'!M804&lt;&gt;"",'Дивиденды по годам'!M804&lt;&gt;0),('Дивиденды по годам'!J804+'Дивиденды по годам'!K804)/'Дивиденды по годам'!M804,""),"")</f>
        <v>0.87471096438942508</v>
      </c>
      <c r="V804" cm="1">
        <f t="array" ref="V804">IFERROR(AVERAGE(_xlfn._xlws.FILTER(P$2:P$1073,($C$2:$C$1073=$C804)*($E$2:$E$1073=$E804)*(ROW(P$2:P$1073)&lt;&gt;ROW(P804))*(P$2:P$1073&lt;&gt;""))),"")</f>
        <v>24.007508009842482</v>
      </c>
      <c r="W804" cm="1">
        <f t="array" ref="W804">IFERROR(AVERAGE(_xlfn._xlws.FILTER(Q$2:Q$1073,($C$2:$C$1073=$C804)*($E$2:$E$1073=$E804)*(ROW(Q$2:Q$1073)&lt;&gt;ROW(Q804))*(Q$2:Q$1073&lt;&gt;""))),"")</f>
        <v>4.6402824380012593E-2</v>
      </c>
      <c r="X804" cm="1">
        <f t="array" ref="X804">IFERROR(AVERAGE(_xlfn._xlws.FILTER(R$2:R$1073,($C$2:$C$1073=$C804)*($E$2:$E$1073=$E804)*(ROW(R$2:R$1073)&lt;&gt;ROW(R804))*(R$2:R$1073&lt;&gt;""))),"")</f>
        <v>0.51000246586809928</v>
      </c>
      <c r="Y804" cm="1">
        <f t="array" ref="Y804">IFERROR(AVERAGE(_xlfn._xlws.FILTER(S$2:S$1073,($C$2:$C$1073=$C804)*($E$2:$E$1073=$E804)*(ROW(S$2:S$1073)&lt;&gt;ROW(S804))*(S$2:S$1073&lt;&gt;""))),"")</f>
        <v>0.69003799641055441</v>
      </c>
      <c r="Z804" cm="1">
        <f t="array" ref="Z804">IFERROR(AVERAGE(_xlfn._xlws.FILTER(T$2:T$1073,($C$2:$C$1073=$C804)*($E$2:$E$1073=$E804)*(ROW(T$2:T$1073)&lt;&gt;ROW(T804))*(T$2:T$1073&lt;&gt;""))),"")</f>
        <v>0.19460130713388882</v>
      </c>
      <c r="AA804" cm="1">
        <f t="array" ref="AA804">IFERROR(AVERAGE(_xlfn._xlws.FILTER(U$2:U$1073,($C$2:$C$1073=$C804)*($E$2:$E$1073=$E804)*(ROW(U$2:U$1073)&lt;&gt;ROW(U804))*(U$2:U$1073&lt;&gt;""))),"")</f>
        <v>2.283012145359522</v>
      </c>
    </row>
    <row r="805" spans="1:27" x14ac:dyDescent="0.2">
      <c r="A805" s="7" t="s">
        <v>2279</v>
      </c>
      <c r="B805" t="str">
        <f t="shared" si="134"/>
        <v>HEAD IV кв. 2022</v>
      </c>
      <c r="C805">
        <v>2022</v>
      </c>
      <c r="D805">
        <f>SUMIFS(Дивиденды!$C:$C,Дивиденды!$A:$A,A805,Дивиденды!$I:$I,C805)</f>
        <v>0</v>
      </c>
      <c r="E805">
        <v>5</v>
      </c>
      <c r="F805">
        <f t="shared" si="135"/>
        <v>0</v>
      </c>
      <c r="G805">
        <f t="shared" si="136"/>
        <v>4.2777777777777777</v>
      </c>
      <c r="H805">
        <f t="shared" si="137"/>
        <v>0</v>
      </c>
      <c r="I805">
        <f t="shared" si="133"/>
        <v>0.1111111111111111</v>
      </c>
      <c r="J805">
        <f t="shared" si="138"/>
        <v>0</v>
      </c>
      <c r="K805">
        <f t="shared" si="142"/>
        <v>0.1111111111111111</v>
      </c>
      <c r="L805">
        <f t="shared" si="139"/>
        <v>0</v>
      </c>
      <c r="M805">
        <f t="shared" si="143"/>
        <v>0.1111111111111111</v>
      </c>
      <c r="N805">
        <f t="shared" si="140"/>
        <v>0</v>
      </c>
      <c r="O805">
        <f t="shared" si="141"/>
        <v>0</v>
      </c>
      <c r="P805" t="str">
        <f>IFERROR(LN('Дивиденды по годам'!I805),"")</f>
        <v/>
      </c>
      <c r="Q805" t="str">
        <f>IFERROR('Дивиденды по годам'!G805/'Дивиденды по годам'!I805, "")</f>
        <v/>
      </c>
      <c r="R805" t="str">
        <f>IFERROR(IF(AND('Дивиденды по годам'!N805&lt;&gt;"",'Дивиденды по годам'!U805&lt;&gt;"",'Дивиденды по годам'!U805&lt;&gt;0),'Дивиденды по годам'!N805/'Дивиденды по годам'!U805-1,""),"")</f>
        <v/>
      </c>
      <c r="S805" t="str">
        <f>IFERROR(IF(AND('Дивиденды по годам'!L805&lt;&gt;"",'Дивиденды по годам'!I805&lt;&gt;"",'Дивиденды по годам'!J805&lt;&gt;"",'Дивиденды по годам'!K805&lt;&gt;"",('Дивиденды по годам'!I805-'Дивиденды по годам'!J805-'Дивиденды по годам'!K805)&lt;&gt;0),'Дивиденды по годам'!L805/('Дивиденды по годам'!I805-'Дивиденды по годам'!J805-'Дивиденды по годам'!K805),""),"")</f>
        <v/>
      </c>
      <c r="T805" t="str">
        <f>IFERROR(IF(AND('Дивиденды по годам'!Q805&lt;&gt;"",'Дивиденды по годам'!I805&lt;&gt;"",'Дивиденды по годам'!V805&lt;&gt;"",('Дивиденды по годам'!I805+'Дивиденды по годам'!V805)&lt;&gt;0),'Дивиденды по годам'!Q805/(('Дивиденды по годам'!I805+'Дивиденды по годам'!V805)/2),""),"")</f>
        <v/>
      </c>
      <c r="U805" t="str">
        <f>IFERROR(IF(AND('Дивиденды по годам'!J805&lt;&gt;"",'Дивиденды по годам'!K805&lt;&gt;"",'Дивиденды по годам'!M805&lt;&gt;"",'Дивиденды по годам'!M805&lt;&gt;0),('Дивиденды по годам'!J805+'Дивиденды по годам'!K805)/'Дивиденды по годам'!M805,""),"")</f>
        <v/>
      </c>
      <c r="V805" cm="1">
        <f t="array" ref="V805">IFERROR(AVERAGE(_xlfn._xlws.FILTER(P$2:P$1073,($C$2:$C$1073=$C805)*($E$2:$E$1073=$E805)*(ROW(P$2:P$1073)&lt;&gt;ROW(P805))*(P$2:P$1073&lt;&gt;""))),"")</f>
        <v>24.314048251831842</v>
      </c>
      <c r="W805" cm="1">
        <f t="array" ref="W805">IFERROR(AVERAGE(_xlfn._xlws.FILTER(Q$2:Q$1073,($C$2:$C$1073=$C805)*($E$2:$E$1073=$E805)*(ROW(Q$2:Q$1073)&lt;&gt;ROW(Q805))*(Q$2:Q$1073&lt;&gt;""))),"")</f>
        <v>5.676674770458788E-2</v>
      </c>
      <c r="X805" cm="1">
        <f t="array" ref="X805">IFERROR(AVERAGE(_xlfn._xlws.FILTER(R$2:R$1073,($C$2:$C$1073=$C805)*($E$2:$E$1073=$E805)*(ROW(R$2:R$1073)&lt;&gt;ROW(R805))*(R$2:R$1073&lt;&gt;""))),"")</f>
        <v>0.76359932885509174</v>
      </c>
      <c r="Y805" cm="1">
        <f t="array" ref="Y805">IFERROR(AVERAGE(_xlfn._xlws.FILTER(S$2:S$1073,($C$2:$C$1073=$C805)*($E$2:$E$1073=$E805)*(ROW(S$2:S$1073)&lt;&gt;ROW(S805))*(S$2:S$1073&lt;&gt;""))),"")</f>
        <v>0.79975694618495274</v>
      </c>
      <c r="Z805" cm="1">
        <f t="array" ref="Z805">IFERROR(AVERAGE(_xlfn._xlws.FILTER(T$2:T$1073,($C$2:$C$1073=$C805)*($E$2:$E$1073=$E805)*(ROW(T$2:T$1073)&lt;&gt;ROW(T805))*(T$2:T$1073&lt;&gt;""))),"")</f>
        <v>0.45424211382955332</v>
      </c>
      <c r="AA805" cm="1">
        <f t="array" ref="AA805">IFERROR(AVERAGE(_xlfn._xlws.FILTER(U$2:U$1073,($C$2:$C$1073=$C805)*($E$2:$E$1073=$E805)*(ROW(U$2:U$1073)&lt;&gt;ROW(U805))*(U$2:U$1073&lt;&gt;""))),"")</f>
        <v>2.2504855284750676</v>
      </c>
    </row>
    <row r="806" spans="1:27" x14ac:dyDescent="0.2">
      <c r="A806" s="7" t="s">
        <v>2279</v>
      </c>
      <c r="B806" t="str">
        <f t="shared" si="134"/>
        <v>HEAD IV кв. 2021</v>
      </c>
      <c r="C806">
        <v>2021</v>
      </c>
      <c r="D806">
        <f>SUMIFS(Дивиденды!$C:$C,Дивиденды!$A:$A,A806,Дивиденды!$I:$I,C806)</f>
        <v>0</v>
      </c>
      <c r="E806">
        <v>5</v>
      </c>
      <c r="F806">
        <f t="shared" si="135"/>
        <v>0</v>
      </c>
      <c r="G806">
        <f t="shared" si="136"/>
        <v>0</v>
      </c>
      <c r="H806">
        <f t="shared" si="137"/>
        <v>0</v>
      </c>
      <c r="I806">
        <f t="shared" si="133"/>
        <v>0</v>
      </c>
      <c r="J806">
        <f t="shared" si="138"/>
        <v>0</v>
      </c>
      <c r="K806">
        <f t="shared" si="142"/>
        <v>0</v>
      </c>
      <c r="L806">
        <f t="shared" si="139"/>
        <v>0</v>
      </c>
      <c r="M806">
        <f t="shared" si="143"/>
        <v>0</v>
      </c>
      <c r="N806">
        <f t="shared" si="140"/>
        <v>0</v>
      </c>
      <c r="O806">
        <f t="shared" si="141"/>
        <v>0</v>
      </c>
      <c r="P806" t="str">
        <f>IFERROR(LN('Дивиденды по годам'!I806),"")</f>
        <v/>
      </c>
      <c r="Q806" t="str">
        <f>IFERROR('Дивиденды по годам'!G806/'Дивиденды по годам'!I806, "")</f>
        <v/>
      </c>
      <c r="R806" t="str">
        <f>IFERROR(IF(AND('Дивиденды по годам'!N806&lt;&gt;"",'Дивиденды по годам'!U806&lt;&gt;"",'Дивиденды по годам'!U806&lt;&gt;0),'Дивиденды по годам'!N806/'Дивиденды по годам'!U806-1,""),"")</f>
        <v/>
      </c>
      <c r="S806" t="str">
        <f>IFERROR(IF(AND('Дивиденды по годам'!L806&lt;&gt;"",'Дивиденды по годам'!I806&lt;&gt;"",'Дивиденды по годам'!J806&lt;&gt;"",'Дивиденды по годам'!K806&lt;&gt;"",('Дивиденды по годам'!I806-'Дивиденды по годам'!J806-'Дивиденды по годам'!K806)&lt;&gt;0),'Дивиденды по годам'!L806/('Дивиденды по годам'!I806-'Дивиденды по годам'!J806-'Дивиденды по годам'!K806),""),"")</f>
        <v/>
      </c>
      <c r="T806" t="str">
        <f>IFERROR(IF(AND('Дивиденды по годам'!Q806&lt;&gt;"",'Дивиденды по годам'!I806&lt;&gt;"",'Дивиденды по годам'!V806&lt;&gt;"",('Дивиденды по годам'!I806+'Дивиденды по годам'!V806)&lt;&gt;0),'Дивиденды по годам'!Q806/(('Дивиденды по годам'!I806+'Дивиденды по годам'!V806)/2),""),"")</f>
        <v/>
      </c>
      <c r="U806" t="str">
        <f>IFERROR(IF(AND('Дивиденды по годам'!J806&lt;&gt;"",'Дивиденды по годам'!K806&lt;&gt;"",'Дивиденды по годам'!M806&lt;&gt;"",'Дивиденды по годам'!M806&lt;&gt;0),('Дивиденды по годам'!J806+'Дивиденды по годам'!K806)/'Дивиденды по годам'!M806,""),"")</f>
        <v/>
      </c>
      <c r="V806" cm="1">
        <f t="array" ref="V806">IFERROR(AVERAGE(_xlfn._xlws.FILTER(P$2:P$1073,($C$2:$C$1073=$C806)*($E$2:$E$1073=$E806)*(ROW(P$2:P$1073)&lt;&gt;ROW(P806))*(P$2:P$1073&lt;&gt;""))),"")</f>
        <v>22.898661389674704</v>
      </c>
      <c r="W806" cm="1">
        <f t="array" ref="W806">IFERROR(AVERAGE(_xlfn._xlws.FILTER(Q$2:Q$1073,($C$2:$C$1073=$C806)*($E$2:$E$1073=$E806)*(ROW(Q$2:Q$1073)&lt;&gt;ROW(Q806))*(Q$2:Q$1073&lt;&gt;""))),"")</f>
        <v>3.9787618039471354E-2</v>
      </c>
      <c r="X806" cm="1">
        <f t="array" ref="X806">IFERROR(AVERAGE(_xlfn._xlws.FILTER(R$2:R$1073,($C$2:$C$1073=$C806)*($E$2:$E$1073=$E806)*(ROW(R$2:R$1073)&lt;&gt;ROW(R806))*(R$2:R$1073&lt;&gt;""))),"")</f>
        <v>0.11948949117953805</v>
      </c>
      <c r="Y806" cm="1">
        <f t="array" ref="Y806">IFERROR(AVERAGE(_xlfn._xlws.FILTER(S$2:S$1073,($C$2:$C$1073=$C806)*($E$2:$E$1073=$E806)*(ROW(S$2:S$1073)&lt;&gt;ROW(S806))*(S$2:S$1073&lt;&gt;""))),"")</f>
        <v>0.6223989622093683</v>
      </c>
      <c r="Z806" cm="1">
        <f t="array" ref="Z806">IFERROR(AVERAGE(_xlfn._xlws.FILTER(T$2:T$1073,($C$2:$C$1073=$C806)*($E$2:$E$1073=$E806)*(ROW(T$2:T$1073)&lt;&gt;ROW(T806))*(T$2:T$1073&lt;&gt;""))),"")</f>
        <v>0.13483969312290014</v>
      </c>
      <c r="AA806" cm="1">
        <f t="array" ref="AA806">IFERROR(AVERAGE(_xlfn._xlws.FILTER(U$2:U$1073,($C$2:$C$1073=$C806)*($E$2:$E$1073=$E806)*(ROW(U$2:U$1073)&lt;&gt;ROW(U806))*(U$2:U$1073&lt;&gt;""))),"")</f>
        <v>12.032255744832293</v>
      </c>
    </row>
    <row r="807" spans="1:27" x14ac:dyDescent="0.2">
      <c r="A807" s="7" t="s">
        <v>2279</v>
      </c>
      <c r="B807" t="str">
        <f t="shared" si="134"/>
        <v>HEAD IV кв. 2020</v>
      </c>
      <c r="C807">
        <v>2020</v>
      </c>
      <c r="D807">
        <f>SUMIFS(Дивиденды!$C:$C,Дивиденды!$A:$A,A807,Дивиденды!$I:$I,C807)</f>
        <v>0</v>
      </c>
      <c r="E807">
        <v>5</v>
      </c>
      <c r="F807">
        <f t="shared" si="135"/>
        <v>0</v>
      </c>
      <c r="G807">
        <f t="shared" si="136"/>
        <v>0</v>
      </c>
      <c r="H807">
        <f t="shared" si="137"/>
        <v>0</v>
      </c>
      <c r="I807">
        <f t="shared" si="133"/>
        <v>0</v>
      </c>
      <c r="J807">
        <f t="shared" si="138"/>
        <v>0</v>
      </c>
      <c r="K807">
        <f t="shared" si="142"/>
        <v>0</v>
      </c>
      <c r="L807">
        <f t="shared" si="139"/>
        <v>0</v>
      </c>
      <c r="M807">
        <f t="shared" si="143"/>
        <v>0</v>
      </c>
      <c r="N807">
        <f t="shared" si="140"/>
        <v>0</v>
      </c>
      <c r="O807">
        <f t="shared" si="141"/>
        <v>0</v>
      </c>
      <c r="P807" t="str">
        <f>IFERROR(LN('Дивиденды по годам'!I807),"")</f>
        <v/>
      </c>
      <c r="Q807" t="str">
        <f>IFERROR('Дивиденды по годам'!G807/'Дивиденды по годам'!I807, "")</f>
        <v/>
      </c>
      <c r="R807" t="str">
        <f>IFERROR(IF(AND('Дивиденды по годам'!N807&lt;&gt;"",'Дивиденды по годам'!U807&lt;&gt;"",'Дивиденды по годам'!U807&lt;&gt;0),'Дивиденды по годам'!N807/'Дивиденды по годам'!U807-1,""),"")</f>
        <v/>
      </c>
      <c r="S807" t="str">
        <f>IFERROR(IF(AND('Дивиденды по годам'!L807&lt;&gt;"",'Дивиденды по годам'!I807&lt;&gt;"",'Дивиденды по годам'!J807&lt;&gt;"",'Дивиденды по годам'!K807&lt;&gt;"",('Дивиденды по годам'!I807-'Дивиденды по годам'!J807-'Дивиденды по годам'!K807)&lt;&gt;0),'Дивиденды по годам'!L807/('Дивиденды по годам'!I807-'Дивиденды по годам'!J807-'Дивиденды по годам'!K807),""),"")</f>
        <v/>
      </c>
      <c r="T807" t="str">
        <f>IFERROR(IF(AND('Дивиденды по годам'!Q807&lt;&gt;"",'Дивиденды по годам'!I807&lt;&gt;"",'Дивиденды по годам'!V807&lt;&gt;"",('Дивиденды по годам'!I807+'Дивиденды по годам'!V807)&lt;&gt;0),'Дивиденды по годам'!Q807/(('Дивиденды по годам'!I807+'Дивиденды по годам'!V807)/2),""),"")</f>
        <v/>
      </c>
      <c r="U807" t="str">
        <f>IFERROR(IF(AND('Дивиденды по годам'!J807&lt;&gt;"",'Дивиденды по годам'!K807&lt;&gt;"",'Дивиденды по годам'!M807&lt;&gt;"",'Дивиденды по годам'!M807&lt;&gt;0),('Дивиденды по годам'!J807+'Дивиденды по годам'!K807)/'Дивиденды по годам'!M807,""),"")</f>
        <v/>
      </c>
      <c r="V807" cm="1">
        <f t="array" ref="V807">IFERROR(AVERAGE(_xlfn._xlws.FILTER(P$2:P$1073,($C$2:$C$1073=$C807)*($E$2:$E$1073=$E807)*(ROW(P$2:P$1073)&lt;&gt;ROW(P807))*(P$2:P$1073&lt;&gt;""))),"")</f>
        <v>23.399390394292269</v>
      </c>
      <c r="W807" cm="1">
        <f t="array" ref="W807">IFERROR(AVERAGE(_xlfn._xlws.FILTER(Q$2:Q$1073,($C$2:$C$1073=$C807)*($E$2:$E$1073=$E807)*(ROW(Q$2:Q$1073)&lt;&gt;ROW(Q807))*(Q$2:Q$1073&lt;&gt;""))),"")</f>
        <v>3.3954846784790244E-2</v>
      </c>
      <c r="X807" cm="1">
        <f t="array" ref="X807">IFERROR(AVERAGE(_xlfn._xlws.FILTER(R$2:R$1073,($C$2:$C$1073=$C807)*($E$2:$E$1073=$E807)*(ROW(R$2:R$1073)&lt;&gt;ROW(R807))*(R$2:R$1073&lt;&gt;""))),"")</f>
        <v>0.60261811450317082</v>
      </c>
      <c r="Y807" cm="1">
        <f t="array" ref="Y807">IFERROR(AVERAGE(_xlfn._xlws.FILTER(S$2:S$1073,($C$2:$C$1073=$C807)*($E$2:$E$1073=$E807)*(ROW(S$2:S$1073)&lt;&gt;ROW(S807))*(S$2:S$1073&lt;&gt;""))),"")</f>
        <v>0.8757408540128081</v>
      </c>
      <c r="Z807" cm="1">
        <f t="array" ref="Z807">IFERROR(AVERAGE(_xlfn._xlws.FILTER(T$2:T$1073,($C$2:$C$1073=$C807)*($E$2:$E$1073=$E807)*(ROW(T$2:T$1073)&lt;&gt;ROW(T807))*(T$2:T$1073&lt;&gt;""))),"")</f>
        <v>0.26070423168654877</v>
      </c>
      <c r="AA807" cm="1">
        <f t="array" ref="AA807">IFERROR(AVERAGE(_xlfn._xlws.FILTER(U$2:U$1073,($C$2:$C$1073=$C807)*($E$2:$E$1073=$E807)*(ROW(U$2:U$1073)&lt;&gt;ROW(U807))*(U$2:U$1073&lt;&gt;""))),"")</f>
        <v>3.9797585422227604</v>
      </c>
    </row>
    <row r="808" spans="1:27" x14ac:dyDescent="0.2">
      <c r="A808" s="7" t="s">
        <v>2279</v>
      </c>
      <c r="B808" t="str">
        <f t="shared" si="134"/>
        <v>HEAD IV кв. 2019</v>
      </c>
      <c r="C808">
        <v>2019</v>
      </c>
      <c r="D808">
        <f>SUMIFS(Дивиденды!$C:$C,Дивиденды!$A:$A,A808,Дивиденды!$I:$I,C808)</f>
        <v>0</v>
      </c>
      <c r="E808">
        <v>5</v>
      </c>
      <c r="F808">
        <f t="shared" si="135"/>
        <v>0</v>
      </c>
      <c r="G808">
        <f t="shared" si="136"/>
        <v>0</v>
      </c>
      <c r="H808">
        <f t="shared" si="137"/>
        <v>0</v>
      </c>
      <c r="I808">
        <f t="shared" si="133"/>
        <v>0</v>
      </c>
      <c r="J808">
        <f t="shared" si="138"/>
        <v>0</v>
      </c>
      <c r="K808">
        <f t="shared" si="142"/>
        <v>0</v>
      </c>
      <c r="L808">
        <f t="shared" si="139"/>
        <v>0</v>
      </c>
      <c r="M808">
        <f t="shared" si="143"/>
        <v>0</v>
      </c>
      <c r="N808">
        <f t="shared" si="140"/>
        <v>0</v>
      </c>
      <c r="O808">
        <f t="shared" si="141"/>
        <v>0</v>
      </c>
      <c r="P808" t="str">
        <f>IFERROR(LN('Дивиденды по годам'!I808),"")</f>
        <v/>
      </c>
      <c r="Q808" t="str">
        <f>IFERROR('Дивиденды по годам'!G808/'Дивиденды по годам'!I808, "")</f>
        <v/>
      </c>
      <c r="R808" t="str">
        <f>IFERROR(IF(AND('Дивиденды по годам'!N808&lt;&gt;"",'Дивиденды по годам'!U808&lt;&gt;"",'Дивиденды по годам'!U808&lt;&gt;0),'Дивиденды по годам'!N808/'Дивиденды по годам'!U808-1,""),"")</f>
        <v/>
      </c>
      <c r="S808" t="str">
        <f>IFERROR(IF(AND('Дивиденды по годам'!L808&lt;&gt;"",'Дивиденды по годам'!I808&lt;&gt;"",'Дивиденды по годам'!J808&lt;&gt;"",'Дивиденды по годам'!K808&lt;&gt;"",('Дивиденды по годам'!I808-'Дивиденды по годам'!J808-'Дивиденды по годам'!K808)&lt;&gt;0),'Дивиденды по годам'!L808/('Дивиденды по годам'!I808-'Дивиденды по годам'!J808-'Дивиденды по годам'!K808),""),"")</f>
        <v/>
      </c>
      <c r="T808" t="str">
        <f>IFERROR(IF(AND('Дивиденды по годам'!Q808&lt;&gt;"",'Дивиденды по годам'!I808&lt;&gt;"",'Дивиденды по годам'!V808&lt;&gt;"",('Дивиденды по годам'!I808+'Дивиденды по годам'!V808)&lt;&gt;0),'Дивиденды по годам'!Q808/(('Дивиденды по годам'!I808+'Дивиденды по годам'!V808)/2),""),"")</f>
        <v/>
      </c>
      <c r="U808" t="str">
        <f>IFERROR(IF(AND('Дивиденды по годам'!J808&lt;&gt;"",'Дивиденды по годам'!K808&lt;&gt;"",'Дивиденды по годам'!M808&lt;&gt;"",'Дивиденды по годам'!M808&lt;&gt;0),('Дивиденды по годам'!J808+'Дивиденды по годам'!K808)/'Дивиденды по годам'!M808,""),"")</f>
        <v/>
      </c>
      <c r="V808" cm="1">
        <f t="array" ref="V808">IFERROR(AVERAGE(_xlfn._xlws.FILTER(P$2:P$1073,($C$2:$C$1073=$C808)*($E$2:$E$1073=$E808)*(ROW(P$2:P$1073)&lt;&gt;ROW(P808))*(P$2:P$1073&lt;&gt;""))),"")</f>
        <v>22.346825762693463</v>
      </c>
      <c r="W808" cm="1">
        <f t="array" ref="W808">IFERROR(AVERAGE(_xlfn._xlws.FILTER(Q$2:Q$1073,($C$2:$C$1073=$C808)*($E$2:$E$1073=$E808)*(ROW(Q$2:Q$1073)&lt;&gt;ROW(Q808))*(Q$2:Q$1073&lt;&gt;""))),"")</f>
        <v>7.5056136613850494E-2</v>
      </c>
      <c r="X808" cm="1">
        <f t="array" ref="X808">IFERROR(AVERAGE(_xlfn._xlws.FILTER(R$2:R$1073,($C$2:$C$1073=$C808)*($E$2:$E$1073=$E808)*(ROW(R$2:R$1073)&lt;&gt;ROW(R808))*(R$2:R$1073&lt;&gt;""))),"")</f>
        <v>0.33893563509351354</v>
      </c>
      <c r="Y808" cm="1">
        <f t="array" ref="Y808">IFERROR(AVERAGE(_xlfn._xlws.FILTER(S$2:S$1073,($C$2:$C$1073=$C808)*($E$2:$E$1073=$E808)*(ROW(S$2:S$1073)&lt;&gt;ROW(S808))*(S$2:S$1073&lt;&gt;""))),"")</f>
        <v>0.96665544321096464</v>
      </c>
      <c r="Z808" cm="1">
        <f t="array" ref="Z808">IFERROR(AVERAGE(_xlfn._xlws.FILTER(T$2:T$1073,($C$2:$C$1073=$C808)*($E$2:$E$1073=$E808)*(ROW(T$2:T$1073)&lt;&gt;ROW(T808))*(T$2:T$1073&lt;&gt;""))),"")</f>
        <v>3.4488878181792075E-2</v>
      </c>
      <c r="AA808" cm="1">
        <f t="array" ref="AA808">IFERROR(AVERAGE(_xlfn._xlws.FILTER(U$2:U$1073,($C$2:$C$1073=$C808)*($E$2:$E$1073=$E808)*(ROW(U$2:U$1073)&lt;&gt;ROW(U808))*(U$2:U$1073&lt;&gt;""))),"")</f>
        <v>4.0219461472187286</v>
      </c>
    </row>
    <row r="809" spans="1:27" x14ac:dyDescent="0.2">
      <c r="A809" s="7" t="s">
        <v>2279</v>
      </c>
      <c r="B809" t="str">
        <f t="shared" si="134"/>
        <v>HEAD IV кв. 2018</v>
      </c>
      <c r="C809">
        <v>2018</v>
      </c>
      <c r="D809">
        <f>SUMIFS(Дивиденды!$C:$C,Дивиденды!$A:$A,A809,Дивиденды!$I:$I,C809)</f>
        <v>0</v>
      </c>
      <c r="E809">
        <v>5</v>
      </c>
      <c r="F809">
        <f t="shared" si="135"/>
        <v>0</v>
      </c>
      <c r="G809">
        <f t="shared" si="136"/>
        <v>0</v>
      </c>
      <c r="H809">
        <f t="shared" si="137"/>
        <v>0</v>
      </c>
      <c r="I809">
        <f t="shared" si="133"/>
        <v>0</v>
      </c>
      <c r="J809">
        <f t="shared" si="138"/>
        <v>0</v>
      </c>
      <c r="K809">
        <f t="shared" si="142"/>
        <v>0</v>
      </c>
      <c r="L809">
        <f t="shared" si="139"/>
        <v>0</v>
      </c>
      <c r="M809">
        <f t="shared" si="143"/>
        <v>0</v>
      </c>
      <c r="N809">
        <f t="shared" si="140"/>
        <v>0</v>
      </c>
      <c r="O809">
        <f t="shared" si="141"/>
        <v>0</v>
      </c>
      <c r="P809" t="str">
        <f>IFERROR(LN('Дивиденды по годам'!I809),"")</f>
        <v/>
      </c>
      <c r="Q809" t="str">
        <f>IFERROR('Дивиденды по годам'!G809/'Дивиденды по годам'!I809, "")</f>
        <v/>
      </c>
      <c r="R809" t="str">
        <f>IFERROR(IF(AND('Дивиденды по годам'!N809&lt;&gt;"",'Дивиденды по годам'!U809&lt;&gt;"",'Дивиденды по годам'!U809&lt;&gt;0),'Дивиденды по годам'!N809/'Дивиденды по годам'!U809-1,""),"")</f>
        <v/>
      </c>
      <c r="S809" t="str">
        <f>IFERROR(IF(AND('Дивиденды по годам'!L809&lt;&gt;"",'Дивиденды по годам'!I809&lt;&gt;"",'Дивиденды по годам'!J809&lt;&gt;"",'Дивиденды по годам'!K809&lt;&gt;"",('Дивиденды по годам'!I809-'Дивиденды по годам'!J809-'Дивиденды по годам'!K809)&lt;&gt;0),'Дивиденды по годам'!L809/('Дивиденды по годам'!I809-'Дивиденды по годам'!J809-'Дивиденды по годам'!K809),""),"")</f>
        <v/>
      </c>
      <c r="T809" t="str">
        <f>IFERROR(IF(AND('Дивиденды по годам'!Q809&lt;&gt;"",'Дивиденды по годам'!I809&lt;&gt;"",'Дивиденды по годам'!V809&lt;&gt;"",('Дивиденды по годам'!I809+'Дивиденды по годам'!V809)&lt;&gt;0),'Дивиденды по годам'!Q809/(('Дивиденды по годам'!I809+'Дивиденды по годам'!V809)/2),""),"")</f>
        <v/>
      </c>
      <c r="U809" t="str">
        <f>IFERROR(IF(AND('Дивиденды по годам'!J809&lt;&gt;"",'Дивиденды по годам'!K809&lt;&gt;"",'Дивиденды по годам'!M809&lt;&gt;"",'Дивиденды по годам'!M809&lt;&gt;0),('Дивиденды по годам'!J809+'Дивиденды по годам'!K809)/'Дивиденды по годам'!M809,""),"")</f>
        <v/>
      </c>
      <c r="V809" cm="1">
        <f t="array" ref="V809">IFERROR(AVERAGE(_xlfn._xlws.FILTER(P$2:P$1073,($C$2:$C$1073=$C809)*($E$2:$E$1073=$E809)*(ROW(P$2:P$1073)&lt;&gt;ROW(P809))*(P$2:P$1073&lt;&gt;""))),"")</f>
        <v>22.172578892977874</v>
      </c>
      <c r="W809" cm="1">
        <f t="array" ref="W809">IFERROR(AVERAGE(_xlfn._xlws.FILTER(Q$2:Q$1073,($C$2:$C$1073=$C809)*($E$2:$E$1073=$E809)*(ROW(Q$2:Q$1073)&lt;&gt;ROW(Q809))*(Q$2:Q$1073&lt;&gt;""))),"")</f>
        <v>8.054458642308425E-2</v>
      </c>
      <c r="X809" t="str" cm="1">
        <f t="array" ref="X809">IFERROR(AVERAGE(_xlfn._xlws.FILTER(R$2:R$1073,($C$2:$C$1073=$C809)*($E$2:$E$1073=$E809)*(ROW(R$2:R$1073)&lt;&gt;ROW(R809))*(R$2:R$1073&lt;&gt;""))),"")</f>
        <v/>
      </c>
      <c r="Y809" cm="1">
        <f t="array" ref="Y809">IFERROR(AVERAGE(_xlfn._xlws.FILTER(S$2:S$1073,($C$2:$C$1073=$C809)*($E$2:$E$1073=$E809)*(ROW(S$2:S$1073)&lt;&gt;ROW(S809))*(S$2:S$1073&lt;&gt;""))),"")</f>
        <v>0.96159636867391751</v>
      </c>
      <c r="Z809" t="str" cm="1">
        <f t="array" ref="Z809">IFERROR(AVERAGE(_xlfn._xlws.FILTER(T$2:T$1073,($C$2:$C$1073=$C809)*($E$2:$E$1073=$E809)*(ROW(T$2:T$1073)&lt;&gt;ROW(T809))*(T$2:T$1073&lt;&gt;""))),"")</f>
        <v/>
      </c>
      <c r="AA809" cm="1">
        <f t="array" ref="AA809">IFERROR(AVERAGE(_xlfn._xlws.FILTER(U$2:U$1073,($C$2:$C$1073=$C809)*($E$2:$E$1073=$E809)*(ROW(U$2:U$1073)&lt;&gt;ROW(U809))*(U$2:U$1073&lt;&gt;""))),"")</f>
        <v>4.0227688861378841</v>
      </c>
    </row>
    <row r="810" spans="1:27" x14ac:dyDescent="0.2">
      <c r="A810" s="7" t="s">
        <v>2279</v>
      </c>
      <c r="B810" t="str">
        <f t="shared" si="134"/>
        <v>HEAD IV кв. 2017</v>
      </c>
      <c r="C810">
        <v>2017</v>
      </c>
      <c r="D810">
        <f>SUMIFS(Дивиденды!$C:$C,Дивиденды!$A:$A,A810,Дивиденды!$I:$I,C810)</f>
        <v>0</v>
      </c>
      <c r="E810">
        <v>5</v>
      </c>
      <c r="F810">
        <f t="shared" si="135"/>
        <v>0</v>
      </c>
      <c r="G810">
        <f t="shared" si="136"/>
        <v>0</v>
      </c>
      <c r="H810">
        <f t="shared" si="137"/>
        <v>0</v>
      </c>
      <c r="I810">
        <f t="shared" si="133"/>
        <v>0</v>
      </c>
      <c r="J810">
        <f t="shared" si="138"/>
        <v>0</v>
      </c>
      <c r="K810">
        <f t="shared" si="142"/>
        <v>0</v>
      </c>
      <c r="L810">
        <f t="shared" si="139"/>
        <v>0</v>
      </c>
      <c r="M810">
        <f t="shared" si="143"/>
        <v>0</v>
      </c>
      <c r="N810">
        <f t="shared" si="140"/>
        <v>0</v>
      </c>
      <c r="O810">
        <f t="shared" si="141"/>
        <v>0</v>
      </c>
      <c r="P810" t="str">
        <f>IFERROR(LN('Дивиденды по годам'!I810),"")</f>
        <v/>
      </c>
      <c r="Q810" t="str">
        <f>IFERROR('Дивиденды по годам'!G810/'Дивиденды по годам'!I810, "")</f>
        <v/>
      </c>
      <c r="R810" t="str">
        <f>IFERROR(IF(AND('Дивиденды по годам'!N810&lt;&gt;"",'Дивиденды по годам'!U810&lt;&gt;"",'Дивиденды по годам'!U810&lt;&gt;0),'Дивиденды по годам'!N810/'Дивиденды по годам'!U810-1,""),"")</f>
        <v/>
      </c>
      <c r="S810" t="str">
        <f>IFERROR(IF(AND('Дивиденды по годам'!L810&lt;&gt;"",'Дивиденды по годам'!I810&lt;&gt;"",'Дивиденды по годам'!J810&lt;&gt;"",'Дивиденды по годам'!K810&lt;&gt;"",('Дивиденды по годам'!I810-'Дивиденды по годам'!J810-'Дивиденды по годам'!K810)&lt;&gt;0),'Дивиденды по годам'!L810/('Дивиденды по годам'!I810-'Дивиденды по годам'!J810-'Дивиденды по годам'!K810),""),"")</f>
        <v/>
      </c>
      <c r="T810" t="str">
        <f>IFERROR(IF(AND('Дивиденды по годам'!Q810&lt;&gt;"",'Дивиденды по годам'!I810&lt;&gt;"",'Дивиденды по годам'!V810&lt;&gt;"",('Дивиденды по годам'!I810+'Дивиденды по годам'!V810)&lt;&gt;0),'Дивиденды по годам'!Q810/(('Дивиденды по годам'!I810+'Дивиденды по годам'!V810)/2),""),"")</f>
        <v/>
      </c>
      <c r="U810" t="str">
        <f>IFERROR(IF(AND('Дивиденды по годам'!J810&lt;&gt;"",'Дивиденды по годам'!K810&lt;&gt;"",'Дивиденды по годам'!M810&lt;&gt;"",'Дивиденды по годам'!M810&lt;&gt;0),('Дивиденды по годам'!J810+'Дивиденды по годам'!K810)/'Дивиденды по годам'!M810,""),"")</f>
        <v/>
      </c>
      <c r="V810" t="str" cm="1">
        <f t="array" ref="V810">IFERROR(AVERAGE(_xlfn._xlws.FILTER(P$2:P$1073,($C$2:$C$1073=$C810)*($E$2:$E$1073=$E810)*(ROW(P$2:P$1073)&lt;&gt;ROW(P810))*(P$2:P$1073&lt;&gt;""))),"")</f>
        <v/>
      </c>
      <c r="W810" t="str" cm="1">
        <f t="array" ref="W810">IFERROR(AVERAGE(_xlfn._xlws.FILTER(Q$2:Q$1073,($C$2:$C$1073=$C810)*($E$2:$E$1073=$E810)*(ROW(Q$2:Q$1073)&lt;&gt;ROW(Q810))*(Q$2:Q$1073&lt;&gt;""))),"")</f>
        <v/>
      </c>
      <c r="X810" t="str" cm="1">
        <f t="array" ref="X810">IFERROR(AVERAGE(_xlfn._xlws.FILTER(R$2:R$1073,($C$2:$C$1073=$C810)*($E$2:$E$1073=$E810)*(ROW(R$2:R$1073)&lt;&gt;ROW(R810))*(R$2:R$1073&lt;&gt;""))),"")</f>
        <v/>
      </c>
      <c r="Y810" t="str" cm="1">
        <f t="array" ref="Y810">IFERROR(AVERAGE(_xlfn._xlws.FILTER(S$2:S$1073,($C$2:$C$1073=$C810)*($E$2:$E$1073=$E810)*(ROW(S$2:S$1073)&lt;&gt;ROW(S810))*(S$2:S$1073&lt;&gt;""))),"")</f>
        <v/>
      </c>
      <c r="Z810" t="str" cm="1">
        <f t="array" ref="Z810">IFERROR(AVERAGE(_xlfn._xlws.FILTER(T$2:T$1073,($C$2:$C$1073=$C810)*($E$2:$E$1073=$E810)*(ROW(T$2:T$1073)&lt;&gt;ROW(T810))*(T$2:T$1073&lt;&gt;""))),"")</f>
        <v/>
      </c>
      <c r="AA810" t="str" cm="1">
        <f t="array" ref="AA810">IFERROR(AVERAGE(_xlfn._xlws.FILTER(U$2:U$1073,($C$2:$C$1073=$C810)*($E$2:$E$1073=$E810)*(ROW(U$2:U$1073)&lt;&gt;ROW(U810))*(U$2:U$1073&lt;&gt;""))),"")</f>
        <v/>
      </c>
    </row>
    <row r="811" spans="1:27" x14ac:dyDescent="0.2">
      <c r="A811" s="7" t="s">
        <v>2279</v>
      </c>
      <c r="B811" t="str">
        <f t="shared" si="134"/>
        <v>HEAD IV кв. 2016</v>
      </c>
      <c r="C811">
        <v>2016</v>
      </c>
      <c r="D811">
        <f>SUMIFS(Дивиденды!$C:$C,Дивиденды!$A:$A,A811,Дивиденды!$I:$I,C811)</f>
        <v>0</v>
      </c>
      <c r="E811">
        <v>5</v>
      </c>
      <c r="F811">
        <f t="shared" si="135"/>
        <v>0</v>
      </c>
      <c r="G811">
        <f t="shared" si="136"/>
        <v>0</v>
      </c>
      <c r="H811">
        <f t="shared" si="137"/>
        <v>0</v>
      </c>
      <c r="I811">
        <f t="shared" si="133"/>
        <v>0</v>
      </c>
      <c r="J811">
        <f t="shared" si="138"/>
        <v>0</v>
      </c>
      <c r="K811">
        <f t="shared" si="142"/>
        <v>0</v>
      </c>
      <c r="L811">
        <f t="shared" si="139"/>
        <v>0</v>
      </c>
      <c r="M811">
        <f t="shared" si="143"/>
        <v>0</v>
      </c>
      <c r="N811">
        <f t="shared" si="140"/>
        <v>0</v>
      </c>
      <c r="O811">
        <f t="shared" si="141"/>
        <v>0</v>
      </c>
      <c r="P811" t="str">
        <f>IFERROR(LN('Дивиденды по годам'!I811),"")</f>
        <v/>
      </c>
      <c r="Q811" t="str">
        <f>IFERROR('Дивиденды по годам'!G811/'Дивиденды по годам'!I811, "")</f>
        <v/>
      </c>
      <c r="R811" t="str">
        <f>IFERROR(IF(AND('Дивиденды по годам'!N811&lt;&gt;"",'Дивиденды по годам'!U811&lt;&gt;"",'Дивиденды по годам'!U811&lt;&gt;0),'Дивиденды по годам'!N811/'Дивиденды по годам'!U811-1,""),"")</f>
        <v/>
      </c>
      <c r="S811" t="str">
        <f>IFERROR(IF(AND('Дивиденды по годам'!L811&lt;&gt;"",'Дивиденды по годам'!I811&lt;&gt;"",'Дивиденды по годам'!J811&lt;&gt;"",'Дивиденды по годам'!K811&lt;&gt;"",('Дивиденды по годам'!I811-'Дивиденды по годам'!J811-'Дивиденды по годам'!K811)&lt;&gt;0),'Дивиденды по годам'!L811/('Дивиденды по годам'!I811-'Дивиденды по годам'!J811-'Дивиденды по годам'!K811),""),"")</f>
        <v/>
      </c>
      <c r="T811" t="str">
        <f>IFERROR(IF(AND('Дивиденды по годам'!Q811&lt;&gt;"",'Дивиденды по годам'!I811&lt;&gt;"",'Дивиденды по годам'!V811&lt;&gt;"",('Дивиденды по годам'!I811+'Дивиденды по годам'!V811)&lt;&gt;0),'Дивиденды по годам'!Q811/(('Дивиденды по годам'!I811+'Дивиденды по годам'!V811)/2),""),"")</f>
        <v/>
      </c>
      <c r="U811" t="str">
        <f>IFERROR(IF(AND('Дивиденды по годам'!J811&lt;&gt;"",'Дивиденды по годам'!K811&lt;&gt;"",'Дивиденды по годам'!M811&lt;&gt;"",'Дивиденды по годам'!M811&lt;&gt;0),('Дивиденды по годам'!J811+'Дивиденды по годам'!K811)/'Дивиденды по годам'!M811,""),"")</f>
        <v/>
      </c>
      <c r="V811" t="str" cm="1">
        <f t="array" ref="V811">IFERROR(AVERAGE(_xlfn._xlws.FILTER(P$2:P$1073,($C$2:$C$1073=$C811)*($E$2:$E$1073=$E811)*(ROW(P$2:P$1073)&lt;&gt;ROW(P811))*(P$2:P$1073&lt;&gt;""))),"")</f>
        <v/>
      </c>
      <c r="W811" t="str" cm="1">
        <f t="array" ref="W811">IFERROR(AVERAGE(_xlfn._xlws.FILTER(Q$2:Q$1073,($C$2:$C$1073=$C811)*($E$2:$E$1073=$E811)*(ROW(Q$2:Q$1073)&lt;&gt;ROW(Q811))*(Q$2:Q$1073&lt;&gt;""))),"")</f>
        <v/>
      </c>
      <c r="X811" t="str" cm="1">
        <f t="array" ref="X811">IFERROR(AVERAGE(_xlfn._xlws.FILTER(R$2:R$1073,($C$2:$C$1073=$C811)*($E$2:$E$1073=$E811)*(ROW(R$2:R$1073)&lt;&gt;ROW(R811))*(R$2:R$1073&lt;&gt;""))),"")</f>
        <v/>
      </c>
      <c r="Y811" t="str" cm="1">
        <f t="array" ref="Y811">IFERROR(AVERAGE(_xlfn._xlws.FILTER(S$2:S$1073,($C$2:$C$1073=$C811)*($E$2:$E$1073=$E811)*(ROW(S$2:S$1073)&lt;&gt;ROW(S811))*(S$2:S$1073&lt;&gt;""))),"")</f>
        <v/>
      </c>
      <c r="Z811" t="str" cm="1">
        <f t="array" ref="Z811">IFERROR(AVERAGE(_xlfn._xlws.FILTER(T$2:T$1073,($C$2:$C$1073=$C811)*($E$2:$E$1073=$E811)*(ROW(T$2:T$1073)&lt;&gt;ROW(T811))*(T$2:T$1073&lt;&gt;""))),"")</f>
        <v/>
      </c>
      <c r="AA811" t="str" cm="1">
        <f t="array" ref="AA811">IFERROR(AVERAGE(_xlfn._xlws.FILTER(U$2:U$1073,($C$2:$C$1073=$C811)*($E$2:$E$1073=$E811)*(ROW(U$2:U$1073)&lt;&gt;ROW(U811))*(U$2:U$1073&lt;&gt;""))),"")</f>
        <v/>
      </c>
    </row>
    <row r="812" spans="1:27" x14ac:dyDescent="0.2">
      <c r="A812" s="7" t="s">
        <v>2279</v>
      </c>
      <c r="B812" t="str">
        <f t="shared" si="134"/>
        <v>HEAD IV кв. 2015</v>
      </c>
      <c r="C812">
        <v>2015</v>
      </c>
      <c r="D812">
        <f>SUMIFS(Дивиденды!$C:$C,Дивиденды!$A:$A,A812,Дивиденды!$I:$I,C812)</f>
        <v>0</v>
      </c>
      <c r="E812">
        <v>5</v>
      </c>
      <c r="F812">
        <f t="shared" si="135"/>
        <v>0</v>
      </c>
      <c r="G812">
        <f t="shared" si="136"/>
        <v>0</v>
      </c>
      <c r="H812">
        <f t="shared" si="137"/>
        <v>0</v>
      </c>
      <c r="I812">
        <f t="shared" si="133"/>
        <v>0</v>
      </c>
      <c r="J812">
        <f t="shared" si="138"/>
        <v>0</v>
      </c>
      <c r="K812">
        <f t="shared" si="142"/>
        <v>0</v>
      </c>
      <c r="L812">
        <f t="shared" si="139"/>
        <v>0</v>
      </c>
      <c r="M812">
        <f t="shared" si="143"/>
        <v>0</v>
      </c>
      <c r="N812">
        <f t="shared" si="140"/>
        <v>0</v>
      </c>
      <c r="O812">
        <f t="shared" si="141"/>
        <v>0</v>
      </c>
      <c r="P812" t="str">
        <f>IFERROR(LN('Дивиденды по годам'!I812),"")</f>
        <v/>
      </c>
      <c r="Q812" t="str">
        <f>IFERROR('Дивиденды по годам'!G812/'Дивиденды по годам'!I812, "")</f>
        <v/>
      </c>
      <c r="R812" t="str">
        <f>IFERROR(IF(AND('Дивиденды по годам'!N812&lt;&gt;"",'Дивиденды по годам'!U812&lt;&gt;"",'Дивиденды по годам'!U812&lt;&gt;0),'Дивиденды по годам'!N812/'Дивиденды по годам'!U812-1,""),"")</f>
        <v/>
      </c>
      <c r="S812" t="str">
        <f>IFERROR(IF(AND('Дивиденды по годам'!L812&lt;&gt;"",'Дивиденды по годам'!I812&lt;&gt;"",'Дивиденды по годам'!J812&lt;&gt;"",'Дивиденды по годам'!K812&lt;&gt;"",('Дивиденды по годам'!I812-'Дивиденды по годам'!J812-'Дивиденды по годам'!K812)&lt;&gt;0),'Дивиденды по годам'!L812/('Дивиденды по годам'!I812-'Дивиденды по годам'!J812-'Дивиденды по годам'!K812),""),"")</f>
        <v/>
      </c>
      <c r="T812" t="str">
        <f>IFERROR(IF(AND('Дивиденды по годам'!Q812&lt;&gt;"",'Дивиденды по годам'!I812&lt;&gt;"",'Дивиденды по годам'!V812&lt;&gt;"",('Дивиденды по годам'!I812+'Дивиденды по годам'!V812)&lt;&gt;0),'Дивиденды по годам'!Q812/(('Дивиденды по годам'!I812+'Дивиденды по годам'!V812)/2),""),"")</f>
        <v/>
      </c>
      <c r="U812" t="str">
        <f>IFERROR(IF(AND('Дивиденды по годам'!J812&lt;&gt;"",'Дивиденды по годам'!K812&lt;&gt;"",'Дивиденды по годам'!M812&lt;&gt;"",'Дивиденды по годам'!M812&lt;&gt;0),('Дивиденды по годам'!J812+'Дивиденды по годам'!K812)/'Дивиденды по годам'!M812,""),"")</f>
        <v/>
      </c>
      <c r="V812" t="str" cm="1">
        <f t="array" ref="V812">IFERROR(AVERAGE(_xlfn._xlws.FILTER(P$2:P$1073,($C$2:$C$1073=$C812)*($E$2:$E$1073=$E812)*(ROW(P$2:P$1073)&lt;&gt;ROW(P812))*(P$2:P$1073&lt;&gt;""))),"")</f>
        <v/>
      </c>
      <c r="W812" t="str" cm="1">
        <f t="array" ref="W812">IFERROR(AVERAGE(_xlfn._xlws.FILTER(Q$2:Q$1073,($C$2:$C$1073=$C812)*($E$2:$E$1073=$E812)*(ROW(Q$2:Q$1073)&lt;&gt;ROW(Q812))*(Q$2:Q$1073&lt;&gt;""))),"")</f>
        <v/>
      </c>
      <c r="X812" t="str" cm="1">
        <f t="array" ref="X812">IFERROR(AVERAGE(_xlfn._xlws.FILTER(R$2:R$1073,($C$2:$C$1073=$C812)*($E$2:$E$1073=$E812)*(ROW(R$2:R$1073)&lt;&gt;ROW(R812))*(R$2:R$1073&lt;&gt;""))),"")</f>
        <v/>
      </c>
      <c r="Y812" t="str" cm="1">
        <f t="array" ref="Y812">IFERROR(AVERAGE(_xlfn._xlws.FILTER(S$2:S$1073,($C$2:$C$1073=$C812)*($E$2:$E$1073=$E812)*(ROW(S$2:S$1073)&lt;&gt;ROW(S812))*(S$2:S$1073&lt;&gt;""))),"")</f>
        <v/>
      </c>
      <c r="Z812" t="str" cm="1">
        <f t="array" ref="Z812">IFERROR(AVERAGE(_xlfn._xlws.FILTER(T$2:T$1073,($C$2:$C$1073=$C812)*($E$2:$E$1073=$E812)*(ROW(T$2:T$1073)&lt;&gt;ROW(T812))*(T$2:T$1073&lt;&gt;""))),"")</f>
        <v/>
      </c>
      <c r="AA812" t="str" cm="1">
        <f t="array" ref="AA812">IFERROR(AVERAGE(_xlfn._xlws.FILTER(U$2:U$1073,($C$2:$C$1073=$C812)*($E$2:$E$1073=$E812)*(ROW(U$2:U$1073)&lt;&gt;ROW(U812))*(U$2:U$1073&lt;&gt;""))),"")</f>
        <v/>
      </c>
    </row>
    <row r="813" spans="1:27" x14ac:dyDescent="0.2">
      <c r="A813" s="7" t="s">
        <v>2279</v>
      </c>
      <c r="B813" t="str">
        <f t="shared" si="134"/>
        <v>HEAD IV кв. 2014</v>
      </c>
      <c r="C813">
        <v>2014</v>
      </c>
      <c r="D813">
        <f>SUMIFS(Дивиденды!$C:$C,Дивиденды!$A:$A,A813,Дивиденды!$I:$I,C813)</f>
        <v>0</v>
      </c>
      <c r="E813">
        <v>5</v>
      </c>
      <c r="F813">
        <f t="shared" si="135"/>
        <v>0</v>
      </c>
      <c r="G813">
        <f t="shared" si="136"/>
        <v>0</v>
      </c>
      <c r="H813">
        <f t="shared" si="137"/>
        <v>0</v>
      </c>
      <c r="I813">
        <f t="shared" si="133"/>
        <v>0</v>
      </c>
      <c r="J813">
        <f t="shared" si="138"/>
        <v>0</v>
      </c>
      <c r="K813">
        <f t="shared" si="142"/>
        <v>0</v>
      </c>
      <c r="L813">
        <f t="shared" si="139"/>
        <v>0</v>
      </c>
      <c r="M813">
        <f t="shared" si="143"/>
        <v>0</v>
      </c>
      <c r="N813">
        <f t="shared" si="140"/>
        <v>0</v>
      </c>
      <c r="O813">
        <f t="shared" si="141"/>
        <v>0</v>
      </c>
      <c r="P813" t="str">
        <f>IFERROR(LN('Дивиденды по годам'!I813),"")</f>
        <v/>
      </c>
      <c r="Q813" t="str">
        <f>IFERROR('Дивиденды по годам'!G813/'Дивиденды по годам'!I813, "")</f>
        <v/>
      </c>
      <c r="R813" t="str">
        <f>IFERROR(IF(AND('Дивиденды по годам'!N813&lt;&gt;"",'Дивиденды по годам'!U813&lt;&gt;"",'Дивиденды по годам'!U813&lt;&gt;0),'Дивиденды по годам'!N813/'Дивиденды по годам'!U813-1,""),"")</f>
        <v/>
      </c>
      <c r="S813" t="str">
        <f>IFERROR(IF(AND('Дивиденды по годам'!L813&lt;&gt;"",'Дивиденды по годам'!I813&lt;&gt;"",'Дивиденды по годам'!J813&lt;&gt;"",'Дивиденды по годам'!K813&lt;&gt;"",('Дивиденды по годам'!I813-'Дивиденды по годам'!J813-'Дивиденды по годам'!K813)&lt;&gt;0),'Дивиденды по годам'!L813/('Дивиденды по годам'!I813-'Дивиденды по годам'!J813-'Дивиденды по годам'!K813),""),"")</f>
        <v/>
      </c>
      <c r="T813" t="str">
        <f>IFERROR(IF(AND('Дивиденды по годам'!Q813&lt;&gt;"",'Дивиденды по годам'!I813&lt;&gt;"",'Дивиденды по годам'!V813&lt;&gt;"",('Дивиденды по годам'!I813+'Дивиденды по годам'!V813)&lt;&gt;0),'Дивиденды по годам'!Q813/(('Дивиденды по годам'!I813+'Дивиденды по годам'!V813)/2),""),"")</f>
        <v/>
      </c>
      <c r="U813" t="str">
        <f>IFERROR(IF(AND('Дивиденды по годам'!J813&lt;&gt;"",'Дивиденды по годам'!K813&lt;&gt;"",'Дивиденды по годам'!M813&lt;&gt;"",'Дивиденды по годам'!M813&lt;&gt;0),('Дивиденды по годам'!J813+'Дивиденды по годам'!K813)/'Дивиденды по годам'!M813,""),"")</f>
        <v/>
      </c>
      <c r="V813" t="str" cm="1">
        <f t="array" ref="V813">IFERROR(AVERAGE(_xlfn._xlws.FILTER(P$2:P$1073,($C$2:$C$1073=$C813)*($E$2:$E$1073=$E813)*(ROW(P$2:P$1073)&lt;&gt;ROW(P813))*(P$2:P$1073&lt;&gt;""))),"")</f>
        <v/>
      </c>
      <c r="W813" t="str" cm="1">
        <f t="array" ref="W813">IFERROR(AVERAGE(_xlfn._xlws.FILTER(Q$2:Q$1073,($C$2:$C$1073=$C813)*($E$2:$E$1073=$E813)*(ROW(Q$2:Q$1073)&lt;&gt;ROW(Q813))*(Q$2:Q$1073&lt;&gt;""))),"")</f>
        <v/>
      </c>
      <c r="X813" t="str" cm="1">
        <f t="array" ref="X813">IFERROR(AVERAGE(_xlfn._xlws.FILTER(R$2:R$1073,($C$2:$C$1073=$C813)*($E$2:$E$1073=$E813)*(ROW(R$2:R$1073)&lt;&gt;ROW(R813))*(R$2:R$1073&lt;&gt;""))),"")</f>
        <v/>
      </c>
      <c r="Y813" t="str" cm="1">
        <f t="array" ref="Y813">IFERROR(AVERAGE(_xlfn._xlws.FILTER(S$2:S$1073,($C$2:$C$1073=$C813)*($E$2:$E$1073=$E813)*(ROW(S$2:S$1073)&lt;&gt;ROW(S813))*(S$2:S$1073&lt;&gt;""))),"")</f>
        <v/>
      </c>
      <c r="Z813" t="str" cm="1">
        <f t="array" ref="Z813">IFERROR(AVERAGE(_xlfn._xlws.FILTER(T$2:T$1073,($C$2:$C$1073=$C813)*($E$2:$E$1073=$E813)*(ROW(T$2:T$1073)&lt;&gt;ROW(T813))*(T$2:T$1073&lt;&gt;""))),"")</f>
        <v/>
      </c>
      <c r="AA813" t="str" cm="1">
        <f t="array" ref="AA813">IFERROR(AVERAGE(_xlfn._xlws.FILTER(U$2:U$1073,($C$2:$C$1073=$C813)*($E$2:$E$1073=$E813)*(ROW(U$2:U$1073)&lt;&gt;ROW(U813))*(U$2:U$1073&lt;&gt;""))),"")</f>
        <v/>
      </c>
    </row>
    <row r="814" spans="1:27" x14ac:dyDescent="0.2">
      <c r="A814" s="7" t="s">
        <v>2279</v>
      </c>
      <c r="B814" t="str">
        <f t="shared" si="134"/>
        <v>HEAD IV кв. 2013</v>
      </c>
      <c r="C814">
        <v>2013</v>
      </c>
      <c r="D814">
        <f>SUMIFS(Дивиденды!$C:$C,Дивиденды!$A:$A,A814,Дивиденды!$I:$I,C814)</f>
        <v>0</v>
      </c>
      <c r="E814">
        <v>5</v>
      </c>
      <c r="F814">
        <f t="shared" si="135"/>
        <v>0</v>
      </c>
      <c r="G814">
        <f t="shared" si="136"/>
        <v>0</v>
      </c>
      <c r="H814">
        <f t="shared" si="137"/>
        <v>0</v>
      </c>
      <c r="I814">
        <f t="shared" si="133"/>
        <v>0</v>
      </c>
      <c r="J814">
        <f t="shared" si="138"/>
        <v>0</v>
      </c>
      <c r="K814">
        <f t="shared" si="142"/>
        <v>0</v>
      </c>
      <c r="L814">
        <f t="shared" si="139"/>
        <v>0</v>
      </c>
      <c r="M814">
        <f t="shared" si="143"/>
        <v>0</v>
      </c>
      <c r="N814">
        <f t="shared" si="140"/>
        <v>0</v>
      </c>
      <c r="O814">
        <f t="shared" si="141"/>
        <v>0</v>
      </c>
      <c r="P814" t="str">
        <f>IFERROR(LN('Дивиденды по годам'!I814),"")</f>
        <v/>
      </c>
      <c r="Q814" t="str">
        <f>IFERROR('Дивиденды по годам'!G814/'Дивиденды по годам'!I814, "")</f>
        <v/>
      </c>
      <c r="R814" t="str">
        <f>IFERROR(IF(AND('Дивиденды по годам'!N814&lt;&gt;"",'Дивиденды по годам'!U814&lt;&gt;"",'Дивиденды по годам'!U814&lt;&gt;0),'Дивиденды по годам'!N814/'Дивиденды по годам'!U814-1,""),"")</f>
        <v/>
      </c>
      <c r="S814" t="str">
        <f>IFERROR(IF(AND('Дивиденды по годам'!L814&lt;&gt;"",'Дивиденды по годам'!I814&lt;&gt;"",'Дивиденды по годам'!J814&lt;&gt;"",'Дивиденды по годам'!K814&lt;&gt;"",('Дивиденды по годам'!I814-'Дивиденды по годам'!J814-'Дивиденды по годам'!K814)&lt;&gt;0),'Дивиденды по годам'!L814/('Дивиденды по годам'!I814-'Дивиденды по годам'!J814-'Дивиденды по годам'!K814),""),"")</f>
        <v/>
      </c>
      <c r="T814" t="str">
        <f>IFERROR(IF(AND('Дивиденды по годам'!Q814&lt;&gt;"",'Дивиденды по годам'!I814&lt;&gt;"",'Дивиденды по годам'!V814&lt;&gt;"",('Дивиденды по годам'!I814+'Дивиденды по годам'!V814)&lt;&gt;0),'Дивиденды по годам'!Q814/(('Дивиденды по годам'!I814+'Дивиденды по годам'!V814)/2),""),"")</f>
        <v/>
      </c>
      <c r="U814" t="str">
        <f>IFERROR(IF(AND('Дивиденды по годам'!J814&lt;&gt;"",'Дивиденды по годам'!K814&lt;&gt;"",'Дивиденды по годам'!M814&lt;&gt;"",'Дивиденды по годам'!M814&lt;&gt;0),('Дивиденды по годам'!J814+'Дивиденды по годам'!K814)/'Дивиденды по годам'!M814,""),"")</f>
        <v/>
      </c>
      <c r="V814" t="str" cm="1">
        <f t="array" ref="V814">IFERROR(AVERAGE(_xlfn._xlws.FILTER(P$2:P$1073,($C$2:$C$1073=$C814)*($E$2:$E$1073=$E814)*(ROW(P$2:P$1073)&lt;&gt;ROW(P814))*(P$2:P$1073&lt;&gt;""))),"")</f>
        <v/>
      </c>
      <c r="W814" t="str" cm="1">
        <f t="array" ref="W814">IFERROR(AVERAGE(_xlfn._xlws.FILTER(Q$2:Q$1073,($C$2:$C$1073=$C814)*($E$2:$E$1073=$E814)*(ROW(Q$2:Q$1073)&lt;&gt;ROW(Q814))*(Q$2:Q$1073&lt;&gt;""))),"")</f>
        <v/>
      </c>
      <c r="X814" t="str" cm="1">
        <f t="array" ref="X814">IFERROR(AVERAGE(_xlfn._xlws.FILTER(R$2:R$1073,($C$2:$C$1073=$C814)*($E$2:$E$1073=$E814)*(ROW(R$2:R$1073)&lt;&gt;ROW(R814))*(R$2:R$1073&lt;&gt;""))),"")</f>
        <v/>
      </c>
      <c r="Y814" t="str" cm="1">
        <f t="array" ref="Y814">IFERROR(AVERAGE(_xlfn._xlws.FILTER(S$2:S$1073,($C$2:$C$1073=$C814)*($E$2:$E$1073=$E814)*(ROW(S$2:S$1073)&lt;&gt;ROW(S814))*(S$2:S$1073&lt;&gt;""))),"")</f>
        <v/>
      </c>
      <c r="Z814" t="str" cm="1">
        <f t="array" ref="Z814">IFERROR(AVERAGE(_xlfn._xlws.FILTER(T$2:T$1073,($C$2:$C$1073=$C814)*($E$2:$E$1073=$E814)*(ROW(T$2:T$1073)&lt;&gt;ROW(T814))*(T$2:T$1073&lt;&gt;""))),"")</f>
        <v/>
      </c>
      <c r="AA814" t="str" cm="1">
        <f t="array" ref="AA814">IFERROR(AVERAGE(_xlfn._xlws.FILTER(U$2:U$1073,($C$2:$C$1073=$C814)*($E$2:$E$1073=$E814)*(ROW(U$2:U$1073)&lt;&gt;ROW(U814))*(U$2:U$1073&lt;&gt;""))),"")</f>
        <v/>
      </c>
    </row>
    <row r="815" spans="1:27" x14ac:dyDescent="0.2">
      <c r="A815" s="7" t="s">
        <v>2279</v>
      </c>
      <c r="B815" t="str">
        <f t="shared" si="134"/>
        <v>HEAD IV кв. 2012</v>
      </c>
      <c r="C815">
        <v>2012</v>
      </c>
      <c r="D815">
        <f>SUMIFS(Дивиденды!$C:$C,Дивиденды!$A:$A,A815,Дивиденды!$I:$I,C815)</f>
        <v>0</v>
      </c>
      <c r="E815">
        <v>5</v>
      </c>
      <c r="F815">
        <f t="shared" si="135"/>
        <v>0</v>
      </c>
      <c r="G815">
        <f t="shared" si="136"/>
        <v>0</v>
      </c>
      <c r="H815">
        <f t="shared" si="137"/>
        <v>0</v>
      </c>
      <c r="I815">
        <f t="shared" si="133"/>
        <v>0</v>
      </c>
      <c r="J815">
        <f t="shared" si="138"/>
        <v>0</v>
      </c>
      <c r="K815">
        <f t="shared" si="142"/>
        <v>0</v>
      </c>
      <c r="L815">
        <f t="shared" si="139"/>
        <v>0</v>
      </c>
      <c r="M815">
        <f t="shared" si="143"/>
        <v>0</v>
      </c>
      <c r="N815">
        <f t="shared" si="140"/>
        <v>0</v>
      </c>
      <c r="O815">
        <f t="shared" si="141"/>
        <v>0</v>
      </c>
      <c r="P815" t="str">
        <f>IFERROR(LN('Дивиденды по годам'!I815),"")</f>
        <v/>
      </c>
      <c r="Q815" t="str">
        <f>IFERROR('Дивиденды по годам'!G815/'Дивиденды по годам'!I815, "")</f>
        <v/>
      </c>
      <c r="R815" t="str">
        <f>IFERROR(IF(AND('Дивиденды по годам'!N815&lt;&gt;"",'Дивиденды по годам'!U815&lt;&gt;"",'Дивиденды по годам'!U815&lt;&gt;0),'Дивиденды по годам'!N815/'Дивиденды по годам'!U815-1,""),"")</f>
        <v/>
      </c>
      <c r="S815" t="str">
        <f>IFERROR(IF(AND('Дивиденды по годам'!L815&lt;&gt;"",'Дивиденды по годам'!I815&lt;&gt;"",'Дивиденды по годам'!J815&lt;&gt;"",'Дивиденды по годам'!K815&lt;&gt;"",('Дивиденды по годам'!I815-'Дивиденды по годам'!J815-'Дивиденды по годам'!K815)&lt;&gt;0),'Дивиденды по годам'!L815/('Дивиденды по годам'!I815-'Дивиденды по годам'!J815-'Дивиденды по годам'!K815),""),"")</f>
        <v/>
      </c>
      <c r="T815" t="str">
        <f>IFERROR(IF(AND('Дивиденды по годам'!Q815&lt;&gt;"",'Дивиденды по годам'!I815&lt;&gt;"",'Дивиденды по годам'!V815&lt;&gt;"",('Дивиденды по годам'!I815+'Дивиденды по годам'!V815)&lt;&gt;0),'Дивиденды по годам'!Q815/(('Дивиденды по годам'!I815+'Дивиденды по годам'!V815)/2),""),"")</f>
        <v/>
      </c>
      <c r="U815" t="str">
        <f>IFERROR(IF(AND('Дивиденды по годам'!J815&lt;&gt;"",'Дивиденды по годам'!K815&lt;&gt;"",'Дивиденды по годам'!M815&lt;&gt;"",'Дивиденды по годам'!M815&lt;&gt;0),('Дивиденды по годам'!J815+'Дивиденды по годам'!K815)/'Дивиденды по годам'!M815,""),"")</f>
        <v/>
      </c>
      <c r="V815" t="str" cm="1">
        <f t="array" ref="V815">IFERROR(AVERAGE(_xlfn._xlws.FILTER(P$2:P$1073,($C$2:$C$1073=$C815)*($E$2:$E$1073=$E815)*(ROW(P$2:P$1073)&lt;&gt;ROW(P815))*(P$2:P$1073&lt;&gt;""))),"")</f>
        <v/>
      </c>
      <c r="W815" t="str" cm="1">
        <f t="array" ref="W815">IFERROR(AVERAGE(_xlfn._xlws.FILTER(Q$2:Q$1073,($C$2:$C$1073=$C815)*($E$2:$E$1073=$E815)*(ROW(Q$2:Q$1073)&lt;&gt;ROW(Q815))*(Q$2:Q$1073&lt;&gt;""))),"")</f>
        <v/>
      </c>
      <c r="X815" t="str" cm="1">
        <f t="array" ref="X815">IFERROR(AVERAGE(_xlfn._xlws.FILTER(R$2:R$1073,($C$2:$C$1073=$C815)*($E$2:$E$1073=$E815)*(ROW(R$2:R$1073)&lt;&gt;ROW(R815))*(R$2:R$1073&lt;&gt;""))),"")</f>
        <v/>
      </c>
      <c r="Y815" t="str" cm="1">
        <f t="array" ref="Y815">IFERROR(AVERAGE(_xlfn._xlws.FILTER(S$2:S$1073,($C$2:$C$1073=$C815)*($E$2:$E$1073=$E815)*(ROW(S$2:S$1073)&lt;&gt;ROW(S815))*(S$2:S$1073&lt;&gt;""))),"")</f>
        <v/>
      </c>
      <c r="Z815" t="str" cm="1">
        <f t="array" ref="Z815">IFERROR(AVERAGE(_xlfn._xlws.FILTER(T$2:T$1073,($C$2:$C$1073=$C815)*($E$2:$E$1073=$E815)*(ROW(T$2:T$1073)&lt;&gt;ROW(T815))*(T$2:T$1073&lt;&gt;""))),"")</f>
        <v/>
      </c>
      <c r="AA815" t="str" cm="1">
        <f t="array" ref="AA815">IFERROR(AVERAGE(_xlfn._xlws.FILTER(U$2:U$1073,($C$2:$C$1073=$C815)*($E$2:$E$1073=$E815)*(ROW(U$2:U$1073)&lt;&gt;ROW(U815))*(U$2:U$1073&lt;&gt;""))),"")</f>
        <v/>
      </c>
    </row>
    <row r="816" spans="1:27" x14ac:dyDescent="0.2">
      <c r="A816" s="7" t="s">
        <v>2279</v>
      </c>
      <c r="B816" t="str">
        <f t="shared" si="134"/>
        <v>HEAD IV кв. 2011</v>
      </c>
      <c r="C816">
        <v>2011</v>
      </c>
      <c r="D816">
        <f>SUMIFS(Дивиденды!$C:$C,Дивиденды!$A:$A,A816,Дивиденды!$I:$I,C816)</f>
        <v>0</v>
      </c>
      <c r="E816">
        <v>5</v>
      </c>
      <c r="F816">
        <f t="shared" si="135"/>
        <v>0</v>
      </c>
      <c r="G816">
        <f t="shared" si="136"/>
        <v>0</v>
      </c>
      <c r="H816">
        <f t="shared" si="137"/>
        <v>0</v>
      </c>
      <c r="I816">
        <f t="shared" ref="I816:I879" si="144">IFERROR((COUNTIFS($E:$E,E816,$C:$C,C816,$H:$H,1)-H816)/(COUNTIFS($E:$E,E816,$C:$C,C816)-1),0)</f>
        <v>0</v>
      </c>
      <c r="J816">
        <f t="shared" si="138"/>
        <v>0</v>
      </c>
      <c r="K816">
        <f t="shared" si="142"/>
        <v>0</v>
      </c>
      <c r="L816">
        <f t="shared" si="139"/>
        <v>0</v>
      </c>
      <c r="M816">
        <f t="shared" si="143"/>
        <v>0</v>
      </c>
      <c r="N816">
        <f t="shared" si="140"/>
        <v>0</v>
      </c>
      <c r="O816">
        <f t="shared" si="141"/>
        <v>0</v>
      </c>
      <c r="P816" t="str">
        <f>IFERROR(LN('Дивиденды по годам'!I816),"")</f>
        <v/>
      </c>
      <c r="Q816" t="str">
        <f>IFERROR('Дивиденды по годам'!G816/'Дивиденды по годам'!I816, "")</f>
        <v/>
      </c>
      <c r="R816" t="str">
        <f>IFERROR(IF(AND('Дивиденды по годам'!N816&lt;&gt;"",'Дивиденды по годам'!U816&lt;&gt;"",'Дивиденды по годам'!U816&lt;&gt;0),'Дивиденды по годам'!N816/'Дивиденды по годам'!U816-1,""),"")</f>
        <v/>
      </c>
      <c r="S816" t="str">
        <f>IFERROR(IF(AND('Дивиденды по годам'!L816&lt;&gt;"",'Дивиденды по годам'!I816&lt;&gt;"",'Дивиденды по годам'!J816&lt;&gt;"",'Дивиденды по годам'!K816&lt;&gt;"",('Дивиденды по годам'!I816-'Дивиденды по годам'!J816-'Дивиденды по годам'!K816)&lt;&gt;0),'Дивиденды по годам'!L816/('Дивиденды по годам'!I816-'Дивиденды по годам'!J816-'Дивиденды по годам'!K816),""),"")</f>
        <v/>
      </c>
      <c r="T816" t="str">
        <f>IFERROR(IF(AND('Дивиденды по годам'!Q816&lt;&gt;"",'Дивиденды по годам'!I816&lt;&gt;"",'Дивиденды по годам'!V816&lt;&gt;"",('Дивиденды по годам'!I816+'Дивиденды по годам'!V816)&lt;&gt;0),'Дивиденды по годам'!Q816/(('Дивиденды по годам'!I816+'Дивиденды по годам'!V816)/2),""),"")</f>
        <v/>
      </c>
      <c r="U816" t="str">
        <f>IFERROR(IF(AND('Дивиденды по годам'!J816&lt;&gt;"",'Дивиденды по годам'!K816&lt;&gt;"",'Дивиденды по годам'!M816&lt;&gt;"",'Дивиденды по годам'!M816&lt;&gt;0),('Дивиденды по годам'!J816+'Дивиденды по годам'!K816)/'Дивиденды по годам'!M816,""),"")</f>
        <v/>
      </c>
      <c r="V816" t="str" cm="1">
        <f t="array" ref="V816">IFERROR(AVERAGE(_xlfn._xlws.FILTER(P$2:P$1073,($C$2:$C$1073=$C816)*($E$2:$E$1073=$E816)*(ROW(P$2:P$1073)&lt;&gt;ROW(P816))*(P$2:P$1073&lt;&gt;""))),"")</f>
        <v/>
      </c>
      <c r="W816" t="str" cm="1">
        <f t="array" ref="W816">IFERROR(AVERAGE(_xlfn._xlws.FILTER(Q$2:Q$1073,($C$2:$C$1073=$C816)*($E$2:$E$1073=$E816)*(ROW(Q$2:Q$1073)&lt;&gt;ROW(Q816))*(Q$2:Q$1073&lt;&gt;""))),"")</f>
        <v/>
      </c>
      <c r="X816" t="str" cm="1">
        <f t="array" ref="X816">IFERROR(AVERAGE(_xlfn._xlws.FILTER(R$2:R$1073,($C$2:$C$1073=$C816)*($E$2:$E$1073=$E816)*(ROW(R$2:R$1073)&lt;&gt;ROW(R816))*(R$2:R$1073&lt;&gt;""))),"")</f>
        <v/>
      </c>
      <c r="Y816" t="str" cm="1">
        <f t="array" ref="Y816">IFERROR(AVERAGE(_xlfn._xlws.FILTER(S$2:S$1073,($C$2:$C$1073=$C816)*($E$2:$E$1073=$E816)*(ROW(S$2:S$1073)&lt;&gt;ROW(S816))*(S$2:S$1073&lt;&gt;""))),"")</f>
        <v/>
      </c>
      <c r="Z816" t="str" cm="1">
        <f t="array" ref="Z816">IFERROR(AVERAGE(_xlfn._xlws.FILTER(T$2:T$1073,($C$2:$C$1073=$C816)*($E$2:$E$1073=$E816)*(ROW(T$2:T$1073)&lt;&gt;ROW(T816))*(T$2:T$1073&lt;&gt;""))),"")</f>
        <v/>
      </c>
      <c r="AA816" t="str" cm="1">
        <f t="array" ref="AA816">IFERROR(AVERAGE(_xlfn._xlws.FILTER(U$2:U$1073,($C$2:$C$1073=$C816)*($E$2:$E$1073=$E816)*(ROW(U$2:U$1073)&lt;&gt;ROW(U816))*(U$2:U$1073&lt;&gt;""))),"")</f>
        <v/>
      </c>
    </row>
    <row r="817" spans="1:27" x14ac:dyDescent="0.2">
      <c r="A817" s="7" t="s">
        <v>2279</v>
      </c>
      <c r="B817" t="str">
        <f t="shared" si="134"/>
        <v>HEAD IV кв. 2010</v>
      </c>
      <c r="C817">
        <v>2010</v>
      </c>
      <c r="D817">
        <f>SUMIFS(Дивиденды!$C:$C,Дивиденды!$A:$A,A817,Дивиденды!$I:$I,C817)</f>
        <v>0</v>
      </c>
      <c r="E817">
        <v>5</v>
      </c>
      <c r="F817">
        <f t="shared" si="135"/>
        <v>0</v>
      </c>
      <c r="G817">
        <f t="shared" si="136"/>
        <v>0</v>
      </c>
      <c r="H817">
        <f t="shared" si="137"/>
        <v>0</v>
      </c>
      <c r="I817">
        <f t="shared" si="144"/>
        <v>0</v>
      </c>
      <c r="J817" t="str">
        <f t="shared" si="138"/>
        <v/>
      </c>
      <c r="K817" t="str">
        <f t="shared" si="142"/>
        <v/>
      </c>
      <c r="L817" t="str">
        <f t="shared" si="139"/>
        <v/>
      </c>
      <c r="M817" t="str">
        <f t="shared" si="143"/>
        <v/>
      </c>
      <c r="N817" t="str">
        <f t="shared" si="140"/>
        <v/>
      </c>
      <c r="O817" t="str">
        <f t="shared" si="141"/>
        <v/>
      </c>
      <c r="P817" t="str">
        <f>IFERROR(LN('Дивиденды по годам'!I817),"")</f>
        <v/>
      </c>
      <c r="Q817" t="str">
        <f>IFERROR('Дивиденды по годам'!G817/'Дивиденды по годам'!I817, "")</f>
        <v/>
      </c>
      <c r="R817" t="str">
        <f>IFERROR(IF(AND('Дивиденды по годам'!N817&lt;&gt;"",'Дивиденды по годам'!U817&lt;&gt;"",'Дивиденды по годам'!U817&lt;&gt;0),'Дивиденды по годам'!N817/'Дивиденды по годам'!U817-1,""),"")</f>
        <v/>
      </c>
      <c r="S817" t="str">
        <f>IFERROR(IF(AND('Дивиденды по годам'!L817&lt;&gt;"",'Дивиденды по годам'!I817&lt;&gt;"",'Дивиденды по годам'!J817&lt;&gt;"",'Дивиденды по годам'!K817&lt;&gt;"",('Дивиденды по годам'!I817-'Дивиденды по годам'!J817-'Дивиденды по годам'!K817)&lt;&gt;0),'Дивиденды по годам'!L817/('Дивиденды по годам'!I817-'Дивиденды по годам'!J817-'Дивиденды по годам'!K817),""),"")</f>
        <v/>
      </c>
      <c r="T817" t="str">
        <f>IFERROR(IF(AND('Дивиденды по годам'!Q817&lt;&gt;"",'Дивиденды по годам'!I817&lt;&gt;"",'Дивиденды по годам'!V817&lt;&gt;"",('Дивиденды по годам'!I817+'Дивиденды по годам'!V817)&lt;&gt;0),'Дивиденды по годам'!Q817/(('Дивиденды по годам'!I817+'Дивиденды по годам'!V817)/2),""),"")</f>
        <v/>
      </c>
      <c r="U817" t="str">
        <f>IFERROR(IF(AND('Дивиденды по годам'!J817&lt;&gt;"",'Дивиденды по годам'!K817&lt;&gt;"",'Дивиденды по годам'!M817&lt;&gt;"",'Дивиденды по годам'!M817&lt;&gt;0),('Дивиденды по годам'!J817+'Дивиденды по годам'!K817)/'Дивиденды по годам'!M817,""),"")</f>
        <v/>
      </c>
      <c r="V817" t="str" cm="1">
        <f t="array" ref="V817">IFERROR(AVERAGE(_xlfn._xlws.FILTER(P$2:P$1073,($C$2:$C$1073=$C817)*($E$2:$E$1073=$E817)*(ROW(P$2:P$1073)&lt;&gt;ROW(P817))*(P$2:P$1073&lt;&gt;""))),"")</f>
        <v/>
      </c>
      <c r="W817" t="str" cm="1">
        <f t="array" ref="W817">IFERROR(AVERAGE(_xlfn._xlws.FILTER(Q$2:Q$1073,($C$2:$C$1073=$C817)*($E$2:$E$1073=$E817)*(ROW(Q$2:Q$1073)&lt;&gt;ROW(Q817))*(Q$2:Q$1073&lt;&gt;""))),"")</f>
        <v/>
      </c>
      <c r="X817" t="str" cm="1">
        <f t="array" ref="X817">IFERROR(AVERAGE(_xlfn._xlws.FILTER(R$2:R$1073,($C$2:$C$1073=$C817)*($E$2:$E$1073=$E817)*(ROW(R$2:R$1073)&lt;&gt;ROW(R817))*(R$2:R$1073&lt;&gt;""))),"")</f>
        <v/>
      </c>
      <c r="Y817" t="str" cm="1">
        <f t="array" ref="Y817">IFERROR(AVERAGE(_xlfn._xlws.FILTER(S$2:S$1073,($C$2:$C$1073=$C817)*($E$2:$E$1073=$E817)*(ROW(S$2:S$1073)&lt;&gt;ROW(S817))*(S$2:S$1073&lt;&gt;""))),"")</f>
        <v/>
      </c>
      <c r="Z817" t="str" cm="1">
        <f t="array" ref="Z817">IFERROR(AVERAGE(_xlfn._xlws.FILTER(T$2:T$1073,($C$2:$C$1073=$C817)*($E$2:$E$1073=$E817)*(ROW(T$2:T$1073)&lt;&gt;ROW(T817))*(T$2:T$1073&lt;&gt;""))),"")</f>
        <v/>
      </c>
      <c r="AA817" t="str" cm="1">
        <f t="array" ref="AA817">IFERROR(AVERAGE(_xlfn._xlws.FILTER(U$2:U$1073,($C$2:$C$1073=$C817)*($E$2:$E$1073=$E817)*(ROW(U$2:U$1073)&lt;&gt;ROW(U817))*(U$2:U$1073&lt;&gt;""))),"")</f>
        <v/>
      </c>
    </row>
    <row r="818" spans="1:27" x14ac:dyDescent="0.2">
      <c r="A818" s="7" t="s">
        <v>2281</v>
      </c>
      <c r="B818" t="str">
        <f t="shared" si="134"/>
        <v>OZON IV кв. 2025</v>
      </c>
      <c r="C818">
        <v>2025</v>
      </c>
      <c r="D818">
        <f>SUMIFS(Дивиденды!$C:$C,Дивиденды!$A:$A,A818,Дивиденды!$I:$I,C818)</f>
        <v>143.55000000000001</v>
      </c>
      <c r="E818">
        <v>5</v>
      </c>
      <c r="F818">
        <f t="shared" si="135"/>
        <v>143.55000000000001</v>
      </c>
      <c r="G818">
        <f t="shared" si="136"/>
        <v>46.989999999999995</v>
      </c>
      <c r="H818">
        <f t="shared" si="137"/>
        <v>1</v>
      </c>
      <c r="I818">
        <f t="shared" si="144"/>
        <v>0.55555555555555558</v>
      </c>
      <c r="J818">
        <f t="shared" si="138"/>
        <v>1</v>
      </c>
      <c r="K818">
        <f t="shared" si="142"/>
        <v>8.2806993552871883E-2</v>
      </c>
      <c r="L818">
        <f t="shared" si="139"/>
        <v>1</v>
      </c>
      <c r="M818">
        <f t="shared" si="143"/>
        <v>0.33333333333333331</v>
      </c>
      <c r="N818">
        <f t="shared" si="140"/>
        <v>0</v>
      </c>
      <c r="O818">
        <f t="shared" si="141"/>
        <v>0.44444444444444442</v>
      </c>
      <c r="P818">
        <f>IFERROR(LN('Дивиденды по годам'!I818),"")</f>
        <v>27.988540303393403</v>
      </c>
      <c r="Q818">
        <f>IFERROR('Дивиденды по годам'!G818/'Дивиденды по годам'!I818, "")</f>
        <v>0.11101513661561445</v>
      </c>
      <c r="R818" t="str">
        <f>IFERROR(IF(AND('Дивиденды по годам'!N818&lt;&gt;"",'Дивиденды по годам'!U818&lt;&gt;"",'Дивиденды по годам'!U818&lt;&gt;0),'Дивиденды по годам'!N818/'Дивиденды по годам'!U818-1,""),"")</f>
        <v/>
      </c>
      <c r="S818">
        <f>IFERROR(IF(AND('Дивиденды по годам'!L818&lt;&gt;"",'Дивиденды по годам'!I818&lt;&gt;"",'Дивиденды по годам'!J818&lt;&gt;"",'Дивиденды по годам'!K818&lt;&gt;"",('Дивиденды по годам'!I818-'Дивиденды по годам'!J818-'Дивиденды по годам'!K818)&lt;&gt;0),'Дивиденды по годам'!L818/('Дивиденды по годам'!I818-'Дивиденды по годам'!J818-'Дивиденды по годам'!K818),""),"")</f>
        <v>2.0958249666455533</v>
      </c>
      <c r="T818" t="str">
        <f>IFERROR(IF(AND('Дивиденды по годам'!Q818&lt;&gt;"",'Дивиденды по годам'!I818&lt;&gt;"",'Дивиденды по годам'!V818&lt;&gt;"",('Дивиденды по годам'!I818+'Дивиденды по годам'!V818)&lt;&gt;0),'Дивиденды по годам'!Q818/(('Дивиденды по годам'!I818+'Дивиденды по годам'!V818)/2),""),"")</f>
        <v/>
      </c>
      <c r="U818">
        <f>IFERROR(IF(AND('Дивиденды по годам'!J818&lt;&gt;"",'Дивиденды по годам'!K818&lt;&gt;"",'Дивиденды по годам'!M818&lt;&gt;"",'Дивиденды по годам'!M818&lt;&gt;0),('Дивиденды по годам'!J818+'Дивиденды по годам'!K818)/'Дивиденды по годам'!M818,""),"")</f>
        <v>-10.634233117259409</v>
      </c>
      <c r="V818" cm="1">
        <f t="array" ref="V818">IFERROR(AVERAGE(_xlfn._xlws.FILTER(P$2:P$1073,($C$2:$C$1073=$C818)*($E$2:$E$1073=$E818)*(ROW(P$2:P$1073)&lt;&gt;ROW(P818))*(P$2:P$1073&lt;&gt;""))),"")</f>
        <v>25.367162548094672</v>
      </c>
      <c r="W818" cm="1">
        <f t="array" ref="W818">IFERROR(AVERAGE(_xlfn._xlws.FILTER(Q$2:Q$1073,($C$2:$C$1073=$C818)*($E$2:$E$1073=$E818)*(ROW(Q$2:Q$1073)&lt;&gt;ROW(Q818))*(Q$2:Q$1073&lt;&gt;""))),"")</f>
        <v>0.12747376216434689</v>
      </c>
      <c r="X818" cm="1">
        <f t="array" ref="X818">IFERROR(AVERAGE(_xlfn._xlws.FILTER(R$2:R$1073,($C$2:$C$1073=$C818)*($E$2:$E$1073=$E818)*(ROW(R$2:R$1073)&lt;&gt;ROW(R818))*(R$2:R$1073&lt;&gt;""))),"")</f>
        <v>0.14684434513855163</v>
      </c>
      <c r="Y818" cm="1">
        <f t="array" ref="Y818">IFERROR(AVERAGE(_xlfn._xlws.FILTER(S$2:S$1073,($C$2:$C$1073=$C818)*($E$2:$E$1073=$E818)*(ROW(S$2:S$1073)&lt;&gt;ROW(S818))*(S$2:S$1073&lt;&gt;""))),"")</f>
        <v>0.31032628829679765</v>
      </c>
      <c r="Z818" cm="1">
        <f t="array" ref="Z818">IFERROR(AVERAGE(_xlfn._xlws.FILTER(T$2:T$1073,($C$2:$C$1073=$C818)*($E$2:$E$1073=$E818)*(ROW(T$2:T$1073)&lt;&gt;ROW(T818))*(T$2:T$1073&lt;&gt;""))),"")</f>
        <v>0.19853029448574855</v>
      </c>
      <c r="AA818" cm="1">
        <f t="array" ref="AA818">IFERROR(AVERAGE(_xlfn._xlws.FILTER(U$2:U$1073,($C$2:$C$1073=$C818)*($E$2:$E$1073=$E818)*(ROW(U$2:U$1073)&lt;&gt;ROW(U818))*(U$2:U$1073&lt;&gt;""))),"")</f>
        <v>1.5957856196781355</v>
      </c>
    </row>
    <row r="819" spans="1:27" x14ac:dyDescent="0.2">
      <c r="A819" s="7" t="s">
        <v>2281</v>
      </c>
      <c r="B819" t="str">
        <f t="shared" si="134"/>
        <v>OZON IV кв. 2024</v>
      </c>
      <c r="C819">
        <v>2024</v>
      </c>
      <c r="D819">
        <f>SUMIFS(Дивиденды!$C:$C,Дивиденды!$A:$A,A819,Дивиденды!$I:$I,C819)</f>
        <v>0</v>
      </c>
      <c r="E819">
        <v>5</v>
      </c>
      <c r="F819">
        <f t="shared" si="135"/>
        <v>0</v>
      </c>
      <c r="G819">
        <f t="shared" si="136"/>
        <v>120.67777777777776</v>
      </c>
      <c r="H819">
        <f t="shared" si="137"/>
        <v>0</v>
      </c>
      <c r="I819">
        <f t="shared" si="144"/>
        <v>0.55555555555555558</v>
      </c>
      <c r="J819">
        <f t="shared" si="138"/>
        <v>0</v>
      </c>
      <c r="K819">
        <f t="shared" si="142"/>
        <v>0.33674983142279163</v>
      </c>
      <c r="L819">
        <f t="shared" si="139"/>
        <v>0</v>
      </c>
      <c r="M819">
        <f t="shared" si="143"/>
        <v>0.44444444444444442</v>
      </c>
      <c r="N819">
        <f t="shared" si="140"/>
        <v>0</v>
      </c>
      <c r="O819">
        <f t="shared" si="141"/>
        <v>0.1111111111111111</v>
      </c>
      <c r="P819" t="str">
        <f>IFERROR(LN('Дивиденды по годам'!I819),"")</f>
        <v/>
      </c>
      <c r="Q819" t="str">
        <f>IFERROR('Дивиденды по годам'!G819/'Дивиденды по годам'!I819, "")</f>
        <v/>
      </c>
      <c r="R819" t="str">
        <f>IFERROR(IF(AND('Дивиденды по годам'!N819&lt;&gt;"",'Дивиденды по годам'!U819&lt;&gt;"",'Дивиденды по годам'!U819&lt;&gt;0),'Дивиденды по годам'!N819/'Дивиденды по годам'!U819-1,""),"")</f>
        <v/>
      </c>
      <c r="S819" t="str">
        <f>IFERROR(IF(AND('Дивиденды по годам'!L819&lt;&gt;"",'Дивиденды по годам'!I819&lt;&gt;"",'Дивиденды по годам'!J819&lt;&gt;"",'Дивиденды по годам'!K819&lt;&gt;"",('Дивиденды по годам'!I819-'Дивиденды по годам'!J819-'Дивиденды по годам'!K819)&lt;&gt;0),'Дивиденды по годам'!L819/('Дивиденды по годам'!I819-'Дивиденды по годам'!J819-'Дивиденды по годам'!K819),""),"")</f>
        <v/>
      </c>
      <c r="T819" t="str">
        <f>IFERROR(IF(AND('Дивиденды по годам'!Q819&lt;&gt;"",'Дивиденды по годам'!I819&lt;&gt;"",'Дивиденды по годам'!V819&lt;&gt;"",('Дивиденды по годам'!I819+'Дивиденды по годам'!V819)&lt;&gt;0),'Дивиденды по годам'!Q819/(('Дивиденды по годам'!I819+'Дивиденды по годам'!V819)/2),""),"")</f>
        <v/>
      </c>
      <c r="U819" t="str">
        <f>IFERROR(IF(AND('Дивиденды по годам'!J819&lt;&gt;"",'Дивиденды по годам'!K819&lt;&gt;"",'Дивиденды по годам'!M819&lt;&gt;"",'Дивиденды по годам'!M819&lt;&gt;0),('Дивиденды по годам'!J819+'Дивиденды по годам'!K819)/'Дивиденды по годам'!M819,""),"")</f>
        <v/>
      </c>
      <c r="V819" cm="1">
        <f t="array" ref="V819">IFERROR(AVERAGE(_xlfn._xlws.FILTER(P$2:P$1073,($C$2:$C$1073=$C819)*($E$2:$E$1073=$E819)*(ROW(P$2:P$1073)&lt;&gt;ROW(P819))*(P$2:P$1073&lt;&gt;""))),"")</f>
        <v>24.670736828027955</v>
      </c>
      <c r="W819" cm="1">
        <f t="array" ref="W819">IFERROR(AVERAGE(_xlfn._xlws.FILTER(Q$2:Q$1073,($C$2:$C$1073=$C819)*($E$2:$E$1073=$E819)*(ROW(Q$2:Q$1073)&lt;&gt;ROW(Q819))*(Q$2:Q$1073&lt;&gt;""))),"")</f>
        <v>7.5788686693997576E-2</v>
      </c>
      <c r="X819" cm="1">
        <f t="array" ref="X819">IFERROR(AVERAGE(_xlfn._xlws.FILTER(R$2:R$1073,($C$2:$C$1073=$C819)*($E$2:$E$1073=$E819)*(ROW(R$2:R$1073)&lt;&gt;ROW(R819))*(R$2:R$1073&lt;&gt;""))),"")</f>
        <v>0.30210376364493607</v>
      </c>
      <c r="Y819" cm="1">
        <f t="array" ref="Y819">IFERROR(AVERAGE(_xlfn._xlws.FILTER(S$2:S$1073,($C$2:$C$1073=$C819)*($E$2:$E$1073=$E819)*(ROW(S$2:S$1073)&lt;&gt;ROW(S819))*(S$2:S$1073&lt;&gt;""))),"")</f>
        <v>0.26028027374140228</v>
      </c>
      <c r="Z819" cm="1">
        <f t="array" ref="Z819">IFERROR(AVERAGE(_xlfn._xlws.FILTER(T$2:T$1073,($C$2:$C$1073=$C819)*($E$2:$E$1073=$E819)*(ROW(T$2:T$1073)&lt;&gt;ROW(T819))*(T$2:T$1073&lt;&gt;""))),"")</f>
        <v>0.24769292645285018</v>
      </c>
      <c r="AA819" cm="1">
        <f t="array" ref="AA819">IFERROR(AVERAGE(_xlfn._xlws.FILTER(U$2:U$1073,($C$2:$C$1073=$C819)*($E$2:$E$1073=$E819)*(ROW(U$2:U$1073)&lt;&gt;ROW(U819))*(U$2:U$1073&lt;&gt;""))),"")</f>
        <v>2.6834736051870598</v>
      </c>
    </row>
    <row r="820" spans="1:27" x14ac:dyDescent="0.2">
      <c r="A820" s="7" t="s">
        <v>2281</v>
      </c>
      <c r="B820" t="str">
        <f t="shared" si="134"/>
        <v>OZON IV кв. 2023</v>
      </c>
      <c r="C820">
        <v>2023</v>
      </c>
      <c r="D820">
        <f>SUMIFS(Дивиденды!$C:$C,Дивиденды!$A:$A,A820,Дивиденды!$I:$I,C820)</f>
        <v>0</v>
      </c>
      <c r="E820">
        <v>5</v>
      </c>
      <c r="F820">
        <f t="shared" si="135"/>
        <v>0</v>
      </c>
      <c r="G820">
        <f t="shared" si="136"/>
        <v>16.477777777777778</v>
      </c>
      <c r="H820">
        <f t="shared" si="137"/>
        <v>0</v>
      </c>
      <c r="I820">
        <f t="shared" si="144"/>
        <v>0.1111111111111111</v>
      </c>
      <c r="J820">
        <f t="shared" si="138"/>
        <v>0</v>
      </c>
      <c r="K820">
        <f t="shared" si="142"/>
        <v>0.31688311688311693</v>
      </c>
      <c r="L820">
        <f t="shared" si="139"/>
        <v>0</v>
      </c>
      <c r="M820">
        <f t="shared" si="143"/>
        <v>0.1111111111111111</v>
      </c>
      <c r="N820">
        <f t="shared" si="140"/>
        <v>0</v>
      </c>
      <c r="O820">
        <f t="shared" si="141"/>
        <v>0</v>
      </c>
      <c r="P820" t="str">
        <f>IFERROR(LN('Дивиденды по годам'!I820),"")</f>
        <v/>
      </c>
      <c r="Q820" t="str">
        <f>IFERROR('Дивиденды по годам'!G820/'Дивиденды по годам'!I820, "")</f>
        <v/>
      </c>
      <c r="R820" t="str">
        <f>IFERROR(IF(AND('Дивиденды по годам'!N820&lt;&gt;"",'Дивиденды по годам'!U820&lt;&gt;"",'Дивиденды по годам'!U820&lt;&gt;0),'Дивиденды по годам'!N820/'Дивиденды по годам'!U820-1,""),"")</f>
        <v/>
      </c>
      <c r="S820" t="str">
        <f>IFERROR(IF(AND('Дивиденды по годам'!L820&lt;&gt;"",'Дивиденды по годам'!I820&lt;&gt;"",'Дивиденды по годам'!J820&lt;&gt;"",'Дивиденды по годам'!K820&lt;&gt;"",('Дивиденды по годам'!I820-'Дивиденды по годам'!J820-'Дивиденды по годам'!K820)&lt;&gt;0),'Дивиденды по годам'!L820/('Дивиденды по годам'!I820-'Дивиденды по годам'!J820-'Дивиденды по годам'!K820),""),"")</f>
        <v/>
      </c>
      <c r="T820" t="str">
        <f>IFERROR(IF(AND('Дивиденды по годам'!Q820&lt;&gt;"",'Дивиденды по годам'!I820&lt;&gt;"",'Дивиденды по годам'!V820&lt;&gt;"",('Дивиденды по годам'!I820+'Дивиденды по годам'!V820)&lt;&gt;0),'Дивиденды по годам'!Q820/(('Дивиденды по годам'!I820+'Дивиденды по годам'!V820)/2),""),"")</f>
        <v/>
      </c>
      <c r="U820" t="str">
        <f>IFERROR(IF(AND('Дивиденды по годам'!J820&lt;&gt;"",'Дивиденды по годам'!K820&lt;&gt;"",'Дивиденды по годам'!M820&lt;&gt;"",'Дивиденды по годам'!M820&lt;&gt;0),('Дивиденды по годам'!J820+'Дивиденды по годам'!K820)/'Дивиденды по годам'!M820,""),"")</f>
        <v/>
      </c>
      <c r="V820" cm="1">
        <f t="array" ref="V820">IFERROR(AVERAGE(_xlfn._xlws.FILTER(P$2:P$1073,($C$2:$C$1073=$C820)*($E$2:$E$1073=$E820)*(ROW(P$2:P$1073)&lt;&gt;ROW(P820))*(P$2:P$1073&lt;&gt;""))),"")</f>
        <v>24.053189256260914</v>
      </c>
      <c r="W820" cm="1">
        <f t="array" ref="W820">IFERROR(AVERAGE(_xlfn._xlws.FILTER(Q$2:Q$1073,($C$2:$C$1073=$C820)*($E$2:$E$1073=$E820)*(ROW(Q$2:Q$1073)&lt;&gt;ROW(Q820))*(Q$2:Q$1073&lt;&gt;""))),"")</f>
        <v>4.2305561504206342E-2</v>
      </c>
      <c r="X820" cm="1">
        <f t="array" ref="X820">IFERROR(AVERAGE(_xlfn._xlws.FILTER(R$2:R$1073,($C$2:$C$1073=$C820)*($E$2:$E$1073=$E820)*(ROW(R$2:R$1073)&lt;&gt;ROW(R820))*(R$2:R$1073&lt;&gt;""))),"")</f>
        <v>0.51000246586809928</v>
      </c>
      <c r="Y820" cm="1">
        <f t="array" ref="Y820">IFERROR(AVERAGE(_xlfn._xlws.FILTER(S$2:S$1073,($C$2:$C$1073=$C820)*($E$2:$E$1073=$E820)*(ROW(S$2:S$1073)&lt;&gt;ROW(S820))*(S$2:S$1073&lt;&gt;""))),"")</f>
        <v>0.68238439940553408</v>
      </c>
      <c r="Z820" cm="1">
        <f t="array" ref="Z820">IFERROR(AVERAGE(_xlfn._xlws.FILTER(T$2:T$1073,($C$2:$C$1073=$C820)*($E$2:$E$1073=$E820)*(ROW(T$2:T$1073)&lt;&gt;ROW(T820))*(T$2:T$1073&lt;&gt;""))),"")</f>
        <v>0.19460130713388882</v>
      </c>
      <c r="AA820" cm="1">
        <f t="array" ref="AA820">IFERROR(AVERAGE(_xlfn._xlws.FILTER(U$2:U$1073,($C$2:$C$1073=$C820)*($E$2:$E$1073=$E820)*(ROW(U$2:U$1073)&lt;&gt;ROW(U820))*(U$2:U$1073&lt;&gt;""))),"")</f>
        <v>2.0818262623637938</v>
      </c>
    </row>
    <row r="821" spans="1:27" x14ac:dyDescent="0.2">
      <c r="A821" s="7" t="s">
        <v>2281</v>
      </c>
      <c r="B821" t="str">
        <f t="shared" si="134"/>
        <v>OZON IV кв. 2022</v>
      </c>
      <c r="C821">
        <v>2022</v>
      </c>
      <c r="D821">
        <f>SUMIFS(Дивиденды!$C:$C,Дивиденды!$A:$A,A821,Дивиденды!$I:$I,C821)</f>
        <v>0</v>
      </c>
      <c r="E821">
        <v>5</v>
      </c>
      <c r="F821">
        <f t="shared" si="135"/>
        <v>0</v>
      </c>
      <c r="G821">
        <f t="shared" si="136"/>
        <v>4.2777777777777777</v>
      </c>
      <c r="H821">
        <f t="shared" si="137"/>
        <v>0</v>
      </c>
      <c r="I821">
        <f t="shared" si="144"/>
        <v>0.1111111111111111</v>
      </c>
      <c r="J821">
        <f t="shared" si="138"/>
        <v>0</v>
      </c>
      <c r="K821">
        <f t="shared" si="142"/>
        <v>0.1111111111111111</v>
      </c>
      <c r="L821">
        <f t="shared" si="139"/>
        <v>0</v>
      </c>
      <c r="M821">
        <f t="shared" si="143"/>
        <v>0.1111111111111111</v>
      </c>
      <c r="N821">
        <f t="shared" si="140"/>
        <v>0</v>
      </c>
      <c r="O821">
        <f t="shared" si="141"/>
        <v>0</v>
      </c>
      <c r="P821" t="str">
        <f>IFERROR(LN('Дивиденды по годам'!I821),"")</f>
        <v/>
      </c>
      <c r="Q821" t="str">
        <f>IFERROR('Дивиденды по годам'!G821/'Дивиденды по годам'!I821, "")</f>
        <v/>
      </c>
      <c r="R821" t="str">
        <f>IFERROR(IF(AND('Дивиденды по годам'!N821&lt;&gt;"",'Дивиденды по годам'!U821&lt;&gt;"",'Дивиденды по годам'!U821&lt;&gt;0),'Дивиденды по годам'!N821/'Дивиденды по годам'!U821-1,""),"")</f>
        <v/>
      </c>
      <c r="S821" t="str">
        <f>IFERROR(IF(AND('Дивиденды по годам'!L821&lt;&gt;"",'Дивиденды по годам'!I821&lt;&gt;"",'Дивиденды по годам'!J821&lt;&gt;"",'Дивиденды по годам'!K821&lt;&gt;"",('Дивиденды по годам'!I821-'Дивиденды по годам'!J821-'Дивиденды по годам'!K821)&lt;&gt;0),'Дивиденды по годам'!L821/('Дивиденды по годам'!I821-'Дивиденды по годам'!J821-'Дивиденды по годам'!K821),""),"")</f>
        <v/>
      </c>
      <c r="T821" t="str">
        <f>IFERROR(IF(AND('Дивиденды по годам'!Q821&lt;&gt;"",'Дивиденды по годам'!I821&lt;&gt;"",'Дивиденды по годам'!V821&lt;&gt;"",('Дивиденды по годам'!I821+'Дивиденды по годам'!V821)&lt;&gt;0),'Дивиденды по годам'!Q821/(('Дивиденды по годам'!I821+'Дивиденды по годам'!V821)/2),""),"")</f>
        <v/>
      </c>
      <c r="U821" t="str">
        <f>IFERROR(IF(AND('Дивиденды по годам'!J821&lt;&gt;"",'Дивиденды по годам'!K821&lt;&gt;"",'Дивиденды по годам'!M821&lt;&gt;"",'Дивиденды по годам'!M821&lt;&gt;0),('Дивиденды по годам'!J821+'Дивиденды по годам'!K821)/'Дивиденды по годам'!M821,""),"")</f>
        <v/>
      </c>
      <c r="V821" cm="1">
        <f t="array" ref="V821">IFERROR(AVERAGE(_xlfn._xlws.FILTER(P$2:P$1073,($C$2:$C$1073=$C821)*($E$2:$E$1073=$E821)*(ROW(P$2:P$1073)&lt;&gt;ROW(P821))*(P$2:P$1073&lt;&gt;""))),"")</f>
        <v>24.314048251831842</v>
      </c>
      <c r="W821" cm="1">
        <f t="array" ref="W821">IFERROR(AVERAGE(_xlfn._xlws.FILTER(Q$2:Q$1073,($C$2:$C$1073=$C821)*($E$2:$E$1073=$E821)*(ROW(Q$2:Q$1073)&lt;&gt;ROW(Q821))*(Q$2:Q$1073&lt;&gt;""))),"")</f>
        <v>5.676674770458788E-2</v>
      </c>
      <c r="X821" cm="1">
        <f t="array" ref="X821">IFERROR(AVERAGE(_xlfn._xlws.FILTER(R$2:R$1073,($C$2:$C$1073=$C821)*($E$2:$E$1073=$E821)*(ROW(R$2:R$1073)&lt;&gt;ROW(R821))*(R$2:R$1073&lt;&gt;""))),"")</f>
        <v>0.76359932885509174</v>
      </c>
      <c r="Y821" cm="1">
        <f t="array" ref="Y821">IFERROR(AVERAGE(_xlfn._xlws.FILTER(S$2:S$1073,($C$2:$C$1073=$C821)*($E$2:$E$1073=$E821)*(ROW(S$2:S$1073)&lt;&gt;ROW(S821))*(S$2:S$1073&lt;&gt;""))),"")</f>
        <v>0.79975694618495274</v>
      </c>
      <c r="Z821" cm="1">
        <f t="array" ref="Z821">IFERROR(AVERAGE(_xlfn._xlws.FILTER(T$2:T$1073,($C$2:$C$1073=$C821)*($E$2:$E$1073=$E821)*(ROW(T$2:T$1073)&lt;&gt;ROW(T821))*(T$2:T$1073&lt;&gt;""))),"")</f>
        <v>0.45424211382955332</v>
      </c>
      <c r="AA821" cm="1">
        <f t="array" ref="AA821">IFERROR(AVERAGE(_xlfn._xlws.FILTER(U$2:U$1073,($C$2:$C$1073=$C821)*($E$2:$E$1073=$E821)*(ROW(U$2:U$1073)&lt;&gt;ROW(U821))*(U$2:U$1073&lt;&gt;""))),"")</f>
        <v>2.2504855284750676</v>
      </c>
    </row>
    <row r="822" spans="1:27" x14ac:dyDescent="0.2">
      <c r="A822" s="7" t="s">
        <v>2281</v>
      </c>
      <c r="B822" t="str">
        <f t="shared" si="134"/>
        <v>OZON IV кв. 2021</v>
      </c>
      <c r="C822">
        <v>2021</v>
      </c>
      <c r="D822">
        <f>SUMIFS(Дивиденды!$C:$C,Дивиденды!$A:$A,A822,Дивиденды!$I:$I,C822)</f>
        <v>0</v>
      </c>
      <c r="E822">
        <v>5</v>
      </c>
      <c r="F822">
        <f t="shared" si="135"/>
        <v>0</v>
      </c>
      <c r="G822">
        <f t="shared" si="136"/>
        <v>0</v>
      </c>
      <c r="H822">
        <f t="shared" si="137"/>
        <v>0</v>
      </c>
      <c r="I822">
        <f t="shared" si="144"/>
        <v>0</v>
      </c>
      <c r="J822">
        <f t="shared" si="138"/>
        <v>0</v>
      </c>
      <c r="K822">
        <f t="shared" si="142"/>
        <v>0</v>
      </c>
      <c r="L822">
        <f t="shared" si="139"/>
        <v>0</v>
      </c>
      <c r="M822">
        <f t="shared" si="143"/>
        <v>0</v>
      </c>
      <c r="N822">
        <f t="shared" si="140"/>
        <v>0</v>
      </c>
      <c r="O822">
        <f t="shared" si="141"/>
        <v>0</v>
      </c>
      <c r="P822" t="str">
        <f>IFERROR(LN('Дивиденды по годам'!I822),"")</f>
        <v/>
      </c>
      <c r="Q822" t="str">
        <f>IFERROR('Дивиденды по годам'!G822/'Дивиденды по годам'!I822, "")</f>
        <v/>
      </c>
      <c r="R822" t="str">
        <f>IFERROR(IF(AND('Дивиденды по годам'!N822&lt;&gt;"",'Дивиденды по годам'!U822&lt;&gt;"",'Дивиденды по годам'!U822&lt;&gt;0),'Дивиденды по годам'!N822/'Дивиденды по годам'!U822-1,""),"")</f>
        <v/>
      </c>
      <c r="S822" t="str">
        <f>IFERROR(IF(AND('Дивиденды по годам'!L822&lt;&gt;"",'Дивиденды по годам'!I822&lt;&gt;"",'Дивиденды по годам'!J822&lt;&gt;"",'Дивиденды по годам'!K822&lt;&gt;"",('Дивиденды по годам'!I822-'Дивиденды по годам'!J822-'Дивиденды по годам'!K822)&lt;&gt;0),'Дивиденды по годам'!L822/('Дивиденды по годам'!I822-'Дивиденды по годам'!J822-'Дивиденды по годам'!K822),""),"")</f>
        <v/>
      </c>
      <c r="T822" t="str">
        <f>IFERROR(IF(AND('Дивиденды по годам'!Q822&lt;&gt;"",'Дивиденды по годам'!I822&lt;&gt;"",'Дивиденды по годам'!V822&lt;&gt;"",('Дивиденды по годам'!I822+'Дивиденды по годам'!V822)&lt;&gt;0),'Дивиденды по годам'!Q822/(('Дивиденды по годам'!I822+'Дивиденды по годам'!V822)/2),""),"")</f>
        <v/>
      </c>
      <c r="U822" t="str">
        <f>IFERROR(IF(AND('Дивиденды по годам'!J822&lt;&gt;"",'Дивиденды по годам'!K822&lt;&gt;"",'Дивиденды по годам'!M822&lt;&gt;"",'Дивиденды по годам'!M822&lt;&gt;0),('Дивиденды по годам'!J822+'Дивиденды по годам'!K822)/'Дивиденды по годам'!M822,""),"")</f>
        <v/>
      </c>
      <c r="V822" cm="1">
        <f t="array" ref="V822">IFERROR(AVERAGE(_xlfn._xlws.FILTER(P$2:P$1073,($C$2:$C$1073=$C822)*($E$2:$E$1073=$E822)*(ROW(P$2:P$1073)&lt;&gt;ROW(P822))*(P$2:P$1073&lt;&gt;""))),"")</f>
        <v>22.898661389674704</v>
      </c>
      <c r="W822" cm="1">
        <f t="array" ref="W822">IFERROR(AVERAGE(_xlfn._xlws.FILTER(Q$2:Q$1073,($C$2:$C$1073=$C822)*($E$2:$E$1073=$E822)*(ROW(Q$2:Q$1073)&lt;&gt;ROW(Q822))*(Q$2:Q$1073&lt;&gt;""))),"")</f>
        <v>3.9787618039471354E-2</v>
      </c>
      <c r="X822" cm="1">
        <f t="array" ref="X822">IFERROR(AVERAGE(_xlfn._xlws.FILTER(R$2:R$1073,($C$2:$C$1073=$C822)*($E$2:$E$1073=$E822)*(ROW(R$2:R$1073)&lt;&gt;ROW(R822))*(R$2:R$1073&lt;&gt;""))),"")</f>
        <v>0.11948949117953805</v>
      </c>
      <c r="Y822" cm="1">
        <f t="array" ref="Y822">IFERROR(AVERAGE(_xlfn._xlws.FILTER(S$2:S$1073,($C$2:$C$1073=$C822)*($E$2:$E$1073=$E822)*(ROW(S$2:S$1073)&lt;&gt;ROW(S822))*(S$2:S$1073&lt;&gt;""))),"")</f>
        <v>0.6223989622093683</v>
      </c>
      <c r="Z822" cm="1">
        <f t="array" ref="Z822">IFERROR(AVERAGE(_xlfn._xlws.FILTER(T$2:T$1073,($C$2:$C$1073=$C822)*($E$2:$E$1073=$E822)*(ROW(T$2:T$1073)&lt;&gt;ROW(T822))*(T$2:T$1073&lt;&gt;""))),"")</f>
        <v>0.13483969312290014</v>
      </c>
      <c r="AA822" cm="1">
        <f t="array" ref="AA822">IFERROR(AVERAGE(_xlfn._xlws.FILTER(U$2:U$1073,($C$2:$C$1073=$C822)*($E$2:$E$1073=$E822)*(ROW(U$2:U$1073)&lt;&gt;ROW(U822))*(U$2:U$1073&lt;&gt;""))),"")</f>
        <v>12.032255744832293</v>
      </c>
    </row>
    <row r="823" spans="1:27" x14ac:dyDescent="0.2">
      <c r="A823" s="7" t="s">
        <v>2281</v>
      </c>
      <c r="B823" t="str">
        <f t="shared" si="134"/>
        <v>OZON IV кв. 2020</v>
      </c>
      <c r="C823">
        <v>2020</v>
      </c>
      <c r="D823">
        <f>SUMIFS(Дивиденды!$C:$C,Дивиденды!$A:$A,A823,Дивиденды!$I:$I,C823)</f>
        <v>0</v>
      </c>
      <c r="E823">
        <v>5</v>
      </c>
      <c r="F823">
        <f t="shared" si="135"/>
        <v>0</v>
      </c>
      <c r="G823">
        <f t="shared" si="136"/>
        <v>0</v>
      </c>
      <c r="H823">
        <f t="shared" si="137"/>
        <v>0</v>
      </c>
      <c r="I823">
        <f t="shared" si="144"/>
        <v>0</v>
      </c>
      <c r="J823">
        <f t="shared" si="138"/>
        <v>0</v>
      </c>
      <c r="K823">
        <f t="shared" si="142"/>
        <v>0</v>
      </c>
      <c r="L823">
        <f t="shared" si="139"/>
        <v>0</v>
      </c>
      <c r="M823">
        <f t="shared" si="143"/>
        <v>0</v>
      </c>
      <c r="N823">
        <f t="shared" si="140"/>
        <v>0</v>
      </c>
      <c r="O823">
        <f t="shared" si="141"/>
        <v>0</v>
      </c>
      <c r="P823" t="str">
        <f>IFERROR(LN('Дивиденды по годам'!I823),"")</f>
        <v/>
      </c>
      <c r="Q823" t="str">
        <f>IFERROR('Дивиденды по годам'!G823/'Дивиденды по годам'!I823, "")</f>
        <v/>
      </c>
      <c r="R823" t="str">
        <f>IFERROR(IF(AND('Дивиденды по годам'!N823&lt;&gt;"",'Дивиденды по годам'!U823&lt;&gt;"",'Дивиденды по годам'!U823&lt;&gt;0),'Дивиденды по годам'!N823/'Дивиденды по годам'!U823-1,""),"")</f>
        <v/>
      </c>
      <c r="S823" t="str">
        <f>IFERROR(IF(AND('Дивиденды по годам'!L823&lt;&gt;"",'Дивиденды по годам'!I823&lt;&gt;"",'Дивиденды по годам'!J823&lt;&gt;"",'Дивиденды по годам'!K823&lt;&gt;"",('Дивиденды по годам'!I823-'Дивиденды по годам'!J823-'Дивиденды по годам'!K823)&lt;&gt;0),'Дивиденды по годам'!L823/('Дивиденды по годам'!I823-'Дивиденды по годам'!J823-'Дивиденды по годам'!K823),""),"")</f>
        <v/>
      </c>
      <c r="T823" t="str">
        <f>IFERROR(IF(AND('Дивиденды по годам'!Q823&lt;&gt;"",'Дивиденды по годам'!I823&lt;&gt;"",'Дивиденды по годам'!V823&lt;&gt;"",('Дивиденды по годам'!I823+'Дивиденды по годам'!V823)&lt;&gt;0),'Дивиденды по годам'!Q823/(('Дивиденды по годам'!I823+'Дивиденды по годам'!V823)/2),""),"")</f>
        <v/>
      </c>
      <c r="U823" t="str">
        <f>IFERROR(IF(AND('Дивиденды по годам'!J823&lt;&gt;"",'Дивиденды по годам'!K823&lt;&gt;"",'Дивиденды по годам'!M823&lt;&gt;"",'Дивиденды по годам'!M823&lt;&gt;0),('Дивиденды по годам'!J823+'Дивиденды по годам'!K823)/'Дивиденды по годам'!M823,""),"")</f>
        <v/>
      </c>
      <c r="V823" cm="1">
        <f t="array" ref="V823">IFERROR(AVERAGE(_xlfn._xlws.FILTER(P$2:P$1073,($C$2:$C$1073=$C823)*($E$2:$E$1073=$E823)*(ROW(P$2:P$1073)&lt;&gt;ROW(P823))*(P$2:P$1073&lt;&gt;""))),"")</f>
        <v>23.399390394292269</v>
      </c>
      <c r="W823" cm="1">
        <f t="array" ref="W823">IFERROR(AVERAGE(_xlfn._xlws.FILTER(Q$2:Q$1073,($C$2:$C$1073=$C823)*($E$2:$E$1073=$E823)*(ROW(Q$2:Q$1073)&lt;&gt;ROW(Q823))*(Q$2:Q$1073&lt;&gt;""))),"")</f>
        <v>3.3954846784790244E-2</v>
      </c>
      <c r="X823" cm="1">
        <f t="array" ref="X823">IFERROR(AVERAGE(_xlfn._xlws.FILTER(R$2:R$1073,($C$2:$C$1073=$C823)*($E$2:$E$1073=$E823)*(ROW(R$2:R$1073)&lt;&gt;ROW(R823))*(R$2:R$1073&lt;&gt;""))),"")</f>
        <v>0.60261811450317082</v>
      </c>
      <c r="Y823" cm="1">
        <f t="array" ref="Y823">IFERROR(AVERAGE(_xlfn._xlws.FILTER(S$2:S$1073,($C$2:$C$1073=$C823)*($E$2:$E$1073=$E823)*(ROW(S$2:S$1073)&lt;&gt;ROW(S823))*(S$2:S$1073&lt;&gt;""))),"")</f>
        <v>0.8757408540128081</v>
      </c>
      <c r="Z823" cm="1">
        <f t="array" ref="Z823">IFERROR(AVERAGE(_xlfn._xlws.FILTER(T$2:T$1073,($C$2:$C$1073=$C823)*($E$2:$E$1073=$E823)*(ROW(T$2:T$1073)&lt;&gt;ROW(T823))*(T$2:T$1073&lt;&gt;""))),"")</f>
        <v>0.26070423168654877</v>
      </c>
      <c r="AA823" cm="1">
        <f t="array" ref="AA823">IFERROR(AVERAGE(_xlfn._xlws.FILTER(U$2:U$1073,($C$2:$C$1073=$C823)*($E$2:$E$1073=$E823)*(ROW(U$2:U$1073)&lt;&gt;ROW(U823))*(U$2:U$1073&lt;&gt;""))),"")</f>
        <v>3.9797585422227604</v>
      </c>
    </row>
    <row r="824" spans="1:27" x14ac:dyDescent="0.2">
      <c r="A824" s="7" t="s">
        <v>2281</v>
      </c>
      <c r="B824" t="str">
        <f t="shared" si="134"/>
        <v>OZON IV кв. 2019</v>
      </c>
      <c r="C824">
        <v>2019</v>
      </c>
      <c r="D824">
        <f>SUMIFS(Дивиденды!$C:$C,Дивиденды!$A:$A,A824,Дивиденды!$I:$I,C824)</f>
        <v>0</v>
      </c>
      <c r="E824">
        <v>5</v>
      </c>
      <c r="F824">
        <f t="shared" si="135"/>
        <v>0</v>
      </c>
      <c r="G824">
        <f t="shared" si="136"/>
        <v>0</v>
      </c>
      <c r="H824">
        <f t="shared" si="137"/>
        <v>0</v>
      </c>
      <c r="I824">
        <f t="shared" si="144"/>
        <v>0</v>
      </c>
      <c r="J824">
        <f t="shared" si="138"/>
        <v>0</v>
      </c>
      <c r="K824">
        <f t="shared" si="142"/>
        <v>0</v>
      </c>
      <c r="L824">
        <f t="shared" si="139"/>
        <v>0</v>
      </c>
      <c r="M824">
        <f t="shared" si="143"/>
        <v>0</v>
      </c>
      <c r="N824">
        <f t="shared" si="140"/>
        <v>0</v>
      </c>
      <c r="O824">
        <f t="shared" si="141"/>
        <v>0</v>
      </c>
      <c r="P824" t="str">
        <f>IFERROR(LN('Дивиденды по годам'!I824),"")</f>
        <v/>
      </c>
      <c r="Q824" t="str">
        <f>IFERROR('Дивиденды по годам'!G824/'Дивиденды по годам'!I824, "")</f>
        <v/>
      </c>
      <c r="R824" t="str">
        <f>IFERROR(IF(AND('Дивиденды по годам'!N824&lt;&gt;"",'Дивиденды по годам'!U824&lt;&gt;"",'Дивиденды по годам'!U824&lt;&gt;0),'Дивиденды по годам'!N824/'Дивиденды по годам'!U824-1,""),"")</f>
        <v/>
      </c>
      <c r="S824" t="str">
        <f>IFERROR(IF(AND('Дивиденды по годам'!L824&lt;&gt;"",'Дивиденды по годам'!I824&lt;&gt;"",'Дивиденды по годам'!J824&lt;&gt;"",'Дивиденды по годам'!K824&lt;&gt;"",('Дивиденды по годам'!I824-'Дивиденды по годам'!J824-'Дивиденды по годам'!K824)&lt;&gt;0),'Дивиденды по годам'!L824/('Дивиденды по годам'!I824-'Дивиденды по годам'!J824-'Дивиденды по годам'!K824),""),"")</f>
        <v/>
      </c>
      <c r="T824" t="str">
        <f>IFERROR(IF(AND('Дивиденды по годам'!Q824&lt;&gt;"",'Дивиденды по годам'!I824&lt;&gt;"",'Дивиденды по годам'!V824&lt;&gt;"",('Дивиденды по годам'!I824+'Дивиденды по годам'!V824)&lt;&gt;0),'Дивиденды по годам'!Q824/(('Дивиденды по годам'!I824+'Дивиденды по годам'!V824)/2),""),"")</f>
        <v/>
      </c>
      <c r="U824" t="str">
        <f>IFERROR(IF(AND('Дивиденды по годам'!J824&lt;&gt;"",'Дивиденды по годам'!K824&lt;&gt;"",'Дивиденды по годам'!M824&lt;&gt;"",'Дивиденды по годам'!M824&lt;&gt;0),('Дивиденды по годам'!J824+'Дивиденды по годам'!K824)/'Дивиденды по годам'!M824,""),"")</f>
        <v/>
      </c>
      <c r="V824" cm="1">
        <f t="array" ref="V824">IFERROR(AVERAGE(_xlfn._xlws.FILTER(P$2:P$1073,($C$2:$C$1073=$C824)*($E$2:$E$1073=$E824)*(ROW(P$2:P$1073)&lt;&gt;ROW(P824))*(P$2:P$1073&lt;&gt;""))),"")</f>
        <v>22.346825762693463</v>
      </c>
      <c r="W824" cm="1">
        <f t="array" ref="W824">IFERROR(AVERAGE(_xlfn._xlws.FILTER(Q$2:Q$1073,($C$2:$C$1073=$C824)*($E$2:$E$1073=$E824)*(ROW(Q$2:Q$1073)&lt;&gt;ROW(Q824))*(Q$2:Q$1073&lt;&gt;""))),"")</f>
        <v>7.5056136613850494E-2</v>
      </c>
      <c r="X824" cm="1">
        <f t="array" ref="X824">IFERROR(AVERAGE(_xlfn._xlws.FILTER(R$2:R$1073,($C$2:$C$1073=$C824)*($E$2:$E$1073=$E824)*(ROW(R$2:R$1073)&lt;&gt;ROW(R824))*(R$2:R$1073&lt;&gt;""))),"")</f>
        <v>0.33893563509351354</v>
      </c>
      <c r="Y824" cm="1">
        <f t="array" ref="Y824">IFERROR(AVERAGE(_xlfn._xlws.FILTER(S$2:S$1073,($C$2:$C$1073=$C824)*($E$2:$E$1073=$E824)*(ROW(S$2:S$1073)&lt;&gt;ROW(S824))*(S$2:S$1073&lt;&gt;""))),"")</f>
        <v>0.96665544321096464</v>
      </c>
      <c r="Z824" cm="1">
        <f t="array" ref="Z824">IFERROR(AVERAGE(_xlfn._xlws.FILTER(T$2:T$1073,($C$2:$C$1073=$C824)*($E$2:$E$1073=$E824)*(ROW(T$2:T$1073)&lt;&gt;ROW(T824))*(T$2:T$1073&lt;&gt;""))),"")</f>
        <v>3.4488878181792075E-2</v>
      </c>
      <c r="AA824" cm="1">
        <f t="array" ref="AA824">IFERROR(AVERAGE(_xlfn._xlws.FILTER(U$2:U$1073,($C$2:$C$1073=$C824)*($E$2:$E$1073=$E824)*(ROW(U$2:U$1073)&lt;&gt;ROW(U824))*(U$2:U$1073&lt;&gt;""))),"")</f>
        <v>4.0219461472187286</v>
      </c>
    </row>
    <row r="825" spans="1:27" x14ac:dyDescent="0.2">
      <c r="A825" s="7" t="s">
        <v>2281</v>
      </c>
      <c r="B825" t="str">
        <f t="shared" si="134"/>
        <v>OZON IV кв. 2018</v>
      </c>
      <c r="C825">
        <v>2018</v>
      </c>
      <c r="D825">
        <f>SUMIFS(Дивиденды!$C:$C,Дивиденды!$A:$A,A825,Дивиденды!$I:$I,C825)</f>
        <v>0</v>
      </c>
      <c r="E825">
        <v>5</v>
      </c>
      <c r="F825">
        <f t="shared" si="135"/>
        <v>0</v>
      </c>
      <c r="G825">
        <f t="shared" si="136"/>
        <v>0</v>
      </c>
      <c r="H825">
        <f t="shared" si="137"/>
        <v>0</v>
      </c>
      <c r="I825">
        <f t="shared" si="144"/>
        <v>0</v>
      </c>
      <c r="J825">
        <f t="shared" si="138"/>
        <v>0</v>
      </c>
      <c r="K825">
        <f t="shared" si="142"/>
        <v>0</v>
      </c>
      <c r="L825">
        <f t="shared" si="139"/>
        <v>0</v>
      </c>
      <c r="M825">
        <f t="shared" si="143"/>
        <v>0</v>
      </c>
      <c r="N825">
        <f t="shared" si="140"/>
        <v>0</v>
      </c>
      <c r="O825">
        <f t="shared" si="141"/>
        <v>0</v>
      </c>
      <c r="P825" t="str">
        <f>IFERROR(LN('Дивиденды по годам'!I825),"")</f>
        <v/>
      </c>
      <c r="Q825" t="str">
        <f>IFERROR('Дивиденды по годам'!G825/'Дивиденды по годам'!I825, "")</f>
        <v/>
      </c>
      <c r="R825" t="str">
        <f>IFERROR(IF(AND('Дивиденды по годам'!N825&lt;&gt;"",'Дивиденды по годам'!U825&lt;&gt;"",'Дивиденды по годам'!U825&lt;&gt;0),'Дивиденды по годам'!N825/'Дивиденды по годам'!U825-1,""),"")</f>
        <v/>
      </c>
      <c r="S825" t="str">
        <f>IFERROR(IF(AND('Дивиденды по годам'!L825&lt;&gt;"",'Дивиденды по годам'!I825&lt;&gt;"",'Дивиденды по годам'!J825&lt;&gt;"",'Дивиденды по годам'!K825&lt;&gt;"",('Дивиденды по годам'!I825-'Дивиденды по годам'!J825-'Дивиденды по годам'!K825)&lt;&gt;0),'Дивиденды по годам'!L825/('Дивиденды по годам'!I825-'Дивиденды по годам'!J825-'Дивиденды по годам'!K825),""),"")</f>
        <v/>
      </c>
      <c r="T825" t="str">
        <f>IFERROR(IF(AND('Дивиденды по годам'!Q825&lt;&gt;"",'Дивиденды по годам'!I825&lt;&gt;"",'Дивиденды по годам'!V825&lt;&gt;"",('Дивиденды по годам'!I825+'Дивиденды по годам'!V825)&lt;&gt;0),'Дивиденды по годам'!Q825/(('Дивиденды по годам'!I825+'Дивиденды по годам'!V825)/2),""),"")</f>
        <v/>
      </c>
      <c r="U825" t="str">
        <f>IFERROR(IF(AND('Дивиденды по годам'!J825&lt;&gt;"",'Дивиденды по годам'!K825&lt;&gt;"",'Дивиденды по годам'!M825&lt;&gt;"",'Дивиденды по годам'!M825&lt;&gt;0),('Дивиденды по годам'!J825+'Дивиденды по годам'!K825)/'Дивиденды по годам'!M825,""),"")</f>
        <v/>
      </c>
      <c r="V825" cm="1">
        <f t="array" ref="V825">IFERROR(AVERAGE(_xlfn._xlws.FILTER(P$2:P$1073,($C$2:$C$1073=$C825)*($E$2:$E$1073=$E825)*(ROW(P$2:P$1073)&lt;&gt;ROW(P825))*(P$2:P$1073&lt;&gt;""))),"")</f>
        <v>22.172578892977874</v>
      </c>
      <c r="W825" cm="1">
        <f t="array" ref="W825">IFERROR(AVERAGE(_xlfn._xlws.FILTER(Q$2:Q$1073,($C$2:$C$1073=$C825)*($E$2:$E$1073=$E825)*(ROW(Q$2:Q$1073)&lt;&gt;ROW(Q825))*(Q$2:Q$1073&lt;&gt;""))),"")</f>
        <v>8.054458642308425E-2</v>
      </c>
      <c r="X825" t="str" cm="1">
        <f t="array" ref="X825">IFERROR(AVERAGE(_xlfn._xlws.FILTER(R$2:R$1073,($C$2:$C$1073=$C825)*($E$2:$E$1073=$E825)*(ROW(R$2:R$1073)&lt;&gt;ROW(R825))*(R$2:R$1073&lt;&gt;""))),"")</f>
        <v/>
      </c>
      <c r="Y825" cm="1">
        <f t="array" ref="Y825">IFERROR(AVERAGE(_xlfn._xlws.FILTER(S$2:S$1073,($C$2:$C$1073=$C825)*($E$2:$E$1073=$E825)*(ROW(S$2:S$1073)&lt;&gt;ROW(S825))*(S$2:S$1073&lt;&gt;""))),"")</f>
        <v>0.96159636867391751</v>
      </c>
      <c r="Z825" t="str" cm="1">
        <f t="array" ref="Z825">IFERROR(AVERAGE(_xlfn._xlws.FILTER(T$2:T$1073,($C$2:$C$1073=$C825)*($E$2:$E$1073=$E825)*(ROW(T$2:T$1073)&lt;&gt;ROW(T825))*(T$2:T$1073&lt;&gt;""))),"")</f>
        <v/>
      </c>
      <c r="AA825" cm="1">
        <f t="array" ref="AA825">IFERROR(AVERAGE(_xlfn._xlws.FILTER(U$2:U$1073,($C$2:$C$1073=$C825)*($E$2:$E$1073=$E825)*(ROW(U$2:U$1073)&lt;&gt;ROW(U825))*(U$2:U$1073&lt;&gt;""))),"")</f>
        <v>4.0227688861378841</v>
      </c>
    </row>
    <row r="826" spans="1:27" x14ac:dyDescent="0.2">
      <c r="A826" s="7" t="s">
        <v>2281</v>
      </c>
      <c r="B826" t="str">
        <f t="shared" si="134"/>
        <v>OZON IV кв. 2017</v>
      </c>
      <c r="C826">
        <v>2017</v>
      </c>
      <c r="D826">
        <f>SUMIFS(Дивиденды!$C:$C,Дивиденды!$A:$A,A826,Дивиденды!$I:$I,C826)</f>
        <v>0</v>
      </c>
      <c r="E826">
        <v>5</v>
      </c>
      <c r="F826">
        <f t="shared" si="135"/>
        <v>0</v>
      </c>
      <c r="G826">
        <f t="shared" si="136"/>
        <v>0</v>
      </c>
      <c r="H826">
        <f t="shared" si="137"/>
        <v>0</v>
      </c>
      <c r="I826">
        <f t="shared" si="144"/>
        <v>0</v>
      </c>
      <c r="J826">
        <f t="shared" si="138"/>
        <v>0</v>
      </c>
      <c r="K826">
        <f t="shared" si="142"/>
        <v>0</v>
      </c>
      <c r="L826">
        <f t="shared" si="139"/>
        <v>0</v>
      </c>
      <c r="M826">
        <f t="shared" si="143"/>
        <v>0</v>
      </c>
      <c r="N826">
        <f t="shared" si="140"/>
        <v>0</v>
      </c>
      <c r="O826">
        <f t="shared" si="141"/>
        <v>0</v>
      </c>
      <c r="P826" t="str">
        <f>IFERROR(LN('Дивиденды по годам'!I826),"")</f>
        <v/>
      </c>
      <c r="Q826" t="str">
        <f>IFERROR('Дивиденды по годам'!G826/'Дивиденды по годам'!I826, "")</f>
        <v/>
      </c>
      <c r="R826" t="str">
        <f>IFERROR(IF(AND('Дивиденды по годам'!N826&lt;&gt;"",'Дивиденды по годам'!U826&lt;&gt;"",'Дивиденды по годам'!U826&lt;&gt;0),'Дивиденды по годам'!N826/'Дивиденды по годам'!U826-1,""),"")</f>
        <v/>
      </c>
      <c r="S826" t="str">
        <f>IFERROR(IF(AND('Дивиденды по годам'!L826&lt;&gt;"",'Дивиденды по годам'!I826&lt;&gt;"",'Дивиденды по годам'!J826&lt;&gt;"",'Дивиденды по годам'!K826&lt;&gt;"",('Дивиденды по годам'!I826-'Дивиденды по годам'!J826-'Дивиденды по годам'!K826)&lt;&gt;0),'Дивиденды по годам'!L826/('Дивиденды по годам'!I826-'Дивиденды по годам'!J826-'Дивиденды по годам'!K826),""),"")</f>
        <v/>
      </c>
      <c r="T826" t="str">
        <f>IFERROR(IF(AND('Дивиденды по годам'!Q826&lt;&gt;"",'Дивиденды по годам'!I826&lt;&gt;"",'Дивиденды по годам'!V826&lt;&gt;"",('Дивиденды по годам'!I826+'Дивиденды по годам'!V826)&lt;&gt;0),'Дивиденды по годам'!Q826/(('Дивиденды по годам'!I826+'Дивиденды по годам'!V826)/2),""),"")</f>
        <v/>
      </c>
      <c r="U826" t="str">
        <f>IFERROR(IF(AND('Дивиденды по годам'!J826&lt;&gt;"",'Дивиденды по годам'!K826&lt;&gt;"",'Дивиденды по годам'!M826&lt;&gt;"",'Дивиденды по годам'!M826&lt;&gt;0),('Дивиденды по годам'!J826+'Дивиденды по годам'!K826)/'Дивиденды по годам'!M826,""),"")</f>
        <v/>
      </c>
      <c r="V826" t="str" cm="1">
        <f t="array" ref="V826">IFERROR(AVERAGE(_xlfn._xlws.FILTER(P$2:P$1073,($C$2:$C$1073=$C826)*($E$2:$E$1073=$E826)*(ROW(P$2:P$1073)&lt;&gt;ROW(P826))*(P$2:P$1073&lt;&gt;""))),"")</f>
        <v/>
      </c>
      <c r="W826" t="str" cm="1">
        <f t="array" ref="W826">IFERROR(AVERAGE(_xlfn._xlws.FILTER(Q$2:Q$1073,($C$2:$C$1073=$C826)*($E$2:$E$1073=$E826)*(ROW(Q$2:Q$1073)&lt;&gt;ROW(Q826))*(Q$2:Q$1073&lt;&gt;""))),"")</f>
        <v/>
      </c>
      <c r="X826" t="str" cm="1">
        <f t="array" ref="X826">IFERROR(AVERAGE(_xlfn._xlws.FILTER(R$2:R$1073,($C$2:$C$1073=$C826)*($E$2:$E$1073=$E826)*(ROW(R$2:R$1073)&lt;&gt;ROW(R826))*(R$2:R$1073&lt;&gt;""))),"")</f>
        <v/>
      </c>
      <c r="Y826" t="str" cm="1">
        <f t="array" ref="Y826">IFERROR(AVERAGE(_xlfn._xlws.FILTER(S$2:S$1073,($C$2:$C$1073=$C826)*($E$2:$E$1073=$E826)*(ROW(S$2:S$1073)&lt;&gt;ROW(S826))*(S$2:S$1073&lt;&gt;""))),"")</f>
        <v/>
      </c>
      <c r="Z826" t="str" cm="1">
        <f t="array" ref="Z826">IFERROR(AVERAGE(_xlfn._xlws.FILTER(T$2:T$1073,($C$2:$C$1073=$C826)*($E$2:$E$1073=$E826)*(ROW(T$2:T$1073)&lt;&gt;ROW(T826))*(T$2:T$1073&lt;&gt;""))),"")</f>
        <v/>
      </c>
      <c r="AA826" t="str" cm="1">
        <f t="array" ref="AA826">IFERROR(AVERAGE(_xlfn._xlws.FILTER(U$2:U$1073,($C$2:$C$1073=$C826)*($E$2:$E$1073=$E826)*(ROW(U$2:U$1073)&lt;&gt;ROW(U826))*(U$2:U$1073&lt;&gt;""))),"")</f>
        <v/>
      </c>
    </row>
    <row r="827" spans="1:27" x14ac:dyDescent="0.2">
      <c r="A827" s="7" t="s">
        <v>2281</v>
      </c>
      <c r="B827" t="str">
        <f t="shared" si="134"/>
        <v>OZON IV кв. 2016</v>
      </c>
      <c r="C827">
        <v>2016</v>
      </c>
      <c r="D827">
        <f>SUMIFS(Дивиденды!$C:$C,Дивиденды!$A:$A,A827,Дивиденды!$I:$I,C827)</f>
        <v>0</v>
      </c>
      <c r="E827">
        <v>5</v>
      </c>
      <c r="F827">
        <f t="shared" si="135"/>
        <v>0</v>
      </c>
      <c r="G827">
        <f t="shared" si="136"/>
        <v>0</v>
      </c>
      <c r="H827">
        <f t="shared" si="137"/>
        <v>0</v>
      </c>
      <c r="I827">
        <f t="shared" si="144"/>
        <v>0</v>
      </c>
      <c r="J827">
        <f t="shared" si="138"/>
        <v>0</v>
      </c>
      <c r="K827">
        <f t="shared" si="142"/>
        <v>0</v>
      </c>
      <c r="L827">
        <f t="shared" si="139"/>
        <v>0</v>
      </c>
      <c r="M827">
        <f t="shared" si="143"/>
        <v>0</v>
      </c>
      <c r="N827">
        <f t="shared" si="140"/>
        <v>0</v>
      </c>
      <c r="O827">
        <f t="shared" si="141"/>
        <v>0</v>
      </c>
      <c r="P827" t="str">
        <f>IFERROR(LN('Дивиденды по годам'!I827),"")</f>
        <v/>
      </c>
      <c r="Q827" t="str">
        <f>IFERROR('Дивиденды по годам'!G827/'Дивиденды по годам'!I827, "")</f>
        <v/>
      </c>
      <c r="R827" t="str">
        <f>IFERROR(IF(AND('Дивиденды по годам'!N827&lt;&gt;"",'Дивиденды по годам'!U827&lt;&gt;"",'Дивиденды по годам'!U827&lt;&gt;0),'Дивиденды по годам'!N827/'Дивиденды по годам'!U827-1,""),"")</f>
        <v/>
      </c>
      <c r="S827" t="str">
        <f>IFERROR(IF(AND('Дивиденды по годам'!L827&lt;&gt;"",'Дивиденды по годам'!I827&lt;&gt;"",'Дивиденды по годам'!J827&lt;&gt;"",'Дивиденды по годам'!K827&lt;&gt;"",('Дивиденды по годам'!I827-'Дивиденды по годам'!J827-'Дивиденды по годам'!K827)&lt;&gt;0),'Дивиденды по годам'!L827/('Дивиденды по годам'!I827-'Дивиденды по годам'!J827-'Дивиденды по годам'!K827),""),"")</f>
        <v/>
      </c>
      <c r="T827" t="str">
        <f>IFERROR(IF(AND('Дивиденды по годам'!Q827&lt;&gt;"",'Дивиденды по годам'!I827&lt;&gt;"",'Дивиденды по годам'!V827&lt;&gt;"",('Дивиденды по годам'!I827+'Дивиденды по годам'!V827)&lt;&gt;0),'Дивиденды по годам'!Q827/(('Дивиденды по годам'!I827+'Дивиденды по годам'!V827)/2),""),"")</f>
        <v/>
      </c>
      <c r="U827" t="str">
        <f>IFERROR(IF(AND('Дивиденды по годам'!J827&lt;&gt;"",'Дивиденды по годам'!K827&lt;&gt;"",'Дивиденды по годам'!M827&lt;&gt;"",'Дивиденды по годам'!M827&lt;&gt;0),('Дивиденды по годам'!J827+'Дивиденды по годам'!K827)/'Дивиденды по годам'!M827,""),"")</f>
        <v/>
      </c>
      <c r="V827" t="str" cm="1">
        <f t="array" ref="V827">IFERROR(AVERAGE(_xlfn._xlws.FILTER(P$2:P$1073,($C$2:$C$1073=$C827)*($E$2:$E$1073=$E827)*(ROW(P$2:P$1073)&lt;&gt;ROW(P827))*(P$2:P$1073&lt;&gt;""))),"")</f>
        <v/>
      </c>
      <c r="W827" t="str" cm="1">
        <f t="array" ref="W827">IFERROR(AVERAGE(_xlfn._xlws.FILTER(Q$2:Q$1073,($C$2:$C$1073=$C827)*($E$2:$E$1073=$E827)*(ROW(Q$2:Q$1073)&lt;&gt;ROW(Q827))*(Q$2:Q$1073&lt;&gt;""))),"")</f>
        <v/>
      </c>
      <c r="X827" t="str" cm="1">
        <f t="array" ref="X827">IFERROR(AVERAGE(_xlfn._xlws.FILTER(R$2:R$1073,($C$2:$C$1073=$C827)*($E$2:$E$1073=$E827)*(ROW(R$2:R$1073)&lt;&gt;ROW(R827))*(R$2:R$1073&lt;&gt;""))),"")</f>
        <v/>
      </c>
      <c r="Y827" t="str" cm="1">
        <f t="array" ref="Y827">IFERROR(AVERAGE(_xlfn._xlws.FILTER(S$2:S$1073,($C$2:$C$1073=$C827)*($E$2:$E$1073=$E827)*(ROW(S$2:S$1073)&lt;&gt;ROW(S827))*(S$2:S$1073&lt;&gt;""))),"")</f>
        <v/>
      </c>
      <c r="Z827" t="str" cm="1">
        <f t="array" ref="Z827">IFERROR(AVERAGE(_xlfn._xlws.FILTER(T$2:T$1073,($C$2:$C$1073=$C827)*($E$2:$E$1073=$E827)*(ROW(T$2:T$1073)&lt;&gt;ROW(T827))*(T$2:T$1073&lt;&gt;""))),"")</f>
        <v/>
      </c>
      <c r="AA827" t="str" cm="1">
        <f t="array" ref="AA827">IFERROR(AVERAGE(_xlfn._xlws.FILTER(U$2:U$1073,($C$2:$C$1073=$C827)*($E$2:$E$1073=$E827)*(ROW(U$2:U$1073)&lt;&gt;ROW(U827))*(U$2:U$1073&lt;&gt;""))),"")</f>
        <v/>
      </c>
    </row>
    <row r="828" spans="1:27" x14ac:dyDescent="0.2">
      <c r="A828" s="7" t="s">
        <v>2281</v>
      </c>
      <c r="B828" t="str">
        <f t="shared" si="134"/>
        <v>OZON IV кв. 2015</v>
      </c>
      <c r="C828">
        <v>2015</v>
      </c>
      <c r="D828">
        <f>SUMIFS(Дивиденды!$C:$C,Дивиденды!$A:$A,A828,Дивиденды!$I:$I,C828)</f>
        <v>0</v>
      </c>
      <c r="E828">
        <v>5</v>
      </c>
      <c r="F828">
        <f t="shared" si="135"/>
        <v>0</v>
      </c>
      <c r="G828">
        <f t="shared" si="136"/>
        <v>0</v>
      </c>
      <c r="H828">
        <f t="shared" si="137"/>
        <v>0</v>
      </c>
      <c r="I828">
        <f t="shared" si="144"/>
        <v>0</v>
      </c>
      <c r="J828">
        <f t="shared" si="138"/>
        <v>0</v>
      </c>
      <c r="K828">
        <f t="shared" si="142"/>
        <v>0</v>
      </c>
      <c r="L828">
        <f t="shared" si="139"/>
        <v>0</v>
      </c>
      <c r="M828">
        <f t="shared" si="143"/>
        <v>0</v>
      </c>
      <c r="N828">
        <f t="shared" si="140"/>
        <v>0</v>
      </c>
      <c r="O828">
        <f t="shared" si="141"/>
        <v>0</v>
      </c>
      <c r="P828" t="str">
        <f>IFERROR(LN('Дивиденды по годам'!I828),"")</f>
        <v/>
      </c>
      <c r="Q828" t="str">
        <f>IFERROR('Дивиденды по годам'!G828/'Дивиденды по годам'!I828, "")</f>
        <v/>
      </c>
      <c r="R828" t="str">
        <f>IFERROR(IF(AND('Дивиденды по годам'!N828&lt;&gt;"",'Дивиденды по годам'!U828&lt;&gt;"",'Дивиденды по годам'!U828&lt;&gt;0),'Дивиденды по годам'!N828/'Дивиденды по годам'!U828-1,""),"")</f>
        <v/>
      </c>
      <c r="S828" t="str">
        <f>IFERROR(IF(AND('Дивиденды по годам'!L828&lt;&gt;"",'Дивиденды по годам'!I828&lt;&gt;"",'Дивиденды по годам'!J828&lt;&gt;"",'Дивиденды по годам'!K828&lt;&gt;"",('Дивиденды по годам'!I828-'Дивиденды по годам'!J828-'Дивиденды по годам'!K828)&lt;&gt;0),'Дивиденды по годам'!L828/('Дивиденды по годам'!I828-'Дивиденды по годам'!J828-'Дивиденды по годам'!K828),""),"")</f>
        <v/>
      </c>
      <c r="T828" t="str">
        <f>IFERROR(IF(AND('Дивиденды по годам'!Q828&lt;&gt;"",'Дивиденды по годам'!I828&lt;&gt;"",'Дивиденды по годам'!V828&lt;&gt;"",('Дивиденды по годам'!I828+'Дивиденды по годам'!V828)&lt;&gt;0),'Дивиденды по годам'!Q828/(('Дивиденды по годам'!I828+'Дивиденды по годам'!V828)/2),""),"")</f>
        <v/>
      </c>
      <c r="U828" t="str">
        <f>IFERROR(IF(AND('Дивиденды по годам'!J828&lt;&gt;"",'Дивиденды по годам'!K828&lt;&gt;"",'Дивиденды по годам'!M828&lt;&gt;"",'Дивиденды по годам'!M828&lt;&gt;0),('Дивиденды по годам'!J828+'Дивиденды по годам'!K828)/'Дивиденды по годам'!M828,""),"")</f>
        <v/>
      </c>
      <c r="V828" t="str" cm="1">
        <f t="array" ref="V828">IFERROR(AVERAGE(_xlfn._xlws.FILTER(P$2:P$1073,($C$2:$C$1073=$C828)*($E$2:$E$1073=$E828)*(ROW(P$2:P$1073)&lt;&gt;ROW(P828))*(P$2:P$1073&lt;&gt;""))),"")</f>
        <v/>
      </c>
      <c r="W828" t="str" cm="1">
        <f t="array" ref="W828">IFERROR(AVERAGE(_xlfn._xlws.FILTER(Q$2:Q$1073,($C$2:$C$1073=$C828)*($E$2:$E$1073=$E828)*(ROW(Q$2:Q$1073)&lt;&gt;ROW(Q828))*(Q$2:Q$1073&lt;&gt;""))),"")</f>
        <v/>
      </c>
      <c r="X828" t="str" cm="1">
        <f t="array" ref="X828">IFERROR(AVERAGE(_xlfn._xlws.FILTER(R$2:R$1073,($C$2:$C$1073=$C828)*($E$2:$E$1073=$E828)*(ROW(R$2:R$1073)&lt;&gt;ROW(R828))*(R$2:R$1073&lt;&gt;""))),"")</f>
        <v/>
      </c>
      <c r="Y828" t="str" cm="1">
        <f t="array" ref="Y828">IFERROR(AVERAGE(_xlfn._xlws.FILTER(S$2:S$1073,($C$2:$C$1073=$C828)*($E$2:$E$1073=$E828)*(ROW(S$2:S$1073)&lt;&gt;ROW(S828))*(S$2:S$1073&lt;&gt;""))),"")</f>
        <v/>
      </c>
      <c r="Z828" t="str" cm="1">
        <f t="array" ref="Z828">IFERROR(AVERAGE(_xlfn._xlws.FILTER(T$2:T$1073,($C$2:$C$1073=$C828)*($E$2:$E$1073=$E828)*(ROW(T$2:T$1073)&lt;&gt;ROW(T828))*(T$2:T$1073&lt;&gt;""))),"")</f>
        <v/>
      </c>
      <c r="AA828" t="str" cm="1">
        <f t="array" ref="AA828">IFERROR(AVERAGE(_xlfn._xlws.FILTER(U$2:U$1073,($C$2:$C$1073=$C828)*($E$2:$E$1073=$E828)*(ROW(U$2:U$1073)&lt;&gt;ROW(U828))*(U$2:U$1073&lt;&gt;""))),"")</f>
        <v/>
      </c>
    </row>
    <row r="829" spans="1:27" x14ac:dyDescent="0.2">
      <c r="A829" s="7" t="s">
        <v>2281</v>
      </c>
      <c r="B829" t="str">
        <f t="shared" si="134"/>
        <v>OZON IV кв. 2014</v>
      </c>
      <c r="C829">
        <v>2014</v>
      </c>
      <c r="D829">
        <f>SUMIFS(Дивиденды!$C:$C,Дивиденды!$A:$A,A829,Дивиденды!$I:$I,C829)</f>
        <v>0</v>
      </c>
      <c r="E829">
        <v>5</v>
      </c>
      <c r="F829">
        <f t="shared" si="135"/>
        <v>0</v>
      </c>
      <c r="G829">
        <f t="shared" si="136"/>
        <v>0</v>
      </c>
      <c r="H829">
        <f t="shared" si="137"/>
        <v>0</v>
      </c>
      <c r="I829">
        <f t="shared" si="144"/>
        <v>0</v>
      </c>
      <c r="J829">
        <f t="shared" si="138"/>
        <v>0</v>
      </c>
      <c r="K829">
        <f t="shared" si="142"/>
        <v>0</v>
      </c>
      <c r="L829">
        <f t="shared" si="139"/>
        <v>0</v>
      </c>
      <c r="M829">
        <f t="shared" si="143"/>
        <v>0</v>
      </c>
      <c r="N829">
        <f t="shared" si="140"/>
        <v>0</v>
      </c>
      <c r="O829">
        <f t="shared" si="141"/>
        <v>0</v>
      </c>
      <c r="P829" t="str">
        <f>IFERROR(LN('Дивиденды по годам'!I829),"")</f>
        <v/>
      </c>
      <c r="Q829" t="str">
        <f>IFERROR('Дивиденды по годам'!G829/'Дивиденды по годам'!I829, "")</f>
        <v/>
      </c>
      <c r="R829" t="str">
        <f>IFERROR(IF(AND('Дивиденды по годам'!N829&lt;&gt;"",'Дивиденды по годам'!U829&lt;&gt;"",'Дивиденды по годам'!U829&lt;&gt;0),'Дивиденды по годам'!N829/'Дивиденды по годам'!U829-1,""),"")</f>
        <v/>
      </c>
      <c r="S829" t="str">
        <f>IFERROR(IF(AND('Дивиденды по годам'!L829&lt;&gt;"",'Дивиденды по годам'!I829&lt;&gt;"",'Дивиденды по годам'!J829&lt;&gt;"",'Дивиденды по годам'!K829&lt;&gt;"",('Дивиденды по годам'!I829-'Дивиденды по годам'!J829-'Дивиденды по годам'!K829)&lt;&gt;0),'Дивиденды по годам'!L829/('Дивиденды по годам'!I829-'Дивиденды по годам'!J829-'Дивиденды по годам'!K829),""),"")</f>
        <v/>
      </c>
      <c r="T829" t="str">
        <f>IFERROR(IF(AND('Дивиденды по годам'!Q829&lt;&gt;"",'Дивиденды по годам'!I829&lt;&gt;"",'Дивиденды по годам'!V829&lt;&gt;"",('Дивиденды по годам'!I829+'Дивиденды по годам'!V829)&lt;&gt;0),'Дивиденды по годам'!Q829/(('Дивиденды по годам'!I829+'Дивиденды по годам'!V829)/2),""),"")</f>
        <v/>
      </c>
      <c r="U829" t="str">
        <f>IFERROR(IF(AND('Дивиденды по годам'!J829&lt;&gt;"",'Дивиденды по годам'!K829&lt;&gt;"",'Дивиденды по годам'!M829&lt;&gt;"",'Дивиденды по годам'!M829&lt;&gt;0),('Дивиденды по годам'!J829+'Дивиденды по годам'!K829)/'Дивиденды по годам'!M829,""),"")</f>
        <v/>
      </c>
      <c r="V829" t="str" cm="1">
        <f t="array" ref="V829">IFERROR(AVERAGE(_xlfn._xlws.FILTER(P$2:P$1073,($C$2:$C$1073=$C829)*($E$2:$E$1073=$E829)*(ROW(P$2:P$1073)&lt;&gt;ROW(P829))*(P$2:P$1073&lt;&gt;""))),"")</f>
        <v/>
      </c>
      <c r="W829" t="str" cm="1">
        <f t="array" ref="W829">IFERROR(AVERAGE(_xlfn._xlws.FILTER(Q$2:Q$1073,($C$2:$C$1073=$C829)*($E$2:$E$1073=$E829)*(ROW(Q$2:Q$1073)&lt;&gt;ROW(Q829))*(Q$2:Q$1073&lt;&gt;""))),"")</f>
        <v/>
      </c>
      <c r="X829" t="str" cm="1">
        <f t="array" ref="X829">IFERROR(AVERAGE(_xlfn._xlws.FILTER(R$2:R$1073,($C$2:$C$1073=$C829)*($E$2:$E$1073=$E829)*(ROW(R$2:R$1073)&lt;&gt;ROW(R829))*(R$2:R$1073&lt;&gt;""))),"")</f>
        <v/>
      </c>
      <c r="Y829" t="str" cm="1">
        <f t="array" ref="Y829">IFERROR(AVERAGE(_xlfn._xlws.FILTER(S$2:S$1073,($C$2:$C$1073=$C829)*($E$2:$E$1073=$E829)*(ROW(S$2:S$1073)&lt;&gt;ROW(S829))*(S$2:S$1073&lt;&gt;""))),"")</f>
        <v/>
      </c>
      <c r="Z829" t="str" cm="1">
        <f t="array" ref="Z829">IFERROR(AVERAGE(_xlfn._xlws.FILTER(T$2:T$1073,($C$2:$C$1073=$C829)*($E$2:$E$1073=$E829)*(ROW(T$2:T$1073)&lt;&gt;ROW(T829))*(T$2:T$1073&lt;&gt;""))),"")</f>
        <v/>
      </c>
      <c r="AA829" t="str" cm="1">
        <f t="array" ref="AA829">IFERROR(AVERAGE(_xlfn._xlws.FILTER(U$2:U$1073,($C$2:$C$1073=$C829)*($E$2:$E$1073=$E829)*(ROW(U$2:U$1073)&lt;&gt;ROW(U829))*(U$2:U$1073&lt;&gt;""))),"")</f>
        <v/>
      </c>
    </row>
    <row r="830" spans="1:27" x14ac:dyDescent="0.2">
      <c r="A830" s="7" t="s">
        <v>2281</v>
      </c>
      <c r="B830" t="str">
        <f t="shared" si="134"/>
        <v>OZON IV кв. 2013</v>
      </c>
      <c r="C830">
        <v>2013</v>
      </c>
      <c r="D830">
        <f>SUMIFS(Дивиденды!$C:$C,Дивиденды!$A:$A,A830,Дивиденды!$I:$I,C830)</f>
        <v>0</v>
      </c>
      <c r="E830">
        <v>5</v>
      </c>
      <c r="F830">
        <f t="shared" si="135"/>
        <v>0</v>
      </c>
      <c r="G830">
        <f t="shared" si="136"/>
        <v>0</v>
      </c>
      <c r="H830">
        <f t="shared" si="137"/>
        <v>0</v>
      </c>
      <c r="I830">
        <f t="shared" si="144"/>
        <v>0</v>
      </c>
      <c r="J830">
        <f t="shared" si="138"/>
        <v>0</v>
      </c>
      <c r="K830">
        <f t="shared" si="142"/>
        <v>0</v>
      </c>
      <c r="L830">
        <f t="shared" si="139"/>
        <v>0</v>
      </c>
      <c r="M830">
        <f t="shared" si="143"/>
        <v>0</v>
      </c>
      <c r="N830">
        <f t="shared" si="140"/>
        <v>0</v>
      </c>
      <c r="O830">
        <f t="shared" si="141"/>
        <v>0</v>
      </c>
      <c r="P830" t="str">
        <f>IFERROR(LN('Дивиденды по годам'!I830),"")</f>
        <v/>
      </c>
      <c r="Q830" t="str">
        <f>IFERROR('Дивиденды по годам'!G830/'Дивиденды по годам'!I830, "")</f>
        <v/>
      </c>
      <c r="R830" t="str">
        <f>IFERROR(IF(AND('Дивиденды по годам'!N830&lt;&gt;"",'Дивиденды по годам'!U830&lt;&gt;"",'Дивиденды по годам'!U830&lt;&gt;0),'Дивиденды по годам'!N830/'Дивиденды по годам'!U830-1,""),"")</f>
        <v/>
      </c>
      <c r="S830" t="str">
        <f>IFERROR(IF(AND('Дивиденды по годам'!L830&lt;&gt;"",'Дивиденды по годам'!I830&lt;&gt;"",'Дивиденды по годам'!J830&lt;&gt;"",'Дивиденды по годам'!K830&lt;&gt;"",('Дивиденды по годам'!I830-'Дивиденды по годам'!J830-'Дивиденды по годам'!K830)&lt;&gt;0),'Дивиденды по годам'!L830/('Дивиденды по годам'!I830-'Дивиденды по годам'!J830-'Дивиденды по годам'!K830),""),"")</f>
        <v/>
      </c>
      <c r="T830" t="str">
        <f>IFERROR(IF(AND('Дивиденды по годам'!Q830&lt;&gt;"",'Дивиденды по годам'!I830&lt;&gt;"",'Дивиденды по годам'!V830&lt;&gt;"",('Дивиденды по годам'!I830+'Дивиденды по годам'!V830)&lt;&gt;0),'Дивиденды по годам'!Q830/(('Дивиденды по годам'!I830+'Дивиденды по годам'!V830)/2),""),"")</f>
        <v/>
      </c>
      <c r="U830" t="str">
        <f>IFERROR(IF(AND('Дивиденды по годам'!J830&lt;&gt;"",'Дивиденды по годам'!K830&lt;&gt;"",'Дивиденды по годам'!M830&lt;&gt;"",'Дивиденды по годам'!M830&lt;&gt;0),('Дивиденды по годам'!J830+'Дивиденды по годам'!K830)/'Дивиденды по годам'!M830,""),"")</f>
        <v/>
      </c>
      <c r="V830" t="str" cm="1">
        <f t="array" ref="V830">IFERROR(AVERAGE(_xlfn._xlws.FILTER(P$2:P$1073,($C$2:$C$1073=$C830)*($E$2:$E$1073=$E830)*(ROW(P$2:P$1073)&lt;&gt;ROW(P830))*(P$2:P$1073&lt;&gt;""))),"")</f>
        <v/>
      </c>
      <c r="W830" t="str" cm="1">
        <f t="array" ref="W830">IFERROR(AVERAGE(_xlfn._xlws.FILTER(Q$2:Q$1073,($C$2:$C$1073=$C830)*($E$2:$E$1073=$E830)*(ROW(Q$2:Q$1073)&lt;&gt;ROW(Q830))*(Q$2:Q$1073&lt;&gt;""))),"")</f>
        <v/>
      </c>
      <c r="X830" t="str" cm="1">
        <f t="array" ref="X830">IFERROR(AVERAGE(_xlfn._xlws.FILTER(R$2:R$1073,($C$2:$C$1073=$C830)*($E$2:$E$1073=$E830)*(ROW(R$2:R$1073)&lt;&gt;ROW(R830))*(R$2:R$1073&lt;&gt;""))),"")</f>
        <v/>
      </c>
      <c r="Y830" t="str" cm="1">
        <f t="array" ref="Y830">IFERROR(AVERAGE(_xlfn._xlws.FILTER(S$2:S$1073,($C$2:$C$1073=$C830)*($E$2:$E$1073=$E830)*(ROW(S$2:S$1073)&lt;&gt;ROW(S830))*(S$2:S$1073&lt;&gt;""))),"")</f>
        <v/>
      </c>
      <c r="Z830" t="str" cm="1">
        <f t="array" ref="Z830">IFERROR(AVERAGE(_xlfn._xlws.FILTER(T$2:T$1073,($C$2:$C$1073=$C830)*($E$2:$E$1073=$E830)*(ROW(T$2:T$1073)&lt;&gt;ROW(T830))*(T$2:T$1073&lt;&gt;""))),"")</f>
        <v/>
      </c>
      <c r="AA830" t="str" cm="1">
        <f t="array" ref="AA830">IFERROR(AVERAGE(_xlfn._xlws.FILTER(U$2:U$1073,($C$2:$C$1073=$C830)*($E$2:$E$1073=$E830)*(ROW(U$2:U$1073)&lt;&gt;ROW(U830))*(U$2:U$1073&lt;&gt;""))),"")</f>
        <v/>
      </c>
    </row>
    <row r="831" spans="1:27" x14ac:dyDescent="0.2">
      <c r="A831" s="7" t="s">
        <v>2281</v>
      </c>
      <c r="B831" t="str">
        <f t="shared" si="134"/>
        <v>OZON IV кв. 2012</v>
      </c>
      <c r="C831">
        <v>2012</v>
      </c>
      <c r="D831">
        <f>SUMIFS(Дивиденды!$C:$C,Дивиденды!$A:$A,A831,Дивиденды!$I:$I,C831)</f>
        <v>0</v>
      </c>
      <c r="E831">
        <v>5</v>
      </c>
      <c r="F831">
        <f t="shared" si="135"/>
        <v>0</v>
      </c>
      <c r="G831">
        <f t="shared" si="136"/>
        <v>0</v>
      </c>
      <c r="H831">
        <f t="shared" si="137"/>
        <v>0</v>
      </c>
      <c r="I831">
        <f t="shared" si="144"/>
        <v>0</v>
      </c>
      <c r="J831">
        <f t="shared" si="138"/>
        <v>0</v>
      </c>
      <c r="K831">
        <f t="shared" si="142"/>
        <v>0</v>
      </c>
      <c r="L831">
        <f t="shared" si="139"/>
        <v>0</v>
      </c>
      <c r="M831">
        <f t="shared" si="143"/>
        <v>0</v>
      </c>
      <c r="N831">
        <f t="shared" si="140"/>
        <v>0</v>
      </c>
      <c r="O831">
        <f t="shared" si="141"/>
        <v>0</v>
      </c>
      <c r="P831" t="str">
        <f>IFERROR(LN('Дивиденды по годам'!I831),"")</f>
        <v/>
      </c>
      <c r="Q831" t="str">
        <f>IFERROR('Дивиденды по годам'!G831/'Дивиденды по годам'!I831, "")</f>
        <v/>
      </c>
      <c r="R831" t="str">
        <f>IFERROR(IF(AND('Дивиденды по годам'!N831&lt;&gt;"",'Дивиденды по годам'!U831&lt;&gt;"",'Дивиденды по годам'!U831&lt;&gt;0),'Дивиденды по годам'!N831/'Дивиденды по годам'!U831-1,""),"")</f>
        <v/>
      </c>
      <c r="S831" t="str">
        <f>IFERROR(IF(AND('Дивиденды по годам'!L831&lt;&gt;"",'Дивиденды по годам'!I831&lt;&gt;"",'Дивиденды по годам'!J831&lt;&gt;"",'Дивиденды по годам'!K831&lt;&gt;"",('Дивиденды по годам'!I831-'Дивиденды по годам'!J831-'Дивиденды по годам'!K831)&lt;&gt;0),'Дивиденды по годам'!L831/('Дивиденды по годам'!I831-'Дивиденды по годам'!J831-'Дивиденды по годам'!K831),""),"")</f>
        <v/>
      </c>
      <c r="T831" t="str">
        <f>IFERROR(IF(AND('Дивиденды по годам'!Q831&lt;&gt;"",'Дивиденды по годам'!I831&lt;&gt;"",'Дивиденды по годам'!V831&lt;&gt;"",('Дивиденды по годам'!I831+'Дивиденды по годам'!V831)&lt;&gt;0),'Дивиденды по годам'!Q831/(('Дивиденды по годам'!I831+'Дивиденды по годам'!V831)/2),""),"")</f>
        <v/>
      </c>
      <c r="U831" t="str">
        <f>IFERROR(IF(AND('Дивиденды по годам'!J831&lt;&gt;"",'Дивиденды по годам'!K831&lt;&gt;"",'Дивиденды по годам'!M831&lt;&gt;"",'Дивиденды по годам'!M831&lt;&gt;0),('Дивиденды по годам'!J831+'Дивиденды по годам'!K831)/'Дивиденды по годам'!M831,""),"")</f>
        <v/>
      </c>
      <c r="V831" t="str" cm="1">
        <f t="array" ref="V831">IFERROR(AVERAGE(_xlfn._xlws.FILTER(P$2:P$1073,($C$2:$C$1073=$C831)*($E$2:$E$1073=$E831)*(ROW(P$2:P$1073)&lt;&gt;ROW(P831))*(P$2:P$1073&lt;&gt;""))),"")</f>
        <v/>
      </c>
      <c r="W831" t="str" cm="1">
        <f t="array" ref="W831">IFERROR(AVERAGE(_xlfn._xlws.FILTER(Q$2:Q$1073,($C$2:$C$1073=$C831)*($E$2:$E$1073=$E831)*(ROW(Q$2:Q$1073)&lt;&gt;ROW(Q831))*(Q$2:Q$1073&lt;&gt;""))),"")</f>
        <v/>
      </c>
      <c r="X831" t="str" cm="1">
        <f t="array" ref="X831">IFERROR(AVERAGE(_xlfn._xlws.FILTER(R$2:R$1073,($C$2:$C$1073=$C831)*($E$2:$E$1073=$E831)*(ROW(R$2:R$1073)&lt;&gt;ROW(R831))*(R$2:R$1073&lt;&gt;""))),"")</f>
        <v/>
      </c>
      <c r="Y831" t="str" cm="1">
        <f t="array" ref="Y831">IFERROR(AVERAGE(_xlfn._xlws.FILTER(S$2:S$1073,($C$2:$C$1073=$C831)*($E$2:$E$1073=$E831)*(ROW(S$2:S$1073)&lt;&gt;ROW(S831))*(S$2:S$1073&lt;&gt;""))),"")</f>
        <v/>
      </c>
      <c r="Z831" t="str" cm="1">
        <f t="array" ref="Z831">IFERROR(AVERAGE(_xlfn._xlws.FILTER(T$2:T$1073,($C$2:$C$1073=$C831)*($E$2:$E$1073=$E831)*(ROW(T$2:T$1073)&lt;&gt;ROW(T831))*(T$2:T$1073&lt;&gt;""))),"")</f>
        <v/>
      </c>
      <c r="AA831" t="str" cm="1">
        <f t="array" ref="AA831">IFERROR(AVERAGE(_xlfn._xlws.FILTER(U$2:U$1073,($C$2:$C$1073=$C831)*($E$2:$E$1073=$E831)*(ROW(U$2:U$1073)&lt;&gt;ROW(U831))*(U$2:U$1073&lt;&gt;""))),"")</f>
        <v/>
      </c>
    </row>
    <row r="832" spans="1:27" x14ac:dyDescent="0.2">
      <c r="A832" s="7" t="s">
        <v>2281</v>
      </c>
      <c r="B832" t="str">
        <f t="shared" si="134"/>
        <v>OZON IV кв. 2011</v>
      </c>
      <c r="C832">
        <v>2011</v>
      </c>
      <c r="D832">
        <f>SUMIFS(Дивиденды!$C:$C,Дивиденды!$A:$A,A832,Дивиденды!$I:$I,C832)</f>
        <v>0</v>
      </c>
      <c r="E832">
        <v>5</v>
      </c>
      <c r="F832">
        <f t="shared" si="135"/>
        <v>0</v>
      </c>
      <c r="G832">
        <f t="shared" si="136"/>
        <v>0</v>
      </c>
      <c r="H832">
        <f t="shared" si="137"/>
        <v>0</v>
      </c>
      <c r="I832">
        <f t="shared" si="144"/>
        <v>0</v>
      </c>
      <c r="J832">
        <f t="shared" si="138"/>
        <v>0</v>
      </c>
      <c r="K832">
        <f t="shared" si="142"/>
        <v>0</v>
      </c>
      <c r="L832">
        <f t="shared" si="139"/>
        <v>0</v>
      </c>
      <c r="M832">
        <f t="shared" si="143"/>
        <v>0</v>
      </c>
      <c r="N832">
        <f t="shared" si="140"/>
        <v>0</v>
      </c>
      <c r="O832">
        <f t="shared" si="141"/>
        <v>0</v>
      </c>
      <c r="P832" t="str">
        <f>IFERROR(LN('Дивиденды по годам'!I832),"")</f>
        <v/>
      </c>
      <c r="Q832" t="str">
        <f>IFERROR('Дивиденды по годам'!G832/'Дивиденды по годам'!I832, "")</f>
        <v/>
      </c>
      <c r="R832" t="str">
        <f>IFERROR(IF(AND('Дивиденды по годам'!N832&lt;&gt;"",'Дивиденды по годам'!U832&lt;&gt;"",'Дивиденды по годам'!U832&lt;&gt;0),'Дивиденды по годам'!N832/'Дивиденды по годам'!U832-1,""),"")</f>
        <v/>
      </c>
      <c r="S832" t="str">
        <f>IFERROR(IF(AND('Дивиденды по годам'!L832&lt;&gt;"",'Дивиденды по годам'!I832&lt;&gt;"",'Дивиденды по годам'!J832&lt;&gt;"",'Дивиденды по годам'!K832&lt;&gt;"",('Дивиденды по годам'!I832-'Дивиденды по годам'!J832-'Дивиденды по годам'!K832)&lt;&gt;0),'Дивиденды по годам'!L832/('Дивиденды по годам'!I832-'Дивиденды по годам'!J832-'Дивиденды по годам'!K832),""),"")</f>
        <v/>
      </c>
      <c r="T832" t="str">
        <f>IFERROR(IF(AND('Дивиденды по годам'!Q832&lt;&gt;"",'Дивиденды по годам'!I832&lt;&gt;"",'Дивиденды по годам'!V832&lt;&gt;"",('Дивиденды по годам'!I832+'Дивиденды по годам'!V832)&lt;&gt;0),'Дивиденды по годам'!Q832/(('Дивиденды по годам'!I832+'Дивиденды по годам'!V832)/2),""),"")</f>
        <v/>
      </c>
      <c r="U832" t="str">
        <f>IFERROR(IF(AND('Дивиденды по годам'!J832&lt;&gt;"",'Дивиденды по годам'!K832&lt;&gt;"",'Дивиденды по годам'!M832&lt;&gt;"",'Дивиденды по годам'!M832&lt;&gt;0),('Дивиденды по годам'!J832+'Дивиденды по годам'!K832)/'Дивиденды по годам'!M832,""),"")</f>
        <v/>
      </c>
      <c r="V832" t="str" cm="1">
        <f t="array" ref="V832">IFERROR(AVERAGE(_xlfn._xlws.FILTER(P$2:P$1073,($C$2:$C$1073=$C832)*($E$2:$E$1073=$E832)*(ROW(P$2:P$1073)&lt;&gt;ROW(P832))*(P$2:P$1073&lt;&gt;""))),"")</f>
        <v/>
      </c>
      <c r="W832" t="str" cm="1">
        <f t="array" ref="W832">IFERROR(AVERAGE(_xlfn._xlws.FILTER(Q$2:Q$1073,($C$2:$C$1073=$C832)*($E$2:$E$1073=$E832)*(ROW(Q$2:Q$1073)&lt;&gt;ROW(Q832))*(Q$2:Q$1073&lt;&gt;""))),"")</f>
        <v/>
      </c>
      <c r="X832" t="str" cm="1">
        <f t="array" ref="X832">IFERROR(AVERAGE(_xlfn._xlws.FILTER(R$2:R$1073,($C$2:$C$1073=$C832)*($E$2:$E$1073=$E832)*(ROW(R$2:R$1073)&lt;&gt;ROW(R832))*(R$2:R$1073&lt;&gt;""))),"")</f>
        <v/>
      </c>
      <c r="Y832" t="str" cm="1">
        <f t="array" ref="Y832">IFERROR(AVERAGE(_xlfn._xlws.FILTER(S$2:S$1073,($C$2:$C$1073=$C832)*($E$2:$E$1073=$E832)*(ROW(S$2:S$1073)&lt;&gt;ROW(S832))*(S$2:S$1073&lt;&gt;""))),"")</f>
        <v/>
      </c>
      <c r="Z832" t="str" cm="1">
        <f t="array" ref="Z832">IFERROR(AVERAGE(_xlfn._xlws.FILTER(T$2:T$1073,($C$2:$C$1073=$C832)*($E$2:$E$1073=$E832)*(ROW(T$2:T$1073)&lt;&gt;ROW(T832))*(T$2:T$1073&lt;&gt;""))),"")</f>
        <v/>
      </c>
      <c r="AA832" t="str" cm="1">
        <f t="array" ref="AA832">IFERROR(AVERAGE(_xlfn._xlws.FILTER(U$2:U$1073,($C$2:$C$1073=$C832)*($E$2:$E$1073=$E832)*(ROW(U$2:U$1073)&lt;&gt;ROW(U832))*(U$2:U$1073&lt;&gt;""))),"")</f>
        <v/>
      </c>
    </row>
    <row r="833" spans="1:27" x14ac:dyDescent="0.2">
      <c r="A833" s="7" t="s">
        <v>2281</v>
      </c>
      <c r="B833" t="str">
        <f t="shared" si="134"/>
        <v>OZON IV кв. 2010</v>
      </c>
      <c r="C833">
        <v>2010</v>
      </c>
      <c r="D833">
        <f>SUMIFS(Дивиденды!$C:$C,Дивиденды!$A:$A,A833,Дивиденды!$I:$I,C833)</f>
        <v>0</v>
      </c>
      <c r="E833">
        <v>5</v>
      </c>
      <c r="F833">
        <f t="shared" si="135"/>
        <v>0</v>
      </c>
      <c r="G833">
        <f t="shared" si="136"/>
        <v>0</v>
      </c>
      <c r="H833">
        <f t="shared" si="137"/>
        <v>0</v>
      </c>
      <c r="I833">
        <f t="shared" si="144"/>
        <v>0</v>
      </c>
      <c r="J833" t="str">
        <f t="shared" si="138"/>
        <v/>
      </c>
      <c r="K833" t="str">
        <f t="shared" si="142"/>
        <v/>
      </c>
      <c r="L833" t="str">
        <f t="shared" si="139"/>
        <v/>
      </c>
      <c r="M833" t="str">
        <f t="shared" si="143"/>
        <v/>
      </c>
      <c r="N833" t="str">
        <f t="shared" si="140"/>
        <v/>
      </c>
      <c r="O833" t="str">
        <f t="shared" si="141"/>
        <v/>
      </c>
      <c r="P833" t="str">
        <f>IFERROR(LN('Дивиденды по годам'!I833),"")</f>
        <v/>
      </c>
      <c r="Q833" t="str">
        <f>IFERROR('Дивиденды по годам'!G833/'Дивиденды по годам'!I833, "")</f>
        <v/>
      </c>
      <c r="R833" t="str">
        <f>IFERROR(IF(AND('Дивиденды по годам'!N833&lt;&gt;"",'Дивиденды по годам'!U833&lt;&gt;"",'Дивиденды по годам'!U833&lt;&gt;0),'Дивиденды по годам'!N833/'Дивиденды по годам'!U833-1,""),"")</f>
        <v/>
      </c>
      <c r="S833" t="str">
        <f>IFERROR(IF(AND('Дивиденды по годам'!L833&lt;&gt;"",'Дивиденды по годам'!I833&lt;&gt;"",'Дивиденды по годам'!J833&lt;&gt;"",'Дивиденды по годам'!K833&lt;&gt;"",('Дивиденды по годам'!I833-'Дивиденды по годам'!J833-'Дивиденды по годам'!K833)&lt;&gt;0),'Дивиденды по годам'!L833/('Дивиденды по годам'!I833-'Дивиденды по годам'!J833-'Дивиденды по годам'!K833),""),"")</f>
        <v/>
      </c>
      <c r="T833" t="str">
        <f>IFERROR(IF(AND('Дивиденды по годам'!Q833&lt;&gt;"",'Дивиденды по годам'!I833&lt;&gt;"",'Дивиденды по годам'!V833&lt;&gt;"",('Дивиденды по годам'!I833+'Дивиденды по годам'!V833)&lt;&gt;0),'Дивиденды по годам'!Q833/(('Дивиденды по годам'!I833+'Дивиденды по годам'!V833)/2),""),"")</f>
        <v/>
      </c>
      <c r="U833" t="str">
        <f>IFERROR(IF(AND('Дивиденды по годам'!J833&lt;&gt;"",'Дивиденды по годам'!K833&lt;&gt;"",'Дивиденды по годам'!M833&lt;&gt;"",'Дивиденды по годам'!M833&lt;&gt;0),('Дивиденды по годам'!J833+'Дивиденды по годам'!K833)/'Дивиденды по годам'!M833,""),"")</f>
        <v/>
      </c>
      <c r="V833" t="str" cm="1">
        <f t="array" ref="V833">IFERROR(AVERAGE(_xlfn._xlws.FILTER(P$2:P$1073,($C$2:$C$1073=$C833)*($E$2:$E$1073=$E833)*(ROW(P$2:P$1073)&lt;&gt;ROW(P833))*(P$2:P$1073&lt;&gt;""))),"")</f>
        <v/>
      </c>
      <c r="W833" t="str" cm="1">
        <f t="array" ref="W833">IFERROR(AVERAGE(_xlfn._xlws.FILTER(Q$2:Q$1073,($C$2:$C$1073=$C833)*($E$2:$E$1073=$E833)*(ROW(Q$2:Q$1073)&lt;&gt;ROW(Q833))*(Q$2:Q$1073&lt;&gt;""))),"")</f>
        <v/>
      </c>
      <c r="X833" t="str" cm="1">
        <f t="array" ref="X833">IFERROR(AVERAGE(_xlfn._xlws.FILTER(R$2:R$1073,($C$2:$C$1073=$C833)*($E$2:$E$1073=$E833)*(ROW(R$2:R$1073)&lt;&gt;ROW(R833))*(R$2:R$1073&lt;&gt;""))),"")</f>
        <v/>
      </c>
      <c r="Y833" t="str" cm="1">
        <f t="array" ref="Y833">IFERROR(AVERAGE(_xlfn._xlws.FILTER(S$2:S$1073,($C$2:$C$1073=$C833)*($E$2:$E$1073=$E833)*(ROW(S$2:S$1073)&lt;&gt;ROW(S833))*(S$2:S$1073&lt;&gt;""))),"")</f>
        <v/>
      </c>
      <c r="Z833" t="str" cm="1">
        <f t="array" ref="Z833">IFERROR(AVERAGE(_xlfn._xlws.FILTER(T$2:T$1073,($C$2:$C$1073=$C833)*($E$2:$E$1073=$E833)*(ROW(T$2:T$1073)&lt;&gt;ROW(T833))*(T$2:T$1073&lt;&gt;""))),"")</f>
        <v/>
      </c>
      <c r="AA833" t="str" cm="1">
        <f t="array" ref="AA833">IFERROR(AVERAGE(_xlfn._xlws.FILTER(U$2:U$1073,($C$2:$C$1073=$C833)*($E$2:$E$1073=$E833)*(ROW(U$2:U$1073)&lt;&gt;ROW(U833))*(U$2:U$1073&lt;&gt;""))),"")</f>
        <v/>
      </c>
    </row>
    <row r="834" spans="1:27" x14ac:dyDescent="0.2">
      <c r="A834" s="7" t="s">
        <v>2284</v>
      </c>
      <c r="B834" t="str">
        <f t="shared" si="134"/>
        <v>POSI IV кв. 2025</v>
      </c>
      <c r="C834">
        <v>2025</v>
      </c>
      <c r="D834">
        <f>SUMIFS(Дивиденды!$C:$C,Дивиденды!$A:$A,A834,Дивиденды!$I:$I,C834)</f>
        <v>0</v>
      </c>
      <c r="E834">
        <v>5</v>
      </c>
      <c r="F834">
        <f t="shared" si="135"/>
        <v>0</v>
      </c>
      <c r="G834">
        <f t="shared" si="136"/>
        <v>62.940000000000005</v>
      </c>
      <c r="H834">
        <f t="shared" si="137"/>
        <v>0</v>
      </c>
      <c r="I834">
        <f t="shared" si="144"/>
        <v>0.66666666666666663</v>
      </c>
      <c r="J834">
        <f t="shared" si="138"/>
        <v>-1</v>
      </c>
      <c r="K834">
        <f t="shared" si="142"/>
        <v>0.30502921577509412</v>
      </c>
      <c r="L834">
        <f t="shared" si="139"/>
        <v>0</v>
      </c>
      <c r="M834">
        <f t="shared" si="143"/>
        <v>0.44444444444444442</v>
      </c>
      <c r="N834">
        <f t="shared" si="140"/>
        <v>1</v>
      </c>
      <c r="O834">
        <f t="shared" si="141"/>
        <v>0.33333333333333331</v>
      </c>
      <c r="P834" t="str">
        <f>IFERROR(LN('Дивиденды по годам'!I834),"")</f>
        <v/>
      </c>
      <c r="Q834" t="str">
        <f>IFERROR('Дивиденды по годам'!G834/'Дивиденды по годам'!I834, "")</f>
        <v/>
      </c>
      <c r="R834" t="str">
        <f>IFERROR(IF(AND('Дивиденды по годам'!N834&lt;&gt;"",'Дивиденды по годам'!U834&lt;&gt;"",'Дивиденды по годам'!U834&lt;&gt;0),'Дивиденды по годам'!N834/'Дивиденды по годам'!U834-1,""),"")</f>
        <v/>
      </c>
      <c r="S834" t="str">
        <f>IFERROR(IF(AND('Дивиденды по годам'!L834&lt;&gt;"",'Дивиденды по годам'!I834&lt;&gt;"",'Дивиденды по годам'!J834&lt;&gt;"",'Дивиденды по годам'!K834&lt;&gt;"",('Дивиденды по годам'!I834-'Дивиденды по годам'!J834-'Дивиденды по годам'!K834)&lt;&gt;0),'Дивиденды по годам'!L834/('Дивиденды по годам'!I834-'Дивиденды по годам'!J834-'Дивиденды по годам'!K834),""),"")</f>
        <v/>
      </c>
      <c r="T834" t="str">
        <f>IFERROR(IF(AND('Дивиденды по годам'!Q834&lt;&gt;"",'Дивиденды по годам'!I834&lt;&gt;"",'Дивиденды по годам'!V834&lt;&gt;"",('Дивиденды по годам'!I834+'Дивиденды по годам'!V834)&lt;&gt;0),'Дивиденды по годам'!Q834/(('Дивиденды по годам'!I834+'Дивиденды по годам'!V834)/2),""),"")</f>
        <v/>
      </c>
      <c r="U834" t="str">
        <f>IFERROR(IF(AND('Дивиденды по годам'!J834&lt;&gt;"",'Дивиденды по годам'!K834&lt;&gt;"",'Дивиденды по годам'!M834&lt;&gt;"",'Дивиденды по годам'!M834&lt;&gt;0),('Дивиденды по годам'!J834+'Дивиденды по годам'!K834)/'Дивиденды по годам'!M834,""),"")</f>
        <v/>
      </c>
      <c r="V834" cm="1">
        <f t="array" ref="V834">IFERROR(AVERAGE(_xlfn._xlws.FILTER(P$2:P$1073,($C$2:$C$1073=$C834)*($E$2:$E$1073=$E834)*(ROW(P$2:P$1073)&lt;&gt;ROW(P834))*(P$2:P$1073&lt;&gt;""))),"")</f>
        <v>25.891438099154414</v>
      </c>
      <c r="W834" cm="1">
        <f t="array" ref="W834">IFERROR(AVERAGE(_xlfn._xlws.FILTER(Q$2:Q$1073,($C$2:$C$1073=$C834)*($E$2:$E$1073=$E834)*(ROW(Q$2:Q$1073)&lt;&gt;ROW(Q834))*(Q$2:Q$1073&lt;&gt;""))),"")</f>
        <v>0.12418203705460037</v>
      </c>
      <c r="X834" cm="1">
        <f t="array" ref="X834">IFERROR(AVERAGE(_xlfn._xlws.FILTER(R$2:R$1073,($C$2:$C$1073=$C834)*($E$2:$E$1073=$E834)*(ROW(R$2:R$1073)&lt;&gt;ROW(R834))*(R$2:R$1073&lt;&gt;""))),"")</f>
        <v>0.14684434513855163</v>
      </c>
      <c r="Y834" cm="1">
        <f t="array" ref="Y834">IFERROR(AVERAGE(_xlfn._xlws.FILTER(S$2:S$1073,($C$2:$C$1073=$C834)*($E$2:$E$1073=$E834)*(ROW(S$2:S$1073)&lt;&gt;ROW(S834))*(S$2:S$1073&lt;&gt;""))),"")</f>
        <v>0.66742602396654871</v>
      </c>
      <c r="Z834" cm="1">
        <f t="array" ref="Z834">IFERROR(AVERAGE(_xlfn._xlws.FILTER(T$2:T$1073,($C$2:$C$1073=$C834)*($E$2:$E$1073=$E834)*(ROW(T$2:T$1073)&lt;&gt;ROW(T834))*(T$2:T$1073&lt;&gt;""))),"")</f>
        <v>0.19853029448574855</v>
      </c>
      <c r="AA834" cm="1">
        <f t="array" ref="AA834">IFERROR(AVERAGE(_xlfn._xlws.FILTER(U$2:U$1073,($C$2:$C$1073=$C834)*($E$2:$E$1073=$E834)*(ROW(U$2:U$1073)&lt;&gt;ROW(U834))*(U$2:U$1073&lt;&gt;""))),"")</f>
        <v>-0.85021812770937366</v>
      </c>
    </row>
    <row r="835" spans="1:27" x14ac:dyDescent="0.2">
      <c r="A835" s="7" t="s">
        <v>2284</v>
      </c>
      <c r="B835" t="str">
        <f t="shared" ref="B835:B898" si="145">A835&amp;" "&amp;
"IV"
&amp;" кв. "&amp;C835</f>
        <v>POSI IV кв. 2024</v>
      </c>
      <c r="C835">
        <v>2024</v>
      </c>
      <c r="D835">
        <f>SUMIFS(Дивиденды!$C:$C,Дивиденды!$A:$A,A835,Дивиденды!$I:$I,C835)</f>
        <v>4.5599999999999996</v>
      </c>
      <c r="E835">
        <v>5</v>
      </c>
      <c r="F835">
        <f t="shared" ref="F835:F898" si="146">D835</f>
        <v>4.5599999999999996</v>
      </c>
      <c r="G835">
        <f t="shared" ref="G835:G898" si="147">AVERAGEIFS($D:$D,$E:$E,E835,$C:$C,C835,$A:$A,"&lt;&gt;"&amp;A835)</f>
        <v>120.1711111111111</v>
      </c>
      <c r="H835">
        <f t="shared" ref="H835:H898" si="148">IF(D835&gt;0,1,0)</f>
        <v>1</v>
      </c>
      <c r="I835">
        <f t="shared" si="144"/>
        <v>0.44444444444444442</v>
      </c>
      <c r="J835">
        <f t="shared" ref="J835:J898" si="149">IF(A836&lt;&gt;A835,"",IF(D835=D836,0,IF(AND(D836=0,D835&lt;&gt;0), 1,(D835-D836)/D836)))</f>
        <v>-0.96925151719487523</v>
      </c>
      <c r="K835">
        <f t="shared" si="142"/>
        <v>0.44444444444444442</v>
      </c>
      <c r="L835">
        <f t="shared" ref="L835:L898" si="150">IF(J835&lt;&gt;"",IF(J835&gt;0,1,0),"")</f>
        <v>0</v>
      </c>
      <c r="M835">
        <f t="shared" si="143"/>
        <v>0.44444444444444442</v>
      </c>
      <c r="N835">
        <f t="shared" ref="N835:N898" si="151">IF(J835&lt;&gt;"",IF(J835&lt;0,1,0),"")</f>
        <v>1</v>
      </c>
      <c r="O835">
        <f t="shared" ref="O835:O898" si="152">IFERROR(AVERAGEIFS($N:$N,$E:$E,E835,$C:$C,C835,$A:$A,"&lt;&gt;"&amp;A835),"")</f>
        <v>0</v>
      </c>
      <c r="P835">
        <f>IFERROR(LN('Дивиденды по годам'!I835),"")</f>
        <v>24.688241626047766</v>
      </c>
      <c r="Q835">
        <f>IFERROR('Дивиденды по годам'!G835/'Дивиденды по годам'!I835, "")</f>
        <v>6.2210084323879249E-2</v>
      </c>
      <c r="R835">
        <f>IFERROR(IF(AND('Дивиденды по годам'!N835&lt;&gt;"",'Дивиденды по годам'!U835&lt;&gt;"",'Дивиденды по годам'!U835&lt;&gt;0),'Дивиденды по годам'!N835/'Дивиденды по годам'!U835-1,""),"")</f>
        <v>0.10104345506990819</v>
      </c>
      <c r="S835">
        <f>IFERROR(IF(AND('Дивиденды по годам'!L835&lt;&gt;"",'Дивиденды по годам'!I835&lt;&gt;"",'Дивиденды по годам'!J835&lt;&gt;"",'Дивиденды по годам'!K835&lt;&gt;"",('Дивиденды по годам'!I835-'Дивиденды по годам'!J835-'Дивиденды по годам'!K835)&lt;&gt;0),'Дивиденды по годам'!L835/('Дивиденды по годам'!I835-'Дивиденды по годам'!J835-'Дивиденды по годам'!K835),""),"")</f>
        <v>0.55639321768590011</v>
      </c>
      <c r="T835">
        <f>IFERROR(IF(AND('Дивиденды по годам'!Q835&lt;&gt;"",'Дивиденды по годам'!I835&lt;&gt;"",'Дивиденды по годам'!V835&lt;&gt;"",('Дивиденды по годам'!I835+'Дивиденды по годам'!V835)&lt;&gt;0),'Дивиденды по годам'!Q835/(('Дивиденды по годам'!I835+'Дивиденды по годам'!V835)/2),""),"")</f>
        <v>9.0376114872826749E-2</v>
      </c>
      <c r="U835">
        <f>IFERROR(IF(AND('Дивиденды по годам'!J835&lt;&gt;"",'Дивиденды по годам'!K835&lt;&gt;"",'Дивиденды по годам'!M835&lt;&gt;"",'Дивиденды по годам'!M835&lt;&gt;0),('Дивиденды по годам'!J835+'Дивиденды по годам'!K835)/'Дивиденды по годам'!M835,""),"")</f>
        <v>2.0902500981548298</v>
      </c>
      <c r="V835" cm="1">
        <f t="array" ref="V835">IFERROR(AVERAGE(_xlfn._xlws.FILTER(P$2:P$1073,($C$2:$C$1073=$C835)*($E$2:$E$1073=$E835)*(ROW(P$2:P$1073)&lt;&gt;ROW(P835))*(P$2:P$1073&lt;&gt;""))),"")</f>
        <v>24.668236142596552</v>
      </c>
      <c r="W835" cm="1">
        <f t="array" ref="W835">IFERROR(AVERAGE(_xlfn._xlws.FILTER(Q$2:Q$1073,($C$2:$C$1073=$C835)*($E$2:$E$1073=$E835)*(ROW(Q$2:Q$1073)&lt;&gt;ROW(Q835))*(Q$2:Q$1073&lt;&gt;""))),"")</f>
        <v>7.7728487032585905E-2</v>
      </c>
      <c r="X835" cm="1">
        <f t="array" ref="X835">IFERROR(AVERAGE(_xlfn._xlws.FILTER(R$2:R$1073,($C$2:$C$1073=$C835)*($E$2:$E$1073=$E835)*(ROW(R$2:R$1073)&lt;&gt;ROW(R835))*(R$2:R$1073&lt;&gt;""))),"")</f>
        <v>0.33561381507410742</v>
      </c>
      <c r="Y835" cm="1">
        <f t="array" ref="Y835">IFERROR(AVERAGE(_xlfn._xlws.FILTER(S$2:S$1073,($C$2:$C$1073=$C835)*($E$2:$E$1073=$E835)*(ROW(S$2:S$1073)&lt;&gt;ROW(S835))*(S$2:S$1073&lt;&gt;""))),"")</f>
        <v>0.21797842460647401</v>
      </c>
      <c r="Z835" cm="1">
        <f t="array" ref="Z835">IFERROR(AVERAGE(_xlfn._xlws.FILTER(T$2:T$1073,($C$2:$C$1073=$C835)*($E$2:$E$1073=$E835)*(ROW(T$2:T$1073)&lt;&gt;ROW(T835))*(T$2:T$1073&lt;&gt;""))),"")</f>
        <v>0.27391239504952075</v>
      </c>
      <c r="AA835" cm="1">
        <f t="array" ref="AA835">IFERROR(AVERAGE(_xlfn._xlws.FILTER(U$2:U$1073,($C$2:$C$1073=$C835)*($E$2:$E$1073=$E835)*(ROW(U$2:U$1073)&lt;&gt;ROW(U835))*(U$2:U$1073&lt;&gt;""))),"")</f>
        <v>2.7682198204773778</v>
      </c>
    </row>
    <row r="836" spans="1:27" x14ac:dyDescent="0.2">
      <c r="A836" s="7" t="s">
        <v>2284</v>
      </c>
      <c r="B836" t="str">
        <f t="shared" si="145"/>
        <v>POSI IV кв. 2023</v>
      </c>
      <c r="C836">
        <v>2023</v>
      </c>
      <c r="D836">
        <f>SUMIFS(Дивиденды!$C:$C,Дивиденды!$A:$A,A836,Дивиденды!$I:$I,C836)</f>
        <v>148.30000000000001</v>
      </c>
      <c r="E836">
        <v>5</v>
      </c>
      <c r="F836">
        <f t="shared" si="146"/>
        <v>148.30000000000001</v>
      </c>
      <c r="G836">
        <f t="shared" si="147"/>
        <v>0</v>
      </c>
      <c r="H836">
        <f t="shared" si="148"/>
        <v>1</v>
      </c>
      <c r="I836">
        <f t="shared" si="144"/>
        <v>0</v>
      </c>
      <c r="J836">
        <f t="shared" si="149"/>
        <v>2.8519480519480522</v>
      </c>
      <c r="K836">
        <f t="shared" ref="K836:K899" si="153">IFERROR(AVERAGEIFS($J:$J,$E:$E,E836,$C:$C,C836,$A:$A,"&lt;&gt;"&amp;A836),"")</f>
        <v>0</v>
      </c>
      <c r="L836">
        <f t="shared" si="150"/>
        <v>1</v>
      </c>
      <c r="M836">
        <f t="shared" si="143"/>
        <v>0</v>
      </c>
      <c r="N836">
        <f t="shared" si="151"/>
        <v>0</v>
      </c>
      <c r="O836">
        <f t="shared" si="152"/>
        <v>0</v>
      </c>
      <c r="P836">
        <f>IFERROR(LN('Дивиденды по годам'!I836),"")</f>
        <v>24.068391296675408</v>
      </c>
      <c r="Q836">
        <f>IFERROR('Дивиденды по годам'!G836/'Дивиденды по годам'!I836, "")</f>
        <v>6.2346024736732661E-2</v>
      </c>
      <c r="R836">
        <f>IFERROR(IF(AND('Дивиденды по годам'!N836&lt;&gt;"",'Дивиденды по годам'!U836&lt;&gt;"",'Дивиденды по годам'!U836&lt;&gt;0),'Дивиденды по годам'!N836/'Дивиденды по годам'!U836-1,""),"")</f>
        <v>0.6125270462893091</v>
      </c>
      <c r="S836">
        <f>IFERROR(IF(AND('Дивиденды по годам'!L836&lt;&gt;"",'Дивиденды по годам'!I836&lt;&gt;"",'Дивиденды по годам'!J836&lt;&gt;"",'Дивиденды по годам'!K836&lt;&gt;"",('Дивиденды по годам'!I836-'Дивиденды по годам'!J836-'Дивиденды по годам'!K836)&lt;&gt;0),'Дивиденды по годам'!L836/('Дивиденды по годам'!I836-'Дивиденды по годам'!J836-'Дивиденды по годам'!K836),""),"")</f>
        <v>0.99778997246120693</v>
      </c>
      <c r="T836">
        <f>IFERROR(IF(AND('Дивиденды по годам'!Q836&lt;&gt;"",'Дивиденды по годам'!I836&lt;&gt;"",'Дивиденды по годам'!V836&lt;&gt;"",('Дивиденды по годам'!I836+'Дивиденды по годам'!V836)&lt;&gt;0),'Дивиденды по годам'!Q836/(('Дивиденды по годам'!I836+'Дивиденды по годам'!V836)/2),""),"")</f>
        <v>0.42243540405296037</v>
      </c>
      <c r="U836">
        <f>IFERROR(IF(AND('Дивиденды по годам'!J836&lt;&gt;"",'Дивиденды по годам'!K836&lt;&gt;"",'Дивиденды по годам'!M836&lt;&gt;"",'Дивиденды по годам'!M836&lt;&gt;0),('Дивиденды по годам'!J836+'Дивиденды по годам'!K836)/'Дивиденды по годам'!M836,""),"")</f>
        <v>1.1487511484597912</v>
      </c>
      <c r="V836" cm="1">
        <f t="array" ref="V836">IFERROR(AVERAGE(_xlfn._xlws.FILTER(P$2:P$1073,($C$2:$C$1073=$C836)*($E$2:$E$1073=$E836)*(ROW(P$2:P$1073)&lt;&gt;ROW(P836))*(P$2:P$1073&lt;&gt;""))),"")</f>
        <v>24.0506555828585</v>
      </c>
      <c r="W836" cm="1">
        <f t="array" ref="W836">IFERROR(AVERAGE(_xlfn._xlws.FILTER(Q$2:Q$1073,($C$2:$C$1073=$C836)*($E$2:$E$1073=$E836)*(ROW(Q$2:Q$1073)&lt;&gt;ROW(Q836))*(Q$2:Q$1073&lt;&gt;""))),"")</f>
        <v>3.8965484298785283E-2</v>
      </c>
      <c r="X836" cm="1">
        <f t="array" ref="X836">IFERROR(AVERAGE(_xlfn._xlws.FILTER(R$2:R$1073,($C$2:$C$1073=$C836)*($E$2:$E$1073=$E836)*(ROW(R$2:R$1073)&lt;&gt;ROW(R836))*(R$2:R$1073&lt;&gt;""))),"")</f>
        <v>0.475827605727696</v>
      </c>
      <c r="Y836" cm="1">
        <f t="array" ref="Y836">IFERROR(AVERAGE(_xlfn._xlws.FILTER(S$2:S$1073,($C$2:$C$1073=$C836)*($E$2:$E$1073=$E836)*(ROW(S$2:S$1073)&lt;&gt;ROW(S836))*(S$2:S$1073&lt;&gt;""))),"")</f>
        <v>0.62981680389625516</v>
      </c>
      <c r="Z836" cm="1">
        <f t="array" ref="Z836">IFERROR(AVERAGE(_xlfn._xlws.FILTER(T$2:T$1073,($C$2:$C$1073=$C836)*($E$2:$E$1073=$E836)*(ROW(T$2:T$1073)&lt;&gt;ROW(T836))*(T$2:T$1073&lt;&gt;""))),"")</f>
        <v>0.11865660816086494</v>
      </c>
      <c r="AA836" cm="1">
        <f t="array" ref="AA836">IFERROR(AVERAGE(_xlfn._xlws.FILTER(U$2:U$1073,($C$2:$C$1073=$C836)*($E$2:$E$1073=$E836)*(ROW(U$2:U$1073)&lt;&gt;ROW(U836))*(U$2:U$1073&lt;&gt;""))),"")</f>
        <v>2.2373387813477943</v>
      </c>
    </row>
    <row r="837" spans="1:27" x14ac:dyDescent="0.2">
      <c r="A837" s="7" t="s">
        <v>2284</v>
      </c>
      <c r="B837" t="str">
        <f t="shared" si="145"/>
        <v>POSI IV кв. 2022</v>
      </c>
      <c r="C837">
        <v>2022</v>
      </c>
      <c r="D837">
        <f>SUMIFS(Дивиденды!$C:$C,Дивиденды!$A:$A,A837,Дивиденды!$I:$I,C837)</f>
        <v>38.5</v>
      </c>
      <c r="E837">
        <v>5</v>
      </c>
      <c r="F837">
        <f t="shared" si="146"/>
        <v>38.5</v>
      </c>
      <c r="G837">
        <f t="shared" si="147"/>
        <v>0</v>
      </c>
      <c r="H837">
        <f t="shared" si="148"/>
        <v>1</v>
      </c>
      <c r="I837">
        <f t="shared" si="144"/>
        <v>0</v>
      </c>
      <c r="J837">
        <f t="shared" si="149"/>
        <v>1</v>
      </c>
      <c r="K837">
        <f t="shared" si="153"/>
        <v>0</v>
      </c>
      <c r="L837">
        <f t="shared" si="150"/>
        <v>1</v>
      </c>
      <c r="M837">
        <f t="shared" si="143"/>
        <v>0</v>
      </c>
      <c r="N837">
        <f t="shared" si="151"/>
        <v>0</v>
      </c>
      <c r="O837">
        <f t="shared" si="152"/>
        <v>0</v>
      </c>
      <c r="P837">
        <f>IFERROR(LN('Дивиденды по годам'!I837),"")</f>
        <v>23.587870284137672</v>
      </c>
      <c r="Q837">
        <f>IFERROR('Дивиденды по годам'!G837/'Дивиденды по годам'!I837, "")</f>
        <v>5.7567067319655281E-2</v>
      </c>
      <c r="R837">
        <f>IFERROR(IF(AND('Дивиденды по годам'!N837&lt;&gt;"",'Дивиденды по годам'!U837&lt;&gt;"",'Дивиденды по годам'!U837&lt;&gt;0),'Дивиденды по годам'!N837/'Дивиденды по годам'!U837-1,""),"")</f>
        <v>0.94670382293199573</v>
      </c>
      <c r="S837">
        <f>IFERROR(IF(AND('Дивиденды по годам'!L837&lt;&gt;"",'Дивиденды по годам'!I837&lt;&gt;"",'Дивиденды по годам'!J837&lt;&gt;"",'Дивиденды по годам'!K837&lt;&gt;"",('Дивиденды по годам'!I837-'Дивиденды по годам'!J837-'Дивиденды по годам'!K837)&lt;&gt;0),'Дивиденды по годам'!L837/('Дивиденды по годам'!I837-'Дивиденды по годам'!J837-'Дивиденды по годам'!K837),""),"")</f>
        <v>0.9962910071656339</v>
      </c>
      <c r="T837">
        <f>IFERROR(IF(AND('Дивиденды по годам'!Q837&lt;&gt;"",'Дивиденды по годам'!I837&lt;&gt;"",'Дивиденды по годам'!V837&lt;&gt;"",('Дивиденды по годам'!I837+'Дивиденды по годам'!V837)&lt;&gt;0),'Дивиденды по годам'!Q837/(('Дивиденды по годам'!I837+'Дивиденды по годам'!V837)/2),""),"")</f>
        <v>0.45242006927514644</v>
      </c>
      <c r="U837">
        <f>IFERROR(IF(AND('Дивиденды по годам'!J837&lt;&gt;"",'Дивиденды по годам'!K837&lt;&gt;"",'Дивиденды по годам'!M837&lt;&gt;"",'Дивиденды по годам'!M837&lt;&gt;0),('Дивиденды по годам'!J837+'Дивиденды по годам'!K837)/'Дивиденды по годам'!M837,""),"")</f>
        <v>1.1140322778906573</v>
      </c>
      <c r="V837" cm="1">
        <f t="array" ref="V837">IFERROR(AVERAGE(_xlfn._xlws.FILTER(P$2:P$1073,($C$2:$C$1073=$C837)*($E$2:$E$1073=$E837)*(ROW(P$2:P$1073)&lt;&gt;ROW(P837))*(P$2:P$1073&lt;&gt;""))),"")</f>
        <v>24.556107574396567</v>
      </c>
      <c r="W837" cm="1">
        <f t="array" ref="W837">IFERROR(AVERAGE(_xlfn._xlws.FILTER(Q$2:Q$1073,($C$2:$C$1073=$C837)*($E$2:$E$1073=$E837)*(ROW(Q$2:Q$1073)&lt;&gt;ROW(Q837))*(Q$2:Q$1073&lt;&gt;""))),"")</f>
        <v>5.6499974499565418E-2</v>
      </c>
      <c r="X837" cm="1">
        <f t="array" ref="X837">IFERROR(AVERAGE(_xlfn._xlws.FILTER(R$2:R$1073,($C$2:$C$1073=$C837)*($E$2:$E$1073=$E837)*(ROW(R$2:R$1073)&lt;&gt;ROW(R837))*(R$2:R$1073&lt;&gt;""))),"")</f>
        <v>0.67204708181663975</v>
      </c>
      <c r="Y837" cm="1">
        <f t="array" ref="Y837">IFERROR(AVERAGE(_xlfn._xlws.FILTER(S$2:S$1073,($C$2:$C$1073=$C837)*($E$2:$E$1073=$E837)*(ROW(S$2:S$1073)&lt;&gt;ROW(S837))*(S$2:S$1073&lt;&gt;""))),"")</f>
        <v>0.73424559252472565</v>
      </c>
      <c r="Z837" cm="1">
        <f t="array" ref="Z837">IFERROR(AVERAGE(_xlfn._xlws.FILTER(T$2:T$1073,($C$2:$C$1073=$C837)*($E$2:$E$1073=$E837)*(ROW(T$2:T$1073)&lt;&gt;ROW(T837))*(T$2:T$1073&lt;&gt;""))),"")</f>
        <v>0.45515313610675667</v>
      </c>
      <c r="AA837" cm="1">
        <f t="array" ref="AA837">IFERROR(AVERAGE(_xlfn._xlws.FILTER(U$2:U$1073,($C$2:$C$1073=$C837)*($E$2:$E$1073=$E837)*(ROW(U$2:U$1073)&lt;&gt;ROW(U837))*(U$2:U$1073&lt;&gt;""))),"")</f>
        <v>2.6293032786698713</v>
      </c>
    </row>
    <row r="838" spans="1:27" x14ac:dyDescent="0.2">
      <c r="A838" s="7" t="s">
        <v>2284</v>
      </c>
      <c r="B838" t="str">
        <f t="shared" si="145"/>
        <v>POSI IV кв. 2021</v>
      </c>
      <c r="C838">
        <v>2021</v>
      </c>
      <c r="D838">
        <f>SUMIFS(Дивиденды!$C:$C,Дивиденды!$A:$A,A838,Дивиденды!$I:$I,C838)</f>
        <v>0</v>
      </c>
      <c r="E838">
        <v>5</v>
      </c>
      <c r="F838">
        <f t="shared" si="146"/>
        <v>0</v>
      </c>
      <c r="G838">
        <f t="shared" si="147"/>
        <v>0</v>
      </c>
      <c r="H838">
        <f t="shared" si="148"/>
        <v>0</v>
      </c>
      <c r="I838">
        <f t="shared" si="144"/>
        <v>0</v>
      </c>
      <c r="J838">
        <f t="shared" si="149"/>
        <v>0</v>
      </c>
      <c r="K838">
        <f t="shared" si="153"/>
        <v>0</v>
      </c>
      <c r="L838">
        <f t="shared" si="150"/>
        <v>0</v>
      </c>
      <c r="M838">
        <f t="shared" si="143"/>
        <v>0</v>
      </c>
      <c r="N838">
        <f t="shared" si="151"/>
        <v>0</v>
      </c>
      <c r="O838">
        <f t="shared" si="152"/>
        <v>0</v>
      </c>
      <c r="P838">
        <f>IFERROR(LN('Дивиденды по годам'!I838),"")</f>
        <v>22.960962907734501</v>
      </c>
      <c r="Q838">
        <f>IFERROR('Дивиденды по годам'!G838/'Дивиденды по годам'!I838, "")</f>
        <v>5.9124873929279183E-2</v>
      </c>
      <c r="R838">
        <f>IFERROR(IF(AND('Дивиденды по годам'!N838&lt;&gt;"",'Дивиденды по годам'!U838&lt;&gt;"",'Дивиденды по годам'!U838&lt;&gt;0),'Дивиденды по годам'!N838/'Дивиденды по годам'!U838-1,""),"")</f>
        <v>0.27950276304033705</v>
      </c>
      <c r="S838">
        <f>IFERROR(IF(AND('Дивиденды по годам'!L838&lt;&gt;"",'Дивиденды по годам'!I838&lt;&gt;"",'Дивиденды по годам'!J838&lt;&gt;"",'Дивиденды по годам'!K838&lt;&gt;"",('Дивиденды по годам'!I838-'Дивиденды по годам'!J838-'Дивиденды по годам'!K838)&lt;&gt;0),'Дивиденды по годам'!L838/('Дивиденды по годам'!I838-'Дивиденды по годам'!J838-'Дивиденды по годам'!K838),""),"")</f>
        <v>0.99063986965591688</v>
      </c>
      <c r="T838">
        <f>IFERROR(IF(AND('Дивиденды по годам'!Q838&lt;&gt;"",'Дивиденды по годам'!I838&lt;&gt;"",'Дивиденды по годам'!V838&lt;&gt;"",('Дивиденды по годам'!I838+'Дивиденды по годам'!V838)&lt;&gt;0),'Дивиденды по годам'!Q838/(('Дивиденды по годам'!I838+'Дивиденды по годам'!V838)/2),""),"")</f>
        <v>0.24063217698209571</v>
      </c>
      <c r="U838">
        <f>IFERROR(IF(AND('Дивиденды по годам'!J838&lt;&gt;"",'Дивиденды по годам'!K838&lt;&gt;"",'Дивиденды по годам'!M838&lt;&gt;"",'Дивиденды по годам'!M838&lt;&gt;0),('Дивиденды по годам'!J838+'Дивиденды по годам'!K838)/'Дивиденды по годам'!M838,""),"")</f>
        <v>1.6755492645876973</v>
      </c>
      <c r="V838" cm="1">
        <f t="array" ref="V838">IFERROR(AVERAGE(_xlfn._xlws.FILTER(P$2:P$1073,($C$2:$C$1073=$C838)*($E$2:$E$1073=$E838)*(ROW(P$2:P$1073)&lt;&gt;ROW(P838))*(P$2:P$1073&lt;&gt;""))),"")</f>
        <v>22.867510630644809</v>
      </c>
      <c r="W838" cm="1">
        <f t="array" ref="W838">IFERROR(AVERAGE(_xlfn._xlws.FILTER(Q$2:Q$1073,($C$2:$C$1073=$C838)*($E$2:$E$1073=$E838)*(ROW(Q$2:Q$1073)&lt;&gt;ROW(Q838))*(Q$2:Q$1073&lt;&gt;""))),"")</f>
        <v>3.0118990094567435E-2</v>
      </c>
      <c r="X838" cm="1">
        <f t="array" ref="X838">IFERROR(AVERAGE(_xlfn._xlws.FILTER(R$2:R$1073,($C$2:$C$1073=$C838)*($E$2:$E$1073=$E838)*(ROW(R$2:R$1073)&lt;&gt;ROW(R838))*(R$2:R$1073&lt;&gt;""))),"")</f>
        <v>-4.0523780681260946E-2</v>
      </c>
      <c r="Y838" cm="1">
        <f t="array" ref="Y838">IFERROR(AVERAGE(_xlfn._xlws.FILTER(S$2:S$1073,($C$2:$C$1073=$C838)*($E$2:$E$1073=$E838)*(ROW(S$2:S$1073)&lt;&gt;ROW(S838))*(S$2:S$1073&lt;&gt;""))),"")</f>
        <v>0.43827850848609395</v>
      </c>
      <c r="Z838" cm="1">
        <f t="array" ref="Z838">IFERROR(AVERAGE(_xlfn._xlws.FILTER(T$2:T$1073,($C$2:$C$1073=$C838)*($E$2:$E$1073=$E838)*(ROW(T$2:T$1073)&lt;&gt;ROW(T838))*(T$2:T$1073&lt;&gt;""))),"")</f>
        <v>2.9047209263704576E-2</v>
      </c>
      <c r="AA838" cm="1">
        <f t="array" ref="AA838">IFERROR(AVERAGE(_xlfn._xlws.FILTER(U$2:U$1073,($C$2:$C$1073=$C838)*($E$2:$E$1073=$E838)*(ROW(U$2:U$1073)&lt;&gt;ROW(U838))*(U$2:U$1073&lt;&gt;""))),"")</f>
        <v>17.210608984954593</v>
      </c>
    </row>
    <row r="839" spans="1:27" x14ac:dyDescent="0.2">
      <c r="A839" s="7" t="s">
        <v>2284</v>
      </c>
      <c r="B839" t="str">
        <f t="shared" si="145"/>
        <v>POSI IV кв. 2020</v>
      </c>
      <c r="C839">
        <v>2020</v>
      </c>
      <c r="D839">
        <f>SUMIFS(Дивиденды!$C:$C,Дивиденды!$A:$A,A839,Дивиденды!$I:$I,C839)</f>
        <v>0</v>
      </c>
      <c r="E839">
        <v>5</v>
      </c>
      <c r="F839">
        <f t="shared" si="146"/>
        <v>0</v>
      </c>
      <c r="G839">
        <f t="shared" si="147"/>
        <v>0</v>
      </c>
      <c r="H839">
        <f t="shared" si="148"/>
        <v>0</v>
      </c>
      <c r="I839">
        <f t="shared" si="144"/>
        <v>0</v>
      </c>
      <c r="J839">
        <f t="shared" si="149"/>
        <v>0</v>
      </c>
      <c r="K839">
        <f t="shared" si="153"/>
        <v>0</v>
      </c>
      <c r="L839">
        <f t="shared" si="150"/>
        <v>0</v>
      </c>
      <c r="M839">
        <f t="shared" si="143"/>
        <v>0</v>
      </c>
      <c r="N839">
        <f t="shared" si="151"/>
        <v>0</v>
      </c>
      <c r="O839">
        <f t="shared" si="152"/>
        <v>0</v>
      </c>
      <c r="P839">
        <f>IFERROR(LN('Дивиденды по годам'!I839),"")</f>
        <v>22.600509642831252</v>
      </c>
      <c r="Q839">
        <f>IFERROR('Дивиденды по годам'!G839/'Дивиденды по годам'!I839, "")</f>
        <v>5.6237144185717715E-2</v>
      </c>
      <c r="R839">
        <f>IFERROR(IF(AND('Дивиденды по годам'!N839&lt;&gt;"",'Дивиденды по годам'!U839&lt;&gt;"",'Дивиденды по годам'!U839&lt;&gt;0),'Дивиденды по годам'!N839/'Дивиденды по годам'!U839-1,""),"")</f>
        <v>0.60261811450317082</v>
      </c>
      <c r="S839">
        <f>IFERROR(IF(AND('Дивиденды по годам'!L839&lt;&gt;"",'Дивиденды по годам'!I839&lt;&gt;"",'Дивиденды по годам'!J839&lt;&gt;"",'Дивиденды по годам'!K839&lt;&gt;"",('Дивиденды по годам'!I839-'Дивиденды по годам'!J839-'Дивиденды по годам'!K839)&lt;&gt;0),'Дивиденды по годам'!L839/('Дивиденды по годам'!I839-'Дивиденды по годам'!J839-'Дивиденды по годам'!K839),""),"")</f>
        <v>0.98625241302219391</v>
      </c>
      <c r="T839">
        <f>IFERROR(IF(AND('Дивиденды по годам'!Q839&lt;&gt;"",'Дивиденды по годам'!I839&lt;&gt;"",'Дивиденды по годам'!V839&lt;&gt;"",('Дивиденды по годам'!I839+'Дивиденды по годам'!V839)&lt;&gt;0),'Дивиденды по годам'!Q839/(('Дивиденды по годам'!I839+'Дивиденды по годам'!V839)/2),""),"")</f>
        <v>0.26070423168654877</v>
      </c>
      <c r="U839">
        <f>IFERROR(IF(AND('Дивиденды по годам'!J839&lt;&gt;"",'Дивиденды по годам'!K839&lt;&gt;"",'Дивиденды по годам'!M839&lt;&gt;"",'Дивиденды по годам'!M839&lt;&gt;0),('Дивиденды по годам'!J839+'Дивиденды по годам'!K839)/'Дивиденды по годам'!M839,""),"")</f>
        <v>1.5905916908794697</v>
      </c>
      <c r="V839" cm="1">
        <f t="array" ref="V839">IFERROR(AVERAGE(_xlfn._xlws.FILTER(P$2:P$1073,($C$2:$C$1073=$C839)*($E$2:$E$1073=$E839)*(ROW(P$2:P$1073)&lt;&gt;ROW(P839))*(P$2:P$1073&lt;&gt;""))),"")</f>
        <v>24.198271145753285</v>
      </c>
      <c r="W839" cm="1">
        <f t="array" ref="W839">IFERROR(AVERAGE(_xlfn._xlws.FILTER(Q$2:Q$1073,($C$2:$C$1073=$C839)*($E$2:$E$1073=$E839)*(ROW(Q$2:Q$1073)&lt;&gt;ROW(Q839))*(Q$2:Q$1073&lt;&gt;""))),"")</f>
        <v>1.1672549383862777E-2</v>
      </c>
      <c r="X839" t="str" cm="1">
        <f t="array" ref="X839">IFERROR(AVERAGE(_xlfn._xlws.FILTER(R$2:R$1073,($C$2:$C$1073=$C839)*($E$2:$E$1073=$E839)*(ROW(R$2:R$1073)&lt;&gt;ROW(R839))*(R$2:R$1073&lt;&gt;""))),"")</f>
        <v/>
      </c>
      <c r="Y839" cm="1">
        <f t="array" ref="Y839">IFERROR(AVERAGE(_xlfn._xlws.FILTER(S$2:S$1073,($C$2:$C$1073=$C839)*($E$2:$E$1073=$E839)*(ROW(S$2:S$1073)&lt;&gt;ROW(S839))*(S$2:S$1073&lt;&gt;""))),"")</f>
        <v>0.76522929500342229</v>
      </c>
      <c r="Z839" t="str" cm="1">
        <f t="array" ref="Z839">IFERROR(AVERAGE(_xlfn._xlws.FILTER(T$2:T$1073,($C$2:$C$1073=$C839)*($E$2:$E$1073=$E839)*(ROW(T$2:T$1073)&lt;&gt;ROW(T839))*(T$2:T$1073&lt;&gt;""))),"")</f>
        <v/>
      </c>
      <c r="AA839" cm="1">
        <f t="array" ref="AA839">IFERROR(AVERAGE(_xlfn._xlws.FILTER(U$2:U$1073,($C$2:$C$1073=$C839)*($E$2:$E$1073=$E839)*(ROW(U$2:U$1073)&lt;&gt;ROW(U839))*(U$2:U$1073&lt;&gt;""))),"")</f>
        <v>6.3689253935660508</v>
      </c>
    </row>
    <row r="840" spans="1:27" x14ac:dyDescent="0.2">
      <c r="A840" s="7" t="s">
        <v>2284</v>
      </c>
      <c r="B840" t="str">
        <f t="shared" si="145"/>
        <v>POSI IV кв. 2019</v>
      </c>
      <c r="C840">
        <v>2019</v>
      </c>
      <c r="D840">
        <f>SUMIFS(Дивиденды!$C:$C,Дивиденды!$A:$A,A840,Дивиденды!$I:$I,C840)</f>
        <v>0</v>
      </c>
      <c r="E840">
        <v>5</v>
      </c>
      <c r="F840">
        <f t="shared" si="146"/>
        <v>0</v>
      </c>
      <c r="G840">
        <f t="shared" si="147"/>
        <v>0</v>
      </c>
      <c r="H840">
        <f t="shared" si="148"/>
        <v>0</v>
      </c>
      <c r="I840">
        <f t="shared" si="144"/>
        <v>0</v>
      </c>
      <c r="J840">
        <f t="shared" si="149"/>
        <v>0</v>
      </c>
      <c r="K840">
        <f t="shared" si="153"/>
        <v>0</v>
      </c>
      <c r="L840">
        <f t="shared" si="150"/>
        <v>0</v>
      </c>
      <c r="M840">
        <f t="shared" si="143"/>
        <v>0</v>
      </c>
      <c r="N840">
        <f t="shared" si="151"/>
        <v>0</v>
      </c>
      <c r="O840">
        <f t="shared" si="152"/>
        <v>0</v>
      </c>
      <c r="P840">
        <f>IFERROR(LN('Дивиденды по годам'!I840),"")</f>
        <v>22.346825762693463</v>
      </c>
      <c r="Q840">
        <f>IFERROR('Дивиденды по годам'!G840/'Дивиденды по годам'!I840, "")</f>
        <v>7.5056136613850494E-2</v>
      </c>
      <c r="R840">
        <f>IFERROR(IF(AND('Дивиденды по годам'!N840&lt;&gt;"",'Дивиденды по годам'!U840&lt;&gt;"",'Дивиденды по годам'!U840&lt;&gt;0),'Дивиденды по годам'!N840/'Дивиденды по годам'!U840-1,""),"")</f>
        <v>0.33893563509351354</v>
      </c>
      <c r="S840">
        <f>IFERROR(IF(AND('Дивиденды по годам'!L840&lt;&gt;"",'Дивиденды по годам'!I840&lt;&gt;"",'Дивиденды по годам'!J840&lt;&gt;"",'Дивиденды по годам'!K840&lt;&gt;"",('Дивиденды по годам'!I840-'Дивиденды по годам'!J840-'Дивиденды по годам'!K840)&lt;&gt;0),'Дивиденды по годам'!L840/('Дивиденды по годам'!I840-'Дивиденды по годам'!J840-'Дивиденды по годам'!K840),""),"")</f>
        <v>0.96665544321096464</v>
      </c>
      <c r="T840">
        <f>IFERROR(IF(AND('Дивиденды по годам'!Q840&lt;&gt;"",'Дивиденды по годам'!I840&lt;&gt;"",'Дивиденды по годам'!V840&lt;&gt;"",('Дивиденды по годам'!I840+'Дивиденды по годам'!V840)&lt;&gt;0),'Дивиденды по годам'!Q840/(('Дивиденды по годам'!I840+'Дивиденды по годам'!V840)/2),""),"")</f>
        <v>3.4488878181792075E-2</v>
      </c>
      <c r="U840">
        <f>IFERROR(IF(AND('Дивиденды по годам'!J840&lt;&gt;"",'Дивиденды по годам'!K840&lt;&gt;"",'Дивиденды по годам'!M840&lt;&gt;"",'Дивиденды по годам'!M840&lt;&gt;0),('Дивиденды по годам'!J840+'Дивиденды по годам'!K840)/'Дивиденды по годам'!M840,""),"")</f>
        <v>4.0219461472187286</v>
      </c>
      <c r="V840" t="str" cm="1">
        <f t="array" ref="V840">IFERROR(AVERAGE(_xlfn._xlws.FILTER(P$2:P$1073,($C$2:$C$1073=$C840)*($E$2:$E$1073=$E840)*(ROW(P$2:P$1073)&lt;&gt;ROW(P840))*(P$2:P$1073&lt;&gt;""))),"")</f>
        <v/>
      </c>
      <c r="W840" t="str" cm="1">
        <f t="array" ref="W840">IFERROR(AVERAGE(_xlfn._xlws.FILTER(Q$2:Q$1073,($C$2:$C$1073=$C840)*($E$2:$E$1073=$E840)*(ROW(Q$2:Q$1073)&lt;&gt;ROW(Q840))*(Q$2:Q$1073&lt;&gt;""))),"")</f>
        <v/>
      </c>
      <c r="X840" t="str" cm="1">
        <f t="array" ref="X840">IFERROR(AVERAGE(_xlfn._xlws.FILTER(R$2:R$1073,($C$2:$C$1073=$C840)*($E$2:$E$1073=$E840)*(ROW(R$2:R$1073)&lt;&gt;ROW(R840))*(R$2:R$1073&lt;&gt;""))),"")</f>
        <v/>
      </c>
      <c r="Y840" t="str" cm="1">
        <f t="array" ref="Y840">IFERROR(AVERAGE(_xlfn._xlws.FILTER(S$2:S$1073,($C$2:$C$1073=$C840)*($E$2:$E$1073=$E840)*(ROW(S$2:S$1073)&lt;&gt;ROW(S840))*(S$2:S$1073&lt;&gt;""))),"")</f>
        <v/>
      </c>
      <c r="Z840" t="str" cm="1">
        <f t="array" ref="Z840">IFERROR(AVERAGE(_xlfn._xlws.FILTER(T$2:T$1073,($C$2:$C$1073=$C840)*($E$2:$E$1073=$E840)*(ROW(T$2:T$1073)&lt;&gt;ROW(T840))*(T$2:T$1073&lt;&gt;""))),"")</f>
        <v/>
      </c>
      <c r="AA840" t="str" cm="1">
        <f t="array" ref="AA840">IFERROR(AVERAGE(_xlfn._xlws.FILTER(U$2:U$1073,($C$2:$C$1073=$C840)*($E$2:$E$1073=$E840)*(ROW(U$2:U$1073)&lt;&gt;ROW(U840))*(U$2:U$1073&lt;&gt;""))),"")</f>
        <v/>
      </c>
    </row>
    <row r="841" spans="1:27" x14ac:dyDescent="0.2">
      <c r="A841" s="7" t="s">
        <v>2284</v>
      </c>
      <c r="B841" t="str">
        <f t="shared" si="145"/>
        <v>POSI IV кв. 2018</v>
      </c>
      <c r="C841">
        <v>2018</v>
      </c>
      <c r="D841">
        <f>SUMIFS(Дивиденды!$C:$C,Дивиденды!$A:$A,A841,Дивиденды!$I:$I,C841)</f>
        <v>0</v>
      </c>
      <c r="E841">
        <v>5</v>
      </c>
      <c r="F841">
        <f t="shared" si="146"/>
        <v>0</v>
      </c>
      <c r="G841">
        <f t="shared" si="147"/>
        <v>0</v>
      </c>
      <c r="H841">
        <f t="shared" si="148"/>
        <v>0</v>
      </c>
      <c r="I841">
        <f t="shared" si="144"/>
        <v>0</v>
      </c>
      <c r="J841">
        <f t="shared" si="149"/>
        <v>0</v>
      </c>
      <c r="K841">
        <f t="shared" si="153"/>
        <v>0</v>
      </c>
      <c r="L841">
        <f t="shared" si="150"/>
        <v>0</v>
      </c>
      <c r="M841">
        <f t="shared" si="143"/>
        <v>0</v>
      </c>
      <c r="N841">
        <f t="shared" si="151"/>
        <v>0</v>
      </c>
      <c r="O841">
        <f t="shared" si="152"/>
        <v>0</v>
      </c>
      <c r="P841">
        <f>IFERROR(LN('Дивиденды по годам'!I841),"")</f>
        <v>22.172578892977874</v>
      </c>
      <c r="Q841">
        <f>IFERROR('Дивиденды по годам'!G841/'Дивиденды по годам'!I841, "")</f>
        <v>8.054458642308425E-2</v>
      </c>
      <c r="R841" t="str">
        <f>IFERROR(IF(AND('Дивиденды по годам'!N841&lt;&gt;"",'Дивиденды по годам'!U841&lt;&gt;"",'Дивиденды по годам'!U841&lt;&gt;0),'Дивиденды по годам'!N841/'Дивиденды по годам'!U841-1,""),"")</f>
        <v/>
      </c>
      <c r="S841">
        <f>IFERROR(IF(AND('Дивиденды по годам'!L841&lt;&gt;"",'Дивиденды по годам'!I841&lt;&gt;"",'Дивиденды по годам'!J841&lt;&gt;"",'Дивиденды по годам'!K841&lt;&gt;"",('Дивиденды по годам'!I841-'Дивиденды по годам'!J841-'Дивиденды по годам'!K841)&lt;&gt;0),'Дивиденды по годам'!L841/('Дивиденды по годам'!I841-'Дивиденды по годам'!J841-'Дивиденды по годам'!K841),""),"")</f>
        <v>0.96159636867391751</v>
      </c>
      <c r="T841" t="str">
        <f>IFERROR(IF(AND('Дивиденды по годам'!Q841&lt;&gt;"",'Дивиденды по годам'!I841&lt;&gt;"",'Дивиденды по годам'!V841&lt;&gt;"",('Дивиденды по годам'!I841+'Дивиденды по годам'!V841)&lt;&gt;0),'Дивиденды по годам'!Q841/(('Дивиденды по годам'!I841+'Дивиденды по годам'!V841)/2),""),"")</f>
        <v/>
      </c>
      <c r="U841">
        <f>IFERROR(IF(AND('Дивиденды по годам'!J841&lt;&gt;"",'Дивиденды по годам'!K841&lt;&gt;"",'Дивиденды по годам'!M841&lt;&gt;"",'Дивиденды по годам'!M841&lt;&gt;0),('Дивиденды по годам'!J841+'Дивиденды по годам'!K841)/'Дивиденды по годам'!M841,""),"")</f>
        <v>4.0227688861378841</v>
      </c>
      <c r="V841" t="str" cm="1">
        <f t="array" ref="V841">IFERROR(AVERAGE(_xlfn._xlws.FILTER(P$2:P$1073,($C$2:$C$1073=$C841)*($E$2:$E$1073=$E841)*(ROW(P$2:P$1073)&lt;&gt;ROW(P841))*(P$2:P$1073&lt;&gt;""))),"")</f>
        <v/>
      </c>
      <c r="W841" t="str" cm="1">
        <f t="array" ref="W841">IFERROR(AVERAGE(_xlfn._xlws.FILTER(Q$2:Q$1073,($C$2:$C$1073=$C841)*($E$2:$E$1073=$E841)*(ROW(Q$2:Q$1073)&lt;&gt;ROW(Q841))*(Q$2:Q$1073&lt;&gt;""))),"")</f>
        <v/>
      </c>
      <c r="X841" t="str" cm="1">
        <f t="array" ref="X841">IFERROR(AVERAGE(_xlfn._xlws.FILTER(R$2:R$1073,($C$2:$C$1073=$C841)*($E$2:$E$1073=$E841)*(ROW(R$2:R$1073)&lt;&gt;ROW(R841))*(R$2:R$1073&lt;&gt;""))),"")</f>
        <v/>
      </c>
      <c r="Y841" t="str" cm="1">
        <f t="array" ref="Y841">IFERROR(AVERAGE(_xlfn._xlws.FILTER(S$2:S$1073,($C$2:$C$1073=$C841)*($E$2:$E$1073=$E841)*(ROW(S$2:S$1073)&lt;&gt;ROW(S841))*(S$2:S$1073&lt;&gt;""))),"")</f>
        <v/>
      </c>
      <c r="Z841" t="str" cm="1">
        <f t="array" ref="Z841">IFERROR(AVERAGE(_xlfn._xlws.FILTER(T$2:T$1073,($C$2:$C$1073=$C841)*($E$2:$E$1073=$E841)*(ROW(T$2:T$1073)&lt;&gt;ROW(T841))*(T$2:T$1073&lt;&gt;""))),"")</f>
        <v/>
      </c>
      <c r="AA841" t="str" cm="1">
        <f t="array" ref="AA841">IFERROR(AVERAGE(_xlfn._xlws.FILTER(U$2:U$1073,($C$2:$C$1073=$C841)*($E$2:$E$1073=$E841)*(ROW(U$2:U$1073)&lt;&gt;ROW(U841))*(U$2:U$1073&lt;&gt;""))),"")</f>
        <v/>
      </c>
    </row>
    <row r="842" spans="1:27" x14ac:dyDescent="0.2">
      <c r="A842" s="7" t="s">
        <v>2284</v>
      </c>
      <c r="B842" t="str">
        <f t="shared" si="145"/>
        <v>POSI IV кв. 2017</v>
      </c>
      <c r="C842">
        <v>2017</v>
      </c>
      <c r="D842">
        <f>SUMIFS(Дивиденды!$C:$C,Дивиденды!$A:$A,A842,Дивиденды!$I:$I,C842)</f>
        <v>0</v>
      </c>
      <c r="E842">
        <v>5</v>
      </c>
      <c r="F842">
        <f t="shared" si="146"/>
        <v>0</v>
      </c>
      <c r="G842">
        <f t="shared" si="147"/>
        <v>0</v>
      </c>
      <c r="H842">
        <f t="shared" si="148"/>
        <v>0</v>
      </c>
      <c r="I842">
        <f t="shared" si="144"/>
        <v>0</v>
      </c>
      <c r="J842">
        <f t="shared" si="149"/>
        <v>0</v>
      </c>
      <c r="K842">
        <f t="shared" si="153"/>
        <v>0</v>
      </c>
      <c r="L842">
        <f t="shared" si="150"/>
        <v>0</v>
      </c>
      <c r="M842">
        <f t="shared" si="143"/>
        <v>0</v>
      </c>
      <c r="N842">
        <f t="shared" si="151"/>
        <v>0</v>
      </c>
      <c r="O842">
        <f t="shared" si="152"/>
        <v>0</v>
      </c>
      <c r="P842" t="str">
        <f>IFERROR(LN('Дивиденды по годам'!I842),"")</f>
        <v/>
      </c>
      <c r="Q842" t="str">
        <f>IFERROR('Дивиденды по годам'!G842/'Дивиденды по годам'!I842, "")</f>
        <v/>
      </c>
      <c r="R842" t="str">
        <f>IFERROR(IF(AND('Дивиденды по годам'!N842&lt;&gt;"",'Дивиденды по годам'!U842&lt;&gt;"",'Дивиденды по годам'!U842&lt;&gt;0),'Дивиденды по годам'!N842/'Дивиденды по годам'!U842-1,""),"")</f>
        <v/>
      </c>
      <c r="S842" t="str">
        <f>IFERROR(IF(AND('Дивиденды по годам'!L842&lt;&gt;"",'Дивиденды по годам'!I842&lt;&gt;"",'Дивиденды по годам'!J842&lt;&gt;"",'Дивиденды по годам'!K842&lt;&gt;"",('Дивиденды по годам'!I842-'Дивиденды по годам'!J842-'Дивиденды по годам'!K842)&lt;&gt;0),'Дивиденды по годам'!L842/('Дивиденды по годам'!I842-'Дивиденды по годам'!J842-'Дивиденды по годам'!K842),""),"")</f>
        <v/>
      </c>
      <c r="T842" t="str">
        <f>IFERROR(IF(AND('Дивиденды по годам'!Q842&lt;&gt;"",'Дивиденды по годам'!I842&lt;&gt;"",'Дивиденды по годам'!V842&lt;&gt;"",('Дивиденды по годам'!I842+'Дивиденды по годам'!V842)&lt;&gt;0),'Дивиденды по годам'!Q842/(('Дивиденды по годам'!I842+'Дивиденды по годам'!V842)/2),""),"")</f>
        <v/>
      </c>
      <c r="U842" t="str">
        <f>IFERROR(IF(AND('Дивиденды по годам'!J842&lt;&gt;"",'Дивиденды по годам'!K842&lt;&gt;"",'Дивиденды по годам'!M842&lt;&gt;"",'Дивиденды по годам'!M842&lt;&gt;0),('Дивиденды по годам'!J842+'Дивиденды по годам'!K842)/'Дивиденды по годам'!M842,""),"")</f>
        <v/>
      </c>
      <c r="V842" t="str" cm="1">
        <f t="array" ref="V842">IFERROR(AVERAGE(_xlfn._xlws.FILTER(P$2:P$1073,($C$2:$C$1073=$C842)*($E$2:$E$1073=$E842)*(ROW(P$2:P$1073)&lt;&gt;ROW(P842))*(P$2:P$1073&lt;&gt;""))),"")</f>
        <v/>
      </c>
      <c r="W842" t="str" cm="1">
        <f t="array" ref="W842">IFERROR(AVERAGE(_xlfn._xlws.FILTER(Q$2:Q$1073,($C$2:$C$1073=$C842)*($E$2:$E$1073=$E842)*(ROW(Q$2:Q$1073)&lt;&gt;ROW(Q842))*(Q$2:Q$1073&lt;&gt;""))),"")</f>
        <v/>
      </c>
      <c r="X842" t="str" cm="1">
        <f t="array" ref="X842">IFERROR(AVERAGE(_xlfn._xlws.FILTER(R$2:R$1073,($C$2:$C$1073=$C842)*($E$2:$E$1073=$E842)*(ROW(R$2:R$1073)&lt;&gt;ROW(R842))*(R$2:R$1073&lt;&gt;""))),"")</f>
        <v/>
      </c>
      <c r="Y842" t="str" cm="1">
        <f t="array" ref="Y842">IFERROR(AVERAGE(_xlfn._xlws.FILTER(S$2:S$1073,($C$2:$C$1073=$C842)*($E$2:$E$1073=$E842)*(ROW(S$2:S$1073)&lt;&gt;ROW(S842))*(S$2:S$1073&lt;&gt;""))),"")</f>
        <v/>
      </c>
      <c r="Z842" t="str" cm="1">
        <f t="array" ref="Z842">IFERROR(AVERAGE(_xlfn._xlws.FILTER(T$2:T$1073,($C$2:$C$1073=$C842)*($E$2:$E$1073=$E842)*(ROW(T$2:T$1073)&lt;&gt;ROW(T842))*(T$2:T$1073&lt;&gt;""))),"")</f>
        <v/>
      </c>
      <c r="AA842" t="str" cm="1">
        <f t="array" ref="AA842">IFERROR(AVERAGE(_xlfn._xlws.FILTER(U$2:U$1073,($C$2:$C$1073=$C842)*($E$2:$E$1073=$E842)*(ROW(U$2:U$1073)&lt;&gt;ROW(U842))*(U$2:U$1073&lt;&gt;""))),"")</f>
        <v/>
      </c>
    </row>
    <row r="843" spans="1:27" x14ac:dyDescent="0.2">
      <c r="A843" s="7" t="s">
        <v>2284</v>
      </c>
      <c r="B843" t="str">
        <f t="shared" si="145"/>
        <v>POSI IV кв. 2016</v>
      </c>
      <c r="C843">
        <v>2016</v>
      </c>
      <c r="D843">
        <f>SUMIFS(Дивиденды!$C:$C,Дивиденды!$A:$A,A843,Дивиденды!$I:$I,C843)</f>
        <v>0</v>
      </c>
      <c r="E843">
        <v>5</v>
      </c>
      <c r="F843">
        <f t="shared" si="146"/>
        <v>0</v>
      </c>
      <c r="G843">
        <f t="shared" si="147"/>
        <v>0</v>
      </c>
      <c r="H843">
        <f t="shared" si="148"/>
        <v>0</v>
      </c>
      <c r="I843">
        <f t="shared" si="144"/>
        <v>0</v>
      </c>
      <c r="J843">
        <f t="shared" si="149"/>
        <v>0</v>
      </c>
      <c r="K843">
        <f t="shared" si="153"/>
        <v>0</v>
      </c>
      <c r="L843">
        <f t="shared" si="150"/>
        <v>0</v>
      </c>
      <c r="M843">
        <f t="shared" si="143"/>
        <v>0</v>
      </c>
      <c r="N843">
        <f t="shared" si="151"/>
        <v>0</v>
      </c>
      <c r="O843">
        <f t="shared" si="152"/>
        <v>0</v>
      </c>
      <c r="P843" t="str">
        <f>IFERROR(LN('Дивиденды по годам'!I843),"")</f>
        <v/>
      </c>
      <c r="Q843" t="str">
        <f>IFERROR('Дивиденды по годам'!G843/'Дивиденды по годам'!I843, "")</f>
        <v/>
      </c>
      <c r="R843" t="str">
        <f>IFERROR(IF(AND('Дивиденды по годам'!N843&lt;&gt;"",'Дивиденды по годам'!U843&lt;&gt;"",'Дивиденды по годам'!U843&lt;&gt;0),'Дивиденды по годам'!N843/'Дивиденды по годам'!U843-1,""),"")</f>
        <v/>
      </c>
      <c r="S843" t="str">
        <f>IFERROR(IF(AND('Дивиденды по годам'!L843&lt;&gt;"",'Дивиденды по годам'!I843&lt;&gt;"",'Дивиденды по годам'!J843&lt;&gt;"",'Дивиденды по годам'!K843&lt;&gt;"",('Дивиденды по годам'!I843-'Дивиденды по годам'!J843-'Дивиденды по годам'!K843)&lt;&gt;0),'Дивиденды по годам'!L843/('Дивиденды по годам'!I843-'Дивиденды по годам'!J843-'Дивиденды по годам'!K843),""),"")</f>
        <v/>
      </c>
      <c r="T843" t="str">
        <f>IFERROR(IF(AND('Дивиденды по годам'!Q843&lt;&gt;"",'Дивиденды по годам'!I843&lt;&gt;"",'Дивиденды по годам'!V843&lt;&gt;"",('Дивиденды по годам'!I843+'Дивиденды по годам'!V843)&lt;&gt;0),'Дивиденды по годам'!Q843/(('Дивиденды по годам'!I843+'Дивиденды по годам'!V843)/2),""),"")</f>
        <v/>
      </c>
      <c r="U843" t="str">
        <f>IFERROR(IF(AND('Дивиденды по годам'!J843&lt;&gt;"",'Дивиденды по годам'!K843&lt;&gt;"",'Дивиденды по годам'!M843&lt;&gt;"",'Дивиденды по годам'!M843&lt;&gt;0),('Дивиденды по годам'!J843+'Дивиденды по годам'!K843)/'Дивиденды по годам'!M843,""),"")</f>
        <v/>
      </c>
      <c r="V843" t="str" cm="1">
        <f t="array" ref="V843">IFERROR(AVERAGE(_xlfn._xlws.FILTER(P$2:P$1073,($C$2:$C$1073=$C843)*($E$2:$E$1073=$E843)*(ROW(P$2:P$1073)&lt;&gt;ROW(P843))*(P$2:P$1073&lt;&gt;""))),"")</f>
        <v/>
      </c>
      <c r="W843" t="str" cm="1">
        <f t="array" ref="W843">IFERROR(AVERAGE(_xlfn._xlws.FILTER(Q$2:Q$1073,($C$2:$C$1073=$C843)*($E$2:$E$1073=$E843)*(ROW(Q$2:Q$1073)&lt;&gt;ROW(Q843))*(Q$2:Q$1073&lt;&gt;""))),"")</f>
        <v/>
      </c>
      <c r="X843" t="str" cm="1">
        <f t="array" ref="X843">IFERROR(AVERAGE(_xlfn._xlws.FILTER(R$2:R$1073,($C$2:$C$1073=$C843)*($E$2:$E$1073=$E843)*(ROW(R$2:R$1073)&lt;&gt;ROW(R843))*(R$2:R$1073&lt;&gt;""))),"")</f>
        <v/>
      </c>
      <c r="Y843" t="str" cm="1">
        <f t="array" ref="Y843">IFERROR(AVERAGE(_xlfn._xlws.FILTER(S$2:S$1073,($C$2:$C$1073=$C843)*($E$2:$E$1073=$E843)*(ROW(S$2:S$1073)&lt;&gt;ROW(S843))*(S$2:S$1073&lt;&gt;""))),"")</f>
        <v/>
      </c>
      <c r="Z843" t="str" cm="1">
        <f t="array" ref="Z843">IFERROR(AVERAGE(_xlfn._xlws.FILTER(T$2:T$1073,($C$2:$C$1073=$C843)*($E$2:$E$1073=$E843)*(ROW(T$2:T$1073)&lt;&gt;ROW(T843))*(T$2:T$1073&lt;&gt;""))),"")</f>
        <v/>
      </c>
      <c r="AA843" t="str" cm="1">
        <f t="array" ref="AA843">IFERROR(AVERAGE(_xlfn._xlws.FILTER(U$2:U$1073,($C$2:$C$1073=$C843)*($E$2:$E$1073=$E843)*(ROW(U$2:U$1073)&lt;&gt;ROW(U843))*(U$2:U$1073&lt;&gt;""))),"")</f>
        <v/>
      </c>
    </row>
    <row r="844" spans="1:27" x14ac:dyDescent="0.2">
      <c r="A844" s="7" t="s">
        <v>2284</v>
      </c>
      <c r="B844" t="str">
        <f t="shared" si="145"/>
        <v>POSI IV кв. 2015</v>
      </c>
      <c r="C844">
        <v>2015</v>
      </c>
      <c r="D844">
        <f>SUMIFS(Дивиденды!$C:$C,Дивиденды!$A:$A,A844,Дивиденды!$I:$I,C844)</f>
        <v>0</v>
      </c>
      <c r="E844">
        <v>5</v>
      </c>
      <c r="F844">
        <f t="shared" si="146"/>
        <v>0</v>
      </c>
      <c r="G844">
        <f t="shared" si="147"/>
        <v>0</v>
      </c>
      <c r="H844">
        <f t="shared" si="148"/>
        <v>0</v>
      </c>
      <c r="I844">
        <f t="shared" si="144"/>
        <v>0</v>
      </c>
      <c r="J844">
        <f t="shared" si="149"/>
        <v>0</v>
      </c>
      <c r="K844">
        <f t="shared" si="153"/>
        <v>0</v>
      </c>
      <c r="L844">
        <f t="shared" si="150"/>
        <v>0</v>
      </c>
      <c r="M844">
        <f t="shared" si="143"/>
        <v>0</v>
      </c>
      <c r="N844">
        <f t="shared" si="151"/>
        <v>0</v>
      </c>
      <c r="O844">
        <f t="shared" si="152"/>
        <v>0</v>
      </c>
      <c r="P844" t="str">
        <f>IFERROR(LN('Дивиденды по годам'!I844),"")</f>
        <v/>
      </c>
      <c r="Q844" t="str">
        <f>IFERROR('Дивиденды по годам'!G844/'Дивиденды по годам'!I844, "")</f>
        <v/>
      </c>
      <c r="R844" t="str">
        <f>IFERROR(IF(AND('Дивиденды по годам'!N844&lt;&gt;"",'Дивиденды по годам'!U844&lt;&gt;"",'Дивиденды по годам'!U844&lt;&gt;0),'Дивиденды по годам'!N844/'Дивиденды по годам'!U844-1,""),"")</f>
        <v/>
      </c>
      <c r="S844" t="str">
        <f>IFERROR(IF(AND('Дивиденды по годам'!L844&lt;&gt;"",'Дивиденды по годам'!I844&lt;&gt;"",'Дивиденды по годам'!J844&lt;&gt;"",'Дивиденды по годам'!K844&lt;&gt;"",('Дивиденды по годам'!I844-'Дивиденды по годам'!J844-'Дивиденды по годам'!K844)&lt;&gt;0),'Дивиденды по годам'!L844/('Дивиденды по годам'!I844-'Дивиденды по годам'!J844-'Дивиденды по годам'!K844),""),"")</f>
        <v/>
      </c>
      <c r="T844" t="str">
        <f>IFERROR(IF(AND('Дивиденды по годам'!Q844&lt;&gt;"",'Дивиденды по годам'!I844&lt;&gt;"",'Дивиденды по годам'!V844&lt;&gt;"",('Дивиденды по годам'!I844+'Дивиденды по годам'!V844)&lt;&gt;0),'Дивиденды по годам'!Q844/(('Дивиденды по годам'!I844+'Дивиденды по годам'!V844)/2),""),"")</f>
        <v/>
      </c>
      <c r="U844" t="str">
        <f>IFERROR(IF(AND('Дивиденды по годам'!J844&lt;&gt;"",'Дивиденды по годам'!K844&lt;&gt;"",'Дивиденды по годам'!M844&lt;&gt;"",'Дивиденды по годам'!M844&lt;&gt;0),('Дивиденды по годам'!J844+'Дивиденды по годам'!K844)/'Дивиденды по годам'!M844,""),"")</f>
        <v/>
      </c>
      <c r="V844" t="str" cm="1">
        <f t="array" ref="V844">IFERROR(AVERAGE(_xlfn._xlws.FILTER(P$2:P$1073,($C$2:$C$1073=$C844)*($E$2:$E$1073=$E844)*(ROW(P$2:P$1073)&lt;&gt;ROW(P844))*(P$2:P$1073&lt;&gt;""))),"")</f>
        <v/>
      </c>
      <c r="W844" t="str" cm="1">
        <f t="array" ref="W844">IFERROR(AVERAGE(_xlfn._xlws.FILTER(Q$2:Q$1073,($C$2:$C$1073=$C844)*($E$2:$E$1073=$E844)*(ROW(Q$2:Q$1073)&lt;&gt;ROW(Q844))*(Q$2:Q$1073&lt;&gt;""))),"")</f>
        <v/>
      </c>
      <c r="X844" t="str" cm="1">
        <f t="array" ref="X844">IFERROR(AVERAGE(_xlfn._xlws.FILTER(R$2:R$1073,($C$2:$C$1073=$C844)*($E$2:$E$1073=$E844)*(ROW(R$2:R$1073)&lt;&gt;ROW(R844))*(R$2:R$1073&lt;&gt;""))),"")</f>
        <v/>
      </c>
      <c r="Y844" t="str" cm="1">
        <f t="array" ref="Y844">IFERROR(AVERAGE(_xlfn._xlws.FILTER(S$2:S$1073,($C$2:$C$1073=$C844)*($E$2:$E$1073=$E844)*(ROW(S$2:S$1073)&lt;&gt;ROW(S844))*(S$2:S$1073&lt;&gt;""))),"")</f>
        <v/>
      </c>
      <c r="Z844" t="str" cm="1">
        <f t="array" ref="Z844">IFERROR(AVERAGE(_xlfn._xlws.FILTER(T$2:T$1073,($C$2:$C$1073=$C844)*($E$2:$E$1073=$E844)*(ROW(T$2:T$1073)&lt;&gt;ROW(T844))*(T$2:T$1073&lt;&gt;""))),"")</f>
        <v/>
      </c>
      <c r="AA844" t="str" cm="1">
        <f t="array" ref="AA844">IFERROR(AVERAGE(_xlfn._xlws.FILTER(U$2:U$1073,($C$2:$C$1073=$C844)*($E$2:$E$1073=$E844)*(ROW(U$2:U$1073)&lt;&gt;ROW(U844))*(U$2:U$1073&lt;&gt;""))),"")</f>
        <v/>
      </c>
    </row>
    <row r="845" spans="1:27" x14ac:dyDescent="0.2">
      <c r="A845" s="7" t="s">
        <v>2284</v>
      </c>
      <c r="B845" t="str">
        <f t="shared" si="145"/>
        <v>POSI IV кв. 2014</v>
      </c>
      <c r="C845">
        <v>2014</v>
      </c>
      <c r="D845">
        <f>SUMIFS(Дивиденды!$C:$C,Дивиденды!$A:$A,A845,Дивиденды!$I:$I,C845)</f>
        <v>0</v>
      </c>
      <c r="E845">
        <v>5</v>
      </c>
      <c r="F845">
        <f t="shared" si="146"/>
        <v>0</v>
      </c>
      <c r="G845">
        <f t="shared" si="147"/>
        <v>0</v>
      </c>
      <c r="H845">
        <f t="shared" si="148"/>
        <v>0</v>
      </c>
      <c r="I845">
        <f t="shared" si="144"/>
        <v>0</v>
      </c>
      <c r="J845">
        <f t="shared" si="149"/>
        <v>0</v>
      </c>
      <c r="K845">
        <f t="shared" si="153"/>
        <v>0</v>
      </c>
      <c r="L845">
        <f t="shared" si="150"/>
        <v>0</v>
      </c>
      <c r="M845">
        <f t="shared" si="143"/>
        <v>0</v>
      </c>
      <c r="N845">
        <f t="shared" si="151"/>
        <v>0</v>
      </c>
      <c r="O845">
        <f t="shared" si="152"/>
        <v>0</v>
      </c>
      <c r="P845" t="str">
        <f>IFERROR(LN('Дивиденды по годам'!I845),"")</f>
        <v/>
      </c>
      <c r="Q845" t="str">
        <f>IFERROR('Дивиденды по годам'!G845/'Дивиденды по годам'!I845, "")</f>
        <v/>
      </c>
      <c r="R845" t="str">
        <f>IFERROR(IF(AND('Дивиденды по годам'!N845&lt;&gt;"",'Дивиденды по годам'!U845&lt;&gt;"",'Дивиденды по годам'!U845&lt;&gt;0),'Дивиденды по годам'!N845/'Дивиденды по годам'!U845-1,""),"")</f>
        <v/>
      </c>
      <c r="S845" t="str">
        <f>IFERROR(IF(AND('Дивиденды по годам'!L845&lt;&gt;"",'Дивиденды по годам'!I845&lt;&gt;"",'Дивиденды по годам'!J845&lt;&gt;"",'Дивиденды по годам'!K845&lt;&gt;"",('Дивиденды по годам'!I845-'Дивиденды по годам'!J845-'Дивиденды по годам'!K845)&lt;&gt;0),'Дивиденды по годам'!L845/('Дивиденды по годам'!I845-'Дивиденды по годам'!J845-'Дивиденды по годам'!K845),""),"")</f>
        <v/>
      </c>
      <c r="T845" t="str">
        <f>IFERROR(IF(AND('Дивиденды по годам'!Q845&lt;&gt;"",'Дивиденды по годам'!I845&lt;&gt;"",'Дивиденды по годам'!V845&lt;&gt;"",('Дивиденды по годам'!I845+'Дивиденды по годам'!V845)&lt;&gt;0),'Дивиденды по годам'!Q845/(('Дивиденды по годам'!I845+'Дивиденды по годам'!V845)/2),""),"")</f>
        <v/>
      </c>
      <c r="U845" t="str">
        <f>IFERROR(IF(AND('Дивиденды по годам'!J845&lt;&gt;"",'Дивиденды по годам'!K845&lt;&gt;"",'Дивиденды по годам'!M845&lt;&gt;"",'Дивиденды по годам'!M845&lt;&gt;0),('Дивиденды по годам'!J845+'Дивиденды по годам'!K845)/'Дивиденды по годам'!M845,""),"")</f>
        <v/>
      </c>
      <c r="V845" t="str" cm="1">
        <f t="array" ref="V845">IFERROR(AVERAGE(_xlfn._xlws.FILTER(P$2:P$1073,($C$2:$C$1073=$C845)*($E$2:$E$1073=$E845)*(ROW(P$2:P$1073)&lt;&gt;ROW(P845))*(P$2:P$1073&lt;&gt;""))),"")</f>
        <v/>
      </c>
      <c r="W845" t="str" cm="1">
        <f t="array" ref="W845">IFERROR(AVERAGE(_xlfn._xlws.FILTER(Q$2:Q$1073,($C$2:$C$1073=$C845)*($E$2:$E$1073=$E845)*(ROW(Q$2:Q$1073)&lt;&gt;ROW(Q845))*(Q$2:Q$1073&lt;&gt;""))),"")</f>
        <v/>
      </c>
      <c r="X845" t="str" cm="1">
        <f t="array" ref="X845">IFERROR(AVERAGE(_xlfn._xlws.FILTER(R$2:R$1073,($C$2:$C$1073=$C845)*($E$2:$E$1073=$E845)*(ROW(R$2:R$1073)&lt;&gt;ROW(R845))*(R$2:R$1073&lt;&gt;""))),"")</f>
        <v/>
      </c>
      <c r="Y845" t="str" cm="1">
        <f t="array" ref="Y845">IFERROR(AVERAGE(_xlfn._xlws.FILTER(S$2:S$1073,($C$2:$C$1073=$C845)*($E$2:$E$1073=$E845)*(ROW(S$2:S$1073)&lt;&gt;ROW(S845))*(S$2:S$1073&lt;&gt;""))),"")</f>
        <v/>
      </c>
      <c r="Z845" t="str" cm="1">
        <f t="array" ref="Z845">IFERROR(AVERAGE(_xlfn._xlws.FILTER(T$2:T$1073,($C$2:$C$1073=$C845)*($E$2:$E$1073=$E845)*(ROW(T$2:T$1073)&lt;&gt;ROW(T845))*(T$2:T$1073&lt;&gt;""))),"")</f>
        <v/>
      </c>
      <c r="AA845" t="str" cm="1">
        <f t="array" ref="AA845">IFERROR(AVERAGE(_xlfn._xlws.FILTER(U$2:U$1073,($C$2:$C$1073=$C845)*($E$2:$E$1073=$E845)*(ROW(U$2:U$1073)&lt;&gt;ROW(U845))*(U$2:U$1073&lt;&gt;""))),"")</f>
        <v/>
      </c>
    </row>
    <row r="846" spans="1:27" x14ac:dyDescent="0.2">
      <c r="A846" s="7" t="s">
        <v>2284</v>
      </c>
      <c r="B846" t="str">
        <f t="shared" si="145"/>
        <v>POSI IV кв. 2013</v>
      </c>
      <c r="C846">
        <v>2013</v>
      </c>
      <c r="D846">
        <f>SUMIFS(Дивиденды!$C:$C,Дивиденды!$A:$A,A846,Дивиденды!$I:$I,C846)</f>
        <v>0</v>
      </c>
      <c r="E846">
        <v>5</v>
      </c>
      <c r="F846">
        <f t="shared" si="146"/>
        <v>0</v>
      </c>
      <c r="G846">
        <f t="shared" si="147"/>
        <v>0</v>
      </c>
      <c r="H846">
        <f t="shared" si="148"/>
        <v>0</v>
      </c>
      <c r="I846">
        <f t="shared" si="144"/>
        <v>0</v>
      </c>
      <c r="J846">
        <f t="shared" si="149"/>
        <v>0</v>
      </c>
      <c r="K846">
        <f t="shared" si="153"/>
        <v>0</v>
      </c>
      <c r="L846">
        <f t="shared" si="150"/>
        <v>0</v>
      </c>
      <c r="M846">
        <f t="shared" si="143"/>
        <v>0</v>
      </c>
      <c r="N846">
        <f t="shared" si="151"/>
        <v>0</v>
      </c>
      <c r="O846">
        <f t="shared" si="152"/>
        <v>0</v>
      </c>
      <c r="P846" t="str">
        <f>IFERROR(LN('Дивиденды по годам'!I846),"")</f>
        <v/>
      </c>
      <c r="Q846" t="str">
        <f>IFERROR('Дивиденды по годам'!G846/'Дивиденды по годам'!I846, "")</f>
        <v/>
      </c>
      <c r="R846" t="str">
        <f>IFERROR(IF(AND('Дивиденды по годам'!N846&lt;&gt;"",'Дивиденды по годам'!U846&lt;&gt;"",'Дивиденды по годам'!U846&lt;&gt;0),'Дивиденды по годам'!N846/'Дивиденды по годам'!U846-1,""),"")</f>
        <v/>
      </c>
      <c r="S846" t="str">
        <f>IFERROR(IF(AND('Дивиденды по годам'!L846&lt;&gt;"",'Дивиденды по годам'!I846&lt;&gt;"",'Дивиденды по годам'!J846&lt;&gt;"",'Дивиденды по годам'!K846&lt;&gt;"",('Дивиденды по годам'!I846-'Дивиденды по годам'!J846-'Дивиденды по годам'!K846)&lt;&gt;0),'Дивиденды по годам'!L846/('Дивиденды по годам'!I846-'Дивиденды по годам'!J846-'Дивиденды по годам'!K846),""),"")</f>
        <v/>
      </c>
      <c r="T846" t="str">
        <f>IFERROR(IF(AND('Дивиденды по годам'!Q846&lt;&gt;"",'Дивиденды по годам'!I846&lt;&gt;"",'Дивиденды по годам'!V846&lt;&gt;"",('Дивиденды по годам'!I846+'Дивиденды по годам'!V846)&lt;&gt;0),'Дивиденды по годам'!Q846/(('Дивиденды по годам'!I846+'Дивиденды по годам'!V846)/2),""),"")</f>
        <v/>
      </c>
      <c r="U846" t="str">
        <f>IFERROR(IF(AND('Дивиденды по годам'!J846&lt;&gt;"",'Дивиденды по годам'!K846&lt;&gt;"",'Дивиденды по годам'!M846&lt;&gt;"",'Дивиденды по годам'!M846&lt;&gt;0),('Дивиденды по годам'!J846+'Дивиденды по годам'!K846)/'Дивиденды по годам'!M846,""),"")</f>
        <v/>
      </c>
      <c r="V846" t="str" cm="1">
        <f t="array" ref="V846">IFERROR(AVERAGE(_xlfn._xlws.FILTER(P$2:P$1073,($C$2:$C$1073=$C846)*($E$2:$E$1073=$E846)*(ROW(P$2:P$1073)&lt;&gt;ROW(P846))*(P$2:P$1073&lt;&gt;""))),"")</f>
        <v/>
      </c>
      <c r="W846" t="str" cm="1">
        <f t="array" ref="W846">IFERROR(AVERAGE(_xlfn._xlws.FILTER(Q$2:Q$1073,($C$2:$C$1073=$C846)*($E$2:$E$1073=$E846)*(ROW(Q$2:Q$1073)&lt;&gt;ROW(Q846))*(Q$2:Q$1073&lt;&gt;""))),"")</f>
        <v/>
      </c>
      <c r="X846" t="str" cm="1">
        <f t="array" ref="X846">IFERROR(AVERAGE(_xlfn._xlws.FILTER(R$2:R$1073,($C$2:$C$1073=$C846)*($E$2:$E$1073=$E846)*(ROW(R$2:R$1073)&lt;&gt;ROW(R846))*(R$2:R$1073&lt;&gt;""))),"")</f>
        <v/>
      </c>
      <c r="Y846" t="str" cm="1">
        <f t="array" ref="Y846">IFERROR(AVERAGE(_xlfn._xlws.FILTER(S$2:S$1073,($C$2:$C$1073=$C846)*($E$2:$E$1073=$E846)*(ROW(S$2:S$1073)&lt;&gt;ROW(S846))*(S$2:S$1073&lt;&gt;""))),"")</f>
        <v/>
      </c>
      <c r="Z846" t="str" cm="1">
        <f t="array" ref="Z846">IFERROR(AVERAGE(_xlfn._xlws.FILTER(T$2:T$1073,($C$2:$C$1073=$C846)*($E$2:$E$1073=$E846)*(ROW(T$2:T$1073)&lt;&gt;ROW(T846))*(T$2:T$1073&lt;&gt;""))),"")</f>
        <v/>
      </c>
      <c r="AA846" t="str" cm="1">
        <f t="array" ref="AA846">IFERROR(AVERAGE(_xlfn._xlws.FILTER(U$2:U$1073,($C$2:$C$1073=$C846)*($E$2:$E$1073=$E846)*(ROW(U$2:U$1073)&lt;&gt;ROW(U846))*(U$2:U$1073&lt;&gt;""))),"")</f>
        <v/>
      </c>
    </row>
    <row r="847" spans="1:27" x14ac:dyDescent="0.2">
      <c r="A847" s="7" t="s">
        <v>2284</v>
      </c>
      <c r="B847" t="str">
        <f t="shared" si="145"/>
        <v>POSI IV кв. 2012</v>
      </c>
      <c r="C847">
        <v>2012</v>
      </c>
      <c r="D847">
        <f>SUMIFS(Дивиденды!$C:$C,Дивиденды!$A:$A,A847,Дивиденды!$I:$I,C847)</f>
        <v>0</v>
      </c>
      <c r="E847">
        <v>5</v>
      </c>
      <c r="F847">
        <f t="shared" si="146"/>
        <v>0</v>
      </c>
      <c r="G847">
        <f t="shared" si="147"/>
        <v>0</v>
      </c>
      <c r="H847">
        <f t="shared" si="148"/>
        <v>0</v>
      </c>
      <c r="I847">
        <f t="shared" si="144"/>
        <v>0</v>
      </c>
      <c r="J847">
        <f t="shared" si="149"/>
        <v>0</v>
      </c>
      <c r="K847">
        <f t="shared" si="153"/>
        <v>0</v>
      </c>
      <c r="L847">
        <f t="shared" si="150"/>
        <v>0</v>
      </c>
      <c r="M847">
        <f t="shared" si="143"/>
        <v>0</v>
      </c>
      <c r="N847">
        <f t="shared" si="151"/>
        <v>0</v>
      </c>
      <c r="O847">
        <f t="shared" si="152"/>
        <v>0</v>
      </c>
      <c r="P847" t="str">
        <f>IFERROR(LN('Дивиденды по годам'!I847),"")</f>
        <v/>
      </c>
      <c r="Q847" t="str">
        <f>IFERROR('Дивиденды по годам'!G847/'Дивиденды по годам'!I847, "")</f>
        <v/>
      </c>
      <c r="R847" t="str">
        <f>IFERROR(IF(AND('Дивиденды по годам'!N847&lt;&gt;"",'Дивиденды по годам'!U847&lt;&gt;"",'Дивиденды по годам'!U847&lt;&gt;0),'Дивиденды по годам'!N847/'Дивиденды по годам'!U847-1,""),"")</f>
        <v/>
      </c>
      <c r="S847" t="str">
        <f>IFERROR(IF(AND('Дивиденды по годам'!L847&lt;&gt;"",'Дивиденды по годам'!I847&lt;&gt;"",'Дивиденды по годам'!J847&lt;&gt;"",'Дивиденды по годам'!K847&lt;&gt;"",('Дивиденды по годам'!I847-'Дивиденды по годам'!J847-'Дивиденды по годам'!K847)&lt;&gt;0),'Дивиденды по годам'!L847/('Дивиденды по годам'!I847-'Дивиденды по годам'!J847-'Дивиденды по годам'!K847),""),"")</f>
        <v/>
      </c>
      <c r="T847" t="str">
        <f>IFERROR(IF(AND('Дивиденды по годам'!Q847&lt;&gt;"",'Дивиденды по годам'!I847&lt;&gt;"",'Дивиденды по годам'!V847&lt;&gt;"",('Дивиденды по годам'!I847+'Дивиденды по годам'!V847)&lt;&gt;0),'Дивиденды по годам'!Q847/(('Дивиденды по годам'!I847+'Дивиденды по годам'!V847)/2),""),"")</f>
        <v/>
      </c>
      <c r="U847" t="str">
        <f>IFERROR(IF(AND('Дивиденды по годам'!J847&lt;&gt;"",'Дивиденды по годам'!K847&lt;&gt;"",'Дивиденды по годам'!M847&lt;&gt;"",'Дивиденды по годам'!M847&lt;&gt;0),('Дивиденды по годам'!J847+'Дивиденды по годам'!K847)/'Дивиденды по годам'!M847,""),"")</f>
        <v/>
      </c>
      <c r="V847" t="str" cm="1">
        <f t="array" ref="V847">IFERROR(AVERAGE(_xlfn._xlws.FILTER(P$2:P$1073,($C$2:$C$1073=$C847)*($E$2:$E$1073=$E847)*(ROW(P$2:P$1073)&lt;&gt;ROW(P847))*(P$2:P$1073&lt;&gt;""))),"")</f>
        <v/>
      </c>
      <c r="W847" t="str" cm="1">
        <f t="array" ref="W847">IFERROR(AVERAGE(_xlfn._xlws.FILTER(Q$2:Q$1073,($C$2:$C$1073=$C847)*($E$2:$E$1073=$E847)*(ROW(Q$2:Q$1073)&lt;&gt;ROW(Q847))*(Q$2:Q$1073&lt;&gt;""))),"")</f>
        <v/>
      </c>
      <c r="X847" t="str" cm="1">
        <f t="array" ref="X847">IFERROR(AVERAGE(_xlfn._xlws.FILTER(R$2:R$1073,($C$2:$C$1073=$C847)*($E$2:$E$1073=$E847)*(ROW(R$2:R$1073)&lt;&gt;ROW(R847))*(R$2:R$1073&lt;&gt;""))),"")</f>
        <v/>
      </c>
      <c r="Y847" t="str" cm="1">
        <f t="array" ref="Y847">IFERROR(AVERAGE(_xlfn._xlws.FILTER(S$2:S$1073,($C$2:$C$1073=$C847)*($E$2:$E$1073=$E847)*(ROW(S$2:S$1073)&lt;&gt;ROW(S847))*(S$2:S$1073&lt;&gt;""))),"")</f>
        <v/>
      </c>
      <c r="Z847" t="str" cm="1">
        <f t="array" ref="Z847">IFERROR(AVERAGE(_xlfn._xlws.FILTER(T$2:T$1073,($C$2:$C$1073=$C847)*($E$2:$E$1073=$E847)*(ROW(T$2:T$1073)&lt;&gt;ROW(T847))*(T$2:T$1073&lt;&gt;""))),"")</f>
        <v/>
      </c>
      <c r="AA847" t="str" cm="1">
        <f t="array" ref="AA847">IFERROR(AVERAGE(_xlfn._xlws.FILTER(U$2:U$1073,($C$2:$C$1073=$C847)*($E$2:$E$1073=$E847)*(ROW(U$2:U$1073)&lt;&gt;ROW(U847))*(U$2:U$1073&lt;&gt;""))),"")</f>
        <v/>
      </c>
    </row>
    <row r="848" spans="1:27" x14ac:dyDescent="0.2">
      <c r="A848" s="7" t="s">
        <v>2284</v>
      </c>
      <c r="B848" t="str">
        <f t="shared" si="145"/>
        <v>POSI IV кв. 2011</v>
      </c>
      <c r="C848">
        <v>2011</v>
      </c>
      <c r="D848">
        <f>SUMIFS(Дивиденды!$C:$C,Дивиденды!$A:$A,A848,Дивиденды!$I:$I,C848)</f>
        <v>0</v>
      </c>
      <c r="E848">
        <v>5</v>
      </c>
      <c r="F848">
        <f t="shared" si="146"/>
        <v>0</v>
      </c>
      <c r="G848">
        <f t="shared" si="147"/>
        <v>0</v>
      </c>
      <c r="H848">
        <f t="shared" si="148"/>
        <v>0</v>
      </c>
      <c r="I848">
        <f t="shared" si="144"/>
        <v>0</v>
      </c>
      <c r="J848">
        <f t="shared" si="149"/>
        <v>0</v>
      </c>
      <c r="K848">
        <f t="shared" si="153"/>
        <v>0</v>
      </c>
      <c r="L848">
        <f t="shared" si="150"/>
        <v>0</v>
      </c>
      <c r="M848">
        <f t="shared" si="143"/>
        <v>0</v>
      </c>
      <c r="N848">
        <f t="shared" si="151"/>
        <v>0</v>
      </c>
      <c r="O848">
        <f t="shared" si="152"/>
        <v>0</v>
      </c>
      <c r="P848" t="str">
        <f>IFERROR(LN('Дивиденды по годам'!I848),"")</f>
        <v/>
      </c>
      <c r="Q848" t="str">
        <f>IFERROR('Дивиденды по годам'!G848/'Дивиденды по годам'!I848, "")</f>
        <v/>
      </c>
      <c r="R848" t="str">
        <f>IFERROR(IF(AND('Дивиденды по годам'!N848&lt;&gt;"",'Дивиденды по годам'!U848&lt;&gt;"",'Дивиденды по годам'!U848&lt;&gt;0),'Дивиденды по годам'!N848/'Дивиденды по годам'!U848-1,""),"")</f>
        <v/>
      </c>
      <c r="S848" t="str">
        <f>IFERROR(IF(AND('Дивиденды по годам'!L848&lt;&gt;"",'Дивиденды по годам'!I848&lt;&gt;"",'Дивиденды по годам'!J848&lt;&gt;"",'Дивиденды по годам'!K848&lt;&gt;"",('Дивиденды по годам'!I848-'Дивиденды по годам'!J848-'Дивиденды по годам'!K848)&lt;&gt;0),'Дивиденды по годам'!L848/('Дивиденды по годам'!I848-'Дивиденды по годам'!J848-'Дивиденды по годам'!K848),""),"")</f>
        <v/>
      </c>
      <c r="T848" t="str">
        <f>IFERROR(IF(AND('Дивиденды по годам'!Q848&lt;&gt;"",'Дивиденды по годам'!I848&lt;&gt;"",'Дивиденды по годам'!V848&lt;&gt;"",('Дивиденды по годам'!I848+'Дивиденды по годам'!V848)&lt;&gt;0),'Дивиденды по годам'!Q848/(('Дивиденды по годам'!I848+'Дивиденды по годам'!V848)/2),""),"")</f>
        <v/>
      </c>
      <c r="U848" t="str">
        <f>IFERROR(IF(AND('Дивиденды по годам'!J848&lt;&gt;"",'Дивиденды по годам'!K848&lt;&gt;"",'Дивиденды по годам'!M848&lt;&gt;"",'Дивиденды по годам'!M848&lt;&gt;0),('Дивиденды по годам'!J848+'Дивиденды по годам'!K848)/'Дивиденды по годам'!M848,""),"")</f>
        <v/>
      </c>
      <c r="V848" t="str" cm="1">
        <f t="array" ref="V848">IFERROR(AVERAGE(_xlfn._xlws.FILTER(P$2:P$1073,($C$2:$C$1073=$C848)*($E$2:$E$1073=$E848)*(ROW(P$2:P$1073)&lt;&gt;ROW(P848))*(P$2:P$1073&lt;&gt;""))),"")</f>
        <v/>
      </c>
      <c r="W848" t="str" cm="1">
        <f t="array" ref="W848">IFERROR(AVERAGE(_xlfn._xlws.FILTER(Q$2:Q$1073,($C$2:$C$1073=$C848)*($E$2:$E$1073=$E848)*(ROW(Q$2:Q$1073)&lt;&gt;ROW(Q848))*(Q$2:Q$1073&lt;&gt;""))),"")</f>
        <v/>
      </c>
      <c r="X848" t="str" cm="1">
        <f t="array" ref="X848">IFERROR(AVERAGE(_xlfn._xlws.FILTER(R$2:R$1073,($C$2:$C$1073=$C848)*($E$2:$E$1073=$E848)*(ROW(R$2:R$1073)&lt;&gt;ROW(R848))*(R$2:R$1073&lt;&gt;""))),"")</f>
        <v/>
      </c>
      <c r="Y848" t="str" cm="1">
        <f t="array" ref="Y848">IFERROR(AVERAGE(_xlfn._xlws.FILTER(S$2:S$1073,($C$2:$C$1073=$C848)*($E$2:$E$1073=$E848)*(ROW(S$2:S$1073)&lt;&gt;ROW(S848))*(S$2:S$1073&lt;&gt;""))),"")</f>
        <v/>
      </c>
      <c r="Z848" t="str" cm="1">
        <f t="array" ref="Z848">IFERROR(AVERAGE(_xlfn._xlws.FILTER(T$2:T$1073,($C$2:$C$1073=$C848)*($E$2:$E$1073=$E848)*(ROW(T$2:T$1073)&lt;&gt;ROW(T848))*(T$2:T$1073&lt;&gt;""))),"")</f>
        <v/>
      </c>
      <c r="AA848" t="str" cm="1">
        <f t="array" ref="AA848">IFERROR(AVERAGE(_xlfn._xlws.FILTER(U$2:U$1073,($C$2:$C$1073=$C848)*($E$2:$E$1073=$E848)*(ROW(U$2:U$1073)&lt;&gt;ROW(U848))*(U$2:U$1073&lt;&gt;""))),"")</f>
        <v/>
      </c>
    </row>
    <row r="849" spans="1:27" x14ac:dyDescent="0.2">
      <c r="A849" s="7" t="s">
        <v>2284</v>
      </c>
      <c r="B849" t="str">
        <f t="shared" si="145"/>
        <v>POSI IV кв. 2010</v>
      </c>
      <c r="C849">
        <v>2010</v>
      </c>
      <c r="D849">
        <f>SUMIFS(Дивиденды!$C:$C,Дивиденды!$A:$A,A849,Дивиденды!$I:$I,C849)</f>
        <v>0</v>
      </c>
      <c r="E849">
        <v>5</v>
      </c>
      <c r="F849">
        <f t="shared" si="146"/>
        <v>0</v>
      </c>
      <c r="G849">
        <f t="shared" si="147"/>
        <v>0</v>
      </c>
      <c r="H849">
        <f t="shared" si="148"/>
        <v>0</v>
      </c>
      <c r="I849">
        <f t="shared" si="144"/>
        <v>0</v>
      </c>
      <c r="J849" t="str">
        <f t="shared" si="149"/>
        <v/>
      </c>
      <c r="K849" t="str">
        <f t="shared" si="153"/>
        <v/>
      </c>
      <c r="L849" t="str">
        <f t="shared" si="150"/>
        <v/>
      </c>
      <c r="M849" t="str">
        <f t="shared" si="143"/>
        <v/>
      </c>
      <c r="N849" t="str">
        <f t="shared" si="151"/>
        <v/>
      </c>
      <c r="O849" t="str">
        <f t="shared" si="152"/>
        <v/>
      </c>
      <c r="P849" t="str">
        <f>IFERROR(LN('Дивиденды по годам'!I849),"")</f>
        <v/>
      </c>
      <c r="Q849" t="str">
        <f>IFERROR('Дивиденды по годам'!G849/'Дивиденды по годам'!I849, "")</f>
        <v/>
      </c>
      <c r="R849" t="str">
        <f>IFERROR(IF(AND('Дивиденды по годам'!N849&lt;&gt;"",'Дивиденды по годам'!U849&lt;&gt;"",'Дивиденды по годам'!U849&lt;&gt;0),'Дивиденды по годам'!N849/'Дивиденды по годам'!U849-1,""),"")</f>
        <v/>
      </c>
      <c r="S849" t="str">
        <f>IFERROR(IF(AND('Дивиденды по годам'!L849&lt;&gt;"",'Дивиденды по годам'!I849&lt;&gt;"",'Дивиденды по годам'!J849&lt;&gt;"",'Дивиденды по годам'!K849&lt;&gt;"",('Дивиденды по годам'!I849-'Дивиденды по годам'!J849-'Дивиденды по годам'!K849)&lt;&gt;0),'Дивиденды по годам'!L849/('Дивиденды по годам'!I849-'Дивиденды по годам'!J849-'Дивиденды по годам'!K849),""),"")</f>
        <v/>
      </c>
      <c r="T849" t="str">
        <f>IFERROR(IF(AND('Дивиденды по годам'!Q849&lt;&gt;"",'Дивиденды по годам'!I849&lt;&gt;"",'Дивиденды по годам'!V849&lt;&gt;"",('Дивиденды по годам'!I849+'Дивиденды по годам'!V849)&lt;&gt;0),'Дивиденды по годам'!Q849/(('Дивиденды по годам'!I849+'Дивиденды по годам'!V849)/2),""),"")</f>
        <v/>
      </c>
      <c r="U849" t="str">
        <f>IFERROR(IF(AND('Дивиденды по годам'!J849&lt;&gt;"",'Дивиденды по годам'!K849&lt;&gt;"",'Дивиденды по годам'!M849&lt;&gt;"",'Дивиденды по годам'!M849&lt;&gt;0),('Дивиденды по годам'!J849+'Дивиденды по годам'!K849)/'Дивиденды по годам'!M849,""),"")</f>
        <v/>
      </c>
      <c r="V849" t="str" cm="1">
        <f t="array" ref="V849">IFERROR(AVERAGE(_xlfn._xlws.FILTER(P$2:P$1073,($C$2:$C$1073=$C849)*($E$2:$E$1073=$E849)*(ROW(P$2:P$1073)&lt;&gt;ROW(P849))*(P$2:P$1073&lt;&gt;""))),"")</f>
        <v/>
      </c>
      <c r="W849" t="str" cm="1">
        <f t="array" ref="W849">IFERROR(AVERAGE(_xlfn._xlws.FILTER(Q$2:Q$1073,($C$2:$C$1073=$C849)*($E$2:$E$1073=$E849)*(ROW(Q$2:Q$1073)&lt;&gt;ROW(Q849))*(Q$2:Q$1073&lt;&gt;""))),"")</f>
        <v/>
      </c>
      <c r="X849" t="str" cm="1">
        <f t="array" ref="X849">IFERROR(AVERAGE(_xlfn._xlws.FILTER(R$2:R$1073,($C$2:$C$1073=$C849)*($E$2:$E$1073=$E849)*(ROW(R$2:R$1073)&lt;&gt;ROW(R849))*(R$2:R$1073&lt;&gt;""))),"")</f>
        <v/>
      </c>
      <c r="Y849" t="str" cm="1">
        <f t="array" ref="Y849">IFERROR(AVERAGE(_xlfn._xlws.FILTER(S$2:S$1073,($C$2:$C$1073=$C849)*($E$2:$E$1073=$E849)*(ROW(S$2:S$1073)&lt;&gt;ROW(S849))*(S$2:S$1073&lt;&gt;""))),"")</f>
        <v/>
      </c>
      <c r="Z849" t="str" cm="1">
        <f t="array" ref="Z849">IFERROR(AVERAGE(_xlfn._xlws.FILTER(T$2:T$1073,($C$2:$C$1073=$C849)*($E$2:$E$1073=$E849)*(ROW(T$2:T$1073)&lt;&gt;ROW(T849))*(T$2:T$1073&lt;&gt;""))),"")</f>
        <v/>
      </c>
      <c r="AA849" t="str" cm="1">
        <f t="array" ref="AA849">IFERROR(AVERAGE(_xlfn._xlws.FILTER(U$2:U$1073,($C$2:$C$1073=$C849)*($E$2:$E$1073=$E849)*(ROW(U$2:U$1073)&lt;&gt;ROW(U849))*(U$2:U$1073&lt;&gt;""))),"")</f>
        <v/>
      </c>
    </row>
    <row r="850" spans="1:27" x14ac:dyDescent="0.2">
      <c r="A850" s="7" t="s">
        <v>2321</v>
      </c>
      <c r="B850" t="str">
        <f t="shared" si="145"/>
        <v>SOFL IV кв. 2025</v>
      </c>
      <c r="C850">
        <v>2025</v>
      </c>
      <c r="D850">
        <f>SUMIFS(Дивиденды!$C:$C,Дивиденды!$A:$A,A850,Дивиденды!$I:$I,C850)</f>
        <v>0</v>
      </c>
      <c r="E850">
        <v>5</v>
      </c>
      <c r="F850">
        <f t="shared" si="146"/>
        <v>0</v>
      </c>
      <c r="G850">
        <f t="shared" si="147"/>
        <v>62.940000000000005</v>
      </c>
      <c r="H850">
        <f t="shared" si="148"/>
        <v>0</v>
      </c>
      <c r="I850">
        <f t="shared" si="144"/>
        <v>0.66666666666666663</v>
      </c>
      <c r="J850">
        <f t="shared" si="149"/>
        <v>0</v>
      </c>
      <c r="K850">
        <f t="shared" si="153"/>
        <v>0.19391810466398299</v>
      </c>
      <c r="L850">
        <f t="shared" si="150"/>
        <v>0</v>
      </c>
      <c r="M850">
        <f t="shared" si="143"/>
        <v>0.44444444444444442</v>
      </c>
      <c r="N850">
        <f t="shared" si="151"/>
        <v>0</v>
      </c>
      <c r="O850">
        <f t="shared" si="152"/>
        <v>0.44444444444444442</v>
      </c>
      <c r="P850" t="str">
        <f>IFERROR(LN('Дивиденды по годам'!I850),"")</f>
        <v/>
      </c>
      <c r="Q850" t="str">
        <f>IFERROR('Дивиденды по годам'!G850/'Дивиденды по годам'!I850, "")</f>
        <v/>
      </c>
      <c r="R850" t="str">
        <f>IFERROR(IF(AND('Дивиденды по годам'!N850&lt;&gt;"",'Дивиденды по годам'!U850&lt;&gt;"",'Дивиденды по годам'!U850&lt;&gt;0),'Дивиденды по годам'!N850/'Дивиденды по годам'!U850-1,""),"")</f>
        <v/>
      </c>
      <c r="S850" t="str">
        <f>IFERROR(IF(AND('Дивиденды по годам'!L850&lt;&gt;"",'Дивиденды по годам'!I850&lt;&gt;"",'Дивиденды по годам'!J850&lt;&gt;"",'Дивиденды по годам'!K850&lt;&gt;"",('Дивиденды по годам'!I850-'Дивиденды по годам'!J850-'Дивиденды по годам'!K850)&lt;&gt;0),'Дивиденды по годам'!L850/('Дивиденды по годам'!I850-'Дивиденды по годам'!J850-'Дивиденды по годам'!K850),""),"")</f>
        <v/>
      </c>
      <c r="T850" t="str">
        <f>IFERROR(IF(AND('Дивиденды по годам'!Q850&lt;&gt;"",'Дивиденды по годам'!I850&lt;&gt;"",'Дивиденды по годам'!V850&lt;&gt;"",('Дивиденды по годам'!I850+'Дивиденды по годам'!V850)&lt;&gt;0),'Дивиденды по годам'!Q850/(('Дивиденды по годам'!I850+'Дивиденды по годам'!V850)/2),""),"")</f>
        <v/>
      </c>
      <c r="U850" t="str">
        <f>IFERROR(IF(AND('Дивиденды по годам'!J850&lt;&gt;"",'Дивиденды по годам'!K850&lt;&gt;"",'Дивиденды по годам'!M850&lt;&gt;"",'Дивиденды по годам'!M850&lt;&gt;0),('Дивиденды по годам'!J850+'Дивиденды по годам'!K850)/'Дивиденды по годам'!M850,""),"")</f>
        <v/>
      </c>
      <c r="V850" cm="1">
        <f t="array" ref="V850">IFERROR(AVERAGE(_xlfn._xlws.FILTER(P$2:P$1073,($C$2:$C$1073=$C850)*($E$2:$E$1073=$E850)*(ROW(P$2:P$1073)&lt;&gt;ROW(P850))*(P$2:P$1073&lt;&gt;""))),"")</f>
        <v>25.891438099154414</v>
      </c>
      <c r="W850" cm="1">
        <f t="array" ref="W850">IFERROR(AVERAGE(_xlfn._xlws.FILTER(Q$2:Q$1073,($C$2:$C$1073=$C850)*($E$2:$E$1073=$E850)*(ROW(Q$2:Q$1073)&lt;&gt;ROW(Q850))*(Q$2:Q$1073&lt;&gt;""))),"")</f>
        <v>0.12418203705460037</v>
      </c>
      <c r="X850" cm="1">
        <f t="array" ref="X850">IFERROR(AVERAGE(_xlfn._xlws.FILTER(R$2:R$1073,($C$2:$C$1073=$C850)*($E$2:$E$1073=$E850)*(ROW(R$2:R$1073)&lt;&gt;ROW(R850))*(R$2:R$1073&lt;&gt;""))),"")</f>
        <v>0.14684434513855163</v>
      </c>
      <c r="Y850" cm="1">
        <f t="array" ref="Y850">IFERROR(AVERAGE(_xlfn._xlws.FILTER(S$2:S$1073,($C$2:$C$1073=$C850)*($E$2:$E$1073=$E850)*(ROW(S$2:S$1073)&lt;&gt;ROW(S850))*(S$2:S$1073&lt;&gt;""))),"")</f>
        <v>0.66742602396654871</v>
      </c>
      <c r="Z850" cm="1">
        <f t="array" ref="Z850">IFERROR(AVERAGE(_xlfn._xlws.FILTER(T$2:T$1073,($C$2:$C$1073=$C850)*($E$2:$E$1073=$E850)*(ROW(T$2:T$1073)&lt;&gt;ROW(T850))*(T$2:T$1073&lt;&gt;""))),"")</f>
        <v>0.19853029448574855</v>
      </c>
      <c r="AA850" cm="1">
        <f t="array" ref="AA850">IFERROR(AVERAGE(_xlfn._xlws.FILTER(U$2:U$1073,($C$2:$C$1073=$C850)*($E$2:$E$1073=$E850)*(ROW(U$2:U$1073)&lt;&gt;ROW(U850))*(U$2:U$1073&lt;&gt;""))),"")</f>
        <v>-0.85021812770937366</v>
      </c>
    </row>
    <row r="851" spans="1:27" x14ac:dyDescent="0.2">
      <c r="A851" s="7" t="s">
        <v>2321</v>
      </c>
      <c r="B851" t="str">
        <f t="shared" si="145"/>
        <v>SOFL IV кв. 2024</v>
      </c>
      <c r="C851">
        <v>2024</v>
      </c>
      <c r="D851">
        <f>SUMIFS(Дивиденды!$C:$C,Дивиденды!$A:$A,A851,Дивиденды!$I:$I,C851)</f>
        <v>0</v>
      </c>
      <c r="E851">
        <v>5</v>
      </c>
      <c r="F851">
        <f t="shared" si="146"/>
        <v>0</v>
      </c>
      <c r="G851">
        <f t="shared" si="147"/>
        <v>120.67777777777776</v>
      </c>
      <c r="H851">
        <f t="shared" si="148"/>
        <v>0</v>
      </c>
      <c r="I851">
        <f t="shared" si="144"/>
        <v>0.55555555555555558</v>
      </c>
      <c r="J851">
        <f t="shared" si="149"/>
        <v>0</v>
      </c>
      <c r="K851">
        <f t="shared" si="153"/>
        <v>0.33674983142279163</v>
      </c>
      <c r="L851">
        <f t="shared" si="150"/>
        <v>0</v>
      </c>
      <c r="M851">
        <f t="shared" si="143"/>
        <v>0.44444444444444442</v>
      </c>
      <c r="N851">
        <f t="shared" si="151"/>
        <v>0</v>
      </c>
      <c r="O851">
        <f t="shared" si="152"/>
        <v>0.1111111111111111</v>
      </c>
      <c r="P851">
        <f>IFERROR(LN('Дивиденды по годам'!I851),"")</f>
        <v>25.317112149203059</v>
      </c>
      <c r="Q851">
        <f>IFERROR('Дивиденды по годам'!G851/'Дивиденды по годам'!I851, "")</f>
        <v>5.6273641199910997E-2</v>
      </c>
      <c r="R851">
        <f>IFERROR(IF(AND('Дивиденды по годам'!N851&lt;&gt;"",'Дивиденды по годам'!U851&lt;&gt;"",'Дивиденды по годам'!U851&lt;&gt;0),'Дивиденды по годам'!N851/'Дивиденды по годам'!U851-1,""),"")</f>
        <v>0.10856643117749143</v>
      </c>
      <c r="S851">
        <f>IFERROR(IF(AND('Дивиденды по годам'!L851&lt;&gt;"",'Дивиденды по годам'!I851&lt;&gt;"",'Дивиденды по годам'!J851&lt;&gt;"",'Дивиденды по годам'!K851&lt;&gt;"",('Дивиденды по годам'!I851-'Дивиденды по годам'!J851-'Дивиденды по годам'!K851)&lt;&gt;0),'Дивиденды по годам'!L851/('Дивиденды по годам'!I851-'Дивиденды по годам'!J851-'Дивиденды по годам'!K851),""),"")</f>
        <v>0.50325301745412121</v>
      </c>
      <c r="T851">
        <f>IFERROR(IF(AND('Дивиденды по годам'!Q851&lt;&gt;"",'Дивиденды по годам'!I851&lt;&gt;"",'Дивиденды по годам'!V851&lt;&gt;"",('Дивиденды по годам'!I851+'Дивиденды по годам'!V851)&lt;&gt;0),'Дивиденды по годам'!Q851/(('Дивиденды по годам'!I851+'Дивиденды по годам'!V851)/2),""),"")</f>
        <v>3.0036161046421095E-2</v>
      </c>
      <c r="U851">
        <f>IFERROR(IF(AND('Дивиденды по годам'!J851&lt;&gt;"",'Дивиденды по годам'!K851&lt;&gt;"",'Дивиденды по годам'!M851&lt;&gt;"",'Дивиденды по годам'!M851&lt;&gt;0),('Дивиденды по годам'!J851+'Дивиденды по годам'!K851)/'Дивиденды по годам'!M851,""),"")</f>
        <v>3.4363979001211469</v>
      </c>
      <c r="V851" cm="1">
        <f t="array" ref="V851">IFERROR(AVERAGE(_xlfn._xlws.FILTER(P$2:P$1073,($C$2:$C$1073=$C851)*($E$2:$E$1073=$E851)*(ROW(P$2:P$1073)&lt;&gt;ROW(P851))*(P$2:P$1073&lt;&gt;""))),"")</f>
        <v>24.57839749643151</v>
      </c>
      <c r="W851" cm="1">
        <f t="array" ref="W851">IFERROR(AVERAGE(_xlfn._xlws.FILTER(Q$2:Q$1073,($C$2:$C$1073=$C851)*($E$2:$E$1073=$E851)*(ROW(Q$2:Q$1073)&lt;&gt;ROW(Q851))*(Q$2:Q$1073&lt;&gt;""))),"")</f>
        <v>7.8576550336009951E-2</v>
      </c>
      <c r="X851" cm="1">
        <f t="array" ref="X851">IFERROR(AVERAGE(_xlfn._xlws.FILTER(R$2:R$1073,($C$2:$C$1073=$C851)*($E$2:$E$1073=$E851)*(ROW(R$2:R$1073)&lt;&gt;ROW(R851))*(R$2:R$1073&lt;&gt;""))),"")</f>
        <v>0.33435998572284359</v>
      </c>
      <c r="Y851" cm="1">
        <f t="array" ref="Y851">IFERROR(AVERAGE(_xlfn._xlws.FILTER(S$2:S$1073,($C$2:$C$1073=$C851)*($E$2:$E$1073=$E851)*(ROW(S$2:S$1073)&lt;&gt;ROW(S851))*(S$2:S$1073&lt;&gt;""))),"")</f>
        <v>0.22556988178244244</v>
      </c>
      <c r="Z851" cm="1">
        <f t="array" ref="Z851">IFERROR(AVERAGE(_xlfn._xlws.FILTER(T$2:T$1073,($C$2:$C$1073=$C851)*($E$2:$E$1073=$E851)*(ROW(T$2:T$1073)&lt;&gt;ROW(T851))*(T$2:T$1073&lt;&gt;""))),"")</f>
        <v>0.28396905402058836</v>
      </c>
      <c r="AA851" cm="1">
        <f t="array" ref="AA851">IFERROR(AVERAGE(_xlfn._xlws.FILTER(U$2:U$1073,($C$2:$C$1073=$C851)*($E$2:$E$1073=$E851)*(ROW(U$2:U$1073)&lt;&gt;ROW(U851))*(U$2:U$1073&lt;&gt;""))),"")</f>
        <v>2.5759129916250467</v>
      </c>
    </row>
    <row r="852" spans="1:27" x14ac:dyDescent="0.2">
      <c r="A852" s="7" t="s">
        <v>2321</v>
      </c>
      <c r="B852" t="str">
        <f t="shared" si="145"/>
        <v>SOFL IV кв. 2023</v>
      </c>
      <c r="C852">
        <v>2023</v>
      </c>
      <c r="D852">
        <f>SUMIFS(Дивиденды!$C:$C,Дивиденды!$A:$A,A852,Дивиденды!$I:$I,C852)</f>
        <v>0</v>
      </c>
      <c r="E852">
        <v>5</v>
      </c>
      <c r="F852">
        <f t="shared" si="146"/>
        <v>0</v>
      </c>
      <c r="G852">
        <f t="shared" si="147"/>
        <v>16.477777777777778</v>
      </c>
      <c r="H852">
        <f t="shared" si="148"/>
        <v>0</v>
      </c>
      <c r="I852">
        <f t="shared" si="144"/>
        <v>0.1111111111111111</v>
      </c>
      <c r="J852">
        <f t="shared" si="149"/>
        <v>0</v>
      </c>
      <c r="K852">
        <f t="shared" si="153"/>
        <v>0.31688311688311693</v>
      </c>
      <c r="L852">
        <f t="shared" si="150"/>
        <v>0</v>
      </c>
      <c r="M852">
        <f t="shared" si="143"/>
        <v>0.1111111111111111</v>
      </c>
      <c r="N852">
        <f t="shared" si="151"/>
        <v>0</v>
      </c>
      <c r="O852">
        <f t="shared" si="152"/>
        <v>0</v>
      </c>
      <c r="P852">
        <f>IFERROR(LN('Дивиденды по годам'!I852),"")</f>
        <v>25.034293124220486</v>
      </c>
      <c r="Q852">
        <f>IFERROR('Дивиденды по годам'!G852/'Дивиденды по годам'!I852, "")</f>
        <v>2.7510500959512595E-2</v>
      </c>
      <c r="R852">
        <f>IFERROR(IF(AND('Дивиденды по годам'!N852&lt;&gt;"",'Дивиденды по годам'!U852&lt;&gt;"",'Дивиденды по годам'!U852&lt;&gt;0),'Дивиденды по годам'!N852/'Дивиденды по годам'!U852-1,""),"")</f>
        <v>0.30108807737439114</v>
      </c>
      <c r="S852">
        <f>IFERROR(IF(AND('Дивиденды по годам'!L852&lt;&gt;"",'Дивиденды по годам'!I852&lt;&gt;"",'Дивиденды по годам'!J852&lt;&gt;"",'Дивиденды по годам'!K852&lt;&gt;"",('Дивиденды по годам'!I852-'Дивиденды по годам'!J852-'Дивиденды по годам'!K852)&lt;&gt;0),'Дивиденды по годам'!L852/('Дивиденды по годам'!I852-'Дивиденды по годам'!J852-'Дивиденды по годам'!K852),""),"")</f>
        <v>1.1490136214185063</v>
      </c>
      <c r="T852">
        <f>IFERROR(IF(AND('Дивиденды по годам'!Q852&lt;&gt;"",'Дивиденды по годам'!I852&lt;&gt;"",'Дивиденды по годам'!V852&lt;&gt;"",('Дивиденды по годам'!I852+'Дивиденды по годам'!V852)&lt;&gt;0),'Дивиденды по годам'!Q852/(('Дивиденды по годам'!I852+'Дивиденды по годам'!V852)/2),""),"")</f>
        <v>5.1605331544974431E-2</v>
      </c>
      <c r="U852">
        <f>IFERROR(IF(AND('Дивиденды по годам'!J852&lt;&gt;"",'Дивиденды по годам'!K852&lt;&gt;"",'Дивиденды по годам'!M852&lt;&gt;"",'Дивиденды по годам'!M852&lt;&gt;0),('Дивиденды по годам'!J852+'Дивиденды по годам'!K852)/'Дивиденды по годам'!M852,""),"")</f>
        <v>7.7502348520432127</v>
      </c>
      <c r="V852" cm="1">
        <f t="array" ref="V852">IFERROR(AVERAGE(_xlfn._xlws.FILTER(P$2:P$1073,($C$2:$C$1073=$C852)*($E$2:$E$1073=$E852)*(ROW(P$2:P$1073)&lt;&gt;ROW(P852))*(P$2:P$1073&lt;&gt;""))),"")</f>
        <v>23.889671944934321</v>
      </c>
      <c r="W852" cm="1">
        <f t="array" ref="W852">IFERROR(AVERAGE(_xlfn._xlws.FILTER(Q$2:Q$1073,($C$2:$C$1073=$C852)*($E$2:$E$1073=$E852)*(ROW(Q$2:Q$1073)&lt;&gt;ROW(Q852))*(Q$2:Q$1073&lt;&gt;""))),"")</f>
        <v>4.4771404928321962E-2</v>
      </c>
      <c r="X852" cm="1">
        <f t="array" ref="X852">IFERROR(AVERAGE(_xlfn._xlws.FILTER(R$2:R$1073,($C$2:$C$1073=$C852)*($E$2:$E$1073=$E852)*(ROW(R$2:R$1073)&lt;&gt;ROW(R852))*(R$2:R$1073&lt;&gt;""))),"")</f>
        <v>0.57964059536600199</v>
      </c>
      <c r="Y852" cm="1">
        <f t="array" ref="Y852">IFERROR(AVERAGE(_xlfn._xlws.FILTER(S$2:S$1073,($C$2:$C$1073=$C852)*($E$2:$E$1073=$E852)*(ROW(S$2:S$1073)&lt;&gt;ROW(S852))*(S$2:S$1073&lt;&gt;""))),"")</f>
        <v>0.60461286240337198</v>
      </c>
      <c r="Z852" cm="1">
        <f t="array" ref="Z852">IFERROR(AVERAGE(_xlfn._xlws.FILTER(T$2:T$1073,($C$2:$C$1073=$C852)*($E$2:$E$1073=$E852)*(ROW(T$2:T$1073)&lt;&gt;ROW(T852))*(T$2:T$1073&lt;&gt;""))),"")</f>
        <v>0.2422666323301936</v>
      </c>
      <c r="AA852" cm="1">
        <f t="array" ref="AA852">IFERROR(AVERAGE(_xlfn._xlws.FILTER(U$2:U$1073,($C$2:$C$1073=$C852)*($E$2:$E$1073=$E852)*(ROW(U$2:U$1073)&lt;&gt;ROW(U852))*(U$2:U$1073&lt;&gt;""))),"")</f>
        <v>1.1370914974172242</v>
      </c>
    </row>
    <row r="853" spans="1:27" x14ac:dyDescent="0.2">
      <c r="A853" s="7" t="s">
        <v>2321</v>
      </c>
      <c r="B853" t="str">
        <f t="shared" si="145"/>
        <v>SOFL IV кв. 2022</v>
      </c>
      <c r="C853">
        <v>2022</v>
      </c>
      <c r="D853">
        <f>SUMIFS(Дивиденды!$C:$C,Дивиденды!$A:$A,A853,Дивиденды!$I:$I,C853)</f>
        <v>0</v>
      </c>
      <c r="E853">
        <v>5</v>
      </c>
      <c r="F853">
        <f t="shared" si="146"/>
        <v>0</v>
      </c>
      <c r="G853">
        <f t="shared" si="147"/>
        <v>4.2777777777777777</v>
      </c>
      <c r="H853">
        <f t="shared" si="148"/>
        <v>0</v>
      </c>
      <c r="I853">
        <f t="shared" si="144"/>
        <v>0.1111111111111111</v>
      </c>
      <c r="J853">
        <f t="shared" si="149"/>
        <v>0</v>
      </c>
      <c r="K853">
        <f t="shared" si="153"/>
        <v>0.1111111111111111</v>
      </c>
      <c r="L853">
        <f t="shared" si="150"/>
        <v>0</v>
      </c>
      <c r="M853">
        <f t="shared" si="143"/>
        <v>0.1111111111111111</v>
      </c>
      <c r="N853">
        <f t="shared" si="151"/>
        <v>0</v>
      </c>
      <c r="O853">
        <f t="shared" si="152"/>
        <v>0</v>
      </c>
      <c r="P853">
        <f>IFERROR(LN('Дивиденды по годам'!I853),"")</f>
        <v>24.524871116112191</v>
      </c>
      <c r="Q853">
        <f>IFERROR('Дивиденды по годам'!G853/'Дивиденды по годам'!I853, "")</f>
        <v>2.4992741160967547E-2</v>
      </c>
      <c r="R853">
        <f>IFERROR(IF(AND('Дивиденды по годам'!N853&lt;&gt;"",'Дивиденды по годам'!U853&lt;&gt;"",'Дивиденды по годам'!U853&lt;&gt;0),'Дивиденды по годам'!N853/'Дивиденды по годам'!U853-1,""),"")</f>
        <v>-0.15460229663921121</v>
      </c>
      <c r="S853">
        <f>IFERROR(IF(AND('Дивиденды по годам'!L853&lt;&gt;"",'Дивиденды по годам'!I853&lt;&gt;"",'Дивиденды по годам'!J853&lt;&gt;"",'Дивиденды по годам'!K853&lt;&gt;"",('Дивиденды по годам'!I853-'Дивиденды по годам'!J853-'Дивиденды по годам'!K853)&lt;&gt;0),'Дивиденды по годам'!L853/('Дивиденды по годам'!I853-'Дивиденды по годам'!J853-'Дивиденды по годам'!K853),""),"")</f>
        <v>0.69300663603879531</v>
      </c>
      <c r="T853">
        <f>IFERROR(IF(AND('Дивиденды по годам'!Q853&lt;&gt;"",'Дивиденды по годам'!I853&lt;&gt;"",'Дивиденды по годам'!V853&lt;&gt;"",('Дивиденды по годам'!I853+'Дивиденды по годам'!V853)&lt;&gt;0),'Дивиденды по годам'!Q853/(('Дивиденды по годам'!I853+'Дивиденды по годам'!V853)/2),""),"")</f>
        <v>0.1647779245858319</v>
      </c>
      <c r="U853">
        <f>IFERROR(IF(AND('Дивиденды по годам'!J853&lt;&gt;"",'Дивиденды по годам'!K853&lt;&gt;"",'Дивиденды по годам'!M853&lt;&gt;"",'Дивиденды по годам'!M853&lt;&gt;0),('Дивиденды по годам'!J853+'Дивиденды по годам'!K853)/'Дивиденды по годам'!M853,""),"")</f>
        <v>3.5710056151097498</v>
      </c>
      <c r="V853" cm="1">
        <f t="array" ref="V853">IFERROR(AVERAGE(_xlfn._xlws.FILTER(P$2:P$1073,($C$2:$C$1073=$C853)*($E$2:$E$1073=$E853)*(ROW(P$2:P$1073)&lt;&gt;ROW(P853))*(P$2:P$1073&lt;&gt;""))),"")</f>
        <v>24.243773963738391</v>
      </c>
      <c r="W853" cm="1">
        <f t="array" ref="W853">IFERROR(AVERAGE(_xlfn._xlws.FILTER(Q$2:Q$1073,($C$2:$C$1073=$C853)*($E$2:$E$1073=$E853)*(ROW(Q$2:Q$1073)&lt;&gt;ROW(Q853))*(Q$2:Q$1073&lt;&gt;""))),"")</f>
        <v>6.7358083219127993E-2</v>
      </c>
      <c r="X853" cm="1">
        <f t="array" ref="X853">IFERROR(AVERAGE(_xlfn._xlws.FILTER(R$2:R$1073,($C$2:$C$1073=$C853)*($E$2:$E$1073=$E853)*(ROW(R$2:R$1073)&lt;&gt;ROW(R853))*(R$2:R$1073&lt;&gt;""))),"")</f>
        <v>1.2227001416022432</v>
      </c>
      <c r="Y853" cm="1">
        <f t="array" ref="Y853">IFERROR(AVERAGE(_xlfn._xlws.FILTER(S$2:S$1073,($C$2:$C$1073=$C853)*($E$2:$E$1073=$E853)*(ROW(S$2:S$1073)&lt;&gt;ROW(S853))*(S$2:S$1073&lt;&gt;""))),"")</f>
        <v>0.83534038290033852</v>
      </c>
      <c r="Z853" cm="1">
        <f t="array" ref="Z853">IFERROR(AVERAGE(_xlfn._xlws.FILTER(T$2:T$1073,($C$2:$C$1073=$C853)*($E$2:$E$1073=$E853)*(ROW(T$2:T$1073)&lt;&gt;ROW(T853))*(T$2:T$1073&lt;&gt;""))),"")</f>
        <v>0.59897420845141403</v>
      </c>
      <c r="AA853" cm="1">
        <f t="array" ref="AA853">IFERROR(AVERAGE(_xlfn._xlws.FILTER(U$2:U$1073,($C$2:$C$1073=$C853)*($E$2:$E$1073=$E853)*(ROW(U$2:U$1073)&lt;&gt;ROW(U853))*(U$2:U$1073&lt;&gt;""))),"")</f>
        <v>1.8103121662635069</v>
      </c>
    </row>
    <row r="854" spans="1:27" x14ac:dyDescent="0.2">
      <c r="A854" s="7" t="s">
        <v>2321</v>
      </c>
      <c r="B854" t="str">
        <f t="shared" si="145"/>
        <v>SOFL IV кв. 2021</v>
      </c>
      <c r="C854">
        <v>2021</v>
      </c>
      <c r="D854">
        <f>SUMIFS(Дивиденды!$C:$C,Дивиденды!$A:$A,A854,Дивиденды!$I:$I,C854)</f>
        <v>0</v>
      </c>
      <c r="E854">
        <v>5</v>
      </c>
      <c r="F854">
        <f t="shared" si="146"/>
        <v>0</v>
      </c>
      <c r="G854">
        <f t="shared" si="147"/>
        <v>0</v>
      </c>
      <c r="H854">
        <f t="shared" si="148"/>
        <v>0</v>
      </c>
      <c r="I854">
        <f t="shared" si="144"/>
        <v>0</v>
      </c>
      <c r="J854">
        <f t="shared" si="149"/>
        <v>0</v>
      </c>
      <c r="K854">
        <f t="shared" si="153"/>
        <v>0</v>
      </c>
      <c r="L854">
        <f t="shared" si="150"/>
        <v>0</v>
      </c>
      <c r="M854">
        <f t="shared" si="143"/>
        <v>0</v>
      </c>
      <c r="N854">
        <f t="shared" si="151"/>
        <v>0</v>
      </c>
      <c r="O854">
        <f t="shared" si="152"/>
        <v>0</v>
      </c>
      <c r="P854">
        <f>IFERROR(LN('Дивиденды по годам'!I854),"")</f>
        <v>24.247830632558852</v>
      </c>
      <c r="Q854">
        <f>IFERROR('Дивиденды по годам'!G854/'Дивиденды по годам'!I854, "")</f>
        <v>2.2393117062965911E-2</v>
      </c>
      <c r="R854">
        <f>IFERROR(IF(AND('Дивиденды по годам'!N854&lt;&gt;"",'Дивиденды по годам'!U854&lt;&gt;"",'Дивиденды по годам'!U854&lt;&gt;0),'Дивиденды по годам'!N854/'Дивиденды по годам'!U854-1,""),"")</f>
        <v>-4.0523780681260946E-2</v>
      </c>
      <c r="S854">
        <f>IFERROR(IF(AND('Дивиденды по годам'!L854&lt;&gt;"",'Дивиденды по годам'!I854&lt;&gt;"",'Дивиденды по годам'!J854&lt;&gt;"",'Дивиденды по годам'!K854&lt;&gt;"",('Дивиденды по годам'!I854-'Дивиденды по годам'!J854-'Дивиденды по годам'!K854)&lt;&gt;0),'Дивиденды по годам'!L854/('Дивиденды по годам'!I854-'Дивиденды по годам'!J854-'Дивиденды по годам'!K854),""),"")</f>
        <v>0.18243626062322946</v>
      </c>
      <c r="T854">
        <f>IFERROR(IF(AND('Дивиденды по годам'!Q854&lt;&gt;"",'Дивиденды по годам'!I854&lt;&gt;"",'Дивиденды по годам'!V854&lt;&gt;"",('Дивиденды по годам'!I854+'Дивиденды по годам'!V854)&lt;&gt;0),'Дивиденды по годам'!Q854/(('Дивиденды по годам'!I854+'Дивиденды по годам'!V854)/2),""),"")</f>
        <v>2.9047209263704576E-2</v>
      </c>
      <c r="U854">
        <f>IFERROR(IF(AND('Дивиденды по годам'!J854&lt;&gt;"",'Дивиденды по годам'!K854&lt;&gt;"",'Дивиденды по годам'!M854&lt;&gt;"",'Дивиденды по годам'!M854&lt;&gt;0),('Дивиденды по годам'!J854+'Дивиденды по годам'!K854)/'Дивиденды по годам'!M854,""),"")</f>
        <v>18.228895184135979</v>
      </c>
      <c r="V854" cm="1">
        <f t="array" ref="V854">IFERROR(AVERAGE(_xlfn._xlws.FILTER(P$2:P$1073,($C$2:$C$1073=$C854)*($E$2:$E$1073=$E854)*(ROW(P$2:P$1073)&lt;&gt;ROW(P854))*(P$2:P$1073&lt;&gt;""))),"")</f>
        <v>22.224076768232635</v>
      </c>
      <c r="W854" cm="1">
        <f t="array" ref="W854">IFERROR(AVERAGE(_xlfn._xlws.FILTER(Q$2:Q$1073,($C$2:$C$1073=$C854)*($E$2:$E$1073=$E854)*(ROW(Q$2:Q$1073)&lt;&gt;ROW(Q854))*(Q$2:Q$1073&lt;&gt;""))),"")</f>
        <v>4.8484868527724073E-2</v>
      </c>
      <c r="X854" cm="1">
        <f t="array" ref="X854">IFERROR(AVERAGE(_xlfn._xlws.FILTER(R$2:R$1073,($C$2:$C$1073=$C854)*($E$2:$E$1073=$E854)*(ROW(R$2:R$1073)&lt;&gt;ROW(R854))*(R$2:R$1073&lt;&gt;""))),"")</f>
        <v>0.27950276304033705</v>
      </c>
      <c r="Y854" cm="1">
        <f t="array" ref="Y854">IFERROR(AVERAGE(_xlfn._xlws.FILTER(S$2:S$1073,($C$2:$C$1073=$C854)*($E$2:$E$1073=$E854)*(ROW(S$2:S$1073)&lt;&gt;ROW(S854))*(S$2:S$1073&lt;&gt;""))),"")</f>
        <v>0.84238031300243765</v>
      </c>
      <c r="Z854" cm="1">
        <f t="array" ref="Z854">IFERROR(AVERAGE(_xlfn._xlws.FILTER(T$2:T$1073,($C$2:$C$1073=$C854)*($E$2:$E$1073=$E854)*(ROW(T$2:T$1073)&lt;&gt;ROW(T854))*(T$2:T$1073&lt;&gt;""))),"")</f>
        <v>0.24063217698209571</v>
      </c>
      <c r="AA854" cm="1">
        <f t="array" ref="AA854">IFERROR(AVERAGE(_xlfn._xlws.FILTER(U$2:U$1073,($C$2:$C$1073=$C854)*($E$2:$E$1073=$E854)*(ROW(U$2:U$1073)&lt;&gt;ROW(U854))*(U$2:U$1073&lt;&gt;""))),"")</f>
        <v>8.9339360251804525</v>
      </c>
    </row>
    <row r="855" spans="1:27" x14ac:dyDescent="0.2">
      <c r="A855" s="7" t="s">
        <v>2321</v>
      </c>
      <c r="B855" t="str">
        <f t="shared" si="145"/>
        <v>SOFL IV кв. 2020</v>
      </c>
      <c r="C855">
        <v>2020</v>
      </c>
      <c r="D855">
        <f>SUMIFS(Дивиденды!$C:$C,Дивиденды!$A:$A,A855,Дивиденды!$I:$I,C855)</f>
        <v>0</v>
      </c>
      <c r="E855">
        <v>5</v>
      </c>
      <c r="F855">
        <f t="shared" si="146"/>
        <v>0</v>
      </c>
      <c r="G855">
        <f t="shared" si="147"/>
        <v>0</v>
      </c>
      <c r="H855">
        <f t="shared" si="148"/>
        <v>0</v>
      </c>
      <c r="I855">
        <f t="shared" si="144"/>
        <v>0</v>
      </c>
      <c r="J855">
        <f t="shared" si="149"/>
        <v>0</v>
      </c>
      <c r="K855">
        <f t="shared" si="153"/>
        <v>0</v>
      </c>
      <c r="L855">
        <f t="shared" si="150"/>
        <v>0</v>
      </c>
      <c r="M855">
        <f t="shared" si="143"/>
        <v>0</v>
      </c>
      <c r="N855">
        <f t="shared" si="151"/>
        <v>0</v>
      </c>
      <c r="O855">
        <f t="shared" si="152"/>
        <v>0</v>
      </c>
      <c r="P855">
        <f>IFERROR(LN('Дивиденды по годам'!I855),"")</f>
        <v>24.198271145753285</v>
      </c>
      <c r="Q855">
        <f>IFERROR('Дивиденды по годам'!G855/'Дивиденды по годам'!I855, "")</f>
        <v>1.1672549383862777E-2</v>
      </c>
      <c r="R855" t="str">
        <f>IFERROR(IF(AND('Дивиденды по годам'!N855&lt;&gt;"",'Дивиденды по годам'!U855&lt;&gt;"",'Дивиденды по годам'!U855&lt;&gt;0),'Дивиденды по годам'!N855/'Дивиденды по годам'!U855-1,""),"")</f>
        <v/>
      </c>
      <c r="S855">
        <f>IFERROR(IF(AND('Дивиденды по годам'!L855&lt;&gt;"",'Дивиденды по годам'!I855&lt;&gt;"",'Дивиденды по годам'!J855&lt;&gt;"",'Дивиденды по годам'!K855&lt;&gt;"",('Дивиденды по годам'!I855-'Дивиденды по годам'!J855-'Дивиденды по годам'!K855)&lt;&gt;0),'Дивиденды по годам'!L855/('Дивиденды по годам'!I855-'Дивиденды по годам'!J855-'Дивиденды по годам'!K855),""),"")</f>
        <v>0.76522929500342229</v>
      </c>
      <c r="T855" t="str">
        <f>IFERROR(IF(AND('Дивиденды по годам'!Q855&lt;&gt;"",'Дивиденды по годам'!I855&lt;&gt;"",'Дивиденды по годам'!V855&lt;&gt;"",('Дивиденды по годам'!I855+'Дивиденды по годам'!V855)&lt;&gt;0),'Дивиденды по годам'!Q855/(('Дивиденды по годам'!I855+'Дивиденды по годам'!V855)/2),""),"")</f>
        <v/>
      </c>
      <c r="U855">
        <f>IFERROR(IF(AND('Дивиденды по годам'!J855&lt;&gt;"",'Дивиденды по годам'!K855&lt;&gt;"",'Дивиденды по годам'!M855&lt;&gt;"",'Дивиденды по годам'!M855&lt;&gt;0),('Дивиденды по годам'!J855+'Дивиденды по годам'!K855)/'Дивиденды по годам'!M855,""),"")</f>
        <v>6.3689253935660508</v>
      </c>
      <c r="V855" cm="1">
        <f t="array" ref="V855">IFERROR(AVERAGE(_xlfn._xlws.FILTER(P$2:P$1073,($C$2:$C$1073=$C855)*($E$2:$E$1073=$E855)*(ROW(P$2:P$1073)&lt;&gt;ROW(P855))*(P$2:P$1073&lt;&gt;""))),"")</f>
        <v>22.600509642831252</v>
      </c>
      <c r="W855" cm="1">
        <f t="array" ref="W855">IFERROR(AVERAGE(_xlfn._xlws.FILTER(Q$2:Q$1073,($C$2:$C$1073=$C855)*($E$2:$E$1073=$E855)*(ROW(Q$2:Q$1073)&lt;&gt;ROW(Q855))*(Q$2:Q$1073&lt;&gt;""))),"")</f>
        <v>5.6237144185717715E-2</v>
      </c>
      <c r="X855" cm="1">
        <f t="array" ref="X855">IFERROR(AVERAGE(_xlfn._xlws.FILTER(R$2:R$1073,($C$2:$C$1073=$C855)*($E$2:$E$1073=$E855)*(ROW(R$2:R$1073)&lt;&gt;ROW(R855))*(R$2:R$1073&lt;&gt;""))),"")</f>
        <v>0.60261811450317082</v>
      </c>
      <c r="Y855" cm="1">
        <f t="array" ref="Y855">IFERROR(AVERAGE(_xlfn._xlws.FILTER(S$2:S$1073,($C$2:$C$1073=$C855)*($E$2:$E$1073=$E855)*(ROW(S$2:S$1073)&lt;&gt;ROW(S855))*(S$2:S$1073&lt;&gt;""))),"")</f>
        <v>0.98625241302219391</v>
      </c>
      <c r="Z855" cm="1">
        <f t="array" ref="Z855">IFERROR(AVERAGE(_xlfn._xlws.FILTER(T$2:T$1073,($C$2:$C$1073=$C855)*($E$2:$E$1073=$E855)*(ROW(T$2:T$1073)&lt;&gt;ROW(T855))*(T$2:T$1073&lt;&gt;""))),"")</f>
        <v>0.26070423168654877</v>
      </c>
      <c r="AA855" cm="1">
        <f t="array" ref="AA855">IFERROR(AVERAGE(_xlfn._xlws.FILTER(U$2:U$1073,($C$2:$C$1073=$C855)*($E$2:$E$1073=$E855)*(ROW(U$2:U$1073)&lt;&gt;ROW(U855))*(U$2:U$1073&lt;&gt;""))),"")</f>
        <v>1.5905916908794697</v>
      </c>
    </row>
    <row r="856" spans="1:27" x14ac:dyDescent="0.2">
      <c r="A856" s="7" t="s">
        <v>2321</v>
      </c>
      <c r="B856" t="str">
        <f t="shared" si="145"/>
        <v>SOFL IV кв. 2019</v>
      </c>
      <c r="C856">
        <v>2019</v>
      </c>
      <c r="D856">
        <f>SUMIFS(Дивиденды!$C:$C,Дивиденды!$A:$A,A856,Дивиденды!$I:$I,C856)</f>
        <v>0</v>
      </c>
      <c r="E856">
        <v>5</v>
      </c>
      <c r="F856">
        <f t="shared" si="146"/>
        <v>0</v>
      </c>
      <c r="G856">
        <f t="shared" si="147"/>
        <v>0</v>
      </c>
      <c r="H856">
        <f t="shared" si="148"/>
        <v>0</v>
      </c>
      <c r="I856">
        <f t="shared" si="144"/>
        <v>0</v>
      </c>
      <c r="J856">
        <f t="shared" si="149"/>
        <v>0</v>
      </c>
      <c r="K856">
        <f t="shared" si="153"/>
        <v>0</v>
      </c>
      <c r="L856">
        <f t="shared" si="150"/>
        <v>0</v>
      </c>
      <c r="M856">
        <f t="shared" si="143"/>
        <v>0</v>
      </c>
      <c r="N856">
        <f t="shared" si="151"/>
        <v>0</v>
      </c>
      <c r="O856">
        <f t="shared" si="152"/>
        <v>0</v>
      </c>
      <c r="P856" t="str">
        <f>IFERROR(LN('Дивиденды по годам'!I856),"")</f>
        <v/>
      </c>
      <c r="Q856" t="str">
        <f>IFERROR('Дивиденды по годам'!G856/'Дивиденды по годам'!I856, "")</f>
        <v/>
      </c>
      <c r="R856" t="str">
        <f>IFERROR(IF(AND('Дивиденды по годам'!N856&lt;&gt;"",'Дивиденды по годам'!U856&lt;&gt;"",'Дивиденды по годам'!U856&lt;&gt;0),'Дивиденды по годам'!N856/'Дивиденды по годам'!U856-1,""),"")</f>
        <v/>
      </c>
      <c r="S856" t="str">
        <f>IFERROR(IF(AND('Дивиденды по годам'!L856&lt;&gt;"",'Дивиденды по годам'!I856&lt;&gt;"",'Дивиденды по годам'!J856&lt;&gt;"",'Дивиденды по годам'!K856&lt;&gt;"",('Дивиденды по годам'!I856-'Дивиденды по годам'!J856-'Дивиденды по годам'!K856)&lt;&gt;0),'Дивиденды по годам'!L856/('Дивиденды по годам'!I856-'Дивиденды по годам'!J856-'Дивиденды по годам'!K856),""),"")</f>
        <v/>
      </c>
      <c r="T856" t="str">
        <f>IFERROR(IF(AND('Дивиденды по годам'!Q856&lt;&gt;"",'Дивиденды по годам'!I856&lt;&gt;"",'Дивиденды по годам'!V856&lt;&gt;"",('Дивиденды по годам'!I856+'Дивиденды по годам'!V856)&lt;&gt;0),'Дивиденды по годам'!Q856/(('Дивиденды по годам'!I856+'Дивиденды по годам'!V856)/2),""),"")</f>
        <v/>
      </c>
      <c r="U856" t="str">
        <f>IFERROR(IF(AND('Дивиденды по годам'!J856&lt;&gt;"",'Дивиденды по годам'!K856&lt;&gt;"",'Дивиденды по годам'!M856&lt;&gt;"",'Дивиденды по годам'!M856&lt;&gt;0),('Дивиденды по годам'!J856+'Дивиденды по годам'!K856)/'Дивиденды по годам'!M856,""),"")</f>
        <v/>
      </c>
      <c r="V856" cm="1">
        <f t="array" ref="V856">IFERROR(AVERAGE(_xlfn._xlws.FILTER(P$2:P$1073,($C$2:$C$1073=$C856)*($E$2:$E$1073=$E856)*(ROW(P$2:P$1073)&lt;&gt;ROW(P856))*(P$2:P$1073&lt;&gt;""))),"")</f>
        <v>22.346825762693463</v>
      </c>
      <c r="W856" cm="1">
        <f t="array" ref="W856">IFERROR(AVERAGE(_xlfn._xlws.FILTER(Q$2:Q$1073,($C$2:$C$1073=$C856)*($E$2:$E$1073=$E856)*(ROW(Q$2:Q$1073)&lt;&gt;ROW(Q856))*(Q$2:Q$1073&lt;&gt;""))),"")</f>
        <v>7.5056136613850494E-2</v>
      </c>
      <c r="X856" cm="1">
        <f t="array" ref="X856">IFERROR(AVERAGE(_xlfn._xlws.FILTER(R$2:R$1073,($C$2:$C$1073=$C856)*($E$2:$E$1073=$E856)*(ROW(R$2:R$1073)&lt;&gt;ROW(R856))*(R$2:R$1073&lt;&gt;""))),"")</f>
        <v>0.33893563509351354</v>
      </c>
      <c r="Y856" cm="1">
        <f t="array" ref="Y856">IFERROR(AVERAGE(_xlfn._xlws.FILTER(S$2:S$1073,($C$2:$C$1073=$C856)*($E$2:$E$1073=$E856)*(ROW(S$2:S$1073)&lt;&gt;ROW(S856))*(S$2:S$1073&lt;&gt;""))),"")</f>
        <v>0.96665544321096464</v>
      </c>
      <c r="Z856" cm="1">
        <f t="array" ref="Z856">IFERROR(AVERAGE(_xlfn._xlws.FILTER(T$2:T$1073,($C$2:$C$1073=$C856)*($E$2:$E$1073=$E856)*(ROW(T$2:T$1073)&lt;&gt;ROW(T856))*(T$2:T$1073&lt;&gt;""))),"")</f>
        <v>3.4488878181792075E-2</v>
      </c>
      <c r="AA856" cm="1">
        <f t="array" ref="AA856">IFERROR(AVERAGE(_xlfn._xlws.FILTER(U$2:U$1073,($C$2:$C$1073=$C856)*($E$2:$E$1073=$E856)*(ROW(U$2:U$1073)&lt;&gt;ROW(U856))*(U$2:U$1073&lt;&gt;""))),"")</f>
        <v>4.0219461472187286</v>
      </c>
    </row>
    <row r="857" spans="1:27" x14ac:dyDescent="0.2">
      <c r="A857" s="7" t="s">
        <v>2321</v>
      </c>
      <c r="B857" t="str">
        <f t="shared" si="145"/>
        <v>SOFL IV кв. 2018</v>
      </c>
      <c r="C857">
        <v>2018</v>
      </c>
      <c r="D857">
        <f>SUMIFS(Дивиденды!$C:$C,Дивиденды!$A:$A,A857,Дивиденды!$I:$I,C857)</f>
        <v>0</v>
      </c>
      <c r="E857">
        <v>5</v>
      </c>
      <c r="F857">
        <f t="shared" si="146"/>
        <v>0</v>
      </c>
      <c r="G857">
        <f t="shared" si="147"/>
        <v>0</v>
      </c>
      <c r="H857">
        <f t="shared" si="148"/>
        <v>0</v>
      </c>
      <c r="I857">
        <f t="shared" si="144"/>
        <v>0</v>
      </c>
      <c r="J857">
        <f t="shared" si="149"/>
        <v>0</v>
      </c>
      <c r="K857">
        <f t="shared" si="153"/>
        <v>0</v>
      </c>
      <c r="L857">
        <f t="shared" si="150"/>
        <v>0</v>
      </c>
      <c r="M857">
        <f t="shared" si="143"/>
        <v>0</v>
      </c>
      <c r="N857">
        <f t="shared" si="151"/>
        <v>0</v>
      </c>
      <c r="O857">
        <f t="shared" si="152"/>
        <v>0</v>
      </c>
      <c r="P857" t="str">
        <f>IFERROR(LN('Дивиденды по годам'!I857),"")</f>
        <v/>
      </c>
      <c r="Q857" t="str">
        <f>IFERROR('Дивиденды по годам'!G857/'Дивиденды по годам'!I857, "")</f>
        <v/>
      </c>
      <c r="R857" t="str">
        <f>IFERROR(IF(AND('Дивиденды по годам'!N857&lt;&gt;"",'Дивиденды по годам'!U857&lt;&gt;"",'Дивиденды по годам'!U857&lt;&gt;0),'Дивиденды по годам'!N857/'Дивиденды по годам'!U857-1,""),"")</f>
        <v/>
      </c>
      <c r="S857" t="str">
        <f>IFERROR(IF(AND('Дивиденды по годам'!L857&lt;&gt;"",'Дивиденды по годам'!I857&lt;&gt;"",'Дивиденды по годам'!J857&lt;&gt;"",'Дивиденды по годам'!K857&lt;&gt;"",('Дивиденды по годам'!I857-'Дивиденды по годам'!J857-'Дивиденды по годам'!K857)&lt;&gt;0),'Дивиденды по годам'!L857/('Дивиденды по годам'!I857-'Дивиденды по годам'!J857-'Дивиденды по годам'!K857),""),"")</f>
        <v/>
      </c>
      <c r="T857" t="str">
        <f>IFERROR(IF(AND('Дивиденды по годам'!Q857&lt;&gt;"",'Дивиденды по годам'!I857&lt;&gt;"",'Дивиденды по годам'!V857&lt;&gt;"",('Дивиденды по годам'!I857+'Дивиденды по годам'!V857)&lt;&gt;0),'Дивиденды по годам'!Q857/(('Дивиденды по годам'!I857+'Дивиденды по годам'!V857)/2),""),"")</f>
        <v/>
      </c>
      <c r="U857" t="str">
        <f>IFERROR(IF(AND('Дивиденды по годам'!J857&lt;&gt;"",'Дивиденды по годам'!K857&lt;&gt;"",'Дивиденды по годам'!M857&lt;&gt;"",'Дивиденды по годам'!M857&lt;&gt;0),('Дивиденды по годам'!J857+'Дивиденды по годам'!K857)/'Дивиденды по годам'!M857,""),"")</f>
        <v/>
      </c>
      <c r="V857" cm="1">
        <f t="array" ref="V857">IFERROR(AVERAGE(_xlfn._xlws.FILTER(P$2:P$1073,($C$2:$C$1073=$C857)*($E$2:$E$1073=$E857)*(ROW(P$2:P$1073)&lt;&gt;ROW(P857))*(P$2:P$1073&lt;&gt;""))),"")</f>
        <v>22.172578892977874</v>
      </c>
      <c r="W857" cm="1">
        <f t="array" ref="W857">IFERROR(AVERAGE(_xlfn._xlws.FILTER(Q$2:Q$1073,($C$2:$C$1073=$C857)*($E$2:$E$1073=$E857)*(ROW(Q$2:Q$1073)&lt;&gt;ROW(Q857))*(Q$2:Q$1073&lt;&gt;""))),"")</f>
        <v>8.054458642308425E-2</v>
      </c>
      <c r="X857" t="str" cm="1">
        <f t="array" ref="X857">IFERROR(AVERAGE(_xlfn._xlws.FILTER(R$2:R$1073,($C$2:$C$1073=$C857)*($E$2:$E$1073=$E857)*(ROW(R$2:R$1073)&lt;&gt;ROW(R857))*(R$2:R$1073&lt;&gt;""))),"")</f>
        <v/>
      </c>
      <c r="Y857" cm="1">
        <f t="array" ref="Y857">IFERROR(AVERAGE(_xlfn._xlws.FILTER(S$2:S$1073,($C$2:$C$1073=$C857)*($E$2:$E$1073=$E857)*(ROW(S$2:S$1073)&lt;&gt;ROW(S857))*(S$2:S$1073&lt;&gt;""))),"")</f>
        <v>0.96159636867391751</v>
      </c>
      <c r="Z857" t="str" cm="1">
        <f t="array" ref="Z857">IFERROR(AVERAGE(_xlfn._xlws.FILTER(T$2:T$1073,($C$2:$C$1073=$C857)*($E$2:$E$1073=$E857)*(ROW(T$2:T$1073)&lt;&gt;ROW(T857))*(T$2:T$1073&lt;&gt;""))),"")</f>
        <v/>
      </c>
      <c r="AA857" cm="1">
        <f t="array" ref="AA857">IFERROR(AVERAGE(_xlfn._xlws.FILTER(U$2:U$1073,($C$2:$C$1073=$C857)*($E$2:$E$1073=$E857)*(ROW(U$2:U$1073)&lt;&gt;ROW(U857))*(U$2:U$1073&lt;&gt;""))),"")</f>
        <v>4.0227688861378841</v>
      </c>
    </row>
    <row r="858" spans="1:27" x14ac:dyDescent="0.2">
      <c r="A858" s="7" t="s">
        <v>2321</v>
      </c>
      <c r="B858" t="str">
        <f t="shared" si="145"/>
        <v>SOFL IV кв. 2017</v>
      </c>
      <c r="C858">
        <v>2017</v>
      </c>
      <c r="D858">
        <f>SUMIFS(Дивиденды!$C:$C,Дивиденды!$A:$A,A858,Дивиденды!$I:$I,C858)</f>
        <v>0</v>
      </c>
      <c r="E858">
        <v>5</v>
      </c>
      <c r="F858">
        <f t="shared" si="146"/>
        <v>0</v>
      </c>
      <c r="G858">
        <f t="shared" si="147"/>
        <v>0</v>
      </c>
      <c r="H858">
        <f t="shared" si="148"/>
        <v>0</v>
      </c>
      <c r="I858">
        <f t="shared" si="144"/>
        <v>0</v>
      </c>
      <c r="J858">
        <f t="shared" si="149"/>
        <v>0</v>
      </c>
      <c r="K858">
        <f t="shared" si="153"/>
        <v>0</v>
      </c>
      <c r="L858">
        <f t="shared" si="150"/>
        <v>0</v>
      </c>
      <c r="M858">
        <f t="shared" si="143"/>
        <v>0</v>
      </c>
      <c r="N858">
        <f t="shared" si="151"/>
        <v>0</v>
      </c>
      <c r="O858">
        <f t="shared" si="152"/>
        <v>0</v>
      </c>
      <c r="P858" t="str">
        <f>IFERROR(LN('Дивиденды по годам'!I858),"")</f>
        <v/>
      </c>
      <c r="Q858" t="str">
        <f>IFERROR('Дивиденды по годам'!G858/'Дивиденды по годам'!I858, "")</f>
        <v/>
      </c>
      <c r="R858" t="str">
        <f>IFERROR(IF(AND('Дивиденды по годам'!N858&lt;&gt;"",'Дивиденды по годам'!U858&lt;&gt;"",'Дивиденды по годам'!U858&lt;&gt;0),'Дивиденды по годам'!N858/'Дивиденды по годам'!U858-1,""),"")</f>
        <v/>
      </c>
      <c r="S858" t="str">
        <f>IFERROR(IF(AND('Дивиденды по годам'!L858&lt;&gt;"",'Дивиденды по годам'!I858&lt;&gt;"",'Дивиденды по годам'!J858&lt;&gt;"",'Дивиденды по годам'!K858&lt;&gt;"",('Дивиденды по годам'!I858-'Дивиденды по годам'!J858-'Дивиденды по годам'!K858)&lt;&gt;0),'Дивиденды по годам'!L858/('Дивиденды по годам'!I858-'Дивиденды по годам'!J858-'Дивиденды по годам'!K858),""),"")</f>
        <v/>
      </c>
      <c r="T858" t="str">
        <f>IFERROR(IF(AND('Дивиденды по годам'!Q858&lt;&gt;"",'Дивиденды по годам'!I858&lt;&gt;"",'Дивиденды по годам'!V858&lt;&gt;"",('Дивиденды по годам'!I858+'Дивиденды по годам'!V858)&lt;&gt;0),'Дивиденды по годам'!Q858/(('Дивиденды по годам'!I858+'Дивиденды по годам'!V858)/2),""),"")</f>
        <v/>
      </c>
      <c r="U858" t="str">
        <f>IFERROR(IF(AND('Дивиденды по годам'!J858&lt;&gt;"",'Дивиденды по годам'!K858&lt;&gt;"",'Дивиденды по годам'!M858&lt;&gt;"",'Дивиденды по годам'!M858&lt;&gt;0),('Дивиденды по годам'!J858+'Дивиденды по годам'!K858)/'Дивиденды по годам'!M858,""),"")</f>
        <v/>
      </c>
      <c r="V858" t="str" cm="1">
        <f t="array" ref="V858">IFERROR(AVERAGE(_xlfn._xlws.FILTER(P$2:P$1073,($C$2:$C$1073=$C858)*($E$2:$E$1073=$E858)*(ROW(P$2:P$1073)&lt;&gt;ROW(P858))*(P$2:P$1073&lt;&gt;""))),"")</f>
        <v/>
      </c>
      <c r="W858" t="str" cm="1">
        <f t="array" ref="W858">IFERROR(AVERAGE(_xlfn._xlws.FILTER(Q$2:Q$1073,($C$2:$C$1073=$C858)*($E$2:$E$1073=$E858)*(ROW(Q$2:Q$1073)&lt;&gt;ROW(Q858))*(Q$2:Q$1073&lt;&gt;""))),"")</f>
        <v/>
      </c>
      <c r="X858" t="str" cm="1">
        <f t="array" ref="X858">IFERROR(AVERAGE(_xlfn._xlws.FILTER(R$2:R$1073,($C$2:$C$1073=$C858)*($E$2:$E$1073=$E858)*(ROW(R$2:R$1073)&lt;&gt;ROW(R858))*(R$2:R$1073&lt;&gt;""))),"")</f>
        <v/>
      </c>
      <c r="Y858" t="str" cm="1">
        <f t="array" ref="Y858">IFERROR(AVERAGE(_xlfn._xlws.FILTER(S$2:S$1073,($C$2:$C$1073=$C858)*($E$2:$E$1073=$E858)*(ROW(S$2:S$1073)&lt;&gt;ROW(S858))*(S$2:S$1073&lt;&gt;""))),"")</f>
        <v/>
      </c>
      <c r="Z858" t="str" cm="1">
        <f t="array" ref="Z858">IFERROR(AVERAGE(_xlfn._xlws.FILTER(T$2:T$1073,($C$2:$C$1073=$C858)*($E$2:$E$1073=$E858)*(ROW(T$2:T$1073)&lt;&gt;ROW(T858))*(T$2:T$1073&lt;&gt;""))),"")</f>
        <v/>
      </c>
      <c r="AA858" t="str" cm="1">
        <f t="array" ref="AA858">IFERROR(AVERAGE(_xlfn._xlws.FILTER(U$2:U$1073,($C$2:$C$1073=$C858)*($E$2:$E$1073=$E858)*(ROW(U$2:U$1073)&lt;&gt;ROW(U858))*(U$2:U$1073&lt;&gt;""))),"")</f>
        <v/>
      </c>
    </row>
    <row r="859" spans="1:27" x14ac:dyDescent="0.2">
      <c r="A859" s="7" t="s">
        <v>2321</v>
      </c>
      <c r="B859" t="str">
        <f t="shared" si="145"/>
        <v>SOFL IV кв. 2016</v>
      </c>
      <c r="C859">
        <v>2016</v>
      </c>
      <c r="D859">
        <f>SUMIFS(Дивиденды!$C:$C,Дивиденды!$A:$A,A859,Дивиденды!$I:$I,C859)</f>
        <v>0</v>
      </c>
      <c r="E859">
        <v>5</v>
      </c>
      <c r="F859">
        <f t="shared" si="146"/>
        <v>0</v>
      </c>
      <c r="G859">
        <f t="shared" si="147"/>
        <v>0</v>
      </c>
      <c r="H859">
        <f t="shared" si="148"/>
        <v>0</v>
      </c>
      <c r="I859">
        <f t="shared" si="144"/>
        <v>0</v>
      </c>
      <c r="J859">
        <f t="shared" si="149"/>
        <v>0</v>
      </c>
      <c r="K859">
        <f t="shared" si="153"/>
        <v>0</v>
      </c>
      <c r="L859">
        <f t="shared" si="150"/>
        <v>0</v>
      </c>
      <c r="M859">
        <f t="shared" si="143"/>
        <v>0</v>
      </c>
      <c r="N859">
        <f t="shared" si="151"/>
        <v>0</v>
      </c>
      <c r="O859">
        <f t="shared" si="152"/>
        <v>0</v>
      </c>
      <c r="P859" t="str">
        <f>IFERROR(LN('Дивиденды по годам'!I859),"")</f>
        <v/>
      </c>
      <c r="Q859" t="str">
        <f>IFERROR('Дивиденды по годам'!G859/'Дивиденды по годам'!I859, "")</f>
        <v/>
      </c>
      <c r="R859" t="str">
        <f>IFERROR(IF(AND('Дивиденды по годам'!N859&lt;&gt;"",'Дивиденды по годам'!U859&lt;&gt;"",'Дивиденды по годам'!U859&lt;&gt;0),'Дивиденды по годам'!N859/'Дивиденды по годам'!U859-1,""),"")</f>
        <v/>
      </c>
      <c r="S859" t="str">
        <f>IFERROR(IF(AND('Дивиденды по годам'!L859&lt;&gt;"",'Дивиденды по годам'!I859&lt;&gt;"",'Дивиденды по годам'!J859&lt;&gt;"",'Дивиденды по годам'!K859&lt;&gt;"",('Дивиденды по годам'!I859-'Дивиденды по годам'!J859-'Дивиденды по годам'!K859)&lt;&gt;0),'Дивиденды по годам'!L859/('Дивиденды по годам'!I859-'Дивиденды по годам'!J859-'Дивиденды по годам'!K859),""),"")</f>
        <v/>
      </c>
      <c r="T859" t="str">
        <f>IFERROR(IF(AND('Дивиденды по годам'!Q859&lt;&gt;"",'Дивиденды по годам'!I859&lt;&gt;"",'Дивиденды по годам'!V859&lt;&gt;"",('Дивиденды по годам'!I859+'Дивиденды по годам'!V859)&lt;&gt;0),'Дивиденды по годам'!Q859/(('Дивиденды по годам'!I859+'Дивиденды по годам'!V859)/2),""),"")</f>
        <v/>
      </c>
      <c r="U859" t="str">
        <f>IFERROR(IF(AND('Дивиденды по годам'!J859&lt;&gt;"",'Дивиденды по годам'!K859&lt;&gt;"",'Дивиденды по годам'!M859&lt;&gt;"",'Дивиденды по годам'!M859&lt;&gt;0),('Дивиденды по годам'!J859+'Дивиденды по годам'!K859)/'Дивиденды по годам'!M859,""),"")</f>
        <v/>
      </c>
      <c r="V859" t="str" cm="1">
        <f t="array" ref="V859">IFERROR(AVERAGE(_xlfn._xlws.FILTER(P$2:P$1073,($C$2:$C$1073=$C859)*($E$2:$E$1073=$E859)*(ROW(P$2:P$1073)&lt;&gt;ROW(P859))*(P$2:P$1073&lt;&gt;""))),"")</f>
        <v/>
      </c>
      <c r="W859" t="str" cm="1">
        <f t="array" ref="W859">IFERROR(AVERAGE(_xlfn._xlws.FILTER(Q$2:Q$1073,($C$2:$C$1073=$C859)*($E$2:$E$1073=$E859)*(ROW(Q$2:Q$1073)&lt;&gt;ROW(Q859))*(Q$2:Q$1073&lt;&gt;""))),"")</f>
        <v/>
      </c>
      <c r="X859" t="str" cm="1">
        <f t="array" ref="X859">IFERROR(AVERAGE(_xlfn._xlws.FILTER(R$2:R$1073,($C$2:$C$1073=$C859)*($E$2:$E$1073=$E859)*(ROW(R$2:R$1073)&lt;&gt;ROW(R859))*(R$2:R$1073&lt;&gt;""))),"")</f>
        <v/>
      </c>
      <c r="Y859" t="str" cm="1">
        <f t="array" ref="Y859">IFERROR(AVERAGE(_xlfn._xlws.FILTER(S$2:S$1073,($C$2:$C$1073=$C859)*($E$2:$E$1073=$E859)*(ROW(S$2:S$1073)&lt;&gt;ROW(S859))*(S$2:S$1073&lt;&gt;""))),"")</f>
        <v/>
      </c>
      <c r="Z859" t="str" cm="1">
        <f t="array" ref="Z859">IFERROR(AVERAGE(_xlfn._xlws.FILTER(T$2:T$1073,($C$2:$C$1073=$C859)*($E$2:$E$1073=$E859)*(ROW(T$2:T$1073)&lt;&gt;ROW(T859))*(T$2:T$1073&lt;&gt;""))),"")</f>
        <v/>
      </c>
      <c r="AA859" t="str" cm="1">
        <f t="array" ref="AA859">IFERROR(AVERAGE(_xlfn._xlws.FILTER(U$2:U$1073,($C$2:$C$1073=$C859)*($E$2:$E$1073=$E859)*(ROW(U$2:U$1073)&lt;&gt;ROW(U859))*(U$2:U$1073&lt;&gt;""))),"")</f>
        <v/>
      </c>
    </row>
    <row r="860" spans="1:27" x14ac:dyDescent="0.2">
      <c r="A860" s="7" t="s">
        <v>2321</v>
      </c>
      <c r="B860" t="str">
        <f t="shared" si="145"/>
        <v>SOFL IV кв. 2015</v>
      </c>
      <c r="C860">
        <v>2015</v>
      </c>
      <c r="D860">
        <f>SUMIFS(Дивиденды!$C:$C,Дивиденды!$A:$A,A860,Дивиденды!$I:$I,C860)</f>
        <v>0</v>
      </c>
      <c r="E860">
        <v>5</v>
      </c>
      <c r="F860">
        <f t="shared" si="146"/>
        <v>0</v>
      </c>
      <c r="G860">
        <f t="shared" si="147"/>
        <v>0</v>
      </c>
      <c r="H860">
        <f t="shared" si="148"/>
        <v>0</v>
      </c>
      <c r="I860">
        <f t="shared" si="144"/>
        <v>0</v>
      </c>
      <c r="J860">
        <f t="shared" si="149"/>
        <v>0</v>
      </c>
      <c r="K860">
        <f t="shared" si="153"/>
        <v>0</v>
      </c>
      <c r="L860">
        <f t="shared" si="150"/>
        <v>0</v>
      </c>
      <c r="M860">
        <f t="shared" si="143"/>
        <v>0</v>
      </c>
      <c r="N860">
        <f t="shared" si="151"/>
        <v>0</v>
      </c>
      <c r="O860">
        <f t="shared" si="152"/>
        <v>0</v>
      </c>
      <c r="P860" t="str">
        <f>IFERROR(LN('Дивиденды по годам'!I860),"")</f>
        <v/>
      </c>
      <c r="Q860" t="str">
        <f>IFERROR('Дивиденды по годам'!G860/'Дивиденды по годам'!I860, "")</f>
        <v/>
      </c>
      <c r="R860" t="str">
        <f>IFERROR(IF(AND('Дивиденды по годам'!N860&lt;&gt;"",'Дивиденды по годам'!U860&lt;&gt;"",'Дивиденды по годам'!U860&lt;&gt;0),'Дивиденды по годам'!N860/'Дивиденды по годам'!U860-1,""),"")</f>
        <v/>
      </c>
      <c r="S860" t="str">
        <f>IFERROR(IF(AND('Дивиденды по годам'!L860&lt;&gt;"",'Дивиденды по годам'!I860&lt;&gt;"",'Дивиденды по годам'!J860&lt;&gt;"",'Дивиденды по годам'!K860&lt;&gt;"",('Дивиденды по годам'!I860-'Дивиденды по годам'!J860-'Дивиденды по годам'!K860)&lt;&gt;0),'Дивиденды по годам'!L860/('Дивиденды по годам'!I860-'Дивиденды по годам'!J860-'Дивиденды по годам'!K860),""),"")</f>
        <v/>
      </c>
      <c r="T860" t="str">
        <f>IFERROR(IF(AND('Дивиденды по годам'!Q860&lt;&gt;"",'Дивиденды по годам'!I860&lt;&gt;"",'Дивиденды по годам'!V860&lt;&gt;"",('Дивиденды по годам'!I860+'Дивиденды по годам'!V860)&lt;&gt;0),'Дивиденды по годам'!Q860/(('Дивиденды по годам'!I860+'Дивиденды по годам'!V860)/2),""),"")</f>
        <v/>
      </c>
      <c r="U860" t="str">
        <f>IFERROR(IF(AND('Дивиденды по годам'!J860&lt;&gt;"",'Дивиденды по годам'!K860&lt;&gt;"",'Дивиденды по годам'!M860&lt;&gt;"",'Дивиденды по годам'!M860&lt;&gt;0),('Дивиденды по годам'!J860+'Дивиденды по годам'!K860)/'Дивиденды по годам'!M860,""),"")</f>
        <v/>
      </c>
      <c r="V860" t="str" cm="1">
        <f t="array" ref="V860">IFERROR(AVERAGE(_xlfn._xlws.FILTER(P$2:P$1073,($C$2:$C$1073=$C860)*($E$2:$E$1073=$E860)*(ROW(P$2:P$1073)&lt;&gt;ROW(P860))*(P$2:P$1073&lt;&gt;""))),"")</f>
        <v/>
      </c>
      <c r="W860" t="str" cm="1">
        <f t="array" ref="W860">IFERROR(AVERAGE(_xlfn._xlws.FILTER(Q$2:Q$1073,($C$2:$C$1073=$C860)*($E$2:$E$1073=$E860)*(ROW(Q$2:Q$1073)&lt;&gt;ROW(Q860))*(Q$2:Q$1073&lt;&gt;""))),"")</f>
        <v/>
      </c>
      <c r="X860" t="str" cm="1">
        <f t="array" ref="X860">IFERROR(AVERAGE(_xlfn._xlws.FILTER(R$2:R$1073,($C$2:$C$1073=$C860)*($E$2:$E$1073=$E860)*(ROW(R$2:R$1073)&lt;&gt;ROW(R860))*(R$2:R$1073&lt;&gt;""))),"")</f>
        <v/>
      </c>
      <c r="Y860" t="str" cm="1">
        <f t="array" ref="Y860">IFERROR(AVERAGE(_xlfn._xlws.FILTER(S$2:S$1073,($C$2:$C$1073=$C860)*($E$2:$E$1073=$E860)*(ROW(S$2:S$1073)&lt;&gt;ROW(S860))*(S$2:S$1073&lt;&gt;""))),"")</f>
        <v/>
      </c>
      <c r="Z860" t="str" cm="1">
        <f t="array" ref="Z860">IFERROR(AVERAGE(_xlfn._xlws.FILTER(T$2:T$1073,($C$2:$C$1073=$C860)*($E$2:$E$1073=$E860)*(ROW(T$2:T$1073)&lt;&gt;ROW(T860))*(T$2:T$1073&lt;&gt;""))),"")</f>
        <v/>
      </c>
      <c r="AA860" t="str" cm="1">
        <f t="array" ref="AA860">IFERROR(AVERAGE(_xlfn._xlws.FILTER(U$2:U$1073,($C$2:$C$1073=$C860)*($E$2:$E$1073=$E860)*(ROW(U$2:U$1073)&lt;&gt;ROW(U860))*(U$2:U$1073&lt;&gt;""))),"")</f>
        <v/>
      </c>
    </row>
    <row r="861" spans="1:27" x14ac:dyDescent="0.2">
      <c r="A861" s="7" t="s">
        <v>2321</v>
      </c>
      <c r="B861" t="str">
        <f t="shared" si="145"/>
        <v>SOFL IV кв. 2014</v>
      </c>
      <c r="C861">
        <v>2014</v>
      </c>
      <c r="D861">
        <f>SUMIFS(Дивиденды!$C:$C,Дивиденды!$A:$A,A861,Дивиденды!$I:$I,C861)</f>
        <v>0</v>
      </c>
      <c r="E861">
        <v>5</v>
      </c>
      <c r="F861">
        <f t="shared" si="146"/>
        <v>0</v>
      </c>
      <c r="G861">
        <f t="shared" si="147"/>
        <v>0</v>
      </c>
      <c r="H861">
        <f t="shared" si="148"/>
        <v>0</v>
      </c>
      <c r="I861">
        <f t="shared" si="144"/>
        <v>0</v>
      </c>
      <c r="J861">
        <f t="shared" si="149"/>
        <v>0</v>
      </c>
      <c r="K861">
        <f t="shared" si="153"/>
        <v>0</v>
      </c>
      <c r="L861">
        <f t="shared" si="150"/>
        <v>0</v>
      </c>
      <c r="M861">
        <f t="shared" si="143"/>
        <v>0</v>
      </c>
      <c r="N861">
        <f t="shared" si="151"/>
        <v>0</v>
      </c>
      <c r="O861">
        <f t="shared" si="152"/>
        <v>0</v>
      </c>
      <c r="P861" t="str">
        <f>IFERROR(LN('Дивиденды по годам'!I861),"")</f>
        <v/>
      </c>
      <c r="Q861" t="str">
        <f>IFERROR('Дивиденды по годам'!G861/'Дивиденды по годам'!I861, "")</f>
        <v/>
      </c>
      <c r="R861" t="str">
        <f>IFERROR(IF(AND('Дивиденды по годам'!N861&lt;&gt;"",'Дивиденды по годам'!U861&lt;&gt;"",'Дивиденды по годам'!U861&lt;&gt;0),'Дивиденды по годам'!N861/'Дивиденды по годам'!U861-1,""),"")</f>
        <v/>
      </c>
      <c r="S861" t="str">
        <f>IFERROR(IF(AND('Дивиденды по годам'!L861&lt;&gt;"",'Дивиденды по годам'!I861&lt;&gt;"",'Дивиденды по годам'!J861&lt;&gt;"",'Дивиденды по годам'!K861&lt;&gt;"",('Дивиденды по годам'!I861-'Дивиденды по годам'!J861-'Дивиденды по годам'!K861)&lt;&gt;0),'Дивиденды по годам'!L861/('Дивиденды по годам'!I861-'Дивиденды по годам'!J861-'Дивиденды по годам'!K861),""),"")</f>
        <v/>
      </c>
      <c r="T861" t="str">
        <f>IFERROR(IF(AND('Дивиденды по годам'!Q861&lt;&gt;"",'Дивиденды по годам'!I861&lt;&gt;"",'Дивиденды по годам'!V861&lt;&gt;"",('Дивиденды по годам'!I861+'Дивиденды по годам'!V861)&lt;&gt;0),'Дивиденды по годам'!Q861/(('Дивиденды по годам'!I861+'Дивиденды по годам'!V861)/2),""),"")</f>
        <v/>
      </c>
      <c r="U861" t="str">
        <f>IFERROR(IF(AND('Дивиденды по годам'!J861&lt;&gt;"",'Дивиденды по годам'!K861&lt;&gt;"",'Дивиденды по годам'!M861&lt;&gt;"",'Дивиденды по годам'!M861&lt;&gt;0),('Дивиденды по годам'!J861+'Дивиденды по годам'!K861)/'Дивиденды по годам'!M861,""),"")</f>
        <v/>
      </c>
      <c r="V861" t="str" cm="1">
        <f t="array" ref="V861">IFERROR(AVERAGE(_xlfn._xlws.FILTER(P$2:P$1073,($C$2:$C$1073=$C861)*($E$2:$E$1073=$E861)*(ROW(P$2:P$1073)&lt;&gt;ROW(P861))*(P$2:P$1073&lt;&gt;""))),"")</f>
        <v/>
      </c>
      <c r="W861" t="str" cm="1">
        <f t="array" ref="W861">IFERROR(AVERAGE(_xlfn._xlws.FILTER(Q$2:Q$1073,($C$2:$C$1073=$C861)*($E$2:$E$1073=$E861)*(ROW(Q$2:Q$1073)&lt;&gt;ROW(Q861))*(Q$2:Q$1073&lt;&gt;""))),"")</f>
        <v/>
      </c>
      <c r="X861" t="str" cm="1">
        <f t="array" ref="X861">IFERROR(AVERAGE(_xlfn._xlws.FILTER(R$2:R$1073,($C$2:$C$1073=$C861)*($E$2:$E$1073=$E861)*(ROW(R$2:R$1073)&lt;&gt;ROW(R861))*(R$2:R$1073&lt;&gt;""))),"")</f>
        <v/>
      </c>
      <c r="Y861" t="str" cm="1">
        <f t="array" ref="Y861">IFERROR(AVERAGE(_xlfn._xlws.FILTER(S$2:S$1073,($C$2:$C$1073=$C861)*($E$2:$E$1073=$E861)*(ROW(S$2:S$1073)&lt;&gt;ROW(S861))*(S$2:S$1073&lt;&gt;""))),"")</f>
        <v/>
      </c>
      <c r="Z861" t="str" cm="1">
        <f t="array" ref="Z861">IFERROR(AVERAGE(_xlfn._xlws.FILTER(T$2:T$1073,($C$2:$C$1073=$C861)*($E$2:$E$1073=$E861)*(ROW(T$2:T$1073)&lt;&gt;ROW(T861))*(T$2:T$1073&lt;&gt;""))),"")</f>
        <v/>
      </c>
      <c r="AA861" t="str" cm="1">
        <f t="array" ref="AA861">IFERROR(AVERAGE(_xlfn._xlws.FILTER(U$2:U$1073,($C$2:$C$1073=$C861)*($E$2:$E$1073=$E861)*(ROW(U$2:U$1073)&lt;&gt;ROW(U861))*(U$2:U$1073&lt;&gt;""))),"")</f>
        <v/>
      </c>
    </row>
    <row r="862" spans="1:27" x14ac:dyDescent="0.2">
      <c r="A862" s="7" t="s">
        <v>2321</v>
      </c>
      <c r="B862" t="str">
        <f t="shared" si="145"/>
        <v>SOFL IV кв. 2013</v>
      </c>
      <c r="C862">
        <v>2013</v>
      </c>
      <c r="D862">
        <f>SUMIFS(Дивиденды!$C:$C,Дивиденды!$A:$A,A862,Дивиденды!$I:$I,C862)</f>
        <v>0</v>
      </c>
      <c r="E862">
        <v>5</v>
      </c>
      <c r="F862">
        <f t="shared" si="146"/>
        <v>0</v>
      </c>
      <c r="G862">
        <f t="shared" si="147"/>
        <v>0</v>
      </c>
      <c r="H862">
        <f t="shared" si="148"/>
        <v>0</v>
      </c>
      <c r="I862">
        <f t="shared" si="144"/>
        <v>0</v>
      </c>
      <c r="J862">
        <f t="shared" si="149"/>
        <v>0</v>
      </c>
      <c r="K862">
        <f t="shared" si="153"/>
        <v>0</v>
      </c>
      <c r="L862">
        <f t="shared" si="150"/>
        <v>0</v>
      </c>
      <c r="M862">
        <f t="shared" si="143"/>
        <v>0</v>
      </c>
      <c r="N862">
        <f t="shared" si="151"/>
        <v>0</v>
      </c>
      <c r="O862">
        <f t="shared" si="152"/>
        <v>0</v>
      </c>
      <c r="P862" t="str">
        <f>IFERROR(LN('Дивиденды по годам'!I862),"")</f>
        <v/>
      </c>
      <c r="Q862" t="str">
        <f>IFERROR('Дивиденды по годам'!G862/'Дивиденды по годам'!I862, "")</f>
        <v/>
      </c>
      <c r="R862" t="str">
        <f>IFERROR(IF(AND('Дивиденды по годам'!N862&lt;&gt;"",'Дивиденды по годам'!U862&lt;&gt;"",'Дивиденды по годам'!U862&lt;&gt;0),'Дивиденды по годам'!N862/'Дивиденды по годам'!U862-1,""),"")</f>
        <v/>
      </c>
      <c r="S862" t="str">
        <f>IFERROR(IF(AND('Дивиденды по годам'!L862&lt;&gt;"",'Дивиденды по годам'!I862&lt;&gt;"",'Дивиденды по годам'!J862&lt;&gt;"",'Дивиденды по годам'!K862&lt;&gt;"",('Дивиденды по годам'!I862-'Дивиденды по годам'!J862-'Дивиденды по годам'!K862)&lt;&gt;0),'Дивиденды по годам'!L862/('Дивиденды по годам'!I862-'Дивиденды по годам'!J862-'Дивиденды по годам'!K862),""),"")</f>
        <v/>
      </c>
      <c r="T862" t="str">
        <f>IFERROR(IF(AND('Дивиденды по годам'!Q862&lt;&gt;"",'Дивиденды по годам'!I862&lt;&gt;"",'Дивиденды по годам'!V862&lt;&gt;"",('Дивиденды по годам'!I862+'Дивиденды по годам'!V862)&lt;&gt;0),'Дивиденды по годам'!Q862/(('Дивиденды по годам'!I862+'Дивиденды по годам'!V862)/2),""),"")</f>
        <v/>
      </c>
      <c r="U862" t="str">
        <f>IFERROR(IF(AND('Дивиденды по годам'!J862&lt;&gt;"",'Дивиденды по годам'!K862&lt;&gt;"",'Дивиденды по годам'!M862&lt;&gt;"",'Дивиденды по годам'!M862&lt;&gt;0),('Дивиденды по годам'!J862+'Дивиденды по годам'!K862)/'Дивиденды по годам'!M862,""),"")</f>
        <v/>
      </c>
      <c r="V862" t="str" cm="1">
        <f t="array" ref="V862">IFERROR(AVERAGE(_xlfn._xlws.FILTER(P$2:P$1073,($C$2:$C$1073=$C862)*($E$2:$E$1073=$E862)*(ROW(P$2:P$1073)&lt;&gt;ROW(P862))*(P$2:P$1073&lt;&gt;""))),"")</f>
        <v/>
      </c>
      <c r="W862" t="str" cm="1">
        <f t="array" ref="W862">IFERROR(AVERAGE(_xlfn._xlws.FILTER(Q$2:Q$1073,($C$2:$C$1073=$C862)*($E$2:$E$1073=$E862)*(ROW(Q$2:Q$1073)&lt;&gt;ROW(Q862))*(Q$2:Q$1073&lt;&gt;""))),"")</f>
        <v/>
      </c>
      <c r="X862" t="str" cm="1">
        <f t="array" ref="X862">IFERROR(AVERAGE(_xlfn._xlws.FILTER(R$2:R$1073,($C$2:$C$1073=$C862)*($E$2:$E$1073=$E862)*(ROW(R$2:R$1073)&lt;&gt;ROW(R862))*(R$2:R$1073&lt;&gt;""))),"")</f>
        <v/>
      </c>
      <c r="Y862" t="str" cm="1">
        <f t="array" ref="Y862">IFERROR(AVERAGE(_xlfn._xlws.FILTER(S$2:S$1073,($C$2:$C$1073=$C862)*($E$2:$E$1073=$E862)*(ROW(S$2:S$1073)&lt;&gt;ROW(S862))*(S$2:S$1073&lt;&gt;""))),"")</f>
        <v/>
      </c>
      <c r="Z862" t="str" cm="1">
        <f t="array" ref="Z862">IFERROR(AVERAGE(_xlfn._xlws.FILTER(T$2:T$1073,($C$2:$C$1073=$C862)*($E$2:$E$1073=$E862)*(ROW(T$2:T$1073)&lt;&gt;ROW(T862))*(T$2:T$1073&lt;&gt;""))),"")</f>
        <v/>
      </c>
      <c r="AA862" t="str" cm="1">
        <f t="array" ref="AA862">IFERROR(AVERAGE(_xlfn._xlws.FILTER(U$2:U$1073,($C$2:$C$1073=$C862)*($E$2:$E$1073=$E862)*(ROW(U$2:U$1073)&lt;&gt;ROW(U862))*(U$2:U$1073&lt;&gt;""))),"")</f>
        <v/>
      </c>
    </row>
    <row r="863" spans="1:27" x14ac:dyDescent="0.2">
      <c r="A863" s="7" t="s">
        <v>2321</v>
      </c>
      <c r="B863" t="str">
        <f t="shared" si="145"/>
        <v>SOFL IV кв. 2012</v>
      </c>
      <c r="C863">
        <v>2012</v>
      </c>
      <c r="D863">
        <f>SUMIFS(Дивиденды!$C:$C,Дивиденды!$A:$A,A863,Дивиденды!$I:$I,C863)</f>
        <v>0</v>
      </c>
      <c r="E863">
        <v>5</v>
      </c>
      <c r="F863">
        <f t="shared" si="146"/>
        <v>0</v>
      </c>
      <c r="G863">
        <f t="shared" si="147"/>
        <v>0</v>
      </c>
      <c r="H863">
        <f t="shared" si="148"/>
        <v>0</v>
      </c>
      <c r="I863">
        <f t="shared" si="144"/>
        <v>0</v>
      </c>
      <c r="J863">
        <f t="shared" si="149"/>
        <v>0</v>
      </c>
      <c r="K863">
        <f t="shared" si="153"/>
        <v>0</v>
      </c>
      <c r="L863">
        <f t="shared" si="150"/>
        <v>0</v>
      </c>
      <c r="M863">
        <f t="shared" si="143"/>
        <v>0</v>
      </c>
      <c r="N863">
        <f t="shared" si="151"/>
        <v>0</v>
      </c>
      <c r="O863">
        <f t="shared" si="152"/>
        <v>0</v>
      </c>
      <c r="P863" t="str">
        <f>IFERROR(LN('Дивиденды по годам'!I863),"")</f>
        <v/>
      </c>
      <c r="Q863" t="str">
        <f>IFERROR('Дивиденды по годам'!G863/'Дивиденды по годам'!I863, "")</f>
        <v/>
      </c>
      <c r="R863" t="str">
        <f>IFERROR(IF(AND('Дивиденды по годам'!N863&lt;&gt;"",'Дивиденды по годам'!U863&lt;&gt;"",'Дивиденды по годам'!U863&lt;&gt;0),'Дивиденды по годам'!N863/'Дивиденды по годам'!U863-1,""),"")</f>
        <v/>
      </c>
      <c r="S863" t="str">
        <f>IFERROR(IF(AND('Дивиденды по годам'!L863&lt;&gt;"",'Дивиденды по годам'!I863&lt;&gt;"",'Дивиденды по годам'!J863&lt;&gt;"",'Дивиденды по годам'!K863&lt;&gt;"",('Дивиденды по годам'!I863-'Дивиденды по годам'!J863-'Дивиденды по годам'!K863)&lt;&gt;0),'Дивиденды по годам'!L863/('Дивиденды по годам'!I863-'Дивиденды по годам'!J863-'Дивиденды по годам'!K863),""),"")</f>
        <v/>
      </c>
      <c r="T863" t="str">
        <f>IFERROR(IF(AND('Дивиденды по годам'!Q863&lt;&gt;"",'Дивиденды по годам'!I863&lt;&gt;"",'Дивиденды по годам'!V863&lt;&gt;"",('Дивиденды по годам'!I863+'Дивиденды по годам'!V863)&lt;&gt;0),'Дивиденды по годам'!Q863/(('Дивиденды по годам'!I863+'Дивиденды по годам'!V863)/2),""),"")</f>
        <v/>
      </c>
      <c r="U863" t="str">
        <f>IFERROR(IF(AND('Дивиденды по годам'!J863&lt;&gt;"",'Дивиденды по годам'!K863&lt;&gt;"",'Дивиденды по годам'!M863&lt;&gt;"",'Дивиденды по годам'!M863&lt;&gt;0),('Дивиденды по годам'!J863+'Дивиденды по годам'!K863)/'Дивиденды по годам'!M863,""),"")</f>
        <v/>
      </c>
      <c r="V863" t="str" cm="1">
        <f t="array" ref="V863">IFERROR(AVERAGE(_xlfn._xlws.FILTER(P$2:P$1073,($C$2:$C$1073=$C863)*($E$2:$E$1073=$E863)*(ROW(P$2:P$1073)&lt;&gt;ROW(P863))*(P$2:P$1073&lt;&gt;""))),"")</f>
        <v/>
      </c>
      <c r="W863" t="str" cm="1">
        <f t="array" ref="W863">IFERROR(AVERAGE(_xlfn._xlws.FILTER(Q$2:Q$1073,($C$2:$C$1073=$C863)*($E$2:$E$1073=$E863)*(ROW(Q$2:Q$1073)&lt;&gt;ROW(Q863))*(Q$2:Q$1073&lt;&gt;""))),"")</f>
        <v/>
      </c>
      <c r="X863" t="str" cm="1">
        <f t="array" ref="X863">IFERROR(AVERAGE(_xlfn._xlws.FILTER(R$2:R$1073,($C$2:$C$1073=$C863)*($E$2:$E$1073=$E863)*(ROW(R$2:R$1073)&lt;&gt;ROW(R863))*(R$2:R$1073&lt;&gt;""))),"")</f>
        <v/>
      </c>
      <c r="Y863" t="str" cm="1">
        <f t="array" ref="Y863">IFERROR(AVERAGE(_xlfn._xlws.FILTER(S$2:S$1073,($C$2:$C$1073=$C863)*($E$2:$E$1073=$E863)*(ROW(S$2:S$1073)&lt;&gt;ROW(S863))*(S$2:S$1073&lt;&gt;""))),"")</f>
        <v/>
      </c>
      <c r="Z863" t="str" cm="1">
        <f t="array" ref="Z863">IFERROR(AVERAGE(_xlfn._xlws.FILTER(T$2:T$1073,($C$2:$C$1073=$C863)*($E$2:$E$1073=$E863)*(ROW(T$2:T$1073)&lt;&gt;ROW(T863))*(T$2:T$1073&lt;&gt;""))),"")</f>
        <v/>
      </c>
      <c r="AA863" t="str" cm="1">
        <f t="array" ref="AA863">IFERROR(AVERAGE(_xlfn._xlws.FILTER(U$2:U$1073,($C$2:$C$1073=$C863)*($E$2:$E$1073=$E863)*(ROW(U$2:U$1073)&lt;&gt;ROW(U863))*(U$2:U$1073&lt;&gt;""))),"")</f>
        <v/>
      </c>
    </row>
    <row r="864" spans="1:27" x14ac:dyDescent="0.2">
      <c r="A864" s="7" t="s">
        <v>2321</v>
      </c>
      <c r="B864" t="str">
        <f t="shared" si="145"/>
        <v>SOFL IV кв. 2011</v>
      </c>
      <c r="C864">
        <v>2011</v>
      </c>
      <c r="D864">
        <f>SUMIFS(Дивиденды!$C:$C,Дивиденды!$A:$A,A864,Дивиденды!$I:$I,C864)</f>
        <v>0</v>
      </c>
      <c r="E864">
        <v>5</v>
      </c>
      <c r="F864">
        <f t="shared" si="146"/>
        <v>0</v>
      </c>
      <c r="G864">
        <f t="shared" si="147"/>
        <v>0</v>
      </c>
      <c r="H864">
        <f t="shared" si="148"/>
        <v>0</v>
      </c>
      <c r="I864">
        <f t="shared" si="144"/>
        <v>0</v>
      </c>
      <c r="J864">
        <f t="shared" si="149"/>
        <v>0</v>
      </c>
      <c r="K864">
        <f t="shared" si="153"/>
        <v>0</v>
      </c>
      <c r="L864">
        <f t="shared" si="150"/>
        <v>0</v>
      </c>
      <c r="M864">
        <f t="shared" si="143"/>
        <v>0</v>
      </c>
      <c r="N864">
        <f t="shared" si="151"/>
        <v>0</v>
      </c>
      <c r="O864">
        <f t="shared" si="152"/>
        <v>0</v>
      </c>
      <c r="P864" t="str">
        <f>IFERROR(LN('Дивиденды по годам'!I864),"")</f>
        <v/>
      </c>
      <c r="Q864" t="str">
        <f>IFERROR('Дивиденды по годам'!G864/'Дивиденды по годам'!I864, "")</f>
        <v/>
      </c>
      <c r="R864" t="str">
        <f>IFERROR(IF(AND('Дивиденды по годам'!N864&lt;&gt;"",'Дивиденды по годам'!U864&lt;&gt;"",'Дивиденды по годам'!U864&lt;&gt;0),'Дивиденды по годам'!N864/'Дивиденды по годам'!U864-1,""),"")</f>
        <v/>
      </c>
      <c r="S864" t="str">
        <f>IFERROR(IF(AND('Дивиденды по годам'!L864&lt;&gt;"",'Дивиденды по годам'!I864&lt;&gt;"",'Дивиденды по годам'!J864&lt;&gt;"",'Дивиденды по годам'!K864&lt;&gt;"",('Дивиденды по годам'!I864-'Дивиденды по годам'!J864-'Дивиденды по годам'!K864)&lt;&gt;0),'Дивиденды по годам'!L864/('Дивиденды по годам'!I864-'Дивиденды по годам'!J864-'Дивиденды по годам'!K864),""),"")</f>
        <v/>
      </c>
      <c r="T864" t="str">
        <f>IFERROR(IF(AND('Дивиденды по годам'!Q864&lt;&gt;"",'Дивиденды по годам'!I864&lt;&gt;"",'Дивиденды по годам'!V864&lt;&gt;"",('Дивиденды по годам'!I864+'Дивиденды по годам'!V864)&lt;&gt;0),'Дивиденды по годам'!Q864/(('Дивиденды по годам'!I864+'Дивиденды по годам'!V864)/2),""),"")</f>
        <v/>
      </c>
      <c r="U864" t="str">
        <f>IFERROR(IF(AND('Дивиденды по годам'!J864&lt;&gt;"",'Дивиденды по годам'!K864&lt;&gt;"",'Дивиденды по годам'!M864&lt;&gt;"",'Дивиденды по годам'!M864&lt;&gt;0),('Дивиденды по годам'!J864+'Дивиденды по годам'!K864)/'Дивиденды по годам'!M864,""),"")</f>
        <v/>
      </c>
      <c r="V864" t="str" cm="1">
        <f t="array" ref="V864">IFERROR(AVERAGE(_xlfn._xlws.FILTER(P$2:P$1073,($C$2:$C$1073=$C864)*($E$2:$E$1073=$E864)*(ROW(P$2:P$1073)&lt;&gt;ROW(P864))*(P$2:P$1073&lt;&gt;""))),"")</f>
        <v/>
      </c>
      <c r="W864" t="str" cm="1">
        <f t="array" ref="W864">IFERROR(AVERAGE(_xlfn._xlws.FILTER(Q$2:Q$1073,($C$2:$C$1073=$C864)*($E$2:$E$1073=$E864)*(ROW(Q$2:Q$1073)&lt;&gt;ROW(Q864))*(Q$2:Q$1073&lt;&gt;""))),"")</f>
        <v/>
      </c>
      <c r="X864" t="str" cm="1">
        <f t="array" ref="X864">IFERROR(AVERAGE(_xlfn._xlws.FILTER(R$2:R$1073,($C$2:$C$1073=$C864)*($E$2:$E$1073=$E864)*(ROW(R$2:R$1073)&lt;&gt;ROW(R864))*(R$2:R$1073&lt;&gt;""))),"")</f>
        <v/>
      </c>
      <c r="Y864" t="str" cm="1">
        <f t="array" ref="Y864">IFERROR(AVERAGE(_xlfn._xlws.FILTER(S$2:S$1073,($C$2:$C$1073=$C864)*($E$2:$E$1073=$E864)*(ROW(S$2:S$1073)&lt;&gt;ROW(S864))*(S$2:S$1073&lt;&gt;""))),"")</f>
        <v/>
      </c>
      <c r="Z864" t="str" cm="1">
        <f t="array" ref="Z864">IFERROR(AVERAGE(_xlfn._xlws.FILTER(T$2:T$1073,($C$2:$C$1073=$C864)*($E$2:$E$1073=$E864)*(ROW(T$2:T$1073)&lt;&gt;ROW(T864))*(T$2:T$1073&lt;&gt;""))),"")</f>
        <v/>
      </c>
      <c r="AA864" t="str" cm="1">
        <f t="array" ref="AA864">IFERROR(AVERAGE(_xlfn._xlws.FILTER(U$2:U$1073,($C$2:$C$1073=$C864)*($E$2:$E$1073=$E864)*(ROW(U$2:U$1073)&lt;&gt;ROW(U864))*(U$2:U$1073&lt;&gt;""))),"")</f>
        <v/>
      </c>
    </row>
    <row r="865" spans="1:27" x14ac:dyDescent="0.2">
      <c r="A865" s="7" t="s">
        <v>2321</v>
      </c>
      <c r="B865" t="str">
        <f t="shared" si="145"/>
        <v>SOFL IV кв. 2010</v>
      </c>
      <c r="C865">
        <v>2010</v>
      </c>
      <c r="D865">
        <f>SUMIFS(Дивиденды!$C:$C,Дивиденды!$A:$A,A865,Дивиденды!$I:$I,C865)</f>
        <v>0</v>
      </c>
      <c r="E865">
        <v>5</v>
      </c>
      <c r="F865">
        <f t="shared" si="146"/>
        <v>0</v>
      </c>
      <c r="G865">
        <f t="shared" si="147"/>
        <v>0</v>
      </c>
      <c r="H865">
        <f t="shared" si="148"/>
        <v>0</v>
      </c>
      <c r="I865">
        <f t="shared" si="144"/>
        <v>0</v>
      </c>
      <c r="J865" t="str">
        <f t="shared" si="149"/>
        <v/>
      </c>
      <c r="K865" t="str">
        <f t="shared" si="153"/>
        <v/>
      </c>
      <c r="L865" t="str">
        <f t="shared" si="150"/>
        <v/>
      </c>
      <c r="M865" t="str">
        <f t="shared" ref="M865:M928" si="154">IFERROR(AVERAGEIFS($L:$L,$E:$E,E865,$C:$C,C865,$A:$A,"&lt;&gt;"&amp;A865),"")</f>
        <v/>
      </c>
      <c r="N865" t="str">
        <f t="shared" si="151"/>
        <v/>
      </c>
      <c r="O865" t="str">
        <f t="shared" si="152"/>
        <v/>
      </c>
      <c r="P865" t="str">
        <f>IFERROR(LN('Дивиденды по годам'!I865),"")</f>
        <v/>
      </c>
      <c r="Q865" t="str">
        <f>IFERROR('Дивиденды по годам'!G865/'Дивиденды по годам'!I865, "")</f>
        <v/>
      </c>
      <c r="R865" t="str">
        <f>IFERROR(IF(AND('Дивиденды по годам'!N865&lt;&gt;"",'Дивиденды по годам'!U865&lt;&gt;"",'Дивиденды по годам'!U865&lt;&gt;0),'Дивиденды по годам'!N865/'Дивиденды по годам'!U865-1,""),"")</f>
        <v/>
      </c>
      <c r="S865" t="str">
        <f>IFERROR(IF(AND('Дивиденды по годам'!L865&lt;&gt;"",'Дивиденды по годам'!I865&lt;&gt;"",'Дивиденды по годам'!J865&lt;&gt;"",'Дивиденды по годам'!K865&lt;&gt;"",('Дивиденды по годам'!I865-'Дивиденды по годам'!J865-'Дивиденды по годам'!K865)&lt;&gt;0),'Дивиденды по годам'!L865/('Дивиденды по годам'!I865-'Дивиденды по годам'!J865-'Дивиденды по годам'!K865),""),"")</f>
        <v/>
      </c>
      <c r="T865" t="str">
        <f>IFERROR(IF(AND('Дивиденды по годам'!Q865&lt;&gt;"",'Дивиденды по годам'!I865&lt;&gt;"",'Дивиденды по годам'!V865&lt;&gt;"",('Дивиденды по годам'!I865+'Дивиденды по годам'!V865)&lt;&gt;0),'Дивиденды по годам'!Q865/(('Дивиденды по годам'!I865+'Дивиденды по годам'!V865)/2),""),"")</f>
        <v/>
      </c>
      <c r="U865" t="str">
        <f>IFERROR(IF(AND('Дивиденды по годам'!J865&lt;&gt;"",'Дивиденды по годам'!K865&lt;&gt;"",'Дивиденды по годам'!M865&lt;&gt;"",'Дивиденды по годам'!M865&lt;&gt;0),('Дивиденды по годам'!J865+'Дивиденды по годам'!K865)/'Дивиденды по годам'!M865,""),"")</f>
        <v/>
      </c>
      <c r="V865" t="str" cm="1">
        <f t="array" ref="V865">IFERROR(AVERAGE(_xlfn._xlws.FILTER(P$2:P$1073,($C$2:$C$1073=$C865)*($E$2:$E$1073=$E865)*(ROW(P$2:P$1073)&lt;&gt;ROW(P865))*(P$2:P$1073&lt;&gt;""))),"")</f>
        <v/>
      </c>
      <c r="W865" t="str" cm="1">
        <f t="array" ref="W865">IFERROR(AVERAGE(_xlfn._xlws.FILTER(Q$2:Q$1073,($C$2:$C$1073=$C865)*($E$2:$E$1073=$E865)*(ROW(Q$2:Q$1073)&lt;&gt;ROW(Q865))*(Q$2:Q$1073&lt;&gt;""))),"")</f>
        <v/>
      </c>
      <c r="X865" t="str" cm="1">
        <f t="array" ref="X865">IFERROR(AVERAGE(_xlfn._xlws.FILTER(R$2:R$1073,($C$2:$C$1073=$C865)*($E$2:$E$1073=$E865)*(ROW(R$2:R$1073)&lt;&gt;ROW(R865))*(R$2:R$1073&lt;&gt;""))),"")</f>
        <v/>
      </c>
      <c r="Y865" t="str" cm="1">
        <f t="array" ref="Y865">IFERROR(AVERAGE(_xlfn._xlws.FILTER(S$2:S$1073,($C$2:$C$1073=$C865)*($E$2:$E$1073=$E865)*(ROW(S$2:S$1073)&lt;&gt;ROW(S865))*(S$2:S$1073&lt;&gt;""))),"")</f>
        <v/>
      </c>
      <c r="Z865" t="str" cm="1">
        <f t="array" ref="Z865">IFERROR(AVERAGE(_xlfn._xlws.FILTER(T$2:T$1073,($C$2:$C$1073=$C865)*($E$2:$E$1073=$E865)*(ROW(T$2:T$1073)&lt;&gt;ROW(T865))*(T$2:T$1073&lt;&gt;""))),"")</f>
        <v/>
      </c>
      <c r="AA865" t="str" cm="1">
        <f t="array" ref="AA865">IFERROR(AVERAGE(_xlfn._xlws.FILTER(U$2:U$1073,($C$2:$C$1073=$C865)*($E$2:$E$1073=$E865)*(ROW(U$2:U$1073)&lt;&gt;ROW(U865))*(U$2:U$1073&lt;&gt;""))),"")</f>
        <v/>
      </c>
    </row>
    <row r="866" spans="1:27" x14ac:dyDescent="0.2">
      <c r="A866" s="7" t="s">
        <v>2322</v>
      </c>
      <c r="B866" t="str">
        <f t="shared" si="145"/>
        <v>VKCO IV кв. 2025</v>
      </c>
      <c r="C866">
        <v>2025</v>
      </c>
      <c r="D866">
        <f>SUMIFS(Дивиденды!$C:$C,Дивиденды!$A:$A,A866,Дивиденды!$I:$I,C866)</f>
        <v>0</v>
      </c>
      <c r="E866">
        <v>5</v>
      </c>
      <c r="F866">
        <f t="shared" si="146"/>
        <v>0</v>
      </c>
      <c r="G866">
        <f t="shared" si="147"/>
        <v>62.940000000000005</v>
      </c>
      <c r="H866">
        <f t="shared" si="148"/>
        <v>0</v>
      </c>
      <c r="I866">
        <f t="shared" si="144"/>
        <v>0.66666666666666663</v>
      </c>
      <c r="J866">
        <f t="shared" si="149"/>
        <v>0</v>
      </c>
      <c r="K866">
        <f t="shared" si="153"/>
        <v>0.19391810466398299</v>
      </c>
      <c r="L866">
        <f t="shared" si="150"/>
        <v>0</v>
      </c>
      <c r="M866">
        <f t="shared" si="154"/>
        <v>0.44444444444444442</v>
      </c>
      <c r="N866">
        <f t="shared" si="151"/>
        <v>0</v>
      </c>
      <c r="O866">
        <f t="shared" si="152"/>
        <v>0.44444444444444442</v>
      </c>
      <c r="P866">
        <f>IFERROR(LN('Дивиденды по годам'!I866),"")</f>
        <v>26.532236812466742</v>
      </c>
      <c r="Q866">
        <f>IFERROR('Дивиденды по годам'!G866/'Дивиденды по годам'!I866, "")</f>
        <v>0.15453558011978061</v>
      </c>
      <c r="R866">
        <f>IFERROR(IF(AND('Дивиденды по годам'!N866&lt;&gt;"",'Дивиденды по годам'!U866&lt;&gt;"",'Дивиденды по годам'!U866&lt;&gt;0),'Дивиденды по годам'!N866/'Дивиденды по годам'!U866-1,""),"")</f>
        <v>8.3938118761561986E-2</v>
      </c>
      <c r="S866">
        <f>IFERROR(IF(AND('Дивиденды по годам'!L866&lt;&gt;"",'Дивиденды по годам'!I866&lt;&gt;"",'Дивиденды по годам'!J866&lt;&gt;"",'Дивиденды по годам'!K866&lt;&gt;"",('Дивиденды по годам'!I866-'Дивиденды по годам'!J866-'Дивиденды по годам'!K866)&lt;&gt;0),'Дивиденды по годам'!L866/('Дивиденды по годам'!I866-'Дивиденды по годам'!J866-'Дивиденды по годам'!K866),""),"")</f>
        <v>-0.50173096316811416</v>
      </c>
      <c r="T866">
        <f>IFERROR(IF(AND('Дивиденды по годам'!Q866&lt;&gt;"",'Дивиденды по годам'!I866&lt;&gt;"",'Дивиденды по годам'!V866&lt;&gt;"",('Дивиденды по годам'!I866+'Дивиденды по годам'!V866)&lt;&gt;0),'Дивиденды по годам'!Q866/(('Дивиденды по годам'!I866+'Дивиденды по годам'!V866)/2),""),"")</f>
        <v>-7.4871619513833892E-2</v>
      </c>
      <c r="U866">
        <f>IFERROR(IF(AND('Дивиденды по годам'!J866&lt;&gt;"",'Дивиденды по годам'!K866&lt;&gt;"",'Дивиденды по годам'!M866&lt;&gt;"",'Дивиденды по годам'!M866&lt;&gt;0),('Дивиденды по годам'!J866+'Дивиденды по годам'!K866)/'Дивиденды по годам'!M866,""),"")</f>
        <v>1.5082107861583154</v>
      </c>
      <c r="V866" cm="1">
        <f t="array" ref="V866">IFERROR(AVERAGE(_xlfn._xlws.FILTER(P$2:P$1073,($C$2:$C$1073=$C866)*($E$2:$E$1073=$E866)*(ROW(P$2:P$1073)&lt;&gt;ROW(P866))*(P$2:P$1073&lt;&gt;""))),"")</f>
        <v>25.731238420826337</v>
      </c>
      <c r="W866" cm="1">
        <f t="array" ref="W866">IFERROR(AVERAGE(_xlfn._xlws.FILTER(Q$2:Q$1073,($C$2:$C$1073=$C866)*($E$2:$E$1073=$E866)*(ROW(Q$2:Q$1073)&lt;&gt;ROW(Q866))*(Q$2:Q$1073&lt;&gt;""))),"")</f>
        <v>0.11659365128830534</v>
      </c>
      <c r="X866" cm="1">
        <f t="array" ref="X866">IFERROR(AVERAGE(_xlfn._xlws.FILTER(R$2:R$1073,($C$2:$C$1073=$C866)*($E$2:$E$1073=$E866)*(ROW(R$2:R$1073)&lt;&gt;ROW(R866))*(R$2:R$1073&lt;&gt;""))),"")</f>
        <v>0.17829745832704647</v>
      </c>
      <c r="Y866" cm="1">
        <f t="array" ref="Y866">IFERROR(AVERAGE(_xlfn._xlws.FILTER(S$2:S$1073,($C$2:$C$1073=$C866)*($E$2:$E$1073=$E866)*(ROW(S$2:S$1073)&lt;&gt;ROW(S866))*(S$2:S$1073&lt;&gt;""))),"")</f>
        <v>0.95971527075021446</v>
      </c>
      <c r="Z866" cm="1">
        <f t="array" ref="Z866">IFERROR(AVERAGE(_xlfn._xlws.FILTER(T$2:T$1073,($C$2:$C$1073=$C866)*($E$2:$E$1073=$E866)*(ROW(T$2:T$1073)&lt;&gt;ROW(T866))*(T$2:T$1073&lt;&gt;""))),"")</f>
        <v>0.33523125148553978</v>
      </c>
      <c r="AA866" cm="1">
        <f t="array" ref="AA866">IFERROR(AVERAGE(_xlfn._xlws.FILTER(U$2:U$1073,($C$2:$C$1073=$C866)*($E$2:$E$1073=$E866)*(ROW(U$2:U$1073)&lt;&gt;ROW(U866))*(U$2:U$1073&lt;&gt;""))),"")</f>
        <v>-1.4398253561762959</v>
      </c>
    </row>
    <row r="867" spans="1:27" x14ac:dyDescent="0.2">
      <c r="A867" s="7" t="s">
        <v>2322</v>
      </c>
      <c r="B867" t="str">
        <f t="shared" si="145"/>
        <v>VKCO IV кв. 2024</v>
      </c>
      <c r="C867">
        <v>2024</v>
      </c>
      <c r="D867">
        <f>SUMIFS(Дивиденды!$C:$C,Дивиденды!$A:$A,A867,Дивиденды!$I:$I,C867)</f>
        <v>0</v>
      </c>
      <c r="E867">
        <v>5</v>
      </c>
      <c r="F867">
        <f t="shared" si="146"/>
        <v>0</v>
      </c>
      <c r="G867">
        <f t="shared" si="147"/>
        <v>120.67777777777776</v>
      </c>
      <c r="H867">
        <f t="shared" si="148"/>
        <v>0</v>
      </c>
      <c r="I867">
        <f t="shared" si="144"/>
        <v>0.55555555555555558</v>
      </c>
      <c r="J867">
        <f t="shared" si="149"/>
        <v>0</v>
      </c>
      <c r="K867">
        <f t="shared" si="153"/>
        <v>0.33674983142279163</v>
      </c>
      <c r="L867">
        <f t="shared" si="150"/>
        <v>0</v>
      </c>
      <c r="M867">
        <f t="shared" si="154"/>
        <v>0.44444444444444442</v>
      </c>
      <c r="N867">
        <f t="shared" si="151"/>
        <v>0</v>
      </c>
      <c r="O867">
        <f t="shared" si="152"/>
        <v>0.1111111111111111</v>
      </c>
      <c r="P867">
        <f>IFERROR(LN('Дивиденды по годам'!I867),"")</f>
        <v>26.532884714008375</v>
      </c>
      <c r="Q867">
        <f>IFERROR('Дивиденды по годам'!G867/'Дивиденды по годам'!I867, "")</f>
        <v>0.16442073572979263</v>
      </c>
      <c r="R867">
        <f>IFERROR(IF(AND('Дивиденды по годам'!N867&lt;&gt;"",'Дивиденды по годам'!U867&lt;&gt;"",'Дивиденды по годам'!U867&lt;&gt;0),'Дивиденды по годам'!N867/'Дивиденды по годам'!U867-1,""),"")</f>
        <v>0.11149356029223467</v>
      </c>
      <c r="S867">
        <f>IFERROR(IF(AND('Дивиденды по годам'!L867&lt;&gt;"",'Дивиденды по годам'!I867&lt;&gt;"",'Дивиденды по годам'!J867&lt;&gt;"",'Дивиденды по годам'!K867&lt;&gt;"",('Дивиденды по годам'!I867-'Дивиденды по годам'!J867-'Дивиденды по годам'!K867)&lt;&gt;0),'Дивиденды по годам'!L867/('Дивиденды по годам'!I867-'Дивиденды по годам'!J867-'Дивиденды по годам'!K867),""),"")</f>
        <v>-0.9204400901604588</v>
      </c>
      <c r="T867">
        <f>IFERROR(IF(AND('Дивиденды по годам'!Q867&lt;&gt;"",'Дивиденды по годам'!I867&lt;&gt;"",'Дивиденды по годам'!V867&lt;&gt;"",('Дивиденды по годам'!I867+'Дивиденды по годам'!V867)&lt;&gt;0),'Дивиденды по годам'!Q867/(('Дивиденды по годам'!I867+'Дивиденды по годам'!V867)/2),""),"")</f>
        <v>-0.25863214896653919</v>
      </c>
      <c r="U867">
        <f>IFERROR(IF(AND('Дивиденды по годам'!J867&lt;&gt;"",'Дивиденды по годам'!K867&lt;&gt;"",'Дивиденды по годам'!M867&lt;&gt;"",'Дивиденды по годам'!M867&lt;&gt;0),('Дивиденды по годам'!J867+'Дивиденды по годам'!K867)/'Дивиденды по годам'!M867,""),"")</f>
        <v>6.4425227074917988</v>
      </c>
      <c r="V867" cm="1">
        <f t="array" ref="V867">IFERROR(AVERAGE(_xlfn._xlws.FILTER(P$2:P$1073,($C$2:$C$1073=$C867)*($E$2:$E$1073=$E867)*(ROW(P$2:P$1073)&lt;&gt;ROW(P867))*(P$2:P$1073&lt;&gt;""))),"")</f>
        <v>24.40471570145932</v>
      </c>
      <c r="W867" cm="1">
        <f t="array" ref="W867">IFERROR(AVERAGE(_xlfn._xlws.FILTER(Q$2:Q$1073,($C$2:$C$1073=$C867)*($E$2:$E$1073=$E867)*(ROW(Q$2:Q$1073)&lt;&gt;ROW(Q867))*(Q$2:Q$1073&lt;&gt;""))),"")</f>
        <v>6.3126965403169713E-2</v>
      </c>
      <c r="X867" cm="1">
        <f t="array" ref="X867">IFERROR(AVERAGE(_xlfn._xlws.FILTER(R$2:R$1073,($C$2:$C$1073=$C867)*($E$2:$E$1073=$E867)*(ROW(R$2:R$1073)&lt;&gt;ROW(R867))*(R$2:R$1073&lt;&gt;""))),"")</f>
        <v>0.33387213087038631</v>
      </c>
      <c r="Y867" cm="1">
        <f t="array" ref="Y867">IFERROR(AVERAGE(_xlfn._xlws.FILTER(S$2:S$1073,($C$2:$C$1073=$C867)*($E$2:$E$1073=$E867)*(ROW(S$2:S$1073)&lt;&gt;ROW(S867))*(S$2:S$1073&lt;&gt;""))),"")</f>
        <v>0.42895461144166813</v>
      </c>
      <c r="Z867" cm="1">
        <f t="array" ref="Z867">IFERROR(AVERAGE(_xlfn._xlws.FILTER(T$2:T$1073,($C$2:$C$1073=$C867)*($E$2:$E$1073=$E867)*(ROW(T$2:T$1073)&lt;&gt;ROW(T867))*(T$2:T$1073&lt;&gt;""))),"")</f>
        <v>0.33208043902274836</v>
      </c>
      <c r="AA867" cm="1">
        <f t="array" ref="AA867">IFERROR(AVERAGE(_xlfn._xlws.FILTER(U$2:U$1073,($C$2:$C$1073=$C867)*($E$2:$E$1073=$E867)*(ROW(U$2:U$1073)&lt;&gt;ROW(U867))*(U$2:U$1073&lt;&gt;""))),"")</f>
        <v>2.1464665905720968</v>
      </c>
    </row>
    <row r="868" spans="1:27" x14ac:dyDescent="0.2">
      <c r="A868" s="7" t="s">
        <v>2322</v>
      </c>
      <c r="B868" t="str">
        <f t="shared" si="145"/>
        <v>VKCO IV кв. 2023</v>
      </c>
      <c r="C868">
        <v>2023</v>
      </c>
      <c r="D868">
        <f>SUMIFS(Дивиденды!$C:$C,Дивиденды!$A:$A,A868,Дивиденды!$I:$I,C868)</f>
        <v>0</v>
      </c>
      <c r="E868">
        <v>5</v>
      </c>
      <c r="F868">
        <f t="shared" si="146"/>
        <v>0</v>
      </c>
      <c r="G868">
        <f t="shared" si="147"/>
        <v>16.477777777777778</v>
      </c>
      <c r="H868">
        <f t="shared" si="148"/>
        <v>0</v>
      </c>
      <c r="I868">
        <f t="shared" si="144"/>
        <v>0.1111111111111111</v>
      </c>
      <c r="J868">
        <f t="shared" si="149"/>
        <v>0</v>
      </c>
      <c r="K868">
        <f t="shared" si="153"/>
        <v>0.31688311688311693</v>
      </c>
      <c r="L868">
        <f t="shared" si="150"/>
        <v>0</v>
      </c>
      <c r="M868">
        <f t="shared" si="154"/>
        <v>0.1111111111111111</v>
      </c>
      <c r="N868">
        <f t="shared" si="151"/>
        <v>0</v>
      </c>
      <c r="O868">
        <f t="shared" si="152"/>
        <v>0</v>
      </c>
      <c r="P868">
        <f>IFERROR(LN('Дивиденды по годам'!I868),"")</f>
        <v>26.716578674912011</v>
      </c>
      <c r="Q868">
        <f>IFERROR('Дивиденды по годам'!G868/'Дивиденды по годам'!I868, "")</f>
        <v>0.12748664969805859</v>
      </c>
      <c r="R868">
        <f>IFERROR(IF(AND('Дивиденды по годам'!N868&lt;&gt;"",'Дивиденды по годам'!U868&lt;&gt;"",'Дивиденды по годам'!U868&lt;&gt;0),'Дивиденды по годам'!N868/'Дивиденды по годам'!U868-1,""),"")</f>
        <v>0.35798302137670035</v>
      </c>
      <c r="S868">
        <f>IFERROR(IF(AND('Дивиденды по годам'!L868&lt;&gt;"",'Дивиденды по годам'!I868&lt;&gt;"",'Дивиденды по годам'!J868&lt;&gt;"",'Дивиденды по годам'!K868&lt;&gt;"",('Дивиденды по годам'!I868-'Дивиденды по годам'!J868-'Дивиденды по годам'!K868)&lt;&gt;0),'Дивиденды по годам'!L868/('Дивиденды по годам'!I868-'Дивиденды по годам'!J868-'Дивиденды по годам'!K868),""),"")</f>
        <v>0.39564035074963283</v>
      </c>
      <c r="T868">
        <f>IFERROR(IF(AND('Дивиденды по годам'!Q868&lt;&gt;"",'Дивиденды по годам'!I868&lt;&gt;"",'Дивиденды по годам'!V868&lt;&gt;"",('Дивиденды по годам'!I868+'Дивиденды по годам'!V868)&lt;&gt;0),'Дивиденды по годам'!Q868/(('Дивиденды по годам'!I868+'Дивиденды по годам'!V868)/2),""),"")</f>
        <v>-9.0043392349554593E-2</v>
      </c>
      <c r="U868">
        <f>IFERROR(IF(AND('Дивиденды по годам'!J868&lt;&gt;"",'Дивиденды по годам'!K868&lt;&gt;"",'Дивиденды по годам'!M868&lt;&gt;"",'Дивиденды по годам'!M868&lt;&gt;0),('Дивиденды по годам'!J868+'Дивиденды по годам'!K868)/'Дивиденды по годам'!M868,""),"")</f>
        <v>1.9137522358107812</v>
      </c>
      <c r="V868" cm="1">
        <f t="array" ref="V868">IFERROR(AVERAGE(_xlfn._xlws.FILTER(P$2:P$1073,($C$2:$C$1073=$C868)*($E$2:$E$1073=$E868)*(ROW(P$2:P$1073)&lt;&gt;ROW(P868))*(P$2:P$1073&lt;&gt;""))),"")</f>
        <v>23.609291019819068</v>
      </c>
      <c r="W868" cm="1">
        <f t="array" ref="W868">IFERROR(AVERAGE(_xlfn._xlws.FILTER(Q$2:Q$1073,($C$2:$C$1073=$C868)*($E$2:$E$1073=$E868)*(ROW(Q$2:Q$1073)&lt;&gt;ROW(Q868))*(Q$2:Q$1073&lt;&gt;""))),"")</f>
        <v>2.8108713471897629E-2</v>
      </c>
      <c r="X868" cm="1">
        <f t="array" ref="X868">IFERROR(AVERAGE(_xlfn._xlws.FILTER(R$2:R$1073,($C$2:$C$1073=$C868)*($E$2:$E$1073=$E868)*(ROW(R$2:R$1073)&lt;&gt;ROW(R868))*(R$2:R$1073&lt;&gt;""))),"")</f>
        <v>0.56067561403189892</v>
      </c>
      <c r="Y868" cm="1">
        <f t="array" ref="Y868">IFERROR(AVERAGE(_xlfn._xlws.FILTER(S$2:S$1073,($C$2:$C$1073=$C868)*($E$2:$E$1073=$E868)*(ROW(S$2:S$1073)&lt;&gt;ROW(S868))*(S$2:S$1073&lt;&gt;""))),"")</f>
        <v>0.7301750741815175</v>
      </c>
      <c r="Z868" cm="1">
        <f t="array" ref="Z868">IFERROR(AVERAGE(_xlfn._xlws.FILTER(T$2:T$1073,($C$2:$C$1073=$C868)*($E$2:$E$1073=$E868)*(ROW(T$2:T$1073)&lt;&gt;ROW(T868))*(T$2:T$1073&lt;&gt;""))),"")</f>
        <v>0.28948287362836994</v>
      </c>
      <c r="AA868" cm="1">
        <f t="array" ref="AA868">IFERROR(AVERAGE(_xlfn._xlws.FILTER(U$2:U$1073,($C$2:$C$1073=$C868)*($E$2:$E$1073=$E868)*(ROW(U$2:U$1073)&lt;&gt;ROW(U868))*(U$2:U$1073&lt;&gt;""))),"")</f>
        <v>2.1098386001226292</v>
      </c>
    </row>
    <row r="869" spans="1:27" x14ac:dyDescent="0.2">
      <c r="A869" s="7" t="s">
        <v>2322</v>
      </c>
      <c r="B869" t="str">
        <f t="shared" si="145"/>
        <v>VKCO IV кв. 2022</v>
      </c>
      <c r="C869">
        <v>2022</v>
      </c>
      <c r="D869">
        <f>SUMIFS(Дивиденды!$C:$C,Дивиденды!$A:$A,A869,Дивиденды!$I:$I,C869)</f>
        <v>0</v>
      </c>
      <c r="E869">
        <v>5</v>
      </c>
      <c r="F869">
        <f t="shared" si="146"/>
        <v>0</v>
      </c>
      <c r="G869">
        <f t="shared" si="147"/>
        <v>4.2777777777777777</v>
      </c>
      <c r="H869">
        <f t="shared" si="148"/>
        <v>0</v>
      </c>
      <c r="I869">
        <f t="shared" si="144"/>
        <v>0.1111111111111111</v>
      </c>
      <c r="J869">
        <f t="shared" si="149"/>
        <v>0</v>
      </c>
      <c r="K869">
        <f t="shared" si="153"/>
        <v>0.1111111111111111</v>
      </c>
      <c r="L869">
        <f t="shared" si="150"/>
        <v>0</v>
      </c>
      <c r="M869">
        <f t="shared" si="154"/>
        <v>0.1111111111111111</v>
      </c>
      <c r="N869">
        <f t="shared" si="151"/>
        <v>0</v>
      </c>
      <c r="O869">
        <f t="shared" si="152"/>
        <v>0</v>
      </c>
      <c r="P869">
        <f>IFERROR(LN('Дивиденды по годам'!I869),"")</f>
        <v>26.611908310491213</v>
      </c>
      <c r="Q869">
        <f>IFERROR('Дивиденды по годам'!G869/'Дивиденды по годам'!I869, "")</f>
        <v>0.10875136805064904</v>
      </c>
      <c r="R869" t="str">
        <f>IFERROR(IF(AND('Дивиденды по годам'!N869&lt;&gt;"",'Дивиденды по годам'!U869&lt;&gt;"",'Дивиденды по годам'!U869&lt;&gt;0),'Дивиденды по годам'!N869/'Дивиденды по годам'!U869-1,""),"")</f>
        <v/>
      </c>
      <c r="S869">
        <f>IFERROR(IF(AND('Дивиденды по годам'!L869&lt;&gt;"",'Дивиденды по годам'!I869&lt;&gt;"",'Дивиденды по годам'!J869&lt;&gt;"",'Дивиденды по годам'!K869&lt;&gt;"",('Дивиденды по годам'!I869-'Дивиденды по годам'!J869-'Дивиденды по годам'!K869)&lt;&gt;0),'Дивиденды по годам'!L869/('Дивиденды по годам'!I869-'Дивиденды по годам'!J869-'Дивиденды по годам'!K869),""),"")</f>
        <v>0.51656633672789565</v>
      </c>
      <c r="T869" t="str">
        <f>IFERROR(IF(AND('Дивиденды по годам'!Q869&lt;&gt;"",'Дивиденды по годам'!I869&lt;&gt;"",'Дивиденды по годам'!V869&lt;&gt;"",('Дивиденды по годам'!I869+'Дивиденды по годам'!V869)&lt;&gt;0),'Дивиденды по годам'!Q869/(('Дивиденды по годам'!I869+'Дивиденды по годам'!V869)/2),""),"")</f>
        <v/>
      </c>
      <c r="U869">
        <f>IFERROR(IF(AND('Дивиденды по годам'!J869&lt;&gt;"",'Дивиденды по годам'!K869&lt;&gt;"",'Дивиденды по годам'!M869&lt;&gt;"",'Дивиденды по годам'!M869&lt;&gt;0),('Дивиденды по годам'!J869+'Дивиденды по годам'!K869)/'Дивиденды по годам'!M869,""),"")</f>
        <v>1.146872323213096</v>
      </c>
      <c r="V869" cm="1">
        <f t="array" ref="V869">IFERROR(AVERAGE(_xlfn._xlws.FILTER(P$2:P$1073,($C$2:$C$1073=$C869)*($E$2:$E$1073=$E869)*(ROW(P$2:P$1073)&lt;&gt;ROW(P869))*(P$2:P$1073&lt;&gt;""))),"")</f>
        <v>23.548094898945383</v>
      </c>
      <c r="W869" cm="1">
        <f t="array" ref="W869">IFERROR(AVERAGE(_xlfn._xlws.FILTER(Q$2:Q$1073,($C$2:$C$1073=$C869)*($E$2:$E$1073=$E869)*(ROW(Q$2:Q$1073)&lt;&gt;ROW(Q869))*(Q$2:Q$1073&lt;&gt;""))),"")</f>
        <v>3.9438540922567489E-2</v>
      </c>
      <c r="X869" cm="1">
        <f t="array" ref="X869">IFERROR(AVERAGE(_xlfn._xlws.FILTER(R$2:R$1073,($C$2:$C$1073=$C869)*($E$2:$E$1073=$E869)*(ROW(R$2:R$1073)&lt;&gt;ROW(R869))*(R$2:R$1073&lt;&gt;""))),"")</f>
        <v>0.76359932885509174</v>
      </c>
      <c r="Y869" cm="1">
        <f t="array" ref="Y869">IFERROR(AVERAGE(_xlfn._xlws.FILTER(S$2:S$1073,($C$2:$C$1073=$C869)*($E$2:$E$1073=$E869)*(ROW(S$2:S$1073)&lt;&gt;ROW(S869))*(S$2:S$1073&lt;&gt;""))),"")</f>
        <v>0.8941538160039717</v>
      </c>
      <c r="Z869" cm="1">
        <f t="array" ref="Z869">IFERROR(AVERAGE(_xlfn._xlws.FILTER(T$2:T$1073,($C$2:$C$1073=$C869)*($E$2:$E$1073=$E869)*(ROW(T$2:T$1073)&lt;&gt;ROW(T869))*(T$2:T$1073&lt;&gt;""))),"")</f>
        <v>0.45424211382955332</v>
      </c>
      <c r="AA869" cm="1">
        <f t="array" ref="AA869">IFERROR(AVERAGE(_xlfn._xlws.FILTER(U$2:U$1073,($C$2:$C$1073=$C869)*($E$2:$E$1073=$E869)*(ROW(U$2:U$1073)&lt;&gt;ROW(U869))*(U$2:U$1073&lt;&gt;""))),"")</f>
        <v>2.6183565968957248</v>
      </c>
    </row>
    <row r="870" spans="1:27" x14ac:dyDescent="0.2">
      <c r="A870" s="7" t="s">
        <v>2322</v>
      </c>
      <c r="B870" t="str">
        <f t="shared" si="145"/>
        <v>VKCO IV кв. 2021</v>
      </c>
      <c r="C870">
        <v>2021</v>
      </c>
      <c r="D870">
        <f>SUMIFS(Дивиденды!$C:$C,Дивиденды!$A:$A,A870,Дивиденды!$I:$I,C870)</f>
        <v>0</v>
      </c>
      <c r="E870">
        <v>5</v>
      </c>
      <c r="F870">
        <f t="shared" si="146"/>
        <v>0</v>
      </c>
      <c r="G870">
        <f t="shared" si="147"/>
        <v>0</v>
      </c>
      <c r="H870">
        <f t="shared" si="148"/>
        <v>0</v>
      </c>
      <c r="I870">
        <f t="shared" si="144"/>
        <v>0</v>
      </c>
      <c r="J870">
        <f t="shared" si="149"/>
        <v>0</v>
      </c>
      <c r="K870">
        <f t="shared" si="153"/>
        <v>0</v>
      </c>
      <c r="L870">
        <f t="shared" si="150"/>
        <v>0</v>
      </c>
      <c r="M870">
        <f t="shared" si="154"/>
        <v>0</v>
      </c>
      <c r="N870">
        <f t="shared" si="151"/>
        <v>0</v>
      </c>
      <c r="O870">
        <f t="shared" si="152"/>
        <v>0</v>
      </c>
      <c r="P870" t="str">
        <f>IFERROR(LN('Дивиденды по годам'!I870),"")</f>
        <v/>
      </c>
      <c r="Q870" t="str">
        <f>IFERROR('Дивиденды по годам'!G870/'Дивиденды по годам'!I870, "")</f>
        <v/>
      </c>
      <c r="R870" t="str">
        <f>IFERROR(IF(AND('Дивиденды по годам'!N870&lt;&gt;"",'Дивиденды по годам'!U870&lt;&gt;"",'Дивиденды по годам'!U870&lt;&gt;0),'Дивиденды по годам'!N870/'Дивиденды по годам'!U870-1,""),"")</f>
        <v/>
      </c>
      <c r="S870" t="str">
        <f>IFERROR(IF(AND('Дивиденды по годам'!L870&lt;&gt;"",'Дивиденды по годам'!I870&lt;&gt;"",'Дивиденды по годам'!J870&lt;&gt;"",'Дивиденды по годам'!K870&lt;&gt;"",('Дивиденды по годам'!I870-'Дивиденды по годам'!J870-'Дивиденды по годам'!K870)&lt;&gt;0),'Дивиденды по годам'!L870/('Дивиденды по годам'!I870-'Дивиденды по годам'!J870-'Дивиденды по годам'!K870),""),"")</f>
        <v/>
      </c>
      <c r="T870" t="str">
        <f>IFERROR(IF(AND('Дивиденды по годам'!Q870&lt;&gt;"",'Дивиденды по годам'!I870&lt;&gt;"",'Дивиденды по годам'!V870&lt;&gt;"",('Дивиденды по годам'!I870+'Дивиденды по годам'!V870)&lt;&gt;0),'Дивиденды по годам'!Q870/(('Дивиденды по годам'!I870+'Дивиденды по годам'!V870)/2),""),"")</f>
        <v/>
      </c>
      <c r="U870" t="str">
        <f>IFERROR(IF(AND('Дивиденды по годам'!J870&lt;&gt;"",'Дивиденды по годам'!K870&lt;&gt;"",'Дивиденды по годам'!M870&lt;&gt;"",'Дивиденды по годам'!M870&lt;&gt;0),('Дивиденды по годам'!J870+'Дивиденды по годам'!K870)/'Дивиденды по годам'!M870,""),"")</f>
        <v/>
      </c>
      <c r="V870" cm="1">
        <f t="array" ref="V870">IFERROR(AVERAGE(_xlfn._xlws.FILTER(P$2:P$1073,($C$2:$C$1073=$C870)*($E$2:$E$1073=$E870)*(ROW(P$2:P$1073)&lt;&gt;ROW(P870))*(P$2:P$1073&lt;&gt;""))),"")</f>
        <v>22.898661389674704</v>
      </c>
      <c r="W870" cm="1">
        <f t="array" ref="W870">IFERROR(AVERAGE(_xlfn._xlws.FILTER(Q$2:Q$1073,($C$2:$C$1073=$C870)*($E$2:$E$1073=$E870)*(ROW(Q$2:Q$1073)&lt;&gt;ROW(Q870))*(Q$2:Q$1073&lt;&gt;""))),"")</f>
        <v>3.9787618039471354E-2</v>
      </c>
      <c r="X870" cm="1">
        <f t="array" ref="X870">IFERROR(AVERAGE(_xlfn._xlws.FILTER(R$2:R$1073,($C$2:$C$1073=$C870)*($E$2:$E$1073=$E870)*(ROW(R$2:R$1073)&lt;&gt;ROW(R870))*(R$2:R$1073&lt;&gt;""))),"")</f>
        <v>0.11948949117953805</v>
      </c>
      <c r="Y870" cm="1">
        <f t="array" ref="Y870">IFERROR(AVERAGE(_xlfn._xlws.FILTER(S$2:S$1073,($C$2:$C$1073=$C870)*($E$2:$E$1073=$E870)*(ROW(S$2:S$1073)&lt;&gt;ROW(S870))*(S$2:S$1073&lt;&gt;""))),"")</f>
        <v>0.6223989622093683</v>
      </c>
      <c r="Z870" cm="1">
        <f t="array" ref="Z870">IFERROR(AVERAGE(_xlfn._xlws.FILTER(T$2:T$1073,($C$2:$C$1073=$C870)*($E$2:$E$1073=$E870)*(ROW(T$2:T$1073)&lt;&gt;ROW(T870))*(T$2:T$1073&lt;&gt;""))),"")</f>
        <v>0.13483969312290014</v>
      </c>
      <c r="AA870" cm="1">
        <f t="array" ref="AA870">IFERROR(AVERAGE(_xlfn._xlws.FILTER(U$2:U$1073,($C$2:$C$1073=$C870)*($E$2:$E$1073=$E870)*(ROW(U$2:U$1073)&lt;&gt;ROW(U870))*(U$2:U$1073&lt;&gt;""))),"")</f>
        <v>12.032255744832293</v>
      </c>
    </row>
    <row r="871" spans="1:27" x14ac:dyDescent="0.2">
      <c r="A871" s="7" t="s">
        <v>2322</v>
      </c>
      <c r="B871" t="str">
        <f t="shared" si="145"/>
        <v>VKCO IV кв. 2020</v>
      </c>
      <c r="C871">
        <v>2020</v>
      </c>
      <c r="D871">
        <f>SUMIFS(Дивиденды!$C:$C,Дивиденды!$A:$A,A871,Дивиденды!$I:$I,C871)</f>
        <v>0</v>
      </c>
      <c r="E871">
        <v>5</v>
      </c>
      <c r="F871">
        <f t="shared" si="146"/>
        <v>0</v>
      </c>
      <c r="G871">
        <f t="shared" si="147"/>
        <v>0</v>
      </c>
      <c r="H871">
        <f t="shared" si="148"/>
        <v>0</v>
      </c>
      <c r="I871">
        <f t="shared" si="144"/>
        <v>0</v>
      </c>
      <c r="J871">
        <f t="shared" si="149"/>
        <v>0</v>
      </c>
      <c r="K871">
        <f t="shared" si="153"/>
        <v>0</v>
      </c>
      <c r="L871">
        <f t="shared" si="150"/>
        <v>0</v>
      </c>
      <c r="M871">
        <f t="shared" si="154"/>
        <v>0</v>
      </c>
      <c r="N871">
        <f t="shared" si="151"/>
        <v>0</v>
      </c>
      <c r="O871">
        <f t="shared" si="152"/>
        <v>0</v>
      </c>
      <c r="P871" t="str">
        <f>IFERROR(LN('Дивиденды по годам'!I871),"")</f>
        <v/>
      </c>
      <c r="Q871" t="str">
        <f>IFERROR('Дивиденды по годам'!G871/'Дивиденды по годам'!I871, "")</f>
        <v/>
      </c>
      <c r="R871" t="str">
        <f>IFERROR(IF(AND('Дивиденды по годам'!N871&lt;&gt;"",'Дивиденды по годам'!U871&lt;&gt;"",'Дивиденды по годам'!U871&lt;&gt;0),'Дивиденды по годам'!N871/'Дивиденды по годам'!U871-1,""),"")</f>
        <v/>
      </c>
      <c r="S871" t="str">
        <f>IFERROR(IF(AND('Дивиденды по годам'!L871&lt;&gt;"",'Дивиденды по годам'!I871&lt;&gt;"",'Дивиденды по годам'!J871&lt;&gt;"",'Дивиденды по годам'!K871&lt;&gt;"",('Дивиденды по годам'!I871-'Дивиденды по годам'!J871-'Дивиденды по годам'!K871)&lt;&gt;0),'Дивиденды по годам'!L871/('Дивиденды по годам'!I871-'Дивиденды по годам'!J871-'Дивиденды по годам'!K871),""),"")</f>
        <v/>
      </c>
      <c r="T871" t="str">
        <f>IFERROR(IF(AND('Дивиденды по годам'!Q871&lt;&gt;"",'Дивиденды по годам'!I871&lt;&gt;"",'Дивиденды по годам'!V871&lt;&gt;"",('Дивиденды по годам'!I871+'Дивиденды по годам'!V871)&lt;&gt;0),'Дивиденды по годам'!Q871/(('Дивиденды по годам'!I871+'Дивиденды по годам'!V871)/2),""),"")</f>
        <v/>
      </c>
      <c r="U871" t="str">
        <f>IFERROR(IF(AND('Дивиденды по годам'!J871&lt;&gt;"",'Дивиденды по годам'!K871&lt;&gt;"",'Дивиденды по годам'!M871&lt;&gt;"",'Дивиденды по годам'!M871&lt;&gt;0),('Дивиденды по годам'!J871+'Дивиденды по годам'!K871)/'Дивиденды по годам'!M871,""),"")</f>
        <v/>
      </c>
      <c r="V871" cm="1">
        <f t="array" ref="V871">IFERROR(AVERAGE(_xlfn._xlws.FILTER(P$2:P$1073,($C$2:$C$1073=$C871)*($E$2:$E$1073=$E871)*(ROW(P$2:P$1073)&lt;&gt;ROW(P871))*(P$2:P$1073&lt;&gt;""))),"")</f>
        <v>23.399390394292269</v>
      </c>
      <c r="W871" cm="1">
        <f t="array" ref="W871">IFERROR(AVERAGE(_xlfn._xlws.FILTER(Q$2:Q$1073,($C$2:$C$1073=$C871)*($E$2:$E$1073=$E871)*(ROW(Q$2:Q$1073)&lt;&gt;ROW(Q871))*(Q$2:Q$1073&lt;&gt;""))),"")</f>
        <v>3.3954846784790244E-2</v>
      </c>
      <c r="X871" cm="1">
        <f t="array" ref="X871">IFERROR(AVERAGE(_xlfn._xlws.FILTER(R$2:R$1073,($C$2:$C$1073=$C871)*($E$2:$E$1073=$E871)*(ROW(R$2:R$1073)&lt;&gt;ROW(R871))*(R$2:R$1073&lt;&gt;""))),"")</f>
        <v>0.60261811450317082</v>
      </c>
      <c r="Y871" cm="1">
        <f t="array" ref="Y871">IFERROR(AVERAGE(_xlfn._xlws.FILTER(S$2:S$1073,($C$2:$C$1073=$C871)*($E$2:$E$1073=$E871)*(ROW(S$2:S$1073)&lt;&gt;ROW(S871))*(S$2:S$1073&lt;&gt;""))),"")</f>
        <v>0.8757408540128081</v>
      </c>
      <c r="Z871" cm="1">
        <f t="array" ref="Z871">IFERROR(AVERAGE(_xlfn._xlws.FILTER(T$2:T$1073,($C$2:$C$1073=$C871)*($E$2:$E$1073=$E871)*(ROW(T$2:T$1073)&lt;&gt;ROW(T871))*(T$2:T$1073&lt;&gt;""))),"")</f>
        <v>0.26070423168654877</v>
      </c>
      <c r="AA871" cm="1">
        <f t="array" ref="AA871">IFERROR(AVERAGE(_xlfn._xlws.FILTER(U$2:U$1073,($C$2:$C$1073=$C871)*($E$2:$E$1073=$E871)*(ROW(U$2:U$1073)&lt;&gt;ROW(U871))*(U$2:U$1073&lt;&gt;""))),"")</f>
        <v>3.9797585422227604</v>
      </c>
    </row>
    <row r="872" spans="1:27" x14ac:dyDescent="0.2">
      <c r="A872" s="7" t="s">
        <v>2322</v>
      </c>
      <c r="B872" t="str">
        <f t="shared" si="145"/>
        <v>VKCO IV кв. 2019</v>
      </c>
      <c r="C872">
        <v>2019</v>
      </c>
      <c r="D872">
        <f>SUMIFS(Дивиденды!$C:$C,Дивиденды!$A:$A,A872,Дивиденды!$I:$I,C872)</f>
        <v>0</v>
      </c>
      <c r="E872">
        <v>5</v>
      </c>
      <c r="F872">
        <f t="shared" si="146"/>
        <v>0</v>
      </c>
      <c r="G872">
        <f t="shared" si="147"/>
        <v>0</v>
      </c>
      <c r="H872">
        <f t="shared" si="148"/>
        <v>0</v>
      </c>
      <c r="I872">
        <f t="shared" si="144"/>
        <v>0</v>
      </c>
      <c r="J872">
        <f t="shared" si="149"/>
        <v>0</v>
      </c>
      <c r="K872">
        <f t="shared" si="153"/>
        <v>0</v>
      </c>
      <c r="L872">
        <f t="shared" si="150"/>
        <v>0</v>
      </c>
      <c r="M872">
        <f t="shared" si="154"/>
        <v>0</v>
      </c>
      <c r="N872">
        <f t="shared" si="151"/>
        <v>0</v>
      </c>
      <c r="O872">
        <f t="shared" si="152"/>
        <v>0</v>
      </c>
      <c r="P872" t="str">
        <f>IFERROR(LN('Дивиденды по годам'!I872),"")</f>
        <v/>
      </c>
      <c r="Q872" t="str">
        <f>IFERROR('Дивиденды по годам'!G872/'Дивиденды по годам'!I872, "")</f>
        <v/>
      </c>
      <c r="R872" t="str">
        <f>IFERROR(IF(AND('Дивиденды по годам'!N872&lt;&gt;"",'Дивиденды по годам'!U872&lt;&gt;"",'Дивиденды по годам'!U872&lt;&gt;0),'Дивиденды по годам'!N872/'Дивиденды по годам'!U872-1,""),"")</f>
        <v/>
      </c>
      <c r="S872" t="str">
        <f>IFERROR(IF(AND('Дивиденды по годам'!L872&lt;&gt;"",'Дивиденды по годам'!I872&lt;&gt;"",'Дивиденды по годам'!J872&lt;&gt;"",'Дивиденды по годам'!K872&lt;&gt;"",('Дивиденды по годам'!I872-'Дивиденды по годам'!J872-'Дивиденды по годам'!K872)&lt;&gt;0),'Дивиденды по годам'!L872/('Дивиденды по годам'!I872-'Дивиденды по годам'!J872-'Дивиденды по годам'!K872),""),"")</f>
        <v/>
      </c>
      <c r="T872" t="str">
        <f>IFERROR(IF(AND('Дивиденды по годам'!Q872&lt;&gt;"",'Дивиденды по годам'!I872&lt;&gt;"",'Дивиденды по годам'!V872&lt;&gt;"",('Дивиденды по годам'!I872+'Дивиденды по годам'!V872)&lt;&gt;0),'Дивиденды по годам'!Q872/(('Дивиденды по годам'!I872+'Дивиденды по годам'!V872)/2),""),"")</f>
        <v/>
      </c>
      <c r="U872" t="str">
        <f>IFERROR(IF(AND('Дивиденды по годам'!J872&lt;&gt;"",'Дивиденды по годам'!K872&lt;&gt;"",'Дивиденды по годам'!M872&lt;&gt;"",'Дивиденды по годам'!M872&lt;&gt;0),('Дивиденды по годам'!J872+'Дивиденды по годам'!K872)/'Дивиденды по годам'!M872,""),"")</f>
        <v/>
      </c>
      <c r="V872" cm="1">
        <f t="array" ref="V872">IFERROR(AVERAGE(_xlfn._xlws.FILTER(P$2:P$1073,($C$2:$C$1073=$C872)*($E$2:$E$1073=$E872)*(ROW(P$2:P$1073)&lt;&gt;ROW(P872))*(P$2:P$1073&lt;&gt;""))),"")</f>
        <v>22.346825762693463</v>
      </c>
      <c r="W872" cm="1">
        <f t="array" ref="W872">IFERROR(AVERAGE(_xlfn._xlws.FILTER(Q$2:Q$1073,($C$2:$C$1073=$C872)*($E$2:$E$1073=$E872)*(ROW(Q$2:Q$1073)&lt;&gt;ROW(Q872))*(Q$2:Q$1073&lt;&gt;""))),"")</f>
        <v>7.5056136613850494E-2</v>
      </c>
      <c r="X872" cm="1">
        <f t="array" ref="X872">IFERROR(AVERAGE(_xlfn._xlws.FILTER(R$2:R$1073,($C$2:$C$1073=$C872)*($E$2:$E$1073=$E872)*(ROW(R$2:R$1073)&lt;&gt;ROW(R872))*(R$2:R$1073&lt;&gt;""))),"")</f>
        <v>0.33893563509351354</v>
      </c>
      <c r="Y872" cm="1">
        <f t="array" ref="Y872">IFERROR(AVERAGE(_xlfn._xlws.FILTER(S$2:S$1073,($C$2:$C$1073=$C872)*($E$2:$E$1073=$E872)*(ROW(S$2:S$1073)&lt;&gt;ROW(S872))*(S$2:S$1073&lt;&gt;""))),"")</f>
        <v>0.96665544321096464</v>
      </c>
      <c r="Z872" cm="1">
        <f t="array" ref="Z872">IFERROR(AVERAGE(_xlfn._xlws.FILTER(T$2:T$1073,($C$2:$C$1073=$C872)*($E$2:$E$1073=$E872)*(ROW(T$2:T$1073)&lt;&gt;ROW(T872))*(T$2:T$1073&lt;&gt;""))),"")</f>
        <v>3.4488878181792075E-2</v>
      </c>
      <c r="AA872" cm="1">
        <f t="array" ref="AA872">IFERROR(AVERAGE(_xlfn._xlws.FILTER(U$2:U$1073,($C$2:$C$1073=$C872)*($E$2:$E$1073=$E872)*(ROW(U$2:U$1073)&lt;&gt;ROW(U872))*(U$2:U$1073&lt;&gt;""))),"")</f>
        <v>4.0219461472187286</v>
      </c>
    </row>
    <row r="873" spans="1:27" x14ac:dyDescent="0.2">
      <c r="A873" s="7" t="s">
        <v>2322</v>
      </c>
      <c r="B873" t="str">
        <f t="shared" si="145"/>
        <v>VKCO IV кв. 2018</v>
      </c>
      <c r="C873">
        <v>2018</v>
      </c>
      <c r="D873">
        <f>SUMIFS(Дивиденды!$C:$C,Дивиденды!$A:$A,A873,Дивиденды!$I:$I,C873)</f>
        <v>0</v>
      </c>
      <c r="E873">
        <v>5</v>
      </c>
      <c r="F873">
        <f t="shared" si="146"/>
        <v>0</v>
      </c>
      <c r="G873">
        <f t="shared" si="147"/>
        <v>0</v>
      </c>
      <c r="H873">
        <f t="shared" si="148"/>
        <v>0</v>
      </c>
      <c r="I873">
        <f t="shared" si="144"/>
        <v>0</v>
      </c>
      <c r="J873">
        <f t="shared" si="149"/>
        <v>0</v>
      </c>
      <c r="K873">
        <f t="shared" si="153"/>
        <v>0</v>
      </c>
      <c r="L873">
        <f t="shared" si="150"/>
        <v>0</v>
      </c>
      <c r="M873">
        <f t="shared" si="154"/>
        <v>0</v>
      </c>
      <c r="N873">
        <f t="shared" si="151"/>
        <v>0</v>
      </c>
      <c r="O873">
        <f t="shared" si="152"/>
        <v>0</v>
      </c>
      <c r="P873" t="str">
        <f>IFERROR(LN('Дивиденды по годам'!I873),"")</f>
        <v/>
      </c>
      <c r="Q873" t="str">
        <f>IFERROR('Дивиденды по годам'!G873/'Дивиденды по годам'!I873, "")</f>
        <v/>
      </c>
      <c r="R873" t="str">
        <f>IFERROR(IF(AND('Дивиденды по годам'!N873&lt;&gt;"",'Дивиденды по годам'!U873&lt;&gt;"",'Дивиденды по годам'!U873&lt;&gt;0),'Дивиденды по годам'!N873/'Дивиденды по годам'!U873-1,""),"")</f>
        <v/>
      </c>
      <c r="S873" t="str">
        <f>IFERROR(IF(AND('Дивиденды по годам'!L873&lt;&gt;"",'Дивиденды по годам'!I873&lt;&gt;"",'Дивиденды по годам'!J873&lt;&gt;"",'Дивиденды по годам'!K873&lt;&gt;"",('Дивиденды по годам'!I873-'Дивиденды по годам'!J873-'Дивиденды по годам'!K873)&lt;&gt;0),'Дивиденды по годам'!L873/('Дивиденды по годам'!I873-'Дивиденды по годам'!J873-'Дивиденды по годам'!K873),""),"")</f>
        <v/>
      </c>
      <c r="T873" t="str">
        <f>IFERROR(IF(AND('Дивиденды по годам'!Q873&lt;&gt;"",'Дивиденды по годам'!I873&lt;&gt;"",'Дивиденды по годам'!V873&lt;&gt;"",('Дивиденды по годам'!I873+'Дивиденды по годам'!V873)&lt;&gt;0),'Дивиденды по годам'!Q873/(('Дивиденды по годам'!I873+'Дивиденды по годам'!V873)/2),""),"")</f>
        <v/>
      </c>
      <c r="U873" t="str">
        <f>IFERROR(IF(AND('Дивиденды по годам'!J873&lt;&gt;"",'Дивиденды по годам'!K873&lt;&gt;"",'Дивиденды по годам'!M873&lt;&gt;"",'Дивиденды по годам'!M873&lt;&gt;0),('Дивиденды по годам'!J873+'Дивиденды по годам'!K873)/'Дивиденды по годам'!M873,""),"")</f>
        <v/>
      </c>
      <c r="V873" cm="1">
        <f t="array" ref="V873">IFERROR(AVERAGE(_xlfn._xlws.FILTER(P$2:P$1073,($C$2:$C$1073=$C873)*($E$2:$E$1073=$E873)*(ROW(P$2:P$1073)&lt;&gt;ROW(P873))*(P$2:P$1073&lt;&gt;""))),"")</f>
        <v>22.172578892977874</v>
      </c>
      <c r="W873" cm="1">
        <f t="array" ref="W873">IFERROR(AVERAGE(_xlfn._xlws.FILTER(Q$2:Q$1073,($C$2:$C$1073=$C873)*($E$2:$E$1073=$E873)*(ROW(Q$2:Q$1073)&lt;&gt;ROW(Q873))*(Q$2:Q$1073&lt;&gt;""))),"")</f>
        <v>8.054458642308425E-2</v>
      </c>
      <c r="X873" t="str" cm="1">
        <f t="array" ref="X873">IFERROR(AVERAGE(_xlfn._xlws.FILTER(R$2:R$1073,($C$2:$C$1073=$C873)*($E$2:$E$1073=$E873)*(ROW(R$2:R$1073)&lt;&gt;ROW(R873))*(R$2:R$1073&lt;&gt;""))),"")</f>
        <v/>
      </c>
      <c r="Y873" cm="1">
        <f t="array" ref="Y873">IFERROR(AVERAGE(_xlfn._xlws.FILTER(S$2:S$1073,($C$2:$C$1073=$C873)*($E$2:$E$1073=$E873)*(ROW(S$2:S$1073)&lt;&gt;ROW(S873))*(S$2:S$1073&lt;&gt;""))),"")</f>
        <v>0.96159636867391751</v>
      </c>
      <c r="Z873" t="str" cm="1">
        <f t="array" ref="Z873">IFERROR(AVERAGE(_xlfn._xlws.FILTER(T$2:T$1073,($C$2:$C$1073=$C873)*($E$2:$E$1073=$E873)*(ROW(T$2:T$1073)&lt;&gt;ROW(T873))*(T$2:T$1073&lt;&gt;""))),"")</f>
        <v/>
      </c>
      <c r="AA873" cm="1">
        <f t="array" ref="AA873">IFERROR(AVERAGE(_xlfn._xlws.FILTER(U$2:U$1073,($C$2:$C$1073=$C873)*($E$2:$E$1073=$E873)*(ROW(U$2:U$1073)&lt;&gt;ROW(U873))*(U$2:U$1073&lt;&gt;""))),"")</f>
        <v>4.0227688861378841</v>
      </c>
    </row>
    <row r="874" spans="1:27" x14ac:dyDescent="0.2">
      <c r="A874" s="7" t="s">
        <v>2322</v>
      </c>
      <c r="B874" t="str">
        <f t="shared" si="145"/>
        <v>VKCO IV кв. 2017</v>
      </c>
      <c r="C874">
        <v>2017</v>
      </c>
      <c r="D874">
        <f>SUMIFS(Дивиденды!$C:$C,Дивиденды!$A:$A,A874,Дивиденды!$I:$I,C874)</f>
        <v>0</v>
      </c>
      <c r="E874">
        <v>5</v>
      </c>
      <c r="F874">
        <f t="shared" si="146"/>
        <v>0</v>
      </c>
      <c r="G874">
        <f t="shared" si="147"/>
        <v>0</v>
      </c>
      <c r="H874">
        <f t="shared" si="148"/>
        <v>0</v>
      </c>
      <c r="I874">
        <f t="shared" si="144"/>
        <v>0</v>
      </c>
      <c r="J874">
        <f t="shared" si="149"/>
        <v>0</v>
      </c>
      <c r="K874">
        <f t="shared" si="153"/>
        <v>0</v>
      </c>
      <c r="L874">
        <f t="shared" si="150"/>
        <v>0</v>
      </c>
      <c r="M874">
        <f t="shared" si="154"/>
        <v>0</v>
      </c>
      <c r="N874">
        <f t="shared" si="151"/>
        <v>0</v>
      </c>
      <c r="O874">
        <f t="shared" si="152"/>
        <v>0</v>
      </c>
      <c r="P874" t="str">
        <f>IFERROR(LN('Дивиденды по годам'!I874),"")</f>
        <v/>
      </c>
      <c r="Q874" t="str">
        <f>IFERROR('Дивиденды по годам'!G874/'Дивиденды по годам'!I874, "")</f>
        <v/>
      </c>
      <c r="R874" t="str">
        <f>IFERROR(IF(AND('Дивиденды по годам'!N874&lt;&gt;"",'Дивиденды по годам'!U874&lt;&gt;"",'Дивиденды по годам'!U874&lt;&gt;0),'Дивиденды по годам'!N874/'Дивиденды по годам'!U874-1,""),"")</f>
        <v/>
      </c>
      <c r="S874" t="str">
        <f>IFERROR(IF(AND('Дивиденды по годам'!L874&lt;&gt;"",'Дивиденды по годам'!I874&lt;&gt;"",'Дивиденды по годам'!J874&lt;&gt;"",'Дивиденды по годам'!K874&lt;&gt;"",('Дивиденды по годам'!I874-'Дивиденды по годам'!J874-'Дивиденды по годам'!K874)&lt;&gt;0),'Дивиденды по годам'!L874/('Дивиденды по годам'!I874-'Дивиденды по годам'!J874-'Дивиденды по годам'!K874),""),"")</f>
        <v/>
      </c>
      <c r="T874" t="str">
        <f>IFERROR(IF(AND('Дивиденды по годам'!Q874&lt;&gt;"",'Дивиденды по годам'!I874&lt;&gt;"",'Дивиденды по годам'!V874&lt;&gt;"",('Дивиденды по годам'!I874+'Дивиденды по годам'!V874)&lt;&gt;0),'Дивиденды по годам'!Q874/(('Дивиденды по годам'!I874+'Дивиденды по годам'!V874)/2),""),"")</f>
        <v/>
      </c>
      <c r="U874" t="str">
        <f>IFERROR(IF(AND('Дивиденды по годам'!J874&lt;&gt;"",'Дивиденды по годам'!K874&lt;&gt;"",'Дивиденды по годам'!M874&lt;&gt;"",'Дивиденды по годам'!M874&lt;&gt;0),('Дивиденды по годам'!J874+'Дивиденды по годам'!K874)/'Дивиденды по годам'!M874,""),"")</f>
        <v/>
      </c>
      <c r="V874" t="str" cm="1">
        <f t="array" ref="V874">IFERROR(AVERAGE(_xlfn._xlws.FILTER(P$2:P$1073,($C$2:$C$1073=$C874)*($E$2:$E$1073=$E874)*(ROW(P$2:P$1073)&lt;&gt;ROW(P874))*(P$2:P$1073&lt;&gt;""))),"")</f>
        <v/>
      </c>
      <c r="W874" t="str" cm="1">
        <f t="array" ref="W874">IFERROR(AVERAGE(_xlfn._xlws.FILTER(Q$2:Q$1073,($C$2:$C$1073=$C874)*($E$2:$E$1073=$E874)*(ROW(Q$2:Q$1073)&lt;&gt;ROW(Q874))*(Q$2:Q$1073&lt;&gt;""))),"")</f>
        <v/>
      </c>
      <c r="X874" t="str" cm="1">
        <f t="array" ref="X874">IFERROR(AVERAGE(_xlfn._xlws.FILTER(R$2:R$1073,($C$2:$C$1073=$C874)*($E$2:$E$1073=$E874)*(ROW(R$2:R$1073)&lt;&gt;ROW(R874))*(R$2:R$1073&lt;&gt;""))),"")</f>
        <v/>
      </c>
      <c r="Y874" t="str" cm="1">
        <f t="array" ref="Y874">IFERROR(AVERAGE(_xlfn._xlws.FILTER(S$2:S$1073,($C$2:$C$1073=$C874)*($E$2:$E$1073=$E874)*(ROW(S$2:S$1073)&lt;&gt;ROW(S874))*(S$2:S$1073&lt;&gt;""))),"")</f>
        <v/>
      </c>
      <c r="Z874" t="str" cm="1">
        <f t="array" ref="Z874">IFERROR(AVERAGE(_xlfn._xlws.FILTER(T$2:T$1073,($C$2:$C$1073=$C874)*($E$2:$E$1073=$E874)*(ROW(T$2:T$1073)&lt;&gt;ROW(T874))*(T$2:T$1073&lt;&gt;""))),"")</f>
        <v/>
      </c>
      <c r="AA874" t="str" cm="1">
        <f t="array" ref="AA874">IFERROR(AVERAGE(_xlfn._xlws.FILTER(U$2:U$1073,($C$2:$C$1073=$C874)*($E$2:$E$1073=$E874)*(ROW(U$2:U$1073)&lt;&gt;ROW(U874))*(U$2:U$1073&lt;&gt;""))),"")</f>
        <v/>
      </c>
    </row>
    <row r="875" spans="1:27" x14ac:dyDescent="0.2">
      <c r="A875" s="7" t="s">
        <v>2322</v>
      </c>
      <c r="B875" t="str">
        <f t="shared" si="145"/>
        <v>VKCO IV кв. 2016</v>
      </c>
      <c r="C875">
        <v>2016</v>
      </c>
      <c r="D875">
        <f>SUMIFS(Дивиденды!$C:$C,Дивиденды!$A:$A,A875,Дивиденды!$I:$I,C875)</f>
        <v>0</v>
      </c>
      <c r="E875">
        <v>5</v>
      </c>
      <c r="F875">
        <f t="shared" si="146"/>
        <v>0</v>
      </c>
      <c r="G875">
        <f t="shared" si="147"/>
        <v>0</v>
      </c>
      <c r="H875">
        <f t="shared" si="148"/>
        <v>0</v>
      </c>
      <c r="I875">
        <f t="shared" si="144"/>
        <v>0</v>
      </c>
      <c r="J875">
        <f t="shared" si="149"/>
        <v>0</v>
      </c>
      <c r="K875">
        <f t="shared" si="153"/>
        <v>0</v>
      </c>
      <c r="L875">
        <f t="shared" si="150"/>
        <v>0</v>
      </c>
      <c r="M875">
        <f t="shared" si="154"/>
        <v>0</v>
      </c>
      <c r="N875">
        <f t="shared" si="151"/>
        <v>0</v>
      </c>
      <c r="O875">
        <f t="shared" si="152"/>
        <v>0</v>
      </c>
      <c r="P875" t="str">
        <f>IFERROR(LN('Дивиденды по годам'!I875),"")</f>
        <v/>
      </c>
      <c r="Q875" t="str">
        <f>IFERROR('Дивиденды по годам'!G875/'Дивиденды по годам'!I875, "")</f>
        <v/>
      </c>
      <c r="R875" t="str">
        <f>IFERROR(IF(AND('Дивиденды по годам'!N875&lt;&gt;"",'Дивиденды по годам'!U875&lt;&gt;"",'Дивиденды по годам'!U875&lt;&gt;0),'Дивиденды по годам'!N875/'Дивиденды по годам'!U875-1,""),"")</f>
        <v/>
      </c>
      <c r="S875" t="str">
        <f>IFERROR(IF(AND('Дивиденды по годам'!L875&lt;&gt;"",'Дивиденды по годам'!I875&lt;&gt;"",'Дивиденды по годам'!J875&lt;&gt;"",'Дивиденды по годам'!K875&lt;&gt;"",('Дивиденды по годам'!I875-'Дивиденды по годам'!J875-'Дивиденды по годам'!K875)&lt;&gt;0),'Дивиденды по годам'!L875/('Дивиденды по годам'!I875-'Дивиденды по годам'!J875-'Дивиденды по годам'!K875),""),"")</f>
        <v/>
      </c>
      <c r="T875" t="str">
        <f>IFERROR(IF(AND('Дивиденды по годам'!Q875&lt;&gt;"",'Дивиденды по годам'!I875&lt;&gt;"",'Дивиденды по годам'!V875&lt;&gt;"",('Дивиденды по годам'!I875+'Дивиденды по годам'!V875)&lt;&gt;0),'Дивиденды по годам'!Q875/(('Дивиденды по годам'!I875+'Дивиденды по годам'!V875)/2),""),"")</f>
        <v/>
      </c>
      <c r="U875" t="str">
        <f>IFERROR(IF(AND('Дивиденды по годам'!J875&lt;&gt;"",'Дивиденды по годам'!K875&lt;&gt;"",'Дивиденды по годам'!M875&lt;&gt;"",'Дивиденды по годам'!M875&lt;&gt;0),('Дивиденды по годам'!J875+'Дивиденды по годам'!K875)/'Дивиденды по годам'!M875,""),"")</f>
        <v/>
      </c>
      <c r="V875" t="str" cm="1">
        <f t="array" ref="V875">IFERROR(AVERAGE(_xlfn._xlws.FILTER(P$2:P$1073,($C$2:$C$1073=$C875)*($E$2:$E$1073=$E875)*(ROW(P$2:P$1073)&lt;&gt;ROW(P875))*(P$2:P$1073&lt;&gt;""))),"")</f>
        <v/>
      </c>
      <c r="W875" t="str" cm="1">
        <f t="array" ref="W875">IFERROR(AVERAGE(_xlfn._xlws.FILTER(Q$2:Q$1073,($C$2:$C$1073=$C875)*($E$2:$E$1073=$E875)*(ROW(Q$2:Q$1073)&lt;&gt;ROW(Q875))*(Q$2:Q$1073&lt;&gt;""))),"")</f>
        <v/>
      </c>
      <c r="X875" t="str" cm="1">
        <f t="array" ref="X875">IFERROR(AVERAGE(_xlfn._xlws.FILTER(R$2:R$1073,($C$2:$C$1073=$C875)*($E$2:$E$1073=$E875)*(ROW(R$2:R$1073)&lt;&gt;ROW(R875))*(R$2:R$1073&lt;&gt;""))),"")</f>
        <v/>
      </c>
      <c r="Y875" t="str" cm="1">
        <f t="array" ref="Y875">IFERROR(AVERAGE(_xlfn._xlws.FILTER(S$2:S$1073,($C$2:$C$1073=$C875)*($E$2:$E$1073=$E875)*(ROW(S$2:S$1073)&lt;&gt;ROW(S875))*(S$2:S$1073&lt;&gt;""))),"")</f>
        <v/>
      </c>
      <c r="Z875" t="str" cm="1">
        <f t="array" ref="Z875">IFERROR(AVERAGE(_xlfn._xlws.FILTER(T$2:T$1073,($C$2:$C$1073=$C875)*($E$2:$E$1073=$E875)*(ROW(T$2:T$1073)&lt;&gt;ROW(T875))*(T$2:T$1073&lt;&gt;""))),"")</f>
        <v/>
      </c>
      <c r="AA875" t="str" cm="1">
        <f t="array" ref="AA875">IFERROR(AVERAGE(_xlfn._xlws.FILTER(U$2:U$1073,($C$2:$C$1073=$C875)*($E$2:$E$1073=$E875)*(ROW(U$2:U$1073)&lt;&gt;ROW(U875))*(U$2:U$1073&lt;&gt;""))),"")</f>
        <v/>
      </c>
    </row>
    <row r="876" spans="1:27" x14ac:dyDescent="0.2">
      <c r="A876" s="7" t="s">
        <v>2322</v>
      </c>
      <c r="B876" t="str">
        <f t="shared" si="145"/>
        <v>VKCO IV кв. 2015</v>
      </c>
      <c r="C876">
        <v>2015</v>
      </c>
      <c r="D876">
        <f>SUMIFS(Дивиденды!$C:$C,Дивиденды!$A:$A,A876,Дивиденды!$I:$I,C876)</f>
        <v>0</v>
      </c>
      <c r="E876">
        <v>5</v>
      </c>
      <c r="F876">
        <f t="shared" si="146"/>
        <v>0</v>
      </c>
      <c r="G876">
        <f t="shared" si="147"/>
        <v>0</v>
      </c>
      <c r="H876">
        <f t="shared" si="148"/>
        <v>0</v>
      </c>
      <c r="I876">
        <f t="shared" si="144"/>
        <v>0</v>
      </c>
      <c r="J876">
        <f t="shared" si="149"/>
        <v>0</v>
      </c>
      <c r="K876">
        <f t="shared" si="153"/>
        <v>0</v>
      </c>
      <c r="L876">
        <f t="shared" si="150"/>
        <v>0</v>
      </c>
      <c r="M876">
        <f t="shared" si="154"/>
        <v>0</v>
      </c>
      <c r="N876">
        <f t="shared" si="151"/>
        <v>0</v>
      </c>
      <c r="O876">
        <f t="shared" si="152"/>
        <v>0</v>
      </c>
      <c r="P876" t="str">
        <f>IFERROR(LN('Дивиденды по годам'!I876),"")</f>
        <v/>
      </c>
      <c r="Q876" t="str">
        <f>IFERROR('Дивиденды по годам'!G876/'Дивиденды по годам'!I876, "")</f>
        <v/>
      </c>
      <c r="R876" t="str">
        <f>IFERROR(IF(AND('Дивиденды по годам'!N876&lt;&gt;"",'Дивиденды по годам'!U876&lt;&gt;"",'Дивиденды по годам'!U876&lt;&gt;0),'Дивиденды по годам'!N876/'Дивиденды по годам'!U876-1,""),"")</f>
        <v/>
      </c>
      <c r="S876" t="str">
        <f>IFERROR(IF(AND('Дивиденды по годам'!L876&lt;&gt;"",'Дивиденды по годам'!I876&lt;&gt;"",'Дивиденды по годам'!J876&lt;&gt;"",'Дивиденды по годам'!K876&lt;&gt;"",('Дивиденды по годам'!I876-'Дивиденды по годам'!J876-'Дивиденды по годам'!K876)&lt;&gt;0),'Дивиденды по годам'!L876/('Дивиденды по годам'!I876-'Дивиденды по годам'!J876-'Дивиденды по годам'!K876),""),"")</f>
        <v/>
      </c>
      <c r="T876" t="str">
        <f>IFERROR(IF(AND('Дивиденды по годам'!Q876&lt;&gt;"",'Дивиденды по годам'!I876&lt;&gt;"",'Дивиденды по годам'!V876&lt;&gt;"",('Дивиденды по годам'!I876+'Дивиденды по годам'!V876)&lt;&gt;0),'Дивиденды по годам'!Q876/(('Дивиденды по годам'!I876+'Дивиденды по годам'!V876)/2),""),"")</f>
        <v/>
      </c>
      <c r="U876" t="str">
        <f>IFERROR(IF(AND('Дивиденды по годам'!J876&lt;&gt;"",'Дивиденды по годам'!K876&lt;&gt;"",'Дивиденды по годам'!M876&lt;&gt;"",'Дивиденды по годам'!M876&lt;&gt;0),('Дивиденды по годам'!J876+'Дивиденды по годам'!K876)/'Дивиденды по годам'!M876,""),"")</f>
        <v/>
      </c>
      <c r="V876" t="str" cm="1">
        <f t="array" ref="V876">IFERROR(AVERAGE(_xlfn._xlws.FILTER(P$2:P$1073,($C$2:$C$1073=$C876)*($E$2:$E$1073=$E876)*(ROW(P$2:P$1073)&lt;&gt;ROW(P876))*(P$2:P$1073&lt;&gt;""))),"")</f>
        <v/>
      </c>
      <c r="W876" t="str" cm="1">
        <f t="array" ref="W876">IFERROR(AVERAGE(_xlfn._xlws.FILTER(Q$2:Q$1073,($C$2:$C$1073=$C876)*($E$2:$E$1073=$E876)*(ROW(Q$2:Q$1073)&lt;&gt;ROW(Q876))*(Q$2:Q$1073&lt;&gt;""))),"")</f>
        <v/>
      </c>
      <c r="X876" t="str" cm="1">
        <f t="array" ref="X876">IFERROR(AVERAGE(_xlfn._xlws.FILTER(R$2:R$1073,($C$2:$C$1073=$C876)*($E$2:$E$1073=$E876)*(ROW(R$2:R$1073)&lt;&gt;ROW(R876))*(R$2:R$1073&lt;&gt;""))),"")</f>
        <v/>
      </c>
      <c r="Y876" t="str" cm="1">
        <f t="array" ref="Y876">IFERROR(AVERAGE(_xlfn._xlws.FILTER(S$2:S$1073,($C$2:$C$1073=$C876)*($E$2:$E$1073=$E876)*(ROW(S$2:S$1073)&lt;&gt;ROW(S876))*(S$2:S$1073&lt;&gt;""))),"")</f>
        <v/>
      </c>
      <c r="Z876" t="str" cm="1">
        <f t="array" ref="Z876">IFERROR(AVERAGE(_xlfn._xlws.FILTER(T$2:T$1073,($C$2:$C$1073=$C876)*($E$2:$E$1073=$E876)*(ROW(T$2:T$1073)&lt;&gt;ROW(T876))*(T$2:T$1073&lt;&gt;""))),"")</f>
        <v/>
      </c>
      <c r="AA876" t="str" cm="1">
        <f t="array" ref="AA876">IFERROR(AVERAGE(_xlfn._xlws.FILTER(U$2:U$1073,($C$2:$C$1073=$C876)*($E$2:$E$1073=$E876)*(ROW(U$2:U$1073)&lt;&gt;ROW(U876))*(U$2:U$1073&lt;&gt;""))),"")</f>
        <v/>
      </c>
    </row>
    <row r="877" spans="1:27" x14ac:dyDescent="0.2">
      <c r="A877" s="7" t="s">
        <v>2322</v>
      </c>
      <c r="B877" t="str">
        <f t="shared" si="145"/>
        <v>VKCO IV кв. 2014</v>
      </c>
      <c r="C877">
        <v>2014</v>
      </c>
      <c r="D877">
        <f>SUMIFS(Дивиденды!$C:$C,Дивиденды!$A:$A,A877,Дивиденды!$I:$I,C877)</f>
        <v>0</v>
      </c>
      <c r="E877">
        <v>5</v>
      </c>
      <c r="F877">
        <f t="shared" si="146"/>
        <v>0</v>
      </c>
      <c r="G877">
        <f t="shared" si="147"/>
        <v>0</v>
      </c>
      <c r="H877">
        <f t="shared" si="148"/>
        <v>0</v>
      </c>
      <c r="I877">
        <f t="shared" si="144"/>
        <v>0</v>
      </c>
      <c r="J877">
        <f t="shared" si="149"/>
        <v>0</v>
      </c>
      <c r="K877">
        <f t="shared" si="153"/>
        <v>0</v>
      </c>
      <c r="L877">
        <f t="shared" si="150"/>
        <v>0</v>
      </c>
      <c r="M877">
        <f t="shared" si="154"/>
        <v>0</v>
      </c>
      <c r="N877">
        <f t="shared" si="151"/>
        <v>0</v>
      </c>
      <c r="O877">
        <f t="shared" si="152"/>
        <v>0</v>
      </c>
      <c r="P877" t="str">
        <f>IFERROR(LN('Дивиденды по годам'!I877),"")</f>
        <v/>
      </c>
      <c r="Q877" t="str">
        <f>IFERROR('Дивиденды по годам'!G877/'Дивиденды по годам'!I877, "")</f>
        <v/>
      </c>
      <c r="R877" t="str">
        <f>IFERROR(IF(AND('Дивиденды по годам'!N877&lt;&gt;"",'Дивиденды по годам'!U877&lt;&gt;"",'Дивиденды по годам'!U877&lt;&gt;0),'Дивиденды по годам'!N877/'Дивиденды по годам'!U877-1,""),"")</f>
        <v/>
      </c>
      <c r="S877" t="str">
        <f>IFERROR(IF(AND('Дивиденды по годам'!L877&lt;&gt;"",'Дивиденды по годам'!I877&lt;&gt;"",'Дивиденды по годам'!J877&lt;&gt;"",'Дивиденды по годам'!K877&lt;&gt;"",('Дивиденды по годам'!I877-'Дивиденды по годам'!J877-'Дивиденды по годам'!K877)&lt;&gt;0),'Дивиденды по годам'!L877/('Дивиденды по годам'!I877-'Дивиденды по годам'!J877-'Дивиденды по годам'!K877),""),"")</f>
        <v/>
      </c>
      <c r="T877" t="str">
        <f>IFERROR(IF(AND('Дивиденды по годам'!Q877&lt;&gt;"",'Дивиденды по годам'!I877&lt;&gt;"",'Дивиденды по годам'!V877&lt;&gt;"",('Дивиденды по годам'!I877+'Дивиденды по годам'!V877)&lt;&gt;0),'Дивиденды по годам'!Q877/(('Дивиденды по годам'!I877+'Дивиденды по годам'!V877)/2),""),"")</f>
        <v/>
      </c>
      <c r="U877" t="str">
        <f>IFERROR(IF(AND('Дивиденды по годам'!J877&lt;&gt;"",'Дивиденды по годам'!K877&lt;&gt;"",'Дивиденды по годам'!M877&lt;&gt;"",'Дивиденды по годам'!M877&lt;&gt;0),('Дивиденды по годам'!J877+'Дивиденды по годам'!K877)/'Дивиденды по годам'!M877,""),"")</f>
        <v/>
      </c>
      <c r="V877" t="str" cm="1">
        <f t="array" ref="V877">IFERROR(AVERAGE(_xlfn._xlws.FILTER(P$2:P$1073,($C$2:$C$1073=$C877)*($E$2:$E$1073=$E877)*(ROW(P$2:P$1073)&lt;&gt;ROW(P877))*(P$2:P$1073&lt;&gt;""))),"")</f>
        <v/>
      </c>
      <c r="W877" t="str" cm="1">
        <f t="array" ref="W877">IFERROR(AVERAGE(_xlfn._xlws.FILTER(Q$2:Q$1073,($C$2:$C$1073=$C877)*($E$2:$E$1073=$E877)*(ROW(Q$2:Q$1073)&lt;&gt;ROW(Q877))*(Q$2:Q$1073&lt;&gt;""))),"")</f>
        <v/>
      </c>
      <c r="X877" t="str" cm="1">
        <f t="array" ref="X877">IFERROR(AVERAGE(_xlfn._xlws.FILTER(R$2:R$1073,($C$2:$C$1073=$C877)*($E$2:$E$1073=$E877)*(ROW(R$2:R$1073)&lt;&gt;ROW(R877))*(R$2:R$1073&lt;&gt;""))),"")</f>
        <v/>
      </c>
      <c r="Y877" t="str" cm="1">
        <f t="array" ref="Y877">IFERROR(AVERAGE(_xlfn._xlws.FILTER(S$2:S$1073,($C$2:$C$1073=$C877)*($E$2:$E$1073=$E877)*(ROW(S$2:S$1073)&lt;&gt;ROW(S877))*(S$2:S$1073&lt;&gt;""))),"")</f>
        <v/>
      </c>
      <c r="Z877" t="str" cm="1">
        <f t="array" ref="Z877">IFERROR(AVERAGE(_xlfn._xlws.FILTER(T$2:T$1073,($C$2:$C$1073=$C877)*($E$2:$E$1073=$E877)*(ROW(T$2:T$1073)&lt;&gt;ROW(T877))*(T$2:T$1073&lt;&gt;""))),"")</f>
        <v/>
      </c>
      <c r="AA877" t="str" cm="1">
        <f t="array" ref="AA877">IFERROR(AVERAGE(_xlfn._xlws.FILTER(U$2:U$1073,($C$2:$C$1073=$C877)*($E$2:$E$1073=$E877)*(ROW(U$2:U$1073)&lt;&gt;ROW(U877))*(U$2:U$1073&lt;&gt;""))),"")</f>
        <v/>
      </c>
    </row>
    <row r="878" spans="1:27" x14ac:dyDescent="0.2">
      <c r="A878" s="7" t="s">
        <v>2322</v>
      </c>
      <c r="B878" t="str">
        <f t="shared" si="145"/>
        <v>VKCO IV кв. 2013</v>
      </c>
      <c r="C878">
        <v>2013</v>
      </c>
      <c r="D878">
        <f>SUMIFS(Дивиденды!$C:$C,Дивиденды!$A:$A,A878,Дивиденды!$I:$I,C878)</f>
        <v>0</v>
      </c>
      <c r="E878">
        <v>5</v>
      </c>
      <c r="F878">
        <f t="shared" si="146"/>
        <v>0</v>
      </c>
      <c r="G878">
        <f t="shared" si="147"/>
        <v>0</v>
      </c>
      <c r="H878">
        <f t="shared" si="148"/>
        <v>0</v>
      </c>
      <c r="I878">
        <f t="shared" si="144"/>
        <v>0</v>
      </c>
      <c r="J878">
        <f t="shared" si="149"/>
        <v>0</v>
      </c>
      <c r="K878">
        <f t="shared" si="153"/>
        <v>0</v>
      </c>
      <c r="L878">
        <f t="shared" si="150"/>
        <v>0</v>
      </c>
      <c r="M878">
        <f t="shared" si="154"/>
        <v>0</v>
      </c>
      <c r="N878">
        <f t="shared" si="151"/>
        <v>0</v>
      </c>
      <c r="O878">
        <f t="shared" si="152"/>
        <v>0</v>
      </c>
      <c r="P878" t="str">
        <f>IFERROR(LN('Дивиденды по годам'!I878),"")</f>
        <v/>
      </c>
      <c r="Q878" t="str">
        <f>IFERROR('Дивиденды по годам'!G878/'Дивиденды по годам'!I878, "")</f>
        <v/>
      </c>
      <c r="R878" t="str">
        <f>IFERROR(IF(AND('Дивиденды по годам'!N878&lt;&gt;"",'Дивиденды по годам'!U878&lt;&gt;"",'Дивиденды по годам'!U878&lt;&gt;0),'Дивиденды по годам'!N878/'Дивиденды по годам'!U878-1,""),"")</f>
        <v/>
      </c>
      <c r="S878" t="str">
        <f>IFERROR(IF(AND('Дивиденды по годам'!L878&lt;&gt;"",'Дивиденды по годам'!I878&lt;&gt;"",'Дивиденды по годам'!J878&lt;&gt;"",'Дивиденды по годам'!K878&lt;&gt;"",('Дивиденды по годам'!I878-'Дивиденды по годам'!J878-'Дивиденды по годам'!K878)&lt;&gt;0),'Дивиденды по годам'!L878/('Дивиденды по годам'!I878-'Дивиденды по годам'!J878-'Дивиденды по годам'!K878),""),"")</f>
        <v/>
      </c>
      <c r="T878" t="str">
        <f>IFERROR(IF(AND('Дивиденды по годам'!Q878&lt;&gt;"",'Дивиденды по годам'!I878&lt;&gt;"",'Дивиденды по годам'!V878&lt;&gt;"",('Дивиденды по годам'!I878+'Дивиденды по годам'!V878)&lt;&gt;0),'Дивиденды по годам'!Q878/(('Дивиденды по годам'!I878+'Дивиденды по годам'!V878)/2),""),"")</f>
        <v/>
      </c>
      <c r="U878" t="str">
        <f>IFERROR(IF(AND('Дивиденды по годам'!J878&lt;&gt;"",'Дивиденды по годам'!K878&lt;&gt;"",'Дивиденды по годам'!M878&lt;&gt;"",'Дивиденды по годам'!M878&lt;&gt;0),('Дивиденды по годам'!J878+'Дивиденды по годам'!K878)/'Дивиденды по годам'!M878,""),"")</f>
        <v/>
      </c>
      <c r="V878" t="str" cm="1">
        <f t="array" ref="V878">IFERROR(AVERAGE(_xlfn._xlws.FILTER(P$2:P$1073,($C$2:$C$1073=$C878)*($E$2:$E$1073=$E878)*(ROW(P$2:P$1073)&lt;&gt;ROW(P878))*(P$2:P$1073&lt;&gt;""))),"")</f>
        <v/>
      </c>
      <c r="W878" t="str" cm="1">
        <f t="array" ref="W878">IFERROR(AVERAGE(_xlfn._xlws.FILTER(Q$2:Q$1073,($C$2:$C$1073=$C878)*($E$2:$E$1073=$E878)*(ROW(Q$2:Q$1073)&lt;&gt;ROW(Q878))*(Q$2:Q$1073&lt;&gt;""))),"")</f>
        <v/>
      </c>
      <c r="X878" t="str" cm="1">
        <f t="array" ref="X878">IFERROR(AVERAGE(_xlfn._xlws.FILTER(R$2:R$1073,($C$2:$C$1073=$C878)*($E$2:$E$1073=$E878)*(ROW(R$2:R$1073)&lt;&gt;ROW(R878))*(R$2:R$1073&lt;&gt;""))),"")</f>
        <v/>
      </c>
      <c r="Y878" t="str" cm="1">
        <f t="array" ref="Y878">IFERROR(AVERAGE(_xlfn._xlws.FILTER(S$2:S$1073,($C$2:$C$1073=$C878)*($E$2:$E$1073=$E878)*(ROW(S$2:S$1073)&lt;&gt;ROW(S878))*(S$2:S$1073&lt;&gt;""))),"")</f>
        <v/>
      </c>
      <c r="Z878" t="str" cm="1">
        <f t="array" ref="Z878">IFERROR(AVERAGE(_xlfn._xlws.FILTER(T$2:T$1073,($C$2:$C$1073=$C878)*($E$2:$E$1073=$E878)*(ROW(T$2:T$1073)&lt;&gt;ROW(T878))*(T$2:T$1073&lt;&gt;""))),"")</f>
        <v/>
      </c>
      <c r="AA878" t="str" cm="1">
        <f t="array" ref="AA878">IFERROR(AVERAGE(_xlfn._xlws.FILTER(U$2:U$1073,($C$2:$C$1073=$C878)*($E$2:$E$1073=$E878)*(ROW(U$2:U$1073)&lt;&gt;ROW(U878))*(U$2:U$1073&lt;&gt;""))),"")</f>
        <v/>
      </c>
    </row>
    <row r="879" spans="1:27" x14ac:dyDescent="0.2">
      <c r="A879" s="7" t="s">
        <v>2322</v>
      </c>
      <c r="B879" t="str">
        <f t="shared" si="145"/>
        <v>VKCO IV кв. 2012</v>
      </c>
      <c r="C879">
        <v>2012</v>
      </c>
      <c r="D879">
        <f>SUMIFS(Дивиденды!$C:$C,Дивиденды!$A:$A,A879,Дивиденды!$I:$I,C879)</f>
        <v>0</v>
      </c>
      <c r="E879">
        <v>5</v>
      </c>
      <c r="F879">
        <f t="shared" si="146"/>
        <v>0</v>
      </c>
      <c r="G879">
        <f t="shared" si="147"/>
        <v>0</v>
      </c>
      <c r="H879">
        <f t="shared" si="148"/>
        <v>0</v>
      </c>
      <c r="I879">
        <f t="shared" si="144"/>
        <v>0</v>
      </c>
      <c r="J879">
        <f t="shared" si="149"/>
        <v>0</v>
      </c>
      <c r="K879">
        <f t="shared" si="153"/>
        <v>0</v>
      </c>
      <c r="L879">
        <f t="shared" si="150"/>
        <v>0</v>
      </c>
      <c r="M879">
        <f t="shared" si="154"/>
        <v>0</v>
      </c>
      <c r="N879">
        <f t="shared" si="151"/>
        <v>0</v>
      </c>
      <c r="O879">
        <f t="shared" si="152"/>
        <v>0</v>
      </c>
      <c r="P879" t="str">
        <f>IFERROR(LN('Дивиденды по годам'!I879),"")</f>
        <v/>
      </c>
      <c r="Q879" t="str">
        <f>IFERROR('Дивиденды по годам'!G879/'Дивиденды по годам'!I879, "")</f>
        <v/>
      </c>
      <c r="R879" t="str">
        <f>IFERROR(IF(AND('Дивиденды по годам'!N879&lt;&gt;"",'Дивиденды по годам'!U879&lt;&gt;"",'Дивиденды по годам'!U879&lt;&gt;0),'Дивиденды по годам'!N879/'Дивиденды по годам'!U879-1,""),"")</f>
        <v/>
      </c>
      <c r="S879" t="str">
        <f>IFERROR(IF(AND('Дивиденды по годам'!L879&lt;&gt;"",'Дивиденды по годам'!I879&lt;&gt;"",'Дивиденды по годам'!J879&lt;&gt;"",'Дивиденды по годам'!K879&lt;&gt;"",('Дивиденды по годам'!I879-'Дивиденды по годам'!J879-'Дивиденды по годам'!K879)&lt;&gt;0),'Дивиденды по годам'!L879/('Дивиденды по годам'!I879-'Дивиденды по годам'!J879-'Дивиденды по годам'!K879),""),"")</f>
        <v/>
      </c>
      <c r="T879" t="str">
        <f>IFERROR(IF(AND('Дивиденды по годам'!Q879&lt;&gt;"",'Дивиденды по годам'!I879&lt;&gt;"",'Дивиденды по годам'!V879&lt;&gt;"",('Дивиденды по годам'!I879+'Дивиденды по годам'!V879)&lt;&gt;0),'Дивиденды по годам'!Q879/(('Дивиденды по годам'!I879+'Дивиденды по годам'!V879)/2),""),"")</f>
        <v/>
      </c>
      <c r="U879" t="str">
        <f>IFERROR(IF(AND('Дивиденды по годам'!J879&lt;&gt;"",'Дивиденды по годам'!K879&lt;&gt;"",'Дивиденды по годам'!M879&lt;&gt;"",'Дивиденды по годам'!M879&lt;&gt;0),('Дивиденды по годам'!J879+'Дивиденды по годам'!K879)/'Дивиденды по годам'!M879,""),"")</f>
        <v/>
      </c>
      <c r="V879" t="str" cm="1">
        <f t="array" ref="V879">IFERROR(AVERAGE(_xlfn._xlws.FILTER(P$2:P$1073,($C$2:$C$1073=$C879)*($E$2:$E$1073=$E879)*(ROW(P$2:P$1073)&lt;&gt;ROW(P879))*(P$2:P$1073&lt;&gt;""))),"")</f>
        <v/>
      </c>
      <c r="W879" t="str" cm="1">
        <f t="array" ref="W879">IFERROR(AVERAGE(_xlfn._xlws.FILTER(Q$2:Q$1073,($C$2:$C$1073=$C879)*($E$2:$E$1073=$E879)*(ROW(Q$2:Q$1073)&lt;&gt;ROW(Q879))*(Q$2:Q$1073&lt;&gt;""))),"")</f>
        <v/>
      </c>
      <c r="X879" t="str" cm="1">
        <f t="array" ref="X879">IFERROR(AVERAGE(_xlfn._xlws.FILTER(R$2:R$1073,($C$2:$C$1073=$C879)*($E$2:$E$1073=$E879)*(ROW(R$2:R$1073)&lt;&gt;ROW(R879))*(R$2:R$1073&lt;&gt;""))),"")</f>
        <v/>
      </c>
      <c r="Y879" t="str" cm="1">
        <f t="array" ref="Y879">IFERROR(AVERAGE(_xlfn._xlws.FILTER(S$2:S$1073,($C$2:$C$1073=$C879)*($E$2:$E$1073=$E879)*(ROW(S$2:S$1073)&lt;&gt;ROW(S879))*(S$2:S$1073&lt;&gt;""))),"")</f>
        <v/>
      </c>
      <c r="Z879" t="str" cm="1">
        <f t="array" ref="Z879">IFERROR(AVERAGE(_xlfn._xlws.FILTER(T$2:T$1073,($C$2:$C$1073=$C879)*($E$2:$E$1073=$E879)*(ROW(T$2:T$1073)&lt;&gt;ROW(T879))*(T$2:T$1073&lt;&gt;""))),"")</f>
        <v/>
      </c>
      <c r="AA879" t="str" cm="1">
        <f t="array" ref="AA879">IFERROR(AVERAGE(_xlfn._xlws.FILTER(U$2:U$1073,($C$2:$C$1073=$C879)*($E$2:$E$1073=$E879)*(ROW(U$2:U$1073)&lt;&gt;ROW(U879))*(U$2:U$1073&lt;&gt;""))),"")</f>
        <v/>
      </c>
    </row>
    <row r="880" spans="1:27" x14ac:dyDescent="0.2">
      <c r="A880" s="7" t="s">
        <v>2322</v>
      </c>
      <c r="B880" t="str">
        <f t="shared" si="145"/>
        <v>VKCO IV кв. 2011</v>
      </c>
      <c r="C880">
        <v>2011</v>
      </c>
      <c r="D880">
        <f>SUMIFS(Дивиденды!$C:$C,Дивиденды!$A:$A,A880,Дивиденды!$I:$I,C880)</f>
        <v>0</v>
      </c>
      <c r="E880">
        <v>5</v>
      </c>
      <c r="F880">
        <f t="shared" si="146"/>
        <v>0</v>
      </c>
      <c r="G880">
        <f t="shared" si="147"/>
        <v>0</v>
      </c>
      <c r="H880">
        <f t="shared" si="148"/>
        <v>0</v>
      </c>
      <c r="I880">
        <f t="shared" ref="I880:I943" si="155">IFERROR((COUNTIFS($E:$E,E880,$C:$C,C880,$H:$H,1)-H880)/(COUNTIFS($E:$E,E880,$C:$C,C880)-1),0)</f>
        <v>0</v>
      </c>
      <c r="J880">
        <f t="shared" si="149"/>
        <v>0</v>
      </c>
      <c r="K880">
        <f t="shared" si="153"/>
        <v>0</v>
      </c>
      <c r="L880">
        <f t="shared" si="150"/>
        <v>0</v>
      </c>
      <c r="M880">
        <f t="shared" si="154"/>
        <v>0</v>
      </c>
      <c r="N880">
        <f t="shared" si="151"/>
        <v>0</v>
      </c>
      <c r="O880">
        <f t="shared" si="152"/>
        <v>0</v>
      </c>
      <c r="P880" t="str">
        <f>IFERROR(LN('Дивиденды по годам'!I880),"")</f>
        <v/>
      </c>
      <c r="Q880" t="str">
        <f>IFERROR('Дивиденды по годам'!G880/'Дивиденды по годам'!I880, "")</f>
        <v/>
      </c>
      <c r="R880" t="str">
        <f>IFERROR(IF(AND('Дивиденды по годам'!N880&lt;&gt;"",'Дивиденды по годам'!U880&lt;&gt;"",'Дивиденды по годам'!U880&lt;&gt;0),'Дивиденды по годам'!N880/'Дивиденды по годам'!U880-1,""),"")</f>
        <v/>
      </c>
      <c r="S880" t="str">
        <f>IFERROR(IF(AND('Дивиденды по годам'!L880&lt;&gt;"",'Дивиденды по годам'!I880&lt;&gt;"",'Дивиденды по годам'!J880&lt;&gt;"",'Дивиденды по годам'!K880&lt;&gt;"",('Дивиденды по годам'!I880-'Дивиденды по годам'!J880-'Дивиденды по годам'!K880)&lt;&gt;0),'Дивиденды по годам'!L880/('Дивиденды по годам'!I880-'Дивиденды по годам'!J880-'Дивиденды по годам'!K880),""),"")</f>
        <v/>
      </c>
      <c r="T880" t="str">
        <f>IFERROR(IF(AND('Дивиденды по годам'!Q880&lt;&gt;"",'Дивиденды по годам'!I880&lt;&gt;"",'Дивиденды по годам'!V880&lt;&gt;"",('Дивиденды по годам'!I880+'Дивиденды по годам'!V880)&lt;&gt;0),'Дивиденды по годам'!Q880/(('Дивиденды по годам'!I880+'Дивиденды по годам'!V880)/2),""),"")</f>
        <v/>
      </c>
      <c r="U880" t="str">
        <f>IFERROR(IF(AND('Дивиденды по годам'!J880&lt;&gt;"",'Дивиденды по годам'!K880&lt;&gt;"",'Дивиденды по годам'!M880&lt;&gt;"",'Дивиденды по годам'!M880&lt;&gt;0),('Дивиденды по годам'!J880+'Дивиденды по годам'!K880)/'Дивиденды по годам'!M880,""),"")</f>
        <v/>
      </c>
      <c r="V880" t="str" cm="1">
        <f t="array" ref="V880">IFERROR(AVERAGE(_xlfn._xlws.FILTER(P$2:P$1073,($C$2:$C$1073=$C880)*($E$2:$E$1073=$E880)*(ROW(P$2:P$1073)&lt;&gt;ROW(P880))*(P$2:P$1073&lt;&gt;""))),"")</f>
        <v/>
      </c>
      <c r="W880" t="str" cm="1">
        <f t="array" ref="W880">IFERROR(AVERAGE(_xlfn._xlws.FILTER(Q$2:Q$1073,($C$2:$C$1073=$C880)*($E$2:$E$1073=$E880)*(ROW(Q$2:Q$1073)&lt;&gt;ROW(Q880))*(Q$2:Q$1073&lt;&gt;""))),"")</f>
        <v/>
      </c>
      <c r="X880" t="str" cm="1">
        <f t="array" ref="X880">IFERROR(AVERAGE(_xlfn._xlws.FILTER(R$2:R$1073,($C$2:$C$1073=$C880)*($E$2:$E$1073=$E880)*(ROW(R$2:R$1073)&lt;&gt;ROW(R880))*(R$2:R$1073&lt;&gt;""))),"")</f>
        <v/>
      </c>
      <c r="Y880" t="str" cm="1">
        <f t="array" ref="Y880">IFERROR(AVERAGE(_xlfn._xlws.FILTER(S$2:S$1073,($C$2:$C$1073=$C880)*($E$2:$E$1073=$E880)*(ROW(S$2:S$1073)&lt;&gt;ROW(S880))*(S$2:S$1073&lt;&gt;""))),"")</f>
        <v/>
      </c>
      <c r="Z880" t="str" cm="1">
        <f t="array" ref="Z880">IFERROR(AVERAGE(_xlfn._xlws.FILTER(T$2:T$1073,($C$2:$C$1073=$C880)*($E$2:$E$1073=$E880)*(ROW(T$2:T$1073)&lt;&gt;ROW(T880))*(T$2:T$1073&lt;&gt;""))),"")</f>
        <v/>
      </c>
      <c r="AA880" t="str" cm="1">
        <f t="array" ref="AA880">IFERROR(AVERAGE(_xlfn._xlws.FILTER(U$2:U$1073,($C$2:$C$1073=$C880)*($E$2:$E$1073=$E880)*(ROW(U$2:U$1073)&lt;&gt;ROW(U880))*(U$2:U$1073&lt;&gt;""))),"")</f>
        <v/>
      </c>
    </row>
    <row r="881" spans="1:27" x14ac:dyDescent="0.2">
      <c r="A881" s="7" t="s">
        <v>2322</v>
      </c>
      <c r="B881" t="str">
        <f t="shared" si="145"/>
        <v>VKCO IV кв. 2010</v>
      </c>
      <c r="C881">
        <v>2010</v>
      </c>
      <c r="D881">
        <f>SUMIFS(Дивиденды!$C:$C,Дивиденды!$A:$A,A881,Дивиденды!$I:$I,C881)</f>
        <v>0</v>
      </c>
      <c r="E881">
        <v>5</v>
      </c>
      <c r="F881">
        <f t="shared" si="146"/>
        <v>0</v>
      </c>
      <c r="G881">
        <f t="shared" si="147"/>
        <v>0</v>
      </c>
      <c r="H881">
        <f t="shared" si="148"/>
        <v>0</v>
      </c>
      <c r="I881">
        <f t="shared" si="155"/>
        <v>0</v>
      </c>
      <c r="J881" t="str">
        <f t="shared" si="149"/>
        <v/>
      </c>
      <c r="K881" t="str">
        <f t="shared" si="153"/>
        <v/>
      </c>
      <c r="L881" t="str">
        <f t="shared" si="150"/>
        <v/>
      </c>
      <c r="M881" t="str">
        <f t="shared" si="154"/>
        <v/>
      </c>
      <c r="N881" t="str">
        <f t="shared" si="151"/>
        <v/>
      </c>
      <c r="O881" t="str">
        <f t="shared" si="152"/>
        <v/>
      </c>
      <c r="P881" t="str">
        <f>IFERROR(LN('Дивиденды по годам'!I881),"")</f>
        <v/>
      </c>
      <c r="Q881" t="str">
        <f>IFERROR('Дивиденды по годам'!G881/'Дивиденды по годам'!I881, "")</f>
        <v/>
      </c>
      <c r="R881" t="str">
        <f>IFERROR(IF(AND('Дивиденды по годам'!N881&lt;&gt;"",'Дивиденды по годам'!U881&lt;&gt;"",'Дивиденды по годам'!U881&lt;&gt;0),'Дивиденды по годам'!N881/'Дивиденды по годам'!U881-1,""),"")</f>
        <v/>
      </c>
      <c r="S881" t="str">
        <f>IFERROR(IF(AND('Дивиденды по годам'!L881&lt;&gt;"",'Дивиденды по годам'!I881&lt;&gt;"",'Дивиденды по годам'!J881&lt;&gt;"",'Дивиденды по годам'!K881&lt;&gt;"",('Дивиденды по годам'!I881-'Дивиденды по годам'!J881-'Дивиденды по годам'!K881)&lt;&gt;0),'Дивиденды по годам'!L881/('Дивиденды по годам'!I881-'Дивиденды по годам'!J881-'Дивиденды по годам'!K881),""),"")</f>
        <v/>
      </c>
      <c r="T881" t="str">
        <f>IFERROR(IF(AND('Дивиденды по годам'!Q881&lt;&gt;"",'Дивиденды по годам'!I881&lt;&gt;"",'Дивиденды по годам'!V881&lt;&gt;"",('Дивиденды по годам'!I881+'Дивиденды по годам'!V881)&lt;&gt;0),'Дивиденды по годам'!Q881/(('Дивиденды по годам'!I881+'Дивиденды по годам'!V881)/2),""),"")</f>
        <v/>
      </c>
      <c r="U881" t="str">
        <f>IFERROR(IF(AND('Дивиденды по годам'!J881&lt;&gt;"",'Дивиденды по годам'!K881&lt;&gt;"",'Дивиденды по годам'!M881&lt;&gt;"",'Дивиденды по годам'!M881&lt;&gt;0),('Дивиденды по годам'!J881+'Дивиденды по годам'!K881)/'Дивиденды по годам'!M881,""),"")</f>
        <v/>
      </c>
      <c r="V881" t="str" cm="1">
        <f t="array" ref="V881">IFERROR(AVERAGE(_xlfn._xlws.FILTER(P$2:P$1073,($C$2:$C$1073=$C881)*($E$2:$E$1073=$E881)*(ROW(P$2:P$1073)&lt;&gt;ROW(P881))*(P$2:P$1073&lt;&gt;""))),"")</f>
        <v/>
      </c>
      <c r="W881" t="str" cm="1">
        <f t="array" ref="W881">IFERROR(AVERAGE(_xlfn._xlws.FILTER(Q$2:Q$1073,($C$2:$C$1073=$C881)*($E$2:$E$1073=$E881)*(ROW(Q$2:Q$1073)&lt;&gt;ROW(Q881))*(Q$2:Q$1073&lt;&gt;""))),"")</f>
        <v/>
      </c>
      <c r="X881" t="str" cm="1">
        <f t="array" ref="X881">IFERROR(AVERAGE(_xlfn._xlws.FILTER(R$2:R$1073,($C$2:$C$1073=$C881)*($E$2:$E$1073=$E881)*(ROW(R$2:R$1073)&lt;&gt;ROW(R881))*(R$2:R$1073&lt;&gt;""))),"")</f>
        <v/>
      </c>
      <c r="Y881" t="str" cm="1">
        <f t="array" ref="Y881">IFERROR(AVERAGE(_xlfn._xlws.FILTER(S$2:S$1073,($C$2:$C$1073=$C881)*($E$2:$E$1073=$E881)*(ROW(S$2:S$1073)&lt;&gt;ROW(S881))*(S$2:S$1073&lt;&gt;""))),"")</f>
        <v/>
      </c>
      <c r="Z881" t="str" cm="1">
        <f t="array" ref="Z881">IFERROR(AVERAGE(_xlfn._xlws.FILTER(T$2:T$1073,($C$2:$C$1073=$C881)*($E$2:$E$1073=$E881)*(ROW(T$2:T$1073)&lt;&gt;ROW(T881))*(T$2:T$1073&lt;&gt;""))),"")</f>
        <v/>
      </c>
      <c r="AA881" t="str" cm="1">
        <f t="array" ref="AA881">IFERROR(AVERAGE(_xlfn._xlws.FILTER(U$2:U$1073,($C$2:$C$1073=$C881)*($E$2:$E$1073=$E881)*(ROW(U$2:U$1073)&lt;&gt;ROW(U881))*(U$2:U$1073&lt;&gt;""))),"")</f>
        <v/>
      </c>
    </row>
    <row r="882" spans="1:27" x14ac:dyDescent="0.2">
      <c r="A882" s="7" t="s">
        <v>2287</v>
      </c>
      <c r="B882" t="str">
        <f t="shared" si="145"/>
        <v>YDEX IV кв. 2025</v>
      </c>
      <c r="C882">
        <v>2025</v>
      </c>
      <c r="D882">
        <f>SUMIFS(Дивиденды!$C:$C,Дивиденды!$A:$A,A882,Дивиденды!$I:$I,C882)</f>
        <v>80</v>
      </c>
      <c r="E882">
        <v>5</v>
      </c>
      <c r="F882">
        <f t="shared" si="146"/>
        <v>80</v>
      </c>
      <c r="G882">
        <f t="shared" si="147"/>
        <v>54.051111111111112</v>
      </c>
      <c r="H882">
        <f t="shared" si="148"/>
        <v>1</v>
      </c>
      <c r="I882">
        <f t="shared" si="155"/>
        <v>0.55555555555555558</v>
      </c>
      <c r="J882">
        <f t="shared" si="149"/>
        <v>-0.5</v>
      </c>
      <c r="K882">
        <f t="shared" si="153"/>
        <v>0.24947366021953854</v>
      </c>
      <c r="L882">
        <f t="shared" si="150"/>
        <v>0</v>
      </c>
      <c r="M882">
        <f t="shared" si="154"/>
        <v>0.44444444444444442</v>
      </c>
      <c r="N882">
        <f t="shared" si="151"/>
        <v>1</v>
      </c>
      <c r="O882">
        <f t="shared" si="152"/>
        <v>0.33333333333333331</v>
      </c>
      <c r="P882">
        <f>IFERROR(LN('Дивиденды по годам'!I882),"")</f>
        <v>27.944620903884115</v>
      </c>
      <c r="Q882">
        <f>IFERROR('Дивиденды по годам'!G882/'Дивиденды по годам'!I882, "")</f>
        <v>0.24201917356918082</v>
      </c>
      <c r="R882">
        <f>IFERROR(IF(AND('Дивиденды по годам'!N882&lt;&gt;"",'Дивиденды по годам'!U882&lt;&gt;"",'Дивиденды по годам'!U882&lt;&gt;0),'Дивиденды по годам'!N882/'Дивиденды по годам'!U882-1,""),"")</f>
        <v>0.31660027773717303</v>
      </c>
      <c r="S882">
        <f>IFERROR(IF(AND('Дивиденды по годам'!L882&lt;&gt;"",'Дивиденды по годам'!I882&lt;&gt;"",'Дивиденды по годам'!J882&lt;&gt;"",'Дивиденды по годам'!K882&lt;&gt;"",('Дивиденды по годам'!I882-'Дивиденды по годам'!J882-'Дивиденды по годам'!K882)&lt;&gt;0),'Дивиденды по годам'!L882/('Дивиденды по годам'!I882-'Дивиденды по годам'!J882-'Дивиденды по годам'!K882),""),"")</f>
        <v>0.73713612136121365</v>
      </c>
      <c r="T882">
        <f>IFERROR(IF(AND('Дивиденды по годам'!Q882&lt;&gt;"",'Дивиденды по годам'!I882&lt;&gt;"",'Дивиденды по годам'!V882&lt;&gt;"",('Дивиденды по годам'!I882+'Дивиденды по годам'!V882)&lt;&gt;0),'Дивиденды по годам'!Q882/(('Дивиденды по годам'!I882+'Дивиденды по годам'!V882)/2),""),"")</f>
        <v>6.4514010774088679E-2</v>
      </c>
      <c r="U882">
        <f>IFERROR(IF(AND('Дивиденды по годам'!J882&lt;&gt;"",'Дивиденды по годам'!K882&lt;&gt;"",'Дивиденды по годам'!M882&lt;&gt;"",'Дивиденды по годам'!M882&lt;&gt;0),('Дивиденды по годам'!J882+'Дивиденды по годам'!K882)/'Дивиденды по годам'!M882,""),"")</f>
        <v>2.8960127101271014</v>
      </c>
      <c r="V882" cm="1">
        <f t="array" ref="V882">IFERROR(AVERAGE(_xlfn._xlws.FILTER(P$2:P$1073,($C$2:$C$1073=$C882)*($E$2:$E$1073=$E882)*(ROW(P$2:P$1073)&lt;&gt;ROW(P882))*(P$2:P$1073&lt;&gt;""))),"")</f>
        <v>25.378142397971992</v>
      </c>
      <c r="W882" cm="1">
        <f t="array" ref="W882">IFERROR(AVERAGE(_xlfn._xlws.FILTER(Q$2:Q$1073,($C$2:$C$1073=$C882)*($E$2:$E$1073=$E882)*(ROW(Q$2:Q$1073)&lt;&gt;ROW(Q882))*(Q$2:Q$1073&lt;&gt;""))),"")</f>
        <v>9.4722752925955278E-2</v>
      </c>
      <c r="X882" cm="1">
        <f t="array" ref="X882">IFERROR(AVERAGE(_xlfn._xlws.FILTER(R$2:R$1073,($C$2:$C$1073=$C882)*($E$2:$E$1073=$E882)*(ROW(R$2:R$1073)&lt;&gt;ROW(R882))*(R$2:R$1073&lt;&gt;""))),"")</f>
        <v>6.1966378839240943E-2</v>
      </c>
      <c r="Y882" cm="1">
        <f t="array" ref="Y882">IFERROR(AVERAGE(_xlfn._xlws.FILTER(S$2:S$1073,($C$2:$C$1073=$C882)*($E$2:$E$1073=$E882)*(ROW(S$2:S$1073)&lt;&gt;ROW(S882))*(S$2:S$1073&lt;&gt;""))),"")</f>
        <v>0.64999849961788247</v>
      </c>
      <c r="Z882" cm="1">
        <f t="array" ref="Z882">IFERROR(AVERAGE(_xlfn._xlws.FILTER(T$2:T$1073,($C$2:$C$1073=$C882)*($E$2:$E$1073=$E882)*(ROW(T$2:T$1073)&lt;&gt;ROW(T882))*(T$2:T$1073&lt;&gt;""))),"")</f>
        <v>0.26553843634157848</v>
      </c>
      <c r="AA882" cm="1">
        <f t="array" ref="AA882">IFERROR(AVERAGE(_xlfn._xlws.FILTER(U$2:U$1073,($C$2:$C$1073=$C882)*($E$2:$E$1073=$E882)*(ROW(U$2:U$1073)&lt;&gt;ROW(U882))*(U$2:U$1073&lt;&gt;""))),"")</f>
        <v>-1.7867758371684923</v>
      </c>
    </row>
    <row r="883" spans="1:27" x14ac:dyDescent="0.2">
      <c r="A883" s="7" t="s">
        <v>2287</v>
      </c>
      <c r="B883" t="str">
        <f t="shared" si="145"/>
        <v>YDEX IV кв. 2024</v>
      </c>
      <c r="C883">
        <v>2024</v>
      </c>
      <c r="D883">
        <f>SUMIFS(Дивиденды!$C:$C,Дивиденды!$A:$A,A883,Дивиденды!$I:$I,C883)</f>
        <v>160</v>
      </c>
      <c r="E883">
        <v>5</v>
      </c>
      <c r="F883">
        <f t="shared" si="146"/>
        <v>160</v>
      </c>
      <c r="G883">
        <f t="shared" si="147"/>
        <v>102.89999999999999</v>
      </c>
      <c r="H883">
        <f t="shared" si="148"/>
        <v>1</v>
      </c>
      <c r="I883">
        <f t="shared" si="155"/>
        <v>0.44444444444444442</v>
      </c>
      <c r="J883">
        <f t="shared" si="149"/>
        <v>1</v>
      </c>
      <c r="K883">
        <f t="shared" si="153"/>
        <v>0.22563872031168053</v>
      </c>
      <c r="L883">
        <f t="shared" si="150"/>
        <v>1</v>
      </c>
      <c r="M883">
        <f t="shared" si="154"/>
        <v>0.33333333333333331</v>
      </c>
      <c r="N883">
        <f t="shared" si="151"/>
        <v>0</v>
      </c>
      <c r="O883">
        <f t="shared" si="152"/>
        <v>0.1111111111111111</v>
      </c>
      <c r="P883">
        <f>IFERROR(LN('Дивиденды по годам'!I883),"")</f>
        <v>27.725137856594877</v>
      </c>
      <c r="Q883">
        <f>IFERROR('Дивиденды по годам'!G883/'Дивиденды по годам'!I883, "")</f>
        <v>0.20943798421389875</v>
      </c>
      <c r="R883" t="str">
        <f>IFERROR(IF(AND('Дивиденды по годам'!N883&lt;&gt;"",'Дивиденды по годам'!U883&lt;&gt;"",'Дивиденды по годам'!U883&lt;&gt;0),'Дивиденды по годам'!N883/'Дивиденды по годам'!U883-1,""),"")</f>
        <v/>
      </c>
      <c r="S883">
        <f>IFERROR(IF(AND('Дивиденды по годам'!L883&lt;&gt;"",'Дивиденды по годам'!I883&lt;&gt;"",'Дивиденды по годам'!J883&lt;&gt;"",'Дивиденды по годам'!K883&lt;&gt;"",('Дивиденды по годам'!I883-'Дивиденды по годам'!J883-'Дивиденды по годам'!K883)&lt;&gt;0),'Дивиденды по годам'!L883/('Дивиденды по годам'!I883-'Дивиденды по годам'!J883-'Дивиденды по годам'!K883),""),"")</f>
        <v>0.81572650503579003</v>
      </c>
      <c r="T883" t="str">
        <f>IFERROR(IF(AND('Дивиденды по годам'!Q883&lt;&gt;"",'Дивиденды по годам'!I883&lt;&gt;"",'Дивиденды по годам'!V883&lt;&gt;"",('Дивиденды по годам'!I883+'Дивиденды по годам'!V883)&lt;&gt;0),'Дивиденды по годам'!Q883/(('Дивиденды по годам'!I883+'Дивиденды по годам'!V883)/2),""),"")</f>
        <v/>
      </c>
      <c r="U883">
        <f>IFERROR(IF(AND('Дивиденды по годам'!J883&lt;&gt;"",'Дивиденды по годам'!K883&lt;&gt;"",'Дивиденды по годам'!M883&lt;&gt;"",'Дивиденды по годам'!M883&lt;&gt;0),('Дивиденды по годам'!J883+'Дивиденды по годам'!K883)/'Дивиденды по годам'!M883,""),"")</f>
        <v>2.7396161295043857</v>
      </c>
      <c r="V883" cm="1">
        <f t="array" ref="V883">IFERROR(AVERAGE(_xlfn._xlws.FILTER(P$2:P$1073,($C$2:$C$1073=$C883)*($E$2:$E$1073=$E883)*(ROW(P$2:P$1073)&lt;&gt;ROW(P883))*(P$2:P$1073&lt;&gt;""))),"")</f>
        <v>24.234393823946967</v>
      </c>
      <c r="W883" cm="1">
        <f t="array" ref="W883">IFERROR(AVERAGE(_xlfn._xlws.FILTER(Q$2:Q$1073,($C$2:$C$1073=$C883)*($E$2:$E$1073=$E883)*(ROW(Q$2:Q$1073)&lt;&gt;ROW(Q883))*(Q$2:Q$1073&lt;&gt;""))),"")</f>
        <v>5.6695929905440257E-2</v>
      </c>
      <c r="X883" cm="1">
        <f t="array" ref="X883">IFERROR(AVERAGE(_xlfn._xlws.FILTER(R$2:R$1073,($C$2:$C$1073=$C883)*($E$2:$E$1073=$E883)*(ROW(R$2:R$1073)&lt;&gt;ROW(R883))*(R$2:R$1073&lt;&gt;""))),"")</f>
        <v>0.30210376364493607</v>
      </c>
      <c r="Y883" cm="1">
        <f t="array" ref="Y883">IFERROR(AVERAGE(_xlfn._xlws.FILTER(S$2:S$1073,($C$2:$C$1073=$C883)*($E$2:$E$1073=$E883)*(ROW(S$2:S$1073)&lt;&gt;ROW(S883))*(S$2:S$1073&lt;&gt;""))),"")</f>
        <v>0.18093081212791834</v>
      </c>
      <c r="Z883" cm="1">
        <f t="array" ref="Z883">IFERROR(AVERAGE(_xlfn._xlws.FILTER(T$2:T$1073,($C$2:$C$1073=$C883)*($E$2:$E$1073=$E883)*(ROW(T$2:T$1073)&lt;&gt;ROW(T883))*(T$2:T$1073&lt;&gt;""))),"")</f>
        <v>0.24769292645285018</v>
      </c>
      <c r="AA883" cm="1">
        <f t="array" ref="AA883">IFERROR(AVERAGE(_xlfn._xlws.FILTER(U$2:U$1073,($C$2:$C$1073=$C883)*($E$2:$E$1073=$E883)*(ROW(U$2:U$1073)&lt;&gt;ROW(U883))*(U$2:U$1073&lt;&gt;""))),"")</f>
        <v>2.6754532445702988</v>
      </c>
    </row>
    <row r="884" spans="1:27" x14ac:dyDescent="0.2">
      <c r="A884" s="7" t="s">
        <v>2287</v>
      </c>
      <c r="B884" t="str">
        <f t="shared" si="145"/>
        <v>YDEX IV кв. 2023</v>
      </c>
      <c r="C884">
        <v>2023</v>
      </c>
      <c r="D884">
        <f>SUMIFS(Дивиденды!$C:$C,Дивиденды!$A:$A,A884,Дивиденды!$I:$I,C884)</f>
        <v>0</v>
      </c>
      <c r="E884">
        <v>5</v>
      </c>
      <c r="F884">
        <f t="shared" si="146"/>
        <v>0</v>
      </c>
      <c r="G884">
        <f t="shared" si="147"/>
        <v>16.477777777777778</v>
      </c>
      <c r="H884">
        <f t="shared" si="148"/>
        <v>0</v>
      </c>
      <c r="I884">
        <f t="shared" si="155"/>
        <v>0.1111111111111111</v>
      </c>
      <c r="J884">
        <f t="shared" si="149"/>
        <v>0</v>
      </c>
      <c r="K884">
        <f t="shared" si="153"/>
        <v>0.31688311688311693</v>
      </c>
      <c r="L884">
        <f t="shared" si="150"/>
        <v>0</v>
      </c>
      <c r="M884">
        <f t="shared" si="154"/>
        <v>0.1111111111111111</v>
      </c>
      <c r="N884">
        <f t="shared" si="151"/>
        <v>0</v>
      </c>
      <c r="O884">
        <f t="shared" si="152"/>
        <v>0</v>
      </c>
      <c r="P884" t="str">
        <f>IFERROR(LN('Дивиденды по годам'!I884),"")</f>
        <v/>
      </c>
      <c r="Q884" t="str">
        <f>IFERROR('Дивиденды по годам'!G884/'Дивиденды по годам'!I884, "")</f>
        <v/>
      </c>
      <c r="R884" t="str">
        <f>IFERROR(IF(AND('Дивиденды по годам'!N884&lt;&gt;"",'Дивиденды по годам'!U884&lt;&gt;"",'Дивиденды по годам'!U884&lt;&gt;0),'Дивиденды по годам'!N884/'Дивиденды по годам'!U884-1,""),"")</f>
        <v/>
      </c>
      <c r="S884" t="str">
        <f>IFERROR(IF(AND('Дивиденды по годам'!L884&lt;&gt;"",'Дивиденды по годам'!I884&lt;&gt;"",'Дивиденды по годам'!J884&lt;&gt;"",'Дивиденды по годам'!K884&lt;&gt;"",('Дивиденды по годам'!I884-'Дивиденды по годам'!J884-'Дивиденды по годам'!K884)&lt;&gt;0),'Дивиденды по годам'!L884/('Дивиденды по годам'!I884-'Дивиденды по годам'!J884-'Дивиденды по годам'!K884),""),"")</f>
        <v/>
      </c>
      <c r="T884" t="str">
        <f>IFERROR(IF(AND('Дивиденды по годам'!Q884&lt;&gt;"",'Дивиденды по годам'!I884&lt;&gt;"",'Дивиденды по годам'!V884&lt;&gt;"",('Дивиденды по годам'!I884+'Дивиденды по годам'!V884)&lt;&gt;0),'Дивиденды по годам'!Q884/(('Дивиденды по годам'!I884+'Дивиденды по годам'!V884)/2),""),"")</f>
        <v/>
      </c>
      <c r="U884" t="str">
        <f>IFERROR(IF(AND('Дивиденды по годам'!J884&lt;&gt;"",'Дивиденды по годам'!K884&lt;&gt;"",'Дивиденды по годам'!M884&lt;&gt;"",'Дивиденды по годам'!M884&lt;&gt;0),('Дивиденды по годам'!J884+'Дивиденды по годам'!K884)/'Дивиденды по годам'!M884,""),"")</f>
        <v/>
      </c>
      <c r="V884" cm="1">
        <f t="array" ref="V884">IFERROR(AVERAGE(_xlfn._xlws.FILTER(P$2:P$1073,($C$2:$C$1073=$C884)*($E$2:$E$1073=$E884)*(ROW(P$2:P$1073)&lt;&gt;ROW(P884))*(P$2:P$1073&lt;&gt;""))),"")</f>
        <v>24.053189256260914</v>
      </c>
      <c r="W884" cm="1">
        <f t="array" ref="W884">IFERROR(AVERAGE(_xlfn._xlws.FILTER(Q$2:Q$1073,($C$2:$C$1073=$C884)*($E$2:$E$1073=$E884)*(ROW(Q$2:Q$1073)&lt;&gt;ROW(Q884))*(Q$2:Q$1073&lt;&gt;""))),"")</f>
        <v>4.2305561504206342E-2</v>
      </c>
      <c r="X884" cm="1">
        <f t="array" ref="X884">IFERROR(AVERAGE(_xlfn._xlws.FILTER(R$2:R$1073,($C$2:$C$1073=$C884)*($E$2:$E$1073=$E884)*(ROW(R$2:R$1073)&lt;&gt;ROW(R884))*(R$2:R$1073&lt;&gt;""))),"")</f>
        <v>0.51000246586809928</v>
      </c>
      <c r="Y884" cm="1">
        <f t="array" ref="Y884">IFERROR(AVERAGE(_xlfn._xlws.FILTER(S$2:S$1073,($C$2:$C$1073=$C884)*($E$2:$E$1073=$E884)*(ROW(S$2:S$1073)&lt;&gt;ROW(S884))*(S$2:S$1073&lt;&gt;""))),"")</f>
        <v>0.68238439940553408</v>
      </c>
      <c r="Z884" cm="1">
        <f t="array" ref="Z884">IFERROR(AVERAGE(_xlfn._xlws.FILTER(T$2:T$1073,($C$2:$C$1073=$C884)*($E$2:$E$1073=$E884)*(ROW(T$2:T$1073)&lt;&gt;ROW(T884))*(T$2:T$1073&lt;&gt;""))),"")</f>
        <v>0.19460130713388882</v>
      </c>
      <c r="AA884" cm="1">
        <f t="array" ref="AA884">IFERROR(AVERAGE(_xlfn._xlws.FILTER(U$2:U$1073,($C$2:$C$1073=$C884)*($E$2:$E$1073=$E884)*(ROW(U$2:U$1073)&lt;&gt;ROW(U884))*(U$2:U$1073&lt;&gt;""))),"")</f>
        <v>2.0818262623637938</v>
      </c>
    </row>
    <row r="885" spans="1:27" x14ac:dyDescent="0.2">
      <c r="A885" s="7" t="s">
        <v>2287</v>
      </c>
      <c r="B885" t="str">
        <f t="shared" si="145"/>
        <v>YDEX IV кв. 2022</v>
      </c>
      <c r="C885">
        <v>2022</v>
      </c>
      <c r="D885">
        <f>SUMIFS(Дивиденды!$C:$C,Дивиденды!$A:$A,A885,Дивиденды!$I:$I,C885)</f>
        <v>0</v>
      </c>
      <c r="E885">
        <v>5</v>
      </c>
      <c r="F885">
        <f t="shared" si="146"/>
        <v>0</v>
      </c>
      <c r="G885">
        <f t="shared" si="147"/>
        <v>4.2777777777777777</v>
      </c>
      <c r="H885">
        <f t="shared" si="148"/>
        <v>0</v>
      </c>
      <c r="I885">
        <f t="shared" si="155"/>
        <v>0.1111111111111111</v>
      </c>
      <c r="J885">
        <f t="shared" si="149"/>
        <v>0</v>
      </c>
      <c r="K885">
        <f t="shared" si="153"/>
        <v>0.1111111111111111</v>
      </c>
      <c r="L885">
        <f t="shared" si="150"/>
        <v>0</v>
      </c>
      <c r="M885">
        <f t="shared" si="154"/>
        <v>0.1111111111111111</v>
      </c>
      <c r="N885">
        <f t="shared" si="151"/>
        <v>0</v>
      </c>
      <c r="O885">
        <f t="shared" si="152"/>
        <v>0</v>
      </c>
      <c r="P885" t="str">
        <f>IFERROR(LN('Дивиденды по годам'!I885),"")</f>
        <v/>
      </c>
      <c r="Q885" t="str">
        <f>IFERROR('Дивиденды по годам'!G885/'Дивиденды по годам'!I885, "")</f>
        <v/>
      </c>
      <c r="R885" t="str">
        <f>IFERROR(IF(AND('Дивиденды по годам'!N885&lt;&gt;"",'Дивиденды по годам'!U885&lt;&gt;"",'Дивиденды по годам'!U885&lt;&gt;0),'Дивиденды по годам'!N885/'Дивиденды по годам'!U885-1,""),"")</f>
        <v/>
      </c>
      <c r="S885" t="str">
        <f>IFERROR(IF(AND('Дивиденды по годам'!L885&lt;&gt;"",'Дивиденды по годам'!I885&lt;&gt;"",'Дивиденды по годам'!J885&lt;&gt;"",'Дивиденды по годам'!K885&lt;&gt;"",('Дивиденды по годам'!I885-'Дивиденды по годам'!J885-'Дивиденды по годам'!K885)&lt;&gt;0),'Дивиденды по годам'!L885/('Дивиденды по годам'!I885-'Дивиденды по годам'!J885-'Дивиденды по годам'!K885),""),"")</f>
        <v/>
      </c>
      <c r="T885" t="str">
        <f>IFERROR(IF(AND('Дивиденды по годам'!Q885&lt;&gt;"",'Дивиденды по годам'!I885&lt;&gt;"",'Дивиденды по годам'!V885&lt;&gt;"",('Дивиденды по годам'!I885+'Дивиденды по годам'!V885)&lt;&gt;0),'Дивиденды по годам'!Q885/(('Дивиденды по годам'!I885+'Дивиденды по годам'!V885)/2),""),"")</f>
        <v/>
      </c>
      <c r="U885" t="str">
        <f>IFERROR(IF(AND('Дивиденды по годам'!J885&lt;&gt;"",'Дивиденды по годам'!K885&lt;&gt;"",'Дивиденды по годам'!M885&lt;&gt;"",'Дивиденды по годам'!M885&lt;&gt;0),('Дивиденды по годам'!J885+'Дивиденды по годам'!K885)/'Дивиденды по годам'!M885,""),"")</f>
        <v/>
      </c>
      <c r="V885" cm="1">
        <f t="array" ref="V885">IFERROR(AVERAGE(_xlfn._xlws.FILTER(P$2:P$1073,($C$2:$C$1073=$C885)*($E$2:$E$1073=$E885)*(ROW(P$2:P$1073)&lt;&gt;ROW(P885))*(P$2:P$1073&lt;&gt;""))),"")</f>
        <v>24.314048251831842</v>
      </c>
      <c r="W885" cm="1">
        <f t="array" ref="W885">IFERROR(AVERAGE(_xlfn._xlws.FILTER(Q$2:Q$1073,($C$2:$C$1073=$C885)*($E$2:$E$1073=$E885)*(ROW(Q$2:Q$1073)&lt;&gt;ROW(Q885))*(Q$2:Q$1073&lt;&gt;""))),"")</f>
        <v>5.676674770458788E-2</v>
      </c>
      <c r="X885" cm="1">
        <f t="array" ref="X885">IFERROR(AVERAGE(_xlfn._xlws.FILTER(R$2:R$1073,($C$2:$C$1073=$C885)*($E$2:$E$1073=$E885)*(ROW(R$2:R$1073)&lt;&gt;ROW(R885))*(R$2:R$1073&lt;&gt;""))),"")</f>
        <v>0.76359932885509174</v>
      </c>
      <c r="Y885" cm="1">
        <f t="array" ref="Y885">IFERROR(AVERAGE(_xlfn._xlws.FILTER(S$2:S$1073,($C$2:$C$1073=$C885)*($E$2:$E$1073=$E885)*(ROW(S$2:S$1073)&lt;&gt;ROW(S885))*(S$2:S$1073&lt;&gt;""))),"")</f>
        <v>0.79975694618495274</v>
      </c>
      <c r="Z885" cm="1">
        <f t="array" ref="Z885">IFERROR(AVERAGE(_xlfn._xlws.FILTER(T$2:T$1073,($C$2:$C$1073=$C885)*($E$2:$E$1073=$E885)*(ROW(T$2:T$1073)&lt;&gt;ROW(T885))*(T$2:T$1073&lt;&gt;""))),"")</f>
        <v>0.45424211382955332</v>
      </c>
      <c r="AA885" cm="1">
        <f t="array" ref="AA885">IFERROR(AVERAGE(_xlfn._xlws.FILTER(U$2:U$1073,($C$2:$C$1073=$C885)*($E$2:$E$1073=$E885)*(ROW(U$2:U$1073)&lt;&gt;ROW(U885))*(U$2:U$1073&lt;&gt;""))),"")</f>
        <v>2.2504855284750676</v>
      </c>
    </row>
    <row r="886" spans="1:27" x14ac:dyDescent="0.2">
      <c r="A886" s="7" t="s">
        <v>2287</v>
      </c>
      <c r="B886" t="str">
        <f t="shared" si="145"/>
        <v>YDEX IV кв. 2021</v>
      </c>
      <c r="C886">
        <v>2021</v>
      </c>
      <c r="D886">
        <f>SUMIFS(Дивиденды!$C:$C,Дивиденды!$A:$A,A886,Дивиденды!$I:$I,C886)</f>
        <v>0</v>
      </c>
      <c r="E886">
        <v>5</v>
      </c>
      <c r="F886">
        <f t="shared" si="146"/>
        <v>0</v>
      </c>
      <c r="G886">
        <f t="shared" si="147"/>
        <v>0</v>
      </c>
      <c r="H886">
        <f t="shared" si="148"/>
        <v>0</v>
      </c>
      <c r="I886">
        <f t="shared" si="155"/>
        <v>0</v>
      </c>
      <c r="J886">
        <f t="shared" si="149"/>
        <v>0</v>
      </c>
      <c r="K886">
        <f t="shared" si="153"/>
        <v>0</v>
      </c>
      <c r="L886">
        <f t="shared" si="150"/>
        <v>0</v>
      </c>
      <c r="M886">
        <f t="shared" si="154"/>
        <v>0</v>
      </c>
      <c r="N886">
        <f t="shared" si="151"/>
        <v>0</v>
      </c>
      <c r="O886">
        <f t="shared" si="152"/>
        <v>0</v>
      </c>
      <c r="P886" t="str">
        <f>IFERROR(LN('Дивиденды по годам'!I886),"")</f>
        <v/>
      </c>
      <c r="Q886" t="str">
        <f>IFERROR('Дивиденды по годам'!G886/'Дивиденды по годам'!I886, "")</f>
        <v/>
      </c>
      <c r="R886" t="str">
        <f>IFERROR(IF(AND('Дивиденды по годам'!N886&lt;&gt;"",'Дивиденды по годам'!U886&lt;&gt;"",'Дивиденды по годам'!U886&lt;&gt;0),'Дивиденды по годам'!N886/'Дивиденды по годам'!U886-1,""),"")</f>
        <v/>
      </c>
      <c r="S886" t="str">
        <f>IFERROR(IF(AND('Дивиденды по годам'!L886&lt;&gt;"",'Дивиденды по годам'!I886&lt;&gt;"",'Дивиденды по годам'!J886&lt;&gt;"",'Дивиденды по годам'!K886&lt;&gt;"",('Дивиденды по годам'!I886-'Дивиденды по годам'!J886-'Дивиденды по годам'!K886)&lt;&gt;0),'Дивиденды по годам'!L886/('Дивиденды по годам'!I886-'Дивиденды по годам'!J886-'Дивиденды по годам'!K886),""),"")</f>
        <v/>
      </c>
      <c r="T886" t="str">
        <f>IFERROR(IF(AND('Дивиденды по годам'!Q886&lt;&gt;"",'Дивиденды по годам'!I886&lt;&gt;"",'Дивиденды по годам'!V886&lt;&gt;"",('Дивиденды по годам'!I886+'Дивиденды по годам'!V886)&lt;&gt;0),'Дивиденды по годам'!Q886/(('Дивиденды по годам'!I886+'Дивиденды по годам'!V886)/2),""),"")</f>
        <v/>
      </c>
      <c r="U886" t="str">
        <f>IFERROR(IF(AND('Дивиденды по годам'!J886&lt;&gt;"",'Дивиденды по годам'!K886&lt;&gt;"",'Дивиденды по годам'!M886&lt;&gt;"",'Дивиденды по годам'!M886&lt;&gt;0),('Дивиденды по годам'!J886+'Дивиденды по годам'!K886)/'Дивиденды по годам'!M886,""),"")</f>
        <v/>
      </c>
      <c r="V886" cm="1">
        <f t="array" ref="V886">IFERROR(AVERAGE(_xlfn._xlws.FILTER(P$2:P$1073,($C$2:$C$1073=$C886)*($E$2:$E$1073=$E886)*(ROW(P$2:P$1073)&lt;&gt;ROW(P886))*(P$2:P$1073&lt;&gt;""))),"")</f>
        <v>22.898661389674704</v>
      </c>
      <c r="W886" cm="1">
        <f t="array" ref="W886">IFERROR(AVERAGE(_xlfn._xlws.FILTER(Q$2:Q$1073,($C$2:$C$1073=$C886)*($E$2:$E$1073=$E886)*(ROW(Q$2:Q$1073)&lt;&gt;ROW(Q886))*(Q$2:Q$1073&lt;&gt;""))),"")</f>
        <v>3.9787618039471354E-2</v>
      </c>
      <c r="X886" cm="1">
        <f t="array" ref="X886">IFERROR(AVERAGE(_xlfn._xlws.FILTER(R$2:R$1073,($C$2:$C$1073=$C886)*($E$2:$E$1073=$E886)*(ROW(R$2:R$1073)&lt;&gt;ROW(R886))*(R$2:R$1073&lt;&gt;""))),"")</f>
        <v>0.11948949117953805</v>
      </c>
      <c r="Y886" cm="1">
        <f t="array" ref="Y886">IFERROR(AVERAGE(_xlfn._xlws.FILTER(S$2:S$1073,($C$2:$C$1073=$C886)*($E$2:$E$1073=$E886)*(ROW(S$2:S$1073)&lt;&gt;ROW(S886))*(S$2:S$1073&lt;&gt;""))),"")</f>
        <v>0.6223989622093683</v>
      </c>
      <c r="Z886" cm="1">
        <f t="array" ref="Z886">IFERROR(AVERAGE(_xlfn._xlws.FILTER(T$2:T$1073,($C$2:$C$1073=$C886)*($E$2:$E$1073=$E886)*(ROW(T$2:T$1073)&lt;&gt;ROW(T886))*(T$2:T$1073&lt;&gt;""))),"")</f>
        <v>0.13483969312290014</v>
      </c>
      <c r="AA886" cm="1">
        <f t="array" ref="AA886">IFERROR(AVERAGE(_xlfn._xlws.FILTER(U$2:U$1073,($C$2:$C$1073=$C886)*($E$2:$E$1073=$E886)*(ROW(U$2:U$1073)&lt;&gt;ROW(U886))*(U$2:U$1073&lt;&gt;""))),"")</f>
        <v>12.032255744832293</v>
      </c>
    </row>
    <row r="887" spans="1:27" x14ac:dyDescent="0.2">
      <c r="A887" s="7" t="s">
        <v>2287</v>
      </c>
      <c r="B887" t="str">
        <f t="shared" si="145"/>
        <v>YDEX IV кв. 2020</v>
      </c>
      <c r="C887">
        <v>2020</v>
      </c>
      <c r="D887">
        <f>SUMIFS(Дивиденды!$C:$C,Дивиденды!$A:$A,A887,Дивиденды!$I:$I,C887)</f>
        <v>0</v>
      </c>
      <c r="E887">
        <v>5</v>
      </c>
      <c r="F887">
        <f t="shared" si="146"/>
        <v>0</v>
      </c>
      <c r="G887">
        <f t="shared" si="147"/>
        <v>0</v>
      </c>
      <c r="H887">
        <f t="shared" si="148"/>
        <v>0</v>
      </c>
      <c r="I887">
        <f t="shared" si="155"/>
        <v>0</v>
      </c>
      <c r="J887">
        <f t="shared" si="149"/>
        <v>0</v>
      </c>
      <c r="K887">
        <f t="shared" si="153"/>
        <v>0</v>
      </c>
      <c r="L887">
        <f t="shared" si="150"/>
        <v>0</v>
      </c>
      <c r="M887">
        <f t="shared" si="154"/>
        <v>0</v>
      </c>
      <c r="N887">
        <f t="shared" si="151"/>
        <v>0</v>
      </c>
      <c r="O887">
        <f t="shared" si="152"/>
        <v>0</v>
      </c>
      <c r="P887" t="str">
        <f>IFERROR(LN('Дивиденды по годам'!I887),"")</f>
        <v/>
      </c>
      <c r="Q887" t="str">
        <f>IFERROR('Дивиденды по годам'!G887/'Дивиденды по годам'!I887, "")</f>
        <v/>
      </c>
      <c r="R887" t="str">
        <f>IFERROR(IF(AND('Дивиденды по годам'!N887&lt;&gt;"",'Дивиденды по годам'!U887&lt;&gt;"",'Дивиденды по годам'!U887&lt;&gt;0),'Дивиденды по годам'!N887/'Дивиденды по годам'!U887-1,""),"")</f>
        <v/>
      </c>
      <c r="S887" t="str">
        <f>IFERROR(IF(AND('Дивиденды по годам'!L887&lt;&gt;"",'Дивиденды по годам'!I887&lt;&gt;"",'Дивиденды по годам'!J887&lt;&gt;"",'Дивиденды по годам'!K887&lt;&gt;"",('Дивиденды по годам'!I887-'Дивиденды по годам'!J887-'Дивиденды по годам'!K887)&lt;&gt;0),'Дивиденды по годам'!L887/('Дивиденды по годам'!I887-'Дивиденды по годам'!J887-'Дивиденды по годам'!K887),""),"")</f>
        <v/>
      </c>
      <c r="T887" t="str">
        <f>IFERROR(IF(AND('Дивиденды по годам'!Q887&lt;&gt;"",'Дивиденды по годам'!I887&lt;&gt;"",'Дивиденды по годам'!V887&lt;&gt;"",('Дивиденды по годам'!I887+'Дивиденды по годам'!V887)&lt;&gt;0),'Дивиденды по годам'!Q887/(('Дивиденды по годам'!I887+'Дивиденды по годам'!V887)/2),""),"")</f>
        <v/>
      </c>
      <c r="U887" t="str">
        <f>IFERROR(IF(AND('Дивиденды по годам'!J887&lt;&gt;"",'Дивиденды по годам'!K887&lt;&gt;"",'Дивиденды по годам'!M887&lt;&gt;"",'Дивиденды по годам'!M887&lt;&gt;0),('Дивиденды по годам'!J887+'Дивиденды по годам'!K887)/'Дивиденды по годам'!M887,""),"")</f>
        <v/>
      </c>
      <c r="V887" cm="1">
        <f t="array" ref="V887">IFERROR(AVERAGE(_xlfn._xlws.FILTER(P$2:P$1073,($C$2:$C$1073=$C887)*($E$2:$E$1073=$E887)*(ROW(P$2:P$1073)&lt;&gt;ROW(P887))*(P$2:P$1073&lt;&gt;""))),"")</f>
        <v>23.399390394292269</v>
      </c>
      <c r="W887" cm="1">
        <f t="array" ref="W887">IFERROR(AVERAGE(_xlfn._xlws.FILTER(Q$2:Q$1073,($C$2:$C$1073=$C887)*($E$2:$E$1073=$E887)*(ROW(Q$2:Q$1073)&lt;&gt;ROW(Q887))*(Q$2:Q$1073&lt;&gt;""))),"")</f>
        <v>3.3954846784790244E-2</v>
      </c>
      <c r="X887" cm="1">
        <f t="array" ref="X887">IFERROR(AVERAGE(_xlfn._xlws.FILTER(R$2:R$1073,($C$2:$C$1073=$C887)*($E$2:$E$1073=$E887)*(ROW(R$2:R$1073)&lt;&gt;ROW(R887))*(R$2:R$1073&lt;&gt;""))),"")</f>
        <v>0.60261811450317082</v>
      </c>
      <c r="Y887" cm="1">
        <f t="array" ref="Y887">IFERROR(AVERAGE(_xlfn._xlws.FILTER(S$2:S$1073,($C$2:$C$1073=$C887)*($E$2:$E$1073=$E887)*(ROW(S$2:S$1073)&lt;&gt;ROW(S887))*(S$2:S$1073&lt;&gt;""))),"")</f>
        <v>0.8757408540128081</v>
      </c>
      <c r="Z887" cm="1">
        <f t="array" ref="Z887">IFERROR(AVERAGE(_xlfn._xlws.FILTER(T$2:T$1073,($C$2:$C$1073=$C887)*($E$2:$E$1073=$E887)*(ROW(T$2:T$1073)&lt;&gt;ROW(T887))*(T$2:T$1073&lt;&gt;""))),"")</f>
        <v>0.26070423168654877</v>
      </c>
      <c r="AA887" cm="1">
        <f t="array" ref="AA887">IFERROR(AVERAGE(_xlfn._xlws.FILTER(U$2:U$1073,($C$2:$C$1073=$C887)*($E$2:$E$1073=$E887)*(ROW(U$2:U$1073)&lt;&gt;ROW(U887))*(U$2:U$1073&lt;&gt;""))),"")</f>
        <v>3.9797585422227604</v>
      </c>
    </row>
    <row r="888" spans="1:27" x14ac:dyDescent="0.2">
      <c r="A888" s="7" t="s">
        <v>2287</v>
      </c>
      <c r="B888" t="str">
        <f t="shared" si="145"/>
        <v>YDEX IV кв. 2019</v>
      </c>
      <c r="C888">
        <v>2019</v>
      </c>
      <c r="D888">
        <f>SUMIFS(Дивиденды!$C:$C,Дивиденды!$A:$A,A888,Дивиденды!$I:$I,C888)</f>
        <v>0</v>
      </c>
      <c r="E888">
        <v>5</v>
      </c>
      <c r="F888">
        <f t="shared" si="146"/>
        <v>0</v>
      </c>
      <c r="G888">
        <f t="shared" si="147"/>
        <v>0</v>
      </c>
      <c r="H888">
        <f t="shared" si="148"/>
        <v>0</v>
      </c>
      <c r="I888">
        <f t="shared" si="155"/>
        <v>0</v>
      </c>
      <c r="J888">
        <f t="shared" si="149"/>
        <v>0</v>
      </c>
      <c r="K888">
        <f t="shared" si="153"/>
        <v>0</v>
      </c>
      <c r="L888">
        <f t="shared" si="150"/>
        <v>0</v>
      </c>
      <c r="M888">
        <f t="shared" si="154"/>
        <v>0</v>
      </c>
      <c r="N888">
        <f t="shared" si="151"/>
        <v>0</v>
      </c>
      <c r="O888">
        <f t="shared" si="152"/>
        <v>0</v>
      </c>
      <c r="P888" t="str">
        <f>IFERROR(LN('Дивиденды по годам'!I888),"")</f>
        <v/>
      </c>
      <c r="Q888" t="str">
        <f>IFERROR('Дивиденды по годам'!G888/'Дивиденды по годам'!I888, "")</f>
        <v/>
      </c>
      <c r="R888" t="str">
        <f>IFERROR(IF(AND('Дивиденды по годам'!N888&lt;&gt;"",'Дивиденды по годам'!U888&lt;&gt;"",'Дивиденды по годам'!U888&lt;&gt;0),'Дивиденды по годам'!N888/'Дивиденды по годам'!U888-1,""),"")</f>
        <v/>
      </c>
      <c r="S888" t="str">
        <f>IFERROR(IF(AND('Дивиденды по годам'!L888&lt;&gt;"",'Дивиденды по годам'!I888&lt;&gt;"",'Дивиденды по годам'!J888&lt;&gt;"",'Дивиденды по годам'!K888&lt;&gt;"",('Дивиденды по годам'!I888-'Дивиденды по годам'!J888-'Дивиденды по годам'!K888)&lt;&gt;0),'Дивиденды по годам'!L888/('Дивиденды по годам'!I888-'Дивиденды по годам'!J888-'Дивиденды по годам'!K888),""),"")</f>
        <v/>
      </c>
      <c r="T888" t="str">
        <f>IFERROR(IF(AND('Дивиденды по годам'!Q888&lt;&gt;"",'Дивиденды по годам'!I888&lt;&gt;"",'Дивиденды по годам'!V888&lt;&gt;"",('Дивиденды по годам'!I888+'Дивиденды по годам'!V888)&lt;&gt;0),'Дивиденды по годам'!Q888/(('Дивиденды по годам'!I888+'Дивиденды по годам'!V888)/2),""),"")</f>
        <v/>
      </c>
      <c r="U888" t="str">
        <f>IFERROR(IF(AND('Дивиденды по годам'!J888&lt;&gt;"",'Дивиденды по годам'!K888&lt;&gt;"",'Дивиденды по годам'!M888&lt;&gt;"",'Дивиденды по годам'!M888&lt;&gt;0),('Дивиденды по годам'!J888+'Дивиденды по годам'!K888)/'Дивиденды по годам'!M888,""),"")</f>
        <v/>
      </c>
      <c r="V888" cm="1">
        <f t="array" ref="V888">IFERROR(AVERAGE(_xlfn._xlws.FILTER(P$2:P$1073,($C$2:$C$1073=$C888)*($E$2:$E$1073=$E888)*(ROW(P$2:P$1073)&lt;&gt;ROW(P888))*(P$2:P$1073&lt;&gt;""))),"")</f>
        <v>22.346825762693463</v>
      </c>
      <c r="W888" cm="1">
        <f t="array" ref="W888">IFERROR(AVERAGE(_xlfn._xlws.FILTER(Q$2:Q$1073,($C$2:$C$1073=$C888)*($E$2:$E$1073=$E888)*(ROW(Q$2:Q$1073)&lt;&gt;ROW(Q888))*(Q$2:Q$1073&lt;&gt;""))),"")</f>
        <v>7.5056136613850494E-2</v>
      </c>
      <c r="X888" cm="1">
        <f t="array" ref="X888">IFERROR(AVERAGE(_xlfn._xlws.FILTER(R$2:R$1073,($C$2:$C$1073=$C888)*($E$2:$E$1073=$E888)*(ROW(R$2:R$1073)&lt;&gt;ROW(R888))*(R$2:R$1073&lt;&gt;""))),"")</f>
        <v>0.33893563509351354</v>
      </c>
      <c r="Y888" cm="1">
        <f t="array" ref="Y888">IFERROR(AVERAGE(_xlfn._xlws.FILTER(S$2:S$1073,($C$2:$C$1073=$C888)*($E$2:$E$1073=$E888)*(ROW(S$2:S$1073)&lt;&gt;ROW(S888))*(S$2:S$1073&lt;&gt;""))),"")</f>
        <v>0.96665544321096464</v>
      </c>
      <c r="Z888" cm="1">
        <f t="array" ref="Z888">IFERROR(AVERAGE(_xlfn._xlws.FILTER(T$2:T$1073,($C$2:$C$1073=$C888)*($E$2:$E$1073=$E888)*(ROW(T$2:T$1073)&lt;&gt;ROW(T888))*(T$2:T$1073&lt;&gt;""))),"")</f>
        <v>3.4488878181792075E-2</v>
      </c>
      <c r="AA888" cm="1">
        <f t="array" ref="AA888">IFERROR(AVERAGE(_xlfn._xlws.FILTER(U$2:U$1073,($C$2:$C$1073=$C888)*($E$2:$E$1073=$E888)*(ROW(U$2:U$1073)&lt;&gt;ROW(U888))*(U$2:U$1073&lt;&gt;""))),"")</f>
        <v>4.0219461472187286</v>
      </c>
    </row>
    <row r="889" spans="1:27" x14ac:dyDescent="0.2">
      <c r="A889" s="7" t="s">
        <v>2287</v>
      </c>
      <c r="B889" t="str">
        <f t="shared" si="145"/>
        <v>YDEX IV кв. 2018</v>
      </c>
      <c r="C889">
        <v>2018</v>
      </c>
      <c r="D889">
        <f>SUMIFS(Дивиденды!$C:$C,Дивиденды!$A:$A,A889,Дивиденды!$I:$I,C889)</f>
        <v>0</v>
      </c>
      <c r="E889">
        <v>5</v>
      </c>
      <c r="F889">
        <f t="shared" si="146"/>
        <v>0</v>
      </c>
      <c r="G889">
        <f t="shared" si="147"/>
        <v>0</v>
      </c>
      <c r="H889">
        <f t="shared" si="148"/>
        <v>0</v>
      </c>
      <c r="I889">
        <f t="shared" si="155"/>
        <v>0</v>
      </c>
      <c r="J889">
        <f t="shared" si="149"/>
        <v>0</v>
      </c>
      <c r="K889">
        <f t="shared" si="153"/>
        <v>0</v>
      </c>
      <c r="L889">
        <f t="shared" si="150"/>
        <v>0</v>
      </c>
      <c r="M889">
        <f t="shared" si="154"/>
        <v>0</v>
      </c>
      <c r="N889">
        <f t="shared" si="151"/>
        <v>0</v>
      </c>
      <c r="O889">
        <f t="shared" si="152"/>
        <v>0</v>
      </c>
      <c r="P889" t="str">
        <f>IFERROR(LN('Дивиденды по годам'!I889),"")</f>
        <v/>
      </c>
      <c r="Q889" t="str">
        <f>IFERROR('Дивиденды по годам'!G889/'Дивиденды по годам'!I889, "")</f>
        <v/>
      </c>
      <c r="R889" t="str">
        <f>IFERROR(IF(AND('Дивиденды по годам'!N889&lt;&gt;"",'Дивиденды по годам'!U889&lt;&gt;"",'Дивиденды по годам'!U889&lt;&gt;0),'Дивиденды по годам'!N889/'Дивиденды по годам'!U889-1,""),"")</f>
        <v/>
      </c>
      <c r="S889" t="str">
        <f>IFERROR(IF(AND('Дивиденды по годам'!L889&lt;&gt;"",'Дивиденды по годам'!I889&lt;&gt;"",'Дивиденды по годам'!J889&lt;&gt;"",'Дивиденды по годам'!K889&lt;&gt;"",('Дивиденды по годам'!I889-'Дивиденды по годам'!J889-'Дивиденды по годам'!K889)&lt;&gt;0),'Дивиденды по годам'!L889/('Дивиденды по годам'!I889-'Дивиденды по годам'!J889-'Дивиденды по годам'!K889),""),"")</f>
        <v/>
      </c>
      <c r="T889" t="str">
        <f>IFERROR(IF(AND('Дивиденды по годам'!Q889&lt;&gt;"",'Дивиденды по годам'!I889&lt;&gt;"",'Дивиденды по годам'!V889&lt;&gt;"",('Дивиденды по годам'!I889+'Дивиденды по годам'!V889)&lt;&gt;0),'Дивиденды по годам'!Q889/(('Дивиденды по годам'!I889+'Дивиденды по годам'!V889)/2),""),"")</f>
        <v/>
      </c>
      <c r="U889" t="str">
        <f>IFERROR(IF(AND('Дивиденды по годам'!J889&lt;&gt;"",'Дивиденды по годам'!K889&lt;&gt;"",'Дивиденды по годам'!M889&lt;&gt;"",'Дивиденды по годам'!M889&lt;&gt;0),('Дивиденды по годам'!J889+'Дивиденды по годам'!K889)/'Дивиденды по годам'!M889,""),"")</f>
        <v/>
      </c>
      <c r="V889" cm="1">
        <f t="array" ref="V889">IFERROR(AVERAGE(_xlfn._xlws.FILTER(P$2:P$1073,($C$2:$C$1073=$C889)*($E$2:$E$1073=$E889)*(ROW(P$2:P$1073)&lt;&gt;ROW(P889))*(P$2:P$1073&lt;&gt;""))),"")</f>
        <v>22.172578892977874</v>
      </c>
      <c r="W889" cm="1">
        <f t="array" ref="W889">IFERROR(AVERAGE(_xlfn._xlws.FILTER(Q$2:Q$1073,($C$2:$C$1073=$C889)*($E$2:$E$1073=$E889)*(ROW(Q$2:Q$1073)&lt;&gt;ROW(Q889))*(Q$2:Q$1073&lt;&gt;""))),"")</f>
        <v>8.054458642308425E-2</v>
      </c>
      <c r="X889" t="str" cm="1">
        <f t="array" ref="X889">IFERROR(AVERAGE(_xlfn._xlws.FILTER(R$2:R$1073,($C$2:$C$1073=$C889)*($E$2:$E$1073=$E889)*(ROW(R$2:R$1073)&lt;&gt;ROW(R889))*(R$2:R$1073&lt;&gt;""))),"")</f>
        <v/>
      </c>
      <c r="Y889" cm="1">
        <f t="array" ref="Y889">IFERROR(AVERAGE(_xlfn._xlws.FILTER(S$2:S$1073,($C$2:$C$1073=$C889)*($E$2:$E$1073=$E889)*(ROW(S$2:S$1073)&lt;&gt;ROW(S889))*(S$2:S$1073&lt;&gt;""))),"")</f>
        <v>0.96159636867391751</v>
      </c>
      <c r="Z889" t="str" cm="1">
        <f t="array" ref="Z889">IFERROR(AVERAGE(_xlfn._xlws.FILTER(T$2:T$1073,($C$2:$C$1073=$C889)*($E$2:$E$1073=$E889)*(ROW(T$2:T$1073)&lt;&gt;ROW(T889))*(T$2:T$1073&lt;&gt;""))),"")</f>
        <v/>
      </c>
      <c r="AA889" cm="1">
        <f t="array" ref="AA889">IFERROR(AVERAGE(_xlfn._xlws.FILTER(U$2:U$1073,($C$2:$C$1073=$C889)*($E$2:$E$1073=$E889)*(ROW(U$2:U$1073)&lt;&gt;ROW(U889))*(U$2:U$1073&lt;&gt;""))),"")</f>
        <v>4.0227688861378841</v>
      </c>
    </row>
    <row r="890" spans="1:27" x14ac:dyDescent="0.2">
      <c r="A890" s="7" t="s">
        <v>2287</v>
      </c>
      <c r="B890" t="str">
        <f t="shared" si="145"/>
        <v>YDEX IV кв. 2017</v>
      </c>
      <c r="C890">
        <v>2017</v>
      </c>
      <c r="D890">
        <f>SUMIFS(Дивиденды!$C:$C,Дивиденды!$A:$A,A890,Дивиденды!$I:$I,C890)</f>
        <v>0</v>
      </c>
      <c r="E890">
        <v>5</v>
      </c>
      <c r="F890">
        <f t="shared" si="146"/>
        <v>0</v>
      </c>
      <c r="G890">
        <f t="shared" si="147"/>
        <v>0</v>
      </c>
      <c r="H890">
        <f t="shared" si="148"/>
        <v>0</v>
      </c>
      <c r="I890">
        <f t="shared" si="155"/>
        <v>0</v>
      </c>
      <c r="J890">
        <f t="shared" si="149"/>
        <v>0</v>
      </c>
      <c r="K890">
        <f t="shared" si="153"/>
        <v>0</v>
      </c>
      <c r="L890">
        <f t="shared" si="150"/>
        <v>0</v>
      </c>
      <c r="M890">
        <f t="shared" si="154"/>
        <v>0</v>
      </c>
      <c r="N890">
        <f t="shared" si="151"/>
        <v>0</v>
      </c>
      <c r="O890">
        <f t="shared" si="152"/>
        <v>0</v>
      </c>
      <c r="P890" t="str">
        <f>IFERROR(LN('Дивиденды по годам'!I890),"")</f>
        <v/>
      </c>
      <c r="Q890" t="str">
        <f>IFERROR('Дивиденды по годам'!G890/'Дивиденды по годам'!I890, "")</f>
        <v/>
      </c>
      <c r="R890" t="str">
        <f>IFERROR(IF(AND('Дивиденды по годам'!N890&lt;&gt;"",'Дивиденды по годам'!U890&lt;&gt;"",'Дивиденды по годам'!U890&lt;&gt;0),'Дивиденды по годам'!N890/'Дивиденды по годам'!U890-1,""),"")</f>
        <v/>
      </c>
      <c r="S890" t="str">
        <f>IFERROR(IF(AND('Дивиденды по годам'!L890&lt;&gt;"",'Дивиденды по годам'!I890&lt;&gt;"",'Дивиденды по годам'!J890&lt;&gt;"",'Дивиденды по годам'!K890&lt;&gt;"",('Дивиденды по годам'!I890-'Дивиденды по годам'!J890-'Дивиденды по годам'!K890)&lt;&gt;0),'Дивиденды по годам'!L890/('Дивиденды по годам'!I890-'Дивиденды по годам'!J890-'Дивиденды по годам'!K890),""),"")</f>
        <v/>
      </c>
      <c r="T890" t="str">
        <f>IFERROR(IF(AND('Дивиденды по годам'!Q890&lt;&gt;"",'Дивиденды по годам'!I890&lt;&gt;"",'Дивиденды по годам'!V890&lt;&gt;"",('Дивиденды по годам'!I890+'Дивиденды по годам'!V890)&lt;&gt;0),'Дивиденды по годам'!Q890/(('Дивиденды по годам'!I890+'Дивиденды по годам'!V890)/2),""),"")</f>
        <v/>
      </c>
      <c r="U890" t="str">
        <f>IFERROR(IF(AND('Дивиденды по годам'!J890&lt;&gt;"",'Дивиденды по годам'!K890&lt;&gt;"",'Дивиденды по годам'!M890&lt;&gt;"",'Дивиденды по годам'!M890&lt;&gt;0),('Дивиденды по годам'!J890+'Дивиденды по годам'!K890)/'Дивиденды по годам'!M890,""),"")</f>
        <v/>
      </c>
      <c r="V890" t="str" cm="1">
        <f t="array" ref="V890">IFERROR(AVERAGE(_xlfn._xlws.FILTER(P$2:P$1073,($C$2:$C$1073=$C890)*($E$2:$E$1073=$E890)*(ROW(P$2:P$1073)&lt;&gt;ROW(P890))*(P$2:P$1073&lt;&gt;""))),"")</f>
        <v/>
      </c>
      <c r="W890" t="str" cm="1">
        <f t="array" ref="W890">IFERROR(AVERAGE(_xlfn._xlws.FILTER(Q$2:Q$1073,($C$2:$C$1073=$C890)*($E$2:$E$1073=$E890)*(ROW(Q$2:Q$1073)&lt;&gt;ROW(Q890))*(Q$2:Q$1073&lt;&gt;""))),"")</f>
        <v/>
      </c>
      <c r="X890" t="str" cm="1">
        <f t="array" ref="X890">IFERROR(AVERAGE(_xlfn._xlws.FILTER(R$2:R$1073,($C$2:$C$1073=$C890)*($E$2:$E$1073=$E890)*(ROW(R$2:R$1073)&lt;&gt;ROW(R890))*(R$2:R$1073&lt;&gt;""))),"")</f>
        <v/>
      </c>
      <c r="Y890" t="str" cm="1">
        <f t="array" ref="Y890">IFERROR(AVERAGE(_xlfn._xlws.FILTER(S$2:S$1073,($C$2:$C$1073=$C890)*($E$2:$E$1073=$E890)*(ROW(S$2:S$1073)&lt;&gt;ROW(S890))*(S$2:S$1073&lt;&gt;""))),"")</f>
        <v/>
      </c>
      <c r="Z890" t="str" cm="1">
        <f t="array" ref="Z890">IFERROR(AVERAGE(_xlfn._xlws.FILTER(T$2:T$1073,($C$2:$C$1073=$C890)*($E$2:$E$1073=$E890)*(ROW(T$2:T$1073)&lt;&gt;ROW(T890))*(T$2:T$1073&lt;&gt;""))),"")</f>
        <v/>
      </c>
      <c r="AA890" t="str" cm="1">
        <f t="array" ref="AA890">IFERROR(AVERAGE(_xlfn._xlws.FILTER(U$2:U$1073,($C$2:$C$1073=$C890)*($E$2:$E$1073=$E890)*(ROW(U$2:U$1073)&lt;&gt;ROW(U890))*(U$2:U$1073&lt;&gt;""))),"")</f>
        <v/>
      </c>
    </row>
    <row r="891" spans="1:27" x14ac:dyDescent="0.2">
      <c r="A891" s="7" t="s">
        <v>2287</v>
      </c>
      <c r="B891" t="str">
        <f t="shared" si="145"/>
        <v>YDEX IV кв. 2016</v>
      </c>
      <c r="C891">
        <v>2016</v>
      </c>
      <c r="D891">
        <f>SUMIFS(Дивиденды!$C:$C,Дивиденды!$A:$A,A891,Дивиденды!$I:$I,C891)</f>
        <v>0</v>
      </c>
      <c r="E891">
        <v>5</v>
      </c>
      <c r="F891">
        <f t="shared" si="146"/>
        <v>0</v>
      </c>
      <c r="G891">
        <f t="shared" si="147"/>
        <v>0</v>
      </c>
      <c r="H891">
        <f t="shared" si="148"/>
        <v>0</v>
      </c>
      <c r="I891">
        <f t="shared" si="155"/>
        <v>0</v>
      </c>
      <c r="J891">
        <f t="shared" si="149"/>
        <v>0</v>
      </c>
      <c r="K891">
        <f t="shared" si="153"/>
        <v>0</v>
      </c>
      <c r="L891">
        <f t="shared" si="150"/>
        <v>0</v>
      </c>
      <c r="M891">
        <f t="shared" si="154"/>
        <v>0</v>
      </c>
      <c r="N891">
        <f t="shared" si="151"/>
        <v>0</v>
      </c>
      <c r="O891">
        <f t="shared" si="152"/>
        <v>0</v>
      </c>
      <c r="P891" t="str">
        <f>IFERROR(LN('Дивиденды по годам'!I891),"")</f>
        <v/>
      </c>
      <c r="Q891" t="str">
        <f>IFERROR('Дивиденды по годам'!G891/'Дивиденды по годам'!I891, "")</f>
        <v/>
      </c>
      <c r="R891" t="str">
        <f>IFERROR(IF(AND('Дивиденды по годам'!N891&lt;&gt;"",'Дивиденды по годам'!U891&lt;&gt;"",'Дивиденды по годам'!U891&lt;&gt;0),'Дивиденды по годам'!N891/'Дивиденды по годам'!U891-1,""),"")</f>
        <v/>
      </c>
      <c r="S891" t="str">
        <f>IFERROR(IF(AND('Дивиденды по годам'!L891&lt;&gt;"",'Дивиденды по годам'!I891&lt;&gt;"",'Дивиденды по годам'!J891&lt;&gt;"",'Дивиденды по годам'!K891&lt;&gt;"",('Дивиденды по годам'!I891-'Дивиденды по годам'!J891-'Дивиденды по годам'!K891)&lt;&gt;0),'Дивиденды по годам'!L891/('Дивиденды по годам'!I891-'Дивиденды по годам'!J891-'Дивиденды по годам'!K891),""),"")</f>
        <v/>
      </c>
      <c r="T891" t="str">
        <f>IFERROR(IF(AND('Дивиденды по годам'!Q891&lt;&gt;"",'Дивиденды по годам'!I891&lt;&gt;"",'Дивиденды по годам'!V891&lt;&gt;"",('Дивиденды по годам'!I891+'Дивиденды по годам'!V891)&lt;&gt;0),'Дивиденды по годам'!Q891/(('Дивиденды по годам'!I891+'Дивиденды по годам'!V891)/2),""),"")</f>
        <v/>
      </c>
      <c r="U891" t="str">
        <f>IFERROR(IF(AND('Дивиденды по годам'!J891&lt;&gt;"",'Дивиденды по годам'!K891&lt;&gt;"",'Дивиденды по годам'!M891&lt;&gt;"",'Дивиденды по годам'!M891&lt;&gt;0),('Дивиденды по годам'!J891+'Дивиденды по годам'!K891)/'Дивиденды по годам'!M891,""),"")</f>
        <v/>
      </c>
      <c r="V891" t="str" cm="1">
        <f t="array" ref="V891">IFERROR(AVERAGE(_xlfn._xlws.FILTER(P$2:P$1073,($C$2:$C$1073=$C891)*($E$2:$E$1073=$E891)*(ROW(P$2:P$1073)&lt;&gt;ROW(P891))*(P$2:P$1073&lt;&gt;""))),"")</f>
        <v/>
      </c>
      <c r="W891" t="str" cm="1">
        <f t="array" ref="W891">IFERROR(AVERAGE(_xlfn._xlws.FILTER(Q$2:Q$1073,($C$2:$C$1073=$C891)*($E$2:$E$1073=$E891)*(ROW(Q$2:Q$1073)&lt;&gt;ROW(Q891))*(Q$2:Q$1073&lt;&gt;""))),"")</f>
        <v/>
      </c>
      <c r="X891" t="str" cm="1">
        <f t="array" ref="X891">IFERROR(AVERAGE(_xlfn._xlws.FILTER(R$2:R$1073,($C$2:$C$1073=$C891)*($E$2:$E$1073=$E891)*(ROW(R$2:R$1073)&lt;&gt;ROW(R891))*(R$2:R$1073&lt;&gt;""))),"")</f>
        <v/>
      </c>
      <c r="Y891" t="str" cm="1">
        <f t="array" ref="Y891">IFERROR(AVERAGE(_xlfn._xlws.FILTER(S$2:S$1073,($C$2:$C$1073=$C891)*($E$2:$E$1073=$E891)*(ROW(S$2:S$1073)&lt;&gt;ROW(S891))*(S$2:S$1073&lt;&gt;""))),"")</f>
        <v/>
      </c>
      <c r="Z891" t="str" cm="1">
        <f t="array" ref="Z891">IFERROR(AVERAGE(_xlfn._xlws.FILTER(T$2:T$1073,($C$2:$C$1073=$C891)*($E$2:$E$1073=$E891)*(ROW(T$2:T$1073)&lt;&gt;ROW(T891))*(T$2:T$1073&lt;&gt;""))),"")</f>
        <v/>
      </c>
      <c r="AA891" t="str" cm="1">
        <f t="array" ref="AA891">IFERROR(AVERAGE(_xlfn._xlws.FILTER(U$2:U$1073,($C$2:$C$1073=$C891)*($E$2:$E$1073=$E891)*(ROW(U$2:U$1073)&lt;&gt;ROW(U891))*(U$2:U$1073&lt;&gt;""))),"")</f>
        <v/>
      </c>
    </row>
    <row r="892" spans="1:27" x14ac:dyDescent="0.2">
      <c r="A892" s="7" t="s">
        <v>2287</v>
      </c>
      <c r="B892" t="str">
        <f t="shared" si="145"/>
        <v>YDEX IV кв. 2015</v>
      </c>
      <c r="C892">
        <v>2015</v>
      </c>
      <c r="D892">
        <f>SUMIFS(Дивиденды!$C:$C,Дивиденды!$A:$A,A892,Дивиденды!$I:$I,C892)</f>
        <v>0</v>
      </c>
      <c r="E892">
        <v>5</v>
      </c>
      <c r="F892">
        <f t="shared" si="146"/>
        <v>0</v>
      </c>
      <c r="G892">
        <f t="shared" si="147"/>
        <v>0</v>
      </c>
      <c r="H892">
        <f t="shared" si="148"/>
        <v>0</v>
      </c>
      <c r="I892">
        <f t="shared" si="155"/>
        <v>0</v>
      </c>
      <c r="J892">
        <f t="shared" si="149"/>
        <v>0</v>
      </c>
      <c r="K892">
        <f t="shared" si="153"/>
        <v>0</v>
      </c>
      <c r="L892">
        <f t="shared" si="150"/>
        <v>0</v>
      </c>
      <c r="M892">
        <f t="shared" si="154"/>
        <v>0</v>
      </c>
      <c r="N892">
        <f t="shared" si="151"/>
        <v>0</v>
      </c>
      <c r="O892">
        <f t="shared" si="152"/>
        <v>0</v>
      </c>
      <c r="P892" t="str">
        <f>IFERROR(LN('Дивиденды по годам'!I892),"")</f>
        <v/>
      </c>
      <c r="Q892" t="str">
        <f>IFERROR('Дивиденды по годам'!G892/'Дивиденды по годам'!I892, "")</f>
        <v/>
      </c>
      <c r="R892" t="str">
        <f>IFERROR(IF(AND('Дивиденды по годам'!N892&lt;&gt;"",'Дивиденды по годам'!U892&lt;&gt;"",'Дивиденды по годам'!U892&lt;&gt;0),'Дивиденды по годам'!N892/'Дивиденды по годам'!U892-1,""),"")</f>
        <v/>
      </c>
      <c r="S892" t="str">
        <f>IFERROR(IF(AND('Дивиденды по годам'!L892&lt;&gt;"",'Дивиденды по годам'!I892&lt;&gt;"",'Дивиденды по годам'!J892&lt;&gt;"",'Дивиденды по годам'!K892&lt;&gt;"",('Дивиденды по годам'!I892-'Дивиденды по годам'!J892-'Дивиденды по годам'!K892)&lt;&gt;0),'Дивиденды по годам'!L892/('Дивиденды по годам'!I892-'Дивиденды по годам'!J892-'Дивиденды по годам'!K892),""),"")</f>
        <v/>
      </c>
      <c r="T892" t="str">
        <f>IFERROR(IF(AND('Дивиденды по годам'!Q892&lt;&gt;"",'Дивиденды по годам'!I892&lt;&gt;"",'Дивиденды по годам'!V892&lt;&gt;"",('Дивиденды по годам'!I892+'Дивиденды по годам'!V892)&lt;&gt;0),'Дивиденды по годам'!Q892/(('Дивиденды по годам'!I892+'Дивиденды по годам'!V892)/2),""),"")</f>
        <v/>
      </c>
      <c r="U892" t="str">
        <f>IFERROR(IF(AND('Дивиденды по годам'!J892&lt;&gt;"",'Дивиденды по годам'!K892&lt;&gt;"",'Дивиденды по годам'!M892&lt;&gt;"",'Дивиденды по годам'!M892&lt;&gt;0),('Дивиденды по годам'!J892+'Дивиденды по годам'!K892)/'Дивиденды по годам'!M892,""),"")</f>
        <v/>
      </c>
      <c r="V892" t="str" cm="1">
        <f t="array" ref="V892">IFERROR(AVERAGE(_xlfn._xlws.FILTER(P$2:P$1073,($C$2:$C$1073=$C892)*($E$2:$E$1073=$E892)*(ROW(P$2:P$1073)&lt;&gt;ROW(P892))*(P$2:P$1073&lt;&gt;""))),"")</f>
        <v/>
      </c>
      <c r="W892" t="str" cm="1">
        <f t="array" ref="W892">IFERROR(AVERAGE(_xlfn._xlws.FILTER(Q$2:Q$1073,($C$2:$C$1073=$C892)*($E$2:$E$1073=$E892)*(ROW(Q$2:Q$1073)&lt;&gt;ROW(Q892))*(Q$2:Q$1073&lt;&gt;""))),"")</f>
        <v/>
      </c>
      <c r="X892" t="str" cm="1">
        <f t="array" ref="X892">IFERROR(AVERAGE(_xlfn._xlws.FILTER(R$2:R$1073,($C$2:$C$1073=$C892)*($E$2:$E$1073=$E892)*(ROW(R$2:R$1073)&lt;&gt;ROW(R892))*(R$2:R$1073&lt;&gt;""))),"")</f>
        <v/>
      </c>
      <c r="Y892" t="str" cm="1">
        <f t="array" ref="Y892">IFERROR(AVERAGE(_xlfn._xlws.FILTER(S$2:S$1073,($C$2:$C$1073=$C892)*($E$2:$E$1073=$E892)*(ROW(S$2:S$1073)&lt;&gt;ROW(S892))*(S$2:S$1073&lt;&gt;""))),"")</f>
        <v/>
      </c>
      <c r="Z892" t="str" cm="1">
        <f t="array" ref="Z892">IFERROR(AVERAGE(_xlfn._xlws.FILTER(T$2:T$1073,($C$2:$C$1073=$C892)*($E$2:$E$1073=$E892)*(ROW(T$2:T$1073)&lt;&gt;ROW(T892))*(T$2:T$1073&lt;&gt;""))),"")</f>
        <v/>
      </c>
      <c r="AA892" t="str" cm="1">
        <f t="array" ref="AA892">IFERROR(AVERAGE(_xlfn._xlws.FILTER(U$2:U$1073,($C$2:$C$1073=$C892)*($E$2:$E$1073=$E892)*(ROW(U$2:U$1073)&lt;&gt;ROW(U892))*(U$2:U$1073&lt;&gt;""))),"")</f>
        <v/>
      </c>
    </row>
    <row r="893" spans="1:27" x14ac:dyDescent="0.2">
      <c r="A893" s="7" t="s">
        <v>2287</v>
      </c>
      <c r="B893" t="str">
        <f t="shared" si="145"/>
        <v>YDEX IV кв. 2014</v>
      </c>
      <c r="C893">
        <v>2014</v>
      </c>
      <c r="D893">
        <f>SUMIFS(Дивиденды!$C:$C,Дивиденды!$A:$A,A893,Дивиденды!$I:$I,C893)</f>
        <v>0</v>
      </c>
      <c r="E893">
        <v>5</v>
      </c>
      <c r="F893">
        <f t="shared" si="146"/>
        <v>0</v>
      </c>
      <c r="G893">
        <f t="shared" si="147"/>
        <v>0</v>
      </c>
      <c r="H893">
        <f t="shared" si="148"/>
        <v>0</v>
      </c>
      <c r="I893">
        <f t="shared" si="155"/>
        <v>0</v>
      </c>
      <c r="J893">
        <f t="shared" si="149"/>
        <v>0</v>
      </c>
      <c r="K893">
        <f t="shared" si="153"/>
        <v>0</v>
      </c>
      <c r="L893">
        <f t="shared" si="150"/>
        <v>0</v>
      </c>
      <c r="M893">
        <f t="shared" si="154"/>
        <v>0</v>
      </c>
      <c r="N893">
        <f t="shared" si="151"/>
        <v>0</v>
      </c>
      <c r="O893">
        <f t="shared" si="152"/>
        <v>0</v>
      </c>
      <c r="P893" t="str">
        <f>IFERROR(LN('Дивиденды по годам'!I893),"")</f>
        <v/>
      </c>
      <c r="Q893" t="str">
        <f>IFERROR('Дивиденды по годам'!G893/'Дивиденды по годам'!I893, "")</f>
        <v/>
      </c>
      <c r="R893" t="str">
        <f>IFERROR(IF(AND('Дивиденды по годам'!N893&lt;&gt;"",'Дивиденды по годам'!U893&lt;&gt;"",'Дивиденды по годам'!U893&lt;&gt;0),'Дивиденды по годам'!N893/'Дивиденды по годам'!U893-1,""),"")</f>
        <v/>
      </c>
      <c r="S893" t="str">
        <f>IFERROR(IF(AND('Дивиденды по годам'!L893&lt;&gt;"",'Дивиденды по годам'!I893&lt;&gt;"",'Дивиденды по годам'!J893&lt;&gt;"",'Дивиденды по годам'!K893&lt;&gt;"",('Дивиденды по годам'!I893-'Дивиденды по годам'!J893-'Дивиденды по годам'!K893)&lt;&gt;0),'Дивиденды по годам'!L893/('Дивиденды по годам'!I893-'Дивиденды по годам'!J893-'Дивиденды по годам'!K893),""),"")</f>
        <v/>
      </c>
      <c r="T893" t="str">
        <f>IFERROR(IF(AND('Дивиденды по годам'!Q893&lt;&gt;"",'Дивиденды по годам'!I893&lt;&gt;"",'Дивиденды по годам'!V893&lt;&gt;"",('Дивиденды по годам'!I893+'Дивиденды по годам'!V893)&lt;&gt;0),'Дивиденды по годам'!Q893/(('Дивиденды по годам'!I893+'Дивиденды по годам'!V893)/2),""),"")</f>
        <v/>
      </c>
      <c r="U893" t="str">
        <f>IFERROR(IF(AND('Дивиденды по годам'!J893&lt;&gt;"",'Дивиденды по годам'!K893&lt;&gt;"",'Дивиденды по годам'!M893&lt;&gt;"",'Дивиденды по годам'!M893&lt;&gt;0),('Дивиденды по годам'!J893+'Дивиденды по годам'!K893)/'Дивиденды по годам'!M893,""),"")</f>
        <v/>
      </c>
      <c r="V893" t="str" cm="1">
        <f t="array" ref="V893">IFERROR(AVERAGE(_xlfn._xlws.FILTER(P$2:P$1073,($C$2:$C$1073=$C893)*($E$2:$E$1073=$E893)*(ROW(P$2:P$1073)&lt;&gt;ROW(P893))*(P$2:P$1073&lt;&gt;""))),"")</f>
        <v/>
      </c>
      <c r="W893" t="str" cm="1">
        <f t="array" ref="W893">IFERROR(AVERAGE(_xlfn._xlws.FILTER(Q$2:Q$1073,($C$2:$C$1073=$C893)*($E$2:$E$1073=$E893)*(ROW(Q$2:Q$1073)&lt;&gt;ROW(Q893))*(Q$2:Q$1073&lt;&gt;""))),"")</f>
        <v/>
      </c>
      <c r="X893" t="str" cm="1">
        <f t="array" ref="X893">IFERROR(AVERAGE(_xlfn._xlws.FILTER(R$2:R$1073,($C$2:$C$1073=$C893)*($E$2:$E$1073=$E893)*(ROW(R$2:R$1073)&lt;&gt;ROW(R893))*(R$2:R$1073&lt;&gt;""))),"")</f>
        <v/>
      </c>
      <c r="Y893" t="str" cm="1">
        <f t="array" ref="Y893">IFERROR(AVERAGE(_xlfn._xlws.FILTER(S$2:S$1073,($C$2:$C$1073=$C893)*($E$2:$E$1073=$E893)*(ROW(S$2:S$1073)&lt;&gt;ROW(S893))*(S$2:S$1073&lt;&gt;""))),"")</f>
        <v/>
      </c>
      <c r="Z893" t="str" cm="1">
        <f t="array" ref="Z893">IFERROR(AVERAGE(_xlfn._xlws.FILTER(T$2:T$1073,($C$2:$C$1073=$C893)*($E$2:$E$1073=$E893)*(ROW(T$2:T$1073)&lt;&gt;ROW(T893))*(T$2:T$1073&lt;&gt;""))),"")</f>
        <v/>
      </c>
      <c r="AA893" t="str" cm="1">
        <f t="array" ref="AA893">IFERROR(AVERAGE(_xlfn._xlws.FILTER(U$2:U$1073,($C$2:$C$1073=$C893)*($E$2:$E$1073=$E893)*(ROW(U$2:U$1073)&lt;&gt;ROW(U893))*(U$2:U$1073&lt;&gt;""))),"")</f>
        <v/>
      </c>
    </row>
    <row r="894" spans="1:27" x14ac:dyDescent="0.2">
      <c r="A894" s="7" t="s">
        <v>2287</v>
      </c>
      <c r="B894" t="str">
        <f t="shared" si="145"/>
        <v>YDEX IV кв. 2013</v>
      </c>
      <c r="C894">
        <v>2013</v>
      </c>
      <c r="D894">
        <f>SUMIFS(Дивиденды!$C:$C,Дивиденды!$A:$A,A894,Дивиденды!$I:$I,C894)</f>
        <v>0</v>
      </c>
      <c r="E894">
        <v>5</v>
      </c>
      <c r="F894">
        <f t="shared" si="146"/>
        <v>0</v>
      </c>
      <c r="G894">
        <f t="shared" si="147"/>
        <v>0</v>
      </c>
      <c r="H894">
        <f t="shared" si="148"/>
        <v>0</v>
      </c>
      <c r="I894">
        <f t="shared" si="155"/>
        <v>0</v>
      </c>
      <c r="J894">
        <f t="shared" si="149"/>
        <v>0</v>
      </c>
      <c r="K894">
        <f t="shared" si="153"/>
        <v>0</v>
      </c>
      <c r="L894">
        <f t="shared" si="150"/>
        <v>0</v>
      </c>
      <c r="M894">
        <f t="shared" si="154"/>
        <v>0</v>
      </c>
      <c r="N894">
        <f t="shared" si="151"/>
        <v>0</v>
      </c>
      <c r="O894">
        <f t="shared" si="152"/>
        <v>0</v>
      </c>
      <c r="P894" t="str">
        <f>IFERROR(LN('Дивиденды по годам'!I894),"")</f>
        <v/>
      </c>
      <c r="Q894" t="str">
        <f>IFERROR('Дивиденды по годам'!G894/'Дивиденды по годам'!I894, "")</f>
        <v/>
      </c>
      <c r="R894" t="str">
        <f>IFERROR(IF(AND('Дивиденды по годам'!N894&lt;&gt;"",'Дивиденды по годам'!U894&lt;&gt;"",'Дивиденды по годам'!U894&lt;&gt;0),'Дивиденды по годам'!N894/'Дивиденды по годам'!U894-1,""),"")</f>
        <v/>
      </c>
      <c r="S894" t="str">
        <f>IFERROR(IF(AND('Дивиденды по годам'!L894&lt;&gt;"",'Дивиденды по годам'!I894&lt;&gt;"",'Дивиденды по годам'!J894&lt;&gt;"",'Дивиденды по годам'!K894&lt;&gt;"",('Дивиденды по годам'!I894-'Дивиденды по годам'!J894-'Дивиденды по годам'!K894)&lt;&gt;0),'Дивиденды по годам'!L894/('Дивиденды по годам'!I894-'Дивиденды по годам'!J894-'Дивиденды по годам'!K894),""),"")</f>
        <v/>
      </c>
      <c r="T894" t="str">
        <f>IFERROR(IF(AND('Дивиденды по годам'!Q894&lt;&gt;"",'Дивиденды по годам'!I894&lt;&gt;"",'Дивиденды по годам'!V894&lt;&gt;"",('Дивиденды по годам'!I894+'Дивиденды по годам'!V894)&lt;&gt;0),'Дивиденды по годам'!Q894/(('Дивиденды по годам'!I894+'Дивиденды по годам'!V894)/2),""),"")</f>
        <v/>
      </c>
      <c r="U894" t="str">
        <f>IFERROR(IF(AND('Дивиденды по годам'!J894&lt;&gt;"",'Дивиденды по годам'!K894&lt;&gt;"",'Дивиденды по годам'!M894&lt;&gt;"",'Дивиденды по годам'!M894&lt;&gt;0),('Дивиденды по годам'!J894+'Дивиденды по годам'!K894)/'Дивиденды по годам'!M894,""),"")</f>
        <v/>
      </c>
      <c r="V894" t="str" cm="1">
        <f t="array" ref="V894">IFERROR(AVERAGE(_xlfn._xlws.FILTER(P$2:P$1073,($C$2:$C$1073=$C894)*($E$2:$E$1073=$E894)*(ROW(P$2:P$1073)&lt;&gt;ROW(P894))*(P$2:P$1073&lt;&gt;""))),"")</f>
        <v/>
      </c>
      <c r="W894" t="str" cm="1">
        <f t="array" ref="W894">IFERROR(AVERAGE(_xlfn._xlws.FILTER(Q$2:Q$1073,($C$2:$C$1073=$C894)*($E$2:$E$1073=$E894)*(ROW(Q$2:Q$1073)&lt;&gt;ROW(Q894))*(Q$2:Q$1073&lt;&gt;""))),"")</f>
        <v/>
      </c>
      <c r="X894" t="str" cm="1">
        <f t="array" ref="X894">IFERROR(AVERAGE(_xlfn._xlws.FILTER(R$2:R$1073,($C$2:$C$1073=$C894)*($E$2:$E$1073=$E894)*(ROW(R$2:R$1073)&lt;&gt;ROW(R894))*(R$2:R$1073&lt;&gt;""))),"")</f>
        <v/>
      </c>
      <c r="Y894" t="str" cm="1">
        <f t="array" ref="Y894">IFERROR(AVERAGE(_xlfn._xlws.FILTER(S$2:S$1073,($C$2:$C$1073=$C894)*($E$2:$E$1073=$E894)*(ROW(S$2:S$1073)&lt;&gt;ROW(S894))*(S$2:S$1073&lt;&gt;""))),"")</f>
        <v/>
      </c>
      <c r="Z894" t="str" cm="1">
        <f t="array" ref="Z894">IFERROR(AVERAGE(_xlfn._xlws.FILTER(T$2:T$1073,($C$2:$C$1073=$C894)*($E$2:$E$1073=$E894)*(ROW(T$2:T$1073)&lt;&gt;ROW(T894))*(T$2:T$1073&lt;&gt;""))),"")</f>
        <v/>
      </c>
      <c r="AA894" t="str" cm="1">
        <f t="array" ref="AA894">IFERROR(AVERAGE(_xlfn._xlws.FILTER(U$2:U$1073,($C$2:$C$1073=$C894)*($E$2:$E$1073=$E894)*(ROW(U$2:U$1073)&lt;&gt;ROW(U894))*(U$2:U$1073&lt;&gt;""))),"")</f>
        <v/>
      </c>
    </row>
    <row r="895" spans="1:27" x14ac:dyDescent="0.2">
      <c r="A895" s="7" t="s">
        <v>2287</v>
      </c>
      <c r="B895" t="str">
        <f t="shared" si="145"/>
        <v>YDEX IV кв. 2012</v>
      </c>
      <c r="C895">
        <v>2012</v>
      </c>
      <c r="D895">
        <f>SUMIFS(Дивиденды!$C:$C,Дивиденды!$A:$A,A895,Дивиденды!$I:$I,C895)</f>
        <v>0</v>
      </c>
      <c r="E895">
        <v>5</v>
      </c>
      <c r="F895">
        <f t="shared" si="146"/>
        <v>0</v>
      </c>
      <c r="G895">
        <f t="shared" si="147"/>
        <v>0</v>
      </c>
      <c r="H895">
        <f t="shared" si="148"/>
        <v>0</v>
      </c>
      <c r="I895">
        <f t="shared" si="155"/>
        <v>0</v>
      </c>
      <c r="J895">
        <f t="shared" si="149"/>
        <v>0</v>
      </c>
      <c r="K895">
        <f t="shared" si="153"/>
        <v>0</v>
      </c>
      <c r="L895">
        <f t="shared" si="150"/>
        <v>0</v>
      </c>
      <c r="M895">
        <f t="shared" si="154"/>
        <v>0</v>
      </c>
      <c r="N895">
        <f t="shared" si="151"/>
        <v>0</v>
      </c>
      <c r="O895">
        <f t="shared" si="152"/>
        <v>0</v>
      </c>
      <c r="P895" t="str">
        <f>IFERROR(LN('Дивиденды по годам'!I895),"")</f>
        <v/>
      </c>
      <c r="Q895" t="str">
        <f>IFERROR('Дивиденды по годам'!G895/'Дивиденды по годам'!I895, "")</f>
        <v/>
      </c>
      <c r="R895" t="str">
        <f>IFERROR(IF(AND('Дивиденды по годам'!N895&lt;&gt;"",'Дивиденды по годам'!U895&lt;&gt;"",'Дивиденды по годам'!U895&lt;&gt;0),'Дивиденды по годам'!N895/'Дивиденды по годам'!U895-1,""),"")</f>
        <v/>
      </c>
      <c r="S895" t="str">
        <f>IFERROR(IF(AND('Дивиденды по годам'!L895&lt;&gt;"",'Дивиденды по годам'!I895&lt;&gt;"",'Дивиденды по годам'!J895&lt;&gt;"",'Дивиденды по годам'!K895&lt;&gt;"",('Дивиденды по годам'!I895-'Дивиденды по годам'!J895-'Дивиденды по годам'!K895)&lt;&gt;0),'Дивиденды по годам'!L895/('Дивиденды по годам'!I895-'Дивиденды по годам'!J895-'Дивиденды по годам'!K895),""),"")</f>
        <v/>
      </c>
      <c r="T895" t="str">
        <f>IFERROR(IF(AND('Дивиденды по годам'!Q895&lt;&gt;"",'Дивиденды по годам'!I895&lt;&gt;"",'Дивиденды по годам'!V895&lt;&gt;"",('Дивиденды по годам'!I895+'Дивиденды по годам'!V895)&lt;&gt;0),'Дивиденды по годам'!Q895/(('Дивиденды по годам'!I895+'Дивиденды по годам'!V895)/2),""),"")</f>
        <v/>
      </c>
      <c r="U895" t="str">
        <f>IFERROR(IF(AND('Дивиденды по годам'!J895&lt;&gt;"",'Дивиденды по годам'!K895&lt;&gt;"",'Дивиденды по годам'!M895&lt;&gt;"",'Дивиденды по годам'!M895&lt;&gt;0),('Дивиденды по годам'!J895+'Дивиденды по годам'!K895)/'Дивиденды по годам'!M895,""),"")</f>
        <v/>
      </c>
      <c r="V895" t="str" cm="1">
        <f t="array" ref="V895">IFERROR(AVERAGE(_xlfn._xlws.FILTER(P$2:P$1073,($C$2:$C$1073=$C895)*($E$2:$E$1073=$E895)*(ROW(P$2:P$1073)&lt;&gt;ROW(P895))*(P$2:P$1073&lt;&gt;""))),"")</f>
        <v/>
      </c>
      <c r="W895" t="str" cm="1">
        <f t="array" ref="W895">IFERROR(AVERAGE(_xlfn._xlws.FILTER(Q$2:Q$1073,($C$2:$C$1073=$C895)*($E$2:$E$1073=$E895)*(ROW(Q$2:Q$1073)&lt;&gt;ROW(Q895))*(Q$2:Q$1073&lt;&gt;""))),"")</f>
        <v/>
      </c>
      <c r="X895" t="str" cm="1">
        <f t="array" ref="X895">IFERROR(AVERAGE(_xlfn._xlws.FILTER(R$2:R$1073,($C$2:$C$1073=$C895)*($E$2:$E$1073=$E895)*(ROW(R$2:R$1073)&lt;&gt;ROW(R895))*(R$2:R$1073&lt;&gt;""))),"")</f>
        <v/>
      </c>
      <c r="Y895" t="str" cm="1">
        <f t="array" ref="Y895">IFERROR(AVERAGE(_xlfn._xlws.FILTER(S$2:S$1073,($C$2:$C$1073=$C895)*($E$2:$E$1073=$E895)*(ROW(S$2:S$1073)&lt;&gt;ROW(S895))*(S$2:S$1073&lt;&gt;""))),"")</f>
        <v/>
      </c>
      <c r="Z895" t="str" cm="1">
        <f t="array" ref="Z895">IFERROR(AVERAGE(_xlfn._xlws.FILTER(T$2:T$1073,($C$2:$C$1073=$C895)*($E$2:$E$1073=$E895)*(ROW(T$2:T$1073)&lt;&gt;ROW(T895))*(T$2:T$1073&lt;&gt;""))),"")</f>
        <v/>
      </c>
      <c r="AA895" t="str" cm="1">
        <f t="array" ref="AA895">IFERROR(AVERAGE(_xlfn._xlws.FILTER(U$2:U$1073,($C$2:$C$1073=$C895)*($E$2:$E$1073=$E895)*(ROW(U$2:U$1073)&lt;&gt;ROW(U895))*(U$2:U$1073&lt;&gt;""))),"")</f>
        <v/>
      </c>
    </row>
    <row r="896" spans="1:27" x14ac:dyDescent="0.2">
      <c r="A896" s="7" t="s">
        <v>2287</v>
      </c>
      <c r="B896" t="str">
        <f t="shared" si="145"/>
        <v>YDEX IV кв. 2011</v>
      </c>
      <c r="C896">
        <v>2011</v>
      </c>
      <c r="D896">
        <f>SUMIFS(Дивиденды!$C:$C,Дивиденды!$A:$A,A896,Дивиденды!$I:$I,C896)</f>
        <v>0</v>
      </c>
      <c r="E896">
        <v>5</v>
      </c>
      <c r="F896">
        <f t="shared" si="146"/>
        <v>0</v>
      </c>
      <c r="G896">
        <f t="shared" si="147"/>
        <v>0</v>
      </c>
      <c r="H896">
        <f t="shared" si="148"/>
        <v>0</v>
      </c>
      <c r="I896">
        <f t="shared" si="155"/>
        <v>0</v>
      </c>
      <c r="J896">
        <f t="shared" si="149"/>
        <v>0</v>
      </c>
      <c r="K896">
        <f t="shared" si="153"/>
        <v>0</v>
      </c>
      <c r="L896">
        <f t="shared" si="150"/>
        <v>0</v>
      </c>
      <c r="M896">
        <f t="shared" si="154"/>
        <v>0</v>
      </c>
      <c r="N896">
        <f t="shared" si="151"/>
        <v>0</v>
      </c>
      <c r="O896">
        <f t="shared" si="152"/>
        <v>0</v>
      </c>
      <c r="P896" t="str">
        <f>IFERROR(LN('Дивиденды по годам'!I896),"")</f>
        <v/>
      </c>
      <c r="Q896" t="str">
        <f>IFERROR('Дивиденды по годам'!G896/'Дивиденды по годам'!I896, "")</f>
        <v/>
      </c>
      <c r="R896" t="str">
        <f>IFERROR(IF(AND('Дивиденды по годам'!N896&lt;&gt;"",'Дивиденды по годам'!U896&lt;&gt;"",'Дивиденды по годам'!U896&lt;&gt;0),'Дивиденды по годам'!N896/'Дивиденды по годам'!U896-1,""),"")</f>
        <v/>
      </c>
      <c r="S896" t="str">
        <f>IFERROR(IF(AND('Дивиденды по годам'!L896&lt;&gt;"",'Дивиденды по годам'!I896&lt;&gt;"",'Дивиденды по годам'!J896&lt;&gt;"",'Дивиденды по годам'!K896&lt;&gt;"",('Дивиденды по годам'!I896-'Дивиденды по годам'!J896-'Дивиденды по годам'!K896)&lt;&gt;0),'Дивиденды по годам'!L896/('Дивиденды по годам'!I896-'Дивиденды по годам'!J896-'Дивиденды по годам'!K896),""),"")</f>
        <v/>
      </c>
      <c r="T896" t="str">
        <f>IFERROR(IF(AND('Дивиденды по годам'!Q896&lt;&gt;"",'Дивиденды по годам'!I896&lt;&gt;"",'Дивиденды по годам'!V896&lt;&gt;"",('Дивиденды по годам'!I896+'Дивиденды по годам'!V896)&lt;&gt;0),'Дивиденды по годам'!Q896/(('Дивиденды по годам'!I896+'Дивиденды по годам'!V896)/2),""),"")</f>
        <v/>
      </c>
      <c r="U896" t="str">
        <f>IFERROR(IF(AND('Дивиденды по годам'!J896&lt;&gt;"",'Дивиденды по годам'!K896&lt;&gt;"",'Дивиденды по годам'!M896&lt;&gt;"",'Дивиденды по годам'!M896&lt;&gt;0),('Дивиденды по годам'!J896+'Дивиденды по годам'!K896)/'Дивиденды по годам'!M896,""),"")</f>
        <v/>
      </c>
      <c r="V896" t="str" cm="1">
        <f t="array" ref="V896">IFERROR(AVERAGE(_xlfn._xlws.FILTER(P$2:P$1073,($C$2:$C$1073=$C896)*($E$2:$E$1073=$E896)*(ROW(P$2:P$1073)&lt;&gt;ROW(P896))*(P$2:P$1073&lt;&gt;""))),"")</f>
        <v/>
      </c>
      <c r="W896" t="str" cm="1">
        <f t="array" ref="W896">IFERROR(AVERAGE(_xlfn._xlws.FILTER(Q$2:Q$1073,($C$2:$C$1073=$C896)*($E$2:$E$1073=$E896)*(ROW(Q$2:Q$1073)&lt;&gt;ROW(Q896))*(Q$2:Q$1073&lt;&gt;""))),"")</f>
        <v/>
      </c>
      <c r="X896" t="str" cm="1">
        <f t="array" ref="X896">IFERROR(AVERAGE(_xlfn._xlws.FILTER(R$2:R$1073,($C$2:$C$1073=$C896)*($E$2:$E$1073=$E896)*(ROW(R$2:R$1073)&lt;&gt;ROW(R896))*(R$2:R$1073&lt;&gt;""))),"")</f>
        <v/>
      </c>
      <c r="Y896" t="str" cm="1">
        <f t="array" ref="Y896">IFERROR(AVERAGE(_xlfn._xlws.FILTER(S$2:S$1073,($C$2:$C$1073=$C896)*($E$2:$E$1073=$E896)*(ROW(S$2:S$1073)&lt;&gt;ROW(S896))*(S$2:S$1073&lt;&gt;""))),"")</f>
        <v/>
      </c>
      <c r="Z896" t="str" cm="1">
        <f t="array" ref="Z896">IFERROR(AVERAGE(_xlfn._xlws.FILTER(T$2:T$1073,($C$2:$C$1073=$C896)*($E$2:$E$1073=$E896)*(ROW(T$2:T$1073)&lt;&gt;ROW(T896))*(T$2:T$1073&lt;&gt;""))),"")</f>
        <v/>
      </c>
      <c r="AA896" t="str" cm="1">
        <f t="array" ref="AA896">IFERROR(AVERAGE(_xlfn._xlws.FILTER(U$2:U$1073,($C$2:$C$1073=$C896)*($E$2:$E$1073=$E896)*(ROW(U$2:U$1073)&lt;&gt;ROW(U896))*(U$2:U$1073&lt;&gt;""))),"")</f>
        <v/>
      </c>
    </row>
    <row r="897" spans="1:27" x14ac:dyDescent="0.2">
      <c r="A897" s="7" t="s">
        <v>2287</v>
      </c>
      <c r="B897" t="str">
        <f t="shared" si="145"/>
        <v>YDEX IV кв. 2010</v>
      </c>
      <c r="C897">
        <v>2010</v>
      </c>
      <c r="D897">
        <f>SUMIFS(Дивиденды!$C:$C,Дивиденды!$A:$A,A897,Дивиденды!$I:$I,C897)</f>
        <v>0</v>
      </c>
      <c r="E897">
        <v>5</v>
      </c>
      <c r="F897">
        <f t="shared" si="146"/>
        <v>0</v>
      </c>
      <c r="G897">
        <f t="shared" si="147"/>
        <v>0</v>
      </c>
      <c r="H897">
        <f t="shared" si="148"/>
        <v>0</v>
      </c>
      <c r="I897">
        <f t="shared" si="155"/>
        <v>0</v>
      </c>
      <c r="J897" t="str">
        <f t="shared" si="149"/>
        <v/>
      </c>
      <c r="K897" t="str">
        <f t="shared" si="153"/>
        <v/>
      </c>
      <c r="L897" t="str">
        <f t="shared" si="150"/>
        <v/>
      </c>
      <c r="M897" t="str">
        <f t="shared" si="154"/>
        <v/>
      </c>
      <c r="N897" t="str">
        <f t="shared" si="151"/>
        <v/>
      </c>
      <c r="O897" t="str">
        <f t="shared" si="152"/>
        <v/>
      </c>
      <c r="P897" t="str">
        <f>IFERROR(LN('Дивиденды по годам'!I897),"")</f>
        <v/>
      </c>
      <c r="Q897" t="str">
        <f>IFERROR('Дивиденды по годам'!G897/'Дивиденды по годам'!I897, "")</f>
        <v/>
      </c>
      <c r="R897" t="str">
        <f>IFERROR(IF(AND('Дивиденды по годам'!N897&lt;&gt;"",'Дивиденды по годам'!U897&lt;&gt;"",'Дивиденды по годам'!U897&lt;&gt;0),'Дивиденды по годам'!N897/'Дивиденды по годам'!U897-1,""),"")</f>
        <v/>
      </c>
      <c r="S897" t="str">
        <f>IFERROR(IF(AND('Дивиденды по годам'!L897&lt;&gt;"",'Дивиденды по годам'!I897&lt;&gt;"",'Дивиденды по годам'!J897&lt;&gt;"",'Дивиденды по годам'!K897&lt;&gt;"",('Дивиденды по годам'!I897-'Дивиденды по годам'!J897-'Дивиденды по годам'!K897)&lt;&gt;0),'Дивиденды по годам'!L897/('Дивиденды по годам'!I897-'Дивиденды по годам'!J897-'Дивиденды по годам'!K897),""),"")</f>
        <v/>
      </c>
      <c r="T897" t="str">
        <f>IFERROR(IF(AND('Дивиденды по годам'!Q897&lt;&gt;"",'Дивиденды по годам'!I897&lt;&gt;"",'Дивиденды по годам'!V897&lt;&gt;"",('Дивиденды по годам'!I897+'Дивиденды по годам'!V897)&lt;&gt;0),'Дивиденды по годам'!Q897/(('Дивиденды по годам'!I897+'Дивиденды по годам'!V897)/2),""),"")</f>
        <v/>
      </c>
      <c r="U897" t="str">
        <f>IFERROR(IF(AND('Дивиденды по годам'!J897&lt;&gt;"",'Дивиденды по годам'!K897&lt;&gt;"",'Дивиденды по годам'!M897&lt;&gt;"",'Дивиденды по годам'!M897&lt;&gt;0),('Дивиденды по годам'!J897+'Дивиденды по годам'!K897)/'Дивиденды по годам'!M897,""),"")</f>
        <v/>
      </c>
      <c r="V897" t="str" cm="1">
        <f t="array" ref="V897">IFERROR(AVERAGE(_xlfn._xlws.FILTER(P$2:P$1073,($C$2:$C$1073=$C897)*($E$2:$E$1073=$E897)*(ROW(P$2:P$1073)&lt;&gt;ROW(P897))*(P$2:P$1073&lt;&gt;""))),"")</f>
        <v/>
      </c>
      <c r="W897" t="str" cm="1">
        <f t="array" ref="W897">IFERROR(AVERAGE(_xlfn._xlws.FILTER(Q$2:Q$1073,($C$2:$C$1073=$C897)*($E$2:$E$1073=$E897)*(ROW(Q$2:Q$1073)&lt;&gt;ROW(Q897))*(Q$2:Q$1073&lt;&gt;""))),"")</f>
        <v/>
      </c>
      <c r="X897" t="str" cm="1">
        <f t="array" ref="X897">IFERROR(AVERAGE(_xlfn._xlws.FILTER(R$2:R$1073,($C$2:$C$1073=$C897)*($E$2:$E$1073=$E897)*(ROW(R$2:R$1073)&lt;&gt;ROW(R897))*(R$2:R$1073&lt;&gt;""))),"")</f>
        <v/>
      </c>
      <c r="Y897" t="str" cm="1">
        <f t="array" ref="Y897">IFERROR(AVERAGE(_xlfn._xlws.FILTER(S$2:S$1073,($C$2:$C$1073=$C897)*($E$2:$E$1073=$E897)*(ROW(S$2:S$1073)&lt;&gt;ROW(S897))*(S$2:S$1073&lt;&gt;""))),"")</f>
        <v/>
      </c>
      <c r="Z897" t="str" cm="1">
        <f t="array" ref="Z897">IFERROR(AVERAGE(_xlfn._xlws.FILTER(T$2:T$1073,($C$2:$C$1073=$C897)*($E$2:$E$1073=$E897)*(ROW(T$2:T$1073)&lt;&gt;ROW(T897))*(T$2:T$1073&lt;&gt;""))),"")</f>
        <v/>
      </c>
      <c r="AA897" t="str" cm="1">
        <f t="array" ref="AA897">IFERROR(AVERAGE(_xlfn._xlws.FILTER(U$2:U$1073,($C$2:$C$1073=$C897)*($E$2:$E$1073=$E897)*(ROW(U$2:U$1073)&lt;&gt;ROW(U897))*(U$2:U$1073&lt;&gt;""))),"")</f>
        <v/>
      </c>
    </row>
    <row r="898" spans="1:27" x14ac:dyDescent="0.2">
      <c r="A898" s="7" t="s">
        <v>2289</v>
      </c>
      <c r="B898" t="str">
        <f t="shared" si="145"/>
        <v>MTSS IV кв. 2025</v>
      </c>
      <c r="C898">
        <v>2025</v>
      </c>
      <c r="D898">
        <f>SUMIFS(Дивиденды!$C:$C,Дивиденды!$A:$A,A898,Дивиденды!$I:$I,C898)</f>
        <v>0</v>
      </c>
      <c r="E898">
        <v>6</v>
      </c>
      <c r="F898">
        <f t="shared" si="146"/>
        <v>0</v>
      </c>
      <c r="G898">
        <f t="shared" si="147"/>
        <v>0</v>
      </c>
      <c r="H898">
        <f t="shared" si="148"/>
        <v>0</v>
      </c>
      <c r="I898">
        <f t="shared" si="155"/>
        <v>0</v>
      </c>
      <c r="J898">
        <f t="shared" si="149"/>
        <v>-1</v>
      </c>
      <c r="K898">
        <f t="shared" si="153"/>
        <v>-1</v>
      </c>
      <c r="L898">
        <f t="shared" si="150"/>
        <v>0</v>
      </c>
      <c r="M898">
        <f t="shared" si="154"/>
        <v>0</v>
      </c>
      <c r="N898">
        <f t="shared" si="151"/>
        <v>1</v>
      </c>
      <c r="O898">
        <f t="shared" si="152"/>
        <v>1</v>
      </c>
      <c r="P898">
        <f>IFERROR(LN('Дивиденды по годам'!I898),"")</f>
        <v>28.201109870396543</v>
      </c>
      <c r="Q898">
        <f>IFERROR('Дивиденды по годам'!G898/'Дивиденды по годам'!I898, "")</f>
        <v>0.22120826227194385</v>
      </c>
      <c r="R898">
        <f>IFERROR(IF(AND('Дивиденды по годам'!N898&lt;&gt;"",'Дивиденды по годам'!U898&lt;&gt;"",'Дивиденды по годам'!U898&lt;&gt;0),'Дивиденды по годам'!N898/'Дивиденды по годам'!U898-1,""),"")</f>
        <v>0.14699299884474537</v>
      </c>
      <c r="S898" t="str">
        <f>IFERROR(IF(AND('Дивиденды по годам'!L898&lt;&gt;"",'Дивиденды по годам'!I898&lt;&gt;"",'Дивиденды по годам'!J898&lt;&gt;"",'Дивиденды по годам'!K898&lt;&gt;"",('Дивиденды по годам'!I898-'Дивиденды по годам'!J898-'Дивиденды по годам'!K898)&lt;&gt;0),'Дивиденды по годам'!L898/('Дивиденды по годам'!I898-'Дивиденды по годам'!J898-'Дивиденды по годам'!K898),""),"")</f>
        <v/>
      </c>
      <c r="T898">
        <f>IFERROR(IF(AND('Дивиденды по годам'!Q898&lt;&gt;"",'Дивиденды по годам'!I898&lt;&gt;"",'Дивиденды по годам'!V898&lt;&gt;"",('Дивиденды по годам'!I898+'Дивиденды по годам'!V898)&lt;&gt;0),'Дивиденды по годам'!Q898/(('Дивиденды по годам'!I898+'Дивиденды по годам'!V898)/2),""),"")</f>
        <v>2.3520516761039112E-2</v>
      </c>
      <c r="U898">
        <f>IFERROR(IF(AND('Дивиденды по годам'!J898&lt;&gt;"",'Дивиденды по годам'!K898&lt;&gt;"",'Дивиденды по годам'!M898&lt;&gt;"",'Дивиденды по годам'!M898&lt;&gt;0),('Дивиденды по годам'!J898+'Дивиденды по годам'!K898)/'Дивиденды по годам'!M898,""),"")</f>
        <v>103.28258049298266</v>
      </c>
      <c r="V898" cm="1">
        <f t="array" ref="V898">IFERROR(AVERAGE(_xlfn._xlws.FILTER(P$2:P$1073,($C$2:$C$1073=$C898)*($E$2:$E$1073=$E898)*(ROW(P$2:P$1073)&lt;&gt;ROW(P898))*(P$2:P$1073&lt;&gt;""))),"")</f>
        <v>27.990708218758318</v>
      </c>
      <c r="W898" cm="1">
        <f t="array" ref="W898">IFERROR(AVERAGE(_xlfn._xlws.FILTER(Q$2:Q$1073,($C$2:$C$1073=$C898)*($E$2:$E$1073=$E898)*(ROW(Q$2:Q$1073)&lt;&gt;ROW(Q898))*(Q$2:Q$1073&lt;&gt;""))),"")</f>
        <v>0.51373631166858935</v>
      </c>
      <c r="X898" cm="1">
        <f t="array" ref="X898">IFERROR(AVERAGE(_xlfn._xlws.FILTER(R$2:R$1073,($C$2:$C$1073=$C898)*($E$2:$E$1073=$E898)*(ROW(R$2:R$1073)&lt;&gt;ROW(R898))*(R$2:R$1073&lt;&gt;""))),"")</f>
        <v>0.11904044515959455</v>
      </c>
      <c r="Y898" cm="1">
        <f t="array" ref="Y898">IFERROR(AVERAGE(_xlfn._xlws.FILTER(S$2:S$1073,($C$2:$C$1073=$C898)*($E$2:$E$1073=$E898)*(ROW(S$2:S$1073)&lt;&gt;ROW(S898))*(S$2:S$1073&lt;&gt;""))),"")</f>
        <v>0.8147637928757776</v>
      </c>
      <c r="Z898" cm="1">
        <f t="array" ref="Z898">IFERROR(AVERAGE(_xlfn._xlws.FILTER(T$2:T$1073,($C$2:$C$1073=$C898)*($E$2:$E$1073=$E898)*(ROW(T$2:T$1073)&lt;&gt;ROW(T898))*(T$2:T$1073&lt;&gt;""))),"")</f>
        <v>1.33023241928869E-2</v>
      </c>
      <c r="AA898" cm="1">
        <f t="array" ref="AA898">IFERROR(AVERAGE(_xlfn._xlws.FILTER(U$2:U$1073,($C$2:$C$1073=$C898)*($E$2:$E$1073=$E898)*(ROW(U$2:U$1073)&lt;&gt;ROW(U898))*(U$2:U$1073&lt;&gt;""))),"")</f>
        <v>4.113797693781919</v>
      </c>
    </row>
    <row r="899" spans="1:27" x14ac:dyDescent="0.2">
      <c r="A899" s="7" t="s">
        <v>2289</v>
      </c>
      <c r="B899" t="str">
        <f t="shared" ref="B899:B962" si="156">A899&amp;" "&amp;
"IV"
&amp;" кв. "&amp;C899</f>
        <v>MTSS IV кв. 2024</v>
      </c>
      <c r="C899">
        <v>2024</v>
      </c>
      <c r="D899">
        <f>SUMIFS(Дивиденды!$C:$C,Дивиденды!$A:$A,A899,Дивиденды!$I:$I,C899)</f>
        <v>35</v>
      </c>
      <c r="E899">
        <v>6</v>
      </c>
      <c r="F899">
        <f t="shared" ref="F899:F962" si="157">D899</f>
        <v>35</v>
      </c>
      <c r="G899">
        <f t="shared" ref="G899:G962" si="158">AVERAGEIFS($D:$D,$E:$E,E899,$C:$C,C899,$A:$A,"&lt;&gt;"&amp;A899)</f>
        <v>2.71</v>
      </c>
      <c r="H899">
        <f t="shared" ref="H899:H962" si="159">IF(D899&gt;0,1,0)</f>
        <v>1</v>
      </c>
      <c r="I899">
        <f t="shared" si="155"/>
        <v>1</v>
      </c>
      <c r="J899">
        <f t="shared" ref="J899:J962" si="160">IF(A900&lt;&gt;A899,"",IF(D899=D900,0,IF(AND(D900=0,D899&lt;&gt;0), 1,(D899-D900)/D900)))</f>
        <v>0</v>
      </c>
      <c r="K899">
        <f t="shared" si="153"/>
        <v>-0.55280528052805278</v>
      </c>
      <c r="L899">
        <f t="shared" ref="L899:L962" si="161">IF(J899&lt;&gt;"",IF(J899&gt;0,1,0),"")</f>
        <v>0</v>
      </c>
      <c r="M899">
        <f t="shared" si="154"/>
        <v>0</v>
      </c>
      <c r="N899">
        <f t="shared" ref="N899:N962" si="162">IF(J899&lt;&gt;"",IF(J899&lt;0,1,0),"")</f>
        <v>0</v>
      </c>
      <c r="O899">
        <f t="shared" ref="O899:O962" si="163">IFERROR(AVERAGEIFS($N:$N,$E:$E,E899,$C:$C,C899,$A:$A,"&lt;&gt;"&amp;A899),"")</f>
        <v>1</v>
      </c>
      <c r="P899">
        <f>IFERROR(LN('Дивиденды по годам'!I899),"")</f>
        <v>28.047731425753593</v>
      </c>
      <c r="Q899">
        <f>IFERROR('Дивиденды по годам'!G899/'Дивиденды по годам'!I899, "")</f>
        <v>0.22380901841376488</v>
      </c>
      <c r="R899">
        <f>IFERROR(IF(AND('Дивиденды по годам'!N899&lt;&gt;"",'Дивиденды по годам'!U899&lt;&gt;"",'Дивиденды по годам'!U899&lt;&gt;0),'Дивиденды по годам'!N899/'Дивиденды по годам'!U899-1,""),"")</f>
        <v>0.16130602599708577</v>
      </c>
      <c r="S899">
        <f>IFERROR(IF(AND('Дивиденды по годам'!L899&lt;&gt;"",'Дивиденды по годам'!I899&lt;&gt;"",'Дивиденды по годам'!J899&lt;&gt;"",'Дивиденды по годам'!K899&lt;&gt;"",('Дивиденды по годам'!I899-'Дивиденды по годам'!J899-'Дивиденды по годам'!K899)&lt;&gt;0),'Дивиденды по годам'!L899/('Дивиденды по годам'!I899-'Дивиденды по годам'!J899-'Дивиденды по годам'!K899),""),"")</f>
        <v>-4.9949261171443835</v>
      </c>
      <c r="T899">
        <f>IFERROR(IF(AND('Дивиденды по годам'!Q899&lt;&gt;"",'Дивиденды по годам'!I899&lt;&gt;"",'Дивиденды по годам'!V899&lt;&gt;"",('Дивиденды по годам'!I899+'Дивиденды по годам'!V899)&lt;&gt;0),'Дивиденды по годам'!Q899/(('Дивиденды по годам'!I899+'Дивиденды по годам'!V899)/2),""),"")</f>
        <v>3.6531852499619016E-2</v>
      </c>
      <c r="U899">
        <f>IFERROR(IF(AND('Дивиденды по годам'!J899&lt;&gt;"",'Дивиденды по годам'!K899&lt;&gt;"",'Дивиденды по годам'!M899&lt;&gt;"",'Дивиденды по годам'!M899&lt;&gt;0),('Дивиденды по годам'!J899+'Дивиденды по годам'!K899)/'Дивиденды по годам'!M899,""),"")</f>
        <v>-136.03320277728324</v>
      </c>
      <c r="V899" cm="1">
        <f t="array" ref="V899">IFERROR(AVERAGE(_xlfn._xlws.FILTER(P$2:P$1073,($C$2:$C$1073=$C899)*($E$2:$E$1073=$E899)*(ROW(P$2:P$1073)&lt;&gt;ROW(P899))*(P$2:P$1073&lt;&gt;""))),"")</f>
        <v>27.953765990543594</v>
      </c>
      <c r="W899" cm="1">
        <f t="array" ref="W899">IFERROR(AVERAGE(_xlfn._xlws.FILTER(Q$2:Q$1073,($C$2:$C$1073=$C899)*($E$2:$E$1073=$E899)*(ROW(Q$2:Q$1073)&lt;&gt;ROW(Q899))*(Q$2:Q$1073&lt;&gt;""))),"")</f>
        <v>0.51706226243072517</v>
      </c>
      <c r="X899" cm="1">
        <f t="array" ref="X899">IFERROR(AVERAGE(_xlfn._xlws.FILTER(R$2:R$1073,($C$2:$C$1073=$C899)*($E$2:$E$1073=$E899)*(ROW(R$2:R$1073)&lt;&gt;ROW(R899))*(R$2:R$1073&lt;&gt;""))),"")</f>
        <v>0.10192695404499297</v>
      </c>
      <c r="Y899" cm="1">
        <f t="array" ref="Y899">IFERROR(AVERAGE(_xlfn._xlws.FILTER(S$2:S$1073,($C$2:$C$1073=$C899)*($E$2:$E$1073=$E899)*(ROW(S$2:S$1073)&lt;&gt;ROW(S899))*(S$2:S$1073&lt;&gt;""))),"")</f>
        <v>0.83695151634760867</v>
      </c>
      <c r="Z899" cm="1">
        <f t="array" ref="Z899">IFERROR(AVERAGE(_xlfn._xlws.FILTER(T$2:T$1073,($C$2:$C$1073=$C899)*($E$2:$E$1073=$E899)*(ROW(T$2:T$1073)&lt;&gt;ROW(T899))*(T$2:T$1073&lt;&gt;""))),"")</f>
        <v>1.8333377147513964E-2</v>
      </c>
      <c r="AA899" cm="1">
        <f t="array" ref="AA899">IFERROR(AVERAGE(_xlfn._xlws.FILTER(U$2:U$1073,($C$2:$C$1073=$C899)*($E$2:$E$1073=$E899)*(ROW(U$2:U$1073)&lt;&gt;ROW(U899))*(U$2:U$1073&lt;&gt;""))),"")</f>
        <v>4.0468646068606597</v>
      </c>
    </row>
    <row r="900" spans="1:27" x14ac:dyDescent="0.2">
      <c r="A900" s="7" t="s">
        <v>2289</v>
      </c>
      <c r="B900" t="str">
        <f t="shared" si="156"/>
        <v>MTSS IV кв. 2023</v>
      </c>
      <c r="C900">
        <v>2023</v>
      </c>
      <c r="D900">
        <f>SUMIFS(Дивиденды!$C:$C,Дивиденды!$A:$A,A900,Дивиденды!$I:$I,C900)</f>
        <v>35</v>
      </c>
      <c r="E900">
        <v>6</v>
      </c>
      <c r="F900">
        <f t="shared" si="157"/>
        <v>35</v>
      </c>
      <c r="G900">
        <f t="shared" si="158"/>
        <v>6.06</v>
      </c>
      <c r="H900">
        <f t="shared" si="159"/>
        <v>1</v>
      </c>
      <c r="I900">
        <f t="shared" si="155"/>
        <v>1</v>
      </c>
      <c r="J900">
        <f t="shared" si="160"/>
        <v>2.070574511519396E-2</v>
      </c>
      <c r="K900">
        <f t="shared" ref="K900:K963" si="164">IFERROR(AVERAGEIFS($J:$J,$E:$E,E900,$C:$C,C900,$A:$A,"&lt;&gt;"&amp;A900),"")</f>
        <v>0.11192660550458705</v>
      </c>
      <c r="L900">
        <f t="shared" si="161"/>
        <v>1</v>
      </c>
      <c r="M900">
        <f t="shared" si="154"/>
        <v>1</v>
      </c>
      <c r="N900">
        <f t="shared" si="162"/>
        <v>0</v>
      </c>
      <c r="O900">
        <f t="shared" si="163"/>
        <v>0</v>
      </c>
      <c r="P900">
        <f>IFERROR(LN('Дивиденды по годам'!I900),"")</f>
        <v>27.886860292080872</v>
      </c>
      <c r="Q900">
        <f>IFERROR('Дивиденды по годам'!G900/'Дивиденды по годам'!I900, "")</f>
        <v>0.24332872644778153</v>
      </c>
      <c r="R900">
        <f>IFERROR(IF(AND('Дивиденды по годам'!N900&lt;&gt;"",'Дивиденды по годам'!U900&lt;&gt;"",'Дивиденды по годам'!U900&lt;&gt;0),'Дивиденды по годам'!N900/'Дивиденды по годам'!U900-1,""),"")</f>
        <v>0.11858259083080913</v>
      </c>
      <c r="S900" t="str">
        <f>IFERROR(IF(AND('Дивиденды по годам'!L900&lt;&gt;"",'Дивиденды по годам'!I900&lt;&gt;"",'Дивиденды по годам'!J900&lt;&gt;"",'Дивиденды по годам'!K900&lt;&gt;"",('Дивиденды по годам'!I900-'Дивиденды по годам'!J900-'Дивиденды по годам'!K900)&lt;&gt;0),'Дивиденды по годам'!L900/('Дивиденды по годам'!I900-'Дивиденды по годам'!J900-'Дивиденды по годам'!K900),""),"")</f>
        <v/>
      </c>
      <c r="T900">
        <f>IFERROR(IF(AND('Дивиденды по годам'!Q900&lt;&gt;"",'Дивиденды по годам'!I900&lt;&gt;"",'Дивиденды по годам'!V900&lt;&gt;"",('Дивиденды по годам'!I900+'Дивиденды по годам'!V900)&lt;&gt;0),'Дивиденды по годам'!Q900/(('Дивиденды по годам'!I900+'Дивиденды по годам'!V900)/2),""),"")</f>
        <v>4.6771602143631748E-2</v>
      </c>
      <c r="U900">
        <f>IFERROR(IF(AND('Дивиденды по годам'!J900&lt;&gt;"",'Дивиденды по годам'!K900&lt;&gt;"",'Дивиденды по годам'!M900&lt;&gt;"",'Дивиденды по годам'!M900&lt;&gt;0),('Дивиденды по годам'!J900+'Дивиденды по годам'!K900)/'Дивиденды по годам'!M900,""),"")</f>
        <v>749.89825581395348</v>
      </c>
      <c r="V900" cm="1">
        <f t="array" ref="V900">IFERROR(AVERAGE(_xlfn._xlws.FILTER(P$2:P$1073,($C$2:$C$1073=$C900)*($E$2:$E$1073=$E900)*(ROW(P$2:P$1073)&lt;&gt;ROW(P900))*(P$2:P$1073&lt;&gt;""))),"")</f>
        <v>27.849198757497749</v>
      </c>
      <c r="W900" cm="1">
        <f t="array" ref="W900">IFERROR(AVERAGE(_xlfn._xlws.FILTER(Q$2:Q$1073,($C$2:$C$1073=$C900)*($E$2:$E$1073=$E900)*(ROW(Q$2:Q$1073)&lt;&gt;ROW(Q900))*(Q$2:Q$1073&lt;&gt;""))),"")</f>
        <v>0.51251398929738357</v>
      </c>
      <c r="X900" t="str" cm="1">
        <f t="array" ref="X900">IFERROR(AVERAGE(_xlfn._xlws.FILTER(R$2:R$1073,($C$2:$C$1073=$C900)*($E$2:$E$1073=$E900)*(ROW(R$2:R$1073)&lt;&gt;ROW(R900))*(R$2:R$1073&lt;&gt;""))),"")</f>
        <v/>
      </c>
      <c r="Y900" cm="1">
        <f t="array" ref="Y900">IFERROR(AVERAGE(_xlfn._xlws.FILTER(S$2:S$1073,($C$2:$C$1073=$C900)*($E$2:$E$1073=$E900)*(ROW(S$2:S$1073)&lt;&gt;ROW(S900))*(S$2:S$1073&lt;&gt;""))),"")</f>
        <v>0.85381939887124292</v>
      </c>
      <c r="Z900" t="str" cm="1">
        <f t="array" ref="Z900">IFERROR(AVERAGE(_xlfn._xlws.FILTER(T$2:T$1073,($C$2:$C$1073=$C900)*($E$2:$E$1073=$E900)*(ROW(T$2:T$1073)&lt;&gt;ROW(T900))*(T$2:T$1073&lt;&gt;""))),"")</f>
        <v/>
      </c>
      <c r="AA900" cm="1">
        <f t="array" ref="AA900">IFERROR(AVERAGE(_xlfn._xlws.FILTER(U$2:U$1073,($C$2:$C$1073=$C900)*($E$2:$E$1073=$E900)*(ROW(U$2:U$1073)&lt;&gt;ROW(U900))*(U$2:U$1073&lt;&gt;""))),"")</f>
        <v>3.5347450088229717</v>
      </c>
    </row>
    <row r="901" spans="1:27" x14ac:dyDescent="0.2">
      <c r="A901" s="7" t="s">
        <v>2289</v>
      </c>
      <c r="B901" t="str">
        <f t="shared" si="156"/>
        <v>MTSS IV кв. 2022</v>
      </c>
      <c r="C901">
        <v>2022</v>
      </c>
      <c r="D901">
        <f>SUMIFS(Дивиденды!$C:$C,Дивиденды!$A:$A,A901,Дивиденды!$I:$I,C901)</f>
        <v>34.29</v>
      </c>
      <c r="E901">
        <v>6</v>
      </c>
      <c r="F901">
        <f t="shared" si="157"/>
        <v>34.29</v>
      </c>
      <c r="G901">
        <f t="shared" si="158"/>
        <v>5.45</v>
      </c>
      <c r="H901">
        <f t="shared" si="159"/>
        <v>1</v>
      </c>
      <c r="I901">
        <f t="shared" si="155"/>
        <v>1</v>
      </c>
      <c r="J901">
        <f t="shared" si="160"/>
        <v>-0.22770270270270282</v>
      </c>
      <c r="K901">
        <f t="shared" si="164"/>
        <v>0.19517543859649136</v>
      </c>
      <c r="L901">
        <f t="shared" si="161"/>
        <v>0</v>
      </c>
      <c r="M901">
        <f t="shared" si="154"/>
        <v>1</v>
      </c>
      <c r="N901">
        <f t="shared" si="162"/>
        <v>1</v>
      </c>
      <c r="O901">
        <f t="shared" si="163"/>
        <v>0</v>
      </c>
      <c r="P901">
        <f>IFERROR(LN('Дивиденды по годам'!I901),"")</f>
        <v>27.710691446586061</v>
      </c>
      <c r="Q901">
        <f>IFERROR('Дивиденды по годам'!G901/'Дивиденды по годам'!I901, "")</f>
        <v>0.28857728569713648</v>
      </c>
      <c r="R901">
        <f>IFERROR(IF(AND('Дивиденды по годам'!N901&lt;&gt;"",'Дивиденды по годам'!U901&lt;&gt;"",'Дивиденды по годам'!U901&lt;&gt;0),'Дивиденды по годам'!N901/'Дивиденды по годам'!U901-1,""),"")</f>
        <v>1.3746180317101508E-2</v>
      </c>
      <c r="S901" t="str">
        <f>IFERROR(IF(AND('Дивиденды по годам'!L901&lt;&gt;"",'Дивиденды по годам'!I901&lt;&gt;"",'Дивиденды по годам'!J901&lt;&gt;"",'Дивиденды по годам'!K901&lt;&gt;"",('Дивиденды по годам'!I901-'Дивиденды по годам'!J901-'Дивиденды по годам'!K901)&lt;&gt;0),'Дивиденды по годам'!L901/('Дивиденды по годам'!I901-'Дивиденды по годам'!J901-'Дивиденды по годам'!K901),""),"")</f>
        <v/>
      </c>
      <c r="T901">
        <f>IFERROR(IF(AND('Дивиденды по годам'!Q901&lt;&gt;"",'Дивиденды по годам'!I901&lt;&gt;"",'Дивиденды по годам'!V901&lt;&gt;"",('Дивиденды по годам'!I901+'Дивиденды по годам'!V901)&lt;&gt;0),'Дивиденды по годам'!Q901/(('Дивиденды по годам'!I901+'Дивиденды по годам'!V901)/2),""),"")</f>
        <v>3.186185287609565E-2</v>
      </c>
      <c r="U901">
        <f>IFERROR(IF(AND('Дивиденды по годам'!J901&lt;&gt;"",'Дивиденды по годам'!K901&lt;&gt;"",'Дивиденды по годам'!M901&lt;&gt;"",'Дивиденды по годам'!M901&lt;&gt;0),('Дивиденды по годам'!J901+'Дивиденды по годам'!K901)/'Дивиденды по годам'!M901,""),"")</f>
        <v>-300.40005529444289</v>
      </c>
      <c r="V901" t="str" cm="1">
        <f t="array" ref="V901">IFERROR(AVERAGE(_xlfn._xlws.FILTER(P$2:P$1073,($C$2:$C$1073=$C901)*($E$2:$E$1073=$E901)*(ROW(P$2:P$1073)&lt;&gt;ROW(P901))*(P$2:P$1073&lt;&gt;""))),"")</f>
        <v/>
      </c>
      <c r="W901" t="str" cm="1">
        <f t="array" ref="W901">IFERROR(AVERAGE(_xlfn._xlws.FILTER(Q$2:Q$1073,($C$2:$C$1073=$C901)*($E$2:$E$1073=$E901)*(ROW(Q$2:Q$1073)&lt;&gt;ROW(Q901))*(Q$2:Q$1073&lt;&gt;""))),"")</f>
        <v/>
      </c>
      <c r="X901" t="str" cm="1">
        <f t="array" ref="X901">IFERROR(AVERAGE(_xlfn._xlws.FILTER(R$2:R$1073,($C$2:$C$1073=$C901)*($E$2:$E$1073=$E901)*(ROW(R$2:R$1073)&lt;&gt;ROW(R901))*(R$2:R$1073&lt;&gt;""))),"")</f>
        <v/>
      </c>
      <c r="Y901" t="str" cm="1">
        <f t="array" ref="Y901">IFERROR(AVERAGE(_xlfn._xlws.FILTER(S$2:S$1073,($C$2:$C$1073=$C901)*($E$2:$E$1073=$E901)*(ROW(S$2:S$1073)&lt;&gt;ROW(S901))*(S$2:S$1073&lt;&gt;""))),"")</f>
        <v/>
      </c>
      <c r="Z901" t="str" cm="1">
        <f t="array" ref="Z901">IFERROR(AVERAGE(_xlfn._xlws.FILTER(T$2:T$1073,($C$2:$C$1073=$C901)*($E$2:$E$1073=$E901)*(ROW(T$2:T$1073)&lt;&gt;ROW(T901))*(T$2:T$1073&lt;&gt;""))),"")</f>
        <v/>
      </c>
      <c r="AA901" t="str" cm="1">
        <f t="array" ref="AA901">IFERROR(AVERAGE(_xlfn._xlws.FILTER(U$2:U$1073,($C$2:$C$1073=$C901)*($E$2:$E$1073=$E901)*(ROW(U$2:U$1073)&lt;&gt;ROW(U901))*(U$2:U$1073&lt;&gt;""))),"")</f>
        <v/>
      </c>
    </row>
    <row r="902" spans="1:27" x14ac:dyDescent="0.2">
      <c r="A902" s="7" t="s">
        <v>2289</v>
      </c>
      <c r="B902" t="str">
        <f t="shared" si="156"/>
        <v>MTSS IV кв. 2021</v>
      </c>
      <c r="C902">
        <v>2021</v>
      </c>
      <c r="D902">
        <f>SUMIFS(Дивиденды!$C:$C,Дивиденды!$A:$A,A902,Дивиденды!$I:$I,C902)</f>
        <v>44.400000000000006</v>
      </c>
      <c r="E902">
        <v>6</v>
      </c>
      <c r="F902">
        <f t="shared" si="157"/>
        <v>44.400000000000006</v>
      </c>
      <c r="G902">
        <f t="shared" si="158"/>
        <v>4.5599999999999996</v>
      </c>
      <c r="H902">
        <f t="shared" si="159"/>
        <v>1</v>
      </c>
      <c r="I902">
        <f t="shared" si="155"/>
        <v>1</v>
      </c>
      <c r="J902">
        <f t="shared" si="160"/>
        <v>0.25282167042889414</v>
      </c>
      <c r="K902">
        <f t="shared" si="164"/>
        <v>-8.8000000000000078E-2</v>
      </c>
      <c r="L902">
        <f t="shared" si="161"/>
        <v>1</v>
      </c>
      <c r="M902">
        <f t="shared" si="154"/>
        <v>0</v>
      </c>
      <c r="N902">
        <f t="shared" si="162"/>
        <v>0</v>
      </c>
      <c r="O902">
        <f t="shared" si="163"/>
        <v>1</v>
      </c>
      <c r="P902">
        <f>IFERROR(LN('Дивиденды по годам'!I902),"")</f>
        <v>27.646715315180185</v>
      </c>
      <c r="Q902">
        <f>IFERROR('Дивиденды по годам'!G902/'Дивиденды по годам'!I902, "")</f>
        <v>0.3064033124043874</v>
      </c>
      <c r="R902">
        <f>IFERROR(IF(AND('Дивиденды по годам'!N902&lt;&gt;"",'Дивиденды по годам'!U902&lt;&gt;"",'Дивиденды по годам'!U902&lt;&gt;0),'Дивиденды по годам'!N902/'Дивиденды по годам'!U902-1,""),"")</f>
        <v>7.9763439382857237E-2</v>
      </c>
      <c r="S902">
        <f>IFERROR(IF(AND('Дивиденды по годам'!L902&lt;&gt;"",'Дивиденды по годам'!I902&lt;&gt;"",'Дивиденды по годам'!J902&lt;&gt;"",'Дивиденды по годам'!K902&lt;&gt;"",('Дивиденды по годам'!I902-'Дивиденды по годам'!J902-'Дивиденды по годам'!K902)&lt;&gt;0),'Дивиденды по годам'!L902/('Дивиденды по годам'!I902-'Дивиденды по годам'!J902-'Дивиденды по годам'!K902),""),"")</f>
        <v>6.5006162695152012</v>
      </c>
      <c r="T902">
        <f>IFERROR(IF(AND('Дивиденды по годам'!Q902&lt;&gt;"",'Дивиденды по годам'!I902&lt;&gt;"",'Дивиденды по годам'!V902&lt;&gt;"",('Дивиденды по годам'!I902+'Дивиденды по годам'!V902)&lt;&gt;0),'Дивиденды по годам'!Q902/(('Дивиденды по годам'!I902+'Дивиденды по годам'!V902)/2),""),"")</f>
        <v>6.6427186061546614E-2</v>
      </c>
      <c r="U902">
        <f>IFERROR(IF(AND('Дивиденды по годам'!J902&lt;&gt;"",'Дивиденды по годам'!K902&lt;&gt;"",'Дивиденды по годам'!M902&lt;&gt;"",'Дивиденды по годам'!M902&lt;&gt;0),('Дивиденды по годам'!J902+'Дивиденды по годам'!K902)/'Дивиденды по годам'!M902,""),"")</f>
        <v>68.557518488085449</v>
      </c>
      <c r="V902" cm="1">
        <f t="array" ref="V902">IFERROR(AVERAGE(_xlfn._xlws.FILTER(P$2:P$1073,($C$2:$C$1073=$C902)*($E$2:$E$1073=$E902)*(ROW(P$2:P$1073)&lt;&gt;ROW(P902))*(P$2:P$1073&lt;&gt;""))),"")</f>
        <v>27.72895330979312</v>
      </c>
      <c r="W902" cm="1">
        <f t="array" ref="W902">IFERROR(AVERAGE(_xlfn._xlws.FILTER(Q$2:Q$1073,($C$2:$C$1073=$C902)*($E$2:$E$1073=$E902)*(ROW(Q$2:Q$1073)&lt;&gt;ROW(Q902))*(Q$2:Q$1073&lt;&gt;""))),"")</f>
        <v>0.55095168321715349</v>
      </c>
      <c r="X902" cm="1">
        <f t="array" ref="X902">IFERROR(AVERAGE(_xlfn._xlws.FILTER(R$2:R$1073,($C$2:$C$1073=$C902)*($E$2:$E$1073=$E902)*(ROW(R$2:R$1073)&lt;&gt;ROW(R902))*(R$2:R$1073&lt;&gt;""))),"")</f>
        <v>6.071250290278285E-2</v>
      </c>
      <c r="Y902" cm="1">
        <f t="array" ref="Y902">IFERROR(AVERAGE(_xlfn._xlws.FILTER(S$2:S$1073,($C$2:$C$1073=$C902)*($E$2:$E$1073=$E902)*(ROW(S$2:S$1073)&lt;&gt;ROW(S902))*(S$2:S$1073&lt;&gt;""))),"")</f>
        <v>0.88269232460576419</v>
      </c>
      <c r="Z902" cm="1">
        <f t="array" ref="Z902">IFERROR(AVERAGE(_xlfn._xlws.FILTER(T$2:T$1073,($C$2:$C$1073=$C902)*($E$2:$E$1073=$E902)*(ROW(T$2:T$1073)&lt;&gt;ROW(T902))*(T$2:T$1073&lt;&gt;""))),"")</f>
        <v>3.027799694575747E-2</v>
      </c>
      <c r="AA902" cm="1">
        <f t="array" ref="AA902">IFERROR(AVERAGE(_xlfn._xlws.FILTER(U$2:U$1073,($C$2:$C$1073=$C902)*($E$2:$E$1073=$E902)*(ROW(U$2:U$1073)&lt;&gt;ROW(U902))*(U$2:U$1073&lt;&gt;""))),"")</f>
        <v>3.8499485492651782</v>
      </c>
    </row>
    <row r="903" spans="1:27" x14ac:dyDescent="0.2">
      <c r="A903" s="7" t="s">
        <v>2289</v>
      </c>
      <c r="B903" t="str">
        <f t="shared" si="156"/>
        <v>MTSS IV кв. 2020</v>
      </c>
      <c r="C903">
        <v>2020</v>
      </c>
      <c r="D903">
        <f>SUMIFS(Дивиденды!$C:$C,Дивиденды!$A:$A,A903,Дивиденды!$I:$I,C903)</f>
        <v>35.44</v>
      </c>
      <c r="E903">
        <v>6</v>
      </c>
      <c r="F903">
        <f t="shared" si="157"/>
        <v>35.44</v>
      </c>
      <c r="G903">
        <f t="shared" si="158"/>
        <v>5</v>
      </c>
      <c r="H903">
        <f t="shared" si="159"/>
        <v>1</v>
      </c>
      <c r="I903">
        <f t="shared" si="155"/>
        <v>1</v>
      </c>
      <c r="J903">
        <f t="shared" si="160"/>
        <v>-0.16611764705882359</v>
      </c>
      <c r="K903">
        <f t="shared" si="164"/>
        <v>0</v>
      </c>
      <c r="L903">
        <f t="shared" si="161"/>
        <v>0</v>
      </c>
      <c r="M903">
        <f t="shared" si="154"/>
        <v>0</v>
      </c>
      <c r="N903">
        <f t="shared" si="162"/>
        <v>1</v>
      </c>
      <c r="O903">
        <f t="shared" si="163"/>
        <v>0</v>
      </c>
      <c r="P903">
        <f>IFERROR(LN('Дивиденды по годам'!I903),"")</f>
        <v>27.546772827183204</v>
      </c>
      <c r="Q903">
        <f>IFERROR('Дивиденды по годам'!G903/'Дивиденды по годам'!I903, "")</f>
        <v>0.30983797920589901</v>
      </c>
      <c r="R903">
        <f>IFERROR(IF(AND('Дивиденды по годам'!N903&lt;&gt;"",'Дивиденды по годам'!U903&lt;&gt;"",'Дивиденды по годам'!U903&lt;&gt;0),'Дивиденды по годам'!N903/'Дивиденды по годам'!U903-1,""),"")</f>
        <v>3.9529012446807954E-2</v>
      </c>
      <c r="S903">
        <f>IFERROR(IF(AND('Дивиденды по годам'!L903&lt;&gt;"",'Дивиденды по годам'!I903&lt;&gt;"",'Дивиденды по годам'!J903&lt;&gt;"",'Дивиденды по годам'!K903&lt;&gt;"",('Дивиденды по годам'!I903-'Дивиденды по годам'!J903-'Дивиденды по годам'!K903)&lt;&gt;0),'Дивиденды по годам'!L903/('Дивиденды по годам'!I903-'Дивиденды по годам'!J903-'Дивиденды по годам'!K903),""),"")</f>
        <v>2.8874579382074028</v>
      </c>
      <c r="T903">
        <f>IFERROR(IF(AND('Дивиденды по годам'!Q903&lt;&gt;"",'Дивиденды по годам'!I903&lt;&gt;"",'Дивиденды по годам'!V903&lt;&gt;"",('Дивиденды по годам'!I903+'Дивиденды по годам'!V903)&lt;&gt;0),'Дивиденды по годам'!Q903/(('Дивиденды по годам'!I903+'Дивиденды по годам'!V903)/2),""),"")</f>
        <v>7.1220856020235063E-2</v>
      </c>
      <c r="U903">
        <f>IFERROR(IF(AND('Дивиденды по годам'!J903&lt;&gt;"",'Дивиденды по годам'!K903&lt;&gt;"",'Дивиденды по годам'!M903&lt;&gt;"",'Дивиденды по годам'!M903&lt;&gt;0),('Дивиденды по годам'!J903+'Дивиденды по годам'!K903)/'Дивиденды по годам'!M903,""),"")</f>
        <v>27.11878250229428</v>
      </c>
      <c r="V903" cm="1">
        <f t="array" ref="V903">IFERROR(AVERAGE(_xlfn._xlws.FILTER(P$2:P$1073,($C$2:$C$1073=$C903)*($E$2:$E$1073=$E903)*(ROW(P$2:P$1073)&lt;&gt;ROW(P903))*(P$2:P$1073&lt;&gt;""))),"")</f>
        <v>27.630782087363496</v>
      </c>
      <c r="W903" cm="1">
        <f t="array" ref="W903">IFERROR(AVERAGE(_xlfn._xlws.FILTER(Q$2:Q$1073,($C$2:$C$1073=$C903)*($E$2:$E$1073=$E903)*(ROW(Q$2:Q$1073)&lt;&gt;ROW(Q903))*(Q$2:Q$1073&lt;&gt;""))),"")</f>
        <v>0.57549354295676669</v>
      </c>
      <c r="X903" cm="1">
        <f t="array" ref="X903">IFERROR(AVERAGE(_xlfn._xlws.FILTER(R$2:R$1073,($C$2:$C$1073=$C903)*($E$2:$E$1073=$E903)*(ROW(R$2:R$1073)&lt;&gt;ROW(R903))*(R$2:R$1073&lt;&gt;""))),"")</f>
        <v>0.620791237059934</v>
      </c>
      <c r="Y903" cm="1">
        <f t="array" ref="Y903">IFERROR(AVERAGE(_xlfn._xlws.FILTER(S$2:S$1073,($C$2:$C$1073=$C903)*($E$2:$E$1073=$E903)*(ROW(S$2:S$1073)&lt;&gt;ROW(S903))*(S$2:S$1073&lt;&gt;""))),"")</f>
        <v>0.89311178081184883</v>
      </c>
      <c r="Z903" cm="1">
        <f t="array" ref="Z903">IFERROR(AVERAGE(_xlfn._xlws.FILTER(T$2:T$1073,($C$2:$C$1073=$C903)*($E$2:$E$1073=$E903)*(ROW(T$2:T$1073)&lt;&gt;ROW(T903))*(T$2:T$1073&lt;&gt;""))),"")</f>
        <v>2.9337334790863853E-2</v>
      </c>
      <c r="AA903" cm="1">
        <f t="array" ref="AA903">IFERROR(AVERAGE(_xlfn._xlws.FILTER(U$2:U$1073,($C$2:$C$1073=$C903)*($E$2:$E$1073=$E903)*(ROW(U$2:U$1073)&lt;&gt;ROW(U903))*(U$2:U$1073&lt;&gt;""))),"")</f>
        <v>3.592885756812878</v>
      </c>
    </row>
    <row r="904" spans="1:27" x14ac:dyDescent="0.2">
      <c r="A904" s="7" t="s">
        <v>2289</v>
      </c>
      <c r="B904" t="str">
        <f t="shared" si="156"/>
        <v>MTSS IV кв. 2019</v>
      </c>
      <c r="C904">
        <v>2019</v>
      </c>
      <c r="D904">
        <f>SUMIFS(Дивиденды!$C:$C,Дивиденды!$A:$A,A904,Дивиденды!$I:$I,C904)</f>
        <v>42.5</v>
      </c>
      <c r="E904">
        <v>6</v>
      </c>
      <c r="F904">
        <f t="shared" si="157"/>
        <v>42.5</v>
      </c>
      <c r="G904">
        <f t="shared" si="158"/>
        <v>5</v>
      </c>
      <c r="H904">
        <f t="shared" si="159"/>
        <v>1</v>
      </c>
      <c r="I904">
        <f t="shared" si="155"/>
        <v>1</v>
      </c>
      <c r="J904">
        <f t="shared" si="160"/>
        <v>0.88219663418954808</v>
      </c>
      <c r="K904">
        <f t="shared" si="164"/>
        <v>0</v>
      </c>
      <c r="L904">
        <f t="shared" si="161"/>
        <v>1</v>
      </c>
      <c r="M904">
        <f t="shared" si="154"/>
        <v>0</v>
      </c>
      <c r="N904">
        <f t="shared" si="162"/>
        <v>0</v>
      </c>
      <c r="O904">
        <f t="shared" si="163"/>
        <v>0</v>
      </c>
      <c r="P904">
        <f>IFERROR(LN('Дивиденды по годам'!I904),"")</f>
        <v>27.437327137589612</v>
      </c>
      <c r="Q904">
        <f>IFERROR('Дивиденды по годам'!G904/'Дивиденды по годам'!I904, "")</f>
        <v>0.32221844618951101</v>
      </c>
      <c r="R904">
        <f>IFERROR(IF(AND('Дивиденды по годам'!N904&lt;&gt;"",'Дивиденды по годам'!U904&lt;&gt;"",'Дивиденды по годам'!U904&lt;&gt;0),'Дивиденды по годам'!N904/'Дивиденды по годам'!U904-1,""),"")</f>
        <v>-8.7175953012015306E-3</v>
      </c>
      <c r="S904">
        <f>IFERROR(IF(AND('Дивиденды по годам'!L904&lt;&gt;"",'Дивиденды по годам'!I904&lt;&gt;"",'Дивиденды по годам'!J904&lt;&gt;"",'Дивиденды по годам'!K904&lt;&gt;"",('Дивиденды по годам'!I904-'Дивиденды по годам'!J904-'Дивиденды по годам'!K904)&lt;&gt;0),'Дивиденды по годам'!L904/('Дивиденды по годам'!I904-'Дивиденды по годам'!J904-'Дивиденды по годам'!K904),""),"")</f>
        <v>2.3423916030114853</v>
      </c>
      <c r="T904">
        <f>IFERROR(IF(AND('Дивиденды по годам'!Q904&lt;&gt;"",'Дивиденды по годам'!I904&lt;&gt;"",'Дивиденды по годам'!V904&lt;&gt;"",('Дивиденды по годам'!I904+'Дивиденды по годам'!V904)&lt;&gt;0),'Дивиденды по годам'!Q904/(('Дивиденды по годам'!I904+'Дивиденды по годам'!V904)/2),""),"")</f>
        <v>6.3335714692140888E-2</v>
      </c>
      <c r="U904">
        <f>IFERROR(IF(AND('Дивиденды по годам'!J904&lt;&gt;"",'Дивиденды по годам'!K904&lt;&gt;"",'Дивиденды по годам'!M904&lt;&gt;"",'Дивиденды по годам'!M904&lt;&gt;0),('Дивиденды по годам'!J904+'Дивиденды по годам'!K904)/'Дивиденды по годам'!M904,""),"")</f>
        <v>21.638621750838052</v>
      </c>
      <c r="V904" cm="1">
        <f t="array" ref="V904">IFERROR(AVERAGE(_xlfn._xlws.FILTER(P$2:P$1073,($C$2:$C$1073=$C904)*($E$2:$E$1073=$E904)*(ROW(P$2:P$1073)&lt;&gt;ROW(P904))*(P$2:P$1073&lt;&gt;""))),"")</f>
        <v>27.313945934174058</v>
      </c>
      <c r="W904" cm="1">
        <f t="array" ref="W904">IFERROR(AVERAGE(_xlfn._xlws.FILTER(Q$2:Q$1073,($C$2:$C$1073=$C904)*($E$2:$E$1073=$E904)*(ROW(Q$2:Q$1073)&lt;&gt;ROW(Q904))*(Q$2:Q$1073&lt;&gt;""))),"")</f>
        <v>0.55132394861288847</v>
      </c>
      <c r="X904" cm="1">
        <f t="array" ref="X904">IFERROR(AVERAGE(_xlfn._xlws.FILTER(R$2:R$1073,($C$2:$C$1073=$C904)*($E$2:$E$1073=$E904)*(ROW(R$2:R$1073)&lt;&gt;ROW(R904))*(R$2:R$1073&lt;&gt;""))),"")</f>
        <v>5.3653677409684741E-2</v>
      </c>
      <c r="Y904" cm="1">
        <f t="array" ref="Y904">IFERROR(AVERAGE(_xlfn._xlws.FILTER(S$2:S$1073,($C$2:$C$1073=$C904)*($E$2:$E$1073=$E904)*(ROW(S$2:S$1073)&lt;&gt;ROW(S904))*(S$2:S$1073&lt;&gt;""))),"")</f>
        <v>1.1854356416006835</v>
      </c>
      <c r="Z904" cm="1">
        <f t="array" ref="Z904">IFERROR(AVERAGE(_xlfn._xlws.FILTER(T$2:T$1073,($C$2:$C$1073=$C904)*($E$2:$E$1073=$E904)*(ROW(T$2:T$1073)&lt;&gt;ROW(T904))*(T$2:T$1073&lt;&gt;""))),"")</f>
        <v>2.3961449904802909E-2</v>
      </c>
      <c r="AA904" cm="1">
        <f t="array" ref="AA904">IFERROR(AVERAGE(_xlfn._xlws.FILTER(U$2:U$1073,($C$2:$C$1073=$C904)*($E$2:$E$1073=$E904)*(ROW(U$2:U$1073)&lt;&gt;ROW(U904))*(U$2:U$1073&lt;&gt;""))),"")</f>
        <v>1.7776862404076463</v>
      </c>
    </row>
    <row r="905" spans="1:27" x14ac:dyDescent="0.2">
      <c r="A905" s="7" t="s">
        <v>2289</v>
      </c>
      <c r="B905" t="str">
        <f t="shared" si="156"/>
        <v>MTSS IV кв. 2018</v>
      </c>
      <c r="C905">
        <v>2018</v>
      </c>
      <c r="D905">
        <f>SUMIFS(Дивиденды!$C:$C,Дивиденды!$A:$A,A905,Дивиденды!$I:$I,C905)</f>
        <v>22.580000000000002</v>
      </c>
      <c r="E905">
        <v>6</v>
      </c>
      <c r="F905">
        <f t="shared" si="157"/>
        <v>22.580000000000002</v>
      </c>
      <c r="G905">
        <f t="shared" si="158"/>
        <v>5</v>
      </c>
      <c r="H905">
        <f t="shared" si="159"/>
        <v>1</v>
      </c>
      <c r="I905">
        <f t="shared" si="155"/>
        <v>1</v>
      </c>
      <c r="J905">
        <f t="shared" si="160"/>
        <v>-0.33195266272189339</v>
      </c>
      <c r="K905">
        <f t="shared" si="164"/>
        <v>-9.9009900990098664E-3</v>
      </c>
      <c r="L905">
        <f t="shared" si="161"/>
        <v>0</v>
      </c>
      <c r="M905">
        <f t="shared" si="154"/>
        <v>0</v>
      </c>
      <c r="N905">
        <f t="shared" si="162"/>
        <v>1</v>
      </c>
      <c r="O905">
        <f t="shared" si="163"/>
        <v>1</v>
      </c>
      <c r="P905">
        <f>IFERROR(LN('Дивиденды по годам'!I905),"")</f>
        <v>27.543274559669943</v>
      </c>
      <c r="Q905">
        <f>IFERROR('Дивиденды по годам'!G905/'Дивиденды по годам'!I905, "")</f>
        <v>0.30179597442338535</v>
      </c>
      <c r="R905">
        <f>IFERROR(IF(AND('Дивиденды по годам'!N905&lt;&gt;"",'Дивиденды по годам'!U905&lt;&gt;"",'Дивиденды по годам'!U905&lt;&gt;0),'Дивиденды по годам'!N905/'Дивиденды по годам'!U905-1,""),"")</f>
        <v>8.44007035273453E-2</v>
      </c>
      <c r="S905">
        <f>IFERROR(IF(AND('Дивиденды по годам'!L905&lt;&gt;"",'Дивиденды по годам'!I905&lt;&gt;"",'Дивиденды по годам'!J905&lt;&gt;"",'Дивиденды по годам'!K905&lt;&gt;"",('Дивиденды по годам'!I905-'Дивиденды по годам'!J905-'Дивиденды по годам'!K905)&lt;&gt;0),'Дивиденды по годам'!L905/('Дивиденды по годам'!I905-'Дивиденды по годам'!J905-'Дивиденды по годам'!K905),""),"")</f>
        <v>1.4303616321794623</v>
      </c>
      <c r="T905">
        <f>IFERROR(IF(AND('Дивиденды по годам'!Q905&lt;&gt;"",'Дивиденды по годам'!I905&lt;&gt;"",'Дивиденды по годам'!V905&lt;&gt;"",('Дивиденды по годам'!I905+'Дивиденды по годам'!V905)&lt;&gt;0),'Дивиденды по годам'!Q905/(('Дивиденды по годам'!I905+'Дивиденды по годам'!V905)/2),""),"")</f>
        <v>1.0677114752399863E-2</v>
      </c>
      <c r="U905">
        <f>IFERROR(IF(AND('Дивиденды по годам'!J905&lt;&gt;"",'Дивиденды по годам'!K905&lt;&gt;"",'Дивиденды по годам'!M905&lt;&gt;"",'Дивиденды по годам'!M905&lt;&gt;0),('Дивиденды по годам'!J905+'Дивиденды по годам'!K905)/'Дивиденды по годам'!M905,""),"")</f>
        <v>10.809359891703732</v>
      </c>
      <c r="V905" cm="1">
        <f t="array" ref="V905">IFERROR(AVERAGE(_xlfn._xlws.FILTER(P$2:P$1073,($C$2:$C$1073=$C905)*($E$2:$E$1073=$E905)*(ROW(P$2:P$1073)&lt;&gt;ROW(P905))*(P$2:P$1073&lt;&gt;""))),"")</f>
        <v>27.195250396786559</v>
      </c>
      <c r="W905" cm="1">
        <f t="array" ref="W905">IFERROR(AVERAGE(_xlfn._xlws.FILTER(Q$2:Q$1073,($C$2:$C$1073=$C905)*($E$2:$E$1073=$E905)*(ROW(Q$2:Q$1073)&lt;&gt;ROW(Q905))*(Q$2:Q$1073&lt;&gt;""))),"")</f>
        <v>0.57801275886487535</v>
      </c>
      <c r="X905" cm="1">
        <f t="array" ref="X905">IFERROR(AVERAGE(_xlfn._xlws.FILTER(R$2:R$1073,($C$2:$C$1073=$C905)*($E$2:$E$1073=$E905)*(ROW(R$2:R$1073)&lt;&gt;ROW(R905))*(R$2:R$1073&lt;&gt;""))),"")</f>
        <v>4.8832570767925798E-2</v>
      </c>
      <c r="Y905" cm="1">
        <f t="array" ref="Y905">IFERROR(AVERAGE(_xlfn._xlws.FILTER(S$2:S$1073,($C$2:$C$1073=$C905)*($E$2:$E$1073=$E905)*(ROW(S$2:S$1073)&lt;&gt;ROW(S905))*(S$2:S$1073&lt;&gt;""))),"")</f>
        <v>1.2242690862432408</v>
      </c>
      <c r="Z905" cm="1">
        <f t="array" ref="Z905">IFERROR(AVERAGE(_xlfn._xlws.FILTER(T$2:T$1073,($C$2:$C$1073=$C905)*($E$2:$E$1073=$E905)*(ROW(T$2:T$1073)&lt;&gt;ROW(T905))*(T$2:T$1073&lt;&gt;""))),"")</f>
        <v>2.4874999482185096E-2</v>
      </c>
      <c r="AA905" cm="1">
        <f t="array" ref="AA905">IFERROR(AVERAGE(_xlfn._xlws.FILTER(U$2:U$1073,($C$2:$C$1073=$C905)*($E$2:$E$1073=$E905)*(ROW(U$2:U$1073)&lt;&gt;ROW(U905))*(U$2:U$1073&lt;&gt;""))),"")</f>
        <v>1.5772395627866573</v>
      </c>
    </row>
    <row r="906" spans="1:27" x14ac:dyDescent="0.2">
      <c r="A906" s="7" t="s">
        <v>2289</v>
      </c>
      <c r="B906" t="str">
        <f t="shared" si="156"/>
        <v>MTSS IV кв. 2017</v>
      </c>
      <c r="C906">
        <v>2017</v>
      </c>
      <c r="D906">
        <f>SUMIFS(Дивиденды!$C:$C,Дивиденды!$A:$A,A906,Дивиденды!$I:$I,C906)</f>
        <v>33.799999999999997</v>
      </c>
      <c r="E906">
        <v>6</v>
      </c>
      <c r="F906">
        <f t="shared" si="157"/>
        <v>33.799999999999997</v>
      </c>
      <c r="G906">
        <f t="shared" si="158"/>
        <v>5.05</v>
      </c>
      <c r="H906">
        <f t="shared" si="159"/>
        <v>1</v>
      </c>
      <c r="I906">
        <f t="shared" si="155"/>
        <v>1</v>
      </c>
      <c r="J906">
        <f t="shared" si="160"/>
        <v>0.22508155128669799</v>
      </c>
      <c r="K906">
        <f t="shared" si="164"/>
        <v>-6.3079777365491627E-2</v>
      </c>
      <c r="L906">
        <f t="shared" si="161"/>
        <v>1</v>
      </c>
      <c r="M906">
        <f t="shared" si="154"/>
        <v>0</v>
      </c>
      <c r="N906">
        <f t="shared" si="162"/>
        <v>0</v>
      </c>
      <c r="O906">
        <f t="shared" si="163"/>
        <v>1</v>
      </c>
      <c r="P906">
        <f>IFERROR(LN('Дивиденды по годам'!I906),"")</f>
        <v>27.035127679772494</v>
      </c>
      <c r="Q906">
        <f>IFERROR('Дивиденды по годам'!G906/'Дивиденды по годам'!I906, "")</f>
        <v>0.47736766653964108</v>
      </c>
      <c r="R906">
        <f>IFERROR(IF(AND('Дивиденды по годам'!N906&lt;&gt;"",'Дивиденды по годам'!U906&lt;&gt;"",'Дивиденды по годам'!U906&lt;&gt;0),'Дивиденды по годам'!N906/'Дивиденды по годам'!U906-1,""),"")</f>
        <v>1.6569044187178195E-2</v>
      </c>
      <c r="S906">
        <f>IFERROR(IF(AND('Дивиденды по годам'!L906&lt;&gt;"",'Дивиденды по годам'!I906&lt;&gt;"",'Дивиденды по годам'!J906&lt;&gt;"",'Дивиденды по годам'!K906&lt;&gt;"",('Дивиденды по годам'!I906-'Дивиденды по годам'!J906-'Дивиденды по годам'!K906)&lt;&gt;0),'Дивиденды по годам'!L906/('Дивиденды по годам'!I906-'Дивиденды по годам'!J906-'Дивиденды по годам'!K906),""),"")</f>
        <v>1.2160782577190934</v>
      </c>
      <c r="T906">
        <f>IFERROR(IF(AND('Дивиденды по годам'!Q906&lt;&gt;"",'Дивиденды по годам'!I906&lt;&gt;"",'Дивиденды по годам'!V906&lt;&gt;"",('Дивиденды по годам'!I906+'Дивиденды по годам'!V906)&lt;&gt;0),'Дивиденды по годам'!Q906/(('Дивиденды по годам'!I906+'Дивиденды по годам'!V906)/2),""),"")</f>
        <v>0.10330978330321121</v>
      </c>
      <c r="U906">
        <f>IFERROR(IF(AND('Дивиденды по годам'!J906&lt;&gt;"",'Дивиденды по годам'!K906&lt;&gt;"",'Дивиденды по годам'!M906&lt;&gt;"",'Дивиденды по годам'!M906&lt;&gt;0),('Дивиденды по годам'!J906+'Дивиденды по годам'!K906)/'Дивиденды по годам'!M906,""),"")</f>
        <v>3.4367779074916469</v>
      </c>
      <c r="V906" cm="1">
        <f t="array" ref="V906">IFERROR(AVERAGE(_xlfn._xlws.FILTER(P$2:P$1073,($C$2:$C$1073=$C906)*($E$2:$E$1073=$E906)*(ROW(P$2:P$1073)&lt;&gt;ROW(P906))*(P$2:P$1073&lt;&gt;""))),"")</f>
        <v>27.051611465658535</v>
      </c>
      <c r="W906" cm="1">
        <f t="array" ref="W906">IFERROR(AVERAGE(_xlfn._xlws.FILTER(Q$2:Q$1073,($C$2:$C$1073=$C906)*($E$2:$E$1073=$E906)*(ROW(Q$2:Q$1073)&lt;&gt;ROW(Q906))*(Q$2:Q$1073&lt;&gt;""))),"")</f>
        <v>0.62194209867750505</v>
      </c>
      <c r="X906" cm="1">
        <f t="array" ref="X906">IFERROR(AVERAGE(_xlfn._xlws.FILTER(R$2:R$1073,($C$2:$C$1073=$C906)*($E$2:$E$1073=$E906)*(ROW(R$2:R$1073)&lt;&gt;ROW(R906))*(R$2:R$1073&lt;&gt;""))),"")</f>
        <v>2.6502289491201703E-2</v>
      </c>
      <c r="Y906" cm="1">
        <f t="array" ref="Y906">IFERROR(AVERAGE(_xlfn._xlws.FILTER(S$2:S$1073,($C$2:$C$1073=$C906)*($E$2:$E$1073=$E906)*(ROW(S$2:S$1073)&lt;&gt;ROW(S906))*(S$2:S$1073&lt;&gt;""))),"")</f>
        <v>1.2491538473877544</v>
      </c>
      <c r="Z906" cm="1">
        <f t="array" ref="Z906">IFERROR(AVERAGE(_xlfn._xlws.FILTER(T$2:T$1073,($C$2:$C$1073=$C906)*($E$2:$E$1073=$E906)*(ROW(T$2:T$1073)&lt;&gt;ROW(T906))*(T$2:T$1073&lt;&gt;""))),"")</f>
        <v>2.5181219649237259E-2</v>
      </c>
      <c r="AA906" cm="1">
        <f t="array" ref="AA906">IFERROR(AVERAGE(_xlfn._xlws.FILTER(U$2:U$1073,($C$2:$C$1073=$C906)*($E$2:$E$1073=$E906)*(ROW(U$2:U$1073)&lt;&gt;ROW(U906))*(U$2:U$1073&lt;&gt;""))),"")</f>
        <v>1.2466314303588328</v>
      </c>
    </row>
    <row r="907" spans="1:27" x14ac:dyDescent="0.2">
      <c r="A907" s="7" t="s">
        <v>2289</v>
      </c>
      <c r="B907" t="str">
        <f t="shared" si="156"/>
        <v>MTSS IV кв. 2016</v>
      </c>
      <c r="C907">
        <v>2016</v>
      </c>
      <c r="D907">
        <f>SUMIFS(Дивиденды!$C:$C,Дивиденды!$A:$A,A907,Дивиденды!$I:$I,C907)</f>
        <v>27.59</v>
      </c>
      <c r="E907">
        <v>6</v>
      </c>
      <c r="F907">
        <f t="shared" si="157"/>
        <v>27.59</v>
      </c>
      <c r="G907">
        <f t="shared" si="158"/>
        <v>5.39</v>
      </c>
      <c r="H907">
        <f t="shared" si="159"/>
        <v>1</v>
      </c>
      <c r="I907">
        <f t="shared" si="155"/>
        <v>1</v>
      </c>
      <c r="J907">
        <f t="shared" si="160"/>
        <v>0.40621814475025475</v>
      </c>
      <c r="K907">
        <f t="shared" si="164"/>
        <v>-8.952702702702707E-2</v>
      </c>
      <c r="L907">
        <f t="shared" si="161"/>
        <v>1</v>
      </c>
      <c r="M907">
        <f t="shared" si="154"/>
        <v>0</v>
      </c>
      <c r="N907">
        <f t="shared" si="162"/>
        <v>0</v>
      </c>
      <c r="O907">
        <f t="shared" si="163"/>
        <v>1</v>
      </c>
      <c r="P907">
        <f>IFERROR(LN('Дивиденды по годам'!I907),"")</f>
        <v>27.023078681382831</v>
      </c>
      <c r="Q907">
        <f>IFERROR('Дивиденды по годам'!G907/'Дивиденды по годам'!I907, "")</f>
        <v>0.50111300898121114</v>
      </c>
      <c r="R907">
        <f>IFERROR(IF(AND('Дивиденды по годам'!N907&lt;&gt;"",'Дивиденды по годам'!U907&lt;&gt;"",'Дивиденды по годам'!U907&lt;&gt;0),'Дивиденды по годам'!N907/'Дивиденды по годам'!U907-1,""),"")</f>
        <v>1.0342460670822229E-2</v>
      </c>
      <c r="S907">
        <f>IFERROR(IF(AND('Дивиденды по годам'!L907&lt;&gt;"",'Дивиденды по годам'!I907&lt;&gt;"",'Дивиденды по годам'!J907&lt;&gt;"",'Дивиденды по годам'!K907&lt;&gt;"",('Дивиденды по годам'!I907-'Дивиденды по годам'!J907-'Дивиденды по годам'!K907)&lt;&gt;0),'Дивиденды по годам'!L907/('Дивиденды по годам'!I907-'Дивиденды по годам'!J907-'Дивиденды по годам'!K907),""),"")</f>
        <v>1.0116291994331286</v>
      </c>
      <c r="T907">
        <f>IFERROR(IF(AND('Дивиденды по годам'!Q907&lt;&gt;"",'Дивиденды по годам'!I907&lt;&gt;"",'Дивиденды по годам'!V907&lt;&gt;"",('Дивиденды по годам'!I907+'Дивиденды по годам'!V907)&lt;&gt;0),'Дивиденды по годам'!Q907/(('Дивиденды по годам'!I907+'Дивиденды по годам'!V907)/2),""),"")</f>
        <v>8.7608778409280649E-2</v>
      </c>
      <c r="U907">
        <f>IFERROR(IF(AND('Дивиденды по годам'!J907&lt;&gt;"",'Дивиденды по годам'!K907&lt;&gt;"",'Дивиденды по годам'!M907&lt;&gt;"",'Дивиденды по годам'!M907&lt;&gt;0),('Дивиденды по годам'!J907+'Дивиденды по годам'!K907)/'Дивиденды по годам'!M907,""),"")</f>
        <v>2.7824075360546865</v>
      </c>
      <c r="V907" cm="1">
        <f t="array" ref="V907">IFERROR(AVERAGE(_xlfn._xlws.FILTER(P$2:P$1073,($C$2:$C$1073=$C907)*($E$2:$E$1073=$E907)*(ROW(P$2:P$1073)&lt;&gt;ROW(P907))*(P$2:P$1073&lt;&gt;""))),"")</f>
        <v>27.043462025129479</v>
      </c>
      <c r="W907" cm="1">
        <f t="array" ref="W907">IFERROR(AVERAGE(_xlfn._xlws.FILTER(Q$2:Q$1073,($C$2:$C$1073=$C907)*($E$2:$E$1073=$E907)*(ROW(Q$2:Q$1073)&lt;&gt;ROW(Q907))*(Q$2:Q$1073&lt;&gt;""))),"")</f>
        <v>0.61845983854074815</v>
      </c>
      <c r="X907" cm="1">
        <f t="array" ref="X907">IFERROR(AVERAGE(_xlfn._xlws.FILTER(R$2:R$1073,($C$2:$C$1073=$C907)*($E$2:$E$1073=$E907)*(ROW(R$2:R$1073)&lt;&gt;ROW(R907))*(R$2:R$1073&lt;&gt;""))),"")</f>
        <v>3.0603151115671245E-4</v>
      </c>
      <c r="Y907" cm="1">
        <f t="array" ref="Y907">IFERROR(AVERAGE(_xlfn._xlws.FILTER(S$2:S$1073,($C$2:$C$1073=$C907)*($E$2:$E$1073=$E907)*(ROW(S$2:S$1073)&lt;&gt;ROW(S907))*(S$2:S$1073&lt;&gt;""))),"")</f>
        <v>1.2515112635893064</v>
      </c>
      <c r="Z907" cm="1">
        <f t="array" ref="Z907">IFERROR(AVERAGE(_xlfn._xlws.FILTER(T$2:T$1073,($C$2:$C$1073=$C907)*($E$2:$E$1073=$E907)*(ROW(T$2:T$1073)&lt;&gt;ROW(T907))*(T$2:T$1073&lt;&gt;""))),"")</f>
        <v>2.2130041318805204E-2</v>
      </c>
      <c r="AA907" cm="1">
        <f t="array" ref="AA907">IFERROR(AVERAGE(_xlfn._xlws.FILTER(U$2:U$1073,($C$2:$C$1073=$C907)*($E$2:$E$1073=$E907)*(ROW(U$2:U$1073)&lt;&gt;ROW(U907))*(U$2:U$1073&lt;&gt;""))),"")</f>
        <v>1.2349486994888048</v>
      </c>
    </row>
    <row r="908" spans="1:27" x14ac:dyDescent="0.2">
      <c r="A908" s="7" t="s">
        <v>2289</v>
      </c>
      <c r="B908" t="str">
        <f t="shared" si="156"/>
        <v>MTSS IV кв. 2015</v>
      </c>
      <c r="C908">
        <v>2015</v>
      </c>
      <c r="D908">
        <f>SUMIFS(Дивиденды!$C:$C,Дивиденды!$A:$A,A908,Дивиденды!$I:$I,C908)</f>
        <v>19.62</v>
      </c>
      <c r="E908">
        <v>6</v>
      </c>
      <c r="F908">
        <f t="shared" si="157"/>
        <v>19.62</v>
      </c>
      <c r="G908">
        <f t="shared" si="158"/>
        <v>5.92</v>
      </c>
      <c r="H908">
        <f t="shared" si="159"/>
        <v>1</v>
      </c>
      <c r="I908">
        <f t="shared" si="155"/>
        <v>1</v>
      </c>
      <c r="J908">
        <f t="shared" si="160"/>
        <v>-0.23835403726708065</v>
      </c>
      <c r="K908">
        <f t="shared" si="164"/>
        <v>0.77245508982035938</v>
      </c>
      <c r="L908">
        <f t="shared" si="161"/>
        <v>0</v>
      </c>
      <c r="M908">
        <f t="shared" si="154"/>
        <v>1</v>
      </c>
      <c r="N908">
        <f t="shared" si="162"/>
        <v>1</v>
      </c>
      <c r="O908">
        <f t="shared" si="163"/>
        <v>0</v>
      </c>
      <c r="P908">
        <f>IFERROR(LN('Дивиденды по годам'!I908),"")</f>
        <v>27.205421665512862</v>
      </c>
      <c r="Q908">
        <f>IFERROR('Дивиденды по годам'!G908/'Дивиденды по годам'!I908, "")</f>
        <v>0.46322649369890018</v>
      </c>
      <c r="R908">
        <f>IFERROR(IF(AND('Дивиденды по годам'!N908&lt;&gt;"",'Дивиденды по годам'!U908&lt;&gt;"",'Дивиденды по годам'!U908&lt;&gt;0),'Дивиденды по годам'!N908/'Дивиденды по годам'!U908-1,""),"")</f>
        <v>4.9844433948943223E-2</v>
      </c>
      <c r="S908" t="str">
        <f>IFERROR(IF(AND('Дивиденды по годам'!L908&lt;&gt;"",'Дивиденды по годам'!I908&lt;&gt;"",'Дивиденды по годам'!J908&lt;&gt;"",'Дивиденды по годам'!K908&lt;&gt;"",('Дивиденды по годам'!I908-'Дивиденды по годам'!J908-'Дивиденды по годам'!K908)&lt;&gt;0),'Дивиденды по годам'!L908/('Дивиденды по годам'!I908-'Дивиденды по годам'!J908-'Дивиденды по годам'!K908),""),"")</f>
        <v/>
      </c>
      <c r="T908">
        <f>IFERROR(IF(AND('Дивиденды по годам'!Q908&lt;&gt;"",'Дивиденды по годам'!I908&lt;&gt;"",'Дивиденды по годам'!V908&lt;&gt;"",('Дивиденды по годам'!I908+'Дивиденды по годам'!V908)&lt;&gt;0),'Дивиденды по годам'!Q908/(('Дивиденды по годам'!I908+'Дивиденды по годам'!V908)/2),""),"")</f>
        <v>7.5107046236844499E-2</v>
      </c>
      <c r="U908">
        <f>IFERROR(IF(AND('Дивиденды по годам'!J908&lt;&gt;"",'Дивиденды по годам'!K908&lt;&gt;"",'Дивиденды по годам'!M908&lt;&gt;"",'Дивиденды по годам'!M908&lt;&gt;0),('Дивиденды по годам'!J908+'Дивиденды по годам'!K908)/'Дивиденды по годам'!M908,""),"")</f>
        <v>2.8805851363952226</v>
      </c>
      <c r="V908" cm="1">
        <f t="array" ref="V908">IFERROR(AVERAGE(_xlfn._xlws.FILTER(P$2:P$1073,($C$2:$C$1073=$C908)*($E$2:$E$1073=$E908)*(ROW(P$2:P$1073)&lt;&gt;ROW(P908))*(P$2:P$1073&lt;&gt;""))),"")</f>
        <v>27.03558123977265</v>
      </c>
      <c r="W908" cm="1">
        <f t="array" ref="W908">IFERROR(AVERAGE(_xlfn._xlws.FILTER(Q$2:Q$1073,($C$2:$C$1073=$C908)*($E$2:$E$1073=$E908)*(ROW(Q$2:Q$1073)&lt;&gt;ROW(Q908))*(Q$2:Q$1073&lt;&gt;""))),"")</f>
        <v>0.61434194297322786</v>
      </c>
      <c r="X908" cm="1">
        <f t="array" ref="X908">IFERROR(AVERAGE(_xlfn._xlws.FILTER(R$2:R$1073,($C$2:$C$1073=$C908)*($E$2:$E$1073=$E908)*(ROW(R$2:R$1073)&lt;&gt;ROW(R908))*(R$2:R$1073&lt;&gt;""))),"")</f>
        <v>-5.2920849543549586E-3</v>
      </c>
      <c r="Y908" cm="1">
        <f t="array" ref="Y908">IFERROR(AVERAGE(_xlfn._xlws.FILTER(S$2:S$1073,($C$2:$C$1073=$C908)*($E$2:$E$1073=$E908)*(ROW(S$2:S$1073)&lt;&gt;ROW(S908))*(S$2:S$1073&lt;&gt;""))),"")</f>
        <v>1.2586396116380416</v>
      </c>
      <c r="Z908" cm="1">
        <f t="array" ref="Z908">IFERROR(AVERAGE(_xlfn._xlws.FILTER(T$2:T$1073,($C$2:$C$1073=$C908)*($E$2:$E$1073=$E908)*(ROW(T$2:T$1073)&lt;&gt;ROW(T908))*(T$2:T$1073&lt;&gt;""))),"")</f>
        <v>2.6166548782949106E-2</v>
      </c>
      <c r="AA908" cm="1">
        <f t="array" ref="AA908">IFERROR(AVERAGE(_xlfn._xlws.FILTER(U$2:U$1073,($C$2:$C$1073=$C908)*($E$2:$E$1073=$E908)*(ROW(U$2:U$1073)&lt;&gt;ROW(U908))*(U$2:U$1073&lt;&gt;""))),"")</f>
        <v>1.2082478851576519</v>
      </c>
    </row>
    <row r="909" spans="1:27" x14ac:dyDescent="0.2">
      <c r="A909" s="7" t="s">
        <v>2289</v>
      </c>
      <c r="B909" t="str">
        <f t="shared" si="156"/>
        <v>MTSS IV кв. 2014</v>
      </c>
      <c r="C909">
        <v>2014</v>
      </c>
      <c r="D909">
        <f>SUMIFS(Дивиденды!$C:$C,Дивиденды!$A:$A,A909,Дивиденды!$I:$I,C909)</f>
        <v>25.759999999999998</v>
      </c>
      <c r="E909">
        <v>6</v>
      </c>
      <c r="F909">
        <f t="shared" si="157"/>
        <v>25.759999999999998</v>
      </c>
      <c r="G909">
        <f t="shared" si="158"/>
        <v>3.34</v>
      </c>
      <c r="H909">
        <f t="shared" si="159"/>
        <v>1</v>
      </c>
      <c r="I909">
        <f t="shared" si="155"/>
        <v>1</v>
      </c>
      <c r="J909">
        <f t="shared" si="160"/>
        <v>8.1444164567590169E-2</v>
      </c>
      <c r="K909">
        <f t="shared" si="164"/>
        <v>7.0512820512820429E-2</v>
      </c>
      <c r="L909">
        <f t="shared" si="161"/>
        <v>1</v>
      </c>
      <c r="M909">
        <f t="shared" si="154"/>
        <v>1</v>
      </c>
      <c r="N909">
        <f t="shared" si="162"/>
        <v>0</v>
      </c>
      <c r="O909">
        <f t="shared" si="163"/>
        <v>0</v>
      </c>
      <c r="P909">
        <f>IFERROR(LN('Дивиденды по годам'!I909),"")</f>
        <v>27.134964228834377</v>
      </c>
      <c r="Q909">
        <f>IFERROR('Дивиденды по годам'!G909/'Дивиденды по годам'!I909, "")</f>
        <v>0.49181428972602625</v>
      </c>
      <c r="R909">
        <f>IFERROR(IF(AND('Дивиденды по годам'!N909&lt;&gt;"",'Дивиденды по годам'!U909&lt;&gt;"",'Дивиденды по годам'!U909&lt;&gt;0),'Дивиденды по годам'!N909/'Дивиденды по годам'!U909-1,""),"")</f>
        <v>3.0907808645151302E-2</v>
      </c>
      <c r="S909">
        <f>IFERROR(IF(AND('Дивиденды по годам'!L909&lt;&gt;"",'Дивиденды по годам'!I909&lt;&gt;"",'Дивиденды по годам'!J909&lt;&gt;"",'Дивиденды по годам'!K909&lt;&gt;"",('Дивиденды по годам'!I909-'Дивиденды по годам'!J909-'Дивиденды по годам'!K909)&lt;&gt;0),'Дивиденды по годам'!L909/('Дивиденды по годам'!I909-'Дивиденды по годам'!J909-'Дивиденды по годам'!K909),""),"")</f>
        <v>0.97453619701089234</v>
      </c>
      <c r="T909">
        <f>IFERROR(IF(AND('Дивиденды по годам'!Q909&lt;&gt;"",'Дивиденды по годам'!I909&lt;&gt;"",'Дивиденды по годам'!V909&lt;&gt;"",('Дивиденды по годам'!I909+'Дивиденды по годам'!V909)&lt;&gt;0),'Дивиденды по годам'!Q909/(('Дивиденды по годам'!I909+'Дивиденды по годам'!V909)/2),""),"")</f>
        <v>9.5742979813623452E-2</v>
      </c>
      <c r="U909">
        <f>IFERROR(IF(AND('Дивиденды по годам'!J909&lt;&gt;"",'Дивиденды по годам'!K909&lt;&gt;"",'Дивиденды по годам'!M909&lt;&gt;"",'Дивиденды по годам'!M909&lt;&gt;0),('Дивиденды по годам'!J909+'Дивиденды по годам'!K909)/'Дивиденды по годам'!M909,""),"")</f>
        <v>2.3996047276361261</v>
      </c>
      <c r="V909" cm="1">
        <f t="array" ref="V909">IFERROR(AVERAGE(_xlfn._xlws.FILTER(P$2:P$1073,($C$2:$C$1073=$C909)*($E$2:$E$1073=$E909)*(ROW(P$2:P$1073)&lt;&gt;ROW(P909))*(P$2:P$1073&lt;&gt;""))),"")</f>
        <v>27.030697389468237</v>
      </c>
      <c r="W909" cm="1">
        <f t="array" ref="W909">IFERROR(AVERAGE(_xlfn._xlws.FILTER(Q$2:Q$1073,($C$2:$C$1073=$C909)*($E$2:$E$1073=$E909)*(ROW(Q$2:Q$1073)&lt;&gt;ROW(Q909))*(Q$2:Q$1073&lt;&gt;""))),"")</f>
        <v>0.59833331510624566</v>
      </c>
      <c r="X909" cm="1">
        <f t="array" ref="X909">IFERROR(AVERAGE(_xlfn._xlws.FILTER(R$2:R$1073,($C$2:$C$1073=$C909)*($E$2:$E$1073=$E909)*(ROW(R$2:R$1073)&lt;&gt;ROW(R909))*(R$2:R$1073&lt;&gt;""))),"")</f>
        <v>2.8207721094051008E-2</v>
      </c>
      <c r="Y909" cm="1">
        <f t="array" ref="Y909">IFERROR(AVERAGE(_xlfn._xlws.FILTER(S$2:S$1073,($C$2:$C$1073=$C909)*($E$2:$E$1073=$E909)*(ROW(S$2:S$1073)&lt;&gt;ROW(S909))*(S$2:S$1073&lt;&gt;""))),"")</f>
        <v>1.3141212019883619</v>
      </c>
      <c r="Z909" cm="1">
        <f t="array" ref="Z909">IFERROR(AVERAGE(_xlfn._xlws.FILTER(T$2:T$1073,($C$2:$C$1073=$C909)*($E$2:$E$1073=$E909)*(ROW(T$2:T$1073)&lt;&gt;ROW(T909))*(T$2:T$1073&lt;&gt;""))),"")</f>
        <v>2.3759785004767459E-2</v>
      </c>
      <c r="AA909" cm="1">
        <f t="array" ref="AA909">IFERROR(AVERAGE(_xlfn._xlws.FILTER(U$2:U$1073,($C$2:$C$1073=$C909)*($E$2:$E$1073=$E909)*(ROW(U$2:U$1073)&lt;&gt;ROW(U909))*(U$2:U$1073&lt;&gt;""))),"")</f>
        <v>1.2372495687668976</v>
      </c>
    </row>
    <row r="910" spans="1:27" x14ac:dyDescent="0.2">
      <c r="A910" s="7" t="s">
        <v>2289</v>
      </c>
      <c r="B910" t="str">
        <f t="shared" si="156"/>
        <v>MTSS IV кв. 2013</v>
      </c>
      <c r="C910">
        <v>2013</v>
      </c>
      <c r="D910">
        <f>SUMIFS(Дивиденды!$C:$C,Дивиденды!$A:$A,A910,Дивиденды!$I:$I,C910)</f>
        <v>23.82</v>
      </c>
      <c r="E910">
        <v>6</v>
      </c>
      <c r="F910">
        <f t="shared" si="157"/>
        <v>23.82</v>
      </c>
      <c r="G910">
        <f t="shared" si="158"/>
        <v>3.12</v>
      </c>
      <c r="H910">
        <f t="shared" si="159"/>
        <v>1</v>
      </c>
      <c r="I910">
        <f t="shared" si="155"/>
        <v>1</v>
      </c>
      <c r="J910">
        <f t="shared" si="160"/>
        <v>0.63150684931506851</v>
      </c>
      <c r="K910">
        <f t="shared" si="164"/>
        <v>0.27868852459016402</v>
      </c>
      <c r="L910">
        <f t="shared" si="161"/>
        <v>1</v>
      </c>
      <c r="M910">
        <f t="shared" si="154"/>
        <v>1</v>
      </c>
      <c r="N910">
        <f t="shared" si="162"/>
        <v>0</v>
      </c>
      <c r="O910">
        <f t="shared" si="163"/>
        <v>0</v>
      </c>
      <c r="P910">
        <f>IFERROR(LN('Дивиденды по годам'!I910),"")</f>
        <v>26.908494557029627</v>
      </c>
      <c r="Q910">
        <f>IFERROR('Дивиденды по годам'!G910/'Дивиденды по годам'!I910, "")</f>
        <v>0.55745956945485697</v>
      </c>
      <c r="R910">
        <f>IFERROR(IF(AND('Дивиденды по годам'!N910&lt;&gt;"",'Дивиденды по годам'!U910&lt;&gt;"",'Дивиденды по годам'!U910&lt;&gt;0),'Дивиденды по годам'!N910/'Дивиденды по годам'!U910-1,""),"")</f>
        <v>3.1465604299374172E-2</v>
      </c>
      <c r="S910" t="str">
        <f>IFERROR(IF(AND('Дивиденды по годам'!L910&lt;&gt;"",'Дивиденды по годам'!I910&lt;&gt;"",'Дивиденды по годам'!J910&lt;&gt;"",'Дивиденды по годам'!K910&lt;&gt;"",('Дивиденды по годам'!I910-'Дивиденды по годам'!J910-'Дивиденды по годам'!K910)&lt;&gt;0),'Дивиденды по годам'!L910/('Дивиденды по годам'!I910-'Дивиденды по годам'!J910-'Дивиденды по годам'!K910),""),"")</f>
        <v/>
      </c>
      <c r="T910">
        <f>IFERROR(IF(AND('Дивиденды по годам'!Q910&lt;&gt;"",'Дивиденды по годам'!I910&lt;&gt;"",'Дивиденды по годам'!V910&lt;&gt;"",('Дивиденды по годам'!I910+'Дивиденды по годам'!V910)&lt;&gt;0),'Дивиденды по годам'!Q910/(('Дивиденды по годам'!I910+'Дивиденды по годам'!V910)/2),""),"")</f>
        <v>0.1620773388033856</v>
      </c>
      <c r="U910">
        <f>IFERROR(IF(AND('Дивиденды по годам'!J910&lt;&gt;"",'Дивиденды по годам'!K910&lt;&gt;"",'Дивиденды по годам'!M910&lt;&gt;"",'Дивиденды по годам'!M910&lt;&gt;0),('Дивиденды по годам'!J910+'Дивиденды по годам'!K910)/'Дивиденды по годам'!M910,""),"")</f>
        <v>2.0538981664936942</v>
      </c>
      <c r="V910" cm="1">
        <f t="array" ref="V910">IFERROR(AVERAGE(_xlfn._xlws.FILTER(P$2:P$1073,($C$2:$C$1073=$C910)*($E$2:$E$1073=$E910)*(ROW(P$2:P$1073)&lt;&gt;ROW(P910))*(P$2:P$1073&lt;&gt;""))),"")</f>
        <v>27.052936830350077</v>
      </c>
      <c r="W910" cm="1">
        <f t="array" ref="W910">IFERROR(AVERAGE(_xlfn._xlws.FILTER(Q$2:Q$1073,($C$2:$C$1073=$C910)*($E$2:$E$1073=$E910)*(ROW(Q$2:Q$1073)&lt;&gt;ROW(Q910))*(Q$2:Q$1073&lt;&gt;""))),"")</f>
        <v>0.59728293034233437</v>
      </c>
      <c r="X910" cm="1">
        <f t="array" ref="X910">IFERROR(AVERAGE(_xlfn._xlws.FILTER(R$2:R$1073,($C$2:$C$1073=$C910)*($E$2:$E$1073=$E910)*(ROW(R$2:R$1073)&lt;&gt;ROW(R910))*(R$2:R$1073&lt;&gt;""))),"")</f>
        <v>-9.498803116566179E-2</v>
      </c>
      <c r="Y910" t="str" cm="1">
        <f t="array" ref="Y910">IFERROR(AVERAGE(_xlfn._xlws.FILTER(S$2:S$1073,($C$2:$C$1073=$C910)*($E$2:$E$1073=$E910)*(ROW(S$2:S$1073)&lt;&gt;ROW(S910))*(S$2:S$1073&lt;&gt;""))),"")</f>
        <v/>
      </c>
      <c r="Z910" cm="1">
        <f t="array" ref="Z910">IFERROR(AVERAGE(_xlfn._xlws.FILTER(T$2:T$1073,($C$2:$C$1073=$C910)*($E$2:$E$1073=$E910)*(ROW(T$2:T$1073)&lt;&gt;ROW(T910))*(T$2:T$1073&lt;&gt;""))),"")</f>
        <v>4.677638884385054E-2</v>
      </c>
      <c r="AA910" cm="1">
        <f t="array" ref="AA910">IFERROR(AVERAGE(_xlfn._xlws.FILTER(U$2:U$1073,($C$2:$C$1073=$C910)*($E$2:$E$1073=$E910)*(ROW(U$2:U$1073)&lt;&gt;ROW(U910))*(U$2:U$1073&lt;&gt;""))),"")</f>
        <v>1.8082861090530447</v>
      </c>
    </row>
    <row r="911" spans="1:27" x14ac:dyDescent="0.2">
      <c r="A911" s="7" t="s">
        <v>2289</v>
      </c>
      <c r="B911" t="str">
        <f t="shared" si="156"/>
        <v>MTSS IV кв. 2012</v>
      </c>
      <c r="C911">
        <v>2012</v>
      </c>
      <c r="D911">
        <f>SUMIFS(Дивиденды!$C:$C,Дивиденды!$A:$A,A911,Дивиденды!$I:$I,C911)</f>
        <v>14.6</v>
      </c>
      <c r="E911">
        <v>6</v>
      </c>
      <c r="F911">
        <f t="shared" si="157"/>
        <v>14.6</v>
      </c>
      <c r="G911">
        <f t="shared" si="158"/>
        <v>2.44</v>
      </c>
      <c r="H911">
        <f t="shared" si="159"/>
        <v>1</v>
      </c>
      <c r="I911">
        <f t="shared" si="155"/>
        <v>1</v>
      </c>
      <c r="J911">
        <f t="shared" si="160"/>
        <v>-7.4779061862679267E-3</v>
      </c>
      <c r="K911">
        <f t="shared" si="164"/>
        <v>-0.48085106382978726</v>
      </c>
      <c r="L911">
        <f t="shared" si="161"/>
        <v>0</v>
      </c>
      <c r="M911">
        <f t="shared" si="154"/>
        <v>0</v>
      </c>
      <c r="N911">
        <f t="shared" si="162"/>
        <v>1</v>
      </c>
      <c r="O911">
        <f t="shared" si="163"/>
        <v>1</v>
      </c>
      <c r="P911">
        <f>IFERROR(LN('Дивиденды по годам'!I911),"")</f>
        <v>26.865987662311966</v>
      </c>
      <c r="Q911">
        <f>IFERROR('Дивиденды по годам'!G911/'Дивиденды по годам'!I911, "")</f>
        <v>0.59734998646181181</v>
      </c>
      <c r="R911" t="str">
        <f>IFERROR(IF(AND('Дивиденды по годам'!N911&lt;&gt;"",'Дивиденды по годам'!U911&lt;&gt;"",'Дивиденды по годам'!U911&lt;&gt;0),'Дивиденды по годам'!N911/'Дивиденды по годам'!U911-1,""),"")</f>
        <v/>
      </c>
      <c r="S911" t="str">
        <f>IFERROR(IF(AND('Дивиденды по годам'!L911&lt;&gt;"",'Дивиденды по годам'!I911&lt;&gt;"",'Дивиденды по годам'!J911&lt;&gt;"",'Дивиденды по годам'!K911&lt;&gt;"",('Дивиденды по годам'!I911-'Дивиденды по годам'!J911-'Дивиденды по годам'!K911)&lt;&gt;0),'Дивиденды по годам'!L911/('Дивиденды по годам'!I911-'Дивиденды по годам'!J911-'Дивиденды по годам'!K911),""),"")</f>
        <v/>
      </c>
      <c r="T911" t="str">
        <f>IFERROR(IF(AND('Дивиденды по годам'!Q911&lt;&gt;"",'Дивиденды по годам'!I911&lt;&gt;"",'Дивиденды по годам'!V911&lt;&gt;"",('Дивиденды по годам'!I911+'Дивиденды по годам'!V911)&lt;&gt;0),'Дивиденды по годам'!Q911/(('Дивиденды по годам'!I911+'Дивиденды по годам'!V911)/2),""),"")</f>
        <v/>
      </c>
      <c r="U911">
        <f>IFERROR(IF(AND('Дивиденды по годам'!J911&lt;&gt;"",'Дивиденды по годам'!K911&lt;&gt;"",'Дивиденды по годам'!M911&lt;&gt;"",'Дивиденды по годам'!M911&lt;&gt;0),('Дивиденды по годам'!J911+'Дивиденды по годам'!K911)/'Дивиденды по годам'!M911,""),"")</f>
        <v>2.9711892555419164</v>
      </c>
      <c r="V911" cm="1">
        <f t="array" ref="V911">IFERROR(AVERAGE(_xlfn._xlws.FILTER(P$2:P$1073,($C$2:$C$1073=$C911)*($E$2:$E$1073=$E911)*(ROW(P$2:P$1073)&lt;&gt;ROW(P911))*(P$2:P$1073&lt;&gt;""))),"")</f>
        <v>27.086347387334431</v>
      </c>
      <c r="W911" cm="1">
        <f t="array" ref="W911">IFERROR(AVERAGE(_xlfn._xlws.FILTER(Q$2:Q$1073,($C$2:$C$1073=$C911)*($E$2:$E$1073=$E911)*(ROW(Q$2:Q$1073)&lt;&gt;ROW(Q911))*(Q$2:Q$1073&lt;&gt;""))),"")</f>
        <v>0.66547132825659316</v>
      </c>
      <c r="X911" cm="1">
        <f t="array" ref="X911">IFERROR(AVERAGE(_xlfn._xlws.FILTER(R$2:R$1073,($C$2:$C$1073=$C911)*($E$2:$E$1073=$E911)*(ROW(R$2:R$1073)&lt;&gt;ROW(R911))*(R$2:R$1073&lt;&gt;""))),"")</f>
        <v>8.5252436531932485E-2</v>
      </c>
      <c r="Y911" t="str" cm="1">
        <f t="array" ref="Y911">IFERROR(AVERAGE(_xlfn._xlws.FILTER(S$2:S$1073,($C$2:$C$1073=$C911)*($E$2:$E$1073=$E911)*(ROW(S$2:S$1073)&lt;&gt;ROW(S911))*(S$2:S$1073&lt;&gt;""))),"")</f>
        <v/>
      </c>
      <c r="Z911" cm="1">
        <f t="array" ref="Z911">IFERROR(AVERAGE(_xlfn._xlws.FILTER(T$2:T$1073,($C$2:$C$1073=$C911)*($E$2:$E$1073=$E911)*(ROW(T$2:T$1073)&lt;&gt;ROW(T911))*(T$2:T$1073&lt;&gt;""))),"")</f>
        <v>6.4593053680603474E-2</v>
      </c>
      <c r="AA911" cm="1">
        <f t="array" ref="AA911">IFERROR(AVERAGE(_xlfn._xlws.FILTER(U$2:U$1073,($C$2:$C$1073=$C911)*($E$2:$E$1073=$E911)*(ROW(U$2:U$1073)&lt;&gt;ROW(U911))*(U$2:U$1073&lt;&gt;""))),"")</f>
        <v>1.2660470531242431</v>
      </c>
    </row>
    <row r="912" spans="1:27" x14ac:dyDescent="0.2">
      <c r="A912" s="7" t="s">
        <v>2289</v>
      </c>
      <c r="B912" t="str">
        <f t="shared" si="156"/>
        <v>MTSS IV кв. 2011</v>
      </c>
      <c r="C912">
        <v>2011</v>
      </c>
      <c r="D912">
        <f>SUMIFS(Дивиденды!$C:$C,Дивиденды!$A:$A,A912,Дивиденды!$I:$I,C912)</f>
        <v>14.71</v>
      </c>
      <c r="E912">
        <v>6</v>
      </c>
      <c r="F912">
        <f t="shared" si="157"/>
        <v>14.71</v>
      </c>
      <c r="G912">
        <f t="shared" si="158"/>
        <v>4.7</v>
      </c>
      <c r="H912">
        <f t="shared" si="159"/>
        <v>1</v>
      </c>
      <c r="I912">
        <f t="shared" si="155"/>
        <v>1</v>
      </c>
      <c r="J912">
        <f t="shared" si="160"/>
        <v>1.169188445667137E-2</v>
      </c>
      <c r="K912">
        <f t="shared" si="164"/>
        <v>3.2342342342342336</v>
      </c>
      <c r="L912">
        <f t="shared" si="161"/>
        <v>1</v>
      </c>
      <c r="M912">
        <f t="shared" si="154"/>
        <v>1</v>
      </c>
      <c r="N912">
        <f t="shared" si="162"/>
        <v>0</v>
      </c>
      <c r="O912">
        <f t="shared" si="163"/>
        <v>0</v>
      </c>
      <c r="P912" t="str">
        <f>IFERROR(LN('Дивиденды по годам'!I912),"")</f>
        <v/>
      </c>
      <c r="Q912" t="str">
        <f>IFERROR('Дивиденды по годам'!G912/'Дивиденды по годам'!I912, "")</f>
        <v/>
      </c>
      <c r="R912" t="str">
        <f>IFERROR(IF(AND('Дивиденды по годам'!N912&lt;&gt;"",'Дивиденды по годам'!U912&lt;&gt;"",'Дивиденды по годам'!U912&lt;&gt;0),'Дивиденды по годам'!N912/'Дивиденды по годам'!U912-1,""),"")</f>
        <v/>
      </c>
      <c r="S912" t="str">
        <f>IFERROR(IF(AND('Дивиденды по годам'!L912&lt;&gt;"",'Дивиденды по годам'!I912&lt;&gt;"",'Дивиденды по годам'!J912&lt;&gt;"",'Дивиденды по годам'!K912&lt;&gt;"",('Дивиденды по годам'!I912-'Дивиденды по годам'!J912-'Дивиденды по годам'!K912)&lt;&gt;0),'Дивиденды по годам'!L912/('Дивиденды по годам'!I912-'Дивиденды по годам'!J912-'Дивиденды по годам'!K912),""),"")</f>
        <v/>
      </c>
      <c r="T912" t="str">
        <f>IFERROR(IF(AND('Дивиденды по годам'!Q912&lt;&gt;"",'Дивиденды по годам'!I912&lt;&gt;"",'Дивиденды по годам'!V912&lt;&gt;"",('Дивиденды по годам'!I912+'Дивиденды по годам'!V912)&lt;&gt;0),'Дивиденды по годам'!Q912/(('Дивиденды по годам'!I912+'Дивиденды по годам'!V912)/2),""),"")</f>
        <v/>
      </c>
      <c r="U912" t="str">
        <f>IFERROR(IF(AND('Дивиденды по годам'!J912&lt;&gt;"",'Дивиденды по годам'!K912&lt;&gt;"",'Дивиденды по годам'!M912&lt;&gt;"",'Дивиденды по годам'!M912&lt;&gt;0),('Дивиденды по годам'!J912+'Дивиденды по годам'!K912)/'Дивиденды по годам'!M912,""),"")</f>
        <v/>
      </c>
      <c r="V912" cm="1">
        <f t="array" ref="V912">IFERROR(AVERAGE(_xlfn._xlws.FILTER(P$2:P$1073,($C$2:$C$1073=$C912)*($E$2:$E$1073=$E912)*(ROW(P$2:P$1073)&lt;&gt;ROW(P912))*(P$2:P$1073&lt;&gt;""))),"")</f>
        <v>26.959846755112331</v>
      </c>
      <c r="W912" cm="1">
        <f t="array" ref="W912">IFERROR(AVERAGE(_xlfn._xlws.FILTER(Q$2:Q$1073,($C$2:$C$1073=$C912)*($E$2:$E$1073=$E912)*(ROW(Q$2:Q$1073)&lt;&gt;ROW(Q912))*(Q$2:Q$1073&lt;&gt;""))),"")</f>
        <v>0.64168629722093962</v>
      </c>
      <c r="X912" t="str" cm="1">
        <f t="array" ref="X912">IFERROR(AVERAGE(_xlfn._xlws.FILTER(R$2:R$1073,($C$2:$C$1073=$C912)*($E$2:$E$1073=$E912)*(ROW(R$2:R$1073)&lt;&gt;ROW(R912))*(R$2:R$1073&lt;&gt;""))),"")</f>
        <v/>
      </c>
      <c r="Y912" t="str" cm="1">
        <f t="array" ref="Y912">IFERROR(AVERAGE(_xlfn._xlws.FILTER(S$2:S$1073,($C$2:$C$1073=$C912)*($E$2:$E$1073=$E912)*(ROW(S$2:S$1073)&lt;&gt;ROW(S912))*(S$2:S$1073&lt;&gt;""))),"")</f>
        <v/>
      </c>
      <c r="Z912" t="str" cm="1">
        <f t="array" ref="Z912">IFERROR(AVERAGE(_xlfn._xlws.FILTER(T$2:T$1073,($C$2:$C$1073=$C912)*($E$2:$E$1073=$E912)*(ROW(T$2:T$1073)&lt;&gt;ROW(T912))*(T$2:T$1073&lt;&gt;""))),"")</f>
        <v/>
      </c>
      <c r="AA912" cm="1">
        <f t="array" ref="AA912">IFERROR(AVERAGE(_xlfn._xlws.FILTER(U$2:U$1073,($C$2:$C$1073=$C912)*($E$2:$E$1073=$E912)*(ROW(U$2:U$1073)&lt;&gt;ROW(U912))*(U$2:U$1073&lt;&gt;""))),"")</f>
        <v>0.9076461410986616</v>
      </c>
    </row>
    <row r="913" spans="1:27" x14ac:dyDescent="0.2">
      <c r="A913" s="7" t="s">
        <v>2289</v>
      </c>
      <c r="B913" t="str">
        <f t="shared" si="156"/>
        <v>MTSS IV кв. 2010</v>
      </c>
      <c r="C913">
        <v>2010</v>
      </c>
      <c r="D913">
        <f>SUMIFS(Дивиденды!$C:$C,Дивиденды!$A:$A,A913,Дивиденды!$I:$I,C913)</f>
        <v>14.54</v>
      </c>
      <c r="E913">
        <v>6</v>
      </c>
      <c r="F913">
        <f t="shared" si="157"/>
        <v>14.54</v>
      </c>
      <c r="G913">
        <f t="shared" si="158"/>
        <v>1.1100000000000001</v>
      </c>
      <c r="H913">
        <f t="shared" si="159"/>
        <v>1</v>
      </c>
      <c r="I913">
        <f t="shared" si="155"/>
        <v>1</v>
      </c>
      <c r="J913" t="str">
        <f t="shared" si="160"/>
        <v/>
      </c>
      <c r="K913" t="str">
        <f t="shared" si="164"/>
        <v/>
      </c>
      <c r="L913" t="str">
        <f t="shared" si="161"/>
        <v/>
      </c>
      <c r="M913" t="str">
        <f t="shared" si="154"/>
        <v/>
      </c>
      <c r="N913" t="str">
        <f t="shared" si="162"/>
        <v/>
      </c>
      <c r="O913" t="str">
        <f t="shared" si="163"/>
        <v/>
      </c>
      <c r="P913" t="str">
        <f>IFERROR(LN('Дивиденды по годам'!I913),"")</f>
        <v/>
      </c>
      <c r="Q913" t="str">
        <f>IFERROR('Дивиденды по годам'!G913/'Дивиденды по годам'!I913, "")</f>
        <v/>
      </c>
      <c r="R913" t="str">
        <f>IFERROR(IF(AND('Дивиденды по годам'!N913&lt;&gt;"",'Дивиденды по годам'!U913&lt;&gt;"",'Дивиденды по годам'!U913&lt;&gt;0),'Дивиденды по годам'!N913/'Дивиденды по годам'!U913-1,""),"")</f>
        <v/>
      </c>
      <c r="S913" t="str">
        <f>IFERROR(IF(AND('Дивиденды по годам'!L913&lt;&gt;"",'Дивиденды по годам'!I913&lt;&gt;"",'Дивиденды по годам'!J913&lt;&gt;"",'Дивиденды по годам'!K913&lt;&gt;"",('Дивиденды по годам'!I913-'Дивиденды по годам'!J913-'Дивиденды по годам'!K913)&lt;&gt;0),'Дивиденды по годам'!L913/('Дивиденды по годам'!I913-'Дивиденды по годам'!J913-'Дивиденды по годам'!K913),""),"")</f>
        <v/>
      </c>
      <c r="T913" t="str">
        <f>IFERROR(IF(AND('Дивиденды по годам'!Q913&lt;&gt;"",'Дивиденды по годам'!I913&lt;&gt;"",'Дивиденды по годам'!V913&lt;&gt;"",('Дивиденды по годам'!I913+'Дивиденды по годам'!V913)&lt;&gt;0),'Дивиденды по годам'!Q913/(('Дивиденды по годам'!I913+'Дивиденды по годам'!V913)/2),""),"")</f>
        <v/>
      </c>
      <c r="U913" t="str">
        <f>IFERROR(IF(AND('Дивиденды по годам'!J913&lt;&gt;"",'Дивиденды по годам'!K913&lt;&gt;"",'Дивиденды по годам'!M913&lt;&gt;"",'Дивиденды по годам'!M913&lt;&gt;0),('Дивиденды по годам'!J913+'Дивиденды по годам'!K913)/'Дивиденды по годам'!M913,""),"")</f>
        <v/>
      </c>
      <c r="V913" t="str" cm="1">
        <f t="array" ref="V913">IFERROR(AVERAGE(_xlfn._xlws.FILTER(P$2:P$1073,($C$2:$C$1073=$C913)*($E$2:$E$1073=$E913)*(ROW(P$2:P$1073)&lt;&gt;ROW(P913))*(P$2:P$1073&lt;&gt;""))),"")</f>
        <v/>
      </c>
      <c r="W913" t="str" cm="1">
        <f t="array" ref="W913">IFERROR(AVERAGE(_xlfn._xlws.FILTER(Q$2:Q$1073,($C$2:$C$1073=$C913)*($E$2:$E$1073=$E913)*(ROW(Q$2:Q$1073)&lt;&gt;ROW(Q913))*(Q$2:Q$1073&lt;&gt;""))),"")</f>
        <v/>
      </c>
      <c r="X913" t="str" cm="1">
        <f t="array" ref="X913">IFERROR(AVERAGE(_xlfn._xlws.FILTER(R$2:R$1073,($C$2:$C$1073=$C913)*($E$2:$E$1073=$E913)*(ROW(R$2:R$1073)&lt;&gt;ROW(R913))*(R$2:R$1073&lt;&gt;""))),"")</f>
        <v/>
      </c>
      <c r="Y913" t="str" cm="1">
        <f t="array" ref="Y913">IFERROR(AVERAGE(_xlfn._xlws.FILTER(S$2:S$1073,($C$2:$C$1073=$C913)*($E$2:$E$1073=$E913)*(ROW(S$2:S$1073)&lt;&gt;ROW(S913))*(S$2:S$1073&lt;&gt;""))),"")</f>
        <v/>
      </c>
      <c r="Z913" t="str" cm="1">
        <f t="array" ref="Z913">IFERROR(AVERAGE(_xlfn._xlws.FILTER(T$2:T$1073,($C$2:$C$1073=$C913)*($E$2:$E$1073=$E913)*(ROW(T$2:T$1073)&lt;&gt;ROW(T913))*(T$2:T$1073&lt;&gt;""))),"")</f>
        <v/>
      </c>
      <c r="AA913" t="str" cm="1">
        <f t="array" ref="AA913">IFERROR(AVERAGE(_xlfn._xlws.FILTER(U$2:U$1073,($C$2:$C$1073=$C913)*($E$2:$E$1073=$E913)*(ROW(U$2:U$1073)&lt;&gt;ROW(U913))*(U$2:U$1073&lt;&gt;""))),"")</f>
        <v/>
      </c>
    </row>
    <row r="914" spans="1:27" x14ac:dyDescent="0.2">
      <c r="A914" s="7" t="s">
        <v>2292</v>
      </c>
      <c r="B914" t="str">
        <f t="shared" si="156"/>
        <v>RTKM IV кв. 2025</v>
      </c>
      <c r="C914">
        <v>2025</v>
      </c>
      <c r="D914">
        <f>SUMIFS(Дивиденды!$C:$C,Дивиденды!$A:$A,A914,Дивиденды!$I:$I,C914)</f>
        <v>0</v>
      </c>
      <c r="E914">
        <v>6</v>
      </c>
      <c r="F914">
        <f t="shared" si="157"/>
        <v>0</v>
      </c>
      <c r="G914">
        <f t="shared" si="158"/>
        <v>0</v>
      </c>
      <c r="H914">
        <f t="shared" si="159"/>
        <v>0</v>
      </c>
      <c r="I914">
        <f t="shared" si="155"/>
        <v>0</v>
      </c>
      <c r="J914">
        <f t="shared" si="160"/>
        <v>-1</v>
      </c>
      <c r="K914">
        <f t="shared" si="164"/>
        <v>-1</v>
      </c>
      <c r="L914">
        <f t="shared" si="161"/>
        <v>0</v>
      </c>
      <c r="M914">
        <f t="shared" si="154"/>
        <v>0</v>
      </c>
      <c r="N914">
        <f t="shared" si="162"/>
        <v>1</v>
      </c>
      <c r="O914">
        <f t="shared" si="163"/>
        <v>1</v>
      </c>
      <c r="P914">
        <f>IFERROR(LN('Дивиденды по годам'!I914),"")</f>
        <v>27.990708218758318</v>
      </c>
      <c r="Q914">
        <f>IFERROR('Дивиденды по годам'!G914/'Дивиденды по годам'!I914, "")</f>
        <v>0.51373631166858935</v>
      </c>
      <c r="R914">
        <f>IFERROR(IF(AND('Дивиденды по годам'!N914&lt;&gt;"",'Дивиденды по годам'!U914&lt;&gt;"",'Дивиденды по годам'!U914&lt;&gt;0),'Дивиденды по годам'!N914/'Дивиденды по годам'!U914-1,""),"")</f>
        <v>0.11904044515959455</v>
      </c>
      <c r="S914">
        <f>IFERROR(IF(AND('Дивиденды по годам'!L914&lt;&gt;"",'Дивиденды по годам'!I914&lt;&gt;"",'Дивиденды по годам'!J914&lt;&gt;"",'Дивиденды по годам'!K914&lt;&gt;"",('Дивиденды по годам'!I914-'Дивиденды по годам'!J914-'Дивиденды по годам'!K914)&lt;&gt;0),'Дивиденды по годам'!L914/('Дивиденды по годам'!I914-'Дивиденды по годам'!J914-'Дивиденды по годам'!K914),""),"")</f>
        <v>0.8147637928757776</v>
      </c>
      <c r="T914">
        <f>IFERROR(IF(AND('Дивиденды по годам'!Q914&lt;&gt;"",'Дивиденды по годам'!I914&lt;&gt;"",'Дивиденды по годам'!V914&lt;&gt;"",('Дивиденды по годам'!I914+'Дивиденды по годам'!V914)&lt;&gt;0),'Дивиденды по годам'!Q914/(('Дивиденды по годам'!I914+'Дивиденды по годам'!V914)/2),""),"")</f>
        <v>1.33023241928869E-2</v>
      </c>
      <c r="U914">
        <f>IFERROR(IF(AND('Дивиденды по годам'!J914&lt;&gt;"",'Дивиденды по годам'!K914&lt;&gt;"",'Дивиденды по годам'!M914&lt;&gt;"",'Дивиденды по годам'!M914&lt;&gt;0),('Дивиденды по годам'!J914+'Дивиденды по годам'!K914)/'Дивиденды по годам'!M914,""),"")</f>
        <v>4.113797693781919</v>
      </c>
      <c r="V914" cm="1">
        <f t="array" ref="V914">IFERROR(AVERAGE(_xlfn._xlws.FILTER(P$2:P$1073,($C$2:$C$1073=$C914)*($E$2:$E$1073=$E914)*(ROW(P$2:P$1073)&lt;&gt;ROW(P914))*(P$2:P$1073&lt;&gt;""))),"")</f>
        <v>28.201109870396543</v>
      </c>
      <c r="W914" cm="1">
        <f t="array" ref="W914">IFERROR(AVERAGE(_xlfn._xlws.FILTER(Q$2:Q$1073,($C$2:$C$1073=$C914)*($E$2:$E$1073=$E914)*(ROW(Q$2:Q$1073)&lt;&gt;ROW(Q914))*(Q$2:Q$1073&lt;&gt;""))),"")</f>
        <v>0.22120826227194385</v>
      </c>
      <c r="X914" cm="1">
        <f t="array" ref="X914">IFERROR(AVERAGE(_xlfn._xlws.FILTER(R$2:R$1073,($C$2:$C$1073=$C914)*($E$2:$E$1073=$E914)*(ROW(R$2:R$1073)&lt;&gt;ROW(R914))*(R$2:R$1073&lt;&gt;""))),"")</f>
        <v>0.14699299884474537</v>
      </c>
      <c r="Y914" t="str" cm="1">
        <f t="array" ref="Y914">IFERROR(AVERAGE(_xlfn._xlws.FILTER(S$2:S$1073,($C$2:$C$1073=$C914)*($E$2:$E$1073=$E914)*(ROW(S$2:S$1073)&lt;&gt;ROW(S914))*(S$2:S$1073&lt;&gt;""))),"")</f>
        <v/>
      </c>
      <c r="Z914" cm="1">
        <f t="array" ref="Z914">IFERROR(AVERAGE(_xlfn._xlws.FILTER(T$2:T$1073,($C$2:$C$1073=$C914)*($E$2:$E$1073=$E914)*(ROW(T$2:T$1073)&lt;&gt;ROW(T914))*(T$2:T$1073&lt;&gt;""))),"")</f>
        <v>2.3520516761039112E-2</v>
      </c>
      <c r="AA914" cm="1">
        <f t="array" ref="AA914">IFERROR(AVERAGE(_xlfn._xlws.FILTER(U$2:U$1073,($C$2:$C$1073=$C914)*($E$2:$E$1073=$E914)*(ROW(U$2:U$1073)&lt;&gt;ROW(U914))*(U$2:U$1073&lt;&gt;""))),"")</f>
        <v>103.28258049298266</v>
      </c>
    </row>
    <row r="915" spans="1:27" x14ac:dyDescent="0.2">
      <c r="A915" s="7" t="s">
        <v>2292</v>
      </c>
      <c r="B915" t="str">
        <f t="shared" si="156"/>
        <v>RTKM IV кв. 2024</v>
      </c>
      <c r="C915">
        <v>2024</v>
      </c>
      <c r="D915">
        <f>SUMIFS(Дивиденды!$C:$C,Дивиденды!$A:$A,A915,Дивиденды!$I:$I,C915)</f>
        <v>2.71</v>
      </c>
      <c r="E915">
        <v>6</v>
      </c>
      <c r="F915">
        <f t="shared" si="157"/>
        <v>2.71</v>
      </c>
      <c r="G915">
        <f t="shared" si="158"/>
        <v>35</v>
      </c>
      <c r="H915">
        <f t="shared" si="159"/>
        <v>1</v>
      </c>
      <c r="I915">
        <f t="shared" si="155"/>
        <v>1</v>
      </c>
      <c r="J915">
        <f t="shared" si="160"/>
        <v>-0.55280528052805278</v>
      </c>
      <c r="K915">
        <f t="shared" si="164"/>
        <v>0</v>
      </c>
      <c r="L915">
        <f t="shared" si="161"/>
        <v>0</v>
      </c>
      <c r="M915">
        <f t="shared" si="154"/>
        <v>0</v>
      </c>
      <c r="N915">
        <f t="shared" si="162"/>
        <v>1</v>
      </c>
      <c r="O915">
        <f t="shared" si="163"/>
        <v>0</v>
      </c>
      <c r="P915">
        <f>IFERROR(LN('Дивиденды по годам'!I915),"")</f>
        <v>27.953765990543594</v>
      </c>
      <c r="Q915">
        <f>IFERROR('Дивиденды по годам'!G915/'Дивиденды по годам'!I915, "")</f>
        <v>0.51706226243072517</v>
      </c>
      <c r="R915">
        <f>IFERROR(IF(AND('Дивиденды по годам'!N915&lt;&gt;"",'Дивиденды по годам'!U915&lt;&gt;"",'Дивиденды по годам'!U915&lt;&gt;0),'Дивиденды по годам'!N915/'Дивиденды по годам'!U915-1,""),"")</f>
        <v>0.10192695404499297</v>
      </c>
      <c r="S915">
        <f>IFERROR(IF(AND('Дивиденды по годам'!L915&lt;&gt;"",'Дивиденды по годам'!I915&lt;&gt;"",'Дивиденды по годам'!J915&lt;&gt;"",'Дивиденды по годам'!K915&lt;&gt;"",('Дивиденды по годам'!I915-'Дивиденды по годам'!J915-'Дивиденды по годам'!K915)&lt;&gt;0),'Дивиденды по годам'!L915/('Дивиденды по годам'!I915-'Дивиденды по годам'!J915-'Дивиденды по годам'!K915),""),"")</f>
        <v>0.83695151634760867</v>
      </c>
      <c r="T915">
        <f>IFERROR(IF(AND('Дивиденды по годам'!Q915&lt;&gt;"",'Дивиденды по годам'!I915&lt;&gt;"",'Дивиденды по годам'!V915&lt;&gt;"",('Дивиденды по годам'!I915+'Дивиденды по годам'!V915)&lt;&gt;0),'Дивиденды по годам'!Q915/(('Дивиденды по годам'!I915+'Дивиденды по годам'!V915)/2),""),"")</f>
        <v>1.8333377147513964E-2</v>
      </c>
      <c r="U915">
        <f>IFERROR(IF(AND('Дивиденды по годам'!J915&lt;&gt;"",'Дивиденды по годам'!K915&lt;&gt;"",'Дивиденды по годам'!M915&lt;&gt;"",'Дивиденды по годам'!M915&lt;&gt;0),('Дивиденды по годам'!J915+'Дивиденды по годам'!K915)/'Дивиденды по годам'!M915,""),"")</f>
        <v>4.0468646068606597</v>
      </c>
      <c r="V915" cm="1">
        <f t="array" ref="V915">IFERROR(AVERAGE(_xlfn._xlws.FILTER(P$2:P$1073,($C$2:$C$1073=$C915)*($E$2:$E$1073=$E915)*(ROW(P$2:P$1073)&lt;&gt;ROW(P915))*(P$2:P$1073&lt;&gt;""))),"")</f>
        <v>28.047731425753593</v>
      </c>
      <c r="W915" cm="1">
        <f t="array" ref="W915">IFERROR(AVERAGE(_xlfn._xlws.FILTER(Q$2:Q$1073,($C$2:$C$1073=$C915)*($E$2:$E$1073=$E915)*(ROW(Q$2:Q$1073)&lt;&gt;ROW(Q915))*(Q$2:Q$1073&lt;&gt;""))),"")</f>
        <v>0.22380901841376488</v>
      </c>
      <c r="X915" cm="1">
        <f t="array" ref="X915">IFERROR(AVERAGE(_xlfn._xlws.FILTER(R$2:R$1073,($C$2:$C$1073=$C915)*($E$2:$E$1073=$E915)*(ROW(R$2:R$1073)&lt;&gt;ROW(R915))*(R$2:R$1073&lt;&gt;""))),"")</f>
        <v>0.16130602599708577</v>
      </c>
      <c r="Y915" cm="1">
        <f t="array" ref="Y915">IFERROR(AVERAGE(_xlfn._xlws.FILTER(S$2:S$1073,($C$2:$C$1073=$C915)*($E$2:$E$1073=$E915)*(ROW(S$2:S$1073)&lt;&gt;ROW(S915))*(S$2:S$1073&lt;&gt;""))),"")</f>
        <v>-4.9949261171443835</v>
      </c>
      <c r="Z915" cm="1">
        <f t="array" ref="Z915">IFERROR(AVERAGE(_xlfn._xlws.FILTER(T$2:T$1073,($C$2:$C$1073=$C915)*($E$2:$E$1073=$E915)*(ROW(T$2:T$1073)&lt;&gt;ROW(T915))*(T$2:T$1073&lt;&gt;""))),"")</f>
        <v>3.6531852499619016E-2</v>
      </c>
      <c r="AA915" cm="1">
        <f t="array" ref="AA915">IFERROR(AVERAGE(_xlfn._xlws.FILTER(U$2:U$1073,($C$2:$C$1073=$C915)*($E$2:$E$1073=$E915)*(ROW(U$2:U$1073)&lt;&gt;ROW(U915))*(U$2:U$1073&lt;&gt;""))),"")</f>
        <v>-136.03320277728324</v>
      </c>
    </row>
    <row r="916" spans="1:27" x14ac:dyDescent="0.2">
      <c r="A916" s="7" t="s">
        <v>2292</v>
      </c>
      <c r="B916" t="str">
        <f t="shared" si="156"/>
        <v>RTKM IV кв. 2023</v>
      </c>
      <c r="C916">
        <v>2023</v>
      </c>
      <c r="D916">
        <f>SUMIFS(Дивиденды!$C:$C,Дивиденды!$A:$A,A916,Дивиденды!$I:$I,C916)</f>
        <v>6.06</v>
      </c>
      <c r="E916">
        <v>6</v>
      </c>
      <c r="F916">
        <f t="shared" si="157"/>
        <v>6.06</v>
      </c>
      <c r="G916">
        <f t="shared" si="158"/>
        <v>35</v>
      </c>
      <c r="H916">
        <f t="shared" si="159"/>
        <v>1</v>
      </c>
      <c r="I916">
        <f t="shared" si="155"/>
        <v>1</v>
      </c>
      <c r="J916">
        <f t="shared" si="160"/>
        <v>0.11192660550458705</v>
      </c>
      <c r="K916">
        <f t="shared" si="164"/>
        <v>2.070574511519396E-2</v>
      </c>
      <c r="L916">
        <f t="shared" si="161"/>
        <v>1</v>
      </c>
      <c r="M916">
        <f t="shared" si="154"/>
        <v>1</v>
      </c>
      <c r="N916">
        <f t="shared" si="162"/>
        <v>0</v>
      </c>
      <c r="O916">
        <f t="shared" si="163"/>
        <v>0</v>
      </c>
      <c r="P916">
        <f>IFERROR(LN('Дивиденды по годам'!I916),"")</f>
        <v>27.849198757497749</v>
      </c>
      <c r="Q916">
        <f>IFERROR('Дивиденды по годам'!G916/'Дивиденды по годам'!I916, "")</f>
        <v>0.51251398929738357</v>
      </c>
      <c r="R916" t="str">
        <f>IFERROR(IF(AND('Дивиденды по годам'!N916&lt;&gt;"",'Дивиденды по годам'!U916&lt;&gt;"",'Дивиденды по годам'!U916&lt;&gt;0),'Дивиденды по годам'!N916/'Дивиденды по годам'!U916-1,""),"")</f>
        <v/>
      </c>
      <c r="S916">
        <f>IFERROR(IF(AND('Дивиденды по годам'!L916&lt;&gt;"",'Дивиденды по годам'!I916&lt;&gt;"",'Дивиденды по годам'!J916&lt;&gt;"",'Дивиденды по годам'!K916&lt;&gt;"",('Дивиденды по годам'!I916-'Дивиденды по годам'!J916-'Дивиденды по годам'!K916)&lt;&gt;0),'Дивиденды по годам'!L916/('Дивиденды по годам'!I916-'Дивиденды по годам'!J916-'Дивиденды по годам'!K916),""),"")</f>
        <v>0.85381939887124292</v>
      </c>
      <c r="T916" t="str">
        <f>IFERROR(IF(AND('Дивиденды по годам'!Q916&lt;&gt;"",'Дивиденды по годам'!I916&lt;&gt;"",'Дивиденды по годам'!V916&lt;&gt;"",('Дивиденды по годам'!I916+'Дивиденды по годам'!V916)&lt;&gt;0),'Дивиденды по годам'!Q916/(('Дивиденды по годам'!I916+'Дивиденды по годам'!V916)/2),""),"")</f>
        <v/>
      </c>
      <c r="U916">
        <f>IFERROR(IF(AND('Дивиденды по годам'!J916&lt;&gt;"",'Дивиденды по годам'!K916&lt;&gt;"",'Дивиденды по годам'!M916&lt;&gt;"",'Дивиденды по годам'!M916&lt;&gt;0),('Дивиденды по годам'!J916+'Дивиденды по годам'!K916)/'Дивиденды по годам'!M916,""),"")</f>
        <v>3.5347450088229717</v>
      </c>
      <c r="V916" cm="1">
        <f t="array" ref="V916">IFERROR(AVERAGE(_xlfn._xlws.FILTER(P$2:P$1073,($C$2:$C$1073=$C916)*($E$2:$E$1073=$E916)*(ROW(P$2:P$1073)&lt;&gt;ROW(P916))*(P$2:P$1073&lt;&gt;""))),"")</f>
        <v>27.886860292080872</v>
      </c>
      <c r="W916" cm="1">
        <f t="array" ref="W916">IFERROR(AVERAGE(_xlfn._xlws.FILTER(Q$2:Q$1073,($C$2:$C$1073=$C916)*($E$2:$E$1073=$E916)*(ROW(Q$2:Q$1073)&lt;&gt;ROW(Q916))*(Q$2:Q$1073&lt;&gt;""))),"")</f>
        <v>0.24332872644778153</v>
      </c>
      <c r="X916" cm="1">
        <f t="array" ref="X916">IFERROR(AVERAGE(_xlfn._xlws.FILTER(R$2:R$1073,($C$2:$C$1073=$C916)*($E$2:$E$1073=$E916)*(ROW(R$2:R$1073)&lt;&gt;ROW(R916))*(R$2:R$1073&lt;&gt;""))),"")</f>
        <v>0.11858259083080913</v>
      </c>
      <c r="Y916" t="str" cm="1">
        <f t="array" ref="Y916">IFERROR(AVERAGE(_xlfn._xlws.FILTER(S$2:S$1073,($C$2:$C$1073=$C916)*($E$2:$E$1073=$E916)*(ROW(S$2:S$1073)&lt;&gt;ROW(S916))*(S$2:S$1073&lt;&gt;""))),"")</f>
        <v/>
      </c>
      <c r="Z916" cm="1">
        <f t="array" ref="Z916">IFERROR(AVERAGE(_xlfn._xlws.FILTER(T$2:T$1073,($C$2:$C$1073=$C916)*($E$2:$E$1073=$E916)*(ROW(T$2:T$1073)&lt;&gt;ROW(T916))*(T$2:T$1073&lt;&gt;""))),"")</f>
        <v>4.6771602143631748E-2</v>
      </c>
      <c r="AA916" cm="1">
        <f t="array" ref="AA916">IFERROR(AVERAGE(_xlfn._xlws.FILTER(U$2:U$1073,($C$2:$C$1073=$C916)*($E$2:$E$1073=$E916)*(ROW(U$2:U$1073)&lt;&gt;ROW(U916))*(U$2:U$1073&lt;&gt;""))),"")</f>
        <v>749.89825581395348</v>
      </c>
    </row>
    <row r="917" spans="1:27" x14ac:dyDescent="0.2">
      <c r="A917" s="7" t="s">
        <v>2292</v>
      </c>
      <c r="B917" t="str">
        <f t="shared" si="156"/>
        <v>RTKM IV кв. 2022</v>
      </c>
      <c r="C917">
        <v>2022</v>
      </c>
      <c r="D917">
        <f>SUMIFS(Дивиденды!$C:$C,Дивиденды!$A:$A,A917,Дивиденды!$I:$I,C917)</f>
        <v>5.45</v>
      </c>
      <c r="E917">
        <v>6</v>
      </c>
      <c r="F917">
        <f t="shared" si="157"/>
        <v>5.45</v>
      </c>
      <c r="G917">
        <f t="shared" si="158"/>
        <v>34.29</v>
      </c>
      <c r="H917">
        <f t="shared" si="159"/>
        <v>1</v>
      </c>
      <c r="I917">
        <f t="shared" si="155"/>
        <v>1</v>
      </c>
      <c r="J917">
        <f t="shared" si="160"/>
        <v>0.19517543859649136</v>
      </c>
      <c r="K917">
        <f t="shared" si="164"/>
        <v>-0.22770270270270282</v>
      </c>
      <c r="L917">
        <f t="shared" si="161"/>
        <v>1</v>
      </c>
      <c r="M917">
        <f t="shared" si="154"/>
        <v>0</v>
      </c>
      <c r="N917">
        <f t="shared" si="162"/>
        <v>0</v>
      </c>
      <c r="O917">
        <f t="shared" si="163"/>
        <v>1</v>
      </c>
      <c r="P917" t="str">
        <f>IFERROR(LN('Дивиденды по годам'!I917),"")</f>
        <v/>
      </c>
      <c r="Q917" t="str">
        <f>IFERROR('Дивиденды по годам'!G917/'Дивиденды по годам'!I917, "")</f>
        <v/>
      </c>
      <c r="R917" t="str">
        <f>IFERROR(IF(AND('Дивиденды по годам'!N917&lt;&gt;"",'Дивиденды по годам'!U917&lt;&gt;"",'Дивиденды по годам'!U917&lt;&gt;0),'Дивиденды по годам'!N917/'Дивиденды по годам'!U917-1,""),"")</f>
        <v/>
      </c>
      <c r="S917" t="str">
        <f>IFERROR(IF(AND('Дивиденды по годам'!L917&lt;&gt;"",'Дивиденды по годам'!I917&lt;&gt;"",'Дивиденды по годам'!J917&lt;&gt;"",'Дивиденды по годам'!K917&lt;&gt;"",('Дивиденды по годам'!I917-'Дивиденды по годам'!J917-'Дивиденды по годам'!K917)&lt;&gt;0),'Дивиденды по годам'!L917/('Дивиденды по годам'!I917-'Дивиденды по годам'!J917-'Дивиденды по годам'!K917),""),"")</f>
        <v/>
      </c>
      <c r="T917" t="str">
        <f>IFERROR(IF(AND('Дивиденды по годам'!Q917&lt;&gt;"",'Дивиденды по годам'!I917&lt;&gt;"",'Дивиденды по годам'!V917&lt;&gt;"",('Дивиденды по годам'!I917+'Дивиденды по годам'!V917)&lt;&gt;0),'Дивиденды по годам'!Q917/(('Дивиденды по годам'!I917+'Дивиденды по годам'!V917)/2),""),"")</f>
        <v/>
      </c>
      <c r="U917" t="str">
        <f>IFERROR(IF(AND('Дивиденды по годам'!J917&lt;&gt;"",'Дивиденды по годам'!K917&lt;&gt;"",'Дивиденды по годам'!M917&lt;&gt;"",'Дивиденды по годам'!M917&lt;&gt;0),('Дивиденды по годам'!J917+'Дивиденды по годам'!K917)/'Дивиденды по годам'!M917,""),"")</f>
        <v/>
      </c>
      <c r="V917" cm="1">
        <f t="array" ref="V917">IFERROR(AVERAGE(_xlfn._xlws.FILTER(P$2:P$1073,($C$2:$C$1073=$C917)*($E$2:$E$1073=$E917)*(ROW(P$2:P$1073)&lt;&gt;ROW(P917))*(P$2:P$1073&lt;&gt;""))),"")</f>
        <v>27.710691446586061</v>
      </c>
      <c r="W917" cm="1">
        <f t="array" ref="W917">IFERROR(AVERAGE(_xlfn._xlws.FILTER(Q$2:Q$1073,($C$2:$C$1073=$C917)*($E$2:$E$1073=$E917)*(ROW(Q$2:Q$1073)&lt;&gt;ROW(Q917))*(Q$2:Q$1073&lt;&gt;""))),"")</f>
        <v>0.28857728569713648</v>
      </c>
      <c r="X917" cm="1">
        <f t="array" ref="X917">IFERROR(AVERAGE(_xlfn._xlws.FILTER(R$2:R$1073,($C$2:$C$1073=$C917)*($E$2:$E$1073=$E917)*(ROW(R$2:R$1073)&lt;&gt;ROW(R917))*(R$2:R$1073&lt;&gt;""))),"")</f>
        <v>1.3746180317101508E-2</v>
      </c>
      <c r="Y917" t="str" cm="1">
        <f t="array" ref="Y917">IFERROR(AVERAGE(_xlfn._xlws.FILTER(S$2:S$1073,($C$2:$C$1073=$C917)*($E$2:$E$1073=$E917)*(ROW(S$2:S$1073)&lt;&gt;ROW(S917))*(S$2:S$1073&lt;&gt;""))),"")</f>
        <v/>
      </c>
      <c r="Z917" cm="1">
        <f t="array" ref="Z917">IFERROR(AVERAGE(_xlfn._xlws.FILTER(T$2:T$1073,($C$2:$C$1073=$C917)*($E$2:$E$1073=$E917)*(ROW(T$2:T$1073)&lt;&gt;ROW(T917))*(T$2:T$1073&lt;&gt;""))),"")</f>
        <v>3.186185287609565E-2</v>
      </c>
      <c r="AA917" cm="1">
        <f t="array" ref="AA917">IFERROR(AVERAGE(_xlfn._xlws.FILTER(U$2:U$1073,($C$2:$C$1073=$C917)*($E$2:$E$1073=$E917)*(ROW(U$2:U$1073)&lt;&gt;ROW(U917))*(U$2:U$1073&lt;&gt;""))),"")</f>
        <v>-300.40005529444289</v>
      </c>
    </row>
    <row r="918" spans="1:27" x14ac:dyDescent="0.2">
      <c r="A918" s="7" t="s">
        <v>2292</v>
      </c>
      <c r="B918" t="str">
        <f t="shared" si="156"/>
        <v>RTKM IV кв. 2021</v>
      </c>
      <c r="C918">
        <v>2021</v>
      </c>
      <c r="D918">
        <f>SUMIFS(Дивиденды!$C:$C,Дивиденды!$A:$A,A918,Дивиденды!$I:$I,C918)</f>
        <v>4.5599999999999996</v>
      </c>
      <c r="E918">
        <v>6</v>
      </c>
      <c r="F918">
        <f t="shared" si="157"/>
        <v>4.5599999999999996</v>
      </c>
      <c r="G918">
        <f t="shared" si="158"/>
        <v>44.400000000000006</v>
      </c>
      <c r="H918">
        <f t="shared" si="159"/>
        <v>1</v>
      </c>
      <c r="I918">
        <f t="shared" si="155"/>
        <v>1</v>
      </c>
      <c r="J918">
        <f t="shared" si="160"/>
        <v>-8.8000000000000078E-2</v>
      </c>
      <c r="K918">
        <f t="shared" si="164"/>
        <v>0.25282167042889414</v>
      </c>
      <c r="L918">
        <f t="shared" si="161"/>
        <v>0</v>
      </c>
      <c r="M918">
        <f t="shared" si="154"/>
        <v>1</v>
      </c>
      <c r="N918">
        <f t="shared" si="162"/>
        <v>1</v>
      </c>
      <c r="O918">
        <f t="shared" si="163"/>
        <v>0</v>
      </c>
      <c r="P918">
        <f>IFERROR(LN('Дивиденды по годам'!I918),"")</f>
        <v>27.72895330979312</v>
      </c>
      <c r="Q918">
        <f>IFERROR('Дивиденды по годам'!G918/'Дивиденды по годам'!I918, "")</f>
        <v>0.55095168321715349</v>
      </c>
      <c r="R918">
        <f>IFERROR(IF(AND('Дивиденды по годам'!N918&lt;&gt;"",'Дивиденды по годам'!U918&lt;&gt;"",'Дивиденды по годам'!U918&lt;&gt;0),'Дивиденды по годам'!N918/'Дивиденды по годам'!U918-1,""),"")</f>
        <v>6.071250290278285E-2</v>
      </c>
      <c r="S918">
        <f>IFERROR(IF(AND('Дивиденды по годам'!L918&lt;&gt;"",'Дивиденды по годам'!I918&lt;&gt;"",'Дивиденды по годам'!J918&lt;&gt;"",'Дивиденды по годам'!K918&lt;&gt;"",('Дивиденды по годам'!I918-'Дивиденды по годам'!J918-'Дивиденды по годам'!K918)&lt;&gt;0),'Дивиденды по годам'!L918/('Дивиденды по годам'!I918-'Дивиденды по годам'!J918-'Дивиденды по годам'!K918),""),"")</f>
        <v>0.88269232460576419</v>
      </c>
      <c r="T918">
        <f>IFERROR(IF(AND('Дивиденды по годам'!Q918&lt;&gt;"",'Дивиденды по годам'!I918&lt;&gt;"",'Дивиденды по годам'!V918&lt;&gt;"",('Дивиденды по годам'!I918+'Дивиденды по годам'!V918)&lt;&gt;0),'Дивиденды по годам'!Q918/(('Дивиденды по годам'!I918+'Дивиденды по годам'!V918)/2),""),"")</f>
        <v>3.027799694575747E-2</v>
      </c>
      <c r="U918">
        <f>IFERROR(IF(AND('Дивиденды по годам'!J918&lt;&gt;"",'Дивиденды по годам'!K918&lt;&gt;"",'Дивиденды по годам'!M918&lt;&gt;"",'Дивиденды по годам'!M918&lt;&gt;0),('Дивиденды по годам'!J918+'Дивиденды по годам'!K918)/'Дивиденды по годам'!M918,""),"")</f>
        <v>3.8499485492651782</v>
      </c>
      <c r="V918" cm="1">
        <f t="array" ref="V918">IFERROR(AVERAGE(_xlfn._xlws.FILTER(P$2:P$1073,($C$2:$C$1073=$C918)*($E$2:$E$1073=$E918)*(ROW(P$2:P$1073)&lt;&gt;ROW(P918))*(P$2:P$1073&lt;&gt;""))),"")</f>
        <v>27.646715315180185</v>
      </c>
      <c r="W918" cm="1">
        <f t="array" ref="W918">IFERROR(AVERAGE(_xlfn._xlws.FILTER(Q$2:Q$1073,($C$2:$C$1073=$C918)*($E$2:$E$1073=$E918)*(ROW(Q$2:Q$1073)&lt;&gt;ROW(Q918))*(Q$2:Q$1073&lt;&gt;""))),"")</f>
        <v>0.3064033124043874</v>
      </c>
      <c r="X918" cm="1">
        <f t="array" ref="X918">IFERROR(AVERAGE(_xlfn._xlws.FILTER(R$2:R$1073,($C$2:$C$1073=$C918)*($E$2:$E$1073=$E918)*(ROW(R$2:R$1073)&lt;&gt;ROW(R918))*(R$2:R$1073&lt;&gt;""))),"")</f>
        <v>7.9763439382857237E-2</v>
      </c>
      <c r="Y918" cm="1">
        <f t="array" ref="Y918">IFERROR(AVERAGE(_xlfn._xlws.FILTER(S$2:S$1073,($C$2:$C$1073=$C918)*($E$2:$E$1073=$E918)*(ROW(S$2:S$1073)&lt;&gt;ROW(S918))*(S$2:S$1073&lt;&gt;""))),"")</f>
        <v>6.5006162695152012</v>
      </c>
      <c r="Z918" cm="1">
        <f t="array" ref="Z918">IFERROR(AVERAGE(_xlfn._xlws.FILTER(T$2:T$1073,($C$2:$C$1073=$C918)*($E$2:$E$1073=$E918)*(ROW(T$2:T$1073)&lt;&gt;ROW(T918))*(T$2:T$1073&lt;&gt;""))),"")</f>
        <v>6.6427186061546614E-2</v>
      </c>
      <c r="AA918" cm="1">
        <f t="array" ref="AA918">IFERROR(AVERAGE(_xlfn._xlws.FILTER(U$2:U$1073,($C$2:$C$1073=$C918)*($E$2:$E$1073=$E918)*(ROW(U$2:U$1073)&lt;&gt;ROW(U918))*(U$2:U$1073&lt;&gt;""))),"")</f>
        <v>68.557518488085449</v>
      </c>
    </row>
    <row r="919" spans="1:27" x14ac:dyDescent="0.2">
      <c r="A919" s="7" t="s">
        <v>2292</v>
      </c>
      <c r="B919" t="str">
        <f t="shared" si="156"/>
        <v>RTKM IV кв. 2020</v>
      </c>
      <c r="C919">
        <v>2020</v>
      </c>
      <c r="D919">
        <f>SUMIFS(Дивиденды!$C:$C,Дивиденды!$A:$A,A919,Дивиденды!$I:$I,C919)</f>
        <v>5</v>
      </c>
      <c r="E919">
        <v>6</v>
      </c>
      <c r="F919">
        <f t="shared" si="157"/>
        <v>5</v>
      </c>
      <c r="G919">
        <f t="shared" si="158"/>
        <v>35.44</v>
      </c>
      <c r="H919">
        <f t="shared" si="159"/>
        <v>1</v>
      </c>
      <c r="I919">
        <f t="shared" si="155"/>
        <v>1</v>
      </c>
      <c r="J919">
        <f t="shared" si="160"/>
        <v>0</v>
      </c>
      <c r="K919">
        <f t="shared" si="164"/>
        <v>-0.16611764705882359</v>
      </c>
      <c r="L919">
        <f t="shared" si="161"/>
        <v>0</v>
      </c>
      <c r="M919">
        <f t="shared" si="154"/>
        <v>0</v>
      </c>
      <c r="N919">
        <f t="shared" si="162"/>
        <v>0</v>
      </c>
      <c r="O919">
        <f t="shared" si="163"/>
        <v>1</v>
      </c>
      <c r="P919">
        <f>IFERROR(LN('Дивиденды по годам'!I919),"")</f>
        <v>27.630782087363496</v>
      </c>
      <c r="Q919">
        <f>IFERROR('Дивиденды по годам'!G919/'Дивиденды по годам'!I919, "")</f>
        <v>0.57549354295676669</v>
      </c>
      <c r="R919">
        <f>IFERROR(IF(AND('Дивиденды по годам'!N919&lt;&gt;"",'Дивиденды по годам'!U919&lt;&gt;"",'Дивиденды по годам'!U919&lt;&gt;0),'Дивиденды по годам'!N919/'Дивиденды по годам'!U919-1,""),"")</f>
        <v>0.620791237059934</v>
      </c>
      <c r="S919">
        <f>IFERROR(IF(AND('Дивиденды по годам'!L919&lt;&gt;"",'Дивиденды по годам'!I919&lt;&gt;"",'Дивиденды по годам'!J919&lt;&gt;"",'Дивиденды по годам'!K919&lt;&gt;"",('Дивиденды по годам'!I919-'Дивиденды по годам'!J919-'Дивиденды по годам'!K919)&lt;&gt;0),'Дивиденды по годам'!L919/('Дивиденды по годам'!I919-'Дивиденды по годам'!J919-'Дивиденды по годам'!K919),""),"")</f>
        <v>0.89311178081184883</v>
      </c>
      <c r="T919">
        <f>IFERROR(IF(AND('Дивиденды по годам'!Q919&lt;&gt;"",'Дивиденды по годам'!I919&lt;&gt;"",'Дивиденды по годам'!V919&lt;&gt;"",('Дивиденды по годам'!I919+'Дивиденды по годам'!V919)&lt;&gt;0),'Дивиденды по годам'!Q919/(('Дивиденды по годам'!I919+'Дивиденды по годам'!V919)/2),""),"")</f>
        <v>2.9337334790863853E-2</v>
      </c>
      <c r="U919">
        <f>IFERROR(IF(AND('Дивиденды по годам'!J919&lt;&gt;"",'Дивиденды по годам'!K919&lt;&gt;"",'Дивиденды по годам'!M919&lt;&gt;"",'Дивиденды по годам'!M919&lt;&gt;0),('Дивиденды по годам'!J919+'Дивиденды по годам'!K919)/'Дивиденды по годам'!M919,""),"")</f>
        <v>3.592885756812878</v>
      </c>
      <c r="V919" cm="1">
        <f t="array" ref="V919">IFERROR(AVERAGE(_xlfn._xlws.FILTER(P$2:P$1073,($C$2:$C$1073=$C919)*($E$2:$E$1073=$E919)*(ROW(P$2:P$1073)&lt;&gt;ROW(P919))*(P$2:P$1073&lt;&gt;""))),"")</f>
        <v>27.546772827183204</v>
      </c>
      <c r="W919" cm="1">
        <f t="array" ref="W919">IFERROR(AVERAGE(_xlfn._xlws.FILTER(Q$2:Q$1073,($C$2:$C$1073=$C919)*($E$2:$E$1073=$E919)*(ROW(Q$2:Q$1073)&lt;&gt;ROW(Q919))*(Q$2:Q$1073&lt;&gt;""))),"")</f>
        <v>0.30983797920589901</v>
      </c>
      <c r="X919" cm="1">
        <f t="array" ref="X919">IFERROR(AVERAGE(_xlfn._xlws.FILTER(R$2:R$1073,($C$2:$C$1073=$C919)*($E$2:$E$1073=$E919)*(ROW(R$2:R$1073)&lt;&gt;ROW(R919))*(R$2:R$1073&lt;&gt;""))),"")</f>
        <v>3.9529012446807954E-2</v>
      </c>
      <c r="Y919" cm="1">
        <f t="array" ref="Y919">IFERROR(AVERAGE(_xlfn._xlws.FILTER(S$2:S$1073,($C$2:$C$1073=$C919)*($E$2:$E$1073=$E919)*(ROW(S$2:S$1073)&lt;&gt;ROW(S919))*(S$2:S$1073&lt;&gt;""))),"")</f>
        <v>2.8874579382074028</v>
      </c>
      <c r="Z919" cm="1">
        <f t="array" ref="Z919">IFERROR(AVERAGE(_xlfn._xlws.FILTER(T$2:T$1073,($C$2:$C$1073=$C919)*($E$2:$E$1073=$E919)*(ROW(T$2:T$1073)&lt;&gt;ROW(T919))*(T$2:T$1073&lt;&gt;""))),"")</f>
        <v>7.1220856020235063E-2</v>
      </c>
      <c r="AA919" cm="1">
        <f t="array" ref="AA919">IFERROR(AVERAGE(_xlfn._xlws.FILTER(U$2:U$1073,($C$2:$C$1073=$C919)*($E$2:$E$1073=$E919)*(ROW(U$2:U$1073)&lt;&gt;ROW(U919))*(U$2:U$1073&lt;&gt;""))),"")</f>
        <v>27.11878250229428</v>
      </c>
    </row>
    <row r="920" spans="1:27" x14ac:dyDescent="0.2">
      <c r="A920" s="7" t="s">
        <v>2292</v>
      </c>
      <c r="B920" t="str">
        <f t="shared" si="156"/>
        <v>RTKM IV кв. 2019</v>
      </c>
      <c r="C920">
        <v>2019</v>
      </c>
      <c r="D920">
        <f>SUMIFS(Дивиденды!$C:$C,Дивиденды!$A:$A,A920,Дивиденды!$I:$I,C920)</f>
        <v>5</v>
      </c>
      <c r="E920">
        <v>6</v>
      </c>
      <c r="F920">
        <f t="shared" si="157"/>
        <v>5</v>
      </c>
      <c r="G920">
        <f t="shared" si="158"/>
        <v>42.5</v>
      </c>
      <c r="H920">
        <f t="shared" si="159"/>
        <v>1</v>
      </c>
      <c r="I920">
        <f t="shared" si="155"/>
        <v>1</v>
      </c>
      <c r="J920">
        <f t="shared" si="160"/>
        <v>0</v>
      </c>
      <c r="K920">
        <f t="shared" si="164"/>
        <v>0.88219663418954808</v>
      </c>
      <c r="L920">
        <f t="shared" si="161"/>
        <v>0</v>
      </c>
      <c r="M920">
        <f t="shared" si="154"/>
        <v>1</v>
      </c>
      <c r="N920">
        <f t="shared" si="162"/>
        <v>0</v>
      </c>
      <c r="O920">
        <f t="shared" si="163"/>
        <v>0</v>
      </c>
      <c r="P920">
        <f>IFERROR(LN('Дивиденды по годам'!I920),"")</f>
        <v>27.313945934174058</v>
      </c>
      <c r="Q920">
        <f>IFERROR('Дивиденды по годам'!G920/'Дивиденды по годам'!I920, "")</f>
        <v>0.55132394861288847</v>
      </c>
      <c r="R920">
        <f>IFERROR(IF(AND('Дивиденды по годам'!N920&lt;&gt;"",'Дивиденды по годам'!U920&lt;&gt;"",'Дивиденды по годам'!U920&lt;&gt;0),'Дивиденды по годам'!N920/'Дивиденды по годам'!U920-1,""),"")</f>
        <v>5.3653677409684741E-2</v>
      </c>
      <c r="S920">
        <f>IFERROR(IF(AND('Дивиденды по годам'!L920&lt;&gt;"",'Дивиденды по годам'!I920&lt;&gt;"",'Дивиденды по годам'!J920&lt;&gt;"",'Дивиденды по годам'!K920&lt;&gt;"",('Дивиденды по годам'!I920-'Дивиденды по годам'!J920-'Дивиденды по годам'!K920)&lt;&gt;0),'Дивиденды по годам'!L920/('Дивиденды по годам'!I920-'Дивиденды по годам'!J920-'Дивиденды по годам'!K920),""),"")</f>
        <v>1.1854356416006835</v>
      </c>
      <c r="T920">
        <f>IFERROR(IF(AND('Дивиденды по годам'!Q920&lt;&gt;"",'Дивиденды по годам'!I920&lt;&gt;"",'Дивиденды по годам'!V920&lt;&gt;"",('Дивиденды по годам'!I920+'Дивиденды по годам'!V920)&lt;&gt;0),'Дивиденды по годам'!Q920/(('Дивиденды по годам'!I920+'Дивиденды по годам'!V920)/2),""),"")</f>
        <v>2.3961449904802909E-2</v>
      </c>
      <c r="U920">
        <f>IFERROR(IF(AND('Дивиденды по годам'!J920&lt;&gt;"",'Дивиденды по годам'!K920&lt;&gt;"",'Дивиденды по годам'!M920&lt;&gt;"",'Дивиденды по годам'!M920&lt;&gt;0),('Дивиденды по годам'!J920+'Дивиденды по годам'!K920)/'Дивиденды по годам'!M920,""),"")</f>
        <v>1.7776862404076463</v>
      </c>
      <c r="V920" cm="1">
        <f t="array" ref="V920">IFERROR(AVERAGE(_xlfn._xlws.FILTER(P$2:P$1073,($C$2:$C$1073=$C920)*($E$2:$E$1073=$E920)*(ROW(P$2:P$1073)&lt;&gt;ROW(P920))*(P$2:P$1073&lt;&gt;""))),"")</f>
        <v>27.437327137589612</v>
      </c>
      <c r="W920" cm="1">
        <f t="array" ref="W920">IFERROR(AVERAGE(_xlfn._xlws.FILTER(Q$2:Q$1073,($C$2:$C$1073=$C920)*($E$2:$E$1073=$E920)*(ROW(Q$2:Q$1073)&lt;&gt;ROW(Q920))*(Q$2:Q$1073&lt;&gt;""))),"")</f>
        <v>0.32221844618951101</v>
      </c>
      <c r="X920" cm="1">
        <f t="array" ref="X920">IFERROR(AVERAGE(_xlfn._xlws.FILTER(R$2:R$1073,($C$2:$C$1073=$C920)*($E$2:$E$1073=$E920)*(ROW(R$2:R$1073)&lt;&gt;ROW(R920))*(R$2:R$1073&lt;&gt;""))),"")</f>
        <v>-8.7175953012015306E-3</v>
      </c>
      <c r="Y920" cm="1">
        <f t="array" ref="Y920">IFERROR(AVERAGE(_xlfn._xlws.FILTER(S$2:S$1073,($C$2:$C$1073=$C920)*($E$2:$E$1073=$E920)*(ROW(S$2:S$1073)&lt;&gt;ROW(S920))*(S$2:S$1073&lt;&gt;""))),"")</f>
        <v>2.3423916030114853</v>
      </c>
      <c r="Z920" cm="1">
        <f t="array" ref="Z920">IFERROR(AVERAGE(_xlfn._xlws.FILTER(T$2:T$1073,($C$2:$C$1073=$C920)*($E$2:$E$1073=$E920)*(ROW(T$2:T$1073)&lt;&gt;ROW(T920))*(T$2:T$1073&lt;&gt;""))),"")</f>
        <v>6.3335714692140888E-2</v>
      </c>
      <c r="AA920" cm="1">
        <f t="array" ref="AA920">IFERROR(AVERAGE(_xlfn._xlws.FILTER(U$2:U$1073,($C$2:$C$1073=$C920)*($E$2:$E$1073=$E920)*(ROW(U$2:U$1073)&lt;&gt;ROW(U920))*(U$2:U$1073&lt;&gt;""))),"")</f>
        <v>21.638621750838052</v>
      </c>
    </row>
    <row r="921" spans="1:27" x14ac:dyDescent="0.2">
      <c r="A921" s="7" t="s">
        <v>2292</v>
      </c>
      <c r="B921" t="str">
        <f t="shared" si="156"/>
        <v>RTKM IV кв. 2018</v>
      </c>
      <c r="C921">
        <v>2018</v>
      </c>
      <c r="D921">
        <f>SUMIFS(Дивиденды!$C:$C,Дивиденды!$A:$A,A921,Дивиденды!$I:$I,C921)</f>
        <v>5</v>
      </c>
      <c r="E921">
        <v>6</v>
      </c>
      <c r="F921">
        <f t="shared" si="157"/>
        <v>5</v>
      </c>
      <c r="G921">
        <f t="shared" si="158"/>
        <v>22.580000000000002</v>
      </c>
      <c r="H921">
        <f t="shared" si="159"/>
        <v>1</v>
      </c>
      <c r="I921">
        <f t="shared" si="155"/>
        <v>1</v>
      </c>
      <c r="J921">
        <f t="shared" si="160"/>
        <v>-9.9009900990098664E-3</v>
      </c>
      <c r="K921">
        <f t="shared" si="164"/>
        <v>-0.33195266272189339</v>
      </c>
      <c r="L921">
        <f t="shared" si="161"/>
        <v>0</v>
      </c>
      <c r="M921">
        <f t="shared" si="154"/>
        <v>0</v>
      </c>
      <c r="N921">
        <f t="shared" si="162"/>
        <v>1</v>
      </c>
      <c r="O921">
        <f t="shared" si="163"/>
        <v>1</v>
      </c>
      <c r="P921">
        <f>IFERROR(LN('Дивиденды по годам'!I921),"")</f>
        <v>27.195250396786559</v>
      </c>
      <c r="Q921">
        <f>IFERROR('Дивиденды по годам'!G921/'Дивиденды по годам'!I921, "")</f>
        <v>0.57801275886487535</v>
      </c>
      <c r="R921">
        <f>IFERROR(IF(AND('Дивиденды по годам'!N921&lt;&gt;"",'Дивиденды по годам'!U921&lt;&gt;"",'Дивиденды по годам'!U921&lt;&gt;0),'Дивиденды по годам'!N921/'Дивиденды по годам'!U921-1,""),"")</f>
        <v>4.8832570767925798E-2</v>
      </c>
      <c r="S921">
        <f>IFERROR(IF(AND('Дивиденды по годам'!L921&lt;&gt;"",'Дивиденды по годам'!I921&lt;&gt;"",'Дивиденды по годам'!J921&lt;&gt;"",'Дивиденды по годам'!K921&lt;&gt;"",('Дивиденды по годам'!I921-'Дивиденды по годам'!J921-'Дивиденды по годам'!K921)&lt;&gt;0),'Дивиденды по годам'!L921/('Дивиденды по годам'!I921-'Дивиденды по годам'!J921-'Дивиденды по годам'!K921),""),"")</f>
        <v>1.2242690862432408</v>
      </c>
      <c r="T921">
        <f>IFERROR(IF(AND('Дивиденды по годам'!Q921&lt;&gt;"",'Дивиденды по годам'!I921&lt;&gt;"",'Дивиденды по годам'!V921&lt;&gt;"",('Дивиденды по годам'!I921+'Дивиденды по годам'!V921)&lt;&gt;0),'Дивиденды по годам'!Q921/(('Дивиденды по годам'!I921+'Дивиденды по годам'!V921)/2),""),"")</f>
        <v>2.4874999482185096E-2</v>
      </c>
      <c r="U921">
        <f>IFERROR(IF(AND('Дивиденды по годам'!J921&lt;&gt;"",'Дивиденды по годам'!K921&lt;&gt;"",'Дивиденды по годам'!M921&lt;&gt;"",'Дивиденды по годам'!M921&lt;&gt;0),('Дивиденды по годам'!J921+'Дивиденды по годам'!K921)/'Дивиденды по годам'!M921,""),"")</f>
        <v>1.5772395627866573</v>
      </c>
      <c r="V921" cm="1">
        <f t="array" ref="V921">IFERROR(AVERAGE(_xlfn._xlws.FILTER(P$2:P$1073,($C$2:$C$1073=$C921)*($E$2:$E$1073=$E921)*(ROW(P$2:P$1073)&lt;&gt;ROW(P921))*(P$2:P$1073&lt;&gt;""))),"")</f>
        <v>27.543274559669943</v>
      </c>
      <c r="W921" cm="1">
        <f t="array" ref="W921">IFERROR(AVERAGE(_xlfn._xlws.FILTER(Q$2:Q$1073,($C$2:$C$1073=$C921)*($E$2:$E$1073=$E921)*(ROW(Q$2:Q$1073)&lt;&gt;ROW(Q921))*(Q$2:Q$1073&lt;&gt;""))),"")</f>
        <v>0.30179597442338535</v>
      </c>
      <c r="X921" cm="1">
        <f t="array" ref="X921">IFERROR(AVERAGE(_xlfn._xlws.FILTER(R$2:R$1073,($C$2:$C$1073=$C921)*($E$2:$E$1073=$E921)*(ROW(R$2:R$1073)&lt;&gt;ROW(R921))*(R$2:R$1073&lt;&gt;""))),"")</f>
        <v>8.44007035273453E-2</v>
      </c>
      <c r="Y921" cm="1">
        <f t="array" ref="Y921">IFERROR(AVERAGE(_xlfn._xlws.FILTER(S$2:S$1073,($C$2:$C$1073=$C921)*($E$2:$E$1073=$E921)*(ROW(S$2:S$1073)&lt;&gt;ROW(S921))*(S$2:S$1073&lt;&gt;""))),"")</f>
        <v>1.4303616321794623</v>
      </c>
      <c r="Z921" cm="1">
        <f t="array" ref="Z921">IFERROR(AVERAGE(_xlfn._xlws.FILTER(T$2:T$1073,($C$2:$C$1073=$C921)*($E$2:$E$1073=$E921)*(ROW(T$2:T$1073)&lt;&gt;ROW(T921))*(T$2:T$1073&lt;&gt;""))),"")</f>
        <v>1.0677114752399863E-2</v>
      </c>
      <c r="AA921" cm="1">
        <f t="array" ref="AA921">IFERROR(AVERAGE(_xlfn._xlws.FILTER(U$2:U$1073,($C$2:$C$1073=$C921)*($E$2:$E$1073=$E921)*(ROW(U$2:U$1073)&lt;&gt;ROW(U921))*(U$2:U$1073&lt;&gt;""))),"")</f>
        <v>10.809359891703732</v>
      </c>
    </row>
    <row r="922" spans="1:27" x14ac:dyDescent="0.2">
      <c r="A922" s="7" t="s">
        <v>2292</v>
      </c>
      <c r="B922" t="str">
        <f t="shared" si="156"/>
        <v>RTKM IV кв. 2017</v>
      </c>
      <c r="C922">
        <v>2017</v>
      </c>
      <c r="D922">
        <f>SUMIFS(Дивиденды!$C:$C,Дивиденды!$A:$A,A922,Дивиденды!$I:$I,C922)</f>
        <v>5.05</v>
      </c>
      <c r="E922">
        <v>6</v>
      </c>
      <c r="F922">
        <f t="shared" si="157"/>
        <v>5.05</v>
      </c>
      <c r="G922">
        <f t="shared" si="158"/>
        <v>33.799999999999997</v>
      </c>
      <c r="H922">
        <f t="shared" si="159"/>
        <v>1</v>
      </c>
      <c r="I922">
        <f t="shared" si="155"/>
        <v>1</v>
      </c>
      <c r="J922">
        <f t="shared" si="160"/>
        <v>-6.3079777365491627E-2</v>
      </c>
      <c r="K922">
        <f t="shared" si="164"/>
        <v>0.22508155128669799</v>
      </c>
      <c r="L922">
        <f t="shared" si="161"/>
        <v>0</v>
      </c>
      <c r="M922">
        <f t="shared" si="154"/>
        <v>1</v>
      </c>
      <c r="N922">
        <f t="shared" si="162"/>
        <v>1</v>
      </c>
      <c r="O922">
        <f t="shared" si="163"/>
        <v>0</v>
      </c>
      <c r="P922">
        <f>IFERROR(LN('Дивиденды по годам'!I922),"")</f>
        <v>27.051611465658535</v>
      </c>
      <c r="Q922">
        <f>IFERROR('Дивиденды по годам'!G922/'Дивиденды по годам'!I922, "")</f>
        <v>0.62194209867750505</v>
      </c>
      <c r="R922">
        <f>IFERROR(IF(AND('Дивиденды по годам'!N922&lt;&gt;"",'Дивиденды по годам'!U922&lt;&gt;"",'Дивиденды по годам'!U922&lt;&gt;0),'Дивиденды по годам'!N922/'Дивиденды по годам'!U922-1,""),"")</f>
        <v>2.6502289491201703E-2</v>
      </c>
      <c r="S922">
        <f>IFERROR(IF(AND('Дивиденды по годам'!L922&lt;&gt;"",'Дивиденды по годам'!I922&lt;&gt;"",'Дивиденды по годам'!J922&lt;&gt;"",'Дивиденды по годам'!K922&lt;&gt;"",('Дивиденды по годам'!I922-'Дивиденды по годам'!J922-'Дивиденды по годам'!K922)&lt;&gt;0),'Дивиденды по годам'!L922/('Дивиденды по годам'!I922-'Дивиденды по годам'!J922-'Дивиденды по годам'!K922),""),"")</f>
        <v>1.2491538473877544</v>
      </c>
      <c r="T922">
        <f>IFERROR(IF(AND('Дивиденды по годам'!Q922&lt;&gt;"",'Дивиденды по годам'!I922&lt;&gt;"",'Дивиденды по годам'!V922&lt;&gt;"",('Дивиденды по годам'!I922+'Дивиденды по годам'!V922)&lt;&gt;0),'Дивиденды по годам'!Q922/(('Дивиденды по годам'!I922+'Дивиденды по годам'!V922)/2),""),"")</f>
        <v>2.5181219649237259E-2</v>
      </c>
      <c r="U922">
        <f>IFERROR(IF(AND('Дивиденды по годам'!J922&lt;&gt;"",'Дивиденды по годам'!K922&lt;&gt;"",'Дивиденды по годам'!M922&lt;&gt;"",'Дивиденды по годам'!M922&lt;&gt;0),('Дивиденды по годам'!J922+'Дивиденды по годам'!K922)/'Дивиденды по годам'!M922,""),"")</f>
        <v>1.2466314303588328</v>
      </c>
      <c r="V922" cm="1">
        <f t="array" ref="V922">IFERROR(AVERAGE(_xlfn._xlws.FILTER(P$2:P$1073,($C$2:$C$1073=$C922)*($E$2:$E$1073=$E922)*(ROW(P$2:P$1073)&lt;&gt;ROW(P922))*(P$2:P$1073&lt;&gt;""))),"")</f>
        <v>27.035127679772494</v>
      </c>
      <c r="W922" cm="1">
        <f t="array" ref="W922">IFERROR(AVERAGE(_xlfn._xlws.FILTER(Q$2:Q$1073,($C$2:$C$1073=$C922)*($E$2:$E$1073=$E922)*(ROW(Q$2:Q$1073)&lt;&gt;ROW(Q922))*(Q$2:Q$1073&lt;&gt;""))),"")</f>
        <v>0.47736766653964108</v>
      </c>
      <c r="X922" cm="1">
        <f t="array" ref="X922">IFERROR(AVERAGE(_xlfn._xlws.FILTER(R$2:R$1073,($C$2:$C$1073=$C922)*($E$2:$E$1073=$E922)*(ROW(R$2:R$1073)&lt;&gt;ROW(R922))*(R$2:R$1073&lt;&gt;""))),"")</f>
        <v>1.6569044187178195E-2</v>
      </c>
      <c r="Y922" cm="1">
        <f t="array" ref="Y922">IFERROR(AVERAGE(_xlfn._xlws.FILTER(S$2:S$1073,($C$2:$C$1073=$C922)*($E$2:$E$1073=$E922)*(ROW(S$2:S$1073)&lt;&gt;ROW(S922))*(S$2:S$1073&lt;&gt;""))),"")</f>
        <v>1.2160782577190934</v>
      </c>
      <c r="Z922" cm="1">
        <f t="array" ref="Z922">IFERROR(AVERAGE(_xlfn._xlws.FILTER(T$2:T$1073,($C$2:$C$1073=$C922)*($E$2:$E$1073=$E922)*(ROW(T$2:T$1073)&lt;&gt;ROW(T922))*(T$2:T$1073&lt;&gt;""))),"")</f>
        <v>0.10330978330321121</v>
      </c>
      <c r="AA922" cm="1">
        <f t="array" ref="AA922">IFERROR(AVERAGE(_xlfn._xlws.FILTER(U$2:U$1073,($C$2:$C$1073=$C922)*($E$2:$E$1073=$E922)*(ROW(U$2:U$1073)&lt;&gt;ROW(U922))*(U$2:U$1073&lt;&gt;""))),"")</f>
        <v>3.4367779074916469</v>
      </c>
    </row>
    <row r="923" spans="1:27" x14ac:dyDescent="0.2">
      <c r="A923" s="7" t="s">
        <v>2292</v>
      </c>
      <c r="B923" t="str">
        <f t="shared" si="156"/>
        <v>RTKM IV кв. 2016</v>
      </c>
      <c r="C923">
        <v>2016</v>
      </c>
      <c r="D923">
        <f>SUMIFS(Дивиденды!$C:$C,Дивиденды!$A:$A,A923,Дивиденды!$I:$I,C923)</f>
        <v>5.39</v>
      </c>
      <c r="E923">
        <v>6</v>
      </c>
      <c r="F923">
        <f t="shared" si="157"/>
        <v>5.39</v>
      </c>
      <c r="G923">
        <f t="shared" si="158"/>
        <v>27.59</v>
      </c>
      <c r="H923">
        <f t="shared" si="159"/>
        <v>1</v>
      </c>
      <c r="I923">
        <f t="shared" si="155"/>
        <v>1</v>
      </c>
      <c r="J923">
        <f t="shared" si="160"/>
        <v>-8.952702702702707E-2</v>
      </c>
      <c r="K923">
        <f t="shared" si="164"/>
        <v>0.40621814475025475</v>
      </c>
      <c r="L923">
        <f t="shared" si="161"/>
        <v>0</v>
      </c>
      <c r="M923">
        <f t="shared" si="154"/>
        <v>1</v>
      </c>
      <c r="N923">
        <f t="shared" si="162"/>
        <v>1</v>
      </c>
      <c r="O923">
        <f t="shared" si="163"/>
        <v>0</v>
      </c>
      <c r="P923">
        <f>IFERROR(LN('Дивиденды по годам'!I923),"")</f>
        <v>27.043462025129479</v>
      </c>
      <c r="Q923">
        <f>IFERROR('Дивиденды по годам'!G923/'Дивиденды по годам'!I923, "")</f>
        <v>0.61845983854074815</v>
      </c>
      <c r="R923">
        <f>IFERROR(IF(AND('Дивиденды по годам'!N923&lt;&gt;"",'Дивиденды по годам'!U923&lt;&gt;"",'Дивиденды по годам'!U923&lt;&gt;0),'Дивиденды по годам'!N923/'Дивиденды по годам'!U923-1,""),"")</f>
        <v>3.0603151115671245E-4</v>
      </c>
      <c r="S923">
        <f>IFERROR(IF(AND('Дивиденды по годам'!L923&lt;&gt;"",'Дивиденды по годам'!I923&lt;&gt;"",'Дивиденды по годам'!J923&lt;&gt;"",'Дивиденды по годам'!K923&lt;&gt;"",('Дивиденды по годам'!I923-'Дивиденды по годам'!J923-'Дивиденды по годам'!K923)&lt;&gt;0),'Дивиденды по годам'!L923/('Дивиденды по годам'!I923-'Дивиденды по годам'!J923-'Дивиденды по годам'!K923),""),"")</f>
        <v>1.2515112635893064</v>
      </c>
      <c r="T923">
        <f>IFERROR(IF(AND('Дивиденды по годам'!Q923&lt;&gt;"",'Дивиденды по годам'!I923&lt;&gt;"",'Дивиденды по годам'!V923&lt;&gt;"",('Дивиденды по годам'!I923+'Дивиденды по годам'!V923)&lt;&gt;0),'Дивиденды по годам'!Q923/(('Дивиденды по годам'!I923+'Дивиденды по годам'!V923)/2),""),"")</f>
        <v>2.2130041318805204E-2</v>
      </c>
      <c r="U923">
        <f>IFERROR(IF(AND('Дивиденды по годам'!J923&lt;&gt;"",'Дивиденды по годам'!K923&lt;&gt;"",'Дивиденды по годам'!M923&lt;&gt;"",'Дивиденды по годам'!M923&lt;&gt;0),('Дивиденды по годам'!J923+'Дивиденды по годам'!K923)/'Дивиденды по годам'!M923,""),"")</f>
        <v>1.2349486994888048</v>
      </c>
      <c r="V923" cm="1">
        <f t="array" ref="V923">IFERROR(AVERAGE(_xlfn._xlws.FILTER(P$2:P$1073,($C$2:$C$1073=$C923)*($E$2:$E$1073=$E923)*(ROW(P$2:P$1073)&lt;&gt;ROW(P923))*(P$2:P$1073&lt;&gt;""))),"")</f>
        <v>27.023078681382831</v>
      </c>
      <c r="W923" cm="1">
        <f t="array" ref="W923">IFERROR(AVERAGE(_xlfn._xlws.FILTER(Q$2:Q$1073,($C$2:$C$1073=$C923)*($E$2:$E$1073=$E923)*(ROW(Q$2:Q$1073)&lt;&gt;ROW(Q923))*(Q$2:Q$1073&lt;&gt;""))),"")</f>
        <v>0.50111300898121114</v>
      </c>
      <c r="X923" cm="1">
        <f t="array" ref="X923">IFERROR(AVERAGE(_xlfn._xlws.FILTER(R$2:R$1073,($C$2:$C$1073=$C923)*($E$2:$E$1073=$E923)*(ROW(R$2:R$1073)&lt;&gt;ROW(R923))*(R$2:R$1073&lt;&gt;""))),"")</f>
        <v>1.0342460670822229E-2</v>
      </c>
      <c r="Y923" cm="1">
        <f t="array" ref="Y923">IFERROR(AVERAGE(_xlfn._xlws.FILTER(S$2:S$1073,($C$2:$C$1073=$C923)*($E$2:$E$1073=$E923)*(ROW(S$2:S$1073)&lt;&gt;ROW(S923))*(S$2:S$1073&lt;&gt;""))),"")</f>
        <v>1.0116291994331286</v>
      </c>
      <c r="Z923" cm="1">
        <f t="array" ref="Z923">IFERROR(AVERAGE(_xlfn._xlws.FILTER(T$2:T$1073,($C$2:$C$1073=$C923)*($E$2:$E$1073=$E923)*(ROW(T$2:T$1073)&lt;&gt;ROW(T923))*(T$2:T$1073&lt;&gt;""))),"")</f>
        <v>8.7608778409280649E-2</v>
      </c>
      <c r="AA923" cm="1">
        <f t="array" ref="AA923">IFERROR(AVERAGE(_xlfn._xlws.FILTER(U$2:U$1073,($C$2:$C$1073=$C923)*($E$2:$E$1073=$E923)*(ROW(U$2:U$1073)&lt;&gt;ROW(U923))*(U$2:U$1073&lt;&gt;""))),"")</f>
        <v>2.7824075360546865</v>
      </c>
    </row>
    <row r="924" spans="1:27" x14ac:dyDescent="0.2">
      <c r="A924" s="7" t="s">
        <v>2292</v>
      </c>
      <c r="B924" t="str">
        <f t="shared" si="156"/>
        <v>RTKM IV кв. 2015</v>
      </c>
      <c r="C924">
        <v>2015</v>
      </c>
      <c r="D924">
        <f>SUMIFS(Дивиденды!$C:$C,Дивиденды!$A:$A,A924,Дивиденды!$I:$I,C924)</f>
        <v>5.92</v>
      </c>
      <c r="E924">
        <v>6</v>
      </c>
      <c r="F924">
        <f t="shared" si="157"/>
        <v>5.92</v>
      </c>
      <c r="G924">
        <f t="shared" si="158"/>
        <v>19.62</v>
      </c>
      <c r="H924">
        <f t="shared" si="159"/>
        <v>1</v>
      </c>
      <c r="I924">
        <f t="shared" si="155"/>
        <v>1</v>
      </c>
      <c r="J924">
        <f t="shared" si="160"/>
        <v>0.77245508982035938</v>
      </c>
      <c r="K924">
        <f t="shared" si="164"/>
        <v>-0.23835403726708065</v>
      </c>
      <c r="L924">
        <f t="shared" si="161"/>
        <v>1</v>
      </c>
      <c r="M924">
        <f t="shared" si="154"/>
        <v>0</v>
      </c>
      <c r="N924">
        <f t="shared" si="162"/>
        <v>0</v>
      </c>
      <c r="O924">
        <f t="shared" si="163"/>
        <v>1</v>
      </c>
      <c r="P924">
        <f>IFERROR(LN('Дивиденды по годам'!I924),"")</f>
        <v>27.03558123977265</v>
      </c>
      <c r="Q924">
        <f>IFERROR('Дивиденды по годам'!G924/'Дивиденды по годам'!I924, "")</f>
        <v>0.61434194297322786</v>
      </c>
      <c r="R924">
        <f>IFERROR(IF(AND('Дивиденды по годам'!N924&lt;&gt;"",'Дивиденды по годам'!U924&lt;&gt;"",'Дивиденды по годам'!U924&lt;&gt;0),'Дивиденды по годам'!N924/'Дивиденды по годам'!U924-1,""),"")</f>
        <v>-5.2920849543549586E-3</v>
      </c>
      <c r="S924">
        <f>IFERROR(IF(AND('Дивиденды по годам'!L924&lt;&gt;"",'Дивиденды по годам'!I924&lt;&gt;"",'Дивиденды по годам'!J924&lt;&gt;"",'Дивиденды по годам'!K924&lt;&gt;"",('Дивиденды по годам'!I924-'Дивиденды по годам'!J924-'Дивиденды по годам'!K924)&lt;&gt;0),'Дивиденды по годам'!L924/('Дивиденды по годам'!I924-'Дивиденды по годам'!J924-'Дивиденды по годам'!K924),""),"")</f>
        <v>1.2586396116380416</v>
      </c>
      <c r="T924">
        <f>IFERROR(IF(AND('Дивиденды по годам'!Q924&lt;&gt;"",'Дивиденды по годам'!I924&lt;&gt;"",'Дивиденды по годам'!V924&lt;&gt;"",('Дивиденды по годам'!I924+'Дивиденды по годам'!V924)&lt;&gt;0),'Дивиденды по годам'!Q924/(('Дивиденды по годам'!I924+'Дивиденды по годам'!V924)/2),""),"")</f>
        <v>2.6166548782949106E-2</v>
      </c>
      <c r="U924">
        <f>IFERROR(IF(AND('Дивиденды по годам'!J924&lt;&gt;"",'Дивиденды по годам'!K924&lt;&gt;"",'Дивиденды по годам'!M924&lt;&gt;"",'Дивиденды по годам'!M924&lt;&gt;0),('Дивиденды по годам'!J924+'Дивиденды по годам'!K924)/'Дивиденды по годам'!M924,""),"")</f>
        <v>1.2082478851576519</v>
      </c>
      <c r="V924" cm="1">
        <f t="array" ref="V924">IFERROR(AVERAGE(_xlfn._xlws.FILTER(P$2:P$1073,($C$2:$C$1073=$C924)*($E$2:$E$1073=$E924)*(ROW(P$2:P$1073)&lt;&gt;ROW(P924))*(P$2:P$1073&lt;&gt;""))),"")</f>
        <v>27.205421665512862</v>
      </c>
      <c r="W924" cm="1">
        <f t="array" ref="W924">IFERROR(AVERAGE(_xlfn._xlws.FILTER(Q$2:Q$1073,($C$2:$C$1073=$C924)*($E$2:$E$1073=$E924)*(ROW(Q$2:Q$1073)&lt;&gt;ROW(Q924))*(Q$2:Q$1073&lt;&gt;""))),"")</f>
        <v>0.46322649369890018</v>
      </c>
      <c r="X924" cm="1">
        <f t="array" ref="X924">IFERROR(AVERAGE(_xlfn._xlws.FILTER(R$2:R$1073,($C$2:$C$1073=$C924)*($E$2:$E$1073=$E924)*(ROW(R$2:R$1073)&lt;&gt;ROW(R924))*(R$2:R$1073&lt;&gt;""))),"")</f>
        <v>4.9844433948943223E-2</v>
      </c>
      <c r="Y924" t="str" cm="1">
        <f t="array" ref="Y924">IFERROR(AVERAGE(_xlfn._xlws.FILTER(S$2:S$1073,($C$2:$C$1073=$C924)*($E$2:$E$1073=$E924)*(ROW(S$2:S$1073)&lt;&gt;ROW(S924))*(S$2:S$1073&lt;&gt;""))),"")</f>
        <v/>
      </c>
      <c r="Z924" cm="1">
        <f t="array" ref="Z924">IFERROR(AVERAGE(_xlfn._xlws.FILTER(T$2:T$1073,($C$2:$C$1073=$C924)*($E$2:$E$1073=$E924)*(ROW(T$2:T$1073)&lt;&gt;ROW(T924))*(T$2:T$1073&lt;&gt;""))),"")</f>
        <v>7.5107046236844499E-2</v>
      </c>
      <c r="AA924" cm="1">
        <f t="array" ref="AA924">IFERROR(AVERAGE(_xlfn._xlws.FILTER(U$2:U$1073,($C$2:$C$1073=$C924)*($E$2:$E$1073=$E924)*(ROW(U$2:U$1073)&lt;&gt;ROW(U924))*(U$2:U$1073&lt;&gt;""))),"")</f>
        <v>2.8805851363952226</v>
      </c>
    </row>
    <row r="925" spans="1:27" x14ac:dyDescent="0.2">
      <c r="A925" s="7" t="s">
        <v>2292</v>
      </c>
      <c r="B925" t="str">
        <f t="shared" si="156"/>
        <v>RTKM IV кв. 2014</v>
      </c>
      <c r="C925">
        <v>2014</v>
      </c>
      <c r="D925">
        <f>SUMIFS(Дивиденды!$C:$C,Дивиденды!$A:$A,A925,Дивиденды!$I:$I,C925)</f>
        <v>3.34</v>
      </c>
      <c r="E925">
        <v>6</v>
      </c>
      <c r="F925">
        <f t="shared" si="157"/>
        <v>3.34</v>
      </c>
      <c r="G925">
        <f t="shared" si="158"/>
        <v>25.759999999999998</v>
      </c>
      <c r="H925">
        <f t="shared" si="159"/>
        <v>1</v>
      </c>
      <c r="I925">
        <f t="shared" si="155"/>
        <v>1</v>
      </c>
      <c r="J925">
        <f t="shared" si="160"/>
        <v>7.0512820512820429E-2</v>
      </c>
      <c r="K925">
        <f t="shared" si="164"/>
        <v>8.1444164567590169E-2</v>
      </c>
      <c r="L925">
        <f t="shared" si="161"/>
        <v>1</v>
      </c>
      <c r="M925">
        <f t="shared" si="154"/>
        <v>1</v>
      </c>
      <c r="N925">
        <f t="shared" si="162"/>
        <v>0</v>
      </c>
      <c r="O925">
        <f t="shared" si="163"/>
        <v>0</v>
      </c>
      <c r="P925">
        <f>IFERROR(LN('Дивиденды по годам'!I925),"")</f>
        <v>27.030697389468237</v>
      </c>
      <c r="Q925">
        <f>IFERROR('Дивиденды по годам'!G925/'Дивиденды по годам'!I925, "")</f>
        <v>0.59833331510624566</v>
      </c>
      <c r="R925">
        <f>IFERROR(IF(AND('Дивиденды по годам'!N925&lt;&gt;"",'Дивиденды по годам'!U925&lt;&gt;"",'Дивиденды по годам'!U925&lt;&gt;0),'Дивиденды по годам'!N925/'Дивиденды по годам'!U925-1,""),"")</f>
        <v>2.8207721094051008E-2</v>
      </c>
      <c r="S925">
        <f>IFERROR(IF(AND('Дивиденды по годам'!L925&lt;&gt;"",'Дивиденды по годам'!I925&lt;&gt;"",'Дивиденды по годам'!J925&lt;&gt;"",'Дивиденды по годам'!K925&lt;&gt;"",('Дивиденды по годам'!I925-'Дивиденды по годам'!J925-'Дивиденды по годам'!K925)&lt;&gt;0),'Дивиденды по годам'!L925/('Дивиденды по годам'!I925-'Дивиденды по годам'!J925-'Дивиденды по годам'!K925),""),"")</f>
        <v>1.3141212019883619</v>
      </c>
      <c r="T925">
        <f>IFERROR(IF(AND('Дивиденды по годам'!Q925&lt;&gt;"",'Дивиденды по годам'!I925&lt;&gt;"",'Дивиденды по годам'!V925&lt;&gt;"",('Дивиденды по годам'!I925+'Дивиденды по годам'!V925)&lt;&gt;0),'Дивиденды по годам'!Q925/(('Дивиденды по годам'!I925+'Дивиденды по годам'!V925)/2),""),"")</f>
        <v>2.3759785004767459E-2</v>
      </c>
      <c r="U925">
        <f>IFERROR(IF(AND('Дивиденды по годам'!J925&lt;&gt;"",'Дивиденды по годам'!K925&lt;&gt;"",'Дивиденды по годам'!M925&lt;&gt;"",'Дивиденды по годам'!M925&lt;&gt;0),('Дивиденды по годам'!J925+'Дивиденды по годам'!K925)/'Дивиденды по годам'!M925,""),"")</f>
        <v>1.2372495687668976</v>
      </c>
      <c r="V925" cm="1">
        <f t="array" ref="V925">IFERROR(AVERAGE(_xlfn._xlws.FILTER(P$2:P$1073,($C$2:$C$1073=$C925)*($E$2:$E$1073=$E925)*(ROW(P$2:P$1073)&lt;&gt;ROW(P925))*(P$2:P$1073&lt;&gt;""))),"")</f>
        <v>27.134964228834377</v>
      </c>
      <c r="W925" cm="1">
        <f t="array" ref="W925">IFERROR(AVERAGE(_xlfn._xlws.FILTER(Q$2:Q$1073,($C$2:$C$1073=$C925)*($E$2:$E$1073=$E925)*(ROW(Q$2:Q$1073)&lt;&gt;ROW(Q925))*(Q$2:Q$1073&lt;&gt;""))),"")</f>
        <v>0.49181428972602625</v>
      </c>
      <c r="X925" cm="1">
        <f t="array" ref="X925">IFERROR(AVERAGE(_xlfn._xlws.FILTER(R$2:R$1073,($C$2:$C$1073=$C925)*($E$2:$E$1073=$E925)*(ROW(R$2:R$1073)&lt;&gt;ROW(R925))*(R$2:R$1073&lt;&gt;""))),"")</f>
        <v>3.0907808645151302E-2</v>
      </c>
      <c r="Y925" cm="1">
        <f t="array" ref="Y925">IFERROR(AVERAGE(_xlfn._xlws.FILTER(S$2:S$1073,($C$2:$C$1073=$C925)*($E$2:$E$1073=$E925)*(ROW(S$2:S$1073)&lt;&gt;ROW(S925))*(S$2:S$1073&lt;&gt;""))),"")</f>
        <v>0.97453619701089234</v>
      </c>
      <c r="Z925" cm="1">
        <f t="array" ref="Z925">IFERROR(AVERAGE(_xlfn._xlws.FILTER(T$2:T$1073,($C$2:$C$1073=$C925)*($E$2:$E$1073=$E925)*(ROW(T$2:T$1073)&lt;&gt;ROW(T925))*(T$2:T$1073&lt;&gt;""))),"")</f>
        <v>9.5742979813623452E-2</v>
      </c>
      <c r="AA925" cm="1">
        <f t="array" ref="AA925">IFERROR(AVERAGE(_xlfn._xlws.FILTER(U$2:U$1073,($C$2:$C$1073=$C925)*($E$2:$E$1073=$E925)*(ROW(U$2:U$1073)&lt;&gt;ROW(U925))*(U$2:U$1073&lt;&gt;""))),"")</f>
        <v>2.3996047276361261</v>
      </c>
    </row>
    <row r="926" spans="1:27" x14ac:dyDescent="0.2">
      <c r="A926" s="7" t="s">
        <v>2292</v>
      </c>
      <c r="B926" t="str">
        <f t="shared" si="156"/>
        <v>RTKM IV кв. 2013</v>
      </c>
      <c r="C926">
        <v>2013</v>
      </c>
      <c r="D926">
        <f>SUMIFS(Дивиденды!$C:$C,Дивиденды!$A:$A,A926,Дивиденды!$I:$I,C926)</f>
        <v>3.12</v>
      </c>
      <c r="E926">
        <v>6</v>
      </c>
      <c r="F926">
        <f t="shared" si="157"/>
        <v>3.12</v>
      </c>
      <c r="G926">
        <f t="shared" si="158"/>
        <v>23.82</v>
      </c>
      <c r="H926">
        <f t="shared" si="159"/>
        <v>1</v>
      </c>
      <c r="I926">
        <f t="shared" si="155"/>
        <v>1</v>
      </c>
      <c r="J926">
        <f t="shared" si="160"/>
        <v>0.27868852459016402</v>
      </c>
      <c r="K926">
        <f t="shared" si="164"/>
        <v>0.63150684931506851</v>
      </c>
      <c r="L926">
        <f t="shared" si="161"/>
        <v>1</v>
      </c>
      <c r="M926">
        <f t="shared" si="154"/>
        <v>1</v>
      </c>
      <c r="N926">
        <f t="shared" si="162"/>
        <v>0</v>
      </c>
      <c r="O926">
        <f t="shared" si="163"/>
        <v>0</v>
      </c>
      <c r="P926">
        <f>IFERROR(LN('Дивиденды по годам'!I926),"")</f>
        <v>27.052936830350077</v>
      </c>
      <c r="Q926">
        <f>IFERROR('Дивиденды по годам'!G926/'Дивиденды по годам'!I926, "")</f>
        <v>0.59728293034233437</v>
      </c>
      <c r="R926">
        <f>IFERROR(IF(AND('Дивиденды по годам'!N926&lt;&gt;"",'Дивиденды по годам'!U926&lt;&gt;"",'Дивиденды по годам'!U926&lt;&gt;0),'Дивиденды по годам'!N926/'Дивиденды по годам'!U926-1,""),"")</f>
        <v>-9.498803116566179E-2</v>
      </c>
      <c r="S926" t="str">
        <f>IFERROR(IF(AND('Дивиденды по годам'!L926&lt;&gt;"",'Дивиденды по годам'!I926&lt;&gt;"",'Дивиденды по годам'!J926&lt;&gt;"",'Дивиденды по годам'!K926&lt;&gt;"",('Дивиденды по годам'!I926-'Дивиденды по годам'!J926-'Дивиденды по годам'!K926)&lt;&gt;0),'Дивиденды по годам'!L926/('Дивиденды по годам'!I926-'Дивиденды по годам'!J926-'Дивиденды по годам'!K926),""),"")</f>
        <v/>
      </c>
      <c r="T926">
        <f>IFERROR(IF(AND('Дивиденды по годам'!Q926&lt;&gt;"",'Дивиденды по годам'!I926&lt;&gt;"",'Дивиденды по годам'!V926&lt;&gt;"",('Дивиденды по годам'!I926+'Дивиденды по годам'!V926)&lt;&gt;0),'Дивиденды по годам'!Q926/(('Дивиденды по годам'!I926+'Дивиденды по годам'!V926)/2),""),"")</f>
        <v>4.677638884385054E-2</v>
      </c>
      <c r="U926">
        <f>IFERROR(IF(AND('Дивиденды по годам'!J926&lt;&gt;"",'Дивиденды по годам'!K926&lt;&gt;"",'Дивиденды по годам'!M926&lt;&gt;"",'Дивиденды по годам'!M926&lt;&gt;0),('Дивиденды по годам'!J926+'Дивиденды по годам'!K926)/'Дивиденды по годам'!M926,""),"")</f>
        <v>1.8082861090530447</v>
      </c>
      <c r="V926" cm="1">
        <f t="array" ref="V926">IFERROR(AVERAGE(_xlfn._xlws.FILTER(P$2:P$1073,($C$2:$C$1073=$C926)*($E$2:$E$1073=$E926)*(ROW(P$2:P$1073)&lt;&gt;ROW(P926))*(P$2:P$1073&lt;&gt;""))),"")</f>
        <v>26.908494557029627</v>
      </c>
      <c r="W926" cm="1">
        <f t="array" ref="W926">IFERROR(AVERAGE(_xlfn._xlws.FILTER(Q$2:Q$1073,($C$2:$C$1073=$C926)*($E$2:$E$1073=$E926)*(ROW(Q$2:Q$1073)&lt;&gt;ROW(Q926))*(Q$2:Q$1073&lt;&gt;""))),"")</f>
        <v>0.55745956945485697</v>
      </c>
      <c r="X926" cm="1">
        <f t="array" ref="X926">IFERROR(AVERAGE(_xlfn._xlws.FILTER(R$2:R$1073,($C$2:$C$1073=$C926)*($E$2:$E$1073=$E926)*(ROW(R$2:R$1073)&lt;&gt;ROW(R926))*(R$2:R$1073&lt;&gt;""))),"")</f>
        <v>3.1465604299374172E-2</v>
      </c>
      <c r="Y926" t="str" cm="1">
        <f t="array" ref="Y926">IFERROR(AVERAGE(_xlfn._xlws.FILTER(S$2:S$1073,($C$2:$C$1073=$C926)*($E$2:$E$1073=$E926)*(ROW(S$2:S$1073)&lt;&gt;ROW(S926))*(S$2:S$1073&lt;&gt;""))),"")</f>
        <v/>
      </c>
      <c r="Z926" cm="1">
        <f t="array" ref="Z926">IFERROR(AVERAGE(_xlfn._xlws.FILTER(T$2:T$1073,($C$2:$C$1073=$C926)*($E$2:$E$1073=$E926)*(ROW(T$2:T$1073)&lt;&gt;ROW(T926))*(T$2:T$1073&lt;&gt;""))),"")</f>
        <v>0.1620773388033856</v>
      </c>
      <c r="AA926" cm="1">
        <f t="array" ref="AA926">IFERROR(AVERAGE(_xlfn._xlws.FILTER(U$2:U$1073,($C$2:$C$1073=$C926)*($E$2:$E$1073=$E926)*(ROW(U$2:U$1073)&lt;&gt;ROW(U926))*(U$2:U$1073&lt;&gt;""))),"")</f>
        <v>2.0538981664936942</v>
      </c>
    </row>
    <row r="927" spans="1:27" x14ac:dyDescent="0.2">
      <c r="A927" s="7" t="s">
        <v>2292</v>
      </c>
      <c r="B927" t="str">
        <f t="shared" si="156"/>
        <v>RTKM IV кв. 2012</v>
      </c>
      <c r="C927">
        <v>2012</v>
      </c>
      <c r="D927">
        <f>SUMIFS(Дивиденды!$C:$C,Дивиденды!$A:$A,A927,Дивиденды!$I:$I,C927)</f>
        <v>2.44</v>
      </c>
      <c r="E927">
        <v>6</v>
      </c>
      <c r="F927">
        <f t="shared" si="157"/>
        <v>2.44</v>
      </c>
      <c r="G927">
        <f t="shared" si="158"/>
        <v>14.6</v>
      </c>
      <c r="H927">
        <f t="shared" si="159"/>
        <v>1</v>
      </c>
      <c r="I927">
        <f t="shared" si="155"/>
        <v>1</v>
      </c>
      <c r="J927">
        <f t="shared" si="160"/>
        <v>-0.48085106382978726</v>
      </c>
      <c r="K927">
        <f t="shared" si="164"/>
        <v>-7.4779061862679267E-3</v>
      </c>
      <c r="L927">
        <f t="shared" si="161"/>
        <v>0</v>
      </c>
      <c r="M927">
        <f t="shared" si="154"/>
        <v>0</v>
      </c>
      <c r="N927">
        <f t="shared" si="162"/>
        <v>1</v>
      </c>
      <c r="O927">
        <f t="shared" si="163"/>
        <v>1</v>
      </c>
      <c r="P927">
        <f>IFERROR(LN('Дивиденды по годам'!I927),"")</f>
        <v>27.086347387334431</v>
      </c>
      <c r="Q927">
        <f>IFERROR('Дивиденды по годам'!G927/'Дивиденды по годам'!I927, "")</f>
        <v>0.66547132825659316</v>
      </c>
      <c r="R927">
        <f>IFERROR(IF(AND('Дивиденды по годам'!N927&lt;&gt;"",'Дивиденды по годам'!U927&lt;&gt;"",'Дивиденды по годам'!U927&lt;&gt;0),'Дивиденды по годам'!N927/'Дивиденды по годам'!U927-1,""),"")</f>
        <v>8.5252436531932485E-2</v>
      </c>
      <c r="S927" t="str">
        <f>IFERROR(IF(AND('Дивиденды по годам'!L927&lt;&gt;"",'Дивиденды по годам'!I927&lt;&gt;"",'Дивиденды по годам'!J927&lt;&gt;"",'Дивиденды по годам'!K927&lt;&gt;"",('Дивиденды по годам'!I927-'Дивиденды по годам'!J927-'Дивиденды по годам'!K927)&lt;&gt;0),'Дивиденды по годам'!L927/('Дивиденды по годам'!I927-'Дивиденды по годам'!J927-'Дивиденды по годам'!K927),""),"")</f>
        <v/>
      </c>
      <c r="T927">
        <f>IFERROR(IF(AND('Дивиденды по годам'!Q927&lt;&gt;"",'Дивиденды по годам'!I927&lt;&gt;"",'Дивиденды по годам'!V927&lt;&gt;"",('Дивиденды по годам'!I927+'Дивиденды по годам'!V927)&lt;&gt;0),'Дивиденды по годам'!Q927/(('Дивиденды по годам'!I927+'Дивиденды по годам'!V927)/2),""),"")</f>
        <v>6.4593053680603474E-2</v>
      </c>
      <c r="U927">
        <f>IFERROR(IF(AND('Дивиденды по годам'!J927&lt;&gt;"",'Дивиденды по годам'!K927&lt;&gt;"",'Дивиденды по годам'!M927&lt;&gt;"",'Дивиденды по годам'!M927&lt;&gt;0),('Дивиденды по годам'!J927+'Дивиденды по годам'!K927)/'Дивиденды по годам'!M927,""),"")</f>
        <v>1.2660470531242431</v>
      </c>
      <c r="V927" cm="1">
        <f t="array" ref="V927">IFERROR(AVERAGE(_xlfn._xlws.FILTER(P$2:P$1073,($C$2:$C$1073=$C927)*($E$2:$E$1073=$E927)*(ROW(P$2:P$1073)&lt;&gt;ROW(P927))*(P$2:P$1073&lt;&gt;""))),"")</f>
        <v>26.865987662311966</v>
      </c>
      <c r="W927" cm="1">
        <f t="array" ref="W927">IFERROR(AVERAGE(_xlfn._xlws.FILTER(Q$2:Q$1073,($C$2:$C$1073=$C927)*($E$2:$E$1073=$E927)*(ROW(Q$2:Q$1073)&lt;&gt;ROW(Q927))*(Q$2:Q$1073&lt;&gt;""))),"")</f>
        <v>0.59734998646181181</v>
      </c>
      <c r="X927" t="str" cm="1">
        <f t="array" ref="X927">IFERROR(AVERAGE(_xlfn._xlws.FILTER(R$2:R$1073,($C$2:$C$1073=$C927)*($E$2:$E$1073=$E927)*(ROW(R$2:R$1073)&lt;&gt;ROW(R927))*(R$2:R$1073&lt;&gt;""))),"")</f>
        <v/>
      </c>
      <c r="Y927" t="str" cm="1">
        <f t="array" ref="Y927">IFERROR(AVERAGE(_xlfn._xlws.FILTER(S$2:S$1073,($C$2:$C$1073=$C927)*($E$2:$E$1073=$E927)*(ROW(S$2:S$1073)&lt;&gt;ROW(S927))*(S$2:S$1073&lt;&gt;""))),"")</f>
        <v/>
      </c>
      <c r="Z927" t="str" cm="1">
        <f t="array" ref="Z927">IFERROR(AVERAGE(_xlfn._xlws.FILTER(T$2:T$1073,($C$2:$C$1073=$C927)*($E$2:$E$1073=$E927)*(ROW(T$2:T$1073)&lt;&gt;ROW(T927))*(T$2:T$1073&lt;&gt;""))),"")</f>
        <v/>
      </c>
      <c r="AA927" cm="1">
        <f t="array" ref="AA927">IFERROR(AVERAGE(_xlfn._xlws.FILTER(U$2:U$1073,($C$2:$C$1073=$C927)*($E$2:$E$1073=$E927)*(ROW(U$2:U$1073)&lt;&gt;ROW(U927))*(U$2:U$1073&lt;&gt;""))),"")</f>
        <v>2.9711892555419164</v>
      </c>
    </row>
    <row r="928" spans="1:27" x14ac:dyDescent="0.2">
      <c r="A928" s="7" t="s">
        <v>2292</v>
      </c>
      <c r="B928" t="str">
        <f t="shared" si="156"/>
        <v>RTKM IV кв. 2011</v>
      </c>
      <c r="C928">
        <v>2011</v>
      </c>
      <c r="D928">
        <f>SUMIFS(Дивиденды!$C:$C,Дивиденды!$A:$A,A928,Дивиденды!$I:$I,C928)</f>
        <v>4.7</v>
      </c>
      <c r="E928">
        <v>6</v>
      </c>
      <c r="F928">
        <f t="shared" si="157"/>
        <v>4.7</v>
      </c>
      <c r="G928">
        <f t="shared" si="158"/>
        <v>14.71</v>
      </c>
      <c r="H928">
        <f t="shared" si="159"/>
        <v>1</v>
      </c>
      <c r="I928">
        <f t="shared" si="155"/>
        <v>1</v>
      </c>
      <c r="J928">
        <f t="shared" si="160"/>
        <v>3.2342342342342336</v>
      </c>
      <c r="K928">
        <f t="shared" si="164"/>
        <v>1.169188445667137E-2</v>
      </c>
      <c r="L928">
        <f t="shared" si="161"/>
        <v>1</v>
      </c>
      <c r="M928">
        <f t="shared" si="154"/>
        <v>1</v>
      </c>
      <c r="N928">
        <f t="shared" si="162"/>
        <v>0</v>
      </c>
      <c r="O928">
        <f t="shared" si="163"/>
        <v>0</v>
      </c>
      <c r="P928">
        <f>IFERROR(LN('Дивиденды по годам'!I928),"")</f>
        <v>26.959846755112331</v>
      </c>
      <c r="Q928">
        <f>IFERROR('Дивиденды по годам'!G928/'Дивиденды по годам'!I928, "")</f>
        <v>0.64168629722093962</v>
      </c>
      <c r="R928" t="str">
        <f>IFERROR(IF(AND('Дивиденды по годам'!N928&lt;&gt;"",'Дивиденды по годам'!U928&lt;&gt;"",'Дивиденды по годам'!U928&lt;&gt;0),'Дивиденды по годам'!N928/'Дивиденды по годам'!U928-1,""),"")</f>
        <v/>
      </c>
      <c r="S928" t="str">
        <f>IFERROR(IF(AND('Дивиденды по годам'!L928&lt;&gt;"",'Дивиденды по годам'!I928&lt;&gt;"",'Дивиденды по годам'!J928&lt;&gt;"",'Дивиденды по годам'!K928&lt;&gt;"",('Дивиденды по годам'!I928-'Дивиденды по годам'!J928-'Дивиденды по годам'!K928)&lt;&gt;0),'Дивиденды по годам'!L928/('Дивиденды по годам'!I928-'Дивиденды по годам'!J928-'Дивиденды по годам'!K928),""),"")</f>
        <v/>
      </c>
      <c r="T928" t="str">
        <f>IFERROR(IF(AND('Дивиденды по годам'!Q928&lt;&gt;"",'Дивиденды по годам'!I928&lt;&gt;"",'Дивиденды по годам'!V928&lt;&gt;"",('Дивиденды по годам'!I928+'Дивиденды по годам'!V928)&lt;&gt;0),'Дивиденды по годам'!Q928/(('Дивиденды по годам'!I928+'Дивиденды по годам'!V928)/2),""),"")</f>
        <v/>
      </c>
      <c r="U928">
        <f>IFERROR(IF(AND('Дивиденды по годам'!J928&lt;&gt;"",'Дивиденды по годам'!K928&lt;&gt;"",'Дивиденды по годам'!M928&lt;&gt;"",'Дивиденды по годам'!M928&lt;&gt;0),('Дивиденды по годам'!J928+'Дивиденды по годам'!K928)/'Дивиденды по годам'!M928,""),"")</f>
        <v>0.9076461410986616</v>
      </c>
      <c r="V928" t="str" cm="1">
        <f t="array" ref="V928">IFERROR(AVERAGE(_xlfn._xlws.FILTER(P$2:P$1073,($C$2:$C$1073=$C928)*($E$2:$E$1073=$E928)*(ROW(P$2:P$1073)&lt;&gt;ROW(P928))*(P$2:P$1073&lt;&gt;""))),"")</f>
        <v/>
      </c>
      <c r="W928" t="str" cm="1">
        <f t="array" ref="W928">IFERROR(AVERAGE(_xlfn._xlws.FILTER(Q$2:Q$1073,($C$2:$C$1073=$C928)*($E$2:$E$1073=$E928)*(ROW(Q$2:Q$1073)&lt;&gt;ROW(Q928))*(Q$2:Q$1073&lt;&gt;""))),"")</f>
        <v/>
      </c>
      <c r="X928" t="str" cm="1">
        <f t="array" ref="X928">IFERROR(AVERAGE(_xlfn._xlws.FILTER(R$2:R$1073,($C$2:$C$1073=$C928)*($E$2:$E$1073=$E928)*(ROW(R$2:R$1073)&lt;&gt;ROW(R928))*(R$2:R$1073&lt;&gt;""))),"")</f>
        <v/>
      </c>
      <c r="Y928" t="str" cm="1">
        <f t="array" ref="Y928">IFERROR(AVERAGE(_xlfn._xlws.FILTER(S$2:S$1073,($C$2:$C$1073=$C928)*($E$2:$E$1073=$E928)*(ROW(S$2:S$1073)&lt;&gt;ROW(S928))*(S$2:S$1073&lt;&gt;""))),"")</f>
        <v/>
      </c>
      <c r="Z928" t="str" cm="1">
        <f t="array" ref="Z928">IFERROR(AVERAGE(_xlfn._xlws.FILTER(T$2:T$1073,($C$2:$C$1073=$C928)*($E$2:$E$1073=$E928)*(ROW(T$2:T$1073)&lt;&gt;ROW(T928))*(T$2:T$1073&lt;&gt;""))),"")</f>
        <v/>
      </c>
      <c r="AA928" t="str" cm="1">
        <f t="array" ref="AA928">IFERROR(AVERAGE(_xlfn._xlws.FILTER(U$2:U$1073,($C$2:$C$1073=$C928)*($E$2:$E$1073=$E928)*(ROW(U$2:U$1073)&lt;&gt;ROW(U928))*(U$2:U$1073&lt;&gt;""))),"")</f>
        <v/>
      </c>
    </row>
    <row r="929" spans="1:27" x14ac:dyDescent="0.2">
      <c r="A929" s="7" t="s">
        <v>2292</v>
      </c>
      <c r="B929" t="str">
        <f t="shared" si="156"/>
        <v>RTKM IV кв. 2010</v>
      </c>
      <c r="C929">
        <v>2010</v>
      </c>
      <c r="D929">
        <f>SUMIFS(Дивиденды!$C:$C,Дивиденды!$A:$A,A929,Дивиденды!$I:$I,C929)</f>
        <v>1.1100000000000001</v>
      </c>
      <c r="E929">
        <v>6</v>
      </c>
      <c r="F929">
        <f t="shared" si="157"/>
        <v>1.1100000000000001</v>
      </c>
      <c r="G929">
        <f t="shared" si="158"/>
        <v>14.54</v>
      </c>
      <c r="H929">
        <f t="shared" si="159"/>
        <v>1</v>
      </c>
      <c r="I929">
        <f t="shared" si="155"/>
        <v>1</v>
      </c>
      <c r="J929" t="str">
        <f t="shared" si="160"/>
        <v/>
      </c>
      <c r="K929" t="str">
        <f t="shared" si="164"/>
        <v/>
      </c>
      <c r="L929" t="str">
        <f t="shared" si="161"/>
        <v/>
      </c>
      <c r="M929" t="str">
        <f t="shared" ref="M929:M992" si="165">IFERROR(AVERAGEIFS($L:$L,$E:$E,E929,$C:$C,C929,$A:$A,"&lt;&gt;"&amp;A929),"")</f>
        <v/>
      </c>
      <c r="N929" t="str">
        <f t="shared" si="162"/>
        <v/>
      </c>
      <c r="O929" t="str">
        <f t="shared" si="163"/>
        <v/>
      </c>
      <c r="P929" t="str">
        <f>IFERROR(LN('Дивиденды по годам'!I929),"")</f>
        <v/>
      </c>
      <c r="Q929" t="str">
        <f>IFERROR('Дивиденды по годам'!G929/'Дивиденды по годам'!I929, "")</f>
        <v/>
      </c>
      <c r="R929" t="str">
        <f>IFERROR(IF(AND('Дивиденды по годам'!N929&lt;&gt;"",'Дивиденды по годам'!U929&lt;&gt;"",'Дивиденды по годам'!U929&lt;&gt;0),'Дивиденды по годам'!N929/'Дивиденды по годам'!U929-1,""),"")</f>
        <v/>
      </c>
      <c r="S929" t="str">
        <f>IFERROR(IF(AND('Дивиденды по годам'!L929&lt;&gt;"",'Дивиденды по годам'!I929&lt;&gt;"",'Дивиденды по годам'!J929&lt;&gt;"",'Дивиденды по годам'!K929&lt;&gt;"",('Дивиденды по годам'!I929-'Дивиденды по годам'!J929-'Дивиденды по годам'!K929)&lt;&gt;0),'Дивиденды по годам'!L929/('Дивиденды по годам'!I929-'Дивиденды по годам'!J929-'Дивиденды по годам'!K929),""),"")</f>
        <v/>
      </c>
      <c r="T929" t="str">
        <f>IFERROR(IF(AND('Дивиденды по годам'!Q929&lt;&gt;"",'Дивиденды по годам'!I929&lt;&gt;"",'Дивиденды по годам'!V929&lt;&gt;"",('Дивиденды по годам'!I929+'Дивиденды по годам'!V929)&lt;&gt;0),'Дивиденды по годам'!Q929/(('Дивиденды по годам'!I929+'Дивиденды по годам'!V929)/2),""),"")</f>
        <v/>
      </c>
      <c r="U929" t="str">
        <f>IFERROR(IF(AND('Дивиденды по годам'!J929&lt;&gt;"",'Дивиденды по годам'!K929&lt;&gt;"",'Дивиденды по годам'!M929&lt;&gt;"",'Дивиденды по годам'!M929&lt;&gt;0),('Дивиденды по годам'!J929+'Дивиденды по годам'!K929)/'Дивиденды по годам'!M929,""),"")</f>
        <v/>
      </c>
      <c r="V929" t="str" cm="1">
        <f t="array" ref="V929">IFERROR(AVERAGE(_xlfn._xlws.FILTER(P$2:P$1073,($C$2:$C$1073=$C929)*($E$2:$E$1073=$E929)*(ROW(P$2:P$1073)&lt;&gt;ROW(P929))*(P$2:P$1073&lt;&gt;""))),"")</f>
        <v/>
      </c>
      <c r="W929" t="str" cm="1">
        <f t="array" ref="W929">IFERROR(AVERAGE(_xlfn._xlws.FILTER(Q$2:Q$1073,($C$2:$C$1073=$C929)*($E$2:$E$1073=$E929)*(ROW(Q$2:Q$1073)&lt;&gt;ROW(Q929))*(Q$2:Q$1073&lt;&gt;""))),"")</f>
        <v/>
      </c>
      <c r="X929" t="str" cm="1">
        <f t="array" ref="X929">IFERROR(AVERAGE(_xlfn._xlws.FILTER(R$2:R$1073,($C$2:$C$1073=$C929)*($E$2:$E$1073=$E929)*(ROW(R$2:R$1073)&lt;&gt;ROW(R929))*(R$2:R$1073&lt;&gt;""))),"")</f>
        <v/>
      </c>
      <c r="Y929" t="str" cm="1">
        <f t="array" ref="Y929">IFERROR(AVERAGE(_xlfn._xlws.FILTER(S$2:S$1073,($C$2:$C$1073=$C929)*($E$2:$E$1073=$E929)*(ROW(S$2:S$1073)&lt;&gt;ROW(S929))*(S$2:S$1073&lt;&gt;""))),"")</f>
        <v/>
      </c>
      <c r="Z929" t="str" cm="1">
        <f t="array" ref="Z929">IFERROR(AVERAGE(_xlfn._xlws.FILTER(T$2:T$1073,($C$2:$C$1073=$C929)*($E$2:$E$1073=$E929)*(ROW(T$2:T$1073)&lt;&gt;ROW(T929))*(T$2:T$1073&lt;&gt;""))),"")</f>
        <v/>
      </c>
      <c r="AA929" t="str" cm="1">
        <f t="array" ref="AA929">IFERROR(AVERAGE(_xlfn._xlws.FILTER(U$2:U$1073,($C$2:$C$1073=$C929)*($E$2:$E$1073=$E929)*(ROW(U$2:U$1073)&lt;&gt;ROW(U929))*(U$2:U$1073&lt;&gt;""))),"")</f>
        <v/>
      </c>
    </row>
    <row r="930" spans="1:27" x14ac:dyDescent="0.2">
      <c r="A930" s="7" t="s">
        <v>2294</v>
      </c>
      <c r="B930" t="str">
        <f t="shared" si="156"/>
        <v>AFLT IV кв. 2025</v>
      </c>
      <c r="C930">
        <v>2025</v>
      </c>
      <c r="D930">
        <f>SUMIFS(Дивиденды!$C:$C,Дивиденды!$A:$A,A930,Дивиденды!$I:$I,C930)</f>
        <v>0</v>
      </c>
      <c r="E930">
        <v>7</v>
      </c>
      <c r="F930">
        <f t="shared" si="157"/>
        <v>0</v>
      </c>
      <c r="G930">
        <f t="shared" si="158"/>
        <v>3.8849999999999998</v>
      </c>
      <c r="H930">
        <f t="shared" si="159"/>
        <v>0</v>
      </c>
      <c r="I930">
        <f t="shared" si="155"/>
        <v>0.25</v>
      </c>
      <c r="J930">
        <f t="shared" si="160"/>
        <v>-1</v>
      </c>
      <c r="K930">
        <f t="shared" si="164"/>
        <v>-0.43027638190954776</v>
      </c>
      <c r="L930">
        <f t="shared" si="161"/>
        <v>0</v>
      </c>
      <c r="M930">
        <f t="shared" si="165"/>
        <v>0</v>
      </c>
      <c r="N930">
        <f t="shared" si="162"/>
        <v>1</v>
      </c>
      <c r="O930">
        <f t="shared" si="163"/>
        <v>0.5</v>
      </c>
      <c r="P930">
        <f>IFERROR(LN('Дивиденды по годам'!I930),"")</f>
        <v>27.750135709113035</v>
      </c>
      <c r="Q930">
        <f>IFERROR('Дивиденды по годам'!G930/'Дивиденды по годам'!I930, "")</f>
        <v>0.20332374906679898</v>
      </c>
      <c r="R930">
        <f>IFERROR(IF(AND('Дивиденды по годам'!N930&lt;&gt;"",'Дивиденды по годам'!U930&lt;&gt;"",'Дивиденды по годам'!U930&lt;&gt;0),'Дивиденды по годам'!N930/'Дивиденды по годам'!U930-1,""),"")</f>
        <v>5.3077493186738822E-2</v>
      </c>
      <c r="S930">
        <f>IFERROR(IF(AND('Дивиденды по годам'!L930&lt;&gt;"",'Дивиденды по годам'!I930&lt;&gt;"",'Дивиденды по годам'!J930&lt;&gt;"",'Дивиденды по годам'!K930&lt;&gt;"",('Дивиденды по годам'!I930-'Дивиденды по годам'!J930-'Дивиденды по годам'!K930)&lt;&gt;0),'Дивиденды по годам'!L930/('Дивиденды по годам'!I930-'Дивиденды по годам'!J930-'Дивиденды по годам'!K930),""),"")</f>
        <v>-1.8248333530548653</v>
      </c>
      <c r="T930">
        <f>IFERROR(IF(AND('Дивиденды по годам'!Q930&lt;&gt;"",'Дивиденды по годам'!I930&lt;&gt;"",'Дивиденды по годам'!V930&lt;&gt;"",('Дивиденды по годам'!I930+'Дивиденды по годам'!V930)&lt;&gt;0),'Дивиденды по годам'!Q930/(('Дивиденды по годам'!I930+'Дивиденды по годам'!V930)/2),""),"")</f>
        <v>9.2410642924242198E-2</v>
      </c>
      <c r="U930">
        <f>IFERROR(IF(AND('Дивиденды по годам'!J930&lt;&gt;"",'Дивиденды по годам'!K930&lt;&gt;"",'Дивиденды по годам'!M930&lt;&gt;"",'Дивиденды по годам'!M930&lt;&gt;0),('Дивиденды по годам'!J930+'Дивиденды по годам'!K930)/'Дивиденды по годам'!M930,""),"")</f>
        <v>21.216286041099671</v>
      </c>
      <c r="V930" cm="1">
        <f t="array" ref="V930">IFERROR(AVERAGE(_xlfn._xlws.FILTER(P$2:P$1073,($C$2:$C$1073=$C930)*($E$2:$E$1073=$E930)*(ROW(P$2:P$1073)&lt;&gt;ROW(P930))*(P$2:P$1073&lt;&gt;""))),"")</f>
        <v>27.082017880420395</v>
      </c>
      <c r="W930" t="str" cm="1">
        <f t="array" ref="W930">IFERROR(AVERAGE(_xlfn._xlws.FILTER(Q$2:Q$1073,($C$2:$C$1073=$C930)*($E$2:$E$1073=$E930)*(ROW(Q$2:Q$1073)&lt;&gt;ROW(Q930))*(Q$2:Q$1073&lt;&gt;""))),"")</f>
        <v/>
      </c>
      <c r="X930" cm="1">
        <f t="array" ref="X930">IFERROR(AVERAGE(_xlfn._xlws.FILTER(R$2:R$1073,($C$2:$C$1073=$C930)*($E$2:$E$1073=$E930)*(ROW(R$2:R$1073)&lt;&gt;ROW(R930))*(R$2:R$1073&lt;&gt;""))),"")</f>
        <v>-0.37000558537071093</v>
      </c>
      <c r="Y930" t="str" cm="1">
        <f t="array" ref="Y930">IFERROR(AVERAGE(_xlfn._xlws.FILTER(S$2:S$1073,($C$2:$C$1073=$C930)*($E$2:$E$1073=$E930)*(ROW(S$2:S$1073)&lt;&gt;ROW(S930))*(S$2:S$1073&lt;&gt;""))),"")</f>
        <v/>
      </c>
      <c r="Z930" cm="1">
        <f t="array" ref="Z930">IFERROR(AVERAGE(_xlfn._xlws.FILTER(T$2:T$1073,($C$2:$C$1073=$C930)*($E$2:$E$1073=$E930)*(ROW(T$2:T$1073)&lt;&gt;ROW(T930))*(T$2:T$1073&lt;&gt;""))),"")</f>
        <v>-9.0250578769573819E-2</v>
      </c>
      <c r="AA930" cm="1">
        <f t="array" ref="AA930">IFERROR(AVERAGE(_xlfn._xlws.FILTER(U$2:U$1073,($C$2:$C$1073=$C930)*($E$2:$E$1073=$E930)*(ROW(U$2:U$1073)&lt;&gt;ROW(U930))*(U$2:U$1073&lt;&gt;""))),"")</f>
        <v>0.48847456484923102</v>
      </c>
    </row>
    <row r="931" spans="1:27" x14ac:dyDescent="0.2">
      <c r="A931" s="7" t="s">
        <v>2294</v>
      </c>
      <c r="B931" t="str">
        <f t="shared" si="156"/>
        <v>AFLT IV кв. 2024</v>
      </c>
      <c r="C931">
        <v>2024</v>
      </c>
      <c r="D931">
        <f>SUMIFS(Дивиденды!$C:$C,Дивиденды!$A:$A,A931,Дивиденды!$I:$I,C931)</f>
        <v>5.27</v>
      </c>
      <c r="E931">
        <v>7</v>
      </c>
      <c r="F931">
        <f t="shared" si="157"/>
        <v>5.27</v>
      </c>
      <c r="G931">
        <f t="shared" si="158"/>
        <v>14.17</v>
      </c>
      <c r="H931">
        <f t="shared" si="159"/>
        <v>1</v>
      </c>
      <c r="I931">
        <f t="shared" si="155"/>
        <v>0.5</v>
      </c>
      <c r="J931">
        <f t="shared" si="160"/>
        <v>1</v>
      </c>
      <c r="K931">
        <f t="shared" si="164"/>
        <v>-5.8540695945276125E-2</v>
      </c>
      <c r="L931">
        <f t="shared" si="161"/>
        <v>1</v>
      </c>
      <c r="M931">
        <f t="shared" si="165"/>
        <v>0.5</v>
      </c>
      <c r="N931">
        <f t="shared" si="162"/>
        <v>0</v>
      </c>
      <c r="O931">
        <f t="shared" si="163"/>
        <v>0.25</v>
      </c>
      <c r="P931">
        <f>IFERROR(LN('Дивиденды по годам'!I931),"")</f>
        <v>27.776761672459504</v>
      </c>
      <c r="Q931">
        <f>IFERROR('Дивиденды по годам'!G931/'Дивиденды по годам'!I931, "")</f>
        <v>0.138161079301856</v>
      </c>
      <c r="R931">
        <f>IFERROR(IF(AND('Дивиденды по годам'!N931&lt;&gt;"",'Дивиденды по годам'!U931&lt;&gt;"",'Дивиденды по годам'!U931&lt;&gt;0),'Дивиденды по годам'!N931/'Дивиденды по годам'!U931-1,""),"")</f>
        <v>0.39953184774760953</v>
      </c>
      <c r="S931">
        <f>IFERROR(IF(AND('Дивиденды по годам'!L931&lt;&gt;"",'Дивиденды по годам'!I931&lt;&gt;"",'Дивиденды по годам'!J931&lt;&gt;"",'Дивиденды по годам'!K931&lt;&gt;"",('Дивиденды по годам'!I931-'Дивиденды по годам'!J931-'Дивиденды по годам'!K931)&lt;&gt;0),'Дивиденды по годам'!L931/('Дивиденды по годам'!I931-'Дивиденды по годам'!J931-'Дивиденды по годам'!K931),""),"")</f>
        <v>2.4344731506131287</v>
      </c>
      <c r="T931">
        <f>IFERROR(IF(AND('Дивиденды по годам'!Q931&lt;&gt;"",'Дивиденды по годам'!I931&lt;&gt;"",'Дивиденды по годам'!V931&lt;&gt;"",('Дивиденды по годам'!I931+'Дивиденды по годам'!V931)&lt;&gt;0),'Дивиденды по годам'!Q931/(('Дивиденды по годам'!I931+'Дивиденды по годам'!V931)/2),""),"")</f>
        <v>4.8456345694016939E-2</v>
      </c>
      <c r="U931">
        <f>IFERROR(IF(AND('Дивиденды по годам'!J931&lt;&gt;"",'Дивиденды по годам'!K931&lt;&gt;"",'Дивиденды по годам'!M931&lt;&gt;"",'Дивиденды по годам'!M931&lt;&gt;0),('Дивиденды по годам'!J931+'Дивиденды по годам'!K931)/'Дивиденды по годам'!M931,""),"")</f>
        <v>-16.957846531580618</v>
      </c>
      <c r="V931" cm="1">
        <f t="array" ref="V931">IFERROR(AVERAGE(_xlfn._xlws.FILTER(P$2:P$1073,($C$2:$C$1073=$C931)*($E$2:$E$1073=$E931)*(ROW(P$2:P$1073)&lt;&gt;ROW(P931))*(P$2:P$1073&lt;&gt;""))),"")</f>
        <v>25.813751639010469</v>
      </c>
      <c r="W931" cm="1">
        <f t="array" ref="W931">IFERROR(AVERAGE(_xlfn._xlws.FILTER(Q$2:Q$1073,($C$2:$C$1073=$C931)*($E$2:$E$1073=$E931)*(ROW(Q$2:Q$1073)&lt;&gt;ROW(Q931))*(Q$2:Q$1073&lt;&gt;""))),"")</f>
        <v>0.57972857792487953</v>
      </c>
      <c r="X931" cm="1">
        <f t="array" ref="X931">IFERROR(AVERAGE(_xlfn._xlws.FILTER(R$2:R$1073,($C$2:$C$1073=$C931)*($E$2:$E$1073=$E931)*(ROW(R$2:R$1073)&lt;&gt;ROW(R931))*(R$2:R$1073&lt;&gt;""))),"")</f>
        <v>5.3049539478840335E-2</v>
      </c>
      <c r="Y931" cm="1">
        <f t="array" ref="Y931">IFERROR(AVERAGE(_xlfn._xlws.FILTER(S$2:S$1073,($C$2:$C$1073=$C931)*($E$2:$E$1073=$E931)*(ROW(S$2:S$1073)&lt;&gt;ROW(S931))*(S$2:S$1073&lt;&gt;""))),"")</f>
        <v>0.96431524729528784</v>
      </c>
      <c r="Z931" cm="1">
        <f t="array" ref="Z931">IFERROR(AVERAGE(_xlfn._xlws.FILTER(T$2:T$1073,($C$2:$C$1073=$C931)*($E$2:$E$1073=$E931)*(ROW(T$2:T$1073)&lt;&gt;ROW(T931))*(T$2:T$1073&lt;&gt;""))),"")</f>
        <v>0.17878716158598401</v>
      </c>
      <c r="AA931" cm="1">
        <f t="array" ref="AA931">IFERROR(AVERAGE(_xlfn._xlws.FILTER(U$2:U$1073,($C$2:$C$1073=$C931)*($E$2:$E$1073=$E931)*(ROW(U$2:U$1073)&lt;&gt;ROW(U931))*(U$2:U$1073&lt;&gt;""))),"")</f>
        <v>0.35604449403049382</v>
      </c>
    </row>
    <row r="932" spans="1:27" x14ac:dyDescent="0.2">
      <c r="A932" s="7" t="s">
        <v>2294</v>
      </c>
      <c r="B932" t="str">
        <f t="shared" si="156"/>
        <v>AFLT IV кв. 2023</v>
      </c>
      <c r="C932">
        <v>2023</v>
      </c>
      <c r="D932">
        <f>SUMIFS(Дивиденды!$C:$C,Дивиденды!$A:$A,A932,Дивиденды!$I:$I,C932)</f>
        <v>0</v>
      </c>
      <c r="E932">
        <v>7</v>
      </c>
      <c r="F932">
        <f t="shared" si="157"/>
        <v>0</v>
      </c>
      <c r="G932">
        <f t="shared" si="158"/>
        <v>13.76</v>
      </c>
      <c r="H932">
        <f t="shared" si="159"/>
        <v>0</v>
      </c>
      <c r="I932">
        <f t="shared" si="155"/>
        <v>0.75</v>
      </c>
      <c r="J932">
        <f t="shared" si="160"/>
        <v>0</v>
      </c>
      <c r="K932">
        <f t="shared" si="164"/>
        <v>1.1429062572744175</v>
      </c>
      <c r="L932">
        <f t="shared" si="161"/>
        <v>0</v>
      </c>
      <c r="M932">
        <f t="shared" si="165"/>
        <v>0.5</v>
      </c>
      <c r="N932">
        <f t="shared" si="162"/>
        <v>0</v>
      </c>
      <c r="O932">
        <f t="shared" si="163"/>
        <v>0.25</v>
      </c>
      <c r="P932">
        <f>IFERROR(LN('Дивиденды по годам'!I932),"")</f>
        <v>27.738990824679629</v>
      </c>
      <c r="Q932">
        <f>IFERROR('Дивиденды по годам'!G932/'Дивиденды по годам'!I932, "")</f>
        <v>9.4183735572443431E-2</v>
      </c>
      <c r="R932">
        <f>IFERROR(IF(AND('Дивиденды по годам'!N932&lt;&gt;"",'Дивиденды по годам'!U932&lt;&gt;"",'Дивиденды по годам'!U932&lt;&gt;0),'Дивиденды по годам'!N932/'Дивиденды по годам'!U932-1,""),"")</f>
        <v>0.48117662998770916</v>
      </c>
      <c r="S932">
        <f>IFERROR(IF(AND('Дивиденды по годам'!L932&lt;&gt;"",'Дивиденды по годам'!I932&lt;&gt;"",'Дивиденды по годам'!J932&lt;&gt;"",'Дивиденды по годам'!K932&lt;&gt;"",('Дивиденды по годам'!I932-'Дивиденды по годам'!J932-'Дивиденды по годам'!K932)&lt;&gt;0),'Дивиденды по годам'!L932/('Дивиденды по годам'!I932-'Дивиденды по годам'!J932-'Дивиденды по годам'!K932),""),"")</f>
        <v>2.3795795613342245</v>
      </c>
      <c r="T932">
        <f>IFERROR(IF(AND('Дивиденды по годам'!Q932&lt;&gt;"",'Дивиденды по годам'!I932&lt;&gt;"",'Дивиденды по годам'!V932&lt;&gt;"",('Дивиденды по годам'!I932+'Дивиденды по годам'!V932)&lt;&gt;0),'Дивиденды по годам'!Q932/(('Дивиденды по годам'!I932+'Дивиденды по годам'!V932)/2),""),"")</f>
        <v>-1.3539409957516129E-2</v>
      </c>
      <c r="U932">
        <f>IFERROR(IF(AND('Дивиденды по годам'!J932&lt;&gt;"",'Дивиденды по годам'!K932&lt;&gt;"",'Дивиденды по годам'!M932&lt;&gt;"",'Дивиденды по годам'!M932&lt;&gt;0),('Дивиденды по годам'!J932+'Дивиденды по годам'!K932)/'Дивиденды по годам'!M932,""),"")</f>
        <v>-12.280697490734553</v>
      </c>
      <c r="V932" cm="1">
        <f t="array" ref="V932">IFERROR(AVERAGE(_xlfn._xlws.FILTER(P$2:P$1073,($C$2:$C$1073=$C932)*($E$2:$E$1073=$E932)*(ROW(P$2:P$1073)&lt;&gt;ROW(P932))*(P$2:P$1073&lt;&gt;""))),"")</f>
        <v>25.681333317539302</v>
      </c>
      <c r="W932" cm="1">
        <f t="array" ref="W932">IFERROR(AVERAGE(_xlfn._xlws.FILTER(Q$2:Q$1073,($C$2:$C$1073=$C932)*($E$2:$E$1073=$E932)*(ROW(Q$2:Q$1073)&lt;&gt;ROW(Q932))*(Q$2:Q$1073&lt;&gt;""))),"")</f>
        <v>0.61605557291837532</v>
      </c>
      <c r="X932" cm="1">
        <f t="array" ref="X932">IFERROR(AVERAGE(_xlfn._xlws.FILTER(R$2:R$1073,($C$2:$C$1073=$C932)*($E$2:$E$1073=$E932)*(ROW(R$2:R$1073)&lt;&gt;ROW(R932))*(R$2:R$1073&lt;&gt;""))),"")</f>
        <v>0.38200570338208545</v>
      </c>
      <c r="Y932" cm="1">
        <f t="array" ref="Y932">IFERROR(AVERAGE(_xlfn._xlws.FILTER(S$2:S$1073,($C$2:$C$1073=$C932)*($E$2:$E$1073=$E932)*(ROW(S$2:S$1073)&lt;&gt;ROW(S932))*(S$2:S$1073&lt;&gt;""))),"")</f>
        <v>0.95923621920044888</v>
      </c>
      <c r="Z932" cm="1">
        <f t="array" ref="Z932">IFERROR(AVERAGE(_xlfn._xlws.FILTER(T$2:T$1073,($C$2:$C$1073=$C932)*($E$2:$E$1073=$E932)*(ROW(T$2:T$1073)&lt;&gt;ROW(T932))*(T$2:T$1073&lt;&gt;""))),"")</f>
        <v>0.23176753820373838</v>
      </c>
      <c r="AA932" cm="1">
        <f t="array" ref="AA932">IFERROR(AVERAGE(_xlfn._xlws.FILTER(U$2:U$1073,($C$2:$C$1073=$C932)*($E$2:$E$1073=$E932)*(ROW(U$2:U$1073)&lt;&gt;ROW(U932))*(U$2:U$1073&lt;&gt;""))),"")</f>
        <v>0.38321191803815224</v>
      </c>
    </row>
    <row r="933" spans="1:27" x14ac:dyDescent="0.2">
      <c r="A933" s="7" t="s">
        <v>2294</v>
      </c>
      <c r="B933" t="str">
        <f t="shared" si="156"/>
        <v>AFLT IV кв. 2022</v>
      </c>
      <c r="C933">
        <v>2022</v>
      </c>
      <c r="D933">
        <f>SUMIFS(Дивиденды!$C:$C,Дивиденды!$A:$A,A933,Дивиденды!$I:$I,C933)</f>
        <v>0</v>
      </c>
      <c r="E933">
        <v>7</v>
      </c>
      <c r="F933">
        <f t="shared" si="157"/>
        <v>0</v>
      </c>
      <c r="G933">
        <f t="shared" si="158"/>
        <v>4.9275000000000002</v>
      </c>
      <c r="H933">
        <f t="shared" si="159"/>
        <v>0</v>
      </c>
      <c r="I933">
        <f t="shared" si="155"/>
        <v>0.75</v>
      </c>
      <c r="J933">
        <f t="shared" si="160"/>
        <v>0</v>
      </c>
      <c r="K933">
        <f t="shared" si="164"/>
        <v>0.5051072124756335</v>
      </c>
      <c r="L933">
        <f t="shared" si="161"/>
        <v>0</v>
      </c>
      <c r="M933">
        <f t="shared" si="165"/>
        <v>0.75</v>
      </c>
      <c r="N933">
        <f t="shared" si="162"/>
        <v>0</v>
      </c>
      <c r="O933">
        <f t="shared" si="163"/>
        <v>0</v>
      </c>
      <c r="P933">
        <f>IFERROR(LN('Дивиденды по годам'!I933),"")</f>
        <v>27.5871998363797</v>
      </c>
      <c r="Q933">
        <f>IFERROR('Дивиденды по годам'!G933/'Дивиденды по годам'!I933, "")</f>
        <v>5.1264986287057591E-2</v>
      </c>
      <c r="R933">
        <f>IFERROR(IF(AND('Дивиденды по годам'!N933&lt;&gt;"",'Дивиденды по годам'!U933&lt;&gt;"",'Дивиденды по годам'!U933&lt;&gt;0),'Дивиденды по годам'!N933/'Дивиденды по годам'!U933-1,""),"")</f>
        <v>-0.1594706883613668</v>
      </c>
      <c r="S933">
        <f>IFERROR(IF(AND('Дивиденды по годам'!L933&lt;&gt;"",'Дивиденды по годам'!I933&lt;&gt;"",'Дивиденды по годам'!J933&lt;&gt;"",'Дивиденды по годам'!K933&lt;&gt;"",('Дивиденды по годам'!I933-'Дивиденды по годам'!J933-'Дивиденды по годам'!K933)&lt;&gt;0),'Дивиденды по годам'!L933/('Дивиденды по годам'!I933-'Дивиденды по годам'!J933-'Дивиденды по годам'!K933),""),"")</f>
        <v>2.2763567179053545</v>
      </c>
      <c r="T933">
        <f>IFERROR(IF(AND('Дивиденды по годам'!Q933&lt;&gt;"",'Дивиденды по годам'!I933&lt;&gt;"",'Дивиденды по годам'!V933&lt;&gt;"",('Дивиденды по годам'!I933+'Дивиденды по годам'!V933)&lt;&gt;0),'Дивиденды по годам'!Q933/(('Дивиденды по годам'!I933+'Дивиденды по годам'!V933)/2),""),"")</f>
        <v>-4.8748291254854047E-2</v>
      </c>
      <c r="U933">
        <f>IFERROR(IF(AND('Дивиденды по годам'!J933&lt;&gt;"",'Дивиденды по годам'!K933&lt;&gt;"",'Дивиденды по годам'!M933&lt;&gt;"",'Дивиденды по годам'!M933&lt;&gt;0),('Дивиденды по годам'!J933+'Дивиденды по годам'!K933)/'Дивиденды по годам'!M933,""),"")</f>
        <v>-10.634936933127976</v>
      </c>
      <c r="V933" cm="1">
        <f t="array" ref="V933">IFERROR(AVERAGE(_xlfn._xlws.FILTER(P$2:P$1073,($C$2:$C$1073=$C933)*($E$2:$E$1073=$E933)*(ROW(P$2:P$1073)&lt;&gt;ROW(P933))*(P$2:P$1073&lt;&gt;""))),"")</f>
        <v>25.000884188006292</v>
      </c>
      <c r="W933" cm="1">
        <f t="array" ref="W933">IFERROR(AVERAGE(_xlfn._xlws.FILTER(Q$2:Q$1073,($C$2:$C$1073=$C933)*($E$2:$E$1073=$E933)*(ROW(Q$2:Q$1073)&lt;&gt;ROW(Q933))*(Q$2:Q$1073&lt;&gt;""))),"")</f>
        <v>0.58868761079449106</v>
      </c>
      <c r="X933" cm="1">
        <f t="array" ref="X933">IFERROR(AVERAGE(_xlfn._xlws.FILTER(R$2:R$1073,($C$2:$C$1073=$C933)*($E$2:$E$1073=$E933)*(ROW(R$2:R$1073)&lt;&gt;ROW(R933))*(R$2:R$1073&lt;&gt;""))),"")</f>
        <v>0.10434990638676078</v>
      </c>
      <c r="Y933" cm="1">
        <f t="array" ref="Y933">IFERROR(AVERAGE(_xlfn._xlws.FILTER(S$2:S$1073,($C$2:$C$1073=$C933)*($E$2:$E$1073=$E933)*(ROW(S$2:S$1073)&lt;&gt;ROW(S933))*(S$2:S$1073&lt;&gt;""))),"")</f>
        <v>0.9845423141070101</v>
      </c>
      <c r="Z933" cm="1">
        <f t="array" ref="Z933">IFERROR(AVERAGE(_xlfn._xlws.FILTER(T$2:T$1073,($C$2:$C$1073=$C933)*($E$2:$E$1073=$E933)*(ROW(T$2:T$1073)&lt;&gt;ROW(T933))*(T$2:T$1073&lt;&gt;""))),"")</f>
        <v>0.21973922459931838</v>
      </c>
      <c r="AA933" cm="1">
        <f t="array" ref="AA933">IFERROR(AVERAGE(_xlfn._xlws.FILTER(U$2:U$1073,($C$2:$C$1073=$C933)*($E$2:$E$1073=$E933)*(ROW(U$2:U$1073)&lt;&gt;ROW(U933))*(U$2:U$1073&lt;&gt;""))),"")</f>
        <v>0.4447417302602184</v>
      </c>
    </row>
    <row r="934" spans="1:27" x14ac:dyDescent="0.2">
      <c r="A934" s="7" t="s">
        <v>2294</v>
      </c>
      <c r="B934" t="str">
        <f t="shared" si="156"/>
        <v>AFLT IV кв. 2021</v>
      </c>
      <c r="C934">
        <v>2021</v>
      </c>
      <c r="D934">
        <f>SUMIFS(Дивиденды!$C:$C,Дивиденды!$A:$A,A934,Дивиденды!$I:$I,C934)</f>
        <v>0</v>
      </c>
      <c r="E934">
        <v>7</v>
      </c>
      <c r="F934">
        <f t="shared" si="157"/>
        <v>0</v>
      </c>
      <c r="G934">
        <f t="shared" si="158"/>
        <v>2.5099999999999998</v>
      </c>
      <c r="H934">
        <f t="shared" si="159"/>
        <v>0</v>
      </c>
      <c r="I934">
        <f t="shared" si="155"/>
        <v>0.5</v>
      </c>
      <c r="J934">
        <f t="shared" si="160"/>
        <v>0</v>
      </c>
      <c r="K934">
        <f t="shared" si="164"/>
        <v>1.6381617219313558</v>
      </c>
      <c r="L934">
        <f t="shared" si="161"/>
        <v>0</v>
      </c>
      <c r="M934">
        <f t="shared" si="165"/>
        <v>0.25</v>
      </c>
      <c r="N934">
        <f t="shared" si="162"/>
        <v>0</v>
      </c>
      <c r="O934">
        <f t="shared" si="163"/>
        <v>0.5</v>
      </c>
      <c r="P934">
        <f>IFERROR(LN('Дивиденды по годам'!I934),"")</f>
        <v>27.734885512958837</v>
      </c>
      <c r="Q934">
        <f>IFERROR('Дивиденды по годам'!G934/'Дивиденды по годам'!I934, "")</f>
        <v>1.7930506106629412E-2</v>
      </c>
      <c r="R934">
        <f>IFERROR(IF(AND('Дивиденды по годам'!N934&lt;&gt;"",'Дивиденды по годам'!U934&lt;&gt;"",'Дивиденды по годам'!U934&lt;&gt;0),'Дивиденды по годам'!N934/'Дивиденды по годам'!U934-1,""),"")</f>
        <v>0.62727429165205084</v>
      </c>
      <c r="S934">
        <f>IFERROR(IF(AND('Дивиденды по годам'!L934&lt;&gt;"",'Дивиденды по годам'!I934&lt;&gt;"",'Дивиденды по годам'!J934&lt;&gt;"",'Дивиденды по годам'!K934&lt;&gt;"",('Дивиденды по годам'!I934-'Дивиденды по годам'!J934-'Дивиденды по годам'!K934)&lt;&gt;0),'Дивиденды по годам'!L934/('Дивиденды по годам'!I934-'Дивиденды по годам'!J934-'Дивиденды по годам'!K934),""),"")</f>
        <v>1.2003031999890739</v>
      </c>
      <c r="T934">
        <f>IFERROR(IF(AND('Дивиденды по годам'!Q934&lt;&gt;"",'Дивиденды по годам'!I934&lt;&gt;"",'Дивиденды по годам'!V934&lt;&gt;"",('Дивиденды по годам'!I934+'Дивиденды по годам'!V934)&lt;&gt;0),'Дивиденды по годам'!Q934/(('Дивиденды по годам'!I934+'Дивиденды по годам'!V934)/2),""),"")</f>
        <v>-3.2422962532942801E-2</v>
      </c>
      <c r="U934">
        <f>IFERROR(IF(AND('Дивиденды по годам'!J934&lt;&gt;"",'Дивиденды по годам'!K934&lt;&gt;"",'Дивиденды по годам'!M934&lt;&gt;"",'Дивиденды по годам'!M934&lt;&gt;0),('Дивиденды по годам'!J934+'Дивиденды по годам'!K934)/'Дивиденды по годам'!M934,""),"")</f>
        <v>-8.5762438711263478</v>
      </c>
      <c r="V934" cm="1">
        <f t="array" ref="V934">IFERROR(AVERAGE(_xlfn._xlws.FILTER(P$2:P$1073,($C$2:$C$1073=$C934)*($E$2:$E$1073=$E934)*(ROW(P$2:P$1073)&lt;&gt;ROW(P934))*(P$2:P$1073&lt;&gt;""))),"")</f>
        <v>25.2250561407627</v>
      </c>
      <c r="W934" cm="1">
        <f t="array" ref="W934">IFERROR(AVERAGE(_xlfn._xlws.FILTER(Q$2:Q$1073,($C$2:$C$1073=$C934)*($E$2:$E$1073=$E934)*(ROW(Q$2:Q$1073)&lt;&gt;ROW(Q934))*(Q$2:Q$1073&lt;&gt;""))),"")</f>
        <v>0.73565058124068994</v>
      </c>
      <c r="X934" cm="1">
        <f t="array" ref="X934">IFERROR(AVERAGE(_xlfn._xlws.FILTER(R$2:R$1073,($C$2:$C$1073=$C934)*($E$2:$E$1073=$E934)*(ROW(R$2:R$1073)&lt;&gt;ROW(R934))*(R$2:R$1073&lt;&gt;""))),"")</f>
        <v>0.20451264406103495</v>
      </c>
      <c r="Y934" cm="1">
        <f t="array" ref="Y934">IFERROR(AVERAGE(_xlfn._xlws.FILTER(S$2:S$1073,($C$2:$C$1073=$C934)*($E$2:$E$1073=$E934)*(ROW(S$2:S$1073)&lt;&gt;ROW(S934))*(S$2:S$1073&lt;&gt;""))),"")</f>
        <v>0.90769575343229281</v>
      </c>
      <c r="Z934" cm="1">
        <f t="array" ref="Z934">IFERROR(AVERAGE(_xlfn._xlws.FILTER(T$2:T$1073,($C$2:$C$1073=$C934)*($E$2:$E$1073=$E934)*(ROW(T$2:T$1073)&lt;&gt;ROW(T934))*(T$2:T$1073&lt;&gt;""))),"")</f>
        <v>0.21242607235631908</v>
      </c>
      <c r="AA934" cm="1">
        <f t="array" ref="AA934">IFERROR(AVERAGE(_xlfn._xlws.FILTER(U$2:U$1073,($C$2:$C$1073=$C934)*($E$2:$E$1073=$E934)*(ROW(U$2:U$1073)&lt;&gt;ROW(U934))*(U$2:U$1073&lt;&gt;""))),"")</f>
        <v>0.76122644643457316</v>
      </c>
    </row>
    <row r="935" spans="1:27" x14ac:dyDescent="0.2">
      <c r="A935" s="7" t="s">
        <v>2294</v>
      </c>
      <c r="B935" t="str">
        <f t="shared" si="156"/>
        <v>AFLT IV кв. 2020</v>
      </c>
      <c r="C935">
        <v>2020</v>
      </c>
      <c r="D935">
        <f>SUMIFS(Дивиденды!$C:$C,Дивиденды!$A:$A,A935,Дивиденды!$I:$I,C935)</f>
        <v>0</v>
      </c>
      <c r="E935">
        <v>7</v>
      </c>
      <c r="F935">
        <f t="shared" si="157"/>
        <v>0</v>
      </c>
      <c r="G935">
        <f t="shared" si="158"/>
        <v>5.9799999999999995</v>
      </c>
      <c r="H935">
        <f t="shared" si="159"/>
        <v>0</v>
      </c>
      <c r="I935">
        <f t="shared" si="155"/>
        <v>0.75</v>
      </c>
      <c r="J935">
        <f t="shared" si="160"/>
        <v>0</v>
      </c>
      <c r="K935">
        <f t="shared" si="164"/>
        <v>0.34820127504553727</v>
      </c>
      <c r="L935">
        <f t="shared" si="161"/>
        <v>0</v>
      </c>
      <c r="M935">
        <f t="shared" si="165"/>
        <v>0.5</v>
      </c>
      <c r="N935">
        <f t="shared" si="162"/>
        <v>0</v>
      </c>
      <c r="O935">
        <f t="shared" si="163"/>
        <v>0.25</v>
      </c>
      <c r="P935">
        <f>IFERROR(LN('Дивиденды по годам'!I935),"")</f>
        <v>27.647095232331321</v>
      </c>
      <c r="Q935">
        <f>IFERROR('Дивиденды по годам'!G935/'Дивиденды по годам'!I935, "")</f>
        <v>1.9508878138641453E-2</v>
      </c>
      <c r="R935">
        <f>IFERROR(IF(AND('Дивиденды по годам'!N935&lt;&gt;"",'Дивиденды по годам'!U935&lt;&gt;"",'Дивиденды по годам'!U935&lt;&gt;0),'Дивиденды по годам'!N935/'Дивиденды по годам'!U935-1,""),"")</f>
        <v>-0.55422559416770789</v>
      </c>
      <c r="S935">
        <f>IFERROR(IF(AND('Дивиденды по годам'!L935&lt;&gt;"",'Дивиденды по годам'!I935&lt;&gt;"",'Дивиденды по годам'!J935&lt;&gt;"",'Дивиденды по годам'!K935&lt;&gt;"",('Дивиденды по годам'!I935-'Дивиденды по годам'!J935-'Дивиденды по годам'!K935)&lt;&gt;0),'Дивиденды по годам'!L935/('Дивиденды по годам'!I935-'Дивиденды по годам'!J935-'Дивиденды по годам'!K935),""),"")</f>
        <v>1.2281656927851854</v>
      </c>
      <c r="T935">
        <f>IFERROR(IF(AND('Дивиденды по годам'!Q935&lt;&gt;"",'Дивиденды по годам'!I935&lt;&gt;"",'Дивиденды по годам'!V935&lt;&gt;"",('Дивиденды по годам'!I935+'Дивиденды по годам'!V935)&lt;&gt;0),'Дивиденды по годам'!Q935/(('Дивиденды по годам'!I935+'Дивиденды по годам'!V935)/2),""),"")</f>
        <v>-0.12639816324206651</v>
      </c>
      <c r="U935">
        <f>IFERROR(IF(AND('Дивиденды по годам'!J935&lt;&gt;"",'Дивиденды по годам'!K935&lt;&gt;"",'Дивиденды по годам'!M935&lt;&gt;"",'Дивиденды по годам'!M935&lt;&gt;0),('Дивиденды по годам'!J935+'Дивиденды по годам'!K935)/'Дивиденды по годам'!M935,""),"")</f>
        <v>-9.8100497633207908</v>
      </c>
      <c r="V935" cm="1">
        <f t="array" ref="V935">IFERROR(AVERAGE(_xlfn._xlws.FILTER(P$2:P$1073,($C$2:$C$1073=$C935)*($E$2:$E$1073=$E935)*(ROW(P$2:P$1073)&lt;&gt;ROW(P935))*(P$2:P$1073&lt;&gt;""))),"")</f>
        <v>25.206342844470406</v>
      </c>
      <c r="W935" cm="1">
        <f t="array" ref="W935">IFERROR(AVERAGE(_xlfn._xlws.FILTER(Q$2:Q$1073,($C$2:$C$1073=$C935)*($E$2:$E$1073=$E935)*(ROW(Q$2:Q$1073)&lt;&gt;ROW(Q935))*(Q$2:Q$1073&lt;&gt;""))),"")</f>
        <v>0.64526632308946963</v>
      </c>
      <c r="X935" cm="1">
        <f t="array" ref="X935">IFERROR(AVERAGE(_xlfn._xlws.FILTER(R$2:R$1073,($C$2:$C$1073=$C935)*($E$2:$E$1073=$E935)*(ROW(R$2:R$1073)&lt;&gt;ROW(R935))*(R$2:R$1073&lt;&gt;""))),"")</f>
        <v>-0.14143570067493688</v>
      </c>
      <c r="Y935" cm="1">
        <f t="array" ref="Y935">IFERROR(AVERAGE(_xlfn._xlws.FILTER(S$2:S$1073,($C$2:$C$1073=$C935)*($E$2:$E$1073=$E935)*(ROW(S$2:S$1073)&lt;&gt;ROW(S935))*(S$2:S$1073&lt;&gt;""))),"")</f>
        <v>1.3712139613069381</v>
      </c>
      <c r="Z935" cm="1">
        <f t="array" ref="Z935">IFERROR(AVERAGE(_xlfn._xlws.FILTER(T$2:T$1073,($C$2:$C$1073=$C935)*($E$2:$E$1073=$E935)*(ROW(T$2:T$1073)&lt;&gt;ROW(T935))*(T$2:T$1073&lt;&gt;""))),"")</f>
        <v>9.4573319953617063E-2</v>
      </c>
      <c r="AA935" cm="1">
        <f t="array" ref="AA935">IFERROR(AVERAGE(_xlfn._xlws.FILTER(U$2:U$1073,($C$2:$C$1073=$C935)*($E$2:$E$1073=$E935)*(ROW(U$2:U$1073)&lt;&gt;ROW(U935))*(U$2:U$1073&lt;&gt;""))),"")</f>
        <v>3.1778964000350518</v>
      </c>
    </row>
    <row r="936" spans="1:27" x14ac:dyDescent="0.2">
      <c r="A936" s="7" t="s">
        <v>2294</v>
      </c>
      <c r="B936" t="str">
        <f t="shared" si="156"/>
        <v>AFLT IV кв. 2019</v>
      </c>
      <c r="C936">
        <v>2019</v>
      </c>
      <c r="D936">
        <f>SUMIFS(Дивиденды!$C:$C,Дивиденды!$A:$A,A936,Дивиденды!$I:$I,C936)</f>
        <v>0</v>
      </c>
      <c r="E936">
        <v>7</v>
      </c>
      <c r="F936">
        <f t="shared" si="157"/>
        <v>0</v>
      </c>
      <c r="G936">
        <f t="shared" si="158"/>
        <v>2.1675</v>
      </c>
      <c r="H936">
        <f t="shared" si="159"/>
        <v>0</v>
      </c>
      <c r="I936">
        <f t="shared" si="155"/>
        <v>0.5</v>
      </c>
      <c r="J936">
        <f t="shared" si="160"/>
        <v>-1</v>
      </c>
      <c r="K936">
        <f t="shared" si="164"/>
        <v>-0.16226903960946984</v>
      </c>
      <c r="L936">
        <f t="shared" si="161"/>
        <v>0</v>
      </c>
      <c r="M936">
        <f t="shared" si="165"/>
        <v>0.25</v>
      </c>
      <c r="N936">
        <f t="shared" si="162"/>
        <v>1</v>
      </c>
      <c r="O936">
        <f t="shared" si="163"/>
        <v>0.25</v>
      </c>
      <c r="P936">
        <f>IFERROR(LN('Дивиденды по годам'!I936),"")</f>
        <v>27.562011815735218</v>
      </c>
      <c r="Q936">
        <f>IFERROR('Дивиденды по годам'!G936/'Дивиденды по годам'!I936, "")</f>
        <v>2.8653685024825407E-2</v>
      </c>
      <c r="R936">
        <f>IFERROR(IF(AND('Дивиденды по годам'!N936&lt;&gt;"",'Дивиденды по годам'!U936&lt;&gt;"",'Дивиденды по годам'!U936&lt;&gt;0),'Дивиденды по годам'!N936/'Дивиденды по годам'!U936-1,""),"")</f>
        <v>0.10842748990303641</v>
      </c>
      <c r="S936">
        <f>IFERROR(IF(AND('Дивиденды по годам'!L936&lt;&gt;"",'Дивиденды по годам'!I936&lt;&gt;"",'Дивиденды по годам'!J936&lt;&gt;"",'Дивиденды по годам'!K936&lt;&gt;"",('Дивиденды по годам'!I936-'Дивиденды по годам'!J936-'Дивиденды по годам'!K936)&lt;&gt;0),'Дивиденды по годам'!L936/('Дивиденды по годам'!I936-'Дивиденды по годам'!J936-'Дивиденды по годам'!K936),""),"")</f>
        <v>-12.333846153846153</v>
      </c>
      <c r="T936">
        <f>IFERROR(IF(AND('Дивиденды по годам'!Q936&lt;&gt;"",'Дивиденды по годам'!I936&lt;&gt;"",'Дивиденды по годам'!V936&lt;&gt;"",('Дивиденды по годам'!I936+'Дивиденды по годам'!V936)&lt;&gt;0),'Дивиденды по годам'!Q936/(('Дивиденды по годам'!I936+'Дивиденды по годам'!V936)/2),""),"")</f>
        <v>2.1620168583552542E-2</v>
      </c>
      <c r="U936">
        <f>IFERROR(IF(AND('Дивиденды по годам'!J936&lt;&gt;"",'Дивиденды по годам'!K936&lt;&gt;"",'Дивиденды по годам'!M936&lt;&gt;"",'Дивиденды по годам'!M936&lt;&gt;0),('Дивиденды по годам'!J936+'Дивиденды по годам'!K936)/'Дивиденды по годам'!M936,""),"")</f>
        <v>477.62461538461537</v>
      </c>
      <c r="V936" cm="1">
        <f t="array" ref="V936">IFERROR(AVERAGE(_xlfn._xlws.FILTER(P$2:P$1073,($C$2:$C$1073=$C936)*($E$2:$E$1073=$E936)*(ROW(P$2:P$1073)&lt;&gt;ROW(P936))*(P$2:P$1073&lt;&gt;""))),"")</f>
        <v>25.28018394322963</v>
      </c>
      <c r="W936" cm="1">
        <f t="array" ref="W936">IFERROR(AVERAGE(_xlfn._xlws.FILTER(Q$2:Q$1073,($C$2:$C$1073=$C936)*($E$2:$E$1073=$E936)*(ROW(Q$2:Q$1073)&lt;&gt;ROW(Q936))*(Q$2:Q$1073&lt;&gt;""))),"")</f>
        <v>0.5786773353399538</v>
      </c>
      <c r="X936" cm="1">
        <f t="array" ref="X936">IFERROR(AVERAGE(_xlfn._xlws.FILTER(R$2:R$1073,($C$2:$C$1073=$C936)*($E$2:$E$1073=$E936)*(ROW(R$2:R$1073)&lt;&gt;ROW(R936))*(R$2:R$1073&lt;&gt;""))),"")</f>
        <v>0.10567902146789565</v>
      </c>
      <c r="Y936" cm="1">
        <f t="array" ref="Y936">IFERROR(AVERAGE(_xlfn._xlws.FILTER(S$2:S$1073,($C$2:$C$1073=$C936)*($E$2:$E$1073=$E936)*(ROW(S$2:S$1073)&lt;&gt;ROW(S936))*(S$2:S$1073&lt;&gt;""))),"")</f>
        <v>0.69735536166979273</v>
      </c>
      <c r="Z936" cm="1">
        <f t="array" ref="Z936">IFERROR(AVERAGE(_xlfn._xlws.FILTER(T$2:T$1073,($C$2:$C$1073=$C936)*($E$2:$E$1073=$E936)*(ROW(T$2:T$1073)&lt;&gt;ROW(T936))*(T$2:T$1073&lt;&gt;""))),"")</f>
        <v>0.11405020182650429</v>
      </c>
      <c r="AA936" cm="1">
        <f t="array" ref="AA936">IFERROR(AVERAGE(_xlfn._xlws.FILTER(U$2:U$1073,($C$2:$C$1073=$C936)*($E$2:$E$1073=$E936)*(ROW(U$2:U$1073)&lt;&gt;ROW(U936))*(U$2:U$1073&lt;&gt;""))),"")</f>
        <v>3.2827194567759554</v>
      </c>
    </row>
    <row r="937" spans="1:27" x14ac:dyDescent="0.2">
      <c r="A937" s="7" t="s">
        <v>2294</v>
      </c>
      <c r="B937" t="str">
        <f t="shared" si="156"/>
        <v>AFLT IV кв. 2018</v>
      </c>
      <c r="C937">
        <v>2018</v>
      </c>
      <c r="D937">
        <f>SUMIFS(Дивиденды!$C:$C,Дивиденды!$A:$A,A937,Дивиденды!$I:$I,C937)</f>
        <v>2.69</v>
      </c>
      <c r="E937">
        <v>7</v>
      </c>
      <c r="F937">
        <f t="shared" si="157"/>
        <v>2.69</v>
      </c>
      <c r="G937">
        <f t="shared" si="158"/>
        <v>6.4975000000000005</v>
      </c>
      <c r="H937">
        <f t="shared" si="159"/>
        <v>1</v>
      </c>
      <c r="I937">
        <f t="shared" si="155"/>
        <v>0.5</v>
      </c>
      <c r="J937">
        <f t="shared" si="160"/>
        <v>-0.79000780640124912</v>
      </c>
      <c r="K937">
        <f t="shared" si="164"/>
        <v>0.31089582284851536</v>
      </c>
      <c r="L937">
        <f t="shared" si="161"/>
        <v>0</v>
      </c>
      <c r="M937">
        <f t="shared" si="165"/>
        <v>0.5</v>
      </c>
      <c r="N937">
        <f t="shared" si="162"/>
        <v>1</v>
      </c>
      <c r="O937">
        <f t="shared" si="163"/>
        <v>0</v>
      </c>
      <c r="P937">
        <f>IFERROR(LN('Дивиденды по годам'!I937),"")</f>
        <v>26.480987103573568</v>
      </c>
      <c r="Q937">
        <f>IFERROR('Дивиденды по годам'!G937/'Дивиденды по годам'!I937, "")</f>
        <v>0.28729163113578798</v>
      </c>
      <c r="R937">
        <f>IFERROR(IF(AND('Дивиденды по годам'!N937&lt;&gt;"",'Дивиденды по годам'!U937&lt;&gt;"",'Дивиденды по годам'!U937&lt;&gt;0),'Дивиденды по годам'!N937/'Дивиденды по годам'!U937-1,""),"")</f>
        <v>0.14755298029399522</v>
      </c>
      <c r="S937">
        <f>IFERROR(IF(AND('Дивиденды по годам'!L937&lt;&gt;"",'Дивиденды по годам'!I937&lt;&gt;"",'Дивиденды по годам'!J937&lt;&gt;"",'Дивиденды по годам'!K937&lt;&gt;"",('Дивиденды по годам'!I937-'Дивиденды по годам'!J937-'Дивиденды по годам'!K937)&lt;&gt;0),'Дивиденды по годам'!L937/('Дивиденды по годам'!I937-'Дивиденды по годам'!J937-'Дивиденды по годам'!K937),""),"")</f>
        <v>1.6534245064519686</v>
      </c>
      <c r="T937">
        <f>IFERROR(IF(AND('Дивиденды по годам'!Q937&lt;&gt;"",'Дивиденды по годам'!I937&lt;&gt;"",'Дивиденды по годам'!V937&lt;&gt;"",('Дивиденды по годам'!I937+'Дивиденды по годам'!V937)&lt;&gt;0),'Дивиденды по годам'!Q937/(('Дивиденды по годам'!I937+'Дивиденды по годам'!V937)/2),""),"")</f>
        <v>1.7854352486733463E-2</v>
      </c>
      <c r="U937">
        <f>IFERROR(IF(AND('Дивиденды по годам'!J937&lt;&gt;"",'Дивиденды по годам'!K937&lt;&gt;"",'Дивиденды по годам'!M937&lt;&gt;"",'Дивиденды по годам'!M937&lt;&gt;0),('Дивиденды по годам'!J937+'Дивиденды по годам'!K937)/'Дивиденды по годам'!M937,""),"")</f>
        <v>5.9841402889599644</v>
      </c>
      <c r="V937" cm="1">
        <f t="array" ref="V937">IFERROR(AVERAGE(_xlfn._xlws.FILTER(P$2:P$1073,($C$2:$C$1073=$C937)*($E$2:$E$1073=$E937)*(ROW(P$2:P$1073)&lt;&gt;ROW(P937))*(P$2:P$1073&lt;&gt;""))),"")</f>
        <v>25.109305139047919</v>
      </c>
      <c r="W937" cm="1">
        <f t="array" ref="W937">IFERROR(AVERAGE(_xlfn._xlws.FILTER(Q$2:Q$1073,($C$2:$C$1073=$C937)*($E$2:$E$1073=$E937)*(ROW(Q$2:Q$1073)&lt;&gt;ROW(Q937))*(Q$2:Q$1073&lt;&gt;""))),"")</f>
        <v>0.65255934510504454</v>
      </c>
      <c r="X937" cm="1">
        <f t="array" ref="X937">IFERROR(AVERAGE(_xlfn._xlws.FILTER(R$2:R$1073,($C$2:$C$1073=$C937)*($E$2:$E$1073=$E937)*(ROW(R$2:R$1073)&lt;&gt;ROW(R937))*(R$2:R$1073&lt;&gt;""))),"")</f>
        <v>0.43156590300987979</v>
      </c>
      <c r="Y937" cm="1">
        <f t="array" ref="Y937">IFERROR(AVERAGE(_xlfn._xlws.FILTER(S$2:S$1073,($C$2:$C$1073=$C937)*($E$2:$E$1073=$E937)*(ROW(S$2:S$1073)&lt;&gt;ROW(S937))*(S$2:S$1073&lt;&gt;""))),"")</f>
        <v>1.0566342708750514</v>
      </c>
      <c r="Z937" cm="1">
        <f t="array" ref="Z937">IFERROR(AVERAGE(_xlfn._xlws.FILTER(T$2:T$1073,($C$2:$C$1073=$C937)*($E$2:$E$1073=$E937)*(ROW(T$2:T$1073)&lt;&gt;ROW(T937))*(T$2:T$1073&lt;&gt;""))),"")</f>
        <v>0.14082304320216715</v>
      </c>
      <c r="AA937" cm="1">
        <f t="array" ref="AA937">IFERROR(AVERAGE(_xlfn._xlws.FILTER(U$2:U$1073,($C$2:$C$1073=$C937)*($E$2:$E$1073=$E937)*(ROW(U$2:U$1073)&lt;&gt;ROW(U937))*(U$2:U$1073&lt;&gt;""))),"")</f>
        <v>5.4840805891896354</v>
      </c>
    </row>
    <row r="938" spans="1:27" x14ac:dyDescent="0.2">
      <c r="A938" s="7" t="s">
        <v>2294</v>
      </c>
      <c r="B938" t="str">
        <f t="shared" si="156"/>
        <v>AFLT IV кв. 2017</v>
      </c>
      <c r="C938">
        <v>2017</v>
      </c>
      <c r="D938">
        <f>SUMIFS(Дивиденды!$C:$C,Дивиденды!$A:$A,A938,Дивиденды!$I:$I,C938)</f>
        <v>12.81</v>
      </c>
      <c r="E938">
        <v>7</v>
      </c>
      <c r="F938">
        <f t="shared" si="157"/>
        <v>12.81</v>
      </c>
      <c r="G938">
        <f t="shared" si="158"/>
        <v>4.9675000000000002</v>
      </c>
      <c r="H938">
        <f t="shared" si="159"/>
        <v>1</v>
      </c>
      <c r="I938">
        <f t="shared" si="155"/>
        <v>0.25</v>
      </c>
      <c r="J938">
        <f t="shared" si="160"/>
        <v>-0.26716247139588101</v>
      </c>
      <c r="K938">
        <f t="shared" si="164"/>
        <v>-7.9737732656514376E-2</v>
      </c>
      <c r="L938">
        <f t="shared" si="161"/>
        <v>0</v>
      </c>
      <c r="M938">
        <f t="shared" si="165"/>
        <v>0.25</v>
      </c>
      <c r="N938">
        <f t="shared" si="162"/>
        <v>1</v>
      </c>
      <c r="O938">
        <f t="shared" si="163"/>
        <v>0.25</v>
      </c>
      <c r="P938">
        <f>IFERROR(LN('Дивиденды по годам'!I938),"")</f>
        <v>26.501939310444239</v>
      </c>
      <c r="Q938">
        <f>IFERROR('Дивиденды по годам'!G938/'Дивиденды по годам'!I938, "")</f>
        <v>0.30288559675872945</v>
      </c>
      <c r="R938">
        <f>IFERROR(IF(AND('Дивиденды по годам'!N938&lt;&gt;"",'Дивиденды по годам'!U938&lt;&gt;"",'Дивиденды по годам'!U938&lt;&gt;0),'Дивиденды по годам'!N938/'Дивиденды по годам'!U938-1,""),"")</f>
        <v>7.4723723481487481E-2</v>
      </c>
      <c r="S938">
        <f>IFERROR(IF(AND('Дивиденды по годам'!L938&lt;&gt;"",'Дивиденды по годам'!I938&lt;&gt;"",'Дивиденды по годам'!J938&lt;&gt;"",'Дивиденды по годам'!K938&lt;&gt;"",('Дивиденды по годам'!I938-'Дивиденды по годам'!J938-'Дивиденды по годам'!K938)&lt;&gt;0),'Дивиденды по годам'!L938/('Дивиденды по годам'!I938-'Дивиденды по годам'!J938-'Дивиденды по годам'!K938),""),"")</f>
        <v>1.2106569191221266</v>
      </c>
      <c r="T938">
        <f>IFERROR(IF(AND('Дивиденды по годам'!Q938&lt;&gt;"",'Дивиденды по годам'!I938&lt;&gt;"",'Дивиденды по годам'!V938&lt;&gt;"",('Дивиденды по годам'!I938+'Дивиденды по годам'!V938)&lt;&gt;0),'Дивиденды по годам'!Q938/(('Дивиденды по годам'!I938+'Дивиденды по годам'!V938)/2),""),"")</f>
        <v>7.4072051612737444E-2</v>
      </c>
      <c r="U938">
        <f>IFERROR(IF(AND('Дивиденды по годам'!J938&lt;&gt;"",'Дивиденды по годам'!K938&lt;&gt;"",'Дивиденды по годам'!M938&lt;&gt;"",'Дивиденды по годам'!M938&lt;&gt;0),('Дивиденды по годам'!J938+'Дивиденды по годам'!K938)/'Дивиденды по годам'!M938,""),"")</f>
        <v>3.8043804514182975</v>
      </c>
      <c r="V938" cm="1">
        <f t="array" ref="V938">IFERROR(AVERAGE(_xlfn._xlws.FILTER(P$2:P$1073,($C$2:$C$1073=$C938)*($E$2:$E$1073=$E938)*(ROW(P$2:P$1073)&lt;&gt;ROW(P938))*(P$2:P$1073&lt;&gt;""))),"")</f>
        <v>25.031809299209989</v>
      </c>
      <c r="W938" cm="1">
        <f t="array" ref="W938">IFERROR(AVERAGE(_xlfn._xlws.FILTER(Q$2:Q$1073,($C$2:$C$1073=$C938)*($E$2:$E$1073=$E938)*(ROW(Q$2:Q$1073)&lt;&gt;ROW(Q938))*(Q$2:Q$1073&lt;&gt;""))),"")</f>
        <v>0.57372213764268931</v>
      </c>
      <c r="X938" cm="1">
        <f t="array" ref="X938">IFERROR(AVERAGE(_xlfn._xlws.FILTER(R$2:R$1073,($C$2:$C$1073=$C938)*($E$2:$E$1073=$E938)*(ROW(R$2:R$1073)&lt;&gt;ROW(R938))*(R$2:R$1073&lt;&gt;""))),"")</f>
        <v>8.2180777399805421E-2</v>
      </c>
      <c r="Y938" cm="1">
        <f t="array" ref="Y938">IFERROR(AVERAGE(_xlfn._xlws.FILTER(S$2:S$1073,($C$2:$C$1073=$C938)*($E$2:$E$1073=$E938)*(ROW(S$2:S$1073)&lt;&gt;ROW(S938))*(S$2:S$1073&lt;&gt;""))),"")</f>
        <v>0.24925231491376798</v>
      </c>
      <c r="Z938" cm="1">
        <f t="array" ref="Z938">IFERROR(AVERAGE(_xlfn._xlws.FILTER(T$2:T$1073,($C$2:$C$1073=$C938)*($E$2:$E$1073=$E938)*(ROW(T$2:T$1073)&lt;&gt;ROW(T938))*(T$2:T$1073&lt;&gt;""))),"")</f>
        <v>0.18816038803098517</v>
      </c>
      <c r="AA938" cm="1">
        <f t="array" ref="AA938">IFERROR(AVERAGE(_xlfn._xlws.FILTER(U$2:U$1073,($C$2:$C$1073=$C938)*($E$2:$E$1073=$E938)*(ROW(U$2:U$1073)&lt;&gt;ROW(U938))*(U$2:U$1073&lt;&gt;""))),"")</f>
        <v>5.6713513233517485</v>
      </c>
    </row>
    <row r="939" spans="1:27" x14ac:dyDescent="0.2">
      <c r="A939" s="7" t="s">
        <v>2294</v>
      </c>
      <c r="B939" t="str">
        <f t="shared" si="156"/>
        <v>AFLT IV кв. 2016</v>
      </c>
      <c r="C939">
        <v>2016</v>
      </c>
      <c r="D939">
        <f>SUMIFS(Дивиденды!$C:$C,Дивиденды!$A:$A,A939,Дивиденды!$I:$I,C939)</f>
        <v>17.48</v>
      </c>
      <c r="E939">
        <v>7</v>
      </c>
      <c r="F939">
        <f t="shared" si="157"/>
        <v>17.48</v>
      </c>
      <c r="G939">
        <f t="shared" si="158"/>
        <v>3.280475</v>
      </c>
      <c r="H939">
        <f t="shared" si="159"/>
        <v>1</v>
      </c>
      <c r="I939">
        <f t="shared" si="155"/>
        <v>0.5</v>
      </c>
      <c r="J939">
        <f t="shared" si="160"/>
        <v>1</v>
      </c>
      <c r="K939">
        <f t="shared" si="164"/>
        <v>0.16982758620689659</v>
      </c>
      <c r="L939">
        <f t="shared" si="161"/>
        <v>1</v>
      </c>
      <c r="M939">
        <f t="shared" si="165"/>
        <v>0.25</v>
      </c>
      <c r="N939">
        <f t="shared" si="162"/>
        <v>0</v>
      </c>
      <c r="O939">
        <f t="shared" si="163"/>
        <v>0.25</v>
      </c>
      <c r="P939">
        <f>IFERROR(LN('Дивиденды по годам'!I939),"")</f>
        <v>26.424735639436683</v>
      </c>
      <c r="Q939">
        <f>IFERROR('Дивиденды по годам'!G939/'Дивиденды по годам'!I939, "")</f>
        <v>0.35046624368958962</v>
      </c>
      <c r="R939">
        <f>IFERROR(IF(AND('Дивиденды по годам'!N939&lt;&gt;"",'Дивиденды по годам'!U939&lt;&gt;"",'Дивиденды по годам'!U939&lt;&gt;0),'Дивиденды по годам'!N939/'Дивиденды по годам'!U939-1,""),"")</f>
        <v>0.194393662400975</v>
      </c>
      <c r="S939">
        <f>IFERROR(IF(AND('Дивиденды по годам'!L939&lt;&gt;"",'Дивиденды по годам'!I939&lt;&gt;"",'Дивиденды по годам'!J939&lt;&gt;"",'Дивиденды по годам'!K939&lt;&gt;"",('Дивиденды по годам'!I939-'Дивиденды по годам'!J939-'Дивиденды по годам'!K939)&lt;&gt;0),'Дивиденды по годам'!L939/('Дивиденды по годам'!I939-'Дивиденды по годам'!J939-'Дивиденды по годам'!K939),""),"")</f>
        <v>1.8935465672447203</v>
      </c>
      <c r="T939">
        <f>IFERROR(IF(AND('Дивиденды по годам'!Q939&lt;&gt;"",'Дивиденды по годам'!I939&lt;&gt;"",'Дивиденды по годам'!V939&lt;&gt;"",('Дивиденды по годам'!I939+'Дивиденды по годам'!V939)&lt;&gt;0),'Дивиденды по годам'!Q939/(('Дивиденды по годам'!I939+'Дивиденды по годам'!V939)/2),""),"")</f>
        <v>0.12636594570228527</v>
      </c>
      <c r="U939">
        <f>IFERROR(IF(AND('Дивиденды по годам'!J939&lt;&gt;"",'Дивиденды по годам'!K939&lt;&gt;"",'Дивиденды по годам'!M939&lt;&gt;"",'Дивиденды по годам'!M939&lt;&gt;0),('Дивиденды по годам'!J939+'Дивиденды по годам'!K939)/'Дивиденды по годам'!M939,""),"")</f>
        <v>6.3415340086830678</v>
      </c>
      <c r="V939" cm="1">
        <f t="array" ref="V939">IFERROR(AVERAGE(_xlfn._xlws.FILTER(P$2:P$1073,($C$2:$C$1073=$C939)*($E$2:$E$1073=$E939)*(ROW(P$2:P$1073)&lt;&gt;ROW(P939))*(P$2:P$1073&lt;&gt;""))),"")</f>
        <v>24.894868891244698</v>
      </c>
      <c r="W939" cm="1">
        <f t="array" ref="W939">IFERROR(AVERAGE(_xlfn._xlws.FILTER(Q$2:Q$1073,($C$2:$C$1073=$C939)*($E$2:$E$1073=$E939)*(ROW(Q$2:Q$1073)&lt;&gt;ROW(Q939))*(Q$2:Q$1073&lt;&gt;""))),"")</f>
        <v>0.61263399984377909</v>
      </c>
      <c r="X939" cm="1">
        <f t="array" ref="X939">IFERROR(AVERAGE(_xlfn._xlws.FILTER(R$2:R$1073,($C$2:$C$1073=$C939)*($E$2:$E$1073=$E939)*(ROW(R$2:R$1073)&lt;&gt;ROW(R939))*(R$2:R$1073&lt;&gt;""))),"")</f>
        <v>5.1988082910060629E-2</v>
      </c>
      <c r="Y939" cm="1">
        <f t="array" ref="Y939">IFERROR(AVERAGE(_xlfn._xlws.FILTER(S$2:S$1073,($C$2:$C$1073=$C939)*($E$2:$E$1073=$E939)*(ROW(S$2:S$1073)&lt;&gt;ROW(S939))*(S$2:S$1073&lt;&gt;""))),"")</f>
        <v>1.1589952996045156</v>
      </c>
      <c r="Z939" cm="1">
        <f t="array" ref="Z939">IFERROR(AVERAGE(_xlfn._xlws.FILTER(T$2:T$1073,($C$2:$C$1073=$C939)*($E$2:$E$1073=$E939)*(ROW(T$2:T$1073)&lt;&gt;ROW(T939))*(T$2:T$1073&lt;&gt;""))),"")</f>
        <v>2.602927814854173E-2</v>
      </c>
      <c r="AA939" cm="1">
        <f t="array" ref="AA939">IFERROR(AVERAGE(_xlfn._xlws.FILTER(U$2:U$1073,($C$2:$C$1073=$C939)*($E$2:$E$1073=$E939)*(ROW(U$2:U$1073)&lt;&gt;ROW(U939))*(U$2:U$1073&lt;&gt;""))),"")</f>
        <v>-0.29108212459465799</v>
      </c>
    </row>
    <row r="940" spans="1:27" x14ac:dyDescent="0.2">
      <c r="A940" s="7" t="s">
        <v>2294</v>
      </c>
      <c r="B940" t="str">
        <f t="shared" si="156"/>
        <v>AFLT IV кв. 2015</v>
      </c>
      <c r="C940">
        <v>2015</v>
      </c>
      <c r="D940">
        <f>SUMIFS(Дивиденды!$C:$C,Дивиденды!$A:$A,A940,Дивиденды!$I:$I,C940)</f>
        <v>0</v>
      </c>
      <c r="E940">
        <v>7</v>
      </c>
      <c r="F940">
        <f t="shared" si="157"/>
        <v>0</v>
      </c>
      <c r="G940">
        <f t="shared" si="158"/>
        <v>4.3499999999999996</v>
      </c>
      <c r="H940">
        <f t="shared" si="159"/>
        <v>0</v>
      </c>
      <c r="I940">
        <f t="shared" si="155"/>
        <v>0.25</v>
      </c>
      <c r="J940">
        <f t="shared" si="160"/>
        <v>0</v>
      </c>
      <c r="K940">
        <f t="shared" si="164"/>
        <v>0</v>
      </c>
      <c r="L940">
        <f t="shared" si="161"/>
        <v>0</v>
      </c>
      <c r="M940">
        <f t="shared" si="165"/>
        <v>0.25</v>
      </c>
      <c r="N940">
        <f t="shared" si="162"/>
        <v>0</v>
      </c>
      <c r="O940">
        <f t="shared" si="163"/>
        <v>0.25</v>
      </c>
      <c r="P940">
        <f>IFERROR(LN('Дивиденды по годам'!I940),"")</f>
        <v>26.476454159215962</v>
      </c>
      <c r="Q940">
        <f>IFERROR('Дивиденды по годам'!G940/'Дивиденды по годам'!I940, "")</f>
        <v>0.33152280817528251</v>
      </c>
      <c r="R940">
        <f>IFERROR(IF(AND('Дивиденды по годам'!N940&lt;&gt;"",'Дивиденды по годам'!U940&lt;&gt;"",'Дивиденды по годам'!U940&lt;&gt;0),'Дивиденды по годам'!N940/'Дивиденды по годам'!U940-1,""),"")</f>
        <v>0.29834475296383967</v>
      </c>
      <c r="S940" t="str">
        <f>IFERROR(IF(AND('Дивиденды по годам'!L940&lt;&gt;"",'Дивиденды по годам'!I940&lt;&gt;"",'Дивиденды по годам'!J940&lt;&gt;"",'Дивиденды по годам'!K940&lt;&gt;"",('Дивиденды по годам'!I940-'Дивиденды по годам'!J940-'Дивиденды по годам'!K940)&lt;&gt;0),'Дивиденды по годам'!L940/('Дивиденды по годам'!I940-'Дивиденды по годам'!J940-'Дивиденды по годам'!K940),""),"")</f>
        <v/>
      </c>
      <c r="T940">
        <f>IFERROR(IF(AND('Дивиденды по годам'!Q940&lt;&gt;"",'Дивиденды по годам'!I940&lt;&gt;"",'Дивиденды по годам'!V940&lt;&gt;"",('Дивиденды по годам'!I940+'Дивиденды по годам'!V940)&lt;&gt;0),'Дивиденды по годам'!Q940/(('Дивиденды по годам'!I940+'Дивиденды по годам'!V940)/2),""),"")</f>
        <v>-2.1905442966241195E-2</v>
      </c>
      <c r="U940">
        <f>IFERROR(IF(AND('Дивиденды по годам'!J940&lt;&gt;"",'Дивиденды по годам'!K940&lt;&gt;"",'Дивиденды по годам'!M940&lt;&gt;"",'Дивиденды по годам'!M940&lt;&gt;0),('Дивиденды по годам'!J940+'Дивиденды по годам'!K940)/'Дивиденды по годам'!M940,""),"")</f>
        <v>-9.7263012181616837</v>
      </c>
      <c r="V940" cm="1">
        <f t="array" ref="V940">IFERROR(AVERAGE(_xlfn._xlws.FILTER(P$2:P$1073,($C$2:$C$1073=$C940)*($E$2:$E$1073=$E940)*(ROW(P$2:P$1073)&lt;&gt;ROW(P940))*(P$2:P$1073&lt;&gt;""))),"")</f>
        <v>25.680942560505819</v>
      </c>
      <c r="W940" cm="1">
        <f t="array" ref="W940">IFERROR(AVERAGE(_xlfn._xlws.FILTER(Q$2:Q$1073,($C$2:$C$1073=$C940)*($E$2:$E$1073=$E940)*(ROW(Q$2:Q$1073)&lt;&gt;ROW(Q940))*(Q$2:Q$1073&lt;&gt;""))),"")</f>
        <v>0.63806405586580084</v>
      </c>
      <c r="X940" cm="1">
        <f t="array" ref="X940">IFERROR(AVERAGE(_xlfn._xlws.FILTER(R$2:R$1073,($C$2:$C$1073=$C940)*($E$2:$E$1073=$E940)*(ROW(R$2:R$1073)&lt;&gt;ROW(R940))*(R$2:R$1073&lt;&gt;""))),"")</f>
        <v>0.19865623990213482</v>
      </c>
      <c r="Y940" cm="1">
        <f t="array" ref="Y940">IFERROR(AVERAGE(_xlfn._xlws.FILTER(S$2:S$1073,($C$2:$C$1073=$C940)*($E$2:$E$1073=$E940)*(ROW(S$2:S$1073)&lt;&gt;ROW(S940))*(S$2:S$1073&lt;&gt;""))),"")</f>
        <v>0.87227414330218056</v>
      </c>
      <c r="Z940" cm="1">
        <f t="array" ref="Z940">IFERROR(AVERAGE(_xlfn._xlws.FILTER(T$2:T$1073,($C$2:$C$1073=$C940)*($E$2:$E$1073=$E940)*(ROW(T$2:T$1073)&lt;&gt;ROW(T940))*(T$2:T$1073&lt;&gt;""))),"")</f>
        <v>-5.0678334693037085E-2</v>
      </c>
      <c r="AA940" cm="1">
        <f t="array" ref="AA940">IFERROR(AVERAGE(_xlfn._xlws.FILTER(U$2:U$1073,($C$2:$C$1073=$C940)*($E$2:$E$1073=$E940)*(ROW(U$2:U$1073)&lt;&gt;ROW(U940))*(U$2:U$1073&lt;&gt;""))),"")</f>
        <v>-1.2913043684991721</v>
      </c>
    </row>
    <row r="941" spans="1:27" x14ac:dyDescent="0.2">
      <c r="A941" s="7" t="s">
        <v>2294</v>
      </c>
      <c r="B941" t="str">
        <f t="shared" si="156"/>
        <v>AFLT IV кв. 2014</v>
      </c>
      <c r="C941">
        <v>2014</v>
      </c>
      <c r="D941">
        <f>SUMIFS(Дивиденды!$C:$C,Дивиденды!$A:$A,A941,Дивиденды!$I:$I,C941)</f>
        <v>0</v>
      </c>
      <c r="E941">
        <v>7</v>
      </c>
      <c r="F941">
        <f t="shared" si="157"/>
        <v>0</v>
      </c>
      <c r="G941">
        <f t="shared" si="158"/>
        <v>5.7500000000000002E-2</v>
      </c>
      <c r="H941">
        <f t="shared" si="159"/>
        <v>0</v>
      </c>
      <c r="I941">
        <f t="shared" si="155"/>
        <v>0.25</v>
      </c>
      <c r="J941">
        <f t="shared" si="160"/>
        <v>-1</v>
      </c>
      <c r="K941">
        <f t="shared" si="164"/>
        <v>2.2072649572649574</v>
      </c>
      <c r="L941">
        <f t="shared" si="161"/>
        <v>0</v>
      </c>
      <c r="M941">
        <f t="shared" si="165"/>
        <v>0.25</v>
      </c>
      <c r="N941">
        <f t="shared" si="162"/>
        <v>1</v>
      </c>
      <c r="O941">
        <f t="shared" si="163"/>
        <v>0</v>
      </c>
      <c r="P941">
        <f>IFERROR(LN('Дивиденды по годам'!I941),"")</f>
        <v>26.349872047307642</v>
      </c>
      <c r="Q941">
        <f>IFERROR('Дивиденды по годам'!G941/'Дивиденды по годам'!I941, "")</f>
        <v>0.41784832095867031</v>
      </c>
      <c r="R941">
        <f>IFERROR(IF(AND('Дивиденды по годам'!N941&lt;&gt;"",'Дивиденды по годам'!U941&lt;&gt;"",'Дивиденды по годам'!U941&lt;&gt;0),'Дивиденды по годам'!N941/'Дивиденды по годам'!U941-1,""),"")</f>
        <v>9.903634847629772E-2</v>
      </c>
      <c r="S941" t="str">
        <f>IFERROR(IF(AND('Дивиденды по годам'!L941&lt;&gt;"",'Дивиденды по годам'!I941&lt;&gt;"",'Дивиденды по годам'!J941&lt;&gt;"",'Дивиденды по годам'!K941&lt;&gt;"",('Дивиденды по годам'!I941-'Дивиденды по годам'!J941-'Дивиденды по годам'!K941)&lt;&gt;0),'Дивиденды по годам'!L941/('Дивиденды по годам'!I941-'Дивиденды по годам'!J941-'Дивиденды по годам'!K941),""),"")</f>
        <v/>
      </c>
      <c r="T941">
        <f>IFERROR(IF(AND('Дивиденды по годам'!Q941&lt;&gt;"",'Дивиденды по годам'!I941&lt;&gt;"",'Дивиденды по годам'!V941&lt;&gt;"",('Дивиденды по годам'!I941+'Дивиденды по годам'!V941)&lt;&gt;0),'Дивиденды по годам'!Q941/(('Дивиденды по годам'!I941+'Дивиденды по годам'!V941)/2),""),"")</f>
        <v>-7.0428971421142531E-2</v>
      </c>
      <c r="U941">
        <f>IFERROR(IF(AND('Дивиденды по годам'!J941&lt;&gt;"",'Дивиденды по годам'!K941&lt;&gt;"",'Дивиденды по годам'!M941&lt;&gt;"",'Дивиденды по годам'!M941&lt;&gt;0),('Дивиденды по годам'!J941+'Дивиденды по годам'!K941)/'Дивиденды по годам'!M941,""),"")</f>
        <v>-21.564087375046281</v>
      </c>
      <c r="V941" cm="1">
        <f t="array" ref="V941">IFERROR(AVERAGE(_xlfn._xlws.FILTER(P$2:P$1073,($C$2:$C$1073=$C941)*($E$2:$E$1073=$E941)*(ROW(P$2:P$1073)&lt;&gt;ROW(P941))*(P$2:P$1073&lt;&gt;""))),"")</f>
        <v>25.490104156129405</v>
      </c>
      <c r="W941" cm="1">
        <f t="array" ref="W941">IFERROR(AVERAGE(_xlfn._xlws.FILTER(Q$2:Q$1073,($C$2:$C$1073=$C941)*($E$2:$E$1073=$E941)*(ROW(Q$2:Q$1073)&lt;&gt;ROW(Q941))*(Q$2:Q$1073&lt;&gt;""))),"")</f>
        <v>0.51125375575519427</v>
      </c>
      <c r="X941" cm="1">
        <f t="array" ref="X941">IFERROR(AVERAGE(_xlfn._xlws.FILTER(R$2:R$1073,($C$2:$C$1073=$C941)*($E$2:$E$1073=$E941)*(ROW(R$2:R$1073)&lt;&gt;ROW(R941))*(R$2:R$1073&lt;&gt;""))),"")</f>
        <v>0.25589445786832382</v>
      </c>
      <c r="Y941" cm="1">
        <f t="array" ref="Y941">IFERROR(AVERAGE(_xlfn._xlws.FILTER(S$2:S$1073,($C$2:$C$1073=$C941)*($E$2:$E$1073=$E941)*(ROW(S$2:S$1073)&lt;&gt;ROW(S941))*(S$2:S$1073&lt;&gt;""))),"")</f>
        <v>164.14893617021278</v>
      </c>
      <c r="Z941" cm="1">
        <f t="array" ref="Z941">IFERROR(AVERAGE(_xlfn._xlws.FILTER(T$2:T$1073,($C$2:$C$1073=$C941)*($E$2:$E$1073=$E941)*(ROW(T$2:T$1073)&lt;&gt;ROW(T941))*(T$2:T$1073&lt;&gt;""))),"")</f>
        <v>-7.5657036312222828E-2</v>
      </c>
      <c r="AA941" cm="1">
        <f t="array" ref="AA941">IFERROR(AVERAGE(_xlfn._xlws.FILTER(U$2:U$1073,($C$2:$C$1073=$C941)*($E$2:$E$1073=$E941)*(ROW(U$2:U$1073)&lt;&gt;ROW(U941))*(U$2:U$1073&lt;&gt;""))),"")</f>
        <v>-510.84340931702042</v>
      </c>
    </row>
    <row r="942" spans="1:27" x14ac:dyDescent="0.2">
      <c r="A942" s="7" t="s">
        <v>2294</v>
      </c>
      <c r="B942" t="str">
        <f t="shared" si="156"/>
        <v>AFLT IV кв. 2013</v>
      </c>
      <c r="C942">
        <v>2013</v>
      </c>
      <c r="D942">
        <f>SUMIFS(Дивиденды!$C:$C,Дивиденды!$A:$A,A942,Дивиденды!$I:$I,C942)</f>
        <v>2.5</v>
      </c>
      <c r="E942">
        <v>7</v>
      </c>
      <c r="F942">
        <f t="shared" si="157"/>
        <v>2.5</v>
      </c>
      <c r="G942">
        <f t="shared" si="158"/>
        <v>5.8500000000000002E-3</v>
      </c>
      <c r="H942">
        <f t="shared" si="159"/>
        <v>1</v>
      </c>
      <c r="I942">
        <f t="shared" si="155"/>
        <v>0.25</v>
      </c>
      <c r="J942">
        <f t="shared" si="160"/>
        <v>1.1551724137931036</v>
      </c>
      <c r="K942">
        <f t="shared" si="164"/>
        <v>-2.1186440677965976E-3</v>
      </c>
      <c r="L942">
        <f t="shared" si="161"/>
        <v>1</v>
      </c>
      <c r="M942">
        <f t="shared" si="165"/>
        <v>0</v>
      </c>
      <c r="N942">
        <f t="shared" si="162"/>
        <v>0</v>
      </c>
      <c r="O942">
        <f t="shared" si="163"/>
        <v>0.25</v>
      </c>
      <c r="P942">
        <f>IFERROR(LN('Дивиденды по годам'!I942),"")</f>
        <v>26.066479606328581</v>
      </c>
      <c r="Q942">
        <f>IFERROR('Дивиденды по годам'!G942/'Дивиденды по годам'!I942, "")</f>
        <v>0.42439786235938809</v>
      </c>
      <c r="R942">
        <f>IFERROR(IF(AND('Дивиденды по годам'!N942&lt;&gt;"",'Дивиденды по годам'!U942&lt;&gt;"",'Дивиденды по годам'!U942&lt;&gt;0),'Дивиденды по годам'!N942/'Дивиденды по годам'!U942-1,""),"")</f>
        <v>0.15096259786712074</v>
      </c>
      <c r="S942" t="str">
        <f>IFERROR(IF(AND('Дивиденды по годам'!L942&lt;&gt;"",'Дивиденды по годам'!I942&lt;&gt;"",'Дивиденды по годам'!J942&lt;&gt;"",'Дивиденды по годам'!K942&lt;&gt;"",('Дивиденды по годам'!I942-'Дивиденды по годам'!J942-'Дивиденды по годам'!K942)&lt;&gt;0),'Дивиденды по годам'!L942/('Дивиденды по годам'!I942-'Дивиденды по годам'!J942-'Дивиденды по годам'!K942),""),"")</f>
        <v/>
      </c>
      <c r="T942">
        <f>IFERROR(IF(AND('Дивиденды по годам'!Q942&lt;&gt;"",'Дивиденды по годам'!I942&lt;&gt;"",'Дивиденды по годам'!V942&lt;&gt;"",('Дивиденды по годам'!I942+'Дивиденды по годам'!V942)&lt;&gt;0),'Дивиденды по годам'!Q942/(('Дивиденды по годам'!I942+'Дивиденды по годам'!V942)/2),""),"")</f>
        <v>3.6382438771614151E-2</v>
      </c>
      <c r="U942">
        <f>IFERROR(IF(AND('Дивиденды по годам'!J942&lt;&gt;"",'Дивиденды по годам'!K942&lt;&gt;"",'Дивиденды по годам'!M942&lt;&gt;"",'Дивиденды по годам'!M942&lt;&gt;0),('Дивиденды по годам'!J942+'Дивиденды по годам'!K942)/'Дивиденды по годам'!M942,""),"")</f>
        <v>2.8396457415565344</v>
      </c>
      <c r="V942" cm="1">
        <f t="array" ref="V942">IFERROR(AVERAGE(_xlfn._xlws.FILTER(P$2:P$1073,($C$2:$C$1073=$C942)*($E$2:$E$1073=$E942)*(ROW(P$2:P$1073)&lt;&gt;ROW(P942))*(P$2:P$1073&lt;&gt;""))),"")</f>
        <v>25.501263091521235</v>
      </c>
      <c r="W942" cm="1">
        <f t="array" ref="W942">IFERROR(AVERAGE(_xlfn._xlws.FILTER(Q$2:Q$1073,($C$2:$C$1073=$C942)*($E$2:$E$1073=$E942)*(ROW(Q$2:Q$1073)&lt;&gt;ROW(Q942))*(Q$2:Q$1073&lt;&gt;""))),"")</f>
        <v>0.60419344837204736</v>
      </c>
      <c r="X942" cm="1">
        <f t="array" ref="X942">IFERROR(AVERAGE(_xlfn._xlws.FILTER(R$2:R$1073,($C$2:$C$1073=$C942)*($E$2:$E$1073=$E942)*(ROW(R$2:R$1073)&lt;&gt;ROW(R942))*(R$2:R$1073&lt;&gt;""))),"")</f>
        <v>-5.2237612208478335E-2</v>
      </c>
      <c r="Y942" t="str" cm="1">
        <f t="array" ref="Y942">IFERROR(AVERAGE(_xlfn._xlws.FILTER(S$2:S$1073,($C$2:$C$1073=$C942)*($E$2:$E$1073=$E942)*(ROW(S$2:S$1073)&lt;&gt;ROW(S942))*(S$2:S$1073&lt;&gt;""))),"")</f>
        <v/>
      </c>
      <c r="Z942" cm="1">
        <f t="array" ref="Z942">IFERROR(AVERAGE(_xlfn._xlws.FILTER(T$2:T$1073,($C$2:$C$1073=$C942)*($E$2:$E$1073=$E942)*(ROW(T$2:T$1073)&lt;&gt;ROW(T942))*(T$2:T$1073&lt;&gt;""))),"")</f>
        <v>-1.0194132063749285E-2</v>
      </c>
      <c r="AA942" cm="1">
        <f t="array" ref="AA942">IFERROR(AVERAGE(_xlfn._xlws.FILTER(U$2:U$1073,($C$2:$C$1073=$C942)*($E$2:$E$1073=$E942)*(ROW(U$2:U$1073)&lt;&gt;ROW(U942))*(U$2:U$1073&lt;&gt;""))),"")</f>
        <v>1.8666591860317681</v>
      </c>
    </row>
    <row r="943" spans="1:27" x14ac:dyDescent="0.2">
      <c r="A943" s="7" t="s">
        <v>2294</v>
      </c>
      <c r="B943" t="str">
        <f t="shared" si="156"/>
        <v>AFLT IV кв. 2012</v>
      </c>
      <c r="C943">
        <v>2012</v>
      </c>
      <c r="D943">
        <f>SUMIFS(Дивиденды!$C:$C,Дивиденды!$A:$A,A943,Дивиденды!$I:$I,C943)</f>
        <v>1.1599999999999999</v>
      </c>
      <c r="E943">
        <v>7</v>
      </c>
      <c r="F943">
        <f t="shared" si="157"/>
        <v>1.1599999999999999</v>
      </c>
      <c r="G943">
        <f t="shared" si="158"/>
        <v>5.8999999999999999E-3</v>
      </c>
      <c r="H943">
        <f t="shared" si="159"/>
        <v>1</v>
      </c>
      <c r="I943">
        <f t="shared" si="155"/>
        <v>0.25</v>
      </c>
      <c r="J943">
        <f t="shared" si="160"/>
        <v>-0.3591160220994476</v>
      </c>
      <c r="K943">
        <f t="shared" si="164"/>
        <v>1.0638297872340361E-3</v>
      </c>
      <c r="L943">
        <f t="shared" si="161"/>
        <v>0</v>
      </c>
      <c r="M943">
        <f t="shared" si="165"/>
        <v>0.25</v>
      </c>
      <c r="N943">
        <f t="shared" si="162"/>
        <v>1</v>
      </c>
      <c r="O943">
        <f t="shared" si="163"/>
        <v>0</v>
      </c>
      <c r="P943">
        <f>IFERROR(LN('Дивиденды по годам'!I943),"")</f>
        <v>25.991207079623017</v>
      </c>
      <c r="Q943">
        <f>IFERROR('Дивиденды по годам'!G943/'Дивиденды по годам'!I943, "")</f>
        <v>0.38999983989497111</v>
      </c>
      <c r="R943">
        <f>IFERROR(IF(AND('Дивиденды по годам'!N943&lt;&gt;"",'Дивиденды по годам'!U943&lt;&gt;"",'Дивиденды по годам'!U943&lt;&gt;0),'Дивиденды по годам'!N943/'Дивиденды по годам'!U943-1,""),"")</f>
        <v>0.59871037299587027</v>
      </c>
      <c r="S943" t="str">
        <f>IFERROR(IF(AND('Дивиденды по годам'!L943&lt;&gt;"",'Дивиденды по годам'!I943&lt;&gt;"",'Дивиденды по годам'!J943&lt;&gt;"",'Дивиденды по годам'!K943&lt;&gt;"",('Дивиденды по годам'!I943-'Дивиденды по годам'!J943-'Дивиденды по годам'!K943)&lt;&gt;0),'Дивиденды по годам'!L943/('Дивиденды по годам'!I943-'Дивиденды по годам'!J943-'Дивиденды по годам'!K943),""),"")</f>
        <v/>
      </c>
      <c r="T943">
        <f>IFERROR(IF(AND('Дивиденды по годам'!Q943&lt;&gt;"",'Дивиденды по годам'!I943&lt;&gt;"",'Дивиденды по годам'!V943&lt;&gt;"",('Дивиденды по годам'!I943+'Дивиденды по годам'!V943)&lt;&gt;0),'Дивиденды по годам'!Q943/(('Дивиденды по годам'!I943+'Дивиденды по годам'!V943)/2),""),"")</f>
        <v>2.9442589704268704E-2</v>
      </c>
      <c r="U943">
        <f>IFERROR(IF(AND('Дивиденды по годам'!J943&lt;&gt;"",'Дивиденды по годам'!K943&lt;&gt;"",'Дивиденды по годам'!M943&lt;&gt;"",'Дивиденды по годам'!M943&lt;&gt;0),('Дивиденды по годам'!J943+'Дивиденды по годам'!K943)/'Дивиденды по годам'!M943,""),"")</f>
        <v>2.8405583225727109</v>
      </c>
      <c r="V943" cm="1">
        <f t="array" ref="V943">IFERROR(AVERAGE(_xlfn._xlws.FILTER(P$2:P$1073,($C$2:$C$1073=$C943)*($E$2:$E$1073=$E943)*(ROW(P$2:P$1073)&lt;&gt;ROW(P943))*(P$2:P$1073&lt;&gt;""))),"")</f>
        <v>25.320562375641515</v>
      </c>
      <c r="W943" cm="1">
        <f t="array" ref="W943">IFERROR(AVERAGE(_xlfn._xlws.FILTER(Q$2:Q$1073,($C$2:$C$1073=$C943)*($E$2:$E$1073=$E943)*(ROW(Q$2:Q$1073)&lt;&gt;ROW(Q943))*(Q$2:Q$1073&lt;&gt;""))),"")</f>
        <v>0.44519115076303517</v>
      </c>
      <c r="X943" cm="1">
        <f t="array" ref="X943">IFERROR(AVERAGE(_xlfn._xlws.FILTER(R$2:R$1073,($C$2:$C$1073=$C943)*($E$2:$E$1073=$E943)*(ROW(R$2:R$1073)&lt;&gt;ROW(R943))*(R$2:R$1073&lt;&gt;""))),"")</f>
        <v>0.13599163263610725</v>
      </c>
      <c r="Y943" t="str" cm="1">
        <f t="array" ref="Y943">IFERROR(AVERAGE(_xlfn._xlws.FILTER(S$2:S$1073,($C$2:$C$1073=$C943)*($E$2:$E$1073=$E943)*(ROW(S$2:S$1073)&lt;&gt;ROW(S943))*(S$2:S$1073&lt;&gt;""))),"")</f>
        <v/>
      </c>
      <c r="Z943" cm="1">
        <f t="array" ref="Z943">IFERROR(AVERAGE(_xlfn._xlws.FILTER(T$2:T$1073,($C$2:$C$1073=$C943)*($E$2:$E$1073=$E943)*(ROW(T$2:T$1073)&lt;&gt;ROW(T943))*(T$2:T$1073&lt;&gt;""))),"")</f>
        <v>3.8498733394219123E-2</v>
      </c>
      <c r="AA943" cm="1">
        <f t="array" ref="AA943">IFERROR(AVERAGE(_xlfn._xlws.FILTER(U$2:U$1073,($C$2:$C$1073=$C943)*($E$2:$E$1073=$E943)*(ROW(U$2:U$1073)&lt;&gt;ROW(U943))*(U$2:U$1073&lt;&gt;""))),"")</f>
        <v>1.3731485712449925</v>
      </c>
    </row>
    <row r="944" spans="1:27" x14ac:dyDescent="0.2">
      <c r="A944" s="7" t="s">
        <v>2294</v>
      </c>
      <c r="B944" t="str">
        <f t="shared" si="156"/>
        <v>AFLT IV кв. 2011</v>
      </c>
      <c r="C944">
        <v>2011</v>
      </c>
      <c r="D944">
        <f>SUMIFS(Дивиденды!$C:$C,Дивиденды!$A:$A,A944,Дивиденды!$I:$I,C944)</f>
        <v>1.81</v>
      </c>
      <c r="E944">
        <v>7</v>
      </c>
      <c r="F944">
        <f t="shared" si="157"/>
        <v>1.81</v>
      </c>
      <c r="G944">
        <f t="shared" si="158"/>
        <v>5.875E-3</v>
      </c>
      <c r="H944">
        <f t="shared" si="159"/>
        <v>1</v>
      </c>
      <c r="I944">
        <f t="shared" ref="I944:I1007" si="166">IFERROR((COUNTIFS($E:$E,E944,$C:$C,C944,$H:$H,1)-H944)/(COUNTIFS($E:$E,E944,$C:$C,C944)-1),0)</f>
        <v>0.25</v>
      </c>
      <c r="J944">
        <f t="shared" si="160"/>
        <v>0.66055045871559626</v>
      </c>
      <c r="K944">
        <f t="shared" si="164"/>
        <v>5.4347826086956572E-3</v>
      </c>
      <c r="L944">
        <f t="shared" si="161"/>
        <v>1</v>
      </c>
      <c r="M944">
        <f t="shared" si="165"/>
        <v>0.25</v>
      </c>
      <c r="N944">
        <f t="shared" si="162"/>
        <v>0</v>
      </c>
      <c r="O944">
        <f t="shared" si="163"/>
        <v>0</v>
      </c>
      <c r="P944">
        <f>IFERROR(LN('Дивиденды по годам'!I944),"")</f>
        <v>25.778800885717608</v>
      </c>
      <c r="Q944">
        <f>IFERROR('Дивиденды по годам'!G944/'Дивиденды по годам'!I944, "")</f>
        <v>0.36923480574973294</v>
      </c>
      <c r="R944">
        <f>IFERROR(IF(AND('Дивиденды по годам'!N944&lt;&gt;"",'Дивиденды по годам'!U944&lt;&gt;"",'Дивиденды по годам'!U944&lt;&gt;0),'Дивиденды по годам'!N944/'Дивиденды по годам'!U944-1,""),"")</f>
        <v>0.20536191673520854</v>
      </c>
      <c r="S944" t="str">
        <f>IFERROR(IF(AND('Дивиденды по годам'!L944&lt;&gt;"",'Дивиденды по годам'!I944&lt;&gt;"",'Дивиденды по годам'!J944&lt;&gt;"",'Дивиденды по годам'!K944&lt;&gt;"",('Дивиденды по годам'!I944-'Дивиденды по годам'!J944-'Дивиденды по годам'!K944)&lt;&gt;0),'Дивиденды по годам'!L944/('Дивиденды по годам'!I944-'Дивиденды по годам'!J944-'Дивиденды по годам'!K944),""),"")</f>
        <v/>
      </c>
      <c r="T944">
        <f>IFERROR(IF(AND('Дивиденды по годам'!Q944&lt;&gt;"",'Дивиденды по годам'!I944&lt;&gt;"",'Дивиденды по годам'!V944&lt;&gt;"",('Дивиденды по годам'!I944+'Дивиденды по годам'!V944)&lt;&gt;0),'Дивиденды по годам'!Q944/(('Дивиденды по годам'!I944+'Дивиденды по годам'!V944)/2),""),"")</f>
        <v>9.8152461650754155E-2</v>
      </c>
      <c r="U944">
        <f>IFERROR(IF(AND('Дивиденды по годам'!J944&lt;&gt;"",'Дивиденды по годам'!K944&lt;&gt;"",'Дивиденды по годам'!M944&lt;&gt;"",'Дивиденды по годам'!M944&lt;&gt;0),('Дивиденды по годам'!J944+'Дивиденды по годам'!K944)/'Дивиденды по годам'!M944,""),"")</f>
        <v>2.7999572710440108</v>
      </c>
      <c r="V944" cm="1">
        <f t="array" ref="V944">IFERROR(AVERAGE(_xlfn._xlws.FILTER(P$2:P$1073,($C$2:$C$1073=$C944)*($E$2:$E$1073=$E944)*(ROW(P$2:P$1073)&lt;&gt;ROW(P944))*(P$2:P$1073&lt;&gt;""))),"")</f>
        <v>25.199759280877913</v>
      </c>
      <c r="W944" cm="1">
        <f t="array" ref="W944">IFERROR(AVERAGE(_xlfn._xlws.FILTER(Q$2:Q$1073,($C$2:$C$1073=$C944)*($E$2:$E$1073=$E944)*(ROW(Q$2:Q$1073)&lt;&gt;ROW(Q944))*(Q$2:Q$1073&lt;&gt;""))),"")</f>
        <v>0.4466444181739746</v>
      </c>
      <c r="X944" t="str" cm="1">
        <f t="array" ref="X944">IFERROR(AVERAGE(_xlfn._xlws.FILTER(R$2:R$1073,($C$2:$C$1073=$C944)*($E$2:$E$1073=$E944)*(ROW(R$2:R$1073)&lt;&gt;ROW(R944))*(R$2:R$1073&lt;&gt;""))),"")</f>
        <v/>
      </c>
      <c r="Y944" t="str" cm="1">
        <f t="array" ref="Y944">IFERROR(AVERAGE(_xlfn._xlws.FILTER(S$2:S$1073,($C$2:$C$1073=$C944)*($E$2:$E$1073=$E944)*(ROW(S$2:S$1073)&lt;&gt;ROW(S944))*(S$2:S$1073&lt;&gt;""))),"")</f>
        <v/>
      </c>
      <c r="Z944" t="str" cm="1">
        <f t="array" ref="Z944">IFERROR(AVERAGE(_xlfn._xlws.FILTER(T$2:T$1073,($C$2:$C$1073=$C944)*($E$2:$E$1073=$E944)*(ROW(T$2:T$1073)&lt;&gt;ROW(T944))*(T$2:T$1073&lt;&gt;""))),"")</f>
        <v/>
      </c>
      <c r="AA944" cm="1">
        <f t="array" ref="AA944">IFERROR(AVERAGE(_xlfn._xlws.FILTER(U$2:U$1073,($C$2:$C$1073=$C944)*($E$2:$E$1073=$E944)*(ROW(U$2:U$1073)&lt;&gt;ROW(U944))*(U$2:U$1073&lt;&gt;""))),"")</f>
        <v>1.7972591700311726</v>
      </c>
    </row>
    <row r="945" spans="1:27" x14ac:dyDescent="0.2">
      <c r="A945" s="7" t="s">
        <v>2294</v>
      </c>
      <c r="B945" t="str">
        <f t="shared" si="156"/>
        <v>AFLT IV кв. 2010</v>
      </c>
      <c r="C945">
        <v>2010</v>
      </c>
      <c r="D945">
        <f>SUMIFS(Дивиденды!$C:$C,Дивиденды!$A:$A,A945,Дивиденды!$I:$I,C945)</f>
        <v>1.0900000000000001</v>
      </c>
      <c r="E945">
        <v>7</v>
      </c>
      <c r="F945">
        <f t="shared" si="157"/>
        <v>1.0900000000000001</v>
      </c>
      <c r="G945">
        <f t="shared" si="158"/>
        <v>5.7499999999999999E-3</v>
      </c>
      <c r="H945">
        <f t="shared" si="159"/>
        <v>1</v>
      </c>
      <c r="I945">
        <f t="shared" si="166"/>
        <v>0.25</v>
      </c>
      <c r="J945" t="str">
        <f t="shared" si="160"/>
        <v/>
      </c>
      <c r="K945" t="str">
        <f t="shared" si="164"/>
        <v/>
      </c>
      <c r="L945" t="str">
        <f t="shared" si="161"/>
        <v/>
      </c>
      <c r="M945" t="str">
        <f t="shared" si="165"/>
        <v/>
      </c>
      <c r="N945" t="str">
        <f t="shared" si="162"/>
        <v/>
      </c>
      <c r="O945" t="str">
        <f t="shared" si="163"/>
        <v/>
      </c>
      <c r="P945">
        <f>IFERROR(LN('Дивиденды по годам'!I945),"")</f>
        <v>25.646584513937189</v>
      </c>
      <c r="Q945">
        <f>IFERROR('Дивиденды по годам'!G945/'Дивиденды по годам'!I945, "")</f>
        <v>0.48343975783821996</v>
      </c>
      <c r="R945" t="str">
        <f>IFERROR(IF(AND('Дивиденды по годам'!N945&lt;&gt;"",'Дивиденды по годам'!U945&lt;&gt;"",'Дивиденды по годам'!U945&lt;&gt;0),'Дивиденды по годам'!N945/'Дивиденды по годам'!U945-1,""),"")</f>
        <v/>
      </c>
      <c r="S945" t="str">
        <f>IFERROR(IF(AND('Дивиденды по годам'!L945&lt;&gt;"",'Дивиденды по годам'!I945&lt;&gt;"",'Дивиденды по годам'!J945&lt;&gt;"",'Дивиденды по годам'!K945&lt;&gt;"",('Дивиденды по годам'!I945-'Дивиденды по годам'!J945-'Дивиденды по годам'!K945)&lt;&gt;0),'Дивиденды по годам'!L945/('Дивиденды по годам'!I945-'Дивиденды по годам'!J945-'Дивиденды по годам'!K945),""),"")</f>
        <v/>
      </c>
      <c r="T945" t="str">
        <f>IFERROR(IF(AND('Дивиденды по годам'!Q945&lt;&gt;"",'Дивиденды по годам'!I945&lt;&gt;"",'Дивиденды по годам'!V945&lt;&gt;"",('Дивиденды по годам'!I945+'Дивиденды по годам'!V945)&lt;&gt;0),'Дивиденды по годам'!Q945/(('Дивиденды по годам'!I945+'Дивиденды по годам'!V945)/2),""),"")</f>
        <v/>
      </c>
      <c r="U945">
        <f>IFERROR(IF(AND('Дивиденды по годам'!J945&lt;&gt;"",'Дивиденды по годам'!K945&lt;&gt;"",'Дивиденды по годам'!M945&lt;&gt;"",'Дивиденды по годам'!M945&lt;&gt;0),('Дивиденды по годам'!J945+'Дивиденды по годам'!K945)/'Дивиденды по годам'!M945,""),"")</f>
        <v>2.9188674344099064</v>
      </c>
      <c r="V945" t="str" cm="1">
        <f t="array" ref="V945">IFERROR(AVERAGE(_xlfn._xlws.FILTER(P$2:P$1073,($C$2:$C$1073=$C945)*($E$2:$E$1073=$E945)*(ROW(P$2:P$1073)&lt;&gt;ROW(P945))*(P$2:P$1073&lt;&gt;""))),"")</f>
        <v/>
      </c>
      <c r="W945" t="str" cm="1">
        <f t="array" ref="W945">IFERROR(AVERAGE(_xlfn._xlws.FILTER(Q$2:Q$1073,($C$2:$C$1073=$C945)*($E$2:$E$1073=$E945)*(ROW(Q$2:Q$1073)&lt;&gt;ROW(Q945))*(Q$2:Q$1073&lt;&gt;""))),"")</f>
        <v/>
      </c>
      <c r="X945" t="str" cm="1">
        <f t="array" ref="X945">IFERROR(AVERAGE(_xlfn._xlws.FILTER(R$2:R$1073,($C$2:$C$1073=$C945)*($E$2:$E$1073=$E945)*(ROW(R$2:R$1073)&lt;&gt;ROW(R945))*(R$2:R$1073&lt;&gt;""))),"")</f>
        <v/>
      </c>
      <c r="Y945" t="str" cm="1">
        <f t="array" ref="Y945">IFERROR(AVERAGE(_xlfn._xlws.FILTER(S$2:S$1073,($C$2:$C$1073=$C945)*($E$2:$E$1073=$E945)*(ROW(S$2:S$1073)&lt;&gt;ROW(S945))*(S$2:S$1073&lt;&gt;""))),"")</f>
        <v/>
      </c>
      <c r="Z945" t="str" cm="1">
        <f t="array" ref="Z945">IFERROR(AVERAGE(_xlfn._xlws.FILTER(T$2:T$1073,($C$2:$C$1073=$C945)*($E$2:$E$1073=$E945)*(ROW(T$2:T$1073)&lt;&gt;ROW(T945))*(T$2:T$1073&lt;&gt;""))),"")</f>
        <v/>
      </c>
      <c r="AA945" t="str" cm="1">
        <f t="array" ref="AA945">IFERROR(AVERAGE(_xlfn._xlws.FILTER(U$2:U$1073,($C$2:$C$1073=$C945)*($E$2:$E$1073=$E945)*(ROW(U$2:U$1073)&lt;&gt;ROW(U945))*(U$2:U$1073&lt;&gt;""))),"")</f>
        <v/>
      </c>
    </row>
    <row r="946" spans="1:27" x14ac:dyDescent="0.2">
      <c r="A946" s="7" t="s">
        <v>2323</v>
      </c>
      <c r="B946" t="str">
        <f t="shared" si="156"/>
        <v>FESH IV кв. 2025</v>
      </c>
      <c r="C946">
        <v>2025</v>
      </c>
      <c r="D946">
        <f>SUMIFS(Дивиденды!$C:$C,Дивиденды!$A:$A,A946,Дивиденды!$I:$I,C946)</f>
        <v>0</v>
      </c>
      <c r="E946">
        <v>7</v>
      </c>
      <c r="F946">
        <f t="shared" si="157"/>
        <v>0</v>
      </c>
      <c r="G946">
        <f t="shared" si="158"/>
        <v>3.8849999999999998</v>
      </c>
      <c r="H946">
        <f t="shared" si="159"/>
        <v>0</v>
      </c>
      <c r="I946">
        <f t="shared" si="166"/>
        <v>0.25</v>
      </c>
      <c r="J946">
        <f t="shared" si="160"/>
        <v>0</v>
      </c>
      <c r="K946">
        <f t="shared" si="164"/>
        <v>-0.68027638190954776</v>
      </c>
      <c r="L946">
        <f t="shared" si="161"/>
        <v>0</v>
      </c>
      <c r="M946">
        <f t="shared" si="165"/>
        <v>0</v>
      </c>
      <c r="N946">
        <f t="shared" si="162"/>
        <v>0</v>
      </c>
      <c r="O946">
        <f t="shared" si="163"/>
        <v>0.75</v>
      </c>
      <c r="P946" t="str">
        <f>IFERROR(LN('Дивиденды по годам'!I946),"")</f>
        <v/>
      </c>
      <c r="Q946" t="str">
        <f>IFERROR('Дивиденды по годам'!G946/'Дивиденды по годам'!I946, "")</f>
        <v/>
      </c>
      <c r="R946" t="str">
        <f>IFERROR(IF(AND('Дивиденды по годам'!N946&lt;&gt;"",'Дивиденды по годам'!U946&lt;&gt;"",'Дивиденды по годам'!U946&lt;&gt;0),'Дивиденды по годам'!N946/'Дивиденды по годам'!U946-1,""),"")</f>
        <v/>
      </c>
      <c r="S946" t="str">
        <f>IFERROR(IF(AND('Дивиденды по годам'!L946&lt;&gt;"",'Дивиденды по годам'!I946&lt;&gt;"",'Дивиденды по годам'!J946&lt;&gt;"",'Дивиденды по годам'!K946&lt;&gt;"",('Дивиденды по годам'!I946-'Дивиденды по годам'!J946-'Дивиденды по годам'!K946)&lt;&gt;0),'Дивиденды по годам'!L946/('Дивиденды по годам'!I946-'Дивиденды по годам'!J946-'Дивиденды по годам'!K946),""),"")</f>
        <v/>
      </c>
      <c r="T946" t="str">
        <f>IFERROR(IF(AND('Дивиденды по годам'!Q946&lt;&gt;"",'Дивиденды по годам'!I946&lt;&gt;"",'Дивиденды по годам'!V946&lt;&gt;"",('Дивиденды по годам'!I946+'Дивиденды по годам'!V946)&lt;&gt;0),'Дивиденды по годам'!Q946/(('Дивиденды по годам'!I946+'Дивиденды по годам'!V946)/2),""),"")</f>
        <v/>
      </c>
      <c r="U946" t="str">
        <f>IFERROR(IF(AND('Дивиденды по годам'!J946&lt;&gt;"",'Дивиденды по годам'!K946&lt;&gt;"",'Дивиденды по годам'!M946&lt;&gt;"",'Дивиденды по годам'!M946&lt;&gt;0),('Дивиденды по годам'!J946+'Дивиденды по годам'!K946)/'Дивиденды по годам'!M946,""),"")</f>
        <v/>
      </c>
      <c r="V946" cm="1">
        <f t="array" ref="V946">IFERROR(AVERAGE(_xlfn._xlws.FILTER(P$2:P$1073,($C$2:$C$1073=$C946)*($E$2:$E$1073=$E946)*(ROW(P$2:P$1073)&lt;&gt;ROW(P946))*(P$2:P$1073&lt;&gt;""))),"")</f>
        <v>27.416076794766717</v>
      </c>
      <c r="W946" cm="1">
        <f t="array" ref="W946">IFERROR(AVERAGE(_xlfn._xlws.FILTER(Q$2:Q$1073,($C$2:$C$1073=$C946)*($E$2:$E$1073=$E946)*(ROW(Q$2:Q$1073)&lt;&gt;ROW(Q946))*(Q$2:Q$1073&lt;&gt;""))),"")</f>
        <v>0.20332374906679898</v>
      </c>
      <c r="X946" cm="1">
        <f t="array" ref="X946">IFERROR(AVERAGE(_xlfn._xlws.FILTER(R$2:R$1073,($C$2:$C$1073=$C946)*($E$2:$E$1073=$E946)*(ROW(R$2:R$1073)&lt;&gt;ROW(R946))*(R$2:R$1073&lt;&gt;""))),"")</f>
        <v>-0.15846404609198605</v>
      </c>
      <c r="Y946" cm="1">
        <f t="array" ref="Y946">IFERROR(AVERAGE(_xlfn._xlws.FILTER(S$2:S$1073,($C$2:$C$1073=$C946)*($E$2:$E$1073=$E946)*(ROW(S$2:S$1073)&lt;&gt;ROW(S946))*(S$2:S$1073&lt;&gt;""))),"")</f>
        <v>-1.8248333530548653</v>
      </c>
      <c r="Z946" cm="1">
        <f t="array" ref="Z946">IFERROR(AVERAGE(_xlfn._xlws.FILTER(T$2:T$1073,($C$2:$C$1073=$C946)*($E$2:$E$1073=$E946)*(ROW(T$2:T$1073)&lt;&gt;ROW(T946))*(T$2:T$1073&lt;&gt;""))),"")</f>
        <v>1.0800320773341893E-3</v>
      </c>
      <c r="AA946" cm="1">
        <f t="array" ref="AA946">IFERROR(AVERAGE(_xlfn._xlws.FILTER(U$2:U$1073,($C$2:$C$1073=$C946)*($E$2:$E$1073=$E946)*(ROW(U$2:U$1073)&lt;&gt;ROW(U946))*(U$2:U$1073&lt;&gt;""))),"")</f>
        <v>10.852380302974451</v>
      </c>
    </row>
    <row r="947" spans="1:27" x14ac:dyDescent="0.2">
      <c r="A947" s="7" t="s">
        <v>2323</v>
      </c>
      <c r="B947" t="str">
        <f t="shared" si="156"/>
        <v>FESH IV кв. 2024</v>
      </c>
      <c r="C947">
        <v>2024</v>
      </c>
      <c r="D947">
        <f>SUMIFS(Дивиденды!$C:$C,Дивиденды!$A:$A,A947,Дивиденды!$I:$I,C947)</f>
        <v>0</v>
      </c>
      <c r="E947">
        <v>7</v>
      </c>
      <c r="F947">
        <f t="shared" si="157"/>
        <v>0</v>
      </c>
      <c r="G947">
        <f t="shared" si="158"/>
        <v>15.487499999999999</v>
      </c>
      <c r="H947">
        <f t="shared" si="159"/>
        <v>0</v>
      </c>
      <c r="I947">
        <f t="shared" si="166"/>
        <v>0.75</v>
      </c>
      <c r="J947">
        <f t="shared" si="160"/>
        <v>0</v>
      </c>
      <c r="K947">
        <f t="shared" si="164"/>
        <v>0.19145930405472389</v>
      </c>
      <c r="L947">
        <f t="shared" si="161"/>
        <v>0</v>
      </c>
      <c r="M947">
        <f t="shared" si="165"/>
        <v>0.75</v>
      </c>
      <c r="N947">
        <f t="shared" si="162"/>
        <v>0</v>
      </c>
      <c r="O947">
        <f t="shared" si="163"/>
        <v>0.25</v>
      </c>
      <c r="P947">
        <f>IFERROR(LN('Дивиденды по годам'!I947),"")</f>
        <v>26.352515120851148</v>
      </c>
      <c r="Q947">
        <f>IFERROR('Дивиденды по годам'!G947/'Дивиденды по годам'!I947, "")</f>
        <v>0.56568613015481961</v>
      </c>
      <c r="R947">
        <f>IFERROR(IF(AND('Дивиденды по годам'!N947&lt;&gt;"",'Дивиденды по годам'!U947&lt;&gt;"",'Дивиденды по годам'!U947&lt;&gt;0),'Дивиденды по годам'!N947/'Дивиденды по годам'!U947-1,""),"")</f>
        <v>7.5428478407478794E-2</v>
      </c>
      <c r="S947">
        <f>IFERROR(IF(AND('Дивиденды по годам'!L947&lt;&gt;"",'Дивиденды по годам'!I947&lt;&gt;"",'Дивиденды по годам'!J947&lt;&gt;"",'Дивиденды по годам'!K947&lt;&gt;"",('Дивиденды по годам'!I947-'Дивиденды по годам'!J947-'Дивиденды по годам'!K947)&lt;&gt;0),'Дивиденды по годам'!L947/('Дивиденды по годам'!I947-'Дивиденды по годам'!J947-'Дивиденды по годам'!K947),""),"")</f>
        <v>0.91447977221497212</v>
      </c>
      <c r="T947">
        <f>IFERROR(IF(AND('Дивиденды по годам'!Q947&lt;&gt;"",'Дивиденды по годам'!I947&lt;&gt;"",'Дивиденды по годам'!V947&lt;&gt;"",('Дивиденды по годам'!I947+'Дивиденды по годам'!V947)&lt;&gt;0),'Дивиденды по годам'!Q947/(('Дивиденды по годам'!I947+'Дивиденды по годам'!V947)/2),""),"")</f>
        <v>0.10387550311630597</v>
      </c>
      <c r="U947">
        <f>IFERROR(IF(AND('Дивиденды по годам'!J947&lt;&gt;"",'Дивиденды по годам'!K947&lt;&gt;"",'Дивиденды по годам'!M947&lt;&gt;"",'Дивиденды по годам'!M947&lt;&gt;0),('Дивиденды по годам'!J947+'Дивиденды по годам'!K947)/'Дивиденды по годам'!M947,""),"")</f>
        <v>0.65175584292324118</v>
      </c>
      <c r="V947" cm="1">
        <f t="array" ref="V947">IFERROR(AVERAGE(_xlfn._xlws.FILTER(P$2:P$1073,($C$2:$C$1073=$C947)*($E$2:$E$1073=$E947)*(ROW(P$2:P$1073)&lt;&gt;ROW(P947))*(P$2:P$1073&lt;&gt;""))),"")</f>
        <v>26.16981327691256</v>
      </c>
      <c r="W947" cm="1">
        <f t="array" ref="W947">IFERROR(AVERAGE(_xlfn._xlws.FILTER(Q$2:Q$1073,($C$2:$C$1073=$C947)*($E$2:$E$1073=$E947)*(ROW(Q$2:Q$1073)&lt;&gt;ROW(Q947))*(Q$2:Q$1073&lt;&gt;""))),"")</f>
        <v>0.4728473152116387</v>
      </c>
      <c r="X947" cm="1">
        <f t="array" ref="X947">IFERROR(AVERAGE(_xlfn._xlws.FILTER(R$2:R$1073,($C$2:$C$1073=$C947)*($E$2:$E$1073=$E947)*(ROW(R$2:R$1073)&lt;&gt;ROW(R947))*(R$2:R$1073&lt;&gt;""))),"")</f>
        <v>0.13407538181387302</v>
      </c>
      <c r="Y947" cm="1">
        <f t="array" ref="Y947">IFERROR(AVERAGE(_xlfn._xlws.FILTER(S$2:S$1073,($C$2:$C$1073=$C947)*($E$2:$E$1073=$E947)*(ROW(S$2:S$1073)&lt;&gt;ROW(S947))*(S$2:S$1073&lt;&gt;""))),"")</f>
        <v>1.4709797067613402</v>
      </c>
      <c r="Z947" cm="1">
        <f t="array" ref="Z947">IFERROR(AVERAGE(_xlfn._xlws.FILTER(T$2:T$1073,($C$2:$C$1073=$C947)*($E$2:$E$1073=$E947)*(ROW(T$2:T$1073)&lt;&gt;ROW(T947))*(T$2:T$1073&lt;&gt;""))),"")</f>
        <v>0.16493237223041174</v>
      </c>
      <c r="AA947" cm="1">
        <f t="array" ref="AA947">IFERROR(AVERAGE(_xlfn._xlws.FILTER(U$2:U$1073,($C$2:$C$1073=$C947)*($E$2:$E$1073=$E947)*(ROW(U$2:U$1073)&lt;&gt;ROW(U947))*(U$2:U$1073&lt;&gt;""))),"")</f>
        <v>-4.0463560995954708</v>
      </c>
    </row>
    <row r="948" spans="1:27" x14ac:dyDescent="0.2">
      <c r="A948" s="7" t="s">
        <v>2323</v>
      </c>
      <c r="B948" t="str">
        <f t="shared" si="156"/>
        <v>FESH IV кв. 2023</v>
      </c>
      <c r="C948">
        <v>2023</v>
      </c>
      <c r="D948">
        <f>SUMIFS(Дивиденды!$C:$C,Дивиденды!$A:$A,A948,Дивиденды!$I:$I,C948)</f>
        <v>0</v>
      </c>
      <c r="E948">
        <v>7</v>
      </c>
      <c r="F948">
        <f t="shared" si="157"/>
        <v>0</v>
      </c>
      <c r="G948">
        <f t="shared" si="158"/>
        <v>13.76</v>
      </c>
      <c r="H948">
        <f t="shared" si="159"/>
        <v>0</v>
      </c>
      <c r="I948">
        <f t="shared" si="166"/>
        <v>0.75</v>
      </c>
      <c r="J948">
        <f t="shared" si="160"/>
        <v>0</v>
      </c>
      <c r="K948">
        <f t="shared" si="164"/>
        <v>1.1429062572744175</v>
      </c>
      <c r="L948">
        <f t="shared" si="161"/>
        <v>0</v>
      </c>
      <c r="M948">
        <f t="shared" si="165"/>
        <v>0.5</v>
      </c>
      <c r="N948">
        <f t="shared" si="162"/>
        <v>0</v>
      </c>
      <c r="O948">
        <f t="shared" si="163"/>
        <v>0.25</v>
      </c>
      <c r="P948">
        <f>IFERROR(LN('Дивиденды по годам'!I948),"")</f>
        <v>26.073928943866385</v>
      </c>
      <c r="Q948">
        <f>IFERROR('Дивиденды по годам'!G948/'Дивиденды по годам'!I948, "")</f>
        <v>0.61660371628675004</v>
      </c>
      <c r="R948">
        <f>IFERROR(IF(AND('Дивиденды по годам'!N948&lt;&gt;"",'Дивиденды по годам'!U948&lt;&gt;"",'Дивиденды по годам'!U948&lt;&gt;0),'Дивиденды по годам'!N948/'Дивиденды по годам'!U948-1,""),"")</f>
        <v>5.7581514888802809E-2</v>
      </c>
      <c r="S948">
        <f>IFERROR(IF(AND('Дивиденды по годам'!L948&lt;&gt;"",'Дивиденды по годам'!I948&lt;&gt;"",'Дивиденды по годам'!J948&lt;&gt;"",'Дивиденды по годам'!K948&lt;&gt;"",('Дивиденды по годам'!I948-'Дивиденды по годам'!J948-'Дивиденды по годам'!K948)&lt;&gt;0),'Дивиденды по годам'!L948/('Дивиденды по годам'!I948-'Дивиденды по годам'!J948-'Дивиденды по годам'!K948),""),"")</f>
        <v>0.92363872492868038</v>
      </c>
      <c r="T948">
        <f>IFERROR(IF(AND('Дивиденды по годам'!Q948&lt;&gt;"",'Дивиденды по годам'!I948&lt;&gt;"",'Дивиденды по годам'!V948&lt;&gt;"",('Дивиденды по годам'!I948+'Дивиденды по годам'!V948)&lt;&gt;0),'Дивиденды по годам'!Q948/(('Дивиденды по годам'!I948+'Дивиденды по годам'!V948)/2),""),"")</f>
        <v>0.2007611217927468</v>
      </c>
      <c r="U948">
        <f>IFERROR(IF(AND('Дивиденды по годам'!J948&lt;&gt;"",'Дивиденды по годам'!K948&lt;&gt;"",'Дивиденды по годам'!M948&lt;&gt;"",'Дивиденды по годам'!M948&lt;&gt;0),('Дивиденды по годам'!J948+'Дивиденды по годам'!K948)/'Дивиденды по годам'!M948,""),"")</f>
        <v>0.53764437213170968</v>
      </c>
      <c r="V948" cm="1">
        <f t="array" ref="V948">IFERROR(AVERAGE(_xlfn._xlws.FILTER(P$2:P$1073,($C$2:$C$1073=$C948)*($E$2:$E$1073=$E948)*(ROW(P$2:P$1073)&lt;&gt;ROW(P948))*(P$2:P$1073&lt;&gt;""))),"")</f>
        <v>26.097598787742612</v>
      </c>
      <c r="W948" cm="1">
        <f t="array" ref="W948">IFERROR(AVERAGE(_xlfn._xlws.FILTER(Q$2:Q$1073,($C$2:$C$1073=$C948)*($E$2:$E$1073=$E948)*(ROW(Q$2:Q$1073)&lt;&gt;ROW(Q948))*(Q$2:Q$1073&lt;&gt;""))),"")</f>
        <v>0.48545057773979866</v>
      </c>
      <c r="X948" cm="1">
        <f t="array" ref="X948">IFERROR(AVERAGE(_xlfn._xlws.FILTER(R$2:R$1073,($C$2:$C$1073=$C948)*($E$2:$E$1073=$E948)*(ROW(R$2:R$1073)&lt;&gt;ROW(R948))*(R$2:R$1073&lt;&gt;""))),"")</f>
        <v>0.52320407508172095</v>
      </c>
      <c r="Y948" cm="1">
        <f t="array" ref="Y948">IFERROR(AVERAGE(_xlfn._xlws.FILTER(S$2:S$1073,($C$2:$C$1073=$C948)*($E$2:$E$1073=$E948)*(ROW(S$2:S$1073)&lt;&gt;ROW(S948))*(S$2:S$1073&lt;&gt;""))),"")</f>
        <v>1.6872066374032209</v>
      </c>
      <c r="Z948" cm="1">
        <f t="array" ref="Z948">IFERROR(AVERAGE(_xlfn._xlws.FILTER(T$2:T$1073,($C$2:$C$1073=$C948)*($E$2:$E$1073=$E948)*(ROW(T$2:T$1073)&lt;&gt;ROW(T948))*(T$2:T$1073&lt;&gt;""))),"")</f>
        <v>0.16033402762031737</v>
      </c>
      <c r="AA948" cm="1">
        <f t="array" ref="AA948">IFERROR(AVERAGE(_xlfn._xlws.FILTER(U$2:U$1073,($C$2:$C$1073=$C948)*($E$2:$E$1073=$E948)*(ROW(U$2:U$1073)&lt;&gt;ROW(U948))*(U$2:U$1073&lt;&gt;""))),"")</f>
        <v>-2.8213735476784132</v>
      </c>
    </row>
    <row r="949" spans="1:27" x14ac:dyDescent="0.2">
      <c r="A949" s="7" t="s">
        <v>2323</v>
      </c>
      <c r="B949" t="str">
        <f t="shared" si="156"/>
        <v>FESH IV кв. 2022</v>
      </c>
      <c r="C949">
        <v>2022</v>
      </c>
      <c r="D949">
        <f>SUMIFS(Дивиденды!$C:$C,Дивиденды!$A:$A,A949,Дивиденды!$I:$I,C949)</f>
        <v>0</v>
      </c>
      <c r="E949">
        <v>7</v>
      </c>
      <c r="F949">
        <f t="shared" si="157"/>
        <v>0</v>
      </c>
      <c r="G949">
        <f t="shared" si="158"/>
        <v>4.9275000000000002</v>
      </c>
      <c r="H949">
        <f t="shared" si="159"/>
        <v>0</v>
      </c>
      <c r="I949">
        <f t="shared" si="166"/>
        <v>0.75</v>
      </c>
      <c r="J949">
        <f t="shared" si="160"/>
        <v>0</v>
      </c>
      <c r="K949">
        <f t="shared" si="164"/>
        <v>0.5051072124756335</v>
      </c>
      <c r="L949">
        <f t="shared" si="161"/>
        <v>0</v>
      </c>
      <c r="M949">
        <f t="shared" si="165"/>
        <v>0.75</v>
      </c>
      <c r="N949">
        <f t="shared" si="162"/>
        <v>0</v>
      </c>
      <c r="O949">
        <f t="shared" si="163"/>
        <v>0</v>
      </c>
      <c r="P949">
        <f>IFERROR(LN('Дивиденды по годам'!I949),"")</f>
        <v>25.8372215671526</v>
      </c>
      <c r="Q949">
        <f>IFERROR('Дивиденды по годам'!G949/'Дивиденды по годам'!I949, "")</f>
        <v>0.45002314717394049</v>
      </c>
      <c r="R949">
        <f>IFERROR(IF(AND('Дивиденды по годам'!N949&lt;&gt;"",'Дивиденды по годам'!U949&lt;&gt;"",'Дивиденды по годам'!U949&lt;&gt;0),'Дивиденды по годам'!N949/'Дивиденды по годам'!U949-1,""),"")</f>
        <v>0.43030894652138363</v>
      </c>
      <c r="S949">
        <f>IFERROR(IF(AND('Дивиденды по годам'!L949&lt;&gt;"",'Дивиденды по годам'!I949&lt;&gt;"",'Дивиденды по годам'!J949&lt;&gt;"",'Дивиденды по годам'!K949&lt;&gt;"",('Дивиденды по годам'!I949-'Дивиденды по годам'!J949-'Дивиденды по годам'!K949)&lt;&gt;0),'Дивиденды по годам'!L949/('Дивиденды по годам'!I949-'Дивиденды по годам'!J949-'Дивиденды по годам'!K949),""),"")</f>
        <v>0.97513080336446123</v>
      </c>
      <c r="T949">
        <f>IFERROR(IF(AND('Дивиденды по годам'!Q949&lt;&gt;"",'Дивиденды по годам'!I949&lt;&gt;"",'Дивиденды по годам'!V949&lt;&gt;"",('Дивиденды по годам'!I949+'Дивиденды по годам'!V949)&lt;&gt;0),'Дивиденды по годам'!Q949/(('Дивиденды по годам'!I949+'Дивиденды по годам'!V949)/2),""),"")</f>
        <v>0.2754935389672839</v>
      </c>
      <c r="U949">
        <f>IFERROR(IF(AND('Дивиденды по годам'!J949&lt;&gt;"",'Дивиденды по годам'!K949&lt;&gt;"",'Дивиденды по годам'!M949&lt;&gt;"",'Дивиденды по годам'!M949&lt;&gt;0),('Дивиденды по годам'!J949+'Дивиденды по годам'!K949)/'Дивиденды по годам'!M949,""),"")</f>
        <v>0.83596043888116212</v>
      </c>
      <c r="V949" cm="1">
        <f t="array" ref="V949">IFERROR(AVERAGE(_xlfn._xlws.FILTER(P$2:P$1073,($C$2:$C$1073=$C949)*($E$2:$E$1073=$E949)*(ROW(P$2:P$1073)&lt;&gt;ROW(P949))*(P$2:P$1073&lt;&gt;""))),"")</f>
        <v>25.584210277748657</v>
      </c>
      <c r="W949" cm="1">
        <f t="array" ref="W949">IFERROR(AVERAGE(_xlfn._xlws.FILTER(Q$2:Q$1073,($C$2:$C$1073=$C949)*($E$2:$E$1073=$E949)*(ROW(Q$2:Q$1073)&lt;&gt;ROW(Q949))*(Q$2:Q$1073&lt;&gt;""))),"")</f>
        <v>0.45576822383219673</v>
      </c>
      <c r="X949" cm="1">
        <f t="array" ref="X949">IFERROR(AVERAGE(_xlfn._xlws.FILTER(R$2:R$1073,($C$2:$C$1073=$C949)*($E$2:$E$1073=$E949)*(ROW(R$2:R$1073)&lt;&gt;ROW(R949))*(R$2:R$1073&lt;&gt;""))),"")</f>
        <v>-0.19053991105461443</v>
      </c>
      <c r="Y949" cm="1">
        <f t="array" ref="Y949">IFERROR(AVERAGE(_xlfn._xlws.FILTER(S$2:S$1073,($C$2:$C$1073=$C949)*($E$2:$E$1073=$E949)*(ROW(S$2:S$1073)&lt;&gt;ROW(S949))*(S$2:S$1073&lt;&gt;""))),"")</f>
        <v>1.6351552713774566</v>
      </c>
      <c r="Z949" cm="1">
        <f t="array" ref="Z949">IFERROR(AVERAGE(_xlfn._xlws.FILTER(T$2:T$1073,($C$2:$C$1073=$C949)*($E$2:$E$1073=$E949)*(ROW(T$2:T$1073)&lt;&gt;ROW(T949))*(T$2:T$1073&lt;&gt;""))),"")</f>
        <v>5.761830948824942E-2</v>
      </c>
      <c r="AA949" cm="1">
        <f t="array" ref="AA949">IFERROR(AVERAGE(_xlfn._xlws.FILTER(U$2:U$1073,($C$2:$C$1073=$C949)*($E$2:$E$1073=$E949)*(ROW(U$2:U$1073)&lt;&gt;ROW(U949))*(U$2:U$1073&lt;&gt;""))),"")</f>
        <v>-3.3788907270761612</v>
      </c>
    </row>
    <row r="950" spans="1:27" x14ac:dyDescent="0.2">
      <c r="A950" s="7" t="s">
        <v>2323</v>
      </c>
      <c r="B950" t="str">
        <f t="shared" si="156"/>
        <v>FESH IV кв. 2021</v>
      </c>
      <c r="C950">
        <v>2021</v>
      </c>
      <c r="D950">
        <f>SUMIFS(Дивиденды!$C:$C,Дивиденды!$A:$A,A950,Дивиденды!$I:$I,C950)</f>
        <v>0</v>
      </c>
      <c r="E950">
        <v>7</v>
      </c>
      <c r="F950">
        <f t="shared" si="157"/>
        <v>0</v>
      </c>
      <c r="G950">
        <f t="shared" si="158"/>
        <v>2.5099999999999998</v>
      </c>
      <c r="H950">
        <f t="shared" si="159"/>
        <v>0</v>
      </c>
      <c r="I950">
        <f t="shared" si="166"/>
        <v>0.5</v>
      </c>
      <c r="J950">
        <f t="shared" si="160"/>
        <v>0</v>
      </c>
      <c r="K950">
        <f t="shared" si="164"/>
        <v>1.6381617219313558</v>
      </c>
      <c r="L950">
        <f t="shared" si="161"/>
        <v>0</v>
      </c>
      <c r="M950">
        <f t="shared" si="165"/>
        <v>0.25</v>
      </c>
      <c r="N950">
        <f t="shared" si="162"/>
        <v>0</v>
      </c>
      <c r="O950">
        <f t="shared" si="163"/>
        <v>0.5</v>
      </c>
      <c r="P950">
        <f>IFERROR(LN('Дивиденды по годам'!I950),"")</f>
        <v>25.507569168810942</v>
      </c>
      <c r="Q950">
        <f>IFERROR('Дивиденды по годам'!G950/'Дивиденды по годам'!I950, "")</f>
        <v>0.54777709040445421</v>
      </c>
      <c r="R950">
        <f>IFERROR(IF(AND('Дивиденды по годам'!N950&lt;&gt;"",'Дивиденды по годам'!U950&lt;&gt;"",'Дивиденды по годам'!U950&lt;&gt;0),'Дивиденды по годам'!N950/'Дивиденды по годам'!U950-1,""),"")</f>
        <v>0.82905996654227265</v>
      </c>
      <c r="S950">
        <f>IFERROR(IF(AND('Дивиденды по годам'!L950&lt;&gt;"",'Дивиденды по годам'!I950&lt;&gt;"",'Дивиденды по годам'!J950&lt;&gt;"",'Дивиденды по годам'!K950&lt;&gt;"",('Дивиденды по годам'!I950-'Дивиденды по годам'!J950-'Дивиденды по годам'!K950)&lt;&gt;0),'Дивиденды по годам'!L950/('Дивиденды по годам'!I950-'Дивиденды по годам'!J950-'Дивиденды по годам'!K950),""),"")</f>
        <v>0.82272903261490804</v>
      </c>
      <c r="T950">
        <f>IFERROR(IF(AND('Дивиденды по годам'!Q950&lt;&gt;"",'Дивиденды по годам'!I950&lt;&gt;"",'Дивиденды по годам'!V950&lt;&gt;"",('Дивиденды по годам'!I950+'Дивиденды по годам'!V950)&lt;&gt;0),'Дивиденды по годам'!Q950/(('Дивиденды по годам'!I950+'Дивиденды по годам'!V950)/2),""),"")</f>
        <v>0.43425136097933148</v>
      </c>
      <c r="U950">
        <f>IFERROR(IF(AND('Дивиденды по годам'!J950&lt;&gt;"",'Дивиденды по годам'!K950&lt;&gt;"",'Дивиденды по годам'!M950&lt;&gt;"",'Дивиденды по годам'!M950&lt;&gt;0),('Дивиденды по годам'!J950+'Дивиденды по годам'!K950)/'Дивиденды по годам'!M950,""),"")</f>
        <v>1.2053872674643706</v>
      </c>
      <c r="V950" cm="1">
        <f t="array" ref="V950">IFERROR(AVERAGE(_xlfn._xlws.FILTER(P$2:P$1073,($C$2:$C$1073=$C950)*($E$2:$E$1073=$E950)*(ROW(P$2:P$1073)&lt;&gt;ROW(P950))*(P$2:P$1073&lt;&gt;""))),"")</f>
        <v>25.967494922145335</v>
      </c>
      <c r="W950" cm="1">
        <f t="array" ref="W950">IFERROR(AVERAGE(_xlfn._xlws.FILTER(Q$2:Q$1073,($C$2:$C$1073=$C950)*($E$2:$E$1073=$E950)*(ROW(Q$2:Q$1073)&lt;&gt;ROW(Q950))*(Q$2:Q$1073&lt;&gt;""))),"")</f>
        <v>0.55903505314141511</v>
      </c>
      <c r="X950" cm="1">
        <f t="array" ref="X950">IFERROR(AVERAGE(_xlfn._xlws.FILTER(R$2:R$1073,($C$2:$C$1073=$C950)*($E$2:$E$1073=$E950)*(ROW(R$2:R$1073)&lt;&gt;ROW(R950))*(R$2:R$1073&lt;&gt;""))),"")</f>
        <v>0.13725075243096099</v>
      </c>
      <c r="Y950" cm="1">
        <f t="array" ref="Y950">IFERROR(AVERAGE(_xlfn._xlws.FILTER(S$2:S$1073,($C$2:$C$1073=$C950)*($E$2:$E$1073=$E950)*(ROW(S$2:S$1073)&lt;&gt;ROW(S950))*(S$2:S$1073&lt;&gt;""))),"")</f>
        <v>1.0964828371193758</v>
      </c>
      <c r="Z950" cm="1">
        <f t="array" ref="Z950">IFERROR(AVERAGE(_xlfn._xlws.FILTER(T$2:T$1073,($C$2:$C$1073=$C950)*($E$2:$E$1073=$E950)*(ROW(T$2:T$1073)&lt;&gt;ROW(T950))*(T$2:T$1073&lt;&gt;""))),"")</f>
        <v>5.6867964518894337E-2</v>
      </c>
      <c r="AA950" cm="1">
        <f t="array" ref="AA950">IFERROR(AVERAGE(_xlfn._xlws.FILTER(U$2:U$1073,($C$2:$C$1073=$C950)*($E$2:$E$1073=$E950)*(ROW(U$2:U$1073)&lt;&gt;ROW(U950))*(U$2:U$1073&lt;&gt;""))),"")</f>
        <v>-2.4993172664289998</v>
      </c>
    </row>
    <row r="951" spans="1:27" x14ac:dyDescent="0.2">
      <c r="A951" s="7" t="s">
        <v>2323</v>
      </c>
      <c r="B951" t="str">
        <f t="shared" si="156"/>
        <v>FESH IV кв. 2020</v>
      </c>
      <c r="C951">
        <v>2020</v>
      </c>
      <c r="D951">
        <f>SUMIFS(Дивиденды!$C:$C,Дивиденды!$A:$A,A951,Дивиденды!$I:$I,C951)</f>
        <v>0</v>
      </c>
      <c r="E951">
        <v>7</v>
      </c>
      <c r="F951">
        <f t="shared" si="157"/>
        <v>0</v>
      </c>
      <c r="G951">
        <f t="shared" si="158"/>
        <v>5.9799999999999995</v>
      </c>
      <c r="H951">
        <f t="shared" si="159"/>
        <v>0</v>
      </c>
      <c r="I951">
        <f t="shared" si="166"/>
        <v>0.75</v>
      </c>
      <c r="J951">
        <f t="shared" si="160"/>
        <v>0</v>
      </c>
      <c r="K951">
        <f t="shared" si="164"/>
        <v>0.34820127504553727</v>
      </c>
      <c r="L951">
        <f t="shared" si="161"/>
        <v>0</v>
      </c>
      <c r="M951">
        <f t="shared" si="165"/>
        <v>0.5</v>
      </c>
      <c r="N951">
        <f t="shared" si="162"/>
        <v>0</v>
      </c>
      <c r="O951">
        <f t="shared" si="163"/>
        <v>0.25</v>
      </c>
      <c r="P951">
        <f>IFERROR(LN('Дивиденды по годам'!I951),"")</f>
        <v>24.725220949875165</v>
      </c>
      <c r="Q951">
        <f>IFERROR('Дивиденды по годам'!G951/'Дивиденды по годам'!I951, "")</f>
        <v>0.55828534868841972</v>
      </c>
      <c r="R951">
        <f>IFERROR(IF(AND('Дивиденды по годам'!N951&lt;&gt;"",'Дивиденды по годам'!U951&lt;&gt;"",'Дивиденды по годам'!U951&lt;&gt;0),'Дивиденды по годам'!N951/'Дивиденды по годам'!U951-1,""),"")</f>
        <v>9.6959751557178953E-2</v>
      </c>
      <c r="S951">
        <f>IFERROR(IF(AND('Дивиденды по годам'!L951&lt;&gt;"",'Дивиденды по годам'!I951&lt;&gt;"",'Дивиденды по годам'!J951&lt;&gt;"",'Дивиденды по годам'!K951&lt;&gt;"",('Дивиденды по годам'!I951-'Дивиденды по годам'!J951-'Дивиденды по годам'!K951)&lt;&gt;0),'Дивиденды по годам'!L951/('Дивиденды по годам'!I951-'Дивиденды по годам'!J951-'Дивиденды по годам'!K951),""),"")</f>
        <v>1.5027760641579273</v>
      </c>
      <c r="T951">
        <f>IFERROR(IF(AND('Дивиденды по годам'!Q951&lt;&gt;"",'Дивиденды по годам'!I951&lt;&gt;"",'Дивиденды по годам'!V951&lt;&gt;"",('Дивиденды по годам'!I951+'Дивиденды по годам'!V951)&lt;&gt;0),'Дивиденды по годам'!Q951/(('Дивиденды по годам'!I951+'Дивиденды по годам'!V951)/2),""),"")</f>
        <v>0.14385686707115278</v>
      </c>
      <c r="U951">
        <f>IFERROR(IF(AND('Дивиденды по годам'!J951&lt;&gt;"",'Дивиденды по годам'!K951&lt;&gt;"",'Дивиденды по годам'!M951&lt;&gt;"",'Дивиденды по годам'!M951&lt;&gt;0),('Дивиденды по годам'!J951+'Дивиденды по годам'!K951)/'Дивиденды по годам'!M951,""),"")</f>
        <v>10.249228871067242</v>
      </c>
      <c r="V951" cm="1">
        <f t="array" ref="V951">IFERROR(AVERAGE(_xlfn._xlws.FILTER(P$2:P$1073,($C$2:$C$1073=$C951)*($E$2:$E$1073=$E951)*(ROW(P$2:P$1073)&lt;&gt;ROW(P951))*(P$2:P$1073&lt;&gt;""))),"")</f>
        <v>25.936811415084446</v>
      </c>
      <c r="W951" cm="1">
        <f t="array" ref="W951">IFERROR(AVERAGE(_xlfn._xlws.FILTER(Q$2:Q$1073,($C$2:$C$1073=$C951)*($E$2:$E$1073=$E951)*(ROW(Q$2:Q$1073)&lt;&gt;ROW(Q951))*(Q$2:Q$1073&lt;&gt;""))),"")</f>
        <v>0.51057220545202509</v>
      </c>
      <c r="X951" cm="1">
        <f t="array" ref="X951">IFERROR(AVERAGE(_xlfn._xlws.FILTER(R$2:R$1073,($C$2:$C$1073=$C951)*($E$2:$E$1073=$E951)*(ROW(R$2:R$1073)&lt;&gt;ROW(R951))*(R$2:R$1073&lt;&gt;""))),"")</f>
        <v>-0.30423203710615859</v>
      </c>
      <c r="Y951" cm="1">
        <f t="array" ref="Y951">IFERROR(AVERAGE(_xlfn._xlws.FILTER(S$2:S$1073,($C$2:$C$1073=$C951)*($E$2:$E$1073=$E951)*(ROW(S$2:S$1073)&lt;&gt;ROW(S951))*(S$2:S$1073&lt;&gt;""))),"")</f>
        <v>1.2796771708493573</v>
      </c>
      <c r="Z951" cm="1">
        <f t="array" ref="Z951">IFERROR(AVERAGE(_xlfn._xlws.FILTER(T$2:T$1073,($C$2:$C$1073=$C951)*($E$2:$E$1073=$E951)*(ROW(T$2:T$1073)&lt;&gt;ROW(T951))*(T$2:T$1073&lt;&gt;""))),"")</f>
        <v>2.7009562375312254E-2</v>
      </c>
      <c r="AA951" cm="1">
        <f t="array" ref="AA951">IFERROR(AVERAGE(_xlfn._xlws.FILTER(U$2:U$1073,($C$2:$C$1073=$C951)*($E$2:$E$1073=$E951)*(ROW(U$2:U$1073)&lt;&gt;ROW(U951))*(U$2:U$1073&lt;&gt;""))),"")</f>
        <v>-1.8369232585619564</v>
      </c>
    </row>
    <row r="952" spans="1:27" x14ac:dyDescent="0.2">
      <c r="A952" s="7" t="s">
        <v>2323</v>
      </c>
      <c r="B952" t="str">
        <f t="shared" si="156"/>
        <v>FESH IV кв. 2019</v>
      </c>
      <c r="C952">
        <v>2019</v>
      </c>
      <c r="D952">
        <f>SUMIFS(Дивиденды!$C:$C,Дивиденды!$A:$A,A952,Дивиденды!$I:$I,C952)</f>
        <v>0</v>
      </c>
      <c r="E952">
        <v>7</v>
      </c>
      <c r="F952">
        <f t="shared" si="157"/>
        <v>0</v>
      </c>
      <c r="G952">
        <f t="shared" si="158"/>
        <v>2.1675</v>
      </c>
      <c r="H952">
        <f t="shared" si="159"/>
        <v>0</v>
      </c>
      <c r="I952">
        <f t="shared" si="166"/>
        <v>0.5</v>
      </c>
      <c r="J952">
        <f t="shared" si="160"/>
        <v>0</v>
      </c>
      <c r="K952">
        <f t="shared" si="164"/>
        <v>-0.41226903960946981</v>
      </c>
      <c r="L952">
        <f t="shared" si="161"/>
        <v>0</v>
      </c>
      <c r="M952">
        <f t="shared" si="165"/>
        <v>0.25</v>
      </c>
      <c r="N952">
        <f t="shared" si="162"/>
        <v>0</v>
      </c>
      <c r="O952">
        <f t="shared" si="163"/>
        <v>0.5</v>
      </c>
      <c r="P952">
        <f>IFERROR(LN('Дивиденды по годам'!I952),"")</f>
        <v>24.839486039685951</v>
      </c>
      <c r="Q952">
        <f>IFERROR('Дивиденды по годам'!G952/'Дивиденды по годам'!I952, "")</f>
        <v>0.47367391198004144</v>
      </c>
      <c r="R952">
        <f>IFERROR(IF(AND('Дивиденды по годам'!N952&lt;&gt;"",'Дивиденды по годам'!U952&lt;&gt;"",'Дивиденды по годам'!U952&lt;&gt;0),'Дивиденды по годам'!N952/'Дивиденды по годам'!U952-1,""),"")</f>
        <v>-5.6147246153036567E-3</v>
      </c>
      <c r="S952">
        <f>IFERROR(IF(AND('Дивиденды по годам'!L952&lt;&gt;"",'Дивиденды по годам'!I952&lt;&gt;"",'Дивиденды по годам'!J952&lt;&gt;"",'Дивиденды по годам'!K952&lt;&gt;"",('Дивиденды по годам'!I952-'Дивиденды по годам'!J952-'Дивиденды по годам'!K952)&lt;&gt;0),'Дивиденды по годам'!L952/('Дивиденды по годам'!I952-'Дивиденды по годам'!J952-'Дивиденды по годам'!K952),""),"")</f>
        <v>-0.16188268853628099</v>
      </c>
      <c r="T952">
        <f>IFERROR(IF(AND('Дивиденды по годам'!Q952&lt;&gt;"",'Дивиденды по годам'!I952&lt;&gt;"",'Дивиденды по годам'!V952&lt;&gt;"",('Дивиденды по годам'!I952+'Дивиденды по годам'!V952)&lt;&gt;0),'Дивиденды по годам'!Q952/(('Дивиденды по годам'!I952+'Дивиденды по годам'!V952)/2),""),"")</f>
        <v>-3.0158652193133257E-2</v>
      </c>
      <c r="U952">
        <f>IFERROR(IF(AND('Дивиденды по годам'!J952&lt;&gt;"",'Дивиденды по годам'!K952&lt;&gt;"",'Дивиденды по годам'!M952&lt;&gt;"",'Дивиденды по годам'!M952&lt;&gt;0),('Дивиденды по годам'!J952+'Дивиденды по годам'!K952)/'Дивиденды по годам'!M952,""),"")</f>
        <v>9.9336780174719195</v>
      </c>
      <c r="V952" cm="1">
        <f t="array" ref="V952">IFERROR(AVERAGE(_xlfn._xlws.FILTER(P$2:P$1073,($C$2:$C$1073=$C952)*($E$2:$E$1073=$E952)*(ROW(P$2:P$1073)&lt;&gt;ROW(P952))*(P$2:P$1073&lt;&gt;""))),"")</f>
        <v>25.960815387241947</v>
      </c>
      <c r="W952" cm="1">
        <f t="array" ref="W952">IFERROR(AVERAGE(_xlfn._xlws.FILTER(Q$2:Q$1073,($C$2:$C$1073=$C952)*($E$2:$E$1073=$E952)*(ROW(Q$2:Q$1073)&lt;&gt;ROW(Q952))*(Q$2:Q$1073&lt;&gt;""))),"")</f>
        <v>0.46742227860114982</v>
      </c>
      <c r="X952" cm="1">
        <f t="array" ref="X952">IFERROR(AVERAGE(_xlfn._xlws.FILTER(R$2:R$1073,($C$2:$C$1073=$C952)*($E$2:$E$1073=$E952)*(ROW(R$2:R$1073)&lt;&gt;ROW(R952))*(R$2:R$1073&lt;&gt;""))),"")</f>
        <v>0.13418957509748067</v>
      </c>
      <c r="Y952" cm="1">
        <f t="array" ref="Y952">IFERROR(AVERAGE(_xlfn._xlws.FILTER(S$2:S$1073,($C$2:$C$1073=$C952)*($E$2:$E$1073=$E952)*(ROW(S$2:S$1073)&lt;&gt;ROW(S952))*(S$2:S$1073&lt;&gt;""))),"")</f>
        <v>-3.3599657934334979</v>
      </c>
      <c r="Z952" cm="1">
        <f t="array" ref="Z952">IFERROR(AVERAGE(_xlfn._xlws.FILTER(T$2:T$1073,($C$2:$C$1073=$C952)*($E$2:$E$1073=$E952)*(ROW(T$2:T$1073)&lt;&gt;ROW(T952))*(T$2:T$1073&lt;&gt;""))),"")</f>
        <v>0.12699490702067573</v>
      </c>
      <c r="AA952" cm="1">
        <f t="array" ref="AA952">IFERROR(AVERAGE(_xlfn._xlws.FILTER(U$2:U$1073,($C$2:$C$1073=$C952)*($E$2:$E$1073=$E952)*(ROW(U$2:U$1073)&lt;&gt;ROW(U952))*(U$2:U$1073&lt;&gt;""))),"")</f>
        <v>120.20545379856182</v>
      </c>
    </row>
    <row r="953" spans="1:27" x14ac:dyDescent="0.2">
      <c r="A953" s="7" t="s">
        <v>2323</v>
      </c>
      <c r="B953" t="str">
        <f t="shared" si="156"/>
        <v>FESH IV кв. 2018</v>
      </c>
      <c r="C953">
        <v>2018</v>
      </c>
      <c r="D953">
        <f>SUMIFS(Дивиденды!$C:$C,Дивиденды!$A:$A,A953,Дивиденды!$I:$I,C953)</f>
        <v>0</v>
      </c>
      <c r="E953">
        <v>7</v>
      </c>
      <c r="F953">
        <f t="shared" si="157"/>
        <v>0</v>
      </c>
      <c r="G953">
        <f t="shared" si="158"/>
        <v>7.1700000000000008</v>
      </c>
      <c r="H953">
        <f t="shared" si="159"/>
        <v>0</v>
      </c>
      <c r="I953">
        <f t="shared" si="166"/>
        <v>0.75</v>
      </c>
      <c r="J953">
        <f t="shared" si="160"/>
        <v>0</v>
      </c>
      <c r="K953">
        <f t="shared" si="164"/>
        <v>0.11339387124820305</v>
      </c>
      <c r="L953">
        <f t="shared" si="161"/>
        <v>0</v>
      </c>
      <c r="M953">
        <f t="shared" si="165"/>
        <v>0.5</v>
      </c>
      <c r="N953">
        <f t="shared" si="162"/>
        <v>0</v>
      </c>
      <c r="O953">
        <f t="shared" si="163"/>
        <v>0.25</v>
      </c>
      <c r="P953">
        <f>IFERROR(LN('Дивиденды по годам'!I953),"")</f>
        <v>24.831299606292028</v>
      </c>
      <c r="Q953">
        <f>IFERROR('Дивиденды по годам'!G953/'Дивиденды по годам'!I953, "")</f>
        <v>0.583688164795239</v>
      </c>
      <c r="R953">
        <f>IFERROR(IF(AND('Дивиденды по годам'!N953&lt;&gt;"",'Дивиденды по годам'!U953&lt;&gt;"",'Дивиденды по годам'!U953&lt;&gt;0),'Дивиденды по годам'!N953/'Дивиденды по годам'!U953-1,""),"")</f>
        <v>0.30281625748639884</v>
      </c>
      <c r="S953">
        <f>IFERROR(IF(AND('Дивиденды по годам'!L953&lt;&gt;"",'Дивиденды по годам'!I953&lt;&gt;"",'Дивиденды по годам'!J953&lt;&gt;"",'Дивиденды по годам'!K953&lt;&gt;"",('Дивиденды по годам'!I953-'Дивиденды по годам'!J953-'Дивиденды по годам'!K953)&lt;&gt;0),'Дивиденды по годам'!L953/('Дивиденды по годам'!I953-'Дивиденды по годам'!J953-'Дивиденды по годам'!K953),""),"")</f>
        <v>0.41309823677581864</v>
      </c>
      <c r="T953">
        <f>IFERROR(IF(AND('Дивиденды по годам'!Q953&lt;&gt;"",'Дивиденды по годам'!I953&lt;&gt;"",'Дивиденды по годам'!V953&lt;&gt;"",('Дивиденды по годам'!I953+'Дивиденды по годам'!V953)&lt;&gt;0),'Дивиденды по годам'!Q953/(('Дивиденды по годам'!I953+'Дивиденды по годам'!V953)/2),""),"")</f>
        <v>0.11363304745383505</v>
      </c>
      <c r="U953">
        <f>IFERROR(IF(AND('Дивиденды по годам'!J953&lt;&gt;"",'Дивиденды по годам'!K953&lt;&gt;"",'Дивиденды по годам'!M953&lt;&gt;"",'Дивиденды по годам'!M953&lt;&gt;0),('Дивиденды по годам'!J953+'Дивиденды по годам'!K953)/'Дивиденды по годам'!M953,""),"")</f>
        <v>18.152078085642316</v>
      </c>
      <c r="V953" cm="1">
        <f t="array" ref="V953">IFERROR(AVERAGE(_xlfn._xlws.FILTER(P$2:P$1073,($C$2:$C$1073=$C953)*($E$2:$E$1073=$E953)*(ROW(P$2:P$1073)&lt;&gt;ROW(P953))*(P$2:P$1073&lt;&gt;""))),"")</f>
        <v>25.521727013368306</v>
      </c>
      <c r="W953" cm="1">
        <f t="array" ref="W953">IFERROR(AVERAGE(_xlfn._xlws.FILTER(Q$2:Q$1073,($C$2:$C$1073=$C953)*($E$2:$E$1073=$E953)*(ROW(Q$2:Q$1073)&lt;&gt;ROW(Q953))*(Q$2:Q$1073&lt;&gt;""))),"")</f>
        <v>0.5784602116901818</v>
      </c>
      <c r="X953" cm="1">
        <f t="array" ref="X953">IFERROR(AVERAGE(_xlfn._xlws.FILTER(R$2:R$1073,($C$2:$C$1073=$C953)*($E$2:$E$1073=$E953)*(ROW(R$2:R$1073)&lt;&gt;ROW(R953))*(R$2:R$1073&lt;&gt;""))),"")</f>
        <v>0.39275008371177889</v>
      </c>
      <c r="Y953" cm="1">
        <f t="array" ref="Y953">IFERROR(AVERAGE(_xlfn._xlws.FILTER(S$2:S$1073,($C$2:$C$1073=$C953)*($E$2:$E$1073=$E953)*(ROW(S$2:S$1073)&lt;&gt;ROW(S953))*(S$2:S$1073&lt;&gt;""))),"")</f>
        <v>1.4700763607671012</v>
      </c>
      <c r="Z953" cm="1">
        <f t="array" ref="Z953">IFERROR(AVERAGE(_xlfn._xlws.FILTER(T$2:T$1073,($C$2:$C$1073=$C953)*($E$2:$E$1073=$E953)*(ROW(T$2:T$1073)&lt;&gt;ROW(T953))*(T$2:T$1073&lt;&gt;""))),"")</f>
        <v>0.11687836946039176</v>
      </c>
      <c r="AA953" cm="1">
        <f t="array" ref="AA953">IFERROR(AVERAGE(_xlfn._xlws.FILTER(U$2:U$1073,($C$2:$C$1073=$C953)*($E$2:$E$1073=$E953)*(ROW(U$2:U$1073)&lt;&gt;ROW(U953))*(U$2:U$1073&lt;&gt;""))),"")</f>
        <v>2.4420961400190477</v>
      </c>
    </row>
    <row r="954" spans="1:27" x14ac:dyDescent="0.2">
      <c r="A954" s="7" t="s">
        <v>2323</v>
      </c>
      <c r="B954" t="str">
        <f t="shared" si="156"/>
        <v>FESH IV кв. 2017</v>
      </c>
      <c r="C954">
        <v>2017</v>
      </c>
      <c r="D954">
        <f>SUMIFS(Дивиденды!$C:$C,Дивиденды!$A:$A,A954,Дивиденды!$I:$I,C954)</f>
        <v>0</v>
      </c>
      <c r="E954">
        <v>7</v>
      </c>
      <c r="F954">
        <f t="shared" si="157"/>
        <v>0</v>
      </c>
      <c r="G954">
        <f t="shared" si="158"/>
        <v>8.17</v>
      </c>
      <c r="H954">
        <f t="shared" si="159"/>
        <v>0</v>
      </c>
      <c r="I954">
        <f t="shared" si="166"/>
        <v>0.5</v>
      </c>
      <c r="J954">
        <f t="shared" si="160"/>
        <v>0</v>
      </c>
      <c r="K954">
        <f t="shared" si="164"/>
        <v>-0.14652835050548463</v>
      </c>
      <c r="L954">
        <f t="shared" si="161"/>
        <v>0</v>
      </c>
      <c r="M954">
        <f t="shared" si="165"/>
        <v>0.25</v>
      </c>
      <c r="N954">
        <f t="shared" si="162"/>
        <v>0</v>
      </c>
      <c r="O954">
        <f t="shared" si="163"/>
        <v>0.5</v>
      </c>
      <c r="P954">
        <f>IFERROR(LN('Дивиденды по годам'!I954),"")</f>
        <v>24.85899223694728</v>
      </c>
      <c r="Q954">
        <f>IFERROR('Дивиденды по годам'!G954/'Дивиденды по годам'!I954, "")</f>
        <v>0.35298632765651233</v>
      </c>
      <c r="R954">
        <f>IFERROR(IF(AND('Дивиденды по годам'!N954&lt;&gt;"",'Дивиденды по годам'!U954&lt;&gt;"",'Дивиденды по годам'!U954&lt;&gt;0),'Дивиденды по годам'!N954/'Дивиденды по годам'!U954-1,""),"")</f>
        <v>0.18165365603306238</v>
      </c>
      <c r="S954">
        <f>IFERROR(IF(AND('Дивиденды по годам'!L954&lt;&gt;"",'Дивиденды по годам'!I954&lt;&gt;"",'Дивиденды по годам'!J954&lt;&gt;"",'Дивиденды по годам'!K954&lt;&gt;"",('Дивиденды по годам'!I954-'Дивиденды по годам'!J954-'Дивиденды по годам'!K954)&lt;&gt;0),'Дивиденды по годам'!L954/('Дивиденды по годам'!I954-'Дивиденды по годам'!J954-'Дивиденды по годам'!K954),""),"")</f>
        <v>-1.7384273937856689</v>
      </c>
      <c r="T954">
        <f>IFERROR(IF(AND('Дивиденды по годам'!Q954&lt;&gt;"",'Дивиденды по годам'!I954&lt;&gt;"",'Дивиденды по годам'!V954&lt;&gt;"",('Дивиденды по годам'!I954+'Дивиденды по годам'!V954)&lt;&gt;0),'Дивиденды по годам'!Q954/(('Дивиденды по годам'!I954+'Дивиденды по годам'!V954)/2),""),"")</f>
        <v>0.22940326244063597</v>
      </c>
      <c r="U954">
        <f>IFERROR(IF(AND('Дивиденды по годам'!J954&lt;&gt;"",'Дивиденды по годам'!K954&lt;&gt;"",'Дивиденды по годам'!M954&lt;&gt;"",'Дивиденды по годам'!M954&lt;&gt;0),('Дивиденды по годам'!J954+'Дивиденды по годам'!K954)/'Дивиденды по годам'!M954,""),"")</f>
        <v>18.827203551046292</v>
      </c>
      <c r="V954" cm="1">
        <f t="array" ref="V954">IFERROR(AVERAGE(_xlfn._xlws.FILTER(P$2:P$1073,($C$2:$C$1073=$C954)*($E$2:$E$1073=$E954)*(ROW(P$2:P$1073)&lt;&gt;ROW(P954))*(P$2:P$1073&lt;&gt;""))),"")</f>
        <v>25.442546067584232</v>
      </c>
      <c r="W954" cm="1">
        <f t="array" ref="W954">IFERROR(AVERAGE(_xlfn._xlws.FILTER(Q$2:Q$1073,($C$2:$C$1073=$C954)*($E$2:$E$1073=$E954)*(ROW(Q$2:Q$1073)&lt;&gt;ROW(Q954))*(Q$2:Q$1073&lt;&gt;""))),"")</f>
        <v>0.56119695491824362</v>
      </c>
      <c r="X954" cm="1">
        <f t="array" ref="X954">IFERROR(AVERAGE(_xlfn._xlws.FILTER(R$2:R$1073,($C$2:$C$1073=$C954)*($E$2:$E$1073=$E954)*(ROW(R$2:R$1073)&lt;&gt;ROW(R954))*(R$2:R$1073&lt;&gt;""))),"")</f>
        <v>5.5448294261911696E-2</v>
      </c>
      <c r="Y954" cm="1">
        <f t="array" ref="Y954">IFERROR(AVERAGE(_xlfn._xlws.FILTER(S$2:S$1073,($C$2:$C$1073=$C954)*($E$2:$E$1073=$E954)*(ROW(S$2:S$1073)&lt;&gt;ROW(S954))*(S$2:S$1073&lt;&gt;""))),"")</f>
        <v>1.2322804192163666</v>
      </c>
      <c r="Z954" cm="1">
        <f t="array" ref="Z954">IFERROR(AVERAGE(_xlfn._xlws.FILTER(T$2:T$1073,($C$2:$C$1073=$C954)*($E$2:$E$1073=$E954)*(ROW(T$2:T$1073)&lt;&gt;ROW(T954))*(T$2:T$1073&lt;&gt;""))),"")</f>
        <v>0.14932758532401053</v>
      </c>
      <c r="AA954" cm="1">
        <f t="array" ref="AA954">IFERROR(AVERAGE(_xlfn._xlws.FILTER(U$2:U$1073,($C$2:$C$1073=$C954)*($E$2:$E$1073=$E954)*(ROW(U$2:U$1073)&lt;&gt;ROW(U954))*(U$2:U$1073&lt;&gt;""))),"")</f>
        <v>1.9156455484447492</v>
      </c>
    </row>
    <row r="955" spans="1:27" x14ac:dyDescent="0.2">
      <c r="A955" s="7" t="s">
        <v>2323</v>
      </c>
      <c r="B955" t="str">
        <f t="shared" si="156"/>
        <v>FESH IV кв. 2016</v>
      </c>
      <c r="C955">
        <v>2016</v>
      </c>
      <c r="D955">
        <f>SUMIFS(Дивиденды!$C:$C,Дивиденды!$A:$A,A955,Дивиденды!$I:$I,C955)</f>
        <v>0</v>
      </c>
      <c r="E955">
        <v>7</v>
      </c>
      <c r="F955">
        <f t="shared" si="157"/>
        <v>0</v>
      </c>
      <c r="G955">
        <f t="shared" si="158"/>
        <v>7.6504750000000001</v>
      </c>
      <c r="H955">
        <f t="shared" si="159"/>
        <v>0</v>
      </c>
      <c r="I955">
        <f t="shared" si="166"/>
        <v>0.75</v>
      </c>
      <c r="J955">
        <f t="shared" si="160"/>
        <v>0</v>
      </c>
      <c r="K955">
        <f t="shared" si="164"/>
        <v>0.41982758620689659</v>
      </c>
      <c r="L955">
        <f t="shared" si="161"/>
        <v>0</v>
      </c>
      <c r="M955">
        <f t="shared" si="165"/>
        <v>0.5</v>
      </c>
      <c r="N955">
        <f t="shared" si="162"/>
        <v>0</v>
      </c>
      <c r="O955">
        <f t="shared" si="163"/>
        <v>0.25</v>
      </c>
      <c r="P955">
        <f>IFERROR(LN('Дивиденды по годам'!I955),"")</f>
        <v>24.706622970978884</v>
      </c>
      <c r="Q955">
        <f>IFERROR('Дивиденды по годам'!G955/'Дивиденды по годам'!I955, "")</f>
        <v>0.37655734957260184</v>
      </c>
      <c r="R955">
        <f>IFERROR(IF(AND('Дивиденды по годам'!N955&lt;&gt;"",'Дивиденды по годам'!U955&lt;&gt;"",'Дивиденды по годам'!U955&lt;&gt;0),'Дивиденды по годам'!N955/'Дивиденды по годам'!U955-1,""),"")</f>
        <v>-0.12147841659911363</v>
      </c>
      <c r="S955">
        <f>IFERROR(IF(AND('Дивиденды по годам'!L955&lt;&gt;"",'Дивиденды по годам'!I955&lt;&gt;"",'Дивиденды по годам'!J955&lt;&gt;"",'Дивиденды по годам'!K955&lt;&gt;"",('Дивиденды по годам'!I955-'Дивиденды по годам'!J955-'Дивиденды по годам'!K955)&lt;&gt;0),'Дивиденды по годам'!L955/('Дивиденды по годам'!I955-'Дивиденды по годам'!J955-'Дивиденды по годам'!K955),""),"")</f>
        <v>1.5373258128732581</v>
      </c>
      <c r="T955">
        <f>IFERROR(IF(AND('Дивиденды по годам'!Q955&lt;&gt;"",'Дивиденды по годам'!I955&lt;&gt;"",'Дивиденды по годам'!V955&lt;&gt;"",('Дивиденды по годам'!I955+'Дивиденды по годам'!V955)&lt;&gt;0),'Дивиденды по годам'!Q955/(('Дивиденды по годам'!I955+'Дивиденды по годам'!V955)/2),""),"")</f>
        <v>2.0911934347731427E-2</v>
      </c>
      <c r="U955">
        <f>IFERROR(IF(AND('Дивиденды по годам'!J955&lt;&gt;"",'Дивиденды по годам'!K955&lt;&gt;"",'Дивиденды по годам'!M955&lt;&gt;"",'Дивиденды по годам'!M955&lt;&gt;0),('Дивиденды по годам'!J955+'Дивиденды по годам'!K955)/'Дивиденды по годам'!M955,""),"")</f>
        <v>-5.4539648307896487</v>
      </c>
      <c r="V955" cm="1">
        <f t="array" ref="V955">IFERROR(AVERAGE(_xlfn._xlws.FILTER(P$2:P$1073,($C$2:$C$1073=$C955)*($E$2:$E$1073=$E955)*(ROW(P$2:P$1073)&lt;&gt;ROW(P955))*(P$2:P$1073&lt;&gt;""))),"")</f>
        <v>25.324397058359146</v>
      </c>
      <c r="W955" cm="1">
        <f t="array" ref="W955">IFERROR(AVERAGE(_xlfn._xlws.FILTER(Q$2:Q$1073,($C$2:$C$1073=$C955)*($E$2:$E$1073=$E955)*(ROW(Q$2:Q$1073)&lt;&gt;ROW(Q955))*(Q$2:Q$1073&lt;&gt;""))),"")</f>
        <v>0.60611122337302592</v>
      </c>
      <c r="X955" cm="1">
        <f t="array" ref="X955">IFERROR(AVERAGE(_xlfn._xlws.FILTER(R$2:R$1073,($C$2:$C$1073=$C955)*($E$2:$E$1073=$E955)*(ROW(R$2:R$1073)&lt;&gt;ROW(R955))*(R$2:R$1073&lt;&gt;""))),"")</f>
        <v>0.20992412241010494</v>
      </c>
      <c r="Y955" cm="1">
        <f t="array" ref="Y955">IFERROR(AVERAGE(_xlfn._xlws.FILTER(S$2:S$1073,($C$2:$C$1073=$C955)*($E$2:$E$1073=$E955)*(ROW(S$2:S$1073)&lt;&gt;ROW(S955))*(S$2:S$1073&lt;&gt;""))),"")</f>
        <v>1.2777355510616697</v>
      </c>
      <c r="Z955" cm="1">
        <f t="array" ref="Z955">IFERROR(AVERAGE(_xlfn._xlws.FILTER(T$2:T$1073,($C$2:$C$1073=$C955)*($E$2:$E$1073=$E955)*(ROW(T$2:T$1073)&lt;&gt;ROW(T955))*(T$2:T$1073&lt;&gt;""))),"")</f>
        <v>7.8756283825818646E-2</v>
      </c>
      <c r="AA955" cm="1">
        <f t="array" ref="AA955">IFERROR(AVERAGE(_xlfn._xlws.FILTER(U$2:U$1073,($C$2:$C$1073=$C955)*($E$2:$E$1073=$E955)*(ROW(U$2:U$1073)&lt;&gt;ROW(U955))*(U$2:U$1073&lt;&gt;""))),"")</f>
        <v>2.6577925852735209</v>
      </c>
    </row>
    <row r="956" spans="1:27" x14ac:dyDescent="0.2">
      <c r="A956" s="7" t="s">
        <v>2323</v>
      </c>
      <c r="B956" t="str">
        <f t="shared" si="156"/>
        <v>FESH IV кв. 2015</v>
      </c>
      <c r="C956">
        <v>2015</v>
      </c>
      <c r="D956">
        <f>SUMIFS(Дивиденды!$C:$C,Дивиденды!$A:$A,A956,Дивиденды!$I:$I,C956)</f>
        <v>0</v>
      </c>
      <c r="E956">
        <v>7</v>
      </c>
      <c r="F956">
        <f t="shared" si="157"/>
        <v>0</v>
      </c>
      <c r="G956">
        <f t="shared" si="158"/>
        <v>4.3499999999999996</v>
      </c>
      <c r="H956">
        <f t="shared" si="159"/>
        <v>0</v>
      </c>
      <c r="I956">
        <f t="shared" si="166"/>
        <v>0.25</v>
      </c>
      <c r="J956">
        <f t="shared" si="160"/>
        <v>0</v>
      </c>
      <c r="K956">
        <f t="shared" si="164"/>
        <v>0</v>
      </c>
      <c r="L956">
        <f t="shared" si="161"/>
        <v>0</v>
      </c>
      <c r="M956">
        <f t="shared" si="165"/>
        <v>0.25</v>
      </c>
      <c r="N956">
        <f t="shared" si="162"/>
        <v>0</v>
      </c>
      <c r="O956">
        <f t="shared" si="163"/>
        <v>0.25</v>
      </c>
      <c r="P956">
        <f>IFERROR(LN('Дивиденды по годам'!I956),"")</f>
        <v>24.621319398824664</v>
      </c>
      <c r="Q956">
        <f>IFERROR('Дивиденды по годам'!G956/'Дивиденды по годам'!I956, "")</f>
        <v>0.47204968944099374</v>
      </c>
      <c r="R956">
        <f>IFERROR(IF(AND('Дивиденды по годам'!N956&lt;&gt;"",'Дивиденды по годам'!U956&lt;&gt;"",'Дивиденды по годам'!U956&lt;&gt;0),'Дивиденды по годам'!N956/'Дивиденды по годам'!U956-1,""),"")</f>
        <v>-1.5118742402337904E-2</v>
      </c>
      <c r="S956">
        <f>IFERROR(IF(AND('Дивиденды по годам'!L956&lt;&gt;"",'Дивиденды по годам'!I956&lt;&gt;"",'Дивиденды по годам'!J956&lt;&gt;"",'Дивиденды по годам'!K956&lt;&gt;"",('Дивиденды по годам'!I956-'Дивиденды по годам'!J956-'Дивиденды по годам'!K956)&lt;&gt;0),'Дивиденды по годам'!L956/('Дивиденды по годам'!I956-'Дивиденды по годам'!J956-'Дивиденды по годам'!K956),""),"")</f>
        <v>0.87227414330218056</v>
      </c>
      <c r="T956">
        <f>IFERROR(IF(AND('Дивиденды по годам'!Q956&lt;&gt;"",'Дивиденды по годам'!I956&lt;&gt;"",'Дивиденды по годам'!V956&lt;&gt;"",('Дивиденды по годам'!I956+'Дивиденды по годам'!V956)&lt;&gt;0),'Дивиденды по годам'!Q956/(('Дивиденды по годам'!I956+'Дивиденды по годам'!V956)/2),""),"")</f>
        <v>-0.16714469744977037</v>
      </c>
      <c r="U956">
        <f>IFERROR(IF(AND('Дивиденды по годам'!J956&lt;&gt;"",'Дивиденды по годам'!K956&lt;&gt;"",'Дивиденды по годам'!M956&lt;&gt;"",'Дивиденды по годам'!M956&lt;&gt;0),('Дивиденды по годам'!J956+'Дивиденды по годам'!K956)/'Дивиденды по годам'!M956,""),"")</f>
        <v>-3.5077881619937692</v>
      </c>
      <c r="V956" cm="1">
        <f t="array" ref="V956">IFERROR(AVERAGE(_xlfn._xlws.FILTER(P$2:P$1073,($C$2:$C$1073=$C956)*($E$2:$E$1073=$E956)*(ROW(P$2:P$1073)&lt;&gt;ROW(P956))*(P$2:P$1073&lt;&gt;""))),"")</f>
        <v>26.60850994070147</v>
      </c>
      <c r="W956" cm="1">
        <f t="array" ref="W956">IFERROR(AVERAGE(_xlfn._xlws.FILTER(Q$2:Q$1073,($C$2:$C$1073=$C956)*($E$2:$E$1073=$E956)*(ROW(Q$2:Q$1073)&lt;&gt;ROW(Q956))*(Q$2:Q$1073&lt;&gt;""))),"")</f>
        <v>0.56780061523294523</v>
      </c>
      <c r="X956" cm="1">
        <f t="array" ref="X956">IFERROR(AVERAGE(_xlfn._xlws.FILTER(R$2:R$1073,($C$2:$C$1073=$C956)*($E$2:$E$1073=$E956)*(ROW(R$2:R$1073)&lt;&gt;ROW(R956))*(R$2:R$1073&lt;&gt;""))),"")</f>
        <v>0.35538798758522361</v>
      </c>
      <c r="Y956" t="str" cm="1">
        <f t="array" ref="Y956">IFERROR(AVERAGE(_xlfn._xlws.FILTER(S$2:S$1073,($C$2:$C$1073=$C956)*($E$2:$E$1073=$E956)*(ROW(S$2:S$1073)&lt;&gt;ROW(S956))*(S$2:S$1073&lt;&gt;""))),"")</f>
        <v/>
      </c>
      <c r="Z956" cm="1">
        <f t="array" ref="Z956">IFERROR(AVERAGE(_xlfn._xlws.FILTER(T$2:T$1073,($C$2:$C$1073=$C956)*($E$2:$E$1073=$E956)*(ROW(T$2:T$1073)&lt;&gt;ROW(T956))*(T$2:T$1073&lt;&gt;""))),"")</f>
        <v>2.1941292548727502E-2</v>
      </c>
      <c r="AA956" cm="1">
        <f t="array" ref="AA956">IFERROR(AVERAGE(_xlfn._xlws.FILTER(U$2:U$1073,($C$2:$C$1073=$C956)*($E$2:$E$1073=$E956)*(ROW(U$2:U$1073)&lt;&gt;ROW(U956))*(U$2:U$1073&lt;&gt;""))),"")</f>
        <v>-4.4005608965831291</v>
      </c>
    </row>
    <row r="957" spans="1:27" x14ac:dyDescent="0.2">
      <c r="A957" s="7" t="s">
        <v>2323</v>
      </c>
      <c r="B957" t="str">
        <f t="shared" si="156"/>
        <v>FESH IV кв. 2014</v>
      </c>
      <c r="C957">
        <v>2014</v>
      </c>
      <c r="D957">
        <f>SUMIFS(Дивиденды!$C:$C,Дивиденды!$A:$A,A957,Дивиденды!$I:$I,C957)</f>
        <v>0</v>
      </c>
      <c r="E957">
        <v>7</v>
      </c>
      <c r="F957">
        <f t="shared" si="157"/>
        <v>0</v>
      </c>
      <c r="G957">
        <f t="shared" si="158"/>
        <v>5.7500000000000002E-2</v>
      </c>
      <c r="H957">
        <f t="shared" si="159"/>
        <v>0</v>
      </c>
      <c r="I957">
        <f t="shared" si="166"/>
        <v>0.25</v>
      </c>
      <c r="J957">
        <f t="shared" si="160"/>
        <v>0</v>
      </c>
      <c r="K957">
        <f t="shared" si="164"/>
        <v>1.9572649572649574</v>
      </c>
      <c r="L957">
        <f t="shared" si="161"/>
        <v>0</v>
      </c>
      <c r="M957">
        <f t="shared" si="165"/>
        <v>0.25</v>
      </c>
      <c r="N957">
        <f t="shared" si="162"/>
        <v>0</v>
      </c>
      <c r="O957">
        <f t="shared" si="163"/>
        <v>0.25</v>
      </c>
      <c r="P957">
        <f>IFERROR(LN('Дивиденды по годам'!I957),"")</f>
        <v>25.004850396136366</v>
      </c>
      <c r="Q957">
        <f>IFERROR('Дивиденды по годам'!G957/'Дивиденды по годам'!I957, "")</f>
        <v>0.21250777416902772</v>
      </c>
      <c r="R957">
        <f>IFERROR(IF(AND('Дивиденды по годам'!N957&lt;&gt;"",'Дивиденды по годам'!U957&lt;&gt;"",'Дивиденды по годам'!U957&lt;&gt;0),'Дивиденды по годам'!N957/'Дивиденды по годам'!U957-1,""),"")</f>
        <v>0.17802373282673933</v>
      </c>
      <c r="S957">
        <f>IFERROR(IF(AND('Дивиденды по годам'!L957&lt;&gt;"",'Дивиденды по годам'!I957&lt;&gt;"",'Дивиденды по годам'!J957&lt;&gt;"",'Дивиденды по годам'!K957&lt;&gt;"",('Дивиденды по годам'!I957-'Дивиденды по годам'!J957-'Дивиденды по годам'!K957)&lt;&gt;0),'Дивиденды по годам'!L957/('Дивиденды по годам'!I957-'Дивиденды по годам'!J957-'Дивиденды по годам'!K957),""),"")</f>
        <v>164.14893617021278</v>
      </c>
      <c r="T957">
        <f>IFERROR(IF(AND('Дивиденды по годам'!Q957&lt;&gt;"",'Дивиденды по годам'!I957&lt;&gt;"",'Дивиденды по годам'!V957&lt;&gt;"",('Дивиденды по годам'!I957+'Дивиденды по годам'!V957)&lt;&gt;0),'Дивиденды по годам'!Q957/(('Дивиденды по годам'!I957+'Дивиденды по годам'!V957)/2),""),"")</f>
        <v>-8.7973005543504457E-2</v>
      </c>
      <c r="U957">
        <f>IFERROR(IF(AND('Дивиденды по годам'!J957&lt;&gt;"",'Дивиденды по годам'!K957&lt;&gt;"",'Дивиденды по годам'!M957&lt;&gt;"",'Дивиденды по годам'!M957&lt;&gt;0),('Дивиденды по годам'!J957+'Дивиденды по годам'!K957)/'Дивиденды по годам'!M957,""),"")</f>
        <v>-1540.4680851063829</v>
      </c>
      <c r="V957" cm="1">
        <f t="array" ref="V957">IFERROR(AVERAGE(_xlfn._xlws.FILTER(P$2:P$1073,($C$2:$C$1073=$C957)*($E$2:$E$1073=$E957)*(ROW(P$2:P$1073)&lt;&gt;ROW(P957))*(P$2:P$1073&lt;&gt;""))),"")</f>
        <v>25.938444706519835</v>
      </c>
      <c r="W957" cm="1">
        <f t="array" ref="W957">IFERROR(AVERAGE(_xlfn._xlws.FILTER(Q$2:Q$1073,($C$2:$C$1073=$C957)*($E$2:$E$1073=$E957)*(ROW(Q$2:Q$1073)&lt;&gt;ROW(Q957))*(Q$2:Q$1073&lt;&gt;""))),"")</f>
        <v>0.57970060468507512</v>
      </c>
      <c r="X957" cm="1">
        <f t="array" ref="X957">IFERROR(AVERAGE(_xlfn._xlws.FILTER(R$2:R$1073,($C$2:$C$1073=$C957)*($E$2:$E$1073=$E957)*(ROW(R$2:R$1073)&lt;&gt;ROW(R957))*(R$2:R$1073&lt;&gt;""))),"")</f>
        <v>0.22956532975150998</v>
      </c>
      <c r="Y957" t="str" cm="1">
        <f t="array" ref="Y957">IFERROR(AVERAGE(_xlfn._xlws.FILTER(S$2:S$1073,($C$2:$C$1073=$C957)*($E$2:$E$1073=$E957)*(ROW(S$2:S$1073)&lt;&gt;ROW(S957))*(S$2:S$1073&lt;&gt;""))),"")</f>
        <v/>
      </c>
      <c r="Z957" cm="1">
        <f t="array" ref="Z957">IFERROR(AVERAGE(_xlfn._xlws.FILTER(T$2:T$1073,($C$2:$C$1073=$C957)*($E$2:$E$1073=$E957)*(ROW(T$2:T$1073)&lt;&gt;ROW(T957))*(T$2:T$1073&lt;&gt;""))),"")</f>
        <v>-6.980902493810219E-2</v>
      </c>
      <c r="AA957" cm="1">
        <f t="array" ref="AA957">IFERROR(AVERAGE(_xlfn._xlws.FILTER(U$2:U$1073,($C$2:$C$1073=$C957)*($E$2:$E$1073=$E957)*(ROW(U$2:U$1073)&lt;&gt;ROW(U957))*(U$2:U$1073&lt;&gt;""))),"")</f>
        <v>-4.5420767399082287</v>
      </c>
    </row>
    <row r="958" spans="1:27" x14ac:dyDescent="0.2">
      <c r="A958" s="7" t="s">
        <v>2323</v>
      </c>
      <c r="B958" t="str">
        <f t="shared" si="156"/>
        <v>FESH IV кв. 2013</v>
      </c>
      <c r="C958">
        <v>2013</v>
      </c>
      <c r="D958">
        <f>SUMIFS(Дивиденды!$C:$C,Дивиденды!$A:$A,A958,Дивиденды!$I:$I,C958)</f>
        <v>0</v>
      </c>
      <c r="E958">
        <v>7</v>
      </c>
      <c r="F958">
        <f t="shared" si="157"/>
        <v>0</v>
      </c>
      <c r="G958">
        <f t="shared" si="158"/>
        <v>0.63085000000000002</v>
      </c>
      <c r="H958">
        <f t="shared" si="159"/>
        <v>0</v>
      </c>
      <c r="I958">
        <f t="shared" si="166"/>
        <v>0.5</v>
      </c>
      <c r="J958">
        <f t="shared" si="160"/>
        <v>0</v>
      </c>
      <c r="K958">
        <f t="shared" si="164"/>
        <v>0.28667445938047931</v>
      </c>
      <c r="L958">
        <f t="shared" si="161"/>
        <v>0</v>
      </c>
      <c r="M958">
        <f t="shared" si="165"/>
        <v>0.25</v>
      </c>
      <c r="N958">
        <f t="shared" si="162"/>
        <v>0</v>
      </c>
      <c r="O958">
        <f t="shared" si="163"/>
        <v>0.25</v>
      </c>
      <c r="P958">
        <f>IFERROR(LN('Дивиденды по годам'!I958),"")</f>
        <v>24.953175139805772</v>
      </c>
      <c r="Q958">
        <f>IFERROR('Дивиденды по годам'!G958/'Дивиденды по годам'!I958, "")</f>
        <v>0.42594344428111947</v>
      </c>
      <c r="R958">
        <f>IFERROR(IF(AND('Дивиденды по годам'!N958&lt;&gt;"",'Дивиденды по годам'!U958&lt;&gt;"",'Дивиденды по годам'!U958&lt;&gt;0),'Дивиденды по годам'!N958/'Дивиденды по годам'!U958-1,""),"")</f>
        <v>-2.4127461780273474E-2</v>
      </c>
      <c r="S958" t="str">
        <f>IFERROR(IF(AND('Дивиденды по годам'!L958&lt;&gt;"",'Дивиденды по годам'!I958&lt;&gt;"",'Дивиденды по годам'!J958&lt;&gt;"",'Дивиденды по годам'!K958&lt;&gt;"",('Дивиденды по годам'!I958-'Дивиденды по годам'!J958-'Дивиденды по годам'!K958)&lt;&gt;0),'Дивиденды по годам'!L958/('Дивиденды по годам'!I958-'Дивиденды по годам'!J958-'Дивиденды по годам'!K958),""),"")</f>
        <v/>
      </c>
      <c r="T958">
        <f>IFERROR(IF(AND('Дивиденды по годам'!Q958&lt;&gt;"",'Дивиденды по годам'!I958&lt;&gt;"",'Дивиденды по годам'!V958&lt;&gt;"",('Дивиденды по годам'!I958+'Дивиденды по годам'!V958)&lt;&gt;0),'Дивиденды по годам'!Q958/(('Дивиденды по годам'!I958+'Дивиденды по годам'!V958)/2),""),"")</f>
        <v>7.3276177914559978E-3</v>
      </c>
      <c r="U958">
        <f>IFERROR(IF(AND('Дивиденды по годам'!J958&lt;&gt;"",'Дивиденды по годам'!K958&lt;&gt;"",'Дивиденды по годам'!M958&lt;&gt;"",'Дивиденды по годам'!M958&lt;&gt;0),('Дивиденды по годам'!J958+'Дивиденды по годам'!K958)/'Дивиденды по годам'!M958,""),"")</f>
        <v>2.2708620935878518</v>
      </c>
      <c r="V958" cm="1">
        <f t="array" ref="V958">IFERROR(AVERAGE(_xlfn._xlws.FILTER(P$2:P$1073,($C$2:$C$1073=$C958)*($E$2:$E$1073=$E958)*(ROW(P$2:P$1073)&lt;&gt;ROW(P958))*(P$2:P$1073&lt;&gt;""))),"")</f>
        <v>25.87236458036217</v>
      </c>
      <c r="W958" cm="1">
        <f t="array" ref="W958">IFERROR(AVERAGE(_xlfn._xlws.FILTER(Q$2:Q$1073,($C$2:$C$1073=$C958)*($E$2:$E$1073=$E958)*(ROW(Q$2:Q$1073)&lt;&gt;ROW(Q958))*(Q$2:Q$1073&lt;&gt;""))),"")</f>
        <v>0.60367825439813683</v>
      </c>
      <c r="X958" cm="1">
        <f t="array" ref="X958">IFERROR(AVERAGE(_xlfn._xlws.FILTER(R$2:R$1073,($C$2:$C$1073=$C958)*($E$2:$E$1073=$E958)*(ROW(R$2:R$1073)&lt;&gt;ROW(R958))*(R$2:R$1073&lt;&gt;""))),"")</f>
        <v>3.5307417615218772E-2</v>
      </c>
      <c r="Y958" t="str" cm="1">
        <f t="array" ref="Y958">IFERROR(AVERAGE(_xlfn._xlws.FILTER(S$2:S$1073,($C$2:$C$1073=$C958)*($E$2:$E$1073=$E958)*(ROW(S$2:S$1073)&lt;&gt;ROW(S958))*(S$2:S$1073&lt;&gt;""))),"")</f>
        <v/>
      </c>
      <c r="Z958" cm="1">
        <f t="array" ref="Z958">IFERROR(AVERAGE(_xlfn._xlws.FILTER(T$2:T$1073,($C$2:$C$1073=$C958)*($E$2:$E$1073=$E958)*(ROW(T$2:T$1073)&lt;&gt;ROW(T958))*(T$2:T$1073&lt;&gt;""))),"")</f>
        <v>4.3332784263297921E-3</v>
      </c>
      <c r="AA958" cm="1">
        <f t="array" ref="AA958">IFERROR(AVERAGE(_xlfn._xlws.FILTER(U$2:U$1073,($C$2:$C$1073=$C958)*($E$2:$E$1073=$E958)*(ROW(U$2:U$1073)&lt;&gt;ROW(U958))*(U$2:U$1073&lt;&gt;""))),"")</f>
        <v>2.0562537353546619</v>
      </c>
    </row>
    <row r="959" spans="1:27" x14ac:dyDescent="0.2">
      <c r="A959" s="7" t="s">
        <v>2323</v>
      </c>
      <c r="B959" t="str">
        <f t="shared" si="156"/>
        <v>FESH IV кв. 2012</v>
      </c>
      <c r="C959">
        <v>2012</v>
      </c>
      <c r="D959">
        <f>SUMIFS(Дивиденды!$C:$C,Дивиденды!$A:$A,A959,Дивиденды!$I:$I,C959)</f>
        <v>0</v>
      </c>
      <c r="E959">
        <v>7</v>
      </c>
      <c r="F959">
        <f t="shared" si="157"/>
        <v>0</v>
      </c>
      <c r="G959">
        <f t="shared" si="158"/>
        <v>0.2959</v>
      </c>
      <c r="H959">
        <f t="shared" si="159"/>
        <v>0</v>
      </c>
      <c r="I959">
        <f t="shared" si="166"/>
        <v>0.5</v>
      </c>
      <c r="J959">
        <f t="shared" si="160"/>
        <v>0</v>
      </c>
      <c r="K959">
        <f t="shared" si="164"/>
        <v>-8.8715175737627869E-2</v>
      </c>
      <c r="L959">
        <f t="shared" si="161"/>
        <v>0</v>
      </c>
      <c r="M959">
        <f t="shared" si="165"/>
        <v>0.25</v>
      </c>
      <c r="N959">
        <f t="shared" si="162"/>
        <v>0</v>
      </c>
      <c r="O959">
        <f t="shared" si="163"/>
        <v>0.25</v>
      </c>
      <c r="P959">
        <f>IFERROR(LN('Дивиденды по годам'!I959),"")</f>
        <v>25.122714817312161</v>
      </c>
      <c r="Q959">
        <f>IFERROR('Дивиденды по годам'!G959/'Дивиденды по годам'!I959, "")</f>
        <v>0.37073434390585458</v>
      </c>
      <c r="R959">
        <f>IFERROR(IF(AND('Дивиденды по годам'!N959&lt;&gt;"",'Дивиденды по годам'!U959&lt;&gt;"",'Дивиденды по годам'!U959&lt;&gt;0),'Дивиденды по годам'!N959/'Дивиденды по годам'!U959-1,""),"")</f>
        <v>0.23046552002823573</v>
      </c>
      <c r="S959" t="str">
        <f>IFERROR(IF(AND('Дивиденды по годам'!L959&lt;&gt;"",'Дивиденды по годам'!I959&lt;&gt;"",'Дивиденды по годам'!J959&lt;&gt;"",'Дивиденды по годам'!K959&lt;&gt;"",('Дивиденды по годам'!I959-'Дивиденды по годам'!J959-'Дивиденды по годам'!K959)&lt;&gt;0),'Дивиденды по годам'!L959/('Дивиденды по годам'!I959-'Дивиденды по годам'!J959-'Дивиденды по годам'!K959),""),"")</f>
        <v/>
      </c>
      <c r="T959">
        <f>IFERROR(IF(AND('Дивиденды по годам'!Q959&lt;&gt;"",'Дивиденды по годам'!I959&lt;&gt;"",'Дивиденды по годам'!V959&lt;&gt;"",('Дивиденды по годам'!I959+'Дивиденды по годам'!V959)&lt;&gt;0),'Дивиденды по годам'!Q959/(('Дивиденды по годам'!I959+'Дивиденды по годам'!V959)/2),""),"")</f>
        <v>-7.1063853725455949E-3</v>
      </c>
      <c r="U959">
        <f>IFERROR(IF(AND('Дивиденды по годам'!J959&lt;&gt;"",'Дивиденды по годам'!K959&lt;&gt;"",'Дивиденды по годам'!M959&lt;&gt;"",'Дивиденды по годам'!M959&lt;&gt;0),('Дивиденды по годам'!J959+'Дивиденды по годам'!K959)/'Дивиденды по годам'!M959,""),"")</f>
        <v>0.74908684628937305</v>
      </c>
      <c r="V959" cm="1">
        <f t="array" ref="V959">IFERROR(AVERAGE(_xlfn._xlws.FILTER(P$2:P$1073,($C$2:$C$1073=$C959)*($E$2:$E$1073=$E959)*(ROW(P$2:P$1073)&lt;&gt;ROW(P959))*(P$2:P$1073&lt;&gt;""))),"")</f>
        <v>25.754808506796941</v>
      </c>
      <c r="W959" cm="1">
        <f t="array" ref="W959">IFERROR(AVERAGE(_xlfn._xlws.FILTER(Q$2:Q$1073,($C$2:$C$1073=$C959)*($E$2:$E$1073=$E959)*(ROW(Q$2:Q$1073)&lt;&gt;ROW(Q959))*(Q$2:Q$1073&lt;&gt;""))),"")</f>
        <v>0.45482389875759344</v>
      </c>
      <c r="X959" cm="1">
        <f t="array" ref="X959">IFERROR(AVERAGE(_xlfn._xlws.FILTER(R$2:R$1073,($C$2:$C$1073=$C959)*($E$2:$E$1073=$E959)*(ROW(R$2:R$1073)&lt;&gt;ROW(R959))*(R$2:R$1073&lt;&gt;""))),"")</f>
        <v>0.32011405911992452</v>
      </c>
      <c r="Y959" t="str" cm="1">
        <f t="array" ref="Y959">IFERROR(AVERAGE(_xlfn._xlws.FILTER(S$2:S$1073,($C$2:$C$1073=$C959)*($E$2:$E$1073=$E959)*(ROW(S$2:S$1073)&lt;&gt;ROW(S959))*(S$2:S$1073&lt;&gt;""))),"")</f>
        <v/>
      </c>
      <c r="Z959" cm="1">
        <f t="array" ref="Z959">IFERROR(AVERAGE(_xlfn._xlws.FILTER(T$2:T$1073,($C$2:$C$1073=$C959)*($E$2:$E$1073=$E959)*(ROW(T$2:T$1073)&lt;&gt;ROW(T959))*(T$2:T$1073&lt;&gt;""))),"")</f>
        <v>5.6773220932626274E-2</v>
      </c>
      <c r="AA959" cm="1">
        <f t="array" ref="AA959">IFERROR(AVERAGE(_xlfn._xlws.FILTER(U$2:U$1073,($C$2:$C$1073=$C959)*($E$2:$E$1073=$E959)*(ROW(U$2:U$1073)&lt;&gt;ROW(U959))*(U$2:U$1073&lt;&gt;""))),"")</f>
        <v>2.4188843093866614</v>
      </c>
    </row>
    <row r="960" spans="1:27" x14ac:dyDescent="0.2">
      <c r="A960" s="7" t="s">
        <v>2323</v>
      </c>
      <c r="B960" t="str">
        <f t="shared" si="156"/>
        <v>FESH IV кв. 2011</v>
      </c>
      <c r="C960">
        <v>2011</v>
      </c>
      <c r="D960">
        <f>SUMIFS(Дивиденды!$C:$C,Дивиденды!$A:$A,A960,Дивиденды!$I:$I,C960)</f>
        <v>0</v>
      </c>
      <c r="E960">
        <v>7</v>
      </c>
      <c r="F960">
        <f t="shared" si="157"/>
        <v>0</v>
      </c>
      <c r="G960">
        <f t="shared" si="158"/>
        <v>0.45837500000000003</v>
      </c>
      <c r="H960">
        <f t="shared" si="159"/>
        <v>0</v>
      </c>
      <c r="I960">
        <f t="shared" si="166"/>
        <v>0.5</v>
      </c>
      <c r="J960">
        <f t="shared" si="160"/>
        <v>0</v>
      </c>
      <c r="K960">
        <f t="shared" si="164"/>
        <v>0.17057239728759471</v>
      </c>
      <c r="L960">
        <f t="shared" si="161"/>
        <v>0</v>
      </c>
      <c r="M960">
        <f t="shared" si="165"/>
        <v>0.5</v>
      </c>
      <c r="N960">
        <f t="shared" si="162"/>
        <v>0</v>
      </c>
      <c r="O960">
        <f t="shared" si="163"/>
        <v>0</v>
      </c>
      <c r="P960">
        <f>IFERROR(LN('Дивиденды по годам'!I960),"")</f>
        <v>24.951557460506834</v>
      </c>
      <c r="Q960">
        <f>IFERROR('Дивиденды по годам'!G960/'Дивиденды по годам'!I960, "")</f>
        <v>0.37985365632037199</v>
      </c>
      <c r="R960" t="str">
        <f>IFERROR(IF(AND('Дивиденды по годам'!N960&lt;&gt;"",'Дивиденды по годам'!U960&lt;&gt;"",'Дивиденды по годам'!U960&lt;&gt;0),'Дивиденды по годам'!N960/'Дивиденды по годам'!U960-1,""),"")</f>
        <v/>
      </c>
      <c r="S960" t="str">
        <f>IFERROR(IF(AND('Дивиденды по годам'!L960&lt;&gt;"",'Дивиденды по годам'!I960&lt;&gt;"",'Дивиденды по годам'!J960&lt;&gt;"",'Дивиденды по годам'!K960&lt;&gt;"",('Дивиденды по годам'!I960-'Дивиденды по годам'!J960-'Дивиденды по годам'!K960)&lt;&gt;0),'Дивиденды по годам'!L960/('Дивиденды по годам'!I960-'Дивиденды по годам'!J960-'Дивиденды по годам'!K960),""),"")</f>
        <v/>
      </c>
      <c r="T960" t="str">
        <f>IFERROR(IF(AND('Дивиденды по годам'!Q960&lt;&gt;"",'Дивиденды по годам'!I960&lt;&gt;"",'Дивиденды по годам'!V960&lt;&gt;"",('Дивиденды по годам'!I960+'Дивиденды по годам'!V960)&lt;&gt;0),'Дивиденды по годам'!Q960/(('Дивиденды по годам'!I960+'Дивиденды по годам'!V960)/2),""),"")</f>
        <v/>
      </c>
      <c r="U960">
        <f>IFERROR(IF(AND('Дивиденды по годам'!J960&lt;&gt;"",'Дивиденды по годам'!K960&lt;&gt;"",'Дивиденды по годам'!M960&lt;&gt;"",'Дивиденды по годам'!M960&lt;&gt;0),('Дивиденды по годам'!J960+'Дивиденды по годам'!K960)/'Дивиденды по годам'!M960,""),"")</f>
        <v>0.619218213010721</v>
      </c>
      <c r="V960" cm="1">
        <f t="array" ref="V960">IFERROR(AVERAGE(_xlfn._xlws.FILTER(P$2:P$1073,($C$2:$C$1073=$C960)*($E$2:$E$1073=$E960)*(ROW(P$2:P$1073)&lt;&gt;ROW(P960))*(P$2:P$1073&lt;&gt;""))),"")</f>
        <v>25.613380993483297</v>
      </c>
      <c r="W960" cm="1">
        <f t="array" ref="W960">IFERROR(AVERAGE(_xlfn._xlws.FILTER(Q$2:Q$1073,($C$2:$C$1073=$C960)*($E$2:$E$1073=$E960)*(ROW(Q$2:Q$1073)&lt;&gt;ROW(Q960))*(Q$2:Q$1073&lt;&gt;""))),"")</f>
        <v>0.44133499288865508</v>
      </c>
      <c r="X960" cm="1">
        <f t="array" ref="X960">IFERROR(AVERAGE(_xlfn._xlws.FILTER(R$2:R$1073,($C$2:$C$1073=$C960)*($E$2:$E$1073=$E960)*(ROW(R$2:R$1073)&lt;&gt;ROW(R960))*(R$2:R$1073&lt;&gt;""))),"")</f>
        <v>0.20536191673520854</v>
      </c>
      <c r="Y960" t="str" cm="1">
        <f t="array" ref="Y960">IFERROR(AVERAGE(_xlfn._xlws.FILTER(S$2:S$1073,($C$2:$C$1073=$C960)*($E$2:$E$1073=$E960)*(ROW(S$2:S$1073)&lt;&gt;ROW(S960))*(S$2:S$1073&lt;&gt;""))),"")</f>
        <v/>
      </c>
      <c r="Z960" cm="1">
        <f t="array" ref="Z960">IFERROR(AVERAGE(_xlfn._xlws.FILTER(T$2:T$1073,($C$2:$C$1073=$C960)*($E$2:$E$1073=$E960)*(ROW(T$2:T$1073)&lt;&gt;ROW(T960))*(T$2:T$1073&lt;&gt;""))),"")</f>
        <v>9.8152461650754155E-2</v>
      </c>
      <c r="AA960" cm="1">
        <f t="array" ref="AA960">IFERROR(AVERAGE(_xlfn._xlws.FILTER(U$2:U$1073,($C$2:$C$1073=$C960)*($E$2:$E$1073=$E960)*(ROW(U$2:U$1073)&lt;&gt;ROW(U960))*(U$2:U$1073&lt;&gt;""))),"")</f>
        <v>2.8876286990478173</v>
      </c>
    </row>
    <row r="961" spans="1:27" x14ac:dyDescent="0.2">
      <c r="A961" s="7" t="s">
        <v>2323</v>
      </c>
      <c r="B961" t="str">
        <f t="shared" si="156"/>
        <v>FESH IV кв. 2010</v>
      </c>
      <c r="C961">
        <v>2010</v>
      </c>
      <c r="D961">
        <f>SUMIFS(Дивиденды!$C:$C,Дивиденды!$A:$A,A961,Дивиденды!$I:$I,C961)</f>
        <v>0</v>
      </c>
      <c r="E961">
        <v>7</v>
      </c>
      <c r="F961">
        <f t="shared" si="157"/>
        <v>0</v>
      </c>
      <c r="G961">
        <f t="shared" si="158"/>
        <v>0.27825</v>
      </c>
      <c r="H961">
        <f t="shared" si="159"/>
        <v>0</v>
      </c>
      <c r="I961">
        <f t="shared" si="166"/>
        <v>0.5</v>
      </c>
      <c r="J961" t="str">
        <f t="shared" si="160"/>
        <v/>
      </c>
      <c r="K961" t="str">
        <f t="shared" si="164"/>
        <v/>
      </c>
      <c r="L961" t="str">
        <f t="shared" si="161"/>
        <v/>
      </c>
      <c r="M961" t="str">
        <f t="shared" si="165"/>
        <v/>
      </c>
      <c r="N961" t="str">
        <f t="shared" si="162"/>
        <v/>
      </c>
      <c r="O961" t="str">
        <f t="shared" si="163"/>
        <v/>
      </c>
      <c r="P961" t="str">
        <f>IFERROR(LN('Дивиденды по годам'!I961),"")</f>
        <v/>
      </c>
      <c r="Q961" t="str">
        <f>IFERROR('Дивиденды по годам'!G961/'Дивиденды по годам'!I961, "")</f>
        <v/>
      </c>
      <c r="R961" t="str">
        <f>IFERROR(IF(AND('Дивиденды по годам'!N961&lt;&gt;"",'Дивиденды по годам'!U961&lt;&gt;"",'Дивиденды по годам'!U961&lt;&gt;0),'Дивиденды по годам'!N961/'Дивиденды по годам'!U961-1,""),"")</f>
        <v/>
      </c>
      <c r="S961" t="str">
        <f>IFERROR(IF(AND('Дивиденды по годам'!L961&lt;&gt;"",'Дивиденды по годам'!I961&lt;&gt;"",'Дивиденды по годам'!J961&lt;&gt;"",'Дивиденды по годам'!K961&lt;&gt;"",('Дивиденды по годам'!I961-'Дивиденды по годам'!J961-'Дивиденды по годам'!K961)&lt;&gt;0),'Дивиденды по годам'!L961/('Дивиденды по годам'!I961-'Дивиденды по годам'!J961-'Дивиденды по годам'!K961),""),"")</f>
        <v/>
      </c>
      <c r="T961" t="str">
        <f>IFERROR(IF(AND('Дивиденды по годам'!Q961&lt;&gt;"",'Дивиденды по годам'!I961&lt;&gt;"",'Дивиденды по годам'!V961&lt;&gt;"",('Дивиденды по годам'!I961+'Дивиденды по годам'!V961)&lt;&gt;0),'Дивиденды по годам'!Q961/(('Дивиденды по годам'!I961+'Дивиденды по годам'!V961)/2),""),"")</f>
        <v/>
      </c>
      <c r="U961" t="str">
        <f>IFERROR(IF(AND('Дивиденды по годам'!J961&lt;&gt;"",'Дивиденды по годам'!K961&lt;&gt;"",'Дивиденды по годам'!M961&lt;&gt;"",'Дивиденды по годам'!M961&lt;&gt;0),('Дивиденды по годам'!J961+'Дивиденды по годам'!K961)/'Дивиденды по годам'!M961,""),"")</f>
        <v/>
      </c>
      <c r="V961" cm="1">
        <f t="array" ref="V961">IFERROR(AVERAGE(_xlfn._xlws.FILTER(P$2:P$1073,($C$2:$C$1073=$C961)*($E$2:$E$1073=$E961)*(ROW(P$2:P$1073)&lt;&gt;ROW(P961))*(P$2:P$1073&lt;&gt;""))),"")</f>
        <v>25.646584513937189</v>
      </c>
      <c r="W961" cm="1">
        <f t="array" ref="W961">IFERROR(AVERAGE(_xlfn._xlws.FILTER(Q$2:Q$1073,($C$2:$C$1073=$C961)*($E$2:$E$1073=$E961)*(ROW(Q$2:Q$1073)&lt;&gt;ROW(Q961))*(Q$2:Q$1073&lt;&gt;""))),"")</f>
        <v>0.48343975783821996</v>
      </c>
      <c r="X961" t="str" cm="1">
        <f t="array" ref="X961">IFERROR(AVERAGE(_xlfn._xlws.FILTER(R$2:R$1073,($C$2:$C$1073=$C961)*($E$2:$E$1073=$E961)*(ROW(R$2:R$1073)&lt;&gt;ROW(R961))*(R$2:R$1073&lt;&gt;""))),"")</f>
        <v/>
      </c>
      <c r="Y961" t="str" cm="1">
        <f t="array" ref="Y961">IFERROR(AVERAGE(_xlfn._xlws.FILTER(S$2:S$1073,($C$2:$C$1073=$C961)*($E$2:$E$1073=$E961)*(ROW(S$2:S$1073)&lt;&gt;ROW(S961))*(S$2:S$1073&lt;&gt;""))),"")</f>
        <v/>
      </c>
      <c r="Z961" t="str" cm="1">
        <f t="array" ref="Z961">IFERROR(AVERAGE(_xlfn._xlws.FILTER(T$2:T$1073,($C$2:$C$1073=$C961)*($E$2:$E$1073=$E961)*(ROW(T$2:T$1073)&lt;&gt;ROW(T961))*(T$2:T$1073&lt;&gt;""))),"")</f>
        <v/>
      </c>
      <c r="AA961" cm="1">
        <f t="array" ref="AA961">IFERROR(AVERAGE(_xlfn._xlws.FILTER(U$2:U$1073,($C$2:$C$1073=$C961)*($E$2:$E$1073=$E961)*(ROW(U$2:U$1073)&lt;&gt;ROW(U961))*(U$2:U$1073&lt;&gt;""))),"")</f>
        <v>2.9188674344099064</v>
      </c>
    </row>
    <row r="962" spans="1:27" x14ac:dyDescent="0.2">
      <c r="A962" s="7" t="s">
        <v>2297</v>
      </c>
      <c r="B962" t="str">
        <f t="shared" si="156"/>
        <v>FLOT IV кв. 2025</v>
      </c>
      <c r="C962">
        <v>2025</v>
      </c>
      <c r="D962">
        <f>SUMIFS(Дивиденды!$C:$C,Дивиденды!$A:$A,A962,Дивиденды!$I:$I,C962)</f>
        <v>0</v>
      </c>
      <c r="E962">
        <v>7</v>
      </c>
      <c r="F962">
        <f t="shared" si="157"/>
        <v>0</v>
      </c>
      <c r="G962">
        <f t="shared" si="158"/>
        <v>3.8849999999999998</v>
      </c>
      <c r="H962">
        <f t="shared" si="159"/>
        <v>0</v>
      </c>
      <c r="I962">
        <f t="shared" si="166"/>
        <v>0.25</v>
      </c>
      <c r="J962">
        <f t="shared" si="160"/>
        <v>0</v>
      </c>
      <c r="K962">
        <f t="shared" si="164"/>
        <v>-0.68027638190954776</v>
      </c>
      <c r="L962">
        <f t="shared" si="161"/>
        <v>0</v>
      </c>
      <c r="M962">
        <f t="shared" si="165"/>
        <v>0</v>
      </c>
      <c r="N962">
        <f t="shared" si="162"/>
        <v>0</v>
      </c>
      <c r="O962">
        <f t="shared" si="163"/>
        <v>0.75</v>
      </c>
      <c r="P962">
        <f>IFERROR(LN('Дивиденды по годам'!I962),"")</f>
        <v>27.082017880420395</v>
      </c>
      <c r="Q962" t="str">
        <f>IFERROR('Дивиденды по годам'!G962/'Дивиденды по годам'!I962, "")</f>
        <v/>
      </c>
      <c r="R962">
        <f>IFERROR(IF(AND('Дивиденды по годам'!N962&lt;&gt;"",'Дивиденды по годам'!U962&lt;&gt;"",'Дивиденды по годам'!U962&lt;&gt;0),'Дивиденды по годам'!N962/'Дивиденды по годам'!U962-1,""),"")</f>
        <v>-0.37000558537071093</v>
      </c>
      <c r="S962" t="str">
        <f>IFERROR(IF(AND('Дивиденды по годам'!L962&lt;&gt;"",'Дивиденды по годам'!I962&lt;&gt;"",'Дивиденды по годам'!J962&lt;&gt;"",'Дивиденды по годам'!K962&lt;&gt;"",('Дивиденды по годам'!I962-'Дивиденды по годам'!J962-'Дивиденды по годам'!K962)&lt;&gt;0),'Дивиденды по годам'!L962/('Дивиденды по годам'!I962-'Дивиденды по годам'!J962-'Дивиденды по годам'!K962),""),"")</f>
        <v/>
      </c>
      <c r="T962">
        <f>IFERROR(IF(AND('Дивиденды по годам'!Q962&lt;&gt;"",'Дивиденды по годам'!I962&lt;&gt;"",'Дивиденды по годам'!V962&lt;&gt;"",('Дивиденды по годам'!I962+'Дивиденды по годам'!V962)&lt;&gt;0),'Дивиденды по годам'!Q962/(('Дивиденды по годам'!I962+'Дивиденды по годам'!V962)/2),""),"")</f>
        <v>-9.0250578769573819E-2</v>
      </c>
      <c r="U962">
        <f>IFERROR(IF(AND('Дивиденды по годам'!J962&lt;&gt;"",'Дивиденды по годам'!K962&lt;&gt;"",'Дивиденды по годам'!M962&lt;&gt;"",'Дивиденды по годам'!M962&lt;&gt;0),('Дивиденды по годам'!J962+'Дивиденды по годам'!K962)/'Дивиденды по годам'!M962,""),"")</f>
        <v>0.48847456484923102</v>
      </c>
      <c r="V962" cm="1">
        <f t="array" ref="V962">IFERROR(AVERAGE(_xlfn._xlws.FILTER(P$2:P$1073,($C$2:$C$1073=$C962)*($E$2:$E$1073=$E962)*(ROW(P$2:P$1073)&lt;&gt;ROW(P962))*(P$2:P$1073&lt;&gt;""))),"")</f>
        <v>27.750135709113035</v>
      </c>
      <c r="W962" cm="1">
        <f t="array" ref="W962">IFERROR(AVERAGE(_xlfn._xlws.FILTER(Q$2:Q$1073,($C$2:$C$1073=$C962)*($E$2:$E$1073=$E962)*(ROW(Q$2:Q$1073)&lt;&gt;ROW(Q962))*(Q$2:Q$1073&lt;&gt;""))),"")</f>
        <v>0.20332374906679898</v>
      </c>
      <c r="X962" cm="1">
        <f t="array" ref="X962">IFERROR(AVERAGE(_xlfn._xlws.FILTER(R$2:R$1073,($C$2:$C$1073=$C962)*($E$2:$E$1073=$E962)*(ROW(R$2:R$1073)&lt;&gt;ROW(R962))*(R$2:R$1073&lt;&gt;""))),"")</f>
        <v>5.3077493186738822E-2</v>
      </c>
      <c r="Y962" cm="1">
        <f t="array" ref="Y962">IFERROR(AVERAGE(_xlfn._xlws.FILTER(S$2:S$1073,($C$2:$C$1073=$C962)*($E$2:$E$1073=$E962)*(ROW(S$2:S$1073)&lt;&gt;ROW(S962))*(S$2:S$1073&lt;&gt;""))),"")</f>
        <v>-1.8248333530548653</v>
      </c>
      <c r="Z962" cm="1">
        <f t="array" ref="Z962">IFERROR(AVERAGE(_xlfn._xlws.FILTER(T$2:T$1073,($C$2:$C$1073=$C962)*($E$2:$E$1073=$E962)*(ROW(T$2:T$1073)&lt;&gt;ROW(T962))*(T$2:T$1073&lt;&gt;""))),"")</f>
        <v>9.2410642924242198E-2</v>
      </c>
      <c r="AA962" cm="1">
        <f t="array" ref="AA962">IFERROR(AVERAGE(_xlfn._xlws.FILTER(U$2:U$1073,($C$2:$C$1073=$C962)*($E$2:$E$1073=$E962)*(ROW(U$2:U$1073)&lt;&gt;ROW(U962))*(U$2:U$1073&lt;&gt;""))),"")</f>
        <v>21.216286041099671</v>
      </c>
    </row>
    <row r="963" spans="1:27" x14ac:dyDescent="0.2">
      <c r="A963" s="7" t="s">
        <v>2297</v>
      </c>
      <c r="B963" t="str">
        <f t="shared" ref="B963:B1026" si="167">A963&amp;" "&amp;
"IV"
&amp;" кв. "&amp;C963</f>
        <v>FLOT IV кв. 2024</v>
      </c>
      <c r="C963">
        <v>2024</v>
      </c>
      <c r="D963">
        <f>SUMIFS(Дивиденды!$C:$C,Дивиденды!$A:$A,A963,Дивиденды!$I:$I,C963)</f>
        <v>0</v>
      </c>
      <c r="E963">
        <v>7</v>
      </c>
      <c r="F963">
        <f t="shared" ref="F963:F1026" si="168">D963</f>
        <v>0</v>
      </c>
      <c r="G963">
        <f t="shared" ref="G963:G1026" si="169">AVERAGEIFS($D:$D,$E:$E,E963,$C:$C,C963,$A:$A,"&lt;&gt;"&amp;A963)</f>
        <v>15.487499999999999</v>
      </c>
      <c r="H963">
        <f t="shared" ref="H963:H1026" si="170">IF(D963&gt;0,1,0)</f>
        <v>0</v>
      </c>
      <c r="I963">
        <f t="shared" si="166"/>
        <v>0.75</v>
      </c>
      <c r="J963">
        <f t="shared" ref="J963:J1026" si="171">IF(A964&lt;&gt;A963,"",IF(D963=D964,0,IF(AND(D964=0,D963&lt;&gt;0), 1,(D963-D964)/D964)))</f>
        <v>-1</v>
      </c>
      <c r="K963">
        <f t="shared" si="164"/>
        <v>0.44145930405472389</v>
      </c>
      <c r="L963">
        <f t="shared" ref="L963:L1026" si="172">IF(J963&lt;&gt;"",IF(J963&gt;0,1,0),"")</f>
        <v>0</v>
      </c>
      <c r="M963">
        <f t="shared" si="165"/>
        <v>0.75</v>
      </c>
      <c r="N963">
        <f t="shared" ref="N963:N1026" si="173">IF(J963&lt;&gt;"",IF(J963&lt;0,1,0),"")</f>
        <v>1</v>
      </c>
      <c r="O963">
        <f t="shared" ref="O963:O1026" si="174">IFERROR(AVERAGEIFS($N:$N,$E:$E,E963,$C:$C,C963,$A:$A,"&lt;&gt;"&amp;A963),"")</f>
        <v>0</v>
      </c>
      <c r="P963">
        <f>IFERROR(LN('Дивиденды по годам'!I963),"")</f>
        <v>27.151354093655577</v>
      </c>
      <c r="Q963">
        <f>IFERROR('Дивиденды по годам'!G963/'Дивиденды по годам'!I963, "")</f>
        <v>0.6796545053594395</v>
      </c>
      <c r="R963">
        <f>IFERROR(IF(AND('Дивиденды по годам'!N963&lt;&gt;"",'Дивиденды по годам'!U963&lt;&gt;"",'Дивиденды по годам'!U963&lt;&gt;0),'Дивиденды по годам'!N963/'Дивиденды по годам'!U963-1,""),"")</f>
        <v>-0.12500347105250498</v>
      </c>
      <c r="S963" t="str">
        <f>IFERROR(IF(AND('Дивиденды по годам'!L963&lt;&gt;"",'Дивиденды по годам'!I963&lt;&gt;"",'Дивиденды по годам'!J963&lt;&gt;"",'Дивиденды по годам'!K963&lt;&gt;"",('Дивиденды по годам'!I963-'Дивиденды по годам'!J963-'Дивиденды по годам'!K963)&lt;&gt;0),'Дивиденды по годам'!L963/('Дивиденды по годам'!I963-'Дивиденды по годам'!J963-'Дивиденды по годам'!K963),""),"")</f>
        <v/>
      </c>
      <c r="T963">
        <f>IFERROR(IF(AND('Дивиденды по годам'!Q963&lt;&gt;"",'Дивиденды по годам'!I963&lt;&gt;"",'Дивиденды по годам'!V963&lt;&gt;"",('Дивиденды по годам'!I963+'Дивиденды по годам'!V963)&lt;&gt;0),'Дивиденды по годам'!Q963/(('Дивиденды по годам'!I963+'Дивиденды по годам'!V963)/2),""),"")</f>
        <v>6.4592366794049061E-2</v>
      </c>
      <c r="U963">
        <f>IFERROR(IF(AND('Дивиденды по годам'!J963&lt;&gt;"",'Дивиденды по годам'!K963&lt;&gt;"",'Дивиденды по годам'!M963&lt;&gt;"",'Дивиденды по годам'!M963&lt;&gt;0),('Дивиденды по годам'!J963+'Дивиденды по годам'!K963)/'Дивиденды по годам'!M963,""),"")</f>
        <v>0.33009546076358659</v>
      </c>
      <c r="V963" cm="1">
        <f t="array" ref="V963">IFERROR(AVERAGE(_xlfn._xlws.FILTER(P$2:P$1073,($C$2:$C$1073=$C963)*($E$2:$E$1073=$E963)*(ROW(P$2:P$1073)&lt;&gt;ROW(P963))*(P$2:P$1073&lt;&gt;""))),"")</f>
        <v>25.970103533711452</v>
      </c>
      <c r="W963" cm="1">
        <f t="array" ref="W963">IFERROR(AVERAGE(_xlfn._xlws.FILTER(Q$2:Q$1073,($C$2:$C$1073=$C963)*($E$2:$E$1073=$E963)*(ROW(Q$2:Q$1073)&lt;&gt;ROW(Q963))*(Q$2:Q$1073&lt;&gt;""))),"")</f>
        <v>0.44435522141048373</v>
      </c>
      <c r="X963" cm="1">
        <f t="array" ref="X963">IFERROR(AVERAGE(_xlfn._xlws.FILTER(R$2:R$1073,($C$2:$C$1073=$C963)*($E$2:$E$1073=$E963)*(ROW(R$2:R$1073)&lt;&gt;ROW(R963))*(R$2:R$1073&lt;&gt;""))),"")</f>
        <v>0.18418336917886896</v>
      </c>
      <c r="Y963" cm="1">
        <f t="array" ref="Y963">IFERROR(AVERAGE(_xlfn._xlws.FILTER(S$2:S$1073,($C$2:$C$1073=$C963)*($E$2:$E$1073=$E963)*(ROW(S$2:S$1073)&lt;&gt;ROW(S963))*(S$2:S$1073&lt;&gt;""))),"")</f>
        <v>1.3318547231247482</v>
      </c>
      <c r="Z963" cm="1">
        <f t="array" ref="Z963">IFERROR(AVERAGE(_xlfn._xlws.FILTER(T$2:T$1073,($C$2:$C$1073=$C963)*($E$2:$E$1073=$E963)*(ROW(T$2:T$1073)&lt;&gt;ROW(T963))*(T$2:T$1073&lt;&gt;""))),"")</f>
        <v>0.17475315631097599</v>
      </c>
      <c r="AA963" cm="1">
        <f t="array" ref="AA963">IFERROR(AVERAGE(_xlfn._xlws.FILTER(U$2:U$1073,($C$2:$C$1073=$C963)*($E$2:$E$1073=$E963)*(ROW(U$2:U$1073)&lt;&gt;ROW(U963))*(U$2:U$1073&lt;&gt;""))),"")</f>
        <v>-3.9659410040555576</v>
      </c>
    </row>
    <row r="964" spans="1:27" x14ac:dyDescent="0.2">
      <c r="A964" s="7" t="s">
        <v>2297</v>
      </c>
      <c r="B964" t="str">
        <f t="shared" si="167"/>
        <v>FLOT IV кв. 2023</v>
      </c>
      <c r="C964">
        <v>2023</v>
      </c>
      <c r="D964">
        <f>SUMIFS(Дивиденды!$C:$C,Дивиденды!$A:$A,A964,Дивиденды!$I:$I,C964)</f>
        <v>17.59</v>
      </c>
      <c r="E964">
        <v>7</v>
      </c>
      <c r="F964">
        <f t="shared" si="168"/>
        <v>17.59</v>
      </c>
      <c r="G964">
        <f t="shared" si="169"/>
        <v>9.3625000000000007</v>
      </c>
      <c r="H964">
        <f t="shared" si="170"/>
        <v>1</v>
      </c>
      <c r="I964">
        <f t="shared" si="166"/>
        <v>0.5</v>
      </c>
      <c r="J964">
        <f t="shared" si="171"/>
        <v>3.1002331002331003</v>
      </c>
      <c r="K964">
        <f t="shared" ref="K964:K1027" si="175">IFERROR(AVERAGEIFS($J:$J,$E:$E,E964,$C:$C,C964,$A:$A,"&lt;&gt;"&amp;A964),"")</f>
        <v>0.36784798221614229</v>
      </c>
      <c r="L964">
        <f t="shared" si="172"/>
        <v>1</v>
      </c>
      <c r="M964">
        <f t="shared" si="165"/>
        <v>0.25</v>
      </c>
      <c r="N964">
        <f t="shared" si="173"/>
        <v>0</v>
      </c>
      <c r="O964">
        <f t="shared" si="174"/>
        <v>0.25</v>
      </c>
      <c r="P964">
        <f>IFERROR(LN('Дивиденды по годам'!I964),"")</f>
        <v>27.116846567033107</v>
      </c>
      <c r="Q964">
        <f>IFERROR('Дивиденды по годам'!G964/'Дивиденды по годам'!I964, "")</f>
        <v>0.71729719730565378</v>
      </c>
      <c r="R964" t="str">
        <f>IFERROR(IF(AND('Дивиденды по годам'!N964&lt;&gt;"",'Дивиденды по годам'!U964&lt;&gt;"",'Дивиденды по годам'!U964&lt;&gt;0),'Дивиденды по годам'!N964/'Дивиденды по годам'!U964-1,""),"")</f>
        <v/>
      </c>
      <c r="S964" t="str">
        <f>IFERROR(IF(AND('Дивиденды по годам'!L964&lt;&gt;"",'Дивиденды по годам'!I964&lt;&gt;"",'Дивиденды по годам'!J964&lt;&gt;"",'Дивиденды по годам'!K964&lt;&gt;"",('Дивиденды по годам'!I964-'Дивиденды по годам'!J964-'Дивиденды по годам'!K964)&lt;&gt;0),'Дивиденды по годам'!L964/('Дивиденды по годам'!I964-'Дивиденды по годам'!J964-'Дивиденды по годам'!K964),""),"")</f>
        <v/>
      </c>
      <c r="T964" t="str">
        <f>IFERROR(IF(AND('Дивиденды по годам'!Q964&lt;&gt;"",'Дивиденды по годам'!I964&lt;&gt;"",'Дивиденды по годам'!V964&lt;&gt;"",('Дивиденды по годам'!I964+'Дивиденды по годам'!V964)&lt;&gt;0),'Дивиденды по годам'!Q964/(('Дивиденды по годам'!I964+'Дивиденды по годам'!V964)/2),""),"")</f>
        <v/>
      </c>
      <c r="U964">
        <f>IFERROR(IF(AND('Дивиденды по годам'!J964&lt;&gt;"",'Дивиденды по годам'!K964&lt;&gt;"",'Дивиденды по годам'!M964&lt;&gt;"",'Дивиденды по годам'!M964&lt;&gt;0),('Дивиденды по годам'!J964+'Дивиденды по годам'!K964)/'Дивиденды по годам'!M964,""),"")</f>
        <v>0.39760327075721608</v>
      </c>
      <c r="V964" cm="1">
        <f t="array" ref="V964">IFERROR(AVERAGE(_xlfn._xlws.FILTER(P$2:P$1073,($C$2:$C$1073=$C964)*($E$2:$E$1073=$E964)*(ROW(P$2:P$1073)&lt;&gt;ROW(P964))*(P$2:P$1073&lt;&gt;""))),"")</f>
        <v>25.83686938195093</v>
      </c>
      <c r="W964" cm="1">
        <f t="array" ref="W964">IFERROR(AVERAGE(_xlfn._xlws.FILTER(Q$2:Q$1073,($C$2:$C$1073=$C964)*($E$2:$E$1073=$E964)*(ROW(Q$2:Q$1073)&lt;&gt;ROW(Q964))*(Q$2:Q$1073&lt;&gt;""))),"")</f>
        <v>0.46027720748507278</v>
      </c>
      <c r="X964" cm="1">
        <f t="array" ref="X964">IFERROR(AVERAGE(_xlfn._xlws.FILTER(R$2:R$1073,($C$2:$C$1073=$C964)*($E$2:$E$1073=$E964)*(ROW(R$2:R$1073)&lt;&gt;ROW(R964))*(R$2:R$1073&lt;&gt;""))),"")</f>
        <v>0.40679843503349139</v>
      </c>
      <c r="Y964" cm="1">
        <f t="array" ref="Y964">IFERROR(AVERAGE(_xlfn._xlws.FILTER(S$2:S$1073,($C$2:$C$1073=$C964)*($E$2:$E$1073=$E964)*(ROW(S$2:S$1073)&lt;&gt;ROW(S964))*(S$2:S$1073&lt;&gt;""))),"")</f>
        <v>1.4326839999117074</v>
      </c>
      <c r="Z964" cm="1">
        <f t="array" ref="Z964">IFERROR(AVERAGE(_xlfn._xlws.FILTER(T$2:T$1073,($C$2:$C$1073=$C964)*($E$2:$E$1073=$E964)*(ROW(T$2:T$1073)&lt;&gt;ROW(T964))*(T$2:T$1073&lt;&gt;""))),"")</f>
        <v>0.17044080116342475</v>
      </c>
      <c r="AA964" cm="1">
        <f t="array" ref="AA964">IFERROR(AVERAGE(_xlfn._xlws.FILTER(U$2:U$1073,($C$2:$C$1073=$C964)*($E$2:$E$1073=$E964)*(ROW(U$2:U$1073)&lt;&gt;ROW(U964))*(U$2:U$1073&lt;&gt;""))),"")</f>
        <v>-2.78636327233479</v>
      </c>
    </row>
    <row r="965" spans="1:27" x14ac:dyDescent="0.2">
      <c r="A965" s="7" t="s">
        <v>2297</v>
      </c>
      <c r="B965" t="str">
        <f t="shared" si="167"/>
        <v>FLOT IV кв. 2022</v>
      </c>
      <c r="C965">
        <v>2022</v>
      </c>
      <c r="D965">
        <f>SUMIFS(Дивиденды!$C:$C,Дивиденды!$A:$A,A965,Дивиденды!$I:$I,C965)</f>
        <v>4.29</v>
      </c>
      <c r="E965">
        <v>7</v>
      </c>
      <c r="F965">
        <f t="shared" si="168"/>
        <v>4.29</v>
      </c>
      <c r="G965">
        <f t="shared" si="169"/>
        <v>3.855</v>
      </c>
      <c r="H965">
        <f t="shared" si="170"/>
        <v>1</v>
      </c>
      <c r="I965">
        <f t="shared" si="166"/>
        <v>0.5</v>
      </c>
      <c r="J965">
        <f t="shared" si="171"/>
        <v>1</v>
      </c>
      <c r="K965">
        <f t="shared" si="175"/>
        <v>0.2551072124756335</v>
      </c>
      <c r="L965">
        <f t="shared" si="172"/>
        <v>1</v>
      </c>
      <c r="M965">
        <f t="shared" si="165"/>
        <v>0.5</v>
      </c>
      <c r="N965">
        <f t="shared" si="173"/>
        <v>0</v>
      </c>
      <c r="O965">
        <f t="shared" si="174"/>
        <v>0</v>
      </c>
      <c r="P965" t="str">
        <f>IFERROR(LN('Дивиденды по годам'!I965),"")</f>
        <v/>
      </c>
      <c r="Q965" t="str">
        <f>IFERROR('Дивиденды по годам'!G965/'Дивиденды по годам'!I965, "")</f>
        <v/>
      </c>
      <c r="R965" t="str">
        <f>IFERROR(IF(AND('Дивиденды по годам'!N965&lt;&gt;"",'Дивиденды по годам'!U965&lt;&gt;"",'Дивиденды по годам'!U965&lt;&gt;0),'Дивиденды по годам'!N965/'Дивиденды по годам'!U965-1,""),"")</f>
        <v/>
      </c>
      <c r="S965" t="str">
        <f>IFERROR(IF(AND('Дивиденды по годам'!L965&lt;&gt;"",'Дивиденды по годам'!I965&lt;&gt;"",'Дивиденды по годам'!J965&lt;&gt;"",'Дивиденды по годам'!K965&lt;&gt;"",('Дивиденды по годам'!I965-'Дивиденды по годам'!J965-'Дивиденды по годам'!K965)&lt;&gt;0),'Дивиденды по годам'!L965/('Дивиденды по годам'!I965-'Дивиденды по годам'!J965-'Дивиденды по годам'!K965),""),"")</f>
        <v/>
      </c>
      <c r="T965" t="str">
        <f>IFERROR(IF(AND('Дивиденды по годам'!Q965&lt;&gt;"",'Дивиденды по годам'!I965&lt;&gt;"",'Дивиденды по годам'!V965&lt;&gt;"",('Дивиденды по годам'!I965+'Дивиденды по годам'!V965)&lt;&gt;0),'Дивиденды по годам'!Q965/(('Дивиденды по годам'!I965+'Дивиденды по годам'!V965)/2),""),"")</f>
        <v/>
      </c>
      <c r="U965" t="str">
        <f>IFERROR(IF(AND('Дивиденды по годам'!J965&lt;&gt;"",'Дивиденды по годам'!K965&lt;&gt;"",'Дивиденды по годам'!M965&lt;&gt;"",'Дивиденды по годам'!M965&lt;&gt;0),('Дивиденды по годам'!J965+'Дивиденды по годам'!K965)/'Дивиденды по годам'!M965,""),"")</f>
        <v/>
      </c>
      <c r="V965" cm="1">
        <f t="array" ref="V965">IFERROR(AVERAGE(_xlfn._xlws.FILTER(P$2:P$1073,($C$2:$C$1073=$C965)*($E$2:$E$1073=$E965)*(ROW(P$2:P$1073)&lt;&gt;ROW(P965))*(P$2:P$1073&lt;&gt;""))),"")</f>
        <v>25.647463100099642</v>
      </c>
      <c r="W965" cm="1">
        <f t="array" ref="W965">IFERROR(AVERAGE(_xlfn._xlws.FILTER(Q$2:Q$1073,($C$2:$C$1073=$C965)*($E$2:$E$1073=$E965)*(ROW(Q$2:Q$1073)&lt;&gt;ROW(Q965))*(Q$2:Q$1073&lt;&gt;""))),"")</f>
        <v>0.45433195466763265</v>
      </c>
      <c r="X965" cm="1">
        <f t="array" ref="X965">IFERROR(AVERAGE(_xlfn._xlws.FILTER(R$2:R$1073,($C$2:$C$1073=$C965)*($E$2:$E$1073=$E965)*(ROW(R$2:R$1073)&lt;&gt;ROW(R965))*(R$2:R$1073&lt;&gt;""))),"")</f>
        <v>1.6409708137384921E-2</v>
      </c>
      <c r="Y965" cm="1">
        <f t="array" ref="Y965">IFERROR(AVERAGE(_xlfn._xlws.FILTER(S$2:S$1073,($C$2:$C$1073=$C965)*($E$2:$E$1073=$E965)*(ROW(S$2:S$1073)&lt;&gt;ROW(S965))*(S$2:S$1073&lt;&gt;""))),"")</f>
        <v>1.4151471153731248</v>
      </c>
      <c r="Z965" cm="1">
        <f t="array" ref="Z965">IFERROR(AVERAGE(_xlfn._xlws.FILTER(T$2:T$1073,($C$2:$C$1073=$C965)*($E$2:$E$1073=$E965)*(ROW(T$2:T$1073)&lt;&gt;ROW(T965))*(T$2:T$1073&lt;&gt;""))),"")</f>
        <v>0.13024338598126092</v>
      </c>
      <c r="AA965" cm="1">
        <f t="array" ref="AA965">IFERROR(AVERAGE(_xlfn._xlws.FILTER(U$2:U$1073,($C$2:$C$1073=$C965)*($E$2:$E$1073=$E965)*(ROW(U$2:U$1073)&lt;&gt;ROW(U965))*(U$2:U$1073&lt;&gt;""))),"")</f>
        <v>-2.3251779355868303</v>
      </c>
    </row>
    <row r="966" spans="1:27" x14ac:dyDescent="0.2">
      <c r="A966" s="7" t="s">
        <v>2297</v>
      </c>
      <c r="B966" t="str">
        <f t="shared" si="167"/>
        <v>FLOT IV кв. 2021</v>
      </c>
      <c r="C966">
        <v>2021</v>
      </c>
      <c r="D966">
        <f>SUMIFS(Дивиденды!$C:$C,Дивиденды!$A:$A,A966,Дивиденды!$I:$I,C966)</f>
        <v>0</v>
      </c>
      <c r="E966">
        <v>7</v>
      </c>
      <c r="F966">
        <f t="shared" si="168"/>
        <v>0</v>
      </c>
      <c r="G966">
        <f t="shared" si="169"/>
        <v>2.5099999999999998</v>
      </c>
      <c r="H966">
        <f t="shared" si="170"/>
        <v>0</v>
      </c>
      <c r="I966">
        <f t="shared" si="166"/>
        <v>0.5</v>
      </c>
      <c r="J966">
        <f t="shared" si="171"/>
        <v>-1</v>
      </c>
      <c r="K966">
        <f t="shared" si="175"/>
        <v>1.8881617219313558</v>
      </c>
      <c r="L966">
        <f t="shared" si="172"/>
        <v>0</v>
      </c>
      <c r="M966">
        <f t="shared" si="165"/>
        <v>0.25</v>
      </c>
      <c r="N966">
        <f t="shared" si="173"/>
        <v>1</v>
      </c>
      <c r="O966">
        <f t="shared" si="174"/>
        <v>0.25</v>
      </c>
      <c r="P966">
        <f>IFERROR(LN('Дивиденды по годам'!I966),"")</f>
        <v>27.015431405261026</v>
      </c>
      <c r="Q966">
        <f>IFERROR('Дивиденды по годам'!G966/'Дивиденды по годам'!I966, "")</f>
        <v>0.79095422743339183</v>
      </c>
      <c r="R966">
        <f>IFERROR(IF(AND('Дивиденды по годам'!N966&lt;&gt;"",'Дивиденды по годам'!U966&lt;&gt;"",'Дивиденды по годам'!U966&lt;&gt;0),'Дивиденды по годам'!N966/'Дивиденды по годам'!U966-1,""),"")</f>
        <v>-4.8780766343595516E-2</v>
      </c>
      <c r="S966" t="str">
        <f>IFERROR(IF(AND('Дивиденды по годам'!L966&lt;&gt;"",'Дивиденды по годам'!I966&lt;&gt;"",'Дивиденды по годам'!J966&lt;&gt;"",'Дивиденды по годам'!K966&lt;&gt;"",('Дивиденды по годам'!I966-'Дивиденды по годам'!J966-'Дивиденды по годам'!K966)&lt;&gt;0),'Дивиденды по годам'!L966/('Дивиденды по годам'!I966-'Дивиденды по годам'!J966-'Дивиденды по годам'!K966),""),"")</f>
        <v/>
      </c>
      <c r="T966">
        <f>IFERROR(IF(AND('Дивиденды по годам'!Q966&lt;&gt;"",'Дивиденды по годам'!I966&lt;&gt;"",'Дивиденды по годам'!V966&lt;&gt;"",('Дивиденды по годам'!I966+'Дивиденды по годам'!V966)&lt;&gt;0),'Дивиденды по годам'!Q966/(('Дивиденды по годам'!I966+'Дивиденды по годам'!V966)/2),""),"")</f>
        <v>4.801580423172404E-3</v>
      </c>
      <c r="U966">
        <f>IFERROR(IF(AND('Дивиденды по годам'!J966&lt;&gt;"",'Дивиденды по годам'!K966&lt;&gt;"",'Дивиденды по годам'!M966&lt;&gt;"",'Дивиденды по годам'!M966&lt;&gt;0),('Дивиденды по годам'!J966+'Дивиденды по годам'!K966)/'Дивиденды по годам'!M966,""),"")</f>
        <v>0.84666009244090945</v>
      </c>
      <c r="V966" cm="1">
        <f t="array" ref="V966">IFERROR(AVERAGE(_xlfn._xlws.FILTER(P$2:P$1073,($C$2:$C$1073=$C966)*($E$2:$E$1073=$E966)*(ROW(P$2:P$1073)&lt;&gt;ROW(P966))*(P$2:P$1073&lt;&gt;""))),"")</f>
        <v>25.464874176661969</v>
      </c>
      <c r="W966" cm="1">
        <f t="array" ref="W966">IFERROR(AVERAGE(_xlfn._xlws.FILTER(Q$2:Q$1073,($C$2:$C$1073=$C966)*($E$2:$E$1073=$E966)*(ROW(Q$2:Q$1073)&lt;&gt;ROW(Q966))*(Q$2:Q$1073&lt;&gt;""))),"")</f>
        <v>0.47797600746510255</v>
      </c>
      <c r="X966" cm="1">
        <f t="array" ref="X966">IFERROR(AVERAGE(_xlfn._xlws.FILTER(R$2:R$1073,($C$2:$C$1073=$C966)*($E$2:$E$1073=$E966)*(ROW(R$2:R$1073)&lt;&gt;ROW(R966))*(R$2:R$1073&lt;&gt;""))),"")</f>
        <v>0.42986433005958374</v>
      </c>
      <c r="Y966" cm="1">
        <f t="array" ref="Y966">IFERROR(AVERAGE(_xlfn._xlws.FILTER(S$2:S$1073,($C$2:$C$1073=$C966)*($E$2:$E$1073=$E966)*(ROW(S$2:S$1073)&lt;&gt;ROW(S966))*(S$2:S$1073&lt;&gt;""))),"")</f>
        <v>1.0052315689512199</v>
      </c>
      <c r="Z966" cm="1">
        <f t="array" ref="Z966">IFERROR(AVERAGE(_xlfn._xlws.FILTER(T$2:T$1073,($C$2:$C$1073=$C966)*($E$2:$E$1073=$E966)*(ROW(T$2:T$1073)&lt;&gt;ROW(T966))*(T$2:T$1073&lt;&gt;""))),"")</f>
        <v>0.20001789137094736</v>
      </c>
      <c r="AA966" cm="1">
        <f t="array" ref="AA966">IFERROR(AVERAGE(_xlfn._xlws.FILTER(U$2:U$1073,($C$2:$C$1073=$C966)*($E$2:$E$1073=$E966)*(ROW(U$2:U$1073)&lt;&gt;ROW(U966))*(U$2:U$1073&lt;&gt;""))),"")</f>
        <v>-2.3797415414211791</v>
      </c>
    </row>
    <row r="967" spans="1:27" x14ac:dyDescent="0.2">
      <c r="A967" s="7" t="s">
        <v>2297</v>
      </c>
      <c r="B967" t="str">
        <f t="shared" si="167"/>
        <v>FLOT IV кв. 2020</v>
      </c>
      <c r="C967">
        <v>2020</v>
      </c>
      <c r="D967">
        <f>SUMIFS(Дивиденды!$C:$C,Дивиденды!$A:$A,A967,Дивиденды!$I:$I,C967)</f>
        <v>6.67</v>
      </c>
      <c r="E967">
        <v>7</v>
      </c>
      <c r="F967">
        <f t="shared" si="168"/>
        <v>6.67</v>
      </c>
      <c r="G967">
        <f t="shared" si="169"/>
        <v>4.3124999999999991</v>
      </c>
      <c r="H967">
        <f t="shared" si="170"/>
        <v>1</v>
      </c>
      <c r="I967">
        <f t="shared" si="166"/>
        <v>0.5</v>
      </c>
      <c r="J967">
        <f t="shared" si="171"/>
        <v>1</v>
      </c>
      <c r="K967">
        <f t="shared" si="175"/>
        <v>9.8201275045537273E-2</v>
      </c>
      <c r="L967">
        <f t="shared" si="172"/>
        <v>1</v>
      </c>
      <c r="M967">
        <f t="shared" si="165"/>
        <v>0.25</v>
      </c>
      <c r="N967">
        <f t="shared" si="173"/>
        <v>0</v>
      </c>
      <c r="O967">
        <f t="shared" si="174"/>
        <v>0.25</v>
      </c>
      <c r="P967">
        <f>IFERROR(LN('Дивиденды по годам'!I967),"")</f>
        <v>27.050853456686056</v>
      </c>
      <c r="Q967">
        <f>IFERROR('Дивиденды по годам'!G967/'Дивиденды по годам'!I967, "")</f>
        <v>0.79770187265104975</v>
      </c>
      <c r="R967">
        <f>IFERROR(IF(AND('Дивиденды по годам'!N967&lt;&gt;"",'Дивиденды по годам'!U967&lt;&gt;"",'Дивиденды по годам'!U967&lt;&gt;0),'Дивиденды по годам'!N967/'Дивиденды по годам'!U967-1,""),"")</f>
        <v>0.10907589834411779</v>
      </c>
      <c r="S967" t="str">
        <f>IFERROR(IF(AND('Дивиденды по годам'!L967&lt;&gt;"",'Дивиденды по годам'!I967&lt;&gt;"",'Дивиденды по годам'!J967&lt;&gt;"",'Дивиденды по годам'!K967&lt;&gt;"",('Дивиденды по годам'!I967-'Дивиденды по годам'!J967-'Дивиденды по годам'!K967)&lt;&gt;0),'Дивиденды по годам'!L967/('Дивиденды по годам'!I967-'Дивиденды по годам'!J967-'Дивиденды по годам'!K967),""),"")</f>
        <v/>
      </c>
      <c r="T967">
        <f>IFERROR(IF(AND('Дивиденды по годам'!Q967&lt;&gt;"",'Дивиденды по годам'!I967&lt;&gt;"",'Дивиденды по годам'!V967&lt;&gt;"",('Дивиденды по годам'!I967+'Дивиденды по годам'!V967)&lt;&gt;0),'Дивиденды по годам'!Q967/(('Дивиденды по годам'!I967+'Дивиденды по годам'!V967)/2),""),"")</f>
        <v>3.7305444893144614E-2</v>
      </c>
      <c r="U967">
        <f>IFERROR(IF(AND('Дивиденды по годам'!J967&lt;&gt;"",'Дивиденды по годам'!K967&lt;&gt;"",'Дивиденды по годам'!M967&lt;&gt;"",'Дивиденды по годам'!M967&lt;&gt;0),('Дивиденды по годам'!J967+'Дивиденды по годам'!K967)/'Дивиденды по годам'!M967,""),"")</f>
        <v>0.88929647371887099</v>
      </c>
      <c r="V967" cm="1">
        <f t="array" ref="V967">IFERROR(AVERAGE(_xlfn._xlws.FILTER(P$2:P$1073,($C$2:$C$1073=$C967)*($E$2:$E$1073=$E967)*(ROW(P$2:P$1073)&lt;&gt;ROW(P967))*(P$2:P$1073&lt;&gt;""))),"")</f>
        <v>25.355403288381723</v>
      </c>
      <c r="W967" cm="1">
        <f t="array" ref="W967">IFERROR(AVERAGE(_xlfn._xlws.FILTER(Q$2:Q$1073,($C$2:$C$1073=$C967)*($E$2:$E$1073=$E967)*(ROW(Q$2:Q$1073)&lt;&gt;ROW(Q967))*(Q$2:Q$1073&lt;&gt;""))),"")</f>
        <v>0.45071807446136758</v>
      </c>
      <c r="X967" cm="1">
        <f t="array" ref="X967">IFERROR(AVERAGE(_xlfn._xlws.FILTER(R$2:R$1073,($C$2:$C$1073=$C967)*($E$2:$E$1073=$E967)*(ROW(R$2:R$1073)&lt;&gt;ROW(R967))*(R$2:R$1073&lt;&gt;""))),"")</f>
        <v>-0.3072610738028933</v>
      </c>
      <c r="Y967" cm="1">
        <f t="array" ref="Y967">IFERROR(AVERAGE(_xlfn._xlws.FILTER(S$2:S$1073,($C$2:$C$1073=$C967)*($E$2:$E$1073=$E967)*(ROW(S$2:S$1073)&lt;&gt;ROW(S967))*(S$2:S$1073&lt;&gt;""))),"")</f>
        <v>1.3354518941764999</v>
      </c>
      <c r="Z967" cm="1">
        <f t="array" ref="Z967">IFERROR(AVERAGE(_xlfn._xlws.FILTER(T$2:T$1073,($C$2:$C$1073=$C967)*($E$2:$E$1073=$E967)*(ROW(T$2:T$1073)&lt;&gt;ROW(T967))*(T$2:T$1073&lt;&gt;""))),"")</f>
        <v>5.3647417919814297E-2</v>
      </c>
      <c r="AA967" cm="1">
        <f t="array" ref="AA967">IFERROR(AVERAGE(_xlfn._xlws.FILTER(U$2:U$1073,($C$2:$C$1073=$C967)*($E$2:$E$1073=$E967)*(ROW(U$2:U$1073)&lt;&gt;ROW(U967))*(U$2:U$1073&lt;&gt;""))),"")</f>
        <v>0.50305984077513688</v>
      </c>
    </row>
    <row r="968" spans="1:27" x14ac:dyDescent="0.2">
      <c r="A968" s="7" t="s">
        <v>2297</v>
      </c>
      <c r="B968" t="str">
        <f t="shared" si="167"/>
        <v>FLOT IV кв. 2019</v>
      </c>
      <c r="C968">
        <v>2019</v>
      </c>
      <c r="D968">
        <f>SUMIFS(Дивиденды!$C:$C,Дивиденды!$A:$A,A968,Дивиденды!$I:$I,C968)</f>
        <v>0</v>
      </c>
      <c r="E968">
        <v>7</v>
      </c>
      <c r="F968">
        <f t="shared" si="168"/>
        <v>0</v>
      </c>
      <c r="G968">
        <f t="shared" si="169"/>
        <v>2.1675</v>
      </c>
      <c r="H968">
        <f t="shared" si="170"/>
        <v>0</v>
      </c>
      <c r="I968">
        <f t="shared" si="166"/>
        <v>0.5</v>
      </c>
      <c r="J968">
        <f t="shared" si="171"/>
        <v>0</v>
      </c>
      <c r="K968">
        <f t="shared" si="175"/>
        <v>-0.41226903960946981</v>
      </c>
      <c r="L968">
        <f t="shared" si="172"/>
        <v>0</v>
      </c>
      <c r="M968">
        <f t="shared" si="165"/>
        <v>0.25</v>
      </c>
      <c r="N968">
        <f t="shared" si="173"/>
        <v>0</v>
      </c>
      <c r="O968">
        <f t="shared" si="174"/>
        <v>0.5</v>
      </c>
      <c r="P968">
        <f>IFERROR(LN('Дивиденды по годам'!I968),"")</f>
        <v>26.885644013860414</v>
      </c>
      <c r="Q968">
        <f>IFERROR('Дивиденды по годам'!G968/'Дивиденды по годам'!I968, "")</f>
        <v>0.83448528750235151</v>
      </c>
      <c r="R968">
        <f>IFERROR(IF(AND('Дивиденды по годам'!N968&lt;&gt;"",'Дивиденды по годам'!U968&lt;&gt;"",'Дивиденды по годам'!U968&lt;&gt;0),'Дивиденды по годам'!N968/'Дивиденды по годам'!U968-1,""),"")</f>
        <v>0.12729198316732249</v>
      </c>
      <c r="S968" t="str">
        <f>IFERROR(IF(AND('Дивиденды по годам'!L968&lt;&gt;"",'Дивиденды по годам'!I968&lt;&gt;"",'Дивиденды по годам'!J968&lt;&gt;"",'Дивиденды по годам'!K968&lt;&gt;"",('Дивиденды по годам'!I968-'Дивиденды по годам'!J968-'Дивиденды по годам'!K968)&lt;&gt;0),'Дивиденды по годам'!L968/('Дивиденды по годам'!I968-'Дивиденды по годам'!J968-'Дивиденды по годам'!K968),""),"")</f>
        <v/>
      </c>
      <c r="T968">
        <f>IFERROR(IF(AND('Дивиденды по годам'!Q968&lt;&gt;"",'Дивиденды по годам'!I968&lt;&gt;"",'Дивиденды по годам'!V968&lt;&gt;"",('Дивиденды по годам'!I968+'Дивиденды по годам'!V968)&lt;&gt;0),'Дивиденды по годам'!Q968/(('Дивиденды по годам'!I968+'Дивиденды по годам'!V968)/2),""),"")</f>
        <v>3.1571640815203895E-2</v>
      </c>
      <c r="U968">
        <f>IFERROR(IF(AND('Дивиденды по годам'!J968&lt;&gt;"",'Дивиденды по годам'!K968&lt;&gt;"",'Дивиденды по годам'!M968&lt;&gt;"",'Дивиденды по годам'!M968&lt;&gt;0),('Дивиденды по годам'!J968+'Дивиденды по годам'!K968)/'Дивиденды по годам'!M968,""),"")</f>
        <v>1.0932431009584311</v>
      </c>
      <c r="V968" cm="1">
        <f t="array" ref="V968">IFERROR(AVERAGE(_xlfn._xlws.FILTER(P$2:P$1073,($C$2:$C$1073=$C968)*($E$2:$E$1073=$E968)*(ROW(P$2:P$1073)&lt;&gt;ROW(P968))*(P$2:P$1073&lt;&gt;""))),"")</f>
        <v>25.449275893698331</v>
      </c>
      <c r="W968" cm="1">
        <f t="array" ref="W968">IFERROR(AVERAGE(_xlfn._xlws.FILTER(Q$2:Q$1073,($C$2:$C$1073=$C968)*($E$2:$E$1073=$E968)*(ROW(Q$2:Q$1073)&lt;&gt;ROW(Q968))*(Q$2:Q$1073&lt;&gt;""))),"")</f>
        <v>0.37721943472057229</v>
      </c>
      <c r="X968" cm="1">
        <f t="array" ref="X968">IFERROR(AVERAGE(_xlfn._xlws.FILTER(R$2:R$1073,($C$2:$C$1073=$C968)*($E$2:$E$1073=$E968)*(ROW(R$2:R$1073)&lt;&gt;ROW(R968))*(R$2:R$1073&lt;&gt;""))),"")</f>
        <v>0.10096289815182413</v>
      </c>
      <c r="Y968" cm="1">
        <f t="array" ref="Y968">IFERROR(AVERAGE(_xlfn._xlws.FILTER(S$2:S$1073,($C$2:$C$1073=$C968)*($E$2:$E$1073=$E968)*(ROW(S$2:S$1073)&lt;&gt;ROW(S968))*(S$2:S$1073&lt;&gt;""))),"")</f>
        <v>-2.5604450172091937</v>
      </c>
      <c r="Z968" cm="1">
        <f t="array" ref="Z968">IFERROR(AVERAGE(_xlfn._xlws.FILTER(T$2:T$1073,($C$2:$C$1073=$C968)*($E$2:$E$1073=$E968)*(ROW(T$2:T$1073)&lt;&gt;ROW(T968))*(T$2:T$1073&lt;&gt;""))),"")</f>
        <v>0.11156233376859145</v>
      </c>
      <c r="AA968" cm="1">
        <f t="array" ref="AA968">IFERROR(AVERAGE(_xlfn._xlws.FILTER(U$2:U$1073,($C$2:$C$1073=$C968)*($E$2:$E$1073=$E968)*(ROW(U$2:U$1073)&lt;&gt;ROW(U968))*(U$2:U$1073&lt;&gt;""))),"")</f>
        <v>122.4155625276902</v>
      </c>
    </row>
    <row r="969" spans="1:27" x14ac:dyDescent="0.2">
      <c r="A969" s="7" t="s">
        <v>2297</v>
      </c>
      <c r="B969" t="str">
        <f t="shared" si="167"/>
        <v>FLOT IV кв. 2018</v>
      </c>
      <c r="C969">
        <v>2018</v>
      </c>
      <c r="D969">
        <f>SUMIFS(Дивиденды!$C:$C,Дивиденды!$A:$A,A969,Дивиденды!$I:$I,C969)</f>
        <v>0</v>
      </c>
      <c r="E969">
        <v>7</v>
      </c>
      <c r="F969">
        <f t="shared" si="168"/>
        <v>0</v>
      </c>
      <c r="G969">
        <f t="shared" si="169"/>
        <v>7.1700000000000008</v>
      </c>
      <c r="H969">
        <f t="shared" si="170"/>
        <v>0</v>
      </c>
      <c r="I969">
        <f t="shared" si="166"/>
        <v>0.75</v>
      </c>
      <c r="J969">
        <f t="shared" si="171"/>
        <v>0</v>
      </c>
      <c r="K969">
        <f t="shared" si="175"/>
        <v>0.11339387124820305</v>
      </c>
      <c r="L969">
        <f t="shared" si="172"/>
        <v>0</v>
      </c>
      <c r="M969">
        <f t="shared" si="165"/>
        <v>0.5</v>
      </c>
      <c r="N969">
        <f t="shared" si="173"/>
        <v>0</v>
      </c>
      <c r="O969">
        <f t="shared" si="174"/>
        <v>0.25</v>
      </c>
      <c r="P969">
        <f>IFERROR(LN('Дивиденды по годам'!I969),"")</f>
        <v>26.830348022385721</v>
      </c>
      <c r="Q969">
        <f>IFERROR('Дивиденды по годам'!G969/'Дивиденды по годам'!I969, "")</f>
        <v>0.8632666810972347</v>
      </c>
      <c r="R969">
        <f>IFERROR(IF(AND('Дивиденды по годам'!N969&lt;&gt;"",'Дивиденды по годам'!U969&lt;&gt;"",'Дивиденды по годам'!U969&lt;&gt;0),'Дивиденды по годам'!N969/'Дивиденды по годам'!U969-1,""),"")</f>
        <v>0.14165860707554723</v>
      </c>
      <c r="S969" t="str">
        <f>IFERROR(IF(AND('Дивиденды по годам'!L969&lt;&gt;"",'Дивиденды по годам'!I969&lt;&gt;"",'Дивиденды по годам'!J969&lt;&gt;"",'Дивиденды по годам'!K969&lt;&gt;"",('Дивиденды по годам'!I969-'Дивиденды по годам'!J969-'Дивиденды по годам'!K969)&lt;&gt;0),'Дивиденды по годам'!L969/('Дивиденды по годам'!I969-'Дивиденды по годам'!J969-'Дивиденды по годам'!K969),""),"")</f>
        <v/>
      </c>
      <c r="T969">
        <f>IFERROR(IF(AND('Дивиденды по годам'!Q969&lt;&gt;"",'Дивиденды по годам'!I969&lt;&gt;"",'Дивиденды по годам'!V969&lt;&gt;"",('Дивиденды по годам'!I969+'Дивиденды по годам'!V969)&lt;&gt;0),'Дивиденды по годам'!Q969/(('Дивиденды по годам'!I969+'Дивиденды по годам'!V969)/2),""),"")</f>
        <v>-6.5281930399258125E-3</v>
      </c>
      <c r="U969">
        <f>IFERROR(IF(AND('Дивиденды по годам'!J969&lt;&gt;"",'Дивиденды по годам'!K969&lt;&gt;"",'Дивиденды по годам'!M969&lt;&gt;"",'Дивиденды по годам'!M969&lt;&gt;0),('Дивиденды по годам'!J969+'Дивиденды по годам'!K969)/'Дивиденды по годам'!M969,""),"")</f>
        <v>1.1319736375106975</v>
      </c>
      <c r="V969" cm="1">
        <f t="array" ref="V969">IFERROR(AVERAGE(_xlfn._xlws.FILTER(P$2:P$1073,($C$2:$C$1073=$C969)*($E$2:$E$1073=$E969)*(ROW(P$2:P$1073)&lt;&gt;ROW(P969))*(P$2:P$1073&lt;&gt;""))),"")</f>
        <v>25.021964909344881</v>
      </c>
      <c r="W969" cm="1">
        <f t="array" ref="W969">IFERROR(AVERAGE(_xlfn._xlws.FILTER(Q$2:Q$1073,($C$2:$C$1073=$C969)*($E$2:$E$1073=$E969)*(ROW(Q$2:Q$1073)&lt;&gt;ROW(Q969))*(Q$2:Q$1073&lt;&gt;""))),"")</f>
        <v>0.50856558261468288</v>
      </c>
      <c r="X969" cm="1">
        <f t="array" ref="X969">IFERROR(AVERAGE(_xlfn._xlws.FILTER(R$2:R$1073,($C$2:$C$1073=$C969)*($E$2:$E$1073=$E969)*(ROW(R$2:R$1073)&lt;&gt;ROW(R969))*(R$2:R$1073&lt;&gt;""))),"")</f>
        <v>0.43303949631449179</v>
      </c>
      <c r="Y969" cm="1">
        <f t="array" ref="Y969">IFERROR(AVERAGE(_xlfn._xlws.FILTER(S$2:S$1073,($C$2:$C$1073=$C969)*($E$2:$E$1073=$E969)*(ROW(S$2:S$1073)&lt;&gt;ROW(S969))*(S$2:S$1073&lt;&gt;""))),"")</f>
        <v>1.2058318297692807</v>
      </c>
      <c r="Z969" cm="1">
        <f t="array" ref="Z969">IFERROR(AVERAGE(_xlfn._xlws.FILTER(T$2:T$1073,($C$2:$C$1073=$C969)*($E$2:$E$1073=$E969)*(ROW(T$2:T$1073)&lt;&gt;ROW(T969))*(T$2:T$1073&lt;&gt;""))),"")</f>
        <v>0.14691867958383198</v>
      </c>
      <c r="AA969" cm="1">
        <f t="array" ref="AA969">IFERROR(AVERAGE(_xlfn._xlws.FILTER(U$2:U$1073,($C$2:$C$1073=$C969)*($E$2:$E$1073=$E969)*(ROW(U$2:U$1073)&lt;&gt;ROW(U969))*(U$2:U$1073&lt;&gt;""))),"")</f>
        <v>6.697122252051952</v>
      </c>
    </row>
    <row r="970" spans="1:27" x14ac:dyDescent="0.2">
      <c r="A970" s="7" t="s">
        <v>2297</v>
      </c>
      <c r="B970" t="str">
        <f t="shared" si="167"/>
        <v>FLOT IV кв. 2017</v>
      </c>
      <c r="C970">
        <v>2017</v>
      </c>
      <c r="D970">
        <f>SUMIFS(Дивиденды!$C:$C,Дивиденды!$A:$A,A970,Дивиденды!$I:$I,C970)</f>
        <v>0</v>
      </c>
      <c r="E970">
        <v>7</v>
      </c>
      <c r="F970">
        <f t="shared" si="168"/>
        <v>0</v>
      </c>
      <c r="G970">
        <f t="shared" si="169"/>
        <v>8.17</v>
      </c>
      <c r="H970">
        <f t="shared" si="170"/>
        <v>0</v>
      </c>
      <c r="I970">
        <f t="shared" si="166"/>
        <v>0.5</v>
      </c>
      <c r="J970">
        <f t="shared" si="171"/>
        <v>0</v>
      </c>
      <c r="K970">
        <f t="shared" si="175"/>
        <v>-0.14652835050548463</v>
      </c>
      <c r="L970">
        <f t="shared" si="172"/>
        <v>0</v>
      </c>
      <c r="M970">
        <f t="shared" si="165"/>
        <v>0.25</v>
      </c>
      <c r="N970">
        <f t="shared" si="173"/>
        <v>0</v>
      </c>
      <c r="O970">
        <f t="shared" si="174"/>
        <v>0.5</v>
      </c>
      <c r="P970">
        <f>IFERROR(LN('Дивиденды по годам'!I970),"")</f>
        <v>26.783365959385943</v>
      </c>
      <c r="Q970">
        <f>IFERROR('Дивиденды по годам'!G970/'Дивиденды по годам'!I970, "")</f>
        <v>0.85632704105980029</v>
      </c>
      <c r="R970">
        <f>IFERROR(IF(AND('Дивиденды по годам'!N970&lt;&gt;"",'Дивиденды по годам'!U970&lt;&gt;"",'Дивиденды по годам'!U970&lt;&gt;0),'Дивиденды по годам'!N970/'Дивиденды по годам'!U970-1,""),"")</f>
        <v>-0.10077095776939071</v>
      </c>
      <c r="S970" t="str">
        <f>IFERROR(IF(AND('Дивиденды по годам'!L970&lt;&gt;"",'Дивиденды по годам'!I970&lt;&gt;"",'Дивиденды по годам'!J970&lt;&gt;"",'Дивиденды по годам'!K970&lt;&gt;"",('Дивиденды по годам'!I970-'Дивиденды по годам'!J970-'Дивиденды по годам'!K970)&lt;&gt;0),'Дивиденды по годам'!L970/('Дивиденды по годам'!I970-'Дивиденды по годам'!J970-'Дивиденды по годам'!K970),""),"")</f>
        <v/>
      </c>
      <c r="T970">
        <f>IFERROR(IF(AND('Дивиденды по годам'!Q970&lt;&gt;"",'Дивиденды по годам'!I970&lt;&gt;"",'Дивиденды по годам'!V970&lt;&gt;"",('Дивиденды по годам'!I970+'Дивиденды по годам'!V970)&lt;&gt;0),'Дивиденды по годам'!Q970/(('Дивиденды по годам'!I970+'Дивиденды по годам'!V970)/2),""),"")</f>
        <v>-1.4504530066222371E-2</v>
      </c>
      <c r="U970">
        <f>IFERROR(IF(AND('Дивиденды по годам'!J970&lt;&gt;"",'Дивиденды по годам'!K970&lt;&gt;"",'Дивиденды по годам'!M970&lt;&gt;"",'Дивиденды по годам'!M970&lt;&gt;0),('Дивиденды по годам'!J970+'Дивиденды по годам'!K970)/'Дивиденды по годам'!M970,""),"")</f>
        <v>1.1551324690776417</v>
      </c>
      <c r="V970" cm="1">
        <f t="array" ref="V970">IFERROR(AVERAGE(_xlfn._xlws.FILTER(P$2:P$1073,($C$2:$C$1073=$C970)*($E$2:$E$1073=$E970)*(ROW(P$2:P$1073)&lt;&gt;ROW(P970))*(P$2:P$1073&lt;&gt;""))),"")</f>
        <v>24.961452636974563</v>
      </c>
      <c r="W970" cm="1">
        <f t="array" ref="W970">IFERROR(AVERAGE(_xlfn._xlws.FILTER(Q$2:Q$1073,($C$2:$C$1073=$C970)*($E$2:$E$1073=$E970)*(ROW(Q$2:Q$1073)&lt;&gt;ROW(Q970))*(Q$2:Q$1073&lt;&gt;""))),"")</f>
        <v>0.43536177656742159</v>
      </c>
      <c r="X970" cm="1">
        <f t="array" ref="X970">IFERROR(AVERAGE(_xlfn._xlws.FILTER(R$2:R$1073,($C$2:$C$1073=$C970)*($E$2:$E$1073=$E970)*(ROW(R$2:R$1073)&lt;&gt;ROW(R970))*(R$2:R$1073&lt;&gt;""))),"")</f>
        <v>0.12605444771252497</v>
      </c>
      <c r="Y970" cm="1">
        <f t="array" ref="Y970">IFERROR(AVERAGE(_xlfn._xlws.FILTER(S$2:S$1073,($C$2:$C$1073=$C970)*($E$2:$E$1073=$E970)*(ROW(S$2:S$1073)&lt;&gt;ROW(S970))*(S$2:S$1073&lt;&gt;""))),"")</f>
        <v>0.48960346596585763</v>
      </c>
      <c r="Z970" cm="1">
        <f t="array" ref="Z970">IFERROR(AVERAGE(_xlfn._xlws.FILTER(T$2:T$1073,($C$2:$C$1073=$C970)*($E$2:$E$1073=$E970)*(ROW(T$2:T$1073)&lt;&gt;ROW(T970))*(T$2:T$1073&lt;&gt;""))),"")</f>
        <v>0.21030453345072508</v>
      </c>
      <c r="AA970" cm="1">
        <f t="array" ref="AA970">IFERROR(AVERAGE(_xlfn._xlws.FILTER(U$2:U$1073,($C$2:$C$1073=$C970)*($E$2:$E$1073=$E970)*(ROW(U$2:U$1073)&lt;&gt;ROW(U970))*(U$2:U$1073&lt;&gt;""))),"")</f>
        <v>6.333663318936912</v>
      </c>
    </row>
    <row r="971" spans="1:27" x14ac:dyDescent="0.2">
      <c r="A971" s="7" t="s">
        <v>2297</v>
      </c>
      <c r="B971" t="str">
        <f t="shared" si="167"/>
        <v>FLOT IV кв. 2016</v>
      </c>
      <c r="C971">
        <v>2016</v>
      </c>
      <c r="D971">
        <f>SUMIFS(Дивиденды!$C:$C,Дивиденды!$A:$A,A971,Дивиденды!$I:$I,C971)</f>
        <v>0</v>
      </c>
      <c r="E971">
        <v>7</v>
      </c>
      <c r="F971">
        <f t="shared" si="168"/>
        <v>0</v>
      </c>
      <c r="G971">
        <f t="shared" si="169"/>
        <v>7.6504750000000001</v>
      </c>
      <c r="H971">
        <f t="shared" si="170"/>
        <v>0</v>
      </c>
      <c r="I971">
        <f t="shared" si="166"/>
        <v>0.75</v>
      </c>
      <c r="J971">
        <f t="shared" si="171"/>
        <v>0</v>
      </c>
      <c r="K971">
        <f t="shared" si="175"/>
        <v>0.41982758620689659</v>
      </c>
      <c r="L971">
        <f t="shared" si="172"/>
        <v>0</v>
      </c>
      <c r="M971">
        <f t="shared" si="165"/>
        <v>0.5</v>
      </c>
      <c r="N971">
        <f t="shared" si="173"/>
        <v>0</v>
      </c>
      <c r="O971">
        <f t="shared" si="174"/>
        <v>0.25</v>
      </c>
      <c r="P971">
        <f>IFERROR(LN('Дивиденды по годам'!I971),"")</f>
        <v>26.896895048658706</v>
      </c>
      <c r="Q971">
        <f>IFERROR('Дивиденды по годам'!G971/'Дивиденды по годам'!I971, "")</f>
        <v>0.86345001087708728</v>
      </c>
      <c r="R971">
        <f>IFERROR(IF(AND('Дивиденды по годам'!N971&lt;&gt;"",'Дивиденды по годам'!U971&lt;&gt;"",'Дивиденды по годам'!U971&lt;&gt;0),'Дивиденды по годам'!N971/'Дивиденды по годам'!U971-1,""),"")</f>
        <v>0.22545458241923488</v>
      </c>
      <c r="S971" t="str">
        <f>IFERROR(IF(AND('Дивиденды по годам'!L971&lt;&gt;"",'Дивиденды по годам'!I971&lt;&gt;"",'Дивиденды по годам'!J971&lt;&gt;"",'Дивиденды по годам'!K971&lt;&gt;"",('Дивиденды по годам'!I971-'Дивиденды по годам'!J971-'Дивиденды по годам'!K971)&lt;&gt;0),'Дивиденды по годам'!L971/('Дивиденды по годам'!I971-'Дивиденды по годам'!J971-'Дивиденды по годам'!K971),""),"")</f>
        <v/>
      </c>
      <c r="T971">
        <f>IFERROR(IF(AND('Дивиденды по годам'!Q971&lt;&gt;"",'Дивиденды по годам'!I971&lt;&gt;"",'Дивиденды по годам'!V971&lt;&gt;"",('Дивиденды по годам'!I971+'Дивиденды по годам'!V971)&lt;&gt;0),'Дивиденды по годам'!Q971/(('Дивиденды по годам'!I971+'Дивиденды по годам'!V971)/2),""),"")</f>
        <v>3.1146621949352037E-2</v>
      </c>
      <c r="U971">
        <f>IFERROR(IF(AND('Дивиденды по годам'!J971&lt;&gt;"",'Дивиденды по годам'!K971&lt;&gt;"",'Дивиденды по годам'!M971&lt;&gt;"",'Дивиденды по годам'!M971&lt;&gt;0),('Дивиденды по годам'!J971+'Дивиденды по годам'!K971)/'Дивиденды по годам'!M971,""),"")</f>
        <v>0.98574348087126662</v>
      </c>
      <c r="V971" cm="1">
        <f t="array" ref="V971">IFERROR(AVERAGE(_xlfn._xlws.FILTER(P$2:P$1073,($C$2:$C$1073=$C971)*($E$2:$E$1073=$E971)*(ROW(P$2:P$1073)&lt;&gt;ROW(P971))*(P$2:P$1073&lt;&gt;""))),"")</f>
        <v>24.776829038939191</v>
      </c>
      <c r="W971" cm="1">
        <f t="array" ref="W971">IFERROR(AVERAGE(_xlfn._xlws.FILTER(Q$2:Q$1073,($C$2:$C$1073=$C971)*($E$2:$E$1073=$E971)*(ROW(Q$2:Q$1073)&lt;&gt;ROW(Q971))*(Q$2:Q$1073&lt;&gt;""))),"")</f>
        <v>0.4843880580469046</v>
      </c>
      <c r="X971" cm="1">
        <f t="array" ref="X971">IFERROR(AVERAGE(_xlfn._xlws.FILTER(R$2:R$1073,($C$2:$C$1073=$C971)*($E$2:$E$1073=$E971)*(ROW(R$2:R$1073)&lt;&gt;ROW(R971))*(R$2:R$1073&lt;&gt;""))),"")</f>
        <v>3.6457622900930686E-2</v>
      </c>
      <c r="Y971" cm="1">
        <f t="array" ref="Y971">IFERROR(AVERAGE(_xlfn._xlws.FILTER(S$2:S$1073,($C$2:$C$1073=$C971)*($E$2:$E$1073=$E971)*(ROW(S$2:S$1073)&lt;&gt;ROW(S971))*(S$2:S$1073&lt;&gt;""))),"")</f>
        <v>1.3426331165145666</v>
      </c>
      <c r="Z971" cm="1">
        <f t="array" ref="Z971">IFERROR(AVERAGE(_xlfn._xlws.FILTER(T$2:T$1073,($C$2:$C$1073=$C971)*($E$2:$E$1073=$E971)*(ROW(T$2:T$1073)&lt;&gt;ROW(T971))*(T$2:T$1073&lt;&gt;""))),"")</f>
        <v>7.3638940025008343E-2</v>
      </c>
      <c r="AA971" cm="1">
        <f t="array" ref="AA971">IFERROR(AVERAGE(_xlfn._xlws.FILTER(U$2:U$1073,($C$2:$C$1073=$C971)*($E$2:$E$1073=$E971)*(ROW(U$2:U$1073)&lt;&gt;ROW(U971))*(U$2:U$1073&lt;&gt;""))),"")</f>
        <v>1.0478655073582923</v>
      </c>
    </row>
    <row r="972" spans="1:27" x14ac:dyDescent="0.2">
      <c r="A972" s="7" t="s">
        <v>2297</v>
      </c>
      <c r="B972" t="str">
        <f t="shared" si="167"/>
        <v>FLOT IV кв. 2015</v>
      </c>
      <c r="C972">
        <v>2015</v>
      </c>
      <c r="D972">
        <f>SUMIFS(Дивиденды!$C:$C,Дивиденды!$A:$A,A972,Дивиденды!$I:$I,C972)</f>
        <v>0</v>
      </c>
      <c r="E972">
        <v>7</v>
      </c>
      <c r="F972">
        <f t="shared" si="168"/>
        <v>0</v>
      </c>
      <c r="G972">
        <f t="shared" si="169"/>
        <v>4.3499999999999996</v>
      </c>
      <c r="H972">
        <f t="shared" si="170"/>
        <v>0</v>
      </c>
      <c r="I972">
        <f t="shared" si="166"/>
        <v>0.25</v>
      </c>
      <c r="J972">
        <f t="shared" si="171"/>
        <v>0</v>
      </c>
      <c r="K972">
        <f t="shared" si="175"/>
        <v>0</v>
      </c>
      <c r="L972">
        <f t="shared" si="172"/>
        <v>0</v>
      </c>
      <c r="M972">
        <f t="shared" si="165"/>
        <v>0.25</v>
      </c>
      <c r="N972">
        <f t="shared" si="173"/>
        <v>0</v>
      </c>
      <c r="O972">
        <f t="shared" si="174"/>
        <v>0.25</v>
      </c>
      <c r="P972">
        <f>IFERROR(LN('Дивиденды по годам'!I972),"")</f>
        <v>26.740565722186979</v>
      </c>
      <c r="Q972">
        <f>IFERROR('Дивиденды по годам'!G972/'Дивиденды по годам'!I972, "")</f>
        <v>0.804078422290608</v>
      </c>
      <c r="R972">
        <f>IFERROR(IF(AND('Дивиденды по годам'!N972&lt;&gt;"",'Дивиденды по годам'!U972&lt;&gt;"",'Дивиденды по годам'!U972&lt;&gt;0),'Дивиденды по годам'!N972/'Дивиденды по годам'!U972-1,""),"")</f>
        <v>0.41243122220660755</v>
      </c>
      <c r="S972" t="str">
        <f>IFERROR(IF(AND('Дивиденды по годам'!L972&lt;&gt;"",'Дивиденды по годам'!I972&lt;&gt;"",'Дивиденды по годам'!J972&lt;&gt;"",'Дивиденды по годам'!K972&lt;&gt;"",('Дивиденды по годам'!I972-'Дивиденды по годам'!J972-'Дивиденды по годам'!K972)&lt;&gt;0),'Дивиденды по годам'!L972/('Дивиденды по годам'!I972-'Дивиденды по годам'!J972-'Дивиденды по годам'!K972),""),"")</f>
        <v/>
      </c>
      <c r="T972">
        <f>IFERROR(IF(AND('Дивиденды по годам'!Q972&lt;&gt;"",'Дивиденды по годам'!I972&lt;&gt;"",'Дивиденды по годам'!V972&lt;&gt;"",('Дивиденды по годам'!I972+'Дивиденды по годам'!V972)&lt;&gt;0),'Дивиденды по годам'!Q972/(('Дивиденды по годам'!I972+'Дивиденды по годам'!V972)/2),""),"")</f>
        <v>6.5788028063696199E-2</v>
      </c>
      <c r="U972">
        <f>IFERROR(IF(AND('Дивиденды по годам'!J972&lt;&gt;"",'Дивиденды по годам'!K972&lt;&gt;"",'Дивиденды по годам'!M972&lt;&gt;"",'Дивиденды по годам'!M972&lt;&gt;0),('Дивиденды по годам'!J972+'Дивиденды по годам'!K972)/'Дивиденды по годам'!M972,""),"")</f>
        <v>0.92517942499542516</v>
      </c>
      <c r="V972" cm="1">
        <f t="array" ref="V972">IFERROR(AVERAGE(_xlfn._xlws.FILTER(P$2:P$1073,($C$2:$C$1073=$C972)*($E$2:$E$1073=$E972)*(ROW(P$2:P$1073)&lt;&gt;ROW(P972))*(P$2:P$1073&lt;&gt;""))),"")</f>
        <v>25.548886779020314</v>
      </c>
      <c r="W972" cm="1">
        <f t="array" ref="W972">IFERROR(AVERAGE(_xlfn._xlws.FILTER(Q$2:Q$1073,($C$2:$C$1073=$C972)*($E$2:$E$1073=$E972)*(ROW(Q$2:Q$1073)&lt;&gt;ROW(Q972))*(Q$2:Q$1073&lt;&gt;""))),"")</f>
        <v>0.40178624880813812</v>
      </c>
      <c r="X972" cm="1">
        <f t="array" ref="X972">IFERROR(AVERAGE(_xlfn._xlws.FILTER(R$2:R$1073,($C$2:$C$1073=$C972)*($E$2:$E$1073=$E972)*(ROW(R$2:R$1073)&lt;&gt;ROW(R972))*(R$2:R$1073&lt;&gt;""))),"")</f>
        <v>0.14161300528075088</v>
      </c>
      <c r="Y972" cm="1">
        <f t="array" ref="Y972">IFERROR(AVERAGE(_xlfn._xlws.FILTER(S$2:S$1073,($C$2:$C$1073=$C972)*($E$2:$E$1073=$E972)*(ROW(S$2:S$1073)&lt;&gt;ROW(S972))*(S$2:S$1073&lt;&gt;""))),"")</f>
        <v>0.87227414330218056</v>
      </c>
      <c r="Z972" cm="1">
        <f t="array" ref="Z972">IFERROR(AVERAGE(_xlfn._xlws.FILTER(T$2:T$1073,($C$2:$C$1073=$C972)*($E$2:$E$1073=$E972)*(ROW(T$2:T$1073)&lt;&gt;ROW(T972))*(T$2:T$1073&lt;&gt;""))),"")</f>
        <v>-9.4525070208005782E-2</v>
      </c>
      <c r="AA972" cm="1">
        <f t="array" ref="AA972">IFERROR(AVERAGE(_xlfn._xlws.FILTER(U$2:U$1073,($C$2:$C$1073=$C972)*($E$2:$E$1073=$E972)*(ROW(U$2:U$1073)&lt;&gt;ROW(U972))*(U$2:U$1073&lt;&gt;""))),"")</f>
        <v>-6.6170446900777264</v>
      </c>
    </row>
    <row r="973" spans="1:27" x14ac:dyDescent="0.2">
      <c r="A973" s="7" t="s">
        <v>2297</v>
      </c>
      <c r="B973" t="str">
        <f t="shared" si="167"/>
        <v>FLOT IV кв. 2014</v>
      </c>
      <c r="C973">
        <v>2014</v>
      </c>
      <c r="D973">
        <f>SUMIFS(Дивиденды!$C:$C,Дивиденды!$A:$A,A973,Дивиденды!$I:$I,C973)</f>
        <v>0</v>
      </c>
      <c r="E973">
        <v>7</v>
      </c>
      <c r="F973">
        <f t="shared" si="168"/>
        <v>0</v>
      </c>
      <c r="G973">
        <f t="shared" si="169"/>
        <v>5.7500000000000002E-2</v>
      </c>
      <c r="H973">
        <f t="shared" si="170"/>
        <v>0</v>
      </c>
      <c r="I973">
        <f t="shared" si="166"/>
        <v>0.25</v>
      </c>
      <c r="J973">
        <f t="shared" si="171"/>
        <v>0</v>
      </c>
      <c r="K973">
        <f t="shared" si="175"/>
        <v>1.9572649572649574</v>
      </c>
      <c r="L973">
        <f t="shared" si="172"/>
        <v>0</v>
      </c>
      <c r="M973">
        <f t="shared" si="165"/>
        <v>0.25</v>
      </c>
      <c r="N973">
        <f t="shared" si="173"/>
        <v>0</v>
      </c>
      <c r="O973">
        <f t="shared" si="174"/>
        <v>0.25</v>
      </c>
      <c r="P973">
        <f>IFERROR(LN('Дивиденды по годам'!I973),"")</f>
        <v>26.243022797786718</v>
      </c>
      <c r="Q973">
        <f>IFERROR('Дивиденды по годам'!G973/'Дивиденды по годам'!I973, "")</f>
        <v>0.81988132416463155</v>
      </c>
      <c r="R973">
        <f>IFERROR(IF(AND('Дивиденды по годам'!N973&lt;&gt;"",'Дивиденды по годам'!U973&lt;&gt;"",'Дивиденды по годам'!U973&lt;&gt;0),'Дивиденды по годам'!N973/'Дивиденды по годам'!U973-1,""),"")</f>
        <v>0.33644594572049691</v>
      </c>
      <c r="S973" t="str">
        <f>IFERROR(IF(AND('Дивиденды по годам'!L973&lt;&gt;"",'Дивиденды по годам'!I973&lt;&gt;"",'Дивиденды по годам'!J973&lt;&gt;"",'Дивиденды по годам'!K973&lt;&gt;"",('Дивиденды по годам'!I973-'Дивиденды по годам'!J973-'Дивиденды по годам'!K973)&lt;&gt;0),'Дивиденды по годам'!L973/('Дивиденды по годам'!I973-'Дивиденды по годам'!J973-'Дивиденды по годам'!K973),""),"")</f>
        <v/>
      </c>
      <c r="T973">
        <f>IFERROR(IF(AND('Дивиденды по годам'!Q973&lt;&gt;"",'Дивиденды по годам'!I973&lt;&gt;"",'Дивиденды по годам'!V973&lt;&gt;"",('Дивиденды по годам'!I973+'Дивиденды по годам'!V973)&lt;&gt;0),'Дивиденды по годам'!Q973/(('Дивиденды по годам'!I973+'Дивиденды по годам'!V973)/2),""),"")</f>
        <v>1.433294612642182E-2</v>
      </c>
      <c r="U973">
        <f>IFERROR(IF(AND('Дивиденды по годам'!J973&lt;&gt;"",'Дивиденды по годам'!K973&lt;&gt;"",'Дивиденды по годам'!M973&lt;&gt;"",'Дивиденды по годам'!M973&lt;&gt;0),('Дивиденды по годам'!J973+'Дивиденды по годам'!K973)/'Дивиденды по годам'!M973,""),"")</f>
        <v>1.0391939017210237</v>
      </c>
      <c r="V973" cm="1">
        <f t="array" ref="V973">IFERROR(AVERAGE(_xlfn._xlws.FILTER(P$2:P$1073,($C$2:$C$1073=$C973)*($E$2:$E$1073=$E973)*(ROW(P$2:P$1073)&lt;&gt;ROW(P973))*(P$2:P$1073&lt;&gt;""))),"")</f>
        <v>25.525720572636384</v>
      </c>
      <c r="W973" cm="1">
        <f t="array" ref="W973">IFERROR(AVERAGE(_xlfn._xlws.FILTER(Q$2:Q$1073,($C$2:$C$1073=$C973)*($E$2:$E$1073=$E973)*(ROW(Q$2:Q$1073)&lt;&gt;ROW(Q973))*(Q$2:Q$1073&lt;&gt;""))),"")</f>
        <v>0.3772427546865405</v>
      </c>
      <c r="X973" cm="1">
        <f t="array" ref="X973">IFERROR(AVERAGE(_xlfn._xlws.FILTER(R$2:R$1073,($C$2:$C$1073=$C973)*($E$2:$E$1073=$E973)*(ROW(R$2:R$1073)&lt;&gt;ROW(R973))*(R$2:R$1073&lt;&gt;""))),"")</f>
        <v>0.17675792545359079</v>
      </c>
      <c r="Y973" cm="1">
        <f t="array" ref="Y973">IFERROR(AVERAGE(_xlfn._xlws.FILTER(S$2:S$1073,($C$2:$C$1073=$C973)*($E$2:$E$1073=$E973)*(ROW(S$2:S$1073)&lt;&gt;ROW(S973))*(S$2:S$1073&lt;&gt;""))),"")</f>
        <v>164.14893617021278</v>
      </c>
      <c r="Z973" cm="1">
        <f t="array" ref="Z973">IFERROR(AVERAGE(_xlfn._xlws.FILTER(T$2:T$1073,($C$2:$C$1073=$C973)*($E$2:$E$1073=$E973)*(ROW(T$2:T$1073)&lt;&gt;ROW(T973))*(T$2:T$1073&lt;&gt;""))),"")</f>
        <v>-0.10391100882807762</v>
      </c>
      <c r="AA973" cm="1">
        <f t="array" ref="AA973">IFERROR(AVERAGE(_xlfn._xlws.FILTER(U$2:U$1073,($C$2:$C$1073=$C973)*($E$2:$E$1073=$E973)*(ROW(U$2:U$1073)&lt;&gt;ROW(U973))*(U$2:U$1073&lt;&gt;""))),"")</f>
        <v>-518.37783640927626</v>
      </c>
    </row>
    <row r="974" spans="1:27" x14ac:dyDescent="0.2">
      <c r="A974" s="7" t="s">
        <v>2297</v>
      </c>
      <c r="B974" t="str">
        <f t="shared" si="167"/>
        <v>FLOT IV кв. 2013</v>
      </c>
      <c r="C974">
        <v>2013</v>
      </c>
      <c r="D974">
        <f>SUMIFS(Дивиденды!$C:$C,Дивиденды!$A:$A,A974,Дивиденды!$I:$I,C974)</f>
        <v>0</v>
      </c>
      <c r="E974">
        <v>7</v>
      </c>
      <c r="F974">
        <f t="shared" si="168"/>
        <v>0</v>
      </c>
      <c r="G974">
        <f t="shared" si="169"/>
        <v>0.63085000000000002</v>
      </c>
      <c r="H974">
        <f t="shared" si="170"/>
        <v>0</v>
      </c>
      <c r="I974">
        <f t="shared" si="166"/>
        <v>0.5</v>
      </c>
      <c r="J974">
        <f t="shared" si="171"/>
        <v>0</v>
      </c>
      <c r="K974">
        <f t="shared" si="175"/>
        <v>0.28667445938047931</v>
      </c>
      <c r="L974">
        <f t="shared" si="172"/>
        <v>0</v>
      </c>
      <c r="M974">
        <f t="shared" si="165"/>
        <v>0.25</v>
      </c>
      <c r="N974">
        <f t="shared" si="173"/>
        <v>0</v>
      </c>
      <c r="O974">
        <f t="shared" si="174"/>
        <v>0.25</v>
      </c>
      <c r="P974">
        <f>IFERROR(LN('Дивиденды по годам'!I974),"")</f>
        <v>26.042295042391284</v>
      </c>
      <c r="Q974">
        <f>IFERROR('Дивиденды по годам'!G974/'Дивиденды по годам'!I974, "")</f>
        <v>0.85080616782092111</v>
      </c>
      <c r="R974" t="str">
        <f>IFERROR(IF(AND('Дивиденды по годам'!N974&lt;&gt;"",'Дивиденды по годам'!U974&lt;&gt;"",'Дивиденды по годам'!U974&lt;&gt;0),'Дивиденды по годам'!N974/'Дивиденды по годам'!U974-1,""),"")</f>
        <v/>
      </c>
      <c r="S974" t="str">
        <f>IFERROR(IF(AND('Дивиденды по годам'!L974&lt;&gt;"",'Дивиденды по годам'!I974&lt;&gt;"",'Дивиденды по годам'!J974&lt;&gt;"",'Дивиденды по годам'!K974&lt;&gt;"",('Дивиденды по годам'!I974-'Дивиденды по годам'!J974-'Дивиденды по годам'!K974)&lt;&gt;0),'Дивиденды по годам'!L974/('Дивиденды по годам'!I974-'Дивиденды по годам'!J974-'Дивиденды по годам'!K974),""),"")</f>
        <v/>
      </c>
      <c r="T974" t="str">
        <f>IFERROR(IF(AND('Дивиденды по годам'!Q974&lt;&gt;"",'Дивиденды по годам'!I974&lt;&gt;"",'Дивиденды по годам'!V974&lt;&gt;"",('Дивиденды по годам'!I974+'Дивиденды по годам'!V974)&lt;&gt;0),'Дивиденды по годам'!Q974/(('Дивиденды по годам'!I974+'Дивиденды по годам'!V974)/2),""),"")</f>
        <v/>
      </c>
      <c r="U974">
        <f>IFERROR(IF(AND('Дивиденды по годам'!J974&lt;&gt;"",'Дивиденды по годам'!K974&lt;&gt;"",'Дивиденды по годам'!M974&lt;&gt;"",'Дивиденды по годам'!M974&lt;&gt;0),('Дивиденды по годам'!J974+'Дивиденды по годам'!K974)/'Дивиденды по годам'!M974,""),"")</f>
        <v>1.0596183811637172</v>
      </c>
      <c r="V974" cm="1">
        <f t="array" ref="V974">IFERROR(AVERAGE(_xlfn._xlws.FILTER(P$2:P$1073,($C$2:$C$1073=$C974)*($E$2:$E$1073=$E974)*(ROW(P$2:P$1073)&lt;&gt;ROW(P974))*(P$2:P$1073&lt;&gt;""))),"")</f>
        <v>25.509324612833666</v>
      </c>
      <c r="W974" cm="1">
        <f t="array" ref="W974">IFERROR(AVERAGE(_xlfn._xlws.FILTER(Q$2:Q$1073,($C$2:$C$1073=$C974)*($E$2:$E$1073=$E974)*(ROW(Q$2:Q$1073)&lt;&gt;ROW(Q974))*(Q$2:Q$1073&lt;&gt;""))),"")</f>
        <v>0.46205734655153635</v>
      </c>
      <c r="X974" cm="1">
        <f t="array" ref="X974">IFERROR(AVERAGE(_xlfn._xlws.FILTER(R$2:R$1073,($C$2:$C$1073=$C974)*($E$2:$E$1073=$E974)*(ROW(R$2:R$1073)&lt;&gt;ROW(R974))*(R$2:R$1073&lt;&gt;""))),"")</f>
        <v>1.5495791150054691E-2</v>
      </c>
      <c r="Y974" t="str" cm="1">
        <f t="array" ref="Y974">IFERROR(AVERAGE(_xlfn._xlws.FILTER(S$2:S$1073,($C$2:$C$1073=$C974)*($E$2:$E$1073=$E974)*(ROW(S$2:S$1073)&lt;&gt;ROW(S974))*(S$2:S$1073&lt;&gt;""))),"")</f>
        <v/>
      </c>
      <c r="Z974" cm="1">
        <f t="array" ref="Z974">IFERROR(AVERAGE(_xlfn._xlws.FILTER(T$2:T$1073,($C$2:$C$1073=$C974)*($E$2:$E$1073=$E974)*(ROW(T$2:T$1073)&lt;&gt;ROW(T974))*(T$2:T$1073&lt;&gt;""))),"")</f>
        <v>5.3313915480385282E-3</v>
      </c>
      <c r="AA974" cm="1">
        <f t="array" ref="AA974">IFERROR(AVERAGE(_xlfn._xlws.FILTER(U$2:U$1073,($C$2:$C$1073=$C974)*($E$2:$E$1073=$E974)*(ROW(U$2:U$1073)&lt;&gt;ROW(U974))*(U$2:U$1073&lt;&gt;""))),"")</f>
        <v>2.4600016394960402</v>
      </c>
    </row>
    <row r="975" spans="1:27" x14ac:dyDescent="0.2">
      <c r="A975" s="7" t="s">
        <v>2297</v>
      </c>
      <c r="B975" t="str">
        <f t="shared" si="167"/>
        <v>FLOT IV кв. 2012</v>
      </c>
      <c r="C975">
        <v>2012</v>
      </c>
      <c r="D975">
        <f>SUMIFS(Дивиденды!$C:$C,Дивиденды!$A:$A,A975,Дивиденды!$I:$I,C975)</f>
        <v>0</v>
      </c>
      <c r="E975">
        <v>7</v>
      </c>
      <c r="F975">
        <f t="shared" si="168"/>
        <v>0</v>
      </c>
      <c r="G975">
        <f t="shared" si="169"/>
        <v>0.2959</v>
      </c>
      <c r="H975">
        <f t="shared" si="170"/>
        <v>0</v>
      </c>
      <c r="I975">
        <f t="shared" si="166"/>
        <v>0.5</v>
      </c>
      <c r="J975">
        <f t="shared" si="171"/>
        <v>0</v>
      </c>
      <c r="K975">
        <f t="shared" si="175"/>
        <v>-8.8715175737627869E-2</v>
      </c>
      <c r="L975">
        <f t="shared" si="172"/>
        <v>0</v>
      </c>
      <c r="M975">
        <f t="shared" si="165"/>
        <v>0.25</v>
      </c>
      <c r="N975">
        <f t="shared" si="173"/>
        <v>0</v>
      </c>
      <c r="O975">
        <f t="shared" si="174"/>
        <v>0.25</v>
      </c>
      <c r="P975" t="str">
        <f>IFERROR(LN('Дивиденды по годам'!I975),"")</f>
        <v/>
      </c>
      <c r="Q975" t="str">
        <f>IFERROR('Дивиденды по годам'!G975/'Дивиденды по годам'!I975, "")</f>
        <v/>
      </c>
      <c r="R975" t="str">
        <f>IFERROR(IF(AND('Дивиденды по годам'!N975&lt;&gt;"",'Дивиденды по годам'!U975&lt;&gt;"",'Дивиденды по годам'!U975&lt;&gt;0),'Дивиденды по годам'!N975/'Дивиденды по годам'!U975-1,""),"")</f>
        <v/>
      </c>
      <c r="S975" t="str">
        <f>IFERROR(IF(AND('Дивиденды по годам'!L975&lt;&gt;"",'Дивиденды по годам'!I975&lt;&gt;"",'Дивиденды по годам'!J975&lt;&gt;"",'Дивиденды по годам'!K975&lt;&gt;"",('Дивиденды по годам'!I975-'Дивиденды по годам'!J975-'Дивиденды по годам'!K975)&lt;&gt;0),'Дивиденды по годам'!L975/('Дивиденды по годам'!I975-'Дивиденды по годам'!J975-'Дивиденды по годам'!K975),""),"")</f>
        <v/>
      </c>
      <c r="T975" t="str">
        <f>IFERROR(IF(AND('Дивиденды по годам'!Q975&lt;&gt;"",'Дивиденды по годам'!I975&lt;&gt;"",'Дивиденды по годам'!V975&lt;&gt;"",('Дивиденды по годам'!I975+'Дивиденды по годам'!V975)&lt;&gt;0),'Дивиденды по годам'!Q975/(('Дивиденды по годам'!I975+'Дивиденды по годам'!V975)/2),""),"")</f>
        <v/>
      </c>
      <c r="U975" t="str">
        <f>IFERROR(IF(AND('Дивиденды по годам'!J975&lt;&gt;"",'Дивиденды по годам'!K975&lt;&gt;"",'Дивиденды по годам'!M975&lt;&gt;"",'Дивиденды по годам'!M975&lt;&gt;0),('Дивиденды по годам'!J975+'Дивиденды по годам'!K975)/'Дивиденды по годам'!M975,""),"")</f>
        <v/>
      </c>
      <c r="V975" cm="1">
        <f t="array" ref="V975">IFERROR(AVERAGE(_xlfn._xlws.FILTER(P$2:P$1073,($C$2:$C$1073=$C975)*($E$2:$E$1073=$E975)*(ROW(P$2:P$1073)&lt;&gt;ROW(P975))*(P$2:P$1073&lt;&gt;""))),"")</f>
        <v>25.544110610302017</v>
      </c>
      <c r="W975" cm="1">
        <f t="array" ref="W975">IFERROR(AVERAGE(_xlfn._xlws.FILTER(Q$2:Q$1073,($C$2:$C$1073=$C975)*($E$2:$E$1073=$E975)*(ROW(Q$2:Q$1073)&lt;&gt;ROW(Q975))*(Q$2:Q$1073&lt;&gt;""))),"")</f>
        <v>0.42679404714034713</v>
      </c>
      <c r="X975" cm="1">
        <f t="array" ref="X975">IFERROR(AVERAGE(_xlfn._xlws.FILTER(R$2:R$1073,($C$2:$C$1073=$C975)*($E$2:$E$1073=$E975)*(ROW(R$2:R$1073)&lt;&gt;ROW(R975))*(R$2:R$1073&lt;&gt;""))),"")</f>
        <v>0.29023121275602826</v>
      </c>
      <c r="Y975" t="str" cm="1">
        <f t="array" ref="Y975">IFERROR(AVERAGE(_xlfn._xlws.FILTER(S$2:S$1073,($C$2:$C$1073=$C975)*($E$2:$E$1073=$E975)*(ROW(S$2:S$1073)&lt;&gt;ROW(S975))*(S$2:S$1073&lt;&gt;""))),"")</f>
        <v/>
      </c>
      <c r="Z975" cm="1">
        <f t="array" ref="Z975">IFERROR(AVERAGE(_xlfn._xlws.FILTER(T$2:T$1073,($C$2:$C$1073=$C975)*($E$2:$E$1073=$E975)*(ROW(T$2:T$1073)&lt;&gt;ROW(T975))*(T$2:T$1073&lt;&gt;""))),"")</f>
        <v>3.5480018830902314E-2</v>
      </c>
      <c r="AA975" cm="1">
        <f t="array" ref="AA975">IFERROR(AVERAGE(_xlfn._xlws.FILTER(U$2:U$1073,($C$2:$C$1073=$C975)*($E$2:$E$1073=$E975)*(ROW(U$2:U$1073)&lt;&gt;ROW(U975))*(U$2:U$1073&lt;&gt;""))),"")</f>
        <v>1.8622851550208985</v>
      </c>
    </row>
    <row r="976" spans="1:27" x14ac:dyDescent="0.2">
      <c r="A976" s="7" t="s">
        <v>2297</v>
      </c>
      <c r="B976" t="str">
        <f t="shared" si="167"/>
        <v>FLOT IV кв. 2011</v>
      </c>
      <c r="C976">
        <v>2011</v>
      </c>
      <c r="D976">
        <f>SUMIFS(Дивиденды!$C:$C,Дивиденды!$A:$A,A976,Дивиденды!$I:$I,C976)</f>
        <v>0</v>
      </c>
      <c r="E976">
        <v>7</v>
      </c>
      <c r="F976">
        <f t="shared" si="168"/>
        <v>0</v>
      </c>
      <c r="G976">
        <f t="shared" si="169"/>
        <v>0.45837500000000003</v>
      </c>
      <c r="H976">
        <f t="shared" si="170"/>
        <v>0</v>
      </c>
      <c r="I976">
        <f t="shared" si="166"/>
        <v>0.5</v>
      </c>
      <c r="J976">
        <f t="shared" si="171"/>
        <v>0</v>
      </c>
      <c r="K976">
        <f t="shared" si="175"/>
        <v>0.17057239728759471</v>
      </c>
      <c r="L976">
        <f t="shared" si="172"/>
        <v>0</v>
      </c>
      <c r="M976">
        <f t="shared" si="165"/>
        <v>0.5</v>
      </c>
      <c r="N976">
        <f t="shared" si="173"/>
        <v>0</v>
      </c>
      <c r="O976">
        <f t="shared" si="174"/>
        <v>0</v>
      </c>
      <c r="P976" t="str">
        <f>IFERROR(LN('Дивиденды по годам'!I976),"")</f>
        <v/>
      </c>
      <c r="Q976" t="str">
        <f>IFERROR('Дивиденды по годам'!G976/'Дивиденды по годам'!I976, "")</f>
        <v/>
      </c>
      <c r="R976" t="str">
        <f>IFERROR(IF(AND('Дивиденды по годам'!N976&lt;&gt;"",'Дивиденды по годам'!U976&lt;&gt;"",'Дивиденды по годам'!U976&lt;&gt;0),'Дивиденды по годам'!N976/'Дивиденды по годам'!U976-1,""),"")</f>
        <v/>
      </c>
      <c r="S976" t="str">
        <f>IFERROR(IF(AND('Дивиденды по годам'!L976&lt;&gt;"",'Дивиденды по годам'!I976&lt;&gt;"",'Дивиденды по годам'!J976&lt;&gt;"",'Дивиденды по годам'!K976&lt;&gt;"",('Дивиденды по годам'!I976-'Дивиденды по годам'!J976-'Дивиденды по годам'!K976)&lt;&gt;0),'Дивиденды по годам'!L976/('Дивиденды по годам'!I976-'Дивиденды по годам'!J976-'Дивиденды по годам'!K976),""),"")</f>
        <v/>
      </c>
      <c r="T976" t="str">
        <f>IFERROR(IF(AND('Дивиденды по годам'!Q976&lt;&gt;"",'Дивиденды по годам'!I976&lt;&gt;"",'Дивиденды по годам'!V976&lt;&gt;"",('Дивиденды по годам'!I976+'Дивиденды по годам'!V976)&lt;&gt;0),'Дивиденды по годам'!Q976/(('Дивиденды по годам'!I976+'Дивиденды по годам'!V976)/2),""),"")</f>
        <v/>
      </c>
      <c r="U976" t="str">
        <f>IFERROR(IF(AND('Дивиденды по годам'!J976&lt;&gt;"",'Дивиденды по годам'!K976&lt;&gt;"",'Дивиденды по годам'!M976&lt;&gt;"",'Дивиденды по годам'!M976&lt;&gt;0),('Дивиденды по годам'!J976+'Дивиденды по годам'!K976)/'Дивиденды по годам'!M976,""),"")</f>
        <v/>
      </c>
      <c r="V976" cm="1">
        <f t="array" ref="V976">IFERROR(AVERAGE(_xlfn._xlws.FILTER(P$2:P$1073,($C$2:$C$1073=$C976)*($E$2:$E$1073=$E976)*(ROW(P$2:P$1073)&lt;&gt;ROW(P976))*(P$2:P$1073&lt;&gt;""))),"")</f>
        <v>25.392773149157808</v>
      </c>
      <c r="W976" cm="1">
        <f t="array" ref="W976">IFERROR(AVERAGE(_xlfn._xlws.FILTER(Q$2:Q$1073,($C$2:$C$1073=$C976)*($E$2:$E$1073=$E976)*(ROW(Q$2:Q$1073)&lt;&gt;ROW(Q976))*(Q$2:Q$1073&lt;&gt;""))),"")</f>
        <v>0.42084121403256064</v>
      </c>
      <c r="X976" cm="1">
        <f t="array" ref="X976">IFERROR(AVERAGE(_xlfn._xlws.FILTER(R$2:R$1073,($C$2:$C$1073=$C976)*($E$2:$E$1073=$E976)*(ROW(R$2:R$1073)&lt;&gt;ROW(R976))*(R$2:R$1073&lt;&gt;""))),"")</f>
        <v>0.20536191673520854</v>
      </c>
      <c r="Y976" t="str" cm="1">
        <f t="array" ref="Y976">IFERROR(AVERAGE(_xlfn._xlws.FILTER(S$2:S$1073,($C$2:$C$1073=$C976)*($E$2:$E$1073=$E976)*(ROW(S$2:S$1073)&lt;&gt;ROW(S976))*(S$2:S$1073&lt;&gt;""))),"")</f>
        <v/>
      </c>
      <c r="Z976" cm="1">
        <f t="array" ref="Z976">IFERROR(AVERAGE(_xlfn._xlws.FILTER(T$2:T$1073,($C$2:$C$1073=$C976)*($E$2:$E$1073=$E976)*(ROW(T$2:T$1073)&lt;&gt;ROW(T976))*(T$2:T$1073&lt;&gt;""))),"")</f>
        <v>9.8152461650754155E-2</v>
      </c>
      <c r="AA976" cm="1">
        <f t="array" ref="AA976">IFERROR(AVERAGE(_xlfn._xlws.FILTER(U$2:U$1073,($C$2:$C$1073=$C976)*($E$2:$E$1073=$E976)*(ROW(U$2:U$1073)&lt;&gt;ROW(U976))*(U$2:U$1073&lt;&gt;""))),"")</f>
        <v>2.1314918703687855</v>
      </c>
    </row>
    <row r="977" spans="1:27" x14ac:dyDescent="0.2">
      <c r="A977" s="7" t="s">
        <v>2297</v>
      </c>
      <c r="B977" t="str">
        <f t="shared" si="167"/>
        <v>FLOT IV кв. 2010</v>
      </c>
      <c r="C977">
        <v>2010</v>
      </c>
      <c r="D977">
        <f>SUMIFS(Дивиденды!$C:$C,Дивиденды!$A:$A,A977,Дивиденды!$I:$I,C977)</f>
        <v>0</v>
      </c>
      <c r="E977">
        <v>7</v>
      </c>
      <c r="F977">
        <f t="shared" si="168"/>
        <v>0</v>
      </c>
      <c r="G977">
        <f t="shared" si="169"/>
        <v>0.27825</v>
      </c>
      <c r="H977">
        <f t="shared" si="170"/>
        <v>0</v>
      </c>
      <c r="I977">
        <f t="shared" si="166"/>
        <v>0.5</v>
      </c>
      <c r="J977" t="str">
        <f t="shared" si="171"/>
        <v/>
      </c>
      <c r="K977" t="str">
        <f t="shared" si="175"/>
        <v/>
      </c>
      <c r="L977" t="str">
        <f t="shared" si="172"/>
        <v/>
      </c>
      <c r="M977" t="str">
        <f t="shared" si="165"/>
        <v/>
      </c>
      <c r="N977" t="str">
        <f t="shared" si="173"/>
        <v/>
      </c>
      <c r="O977" t="str">
        <f t="shared" si="174"/>
        <v/>
      </c>
      <c r="P977" t="str">
        <f>IFERROR(LN('Дивиденды по годам'!I977),"")</f>
        <v/>
      </c>
      <c r="Q977" t="str">
        <f>IFERROR('Дивиденды по годам'!G977/'Дивиденды по годам'!I977, "")</f>
        <v/>
      </c>
      <c r="R977" t="str">
        <f>IFERROR(IF(AND('Дивиденды по годам'!N977&lt;&gt;"",'Дивиденды по годам'!U977&lt;&gt;"",'Дивиденды по годам'!U977&lt;&gt;0),'Дивиденды по годам'!N977/'Дивиденды по годам'!U977-1,""),"")</f>
        <v/>
      </c>
      <c r="S977" t="str">
        <f>IFERROR(IF(AND('Дивиденды по годам'!L977&lt;&gt;"",'Дивиденды по годам'!I977&lt;&gt;"",'Дивиденды по годам'!J977&lt;&gt;"",'Дивиденды по годам'!K977&lt;&gt;"",('Дивиденды по годам'!I977-'Дивиденды по годам'!J977-'Дивиденды по годам'!K977)&lt;&gt;0),'Дивиденды по годам'!L977/('Дивиденды по годам'!I977-'Дивиденды по годам'!J977-'Дивиденды по годам'!K977),""),"")</f>
        <v/>
      </c>
      <c r="T977" t="str">
        <f>IFERROR(IF(AND('Дивиденды по годам'!Q977&lt;&gt;"",'Дивиденды по годам'!I977&lt;&gt;"",'Дивиденды по годам'!V977&lt;&gt;"",('Дивиденды по годам'!I977+'Дивиденды по годам'!V977)&lt;&gt;0),'Дивиденды по годам'!Q977/(('Дивиденды по годам'!I977+'Дивиденды по годам'!V977)/2),""),"")</f>
        <v/>
      </c>
      <c r="U977" t="str">
        <f>IFERROR(IF(AND('Дивиденды по годам'!J977&lt;&gt;"",'Дивиденды по годам'!K977&lt;&gt;"",'Дивиденды по годам'!M977&lt;&gt;"",'Дивиденды по годам'!M977&lt;&gt;0),('Дивиденды по годам'!J977+'Дивиденды по годам'!K977)/'Дивиденды по годам'!M977,""),"")</f>
        <v/>
      </c>
      <c r="V977" cm="1">
        <f t="array" ref="V977">IFERROR(AVERAGE(_xlfn._xlws.FILTER(P$2:P$1073,($C$2:$C$1073=$C977)*($E$2:$E$1073=$E977)*(ROW(P$2:P$1073)&lt;&gt;ROW(P977))*(P$2:P$1073&lt;&gt;""))),"")</f>
        <v>25.646584513937189</v>
      </c>
      <c r="W977" cm="1">
        <f t="array" ref="W977">IFERROR(AVERAGE(_xlfn._xlws.FILTER(Q$2:Q$1073,($C$2:$C$1073=$C977)*($E$2:$E$1073=$E977)*(ROW(Q$2:Q$1073)&lt;&gt;ROW(Q977))*(Q$2:Q$1073&lt;&gt;""))),"")</f>
        <v>0.48343975783821996</v>
      </c>
      <c r="X977" t="str" cm="1">
        <f t="array" ref="X977">IFERROR(AVERAGE(_xlfn._xlws.FILTER(R$2:R$1073,($C$2:$C$1073=$C977)*($E$2:$E$1073=$E977)*(ROW(R$2:R$1073)&lt;&gt;ROW(R977))*(R$2:R$1073&lt;&gt;""))),"")</f>
        <v/>
      </c>
      <c r="Y977" t="str" cm="1">
        <f t="array" ref="Y977">IFERROR(AVERAGE(_xlfn._xlws.FILTER(S$2:S$1073,($C$2:$C$1073=$C977)*($E$2:$E$1073=$E977)*(ROW(S$2:S$1073)&lt;&gt;ROW(S977))*(S$2:S$1073&lt;&gt;""))),"")</f>
        <v/>
      </c>
      <c r="Z977" t="str" cm="1">
        <f t="array" ref="Z977">IFERROR(AVERAGE(_xlfn._xlws.FILTER(T$2:T$1073,($C$2:$C$1073=$C977)*($E$2:$E$1073=$E977)*(ROW(T$2:T$1073)&lt;&gt;ROW(T977))*(T$2:T$1073&lt;&gt;""))),"")</f>
        <v/>
      </c>
      <c r="AA977" cm="1">
        <f t="array" ref="AA977">IFERROR(AVERAGE(_xlfn._xlws.FILTER(U$2:U$1073,($C$2:$C$1073=$C977)*($E$2:$E$1073=$E977)*(ROW(U$2:U$1073)&lt;&gt;ROW(U977))*(U$2:U$1073&lt;&gt;""))),"")</f>
        <v>2.9188674344099064</v>
      </c>
    </row>
    <row r="978" spans="1:27" x14ac:dyDescent="0.2">
      <c r="A978" s="7" t="s">
        <v>2300</v>
      </c>
      <c r="B978" t="str">
        <f t="shared" si="167"/>
        <v>NKHP IV кв. 2025</v>
      </c>
      <c r="C978">
        <v>2025</v>
      </c>
      <c r="D978">
        <f>SUMIFS(Дивиденды!$C:$C,Дивиденды!$A:$A,A978,Дивиденды!$I:$I,C978)</f>
        <v>15.54</v>
      </c>
      <c r="E978">
        <v>7</v>
      </c>
      <c r="F978">
        <f t="shared" si="168"/>
        <v>15.54</v>
      </c>
      <c r="G978">
        <f t="shared" si="169"/>
        <v>0</v>
      </c>
      <c r="H978">
        <f t="shared" si="170"/>
        <v>1</v>
      </c>
      <c r="I978">
        <f t="shared" si="166"/>
        <v>0</v>
      </c>
      <c r="J978">
        <f t="shared" si="171"/>
        <v>-0.72110552763819091</v>
      </c>
      <c r="K978">
        <f t="shared" si="175"/>
        <v>-0.5</v>
      </c>
      <c r="L978">
        <f t="shared" si="172"/>
        <v>0</v>
      </c>
      <c r="M978">
        <f t="shared" si="165"/>
        <v>0</v>
      </c>
      <c r="N978">
        <f t="shared" si="173"/>
        <v>1</v>
      </c>
      <c r="O978">
        <f t="shared" si="174"/>
        <v>0.5</v>
      </c>
      <c r="P978" t="str">
        <f>IFERROR(LN('Дивиденды по годам'!I978),"")</f>
        <v/>
      </c>
      <c r="Q978" t="str">
        <f>IFERROR('Дивиденды по годам'!G978/'Дивиденды по годам'!I978, "")</f>
        <v/>
      </c>
      <c r="R978" t="str">
        <f>IFERROR(IF(AND('Дивиденды по годам'!N978&lt;&gt;"",'Дивиденды по годам'!U978&lt;&gt;"",'Дивиденды по годам'!U978&lt;&gt;0),'Дивиденды по годам'!N978/'Дивиденды по годам'!U978-1,""),"")</f>
        <v/>
      </c>
      <c r="S978" t="str">
        <f>IFERROR(IF(AND('Дивиденды по годам'!L978&lt;&gt;"",'Дивиденды по годам'!I978&lt;&gt;"",'Дивиденды по годам'!J978&lt;&gt;"",'Дивиденды по годам'!K978&lt;&gt;"",('Дивиденды по годам'!I978-'Дивиденды по годам'!J978-'Дивиденды по годам'!K978)&lt;&gt;0),'Дивиденды по годам'!L978/('Дивиденды по годам'!I978-'Дивиденды по годам'!J978-'Дивиденды по годам'!K978),""),"")</f>
        <v/>
      </c>
      <c r="T978" t="str">
        <f>IFERROR(IF(AND('Дивиденды по годам'!Q978&lt;&gt;"",'Дивиденды по годам'!I978&lt;&gt;"",'Дивиденды по годам'!V978&lt;&gt;"",('Дивиденды по годам'!I978+'Дивиденды по годам'!V978)&lt;&gt;0),'Дивиденды по годам'!Q978/(('Дивиденды по годам'!I978+'Дивиденды по годам'!V978)/2),""),"")</f>
        <v/>
      </c>
      <c r="U978" t="str">
        <f>IFERROR(IF(AND('Дивиденды по годам'!J978&lt;&gt;"",'Дивиденды по годам'!K978&lt;&gt;"",'Дивиденды по годам'!M978&lt;&gt;"",'Дивиденды по годам'!M978&lt;&gt;0),('Дивиденды по годам'!J978+'Дивиденды по годам'!K978)/'Дивиденды по годам'!M978,""),"")</f>
        <v/>
      </c>
      <c r="V978" cm="1">
        <f t="array" ref="V978">IFERROR(AVERAGE(_xlfn._xlws.FILTER(P$2:P$1073,($C$2:$C$1073=$C978)*($E$2:$E$1073=$E978)*(ROW(P$2:P$1073)&lt;&gt;ROW(P978))*(P$2:P$1073&lt;&gt;""))),"")</f>
        <v>27.416076794766717</v>
      </c>
      <c r="W978" cm="1">
        <f t="array" ref="W978">IFERROR(AVERAGE(_xlfn._xlws.FILTER(Q$2:Q$1073,($C$2:$C$1073=$C978)*($E$2:$E$1073=$E978)*(ROW(Q$2:Q$1073)&lt;&gt;ROW(Q978))*(Q$2:Q$1073&lt;&gt;""))),"")</f>
        <v>0.20332374906679898</v>
      </c>
      <c r="X978" cm="1">
        <f t="array" ref="X978">IFERROR(AVERAGE(_xlfn._xlws.FILTER(R$2:R$1073,($C$2:$C$1073=$C978)*($E$2:$E$1073=$E978)*(ROW(R$2:R$1073)&lt;&gt;ROW(R978))*(R$2:R$1073&lt;&gt;""))),"")</f>
        <v>-0.15846404609198605</v>
      </c>
      <c r="Y978" cm="1">
        <f t="array" ref="Y978">IFERROR(AVERAGE(_xlfn._xlws.FILTER(S$2:S$1073,($C$2:$C$1073=$C978)*($E$2:$E$1073=$E978)*(ROW(S$2:S$1073)&lt;&gt;ROW(S978))*(S$2:S$1073&lt;&gt;""))),"")</f>
        <v>-1.8248333530548653</v>
      </c>
      <c r="Z978" cm="1">
        <f t="array" ref="Z978">IFERROR(AVERAGE(_xlfn._xlws.FILTER(T$2:T$1073,($C$2:$C$1073=$C978)*($E$2:$E$1073=$E978)*(ROW(T$2:T$1073)&lt;&gt;ROW(T978))*(T$2:T$1073&lt;&gt;""))),"")</f>
        <v>1.0800320773341893E-3</v>
      </c>
      <c r="AA978" cm="1">
        <f t="array" ref="AA978">IFERROR(AVERAGE(_xlfn._xlws.FILTER(U$2:U$1073,($C$2:$C$1073=$C978)*($E$2:$E$1073=$E978)*(ROW(U$2:U$1073)&lt;&gt;ROW(U978))*(U$2:U$1073&lt;&gt;""))),"")</f>
        <v>10.852380302974451</v>
      </c>
    </row>
    <row r="979" spans="1:27" x14ac:dyDescent="0.2">
      <c r="A979" s="7" t="s">
        <v>2300</v>
      </c>
      <c r="B979" t="str">
        <f t="shared" si="167"/>
        <v>NKHP IV кв. 2024</v>
      </c>
      <c r="C979">
        <v>2024</v>
      </c>
      <c r="D979">
        <f>SUMIFS(Дивиденды!$C:$C,Дивиденды!$A:$A,A979,Дивиденды!$I:$I,C979)</f>
        <v>55.72</v>
      </c>
      <c r="E979">
        <v>7</v>
      </c>
      <c r="F979">
        <f t="shared" si="168"/>
        <v>55.72</v>
      </c>
      <c r="G979">
        <f t="shared" si="169"/>
        <v>1.5574999999999999</v>
      </c>
      <c r="H979">
        <f t="shared" si="170"/>
        <v>1</v>
      </c>
      <c r="I979">
        <f t="shared" si="166"/>
        <v>0.5</v>
      </c>
      <c r="J979">
        <f t="shared" si="171"/>
        <v>0.51908396946564883</v>
      </c>
      <c r="K979">
        <f t="shared" si="175"/>
        <v>6.1688311688311667E-2</v>
      </c>
      <c r="L979">
        <f t="shared" si="172"/>
        <v>1</v>
      </c>
      <c r="M979">
        <f t="shared" si="165"/>
        <v>0.5</v>
      </c>
      <c r="N979">
        <f t="shared" si="173"/>
        <v>0</v>
      </c>
      <c r="O979">
        <f t="shared" si="174"/>
        <v>0.25</v>
      </c>
      <c r="P979">
        <f>IFERROR(LN('Дивиденды по годам'!I979),"")</f>
        <v>23.634425792949131</v>
      </c>
      <c r="Q979">
        <f>IFERROR('Дивиденды по годам'!G979/'Дивиденды по годам'!I979, "")</f>
        <v>0.60637054834383353</v>
      </c>
      <c r="R979">
        <f>IFERROR(IF(AND('Дивиденды по годам'!N979&lt;&gt;"",'Дивиденды по годам'!U979&lt;&gt;"",'Дивиденды по годам'!U979&lt;&gt;0),'Дивиденды по годам'!N979/'Дивиденды по годам'!U979-1,""),"")</f>
        <v>0.20732900249127284</v>
      </c>
      <c r="S979">
        <f>IFERROR(IF(AND('Дивиденды по годам'!L979&lt;&gt;"",'Дивиденды по годам'!I979&lt;&gt;"",'Дивиденды по годам'!J979&lt;&gt;"",'Дивиденды по годам'!K979&lt;&gt;"",('Дивиденды по годам'!I979-'Дивиденды по годам'!J979-'Дивиденды по годам'!K979)&lt;&gt;0),'Дивиденды по годам'!L979/('Дивиденды по годам'!I979-'Дивиденды по годам'!J979-'Дивиденды по годам'!K979),""),"")</f>
        <v>0.99574299788186038</v>
      </c>
      <c r="T979">
        <f>IFERROR(IF(AND('Дивиденды по годам'!Q979&lt;&gt;"",'Дивиденды по годам'!I979&lt;&gt;"",'Дивиденды по годам'!V979&lt;&gt;"",('Дивиденды по годам'!I979+'Дивиденды по годам'!V979)&lt;&gt;0),'Дивиденды по годам'!Q979/(('Дивиденды по годам'!I979+'Дивиденды по годам'!V979)/2),""),"")</f>
        <v>0.36334364609616471</v>
      </c>
      <c r="U979">
        <f>IFERROR(IF(AND('Дивиденды по годам'!J979&lt;&gt;"",'Дивиденды по годам'!K979&lt;&gt;"",'Дивиденды по годам'!M979&lt;&gt;"",'Дивиденды по годам'!M979&lt;&gt;0),('Дивиденды по годам'!J979+'Дивиденды по годам'!K979)/'Дивиденды по годам'!M979,""),"")</f>
        <v>0.15758863143286969</v>
      </c>
      <c r="V979" cm="1">
        <f t="array" ref="V979">IFERROR(AVERAGE(_xlfn._xlws.FILTER(P$2:P$1073,($C$2:$C$1073=$C979)*($E$2:$E$1073=$E979)*(ROW(P$2:P$1073)&lt;&gt;ROW(P979))*(P$2:P$1073&lt;&gt;""))),"")</f>
        <v>26.849335608888065</v>
      </c>
      <c r="W979" cm="1">
        <f t="array" ref="W979">IFERROR(AVERAGE(_xlfn._xlws.FILTER(Q$2:Q$1073,($C$2:$C$1073=$C979)*($E$2:$E$1073=$E979)*(ROW(Q$2:Q$1073)&lt;&gt;ROW(Q979))*(Q$2:Q$1073&lt;&gt;""))),"")</f>
        <v>0.46267621066438519</v>
      </c>
      <c r="X979" cm="1">
        <f t="array" ref="X979">IFERROR(AVERAGE(_xlfn._xlws.FILTER(R$2:R$1073,($C$2:$C$1073=$C979)*($E$2:$E$1073=$E979)*(ROW(R$2:R$1073)&lt;&gt;ROW(R979))*(R$2:R$1073&lt;&gt;""))),"")</f>
        <v>0.10110025079292451</v>
      </c>
      <c r="Y979" cm="1">
        <f t="array" ref="Y979">IFERROR(AVERAGE(_xlfn._xlws.FILTER(S$2:S$1073,($C$2:$C$1073=$C979)*($E$2:$E$1073=$E979)*(ROW(S$2:S$1073)&lt;&gt;ROW(S979))*(S$2:S$1073&lt;&gt;""))),"")</f>
        <v>1.4438919648723774</v>
      </c>
      <c r="Z979" cm="1">
        <f t="array" ref="Z979">IFERROR(AVERAGE(_xlfn._xlws.FILTER(T$2:T$1073,($C$2:$C$1073=$C979)*($E$2:$E$1073=$E979)*(ROW(T$2:T$1073)&lt;&gt;ROW(T979))*(T$2:T$1073&lt;&gt;""))),"")</f>
        <v>0.10006533648544708</v>
      </c>
      <c r="AA979" cm="1">
        <f t="array" ref="AA979">IFERROR(AVERAGE(_xlfn._xlws.FILTER(U$2:U$1073,($C$2:$C$1073=$C979)*($E$2:$E$1073=$E979)*(ROW(U$2:U$1073)&lt;&gt;ROW(U979))*(U$2:U$1073&lt;&gt;""))),"")</f>
        <v>-3.9228142967228781</v>
      </c>
    </row>
    <row r="980" spans="1:27" x14ac:dyDescent="0.2">
      <c r="A980" s="7" t="s">
        <v>2300</v>
      </c>
      <c r="B980" t="str">
        <f t="shared" si="167"/>
        <v>NKHP IV кв. 2023</v>
      </c>
      <c r="C980">
        <v>2023</v>
      </c>
      <c r="D980">
        <f>SUMIFS(Дивиденды!$C:$C,Дивиденды!$A:$A,A980,Дивиденды!$I:$I,C980)</f>
        <v>36.68</v>
      </c>
      <c r="E980">
        <v>7</v>
      </c>
      <c r="F980">
        <f t="shared" si="168"/>
        <v>36.68</v>
      </c>
      <c r="G980">
        <f t="shared" si="169"/>
        <v>4.59</v>
      </c>
      <c r="H980">
        <f t="shared" si="170"/>
        <v>1</v>
      </c>
      <c r="I980">
        <f t="shared" si="166"/>
        <v>0.5</v>
      </c>
      <c r="J980">
        <f t="shared" si="171"/>
        <v>1.5088919288645692</v>
      </c>
      <c r="K980">
        <f t="shared" si="175"/>
        <v>0.76568327505827505</v>
      </c>
      <c r="L980">
        <f t="shared" si="172"/>
        <v>1</v>
      </c>
      <c r="M980">
        <f t="shared" si="165"/>
        <v>0.25</v>
      </c>
      <c r="N980">
        <f t="shared" si="173"/>
        <v>0</v>
      </c>
      <c r="O980">
        <f t="shared" si="174"/>
        <v>0.25</v>
      </c>
      <c r="P980">
        <f>IFERROR(LN('Дивиденды по годам'!I980),"")</f>
        <v>23.550437614496474</v>
      </c>
      <c r="Q980">
        <f>IFERROR('Дивиденды по годам'!G980/'Дивиденды по годам'!I980, "")</f>
        <v>0.67520162475115553</v>
      </c>
      <c r="R980">
        <f>IFERROR(IF(AND('Дивиденды по годам'!N980&lt;&gt;"",'Дивиденды по годам'!U980&lt;&gt;"",'Дивиденды по годам'!U980&lt;&gt;0),'Дивиденды по годам'!N980/'Дивиденды по годам'!U980-1,""),"")</f>
        <v>0.86249318450261669</v>
      </c>
      <c r="S980">
        <f>IFERROR(IF(AND('Дивиденды по годам'!L980&lt;&gt;"",'Дивиденды по годам'!I980&lt;&gt;"",'Дивиденды по годам'!J980&lt;&gt;"",'Дивиденды по годам'!K980&lt;&gt;"",('Дивиденды по годам'!I980-'Дивиденды по годам'!J980-'Дивиденды по годам'!K980)&lt;&gt;0),'Дивиденды по годам'!L980/('Дивиденды по годам'!I980-'Дивиденды по годам'!J980-'Дивиденды по годам'!K980),""),"")</f>
        <v>0.99483371347221727</v>
      </c>
      <c r="T980">
        <f>IFERROR(IF(AND('Дивиденды по годам'!Q980&lt;&gt;"",'Дивиденды по годам'!I980&lt;&gt;"",'Дивиденды по годам'!V980&lt;&gt;"",('Дивиденды по годам'!I980+'Дивиденды по годам'!V980)&lt;&gt;0),'Дивиденды по годам'!Q980/(('Дивиденды по годам'!I980+'Дивиденды по годам'!V980)/2),""),"")</f>
        <v>0.33210352614114363</v>
      </c>
      <c r="U980">
        <f>IFERROR(IF(AND('Дивиденды по годам'!J980&lt;&gt;"",'Дивиденды по годам'!K980&lt;&gt;"",'Дивиденды по годам'!M980&lt;&gt;"",'Дивиденды по годам'!M980&lt;&gt;0),('Дивиденды по годам'!J980+'Дивиденды по годам'!K980)/'Дивиденды по годам'!M980,""),"")</f>
        <v>0.29144575544358553</v>
      </c>
      <c r="V980" cm="1">
        <f t="array" ref="V980">IFERROR(AVERAGE(_xlfn._xlws.FILTER(P$2:P$1073,($C$2:$C$1073=$C980)*($E$2:$E$1073=$E980)*(ROW(P$2:P$1073)&lt;&gt;ROW(P980))*(P$2:P$1073&lt;&gt;""))),"")</f>
        <v>26.728471620085088</v>
      </c>
      <c r="W980" cm="1">
        <f t="array" ref="W980">IFERROR(AVERAGE(_xlfn._xlws.FILTER(Q$2:Q$1073,($C$2:$C$1073=$C980)*($E$2:$E$1073=$E980)*(ROW(Q$2:Q$1073)&lt;&gt;ROW(Q980))*(Q$2:Q$1073&lt;&gt;""))),"")</f>
        <v>0.47080110062369734</v>
      </c>
      <c r="X980" cm="1">
        <f t="array" ref="X980">IFERROR(AVERAGE(_xlfn._xlws.FILTER(R$2:R$1073,($C$2:$C$1073=$C980)*($E$2:$E$1073=$E980)*(ROW(R$2:R$1073)&lt;&gt;ROW(R980))*(R$2:R$1073&lt;&gt;""))),"")</f>
        <v>0.2549001852104496</v>
      </c>
      <c r="Y980" cm="1">
        <f t="array" ref="Y980">IFERROR(AVERAGE(_xlfn._xlws.FILTER(S$2:S$1073,($C$2:$C$1073=$C980)*($E$2:$E$1073=$E980)*(ROW(S$2:S$1073)&lt;&gt;ROW(S980))*(S$2:S$1073&lt;&gt;""))),"")</f>
        <v>1.6516091431314526</v>
      </c>
      <c r="Z980" cm="1">
        <f t="array" ref="Z980">IFERROR(AVERAGE(_xlfn._xlws.FILTER(T$2:T$1073,($C$2:$C$1073=$C980)*($E$2:$E$1073=$E980)*(ROW(T$2:T$1073)&lt;&gt;ROW(T980))*(T$2:T$1073&lt;&gt;""))),"")</f>
        <v>0.11655322617085177</v>
      </c>
      <c r="AA980" cm="1">
        <f t="array" ref="AA980">IFERROR(AVERAGE(_xlfn._xlws.FILTER(U$2:U$1073,($C$2:$C$1073=$C980)*($E$2:$E$1073=$E980)*(ROW(U$2:U$1073)&lt;&gt;ROW(U980))*(U$2:U$1073&lt;&gt;""))),"")</f>
        <v>-2.7598238935063826</v>
      </c>
    </row>
    <row r="981" spans="1:27" x14ac:dyDescent="0.2">
      <c r="A981" s="7" t="s">
        <v>2300</v>
      </c>
      <c r="B981" t="str">
        <f t="shared" si="167"/>
        <v>NKHP IV кв. 2022</v>
      </c>
      <c r="C981">
        <v>2022</v>
      </c>
      <c r="D981">
        <f>SUMIFS(Дивиденды!$C:$C,Дивиденды!$A:$A,A981,Дивиденды!$I:$I,C981)</f>
        <v>14.62</v>
      </c>
      <c r="E981">
        <v>7</v>
      </c>
      <c r="F981">
        <f t="shared" si="168"/>
        <v>14.62</v>
      </c>
      <c r="G981">
        <f t="shared" si="169"/>
        <v>1.2725</v>
      </c>
      <c r="H981">
        <f t="shared" si="170"/>
        <v>1</v>
      </c>
      <c r="I981">
        <f t="shared" si="166"/>
        <v>0.5</v>
      </c>
      <c r="J981">
        <f t="shared" si="171"/>
        <v>0.53894736842105251</v>
      </c>
      <c r="K981">
        <f t="shared" si="175"/>
        <v>0.37037037037037035</v>
      </c>
      <c r="L981">
        <f t="shared" si="172"/>
        <v>1</v>
      </c>
      <c r="M981">
        <f t="shared" si="165"/>
        <v>0.5</v>
      </c>
      <c r="N981">
        <f t="shared" si="173"/>
        <v>0</v>
      </c>
      <c r="O981">
        <f t="shared" si="174"/>
        <v>0</v>
      </c>
      <c r="P981">
        <f>IFERROR(LN('Дивиденды по годам'!I981),"")</f>
        <v>23.251806124877628</v>
      </c>
      <c r="Q981">
        <f>IFERROR('Дивиденды по годам'!G981/'Дивиденды по годам'!I981, "")</f>
        <v>0.83648439453873669</v>
      </c>
      <c r="R981">
        <f>IFERROR(IF(AND('Дивиденды по годам'!N981&lt;&gt;"",'Дивиденды по годам'!U981&lt;&gt;"",'Дивиденды по годам'!U981&lt;&gt;0),'Дивиденды по годам'!N981/'Дивиденды по годам'!U981-1,""),"")</f>
        <v>-0.22160913374786206</v>
      </c>
      <c r="S981">
        <f>IFERROR(IF(AND('Дивиденды по годам'!L981&lt;&gt;"",'Дивиденды по годам'!I981&lt;&gt;"",'Дивиденды по годам'!J981&lt;&gt;"",'Дивиденды по годам'!K981&lt;&gt;"",('Дивиденды по годам'!I981-'Дивиденды по годам'!J981-'Дивиденды по годам'!K981)&lt;&gt;0),'Дивиденды по годам'!L981/('Дивиденды по годам'!I981-'Дивиденды по годам'!J981-'Дивиденды по годам'!K981),""),"")</f>
        <v>0.99395382484955896</v>
      </c>
      <c r="T981">
        <f>IFERROR(IF(AND('Дивиденды по годам'!Q981&lt;&gt;"",'Дивиденды по годам'!I981&lt;&gt;"",'Дивиденды по годам'!V981&lt;&gt;"",('Дивиденды по годам'!I981+'Дивиденды по годам'!V981)&lt;&gt;0),'Дивиденды по годам'!Q981/(('Дивиденды по годам'!I981+'Дивиденды по годам'!V981)/2),""),"")</f>
        <v>0.16398491023135289</v>
      </c>
      <c r="U981">
        <f>IFERROR(IF(AND('Дивиденды по годам'!J981&lt;&gt;"",'Дивиденды по годам'!K981&lt;&gt;"",'Дивиденды по годам'!M981&lt;&gt;"",'Дивиденды по годам'!M981&lt;&gt;0),('Дивиденды по годам'!J981+'Дивиденды по годам'!K981)/'Дивиденды по годам'!M981,""),"")</f>
        <v>0.12120337463101936</v>
      </c>
      <c r="V981" cm="1">
        <f t="array" ref="V981">IFERROR(AVERAGE(_xlfn._xlws.FILTER(P$2:P$1073,($C$2:$C$1073=$C981)*($E$2:$E$1073=$E981)*(ROW(P$2:P$1073)&lt;&gt;ROW(P981))*(P$2:P$1073&lt;&gt;""))),"")</f>
        <v>26.446015425173652</v>
      </c>
      <c r="W981" cm="1">
        <f t="array" ref="W981">IFERROR(AVERAGE(_xlfn._xlws.FILTER(Q$2:Q$1073,($C$2:$C$1073=$C981)*($E$2:$E$1073=$E981)*(ROW(Q$2:Q$1073)&lt;&gt;ROW(Q981))*(Q$2:Q$1073&lt;&gt;""))),"")</f>
        <v>0.32694780804393136</v>
      </c>
      <c r="X981" cm="1">
        <f t="array" ref="X981">IFERROR(AVERAGE(_xlfn._xlws.FILTER(R$2:R$1073,($C$2:$C$1073=$C981)*($E$2:$E$1073=$E981)*(ROW(R$2:R$1073)&lt;&gt;ROW(R981))*(R$2:R$1073&lt;&gt;""))),"")</f>
        <v>0.13541912908000842</v>
      </c>
      <c r="Y981" cm="1">
        <f t="array" ref="Y981">IFERROR(AVERAGE(_xlfn._xlws.FILTER(S$2:S$1073,($C$2:$C$1073=$C981)*($E$2:$E$1073=$E981)*(ROW(S$2:S$1073)&lt;&gt;ROW(S981))*(S$2:S$1073&lt;&gt;""))),"")</f>
        <v>1.6257437606349079</v>
      </c>
      <c r="Z981" cm="1">
        <f t="array" ref="Z981">IFERROR(AVERAGE(_xlfn._xlws.FILTER(T$2:T$1073,($C$2:$C$1073=$C981)*($E$2:$E$1073=$E981)*(ROW(T$2:T$1073)&lt;&gt;ROW(T981))*(T$2:T$1073&lt;&gt;""))),"")</f>
        <v>0.11337262385621492</v>
      </c>
      <c r="AA981" cm="1">
        <f t="array" ref="AA981">IFERROR(AVERAGE(_xlfn._xlws.FILTER(U$2:U$1073,($C$2:$C$1073=$C981)*($E$2:$E$1073=$E981)*(ROW(U$2:U$1073)&lt;&gt;ROW(U981))*(U$2:U$1073&lt;&gt;""))),"")</f>
        <v>-3.1406383723261135</v>
      </c>
    </row>
    <row r="982" spans="1:27" x14ac:dyDescent="0.2">
      <c r="A982" s="7" t="s">
        <v>2300</v>
      </c>
      <c r="B982" t="str">
        <f t="shared" si="167"/>
        <v>NKHP IV кв. 2021</v>
      </c>
      <c r="C982">
        <v>2021</v>
      </c>
      <c r="D982">
        <f>SUMIFS(Дивиденды!$C:$C,Дивиденды!$A:$A,A982,Дивиденды!$I:$I,C982)</f>
        <v>9.5</v>
      </c>
      <c r="E982">
        <v>7</v>
      </c>
      <c r="F982">
        <f t="shared" si="168"/>
        <v>9.5</v>
      </c>
      <c r="G982">
        <f t="shared" si="169"/>
        <v>0.13500000000000001</v>
      </c>
      <c r="H982">
        <f t="shared" si="170"/>
        <v>1</v>
      </c>
      <c r="I982">
        <f t="shared" si="166"/>
        <v>0.25</v>
      </c>
      <c r="J982">
        <f t="shared" si="171"/>
        <v>-0.44735311227457819</v>
      </c>
      <c r="K982">
        <f t="shared" si="175"/>
        <v>1.7500000000000004</v>
      </c>
      <c r="L982">
        <f t="shared" si="172"/>
        <v>0</v>
      </c>
      <c r="M982">
        <f t="shared" si="165"/>
        <v>0.25</v>
      </c>
      <c r="N982">
        <f t="shared" si="173"/>
        <v>1</v>
      </c>
      <c r="O982">
        <f t="shared" si="174"/>
        <v>0.25</v>
      </c>
      <c r="P982">
        <f>IFERROR(LN('Дивиденды по годам'!I982),"")</f>
        <v>23.152167848216131</v>
      </c>
      <c r="Q982">
        <f>IFERROR('Дивиденды по годам'!G982/'Дивиденды по годам'!I982, "")</f>
        <v>0.8682204258842241</v>
      </c>
      <c r="R982">
        <f>IFERROR(IF(AND('Дивиденды по годам'!N982&lt;&gt;"",'Дивиденды по годам'!U982&lt;&gt;"",'Дивиденды по годам'!U982&lt;&gt;0),'Дивиденды по годам'!N982/'Дивиденды по годам'!U982-1,""),"")</f>
        <v>-0.16674126801557232</v>
      </c>
      <c r="S982">
        <f>IFERROR(IF(AND('Дивиденды по годам'!L982&lt;&gt;"",'Дивиденды по годам'!I982&lt;&gt;"",'Дивиденды по годам'!J982&lt;&gt;"",'Дивиденды по годам'!K982&lt;&gt;"",('Дивиденды по годам'!I982-'Дивиденды по годам'!J982-'Дивиденды по годам'!K982)&lt;&gt;0),'Дивиденды по годам'!L982/('Дивиденды по годам'!I982-'Дивиденды по годам'!J982-'Дивиденды по годам'!K982),""),"")</f>
        <v>0.99266247424967757</v>
      </c>
      <c r="T982">
        <f>IFERROR(IF(AND('Дивиденды по годам'!Q982&lt;&gt;"",'Дивиденды по годам'!I982&lt;&gt;"",'Дивиденды по годам'!V982&lt;&gt;"",('Дивиденды по годам'!I982+'Дивиденды по годам'!V982)&lt;&gt;0),'Дивиденды по годам'!Q982/(('Дивиденды по годам'!I982+'Дивиденды по годам'!V982)/2),""),"")</f>
        <v>0.1982252756664534</v>
      </c>
      <c r="U982">
        <f>IFERROR(IF(AND('Дивиденды по годам'!J982&lt;&gt;"",'Дивиденды по годам'!K982&lt;&gt;"",'Дивиденды по годам'!M982&lt;&gt;"",'Дивиденды по годам'!M982&lt;&gt;0),('Дивиденды по годам'!J982+'Дивиденды по годам'!K982)/'Дивиденды по годам'!M982,""),"")</f>
        <v>0.23163197939843946</v>
      </c>
      <c r="V982" cm="1">
        <f t="array" ref="V982">IFERROR(AVERAGE(_xlfn._xlws.FILTER(P$2:P$1073,($C$2:$C$1073=$C982)*($E$2:$E$1073=$E982)*(ROW(P$2:P$1073)&lt;&gt;ROW(P982))*(P$2:P$1073&lt;&gt;""))),"")</f>
        <v>26.752628695676936</v>
      </c>
      <c r="W982" cm="1">
        <f t="array" ref="W982">IFERROR(AVERAGE(_xlfn._xlws.FILTER(Q$2:Q$1073,($C$2:$C$1073=$C982)*($E$2:$E$1073=$E982)*(ROW(Q$2:Q$1073)&lt;&gt;ROW(Q982))*(Q$2:Q$1073&lt;&gt;""))),"")</f>
        <v>0.45222060798149183</v>
      </c>
      <c r="X982" cm="1">
        <f t="array" ref="X982">IFERROR(AVERAGE(_xlfn._xlws.FILTER(R$2:R$1073,($C$2:$C$1073=$C982)*($E$2:$E$1073=$E982)*(ROW(R$2:R$1073)&lt;&gt;ROW(R982))*(R$2:R$1073&lt;&gt;""))),"")</f>
        <v>0.46918449728357597</v>
      </c>
      <c r="Y982" cm="1">
        <f t="array" ref="Y982">IFERROR(AVERAGE(_xlfn._xlws.FILTER(S$2:S$1073,($C$2:$C$1073=$C982)*($E$2:$E$1073=$E982)*(ROW(S$2:S$1073)&lt;&gt;ROW(S982))*(S$2:S$1073&lt;&gt;""))),"")</f>
        <v>1.011516116301991</v>
      </c>
      <c r="Z982" cm="1">
        <f t="array" ref="Z982">IFERROR(AVERAGE(_xlfn._xlws.FILTER(T$2:T$1073,($C$2:$C$1073=$C982)*($E$2:$E$1073=$E982)*(ROW(T$2:T$1073)&lt;&gt;ROW(T982))*(T$2:T$1073&lt;&gt;""))),"")</f>
        <v>0.13554332628985369</v>
      </c>
      <c r="AA982" cm="1">
        <f t="array" ref="AA982">IFERROR(AVERAGE(_xlfn._xlws.FILTER(U$2:U$1073,($C$2:$C$1073=$C982)*($E$2:$E$1073=$E982)*(ROW(U$2:U$1073)&lt;&gt;ROW(U982))*(U$2:U$1073&lt;&gt;""))),"")</f>
        <v>-2.1747321704070228</v>
      </c>
    </row>
    <row r="983" spans="1:27" x14ac:dyDescent="0.2">
      <c r="A983" s="7" t="s">
        <v>2300</v>
      </c>
      <c r="B983" t="str">
        <f t="shared" si="167"/>
        <v>NKHP IV кв. 2020</v>
      </c>
      <c r="C983">
        <v>2020</v>
      </c>
      <c r="D983">
        <f>SUMIFS(Дивиденды!$C:$C,Дивиденды!$A:$A,A983,Дивиденды!$I:$I,C983)</f>
        <v>17.189999999999998</v>
      </c>
      <c r="E983">
        <v>7</v>
      </c>
      <c r="F983">
        <f t="shared" si="168"/>
        <v>17.189999999999998</v>
      </c>
      <c r="G983">
        <f t="shared" si="169"/>
        <v>1.6824999999999999</v>
      </c>
      <c r="H983">
        <f t="shared" si="170"/>
        <v>1</v>
      </c>
      <c r="I983">
        <f t="shared" si="166"/>
        <v>0.5</v>
      </c>
      <c r="J983">
        <f t="shared" si="171"/>
        <v>1.3483606557377046</v>
      </c>
      <c r="K983">
        <f t="shared" si="175"/>
        <v>1.1111111111111127E-2</v>
      </c>
      <c r="L983">
        <f t="shared" si="172"/>
        <v>1</v>
      </c>
      <c r="M983">
        <f t="shared" si="165"/>
        <v>0.25</v>
      </c>
      <c r="N983">
        <f t="shared" si="173"/>
        <v>0</v>
      </c>
      <c r="O983">
        <f t="shared" si="174"/>
        <v>0.25</v>
      </c>
      <c r="P983">
        <f>IFERROR(LN('Дивиденды по годам'!I983),"")</f>
        <v>23.264399137914623</v>
      </c>
      <c r="Q983">
        <f>IFERROR('Дивиденды по годам'!G983/'Дивиденды по годам'!I983, "")</f>
        <v>0.7224183552466199</v>
      </c>
      <c r="R983">
        <f>IFERROR(IF(AND('Дивиденды по годам'!N983&lt;&gt;"",'Дивиденды по годам'!U983&lt;&gt;"",'Дивиденды по годам'!U983&lt;&gt;0),'Дивиденды по годам'!N983/'Дивиденды по годам'!U983-1,""),"")</f>
        <v>-0.58737020424244202</v>
      </c>
      <c r="S983">
        <f>IFERROR(IF(AND('Дивиденды по годам'!L983&lt;&gt;"",'Дивиденды по годам'!I983&lt;&gt;"",'Дивиденды по годам'!J983&lt;&gt;"",'Дивиденды по годам'!K983&lt;&gt;"",('Дивиденды по годам'!I983-'Дивиденды по годам'!J983-'Дивиденды по годам'!K983)&lt;&gt;0),'Дивиденды по годам'!L983/('Дивиденды по годам'!I983-'Дивиденды по годам'!J983-'Дивиденды по годам'!K983),""),"")</f>
        <v>0.99142405453934412</v>
      </c>
      <c r="T983">
        <f>IFERROR(IF(AND('Дивиденды по годам'!Q983&lt;&gt;"",'Дивиденды по годам'!I983&lt;&gt;"",'Дивиденды по годам'!V983&lt;&gt;"",('Дивиденды по годам'!I983+'Дивиденды по годам'!V983)&lt;&gt;0),'Дивиденды по годам'!Q983/(('Дивиденды по годам'!I983+'Дивиденды по годам'!V983)/2),""),"")</f>
        <v>0.1696063420541449</v>
      </c>
      <c r="U983">
        <f>IFERROR(IF(AND('Дивиденды по годам'!J983&lt;&gt;"",'Дивиденды по годам'!K983&lt;&gt;"",'Дивиденды по годам'!M983&lt;&gt;"",'Дивиденды по годам'!M983&lt;&gt;0),('Дивиденды по годам'!J983+'Дивиденды по годам'!K983)/'Дивиденды по годам'!M983,""),"")</f>
        <v>0.6104778599478341</v>
      </c>
      <c r="V983" cm="1">
        <f t="array" ref="V983">IFERROR(AVERAGE(_xlfn._xlws.FILTER(P$2:P$1073,($C$2:$C$1073=$C983)*($E$2:$E$1073=$E983)*(ROW(P$2:P$1073)&lt;&gt;ROW(P983))*(P$2:P$1073&lt;&gt;""))),"")</f>
        <v>26.302016868074581</v>
      </c>
      <c r="W983" cm="1">
        <f t="array" ref="W983">IFERROR(AVERAGE(_xlfn._xlws.FILTER(Q$2:Q$1073,($C$2:$C$1073=$C983)*($E$2:$E$1073=$E983)*(ROW(Q$2:Q$1073)&lt;&gt;ROW(Q983))*(Q$2:Q$1073&lt;&gt;""))),"")</f>
        <v>0.46953895381247501</v>
      </c>
      <c r="X983" cm="1">
        <f t="array" ref="X983">IFERROR(AVERAGE(_xlfn._xlws.FILTER(R$2:R$1073,($C$2:$C$1073=$C983)*($E$2:$E$1073=$E983)*(ROW(R$2:R$1073)&lt;&gt;ROW(R983))*(R$2:R$1073&lt;&gt;""))),"")</f>
        <v>-0.13314954815625335</v>
      </c>
      <c r="Y983" cm="1">
        <f t="array" ref="Y983">IFERROR(AVERAGE(_xlfn._xlws.FILTER(S$2:S$1073,($C$2:$C$1073=$C983)*($E$2:$E$1073=$E983)*(ROW(S$2:S$1073)&lt;&gt;ROW(S983))*(S$2:S$1073&lt;&gt;""))),"")</f>
        <v>1.4501278407222185</v>
      </c>
      <c r="Z983" cm="1">
        <f t="array" ref="Z983">IFERROR(AVERAGE(_xlfn._xlws.FILTER(T$2:T$1073,($C$2:$C$1073=$C983)*($E$2:$E$1073=$E983)*(ROW(T$2:T$1073)&lt;&gt;ROW(T983))*(T$2:T$1073&lt;&gt;""))),"")</f>
        <v>2.0572193629564223E-2</v>
      </c>
      <c r="AA983" cm="1">
        <f t="array" ref="AA983">IFERROR(AVERAGE(_xlfn._xlws.FILTER(U$2:U$1073,($C$2:$C$1073=$C983)*($E$2:$E$1073=$E983)*(ROW(U$2:U$1073)&lt;&gt;ROW(U983))*(U$2:U$1073&lt;&gt;""))),"")</f>
        <v>0.5727644942178961</v>
      </c>
    </row>
    <row r="984" spans="1:27" x14ac:dyDescent="0.2">
      <c r="A984" s="7" t="s">
        <v>2300</v>
      </c>
      <c r="B984" t="str">
        <f t="shared" si="167"/>
        <v>NKHP IV кв. 2019</v>
      </c>
      <c r="C984">
        <v>2019</v>
      </c>
      <c r="D984">
        <f>SUMIFS(Дивиденды!$C:$C,Дивиденды!$A:$A,A984,Дивиденды!$I:$I,C984)</f>
        <v>7.32</v>
      </c>
      <c r="E984">
        <v>7</v>
      </c>
      <c r="F984">
        <f t="shared" si="168"/>
        <v>7.32</v>
      </c>
      <c r="G984">
        <f t="shared" si="169"/>
        <v>0.33750000000000002</v>
      </c>
      <c r="H984">
        <f t="shared" si="170"/>
        <v>1</v>
      </c>
      <c r="I984">
        <f t="shared" si="166"/>
        <v>0.25</v>
      </c>
      <c r="J984">
        <f t="shared" si="171"/>
        <v>-0.70376365843787936</v>
      </c>
      <c r="K984">
        <f t="shared" si="175"/>
        <v>-0.236328125</v>
      </c>
      <c r="L984">
        <f t="shared" si="172"/>
        <v>0</v>
      </c>
      <c r="M984">
        <f t="shared" si="165"/>
        <v>0.25</v>
      </c>
      <c r="N984">
        <f t="shared" si="173"/>
        <v>1</v>
      </c>
      <c r="O984">
        <f t="shared" si="174"/>
        <v>0.25</v>
      </c>
      <c r="P984">
        <f>IFERROR(LN('Дивиденды по годам'!I984),"")</f>
        <v>23.400206034649745</v>
      </c>
      <c r="Q984">
        <f>IFERROR('Дивиденды по годам'!G984/'Дивиденды по годам'!I984, "")</f>
        <v>0.59039241612446969</v>
      </c>
      <c r="R984">
        <f>IFERROR(IF(AND('Дивиденды по годам'!N984&lt;&gt;"",'Дивиденды по годам'!U984&lt;&gt;"",'Дивиденды по годам'!U984&lt;&gt;0),'Дивиденды по годам'!N984/'Дивиденды по годам'!U984-1,""),"")</f>
        <v>0.36384003365482909</v>
      </c>
      <c r="S984">
        <f>IFERROR(IF(AND('Дивиденды по годам'!L984&lt;&gt;"",'Дивиденды по годам'!I984&lt;&gt;"",'Дивиденды по годам'!J984&lt;&gt;"",'Дивиденды по годам'!K984&lt;&gt;"",('Дивиденды по годам'!I984-'Дивиденды по годам'!J984-'Дивиденды по годам'!K984)&lt;&gt;0),'Дивиденды по годам'!L984/('Дивиденды по годам'!I984-'Дивиденды по годам'!J984-'Дивиденды по годам'!K984),""),"")</f>
        <v>0.98939762173082091</v>
      </c>
      <c r="T984">
        <f>IFERROR(IF(AND('Дивиденды по годам'!Q984&lt;&gt;"",'Дивиденды по годам'!I984&lt;&gt;"",'Дивиденды по годам'!V984&lt;&gt;"",('Дивиденды по годам'!I984+'Дивиденды по годам'!V984)&lt;&gt;0),'Дивиденды по годам'!Q984/(('Дивиденды по годам'!I984+'Дивиденды по годам'!V984)/2),""),"")</f>
        <v>7.3537460389926687E-2</v>
      </c>
      <c r="U984">
        <f>IFERROR(IF(AND('Дивиденды по годам'!J984&lt;&gt;"",'Дивиденды по годам'!K984&lt;&gt;"",'Дивиденды по годам'!M984&lt;&gt;"",'Дивиденды по годам'!M984&lt;&gt;0),('Дивиденды по годам'!J984+'Дивиденды по годам'!K984)/'Дивиденды по годам'!M984,""),"")</f>
        <v>1.28063733159547</v>
      </c>
      <c r="V984" cm="1">
        <f t="array" ref="V984">IFERROR(AVERAGE(_xlfn._xlws.FILTER(P$2:P$1073,($C$2:$C$1073=$C984)*($E$2:$E$1073=$E984)*(ROW(P$2:P$1073)&lt;&gt;ROW(P984))*(P$2:P$1073&lt;&gt;""))),"")</f>
        <v>26.320635388501</v>
      </c>
      <c r="W984" cm="1">
        <f t="array" ref="W984">IFERROR(AVERAGE(_xlfn._xlws.FILTER(Q$2:Q$1073,($C$2:$C$1073=$C984)*($E$2:$E$1073=$E984)*(ROW(Q$2:Q$1073)&lt;&gt;ROW(Q984))*(Q$2:Q$1073&lt;&gt;""))),"")</f>
        <v>0.43824265256504269</v>
      </c>
      <c r="X984" cm="1">
        <f t="array" ref="X984">IFERROR(AVERAGE(_xlfn._xlws.FILTER(R$2:R$1073,($C$2:$C$1073=$C984)*($E$2:$E$1073=$E984)*(ROW(R$2:R$1073)&lt;&gt;ROW(R984))*(R$2:R$1073&lt;&gt;""))),"")</f>
        <v>4.1825885529947482E-2</v>
      </c>
      <c r="Y984" cm="1">
        <f t="array" ref="Y984">IFERROR(AVERAGE(_xlfn._xlws.FILTER(S$2:S$1073,($C$2:$C$1073=$C984)*($E$2:$E$1073=$E984)*(ROW(S$2:S$1073)&lt;&gt;ROW(S984))*(S$2:S$1073&lt;&gt;""))),"")</f>
        <v>-3.7437258968558651</v>
      </c>
      <c r="Z984" cm="1">
        <f t="array" ref="Z984">IFERROR(AVERAGE(_xlfn._xlws.FILTER(T$2:T$1073,($C$2:$C$1073=$C984)*($E$2:$E$1073=$E984)*(ROW(T$2:T$1073)&lt;&gt;ROW(T984))*(T$2:T$1073&lt;&gt;""))),"")</f>
        <v>0.10107087887491074</v>
      </c>
      <c r="AA984" cm="1">
        <f t="array" ref="AA984">IFERROR(AVERAGE(_xlfn._xlws.FILTER(U$2:U$1073,($C$2:$C$1073=$C984)*($E$2:$E$1073=$E984)*(ROW(U$2:U$1073)&lt;&gt;ROW(U984))*(U$2:U$1073&lt;&gt;""))),"")</f>
        <v>122.36871397003094</v>
      </c>
    </row>
    <row r="985" spans="1:27" x14ac:dyDescent="0.2">
      <c r="A985" s="7" t="s">
        <v>2300</v>
      </c>
      <c r="B985" t="str">
        <f t="shared" si="167"/>
        <v>NKHP IV кв. 2018</v>
      </c>
      <c r="C985">
        <v>2018</v>
      </c>
      <c r="D985">
        <f>SUMIFS(Дивиденды!$C:$C,Дивиденды!$A:$A,A985,Дивиденды!$I:$I,C985)</f>
        <v>24.71</v>
      </c>
      <c r="E985">
        <v>7</v>
      </c>
      <c r="F985">
        <f t="shared" si="168"/>
        <v>24.71</v>
      </c>
      <c r="G985">
        <f t="shared" si="169"/>
        <v>0.99249999999999994</v>
      </c>
      <c r="H985">
        <f t="shared" si="170"/>
        <v>1</v>
      </c>
      <c r="I985">
        <f t="shared" si="166"/>
        <v>0.5</v>
      </c>
      <c r="J985">
        <f t="shared" si="171"/>
        <v>0.24358329139406137</v>
      </c>
      <c r="K985">
        <f t="shared" si="175"/>
        <v>5.2498048399687719E-2</v>
      </c>
      <c r="L985">
        <f t="shared" si="172"/>
        <v>1</v>
      </c>
      <c r="M985">
        <f t="shared" si="165"/>
        <v>0.25</v>
      </c>
      <c r="N985">
        <f t="shared" si="173"/>
        <v>0</v>
      </c>
      <c r="O985">
        <f t="shared" si="174"/>
        <v>0.25</v>
      </c>
      <c r="P985">
        <f>IFERROR(LN('Дивиденды по годам'!I985),"")</f>
        <v>23.221811879211966</v>
      </c>
      <c r="Q985">
        <f>IFERROR('Дивиденды по годам'!G985/'Дивиденды по годам'!I985, "")</f>
        <v>0.61263865216295488</v>
      </c>
      <c r="R985">
        <f>IFERROR(IF(AND('Дивиденды по годам'!N985&lt;&gt;"",'Дивиденды по годам'!U985&lt;&gt;"",'Дивиденды по годам'!U985&lt;&gt;0),'Дивиденды по годам'!N985/'Дивиденды по годам'!U985-1,""),"")</f>
        <v>1.1420426635898151</v>
      </c>
      <c r="S985">
        <f>IFERROR(IF(AND('Дивиденды по годам'!L985&lt;&gt;"",'Дивиденды по годам'!I985&lt;&gt;"",'Дивиденды по годам'!J985&lt;&gt;"",'Дивиденды по годам'!K985&lt;&gt;"",('Дивиденды по годам'!I985-'Дивиденды по годам'!J985-'Дивиденды по годам'!K985)&lt;&gt;0),'Дивиденды по годам'!L985/('Дивиденды по годам'!I985-'Дивиденды по годам'!J985-'Дивиденды по годам'!K985),""),"")</f>
        <v>0.98865576791932341</v>
      </c>
      <c r="T985">
        <f>IFERROR(IF(AND('Дивиденды по годам'!Q985&lt;&gt;"",'Дивиденды по годам'!I985&lt;&gt;"",'Дивиденды по годам'!V985&lt;&gt;"",('Дивиденды по годам'!I985+'Дивиденды по годам'!V985)&lt;&gt;0),'Дивиденды по годам'!Q985/(('Дивиденды по годам'!I985+'Дивиденды по годам'!V985)/2),""),"")</f>
        <v>0.32355380367904224</v>
      </c>
      <c r="U985">
        <f>IFERROR(IF(AND('Дивиденды по годам'!J985&lt;&gt;"",'Дивиденды по годам'!K985&lt;&gt;"",'Дивиденды по годам'!M985&lt;&gt;"",'Дивиденды по годам'!M985&lt;&gt;0),('Дивиденды по годам'!J985+'Дивиденды по годам'!K985)/'Дивиденды по годам'!M985,""),"")</f>
        <v>0.930154361016854</v>
      </c>
      <c r="V985" cm="1">
        <f t="array" ref="V985">IFERROR(AVERAGE(_xlfn._xlws.FILTER(P$2:P$1073,($C$2:$C$1073=$C985)*($E$2:$E$1073=$E985)*(ROW(P$2:P$1073)&lt;&gt;ROW(P985))*(P$2:P$1073&lt;&gt;""))),"")</f>
        <v>25.924098945138319</v>
      </c>
      <c r="W985" cm="1">
        <f t="array" ref="W985">IFERROR(AVERAGE(_xlfn._xlws.FILTER(Q$2:Q$1073,($C$2:$C$1073=$C985)*($E$2:$E$1073=$E985)*(ROW(Q$2:Q$1073)&lt;&gt;ROW(Q985))*(Q$2:Q$1073&lt;&gt;""))),"")</f>
        <v>0.5712225898482528</v>
      </c>
      <c r="X985" cm="1">
        <f t="array" ref="X985">IFERROR(AVERAGE(_xlfn._xlws.FILTER(R$2:R$1073,($C$2:$C$1073=$C985)*($E$2:$E$1073=$E985)*(ROW(R$2:R$1073)&lt;&gt;ROW(R985))*(R$2:R$1073&lt;&gt;""))),"")</f>
        <v>0.18294348218592482</v>
      </c>
      <c r="Y985" cm="1">
        <f t="array" ref="Y985">IFERROR(AVERAGE(_xlfn._xlws.FILTER(S$2:S$1073,($C$2:$C$1073=$C985)*($E$2:$E$1073=$E985)*(ROW(S$2:S$1073)&lt;&gt;ROW(S985))*(S$2:S$1073&lt;&gt;""))),"")</f>
        <v>1.2782238503859331</v>
      </c>
      <c r="Z985" cm="1">
        <f t="array" ref="Z985">IFERROR(AVERAGE(_xlfn._xlws.FILTER(T$2:T$1073,($C$2:$C$1073=$C985)*($E$2:$E$1073=$E985)*(ROW(T$2:T$1073)&lt;&gt;ROW(T985))*(T$2:T$1073&lt;&gt;""))),"")</f>
        <v>6.4398180404089969E-2</v>
      </c>
      <c r="AA985" cm="1">
        <f t="array" ref="AA985">IFERROR(AVERAGE(_xlfn._xlws.FILTER(U$2:U$1073,($C$2:$C$1073=$C985)*($E$2:$E$1073=$E985)*(ROW(U$2:U$1073)&lt;&gt;ROW(U985))*(U$2:U$1073&lt;&gt;""))),"")</f>
        <v>6.7475770711754128</v>
      </c>
    </row>
    <row r="986" spans="1:27" x14ac:dyDescent="0.2">
      <c r="A986" s="7" t="s">
        <v>2300</v>
      </c>
      <c r="B986" t="str">
        <f t="shared" si="167"/>
        <v>NKHP IV кв. 2017</v>
      </c>
      <c r="C986">
        <v>2017</v>
      </c>
      <c r="D986">
        <f>SUMIFS(Дивиденды!$C:$C,Дивиденды!$A:$A,A986,Дивиденды!$I:$I,C986)</f>
        <v>19.87</v>
      </c>
      <c r="E986">
        <v>7</v>
      </c>
      <c r="F986">
        <f t="shared" si="168"/>
        <v>19.87</v>
      </c>
      <c r="G986">
        <f t="shared" si="169"/>
        <v>3.2025000000000001</v>
      </c>
      <c r="H986">
        <f t="shared" si="170"/>
        <v>1</v>
      </c>
      <c r="I986">
        <f t="shared" si="166"/>
        <v>0.25</v>
      </c>
      <c r="J986">
        <f t="shared" si="171"/>
        <v>0.68104906937394249</v>
      </c>
      <c r="K986">
        <f t="shared" si="175"/>
        <v>-0.31679061784897022</v>
      </c>
      <c r="L986">
        <f t="shared" si="172"/>
        <v>1</v>
      </c>
      <c r="M986">
        <f t="shared" si="165"/>
        <v>0</v>
      </c>
      <c r="N986">
        <f t="shared" si="173"/>
        <v>0</v>
      </c>
      <c r="O986">
        <f t="shared" si="174"/>
        <v>0.5</v>
      </c>
      <c r="P986">
        <f>IFERROR(LN('Дивиденды по годам'!I986),"")</f>
        <v>22.902579636310467</v>
      </c>
      <c r="Q986">
        <f>IFERROR('Дивиденды по годам'!G986/'Дивиденды по годам'!I986, "")</f>
        <v>0.50645740533229988</v>
      </c>
      <c r="R986">
        <f>IFERROR(IF(AND('Дивиденды по годам'!N986&lt;&gt;"",'Дивиденды по годам'!U986&lt;&gt;"",'Дивиденды по годам'!U986&lt;&gt;0),'Дивиденды по годам'!N986/'Дивиденды по годам'!U986-1,""),"")</f>
        <v>0.34354230764671922</v>
      </c>
      <c r="S986">
        <f>IFERROR(IF(AND('Дивиденды по годам'!L986&lt;&gt;"",'Дивиденды по годам'!I986&lt;&gt;"",'Дивиденды по годам'!J986&lt;&gt;"",'Дивиденды по годам'!K986&lt;&gt;"",('Дивиденды по годам'!I986-'Дивиденды по годам'!J986-'Дивиденды по годам'!K986)&lt;&gt;0),'Дивиденды по годам'!L986/('Дивиденды по годам'!I986-'Дивиденды по годам'!J986-'Дивиденды по годам'!K986),""),"")</f>
        <v>0.98492336446930562</v>
      </c>
      <c r="T986">
        <f>IFERROR(IF(AND('Дивиденды по годам'!Q986&lt;&gt;"",'Дивиденды по годам'!I986&lt;&gt;"",'Дивиденды по годам'!V986&lt;&gt;"",('Дивиденды по годам'!I986+'Дивиденды по годам'!V986)&lt;&gt;0),'Дивиденды по годам'!Q986/(('Дивиденды по годам'!I986+'Дивиденды по годам'!V986)/2),""),"")</f>
        <v>0.34178842813690252</v>
      </c>
      <c r="U986">
        <f>IFERROR(IF(AND('Дивиденды по годам'!J986&lt;&gt;"",'Дивиденды по годам'!K986&lt;&gt;"",'Дивиденды по годам'!M986&lt;&gt;"",'Дивиденды по годам'!M986&lt;&gt;0),('Дивиденды по годам'!J986+'Дивиденды по годам'!K986)/'Дивиденды по годам'!M986,""),"")</f>
        <v>0.97170061290581589</v>
      </c>
      <c r="V986" cm="1">
        <f t="array" ref="V986">IFERROR(AVERAGE(_xlfn._xlws.FILTER(P$2:P$1073,($C$2:$C$1073=$C986)*($E$2:$E$1073=$E986)*(ROW(P$2:P$1073)&lt;&gt;ROW(P986))*(P$2:P$1073&lt;&gt;""))),"")</f>
        <v>25.931649217743434</v>
      </c>
      <c r="W986" cm="1">
        <f t="array" ref="W986">IFERROR(AVERAGE(_xlfn._xlws.FILTER(Q$2:Q$1073,($C$2:$C$1073=$C986)*($E$2:$E$1073=$E986)*(ROW(Q$2:Q$1073)&lt;&gt;ROW(Q986))*(Q$2:Q$1073&lt;&gt;""))),"")</f>
        <v>0.52282918549929669</v>
      </c>
      <c r="X986" cm="1">
        <f t="array" ref="X986">IFERROR(AVERAGE(_xlfn._xlws.FILTER(R$2:R$1073,($C$2:$C$1073=$C986)*($E$2:$E$1073=$E986)*(ROW(R$2:R$1073)&lt;&gt;ROW(R986))*(R$2:R$1073&lt;&gt;""))),"")</f>
        <v>1.4976131358497485E-2</v>
      </c>
      <c r="Y986" cm="1">
        <f t="array" ref="Y986">IFERROR(AVERAGE(_xlfn._xlws.FILTER(S$2:S$1073,($C$2:$C$1073=$C986)*($E$2:$E$1073=$E986)*(ROW(S$2:S$1073)&lt;&gt;ROW(S986))*(S$2:S$1073&lt;&gt;""))),"")</f>
        <v>0.32449683313137495</v>
      </c>
      <c r="Z986" cm="1">
        <f t="array" ref="Z986">IFERROR(AVERAGE(_xlfn._xlws.FILTER(T$2:T$1073,($C$2:$C$1073=$C986)*($E$2:$E$1073=$E986)*(ROW(T$2:T$1073)&lt;&gt;ROW(T986))*(T$2:T$1073&lt;&gt;""))),"")</f>
        <v>0.12123129389994387</v>
      </c>
      <c r="AA986" cm="1">
        <f t="array" ref="AA986">IFERROR(AVERAGE(_xlfn._xlws.FILTER(U$2:U$1073,($C$2:$C$1073=$C986)*($E$2:$E$1073=$E986)*(ROW(U$2:U$1073)&lt;&gt;ROW(U986))*(U$2:U$1073&lt;&gt;""))),"")</f>
        <v>6.3795212829798684</v>
      </c>
    </row>
    <row r="987" spans="1:27" x14ac:dyDescent="0.2">
      <c r="A987" s="7" t="s">
        <v>2300</v>
      </c>
      <c r="B987" t="str">
        <f t="shared" si="167"/>
        <v>NKHP IV кв. 2016</v>
      </c>
      <c r="C987">
        <v>2016</v>
      </c>
      <c r="D987">
        <f>SUMIFS(Дивиденды!$C:$C,Дивиденды!$A:$A,A987,Дивиденды!$I:$I,C987)</f>
        <v>11.82</v>
      </c>
      <c r="E987">
        <v>7</v>
      </c>
      <c r="F987">
        <f t="shared" si="168"/>
        <v>11.82</v>
      </c>
      <c r="G987">
        <f t="shared" si="169"/>
        <v>4.6954750000000001</v>
      </c>
      <c r="H987">
        <f t="shared" si="170"/>
        <v>1</v>
      </c>
      <c r="I987">
        <f t="shared" si="166"/>
        <v>0.5</v>
      </c>
      <c r="J987">
        <f t="shared" si="171"/>
        <v>-0.32068965517241371</v>
      </c>
      <c r="K987">
        <f t="shared" si="175"/>
        <v>0.5</v>
      </c>
      <c r="L987">
        <f t="shared" si="172"/>
        <v>0</v>
      </c>
      <c r="M987">
        <f t="shared" si="165"/>
        <v>0.5</v>
      </c>
      <c r="N987">
        <f t="shared" si="173"/>
        <v>1</v>
      </c>
      <c r="O987">
        <f t="shared" si="174"/>
        <v>0</v>
      </c>
      <c r="P987">
        <f>IFERROR(LN('Дивиденды по годам'!I987),"")</f>
        <v>22.367238500543078</v>
      </c>
      <c r="Q987">
        <f>IFERROR('Дивиденды по годам'!G987/'Дивиденды по годам'!I987, "")</f>
        <v>0.68598022679101722</v>
      </c>
      <c r="R987" t="str">
        <f>IFERROR(IF(AND('Дивиденды по годам'!N987&lt;&gt;"",'Дивиденды по годам'!U987&lt;&gt;"",'Дивиденды по годам'!U987&lt;&gt;0),'Дивиденды по годам'!N987/'Дивиденды по годам'!U987-1,""),"")</f>
        <v/>
      </c>
      <c r="S987">
        <f>IFERROR(IF(AND('Дивиденды по годам'!L987&lt;&gt;"",'Дивиденды по годам'!I987&lt;&gt;"",'Дивиденды по годам'!J987&lt;&gt;"",'Дивиденды по годам'!K987&lt;&gt;"",('Дивиденды по годам'!I987-'Дивиденды по годам'!J987-'Дивиденды по годам'!K987)&lt;&gt;0),'Дивиденды по годам'!L987/('Дивиденды по годам'!I987-'Дивиденды по годам'!J987-'Дивиденды по годам'!K987),""),"")</f>
        <v>0.9789225187335987</v>
      </c>
      <c r="T987" t="str">
        <f>IFERROR(IF(AND('Дивиденды по годам'!Q987&lt;&gt;"",'Дивиденды по годам'!I987&lt;&gt;"",'Дивиденды по годам'!V987&lt;&gt;"",('Дивиденды по годам'!I987+'Дивиденды по годам'!V987)&lt;&gt;0),'Дивиденды по годам'!Q987/(('Дивиденды по годам'!I987+'Дивиденды по годам'!V987)/2),""),"")</f>
        <v/>
      </c>
      <c r="U987">
        <f>IFERROR(IF(AND('Дивиденды по годам'!J987&lt;&gt;"",'Дивиденды по годам'!K987&lt;&gt;"",'Дивиденды по годам'!M987&lt;&gt;"",'Дивиденды по годам'!M987&lt;&gt;0),('Дивиденды по годам'!J987+'Дивиденды по годам'!K987)/'Дивиденды по годам'!M987,""),"")</f>
        <v>0.61383654623282546</v>
      </c>
      <c r="V987" cm="1">
        <f t="array" ref="V987">IFERROR(AVERAGE(_xlfn._xlws.FILTER(P$2:P$1073,($C$2:$C$1073=$C987)*($E$2:$E$1073=$E987)*(ROW(P$2:P$1073)&lt;&gt;ROW(P987))*(P$2:P$1073&lt;&gt;""))),"")</f>
        <v>25.909243175968101</v>
      </c>
      <c r="W987" cm="1">
        <f t="array" ref="W987">IFERROR(AVERAGE(_xlfn._xlws.FILTER(Q$2:Q$1073,($C$2:$C$1073=$C987)*($E$2:$E$1073=$E987)*(ROW(Q$2:Q$1073)&lt;&gt;ROW(Q987))*(Q$2:Q$1073&lt;&gt;""))),"")</f>
        <v>0.5287555040684222</v>
      </c>
      <c r="X987" cm="1">
        <f t="array" ref="X987">IFERROR(AVERAGE(_xlfn._xlws.FILTER(R$2:R$1073,($C$2:$C$1073=$C987)*($E$2:$E$1073=$E987)*(ROW(R$2:R$1073)&lt;&gt;ROW(R987))*(R$2:R$1073&lt;&gt;""))),"")</f>
        <v>9.945660940703209E-2</v>
      </c>
      <c r="Y987" cm="1">
        <f t="array" ref="Y987">IFERROR(AVERAGE(_xlfn._xlws.FILTER(S$2:S$1073,($C$2:$C$1073=$C987)*($E$2:$E$1073=$E987)*(ROW(S$2:S$1073)&lt;&gt;ROW(S987))*(S$2:S$1073&lt;&gt;""))),"")</f>
        <v>1.4638699824415562</v>
      </c>
      <c r="Z987" cm="1">
        <f t="array" ref="Z987">IFERROR(AVERAGE(_xlfn._xlws.FILTER(T$2:T$1073,($C$2:$C$1073=$C987)*($E$2:$E$1073=$E987)*(ROW(T$2:T$1073)&lt;&gt;ROW(T987))*(T$2:T$1073&lt;&gt;""))),"")</f>
        <v>5.9474833999789568E-2</v>
      </c>
      <c r="AA987" cm="1">
        <f t="array" ref="AA987">IFERROR(AVERAGE(_xlfn._xlws.FILTER(U$2:U$1073,($C$2:$C$1073=$C987)*($E$2:$E$1073=$E987)*(ROW(U$2:U$1073)&lt;&gt;ROW(U987))*(U$2:U$1073&lt;&gt;""))),"")</f>
        <v>1.1408422410179027</v>
      </c>
    </row>
    <row r="988" spans="1:27" x14ac:dyDescent="0.2">
      <c r="A988" s="7" t="s">
        <v>2300</v>
      </c>
      <c r="B988" t="str">
        <f t="shared" si="167"/>
        <v>NKHP IV кв. 2015</v>
      </c>
      <c r="C988">
        <v>2015</v>
      </c>
      <c r="D988">
        <f>SUMIFS(Дивиденды!$C:$C,Дивиденды!$A:$A,A988,Дивиденды!$I:$I,C988)</f>
        <v>17.399999999999999</v>
      </c>
      <c r="E988">
        <v>7</v>
      </c>
      <c r="F988">
        <f t="shared" si="168"/>
        <v>17.399999999999999</v>
      </c>
      <c r="G988">
        <f t="shared" si="169"/>
        <v>0</v>
      </c>
      <c r="H988">
        <f t="shared" si="170"/>
        <v>1</v>
      </c>
      <c r="I988">
        <f t="shared" si="166"/>
        <v>0</v>
      </c>
      <c r="J988">
        <f t="shared" si="171"/>
        <v>1</v>
      </c>
      <c r="K988">
        <f t="shared" si="175"/>
        <v>-0.25</v>
      </c>
      <c r="L988">
        <f t="shared" si="172"/>
        <v>1</v>
      </c>
      <c r="M988">
        <f t="shared" si="165"/>
        <v>0</v>
      </c>
      <c r="N988">
        <f t="shared" si="173"/>
        <v>0</v>
      </c>
      <c r="O988">
        <f t="shared" si="174"/>
        <v>0.25</v>
      </c>
      <c r="P988" t="str">
        <f>IFERROR(LN('Дивиденды по годам'!I988),"")</f>
        <v/>
      </c>
      <c r="Q988" t="str">
        <f>IFERROR('Дивиденды по годам'!G988/'Дивиденды по годам'!I988, "")</f>
        <v/>
      </c>
      <c r="R988" t="str">
        <f>IFERROR(IF(AND('Дивиденды по годам'!N988&lt;&gt;"",'Дивиденды по годам'!U988&lt;&gt;"",'Дивиденды по годам'!U988&lt;&gt;0),'Дивиденды по годам'!N988/'Дивиденды по годам'!U988-1,""),"")</f>
        <v/>
      </c>
      <c r="S988" t="str">
        <f>IFERROR(IF(AND('Дивиденды по годам'!L988&lt;&gt;"",'Дивиденды по годам'!I988&lt;&gt;"",'Дивиденды по годам'!J988&lt;&gt;"",'Дивиденды по годам'!K988&lt;&gt;"",('Дивиденды по годам'!I988-'Дивиденды по годам'!J988-'Дивиденды по годам'!K988)&lt;&gt;0),'Дивиденды по годам'!L988/('Дивиденды по годам'!I988-'Дивиденды по годам'!J988-'Дивиденды по годам'!K988),""),"")</f>
        <v/>
      </c>
      <c r="T988" t="str">
        <f>IFERROR(IF(AND('Дивиденды по годам'!Q988&lt;&gt;"",'Дивиденды по годам'!I988&lt;&gt;"",'Дивиденды по годам'!V988&lt;&gt;"",('Дивиденды по годам'!I988+'Дивиденды по годам'!V988)&lt;&gt;0),'Дивиденды по годам'!Q988/(('Дивиденды по годам'!I988+'Дивиденды по годам'!V988)/2),""),"")</f>
        <v/>
      </c>
      <c r="U988" t="str">
        <f>IFERROR(IF(AND('Дивиденды по годам'!J988&lt;&gt;"",'Дивиденды по годам'!K988&lt;&gt;"",'Дивиденды по годам'!M988&lt;&gt;"",'Дивиденды по годам'!M988&lt;&gt;0),('Дивиденды по годам'!J988+'Дивиденды по годам'!K988)/'Дивиденды по годам'!M988,""),"")</f>
        <v/>
      </c>
      <c r="V988" cm="1">
        <f t="array" ref="V988">IFERROR(AVERAGE(_xlfn._xlws.FILTER(P$2:P$1073,($C$2:$C$1073=$C988)*($E$2:$E$1073=$E988)*(ROW(P$2:P$1073)&lt;&gt;ROW(P988))*(P$2:P$1073&lt;&gt;""))),"")</f>
        <v>25.946113093409206</v>
      </c>
      <c r="W988" cm="1">
        <f t="array" ref="W988">IFERROR(AVERAGE(_xlfn._xlws.FILTER(Q$2:Q$1073,($C$2:$C$1073=$C988)*($E$2:$E$1073=$E988)*(ROW(Q$2:Q$1073)&lt;&gt;ROW(Q988))*(Q$2:Q$1073&lt;&gt;""))),"")</f>
        <v>0.53588363996896138</v>
      </c>
      <c r="X988" cm="1">
        <f t="array" ref="X988">IFERROR(AVERAGE(_xlfn._xlws.FILTER(R$2:R$1073,($C$2:$C$1073=$C988)*($E$2:$E$1073=$E988)*(ROW(R$2:R$1073)&lt;&gt;ROW(R988))*(R$2:R$1073&lt;&gt;""))),"")</f>
        <v>0.23188574425603645</v>
      </c>
      <c r="Y988" cm="1">
        <f t="array" ref="Y988">IFERROR(AVERAGE(_xlfn._xlws.FILTER(S$2:S$1073,($C$2:$C$1073=$C988)*($E$2:$E$1073=$E988)*(ROW(S$2:S$1073)&lt;&gt;ROW(S988))*(S$2:S$1073&lt;&gt;""))),"")</f>
        <v>0.87227414330218056</v>
      </c>
      <c r="Z988" cm="1">
        <f t="array" ref="Z988">IFERROR(AVERAGE(_xlfn._xlws.FILTER(T$2:T$1073,($C$2:$C$1073=$C988)*($E$2:$E$1073=$E988)*(ROW(T$2:T$1073)&lt;&gt;ROW(T988))*(T$2:T$1073&lt;&gt;""))),"")</f>
        <v>-4.1087370784105119E-2</v>
      </c>
      <c r="AA988" cm="1">
        <f t="array" ref="AA988">IFERROR(AVERAGE(_xlfn._xlws.FILTER(U$2:U$1073,($C$2:$C$1073=$C988)*($E$2:$E$1073=$E988)*(ROW(U$2:U$1073)&lt;&gt;ROW(U988))*(U$2:U$1073&lt;&gt;""))),"")</f>
        <v>-4.1029699850533428</v>
      </c>
    </row>
    <row r="989" spans="1:27" x14ac:dyDescent="0.2">
      <c r="A989" s="7" t="s">
        <v>2300</v>
      </c>
      <c r="B989" t="str">
        <f t="shared" si="167"/>
        <v>NKHP IV кв. 2014</v>
      </c>
      <c r="C989">
        <v>2014</v>
      </c>
      <c r="D989">
        <f>SUMIFS(Дивиденды!$C:$C,Дивиденды!$A:$A,A989,Дивиденды!$I:$I,C989)</f>
        <v>0</v>
      </c>
      <c r="E989">
        <v>7</v>
      </c>
      <c r="F989">
        <f t="shared" si="168"/>
        <v>0</v>
      </c>
      <c r="G989">
        <f t="shared" si="169"/>
        <v>5.7500000000000002E-2</v>
      </c>
      <c r="H989">
        <f t="shared" si="170"/>
        <v>0</v>
      </c>
      <c r="I989">
        <f t="shared" si="166"/>
        <v>0.25</v>
      </c>
      <c r="J989">
        <f t="shared" si="171"/>
        <v>0</v>
      </c>
      <c r="K989">
        <f t="shared" si="175"/>
        <v>1.9572649572649574</v>
      </c>
      <c r="L989">
        <f t="shared" si="172"/>
        <v>0</v>
      </c>
      <c r="M989">
        <f t="shared" si="165"/>
        <v>0.25</v>
      </c>
      <c r="N989">
        <f t="shared" si="173"/>
        <v>0</v>
      </c>
      <c r="O989">
        <f t="shared" si="174"/>
        <v>0.25</v>
      </c>
      <c r="P989" t="str">
        <f>IFERROR(LN('Дивиденды по годам'!I989),"")</f>
        <v/>
      </c>
      <c r="Q989" t="str">
        <f>IFERROR('Дивиденды по годам'!G989/'Дивиденды по годам'!I989, "")</f>
        <v/>
      </c>
      <c r="R989" t="str">
        <f>IFERROR(IF(AND('Дивиденды по годам'!N989&lt;&gt;"",'Дивиденды по годам'!U989&lt;&gt;"",'Дивиденды по годам'!U989&lt;&gt;0),'Дивиденды по годам'!N989/'Дивиденды по годам'!U989-1,""),"")</f>
        <v/>
      </c>
      <c r="S989" t="str">
        <f>IFERROR(IF(AND('Дивиденды по годам'!L989&lt;&gt;"",'Дивиденды по годам'!I989&lt;&gt;"",'Дивиденды по годам'!J989&lt;&gt;"",'Дивиденды по годам'!K989&lt;&gt;"",('Дивиденды по годам'!I989-'Дивиденды по годам'!J989-'Дивиденды по годам'!K989)&lt;&gt;0),'Дивиденды по годам'!L989/('Дивиденды по годам'!I989-'Дивиденды по годам'!J989-'Дивиденды по годам'!K989),""),"")</f>
        <v/>
      </c>
      <c r="T989" t="str">
        <f>IFERROR(IF(AND('Дивиденды по годам'!Q989&lt;&gt;"",'Дивиденды по годам'!I989&lt;&gt;"",'Дивиденды по годам'!V989&lt;&gt;"",('Дивиденды по годам'!I989+'Дивиденды по годам'!V989)&lt;&gt;0),'Дивиденды по годам'!Q989/(('Дивиденды по годам'!I989+'Дивиденды по годам'!V989)/2),""),"")</f>
        <v/>
      </c>
      <c r="U989" t="str">
        <f>IFERROR(IF(AND('Дивиденды по годам'!J989&lt;&gt;"",'Дивиденды по годам'!K989&lt;&gt;"",'Дивиденды по годам'!M989&lt;&gt;"",'Дивиденды по годам'!M989&lt;&gt;0),('Дивиденды по годам'!J989+'Дивиденды по годам'!K989)/'Дивиденды по годам'!M989,""),"")</f>
        <v/>
      </c>
      <c r="V989" cm="1">
        <f t="array" ref="V989">IFERROR(AVERAGE(_xlfn._xlws.FILTER(P$2:P$1073,($C$2:$C$1073=$C989)*($E$2:$E$1073=$E989)*(ROW(P$2:P$1073)&lt;&gt;ROW(P989))*(P$2:P$1073&lt;&gt;""))),"")</f>
        <v>25.705046128923968</v>
      </c>
      <c r="W989" cm="1">
        <f t="array" ref="W989">IFERROR(AVERAGE(_xlfn._xlws.FILTER(Q$2:Q$1073,($C$2:$C$1073=$C989)*($E$2:$E$1073=$E989)*(ROW(Q$2:Q$1073)&lt;&gt;ROW(Q989))*(Q$2:Q$1073&lt;&gt;""))),"")</f>
        <v>0.48790239705606331</v>
      </c>
      <c r="X989" cm="1">
        <f t="array" ref="X989">IFERROR(AVERAGE(_xlfn._xlws.FILTER(R$2:R$1073,($C$2:$C$1073=$C989)*($E$2:$E$1073=$E989)*(ROW(R$2:R$1073)&lt;&gt;ROW(R989))*(R$2:R$1073&lt;&gt;""))),"")</f>
        <v>0.21667993052031731</v>
      </c>
      <c r="Y989" cm="1">
        <f t="array" ref="Y989">IFERROR(AVERAGE(_xlfn._xlws.FILTER(S$2:S$1073,($C$2:$C$1073=$C989)*($E$2:$E$1073=$E989)*(ROW(S$2:S$1073)&lt;&gt;ROW(S989))*(S$2:S$1073&lt;&gt;""))),"")</f>
        <v>164.14893617021278</v>
      </c>
      <c r="Z989" cm="1">
        <f t="array" ref="Z989">IFERROR(AVERAGE(_xlfn._xlws.FILTER(T$2:T$1073,($C$2:$C$1073=$C989)*($E$2:$E$1073=$E989)*(ROW(T$2:T$1073)&lt;&gt;ROW(T989))*(T$2:T$1073&lt;&gt;""))),"")</f>
        <v>-7.435002008945274E-2</v>
      </c>
      <c r="AA989" cm="1">
        <f t="array" ref="AA989">IFERROR(AVERAGE(_xlfn._xlws.FILTER(U$2:U$1073,($C$2:$C$1073=$C989)*($E$2:$E$1073=$E989)*(ROW(U$2:U$1073)&lt;&gt;ROW(U989))*(U$2:U$1073&lt;&gt;""))),"")</f>
        <v>-388.52357883152689</v>
      </c>
    </row>
    <row r="990" spans="1:27" x14ac:dyDescent="0.2">
      <c r="A990" s="7" t="s">
        <v>2300</v>
      </c>
      <c r="B990" t="str">
        <f t="shared" si="167"/>
        <v>NKHP IV кв. 2013</v>
      </c>
      <c r="C990">
        <v>2013</v>
      </c>
      <c r="D990">
        <f>SUMIFS(Дивиденды!$C:$C,Дивиденды!$A:$A,A990,Дивиденды!$I:$I,C990)</f>
        <v>0</v>
      </c>
      <c r="E990">
        <v>7</v>
      </c>
      <c r="F990">
        <f t="shared" si="168"/>
        <v>0</v>
      </c>
      <c r="G990">
        <f t="shared" si="169"/>
        <v>0.63085000000000002</v>
      </c>
      <c r="H990">
        <f t="shared" si="170"/>
        <v>0</v>
      </c>
      <c r="I990">
        <f t="shared" si="166"/>
        <v>0.5</v>
      </c>
      <c r="J990">
        <f t="shared" si="171"/>
        <v>0</v>
      </c>
      <c r="K990">
        <f t="shared" si="175"/>
        <v>0.28667445938047931</v>
      </c>
      <c r="L990">
        <f t="shared" si="172"/>
        <v>0</v>
      </c>
      <c r="M990">
        <f t="shared" si="165"/>
        <v>0.25</v>
      </c>
      <c r="N990">
        <f t="shared" si="173"/>
        <v>0</v>
      </c>
      <c r="O990">
        <f t="shared" si="174"/>
        <v>0.25</v>
      </c>
      <c r="P990" t="str">
        <f>IFERROR(LN('Дивиденды по годам'!I990),"")</f>
        <v/>
      </c>
      <c r="Q990" t="str">
        <f>IFERROR('Дивиденды по годам'!G990/'Дивиденды по годам'!I990, "")</f>
        <v/>
      </c>
      <c r="R990" t="str">
        <f>IFERROR(IF(AND('Дивиденды по годам'!N990&lt;&gt;"",'Дивиденды по годам'!U990&lt;&gt;"",'Дивиденды по годам'!U990&lt;&gt;0),'Дивиденды по годам'!N990/'Дивиденды по годам'!U990-1,""),"")</f>
        <v/>
      </c>
      <c r="S990" t="str">
        <f>IFERROR(IF(AND('Дивиденды по годам'!L990&lt;&gt;"",'Дивиденды по годам'!I990&lt;&gt;"",'Дивиденды по годам'!J990&lt;&gt;"",'Дивиденды по годам'!K990&lt;&gt;"",('Дивиденды по годам'!I990-'Дивиденды по годам'!J990-'Дивиденды по годам'!K990)&lt;&gt;0),'Дивиденды по годам'!L990/('Дивиденды по годам'!I990-'Дивиденды по годам'!J990-'Дивиденды по годам'!K990),""),"")</f>
        <v/>
      </c>
      <c r="T990" t="str">
        <f>IFERROR(IF(AND('Дивиденды по годам'!Q990&lt;&gt;"",'Дивиденды по годам'!I990&lt;&gt;"",'Дивиденды по годам'!V990&lt;&gt;"",('Дивиденды по годам'!I990+'Дивиденды по годам'!V990)&lt;&gt;0),'Дивиденды по годам'!Q990/(('Дивиденды по годам'!I990+'Дивиденды по годам'!V990)/2),""),"")</f>
        <v/>
      </c>
      <c r="U990" t="str">
        <f>IFERROR(IF(AND('Дивиденды по годам'!J990&lt;&gt;"",'Дивиденды по годам'!K990&lt;&gt;"",'Дивиденды по годам'!M990&lt;&gt;"",'Дивиденды по годам'!M990&lt;&gt;0),('Дивиденды по годам'!J990+'Дивиденды по годам'!K990)/'Дивиденды по годам'!M990,""),"")</f>
        <v/>
      </c>
      <c r="V990" cm="1">
        <f t="array" ref="V990">IFERROR(AVERAGE(_xlfn._xlws.FILTER(P$2:P$1073,($C$2:$C$1073=$C990)*($E$2:$E$1073=$E990)*(ROW(P$2:P$1073)&lt;&gt;ROW(P990))*(P$2:P$1073&lt;&gt;""))),"")</f>
        <v>25.642567220223071</v>
      </c>
      <c r="W990" cm="1">
        <f t="array" ref="W990">IFERROR(AVERAGE(_xlfn._xlws.FILTER(Q$2:Q$1073,($C$2:$C$1073=$C990)*($E$2:$E$1073=$E990)*(ROW(Q$2:Q$1073)&lt;&gt;ROW(Q990))*(Q$2:Q$1073&lt;&gt;""))),"")</f>
        <v>0.55924455186888244</v>
      </c>
      <c r="X990" cm="1">
        <f t="array" ref="X990">IFERROR(AVERAGE(_xlfn._xlws.FILTER(R$2:R$1073,($C$2:$C$1073=$C990)*($E$2:$E$1073=$E990)*(ROW(R$2:R$1073)&lt;&gt;ROW(R990))*(R$2:R$1073&lt;&gt;""))),"")</f>
        <v>1.5495791150054691E-2</v>
      </c>
      <c r="Y990" t="str" cm="1">
        <f t="array" ref="Y990">IFERROR(AVERAGE(_xlfn._xlws.FILTER(S$2:S$1073,($C$2:$C$1073=$C990)*($E$2:$E$1073=$E990)*(ROW(S$2:S$1073)&lt;&gt;ROW(S990))*(S$2:S$1073&lt;&gt;""))),"")</f>
        <v/>
      </c>
      <c r="Z990" cm="1">
        <f t="array" ref="Z990">IFERROR(AVERAGE(_xlfn._xlws.FILTER(T$2:T$1073,($C$2:$C$1073=$C990)*($E$2:$E$1073=$E990)*(ROW(T$2:T$1073)&lt;&gt;ROW(T990))*(T$2:T$1073&lt;&gt;""))),"")</f>
        <v>5.3313915480385282E-3</v>
      </c>
      <c r="AA990" cm="1">
        <f t="array" ref="AA990">IFERROR(AVERAGE(_xlfn._xlws.FILTER(U$2:U$1073,($C$2:$C$1073=$C990)*($E$2:$E$1073=$E990)*(ROW(U$2:U$1073)&lt;&gt;ROW(U990))*(U$2:U$1073&lt;&gt;""))),"")</f>
        <v>2.1099058249129596</v>
      </c>
    </row>
    <row r="991" spans="1:27" x14ac:dyDescent="0.2">
      <c r="A991" s="7" t="s">
        <v>2300</v>
      </c>
      <c r="B991" t="str">
        <f t="shared" si="167"/>
        <v>NKHP IV кв. 2012</v>
      </c>
      <c r="C991">
        <v>2012</v>
      </c>
      <c r="D991">
        <f>SUMIFS(Дивиденды!$C:$C,Дивиденды!$A:$A,A991,Дивиденды!$I:$I,C991)</f>
        <v>0</v>
      </c>
      <c r="E991">
        <v>7</v>
      </c>
      <c r="F991">
        <f t="shared" si="168"/>
        <v>0</v>
      </c>
      <c r="G991">
        <f t="shared" si="169"/>
        <v>0.2959</v>
      </c>
      <c r="H991">
        <f t="shared" si="170"/>
        <v>0</v>
      </c>
      <c r="I991">
        <f t="shared" si="166"/>
        <v>0.5</v>
      </c>
      <c r="J991">
        <f t="shared" si="171"/>
        <v>0</v>
      </c>
      <c r="K991">
        <f t="shared" si="175"/>
        <v>-8.8715175737627869E-2</v>
      </c>
      <c r="L991">
        <f t="shared" si="172"/>
        <v>0</v>
      </c>
      <c r="M991">
        <f t="shared" si="165"/>
        <v>0.25</v>
      </c>
      <c r="N991">
        <f t="shared" si="173"/>
        <v>0</v>
      </c>
      <c r="O991">
        <f t="shared" si="174"/>
        <v>0.25</v>
      </c>
      <c r="P991" t="str">
        <f>IFERROR(LN('Дивиденды по годам'!I991),"")</f>
        <v/>
      </c>
      <c r="Q991" t="str">
        <f>IFERROR('Дивиденды по годам'!G991/'Дивиденды по годам'!I991, "")</f>
        <v/>
      </c>
      <c r="R991" t="str">
        <f>IFERROR(IF(AND('Дивиденды по годам'!N991&lt;&gt;"",'Дивиденды по годам'!U991&lt;&gt;"",'Дивиденды по годам'!U991&lt;&gt;0),'Дивиденды по годам'!N991/'Дивиденды по годам'!U991-1,""),"")</f>
        <v/>
      </c>
      <c r="S991" t="str">
        <f>IFERROR(IF(AND('Дивиденды по годам'!L991&lt;&gt;"",'Дивиденды по годам'!I991&lt;&gt;"",'Дивиденды по годам'!J991&lt;&gt;"",'Дивиденды по годам'!K991&lt;&gt;"",('Дивиденды по годам'!I991-'Дивиденды по годам'!J991-'Дивиденды по годам'!K991)&lt;&gt;0),'Дивиденды по годам'!L991/('Дивиденды по годам'!I991-'Дивиденды по годам'!J991-'Дивиденды по годам'!K991),""),"")</f>
        <v/>
      </c>
      <c r="T991" t="str">
        <f>IFERROR(IF(AND('Дивиденды по годам'!Q991&lt;&gt;"",'Дивиденды по годам'!I991&lt;&gt;"",'Дивиденды по годам'!V991&lt;&gt;"",('Дивиденды по годам'!I991+'Дивиденды по годам'!V991)&lt;&gt;0),'Дивиденды по годам'!Q991/(('Дивиденды по годам'!I991+'Дивиденды по годам'!V991)/2),""),"")</f>
        <v/>
      </c>
      <c r="U991" t="str">
        <f>IFERROR(IF(AND('Дивиденды по годам'!J991&lt;&gt;"",'Дивиденды по годам'!K991&lt;&gt;"",'Дивиденды по годам'!M991&lt;&gt;"",'Дивиденды по годам'!M991&lt;&gt;0),('Дивиденды по годам'!J991+'Дивиденды по годам'!K991)/'Дивиденды по годам'!M991,""),"")</f>
        <v/>
      </c>
      <c r="V991" cm="1">
        <f t="array" ref="V991">IFERROR(AVERAGE(_xlfn._xlws.FILTER(P$2:P$1073,($C$2:$C$1073=$C991)*($E$2:$E$1073=$E991)*(ROW(P$2:P$1073)&lt;&gt;ROW(P991))*(P$2:P$1073&lt;&gt;""))),"")</f>
        <v>25.544110610302017</v>
      </c>
      <c r="W991" cm="1">
        <f t="array" ref="W991">IFERROR(AVERAGE(_xlfn._xlws.FILTER(Q$2:Q$1073,($C$2:$C$1073=$C991)*($E$2:$E$1073=$E991)*(ROW(Q$2:Q$1073)&lt;&gt;ROW(Q991))*(Q$2:Q$1073&lt;&gt;""))),"")</f>
        <v>0.42679404714034713</v>
      </c>
      <c r="X991" cm="1">
        <f t="array" ref="X991">IFERROR(AVERAGE(_xlfn._xlws.FILTER(R$2:R$1073,($C$2:$C$1073=$C991)*($E$2:$E$1073=$E991)*(ROW(R$2:R$1073)&lt;&gt;ROW(R991))*(R$2:R$1073&lt;&gt;""))),"")</f>
        <v>0.29023121275602826</v>
      </c>
      <c r="Y991" t="str" cm="1">
        <f t="array" ref="Y991">IFERROR(AVERAGE(_xlfn._xlws.FILTER(S$2:S$1073,($C$2:$C$1073=$C991)*($E$2:$E$1073=$E991)*(ROW(S$2:S$1073)&lt;&gt;ROW(S991))*(S$2:S$1073&lt;&gt;""))),"")</f>
        <v/>
      </c>
      <c r="Z991" cm="1">
        <f t="array" ref="Z991">IFERROR(AVERAGE(_xlfn._xlws.FILTER(T$2:T$1073,($C$2:$C$1073=$C991)*($E$2:$E$1073=$E991)*(ROW(T$2:T$1073)&lt;&gt;ROW(T991))*(T$2:T$1073&lt;&gt;""))),"")</f>
        <v>3.5480018830902314E-2</v>
      </c>
      <c r="AA991" cm="1">
        <f t="array" ref="AA991">IFERROR(AVERAGE(_xlfn._xlws.FILTER(U$2:U$1073,($C$2:$C$1073=$C991)*($E$2:$E$1073=$E991)*(ROW(U$2:U$1073)&lt;&gt;ROW(U991))*(U$2:U$1073&lt;&gt;""))),"")</f>
        <v>1.8622851550208985</v>
      </c>
    </row>
    <row r="992" spans="1:27" x14ac:dyDescent="0.2">
      <c r="A992" s="7" t="s">
        <v>2300</v>
      </c>
      <c r="B992" t="str">
        <f t="shared" si="167"/>
        <v>NKHP IV кв. 2011</v>
      </c>
      <c r="C992">
        <v>2011</v>
      </c>
      <c r="D992">
        <f>SUMIFS(Дивиденды!$C:$C,Дивиденды!$A:$A,A992,Дивиденды!$I:$I,C992)</f>
        <v>0</v>
      </c>
      <c r="E992">
        <v>7</v>
      </c>
      <c r="F992">
        <f t="shared" si="168"/>
        <v>0</v>
      </c>
      <c r="G992">
        <f t="shared" si="169"/>
        <v>0.45837500000000003</v>
      </c>
      <c r="H992">
        <f t="shared" si="170"/>
        <v>0</v>
      </c>
      <c r="I992">
        <f t="shared" si="166"/>
        <v>0.5</v>
      </c>
      <c r="J992">
        <f t="shared" si="171"/>
        <v>0</v>
      </c>
      <c r="K992">
        <f t="shared" si="175"/>
        <v>0.17057239728759471</v>
      </c>
      <c r="L992">
        <f t="shared" si="172"/>
        <v>0</v>
      </c>
      <c r="M992">
        <f t="shared" si="165"/>
        <v>0.5</v>
      </c>
      <c r="N992">
        <f t="shared" si="173"/>
        <v>0</v>
      </c>
      <c r="O992">
        <f t="shared" si="174"/>
        <v>0</v>
      </c>
      <c r="P992" t="str">
        <f>IFERROR(LN('Дивиденды по годам'!I992),"")</f>
        <v/>
      </c>
      <c r="Q992" t="str">
        <f>IFERROR('Дивиденды по годам'!G992/'Дивиденды по годам'!I992, "")</f>
        <v/>
      </c>
      <c r="R992" t="str">
        <f>IFERROR(IF(AND('Дивиденды по годам'!N992&lt;&gt;"",'Дивиденды по годам'!U992&lt;&gt;"",'Дивиденды по годам'!U992&lt;&gt;0),'Дивиденды по годам'!N992/'Дивиденды по годам'!U992-1,""),"")</f>
        <v/>
      </c>
      <c r="S992" t="str">
        <f>IFERROR(IF(AND('Дивиденды по годам'!L992&lt;&gt;"",'Дивиденды по годам'!I992&lt;&gt;"",'Дивиденды по годам'!J992&lt;&gt;"",'Дивиденды по годам'!K992&lt;&gt;"",('Дивиденды по годам'!I992-'Дивиденды по годам'!J992-'Дивиденды по годам'!K992)&lt;&gt;0),'Дивиденды по годам'!L992/('Дивиденды по годам'!I992-'Дивиденды по годам'!J992-'Дивиденды по годам'!K992),""),"")</f>
        <v/>
      </c>
      <c r="T992" t="str">
        <f>IFERROR(IF(AND('Дивиденды по годам'!Q992&lt;&gt;"",'Дивиденды по годам'!I992&lt;&gt;"",'Дивиденды по годам'!V992&lt;&gt;"",('Дивиденды по годам'!I992+'Дивиденды по годам'!V992)&lt;&gt;0),'Дивиденды по годам'!Q992/(('Дивиденды по годам'!I992+'Дивиденды по годам'!V992)/2),""),"")</f>
        <v/>
      </c>
      <c r="U992" t="str">
        <f>IFERROR(IF(AND('Дивиденды по годам'!J992&lt;&gt;"",'Дивиденды по годам'!K992&lt;&gt;"",'Дивиденды по годам'!M992&lt;&gt;"",'Дивиденды по годам'!M992&lt;&gt;0),('Дивиденды по годам'!J992+'Дивиденды по годам'!K992)/'Дивиденды по годам'!M992,""),"")</f>
        <v/>
      </c>
      <c r="V992" cm="1">
        <f t="array" ref="V992">IFERROR(AVERAGE(_xlfn._xlws.FILTER(P$2:P$1073,($C$2:$C$1073=$C992)*($E$2:$E$1073=$E992)*(ROW(P$2:P$1073)&lt;&gt;ROW(P992))*(P$2:P$1073&lt;&gt;""))),"")</f>
        <v>25.392773149157808</v>
      </c>
      <c r="W992" cm="1">
        <f t="array" ref="W992">IFERROR(AVERAGE(_xlfn._xlws.FILTER(Q$2:Q$1073,($C$2:$C$1073=$C992)*($E$2:$E$1073=$E992)*(ROW(Q$2:Q$1073)&lt;&gt;ROW(Q992))*(Q$2:Q$1073&lt;&gt;""))),"")</f>
        <v>0.42084121403256064</v>
      </c>
      <c r="X992" cm="1">
        <f t="array" ref="X992">IFERROR(AVERAGE(_xlfn._xlws.FILTER(R$2:R$1073,($C$2:$C$1073=$C992)*($E$2:$E$1073=$E992)*(ROW(R$2:R$1073)&lt;&gt;ROW(R992))*(R$2:R$1073&lt;&gt;""))),"")</f>
        <v>0.20536191673520854</v>
      </c>
      <c r="Y992" t="str" cm="1">
        <f t="array" ref="Y992">IFERROR(AVERAGE(_xlfn._xlws.FILTER(S$2:S$1073,($C$2:$C$1073=$C992)*($E$2:$E$1073=$E992)*(ROW(S$2:S$1073)&lt;&gt;ROW(S992))*(S$2:S$1073&lt;&gt;""))),"")</f>
        <v/>
      </c>
      <c r="Z992" cm="1">
        <f t="array" ref="Z992">IFERROR(AVERAGE(_xlfn._xlws.FILTER(T$2:T$1073,($C$2:$C$1073=$C992)*($E$2:$E$1073=$E992)*(ROW(T$2:T$1073)&lt;&gt;ROW(T992))*(T$2:T$1073&lt;&gt;""))),"")</f>
        <v>9.8152461650754155E-2</v>
      </c>
      <c r="AA992" cm="1">
        <f t="array" ref="AA992">IFERROR(AVERAGE(_xlfn._xlws.FILTER(U$2:U$1073,($C$2:$C$1073=$C992)*($E$2:$E$1073=$E992)*(ROW(U$2:U$1073)&lt;&gt;ROW(U992))*(U$2:U$1073&lt;&gt;""))),"")</f>
        <v>2.1314918703687855</v>
      </c>
    </row>
    <row r="993" spans="1:27" x14ac:dyDescent="0.2">
      <c r="A993" s="7" t="s">
        <v>2300</v>
      </c>
      <c r="B993" t="str">
        <f t="shared" si="167"/>
        <v>NKHP IV кв. 2010</v>
      </c>
      <c r="C993">
        <v>2010</v>
      </c>
      <c r="D993">
        <f>SUMIFS(Дивиденды!$C:$C,Дивиденды!$A:$A,A993,Дивиденды!$I:$I,C993)</f>
        <v>0</v>
      </c>
      <c r="E993">
        <v>7</v>
      </c>
      <c r="F993">
        <f t="shared" si="168"/>
        <v>0</v>
      </c>
      <c r="G993">
        <f t="shared" si="169"/>
        <v>0.27825</v>
      </c>
      <c r="H993">
        <f t="shared" si="170"/>
        <v>0</v>
      </c>
      <c r="I993">
        <f t="shared" si="166"/>
        <v>0.5</v>
      </c>
      <c r="J993" t="str">
        <f t="shared" si="171"/>
        <v/>
      </c>
      <c r="K993" t="str">
        <f t="shared" si="175"/>
        <v/>
      </c>
      <c r="L993" t="str">
        <f t="shared" si="172"/>
        <v/>
      </c>
      <c r="M993" t="str">
        <f t="shared" ref="M993:M1056" si="176">IFERROR(AVERAGEIFS($L:$L,$E:$E,E993,$C:$C,C993,$A:$A,"&lt;&gt;"&amp;A993),"")</f>
        <v/>
      </c>
      <c r="N993" t="str">
        <f t="shared" si="173"/>
        <v/>
      </c>
      <c r="O993" t="str">
        <f t="shared" si="174"/>
        <v/>
      </c>
      <c r="P993" t="str">
        <f>IFERROR(LN('Дивиденды по годам'!I993),"")</f>
        <v/>
      </c>
      <c r="Q993" t="str">
        <f>IFERROR('Дивиденды по годам'!G993/'Дивиденды по годам'!I993, "")</f>
        <v/>
      </c>
      <c r="R993" t="str">
        <f>IFERROR(IF(AND('Дивиденды по годам'!N993&lt;&gt;"",'Дивиденды по годам'!U993&lt;&gt;"",'Дивиденды по годам'!U993&lt;&gt;0),'Дивиденды по годам'!N993/'Дивиденды по годам'!U993-1,""),"")</f>
        <v/>
      </c>
      <c r="S993" t="str">
        <f>IFERROR(IF(AND('Дивиденды по годам'!L993&lt;&gt;"",'Дивиденды по годам'!I993&lt;&gt;"",'Дивиденды по годам'!J993&lt;&gt;"",'Дивиденды по годам'!K993&lt;&gt;"",('Дивиденды по годам'!I993-'Дивиденды по годам'!J993-'Дивиденды по годам'!K993)&lt;&gt;0),'Дивиденды по годам'!L993/('Дивиденды по годам'!I993-'Дивиденды по годам'!J993-'Дивиденды по годам'!K993),""),"")</f>
        <v/>
      </c>
      <c r="T993" t="str">
        <f>IFERROR(IF(AND('Дивиденды по годам'!Q993&lt;&gt;"",'Дивиденды по годам'!I993&lt;&gt;"",'Дивиденды по годам'!V993&lt;&gt;"",('Дивиденды по годам'!I993+'Дивиденды по годам'!V993)&lt;&gt;0),'Дивиденды по годам'!Q993/(('Дивиденды по годам'!I993+'Дивиденды по годам'!V993)/2),""),"")</f>
        <v/>
      </c>
      <c r="U993" t="str">
        <f>IFERROR(IF(AND('Дивиденды по годам'!J993&lt;&gt;"",'Дивиденды по годам'!K993&lt;&gt;"",'Дивиденды по годам'!M993&lt;&gt;"",'Дивиденды по годам'!M993&lt;&gt;0),('Дивиденды по годам'!J993+'Дивиденды по годам'!K993)/'Дивиденды по годам'!M993,""),"")</f>
        <v/>
      </c>
      <c r="V993" cm="1">
        <f t="array" ref="V993">IFERROR(AVERAGE(_xlfn._xlws.FILTER(P$2:P$1073,($C$2:$C$1073=$C993)*($E$2:$E$1073=$E993)*(ROW(P$2:P$1073)&lt;&gt;ROW(P993))*(P$2:P$1073&lt;&gt;""))),"")</f>
        <v>25.646584513937189</v>
      </c>
      <c r="W993" cm="1">
        <f t="array" ref="W993">IFERROR(AVERAGE(_xlfn._xlws.FILTER(Q$2:Q$1073,($C$2:$C$1073=$C993)*($E$2:$E$1073=$E993)*(ROW(Q$2:Q$1073)&lt;&gt;ROW(Q993))*(Q$2:Q$1073&lt;&gt;""))),"")</f>
        <v>0.48343975783821996</v>
      </c>
      <c r="X993" t="str" cm="1">
        <f t="array" ref="X993">IFERROR(AVERAGE(_xlfn._xlws.FILTER(R$2:R$1073,($C$2:$C$1073=$C993)*($E$2:$E$1073=$E993)*(ROW(R$2:R$1073)&lt;&gt;ROW(R993))*(R$2:R$1073&lt;&gt;""))),"")</f>
        <v/>
      </c>
      <c r="Y993" t="str" cm="1">
        <f t="array" ref="Y993">IFERROR(AVERAGE(_xlfn._xlws.FILTER(S$2:S$1073,($C$2:$C$1073=$C993)*($E$2:$E$1073=$E993)*(ROW(S$2:S$1073)&lt;&gt;ROW(S993))*(S$2:S$1073&lt;&gt;""))),"")</f>
        <v/>
      </c>
      <c r="Z993" t="str" cm="1">
        <f t="array" ref="Z993">IFERROR(AVERAGE(_xlfn._xlws.FILTER(T$2:T$1073,($C$2:$C$1073=$C993)*($E$2:$E$1073=$E993)*(ROW(T$2:T$1073)&lt;&gt;ROW(T993))*(T$2:T$1073&lt;&gt;""))),"")</f>
        <v/>
      </c>
      <c r="AA993" cm="1">
        <f t="array" ref="AA993">IFERROR(AVERAGE(_xlfn._xlws.FILTER(U$2:U$1073,($C$2:$C$1073=$C993)*($E$2:$E$1073=$E993)*(ROW(U$2:U$1073)&lt;&gt;ROW(U993))*(U$2:U$1073&lt;&gt;""))),"")</f>
        <v>2.9188674344099064</v>
      </c>
    </row>
    <row r="994" spans="1:27" x14ac:dyDescent="0.2">
      <c r="A994" s="7" t="s">
        <v>2303</v>
      </c>
      <c r="B994" t="str">
        <f t="shared" si="167"/>
        <v>NMTP IV кв. 2025</v>
      </c>
      <c r="C994">
        <v>2025</v>
      </c>
      <c r="D994">
        <f>SUMIFS(Дивиденды!$C:$C,Дивиденды!$A:$A,A994,Дивиденды!$I:$I,C994)</f>
        <v>0</v>
      </c>
      <c r="E994">
        <v>7</v>
      </c>
      <c r="F994">
        <f t="shared" si="168"/>
        <v>0</v>
      </c>
      <c r="G994">
        <f t="shared" si="169"/>
        <v>3.8849999999999998</v>
      </c>
      <c r="H994">
        <f t="shared" si="170"/>
        <v>0</v>
      </c>
      <c r="I994">
        <f t="shared" si="166"/>
        <v>0.25</v>
      </c>
      <c r="J994">
        <f t="shared" si="171"/>
        <v>-1</v>
      </c>
      <c r="K994">
        <f t="shared" si="175"/>
        <v>-0.43027638190954776</v>
      </c>
      <c r="L994">
        <f t="shared" si="172"/>
        <v>0</v>
      </c>
      <c r="M994">
        <f t="shared" si="176"/>
        <v>0</v>
      </c>
      <c r="N994">
        <f t="shared" si="173"/>
        <v>1</v>
      </c>
      <c r="O994">
        <f t="shared" si="174"/>
        <v>0.5</v>
      </c>
      <c r="P994" t="str">
        <f>IFERROR(LN('Дивиденды по годам'!I994),"")</f>
        <v/>
      </c>
      <c r="Q994" t="str">
        <f>IFERROR('Дивиденды по годам'!G994/'Дивиденды по годам'!I994, "")</f>
        <v/>
      </c>
      <c r="R994" t="str">
        <f>IFERROR(IF(AND('Дивиденды по годам'!N994&lt;&gt;"",'Дивиденды по годам'!U994&lt;&gt;"",'Дивиденды по годам'!U994&lt;&gt;0),'Дивиденды по годам'!N994/'Дивиденды по годам'!U994-1,""),"")</f>
        <v/>
      </c>
      <c r="S994" t="str">
        <f>IFERROR(IF(AND('Дивиденды по годам'!L994&lt;&gt;"",'Дивиденды по годам'!I994&lt;&gt;"",'Дивиденды по годам'!J994&lt;&gt;"",'Дивиденды по годам'!K994&lt;&gt;"",('Дивиденды по годам'!I994-'Дивиденды по годам'!J994-'Дивиденды по годам'!K994)&lt;&gt;0),'Дивиденды по годам'!L994/('Дивиденды по годам'!I994-'Дивиденды по годам'!J994-'Дивиденды по годам'!K994),""),"")</f>
        <v/>
      </c>
      <c r="T994" t="str">
        <f>IFERROR(IF(AND('Дивиденды по годам'!Q994&lt;&gt;"",'Дивиденды по годам'!I994&lt;&gt;"",'Дивиденды по годам'!V994&lt;&gt;"",('Дивиденды по годам'!I994+'Дивиденды по годам'!V994)&lt;&gt;0),'Дивиденды по годам'!Q994/(('Дивиденды по годам'!I994+'Дивиденды по годам'!V994)/2),""),"")</f>
        <v/>
      </c>
      <c r="U994" t="str">
        <f>IFERROR(IF(AND('Дивиденды по годам'!J994&lt;&gt;"",'Дивиденды по годам'!K994&lt;&gt;"",'Дивиденды по годам'!M994&lt;&gt;"",'Дивиденды по годам'!M994&lt;&gt;0),('Дивиденды по годам'!J994+'Дивиденды по годам'!K994)/'Дивиденды по годам'!M994,""),"")</f>
        <v/>
      </c>
      <c r="V994" cm="1">
        <f t="array" ref="V994">IFERROR(AVERAGE(_xlfn._xlws.FILTER(P$2:P$1073,($C$2:$C$1073=$C994)*($E$2:$E$1073=$E994)*(ROW(P$2:P$1073)&lt;&gt;ROW(P994))*(P$2:P$1073&lt;&gt;""))),"")</f>
        <v>27.416076794766717</v>
      </c>
      <c r="W994" cm="1">
        <f t="array" ref="W994">IFERROR(AVERAGE(_xlfn._xlws.FILTER(Q$2:Q$1073,($C$2:$C$1073=$C994)*($E$2:$E$1073=$E994)*(ROW(Q$2:Q$1073)&lt;&gt;ROW(Q994))*(Q$2:Q$1073&lt;&gt;""))),"")</f>
        <v>0.20332374906679898</v>
      </c>
      <c r="X994" cm="1">
        <f t="array" ref="X994">IFERROR(AVERAGE(_xlfn._xlws.FILTER(R$2:R$1073,($C$2:$C$1073=$C994)*($E$2:$E$1073=$E994)*(ROW(R$2:R$1073)&lt;&gt;ROW(R994))*(R$2:R$1073&lt;&gt;""))),"")</f>
        <v>-0.15846404609198605</v>
      </c>
      <c r="Y994" cm="1">
        <f t="array" ref="Y994">IFERROR(AVERAGE(_xlfn._xlws.FILTER(S$2:S$1073,($C$2:$C$1073=$C994)*($E$2:$E$1073=$E994)*(ROW(S$2:S$1073)&lt;&gt;ROW(S994))*(S$2:S$1073&lt;&gt;""))),"")</f>
        <v>-1.8248333530548653</v>
      </c>
      <c r="Z994" cm="1">
        <f t="array" ref="Z994">IFERROR(AVERAGE(_xlfn._xlws.FILTER(T$2:T$1073,($C$2:$C$1073=$C994)*($E$2:$E$1073=$E994)*(ROW(T$2:T$1073)&lt;&gt;ROW(T994))*(T$2:T$1073&lt;&gt;""))),"")</f>
        <v>1.0800320773341893E-3</v>
      </c>
      <c r="AA994" cm="1">
        <f t="array" ref="AA994">IFERROR(AVERAGE(_xlfn._xlws.FILTER(U$2:U$1073,($C$2:$C$1073=$C994)*($E$2:$E$1073=$E994)*(ROW(U$2:U$1073)&lt;&gt;ROW(U994))*(U$2:U$1073&lt;&gt;""))),"")</f>
        <v>10.852380302974451</v>
      </c>
    </row>
    <row r="995" spans="1:27" x14ac:dyDescent="0.2">
      <c r="A995" s="7" t="s">
        <v>2303</v>
      </c>
      <c r="B995" t="str">
        <f t="shared" si="167"/>
        <v>NMTP IV кв. 2024</v>
      </c>
      <c r="C995">
        <v>2024</v>
      </c>
      <c r="D995">
        <f>SUMIFS(Дивиденды!$C:$C,Дивиденды!$A:$A,A995,Дивиденды!$I:$I,C995)</f>
        <v>0.96</v>
      </c>
      <c r="E995">
        <v>7</v>
      </c>
      <c r="F995">
        <f t="shared" si="168"/>
        <v>0.96</v>
      </c>
      <c r="G995">
        <f t="shared" si="169"/>
        <v>15.247499999999999</v>
      </c>
      <c r="H995">
        <f t="shared" si="170"/>
        <v>1</v>
      </c>
      <c r="I995">
        <f t="shared" si="166"/>
        <v>0.5</v>
      </c>
      <c r="J995">
        <f t="shared" si="171"/>
        <v>0.24675324675324667</v>
      </c>
      <c r="K995">
        <f t="shared" si="175"/>
        <v>0.12977099236641221</v>
      </c>
      <c r="L995">
        <f t="shared" si="172"/>
        <v>1</v>
      </c>
      <c r="M995">
        <f t="shared" si="176"/>
        <v>0.5</v>
      </c>
      <c r="N995">
        <f t="shared" si="173"/>
        <v>0</v>
      </c>
      <c r="O995">
        <f t="shared" si="174"/>
        <v>0.25</v>
      </c>
      <c r="P995">
        <f>IFERROR(LN('Дивиденды по годам'!I995),"")</f>
        <v>26.116711548586025</v>
      </c>
      <c r="Q995">
        <f>IFERROR('Дивиденды по годам'!G995/'Дивиденды по годам'!I995, "")</f>
        <v>0.4672031278414257</v>
      </c>
      <c r="R995">
        <f>IFERROR(IF(AND('Дивиденды по годам'!N995&lt;&gt;"",'Дивиденды по годам'!U995&lt;&gt;"",'Дивиденды по годам'!U995&lt;&gt;0),'Дивиденды по годам'!N995/'Дивиденды по годам'!U995-1,""),"")</f>
        <v>5.4444148069114684E-2</v>
      </c>
      <c r="S995">
        <f>IFERROR(IF(AND('Дивиденды по годам'!L995&lt;&gt;"",'Дивиденды по годам'!I995&lt;&gt;"",'Дивиденды по годам'!J995&lt;&gt;"",'Дивиденды по годам'!K995&lt;&gt;"",('Дивиденды по годам'!I995-'Дивиденды по годам'!J995-'Дивиденды по годам'!K995)&lt;&gt;0),'Дивиденды по годам'!L995/('Дивиденды по годам'!I995-'Дивиденды по годам'!J995-'Дивиденды по годам'!K995),""),"")</f>
        <v>0.98272297178903101</v>
      </c>
      <c r="T995">
        <f>IFERROR(IF(AND('Дивиденды по годам'!Q995&lt;&gt;"",'Дивиденды по годам'!I995&lt;&gt;"",'Дивиденды по годам'!V995&lt;&gt;"",('Дивиденды по годам'!I995+'Дивиденды по годам'!V995)&lt;&gt;0),'Дивиденды по годам'!Q995/(('Дивиденды по годам'!I995+'Дивиденды по годам'!V995)/2),""),"")</f>
        <v>0.18333713033741633</v>
      </c>
      <c r="U995">
        <f>IFERROR(IF(AND('Дивиденды по годам'!J995&lt;&gt;"",'Дивиденды по годам'!K995&lt;&gt;"",'Дивиденды по годам'!M995&lt;&gt;"",'Дивиденды по годам'!M995&lt;&gt;0),('Дивиденды по годам'!J995+'Дивиденды по годам'!K995)/'Дивиденды по годам'!M995,""),"")</f>
        <v>0.2847380410022779</v>
      </c>
      <c r="V995" cm="1">
        <f t="array" ref="V995">IFERROR(AVERAGE(_xlfn._xlws.FILTER(P$2:P$1073,($C$2:$C$1073=$C995)*($E$2:$E$1073=$E995)*(ROW(P$2:P$1073)&lt;&gt;ROW(P995))*(P$2:P$1073&lt;&gt;""))),"")</f>
        <v>26.228764169978842</v>
      </c>
      <c r="W995" cm="1">
        <f t="array" ref="W995">IFERROR(AVERAGE(_xlfn._xlws.FILTER(Q$2:Q$1073,($C$2:$C$1073=$C995)*($E$2:$E$1073=$E995)*(ROW(Q$2:Q$1073)&lt;&gt;ROW(Q995))*(Q$2:Q$1073&lt;&gt;""))),"")</f>
        <v>0.49746806578998715</v>
      </c>
      <c r="X995" cm="1">
        <f t="array" ref="X995">IFERROR(AVERAGE(_xlfn._xlws.FILTER(R$2:R$1073,($C$2:$C$1073=$C995)*($E$2:$E$1073=$E995)*(ROW(R$2:R$1073)&lt;&gt;ROW(R995))*(R$2:R$1073&lt;&gt;""))),"")</f>
        <v>0.13932146439846405</v>
      </c>
      <c r="Y995" cm="1">
        <f t="array" ref="Y995">IFERROR(AVERAGE(_xlfn._xlws.FILTER(S$2:S$1073,($C$2:$C$1073=$C995)*($E$2:$E$1073=$E995)*(ROW(S$2:S$1073)&lt;&gt;ROW(S995))*(S$2:S$1073&lt;&gt;""))),"")</f>
        <v>1.4482319735699871</v>
      </c>
      <c r="Z995" cm="1">
        <f t="array" ref="Z995">IFERROR(AVERAGE(_xlfn._xlws.FILTER(T$2:T$1073,($C$2:$C$1073=$C995)*($E$2:$E$1073=$E995)*(ROW(T$2:T$1073)&lt;&gt;ROW(T995))*(T$2:T$1073&lt;&gt;""))),"")</f>
        <v>0.14506696542513417</v>
      </c>
      <c r="AA995" cm="1">
        <f t="array" ref="AA995">IFERROR(AVERAGE(_xlfn._xlws.FILTER(U$2:U$1073,($C$2:$C$1073=$C995)*($E$2:$E$1073=$E995)*(ROW(U$2:U$1073)&lt;&gt;ROW(U995))*(U$2:U$1073&lt;&gt;""))),"")</f>
        <v>-3.9546016491152303</v>
      </c>
    </row>
    <row r="996" spans="1:27" x14ac:dyDescent="0.2">
      <c r="A996" s="7" t="s">
        <v>2303</v>
      </c>
      <c r="B996" t="str">
        <f t="shared" si="167"/>
        <v>NMTP IV кв. 2023</v>
      </c>
      <c r="C996">
        <v>2023</v>
      </c>
      <c r="D996">
        <f>SUMIFS(Дивиденды!$C:$C,Дивиденды!$A:$A,A996,Дивиденды!$I:$I,C996)</f>
        <v>0.77</v>
      </c>
      <c r="E996">
        <v>7</v>
      </c>
      <c r="F996">
        <f t="shared" si="168"/>
        <v>0.77</v>
      </c>
      <c r="G996">
        <f t="shared" si="169"/>
        <v>13.567499999999999</v>
      </c>
      <c r="H996">
        <f t="shared" si="170"/>
        <v>1</v>
      </c>
      <c r="I996">
        <f t="shared" si="166"/>
        <v>0.5</v>
      </c>
      <c r="J996">
        <f t="shared" si="171"/>
        <v>-3.7500000000000033E-2</v>
      </c>
      <c r="K996">
        <f t="shared" si="175"/>
        <v>1.1522812572744174</v>
      </c>
      <c r="L996">
        <f t="shared" si="172"/>
        <v>0</v>
      </c>
      <c r="M996">
        <f t="shared" si="176"/>
        <v>0.5</v>
      </c>
      <c r="N996">
        <f t="shared" si="173"/>
        <v>1</v>
      </c>
      <c r="O996">
        <f t="shared" si="174"/>
        <v>0</v>
      </c>
      <c r="P996">
        <f>IFERROR(LN('Дивиденды по годам'!I996),"")</f>
        <v>25.984120144761238</v>
      </c>
      <c r="Q996">
        <f>IFERROR('Дивиденды по годам'!G996/'Дивиденды по годам'!I996, "")</f>
        <v>0.45511975332994198</v>
      </c>
      <c r="R996">
        <f>IFERROR(IF(AND('Дивиденды по годам'!N996&lt;&gt;"",'Дивиденды по годам'!U996&lt;&gt;"",'Дивиденды по годам'!U996&lt;&gt;0),'Дивиденды по годам'!N996/'Дивиденды по годам'!U996-1,""),"")</f>
        <v>0.2259424107548369</v>
      </c>
      <c r="S996" t="str">
        <f>IFERROR(IF(AND('Дивиденды по годам'!L996&lt;&gt;"",'Дивиденды по годам'!I996&lt;&gt;"",'Дивиденды по годам'!J996&lt;&gt;"",'Дивиденды по годам'!K996&lt;&gt;"",('Дивиденды по годам'!I996-'Дивиденды по годам'!J996-'Дивиденды по годам'!K996)&lt;&gt;0),'Дивиденды по годам'!L996/('Дивиденды по годам'!I996-'Дивиденды по годам'!J996-'Дивиденды по годам'!K996),""),"")</f>
        <v/>
      </c>
      <c r="T996">
        <f>IFERROR(IF(AND('Дивиденды по годам'!Q996&lt;&gt;"",'Дивиденды по годам'!I996&lt;&gt;"",'Дивиденды по годам'!V996&lt;&gt;"",('Дивиденды по годам'!I996+'Дивиденды по годам'!V996)&lt;&gt;0),'Дивиденды по годам'!Q996/(('Дивиденды по годам'!I996+'Дивиденды по годам'!V996)/2),""),"")</f>
        <v>0.16243796667732463</v>
      </c>
      <c r="U996">
        <f>IFERROR(IF(AND('Дивиденды по годам'!J996&lt;&gt;"",'Дивиденды по годам'!K996&lt;&gt;"",'Дивиденды по годам'!M996&lt;&gt;"",'Дивиденды по годам'!M996&lt;&gt;0),('Дивиденды по годам'!J996+'Дивиденды по годам'!K996)/'Дивиденды по годам'!M996,""),"")</f>
        <v>0.30615427382009752</v>
      </c>
      <c r="V996" cm="1">
        <f t="array" ref="V996">IFERROR(AVERAGE(_xlfn._xlws.FILTER(P$2:P$1073,($C$2:$C$1073=$C996)*($E$2:$E$1073=$E996)*(ROW(P$2:P$1073)&lt;&gt;ROW(P996))*(P$2:P$1073&lt;&gt;""))),"")</f>
        <v>26.120050987518898</v>
      </c>
      <c r="W996" cm="1">
        <f t="array" ref="W996">IFERROR(AVERAGE(_xlfn._xlws.FILTER(Q$2:Q$1073,($C$2:$C$1073=$C996)*($E$2:$E$1073=$E996)*(ROW(Q$2:Q$1073)&lt;&gt;ROW(Q996))*(Q$2:Q$1073&lt;&gt;""))),"")</f>
        <v>0.52582156847900074</v>
      </c>
      <c r="X996" cm="1">
        <f t="array" ref="X996">IFERROR(AVERAGE(_xlfn._xlws.FILTER(R$2:R$1073,($C$2:$C$1073=$C996)*($E$2:$E$1073=$E996)*(ROW(R$2:R$1073)&lt;&gt;ROW(R996))*(R$2:R$1073&lt;&gt;""))),"")</f>
        <v>0.46708377645970955</v>
      </c>
      <c r="Y996" cm="1">
        <f t="array" ref="Y996">IFERROR(AVERAGE(_xlfn._xlws.FILTER(S$2:S$1073,($C$2:$C$1073=$C996)*($E$2:$E$1073=$E996)*(ROW(S$2:S$1073)&lt;&gt;ROW(S996))*(S$2:S$1073&lt;&gt;""))),"")</f>
        <v>1.4326839999117074</v>
      </c>
      <c r="Z996" cm="1">
        <f t="array" ref="Z996">IFERROR(AVERAGE(_xlfn._xlws.FILTER(T$2:T$1073,($C$2:$C$1073=$C996)*($E$2:$E$1073=$E996)*(ROW(T$2:T$1073)&lt;&gt;ROW(T996))*(T$2:T$1073&lt;&gt;""))),"")</f>
        <v>0.17310841265879143</v>
      </c>
      <c r="AA996" cm="1">
        <f t="array" ref="AA996">IFERROR(AVERAGE(_xlfn._xlws.FILTER(U$2:U$1073,($C$2:$C$1073=$C996)*($E$2:$E$1073=$E996)*(ROW(U$2:U$1073)&lt;&gt;ROW(U996))*(U$2:U$1073&lt;&gt;""))),"")</f>
        <v>-2.7635010231005106</v>
      </c>
    </row>
    <row r="997" spans="1:27" x14ac:dyDescent="0.2">
      <c r="A997" s="7" t="s">
        <v>2303</v>
      </c>
      <c r="B997" t="str">
        <f t="shared" si="167"/>
        <v>NMTP IV кв. 2022</v>
      </c>
      <c r="C997">
        <v>2022</v>
      </c>
      <c r="D997">
        <f>SUMIFS(Дивиденды!$C:$C,Дивиденды!$A:$A,A997,Дивиденды!$I:$I,C997)</f>
        <v>0.8</v>
      </c>
      <c r="E997">
        <v>7</v>
      </c>
      <c r="F997">
        <f t="shared" si="168"/>
        <v>0.8</v>
      </c>
      <c r="G997">
        <f t="shared" si="169"/>
        <v>4.7275</v>
      </c>
      <c r="H997">
        <f t="shared" si="170"/>
        <v>1</v>
      </c>
      <c r="I997">
        <f t="shared" si="166"/>
        <v>0.5</v>
      </c>
      <c r="J997">
        <f t="shared" si="171"/>
        <v>0.48148148148148145</v>
      </c>
      <c r="K997">
        <f t="shared" si="175"/>
        <v>0.38473684210526315</v>
      </c>
      <c r="L997">
        <f t="shared" si="172"/>
        <v>1</v>
      </c>
      <c r="M997">
        <f t="shared" si="176"/>
        <v>0.5</v>
      </c>
      <c r="N997">
        <f t="shared" si="173"/>
        <v>0</v>
      </c>
      <c r="O997">
        <f t="shared" si="174"/>
        <v>0</v>
      </c>
      <c r="P997">
        <f>IFERROR(LN('Дивиденды по годам'!I997),"")</f>
        <v>25.913624871988649</v>
      </c>
      <c r="Q997">
        <f>IFERROR('Дивиденды по годам'!G997/'Дивиденды по годам'!I997, "")</f>
        <v>0.47955529067079589</v>
      </c>
      <c r="R997" t="str">
        <f>IFERROR(IF(AND('Дивиденды по годам'!N997&lt;&gt;"",'Дивиденды по годам'!U997&lt;&gt;"",'Дивиденды по годам'!U997&lt;&gt;0),'Дивиденды по годам'!N997/'Дивиденды по годам'!U997-1,""),"")</f>
        <v/>
      </c>
      <c r="S997" t="str">
        <f>IFERROR(IF(AND('Дивиденды по годам'!L997&lt;&gt;"",'Дивиденды по годам'!I997&lt;&gt;"",'Дивиденды по годам'!J997&lt;&gt;"",'Дивиденды по годам'!K997&lt;&gt;"",('Дивиденды по годам'!I997-'Дивиденды по годам'!J997-'Дивиденды по годам'!K997)&lt;&gt;0),'Дивиденды по годам'!L997/('Дивиденды по годам'!I997-'Дивиденды по годам'!J997-'Дивиденды по годам'!K997),""),"")</f>
        <v/>
      </c>
      <c r="T997" t="str">
        <f>IFERROR(IF(AND('Дивиденды по годам'!Q997&lt;&gt;"",'Дивиденды по годам'!I997&lt;&gt;"",'Дивиденды по годам'!V997&lt;&gt;"",('Дивиденды по годам'!I997+'Дивиденды по годам'!V997)&lt;&gt;0),'Дивиденды по годам'!Q997/(('Дивиденды по годам'!I997+'Дивиденды по годам'!V997)/2),""),"")</f>
        <v/>
      </c>
      <c r="U997">
        <f>IFERROR(IF(AND('Дивиденды по годам'!J997&lt;&gt;"",'Дивиденды по годам'!K997&lt;&gt;"",'Дивиденды по годам'!M997&lt;&gt;"",'Дивиденды по годам'!M997&lt;&gt;0),('Дивиденды по годам'!J997+'Дивиденды по годам'!K997)/'Дивиденды по годам'!M997,""),"")</f>
        <v>0.37706137726847377</v>
      </c>
      <c r="V997" cm="1">
        <f t="array" ref="V997">IFERROR(AVERAGE(_xlfn._xlws.FILTER(P$2:P$1073,($C$2:$C$1073=$C997)*($E$2:$E$1073=$E997)*(ROW(P$2:P$1073)&lt;&gt;ROW(P997))*(P$2:P$1073&lt;&gt;""))),"")</f>
        <v>25.558742509469976</v>
      </c>
      <c r="W997" cm="1">
        <f t="array" ref="W997">IFERROR(AVERAGE(_xlfn._xlws.FILTER(Q$2:Q$1073,($C$2:$C$1073=$C997)*($E$2:$E$1073=$E997)*(ROW(Q$2:Q$1073)&lt;&gt;ROW(Q997))*(Q$2:Q$1073&lt;&gt;""))),"")</f>
        <v>0.44592417599991158</v>
      </c>
      <c r="X997" cm="1">
        <f t="array" ref="X997">IFERROR(AVERAGE(_xlfn._xlws.FILTER(R$2:R$1073,($C$2:$C$1073=$C997)*($E$2:$E$1073=$E997)*(ROW(R$2:R$1073)&lt;&gt;ROW(R997))*(R$2:R$1073&lt;&gt;""))),"")</f>
        <v>1.6409708137384921E-2</v>
      </c>
      <c r="Y997" cm="1">
        <f t="array" ref="Y997">IFERROR(AVERAGE(_xlfn._xlws.FILTER(S$2:S$1073,($C$2:$C$1073=$C997)*($E$2:$E$1073=$E997)*(ROW(S$2:S$1073)&lt;&gt;ROW(S997))*(S$2:S$1073&lt;&gt;""))),"")</f>
        <v>1.4151471153731248</v>
      </c>
      <c r="Z997" cm="1">
        <f t="array" ref="Z997">IFERROR(AVERAGE(_xlfn._xlws.FILTER(T$2:T$1073,($C$2:$C$1073=$C997)*($E$2:$E$1073=$E997)*(ROW(T$2:T$1073)&lt;&gt;ROW(T997))*(T$2:T$1073&lt;&gt;""))),"")</f>
        <v>0.13024338598126092</v>
      </c>
      <c r="AA997" cm="1">
        <f t="array" ref="AA997">IFERROR(AVERAGE(_xlfn._xlws.FILTER(U$2:U$1073,($C$2:$C$1073=$C997)*($E$2:$E$1073=$E997)*(ROW(U$2:U$1073)&lt;&gt;ROW(U997))*(U$2:U$1073&lt;&gt;""))),"")</f>
        <v>-3.2259243732052649</v>
      </c>
    </row>
    <row r="998" spans="1:27" x14ac:dyDescent="0.2">
      <c r="A998" s="7" t="s">
        <v>2303</v>
      </c>
      <c r="B998" t="str">
        <f t="shared" si="167"/>
        <v>NMTP IV кв. 2021</v>
      </c>
      <c r="C998">
        <v>2021</v>
      </c>
      <c r="D998">
        <f>SUMIFS(Дивиденды!$C:$C,Дивиденды!$A:$A,A998,Дивиденды!$I:$I,C998)</f>
        <v>0.54</v>
      </c>
      <c r="E998">
        <v>7</v>
      </c>
      <c r="F998">
        <f t="shared" si="168"/>
        <v>0.54</v>
      </c>
      <c r="G998">
        <f t="shared" si="169"/>
        <v>2.375</v>
      </c>
      <c r="H998">
        <f t="shared" si="170"/>
        <v>1</v>
      </c>
      <c r="I998">
        <f t="shared" si="166"/>
        <v>0.25</v>
      </c>
      <c r="J998">
        <f t="shared" si="171"/>
        <v>8.0000000000000018</v>
      </c>
      <c r="K998">
        <f t="shared" si="175"/>
        <v>-0.36183827806864455</v>
      </c>
      <c r="L998">
        <f t="shared" si="172"/>
        <v>1</v>
      </c>
      <c r="M998">
        <f t="shared" si="176"/>
        <v>0</v>
      </c>
      <c r="N998">
        <f t="shared" si="173"/>
        <v>0</v>
      </c>
      <c r="O998">
        <f t="shared" si="174"/>
        <v>0.5</v>
      </c>
      <c r="P998" t="str">
        <f>IFERROR(LN('Дивиденды по годам'!I998),"")</f>
        <v/>
      </c>
      <c r="Q998" t="str">
        <f>IFERROR('Дивиденды по годам'!G998/'Дивиденды по годам'!I998, "")</f>
        <v/>
      </c>
      <c r="R998" t="str">
        <f>IFERROR(IF(AND('Дивиденды по годам'!N998&lt;&gt;"",'Дивиденды по годам'!U998&lt;&gt;"",'Дивиденды по годам'!U998&lt;&gt;0),'Дивиденды по годам'!N998/'Дивиденды по годам'!U998-1,""),"")</f>
        <v/>
      </c>
      <c r="S998" t="str">
        <f>IFERROR(IF(AND('Дивиденды по годам'!L998&lt;&gt;"",'Дивиденды по годам'!I998&lt;&gt;"",'Дивиденды по годам'!J998&lt;&gt;"",'Дивиденды по годам'!K998&lt;&gt;"",('Дивиденды по годам'!I998-'Дивиденды по годам'!J998-'Дивиденды по годам'!K998)&lt;&gt;0),'Дивиденды по годам'!L998/('Дивиденды по годам'!I998-'Дивиденды по годам'!J998-'Дивиденды по годам'!K998),""),"")</f>
        <v/>
      </c>
      <c r="T998" t="str">
        <f>IFERROR(IF(AND('Дивиденды по годам'!Q998&lt;&gt;"",'Дивиденды по годам'!I998&lt;&gt;"",'Дивиденды по годам'!V998&lt;&gt;"",('Дивиденды по годам'!I998+'Дивиденды по годам'!V998)&lt;&gt;0),'Дивиденды по годам'!Q998/(('Дивиденды по годам'!I998+'Дивиденды по годам'!V998)/2),""),"")</f>
        <v/>
      </c>
      <c r="U998" t="str">
        <f>IFERROR(IF(AND('Дивиденды по годам'!J998&lt;&gt;"",'Дивиденды по годам'!K998&lt;&gt;"",'Дивиденды по годам'!M998&lt;&gt;"",'Дивиденды по годам'!M998&lt;&gt;0),('Дивиденды по годам'!J998+'Дивиденды по годам'!K998)/'Дивиденды по годам'!M998,""),"")</f>
        <v/>
      </c>
      <c r="V998" cm="1">
        <f t="array" ref="V998">IFERROR(AVERAGE(_xlfn._xlws.FILTER(P$2:P$1073,($C$2:$C$1073=$C998)*($E$2:$E$1073=$E998)*(ROW(P$2:P$1073)&lt;&gt;ROW(P998))*(P$2:P$1073&lt;&gt;""))),"")</f>
        <v>25.852513483811734</v>
      </c>
      <c r="W998" cm="1">
        <f t="array" ref="W998">IFERROR(AVERAGE(_xlfn._xlws.FILTER(Q$2:Q$1073,($C$2:$C$1073=$C998)*($E$2:$E$1073=$E998)*(ROW(Q$2:Q$1073)&lt;&gt;ROW(Q998))*(Q$2:Q$1073&lt;&gt;""))),"")</f>
        <v>0.55622056245717488</v>
      </c>
      <c r="X998" cm="1">
        <f t="array" ref="X998">IFERROR(AVERAGE(_xlfn._xlws.FILTER(R$2:R$1073,($C$2:$C$1073=$C998)*($E$2:$E$1073=$E998)*(ROW(R$2:R$1073)&lt;&gt;ROW(R998))*(R$2:R$1073&lt;&gt;""))),"")</f>
        <v>0.31020305595878894</v>
      </c>
      <c r="Y998" cm="1">
        <f t="array" ref="Y998">IFERROR(AVERAGE(_xlfn._xlws.FILTER(S$2:S$1073,($C$2:$C$1073=$C998)*($E$2:$E$1073=$E998)*(ROW(S$2:S$1073)&lt;&gt;ROW(S998))*(S$2:S$1073&lt;&gt;""))),"")</f>
        <v>1.0052315689512199</v>
      </c>
      <c r="Z998" cm="1">
        <f t="array" ref="Z998">IFERROR(AVERAGE(_xlfn._xlws.FILTER(T$2:T$1073,($C$2:$C$1073=$C998)*($E$2:$E$1073=$E998)*(ROW(T$2:T$1073)&lt;&gt;ROW(T998))*(T$2:T$1073&lt;&gt;""))),"")</f>
        <v>0.15121381363400363</v>
      </c>
      <c r="AA998" cm="1">
        <f t="array" ref="AA998">IFERROR(AVERAGE(_xlfn._xlws.FILTER(U$2:U$1073,($C$2:$C$1073=$C998)*($E$2:$E$1073=$E998)*(ROW(U$2:U$1073)&lt;&gt;ROW(U998))*(U$2:U$1073&lt;&gt;""))),"")</f>
        <v>-1.5731411329556571</v>
      </c>
    </row>
    <row r="999" spans="1:27" x14ac:dyDescent="0.2">
      <c r="A999" s="7" t="s">
        <v>2303</v>
      </c>
      <c r="B999" t="str">
        <f t="shared" si="167"/>
        <v>NMTP IV кв. 2020</v>
      </c>
      <c r="C999">
        <v>2020</v>
      </c>
      <c r="D999">
        <f>SUMIFS(Дивиденды!$C:$C,Дивиденды!$A:$A,A999,Дивиденды!$I:$I,C999)</f>
        <v>0.06</v>
      </c>
      <c r="E999">
        <v>7</v>
      </c>
      <c r="F999">
        <f t="shared" si="168"/>
        <v>0.06</v>
      </c>
      <c r="G999">
        <f t="shared" si="169"/>
        <v>5.9649999999999999</v>
      </c>
      <c r="H999">
        <f t="shared" si="170"/>
        <v>1</v>
      </c>
      <c r="I999">
        <f t="shared" si="166"/>
        <v>0.5</v>
      </c>
      <c r="J999">
        <f t="shared" si="171"/>
        <v>-0.95555555555555549</v>
      </c>
      <c r="K999">
        <f t="shared" si="175"/>
        <v>0.58709016393442615</v>
      </c>
      <c r="L999">
        <f t="shared" si="172"/>
        <v>0</v>
      </c>
      <c r="M999">
        <f t="shared" si="176"/>
        <v>0.5</v>
      </c>
      <c r="N999">
        <f t="shared" si="173"/>
        <v>1</v>
      </c>
      <c r="O999">
        <f t="shared" si="174"/>
        <v>0</v>
      </c>
      <c r="P999">
        <f>IFERROR(LN('Дивиденды по годам'!I999),"")</f>
        <v>25.784897833405779</v>
      </c>
      <c r="Q999">
        <f>IFERROR('Дивиденды по годам'!G999/'Дивиденды по годам'!I999, "")</f>
        <v>0.50265971577178925</v>
      </c>
      <c r="R999">
        <f>IFERROR(IF(AND('Дивиденды по годам'!N999&lt;&gt;"",'Дивиденды по годам'!U999&lt;&gt;"",'Дивиденды по годам'!U999&lt;&gt;0),'Дивиденды по годам'!N999/'Дивиденды по годам'!U999-1,""),"")</f>
        <v>-0.18440824835860226</v>
      </c>
      <c r="S999">
        <f>IFERROR(IF(AND('Дивиденды по годам'!L999&lt;&gt;"",'Дивиденды по годам'!I999&lt;&gt;"",'Дивиденды по годам'!J999&lt;&gt;"",'Дивиденды по годам'!K999&lt;&gt;"",('Дивиденды по годам'!I999-'Дивиденды по годам'!J999-'Дивиденды по годам'!K999)&lt;&gt;0),'Дивиденды по годам'!L999/('Дивиденды по годам'!I999-'Дивиденды по годам'!J999-'Дивиденды по годам'!K999),""),"")</f>
        <v>1.6194417652235427</v>
      </c>
      <c r="T999">
        <f>IFERROR(IF(AND('Дивиденды по годам'!Q999&lt;&gt;"",'Дивиденды по годам'!I999&lt;&gt;"",'Дивиденды по годам'!V999&lt;&gt;"",('Дивиденды по годам'!I999+'Дивиденды по годам'!V999)&lt;&gt;0),'Дивиденды по годам'!Q999/(('Дивиденды по годам'!I999+'Дивиденды по годам'!V999)/2),""),"")</f>
        <v>2.7524625796026013E-2</v>
      </c>
      <c r="U999">
        <f>IFERROR(IF(AND('Дивиденды по годам'!J999&lt;&gt;"",'Дивиденды по годам'!K999&lt;&gt;"",'Дивиденды по годам'!M999&lt;&gt;"",'Дивиденды по годам'!M999&lt;&gt;0),('Дивиденды по годам'!J999+'Дивиденды по годам'!K999)/'Дивиденды по годам'!M999,""),"")</f>
        <v>0.96258239540626223</v>
      </c>
      <c r="V999" cm="1">
        <f t="array" ref="V999">IFERROR(AVERAGE(_xlfn._xlws.FILTER(P$2:P$1073,($C$2:$C$1073=$C999)*($E$2:$E$1073=$E999)*(ROW(P$2:P$1073)&lt;&gt;ROW(P999))*(P$2:P$1073&lt;&gt;""))),"")</f>
        <v>25.671892194201792</v>
      </c>
      <c r="W999" cm="1">
        <f t="array" ref="W999">IFERROR(AVERAGE(_xlfn._xlws.FILTER(Q$2:Q$1073,($C$2:$C$1073=$C999)*($E$2:$E$1073=$E999)*(ROW(Q$2:Q$1073)&lt;&gt;ROW(Q999))*(Q$2:Q$1073&lt;&gt;""))),"")</f>
        <v>0.52447861368118276</v>
      </c>
      <c r="X999" cm="1">
        <f t="array" ref="X999">IFERROR(AVERAGE(_xlfn._xlws.FILTER(R$2:R$1073,($C$2:$C$1073=$C999)*($E$2:$E$1073=$E999)*(ROW(R$2:R$1073)&lt;&gt;ROW(R999))*(R$2:R$1073&lt;&gt;""))),"")</f>
        <v>-0.23389003712721329</v>
      </c>
      <c r="Y999" cm="1">
        <f t="array" ref="Y999">IFERROR(AVERAGE(_xlfn._xlws.FILTER(S$2:S$1073,($C$2:$C$1073=$C999)*($E$2:$E$1073=$E999)*(ROW(S$2:S$1073)&lt;&gt;ROW(S999))*(S$2:S$1073&lt;&gt;""))),"")</f>
        <v>1.2407886038274856</v>
      </c>
      <c r="Z999" cm="1">
        <f t="array" ref="Z999">IFERROR(AVERAGE(_xlfn._xlws.FILTER(T$2:T$1073,($C$2:$C$1073=$C999)*($E$2:$E$1073=$E999)*(ROW(T$2:T$1073)&lt;&gt;ROW(T999))*(T$2:T$1073&lt;&gt;""))),"")</f>
        <v>5.6092622694093944E-2</v>
      </c>
      <c r="AA999" cm="1">
        <f t="array" ref="AA999">IFERROR(AVERAGE(_xlfn._xlws.FILTER(U$2:U$1073,($C$2:$C$1073=$C999)*($E$2:$E$1073=$E999)*(ROW(U$2:U$1073)&lt;&gt;ROW(U999))*(U$2:U$1073&lt;&gt;""))),"")</f>
        <v>0.4847383603532891</v>
      </c>
    </row>
    <row r="1000" spans="1:27" x14ac:dyDescent="0.2">
      <c r="A1000" s="7" t="s">
        <v>2303</v>
      </c>
      <c r="B1000" t="str">
        <f t="shared" si="167"/>
        <v>NMTP IV кв. 2019</v>
      </c>
      <c r="C1000">
        <v>2019</v>
      </c>
      <c r="D1000">
        <f>SUMIFS(Дивиденды!$C:$C,Дивиденды!$A:$A,A1000,Дивиденды!$I:$I,C1000)</f>
        <v>1.35</v>
      </c>
      <c r="E1000">
        <v>7</v>
      </c>
      <c r="F1000">
        <f t="shared" si="168"/>
        <v>1.35</v>
      </c>
      <c r="G1000">
        <f t="shared" si="169"/>
        <v>1.83</v>
      </c>
      <c r="H1000">
        <f t="shared" si="170"/>
        <v>1</v>
      </c>
      <c r="I1000">
        <f t="shared" si="166"/>
        <v>0.25</v>
      </c>
      <c r="J1000">
        <f t="shared" si="171"/>
        <v>5.4687500000000049E-2</v>
      </c>
      <c r="K1000">
        <f t="shared" si="175"/>
        <v>-0.42594091460946981</v>
      </c>
      <c r="L1000">
        <f t="shared" si="172"/>
        <v>1</v>
      </c>
      <c r="M1000">
        <f t="shared" si="176"/>
        <v>0</v>
      </c>
      <c r="N1000">
        <f t="shared" si="173"/>
        <v>0</v>
      </c>
      <c r="O1000">
        <f t="shared" si="174"/>
        <v>0.5</v>
      </c>
      <c r="P1000">
        <f>IFERROR(LN('Дивиденды по годам'!I1000),"")</f>
        <v>25.995399684722415</v>
      </c>
      <c r="Q1000">
        <f>IFERROR('Дивиденды по годам'!G1000/'Дивиденды по годам'!I1000, "")</f>
        <v>0.41615772575295251</v>
      </c>
      <c r="R1000">
        <f>IFERROR(IF(AND('Дивиденды по годам'!N1000&lt;&gt;"",'Дивиденды по годам'!U1000&lt;&gt;"",'Дивиденды по годам'!U1000&lt;&gt;0),'Дивиденды по годам'!N1000/'Дивиденды по годам'!U1000-1,""),"")</f>
        <v>-6.2801206335265314E-2</v>
      </c>
      <c r="S1000">
        <f>IFERROR(IF(AND('Дивиденды по годам'!L1000&lt;&gt;"",'Дивиденды по годам'!I1000&lt;&gt;"",'Дивиденды по годам'!J1000&lt;&gt;"",'Дивиденды по годам'!K1000&lt;&gt;"",('Дивиденды по годам'!I1000-'Дивиденды по годам'!J1000-'Дивиденды по годам'!K1000)&lt;&gt;0),'Дивиденды по годам'!L1000/('Дивиденды по годам'!I1000-'Дивиденды по годам'!J1000-'Дивиденды по годам'!K1000),""),"")</f>
        <v>1.264551151814838</v>
      </c>
      <c r="T1000">
        <f>IFERROR(IF(AND('Дивиденды по годам'!Q1000&lt;&gt;"",'Дивиденды по годам'!I1000&lt;&gt;"",'Дивиденды по годам'!V1000&lt;&gt;"",('Дивиденды по годам'!I1000+'Дивиденды по годам'!V1000)&lt;&gt;0),'Дивиденды по годам'!Q1000/(('Дивиденды по годам'!I1000+'Дивиденды по годам'!V1000)/2),""),"")</f>
        <v>0.38125035829401982</v>
      </c>
      <c r="U1000">
        <f>IFERROR(IF(AND('Дивиденды по годам'!J1000&lt;&gt;"",'Дивиденды по годам'!K1000&lt;&gt;"",'Дивиденды по годам'!M1000&lt;&gt;"",'Дивиденды по годам'!M1000&lt;&gt;0),('Дивиденды по годам'!J1000+'Дивиденды по годам'!K1000)/'Дивиденды по годам'!M1000,""),"")</f>
        <v>0.82331937707800085</v>
      </c>
      <c r="V1000" cm="1">
        <f t="array" ref="V1000">IFERROR(AVERAGE(_xlfn._xlws.FILTER(P$2:P$1073,($C$2:$C$1073=$C1000)*($E$2:$E$1073=$E1000)*(ROW(P$2:P$1073)&lt;&gt;ROW(P1000))*(P$2:P$1073&lt;&gt;""))),"")</f>
        <v>25.671836975982831</v>
      </c>
      <c r="W1000" cm="1">
        <f t="array" ref="W1000">IFERROR(AVERAGE(_xlfn._xlws.FILTER(Q$2:Q$1073,($C$2:$C$1073=$C1000)*($E$2:$E$1073=$E1000)*(ROW(Q$2:Q$1073)&lt;&gt;ROW(Q1000))*(Q$2:Q$1073&lt;&gt;""))),"")</f>
        <v>0.48180132515792196</v>
      </c>
      <c r="X1000" cm="1">
        <f t="array" ref="X1000">IFERROR(AVERAGE(_xlfn._xlws.FILTER(R$2:R$1073,($C$2:$C$1073=$C1000)*($E$2:$E$1073=$E1000)*(ROW(R$2:R$1073)&lt;&gt;ROW(R1000))*(R$2:R$1073&lt;&gt;""))),"")</f>
        <v>0.14848619552747108</v>
      </c>
      <c r="Y1000" cm="1">
        <f t="array" ref="Y1000">IFERROR(AVERAGE(_xlfn._xlws.FILTER(S$2:S$1073,($C$2:$C$1073=$C1000)*($E$2:$E$1073=$E1000)*(ROW(S$2:S$1073)&lt;&gt;ROW(S1000))*(S$2:S$1073&lt;&gt;""))),"")</f>
        <v>-3.8354437402172046</v>
      </c>
      <c r="Z1000" cm="1">
        <f t="array" ref="Z1000">IFERROR(AVERAGE(_xlfn._xlws.FILTER(T$2:T$1073,($C$2:$C$1073=$C1000)*($E$2:$E$1073=$E1000)*(ROW(T$2:T$1073)&lt;&gt;ROW(T1000))*(T$2:T$1073&lt;&gt;""))),"")</f>
        <v>2.4142654398887468E-2</v>
      </c>
      <c r="AA1000" cm="1">
        <f t="array" ref="AA1000">IFERROR(AVERAGE(_xlfn._xlws.FILTER(U$2:U$1073,($C$2:$C$1073=$C1000)*($E$2:$E$1073=$E1000)*(ROW(U$2:U$1073)&lt;&gt;ROW(U1000))*(U$2:U$1073&lt;&gt;""))),"")</f>
        <v>122.4830434586603</v>
      </c>
    </row>
    <row r="1001" spans="1:27" x14ac:dyDescent="0.2">
      <c r="A1001" s="7" t="s">
        <v>2303</v>
      </c>
      <c r="B1001" t="str">
        <f t="shared" si="167"/>
        <v>NMTP IV кв. 2018</v>
      </c>
      <c r="C1001">
        <v>2018</v>
      </c>
      <c r="D1001">
        <f>SUMIFS(Дивиденды!$C:$C,Дивиденды!$A:$A,A1001,Дивиденды!$I:$I,C1001)</f>
        <v>1.28</v>
      </c>
      <c r="E1001">
        <v>7</v>
      </c>
      <c r="F1001">
        <f t="shared" si="168"/>
        <v>1.28</v>
      </c>
      <c r="G1001">
        <f t="shared" si="169"/>
        <v>6.8500000000000005</v>
      </c>
      <c r="H1001">
        <f t="shared" si="170"/>
        <v>1</v>
      </c>
      <c r="I1001">
        <f t="shared" si="166"/>
        <v>0.5</v>
      </c>
      <c r="J1001">
        <f t="shared" si="171"/>
        <v>1</v>
      </c>
      <c r="K1001">
        <f t="shared" si="175"/>
        <v>-0.13660612875179695</v>
      </c>
      <c r="L1001">
        <f t="shared" si="172"/>
        <v>1</v>
      </c>
      <c r="M1001">
        <f t="shared" si="176"/>
        <v>0.25</v>
      </c>
      <c r="N1001">
        <f t="shared" si="173"/>
        <v>0</v>
      </c>
      <c r="O1001">
        <f t="shared" si="174"/>
        <v>0.25</v>
      </c>
      <c r="P1001">
        <f>IFERROR(LN('Дивиденды по годам'!I1001),"")</f>
        <v>25.553761048301972</v>
      </c>
      <c r="Q1001">
        <f>IFERROR('Дивиденды по годам'!G1001/'Дивиденды по годам'!I1001, "")</f>
        <v>0.55064388236474959</v>
      </c>
      <c r="R1001">
        <f>IFERROR(IF(AND('Дивиденды по годам'!N1001&lt;&gt;"",'Дивиденды по годам'!U1001&lt;&gt;"",'Дивиденды по годам'!U1001&lt;&gt;0),'Дивиденды по годам'!N1001/'Дивиденды по годам'!U1001-1,""),"")</f>
        <v>0.139746083887758</v>
      </c>
      <c r="S1001">
        <f>IFERROR(IF(AND('Дивиденды по годам'!L1001&lt;&gt;"",'Дивиденды по годам'!I1001&lt;&gt;"",'Дивиденды по годам'!J1001&lt;&gt;"",'Дивиденды по годам'!K1001&lt;&gt;"",('Дивиденды по годам'!I1001-'Дивиденды по годам'!J1001-'Дивиденды по годам'!K1001)&lt;&gt;0),'Дивиденды по годам'!L1001/('Дивиденды по годам'!I1001-'Дивиденды по годам'!J1001-'Дивиденды по годам'!K1001),""),"")</f>
        <v>1.7681488079300118</v>
      </c>
      <c r="T1001">
        <f>IFERROR(IF(AND('Дивиденды по годам'!Q1001&lt;&gt;"",'Дивиденды по годам'!I1001&lt;&gt;"",'Дивиденды по годам'!V1001&lt;&gt;"",('Дивиденды по годам'!I1001+'Дивиденды по годам'!V1001)&lt;&gt;0),'Дивиденды по годам'!Q1001/(('Дивиденды по годам'!I1001+'Дивиденды по годам'!V1001)/2),""),"")</f>
        <v>0.13263351471571716</v>
      </c>
      <c r="U1001">
        <f>IFERROR(IF(AND('Дивиденды по годам'!J1001&lt;&gt;"",'Дивиденды по годам'!K1001&lt;&gt;"",'Дивиденды по годам'!M1001&lt;&gt;"",'Дивиденды по годам'!M1001&lt;&gt;0),('Дивиденды по годам'!J1001+'Дивиденды по годам'!K1001)/'Дивиденды по годам'!M1001,""),"")</f>
        <v>1.7221162725886743</v>
      </c>
      <c r="V1001" cm="1">
        <f t="array" ref="V1001">IFERROR(AVERAGE(_xlfn._xlws.FILTER(P$2:P$1073,($C$2:$C$1073=$C1001)*($E$2:$E$1073=$E1001)*(ROW(P$2:P$1073)&lt;&gt;ROW(P1001))*(P$2:P$1073&lt;&gt;""))),"")</f>
        <v>25.34111165286582</v>
      </c>
      <c r="W1001" cm="1">
        <f t="array" ref="W1001">IFERROR(AVERAGE(_xlfn._xlws.FILTER(Q$2:Q$1073,($C$2:$C$1073=$C1001)*($E$2:$E$1073=$E1001)*(ROW(Q$2:Q$1073)&lt;&gt;ROW(Q1001))*(Q$2:Q$1073&lt;&gt;""))),"")</f>
        <v>0.58672128229780418</v>
      </c>
      <c r="X1001" cm="1">
        <f t="array" ref="X1001">IFERROR(AVERAGE(_xlfn._xlws.FILTER(R$2:R$1073,($C$2:$C$1073=$C1001)*($E$2:$E$1073=$E1001)*(ROW(R$2:R$1073)&lt;&gt;ROW(R1001))*(R$2:R$1073&lt;&gt;""))),"")</f>
        <v>0.4335176271114391</v>
      </c>
      <c r="Y1001" cm="1">
        <f t="array" ref="Y1001">IFERROR(AVERAGE(_xlfn._xlws.FILTER(S$2:S$1073,($C$2:$C$1073=$C1001)*($E$2:$E$1073=$E1001)*(ROW(S$2:S$1073)&lt;&gt;ROW(S1001))*(S$2:S$1073&lt;&gt;""))),"")</f>
        <v>1.0183928370490369</v>
      </c>
      <c r="Z1001" cm="1">
        <f t="array" ref="Z1001">IFERROR(AVERAGE(_xlfn._xlws.FILTER(T$2:T$1073,($C$2:$C$1073=$C1001)*($E$2:$E$1073=$E1001)*(ROW(T$2:T$1073)&lt;&gt;ROW(T1001))*(T$2:T$1073&lt;&gt;""))),"")</f>
        <v>0.11212825264492124</v>
      </c>
      <c r="AA1001" cm="1">
        <f t="array" ref="AA1001">IFERROR(AVERAGE(_xlfn._xlws.FILTER(U$2:U$1073,($C$2:$C$1073=$C1001)*($E$2:$E$1073=$E1001)*(ROW(U$2:U$1073)&lt;&gt;ROW(U1001))*(U$2:U$1073&lt;&gt;""))),"")</f>
        <v>6.5495865932824575</v>
      </c>
    </row>
    <row r="1002" spans="1:27" x14ac:dyDescent="0.2">
      <c r="A1002" s="7" t="s">
        <v>2303</v>
      </c>
      <c r="B1002" t="str">
        <f t="shared" si="167"/>
        <v>NMTP IV кв. 2017</v>
      </c>
      <c r="C1002">
        <v>2017</v>
      </c>
      <c r="D1002">
        <f>SUMIFS(Дивиденды!$C:$C,Дивиденды!$A:$A,A1002,Дивиденды!$I:$I,C1002)</f>
        <v>0</v>
      </c>
      <c r="E1002">
        <v>7</v>
      </c>
      <c r="F1002">
        <f t="shared" si="168"/>
        <v>0</v>
      </c>
      <c r="G1002">
        <f t="shared" si="169"/>
        <v>8.17</v>
      </c>
      <c r="H1002">
        <f t="shared" si="170"/>
        <v>0</v>
      </c>
      <c r="I1002">
        <f t="shared" si="166"/>
        <v>0.5</v>
      </c>
      <c r="J1002">
        <f t="shared" si="171"/>
        <v>-1</v>
      </c>
      <c r="K1002">
        <f t="shared" si="175"/>
        <v>0.10347164949451537</v>
      </c>
      <c r="L1002">
        <f t="shared" si="172"/>
        <v>0</v>
      </c>
      <c r="M1002">
        <f t="shared" si="176"/>
        <v>0.25</v>
      </c>
      <c r="N1002">
        <f t="shared" si="173"/>
        <v>1</v>
      </c>
      <c r="O1002">
        <f t="shared" si="174"/>
        <v>0.25</v>
      </c>
      <c r="P1002">
        <f>IFERROR(LN('Дивиденды по годам'!I1002),"")</f>
        <v>25.582299364196274</v>
      </c>
      <c r="Q1002">
        <f>IFERROR('Дивиденды по годам'!G1002/'Дивиденды по годам'!I1002, "")</f>
        <v>0.57911777652214469</v>
      </c>
      <c r="R1002">
        <f>IFERROR(IF(AND('Дивиденды по годам'!N1002&lt;&gt;"",'Дивиденды по годам'!U1002&lt;&gt;"",'Дивиденды по годам'!U1002&lt;&gt;0),'Дивиденды по годам'!N1002/'Дивиденды по годам'!U1002-1,""),"")</f>
        <v>-9.570189631116921E-2</v>
      </c>
      <c r="S1002">
        <f>IFERROR(IF(AND('Дивиденды по годам'!L1002&lt;&gt;"",'Дивиденды по годам'!I1002&lt;&gt;"",'Дивиденды по годам'!J1002&lt;&gt;"",'Дивиденды по годам'!K1002&lt;&gt;"",('Дивиденды по годам'!I1002-'Дивиденды по годам'!J1002-'Дивиденды по годам'!K1002)&lt;&gt;0),'Дивиденды по годам'!L1002/('Дивиденды по годам'!I1002-'Дивиденды по годам'!J1002-'Дивиденды по годам'!K1002),""),"")</f>
        <v>1.5012609740576672</v>
      </c>
      <c r="T1002">
        <f>IFERROR(IF(AND('Дивиденды по годам'!Q1002&lt;&gt;"",'Дивиденды по годам'!I1002&lt;&gt;"",'Дивиденды по годам'!V1002&lt;&gt;"",('Дивиденды по годам'!I1002+'Дивиденды по годам'!V1002)&lt;&gt;0),'Дивиденды по годам'!Q1002/(('Дивиденды по годам'!I1002+'Дивиденды по годам'!V1002)/2),""),"")</f>
        <v>0.19595439161262446</v>
      </c>
      <c r="U1002">
        <f>IFERROR(IF(AND('Дивиденды по годам'!J1002&lt;&gt;"",'Дивиденды по годам'!K1002&lt;&gt;"",'Дивиденды по годам'!M1002&lt;&gt;"",'Дивиденды по годам'!M1002&lt;&gt;0),('Дивиденды по годам'!J1002+'Дивиденды по годам'!K1002)/'Дивиденды по годам'!M1002,""),"")</f>
        <v>1.7313686603772418</v>
      </c>
      <c r="V1002" cm="1">
        <f t="array" ref="V1002">IFERROR(AVERAGE(_xlfn._xlws.FILTER(P$2:P$1073,($C$2:$C$1073=$C1002)*($E$2:$E$1073=$E1002)*(ROW(P$2:P$1073)&lt;&gt;ROW(P1002))*(P$2:P$1073&lt;&gt;""))),"")</f>
        <v>25.261719285771981</v>
      </c>
      <c r="W1002" cm="1">
        <f t="array" ref="W1002">IFERROR(AVERAGE(_xlfn._xlws.FILTER(Q$2:Q$1073,($C$2:$C$1073=$C1002)*($E$2:$E$1073=$E1002)*(ROW(Q$2:Q$1073)&lt;&gt;ROW(Q1002))*(Q$2:Q$1073&lt;&gt;""))),"")</f>
        <v>0.50466409270183554</v>
      </c>
      <c r="X1002" cm="1">
        <f t="array" ref="X1002">IFERROR(AVERAGE(_xlfn._xlws.FILTER(R$2:R$1073,($C$2:$C$1073=$C1002)*($E$2:$E$1073=$E1002)*(ROW(R$2:R$1073)&lt;&gt;ROW(R1002))*(R$2:R$1073&lt;&gt;""))),"")</f>
        <v>0.12478718234796959</v>
      </c>
      <c r="Y1002" cm="1">
        <f t="array" ref="Y1002">IFERROR(AVERAGE(_xlfn._xlws.FILTER(S$2:S$1073,($C$2:$C$1073=$C1002)*($E$2:$E$1073=$E1002)*(ROW(S$2:S$1073)&lt;&gt;ROW(S1002))*(S$2:S$1073&lt;&gt;""))),"")</f>
        <v>0.1523842966019211</v>
      </c>
      <c r="Z1002" cm="1">
        <f t="array" ref="Z1002">IFERROR(AVERAGE(_xlfn._xlws.FILTER(T$2:T$1073,($C$2:$C$1073=$C1002)*($E$2:$E$1073=$E1002)*(ROW(T$2:T$1073)&lt;&gt;ROW(T1002))*(T$2:T$1073&lt;&gt;""))),"")</f>
        <v>0.15768980303101338</v>
      </c>
      <c r="AA1002" cm="1">
        <f t="array" ref="AA1002">IFERROR(AVERAGE(_xlfn._xlws.FILTER(U$2:U$1073,($C$2:$C$1073=$C1002)*($E$2:$E$1073=$E1002)*(ROW(U$2:U$1073)&lt;&gt;ROW(U1002))*(U$2:U$1073&lt;&gt;""))),"")</f>
        <v>6.1896042711120121</v>
      </c>
    </row>
    <row r="1003" spans="1:27" x14ac:dyDescent="0.2">
      <c r="A1003" s="7" t="s">
        <v>2303</v>
      </c>
      <c r="B1003" t="str">
        <f t="shared" si="167"/>
        <v>NMTP IV кв. 2016</v>
      </c>
      <c r="C1003">
        <v>2016</v>
      </c>
      <c r="D1003">
        <f>SUMIFS(Дивиденды!$C:$C,Дивиденды!$A:$A,A1003,Дивиденды!$I:$I,C1003)</f>
        <v>1.3019000000000001</v>
      </c>
      <c r="E1003">
        <v>7</v>
      </c>
      <c r="F1003">
        <f t="shared" si="168"/>
        <v>1.3019000000000001</v>
      </c>
      <c r="G1003">
        <f t="shared" si="169"/>
        <v>7.3250000000000002</v>
      </c>
      <c r="H1003">
        <f t="shared" si="170"/>
        <v>1</v>
      </c>
      <c r="I1003">
        <f t="shared" si="166"/>
        <v>0.5</v>
      </c>
      <c r="J1003">
        <f t="shared" si="171"/>
        <v>1</v>
      </c>
      <c r="K1003">
        <f t="shared" si="175"/>
        <v>0.16982758620689659</v>
      </c>
      <c r="L1003">
        <f t="shared" si="172"/>
        <v>1</v>
      </c>
      <c r="M1003">
        <f t="shared" si="176"/>
        <v>0.25</v>
      </c>
      <c r="N1003">
        <f t="shared" si="173"/>
        <v>0</v>
      </c>
      <c r="O1003">
        <f t="shared" si="174"/>
        <v>0.25</v>
      </c>
      <c r="P1003">
        <f>IFERROR(LN('Дивиденды по годам'!I1003),"")</f>
        <v>25.608719044798129</v>
      </c>
      <c r="Q1003">
        <f>IFERROR('Дивиденды по годам'!G1003/'Дивиденды по годам'!I1003, "")</f>
        <v>0.52454841213440973</v>
      </c>
      <c r="R1003" t="str">
        <f>IFERROR(IF(AND('Дивиденды по годам'!N1003&lt;&gt;"",'Дивиденды по годам'!U1003&lt;&gt;"",'Дивиденды по годам'!U1003&lt;&gt;0),'Дивиденды по годам'!N1003/'Дивиденды по годам'!U1003-1,""),"")</f>
        <v/>
      </c>
      <c r="S1003">
        <f>IFERROR(IF(AND('Дивиденды по годам'!L1003&lt;&gt;"",'Дивиденды по годам'!I1003&lt;&gt;"",'Дивиденды по годам'!J1003&lt;&gt;"",'Дивиденды по годам'!K1003&lt;&gt;"",('Дивиденды по годам'!I1003-'Дивиденды по годам'!J1003-'Дивиденды по годам'!K1003)&lt;&gt;0),'Дивиденды по годам'!L1003/('Дивиденды по годам'!I1003-'Дивиденды по годам'!J1003-'Дивиденды по годам'!K1003),""),"")</f>
        <v>0.96073756720669001</v>
      </c>
      <c r="T1003" t="str">
        <f>IFERROR(IF(AND('Дивиденды по годам'!Q1003&lt;&gt;"",'Дивиденды по годам'!I1003&lt;&gt;"",'Дивиденды по годам'!V1003&lt;&gt;"",('Дивиденды по годам'!I1003+'Дивиденды по годам'!V1003)&lt;&gt;0),'Дивиденды по годам'!Q1003/(('Дивиденды по годам'!I1003+'Дивиденды по годам'!V1003)/2),""),"")</f>
        <v/>
      </c>
      <c r="U1003">
        <f>IFERROR(IF(AND('Дивиденды по годам'!J1003&lt;&gt;"",'Дивиденды по годам'!K1003&lt;&gt;"",'Дивиденды по годам'!M1003&lt;&gt;"",'Дивиденды по годам'!M1003&lt;&gt;0),('Дивиденды по годам'!J1003+'Дивиденды по годам'!K1003)/'Дивиденды по годам'!M1003,""),"")</f>
        <v>2.6900563053069249</v>
      </c>
      <c r="V1003" cm="1">
        <f t="array" ref="V1003">IFERROR(AVERAGE(_xlfn._xlws.FILTER(P$2:P$1073,($C$2:$C$1073=$C1003)*($E$2:$E$1073=$E1003)*(ROW(P$2:P$1073)&lt;&gt;ROW(P1003))*(P$2:P$1073&lt;&gt;""))),"")</f>
        <v>25.098873039904337</v>
      </c>
      <c r="W1003" cm="1">
        <f t="array" ref="W1003">IFERROR(AVERAGE(_xlfn._xlws.FILTER(Q$2:Q$1073,($C$2:$C$1073=$C1003)*($E$2:$E$1073=$E1003)*(ROW(Q$2:Q$1073)&lt;&gt;ROW(Q1003))*(Q$2:Q$1073&lt;&gt;""))),"")</f>
        <v>0.56911345773257405</v>
      </c>
      <c r="X1003" cm="1">
        <f t="array" ref="X1003">IFERROR(AVERAGE(_xlfn._xlws.FILTER(R$2:R$1073,($C$2:$C$1073=$C1003)*($E$2:$E$1073=$E1003)*(ROW(R$2:R$1073)&lt;&gt;ROW(R1003))*(R$2:R$1073&lt;&gt;""))),"")</f>
        <v>9.945660940703209E-2</v>
      </c>
      <c r="Y1003" cm="1">
        <f t="array" ref="Y1003">IFERROR(AVERAGE(_xlfn._xlws.FILTER(S$2:S$1073,($C$2:$C$1073=$C1003)*($E$2:$E$1073=$E1003)*(ROW(S$2:S$1073)&lt;&gt;ROW(S1003))*(S$2:S$1073&lt;&gt;""))),"")</f>
        <v>1.4699316329505256</v>
      </c>
      <c r="Z1003" cm="1">
        <f t="array" ref="Z1003">IFERROR(AVERAGE(_xlfn._xlws.FILTER(T$2:T$1073,($C$2:$C$1073=$C1003)*($E$2:$E$1073=$E1003)*(ROW(T$2:T$1073)&lt;&gt;ROW(T1003))*(T$2:T$1073&lt;&gt;""))),"")</f>
        <v>5.9474833999789568E-2</v>
      </c>
      <c r="AA1003" cm="1">
        <f t="array" ref="AA1003">IFERROR(AVERAGE(_xlfn._xlws.FILTER(U$2:U$1073,($C$2:$C$1073=$C1003)*($E$2:$E$1073=$E1003)*(ROW(U$2:U$1073)&lt;&gt;ROW(U1003))*(U$2:U$1073&lt;&gt;""))),"")</f>
        <v>0.62178730124937776</v>
      </c>
    </row>
    <row r="1004" spans="1:27" x14ac:dyDescent="0.2">
      <c r="A1004" s="7" t="s">
        <v>2303</v>
      </c>
      <c r="B1004" t="str">
        <f t="shared" si="167"/>
        <v>NMTP IV кв. 2015</v>
      </c>
      <c r="C1004">
        <v>2015</v>
      </c>
      <c r="D1004">
        <f>SUMIFS(Дивиденды!$C:$C,Дивиденды!$A:$A,A1004,Дивиденды!$I:$I,C1004)</f>
        <v>0</v>
      </c>
      <c r="E1004">
        <v>7</v>
      </c>
      <c r="F1004">
        <f t="shared" si="168"/>
        <v>0</v>
      </c>
      <c r="G1004">
        <f t="shared" si="169"/>
        <v>4.3499999999999996</v>
      </c>
      <c r="H1004">
        <f t="shared" si="170"/>
        <v>0</v>
      </c>
      <c r="I1004">
        <f t="shared" si="166"/>
        <v>0.25</v>
      </c>
      <c r="J1004">
        <f t="shared" si="171"/>
        <v>-1</v>
      </c>
      <c r="K1004">
        <f t="shared" si="175"/>
        <v>0.25</v>
      </c>
      <c r="L1004">
        <f t="shared" si="172"/>
        <v>0</v>
      </c>
      <c r="M1004">
        <f t="shared" si="176"/>
        <v>0.25</v>
      </c>
      <c r="N1004">
        <f t="shared" si="173"/>
        <v>1</v>
      </c>
      <c r="O1004">
        <f t="shared" si="174"/>
        <v>0</v>
      </c>
      <c r="P1004" t="str">
        <f>IFERROR(LN('Дивиденды по годам'!I1004),"")</f>
        <v/>
      </c>
      <c r="Q1004" t="str">
        <f>IFERROR('Дивиденды по годам'!G1004/'Дивиденды по годам'!I1004, "")</f>
        <v/>
      </c>
      <c r="R1004" t="str">
        <f>IFERROR(IF(AND('Дивиденды по годам'!N1004&lt;&gt;"",'Дивиденды по годам'!U1004&lt;&gt;"",'Дивиденды по годам'!U1004&lt;&gt;0),'Дивиденды по годам'!N1004/'Дивиденды по годам'!U1004-1,""),"")</f>
        <v/>
      </c>
      <c r="S1004" t="str">
        <f>IFERROR(IF(AND('Дивиденды по годам'!L1004&lt;&gt;"",'Дивиденды по годам'!I1004&lt;&gt;"",'Дивиденды по годам'!J1004&lt;&gt;"",'Дивиденды по годам'!K1004&lt;&gt;"",('Дивиденды по годам'!I1004-'Дивиденды по годам'!J1004-'Дивиденды по годам'!K1004)&lt;&gt;0),'Дивиденды по годам'!L1004/('Дивиденды по годам'!I1004-'Дивиденды по годам'!J1004-'Дивиденды по годам'!K1004),""),"")</f>
        <v/>
      </c>
      <c r="T1004" t="str">
        <f>IFERROR(IF(AND('Дивиденды по годам'!Q1004&lt;&gt;"",'Дивиденды по годам'!I1004&lt;&gt;"",'Дивиденды по годам'!V1004&lt;&gt;"",('Дивиденды по годам'!I1004+'Дивиденды по годам'!V1004)&lt;&gt;0),'Дивиденды по годам'!Q1004/(('Дивиденды по годам'!I1004+'Дивиденды по годам'!V1004)/2),""),"")</f>
        <v/>
      </c>
      <c r="U1004" t="str">
        <f>IFERROR(IF(AND('Дивиденды по годам'!J1004&lt;&gt;"",'Дивиденды по годам'!K1004&lt;&gt;"",'Дивиденды по годам'!M1004&lt;&gt;"",'Дивиденды по годам'!M1004&lt;&gt;0),('Дивиденды по годам'!J1004+'Дивиденды по годам'!K1004)/'Дивиденды по годам'!M1004,""),"")</f>
        <v/>
      </c>
      <c r="V1004" cm="1">
        <f t="array" ref="V1004">IFERROR(AVERAGE(_xlfn._xlws.FILTER(P$2:P$1073,($C$2:$C$1073=$C1004)*($E$2:$E$1073=$E1004)*(ROW(P$2:P$1073)&lt;&gt;ROW(P1004))*(P$2:P$1073&lt;&gt;""))),"")</f>
        <v>25.946113093409206</v>
      </c>
      <c r="W1004" cm="1">
        <f t="array" ref="W1004">IFERROR(AVERAGE(_xlfn._xlws.FILTER(Q$2:Q$1073,($C$2:$C$1073=$C1004)*($E$2:$E$1073=$E1004)*(ROW(Q$2:Q$1073)&lt;&gt;ROW(Q1004))*(Q$2:Q$1073&lt;&gt;""))),"")</f>
        <v>0.53588363996896138</v>
      </c>
      <c r="X1004" cm="1">
        <f t="array" ref="X1004">IFERROR(AVERAGE(_xlfn._xlws.FILTER(R$2:R$1073,($C$2:$C$1073=$C1004)*($E$2:$E$1073=$E1004)*(ROW(R$2:R$1073)&lt;&gt;ROW(R1004))*(R$2:R$1073&lt;&gt;""))),"")</f>
        <v>0.23188574425603645</v>
      </c>
      <c r="Y1004" cm="1">
        <f t="array" ref="Y1004">IFERROR(AVERAGE(_xlfn._xlws.FILTER(S$2:S$1073,($C$2:$C$1073=$C1004)*($E$2:$E$1073=$E1004)*(ROW(S$2:S$1073)&lt;&gt;ROW(S1004))*(S$2:S$1073&lt;&gt;""))),"")</f>
        <v>0.87227414330218056</v>
      </c>
      <c r="Z1004" cm="1">
        <f t="array" ref="Z1004">IFERROR(AVERAGE(_xlfn._xlws.FILTER(T$2:T$1073,($C$2:$C$1073=$C1004)*($E$2:$E$1073=$E1004)*(ROW(T$2:T$1073)&lt;&gt;ROW(T1004))*(T$2:T$1073&lt;&gt;""))),"")</f>
        <v>-4.1087370784105119E-2</v>
      </c>
      <c r="AA1004" cm="1">
        <f t="array" ref="AA1004">IFERROR(AVERAGE(_xlfn._xlws.FILTER(U$2:U$1073,($C$2:$C$1073=$C1004)*($E$2:$E$1073=$E1004)*(ROW(U$2:U$1073)&lt;&gt;ROW(U1004))*(U$2:U$1073&lt;&gt;""))),"")</f>
        <v>-4.1029699850533428</v>
      </c>
    </row>
    <row r="1005" spans="1:27" x14ac:dyDescent="0.2">
      <c r="A1005" s="7" t="s">
        <v>2303</v>
      </c>
      <c r="B1005" t="str">
        <f t="shared" si="167"/>
        <v>NMTP IV кв. 2014</v>
      </c>
      <c r="C1005">
        <v>2014</v>
      </c>
      <c r="D1005">
        <f>SUMIFS(Дивиденды!$C:$C,Дивиденды!$A:$A,A1005,Дивиденды!$I:$I,C1005)</f>
        <v>0.23</v>
      </c>
      <c r="E1005">
        <v>7</v>
      </c>
      <c r="F1005">
        <f t="shared" si="168"/>
        <v>0.23</v>
      </c>
      <c r="G1005">
        <f t="shared" si="169"/>
        <v>0</v>
      </c>
      <c r="H1005">
        <f t="shared" si="170"/>
        <v>1</v>
      </c>
      <c r="I1005">
        <f t="shared" si="166"/>
        <v>0</v>
      </c>
      <c r="J1005">
        <f t="shared" si="171"/>
        <v>8.8290598290598297</v>
      </c>
      <c r="K1005">
        <f t="shared" si="175"/>
        <v>-0.25</v>
      </c>
      <c r="L1005">
        <f t="shared" si="172"/>
        <v>1</v>
      </c>
      <c r="M1005">
        <f t="shared" si="176"/>
        <v>0</v>
      </c>
      <c r="N1005">
        <f t="shared" si="173"/>
        <v>0</v>
      </c>
      <c r="O1005">
        <f t="shared" si="174"/>
        <v>0.25</v>
      </c>
      <c r="P1005">
        <f>IFERROR(LN('Дивиденды по годам'!I1005),"")</f>
        <v>25.222439274465138</v>
      </c>
      <c r="Q1005">
        <f>IFERROR('Дивиденды по годам'!G1005/'Дивиденды по годам'!I1005, "")</f>
        <v>0.50137216893192338</v>
      </c>
      <c r="R1005">
        <f>IFERROR(IF(AND('Дивиденды по годам'!N1005&lt;&gt;"",'Дивиденды по годам'!U1005&lt;&gt;"",'Дивиденды по годам'!U1005&lt;&gt;0),'Дивиденды по годам'!N1005/'Дивиденды по годам'!U1005-1,""),"")</f>
        <v>0.25321369505773528</v>
      </c>
      <c r="S1005" t="str">
        <f>IFERROR(IF(AND('Дивиденды по годам'!L1005&lt;&gt;"",'Дивиденды по годам'!I1005&lt;&gt;"",'Дивиденды по годам'!J1005&lt;&gt;"",'Дивиденды по годам'!K1005&lt;&gt;"",('Дивиденды по годам'!I1005-'Дивиденды по годам'!J1005-'Дивиденды по годам'!K1005)&lt;&gt;0),'Дивиденды по годам'!L1005/('Дивиденды по годам'!I1005-'Дивиденды по годам'!J1005-'Дивиденды по годам'!K1005),""),"")</f>
        <v/>
      </c>
      <c r="T1005">
        <f>IFERROR(IF(AND('Дивиденды по годам'!Q1005&lt;&gt;"",'Дивиденды по годам'!I1005&lt;&gt;"",'Дивиденды по годам'!V1005&lt;&gt;"",('Дивиденды по годам'!I1005+'Дивиденды по годам'!V1005)&lt;&gt;0),'Дивиденды по годам'!Q1005/(('Дивиденды по годам'!I1005+'Дивиденды по годам'!V1005)/2),""),"")</f>
        <v>-0.15333104951958584</v>
      </c>
      <c r="U1005">
        <f>IFERROR(IF(AND('Дивиденды по годам'!J1005&lt;&gt;"",'Дивиденды по годам'!K1005&lt;&gt;"",'Дивиденды по годам'!M1005&lt;&gt;"",'Дивиденды по годам'!M1005&lt;&gt;0),('Дивиденды по годам'!J1005+'Дивиденды по годам'!K1005)/'Дивиденды по годам'!M1005,""),"")</f>
        <v>6.8986632536005699</v>
      </c>
      <c r="V1005" cm="1">
        <f t="array" ref="V1005">IFERROR(AVERAGE(_xlfn._xlws.FILTER(P$2:P$1073,($C$2:$C$1073=$C1005)*($E$2:$E$1073=$E1005)*(ROW(P$2:P$1073)&lt;&gt;ROW(P1005))*(P$2:P$1073&lt;&gt;""))),"")</f>
        <v>25.865915080410243</v>
      </c>
      <c r="W1005" cm="1">
        <f t="array" ref="W1005">IFERROR(AVERAGE(_xlfn._xlws.FILTER(Q$2:Q$1073,($C$2:$C$1073=$C1005)*($E$2:$E$1073=$E1005)*(ROW(Q$2:Q$1073)&lt;&gt;ROW(Q1005))*(Q$2:Q$1073&lt;&gt;""))),"")</f>
        <v>0.48341247309744323</v>
      </c>
      <c r="X1005" cm="1">
        <f t="array" ref="X1005">IFERROR(AVERAGE(_xlfn._xlws.FILTER(R$2:R$1073,($C$2:$C$1073=$C1005)*($E$2:$E$1073=$E1005)*(ROW(R$2:R$1073)&lt;&gt;ROW(R1005))*(R$2:R$1073&lt;&gt;""))),"")</f>
        <v>0.20450200900784465</v>
      </c>
      <c r="Y1005" cm="1">
        <f t="array" ref="Y1005">IFERROR(AVERAGE(_xlfn._xlws.FILTER(S$2:S$1073,($C$2:$C$1073=$C1005)*($E$2:$E$1073=$E1005)*(ROW(S$2:S$1073)&lt;&gt;ROW(S1005))*(S$2:S$1073&lt;&gt;""))),"")</f>
        <v>164.14893617021278</v>
      </c>
      <c r="Z1005" cm="1">
        <f t="array" ref="Z1005">IFERROR(AVERAGE(_xlfn._xlws.FILTER(T$2:T$1073,($C$2:$C$1073=$C1005)*($E$2:$E$1073=$E1005)*(ROW(T$2:T$1073)&lt;&gt;ROW(T1005))*(T$2:T$1073&lt;&gt;""))),"")</f>
        <v>-4.8023010279408383E-2</v>
      </c>
      <c r="AA1005" cm="1">
        <f t="array" ref="AA1005">IFERROR(AVERAGE(_xlfn._xlws.FILTER(U$2:U$1073,($C$2:$C$1073=$C1005)*($E$2:$E$1073=$E1005)*(ROW(U$2:U$1073)&lt;&gt;ROW(U1005))*(U$2:U$1073&lt;&gt;""))),"")</f>
        <v>-520.33099285990272</v>
      </c>
    </row>
    <row r="1006" spans="1:27" x14ac:dyDescent="0.2">
      <c r="A1006" s="7" t="s">
        <v>2303</v>
      </c>
      <c r="B1006" t="str">
        <f t="shared" si="167"/>
        <v>NMTP IV кв. 2013</v>
      </c>
      <c r="C1006">
        <v>2013</v>
      </c>
      <c r="D1006">
        <f>SUMIFS(Дивиденды!$C:$C,Дивиденды!$A:$A,A1006,Дивиденды!$I:$I,C1006)</f>
        <v>2.3400000000000001E-2</v>
      </c>
      <c r="E1006">
        <v>7</v>
      </c>
      <c r="F1006">
        <f t="shared" si="168"/>
        <v>2.3400000000000001E-2</v>
      </c>
      <c r="G1006">
        <f t="shared" si="169"/>
        <v>0.625</v>
      </c>
      <c r="H1006">
        <f t="shared" si="170"/>
        <v>1</v>
      </c>
      <c r="I1006">
        <f t="shared" si="166"/>
        <v>0.25</v>
      </c>
      <c r="J1006">
        <f t="shared" si="171"/>
        <v>-8.4745762711863903E-3</v>
      </c>
      <c r="K1006">
        <f t="shared" si="175"/>
        <v>0.28879310344827591</v>
      </c>
      <c r="L1006">
        <f t="shared" si="172"/>
        <v>0</v>
      </c>
      <c r="M1006">
        <f t="shared" si="176"/>
        <v>0.25</v>
      </c>
      <c r="N1006">
        <f t="shared" si="173"/>
        <v>1</v>
      </c>
      <c r="O1006">
        <f t="shared" si="174"/>
        <v>0</v>
      </c>
      <c r="P1006">
        <f>IFERROR(LN('Дивиденды по годам'!I1006),"")</f>
        <v>25.508319092366641</v>
      </c>
      <c r="Q1006">
        <f>IFERROR('Дивиденды по годам'!G1006/'Дивиденды по годам'!I1006, "")</f>
        <v>0.53583073301410145</v>
      </c>
      <c r="R1006">
        <f>IFERROR(IF(AND('Дивиденды по годам'!N1006&lt;&gt;"",'Дивиденды по годам'!U1006&lt;&gt;"",'Дивиденды по годам'!U1006&lt;&gt;0),'Дивиденды по годам'!N1006/'Дивиденды по годам'!U1006-1,""),"")</f>
        <v>-8.0347762636683195E-2</v>
      </c>
      <c r="S1006" t="str">
        <f>IFERROR(IF(AND('Дивиденды по годам'!L1006&lt;&gt;"",'Дивиденды по годам'!I1006&lt;&gt;"",'Дивиденды по годам'!J1006&lt;&gt;"",'Дивиденды по годам'!K1006&lt;&gt;"",('Дивиденды по годам'!I1006-'Дивиденды по годам'!J1006-'Дивиденды по годам'!K1006)&lt;&gt;0),'Дивиденды по годам'!L1006/('Дивиденды по годам'!I1006-'Дивиденды по годам'!J1006-'Дивиденды по годам'!K1006),""),"")</f>
        <v/>
      </c>
      <c r="T1006">
        <f>IFERROR(IF(AND('Дивиденды по годам'!Q1006&lt;&gt;"",'Дивиденды по годам'!I1006&lt;&gt;"",'Дивиденды по годам'!V1006&lt;&gt;"",('Дивиденды по годам'!I1006+'Дивиденды по годам'!V1006)&lt;&gt;0),'Дивиденды по годам'!Q1006/(('Дивиденды по годам'!I1006+'Дивиденды по годам'!V1006)/2),""),"")</f>
        <v>-2.7715881918954566E-2</v>
      </c>
      <c r="U1006">
        <f>IFERROR(IF(AND('Дивиденды по годам'!J1006&lt;&gt;"",'Дивиденды по годам'!K1006&lt;&gt;"",'Дивиденды по годам'!M1006&lt;&gt;"",'Дивиденды по годам'!M1006&lt;&gt;0),('Дивиденды по годам'!J1006+'Дивиденды по годам'!K1006)/'Дивиденды по годам'!M1006,""),"")</f>
        <v>2.2694970833437349</v>
      </c>
      <c r="V1006" cm="1">
        <f t="array" ref="V1006">IFERROR(AVERAGE(_xlfn._xlws.FILTER(P$2:P$1073,($C$2:$C$1073=$C1006)*($E$2:$E$1073=$E1006)*(ROW(P$2:P$1073)&lt;&gt;ROW(P1006))*(P$2:P$1073&lt;&gt;""))),"")</f>
        <v>25.687316596175211</v>
      </c>
      <c r="W1006" cm="1">
        <f t="array" ref="W1006">IFERROR(AVERAGE(_xlfn._xlws.FILTER(Q$2:Q$1073,($C$2:$C$1073=$C1006)*($E$2:$E$1073=$E1006)*(ROW(Q$2:Q$1073)&lt;&gt;ROW(Q1006))*(Q$2:Q$1073&lt;&gt;""))),"")</f>
        <v>0.56704915815380952</v>
      </c>
      <c r="X1006" cm="1">
        <f t="array" ref="X1006">IFERROR(AVERAGE(_xlfn._xlws.FILTER(R$2:R$1073,($C$2:$C$1073=$C1006)*($E$2:$E$1073=$E1006)*(ROW(R$2:R$1073)&lt;&gt;ROW(R1006))*(R$2:R$1073&lt;&gt;""))),"")</f>
        <v>6.3417568043423633E-2</v>
      </c>
      <c r="Y1006" t="str" cm="1">
        <f t="array" ref="Y1006">IFERROR(AVERAGE(_xlfn._xlws.FILTER(S$2:S$1073,($C$2:$C$1073=$C1006)*($E$2:$E$1073=$E1006)*(ROW(S$2:S$1073)&lt;&gt;ROW(S1006))*(S$2:S$1073&lt;&gt;""))),"")</f>
        <v/>
      </c>
      <c r="Z1006" cm="1">
        <f t="array" ref="Z1006">IFERROR(AVERAGE(_xlfn._xlws.FILTER(T$2:T$1073,($C$2:$C$1073=$C1006)*($E$2:$E$1073=$E1006)*(ROW(T$2:T$1073)&lt;&gt;ROW(T1006))*(T$2:T$1073&lt;&gt;""))),"")</f>
        <v>2.1855028281535075E-2</v>
      </c>
      <c r="AA1006" cm="1">
        <f t="array" ref="AA1006">IFERROR(AVERAGE(_xlfn._xlws.FILTER(U$2:U$1073,($C$2:$C$1073=$C1006)*($E$2:$E$1073=$E1006)*(ROW(U$2:U$1073)&lt;&gt;ROW(U1006))*(U$2:U$1073&lt;&gt;""))),"")</f>
        <v>2.0567087387693674</v>
      </c>
    </row>
    <row r="1007" spans="1:27" x14ac:dyDescent="0.2">
      <c r="A1007" s="7" t="s">
        <v>2303</v>
      </c>
      <c r="B1007" t="str">
        <f t="shared" si="167"/>
        <v>NMTP IV кв. 2012</v>
      </c>
      <c r="C1007">
        <v>2012</v>
      </c>
      <c r="D1007">
        <f>SUMIFS(Дивиденды!$C:$C,Дивиденды!$A:$A,A1007,Дивиденды!$I:$I,C1007)</f>
        <v>2.3599999999999999E-2</v>
      </c>
      <c r="E1007">
        <v>7</v>
      </c>
      <c r="F1007">
        <f t="shared" si="168"/>
        <v>2.3599999999999999E-2</v>
      </c>
      <c r="G1007">
        <f t="shared" si="169"/>
        <v>0.28999999999999998</v>
      </c>
      <c r="H1007">
        <f t="shared" si="170"/>
        <v>1</v>
      </c>
      <c r="I1007">
        <f t="shared" si="166"/>
        <v>0.25</v>
      </c>
      <c r="J1007">
        <f t="shared" si="171"/>
        <v>4.2553191489361443E-3</v>
      </c>
      <c r="K1007">
        <f t="shared" si="175"/>
        <v>-8.9779005524861899E-2</v>
      </c>
      <c r="L1007">
        <f t="shared" si="172"/>
        <v>1</v>
      </c>
      <c r="M1007">
        <f t="shared" si="176"/>
        <v>0</v>
      </c>
      <c r="N1007">
        <f t="shared" si="173"/>
        <v>0</v>
      </c>
      <c r="O1007">
        <f t="shared" si="174"/>
        <v>0.25</v>
      </c>
      <c r="P1007">
        <f>IFERROR(LN('Дивиденды по годам'!I1007),"")</f>
        <v>25.518409933970869</v>
      </c>
      <c r="Q1007">
        <f>IFERROR('Дивиденды по годам'!G1007/'Дивиденды по годам'!I1007, "")</f>
        <v>0.51964795762021576</v>
      </c>
      <c r="R1007">
        <f>IFERROR(IF(AND('Дивиденды по годам'!N1007&lt;&gt;"",'Дивиденды по годам'!U1007&lt;&gt;"",'Дивиденды по годам'!U1007&lt;&gt;0),'Дивиденды по годам'!N1007/'Дивиденды по годам'!U1007-1,""),"")</f>
        <v>4.1517745243978776E-2</v>
      </c>
      <c r="S1007" t="str">
        <f>IFERROR(IF(AND('Дивиденды по годам'!L1007&lt;&gt;"",'Дивиденды по годам'!I1007&lt;&gt;"",'Дивиденды по годам'!J1007&lt;&gt;"",'Дивиденды по годам'!K1007&lt;&gt;"",('Дивиденды по годам'!I1007-'Дивиденды по годам'!J1007-'Дивиденды по годам'!K1007)&lt;&gt;0),'Дивиденды по годам'!L1007/('Дивиденды по годам'!I1007-'Дивиденды по годам'!J1007-'Дивиденды по годам'!K1007),""),"")</f>
        <v/>
      </c>
      <c r="T1007">
        <f>IFERROR(IF(AND('Дивиденды по годам'!Q1007&lt;&gt;"",'Дивиденды по годам'!I1007&lt;&gt;"",'Дивиденды по годам'!V1007&lt;&gt;"",('Дивиденды по годам'!I1007+'Дивиденды по годам'!V1007)&lt;&gt;0),'Дивиденды по годам'!Q1007/(('Дивиденды по годам'!I1007+'Дивиденды по годам'!V1007)/2),""),"")</f>
        <v>8.4103852160983844E-2</v>
      </c>
      <c r="U1007">
        <f>IFERROR(IF(AND('Дивиденды по годам'!J1007&lt;&gt;"",'Дивиденды по годам'!K1007&lt;&gt;"",'Дивиденды по годам'!M1007&lt;&gt;"",'Дивиденды по годам'!M1007&lt;&gt;0),('Дивиденды по годам'!J1007+'Дивиденды по годам'!K1007)/'Дивиденды по годам'!M1007,""),"")</f>
        <v>1.9972102962006117</v>
      </c>
      <c r="V1007" cm="1">
        <f t="array" ref="V1007">IFERROR(AVERAGE(_xlfn._xlws.FILTER(P$2:P$1073,($C$2:$C$1073=$C1007)*($E$2:$E$1073=$E1007)*(ROW(P$2:P$1073)&lt;&gt;ROW(P1007))*(P$2:P$1073&lt;&gt;""))),"")</f>
        <v>25.556960948467591</v>
      </c>
      <c r="W1007" cm="1">
        <f t="array" ref="W1007">IFERROR(AVERAGE(_xlfn._xlws.FILTER(Q$2:Q$1073,($C$2:$C$1073=$C1007)*($E$2:$E$1073=$E1007)*(ROW(Q$2:Q$1073)&lt;&gt;ROW(Q1007))*(Q$2:Q$1073&lt;&gt;""))),"")</f>
        <v>0.38036709190041285</v>
      </c>
      <c r="X1007" cm="1">
        <f t="array" ref="X1007">IFERROR(AVERAGE(_xlfn._xlws.FILTER(R$2:R$1073,($C$2:$C$1073=$C1007)*($E$2:$E$1073=$E1007)*(ROW(R$2:R$1073)&lt;&gt;ROW(R1007))*(R$2:R$1073&lt;&gt;""))),"")</f>
        <v>0.414587946512053</v>
      </c>
      <c r="Y1007" t="str" cm="1">
        <f t="array" ref="Y1007">IFERROR(AVERAGE(_xlfn._xlws.FILTER(S$2:S$1073,($C$2:$C$1073=$C1007)*($E$2:$E$1073=$E1007)*(ROW(S$2:S$1073)&lt;&gt;ROW(S1007))*(S$2:S$1073&lt;&gt;""))),"")</f>
        <v/>
      </c>
      <c r="Z1007" cm="1">
        <f t="array" ref="Z1007">IFERROR(AVERAGE(_xlfn._xlws.FILTER(T$2:T$1073,($C$2:$C$1073=$C1007)*($E$2:$E$1073=$E1007)*(ROW(T$2:T$1073)&lt;&gt;ROW(T1007))*(T$2:T$1073&lt;&gt;""))),"")</f>
        <v>1.1168102165861555E-2</v>
      </c>
      <c r="AA1007" cm="1">
        <f t="array" ref="AA1007">IFERROR(AVERAGE(_xlfn._xlws.FILTER(U$2:U$1073,($C$2:$C$1073=$C1007)*($E$2:$E$1073=$E1007)*(ROW(U$2:U$1073)&lt;&gt;ROW(U1007))*(U$2:U$1073&lt;&gt;""))),"")</f>
        <v>1.7948225844310419</v>
      </c>
    </row>
    <row r="1008" spans="1:27" x14ac:dyDescent="0.2">
      <c r="A1008" s="7" t="s">
        <v>2303</v>
      </c>
      <c r="B1008" t="str">
        <f t="shared" si="167"/>
        <v>NMTP IV кв. 2011</v>
      </c>
      <c r="C1008">
        <v>2011</v>
      </c>
      <c r="D1008">
        <f>SUMIFS(Дивиденды!$C:$C,Дивиденды!$A:$A,A1008,Дивиденды!$I:$I,C1008)</f>
        <v>2.35E-2</v>
      </c>
      <c r="E1008">
        <v>7</v>
      </c>
      <c r="F1008">
        <f t="shared" si="168"/>
        <v>2.35E-2</v>
      </c>
      <c r="G1008">
        <f t="shared" si="169"/>
        <v>0.45250000000000001</v>
      </c>
      <c r="H1008">
        <f t="shared" si="170"/>
        <v>1</v>
      </c>
      <c r="I1008">
        <f t="shared" ref="I1008:I1071" si="177">IFERROR((COUNTIFS($E:$E,E1008,$C:$C,C1008,$H:$H,1)-H1008)/(COUNTIFS($E:$E,E1008,$C:$C,C1008)-1),0)</f>
        <v>0.25</v>
      </c>
      <c r="J1008">
        <f t="shared" si="171"/>
        <v>2.1739130434782629E-2</v>
      </c>
      <c r="K1008">
        <f t="shared" si="175"/>
        <v>0.16513761467889906</v>
      </c>
      <c r="L1008">
        <f t="shared" si="172"/>
        <v>1</v>
      </c>
      <c r="M1008">
        <f t="shared" si="176"/>
        <v>0.25</v>
      </c>
      <c r="N1008">
        <f t="shared" si="173"/>
        <v>0</v>
      </c>
      <c r="O1008">
        <f t="shared" si="174"/>
        <v>0</v>
      </c>
      <c r="P1008">
        <f>IFERROR(LN('Дивиденды по годам'!I1008),"")</f>
        <v>25.447961101248989</v>
      </c>
      <c r="Q1008">
        <f>IFERROR('Дивиденды по годам'!G1008/'Дивиденды по годам'!I1008, "")</f>
        <v>0.51343518002757715</v>
      </c>
      <c r="R1008" t="str">
        <f>IFERROR(IF(AND('Дивиденды по годам'!N1008&lt;&gt;"",'Дивиденды по годам'!U1008&lt;&gt;"",'Дивиденды по годам'!U1008&lt;&gt;0),'Дивиденды по годам'!N1008/'Дивиденды по годам'!U1008-1,""),"")</f>
        <v/>
      </c>
      <c r="S1008" t="str">
        <f>IFERROR(IF(AND('Дивиденды по годам'!L1008&lt;&gt;"",'Дивиденды по годам'!I1008&lt;&gt;"",'Дивиденды по годам'!J1008&lt;&gt;"",'Дивиденды по годам'!K1008&lt;&gt;"",('Дивиденды по годам'!I1008-'Дивиденды по годам'!J1008-'Дивиденды по годам'!K1008)&lt;&gt;0),'Дивиденды по годам'!L1008/('Дивиденды по годам'!I1008-'Дивиденды по годам'!J1008-'Дивиденды по годам'!K1008),""),"")</f>
        <v/>
      </c>
      <c r="T1008" t="str">
        <f>IFERROR(IF(AND('Дивиденды по годам'!Q1008&lt;&gt;"",'Дивиденды по годам'!I1008&lt;&gt;"",'Дивиденды по годам'!V1008&lt;&gt;"",('Дивиденды по годам'!I1008+'Дивиденды по годам'!V1008)&lt;&gt;0),'Дивиденды по годам'!Q1008/(('Дивиденды по годам'!I1008+'Дивиденды по годам'!V1008)/2),""),"")</f>
        <v/>
      </c>
      <c r="U1008">
        <f>IFERROR(IF(AND('Дивиденды по годам'!J1008&lt;&gt;"",'Дивиденды по годам'!K1008&lt;&gt;"",'Дивиденды по годам'!M1008&lt;&gt;"",'Дивиденды по годам'!M1008&lt;&gt;0),('Дивиденды по годам'!J1008+'Дивиденды по годам'!K1008)/'Дивиденды по годам'!M1008,""),"")</f>
        <v>2.9753001270516242</v>
      </c>
      <c r="V1008" cm="1">
        <f t="array" ref="V1008">IFERROR(AVERAGE(_xlfn._xlws.FILTER(P$2:P$1073,($C$2:$C$1073=$C1008)*($E$2:$E$1073=$E1008)*(ROW(P$2:P$1073)&lt;&gt;ROW(P1008))*(P$2:P$1073&lt;&gt;""))),"")</f>
        <v>25.365179173112221</v>
      </c>
      <c r="W1008" cm="1">
        <f t="array" ref="W1008">IFERROR(AVERAGE(_xlfn._xlws.FILTER(Q$2:Q$1073,($C$2:$C$1073=$C1008)*($E$2:$E$1073=$E1008)*(ROW(Q$2:Q$1073)&lt;&gt;ROW(Q1008))*(Q$2:Q$1073&lt;&gt;""))),"")</f>
        <v>0.37454423103505247</v>
      </c>
      <c r="X1008" cm="1">
        <f t="array" ref="X1008">IFERROR(AVERAGE(_xlfn._xlws.FILTER(R$2:R$1073,($C$2:$C$1073=$C1008)*($E$2:$E$1073=$E1008)*(ROW(R$2:R$1073)&lt;&gt;ROW(R1008))*(R$2:R$1073&lt;&gt;""))),"")</f>
        <v>0.20536191673520854</v>
      </c>
      <c r="Y1008" t="str" cm="1">
        <f t="array" ref="Y1008">IFERROR(AVERAGE(_xlfn._xlws.FILTER(S$2:S$1073,($C$2:$C$1073=$C1008)*($E$2:$E$1073=$E1008)*(ROW(S$2:S$1073)&lt;&gt;ROW(S1008))*(S$2:S$1073&lt;&gt;""))),"")</f>
        <v/>
      </c>
      <c r="Z1008" cm="1">
        <f t="array" ref="Z1008">IFERROR(AVERAGE(_xlfn._xlws.FILTER(T$2:T$1073,($C$2:$C$1073=$C1008)*($E$2:$E$1073=$E1008)*(ROW(T$2:T$1073)&lt;&gt;ROW(T1008))*(T$2:T$1073&lt;&gt;""))),"")</f>
        <v>9.8152461650754155E-2</v>
      </c>
      <c r="AA1008" cm="1">
        <f t="array" ref="AA1008">IFERROR(AVERAGE(_xlfn._xlws.FILTER(U$2:U$1073,($C$2:$C$1073=$C1008)*($E$2:$E$1073=$E1008)*(ROW(U$2:U$1073)&lt;&gt;ROW(U1008))*(U$2:U$1073&lt;&gt;""))),"")</f>
        <v>1.709587742027366</v>
      </c>
    </row>
    <row r="1009" spans="1:27" x14ac:dyDescent="0.2">
      <c r="A1009" s="7" t="s">
        <v>2303</v>
      </c>
      <c r="B1009" t="str">
        <f t="shared" si="167"/>
        <v>NMTP IV кв. 2010</v>
      </c>
      <c r="C1009">
        <v>2010</v>
      </c>
      <c r="D1009">
        <f>SUMIFS(Дивиденды!$C:$C,Дивиденды!$A:$A,A1009,Дивиденды!$I:$I,C1009)</f>
        <v>2.3E-2</v>
      </c>
      <c r="E1009">
        <v>7</v>
      </c>
      <c r="F1009">
        <f t="shared" si="168"/>
        <v>2.3E-2</v>
      </c>
      <c r="G1009">
        <f t="shared" si="169"/>
        <v>0.27250000000000002</v>
      </c>
      <c r="H1009">
        <f t="shared" si="170"/>
        <v>1</v>
      </c>
      <c r="I1009">
        <f t="shared" si="177"/>
        <v>0.25</v>
      </c>
      <c r="J1009" t="str">
        <f t="shared" si="171"/>
        <v/>
      </c>
      <c r="K1009" t="str">
        <f t="shared" si="175"/>
        <v/>
      </c>
      <c r="L1009" t="str">
        <f t="shared" si="172"/>
        <v/>
      </c>
      <c r="M1009" t="str">
        <f t="shared" si="176"/>
        <v/>
      </c>
      <c r="N1009" t="str">
        <f t="shared" si="173"/>
        <v/>
      </c>
      <c r="O1009" t="str">
        <f t="shared" si="174"/>
        <v/>
      </c>
      <c r="P1009" t="str">
        <f>IFERROR(LN('Дивиденды по годам'!I1009),"")</f>
        <v/>
      </c>
      <c r="Q1009" t="str">
        <f>IFERROR('Дивиденды по годам'!G1009/'Дивиденды по годам'!I1009, "")</f>
        <v/>
      </c>
      <c r="R1009" t="str">
        <f>IFERROR(IF(AND('Дивиденды по годам'!N1009&lt;&gt;"",'Дивиденды по годам'!U1009&lt;&gt;"",'Дивиденды по годам'!U1009&lt;&gt;0),'Дивиденды по годам'!N1009/'Дивиденды по годам'!U1009-1,""),"")</f>
        <v/>
      </c>
      <c r="S1009" t="str">
        <f>IFERROR(IF(AND('Дивиденды по годам'!L1009&lt;&gt;"",'Дивиденды по годам'!I1009&lt;&gt;"",'Дивиденды по годам'!J1009&lt;&gt;"",'Дивиденды по годам'!K1009&lt;&gt;"",('Дивиденды по годам'!I1009-'Дивиденды по годам'!J1009-'Дивиденды по годам'!K1009)&lt;&gt;0),'Дивиденды по годам'!L1009/('Дивиденды по годам'!I1009-'Дивиденды по годам'!J1009-'Дивиденды по годам'!K1009),""),"")</f>
        <v/>
      </c>
      <c r="T1009" t="str">
        <f>IFERROR(IF(AND('Дивиденды по годам'!Q1009&lt;&gt;"",'Дивиденды по годам'!I1009&lt;&gt;"",'Дивиденды по годам'!V1009&lt;&gt;"",('Дивиденды по годам'!I1009+'Дивиденды по годам'!V1009)&lt;&gt;0),'Дивиденды по годам'!Q1009/(('Дивиденды по годам'!I1009+'Дивиденды по годам'!V1009)/2),""),"")</f>
        <v/>
      </c>
      <c r="U1009" t="str">
        <f>IFERROR(IF(AND('Дивиденды по годам'!J1009&lt;&gt;"",'Дивиденды по годам'!K1009&lt;&gt;"",'Дивиденды по годам'!M1009&lt;&gt;"",'Дивиденды по годам'!M1009&lt;&gt;0),('Дивиденды по годам'!J1009+'Дивиденды по годам'!K1009)/'Дивиденды по годам'!M1009,""),"")</f>
        <v/>
      </c>
      <c r="V1009" cm="1">
        <f t="array" ref="V1009">IFERROR(AVERAGE(_xlfn._xlws.FILTER(P$2:P$1073,($C$2:$C$1073=$C1009)*($E$2:$E$1073=$E1009)*(ROW(P$2:P$1073)&lt;&gt;ROW(P1009))*(P$2:P$1073&lt;&gt;""))),"")</f>
        <v>25.646584513937189</v>
      </c>
      <c r="W1009" cm="1">
        <f t="array" ref="W1009">IFERROR(AVERAGE(_xlfn._xlws.FILTER(Q$2:Q$1073,($C$2:$C$1073=$C1009)*($E$2:$E$1073=$E1009)*(ROW(Q$2:Q$1073)&lt;&gt;ROW(Q1009))*(Q$2:Q$1073&lt;&gt;""))),"")</f>
        <v>0.48343975783821996</v>
      </c>
      <c r="X1009" t="str" cm="1">
        <f t="array" ref="X1009">IFERROR(AVERAGE(_xlfn._xlws.FILTER(R$2:R$1073,($C$2:$C$1073=$C1009)*($E$2:$E$1073=$E1009)*(ROW(R$2:R$1073)&lt;&gt;ROW(R1009))*(R$2:R$1073&lt;&gt;""))),"")</f>
        <v/>
      </c>
      <c r="Y1009" t="str" cm="1">
        <f t="array" ref="Y1009">IFERROR(AVERAGE(_xlfn._xlws.FILTER(S$2:S$1073,($C$2:$C$1073=$C1009)*($E$2:$E$1073=$E1009)*(ROW(S$2:S$1073)&lt;&gt;ROW(S1009))*(S$2:S$1073&lt;&gt;""))),"")</f>
        <v/>
      </c>
      <c r="Z1009" t="str" cm="1">
        <f t="array" ref="Z1009">IFERROR(AVERAGE(_xlfn._xlws.FILTER(T$2:T$1073,($C$2:$C$1073=$C1009)*($E$2:$E$1073=$E1009)*(ROW(T$2:T$1073)&lt;&gt;ROW(T1009))*(T$2:T$1073&lt;&gt;""))),"")</f>
        <v/>
      </c>
      <c r="AA1009" cm="1">
        <f t="array" ref="AA1009">IFERROR(AVERAGE(_xlfn._xlws.FILTER(U$2:U$1073,($C$2:$C$1073=$C1009)*($E$2:$E$1073=$E1009)*(ROW(U$2:U$1073)&lt;&gt;ROW(U1009))*(U$2:U$1073&lt;&gt;""))),"")</f>
        <v>2.9188674344099064</v>
      </c>
    </row>
    <row r="1010" spans="1:27" x14ac:dyDescent="0.2">
      <c r="A1010" s="7" t="s">
        <v>2324</v>
      </c>
      <c r="B1010" t="str">
        <f t="shared" si="167"/>
        <v>ETLN IV кв. 2025</v>
      </c>
      <c r="C1010">
        <v>2025</v>
      </c>
      <c r="D1010">
        <f>SUMIFS(Дивиденды!$C:$C,Дивиденды!$A:$A,A1010,Дивиденды!$I:$I,C1010)</f>
        <v>0</v>
      </c>
      <c r="E1010">
        <v>8</v>
      </c>
      <c r="F1010">
        <f t="shared" si="168"/>
        <v>0</v>
      </c>
      <c r="G1010">
        <f t="shared" si="169"/>
        <v>26</v>
      </c>
      <c r="H1010">
        <f t="shared" si="170"/>
        <v>0</v>
      </c>
      <c r="I1010">
        <f t="shared" si="177"/>
        <v>0.33333333333333331</v>
      </c>
      <c r="J1010">
        <f t="shared" si="171"/>
        <v>0</v>
      </c>
      <c r="K1010">
        <f t="shared" si="175"/>
        <v>0.33333333333333331</v>
      </c>
      <c r="L1010">
        <f t="shared" si="172"/>
        <v>0</v>
      </c>
      <c r="M1010">
        <f t="shared" si="176"/>
        <v>0.33333333333333331</v>
      </c>
      <c r="N1010">
        <f t="shared" si="173"/>
        <v>0</v>
      </c>
      <c r="O1010">
        <f t="shared" si="174"/>
        <v>0</v>
      </c>
      <c r="P1010" t="str">
        <f>IFERROR(LN('Дивиденды по годам'!I1010),"")</f>
        <v/>
      </c>
      <c r="Q1010" t="str">
        <f>IFERROR('Дивиденды по годам'!G1010/'Дивиденды по годам'!I1010, "")</f>
        <v/>
      </c>
      <c r="R1010" t="str">
        <f>IFERROR(IF(AND('Дивиденды по годам'!N1010&lt;&gt;"",'Дивиденды по годам'!U1010&lt;&gt;"",'Дивиденды по годам'!U1010&lt;&gt;0),'Дивиденды по годам'!N1010/'Дивиденды по годам'!U1010-1,""),"")</f>
        <v/>
      </c>
      <c r="S1010" t="str">
        <f>IFERROR(IF(AND('Дивиденды по годам'!L1010&lt;&gt;"",'Дивиденды по годам'!I1010&lt;&gt;"",'Дивиденды по годам'!J1010&lt;&gt;"",'Дивиденды по годам'!K1010&lt;&gt;"",('Дивиденды по годам'!I1010-'Дивиденды по годам'!J1010-'Дивиденды по годам'!K1010)&lt;&gt;0),'Дивиденды по годам'!L1010/('Дивиденды по годам'!I1010-'Дивиденды по годам'!J1010-'Дивиденды по годам'!K1010),""),"")</f>
        <v/>
      </c>
      <c r="T1010" t="str">
        <f>IFERROR(IF(AND('Дивиденды по годам'!Q1010&lt;&gt;"",'Дивиденды по годам'!I1010&lt;&gt;"",'Дивиденды по годам'!V1010&lt;&gt;"",('Дивиденды по годам'!I1010+'Дивиденды по годам'!V1010)&lt;&gt;0),'Дивиденды по годам'!Q1010/(('Дивиденды по годам'!I1010+'Дивиденды по годам'!V1010)/2),""),"")</f>
        <v/>
      </c>
      <c r="U1010" t="str">
        <f>IFERROR(IF(AND('Дивиденды по годам'!J1010&lt;&gt;"",'Дивиденды по годам'!K1010&lt;&gt;"",'Дивиденды по годам'!M1010&lt;&gt;"",'Дивиденды по годам'!M1010&lt;&gt;0),('Дивиденды по годам'!J1010+'Дивиденды по годам'!K1010)/'Дивиденды по годам'!M1010,""),"")</f>
        <v/>
      </c>
      <c r="V1010" t="str" cm="1">
        <f t="array" ref="V1010">IFERROR(AVERAGE(_xlfn._xlws.FILTER(P$2:P$1073,($C$2:$C$1073=$C1010)*($E$2:$E$1073=$E1010)*(ROW(P$2:P$1073)&lt;&gt;ROW(P1010))*(P$2:P$1073&lt;&gt;""))),"")</f>
        <v/>
      </c>
      <c r="W1010" t="str" cm="1">
        <f t="array" ref="W1010">IFERROR(AVERAGE(_xlfn._xlws.FILTER(Q$2:Q$1073,($C$2:$C$1073=$C1010)*($E$2:$E$1073=$E1010)*(ROW(Q$2:Q$1073)&lt;&gt;ROW(Q1010))*(Q$2:Q$1073&lt;&gt;""))),"")</f>
        <v/>
      </c>
      <c r="X1010" t="str" cm="1">
        <f t="array" ref="X1010">IFERROR(AVERAGE(_xlfn._xlws.FILTER(R$2:R$1073,($C$2:$C$1073=$C1010)*($E$2:$E$1073=$E1010)*(ROW(R$2:R$1073)&lt;&gt;ROW(R1010))*(R$2:R$1073&lt;&gt;""))),"")</f>
        <v/>
      </c>
      <c r="Y1010" t="str" cm="1">
        <f t="array" ref="Y1010">IFERROR(AVERAGE(_xlfn._xlws.FILTER(S$2:S$1073,($C$2:$C$1073=$C1010)*($E$2:$E$1073=$E1010)*(ROW(S$2:S$1073)&lt;&gt;ROW(S1010))*(S$2:S$1073&lt;&gt;""))),"")</f>
        <v/>
      </c>
      <c r="Z1010" t="str" cm="1">
        <f t="array" ref="Z1010">IFERROR(AVERAGE(_xlfn._xlws.FILTER(T$2:T$1073,($C$2:$C$1073=$C1010)*($E$2:$E$1073=$E1010)*(ROW(T$2:T$1073)&lt;&gt;ROW(T1010))*(T$2:T$1073&lt;&gt;""))),"")</f>
        <v/>
      </c>
      <c r="AA1010" t="str" cm="1">
        <f t="array" ref="AA1010">IFERROR(AVERAGE(_xlfn._xlws.FILTER(U$2:U$1073,($C$2:$C$1073=$C1010)*($E$2:$E$1073=$E1010)*(ROW(U$2:U$1073)&lt;&gt;ROW(U1010))*(U$2:U$1073&lt;&gt;""))),"")</f>
        <v/>
      </c>
    </row>
    <row r="1011" spans="1:27" x14ac:dyDescent="0.2">
      <c r="A1011" s="7" t="s">
        <v>2324</v>
      </c>
      <c r="B1011" t="str">
        <f t="shared" si="167"/>
        <v>ETLN IV кв. 2024</v>
      </c>
      <c r="C1011">
        <v>2024</v>
      </c>
      <c r="D1011">
        <f>SUMIFS(Дивиденды!$C:$C,Дивиденды!$A:$A,A1011,Дивиденды!$I:$I,C1011)</f>
        <v>0</v>
      </c>
      <c r="E1011">
        <v>8</v>
      </c>
      <c r="F1011">
        <f t="shared" si="168"/>
        <v>0</v>
      </c>
      <c r="G1011">
        <f t="shared" si="169"/>
        <v>0</v>
      </c>
      <c r="H1011">
        <f t="shared" si="170"/>
        <v>0</v>
      </c>
      <c r="I1011">
        <f t="shared" si="177"/>
        <v>0</v>
      </c>
      <c r="J1011">
        <f t="shared" si="171"/>
        <v>0</v>
      </c>
      <c r="K1011">
        <f t="shared" si="175"/>
        <v>-0.33333333333333331</v>
      </c>
      <c r="L1011">
        <f t="shared" si="172"/>
        <v>0</v>
      </c>
      <c r="M1011">
        <f t="shared" si="176"/>
        <v>0</v>
      </c>
      <c r="N1011">
        <f t="shared" si="173"/>
        <v>0</v>
      </c>
      <c r="O1011">
        <f t="shared" si="174"/>
        <v>0.33333333333333331</v>
      </c>
      <c r="P1011">
        <f>IFERROR(LN('Дивиденды по годам'!I1011),"")</f>
        <v>26.497525414406446</v>
      </c>
      <c r="Q1011">
        <f>IFERROR('Дивиденды по годам'!G1011/'Дивиденды по годам'!I1011, "")</f>
        <v>2.2550061197989475E-2</v>
      </c>
      <c r="R1011">
        <f>IFERROR(IF(AND('Дивиденды по годам'!N1011&lt;&gt;"",'Дивиденды по годам'!U1011&lt;&gt;"",'Дивиденды по годам'!U1011&lt;&gt;0),'Дивиденды по годам'!N1011/'Дивиденды по годам'!U1011-1,""),"")</f>
        <v>0.47476658670360727</v>
      </c>
      <c r="S1011">
        <f>IFERROR(IF(AND('Дивиденды по годам'!L1011&lt;&gt;"",'Дивиденды по годам'!I1011&lt;&gt;"",'Дивиденды по годам'!J1011&lt;&gt;"",'Дивиденды по годам'!K1011&lt;&gt;"",('Дивиденды по годам'!I1011-'Дивиденды по годам'!J1011-'Дивиденды по годам'!K1011)&lt;&gt;0),'Дивиденды по годам'!L1011/('Дивиденды по годам'!I1011-'Дивиденды по годам'!J1011-'Дивиденды по годам'!K1011),""),"")</f>
        <v>0.58052018214092771</v>
      </c>
      <c r="T1011">
        <f>IFERROR(IF(AND('Дивиденды по годам'!Q1011&lt;&gt;"",'Дивиденды по годам'!I1011&lt;&gt;"",'Дивиденды по годам'!V1011&lt;&gt;"",('Дивиденды по годам'!I1011+'Дивиденды по годам'!V1011)&lt;&gt;0),'Дивиденды по годам'!Q1011/(('Дивиденды по годам'!I1011+'Дивиденды по годам'!V1011)/2),""),"")</f>
        <v>-2.374733168812479E-2</v>
      </c>
      <c r="U1011">
        <f>IFERROR(IF(AND('Дивиденды по годам'!J1011&lt;&gt;"",'Дивиденды по годам'!K1011&lt;&gt;"",'Дивиденды по годам'!M1011&lt;&gt;"",'Дивиденды по годам'!M1011&lt;&gt;0),('Дивиденды по годам'!J1011+'Дивиденды по годам'!K1011)/'Дивиденды по годам'!M1011,""),"")</f>
        <v>3.9688353785598518</v>
      </c>
      <c r="V1011" cm="1">
        <f t="array" ref="V1011">IFERROR(AVERAGE(_xlfn._xlws.FILTER(P$2:P$1073,($C$2:$C$1073=$C1011)*($E$2:$E$1073=$E1011)*(ROW(P$2:P$1073)&lt;&gt;ROW(P1011))*(P$2:P$1073&lt;&gt;""))),"")</f>
        <v>27.557876720477079</v>
      </c>
      <c r="W1011" cm="1">
        <f t="array" ref="W1011">IFERROR(AVERAGE(_xlfn._xlws.FILTER(Q$2:Q$1073,($C$2:$C$1073=$C1011)*($E$2:$E$1073=$E1011)*(ROW(Q$2:Q$1073)&lt;&gt;ROW(Q1011))*(Q$2:Q$1073&lt;&gt;""))),"")</f>
        <v>5.1159814043502533E-2</v>
      </c>
      <c r="X1011" cm="1">
        <f t="array" ref="X1011">IFERROR(AVERAGE(_xlfn._xlws.FILTER(R$2:R$1073,($C$2:$C$1073=$C1011)*($E$2:$E$1073=$E1011)*(ROW(R$2:R$1073)&lt;&gt;ROW(R1011))*(R$2:R$1073&lt;&gt;""))),"")</f>
        <v>0.16478565098143613</v>
      </c>
      <c r="Y1011" cm="1">
        <f t="array" ref="Y1011">IFERROR(AVERAGE(_xlfn._xlws.FILTER(S$2:S$1073,($C$2:$C$1073=$C1011)*($E$2:$E$1073=$E1011)*(ROW(S$2:S$1073)&lt;&gt;ROW(S1011))*(S$2:S$1073&lt;&gt;""))),"")</f>
        <v>0.71559844921298232</v>
      </c>
      <c r="Z1011" cm="1">
        <f t="array" ref="Z1011">IFERROR(AVERAGE(_xlfn._xlws.FILTER(T$2:T$1073,($C$2:$C$1073=$C1011)*($E$2:$E$1073=$E1011)*(ROW(T$2:T$1073)&lt;&gt;ROW(T1011))*(T$2:T$1073&lt;&gt;""))),"")</f>
        <v>2.8291145687074401E-2</v>
      </c>
      <c r="AA1011" cm="1">
        <f t="array" ref="AA1011">IFERROR(AVERAGE(_xlfn._xlws.FILTER(U$2:U$1073,($C$2:$C$1073=$C1011)*($E$2:$E$1073=$E1011)*(ROW(U$2:U$1073)&lt;&gt;ROW(U1011))*(U$2:U$1073&lt;&gt;""))),"")</f>
        <v>7.7158970042537298</v>
      </c>
    </row>
    <row r="1012" spans="1:27" x14ac:dyDescent="0.2">
      <c r="A1012" s="7" t="s">
        <v>2324</v>
      </c>
      <c r="B1012" t="str">
        <f t="shared" si="167"/>
        <v>ETLN IV кв. 2023</v>
      </c>
      <c r="C1012">
        <v>2023</v>
      </c>
      <c r="D1012">
        <f>SUMIFS(Дивиденды!$C:$C,Дивиденды!$A:$A,A1012,Дивиденды!$I:$I,C1012)</f>
        <v>0</v>
      </c>
      <c r="E1012">
        <v>8</v>
      </c>
      <c r="F1012">
        <f t="shared" si="168"/>
        <v>0</v>
      </c>
      <c r="G1012">
        <f t="shared" si="169"/>
        <v>33.333333333333336</v>
      </c>
      <c r="H1012">
        <f t="shared" si="170"/>
        <v>0</v>
      </c>
      <c r="I1012">
        <f t="shared" si="177"/>
        <v>0.33333333333333331</v>
      </c>
      <c r="J1012">
        <f t="shared" si="171"/>
        <v>0</v>
      </c>
      <c r="K1012">
        <f t="shared" si="175"/>
        <v>-0.23931623931623933</v>
      </c>
      <c r="L1012">
        <f t="shared" si="172"/>
        <v>0</v>
      </c>
      <c r="M1012">
        <f t="shared" si="176"/>
        <v>0.33333333333333331</v>
      </c>
      <c r="N1012">
        <f t="shared" si="173"/>
        <v>0</v>
      </c>
      <c r="O1012">
        <f t="shared" si="174"/>
        <v>0.33333333333333331</v>
      </c>
      <c r="P1012">
        <f>IFERROR(LN('Дивиденды по годам'!I1012),"")</f>
        <v>26.285450184471557</v>
      </c>
      <c r="Q1012">
        <f>IFERROR('Дивиденды по годам'!G1012/'Дивиденды по годам'!I1012, "")</f>
        <v>2.3748900691652169E-2</v>
      </c>
      <c r="R1012">
        <f>IFERROR(IF(AND('Дивиденды по годам'!N1012&lt;&gt;"",'Дивиденды по годам'!U1012&lt;&gt;"",'Дивиденды по годам'!U1012&lt;&gt;0),'Дивиденды по годам'!N1012/'Дивиденды по годам'!U1012-1,""),"")</f>
        <v>0.10222702219573954</v>
      </c>
      <c r="S1012">
        <f>IFERROR(IF(AND('Дивиденды по годам'!L1012&lt;&gt;"",'Дивиденды по годам'!I1012&lt;&gt;"",'Дивиденды по годам'!J1012&lt;&gt;"",'Дивиденды по годам'!K1012&lt;&gt;"",('Дивиденды по годам'!I1012-'Дивиденды по годам'!J1012-'Дивиденды по годам'!K1012)&lt;&gt;0),'Дивиденды по годам'!L1012/('Дивиденды по годам'!I1012-'Дивиденды по годам'!J1012-'Дивиденды по годам'!K1012),""),"")</f>
        <v>0.62804869447461598</v>
      </c>
      <c r="T1012">
        <f>IFERROR(IF(AND('Дивиденды по годам'!Q1012&lt;&gt;"",'Дивиденды по годам'!I1012&lt;&gt;"",'Дивиденды по годам'!V1012&lt;&gt;"",('Дивиденды по годам'!I1012+'Дивиденды по годам'!V1012)&lt;&gt;0),'Дивиденды по годам'!Q1012/(('Дивиденды по годам'!I1012+'Дивиденды по годам'!V1012)/2),""),"")</f>
        <v>-1.3256339047589077E-2</v>
      </c>
      <c r="U1012">
        <f>IFERROR(IF(AND('Дивиденды по годам'!J1012&lt;&gt;"",'Дивиденды по годам'!K1012&lt;&gt;"",'Дивиденды по годам'!M1012&lt;&gt;"",'Дивиденды по годам'!M1012&lt;&gt;0),('Дивиденды по годам'!J1012+'Дивиденды по годам'!K1012)/'Дивиденды по годам'!M1012,""),"")</f>
        <v>2.6731178852040456</v>
      </c>
      <c r="V1012" cm="1">
        <f t="array" ref="V1012">IFERROR(AVERAGE(_xlfn._xlws.FILTER(P$2:P$1073,($C$2:$C$1073=$C1012)*($E$2:$E$1073=$E1012)*(ROW(P$2:P$1073)&lt;&gt;ROW(P1012))*(P$2:P$1073&lt;&gt;""))),"")</f>
        <v>27.402665406688897</v>
      </c>
      <c r="W1012" cm="1">
        <f t="array" ref="W1012">IFERROR(AVERAGE(_xlfn._xlws.FILTER(Q$2:Q$1073,($C$2:$C$1073=$C1012)*($E$2:$E$1073=$E1012)*(ROW(Q$2:Q$1073)&lt;&gt;ROW(Q1012))*(Q$2:Q$1073&lt;&gt;""))),"")</f>
        <v>4.2212225997471674E-2</v>
      </c>
      <c r="X1012" cm="1">
        <f t="array" ref="X1012">IFERROR(AVERAGE(_xlfn._xlws.FILTER(R$2:R$1073,($C$2:$C$1073=$C1012)*($E$2:$E$1073=$E1012)*(ROW(R$2:R$1073)&lt;&gt;ROW(R1012))*(R$2:R$1073&lt;&gt;""))),"")</f>
        <v>0.58564332801649932</v>
      </c>
      <c r="Y1012" cm="1">
        <f t="array" ref="Y1012">IFERROR(AVERAGE(_xlfn._xlws.FILTER(S$2:S$1073,($C$2:$C$1073=$C1012)*($E$2:$E$1073=$E1012)*(ROW(S$2:S$1073)&lt;&gt;ROW(S1012))*(S$2:S$1073&lt;&gt;""))),"")</f>
        <v>0.67459032571709254</v>
      </c>
      <c r="Z1012" cm="1">
        <f t="array" ref="Z1012">IFERROR(AVERAGE(_xlfn._xlws.FILTER(T$2:T$1073,($C$2:$C$1073=$C1012)*($E$2:$E$1073=$E1012)*(ROW(T$2:T$1073)&lt;&gt;ROW(T1012))*(T$2:T$1073&lt;&gt;""))),"")</f>
        <v>5.4365337862660901E-2</v>
      </c>
      <c r="AA1012" cm="1">
        <f t="array" ref="AA1012">IFERROR(AVERAGE(_xlfn._xlws.FILTER(U$2:U$1073,($C$2:$C$1073=$C1012)*($E$2:$E$1073=$E1012)*(ROW(U$2:U$1073)&lt;&gt;ROW(U1012))*(U$2:U$1073&lt;&gt;""))),"")</f>
        <v>8.51954042375651</v>
      </c>
    </row>
    <row r="1013" spans="1:27" x14ac:dyDescent="0.2">
      <c r="A1013" s="7" t="s">
        <v>2324</v>
      </c>
      <c r="B1013" t="str">
        <f t="shared" si="167"/>
        <v>ETLN IV кв. 2022</v>
      </c>
      <c r="C1013">
        <v>2022</v>
      </c>
      <c r="D1013">
        <f>SUMIFS(Дивиденды!$C:$C,Дивиденды!$A:$A,A1013,Дивиденды!$I:$I,C1013)</f>
        <v>0</v>
      </c>
      <c r="E1013">
        <v>8</v>
      </c>
      <c r="F1013">
        <f t="shared" si="168"/>
        <v>0</v>
      </c>
      <c r="G1013">
        <f t="shared" si="169"/>
        <v>53.333333333333336</v>
      </c>
      <c r="H1013">
        <f t="shared" si="170"/>
        <v>0</v>
      </c>
      <c r="I1013">
        <f t="shared" si="177"/>
        <v>0.66666666666666663</v>
      </c>
      <c r="J1013">
        <f t="shared" si="171"/>
        <v>0</v>
      </c>
      <c r="K1013">
        <f t="shared" si="175"/>
        <v>0.33333333333333331</v>
      </c>
      <c r="L1013">
        <f t="shared" si="172"/>
        <v>0</v>
      </c>
      <c r="M1013">
        <f t="shared" si="176"/>
        <v>0.66666666666666663</v>
      </c>
      <c r="N1013">
        <f t="shared" si="173"/>
        <v>0</v>
      </c>
      <c r="O1013">
        <f t="shared" si="174"/>
        <v>0.33333333333333331</v>
      </c>
      <c r="P1013">
        <f>IFERROR(LN('Дивиденды по годам'!I1013),"")</f>
        <v>26.236876018263946</v>
      </c>
      <c r="Q1013">
        <f>IFERROR('Дивиденды по годам'!G1013/'Дивиденды по годам'!I1013, "")</f>
        <v>1.8266846741518676E-2</v>
      </c>
      <c r="R1013">
        <f>IFERROR(IF(AND('Дивиденды по годам'!N1013&lt;&gt;"",'Дивиденды по годам'!U1013&lt;&gt;"",'Дивиденды по годам'!U1013&lt;&gt;0),'Дивиденды по годам'!N1013/'Дивиденды по годам'!U1013-1,""),"")</f>
        <v>-7.5535357708462425E-2</v>
      </c>
      <c r="S1013">
        <f>IFERROR(IF(AND('Дивиденды по годам'!L1013&lt;&gt;"",'Дивиденды по годам'!I1013&lt;&gt;"",'Дивиденды по годам'!J1013&lt;&gt;"",'Дивиденды по годам'!K1013&lt;&gt;"",('Дивиденды по годам'!I1013-'Дивиденды по годам'!J1013-'Дивиденды по годам'!K1013)&lt;&gt;0),'Дивиденды по годам'!L1013/('Дивиденды по годам'!I1013-'Дивиденды по годам'!J1013-'Дивиденды по годам'!K1013),""),"")</f>
        <v>0.64458342881020092</v>
      </c>
      <c r="T1013">
        <f>IFERROR(IF(AND('Дивиденды по годам'!Q1013&lt;&gt;"",'Дивиденды по годам'!I1013&lt;&gt;"",'Дивиденды по годам'!V1013&lt;&gt;"",('Дивиденды по годам'!I1013+'Дивиденды по годам'!V1013)&lt;&gt;0),'Дивиденды по годам'!Q1013/(('Дивиденды по годам'!I1013+'Дивиденды по годам'!V1013)/2),""),"")</f>
        <v>5.5306576935102721E-2</v>
      </c>
      <c r="U1013">
        <f>IFERROR(IF(AND('Дивиденды по годам'!J1013&lt;&gt;"",'Дивиденды по годам'!K1013&lt;&gt;"",'Дивиденды по годам'!M1013&lt;&gt;"",'Дивиденды по годам'!M1013&lt;&gt;0),('Дивиденды по годам'!J1013+'Дивиденды по годам'!K1013)/'Дивиденды по годам'!M1013,""),"")</f>
        <v>2.3434201835851676</v>
      </c>
      <c r="V1013" cm="1">
        <f t="array" ref="V1013">IFERROR(AVERAGE(_xlfn._xlws.FILTER(P$2:P$1073,($C$2:$C$1073=$C1013)*($E$2:$E$1073=$E1013)*(ROW(P$2:P$1073)&lt;&gt;ROW(P1013))*(P$2:P$1073&lt;&gt;""))),"")</f>
        <v>26.746678230244356</v>
      </c>
      <c r="W1013" cm="1">
        <f t="array" ref="W1013">IFERROR(AVERAGE(_xlfn._xlws.FILTER(Q$2:Q$1073,($C$2:$C$1073=$C1013)*($E$2:$E$1073=$E1013)*(ROW(Q$2:Q$1073)&lt;&gt;ROW(Q1013))*(Q$2:Q$1073&lt;&gt;""))),"")</f>
        <v>3.9395628383796184E-2</v>
      </c>
      <c r="X1013" cm="1">
        <f t="array" ref="X1013">IFERROR(AVERAGE(_xlfn._xlws.FILTER(R$2:R$1073,($C$2:$C$1073=$C1013)*($E$2:$E$1073=$E1013)*(ROW(R$2:R$1073)&lt;&gt;ROW(R1013))*(R$2:R$1073&lt;&gt;""))),"")</f>
        <v>0.46076280842673423</v>
      </c>
      <c r="Y1013" cm="1">
        <f t="array" ref="Y1013">IFERROR(AVERAGE(_xlfn._xlws.FILTER(S$2:S$1073,($C$2:$C$1073=$C1013)*($E$2:$E$1073=$E1013)*(ROW(S$2:S$1073)&lt;&gt;ROW(S1013))*(S$2:S$1073&lt;&gt;""))),"")</f>
        <v>0.66200017508434295</v>
      </c>
      <c r="Z1013" cm="1">
        <f t="array" ref="Z1013">IFERROR(AVERAGE(_xlfn._xlws.FILTER(T$2:T$1073,($C$2:$C$1073=$C1013)*($E$2:$E$1073=$E1013)*(ROW(T$2:T$1073)&lt;&gt;ROW(T1013))*(T$2:T$1073&lt;&gt;""))),"")</f>
        <v>4.2238859273166812E-2</v>
      </c>
      <c r="AA1013" cm="1">
        <f t="array" ref="AA1013">IFERROR(AVERAGE(_xlfn._xlws.FILTER(U$2:U$1073,($C$2:$C$1073=$C1013)*($E$2:$E$1073=$E1013)*(ROW(U$2:U$1073)&lt;&gt;ROW(U1013))*(U$2:U$1073&lt;&gt;""))),"")</f>
        <v>8.7103704289901849</v>
      </c>
    </row>
    <row r="1014" spans="1:27" x14ac:dyDescent="0.2">
      <c r="A1014" s="7" t="s">
        <v>2324</v>
      </c>
      <c r="B1014" t="str">
        <f t="shared" si="167"/>
        <v>ETLN IV кв. 2021</v>
      </c>
      <c r="C1014">
        <v>2021</v>
      </c>
      <c r="D1014">
        <f>SUMIFS(Дивиденды!$C:$C,Дивиденды!$A:$A,A1014,Дивиденды!$I:$I,C1014)</f>
        <v>0</v>
      </c>
      <c r="E1014">
        <v>8</v>
      </c>
      <c r="F1014">
        <f t="shared" si="168"/>
        <v>0</v>
      </c>
      <c r="G1014">
        <f t="shared" si="169"/>
        <v>21.306666666666668</v>
      </c>
      <c r="H1014">
        <f t="shared" si="170"/>
        <v>0</v>
      </c>
      <c r="I1014">
        <f t="shared" si="177"/>
        <v>0.66666666666666663</v>
      </c>
      <c r="J1014">
        <f t="shared" si="171"/>
        <v>0</v>
      </c>
      <c r="K1014">
        <f t="shared" si="175"/>
        <v>-0.49771487542385379</v>
      </c>
      <c r="L1014">
        <f t="shared" si="172"/>
        <v>0</v>
      </c>
      <c r="M1014">
        <f t="shared" si="176"/>
        <v>0</v>
      </c>
      <c r="N1014">
        <f t="shared" si="173"/>
        <v>0</v>
      </c>
      <c r="O1014">
        <f t="shared" si="174"/>
        <v>0.66666666666666663</v>
      </c>
      <c r="P1014">
        <f>IFERROR(LN('Дивиденды по годам'!I1014),"")</f>
        <v>26.126384562853524</v>
      </c>
      <c r="Q1014">
        <f>IFERROR('Дивиденды по годам'!G1014/'Дивиденды по годам'!I1014, "")</f>
        <v>1.823519347315149E-2</v>
      </c>
      <c r="R1014">
        <f>IFERROR(IF(AND('Дивиденды по годам'!N1014&lt;&gt;"",'Дивиденды по годам'!U1014&lt;&gt;"",'Дивиденды по годам'!U1014&lt;&gt;0),'Дивиденды по годам'!N1014/'Дивиденды по годам'!U1014-1,""),"")</f>
        <v>0.1078507405759328</v>
      </c>
      <c r="S1014">
        <f>IFERROR(IF(AND('Дивиденды по годам'!L1014&lt;&gt;"",'Дивиденды по годам'!I1014&lt;&gt;"",'Дивиденды по годам'!J1014&lt;&gt;"",'Дивиденды по годам'!K1014&lt;&gt;"",('Дивиденды по годам'!I1014-'Дивиденды по годам'!J1014-'Дивиденды по годам'!K1014)&lt;&gt;0),'Дивиденды по годам'!L1014/('Дивиденды по годам'!I1014-'Дивиденды по годам'!J1014-'Дивиденды по годам'!K1014),""),"")</f>
        <v>0.57027379400260758</v>
      </c>
      <c r="T1014">
        <f>IFERROR(IF(AND('Дивиденды по годам'!Q1014&lt;&gt;"",'Дивиденды по годам'!I1014&lt;&gt;"",'Дивиденды по годам'!V1014&lt;&gt;"",('Дивиденды по годам'!I1014+'Дивиденды по годам'!V1014)&lt;&gt;0),'Дивиденды по годам'!Q1014/(('Дивиденды по годам'!I1014+'Дивиденды по годам'!V1014)/2),""),"")</f>
        <v>1.471793880332928E-2</v>
      </c>
      <c r="U1014">
        <f>IFERROR(IF(AND('Дивиденды по годам'!J1014&lt;&gt;"",'Дивиденды по годам'!K1014&lt;&gt;"",'Дивиденды по годам'!M1014&lt;&gt;"",'Дивиденды по годам'!M1014&lt;&gt;0),('Дивиденды по годам'!J1014+'Дивиденды по годам'!K1014)/'Дивиденды по годам'!M1014,""),"")</f>
        <v>2.6195893089960887</v>
      </c>
      <c r="V1014" cm="1">
        <f t="array" ref="V1014">IFERROR(AVERAGE(_xlfn._xlws.FILTER(P$2:P$1073,($C$2:$C$1073=$C1014)*($E$2:$E$1073=$E1014)*(ROW(P$2:P$1073)&lt;&gt;ROW(P1014))*(P$2:P$1073&lt;&gt;""))),"")</f>
        <v>26.775072487849553</v>
      </c>
      <c r="W1014" cm="1">
        <f t="array" ref="W1014">IFERROR(AVERAGE(_xlfn._xlws.FILTER(Q$2:Q$1073,($C$2:$C$1073=$C1014)*($E$2:$E$1073=$E1014)*(ROW(Q$2:Q$1073)&lt;&gt;ROW(Q1014))*(Q$2:Q$1073&lt;&gt;""))),"")</f>
        <v>3.6971105668930651E-2</v>
      </c>
      <c r="X1014" cm="1">
        <f t="array" ref="X1014">IFERROR(AVERAGE(_xlfn._xlws.FILTER(R$2:R$1073,($C$2:$C$1073=$C1014)*($E$2:$E$1073=$E1014)*(ROW(R$2:R$1073)&lt;&gt;ROW(R1014))*(R$2:R$1073&lt;&gt;""))),"")</f>
        <v>0.31141782071639662</v>
      </c>
      <c r="Y1014" cm="1">
        <f t="array" ref="Y1014">IFERROR(AVERAGE(_xlfn._xlws.FILTER(S$2:S$1073,($C$2:$C$1073=$C1014)*($E$2:$E$1073=$E1014)*(ROW(S$2:S$1073)&lt;&gt;ROW(S1014))*(S$2:S$1073&lt;&gt;""))),"")</f>
        <v>0.66560172311950816</v>
      </c>
      <c r="Z1014" cm="1">
        <f t="array" ref="Z1014">IFERROR(AVERAGE(_xlfn._xlws.FILTER(T$2:T$1073,($C$2:$C$1073=$C1014)*($E$2:$E$1073=$E1014)*(ROW(T$2:T$1073)&lt;&gt;ROW(T1014))*(T$2:T$1073&lt;&gt;""))),"")</f>
        <v>7.6086144327216568E-2</v>
      </c>
      <c r="AA1014" cm="1">
        <f t="array" ref="AA1014">IFERROR(AVERAGE(_xlfn._xlws.FILTER(U$2:U$1073,($C$2:$C$1073=$C1014)*($E$2:$E$1073=$E1014)*(ROW(U$2:U$1073)&lt;&gt;ROW(U1014))*(U$2:U$1073&lt;&gt;""))),"")</f>
        <v>5.8194415159028852</v>
      </c>
    </row>
    <row r="1015" spans="1:27" x14ac:dyDescent="0.2">
      <c r="A1015" s="7" t="s">
        <v>2324</v>
      </c>
      <c r="B1015" t="str">
        <f t="shared" si="167"/>
        <v>ETLN IV кв. 2020</v>
      </c>
      <c r="C1015">
        <v>2020</v>
      </c>
      <c r="D1015">
        <f>SUMIFS(Дивиденды!$C:$C,Дивиденды!$A:$A,A1015,Дивиденды!$I:$I,C1015)</f>
        <v>0</v>
      </c>
      <c r="E1015">
        <v>8</v>
      </c>
      <c r="F1015">
        <f t="shared" si="168"/>
        <v>0</v>
      </c>
      <c r="G1015">
        <f t="shared" si="169"/>
        <v>48.406666666666666</v>
      </c>
      <c r="H1015">
        <f t="shared" si="170"/>
        <v>0</v>
      </c>
      <c r="I1015">
        <f t="shared" si="177"/>
        <v>1</v>
      </c>
      <c r="J1015">
        <f t="shared" si="171"/>
        <v>0</v>
      </c>
      <c r="K1015">
        <f t="shared" si="175"/>
        <v>0.98888888888888893</v>
      </c>
      <c r="L1015">
        <f t="shared" si="172"/>
        <v>0</v>
      </c>
      <c r="M1015">
        <f t="shared" si="176"/>
        <v>1</v>
      </c>
      <c r="N1015">
        <f t="shared" si="173"/>
        <v>0</v>
      </c>
      <c r="O1015">
        <f t="shared" si="174"/>
        <v>0</v>
      </c>
      <c r="P1015">
        <f>IFERROR(LN('Дивиденды по годам'!I1015),"")</f>
        <v>25.95179894751681</v>
      </c>
      <c r="Q1015">
        <f>IFERROR('Дивиденды по годам'!G1015/'Дивиденды по годам'!I1015, "")</f>
        <v>1.8807735404972149E-2</v>
      </c>
      <c r="R1015">
        <f>IFERROR(IF(AND('Дивиденды по годам'!N1015&lt;&gt;"",'Дивиденды по годам'!U1015&lt;&gt;"",'Дивиденды по годам'!U1015&lt;&gt;0),'Дивиденды по годам'!N1015/'Дивиденды по годам'!U1015-1,""),"")</f>
        <v>-6.7295150005929116E-2</v>
      </c>
      <c r="S1015">
        <f>IFERROR(IF(AND('Дивиденды по годам'!L1015&lt;&gt;"",'Дивиденды по годам'!I1015&lt;&gt;"",'Дивиденды по годам'!J1015&lt;&gt;"",'Дивиденды по годам'!K1015&lt;&gt;"",('Дивиденды по годам'!I1015-'Дивиденды по годам'!J1015-'Дивиденды по годам'!K1015)&lt;&gt;0),'Дивиденды по годам'!L1015/('Дивиденды по годам'!I1015-'Дивиденды по годам'!J1015-'Дивиденды по годам'!K1015),""),"")</f>
        <v>0.69676737219274376</v>
      </c>
      <c r="T1015">
        <f>IFERROR(IF(AND('Дивиденды по годам'!Q1015&lt;&gt;"",'Дивиденды по годам'!I1015&lt;&gt;"",'Дивиденды по годам'!V1015&lt;&gt;"",('Дивиденды по годам'!I1015+'Дивиденды по годам'!V1015)&lt;&gt;0),'Дивиденды по годам'!Q1015/(('Дивиденды по годам'!I1015+'Дивиденды по годам'!V1015)/2),""),"")</f>
        <v>1.1378656077884554E-2</v>
      </c>
      <c r="U1015">
        <f>IFERROR(IF(AND('Дивиденды по годам'!J1015&lt;&gt;"",'Дивиденды по годам'!K1015&lt;&gt;"",'Дивиденды по годам'!M1015&lt;&gt;"",'Дивиденды по годам'!M1015&lt;&gt;0),('Дивиденды по годам'!J1015+'Дивиденды по годам'!K1015)/'Дивиденды по годам'!M1015,""),"")</f>
        <v>2.6520079102461183</v>
      </c>
      <c r="V1015" cm="1">
        <f t="array" ref="V1015">IFERROR(AVERAGE(_xlfn._xlws.FILTER(P$2:P$1073,($C$2:$C$1073=$C1015)*($E$2:$E$1073=$E1015)*(ROW(P$2:P$1073)&lt;&gt;ROW(P1015))*(P$2:P$1073&lt;&gt;""))),"")</f>
        <v>26.284320282031803</v>
      </c>
      <c r="W1015" cm="1">
        <f t="array" ref="W1015">IFERROR(AVERAGE(_xlfn._xlws.FILTER(Q$2:Q$1073,($C$2:$C$1073=$C1015)*($E$2:$E$1073=$E1015)*(ROW(Q$2:Q$1073)&lt;&gt;ROW(Q1015))*(Q$2:Q$1073&lt;&gt;""))),"")</f>
        <v>4.7179029311258995E-2</v>
      </c>
      <c r="X1015" cm="1">
        <f t="array" ref="X1015">IFERROR(AVERAGE(_xlfn._xlws.FILTER(R$2:R$1073,($C$2:$C$1073=$C1015)*($E$2:$E$1073=$E1015)*(ROW(R$2:R$1073)&lt;&gt;ROW(R1015))*(R$2:R$1073&lt;&gt;""))),"")</f>
        <v>0.2000985346673565</v>
      </c>
      <c r="Y1015" cm="1">
        <f t="array" ref="Y1015">IFERROR(AVERAGE(_xlfn._xlws.FILTER(S$2:S$1073,($C$2:$C$1073=$C1015)*($E$2:$E$1073=$E1015)*(ROW(S$2:S$1073)&lt;&gt;ROW(S1015))*(S$2:S$1073&lt;&gt;""))),"")</f>
        <v>0.65330727410681666</v>
      </c>
      <c r="Z1015" cm="1">
        <f t="array" ref="Z1015">IFERROR(AVERAGE(_xlfn._xlws.FILTER(T$2:T$1073,($C$2:$C$1073=$C1015)*($E$2:$E$1073=$E1015)*(ROW(T$2:T$1073)&lt;&gt;ROW(T1015))*(T$2:T$1073&lt;&gt;""))),"")</f>
        <v>8.3152930194395569E-2</v>
      </c>
      <c r="AA1015" cm="1">
        <f t="array" ref="AA1015">IFERROR(AVERAGE(_xlfn._xlws.FILTER(U$2:U$1073,($C$2:$C$1073=$C1015)*($E$2:$E$1073=$E1015)*(ROW(U$2:U$1073)&lt;&gt;ROW(U1015))*(U$2:U$1073&lt;&gt;""))),"")</f>
        <v>4.3377171718408958</v>
      </c>
    </row>
    <row r="1016" spans="1:27" x14ac:dyDescent="0.2">
      <c r="A1016" s="7" t="s">
        <v>2324</v>
      </c>
      <c r="B1016" t="str">
        <f t="shared" si="167"/>
        <v>ETLN IV кв. 2019</v>
      </c>
      <c r="C1016">
        <v>2019</v>
      </c>
      <c r="D1016">
        <f>SUMIFS(Дивиденды!$C:$C,Дивиденды!$A:$A,A1016,Дивиденды!$I:$I,C1016)</f>
        <v>0</v>
      </c>
      <c r="E1016">
        <v>8</v>
      </c>
      <c r="F1016">
        <f t="shared" si="168"/>
        <v>0</v>
      </c>
      <c r="G1016">
        <f t="shared" si="169"/>
        <v>10</v>
      </c>
      <c r="H1016">
        <f t="shared" si="170"/>
        <v>0</v>
      </c>
      <c r="I1016">
        <f t="shared" si="177"/>
        <v>0.33333333333333331</v>
      </c>
      <c r="J1016">
        <f t="shared" si="171"/>
        <v>0</v>
      </c>
      <c r="K1016">
        <f t="shared" si="175"/>
        <v>-0.53846153846153844</v>
      </c>
      <c r="L1016">
        <f t="shared" si="172"/>
        <v>0</v>
      </c>
      <c r="M1016">
        <f t="shared" si="176"/>
        <v>0</v>
      </c>
      <c r="N1016">
        <f t="shared" si="173"/>
        <v>0</v>
      </c>
      <c r="O1016">
        <f t="shared" si="174"/>
        <v>0.66666666666666663</v>
      </c>
      <c r="P1016">
        <f>IFERROR(LN('Дивиденды по годам'!I1016),"")</f>
        <v>25.866939068604932</v>
      </c>
      <c r="Q1016">
        <f>IFERROR('Дивиденды по годам'!G1016/'Дивиденды по годам'!I1016, "")</f>
        <v>2.0782752824726865E-2</v>
      </c>
      <c r="R1016">
        <f>IFERROR(IF(AND('Дивиденды по годам'!N1016&lt;&gt;"",'Дивиденды по годам'!U1016&lt;&gt;"",'Дивиденды по годам'!U1016&lt;&gt;0),'Дивиденды по годам'!N1016/'Дивиденды по годам'!U1016-1,""),"")</f>
        <v>0.16595462275498774</v>
      </c>
      <c r="S1016">
        <f>IFERROR(IF(AND('Дивиденды по годам'!L1016&lt;&gt;"",'Дивиденды по годам'!I1016&lt;&gt;"",'Дивиденды по годам'!J1016&lt;&gt;"",'Дивиденды по годам'!K1016&lt;&gt;"",('Дивиденды по годам'!I1016-'Дивиденды по годам'!J1016-'Дивиденды по годам'!K1016)&lt;&gt;0),'Дивиденды по годам'!L1016/('Дивиденды по годам'!I1016-'Дивиденды по годам'!J1016-'Дивиденды по годам'!K1016),""),"")</f>
        <v>0.70543594035301282</v>
      </c>
      <c r="T1016">
        <f>IFERROR(IF(AND('Дивиденды по годам'!Q1016&lt;&gt;"",'Дивиденды по годам'!I1016&lt;&gt;"",'Дивиденды по годам'!V1016&lt;&gt;"",('Дивиденды по годам'!I1016+'Дивиденды по годам'!V1016)&lt;&gt;0),'Дивиденды по годам'!Q1016/(('Дивиденды по годам'!I1016+'Дивиденды по годам'!V1016)/2),""),"")</f>
        <v>1.2321348723978603E-3</v>
      </c>
      <c r="U1016">
        <f>IFERROR(IF(AND('Дивиденды по годам'!J1016&lt;&gt;"",'Дивиденды по годам'!K1016&lt;&gt;"",'Дивиденды по годам'!M1016&lt;&gt;"",'Дивиденды по годам'!M1016&lt;&gt;0),('Дивиденды по годам'!J1016+'Дивиденды по годам'!K1016)/'Дивиденды по годам'!M1016,""),"")</f>
        <v>2.2589774802191114</v>
      </c>
      <c r="V1016" cm="1">
        <f t="array" ref="V1016">IFERROR(AVERAGE(_xlfn._xlws.FILTER(P$2:P$1073,($C$2:$C$1073=$C1016)*($E$2:$E$1073=$E1016)*(ROW(P$2:P$1073)&lt;&gt;ROW(P1016))*(P$2:P$1073&lt;&gt;""))),"")</f>
        <v>26.089418646014039</v>
      </c>
      <c r="W1016" cm="1">
        <f t="array" ref="W1016">IFERROR(AVERAGE(_xlfn._xlws.FILTER(Q$2:Q$1073,($C$2:$C$1073=$C1016)*($E$2:$E$1073=$E1016)*(ROW(Q$2:Q$1073)&lt;&gt;ROW(Q1016))*(Q$2:Q$1073&lt;&gt;""))),"")</f>
        <v>5.6408479065261675E-2</v>
      </c>
      <c r="X1016" cm="1">
        <f t="array" ref="X1016">IFERROR(AVERAGE(_xlfn._xlws.FILTER(R$2:R$1073,($C$2:$C$1073=$C1016)*($E$2:$E$1073=$E1016)*(ROW(R$2:R$1073)&lt;&gt;ROW(R1016))*(R$2:R$1073&lt;&gt;""))),"")</f>
        <v>7.2461515181666478E-2</v>
      </c>
      <c r="Y1016" cm="1">
        <f t="array" ref="Y1016">IFERROR(AVERAGE(_xlfn._xlws.FILTER(S$2:S$1073,($C$2:$C$1073=$C1016)*($E$2:$E$1073=$E1016)*(ROW(S$2:S$1073)&lt;&gt;ROW(S1016))*(S$2:S$1073&lt;&gt;""))),"")</f>
        <v>0.58031186314283467</v>
      </c>
      <c r="Z1016" cm="1">
        <f t="array" ref="Z1016">IFERROR(AVERAGE(_xlfn._xlws.FILTER(T$2:T$1073,($C$2:$C$1073=$C1016)*($E$2:$E$1073=$E1016)*(ROW(T$2:T$1073)&lt;&gt;ROW(T1016))*(T$2:T$1073&lt;&gt;""))),"")</f>
        <v>5.0094245217913592E-2</v>
      </c>
      <c r="AA1016" cm="1">
        <f t="array" ref="AA1016">IFERROR(AVERAGE(_xlfn._xlws.FILTER(U$2:U$1073,($C$2:$C$1073=$C1016)*($E$2:$E$1073=$E1016)*(ROW(U$2:U$1073)&lt;&gt;ROW(U1016))*(U$2:U$1073&lt;&gt;""))),"")</f>
        <v>6.1286716507772541</v>
      </c>
    </row>
    <row r="1017" spans="1:27" x14ac:dyDescent="0.2">
      <c r="A1017" s="7" t="s">
        <v>2324</v>
      </c>
      <c r="B1017" t="str">
        <f t="shared" si="167"/>
        <v>ETLN IV кв. 2018</v>
      </c>
      <c r="C1017">
        <v>2018</v>
      </c>
      <c r="D1017">
        <f>SUMIFS(Дивиденды!$C:$C,Дивиденды!$A:$A,A1017,Дивиденды!$I:$I,C1017)</f>
        <v>0</v>
      </c>
      <c r="E1017">
        <v>8</v>
      </c>
      <c r="F1017">
        <f t="shared" si="168"/>
        <v>0</v>
      </c>
      <c r="G1017">
        <f t="shared" si="169"/>
        <v>41.14</v>
      </c>
      <c r="H1017">
        <f t="shared" si="170"/>
        <v>0</v>
      </c>
      <c r="I1017">
        <f t="shared" si="177"/>
        <v>0.66666666666666663</v>
      </c>
      <c r="J1017">
        <f t="shared" si="171"/>
        <v>0</v>
      </c>
      <c r="K1017">
        <f t="shared" si="175"/>
        <v>0.33333333333333331</v>
      </c>
      <c r="L1017">
        <f t="shared" si="172"/>
        <v>0</v>
      </c>
      <c r="M1017">
        <f t="shared" si="176"/>
        <v>0.33333333333333331</v>
      </c>
      <c r="N1017">
        <f t="shared" si="173"/>
        <v>0</v>
      </c>
      <c r="O1017">
        <f t="shared" si="174"/>
        <v>0</v>
      </c>
      <c r="P1017">
        <f>IFERROR(LN('Дивиденды по годам'!I1017),"")</f>
        <v>25.595182977064152</v>
      </c>
      <c r="Q1017">
        <f>IFERROR('Дивиденды по годам'!G1017/'Дивиденды по годам'!I1017, "")</f>
        <v>2.4469445742163268E-2</v>
      </c>
      <c r="R1017">
        <f>IFERROR(IF(AND('Дивиденды по годам'!N1017&lt;&gt;"",'Дивиденды по годам'!U1017&lt;&gt;"",'Дивиденды по годам'!U1017&lt;&gt;0),'Дивиденды по годам'!N1017/'Дивиденды по годам'!U1017-1,""),"")</f>
        <v>2.3809186778965152E-2</v>
      </c>
      <c r="S1017">
        <f>IFERROR(IF(AND('Дивиденды по годам'!L1017&lt;&gt;"",'Дивиденды по годам'!I1017&lt;&gt;"",'Дивиденды по годам'!J1017&lt;&gt;"",'Дивиденды по годам'!K1017&lt;&gt;"",('Дивиденды по годам'!I1017-'Дивиденды по годам'!J1017-'Дивиденды по годам'!K1017)&lt;&gt;0),'Дивиденды по годам'!L1017/('Дивиденды по годам'!I1017-'Дивиденды по годам'!J1017-'Дивиденды по годам'!K1017),""),"")</f>
        <v>0.74234812695455454</v>
      </c>
      <c r="T1017">
        <f>IFERROR(IF(AND('Дивиденды по годам'!Q1017&lt;&gt;"",'Дивиденды по годам'!I1017&lt;&gt;"",'Дивиденды по годам'!V1017&lt;&gt;"",('Дивиденды по годам'!I1017+'Дивиденды по годам'!V1017)&lt;&gt;0),'Дивиденды по годам'!Q1017/(('Дивиденды по годам'!I1017+'Дивиденды по годам'!V1017)/2),""),"")</f>
        <v>2.7884122629849578E-4</v>
      </c>
      <c r="U1017">
        <f>IFERROR(IF(AND('Дивиденды по годам'!J1017&lt;&gt;"",'Дивиденды по годам'!K1017&lt;&gt;"",'Дивиденды по годам'!M1017&lt;&gt;"",'Дивиденды по годам'!M1017&lt;&gt;0),('Дивиденды по годам'!J1017+'Дивиденды по годам'!K1017)/'Дивиденды по годам'!M1017,""),"")</f>
        <v>1.1719841639496973</v>
      </c>
      <c r="V1017" cm="1">
        <f t="array" ref="V1017">IFERROR(AVERAGE(_xlfn._xlws.FILTER(P$2:P$1073,($C$2:$C$1073=$C1017)*($E$2:$E$1073=$E1017)*(ROW(P$2:P$1073)&lt;&gt;ROW(P1017))*(P$2:P$1073&lt;&gt;""))),"")</f>
        <v>25.910923030067107</v>
      </c>
      <c r="W1017" cm="1">
        <f t="array" ref="W1017">IFERROR(AVERAGE(_xlfn._xlws.FILTER(Q$2:Q$1073,($C$2:$C$1073=$C1017)*($E$2:$E$1073=$E1017)*(ROW(Q$2:Q$1073)&lt;&gt;ROW(Q1017))*(Q$2:Q$1073&lt;&gt;""))),"")</f>
        <v>5.6336105241738758E-2</v>
      </c>
      <c r="X1017" cm="1">
        <f t="array" ref="X1017">IFERROR(AVERAGE(_xlfn._xlws.FILTER(R$2:R$1073,($C$2:$C$1073=$C1017)*($E$2:$E$1073=$E1017)*(ROW(R$2:R$1073)&lt;&gt;ROW(R1017))*(R$2:R$1073&lt;&gt;""))),"")</f>
        <v>0.12827356785371927</v>
      </c>
      <c r="Y1017" cm="1">
        <f t="array" ref="Y1017">IFERROR(AVERAGE(_xlfn._xlws.FILTER(S$2:S$1073,($C$2:$C$1073=$C1017)*($E$2:$E$1073=$E1017)*(ROW(S$2:S$1073)&lt;&gt;ROW(S1017))*(S$2:S$1073&lt;&gt;""))),"")</f>
        <v>0.58600670206875471</v>
      </c>
      <c r="Z1017" cm="1">
        <f t="array" ref="Z1017">IFERROR(AVERAGE(_xlfn._xlws.FILTER(T$2:T$1073,($C$2:$C$1073=$C1017)*($E$2:$E$1073=$E1017)*(ROW(T$2:T$1073)&lt;&gt;ROW(T1017))*(T$2:T$1073&lt;&gt;""))),"")</f>
        <v>5.9328540582473187E-2</v>
      </c>
      <c r="AA1017" cm="1">
        <f t="array" ref="AA1017">IFERROR(AVERAGE(_xlfn._xlws.FILTER(U$2:U$1073,($C$2:$C$1073=$C1017)*($E$2:$E$1073=$E1017)*(ROW(U$2:U$1073)&lt;&gt;ROW(U1017))*(U$2:U$1073&lt;&gt;""))),"")</f>
        <v>5.0944657491945513</v>
      </c>
    </row>
    <row r="1018" spans="1:27" x14ac:dyDescent="0.2">
      <c r="A1018" s="7" t="s">
        <v>2324</v>
      </c>
      <c r="B1018" t="str">
        <f t="shared" si="167"/>
        <v>ETLN IV кв. 2017</v>
      </c>
      <c r="C1018">
        <v>2017</v>
      </c>
      <c r="D1018">
        <f>SUMIFS(Дивиденды!$C:$C,Дивиденды!$A:$A,A1018,Дивиденды!$I:$I,C1018)</f>
        <v>0</v>
      </c>
      <c r="E1018">
        <v>8</v>
      </c>
      <c r="F1018">
        <f t="shared" si="168"/>
        <v>0</v>
      </c>
      <c r="G1018">
        <f t="shared" si="169"/>
        <v>26</v>
      </c>
      <c r="H1018">
        <f t="shared" si="170"/>
        <v>0</v>
      </c>
      <c r="I1018">
        <f t="shared" si="177"/>
        <v>0.33333333333333331</v>
      </c>
      <c r="J1018">
        <f t="shared" si="171"/>
        <v>0</v>
      </c>
      <c r="K1018">
        <f t="shared" si="175"/>
        <v>0</v>
      </c>
      <c r="L1018">
        <f t="shared" si="172"/>
        <v>0</v>
      </c>
      <c r="M1018">
        <f t="shared" si="176"/>
        <v>0</v>
      </c>
      <c r="N1018">
        <f t="shared" si="173"/>
        <v>0</v>
      </c>
      <c r="O1018">
        <f t="shared" si="174"/>
        <v>0</v>
      </c>
      <c r="P1018">
        <f>IFERROR(LN('Дивиденды по годам'!I1018),"")</f>
        <v>25.6271544699438</v>
      </c>
      <c r="Q1018">
        <f>IFERROR('Дивиденды по годам'!G1018/'Дивиденды по годам'!I1018, "")</f>
        <v>2.2883549806027609E-2</v>
      </c>
      <c r="R1018" t="str">
        <f>IFERROR(IF(AND('Дивиденды по годам'!N1018&lt;&gt;"",'Дивиденды по годам'!U1018&lt;&gt;"",'Дивиденды по годам'!U1018&lt;&gt;0),'Дивиденды по годам'!N1018/'Дивиденды по годам'!U1018-1,""),"")</f>
        <v/>
      </c>
      <c r="S1018">
        <f>IFERROR(IF(AND('Дивиденды по годам'!L1018&lt;&gt;"",'Дивиденды по годам'!I1018&lt;&gt;"",'Дивиденды по годам'!J1018&lt;&gt;"",'Дивиденды по годам'!K1018&lt;&gt;"",('Дивиденды по годам'!I1018-'Дивиденды по годам'!J1018-'Дивиденды по годам'!K1018)&lt;&gt;0),'Дивиденды по годам'!L1018/('Дивиденды по годам'!I1018-'Дивиденды по годам'!J1018-'Дивиденды по годам'!K1018),""),"")</f>
        <v>0.77544781466443757</v>
      </c>
      <c r="T1018" t="str">
        <f>IFERROR(IF(AND('Дивиденды по годам'!Q1018&lt;&gt;"",'Дивиденды по годам'!I1018&lt;&gt;"",'Дивиденды по годам'!V1018&lt;&gt;"",('Дивиденды по годам'!I1018+'Дивиденды по годам'!V1018)&lt;&gt;0),'Дивиденды по годам'!Q1018/(('Дивиденды по годам'!I1018+'Дивиденды по годам'!V1018)/2),""),"")</f>
        <v/>
      </c>
      <c r="U1018">
        <f>IFERROR(IF(AND('Дивиденды по годам'!J1018&lt;&gt;"",'Дивиденды по годам'!K1018&lt;&gt;"",'Дивиденды по годам'!M1018&lt;&gt;"",'Дивиденды по годам'!M1018&lt;&gt;0),('Дивиденды по годам'!J1018+'Дивиденды по годам'!K1018)/'Дивиденды по годам'!M1018,""),"")</f>
        <v>1.1465329193535547</v>
      </c>
      <c r="V1018" cm="1">
        <f t="array" ref="V1018">IFERROR(AVERAGE(_xlfn._xlws.FILTER(P$2:P$1073,($C$2:$C$1073=$C1018)*($E$2:$E$1073=$E1018)*(ROW(P$2:P$1073)&lt;&gt;ROW(P1018))*(P$2:P$1073&lt;&gt;""))),"")</f>
        <v>25.840550972933006</v>
      </c>
      <c r="W1018" cm="1">
        <f t="array" ref="W1018">IFERROR(AVERAGE(_xlfn._xlws.FILTER(Q$2:Q$1073,($C$2:$C$1073=$C1018)*($E$2:$E$1073=$E1018)*(ROW(Q$2:Q$1073)&lt;&gt;ROW(Q1018))*(Q$2:Q$1073&lt;&gt;""))),"")</f>
        <v>6.0059971221023224E-2</v>
      </c>
      <c r="X1018" cm="1">
        <f t="array" ref="X1018">IFERROR(AVERAGE(_xlfn._xlws.FILTER(R$2:R$1073,($C$2:$C$1073=$C1018)*($E$2:$E$1073=$E1018)*(ROW(R$2:R$1073)&lt;&gt;ROW(R1018))*(R$2:R$1073&lt;&gt;""))),"")</f>
        <v>1.0050905348428816</v>
      </c>
      <c r="Y1018" cm="1">
        <f t="array" ref="Y1018">IFERROR(AVERAGE(_xlfn._xlws.FILTER(S$2:S$1073,($C$2:$C$1073=$C1018)*($E$2:$E$1073=$E1018)*(ROW(S$2:S$1073)&lt;&gt;ROW(S1018))*(S$2:S$1073&lt;&gt;""))),"")</f>
        <v>0.48690555087507725</v>
      </c>
      <c r="Z1018" cm="1">
        <f t="array" ref="Z1018">IFERROR(AVERAGE(_xlfn._xlws.FILTER(T$2:T$1073,($C$2:$C$1073=$C1018)*($E$2:$E$1073=$E1018)*(ROW(T$2:T$1073)&lt;&gt;ROW(T1018))*(T$2:T$1073&lt;&gt;""))),"")</f>
        <v>5.0776144456165663E-2</v>
      </c>
      <c r="AA1018" cm="1">
        <f t="array" ref="AA1018">IFERROR(AVERAGE(_xlfn._xlws.FILTER(U$2:U$1073,($C$2:$C$1073=$C1018)*($E$2:$E$1073=$E1018)*(ROW(U$2:U$1073)&lt;&gt;ROW(U1018))*(U$2:U$1073&lt;&gt;""))),"")</f>
        <v>6.5585593087466565</v>
      </c>
    </row>
    <row r="1019" spans="1:27" x14ac:dyDescent="0.2">
      <c r="A1019" s="7" t="s">
        <v>2324</v>
      </c>
      <c r="B1019" t="str">
        <f t="shared" si="167"/>
        <v>ETLN IV кв. 2016</v>
      </c>
      <c r="C1019">
        <v>2016</v>
      </c>
      <c r="D1019">
        <f>SUMIFS(Дивиденды!$C:$C,Дивиденды!$A:$A,A1019,Дивиденды!$I:$I,C1019)</f>
        <v>0</v>
      </c>
      <c r="E1019">
        <v>8</v>
      </c>
      <c r="F1019">
        <f t="shared" si="168"/>
        <v>0</v>
      </c>
      <c r="G1019">
        <f t="shared" si="169"/>
        <v>26</v>
      </c>
      <c r="H1019">
        <f t="shared" si="170"/>
        <v>0</v>
      </c>
      <c r="I1019">
        <f t="shared" si="177"/>
        <v>0.33333333333333331</v>
      </c>
      <c r="J1019">
        <f t="shared" si="171"/>
        <v>0</v>
      </c>
      <c r="K1019">
        <f t="shared" si="175"/>
        <v>0</v>
      </c>
      <c r="L1019">
        <f t="shared" si="172"/>
        <v>0</v>
      </c>
      <c r="M1019">
        <f t="shared" si="176"/>
        <v>0</v>
      </c>
      <c r="N1019">
        <f t="shared" si="173"/>
        <v>0</v>
      </c>
      <c r="O1019">
        <f t="shared" si="174"/>
        <v>0</v>
      </c>
      <c r="P1019" t="str">
        <f>IFERROR(LN('Дивиденды по годам'!I1019),"")</f>
        <v/>
      </c>
      <c r="Q1019" t="str">
        <f>IFERROR('Дивиденды по годам'!G1019/'Дивиденды по годам'!I1019, "")</f>
        <v/>
      </c>
      <c r="R1019" t="str">
        <f>IFERROR(IF(AND('Дивиденды по годам'!N1019&lt;&gt;"",'Дивиденды по годам'!U1019&lt;&gt;"",'Дивиденды по годам'!U1019&lt;&gt;0),'Дивиденды по годам'!N1019/'Дивиденды по годам'!U1019-1,""),"")</f>
        <v/>
      </c>
      <c r="S1019" t="str">
        <f>IFERROR(IF(AND('Дивиденды по годам'!L1019&lt;&gt;"",'Дивиденды по годам'!I1019&lt;&gt;"",'Дивиденды по годам'!J1019&lt;&gt;"",'Дивиденды по годам'!K1019&lt;&gt;"",('Дивиденды по годам'!I1019-'Дивиденды по годам'!J1019-'Дивиденды по годам'!K1019)&lt;&gt;0),'Дивиденды по годам'!L1019/('Дивиденды по годам'!I1019-'Дивиденды по годам'!J1019-'Дивиденды по годам'!K1019),""),"")</f>
        <v/>
      </c>
      <c r="T1019" t="str">
        <f>IFERROR(IF(AND('Дивиденды по годам'!Q1019&lt;&gt;"",'Дивиденды по годам'!I1019&lt;&gt;"",'Дивиденды по годам'!V1019&lt;&gt;"",('Дивиденды по годам'!I1019+'Дивиденды по годам'!V1019)&lt;&gt;0),'Дивиденды по годам'!Q1019/(('Дивиденды по годам'!I1019+'Дивиденды по годам'!V1019)/2),""),"")</f>
        <v/>
      </c>
      <c r="U1019" t="str">
        <f>IFERROR(IF(AND('Дивиденды по годам'!J1019&lt;&gt;"",'Дивиденды по годам'!K1019&lt;&gt;"",'Дивиденды по годам'!M1019&lt;&gt;"",'Дивиденды по годам'!M1019&lt;&gt;0),('Дивиденды по годам'!J1019+'Дивиденды по годам'!K1019)/'Дивиденды по годам'!M1019,""),"")</f>
        <v/>
      </c>
      <c r="V1019" cm="1">
        <f t="array" ref="V1019">IFERROR(AVERAGE(_xlfn._xlws.FILTER(P$2:P$1073,($C$2:$C$1073=$C1019)*($E$2:$E$1073=$E1019)*(ROW(P$2:P$1073)&lt;&gt;ROW(P1019))*(P$2:P$1073&lt;&gt;""))),"")</f>
        <v>25.699952279186757</v>
      </c>
      <c r="W1019" cm="1">
        <f t="array" ref="W1019">IFERROR(AVERAGE(_xlfn._xlws.FILTER(Q$2:Q$1073,($C$2:$C$1073=$C1019)*($E$2:$E$1073=$E1019)*(ROW(Q$2:Q$1073)&lt;&gt;ROW(Q1019))*(Q$2:Q$1073&lt;&gt;""))),"")</f>
        <v>6.4027522581928217E-2</v>
      </c>
      <c r="X1019" cm="1">
        <f t="array" ref="X1019">IFERROR(AVERAGE(_xlfn._xlws.FILTER(R$2:R$1073,($C$2:$C$1073=$C1019)*($E$2:$E$1073=$E1019)*(ROW(R$2:R$1073)&lt;&gt;ROW(R1019))*(R$2:R$1073&lt;&gt;""))),"")</f>
        <v>0.15233021582257411</v>
      </c>
      <c r="Y1019" cm="1">
        <f t="array" ref="Y1019">IFERROR(AVERAGE(_xlfn._xlws.FILTER(S$2:S$1073,($C$2:$C$1073=$C1019)*($E$2:$E$1073=$E1019)*(ROW(S$2:S$1073)&lt;&gt;ROW(S1019))*(S$2:S$1073&lt;&gt;""))),"")</f>
        <v>0.41692805868432048</v>
      </c>
      <c r="Z1019" cm="1">
        <f t="array" ref="Z1019">IFERROR(AVERAGE(_xlfn._xlws.FILTER(T$2:T$1073,($C$2:$C$1073=$C1019)*($E$2:$E$1073=$E1019)*(ROW(T$2:T$1073)&lt;&gt;ROW(T1019))*(T$2:T$1073&lt;&gt;""))),"")</f>
        <v>6.447697662219809E-2</v>
      </c>
      <c r="AA1019" cm="1">
        <f t="array" ref="AA1019">IFERROR(AVERAGE(_xlfn._xlws.FILTER(U$2:U$1073,($C$2:$C$1073=$C1019)*($E$2:$E$1073=$E1019)*(ROW(U$2:U$1073)&lt;&gt;ROW(U1019))*(U$2:U$1073&lt;&gt;""))),"")</f>
        <v>6.551572274535336</v>
      </c>
    </row>
    <row r="1020" spans="1:27" x14ac:dyDescent="0.2">
      <c r="A1020" s="7" t="s">
        <v>2324</v>
      </c>
      <c r="B1020" t="str">
        <f t="shared" si="167"/>
        <v>ETLN IV кв. 2015</v>
      </c>
      <c r="C1020">
        <v>2015</v>
      </c>
      <c r="D1020">
        <f>SUMIFS(Дивиденды!$C:$C,Дивиденды!$A:$A,A1020,Дивиденды!$I:$I,C1020)</f>
        <v>0</v>
      </c>
      <c r="E1020">
        <v>8</v>
      </c>
      <c r="F1020">
        <f t="shared" si="168"/>
        <v>0</v>
      </c>
      <c r="G1020">
        <f t="shared" si="169"/>
        <v>26</v>
      </c>
      <c r="H1020">
        <f t="shared" si="170"/>
        <v>0</v>
      </c>
      <c r="I1020">
        <f t="shared" si="177"/>
        <v>0.33333333333333331</v>
      </c>
      <c r="J1020">
        <f t="shared" si="171"/>
        <v>0</v>
      </c>
      <c r="K1020">
        <f t="shared" si="175"/>
        <v>-0.33333333333333331</v>
      </c>
      <c r="L1020">
        <f t="shared" si="172"/>
        <v>0</v>
      </c>
      <c r="M1020">
        <f t="shared" si="176"/>
        <v>0</v>
      </c>
      <c r="N1020">
        <f t="shared" si="173"/>
        <v>0</v>
      </c>
      <c r="O1020">
        <f t="shared" si="174"/>
        <v>0.33333333333333331</v>
      </c>
      <c r="P1020" t="str">
        <f>IFERROR(LN('Дивиденды по годам'!I1020),"")</f>
        <v/>
      </c>
      <c r="Q1020" t="str">
        <f>IFERROR('Дивиденды по годам'!G1020/'Дивиденды по годам'!I1020, "")</f>
        <v/>
      </c>
      <c r="R1020" t="str">
        <f>IFERROR(IF(AND('Дивиденды по годам'!N1020&lt;&gt;"",'Дивиденды по годам'!U1020&lt;&gt;"",'Дивиденды по годам'!U1020&lt;&gt;0),'Дивиденды по годам'!N1020/'Дивиденды по годам'!U1020-1,""),"")</f>
        <v/>
      </c>
      <c r="S1020" t="str">
        <f>IFERROR(IF(AND('Дивиденды по годам'!L1020&lt;&gt;"",'Дивиденды по годам'!I1020&lt;&gt;"",'Дивиденды по годам'!J1020&lt;&gt;"",'Дивиденды по годам'!K1020&lt;&gt;"",('Дивиденды по годам'!I1020-'Дивиденды по годам'!J1020-'Дивиденды по годам'!K1020)&lt;&gt;0),'Дивиденды по годам'!L1020/('Дивиденды по годам'!I1020-'Дивиденды по годам'!J1020-'Дивиденды по годам'!K1020),""),"")</f>
        <v/>
      </c>
      <c r="T1020" t="str">
        <f>IFERROR(IF(AND('Дивиденды по годам'!Q1020&lt;&gt;"",'Дивиденды по годам'!I1020&lt;&gt;"",'Дивиденды по годам'!V1020&lt;&gt;"",('Дивиденды по годам'!I1020+'Дивиденды по годам'!V1020)&lt;&gt;0),'Дивиденды по годам'!Q1020/(('Дивиденды по годам'!I1020+'Дивиденды по годам'!V1020)/2),""),"")</f>
        <v/>
      </c>
      <c r="U1020" t="str">
        <f>IFERROR(IF(AND('Дивиденды по годам'!J1020&lt;&gt;"",'Дивиденды по годам'!K1020&lt;&gt;"",'Дивиденды по годам'!M1020&lt;&gt;"",'Дивиденды по годам'!M1020&lt;&gt;0),('Дивиденды по годам'!J1020+'Дивиденды по годам'!K1020)/'Дивиденды по годам'!M1020,""),"")</f>
        <v/>
      </c>
      <c r="V1020" cm="1">
        <f t="array" ref="V1020">IFERROR(AVERAGE(_xlfn._xlws.FILTER(P$2:P$1073,($C$2:$C$1073=$C1020)*($E$2:$E$1073=$E1020)*(ROW(P$2:P$1073)&lt;&gt;ROW(P1020))*(P$2:P$1073&lt;&gt;""))),"")</f>
        <v>25.71829449059895</v>
      </c>
      <c r="W1020" cm="1">
        <f t="array" ref="W1020">IFERROR(AVERAGE(_xlfn._xlws.FILTER(Q$2:Q$1073,($C$2:$C$1073=$C1020)*($E$2:$E$1073=$E1020)*(ROW(Q$2:Q$1073)&lt;&gt;ROW(Q1020))*(Q$2:Q$1073&lt;&gt;""))),"")</f>
        <v>0.1073202909166114</v>
      </c>
      <c r="X1020" cm="1">
        <f t="array" ref="X1020">IFERROR(AVERAGE(_xlfn._xlws.FILTER(R$2:R$1073,($C$2:$C$1073=$C1020)*($E$2:$E$1073=$E1020)*(ROW(R$2:R$1073)&lt;&gt;ROW(R1020))*(R$2:R$1073&lt;&gt;""))),"")</f>
        <v>-0.11253408541772025</v>
      </c>
      <c r="Y1020" cm="1">
        <f t="array" ref="Y1020">IFERROR(AVERAGE(_xlfn._xlws.FILTER(S$2:S$1073,($C$2:$C$1073=$C1020)*($E$2:$E$1073=$E1020)*(ROW(S$2:S$1073)&lt;&gt;ROW(S1020))*(S$2:S$1073&lt;&gt;""))),"")</f>
        <v>0.17449271478843911</v>
      </c>
      <c r="Z1020" cm="1">
        <f t="array" ref="Z1020">IFERROR(AVERAGE(_xlfn._xlws.FILTER(T$2:T$1073,($C$2:$C$1073=$C1020)*($E$2:$E$1073=$E1020)*(ROW(T$2:T$1073)&lt;&gt;ROW(T1020))*(T$2:T$1073&lt;&gt;""))),"")</f>
        <v>8.260922764123789E-2</v>
      </c>
      <c r="AA1020" cm="1">
        <f t="array" ref="AA1020">IFERROR(AVERAGE(_xlfn._xlws.FILTER(U$2:U$1073,($C$2:$C$1073=$C1020)*($E$2:$E$1073=$E1020)*(ROW(U$2:U$1073)&lt;&gt;ROW(U1020))*(U$2:U$1073&lt;&gt;""))),"")</f>
        <v>2.1321711086288291</v>
      </c>
    </row>
    <row r="1021" spans="1:27" x14ac:dyDescent="0.2">
      <c r="A1021" s="7" t="s">
        <v>2324</v>
      </c>
      <c r="B1021" t="str">
        <f t="shared" si="167"/>
        <v>ETLN IV кв. 2014</v>
      </c>
      <c r="C1021">
        <v>2014</v>
      </c>
      <c r="D1021">
        <f>SUMIFS(Дивиденды!$C:$C,Дивиденды!$A:$A,A1021,Дивиденды!$I:$I,C1021)</f>
        <v>0</v>
      </c>
      <c r="E1021">
        <v>8</v>
      </c>
      <c r="F1021">
        <f t="shared" si="168"/>
        <v>0</v>
      </c>
      <c r="G1021">
        <f t="shared" si="169"/>
        <v>27.386666666666667</v>
      </c>
      <c r="H1021">
        <f t="shared" si="170"/>
        <v>0</v>
      </c>
      <c r="I1021">
        <f t="shared" si="177"/>
        <v>0.66666666666666663</v>
      </c>
      <c r="J1021">
        <f t="shared" si="171"/>
        <v>0</v>
      </c>
      <c r="K1021">
        <f t="shared" si="175"/>
        <v>0.65</v>
      </c>
      <c r="L1021">
        <f t="shared" si="172"/>
        <v>0</v>
      </c>
      <c r="M1021">
        <f t="shared" si="176"/>
        <v>0.66666666666666663</v>
      </c>
      <c r="N1021">
        <f t="shared" si="173"/>
        <v>0</v>
      </c>
      <c r="O1021">
        <f t="shared" si="174"/>
        <v>0</v>
      </c>
      <c r="P1021" t="str">
        <f>IFERROR(LN('Дивиденды по годам'!I1021),"")</f>
        <v/>
      </c>
      <c r="Q1021" t="str">
        <f>IFERROR('Дивиденды по годам'!G1021/'Дивиденды по годам'!I1021, "")</f>
        <v/>
      </c>
      <c r="R1021" t="str">
        <f>IFERROR(IF(AND('Дивиденды по годам'!N1021&lt;&gt;"",'Дивиденды по годам'!U1021&lt;&gt;"",'Дивиденды по годам'!U1021&lt;&gt;0),'Дивиденды по годам'!N1021/'Дивиденды по годам'!U1021-1,""),"")</f>
        <v/>
      </c>
      <c r="S1021" t="str">
        <f>IFERROR(IF(AND('Дивиденды по годам'!L1021&lt;&gt;"",'Дивиденды по годам'!I1021&lt;&gt;"",'Дивиденды по годам'!J1021&lt;&gt;"",'Дивиденды по годам'!K1021&lt;&gt;"",('Дивиденды по годам'!I1021-'Дивиденды по годам'!J1021-'Дивиденды по годам'!K1021)&lt;&gt;0),'Дивиденды по годам'!L1021/('Дивиденды по годам'!I1021-'Дивиденды по годам'!J1021-'Дивиденды по годам'!K1021),""),"")</f>
        <v/>
      </c>
      <c r="T1021" t="str">
        <f>IFERROR(IF(AND('Дивиденды по годам'!Q1021&lt;&gt;"",'Дивиденды по годам'!I1021&lt;&gt;"",'Дивиденды по годам'!V1021&lt;&gt;"",('Дивиденды по годам'!I1021+'Дивиденды по годам'!V1021)&lt;&gt;0),'Дивиденды по годам'!Q1021/(('Дивиденды по годам'!I1021+'Дивиденды по годам'!V1021)/2),""),"")</f>
        <v/>
      </c>
      <c r="U1021" t="str">
        <f>IFERROR(IF(AND('Дивиденды по годам'!J1021&lt;&gt;"",'Дивиденды по годам'!K1021&lt;&gt;"",'Дивиденды по годам'!M1021&lt;&gt;"",'Дивиденды по годам'!M1021&lt;&gt;0),('Дивиденды по годам'!J1021+'Дивиденды по годам'!K1021)/'Дивиденды по годам'!M1021,""),"")</f>
        <v/>
      </c>
      <c r="V1021" cm="1">
        <f t="array" ref="V1021">IFERROR(AVERAGE(_xlfn._xlws.FILTER(P$2:P$1073,($C$2:$C$1073=$C1021)*($E$2:$E$1073=$E1021)*(ROW(P$2:P$1073)&lt;&gt;ROW(P1021))*(P$2:P$1073&lt;&gt;""))),"")</f>
        <v>25.657009768650358</v>
      </c>
      <c r="W1021" cm="1">
        <f t="array" ref="W1021">IFERROR(AVERAGE(_xlfn._xlws.FILTER(Q$2:Q$1073,($C$2:$C$1073=$C1021)*($E$2:$E$1073=$E1021)*(ROW(Q$2:Q$1073)&lt;&gt;ROW(Q1021))*(Q$2:Q$1073&lt;&gt;""))),"")</f>
        <v>0.11490104687838582</v>
      </c>
      <c r="X1021" cm="1">
        <f t="array" ref="X1021">IFERROR(AVERAGE(_xlfn._xlws.FILTER(R$2:R$1073,($C$2:$C$1073=$C1021)*($E$2:$E$1073=$E1021)*(ROW(R$2:R$1073)&lt;&gt;ROW(R1021))*(R$2:R$1073&lt;&gt;""))),"")</f>
        <v>0.19666714088343412</v>
      </c>
      <c r="Y1021" cm="1">
        <f t="array" ref="Y1021">IFERROR(AVERAGE(_xlfn._xlws.FILTER(S$2:S$1073,($C$2:$C$1073=$C1021)*($E$2:$E$1073=$E1021)*(ROW(S$2:S$1073)&lt;&gt;ROW(S1021))*(S$2:S$1073&lt;&gt;""))),"")</f>
        <v>-0.10883273199146221</v>
      </c>
      <c r="Z1021" cm="1">
        <f t="array" ref="Z1021">IFERROR(AVERAGE(_xlfn._xlws.FILTER(T$2:T$1073,($C$2:$C$1073=$C1021)*($E$2:$E$1073=$E1021)*(ROW(T$2:T$1073)&lt;&gt;ROW(T1021))*(T$2:T$1073&lt;&gt;""))),"")</f>
        <v>4.3668835955886089E-2</v>
      </c>
      <c r="AA1021" cm="1">
        <f t="array" ref="AA1021">IFERROR(AVERAGE(_xlfn._xlws.FILTER(U$2:U$1073,($C$2:$C$1073=$C1021)*($E$2:$E$1073=$E1021)*(ROW(U$2:U$1073)&lt;&gt;ROW(U1021))*(U$2:U$1073&lt;&gt;""))),"")</f>
        <v>2.7859159961453743</v>
      </c>
    </row>
    <row r="1022" spans="1:27" x14ac:dyDescent="0.2">
      <c r="A1022" s="7" t="s">
        <v>2324</v>
      </c>
      <c r="B1022" t="str">
        <f t="shared" si="167"/>
        <v>ETLN IV кв. 2013</v>
      </c>
      <c r="C1022">
        <v>2013</v>
      </c>
      <c r="D1022">
        <f>SUMIFS(Дивиденды!$C:$C,Дивиденды!$A:$A,A1022,Дивиденды!$I:$I,C1022)</f>
        <v>0</v>
      </c>
      <c r="E1022">
        <v>8</v>
      </c>
      <c r="F1022">
        <f t="shared" si="168"/>
        <v>0</v>
      </c>
      <c r="G1022">
        <f t="shared" si="169"/>
        <v>13.333333333333334</v>
      </c>
      <c r="H1022">
        <f t="shared" si="170"/>
        <v>0</v>
      </c>
      <c r="I1022">
        <f t="shared" si="177"/>
        <v>0.33333333333333331</v>
      </c>
      <c r="J1022">
        <f t="shared" si="171"/>
        <v>0</v>
      </c>
      <c r="K1022">
        <f t="shared" si="175"/>
        <v>0.33333333333333331</v>
      </c>
      <c r="L1022">
        <f t="shared" si="172"/>
        <v>0</v>
      </c>
      <c r="M1022">
        <f t="shared" si="176"/>
        <v>0.33333333333333331</v>
      </c>
      <c r="N1022">
        <f t="shared" si="173"/>
        <v>0</v>
      </c>
      <c r="O1022">
        <f t="shared" si="174"/>
        <v>0</v>
      </c>
      <c r="P1022" t="str">
        <f>IFERROR(LN('Дивиденды по годам'!I1022),"")</f>
        <v/>
      </c>
      <c r="Q1022" t="str">
        <f>IFERROR('Дивиденды по годам'!G1022/'Дивиденды по годам'!I1022, "")</f>
        <v/>
      </c>
      <c r="R1022" t="str">
        <f>IFERROR(IF(AND('Дивиденды по годам'!N1022&lt;&gt;"",'Дивиденды по годам'!U1022&lt;&gt;"",'Дивиденды по годам'!U1022&lt;&gt;0),'Дивиденды по годам'!N1022/'Дивиденды по годам'!U1022-1,""),"")</f>
        <v/>
      </c>
      <c r="S1022" t="str">
        <f>IFERROR(IF(AND('Дивиденды по годам'!L1022&lt;&gt;"",'Дивиденды по годам'!I1022&lt;&gt;"",'Дивиденды по годам'!J1022&lt;&gt;"",'Дивиденды по годам'!K1022&lt;&gt;"",('Дивиденды по годам'!I1022-'Дивиденды по годам'!J1022-'Дивиденды по годам'!K1022)&lt;&gt;0),'Дивиденды по годам'!L1022/('Дивиденды по годам'!I1022-'Дивиденды по годам'!J1022-'Дивиденды по годам'!K1022),""),"")</f>
        <v/>
      </c>
      <c r="T1022" t="str">
        <f>IFERROR(IF(AND('Дивиденды по годам'!Q1022&lt;&gt;"",'Дивиденды по годам'!I1022&lt;&gt;"",'Дивиденды по годам'!V1022&lt;&gt;"",('Дивиденды по годам'!I1022+'Дивиденды по годам'!V1022)&lt;&gt;0),'Дивиденды по годам'!Q1022/(('Дивиденды по годам'!I1022+'Дивиденды по годам'!V1022)/2),""),"")</f>
        <v/>
      </c>
      <c r="U1022" t="str">
        <f>IFERROR(IF(AND('Дивиденды по годам'!J1022&lt;&gt;"",'Дивиденды по годам'!K1022&lt;&gt;"",'Дивиденды по годам'!M1022&lt;&gt;"",'Дивиденды по годам'!M1022&lt;&gt;0),('Дивиденды по годам'!J1022+'Дивиденды по годам'!K1022)/'Дивиденды по годам'!M1022,""),"")</f>
        <v/>
      </c>
      <c r="V1022" cm="1">
        <f t="array" ref="V1022">IFERROR(AVERAGE(_xlfn._xlws.FILTER(P$2:P$1073,($C$2:$C$1073=$C1022)*($E$2:$E$1073=$E1022)*(ROW(P$2:P$1073)&lt;&gt;ROW(P1022))*(P$2:P$1073&lt;&gt;""))),"")</f>
        <v>25.628387177159517</v>
      </c>
      <c r="W1022" cm="1">
        <f t="array" ref="W1022">IFERROR(AVERAGE(_xlfn._xlws.FILTER(Q$2:Q$1073,($C$2:$C$1073=$C1022)*($E$2:$E$1073=$E1022)*(ROW(Q$2:Q$1073)&lt;&gt;ROW(Q1022))*(Q$2:Q$1073&lt;&gt;""))),"")</f>
        <v>0.17621268031849646</v>
      </c>
      <c r="X1022" cm="1">
        <f t="array" ref="X1022">IFERROR(AVERAGE(_xlfn._xlws.FILTER(R$2:R$1073,($C$2:$C$1073=$C1022)*($E$2:$E$1073=$E1022)*(ROW(R$2:R$1073)&lt;&gt;ROW(R1022))*(R$2:R$1073&lt;&gt;""))),"")</f>
        <v>7.1993563878299804E-3</v>
      </c>
      <c r="Y1022" t="str" cm="1">
        <f t="array" ref="Y1022">IFERROR(AVERAGE(_xlfn._xlws.FILTER(S$2:S$1073,($C$2:$C$1073=$C1022)*($E$2:$E$1073=$E1022)*(ROW(S$2:S$1073)&lt;&gt;ROW(S1022))*(S$2:S$1073&lt;&gt;""))),"")</f>
        <v/>
      </c>
      <c r="Z1022" cm="1">
        <f t="array" ref="Z1022">IFERROR(AVERAGE(_xlfn._xlws.FILTER(T$2:T$1073,($C$2:$C$1073=$C1022)*($E$2:$E$1073=$E1022)*(ROW(T$2:T$1073)&lt;&gt;ROW(T1022))*(T$2:T$1073&lt;&gt;""))),"")</f>
        <v>4.8408487374726722E-2</v>
      </c>
      <c r="AA1022" cm="1">
        <f t="array" ref="AA1022">IFERROR(AVERAGE(_xlfn._xlws.FILTER(U$2:U$1073,($C$2:$C$1073=$C1022)*($E$2:$E$1073=$E1022)*(ROW(U$2:U$1073)&lt;&gt;ROW(U1022))*(U$2:U$1073&lt;&gt;""))),"")</f>
        <v>3.1582663547842218</v>
      </c>
    </row>
    <row r="1023" spans="1:27" x14ac:dyDescent="0.2">
      <c r="A1023" s="7" t="s">
        <v>2324</v>
      </c>
      <c r="B1023" t="str">
        <f t="shared" si="167"/>
        <v>ETLN IV кв. 2012</v>
      </c>
      <c r="C1023">
        <v>2012</v>
      </c>
      <c r="D1023">
        <f>SUMIFS(Дивиденды!$C:$C,Дивиденды!$A:$A,A1023,Дивиденды!$I:$I,C1023)</f>
        <v>0</v>
      </c>
      <c r="E1023">
        <v>8</v>
      </c>
      <c r="F1023">
        <f t="shared" si="168"/>
        <v>0</v>
      </c>
      <c r="G1023">
        <f t="shared" si="169"/>
        <v>6.666666666666667</v>
      </c>
      <c r="H1023">
        <f t="shared" si="170"/>
        <v>0</v>
      </c>
      <c r="I1023">
        <f t="shared" si="177"/>
        <v>0.33333333333333331</v>
      </c>
      <c r="J1023">
        <f t="shared" si="171"/>
        <v>0</v>
      </c>
      <c r="K1023">
        <f t="shared" si="175"/>
        <v>0</v>
      </c>
      <c r="L1023">
        <f t="shared" si="172"/>
        <v>0</v>
      </c>
      <c r="M1023">
        <f t="shared" si="176"/>
        <v>0</v>
      </c>
      <c r="N1023">
        <f t="shared" si="173"/>
        <v>0</v>
      </c>
      <c r="O1023">
        <f t="shared" si="174"/>
        <v>0</v>
      </c>
      <c r="P1023" t="str">
        <f>IFERROR(LN('Дивиденды по годам'!I1023),"")</f>
        <v/>
      </c>
      <c r="Q1023" t="str">
        <f>IFERROR('Дивиденды по годам'!G1023/'Дивиденды по годам'!I1023, "")</f>
        <v/>
      </c>
      <c r="R1023" t="str">
        <f>IFERROR(IF(AND('Дивиденды по годам'!N1023&lt;&gt;"",'Дивиденды по годам'!U1023&lt;&gt;"",'Дивиденды по годам'!U1023&lt;&gt;0),'Дивиденды по годам'!N1023/'Дивиденды по годам'!U1023-1,""),"")</f>
        <v/>
      </c>
      <c r="S1023" t="str">
        <f>IFERROR(IF(AND('Дивиденды по годам'!L1023&lt;&gt;"",'Дивиденды по годам'!I1023&lt;&gt;"",'Дивиденды по годам'!J1023&lt;&gt;"",'Дивиденды по годам'!K1023&lt;&gt;"",('Дивиденды по годам'!I1023-'Дивиденды по годам'!J1023-'Дивиденды по годам'!K1023)&lt;&gt;0),'Дивиденды по годам'!L1023/('Дивиденды по годам'!I1023-'Дивиденды по годам'!J1023-'Дивиденды по годам'!K1023),""),"")</f>
        <v/>
      </c>
      <c r="T1023" t="str">
        <f>IFERROR(IF(AND('Дивиденды по годам'!Q1023&lt;&gt;"",'Дивиденды по годам'!I1023&lt;&gt;"",'Дивиденды по годам'!V1023&lt;&gt;"",('Дивиденды по годам'!I1023+'Дивиденды по годам'!V1023)&lt;&gt;0),'Дивиденды по годам'!Q1023/(('Дивиденды по годам'!I1023+'Дивиденды по годам'!V1023)/2),""),"")</f>
        <v/>
      </c>
      <c r="U1023" t="str">
        <f>IFERROR(IF(AND('Дивиденды по годам'!J1023&lt;&gt;"",'Дивиденды по годам'!K1023&lt;&gt;"",'Дивиденды по годам'!M1023&lt;&gt;"",'Дивиденды по годам'!M1023&lt;&gt;0),('Дивиденды по годам'!J1023+'Дивиденды по годам'!K1023)/'Дивиденды по годам'!M1023,""),"")</f>
        <v/>
      </c>
      <c r="V1023" cm="1">
        <f t="array" ref="V1023">IFERROR(AVERAGE(_xlfn._xlws.FILTER(P$2:P$1073,($C$2:$C$1073=$C1023)*($E$2:$E$1073=$E1023)*(ROW(P$2:P$1073)&lt;&gt;ROW(P1023))*(P$2:P$1073&lt;&gt;""))),"")</f>
        <v>25.606212282602186</v>
      </c>
      <c r="W1023" cm="1">
        <f t="array" ref="W1023">IFERROR(AVERAGE(_xlfn._xlws.FILTER(Q$2:Q$1073,($C$2:$C$1073=$C1023)*($E$2:$E$1073=$E1023)*(ROW(Q$2:Q$1073)&lt;&gt;ROW(Q1023))*(Q$2:Q$1073&lt;&gt;""))),"")</f>
        <v>0.18069853124342428</v>
      </c>
      <c r="X1023" cm="1">
        <f t="array" ref="X1023">IFERROR(AVERAGE(_xlfn._xlws.FILTER(R$2:R$1073,($C$2:$C$1073=$C1023)*($E$2:$E$1073=$E1023)*(ROW(R$2:R$1073)&lt;&gt;ROW(R1023))*(R$2:R$1073&lt;&gt;""))),"")</f>
        <v>0.30766481921956945</v>
      </c>
      <c r="Y1023" t="str" cm="1">
        <f t="array" ref="Y1023">IFERROR(AVERAGE(_xlfn._xlws.FILTER(S$2:S$1073,($C$2:$C$1073=$C1023)*($E$2:$E$1073=$E1023)*(ROW(S$2:S$1073)&lt;&gt;ROW(S1023))*(S$2:S$1073&lt;&gt;""))),"")</f>
        <v/>
      </c>
      <c r="Z1023" cm="1">
        <f t="array" ref="Z1023">IFERROR(AVERAGE(_xlfn._xlws.FILTER(T$2:T$1073,($C$2:$C$1073=$C1023)*($E$2:$E$1073=$E1023)*(ROW(T$2:T$1073)&lt;&gt;ROW(T1023))*(T$2:T$1073&lt;&gt;""))),"")</f>
        <v>3.0817908617347949E-2</v>
      </c>
      <c r="AA1023" cm="1">
        <f t="array" ref="AA1023">IFERROR(AVERAGE(_xlfn._xlws.FILTER(U$2:U$1073,($C$2:$C$1073=$C1023)*($E$2:$E$1073=$E1023)*(ROW(U$2:U$1073)&lt;&gt;ROW(U1023))*(U$2:U$1073&lt;&gt;""))),"")</f>
        <v>19.123908800423749</v>
      </c>
    </row>
    <row r="1024" spans="1:27" x14ac:dyDescent="0.2">
      <c r="A1024" s="7" t="s">
        <v>2324</v>
      </c>
      <c r="B1024" t="str">
        <f t="shared" si="167"/>
        <v>ETLN IV кв. 2011</v>
      </c>
      <c r="C1024">
        <v>2011</v>
      </c>
      <c r="D1024">
        <f>SUMIFS(Дивиденды!$C:$C,Дивиденды!$A:$A,A1024,Дивиденды!$I:$I,C1024)</f>
        <v>0</v>
      </c>
      <c r="E1024">
        <v>8</v>
      </c>
      <c r="F1024">
        <f t="shared" si="168"/>
        <v>0</v>
      </c>
      <c r="G1024">
        <f t="shared" si="169"/>
        <v>6.666666666666667</v>
      </c>
      <c r="H1024">
        <f t="shared" si="170"/>
        <v>0</v>
      </c>
      <c r="I1024">
        <f t="shared" si="177"/>
        <v>0.33333333333333331</v>
      </c>
      <c r="J1024">
        <f t="shared" si="171"/>
        <v>0</v>
      </c>
      <c r="K1024">
        <f t="shared" si="175"/>
        <v>0.1111111111111111</v>
      </c>
      <c r="L1024">
        <f t="shared" si="172"/>
        <v>0</v>
      </c>
      <c r="M1024">
        <f t="shared" si="176"/>
        <v>0.33333333333333331</v>
      </c>
      <c r="N1024">
        <f t="shared" si="173"/>
        <v>0</v>
      </c>
      <c r="O1024">
        <f t="shared" si="174"/>
        <v>0</v>
      </c>
      <c r="P1024" t="str">
        <f>IFERROR(LN('Дивиденды по годам'!I1024),"")</f>
        <v/>
      </c>
      <c r="Q1024" t="str">
        <f>IFERROR('Дивиденды по годам'!G1024/'Дивиденды по годам'!I1024, "")</f>
        <v/>
      </c>
      <c r="R1024" t="str">
        <f>IFERROR(IF(AND('Дивиденды по годам'!N1024&lt;&gt;"",'Дивиденды по годам'!U1024&lt;&gt;"",'Дивиденды по годам'!U1024&lt;&gt;0),'Дивиденды по годам'!N1024/'Дивиденды по годам'!U1024-1,""),"")</f>
        <v/>
      </c>
      <c r="S1024" t="str">
        <f>IFERROR(IF(AND('Дивиденды по годам'!L1024&lt;&gt;"",'Дивиденды по годам'!I1024&lt;&gt;"",'Дивиденды по годам'!J1024&lt;&gt;"",'Дивиденды по годам'!K1024&lt;&gt;"",('Дивиденды по годам'!I1024-'Дивиденды по годам'!J1024-'Дивиденды по годам'!K1024)&lt;&gt;0),'Дивиденды по годам'!L1024/('Дивиденды по годам'!I1024-'Дивиденды по годам'!J1024-'Дивиденды по годам'!K1024),""),"")</f>
        <v/>
      </c>
      <c r="T1024" t="str">
        <f>IFERROR(IF(AND('Дивиденды по годам'!Q1024&lt;&gt;"",'Дивиденды по годам'!I1024&lt;&gt;"",'Дивиденды по годам'!V1024&lt;&gt;"",('Дивиденды по годам'!I1024+'Дивиденды по годам'!V1024)&lt;&gt;0),'Дивиденды по годам'!Q1024/(('Дивиденды по годам'!I1024+'Дивиденды по годам'!V1024)/2),""),"")</f>
        <v/>
      </c>
      <c r="U1024" t="str">
        <f>IFERROR(IF(AND('Дивиденды по годам'!J1024&lt;&gt;"",'Дивиденды по годам'!K1024&lt;&gt;"",'Дивиденды по годам'!M1024&lt;&gt;"",'Дивиденды по годам'!M1024&lt;&gt;0),('Дивиденды по годам'!J1024+'Дивиденды по годам'!K1024)/'Дивиденды по годам'!M1024,""),"")</f>
        <v/>
      </c>
      <c r="V1024" cm="1">
        <f t="array" ref="V1024">IFERROR(AVERAGE(_xlfn._xlws.FILTER(P$2:P$1073,($C$2:$C$1073=$C1024)*($E$2:$E$1073=$E1024)*(ROW(P$2:P$1073)&lt;&gt;ROW(P1024))*(P$2:P$1073&lt;&gt;""))),"")</f>
        <v>25.573845912680969</v>
      </c>
      <c r="W1024" cm="1">
        <f t="array" ref="W1024">IFERROR(AVERAGE(_xlfn._xlws.FILTER(Q$2:Q$1073,($C$2:$C$1073=$C1024)*($E$2:$E$1073=$E1024)*(ROW(Q$2:Q$1073)&lt;&gt;ROW(Q1024))*(Q$2:Q$1073&lt;&gt;""))),"")</f>
        <v>0.18216029236601219</v>
      </c>
      <c r="X1024" t="str" cm="1">
        <f t="array" ref="X1024">IFERROR(AVERAGE(_xlfn._xlws.FILTER(R$2:R$1073,($C$2:$C$1073=$C1024)*($E$2:$E$1073=$E1024)*(ROW(R$2:R$1073)&lt;&gt;ROW(R1024))*(R$2:R$1073&lt;&gt;""))),"")</f>
        <v/>
      </c>
      <c r="Y1024" t="str" cm="1">
        <f t="array" ref="Y1024">IFERROR(AVERAGE(_xlfn._xlws.FILTER(S$2:S$1073,($C$2:$C$1073=$C1024)*($E$2:$E$1073=$E1024)*(ROW(S$2:S$1073)&lt;&gt;ROW(S1024))*(S$2:S$1073&lt;&gt;""))),"")</f>
        <v/>
      </c>
      <c r="Z1024" t="str" cm="1">
        <f t="array" ref="Z1024">IFERROR(AVERAGE(_xlfn._xlws.FILTER(T$2:T$1073,($C$2:$C$1073=$C1024)*($E$2:$E$1073=$E1024)*(ROW(T$2:T$1073)&lt;&gt;ROW(T1024))*(T$2:T$1073&lt;&gt;""))),"")</f>
        <v/>
      </c>
      <c r="AA1024" cm="1">
        <f t="array" ref="AA1024">IFERROR(AVERAGE(_xlfn._xlws.FILTER(U$2:U$1073,($C$2:$C$1073=$C1024)*($E$2:$E$1073=$E1024)*(ROW(U$2:U$1073)&lt;&gt;ROW(U1024))*(U$2:U$1073&lt;&gt;""))),"")</f>
        <v>295.52900390692832</v>
      </c>
    </row>
    <row r="1025" spans="1:27" x14ac:dyDescent="0.2">
      <c r="A1025" s="7" t="s">
        <v>2324</v>
      </c>
      <c r="B1025" t="str">
        <f t="shared" si="167"/>
        <v>ETLN IV кв. 2010</v>
      </c>
      <c r="C1025">
        <v>2010</v>
      </c>
      <c r="D1025">
        <f>SUMIFS(Дивиденды!$C:$C,Дивиденды!$A:$A,A1025,Дивиденды!$I:$I,C1025)</f>
        <v>0</v>
      </c>
      <c r="E1025">
        <v>8</v>
      </c>
      <c r="F1025">
        <f t="shared" si="168"/>
        <v>0</v>
      </c>
      <c r="G1025">
        <f t="shared" si="169"/>
        <v>5</v>
      </c>
      <c r="H1025">
        <f t="shared" si="170"/>
        <v>0</v>
      </c>
      <c r="I1025">
        <f t="shared" si="177"/>
        <v>0.33333333333333331</v>
      </c>
      <c r="J1025" t="str">
        <f t="shared" si="171"/>
        <v/>
      </c>
      <c r="K1025" t="str">
        <f t="shared" si="175"/>
        <v/>
      </c>
      <c r="L1025" t="str">
        <f t="shared" si="172"/>
        <v/>
      </c>
      <c r="M1025" t="str">
        <f t="shared" si="176"/>
        <v/>
      </c>
      <c r="N1025" t="str">
        <f t="shared" si="173"/>
        <v/>
      </c>
      <c r="O1025" t="str">
        <f t="shared" si="174"/>
        <v/>
      </c>
      <c r="P1025" t="str">
        <f>IFERROR(LN('Дивиденды по годам'!I1025),"")</f>
        <v/>
      </c>
      <c r="Q1025" t="str">
        <f>IFERROR('Дивиденды по годам'!G1025/'Дивиденды по годам'!I1025, "")</f>
        <v/>
      </c>
      <c r="R1025" t="str">
        <f>IFERROR(IF(AND('Дивиденды по годам'!N1025&lt;&gt;"",'Дивиденды по годам'!U1025&lt;&gt;"",'Дивиденды по годам'!U1025&lt;&gt;0),'Дивиденды по годам'!N1025/'Дивиденды по годам'!U1025-1,""),"")</f>
        <v/>
      </c>
      <c r="S1025" t="str">
        <f>IFERROR(IF(AND('Дивиденды по годам'!L1025&lt;&gt;"",'Дивиденды по годам'!I1025&lt;&gt;"",'Дивиденды по годам'!J1025&lt;&gt;"",'Дивиденды по годам'!K1025&lt;&gt;"",('Дивиденды по годам'!I1025-'Дивиденды по годам'!J1025-'Дивиденды по годам'!K1025)&lt;&gt;0),'Дивиденды по годам'!L1025/('Дивиденды по годам'!I1025-'Дивиденды по годам'!J1025-'Дивиденды по годам'!K1025),""),"")</f>
        <v/>
      </c>
      <c r="T1025" t="str">
        <f>IFERROR(IF(AND('Дивиденды по годам'!Q1025&lt;&gt;"",'Дивиденды по годам'!I1025&lt;&gt;"",'Дивиденды по годам'!V1025&lt;&gt;"",('Дивиденды по годам'!I1025+'Дивиденды по годам'!V1025)&lt;&gt;0),'Дивиденды по годам'!Q1025/(('Дивиденды по годам'!I1025+'Дивиденды по годам'!V1025)/2),""),"")</f>
        <v/>
      </c>
      <c r="U1025" t="str">
        <f>IFERROR(IF(AND('Дивиденды по годам'!J1025&lt;&gt;"",'Дивиденды по годам'!K1025&lt;&gt;"",'Дивиденды по годам'!M1025&lt;&gt;"",'Дивиденды по годам'!M1025&lt;&gt;0),('Дивиденды по годам'!J1025+'Дивиденды по годам'!K1025)/'Дивиденды по годам'!M1025,""),"")</f>
        <v/>
      </c>
      <c r="V1025" t="str" cm="1">
        <f t="array" ref="V1025">IFERROR(AVERAGE(_xlfn._xlws.FILTER(P$2:P$1073,($C$2:$C$1073=$C1025)*($E$2:$E$1073=$E1025)*(ROW(P$2:P$1073)&lt;&gt;ROW(P1025))*(P$2:P$1073&lt;&gt;""))),"")</f>
        <v/>
      </c>
      <c r="W1025" t="str" cm="1">
        <f t="array" ref="W1025">IFERROR(AVERAGE(_xlfn._xlws.FILTER(Q$2:Q$1073,($C$2:$C$1073=$C1025)*($E$2:$E$1073=$E1025)*(ROW(Q$2:Q$1073)&lt;&gt;ROW(Q1025))*(Q$2:Q$1073&lt;&gt;""))),"")</f>
        <v/>
      </c>
      <c r="X1025" t="str" cm="1">
        <f t="array" ref="X1025">IFERROR(AVERAGE(_xlfn._xlws.FILTER(R$2:R$1073,($C$2:$C$1073=$C1025)*($E$2:$E$1073=$E1025)*(ROW(R$2:R$1073)&lt;&gt;ROW(R1025))*(R$2:R$1073&lt;&gt;""))),"")</f>
        <v/>
      </c>
      <c r="Y1025" t="str" cm="1">
        <f t="array" ref="Y1025">IFERROR(AVERAGE(_xlfn._xlws.FILTER(S$2:S$1073,($C$2:$C$1073=$C1025)*($E$2:$E$1073=$E1025)*(ROW(S$2:S$1073)&lt;&gt;ROW(S1025))*(S$2:S$1073&lt;&gt;""))),"")</f>
        <v/>
      </c>
      <c r="Z1025" t="str" cm="1">
        <f t="array" ref="Z1025">IFERROR(AVERAGE(_xlfn._xlws.FILTER(T$2:T$1073,($C$2:$C$1073=$C1025)*($E$2:$E$1073=$E1025)*(ROW(T$2:T$1073)&lt;&gt;ROW(T1025))*(T$2:T$1073&lt;&gt;""))),"")</f>
        <v/>
      </c>
      <c r="AA1025" t="str" cm="1">
        <f t="array" ref="AA1025">IFERROR(AVERAGE(_xlfn._xlws.FILTER(U$2:U$1073,($C$2:$C$1073=$C1025)*($E$2:$E$1073=$E1025)*(ROW(U$2:U$1073)&lt;&gt;ROW(U1025))*(U$2:U$1073&lt;&gt;""))),"")</f>
        <v/>
      </c>
    </row>
    <row r="1026" spans="1:27" x14ac:dyDescent="0.2">
      <c r="A1026" s="7" t="s">
        <v>2306</v>
      </c>
      <c r="B1026" t="str">
        <f t="shared" si="167"/>
        <v>LSRG IV кв. 2025</v>
      </c>
      <c r="C1026">
        <v>2025</v>
      </c>
      <c r="D1026">
        <f>SUMIFS(Дивиденды!$C:$C,Дивиденды!$A:$A,A1026,Дивиденды!$I:$I,C1026)</f>
        <v>78</v>
      </c>
      <c r="E1026">
        <v>8</v>
      </c>
      <c r="F1026">
        <f t="shared" si="168"/>
        <v>78</v>
      </c>
      <c r="G1026">
        <f t="shared" si="169"/>
        <v>0</v>
      </c>
      <c r="H1026">
        <f t="shared" si="170"/>
        <v>1</v>
      </c>
      <c r="I1026">
        <f t="shared" si="177"/>
        <v>0</v>
      </c>
      <c r="J1026">
        <f t="shared" si="171"/>
        <v>1</v>
      </c>
      <c r="K1026">
        <f t="shared" si="175"/>
        <v>0</v>
      </c>
      <c r="L1026">
        <f t="shared" si="172"/>
        <v>1</v>
      </c>
      <c r="M1026">
        <f t="shared" si="176"/>
        <v>0</v>
      </c>
      <c r="N1026">
        <f t="shared" si="173"/>
        <v>0</v>
      </c>
      <c r="O1026">
        <f t="shared" si="174"/>
        <v>0</v>
      </c>
      <c r="P1026" t="str">
        <f>IFERROR(LN('Дивиденды по годам'!I1026),"")</f>
        <v/>
      </c>
      <c r="Q1026" t="str">
        <f>IFERROR('Дивиденды по годам'!G1026/'Дивиденды по годам'!I1026, "")</f>
        <v/>
      </c>
      <c r="R1026" t="str">
        <f>IFERROR(IF(AND('Дивиденды по годам'!N1026&lt;&gt;"",'Дивиденды по годам'!U1026&lt;&gt;"",'Дивиденды по годам'!U1026&lt;&gt;0),'Дивиденды по годам'!N1026/'Дивиденды по годам'!U1026-1,""),"")</f>
        <v/>
      </c>
      <c r="S1026" t="str">
        <f>IFERROR(IF(AND('Дивиденды по годам'!L1026&lt;&gt;"",'Дивиденды по годам'!I1026&lt;&gt;"",'Дивиденды по годам'!J1026&lt;&gt;"",'Дивиденды по годам'!K1026&lt;&gt;"",('Дивиденды по годам'!I1026-'Дивиденды по годам'!J1026-'Дивиденды по годам'!K1026)&lt;&gt;0),'Дивиденды по годам'!L1026/('Дивиденды по годам'!I1026-'Дивиденды по годам'!J1026-'Дивиденды по годам'!K1026),""),"")</f>
        <v/>
      </c>
      <c r="T1026" t="str">
        <f>IFERROR(IF(AND('Дивиденды по годам'!Q1026&lt;&gt;"",'Дивиденды по годам'!I1026&lt;&gt;"",'Дивиденды по годам'!V1026&lt;&gt;"",('Дивиденды по годам'!I1026+'Дивиденды по годам'!V1026)&lt;&gt;0),'Дивиденды по годам'!Q1026/(('Дивиденды по годам'!I1026+'Дивиденды по годам'!V1026)/2),""),"")</f>
        <v/>
      </c>
      <c r="U1026" t="str">
        <f>IFERROR(IF(AND('Дивиденды по годам'!J1026&lt;&gt;"",'Дивиденды по годам'!K1026&lt;&gt;"",'Дивиденды по годам'!M1026&lt;&gt;"",'Дивиденды по годам'!M1026&lt;&gt;0),('Дивиденды по годам'!J1026+'Дивиденды по годам'!K1026)/'Дивиденды по годам'!M1026,""),"")</f>
        <v/>
      </c>
      <c r="V1026" t="str" cm="1">
        <f t="array" ref="V1026">IFERROR(AVERAGE(_xlfn._xlws.FILTER(P$2:P$1073,($C$2:$C$1073=$C1026)*($E$2:$E$1073=$E1026)*(ROW(P$2:P$1073)&lt;&gt;ROW(P1026))*(P$2:P$1073&lt;&gt;""))),"")</f>
        <v/>
      </c>
      <c r="W1026" t="str" cm="1">
        <f t="array" ref="W1026">IFERROR(AVERAGE(_xlfn._xlws.FILTER(Q$2:Q$1073,($C$2:$C$1073=$C1026)*($E$2:$E$1073=$E1026)*(ROW(Q$2:Q$1073)&lt;&gt;ROW(Q1026))*(Q$2:Q$1073&lt;&gt;""))),"")</f>
        <v/>
      </c>
      <c r="X1026" t="str" cm="1">
        <f t="array" ref="X1026">IFERROR(AVERAGE(_xlfn._xlws.FILTER(R$2:R$1073,($C$2:$C$1073=$C1026)*($E$2:$E$1073=$E1026)*(ROW(R$2:R$1073)&lt;&gt;ROW(R1026))*(R$2:R$1073&lt;&gt;""))),"")</f>
        <v/>
      </c>
      <c r="Y1026" t="str" cm="1">
        <f t="array" ref="Y1026">IFERROR(AVERAGE(_xlfn._xlws.FILTER(S$2:S$1073,($C$2:$C$1073=$C1026)*($E$2:$E$1073=$E1026)*(ROW(S$2:S$1073)&lt;&gt;ROW(S1026))*(S$2:S$1073&lt;&gt;""))),"")</f>
        <v/>
      </c>
      <c r="Z1026" t="str" cm="1">
        <f t="array" ref="Z1026">IFERROR(AVERAGE(_xlfn._xlws.FILTER(T$2:T$1073,($C$2:$C$1073=$C1026)*($E$2:$E$1073=$E1026)*(ROW(T$2:T$1073)&lt;&gt;ROW(T1026))*(T$2:T$1073&lt;&gt;""))),"")</f>
        <v/>
      </c>
      <c r="AA1026" t="str" cm="1">
        <f t="array" ref="AA1026">IFERROR(AVERAGE(_xlfn._xlws.FILTER(U$2:U$1073,($C$2:$C$1073=$C1026)*($E$2:$E$1073=$E1026)*(ROW(U$2:U$1073)&lt;&gt;ROW(U1026))*(U$2:U$1073&lt;&gt;""))),"")</f>
        <v/>
      </c>
    </row>
    <row r="1027" spans="1:27" x14ac:dyDescent="0.2">
      <c r="A1027" s="7" t="s">
        <v>2306</v>
      </c>
      <c r="B1027" t="str">
        <f t="shared" ref="B1027:B1073" si="178">A1027&amp;" "&amp;
"IV"
&amp;" кв. "&amp;C1027</f>
        <v>LSRG IV кв. 2024</v>
      </c>
      <c r="C1027">
        <v>2024</v>
      </c>
      <c r="D1027">
        <f>SUMIFS(Дивиденды!$C:$C,Дивиденды!$A:$A,A1027,Дивиденды!$I:$I,C1027)</f>
        <v>0</v>
      </c>
      <c r="E1027">
        <v>8</v>
      </c>
      <c r="F1027">
        <f t="shared" ref="F1027:F1073" si="179">D1027</f>
        <v>0</v>
      </c>
      <c r="G1027">
        <f t="shared" ref="G1027:G1073" si="180">AVERAGEIFS($D:$D,$E:$E,E1027,$C:$C,C1027,$A:$A,"&lt;&gt;"&amp;A1027)</f>
        <v>0</v>
      </c>
      <c r="H1027">
        <f t="shared" ref="H1027:H1073" si="181">IF(D1027&gt;0,1,0)</f>
        <v>0</v>
      </c>
      <c r="I1027">
        <f t="shared" si="177"/>
        <v>0</v>
      </c>
      <c r="J1027">
        <f t="shared" ref="J1027:J1073" si="182">IF(A1028&lt;&gt;A1027,"",IF(D1027=D1028,0,IF(AND(D1028=0,D1027&lt;&gt;0), 1,(D1027-D1028)/D1028)))</f>
        <v>-1</v>
      </c>
      <c r="K1027">
        <f t="shared" si="175"/>
        <v>0</v>
      </c>
      <c r="L1027">
        <f t="shared" ref="L1027:L1073" si="183">IF(J1027&lt;&gt;"",IF(J1027&gt;0,1,0),"")</f>
        <v>0</v>
      </c>
      <c r="M1027">
        <f t="shared" si="176"/>
        <v>0</v>
      </c>
      <c r="N1027">
        <f t="shared" ref="N1027:N1073" si="184">IF(J1027&lt;&gt;"",IF(J1027&lt;0,1,0),"")</f>
        <v>1</v>
      </c>
      <c r="O1027">
        <f t="shared" ref="O1027:O1073" si="185">IFERROR(AVERAGEIFS($N:$N,$E:$E,E1027,$C:$C,C1027,$A:$A,"&lt;&gt;"&amp;A1027),"")</f>
        <v>0</v>
      </c>
      <c r="P1027">
        <f>IFERROR(LN('Дивиденды по годам'!I1027),"")</f>
        <v>27.030855952558909</v>
      </c>
      <c r="Q1027">
        <f>IFERROR('Дивиденды по годам'!G1027/'Дивиденды по годам'!I1027, "")</f>
        <v>0.10228877699231485</v>
      </c>
      <c r="R1027">
        <f>IFERROR(IF(AND('Дивиденды по годам'!N1027&lt;&gt;"",'Дивиденды по годам'!U1027&lt;&gt;"",'Дивиденды по годам'!U1027&lt;&gt;0),'Дивиденды по годам'!N1027/'Дивиденды по годам'!U1027-1,""),"")</f>
        <v>1.7134572294714712E-2</v>
      </c>
      <c r="S1027">
        <f>IFERROR(IF(AND('Дивиденды по годам'!L1027&lt;&gt;"",'Дивиденды по годам'!I1027&lt;&gt;"",'Дивиденды по годам'!J1027&lt;&gt;"",'Дивиденды по годам'!K1027&lt;&gt;"",('Дивиденды по годам'!I1027-'Дивиденды по годам'!J1027-'Дивиденды по годам'!K1027)&lt;&gt;0),'Дивиденды по годам'!L1027/('Дивиденды по годам'!I1027-'Дивиденды по годам'!J1027-'Дивиденды по годам'!K1027),""),"")</f>
        <v>0.67582151603166463</v>
      </c>
      <c r="T1027">
        <f>IFERROR(IF(AND('Дивиденды по годам'!Q1027&lt;&gt;"",'Дивиденды по годам'!I1027&lt;&gt;"",'Дивиденды по годам'!V1027&lt;&gt;"",('Дивиденды по годам'!I1027+'Дивиденды по годам'!V1027)&lt;&gt;0),'Дивиденды по годам'!Q1027/(('Дивиденды по годам'!I1027+'Дивиденды по годам'!V1027)/2),""),"")</f>
        <v>5.5837910344598674E-2</v>
      </c>
      <c r="U1027">
        <f>IFERROR(IF(AND('Дивиденды по годам'!J1027&lt;&gt;"",'Дивиденды по годам'!K1027&lt;&gt;"",'Дивиденды по годам'!M1027&lt;&gt;"",'Дивиденды по годам'!M1027&lt;&gt;0),('Дивиденды по годам'!J1027+'Дивиденды по годам'!K1027)/'Дивиденды по годам'!M1027,""),"")</f>
        <v>2.9062660174269603</v>
      </c>
      <c r="V1027" cm="1">
        <f t="array" ref="V1027">IFERROR(AVERAGE(_xlfn._xlws.FILTER(P$2:P$1073,($C$2:$C$1073=$C1027)*($E$2:$E$1073=$E1027)*(ROW(P$2:P$1073)&lt;&gt;ROW(P1027))*(P$2:P$1073&lt;&gt;""))),"")</f>
        <v>27.380099874426254</v>
      </c>
      <c r="W1027" cm="1">
        <f t="array" ref="W1027">IFERROR(AVERAGE(_xlfn._xlws.FILTER(Q$2:Q$1073,($C$2:$C$1073=$C1027)*($E$2:$E$1073=$E1027)*(ROW(Q$2:Q$1073)&lt;&gt;ROW(Q1027))*(Q$2:Q$1073&lt;&gt;""))),"")</f>
        <v>2.4580242112060741E-2</v>
      </c>
      <c r="X1027" cm="1">
        <f t="array" ref="X1027">IFERROR(AVERAGE(_xlfn._xlws.FILTER(R$2:R$1073,($C$2:$C$1073=$C1027)*($E$2:$E$1073=$E1027)*(ROW(R$2:R$1073)&lt;&gt;ROW(R1027))*(R$2:R$1073&lt;&gt;""))),"")</f>
        <v>0.31732965578440031</v>
      </c>
      <c r="Y1027" cm="1">
        <f t="array" ref="Y1027">IFERROR(AVERAGE(_xlfn._xlws.FILTER(S$2:S$1073,($C$2:$C$1073=$C1027)*($E$2:$E$1073=$E1027)*(ROW(S$2:S$1073)&lt;&gt;ROW(S1027))*(S$2:S$1073&lt;&gt;""))),"")</f>
        <v>0.68383133791606987</v>
      </c>
      <c r="Z1027" cm="1">
        <f t="array" ref="Z1027">IFERROR(AVERAGE(_xlfn._xlws.FILTER(T$2:T$1073,($C$2:$C$1073=$C1027)*($E$2:$E$1073=$E1027)*(ROW(T$2:T$1073)&lt;&gt;ROW(T1027))*(T$2:T$1073&lt;&gt;""))),"")</f>
        <v>1.7627316761665793E-3</v>
      </c>
      <c r="AA1027" cm="1">
        <f t="array" ref="AA1027">IFERROR(AVERAGE(_xlfn._xlws.FILTER(U$2:U$1073,($C$2:$C$1073=$C1027)*($E$2:$E$1073=$E1027)*(ROW(U$2:U$1073)&lt;&gt;ROW(U1027))*(U$2:U$1073&lt;&gt;""))),"")</f>
        <v>8.0700867912980261</v>
      </c>
    </row>
    <row r="1028" spans="1:27" x14ac:dyDescent="0.2">
      <c r="A1028" s="7" t="s">
        <v>2306</v>
      </c>
      <c r="B1028" t="str">
        <f t="shared" si="178"/>
        <v>LSRG IV кв. 2023</v>
      </c>
      <c r="C1028">
        <v>2023</v>
      </c>
      <c r="D1028">
        <f>SUMIFS(Дивиденды!$C:$C,Дивиденды!$A:$A,A1028,Дивиденды!$I:$I,C1028)</f>
        <v>100</v>
      </c>
      <c r="E1028">
        <v>8</v>
      </c>
      <c r="F1028">
        <f t="shared" si="179"/>
        <v>100</v>
      </c>
      <c r="G1028">
        <f t="shared" si="180"/>
        <v>0</v>
      </c>
      <c r="H1028">
        <f t="shared" si="181"/>
        <v>1</v>
      </c>
      <c r="I1028">
        <f t="shared" si="177"/>
        <v>0</v>
      </c>
      <c r="J1028">
        <f t="shared" si="182"/>
        <v>0.28205128205128205</v>
      </c>
      <c r="K1028">
        <f t="shared" ref="K1028:K1073" si="186">IFERROR(AVERAGEIFS($J:$J,$E:$E,E1028,$C:$C,C1028,$A:$A,"&lt;&gt;"&amp;A1028),"")</f>
        <v>-0.33333333333333331</v>
      </c>
      <c r="L1028">
        <f t="shared" si="183"/>
        <v>1</v>
      </c>
      <c r="M1028">
        <f t="shared" si="176"/>
        <v>0</v>
      </c>
      <c r="N1028">
        <f t="shared" si="184"/>
        <v>0</v>
      </c>
      <c r="O1028">
        <f t="shared" si="185"/>
        <v>0.33333333333333331</v>
      </c>
      <c r="P1028">
        <f>IFERROR(LN('Дивиденды по годам'!I1028),"")</f>
        <v>26.887845104368061</v>
      </c>
      <c r="Q1028">
        <f>IFERROR('Дивиденды по годам'!G1028/'Дивиденды по годам'!I1028, "")</f>
        <v>7.9596132051867011E-2</v>
      </c>
      <c r="R1028">
        <f>IFERROR(IF(AND('Дивиденды по годам'!N1028&lt;&gt;"",'Дивиденды по годам'!U1028&lt;&gt;"",'Дивиденды по годам'!U1028&lt;&gt;0),'Дивиденды по годам'!N1028/'Дивиденды по годам'!U1028-1,""),"")</f>
        <v>0.68404433561025901</v>
      </c>
      <c r="S1028">
        <f>IFERROR(IF(AND('Дивиденды по годам'!L1028&lt;&gt;"",'Дивиденды по годам'!I1028&lt;&gt;"",'Дивиденды по годам'!J1028&lt;&gt;"",'Дивиденды по годам'!K1028&lt;&gt;"",('Дивиденды по годам'!I1028-'Дивиденды по годам'!J1028-'Дивиденды по годам'!K1028)&lt;&gt;0),'Дивиденды по годам'!L1028/('Дивиденды по годам'!I1028-'Дивиденды по годам'!J1028-'Дивиденды по годам'!K1028),""),"")</f>
        <v>0.65401014544045033</v>
      </c>
      <c r="T1028">
        <f>IFERROR(IF(AND('Дивиденды по годам'!Q1028&lt;&gt;"",'Дивиденды по годам'!I1028&lt;&gt;"",'Дивиденды по годам'!V1028&lt;&gt;"",('Дивиденды по годам'!I1028+'Дивиденды по годам'!V1028)&lt;&gt;0),'Дивиденды по годам'!Q1028/(('Дивиденды по годам'!I1028+'Дивиденды по годам'!V1028)/2),""),"")</f>
        <v>6.3562367615777673E-2</v>
      </c>
      <c r="U1028">
        <f>IFERROR(IF(AND('Дивиденды по годам'!J1028&lt;&gt;"",'Дивиденды по годам'!K1028&lt;&gt;"",'Дивиденды по годам'!M1028&lt;&gt;"",'Дивиденды по годам'!M1028&lt;&gt;0),('Дивиденды по годам'!J1028+'Дивиденды по годам'!K1028)/'Дивиденды по годам'!M1028,""),"")</f>
        <v>3.0076259332288453</v>
      </c>
      <c r="V1028" cm="1">
        <f t="array" ref="V1028">IFERROR(AVERAGE(_xlfn._xlws.FILTER(P$2:P$1073,($C$2:$C$1073=$C1028)*($E$2:$E$1073=$E1028)*(ROW(P$2:P$1073)&lt;&gt;ROW(P1028))*(P$2:P$1073&lt;&gt;""))),"")</f>
        <v>27.201867100056727</v>
      </c>
      <c r="W1028" cm="1">
        <f t="array" ref="W1028">IFERROR(AVERAGE(_xlfn._xlws.FILTER(Q$2:Q$1073,($C$2:$C$1073=$C1028)*($E$2:$E$1073=$E1028)*(ROW(Q$2:Q$1073)&lt;&gt;ROW(Q1028))*(Q$2:Q$1073&lt;&gt;""))),"")</f>
        <v>2.3596482210733391E-2</v>
      </c>
      <c r="X1028" cm="1">
        <f t="array" ref="X1028">IFERROR(AVERAGE(_xlfn._xlws.FILTER(R$2:R$1073,($C$2:$C$1073=$C1028)*($E$2:$E$1073=$E1028)*(ROW(R$2:R$1073)&lt;&gt;ROW(R1028))*(R$2:R$1073&lt;&gt;""))),"")</f>
        <v>0.29473467130923958</v>
      </c>
      <c r="Y1028" cm="1">
        <f t="array" ref="Y1028">IFERROR(AVERAGE(_xlfn._xlws.FILTER(S$2:S$1073,($C$2:$C$1073=$C1028)*($E$2:$E$1073=$E1028)*(ROW(S$2:S$1073)&lt;&gt;ROW(S1028))*(S$2:S$1073&lt;&gt;""))),"")</f>
        <v>0.66593650872848109</v>
      </c>
      <c r="Z1028" cm="1">
        <f t="array" ref="Z1028">IFERROR(AVERAGE(_xlfn._xlws.FILTER(T$2:T$1073,($C$2:$C$1073=$C1028)*($E$2:$E$1073=$E1028)*(ROW(T$2:T$1073)&lt;&gt;ROW(T1028))*(T$2:T$1073&lt;&gt;""))),"")</f>
        <v>1.5955984530977529E-2</v>
      </c>
      <c r="AA1028" cm="1">
        <f t="array" ref="AA1028">IFERROR(AVERAGE(_xlfn._xlws.FILTER(U$2:U$1073,($C$2:$C$1073=$C1028)*($E$2:$E$1073=$E1028)*(ROW(U$2:U$1073)&lt;&gt;ROW(U1028))*(U$2:U$1073&lt;&gt;""))),"")</f>
        <v>8.4080377410815768</v>
      </c>
    </row>
    <row r="1029" spans="1:27" x14ac:dyDescent="0.2">
      <c r="A1029" s="7" t="s">
        <v>2306</v>
      </c>
      <c r="B1029" t="str">
        <f t="shared" si="178"/>
        <v>LSRG IV кв. 2022</v>
      </c>
      <c r="C1029">
        <v>2022</v>
      </c>
      <c r="D1029">
        <f>SUMIFS(Дивиденды!$C:$C,Дивиденды!$A:$A,A1029,Дивиденды!$I:$I,C1029)</f>
        <v>78</v>
      </c>
      <c r="E1029">
        <v>8</v>
      </c>
      <c r="F1029">
        <f t="shared" si="179"/>
        <v>78</v>
      </c>
      <c r="G1029">
        <f t="shared" si="180"/>
        <v>27.333333333333332</v>
      </c>
      <c r="H1029">
        <f t="shared" si="181"/>
        <v>1</v>
      </c>
      <c r="I1029">
        <f t="shared" si="177"/>
        <v>0.33333333333333331</v>
      </c>
      <c r="J1029">
        <f t="shared" si="182"/>
        <v>1</v>
      </c>
      <c r="K1029">
        <f t="shared" si="186"/>
        <v>0</v>
      </c>
      <c r="L1029">
        <f t="shared" si="183"/>
        <v>1</v>
      </c>
      <c r="M1029">
        <f t="shared" si="176"/>
        <v>0.33333333333333331</v>
      </c>
      <c r="N1029">
        <f t="shared" si="184"/>
        <v>0</v>
      </c>
      <c r="O1029">
        <f t="shared" si="185"/>
        <v>0.33333333333333331</v>
      </c>
      <c r="P1029">
        <f>IFERROR(LN('Дивиденды по годам'!I1029),"")</f>
        <v>26.754470193223252</v>
      </c>
      <c r="Q1029">
        <f>IFERROR('Дивиденды по годам'!G1029/'Дивиденды по годам'!I1029, "")</f>
        <v>7.4257116497203374E-2</v>
      </c>
      <c r="R1029">
        <f>IFERROR(IF(AND('Дивиденды по годам'!N1029&lt;&gt;"",'Дивиденды по годам'!U1029&lt;&gt;"",'Дивиденды по годам'!U1029&lt;&gt;0),'Дивиденды по годам'!N1029/'Дивиденды по годам'!U1029-1,""),"")</f>
        <v>7.0083898402482525E-2</v>
      </c>
      <c r="S1029">
        <f>IFERROR(IF(AND('Дивиденды по годам'!L1029&lt;&gt;"",'Дивиденды по годам'!I1029&lt;&gt;"",'Дивиденды по годам'!J1029&lt;&gt;"",'Дивиденды по годам'!K1029&lt;&gt;"",('Дивиденды по годам'!I1029-'Дивиденды по годам'!J1029-'Дивиденды по годам'!K1029)&lt;&gt;0),'Дивиденды по годам'!L1029/('Дивиденды по годам'!I1029-'Дивиденды по годам'!J1029-'Дивиденды по годам'!K1029),""),"")</f>
        <v>0.77348374500263428</v>
      </c>
      <c r="T1029">
        <f>IFERROR(IF(AND('Дивиденды по годам'!Q1029&lt;&gt;"",'Дивиденды по годам'!I1029&lt;&gt;"",'Дивиденды по годам'!V1029&lt;&gt;"",('Дивиденды по годам'!I1029+'Дивиденды по годам'!V1029)&lt;&gt;0),'Дивиденды по годам'!Q1029/(('Дивиденды по годам'!I1029+'Дивиденды по годам'!V1029)/2),""),"")</f>
        <v>3.4931746770323048E-2</v>
      </c>
      <c r="U1029">
        <f>IFERROR(IF(AND('Дивиденды по годам'!J1029&lt;&gt;"",'Дивиденды по годам'!K1029&lt;&gt;"",'Дивиденды по годам'!M1029&lt;&gt;"",'Дивиденды по годам'!M1029&lt;&gt;0),('Дивиденды по годам'!J1029+'Дивиденды по годам'!K1029)/'Дивиденды по годам'!M1029,""),"")</f>
        <v>3.2997076476482681</v>
      </c>
      <c r="V1029" cm="1">
        <f t="array" ref="V1029">IFERROR(AVERAGE(_xlfn._xlws.FILTER(P$2:P$1073,($C$2:$C$1073=$C1029)*($E$2:$E$1073=$E1029)*(ROW(P$2:P$1073)&lt;&gt;ROW(P1029))*(P$2:P$1073&lt;&gt;""))),"")</f>
        <v>26.487881142764707</v>
      </c>
      <c r="W1029" cm="1">
        <f t="array" ref="W1029">IFERROR(AVERAGE(_xlfn._xlws.FILTER(Q$2:Q$1073,($C$2:$C$1073=$C1029)*($E$2:$E$1073=$E1029)*(ROW(Q$2:Q$1073)&lt;&gt;ROW(Q1029))*(Q$2:Q$1073&lt;&gt;""))),"")</f>
        <v>1.1400493505953832E-2</v>
      </c>
      <c r="X1029" cm="1">
        <f t="array" ref="X1029">IFERROR(AVERAGE(_xlfn._xlws.FILTER(R$2:R$1073,($C$2:$C$1073=$C1029)*($E$2:$E$1073=$E1029)*(ROW(R$2:R$1073)&lt;&gt;ROW(R1029))*(R$2:R$1073&lt;&gt;""))),"")</f>
        <v>0.38795318037126175</v>
      </c>
      <c r="Y1029" cm="1">
        <f t="array" ref="Y1029">IFERROR(AVERAGE(_xlfn._xlws.FILTER(S$2:S$1073,($C$2:$C$1073=$C1029)*($E$2:$E$1073=$E1029)*(ROW(S$2:S$1073)&lt;&gt;ROW(S1029))*(S$2:S$1073&lt;&gt;""))),"")</f>
        <v>0.59755001698812626</v>
      </c>
      <c r="Z1029" cm="1">
        <f t="array" ref="Z1029">IFERROR(AVERAGE(_xlfn._xlws.FILTER(T$2:T$1073,($C$2:$C$1073=$C1029)*($E$2:$E$1073=$E1029)*(ROW(T$2:T$1073)&lt;&gt;ROW(T1029))*(T$2:T$1073&lt;&gt;""))),"")</f>
        <v>5.2426274355556648E-2</v>
      </c>
      <c r="AA1029" cm="1">
        <f t="array" ref="AA1029">IFERROR(AVERAGE(_xlfn._xlws.FILTER(U$2:U$1073,($C$2:$C$1073=$C1029)*($E$2:$E$1073=$E1029)*(ROW(U$2:U$1073)&lt;&gt;ROW(U1029))*(U$2:U$1073&lt;&gt;""))),"")</f>
        <v>8.2322266969586355</v>
      </c>
    </row>
    <row r="1030" spans="1:27" x14ac:dyDescent="0.2">
      <c r="A1030" s="7" t="s">
        <v>2306</v>
      </c>
      <c r="B1030" t="str">
        <f t="shared" si="178"/>
        <v>LSRG IV кв. 2021</v>
      </c>
      <c r="C1030">
        <v>2021</v>
      </c>
      <c r="D1030">
        <f>SUMIFS(Дивиденды!$C:$C,Дивиденды!$A:$A,A1030,Дивиденды!$I:$I,C1030)</f>
        <v>0</v>
      </c>
      <c r="E1030">
        <v>8</v>
      </c>
      <c r="F1030">
        <f t="shared" si="179"/>
        <v>0</v>
      </c>
      <c r="G1030">
        <f t="shared" si="180"/>
        <v>21.306666666666668</v>
      </c>
      <c r="H1030">
        <f t="shared" si="181"/>
        <v>0</v>
      </c>
      <c r="I1030">
        <f t="shared" si="177"/>
        <v>0.66666666666666663</v>
      </c>
      <c r="J1030">
        <f t="shared" si="182"/>
        <v>-1</v>
      </c>
      <c r="K1030">
        <f t="shared" si="186"/>
        <v>-0.16438154209052039</v>
      </c>
      <c r="L1030">
        <f t="shared" si="183"/>
        <v>0</v>
      </c>
      <c r="M1030">
        <f t="shared" si="176"/>
        <v>0</v>
      </c>
      <c r="N1030">
        <f t="shared" si="184"/>
        <v>1</v>
      </c>
      <c r="O1030">
        <f t="shared" si="185"/>
        <v>0.33333333333333331</v>
      </c>
      <c r="P1030">
        <f>IFERROR(LN('Дивиденды по годам'!I1030),"")</f>
        <v>26.577982395154933</v>
      </c>
      <c r="Q1030">
        <f>IFERROR('Дивиденды по годам'!G1030/'Дивиденды по годам'!I1030, "")</f>
        <v>7.7511780689987278E-2</v>
      </c>
      <c r="R1030">
        <f>IFERROR(IF(AND('Дивиденды по годам'!N1030&lt;&gt;"",'Дивиденды по годам'!U1030&lt;&gt;"",'Дивиденды по годам'!U1030&lt;&gt;0),'Дивиденды по годам'!N1030/'Дивиденды по годам'!U1030-1,""),"")</f>
        <v>0.10557212076034284</v>
      </c>
      <c r="S1030">
        <f>IFERROR(IF(AND('Дивиденды по годам'!L1030&lt;&gt;"",'Дивиденды по годам'!I1030&lt;&gt;"",'Дивиденды по годам'!J1030&lt;&gt;"",'Дивиденды по годам'!K1030&lt;&gt;"",('Дивиденды по годам'!I1030-'Дивиденды по годам'!J1030-'Дивиденды по годам'!K1030)&lt;&gt;0),'Дивиденды по годам'!L1030/('Дивиденды по годам'!I1030-'Дивиденды по годам'!J1030-'Дивиденды по годам'!K1030),""),"")</f>
        <v>0.67483092670444156</v>
      </c>
      <c r="T1030">
        <f>IFERROR(IF(AND('Дивиденды по годам'!Q1030&lt;&gt;"",'Дивиденды по годам'!I1030&lt;&gt;"",'Дивиденды по годам'!V1030&lt;&gt;"",('Дивиденды по годам'!I1030+'Дивиденды по годам'!V1030)&lt;&gt;0),'Дивиденды по годам'!Q1030/(('Дивиденды по годам'!I1030+'Дивиденды по годам'!V1030)/2),""),"")</f>
        <v>5.155231980686889E-2</v>
      </c>
      <c r="U1030">
        <f>IFERROR(IF(AND('Дивиденды по годам'!J1030&lt;&gt;"",'Дивиденды по годам'!K1030&lt;&gt;"",'Дивиденды по годам'!M1030&lt;&gt;"",'Дивиденды по годам'!M1030&lt;&gt;0),('Дивиденды по годам'!J1030+'Дивиденды по годам'!K1030)/'Дивиденды по годам'!M1030,""),"")</f>
        <v>2.7510724999193608</v>
      </c>
      <c r="V1030" cm="1">
        <f t="array" ref="V1030">IFERROR(AVERAGE(_xlfn._xlws.FILTER(P$2:P$1073,($C$2:$C$1073=$C1030)*($E$2:$E$1073=$E1030)*(ROW(P$2:P$1073)&lt;&gt;ROW(P1030))*(P$2:P$1073&lt;&gt;""))),"")</f>
        <v>26.624539877082416</v>
      </c>
      <c r="W1030" cm="1">
        <f t="array" ref="W1030">IFERROR(AVERAGE(_xlfn._xlws.FILTER(Q$2:Q$1073,($C$2:$C$1073=$C1030)*($E$2:$E$1073=$E1030)*(ROW(Q$2:Q$1073)&lt;&gt;ROW(Q1030))*(Q$2:Q$1073&lt;&gt;""))),"")</f>
        <v>1.721224326331872E-2</v>
      </c>
      <c r="X1030" cm="1">
        <f t="array" ref="X1030">IFERROR(AVERAGE(_xlfn._xlws.FILTER(R$2:R$1073,($C$2:$C$1073=$C1030)*($E$2:$E$1073=$E1030)*(ROW(R$2:R$1073)&lt;&gt;ROW(R1030))*(R$2:R$1073&lt;&gt;""))),"")</f>
        <v>0.31217736065492657</v>
      </c>
      <c r="Y1030" cm="1">
        <f t="array" ref="Y1030">IFERROR(AVERAGE(_xlfn._xlws.FILTER(S$2:S$1073,($C$2:$C$1073=$C1030)*($E$2:$E$1073=$E1030)*(ROW(S$2:S$1073)&lt;&gt;ROW(S1030))*(S$2:S$1073&lt;&gt;""))),"")</f>
        <v>0.63074934555223017</v>
      </c>
      <c r="Z1030" cm="1">
        <f t="array" ref="Z1030">IFERROR(AVERAGE(_xlfn._xlws.FILTER(T$2:T$1073,($C$2:$C$1073=$C1030)*($E$2:$E$1073=$E1030)*(ROW(T$2:T$1073)&lt;&gt;ROW(T1030))*(T$2:T$1073&lt;&gt;""))),"")</f>
        <v>6.3808017326036706E-2</v>
      </c>
      <c r="AA1030" cm="1">
        <f t="array" ref="AA1030">IFERROR(AVERAGE(_xlfn._xlws.FILTER(U$2:U$1073,($C$2:$C$1073=$C1030)*($E$2:$E$1073=$E1030)*(ROW(U$2:U$1073)&lt;&gt;ROW(U1030))*(U$2:U$1073&lt;&gt;""))),"")</f>
        <v>5.7756137855951275</v>
      </c>
    </row>
    <row r="1031" spans="1:27" x14ac:dyDescent="0.2">
      <c r="A1031" s="7" t="s">
        <v>2306</v>
      </c>
      <c r="B1031" t="str">
        <f t="shared" si="178"/>
        <v>LSRG IV кв. 2020</v>
      </c>
      <c r="C1031">
        <v>2020</v>
      </c>
      <c r="D1031">
        <f>SUMIFS(Дивиденды!$C:$C,Дивиденды!$A:$A,A1031,Дивиденды!$I:$I,C1031)</f>
        <v>59</v>
      </c>
      <c r="E1031">
        <v>8</v>
      </c>
      <c r="F1031">
        <f t="shared" si="179"/>
        <v>59</v>
      </c>
      <c r="G1031">
        <f t="shared" si="180"/>
        <v>28.74</v>
      </c>
      <c r="H1031">
        <f t="shared" si="181"/>
        <v>1</v>
      </c>
      <c r="I1031">
        <f t="shared" si="177"/>
        <v>0.66666666666666663</v>
      </c>
      <c r="J1031">
        <f t="shared" si="182"/>
        <v>0.96666666666666667</v>
      </c>
      <c r="K1031">
        <f t="shared" si="186"/>
        <v>0.66666666666666663</v>
      </c>
      <c r="L1031">
        <f t="shared" si="183"/>
        <v>1</v>
      </c>
      <c r="M1031">
        <f t="shared" si="176"/>
        <v>0.66666666666666663</v>
      </c>
      <c r="N1031">
        <f t="shared" si="184"/>
        <v>0</v>
      </c>
      <c r="O1031">
        <f t="shared" si="185"/>
        <v>0</v>
      </c>
      <c r="P1031">
        <f>IFERROR(LN('Дивиденды по годам'!I1031),"")</f>
        <v>26.366608047791196</v>
      </c>
      <c r="Q1031">
        <f>IFERROR('Дивиденды по годам'!G1031/'Дивиденды по годам'!I1031, "")</f>
        <v>7.5770613126538128E-2</v>
      </c>
      <c r="R1031">
        <f>IFERROR(IF(AND('Дивиденды по годам'!N1031&lt;&gt;"",'Дивиденды по годам'!U1031&lt;&gt;"",'Дивиденды по годам'!U1031&lt;&gt;0),'Дивиденды по годам'!N1031/'Дивиденды по годам'!U1031-1,""),"")</f>
        <v>6.8943660696499487E-2</v>
      </c>
      <c r="S1031">
        <f>IFERROR(IF(AND('Дивиденды по годам'!L1031&lt;&gt;"",'Дивиденды по годам'!I1031&lt;&gt;"",'Дивиденды по годам'!J1031&lt;&gt;"",'Дивиденды по годам'!K1031&lt;&gt;"",('Дивиденды по годам'!I1031-'Дивиденды по годам'!J1031-'Дивиденды по годам'!K1031)&lt;&gt;0),'Дивиденды по годам'!L1031/('Дивиденды по годам'!I1031-'Дивиденды по годам'!J1031-'Дивиденды по годам'!K1031),""),"")</f>
        <v>0.54576574219431362</v>
      </c>
      <c r="T1031">
        <f>IFERROR(IF(AND('Дивиденды по годам'!Q1031&lt;&gt;"",'Дивиденды по годам'!I1031&lt;&gt;"",'Дивиденды по годам'!V1031&lt;&gt;"",('Дивиденды по годам'!I1031+'Дивиденды по годам'!V1031)&lt;&gt;0),'Дивиденды по годам'!Q1031/(('Дивиденды по годам'!I1031+'Дивиденды по годам'!V1031)/2),""),"")</f>
        <v>4.3947168377042947E-2</v>
      </c>
      <c r="U1031">
        <f>IFERROR(IF(AND('Дивиденды по годам'!J1031&lt;&gt;"",'Дивиденды по годам'!K1031&lt;&gt;"",'Дивиденды по годам'!M1031&lt;&gt;"",'Дивиденды по годам'!M1031&lt;&gt;0),('Дивиденды по годам'!J1031+'Дивиденды по годам'!K1031)/'Дивиденды по годам'!M1031,""),"")</f>
        <v>2.0787218733647306</v>
      </c>
      <c r="V1031" cm="1">
        <f t="array" ref="V1031">IFERROR(AVERAGE(_xlfn._xlws.FILTER(P$2:P$1073,($C$2:$C$1073=$C1031)*($E$2:$E$1073=$E1031)*(ROW(P$2:P$1073)&lt;&gt;ROW(P1031))*(P$2:P$1073&lt;&gt;""))),"")</f>
        <v>26.146050581940344</v>
      </c>
      <c r="W1031" cm="1">
        <f t="array" ref="W1031">IFERROR(AVERAGE(_xlfn._xlws.FILTER(Q$2:Q$1073,($C$2:$C$1073=$C1031)*($E$2:$E$1073=$E1031)*(ROW(Q$2:Q$1073)&lt;&gt;ROW(Q1031))*(Q$2:Q$1073&lt;&gt;""))),"")</f>
        <v>2.8191403404070337E-2</v>
      </c>
      <c r="X1031" cm="1">
        <f t="array" ref="X1031">IFERROR(AVERAGE(_xlfn._xlws.FILTER(R$2:R$1073,($C$2:$C$1073=$C1031)*($E$2:$E$1073=$E1031)*(ROW(R$2:R$1073)&lt;&gt;ROW(R1031))*(R$2:R$1073&lt;&gt;""))),"")</f>
        <v>0.15468559776654697</v>
      </c>
      <c r="Y1031" cm="1">
        <f t="array" ref="Y1031">IFERROR(AVERAGE(_xlfn._xlws.FILTER(S$2:S$1073,($C$2:$C$1073=$C1031)*($E$2:$E$1073=$E1031)*(ROW(S$2:S$1073)&lt;&gt;ROW(S1031))*(S$2:S$1073&lt;&gt;""))),"")</f>
        <v>0.70364115077296008</v>
      </c>
      <c r="Z1031" cm="1">
        <f t="array" ref="Z1031">IFERROR(AVERAGE(_xlfn._xlws.FILTER(T$2:T$1073,($C$2:$C$1073=$C1031)*($E$2:$E$1073=$E1031)*(ROW(T$2:T$1073)&lt;&gt;ROW(T1031))*(T$2:T$1073&lt;&gt;""))),"")</f>
        <v>7.2296759428009436E-2</v>
      </c>
      <c r="AA1031" cm="1">
        <f t="array" ref="AA1031">IFERROR(AVERAGE(_xlfn._xlws.FILTER(U$2:U$1073,($C$2:$C$1073=$C1031)*($E$2:$E$1073=$E1031)*(ROW(U$2:U$1073)&lt;&gt;ROW(U1031))*(U$2:U$1073&lt;&gt;""))),"")</f>
        <v>4.5288125174680252</v>
      </c>
    </row>
    <row r="1032" spans="1:27" x14ac:dyDescent="0.2">
      <c r="A1032" s="7" t="s">
        <v>2306</v>
      </c>
      <c r="B1032" t="str">
        <f t="shared" si="178"/>
        <v>LSRG IV кв. 2019</v>
      </c>
      <c r="C1032">
        <v>2019</v>
      </c>
      <c r="D1032">
        <f>SUMIFS(Дивиденды!$C:$C,Дивиденды!$A:$A,A1032,Дивиденды!$I:$I,C1032)</f>
        <v>30</v>
      </c>
      <c r="E1032">
        <v>8</v>
      </c>
      <c r="F1032">
        <f t="shared" si="179"/>
        <v>30</v>
      </c>
      <c r="G1032">
        <f t="shared" si="180"/>
        <v>0</v>
      </c>
      <c r="H1032">
        <f t="shared" si="181"/>
        <v>1</v>
      </c>
      <c r="I1032">
        <f t="shared" si="177"/>
        <v>0</v>
      </c>
      <c r="J1032">
        <f t="shared" si="182"/>
        <v>-0.61538461538461542</v>
      </c>
      <c r="K1032">
        <f t="shared" si="186"/>
        <v>-0.33333333333333331</v>
      </c>
      <c r="L1032">
        <f t="shared" si="183"/>
        <v>0</v>
      </c>
      <c r="M1032">
        <f t="shared" si="176"/>
        <v>0</v>
      </c>
      <c r="N1032">
        <f t="shared" si="184"/>
        <v>1</v>
      </c>
      <c r="O1032">
        <f t="shared" si="185"/>
        <v>0.33333333333333331</v>
      </c>
      <c r="P1032">
        <f>IFERROR(LN('Дивиденды по годам'!I1032),"")</f>
        <v>26.302403034532919</v>
      </c>
      <c r="Q1032">
        <f>IFERROR('Дивиденды по годам'!G1032/'Дивиденды по годам'!I1032, "")</f>
        <v>8.6840127924846036E-2</v>
      </c>
      <c r="R1032">
        <f>IFERROR(IF(AND('Дивиденды по годам'!N1032&lt;&gt;"",'Дивиденды по годам'!U1032&lt;&gt;"",'Дивиденды по годам'!U1032&lt;&gt;0),'Дивиденды по годам'!N1032/'Дивиденды по годам'!U1032-1,""),"")</f>
        <v>-0.24551839099305894</v>
      </c>
      <c r="S1032">
        <f>IFERROR(IF(AND('Дивиденды по годам'!L1032&lt;&gt;"",'Дивиденды по годам'!I1032&lt;&gt;"",'Дивиденды по годам'!J1032&lt;&gt;"",'Дивиденды по годам'!K1032&lt;&gt;"",('Дивиденды по годам'!I1032-'Дивиденды по годам'!J1032-'Дивиденды по годам'!K1032)&lt;&gt;0),'Дивиденды по годам'!L1032/('Дивиденды по годам'!I1032-'Дивиденды по годам'!J1032-'Дивиденды по годам'!K1032),""),"")</f>
        <v>0.50474317721368134</v>
      </c>
      <c r="T1032">
        <f>IFERROR(IF(AND('Дивиденды по годам'!Q1032&lt;&gt;"",'Дивиденды по годам'!I1032&lt;&gt;"",'Дивиденды по годам'!V1032&lt;&gt;"",('Дивиденды по годам'!I1032+'Дивиденды по годам'!V1032)&lt;&gt;0),'Дивиденды по годам'!Q1032/(('Дивиденды по годам'!I1032+'Дивиденды по годам'!V1032)/2),""),"")</f>
        <v>2.8487898650362439E-2</v>
      </c>
      <c r="U1032">
        <f>IFERROR(IF(AND('Дивиденды по годам'!J1032&lt;&gt;"",'Дивиденды по годам'!K1032&lt;&gt;"",'Дивиденды по годам'!M1032&lt;&gt;"",'Дивиденды по годам'!M1032&lt;&gt;0),('Дивиденды по годам'!J1032+'Дивиденды по годам'!K1032)/'Дивиденды по годам'!M1032,""),"")</f>
        <v>2.1562745799070431</v>
      </c>
      <c r="V1032" cm="1">
        <f t="array" ref="V1032">IFERROR(AVERAGE(_xlfn._xlws.FILTER(P$2:P$1073,($C$2:$C$1073=$C1032)*($E$2:$E$1073=$E1032)*(ROW(P$2:P$1073)&lt;&gt;ROW(P1032))*(P$2:P$1073&lt;&gt;""))),"")</f>
        <v>25.944263990704712</v>
      </c>
      <c r="W1032" cm="1">
        <f t="array" ref="W1032">IFERROR(AVERAGE(_xlfn._xlws.FILTER(Q$2:Q$1073,($C$2:$C$1073=$C1032)*($E$2:$E$1073=$E1032)*(ROW(Q$2:Q$1073)&lt;&gt;ROW(Q1032))*(Q$2:Q$1073&lt;&gt;""))),"")</f>
        <v>3.4389354031888621E-2</v>
      </c>
      <c r="X1032" cm="1">
        <f t="array" ref="X1032">IFERROR(AVERAGE(_xlfn._xlws.FILTER(R$2:R$1073,($C$2:$C$1073=$C1032)*($E$2:$E$1073=$E1032)*(ROW(R$2:R$1073)&lt;&gt;ROW(R1032))*(R$2:R$1073&lt;&gt;""))),"")</f>
        <v>0.20961918643101538</v>
      </c>
      <c r="Y1032" cm="1">
        <f t="array" ref="Y1032">IFERROR(AVERAGE(_xlfn._xlws.FILTER(S$2:S$1073,($C$2:$C$1073=$C1032)*($E$2:$E$1073=$E1032)*(ROW(S$2:S$1073)&lt;&gt;ROW(S1032))*(S$2:S$1073&lt;&gt;""))),"")</f>
        <v>0.64720945085594517</v>
      </c>
      <c r="Z1032" cm="1">
        <f t="array" ref="Z1032">IFERROR(AVERAGE(_xlfn._xlws.FILTER(T$2:T$1073,($C$2:$C$1073=$C1032)*($E$2:$E$1073=$E1032)*(ROW(T$2:T$1073)&lt;&gt;ROW(T1032))*(T$2:T$1073&lt;&gt;""))),"")</f>
        <v>4.1008990625258736E-2</v>
      </c>
      <c r="AA1032" cm="1">
        <f t="array" ref="AA1032">IFERROR(AVERAGE(_xlfn._xlws.FILTER(U$2:U$1073,($C$2:$C$1073=$C1032)*($E$2:$E$1073=$E1032)*(ROW(U$2:U$1073)&lt;&gt;ROW(U1032))*(U$2:U$1073&lt;&gt;""))),"")</f>
        <v>6.1629059508812771</v>
      </c>
    </row>
    <row r="1033" spans="1:27" x14ac:dyDescent="0.2">
      <c r="A1033" s="7" t="s">
        <v>2306</v>
      </c>
      <c r="B1033" t="str">
        <f t="shared" si="178"/>
        <v>LSRG IV кв. 2018</v>
      </c>
      <c r="C1033">
        <v>2018</v>
      </c>
      <c r="D1033">
        <f>SUMIFS(Дивиденды!$C:$C,Дивиденды!$A:$A,A1033,Дивиденды!$I:$I,C1033)</f>
        <v>78</v>
      </c>
      <c r="E1033">
        <v>8</v>
      </c>
      <c r="F1033">
        <f t="shared" si="179"/>
        <v>78</v>
      </c>
      <c r="G1033">
        <f t="shared" si="180"/>
        <v>15.14</v>
      </c>
      <c r="H1033">
        <f t="shared" si="181"/>
        <v>1</v>
      </c>
      <c r="I1033">
        <f t="shared" si="177"/>
        <v>0.33333333333333331</v>
      </c>
      <c r="J1033">
        <f t="shared" si="182"/>
        <v>0</v>
      </c>
      <c r="K1033">
        <f t="shared" si="186"/>
        <v>0.33333333333333331</v>
      </c>
      <c r="L1033">
        <f t="shared" si="183"/>
        <v>0</v>
      </c>
      <c r="M1033">
        <f t="shared" si="176"/>
        <v>0.33333333333333331</v>
      </c>
      <c r="N1033">
        <f t="shared" si="184"/>
        <v>0</v>
      </c>
      <c r="O1033">
        <f t="shared" si="185"/>
        <v>0</v>
      </c>
      <c r="P1033">
        <f>IFERROR(LN('Дивиденды по годам'!I1033),"")</f>
        <v>26.282099607873459</v>
      </c>
      <c r="Q1033">
        <f>IFERROR('Дивиденды по годам'!G1033/'Дивиденды по годам'!I1033, "")</f>
        <v>9.1965937114673241E-2</v>
      </c>
      <c r="R1033">
        <f>IFERROR(IF(AND('Дивиденды по годам'!N1033&lt;&gt;"",'Дивиденды по годам'!U1033&lt;&gt;"",'Дивиденды по годам'!U1033&lt;&gt;0),'Дивиденды по годам'!N1033/'Дивиденды по годам'!U1033-1,""),"")</f>
        <v>5.6912212803442719E-2</v>
      </c>
      <c r="S1033">
        <f>IFERROR(IF(AND('Дивиденды по годам'!L1033&lt;&gt;"",'Дивиденды по годам'!I1033&lt;&gt;"",'Дивиденды по годам'!J1033&lt;&gt;"",'Дивиденды по годам'!K1033&lt;&gt;"",('Дивиденды по годам'!I1033-'Дивиденды по годам'!J1033-'Дивиденды по годам'!K1033)&lt;&gt;0),'Дивиденды по годам'!L1033/('Дивиденды по годам'!I1033-'Дивиденды по годам'!J1033-'Дивиденды по годам'!K1033),""),"")</f>
        <v>0.50651429113368818</v>
      </c>
      <c r="T1033">
        <f>IFERROR(IF(AND('Дивиденды по годам'!Q1033&lt;&gt;"",'Дивиденды по годам'!I1033&lt;&gt;"",'Дивиденды по годам'!V1033&lt;&gt;"",('Дивиденды по годам'!I1033+'Дивиденды по годам'!V1033)&lt;&gt;0),'Дивиденды по годам'!Q1033/(('Дивиденды по годам'!I1033+'Дивиденды по годам'!V1033)/2),""),"")</f>
        <v>6.3513555819923614E-2</v>
      </c>
      <c r="U1033">
        <f>IFERROR(IF(AND('Дивиденды по годам'!J1033&lt;&gt;"",'Дивиденды по годам'!K1033&lt;&gt;"",'Дивиденды по годам'!M1033&lt;&gt;"",'Дивиденды по годам'!M1033&lt;&gt;0),('Дивиденды по годам'!J1033+'Дивиденды по годам'!K1033)/'Дивиденды по годам'!M1033,""),"")</f>
        <v>2.0765947861961043</v>
      </c>
      <c r="V1033" cm="1">
        <f t="array" ref="V1033">IFERROR(AVERAGE(_xlfn._xlws.FILTER(P$2:P$1073,($C$2:$C$1073=$C1033)*($E$2:$E$1073=$E1033)*(ROW(P$2:P$1073)&lt;&gt;ROW(P1033))*(P$2:P$1073&lt;&gt;""))),"")</f>
        <v>25.681950819797336</v>
      </c>
      <c r="W1033" cm="1">
        <f t="array" ref="W1033">IFERROR(AVERAGE(_xlfn._xlws.FILTER(Q$2:Q$1073,($C$2:$C$1073=$C1033)*($E$2:$E$1073=$E1033)*(ROW(Q$2:Q$1073)&lt;&gt;ROW(Q1033))*(Q$2:Q$1073&lt;&gt;""))),"")</f>
        <v>3.3837274784235434E-2</v>
      </c>
      <c r="X1033" cm="1">
        <f t="array" ref="X1033">IFERROR(AVERAGE(_xlfn._xlws.FILTER(R$2:R$1073,($C$2:$C$1073=$C1033)*($E$2:$E$1073=$E1033)*(ROW(R$2:R$1073)&lt;&gt;ROW(R1033))*(R$2:R$1073&lt;&gt;""))),"")</f>
        <v>0.11723922584556008</v>
      </c>
      <c r="Y1033" cm="1">
        <f t="array" ref="Y1033">IFERROR(AVERAGE(_xlfn._xlws.FILTER(S$2:S$1073,($C$2:$C$1073=$C1033)*($E$2:$E$1073=$E1033)*(ROW(S$2:S$1073)&lt;&gt;ROW(S1033))*(S$2:S$1073&lt;&gt;""))),"")</f>
        <v>0.6646179806757101</v>
      </c>
      <c r="Z1033" cm="1">
        <f t="array" ref="Z1033">IFERROR(AVERAGE(_xlfn._xlws.FILTER(T$2:T$1073,($C$2:$C$1073=$C1033)*($E$2:$E$1073=$E1033)*(ROW(T$2:T$1073)&lt;&gt;ROW(T1033))*(T$2:T$1073&lt;&gt;""))),"")</f>
        <v>3.8250302384598145E-2</v>
      </c>
      <c r="AA1033" cm="1">
        <f t="array" ref="AA1033">IFERROR(AVERAGE(_xlfn._xlws.FILTER(U$2:U$1073,($C$2:$C$1073=$C1033)*($E$2:$E$1073=$E1033)*(ROW(U$2:U$1073)&lt;&gt;ROW(U1033))*(U$2:U$1073&lt;&gt;""))),"")</f>
        <v>4.7929288751124162</v>
      </c>
    </row>
    <row r="1034" spans="1:27" x14ac:dyDescent="0.2">
      <c r="A1034" s="7" t="s">
        <v>2306</v>
      </c>
      <c r="B1034" t="str">
        <f t="shared" si="178"/>
        <v>LSRG IV кв. 2017</v>
      </c>
      <c r="C1034">
        <v>2017</v>
      </c>
      <c r="D1034">
        <f>SUMIFS(Дивиденды!$C:$C,Дивиденды!$A:$A,A1034,Дивиденды!$I:$I,C1034)</f>
        <v>78</v>
      </c>
      <c r="E1034">
        <v>8</v>
      </c>
      <c r="F1034">
        <f t="shared" si="179"/>
        <v>78</v>
      </c>
      <c r="G1034">
        <f t="shared" si="180"/>
        <v>0</v>
      </c>
      <c r="H1034">
        <f t="shared" si="181"/>
        <v>1</v>
      </c>
      <c r="I1034">
        <f t="shared" si="177"/>
        <v>0</v>
      </c>
      <c r="J1034">
        <f t="shared" si="182"/>
        <v>0</v>
      </c>
      <c r="K1034">
        <f t="shared" si="186"/>
        <v>0</v>
      </c>
      <c r="L1034">
        <f t="shared" si="183"/>
        <v>0</v>
      </c>
      <c r="M1034">
        <f t="shared" si="176"/>
        <v>0</v>
      </c>
      <c r="N1034">
        <f t="shared" si="184"/>
        <v>0</v>
      </c>
      <c r="O1034">
        <f t="shared" si="185"/>
        <v>0</v>
      </c>
      <c r="P1034">
        <f>IFERROR(LN('Дивиденды по годам'!I1034),"")</f>
        <v>26.250915564557758</v>
      </c>
      <c r="Q1034">
        <f>IFERROR('Дивиденды по годам'!G1034/'Дивиденды по годам'!I1034, "")</f>
        <v>0.11242208370436331</v>
      </c>
      <c r="R1034">
        <f>IFERROR(IF(AND('Дивиденды по годам'!N1034&lt;&gt;"",'Дивиденды по годам'!U1034&lt;&gt;"",'Дивиденды по годам'!U1034&lt;&gt;0),'Дивиденды по годам'!N1034/'Дивиденды по годам'!U1034-1,""),"")</f>
        <v>0.41216657149849101</v>
      </c>
      <c r="S1034">
        <f>IFERROR(IF(AND('Дивиденды по годам'!L1034&lt;&gt;"",'Дивиденды по годам'!I1034&lt;&gt;"",'Дивиденды по годам'!J1034&lt;&gt;"",'Дивиденды по годам'!K1034&lt;&gt;"",('Дивиденды по годам'!I1034-'Дивиденды по годам'!J1034-'Дивиденды по годам'!K1034)&lt;&gt;0),'Дивиденды по годам'!L1034/('Дивиденды по годам'!I1034-'Дивиденды по годам'!J1034-'Дивиденды по годам'!K1034),""),"")</f>
        <v>0.44487636602350394</v>
      </c>
      <c r="T1034">
        <f>IFERROR(IF(AND('Дивиденды по годам'!Q1034&lt;&gt;"",'Дивиденды по годам'!I1034&lt;&gt;"",'Дивиденды по годам'!V1034&lt;&gt;"",('Дивиденды по годам'!I1034+'Дивиденды по годам'!V1034)&lt;&gt;0),'Дивиденды по годам'!Q1034/(('Дивиденды по годам'!I1034+'Дивиденды по годам'!V1034)/2),""),"")</f>
        <v>6.3922250952530554E-2</v>
      </c>
      <c r="U1034">
        <f>IFERROR(IF(AND('Дивиденды по годам'!J1034&lt;&gt;"",'Дивиденды по годам'!K1034&lt;&gt;"",'Дивиденды по годам'!M1034&lt;&gt;"",'Дивиденды по годам'!M1034&lt;&gt;0),('Дивиденды по годам'!J1034+'Дивиденды по годам'!K1034)/'Дивиденды по годам'!M1034,""),"")</f>
        <v>2.2379358725173448</v>
      </c>
      <c r="V1034" cm="1">
        <f t="array" ref="V1034">IFERROR(AVERAGE(_xlfn._xlws.FILTER(P$2:P$1073,($C$2:$C$1073=$C1034)*($E$2:$E$1073=$E1034)*(ROW(P$2:P$1073)&lt;&gt;ROW(P1034))*(P$2:P$1073&lt;&gt;""))),"")</f>
        <v>25.632630608061685</v>
      </c>
      <c r="W1034" cm="1">
        <f t="array" ref="W1034">IFERROR(AVERAGE(_xlfn._xlws.FILTER(Q$2:Q$1073,($C$2:$C$1073=$C1034)*($E$2:$E$1073=$E1034)*(ROW(Q$2:Q$1073)&lt;&gt;ROW(Q1034))*(Q$2:Q$1073&lt;&gt;""))),"")</f>
        <v>3.0213793254911327E-2</v>
      </c>
      <c r="X1034" cm="1">
        <f t="array" ref="X1034">IFERROR(AVERAGE(_xlfn._xlws.FILTER(R$2:R$1073,($C$2:$C$1073=$C1034)*($E$2:$E$1073=$E1034)*(ROW(R$2:R$1073)&lt;&gt;ROW(R1034))*(R$2:R$1073&lt;&gt;""))),"")</f>
        <v>1.3015525165150768</v>
      </c>
      <c r="Y1034" cm="1">
        <f t="array" ref="Y1034">IFERROR(AVERAGE(_xlfn._xlws.FILTER(S$2:S$1073,($C$2:$C$1073=$C1034)*($E$2:$E$1073=$E1034)*(ROW(S$2:S$1073)&lt;&gt;ROW(S1034))*(S$2:S$1073&lt;&gt;""))),"")</f>
        <v>0.59709603375538844</v>
      </c>
      <c r="Z1034" cm="1">
        <f t="array" ref="Z1034">IFERROR(AVERAGE(_xlfn._xlws.FILTER(T$2:T$1073,($C$2:$C$1073=$C1034)*($E$2:$E$1073=$E1034)*(ROW(T$2:T$1073)&lt;&gt;ROW(T1034))*(T$2:T$1073&lt;&gt;""))),"")</f>
        <v>4.4203091207983228E-2</v>
      </c>
      <c r="AA1034" cm="1">
        <f t="array" ref="AA1034">IFERROR(AVERAGE(_xlfn._xlws.FILTER(U$2:U$1073,($C$2:$C$1073=$C1034)*($E$2:$E$1073=$E1034)*(ROW(U$2:U$1073)&lt;&gt;ROW(U1034))*(U$2:U$1073&lt;&gt;""))),"")</f>
        <v>6.1947583243587259</v>
      </c>
    </row>
    <row r="1035" spans="1:27" x14ac:dyDescent="0.2">
      <c r="A1035" s="7" t="s">
        <v>2306</v>
      </c>
      <c r="B1035" t="str">
        <f t="shared" si="178"/>
        <v>LSRG IV кв. 2016</v>
      </c>
      <c r="C1035">
        <v>2016</v>
      </c>
      <c r="D1035">
        <f>SUMIFS(Дивиденды!$C:$C,Дивиденды!$A:$A,A1035,Дивиденды!$I:$I,C1035)</f>
        <v>78</v>
      </c>
      <c r="E1035">
        <v>8</v>
      </c>
      <c r="F1035">
        <f t="shared" si="179"/>
        <v>78</v>
      </c>
      <c r="G1035">
        <f t="shared" si="180"/>
        <v>0</v>
      </c>
      <c r="H1035">
        <f t="shared" si="181"/>
        <v>1</v>
      </c>
      <c r="I1035">
        <f t="shared" si="177"/>
        <v>0</v>
      </c>
      <c r="J1035">
        <f t="shared" si="182"/>
        <v>0</v>
      </c>
      <c r="K1035">
        <f t="shared" si="186"/>
        <v>0</v>
      </c>
      <c r="L1035">
        <f t="shared" si="183"/>
        <v>0</v>
      </c>
      <c r="M1035">
        <f t="shared" si="176"/>
        <v>0</v>
      </c>
      <c r="N1035">
        <f t="shared" si="184"/>
        <v>0</v>
      </c>
      <c r="O1035">
        <f t="shared" si="185"/>
        <v>0</v>
      </c>
      <c r="P1035">
        <f>IFERROR(LN('Дивиденды по годам'!I1035),"")</f>
        <v>26.224605676812434</v>
      </c>
      <c r="Q1035">
        <f>IFERROR('Дивиденды по годам'!G1035/'Дивиденды по годам'!I1035, "")</f>
        <v>0.12339400865235491</v>
      </c>
      <c r="R1035">
        <f>IFERROR(IF(AND('Дивиденды по годам'!N1035&lt;&gt;"",'Дивиденды по годам'!U1035&lt;&gt;"",'Дивиденды по годам'!U1035&lt;&gt;0),'Дивиденды по годам'!N1035/'Дивиденды по годам'!U1035-1,""),"")</f>
        <v>0.12946681512320501</v>
      </c>
      <c r="S1035">
        <f>IFERROR(IF(AND('Дивиденды по годам'!L1035&lt;&gt;"",'Дивиденды по годам'!I1035&lt;&gt;"",'Дивиденды по годам'!J1035&lt;&gt;"",'Дивиденды по годам'!K1035&lt;&gt;"",('Дивиденды по годам'!I1035-'Дивиденды по годам'!J1035-'Дивиденды по годам'!K1035)&lt;&gt;0),'Дивиденды по годам'!L1035/('Дивиденды по годам'!I1035-'Дивиденды по годам'!J1035-'Дивиденды по годам'!K1035),""),"")</f>
        <v>0.38932791890036372</v>
      </c>
      <c r="T1035">
        <f>IFERROR(IF(AND('Дивиденды по годам'!Q1035&lt;&gt;"",'Дивиденды по годам'!I1035&lt;&gt;"",'Дивиденды по годам'!V1035&lt;&gt;"",('Дивиденды по годам'!I1035+'Дивиденды по годам'!V1035)&lt;&gt;0),'Дивиденды по годам'!Q1035/(('Дивиденды по годам'!I1035+'Дивиденды по годам'!V1035)/2),""),"")</f>
        <v>4.077866257615545E-2</v>
      </c>
      <c r="U1035">
        <f>IFERROR(IF(AND('Дивиденды по годам'!J1035&lt;&gt;"",'Дивиденды по годам'!K1035&lt;&gt;"",'Дивиденды по годам'!M1035&lt;&gt;"",'Дивиденды по годам'!M1035&lt;&gt;0),('Дивиденды по годам'!J1035+'Дивиденды по годам'!K1035)/'Дивиденды по годам'!M1035,""),"")</f>
        <v>2.5790765275566399</v>
      </c>
      <c r="V1035" cm="1">
        <f t="array" ref="V1035">IFERROR(AVERAGE(_xlfn._xlws.FILTER(P$2:P$1073,($C$2:$C$1073=$C1035)*($E$2:$E$1073=$E1035)*(ROW(P$2:P$1073)&lt;&gt;ROW(P1035))*(P$2:P$1073&lt;&gt;""))),"")</f>
        <v>25.437625580373911</v>
      </c>
      <c r="W1035" cm="1">
        <f t="array" ref="W1035">IFERROR(AVERAGE(_xlfn._xlws.FILTER(Q$2:Q$1073,($C$2:$C$1073=$C1035)*($E$2:$E$1073=$E1035)*(ROW(Q$2:Q$1073)&lt;&gt;ROW(Q1035))*(Q$2:Q$1073&lt;&gt;""))),"")</f>
        <v>3.434427954671488E-2</v>
      </c>
      <c r="X1035" cm="1">
        <f t="array" ref="X1035">IFERROR(AVERAGE(_xlfn._xlws.FILTER(R$2:R$1073,($C$2:$C$1073=$C1035)*($E$2:$E$1073=$E1035)*(ROW(R$2:R$1073)&lt;&gt;ROW(R1035))*(R$2:R$1073&lt;&gt;""))),"")</f>
        <v>0.17519361652194321</v>
      </c>
      <c r="Y1035" cm="1">
        <f t="array" ref="Y1035">IFERROR(AVERAGE(_xlfn._xlws.FILTER(S$2:S$1073,($C$2:$C$1073=$C1035)*($E$2:$E$1073=$E1035)*(ROW(S$2:S$1073)&lt;&gt;ROW(S1035))*(S$2:S$1073&lt;&gt;""))),"")</f>
        <v>0.43072812857629883</v>
      </c>
      <c r="Z1035" cm="1">
        <f t="array" ref="Z1035">IFERROR(AVERAGE(_xlfn._xlws.FILTER(T$2:T$1073,($C$2:$C$1073=$C1035)*($E$2:$E$1073=$E1035)*(ROW(T$2:T$1073)&lt;&gt;ROW(T1035))*(T$2:T$1073&lt;&gt;""))),"")</f>
        <v>8.8175290668240744E-2</v>
      </c>
      <c r="AA1035" cm="1">
        <f t="array" ref="AA1035">IFERROR(AVERAGE(_xlfn._xlws.FILTER(U$2:U$1073,($C$2:$C$1073=$C1035)*($E$2:$E$1073=$E1035)*(ROW(U$2:U$1073)&lt;&gt;ROW(U1035))*(U$2:U$1073&lt;&gt;""))),"")</f>
        <v>8.537820148024684</v>
      </c>
    </row>
    <row r="1036" spans="1:27" x14ac:dyDescent="0.2">
      <c r="A1036" s="7" t="s">
        <v>2306</v>
      </c>
      <c r="B1036" t="str">
        <f t="shared" si="178"/>
        <v>LSRG IV кв. 2015</v>
      </c>
      <c r="C1036">
        <v>2015</v>
      </c>
      <c r="D1036">
        <f>SUMIFS(Дивиденды!$C:$C,Дивиденды!$A:$A,A1036,Дивиденды!$I:$I,C1036)</f>
        <v>78</v>
      </c>
      <c r="E1036">
        <v>8</v>
      </c>
      <c r="F1036">
        <f t="shared" si="179"/>
        <v>78</v>
      </c>
      <c r="G1036">
        <f t="shared" si="180"/>
        <v>0</v>
      </c>
      <c r="H1036">
        <f t="shared" si="181"/>
        <v>1</v>
      </c>
      <c r="I1036">
        <f t="shared" si="177"/>
        <v>0</v>
      </c>
      <c r="J1036">
        <f t="shared" si="182"/>
        <v>0</v>
      </c>
      <c r="K1036">
        <f t="shared" si="186"/>
        <v>-0.33333333333333331</v>
      </c>
      <c r="L1036">
        <f t="shared" si="183"/>
        <v>0</v>
      </c>
      <c r="M1036">
        <f t="shared" si="176"/>
        <v>0</v>
      </c>
      <c r="N1036">
        <f t="shared" si="184"/>
        <v>0</v>
      </c>
      <c r="O1036">
        <f t="shared" si="185"/>
        <v>0.33333333333333331</v>
      </c>
      <c r="P1036">
        <f>IFERROR(LN('Дивиденды по годам'!I1036),"")</f>
        <v>26.043255126685558</v>
      </c>
      <c r="Q1036">
        <f>IFERROR('Дивиденды по годам'!G1036/'Дивиденды по годам'!I1036, "")</f>
        <v>0.14199169002871503</v>
      </c>
      <c r="R1036">
        <f>IFERROR(IF(AND('Дивиденды по годам'!N1036&lt;&gt;"",'Дивиденды по годам'!U1036&lt;&gt;"",'Дивиденды по годам'!U1036&lt;&gt;0),'Дивиденды по годам'!N1036/'Дивиденды по годам'!U1036-1,""),"")</f>
        <v>-5.9740061139064382E-2</v>
      </c>
      <c r="S1036">
        <f>IFERROR(IF(AND('Дивиденды по годам'!L1036&lt;&gt;"",'Дивиденды по годам'!I1036&lt;&gt;"",'Дивиденды по годам'!J1036&lt;&gt;"",'Дивиденды по годам'!K1036&lt;&gt;"",('Дивиденды по годам'!I1036-'Дивиденды по годам'!J1036-'Дивиденды по годам'!K1036)&lt;&gt;0),'Дивиденды по годам'!L1036/('Дивиденды по годам'!I1036-'Дивиденды по годам'!J1036-'Дивиденды по годам'!K1036),""),"")</f>
        <v>0.37543060012685225</v>
      </c>
      <c r="T1036">
        <f>IFERROR(IF(AND('Дивиденды по годам'!Q1036&lt;&gt;"",'Дивиденды по годам'!I1036&lt;&gt;"",'Дивиденды по годам'!V1036&lt;&gt;"",('Дивиденды по годам'!I1036+'Дивиденды по годам'!V1036)&lt;&gt;0),'Дивиденды по годам'!Q1036/(('Дивиденды по годам'!I1036+'Дивиденды по годам'!V1036)/2),""),"")</f>
        <v>5.2782105216432063E-2</v>
      </c>
      <c r="U1036">
        <f>IFERROR(IF(AND('Дивиденды по годам'!J1036&lt;&gt;"",'Дивиденды по годам'!K1036&lt;&gt;"",'Дивиденды по годам'!M1036&lt;&gt;"",'Дивиденды по годам'!M1036&lt;&gt;0),('Дивиденды по годам'!J1036+'Дивиденды по годам'!K1036)/'Дивиденды по годам'!M1036,""),"")</f>
        <v>2.0058757928523696</v>
      </c>
      <c r="V1036" cm="1">
        <f t="array" ref="V1036">IFERROR(AVERAGE(_xlfn._xlws.FILTER(P$2:P$1073,($C$2:$C$1073=$C1036)*($E$2:$E$1073=$E1036)*(ROW(P$2:P$1073)&lt;&gt;ROW(P1036))*(P$2:P$1073&lt;&gt;""))),"")</f>
        <v>25.393333854512345</v>
      </c>
      <c r="W1036" cm="1">
        <f t="array" ref="W1036">IFERROR(AVERAGE(_xlfn._xlws.FILTER(Q$2:Q$1073,($C$2:$C$1073=$C1036)*($E$2:$E$1073=$E1036)*(ROW(Q$2:Q$1073)&lt;&gt;ROW(Q1036))*(Q$2:Q$1073&lt;&gt;""))),"")</f>
        <v>7.2648891804507759E-2</v>
      </c>
      <c r="X1036" cm="1">
        <f t="array" ref="X1036">IFERROR(AVERAGE(_xlfn._xlws.FILTER(R$2:R$1073,($C$2:$C$1073=$C1036)*($E$2:$E$1073=$E1036)*(ROW(R$2:R$1073)&lt;&gt;ROW(R1036))*(R$2:R$1073&lt;&gt;""))),"")</f>
        <v>-0.16532810969637612</v>
      </c>
      <c r="Y1036" cm="1">
        <f t="array" ref="Y1036">IFERROR(AVERAGE(_xlfn._xlws.FILTER(S$2:S$1073,($C$2:$C$1073=$C1036)*($E$2:$E$1073=$E1036)*(ROW(S$2:S$1073)&lt;&gt;ROW(S1036))*(S$2:S$1073&lt;&gt;""))),"")</f>
        <v>-2.6445170549974042E-2</v>
      </c>
      <c r="Z1036" cm="1">
        <f t="array" ref="Z1036">IFERROR(AVERAGE(_xlfn._xlws.FILTER(T$2:T$1073,($C$2:$C$1073=$C1036)*($E$2:$E$1073=$E1036)*(ROW(T$2:T$1073)&lt;&gt;ROW(T1036))*(T$2:T$1073&lt;&gt;""))),"")</f>
        <v>0.11243635006604372</v>
      </c>
      <c r="AA1036" cm="1">
        <f t="array" ref="AA1036">IFERROR(AVERAGE(_xlfn._xlws.FILTER(U$2:U$1073,($C$2:$C$1073=$C1036)*($E$2:$E$1073=$E1036)*(ROW(U$2:U$1073)&lt;&gt;ROW(U1036))*(U$2:U$1073&lt;&gt;""))),"")</f>
        <v>2.258466424405289</v>
      </c>
    </row>
    <row r="1037" spans="1:27" x14ac:dyDescent="0.2">
      <c r="A1037" s="7" t="s">
        <v>2306</v>
      </c>
      <c r="B1037" t="str">
        <f t="shared" si="178"/>
        <v>LSRG IV кв. 2014</v>
      </c>
      <c r="C1037">
        <v>2014</v>
      </c>
      <c r="D1037">
        <f>SUMIFS(Дивиденды!$C:$C,Дивиденды!$A:$A,A1037,Дивиденды!$I:$I,C1037)</f>
        <v>78</v>
      </c>
      <c r="E1037">
        <v>8</v>
      </c>
      <c r="F1037">
        <f t="shared" si="179"/>
        <v>78</v>
      </c>
      <c r="G1037">
        <f t="shared" si="180"/>
        <v>1.3866666666666667</v>
      </c>
      <c r="H1037">
        <f t="shared" si="181"/>
        <v>1</v>
      </c>
      <c r="I1037">
        <f t="shared" si="177"/>
        <v>0.33333333333333331</v>
      </c>
      <c r="J1037">
        <f t="shared" si="182"/>
        <v>0.95</v>
      </c>
      <c r="K1037">
        <f t="shared" si="186"/>
        <v>0.33333333333333331</v>
      </c>
      <c r="L1037">
        <f t="shared" si="183"/>
        <v>1</v>
      </c>
      <c r="M1037">
        <f t="shared" si="176"/>
        <v>0.33333333333333331</v>
      </c>
      <c r="N1037">
        <f t="shared" si="184"/>
        <v>0</v>
      </c>
      <c r="O1037">
        <f t="shared" si="185"/>
        <v>0</v>
      </c>
      <c r="P1037">
        <f>IFERROR(LN('Дивиденды по годам'!I1037),"")</f>
        <v>26.016578948068734</v>
      </c>
      <c r="Q1037">
        <f>IFERROR('Дивиденды по годам'!G1037/'Дивиденды по годам'!I1037, "")</f>
        <v>0.14115663433522604</v>
      </c>
      <c r="R1037">
        <f>IFERROR(IF(AND('Дивиденды по годам'!N1037&lt;&gt;"",'Дивиденды по годам'!U1037&lt;&gt;"",'Дивиденды по годам'!U1037&lt;&gt;0),'Дивиденды по годам'!N1037/'Дивиденды по годам'!U1037-1,""),"")</f>
        <v>0.41384816821299331</v>
      </c>
      <c r="S1037">
        <f>IFERROR(IF(AND('Дивиденды по годам'!L1037&lt;&gt;"",'Дивиденды по годам'!I1037&lt;&gt;"",'Дивиденды по годам'!J1037&lt;&gt;"",'Дивиденды по годам'!K1037&lt;&gt;"",('Дивиденды по годам'!I1037-'Дивиденды по годам'!J1037-'Дивиденды по годам'!K1037)&lt;&gt;0),'Дивиденды по годам'!L1037/('Дивиденды по годам'!I1037-'Дивиденды по годам'!J1037-'Дивиденды по годам'!K1037),""),"")</f>
        <v>0.34809252409946667</v>
      </c>
      <c r="T1037">
        <f>IFERROR(IF(AND('Дивиденды по годам'!Q1037&lt;&gt;"",'Дивиденды по годам'!I1037&lt;&gt;"",'Дивиденды по годам'!V1037&lt;&gt;"",('Дивиденды по годам'!I1037+'Дивиденды по годам'!V1037)&lt;&gt;0),'Дивиденды по годам'!Q1037/(('Дивиденды по годам'!I1037+'Дивиденды по годам'!V1037)/2),""),"")</f>
        <v>5.1928037914041304E-2</v>
      </c>
      <c r="U1037">
        <f>IFERROR(IF(AND('Дивиденды по годам'!J1037&lt;&gt;"",'Дивиденды по годам'!K1037&lt;&gt;"",'Дивиденды по годам'!M1037&lt;&gt;"",'Дивиденды по годам'!M1037&lt;&gt;0),('Дивиденды по годам'!J1037+'Дивиденды по годам'!K1037)/'Дивиденды по годам'!M1037,""),"")</f>
        <v>2.0230589429781221</v>
      </c>
      <c r="V1037" cm="1">
        <f t="array" ref="V1037">IFERROR(AVERAGE(_xlfn._xlws.FILTER(P$2:P$1073,($C$2:$C$1073=$C1037)*($E$2:$E$1073=$E1037)*(ROW(P$2:P$1073)&lt;&gt;ROW(P1037))*(P$2:P$1073&lt;&gt;""))),"")</f>
        <v>25.297440589231982</v>
      </c>
      <c r="W1037" cm="1">
        <f t="array" ref="W1037">IFERROR(AVERAGE(_xlfn._xlws.FILTER(Q$2:Q$1073,($C$2:$C$1073=$C1037)*($E$2:$E$1073=$E1037)*(ROW(Q$2:Q$1073)&lt;&gt;ROW(Q1037))*(Q$2:Q$1073&lt;&gt;""))),"")</f>
        <v>8.8645459421545572E-2</v>
      </c>
      <c r="X1037" cm="1">
        <f t="array" ref="X1037">IFERROR(AVERAGE(_xlfn._xlws.FILTER(R$2:R$1073,($C$2:$C$1073=$C1037)*($E$2:$E$1073=$E1037)*(ROW(R$2:R$1073)&lt;&gt;ROW(R1037))*(R$2:R$1073&lt;&gt;""))),"")</f>
        <v>-2.0513886446125063E-2</v>
      </c>
      <c r="Y1037" cm="1">
        <f t="array" ref="Y1037">IFERROR(AVERAGE(_xlfn._xlws.FILTER(S$2:S$1073,($C$2:$C$1073=$C1037)*($E$2:$E$1073=$E1037)*(ROW(S$2:S$1073)&lt;&gt;ROW(S1037))*(S$2:S$1073&lt;&gt;""))),"")</f>
        <v>-0.56575798808239108</v>
      </c>
      <c r="Z1037" cm="1">
        <f t="array" ref="Z1037">IFERROR(AVERAGE(_xlfn._xlws.FILTER(T$2:T$1073,($C$2:$C$1073=$C1037)*($E$2:$E$1073=$E1037)*(ROW(T$2:T$1073)&lt;&gt;ROW(T1037))*(T$2:T$1073&lt;&gt;""))),"")</f>
        <v>3.5409633997730873E-2</v>
      </c>
      <c r="AA1037" cm="1">
        <f t="array" ref="AA1037">IFERROR(AVERAGE(_xlfn._xlws.FILTER(U$2:U$1073,($C$2:$C$1073=$C1037)*($E$2:$E$1073=$E1037)*(ROW(U$2:U$1073)&lt;&gt;ROW(U1037))*(U$2:U$1073&lt;&gt;""))),"")</f>
        <v>3.5487730493126262</v>
      </c>
    </row>
    <row r="1038" spans="1:27" x14ac:dyDescent="0.2">
      <c r="A1038" s="7" t="s">
        <v>2306</v>
      </c>
      <c r="B1038" t="str">
        <f t="shared" si="178"/>
        <v>LSRG IV кв. 2013</v>
      </c>
      <c r="C1038">
        <v>2013</v>
      </c>
      <c r="D1038">
        <f>SUMIFS(Дивиденды!$C:$C,Дивиденды!$A:$A,A1038,Дивиденды!$I:$I,C1038)</f>
        <v>40</v>
      </c>
      <c r="E1038">
        <v>8</v>
      </c>
      <c r="F1038">
        <f t="shared" si="179"/>
        <v>40</v>
      </c>
      <c r="G1038">
        <f t="shared" si="180"/>
        <v>0</v>
      </c>
      <c r="H1038">
        <f t="shared" si="181"/>
        <v>1</v>
      </c>
      <c r="I1038">
        <f t="shared" si="177"/>
        <v>0</v>
      </c>
      <c r="J1038">
        <f t="shared" si="182"/>
        <v>1</v>
      </c>
      <c r="K1038">
        <f t="shared" si="186"/>
        <v>0</v>
      </c>
      <c r="L1038">
        <f t="shared" si="183"/>
        <v>1</v>
      </c>
      <c r="M1038">
        <f t="shared" si="176"/>
        <v>0</v>
      </c>
      <c r="N1038">
        <f t="shared" si="184"/>
        <v>0</v>
      </c>
      <c r="O1038">
        <f t="shared" si="185"/>
        <v>0</v>
      </c>
      <c r="P1038">
        <f>IFERROR(LN('Дивиденды по годам'!I1038),"")</f>
        <v>25.769362170085564</v>
      </c>
      <c r="Q1038">
        <f>IFERROR('Дивиденды по годам'!G1038/'Дивиденды по годам'!I1038, "")</f>
        <v>0.27523588003885763</v>
      </c>
      <c r="R1038">
        <f>IFERROR(IF(AND('Дивиденды по годам'!N1038&lt;&gt;"",'Дивиденды по годам'!U1038&lt;&gt;"",'Дивиденды по годам'!U1038&lt;&gt;0),'Дивиденды по годам'!N1038/'Дивиденды по годам'!U1038-1,""),"")</f>
        <v>6.8626056301193339E-2</v>
      </c>
      <c r="S1038" t="str">
        <f>IFERROR(IF(AND('Дивиденды по годам'!L1038&lt;&gt;"",'Дивиденды по годам'!I1038&lt;&gt;"",'Дивиденды по годам'!J1038&lt;&gt;"",'Дивиденды по годам'!K1038&lt;&gt;"",('Дивиденды по годам'!I1038-'Дивиденды по годам'!J1038-'Дивиденды по годам'!K1038)&lt;&gt;0),'Дивиденды по годам'!L1038/('Дивиденды по годам'!I1038-'Дивиденды по годам'!J1038-'Дивиденды по годам'!K1038),""),"")</f>
        <v/>
      </c>
      <c r="T1038">
        <f>IFERROR(IF(AND('Дивиденды по годам'!Q1038&lt;&gt;"",'Дивиденды по годам'!I1038&lt;&gt;"",'Дивиденды по годам'!V1038&lt;&gt;"",('Дивиденды по годам'!I1038+'Дивиденды по годам'!V1038)&lt;&gt;0),'Дивиденды по годам'!Q1038/(('Дивиденды по годам'!I1038+'Дивиденды по годам'!V1038)/2),""),"")</f>
        <v>3.5700666673369887E-2</v>
      </c>
      <c r="U1038">
        <f>IFERROR(IF(AND('Дивиденды по годам'!J1038&lt;&gt;"",'Дивиденды по годам'!K1038&lt;&gt;"",'Дивиденды по годам'!M1038&lt;&gt;"",'Дивиденды по годам'!M1038&lt;&gt;0),('Дивиденды по годам'!J1038+'Дивиденды по годам'!K1038)/'Дивиденды по годам'!M1038,""),"")</f>
        <v>1.6320542146840915</v>
      </c>
      <c r="V1038" cm="1">
        <f t="array" ref="V1038">IFERROR(AVERAGE(_xlfn._xlws.FILTER(P$2:P$1073,($C$2:$C$1073=$C1038)*($E$2:$E$1073=$E1038)*(ROW(P$2:P$1073)&lt;&gt;ROW(P1038))*(P$2:P$1073&lt;&gt;""))),"")</f>
        <v>25.487412184233467</v>
      </c>
      <c r="W1038" cm="1">
        <f t="array" ref="W1038">IFERROR(AVERAGE(_xlfn._xlws.FILTER(Q$2:Q$1073,($C$2:$C$1073=$C1038)*($E$2:$E$1073=$E1038)*(ROW(Q$2:Q$1073)&lt;&gt;ROW(Q1038))*(Q$2:Q$1073&lt;&gt;""))),"")</f>
        <v>7.718948059813531E-2</v>
      </c>
      <c r="X1038" cm="1">
        <f t="array" ref="X1038">IFERROR(AVERAGE(_xlfn._xlws.FILTER(R$2:R$1073,($C$2:$C$1073=$C1038)*($E$2:$E$1073=$E1038)*(ROW(R$2:R$1073)&lt;&gt;ROW(R1038))*(R$2:R$1073&lt;&gt;""))),"")</f>
        <v>-5.4227343525533378E-2</v>
      </c>
      <c r="Y1038" t="str" cm="1">
        <f t="array" ref="Y1038">IFERROR(AVERAGE(_xlfn._xlws.FILTER(S$2:S$1073,($C$2:$C$1073=$C1038)*($E$2:$E$1073=$E1038)*(ROW(S$2:S$1073)&lt;&gt;ROW(S1038))*(S$2:S$1073&lt;&gt;""))),"")</f>
        <v/>
      </c>
      <c r="Z1038" cm="1">
        <f t="array" ref="Z1038">IFERROR(AVERAGE(_xlfn._xlws.FILTER(T$2:T$1073,($C$2:$C$1073=$C1038)*($E$2:$E$1073=$E1038)*(ROW(T$2:T$1073)&lt;&gt;ROW(T1038))*(T$2:T$1073&lt;&gt;""))),"")</f>
        <v>6.1116308076083564E-2</v>
      </c>
      <c r="AA1038" cm="1">
        <f t="array" ref="AA1038">IFERROR(AVERAGE(_xlfn._xlws.FILTER(U$2:U$1073,($C$2:$C$1073=$C1038)*($E$2:$E$1073=$E1038)*(ROW(U$2:U$1073)&lt;&gt;ROW(U1038))*(U$2:U$1073&lt;&gt;""))),"")</f>
        <v>4.6844784948843525</v>
      </c>
    </row>
    <row r="1039" spans="1:27" x14ac:dyDescent="0.2">
      <c r="A1039" s="7" t="s">
        <v>2306</v>
      </c>
      <c r="B1039" t="str">
        <f t="shared" si="178"/>
        <v>LSRG IV кв. 2012</v>
      </c>
      <c r="C1039">
        <v>2012</v>
      </c>
      <c r="D1039">
        <f>SUMIFS(Дивиденды!$C:$C,Дивиденды!$A:$A,A1039,Дивиденды!$I:$I,C1039)</f>
        <v>20</v>
      </c>
      <c r="E1039">
        <v>8</v>
      </c>
      <c r="F1039">
        <f t="shared" si="179"/>
        <v>20</v>
      </c>
      <c r="G1039">
        <f t="shared" si="180"/>
        <v>0</v>
      </c>
      <c r="H1039">
        <f t="shared" si="181"/>
        <v>1</v>
      </c>
      <c r="I1039">
        <f t="shared" si="177"/>
        <v>0</v>
      </c>
      <c r="J1039">
        <f t="shared" si="182"/>
        <v>0</v>
      </c>
      <c r="K1039">
        <f t="shared" si="186"/>
        <v>0</v>
      </c>
      <c r="L1039">
        <f t="shared" si="183"/>
        <v>0</v>
      </c>
      <c r="M1039">
        <f t="shared" si="176"/>
        <v>0</v>
      </c>
      <c r="N1039">
        <f t="shared" si="184"/>
        <v>0</v>
      </c>
      <c r="O1039">
        <f t="shared" si="185"/>
        <v>0</v>
      </c>
      <c r="P1039">
        <f>IFERROR(LN('Дивиденды по годам'!I1039),"")</f>
        <v>25.64890851498329</v>
      </c>
      <c r="Q1039">
        <f>IFERROR('Дивиденды по годам'!G1039/'Дивиденды по годам'!I1039, "")</f>
        <v>0.28965059407948418</v>
      </c>
      <c r="R1039">
        <f>IFERROR(IF(AND('Дивиденды по годам'!N1039&lt;&gt;"",'Дивиденды по годам'!U1039&lt;&gt;"",'Дивиденды по годам'!U1039&lt;&gt;0),'Дивиденды по годам'!N1039/'Дивиденды по годам'!U1039-1,""),"")</f>
        <v>0.1774613598628958</v>
      </c>
      <c r="S1039" t="str">
        <f>IFERROR(IF(AND('Дивиденды по годам'!L1039&lt;&gt;"",'Дивиденды по годам'!I1039&lt;&gt;"",'Дивиденды по годам'!J1039&lt;&gt;"",'Дивиденды по годам'!K1039&lt;&gt;"",('Дивиденды по годам'!I1039-'Дивиденды по годам'!J1039-'Дивиденды по годам'!K1039)&lt;&gt;0),'Дивиденды по годам'!L1039/('Дивиденды по годам'!I1039-'Дивиденды по годам'!J1039-'Дивиденды по годам'!K1039),""),"")</f>
        <v/>
      </c>
      <c r="T1039">
        <f>IFERROR(IF(AND('Дивиденды по годам'!Q1039&lt;&gt;"",'Дивиденды по годам'!I1039&lt;&gt;"",'Дивиденды по годам'!V1039&lt;&gt;"",('Дивиденды по годам'!I1039+'Дивиденды по годам'!V1039)&lt;&gt;0),'Дивиденды по годам'!Q1039/(('Дивиденды по годам'!I1039+'Дивиденды по годам'!V1039)/2),""),"")</f>
        <v>3.7136747603905576E-2</v>
      </c>
      <c r="U1039">
        <f>IFERROR(IF(AND('Дивиденды по годам'!J1039&lt;&gt;"",'Дивиденды по годам'!K1039&lt;&gt;"",'Дивиденды по годам'!M1039&lt;&gt;"",'Дивиденды по годам'!M1039&lt;&gt;0),('Дивиденды по годам'!J1039+'Дивиденды по годам'!K1039)/'Дивиденды по годам'!M1039,""),"")</f>
        <v>1.4298803811165557</v>
      </c>
      <c r="V1039" cm="1">
        <f t="array" ref="V1039">IFERROR(AVERAGE(_xlfn._xlws.FILTER(P$2:P$1073,($C$2:$C$1073=$C1039)*($E$2:$E$1073=$E1039)*(ROW(P$2:P$1073)&lt;&gt;ROW(P1039))*(P$2:P$1073&lt;&gt;""))),"")</f>
        <v>25.563516050221082</v>
      </c>
      <c r="W1039" cm="1">
        <f t="array" ref="W1039">IFERROR(AVERAGE(_xlfn._xlws.FILTER(Q$2:Q$1073,($C$2:$C$1073=$C1039)*($E$2:$E$1073=$E1039)*(ROW(Q$2:Q$1073)&lt;&gt;ROW(Q1039))*(Q$2:Q$1073&lt;&gt;""))),"")</f>
        <v>7.1746468407364372E-2</v>
      </c>
      <c r="X1039" cm="1">
        <f t="array" ref="X1039">IFERROR(AVERAGE(_xlfn._xlws.FILTER(R$2:R$1073,($C$2:$C$1073=$C1039)*($E$2:$E$1073=$E1039)*(ROW(R$2:R$1073)&lt;&gt;ROW(R1039))*(R$2:R$1073&lt;&gt;""))),"")</f>
        <v>0.43786827857624311</v>
      </c>
      <c r="Y1039" t="str" cm="1">
        <f t="array" ref="Y1039">IFERROR(AVERAGE(_xlfn._xlws.FILTER(S$2:S$1073,($C$2:$C$1073=$C1039)*($E$2:$E$1073=$E1039)*(ROW(S$2:S$1073)&lt;&gt;ROW(S1039))*(S$2:S$1073&lt;&gt;""))),"")</f>
        <v/>
      </c>
      <c r="Z1039" cm="1">
        <f t="array" ref="Z1039">IFERROR(AVERAGE(_xlfn._xlws.FILTER(T$2:T$1073,($C$2:$C$1073=$C1039)*($E$2:$E$1073=$E1039)*(ROW(T$2:T$1073)&lt;&gt;ROW(T1039))*(T$2:T$1073&lt;&gt;""))),"")</f>
        <v>2.4499069630790325E-2</v>
      </c>
      <c r="AA1039" cm="1">
        <f t="array" ref="AA1039">IFERROR(AVERAGE(_xlfn._xlws.FILTER(U$2:U$1073,($C$2:$C$1073=$C1039)*($E$2:$E$1073=$E1039)*(ROW(U$2:U$1073)&lt;&gt;ROW(U1039))*(U$2:U$1073&lt;&gt;""))),"")</f>
        <v>36.817937219730943</v>
      </c>
    </row>
    <row r="1040" spans="1:27" x14ac:dyDescent="0.2">
      <c r="A1040" s="7" t="s">
        <v>2306</v>
      </c>
      <c r="B1040" t="str">
        <f t="shared" si="178"/>
        <v>LSRG IV кв. 2011</v>
      </c>
      <c r="C1040">
        <v>2011</v>
      </c>
      <c r="D1040">
        <f>SUMIFS(Дивиденды!$C:$C,Дивиденды!$A:$A,A1040,Дивиденды!$I:$I,C1040)</f>
        <v>20</v>
      </c>
      <c r="E1040">
        <v>8</v>
      </c>
      <c r="F1040">
        <f t="shared" si="179"/>
        <v>20</v>
      </c>
      <c r="G1040">
        <f t="shared" si="180"/>
        <v>0</v>
      </c>
      <c r="H1040">
        <f t="shared" si="181"/>
        <v>1</v>
      </c>
      <c r="I1040">
        <f t="shared" si="177"/>
        <v>0</v>
      </c>
      <c r="J1040">
        <f t="shared" si="182"/>
        <v>0.33333333333333331</v>
      </c>
      <c r="K1040">
        <f t="shared" si="186"/>
        <v>0</v>
      </c>
      <c r="L1040">
        <f t="shared" si="183"/>
        <v>1</v>
      </c>
      <c r="M1040">
        <f t="shared" si="176"/>
        <v>0</v>
      </c>
      <c r="N1040">
        <f t="shared" si="184"/>
        <v>0</v>
      </c>
      <c r="O1040">
        <f t="shared" si="185"/>
        <v>0</v>
      </c>
      <c r="P1040">
        <f>IFERROR(LN('Дивиденды по годам'!I1040),"")</f>
        <v>25.566367058476462</v>
      </c>
      <c r="Q1040">
        <f>IFERROR('Дивиденды по годам'!G1040/'Дивиденды по годам'!I1040, "")</f>
        <v>0.29425209264511243</v>
      </c>
      <c r="R1040" t="str">
        <f>IFERROR(IF(AND('Дивиденды по годам'!N1040&lt;&gt;"",'Дивиденды по годам'!U1040&lt;&gt;"",'Дивиденды по годам'!U1040&lt;&gt;0),'Дивиденды по годам'!N1040/'Дивиденды по годам'!U1040-1,""),"")</f>
        <v/>
      </c>
      <c r="S1040" t="str">
        <f>IFERROR(IF(AND('Дивиденды по годам'!L1040&lt;&gt;"",'Дивиденды по годам'!I1040&lt;&gt;"",'Дивиденды по годам'!J1040&lt;&gt;"",'Дивиденды по годам'!K1040&lt;&gt;"",('Дивиденды по годам'!I1040-'Дивиденды по годам'!J1040-'Дивиденды по годам'!K1040)&lt;&gt;0),'Дивиденды по годам'!L1040/('Дивиденды по годам'!I1040-'Дивиденды по годам'!J1040-'Дивиденды по годам'!K1040),""),"")</f>
        <v/>
      </c>
      <c r="T1040" t="str">
        <f>IFERROR(IF(AND('Дивиденды по годам'!Q1040&lt;&gt;"",'Дивиденды по годам'!I1040&lt;&gt;"",'Дивиденды по годам'!V1040&lt;&gt;"",('Дивиденды по годам'!I1040+'Дивиденды по годам'!V1040)&lt;&gt;0),'Дивиденды по годам'!Q1040/(('Дивиденды по годам'!I1040+'Дивиденды по годам'!V1040)/2),""),"")</f>
        <v/>
      </c>
      <c r="U1040">
        <f>IFERROR(IF(AND('Дивиденды по годам'!J1040&lt;&gt;"",'Дивиденды по годам'!K1040&lt;&gt;"",'Дивиденды по годам'!M1040&lt;&gt;"",'Дивиденды по годам'!M1040&lt;&gt;0),('Дивиденды по годам'!J1040+'Дивиденды по годам'!K1040)/'Дивиденды по годам'!M1040,""),"")</f>
        <v>1.3515857955080697</v>
      </c>
      <c r="V1040" cm="1">
        <f t="array" ref="V1040">IFERROR(AVERAGE(_xlfn._xlws.FILTER(P$2:P$1073,($C$2:$C$1073=$C1040)*($E$2:$E$1073=$E1040)*(ROW(P$2:P$1073)&lt;&gt;ROW(P1040))*(P$2:P$1073&lt;&gt;""))),"")</f>
        <v>25.581324766885476</v>
      </c>
      <c r="W1040" cm="1">
        <f t="array" ref="W1040">IFERROR(AVERAGE(_xlfn._xlws.FILTER(Q$2:Q$1073,($C$2:$C$1073=$C1040)*($E$2:$E$1073=$E1040)*(ROW(Q$2:Q$1073)&lt;&gt;ROW(Q1040))*(Q$2:Q$1073&lt;&gt;""))),"")</f>
        <v>7.006849208691196E-2</v>
      </c>
      <c r="X1040" t="str" cm="1">
        <f t="array" ref="X1040">IFERROR(AVERAGE(_xlfn._xlws.FILTER(R$2:R$1073,($C$2:$C$1073=$C1040)*($E$2:$E$1073=$E1040)*(ROW(R$2:R$1073)&lt;&gt;ROW(R1040))*(R$2:R$1073&lt;&gt;""))),"")</f>
        <v/>
      </c>
      <c r="Y1040" t="str" cm="1">
        <f t="array" ref="Y1040">IFERROR(AVERAGE(_xlfn._xlws.FILTER(S$2:S$1073,($C$2:$C$1073=$C1040)*($E$2:$E$1073=$E1040)*(ROW(S$2:S$1073)&lt;&gt;ROW(S1040))*(S$2:S$1073&lt;&gt;""))),"")</f>
        <v/>
      </c>
      <c r="Z1040" t="str" cm="1">
        <f t="array" ref="Z1040">IFERROR(AVERAGE(_xlfn._xlws.FILTER(T$2:T$1073,($C$2:$C$1073=$C1040)*($E$2:$E$1073=$E1040)*(ROW(T$2:T$1073)&lt;&gt;ROW(T1040))*(T$2:T$1073&lt;&gt;""))),"")</f>
        <v/>
      </c>
      <c r="AA1040" cm="1">
        <f t="array" ref="AA1040">IFERROR(AVERAGE(_xlfn._xlws.FILTER(U$2:U$1073,($C$2:$C$1073=$C1040)*($E$2:$E$1073=$E1040)*(ROW(U$2:U$1073)&lt;&gt;ROW(U1040))*(U$2:U$1073&lt;&gt;""))),"")</f>
        <v>589.70642201834858</v>
      </c>
    </row>
    <row r="1041" spans="1:27" x14ac:dyDescent="0.2">
      <c r="A1041" s="7" t="s">
        <v>2306</v>
      </c>
      <c r="B1041" t="str">
        <f t="shared" si="178"/>
        <v>LSRG IV кв. 2010</v>
      </c>
      <c r="C1041">
        <v>2010</v>
      </c>
      <c r="D1041">
        <f>SUMIFS(Дивиденды!$C:$C,Дивиденды!$A:$A,A1041,Дивиденды!$I:$I,C1041)</f>
        <v>15</v>
      </c>
      <c r="E1041">
        <v>8</v>
      </c>
      <c r="F1041">
        <f t="shared" si="179"/>
        <v>15</v>
      </c>
      <c r="G1041">
        <f t="shared" si="180"/>
        <v>0</v>
      </c>
      <c r="H1041">
        <f t="shared" si="181"/>
        <v>1</v>
      </c>
      <c r="I1041">
        <f t="shared" si="177"/>
        <v>0</v>
      </c>
      <c r="J1041" t="str">
        <f t="shared" si="182"/>
        <v/>
      </c>
      <c r="K1041" t="str">
        <f t="shared" si="186"/>
        <v/>
      </c>
      <c r="L1041" t="str">
        <f t="shared" si="183"/>
        <v/>
      </c>
      <c r="M1041" t="str">
        <f t="shared" si="176"/>
        <v/>
      </c>
      <c r="N1041" t="str">
        <f t="shared" si="184"/>
        <v/>
      </c>
      <c r="O1041" t="str">
        <f t="shared" si="185"/>
        <v/>
      </c>
      <c r="P1041" t="str">
        <f>IFERROR(LN('Дивиденды по годам'!I1041),"")</f>
        <v/>
      </c>
      <c r="Q1041" t="str">
        <f>IFERROR('Дивиденды по годам'!G1041/'Дивиденды по годам'!I1041, "")</f>
        <v/>
      </c>
      <c r="R1041" t="str">
        <f>IFERROR(IF(AND('Дивиденды по годам'!N1041&lt;&gt;"",'Дивиденды по годам'!U1041&lt;&gt;"",'Дивиденды по годам'!U1041&lt;&gt;0),'Дивиденды по годам'!N1041/'Дивиденды по годам'!U1041-1,""),"")</f>
        <v/>
      </c>
      <c r="S1041" t="str">
        <f>IFERROR(IF(AND('Дивиденды по годам'!L1041&lt;&gt;"",'Дивиденды по годам'!I1041&lt;&gt;"",'Дивиденды по годам'!J1041&lt;&gt;"",'Дивиденды по годам'!K1041&lt;&gt;"",('Дивиденды по годам'!I1041-'Дивиденды по годам'!J1041-'Дивиденды по годам'!K1041)&lt;&gt;0),'Дивиденды по годам'!L1041/('Дивиденды по годам'!I1041-'Дивиденды по годам'!J1041-'Дивиденды по годам'!K1041),""),"")</f>
        <v/>
      </c>
      <c r="T1041" t="str">
        <f>IFERROR(IF(AND('Дивиденды по годам'!Q1041&lt;&gt;"",'Дивиденды по годам'!I1041&lt;&gt;"",'Дивиденды по годам'!V1041&lt;&gt;"",('Дивиденды по годам'!I1041+'Дивиденды по годам'!V1041)&lt;&gt;0),'Дивиденды по годам'!Q1041/(('Дивиденды по годам'!I1041+'Дивиденды по годам'!V1041)/2),""),"")</f>
        <v/>
      </c>
      <c r="U1041" t="str">
        <f>IFERROR(IF(AND('Дивиденды по годам'!J1041&lt;&gt;"",'Дивиденды по годам'!K1041&lt;&gt;"",'Дивиденды по годам'!M1041&lt;&gt;"",'Дивиденды по годам'!M1041&lt;&gt;0),('Дивиденды по годам'!J1041+'Дивиденды по годам'!K1041)/'Дивиденды по годам'!M1041,""),"")</f>
        <v/>
      </c>
      <c r="V1041" t="str" cm="1">
        <f t="array" ref="V1041">IFERROR(AVERAGE(_xlfn._xlws.FILTER(P$2:P$1073,($C$2:$C$1073=$C1041)*($E$2:$E$1073=$E1041)*(ROW(P$2:P$1073)&lt;&gt;ROW(P1041))*(P$2:P$1073&lt;&gt;""))),"")</f>
        <v/>
      </c>
      <c r="W1041" t="str" cm="1">
        <f t="array" ref="W1041">IFERROR(AVERAGE(_xlfn._xlws.FILTER(Q$2:Q$1073,($C$2:$C$1073=$C1041)*($E$2:$E$1073=$E1041)*(ROW(Q$2:Q$1073)&lt;&gt;ROW(Q1041))*(Q$2:Q$1073&lt;&gt;""))),"")</f>
        <v/>
      </c>
      <c r="X1041" t="str" cm="1">
        <f t="array" ref="X1041">IFERROR(AVERAGE(_xlfn._xlws.FILTER(R$2:R$1073,($C$2:$C$1073=$C1041)*($E$2:$E$1073=$E1041)*(ROW(R$2:R$1073)&lt;&gt;ROW(R1041))*(R$2:R$1073&lt;&gt;""))),"")</f>
        <v/>
      </c>
      <c r="Y1041" t="str" cm="1">
        <f t="array" ref="Y1041">IFERROR(AVERAGE(_xlfn._xlws.FILTER(S$2:S$1073,($C$2:$C$1073=$C1041)*($E$2:$E$1073=$E1041)*(ROW(S$2:S$1073)&lt;&gt;ROW(S1041))*(S$2:S$1073&lt;&gt;""))),"")</f>
        <v/>
      </c>
      <c r="Z1041" t="str" cm="1">
        <f t="array" ref="Z1041">IFERROR(AVERAGE(_xlfn._xlws.FILTER(T$2:T$1073,($C$2:$C$1073=$C1041)*($E$2:$E$1073=$E1041)*(ROW(T$2:T$1073)&lt;&gt;ROW(T1041))*(T$2:T$1073&lt;&gt;""))),"")</f>
        <v/>
      </c>
      <c r="AA1041" t="str" cm="1">
        <f t="array" ref="AA1041">IFERROR(AVERAGE(_xlfn._xlws.FILTER(U$2:U$1073,($C$2:$C$1073=$C1041)*($E$2:$E$1073=$E1041)*(ROW(U$2:U$1073)&lt;&gt;ROW(U1041))*(U$2:U$1073&lt;&gt;""))),"")</f>
        <v/>
      </c>
    </row>
    <row r="1042" spans="1:27" x14ac:dyDescent="0.2">
      <c r="A1042" s="7" t="s">
        <v>2309</v>
      </c>
      <c r="B1042" t="str">
        <f t="shared" si="178"/>
        <v>PIKK IV кв. 2025</v>
      </c>
      <c r="C1042">
        <v>2025</v>
      </c>
      <c r="D1042">
        <f>SUMIFS(Дивиденды!$C:$C,Дивиденды!$A:$A,A1042,Дивиденды!$I:$I,C1042)</f>
        <v>0</v>
      </c>
      <c r="E1042">
        <v>8</v>
      </c>
      <c r="F1042">
        <f t="shared" si="179"/>
        <v>0</v>
      </c>
      <c r="G1042">
        <f t="shared" si="180"/>
        <v>26</v>
      </c>
      <c r="H1042">
        <f t="shared" si="181"/>
        <v>0</v>
      </c>
      <c r="I1042">
        <f t="shared" si="177"/>
        <v>0.33333333333333331</v>
      </c>
      <c r="J1042">
        <f t="shared" si="182"/>
        <v>0</v>
      </c>
      <c r="K1042">
        <f t="shared" si="186"/>
        <v>0.33333333333333331</v>
      </c>
      <c r="L1042">
        <f t="shared" si="183"/>
        <v>0</v>
      </c>
      <c r="M1042">
        <f t="shared" si="176"/>
        <v>0.33333333333333331</v>
      </c>
      <c r="N1042">
        <f t="shared" si="184"/>
        <v>0</v>
      </c>
      <c r="O1042">
        <f t="shared" si="185"/>
        <v>0</v>
      </c>
      <c r="P1042" t="str">
        <f>IFERROR(LN('Дивиденды по годам'!I1042),"")</f>
        <v/>
      </c>
      <c r="Q1042" t="str">
        <f>IFERROR('Дивиденды по годам'!G1042/'Дивиденды по годам'!I1042, "")</f>
        <v/>
      </c>
      <c r="R1042" t="str">
        <f>IFERROR(IF(AND('Дивиденды по годам'!N1042&lt;&gt;"",'Дивиденды по годам'!U1042&lt;&gt;"",'Дивиденды по годам'!U1042&lt;&gt;0),'Дивиденды по годам'!N1042/'Дивиденды по годам'!U1042-1,""),"")</f>
        <v/>
      </c>
      <c r="S1042" t="str">
        <f>IFERROR(IF(AND('Дивиденды по годам'!L1042&lt;&gt;"",'Дивиденды по годам'!I1042&lt;&gt;"",'Дивиденды по годам'!J1042&lt;&gt;"",'Дивиденды по годам'!K1042&lt;&gt;"",('Дивиденды по годам'!I1042-'Дивиденды по годам'!J1042-'Дивиденды по годам'!K1042)&lt;&gt;0),'Дивиденды по годам'!L1042/('Дивиденды по годам'!I1042-'Дивиденды по годам'!J1042-'Дивиденды по годам'!K1042),""),"")</f>
        <v/>
      </c>
      <c r="T1042" t="str">
        <f>IFERROR(IF(AND('Дивиденды по годам'!Q1042&lt;&gt;"",'Дивиденды по годам'!I1042&lt;&gt;"",'Дивиденды по годам'!V1042&lt;&gt;"",('Дивиденды по годам'!I1042+'Дивиденды по годам'!V1042)&lt;&gt;0),'Дивиденды по годам'!Q1042/(('Дивиденды по годам'!I1042+'Дивиденды по годам'!V1042)/2),""),"")</f>
        <v/>
      </c>
      <c r="U1042" t="str">
        <f>IFERROR(IF(AND('Дивиденды по годам'!J1042&lt;&gt;"",'Дивиденды по годам'!K1042&lt;&gt;"",'Дивиденды по годам'!M1042&lt;&gt;"",'Дивиденды по годам'!M1042&lt;&gt;0),('Дивиденды по годам'!J1042+'Дивиденды по годам'!K1042)/'Дивиденды по годам'!M1042,""),"")</f>
        <v/>
      </c>
      <c r="V1042" t="str" cm="1">
        <f t="array" ref="V1042">IFERROR(AVERAGE(_xlfn._xlws.FILTER(P$2:P$1073,($C$2:$C$1073=$C1042)*($E$2:$E$1073=$E1042)*(ROW(P$2:P$1073)&lt;&gt;ROW(P1042))*(P$2:P$1073&lt;&gt;""))),"")</f>
        <v/>
      </c>
      <c r="W1042" t="str" cm="1">
        <f t="array" ref="W1042">IFERROR(AVERAGE(_xlfn._xlws.FILTER(Q$2:Q$1073,($C$2:$C$1073=$C1042)*($E$2:$E$1073=$E1042)*(ROW(Q$2:Q$1073)&lt;&gt;ROW(Q1042))*(Q$2:Q$1073&lt;&gt;""))),"")</f>
        <v/>
      </c>
      <c r="X1042" t="str" cm="1">
        <f t="array" ref="X1042">IFERROR(AVERAGE(_xlfn._xlws.FILTER(R$2:R$1073,($C$2:$C$1073=$C1042)*($E$2:$E$1073=$E1042)*(ROW(R$2:R$1073)&lt;&gt;ROW(R1042))*(R$2:R$1073&lt;&gt;""))),"")</f>
        <v/>
      </c>
      <c r="Y1042" t="str" cm="1">
        <f t="array" ref="Y1042">IFERROR(AVERAGE(_xlfn._xlws.FILTER(S$2:S$1073,($C$2:$C$1073=$C1042)*($E$2:$E$1073=$E1042)*(ROW(S$2:S$1073)&lt;&gt;ROW(S1042))*(S$2:S$1073&lt;&gt;""))),"")</f>
        <v/>
      </c>
      <c r="Z1042" t="str" cm="1">
        <f t="array" ref="Z1042">IFERROR(AVERAGE(_xlfn._xlws.FILTER(T$2:T$1073,($C$2:$C$1073=$C1042)*($E$2:$E$1073=$E1042)*(ROW(T$2:T$1073)&lt;&gt;ROW(T1042))*(T$2:T$1073&lt;&gt;""))),"")</f>
        <v/>
      </c>
      <c r="AA1042" t="str" cm="1">
        <f t="array" ref="AA1042">IFERROR(AVERAGE(_xlfn._xlws.FILTER(U$2:U$1073,($C$2:$C$1073=$C1042)*($E$2:$E$1073=$E1042)*(ROW(U$2:U$1073)&lt;&gt;ROW(U1042))*(U$2:U$1073&lt;&gt;""))),"")</f>
        <v/>
      </c>
    </row>
    <row r="1043" spans="1:27" x14ac:dyDescent="0.2">
      <c r="A1043" s="7" t="s">
        <v>2309</v>
      </c>
      <c r="B1043" t="str">
        <f t="shared" si="178"/>
        <v>PIKK IV кв. 2024</v>
      </c>
      <c r="C1043">
        <v>2024</v>
      </c>
      <c r="D1043">
        <f>SUMIFS(Дивиденды!$C:$C,Дивиденды!$A:$A,A1043,Дивиденды!$I:$I,C1043)</f>
        <v>0</v>
      </c>
      <c r="E1043">
        <v>8</v>
      </c>
      <c r="F1043">
        <f t="shared" si="179"/>
        <v>0</v>
      </c>
      <c r="G1043">
        <f t="shared" si="180"/>
        <v>0</v>
      </c>
      <c r="H1043">
        <f t="shared" si="181"/>
        <v>0</v>
      </c>
      <c r="I1043">
        <f t="shared" si="177"/>
        <v>0</v>
      </c>
      <c r="J1043">
        <f t="shared" si="182"/>
        <v>0</v>
      </c>
      <c r="K1043">
        <f t="shared" si="186"/>
        <v>-0.33333333333333331</v>
      </c>
      <c r="L1043">
        <f t="shared" si="183"/>
        <v>0</v>
      </c>
      <c r="M1043">
        <f t="shared" si="176"/>
        <v>0</v>
      </c>
      <c r="N1043">
        <f t="shared" si="184"/>
        <v>0</v>
      </c>
      <c r="O1043">
        <f t="shared" si="185"/>
        <v>0.33333333333333331</v>
      </c>
      <c r="P1043">
        <f>IFERROR(LN('Дивиденды по годам'!I1043),"")</f>
        <v>28.051407019920617</v>
      </c>
      <c r="Q1043">
        <f>IFERROR('Дивиденды по годам'!G1043/'Дивиденды по годам'!I1043, "")</f>
        <v>4.2932608408662053E-2</v>
      </c>
      <c r="R1043">
        <f>IFERROR(IF(AND('Дивиденды по годам'!N1043&lt;&gt;"",'Дивиденды по годам'!U1043&lt;&gt;"",'Дивиденды по годам'!U1043&lt;&gt;0),'Дивиденды по годам'!N1043/'Дивиденды по годам'!U1043-1,""),"")</f>
        <v>0.15339508229492904</v>
      </c>
      <c r="S1043">
        <f>IFERROR(IF(AND('Дивиденды по годам'!L1043&lt;&gt;"",'Дивиденды по годам'!I1043&lt;&gt;"",'Дивиденды по годам'!J1043&lt;&gt;"",'Дивиденды по годам'!K1043&lt;&gt;"",('Дивиденды по годам'!I1043-'Дивиденды по годам'!J1043-'Дивиденды по годам'!K1043)&lt;&gt;0),'Дивиденды по годам'!L1043/('Дивиденды по годам'!I1043-'Дивиденды по годам'!J1043-'Дивиденды по годам'!K1043),""),"")</f>
        <v>0.97192378790929224</v>
      </c>
      <c r="T1043">
        <f>IFERROR(IF(AND('Дивиденды по годам'!Q1043&lt;&gt;"",'Дивиденды по годам'!I1043&lt;&gt;"",'Дивиденды по годам'!V1043&lt;&gt;"",('Дивиденды по годам'!I1043+'Дивиденды по годам'!V1043)&lt;&gt;0),'Дивиденды по годам'!Q1043/(('Дивиденды по годам'!I1043+'Дивиденды по годам'!V1043)/2),""),"")</f>
        <v>1.94768509412124E-2</v>
      </c>
      <c r="U1043">
        <f>IFERROR(IF(AND('Дивиденды по годам'!J1043&lt;&gt;"",'Дивиденды по годам'!K1043&lt;&gt;"",'Дивиденды по годам'!M1043&lt;&gt;"",'Дивиденды по годам'!M1043&lt;&gt;0),('Дивиденды по годам'!J1043+'Дивиденды по годам'!K1043)/'Дивиденды по годам'!M1043,""),"")</f>
        <v>2.9809469773230592</v>
      </c>
      <c r="V1043" cm="1">
        <f t="array" ref="V1043">IFERROR(AVERAGE(_xlfn._xlws.FILTER(P$2:P$1073,($C$2:$C$1073=$C1043)*($E$2:$E$1073=$E1043)*(ROW(P$2:P$1073)&lt;&gt;ROW(P1043))*(P$2:P$1073&lt;&gt;""))),"")</f>
        <v>27.039916185305685</v>
      </c>
      <c r="W1043" cm="1">
        <f t="array" ref="W1043">IFERROR(AVERAGE(_xlfn._xlws.FILTER(Q$2:Q$1073,($C$2:$C$1073=$C1043)*($E$2:$E$1073=$E1043)*(ROW(Q$2:Q$1073)&lt;&gt;ROW(Q1043))*(Q$2:Q$1073&lt;&gt;""))),"")</f>
        <v>4.4365631639945009E-2</v>
      </c>
      <c r="X1043" cm="1">
        <f t="array" ref="X1043">IFERROR(AVERAGE(_xlfn._xlws.FILTER(R$2:R$1073,($C$2:$C$1073=$C1043)*($E$2:$E$1073=$E1043)*(ROW(R$2:R$1073)&lt;&gt;ROW(R1043))*(R$2:R$1073&lt;&gt;""))),"")</f>
        <v>0.27190948578432889</v>
      </c>
      <c r="Y1043" cm="1">
        <f t="array" ref="Y1043">IFERROR(AVERAGE(_xlfn._xlws.FILTER(S$2:S$1073,($C$2:$C$1073=$C1043)*($E$2:$E$1073=$E1043)*(ROW(S$2:S$1073)&lt;&gt;ROW(S1043))*(S$2:S$1073&lt;&gt;""))),"")</f>
        <v>0.58513058062352741</v>
      </c>
      <c r="Z1043" cm="1">
        <f t="array" ref="Z1043">IFERROR(AVERAGE(_xlfn._xlws.FILTER(T$2:T$1073,($C$2:$C$1073=$C1043)*($E$2:$E$1073=$E1043)*(ROW(T$2:T$1073)&lt;&gt;ROW(T1043))*(T$2:T$1073&lt;&gt;""))),"")</f>
        <v>1.388308481062867E-2</v>
      </c>
      <c r="AA1043" cm="1">
        <f t="array" ref="AA1043">IFERROR(AVERAGE(_xlfn._xlws.FILTER(U$2:U$1073,($C$2:$C$1073=$C1043)*($E$2:$E$1073=$E1043)*(ROW(U$2:U$1073)&lt;&gt;ROW(U1043))*(U$2:U$1073&lt;&gt;""))),"")</f>
        <v>8.0451931379993269</v>
      </c>
    </row>
    <row r="1044" spans="1:27" x14ac:dyDescent="0.2">
      <c r="A1044" s="7" t="s">
        <v>2309</v>
      </c>
      <c r="B1044" t="str">
        <f t="shared" si="178"/>
        <v>PIKK IV кв. 2023</v>
      </c>
      <c r="C1044">
        <v>2023</v>
      </c>
      <c r="D1044">
        <f>SUMIFS(Дивиденды!$C:$C,Дивиденды!$A:$A,A1044,Дивиденды!$I:$I,C1044)</f>
        <v>0</v>
      </c>
      <c r="E1044">
        <v>8</v>
      </c>
      <c r="F1044">
        <f t="shared" si="179"/>
        <v>0</v>
      </c>
      <c r="G1044">
        <f t="shared" si="180"/>
        <v>33.333333333333336</v>
      </c>
      <c r="H1044">
        <f t="shared" si="181"/>
        <v>0</v>
      </c>
      <c r="I1044">
        <f t="shared" si="177"/>
        <v>0.33333333333333331</v>
      </c>
      <c r="J1044">
        <f t="shared" si="182"/>
        <v>0</v>
      </c>
      <c r="K1044">
        <f t="shared" si="186"/>
        <v>-0.23931623931623933</v>
      </c>
      <c r="L1044">
        <f t="shared" si="183"/>
        <v>0</v>
      </c>
      <c r="M1044">
        <f t="shared" si="176"/>
        <v>0.33333333333333331</v>
      </c>
      <c r="N1044">
        <f t="shared" si="184"/>
        <v>0</v>
      </c>
      <c r="O1044">
        <f t="shared" si="185"/>
        <v>0.33333333333333331</v>
      </c>
      <c r="P1044">
        <f>IFERROR(LN('Дивиденды по годам'!I1044),"")</f>
        <v>27.982415743501868</v>
      </c>
      <c r="Q1044">
        <f>IFERROR('Дивиденды по годам'!G1044/'Дивиденды по годам'!I1044, "")</f>
        <v>4.2858510057366114E-2</v>
      </c>
      <c r="R1044" t="str">
        <f>IFERROR(IF(AND('Дивиденды по годам'!N1044&lt;&gt;"",'Дивиденды по годам'!U1044&lt;&gt;"",'Дивиденды по годам'!U1044&lt;&gt;0),'Дивиденды по годам'!N1044/'Дивиденды по годам'!U1044-1,""),"")</f>
        <v/>
      </c>
      <c r="S1044">
        <f>IFERROR(IF(AND('Дивиденды по годам'!L1044&lt;&gt;"",'Дивиденды по годам'!I1044&lt;&gt;"",'Дивиденды по годам'!J1044&lt;&gt;"",'Дивиденды по годам'!K1044&lt;&gt;"",('Дивиденды по годам'!I1044-'Дивиденды по годам'!J1044-'Дивиденды по годам'!K1044)&lt;&gt;0),'Дивиденды по годам'!L1044/('Дивиденды по годам'!I1044-'Дивиденды по годам'!J1044-'Дивиденды по годам'!K1044),""),"")</f>
        <v>0.97299702423125978</v>
      </c>
      <c r="T1044" t="str">
        <f>IFERROR(IF(AND('Дивиденды по годам'!Q1044&lt;&gt;"",'Дивиденды по годам'!I1044&lt;&gt;"",'Дивиденды по годам'!V1044&lt;&gt;"",('Дивиденды по годам'!I1044+'Дивиденды по годам'!V1044)&lt;&gt;0),'Дивиденды по годам'!Q1044/(('Дивиденды по годам'!I1044+'Дивиденды по годам'!V1044)/2),""),"")</f>
        <v/>
      </c>
      <c r="U1044">
        <f>IFERROR(IF(AND('Дивиденды по годам'!J1044&lt;&gt;"",'Дивиденды по годам'!K1044&lt;&gt;"",'Дивиденды по годам'!M1044&lt;&gt;"",'Дивиденды по годам'!M1044&lt;&gt;0),('Дивиденды по годам'!J1044+'Дивиденды по годам'!K1044)/'Дивиденды по годам'!M1044,""),"")</f>
        <v>3.0273430636247696</v>
      </c>
      <c r="V1044" cm="1">
        <f t="array" ref="V1044">IFERROR(AVERAGE(_xlfn._xlws.FILTER(P$2:P$1073,($C$2:$C$1073=$C1044)*($E$2:$E$1073=$E1044)*(ROW(P$2:P$1073)&lt;&gt;ROW(P1044))*(P$2:P$1073&lt;&gt;""))),"")</f>
        <v>26.837010220345459</v>
      </c>
      <c r="W1044" cm="1">
        <f t="array" ref="W1044">IFERROR(AVERAGE(_xlfn._xlws.FILTER(Q$2:Q$1073,($C$2:$C$1073=$C1044)*($E$2:$E$1073=$E1044)*(ROW(Q$2:Q$1073)&lt;&gt;ROW(Q1044))*(Q$2:Q$1073&lt;&gt;""))),"")</f>
        <v>3.5842356208900354E-2</v>
      </c>
      <c r="X1044" cm="1">
        <f t="array" ref="X1044">IFERROR(AVERAGE(_xlfn._xlws.FILTER(R$2:R$1073,($C$2:$C$1073=$C1044)*($E$2:$E$1073=$E1044)*(ROW(R$2:R$1073)&lt;&gt;ROW(R1044))*(R$2:R$1073&lt;&gt;""))),"")</f>
        <v>0.42450455940957937</v>
      </c>
      <c r="Y1044" cm="1">
        <f t="array" ref="Y1044">IFERROR(AVERAGE(_xlfn._xlws.FILTER(S$2:S$1073,($C$2:$C$1073=$C1044)*($E$2:$E$1073=$E1044)*(ROW(S$2:S$1073)&lt;&gt;ROW(S1044))*(S$2:S$1073&lt;&gt;""))),"")</f>
        <v>0.55960754913154453</v>
      </c>
      <c r="Z1044" cm="1">
        <f t="array" ref="Z1044">IFERROR(AVERAGE(_xlfn._xlws.FILTER(T$2:T$1073,($C$2:$C$1073=$C1044)*($E$2:$E$1073=$E1044)*(ROW(T$2:T$1073)&lt;&gt;ROW(T1044))*(T$2:T$1073&lt;&gt;""))),"")</f>
        <v>3.1824778892577572E-2</v>
      </c>
      <c r="AA1044" cm="1">
        <f t="array" ref="AA1044">IFERROR(AVERAGE(_xlfn._xlws.FILTER(U$2:U$1073,($C$2:$C$1073=$C1044)*($E$2:$E$1073=$E1044)*(ROW(U$2:U$1073)&lt;&gt;ROW(U1044))*(U$2:U$1073&lt;&gt;""))),"")</f>
        <v>8.4014653642829362</v>
      </c>
    </row>
    <row r="1045" spans="1:27" x14ac:dyDescent="0.2">
      <c r="A1045" s="7" t="s">
        <v>2309</v>
      </c>
      <c r="B1045" t="str">
        <f t="shared" si="178"/>
        <v>PIKK IV кв. 2022</v>
      </c>
      <c r="C1045">
        <v>2022</v>
      </c>
      <c r="D1045">
        <f>SUMIFS(Дивиденды!$C:$C,Дивиденды!$A:$A,A1045,Дивиденды!$I:$I,C1045)</f>
        <v>0</v>
      </c>
      <c r="E1045">
        <v>8</v>
      </c>
      <c r="F1045">
        <f t="shared" si="179"/>
        <v>0</v>
      </c>
      <c r="G1045">
        <f t="shared" si="180"/>
        <v>53.333333333333336</v>
      </c>
      <c r="H1045">
        <f t="shared" si="181"/>
        <v>0</v>
      </c>
      <c r="I1045">
        <f t="shared" si="177"/>
        <v>0.66666666666666663</v>
      </c>
      <c r="J1045">
        <f t="shared" si="182"/>
        <v>-1</v>
      </c>
      <c r="K1045">
        <f t="shared" si="186"/>
        <v>0.66666666666666663</v>
      </c>
      <c r="L1045">
        <f t="shared" si="183"/>
        <v>0</v>
      </c>
      <c r="M1045">
        <f t="shared" si="176"/>
        <v>0.66666666666666663</v>
      </c>
      <c r="N1045">
        <f t="shared" si="184"/>
        <v>1</v>
      </c>
      <c r="O1045">
        <f t="shared" si="185"/>
        <v>0</v>
      </c>
      <c r="P1045" t="str">
        <f>IFERROR(LN('Дивиденды по годам'!I1045),"")</f>
        <v/>
      </c>
      <c r="Q1045" t="str">
        <f>IFERROR('Дивиденды по годам'!G1045/'Дивиденды по годам'!I1045, "")</f>
        <v/>
      </c>
      <c r="R1045" t="str">
        <f>IFERROR(IF(AND('Дивиденды по годам'!N1045&lt;&gt;"",'Дивиденды по годам'!U1045&lt;&gt;"",'Дивиденды по годам'!U1045&lt;&gt;0),'Дивиденды по годам'!N1045/'Дивиденды по годам'!U1045-1,""),"")</f>
        <v/>
      </c>
      <c r="S1045" t="str">
        <f>IFERROR(IF(AND('Дивиденды по годам'!L1045&lt;&gt;"",'Дивиденды по годам'!I1045&lt;&gt;"",'Дивиденды по годам'!J1045&lt;&gt;"",'Дивиденды по годам'!K1045&lt;&gt;"",('Дивиденды по годам'!I1045-'Дивиденды по годам'!J1045-'Дивиденды по годам'!K1045)&lt;&gt;0),'Дивиденды по годам'!L1045/('Дивиденды по годам'!I1045-'Дивиденды по годам'!J1045-'Дивиденды по годам'!K1045),""),"")</f>
        <v/>
      </c>
      <c r="T1045" t="str">
        <f>IFERROR(IF(AND('Дивиденды по годам'!Q1045&lt;&gt;"",'Дивиденды по годам'!I1045&lt;&gt;"",'Дивиденды по годам'!V1045&lt;&gt;"",('Дивиденды по годам'!I1045+'Дивиденды по годам'!V1045)&lt;&gt;0),'Дивиденды по годам'!Q1045/(('Дивиденды по годам'!I1045+'Дивиденды по годам'!V1045)/2),""),"")</f>
        <v/>
      </c>
      <c r="U1045" t="str">
        <f>IFERROR(IF(AND('Дивиденды по годам'!J1045&lt;&gt;"",'Дивиденды по годам'!K1045&lt;&gt;"",'Дивиденды по годам'!M1045&lt;&gt;"",'Дивиденды по годам'!M1045&lt;&gt;0),('Дивиденды по годам'!J1045+'Дивиденды по годам'!K1045)/'Дивиденды по годам'!M1045,""),"")</f>
        <v/>
      </c>
      <c r="V1045" cm="1">
        <f t="array" ref="V1045">IFERROR(AVERAGE(_xlfn._xlws.FILTER(P$2:P$1073,($C$2:$C$1073=$C1045)*($E$2:$E$1073=$E1045)*(ROW(P$2:P$1073)&lt;&gt;ROW(P1045))*(P$2:P$1073&lt;&gt;""))),"")</f>
        <v>26.576744159584223</v>
      </c>
      <c r="W1045" cm="1">
        <f t="array" ref="W1045">IFERROR(AVERAGE(_xlfn._xlws.FILTER(Q$2:Q$1073,($C$2:$C$1073=$C1045)*($E$2:$E$1073=$E1045)*(ROW(Q$2:Q$1073)&lt;&gt;ROW(Q1045))*(Q$2:Q$1073&lt;&gt;""))),"")</f>
        <v>3.2352701169703686E-2</v>
      </c>
      <c r="X1045" cm="1">
        <f t="array" ref="X1045">IFERROR(AVERAGE(_xlfn._xlws.FILTER(R$2:R$1073,($C$2:$C$1073=$C1045)*($E$2:$E$1073=$E1045)*(ROW(R$2:R$1073)&lt;&gt;ROW(R1045))*(R$2:R$1073&lt;&gt;""))),"")</f>
        <v>0.28199675304833532</v>
      </c>
      <c r="Y1045" cm="1">
        <f t="array" ref="Y1045">IFERROR(AVERAGE(_xlfn._xlws.FILTER(S$2:S$1073,($C$2:$C$1073=$C1045)*($E$2:$E$1073=$E1045)*(ROW(S$2:S$1073)&lt;&gt;ROW(S1045))*(S$2:S$1073&lt;&gt;""))),"")</f>
        <v>0.65619459299296234</v>
      </c>
      <c r="Z1045" cm="1">
        <f t="array" ref="Z1045">IFERROR(AVERAGE(_xlfn._xlws.FILTER(T$2:T$1073,($C$2:$C$1073=$C1045)*($E$2:$E$1073=$E1045)*(ROW(T$2:T$1073)&lt;&gt;ROW(T1045))*(T$2:T$1073&lt;&gt;""))),"")</f>
        <v>4.6594765160478779E-2</v>
      </c>
      <c r="AA1045" cm="1">
        <f t="array" ref="AA1045">IFERROR(AVERAGE(_xlfn._xlws.FILTER(U$2:U$1073,($C$2:$C$1073=$C1045)*($E$2:$E$1073=$E1045)*(ROW(U$2:U$1073)&lt;&gt;ROW(U1045))*(U$2:U$1073&lt;&gt;""))),"")</f>
        <v>6.5880536805218455</v>
      </c>
    </row>
    <row r="1046" spans="1:27" x14ac:dyDescent="0.2">
      <c r="A1046" s="7" t="s">
        <v>2309</v>
      </c>
      <c r="B1046" t="str">
        <f t="shared" si="178"/>
        <v>PIKK IV кв. 2021</v>
      </c>
      <c r="C1046">
        <v>2021</v>
      </c>
      <c r="D1046">
        <f>SUMIFS(Дивиденды!$C:$C,Дивиденды!$A:$A,A1046,Дивиденды!$I:$I,C1046)</f>
        <v>22.92</v>
      </c>
      <c r="E1046">
        <v>8</v>
      </c>
      <c r="F1046">
        <f t="shared" si="179"/>
        <v>22.92</v>
      </c>
      <c r="G1046">
        <f t="shared" si="180"/>
        <v>13.666666666666666</v>
      </c>
      <c r="H1046">
        <f t="shared" si="181"/>
        <v>1</v>
      </c>
      <c r="I1046">
        <f t="shared" si="177"/>
        <v>0.33333333333333331</v>
      </c>
      <c r="J1046">
        <f t="shared" si="182"/>
        <v>-0.49314462627156119</v>
      </c>
      <c r="K1046">
        <f t="shared" si="186"/>
        <v>-0.33333333333333331</v>
      </c>
      <c r="L1046">
        <f t="shared" si="183"/>
        <v>0</v>
      </c>
      <c r="M1046">
        <f t="shared" si="176"/>
        <v>0</v>
      </c>
      <c r="N1046">
        <f t="shared" si="184"/>
        <v>1</v>
      </c>
      <c r="O1046">
        <f t="shared" si="185"/>
        <v>0.33333333333333331</v>
      </c>
      <c r="P1046">
        <f>IFERROR(LN('Дивиденды по годам'!I1046),"")</f>
        <v>27.690564683027606</v>
      </c>
      <c r="Q1046">
        <f>IFERROR('Дивиденды по годам'!G1046/'Дивиденды по годам'!I1046, "")</f>
        <v>2.8067031484370879E-2</v>
      </c>
      <c r="R1046">
        <f>IFERROR(IF(AND('Дивиденды по годам'!N1046&lt;&gt;"",'Дивиденды по годам'!U1046&lt;&gt;"",'Дивиденды по годам'!U1046&lt;&gt;0),'Дивиденды по годам'!N1046/'Дивиденды по годам'!U1046-1,""),"")</f>
        <v>0.28315634691617508</v>
      </c>
      <c r="S1046">
        <f>IFERROR(IF(AND('Дивиденды по годам'!L1046&lt;&gt;"",'Дивиденды по годам'!I1046&lt;&gt;"",'Дивиденды по годам'!J1046&lt;&gt;"",'Дивиденды по годам'!K1046&lt;&gt;"",('Дивиденды по годам'!I1046-'Дивиденды по годам'!J1046-'Дивиденды по годам'!K1046)&lt;&gt;0),'Дивиденды по годам'!L1046/('Дивиденды по годам'!I1046-'Дивиденды по годам'!J1046-'Дивиденды по годам'!K1046),""),"")</f>
        <v>0.84644550492018877</v>
      </c>
      <c r="T1046">
        <f>IFERROR(IF(AND('Дивиденды по годам'!Q1046&lt;&gt;"",'Дивиденды по годам'!I1046&lt;&gt;"",'Дивиденды по годам'!V1046&lt;&gt;"",('Дивиденды по годам'!I1046+'Дивиденды по годам'!V1046)&lt;&gt;0),'Дивиденды по годам'!Q1046/(('Дивиденды по годам'!I1046+'Дивиденды по годам'!V1046)/2),""),"")</f>
        <v>0.1211407119801656</v>
      </c>
      <c r="U1046">
        <f>IFERROR(IF(AND('Дивиденды по годам'!J1046&lt;&gt;"",'Дивиденды по годам'!K1046&lt;&gt;"",'Дивиденды по годам'!M1046&lt;&gt;"",'Дивиденды по годам'!M1046&lt;&gt;0),('Дивиденды по годам'!J1046+'Дивиденды по годам'!K1046)/'Дивиденды по годам'!M1046,""),"")</f>
        <v>3.0813225098153825</v>
      </c>
      <c r="V1046" cm="1">
        <f t="array" ref="V1046">IFERROR(AVERAGE(_xlfn._xlws.FILTER(P$2:P$1073,($C$2:$C$1073=$C1046)*($E$2:$E$1073=$E1046)*(ROW(P$2:P$1073)&lt;&gt;ROW(P1046))*(P$2:P$1073&lt;&gt;""))),"")</f>
        <v>26.253679114458194</v>
      </c>
      <c r="W1046" cm="1">
        <f t="array" ref="W1046">IFERROR(AVERAGE(_xlfn._xlws.FILTER(Q$2:Q$1073,($C$2:$C$1073=$C1046)*($E$2:$E$1073=$E1046)*(ROW(Q$2:Q$1073)&lt;&gt;ROW(Q1046))*(Q$2:Q$1073&lt;&gt;""))),"")</f>
        <v>3.3693826331857517E-2</v>
      </c>
      <c r="X1046" cm="1">
        <f t="array" ref="X1046">IFERROR(AVERAGE(_xlfn._xlws.FILTER(R$2:R$1073,($C$2:$C$1073=$C1046)*($E$2:$E$1073=$E1046)*(ROW(R$2:R$1073)&lt;&gt;ROW(R1046))*(R$2:R$1073&lt;&gt;""))),"")</f>
        <v>0.25298261860298249</v>
      </c>
      <c r="Y1046" cm="1">
        <f t="array" ref="Y1046">IFERROR(AVERAGE(_xlfn._xlws.FILTER(S$2:S$1073,($C$2:$C$1073=$C1046)*($E$2:$E$1073=$E1046)*(ROW(S$2:S$1073)&lt;&gt;ROW(S1046))*(S$2:S$1073&lt;&gt;""))),"")</f>
        <v>0.57354448614698106</v>
      </c>
      <c r="Z1046" cm="1">
        <f t="array" ref="Z1046">IFERROR(AVERAGE(_xlfn._xlws.FILTER(T$2:T$1073,($C$2:$C$1073=$C1046)*($E$2:$E$1073=$E1046)*(ROW(T$2:T$1073)&lt;&gt;ROW(T1046))*(T$2:T$1073&lt;&gt;""))),"")</f>
        <v>4.0611886601604467E-2</v>
      </c>
      <c r="AA1046" cm="1">
        <f t="array" ref="AA1046">IFERROR(AVERAGE(_xlfn._xlws.FILTER(U$2:U$1073,($C$2:$C$1073=$C1046)*($E$2:$E$1073=$E1046)*(ROW(U$2:U$1073)&lt;&gt;ROW(U1046))*(U$2:U$1073&lt;&gt;""))),"")</f>
        <v>5.6655304489631204</v>
      </c>
    </row>
    <row r="1047" spans="1:27" x14ac:dyDescent="0.2">
      <c r="A1047" s="7" t="s">
        <v>2309</v>
      </c>
      <c r="B1047" t="str">
        <f t="shared" si="178"/>
        <v>PIKK IV кв. 2020</v>
      </c>
      <c r="C1047">
        <v>2020</v>
      </c>
      <c r="D1047">
        <f>SUMIFS(Дивиденды!$C:$C,Дивиденды!$A:$A,A1047,Дивиденды!$I:$I,C1047)</f>
        <v>45.22</v>
      </c>
      <c r="E1047">
        <v>8</v>
      </c>
      <c r="F1047">
        <f t="shared" si="179"/>
        <v>45.22</v>
      </c>
      <c r="G1047">
        <f t="shared" si="180"/>
        <v>33.333333333333336</v>
      </c>
      <c r="H1047">
        <f t="shared" si="181"/>
        <v>1</v>
      </c>
      <c r="I1047">
        <f t="shared" si="177"/>
        <v>0.66666666666666663</v>
      </c>
      <c r="J1047">
        <f t="shared" si="182"/>
        <v>1</v>
      </c>
      <c r="K1047">
        <f t="shared" si="186"/>
        <v>0.65555555555555556</v>
      </c>
      <c r="L1047">
        <f t="shared" si="183"/>
        <v>1</v>
      </c>
      <c r="M1047">
        <f t="shared" si="176"/>
        <v>0.66666666666666663</v>
      </c>
      <c r="N1047">
        <f t="shared" si="184"/>
        <v>0</v>
      </c>
      <c r="O1047">
        <f t="shared" si="185"/>
        <v>0</v>
      </c>
      <c r="P1047">
        <f>IFERROR(LN('Дивиденды по годам'!I1047),"")</f>
        <v>27.198402670127823</v>
      </c>
      <c r="Q1047">
        <f>IFERROR('Дивиденды по годам'!G1047/'Дивиденды по годам'!I1047, "")</f>
        <v>5.47866240860162E-2</v>
      </c>
      <c r="R1047">
        <f>IFERROR(IF(AND('Дивиденды по годам'!N1047&lt;&gt;"",'Дивиденды по годам'!U1047&lt;&gt;"",'Дивиденды по годам'!U1047&lt;&gt;0),'Дивиденды по годам'!N1047/'Дивиденды по годам'!U1047-1,""),"")</f>
        <v>0.35464571418390434</v>
      </c>
      <c r="S1047">
        <f>IFERROR(IF(AND('Дивиденды по годам'!L1047&lt;&gt;"",'Дивиденды по годам'!I1047&lt;&gt;"",'Дивиденды по годам'!J1047&lt;&gt;"",'Дивиденды по годам'!K1047&lt;&gt;"",('Дивиденды по годам'!I1047-'Дивиденды по годам'!J1047-'Дивиденды по годам'!K1047)&lt;&gt;0),'Дивиденды по годам'!L1047/('Дивиденды по годам'!I1047-'Дивиденды по годам'!J1047-'Дивиденды по годам'!K1047),""),"")</f>
        <v>0.80819588505356232</v>
      </c>
      <c r="T1047">
        <f>IFERROR(IF(AND('Дивиденды по годам'!Q1047&lt;&gt;"",'Дивиденды по годам'!I1047&lt;&gt;"",'Дивиденды по годам'!V1047&lt;&gt;"",('Дивиденды по годам'!I1047+'Дивиденды по годам'!V1047)&lt;&gt;0),'Дивиденды по годам'!Q1047/(('Дивиденды по годам'!I1047+'Дивиденды по годам'!V1047)/2),""),"")</f>
        <v>0.15434002699830748</v>
      </c>
      <c r="U1047">
        <f>IFERROR(IF(AND('Дивиденды по годам'!J1047&lt;&gt;"",'Дивиденды по годам'!K1047&lt;&gt;"",'Дивиденды по годам'!M1047&lt;&gt;"",'Дивиденды по годам'!M1047&lt;&gt;0),('Дивиденды по годам'!J1047+'Дивиденды по годам'!K1047)/'Дивиденды по годам'!M1047,""),"")</f>
        <v>2.5587978783507301</v>
      </c>
      <c r="V1047" cm="1">
        <f t="array" ref="V1047">IFERROR(AVERAGE(_xlfn._xlws.FILTER(P$2:P$1073,($C$2:$C$1073=$C1047)*($E$2:$E$1073=$E1047)*(ROW(P$2:P$1073)&lt;&gt;ROW(P1047))*(P$2:P$1073&lt;&gt;""))),"")</f>
        <v>25.868785707828135</v>
      </c>
      <c r="W1047" cm="1">
        <f t="array" ref="W1047">IFERROR(AVERAGE(_xlfn._xlws.FILTER(Q$2:Q$1073,($C$2:$C$1073=$C1047)*($E$2:$E$1073=$E1047)*(ROW(Q$2:Q$1073)&lt;&gt;ROW(Q1047))*(Q$2:Q$1073&lt;&gt;""))),"")</f>
        <v>3.5186066417577648E-2</v>
      </c>
      <c r="X1047" cm="1">
        <f t="array" ref="X1047">IFERROR(AVERAGE(_xlfn._xlws.FILTER(R$2:R$1073,($C$2:$C$1073=$C1047)*($E$2:$E$1073=$E1047)*(ROW(R$2:R$1073)&lt;&gt;ROW(R1047))*(R$2:R$1073&lt;&gt;""))),"")</f>
        <v>5.9451579937412014E-2</v>
      </c>
      <c r="Y1047" cm="1">
        <f t="array" ref="Y1047">IFERROR(AVERAGE(_xlfn._xlws.FILTER(S$2:S$1073,($C$2:$C$1073=$C1047)*($E$2:$E$1073=$E1047)*(ROW(S$2:S$1073)&lt;&gt;ROW(S1047))*(S$2:S$1073&lt;&gt;""))),"")</f>
        <v>0.61616443648654384</v>
      </c>
      <c r="Z1047" cm="1">
        <f t="array" ref="Z1047">IFERROR(AVERAGE(_xlfn._xlws.FILTER(T$2:T$1073,($C$2:$C$1073=$C1047)*($E$2:$E$1073=$E1047)*(ROW(T$2:T$1073)&lt;&gt;ROW(T1047))*(T$2:T$1073&lt;&gt;""))),"")</f>
        <v>3.5499139887587926E-2</v>
      </c>
      <c r="AA1047" cm="1">
        <f t="array" ref="AA1047">IFERROR(AVERAGE(_xlfn._xlws.FILTER(U$2:U$1073,($C$2:$C$1073=$C1047)*($E$2:$E$1073=$E1047)*(ROW(U$2:U$1073)&lt;&gt;ROW(U1047))*(U$2:U$1073&lt;&gt;""))),"")</f>
        <v>4.3687871824726923</v>
      </c>
    </row>
    <row r="1048" spans="1:27" x14ac:dyDescent="0.2">
      <c r="A1048" s="7" t="s">
        <v>2309</v>
      </c>
      <c r="B1048" t="str">
        <f t="shared" si="178"/>
        <v>PIKK IV кв. 2019</v>
      </c>
      <c r="C1048">
        <v>2019</v>
      </c>
      <c r="D1048">
        <f>SUMIFS(Дивиденды!$C:$C,Дивиденды!$A:$A,A1048,Дивиденды!$I:$I,C1048)</f>
        <v>0</v>
      </c>
      <c r="E1048">
        <v>8</v>
      </c>
      <c r="F1048">
        <f t="shared" si="179"/>
        <v>0</v>
      </c>
      <c r="G1048">
        <f t="shared" si="180"/>
        <v>10</v>
      </c>
      <c r="H1048">
        <f t="shared" si="181"/>
        <v>0</v>
      </c>
      <c r="I1048">
        <f t="shared" si="177"/>
        <v>0.33333333333333331</v>
      </c>
      <c r="J1048">
        <f t="shared" si="182"/>
        <v>-1</v>
      </c>
      <c r="K1048">
        <f t="shared" si="186"/>
        <v>-0.20512820512820515</v>
      </c>
      <c r="L1048">
        <f t="shared" si="183"/>
        <v>0</v>
      </c>
      <c r="M1048">
        <f t="shared" si="176"/>
        <v>0</v>
      </c>
      <c r="N1048">
        <f t="shared" si="184"/>
        <v>1</v>
      </c>
      <c r="O1048">
        <f t="shared" si="185"/>
        <v>0.33333333333333331</v>
      </c>
      <c r="P1048">
        <f>IFERROR(LN('Дивиденды по годам'!I1048),"")</f>
        <v>26.88025117844397</v>
      </c>
      <c r="Q1048">
        <f>IFERROR('Дивиденды по годам'!G1048/'Дивиденды по годам'!I1048, "")</f>
        <v>7.2993180128092403E-2</v>
      </c>
      <c r="R1048">
        <f>IFERROR(IF(AND('Дивиденды по годам'!N1048&lt;&gt;"",'Дивиденды по годам'!U1048&lt;&gt;"",'Дивиденды по годам'!U1048&lt;&gt;0),'Дивиденды по годам'!N1048/'Дивиденды по годам'!U1048-1,""),"")</f>
        <v>0.14192067774264827</v>
      </c>
      <c r="S1048">
        <f>IFERROR(IF(AND('Дивиденды по годам'!L1048&lt;&gt;"",'Дивиденды по годам'!I1048&lt;&gt;"",'Дивиденды по годам'!J1048&lt;&gt;"",'Дивиденды по годам'!K1048&lt;&gt;"",('Дивиденды по годам'!I1048-'Дивиденды по годам'!J1048-'Дивиденды по годам'!K1048)&lt;&gt;0),'Дивиденды по годам'!L1048/('Дивиденды по годам'!I1048-'Дивиденды по годам'!J1048-'Дивиденды по годам'!K1048),""),"")</f>
        <v>0.68876033657333524</v>
      </c>
      <c r="T1048">
        <f>IFERROR(IF(AND('Дивиденды по годам'!Q1048&lt;&gt;"",'Дивиденды по годам'!I1048&lt;&gt;"",'Дивиденды по годам'!V1048&lt;&gt;"",('Дивиденды по годам'!I1048+'Дивиденды по годам'!V1048)&lt;&gt;0),'Дивиденды по годам'!Q1048/(('Дивиденды по годам'!I1048+'Дивиденды по годам'!V1048)/2),""),"")</f>
        <v>0.10956724907586864</v>
      </c>
      <c r="U1048">
        <f>IFERROR(IF(AND('Дивиденды по годам'!J1048&lt;&gt;"",'Дивиденды по годам'!K1048&lt;&gt;"",'Дивиденды по годам'!M1048&lt;&gt;"",'Дивиденды по годам'!M1048&lt;&gt;0),('Дивиденды по годам'!J1048+'Дивиденды по годам'!K1048)/'Дивиденды по годам'!M1048,""),"")</f>
        <v>3.2797312490932828</v>
      </c>
      <c r="V1048" cm="1">
        <f t="array" ref="V1048">IFERROR(AVERAGE(_xlfn._xlws.FILTER(P$2:P$1073,($C$2:$C$1073=$C1048)*($E$2:$E$1073=$E1048)*(ROW(P$2:P$1073)&lt;&gt;ROW(P1048))*(P$2:P$1073&lt;&gt;""))),"")</f>
        <v>25.751647942734362</v>
      </c>
      <c r="W1048" cm="1">
        <f t="array" ref="W1048">IFERROR(AVERAGE(_xlfn._xlws.FILTER(Q$2:Q$1073,($C$2:$C$1073=$C1048)*($E$2:$E$1073=$E1048)*(ROW(Q$2:Q$1073)&lt;&gt;ROW(Q1048))*(Q$2:Q$1073&lt;&gt;""))),"")</f>
        <v>3.9005003297473168E-2</v>
      </c>
      <c r="X1048" cm="1">
        <f t="array" ref="X1048">IFERROR(AVERAGE(_xlfn._xlws.FILTER(R$2:R$1073,($C$2:$C$1073=$C1048)*($E$2:$E$1073=$E1048)*(ROW(R$2:R$1073)&lt;&gt;ROW(R1048))*(R$2:R$1073&lt;&gt;""))),"")</f>
        <v>8.0472830185779623E-2</v>
      </c>
      <c r="Y1048" cm="1">
        <f t="array" ref="Y1048">IFERROR(AVERAGE(_xlfn._xlws.FILTER(S$2:S$1073,($C$2:$C$1073=$C1048)*($E$2:$E$1073=$E1048)*(ROW(S$2:S$1073)&lt;&gt;ROW(S1048))*(S$2:S$1073&lt;&gt;""))),"")</f>
        <v>0.58587039773606053</v>
      </c>
      <c r="Z1048" cm="1">
        <f t="array" ref="Z1048">IFERROR(AVERAGE(_xlfn._xlws.FILTER(T$2:T$1073,($C$2:$C$1073=$C1048)*($E$2:$E$1073=$E1048)*(ROW(T$2:T$1073)&lt;&gt;ROW(T1048))*(T$2:T$1073&lt;&gt;""))),"")</f>
        <v>1.3982540483423338E-2</v>
      </c>
      <c r="AA1048" cm="1">
        <f t="array" ref="AA1048">IFERROR(AVERAGE(_xlfn._xlws.FILTER(U$2:U$1073,($C$2:$C$1073=$C1048)*($E$2:$E$1073=$E1048)*(ROW(U$2:U$1073)&lt;&gt;ROW(U1048))*(U$2:U$1073&lt;&gt;""))),"")</f>
        <v>5.7884203944858639</v>
      </c>
    </row>
    <row r="1049" spans="1:27" x14ac:dyDescent="0.2">
      <c r="A1049" s="7" t="s">
        <v>2309</v>
      </c>
      <c r="B1049" t="str">
        <f t="shared" si="178"/>
        <v>PIKK IV кв. 2018</v>
      </c>
      <c r="C1049">
        <v>2018</v>
      </c>
      <c r="D1049">
        <f>SUMIFS(Дивиденды!$C:$C,Дивиденды!$A:$A,A1049,Дивиденды!$I:$I,C1049)</f>
        <v>45.42</v>
      </c>
      <c r="E1049">
        <v>8</v>
      </c>
      <c r="F1049">
        <f t="shared" si="179"/>
        <v>45.42</v>
      </c>
      <c r="G1049">
        <f t="shared" si="180"/>
        <v>26</v>
      </c>
      <c r="H1049">
        <f t="shared" si="181"/>
        <v>1</v>
      </c>
      <c r="I1049">
        <f t="shared" si="177"/>
        <v>0.33333333333333331</v>
      </c>
      <c r="J1049">
        <f t="shared" si="182"/>
        <v>1</v>
      </c>
      <c r="K1049">
        <f t="shared" si="186"/>
        <v>0</v>
      </c>
      <c r="L1049">
        <f t="shared" si="183"/>
        <v>1</v>
      </c>
      <c r="M1049">
        <f t="shared" si="176"/>
        <v>0</v>
      </c>
      <c r="N1049">
        <f t="shared" si="184"/>
        <v>0</v>
      </c>
      <c r="O1049">
        <f t="shared" si="185"/>
        <v>0</v>
      </c>
      <c r="P1049">
        <f>IFERROR(LN('Дивиденды по годам'!I1049),"")</f>
        <v>26.585398731591049</v>
      </c>
      <c r="Q1049">
        <f>IFERROR('Дивиденды по годам'!G1049/'Дивиденды по годам'!I1049, "")</f>
        <v>7.4512124686675785E-2</v>
      </c>
      <c r="R1049">
        <f>IFERROR(IF(AND('Дивиденды по годам'!N1049&lt;&gt;"",'Дивиденды по годам'!U1049&lt;&gt;"",'Дивиденды по годам'!U1049&lt;&gt;0),'Дивиденды по годам'!N1049/'Дивиденды по годам'!U1049-1,""),"")</f>
        <v>0.40325122477645681</v>
      </c>
      <c r="S1049">
        <f>IFERROR(IF(AND('Дивиденды по годам'!L1049&lt;&gt;"",'Дивиденды по годам'!I1049&lt;&gt;"",'Дивиденды по годам'!J1049&lt;&gt;"",'Дивиденды по годам'!K1049&lt;&gt;"",('Дивиденды по годам'!I1049-'Дивиденды по годам'!J1049-'Дивиденды по годам'!K1049)&lt;&gt;0),'Дивиденды по годам'!L1049/('Дивиденды по годам'!I1049-'Дивиденды по годам'!J1049-'Дивиденды по годам'!K1049),""),"")</f>
        <v>0.49108858605565414</v>
      </c>
      <c r="T1049">
        <f>IFERROR(IF(AND('Дивиденды по годам'!Q1049&lt;&gt;"",'Дивиденды по годам'!I1049&lt;&gt;"",'Дивиденды по годам'!V1049&lt;&gt;"",('Дивиденды по годам'!I1049+'Дивиденды по годам'!V1049)&lt;&gt;0),'Дивиденды по годам'!Q1049/(('Дивиденды по годам'!I1049+'Дивиденды по годам'!V1049)/2),""),"")</f>
        <v>5.825170867019068E-2</v>
      </c>
      <c r="U1049">
        <f>IFERROR(IF(AND('Дивиденды по годам'!J1049&lt;&gt;"",'Дивиденды по годам'!K1049&lt;&gt;"",'Дивиденды по годам'!M1049&lt;&gt;"",'Дивиденды по годам'!M1049&lt;&gt;0),('Дивиденды по годам'!J1049+'Дивиденды по годам'!K1049)/'Дивиденды по годам'!M1049,""),"")</f>
        <v>4.1557553798536038</v>
      </c>
      <c r="V1049" cm="1">
        <f t="array" ref="V1049">IFERROR(AVERAGE(_xlfn._xlws.FILTER(P$2:P$1073,($C$2:$C$1073=$C1049)*($E$2:$E$1073=$E1049)*(ROW(P$2:P$1073)&lt;&gt;ROW(P1049))*(P$2:P$1073&lt;&gt;""))),"")</f>
        <v>25.580851111891473</v>
      </c>
      <c r="W1049" cm="1">
        <f t="array" ref="W1049">IFERROR(AVERAGE(_xlfn._xlws.FILTER(Q$2:Q$1073,($C$2:$C$1073=$C1049)*($E$2:$E$1073=$E1049)*(ROW(Q$2:Q$1073)&lt;&gt;ROW(Q1049))*(Q$2:Q$1073&lt;&gt;""))),"")</f>
        <v>3.9655212260234586E-2</v>
      </c>
      <c r="X1049" cm="1">
        <f t="array" ref="X1049">IFERROR(AVERAGE(_xlfn._xlws.FILTER(R$2:R$1073,($C$2:$C$1073=$C1049)*($E$2:$E$1073=$E1049)*(ROW(R$2:R$1073)&lt;&gt;ROW(R1049))*(R$2:R$1073&lt;&gt;""))),"")</f>
        <v>1.792888521222058E-3</v>
      </c>
      <c r="Y1049" cm="1">
        <f t="array" ref="Y1049">IFERROR(AVERAGE(_xlfn._xlws.FILTER(S$2:S$1073,($C$2:$C$1073=$C1049)*($E$2:$E$1073=$E1049)*(ROW(S$2:S$1073)&lt;&gt;ROW(S1049))*(S$2:S$1073&lt;&gt;""))),"")</f>
        <v>0.66975988236838813</v>
      </c>
      <c r="Z1049" cm="1">
        <f t="array" ref="Z1049">IFERROR(AVERAGE(_xlfn._xlws.FILTER(T$2:T$1073,($C$2:$C$1073=$C1049)*($E$2:$E$1073=$E1049)*(ROW(T$2:T$1073)&lt;&gt;ROW(T1049))*(T$2:T$1073&lt;&gt;""))),"")</f>
        <v>4.0004251434509121E-2</v>
      </c>
      <c r="AA1049" cm="1">
        <f t="array" ref="AA1049">IFERROR(AVERAGE(_xlfn._xlws.FILTER(U$2:U$1073,($C$2:$C$1073=$C1049)*($E$2:$E$1073=$E1049)*(ROW(U$2:U$1073)&lt;&gt;ROW(U1049))*(U$2:U$1073&lt;&gt;""))),"")</f>
        <v>4.0998753438932489</v>
      </c>
    </row>
    <row r="1050" spans="1:27" x14ac:dyDescent="0.2">
      <c r="A1050" s="7" t="s">
        <v>2309</v>
      </c>
      <c r="B1050" t="str">
        <f t="shared" si="178"/>
        <v>PIKK IV кв. 2017</v>
      </c>
      <c r="C1050">
        <v>2017</v>
      </c>
      <c r="D1050">
        <f>SUMIFS(Дивиденды!$C:$C,Дивиденды!$A:$A,A1050,Дивиденды!$I:$I,C1050)</f>
        <v>0</v>
      </c>
      <c r="E1050">
        <v>8</v>
      </c>
      <c r="F1050">
        <f t="shared" si="179"/>
        <v>0</v>
      </c>
      <c r="G1050">
        <f t="shared" si="180"/>
        <v>26</v>
      </c>
      <c r="H1050">
        <f t="shared" si="181"/>
        <v>0</v>
      </c>
      <c r="I1050">
        <f t="shared" si="177"/>
        <v>0.33333333333333331</v>
      </c>
      <c r="J1050">
        <f t="shared" si="182"/>
        <v>0</v>
      </c>
      <c r="K1050">
        <f t="shared" si="186"/>
        <v>0</v>
      </c>
      <c r="L1050">
        <f t="shared" si="183"/>
        <v>0</v>
      </c>
      <c r="M1050">
        <f t="shared" si="176"/>
        <v>0</v>
      </c>
      <c r="N1050">
        <f t="shared" si="184"/>
        <v>0</v>
      </c>
      <c r="O1050">
        <f t="shared" si="185"/>
        <v>0</v>
      </c>
      <c r="P1050">
        <f>IFERROR(LN('Дивиденды по годам'!I1050),"")</f>
        <v>26.658657263423599</v>
      </c>
      <c r="Q1050">
        <f>IFERROR('Дивиденды по годам'!G1050/'Дивиденды по годам'!I1050, "")</f>
        <v>6.2201867854083152E-2</v>
      </c>
      <c r="R1050">
        <f>IFERROR(IF(AND('Дивиденды по годам'!N1050&lt;&gt;"",'Дивиденды по годам'!U1050&lt;&gt;"",'Дивиденды по годам'!U1050&lt;&gt;0),'Дивиденды по годам'!N1050/'Дивиденды по годам'!U1050-1,""),"")</f>
        <v>1.9145282076884671</v>
      </c>
      <c r="S1050">
        <f>IFERROR(IF(AND('Дивиденды по годам'!L1050&lt;&gt;"",'Дивиденды по годам'!I1050&lt;&gt;"",'Дивиденды по годам'!J1050&lt;&gt;"",'Дивиденды по годам'!K1050&lt;&gt;"",('Дивиденды по годам'!I1050-'Дивиденды по годам'!J1050-'Дивиденды по годам'!K1050)&lt;&gt;0),'Дивиденды по годам'!L1050/('Дивиденды по годам'!I1050-'Дивиденды по годам'!J1050-'Дивиденды по годам'!K1050),""),"")</f>
        <v>0.40585595212652276</v>
      </c>
      <c r="T1050">
        <f>IFERROR(IF(AND('Дивиденды по годам'!Q1050&lt;&gt;"",'Дивиденды по годам'!I1050&lt;&gt;"",'Дивиденды по годам'!V1050&lt;&gt;"",('Дивиденды по годам'!I1050+'Дивиденды по годам'!V1050)&lt;&gt;0),'Дивиденды по годам'!Q1050/(('Дивиденды по годам'!I1050+'Дивиденды по годам'!V1050)/2),""),"")</f>
        <v>6.9433116932546028E-3</v>
      </c>
      <c r="U1050">
        <f>IFERROR(IF(AND('Дивиденды по годам'!J1050&lt;&gt;"",'Дивиденды по годам'!K1050&lt;&gt;"",'Дивиденды по годам'!M1050&lt;&gt;"",'Дивиденды по годам'!M1050&lt;&gt;0),('Дивиденды по годам'!J1050+'Дивиденды по годам'!K1050)/'Дивиденды по годам'!M1050,""),"")</f>
        <v>5.7355560304908453</v>
      </c>
      <c r="V1050" cm="1">
        <f t="array" ref="V1050">IFERROR(AVERAGE(_xlfn._xlws.FILTER(P$2:P$1073,($C$2:$C$1073=$C1050)*($E$2:$E$1073=$E1050)*(ROW(P$2:P$1073)&lt;&gt;ROW(P1050))*(P$2:P$1073&lt;&gt;""))),"")</f>
        <v>25.496716708439738</v>
      </c>
      <c r="W1050" cm="1">
        <f t="array" ref="W1050">IFERROR(AVERAGE(_xlfn._xlws.FILTER(Q$2:Q$1073,($C$2:$C$1073=$C1050)*($E$2:$E$1073=$E1050)*(ROW(Q$2:Q$1073)&lt;&gt;ROW(Q1050))*(Q$2:Q$1073&lt;&gt;""))),"")</f>
        <v>4.6953865205004719E-2</v>
      </c>
      <c r="X1050" cm="1">
        <f t="array" ref="X1050">IFERROR(AVERAGE(_xlfn._xlws.FILTER(R$2:R$1073,($C$2:$C$1073=$C1050)*($E$2:$E$1073=$E1050)*(ROW(R$2:R$1073)&lt;&gt;ROW(R1050))*(R$2:R$1073&lt;&gt;""))),"")</f>
        <v>0.55037169842008871</v>
      </c>
      <c r="Y1050" cm="1">
        <f t="array" ref="Y1050">IFERROR(AVERAGE(_xlfn._xlws.FILTER(S$2:S$1073,($C$2:$C$1073=$C1050)*($E$2:$E$1073=$E1050)*(ROW(S$2:S$1073)&lt;&gt;ROW(S1050))*(S$2:S$1073&lt;&gt;""))),"")</f>
        <v>0.61010283838771551</v>
      </c>
      <c r="Z1050" cm="1">
        <f t="array" ref="Z1050">IFERROR(AVERAGE(_xlfn._xlws.FILTER(T$2:T$1073,($C$2:$C$1073=$C1050)*($E$2:$E$1073=$E1050)*(ROW(T$2:T$1073)&lt;&gt;ROW(T1050))*(T$2:T$1073&lt;&gt;""))),"")</f>
        <v>7.2692560837621212E-2</v>
      </c>
      <c r="AA1050" cm="1">
        <f t="array" ref="AA1050">IFERROR(AVERAGE(_xlfn._xlws.FILTER(U$2:U$1073,($C$2:$C$1073=$C1050)*($E$2:$E$1073=$E1050)*(ROW(U$2:U$1073)&lt;&gt;ROW(U1050))*(U$2:U$1073&lt;&gt;""))),"")</f>
        <v>5.0288849383675593</v>
      </c>
    </row>
    <row r="1051" spans="1:27" x14ac:dyDescent="0.2">
      <c r="A1051" s="7" t="s">
        <v>2309</v>
      </c>
      <c r="B1051" t="str">
        <f t="shared" si="178"/>
        <v>PIKK IV кв. 2016</v>
      </c>
      <c r="C1051">
        <v>2016</v>
      </c>
      <c r="D1051">
        <f>SUMIFS(Дивиденды!$C:$C,Дивиденды!$A:$A,A1051,Дивиденды!$I:$I,C1051)</f>
        <v>0</v>
      </c>
      <c r="E1051">
        <v>8</v>
      </c>
      <c r="F1051">
        <f t="shared" si="179"/>
        <v>0</v>
      </c>
      <c r="G1051">
        <f t="shared" si="180"/>
        <v>26</v>
      </c>
      <c r="H1051">
        <f t="shared" si="181"/>
        <v>0</v>
      </c>
      <c r="I1051">
        <f t="shared" si="177"/>
        <v>0.33333333333333331</v>
      </c>
      <c r="J1051">
        <f t="shared" si="182"/>
        <v>0</v>
      </c>
      <c r="K1051">
        <f t="shared" si="186"/>
        <v>0</v>
      </c>
      <c r="L1051">
        <f t="shared" si="183"/>
        <v>0</v>
      </c>
      <c r="M1051">
        <f t="shared" si="176"/>
        <v>0</v>
      </c>
      <c r="N1051">
        <f t="shared" si="184"/>
        <v>0</v>
      </c>
      <c r="O1051">
        <f t="shared" si="185"/>
        <v>0</v>
      </c>
      <c r="P1051">
        <f>IFERROR(LN('Дивиденды по годам'!I1051),"")</f>
        <v>26.602356442834171</v>
      </c>
      <c r="Q1051">
        <f>IFERROR('Дивиденды по годам'!G1051/'Дивиденды по годам'!I1051, "")</f>
        <v>6.483087354958543E-2</v>
      </c>
      <c r="R1051">
        <f>IFERROR(IF(AND('Дивиденды по годам'!N1051&lt;&gt;"",'Дивиденды по годам'!U1051&lt;&gt;"",'Дивиденды по годам'!U1051&lt;&gt;0),'Дивиденды по годам'!N1051/'Дивиденды по годам'!U1051-1,""),"")</f>
        <v>0.17519361652194321</v>
      </c>
      <c r="S1051">
        <f>IFERROR(IF(AND('Дивиденды по годам'!L1051&lt;&gt;"",'Дивиденды по годам'!I1051&lt;&gt;"",'Дивиденды по годам'!J1051&lt;&gt;"",'Дивиденды по годам'!K1051&lt;&gt;"",('Дивиденды по годам'!I1051-'Дивиденды по годам'!J1051-'Дивиденды по годам'!K1051)&lt;&gt;0),'Дивиденды по годам'!L1051/('Дивиденды по годам'!I1051-'Дивиденды по годам'!J1051-'Дивиденды по годам'!K1051),""),"")</f>
        <v>0.4050344490858786</v>
      </c>
      <c r="T1051">
        <f>IFERROR(IF(AND('Дивиденды по годам'!Q1051&lt;&gt;"",'Дивиденды по годам'!I1051&lt;&gt;"",'Дивиденды по годам'!V1051&lt;&gt;"",('Дивиденды по годам'!I1051+'Дивиденды по годам'!V1051)&lt;&gt;0),'Дивиденды по годам'!Q1051/(('Дивиденды по годам'!I1051+'Дивиденды по годам'!V1051)/2),""),"")</f>
        <v>8.8175290668240744E-2</v>
      </c>
      <c r="U1051">
        <f>IFERROR(IF(AND('Дивиденды по годам'!J1051&lt;&gt;"",'Дивиденды по годам'!K1051&lt;&gt;"",'Дивиденды по годам'!M1051&lt;&gt;"",'Дивиденды по годам'!M1051&lt;&gt;0),('Дивиденды по годам'!J1051+'Дивиденды по годам'!K1051)/'Дивиденды по годам'!M1051,""),"")</f>
        <v>5.4645653628456214</v>
      </c>
      <c r="V1051" cm="1">
        <f t="array" ref="V1051">IFERROR(AVERAGE(_xlfn._xlws.FILTER(P$2:P$1073,($C$2:$C$1073=$C1051)*($E$2:$E$1073=$E1051)*(ROW(P$2:P$1073)&lt;&gt;ROW(P1051))*(P$2:P$1073&lt;&gt;""))),"")</f>
        <v>25.248750197363044</v>
      </c>
      <c r="W1051" cm="1">
        <f t="array" ref="W1051">IFERROR(AVERAGE(_xlfn._xlws.FILTER(Q$2:Q$1073,($C$2:$C$1073=$C1051)*($E$2:$E$1073=$E1051)*(ROW(Q$2:Q$1073)&lt;&gt;ROW(Q1051))*(Q$2:Q$1073&lt;&gt;""))),"")</f>
        <v>6.3625847098099611E-2</v>
      </c>
      <c r="X1051" cm="1">
        <f t="array" ref="X1051">IFERROR(AVERAGE(_xlfn._xlws.FILTER(R$2:R$1073,($C$2:$C$1073=$C1051)*($E$2:$E$1073=$E1051)*(ROW(R$2:R$1073)&lt;&gt;ROW(R1051))*(R$2:R$1073&lt;&gt;""))),"")</f>
        <v>0.12946681512320501</v>
      </c>
      <c r="Y1051" cm="1">
        <f t="array" ref="Y1051">IFERROR(AVERAGE(_xlfn._xlws.FILTER(S$2:S$1073,($C$2:$C$1073=$C1051)*($E$2:$E$1073=$E1051)*(ROW(S$2:S$1073)&lt;&gt;ROW(S1051))*(S$2:S$1073&lt;&gt;""))),"")</f>
        <v>0.42287486348354142</v>
      </c>
      <c r="Z1051" cm="1">
        <f t="array" ref="Z1051">IFERROR(AVERAGE(_xlfn._xlws.FILTER(T$2:T$1073,($C$2:$C$1073=$C1051)*($E$2:$E$1073=$E1051)*(ROW(T$2:T$1073)&lt;&gt;ROW(T1051))*(T$2:T$1073&lt;&gt;""))),"")</f>
        <v>4.077866257615545E-2</v>
      </c>
      <c r="AA1051" cm="1">
        <f t="array" ref="AA1051">IFERROR(AVERAGE(_xlfn._xlws.FILTER(U$2:U$1073,($C$2:$C$1073=$C1051)*($E$2:$E$1073=$E1051)*(ROW(U$2:U$1073)&lt;&gt;ROW(U1051))*(U$2:U$1073&lt;&gt;""))),"")</f>
        <v>7.0950757303801932</v>
      </c>
    </row>
    <row r="1052" spans="1:27" x14ac:dyDescent="0.2">
      <c r="A1052" s="7" t="s">
        <v>2309</v>
      </c>
      <c r="B1052" t="str">
        <f t="shared" si="178"/>
        <v>PIKK IV кв. 2015</v>
      </c>
      <c r="C1052">
        <v>2015</v>
      </c>
      <c r="D1052">
        <f>SUMIFS(Дивиденды!$C:$C,Дивиденды!$A:$A,A1052,Дивиденды!$I:$I,C1052)</f>
        <v>0</v>
      </c>
      <c r="E1052">
        <v>8</v>
      </c>
      <c r="F1052">
        <f t="shared" si="179"/>
        <v>0</v>
      </c>
      <c r="G1052">
        <f t="shared" si="180"/>
        <v>26</v>
      </c>
      <c r="H1052">
        <f t="shared" si="181"/>
        <v>0</v>
      </c>
      <c r="I1052">
        <f t="shared" si="177"/>
        <v>0.33333333333333331</v>
      </c>
      <c r="J1052">
        <f t="shared" si="182"/>
        <v>-1</v>
      </c>
      <c r="K1052">
        <f t="shared" si="186"/>
        <v>0</v>
      </c>
      <c r="L1052">
        <f t="shared" si="183"/>
        <v>0</v>
      </c>
      <c r="M1052">
        <f t="shared" si="176"/>
        <v>0</v>
      </c>
      <c r="N1052">
        <f t="shared" si="184"/>
        <v>1</v>
      </c>
      <c r="O1052">
        <f t="shared" si="185"/>
        <v>0</v>
      </c>
      <c r="P1052">
        <f>IFERROR(LN('Дивиденды по годам'!I1052),"")</f>
        <v>25.393333854512345</v>
      </c>
      <c r="Q1052">
        <f>IFERROR('Дивиденды по годам'!G1052/'Дивиденды по годам'!I1052, "")</f>
        <v>7.2648891804507759E-2</v>
      </c>
      <c r="R1052">
        <f>IFERROR(IF(AND('Дивиденды по годам'!N1052&lt;&gt;"",'Дивиденды по годам'!U1052&lt;&gt;"",'Дивиденды по годам'!U1052&lt;&gt;0),'Дивиденды по годам'!N1052/'Дивиденды по годам'!U1052-1,""),"")</f>
        <v>-0.16532810969637612</v>
      </c>
      <c r="S1052">
        <f>IFERROR(IF(AND('Дивиденды по годам'!L1052&lt;&gt;"",'Дивиденды по годам'!I1052&lt;&gt;"",'Дивиденды по годам'!J1052&lt;&gt;"",'Дивиденды по годам'!K1052&lt;&gt;"",('Дивиденды по годам'!I1052-'Дивиденды по годам'!J1052-'Дивиденды по годам'!K1052)&lt;&gt;0),'Дивиденды по годам'!L1052/('Дивиденды по годам'!I1052-'Дивиденды по годам'!J1052-'Дивиденды по годам'!K1052),""),"")</f>
        <v>-2.6445170549974042E-2</v>
      </c>
      <c r="T1052">
        <f>IFERROR(IF(AND('Дивиденды по годам'!Q1052&lt;&gt;"",'Дивиденды по годам'!I1052&lt;&gt;"",'Дивиденды по годам'!V1052&lt;&gt;"",('Дивиденды по годам'!I1052+'Дивиденды по годам'!V1052)&lt;&gt;0),'Дивиденды по годам'!Q1052/(('Дивиденды по годам'!I1052+'Дивиденды по годам'!V1052)/2),""),"")</f>
        <v>0.11243635006604372</v>
      </c>
      <c r="U1052">
        <f>IFERROR(IF(AND('Дивиденды по годам'!J1052&lt;&gt;"",'Дивиденды по годам'!K1052&lt;&gt;"",'Дивиденды по годам'!M1052&lt;&gt;"",'Дивиденды по годам'!M1052&lt;&gt;0),('Дивиденды по годам'!J1052+'Дивиденды по годам'!K1052)/'Дивиденды по годам'!M1052,""),"")</f>
        <v>2.258466424405289</v>
      </c>
      <c r="V1052" cm="1">
        <f t="array" ref="V1052">IFERROR(AVERAGE(_xlfn._xlws.FILTER(P$2:P$1073,($C$2:$C$1073=$C1052)*($E$2:$E$1073=$E1052)*(ROW(P$2:P$1073)&lt;&gt;ROW(P1052))*(P$2:P$1073&lt;&gt;""))),"")</f>
        <v>26.043255126685558</v>
      </c>
      <c r="W1052" cm="1">
        <f t="array" ref="W1052">IFERROR(AVERAGE(_xlfn._xlws.FILTER(Q$2:Q$1073,($C$2:$C$1073=$C1052)*($E$2:$E$1073=$E1052)*(ROW(Q$2:Q$1073)&lt;&gt;ROW(Q1052))*(Q$2:Q$1073&lt;&gt;""))),"")</f>
        <v>0.14199169002871503</v>
      </c>
      <c r="X1052" cm="1">
        <f t="array" ref="X1052">IFERROR(AVERAGE(_xlfn._xlws.FILTER(R$2:R$1073,($C$2:$C$1073=$C1052)*($E$2:$E$1073=$E1052)*(ROW(R$2:R$1073)&lt;&gt;ROW(R1052))*(R$2:R$1073&lt;&gt;""))),"")</f>
        <v>-5.9740061139064382E-2</v>
      </c>
      <c r="Y1052" cm="1">
        <f t="array" ref="Y1052">IFERROR(AVERAGE(_xlfn._xlws.FILTER(S$2:S$1073,($C$2:$C$1073=$C1052)*($E$2:$E$1073=$E1052)*(ROW(S$2:S$1073)&lt;&gt;ROW(S1052))*(S$2:S$1073&lt;&gt;""))),"")</f>
        <v>0.37543060012685225</v>
      </c>
      <c r="Z1052" cm="1">
        <f t="array" ref="Z1052">IFERROR(AVERAGE(_xlfn._xlws.FILTER(T$2:T$1073,($C$2:$C$1073=$C1052)*($E$2:$E$1073=$E1052)*(ROW(T$2:T$1073)&lt;&gt;ROW(T1052))*(T$2:T$1073&lt;&gt;""))),"")</f>
        <v>5.2782105216432063E-2</v>
      </c>
      <c r="AA1052" cm="1">
        <f t="array" ref="AA1052">IFERROR(AVERAGE(_xlfn._xlws.FILTER(U$2:U$1073,($C$2:$C$1073=$C1052)*($E$2:$E$1073=$E1052)*(ROW(U$2:U$1073)&lt;&gt;ROW(U1052))*(U$2:U$1073&lt;&gt;""))),"")</f>
        <v>2.0058757928523696</v>
      </c>
    </row>
    <row r="1053" spans="1:27" x14ac:dyDescent="0.2">
      <c r="A1053" s="7" t="s">
        <v>2309</v>
      </c>
      <c r="B1053" t="str">
        <f t="shared" si="178"/>
        <v>PIKK IV кв. 2014</v>
      </c>
      <c r="C1053">
        <v>2014</v>
      </c>
      <c r="D1053">
        <f>SUMIFS(Дивиденды!$C:$C,Дивиденды!$A:$A,A1053,Дивиденды!$I:$I,C1053)</f>
        <v>4.16</v>
      </c>
      <c r="E1053">
        <v>8</v>
      </c>
      <c r="F1053">
        <f t="shared" si="179"/>
        <v>4.16</v>
      </c>
      <c r="G1053">
        <f t="shared" si="180"/>
        <v>26</v>
      </c>
      <c r="H1053">
        <f t="shared" si="181"/>
        <v>1</v>
      </c>
      <c r="I1053">
        <f t="shared" si="177"/>
        <v>0.33333333333333331</v>
      </c>
      <c r="J1053">
        <f t="shared" si="182"/>
        <v>1</v>
      </c>
      <c r="K1053">
        <f t="shared" si="186"/>
        <v>0.31666666666666665</v>
      </c>
      <c r="L1053">
        <f t="shared" si="183"/>
        <v>1</v>
      </c>
      <c r="M1053">
        <f t="shared" si="176"/>
        <v>0.33333333333333331</v>
      </c>
      <c r="N1053">
        <f t="shared" si="184"/>
        <v>0</v>
      </c>
      <c r="O1053">
        <f t="shared" si="185"/>
        <v>0</v>
      </c>
      <c r="P1053">
        <f>IFERROR(LN('Дивиденды по годам'!I1053),"")</f>
        <v>25.297440589231982</v>
      </c>
      <c r="Q1053">
        <f>IFERROR('Дивиденды по годам'!G1053/'Дивиденды по годам'!I1053, "")</f>
        <v>8.8645459421545572E-2</v>
      </c>
      <c r="R1053">
        <f>IFERROR(IF(AND('Дивиденды по годам'!N1053&lt;&gt;"",'Дивиденды по годам'!U1053&lt;&gt;"",'Дивиденды по годам'!U1053&lt;&gt;0),'Дивиденды по годам'!N1053/'Дивиденды по годам'!U1053-1,""),"")</f>
        <v>-2.0513886446125063E-2</v>
      </c>
      <c r="S1053">
        <f>IFERROR(IF(AND('Дивиденды по годам'!L1053&lt;&gt;"",'Дивиденды по годам'!I1053&lt;&gt;"",'Дивиденды по годам'!J1053&lt;&gt;"",'Дивиденды по годам'!K1053&lt;&gt;"",('Дивиденды по годам'!I1053-'Дивиденды по годам'!J1053-'Дивиденды по годам'!K1053)&lt;&gt;0),'Дивиденды по годам'!L1053/('Дивиденды по годам'!I1053-'Дивиденды по годам'!J1053-'Дивиденды по годам'!K1053),""),"")</f>
        <v>-0.56575798808239108</v>
      </c>
      <c r="T1053">
        <f>IFERROR(IF(AND('Дивиденды по годам'!Q1053&lt;&gt;"",'Дивиденды по годам'!I1053&lt;&gt;"",'Дивиденды по годам'!V1053&lt;&gt;"",('Дивиденды по годам'!I1053+'Дивиденды по годам'!V1053)&lt;&gt;0),'Дивиденды по годам'!Q1053/(('Дивиденды по годам'!I1053+'Дивиденды по годам'!V1053)/2),""),"")</f>
        <v>3.5409633997730873E-2</v>
      </c>
      <c r="U1053">
        <f>IFERROR(IF(AND('Дивиденды по годам'!J1053&lt;&gt;"",'Дивиденды по годам'!K1053&lt;&gt;"",'Дивиденды по годам'!M1053&lt;&gt;"",'Дивиденды по годам'!M1053&lt;&gt;0),('Дивиденды по годам'!J1053+'Дивиденды по годам'!K1053)/'Дивиденды по годам'!M1053,""),"")</f>
        <v>3.5487730493126262</v>
      </c>
      <c r="V1053" cm="1">
        <f t="array" ref="V1053">IFERROR(AVERAGE(_xlfn._xlws.FILTER(P$2:P$1073,($C$2:$C$1073=$C1053)*($E$2:$E$1073=$E1053)*(ROW(P$2:P$1073)&lt;&gt;ROW(P1053))*(P$2:P$1073&lt;&gt;""))),"")</f>
        <v>26.016578948068734</v>
      </c>
      <c r="W1053" cm="1">
        <f t="array" ref="W1053">IFERROR(AVERAGE(_xlfn._xlws.FILTER(Q$2:Q$1073,($C$2:$C$1073=$C1053)*($E$2:$E$1073=$E1053)*(ROW(Q$2:Q$1073)&lt;&gt;ROW(Q1053))*(Q$2:Q$1073&lt;&gt;""))),"")</f>
        <v>0.14115663433522604</v>
      </c>
      <c r="X1053" cm="1">
        <f t="array" ref="X1053">IFERROR(AVERAGE(_xlfn._xlws.FILTER(R$2:R$1073,($C$2:$C$1073=$C1053)*($E$2:$E$1073=$E1053)*(ROW(R$2:R$1073)&lt;&gt;ROW(R1053))*(R$2:R$1073&lt;&gt;""))),"")</f>
        <v>0.41384816821299331</v>
      </c>
      <c r="Y1053" cm="1">
        <f t="array" ref="Y1053">IFERROR(AVERAGE(_xlfn._xlws.FILTER(S$2:S$1073,($C$2:$C$1073=$C1053)*($E$2:$E$1073=$E1053)*(ROW(S$2:S$1073)&lt;&gt;ROW(S1053))*(S$2:S$1073&lt;&gt;""))),"")</f>
        <v>0.34809252409946667</v>
      </c>
      <c r="Z1053" cm="1">
        <f t="array" ref="Z1053">IFERROR(AVERAGE(_xlfn._xlws.FILTER(T$2:T$1073,($C$2:$C$1073=$C1053)*($E$2:$E$1073=$E1053)*(ROW(T$2:T$1073)&lt;&gt;ROW(T1053))*(T$2:T$1073&lt;&gt;""))),"")</f>
        <v>5.1928037914041304E-2</v>
      </c>
      <c r="AA1053" cm="1">
        <f t="array" ref="AA1053">IFERROR(AVERAGE(_xlfn._xlws.FILTER(U$2:U$1073,($C$2:$C$1073=$C1053)*($E$2:$E$1073=$E1053)*(ROW(U$2:U$1073)&lt;&gt;ROW(U1053))*(U$2:U$1073&lt;&gt;""))),"")</f>
        <v>2.0230589429781221</v>
      </c>
    </row>
    <row r="1054" spans="1:27" x14ac:dyDescent="0.2">
      <c r="A1054" s="7" t="s">
        <v>2309</v>
      </c>
      <c r="B1054" t="str">
        <f t="shared" si="178"/>
        <v>PIKK IV кв. 2013</v>
      </c>
      <c r="C1054">
        <v>2013</v>
      </c>
      <c r="D1054">
        <f>SUMIFS(Дивиденды!$C:$C,Дивиденды!$A:$A,A1054,Дивиденды!$I:$I,C1054)</f>
        <v>0</v>
      </c>
      <c r="E1054">
        <v>8</v>
      </c>
      <c r="F1054">
        <f t="shared" si="179"/>
        <v>0</v>
      </c>
      <c r="G1054">
        <f t="shared" si="180"/>
        <v>13.333333333333334</v>
      </c>
      <c r="H1054">
        <f t="shared" si="181"/>
        <v>0</v>
      </c>
      <c r="I1054">
        <f t="shared" si="177"/>
        <v>0.33333333333333331</v>
      </c>
      <c r="J1054">
        <f t="shared" si="182"/>
        <v>0</v>
      </c>
      <c r="K1054">
        <f t="shared" si="186"/>
        <v>0.33333333333333331</v>
      </c>
      <c r="L1054">
        <f t="shared" si="183"/>
        <v>0</v>
      </c>
      <c r="M1054">
        <f t="shared" si="176"/>
        <v>0.33333333333333331</v>
      </c>
      <c r="N1054">
        <f t="shared" si="184"/>
        <v>0</v>
      </c>
      <c r="O1054">
        <f t="shared" si="185"/>
        <v>0</v>
      </c>
      <c r="P1054">
        <f>IFERROR(LN('Дивиденды по годам'!I1054),"")</f>
        <v>25.487412184233467</v>
      </c>
      <c r="Q1054">
        <f>IFERROR('Дивиденды по годам'!G1054/'Дивиденды по годам'!I1054, "")</f>
        <v>7.718948059813531E-2</v>
      </c>
      <c r="R1054">
        <f>IFERROR(IF(AND('Дивиденды по годам'!N1054&lt;&gt;"",'Дивиденды по годам'!U1054&lt;&gt;"",'Дивиденды по годам'!U1054&lt;&gt;0),'Дивиденды по годам'!N1054/'Дивиденды по годам'!U1054-1,""),"")</f>
        <v>-5.4227343525533378E-2</v>
      </c>
      <c r="S1054" t="str">
        <f>IFERROR(IF(AND('Дивиденды по годам'!L1054&lt;&gt;"",'Дивиденды по годам'!I1054&lt;&gt;"",'Дивиденды по годам'!J1054&lt;&gt;"",'Дивиденды по годам'!K1054&lt;&gt;"",('Дивиденды по годам'!I1054-'Дивиденды по годам'!J1054-'Дивиденды по годам'!K1054)&lt;&gt;0),'Дивиденды по годам'!L1054/('Дивиденды по годам'!I1054-'Дивиденды по годам'!J1054-'Дивиденды по годам'!K1054),""),"")</f>
        <v/>
      </c>
      <c r="T1054">
        <f>IFERROR(IF(AND('Дивиденды по годам'!Q1054&lt;&gt;"",'Дивиденды по годам'!I1054&lt;&gt;"",'Дивиденды по годам'!V1054&lt;&gt;"",('Дивиденды по годам'!I1054+'Дивиденды по годам'!V1054)&lt;&gt;0),'Дивиденды по годам'!Q1054/(('Дивиденды по годам'!I1054+'Дивиденды по годам'!V1054)/2),""),"")</f>
        <v>6.1116308076083564E-2</v>
      </c>
      <c r="U1054">
        <f>IFERROR(IF(AND('Дивиденды по годам'!J1054&lt;&gt;"",'Дивиденды по годам'!K1054&lt;&gt;"",'Дивиденды по годам'!M1054&lt;&gt;"",'Дивиденды по годам'!M1054&lt;&gt;0),('Дивиденды по годам'!J1054+'Дивиденды по годам'!K1054)/'Дивиденды по годам'!M1054,""),"")</f>
        <v>4.6844784948843525</v>
      </c>
      <c r="V1054" cm="1">
        <f t="array" ref="V1054">IFERROR(AVERAGE(_xlfn._xlws.FILTER(P$2:P$1073,($C$2:$C$1073=$C1054)*($E$2:$E$1073=$E1054)*(ROW(P$2:P$1073)&lt;&gt;ROW(P1054))*(P$2:P$1073&lt;&gt;""))),"")</f>
        <v>25.769362170085564</v>
      </c>
      <c r="W1054" cm="1">
        <f t="array" ref="W1054">IFERROR(AVERAGE(_xlfn._xlws.FILTER(Q$2:Q$1073,($C$2:$C$1073=$C1054)*($E$2:$E$1073=$E1054)*(ROW(Q$2:Q$1073)&lt;&gt;ROW(Q1054))*(Q$2:Q$1073&lt;&gt;""))),"")</f>
        <v>0.27523588003885763</v>
      </c>
      <c r="X1054" cm="1">
        <f t="array" ref="X1054">IFERROR(AVERAGE(_xlfn._xlws.FILTER(R$2:R$1073,($C$2:$C$1073=$C1054)*($E$2:$E$1073=$E1054)*(ROW(R$2:R$1073)&lt;&gt;ROW(R1054))*(R$2:R$1073&lt;&gt;""))),"")</f>
        <v>6.8626056301193339E-2</v>
      </c>
      <c r="Y1054" t="str" cm="1">
        <f t="array" ref="Y1054">IFERROR(AVERAGE(_xlfn._xlws.FILTER(S$2:S$1073,($C$2:$C$1073=$C1054)*($E$2:$E$1073=$E1054)*(ROW(S$2:S$1073)&lt;&gt;ROW(S1054))*(S$2:S$1073&lt;&gt;""))),"")</f>
        <v/>
      </c>
      <c r="Z1054" cm="1">
        <f t="array" ref="Z1054">IFERROR(AVERAGE(_xlfn._xlws.FILTER(T$2:T$1073,($C$2:$C$1073=$C1054)*($E$2:$E$1073=$E1054)*(ROW(T$2:T$1073)&lt;&gt;ROW(T1054))*(T$2:T$1073&lt;&gt;""))),"")</f>
        <v>3.5700666673369887E-2</v>
      </c>
      <c r="AA1054" cm="1">
        <f t="array" ref="AA1054">IFERROR(AVERAGE(_xlfn._xlws.FILTER(U$2:U$1073,($C$2:$C$1073=$C1054)*($E$2:$E$1073=$E1054)*(ROW(U$2:U$1073)&lt;&gt;ROW(U1054))*(U$2:U$1073&lt;&gt;""))),"")</f>
        <v>1.6320542146840915</v>
      </c>
    </row>
    <row r="1055" spans="1:27" x14ac:dyDescent="0.2">
      <c r="A1055" s="7" t="s">
        <v>2309</v>
      </c>
      <c r="B1055" t="str">
        <f t="shared" si="178"/>
        <v>PIKK IV кв. 2012</v>
      </c>
      <c r="C1055">
        <v>2012</v>
      </c>
      <c r="D1055">
        <f>SUMIFS(Дивиденды!$C:$C,Дивиденды!$A:$A,A1055,Дивиденды!$I:$I,C1055)</f>
        <v>0</v>
      </c>
      <c r="E1055">
        <v>8</v>
      </c>
      <c r="F1055">
        <f t="shared" si="179"/>
        <v>0</v>
      </c>
      <c r="G1055">
        <f t="shared" si="180"/>
        <v>6.666666666666667</v>
      </c>
      <c r="H1055">
        <f t="shared" si="181"/>
        <v>0</v>
      </c>
      <c r="I1055">
        <f t="shared" si="177"/>
        <v>0.33333333333333331</v>
      </c>
      <c r="J1055">
        <f t="shared" si="182"/>
        <v>0</v>
      </c>
      <c r="K1055">
        <f t="shared" si="186"/>
        <v>0</v>
      </c>
      <c r="L1055">
        <f t="shared" si="183"/>
        <v>0</v>
      </c>
      <c r="M1055">
        <f t="shared" si="176"/>
        <v>0</v>
      </c>
      <c r="N1055">
        <f t="shared" si="184"/>
        <v>0</v>
      </c>
      <c r="O1055">
        <f t="shared" si="185"/>
        <v>0</v>
      </c>
      <c r="P1055">
        <f>IFERROR(LN('Дивиденды по годам'!I1055),"")</f>
        <v>25.563516050221082</v>
      </c>
      <c r="Q1055">
        <f>IFERROR('Дивиденды по годам'!G1055/'Дивиденды по годам'!I1055, "")</f>
        <v>7.1746468407364372E-2</v>
      </c>
      <c r="R1055">
        <f>IFERROR(IF(AND('Дивиденды по годам'!N1055&lt;&gt;"",'Дивиденды по годам'!U1055&lt;&gt;"",'Дивиденды по годам'!U1055&lt;&gt;0),'Дивиденды по годам'!N1055/'Дивиденды по годам'!U1055-1,""),"")</f>
        <v>0.43786827857624311</v>
      </c>
      <c r="S1055" t="str">
        <f>IFERROR(IF(AND('Дивиденды по годам'!L1055&lt;&gt;"",'Дивиденды по годам'!I1055&lt;&gt;"",'Дивиденды по годам'!J1055&lt;&gt;"",'Дивиденды по годам'!K1055&lt;&gt;"",('Дивиденды по годам'!I1055-'Дивиденды по годам'!J1055-'Дивиденды по годам'!K1055)&lt;&gt;0),'Дивиденды по годам'!L1055/('Дивиденды по годам'!I1055-'Дивиденды по годам'!J1055-'Дивиденды по годам'!K1055),""),"")</f>
        <v/>
      </c>
      <c r="T1055">
        <f>IFERROR(IF(AND('Дивиденды по годам'!Q1055&lt;&gt;"",'Дивиденды по годам'!I1055&lt;&gt;"",'Дивиденды по годам'!V1055&lt;&gt;"",('Дивиденды по годам'!I1055+'Дивиденды по годам'!V1055)&lt;&gt;0),'Дивиденды по годам'!Q1055/(('Дивиденды по годам'!I1055+'Дивиденды по годам'!V1055)/2),""),"")</f>
        <v>2.4499069630790325E-2</v>
      </c>
      <c r="U1055">
        <f>IFERROR(IF(AND('Дивиденды по годам'!J1055&lt;&gt;"",'Дивиденды по годам'!K1055&lt;&gt;"",'Дивиденды по годам'!M1055&lt;&gt;"",'Дивиденды по годам'!M1055&lt;&gt;0),('Дивиденды по годам'!J1055+'Дивиденды по годам'!K1055)/'Дивиденды по годам'!M1055,""),"")</f>
        <v>36.817937219730943</v>
      </c>
      <c r="V1055" cm="1">
        <f t="array" ref="V1055">IFERROR(AVERAGE(_xlfn._xlws.FILTER(P$2:P$1073,($C$2:$C$1073=$C1055)*($E$2:$E$1073=$E1055)*(ROW(P$2:P$1073)&lt;&gt;ROW(P1055))*(P$2:P$1073&lt;&gt;""))),"")</f>
        <v>25.64890851498329</v>
      </c>
      <c r="W1055" cm="1">
        <f t="array" ref="W1055">IFERROR(AVERAGE(_xlfn._xlws.FILTER(Q$2:Q$1073,($C$2:$C$1073=$C1055)*($E$2:$E$1073=$E1055)*(ROW(Q$2:Q$1073)&lt;&gt;ROW(Q1055))*(Q$2:Q$1073&lt;&gt;""))),"")</f>
        <v>0.28965059407948418</v>
      </c>
      <c r="X1055" cm="1">
        <f t="array" ref="X1055">IFERROR(AVERAGE(_xlfn._xlws.FILTER(R$2:R$1073,($C$2:$C$1073=$C1055)*($E$2:$E$1073=$E1055)*(ROW(R$2:R$1073)&lt;&gt;ROW(R1055))*(R$2:R$1073&lt;&gt;""))),"")</f>
        <v>0.1774613598628958</v>
      </c>
      <c r="Y1055" t="str" cm="1">
        <f t="array" ref="Y1055">IFERROR(AVERAGE(_xlfn._xlws.FILTER(S$2:S$1073,($C$2:$C$1073=$C1055)*($E$2:$E$1073=$E1055)*(ROW(S$2:S$1073)&lt;&gt;ROW(S1055))*(S$2:S$1073&lt;&gt;""))),"")</f>
        <v/>
      </c>
      <c r="Z1055" cm="1">
        <f t="array" ref="Z1055">IFERROR(AVERAGE(_xlfn._xlws.FILTER(T$2:T$1073,($C$2:$C$1073=$C1055)*($E$2:$E$1073=$E1055)*(ROW(T$2:T$1073)&lt;&gt;ROW(T1055))*(T$2:T$1073&lt;&gt;""))),"")</f>
        <v>3.7136747603905576E-2</v>
      </c>
      <c r="AA1055" cm="1">
        <f t="array" ref="AA1055">IFERROR(AVERAGE(_xlfn._xlws.FILTER(U$2:U$1073,($C$2:$C$1073=$C1055)*($E$2:$E$1073=$E1055)*(ROW(U$2:U$1073)&lt;&gt;ROW(U1055))*(U$2:U$1073&lt;&gt;""))),"")</f>
        <v>1.4298803811165557</v>
      </c>
    </row>
    <row r="1056" spans="1:27" x14ac:dyDescent="0.2">
      <c r="A1056" s="7" t="s">
        <v>2309</v>
      </c>
      <c r="B1056" t="str">
        <f t="shared" si="178"/>
        <v>PIKK IV кв. 2011</v>
      </c>
      <c r="C1056">
        <v>2011</v>
      </c>
      <c r="D1056">
        <f>SUMIFS(Дивиденды!$C:$C,Дивиденды!$A:$A,A1056,Дивиденды!$I:$I,C1056)</f>
        <v>0</v>
      </c>
      <c r="E1056">
        <v>8</v>
      </c>
      <c r="F1056">
        <f t="shared" si="179"/>
        <v>0</v>
      </c>
      <c r="G1056">
        <f t="shared" si="180"/>
        <v>6.666666666666667</v>
      </c>
      <c r="H1056">
        <f t="shared" si="181"/>
        <v>0</v>
      </c>
      <c r="I1056">
        <f t="shared" si="177"/>
        <v>0.33333333333333331</v>
      </c>
      <c r="J1056">
        <f t="shared" si="182"/>
        <v>0</v>
      </c>
      <c r="K1056">
        <f t="shared" si="186"/>
        <v>0.1111111111111111</v>
      </c>
      <c r="L1056">
        <f t="shared" si="183"/>
        <v>0</v>
      </c>
      <c r="M1056">
        <f t="shared" si="176"/>
        <v>0.33333333333333331</v>
      </c>
      <c r="N1056">
        <f t="shared" si="184"/>
        <v>0</v>
      </c>
      <c r="O1056">
        <f t="shared" si="185"/>
        <v>0</v>
      </c>
      <c r="P1056">
        <f>IFERROR(LN('Дивиденды по годам'!I1056),"")</f>
        <v>25.581324766885476</v>
      </c>
      <c r="Q1056">
        <f>IFERROR('Дивиденды по годам'!G1056/'Дивиденды по годам'!I1056, "")</f>
        <v>7.006849208691196E-2</v>
      </c>
      <c r="R1056" t="str">
        <f>IFERROR(IF(AND('Дивиденды по годам'!N1056&lt;&gt;"",'Дивиденды по годам'!U1056&lt;&gt;"",'Дивиденды по годам'!U1056&lt;&gt;0),'Дивиденды по годам'!N1056/'Дивиденды по годам'!U1056-1,""),"")</f>
        <v/>
      </c>
      <c r="S1056" t="str">
        <f>IFERROR(IF(AND('Дивиденды по годам'!L1056&lt;&gt;"",'Дивиденды по годам'!I1056&lt;&gt;"",'Дивиденды по годам'!J1056&lt;&gt;"",'Дивиденды по годам'!K1056&lt;&gt;"",('Дивиденды по годам'!I1056-'Дивиденды по годам'!J1056-'Дивиденды по годам'!K1056)&lt;&gt;0),'Дивиденды по годам'!L1056/('Дивиденды по годам'!I1056-'Дивиденды по годам'!J1056-'Дивиденды по годам'!K1056),""),"")</f>
        <v/>
      </c>
      <c r="T1056" t="str">
        <f>IFERROR(IF(AND('Дивиденды по годам'!Q1056&lt;&gt;"",'Дивиденды по годам'!I1056&lt;&gt;"",'Дивиденды по годам'!V1056&lt;&gt;"",('Дивиденды по годам'!I1056+'Дивиденды по годам'!V1056)&lt;&gt;0),'Дивиденды по годам'!Q1056/(('Дивиденды по годам'!I1056+'Дивиденды по годам'!V1056)/2),""),"")</f>
        <v/>
      </c>
      <c r="U1056">
        <f>IFERROR(IF(AND('Дивиденды по годам'!J1056&lt;&gt;"",'Дивиденды по годам'!K1056&lt;&gt;"",'Дивиденды по годам'!M1056&lt;&gt;"",'Дивиденды по годам'!M1056&lt;&gt;0),('Дивиденды по годам'!J1056+'Дивиденды по годам'!K1056)/'Дивиденды по годам'!M1056,""),"")</f>
        <v>589.70642201834858</v>
      </c>
      <c r="V1056" cm="1">
        <f t="array" ref="V1056">IFERROR(AVERAGE(_xlfn._xlws.FILTER(P$2:P$1073,($C$2:$C$1073=$C1056)*($E$2:$E$1073=$E1056)*(ROW(P$2:P$1073)&lt;&gt;ROW(P1056))*(P$2:P$1073&lt;&gt;""))),"")</f>
        <v>25.566367058476462</v>
      </c>
      <c r="W1056" cm="1">
        <f t="array" ref="W1056">IFERROR(AVERAGE(_xlfn._xlws.FILTER(Q$2:Q$1073,($C$2:$C$1073=$C1056)*($E$2:$E$1073=$E1056)*(ROW(Q$2:Q$1073)&lt;&gt;ROW(Q1056))*(Q$2:Q$1073&lt;&gt;""))),"")</f>
        <v>0.29425209264511243</v>
      </c>
      <c r="X1056" t="str" cm="1">
        <f t="array" ref="X1056">IFERROR(AVERAGE(_xlfn._xlws.FILTER(R$2:R$1073,($C$2:$C$1073=$C1056)*($E$2:$E$1073=$E1056)*(ROW(R$2:R$1073)&lt;&gt;ROW(R1056))*(R$2:R$1073&lt;&gt;""))),"")</f>
        <v/>
      </c>
      <c r="Y1056" t="str" cm="1">
        <f t="array" ref="Y1056">IFERROR(AVERAGE(_xlfn._xlws.FILTER(S$2:S$1073,($C$2:$C$1073=$C1056)*($E$2:$E$1073=$E1056)*(ROW(S$2:S$1073)&lt;&gt;ROW(S1056))*(S$2:S$1073&lt;&gt;""))),"")</f>
        <v/>
      </c>
      <c r="Z1056" t="str" cm="1">
        <f t="array" ref="Z1056">IFERROR(AVERAGE(_xlfn._xlws.FILTER(T$2:T$1073,($C$2:$C$1073=$C1056)*($E$2:$E$1073=$E1056)*(ROW(T$2:T$1073)&lt;&gt;ROW(T1056))*(T$2:T$1073&lt;&gt;""))),"")</f>
        <v/>
      </c>
      <c r="AA1056" cm="1">
        <f t="array" ref="AA1056">IFERROR(AVERAGE(_xlfn._xlws.FILTER(U$2:U$1073,($C$2:$C$1073=$C1056)*($E$2:$E$1073=$E1056)*(ROW(U$2:U$1073)&lt;&gt;ROW(U1056))*(U$2:U$1073&lt;&gt;""))),"")</f>
        <v>1.3515857955080697</v>
      </c>
    </row>
    <row r="1057" spans="1:27" x14ac:dyDescent="0.2">
      <c r="A1057" s="7" t="s">
        <v>2309</v>
      </c>
      <c r="B1057" t="str">
        <f t="shared" si="178"/>
        <v>PIKK IV кв. 2010</v>
      </c>
      <c r="C1057">
        <v>2010</v>
      </c>
      <c r="D1057">
        <f>SUMIFS(Дивиденды!$C:$C,Дивиденды!$A:$A,A1057,Дивиденды!$I:$I,C1057)</f>
        <v>0</v>
      </c>
      <c r="E1057">
        <v>8</v>
      </c>
      <c r="F1057">
        <f t="shared" si="179"/>
        <v>0</v>
      </c>
      <c r="G1057">
        <f t="shared" si="180"/>
        <v>5</v>
      </c>
      <c r="H1057">
        <f t="shared" si="181"/>
        <v>0</v>
      </c>
      <c r="I1057">
        <f t="shared" si="177"/>
        <v>0.33333333333333331</v>
      </c>
      <c r="J1057" t="str">
        <f t="shared" si="182"/>
        <v/>
      </c>
      <c r="K1057" t="str">
        <f t="shared" si="186"/>
        <v/>
      </c>
      <c r="L1057" t="str">
        <f t="shared" si="183"/>
        <v/>
      </c>
      <c r="M1057" t="str">
        <f t="shared" ref="M1057:M1073" si="187">IFERROR(AVERAGEIFS($L:$L,$E:$E,E1057,$C:$C,C1057,$A:$A,"&lt;&gt;"&amp;A1057),"")</f>
        <v/>
      </c>
      <c r="N1057" t="str">
        <f t="shared" si="184"/>
        <v/>
      </c>
      <c r="O1057" t="str">
        <f t="shared" si="185"/>
        <v/>
      </c>
      <c r="P1057" t="str">
        <f>IFERROR(LN('Дивиденды по годам'!I1057),"")</f>
        <v/>
      </c>
      <c r="Q1057" t="str">
        <f>IFERROR('Дивиденды по годам'!G1057/'Дивиденды по годам'!I1057, "")</f>
        <v/>
      </c>
      <c r="R1057" t="str">
        <f>IFERROR(IF(AND('Дивиденды по годам'!N1057&lt;&gt;"",'Дивиденды по годам'!U1057&lt;&gt;"",'Дивиденды по годам'!U1057&lt;&gt;0),'Дивиденды по годам'!N1057/'Дивиденды по годам'!U1057-1,""),"")</f>
        <v/>
      </c>
      <c r="S1057" t="str">
        <f>IFERROR(IF(AND('Дивиденды по годам'!L1057&lt;&gt;"",'Дивиденды по годам'!I1057&lt;&gt;"",'Дивиденды по годам'!J1057&lt;&gt;"",'Дивиденды по годам'!K1057&lt;&gt;"",('Дивиденды по годам'!I1057-'Дивиденды по годам'!J1057-'Дивиденды по годам'!K1057)&lt;&gt;0),'Дивиденды по годам'!L1057/('Дивиденды по годам'!I1057-'Дивиденды по годам'!J1057-'Дивиденды по годам'!K1057),""),"")</f>
        <v/>
      </c>
      <c r="T1057" t="str">
        <f>IFERROR(IF(AND('Дивиденды по годам'!Q1057&lt;&gt;"",'Дивиденды по годам'!I1057&lt;&gt;"",'Дивиденды по годам'!V1057&lt;&gt;"",('Дивиденды по годам'!I1057+'Дивиденды по годам'!V1057)&lt;&gt;0),'Дивиденды по годам'!Q1057/(('Дивиденды по годам'!I1057+'Дивиденды по годам'!V1057)/2),""),"")</f>
        <v/>
      </c>
      <c r="U1057" t="str">
        <f>IFERROR(IF(AND('Дивиденды по годам'!J1057&lt;&gt;"",'Дивиденды по годам'!K1057&lt;&gt;"",'Дивиденды по годам'!M1057&lt;&gt;"",'Дивиденды по годам'!M1057&lt;&gt;0),('Дивиденды по годам'!J1057+'Дивиденды по годам'!K1057)/'Дивиденды по годам'!M1057,""),"")</f>
        <v/>
      </c>
      <c r="V1057" t="str" cm="1">
        <f t="array" ref="V1057">IFERROR(AVERAGE(_xlfn._xlws.FILTER(P$2:P$1073,($C$2:$C$1073=$C1057)*($E$2:$E$1073=$E1057)*(ROW(P$2:P$1073)&lt;&gt;ROW(P1057))*(P$2:P$1073&lt;&gt;""))),"")</f>
        <v/>
      </c>
      <c r="W1057" t="str" cm="1">
        <f t="array" ref="W1057">IFERROR(AVERAGE(_xlfn._xlws.FILTER(Q$2:Q$1073,($C$2:$C$1073=$C1057)*($E$2:$E$1073=$E1057)*(ROW(Q$2:Q$1073)&lt;&gt;ROW(Q1057))*(Q$2:Q$1073&lt;&gt;""))),"")</f>
        <v/>
      </c>
      <c r="X1057" t="str" cm="1">
        <f t="array" ref="X1057">IFERROR(AVERAGE(_xlfn._xlws.FILTER(R$2:R$1073,($C$2:$C$1073=$C1057)*($E$2:$E$1073=$E1057)*(ROW(R$2:R$1073)&lt;&gt;ROW(R1057))*(R$2:R$1073&lt;&gt;""))),"")</f>
        <v/>
      </c>
      <c r="Y1057" t="str" cm="1">
        <f t="array" ref="Y1057">IFERROR(AVERAGE(_xlfn._xlws.FILTER(S$2:S$1073,($C$2:$C$1073=$C1057)*($E$2:$E$1073=$E1057)*(ROW(S$2:S$1073)&lt;&gt;ROW(S1057))*(S$2:S$1073&lt;&gt;""))),"")</f>
        <v/>
      </c>
      <c r="Z1057" t="str" cm="1">
        <f t="array" ref="Z1057">IFERROR(AVERAGE(_xlfn._xlws.FILTER(T$2:T$1073,($C$2:$C$1073=$C1057)*($E$2:$E$1073=$E1057)*(ROW(T$2:T$1073)&lt;&gt;ROW(T1057))*(T$2:T$1073&lt;&gt;""))),"")</f>
        <v/>
      </c>
      <c r="AA1057" t="str" cm="1">
        <f t="array" ref="AA1057">IFERROR(AVERAGE(_xlfn._xlws.FILTER(U$2:U$1073,($C$2:$C$1073=$C1057)*($E$2:$E$1073=$E1057)*(ROW(U$2:U$1073)&lt;&gt;ROW(U1057))*(U$2:U$1073&lt;&gt;""))),"")</f>
        <v/>
      </c>
    </row>
    <row r="1058" spans="1:27" x14ac:dyDescent="0.2">
      <c r="A1058" s="7" t="s">
        <v>2311</v>
      </c>
      <c r="B1058" t="str">
        <f t="shared" si="178"/>
        <v>SMLT IV кв. 2025</v>
      </c>
      <c r="C1058">
        <v>2025</v>
      </c>
      <c r="D1058">
        <f>SUMIFS(Дивиденды!$C:$C,Дивиденды!$A:$A,A1058,Дивиденды!$I:$I,C1058)</f>
        <v>0</v>
      </c>
      <c r="E1058">
        <v>8</v>
      </c>
      <c r="F1058">
        <f t="shared" si="179"/>
        <v>0</v>
      </c>
      <c r="G1058">
        <f t="shared" si="180"/>
        <v>26</v>
      </c>
      <c r="H1058">
        <f t="shared" si="181"/>
        <v>0</v>
      </c>
      <c r="I1058">
        <f t="shared" si="177"/>
        <v>0.33333333333333331</v>
      </c>
      <c r="J1058">
        <f t="shared" si="182"/>
        <v>0</v>
      </c>
      <c r="K1058">
        <f t="shared" si="186"/>
        <v>0.33333333333333331</v>
      </c>
      <c r="L1058">
        <f t="shared" si="183"/>
        <v>0</v>
      </c>
      <c r="M1058">
        <f t="shared" si="187"/>
        <v>0.33333333333333331</v>
      </c>
      <c r="N1058">
        <f t="shared" si="184"/>
        <v>0</v>
      </c>
      <c r="O1058">
        <f t="shared" si="185"/>
        <v>0</v>
      </c>
      <c r="P1058" t="str">
        <f>IFERROR(LN('Дивиденды по годам'!I1058),"")</f>
        <v/>
      </c>
      <c r="Q1058" t="str">
        <f>IFERROR('Дивиденды по годам'!G1058/'Дивиденды по годам'!I1058, "")</f>
        <v/>
      </c>
      <c r="R1058" t="str">
        <f>IFERROR(IF(AND('Дивиденды по годам'!N1058&lt;&gt;"",'Дивиденды по годам'!U1058&lt;&gt;"",'Дивиденды по годам'!U1058&lt;&gt;0),'Дивиденды по годам'!N1058/'Дивиденды по годам'!U1058-1,""),"")</f>
        <v/>
      </c>
      <c r="S1058" t="str">
        <f>IFERROR(IF(AND('Дивиденды по годам'!L1058&lt;&gt;"",'Дивиденды по годам'!I1058&lt;&gt;"",'Дивиденды по годам'!J1058&lt;&gt;"",'Дивиденды по годам'!K1058&lt;&gt;"",('Дивиденды по годам'!I1058-'Дивиденды по годам'!J1058-'Дивиденды по годам'!K1058)&lt;&gt;0),'Дивиденды по годам'!L1058/('Дивиденды по годам'!I1058-'Дивиденды по годам'!J1058-'Дивиденды по годам'!K1058),""),"")</f>
        <v/>
      </c>
      <c r="T1058" t="str">
        <f>IFERROR(IF(AND('Дивиденды по годам'!Q1058&lt;&gt;"",'Дивиденды по годам'!I1058&lt;&gt;"",'Дивиденды по годам'!V1058&lt;&gt;"",('Дивиденды по годам'!I1058+'Дивиденды по годам'!V1058)&lt;&gt;0),'Дивиденды по годам'!Q1058/(('Дивиденды по годам'!I1058+'Дивиденды по годам'!V1058)/2),""),"")</f>
        <v/>
      </c>
      <c r="U1058" t="str">
        <f>IFERROR(IF(AND('Дивиденды по годам'!J1058&lt;&gt;"",'Дивиденды по годам'!K1058&lt;&gt;"",'Дивиденды по годам'!M1058&lt;&gt;"",'Дивиденды по годам'!M1058&lt;&gt;0),('Дивиденды по годам'!J1058+'Дивиденды по годам'!K1058)/'Дивиденды по годам'!M1058,""),"")</f>
        <v/>
      </c>
      <c r="V1058" t="str" cm="1">
        <f t="array" ref="V1058">IFERROR(AVERAGE(_xlfn._xlws.FILTER(P$2:P$1073,($C$2:$C$1073=$C1058)*($E$2:$E$1073=$E1058)*(ROW(P$2:P$1073)&lt;&gt;ROW(P1058))*(P$2:P$1073&lt;&gt;""))),"")</f>
        <v/>
      </c>
      <c r="W1058" t="str" cm="1">
        <f t="array" ref="W1058">IFERROR(AVERAGE(_xlfn._xlws.FILTER(Q$2:Q$1073,($C$2:$C$1073=$C1058)*($E$2:$E$1073=$E1058)*(ROW(Q$2:Q$1073)&lt;&gt;ROW(Q1058))*(Q$2:Q$1073&lt;&gt;""))),"")</f>
        <v/>
      </c>
      <c r="X1058" t="str" cm="1">
        <f t="array" ref="X1058">IFERROR(AVERAGE(_xlfn._xlws.FILTER(R$2:R$1073,($C$2:$C$1073=$C1058)*($E$2:$E$1073=$E1058)*(ROW(R$2:R$1073)&lt;&gt;ROW(R1058))*(R$2:R$1073&lt;&gt;""))),"")</f>
        <v/>
      </c>
      <c r="Y1058" t="str" cm="1">
        <f t="array" ref="Y1058">IFERROR(AVERAGE(_xlfn._xlws.FILTER(S$2:S$1073,($C$2:$C$1073=$C1058)*($E$2:$E$1073=$E1058)*(ROW(S$2:S$1073)&lt;&gt;ROW(S1058))*(S$2:S$1073&lt;&gt;""))),"")</f>
        <v/>
      </c>
      <c r="Z1058" t="str" cm="1">
        <f t="array" ref="Z1058">IFERROR(AVERAGE(_xlfn._xlws.FILTER(T$2:T$1073,($C$2:$C$1073=$C1058)*($E$2:$E$1073=$E1058)*(ROW(T$2:T$1073)&lt;&gt;ROW(T1058))*(T$2:T$1073&lt;&gt;""))),"")</f>
        <v/>
      </c>
      <c r="AA1058" t="str" cm="1">
        <f t="array" ref="AA1058">IFERROR(AVERAGE(_xlfn._xlws.FILTER(U$2:U$1073,($C$2:$C$1073=$C1058)*($E$2:$E$1073=$E1058)*(ROW(U$2:U$1073)&lt;&gt;ROW(U1058))*(U$2:U$1073&lt;&gt;""))),"")</f>
        <v/>
      </c>
    </row>
    <row r="1059" spans="1:27" x14ac:dyDescent="0.2">
      <c r="A1059" s="7" t="s">
        <v>2311</v>
      </c>
      <c r="B1059" t="str">
        <f t="shared" si="178"/>
        <v>SMLT IV кв. 2024</v>
      </c>
      <c r="C1059">
        <v>2024</v>
      </c>
      <c r="D1059">
        <f>SUMIFS(Дивиденды!$C:$C,Дивиденды!$A:$A,A1059,Дивиденды!$I:$I,C1059)</f>
        <v>0</v>
      </c>
      <c r="E1059">
        <v>8</v>
      </c>
      <c r="F1059">
        <f t="shared" si="179"/>
        <v>0</v>
      </c>
      <c r="G1059">
        <f t="shared" si="180"/>
        <v>0</v>
      </c>
      <c r="H1059">
        <f t="shared" si="181"/>
        <v>0</v>
      </c>
      <c r="I1059">
        <f t="shared" si="177"/>
        <v>0</v>
      </c>
      <c r="J1059">
        <f t="shared" si="182"/>
        <v>0</v>
      </c>
      <c r="K1059">
        <f t="shared" si="186"/>
        <v>-0.33333333333333331</v>
      </c>
      <c r="L1059">
        <f t="shared" si="183"/>
        <v>0</v>
      </c>
      <c r="M1059">
        <f t="shared" si="187"/>
        <v>0</v>
      </c>
      <c r="N1059">
        <f t="shared" si="184"/>
        <v>0</v>
      </c>
      <c r="O1059">
        <f t="shared" si="185"/>
        <v>0.33333333333333331</v>
      </c>
      <c r="P1059">
        <f>IFERROR(LN('Дивиденды по годам'!I1059),"")</f>
        <v>27.591367188951708</v>
      </c>
      <c r="Q1059">
        <f>IFERROR('Дивиденды по годам'!G1059/'Дивиденды по годам'!I1059, "")</f>
        <v>8.2580567295306943E-3</v>
      </c>
      <c r="R1059">
        <f>IFERROR(IF(AND('Дивиденды по годам'!N1059&lt;&gt;"",'Дивиденды по годам'!U1059&lt;&gt;"",'Дивиденды по годам'!U1059&lt;&gt;0),'Дивиденды по годам'!N1059/'Дивиденды по годам'!U1059-1,""),"")</f>
        <v>0.32382729835466462</v>
      </c>
      <c r="S1059">
        <f>IFERROR(IF(AND('Дивиденды по годам'!L1059&lt;&gt;"",'Дивиденды по годам'!I1059&lt;&gt;"",'Дивиденды по годам'!J1059&lt;&gt;"",'Дивиденды по годам'!K1059&lt;&gt;"",('Дивиденды по годам'!I1059-'Дивиденды по годам'!J1059-'Дивиденды по годам'!K1059)&lt;&gt;0),'Дивиденды по годам'!L1059/('Дивиденды по годам'!I1059-'Дивиденды по годам'!J1059-'Дивиденды по годам'!K1059),""),"")</f>
        <v>0.49905004369798989</v>
      </c>
      <c r="T1059">
        <f>IFERROR(IF(AND('Дивиденды по годам'!Q1059&lt;&gt;"",'Дивиденды по годам'!I1059&lt;&gt;"",'Дивиденды по годам'!V1059&lt;&gt;"",('Дивиденды по годам'!I1059+'Дивиденды по годам'!V1059)&lt;&gt;0),'Дивиденды по годам'!Q1059/(('Дивиденды по годам'!I1059+'Дивиденды по годам'!V1059)/2),""),"")</f>
        <v>9.5586757754121277E-3</v>
      </c>
      <c r="U1059">
        <f>IFERROR(IF(AND('Дивиденды по годам'!J1059&lt;&gt;"",'Дивиденды по годам'!K1059&lt;&gt;"",'Дивиденды по годам'!M1059&lt;&gt;"",'Дивиденды по годам'!M1059&lt;&gt;0),('Дивиденды по годам'!J1059+'Дивиденды по годам'!K1059)/'Дивиденды по годам'!M1059,""),"")</f>
        <v>17.26047801801117</v>
      </c>
      <c r="V1059" cm="1">
        <f t="array" ref="V1059">IFERROR(AVERAGE(_xlfn._xlws.FILTER(P$2:P$1073,($C$2:$C$1073=$C1059)*($E$2:$E$1073=$E1059)*(ROW(P$2:P$1073)&lt;&gt;ROW(P1059))*(P$2:P$1073&lt;&gt;""))),"")</f>
        <v>27.193262795628659</v>
      </c>
      <c r="W1059" cm="1">
        <f t="array" ref="W1059">IFERROR(AVERAGE(_xlfn._xlws.FILTER(Q$2:Q$1073,($C$2:$C$1073=$C1059)*($E$2:$E$1073=$E1059)*(ROW(Q$2:Q$1073)&lt;&gt;ROW(Q1059))*(Q$2:Q$1073&lt;&gt;""))),"")</f>
        <v>5.5923815532988801E-2</v>
      </c>
      <c r="X1059" cm="1">
        <f t="array" ref="X1059">IFERROR(AVERAGE(_xlfn._xlws.FILTER(R$2:R$1073,($C$2:$C$1073=$C1059)*($E$2:$E$1073=$E1059)*(ROW(R$2:R$1073)&lt;&gt;ROW(R1059))*(R$2:R$1073&lt;&gt;""))),"")</f>
        <v>0.21509874709775034</v>
      </c>
      <c r="Y1059" cm="1">
        <f t="array" ref="Y1059">IFERROR(AVERAGE(_xlfn._xlws.FILTER(S$2:S$1073,($C$2:$C$1073=$C1059)*($E$2:$E$1073=$E1059)*(ROW(S$2:S$1073)&lt;&gt;ROW(S1059))*(S$2:S$1073&lt;&gt;""))),"")</f>
        <v>0.74275516202729486</v>
      </c>
      <c r="Z1059" cm="1">
        <f t="array" ref="Z1059">IFERROR(AVERAGE(_xlfn._xlws.FILTER(T$2:T$1073,($C$2:$C$1073=$C1059)*($E$2:$E$1073=$E1059)*(ROW(T$2:T$1073)&lt;&gt;ROW(T1059))*(T$2:T$1073&lt;&gt;""))),"")</f>
        <v>1.7189143199228762E-2</v>
      </c>
      <c r="AA1059" cm="1">
        <f t="array" ref="AA1059">IFERROR(AVERAGE(_xlfn._xlws.FILTER(U$2:U$1073,($C$2:$C$1073=$C1059)*($E$2:$E$1073=$E1059)*(ROW(U$2:U$1073)&lt;&gt;ROW(U1059))*(U$2:U$1073&lt;&gt;""))),"")</f>
        <v>3.2853494577699571</v>
      </c>
    </row>
    <row r="1060" spans="1:27" x14ac:dyDescent="0.2">
      <c r="A1060" s="7" t="s">
        <v>2311</v>
      </c>
      <c r="B1060" t="str">
        <f t="shared" si="178"/>
        <v>SMLT IV кв. 2023</v>
      </c>
      <c r="C1060">
        <v>2023</v>
      </c>
      <c r="D1060">
        <f>SUMIFS(Дивиденды!$C:$C,Дивиденды!$A:$A,A1060,Дивиденды!$I:$I,C1060)</f>
        <v>0</v>
      </c>
      <c r="E1060">
        <v>8</v>
      </c>
      <c r="F1060">
        <f t="shared" si="179"/>
        <v>0</v>
      </c>
      <c r="G1060">
        <f t="shared" si="180"/>
        <v>33.333333333333336</v>
      </c>
      <c r="H1060">
        <f t="shared" si="181"/>
        <v>0</v>
      </c>
      <c r="I1060">
        <f t="shared" si="177"/>
        <v>0.33333333333333331</v>
      </c>
      <c r="J1060">
        <f t="shared" si="182"/>
        <v>-1</v>
      </c>
      <c r="K1060">
        <f t="shared" si="186"/>
        <v>9.4017094017094016E-2</v>
      </c>
      <c r="L1060">
        <f t="shared" si="183"/>
        <v>0</v>
      </c>
      <c r="M1060">
        <f t="shared" si="187"/>
        <v>0.33333333333333331</v>
      </c>
      <c r="N1060">
        <f t="shared" si="184"/>
        <v>1</v>
      </c>
      <c r="O1060">
        <f t="shared" si="185"/>
        <v>0</v>
      </c>
      <c r="P1060">
        <f>IFERROR(LN('Дивиденды по годам'!I1060),"")</f>
        <v>27.337735372196757</v>
      </c>
      <c r="Q1060">
        <f>IFERROR('Дивиденды по годам'!G1060/'Дивиденды по годам'!I1060, "")</f>
        <v>4.1820358831818867E-3</v>
      </c>
      <c r="R1060">
        <f>IFERROR(IF(AND('Дивиденды по годам'!N1060&lt;&gt;"",'Дивиденды по годам'!U1060&lt;&gt;"",'Дивиденды по годам'!U1060&lt;&gt;0),'Дивиденды по годам'!N1060/'Дивиденды по годам'!U1060-1,""),"")</f>
        <v>0.48724232042273963</v>
      </c>
      <c r="S1060">
        <f>IFERROR(IF(AND('Дивиденды по годам'!L1060&lt;&gt;"",'Дивиденды по годам'!I1060&lt;&gt;"",'Дивиденды по годам'!J1060&lt;&gt;"",'Дивиденды по годам'!K1060&lt;&gt;"",('Дивиденды по годам'!I1060-'Дивиденды по годам'!J1060-'Дивиденды по годам'!K1060)&lt;&gt;0),'Дивиденды по годам'!L1060/('Дивиденды по годам'!I1060-'Дивиденды по годам'!J1060-'Дивиденды по годам'!K1060),""),"")</f>
        <v>0.39676380747956741</v>
      </c>
      <c r="T1060">
        <f>IFERROR(IF(AND('Дивиденды по годам'!Q1060&lt;&gt;"",'Дивиденды по годам'!I1060&lt;&gt;"",'Дивиденды по годам'!V1060&lt;&gt;"",('Дивиденды по годам'!I1060+'Дивиденды по годам'!V1060)&lt;&gt;0),'Дивиденды по годам'!Q1060/(('Дивиденды по годам'!I1060+'Дивиденды по годам'!V1060)/2),""),"")</f>
        <v>4.5168308109544135E-2</v>
      </c>
      <c r="U1060">
        <f>IFERROR(IF(AND('Дивиденды по годам'!J1060&lt;&gt;"",'Дивиденды по годам'!K1060&lt;&gt;"",'Дивиденды по годам'!M1060&lt;&gt;"",'Дивиденды по годам'!M1060&lt;&gt;0),('Дивиденды по годам'!J1060+'Дивиденды по годам'!K1060)/'Дивиденды по годам'!M1060,""),"")</f>
        <v>19.523652274415916</v>
      </c>
      <c r="V1060" cm="1">
        <f t="array" ref="V1060">IFERROR(AVERAGE(_xlfn._xlws.FILTER(P$2:P$1073,($C$2:$C$1073=$C1060)*($E$2:$E$1073=$E1060)*(ROW(P$2:P$1073)&lt;&gt;ROW(P1060))*(P$2:P$1073&lt;&gt;""))),"")</f>
        <v>27.051903677447161</v>
      </c>
      <c r="W1060" cm="1">
        <f t="array" ref="W1060">IFERROR(AVERAGE(_xlfn._xlws.FILTER(Q$2:Q$1073,($C$2:$C$1073=$C1060)*($E$2:$E$1073=$E1060)*(ROW(Q$2:Q$1073)&lt;&gt;ROW(Q1060))*(Q$2:Q$1073&lt;&gt;""))),"")</f>
        <v>4.8734514266961765E-2</v>
      </c>
      <c r="X1060" cm="1">
        <f t="array" ref="X1060">IFERROR(AVERAGE(_xlfn._xlws.FILTER(R$2:R$1073,($C$2:$C$1073=$C1060)*($E$2:$E$1073=$E1060)*(ROW(R$2:R$1073)&lt;&gt;ROW(R1060))*(R$2:R$1073&lt;&gt;""))),"")</f>
        <v>0.39313567890299927</v>
      </c>
      <c r="Y1060" cm="1">
        <f t="array" ref="Y1060">IFERROR(AVERAGE(_xlfn._xlws.FILTER(S$2:S$1073,($C$2:$C$1073=$C1060)*($E$2:$E$1073=$E1060)*(ROW(S$2:S$1073)&lt;&gt;ROW(S1060))*(S$2:S$1073&lt;&gt;""))),"")</f>
        <v>0.75168528804877532</v>
      </c>
      <c r="Z1060" cm="1">
        <f t="array" ref="Z1060">IFERROR(AVERAGE(_xlfn._xlws.FILTER(T$2:T$1073,($C$2:$C$1073=$C1060)*($E$2:$E$1073=$E1060)*(ROW(T$2:T$1073)&lt;&gt;ROW(T1060))*(T$2:T$1073&lt;&gt;""))),"")</f>
        <v>2.5153014284094298E-2</v>
      </c>
      <c r="AA1060" cm="1">
        <f t="array" ref="AA1060">IFERROR(AVERAGE(_xlfn._xlws.FILTER(U$2:U$1073,($C$2:$C$1073=$C1060)*($E$2:$E$1073=$E1060)*(ROW(U$2:U$1073)&lt;&gt;ROW(U1060))*(U$2:U$1073&lt;&gt;""))),"")</f>
        <v>2.9026956273525535</v>
      </c>
    </row>
    <row r="1061" spans="1:27" x14ac:dyDescent="0.2">
      <c r="A1061" s="7" t="s">
        <v>2311</v>
      </c>
      <c r="B1061" t="str">
        <f t="shared" si="178"/>
        <v>SMLT IV кв. 2022</v>
      </c>
      <c r="C1061">
        <v>2022</v>
      </c>
      <c r="D1061">
        <f>SUMIFS(Дивиденды!$C:$C,Дивиденды!$A:$A,A1061,Дивиденды!$I:$I,C1061)</f>
        <v>82</v>
      </c>
      <c r="E1061">
        <v>8</v>
      </c>
      <c r="F1061">
        <f t="shared" si="179"/>
        <v>82</v>
      </c>
      <c r="G1061">
        <f t="shared" si="180"/>
        <v>26</v>
      </c>
      <c r="H1061">
        <f t="shared" si="181"/>
        <v>1</v>
      </c>
      <c r="I1061">
        <f t="shared" si="177"/>
        <v>0.33333333333333331</v>
      </c>
      <c r="J1061">
        <f t="shared" si="182"/>
        <v>1</v>
      </c>
      <c r="K1061">
        <f t="shared" si="186"/>
        <v>0</v>
      </c>
      <c r="L1061">
        <f t="shared" si="183"/>
        <v>1</v>
      </c>
      <c r="M1061">
        <f t="shared" si="187"/>
        <v>0.33333333333333331</v>
      </c>
      <c r="N1061">
        <f t="shared" si="184"/>
        <v>0</v>
      </c>
      <c r="O1061">
        <f t="shared" si="185"/>
        <v>0.33333333333333331</v>
      </c>
      <c r="P1061">
        <f>IFERROR(LN('Дивиденды по годам'!I1061),"")</f>
        <v>26.738886267265464</v>
      </c>
      <c r="Q1061">
        <f>IFERROR('Дивиденды по годам'!G1061/'Дивиденды по годам'!I1061, "")</f>
        <v>4.5341402703889888E-3</v>
      </c>
      <c r="R1061">
        <f>IFERROR(IF(AND('Дивиденды по годам'!N1061&lt;&gt;"",'Дивиденды по годам'!U1061&lt;&gt;"",'Дивиденды по годам'!U1061&lt;&gt;0),'Дивиденды по годам'!N1061/'Дивиденды по годам'!U1061-1,""),"")</f>
        <v>0.85144171845098593</v>
      </c>
      <c r="S1061">
        <f>IFERROR(IF(AND('Дивиденды по годам'!L1061&lt;&gt;"",'Дивиденды по годам'!I1061&lt;&gt;"",'Дивиденды по годам'!J1061&lt;&gt;"",'Дивиденды по годам'!K1061&lt;&gt;"",('Дивиденды по годам'!I1061-'Дивиденды по годам'!J1061-'Дивиденды по годам'!K1061)&lt;&gt;0),'Дивиденды по годам'!L1061/('Дивиденды по годам'!I1061-'Дивиденды по годам'!J1061-'Дивиденды по годам'!K1061),""),"")</f>
        <v>0.55051660516605161</v>
      </c>
      <c r="T1061">
        <f>IFERROR(IF(AND('Дивиденды по годам'!Q1061&lt;&gt;"",'Дивиденды по годам'!I1061&lt;&gt;"",'Дивиденды по годам'!V1061&lt;&gt;"",('Дивиденды по годам'!I1061+'Дивиденды по годам'!V1061)&lt;&gt;0),'Дивиденды по годам'!Q1061/(('Дивиденды по годам'!I1061+'Дивиденды по годам'!V1061)/2),""),"")</f>
        <v>4.9545971776010583E-2</v>
      </c>
      <c r="U1061">
        <f>IFERROR(IF(AND('Дивиденды по годам'!J1061&lt;&gt;"",'Дивиденды по годам'!K1061&lt;&gt;"",'Дивиденды по годам'!M1061&lt;&gt;"",'Дивиденды по годам'!M1061&lt;&gt;0),('Дивиденды по годам'!J1061+'Дивиденды по годам'!K1061)/'Дивиденды по годам'!M1061,""),"")</f>
        <v>14.121033210332103</v>
      </c>
      <c r="V1061" cm="1">
        <f t="array" ref="V1061">IFERROR(AVERAGE(_xlfn._xlws.FILTER(P$2:P$1073,($C$2:$C$1073=$C1061)*($E$2:$E$1073=$E1061)*(ROW(P$2:P$1073)&lt;&gt;ROW(P1061))*(P$2:P$1073&lt;&gt;""))),"")</f>
        <v>26.495673105743599</v>
      </c>
      <c r="W1061" cm="1">
        <f t="array" ref="W1061">IFERROR(AVERAGE(_xlfn._xlws.FILTER(Q$2:Q$1073,($C$2:$C$1073=$C1061)*($E$2:$E$1073=$E1061)*(ROW(Q$2:Q$1073)&lt;&gt;ROW(Q1061))*(Q$2:Q$1073&lt;&gt;""))),"")</f>
        <v>4.6261981619361028E-2</v>
      </c>
      <c r="X1061" cm="1">
        <f t="array" ref="X1061">IFERROR(AVERAGE(_xlfn._xlws.FILTER(R$2:R$1073,($C$2:$C$1073=$C1061)*($E$2:$E$1073=$E1061)*(ROW(R$2:R$1073)&lt;&gt;ROW(R1061))*(R$2:R$1073&lt;&gt;""))),"")</f>
        <v>-2.72572965298995E-3</v>
      </c>
      <c r="Y1061" cm="1">
        <f t="array" ref="Y1061">IFERROR(AVERAGE(_xlfn._xlws.FILTER(S$2:S$1073,($C$2:$C$1073=$C1061)*($E$2:$E$1073=$E1061)*(ROW(S$2:S$1073)&lt;&gt;ROW(S1061))*(S$2:S$1073&lt;&gt;""))),"")</f>
        <v>0.7090335869064176</v>
      </c>
      <c r="Z1061" cm="1">
        <f t="array" ref="Z1061">IFERROR(AVERAGE(_xlfn._xlws.FILTER(T$2:T$1073,($C$2:$C$1073=$C1061)*($E$2:$E$1073=$E1061)*(ROW(T$2:T$1073)&lt;&gt;ROW(T1061))*(T$2:T$1073&lt;&gt;""))),"")</f>
        <v>4.5119161852712884E-2</v>
      </c>
      <c r="AA1061" cm="1">
        <f t="array" ref="AA1061">IFERROR(AVERAGE(_xlfn._xlws.FILTER(U$2:U$1073,($C$2:$C$1073=$C1061)*($E$2:$E$1073=$E1061)*(ROW(U$2:U$1073)&lt;&gt;ROW(U1061))*(U$2:U$1073&lt;&gt;""))),"")</f>
        <v>2.8215639156167178</v>
      </c>
    </row>
    <row r="1062" spans="1:27" x14ac:dyDescent="0.2">
      <c r="A1062" s="7" t="s">
        <v>2311</v>
      </c>
      <c r="B1062" t="str">
        <f t="shared" si="178"/>
        <v>SMLT IV кв. 2021</v>
      </c>
      <c r="C1062">
        <v>2021</v>
      </c>
      <c r="D1062">
        <f>SUMIFS(Дивиденды!$C:$C,Дивиденды!$A:$A,A1062,Дивиденды!$I:$I,C1062)</f>
        <v>41</v>
      </c>
      <c r="E1062">
        <v>8</v>
      </c>
      <c r="F1062">
        <f t="shared" si="179"/>
        <v>41</v>
      </c>
      <c r="G1062">
        <f t="shared" si="180"/>
        <v>7.6400000000000006</v>
      </c>
      <c r="H1062">
        <f t="shared" si="181"/>
        <v>1</v>
      </c>
      <c r="I1062">
        <f t="shared" si="177"/>
        <v>0.33333333333333331</v>
      </c>
      <c r="J1062">
        <f t="shared" si="182"/>
        <v>0</v>
      </c>
      <c r="K1062">
        <f t="shared" si="186"/>
        <v>-0.49771487542385379</v>
      </c>
      <c r="L1062">
        <f t="shared" si="183"/>
        <v>0</v>
      </c>
      <c r="M1062">
        <f t="shared" si="187"/>
        <v>0</v>
      </c>
      <c r="N1062">
        <f t="shared" si="184"/>
        <v>0</v>
      </c>
      <c r="O1062">
        <f t="shared" si="185"/>
        <v>0.66666666666666663</v>
      </c>
      <c r="P1062">
        <f>IFERROR(LN('Дивиденды по годам'!I1062),"")</f>
        <v>26.056670385366122</v>
      </c>
      <c r="Q1062">
        <f>IFERROR('Дивиденды по годам'!G1062/'Дивиденды по годам'!I1062, "")</f>
        <v>5.3345048324337898E-3</v>
      </c>
      <c r="R1062">
        <f>IFERROR(IF(AND('Дивиденды по годам'!N1062&lt;&gt;"",'Дивиденды по годам'!U1062&lt;&gt;"",'Дивиденды по годам'!U1062&lt;&gt;0),'Дивиденды по годам'!N1062/'Дивиденды по годам'!U1062-1,""),"")</f>
        <v>0.54552499447267189</v>
      </c>
      <c r="S1062">
        <f>IFERROR(IF(AND('Дивиденды по годам'!L1062&lt;&gt;"",'Дивиденды по годам'!I1062&lt;&gt;"",'Дивиденды по годам'!J1062&lt;&gt;"",'Дивиденды по годам'!K1062&lt;&gt;"",('Дивиденды по годам'!I1062-'Дивиденды по годам'!J1062-'Дивиденды по годам'!K1062)&lt;&gt;0),'Дивиденды по годам'!L1062/('Дивиденды по годам'!I1062-'Дивиденды по годам'!J1062-'Дивиденды по годам'!K1062),""),"")</f>
        <v>0.47552873773389409</v>
      </c>
      <c r="T1062">
        <f>IFERROR(IF(AND('Дивиденды по годам'!Q1062&lt;&gt;"",'Дивиденды по годам'!I1062&lt;&gt;"",'Дивиденды по годам'!V1062&lt;&gt;"",('Дивиденды по годам'!I1062+'Дивиденды по годам'!V1062)&lt;&gt;0),'Дивиденды по годам'!Q1062/(('Дивиденды по годам'!I1062+'Дивиденды по годам'!V1062)/2),""),"")</f>
        <v>5.5565401194615227E-2</v>
      </c>
      <c r="U1062">
        <f>IFERROR(IF(AND('Дивиденды по годам'!J1062&lt;&gt;"",'Дивиденды по годам'!K1062&lt;&gt;"",'Дивиденды по годам'!M1062&lt;&gt;"",'Дивиденды по годам'!M1062&lt;&gt;0),('Дивиденды по годам'!J1062+'Дивиденды по годам'!K1062)/'Дивиденды по годам'!M1062,""),"")</f>
        <v>11.625929537973912</v>
      </c>
      <c r="V1062" cm="1">
        <f t="array" ref="V1062">IFERROR(AVERAGE(_xlfn._xlws.FILTER(P$2:P$1073,($C$2:$C$1073=$C1062)*($E$2:$E$1073=$E1062)*(ROW(P$2:P$1073)&lt;&gt;ROW(P1062))*(P$2:P$1073&lt;&gt;""))),"")</f>
        <v>26.798310547012022</v>
      </c>
      <c r="W1062" cm="1">
        <f t="array" ref="W1062">IFERROR(AVERAGE(_xlfn._xlws.FILTER(Q$2:Q$1073,($C$2:$C$1073=$C1062)*($E$2:$E$1073=$E1062)*(ROW(Q$2:Q$1073)&lt;&gt;ROW(Q1062))*(Q$2:Q$1073&lt;&gt;""))),"")</f>
        <v>4.1271335215836549E-2</v>
      </c>
      <c r="X1062" cm="1">
        <f t="array" ref="X1062">IFERROR(AVERAGE(_xlfn._xlws.FILTER(R$2:R$1073,($C$2:$C$1073=$C1062)*($E$2:$E$1073=$E1062)*(ROW(R$2:R$1073)&lt;&gt;ROW(R1062))*(R$2:R$1073&lt;&gt;""))),"")</f>
        <v>0.1655264027508169</v>
      </c>
      <c r="Y1062" cm="1">
        <f t="array" ref="Y1062">IFERROR(AVERAGE(_xlfn._xlws.FILTER(S$2:S$1073,($C$2:$C$1073=$C1062)*($E$2:$E$1073=$E1062)*(ROW(S$2:S$1073)&lt;&gt;ROW(S1062))*(S$2:S$1073&lt;&gt;""))),"")</f>
        <v>0.69718340854241267</v>
      </c>
      <c r="Z1062" cm="1">
        <f t="array" ref="Z1062">IFERROR(AVERAGE(_xlfn._xlws.FILTER(T$2:T$1073,($C$2:$C$1073=$C1062)*($E$2:$E$1073=$E1062)*(ROW(T$2:T$1073)&lt;&gt;ROW(T1062))*(T$2:T$1073&lt;&gt;""))),"")</f>
        <v>6.2470323530121254E-2</v>
      </c>
      <c r="AA1062" cm="1">
        <f t="array" ref="AA1062">IFERROR(AVERAGE(_xlfn._xlws.FILTER(U$2:U$1073,($C$2:$C$1073=$C1062)*($E$2:$E$1073=$E1062)*(ROW(U$2:U$1073)&lt;&gt;ROW(U1062))*(U$2:U$1073&lt;&gt;""))),"")</f>
        <v>2.8173281062436106</v>
      </c>
    </row>
    <row r="1063" spans="1:27" x14ac:dyDescent="0.2">
      <c r="A1063" s="7" t="s">
        <v>2311</v>
      </c>
      <c r="B1063" t="str">
        <f t="shared" si="178"/>
        <v>SMLT IV кв. 2020</v>
      </c>
      <c r="C1063">
        <v>2020</v>
      </c>
      <c r="D1063">
        <f>SUMIFS(Дивиденды!$C:$C,Дивиденды!$A:$A,A1063,Дивиденды!$I:$I,C1063)</f>
        <v>41</v>
      </c>
      <c r="E1063">
        <v>8</v>
      </c>
      <c r="F1063">
        <f t="shared" si="179"/>
        <v>41</v>
      </c>
      <c r="G1063">
        <f t="shared" si="180"/>
        <v>34.74</v>
      </c>
      <c r="H1063">
        <f t="shared" si="181"/>
        <v>1</v>
      </c>
      <c r="I1063">
        <f t="shared" si="177"/>
        <v>0.66666666666666663</v>
      </c>
      <c r="J1063">
        <f t="shared" si="182"/>
        <v>1</v>
      </c>
      <c r="K1063">
        <f t="shared" si="186"/>
        <v>0.65555555555555556</v>
      </c>
      <c r="L1063">
        <f t="shared" si="183"/>
        <v>1</v>
      </c>
      <c r="M1063">
        <f t="shared" si="187"/>
        <v>0.66666666666666663</v>
      </c>
      <c r="N1063">
        <f t="shared" si="184"/>
        <v>0</v>
      </c>
      <c r="O1063">
        <f t="shared" si="185"/>
        <v>0</v>
      </c>
      <c r="P1063">
        <f>IFERROR(LN('Дивиденды по годам'!I1063),"")</f>
        <v>25.287950128176394</v>
      </c>
      <c r="Q1063">
        <f>IFERROR('Дивиденды по годам'!G1063/'Дивиденды по годам'!I1063, "")</f>
        <v>1.0979850721222661E-2</v>
      </c>
      <c r="R1063">
        <f>IFERROR(IF(AND('Дивиденды по годам'!N1063&lt;&gt;"",'Дивиденды по годам'!U1063&lt;&gt;"",'Дивиденды по годам'!U1063&lt;&gt;0),'Дивиденды по годам'!N1063/'Дивиденды по годам'!U1063-1,""),"")</f>
        <v>0.17670622912166567</v>
      </c>
      <c r="S1063">
        <f>IFERROR(IF(AND('Дивиденды по годам'!L1063&lt;&gt;"",'Дивиденды по годам'!I1063&lt;&gt;"",'Дивиденды по годам'!J1063&lt;&gt;"",'Дивиденды по годам'!K1063&lt;&gt;"",('Дивиденды по годам'!I1063-'Дивиденды по годам'!J1063-'Дивиденды по годам'!K1063)&lt;&gt;0),'Дивиденды по годам'!L1063/('Дивиденды по годам'!I1063-'Дивиденды по годам'!J1063-'Дивиденды по годам'!K1063),""),"")</f>
        <v>0.60596019507257426</v>
      </c>
      <c r="T1063">
        <f>IFERROR(IF(AND('Дивиденды по годам'!Q1063&lt;&gt;"",'Дивиденды по годам'!I1063&lt;&gt;"",'Дивиденды по годам'!V1063&lt;&gt;"",('Дивиденды по годам'!I1063+'Дивиденды по годам'!V1063)&lt;&gt;0),'Дивиденды по годам'!Q1063/(('Дивиденды по годам'!I1063+'Дивиденды по годам'!V1063)/2),""),"")</f>
        <v>5.1171595207836262E-2</v>
      </c>
      <c r="U1063">
        <f>IFERROR(IF(AND('Дивиденды по годам'!J1063&lt;&gt;"",'Дивиденды по годам'!K1063&lt;&gt;"",'Дивиденды по годам'!M1063&lt;&gt;"",'Дивиденды по годам'!M1063&lt;&gt;0),('Дивиденды по годам'!J1063+'Дивиденды по годам'!K1063)/'Дивиденды по годам'!M1063,""),"")</f>
        <v>8.3756317638072275</v>
      </c>
      <c r="V1063" cm="1">
        <f t="array" ref="V1063">IFERROR(AVERAGE(_xlfn._xlws.FILTER(P$2:P$1073,($C$2:$C$1073=$C1063)*($E$2:$E$1073=$E1063)*(ROW(P$2:P$1073)&lt;&gt;ROW(P1063))*(P$2:P$1073&lt;&gt;""))),"")</f>
        <v>26.505603221811942</v>
      </c>
      <c r="W1063" cm="1">
        <f t="array" ref="W1063">IFERROR(AVERAGE(_xlfn._xlws.FILTER(Q$2:Q$1073,($C$2:$C$1073=$C1063)*($E$2:$E$1073=$E1063)*(ROW(Q$2:Q$1073)&lt;&gt;ROW(Q1063))*(Q$2:Q$1073&lt;&gt;""))),"")</f>
        <v>4.9788324205842151E-2</v>
      </c>
      <c r="X1063" cm="1">
        <f t="array" ref="X1063">IFERROR(AVERAGE(_xlfn._xlws.FILTER(R$2:R$1073,($C$2:$C$1073=$C1063)*($E$2:$E$1073=$E1063)*(ROW(R$2:R$1073)&lt;&gt;ROW(R1063))*(R$2:R$1073&lt;&gt;""))),"")</f>
        <v>0.11876474162482491</v>
      </c>
      <c r="Y1063" cm="1">
        <f t="array" ref="Y1063">IFERROR(AVERAGE(_xlfn._xlws.FILTER(S$2:S$1073,($C$2:$C$1073=$C1063)*($E$2:$E$1073=$E1063)*(ROW(S$2:S$1073)&lt;&gt;ROW(S1063))*(S$2:S$1073&lt;&gt;""))),"")</f>
        <v>0.68357633314687327</v>
      </c>
      <c r="Z1063" cm="1">
        <f t="array" ref="Z1063">IFERROR(AVERAGE(_xlfn._xlws.FILTER(T$2:T$1073,($C$2:$C$1073=$C1063)*($E$2:$E$1073=$E1063)*(ROW(T$2:T$1073)&lt;&gt;ROW(T1063))*(T$2:T$1073&lt;&gt;""))),"")</f>
        <v>6.9888617151078331E-2</v>
      </c>
      <c r="AA1063" cm="1">
        <f t="array" ref="AA1063">IFERROR(AVERAGE(_xlfn._xlws.FILTER(U$2:U$1073,($C$2:$C$1073=$C1063)*($E$2:$E$1073=$E1063)*(ROW(U$2:U$1073)&lt;&gt;ROW(U1063))*(U$2:U$1073&lt;&gt;""))),"")</f>
        <v>2.4298425539871933</v>
      </c>
    </row>
    <row r="1064" spans="1:27" x14ac:dyDescent="0.2">
      <c r="A1064" s="7" t="s">
        <v>2311</v>
      </c>
      <c r="B1064" t="str">
        <f t="shared" si="178"/>
        <v>SMLT IV кв. 2019</v>
      </c>
      <c r="C1064">
        <v>2019</v>
      </c>
      <c r="D1064">
        <f>SUMIFS(Дивиденды!$C:$C,Дивиденды!$A:$A,A1064,Дивиденды!$I:$I,C1064)</f>
        <v>0</v>
      </c>
      <c r="E1064">
        <v>8</v>
      </c>
      <c r="F1064">
        <f t="shared" si="179"/>
        <v>0</v>
      </c>
      <c r="G1064">
        <f t="shared" si="180"/>
        <v>10</v>
      </c>
      <c r="H1064">
        <f t="shared" si="181"/>
        <v>0</v>
      </c>
      <c r="I1064">
        <f t="shared" si="177"/>
        <v>0.33333333333333331</v>
      </c>
      <c r="J1064">
        <f t="shared" si="182"/>
        <v>0</v>
      </c>
      <c r="K1064">
        <f t="shared" si="186"/>
        <v>-0.53846153846153844</v>
      </c>
      <c r="L1064">
        <f t="shared" si="183"/>
        <v>0</v>
      </c>
      <c r="M1064">
        <f t="shared" si="187"/>
        <v>0</v>
      </c>
      <c r="N1064">
        <f t="shared" si="184"/>
        <v>0</v>
      </c>
      <c r="O1064">
        <f t="shared" si="185"/>
        <v>0.66666666666666663</v>
      </c>
      <c r="P1064">
        <f>IFERROR(LN('Дивиденды по годам'!I1064),"")</f>
        <v>25.085601725065228</v>
      </c>
      <c r="Q1064">
        <f>IFERROR('Дивиденды по годам'!G1064/'Дивиденды по годам'!I1064, "")</f>
        <v>9.3921291428465947E-3</v>
      </c>
      <c r="R1064">
        <f>IFERROR(IF(AND('Дивиденды по годам'!N1064&lt;&gt;"",'Дивиденды по годам'!U1064&lt;&gt;"",'Дивиденды по годам'!U1064&lt;&gt;0),'Дивиденды по годам'!N1064/'Дивиденды по годам'!U1064-1,""),"")</f>
        <v>0.32098225879541009</v>
      </c>
      <c r="S1064">
        <f>IFERROR(IF(AND('Дивиденды по годам'!L1064&lt;&gt;"",'Дивиденды по годам'!I1064&lt;&gt;"",'Дивиденды по годам'!J1064&lt;&gt;"",'Дивиденды по годам'!K1064&lt;&gt;"",('Дивиденды по годам'!I1064-'Дивиденды по годам'!J1064-'Дивиденды по годам'!K1064)&lt;&gt;0),'Дивиденды по годам'!L1064/('Дивиденды по годам'!I1064-'Дивиденды по годам'!J1064-'Дивиденды по годам'!K1064),""),"")</f>
        <v>0.54743207564148755</v>
      </c>
      <c r="T1064">
        <f>IFERROR(IF(AND('Дивиденды по годам'!Q1064&lt;&gt;"",'Дивиденды по годам'!I1064&lt;&gt;"",'Дивиденды по годам'!V1064&lt;&gt;"",('Дивиденды по годам'!I1064+'Дивиденды по годам'!V1064)&lt;&gt;0),'Дивиденды по годам'!Q1064/(('Дивиденды по годам'!I1064+'Дивиденды по годам'!V1064)/2),""),"")</f>
        <v>1.2227587927509713E-2</v>
      </c>
      <c r="U1064">
        <f>IFERROR(IF(AND('Дивиденды по годам'!J1064&lt;&gt;"",'Дивиденды по годам'!K1064&lt;&gt;"",'Дивиденды по годам'!M1064&lt;&gt;"",'Дивиденды по годам'!M1064&lt;&gt;0),('Дивиденды по годам'!J1064+'Дивиденды по годам'!K1064)/'Дивиденды по годам'!M1064,""),"")</f>
        <v>12.950009123331435</v>
      </c>
      <c r="V1064" cm="1">
        <f t="array" ref="V1064">IFERROR(AVERAGE(_xlfn._xlws.FILTER(P$2:P$1073,($C$2:$C$1073=$C1064)*($E$2:$E$1073=$E1064)*(ROW(P$2:P$1073)&lt;&gt;ROW(P1064))*(P$2:P$1073&lt;&gt;""))),"")</f>
        <v>26.349864427193939</v>
      </c>
      <c r="W1064" cm="1">
        <f t="array" ref="W1064">IFERROR(AVERAGE(_xlfn._xlws.FILTER(Q$2:Q$1073,($C$2:$C$1073=$C1064)*($E$2:$E$1073=$E1064)*(ROW(Q$2:Q$1073)&lt;&gt;ROW(Q1064))*(Q$2:Q$1073&lt;&gt;""))),"")</f>
        <v>6.0205353625888434E-2</v>
      </c>
      <c r="X1064" cm="1">
        <f t="array" ref="X1064">IFERROR(AVERAGE(_xlfn._xlws.FILTER(R$2:R$1073,($C$2:$C$1073=$C1064)*($E$2:$E$1073=$E1064)*(ROW(R$2:R$1073)&lt;&gt;ROW(R1064))*(R$2:R$1073&lt;&gt;""))),"")</f>
        <v>2.0785636501525689E-2</v>
      </c>
      <c r="Y1064" cm="1">
        <f t="array" ref="Y1064">IFERROR(AVERAGE(_xlfn._xlws.FILTER(S$2:S$1073,($C$2:$C$1073=$C1064)*($E$2:$E$1073=$E1064)*(ROW(S$2:S$1073)&lt;&gt;ROW(S1064))*(S$2:S$1073&lt;&gt;""))),"")</f>
        <v>0.63297981804667647</v>
      </c>
      <c r="Z1064" cm="1">
        <f t="array" ref="Z1064">IFERROR(AVERAGE(_xlfn._xlws.FILTER(T$2:T$1073,($C$2:$C$1073=$C1064)*($E$2:$E$1073=$E1064)*(ROW(T$2:T$1073)&lt;&gt;ROW(T1064))*(T$2:T$1073&lt;&gt;""))),"")</f>
        <v>4.6429094199542977E-2</v>
      </c>
      <c r="AA1064" cm="1">
        <f t="array" ref="AA1064">IFERROR(AVERAGE(_xlfn._xlws.FILTER(U$2:U$1073,($C$2:$C$1073=$C1064)*($E$2:$E$1073=$E1064)*(ROW(U$2:U$1073)&lt;&gt;ROW(U1064))*(U$2:U$1073&lt;&gt;""))),"")</f>
        <v>2.564994436406479</v>
      </c>
    </row>
    <row r="1065" spans="1:27" x14ac:dyDescent="0.2">
      <c r="A1065" s="7" t="s">
        <v>2311</v>
      </c>
      <c r="B1065" t="str">
        <f t="shared" si="178"/>
        <v>SMLT IV кв. 2018</v>
      </c>
      <c r="C1065">
        <v>2018</v>
      </c>
      <c r="D1065">
        <f>SUMIFS(Дивиденды!$C:$C,Дивиденды!$A:$A,A1065,Дивиденды!$I:$I,C1065)</f>
        <v>0</v>
      </c>
      <c r="E1065">
        <v>8</v>
      </c>
      <c r="F1065">
        <f t="shared" si="179"/>
        <v>0</v>
      </c>
      <c r="G1065">
        <f t="shared" si="180"/>
        <v>41.14</v>
      </c>
      <c r="H1065">
        <f t="shared" si="181"/>
        <v>0</v>
      </c>
      <c r="I1065">
        <f t="shared" si="177"/>
        <v>0.66666666666666663</v>
      </c>
      <c r="J1065">
        <f t="shared" si="182"/>
        <v>0</v>
      </c>
      <c r="K1065">
        <f t="shared" si="186"/>
        <v>0.33333333333333331</v>
      </c>
      <c r="L1065">
        <f t="shared" si="183"/>
        <v>0</v>
      </c>
      <c r="M1065">
        <f t="shared" si="187"/>
        <v>0.33333333333333331</v>
      </c>
      <c r="N1065">
        <f t="shared" si="184"/>
        <v>0</v>
      </c>
      <c r="O1065">
        <f t="shared" si="185"/>
        <v>0</v>
      </c>
      <c r="P1065">
        <f>IFERROR(LN('Дивиденды по годам'!I1065),"")</f>
        <v>24.865270750736808</v>
      </c>
      <c r="Q1065">
        <f>IFERROR('Дивиденды по годам'!G1065/'Дивиденды по годам'!I1065, "")</f>
        <v>2.5302539238672393E-3</v>
      </c>
      <c r="R1065">
        <f>IFERROR(IF(AND('Дивиденды по годам'!N1065&lt;&gt;"",'Дивиденды по годам'!U1065&lt;&gt;"",'Дивиденды по годам'!U1065&lt;&gt;0),'Дивиденды по годам'!N1065/'Дивиденды по годам'!U1065-1,""),"")</f>
        <v>-7.5342734018741697E-2</v>
      </c>
      <c r="S1065">
        <f>IFERROR(IF(AND('Дивиденды по годам'!L1065&lt;&gt;"",'Дивиденды по годам'!I1065&lt;&gt;"",'Дивиденды по годам'!J1065&lt;&gt;"",'Дивиденды по годам'!K1065&lt;&gt;"",('Дивиденды по годам'!I1065-'Дивиденды по годам'!J1065-'Дивиденды по годам'!K1065)&lt;&gt;0),'Дивиденды по годам'!L1065/('Дивиденды по годам'!I1065-'Дивиденды по годам'!J1065-'Дивиденды по годам'!K1065),""),"")</f>
        <v>0.76041722901692177</v>
      </c>
      <c r="T1065">
        <f>IFERROR(IF(AND('Дивиденды по годам'!Q1065&lt;&gt;"",'Дивиденды по годам'!I1065&lt;&gt;"",'Дивиденды по годам'!V1065&lt;&gt;"",('Дивиденды по годам'!I1065+'Дивиденды по годам'!V1065)&lt;&gt;0),'Дивиденды по годам'!Q1065/(('Дивиденды по годам'!I1065+'Дивиденды по годам'!V1065)/2),""),"")</f>
        <v>5.6220357257305252E-2</v>
      </c>
      <c r="U1065">
        <f>IFERROR(IF(AND('Дивиденды по годам'!J1065&lt;&gt;"",'Дивиденды по годам'!K1065&lt;&gt;"",'Дивиденды по годам'!M1065&lt;&gt;"",'Дивиденды по годам'!M1065&lt;&gt;0),('Дивиденды по годам'!J1065+'Дивиденды по годам'!K1065)/'Дивиденды по годам'!M1065,""),"")</f>
        <v>9.0510470815339463</v>
      </c>
      <c r="V1065" cm="1">
        <f t="array" ref="V1065">IFERROR(AVERAGE(_xlfn._xlws.FILTER(P$2:P$1073,($C$2:$C$1073=$C1065)*($E$2:$E$1073=$E1065)*(ROW(P$2:P$1073)&lt;&gt;ROW(P1065))*(P$2:P$1073&lt;&gt;""))),"")</f>
        <v>26.154227105509552</v>
      </c>
      <c r="W1065" cm="1">
        <f t="array" ref="W1065">IFERROR(AVERAGE(_xlfn._xlws.FILTER(Q$2:Q$1073,($C$2:$C$1073=$C1065)*($E$2:$E$1073=$E1065)*(ROW(Q$2:Q$1073)&lt;&gt;ROW(Q1065))*(Q$2:Q$1073&lt;&gt;""))),"")</f>
        <v>6.3649169181170764E-2</v>
      </c>
      <c r="X1065" cm="1">
        <f t="array" ref="X1065">IFERROR(AVERAGE(_xlfn._xlws.FILTER(R$2:R$1073,($C$2:$C$1073=$C1065)*($E$2:$E$1073=$E1065)*(ROW(R$2:R$1073)&lt;&gt;ROW(R1065))*(R$2:R$1073&lt;&gt;""))),"")</f>
        <v>0.16132420811962156</v>
      </c>
      <c r="Y1065" cm="1">
        <f t="array" ref="Y1065">IFERROR(AVERAGE(_xlfn._xlws.FILTER(S$2:S$1073,($C$2:$C$1073=$C1065)*($E$2:$E$1073=$E1065)*(ROW(S$2:S$1073)&lt;&gt;ROW(S1065))*(S$2:S$1073&lt;&gt;""))),"")</f>
        <v>0.57998366804796564</v>
      </c>
      <c r="Z1065" cm="1">
        <f t="array" ref="Z1065">IFERROR(AVERAGE(_xlfn._xlws.FILTER(T$2:T$1073,($C$2:$C$1073=$C1065)*($E$2:$E$1073=$E1065)*(ROW(T$2:T$1073)&lt;&gt;ROW(T1065))*(T$2:T$1073&lt;&gt;""))),"")</f>
        <v>4.0681368572137597E-2</v>
      </c>
      <c r="AA1065" cm="1">
        <f t="array" ref="AA1065">IFERROR(AVERAGE(_xlfn._xlws.FILTER(U$2:U$1073,($C$2:$C$1073=$C1065)*($E$2:$E$1073=$E1065)*(ROW(U$2:U$1073)&lt;&gt;ROW(U1065))*(U$2:U$1073&lt;&gt;""))),"")</f>
        <v>2.468111443333135</v>
      </c>
    </row>
    <row r="1066" spans="1:27" x14ac:dyDescent="0.2">
      <c r="A1066" s="7" t="s">
        <v>2311</v>
      </c>
      <c r="B1066" t="str">
        <f t="shared" si="178"/>
        <v>SMLT IV кв. 2017</v>
      </c>
      <c r="C1066">
        <v>2017</v>
      </c>
      <c r="D1066">
        <f>SUMIFS(Дивиденды!$C:$C,Дивиденды!$A:$A,A1066,Дивиденды!$I:$I,C1066)</f>
        <v>0</v>
      </c>
      <c r="E1066">
        <v>8</v>
      </c>
      <c r="F1066">
        <f t="shared" si="179"/>
        <v>0</v>
      </c>
      <c r="G1066">
        <f t="shared" si="180"/>
        <v>26</v>
      </c>
      <c r="H1066">
        <f t="shared" si="181"/>
        <v>0</v>
      </c>
      <c r="I1066">
        <f t="shared" si="177"/>
        <v>0.33333333333333331</v>
      </c>
      <c r="J1066">
        <f t="shared" si="182"/>
        <v>0</v>
      </c>
      <c r="K1066">
        <f t="shared" si="186"/>
        <v>0</v>
      </c>
      <c r="L1066">
        <f t="shared" si="183"/>
        <v>0</v>
      </c>
      <c r="M1066">
        <f t="shared" si="187"/>
        <v>0</v>
      </c>
      <c r="N1066">
        <f t="shared" si="184"/>
        <v>0</v>
      </c>
      <c r="O1066">
        <f t="shared" si="185"/>
        <v>0</v>
      </c>
      <c r="P1066">
        <f>IFERROR(LN('Дивиденды по годам'!I1066),"")</f>
        <v>24.612080090817663</v>
      </c>
      <c r="Q1066">
        <f>IFERROR('Дивиденды по годам'!G1066/'Дивиденды по годам'!I1066, "")</f>
        <v>5.5559621046232131E-3</v>
      </c>
      <c r="R1066">
        <f>IFERROR(IF(AND('Дивиденды по годам'!N1066&lt;&gt;"",'Дивиденды по годам'!U1066&lt;&gt;"",'Дивиденды по годам'!U1066&lt;&gt;0),'Дивиденды по годам'!N1066/'Дивиденды по годам'!U1066-1,""),"")</f>
        <v>0.6885768253416864</v>
      </c>
      <c r="S1066">
        <f>IFERROR(IF(AND('Дивиденды по годам'!L1066&lt;&gt;"",'Дивиденды по годам'!I1066&lt;&gt;"",'Дивиденды по годам'!J1066&lt;&gt;"",'Дивиденды по годам'!K1066&lt;&gt;"",('Дивиденды по годам'!I1066-'Дивиденды по годам'!J1066-'Дивиденды по годам'!K1066)&lt;&gt;0),'Дивиденды по годам'!L1066/('Дивиденды по годам'!I1066-'Дивиденды по годам'!J1066-'Дивиденды по годам'!K1066),""),"")</f>
        <v>0.60998433447520495</v>
      </c>
      <c r="T1066">
        <f>IFERROR(IF(AND('Дивиденды по годам'!Q1066&lt;&gt;"",'Дивиденды по годам'!I1066&lt;&gt;"",'Дивиденды по годам'!V1066&lt;&gt;"",('Дивиденды по годам'!I1066+'Дивиденды по годам'!V1066)&lt;&gt;0),'Дивиденды по годам'!Q1066/(('Дивиденды по годам'!I1066+'Дивиденды по годам'!V1066)/2),""),"")</f>
        <v>8.1462870722711855E-2</v>
      </c>
      <c r="U1066">
        <f>IFERROR(IF(AND('Дивиденды по годам'!J1066&lt;&gt;"",'Дивиденды по годам'!K1066&lt;&gt;"",'Дивиденды по годам'!M1066&lt;&gt;"",'Дивиденды по годам'!M1066&lt;&gt;0),('Дивиденды по годам'!J1066+'Дивиденды по годам'!K1066)/'Дивиденды по годам'!M1066,""),"")</f>
        <v>11.702186023231778</v>
      </c>
      <c r="V1066" cm="1">
        <f t="array" ref="V1066">IFERROR(AVERAGE(_xlfn._xlws.FILTER(P$2:P$1073,($C$2:$C$1073=$C1066)*($E$2:$E$1073=$E1066)*(ROW(P$2:P$1073)&lt;&gt;ROW(P1066))*(P$2:P$1073&lt;&gt;""))),"")</f>
        <v>26.178909099308385</v>
      </c>
      <c r="W1066" cm="1">
        <f t="array" ref="W1066">IFERROR(AVERAGE(_xlfn._xlws.FILTER(Q$2:Q$1073,($C$2:$C$1073=$C1066)*($E$2:$E$1073=$E1066)*(ROW(Q$2:Q$1073)&lt;&gt;ROW(Q1066))*(Q$2:Q$1073&lt;&gt;""))),"")</f>
        <v>6.5835833788158035E-2</v>
      </c>
      <c r="X1066" cm="1">
        <f t="array" ref="X1066">IFERROR(AVERAGE(_xlfn._xlws.FILTER(R$2:R$1073,($C$2:$C$1073=$C1066)*($E$2:$E$1073=$E1066)*(ROW(R$2:R$1073)&lt;&gt;ROW(R1066))*(R$2:R$1073&lt;&gt;""))),"")</f>
        <v>1.1633473895934792</v>
      </c>
      <c r="Y1066" cm="1">
        <f t="array" ref="Y1066">IFERROR(AVERAGE(_xlfn._xlws.FILTER(S$2:S$1073,($C$2:$C$1073=$C1066)*($E$2:$E$1073=$E1066)*(ROW(S$2:S$1073)&lt;&gt;ROW(S1066))*(S$2:S$1073&lt;&gt;""))),"")</f>
        <v>0.54206004427148813</v>
      </c>
      <c r="Z1066" cm="1">
        <f t="array" ref="Z1066">IFERROR(AVERAGE(_xlfn._xlws.FILTER(T$2:T$1073,($C$2:$C$1073=$C1066)*($E$2:$E$1073=$E1066)*(ROW(T$2:T$1073)&lt;&gt;ROW(T1066))*(T$2:T$1073&lt;&gt;""))),"")</f>
        <v>3.5432781322892577E-2</v>
      </c>
      <c r="AA1066" cm="1">
        <f t="array" ref="AA1066">IFERROR(AVERAGE(_xlfn._xlws.FILTER(U$2:U$1073,($C$2:$C$1073=$C1066)*($E$2:$E$1073=$E1066)*(ROW(U$2:U$1073)&lt;&gt;ROW(U1066))*(U$2:U$1073&lt;&gt;""))),"")</f>
        <v>3.0400082741205821</v>
      </c>
    </row>
    <row r="1067" spans="1:27" x14ac:dyDescent="0.2">
      <c r="A1067" s="7" t="s">
        <v>2311</v>
      </c>
      <c r="B1067" t="str">
        <f t="shared" si="178"/>
        <v>SMLT IV кв. 2016</v>
      </c>
      <c r="C1067">
        <v>2016</v>
      </c>
      <c r="D1067">
        <f>SUMIFS(Дивиденды!$C:$C,Дивиденды!$A:$A,A1067,Дивиденды!$I:$I,C1067)</f>
        <v>0</v>
      </c>
      <c r="E1067">
        <v>8</v>
      </c>
      <c r="F1067">
        <f t="shared" si="179"/>
        <v>0</v>
      </c>
      <c r="G1067">
        <f t="shared" si="180"/>
        <v>26</v>
      </c>
      <c r="H1067">
        <f t="shared" si="181"/>
        <v>0</v>
      </c>
      <c r="I1067">
        <f t="shared" si="177"/>
        <v>0.33333333333333331</v>
      </c>
      <c r="J1067">
        <f t="shared" si="182"/>
        <v>0</v>
      </c>
      <c r="K1067">
        <f t="shared" si="186"/>
        <v>0</v>
      </c>
      <c r="L1067">
        <f t="shared" si="183"/>
        <v>0</v>
      </c>
      <c r="M1067">
        <f t="shared" si="187"/>
        <v>0</v>
      </c>
      <c r="N1067">
        <f t="shared" si="184"/>
        <v>0</v>
      </c>
      <c r="O1067">
        <f t="shared" si="185"/>
        <v>0</v>
      </c>
      <c r="P1067">
        <f>IFERROR(LN('Дивиденды по годам'!I1067),"")</f>
        <v>24.272894717913655</v>
      </c>
      <c r="Q1067">
        <f>IFERROR('Дивиденды по годам'!G1067/'Дивиденды по годам'!I1067, "")</f>
        <v>3.8576855438443238E-3</v>
      </c>
      <c r="R1067" t="str">
        <f>IFERROR(IF(AND('Дивиденды по годам'!N1067&lt;&gt;"",'Дивиденды по годам'!U1067&lt;&gt;"",'Дивиденды по годам'!U1067&lt;&gt;0),'Дивиденды по годам'!N1067/'Дивиденды по годам'!U1067-1,""),"")</f>
        <v/>
      </c>
      <c r="S1067">
        <f>IFERROR(IF(AND('Дивиденды по годам'!L1067&lt;&gt;"",'Дивиденды по годам'!I1067&lt;&gt;"",'Дивиденды по годам'!J1067&lt;&gt;"",'Дивиденды по годам'!K1067&lt;&gt;"",('Дивиденды по годам'!I1067-'Дивиденды по годам'!J1067-'Дивиденды по годам'!K1067)&lt;&gt;0),'Дивиденды по годам'!L1067/('Дивиденды по годам'!I1067-'Дивиденды по годам'!J1067-'Дивиденды по годам'!K1067),""),"")</f>
        <v>0.45642180806671906</v>
      </c>
      <c r="T1067" t="str">
        <f>IFERROR(IF(AND('Дивиденды по годам'!Q1067&lt;&gt;"",'Дивиденды по годам'!I1067&lt;&gt;"",'Дивиденды по годам'!V1067&lt;&gt;"",('Дивиденды по годам'!I1067+'Дивиденды по годам'!V1067)&lt;&gt;0),'Дивиденды по годам'!Q1067/(('Дивиденды по годам'!I1067+'Дивиденды по годам'!V1067)/2),""),"")</f>
        <v/>
      </c>
      <c r="U1067">
        <f>IFERROR(IF(AND('Дивиденды по годам'!J1067&lt;&gt;"",'Дивиденды по годам'!K1067&lt;&gt;"",'Дивиденды по годам'!M1067&lt;&gt;"",'Дивиденды по годам'!M1067&lt;&gt;0),('Дивиденды по годам'!J1067+'Дивиденды по годам'!K1067)/'Дивиденды по годам'!M1067,""),"")</f>
        <v>11.611074933203746</v>
      </c>
      <c r="V1067" cm="1">
        <f t="array" ref="V1067">IFERROR(AVERAGE(_xlfn._xlws.FILTER(P$2:P$1073,($C$2:$C$1073=$C1067)*($E$2:$E$1073=$E1067)*(ROW(P$2:P$1073)&lt;&gt;ROW(P1067))*(P$2:P$1073&lt;&gt;""))),"")</f>
        <v>26.413481059823305</v>
      </c>
      <c r="W1067" cm="1">
        <f t="array" ref="W1067">IFERROR(AVERAGE(_xlfn._xlws.FILTER(Q$2:Q$1073,($C$2:$C$1073=$C1067)*($E$2:$E$1073=$E1067)*(ROW(Q$2:Q$1073)&lt;&gt;ROW(Q1067))*(Q$2:Q$1073&lt;&gt;""))),"")</f>
        <v>9.4112441100970168E-2</v>
      </c>
      <c r="X1067" cm="1">
        <f t="array" ref="X1067">IFERROR(AVERAGE(_xlfn._xlws.FILTER(R$2:R$1073,($C$2:$C$1073=$C1067)*($E$2:$E$1073=$E1067)*(ROW(R$2:R$1073)&lt;&gt;ROW(R1067))*(R$2:R$1073&lt;&gt;""))),"")</f>
        <v>0.15233021582257411</v>
      </c>
      <c r="Y1067" cm="1">
        <f t="array" ref="Y1067">IFERROR(AVERAGE(_xlfn._xlws.FILTER(S$2:S$1073,($C$2:$C$1073=$C1067)*($E$2:$E$1073=$E1067)*(ROW(S$2:S$1073)&lt;&gt;ROW(S1067))*(S$2:S$1073&lt;&gt;""))),"")</f>
        <v>0.39718118399312119</v>
      </c>
      <c r="Z1067" cm="1">
        <f t="array" ref="Z1067">IFERROR(AVERAGE(_xlfn._xlws.FILTER(T$2:T$1073,($C$2:$C$1073=$C1067)*($E$2:$E$1073=$E1067)*(ROW(T$2:T$1073)&lt;&gt;ROW(T1067))*(T$2:T$1073&lt;&gt;""))),"")</f>
        <v>6.447697662219809E-2</v>
      </c>
      <c r="AA1067" cm="1">
        <f t="array" ref="AA1067">IFERROR(AVERAGE(_xlfn._xlws.FILTER(U$2:U$1073,($C$2:$C$1073=$C1067)*($E$2:$E$1073=$E1067)*(ROW(U$2:U$1073)&lt;&gt;ROW(U1067))*(U$2:U$1073&lt;&gt;""))),"")</f>
        <v>4.0218209452011306</v>
      </c>
    </row>
    <row r="1068" spans="1:27" x14ac:dyDescent="0.2">
      <c r="A1068" s="7" t="s">
        <v>2311</v>
      </c>
      <c r="B1068" t="str">
        <f t="shared" si="178"/>
        <v>SMLT IV кв. 2015</v>
      </c>
      <c r="C1068">
        <v>2015</v>
      </c>
      <c r="D1068">
        <f>SUMIFS(Дивиденды!$C:$C,Дивиденды!$A:$A,A1068,Дивиденды!$I:$I,C1068)</f>
        <v>0</v>
      </c>
      <c r="E1068">
        <v>8</v>
      </c>
      <c r="F1068">
        <f t="shared" si="179"/>
        <v>0</v>
      </c>
      <c r="G1068">
        <f t="shared" si="180"/>
        <v>26</v>
      </c>
      <c r="H1068">
        <f t="shared" si="181"/>
        <v>0</v>
      </c>
      <c r="I1068">
        <f t="shared" si="177"/>
        <v>0.33333333333333331</v>
      </c>
      <c r="J1068">
        <f t="shared" si="182"/>
        <v>0</v>
      </c>
      <c r="K1068">
        <f t="shared" si="186"/>
        <v>-0.33333333333333331</v>
      </c>
      <c r="L1068">
        <f t="shared" si="183"/>
        <v>0</v>
      </c>
      <c r="M1068">
        <f t="shared" si="187"/>
        <v>0</v>
      </c>
      <c r="N1068">
        <f t="shared" si="184"/>
        <v>0</v>
      </c>
      <c r="O1068">
        <f t="shared" si="185"/>
        <v>0.33333333333333331</v>
      </c>
      <c r="P1068" t="str">
        <f>IFERROR(LN('Дивиденды по годам'!I1068),"")</f>
        <v/>
      </c>
      <c r="Q1068" t="str">
        <f>IFERROR('Дивиденды по годам'!G1068/'Дивиденды по годам'!I1068, "")</f>
        <v/>
      </c>
      <c r="R1068" t="str">
        <f>IFERROR(IF(AND('Дивиденды по годам'!N1068&lt;&gt;"",'Дивиденды по годам'!U1068&lt;&gt;"",'Дивиденды по годам'!U1068&lt;&gt;0),'Дивиденды по годам'!N1068/'Дивиденды по годам'!U1068-1,""),"")</f>
        <v/>
      </c>
      <c r="S1068" t="str">
        <f>IFERROR(IF(AND('Дивиденды по годам'!L1068&lt;&gt;"",'Дивиденды по годам'!I1068&lt;&gt;"",'Дивиденды по годам'!J1068&lt;&gt;"",'Дивиденды по годам'!K1068&lt;&gt;"",('Дивиденды по годам'!I1068-'Дивиденды по годам'!J1068-'Дивиденды по годам'!K1068)&lt;&gt;0),'Дивиденды по годам'!L1068/('Дивиденды по годам'!I1068-'Дивиденды по годам'!J1068-'Дивиденды по годам'!K1068),""),"")</f>
        <v/>
      </c>
      <c r="T1068" t="str">
        <f>IFERROR(IF(AND('Дивиденды по годам'!Q1068&lt;&gt;"",'Дивиденды по годам'!I1068&lt;&gt;"",'Дивиденды по годам'!V1068&lt;&gt;"",('Дивиденды по годам'!I1068+'Дивиденды по годам'!V1068)&lt;&gt;0),'Дивиденды по годам'!Q1068/(('Дивиденды по годам'!I1068+'Дивиденды по годам'!V1068)/2),""),"")</f>
        <v/>
      </c>
      <c r="U1068" t="str">
        <f>IFERROR(IF(AND('Дивиденды по годам'!J1068&lt;&gt;"",'Дивиденды по годам'!K1068&lt;&gt;"",'Дивиденды по годам'!M1068&lt;&gt;"",'Дивиденды по годам'!M1068&lt;&gt;0),('Дивиденды по годам'!J1068+'Дивиденды по годам'!K1068)/'Дивиденды по годам'!M1068,""),"")</f>
        <v/>
      </c>
      <c r="V1068" cm="1">
        <f t="array" ref="V1068">IFERROR(AVERAGE(_xlfn._xlws.FILTER(P$2:P$1073,($C$2:$C$1073=$C1068)*($E$2:$E$1073=$E1068)*(ROW(P$2:P$1073)&lt;&gt;ROW(P1068))*(P$2:P$1073&lt;&gt;""))),"")</f>
        <v>25.71829449059895</v>
      </c>
      <c r="W1068" cm="1">
        <f t="array" ref="W1068">IFERROR(AVERAGE(_xlfn._xlws.FILTER(Q$2:Q$1073,($C$2:$C$1073=$C1068)*($E$2:$E$1073=$E1068)*(ROW(Q$2:Q$1073)&lt;&gt;ROW(Q1068))*(Q$2:Q$1073&lt;&gt;""))),"")</f>
        <v>0.1073202909166114</v>
      </c>
      <c r="X1068" cm="1">
        <f t="array" ref="X1068">IFERROR(AVERAGE(_xlfn._xlws.FILTER(R$2:R$1073,($C$2:$C$1073=$C1068)*($E$2:$E$1073=$E1068)*(ROW(R$2:R$1073)&lt;&gt;ROW(R1068))*(R$2:R$1073&lt;&gt;""))),"")</f>
        <v>-0.11253408541772025</v>
      </c>
      <c r="Y1068" cm="1">
        <f t="array" ref="Y1068">IFERROR(AVERAGE(_xlfn._xlws.FILTER(S$2:S$1073,($C$2:$C$1073=$C1068)*($E$2:$E$1073=$E1068)*(ROW(S$2:S$1073)&lt;&gt;ROW(S1068))*(S$2:S$1073&lt;&gt;""))),"")</f>
        <v>0.17449271478843911</v>
      </c>
      <c r="Z1068" cm="1">
        <f t="array" ref="Z1068">IFERROR(AVERAGE(_xlfn._xlws.FILTER(T$2:T$1073,($C$2:$C$1073=$C1068)*($E$2:$E$1073=$E1068)*(ROW(T$2:T$1073)&lt;&gt;ROW(T1068))*(T$2:T$1073&lt;&gt;""))),"")</f>
        <v>8.260922764123789E-2</v>
      </c>
      <c r="AA1068" cm="1">
        <f t="array" ref="AA1068">IFERROR(AVERAGE(_xlfn._xlws.FILTER(U$2:U$1073,($C$2:$C$1073=$C1068)*($E$2:$E$1073=$E1068)*(ROW(U$2:U$1073)&lt;&gt;ROW(U1068))*(U$2:U$1073&lt;&gt;""))),"")</f>
        <v>2.1321711086288291</v>
      </c>
    </row>
    <row r="1069" spans="1:27" x14ac:dyDescent="0.2">
      <c r="A1069" s="7" t="s">
        <v>2311</v>
      </c>
      <c r="B1069" t="str">
        <f t="shared" si="178"/>
        <v>SMLT IV кв. 2014</v>
      </c>
      <c r="C1069">
        <v>2014</v>
      </c>
      <c r="D1069">
        <f>SUMIFS(Дивиденды!$C:$C,Дивиденды!$A:$A,A1069,Дивиденды!$I:$I,C1069)</f>
        <v>0</v>
      </c>
      <c r="E1069">
        <v>8</v>
      </c>
      <c r="F1069">
        <f t="shared" si="179"/>
        <v>0</v>
      </c>
      <c r="G1069">
        <f t="shared" si="180"/>
        <v>27.386666666666667</v>
      </c>
      <c r="H1069">
        <f t="shared" si="181"/>
        <v>0</v>
      </c>
      <c r="I1069">
        <f t="shared" si="177"/>
        <v>0.66666666666666663</v>
      </c>
      <c r="J1069">
        <f t="shared" si="182"/>
        <v>0</v>
      </c>
      <c r="K1069">
        <f t="shared" si="186"/>
        <v>0.65</v>
      </c>
      <c r="L1069">
        <f t="shared" si="183"/>
        <v>0</v>
      </c>
      <c r="M1069">
        <f t="shared" si="187"/>
        <v>0.66666666666666663</v>
      </c>
      <c r="N1069">
        <f t="shared" si="184"/>
        <v>0</v>
      </c>
      <c r="O1069">
        <f t="shared" si="185"/>
        <v>0</v>
      </c>
      <c r="P1069" t="str">
        <f>IFERROR(LN('Дивиденды по годам'!I1069),"")</f>
        <v/>
      </c>
      <c r="Q1069" t="str">
        <f>IFERROR('Дивиденды по годам'!G1069/'Дивиденды по годам'!I1069, "")</f>
        <v/>
      </c>
      <c r="R1069" t="str">
        <f>IFERROR(IF(AND('Дивиденды по годам'!N1069&lt;&gt;"",'Дивиденды по годам'!U1069&lt;&gt;"",'Дивиденды по годам'!U1069&lt;&gt;0),'Дивиденды по годам'!N1069/'Дивиденды по годам'!U1069-1,""),"")</f>
        <v/>
      </c>
      <c r="S1069" t="str">
        <f>IFERROR(IF(AND('Дивиденды по годам'!L1069&lt;&gt;"",'Дивиденды по годам'!I1069&lt;&gt;"",'Дивиденды по годам'!J1069&lt;&gt;"",'Дивиденды по годам'!K1069&lt;&gt;"",('Дивиденды по годам'!I1069-'Дивиденды по годам'!J1069-'Дивиденды по годам'!K1069)&lt;&gt;0),'Дивиденды по годам'!L1069/('Дивиденды по годам'!I1069-'Дивиденды по годам'!J1069-'Дивиденды по годам'!K1069),""),"")</f>
        <v/>
      </c>
      <c r="T1069" t="str">
        <f>IFERROR(IF(AND('Дивиденды по годам'!Q1069&lt;&gt;"",'Дивиденды по годам'!I1069&lt;&gt;"",'Дивиденды по годам'!V1069&lt;&gt;"",('Дивиденды по годам'!I1069+'Дивиденды по годам'!V1069)&lt;&gt;0),'Дивиденды по годам'!Q1069/(('Дивиденды по годам'!I1069+'Дивиденды по годам'!V1069)/2),""),"")</f>
        <v/>
      </c>
      <c r="U1069" t="str">
        <f>IFERROR(IF(AND('Дивиденды по годам'!J1069&lt;&gt;"",'Дивиденды по годам'!K1069&lt;&gt;"",'Дивиденды по годам'!M1069&lt;&gt;"",'Дивиденды по годам'!M1069&lt;&gt;0),('Дивиденды по годам'!J1069+'Дивиденды по годам'!K1069)/'Дивиденды по годам'!M1069,""),"")</f>
        <v/>
      </c>
      <c r="V1069" cm="1">
        <f t="array" ref="V1069">IFERROR(AVERAGE(_xlfn._xlws.FILTER(P$2:P$1073,($C$2:$C$1073=$C1069)*($E$2:$E$1073=$E1069)*(ROW(P$2:P$1073)&lt;&gt;ROW(P1069))*(P$2:P$1073&lt;&gt;""))),"")</f>
        <v>25.657009768650358</v>
      </c>
      <c r="W1069" cm="1">
        <f t="array" ref="W1069">IFERROR(AVERAGE(_xlfn._xlws.FILTER(Q$2:Q$1073,($C$2:$C$1073=$C1069)*($E$2:$E$1073=$E1069)*(ROW(Q$2:Q$1073)&lt;&gt;ROW(Q1069))*(Q$2:Q$1073&lt;&gt;""))),"")</f>
        <v>0.11490104687838582</v>
      </c>
      <c r="X1069" cm="1">
        <f t="array" ref="X1069">IFERROR(AVERAGE(_xlfn._xlws.FILTER(R$2:R$1073,($C$2:$C$1073=$C1069)*($E$2:$E$1073=$E1069)*(ROW(R$2:R$1073)&lt;&gt;ROW(R1069))*(R$2:R$1073&lt;&gt;""))),"")</f>
        <v>0.19666714088343412</v>
      </c>
      <c r="Y1069" cm="1">
        <f t="array" ref="Y1069">IFERROR(AVERAGE(_xlfn._xlws.FILTER(S$2:S$1073,($C$2:$C$1073=$C1069)*($E$2:$E$1073=$E1069)*(ROW(S$2:S$1073)&lt;&gt;ROW(S1069))*(S$2:S$1073&lt;&gt;""))),"")</f>
        <v>-0.10883273199146221</v>
      </c>
      <c r="Z1069" cm="1">
        <f t="array" ref="Z1069">IFERROR(AVERAGE(_xlfn._xlws.FILTER(T$2:T$1073,($C$2:$C$1073=$C1069)*($E$2:$E$1073=$E1069)*(ROW(T$2:T$1073)&lt;&gt;ROW(T1069))*(T$2:T$1073&lt;&gt;""))),"")</f>
        <v>4.3668835955886089E-2</v>
      </c>
      <c r="AA1069" cm="1">
        <f t="array" ref="AA1069">IFERROR(AVERAGE(_xlfn._xlws.FILTER(U$2:U$1073,($C$2:$C$1073=$C1069)*($E$2:$E$1073=$E1069)*(ROW(U$2:U$1073)&lt;&gt;ROW(U1069))*(U$2:U$1073&lt;&gt;""))),"")</f>
        <v>2.7859159961453743</v>
      </c>
    </row>
    <row r="1070" spans="1:27" x14ac:dyDescent="0.2">
      <c r="A1070" s="7" t="s">
        <v>2311</v>
      </c>
      <c r="B1070" t="str">
        <f t="shared" si="178"/>
        <v>SMLT IV кв. 2013</v>
      </c>
      <c r="C1070">
        <v>2013</v>
      </c>
      <c r="D1070">
        <f>SUMIFS(Дивиденды!$C:$C,Дивиденды!$A:$A,A1070,Дивиденды!$I:$I,C1070)</f>
        <v>0</v>
      </c>
      <c r="E1070">
        <v>8</v>
      </c>
      <c r="F1070">
        <f t="shared" si="179"/>
        <v>0</v>
      </c>
      <c r="G1070">
        <f t="shared" si="180"/>
        <v>13.333333333333334</v>
      </c>
      <c r="H1070">
        <f t="shared" si="181"/>
        <v>0</v>
      </c>
      <c r="I1070">
        <f t="shared" si="177"/>
        <v>0.33333333333333331</v>
      </c>
      <c r="J1070">
        <f t="shared" si="182"/>
        <v>0</v>
      </c>
      <c r="K1070">
        <f t="shared" si="186"/>
        <v>0.33333333333333331</v>
      </c>
      <c r="L1070">
        <f t="shared" si="183"/>
        <v>0</v>
      </c>
      <c r="M1070">
        <f t="shared" si="187"/>
        <v>0.33333333333333331</v>
      </c>
      <c r="N1070">
        <f t="shared" si="184"/>
        <v>0</v>
      </c>
      <c r="O1070">
        <f t="shared" si="185"/>
        <v>0</v>
      </c>
      <c r="P1070" t="str">
        <f>IFERROR(LN('Дивиденды по годам'!I1070),"")</f>
        <v/>
      </c>
      <c r="Q1070" t="str">
        <f>IFERROR('Дивиденды по годам'!G1070/'Дивиденды по годам'!I1070, "")</f>
        <v/>
      </c>
      <c r="R1070" t="str">
        <f>IFERROR(IF(AND('Дивиденды по годам'!N1070&lt;&gt;"",'Дивиденды по годам'!U1070&lt;&gt;"",'Дивиденды по годам'!U1070&lt;&gt;0),'Дивиденды по годам'!N1070/'Дивиденды по годам'!U1070-1,""),"")</f>
        <v/>
      </c>
      <c r="S1070" t="str">
        <f>IFERROR(IF(AND('Дивиденды по годам'!L1070&lt;&gt;"",'Дивиденды по годам'!I1070&lt;&gt;"",'Дивиденды по годам'!J1070&lt;&gt;"",'Дивиденды по годам'!K1070&lt;&gt;"",('Дивиденды по годам'!I1070-'Дивиденды по годам'!J1070-'Дивиденды по годам'!K1070)&lt;&gt;0),'Дивиденды по годам'!L1070/('Дивиденды по годам'!I1070-'Дивиденды по годам'!J1070-'Дивиденды по годам'!K1070),""),"")</f>
        <v/>
      </c>
      <c r="T1070" t="str">
        <f>IFERROR(IF(AND('Дивиденды по годам'!Q1070&lt;&gt;"",'Дивиденды по годам'!I1070&lt;&gt;"",'Дивиденды по годам'!V1070&lt;&gt;"",('Дивиденды по годам'!I1070+'Дивиденды по годам'!V1070)&lt;&gt;0),'Дивиденды по годам'!Q1070/(('Дивиденды по годам'!I1070+'Дивиденды по годам'!V1070)/2),""),"")</f>
        <v/>
      </c>
      <c r="U1070" t="str">
        <f>IFERROR(IF(AND('Дивиденды по годам'!J1070&lt;&gt;"",'Дивиденды по годам'!K1070&lt;&gt;"",'Дивиденды по годам'!M1070&lt;&gt;"",'Дивиденды по годам'!M1070&lt;&gt;0),('Дивиденды по годам'!J1070+'Дивиденды по годам'!K1070)/'Дивиденды по годам'!M1070,""),"")</f>
        <v/>
      </c>
      <c r="V1070" cm="1">
        <f t="array" ref="V1070">IFERROR(AVERAGE(_xlfn._xlws.FILTER(P$2:P$1073,($C$2:$C$1073=$C1070)*($E$2:$E$1073=$E1070)*(ROW(P$2:P$1073)&lt;&gt;ROW(P1070))*(P$2:P$1073&lt;&gt;""))),"")</f>
        <v>25.628387177159517</v>
      </c>
      <c r="W1070" cm="1">
        <f t="array" ref="W1070">IFERROR(AVERAGE(_xlfn._xlws.FILTER(Q$2:Q$1073,($C$2:$C$1073=$C1070)*($E$2:$E$1073=$E1070)*(ROW(Q$2:Q$1073)&lt;&gt;ROW(Q1070))*(Q$2:Q$1073&lt;&gt;""))),"")</f>
        <v>0.17621268031849646</v>
      </c>
      <c r="X1070" cm="1">
        <f t="array" ref="X1070">IFERROR(AVERAGE(_xlfn._xlws.FILTER(R$2:R$1073,($C$2:$C$1073=$C1070)*($E$2:$E$1073=$E1070)*(ROW(R$2:R$1073)&lt;&gt;ROW(R1070))*(R$2:R$1073&lt;&gt;""))),"")</f>
        <v>7.1993563878299804E-3</v>
      </c>
      <c r="Y1070" t="str" cm="1">
        <f t="array" ref="Y1070">IFERROR(AVERAGE(_xlfn._xlws.FILTER(S$2:S$1073,($C$2:$C$1073=$C1070)*($E$2:$E$1073=$E1070)*(ROW(S$2:S$1073)&lt;&gt;ROW(S1070))*(S$2:S$1073&lt;&gt;""))),"")</f>
        <v/>
      </c>
      <c r="Z1070" cm="1">
        <f t="array" ref="Z1070">IFERROR(AVERAGE(_xlfn._xlws.FILTER(T$2:T$1073,($C$2:$C$1073=$C1070)*($E$2:$E$1073=$E1070)*(ROW(T$2:T$1073)&lt;&gt;ROW(T1070))*(T$2:T$1073&lt;&gt;""))),"")</f>
        <v>4.8408487374726722E-2</v>
      </c>
      <c r="AA1070" cm="1">
        <f t="array" ref="AA1070">IFERROR(AVERAGE(_xlfn._xlws.FILTER(U$2:U$1073,($C$2:$C$1073=$C1070)*($E$2:$E$1073=$E1070)*(ROW(U$2:U$1073)&lt;&gt;ROW(U1070))*(U$2:U$1073&lt;&gt;""))),"")</f>
        <v>3.1582663547842218</v>
      </c>
    </row>
    <row r="1071" spans="1:27" x14ac:dyDescent="0.2">
      <c r="A1071" s="7" t="s">
        <v>2311</v>
      </c>
      <c r="B1071" t="str">
        <f t="shared" si="178"/>
        <v>SMLT IV кв. 2012</v>
      </c>
      <c r="C1071">
        <v>2012</v>
      </c>
      <c r="D1071">
        <f>SUMIFS(Дивиденды!$C:$C,Дивиденды!$A:$A,A1071,Дивиденды!$I:$I,C1071)</f>
        <v>0</v>
      </c>
      <c r="E1071">
        <v>8</v>
      </c>
      <c r="F1071">
        <f t="shared" si="179"/>
        <v>0</v>
      </c>
      <c r="G1071">
        <f t="shared" si="180"/>
        <v>6.666666666666667</v>
      </c>
      <c r="H1071">
        <f t="shared" si="181"/>
        <v>0</v>
      </c>
      <c r="I1071">
        <f t="shared" si="177"/>
        <v>0.33333333333333331</v>
      </c>
      <c r="J1071">
        <f t="shared" si="182"/>
        <v>0</v>
      </c>
      <c r="K1071">
        <f t="shared" si="186"/>
        <v>0</v>
      </c>
      <c r="L1071">
        <f t="shared" si="183"/>
        <v>0</v>
      </c>
      <c r="M1071">
        <f t="shared" si="187"/>
        <v>0</v>
      </c>
      <c r="N1071">
        <f t="shared" si="184"/>
        <v>0</v>
      </c>
      <c r="O1071">
        <f t="shared" si="185"/>
        <v>0</v>
      </c>
      <c r="P1071" t="str">
        <f>IFERROR(LN('Дивиденды по годам'!I1071),"")</f>
        <v/>
      </c>
      <c r="Q1071" t="str">
        <f>IFERROR('Дивиденды по годам'!G1071/'Дивиденды по годам'!I1071, "")</f>
        <v/>
      </c>
      <c r="R1071" t="str">
        <f>IFERROR(IF(AND('Дивиденды по годам'!N1071&lt;&gt;"",'Дивиденды по годам'!U1071&lt;&gt;"",'Дивиденды по годам'!U1071&lt;&gt;0),'Дивиденды по годам'!N1071/'Дивиденды по годам'!U1071-1,""),"")</f>
        <v/>
      </c>
      <c r="S1071" t="str">
        <f>IFERROR(IF(AND('Дивиденды по годам'!L1071&lt;&gt;"",'Дивиденды по годам'!I1071&lt;&gt;"",'Дивиденды по годам'!J1071&lt;&gt;"",'Дивиденды по годам'!K1071&lt;&gt;"",('Дивиденды по годам'!I1071-'Дивиденды по годам'!J1071-'Дивиденды по годам'!K1071)&lt;&gt;0),'Дивиденды по годам'!L1071/('Дивиденды по годам'!I1071-'Дивиденды по годам'!J1071-'Дивиденды по годам'!K1071),""),"")</f>
        <v/>
      </c>
      <c r="T1071" t="str">
        <f>IFERROR(IF(AND('Дивиденды по годам'!Q1071&lt;&gt;"",'Дивиденды по годам'!I1071&lt;&gt;"",'Дивиденды по годам'!V1071&lt;&gt;"",('Дивиденды по годам'!I1071+'Дивиденды по годам'!V1071)&lt;&gt;0),'Дивиденды по годам'!Q1071/(('Дивиденды по годам'!I1071+'Дивиденды по годам'!V1071)/2),""),"")</f>
        <v/>
      </c>
      <c r="U1071" t="str">
        <f>IFERROR(IF(AND('Дивиденды по годам'!J1071&lt;&gt;"",'Дивиденды по годам'!K1071&lt;&gt;"",'Дивиденды по годам'!M1071&lt;&gt;"",'Дивиденды по годам'!M1071&lt;&gt;0),('Дивиденды по годам'!J1071+'Дивиденды по годам'!K1071)/'Дивиденды по годам'!M1071,""),"")</f>
        <v/>
      </c>
      <c r="V1071" cm="1">
        <f t="array" ref="V1071">IFERROR(AVERAGE(_xlfn._xlws.FILTER(P$2:P$1073,($C$2:$C$1073=$C1071)*($E$2:$E$1073=$E1071)*(ROW(P$2:P$1073)&lt;&gt;ROW(P1071))*(P$2:P$1073&lt;&gt;""))),"")</f>
        <v>25.606212282602186</v>
      </c>
      <c r="W1071" cm="1">
        <f t="array" ref="W1071">IFERROR(AVERAGE(_xlfn._xlws.FILTER(Q$2:Q$1073,($C$2:$C$1073=$C1071)*($E$2:$E$1073=$E1071)*(ROW(Q$2:Q$1073)&lt;&gt;ROW(Q1071))*(Q$2:Q$1073&lt;&gt;""))),"")</f>
        <v>0.18069853124342428</v>
      </c>
      <c r="X1071" cm="1">
        <f t="array" ref="X1071">IFERROR(AVERAGE(_xlfn._xlws.FILTER(R$2:R$1073,($C$2:$C$1073=$C1071)*($E$2:$E$1073=$E1071)*(ROW(R$2:R$1073)&lt;&gt;ROW(R1071))*(R$2:R$1073&lt;&gt;""))),"")</f>
        <v>0.30766481921956945</v>
      </c>
      <c r="Y1071" t="str" cm="1">
        <f t="array" ref="Y1071">IFERROR(AVERAGE(_xlfn._xlws.FILTER(S$2:S$1073,($C$2:$C$1073=$C1071)*($E$2:$E$1073=$E1071)*(ROW(S$2:S$1073)&lt;&gt;ROW(S1071))*(S$2:S$1073&lt;&gt;""))),"")</f>
        <v/>
      </c>
      <c r="Z1071" cm="1">
        <f t="array" ref="Z1071">IFERROR(AVERAGE(_xlfn._xlws.FILTER(T$2:T$1073,($C$2:$C$1073=$C1071)*($E$2:$E$1073=$E1071)*(ROW(T$2:T$1073)&lt;&gt;ROW(T1071))*(T$2:T$1073&lt;&gt;""))),"")</f>
        <v>3.0817908617347949E-2</v>
      </c>
      <c r="AA1071" cm="1">
        <f t="array" ref="AA1071">IFERROR(AVERAGE(_xlfn._xlws.FILTER(U$2:U$1073,($C$2:$C$1073=$C1071)*($E$2:$E$1073=$E1071)*(ROW(U$2:U$1073)&lt;&gt;ROW(U1071))*(U$2:U$1073&lt;&gt;""))),"")</f>
        <v>19.123908800423749</v>
      </c>
    </row>
    <row r="1072" spans="1:27" x14ac:dyDescent="0.2">
      <c r="A1072" s="7" t="s">
        <v>2311</v>
      </c>
      <c r="B1072" t="str">
        <f t="shared" si="178"/>
        <v>SMLT IV кв. 2011</v>
      </c>
      <c r="C1072">
        <v>2011</v>
      </c>
      <c r="D1072">
        <f>SUMIFS(Дивиденды!$C:$C,Дивиденды!$A:$A,A1072,Дивиденды!$I:$I,C1072)</f>
        <v>0</v>
      </c>
      <c r="E1072">
        <v>8</v>
      </c>
      <c r="F1072">
        <f t="shared" si="179"/>
        <v>0</v>
      </c>
      <c r="G1072">
        <f t="shared" si="180"/>
        <v>6.666666666666667</v>
      </c>
      <c r="H1072">
        <f t="shared" si="181"/>
        <v>0</v>
      </c>
      <c r="I1072">
        <f t="shared" ref="I1072:I1073" si="188">IFERROR((COUNTIFS($E:$E,E1072,$C:$C,C1072,$H:$H,1)-H1072)/(COUNTIFS($E:$E,E1072,$C:$C,C1072)-1),0)</f>
        <v>0.33333333333333331</v>
      </c>
      <c r="J1072">
        <f t="shared" si="182"/>
        <v>0</v>
      </c>
      <c r="K1072">
        <f t="shared" si="186"/>
        <v>0.1111111111111111</v>
      </c>
      <c r="L1072">
        <f t="shared" si="183"/>
        <v>0</v>
      </c>
      <c r="M1072">
        <f t="shared" si="187"/>
        <v>0.33333333333333331</v>
      </c>
      <c r="N1072">
        <f t="shared" si="184"/>
        <v>0</v>
      </c>
      <c r="O1072">
        <f t="shared" si="185"/>
        <v>0</v>
      </c>
      <c r="P1072" t="str">
        <f>IFERROR(LN('Дивиденды по годам'!I1072),"")</f>
        <v/>
      </c>
      <c r="Q1072" t="str">
        <f>IFERROR('Дивиденды по годам'!G1072/'Дивиденды по годам'!I1072, "")</f>
        <v/>
      </c>
      <c r="R1072" t="str">
        <f>IFERROR(IF(AND('Дивиденды по годам'!N1072&lt;&gt;"",'Дивиденды по годам'!U1072&lt;&gt;"",'Дивиденды по годам'!U1072&lt;&gt;0),'Дивиденды по годам'!N1072/'Дивиденды по годам'!U1072-1,""),"")</f>
        <v/>
      </c>
      <c r="S1072" t="str">
        <f>IFERROR(IF(AND('Дивиденды по годам'!L1072&lt;&gt;"",'Дивиденды по годам'!I1072&lt;&gt;"",'Дивиденды по годам'!J1072&lt;&gt;"",'Дивиденды по годам'!K1072&lt;&gt;"",('Дивиденды по годам'!I1072-'Дивиденды по годам'!J1072-'Дивиденды по годам'!K1072)&lt;&gt;0),'Дивиденды по годам'!L1072/('Дивиденды по годам'!I1072-'Дивиденды по годам'!J1072-'Дивиденды по годам'!K1072),""),"")</f>
        <v/>
      </c>
      <c r="T1072" t="str">
        <f>IFERROR(IF(AND('Дивиденды по годам'!Q1072&lt;&gt;"",'Дивиденды по годам'!I1072&lt;&gt;"",'Дивиденды по годам'!V1072&lt;&gt;"",('Дивиденды по годам'!I1072+'Дивиденды по годам'!V1072)&lt;&gt;0),'Дивиденды по годам'!Q1072/(('Дивиденды по годам'!I1072+'Дивиденды по годам'!V1072)/2),""),"")</f>
        <v/>
      </c>
      <c r="U1072" t="str">
        <f>IFERROR(IF(AND('Дивиденды по годам'!J1072&lt;&gt;"",'Дивиденды по годам'!K1072&lt;&gt;"",'Дивиденды по годам'!M1072&lt;&gt;"",'Дивиденды по годам'!M1072&lt;&gt;0),('Дивиденды по годам'!J1072+'Дивиденды по годам'!K1072)/'Дивиденды по годам'!M1072,""),"")</f>
        <v/>
      </c>
      <c r="V1072" cm="1">
        <f t="array" ref="V1072">IFERROR(AVERAGE(_xlfn._xlws.FILTER(P$2:P$1073,($C$2:$C$1073=$C1072)*($E$2:$E$1073=$E1072)*(ROW(P$2:P$1073)&lt;&gt;ROW(P1072))*(P$2:P$1073&lt;&gt;""))),"")</f>
        <v>25.573845912680969</v>
      </c>
      <c r="W1072" cm="1">
        <f t="array" ref="W1072">IFERROR(AVERAGE(_xlfn._xlws.FILTER(Q$2:Q$1073,($C$2:$C$1073=$C1072)*($E$2:$E$1073=$E1072)*(ROW(Q$2:Q$1073)&lt;&gt;ROW(Q1072))*(Q$2:Q$1073&lt;&gt;""))),"")</f>
        <v>0.18216029236601219</v>
      </c>
      <c r="X1072" t="str" cm="1">
        <f t="array" ref="X1072">IFERROR(AVERAGE(_xlfn._xlws.FILTER(R$2:R$1073,($C$2:$C$1073=$C1072)*($E$2:$E$1073=$E1072)*(ROW(R$2:R$1073)&lt;&gt;ROW(R1072))*(R$2:R$1073&lt;&gt;""))),"")</f>
        <v/>
      </c>
      <c r="Y1072" t="str" cm="1">
        <f t="array" ref="Y1072">IFERROR(AVERAGE(_xlfn._xlws.FILTER(S$2:S$1073,($C$2:$C$1073=$C1072)*($E$2:$E$1073=$E1072)*(ROW(S$2:S$1073)&lt;&gt;ROW(S1072))*(S$2:S$1073&lt;&gt;""))),"")</f>
        <v/>
      </c>
      <c r="Z1072" t="str" cm="1">
        <f t="array" ref="Z1072">IFERROR(AVERAGE(_xlfn._xlws.FILTER(T$2:T$1073,($C$2:$C$1073=$C1072)*($E$2:$E$1073=$E1072)*(ROW(T$2:T$1073)&lt;&gt;ROW(T1072))*(T$2:T$1073&lt;&gt;""))),"")</f>
        <v/>
      </c>
      <c r="AA1072" cm="1">
        <f t="array" ref="AA1072">IFERROR(AVERAGE(_xlfn._xlws.FILTER(U$2:U$1073,($C$2:$C$1073=$C1072)*($E$2:$E$1073=$E1072)*(ROW(U$2:U$1073)&lt;&gt;ROW(U1072))*(U$2:U$1073&lt;&gt;""))),"")</f>
        <v>295.52900390692832</v>
      </c>
    </row>
    <row r="1073" spans="1:27" x14ac:dyDescent="0.2">
      <c r="A1073" s="7" t="s">
        <v>2311</v>
      </c>
      <c r="B1073" t="str">
        <f t="shared" si="178"/>
        <v>SMLT IV кв. 2010</v>
      </c>
      <c r="C1073">
        <v>2010</v>
      </c>
      <c r="D1073">
        <f>SUMIFS(Дивиденды!$C:$C,Дивиденды!$A:$A,A1073,Дивиденды!$I:$I,C1073)</f>
        <v>0</v>
      </c>
      <c r="E1073">
        <v>8</v>
      </c>
      <c r="F1073">
        <f t="shared" si="179"/>
        <v>0</v>
      </c>
      <c r="G1073">
        <f t="shared" si="180"/>
        <v>5</v>
      </c>
      <c r="H1073">
        <f t="shared" si="181"/>
        <v>0</v>
      </c>
      <c r="I1073">
        <f t="shared" si="188"/>
        <v>0.33333333333333331</v>
      </c>
      <c r="J1073" t="str">
        <f t="shared" si="182"/>
        <v/>
      </c>
      <c r="K1073" t="str">
        <f t="shared" si="186"/>
        <v/>
      </c>
      <c r="L1073" t="str">
        <f t="shared" si="183"/>
        <v/>
      </c>
      <c r="M1073" t="str">
        <f t="shared" si="187"/>
        <v/>
      </c>
      <c r="N1073" t="str">
        <f t="shared" si="184"/>
        <v/>
      </c>
      <c r="O1073" t="str">
        <f t="shared" si="185"/>
        <v/>
      </c>
      <c r="P1073" t="str">
        <f>IFERROR(LN('Дивиденды по годам'!I1073),"")</f>
        <v/>
      </c>
      <c r="Q1073" t="str">
        <f>IFERROR('Дивиденды по годам'!G1073/'Дивиденды по годам'!I1073, "")</f>
        <v/>
      </c>
      <c r="R1073" t="str">
        <f>IFERROR(IF(AND('Дивиденды по годам'!N1073&lt;&gt;"",'Дивиденды по годам'!U1073&lt;&gt;"",'Дивиденды по годам'!U1073&lt;&gt;0),'Дивиденды по годам'!N1073/'Дивиденды по годам'!U1073-1,""),"")</f>
        <v/>
      </c>
      <c r="S1073" t="str">
        <f>IFERROR(IF(AND('Дивиденды по годам'!L1073&lt;&gt;"",'Дивиденды по годам'!I1073&lt;&gt;"",'Дивиденды по годам'!J1073&lt;&gt;"",'Дивиденды по годам'!K1073&lt;&gt;"",('Дивиденды по годам'!I1073-'Дивиденды по годам'!J1073-'Дивиденды по годам'!K1073)&lt;&gt;0),'Дивиденды по годам'!L1073/('Дивиденды по годам'!I1073-'Дивиденды по годам'!J1073-'Дивиденды по годам'!K1073),""),"")</f>
        <v/>
      </c>
      <c r="T1073" t="str">
        <f>IFERROR(IF(AND('Дивиденды по годам'!Q1073&lt;&gt;"",'Дивиденды по годам'!I1073&lt;&gt;"",'Дивиденды по годам'!V1073&lt;&gt;"",('Дивиденды по годам'!I1073+'Дивиденды по годам'!V1073)&lt;&gt;0),'Дивиденды по годам'!Q1073/(('Дивиденды по годам'!I1073+'Дивиденды по годам'!V1073)/2),""),"")</f>
        <v/>
      </c>
      <c r="U1073" t="str">
        <f>IFERROR(IF(AND('Дивиденды по годам'!J1073&lt;&gt;"",'Дивиденды по годам'!K1073&lt;&gt;"",'Дивиденды по годам'!M1073&lt;&gt;"",'Дивиденды по годам'!M1073&lt;&gt;0),('Дивиденды по годам'!J1073+'Дивиденды по годам'!K1073)/'Дивиденды по годам'!M1073,""),"")</f>
        <v/>
      </c>
      <c r="V1073" t="str" cm="1">
        <f t="array" ref="V1073">IFERROR(AVERAGE(_xlfn._xlws.FILTER(P$2:P$1073,($C$2:$C$1073=$C1073)*($E$2:$E$1073=$E1073)*(ROW(P$2:P$1073)&lt;&gt;ROW(P1073))*(P$2:P$1073&lt;&gt;""))),"")</f>
        <v/>
      </c>
      <c r="W1073" t="str" cm="1">
        <f t="array" ref="W1073">IFERROR(AVERAGE(_xlfn._xlws.FILTER(Q$2:Q$1073,($C$2:$C$1073=$C1073)*($E$2:$E$1073=$E1073)*(ROW(Q$2:Q$1073)&lt;&gt;ROW(Q1073))*(Q$2:Q$1073&lt;&gt;""))),"")</f>
        <v/>
      </c>
      <c r="X1073" t="str" cm="1">
        <f t="array" ref="X1073">IFERROR(AVERAGE(_xlfn._xlws.FILTER(R$2:R$1073,($C$2:$C$1073=$C1073)*($E$2:$E$1073=$E1073)*(ROW(R$2:R$1073)&lt;&gt;ROW(R1073))*(R$2:R$1073&lt;&gt;""))),"")</f>
        <v/>
      </c>
      <c r="Y1073" t="str" cm="1">
        <f t="array" ref="Y1073">IFERROR(AVERAGE(_xlfn._xlws.FILTER(S$2:S$1073,($C$2:$C$1073=$C1073)*($E$2:$E$1073=$E1073)*(ROW(S$2:S$1073)&lt;&gt;ROW(S1073))*(S$2:S$1073&lt;&gt;""))),"")</f>
        <v/>
      </c>
      <c r="Z1073" t="str" cm="1">
        <f t="array" ref="Z1073">IFERROR(AVERAGE(_xlfn._xlws.FILTER(T$2:T$1073,($C$2:$C$1073=$C1073)*($E$2:$E$1073=$E1073)*(ROW(T$2:T$1073)&lt;&gt;ROW(T1073))*(T$2:T$1073&lt;&gt;""))),"")</f>
        <v/>
      </c>
      <c r="AA1073" t="str" cm="1">
        <f t="array" ref="AA1073">IFERROR(AVERAGE(_xlfn._xlws.FILTER(U$2:U$1073,($C$2:$C$1073=$C1073)*($E$2:$E$1073=$E1073)*(ROW(U$2:U$1073)&lt;&gt;ROW(U1073))*(U$2:U$1073&lt;&gt;""))),"")</f>
        <v/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1AD1-22A9-EB40-9705-1FEDDB83DA90}">
  <dimension ref="A1:AA363"/>
  <sheetViews>
    <sheetView zoomScale="75" workbookViewId="0">
      <selection activeCell="L2" sqref="L2"/>
    </sheetView>
  </sheetViews>
  <sheetFormatPr baseColWidth="10" defaultRowHeight="16" x14ac:dyDescent="0.2"/>
  <sheetData>
    <row r="1" spans="1:27" x14ac:dyDescent="0.2">
      <c r="A1" s="1" t="s">
        <v>2348</v>
      </c>
      <c r="B1" s="1" t="s">
        <v>0</v>
      </c>
      <c r="C1" s="1" t="s">
        <v>2346</v>
      </c>
      <c r="D1" s="1" t="s">
        <v>2165</v>
      </c>
      <c r="E1" s="14" t="s">
        <v>2347</v>
      </c>
      <c r="F1" s="13" t="s">
        <v>2342</v>
      </c>
      <c r="G1" s="13" t="s">
        <v>2343</v>
      </c>
      <c r="H1" s="9" t="s">
        <v>2325</v>
      </c>
      <c r="I1" s="9" t="s">
        <v>2326</v>
      </c>
      <c r="J1" s="12" t="s">
        <v>2341</v>
      </c>
      <c r="K1" s="12" t="s">
        <v>2344</v>
      </c>
      <c r="L1" s="9" t="s">
        <v>2327</v>
      </c>
      <c r="M1" s="9" t="s">
        <v>2328</v>
      </c>
      <c r="N1" s="9" t="s">
        <v>2329</v>
      </c>
      <c r="O1" s="9" t="s">
        <v>2330</v>
      </c>
      <c r="P1" s="10" t="s">
        <v>2331</v>
      </c>
      <c r="Q1" s="10" t="s">
        <v>2332</v>
      </c>
      <c r="R1" s="10" t="s">
        <v>2333</v>
      </c>
      <c r="S1" s="10" t="s">
        <v>2334</v>
      </c>
      <c r="T1" s="10" t="s">
        <v>2335</v>
      </c>
      <c r="U1" s="10" t="s">
        <v>2349</v>
      </c>
      <c r="V1" s="11" t="s">
        <v>2336</v>
      </c>
      <c r="W1" s="11" t="s">
        <v>2337</v>
      </c>
      <c r="X1" s="11" t="s">
        <v>2338</v>
      </c>
      <c r="Y1" s="11" t="s">
        <v>2339</v>
      </c>
      <c r="Z1" s="11" t="s">
        <v>2340</v>
      </c>
      <c r="AA1" s="11" t="s">
        <v>2350</v>
      </c>
    </row>
    <row r="2" spans="1:27" x14ac:dyDescent="0.2">
      <c r="A2" s="7" t="s">
        <v>2173</v>
      </c>
      <c r="B2" t="s">
        <v>23</v>
      </c>
      <c r="C2">
        <v>2024</v>
      </c>
      <c r="D2">
        <v>0</v>
      </c>
      <c r="E2">
        <v>1</v>
      </c>
      <c r="F2">
        <v>0</v>
      </c>
      <c r="G2">
        <v>214.65000000000006</v>
      </c>
      <c r="H2">
        <v>0</v>
      </c>
      <c r="I2">
        <v>0.83333333333333337</v>
      </c>
      <c r="J2">
        <v>0</v>
      </c>
      <c r="K2">
        <v>3.3213967737444179E-2</v>
      </c>
      <c r="L2">
        <v>0</v>
      </c>
      <c r="M2">
        <v>0.66666666666666663</v>
      </c>
      <c r="N2">
        <v>0</v>
      </c>
      <c r="O2">
        <v>0.16666666666666666</v>
      </c>
      <c r="P2">
        <v>31.055226928515346</v>
      </c>
      <c r="Q2">
        <v>0.67690981132315176</v>
      </c>
      <c r="R2">
        <v>0.25438003947169086</v>
      </c>
      <c r="S2">
        <v>0.88491057282157115</v>
      </c>
      <c r="T2">
        <v>4.4392039770145435E-2</v>
      </c>
      <c r="U2">
        <v>0.73819834955762886</v>
      </c>
      <c r="V2">
        <v>28.895709928348975</v>
      </c>
      <c r="W2">
        <v>0.51199197765638005</v>
      </c>
      <c r="X2">
        <v>0.17118061223249206</v>
      </c>
      <c r="Y2">
        <v>0.79852548005677737</v>
      </c>
      <c r="Z2">
        <v>0.12177692337500727</v>
      </c>
      <c r="AA2">
        <v>0.85190113249297905</v>
      </c>
    </row>
    <row r="3" spans="1:27" x14ac:dyDescent="0.2">
      <c r="A3" s="7" t="s">
        <v>2173</v>
      </c>
      <c r="B3" t="s">
        <v>27</v>
      </c>
      <c r="C3">
        <v>2023</v>
      </c>
      <c r="D3">
        <v>0</v>
      </c>
      <c r="E3">
        <v>1</v>
      </c>
      <c r="F3">
        <v>0</v>
      </c>
      <c r="G3">
        <v>195.35</v>
      </c>
      <c r="H3">
        <v>0</v>
      </c>
      <c r="I3">
        <v>0.83333333333333337</v>
      </c>
      <c r="J3">
        <v>-1</v>
      </c>
      <c r="K3">
        <v>7.3185050172315427E-2</v>
      </c>
      <c r="L3">
        <v>0</v>
      </c>
      <c r="M3">
        <v>0.5</v>
      </c>
      <c r="N3">
        <v>1</v>
      </c>
      <c r="O3">
        <v>0.33333333333333331</v>
      </c>
      <c r="P3">
        <v>30.98839714838881</v>
      </c>
      <c r="Q3">
        <v>0.64206898381917954</v>
      </c>
      <c r="R3">
        <v>-0.26830096068597176</v>
      </c>
      <c r="S3">
        <v>0.88690206369599567</v>
      </c>
      <c r="T3">
        <v>-2.1263586385471302E-2</v>
      </c>
      <c r="U3">
        <v>0.74522865953908879</v>
      </c>
      <c r="V3">
        <v>28.950488017637543</v>
      </c>
      <c r="W3">
        <v>0.47348976337207827</v>
      </c>
      <c r="X3">
        <v>-3.7500664934112936E-2</v>
      </c>
      <c r="Y3">
        <v>0.80302192536609884</v>
      </c>
      <c r="Z3">
        <v>0.11841774986111753</v>
      </c>
      <c r="AA3">
        <v>0.83818777875983486</v>
      </c>
    </row>
    <row r="4" spans="1:27" x14ac:dyDescent="0.2">
      <c r="A4" s="7" t="s">
        <v>2173</v>
      </c>
      <c r="B4" t="s">
        <v>30</v>
      </c>
      <c r="C4">
        <v>2022</v>
      </c>
      <c r="D4">
        <v>51.03</v>
      </c>
      <c r="E4">
        <v>1</v>
      </c>
      <c r="F4">
        <v>51.03</v>
      </c>
      <c r="G4">
        <v>240.5033333333333</v>
      </c>
      <c r="H4">
        <v>1</v>
      </c>
      <c r="I4">
        <v>0.83333333333333337</v>
      </c>
      <c r="J4">
        <v>1</v>
      </c>
      <c r="K4">
        <v>0.59952004385451818</v>
      </c>
      <c r="L4">
        <v>1</v>
      </c>
      <c r="M4">
        <v>0.5</v>
      </c>
      <c r="N4">
        <v>0</v>
      </c>
      <c r="O4">
        <v>0.16666666666666666</v>
      </c>
      <c r="P4">
        <v>30.894064207250224</v>
      </c>
      <c r="Q4">
        <v>0.66665801724976936</v>
      </c>
      <c r="R4">
        <v>0.13988356811839209</v>
      </c>
      <c r="S4">
        <v>0.91974659860894958</v>
      </c>
      <c r="T4">
        <v>4.9332070035370552E-2</v>
      </c>
      <c r="U4">
        <v>0.58878604291843928</v>
      </c>
      <c r="V4">
        <v>28.005022673270954</v>
      </c>
      <c r="W4">
        <v>0.45949876398210993</v>
      </c>
      <c r="X4">
        <v>0.10381140391856736</v>
      </c>
      <c r="Y4">
        <v>0.78172803973763649</v>
      </c>
      <c r="Z4">
        <v>0.12952165295973672</v>
      </c>
      <c r="AA4">
        <v>0.88374829962920176</v>
      </c>
    </row>
    <row r="5" spans="1:27" x14ac:dyDescent="0.2">
      <c r="A5" s="7" t="s">
        <v>2173</v>
      </c>
      <c r="B5" t="s">
        <v>31</v>
      </c>
      <c r="C5">
        <v>2021</v>
      </c>
      <c r="D5">
        <v>0</v>
      </c>
      <c r="E5">
        <v>1</v>
      </c>
      <c r="F5">
        <v>0</v>
      </c>
      <c r="G5">
        <v>82.756666666666675</v>
      </c>
      <c r="H5">
        <v>0</v>
      </c>
      <c r="I5">
        <v>0.83333333333333337</v>
      </c>
      <c r="J5">
        <v>-1</v>
      </c>
      <c r="K5">
        <v>1.230790893694971</v>
      </c>
      <c r="L5">
        <v>0</v>
      </c>
      <c r="M5">
        <v>0.83333333333333337</v>
      </c>
      <c r="N5">
        <v>1</v>
      </c>
      <c r="O5">
        <v>0</v>
      </c>
      <c r="P5">
        <v>30.928605713020012</v>
      </c>
      <c r="Q5">
        <v>0.61646120508458724</v>
      </c>
      <c r="R5">
        <v>0.6200676130682321</v>
      </c>
      <c r="S5">
        <v>0.92570437668480376</v>
      </c>
      <c r="T5">
        <v>8.5679010361529001E-2</v>
      </c>
      <c r="U5">
        <v>0.60359904637449002</v>
      </c>
      <c r="V5">
        <v>28.5880145314181</v>
      </c>
      <c r="W5">
        <v>0.54592305229083227</v>
      </c>
      <c r="X5">
        <v>0.71962063520940733</v>
      </c>
      <c r="Y5">
        <v>0.7816452330629996</v>
      </c>
      <c r="Z5">
        <v>0.12893486160323281</v>
      </c>
      <c r="AA5">
        <v>1.1281548067421958</v>
      </c>
    </row>
    <row r="6" spans="1:27" x14ac:dyDescent="0.2">
      <c r="A6" s="7" t="s">
        <v>2173</v>
      </c>
      <c r="B6" t="s">
        <v>35</v>
      </c>
      <c r="C6">
        <v>2020</v>
      </c>
      <c r="D6">
        <v>12.55</v>
      </c>
      <c r="E6">
        <v>1</v>
      </c>
      <c r="F6">
        <v>12.55</v>
      </c>
      <c r="G6">
        <v>54.073333333333331</v>
      </c>
      <c r="H6">
        <v>1</v>
      </c>
      <c r="I6">
        <v>0.83333333333333337</v>
      </c>
      <c r="J6">
        <v>-0.17650918635170601</v>
      </c>
      <c r="K6">
        <v>-0.29877017459072802</v>
      </c>
      <c r="L6">
        <v>0</v>
      </c>
      <c r="M6">
        <v>0.33333333333333331</v>
      </c>
      <c r="N6">
        <v>1</v>
      </c>
      <c r="O6">
        <v>0.5</v>
      </c>
      <c r="P6">
        <v>30.781711671682622</v>
      </c>
      <c r="Q6">
        <v>0.68957551509633896</v>
      </c>
      <c r="R6">
        <v>-0.17469058202995114</v>
      </c>
      <c r="S6">
        <v>0.92655942708047667</v>
      </c>
      <c r="T6">
        <v>7.1806643831163241E-3</v>
      </c>
      <c r="U6">
        <v>0.57734601342327574</v>
      </c>
      <c r="V6">
        <v>28.62410898974591</v>
      </c>
      <c r="W6">
        <v>0.5371219038041336</v>
      </c>
      <c r="X6">
        <v>-0.27049470961689742</v>
      </c>
      <c r="Y6">
        <v>0.74822583962489408</v>
      </c>
      <c r="Z6">
        <v>3.2136749155249916E-2</v>
      </c>
      <c r="AA6">
        <v>1.2967729424726022</v>
      </c>
    </row>
    <row r="7" spans="1:27" x14ac:dyDescent="0.2">
      <c r="A7" s="7" t="s">
        <v>2173</v>
      </c>
      <c r="B7" t="s">
        <v>39</v>
      </c>
      <c r="C7">
        <v>2019</v>
      </c>
      <c r="D7">
        <v>15.24</v>
      </c>
      <c r="E7">
        <v>1</v>
      </c>
      <c r="F7">
        <v>15.24</v>
      </c>
      <c r="G7">
        <v>112.14333333333333</v>
      </c>
      <c r="H7">
        <v>1</v>
      </c>
      <c r="I7">
        <v>0.83333333333333337</v>
      </c>
      <c r="J7">
        <v>-8.2480433473810913E-2</v>
      </c>
      <c r="K7">
        <v>0.24288944535612003</v>
      </c>
      <c r="L7">
        <v>0</v>
      </c>
      <c r="M7">
        <v>0.5</v>
      </c>
      <c r="N7">
        <v>1</v>
      </c>
      <c r="O7">
        <v>0.16666666666666666</v>
      </c>
      <c r="P7">
        <v>30.716701400339002</v>
      </c>
      <c r="Q7">
        <v>0.6789238522301172</v>
      </c>
      <c r="R7">
        <v>-6.8645652932810219E-2</v>
      </c>
      <c r="S7">
        <v>0.94282054617069999</v>
      </c>
      <c r="T7">
        <v>5.9472199379436173E-2</v>
      </c>
      <c r="U7">
        <v>0.49718230829655835</v>
      </c>
      <c r="V7">
        <v>28.57221706652582</v>
      </c>
      <c r="W7">
        <v>0.51462950612310221</v>
      </c>
      <c r="X7">
        <v>2.5367390533262441E-2</v>
      </c>
      <c r="Y7">
        <v>0.82043004245216766</v>
      </c>
      <c r="Z7">
        <v>0.16320281597335701</v>
      </c>
      <c r="AA7">
        <v>0.95146752072382801</v>
      </c>
    </row>
    <row r="8" spans="1:27" x14ac:dyDescent="0.2">
      <c r="A8" s="7" t="s">
        <v>2173</v>
      </c>
      <c r="B8" t="s">
        <v>43</v>
      </c>
      <c r="C8">
        <v>2018</v>
      </c>
      <c r="D8">
        <v>16.61</v>
      </c>
      <c r="E8">
        <v>1</v>
      </c>
      <c r="F8">
        <v>16.61</v>
      </c>
      <c r="G8">
        <v>64.588333333333324</v>
      </c>
      <c r="H8">
        <v>1</v>
      </c>
      <c r="I8">
        <v>0.83333333333333337</v>
      </c>
      <c r="J8">
        <v>1.0659203980099503</v>
      </c>
      <c r="K8">
        <v>0.58403361050346703</v>
      </c>
      <c r="L8">
        <v>1</v>
      </c>
      <c r="M8">
        <v>0.66666666666666663</v>
      </c>
      <c r="N8">
        <v>0</v>
      </c>
      <c r="O8">
        <v>0</v>
      </c>
      <c r="P8">
        <v>30.666475899791489</v>
      </c>
      <c r="Q8">
        <v>0.66358202902004959</v>
      </c>
      <c r="R8">
        <v>0.25633934364098065</v>
      </c>
      <c r="S8">
        <v>0.95895668406121792</v>
      </c>
      <c r="T8">
        <v>7.8311238562828803E-2</v>
      </c>
      <c r="U8">
        <v>0.51061330401890859</v>
      </c>
      <c r="V8">
        <v>28.458498470957164</v>
      </c>
      <c r="W8">
        <v>0.50857093375965079</v>
      </c>
      <c r="X8">
        <v>0.36447021235614913</v>
      </c>
      <c r="Y8">
        <v>0.75475666621895687</v>
      </c>
      <c r="Z8">
        <v>0.12546631841900283</v>
      </c>
      <c r="AA8">
        <v>0.92459536485141181</v>
      </c>
    </row>
    <row r="9" spans="1:27" x14ac:dyDescent="0.2">
      <c r="A9" s="7" t="s">
        <v>2173</v>
      </c>
      <c r="B9" t="s">
        <v>47</v>
      </c>
      <c r="C9">
        <v>2017</v>
      </c>
      <c r="D9">
        <v>8.0399999999999991</v>
      </c>
      <c r="E9">
        <v>1</v>
      </c>
      <c r="F9">
        <v>8.0399999999999991</v>
      </c>
      <c r="G9">
        <v>46.836666666666666</v>
      </c>
      <c r="H9">
        <v>1</v>
      </c>
      <c r="I9">
        <v>0.83333333333333337</v>
      </c>
      <c r="J9">
        <v>0</v>
      </c>
      <c r="K9">
        <v>0.29415529581938399</v>
      </c>
      <c r="L9">
        <v>0</v>
      </c>
      <c r="M9">
        <v>0.83333333333333337</v>
      </c>
      <c r="N9">
        <v>0</v>
      </c>
      <c r="O9">
        <v>0</v>
      </c>
      <c r="P9">
        <v>30.534570664090417</v>
      </c>
      <c r="Q9">
        <v>0.68782483687222329</v>
      </c>
      <c r="R9">
        <v>7.1197573052491192E-2</v>
      </c>
      <c r="S9">
        <v>0.96041190527453713</v>
      </c>
      <c r="T9">
        <v>4.3625085002696989E-2</v>
      </c>
      <c r="U9">
        <v>0.51793923189591828</v>
      </c>
      <c r="V9">
        <v>28.340294221632764</v>
      </c>
      <c r="W9">
        <v>0.52425580172965813</v>
      </c>
      <c r="X9">
        <v>0.16368051534193973</v>
      </c>
      <c r="Y9">
        <v>0.73280408468167568</v>
      </c>
      <c r="Z9">
        <v>7.7823092704658745E-2</v>
      </c>
      <c r="AA9">
        <v>0.97472195973747044</v>
      </c>
    </row>
    <row r="10" spans="1:27" x14ac:dyDescent="0.2">
      <c r="A10" s="7" t="s">
        <v>2173</v>
      </c>
      <c r="B10" t="s">
        <v>51</v>
      </c>
      <c r="C10">
        <v>2016</v>
      </c>
      <c r="D10">
        <v>8.0399999999999991</v>
      </c>
      <c r="E10">
        <v>1</v>
      </c>
      <c r="F10">
        <v>8.0399999999999991</v>
      </c>
      <c r="G10">
        <v>39.714999999999996</v>
      </c>
      <c r="H10">
        <v>1</v>
      </c>
      <c r="I10">
        <v>0.83333333333333337</v>
      </c>
      <c r="J10">
        <v>1.9011406844106397E-2</v>
      </c>
      <c r="K10">
        <v>0.12024418244311276</v>
      </c>
      <c r="L10">
        <v>1</v>
      </c>
      <c r="M10">
        <v>0.5</v>
      </c>
      <c r="N10">
        <v>0</v>
      </c>
      <c r="O10">
        <v>0.16666666666666666</v>
      </c>
      <c r="P10">
        <v>30.459454702179315</v>
      </c>
      <c r="Q10">
        <v>0.67987405592478678</v>
      </c>
      <c r="R10">
        <v>6.2129136001112251E-3</v>
      </c>
      <c r="S10">
        <v>0.96184328410843745</v>
      </c>
      <c r="T10">
        <v>5.870328490395537E-2</v>
      </c>
      <c r="U10">
        <v>0.47869044477902545</v>
      </c>
      <c r="V10">
        <v>28.279917393391163</v>
      </c>
      <c r="W10">
        <v>0.50976915651127397</v>
      </c>
      <c r="X10">
        <v>1.2025010972091809E-2</v>
      </c>
      <c r="Y10">
        <v>0.68181067484391633</v>
      </c>
      <c r="Z10">
        <v>0.1046415641016665</v>
      </c>
      <c r="AA10">
        <v>1.0228333237057139</v>
      </c>
    </row>
    <row r="11" spans="1:27" x14ac:dyDescent="0.2">
      <c r="A11" s="7" t="s">
        <v>2173</v>
      </c>
      <c r="B11" t="s">
        <v>55</v>
      </c>
      <c r="C11">
        <v>2015</v>
      </c>
      <c r="D11">
        <v>7.89</v>
      </c>
      <c r="E11">
        <v>1</v>
      </c>
      <c r="F11">
        <v>7.89</v>
      </c>
      <c r="G11">
        <v>35.634999999999998</v>
      </c>
      <c r="H11">
        <v>1</v>
      </c>
      <c r="I11">
        <v>0.83333333333333337</v>
      </c>
      <c r="J11">
        <v>9.5833333333333257E-2</v>
      </c>
      <c r="K11">
        <v>0.14170091571122448</v>
      </c>
      <c r="L11">
        <v>1</v>
      </c>
      <c r="M11">
        <v>0.66666666666666663</v>
      </c>
      <c r="N11">
        <v>0</v>
      </c>
      <c r="O11">
        <v>0.16666666666666666</v>
      </c>
      <c r="P11">
        <v>30.467290960594653</v>
      </c>
      <c r="Q11">
        <v>0.64531170464061782</v>
      </c>
      <c r="R11">
        <v>8.649791558247677E-2</v>
      </c>
      <c r="S11">
        <v>0.94994686943808038</v>
      </c>
      <c r="T11">
        <v>4.996656790624493E-2</v>
      </c>
      <c r="U11">
        <v>0.56231154867296362</v>
      </c>
      <c r="V11">
        <v>28.027871693643341</v>
      </c>
      <c r="W11">
        <v>0.5715191003465081</v>
      </c>
      <c r="X11">
        <v>0.11349516833089235</v>
      </c>
      <c r="Y11">
        <v>0.93141875924207973</v>
      </c>
      <c r="Z11">
        <v>8.333263086364541E-2</v>
      </c>
      <c r="AA11">
        <v>-1.2671068112371704</v>
      </c>
    </row>
    <row r="12" spans="1:27" x14ac:dyDescent="0.2">
      <c r="A12" s="7" t="s">
        <v>2173</v>
      </c>
      <c r="B12" t="s">
        <v>59</v>
      </c>
      <c r="C12">
        <v>2014</v>
      </c>
      <c r="D12">
        <v>7.2</v>
      </c>
      <c r="E12">
        <v>1</v>
      </c>
      <c r="F12">
        <v>7.2</v>
      </c>
      <c r="G12">
        <v>30.623333333333338</v>
      </c>
      <c r="H12">
        <v>1</v>
      </c>
      <c r="I12">
        <v>0.83333333333333337</v>
      </c>
      <c r="J12">
        <v>0</v>
      </c>
      <c r="K12">
        <v>0.11887241342288564</v>
      </c>
      <c r="L12">
        <v>0</v>
      </c>
      <c r="M12">
        <v>0.66666666666666663</v>
      </c>
      <c r="N12">
        <v>0</v>
      </c>
      <c r="O12">
        <v>0.16666666666666666</v>
      </c>
      <c r="P12">
        <v>30.350833207338933</v>
      </c>
      <c r="Q12">
        <v>0.65559075392670851</v>
      </c>
      <c r="R12">
        <v>6.4733002981924637E-2</v>
      </c>
      <c r="S12">
        <v>0.94814852656926307</v>
      </c>
      <c r="T12">
        <v>1.0987182156690922E-2</v>
      </c>
      <c r="U12">
        <v>0.49974688787701133</v>
      </c>
      <c r="V12">
        <v>28.372328915213384</v>
      </c>
      <c r="W12">
        <v>0.62176756223611285</v>
      </c>
      <c r="X12">
        <v>0.16466401188567392</v>
      </c>
      <c r="Y12">
        <v>0.98195601519919717</v>
      </c>
      <c r="Z12">
        <v>7.137529378609328E-2</v>
      </c>
      <c r="AA12">
        <v>0.86783657475742348</v>
      </c>
    </row>
    <row r="13" spans="1:27" x14ac:dyDescent="0.2">
      <c r="A13" s="7" t="s">
        <v>2173</v>
      </c>
      <c r="B13" t="s">
        <v>67</v>
      </c>
      <c r="C13">
        <v>2012</v>
      </c>
      <c r="D13">
        <v>5.99</v>
      </c>
      <c r="E13">
        <v>1</v>
      </c>
      <c r="F13">
        <v>5.99</v>
      </c>
      <c r="G13">
        <v>19.001666666666665</v>
      </c>
      <c r="H13">
        <v>1</v>
      </c>
      <c r="I13">
        <v>0.83333333333333337</v>
      </c>
      <c r="J13">
        <v>-0.33221850613154963</v>
      </c>
      <c r="K13">
        <v>7.6735506186178068E-2</v>
      </c>
      <c r="L13">
        <v>0</v>
      </c>
      <c r="M13">
        <v>0.66666666666666663</v>
      </c>
      <c r="N13">
        <v>1</v>
      </c>
      <c r="O13">
        <v>0.16666666666666666</v>
      </c>
      <c r="P13">
        <v>30.121589955223332</v>
      </c>
      <c r="Q13">
        <v>0.64785398974937225</v>
      </c>
      <c r="R13">
        <v>2.7457090546010532E-2</v>
      </c>
      <c r="S13">
        <v>0.93903490756449703</v>
      </c>
      <c r="T13">
        <v>0.10540943848479907</v>
      </c>
      <c r="U13">
        <v>0.38696800655181979</v>
      </c>
      <c r="V13">
        <v>27.941601621502926</v>
      </c>
      <c r="W13">
        <v>0.61294539861361075</v>
      </c>
      <c r="X13">
        <v>3.9420032186550824E-2</v>
      </c>
      <c r="Y13" t="s">
        <v>2345</v>
      </c>
      <c r="Z13">
        <v>0.12618571892984234</v>
      </c>
      <c r="AA13">
        <v>0.50988452343578827</v>
      </c>
    </row>
    <row r="14" spans="1:27" x14ac:dyDescent="0.2">
      <c r="A14" s="7" t="s">
        <v>2178</v>
      </c>
      <c r="B14" t="s">
        <v>79</v>
      </c>
      <c r="C14">
        <v>2025</v>
      </c>
      <c r="D14">
        <v>397</v>
      </c>
      <c r="E14">
        <v>1</v>
      </c>
      <c r="F14">
        <v>397</v>
      </c>
      <c r="G14">
        <v>11.590000000000002</v>
      </c>
      <c r="H14">
        <v>1</v>
      </c>
      <c r="I14">
        <v>0.5</v>
      </c>
      <c r="J14">
        <v>-0.62369668246445498</v>
      </c>
      <c r="K14">
        <v>-0.51901680290072039</v>
      </c>
      <c r="L14">
        <v>0</v>
      </c>
      <c r="M14">
        <v>0</v>
      </c>
      <c r="N14">
        <v>1</v>
      </c>
      <c r="O14">
        <v>0.66666666666666663</v>
      </c>
      <c r="P14">
        <v>29.331107632614167</v>
      </c>
      <c r="Q14">
        <v>0.68588586811281049</v>
      </c>
      <c r="R14">
        <v>-0.56298308392180951</v>
      </c>
      <c r="S14">
        <v>1.1230089015354674</v>
      </c>
      <c r="T14">
        <v>-0.14364113670492185</v>
      </c>
      <c r="U14">
        <v>0.50958002213181863</v>
      </c>
      <c r="V14">
        <v>28.648938493617798</v>
      </c>
      <c r="W14">
        <v>0.47597260545144227</v>
      </c>
      <c r="X14">
        <v>-8.4693664174095629E-2</v>
      </c>
      <c r="Y14">
        <v>0.92840826223429396</v>
      </c>
      <c r="Z14">
        <v>6.0424107437486684E-2</v>
      </c>
      <c r="AA14">
        <v>0.43679759231998971</v>
      </c>
    </row>
    <row r="15" spans="1:27" x14ac:dyDescent="0.2">
      <c r="A15" s="7" t="s">
        <v>2178</v>
      </c>
      <c r="B15" t="s">
        <v>81</v>
      </c>
      <c r="C15">
        <v>2024</v>
      </c>
      <c r="D15">
        <v>1055</v>
      </c>
      <c r="E15">
        <v>1</v>
      </c>
      <c r="F15">
        <v>1055</v>
      </c>
      <c r="G15">
        <v>38.81666666666667</v>
      </c>
      <c r="H15">
        <v>1</v>
      </c>
      <c r="I15">
        <v>0.66666666666666663</v>
      </c>
      <c r="J15">
        <v>0.1164021164021164</v>
      </c>
      <c r="K15">
        <v>1.3813615003758118E-2</v>
      </c>
      <c r="L15">
        <v>1</v>
      </c>
      <c r="M15">
        <v>0.5</v>
      </c>
      <c r="N15">
        <v>0</v>
      </c>
      <c r="O15">
        <v>0.16666666666666666</v>
      </c>
      <c r="P15">
        <v>29.859164842737719</v>
      </c>
      <c r="Q15">
        <v>0.5404276530147365</v>
      </c>
      <c r="R15">
        <v>8.7440906332666657E-2</v>
      </c>
      <c r="S15">
        <v>0.82896494026124168</v>
      </c>
      <c r="T15">
        <v>9.5236359065184004E-2</v>
      </c>
      <c r="U15">
        <v>0.34686712493659322</v>
      </c>
      <c r="V15">
        <v>29.134922345504503</v>
      </c>
      <c r="W15">
        <v>0.53928840931806321</v>
      </c>
      <c r="X15">
        <v>0.20456843886029691</v>
      </c>
      <c r="Y15">
        <v>0.81251188819685982</v>
      </c>
      <c r="Z15">
        <v>0.11160805951599957</v>
      </c>
      <c r="AA15">
        <v>0.93016737741718614</v>
      </c>
    </row>
    <row r="16" spans="1:27" x14ac:dyDescent="0.2">
      <c r="A16" s="7" t="s">
        <v>2178</v>
      </c>
      <c r="B16" t="s">
        <v>85</v>
      </c>
      <c r="C16">
        <v>2021</v>
      </c>
      <c r="D16">
        <v>340</v>
      </c>
      <c r="E16">
        <v>1</v>
      </c>
      <c r="F16">
        <v>340</v>
      </c>
      <c r="G16">
        <v>26.09</v>
      </c>
      <c r="H16">
        <v>1</v>
      </c>
      <c r="I16">
        <v>0.66666666666666663</v>
      </c>
      <c r="J16">
        <v>0.31274131274131273</v>
      </c>
      <c r="K16">
        <v>1.0120006749047523</v>
      </c>
      <c r="L16">
        <v>1</v>
      </c>
      <c r="M16">
        <v>0.66666666666666663</v>
      </c>
      <c r="N16">
        <v>0</v>
      </c>
      <c r="O16">
        <v>0.16666666666666666</v>
      </c>
      <c r="P16">
        <v>29.55742059220767</v>
      </c>
      <c r="Q16">
        <v>0.62101760749009172</v>
      </c>
      <c r="R16">
        <v>0.67307538513398857</v>
      </c>
      <c r="S16">
        <v>0.94628606751350375</v>
      </c>
      <c r="T16">
        <v>0.120643001640904</v>
      </c>
      <c r="U16">
        <v>0.51768068687897728</v>
      </c>
      <c r="V16">
        <v>28.862251555580571</v>
      </c>
      <c r="W16">
        <v>0.54501177180973137</v>
      </c>
      <c r="X16">
        <v>0.70901908079625608</v>
      </c>
      <c r="Y16">
        <v>0.77752889489725963</v>
      </c>
      <c r="Z16">
        <v>0.1219420633473578</v>
      </c>
      <c r="AA16">
        <v>1.1453384786412983</v>
      </c>
    </row>
    <row r="17" spans="1:27" x14ac:dyDescent="0.2">
      <c r="A17" s="7" t="s">
        <v>2178</v>
      </c>
      <c r="B17" t="s">
        <v>89</v>
      </c>
      <c r="C17">
        <v>2020</v>
      </c>
      <c r="D17">
        <v>259</v>
      </c>
      <c r="E17">
        <v>1</v>
      </c>
      <c r="F17">
        <v>259</v>
      </c>
      <c r="G17">
        <v>12.998333333333335</v>
      </c>
      <c r="H17">
        <v>1</v>
      </c>
      <c r="I17">
        <v>0.83333333333333337</v>
      </c>
      <c r="J17">
        <v>-0.52214022140221406</v>
      </c>
      <c r="K17">
        <v>-0.24116500208230998</v>
      </c>
      <c r="L17">
        <v>0</v>
      </c>
      <c r="M17">
        <v>0.33333333333333331</v>
      </c>
      <c r="N17">
        <v>1</v>
      </c>
      <c r="O17">
        <v>0.5</v>
      </c>
      <c r="P17">
        <v>29.421376099327965</v>
      </c>
      <c r="Q17">
        <v>0.71174460021306574</v>
      </c>
      <c r="R17">
        <v>-0.28080294891908764</v>
      </c>
      <c r="S17">
        <v>0.93398100981754961</v>
      </c>
      <c r="T17">
        <v>2.7864171003219884E-3</v>
      </c>
      <c r="U17">
        <v>0.45047649757938357</v>
      </c>
      <c r="V17">
        <v>28.850831585138355</v>
      </c>
      <c r="W17">
        <v>0.53342705628467912</v>
      </c>
      <c r="X17">
        <v>-0.25280931513537469</v>
      </c>
      <c r="Y17">
        <v>0.7469889091687153</v>
      </c>
      <c r="Z17">
        <v>3.2869123702382312E-2</v>
      </c>
      <c r="AA17">
        <v>1.3179178617799174</v>
      </c>
    </row>
    <row r="18" spans="1:27" x14ac:dyDescent="0.2">
      <c r="A18" s="7" t="s">
        <v>2178</v>
      </c>
      <c r="B18" t="s">
        <v>93</v>
      </c>
      <c r="C18">
        <v>2019</v>
      </c>
      <c r="D18">
        <v>542</v>
      </c>
      <c r="E18">
        <v>1</v>
      </c>
      <c r="F18">
        <v>542</v>
      </c>
      <c r="G18">
        <v>24.349999999999998</v>
      </c>
      <c r="H18">
        <v>1</v>
      </c>
      <c r="I18">
        <v>0.83333333333333337</v>
      </c>
      <c r="J18">
        <v>1.1679999999999999</v>
      </c>
      <c r="K18">
        <v>3.44760397771516E-2</v>
      </c>
      <c r="L18">
        <v>1</v>
      </c>
      <c r="M18">
        <v>0.33333333333333331</v>
      </c>
      <c r="N18">
        <v>0</v>
      </c>
      <c r="O18">
        <v>0.33333333333333331</v>
      </c>
      <c r="P18">
        <v>29.413916414218132</v>
      </c>
      <c r="Q18">
        <v>0.67697547523562107</v>
      </c>
      <c r="R18">
        <v>-2.4221713366125441E-2</v>
      </c>
      <c r="S18">
        <v>1.0578059514542655</v>
      </c>
      <c r="T18">
        <v>0.10997469739966807</v>
      </c>
      <c r="U18">
        <v>0.49669720185159039</v>
      </c>
      <c r="V18">
        <v>28.789347897545966</v>
      </c>
      <c r="W18">
        <v>0.5149542356221849</v>
      </c>
      <c r="X18">
        <v>1.7963400605481645E-2</v>
      </c>
      <c r="Y18">
        <v>0.80126580823824012</v>
      </c>
      <c r="Z18">
        <v>0.15478573296998502</v>
      </c>
      <c r="AA18">
        <v>0.95154837179798923</v>
      </c>
    </row>
    <row r="19" spans="1:27" x14ac:dyDescent="0.2">
      <c r="A19" s="7" t="s">
        <v>2178</v>
      </c>
      <c r="B19" t="s">
        <v>97</v>
      </c>
      <c r="C19">
        <v>2018</v>
      </c>
      <c r="D19">
        <v>250</v>
      </c>
      <c r="E19">
        <v>1</v>
      </c>
      <c r="F19">
        <v>250</v>
      </c>
      <c r="G19">
        <v>25.689999999999998</v>
      </c>
      <c r="H19">
        <v>1</v>
      </c>
      <c r="I19">
        <v>0.83333333333333337</v>
      </c>
      <c r="J19">
        <v>0.16279069767441862</v>
      </c>
      <c r="K19">
        <v>0.7345552272260556</v>
      </c>
      <c r="L19">
        <v>1</v>
      </c>
      <c r="M19">
        <v>0.66666666666666663</v>
      </c>
      <c r="N19">
        <v>0</v>
      </c>
      <c r="O19">
        <v>0</v>
      </c>
      <c r="P19">
        <v>29.377152267079342</v>
      </c>
      <c r="Q19">
        <v>0.66798828131132926</v>
      </c>
      <c r="R19">
        <v>0.35359412333946194</v>
      </c>
      <c r="S19">
        <v>0.97302140700709905</v>
      </c>
      <c r="T19">
        <v>0.11335429161232957</v>
      </c>
      <c r="U19">
        <v>0.40722852879790139</v>
      </c>
      <c r="V19">
        <v>28.673385743075851</v>
      </c>
      <c r="W19">
        <v>0.50783655837777086</v>
      </c>
      <c r="X19">
        <v>0.34826108240640224</v>
      </c>
      <c r="Y19">
        <v>0.75241254572797667</v>
      </c>
      <c r="Z19">
        <v>0.11962580957741936</v>
      </c>
      <c r="AA19">
        <v>0.94182616072157976</v>
      </c>
    </row>
    <row r="20" spans="1:27" x14ac:dyDescent="0.2">
      <c r="A20" s="7" t="s">
        <v>2178</v>
      </c>
      <c r="B20" t="s">
        <v>101</v>
      </c>
      <c r="C20">
        <v>2017</v>
      </c>
      <c r="D20">
        <v>215</v>
      </c>
      <c r="E20">
        <v>1</v>
      </c>
      <c r="F20">
        <v>215</v>
      </c>
      <c r="G20">
        <v>12.343333333333334</v>
      </c>
      <c r="H20">
        <v>1</v>
      </c>
      <c r="I20">
        <v>0.83333333333333337</v>
      </c>
      <c r="J20">
        <v>0.10256410256410256</v>
      </c>
      <c r="K20">
        <v>0.27706127872536684</v>
      </c>
      <c r="L20">
        <v>1</v>
      </c>
      <c r="M20">
        <v>0.66666666666666663</v>
      </c>
      <c r="N20">
        <v>0</v>
      </c>
      <c r="O20">
        <v>0</v>
      </c>
      <c r="P20">
        <v>29.284708422632313</v>
      </c>
      <c r="Q20">
        <v>0.68408303140992099</v>
      </c>
      <c r="R20">
        <v>0.13576695819530915</v>
      </c>
      <c r="S20">
        <v>1.0245699703672846</v>
      </c>
      <c r="T20">
        <v>8.2106551697469984E-2</v>
      </c>
      <c r="U20">
        <v>0.49731162540443086</v>
      </c>
      <c r="V20">
        <v>28.548604595209117</v>
      </c>
      <c r="W20">
        <v>0.52487943597337516</v>
      </c>
      <c r="X20">
        <v>0.15291895115147006</v>
      </c>
      <c r="Y20">
        <v>0.72211107383288431</v>
      </c>
      <c r="Z20">
        <v>7.1409514922196576E-2</v>
      </c>
      <c r="AA20">
        <v>0.97815989415271831</v>
      </c>
    </row>
    <row r="21" spans="1:27" x14ac:dyDescent="0.2">
      <c r="A21" s="7" t="s">
        <v>2178</v>
      </c>
      <c r="B21" t="s">
        <v>105</v>
      </c>
      <c r="C21">
        <v>2016</v>
      </c>
      <c r="D21">
        <v>195</v>
      </c>
      <c r="E21">
        <v>1</v>
      </c>
      <c r="F21">
        <v>195</v>
      </c>
      <c r="G21">
        <v>8.5549999999999997</v>
      </c>
      <c r="H21">
        <v>1</v>
      </c>
      <c r="I21">
        <v>0.83333333333333337</v>
      </c>
      <c r="J21">
        <v>0.10169491525423729</v>
      </c>
      <c r="K21">
        <v>0.10646359770809094</v>
      </c>
      <c r="L21">
        <v>1</v>
      </c>
      <c r="M21">
        <v>0.5</v>
      </c>
      <c r="N21">
        <v>0</v>
      </c>
      <c r="O21">
        <v>0.16666666666666666</v>
      </c>
      <c r="P21">
        <v>29.243389330829711</v>
      </c>
      <c r="Q21">
        <v>0.67628856358131428</v>
      </c>
      <c r="R21">
        <v>-9.0798479748828043E-2</v>
      </c>
      <c r="S21">
        <v>1.0232957953492061</v>
      </c>
      <c r="T21">
        <v>4.1382402882630079E-2</v>
      </c>
      <c r="U21">
        <v>0.55365397389567195</v>
      </c>
      <c r="V21">
        <v>28.482594955282764</v>
      </c>
      <c r="W21">
        <v>0.51036673856851944</v>
      </c>
      <c r="X21">
        <v>3.1427289641879665E-2</v>
      </c>
      <c r="Y21">
        <v>0.66952017259576257</v>
      </c>
      <c r="Z21">
        <v>0.10810574050593155</v>
      </c>
      <c r="AA21">
        <v>1.0103394021862728</v>
      </c>
    </row>
    <row r="22" spans="1:27" x14ac:dyDescent="0.2">
      <c r="A22" s="7" t="s">
        <v>2178</v>
      </c>
      <c r="B22" t="s">
        <v>109</v>
      </c>
      <c r="C22">
        <v>2015</v>
      </c>
      <c r="D22">
        <v>177</v>
      </c>
      <c r="E22">
        <v>1</v>
      </c>
      <c r="F22">
        <v>177</v>
      </c>
      <c r="G22">
        <v>7.45</v>
      </c>
      <c r="H22">
        <v>1</v>
      </c>
      <c r="I22">
        <v>0.83333333333333337</v>
      </c>
      <c r="J22">
        <v>0.14935064935064934</v>
      </c>
      <c r="K22">
        <v>0.13278136304167179</v>
      </c>
      <c r="L22">
        <v>1</v>
      </c>
      <c r="M22">
        <v>0.66666666666666663</v>
      </c>
      <c r="N22">
        <v>0</v>
      </c>
      <c r="O22">
        <v>0.16666666666666666</v>
      </c>
      <c r="P22">
        <v>29.244571958657058</v>
      </c>
      <c r="Q22">
        <v>0.67943039556770723</v>
      </c>
      <c r="R22">
        <v>2.8796562707219087E-2</v>
      </c>
      <c r="S22">
        <v>0.99938261556848573</v>
      </c>
      <c r="T22">
        <v>6.2591509271612875E-2</v>
      </c>
      <c r="U22">
        <v>0.55370656569001298</v>
      </c>
      <c r="V22">
        <v>28.272415494030859</v>
      </c>
      <c r="W22">
        <v>0.56469536216109018</v>
      </c>
      <c r="X22">
        <v>0.12792050654970677</v>
      </c>
      <c r="Y22">
        <v>0.92153161001599881</v>
      </c>
      <c r="Z22">
        <v>8.017639552230342E-2</v>
      </c>
      <c r="AA22">
        <v>-1.2653858146405799</v>
      </c>
    </row>
    <row r="23" spans="1:27" x14ac:dyDescent="0.2">
      <c r="A23" s="7" t="s">
        <v>2178</v>
      </c>
      <c r="B23" t="s">
        <v>114</v>
      </c>
      <c r="C23">
        <v>2014</v>
      </c>
      <c r="D23">
        <v>154</v>
      </c>
      <c r="E23">
        <v>1</v>
      </c>
      <c r="F23">
        <v>154</v>
      </c>
      <c r="G23">
        <v>6.1566666666666663</v>
      </c>
      <c r="H23">
        <v>1</v>
      </c>
      <c r="I23">
        <v>0.83333333333333337</v>
      </c>
      <c r="J23">
        <v>0.4</v>
      </c>
      <c r="K23">
        <v>5.2205746756218967E-2</v>
      </c>
      <c r="L23">
        <v>1</v>
      </c>
      <c r="M23">
        <v>0.5</v>
      </c>
      <c r="N23">
        <v>0</v>
      </c>
      <c r="O23">
        <v>0.16666666666666666</v>
      </c>
      <c r="P23">
        <v>29.097405217152055</v>
      </c>
      <c r="Q23">
        <v>0.72868515205724504</v>
      </c>
      <c r="R23">
        <v>0.23981588223734662</v>
      </c>
      <c r="S23">
        <v>1.0364465532500735</v>
      </c>
      <c r="T23">
        <v>4.6727909965986726E-2</v>
      </c>
      <c r="U23">
        <v>0.37427475661323634</v>
      </c>
      <c r="V23">
        <v>28.685685912760103</v>
      </c>
      <c r="W23">
        <v>0.60349396270347877</v>
      </c>
      <c r="X23">
        <v>0.12089329207181843</v>
      </c>
      <c r="Y23">
        <v>0.95252333963892699</v>
      </c>
      <c r="Z23">
        <v>6.2440111833769324E-2</v>
      </c>
      <c r="AA23">
        <v>0.89920460757336718</v>
      </c>
    </row>
    <row r="24" spans="1:27" x14ac:dyDescent="0.2">
      <c r="A24" s="7" t="s">
        <v>2182</v>
      </c>
      <c r="B24" t="s">
        <v>136</v>
      </c>
      <c r="C24">
        <v>2021</v>
      </c>
      <c r="D24">
        <v>71.44</v>
      </c>
      <c r="E24">
        <v>1</v>
      </c>
      <c r="F24">
        <v>71.44</v>
      </c>
      <c r="G24">
        <v>70.849999999999994</v>
      </c>
      <c r="H24">
        <v>1</v>
      </c>
      <c r="I24">
        <v>0.66666666666666663</v>
      </c>
      <c r="J24">
        <v>1.0089988751406072</v>
      </c>
      <c r="K24">
        <v>0.89595774783820314</v>
      </c>
      <c r="L24">
        <v>1</v>
      </c>
      <c r="M24">
        <v>0.66666666666666663</v>
      </c>
      <c r="N24">
        <v>0</v>
      </c>
      <c r="O24">
        <v>0.16666666666666666</v>
      </c>
      <c r="P24">
        <v>28.530232421227353</v>
      </c>
      <c r="Q24">
        <v>0.35421481536939142</v>
      </c>
      <c r="R24">
        <v>0.62504144352722357</v>
      </c>
      <c r="S24">
        <v>0.98415721102460985</v>
      </c>
      <c r="T24">
        <v>0.19997201584646973</v>
      </c>
      <c r="U24">
        <v>0.28574619834274056</v>
      </c>
      <c r="V24">
        <v>29.067689189776633</v>
      </c>
      <c r="W24">
        <v>0.59837233023387149</v>
      </c>
      <c r="X24">
        <v>0.71862586911760906</v>
      </c>
      <c r="Y24">
        <v>0.76995466619503838</v>
      </c>
      <c r="Z24">
        <v>0.10607626050624464</v>
      </c>
      <c r="AA24">
        <v>1.1917253763485456</v>
      </c>
    </row>
    <row r="25" spans="1:27" x14ac:dyDescent="0.2">
      <c r="A25" s="7" t="s">
        <v>2182</v>
      </c>
      <c r="B25" t="s">
        <v>139</v>
      </c>
      <c r="C25">
        <v>2020</v>
      </c>
      <c r="D25">
        <v>35.56</v>
      </c>
      <c r="E25">
        <v>1</v>
      </c>
      <c r="F25">
        <v>35.56</v>
      </c>
      <c r="G25">
        <v>50.238333333333337</v>
      </c>
      <c r="H25">
        <v>1</v>
      </c>
      <c r="I25">
        <v>0.83333333333333337</v>
      </c>
      <c r="J25">
        <v>9.9907206928549458E-2</v>
      </c>
      <c r="K25">
        <v>-0.34483957347077054</v>
      </c>
      <c r="L25">
        <v>1</v>
      </c>
      <c r="M25">
        <v>0.16666666666666666</v>
      </c>
      <c r="N25">
        <v>0</v>
      </c>
      <c r="O25">
        <v>0.66666666666666663</v>
      </c>
      <c r="P25">
        <v>28.353327989970516</v>
      </c>
      <c r="Q25">
        <v>0.35422241302111812</v>
      </c>
      <c r="R25">
        <v>-0.17500055053123365</v>
      </c>
      <c r="S25">
        <v>0.97678505053932829</v>
      </c>
      <c r="T25">
        <v>3.8597805279656783E-2</v>
      </c>
      <c r="U25">
        <v>0.2568017983102085</v>
      </c>
      <c r="V25">
        <v>29.028839603364599</v>
      </c>
      <c r="W25">
        <v>0.59301408748333706</v>
      </c>
      <c r="X25">
        <v>-0.27044304820001702</v>
      </c>
      <c r="Y25">
        <v>0.73985490238175211</v>
      </c>
      <c r="Z25">
        <v>2.6900559005826507E-2</v>
      </c>
      <c r="AA25">
        <v>1.35019697832478</v>
      </c>
    </row>
    <row r="26" spans="1:27" x14ac:dyDescent="0.2">
      <c r="A26" s="7" t="s">
        <v>2182</v>
      </c>
      <c r="B26" t="s">
        <v>143</v>
      </c>
      <c r="C26">
        <v>2019</v>
      </c>
      <c r="D26">
        <v>32.33</v>
      </c>
      <c r="E26">
        <v>1</v>
      </c>
      <c r="F26">
        <v>32.33</v>
      </c>
      <c r="G26">
        <v>109.295</v>
      </c>
      <c r="H26">
        <v>1</v>
      </c>
      <c r="I26">
        <v>0.83333333333333337</v>
      </c>
      <c r="J26">
        <v>0.24059861857252493</v>
      </c>
      <c r="K26">
        <v>0.18904293668173078</v>
      </c>
      <c r="L26">
        <v>1</v>
      </c>
      <c r="M26">
        <v>0.33333333333333331</v>
      </c>
      <c r="N26">
        <v>0</v>
      </c>
      <c r="O26">
        <v>0.33333333333333331</v>
      </c>
      <c r="P26">
        <v>28.330581189861967</v>
      </c>
      <c r="Q26">
        <v>0.27661936928768766</v>
      </c>
      <c r="R26">
        <v>3.7324558345095626E-2</v>
      </c>
      <c r="S26">
        <v>0.97097912752627957</v>
      </c>
      <c r="T26">
        <v>0.54716392757793864</v>
      </c>
      <c r="U26">
        <v>0.20742365674990224</v>
      </c>
      <c r="V26">
        <v>28.969903768271994</v>
      </c>
      <c r="W26">
        <v>0.58168025328017381</v>
      </c>
      <c r="X26">
        <v>7.7056886536114684E-3</v>
      </c>
      <c r="Y26">
        <v>0.81573694555957121</v>
      </c>
      <c r="Z26">
        <v>8.1920861273606607E-2</v>
      </c>
      <c r="AA26">
        <v>0.99976062931493737</v>
      </c>
    </row>
    <row r="27" spans="1:27" x14ac:dyDescent="0.2">
      <c r="A27" s="7" t="s">
        <v>2182</v>
      </c>
      <c r="B27" t="s">
        <v>147</v>
      </c>
      <c r="C27">
        <v>2018</v>
      </c>
      <c r="D27">
        <v>26.06</v>
      </c>
      <c r="E27">
        <v>1</v>
      </c>
      <c r="F27">
        <v>26.06</v>
      </c>
      <c r="G27">
        <v>63.013333333333343</v>
      </c>
      <c r="H27">
        <v>1</v>
      </c>
      <c r="I27">
        <v>0.83333333333333337</v>
      </c>
      <c r="J27">
        <v>0.74314381270903007</v>
      </c>
      <c r="K27">
        <v>0.63782970805362027</v>
      </c>
      <c r="L27">
        <v>1</v>
      </c>
      <c r="M27">
        <v>0.66666666666666663</v>
      </c>
      <c r="N27">
        <v>0</v>
      </c>
      <c r="O27">
        <v>0</v>
      </c>
      <c r="P27">
        <v>27.826892129505662</v>
      </c>
      <c r="Q27">
        <v>0.33558949990545639</v>
      </c>
      <c r="R27">
        <v>0.426231082364803</v>
      </c>
      <c r="S27">
        <v>0.95093475600471467</v>
      </c>
      <c r="T27">
        <v>0.16186189799569306</v>
      </c>
      <c r="U27">
        <v>0.37195675590320271</v>
      </c>
      <c r="V27">
        <v>28.931762432671466</v>
      </c>
      <c r="W27">
        <v>0.56323635527874971</v>
      </c>
      <c r="X27">
        <v>0.33615492256884538</v>
      </c>
      <c r="Y27">
        <v>0.75609365422837405</v>
      </c>
      <c r="Z27">
        <v>0.11154120851352545</v>
      </c>
      <c r="AA27">
        <v>0.94770478953736259</v>
      </c>
    </row>
    <row r="28" spans="1:27" x14ac:dyDescent="0.2">
      <c r="A28" s="7" t="s">
        <v>2182</v>
      </c>
      <c r="B28" t="s">
        <v>151</v>
      </c>
      <c r="C28">
        <v>2017</v>
      </c>
      <c r="D28">
        <v>14.95</v>
      </c>
      <c r="E28">
        <v>1</v>
      </c>
      <c r="F28">
        <v>14.95</v>
      </c>
      <c r="G28">
        <v>45.685000000000002</v>
      </c>
      <c r="H28">
        <v>1</v>
      </c>
      <c r="I28">
        <v>0.83333333333333337</v>
      </c>
      <c r="J28">
        <v>7.553956834532366E-2</v>
      </c>
      <c r="K28">
        <v>0.28156536776183</v>
      </c>
      <c r="L28">
        <v>1</v>
      </c>
      <c r="M28">
        <v>0.66666666666666663</v>
      </c>
      <c r="N28">
        <v>0</v>
      </c>
      <c r="O28">
        <v>0</v>
      </c>
      <c r="P28">
        <v>27.674235765764795</v>
      </c>
      <c r="Q28">
        <v>0.34482292977526474</v>
      </c>
      <c r="R28">
        <v>8.5053733031674295E-2</v>
      </c>
      <c r="S28">
        <v>0.9439302580128639</v>
      </c>
      <c r="T28">
        <v>0.1658071032014008</v>
      </c>
      <c r="U28">
        <v>0.34616113524113046</v>
      </c>
      <c r="V28">
        <v>28.817016704687035</v>
      </c>
      <c r="W28">
        <v>0.58142278624581789</v>
      </c>
      <c r="X28">
        <v>0.16137115534540922</v>
      </c>
      <c r="Y28">
        <v>0.73555102589195442</v>
      </c>
      <c r="Z28">
        <v>5.7459423004874777E-2</v>
      </c>
      <c r="AA28">
        <v>1.0033516425132685</v>
      </c>
    </row>
    <row r="29" spans="1:27" x14ac:dyDescent="0.2">
      <c r="A29" s="7" t="s">
        <v>2182</v>
      </c>
      <c r="B29" t="s">
        <v>159</v>
      </c>
      <c r="C29">
        <v>2015</v>
      </c>
      <c r="D29">
        <v>13.5</v>
      </c>
      <c r="E29">
        <v>1</v>
      </c>
      <c r="F29">
        <v>13.5</v>
      </c>
      <c r="G29">
        <v>34.699999999999996</v>
      </c>
      <c r="H29">
        <v>1</v>
      </c>
      <c r="I29">
        <v>0.83333333333333337</v>
      </c>
      <c r="J29">
        <v>0.31067961165048535</v>
      </c>
      <c r="K29">
        <v>0.10589320265836578</v>
      </c>
      <c r="L29">
        <v>1</v>
      </c>
      <c r="M29">
        <v>0.66666666666666663</v>
      </c>
      <c r="N29">
        <v>0</v>
      </c>
      <c r="O29">
        <v>0.16666666666666666</v>
      </c>
      <c r="P29">
        <v>27.503215016774043</v>
      </c>
      <c r="Q29">
        <v>0.37693517449524105</v>
      </c>
      <c r="R29">
        <v>0.3290488000603955</v>
      </c>
      <c r="S29">
        <v>0.93388155666777994</v>
      </c>
      <c r="T29">
        <v>9.3871246983370307E-2</v>
      </c>
      <c r="U29">
        <v>1.0553096776755082</v>
      </c>
      <c r="V29">
        <v>28.620686882407465</v>
      </c>
      <c r="W29">
        <v>0.62519440637558332</v>
      </c>
      <c r="X29">
        <v>5.2857447211412667E-2</v>
      </c>
      <c r="Y29">
        <v>0.93463182179614002</v>
      </c>
      <c r="Z29">
        <v>7.2356461094364069E-2</v>
      </c>
      <c r="AA29">
        <v>-1.365706437037679</v>
      </c>
    </row>
    <row r="30" spans="1:27" x14ac:dyDescent="0.2">
      <c r="A30" s="7" t="s">
        <v>2182</v>
      </c>
      <c r="B30" t="s">
        <v>163</v>
      </c>
      <c r="C30">
        <v>2014</v>
      </c>
      <c r="D30">
        <v>10.3</v>
      </c>
      <c r="E30">
        <v>1</v>
      </c>
      <c r="F30">
        <v>10.3</v>
      </c>
      <c r="G30">
        <v>30.106666666666669</v>
      </c>
      <c r="H30">
        <v>1</v>
      </c>
      <c r="I30">
        <v>0.83333333333333337</v>
      </c>
      <c r="J30">
        <v>0.30544993662864384</v>
      </c>
      <c r="K30">
        <v>6.7964090651445E-2</v>
      </c>
      <c r="L30">
        <v>1</v>
      </c>
      <c r="M30">
        <v>0.5</v>
      </c>
      <c r="N30">
        <v>0</v>
      </c>
      <c r="O30">
        <v>0.16666666666666666</v>
      </c>
      <c r="P30">
        <v>27.273115414918955</v>
      </c>
      <c r="Q30">
        <v>0.41726466410828178</v>
      </c>
      <c r="R30">
        <v>0.19950831438364891</v>
      </c>
      <c r="S30">
        <v>0.91046279744991265</v>
      </c>
      <c r="T30">
        <v>5.6917789526756683E-2</v>
      </c>
      <c r="U30">
        <v>0.80598206259493077</v>
      </c>
      <c r="V30">
        <v>29.141758363318381</v>
      </c>
      <c r="W30">
        <v>0.68134908469071953</v>
      </c>
      <c r="X30">
        <v>0.13097018403524285</v>
      </c>
      <c r="Y30">
        <v>0.99451792490564728</v>
      </c>
      <c r="Z30">
        <v>5.9892641943576838E-2</v>
      </c>
      <c r="AA30">
        <v>0.79127778107794366</v>
      </c>
    </row>
    <row r="31" spans="1:27" x14ac:dyDescent="0.2">
      <c r="A31" s="7" t="s">
        <v>2314</v>
      </c>
      <c r="B31" t="s">
        <v>177</v>
      </c>
      <c r="C31">
        <v>2024</v>
      </c>
      <c r="D31">
        <v>0</v>
      </c>
      <c r="E31">
        <v>1</v>
      </c>
      <c r="F31">
        <v>0</v>
      </c>
      <c r="G31">
        <v>214.65000000000006</v>
      </c>
      <c r="H31">
        <v>0</v>
      </c>
      <c r="I31">
        <v>0.83333333333333337</v>
      </c>
      <c r="J31">
        <v>0</v>
      </c>
      <c r="K31">
        <v>3.3213967737444179E-2</v>
      </c>
      <c r="L31">
        <v>0</v>
      </c>
      <c r="M31">
        <v>0.66666666666666663</v>
      </c>
      <c r="N31">
        <v>0</v>
      </c>
      <c r="O31">
        <v>0.16666666666666666</v>
      </c>
      <c r="P31">
        <v>26.587075973802715</v>
      </c>
      <c r="Q31">
        <v>0.44350016900384304</v>
      </c>
      <c r="R31">
        <v>0.25712849513038005</v>
      </c>
      <c r="S31">
        <v>0.75575759423249855</v>
      </c>
      <c r="T31">
        <v>0.15658057257008492</v>
      </c>
      <c r="U31">
        <v>1.683038912344343</v>
      </c>
      <c r="V31">
        <v>29.789340119291502</v>
      </c>
      <c r="W31">
        <v>0.55867390612024181</v>
      </c>
      <c r="X31">
        <v>0.17063092110075423</v>
      </c>
      <c r="Y31">
        <v>0.83081372470404569</v>
      </c>
      <c r="Z31">
        <v>9.9339216815019379E-2</v>
      </c>
      <c r="AA31">
        <v>0.66293301993563625</v>
      </c>
    </row>
    <row r="32" spans="1:27" x14ac:dyDescent="0.2">
      <c r="A32" s="7" t="s">
        <v>2314</v>
      </c>
      <c r="B32" t="s">
        <v>179</v>
      </c>
      <c r="C32">
        <v>2023</v>
      </c>
      <c r="D32">
        <v>0</v>
      </c>
      <c r="E32">
        <v>1</v>
      </c>
      <c r="F32">
        <v>0</v>
      </c>
      <c r="G32">
        <v>195.35</v>
      </c>
      <c r="H32">
        <v>0</v>
      </c>
      <c r="I32">
        <v>0.83333333333333337</v>
      </c>
      <c r="J32">
        <v>0</v>
      </c>
      <c r="K32">
        <v>-9.3481616494351216E-2</v>
      </c>
      <c r="L32">
        <v>0</v>
      </c>
      <c r="M32">
        <v>0.5</v>
      </c>
      <c r="N32">
        <v>0</v>
      </c>
      <c r="O32">
        <v>0.5</v>
      </c>
      <c r="P32">
        <v>26.493859248845848</v>
      </c>
      <c r="Q32">
        <v>0.48354368810955078</v>
      </c>
      <c r="R32">
        <v>-0.17924995358623674</v>
      </c>
      <c r="S32">
        <v>0.56344889262980691</v>
      </c>
      <c r="T32">
        <v>1.9388340468145356E-2</v>
      </c>
      <c r="U32">
        <v>2.3744857698984689</v>
      </c>
      <c r="V32">
        <v>29.699577667561371</v>
      </c>
      <c r="W32">
        <v>0.49991064599034979</v>
      </c>
      <c r="X32">
        <v>-6.7184333967357943E-2</v>
      </c>
      <c r="Y32">
        <v>0.86771255957933668</v>
      </c>
      <c r="Z32">
        <v>0.10486710757657865</v>
      </c>
      <c r="AA32">
        <v>0.56664492703327152</v>
      </c>
    </row>
    <row r="33" spans="1:27" x14ac:dyDescent="0.2">
      <c r="A33" s="7" t="s">
        <v>2314</v>
      </c>
      <c r="B33" t="s">
        <v>181</v>
      </c>
      <c r="C33">
        <v>2022</v>
      </c>
      <c r="D33">
        <v>0</v>
      </c>
      <c r="E33">
        <v>1</v>
      </c>
      <c r="F33">
        <v>0</v>
      </c>
      <c r="G33">
        <v>249.0083333333333</v>
      </c>
      <c r="H33">
        <v>0</v>
      </c>
      <c r="I33">
        <v>1</v>
      </c>
      <c r="J33">
        <v>0</v>
      </c>
      <c r="K33">
        <v>0.76618671052118481</v>
      </c>
      <c r="L33">
        <v>0</v>
      </c>
      <c r="M33">
        <v>0.66666666666666663</v>
      </c>
      <c r="N33">
        <v>0</v>
      </c>
      <c r="O33">
        <v>0.16666666666666666</v>
      </c>
      <c r="P33">
        <v>26.366654079911001</v>
      </c>
      <c r="Q33">
        <v>0.54460763832333636</v>
      </c>
      <c r="R33">
        <v>7.9782159178233725E-2</v>
      </c>
      <c r="S33">
        <v>0.4676566987306095</v>
      </c>
      <c r="T33">
        <v>7.073233272331951E-2</v>
      </c>
      <c r="U33">
        <v>2.0151280600424908</v>
      </c>
      <c r="V33">
        <v>29.514159382384026</v>
      </c>
      <c r="W33">
        <v>0.50018222362425424</v>
      </c>
      <c r="X33">
        <v>0.13386210838864654</v>
      </c>
      <c r="Y33">
        <v>0.93242467303041643</v>
      </c>
      <c r="Z33">
        <v>0.11882152161576225</v>
      </c>
      <c r="AA33">
        <v>0.40830096058785115</v>
      </c>
    </row>
    <row r="34" spans="1:27" x14ac:dyDescent="0.2">
      <c r="A34" s="7" t="s">
        <v>2314</v>
      </c>
      <c r="B34" t="s">
        <v>182</v>
      </c>
      <c r="C34">
        <v>2021</v>
      </c>
      <c r="D34">
        <v>0</v>
      </c>
      <c r="E34">
        <v>1</v>
      </c>
      <c r="F34">
        <v>0</v>
      </c>
      <c r="G34">
        <v>82.756666666666675</v>
      </c>
      <c r="H34">
        <v>0</v>
      </c>
      <c r="I34">
        <v>0.83333333333333337</v>
      </c>
      <c r="J34">
        <v>0</v>
      </c>
      <c r="K34">
        <v>1.0641242270283044</v>
      </c>
      <c r="L34">
        <v>0</v>
      </c>
      <c r="M34">
        <v>0.83333333333333337</v>
      </c>
      <c r="N34">
        <v>0</v>
      </c>
      <c r="O34">
        <v>0.16666666666666666</v>
      </c>
      <c r="P34">
        <v>26.382636548231801</v>
      </c>
      <c r="Q34">
        <v>0.52556382593181117</v>
      </c>
      <c r="R34">
        <v>1.0223655365025976</v>
      </c>
      <c r="S34">
        <v>0.36180469396195203</v>
      </c>
      <c r="T34">
        <v>0.116603795732602</v>
      </c>
      <c r="U34">
        <v>2.7087468982630272</v>
      </c>
      <c r="V34">
        <v>29.497208364375741</v>
      </c>
      <c r="W34">
        <v>0.5641025281213875</v>
      </c>
      <c r="X34">
        <v>0.63916105052253425</v>
      </c>
      <c r="Y34">
        <v>0.89442516960757001</v>
      </c>
      <c r="Z34">
        <v>0.1227499045290182</v>
      </c>
      <c r="AA34">
        <v>0.70712523636448843</v>
      </c>
    </row>
    <row r="35" spans="1:27" x14ac:dyDescent="0.2">
      <c r="A35" s="7" t="s">
        <v>2314</v>
      </c>
      <c r="B35" t="s">
        <v>184</v>
      </c>
      <c r="C35">
        <v>2020</v>
      </c>
      <c r="D35">
        <v>0</v>
      </c>
      <c r="E35">
        <v>1</v>
      </c>
      <c r="F35">
        <v>0</v>
      </c>
      <c r="G35">
        <v>56.164999999999999</v>
      </c>
      <c r="H35">
        <v>0</v>
      </c>
      <c r="I35">
        <v>1</v>
      </c>
      <c r="J35">
        <v>0</v>
      </c>
      <c r="K35">
        <v>-0.32818837231601233</v>
      </c>
      <c r="L35">
        <v>0</v>
      </c>
      <c r="M35">
        <v>0.33333333333333331</v>
      </c>
      <c r="N35">
        <v>0</v>
      </c>
      <c r="O35">
        <v>0.66666666666666663</v>
      </c>
      <c r="P35">
        <v>26.341109086924956</v>
      </c>
      <c r="Q35">
        <v>0.5310339817286911</v>
      </c>
      <c r="R35">
        <v>-0.28820533648270963</v>
      </c>
      <c r="S35">
        <v>3.2651062179866536E-4</v>
      </c>
      <c r="T35">
        <v>-7.6679386564907484E-2</v>
      </c>
      <c r="U35">
        <v>4.6179213517539743</v>
      </c>
      <c r="V35">
        <v>29.36420942053886</v>
      </c>
      <c r="W35">
        <v>0.56354549269874143</v>
      </c>
      <c r="X35">
        <v>-0.25157558387477102</v>
      </c>
      <c r="Y35">
        <v>0.90259799236800697</v>
      </c>
      <c r="Z35">
        <v>4.6113424313253881E-2</v>
      </c>
      <c r="AA35">
        <v>0.62334371941748568</v>
      </c>
    </row>
    <row r="36" spans="1:27" x14ac:dyDescent="0.2">
      <c r="A36" s="7" t="s">
        <v>2314</v>
      </c>
      <c r="B36" t="s">
        <v>186</v>
      </c>
      <c r="C36">
        <v>2019</v>
      </c>
      <c r="D36">
        <v>0</v>
      </c>
      <c r="E36">
        <v>1</v>
      </c>
      <c r="F36">
        <v>0</v>
      </c>
      <c r="G36">
        <v>114.68333333333334</v>
      </c>
      <c r="H36">
        <v>0</v>
      </c>
      <c r="I36">
        <v>1</v>
      </c>
      <c r="J36">
        <v>0</v>
      </c>
      <c r="K36">
        <v>0.22914270644381821</v>
      </c>
      <c r="L36">
        <v>0</v>
      </c>
      <c r="M36">
        <v>0.5</v>
      </c>
      <c r="N36">
        <v>0</v>
      </c>
      <c r="O36">
        <v>0.33333333333333331</v>
      </c>
      <c r="P36">
        <v>26.359001421105948</v>
      </c>
      <c r="Q36">
        <v>0.53852960590869359</v>
      </c>
      <c r="R36">
        <v>5.2445979235329121E-2</v>
      </c>
      <c r="S36">
        <v>0.28303882772401362</v>
      </c>
      <c r="T36">
        <v>8.195562455818628E-2</v>
      </c>
      <c r="U36">
        <v>2.6602933301989053</v>
      </c>
      <c r="V36">
        <v>29.298500396397998</v>
      </c>
      <c r="W36">
        <v>0.53802854717667281</v>
      </c>
      <c r="X36">
        <v>5.1854518385725523E-3</v>
      </c>
      <c r="Y36">
        <v>0.93039366219328212</v>
      </c>
      <c r="Z36">
        <v>0.15945557844356531</v>
      </c>
      <c r="AA36">
        <v>0.59094901707343694</v>
      </c>
    </row>
    <row r="37" spans="1:27" x14ac:dyDescent="0.2">
      <c r="A37" s="7" t="s">
        <v>2314</v>
      </c>
      <c r="B37" t="s">
        <v>188</v>
      </c>
      <c r="C37">
        <v>2018</v>
      </c>
      <c r="D37">
        <v>0</v>
      </c>
      <c r="E37">
        <v>1</v>
      </c>
      <c r="F37">
        <v>0</v>
      </c>
      <c r="G37">
        <v>67.356666666666669</v>
      </c>
      <c r="H37">
        <v>0</v>
      </c>
      <c r="I37">
        <v>1</v>
      </c>
      <c r="J37">
        <v>0</v>
      </c>
      <c r="K37">
        <v>0.76168701017179208</v>
      </c>
      <c r="L37">
        <v>0</v>
      </c>
      <c r="M37">
        <v>0.83333333333333337</v>
      </c>
      <c r="N37">
        <v>0</v>
      </c>
      <c r="O37">
        <v>0</v>
      </c>
      <c r="P37">
        <v>26.256845030998896</v>
      </c>
      <c r="Q37">
        <v>0.53533321741329709</v>
      </c>
      <c r="R37">
        <v>0.37625103527280901</v>
      </c>
      <c r="S37">
        <v>6.4161790370598497E-4</v>
      </c>
      <c r="T37">
        <v>6.1799950218682217E-2</v>
      </c>
      <c r="U37">
        <v>2.2472025459398419</v>
      </c>
      <c r="V37">
        <v>29.193436949089261</v>
      </c>
      <c r="W37">
        <v>0.52994573569410963</v>
      </c>
      <c r="X37">
        <v>0.34448493041751105</v>
      </c>
      <c r="Y37">
        <v>0.91447584391187542</v>
      </c>
      <c r="Z37">
        <v>0.12821819980969393</v>
      </c>
      <c r="AA37">
        <v>0.6351638245312563</v>
      </c>
    </row>
    <row r="38" spans="1:27" x14ac:dyDescent="0.2">
      <c r="A38" s="7" t="s">
        <v>2314</v>
      </c>
      <c r="B38" t="s">
        <v>190</v>
      </c>
      <c r="C38">
        <v>2017</v>
      </c>
      <c r="D38">
        <v>0</v>
      </c>
      <c r="E38">
        <v>1</v>
      </c>
      <c r="F38">
        <v>0</v>
      </c>
      <c r="G38">
        <v>48.176666666666655</v>
      </c>
      <c r="H38">
        <v>0</v>
      </c>
      <c r="I38">
        <v>1</v>
      </c>
      <c r="J38">
        <v>0</v>
      </c>
      <c r="K38">
        <v>0.29415529581938399</v>
      </c>
      <c r="L38">
        <v>0</v>
      </c>
      <c r="M38">
        <v>0.83333333333333337</v>
      </c>
      <c r="N38">
        <v>0</v>
      </c>
      <c r="O38">
        <v>0</v>
      </c>
      <c r="P38">
        <v>26.139557332002539</v>
      </c>
      <c r="Q38">
        <v>0.54291846447123437</v>
      </c>
      <c r="R38">
        <v>0.23037437025608787</v>
      </c>
      <c r="S38">
        <v>-0.17336066800347169</v>
      </c>
      <c r="T38">
        <v>3.3242472093160835E-2</v>
      </c>
      <c r="U38">
        <v>2.3675964444976505</v>
      </c>
      <c r="V38">
        <v>29.072796443647416</v>
      </c>
      <c r="W38">
        <v>0.54840686379648962</v>
      </c>
      <c r="X38">
        <v>0.13715104914134027</v>
      </c>
      <c r="Y38">
        <v>0.92176618022801049</v>
      </c>
      <c r="Z38">
        <v>7.9553528189581432E-2</v>
      </c>
      <c r="AA38">
        <v>0.66644575763718161</v>
      </c>
    </row>
    <row r="39" spans="1:27" x14ac:dyDescent="0.2">
      <c r="A39" s="7" t="s">
        <v>2314</v>
      </c>
      <c r="B39" t="s">
        <v>192</v>
      </c>
      <c r="C39">
        <v>2016</v>
      </c>
      <c r="D39">
        <v>0</v>
      </c>
      <c r="E39">
        <v>1</v>
      </c>
      <c r="F39">
        <v>0</v>
      </c>
      <c r="G39">
        <v>41.055</v>
      </c>
      <c r="H39">
        <v>0</v>
      </c>
      <c r="I39">
        <v>1</v>
      </c>
      <c r="J39">
        <v>0</v>
      </c>
      <c r="K39">
        <v>0.12341275025046383</v>
      </c>
      <c r="L39">
        <v>0</v>
      </c>
      <c r="M39">
        <v>0.66666666666666663</v>
      </c>
      <c r="N39">
        <v>0</v>
      </c>
      <c r="O39">
        <v>0.16666666666666666</v>
      </c>
      <c r="P39">
        <v>26.091365763095649</v>
      </c>
      <c r="Q39">
        <v>0.52255717982793592</v>
      </c>
      <c r="R39">
        <v>2.0326367019753988E-3</v>
      </c>
      <c r="S39">
        <v>-0.28008167630900871</v>
      </c>
      <c r="T39">
        <v>6.2743248575237498E-2</v>
      </c>
      <c r="U39">
        <v>2.4753755651708884</v>
      </c>
      <c r="V39">
        <v>29.007932216571774</v>
      </c>
      <c r="W39">
        <v>0.53598863586074919</v>
      </c>
      <c r="X39">
        <v>1.2861066351718974E-2</v>
      </c>
      <c r="Y39">
        <v>0.93019566692740552</v>
      </c>
      <c r="Z39">
        <v>0.10383357136741007</v>
      </c>
      <c r="AA39">
        <v>0.69005247030706984</v>
      </c>
    </row>
    <row r="40" spans="1:27" x14ac:dyDescent="0.2">
      <c r="A40" s="7" t="s">
        <v>2184</v>
      </c>
      <c r="B40" t="s">
        <v>198</v>
      </c>
      <c r="C40">
        <v>2024</v>
      </c>
      <c r="D40">
        <v>51.15</v>
      </c>
      <c r="E40">
        <v>1</v>
      </c>
      <c r="F40">
        <v>51.15</v>
      </c>
      <c r="G40">
        <v>206.12500000000003</v>
      </c>
      <c r="H40">
        <v>1</v>
      </c>
      <c r="I40">
        <v>0.66666666666666663</v>
      </c>
      <c r="J40">
        <v>-0.14436266309802614</v>
      </c>
      <c r="K40">
        <v>5.7274411587115215E-2</v>
      </c>
      <c r="L40">
        <v>0</v>
      </c>
      <c r="M40">
        <v>0.66666666666666663</v>
      </c>
      <c r="N40">
        <v>1</v>
      </c>
      <c r="O40">
        <v>0</v>
      </c>
      <c r="P40">
        <v>30.660284872691332</v>
      </c>
      <c r="Q40">
        <v>0.67382264771298717</v>
      </c>
      <c r="R40">
        <v>0.10651533340608976</v>
      </c>
      <c r="S40">
        <v>0.69313093808015724</v>
      </c>
      <c r="T40">
        <v>6.795206364488586E-2</v>
      </c>
      <c r="U40">
        <v>1.2585999781587855</v>
      </c>
      <c r="V40">
        <v>28.974698339513775</v>
      </c>
      <c r="W40">
        <v>0.51260941037841301</v>
      </c>
      <c r="X40">
        <v>0.20075355344561227</v>
      </c>
      <c r="Y40">
        <v>0.84647038874213099</v>
      </c>
      <c r="Z40">
        <v>0.11706491860005919</v>
      </c>
      <c r="AA40">
        <v>0.74782080677274776</v>
      </c>
    </row>
    <row r="41" spans="1:27" x14ac:dyDescent="0.2">
      <c r="A41" s="7" t="s">
        <v>2184</v>
      </c>
      <c r="B41" t="s">
        <v>205</v>
      </c>
      <c r="C41">
        <v>2021</v>
      </c>
      <c r="D41">
        <v>41.66</v>
      </c>
      <c r="E41">
        <v>1</v>
      </c>
      <c r="F41">
        <v>41.66</v>
      </c>
      <c r="G41">
        <v>75.813333333333333</v>
      </c>
      <c r="H41">
        <v>1</v>
      </c>
      <c r="I41">
        <v>0.66666666666666663</v>
      </c>
      <c r="J41">
        <v>5.0028818443804033</v>
      </c>
      <c r="K41">
        <v>0.23031058629823709</v>
      </c>
      <c r="L41">
        <v>1</v>
      </c>
      <c r="M41">
        <v>0.66666666666666663</v>
      </c>
      <c r="N41">
        <v>0</v>
      </c>
      <c r="O41">
        <v>0.16666666666666666</v>
      </c>
      <c r="P41">
        <v>30.431772034541794</v>
      </c>
      <c r="Q41">
        <v>0.64319134714711068</v>
      </c>
      <c r="R41">
        <v>0.52179954837589015</v>
      </c>
      <c r="S41">
        <v>0.71474803513638463</v>
      </c>
      <c r="T41">
        <v>6.3633791303801049E-2</v>
      </c>
      <c r="U41">
        <v>1.5361380798274002</v>
      </c>
      <c r="V41">
        <v>28.687381267113743</v>
      </c>
      <c r="W41">
        <v>0.54057702387832751</v>
      </c>
      <c r="X41">
        <v>0.73927424814787579</v>
      </c>
      <c r="Y41">
        <v>0.82383650137268349</v>
      </c>
      <c r="Z41">
        <v>0.13334390541477839</v>
      </c>
      <c r="AA41">
        <v>0.94164700005161384</v>
      </c>
    </row>
    <row r="42" spans="1:27" x14ac:dyDescent="0.2">
      <c r="A42" s="7" t="s">
        <v>2184</v>
      </c>
      <c r="B42" t="s">
        <v>209</v>
      </c>
      <c r="C42">
        <v>2020</v>
      </c>
      <c r="D42">
        <v>6.94</v>
      </c>
      <c r="E42">
        <v>1</v>
      </c>
      <c r="F42">
        <v>6.94</v>
      </c>
      <c r="G42">
        <v>55.008333333333333</v>
      </c>
      <c r="H42">
        <v>1</v>
      </c>
      <c r="I42">
        <v>0.83333333333333337</v>
      </c>
      <c r="J42">
        <v>-0.79227776114935644</v>
      </c>
      <c r="K42">
        <v>-0.19614207879111958</v>
      </c>
      <c r="L42">
        <v>0</v>
      </c>
      <c r="M42">
        <v>0.33333333333333331</v>
      </c>
      <c r="N42">
        <v>1</v>
      </c>
      <c r="O42">
        <v>0.5</v>
      </c>
      <c r="P42">
        <v>30.362136589961754</v>
      </c>
      <c r="Q42">
        <v>0.67758957654723129</v>
      </c>
      <c r="R42">
        <v>-0.33644536652835411</v>
      </c>
      <c r="S42">
        <v>0.73027155093858209</v>
      </c>
      <c r="T42">
        <v>1.2791519434628975E-2</v>
      </c>
      <c r="U42">
        <v>1.7975214142518681</v>
      </c>
      <c r="V42">
        <v>28.694038170032726</v>
      </c>
      <c r="W42">
        <v>0.53911956022898488</v>
      </c>
      <c r="X42">
        <v>-0.24353557886716359</v>
      </c>
      <c r="Y42">
        <v>0.78094048564854301</v>
      </c>
      <c r="Z42">
        <v>3.1201606646664475E-2</v>
      </c>
      <c r="AA42">
        <v>1.0934103756678366</v>
      </c>
    </row>
    <row r="43" spans="1:27" x14ac:dyDescent="0.2">
      <c r="A43" s="7" t="s">
        <v>2184</v>
      </c>
      <c r="B43" t="s">
        <v>213</v>
      </c>
      <c r="C43">
        <v>2019</v>
      </c>
      <c r="D43">
        <v>33.409999999999997</v>
      </c>
      <c r="E43">
        <v>1</v>
      </c>
      <c r="F43">
        <v>33.409999999999997</v>
      </c>
      <c r="G43">
        <v>109.11500000000001</v>
      </c>
      <c r="H43">
        <v>1</v>
      </c>
      <c r="I43">
        <v>0.83333333333333337</v>
      </c>
      <c r="J43">
        <v>0.28946352759552285</v>
      </c>
      <c r="K43">
        <v>0.18089878517789773</v>
      </c>
      <c r="L43">
        <v>1</v>
      </c>
      <c r="M43">
        <v>0.33333333333333331</v>
      </c>
      <c r="N43">
        <v>0</v>
      </c>
      <c r="O43">
        <v>0.33333333333333331</v>
      </c>
      <c r="P43">
        <v>30.192116904074094</v>
      </c>
      <c r="Q43">
        <v>0.67281853281853277</v>
      </c>
      <c r="R43">
        <v>5.3168244719592028E-2</v>
      </c>
      <c r="S43">
        <v>0.78319099378881984</v>
      </c>
      <c r="T43">
        <v>6.1655114310879638E-2</v>
      </c>
      <c r="U43">
        <v>1.513586956521739</v>
      </c>
      <c r="V43">
        <v>28.659647815903302</v>
      </c>
      <c r="W43">
        <v>0.5156470593583663</v>
      </c>
      <c r="X43">
        <v>5.0650742578620678E-3</v>
      </c>
      <c r="Y43">
        <v>0.84703496784914778</v>
      </c>
      <c r="Z43">
        <v>0.16283899681811642</v>
      </c>
      <c r="AA43">
        <v>0.78206674601963122</v>
      </c>
    </row>
    <row r="44" spans="1:27" x14ac:dyDescent="0.2">
      <c r="A44" s="7" t="s">
        <v>2184</v>
      </c>
      <c r="B44" t="s">
        <v>217</v>
      </c>
      <c r="C44">
        <v>2018</v>
      </c>
      <c r="D44">
        <v>25.91</v>
      </c>
      <c r="E44">
        <v>1</v>
      </c>
      <c r="F44">
        <v>25.91</v>
      </c>
      <c r="G44">
        <v>63.038333333333334</v>
      </c>
      <c r="H44">
        <v>1</v>
      </c>
      <c r="I44">
        <v>0.83333333333333337</v>
      </c>
      <c r="J44">
        <v>1.4723282442748091</v>
      </c>
      <c r="K44">
        <v>0.51629896945932385</v>
      </c>
      <c r="L44">
        <v>1</v>
      </c>
      <c r="M44">
        <v>0.66666666666666663</v>
      </c>
      <c r="N44">
        <v>0</v>
      </c>
      <c r="O44">
        <v>0</v>
      </c>
      <c r="P44">
        <v>30.208430979371819</v>
      </c>
      <c r="Q44">
        <v>0.6415710704246752</v>
      </c>
      <c r="R44">
        <v>0.36980379115397399</v>
      </c>
      <c r="S44">
        <v>0.77186230489630103</v>
      </c>
      <c r="T44">
        <v>5.1122489168964162E-2</v>
      </c>
      <c r="U44">
        <v>1.8144109471883687</v>
      </c>
      <c r="V44">
        <v>28.534839291027108</v>
      </c>
      <c r="W44">
        <v>0.51223942685887991</v>
      </c>
      <c r="X44">
        <v>0.34555947110398355</v>
      </c>
      <c r="Y44">
        <v>0.78593906274644298</v>
      </c>
      <c r="Z44">
        <v>0.1299977766513136</v>
      </c>
      <c r="AA44">
        <v>0.70729575765650188</v>
      </c>
    </row>
    <row r="45" spans="1:27" x14ac:dyDescent="0.2">
      <c r="A45" s="7" t="s">
        <v>2184</v>
      </c>
      <c r="B45" t="s">
        <v>221</v>
      </c>
      <c r="C45">
        <v>2017</v>
      </c>
      <c r="D45">
        <v>10.48</v>
      </c>
      <c r="E45">
        <v>1</v>
      </c>
      <c r="F45">
        <v>10.48</v>
      </c>
      <c r="G45">
        <v>46.43</v>
      </c>
      <c r="H45">
        <v>1</v>
      </c>
      <c r="I45">
        <v>0.83333333333333337</v>
      </c>
      <c r="J45">
        <v>0.75250836120401332</v>
      </c>
      <c r="K45">
        <v>0.16873723561871509</v>
      </c>
      <c r="L45">
        <v>1</v>
      </c>
      <c r="M45">
        <v>0.66666666666666663</v>
      </c>
      <c r="N45">
        <v>0</v>
      </c>
      <c r="O45">
        <v>0</v>
      </c>
      <c r="P45">
        <v>30.134667737090602</v>
      </c>
      <c r="Q45">
        <v>0.64799214852375886</v>
      </c>
      <c r="R45">
        <v>0.20569366479550921</v>
      </c>
      <c r="S45">
        <v>0.7920153000239063</v>
      </c>
      <c r="T45">
        <v>2.5540697424431352E-2</v>
      </c>
      <c r="U45">
        <v>1.9230217547214918</v>
      </c>
      <c r="V45">
        <v>28.406944709466064</v>
      </c>
      <c r="W45">
        <v>0.53089458312106885</v>
      </c>
      <c r="X45">
        <v>0.14126450005143673</v>
      </c>
      <c r="Y45">
        <v>0.76087018555678076</v>
      </c>
      <c r="Z45">
        <v>8.0837157301036341E-2</v>
      </c>
      <c r="AA45">
        <v>0.74054153926654143</v>
      </c>
    </row>
    <row r="46" spans="1:27" x14ac:dyDescent="0.2">
      <c r="A46" s="7" t="s">
        <v>2184</v>
      </c>
      <c r="B46" t="s">
        <v>225</v>
      </c>
      <c r="C46">
        <v>2016</v>
      </c>
      <c r="D46">
        <v>5.98</v>
      </c>
      <c r="E46">
        <v>1</v>
      </c>
      <c r="F46">
        <v>5.98</v>
      </c>
      <c r="G46">
        <v>40.05833333333333</v>
      </c>
      <c r="H46">
        <v>1</v>
      </c>
      <c r="I46">
        <v>0.83333333333333337</v>
      </c>
      <c r="J46">
        <v>-0.49106382978723401</v>
      </c>
      <c r="K46">
        <v>0.20525672188166952</v>
      </c>
      <c r="L46">
        <v>0</v>
      </c>
      <c r="M46">
        <v>0.66666666666666663</v>
      </c>
      <c r="N46">
        <v>1</v>
      </c>
      <c r="O46">
        <v>0</v>
      </c>
      <c r="P46">
        <v>30.031639949193959</v>
      </c>
      <c r="Q46">
        <v>0.64279238440616504</v>
      </c>
      <c r="R46">
        <v>-3.1456310679611632E-2</v>
      </c>
      <c r="S46">
        <v>0.85936661298980144</v>
      </c>
      <c r="T46">
        <v>1.9450358041416684E-2</v>
      </c>
      <c r="U46">
        <v>1.9602791196994096</v>
      </c>
      <c r="V46">
        <v>28.351219852222055</v>
      </c>
      <c r="W46">
        <v>0.51594943509771096</v>
      </c>
      <c r="X46">
        <v>1.9558855828036383E-2</v>
      </c>
      <c r="Y46">
        <v>0.7023060090676434</v>
      </c>
      <c r="Z46">
        <v>0.11249214947417423</v>
      </c>
      <c r="AA46">
        <v>0.77590187788564979</v>
      </c>
    </row>
    <row r="47" spans="1:27" x14ac:dyDescent="0.2">
      <c r="A47" s="7" t="s">
        <v>2184</v>
      </c>
      <c r="B47" t="s">
        <v>229</v>
      </c>
      <c r="C47">
        <v>2015</v>
      </c>
      <c r="D47">
        <v>11.75</v>
      </c>
      <c r="E47">
        <v>1</v>
      </c>
      <c r="F47">
        <v>11.75</v>
      </c>
      <c r="G47">
        <v>34.991666666666667</v>
      </c>
      <c r="H47">
        <v>1</v>
      </c>
      <c r="I47">
        <v>0.83333333333333337</v>
      </c>
      <c r="J47">
        <v>0.43118148599269168</v>
      </c>
      <c r="K47">
        <v>8.5809556934664744E-2</v>
      </c>
      <c r="L47">
        <v>1</v>
      </c>
      <c r="M47">
        <v>0.66666666666666663</v>
      </c>
      <c r="N47">
        <v>0</v>
      </c>
      <c r="O47">
        <v>0.16666666666666666</v>
      </c>
      <c r="P47">
        <v>29.89673473414669</v>
      </c>
      <c r="Q47">
        <v>0.61164141938161443</v>
      </c>
      <c r="R47">
        <v>-6.4146829002362349E-2</v>
      </c>
      <c r="S47">
        <v>1.0740867190167294</v>
      </c>
      <c r="T47">
        <v>3.8750408185479479E-2</v>
      </c>
      <c r="U47">
        <v>2.290542847388187</v>
      </c>
      <c r="V47">
        <v>28.141982938932934</v>
      </c>
      <c r="W47">
        <v>0.57825315739830874</v>
      </c>
      <c r="X47">
        <v>0.15115635447710213</v>
      </c>
      <c r="Y47">
        <v>0.90659078932634996</v>
      </c>
      <c r="Z47">
        <v>8.6136670793836773E-2</v>
      </c>
      <c r="AA47">
        <v>-1.6127530709802147</v>
      </c>
    </row>
    <row r="48" spans="1:27" x14ac:dyDescent="0.2">
      <c r="A48" s="7" t="s">
        <v>2184</v>
      </c>
      <c r="B48" t="s">
        <v>233</v>
      </c>
      <c r="C48">
        <v>2014</v>
      </c>
      <c r="D48">
        <v>8.2100000000000009</v>
      </c>
      <c r="E48">
        <v>1</v>
      </c>
      <c r="F48">
        <v>8.2100000000000009</v>
      </c>
      <c r="G48">
        <v>30.455000000000002</v>
      </c>
      <c r="H48">
        <v>1</v>
      </c>
      <c r="I48">
        <v>0.83333333333333337</v>
      </c>
      <c r="J48">
        <v>-0.36108949416342406</v>
      </c>
      <c r="K48">
        <v>0.17905399578345629</v>
      </c>
      <c r="L48">
        <v>0</v>
      </c>
      <c r="M48">
        <v>0.66666666666666663</v>
      </c>
      <c r="N48">
        <v>1</v>
      </c>
      <c r="O48">
        <v>0</v>
      </c>
      <c r="P48">
        <v>29.798473534931098</v>
      </c>
      <c r="Q48">
        <v>0.64858058608058611</v>
      </c>
      <c r="R48">
        <v>0.17234767788666372</v>
      </c>
      <c r="S48">
        <v>0.99895869489760503</v>
      </c>
      <c r="T48">
        <v>4.3013395600344104E-2</v>
      </c>
      <c r="U48">
        <v>2.0322804581742449</v>
      </c>
      <c r="V48">
        <v>28.510418833315345</v>
      </c>
      <c r="W48">
        <v>0.62352010419764348</v>
      </c>
      <c r="X48">
        <v>0.13776034315948915</v>
      </c>
      <c r="Y48">
        <v>0.96501929242308304</v>
      </c>
      <c r="Z48">
        <v>6.3368740425179981E-2</v>
      </c>
      <c r="AA48">
        <v>0.48470318218311514</v>
      </c>
    </row>
    <row r="49" spans="1:27" x14ac:dyDescent="0.2">
      <c r="A49" s="7" t="s">
        <v>2186</v>
      </c>
      <c r="B49" t="s">
        <v>249</v>
      </c>
      <c r="C49">
        <v>2023</v>
      </c>
      <c r="D49">
        <v>0.85</v>
      </c>
      <c r="E49">
        <v>1</v>
      </c>
      <c r="F49">
        <v>0.85</v>
      </c>
      <c r="G49">
        <v>195.20833333333334</v>
      </c>
      <c r="H49">
        <v>1</v>
      </c>
      <c r="I49">
        <v>0.66666666666666663</v>
      </c>
      <c r="J49">
        <v>6.2499999999999917E-2</v>
      </c>
      <c r="K49">
        <v>-0.10389828316101786</v>
      </c>
      <c r="L49">
        <v>1</v>
      </c>
      <c r="M49">
        <v>0.33333333333333331</v>
      </c>
      <c r="N49">
        <v>0</v>
      </c>
      <c r="O49">
        <v>0.5</v>
      </c>
      <c r="P49">
        <v>29.715436268674136</v>
      </c>
      <c r="Q49">
        <v>0.22214712443755436</v>
      </c>
      <c r="R49">
        <v>-4.6719679798532532E-2</v>
      </c>
      <c r="S49">
        <v>0.96962581248559809</v>
      </c>
      <c r="T49">
        <v>0.18200184505464304</v>
      </c>
      <c r="U49">
        <v>0.13449722517021576</v>
      </c>
      <c r="V49">
        <v>29.162648164256662</v>
      </c>
      <c r="W49">
        <v>0.54347673993568246</v>
      </c>
      <c r="X49">
        <v>-0.11136109189659267</v>
      </c>
      <c r="Y49">
        <v>0.78647717560817831</v>
      </c>
      <c r="Z49">
        <v>5.0662606047746091E-2</v>
      </c>
      <c r="AA49">
        <v>0.93997635115464695</v>
      </c>
    </row>
    <row r="50" spans="1:27" x14ac:dyDescent="0.2">
      <c r="A50" s="7" t="s">
        <v>2186</v>
      </c>
      <c r="B50" t="s">
        <v>253</v>
      </c>
      <c r="C50">
        <v>2020</v>
      </c>
      <c r="D50">
        <v>0.7</v>
      </c>
      <c r="E50">
        <v>1</v>
      </c>
      <c r="F50">
        <v>0.7</v>
      </c>
      <c r="G50">
        <v>56.048333333333339</v>
      </c>
      <c r="H50">
        <v>1</v>
      </c>
      <c r="I50">
        <v>0.83333333333333337</v>
      </c>
      <c r="J50">
        <v>7.6923076923076816E-2</v>
      </c>
      <c r="K50">
        <v>-0.34100888513652511</v>
      </c>
      <c r="L50">
        <v>1</v>
      </c>
      <c r="M50">
        <v>0.16666666666666666</v>
      </c>
      <c r="N50">
        <v>0</v>
      </c>
      <c r="O50">
        <v>0.66666666666666663</v>
      </c>
      <c r="P50">
        <v>29.401844105292483</v>
      </c>
      <c r="Q50">
        <v>0.29392035348377132</v>
      </c>
      <c r="R50">
        <v>-0.31552713263172905</v>
      </c>
      <c r="S50">
        <v>0.95856102850782343</v>
      </c>
      <c r="T50">
        <v>0.133333955515026</v>
      </c>
      <c r="U50">
        <v>0.13860900145879937</v>
      </c>
      <c r="V50">
        <v>28.854086917477606</v>
      </c>
      <c r="W50">
        <v>0.60306443073956151</v>
      </c>
      <c r="X50">
        <v>-0.24702195118326775</v>
      </c>
      <c r="Y50">
        <v>0.74289223938700288</v>
      </c>
      <c r="Z50">
        <v>1.1111200633264972E-2</v>
      </c>
      <c r="AA50">
        <v>1.3698957778000149</v>
      </c>
    </row>
    <row r="51" spans="1:27" x14ac:dyDescent="0.2">
      <c r="A51" s="7" t="s">
        <v>2186</v>
      </c>
      <c r="B51" t="s">
        <v>255</v>
      </c>
      <c r="C51">
        <v>2019</v>
      </c>
      <c r="D51">
        <v>0.65</v>
      </c>
      <c r="E51">
        <v>1</v>
      </c>
      <c r="F51">
        <v>0.65</v>
      </c>
      <c r="G51">
        <v>114.575</v>
      </c>
      <c r="H51">
        <v>1</v>
      </c>
      <c r="I51">
        <v>0.83333333333333337</v>
      </c>
      <c r="J51">
        <v>0</v>
      </c>
      <c r="K51">
        <v>0.22914270644381821</v>
      </c>
      <c r="L51">
        <v>0</v>
      </c>
      <c r="M51">
        <v>0.5</v>
      </c>
      <c r="N51">
        <v>0</v>
      </c>
      <c r="O51">
        <v>0.33333333333333331</v>
      </c>
      <c r="P51">
        <v>29.292652157777201</v>
      </c>
      <c r="Q51">
        <v>0.30220528271628749</v>
      </c>
      <c r="R51">
        <v>9.5870135395599299E-3</v>
      </c>
      <c r="S51">
        <v>0.9519002431351079</v>
      </c>
      <c r="T51">
        <v>2.0415262396879106E-2</v>
      </c>
      <c r="U51">
        <v>0.18396234260159511</v>
      </c>
      <c r="V51">
        <v>28.809558606952788</v>
      </c>
      <c r="W51">
        <v>0.57741593437540717</v>
      </c>
      <c r="X51">
        <v>1.2328612787867418E-2</v>
      </c>
      <c r="Y51">
        <v>0.8189167596247664</v>
      </c>
      <c r="Z51">
        <v>0.16971230547044988</v>
      </c>
      <c r="AA51">
        <v>1.0036708483396553</v>
      </c>
    </row>
    <row r="52" spans="1:27" x14ac:dyDescent="0.2">
      <c r="A52" s="7" t="s">
        <v>2186</v>
      </c>
      <c r="B52" t="s">
        <v>257</v>
      </c>
      <c r="C52">
        <v>2018</v>
      </c>
      <c r="D52">
        <v>0.65</v>
      </c>
      <c r="E52">
        <v>1</v>
      </c>
      <c r="F52">
        <v>0.65</v>
      </c>
      <c r="G52">
        <v>67.248333333333335</v>
      </c>
      <c r="H52">
        <v>1</v>
      </c>
      <c r="I52">
        <v>0.83333333333333337</v>
      </c>
      <c r="J52">
        <v>0</v>
      </c>
      <c r="K52">
        <v>0.76168701017179208</v>
      </c>
      <c r="L52">
        <v>0</v>
      </c>
      <c r="M52">
        <v>0.83333333333333337</v>
      </c>
      <c r="N52">
        <v>0</v>
      </c>
      <c r="O52">
        <v>0</v>
      </c>
      <c r="P52">
        <v>29.267254988341801</v>
      </c>
      <c r="Q52">
        <v>0.28663569058787636</v>
      </c>
      <c r="R52">
        <v>0.32419901295213105</v>
      </c>
      <c r="S52">
        <v>0.95215622644783149</v>
      </c>
      <c r="T52">
        <v>0.18140103958399575</v>
      </c>
      <c r="U52">
        <v>0.16027832450437651</v>
      </c>
      <c r="V52">
        <v>28.691701956198781</v>
      </c>
      <c r="W52">
        <v>0.57139532349834643</v>
      </c>
      <c r="X52">
        <v>0.35316026747095747</v>
      </c>
      <c r="Y52">
        <v>0.75589007582118783</v>
      </c>
      <c r="Z52">
        <v>0.10828468491547499</v>
      </c>
      <c r="AA52">
        <v>0.98298452810383397</v>
      </c>
    </row>
    <row r="53" spans="1:27" x14ac:dyDescent="0.2">
      <c r="A53" s="7" t="s">
        <v>2186</v>
      </c>
      <c r="B53" t="s">
        <v>259</v>
      </c>
      <c r="C53">
        <v>2017</v>
      </c>
      <c r="D53">
        <v>0.65</v>
      </c>
      <c r="E53">
        <v>1</v>
      </c>
      <c r="F53">
        <v>0.65</v>
      </c>
      <c r="G53">
        <v>48.068333333333328</v>
      </c>
      <c r="H53">
        <v>1</v>
      </c>
      <c r="I53">
        <v>0.83333333333333337</v>
      </c>
      <c r="J53">
        <v>8.3333333333333412E-2</v>
      </c>
      <c r="K53">
        <v>0.28026640693049504</v>
      </c>
      <c r="L53">
        <v>1</v>
      </c>
      <c r="M53">
        <v>0.66666666666666663</v>
      </c>
      <c r="N53">
        <v>0</v>
      </c>
      <c r="O53">
        <v>0</v>
      </c>
      <c r="P53">
        <v>29.075511269291965</v>
      </c>
      <c r="Q53">
        <v>0.33746806959942827</v>
      </c>
      <c r="R53">
        <v>0.15103939625776208</v>
      </c>
      <c r="S53">
        <v>0.94111696649809018</v>
      </c>
      <c r="T53">
        <v>4.7717544133729105E-2</v>
      </c>
      <c r="U53">
        <v>0.17339021370824784</v>
      </c>
      <c r="V53">
        <v>28.583470787432507</v>
      </c>
      <c r="W53">
        <v>0.582648596275124</v>
      </c>
      <c r="X53">
        <v>0.15037354480772791</v>
      </c>
      <c r="Y53">
        <v>0.73601990781108351</v>
      </c>
      <c r="Z53">
        <v>7.7141016182820057E-2</v>
      </c>
      <c r="AA53">
        <v>1.032146796102082</v>
      </c>
    </row>
    <row r="54" spans="1:27" x14ac:dyDescent="0.2">
      <c r="A54" s="7" t="s">
        <v>2188</v>
      </c>
      <c r="B54" t="s">
        <v>265</v>
      </c>
      <c r="C54">
        <v>2025</v>
      </c>
      <c r="D54">
        <v>22.48</v>
      </c>
      <c r="E54">
        <v>1</v>
      </c>
      <c r="F54">
        <v>22.48</v>
      </c>
      <c r="G54">
        <v>74.010000000000005</v>
      </c>
      <c r="H54">
        <v>1</v>
      </c>
      <c r="I54">
        <v>0.5</v>
      </c>
      <c r="J54">
        <v>-0.7722391084093212</v>
      </c>
      <c r="K54">
        <v>-0.49425973190990941</v>
      </c>
      <c r="L54">
        <v>0</v>
      </c>
      <c r="M54">
        <v>0</v>
      </c>
      <c r="N54">
        <v>1</v>
      </c>
      <c r="O54">
        <v>0.66666666666666663</v>
      </c>
      <c r="P54">
        <v>28.388952724888394</v>
      </c>
      <c r="Q54">
        <v>0.60148941494701147</v>
      </c>
      <c r="R54">
        <v>-0.10453114233802596</v>
      </c>
      <c r="S54">
        <v>0.92840826223429396</v>
      </c>
      <c r="T54">
        <v>7.0088114895314732E-2</v>
      </c>
      <c r="U54">
        <v>0.6108503349493235</v>
      </c>
      <c r="V54">
        <v>29.120015947480688</v>
      </c>
      <c r="W54">
        <v>0.51817083203434178</v>
      </c>
      <c r="X54">
        <v>-0.3139196349659874</v>
      </c>
      <c r="Y54">
        <v>1.1230089015354674</v>
      </c>
      <c r="Z54">
        <v>-4.6440518362631605E-2</v>
      </c>
      <c r="AA54">
        <v>0.38616243591123733</v>
      </c>
    </row>
    <row r="55" spans="1:27" x14ac:dyDescent="0.2">
      <c r="A55" s="7" t="s">
        <v>2188</v>
      </c>
      <c r="B55" t="s">
        <v>267</v>
      </c>
      <c r="C55">
        <v>2024</v>
      </c>
      <c r="D55">
        <v>98.7</v>
      </c>
      <c r="E55">
        <v>1</v>
      </c>
      <c r="F55">
        <v>98.7</v>
      </c>
      <c r="G55">
        <v>198.20000000000005</v>
      </c>
      <c r="H55">
        <v>1</v>
      </c>
      <c r="I55">
        <v>0.66666666666666663</v>
      </c>
      <c r="J55">
        <v>0.12312243969048711</v>
      </c>
      <c r="K55">
        <v>1.2693561122362999E-2</v>
      </c>
      <c r="L55">
        <v>1</v>
      </c>
      <c r="M55">
        <v>0.5</v>
      </c>
      <c r="N55">
        <v>0</v>
      </c>
      <c r="O55">
        <v>0.16666666666666666</v>
      </c>
      <c r="P55">
        <v>28.421707354134465</v>
      </c>
      <c r="Q55">
        <v>0.56153065727429119</v>
      </c>
      <c r="R55">
        <v>0.27770058436254397</v>
      </c>
      <c r="S55">
        <v>0.91624844765321245</v>
      </c>
      <c r="T55">
        <v>0.14537554804824943</v>
      </c>
      <c r="U55">
        <v>0.65752222900460366</v>
      </c>
      <c r="V55">
        <v>29.422413843225151</v>
      </c>
      <c r="W55">
        <v>0.53506780846615221</v>
      </c>
      <c r="X55">
        <v>0.16651650325432144</v>
      </c>
      <c r="Y55">
        <v>0.7906910113488671</v>
      </c>
      <c r="Z55">
        <v>0.10158022171938648</v>
      </c>
      <c r="AA55">
        <v>0.86803635660358403</v>
      </c>
    </row>
    <row r="56" spans="1:27" x14ac:dyDescent="0.2">
      <c r="A56" s="7" t="s">
        <v>2188</v>
      </c>
      <c r="B56" t="s">
        <v>269</v>
      </c>
      <c r="C56">
        <v>2023</v>
      </c>
      <c r="D56">
        <v>87.88</v>
      </c>
      <c r="E56">
        <v>1</v>
      </c>
      <c r="F56">
        <v>87.88</v>
      </c>
      <c r="G56">
        <v>180.70333333333335</v>
      </c>
      <c r="H56">
        <v>1</v>
      </c>
      <c r="I56">
        <v>0.66666666666666663</v>
      </c>
      <c r="J56">
        <v>0.30618311533888221</v>
      </c>
      <c r="K56">
        <v>-0.14451213571749824</v>
      </c>
      <c r="L56">
        <v>1</v>
      </c>
      <c r="M56">
        <v>0.33333333333333331</v>
      </c>
      <c r="N56">
        <v>0</v>
      </c>
      <c r="O56">
        <v>0.5</v>
      </c>
      <c r="P56">
        <v>28.346503498422241</v>
      </c>
      <c r="Q56">
        <v>0.55324463993999529</v>
      </c>
      <c r="R56">
        <v>0.11346763858243047</v>
      </c>
      <c r="S56">
        <v>0.91419848475989207</v>
      </c>
      <c r="T56">
        <v>0.15386306406056421</v>
      </c>
      <c r="U56">
        <v>0.70833966771636447</v>
      </c>
      <c r="V56">
        <v>29.390803625965308</v>
      </c>
      <c r="W56">
        <v>0.48829382068527566</v>
      </c>
      <c r="X56">
        <v>-0.164756864690247</v>
      </c>
      <c r="Y56">
        <v>0.79756264115331954</v>
      </c>
      <c r="Z56">
        <v>6.0042199712439036E-2</v>
      </c>
      <c r="AA56">
        <v>0.84433594406362211</v>
      </c>
    </row>
    <row r="57" spans="1:27" x14ac:dyDescent="0.2">
      <c r="A57" s="7" t="s">
        <v>2188</v>
      </c>
      <c r="B57" t="s">
        <v>271</v>
      </c>
      <c r="C57">
        <v>2022</v>
      </c>
      <c r="D57">
        <v>67.28</v>
      </c>
      <c r="E57">
        <v>1</v>
      </c>
      <c r="F57">
        <v>67.28</v>
      </c>
      <c r="G57">
        <v>237.79499999999996</v>
      </c>
      <c r="H57">
        <v>1</v>
      </c>
      <c r="I57">
        <v>0.83333333333333337</v>
      </c>
      <c r="J57">
        <v>0.57786116322701686</v>
      </c>
      <c r="K57">
        <v>0.66987651665001524</v>
      </c>
      <c r="L57">
        <v>1</v>
      </c>
      <c r="M57">
        <v>0.5</v>
      </c>
      <c r="N57">
        <v>0</v>
      </c>
      <c r="O57">
        <v>0.16666666666666666</v>
      </c>
      <c r="P57">
        <v>28.147333857888899</v>
      </c>
      <c r="Q57">
        <v>0.58190146177701052</v>
      </c>
      <c r="R57">
        <v>0.12784064865890099</v>
      </c>
      <c r="S57">
        <v>0.91451173622202664</v>
      </c>
      <c r="T57">
        <v>0.18831097319615395</v>
      </c>
      <c r="U57">
        <v>0.51735805527487133</v>
      </c>
      <c r="V57">
        <v>28.920599456391397</v>
      </c>
      <c r="W57">
        <v>0.48775094913969613</v>
      </c>
      <c r="X57">
        <v>0.10983286364831291</v>
      </c>
      <c r="Y57">
        <v>0.78347299386661085</v>
      </c>
      <c r="Z57">
        <v>6.0032201379345035E-2</v>
      </c>
      <c r="AA57">
        <v>0.90755762884372437</v>
      </c>
    </row>
    <row r="58" spans="1:27" x14ac:dyDescent="0.2">
      <c r="A58" s="7" t="s">
        <v>2188</v>
      </c>
      <c r="B58" t="s">
        <v>273</v>
      </c>
      <c r="C58">
        <v>2021</v>
      </c>
      <c r="D58">
        <v>42.64</v>
      </c>
      <c r="E58">
        <v>1</v>
      </c>
      <c r="F58">
        <v>42.64</v>
      </c>
      <c r="G58">
        <v>75.650000000000006</v>
      </c>
      <c r="H58">
        <v>1</v>
      </c>
      <c r="I58">
        <v>0.66666666666666663</v>
      </c>
      <c r="J58">
        <v>0.91726618705035956</v>
      </c>
      <c r="K58">
        <v>0.91124652918657778</v>
      </c>
      <c r="L58">
        <v>1</v>
      </c>
      <c r="M58">
        <v>0.66666666666666663</v>
      </c>
      <c r="N58">
        <v>0</v>
      </c>
      <c r="O58">
        <v>0.16666666666666666</v>
      </c>
      <c r="P58">
        <v>28.038011060881878</v>
      </c>
      <c r="Q58">
        <v>0.58562766551575629</v>
      </c>
      <c r="R58">
        <v>0.75582126250733683</v>
      </c>
      <c r="S58">
        <v>0.90123015767854775</v>
      </c>
      <c r="T58">
        <v>0.14382170349238718</v>
      </c>
      <c r="U58">
        <v>0.59246217039883398</v>
      </c>
      <c r="V58">
        <v>29.166133461845725</v>
      </c>
      <c r="W58">
        <v>0.55208976020459843</v>
      </c>
      <c r="X58">
        <v>0.69246990532158637</v>
      </c>
      <c r="Y58">
        <v>0.78654007686425076</v>
      </c>
      <c r="Z58">
        <v>0.11730632297706116</v>
      </c>
      <c r="AA58">
        <v>1.130382181937327</v>
      </c>
    </row>
    <row r="59" spans="1:27" x14ac:dyDescent="0.2">
      <c r="A59" s="7" t="s">
        <v>2188</v>
      </c>
      <c r="B59" t="s">
        <v>277</v>
      </c>
      <c r="C59">
        <v>2020</v>
      </c>
      <c r="D59">
        <v>22.240000000000002</v>
      </c>
      <c r="E59">
        <v>1</v>
      </c>
      <c r="F59">
        <v>22.240000000000002</v>
      </c>
      <c r="G59">
        <v>52.458333333333336</v>
      </c>
      <c r="H59">
        <v>1</v>
      </c>
      <c r="I59">
        <v>0.83333333333333337</v>
      </c>
      <c r="J59">
        <v>-0.65503334884442377</v>
      </c>
      <c r="K59">
        <v>-0.21901614750860834</v>
      </c>
      <c r="L59">
        <v>0</v>
      </c>
      <c r="M59">
        <v>0.33333333333333331</v>
      </c>
      <c r="N59">
        <v>1</v>
      </c>
      <c r="O59">
        <v>0.5</v>
      </c>
      <c r="P59">
        <v>27.864860066997796</v>
      </c>
      <c r="Q59">
        <v>0.65422049783092362</v>
      </c>
      <c r="R59">
        <v>-0.22698692260827036</v>
      </c>
      <c r="S59">
        <v>0.88942988732428241</v>
      </c>
      <c r="T59">
        <v>8.1990184166773242E-2</v>
      </c>
      <c r="U59">
        <v>0.51930759148137906</v>
      </c>
      <c r="V59">
        <v>29.110250923860054</v>
      </c>
      <c r="W59">
        <v>0.54301440668170275</v>
      </c>
      <c r="X59">
        <v>-0.26177865285384422</v>
      </c>
      <c r="Y59">
        <v>0.75441409625092637</v>
      </c>
      <c r="Z59">
        <v>1.9668495857973766E-2</v>
      </c>
      <c r="AA59">
        <v>1.3064460127962516</v>
      </c>
    </row>
    <row r="60" spans="1:27" x14ac:dyDescent="0.2">
      <c r="A60" s="7" t="s">
        <v>2188</v>
      </c>
      <c r="B60" t="s">
        <v>281</v>
      </c>
      <c r="C60">
        <v>2019</v>
      </c>
      <c r="D60">
        <v>64.47</v>
      </c>
      <c r="E60">
        <v>1</v>
      </c>
      <c r="F60">
        <v>64.47</v>
      </c>
      <c r="G60">
        <v>103.93833333333333</v>
      </c>
      <c r="H60">
        <v>1</v>
      </c>
      <c r="I60">
        <v>0.83333333333333337</v>
      </c>
      <c r="J60">
        <v>-0.24072547403132727</v>
      </c>
      <c r="K60">
        <v>0.26926361878237276</v>
      </c>
      <c r="L60">
        <v>0</v>
      </c>
      <c r="M60">
        <v>0.5</v>
      </c>
      <c r="N60">
        <v>1</v>
      </c>
      <c r="O60">
        <v>0.16666666666666666</v>
      </c>
      <c r="P60">
        <v>27.845034312117587</v>
      </c>
      <c r="Q60">
        <v>0.62062877077179068</v>
      </c>
      <c r="R60">
        <v>2.390026072612339E-2</v>
      </c>
      <c r="S60">
        <v>0.87566511108451994</v>
      </c>
      <c r="T60">
        <v>0.15805226959659038</v>
      </c>
      <c r="U60">
        <v>0.64684163641923609</v>
      </c>
      <c r="V60">
        <v>29.05082824789606</v>
      </c>
      <c r="W60">
        <v>0.52434535303282337</v>
      </c>
      <c r="X60">
        <v>9.9430715901068414E-3</v>
      </c>
      <c r="Y60">
        <v>0.831622614966531</v>
      </c>
      <c r="Z60">
        <v>0.14677280427049796</v>
      </c>
      <c r="AA60">
        <v>0.92652429937004843</v>
      </c>
    </row>
    <row r="61" spans="1:27" x14ac:dyDescent="0.2">
      <c r="A61" s="7" t="s">
        <v>2188</v>
      </c>
      <c r="B61" t="s">
        <v>285</v>
      </c>
      <c r="C61">
        <v>2018</v>
      </c>
      <c r="D61">
        <v>84.91</v>
      </c>
      <c r="E61">
        <v>1</v>
      </c>
      <c r="F61">
        <v>84.91</v>
      </c>
      <c r="G61">
        <v>53.205000000000005</v>
      </c>
      <c r="H61">
        <v>1</v>
      </c>
      <c r="I61">
        <v>0.83333333333333337</v>
      </c>
      <c r="J61">
        <v>1.125938908362544</v>
      </c>
      <c r="K61">
        <v>0.57403052544470146</v>
      </c>
      <c r="L61">
        <v>1</v>
      </c>
      <c r="M61">
        <v>0.66666666666666663</v>
      </c>
      <c r="N61">
        <v>0</v>
      </c>
      <c r="O61">
        <v>0</v>
      </c>
      <c r="P61">
        <v>27.814415430445457</v>
      </c>
      <c r="Q61">
        <v>0.58430784291527094</v>
      </c>
      <c r="R61">
        <v>0.33674222905371587</v>
      </c>
      <c r="S61">
        <v>0.87992368505408858</v>
      </c>
      <c r="T61">
        <v>0.18325824193435214</v>
      </c>
      <c r="U61">
        <v>0.54649508677477954</v>
      </c>
      <c r="V61">
        <v>28.933841882514837</v>
      </c>
      <c r="W61">
        <v>0.52178329811044732</v>
      </c>
      <c r="X61">
        <v>0.35106973145402659</v>
      </c>
      <c r="Y61">
        <v>0.76792883272014489</v>
      </c>
      <c r="Z61">
        <v>0.10797515119041561</v>
      </c>
      <c r="AA61">
        <v>0.91861506772543333</v>
      </c>
    </row>
    <row r="62" spans="1:27" x14ac:dyDescent="0.2">
      <c r="A62" s="7" t="s">
        <v>2188</v>
      </c>
      <c r="B62" t="s">
        <v>289</v>
      </c>
      <c r="C62">
        <v>2017</v>
      </c>
      <c r="D62">
        <v>39.94</v>
      </c>
      <c r="E62">
        <v>1</v>
      </c>
      <c r="F62">
        <v>39.94</v>
      </c>
      <c r="G62">
        <v>41.519999999999996</v>
      </c>
      <c r="H62">
        <v>1</v>
      </c>
      <c r="I62">
        <v>0.83333333333333337</v>
      </c>
      <c r="J62">
        <v>0.75098640946953088</v>
      </c>
      <c r="K62">
        <v>0.16899089424112881</v>
      </c>
      <c r="L62">
        <v>1</v>
      </c>
      <c r="M62">
        <v>0.66666666666666663</v>
      </c>
      <c r="N62">
        <v>0</v>
      </c>
      <c r="O62">
        <v>0</v>
      </c>
      <c r="P62">
        <v>27.733084803014385</v>
      </c>
      <c r="Q62">
        <v>0.58825016659834173</v>
      </c>
      <c r="R62">
        <v>0.17415496951529574</v>
      </c>
      <c r="S62">
        <v>0.86855268119138085</v>
      </c>
      <c r="T62">
        <v>0.11252418767776041</v>
      </c>
      <c r="U62">
        <v>0.54085058485187043</v>
      </c>
      <c r="V62">
        <v>28.807208531812108</v>
      </c>
      <c r="W62">
        <v>0.54085158010863843</v>
      </c>
      <c r="X62">
        <v>0.14652094926480563</v>
      </c>
      <c r="Y62">
        <v>0.74811395536220171</v>
      </c>
      <c r="Z62">
        <v>6.6339908925481514E-2</v>
      </c>
      <c r="AA62">
        <v>0.9709034009114782</v>
      </c>
    </row>
    <row r="63" spans="1:27" x14ac:dyDescent="0.2">
      <c r="A63" s="7" t="s">
        <v>2188</v>
      </c>
      <c r="B63" t="s">
        <v>293</v>
      </c>
      <c r="C63">
        <v>2016</v>
      </c>
      <c r="D63">
        <v>22.81</v>
      </c>
      <c r="E63">
        <v>1</v>
      </c>
      <c r="F63">
        <v>22.81</v>
      </c>
      <c r="G63">
        <v>37.25333333333333</v>
      </c>
      <c r="H63">
        <v>1</v>
      </c>
      <c r="I63">
        <v>0.83333333333333337</v>
      </c>
      <c r="J63">
        <v>1.0812043795620436</v>
      </c>
      <c r="K63">
        <v>-5.6787979676543442E-2</v>
      </c>
      <c r="L63">
        <v>1</v>
      </c>
      <c r="M63">
        <v>0.5</v>
      </c>
      <c r="N63">
        <v>0</v>
      </c>
      <c r="O63">
        <v>0.16666666666666666</v>
      </c>
      <c r="P63">
        <v>27.721407374925267</v>
      </c>
      <c r="Q63">
        <v>0.53317705054919751</v>
      </c>
      <c r="R63">
        <v>4.9600877129499565E-2</v>
      </c>
      <c r="S63">
        <v>0.86820923566519581</v>
      </c>
      <c r="T63">
        <v>0.11211183929756065</v>
      </c>
      <c r="U63">
        <v>0.54406943676435737</v>
      </c>
      <c r="V63">
        <v>28.736258614600171</v>
      </c>
      <c r="W63">
        <v>0.53421865740720553</v>
      </c>
      <c r="X63">
        <v>3.3474182662141415E-3</v>
      </c>
      <c r="Y63">
        <v>0.70053748453256459</v>
      </c>
      <c r="Z63">
        <v>9.3959853222945436E-2</v>
      </c>
      <c r="AA63">
        <v>1.0119368250414917</v>
      </c>
    </row>
    <row r="64" spans="1:27" x14ac:dyDescent="0.2">
      <c r="A64" s="7" t="s">
        <v>2188</v>
      </c>
      <c r="B64" t="s">
        <v>297</v>
      </c>
      <c r="C64">
        <v>2015</v>
      </c>
      <c r="D64">
        <v>10.96</v>
      </c>
      <c r="E64">
        <v>1</v>
      </c>
      <c r="F64">
        <v>10.96</v>
      </c>
      <c r="G64">
        <v>35.123333333333328</v>
      </c>
      <c r="H64">
        <v>1</v>
      </c>
      <c r="I64">
        <v>0.83333333333333337</v>
      </c>
      <c r="J64">
        <v>3.5916824196597426E-2</v>
      </c>
      <c r="K64">
        <v>0.1516870005673471</v>
      </c>
      <c r="L64">
        <v>1</v>
      </c>
      <c r="M64">
        <v>0.66666666666666663</v>
      </c>
      <c r="N64">
        <v>0</v>
      </c>
      <c r="O64">
        <v>0.16666666666666666</v>
      </c>
      <c r="P64">
        <v>27.406239974495261</v>
      </c>
      <c r="Q64">
        <v>0.69836520005859593</v>
      </c>
      <c r="R64">
        <v>0.16028213955831716</v>
      </c>
      <c r="S64">
        <v>0.81017945497507826</v>
      </c>
      <c r="T64">
        <v>0.13811735901411898</v>
      </c>
      <c r="U64">
        <v>0.2144473267260491</v>
      </c>
      <c r="V64">
        <v>28.640081890863222</v>
      </c>
      <c r="W64">
        <v>0.56090840126291241</v>
      </c>
      <c r="X64">
        <v>9.5049112336932251E-2</v>
      </c>
      <c r="Y64">
        <v>0.9593722421346802</v>
      </c>
      <c r="Z64">
        <v>6.1294933086676898E-2</v>
      </c>
      <c r="AA64">
        <v>-1.1975339668477871</v>
      </c>
    </row>
    <row r="65" spans="1:27" x14ac:dyDescent="0.2">
      <c r="A65" s="7" t="s">
        <v>2190</v>
      </c>
      <c r="B65" t="s">
        <v>320</v>
      </c>
      <c r="C65">
        <v>2024</v>
      </c>
      <c r="D65">
        <v>0</v>
      </c>
      <c r="E65">
        <v>2</v>
      </c>
      <c r="F65">
        <v>0</v>
      </c>
      <c r="G65">
        <v>6.3399999999999998E-2</v>
      </c>
      <c r="H65">
        <v>0</v>
      </c>
      <c r="I65">
        <v>0.58333333333333337</v>
      </c>
      <c r="J65">
        <v>0</v>
      </c>
      <c r="K65">
        <v>8.6160653443004165E-2</v>
      </c>
      <c r="L65">
        <v>0</v>
      </c>
      <c r="M65">
        <v>0.58333333333333337</v>
      </c>
      <c r="N65">
        <v>0</v>
      </c>
      <c r="O65">
        <v>8.3333333333333329E-2</v>
      </c>
      <c r="P65">
        <v>25.02382142769336</v>
      </c>
      <c r="Q65">
        <v>0.7550847325234763</v>
      </c>
      <c r="R65">
        <v>0.12729554334767457</v>
      </c>
      <c r="S65">
        <v>-0.23546221013386082</v>
      </c>
      <c r="T65">
        <v>6.4561338548831129E-2</v>
      </c>
      <c r="U65">
        <v>1.1667595037542531</v>
      </c>
      <c r="V65">
        <v>26.697931357987038</v>
      </c>
      <c r="W65">
        <v>0.681629947703143</v>
      </c>
      <c r="X65">
        <v>9.6229963205441915E-2</v>
      </c>
      <c r="Y65">
        <v>0.65174256569470645</v>
      </c>
      <c r="Z65">
        <v>5.6514752505388587E-2</v>
      </c>
      <c r="AA65">
        <v>0.90591746044327315</v>
      </c>
    </row>
    <row r="66" spans="1:27" x14ac:dyDescent="0.2">
      <c r="A66" s="7" t="s">
        <v>2190</v>
      </c>
      <c r="B66" t="s">
        <v>324</v>
      </c>
      <c r="C66">
        <v>2023</v>
      </c>
      <c r="D66">
        <v>0</v>
      </c>
      <c r="E66">
        <v>2</v>
      </c>
      <c r="F66">
        <v>0</v>
      </c>
      <c r="G66">
        <v>6.6299999999999998E-2</v>
      </c>
      <c r="H66">
        <v>0</v>
      </c>
      <c r="I66">
        <v>0.58333333333333337</v>
      </c>
      <c r="J66">
        <v>0</v>
      </c>
      <c r="K66">
        <v>0.11703324263565433</v>
      </c>
      <c r="L66">
        <v>0</v>
      </c>
      <c r="M66">
        <v>0.5</v>
      </c>
      <c r="N66">
        <v>0</v>
      </c>
      <c r="O66">
        <v>0.25</v>
      </c>
      <c r="P66">
        <v>24.92762334049084</v>
      </c>
      <c r="Q66">
        <v>0.78663655528402343</v>
      </c>
      <c r="R66">
        <v>0.20470361752535471</v>
      </c>
      <c r="S66">
        <v>-0.42691677593303251</v>
      </c>
      <c r="T66">
        <v>6.9890547087433169E-2</v>
      </c>
      <c r="U66">
        <v>1.2728518618198066</v>
      </c>
      <c r="V66">
        <v>26.577869359852812</v>
      </c>
      <c r="W66">
        <v>0.70032483502415999</v>
      </c>
      <c r="X66">
        <v>0.13261188915987768</v>
      </c>
      <c r="Y66">
        <v>0.64808270021735737</v>
      </c>
      <c r="Z66">
        <v>7.648585689957757E-2</v>
      </c>
      <c r="AA66">
        <v>0.77403121652156315</v>
      </c>
    </row>
    <row r="67" spans="1:27" x14ac:dyDescent="0.2">
      <c r="A67" s="7" t="s">
        <v>2190</v>
      </c>
      <c r="B67" t="s">
        <v>328</v>
      </c>
      <c r="C67">
        <v>2022</v>
      </c>
      <c r="D67">
        <v>0</v>
      </c>
      <c r="E67">
        <v>2</v>
      </c>
      <c r="F67">
        <v>0</v>
      </c>
      <c r="G67">
        <v>6.4731666666666673E-2</v>
      </c>
      <c r="H67">
        <v>0</v>
      </c>
      <c r="I67">
        <v>0.66666666666666663</v>
      </c>
      <c r="J67">
        <v>0</v>
      </c>
      <c r="K67">
        <v>-0.16164186159374039</v>
      </c>
      <c r="L67">
        <v>0</v>
      </c>
      <c r="M67">
        <v>0.33333333333333331</v>
      </c>
      <c r="N67">
        <v>0</v>
      </c>
      <c r="O67">
        <v>0.5</v>
      </c>
      <c r="P67">
        <v>24.903097949056466</v>
      </c>
      <c r="Q67">
        <v>0.71322427644270792</v>
      </c>
      <c r="R67">
        <v>4.6271007492250993E-2</v>
      </c>
      <c r="S67">
        <v>-0.6929649007989892</v>
      </c>
      <c r="T67">
        <v>-0.25776320778102352</v>
      </c>
      <c r="U67">
        <v>1.6319610423140616</v>
      </c>
      <c r="V67">
        <v>26.467969552892978</v>
      </c>
      <c r="W67">
        <v>0.70756185394190596</v>
      </c>
      <c r="X67">
        <v>7.6751964029055111E-2</v>
      </c>
      <c r="Y67">
        <v>0.64917227469347305</v>
      </c>
      <c r="Z67">
        <v>5.125712485816989E-2</v>
      </c>
      <c r="AA67">
        <v>0.8289262473536142</v>
      </c>
    </row>
    <row r="68" spans="1:27" x14ac:dyDescent="0.2">
      <c r="A68" s="7" t="s">
        <v>2190</v>
      </c>
      <c r="B68" t="s">
        <v>332</v>
      </c>
      <c r="C68">
        <v>2021</v>
      </c>
      <c r="D68">
        <v>0</v>
      </c>
      <c r="E68">
        <v>2</v>
      </c>
      <c r="F68">
        <v>0</v>
      </c>
      <c r="G68">
        <v>8.178524999999999E-2</v>
      </c>
      <c r="H68">
        <v>0</v>
      </c>
      <c r="I68">
        <v>0.83333333333333337</v>
      </c>
      <c r="J68">
        <v>0</v>
      </c>
      <c r="K68">
        <v>0.16387618392405565</v>
      </c>
      <c r="L68">
        <v>0</v>
      </c>
      <c r="M68">
        <v>0.66666666666666663</v>
      </c>
      <c r="N68">
        <v>0</v>
      </c>
      <c r="O68">
        <v>0.25</v>
      </c>
      <c r="P68">
        <v>25.239826828295676</v>
      </c>
      <c r="Q68">
        <v>0.76243865064409688</v>
      </c>
      <c r="R68">
        <v>9.5649261923435036E-2</v>
      </c>
      <c r="S68">
        <v>2.3150476324480574E-2</v>
      </c>
      <c r="T68">
        <v>3.0664453994463534E-2</v>
      </c>
      <c r="U68">
        <v>1.1334211361766247</v>
      </c>
      <c r="V68">
        <v>25.995404596130534</v>
      </c>
      <c r="W68">
        <v>0.77071603374293363</v>
      </c>
      <c r="X68">
        <v>0.12983824430514754</v>
      </c>
      <c r="Y68">
        <v>0.54899274750875215</v>
      </c>
      <c r="Z68">
        <v>3.7011689540205277E-2</v>
      </c>
      <c r="AA68">
        <v>0.67295271890317832</v>
      </c>
    </row>
    <row r="69" spans="1:27" x14ac:dyDescent="0.2">
      <c r="A69" s="7" t="s">
        <v>2190</v>
      </c>
      <c r="B69" t="s">
        <v>336</v>
      </c>
      <c r="C69">
        <v>2020</v>
      </c>
      <c r="D69">
        <v>0</v>
      </c>
      <c r="E69">
        <v>2</v>
      </c>
      <c r="F69">
        <v>0</v>
      </c>
      <c r="G69">
        <v>6.9905916666666665E-2</v>
      </c>
      <c r="H69">
        <v>0</v>
      </c>
      <c r="I69">
        <v>0.83333333333333337</v>
      </c>
      <c r="J69">
        <v>-1</v>
      </c>
      <c r="K69">
        <v>-2.2906983693792141E-3</v>
      </c>
      <c r="L69">
        <v>0</v>
      </c>
      <c r="M69">
        <v>0.58333333333333337</v>
      </c>
      <c r="N69">
        <v>1</v>
      </c>
      <c r="O69">
        <v>0.41666666666666669</v>
      </c>
      <c r="P69">
        <v>25.063652056347621</v>
      </c>
      <c r="Q69">
        <v>0.69167542024711859</v>
      </c>
      <c r="R69">
        <v>-0.33110151109496833</v>
      </c>
      <c r="S69">
        <v>-4.2749356515657561E-2</v>
      </c>
      <c r="T69">
        <v>4.9391214983644384E-2</v>
      </c>
      <c r="U69">
        <v>0.8918677824118002</v>
      </c>
      <c r="V69">
        <v>26.265581106971336</v>
      </c>
      <c r="W69">
        <v>0.7494102705821698</v>
      </c>
      <c r="X69">
        <v>-4.1950154107860287E-2</v>
      </c>
      <c r="Y69">
        <v>0.52840523671364126</v>
      </c>
      <c r="Z69">
        <v>4.2090339105536195E-2</v>
      </c>
      <c r="AA69">
        <v>0.64020820540115519</v>
      </c>
    </row>
    <row r="70" spans="1:27" x14ac:dyDescent="0.2">
      <c r="A70" s="7" t="s">
        <v>2190</v>
      </c>
      <c r="B70" t="s">
        <v>340</v>
      </c>
      <c r="C70">
        <v>2019</v>
      </c>
      <c r="D70">
        <v>8.5000000000000006E-2</v>
      </c>
      <c r="E70">
        <v>2</v>
      </c>
      <c r="F70">
        <v>8.5000000000000006E-2</v>
      </c>
      <c r="G70">
        <v>6.4225333333333329E-2</v>
      </c>
      <c r="H70">
        <v>1</v>
      </c>
      <c r="I70">
        <v>1</v>
      </c>
      <c r="J70">
        <v>-0.39285714285714285</v>
      </c>
      <c r="K70">
        <v>0.2048308529080162</v>
      </c>
      <c r="L70">
        <v>0</v>
      </c>
      <c r="M70">
        <v>0.5</v>
      </c>
      <c r="N70">
        <v>1</v>
      </c>
      <c r="O70">
        <v>0.41666666666666669</v>
      </c>
      <c r="P70">
        <v>24.972427499745269</v>
      </c>
      <c r="Q70">
        <v>0.58668880238623777</v>
      </c>
      <c r="R70">
        <v>-0.10141449175174067</v>
      </c>
      <c r="S70">
        <v>-6.13346471069404E-2</v>
      </c>
      <c r="T70">
        <v>1.1638738079695477E-2</v>
      </c>
      <c r="U70">
        <v>0.83239778062389191</v>
      </c>
      <c r="V70">
        <v>26.23012234673833</v>
      </c>
      <c r="W70">
        <v>0.74952061241240975</v>
      </c>
      <c r="X70">
        <v>1.2222618040345717E-2</v>
      </c>
      <c r="Y70">
        <v>0.51863777498925445</v>
      </c>
      <c r="Z70">
        <v>5.532658950115165E-2</v>
      </c>
      <c r="AA70">
        <v>0.65149220172262645</v>
      </c>
    </row>
    <row r="71" spans="1:27" x14ac:dyDescent="0.2">
      <c r="A71" s="7" t="s">
        <v>2190</v>
      </c>
      <c r="B71" t="s">
        <v>343</v>
      </c>
      <c r="C71">
        <v>2018</v>
      </c>
      <c r="D71">
        <v>0.14000000000000001</v>
      </c>
      <c r="E71">
        <v>2</v>
      </c>
      <c r="F71">
        <v>0.14000000000000001</v>
      </c>
      <c r="G71">
        <v>6.8903749999999986E-2</v>
      </c>
      <c r="H71">
        <v>1</v>
      </c>
      <c r="I71">
        <v>1</v>
      </c>
      <c r="J71">
        <v>0</v>
      </c>
      <c r="K71">
        <v>0.19625836163091881</v>
      </c>
      <c r="L71">
        <v>0</v>
      </c>
      <c r="M71">
        <v>0.66666666666666663</v>
      </c>
      <c r="N71">
        <v>0</v>
      </c>
      <c r="O71">
        <v>0.25</v>
      </c>
      <c r="P71">
        <v>25.152437771837665</v>
      </c>
      <c r="Q71">
        <v>0.7510716451901992</v>
      </c>
      <c r="R71">
        <v>-1.5254998041396406E-2</v>
      </c>
      <c r="S71">
        <v>4.4630601999348825E-2</v>
      </c>
      <c r="T71">
        <v>9.3399836288925772E-2</v>
      </c>
      <c r="U71">
        <v>0.8838483050722955</v>
      </c>
      <c r="V71">
        <v>26.157555533535874</v>
      </c>
      <c r="W71">
        <v>0.75335985190247312</v>
      </c>
      <c r="X71">
        <v>5.5654398540226115E-2</v>
      </c>
      <c r="Y71">
        <v>0.4993913355499644</v>
      </c>
      <c r="Z71">
        <v>6.6329108159860956E-2</v>
      </c>
      <c r="AA71">
        <v>0.61097783469722489</v>
      </c>
    </row>
    <row r="72" spans="1:27" x14ac:dyDescent="0.2">
      <c r="A72" s="7" t="s">
        <v>2190</v>
      </c>
      <c r="B72" t="s">
        <v>345</v>
      </c>
      <c r="C72">
        <v>2017</v>
      </c>
      <c r="D72">
        <v>0.14000000000000001</v>
      </c>
      <c r="E72">
        <v>2</v>
      </c>
      <c r="F72">
        <v>0.14000000000000001</v>
      </c>
      <c r="G72">
        <v>6.0442166666666665E-2</v>
      </c>
      <c r="H72">
        <v>1</v>
      </c>
      <c r="I72">
        <v>1</v>
      </c>
      <c r="J72">
        <v>1.0527859237536661</v>
      </c>
      <c r="K72">
        <v>0.55401747729414474</v>
      </c>
      <c r="L72">
        <v>1</v>
      </c>
      <c r="M72">
        <v>0.75</v>
      </c>
      <c r="N72">
        <v>0</v>
      </c>
      <c r="O72">
        <v>0.25</v>
      </c>
      <c r="P72">
        <v>25.117599898576145</v>
      </c>
      <c r="Q72">
        <v>0.74369813276535357</v>
      </c>
      <c r="R72">
        <v>3.0307515450885392E-2</v>
      </c>
      <c r="S72">
        <v>-1.409860487931913E-2</v>
      </c>
      <c r="T72">
        <v>0.1079507836980199</v>
      </c>
      <c r="U72">
        <v>0.96056325767697881</v>
      </c>
      <c r="V72">
        <v>26.127846138291485</v>
      </c>
      <c r="W72">
        <v>0.76148414340283199</v>
      </c>
      <c r="X72">
        <v>4.7184963668004905E-2</v>
      </c>
      <c r="Y72">
        <v>0.45668530370257104</v>
      </c>
      <c r="Z72">
        <v>7.9371624497737395E-2</v>
      </c>
      <c r="AA72">
        <v>0.60386286369874764</v>
      </c>
    </row>
    <row r="73" spans="1:27" x14ac:dyDescent="0.2">
      <c r="A73" s="7" t="s">
        <v>2190</v>
      </c>
      <c r="B73" t="s">
        <v>347</v>
      </c>
      <c r="C73">
        <v>2016</v>
      </c>
      <c r="D73">
        <v>6.8199999999999997E-2</v>
      </c>
      <c r="E73">
        <v>2</v>
      </c>
      <c r="F73">
        <v>6.8199999999999997E-2</v>
      </c>
      <c r="G73">
        <v>5.1711833333333325E-2</v>
      </c>
      <c r="H73">
        <v>1</v>
      </c>
      <c r="I73">
        <v>1</v>
      </c>
      <c r="J73">
        <v>1</v>
      </c>
      <c r="K73">
        <v>1.3237367044724768</v>
      </c>
      <c r="L73">
        <v>1</v>
      </c>
      <c r="M73">
        <v>0.83333333333333337</v>
      </c>
      <c r="N73">
        <v>0</v>
      </c>
      <c r="O73">
        <v>0.16666666666666666</v>
      </c>
      <c r="P73">
        <v>25.071069708879101</v>
      </c>
      <c r="Q73">
        <v>0.7310682032791298</v>
      </c>
      <c r="R73">
        <v>1.7174621306279114E-2</v>
      </c>
      <c r="S73">
        <v>-0.18961351962027212</v>
      </c>
      <c r="T73">
        <v>5.3606244480413852E-2</v>
      </c>
      <c r="U73">
        <v>1.1914539401767081</v>
      </c>
      <c r="V73">
        <v>26.085916894295679</v>
      </c>
      <c r="W73">
        <v>0.71503169647972864</v>
      </c>
      <c r="X73">
        <v>0.12387411831585479</v>
      </c>
      <c r="Y73">
        <v>0.46330210881458472</v>
      </c>
      <c r="Z73">
        <v>3.9677726507472547E-2</v>
      </c>
      <c r="AA73">
        <v>0.68750288595097075</v>
      </c>
    </row>
    <row r="74" spans="1:27" x14ac:dyDescent="0.2">
      <c r="A74" s="7" t="s">
        <v>2190</v>
      </c>
      <c r="B74" t="s">
        <v>349</v>
      </c>
      <c r="C74">
        <v>2015</v>
      </c>
      <c r="D74">
        <v>0</v>
      </c>
      <c r="E74">
        <v>2</v>
      </c>
      <c r="F74">
        <v>0</v>
      </c>
      <c r="G74">
        <v>4.1440083333333336E-2</v>
      </c>
      <c r="H74">
        <v>0</v>
      </c>
      <c r="I74">
        <v>1</v>
      </c>
      <c r="J74">
        <v>-1</v>
      </c>
      <c r="K74">
        <v>4.2283097783256762</v>
      </c>
      <c r="L74">
        <v>0</v>
      </c>
      <c r="M74">
        <v>0.75</v>
      </c>
      <c r="N74">
        <v>1</v>
      </c>
      <c r="O74">
        <v>0.25</v>
      </c>
      <c r="P74">
        <v>25.181814319102784</v>
      </c>
      <c r="Q74">
        <v>0.60081698836695219</v>
      </c>
      <c r="R74">
        <v>-4.5870940040078967E-2</v>
      </c>
      <c r="S74">
        <v>-0.35157741033035783</v>
      </c>
      <c r="T74">
        <v>-0.42708155554479227</v>
      </c>
      <c r="U74">
        <v>1.7831535573789352</v>
      </c>
      <c r="V74">
        <v>26.003759586794569</v>
      </c>
      <c r="W74">
        <v>0.79723960251283477</v>
      </c>
      <c r="X74">
        <v>1.2598758753794756E-2</v>
      </c>
      <c r="Y74">
        <v>0.6089933798435968</v>
      </c>
      <c r="Z74">
        <v>3.3689348305915801E-2</v>
      </c>
      <c r="AA74">
        <v>0.8035522645950397</v>
      </c>
    </row>
    <row r="75" spans="1:27" x14ac:dyDescent="0.2">
      <c r="A75" s="7" t="s">
        <v>2190</v>
      </c>
      <c r="B75" t="s">
        <v>352</v>
      </c>
      <c r="C75">
        <v>2014</v>
      </c>
      <c r="D75">
        <v>8.0699999999999994E-2</v>
      </c>
      <c r="E75">
        <v>2</v>
      </c>
      <c r="F75">
        <v>8.0699999999999994E-2</v>
      </c>
      <c r="G75">
        <v>3.224291666666667E-2</v>
      </c>
      <c r="H75">
        <v>1</v>
      </c>
      <c r="I75">
        <v>1</v>
      </c>
      <c r="J75">
        <v>0.44364937388193193</v>
      </c>
      <c r="K75">
        <v>1.3641327005264776</v>
      </c>
      <c r="L75">
        <v>1</v>
      </c>
      <c r="M75">
        <v>0.58333333333333337</v>
      </c>
      <c r="N75">
        <v>0</v>
      </c>
      <c r="O75">
        <v>0.33333333333333331</v>
      </c>
      <c r="P75">
        <v>25.674625380756524</v>
      </c>
      <c r="Q75">
        <v>0.78265489177575409</v>
      </c>
      <c r="R75">
        <v>6.7160004565521181E-2</v>
      </c>
      <c r="S75">
        <v>0.48980797922819769</v>
      </c>
      <c r="T75">
        <v>4.0748209083108972E-2</v>
      </c>
      <c r="U75">
        <v>0.68863859779822789</v>
      </c>
      <c r="V75">
        <v>26.211135757907766</v>
      </c>
      <c r="W75">
        <v>0.77036634512551772</v>
      </c>
      <c r="X75">
        <v>1.7772605657772809E-2</v>
      </c>
      <c r="Y75">
        <v>0.62763083364790462</v>
      </c>
      <c r="Z75">
        <v>1.6157240418124039E-2</v>
      </c>
      <c r="AA75">
        <v>0.76029587851403335</v>
      </c>
    </row>
    <row r="76" spans="1:27" x14ac:dyDescent="0.2">
      <c r="A76" s="7" t="s">
        <v>2193</v>
      </c>
      <c r="B76" t="s">
        <v>363</v>
      </c>
      <c r="C76">
        <v>2024</v>
      </c>
      <c r="D76">
        <v>0</v>
      </c>
      <c r="E76">
        <v>2</v>
      </c>
      <c r="F76">
        <v>0</v>
      </c>
      <c r="G76">
        <v>6.3399999999999998E-2</v>
      </c>
      <c r="H76">
        <v>0</v>
      </c>
      <c r="I76">
        <v>0.58333333333333337</v>
      </c>
      <c r="J76">
        <v>0</v>
      </c>
      <c r="K76">
        <v>8.6160653443004165E-2</v>
      </c>
      <c r="L76">
        <v>0</v>
      </c>
      <c r="M76">
        <v>0.58333333333333337</v>
      </c>
      <c r="N76">
        <v>0</v>
      </c>
      <c r="O76">
        <v>8.3333333333333329E-2</v>
      </c>
      <c r="P76">
        <v>28.86816473500696</v>
      </c>
      <c r="Q76">
        <v>0.78615816495475455</v>
      </c>
      <c r="R76">
        <v>9.2099756360980223E-2</v>
      </c>
      <c r="S76">
        <v>0.21297275216059736</v>
      </c>
      <c r="T76">
        <v>-3.4695161134935509E-2</v>
      </c>
      <c r="U76">
        <v>0.99943424670093295</v>
      </c>
      <c r="V76">
        <v>26.270782101618863</v>
      </c>
      <c r="W76">
        <v>0.67817734409966757</v>
      </c>
      <c r="X76">
        <v>0.10014060620396352</v>
      </c>
      <c r="Y76">
        <v>0.60191645877310007</v>
      </c>
      <c r="Z76">
        <v>6.7543252470251558E-2</v>
      </c>
      <c r="AA76">
        <v>0.92450915567141989</v>
      </c>
    </row>
    <row r="77" spans="1:27" x14ac:dyDescent="0.2">
      <c r="A77" s="7" t="s">
        <v>2193</v>
      </c>
      <c r="B77" t="s">
        <v>365</v>
      </c>
      <c r="C77">
        <v>2023</v>
      </c>
      <c r="D77">
        <v>0</v>
      </c>
      <c r="E77">
        <v>2</v>
      </c>
      <c r="F77">
        <v>0</v>
      </c>
      <c r="G77">
        <v>6.6299999999999998E-2</v>
      </c>
      <c r="H77">
        <v>0</v>
      </c>
      <c r="I77">
        <v>0.58333333333333337</v>
      </c>
      <c r="J77">
        <v>0</v>
      </c>
      <c r="K77">
        <v>0.11703324263565433</v>
      </c>
      <c r="L77">
        <v>0</v>
      </c>
      <c r="M77">
        <v>0.5</v>
      </c>
      <c r="N77">
        <v>0</v>
      </c>
      <c r="O77">
        <v>0.25</v>
      </c>
      <c r="P77">
        <v>28.822152419995955</v>
      </c>
      <c r="Q77">
        <v>0.80572273871232603</v>
      </c>
      <c r="R77">
        <v>0.16687092367615231</v>
      </c>
      <c r="S77">
        <v>0.27900671520738524</v>
      </c>
      <c r="T77">
        <v>5.1912842186356362E-2</v>
      </c>
      <c r="U77">
        <v>0.77697152570634953</v>
      </c>
      <c r="V77">
        <v>26.145143906574464</v>
      </c>
      <c r="W77">
        <v>0.69820414797657071</v>
      </c>
      <c r="X77">
        <v>0.13681552180978906</v>
      </c>
      <c r="Y77">
        <v>0.5696467567573108</v>
      </c>
      <c r="Z77">
        <v>7.8483379666363887E-2</v>
      </c>
      <c r="AA77">
        <v>0.82912903164528062</v>
      </c>
    </row>
    <row r="78" spans="1:27" x14ac:dyDescent="0.2">
      <c r="A78" s="7" t="s">
        <v>2193</v>
      </c>
      <c r="B78" t="s">
        <v>371</v>
      </c>
      <c r="C78">
        <v>2020</v>
      </c>
      <c r="D78">
        <v>1.61E-2</v>
      </c>
      <c r="E78">
        <v>2</v>
      </c>
      <c r="F78">
        <v>1.61E-2</v>
      </c>
      <c r="G78">
        <v>6.8564249999999993E-2</v>
      </c>
      <c r="H78">
        <v>1</v>
      </c>
      <c r="I78">
        <v>0.75</v>
      </c>
      <c r="J78">
        <v>-0.12041083916083921</v>
      </c>
      <c r="K78">
        <v>-7.5589795105975952E-2</v>
      </c>
      <c r="L78">
        <v>0</v>
      </c>
      <c r="M78">
        <v>0.58333333333333337</v>
      </c>
      <c r="N78">
        <v>1</v>
      </c>
      <c r="O78">
        <v>0.41666666666666669</v>
      </c>
      <c r="P78">
        <v>27.923808633388241</v>
      </c>
      <c r="Q78">
        <v>0.79775220533698266</v>
      </c>
      <c r="R78">
        <v>-4.9304718141428117E-2</v>
      </c>
      <c r="S78">
        <v>0.28911887241242246</v>
      </c>
      <c r="T78">
        <v>4.5154930680452642E-2</v>
      </c>
      <c r="U78">
        <v>0.40922999917979863</v>
      </c>
      <c r="V78">
        <v>26.027234725551281</v>
      </c>
      <c r="W78">
        <v>0.74057053849134791</v>
      </c>
      <c r="X78">
        <v>-6.5433220187321964E-2</v>
      </c>
      <c r="Y78">
        <v>0.50074955096963469</v>
      </c>
      <c r="Z78">
        <v>4.2443362797468832E-2</v>
      </c>
      <c r="AA78">
        <v>0.68042802067048858</v>
      </c>
    </row>
    <row r="79" spans="1:27" x14ac:dyDescent="0.2">
      <c r="A79" s="7" t="s">
        <v>2193</v>
      </c>
      <c r="B79" t="s">
        <v>375</v>
      </c>
      <c r="C79">
        <v>2019</v>
      </c>
      <c r="D79">
        <v>1.8304000000000001E-2</v>
      </c>
      <c r="E79">
        <v>2</v>
      </c>
      <c r="F79">
        <v>1.8304000000000001E-2</v>
      </c>
      <c r="G79">
        <v>6.9783333333333322E-2</v>
      </c>
      <c r="H79">
        <v>1</v>
      </c>
      <c r="I79">
        <v>1</v>
      </c>
      <c r="J79">
        <v>0.14400000000000002</v>
      </c>
      <c r="K79">
        <v>0.16009275766992095</v>
      </c>
      <c r="L79">
        <v>1</v>
      </c>
      <c r="M79">
        <v>0.41666666666666669</v>
      </c>
      <c r="N79">
        <v>0</v>
      </c>
      <c r="O79">
        <v>0.5</v>
      </c>
      <c r="P79">
        <v>27.885927640455453</v>
      </c>
      <c r="Q79">
        <v>0.79428693655398064</v>
      </c>
      <c r="R79">
        <v>-1.7198272298103334E-2</v>
      </c>
      <c r="S79">
        <v>0.25234202425414509</v>
      </c>
      <c r="T79">
        <v>6.9327510029475278E-2</v>
      </c>
      <c r="U79">
        <v>0.4308759081997463</v>
      </c>
      <c r="V79">
        <v>25.987330668345816</v>
      </c>
      <c r="W79">
        <v>0.73222076789843127</v>
      </c>
      <c r="X79">
        <v>5.2045997525426062E-3</v>
      </c>
      <c r="Y79">
        <v>0.49249805237583061</v>
      </c>
      <c r="Z79">
        <v>5.0519191838669993E-2</v>
      </c>
      <c r="AA79">
        <v>0.68495235775797181</v>
      </c>
    </row>
    <row r="80" spans="1:27" x14ac:dyDescent="0.2">
      <c r="A80" s="7" t="s">
        <v>2193</v>
      </c>
      <c r="B80" t="s">
        <v>379</v>
      </c>
      <c r="C80">
        <v>2018</v>
      </c>
      <c r="D80">
        <v>1.6E-2</v>
      </c>
      <c r="E80">
        <v>2</v>
      </c>
      <c r="F80">
        <v>1.6E-2</v>
      </c>
      <c r="G80">
        <v>7.9237083333333333E-2</v>
      </c>
      <c r="H80">
        <v>1</v>
      </c>
      <c r="I80">
        <v>1</v>
      </c>
      <c r="J80">
        <v>5.2777079668258819E-3</v>
      </c>
      <c r="K80">
        <v>0.19581855263368331</v>
      </c>
      <c r="L80">
        <v>1</v>
      </c>
      <c r="M80">
        <v>0.58333333333333337</v>
      </c>
      <c r="N80">
        <v>0</v>
      </c>
      <c r="O80">
        <v>0.25</v>
      </c>
      <c r="P80">
        <v>27.820849426411897</v>
      </c>
      <c r="Q80">
        <v>0.77522286239849403</v>
      </c>
      <c r="R80">
        <v>4.8693979007869981E-2</v>
      </c>
      <c r="S80">
        <v>0.20341602694116273</v>
      </c>
      <c r="T80">
        <v>7.7601471373043296E-2</v>
      </c>
      <c r="U80">
        <v>0.44077305693060459</v>
      </c>
      <c r="V80">
        <v>25.935187895654689</v>
      </c>
      <c r="W80">
        <v>0.75134725046844852</v>
      </c>
      <c r="X80">
        <v>5.032531711945392E-2</v>
      </c>
      <c r="Y80">
        <v>0.48615921680481328</v>
      </c>
      <c r="Z80">
        <v>6.7645638569517844E-2</v>
      </c>
      <c r="AA80">
        <v>0.64790077204236574</v>
      </c>
    </row>
    <row r="81" spans="1:27" x14ac:dyDescent="0.2">
      <c r="A81" s="7" t="s">
        <v>2193</v>
      </c>
      <c r="B81" t="s">
        <v>383</v>
      </c>
      <c r="C81">
        <v>2017</v>
      </c>
      <c r="D81">
        <v>1.5916E-2</v>
      </c>
      <c r="E81">
        <v>2</v>
      </c>
      <c r="F81">
        <v>1.5916E-2</v>
      </c>
      <c r="G81">
        <v>7.0782499999999984E-2</v>
      </c>
      <c r="H81">
        <v>1</v>
      </c>
      <c r="I81">
        <v>1</v>
      </c>
      <c r="J81">
        <v>0.11300699300699296</v>
      </c>
      <c r="K81">
        <v>0.63233238818970083</v>
      </c>
      <c r="L81">
        <v>1</v>
      </c>
      <c r="M81">
        <v>0.75</v>
      </c>
      <c r="N81">
        <v>0</v>
      </c>
      <c r="O81">
        <v>0.25</v>
      </c>
      <c r="P81">
        <v>27.799771837412212</v>
      </c>
      <c r="Q81">
        <v>0.78932021202458136</v>
      </c>
      <c r="R81">
        <v>-5.2491559175752989E-2</v>
      </c>
      <c r="S81">
        <v>-0.17975025194320551</v>
      </c>
      <c r="T81">
        <v>6.3701946789364888E-2</v>
      </c>
      <c r="U81">
        <v>0.47651814489977151</v>
      </c>
      <c r="V81">
        <v>25.904331810055144</v>
      </c>
      <c r="W81">
        <v>0.75768230346456289</v>
      </c>
      <c r="X81">
        <v>5.4084886553558108E-2</v>
      </c>
      <c r="Y81">
        <v>0.47048960762456155</v>
      </c>
      <c r="Z81">
        <v>8.3059027573458663E-2</v>
      </c>
      <c r="AA81">
        <v>0.64419995643018158</v>
      </c>
    </row>
    <row r="82" spans="1:27" x14ac:dyDescent="0.2">
      <c r="A82" s="7" t="s">
        <v>2196</v>
      </c>
      <c r="B82" t="s">
        <v>402</v>
      </c>
      <c r="C82">
        <v>2025</v>
      </c>
      <c r="D82">
        <v>0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-0.58333333333333337</v>
      </c>
      <c r="L82">
        <v>0</v>
      </c>
      <c r="M82">
        <v>0</v>
      </c>
      <c r="N82">
        <v>0</v>
      </c>
      <c r="O82">
        <v>0.58333333333333337</v>
      </c>
      <c r="P82">
        <v>28.194093209665876</v>
      </c>
      <c r="Q82">
        <v>0.78176018003950898</v>
      </c>
      <c r="R82">
        <v>0.14479568553526367</v>
      </c>
      <c r="S82">
        <v>0.30463634515977278</v>
      </c>
      <c r="T82">
        <v>7.5494483775499388E-2</v>
      </c>
      <c r="U82">
        <v>1.4958448989685798</v>
      </c>
      <c r="V82">
        <v>26.349322203397424</v>
      </c>
      <c r="W82">
        <v>0.66271670198691091</v>
      </c>
      <c r="X82">
        <v>0.18117345367621293</v>
      </c>
      <c r="Y82">
        <v>0.83139860997459003</v>
      </c>
      <c r="Z82">
        <v>0.10699890786923465</v>
      </c>
      <c r="AA82">
        <v>0.80270949195299346</v>
      </c>
    </row>
    <row r="83" spans="1:27" x14ac:dyDescent="0.2">
      <c r="A83" s="7" t="s">
        <v>2196</v>
      </c>
      <c r="B83" t="s">
        <v>406</v>
      </c>
      <c r="C83">
        <v>2024</v>
      </c>
      <c r="D83">
        <v>0</v>
      </c>
      <c r="E83">
        <v>2</v>
      </c>
      <c r="F83">
        <v>0</v>
      </c>
      <c r="G83">
        <v>6.3399999999999998E-2</v>
      </c>
      <c r="H83">
        <v>0</v>
      </c>
      <c r="I83">
        <v>0.58333333333333337</v>
      </c>
      <c r="J83">
        <v>0</v>
      </c>
      <c r="K83">
        <v>8.6160653443004165E-2</v>
      </c>
      <c r="L83">
        <v>0</v>
      </c>
      <c r="M83">
        <v>0.58333333333333337</v>
      </c>
      <c r="N83">
        <v>0</v>
      </c>
      <c r="O83">
        <v>8.3333333333333329E-2</v>
      </c>
      <c r="P83">
        <v>27.942711664563724</v>
      </c>
      <c r="Q83">
        <v>0.74829908063953987</v>
      </c>
      <c r="R83">
        <v>0.1361720472248078</v>
      </c>
      <c r="S83">
        <v>0.16907624072276969</v>
      </c>
      <c r="T83">
        <v>-4.8347782782001393E-2</v>
      </c>
      <c r="U83">
        <v>1.3333720596476362</v>
      </c>
      <c r="V83">
        <v>26.373610220556998</v>
      </c>
      <c r="W83">
        <v>0.68238390902358026</v>
      </c>
      <c r="X83">
        <v>9.5243684996871567E-2</v>
      </c>
      <c r="Y83">
        <v>0.6067938489328587</v>
      </c>
      <c r="Z83">
        <v>6.9060210431036648E-2</v>
      </c>
      <c r="AA83">
        <v>0.88740495423289734</v>
      </c>
    </row>
    <row r="84" spans="1:27" x14ac:dyDescent="0.2">
      <c r="A84" s="7" t="s">
        <v>2196</v>
      </c>
      <c r="B84" t="s">
        <v>410</v>
      </c>
      <c r="C84">
        <v>2023</v>
      </c>
      <c r="D84">
        <v>0</v>
      </c>
      <c r="E84">
        <v>2</v>
      </c>
      <c r="F84">
        <v>0</v>
      </c>
      <c r="G84">
        <v>6.6299999999999998E-2</v>
      </c>
      <c r="H84">
        <v>0</v>
      </c>
      <c r="I84">
        <v>0.58333333333333337</v>
      </c>
      <c r="J84">
        <v>-1</v>
      </c>
      <c r="K84">
        <v>0.20036657596898766</v>
      </c>
      <c r="L84">
        <v>0</v>
      </c>
      <c r="M84">
        <v>0.5</v>
      </c>
      <c r="N84">
        <v>1</v>
      </c>
      <c r="O84">
        <v>0.16666666666666666</v>
      </c>
      <c r="P84">
        <v>27.783186683867189</v>
      </c>
      <c r="Q84">
        <v>0.79098778463232366</v>
      </c>
      <c r="R84">
        <v>0.21924560037079699</v>
      </c>
      <c r="S84">
        <v>0.23403615578232137</v>
      </c>
      <c r="T84">
        <v>2.9756881348328563E-2</v>
      </c>
      <c r="U84">
        <v>0.8046164957657066</v>
      </c>
      <c r="V84">
        <v>26.260584543922107</v>
      </c>
      <c r="W84">
        <v>0.69984136509657113</v>
      </c>
      <c r="X84">
        <v>0.13099611328816188</v>
      </c>
      <c r="Y84">
        <v>0.57464348558231793</v>
      </c>
      <c r="Z84">
        <v>8.0945153092811417E-2</v>
      </c>
      <c r="AA84">
        <v>0.82605736830535204</v>
      </c>
    </row>
    <row r="85" spans="1:27" x14ac:dyDescent="0.2">
      <c r="A85" s="7" t="s">
        <v>2196</v>
      </c>
      <c r="B85" t="s">
        <v>414</v>
      </c>
      <c r="C85">
        <v>2022</v>
      </c>
      <c r="D85">
        <v>5.0299999999999997E-2</v>
      </c>
      <c r="E85">
        <v>2</v>
      </c>
      <c r="F85">
        <v>5.0299999999999997E-2</v>
      </c>
      <c r="G85">
        <v>6.0540000000000004E-2</v>
      </c>
      <c r="H85">
        <v>1</v>
      </c>
      <c r="I85">
        <v>0.58333333333333337</v>
      </c>
      <c r="J85">
        <v>-5.0943396226415118E-2</v>
      </c>
      <c r="K85">
        <v>-0.15739657857487246</v>
      </c>
      <c r="L85">
        <v>0</v>
      </c>
      <c r="M85">
        <v>0.33333333333333331</v>
      </c>
      <c r="N85">
        <v>1</v>
      </c>
      <c r="O85">
        <v>0.41666666666666669</v>
      </c>
      <c r="P85">
        <v>27.62439923961966</v>
      </c>
      <c r="Q85">
        <v>0.77685625125830482</v>
      </c>
      <c r="R85">
        <v>3.0847246406080275E-2</v>
      </c>
      <c r="S85">
        <v>0.22169310574095791</v>
      </c>
      <c r="T85">
        <v>2.0089537483230564E-2</v>
      </c>
      <c r="U85">
        <v>0.57634748830116589</v>
      </c>
      <c r="V85">
        <v>26.165602742830401</v>
      </c>
      <c r="W85">
        <v>0.70049163451795082</v>
      </c>
      <c r="X85">
        <v>7.8955358469936635E-2</v>
      </c>
      <c r="Y85">
        <v>0.54754360730014551</v>
      </c>
      <c r="Z85">
        <v>1.1563875534705016E-2</v>
      </c>
      <c r="AA85">
        <v>0.94621664224393576</v>
      </c>
    </row>
    <row r="86" spans="1:27" x14ac:dyDescent="0.2">
      <c r="A86" s="7" t="s">
        <v>2196</v>
      </c>
      <c r="B86" t="s">
        <v>418</v>
      </c>
      <c r="C86">
        <v>2021</v>
      </c>
      <c r="D86">
        <v>5.2999999999999999E-2</v>
      </c>
      <c r="E86">
        <v>2</v>
      </c>
      <c r="F86">
        <v>5.2999999999999999E-2</v>
      </c>
      <c r="G86">
        <v>7.7368583333333338E-2</v>
      </c>
      <c r="H86">
        <v>1</v>
      </c>
      <c r="I86">
        <v>0.75</v>
      </c>
      <c r="J86">
        <v>0</v>
      </c>
      <c r="K86">
        <v>0.16387618392405565</v>
      </c>
      <c r="L86">
        <v>0</v>
      </c>
      <c r="M86">
        <v>0.66666666666666663</v>
      </c>
      <c r="N86">
        <v>0</v>
      </c>
      <c r="O86">
        <v>0.25</v>
      </c>
      <c r="P86">
        <v>27.55897394194778</v>
      </c>
      <c r="Q86">
        <v>0.75461989259387829</v>
      </c>
      <c r="R86">
        <v>6.0567592628870681E-2</v>
      </c>
      <c r="S86">
        <v>0.23162358803406038</v>
      </c>
      <c r="T86">
        <v>4.4942596135052082E-2</v>
      </c>
      <c r="U86">
        <v>0.47848186947547722</v>
      </c>
      <c r="V86">
        <v>25.763489884765324</v>
      </c>
      <c r="W86">
        <v>0.7714979095479555</v>
      </c>
      <c r="X86">
        <v>0.13334641123460397</v>
      </c>
      <c r="Y86">
        <v>0.52814543633779409</v>
      </c>
      <c r="Z86">
        <v>3.5583875326146423E-2</v>
      </c>
      <c r="AA86">
        <v>0.73844664557329298</v>
      </c>
    </row>
    <row r="87" spans="1:27" x14ac:dyDescent="0.2">
      <c r="A87" s="7" t="s">
        <v>2196</v>
      </c>
      <c r="B87" t="s">
        <v>422</v>
      </c>
      <c r="C87">
        <v>2020</v>
      </c>
      <c r="D87">
        <v>5.2999999999999999E-2</v>
      </c>
      <c r="E87">
        <v>2</v>
      </c>
      <c r="F87">
        <v>5.2999999999999999E-2</v>
      </c>
      <c r="G87">
        <v>6.5489249999999999E-2</v>
      </c>
      <c r="H87">
        <v>1</v>
      </c>
      <c r="I87">
        <v>0.75</v>
      </c>
      <c r="J87">
        <v>0.48459383753501384</v>
      </c>
      <c r="K87">
        <v>-0.12600685149729704</v>
      </c>
      <c r="L87">
        <v>1</v>
      </c>
      <c r="M87">
        <v>0.5</v>
      </c>
      <c r="N87">
        <v>0</v>
      </c>
      <c r="O87">
        <v>0.5</v>
      </c>
      <c r="P87">
        <v>27.57130826582193</v>
      </c>
      <c r="Q87">
        <v>0.72465672719166485</v>
      </c>
      <c r="R87">
        <v>4.4192972981818679E-2</v>
      </c>
      <c r="S87">
        <v>0.2064390580352744</v>
      </c>
      <c r="T87">
        <v>4.9923037949735266E-2</v>
      </c>
      <c r="U87">
        <v>0.54700791539396332</v>
      </c>
      <c r="V87">
        <v>26.05660975618181</v>
      </c>
      <c r="W87">
        <v>0.74666182833679107</v>
      </c>
      <c r="X87">
        <v>-7.3224694447592539E-2</v>
      </c>
      <c r="Y87">
        <v>0.50763953550106367</v>
      </c>
      <c r="Z87">
        <v>4.2046020525028621E-2</v>
      </c>
      <c r="AA87">
        <v>0.66894652765264162</v>
      </c>
    </row>
    <row r="88" spans="1:27" x14ac:dyDescent="0.2">
      <c r="A88" s="7" t="s">
        <v>2196</v>
      </c>
      <c r="B88" t="s">
        <v>426</v>
      </c>
      <c r="C88">
        <v>2019</v>
      </c>
      <c r="D88">
        <v>3.5700000000000003E-2</v>
      </c>
      <c r="E88">
        <v>2</v>
      </c>
      <c r="F88">
        <v>3.5700000000000003E-2</v>
      </c>
      <c r="G88">
        <v>6.8333666666666668E-2</v>
      </c>
      <c r="H88">
        <v>1</v>
      </c>
      <c r="I88">
        <v>1</v>
      </c>
      <c r="J88">
        <v>-2.7247956403269775E-2</v>
      </c>
      <c r="K88">
        <v>0.17436342070352681</v>
      </c>
      <c r="L88">
        <v>0</v>
      </c>
      <c r="M88">
        <v>0.5</v>
      </c>
      <c r="N88">
        <v>1</v>
      </c>
      <c r="O88">
        <v>0.41666666666666669</v>
      </c>
      <c r="P88">
        <v>27.553188214832957</v>
      </c>
      <c r="Q88">
        <v>0.73272951912132389</v>
      </c>
      <c r="R88">
        <v>2.1941633915879333E-2</v>
      </c>
      <c r="S88">
        <v>0.1838754112744023</v>
      </c>
      <c r="T88">
        <v>6.9249616326970192E-4</v>
      </c>
      <c r="U88">
        <v>0.6233717920596622</v>
      </c>
      <c r="V88">
        <v>26.015058953814361</v>
      </c>
      <c r="W88">
        <v>0.7373505526844859</v>
      </c>
      <c r="X88">
        <v>1.9429409013773842E-3</v>
      </c>
      <c r="Y88">
        <v>0.49820360345747589</v>
      </c>
      <c r="Z88">
        <v>5.6238776327520466E-2</v>
      </c>
      <c r="AA88">
        <v>0.66891103410297881</v>
      </c>
    </row>
    <row r="89" spans="1:27" x14ac:dyDescent="0.2">
      <c r="A89" s="7" t="s">
        <v>2196</v>
      </c>
      <c r="B89" t="s">
        <v>430</v>
      </c>
      <c r="C89">
        <v>2018</v>
      </c>
      <c r="D89">
        <v>3.6700000000000003E-2</v>
      </c>
      <c r="E89">
        <v>2</v>
      </c>
      <c r="F89">
        <v>3.6700000000000003E-2</v>
      </c>
      <c r="G89">
        <v>7.7512083333333329E-2</v>
      </c>
      <c r="H89">
        <v>1</v>
      </c>
      <c r="I89">
        <v>1</v>
      </c>
      <c r="J89">
        <v>0.39543726235741455</v>
      </c>
      <c r="K89">
        <v>0.16330525643446758</v>
      </c>
      <c r="L89">
        <v>1</v>
      </c>
      <c r="M89">
        <v>0.58333333333333337</v>
      </c>
      <c r="N89">
        <v>0</v>
      </c>
      <c r="O89">
        <v>0.25</v>
      </c>
      <c r="P89">
        <v>27.560524614556563</v>
      </c>
      <c r="Q89">
        <v>0.71831927471025214</v>
      </c>
      <c r="R89">
        <v>3.0595859461850727E-2</v>
      </c>
      <c r="S89">
        <v>0.19706457825488427</v>
      </c>
      <c r="T89">
        <v>3.2483718348602322E-2</v>
      </c>
      <c r="U89">
        <v>0.58973182377234445</v>
      </c>
      <c r="V89">
        <v>25.956881629975967</v>
      </c>
      <c r="W89">
        <v>0.75608921610913526</v>
      </c>
      <c r="X89">
        <v>5.1833493748288856E-2</v>
      </c>
      <c r="Y89">
        <v>0.48668850419533644</v>
      </c>
      <c r="Z89">
        <v>7.1405451321554583E-2</v>
      </c>
      <c r="AA89">
        <v>0.63548754147222075</v>
      </c>
    </row>
    <row r="90" spans="1:27" x14ac:dyDescent="0.2">
      <c r="A90" s="7" t="s">
        <v>2196</v>
      </c>
      <c r="B90" t="s">
        <v>434</v>
      </c>
      <c r="C90">
        <v>2017</v>
      </c>
      <c r="D90">
        <v>2.63E-2</v>
      </c>
      <c r="E90">
        <v>2</v>
      </c>
      <c r="F90">
        <v>2.63E-2</v>
      </c>
      <c r="G90">
        <v>6.9917166666666655E-2</v>
      </c>
      <c r="H90">
        <v>1</v>
      </c>
      <c r="I90">
        <v>1</v>
      </c>
      <c r="J90">
        <v>-0.43562231759656656</v>
      </c>
      <c r="K90">
        <v>0.67805149740666415</v>
      </c>
      <c r="L90">
        <v>0</v>
      </c>
      <c r="M90">
        <v>0.83333333333333337</v>
      </c>
      <c r="N90">
        <v>1</v>
      </c>
      <c r="O90">
        <v>0.16666666666666666</v>
      </c>
      <c r="P90">
        <v>27.658880416582608</v>
      </c>
      <c r="Q90">
        <v>0.7778791365143336</v>
      </c>
      <c r="R90">
        <v>-6.9379691610171323E-2</v>
      </c>
      <c r="S90">
        <v>0.33349483297007898</v>
      </c>
      <c r="T90">
        <v>2.2320458796727342E-2</v>
      </c>
      <c r="U90">
        <v>0.47829818679517627</v>
      </c>
      <c r="V90">
        <v>25.916072761790943</v>
      </c>
      <c r="W90">
        <v>0.75863572642375032</v>
      </c>
      <c r="X90">
        <v>5.5492230923092967E-2</v>
      </c>
      <c r="Y90">
        <v>0.42771918388178792</v>
      </c>
      <c r="Z90">
        <v>8.6507484906178447E-2</v>
      </c>
      <c r="AA90">
        <v>0.64405161960556445</v>
      </c>
    </row>
    <row r="91" spans="1:27" x14ac:dyDescent="0.2">
      <c r="A91" s="7" t="s">
        <v>2196</v>
      </c>
      <c r="B91" t="s">
        <v>438</v>
      </c>
      <c r="C91">
        <v>2016</v>
      </c>
      <c r="D91">
        <v>4.6600000000000003E-2</v>
      </c>
      <c r="E91">
        <v>2</v>
      </c>
      <c r="F91">
        <v>4.6600000000000003E-2</v>
      </c>
      <c r="G91">
        <v>5.3511833333333335E-2</v>
      </c>
      <c r="H91">
        <v>1</v>
      </c>
      <c r="I91">
        <v>1</v>
      </c>
      <c r="J91">
        <v>0.19794344473007727</v>
      </c>
      <c r="K91">
        <v>1.3905747507449704</v>
      </c>
      <c r="L91">
        <v>1</v>
      </c>
      <c r="M91">
        <v>0.83333333333333337</v>
      </c>
      <c r="N91">
        <v>0</v>
      </c>
      <c r="O91">
        <v>0.16666666666666666</v>
      </c>
      <c r="P91">
        <v>27.614328567319994</v>
      </c>
      <c r="Q91">
        <v>0.77792476658606569</v>
      </c>
      <c r="R91">
        <v>7.6429015400907074E-2</v>
      </c>
      <c r="S91">
        <v>0.37452452790767699</v>
      </c>
      <c r="T91">
        <v>4.1373180341416425E-2</v>
      </c>
      <c r="U91">
        <v>0.51082755187945894</v>
      </c>
      <c r="V91">
        <v>25.873978656092273</v>
      </c>
      <c r="W91">
        <v>0.71112698287081721</v>
      </c>
      <c r="X91">
        <v>0.117948678906392</v>
      </c>
      <c r="Y91">
        <v>0.41201683176658926</v>
      </c>
      <c r="Z91">
        <v>4.0901032921372295E-2</v>
      </c>
      <c r="AA91">
        <v>0.74422175164240822</v>
      </c>
    </row>
    <row r="92" spans="1:27" x14ac:dyDescent="0.2">
      <c r="A92" s="7" t="s">
        <v>2196</v>
      </c>
      <c r="B92" t="s">
        <v>442</v>
      </c>
      <c r="C92">
        <v>2015</v>
      </c>
      <c r="D92">
        <v>3.8899999999999997E-2</v>
      </c>
      <c r="E92">
        <v>2</v>
      </c>
      <c r="F92">
        <v>3.8899999999999997E-2</v>
      </c>
      <c r="G92">
        <v>3.8198416666666672E-2</v>
      </c>
      <c r="H92">
        <v>1</v>
      </c>
      <c r="I92">
        <v>0.91666666666666663</v>
      </c>
      <c r="J92">
        <v>1.4935897435897436</v>
      </c>
      <c r="K92">
        <v>4.0205106330265297</v>
      </c>
      <c r="L92">
        <v>1</v>
      </c>
      <c r="M92">
        <v>0.66666666666666663</v>
      </c>
      <c r="N92">
        <v>0</v>
      </c>
      <c r="O92">
        <v>0.33333333333333331</v>
      </c>
      <c r="P92">
        <v>27.567161830724679</v>
      </c>
      <c r="Q92">
        <v>0.79368471769048654</v>
      </c>
      <c r="R92">
        <v>5.447263017356474E-2</v>
      </c>
      <c r="S92">
        <v>0.33084820635947088</v>
      </c>
      <c r="T92">
        <v>2.9813815963163872E-2</v>
      </c>
      <c r="U92">
        <v>0.52811201477719372</v>
      </c>
      <c r="V92">
        <v>25.765224835632381</v>
      </c>
      <c r="W92">
        <v>0.7779528295804814</v>
      </c>
      <c r="X92">
        <v>1.4494731745010097E-3</v>
      </c>
      <c r="Y92">
        <v>0.51150400603076418</v>
      </c>
      <c r="Z92">
        <v>-1.7076804083857099E-2</v>
      </c>
      <c r="AA92">
        <v>0.92905641885521373</v>
      </c>
    </row>
    <row r="93" spans="1:27" x14ac:dyDescent="0.2">
      <c r="A93" s="7" t="s">
        <v>2196</v>
      </c>
      <c r="B93" t="s">
        <v>446</v>
      </c>
      <c r="C93">
        <v>2014</v>
      </c>
      <c r="D93">
        <v>1.5599999999999999E-2</v>
      </c>
      <c r="E93">
        <v>2</v>
      </c>
      <c r="F93">
        <v>1.5599999999999999E-2</v>
      </c>
      <c r="G93">
        <v>3.7667916666666669E-2</v>
      </c>
      <c r="H93">
        <v>1</v>
      </c>
      <c r="I93">
        <v>1</v>
      </c>
      <c r="J93">
        <v>0.14705882352941177</v>
      </c>
      <c r="K93">
        <v>1.388848579722521</v>
      </c>
      <c r="L93">
        <v>1</v>
      </c>
      <c r="M93">
        <v>0.58333333333333337</v>
      </c>
      <c r="N93">
        <v>0</v>
      </c>
      <c r="O93">
        <v>0.33333333333333331</v>
      </c>
      <c r="P93">
        <v>27.507462684735632</v>
      </c>
      <c r="Q93">
        <v>0.77643504531722052</v>
      </c>
      <c r="R93">
        <v>5.0785634118967415E-2</v>
      </c>
      <c r="S93">
        <v>0.30169822448420652</v>
      </c>
      <c r="T93">
        <v>2.7803638173631306E-2</v>
      </c>
      <c r="U93">
        <v>0.48495087801247078</v>
      </c>
      <c r="V93">
        <v>26.027852027509859</v>
      </c>
      <c r="W93">
        <v>0.77098832977137111</v>
      </c>
      <c r="X93">
        <v>1.9591980151834339E-2</v>
      </c>
      <c r="Y93">
        <v>0.66525278459670278</v>
      </c>
      <c r="Z93">
        <v>1.7595526074732665E-2</v>
      </c>
      <c r="AA93">
        <v>0.78066465049260914</v>
      </c>
    </row>
    <row r="94" spans="1:27" x14ac:dyDescent="0.2">
      <c r="A94" s="7" t="s">
        <v>2198</v>
      </c>
      <c r="B94" t="s">
        <v>461</v>
      </c>
      <c r="C94">
        <v>2025</v>
      </c>
      <c r="D94">
        <v>0</v>
      </c>
      <c r="E94">
        <v>2</v>
      </c>
      <c r="F94">
        <v>0</v>
      </c>
      <c r="G94">
        <v>0</v>
      </c>
      <c r="H94">
        <v>0</v>
      </c>
      <c r="I94">
        <v>0</v>
      </c>
      <c r="J94">
        <v>-1</v>
      </c>
      <c r="K94">
        <v>-0.5</v>
      </c>
      <c r="L94">
        <v>0</v>
      </c>
      <c r="M94">
        <v>0</v>
      </c>
      <c r="N94">
        <v>1</v>
      </c>
      <c r="O94">
        <v>0.5</v>
      </c>
      <c r="P94">
        <v>28.086642438860924</v>
      </c>
      <c r="Q94">
        <v>0.38897367598451132</v>
      </c>
      <c r="R94">
        <v>0.13702696960244687</v>
      </c>
      <c r="S94">
        <v>0.74925382308648103</v>
      </c>
      <c r="T94">
        <v>8.8102531086433747E-2</v>
      </c>
      <c r="U94">
        <v>0.38491927942009385</v>
      </c>
      <c r="V94">
        <v>26.364672313512415</v>
      </c>
      <c r="W94">
        <v>0.71882905970905342</v>
      </c>
      <c r="X94">
        <v>0.18228327023804392</v>
      </c>
      <c r="Y94">
        <v>0.75729569698680532</v>
      </c>
      <c r="Z94">
        <v>0.10519775825338691</v>
      </c>
      <c r="AA94">
        <v>0.96141315188849141</v>
      </c>
    </row>
    <row r="95" spans="1:27" x14ac:dyDescent="0.2">
      <c r="A95" s="7" t="s">
        <v>2198</v>
      </c>
      <c r="B95" t="s">
        <v>465</v>
      </c>
      <c r="C95">
        <v>2024</v>
      </c>
      <c r="D95">
        <v>0.35</v>
      </c>
      <c r="E95">
        <v>2</v>
      </c>
      <c r="F95">
        <v>0.35</v>
      </c>
      <c r="G95">
        <v>3.4233333333333331E-2</v>
      </c>
      <c r="H95">
        <v>1</v>
      </c>
      <c r="I95">
        <v>0.5</v>
      </c>
      <c r="J95">
        <v>6.060606060606049E-2</v>
      </c>
      <c r="K95">
        <v>8.111014839249911E-2</v>
      </c>
      <c r="L95">
        <v>1</v>
      </c>
      <c r="M95">
        <v>0.5</v>
      </c>
      <c r="N95">
        <v>0</v>
      </c>
      <c r="O95">
        <v>8.3333333333333329E-2</v>
      </c>
      <c r="P95">
        <v>28.010134719579103</v>
      </c>
      <c r="Q95">
        <v>0.3240749930355396</v>
      </c>
      <c r="R95">
        <v>0.13873226851909726</v>
      </c>
      <c r="S95">
        <v>0.71775013087796014</v>
      </c>
      <c r="T95">
        <v>0.10684986297955344</v>
      </c>
      <c r="U95">
        <v>0.40596514796908201</v>
      </c>
      <c r="V95">
        <v>26.366118769999737</v>
      </c>
      <c r="W95">
        <v>0.72951991875735811</v>
      </c>
      <c r="X95">
        <v>9.4959215964172727E-2</v>
      </c>
      <c r="Y95">
        <v>0.54583008336005978</v>
      </c>
      <c r="Z95">
        <v>5.1816027568641662E-2</v>
      </c>
      <c r="AA95">
        <v>0.99045016664162544</v>
      </c>
    </row>
    <row r="96" spans="1:27" x14ac:dyDescent="0.2">
      <c r="A96" s="7" t="s">
        <v>2198</v>
      </c>
      <c r="B96" t="s">
        <v>469</v>
      </c>
      <c r="C96">
        <v>2023</v>
      </c>
      <c r="D96">
        <v>0.33</v>
      </c>
      <c r="E96">
        <v>2</v>
      </c>
      <c r="F96">
        <v>0.33</v>
      </c>
      <c r="G96">
        <v>3.8800000000000001E-2</v>
      </c>
      <c r="H96">
        <v>1</v>
      </c>
      <c r="I96">
        <v>0.5</v>
      </c>
      <c r="J96">
        <v>0.17857142857142852</v>
      </c>
      <c r="K96">
        <v>0.10215229025470192</v>
      </c>
      <c r="L96">
        <v>1</v>
      </c>
      <c r="M96">
        <v>0.41666666666666669</v>
      </c>
      <c r="N96">
        <v>0</v>
      </c>
      <c r="O96">
        <v>0.25</v>
      </c>
      <c r="P96">
        <v>27.892756721292844</v>
      </c>
      <c r="Q96">
        <v>0.29034015993127987</v>
      </c>
      <c r="R96">
        <v>7.4943319978877376E-2</v>
      </c>
      <c r="S96">
        <v>0.67715088385264854</v>
      </c>
      <c r="T96">
        <v>0.11228282050625446</v>
      </c>
      <c r="U96">
        <v>0.39787733336776426</v>
      </c>
      <c r="V96">
        <v>26.248410095319255</v>
      </c>
      <c r="W96">
        <v>0.75546887895224257</v>
      </c>
      <c r="X96">
        <v>0.14702969999837517</v>
      </c>
      <c r="Y96">
        <v>0.52540851579672598</v>
      </c>
      <c r="Z96">
        <v>7.1775604297486306E-2</v>
      </c>
      <c r="AA96">
        <v>0.87125060857179004</v>
      </c>
    </row>
    <row r="97" spans="1:27" x14ac:dyDescent="0.2">
      <c r="A97" s="7" t="s">
        <v>2198</v>
      </c>
      <c r="B97" t="s">
        <v>476</v>
      </c>
      <c r="C97">
        <v>2020</v>
      </c>
      <c r="D97">
        <v>0.18</v>
      </c>
      <c r="E97">
        <v>2</v>
      </c>
      <c r="F97">
        <v>0.18</v>
      </c>
      <c r="G97">
        <v>5.4905916666666665E-2</v>
      </c>
      <c r="H97">
        <v>1</v>
      </c>
      <c r="I97">
        <v>0.75</v>
      </c>
      <c r="J97">
        <v>-0.10000000000000009</v>
      </c>
      <c r="K97">
        <v>-7.7290698369379199E-2</v>
      </c>
      <c r="L97">
        <v>0</v>
      </c>
      <c r="M97">
        <v>0.58333333333333337</v>
      </c>
      <c r="N97">
        <v>1</v>
      </c>
      <c r="O97">
        <v>0.41666666666666669</v>
      </c>
      <c r="P97">
        <v>27.486276229281785</v>
      </c>
      <c r="Q97">
        <v>0.41400855019919258</v>
      </c>
      <c r="R97">
        <v>-4.4401813742588114E-2</v>
      </c>
      <c r="S97">
        <v>0.54950437999211166</v>
      </c>
      <c r="T97">
        <v>9.3382715071659614E-2</v>
      </c>
      <c r="U97">
        <v>0.40439411326463204</v>
      </c>
      <c r="V97">
        <v>26.063695759226821</v>
      </c>
      <c r="W97">
        <v>0.77254917641949705</v>
      </c>
      <c r="X97">
        <v>-6.5841795553891969E-2</v>
      </c>
      <c r="Y97">
        <v>0.47905075867132724</v>
      </c>
      <c r="Z97">
        <v>3.842438076486826E-2</v>
      </c>
      <c r="AA97">
        <v>0.68083101116341915</v>
      </c>
    </row>
    <row r="98" spans="1:27" x14ac:dyDescent="0.2">
      <c r="A98" s="7" t="s">
        <v>2198</v>
      </c>
      <c r="B98" t="s">
        <v>480</v>
      </c>
      <c r="C98">
        <v>2019</v>
      </c>
      <c r="D98">
        <v>0.2</v>
      </c>
      <c r="E98">
        <v>2</v>
      </c>
      <c r="F98">
        <v>0.2</v>
      </c>
      <c r="G98">
        <v>5.4642000000000003E-2</v>
      </c>
      <c r="H98">
        <v>1</v>
      </c>
      <c r="I98">
        <v>1</v>
      </c>
      <c r="J98">
        <v>0.1764705882352941</v>
      </c>
      <c r="K98">
        <v>0.15738687531697981</v>
      </c>
      <c r="L98">
        <v>1</v>
      </c>
      <c r="M98">
        <v>0.41666666666666669</v>
      </c>
      <c r="N98">
        <v>0</v>
      </c>
      <c r="O98">
        <v>0.5</v>
      </c>
      <c r="P98">
        <v>27.344683472660044</v>
      </c>
      <c r="Q98">
        <v>0.43671913385858224</v>
      </c>
      <c r="R98">
        <v>7.2241118159284134E-2</v>
      </c>
      <c r="S98">
        <v>0.50423587003124215</v>
      </c>
      <c r="T98">
        <v>0.11074644700310085</v>
      </c>
      <c r="U98">
        <v>0.35860624227765525</v>
      </c>
      <c r="V98">
        <v>26.032434348995434</v>
      </c>
      <c r="W98">
        <v>0.76201808478971433</v>
      </c>
      <c r="X98">
        <v>-2.248682785573016E-3</v>
      </c>
      <c r="Y98">
        <v>0.47150689856107247</v>
      </c>
      <c r="Z98">
        <v>4.7067613757534536E-2</v>
      </c>
      <c r="AA98">
        <v>0.69097482991814607</v>
      </c>
    </row>
    <row r="99" spans="1:27" x14ac:dyDescent="0.2">
      <c r="A99" s="7" t="s">
        <v>2198</v>
      </c>
      <c r="B99" t="s">
        <v>484</v>
      </c>
      <c r="C99">
        <v>2018</v>
      </c>
      <c r="D99">
        <v>0.17</v>
      </c>
      <c r="E99">
        <v>2</v>
      </c>
      <c r="F99">
        <v>0.17</v>
      </c>
      <c r="G99">
        <v>6.6403749999999997E-2</v>
      </c>
      <c r="H99">
        <v>1</v>
      </c>
      <c r="I99">
        <v>1</v>
      </c>
      <c r="J99">
        <v>0.30769230769230776</v>
      </c>
      <c r="K99">
        <v>0.17061733598989315</v>
      </c>
      <c r="L99">
        <v>1</v>
      </c>
      <c r="M99">
        <v>0.58333333333333337</v>
      </c>
      <c r="N99">
        <v>0</v>
      </c>
      <c r="O99">
        <v>0.25</v>
      </c>
      <c r="P99">
        <v>27.314372878924146</v>
      </c>
      <c r="Q99">
        <v>0.44329091789998998</v>
      </c>
      <c r="R99">
        <v>4.9651654382699251E-2</v>
      </c>
      <c r="S99">
        <v>0.42798643810842096</v>
      </c>
      <c r="T99">
        <v>0.10589941365633332</v>
      </c>
      <c r="U99">
        <v>0.50076213546236903</v>
      </c>
      <c r="V99">
        <v>25.977394274611999</v>
      </c>
      <c r="W99">
        <v>0.77900824584332373</v>
      </c>
      <c r="X99">
        <v>5.0245510838218148E-2</v>
      </c>
      <c r="Y99">
        <v>0.46744501587420845</v>
      </c>
      <c r="Z99">
        <v>6.5287476712576994E-2</v>
      </c>
      <c r="AA99">
        <v>0.64290168216471877</v>
      </c>
    </row>
    <row r="100" spans="1:27" x14ac:dyDescent="0.2">
      <c r="A100" s="7" t="s">
        <v>2198</v>
      </c>
      <c r="B100" t="s">
        <v>488</v>
      </c>
      <c r="C100">
        <v>2017</v>
      </c>
      <c r="D100">
        <v>0.13</v>
      </c>
      <c r="E100">
        <v>2</v>
      </c>
      <c r="F100">
        <v>0.13</v>
      </c>
      <c r="G100">
        <v>6.1275500000000004E-2</v>
      </c>
      <c r="H100">
        <v>1</v>
      </c>
      <c r="I100">
        <v>1</v>
      </c>
      <c r="J100">
        <v>-0.13333333333333328</v>
      </c>
      <c r="K100">
        <v>0.65286074871806132</v>
      </c>
      <c r="L100">
        <v>0</v>
      </c>
      <c r="M100">
        <v>0.83333333333333337</v>
      </c>
      <c r="N100">
        <v>1</v>
      </c>
      <c r="O100">
        <v>0.16666666666666666</v>
      </c>
      <c r="P100">
        <v>27.161107082668973</v>
      </c>
      <c r="Q100">
        <v>0.44037814211846621</v>
      </c>
      <c r="R100">
        <v>5.6286585070872253E-2</v>
      </c>
      <c r="S100">
        <v>0.3264367916170558</v>
      </c>
      <c r="T100">
        <v>9.1000710316299666E-2</v>
      </c>
      <c r="U100">
        <v>0.36056542209665027</v>
      </c>
      <c r="V100">
        <v>25.957553872950413</v>
      </c>
      <c r="W100">
        <v>0.78676080929007253</v>
      </c>
      <c r="X100">
        <v>4.5020041199672671E-2</v>
      </c>
      <c r="Y100">
        <v>0.42830735399453984</v>
      </c>
      <c r="Z100">
        <v>8.0784130612880756E-2</v>
      </c>
      <c r="AA100">
        <v>0.65386268333044162</v>
      </c>
    </row>
    <row r="101" spans="1:27" x14ac:dyDescent="0.2">
      <c r="A101" s="7" t="s">
        <v>2200</v>
      </c>
      <c r="B101" t="s">
        <v>506</v>
      </c>
      <c r="C101">
        <v>2025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-1</v>
      </c>
      <c r="K101">
        <v>-0.5</v>
      </c>
      <c r="L101">
        <v>0</v>
      </c>
      <c r="M101">
        <v>0</v>
      </c>
      <c r="N101">
        <v>1</v>
      </c>
      <c r="O101">
        <v>0.5</v>
      </c>
      <c r="P101">
        <v>25.882317785580614</v>
      </c>
      <c r="Q101">
        <v>0.76335324732725973</v>
      </c>
      <c r="R101">
        <v>0.10716932375523447</v>
      </c>
      <c r="S101">
        <v>0.94511571744718947</v>
      </c>
      <c r="T101">
        <v>6.9709589086264456E-2</v>
      </c>
      <c r="U101">
        <v>1.3758091056657202</v>
      </c>
      <c r="V101">
        <v>26.679575835409601</v>
      </c>
      <c r="W101">
        <v>0.66534626380294648</v>
      </c>
      <c r="X101">
        <v>0.18654864821621711</v>
      </c>
      <c r="Y101">
        <v>0.72465204792668736</v>
      </c>
      <c r="Z101">
        <v>0.10782532139626821</v>
      </c>
      <c r="AA101">
        <v>0.8198574624248306</v>
      </c>
    </row>
    <row r="102" spans="1:27" x14ac:dyDescent="0.2">
      <c r="A102" s="7" t="s">
        <v>2200</v>
      </c>
      <c r="B102" t="s">
        <v>510</v>
      </c>
      <c r="C102">
        <v>2024</v>
      </c>
      <c r="D102">
        <v>6.7599999999999993E-2</v>
      </c>
      <c r="E102">
        <v>2</v>
      </c>
      <c r="F102">
        <v>6.7599999999999993E-2</v>
      </c>
      <c r="G102">
        <v>5.7766666666666661E-2</v>
      </c>
      <c r="H102">
        <v>1</v>
      </c>
      <c r="I102">
        <v>0.5</v>
      </c>
      <c r="J102">
        <v>2.1148036253776415E-2</v>
      </c>
      <c r="K102">
        <v>8.4398317088522787E-2</v>
      </c>
      <c r="L102">
        <v>1</v>
      </c>
      <c r="M102">
        <v>0.5</v>
      </c>
      <c r="N102">
        <v>0</v>
      </c>
      <c r="O102">
        <v>8.3333333333333329E-2</v>
      </c>
      <c r="P102">
        <v>25.791405161816868</v>
      </c>
      <c r="Q102">
        <v>0.76643038475121905</v>
      </c>
      <c r="R102">
        <v>7.5490298838866154E-2</v>
      </c>
      <c r="S102">
        <v>0.93244083619499385</v>
      </c>
      <c r="T102">
        <v>4.2652335689949805E-2</v>
      </c>
      <c r="U102">
        <v>1.4511416596605256</v>
      </c>
      <c r="V102">
        <v>26.612644276417761</v>
      </c>
      <c r="W102">
        <v>0.6803693196778382</v>
      </c>
      <c r="X102">
        <v>0.10198610148419841</v>
      </c>
      <c r="Y102">
        <v>0.52197556054705607</v>
      </c>
      <c r="Z102">
        <v>5.894908615637541E-2</v>
      </c>
      <c r="AA102">
        <v>0.87431944312035403</v>
      </c>
    </row>
    <row r="103" spans="1:27" x14ac:dyDescent="0.2">
      <c r="A103" s="7" t="s">
        <v>2200</v>
      </c>
      <c r="B103" t="s">
        <v>514</v>
      </c>
      <c r="C103">
        <v>2023</v>
      </c>
      <c r="D103">
        <v>6.6199999999999995E-2</v>
      </c>
      <c r="E103">
        <v>2</v>
      </c>
      <c r="F103">
        <v>6.6199999999999995E-2</v>
      </c>
      <c r="G103">
        <v>6.0783333333333335E-2</v>
      </c>
      <c r="H103">
        <v>1</v>
      </c>
      <c r="I103">
        <v>0.5</v>
      </c>
      <c r="J103">
        <v>0.4646017699115042</v>
      </c>
      <c r="K103">
        <v>7.831642847636229E-2</v>
      </c>
      <c r="L103">
        <v>1</v>
      </c>
      <c r="M103">
        <v>0.41666666666666669</v>
      </c>
      <c r="N103">
        <v>0</v>
      </c>
      <c r="O103">
        <v>0.25</v>
      </c>
      <c r="P103">
        <v>25.725561707847419</v>
      </c>
      <c r="Q103">
        <v>0.73208762896300505</v>
      </c>
      <c r="R103">
        <v>0.12099924064220713</v>
      </c>
      <c r="S103">
        <v>0.92849815844739703</v>
      </c>
      <c r="T103">
        <v>5.4867551021225036E-2</v>
      </c>
      <c r="U103">
        <v>1.4528908154542672</v>
      </c>
      <c r="V103">
        <v>26.489209541257637</v>
      </c>
      <c r="W103">
        <v>0.70638582683760653</v>
      </c>
      <c r="X103">
        <v>0.14191237548022742</v>
      </c>
      <c r="Y103">
        <v>0.4974810408417541</v>
      </c>
      <c r="Z103">
        <v>7.8155078684711804E-2</v>
      </c>
      <c r="AA103">
        <v>0.75402688833995635</v>
      </c>
    </row>
    <row r="104" spans="1:27" x14ac:dyDescent="0.2">
      <c r="A104" s="7" t="s">
        <v>2200</v>
      </c>
      <c r="B104" t="s">
        <v>518</v>
      </c>
      <c r="C104">
        <v>2022</v>
      </c>
      <c r="D104">
        <v>4.5200000000000004E-2</v>
      </c>
      <c r="E104">
        <v>2</v>
      </c>
      <c r="F104">
        <v>4.5200000000000004E-2</v>
      </c>
      <c r="G104">
        <v>6.0965000000000012E-2</v>
      </c>
      <c r="H104">
        <v>1</v>
      </c>
      <c r="I104">
        <v>0.58333333333333337</v>
      </c>
      <c r="J104">
        <v>0.33727810650887596</v>
      </c>
      <c r="K104">
        <v>-0.18974837046948009</v>
      </c>
      <c r="L104">
        <v>1</v>
      </c>
      <c r="M104">
        <v>0.25</v>
      </c>
      <c r="N104">
        <v>0</v>
      </c>
      <c r="O104">
        <v>0.5</v>
      </c>
      <c r="P104">
        <v>25.663505898135</v>
      </c>
      <c r="Q104">
        <v>0.73407760634157837</v>
      </c>
      <c r="R104">
        <v>6.0014609633014748E-2</v>
      </c>
      <c r="S104">
        <v>0.92531679776600062</v>
      </c>
      <c r="T104">
        <v>3.6317535572496229E-2</v>
      </c>
      <c r="U104">
        <v>1.6454661039584235</v>
      </c>
      <c r="V104">
        <v>26.383479780773143</v>
      </c>
      <c r="W104">
        <v>0.70524481728647592</v>
      </c>
      <c r="X104">
        <v>7.4788592294660283E-2</v>
      </c>
      <c r="Y104">
        <v>0.46936319707514085</v>
      </c>
      <c r="Z104">
        <v>9.2455900933813527E-3</v>
      </c>
      <c r="AA104">
        <v>0.82742568494868507</v>
      </c>
    </row>
    <row r="105" spans="1:27" x14ac:dyDescent="0.2">
      <c r="A105" s="7" t="s">
        <v>2200</v>
      </c>
      <c r="B105" t="s">
        <v>522</v>
      </c>
      <c r="C105">
        <v>2021</v>
      </c>
      <c r="D105">
        <v>3.3799999999999997E-2</v>
      </c>
      <c r="E105">
        <v>2</v>
      </c>
      <c r="F105">
        <v>3.3799999999999997E-2</v>
      </c>
      <c r="G105">
        <v>7.8968583333333328E-2</v>
      </c>
      <c r="H105">
        <v>1</v>
      </c>
      <c r="I105">
        <v>0.75</v>
      </c>
      <c r="J105">
        <v>8.9552238805968559E-3</v>
      </c>
      <c r="K105">
        <v>0.16312991526733925</v>
      </c>
      <c r="L105">
        <v>1</v>
      </c>
      <c r="M105">
        <v>0.58333333333333337</v>
      </c>
      <c r="N105">
        <v>0</v>
      </c>
      <c r="O105">
        <v>0.25</v>
      </c>
      <c r="P105">
        <v>25.593486760215676</v>
      </c>
      <c r="Q105">
        <v>0.76923506182533841</v>
      </c>
      <c r="R105">
        <v>0.10715451380432262</v>
      </c>
      <c r="S105">
        <v>0.91257190316011261</v>
      </c>
      <c r="T105">
        <v>3.4655733899968025E-2</v>
      </c>
      <c r="U105">
        <v>1.5448243146817828</v>
      </c>
      <c r="V105">
        <v>25.960038602938532</v>
      </c>
      <c r="W105">
        <v>0.7700363926248095</v>
      </c>
      <c r="X105">
        <v>0.12868771911705879</v>
      </c>
      <c r="Y105">
        <v>0.46005060482518889</v>
      </c>
      <c r="Z105">
        <v>3.661256154965483E-2</v>
      </c>
      <c r="AA105">
        <v>0.63181240105266256</v>
      </c>
    </row>
    <row r="106" spans="1:27" x14ac:dyDescent="0.2">
      <c r="A106" s="7" t="s">
        <v>2200</v>
      </c>
      <c r="B106" t="s">
        <v>526</v>
      </c>
      <c r="C106">
        <v>2020</v>
      </c>
      <c r="D106">
        <v>3.3500000000000002E-2</v>
      </c>
      <c r="E106">
        <v>2</v>
      </c>
      <c r="F106">
        <v>3.3500000000000002E-2</v>
      </c>
      <c r="G106">
        <v>6.711425E-2</v>
      </c>
      <c r="H106">
        <v>1</v>
      </c>
      <c r="I106">
        <v>0.75</v>
      </c>
      <c r="J106">
        <v>0.66666666666666674</v>
      </c>
      <c r="K106">
        <v>-0.14117958725826812</v>
      </c>
      <c r="L106">
        <v>1</v>
      </c>
      <c r="M106">
        <v>0.5</v>
      </c>
      <c r="N106">
        <v>0</v>
      </c>
      <c r="O106">
        <v>0.5</v>
      </c>
      <c r="P106">
        <v>25.527256504169095</v>
      </c>
      <c r="Q106">
        <v>0.78777143017147722</v>
      </c>
      <c r="R106">
        <v>3.1669743574181508E-2</v>
      </c>
      <c r="S106">
        <v>0.91715355947338173</v>
      </c>
      <c r="T106">
        <v>1.7939994711902937E-2</v>
      </c>
      <c r="U106">
        <v>1.5487076270491527</v>
      </c>
      <c r="V106">
        <v>26.226947402986212</v>
      </c>
      <c r="W106">
        <v>0.74140226975514001</v>
      </c>
      <c r="X106">
        <v>-7.2181091996956104E-2</v>
      </c>
      <c r="Y106">
        <v>0.448413327047888</v>
      </c>
      <c r="Z106">
        <v>4.4711274128181315E-2</v>
      </c>
      <c r="AA106">
        <v>0.58547155168137588</v>
      </c>
    </row>
    <row r="107" spans="1:27" x14ac:dyDescent="0.2">
      <c r="A107" s="7" t="s">
        <v>2200</v>
      </c>
      <c r="B107" t="s">
        <v>530</v>
      </c>
      <c r="C107">
        <v>2019</v>
      </c>
      <c r="D107">
        <v>2.01E-2</v>
      </c>
      <c r="E107">
        <v>2</v>
      </c>
      <c r="F107">
        <v>2.01E-2</v>
      </c>
      <c r="G107">
        <v>6.9633666666666663E-2</v>
      </c>
      <c r="H107">
        <v>1</v>
      </c>
      <c r="I107">
        <v>1</v>
      </c>
      <c r="J107">
        <v>-3.3653846153846118E-2</v>
      </c>
      <c r="K107">
        <v>0.17489724484940816</v>
      </c>
      <c r="L107">
        <v>0</v>
      </c>
      <c r="M107">
        <v>0.5</v>
      </c>
      <c r="N107">
        <v>1</v>
      </c>
      <c r="O107">
        <v>0.41666666666666669</v>
      </c>
      <c r="P107">
        <v>25.497304314006495</v>
      </c>
      <c r="Q107">
        <v>0.79658823127074474</v>
      </c>
      <c r="R107">
        <v>7.5190403211642387E-3</v>
      </c>
      <c r="S107">
        <v>0.91010855605843854</v>
      </c>
      <c r="T107">
        <v>2.7840082770987373E-2</v>
      </c>
      <c r="U107">
        <v>1.5689677835620839</v>
      </c>
      <c r="V107">
        <v>26.186382612216562</v>
      </c>
      <c r="W107">
        <v>0.73202899333870086</v>
      </c>
      <c r="X107">
        <v>3.1448237009369753E-3</v>
      </c>
      <c r="Y107">
        <v>0.43768417472547277</v>
      </c>
      <c r="Z107">
        <v>5.3976477443543995E-2</v>
      </c>
      <c r="AA107">
        <v>0.59011136814444376</v>
      </c>
    </row>
    <row r="108" spans="1:27" x14ac:dyDescent="0.2">
      <c r="A108" s="7" t="s">
        <v>2200</v>
      </c>
      <c r="B108" t="s">
        <v>534</v>
      </c>
      <c r="C108">
        <v>2018</v>
      </c>
      <c r="D108">
        <v>2.0799999999999999E-2</v>
      </c>
      <c r="E108">
        <v>2</v>
      </c>
      <c r="F108">
        <v>2.0799999999999999E-2</v>
      </c>
      <c r="G108">
        <v>7.8837083333333335E-2</v>
      </c>
      <c r="H108">
        <v>1</v>
      </c>
      <c r="I108">
        <v>1</v>
      </c>
      <c r="J108">
        <v>0</v>
      </c>
      <c r="K108">
        <v>0.19625836163091881</v>
      </c>
      <c r="L108">
        <v>0</v>
      </c>
      <c r="M108">
        <v>0.66666666666666663</v>
      </c>
      <c r="N108">
        <v>0</v>
      </c>
      <c r="O108">
        <v>0.25</v>
      </c>
      <c r="P108">
        <v>25.406558102767242</v>
      </c>
      <c r="Q108">
        <v>0.81257734244194924</v>
      </c>
      <c r="R108">
        <v>3.0946280301530349E-2</v>
      </c>
      <c r="S108">
        <v>0.90454643064902474</v>
      </c>
      <c r="T108">
        <v>2.8103032369707608E-2</v>
      </c>
      <c r="U108">
        <v>1.4101270013887175</v>
      </c>
      <c r="V108">
        <v>26.136378839291748</v>
      </c>
      <c r="W108">
        <v>0.74823437713149399</v>
      </c>
      <c r="X108">
        <v>5.1804292011648885E-2</v>
      </c>
      <c r="Y108">
        <v>0.42773168316249149</v>
      </c>
      <c r="Z108">
        <v>7.1770508486462478E-2</v>
      </c>
      <c r="AA108">
        <v>0.56712127667085632</v>
      </c>
    </row>
    <row r="109" spans="1:27" x14ac:dyDescent="0.2">
      <c r="A109" s="7" t="s">
        <v>2200</v>
      </c>
      <c r="B109" t="s">
        <v>538</v>
      </c>
      <c r="C109">
        <v>2017</v>
      </c>
      <c r="D109">
        <v>2.0799999999999999E-2</v>
      </c>
      <c r="E109">
        <v>2</v>
      </c>
      <c r="F109">
        <v>2.0799999999999999E-2</v>
      </c>
      <c r="G109">
        <v>7.0375499999999994E-2</v>
      </c>
      <c r="H109">
        <v>1</v>
      </c>
      <c r="I109">
        <v>1</v>
      </c>
      <c r="J109">
        <v>-0.52941176470588236</v>
      </c>
      <c r="K109">
        <v>0.68586728466577374</v>
      </c>
      <c r="L109">
        <v>0</v>
      </c>
      <c r="M109">
        <v>0.83333333333333337</v>
      </c>
      <c r="N109">
        <v>1</v>
      </c>
      <c r="O109">
        <v>0.16666666666666666</v>
      </c>
      <c r="P109">
        <v>25.377975582427581</v>
      </c>
      <c r="Q109">
        <v>0.81578165648693313</v>
      </c>
      <c r="R109">
        <v>5.5863209377828182E-2</v>
      </c>
      <c r="S109">
        <v>0.90710936639364859</v>
      </c>
      <c r="T109">
        <v>2.8500701783806461E-2</v>
      </c>
      <c r="U109">
        <v>1.3793643998762299</v>
      </c>
      <c r="V109">
        <v>26.10614816463719</v>
      </c>
      <c r="W109">
        <v>0.7554771830927004</v>
      </c>
      <c r="X109">
        <v>4.5055322507426339E-2</v>
      </c>
      <c r="Y109">
        <v>0.37991797276315703</v>
      </c>
      <c r="Z109">
        <v>8.5992464657255185E-2</v>
      </c>
      <c r="AA109">
        <v>0.56896276851547667</v>
      </c>
    </row>
    <row r="110" spans="1:27" x14ac:dyDescent="0.2">
      <c r="A110" s="7" t="s">
        <v>2200</v>
      </c>
      <c r="B110" t="s">
        <v>542</v>
      </c>
      <c r="C110">
        <v>2016</v>
      </c>
      <c r="D110">
        <v>4.4200000000000003E-2</v>
      </c>
      <c r="E110">
        <v>2</v>
      </c>
      <c r="F110">
        <v>4.4200000000000003E-2</v>
      </c>
      <c r="G110">
        <v>5.3711833333333327E-2</v>
      </c>
      <c r="H110">
        <v>1</v>
      </c>
      <c r="I110">
        <v>1</v>
      </c>
      <c r="J110">
        <v>3.0925925925925926</v>
      </c>
      <c r="K110">
        <v>1.1493539884230941</v>
      </c>
      <c r="L110">
        <v>1</v>
      </c>
      <c r="M110">
        <v>0.83333333333333337</v>
      </c>
      <c r="N110">
        <v>0</v>
      </c>
      <c r="O110">
        <v>0.16666666666666666</v>
      </c>
      <c r="P110">
        <v>25.396488668547605</v>
      </c>
      <c r="Q110">
        <v>0.782783281870436</v>
      </c>
      <c r="R110">
        <v>6.7605549885032534E-2</v>
      </c>
      <c r="S110">
        <v>0.9004519379022341</v>
      </c>
      <c r="T110">
        <v>4.59035801895653E-2</v>
      </c>
      <c r="U110">
        <v>1.4747499464208058</v>
      </c>
      <c r="V110">
        <v>26.058798647656641</v>
      </c>
      <c r="W110">
        <v>0.71072210659711965</v>
      </c>
      <c r="X110">
        <v>0.11883102545797945</v>
      </c>
      <c r="Y110">
        <v>0.36420524903981133</v>
      </c>
      <c r="Z110">
        <v>4.0447992936557396E-2</v>
      </c>
      <c r="AA110">
        <v>0.66389488543062924</v>
      </c>
    </row>
    <row r="111" spans="1:27" x14ac:dyDescent="0.2">
      <c r="A111" s="7" t="s">
        <v>2200</v>
      </c>
      <c r="B111" t="s">
        <v>544</v>
      </c>
      <c r="C111">
        <v>2015</v>
      </c>
      <c r="D111">
        <v>1.0800000000000001E-2</v>
      </c>
      <c r="E111">
        <v>2</v>
      </c>
      <c r="F111">
        <v>1.0800000000000001E-2</v>
      </c>
      <c r="G111">
        <v>4.0540083333333331E-2</v>
      </c>
      <c r="H111">
        <v>1</v>
      </c>
      <c r="I111">
        <v>0.91666666666666663</v>
      </c>
      <c r="J111">
        <v>-0.4517766497461928</v>
      </c>
      <c r="K111">
        <v>4.1826244991378578</v>
      </c>
      <c r="L111">
        <v>0</v>
      </c>
      <c r="M111">
        <v>0.75</v>
      </c>
      <c r="N111">
        <v>1</v>
      </c>
      <c r="O111">
        <v>0.25</v>
      </c>
      <c r="P111">
        <v>25.332915674297144</v>
      </c>
      <c r="Q111">
        <v>0.77292135499249026</v>
      </c>
      <c r="R111">
        <v>-7.0826763064608667E-2</v>
      </c>
      <c r="S111">
        <v>0.89162886826359578</v>
      </c>
      <c r="T111">
        <v>9.0705679305840906E-3</v>
      </c>
      <c r="U111">
        <v>1.5831426215625368</v>
      </c>
      <c r="V111">
        <v>25.988649451275137</v>
      </c>
      <c r="W111">
        <v>0.78002916585028093</v>
      </c>
      <c r="X111">
        <v>1.5371627978742499E-2</v>
      </c>
      <c r="Y111">
        <v>0.43139248290160342</v>
      </c>
      <c r="Z111">
        <v>-1.477199874690379E-2</v>
      </c>
      <c r="AA111">
        <v>0.82355335817667952</v>
      </c>
    </row>
    <row r="112" spans="1:27" x14ac:dyDescent="0.2">
      <c r="A112" s="7" t="s">
        <v>2200</v>
      </c>
      <c r="B112" t="s">
        <v>546</v>
      </c>
      <c r="C112">
        <v>2014</v>
      </c>
      <c r="D112">
        <v>1.9699999999999999E-2</v>
      </c>
      <c r="E112">
        <v>2</v>
      </c>
      <c r="F112">
        <v>1.9699999999999999E-2</v>
      </c>
      <c r="G112">
        <v>3.7326250000000005E-2</v>
      </c>
      <c r="H112">
        <v>1</v>
      </c>
      <c r="I112">
        <v>1</v>
      </c>
      <c r="J112">
        <v>9.9444444444444446</v>
      </c>
      <c r="K112">
        <v>0.5723997779796014</v>
      </c>
      <c r="L112">
        <v>1</v>
      </c>
      <c r="M112">
        <v>0.58333333333333337</v>
      </c>
      <c r="N112">
        <v>0</v>
      </c>
      <c r="O112">
        <v>0.33333333333333331</v>
      </c>
      <c r="P112">
        <v>25.264366661057846</v>
      </c>
      <c r="Q112">
        <v>0.77922304918585727</v>
      </c>
      <c r="R112">
        <v>-6.7579313607542435E-2</v>
      </c>
      <c r="S112">
        <v>0.88994410256618384</v>
      </c>
      <c r="T112">
        <v>-3.4602932023746362E-2</v>
      </c>
      <c r="U112">
        <v>1.4091957337963121</v>
      </c>
      <c r="V112">
        <v>26.252161629877634</v>
      </c>
      <c r="W112">
        <v>0.77070952938450743</v>
      </c>
      <c r="X112">
        <v>3.2743641010335431E-2</v>
      </c>
      <c r="Y112">
        <v>0.54760360898030735</v>
      </c>
      <c r="Z112">
        <v>2.4529589429996852E-2</v>
      </c>
      <c r="AA112">
        <v>0.68824016491422491</v>
      </c>
    </row>
    <row r="113" spans="1:27" x14ac:dyDescent="0.2">
      <c r="A113" s="7" t="s">
        <v>2202</v>
      </c>
      <c r="B113" t="s">
        <v>554</v>
      </c>
      <c r="C113">
        <v>2025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-1</v>
      </c>
      <c r="K113">
        <v>-0.5</v>
      </c>
      <c r="L113">
        <v>0</v>
      </c>
      <c r="M113">
        <v>0</v>
      </c>
      <c r="N113">
        <v>1</v>
      </c>
      <c r="O113">
        <v>0.5</v>
      </c>
      <c r="P113">
        <v>26.075592173594472</v>
      </c>
      <c r="Q113">
        <v>0.68298504509835856</v>
      </c>
      <c r="R113">
        <v>0.15668010679223343</v>
      </c>
      <c r="S113">
        <v>0.91062639008082769</v>
      </c>
      <c r="T113">
        <v>0.11819584655342587</v>
      </c>
      <c r="U113">
        <v>0.79671074800535691</v>
      </c>
      <c r="V113">
        <v>26.651965208550479</v>
      </c>
      <c r="W113">
        <v>0.67682743554993241</v>
      </c>
      <c r="X113">
        <v>0.17947567921093155</v>
      </c>
      <c r="Y113">
        <v>0.73040026915441425</v>
      </c>
      <c r="Z113">
        <v>0.10089871318667373</v>
      </c>
      <c r="AA113">
        <v>0.90258579923345383</v>
      </c>
    </row>
    <row r="114" spans="1:27" x14ac:dyDescent="0.2">
      <c r="A114" s="7" t="s">
        <v>2202</v>
      </c>
      <c r="B114" t="s">
        <v>558</v>
      </c>
      <c r="C114">
        <v>2024</v>
      </c>
      <c r="D114">
        <v>5.0200000000000002E-2</v>
      </c>
      <c r="E114">
        <v>2</v>
      </c>
      <c r="F114">
        <v>5.0200000000000002E-2</v>
      </c>
      <c r="G114">
        <v>5.9216666666666661E-2</v>
      </c>
      <c r="H114">
        <v>1</v>
      </c>
      <c r="I114">
        <v>0.5</v>
      </c>
      <c r="J114">
        <v>0.29381443298969073</v>
      </c>
      <c r="K114">
        <v>6.1676117360529935E-2</v>
      </c>
      <c r="L114">
        <v>1</v>
      </c>
      <c r="M114">
        <v>0.5</v>
      </c>
      <c r="N114">
        <v>0</v>
      </c>
      <c r="O114">
        <v>8.3333333333333329E-2</v>
      </c>
      <c r="P114">
        <v>25.957237687730142</v>
      </c>
      <c r="Q114">
        <v>0.66297123597348084</v>
      </c>
      <c r="R114">
        <v>8.7384198337613794E-2</v>
      </c>
      <c r="S114">
        <v>0.89330457359124116</v>
      </c>
      <c r="T114">
        <v>9.2401499680061533E-2</v>
      </c>
      <c r="U114">
        <v>0.88165217030620346</v>
      </c>
      <c r="V114">
        <v>26.594218440205175</v>
      </c>
      <c r="W114">
        <v>0.69186478065314239</v>
      </c>
      <c r="X114">
        <v>0.10066455709544868</v>
      </c>
      <c r="Y114">
        <v>0.5263240341696952</v>
      </c>
      <c r="Z114">
        <v>5.3421401268585217E-2</v>
      </c>
      <c r="AA114">
        <v>0.93759605304861204</v>
      </c>
    </row>
    <row r="115" spans="1:27" x14ac:dyDescent="0.2">
      <c r="A115" s="7" t="s">
        <v>2202</v>
      </c>
      <c r="B115" t="s">
        <v>562</v>
      </c>
      <c r="C115">
        <v>2023</v>
      </c>
      <c r="D115">
        <v>3.8800000000000001E-2</v>
      </c>
      <c r="E115">
        <v>2</v>
      </c>
      <c r="F115">
        <v>3.8800000000000001E-2</v>
      </c>
      <c r="G115">
        <v>6.3066666666666674E-2</v>
      </c>
      <c r="H115">
        <v>1</v>
      </c>
      <c r="I115">
        <v>0.5</v>
      </c>
      <c r="J115">
        <v>0.20347394540942915</v>
      </c>
      <c r="K115">
        <v>0.1000770805182019</v>
      </c>
      <c r="L115">
        <v>1</v>
      </c>
      <c r="M115">
        <v>0.41666666666666669</v>
      </c>
      <c r="N115">
        <v>0</v>
      </c>
      <c r="O115">
        <v>0.25</v>
      </c>
      <c r="P115">
        <v>25.848146503206717</v>
      </c>
      <c r="Q115">
        <v>0.67228499619937843</v>
      </c>
      <c r="R115">
        <v>0.15803439973516942</v>
      </c>
      <c r="S115">
        <v>0.88099680377920475</v>
      </c>
      <c r="T115">
        <v>8.7663181541146981E-2</v>
      </c>
      <c r="U115">
        <v>0.92519118436987335</v>
      </c>
      <c r="V115">
        <v>26.475589008439936</v>
      </c>
      <c r="W115">
        <v>0.71303056381134278</v>
      </c>
      <c r="X115">
        <v>0.1377973578032316</v>
      </c>
      <c r="Y115">
        <v>0.50275896913821994</v>
      </c>
      <c r="Z115">
        <v>7.4511119738053813E-2</v>
      </c>
      <c r="AA115">
        <v>0.81266018068266688</v>
      </c>
    </row>
    <row r="116" spans="1:27" x14ac:dyDescent="0.2">
      <c r="A116" s="7" t="s">
        <v>2202</v>
      </c>
      <c r="B116" t="s">
        <v>566</v>
      </c>
      <c r="C116">
        <v>2022</v>
      </c>
      <c r="D116">
        <v>3.2240000000000005E-2</v>
      </c>
      <c r="E116">
        <v>2</v>
      </c>
      <c r="F116">
        <v>3.2240000000000005E-2</v>
      </c>
      <c r="G116">
        <v>6.204500000000001E-2</v>
      </c>
      <c r="H116">
        <v>1</v>
      </c>
      <c r="I116">
        <v>0.58333333333333337</v>
      </c>
      <c r="J116">
        <v>0.15971223021582759</v>
      </c>
      <c r="K116">
        <v>-0.17495121411172601</v>
      </c>
      <c r="L116">
        <v>1</v>
      </c>
      <c r="M116">
        <v>0.25</v>
      </c>
      <c r="N116">
        <v>0</v>
      </c>
      <c r="O116">
        <v>0.5</v>
      </c>
      <c r="P116">
        <v>25.745607687804817</v>
      </c>
      <c r="Q116">
        <v>0.65357561390670238</v>
      </c>
      <c r="R116">
        <v>6.8651661307207901E-2</v>
      </c>
      <c r="S116">
        <v>0.86128677404933318</v>
      </c>
      <c r="T116">
        <v>7.8264352031369097E-2</v>
      </c>
      <c r="U116">
        <v>1.0701036252807536</v>
      </c>
      <c r="V116">
        <v>26.37435735969872</v>
      </c>
      <c r="W116">
        <v>0.71418948311257324</v>
      </c>
      <c r="X116">
        <v>7.3554727769775549E-2</v>
      </c>
      <c r="Y116">
        <v>0.47647764415477056</v>
      </c>
      <c r="Z116">
        <v>3.2531877421137978E-3</v>
      </c>
      <c r="AA116">
        <v>0.89135484924620378</v>
      </c>
    </row>
    <row r="117" spans="1:27" x14ac:dyDescent="0.2">
      <c r="A117" s="7" t="s">
        <v>2202</v>
      </c>
      <c r="B117" t="s">
        <v>570</v>
      </c>
      <c r="C117">
        <v>2021</v>
      </c>
      <c r="D117">
        <v>2.7799999999999998E-2</v>
      </c>
      <c r="E117">
        <v>2</v>
      </c>
      <c r="F117">
        <v>2.7799999999999998E-2</v>
      </c>
      <c r="G117">
        <v>7.9468583333333329E-2</v>
      </c>
      <c r="H117">
        <v>1</v>
      </c>
      <c r="I117">
        <v>0.75</v>
      </c>
      <c r="J117">
        <v>7.3359073359073323E-2</v>
      </c>
      <c r="K117">
        <v>0.15776292781079954</v>
      </c>
      <c r="L117">
        <v>1</v>
      </c>
      <c r="M117">
        <v>0.58333333333333337</v>
      </c>
      <c r="N117">
        <v>0</v>
      </c>
      <c r="O117">
        <v>0.25</v>
      </c>
      <c r="P117">
        <v>25.594504602562385</v>
      </c>
      <c r="Q117">
        <v>0.70365445456750841</v>
      </c>
      <c r="R117">
        <v>0.10282130677644608</v>
      </c>
      <c r="S117">
        <v>0.85283058204903017</v>
      </c>
      <c r="T117">
        <v>8.0028720713153853E-2</v>
      </c>
      <c r="U117">
        <v>0.90182907390711597</v>
      </c>
      <c r="V117">
        <v>25.959936818703863</v>
      </c>
      <c r="W117">
        <v>0.77659445335059241</v>
      </c>
      <c r="X117">
        <v>0.12912103981984643</v>
      </c>
      <c r="Y117">
        <v>0.46602473693629715</v>
      </c>
      <c r="Z117">
        <v>3.2075262868336243E-2</v>
      </c>
      <c r="AA117">
        <v>0.69611192513012932</v>
      </c>
    </row>
    <row r="118" spans="1:27" x14ac:dyDescent="0.2">
      <c r="A118" s="7" t="s">
        <v>2202</v>
      </c>
      <c r="B118" t="s">
        <v>574</v>
      </c>
      <c r="C118">
        <v>2020</v>
      </c>
      <c r="D118">
        <v>2.5899999999999999E-2</v>
      </c>
      <c r="E118">
        <v>2</v>
      </c>
      <c r="F118">
        <v>2.5899999999999999E-2</v>
      </c>
      <c r="G118">
        <v>6.7747583333333319E-2</v>
      </c>
      <c r="H118">
        <v>1</v>
      </c>
      <c r="I118">
        <v>0.75</v>
      </c>
      <c r="J118">
        <v>0.58895705521472408</v>
      </c>
      <c r="K118">
        <v>-0.13470378630393956</v>
      </c>
      <c r="L118">
        <v>1</v>
      </c>
      <c r="M118">
        <v>0.5</v>
      </c>
      <c r="N118">
        <v>0</v>
      </c>
      <c r="O118">
        <v>0.5</v>
      </c>
      <c r="P118">
        <v>25.495945114835404</v>
      </c>
      <c r="Q118">
        <v>0.69574631682010102</v>
      </c>
      <c r="R118">
        <v>2.1321497341035833E-3</v>
      </c>
      <c r="S118">
        <v>0.83807219476964523</v>
      </c>
      <c r="T118">
        <v>5.6484513543777669E-2</v>
      </c>
      <c r="U118">
        <v>0.9260414294795184</v>
      </c>
      <c r="V118">
        <v>26.229556685430683</v>
      </c>
      <c r="W118">
        <v>0.74907102920108803</v>
      </c>
      <c r="X118">
        <v>-6.9719625843616281E-2</v>
      </c>
      <c r="Y118">
        <v>0.45500344077319949</v>
      </c>
      <c r="Z118">
        <v>4.1499230892191756E-2</v>
      </c>
      <c r="AA118">
        <v>0.63736040147884532</v>
      </c>
    </row>
    <row r="119" spans="1:27" x14ac:dyDescent="0.2">
      <c r="A119" s="7" t="s">
        <v>2202</v>
      </c>
      <c r="B119" t="s">
        <v>578</v>
      </c>
      <c r="C119">
        <v>2019</v>
      </c>
      <c r="D119">
        <v>1.6299999999999999E-2</v>
      </c>
      <c r="E119">
        <v>2</v>
      </c>
      <c r="F119">
        <v>1.6299999999999999E-2</v>
      </c>
      <c r="G119">
        <v>6.9950333333333323E-2</v>
      </c>
      <c r="H119">
        <v>1</v>
      </c>
      <c r="I119">
        <v>1</v>
      </c>
      <c r="J119">
        <v>-0.59950859950859958</v>
      </c>
      <c r="K119">
        <v>0.22205180762897095</v>
      </c>
      <c r="L119">
        <v>0</v>
      </c>
      <c r="M119">
        <v>0.5</v>
      </c>
      <c r="N119">
        <v>1</v>
      </c>
      <c r="O119">
        <v>0.41666666666666669</v>
      </c>
      <c r="P119">
        <v>25.418338809102217</v>
      </c>
      <c r="Q119">
        <v>0.70633359764355397</v>
      </c>
      <c r="R119">
        <v>2.4637844957543287E-2</v>
      </c>
      <c r="S119">
        <v>0.81905941641410074</v>
      </c>
      <c r="T119">
        <v>6.2768263010591449E-2</v>
      </c>
      <c r="U119">
        <v>0.99110794365441535</v>
      </c>
      <c r="V119">
        <v>26.192963070958587</v>
      </c>
      <c r="W119">
        <v>0.73955021280763333</v>
      </c>
      <c r="X119">
        <v>1.718256647905388E-3</v>
      </c>
      <c r="Y119">
        <v>0.44527160302916763</v>
      </c>
      <c r="Z119">
        <v>5.1065795756910316E-2</v>
      </c>
      <c r="AA119">
        <v>0.63826635480341609</v>
      </c>
    </row>
    <row r="120" spans="1:27" x14ac:dyDescent="0.2">
      <c r="A120" s="7" t="s">
        <v>2202</v>
      </c>
      <c r="B120" t="s">
        <v>582</v>
      </c>
      <c r="C120">
        <v>2018</v>
      </c>
      <c r="D120">
        <v>4.07E-2</v>
      </c>
      <c r="E120">
        <v>2</v>
      </c>
      <c r="F120">
        <v>4.07E-2</v>
      </c>
      <c r="G120">
        <v>7.7178750000000004E-2</v>
      </c>
      <c r="H120">
        <v>1</v>
      </c>
      <c r="I120">
        <v>1</v>
      </c>
      <c r="J120">
        <v>1.2437810945273643E-2</v>
      </c>
      <c r="K120">
        <v>0.19522187738547936</v>
      </c>
      <c r="L120">
        <v>1</v>
      </c>
      <c r="M120">
        <v>0.58333333333333337</v>
      </c>
      <c r="N120">
        <v>0</v>
      </c>
      <c r="O120">
        <v>0.25</v>
      </c>
      <c r="P120">
        <v>25.364280948368883</v>
      </c>
      <c r="Q120">
        <v>0.68788011636523894</v>
      </c>
      <c r="R120">
        <v>3.5280831089422149E-2</v>
      </c>
      <c r="S120">
        <v>0.81823744107250507</v>
      </c>
      <c r="T120">
        <v>0.12111922120402713</v>
      </c>
      <c r="U120">
        <v>0.89556847827907826</v>
      </c>
      <c r="V120">
        <v>26.139901935491608</v>
      </c>
      <c r="W120">
        <v>0.75862581263788631</v>
      </c>
      <c r="X120">
        <v>5.144307944599124E-2</v>
      </c>
      <c r="Y120">
        <v>0.43492409896053474</v>
      </c>
      <c r="Z120">
        <v>6.4019159416935853E-2</v>
      </c>
      <c r="AA120">
        <v>0.61000115359665963</v>
      </c>
    </row>
    <row r="121" spans="1:27" x14ac:dyDescent="0.2">
      <c r="A121" s="7" t="s">
        <v>2202</v>
      </c>
      <c r="B121" t="s">
        <v>586</v>
      </c>
      <c r="C121">
        <v>2017</v>
      </c>
      <c r="D121">
        <v>4.02E-2</v>
      </c>
      <c r="E121">
        <v>2</v>
      </c>
      <c r="F121">
        <v>4.02E-2</v>
      </c>
      <c r="G121">
        <v>6.8758833333333325E-2</v>
      </c>
      <c r="H121">
        <v>1</v>
      </c>
      <c r="I121">
        <v>1</v>
      </c>
      <c r="J121">
        <v>2.4067796610169494</v>
      </c>
      <c r="K121">
        <v>0.44118466585553778</v>
      </c>
      <c r="L121">
        <v>1</v>
      </c>
      <c r="M121">
        <v>0.75</v>
      </c>
      <c r="N121">
        <v>0</v>
      </c>
      <c r="O121">
        <v>0.25</v>
      </c>
      <c r="P121">
        <v>25.221997215017367</v>
      </c>
      <c r="Q121">
        <v>0.72057402618995858</v>
      </c>
      <c r="R121">
        <v>0.16094835560220999</v>
      </c>
      <c r="S121">
        <v>0.79683640610626849</v>
      </c>
      <c r="T121">
        <v>0.13379631489658866</v>
      </c>
      <c r="U121">
        <v>0.90790662274426237</v>
      </c>
      <c r="V121">
        <v>26.119146361921381</v>
      </c>
      <c r="W121">
        <v>0.76341115228411482</v>
      </c>
      <c r="X121">
        <v>3.6298226988727859E-2</v>
      </c>
      <c r="Y121">
        <v>0.38910738612043877</v>
      </c>
      <c r="Z121">
        <v>7.7217830231189999E-2</v>
      </c>
      <c r="AA121">
        <v>0.60825091660980724</v>
      </c>
    </row>
    <row r="122" spans="1:27" x14ac:dyDescent="0.2">
      <c r="A122" s="7" t="s">
        <v>2202</v>
      </c>
      <c r="B122" t="s">
        <v>590</v>
      </c>
      <c r="C122">
        <v>2016</v>
      </c>
      <c r="D122">
        <v>1.18E-2</v>
      </c>
      <c r="E122">
        <v>2</v>
      </c>
      <c r="F122">
        <v>1.18E-2</v>
      </c>
      <c r="G122">
        <v>5.6411833333333328E-2</v>
      </c>
      <c r="H122">
        <v>1</v>
      </c>
      <c r="I122">
        <v>1</v>
      </c>
      <c r="J122">
        <v>0.41080822572931608</v>
      </c>
      <c r="K122">
        <v>1.3728360189950335</v>
      </c>
      <c r="L122">
        <v>1</v>
      </c>
      <c r="M122">
        <v>0.83333333333333337</v>
      </c>
      <c r="N122">
        <v>0</v>
      </c>
      <c r="O122">
        <v>0.16666666666666666</v>
      </c>
      <c r="P122">
        <v>25.102759666776421</v>
      </c>
      <c r="Q122">
        <v>0.77452537689338952</v>
      </c>
      <c r="R122">
        <v>0.13246401191448087</v>
      </c>
      <c r="S122">
        <v>0.7344296259106301</v>
      </c>
      <c r="T122">
        <v>4.5558205419424833E-2</v>
      </c>
      <c r="U122">
        <v>1.1305888398741015</v>
      </c>
      <c r="V122">
        <v>26.083276064470905</v>
      </c>
      <c r="W122">
        <v>0.7114102653452069</v>
      </c>
      <c r="X122">
        <v>0.11234517925503462</v>
      </c>
      <c r="Y122">
        <v>0.37929818649359354</v>
      </c>
      <c r="Z122">
        <v>4.0482530413571451E-2</v>
      </c>
      <c r="AA122">
        <v>0.69257497764285458</v>
      </c>
    </row>
    <row r="123" spans="1:27" x14ac:dyDescent="0.2">
      <c r="A123" s="7" t="s">
        <v>2202</v>
      </c>
      <c r="B123" t="s">
        <v>592</v>
      </c>
      <c r="C123">
        <v>2015</v>
      </c>
      <c r="D123">
        <v>8.3639999999999999E-3</v>
      </c>
      <c r="E123">
        <v>2</v>
      </c>
      <c r="F123">
        <v>8.3639999999999999E-3</v>
      </c>
      <c r="G123">
        <v>4.0743083333333339E-2</v>
      </c>
      <c r="H123">
        <v>1</v>
      </c>
      <c r="I123">
        <v>0.91666666666666663</v>
      </c>
      <c r="J123">
        <v>1.6980645161290322</v>
      </c>
      <c r="K123">
        <v>4.0034710686482562</v>
      </c>
      <c r="L123">
        <v>1</v>
      </c>
      <c r="M123">
        <v>0.66666666666666663</v>
      </c>
      <c r="N123">
        <v>0</v>
      </c>
      <c r="O123">
        <v>0.33333333333333331</v>
      </c>
      <c r="P123">
        <v>25.089817347162022</v>
      </c>
      <c r="Q123">
        <v>0.76177436972144252</v>
      </c>
      <c r="R123">
        <v>-7.9734433726306175E-3</v>
      </c>
      <c r="S123">
        <v>0.67497035759641399</v>
      </c>
      <c r="T123">
        <v>4.3508696508236848E-2</v>
      </c>
      <c r="U123">
        <v>1.2669131204828268</v>
      </c>
      <c r="V123">
        <v>26.012959283988646</v>
      </c>
      <c r="W123">
        <v>0.7811438643773857</v>
      </c>
      <c r="X123">
        <v>8.3879257907449392E-3</v>
      </c>
      <c r="Y123">
        <v>0.4623436987112009</v>
      </c>
      <c r="Z123">
        <v>-1.8598457477754099E-2</v>
      </c>
      <c r="AA123">
        <v>0.85517630828465041</v>
      </c>
    </row>
    <row r="124" spans="1:27" x14ac:dyDescent="0.2">
      <c r="A124" s="7" t="s">
        <v>2204</v>
      </c>
      <c r="B124" t="s">
        <v>601</v>
      </c>
      <c r="C124">
        <v>2025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-1</v>
      </c>
      <c r="K124">
        <v>-0.5</v>
      </c>
      <c r="L124">
        <v>0</v>
      </c>
      <c r="M124">
        <v>0</v>
      </c>
      <c r="N124">
        <v>1</v>
      </c>
      <c r="O124">
        <v>0.5</v>
      </c>
      <c r="P124">
        <v>25.787604835722476</v>
      </c>
      <c r="Q124">
        <v>0.75144982220180023</v>
      </c>
      <c r="R124">
        <v>0.12608453706246459</v>
      </c>
      <c r="S124">
        <v>0.80423950823802692</v>
      </c>
      <c r="T124">
        <v>8.9799141488031947E-2</v>
      </c>
      <c r="U124">
        <v>0.91215059072383664</v>
      </c>
      <c r="V124">
        <v>26.693106256817909</v>
      </c>
      <c r="W124">
        <v>0.66704675310658357</v>
      </c>
      <c r="X124">
        <v>0.18384647488661282</v>
      </c>
      <c r="Y124">
        <v>0.74813141612821443</v>
      </c>
      <c r="Z124">
        <v>0.10495538533887286</v>
      </c>
      <c r="AA124">
        <v>0.88609439313081395</v>
      </c>
    </row>
    <row r="125" spans="1:27" x14ac:dyDescent="0.2">
      <c r="A125" s="7" t="s">
        <v>2204</v>
      </c>
      <c r="B125" t="s">
        <v>605</v>
      </c>
      <c r="C125">
        <v>2024</v>
      </c>
      <c r="D125">
        <v>7.5800000000000006E-2</v>
      </c>
      <c r="E125">
        <v>2</v>
      </c>
      <c r="F125">
        <v>7.5800000000000006E-2</v>
      </c>
      <c r="G125">
        <v>5.7083333333333326E-2</v>
      </c>
      <c r="H125">
        <v>1</v>
      </c>
      <c r="I125">
        <v>0.5</v>
      </c>
      <c r="J125">
        <v>0.39338235294117668</v>
      </c>
      <c r="K125">
        <v>5.3378790697906103E-2</v>
      </c>
      <c r="L125">
        <v>1</v>
      </c>
      <c r="M125">
        <v>0.5</v>
      </c>
      <c r="N125">
        <v>0</v>
      </c>
      <c r="O125">
        <v>8.3333333333333329E-2</v>
      </c>
      <c r="P125">
        <v>25.649780618746973</v>
      </c>
      <c r="Q125">
        <v>0.77577219010949316</v>
      </c>
      <c r="R125">
        <v>8.6663330743442346E-2</v>
      </c>
      <c r="S125">
        <v>0.80898697657172813</v>
      </c>
      <c r="T125">
        <v>9.6958349587478149E-2</v>
      </c>
      <c r="U125">
        <v>0.96943444919852684</v>
      </c>
      <c r="V125">
        <v>26.628380336758863</v>
      </c>
      <c r="W125">
        <v>0.67933134130469652</v>
      </c>
      <c r="X125">
        <v>0.10074465349480105</v>
      </c>
      <c r="Y125">
        <v>0.53569265606075223</v>
      </c>
      <c r="Z125">
        <v>5.2915084612205593E-2</v>
      </c>
      <c r="AA125">
        <v>0.92784246650502056</v>
      </c>
    </row>
    <row r="126" spans="1:27" x14ac:dyDescent="0.2">
      <c r="A126" s="7" t="s">
        <v>2204</v>
      </c>
      <c r="B126" t="s">
        <v>609</v>
      </c>
      <c r="C126">
        <v>2023</v>
      </c>
      <c r="D126">
        <v>5.4399999999999997E-2</v>
      </c>
      <c r="E126">
        <v>2</v>
      </c>
      <c r="F126">
        <v>5.4399999999999997E-2</v>
      </c>
      <c r="G126">
        <v>6.1766666666666664E-2</v>
      </c>
      <c r="H126">
        <v>1</v>
      </c>
      <c r="I126">
        <v>0.5</v>
      </c>
      <c r="J126">
        <v>1.2723475355054301</v>
      </c>
      <c r="K126">
        <v>1.1004281343535149E-2</v>
      </c>
      <c r="L126">
        <v>1</v>
      </c>
      <c r="M126">
        <v>0.41666666666666669</v>
      </c>
      <c r="N126">
        <v>0</v>
      </c>
      <c r="O126">
        <v>0.25</v>
      </c>
      <c r="P126">
        <v>25.535883594321572</v>
      </c>
      <c r="Q126">
        <v>0.75774366754184286</v>
      </c>
      <c r="R126">
        <v>3.0294026530472307E-2</v>
      </c>
      <c r="S126">
        <v>0.80018363100734868</v>
      </c>
      <c r="T126">
        <v>0.10306355549393796</v>
      </c>
      <c r="U126">
        <v>0.88074551871930939</v>
      </c>
      <c r="V126">
        <v>26.51028488720495</v>
      </c>
      <c r="W126">
        <v>0.70353515588440219</v>
      </c>
      <c r="X126">
        <v>0.15199073260375351</v>
      </c>
      <c r="Y126">
        <v>0.51173821055731494</v>
      </c>
      <c r="Z126">
        <v>7.2799967076632596E-2</v>
      </c>
      <c r="AA126">
        <v>0.817598587977174</v>
      </c>
    </row>
    <row r="127" spans="1:27" x14ac:dyDescent="0.2">
      <c r="A127" s="7" t="s">
        <v>2204</v>
      </c>
      <c r="B127" t="s">
        <v>613</v>
      </c>
      <c r="C127">
        <v>2022</v>
      </c>
      <c r="D127">
        <v>2.3939999999999999E-2</v>
      </c>
      <c r="E127">
        <v>2</v>
      </c>
      <c r="F127">
        <v>2.3939999999999999E-2</v>
      </c>
      <c r="G127">
        <v>6.2736666666666677E-2</v>
      </c>
      <c r="H127">
        <v>1</v>
      </c>
      <c r="I127">
        <v>0.58333333333333337</v>
      </c>
      <c r="J127">
        <v>-3.8554216867469841E-2</v>
      </c>
      <c r="K127">
        <v>-0.15842901018811792</v>
      </c>
      <c r="L127">
        <v>0</v>
      </c>
      <c r="M127">
        <v>0.33333333333333331</v>
      </c>
      <c r="N127">
        <v>1</v>
      </c>
      <c r="O127">
        <v>0.41666666666666669</v>
      </c>
      <c r="P127">
        <v>25.396061381134576</v>
      </c>
      <c r="Q127">
        <v>0.76962816276182955</v>
      </c>
      <c r="R127">
        <v>6.7033585140108487E-2</v>
      </c>
      <c r="S127">
        <v>0.79077112130081972</v>
      </c>
      <c r="T127">
        <v>4.1006725605803214E-2</v>
      </c>
      <c r="U127">
        <v>1.0536376180895337</v>
      </c>
      <c r="V127">
        <v>26.413195838217632</v>
      </c>
      <c r="W127">
        <v>0.70129475546200359</v>
      </c>
      <c r="X127">
        <v>7.378588150793261E-2</v>
      </c>
      <c r="Y127">
        <v>0.48431271668238313</v>
      </c>
      <c r="Z127">
        <v>8.5757058029089228E-3</v>
      </c>
      <c r="AA127">
        <v>0.89318440560078394</v>
      </c>
    </row>
    <row r="128" spans="1:27" x14ac:dyDescent="0.2">
      <c r="A128" s="7" t="s">
        <v>2204</v>
      </c>
      <c r="B128" t="s">
        <v>617</v>
      </c>
      <c r="C128">
        <v>2021</v>
      </c>
      <c r="D128">
        <v>2.4899999999999999E-2</v>
      </c>
      <c r="E128">
        <v>2</v>
      </c>
      <c r="F128">
        <v>2.4899999999999999E-2</v>
      </c>
      <c r="G128">
        <v>7.9710249999999996E-2</v>
      </c>
      <c r="H128">
        <v>1</v>
      </c>
      <c r="I128">
        <v>0.75</v>
      </c>
      <c r="J128">
        <v>1</v>
      </c>
      <c r="K128">
        <v>8.0542850590722317E-2</v>
      </c>
      <c r="L128">
        <v>1</v>
      </c>
      <c r="M128">
        <v>0.58333333333333337</v>
      </c>
      <c r="N128">
        <v>0</v>
      </c>
      <c r="O128">
        <v>0.25</v>
      </c>
      <c r="P128">
        <v>25.344092153618679</v>
      </c>
      <c r="Q128">
        <v>0.77941334955102892</v>
      </c>
      <c r="R128">
        <v>8.9066035333738469E-2</v>
      </c>
      <c r="S128">
        <v>0.77524079818932301</v>
      </c>
      <c r="T128">
        <v>3.9302719505697858E-2</v>
      </c>
      <c r="U128">
        <v>0.92489856745443833</v>
      </c>
      <c r="V128">
        <v>25.984978063598238</v>
      </c>
      <c r="W128">
        <v>0.76901856385224032</v>
      </c>
      <c r="X128">
        <v>0.13049656696411721</v>
      </c>
      <c r="Y128">
        <v>0.47378371532226782</v>
      </c>
      <c r="Z128">
        <v>3.6147862989081847E-2</v>
      </c>
      <c r="AA128">
        <v>0.69380497577539713</v>
      </c>
    </row>
    <row r="129" spans="1:27" x14ac:dyDescent="0.2">
      <c r="A129" s="7" t="s">
        <v>2204</v>
      </c>
      <c r="B129" t="s">
        <v>621</v>
      </c>
      <c r="C129">
        <v>2020</v>
      </c>
      <c r="D129">
        <v>0</v>
      </c>
      <c r="E129">
        <v>2</v>
      </c>
      <c r="F129">
        <v>0</v>
      </c>
      <c r="G129">
        <v>6.9905916666666665E-2</v>
      </c>
      <c r="H129">
        <v>0</v>
      </c>
      <c r="I129">
        <v>0.83333333333333337</v>
      </c>
      <c r="J129">
        <v>-1</v>
      </c>
      <c r="K129">
        <v>-2.2906983693792141E-3</v>
      </c>
      <c r="L129">
        <v>0</v>
      </c>
      <c r="M129">
        <v>0.58333333333333337</v>
      </c>
      <c r="N129">
        <v>1</v>
      </c>
      <c r="O129">
        <v>0.41666666666666669</v>
      </c>
      <c r="P129">
        <v>25.264678018447878</v>
      </c>
      <c r="Q129">
        <v>0.79399759773707146</v>
      </c>
      <c r="R129">
        <v>-0.16512383790898488</v>
      </c>
      <c r="S129">
        <v>0.77464995367538581</v>
      </c>
      <c r="T129">
        <v>6.7283685321027223E-3</v>
      </c>
      <c r="U129">
        <v>0.95718631047675573</v>
      </c>
      <c r="V129">
        <v>26.248828943462982</v>
      </c>
      <c r="W129">
        <v>0.74088342245800709</v>
      </c>
      <c r="X129">
        <v>-5.5781626873358907E-2</v>
      </c>
      <c r="Y129">
        <v>0.46028862753105432</v>
      </c>
      <c r="Z129">
        <v>4.5645576309831327E-2</v>
      </c>
      <c r="AA129">
        <v>0.63476499472907555</v>
      </c>
    </row>
    <row r="130" spans="1:27" x14ac:dyDescent="0.2">
      <c r="A130" s="7" t="s">
        <v>2204</v>
      </c>
      <c r="B130" t="s">
        <v>625</v>
      </c>
      <c r="C130">
        <v>2019</v>
      </c>
      <c r="D130">
        <v>1.0500000000000001E-2</v>
      </c>
      <c r="E130">
        <v>2</v>
      </c>
      <c r="F130">
        <v>1.0500000000000001E-2</v>
      </c>
      <c r="G130">
        <v>7.0433666666666658E-2</v>
      </c>
      <c r="H130">
        <v>1</v>
      </c>
      <c r="I130">
        <v>1</v>
      </c>
      <c r="J130">
        <v>2.5</v>
      </c>
      <c r="K130">
        <v>-3.6240575663412371E-2</v>
      </c>
      <c r="L130">
        <v>1</v>
      </c>
      <c r="M130">
        <v>0.41666666666666669</v>
      </c>
      <c r="N130">
        <v>0</v>
      </c>
      <c r="O130">
        <v>0.5</v>
      </c>
      <c r="P130">
        <v>25.234552153465813</v>
      </c>
      <c r="Q130">
        <v>0.77134547001297726</v>
      </c>
      <c r="R130">
        <v>5.8282990883574914E-2</v>
      </c>
      <c r="S130">
        <v>0.78446884595521349</v>
      </c>
      <c r="T130">
        <v>3.1991600198030885E-2</v>
      </c>
      <c r="U130">
        <v>0.91497826438510999</v>
      </c>
      <c r="V130">
        <v>26.208278625594954</v>
      </c>
      <c r="W130">
        <v>0.73413255677684808</v>
      </c>
      <c r="X130">
        <v>-1.0855055125972475E-3</v>
      </c>
      <c r="Y130">
        <v>0.4481541505674082</v>
      </c>
      <c r="Z130">
        <v>5.3630517657957032E-2</v>
      </c>
      <c r="AA130">
        <v>0.64461049474252485</v>
      </c>
    </row>
    <row r="131" spans="1:27" x14ac:dyDescent="0.2">
      <c r="A131" s="7" t="s">
        <v>2204</v>
      </c>
      <c r="B131" t="s">
        <v>629</v>
      </c>
      <c r="C131">
        <v>2018</v>
      </c>
      <c r="D131">
        <v>3.0000000000000001E-3</v>
      </c>
      <c r="E131">
        <v>2</v>
      </c>
      <c r="F131">
        <v>3.0000000000000001E-3</v>
      </c>
      <c r="G131">
        <v>8.0320416666666658E-2</v>
      </c>
      <c r="H131">
        <v>1</v>
      </c>
      <c r="I131">
        <v>1</v>
      </c>
      <c r="J131">
        <v>-0.86111111111111116</v>
      </c>
      <c r="K131">
        <v>0.26801762089017805</v>
      </c>
      <c r="L131">
        <v>0</v>
      </c>
      <c r="M131">
        <v>0.66666666666666663</v>
      </c>
      <c r="N131">
        <v>1</v>
      </c>
      <c r="O131">
        <v>0.16666666666666666</v>
      </c>
      <c r="P131">
        <v>25.124808906006404</v>
      </c>
      <c r="Q131">
        <v>0.77398658807391574</v>
      </c>
      <c r="R131">
        <v>0.2358284927551777</v>
      </c>
      <c r="S131">
        <v>0.77919191489057182</v>
      </c>
      <c r="T131">
        <v>8.0860235731209547E-3</v>
      </c>
      <c r="U131">
        <v>0.80739134662676482</v>
      </c>
      <c r="V131">
        <v>26.159857939021816</v>
      </c>
      <c r="W131">
        <v>0.75145027332882997</v>
      </c>
      <c r="X131">
        <v>3.4730774307178275E-2</v>
      </c>
      <c r="Y131">
        <v>0.43817789280902919</v>
      </c>
      <c r="Z131">
        <v>7.3438592552844698E-2</v>
      </c>
      <c r="AA131">
        <v>0.61734924790101908</v>
      </c>
    </row>
    <row r="132" spans="1:27" x14ac:dyDescent="0.2">
      <c r="A132" s="7" t="s">
        <v>2204</v>
      </c>
      <c r="B132" t="s">
        <v>633</v>
      </c>
      <c r="C132">
        <v>2017</v>
      </c>
      <c r="D132">
        <v>2.1600000000000001E-2</v>
      </c>
      <c r="E132">
        <v>2</v>
      </c>
      <c r="F132">
        <v>2.1600000000000001E-2</v>
      </c>
      <c r="G132">
        <v>7.030883333333332E-2</v>
      </c>
      <c r="H132">
        <v>1</v>
      </c>
      <c r="I132">
        <v>1</v>
      </c>
      <c r="J132">
        <v>1.602409638554217</v>
      </c>
      <c r="K132">
        <v>0.50821550106076541</v>
      </c>
      <c r="L132">
        <v>1</v>
      </c>
      <c r="M132">
        <v>0.75</v>
      </c>
      <c r="N132">
        <v>0</v>
      </c>
      <c r="O132">
        <v>0.25</v>
      </c>
      <c r="P132">
        <v>25.066103062977021</v>
      </c>
      <c r="Q132">
        <v>0.79931620840609585</v>
      </c>
      <c r="R132">
        <v>8.6138198294661628E-2</v>
      </c>
      <c r="S132">
        <v>0.79735143856692459</v>
      </c>
      <c r="T132">
        <v>5.4500068584606202E-2</v>
      </c>
      <c r="U132">
        <v>0.66996333549958653</v>
      </c>
      <c r="V132">
        <v>26.132137541258075</v>
      </c>
      <c r="W132">
        <v>0.75684930376610338</v>
      </c>
      <c r="X132">
        <v>4.2532406764356885E-2</v>
      </c>
      <c r="Y132">
        <v>0.38906446674871736</v>
      </c>
      <c r="Z132">
        <v>8.3825850757188555E-2</v>
      </c>
      <c r="AA132">
        <v>0.62807952388019694</v>
      </c>
    </row>
    <row r="133" spans="1:27" x14ac:dyDescent="0.2">
      <c r="A133" s="7" t="s">
        <v>2204</v>
      </c>
      <c r="B133" t="s">
        <v>637</v>
      </c>
      <c r="C133">
        <v>2016</v>
      </c>
      <c r="D133">
        <v>8.3000000000000001E-3</v>
      </c>
      <c r="E133">
        <v>2</v>
      </c>
      <c r="F133">
        <v>8.3000000000000001E-3</v>
      </c>
      <c r="G133">
        <v>5.6703499999999997E-2</v>
      </c>
      <c r="H133">
        <v>1</v>
      </c>
      <c r="I133">
        <v>1</v>
      </c>
      <c r="J133">
        <v>-0.41549295774647887</v>
      </c>
      <c r="K133">
        <v>1.4416944509513498</v>
      </c>
      <c r="L133">
        <v>0</v>
      </c>
      <c r="M133">
        <v>0.91666666666666663</v>
      </c>
      <c r="N133">
        <v>1</v>
      </c>
      <c r="O133">
        <v>8.3333333333333329E-2</v>
      </c>
      <c r="P133">
        <v>25.048259076435773</v>
      </c>
      <c r="Q133">
        <v>0.80084212794700915</v>
      </c>
      <c r="R133">
        <v>7.2539197288492785E-2</v>
      </c>
      <c r="S133">
        <v>0.79192589384038126</v>
      </c>
      <c r="T133">
        <v>1.7419896601414214E-2</v>
      </c>
      <c r="U133">
        <v>0.79398998532686449</v>
      </c>
      <c r="V133">
        <v>26.087817780332625</v>
      </c>
      <c r="W133">
        <v>0.7092172027574053</v>
      </c>
      <c r="X133">
        <v>0.11833766071763344</v>
      </c>
      <c r="Y133">
        <v>0.37407125304543437</v>
      </c>
      <c r="Z133">
        <v>4.329636129537251E-2</v>
      </c>
      <c r="AA133">
        <v>0.72062488218845766</v>
      </c>
    </row>
    <row r="134" spans="1:27" x14ac:dyDescent="0.2">
      <c r="A134" s="7" t="s">
        <v>2204</v>
      </c>
      <c r="B134" t="s">
        <v>639</v>
      </c>
      <c r="C134">
        <v>2015</v>
      </c>
      <c r="D134">
        <v>1.4200000000000001E-2</v>
      </c>
      <c r="E134">
        <v>2</v>
      </c>
      <c r="F134">
        <v>1.4200000000000001E-2</v>
      </c>
      <c r="G134">
        <v>4.0256750000000001E-2</v>
      </c>
      <c r="H134">
        <v>1</v>
      </c>
      <c r="I134">
        <v>0.91666666666666663</v>
      </c>
      <c r="J134">
        <v>1.4482758620689657</v>
      </c>
      <c r="K134">
        <v>4.0242867898199286</v>
      </c>
      <c r="L134">
        <v>1</v>
      </c>
      <c r="M134">
        <v>0.66666666666666663</v>
      </c>
      <c r="N134">
        <v>0</v>
      </c>
      <c r="O134">
        <v>0.33333333333333331</v>
      </c>
      <c r="P134">
        <v>25.07171956851996</v>
      </c>
      <c r="Q134">
        <v>0.78740858193513019</v>
      </c>
      <c r="R134">
        <v>1.0097238286974397E-2</v>
      </c>
      <c r="S134">
        <v>0.80357556044330136</v>
      </c>
      <c r="T134">
        <v>1.918180526952824E-2</v>
      </c>
      <c r="U134">
        <v>0.87039096298398899</v>
      </c>
      <c r="V134">
        <v>26.014769061852853</v>
      </c>
      <c r="W134">
        <v>0.77858044315601693</v>
      </c>
      <c r="X134">
        <v>6.3800722730110483E-3</v>
      </c>
      <c r="Y134">
        <v>0.44397152687593122</v>
      </c>
      <c r="Z134">
        <v>-1.5895469562342029E-2</v>
      </c>
      <c r="AA134">
        <v>0.89482852403453417</v>
      </c>
    </row>
    <row r="135" spans="1:27" x14ac:dyDescent="0.2">
      <c r="A135" s="7" t="s">
        <v>2204</v>
      </c>
      <c r="B135" t="s">
        <v>641</v>
      </c>
      <c r="C135">
        <v>2014</v>
      </c>
      <c r="D135">
        <v>5.7999999999999996E-3</v>
      </c>
      <c r="E135">
        <v>2</v>
      </c>
      <c r="F135">
        <v>5.7999999999999996E-3</v>
      </c>
      <c r="G135">
        <v>3.8484583333333336E-2</v>
      </c>
      <c r="H135">
        <v>1</v>
      </c>
      <c r="I135">
        <v>1</v>
      </c>
      <c r="J135">
        <v>4.6862745098039209</v>
      </c>
      <c r="K135">
        <v>1.0105806058663116</v>
      </c>
      <c r="L135">
        <v>1</v>
      </c>
      <c r="M135">
        <v>0.58333333333333337</v>
      </c>
      <c r="N135">
        <v>0</v>
      </c>
      <c r="O135">
        <v>0.33333333333333331</v>
      </c>
      <c r="P135">
        <v>25.063464528595123</v>
      </c>
      <c r="Q135">
        <v>0.80907764788821135</v>
      </c>
      <c r="R135">
        <v>5.2682844802896422E-2</v>
      </c>
      <c r="S135">
        <v>0.7935232260158317</v>
      </c>
      <c r="T135">
        <v>2.7899180634340368E-2</v>
      </c>
      <c r="U135">
        <v>0.83368076483894538</v>
      </c>
      <c r="V135">
        <v>26.272251843123904</v>
      </c>
      <c r="W135">
        <v>0.76772406951427197</v>
      </c>
      <c r="X135">
        <v>1.9381178964731113E-2</v>
      </c>
      <c r="Y135">
        <v>0.56688778429037778</v>
      </c>
      <c r="Z135">
        <v>1.758491024576499E-2</v>
      </c>
      <c r="AA135">
        <v>0.74579166180996159</v>
      </c>
    </row>
    <row r="136" spans="1:27" x14ac:dyDescent="0.2">
      <c r="A136" s="7" t="s">
        <v>2206</v>
      </c>
      <c r="B136" t="s">
        <v>649</v>
      </c>
      <c r="C136">
        <v>2025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-1</v>
      </c>
      <c r="K136">
        <v>-0.5</v>
      </c>
      <c r="L136">
        <v>0</v>
      </c>
      <c r="M136">
        <v>0</v>
      </c>
      <c r="N136">
        <v>1</v>
      </c>
      <c r="O136">
        <v>0.5</v>
      </c>
      <c r="P136">
        <v>25.33252278075225</v>
      </c>
      <c r="Q136">
        <v>0.74080414811696327</v>
      </c>
      <c r="R136">
        <v>0.54959464730804886</v>
      </c>
      <c r="S136">
        <v>0.67375536712022854</v>
      </c>
      <c r="T136">
        <v>0.12496063624678221</v>
      </c>
      <c r="U136">
        <v>0.83932224831447311</v>
      </c>
      <c r="V136">
        <v>26.758117978956513</v>
      </c>
      <c r="W136">
        <v>0.66856756369013171</v>
      </c>
      <c r="X136">
        <v>0.12334503056581506</v>
      </c>
      <c r="Y136">
        <v>0.76987877298118079</v>
      </c>
      <c r="Z136">
        <v>9.9932314659051405E-2</v>
      </c>
      <c r="AA136">
        <v>0.89649844204643725</v>
      </c>
    </row>
    <row r="137" spans="1:27" x14ac:dyDescent="0.2">
      <c r="A137" s="7" t="s">
        <v>2206</v>
      </c>
      <c r="B137" t="s">
        <v>653</v>
      </c>
      <c r="C137">
        <v>2024</v>
      </c>
      <c r="D137">
        <v>7.4000000000000003E-3</v>
      </c>
      <c r="E137">
        <v>2</v>
      </c>
      <c r="F137">
        <v>7.4000000000000003E-3</v>
      </c>
      <c r="G137">
        <v>6.278333333333333E-2</v>
      </c>
      <c r="H137">
        <v>1</v>
      </c>
      <c r="I137">
        <v>0.5</v>
      </c>
      <c r="J137">
        <v>0.1935483870967743</v>
      </c>
      <c r="K137">
        <v>7.0031621184939635E-2</v>
      </c>
      <c r="L137">
        <v>1</v>
      </c>
      <c r="M137">
        <v>0.5</v>
      </c>
      <c r="N137">
        <v>0</v>
      </c>
      <c r="O137">
        <v>8.3333333333333329E-2</v>
      </c>
      <c r="P137">
        <v>25.116119138675732</v>
      </c>
      <c r="Q137">
        <v>0.77828647233398929</v>
      </c>
      <c r="R137">
        <v>8.2633072508708993E-2</v>
      </c>
      <c r="S137">
        <v>0.59743693895890215</v>
      </c>
      <c r="T137">
        <v>4.756852010727522E-2</v>
      </c>
      <c r="U137">
        <v>0.79966292109077353</v>
      </c>
      <c r="V137">
        <v>26.687676056766772</v>
      </c>
      <c r="W137">
        <v>0.67905197661308592</v>
      </c>
      <c r="X137">
        <v>0.10119245996532698</v>
      </c>
      <c r="Y137">
        <v>0.55919821579551066</v>
      </c>
      <c r="Z137">
        <v>5.840284344333925E-2</v>
      </c>
      <c r="AA137">
        <v>0.94670596962810427</v>
      </c>
    </row>
    <row r="138" spans="1:27" x14ac:dyDescent="0.2">
      <c r="A138" s="7" t="s">
        <v>2206</v>
      </c>
      <c r="B138" t="s">
        <v>657</v>
      </c>
      <c r="C138">
        <v>2023</v>
      </c>
      <c r="D138">
        <v>6.1999999999999998E-3</v>
      </c>
      <c r="E138">
        <v>2</v>
      </c>
      <c r="F138">
        <v>6.1999999999999998E-3</v>
      </c>
      <c r="G138">
        <v>6.5783333333333333E-2</v>
      </c>
      <c r="H138">
        <v>1</v>
      </c>
      <c r="I138">
        <v>0.5</v>
      </c>
      <c r="J138">
        <v>1</v>
      </c>
      <c r="K138">
        <v>3.3699909302320995E-2</v>
      </c>
      <c r="L138">
        <v>1</v>
      </c>
      <c r="M138">
        <v>0.41666666666666669</v>
      </c>
      <c r="N138">
        <v>0</v>
      </c>
      <c r="O138">
        <v>0.25</v>
      </c>
      <c r="P138">
        <v>24.996262216810024</v>
      </c>
      <c r="Q138">
        <v>0.8080634755116809</v>
      </c>
      <c r="R138">
        <v>0.15335085797716719</v>
      </c>
      <c r="S138">
        <v>0.57868504294606038</v>
      </c>
      <c r="T138">
        <v>4.2658888785573626E-2</v>
      </c>
      <c r="U138">
        <v>0.7024089439647373</v>
      </c>
      <c r="V138">
        <v>26.570242818039567</v>
      </c>
      <c r="W138">
        <v>0.69794406610997572</v>
      </c>
      <c r="X138">
        <v>0.13831775133189853</v>
      </c>
      <c r="Y138">
        <v>0.53634916478634709</v>
      </c>
      <c r="Z138">
        <v>7.9511596710895305E-2</v>
      </c>
      <c r="AA138">
        <v>0.83741376294990422</v>
      </c>
    </row>
    <row r="139" spans="1:27" x14ac:dyDescent="0.2">
      <c r="A139" s="7" t="s">
        <v>2206</v>
      </c>
      <c r="B139" t="s">
        <v>661</v>
      </c>
      <c r="C139">
        <v>2022</v>
      </c>
      <c r="D139">
        <v>0</v>
      </c>
      <c r="E139">
        <v>2</v>
      </c>
      <c r="F139">
        <v>0</v>
      </c>
      <c r="G139">
        <v>6.4731666666666673E-2</v>
      </c>
      <c r="H139">
        <v>0</v>
      </c>
      <c r="I139">
        <v>0.66666666666666663</v>
      </c>
      <c r="J139">
        <v>-1</v>
      </c>
      <c r="K139">
        <v>-7.8308528260407059E-2</v>
      </c>
      <c r="L139">
        <v>0</v>
      </c>
      <c r="M139">
        <v>0.33333333333333331</v>
      </c>
      <c r="N139">
        <v>1</v>
      </c>
      <c r="O139">
        <v>0.41666666666666669</v>
      </c>
      <c r="P139">
        <v>24.937031884425565</v>
      </c>
      <c r="Q139">
        <v>0.79838175284895052</v>
      </c>
      <c r="R139">
        <v>2.9230764608529913E-2</v>
      </c>
      <c r="S139">
        <v>0.54820303248400704</v>
      </c>
      <c r="T139">
        <v>-7.1199751757517827E-3</v>
      </c>
      <c r="U139">
        <v>0.73158209267755403</v>
      </c>
      <c r="V139">
        <v>26.464199115629746</v>
      </c>
      <c r="W139">
        <v>0.69809991211899003</v>
      </c>
      <c r="X139">
        <v>7.9186284441015262E-2</v>
      </c>
      <c r="Y139">
        <v>0.51126472655091793</v>
      </c>
      <c r="Z139">
        <v>1.5450948771702496E-2</v>
      </c>
      <c r="AA139">
        <v>0.92896835286878143</v>
      </c>
    </row>
    <row r="140" spans="1:27" x14ac:dyDescent="0.2">
      <c r="A140" s="7" t="s">
        <v>2206</v>
      </c>
      <c r="B140" t="s">
        <v>665</v>
      </c>
      <c r="C140">
        <v>2021</v>
      </c>
      <c r="D140">
        <v>3.2299999999999999E-4</v>
      </c>
      <c r="E140">
        <v>2</v>
      </c>
      <c r="F140">
        <v>3.2299999999999999E-4</v>
      </c>
      <c r="G140">
        <v>8.1758333333333322E-2</v>
      </c>
      <c r="H140">
        <v>1</v>
      </c>
      <c r="I140">
        <v>0.75</v>
      </c>
      <c r="J140">
        <v>1</v>
      </c>
      <c r="K140">
        <v>8.0542850590722317E-2</v>
      </c>
      <c r="L140">
        <v>1</v>
      </c>
      <c r="M140">
        <v>0.58333333333333337</v>
      </c>
      <c r="N140">
        <v>0</v>
      </c>
      <c r="O140">
        <v>0.25</v>
      </c>
      <c r="P140">
        <v>24.89504643550125</v>
      </c>
      <c r="Q140">
        <v>0.80233952736066583</v>
      </c>
      <c r="R140">
        <v>7.4709043242167761E-2</v>
      </c>
      <c r="S140">
        <v>0.55220750177930389</v>
      </c>
      <c r="T140">
        <v>1.5562581073911572E-2</v>
      </c>
      <c r="U140">
        <v>0.63303725498913521</v>
      </c>
      <c r="V140">
        <v>26.029882635409979</v>
      </c>
      <c r="W140">
        <v>0.76672594607127675</v>
      </c>
      <c r="X140">
        <v>0.13193226617327428</v>
      </c>
      <c r="Y140">
        <v>0.49608704496326972</v>
      </c>
      <c r="Z140">
        <v>3.8521876832260479E-2</v>
      </c>
      <c r="AA140">
        <v>0.72299110702192737</v>
      </c>
    </row>
    <row r="141" spans="1:27" x14ac:dyDescent="0.2">
      <c r="A141" s="7" t="s">
        <v>2206</v>
      </c>
      <c r="B141" t="s">
        <v>669</v>
      </c>
      <c r="C141">
        <v>2020</v>
      </c>
      <c r="D141">
        <v>0</v>
      </c>
      <c r="E141">
        <v>2</v>
      </c>
      <c r="F141">
        <v>0</v>
      </c>
      <c r="G141">
        <v>6.9905916666666665E-2</v>
      </c>
      <c r="H141">
        <v>0</v>
      </c>
      <c r="I141">
        <v>0.83333333333333337</v>
      </c>
      <c r="J141">
        <v>-1</v>
      </c>
      <c r="K141">
        <v>-2.2906983693792141E-3</v>
      </c>
      <c r="L141">
        <v>0</v>
      </c>
      <c r="M141">
        <v>0.58333333333333337</v>
      </c>
      <c r="N141">
        <v>1</v>
      </c>
      <c r="O141">
        <v>0.41666666666666669</v>
      </c>
      <c r="P141">
        <v>24.842088679848352</v>
      </c>
      <c r="Q141">
        <v>0.79335708042796815</v>
      </c>
      <c r="R141">
        <v>-4.1031182758852536E-2</v>
      </c>
      <c r="S141">
        <v>0.54279641537261369</v>
      </c>
      <c r="T141">
        <v>-1.9501624973200364E-3</v>
      </c>
      <c r="U141">
        <v>0.59536966515327472</v>
      </c>
      <c r="V141">
        <v>26.284044721679606</v>
      </c>
      <c r="W141">
        <v>0.7409367989004324</v>
      </c>
      <c r="X141">
        <v>-6.6122681469203262E-2</v>
      </c>
      <c r="Y141">
        <v>0.479609755722952</v>
      </c>
      <c r="Z141">
        <v>4.6368787228949888E-2</v>
      </c>
      <c r="AA141">
        <v>0.66491638183936563</v>
      </c>
    </row>
    <row r="142" spans="1:27" x14ac:dyDescent="0.2">
      <c r="A142" s="7" t="s">
        <v>2206</v>
      </c>
      <c r="B142" t="s">
        <v>673</v>
      </c>
      <c r="C142">
        <v>2019</v>
      </c>
      <c r="D142">
        <v>6.463E-3</v>
      </c>
      <c r="E142">
        <v>2</v>
      </c>
      <c r="F142">
        <v>6.463E-3</v>
      </c>
      <c r="G142">
        <v>7.0770083333333331E-2</v>
      </c>
      <c r="H142">
        <v>1</v>
      </c>
      <c r="I142">
        <v>1</v>
      </c>
      <c r="J142">
        <v>-0.51037878787878788</v>
      </c>
      <c r="K142">
        <v>0.21462432332648662</v>
      </c>
      <c r="L142">
        <v>0</v>
      </c>
      <c r="M142">
        <v>0.5</v>
      </c>
      <c r="N142">
        <v>1</v>
      </c>
      <c r="O142">
        <v>0.41666666666666669</v>
      </c>
      <c r="P142">
        <v>24.796126275950115</v>
      </c>
      <c r="Q142">
        <v>0.77708705575188886</v>
      </c>
      <c r="R142">
        <v>-1.1154497660079921E-2</v>
      </c>
      <c r="S142">
        <v>0.54567815273068188</v>
      </c>
      <c r="T142">
        <v>6.9689177291546528E-2</v>
      </c>
      <c r="U142">
        <v>0.50949916143649432</v>
      </c>
      <c r="V142">
        <v>26.244814115387925</v>
      </c>
      <c r="W142">
        <v>0.73365409129860548</v>
      </c>
      <c r="X142">
        <v>4.7009518660406551E-3</v>
      </c>
      <c r="Y142">
        <v>0.46805337500278582</v>
      </c>
      <c r="Z142">
        <v>5.0489052900164061E-2</v>
      </c>
      <c r="AA142">
        <v>0.67840041998824274</v>
      </c>
    </row>
    <row r="143" spans="1:27" x14ac:dyDescent="0.2">
      <c r="A143" s="7" t="s">
        <v>2206</v>
      </c>
      <c r="B143" t="s">
        <v>677</v>
      </c>
      <c r="C143">
        <v>2018</v>
      </c>
      <c r="D143">
        <v>1.32E-2</v>
      </c>
      <c r="E143">
        <v>2</v>
      </c>
      <c r="F143">
        <v>1.32E-2</v>
      </c>
      <c r="G143">
        <v>7.9470416666666654E-2</v>
      </c>
      <c r="H143">
        <v>1</v>
      </c>
      <c r="I143">
        <v>1</v>
      </c>
      <c r="J143">
        <v>-0.10810810810810816</v>
      </c>
      <c r="K143">
        <v>0.20526737063992784</v>
      </c>
      <c r="L143">
        <v>0</v>
      </c>
      <c r="M143">
        <v>0.66666666666666663</v>
      </c>
      <c r="N143">
        <v>1</v>
      </c>
      <c r="O143">
        <v>0.16666666666666666</v>
      </c>
      <c r="P143">
        <v>24.704188794878007</v>
      </c>
      <c r="Q143">
        <v>0.76668633507192774</v>
      </c>
      <c r="R143">
        <v>7.4870642744845117E-2</v>
      </c>
      <c r="S143">
        <v>0.53699142530845712</v>
      </c>
      <c r="T143">
        <v>0.10780452503367499</v>
      </c>
      <c r="U143">
        <v>0.38204930545679638</v>
      </c>
      <c r="V143">
        <v>26.194909614949182</v>
      </c>
      <c r="W143">
        <v>0.75205862774566234</v>
      </c>
      <c r="X143">
        <v>4.8143928474705992E-2</v>
      </c>
      <c r="Y143">
        <v>0.45836126694087204</v>
      </c>
      <c r="Z143">
        <v>6.5128717431131869E-2</v>
      </c>
      <c r="AA143">
        <v>0.65279441799851645</v>
      </c>
    </row>
    <row r="144" spans="1:27" x14ac:dyDescent="0.2">
      <c r="A144" s="7" t="s">
        <v>2206</v>
      </c>
      <c r="B144" t="s">
        <v>681</v>
      </c>
      <c r="C144">
        <v>2017</v>
      </c>
      <c r="D144">
        <v>1.4800000000000001E-2</v>
      </c>
      <c r="E144">
        <v>2</v>
      </c>
      <c r="F144">
        <v>1.4800000000000001E-2</v>
      </c>
      <c r="G144">
        <v>7.0875499999999994E-2</v>
      </c>
      <c r="H144">
        <v>1</v>
      </c>
      <c r="I144">
        <v>1</v>
      </c>
      <c r="J144">
        <v>1.1010789324247587</v>
      </c>
      <c r="K144">
        <v>0.54999305990488689</v>
      </c>
      <c r="L144">
        <v>1</v>
      </c>
      <c r="M144">
        <v>0.75</v>
      </c>
      <c r="N144">
        <v>0</v>
      </c>
      <c r="O144">
        <v>0.25</v>
      </c>
      <c r="P144">
        <v>24.681594646886069</v>
      </c>
      <c r="Q144">
        <v>0.73423929810755384</v>
      </c>
      <c r="R144">
        <v>0.1108744185375039</v>
      </c>
      <c r="S144">
        <v>0.49937023290640348</v>
      </c>
      <c r="T144">
        <v>0.10806502412079667</v>
      </c>
      <c r="U144">
        <v>0.46119952788254676</v>
      </c>
      <c r="V144">
        <v>26.164179909265656</v>
      </c>
      <c r="W144">
        <v>0.76227237962431527</v>
      </c>
      <c r="X144">
        <v>4.0471055077453362E-2</v>
      </c>
      <c r="Y144">
        <v>0.41389623388709412</v>
      </c>
      <c r="Z144">
        <v>7.9362104462506008E-2</v>
      </c>
      <c r="AA144">
        <v>0.64547650784828348</v>
      </c>
    </row>
    <row r="145" spans="1:27" x14ac:dyDescent="0.2">
      <c r="A145" s="7" t="s">
        <v>2206</v>
      </c>
      <c r="B145" t="s">
        <v>685</v>
      </c>
      <c r="C145">
        <v>2016</v>
      </c>
      <c r="D145">
        <v>7.0439999999999999E-3</v>
      </c>
      <c r="E145">
        <v>2</v>
      </c>
      <c r="F145">
        <v>7.0439999999999999E-3</v>
      </c>
      <c r="G145">
        <v>5.680816666666666E-2</v>
      </c>
      <c r="H145">
        <v>1</v>
      </c>
      <c r="I145">
        <v>1</v>
      </c>
      <c r="J145">
        <v>4.4184615384615382</v>
      </c>
      <c r="K145">
        <v>1.0388649096006819</v>
      </c>
      <c r="L145">
        <v>1</v>
      </c>
      <c r="M145">
        <v>0.83333333333333337</v>
      </c>
      <c r="N145">
        <v>0</v>
      </c>
      <c r="O145">
        <v>0.16666666666666666</v>
      </c>
      <c r="P145">
        <v>24.656658887687882</v>
      </c>
      <c r="Q145">
        <v>0.75865822712102138</v>
      </c>
      <c r="R145">
        <v>0.11138402115763979</v>
      </c>
      <c r="S145">
        <v>0.4332971067885838</v>
      </c>
      <c r="T145">
        <v>5.4912976901168878E-2</v>
      </c>
      <c r="U145">
        <v>0.62543724595184835</v>
      </c>
      <c r="V145">
        <v>26.120451129394947</v>
      </c>
      <c r="W145">
        <v>0.71273252782623764</v>
      </c>
      <c r="X145">
        <v>0.11445317833071873</v>
      </c>
      <c r="Y145">
        <v>0.40667387005014333</v>
      </c>
      <c r="Z145">
        <v>3.9547053265397036E-2</v>
      </c>
      <c r="AA145">
        <v>0.73467094380304232</v>
      </c>
    </row>
    <row r="146" spans="1:27" x14ac:dyDescent="0.2">
      <c r="A146" s="7" t="s">
        <v>2208</v>
      </c>
      <c r="B146" t="s">
        <v>693</v>
      </c>
      <c r="C146">
        <v>2021</v>
      </c>
      <c r="D146">
        <v>0.22</v>
      </c>
      <c r="E146">
        <v>2</v>
      </c>
      <c r="F146">
        <v>0.22</v>
      </c>
      <c r="G146">
        <v>6.3451916666666663E-2</v>
      </c>
      <c r="H146">
        <v>1</v>
      </c>
      <c r="I146">
        <v>0.75</v>
      </c>
      <c r="J146">
        <v>0.22222222222222227</v>
      </c>
      <c r="K146">
        <v>0.14535766540553713</v>
      </c>
      <c r="L146">
        <v>1</v>
      </c>
      <c r="M146">
        <v>0.58333333333333337</v>
      </c>
      <c r="N146">
        <v>0</v>
      </c>
      <c r="O146">
        <v>0.25</v>
      </c>
      <c r="P146">
        <v>26.660955064621074</v>
      </c>
      <c r="Q146">
        <v>0.65258614776630486</v>
      </c>
      <c r="R146">
        <v>0.2445994649213965</v>
      </c>
      <c r="S146">
        <v>-0.11769378789988733</v>
      </c>
      <c r="T146">
        <v>7.3634086424637646E-3</v>
      </c>
      <c r="U146">
        <v>0.19968730614880176</v>
      </c>
      <c r="V146">
        <v>25.853291772497993</v>
      </c>
      <c r="W146">
        <v>0.78170128403071282</v>
      </c>
      <c r="X146">
        <v>0.1149432240053514</v>
      </c>
      <c r="Y146">
        <v>0.56307717393118883</v>
      </c>
      <c r="Z146">
        <v>3.9341794075405258E-2</v>
      </c>
      <c r="AA146">
        <v>0.76632610190596073</v>
      </c>
    </row>
    <row r="147" spans="1:27" x14ac:dyDescent="0.2">
      <c r="A147" s="7" t="s">
        <v>2208</v>
      </c>
      <c r="B147" t="s">
        <v>697</v>
      </c>
      <c r="C147">
        <v>2020</v>
      </c>
      <c r="D147">
        <v>0.18</v>
      </c>
      <c r="E147">
        <v>2</v>
      </c>
      <c r="F147">
        <v>0.18</v>
      </c>
      <c r="G147">
        <v>5.4905916666666665E-2</v>
      </c>
      <c r="H147">
        <v>1</v>
      </c>
      <c r="I147">
        <v>0.75</v>
      </c>
      <c r="J147">
        <v>0.5</v>
      </c>
      <c r="K147">
        <v>-0.1272906983693792</v>
      </c>
      <c r="L147">
        <v>1</v>
      </c>
      <c r="M147">
        <v>0.5</v>
      </c>
      <c r="N147">
        <v>0</v>
      </c>
      <c r="O147">
        <v>0.5</v>
      </c>
      <c r="P147">
        <v>26.732056909122395</v>
      </c>
      <c r="Q147">
        <v>0.67595352231376127</v>
      </c>
      <c r="R147">
        <v>-4.673379808933642E-2</v>
      </c>
      <c r="S147">
        <v>-0.11305341868031571</v>
      </c>
      <c r="T147">
        <v>1.9629803140768502E-2</v>
      </c>
      <c r="U147">
        <v>0.23408764945071273</v>
      </c>
      <c r="V147">
        <v>26.1265473692401</v>
      </c>
      <c r="W147">
        <v>0.75072042874328293</v>
      </c>
      <c r="X147">
        <v>-6.5647463524996272E-2</v>
      </c>
      <c r="Y147">
        <v>0.53426390856069617</v>
      </c>
      <c r="Z147">
        <v>4.457045675910918E-2</v>
      </c>
      <c r="AA147">
        <v>0.69502321648124576</v>
      </c>
    </row>
    <row r="148" spans="1:27" x14ac:dyDescent="0.2">
      <c r="A148" s="7" t="s">
        <v>2208</v>
      </c>
      <c r="B148" t="s">
        <v>701</v>
      </c>
      <c r="C148">
        <v>2019</v>
      </c>
      <c r="D148">
        <v>0.12</v>
      </c>
      <c r="E148">
        <v>2</v>
      </c>
      <c r="F148">
        <v>0.12</v>
      </c>
      <c r="G148">
        <v>6.1308666666666657E-2</v>
      </c>
      <c r="H148">
        <v>1</v>
      </c>
      <c r="I148">
        <v>1</v>
      </c>
      <c r="J148">
        <v>-0.42857142857142855</v>
      </c>
      <c r="K148">
        <v>0.20780704338420666</v>
      </c>
      <c r="L148">
        <v>0</v>
      </c>
      <c r="M148">
        <v>0.5</v>
      </c>
      <c r="N148">
        <v>1</v>
      </c>
      <c r="O148">
        <v>0.41666666666666669</v>
      </c>
      <c r="P148">
        <v>26.745940734360683</v>
      </c>
      <c r="Q148">
        <v>0.65609756688580279</v>
      </c>
      <c r="R148">
        <v>-4.572333685322072E-2</v>
      </c>
      <c r="S148">
        <v>-0.12726298054832286</v>
      </c>
      <c r="T148">
        <v>2.5913827547108689E-2</v>
      </c>
      <c r="U148">
        <v>0.26414764895083476</v>
      </c>
      <c r="V148">
        <v>26.08232957718705</v>
      </c>
      <c r="W148">
        <v>0.74373654870411265</v>
      </c>
      <c r="X148">
        <v>7.5816884654690553E-3</v>
      </c>
      <c r="Y148">
        <v>0.52413180277603633</v>
      </c>
      <c r="Z148">
        <v>5.4136998712200547E-2</v>
      </c>
      <c r="AA148">
        <v>0.69884637936204774</v>
      </c>
    </row>
    <row r="149" spans="1:27" x14ac:dyDescent="0.2">
      <c r="A149" s="7" t="s">
        <v>2208</v>
      </c>
      <c r="B149" t="s">
        <v>705</v>
      </c>
      <c r="C149">
        <v>2018</v>
      </c>
      <c r="D149">
        <v>0.21</v>
      </c>
      <c r="E149">
        <v>2</v>
      </c>
      <c r="F149">
        <v>0.21</v>
      </c>
      <c r="G149">
        <v>6.307041666666667E-2</v>
      </c>
      <c r="H149">
        <v>1</v>
      </c>
      <c r="I149">
        <v>1</v>
      </c>
      <c r="J149">
        <v>0.23529411764705868</v>
      </c>
      <c r="K149">
        <v>0.17665051849366389</v>
      </c>
      <c r="L149">
        <v>1</v>
      </c>
      <c r="M149">
        <v>0.58333333333333337</v>
      </c>
      <c r="N149">
        <v>0</v>
      </c>
      <c r="O149">
        <v>0.25</v>
      </c>
      <c r="P149">
        <v>26.516764083971836</v>
      </c>
      <c r="Q149">
        <v>0.63899207396414548</v>
      </c>
      <c r="R149">
        <v>1.4353041988003357E-2</v>
      </c>
      <c r="S149">
        <v>-0.15058099030058442</v>
      </c>
      <c r="T149">
        <v>6.4569551406774603E-2</v>
      </c>
      <c r="U149">
        <v>0.18457406678771382</v>
      </c>
      <c r="V149">
        <v>26.043861674191362</v>
      </c>
      <c r="W149">
        <v>0.76269981617131088</v>
      </c>
      <c r="X149">
        <v>5.318706187110947E-2</v>
      </c>
      <c r="Y149">
        <v>0.51565896824162549</v>
      </c>
      <c r="Z149">
        <v>6.8731631900040238E-2</v>
      </c>
      <c r="AA149">
        <v>0.66925068788760667</v>
      </c>
    </row>
    <row r="150" spans="1:27" x14ac:dyDescent="0.2">
      <c r="A150" s="7" t="s">
        <v>2208</v>
      </c>
      <c r="B150" t="s">
        <v>709</v>
      </c>
      <c r="C150">
        <v>2017</v>
      </c>
      <c r="D150">
        <v>0.17</v>
      </c>
      <c r="E150">
        <v>2</v>
      </c>
      <c r="F150">
        <v>0.17</v>
      </c>
      <c r="G150">
        <v>5.7942166666666663E-2</v>
      </c>
      <c r="H150">
        <v>1</v>
      </c>
      <c r="I150">
        <v>1</v>
      </c>
      <c r="J150">
        <v>1.0047169811320755</v>
      </c>
      <c r="K150">
        <v>0.55802322251261061</v>
      </c>
      <c r="L150">
        <v>1</v>
      </c>
      <c r="M150">
        <v>0.75</v>
      </c>
      <c r="N150">
        <v>0</v>
      </c>
      <c r="O150">
        <v>0.25</v>
      </c>
      <c r="P150">
        <v>26.536939548026858</v>
      </c>
      <c r="Q150">
        <v>0.64505281516632973</v>
      </c>
      <c r="R150">
        <v>2.8323262839879071E-2</v>
      </c>
      <c r="S150">
        <v>-0.20769508019462965</v>
      </c>
      <c r="T150">
        <v>7.3365566222614004E-2</v>
      </c>
      <c r="U150">
        <v>0.25715969844416409</v>
      </c>
      <c r="V150">
        <v>26.009567834170586</v>
      </c>
      <c r="W150">
        <v>0.76970458653608398</v>
      </c>
      <c r="X150">
        <v>4.7350318052255432E-2</v>
      </c>
      <c r="Y150">
        <v>0.4728183433121802</v>
      </c>
      <c r="Z150">
        <v>8.2253725954021209E-2</v>
      </c>
      <c r="AA150">
        <v>0.66247982696814878</v>
      </c>
    </row>
    <row r="151" spans="1:27" x14ac:dyDescent="0.2">
      <c r="A151" s="7" t="s">
        <v>2208</v>
      </c>
      <c r="B151" t="s">
        <v>713</v>
      </c>
      <c r="C151">
        <v>2016</v>
      </c>
      <c r="D151">
        <v>8.48E-2</v>
      </c>
      <c r="E151">
        <v>2</v>
      </c>
      <c r="F151">
        <v>8.48E-2</v>
      </c>
      <c r="G151">
        <v>5.0328499999999998E-2</v>
      </c>
      <c r="H151">
        <v>1</v>
      </c>
      <c r="I151">
        <v>1</v>
      </c>
      <c r="J151">
        <v>0.49559082892416223</v>
      </c>
      <c r="K151">
        <v>1.3657708020621298</v>
      </c>
      <c r="L151">
        <v>1</v>
      </c>
      <c r="M151">
        <v>0.83333333333333337</v>
      </c>
      <c r="N151">
        <v>0</v>
      </c>
      <c r="O151">
        <v>0.16666666666666666</v>
      </c>
      <c r="P151">
        <v>26.555951510642895</v>
      </c>
      <c r="Q151">
        <v>0.65243470056318387</v>
      </c>
      <c r="R151">
        <v>0.11388559443337631</v>
      </c>
      <c r="S151">
        <v>-0.31159216568269138</v>
      </c>
      <c r="T151">
        <v>4.0013041905309216E-2</v>
      </c>
      <c r="U151">
        <v>0.390497610345797</v>
      </c>
      <c r="V151">
        <v>25.962176744148696</v>
      </c>
      <c r="W151">
        <v>0.72158448837272404</v>
      </c>
      <c r="X151">
        <v>0.11420302100314508</v>
      </c>
      <c r="Y151">
        <v>0.47439107663844099</v>
      </c>
      <c r="Z151">
        <v>4.1037046764983008E-2</v>
      </c>
      <c r="AA151">
        <v>0.75424924677021332</v>
      </c>
    </row>
    <row r="152" spans="1:27" x14ac:dyDescent="0.2">
      <c r="A152" s="7" t="s">
        <v>2210</v>
      </c>
      <c r="B152" t="s">
        <v>737</v>
      </c>
      <c r="C152">
        <v>2025</v>
      </c>
      <c r="D152">
        <v>0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-1</v>
      </c>
      <c r="K152">
        <v>-0.5</v>
      </c>
      <c r="L152">
        <v>0</v>
      </c>
      <c r="M152">
        <v>0</v>
      </c>
      <c r="N152">
        <v>1</v>
      </c>
      <c r="O152">
        <v>0.5</v>
      </c>
      <c r="P152">
        <v>27.081764475516895</v>
      </c>
      <c r="Q152">
        <v>0.86576644110575507</v>
      </c>
      <c r="R152">
        <v>0.14446078670951201</v>
      </c>
      <c r="S152">
        <v>0.90540085387478686</v>
      </c>
      <c r="T152">
        <v>7.7528229436738372E-2</v>
      </c>
      <c r="U152">
        <v>1.2427759101428866</v>
      </c>
      <c r="V152">
        <v>26.508226308275848</v>
      </c>
      <c r="W152">
        <v>0.6507158075488757</v>
      </c>
      <c r="X152">
        <v>0.18122129636560605</v>
      </c>
      <c r="Y152">
        <v>0.731271191855421</v>
      </c>
      <c r="Z152">
        <v>0.10670837277477195</v>
      </c>
      <c r="AA152">
        <v>0.83886220464237826</v>
      </c>
    </row>
    <row r="153" spans="1:27" x14ac:dyDescent="0.2">
      <c r="A153" s="7" t="s">
        <v>2210</v>
      </c>
      <c r="B153" t="s">
        <v>741</v>
      </c>
      <c r="C153">
        <v>2024</v>
      </c>
      <c r="D153">
        <v>0.15</v>
      </c>
      <c r="E153">
        <v>2</v>
      </c>
      <c r="F153">
        <v>0.15</v>
      </c>
      <c r="G153">
        <v>5.0899999999999994E-2</v>
      </c>
      <c r="H153">
        <v>1</v>
      </c>
      <c r="I153">
        <v>0.5</v>
      </c>
      <c r="J153">
        <v>7.1428571428571286E-2</v>
      </c>
      <c r="K153">
        <v>8.020827249062322E-2</v>
      </c>
      <c r="L153">
        <v>1</v>
      </c>
      <c r="M153">
        <v>0.5</v>
      </c>
      <c r="N153">
        <v>0</v>
      </c>
      <c r="O153">
        <v>8.3333333333333329E-2</v>
      </c>
      <c r="P153">
        <v>26.938597519518439</v>
      </c>
      <c r="Q153">
        <v>0.84821605620058338</v>
      </c>
      <c r="R153">
        <v>8.5812354464640972E-2</v>
      </c>
      <c r="S153">
        <v>0.89088486741455519</v>
      </c>
      <c r="T153">
        <v>2.9530773694809206E-2</v>
      </c>
      <c r="U153">
        <v>1.2418524829547664</v>
      </c>
      <c r="V153">
        <v>26.485178458895362</v>
      </c>
      <c r="W153">
        <v>0.67128202285013094</v>
      </c>
      <c r="X153">
        <v>0.10083920641466787</v>
      </c>
      <c r="Y153">
        <v>0.52659289041154922</v>
      </c>
      <c r="Z153">
        <v>6.0407037489168806E-2</v>
      </c>
      <c r="AA153">
        <v>0.89757379608766064</v>
      </c>
    </row>
    <row r="154" spans="1:27" x14ac:dyDescent="0.2">
      <c r="A154" s="7" t="s">
        <v>2210</v>
      </c>
      <c r="B154" t="s">
        <v>745</v>
      </c>
      <c r="C154">
        <v>2023</v>
      </c>
      <c r="D154">
        <v>0.14000000000000001</v>
      </c>
      <c r="E154">
        <v>2</v>
      </c>
      <c r="F154">
        <v>0.14000000000000001</v>
      </c>
      <c r="G154">
        <v>5.4633333333333332E-2</v>
      </c>
      <c r="H154">
        <v>1</v>
      </c>
      <c r="I154">
        <v>0.5</v>
      </c>
      <c r="J154">
        <v>0.44329896907216504</v>
      </c>
      <c r="K154">
        <v>8.0091661879640563E-2</v>
      </c>
      <c r="L154">
        <v>1</v>
      </c>
      <c r="M154">
        <v>0.41666666666666669</v>
      </c>
      <c r="N154">
        <v>0</v>
      </c>
      <c r="O154">
        <v>0.25</v>
      </c>
      <c r="P154">
        <v>26.76010442228521</v>
      </c>
      <c r="Q154">
        <v>0.8716278006895779</v>
      </c>
      <c r="R154">
        <v>0.14847187202346435</v>
      </c>
      <c r="S154">
        <v>0.88739420671371727</v>
      </c>
      <c r="T154">
        <v>6.5146180233366602E-2</v>
      </c>
      <c r="U154">
        <v>0.93537093478583977</v>
      </c>
      <c r="V154">
        <v>26.374260350764548</v>
      </c>
      <c r="W154">
        <v>0.69088136331243166</v>
      </c>
      <c r="X154">
        <v>0.13885986088230995</v>
      </c>
      <c r="Y154">
        <v>0.50204814658994068</v>
      </c>
      <c r="Z154">
        <v>7.7013008772251645E-2</v>
      </c>
      <c r="AA154">
        <v>0.81152909730311507</v>
      </c>
    </row>
    <row r="155" spans="1:27" x14ac:dyDescent="0.2">
      <c r="A155" s="7" t="s">
        <v>2210</v>
      </c>
      <c r="B155" t="s">
        <v>749</v>
      </c>
      <c r="C155">
        <v>2022</v>
      </c>
      <c r="D155">
        <v>9.7000000000000003E-2</v>
      </c>
      <c r="E155">
        <v>2</v>
      </c>
      <c r="F155">
        <v>9.7000000000000003E-2</v>
      </c>
      <c r="G155">
        <v>5.6648333333333335E-2</v>
      </c>
      <c r="H155">
        <v>1</v>
      </c>
      <c r="I155">
        <v>0.58333333333333337</v>
      </c>
      <c r="J155">
        <v>2.1052631578947385E-2</v>
      </c>
      <c r="K155">
        <v>-0.16339624755865267</v>
      </c>
      <c r="L155">
        <v>1</v>
      </c>
      <c r="M155">
        <v>0.25</v>
      </c>
      <c r="N155">
        <v>0</v>
      </c>
      <c r="O155">
        <v>0.5</v>
      </c>
      <c r="P155">
        <v>26.685566031182468</v>
      </c>
      <c r="Q155">
        <v>0.84437235188636217</v>
      </c>
      <c r="R155">
        <v>8.0989937159533065E-2</v>
      </c>
      <c r="S155">
        <v>0.87205453585580606</v>
      </c>
      <c r="T155">
        <v>3.4897872798493788E-2</v>
      </c>
      <c r="U155">
        <v>1.0410646557668031</v>
      </c>
      <c r="V155">
        <v>26.269917543767868</v>
      </c>
      <c r="W155">
        <v>0.69298984555927767</v>
      </c>
      <c r="X155">
        <v>7.1792116933729097E-2</v>
      </c>
      <c r="Y155">
        <v>0.47528122617627361</v>
      </c>
      <c r="Z155">
        <v>9.4483990610959839E-3</v>
      </c>
      <c r="AA155">
        <v>0.89458140141442066</v>
      </c>
    </row>
    <row r="156" spans="1:27" x14ac:dyDescent="0.2">
      <c r="A156" s="7" t="s">
        <v>2210</v>
      </c>
      <c r="B156" t="s">
        <v>752</v>
      </c>
      <c r="C156">
        <v>2021</v>
      </c>
      <c r="D156">
        <v>9.5000000000000001E-2</v>
      </c>
      <c r="E156">
        <v>2</v>
      </c>
      <c r="F156">
        <v>9.5000000000000001E-2</v>
      </c>
      <c r="G156">
        <v>7.3868583333333335E-2</v>
      </c>
      <c r="H156">
        <v>1</v>
      </c>
      <c r="I156">
        <v>0.75</v>
      </c>
      <c r="J156">
        <v>0.92697768762677502</v>
      </c>
      <c r="K156">
        <v>8.6628043288491066E-2</v>
      </c>
      <c r="L156">
        <v>1</v>
      </c>
      <c r="M156">
        <v>0.58333333333333337</v>
      </c>
      <c r="N156">
        <v>0</v>
      </c>
      <c r="O156">
        <v>0.25</v>
      </c>
      <c r="P156">
        <v>26.669693498514317</v>
      </c>
      <c r="Q156">
        <v>0.86740642062193629</v>
      </c>
      <c r="R156">
        <v>0.1256320346821338</v>
      </c>
      <c r="S156">
        <v>0.86877779050774162</v>
      </c>
      <c r="T156">
        <v>2.8277405301103134E-2</v>
      </c>
      <c r="U156">
        <v>1.0603730512102738</v>
      </c>
      <c r="V156">
        <v>25.852417929108675</v>
      </c>
      <c r="W156">
        <v>0.76021925674514967</v>
      </c>
      <c r="X156">
        <v>0.12683996702927766</v>
      </c>
      <c r="Y156">
        <v>0.464430016090426</v>
      </c>
      <c r="Z156">
        <v>3.7250394409541324E-2</v>
      </c>
      <c r="AA156">
        <v>0.68025752739981349</v>
      </c>
    </row>
    <row r="157" spans="1:27" x14ac:dyDescent="0.2">
      <c r="A157" s="7" t="s">
        <v>2210</v>
      </c>
      <c r="B157" t="s">
        <v>756</v>
      </c>
      <c r="C157">
        <v>2020</v>
      </c>
      <c r="D157">
        <v>4.9299999999999997E-2</v>
      </c>
      <c r="E157">
        <v>2</v>
      </c>
      <c r="F157">
        <v>4.9299999999999997E-2</v>
      </c>
      <c r="G157">
        <v>6.579758333333334E-2</v>
      </c>
      <c r="H157">
        <v>1</v>
      </c>
      <c r="I157">
        <v>0.75</v>
      </c>
      <c r="J157">
        <v>-0.27393225331369669</v>
      </c>
      <c r="K157">
        <v>-6.2796343926571158E-2</v>
      </c>
      <c r="L157">
        <v>0</v>
      </c>
      <c r="M157">
        <v>0.58333333333333337</v>
      </c>
      <c r="N157">
        <v>1</v>
      </c>
      <c r="O157">
        <v>0.41666666666666669</v>
      </c>
      <c r="P157">
        <v>26.601751592327492</v>
      </c>
      <c r="Q157">
        <v>0.8969074269407864</v>
      </c>
      <c r="R157">
        <v>1.6272985545245255E-2</v>
      </c>
      <c r="S157">
        <v>0.86273226813526604</v>
      </c>
      <c r="T157">
        <v>1.3508436482839035E-2</v>
      </c>
      <c r="U157">
        <v>1.0137250732308312</v>
      </c>
      <c r="V157">
        <v>26.137406145639677</v>
      </c>
      <c r="W157">
        <v>0.73230760335769751</v>
      </c>
      <c r="X157">
        <v>-7.0898028827878087E-2</v>
      </c>
      <c r="Y157">
        <v>0.45294843465939771</v>
      </c>
      <c r="Z157">
        <v>4.5080570647269967E-2</v>
      </c>
      <c r="AA157">
        <v>0.63005343116623591</v>
      </c>
    </row>
    <row r="158" spans="1:27" x14ac:dyDescent="0.2">
      <c r="A158" s="7" t="s">
        <v>2210</v>
      </c>
      <c r="B158" t="s">
        <v>760</v>
      </c>
      <c r="C158">
        <v>2019</v>
      </c>
      <c r="D158">
        <v>6.7900000000000002E-2</v>
      </c>
      <c r="E158">
        <v>2</v>
      </c>
      <c r="F158">
        <v>6.7900000000000002E-2</v>
      </c>
      <c r="G158">
        <v>6.5650333333333324E-2</v>
      </c>
      <c r="H158">
        <v>1</v>
      </c>
      <c r="I158">
        <v>1</v>
      </c>
      <c r="J158">
        <v>0.15084745762711874</v>
      </c>
      <c r="K158">
        <v>0.1595221362009944</v>
      </c>
      <c r="L158">
        <v>1</v>
      </c>
      <c r="M158">
        <v>0.41666666666666669</v>
      </c>
      <c r="N158">
        <v>0</v>
      </c>
      <c r="O158">
        <v>0.5</v>
      </c>
      <c r="P158">
        <v>26.571757105353889</v>
      </c>
      <c r="Q158">
        <v>0.90252989513810833</v>
      </c>
      <c r="R158">
        <v>1.2404559864281461E-2</v>
      </c>
      <c r="S158">
        <v>0.8599849943016441</v>
      </c>
      <c r="T158">
        <v>2.3676097436131555E-2</v>
      </c>
      <c r="U158">
        <v>0.99333302505770871</v>
      </c>
      <c r="V158">
        <v>26.096844879604276</v>
      </c>
      <c r="W158">
        <v>0.72320052134975388</v>
      </c>
      <c r="X158">
        <v>2.7376970723438734E-3</v>
      </c>
      <c r="Y158">
        <v>0.44186113820520562</v>
      </c>
      <c r="Z158">
        <v>5.4323476221448647E-2</v>
      </c>
      <c r="AA158">
        <v>0.63808093135314159</v>
      </c>
    </row>
    <row r="159" spans="1:27" x14ac:dyDescent="0.2">
      <c r="A159" s="7" t="s">
        <v>2210</v>
      </c>
      <c r="B159" t="s">
        <v>764</v>
      </c>
      <c r="C159">
        <v>2018</v>
      </c>
      <c r="D159">
        <v>5.8999999999999997E-2</v>
      </c>
      <c r="E159">
        <v>2</v>
      </c>
      <c r="F159">
        <v>5.8999999999999997E-2</v>
      </c>
      <c r="G159">
        <v>7.5653750000000006E-2</v>
      </c>
      <c r="H159">
        <v>1</v>
      </c>
      <c r="I159">
        <v>1</v>
      </c>
      <c r="J159">
        <v>0.86708860759493644</v>
      </c>
      <c r="K159">
        <v>0.12400097766467411</v>
      </c>
      <c r="L159">
        <v>1</v>
      </c>
      <c r="M159">
        <v>0.58333333333333337</v>
      </c>
      <c r="N159">
        <v>0</v>
      </c>
      <c r="O159">
        <v>0.25</v>
      </c>
      <c r="P159">
        <v>26.546609120157978</v>
      </c>
      <c r="Q159">
        <v>0.90278677822370301</v>
      </c>
      <c r="R159">
        <v>5.9738092597592107E-2</v>
      </c>
      <c r="S159">
        <v>0.85791905538411928</v>
      </c>
      <c r="T159">
        <v>1.9453490970538889E-2</v>
      </c>
      <c r="U159">
        <v>0.97251122944033663</v>
      </c>
      <c r="V159">
        <v>26.041374587842515</v>
      </c>
      <c r="W159">
        <v>0.74071692414968104</v>
      </c>
      <c r="X159">
        <v>4.9404974320310407E-2</v>
      </c>
      <c r="Y159">
        <v>0.4316172977679002</v>
      </c>
      <c r="Z159">
        <v>7.2491303603059873E-2</v>
      </c>
      <c r="AA159">
        <v>0.6035892576665548</v>
      </c>
    </row>
    <row r="160" spans="1:27" x14ac:dyDescent="0.2">
      <c r="A160" s="7" t="s">
        <v>2210</v>
      </c>
      <c r="B160" t="s">
        <v>768</v>
      </c>
      <c r="C160">
        <v>2017</v>
      </c>
      <c r="D160">
        <v>3.1600000000000003E-2</v>
      </c>
      <c r="E160">
        <v>2</v>
      </c>
      <c r="F160">
        <v>3.1600000000000003E-2</v>
      </c>
      <c r="G160">
        <v>6.9475500000000009E-2</v>
      </c>
      <c r="H160">
        <v>1</v>
      </c>
      <c r="I160">
        <v>1</v>
      </c>
      <c r="J160">
        <v>1.2820512820512966E-2</v>
      </c>
      <c r="K160">
        <v>0.64068126153857408</v>
      </c>
      <c r="L160">
        <v>1</v>
      </c>
      <c r="M160">
        <v>0.75</v>
      </c>
      <c r="N160">
        <v>0</v>
      </c>
      <c r="O160">
        <v>0.25</v>
      </c>
      <c r="P160">
        <v>26.549421952805872</v>
      </c>
      <c r="Q160">
        <v>0.90504163847403973</v>
      </c>
      <c r="R160">
        <v>4.9811704568497595E-2</v>
      </c>
      <c r="S160">
        <v>0.85966860752545704</v>
      </c>
      <c r="T160">
        <v>9.0942091394830837E-3</v>
      </c>
      <c r="U160">
        <v>0.95370991627048651</v>
      </c>
      <c r="V160">
        <v>26.008527633772335</v>
      </c>
      <c r="W160">
        <v>0.74803885126044145</v>
      </c>
      <c r="X160">
        <v>4.5559614574870559E-2</v>
      </c>
      <c r="Y160">
        <v>0.38387136933550631</v>
      </c>
      <c r="Z160">
        <v>8.7609672377615466E-2</v>
      </c>
      <c r="AA160">
        <v>0.6044339754826219</v>
      </c>
    </row>
    <row r="161" spans="1:27" x14ac:dyDescent="0.2">
      <c r="A161" s="7" t="s">
        <v>2210</v>
      </c>
      <c r="B161" t="s">
        <v>772</v>
      </c>
      <c r="C161">
        <v>2016</v>
      </c>
      <c r="D161">
        <v>3.1199999999999999E-2</v>
      </c>
      <c r="E161">
        <v>2</v>
      </c>
      <c r="F161">
        <v>3.1199999999999999E-2</v>
      </c>
      <c r="G161">
        <v>5.4795166666666666E-2</v>
      </c>
      <c r="H161">
        <v>1</v>
      </c>
      <c r="I161">
        <v>1</v>
      </c>
      <c r="J161">
        <v>-0.76</v>
      </c>
      <c r="K161">
        <v>1.4704033711391433</v>
      </c>
      <c r="L161">
        <v>0</v>
      </c>
      <c r="M161">
        <v>0.91666666666666663</v>
      </c>
      <c r="N161">
        <v>1</v>
      </c>
      <c r="O161">
        <v>8.3333333333333329E-2</v>
      </c>
      <c r="P161">
        <v>26.547836155704434</v>
      </c>
      <c r="Q161">
        <v>0.89621560714380921</v>
      </c>
      <c r="R161">
        <v>8.3094748266029805E-2</v>
      </c>
      <c r="S161">
        <v>0.75119907862881496</v>
      </c>
      <c r="T161">
        <v>2.8291571564999451E-2</v>
      </c>
      <c r="U161">
        <v>0.96166566725821434</v>
      </c>
      <c r="V161">
        <v>25.962853023726904</v>
      </c>
      <c r="W161">
        <v>0.70126941282433863</v>
      </c>
      <c r="X161">
        <v>0.11728210561987973</v>
      </c>
      <c r="Y161">
        <v>0.3777736907919404</v>
      </c>
      <c r="Z161">
        <v>4.2209193799013986E-2</v>
      </c>
      <c r="AA161">
        <v>0.70665190869417849</v>
      </c>
    </row>
    <row r="162" spans="1:27" x14ac:dyDescent="0.2">
      <c r="A162" s="7" t="s">
        <v>2210</v>
      </c>
      <c r="B162" t="s">
        <v>775</v>
      </c>
      <c r="C162">
        <v>2015</v>
      </c>
      <c r="D162">
        <v>0.13</v>
      </c>
      <c r="E162">
        <v>2</v>
      </c>
      <c r="F162">
        <v>0.13</v>
      </c>
      <c r="G162">
        <v>3.0606750000000002E-2</v>
      </c>
      <c r="H162">
        <v>1</v>
      </c>
      <c r="I162">
        <v>0.91666666666666663</v>
      </c>
      <c r="J162">
        <v>2.080568720379147</v>
      </c>
      <c r="K162">
        <v>3.9715957182940795</v>
      </c>
      <c r="L162">
        <v>1</v>
      </c>
      <c r="M162">
        <v>0.66666666666666663</v>
      </c>
      <c r="N162">
        <v>0</v>
      </c>
      <c r="O162">
        <v>0.33333333333333331</v>
      </c>
      <c r="P162">
        <v>26.508990466491269</v>
      </c>
      <c r="Q162">
        <v>0.89034315302567191</v>
      </c>
      <c r="R162">
        <v>3.3881169551069235E-2</v>
      </c>
      <c r="S162">
        <v>0.74629942835222074</v>
      </c>
      <c r="T162">
        <v>3.9706907606509835E-2</v>
      </c>
      <c r="U162">
        <v>0.92408380519592825</v>
      </c>
      <c r="V162">
        <v>25.871041972055725</v>
      </c>
      <c r="W162">
        <v>0.76828698604696277</v>
      </c>
      <c r="X162">
        <v>3.7374132436671769E-3</v>
      </c>
      <c r="Y162">
        <v>0.4521538314603713</v>
      </c>
      <c r="Z162">
        <v>-1.817603648867332E-2</v>
      </c>
      <c r="AA162">
        <v>0.8894592398133403</v>
      </c>
    </row>
    <row r="163" spans="1:27" x14ac:dyDescent="0.2">
      <c r="A163" s="7" t="s">
        <v>2210</v>
      </c>
      <c r="B163" t="s">
        <v>777</v>
      </c>
      <c r="C163">
        <v>2014</v>
      </c>
      <c r="D163">
        <v>4.2200000000000001E-2</v>
      </c>
      <c r="E163">
        <v>2</v>
      </c>
      <c r="F163">
        <v>4.2200000000000001E-2</v>
      </c>
      <c r="G163">
        <v>3.5451250000000004E-2</v>
      </c>
      <c r="H163">
        <v>1</v>
      </c>
      <c r="I163">
        <v>1</v>
      </c>
      <c r="J163">
        <v>-0.29431438127090298</v>
      </c>
      <c r="K163">
        <v>1.4256296801225472</v>
      </c>
      <c r="L163">
        <v>0</v>
      </c>
      <c r="M163">
        <v>0.66666666666666663</v>
      </c>
      <c r="N163">
        <v>1</v>
      </c>
      <c r="O163">
        <v>0.25</v>
      </c>
      <c r="P163">
        <v>26.461718259430786</v>
      </c>
      <c r="Q163">
        <v>0.88114200068273452</v>
      </c>
      <c r="R163">
        <v>-8.5722269774284321E-3</v>
      </c>
      <c r="S163">
        <v>0.72729925129256967</v>
      </c>
      <c r="T163">
        <v>2.7068398543860242E-2</v>
      </c>
      <c r="U163">
        <v>0.95303933605838187</v>
      </c>
      <c r="V163">
        <v>26.132426470040336</v>
      </c>
      <c r="W163">
        <v>0.76051763423481966</v>
      </c>
      <c r="X163">
        <v>2.6187298051433876E-2</v>
      </c>
      <c r="Y163">
        <v>0.58013257923503025</v>
      </c>
      <c r="Z163">
        <v>1.767721936692945E-2</v>
      </c>
      <c r="AA163">
        <v>0.73385580468801792</v>
      </c>
    </row>
    <row r="164" spans="1:27" x14ac:dyDescent="0.2">
      <c r="A164" s="7" t="s">
        <v>2212</v>
      </c>
      <c r="B164" t="s">
        <v>788</v>
      </c>
      <c r="C164">
        <v>2021</v>
      </c>
      <c r="D164">
        <v>9.6600000000000005E-2</v>
      </c>
      <c r="E164">
        <v>2</v>
      </c>
      <c r="F164">
        <v>9.6600000000000005E-2</v>
      </c>
      <c r="G164">
        <v>7.3735249999999988E-2</v>
      </c>
      <c r="H164">
        <v>1</v>
      </c>
      <c r="I164">
        <v>0.75</v>
      </c>
      <c r="J164">
        <v>0.6100000000000001</v>
      </c>
      <c r="K164">
        <v>0.11304285059072229</v>
      </c>
      <c r="L164">
        <v>1</v>
      </c>
      <c r="M164">
        <v>0.58333333333333337</v>
      </c>
      <c r="N164">
        <v>0</v>
      </c>
      <c r="O164">
        <v>0.25</v>
      </c>
      <c r="P164">
        <v>26.071011259405772</v>
      </c>
      <c r="Q164">
        <v>0.70309897493980034</v>
      </c>
      <c r="R164">
        <v>0.17306752177119322</v>
      </c>
      <c r="S164">
        <v>0.53136642482982721</v>
      </c>
      <c r="T164">
        <v>2.0411215813514665E-2</v>
      </c>
      <c r="U164">
        <v>0.47156783103168154</v>
      </c>
      <c r="V164">
        <v>25.912286153019522</v>
      </c>
      <c r="W164">
        <v>0.77665000131336326</v>
      </c>
      <c r="X164">
        <v>0.12209641832037173</v>
      </c>
      <c r="Y164">
        <v>0.49817115265821743</v>
      </c>
      <c r="Z164">
        <v>3.8037013358300162E-2</v>
      </c>
      <c r="AA164">
        <v>0.7391380494176728</v>
      </c>
    </row>
    <row r="165" spans="1:27" x14ac:dyDescent="0.2">
      <c r="A165" s="7" t="s">
        <v>2212</v>
      </c>
      <c r="B165" t="s">
        <v>792</v>
      </c>
      <c r="C165">
        <v>2020</v>
      </c>
      <c r="D165">
        <v>0.06</v>
      </c>
      <c r="E165">
        <v>2</v>
      </c>
      <c r="F165">
        <v>0.06</v>
      </c>
      <c r="G165">
        <v>6.490591666666666E-2</v>
      </c>
      <c r="H165">
        <v>1</v>
      </c>
      <c r="I165">
        <v>0.75</v>
      </c>
      <c r="J165">
        <v>0.10294117647058826</v>
      </c>
      <c r="K165">
        <v>-9.4202463075261575E-2</v>
      </c>
      <c r="L165">
        <v>1</v>
      </c>
      <c r="M165">
        <v>0.5</v>
      </c>
      <c r="N165">
        <v>0</v>
      </c>
      <c r="O165">
        <v>0.5</v>
      </c>
      <c r="P165">
        <v>26.136834147221208</v>
      </c>
      <c r="Q165">
        <v>0.7167058026743186</v>
      </c>
      <c r="R165">
        <v>-0.10322561469471458</v>
      </c>
      <c r="S165">
        <v>0.53735697742749489</v>
      </c>
      <c r="T165">
        <v>5.8911829886262194E-2</v>
      </c>
      <c r="U165">
        <v>0.55159874174703583</v>
      </c>
      <c r="V165">
        <v>26.176149266065199</v>
      </c>
      <c r="W165">
        <v>0.74732440537990319</v>
      </c>
      <c r="X165">
        <v>-6.0939812141214765E-2</v>
      </c>
      <c r="Y165">
        <v>0.48006304221837864</v>
      </c>
      <c r="Z165">
        <v>4.1296954530318043E-2</v>
      </c>
      <c r="AA165">
        <v>0.6685639587898855</v>
      </c>
    </row>
    <row r="166" spans="1:27" x14ac:dyDescent="0.2">
      <c r="A166" s="7" t="s">
        <v>2212</v>
      </c>
      <c r="B166" t="s">
        <v>796</v>
      </c>
      <c r="C166">
        <v>2019</v>
      </c>
      <c r="D166">
        <v>5.4399999999999997E-2</v>
      </c>
      <c r="E166">
        <v>2</v>
      </c>
      <c r="F166">
        <v>5.4399999999999997E-2</v>
      </c>
      <c r="G166">
        <v>6.6775333333333325E-2</v>
      </c>
      <c r="H166">
        <v>1</v>
      </c>
      <c r="I166">
        <v>1</v>
      </c>
      <c r="J166">
        <v>0.47826086956521735</v>
      </c>
      <c r="K166">
        <v>0.13223768520615284</v>
      </c>
      <c r="L166">
        <v>1</v>
      </c>
      <c r="M166">
        <v>0.41666666666666669</v>
      </c>
      <c r="N166">
        <v>0</v>
      </c>
      <c r="O166">
        <v>0.5</v>
      </c>
      <c r="P166">
        <v>26.14337154054467</v>
      </c>
      <c r="Q166">
        <v>0.71922904963634837</v>
      </c>
      <c r="R166">
        <v>-6.0379690136919906E-2</v>
      </c>
      <c r="S166">
        <v>0.51276020998827732</v>
      </c>
      <c r="T166">
        <v>5.4748128786356681E-2</v>
      </c>
      <c r="U166">
        <v>0.64483293408377684</v>
      </c>
      <c r="V166">
        <v>26.132543676671713</v>
      </c>
      <c r="W166">
        <v>0.73847559180823386</v>
      </c>
      <c r="X166">
        <v>8.8030512391106541E-3</v>
      </c>
      <c r="Y166">
        <v>0.47079653689798623</v>
      </c>
      <c r="Z166">
        <v>5.173414027559655E-2</v>
      </c>
      <c r="AA166">
        <v>0.66712260560096937</v>
      </c>
    </row>
    <row r="167" spans="1:27" x14ac:dyDescent="0.2">
      <c r="A167" s="7" t="s">
        <v>2212</v>
      </c>
      <c r="B167" t="s">
        <v>800</v>
      </c>
      <c r="C167">
        <v>2018</v>
      </c>
      <c r="D167">
        <v>3.6799999999999999E-2</v>
      </c>
      <c r="E167">
        <v>2</v>
      </c>
      <c r="F167">
        <v>3.6799999999999999E-2</v>
      </c>
      <c r="G167">
        <v>7.7503749999999996E-2</v>
      </c>
      <c r="H167">
        <v>1</v>
      </c>
      <c r="I167">
        <v>1</v>
      </c>
      <c r="J167">
        <v>1.2576687116564418</v>
      </c>
      <c r="K167">
        <v>9.1452635659548642E-2</v>
      </c>
      <c r="L167">
        <v>1</v>
      </c>
      <c r="M167">
        <v>0.58333333333333337</v>
      </c>
      <c r="N167">
        <v>0</v>
      </c>
      <c r="O167">
        <v>0.25</v>
      </c>
      <c r="P167">
        <v>26.086347105481845</v>
      </c>
      <c r="Q167">
        <v>0.82713095170141804</v>
      </c>
      <c r="R167">
        <v>1.3583491984915375E-2</v>
      </c>
      <c r="S167">
        <v>0.4915882795546801</v>
      </c>
      <c r="T167">
        <v>3.8677355235805455E-2</v>
      </c>
      <c r="U167">
        <v>0.67600409477011969</v>
      </c>
      <c r="V167">
        <v>26.079729755732199</v>
      </c>
      <c r="W167">
        <v>0.74702157635987143</v>
      </c>
      <c r="X167">
        <v>5.3251191038033469E-2</v>
      </c>
      <c r="Y167">
        <v>0.46214486242035346</v>
      </c>
      <c r="Z167">
        <v>7.0889314914287654E-2</v>
      </c>
      <c r="AA167">
        <v>0.62829818555573957</v>
      </c>
    </row>
    <row r="168" spans="1:27" x14ac:dyDescent="0.2">
      <c r="A168" s="7" t="s">
        <v>2212</v>
      </c>
      <c r="B168" t="s">
        <v>804</v>
      </c>
      <c r="C168">
        <v>2017</v>
      </c>
      <c r="D168">
        <v>1.6299999999999999E-2</v>
      </c>
      <c r="E168">
        <v>2</v>
      </c>
      <c r="F168">
        <v>1.6299999999999999E-2</v>
      </c>
      <c r="G168">
        <v>7.0750499999999994E-2</v>
      </c>
      <c r="H168">
        <v>1</v>
      </c>
      <c r="I168">
        <v>1</v>
      </c>
      <c r="J168">
        <v>0.97503937961953213</v>
      </c>
      <c r="K168">
        <v>0.56049635597198921</v>
      </c>
      <c r="L168">
        <v>1</v>
      </c>
      <c r="M168">
        <v>0.75</v>
      </c>
      <c r="N168">
        <v>0</v>
      </c>
      <c r="O168">
        <v>0.25</v>
      </c>
      <c r="P168">
        <v>26.09882098411245</v>
      </c>
      <c r="Q168">
        <v>0.85285321770015288</v>
      </c>
      <c r="R168">
        <v>5.1412092256577058E-2</v>
      </c>
      <c r="S168">
        <v>0.46605295590794604</v>
      </c>
      <c r="T168">
        <v>3.3301256958263394E-2</v>
      </c>
      <c r="U168">
        <v>0.78543215806341093</v>
      </c>
      <c r="V168">
        <v>26.046077714496789</v>
      </c>
      <c r="W168">
        <v>0.75238788632493214</v>
      </c>
      <c r="X168">
        <v>4.5426248934197271E-2</v>
      </c>
      <c r="Y168">
        <v>0.41667267363696553</v>
      </c>
      <c r="Z168">
        <v>8.5592418392717098E-2</v>
      </c>
      <c r="AA168">
        <v>0.61845712199987812</v>
      </c>
    </row>
    <row r="169" spans="1:27" x14ac:dyDescent="0.2">
      <c r="A169" s="7" t="s">
        <v>2212</v>
      </c>
      <c r="B169" t="s">
        <v>808</v>
      </c>
      <c r="C169">
        <v>2016</v>
      </c>
      <c r="D169">
        <v>8.2529999999999999E-3</v>
      </c>
      <c r="E169">
        <v>2</v>
      </c>
      <c r="F169">
        <v>8.2529999999999999E-3</v>
      </c>
      <c r="G169">
        <v>5.6707416666666656E-2</v>
      </c>
      <c r="H169">
        <v>1</v>
      </c>
      <c r="I169">
        <v>1</v>
      </c>
      <c r="J169">
        <v>0.4545294324991187</v>
      </c>
      <c r="K169">
        <v>1.3691925850975499</v>
      </c>
      <c r="L169">
        <v>1</v>
      </c>
      <c r="M169">
        <v>0.83333333333333337</v>
      </c>
      <c r="N169">
        <v>0</v>
      </c>
      <c r="O169">
        <v>0.16666666666666666</v>
      </c>
      <c r="P169">
        <v>26.100431518164559</v>
      </c>
      <c r="Q169">
        <v>0.85393864948711984</v>
      </c>
      <c r="R169">
        <v>0.19748583874881986</v>
      </c>
      <c r="S169">
        <v>0.43833668870964509</v>
      </c>
      <c r="T169">
        <v>1.4139390795672257E-2</v>
      </c>
      <c r="U169">
        <v>0.88523686111007061</v>
      </c>
      <c r="V169">
        <v>26.000136743521892</v>
      </c>
      <c r="W169">
        <v>0.70479249262906274</v>
      </c>
      <c r="X169">
        <v>0.10584299657160072</v>
      </c>
      <c r="Y169">
        <v>0.40621572623913771</v>
      </c>
      <c r="Z169">
        <v>4.3624411875946699E-2</v>
      </c>
      <c r="AA169">
        <v>0.71302097587319047</v>
      </c>
    </row>
    <row r="170" spans="1:27" x14ac:dyDescent="0.2">
      <c r="A170" s="7" t="s">
        <v>2212</v>
      </c>
      <c r="B170" t="s">
        <v>812</v>
      </c>
      <c r="C170">
        <v>2015</v>
      </c>
      <c r="D170">
        <v>5.6740000000000002E-3</v>
      </c>
      <c r="E170">
        <v>2</v>
      </c>
      <c r="F170">
        <v>5.6740000000000002E-3</v>
      </c>
      <c r="G170">
        <v>4.0967250000000004E-2</v>
      </c>
      <c r="H170">
        <v>1</v>
      </c>
      <c r="I170">
        <v>0.91666666666666663</v>
      </c>
      <c r="J170">
        <v>-0.30311962662736425</v>
      </c>
      <c r="K170">
        <v>4.170236413877956</v>
      </c>
      <c r="L170">
        <v>0</v>
      </c>
      <c r="M170">
        <v>0.75</v>
      </c>
      <c r="N170">
        <v>1</v>
      </c>
      <c r="O170">
        <v>0.25</v>
      </c>
      <c r="P170">
        <v>26.095656026816172</v>
      </c>
      <c r="Q170">
        <v>0.82830476200469738</v>
      </c>
      <c r="R170">
        <v>-3.2790234761890691E-2</v>
      </c>
      <c r="S170">
        <v>0.42388885269130594</v>
      </c>
      <c r="T170">
        <v>1.3089725809901526E-2</v>
      </c>
      <c r="U170">
        <v>0.86957516936779633</v>
      </c>
      <c r="V170">
        <v>25.912375416023234</v>
      </c>
      <c r="W170">
        <v>0.7744908251490602</v>
      </c>
      <c r="X170">
        <v>1.114534705621828E-2</v>
      </c>
      <c r="Y170">
        <v>0.4982124851262163</v>
      </c>
      <c r="Z170">
        <v>-1.5218571844605733E-2</v>
      </c>
      <c r="AA170">
        <v>0.89491010339615362</v>
      </c>
    </row>
    <row r="171" spans="1:27" x14ac:dyDescent="0.2">
      <c r="A171" s="7" t="s">
        <v>2214</v>
      </c>
      <c r="B171" t="s">
        <v>833</v>
      </c>
      <c r="C171">
        <v>2021</v>
      </c>
      <c r="D171">
        <v>0</v>
      </c>
      <c r="E171">
        <v>2</v>
      </c>
      <c r="F171">
        <v>0</v>
      </c>
      <c r="G171">
        <v>8.178524999999999E-2</v>
      </c>
      <c r="H171">
        <v>0</v>
      </c>
      <c r="I171">
        <v>0.83333333333333337</v>
      </c>
      <c r="J171">
        <v>-1</v>
      </c>
      <c r="K171">
        <v>0.24720951725738896</v>
      </c>
      <c r="L171">
        <v>0</v>
      </c>
      <c r="M171">
        <v>0.66666666666666663</v>
      </c>
      <c r="N171">
        <v>1</v>
      </c>
      <c r="O171">
        <v>0.16666666666666666</v>
      </c>
      <c r="P171">
        <v>25.995305961041094</v>
      </c>
      <c r="Q171">
        <v>0.79377146289005351</v>
      </c>
      <c r="R171">
        <v>0.15064856168929786</v>
      </c>
      <c r="S171">
        <v>0.48611752064635666</v>
      </c>
      <c r="T171">
        <v>3.6898340248962658E-2</v>
      </c>
      <c r="U171">
        <v>0.34184443082179045</v>
      </c>
      <c r="V171">
        <v>25.919856682855993</v>
      </c>
      <c r="W171">
        <v>0.76758275251833796</v>
      </c>
      <c r="X171">
        <v>0.12433831432856127</v>
      </c>
      <c r="Y171">
        <v>0.50269604307656457</v>
      </c>
      <c r="Z171">
        <v>3.6388300914755367E-2</v>
      </c>
      <c r="AA171">
        <v>0.75211038943866182</v>
      </c>
    </row>
    <row r="172" spans="1:27" x14ac:dyDescent="0.2">
      <c r="A172" s="7" t="s">
        <v>2214</v>
      </c>
      <c r="B172" t="s">
        <v>837</v>
      </c>
      <c r="C172">
        <v>2020</v>
      </c>
      <c r="D172">
        <v>1.0709999999999999E-3</v>
      </c>
      <c r="E172">
        <v>2</v>
      </c>
      <c r="F172">
        <v>1.0709999999999999E-3</v>
      </c>
      <c r="G172">
        <v>6.9816666666666652E-2</v>
      </c>
      <c r="H172">
        <v>1</v>
      </c>
      <c r="I172">
        <v>0.75</v>
      </c>
      <c r="J172">
        <v>3.2786885245901599E-2</v>
      </c>
      <c r="K172">
        <v>-8.8356272139871017E-2</v>
      </c>
      <c r="L172">
        <v>1</v>
      </c>
      <c r="M172">
        <v>0.5</v>
      </c>
      <c r="N172">
        <v>0</v>
      </c>
      <c r="O172">
        <v>0.5</v>
      </c>
      <c r="P172">
        <v>25.974423459467452</v>
      </c>
      <c r="Q172">
        <v>0.79216613291261984</v>
      </c>
      <c r="R172">
        <v>-8.6027373957757169E-2</v>
      </c>
      <c r="S172">
        <v>0.48074238259042301</v>
      </c>
      <c r="T172">
        <v>4.4217489193537372E-2</v>
      </c>
      <c r="U172">
        <v>0.37298320355790959</v>
      </c>
      <c r="V172">
        <v>26.189683490044683</v>
      </c>
      <c r="W172">
        <v>0.74103604452671146</v>
      </c>
      <c r="X172">
        <v>-6.2372998869294545E-2</v>
      </c>
      <c r="Y172">
        <v>0.48478092512146792</v>
      </c>
      <c r="Z172">
        <v>4.2521482921378445E-2</v>
      </c>
      <c r="AA172">
        <v>0.68344858697231281</v>
      </c>
    </row>
    <row r="173" spans="1:27" x14ac:dyDescent="0.2">
      <c r="A173" s="7" t="s">
        <v>2214</v>
      </c>
      <c r="B173" t="s">
        <v>841</v>
      </c>
      <c r="C173">
        <v>2019</v>
      </c>
      <c r="D173">
        <v>1.0369999999999999E-3</v>
      </c>
      <c r="E173">
        <v>2</v>
      </c>
      <c r="F173">
        <v>1.0369999999999999E-3</v>
      </c>
      <c r="G173">
        <v>7.1222250000000001E-2</v>
      </c>
      <c r="H173">
        <v>1</v>
      </c>
      <c r="I173">
        <v>1</v>
      </c>
      <c r="J173">
        <v>0.60775193798449612</v>
      </c>
      <c r="K173">
        <v>0.12144676283787963</v>
      </c>
      <c r="L173">
        <v>1</v>
      </c>
      <c r="M173">
        <v>0.41666666666666669</v>
      </c>
      <c r="N173">
        <v>0</v>
      </c>
      <c r="O173">
        <v>0.5</v>
      </c>
      <c r="P173">
        <v>25.93003907271671</v>
      </c>
      <c r="Q173">
        <v>0.81426405897301801</v>
      </c>
      <c r="R173">
        <v>5.1922109718460341E-2</v>
      </c>
      <c r="S173">
        <v>0.52135966911614129</v>
      </c>
      <c r="T173">
        <v>4.5604230270295219E-2</v>
      </c>
      <c r="U173">
        <v>0.38603839347167124</v>
      </c>
      <c r="V173">
        <v>26.150321382324041</v>
      </c>
      <c r="W173">
        <v>0.73055600769684481</v>
      </c>
      <c r="X173">
        <v>-5.5543208217103312E-4</v>
      </c>
      <c r="Y173">
        <v>0.47007991530399756</v>
      </c>
      <c r="Z173">
        <v>5.2496131818601667E-2</v>
      </c>
      <c r="AA173">
        <v>0.68868881731864473</v>
      </c>
    </row>
    <row r="174" spans="1:27" x14ac:dyDescent="0.2">
      <c r="A174" s="7" t="s">
        <v>2214</v>
      </c>
      <c r="B174" t="s">
        <v>845</v>
      </c>
      <c r="C174">
        <v>2018</v>
      </c>
      <c r="D174">
        <v>6.4499999999999996E-4</v>
      </c>
      <c r="E174">
        <v>2</v>
      </c>
      <c r="F174">
        <v>6.4499999999999996E-4</v>
      </c>
      <c r="G174">
        <v>8.0516666666666667E-2</v>
      </c>
      <c r="H174">
        <v>1</v>
      </c>
      <c r="I174">
        <v>1</v>
      </c>
      <c r="J174">
        <v>0.31632653061224486</v>
      </c>
      <c r="K174">
        <v>0.16989781741323173</v>
      </c>
      <c r="L174">
        <v>1</v>
      </c>
      <c r="M174">
        <v>0.58333333333333337</v>
      </c>
      <c r="N174">
        <v>0</v>
      </c>
      <c r="O174">
        <v>0.25</v>
      </c>
      <c r="P174">
        <v>25.846704630844854</v>
      </c>
      <c r="Q174">
        <v>0.82390480949664335</v>
      </c>
      <c r="R174">
        <v>5.7903715948364853E-2</v>
      </c>
      <c r="S174">
        <v>0.49372686200408461</v>
      </c>
      <c r="T174">
        <v>6.2836405584518598E-2</v>
      </c>
      <c r="U174">
        <v>0.34498855890815999</v>
      </c>
      <c r="V174">
        <v>26.099699961951945</v>
      </c>
      <c r="W174">
        <v>0.7472904215436027</v>
      </c>
      <c r="X174">
        <v>4.9557839041079348E-2</v>
      </c>
      <c r="Y174">
        <v>0.46196664721623643</v>
      </c>
      <c r="Z174">
        <v>6.887606071856156E-2</v>
      </c>
      <c r="AA174">
        <v>0.65588281354423617</v>
      </c>
    </row>
    <row r="175" spans="1:27" x14ac:dyDescent="0.2">
      <c r="A175" s="7" t="s">
        <v>2214</v>
      </c>
      <c r="B175" t="s">
        <v>849</v>
      </c>
      <c r="C175">
        <v>2017</v>
      </c>
      <c r="D175">
        <v>4.8999999999999998E-4</v>
      </c>
      <c r="E175">
        <v>2</v>
      </c>
      <c r="F175">
        <v>4.8999999999999998E-4</v>
      </c>
      <c r="G175">
        <v>7.2068000000000007E-2</v>
      </c>
      <c r="H175">
        <v>1</v>
      </c>
      <c r="I175">
        <v>1</v>
      </c>
      <c r="J175">
        <v>0.4202898550724638</v>
      </c>
      <c r="K175">
        <v>0.60672548301757823</v>
      </c>
      <c r="L175">
        <v>1</v>
      </c>
      <c r="M175">
        <v>0.75</v>
      </c>
      <c r="N175">
        <v>0</v>
      </c>
      <c r="O175">
        <v>0.25</v>
      </c>
      <c r="P175">
        <v>25.821836932287169</v>
      </c>
      <c r="Q175">
        <v>0.81454104036125352</v>
      </c>
      <c r="R175">
        <v>0.10778908881257609</v>
      </c>
      <c r="S175">
        <v>0.46145425181766814</v>
      </c>
      <c r="T175">
        <v>4.9001927956450878E-2</v>
      </c>
      <c r="U175">
        <v>0.40639509931882689</v>
      </c>
      <c r="V175">
        <v>26.069159718815566</v>
      </c>
      <c r="W175">
        <v>0.75558056776984028</v>
      </c>
      <c r="X175">
        <v>4.0728165887864015E-2</v>
      </c>
      <c r="Y175">
        <v>0.41705589897782208</v>
      </c>
      <c r="Z175">
        <v>8.4284029142868144E-2</v>
      </c>
      <c r="AA175">
        <v>0.65004354356192684</v>
      </c>
    </row>
    <row r="176" spans="1:27" x14ac:dyDescent="0.2">
      <c r="A176" s="7" t="s">
        <v>2216</v>
      </c>
      <c r="B176" t="s">
        <v>872</v>
      </c>
      <c r="C176">
        <v>2024</v>
      </c>
      <c r="D176">
        <v>0</v>
      </c>
      <c r="E176">
        <v>2</v>
      </c>
      <c r="F176">
        <v>0</v>
      </c>
      <c r="G176">
        <v>6.3399999999999998E-2</v>
      </c>
      <c r="H176">
        <v>0</v>
      </c>
      <c r="I176">
        <v>0.58333333333333337</v>
      </c>
      <c r="J176">
        <v>0</v>
      </c>
      <c r="K176">
        <v>8.6160653443004165E-2</v>
      </c>
      <c r="L176">
        <v>0</v>
      </c>
      <c r="M176">
        <v>0.58333333333333337</v>
      </c>
      <c r="N176">
        <v>0</v>
      </c>
      <c r="O176">
        <v>8.3333333333333329E-2</v>
      </c>
      <c r="P176">
        <v>26.007230976245406</v>
      </c>
      <c r="Q176">
        <v>0.44446095132968644</v>
      </c>
      <c r="R176">
        <v>8.108234185081975E-2</v>
      </c>
      <c r="S176">
        <v>0.64282977475961078</v>
      </c>
      <c r="T176">
        <v>0.17571437472630685</v>
      </c>
      <c r="U176">
        <v>7.0742006461012419E-2</v>
      </c>
      <c r="V176">
        <v>26.588663630370142</v>
      </c>
      <c r="W176">
        <v>0.71614370116911952</v>
      </c>
      <c r="X176">
        <v>0.10136476337175912</v>
      </c>
      <c r="Y176">
        <v>0.55415456737320967</v>
      </c>
      <c r="Z176">
        <v>4.4164415152335733E-2</v>
      </c>
      <c r="AA176">
        <v>1.0276971823647445</v>
      </c>
    </row>
    <row r="177" spans="1:27" x14ac:dyDescent="0.2">
      <c r="A177" s="7" t="s">
        <v>2216</v>
      </c>
      <c r="B177" t="s">
        <v>874</v>
      </c>
      <c r="C177">
        <v>2023</v>
      </c>
      <c r="D177">
        <v>0</v>
      </c>
      <c r="E177">
        <v>2</v>
      </c>
      <c r="F177">
        <v>0</v>
      </c>
      <c r="G177">
        <v>6.6299999999999998E-2</v>
      </c>
      <c r="H177">
        <v>0</v>
      </c>
      <c r="I177">
        <v>0.58333333333333337</v>
      </c>
      <c r="J177">
        <v>0</v>
      </c>
      <c r="K177">
        <v>0.11703324263565433</v>
      </c>
      <c r="L177">
        <v>0</v>
      </c>
      <c r="M177">
        <v>0.5</v>
      </c>
      <c r="N177">
        <v>0</v>
      </c>
      <c r="O177">
        <v>0.25</v>
      </c>
      <c r="P177">
        <v>25.836769969048373</v>
      </c>
      <c r="Q177">
        <v>0.57406526303602512</v>
      </c>
      <c r="R177">
        <v>0.12129676150459212</v>
      </c>
      <c r="S177">
        <v>0.56679270422013284</v>
      </c>
      <c r="T177">
        <v>0.14102081098000849</v>
      </c>
      <c r="U177">
        <v>9.0208196560221054E-2</v>
      </c>
      <c r="V177">
        <v>26.476853067790866</v>
      </c>
      <c r="W177">
        <v>0.7239438674961598</v>
      </c>
      <c r="X177">
        <v>0.14187931760662909</v>
      </c>
      <c r="Y177">
        <v>0.53767053575589452</v>
      </c>
      <c r="Z177">
        <v>6.8582494244846984E-2</v>
      </c>
      <c r="AA177">
        <v>0.90543606821707279</v>
      </c>
    </row>
    <row r="178" spans="1:27" x14ac:dyDescent="0.2">
      <c r="A178" s="7" t="s">
        <v>2216</v>
      </c>
      <c r="B178" t="s">
        <v>876</v>
      </c>
      <c r="C178">
        <v>2022</v>
      </c>
      <c r="D178">
        <v>0</v>
      </c>
      <c r="E178">
        <v>2</v>
      </c>
      <c r="F178">
        <v>0</v>
      </c>
      <c r="G178">
        <v>6.4731666666666673E-2</v>
      </c>
      <c r="H178">
        <v>0</v>
      </c>
      <c r="I178">
        <v>0.66666666666666663</v>
      </c>
      <c r="J178">
        <v>-1</v>
      </c>
      <c r="K178">
        <v>-7.8308528260407059E-2</v>
      </c>
      <c r="L178">
        <v>0</v>
      </c>
      <c r="M178">
        <v>0.33333333333333331</v>
      </c>
      <c r="N178">
        <v>1</v>
      </c>
      <c r="O178">
        <v>0.41666666666666669</v>
      </c>
      <c r="P178">
        <v>25.709380126893389</v>
      </c>
      <c r="Q178">
        <v>0.69695042882706171</v>
      </c>
      <c r="R178">
        <v>0.20049594394891135</v>
      </c>
      <c r="S178">
        <v>0.49641855632193027</v>
      </c>
      <c r="T178">
        <v>0.15534382569154809</v>
      </c>
      <c r="U178">
        <v>0.12841292271382704</v>
      </c>
      <c r="V178">
        <v>26.378382644244432</v>
      </c>
      <c r="W178">
        <v>0.70937005923253316</v>
      </c>
      <c r="X178">
        <v>5.4719830249532198E-2</v>
      </c>
      <c r="Y178">
        <v>0.51701855723559309</v>
      </c>
      <c r="Z178">
        <v>-7.7581656379117738E-3</v>
      </c>
      <c r="AA178">
        <v>0.99598714953141809</v>
      </c>
    </row>
    <row r="179" spans="1:27" x14ac:dyDescent="0.2">
      <c r="A179" s="7" t="s">
        <v>2216</v>
      </c>
      <c r="B179" t="s">
        <v>880</v>
      </c>
      <c r="C179">
        <v>2021</v>
      </c>
      <c r="D179">
        <v>0.19</v>
      </c>
      <c r="E179">
        <v>2</v>
      </c>
      <c r="F179">
        <v>0.19</v>
      </c>
      <c r="G179">
        <v>6.5951916666666666E-2</v>
      </c>
      <c r="H179">
        <v>1</v>
      </c>
      <c r="I179">
        <v>0.75</v>
      </c>
      <c r="J179">
        <v>-0.20833333333333329</v>
      </c>
      <c r="K179">
        <v>0.18123729503516675</v>
      </c>
      <c r="L179">
        <v>0</v>
      </c>
      <c r="M179">
        <v>0.66666666666666663</v>
      </c>
      <c r="N179">
        <v>1</v>
      </c>
      <c r="O179">
        <v>0.16666666666666666</v>
      </c>
      <c r="P179">
        <v>25.570976283877343</v>
      </c>
      <c r="Q179">
        <v>0.88103504531282095</v>
      </c>
      <c r="R179">
        <v>0.17011636820190845</v>
      </c>
      <c r="S179">
        <v>0.39688515379165223</v>
      </c>
      <c r="T179">
        <v>6.2674174068225189E-2</v>
      </c>
      <c r="U179">
        <v>0.17298348931128674</v>
      </c>
      <c r="V179">
        <v>25.962289650572369</v>
      </c>
      <c r="W179">
        <v>0.75885639427606122</v>
      </c>
      <c r="X179">
        <v>0.1223915336773002</v>
      </c>
      <c r="Y179">
        <v>0.51161927976203492</v>
      </c>
      <c r="Z179">
        <v>3.3810717532829118E-2</v>
      </c>
      <c r="AA179">
        <v>0.76899648358971218</v>
      </c>
    </row>
    <row r="180" spans="1:27" x14ac:dyDescent="0.2">
      <c r="A180" s="7" t="s">
        <v>2216</v>
      </c>
      <c r="B180" t="s">
        <v>884</v>
      </c>
      <c r="C180">
        <v>2020</v>
      </c>
      <c r="D180">
        <v>0.24</v>
      </c>
      <c r="E180">
        <v>2</v>
      </c>
      <c r="F180">
        <v>0.24</v>
      </c>
      <c r="G180">
        <v>4.9905916666666661E-2</v>
      </c>
      <c r="H180">
        <v>1</v>
      </c>
      <c r="I180">
        <v>0.75</v>
      </c>
      <c r="J180">
        <v>9.090909090909087E-2</v>
      </c>
      <c r="K180">
        <v>-9.3199789278470113E-2</v>
      </c>
      <c r="L180">
        <v>1</v>
      </c>
      <c r="M180">
        <v>0.5</v>
      </c>
      <c r="N180">
        <v>0</v>
      </c>
      <c r="O180">
        <v>0.5</v>
      </c>
      <c r="P180">
        <v>25.630545729724748</v>
      </c>
      <c r="Q180">
        <v>0.90390045426009469</v>
      </c>
      <c r="R180">
        <v>-6.1821361836010613E-2</v>
      </c>
      <c r="S180">
        <v>0.45535019735999271</v>
      </c>
      <c r="T180">
        <v>0.10115311257071639</v>
      </c>
      <c r="U180">
        <v>0.12216673683027822</v>
      </c>
      <c r="V180">
        <v>26.218339967523239</v>
      </c>
      <c r="W180">
        <v>0.73172485108108853</v>
      </c>
      <c r="X180">
        <v>-6.4390166546106756E-2</v>
      </c>
      <c r="Y180">
        <v>0.48689694055733712</v>
      </c>
      <c r="Z180">
        <v>3.7776847639946855E-2</v>
      </c>
      <c r="AA180">
        <v>0.70434995919961541</v>
      </c>
    </row>
    <row r="181" spans="1:27" x14ac:dyDescent="0.2">
      <c r="A181" s="7" t="s">
        <v>2216</v>
      </c>
      <c r="B181" t="s">
        <v>888</v>
      </c>
      <c r="C181">
        <v>2019</v>
      </c>
      <c r="D181">
        <v>0.22</v>
      </c>
      <c r="E181">
        <v>2</v>
      </c>
      <c r="F181">
        <v>0.22</v>
      </c>
      <c r="G181">
        <v>5.2975333333333326E-2</v>
      </c>
      <c r="H181">
        <v>1</v>
      </c>
      <c r="I181">
        <v>1</v>
      </c>
      <c r="J181">
        <v>0</v>
      </c>
      <c r="K181">
        <v>0.17209275766992096</v>
      </c>
      <c r="L181">
        <v>0</v>
      </c>
      <c r="M181">
        <v>0.5</v>
      </c>
      <c r="N181">
        <v>0</v>
      </c>
      <c r="O181">
        <v>0.5</v>
      </c>
      <c r="P181">
        <v>25.640238827410961</v>
      </c>
      <c r="Q181">
        <v>0.88703683410258771</v>
      </c>
      <c r="R181">
        <v>3.217791561228478E-2</v>
      </c>
      <c r="S181">
        <v>0.45704313029508775</v>
      </c>
      <c r="T181">
        <v>0.14092121350692557</v>
      </c>
      <c r="U181">
        <v>0.13214732353235817</v>
      </c>
      <c r="V181">
        <v>26.174471402766187</v>
      </c>
      <c r="W181">
        <v>0.72449160976938065</v>
      </c>
      <c r="X181">
        <v>1.0899174266769303E-3</v>
      </c>
      <c r="Y181">
        <v>0.47543962687241864</v>
      </c>
      <c r="Z181">
        <v>4.4553049882215812E-2</v>
      </c>
      <c r="AA181">
        <v>0.7098464064802541</v>
      </c>
    </row>
    <row r="182" spans="1:27" x14ac:dyDescent="0.2">
      <c r="A182" s="7" t="s">
        <v>2216</v>
      </c>
      <c r="B182" t="s">
        <v>892</v>
      </c>
      <c r="C182">
        <v>2018</v>
      </c>
      <c r="D182">
        <v>0.22</v>
      </c>
      <c r="E182">
        <v>2</v>
      </c>
      <c r="F182">
        <v>0.22</v>
      </c>
      <c r="G182">
        <v>6.2237083333333332E-2</v>
      </c>
      <c r="H182">
        <v>1</v>
      </c>
      <c r="I182">
        <v>1</v>
      </c>
      <c r="J182">
        <v>-7.2903497682258789E-2</v>
      </c>
      <c r="K182">
        <v>0.20233365310444038</v>
      </c>
      <c r="L182">
        <v>0</v>
      </c>
      <c r="M182">
        <v>0.66666666666666663</v>
      </c>
      <c r="N182">
        <v>1</v>
      </c>
      <c r="O182">
        <v>0.16666666666666666</v>
      </c>
      <c r="P182">
        <v>25.598657790060894</v>
      </c>
      <c r="Q182">
        <v>0.86954017248199911</v>
      </c>
      <c r="R182">
        <v>1.6406700220442438E-2</v>
      </c>
      <c r="S182">
        <v>0.43260856473224696</v>
      </c>
      <c r="T182">
        <v>0.1293150891621844</v>
      </c>
      <c r="U182">
        <v>0.12725291854369372</v>
      </c>
      <c r="V182">
        <v>26.120370532017276</v>
      </c>
      <c r="W182">
        <v>0.74348747462815634</v>
      </c>
      <c r="X182">
        <v>5.301592368507288E-2</v>
      </c>
      <c r="Y182">
        <v>0.46705983865555623</v>
      </c>
      <c r="Z182">
        <v>6.3336170420422749E-2</v>
      </c>
      <c r="AA182">
        <v>0.67402745024127508</v>
      </c>
    </row>
    <row r="183" spans="1:27" x14ac:dyDescent="0.2">
      <c r="A183" s="7" t="s">
        <v>2216</v>
      </c>
      <c r="B183" t="s">
        <v>896</v>
      </c>
      <c r="C183">
        <v>2017</v>
      </c>
      <c r="D183">
        <v>0.23730000000000001</v>
      </c>
      <c r="E183">
        <v>2</v>
      </c>
      <c r="F183">
        <v>0.23730000000000001</v>
      </c>
      <c r="G183">
        <v>5.2333833333333329E-2</v>
      </c>
      <c r="H183">
        <v>1</v>
      </c>
      <c r="I183">
        <v>1</v>
      </c>
      <c r="J183">
        <v>0.11043518951801595</v>
      </c>
      <c r="K183">
        <v>0.63254670514711553</v>
      </c>
      <c r="L183">
        <v>1</v>
      </c>
      <c r="M183">
        <v>0.75</v>
      </c>
      <c r="N183">
        <v>0</v>
      </c>
      <c r="O183">
        <v>0.25</v>
      </c>
      <c r="P183">
        <v>25.559704398293615</v>
      </c>
      <c r="Q183">
        <v>0.8428323292842852</v>
      </c>
      <c r="R183">
        <v>-1.935610055862258E-2</v>
      </c>
      <c r="S183">
        <v>0.41989409275723655</v>
      </c>
      <c r="T183">
        <v>0.28581130840784758</v>
      </c>
      <c r="U183">
        <v>0.10984185249385775</v>
      </c>
      <c r="V183">
        <v>26.091004096648362</v>
      </c>
      <c r="W183">
        <v>0.7532229603595878</v>
      </c>
      <c r="X183">
        <v>5.1323598335463905E-2</v>
      </c>
      <c r="Y183">
        <v>0.4205192455661913</v>
      </c>
      <c r="Z183">
        <v>6.4549914105251752E-2</v>
      </c>
      <c r="AA183">
        <v>0.67475631413067427</v>
      </c>
    </row>
    <row r="184" spans="1:27" x14ac:dyDescent="0.2">
      <c r="A184" s="7" t="s">
        <v>2216</v>
      </c>
      <c r="B184" t="s">
        <v>900</v>
      </c>
      <c r="C184">
        <v>2016</v>
      </c>
      <c r="D184">
        <v>0.2137</v>
      </c>
      <c r="E184">
        <v>2</v>
      </c>
      <c r="F184">
        <v>0.2137</v>
      </c>
      <c r="G184">
        <v>3.9586833333333328E-2</v>
      </c>
      <c r="H184">
        <v>1</v>
      </c>
      <c r="I184">
        <v>1</v>
      </c>
      <c r="J184">
        <v>6.849999999999995E-2</v>
      </c>
      <c r="K184">
        <v>1.4013617044724767</v>
      </c>
      <c r="L184">
        <v>1</v>
      </c>
      <c r="M184">
        <v>0.83333333333333337</v>
      </c>
      <c r="N184">
        <v>0</v>
      </c>
      <c r="O184">
        <v>0.16666666666666666</v>
      </c>
      <c r="P184">
        <v>25.415886239453311</v>
      </c>
      <c r="Q184">
        <v>0.88603896324930032</v>
      </c>
      <c r="R184">
        <v>1.7291863898147408E-2</v>
      </c>
      <c r="S184">
        <v>0.29486173689528072</v>
      </c>
      <c r="T184">
        <v>4.3804344946322432E-2</v>
      </c>
      <c r="U184">
        <v>0.1547574751296675</v>
      </c>
      <c r="V184">
        <v>26.057182183414497</v>
      </c>
      <c r="W184">
        <v>0.7021174664822144</v>
      </c>
      <c r="X184">
        <v>0.12386239405666796</v>
      </c>
      <c r="Y184">
        <v>0.41925890367680724</v>
      </c>
      <c r="Z184">
        <v>4.0657916460881689E-2</v>
      </c>
      <c r="AA184">
        <v>0.77389425803822409</v>
      </c>
    </row>
    <row r="185" spans="1:27" x14ac:dyDescent="0.2">
      <c r="A185" s="7" t="s">
        <v>2218</v>
      </c>
      <c r="B185" t="s">
        <v>914</v>
      </c>
      <c r="C185">
        <v>2025</v>
      </c>
      <c r="D185">
        <v>0</v>
      </c>
      <c r="E185">
        <v>3</v>
      </c>
      <c r="F185">
        <v>0</v>
      </c>
      <c r="G185">
        <v>10.684999999999999</v>
      </c>
      <c r="H185">
        <v>0</v>
      </c>
      <c r="I185">
        <v>0.1</v>
      </c>
      <c r="J185">
        <v>-1</v>
      </c>
      <c r="K185">
        <v>-0.34741116251599569</v>
      </c>
      <c r="L185">
        <v>0</v>
      </c>
      <c r="M185">
        <v>0</v>
      </c>
      <c r="N185">
        <v>1</v>
      </c>
      <c r="O185">
        <v>0.4</v>
      </c>
      <c r="P185">
        <v>27.273605898054665</v>
      </c>
      <c r="Q185">
        <v>0.44396138857039924</v>
      </c>
      <c r="R185">
        <v>-1.6639686782366492E-2</v>
      </c>
      <c r="S185">
        <v>0.94364590350959154</v>
      </c>
      <c r="T185">
        <v>5.3362607006096963E-2</v>
      </c>
      <c r="U185">
        <v>0.7198375271075006</v>
      </c>
      <c r="V185">
        <v>27.562075600981228</v>
      </c>
      <c r="W185">
        <v>0.54129852910549947</v>
      </c>
      <c r="X185">
        <v>-0.10470488613308263</v>
      </c>
      <c r="Y185">
        <v>0.99310632915342434</v>
      </c>
      <c r="Z185">
        <v>9.5936121881562732E-3</v>
      </c>
      <c r="AA185">
        <v>3.5393178177131261</v>
      </c>
    </row>
    <row r="186" spans="1:27" x14ac:dyDescent="0.2">
      <c r="A186" s="7" t="s">
        <v>2218</v>
      </c>
      <c r="B186" t="s">
        <v>916</v>
      </c>
      <c r="C186">
        <v>2024</v>
      </c>
      <c r="D186">
        <v>2.4900000000000002</v>
      </c>
      <c r="E186">
        <v>3</v>
      </c>
      <c r="F186">
        <v>2.4900000000000002</v>
      </c>
      <c r="G186">
        <v>32.809000000000005</v>
      </c>
      <c r="H186">
        <v>1</v>
      </c>
      <c r="I186">
        <v>0.4</v>
      </c>
      <c r="J186">
        <v>-0.56994818652849732</v>
      </c>
      <c r="K186">
        <v>-0.14761965432614482</v>
      </c>
      <c r="L186">
        <v>0</v>
      </c>
      <c r="M186">
        <v>0.1</v>
      </c>
      <c r="N186">
        <v>1</v>
      </c>
      <c r="O186">
        <v>0.4</v>
      </c>
      <c r="P186">
        <v>27.213587166144251</v>
      </c>
      <c r="Q186">
        <v>0.45974177780139208</v>
      </c>
      <c r="R186">
        <v>-0.25886094981817731</v>
      </c>
      <c r="S186">
        <v>0.94412296417158825</v>
      </c>
      <c r="T186">
        <v>3.0662316226843147E-2</v>
      </c>
      <c r="U186">
        <v>0.78541711274877835</v>
      </c>
      <c r="V186">
        <v>27.289800368507837</v>
      </c>
      <c r="W186">
        <v>0.48217870338457802</v>
      </c>
      <c r="X186">
        <v>5.3697204823108732E-2</v>
      </c>
      <c r="Y186">
        <v>1.195474461284209</v>
      </c>
      <c r="Z186">
        <v>4.7009519387159672E-2</v>
      </c>
      <c r="AA186">
        <v>2.7426779048023375</v>
      </c>
    </row>
    <row r="187" spans="1:27" x14ac:dyDescent="0.2">
      <c r="A187" s="7" t="s">
        <v>2218</v>
      </c>
      <c r="B187" t="s">
        <v>918</v>
      </c>
      <c r="C187">
        <v>2023</v>
      </c>
      <c r="D187">
        <v>5.79</v>
      </c>
      <c r="E187">
        <v>3</v>
      </c>
      <c r="F187">
        <v>5.79</v>
      </c>
      <c r="G187">
        <v>24.664999999999999</v>
      </c>
      <c r="H187">
        <v>1</v>
      </c>
      <c r="I187">
        <v>0.5</v>
      </c>
      <c r="J187">
        <v>1</v>
      </c>
      <c r="K187">
        <v>0.33287037037037037</v>
      </c>
      <c r="L187">
        <v>1</v>
      </c>
      <c r="M187">
        <v>0.5</v>
      </c>
      <c r="N187">
        <v>0</v>
      </c>
      <c r="O187">
        <v>0.1</v>
      </c>
      <c r="P187">
        <v>27.114541203424977</v>
      </c>
      <c r="Q187">
        <v>0.47415175900116824</v>
      </c>
      <c r="R187">
        <v>9.1822677439336031E-2</v>
      </c>
      <c r="S187">
        <v>0.94068229372621837</v>
      </c>
      <c r="T187">
        <v>0.15248511971358245</v>
      </c>
      <c r="U187">
        <v>0.56240130519380194</v>
      </c>
      <c r="V187">
        <v>27.220481521309704</v>
      </c>
      <c r="W187">
        <v>0.453938942429847</v>
      </c>
      <c r="X187">
        <v>0.13474072629181838</v>
      </c>
      <c r="Y187">
        <v>5.4365464570074393E-2</v>
      </c>
      <c r="Z187">
        <v>0.11498981251535767</v>
      </c>
      <c r="AA187">
        <v>-0.66945015613383352</v>
      </c>
    </row>
    <row r="188" spans="1:27" x14ac:dyDescent="0.2">
      <c r="A188" s="7" t="s">
        <v>2218</v>
      </c>
      <c r="B188" t="s">
        <v>920</v>
      </c>
      <c r="C188">
        <v>2022</v>
      </c>
      <c r="D188">
        <v>0</v>
      </c>
      <c r="E188">
        <v>3</v>
      </c>
      <c r="F188">
        <v>0</v>
      </c>
      <c r="G188">
        <v>1.73</v>
      </c>
      <c r="H188">
        <v>0</v>
      </c>
      <c r="I188">
        <v>0.2</v>
      </c>
      <c r="J188">
        <v>-1</v>
      </c>
      <c r="K188">
        <v>-0.50242800677583288</v>
      </c>
      <c r="L188">
        <v>0</v>
      </c>
      <c r="M188">
        <v>0.1</v>
      </c>
      <c r="N188">
        <v>1</v>
      </c>
      <c r="O188">
        <v>0.7</v>
      </c>
      <c r="P188">
        <v>26.978311215895918</v>
      </c>
      <c r="Q188">
        <v>0.47624910445553775</v>
      </c>
      <c r="R188">
        <v>-0.11013421525041867</v>
      </c>
      <c r="S188">
        <v>0.9293593096964563</v>
      </c>
      <c r="T188">
        <v>0.21281043149355497</v>
      </c>
      <c r="U188">
        <v>0.61540275463630922</v>
      </c>
      <c r="V188">
        <v>27.093285597088141</v>
      </c>
      <c r="W188">
        <v>0.47134005954634067</v>
      </c>
      <c r="X188">
        <v>-1.2847651936121297E-2</v>
      </c>
      <c r="Y188">
        <v>0.84406251266803911</v>
      </c>
      <c r="Z188">
        <v>0.15325564476595246</v>
      </c>
      <c r="AA188">
        <v>1.2071526269304862</v>
      </c>
    </row>
    <row r="189" spans="1:27" x14ac:dyDescent="0.2">
      <c r="A189" s="7" t="s">
        <v>2218</v>
      </c>
      <c r="B189" t="s">
        <v>921</v>
      </c>
      <c r="C189">
        <v>2021</v>
      </c>
      <c r="D189">
        <v>8.7899999999999991</v>
      </c>
      <c r="E189">
        <v>3</v>
      </c>
      <c r="F189">
        <v>8.7899999999999991</v>
      </c>
      <c r="G189">
        <v>35.975999999999999</v>
      </c>
      <c r="H189">
        <v>1</v>
      </c>
      <c r="I189">
        <v>0.7</v>
      </c>
      <c r="J189">
        <v>-7.8616352201257872E-2</v>
      </c>
      <c r="K189">
        <v>0.73855796179092237</v>
      </c>
      <c r="L189">
        <v>0</v>
      </c>
      <c r="M189">
        <v>0.5</v>
      </c>
      <c r="N189">
        <v>1</v>
      </c>
      <c r="O189">
        <v>0.1</v>
      </c>
      <c r="P189">
        <v>26.772381176656022</v>
      </c>
      <c r="Q189">
        <v>0.54255931731400064</v>
      </c>
      <c r="R189">
        <v>0.49899767026060582</v>
      </c>
      <c r="S189">
        <v>0.89892572226273948</v>
      </c>
      <c r="T189">
        <v>0.19375487999456836</v>
      </c>
      <c r="U189">
        <v>0.89592794598633552</v>
      </c>
      <c r="V189">
        <v>27.006058084526369</v>
      </c>
      <c r="W189">
        <v>0.48221540136848839</v>
      </c>
      <c r="X189">
        <v>0.70153155137727841</v>
      </c>
      <c r="Y189">
        <v>1.0490547205199809</v>
      </c>
      <c r="Z189">
        <v>0.29671780330944453</v>
      </c>
      <c r="AA189">
        <v>2.1633834337505071</v>
      </c>
    </row>
    <row r="190" spans="1:27" x14ac:dyDescent="0.2">
      <c r="A190" s="7" t="s">
        <v>2218</v>
      </c>
      <c r="B190" t="s">
        <v>925</v>
      </c>
      <c r="C190">
        <v>2020</v>
      </c>
      <c r="D190">
        <v>9.5399999999999991</v>
      </c>
      <c r="E190">
        <v>3</v>
      </c>
      <c r="F190">
        <v>9.5399999999999991</v>
      </c>
      <c r="G190">
        <v>23.03</v>
      </c>
      <c r="H190">
        <v>1</v>
      </c>
      <c r="I190">
        <v>0.7</v>
      </c>
      <c r="J190">
        <v>0.47449768160741879</v>
      </c>
      <c r="K190">
        <v>0.61192978054924263</v>
      </c>
      <c r="L190">
        <v>1</v>
      </c>
      <c r="M190">
        <v>0.6</v>
      </c>
      <c r="N190">
        <v>0</v>
      </c>
      <c r="O190">
        <v>0.1</v>
      </c>
      <c r="P190">
        <v>26.974950042805816</v>
      </c>
      <c r="Q190">
        <v>0.43487972309910078</v>
      </c>
      <c r="R190">
        <v>-4.8837049506991415E-2</v>
      </c>
      <c r="S190">
        <v>0.91137946384783119</v>
      </c>
      <c r="T190">
        <v>6.7956888630366794E-2</v>
      </c>
      <c r="U190">
        <v>0.95751375087711355</v>
      </c>
      <c r="V190">
        <v>26.803046008142342</v>
      </c>
      <c r="W190">
        <v>0.51323960734305907</v>
      </c>
      <c r="X190">
        <v>3.4835173391033036E-2</v>
      </c>
      <c r="Y190">
        <v>1.0539623331607262</v>
      </c>
      <c r="Z190">
        <v>9.6933002643762881E-2</v>
      </c>
      <c r="AA190">
        <v>1.7290700820034004</v>
      </c>
    </row>
    <row r="191" spans="1:27" x14ac:dyDescent="0.2">
      <c r="A191" s="7" t="s">
        <v>2218</v>
      </c>
      <c r="B191" t="s">
        <v>929</v>
      </c>
      <c r="C191">
        <v>2019</v>
      </c>
      <c r="D191">
        <v>6.47</v>
      </c>
      <c r="E191">
        <v>3</v>
      </c>
      <c r="F191">
        <v>6.47</v>
      </c>
      <c r="G191">
        <v>18.944000000000003</v>
      </c>
      <c r="H191">
        <v>1</v>
      </c>
      <c r="I191">
        <v>0.7</v>
      </c>
      <c r="J191">
        <v>-0.35557768924302785</v>
      </c>
      <c r="K191">
        <v>0.28716436458450395</v>
      </c>
      <c r="L191">
        <v>0</v>
      </c>
      <c r="M191">
        <v>0.4</v>
      </c>
      <c r="N191">
        <v>1</v>
      </c>
      <c r="O191">
        <v>0.3</v>
      </c>
      <c r="P191">
        <v>26.787278926643914</v>
      </c>
      <c r="Q191">
        <v>0.52606847741677476</v>
      </c>
      <c r="R191">
        <v>-0.20762241807602</v>
      </c>
      <c r="S191">
        <v>0.90853500074813165</v>
      </c>
      <c r="T191">
        <v>0.14912812466569197</v>
      </c>
      <c r="U191">
        <v>0.6935259050424073</v>
      </c>
      <c r="V191">
        <v>26.70690121229228</v>
      </c>
      <c r="W191">
        <v>0.49818228945267184</v>
      </c>
      <c r="X191">
        <v>6.3520806074780931E-2</v>
      </c>
      <c r="Y191">
        <v>0.90814531920807673</v>
      </c>
      <c r="Z191">
        <v>0.13688891238785963</v>
      </c>
      <c r="AA191">
        <v>1.645552742507191</v>
      </c>
    </row>
    <row r="192" spans="1:27" x14ac:dyDescent="0.2">
      <c r="A192" s="7" t="s">
        <v>2218</v>
      </c>
      <c r="B192" t="s">
        <v>933</v>
      </c>
      <c r="C192">
        <v>2018</v>
      </c>
      <c r="D192">
        <v>10.039999999999999</v>
      </c>
      <c r="E192">
        <v>3</v>
      </c>
      <c r="F192">
        <v>10.039999999999999</v>
      </c>
      <c r="G192">
        <v>21.690999999999995</v>
      </c>
      <c r="H192">
        <v>1</v>
      </c>
      <c r="I192">
        <v>0.4</v>
      </c>
      <c r="J192">
        <v>0.91603053435114479</v>
      </c>
      <c r="K192">
        <v>2.9253814800940824E-2</v>
      </c>
      <c r="L192">
        <v>1</v>
      </c>
      <c r="M192">
        <v>0.4</v>
      </c>
      <c r="N192">
        <v>0</v>
      </c>
      <c r="O192">
        <v>0.2</v>
      </c>
      <c r="P192">
        <v>26.742326095645193</v>
      </c>
      <c r="Q192">
        <v>0.57120031518122916</v>
      </c>
      <c r="R192">
        <v>8.9593854048482413E-2</v>
      </c>
      <c r="S192">
        <v>0.90871122923373338</v>
      </c>
      <c r="T192">
        <v>0.2155111070320499</v>
      </c>
      <c r="U192">
        <v>0.66086510459372239</v>
      </c>
      <c r="V192">
        <v>26.553366444012891</v>
      </c>
      <c r="W192">
        <v>0.51285129716833455</v>
      </c>
      <c r="X192">
        <v>0.23033658192929612</v>
      </c>
      <c r="Y192">
        <v>0.92493593371088689</v>
      </c>
      <c r="Z192">
        <v>0.14921172899260929</v>
      </c>
      <c r="AA192">
        <v>2.5059889998724847</v>
      </c>
    </row>
    <row r="193" spans="1:27" x14ac:dyDescent="0.2">
      <c r="A193" s="7" t="s">
        <v>2218</v>
      </c>
      <c r="B193" t="s">
        <v>937</v>
      </c>
      <c r="C193">
        <v>2017</v>
      </c>
      <c r="D193">
        <v>5.24</v>
      </c>
      <c r="E193">
        <v>3</v>
      </c>
      <c r="F193">
        <v>5.24</v>
      </c>
      <c r="G193">
        <v>15.431969999999998</v>
      </c>
      <c r="H193">
        <v>1</v>
      </c>
      <c r="I193">
        <v>0.6</v>
      </c>
      <c r="J193">
        <v>-0.41321388577827545</v>
      </c>
      <c r="K193">
        <v>0.17397916535752073</v>
      </c>
      <c r="L193">
        <v>0</v>
      </c>
      <c r="M193">
        <v>0.5</v>
      </c>
      <c r="N193">
        <v>1</v>
      </c>
      <c r="O193">
        <v>0.1</v>
      </c>
      <c r="P193">
        <v>26.781877219331186</v>
      </c>
      <c r="Q193">
        <v>0.55306102889095121</v>
      </c>
      <c r="R193">
        <v>-0.14943391466145262</v>
      </c>
      <c r="S193">
        <v>0.91532044715126815</v>
      </c>
      <c r="T193">
        <v>0.17460618881837212</v>
      </c>
      <c r="U193">
        <v>0.60526029412316551</v>
      </c>
      <c r="V193">
        <v>26.520156630826762</v>
      </c>
      <c r="W193">
        <v>0.53417089090535863</v>
      </c>
      <c r="X193">
        <v>0.12430214703240734</v>
      </c>
      <c r="Y193">
        <v>1.0720925639597483</v>
      </c>
      <c r="Z193">
        <v>0.1152979697583244</v>
      </c>
      <c r="AA193">
        <v>2.1155340537928859</v>
      </c>
    </row>
    <row r="194" spans="1:27" x14ac:dyDescent="0.2">
      <c r="A194" s="7" t="s">
        <v>2218</v>
      </c>
      <c r="B194" t="s">
        <v>941</v>
      </c>
      <c r="C194">
        <v>2016</v>
      </c>
      <c r="D194">
        <v>8.93</v>
      </c>
      <c r="E194">
        <v>3</v>
      </c>
      <c r="F194">
        <v>8.93</v>
      </c>
      <c r="G194">
        <v>11.09365</v>
      </c>
      <c r="H194">
        <v>1</v>
      </c>
      <c r="I194">
        <v>0.6</v>
      </c>
      <c r="J194">
        <v>3.2727272727272729</v>
      </c>
      <c r="K194">
        <v>0.35093220135463088</v>
      </c>
      <c r="L194">
        <v>1</v>
      </c>
      <c r="M194">
        <v>0.5</v>
      </c>
      <c r="N194">
        <v>0</v>
      </c>
      <c r="O194">
        <v>0</v>
      </c>
      <c r="P194">
        <v>26.881756391400319</v>
      </c>
      <c r="Q194">
        <v>0.61109677310170629</v>
      </c>
      <c r="R194">
        <v>0.4122766385776131</v>
      </c>
      <c r="S194">
        <v>0.91177180215589371</v>
      </c>
      <c r="T194">
        <v>0.29406055879239329</v>
      </c>
      <c r="U194">
        <v>0.83956882126318244</v>
      </c>
      <c r="V194">
        <v>26.520886180246983</v>
      </c>
      <c r="W194">
        <v>0.49949002277520005</v>
      </c>
      <c r="X194">
        <v>0.10809568598324444</v>
      </c>
      <c r="Y194">
        <v>1.971255899686437E-2</v>
      </c>
      <c r="Z194">
        <v>0.14756496763837884</v>
      </c>
      <c r="AA194">
        <v>8.7467652832520754E-2</v>
      </c>
    </row>
    <row r="195" spans="1:27" x14ac:dyDescent="0.2">
      <c r="A195" s="7" t="s">
        <v>2218</v>
      </c>
      <c r="B195" t="s">
        <v>945</v>
      </c>
      <c r="C195">
        <v>2015</v>
      </c>
      <c r="D195">
        <v>2.09</v>
      </c>
      <c r="E195">
        <v>3</v>
      </c>
      <c r="F195">
        <v>2.09</v>
      </c>
      <c r="G195">
        <v>6.9156499999999994</v>
      </c>
      <c r="H195">
        <v>1</v>
      </c>
      <c r="I195">
        <v>0.5</v>
      </c>
      <c r="J195">
        <v>0.42176870748299311</v>
      </c>
      <c r="K195">
        <v>0.83871029984225376</v>
      </c>
      <c r="L195">
        <v>1</v>
      </c>
      <c r="M195">
        <v>0.4</v>
      </c>
      <c r="N195">
        <v>0</v>
      </c>
      <c r="O195">
        <v>0.1</v>
      </c>
      <c r="P195">
        <v>26.798761282159607</v>
      </c>
      <c r="Q195">
        <v>0.65269097721030189</v>
      </c>
      <c r="R195">
        <v>8.3824501952606489E-2</v>
      </c>
      <c r="S195">
        <v>0.8505990692147738</v>
      </c>
      <c r="T195">
        <v>7.8201026582810446E-2</v>
      </c>
      <c r="U195">
        <v>1.8720005281050929</v>
      </c>
      <c r="V195">
        <v>26.313886381411699</v>
      </c>
      <c r="W195">
        <v>0.4831987468902198</v>
      </c>
      <c r="X195">
        <v>0.27192260954896202</v>
      </c>
      <c r="Y195">
        <v>0.98019359153171182</v>
      </c>
      <c r="Z195">
        <v>1.7165894388160199E-2</v>
      </c>
      <c r="AA195">
        <v>3.1088588020029024</v>
      </c>
    </row>
    <row r="196" spans="1:27" x14ac:dyDescent="0.2">
      <c r="A196" s="7" t="s">
        <v>2218</v>
      </c>
      <c r="B196" t="s">
        <v>949</v>
      </c>
      <c r="C196">
        <v>2014</v>
      </c>
      <c r="D196">
        <v>1.47</v>
      </c>
      <c r="E196">
        <v>3</v>
      </c>
      <c r="F196">
        <v>1.47</v>
      </c>
      <c r="G196">
        <v>7.7090000000000005</v>
      </c>
      <c r="H196">
        <v>1</v>
      </c>
      <c r="I196">
        <v>0.4</v>
      </c>
      <c r="J196">
        <v>0</v>
      </c>
      <c r="K196">
        <v>1.0733185192796773</v>
      </c>
      <c r="L196">
        <v>0</v>
      </c>
      <c r="M196">
        <v>0.3</v>
      </c>
      <c r="N196">
        <v>0</v>
      </c>
      <c r="O196">
        <v>0.1</v>
      </c>
      <c r="P196">
        <v>26.684912723311879</v>
      </c>
      <c r="Q196">
        <v>0.69959742330308639</v>
      </c>
      <c r="R196">
        <v>0.22939378653452414</v>
      </c>
      <c r="S196">
        <v>0.83213291148468371</v>
      </c>
      <c r="T196">
        <v>-4.5300893529981699E-2</v>
      </c>
      <c r="U196">
        <v>1.8303395687229358</v>
      </c>
      <c r="V196">
        <v>26.255252077105766</v>
      </c>
      <c r="W196">
        <v>0.4955707338618614</v>
      </c>
      <c r="X196">
        <v>0.51287399196120831</v>
      </c>
      <c r="Y196">
        <v>0.79035076835269724</v>
      </c>
      <c r="Z196">
        <v>-8.1039592422755449E-2</v>
      </c>
      <c r="AA196">
        <v>1.6041632684905143</v>
      </c>
    </row>
    <row r="197" spans="1:27" x14ac:dyDescent="0.2">
      <c r="A197" s="7" t="s">
        <v>2221</v>
      </c>
      <c r="B197" t="s">
        <v>969</v>
      </c>
      <c r="C197">
        <v>2025</v>
      </c>
      <c r="D197">
        <v>0</v>
      </c>
      <c r="E197">
        <v>3</v>
      </c>
      <c r="F197">
        <v>0</v>
      </c>
      <c r="G197">
        <v>10.684999999999999</v>
      </c>
      <c r="H197">
        <v>0</v>
      </c>
      <c r="I197">
        <v>0.1</v>
      </c>
      <c r="J197">
        <v>-1</v>
      </c>
      <c r="K197">
        <v>-0.34741116251599569</v>
      </c>
      <c r="L197">
        <v>0</v>
      </c>
      <c r="M197">
        <v>0</v>
      </c>
      <c r="N197">
        <v>1</v>
      </c>
      <c r="O197">
        <v>0.4</v>
      </c>
      <c r="P197">
        <v>27.472290296590785</v>
      </c>
      <c r="Q197">
        <v>0.67476260685914402</v>
      </c>
      <c r="R197">
        <v>-0.14086039776856252</v>
      </c>
      <c r="S197">
        <v>0.83380496567336793</v>
      </c>
      <c r="T197">
        <v>3.7307158109067838E-2</v>
      </c>
      <c r="U197">
        <v>0.61501929749179929</v>
      </c>
      <c r="V197">
        <v>27.533692115476065</v>
      </c>
      <c r="W197">
        <v>0.50832692649282163</v>
      </c>
      <c r="X197">
        <v>-8.6959070277911762E-2</v>
      </c>
      <c r="Y197">
        <v>1.0087978917014562</v>
      </c>
      <c r="Z197">
        <v>1.1887247744874723E-2</v>
      </c>
      <c r="AA197">
        <v>3.5542918505153693</v>
      </c>
    </row>
    <row r="198" spans="1:27" x14ac:dyDescent="0.2">
      <c r="A198" s="7" t="s">
        <v>2221</v>
      </c>
      <c r="B198" t="s">
        <v>973</v>
      </c>
      <c r="C198">
        <v>2024</v>
      </c>
      <c r="D198">
        <v>118.42</v>
      </c>
      <c r="E198">
        <v>3</v>
      </c>
      <c r="F198">
        <v>118.42</v>
      </c>
      <c r="G198">
        <v>21.216000000000001</v>
      </c>
      <c r="H198">
        <v>1</v>
      </c>
      <c r="I198">
        <v>0.4</v>
      </c>
      <c r="J198">
        <v>-0.3816510887159939</v>
      </c>
      <c r="K198">
        <v>-0.16644936410739519</v>
      </c>
      <c r="L198">
        <v>0</v>
      </c>
      <c r="M198">
        <v>0.1</v>
      </c>
      <c r="N198">
        <v>1</v>
      </c>
      <c r="O198">
        <v>0.4</v>
      </c>
      <c r="P198">
        <v>27.482265854618198</v>
      </c>
      <c r="Q198">
        <v>0.54339390563716961</v>
      </c>
      <c r="R198">
        <v>0.13931491087635273</v>
      </c>
      <c r="S198">
        <v>0.82306998251846841</v>
      </c>
      <c r="T198">
        <v>0.16116644529997656</v>
      </c>
      <c r="U198">
        <v>0.7356260724557121</v>
      </c>
      <c r="V198">
        <v>27.262932499660444</v>
      </c>
      <c r="W198">
        <v>0.47381349060100025</v>
      </c>
      <c r="X198">
        <v>1.3879618753655731E-2</v>
      </c>
      <c r="Y198">
        <v>1.2075797594495212</v>
      </c>
      <c r="Z198">
        <v>3.3959106479846325E-2</v>
      </c>
      <c r="AA198">
        <v>2.7476570088316441</v>
      </c>
    </row>
    <row r="199" spans="1:27" x14ac:dyDescent="0.2">
      <c r="A199" s="7" t="s">
        <v>2221</v>
      </c>
      <c r="B199" t="s">
        <v>977</v>
      </c>
      <c r="C199">
        <v>2023</v>
      </c>
      <c r="D199">
        <v>191.51</v>
      </c>
      <c r="E199">
        <v>3</v>
      </c>
      <c r="F199">
        <v>191.51</v>
      </c>
      <c r="G199">
        <v>6.093</v>
      </c>
      <c r="H199">
        <v>1</v>
      </c>
      <c r="I199">
        <v>0.5</v>
      </c>
      <c r="J199">
        <v>1</v>
      </c>
      <c r="K199">
        <v>0.33287037037037037</v>
      </c>
      <c r="L199">
        <v>1</v>
      </c>
      <c r="M199">
        <v>0.5</v>
      </c>
      <c r="N199">
        <v>0</v>
      </c>
      <c r="O199">
        <v>0.1</v>
      </c>
      <c r="P199">
        <v>27.625118731075922</v>
      </c>
      <c r="Q199">
        <v>0.38864819462537031</v>
      </c>
      <c r="R199">
        <v>6.7555326240864355E-2</v>
      </c>
      <c r="S199">
        <v>0.85335468567742101</v>
      </c>
      <c r="T199">
        <v>0.22491951622726877</v>
      </c>
      <c r="U199">
        <v>0.61953348495018146</v>
      </c>
      <c r="V199">
        <v>27.169423768544611</v>
      </c>
      <c r="W199">
        <v>0.46248929886742685</v>
      </c>
      <c r="X199">
        <v>0.13716746141166553</v>
      </c>
      <c r="Y199">
        <v>6.3098225374954117E-2</v>
      </c>
      <c r="Z199">
        <v>0.10774637286398903</v>
      </c>
      <c r="AA199">
        <v>-0.67516337410947147</v>
      </c>
    </row>
    <row r="200" spans="1:27" x14ac:dyDescent="0.2">
      <c r="A200" s="7" t="s">
        <v>2221</v>
      </c>
      <c r="B200" t="s">
        <v>979</v>
      </c>
      <c r="C200">
        <v>2022</v>
      </c>
      <c r="D200">
        <v>0</v>
      </c>
      <c r="E200">
        <v>3</v>
      </c>
      <c r="F200">
        <v>0</v>
      </c>
      <c r="G200">
        <v>1.73</v>
      </c>
      <c r="H200">
        <v>0</v>
      </c>
      <c r="I200">
        <v>0.2</v>
      </c>
      <c r="J200">
        <v>-1</v>
      </c>
      <c r="K200">
        <v>-0.50242800677583288</v>
      </c>
      <c r="L200">
        <v>0</v>
      </c>
      <c r="M200">
        <v>0.1</v>
      </c>
      <c r="N200">
        <v>1</v>
      </c>
      <c r="O200">
        <v>0.7</v>
      </c>
      <c r="P200">
        <v>27.316084318143545</v>
      </c>
      <c r="Q200">
        <v>0.47345769934300219</v>
      </c>
      <c r="R200">
        <v>-0.20542291638670707</v>
      </c>
      <c r="S200">
        <v>0.76341713423788815</v>
      </c>
      <c r="T200">
        <v>0.1582693864543272</v>
      </c>
      <c r="U200">
        <v>0.7041190631297034</v>
      </c>
      <c r="V200">
        <v>27.059508286863384</v>
      </c>
      <c r="W200">
        <v>0.47161920005759422</v>
      </c>
      <c r="X200">
        <v>-3.3187818224924559E-3</v>
      </c>
      <c r="Y200">
        <v>0.86065673021389588</v>
      </c>
      <c r="Z200">
        <v>0.15870974926987524</v>
      </c>
      <c r="AA200">
        <v>1.1982809960811465</v>
      </c>
    </row>
    <row r="201" spans="1:27" x14ac:dyDescent="0.2">
      <c r="A201" s="7" t="s">
        <v>2221</v>
      </c>
      <c r="B201" t="s">
        <v>980</v>
      </c>
      <c r="C201">
        <v>2021</v>
      </c>
      <c r="D201">
        <v>217.15</v>
      </c>
      <c r="E201">
        <v>3</v>
      </c>
      <c r="F201">
        <v>217.15</v>
      </c>
      <c r="G201">
        <v>15.14</v>
      </c>
      <c r="H201">
        <v>1</v>
      </c>
      <c r="I201">
        <v>0.7</v>
      </c>
      <c r="J201">
        <v>0.86554982817869408</v>
      </c>
      <c r="K201">
        <v>0.64414134375292709</v>
      </c>
      <c r="L201">
        <v>1</v>
      </c>
      <c r="M201">
        <v>0.4</v>
      </c>
      <c r="N201">
        <v>0</v>
      </c>
      <c r="O201">
        <v>0.2</v>
      </c>
      <c r="P201">
        <v>27.183934571806915</v>
      </c>
      <c r="Q201">
        <v>0.57175819104753112</v>
      </c>
      <c r="R201">
        <v>0.76097188192210075</v>
      </c>
      <c r="S201">
        <v>0.87265383701591825</v>
      </c>
      <c r="T201">
        <v>0.512070265650172</v>
      </c>
      <c r="U201">
        <v>1.0593965312425755</v>
      </c>
      <c r="V201">
        <v>26.96490274501128</v>
      </c>
      <c r="W201">
        <v>0.47929551399513526</v>
      </c>
      <c r="X201">
        <v>0.67533413021112909</v>
      </c>
      <c r="Y201">
        <v>1.0516819090446632</v>
      </c>
      <c r="Z201">
        <v>0.26488626474388416</v>
      </c>
      <c r="AA201">
        <v>2.1470365752248832</v>
      </c>
    </row>
    <row r="202" spans="1:27" x14ac:dyDescent="0.2">
      <c r="A202" s="7" t="s">
        <v>2221</v>
      </c>
      <c r="B202" t="s">
        <v>984</v>
      </c>
      <c r="C202">
        <v>2020</v>
      </c>
      <c r="D202">
        <v>116.4</v>
      </c>
      <c r="E202">
        <v>3</v>
      </c>
      <c r="F202">
        <v>116.4</v>
      </c>
      <c r="G202">
        <v>12.343999999999999</v>
      </c>
      <c r="H202">
        <v>1</v>
      </c>
      <c r="I202">
        <v>0.7</v>
      </c>
      <c r="J202">
        <v>4.4874007594062479E-3</v>
      </c>
      <c r="K202">
        <v>0.65893080863404396</v>
      </c>
      <c r="L202">
        <v>1</v>
      </c>
      <c r="M202">
        <v>0.6</v>
      </c>
      <c r="N202">
        <v>0</v>
      </c>
      <c r="O202">
        <v>0.1</v>
      </c>
      <c r="P202">
        <v>27.004992324914415</v>
      </c>
      <c r="Q202">
        <v>0.64169821525148729</v>
      </c>
      <c r="R202">
        <v>-7.598657665202968E-2</v>
      </c>
      <c r="S202">
        <v>0.83090379008746362</v>
      </c>
      <c r="T202">
        <v>0.13773698566540099</v>
      </c>
      <c r="U202">
        <v>1.6953352769679297</v>
      </c>
      <c r="V202">
        <v>26.800041779931483</v>
      </c>
      <c r="W202">
        <v>0.49255775812782038</v>
      </c>
      <c r="X202">
        <v>3.755012610553686E-2</v>
      </c>
      <c r="Y202">
        <v>1.0620099005367629</v>
      </c>
      <c r="Z202">
        <v>8.9954992940259437E-2</v>
      </c>
      <c r="AA202">
        <v>1.6552879293943188</v>
      </c>
    </row>
    <row r="203" spans="1:27" x14ac:dyDescent="0.2">
      <c r="A203" s="7" t="s">
        <v>2221</v>
      </c>
      <c r="B203" t="s">
        <v>988</v>
      </c>
      <c r="C203">
        <v>2019</v>
      </c>
      <c r="D203">
        <v>115.88000000000001</v>
      </c>
      <c r="E203">
        <v>3</v>
      </c>
      <c r="F203">
        <v>115.88000000000001</v>
      </c>
      <c r="G203">
        <v>8.0030000000000001</v>
      </c>
      <c r="H203">
        <v>1</v>
      </c>
      <c r="I203">
        <v>0.7</v>
      </c>
      <c r="J203">
        <v>-0.27903938281590224</v>
      </c>
      <c r="K203">
        <v>0.27951053394179137</v>
      </c>
      <c r="L203">
        <v>0</v>
      </c>
      <c r="M203">
        <v>0.4</v>
      </c>
      <c r="N203">
        <v>1</v>
      </c>
      <c r="O203">
        <v>0.3</v>
      </c>
      <c r="P203">
        <v>26.999671946259443</v>
      </c>
      <c r="Q203">
        <v>0.5679883240087571</v>
      </c>
      <c r="R203">
        <v>-2.1779066485926979E-2</v>
      </c>
      <c r="S203">
        <v>0.71391604370327766</v>
      </c>
      <c r="T203">
        <v>0.25368360416329933</v>
      </c>
      <c r="U203">
        <v>1.3640023001725128</v>
      </c>
      <c r="V203">
        <v>26.685661910330726</v>
      </c>
      <c r="W203">
        <v>0.49399030479347361</v>
      </c>
      <c r="X203">
        <v>4.4936470915771631E-2</v>
      </c>
      <c r="Y203">
        <v>0.92760721491256215</v>
      </c>
      <c r="Z203">
        <v>0.12643336443809888</v>
      </c>
      <c r="AA203">
        <v>1.5785051029941806</v>
      </c>
    </row>
    <row r="204" spans="1:27" x14ac:dyDescent="0.2">
      <c r="A204" s="7" t="s">
        <v>2221</v>
      </c>
      <c r="B204" t="s">
        <v>992</v>
      </c>
      <c r="C204">
        <v>2018</v>
      </c>
      <c r="D204">
        <v>160.72999999999996</v>
      </c>
      <c r="E204">
        <v>3</v>
      </c>
      <c r="F204">
        <v>160.72999999999996</v>
      </c>
      <c r="G204">
        <v>6.6219999999999999</v>
      </c>
      <c r="H204">
        <v>1</v>
      </c>
      <c r="I204">
        <v>0.4</v>
      </c>
      <c r="J204">
        <v>0.46051794638800514</v>
      </c>
      <c r="K204">
        <v>7.4805073597254787E-2</v>
      </c>
      <c r="L204">
        <v>1</v>
      </c>
      <c r="M204">
        <v>0.4</v>
      </c>
      <c r="N204">
        <v>0</v>
      </c>
      <c r="O204">
        <v>0.2</v>
      </c>
      <c r="P204">
        <v>26.63485656244978</v>
      </c>
      <c r="Q204">
        <v>0.59056860742254003</v>
      </c>
      <c r="R204">
        <v>0.17869465360613601</v>
      </c>
      <c r="S204">
        <v>0.78985758944077811</v>
      </c>
      <c r="T204">
        <v>0.32657809237108471</v>
      </c>
      <c r="U204">
        <v>1.0402917679749915</v>
      </c>
      <c r="V204">
        <v>26.564113397332431</v>
      </c>
      <c r="W204">
        <v>0.51091446794420337</v>
      </c>
      <c r="X204">
        <v>0.22142650197353078</v>
      </c>
      <c r="Y204">
        <v>0.9368212976901823</v>
      </c>
      <c r="Z204">
        <v>0.13810503045870579</v>
      </c>
      <c r="AA204">
        <v>2.4680463335343581</v>
      </c>
    </row>
    <row r="205" spans="1:27" x14ac:dyDescent="0.2">
      <c r="A205" s="7" t="s">
        <v>2221</v>
      </c>
      <c r="B205" t="s">
        <v>996</v>
      </c>
      <c r="C205">
        <v>2017</v>
      </c>
      <c r="D205">
        <v>110.05</v>
      </c>
      <c r="E205">
        <v>3</v>
      </c>
      <c r="F205">
        <v>110.05</v>
      </c>
      <c r="G205">
        <v>4.9509699999999999</v>
      </c>
      <c r="H205">
        <v>1</v>
      </c>
      <c r="I205">
        <v>0.6</v>
      </c>
      <c r="J205">
        <v>0.3653846153846152</v>
      </c>
      <c r="K205">
        <v>9.6119315241231656E-2</v>
      </c>
      <c r="L205">
        <v>1</v>
      </c>
      <c r="M205">
        <v>0.4</v>
      </c>
      <c r="N205">
        <v>0</v>
      </c>
      <c r="O205">
        <v>0.2</v>
      </c>
      <c r="P205">
        <v>26.764418565931873</v>
      </c>
      <c r="Q205">
        <v>0.5133860452212512</v>
      </c>
      <c r="R205">
        <v>0.15363388351137708</v>
      </c>
      <c r="S205">
        <v>0.64596821659799897</v>
      </c>
      <c r="T205">
        <v>0.18480823226536769</v>
      </c>
      <c r="U205">
        <v>1.1215420835785757</v>
      </c>
      <c r="V205">
        <v>26.521902496166696</v>
      </c>
      <c r="W205">
        <v>0.53813838927232871</v>
      </c>
      <c r="X205">
        <v>9.3995367215124373E-2</v>
      </c>
      <c r="Y205">
        <v>1.0990277870150751</v>
      </c>
      <c r="Z205">
        <v>0.11427776541362485</v>
      </c>
      <c r="AA205">
        <v>2.0639058748473453</v>
      </c>
    </row>
    <row r="206" spans="1:27" x14ac:dyDescent="0.2">
      <c r="A206" s="7" t="s">
        <v>2221</v>
      </c>
      <c r="B206" t="s">
        <v>1000</v>
      </c>
      <c r="C206">
        <v>2016</v>
      </c>
      <c r="D206">
        <v>80.600000000000009</v>
      </c>
      <c r="E206">
        <v>3</v>
      </c>
      <c r="F206">
        <v>80.600000000000009</v>
      </c>
      <c r="G206">
        <v>3.92665</v>
      </c>
      <c r="H206">
        <v>1</v>
      </c>
      <c r="I206">
        <v>0.6</v>
      </c>
      <c r="J206">
        <v>0.36888586956521763</v>
      </c>
      <c r="K206">
        <v>0.64131634167083651</v>
      </c>
      <c r="L206">
        <v>1</v>
      </c>
      <c r="M206">
        <v>0.5</v>
      </c>
      <c r="N206">
        <v>0</v>
      </c>
      <c r="O206">
        <v>0</v>
      </c>
      <c r="P206">
        <v>26.797953005023718</v>
      </c>
      <c r="Q206">
        <v>0.48357242017584445</v>
      </c>
      <c r="R206">
        <v>1.2616261789647476E-2</v>
      </c>
      <c r="S206">
        <v>0.80565603419927645</v>
      </c>
      <c r="T206">
        <v>0.27360340340262868</v>
      </c>
      <c r="U206">
        <v>1.1318645182505753</v>
      </c>
      <c r="V206">
        <v>26.529266518884647</v>
      </c>
      <c r="W206">
        <v>0.51224245806778623</v>
      </c>
      <c r="X206">
        <v>0.14806172366204101</v>
      </c>
      <c r="Y206">
        <v>3.0324135792526019E-2</v>
      </c>
      <c r="Z206">
        <v>0.14961068317735529</v>
      </c>
      <c r="AA206">
        <v>5.8238083133781246E-2</v>
      </c>
    </row>
    <row r="207" spans="1:27" x14ac:dyDescent="0.2">
      <c r="A207" s="7" t="s">
        <v>2221</v>
      </c>
      <c r="B207" t="s">
        <v>1004</v>
      </c>
      <c r="C207">
        <v>2015</v>
      </c>
      <c r="D207">
        <v>58.879999999999995</v>
      </c>
      <c r="E207">
        <v>3</v>
      </c>
      <c r="F207">
        <v>58.879999999999995</v>
      </c>
      <c r="G207">
        <v>1.23665</v>
      </c>
      <c r="H207">
        <v>1</v>
      </c>
      <c r="I207">
        <v>0.5</v>
      </c>
      <c r="J207">
        <v>-0.20086862106406095</v>
      </c>
      <c r="K207">
        <v>0.90097403269695919</v>
      </c>
      <c r="L207">
        <v>0</v>
      </c>
      <c r="M207">
        <v>0.5</v>
      </c>
      <c r="N207">
        <v>1</v>
      </c>
      <c r="O207">
        <v>0</v>
      </c>
      <c r="P207">
        <v>26.607539184015359</v>
      </c>
      <c r="Q207">
        <v>0.44498664941701466</v>
      </c>
      <c r="R207">
        <v>0.21820015695223716</v>
      </c>
      <c r="S207">
        <v>0.77526978068303298</v>
      </c>
      <c r="T207">
        <v>0.10561147045488327</v>
      </c>
      <c r="U207">
        <v>1.5870305075298707</v>
      </c>
      <c r="V207">
        <v>26.333008591226122</v>
      </c>
      <c r="W207">
        <v>0.50396917966954846</v>
      </c>
      <c r="X207">
        <v>0.2569919812156698</v>
      </c>
      <c r="Y207">
        <v>0.98856351247968299</v>
      </c>
      <c r="Z207">
        <v>1.4120289513485436E-2</v>
      </c>
      <c r="AA207">
        <v>3.1373558040604248</v>
      </c>
    </row>
    <row r="208" spans="1:27" x14ac:dyDescent="0.2">
      <c r="A208" s="7" t="s">
        <v>2221</v>
      </c>
      <c r="B208" t="s">
        <v>1008</v>
      </c>
      <c r="C208">
        <v>2014</v>
      </c>
      <c r="D208">
        <v>73.680000000000007</v>
      </c>
      <c r="E208">
        <v>3</v>
      </c>
      <c r="F208">
        <v>73.680000000000007</v>
      </c>
      <c r="G208">
        <v>0.48799999999999999</v>
      </c>
      <c r="H208">
        <v>1</v>
      </c>
      <c r="I208">
        <v>0.4</v>
      </c>
      <c r="J208">
        <v>7.8771084337349402</v>
      </c>
      <c r="K208">
        <v>0.28560767590618336</v>
      </c>
      <c r="L208">
        <v>1</v>
      </c>
      <c r="M208">
        <v>0.2</v>
      </c>
      <c r="N208">
        <v>0</v>
      </c>
      <c r="O208">
        <v>0.1</v>
      </c>
      <c r="P208">
        <v>26.403665635193953</v>
      </c>
      <c r="Q208">
        <v>0.44126478257085727</v>
      </c>
      <c r="R208">
        <v>-0.23343955141019124</v>
      </c>
      <c r="S208">
        <v>0.69219716990540858</v>
      </c>
      <c r="T208">
        <v>-8.3487143747977055E-2</v>
      </c>
      <c r="U208">
        <v>1.6645171771792304</v>
      </c>
      <c r="V208">
        <v>26.286501753563314</v>
      </c>
      <c r="W208">
        <v>0.52427436060988686</v>
      </c>
      <c r="X208">
        <v>0.57072815920429787</v>
      </c>
      <c r="Y208">
        <v>0.8078427360501067</v>
      </c>
      <c r="Z208">
        <v>-7.6266311145506041E-2</v>
      </c>
      <c r="AA208">
        <v>1.6225879786620372</v>
      </c>
    </row>
    <row r="209" spans="1:27" x14ac:dyDescent="0.2">
      <c r="A209" s="7" t="s">
        <v>2315</v>
      </c>
      <c r="B209" t="s">
        <v>1049</v>
      </c>
      <c r="C209">
        <v>2025</v>
      </c>
      <c r="D209">
        <v>0</v>
      </c>
      <c r="E209">
        <v>3</v>
      </c>
      <c r="F209">
        <v>0</v>
      </c>
      <c r="G209">
        <v>10.684999999999999</v>
      </c>
      <c r="H209">
        <v>0</v>
      </c>
      <c r="I209">
        <v>0.1</v>
      </c>
      <c r="J209">
        <v>0</v>
      </c>
      <c r="K209">
        <v>-0.44741116251599566</v>
      </c>
      <c r="L209">
        <v>0</v>
      </c>
      <c r="M209">
        <v>0</v>
      </c>
      <c r="N209">
        <v>0</v>
      </c>
      <c r="O209">
        <v>0.5</v>
      </c>
      <c r="P209">
        <v>28.587574214539469</v>
      </c>
      <c r="Q209">
        <v>0.70677629895060146</v>
      </c>
      <c r="R209">
        <v>-1.2650893565631316E-2</v>
      </c>
      <c r="S209">
        <v>1.1137225734473781</v>
      </c>
      <c r="T209">
        <v>8.663349379212576E-2</v>
      </c>
      <c r="U209">
        <v>1.3247303830420227</v>
      </c>
      <c r="V209">
        <v>27.374365841483399</v>
      </c>
      <c r="W209">
        <v>0.50375354190832777</v>
      </c>
      <c r="X209">
        <v>-0.10527471373547337</v>
      </c>
      <c r="Y209">
        <v>0.96880966201945473</v>
      </c>
      <c r="Z209">
        <v>4.8406283615807302E-3</v>
      </c>
      <c r="AA209">
        <v>3.4529045525796227</v>
      </c>
    </row>
    <row r="210" spans="1:27" x14ac:dyDescent="0.2">
      <c r="A210" s="7" t="s">
        <v>2315</v>
      </c>
      <c r="B210" t="s">
        <v>1051</v>
      </c>
      <c r="C210">
        <v>2024</v>
      </c>
      <c r="D210">
        <v>0</v>
      </c>
      <c r="E210">
        <v>3</v>
      </c>
      <c r="F210">
        <v>0</v>
      </c>
      <c r="G210">
        <v>33.058</v>
      </c>
      <c r="H210">
        <v>0</v>
      </c>
      <c r="I210">
        <v>0.5</v>
      </c>
      <c r="J210">
        <v>0</v>
      </c>
      <c r="K210">
        <v>-0.20461447297899457</v>
      </c>
      <c r="L210">
        <v>0</v>
      </c>
      <c r="M210">
        <v>0.1</v>
      </c>
      <c r="N210">
        <v>0</v>
      </c>
      <c r="O210">
        <v>0.5</v>
      </c>
      <c r="P210">
        <v>28.394411893111407</v>
      </c>
      <c r="Q210">
        <v>0.65865343116098407</v>
      </c>
      <c r="R210">
        <v>-5.6942077997401919E-2</v>
      </c>
      <c r="S210">
        <v>1.560824996912437</v>
      </c>
      <c r="T210">
        <v>8.0807025787379264E-2</v>
      </c>
      <c r="U210">
        <v>1.8615536618500679</v>
      </c>
      <c r="V210">
        <v>27.171717895811121</v>
      </c>
      <c r="W210">
        <v>0.46228753804861877</v>
      </c>
      <c r="X210">
        <v>3.3505317641031193E-2</v>
      </c>
      <c r="Y210">
        <v>1.1338042580101244</v>
      </c>
      <c r="Z210">
        <v>4.1995048431106061E-2</v>
      </c>
      <c r="AA210">
        <v>2.635064249892209</v>
      </c>
    </row>
    <row r="211" spans="1:27" x14ac:dyDescent="0.2">
      <c r="A211" s="7" t="s">
        <v>2315</v>
      </c>
      <c r="B211" t="s">
        <v>1053</v>
      </c>
      <c r="C211">
        <v>2023</v>
      </c>
      <c r="D211">
        <v>0</v>
      </c>
      <c r="E211">
        <v>3</v>
      </c>
      <c r="F211">
        <v>0</v>
      </c>
      <c r="G211">
        <v>25.244</v>
      </c>
      <c r="H211">
        <v>0</v>
      </c>
      <c r="I211">
        <v>0.6</v>
      </c>
      <c r="J211">
        <v>0</v>
      </c>
      <c r="K211">
        <v>0.43287037037037035</v>
      </c>
      <c r="L211">
        <v>0</v>
      </c>
      <c r="M211">
        <v>0.6</v>
      </c>
      <c r="N211">
        <v>0</v>
      </c>
      <c r="O211">
        <v>0.1</v>
      </c>
      <c r="P211">
        <v>28.331251745150347</v>
      </c>
      <c r="Q211">
        <v>0.64380831212892276</v>
      </c>
      <c r="R211">
        <v>7.1312308054158446E-2</v>
      </c>
      <c r="S211">
        <v>1.4909809084924293</v>
      </c>
      <c r="T211">
        <v>0.13004626724100526</v>
      </c>
      <c r="U211">
        <v>2.1046741277156022</v>
      </c>
      <c r="V211">
        <v>27.098810467137174</v>
      </c>
      <c r="W211">
        <v>0.43697328711707162</v>
      </c>
      <c r="X211">
        <v>0.13679176323033609</v>
      </c>
      <c r="Y211">
        <v>-6.6439690654670482E-4</v>
      </c>
      <c r="Z211">
        <v>0.11723369776261539</v>
      </c>
      <c r="AA211">
        <v>-0.8236774383860137</v>
      </c>
    </row>
    <row r="212" spans="1:27" x14ac:dyDescent="0.2">
      <c r="A212" s="7" t="s">
        <v>2315</v>
      </c>
      <c r="B212" t="s">
        <v>1055</v>
      </c>
      <c r="C212">
        <v>2022</v>
      </c>
      <c r="D212">
        <v>0</v>
      </c>
      <c r="E212">
        <v>3</v>
      </c>
      <c r="F212">
        <v>0</v>
      </c>
      <c r="G212">
        <v>1.73</v>
      </c>
      <c r="H212">
        <v>0</v>
      </c>
      <c r="I212">
        <v>0.2</v>
      </c>
      <c r="J212">
        <v>0</v>
      </c>
      <c r="K212">
        <v>-0.60242800677583286</v>
      </c>
      <c r="L212">
        <v>0</v>
      </c>
      <c r="M212">
        <v>0.1</v>
      </c>
      <c r="N212">
        <v>0</v>
      </c>
      <c r="O212">
        <v>0.8</v>
      </c>
      <c r="P212">
        <v>28.194109688710178</v>
      </c>
      <c r="Q212">
        <v>0.63050978871874397</v>
      </c>
      <c r="R212">
        <v>-0.1276726521648478</v>
      </c>
      <c r="S212">
        <v>1.219563441111241</v>
      </c>
      <c r="T212">
        <v>0.22871134937663029</v>
      </c>
      <c r="U212">
        <v>2.0109723357067812</v>
      </c>
      <c r="V212">
        <v>26.971705749806716</v>
      </c>
      <c r="W212">
        <v>0.45591399112002007</v>
      </c>
      <c r="X212">
        <v>-1.1093808244678382E-2</v>
      </c>
      <c r="Y212">
        <v>0.8150420995265607</v>
      </c>
      <c r="Z212">
        <v>0.15166555297764495</v>
      </c>
      <c r="AA212">
        <v>1.0675956688234387</v>
      </c>
    </row>
    <row r="213" spans="1:27" x14ac:dyDescent="0.2">
      <c r="A213" s="7" t="s">
        <v>2315</v>
      </c>
      <c r="B213" t="s">
        <v>1057</v>
      </c>
      <c r="C213">
        <v>2021</v>
      </c>
      <c r="D213">
        <v>0</v>
      </c>
      <c r="E213">
        <v>3</v>
      </c>
      <c r="F213">
        <v>0</v>
      </c>
      <c r="G213">
        <v>36.855000000000004</v>
      </c>
      <c r="H213">
        <v>0</v>
      </c>
      <c r="I213">
        <v>0.8</v>
      </c>
      <c r="J213">
        <v>0</v>
      </c>
      <c r="K213">
        <v>0.73069632657079653</v>
      </c>
      <c r="L213">
        <v>0</v>
      </c>
      <c r="M213">
        <v>0.5</v>
      </c>
      <c r="N213">
        <v>0</v>
      </c>
      <c r="O213">
        <v>0.2</v>
      </c>
      <c r="P213">
        <v>28.178527119507471</v>
      </c>
      <c r="Q213">
        <v>0.5418818007254107</v>
      </c>
      <c r="R213">
        <v>0.17189251945470607</v>
      </c>
      <c r="S213">
        <v>1.7092731829573946</v>
      </c>
      <c r="T213">
        <v>0.31898603074425064</v>
      </c>
      <c r="U213">
        <v>3.8945279866332494</v>
      </c>
      <c r="V213">
        <v>26.865443490241223</v>
      </c>
      <c r="W213">
        <v>0.48228315302734731</v>
      </c>
      <c r="X213">
        <v>0.73424206645786849</v>
      </c>
      <c r="Y213">
        <v>0.96801997445051546</v>
      </c>
      <c r="Z213">
        <v>0.2841946882344763</v>
      </c>
      <c r="AA213">
        <v>1.8635234296858154</v>
      </c>
    </row>
    <row r="214" spans="1:27" x14ac:dyDescent="0.2">
      <c r="A214" s="7" t="s">
        <v>2315</v>
      </c>
      <c r="B214" t="s">
        <v>1059</v>
      </c>
      <c r="C214">
        <v>2020</v>
      </c>
      <c r="D214">
        <v>0</v>
      </c>
      <c r="E214">
        <v>3</v>
      </c>
      <c r="F214">
        <v>0</v>
      </c>
      <c r="G214">
        <v>23.983999999999998</v>
      </c>
      <c r="H214">
        <v>0</v>
      </c>
      <c r="I214">
        <v>0.8</v>
      </c>
      <c r="J214">
        <v>0</v>
      </c>
      <c r="K214">
        <v>0.6593795487099845</v>
      </c>
      <c r="L214">
        <v>0</v>
      </c>
      <c r="M214">
        <v>0.7</v>
      </c>
      <c r="N214">
        <v>0</v>
      </c>
      <c r="O214">
        <v>0.1</v>
      </c>
      <c r="P214">
        <v>28.03447652473346</v>
      </c>
      <c r="Q214">
        <v>0.51975272867767797</v>
      </c>
      <c r="R214">
        <v>0.28093220771441052</v>
      </c>
      <c r="S214">
        <v>1.7732620320855614</v>
      </c>
      <c r="T214">
        <v>0.19060783392140637</v>
      </c>
      <c r="U214">
        <v>3.4290909090909087</v>
      </c>
      <c r="V214">
        <v>26.697093359949577</v>
      </c>
      <c r="W214">
        <v>0.50475230678520133</v>
      </c>
      <c r="X214">
        <v>1.858247668892843E-3</v>
      </c>
      <c r="Y214">
        <v>0.96777407633695312</v>
      </c>
      <c r="Z214">
        <v>8.4667908114658921E-2</v>
      </c>
      <c r="AA214">
        <v>1.481912366182021</v>
      </c>
    </row>
    <row r="215" spans="1:27" x14ac:dyDescent="0.2">
      <c r="A215" s="7" t="s">
        <v>2315</v>
      </c>
      <c r="B215" t="s">
        <v>1061</v>
      </c>
      <c r="C215">
        <v>2019</v>
      </c>
      <c r="D215">
        <v>0</v>
      </c>
      <c r="E215">
        <v>3</v>
      </c>
      <c r="F215">
        <v>0</v>
      </c>
      <c r="G215">
        <v>19.591000000000001</v>
      </c>
      <c r="H215">
        <v>0</v>
      </c>
      <c r="I215">
        <v>0.8</v>
      </c>
      <c r="J215">
        <v>0</v>
      </c>
      <c r="K215">
        <v>0.25160659566020116</v>
      </c>
      <c r="L215">
        <v>0</v>
      </c>
      <c r="M215">
        <v>0.4</v>
      </c>
      <c r="N215">
        <v>0</v>
      </c>
      <c r="O215">
        <v>0.4</v>
      </c>
      <c r="P215">
        <v>27.861938700340321</v>
      </c>
      <c r="Q215">
        <v>0.61584677005237765</v>
      </c>
      <c r="R215">
        <v>0.1958554401609709</v>
      </c>
      <c r="S215">
        <v>1.7382785164450669</v>
      </c>
      <c r="T215">
        <v>0.34791307740286848</v>
      </c>
      <c r="U215">
        <v>3.5425705621646837</v>
      </c>
      <c r="V215">
        <v>26.599435234922634</v>
      </c>
      <c r="W215">
        <v>0.48920446018911157</v>
      </c>
      <c r="X215">
        <v>2.3173020251081845E-2</v>
      </c>
      <c r="Y215">
        <v>0.82517096763838327</v>
      </c>
      <c r="Z215">
        <v>0.11701041711414198</v>
      </c>
      <c r="AA215">
        <v>1.3606482767949633</v>
      </c>
    </row>
    <row r="216" spans="1:27" x14ac:dyDescent="0.2">
      <c r="A216" s="7" t="s">
        <v>2315</v>
      </c>
      <c r="B216" t="s">
        <v>1063</v>
      </c>
      <c r="C216">
        <v>2018</v>
      </c>
      <c r="D216">
        <v>0</v>
      </c>
      <c r="E216">
        <v>3</v>
      </c>
      <c r="F216">
        <v>0</v>
      </c>
      <c r="G216">
        <v>22.694999999999997</v>
      </c>
      <c r="H216">
        <v>0</v>
      </c>
      <c r="I216">
        <v>0.5</v>
      </c>
      <c r="J216">
        <v>0</v>
      </c>
      <c r="K216">
        <v>0.12085686823605531</v>
      </c>
      <c r="L216">
        <v>0</v>
      </c>
      <c r="M216">
        <v>0.5</v>
      </c>
      <c r="N216">
        <v>0</v>
      </c>
      <c r="O216">
        <v>0.2</v>
      </c>
      <c r="P216">
        <v>27.588965804347399</v>
      </c>
      <c r="Q216">
        <v>0.65136712346731362</v>
      </c>
      <c r="R216">
        <v>0.37566497201721849</v>
      </c>
      <c r="S216">
        <v>2.1036567808810833</v>
      </c>
      <c r="T216">
        <v>0.19941052619913002</v>
      </c>
      <c r="U216">
        <v>3.3913043478260869</v>
      </c>
      <c r="V216">
        <v>26.468702473142674</v>
      </c>
      <c r="W216">
        <v>0.50483461633972604</v>
      </c>
      <c r="X216">
        <v>0.20172947013242251</v>
      </c>
      <c r="Y216">
        <v>0.80544137854615183</v>
      </c>
      <c r="Z216">
        <v>0.15082178707590127</v>
      </c>
      <c r="AA216">
        <v>2.2329450755492486</v>
      </c>
    </row>
    <row r="217" spans="1:27" x14ac:dyDescent="0.2">
      <c r="A217" s="7" t="s">
        <v>2315</v>
      </c>
      <c r="B217" t="s">
        <v>1065</v>
      </c>
      <c r="C217">
        <v>2017</v>
      </c>
      <c r="D217">
        <v>0</v>
      </c>
      <c r="E217">
        <v>3</v>
      </c>
      <c r="F217">
        <v>0</v>
      </c>
      <c r="G217">
        <v>15.955969999999999</v>
      </c>
      <c r="H217">
        <v>0</v>
      </c>
      <c r="I217">
        <v>0.7</v>
      </c>
      <c r="J217">
        <v>0</v>
      </c>
      <c r="K217">
        <v>0.13265777677969315</v>
      </c>
      <c r="L217">
        <v>0</v>
      </c>
      <c r="M217">
        <v>0.5</v>
      </c>
      <c r="N217">
        <v>0</v>
      </c>
      <c r="O217">
        <v>0.2</v>
      </c>
      <c r="P217">
        <v>27.600597229979872</v>
      </c>
      <c r="Q217">
        <v>0.65885181845506458</v>
      </c>
      <c r="R217">
        <v>-3.6967585577597717E-2</v>
      </c>
      <c r="S217">
        <v>1.6223701159295838</v>
      </c>
      <c r="T217">
        <v>0.11940710114228316</v>
      </c>
      <c r="U217">
        <v>2.5712752254186344</v>
      </c>
      <c r="V217">
        <v>26.438284629761892</v>
      </c>
      <c r="W217">
        <v>0.52359181194894744</v>
      </c>
      <c r="X217">
        <v>0.11305551412402184</v>
      </c>
      <c r="Y217">
        <v>1.0013875970819166</v>
      </c>
      <c r="Z217">
        <v>0.12081787852593329</v>
      </c>
      <c r="AA217">
        <v>1.9189325606633392</v>
      </c>
    </row>
    <row r="218" spans="1:27" x14ac:dyDescent="0.2">
      <c r="A218" s="7" t="s">
        <v>2315</v>
      </c>
      <c r="B218" t="s">
        <v>1067</v>
      </c>
      <c r="C218">
        <v>2016</v>
      </c>
      <c r="D218">
        <v>0</v>
      </c>
      <c r="E218">
        <v>3</v>
      </c>
      <c r="F218">
        <v>0</v>
      </c>
      <c r="G218">
        <v>11.986649999999999</v>
      </c>
      <c r="H218">
        <v>0</v>
      </c>
      <c r="I218">
        <v>0.7</v>
      </c>
      <c r="J218">
        <v>0</v>
      </c>
      <c r="K218">
        <v>0.67820492862735826</v>
      </c>
      <c r="L218">
        <v>0</v>
      </c>
      <c r="M218">
        <v>0.6</v>
      </c>
      <c r="N218">
        <v>0</v>
      </c>
      <c r="O218">
        <v>0</v>
      </c>
      <c r="P218">
        <v>27.729520557444104</v>
      </c>
      <c r="Q218">
        <v>0.5472443337181746</v>
      </c>
      <c r="R218">
        <v>5.8492346288474328E-2</v>
      </c>
      <c r="S218">
        <v>1.8839835728952761</v>
      </c>
      <c r="T218">
        <v>0.17655710543758946</v>
      </c>
      <c r="U218">
        <v>3.2240759753593426</v>
      </c>
      <c r="V218">
        <v>26.436109763642605</v>
      </c>
      <c r="W218">
        <v>0.50587526671355321</v>
      </c>
      <c r="X218">
        <v>0.1434741152121583</v>
      </c>
      <c r="Y218">
        <v>-7.7508618077073946E-2</v>
      </c>
      <c r="Z218">
        <v>0.1593153129738592</v>
      </c>
      <c r="AA218">
        <v>-0.15098306257709532</v>
      </c>
    </row>
    <row r="219" spans="1:27" x14ac:dyDescent="0.2">
      <c r="A219" s="7" t="s">
        <v>2315</v>
      </c>
      <c r="B219" t="s">
        <v>1069</v>
      </c>
      <c r="C219">
        <v>2015</v>
      </c>
      <c r="D219">
        <v>0</v>
      </c>
      <c r="E219">
        <v>3</v>
      </c>
      <c r="F219">
        <v>0</v>
      </c>
      <c r="G219">
        <v>7.1246499999999999</v>
      </c>
      <c r="H219">
        <v>0</v>
      </c>
      <c r="I219">
        <v>0.6</v>
      </c>
      <c r="J219">
        <v>0</v>
      </c>
      <c r="K219">
        <v>0.8808871705905531</v>
      </c>
      <c r="L219">
        <v>0</v>
      </c>
      <c r="M219">
        <v>0.5</v>
      </c>
      <c r="N219">
        <v>0</v>
      </c>
      <c r="O219">
        <v>0.1</v>
      </c>
      <c r="P219">
        <v>27.431320583020767</v>
      </c>
      <c r="Q219">
        <v>0.47804951013387176</v>
      </c>
      <c r="R219">
        <v>0.2387938033550383</v>
      </c>
      <c r="S219">
        <v>2.8850066342326404</v>
      </c>
      <c r="T219">
        <v>0.15821352161869884</v>
      </c>
      <c r="U219">
        <v>4.9137549756744798</v>
      </c>
      <c r="V219">
        <v>26.250630451325584</v>
      </c>
      <c r="W219">
        <v>0.50066289359786276</v>
      </c>
      <c r="X219">
        <v>0.25470379828202522</v>
      </c>
      <c r="Y219">
        <v>0.75414830652972653</v>
      </c>
      <c r="Z219">
        <v>8.275617161950367E-3</v>
      </c>
      <c r="AA219">
        <v>2.8046833572459642</v>
      </c>
    </row>
    <row r="220" spans="1:27" x14ac:dyDescent="0.2">
      <c r="A220" s="7" t="s">
        <v>2315</v>
      </c>
      <c r="B220" t="s">
        <v>1071</v>
      </c>
      <c r="C220">
        <v>2014</v>
      </c>
      <c r="D220">
        <v>0</v>
      </c>
      <c r="E220">
        <v>3</v>
      </c>
      <c r="F220">
        <v>0</v>
      </c>
      <c r="G220">
        <v>7.8559999999999999</v>
      </c>
      <c r="H220">
        <v>0</v>
      </c>
      <c r="I220">
        <v>0.5</v>
      </c>
      <c r="J220">
        <v>0</v>
      </c>
      <c r="K220">
        <v>1.0733185192796773</v>
      </c>
      <c r="L220">
        <v>0</v>
      </c>
      <c r="M220">
        <v>0.3</v>
      </c>
      <c r="N220">
        <v>0</v>
      </c>
      <c r="O220">
        <v>0.1</v>
      </c>
      <c r="P220">
        <v>26.957039366535838</v>
      </c>
      <c r="Q220">
        <v>0.53319644079397677</v>
      </c>
      <c r="R220">
        <v>0.15367980833864148</v>
      </c>
      <c r="S220">
        <v>1.7306488629250991</v>
      </c>
      <c r="T220">
        <v>0.13991900036923396</v>
      </c>
      <c r="U220">
        <v>1.7433757563112873</v>
      </c>
      <c r="V220">
        <v>26.225015783414218</v>
      </c>
      <c r="W220">
        <v>0.51405973191842902</v>
      </c>
      <c r="X220">
        <v>0.52233823923569367</v>
      </c>
      <c r="Y220">
        <v>0.67803627442264525</v>
      </c>
      <c r="Z220">
        <v>-0.10419207916015742</v>
      </c>
      <c r="AA220">
        <v>1.613825914314031</v>
      </c>
    </row>
    <row r="221" spans="1:27" x14ac:dyDescent="0.2">
      <c r="A221" s="7" t="s">
        <v>2224</v>
      </c>
      <c r="B221" t="s">
        <v>1079</v>
      </c>
      <c r="C221">
        <v>2025</v>
      </c>
      <c r="D221">
        <v>0</v>
      </c>
      <c r="E221">
        <v>3</v>
      </c>
      <c r="F221">
        <v>0</v>
      </c>
      <c r="G221">
        <v>10.684999999999999</v>
      </c>
      <c r="H221">
        <v>0</v>
      </c>
      <c r="I221">
        <v>0.1</v>
      </c>
      <c r="J221">
        <v>-1</v>
      </c>
      <c r="K221">
        <v>-0.34741116251599569</v>
      </c>
      <c r="L221">
        <v>0</v>
      </c>
      <c r="M221">
        <v>0</v>
      </c>
      <c r="N221">
        <v>1</v>
      </c>
      <c r="O221">
        <v>0.4</v>
      </c>
      <c r="P221">
        <v>27.500847508200767</v>
      </c>
      <c r="Q221">
        <v>0.6034936208842715</v>
      </c>
      <c r="R221">
        <v>-0.20638648944780902</v>
      </c>
      <c r="S221">
        <v>0.91100449964571495</v>
      </c>
      <c r="T221">
        <v>-1.6587395924000582E-2</v>
      </c>
      <c r="U221">
        <v>0.32077313872478447</v>
      </c>
      <c r="V221">
        <v>27.529612513817501</v>
      </c>
      <c r="W221">
        <v>0.51850821020351767</v>
      </c>
      <c r="X221">
        <v>-7.7598200038019413E-2</v>
      </c>
      <c r="Y221">
        <v>0.99776938684826377</v>
      </c>
      <c r="Z221">
        <v>1.9586469749598785E-2</v>
      </c>
      <c r="AA221">
        <v>3.5963270160535137</v>
      </c>
    </row>
    <row r="222" spans="1:27" x14ac:dyDescent="0.2">
      <c r="A222" s="7" t="s">
        <v>2224</v>
      </c>
      <c r="B222" t="s">
        <v>1083</v>
      </c>
      <c r="C222">
        <v>2024</v>
      </c>
      <c r="D222">
        <v>2.4900000000000002</v>
      </c>
      <c r="E222">
        <v>3</v>
      </c>
      <c r="F222">
        <v>2.4900000000000002</v>
      </c>
      <c r="G222">
        <v>32.809000000000005</v>
      </c>
      <c r="H222">
        <v>1</v>
      </c>
      <c r="I222">
        <v>0.4</v>
      </c>
      <c r="J222">
        <v>-9.4545454545454474E-2</v>
      </c>
      <c r="K222">
        <v>-0.19515992752444913</v>
      </c>
      <c r="L222">
        <v>0</v>
      </c>
      <c r="M222">
        <v>0.1</v>
      </c>
      <c r="N222">
        <v>1</v>
      </c>
      <c r="O222">
        <v>0.4</v>
      </c>
      <c r="P222">
        <v>27.540194470047759</v>
      </c>
      <c r="Q222">
        <v>0.59223194652509481</v>
      </c>
      <c r="R222">
        <v>6.6492880441189062E-3</v>
      </c>
      <c r="S222">
        <v>0.8971995268275994</v>
      </c>
      <c r="T222">
        <v>8.7859152105192989E-2</v>
      </c>
      <c r="U222">
        <v>0.32380416693243957</v>
      </c>
      <c r="V222">
        <v>27.257139638117486</v>
      </c>
      <c r="W222">
        <v>0.46892968651220779</v>
      </c>
      <c r="X222">
        <v>2.7146181036879113E-2</v>
      </c>
      <c r="Y222">
        <v>1.2001668050186081</v>
      </c>
      <c r="Z222">
        <v>4.1289835799324694E-2</v>
      </c>
      <c r="AA222">
        <v>2.7888391993839718</v>
      </c>
    </row>
    <row r="223" spans="1:27" x14ac:dyDescent="0.2">
      <c r="A223" s="7" t="s">
        <v>2224</v>
      </c>
      <c r="B223" t="s">
        <v>1087</v>
      </c>
      <c r="C223">
        <v>2023</v>
      </c>
      <c r="D223">
        <v>2.75</v>
      </c>
      <c r="E223">
        <v>3</v>
      </c>
      <c r="F223">
        <v>2.75</v>
      </c>
      <c r="G223">
        <v>24.969000000000001</v>
      </c>
      <c r="H223">
        <v>1</v>
      </c>
      <c r="I223">
        <v>0.5</v>
      </c>
      <c r="J223">
        <v>1</v>
      </c>
      <c r="K223">
        <v>0.33287037037037037</v>
      </c>
      <c r="L223">
        <v>1</v>
      </c>
      <c r="M223">
        <v>0.5</v>
      </c>
      <c r="N223">
        <v>0</v>
      </c>
      <c r="O223">
        <v>0.1</v>
      </c>
      <c r="P223">
        <v>27.527882574301476</v>
      </c>
      <c r="Q223">
        <v>0.54070168358828474</v>
      </c>
      <c r="R223">
        <v>9.0842320206568239E-2</v>
      </c>
      <c r="S223">
        <v>0.90120592363438456</v>
      </c>
      <c r="T223">
        <v>0.14436021263737303</v>
      </c>
      <c r="U223">
        <v>0.35985189406445561</v>
      </c>
      <c r="V223">
        <v>27.179147384222055</v>
      </c>
      <c r="W223">
        <v>0.44728394997113535</v>
      </c>
      <c r="X223">
        <v>0.13483876201509512</v>
      </c>
      <c r="Y223">
        <v>5.8313101579257717E-2</v>
      </c>
      <c r="Z223">
        <v>0.11580230322297862</v>
      </c>
      <c r="AA223">
        <v>-0.64919521502089883</v>
      </c>
    </row>
    <row r="224" spans="1:27" x14ac:dyDescent="0.2">
      <c r="A224" s="7" t="s">
        <v>2224</v>
      </c>
      <c r="B224" t="s">
        <v>1089</v>
      </c>
      <c r="C224">
        <v>2022</v>
      </c>
      <c r="D224">
        <v>0</v>
      </c>
      <c r="E224">
        <v>3</v>
      </c>
      <c r="F224">
        <v>0</v>
      </c>
      <c r="G224">
        <v>1.73</v>
      </c>
      <c r="H224">
        <v>0</v>
      </c>
      <c r="I224">
        <v>0.2</v>
      </c>
      <c r="J224">
        <v>-1</v>
      </c>
      <c r="K224">
        <v>-0.50242800677583288</v>
      </c>
      <c r="L224">
        <v>0</v>
      </c>
      <c r="M224">
        <v>0.1</v>
      </c>
      <c r="N224">
        <v>1</v>
      </c>
      <c r="O224">
        <v>0.7</v>
      </c>
      <c r="P224">
        <v>27.326918291189383</v>
      </c>
      <c r="Q224">
        <v>0.5547347804577214</v>
      </c>
      <c r="R224">
        <v>-0.20079815090432296</v>
      </c>
      <c r="S224">
        <v>0.89397572810094239</v>
      </c>
      <c r="T224">
        <v>9.6757905083204851E-2</v>
      </c>
      <c r="U224">
        <v>0.37791959419835125</v>
      </c>
      <c r="V224">
        <v>27.058424889558797</v>
      </c>
      <c r="W224">
        <v>0.46349149194612227</v>
      </c>
      <c r="X224">
        <v>-3.7812583707308666E-3</v>
      </c>
      <c r="Y224">
        <v>0.84760087082759061</v>
      </c>
      <c r="Z224">
        <v>0.16486089740698745</v>
      </c>
      <c r="AA224">
        <v>1.2309009429742819</v>
      </c>
    </row>
    <row r="225" spans="1:27" x14ac:dyDescent="0.2">
      <c r="A225" s="7" t="s">
        <v>2224</v>
      </c>
      <c r="B225" t="s">
        <v>1090</v>
      </c>
      <c r="C225">
        <v>2021</v>
      </c>
      <c r="D225">
        <v>7.99</v>
      </c>
      <c r="E225">
        <v>3</v>
      </c>
      <c r="F225">
        <v>7.99</v>
      </c>
      <c r="G225">
        <v>36.055999999999997</v>
      </c>
      <c r="H225">
        <v>1</v>
      </c>
      <c r="I225">
        <v>0.7</v>
      </c>
      <c r="J225">
        <v>1.0227848101265822</v>
      </c>
      <c r="K225">
        <v>0.6284178455581384</v>
      </c>
      <c r="L225">
        <v>1</v>
      </c>
      <c r="M225">
        <v>0.4</v>
      </c>
      <c r="N225">
        <v>0</v>
      </c>
      <c r="O225">
        <v>0.2</v>
      </c>
      <c r="P225">
        <v>27.297967570962207</v>
      </c>
      <c r="Q225">
        <v>0.55151827071538861</v>
      </c>
      <c r="R225">
        <v>0.89393561650178266</v>
      </c>
      <c r="S225">
        <v>1.7821484992101106</v>
      </c>
      <c r="T225">
        <v>0.36595245283395672</v>
      </c>
      <c r="U225">
        <v>0.53475513428120058</v>
      </c>
      <c r="V225">
        <v>26.953499445095748</v>
      </c>
      <c r="W225">
        <v>0.4813195060283495</v>
      </c>
      <c r="X225">
        <v>0.66203775675316079</v>
      </c>
      <c r="Y225">
        <v>0.96073244282524395</v>
      </c>
      <c r="Z225">
        <v>0.27949804602550571</v>
      </c>
      <c r="AA225">
        <v>2.1995007149210202</v>
      </c>
    </row>
    <row r="226" spans="1:27" x14ac:dyDescent="0.2">
      <c r="A226" s="7" t="s">
        <v>2224</v>
      </c>
      <c r="B226" t="s">
        <v>1094</v>
      </c>
      <c r="C226">
        <v>2020</v>
      </c>
      <c r="D226">
        <v>3.95</v>
      </c>
      <c r="E226">
        <v>3</v>
      </c>
      <c r="F226">
        <v>3.95</v>
      </c>
      <c r="G226">
        <v>23.588999999999999</v>
      </c>
      <c r="H226">
        <v>1</v>
      </c>
      <c r="I226">
        <v>0.7</v>
      </c>
      <c r="J226">
        <v>-0.26029962546816476</v>
      </c>
      <c r="K226">
        <v>0.68540951125680105</v>
      </c>
      <c r="L226">
        <v>0</v>
      </c>
      <c r="M226">
        <v>0.7</v>
      </c>
      <c r="N226">
        <v>1</v>
      </c>
      <c r="O226">
        <v>0</v>
      </c>
      <c r="P226">
        <v>27.01788879597138</v>
      </c>
      <c r="Q226">
        <v>0.60611318739989328</v>
      </c>
      <c r="R226">
        <v>-5.5362041482073687E-2</v>
      </c>
      <c r="S226">
        <v>2.0695500978048256</v>
      </c>
      <c r="T226">
        <v>8.1050813710317193E-2</v>
      </c>
      <c r="U226">
        <v>0.62834166485546628</v>
      </c>
      <c r="V226">
        <v>26.798752132825786</v>
      </c>
      <c r="W226">
        <v>0.49611626091297978</v>
      </c>
      <c r="X226">
        <v>3.5487672588541262E-2</v>
      </c>
      <c r="Y226">
        <v>0.93814526976502677</v>
      </c>
      <c r="Z226">
        <v>9.5623610135767839E-2</v>
      </c>
      <c r="AA226">
        <v>1.7619872906055651</v>
      </c>
    </row>
    <row r="227" spans="1:27" x14ac:dyDescent="0.2">
      <c r="A227" s="7" t="s">
        <v>2224</v>
      </c>
      <c r="B227" t="s">
        <v>1098</v>
      </c>
      <c r="C227">
        <v>2019</v>
      </c>
      <c r="D227">
        <v>5.34</v>
      </c>
      <c r="E227">
        <v>3</v>
      </c>
      <c r="F227">
        <v>5.34</v>
      </c>
      <c r="G227">
        <v>19.057000000000002</v>
      </c>
      <c r="H227">
        <v>1</v>
      </c>
      <c r="I227">
        <v>0.7</v>
      </c>
      <c r="J227">
        <v>-9.4915254237288207E-2</v>
      </c>
      <c r="K227">
        <v>0.26109812108392993</v>
      </c>
      <c r="L227">
        <v>0</v>
      </c>
      <c r="M227">
        <v>0.4</v>
      </c>
      <c r="N227">
        <v>1</v>
      </c>
      <c r="O227">
        <v>0.3</v>
      </c>
      <c r="P227">
        <v>27.007184401317094</v>
      </c>
      <c r="Q227">
        <v>0.62530178657653301</v>
      </c>
      <c r="R227">
        <v>-5.222463467422167E-2</v>
      </c>
      <c r="S227">
        <v>1.7394455517303857</v>
      </c>
      <c r="T227">
        <v>0.11199576835220526</v>
      </c>
      <c r="U227">
        <v>0.50099655734734549</v>
      </c>
      <c r="V227">
        <v>26.684910664824958</v>
      </c>
      <c r="W227">
        <v>0.48825895853669604</v>
      </c>
      <c r="X227">
        <v>4.7981027734601098E-2</v>
      </c>
      <c r="Y227">
        <v>0.82505426410985139</v>
      </c>
      <c r="Z227">
        <v>0.14060214801920828</v>
      </c>
      <c r="AA227">
        <v>1.6648056772766975</v>
      </c>
    </row>
    <row r="228" spans="1:27" x14ac:dyDescent="0.2">
      <c r="A228" s="7" t="s">
        <v>2224</v>
      </c>
      <c r="B228" t="s">
        <v>1102</v>
      </c>
      <c r="C228">
        <v>2018</v>
      </c>
      <c r="D228">
        <v>5.9</v>
      </c>
      <c r="E228">
        <v>3</v>
      </c>
      <c r="F228">
        <v>5.9</v>
      </c>
      <c r="G228">
        <v>22.104999999999997</v>
      </c>
      <c r="H228">
        <v>1</v>
      </c>
      <c r="I228">
        <v>0.4</v>
      </c>
      <c r="J228">
        <v>1.1146953405017923</v>
      </c>
      <c r="K228">
        <v>9.3873341858760721E-3</v>
      </c>
      <c r="L228">
        <v>1</v>
      </c>
      <c r="M228">
        <v>0.4</v>
      </c>
      <c r="N228">
        <v>0</v>
      </c>
      <c r="O228">
        <v>0.2</v>
      </c>
      <c r="P228">
        <v>26.83909595912484</v>
      </c>
      <c r="Q228">
        <v>0.60652324774462174</v>
      </c>
      <c r="R228">
        <v>0.17357518485362577</v>
      </c>
      <c r="S228">
        <v>1.9289279297264923</v>
      </c>
      <c r="T228">
        <v>0.18097208339630941</v>
      </c>
      <c r="U228">
        <v>0.43841086045118793</v>
      </c>
      <c r="V228">
        <v>26.543689457664925</v>
      </c>
      <c r="W228">
        <v>0.50931900391199525</v>
      </c>
      <c r="X228">
        <v>0.22193844884878181</v>
      </c>
      <c r="Y228">
        <v>0.82291426366161091</v>
      </c>
      <c r="Z228">
        <v>0.15266563135618333</v>
      </c>
      <c r="AA228">
        <v>2.5282344242867385</v>
      </c>
    </row>
    <row r="229" spans="1:27" x14ac:dyDescent="0.2">
      <c r="A229" s="7" t="s">
        <v>2224</v>
      </c>
      <c r="B229" t="s">
        <v>1106</v>
      </c>
      <c r="C229">
        <v>2017</v>
      </c>
      <c r="D229">
        <v>2.79</v>
      </c>
      <c r="E229">
        <v>3</v>
      </c>
      <c r="F229">
        <v>2.79</v>
      </c>
      <c r="G229">
        <v>15.676969999999997</v>
      </c>
      <c r="H229">
        <v>1</v>
      </c>
      <c r="I229">
        <v>0.6</v>
      </c>
      <c r="J229">
        <v>0.42346938775510207</v>
      </c>
      <c r="K229">
        <v>9.0310838004182964E-2</v>
      </c>
      <c r="L229">
        <v>1</v>
      </c>
      <c r="M229">
        <v>0.4</v>
      </c>
      <c r="N229">
        <v>0</v>
      </c>
      <c r="O229">
        <v>0.2</v>
      </c>
      <c r="P229">
        <v>26.858984449345737</v>
      </c>
      <c r="Q229">
        <v>0.61509338717819273</v>
      </c>
      <c r="R229">
        <v>0.16558937580284394</v>
      </c>
      <c r="S229">
        <v>1.6843732945242857</v>
      </c>
      <c r="T229">
        <v>0.15442012409871816</v>
      </c>
      <c r="U229">
        <v>0.44151355284700744</v>
      </c>
      <c r="V229">
        <v>26.512445907825303</v>
      </c>
      <c r="W229">
        <v>0.52796765507663457</v>
      </c>
      <c r="X229">
        <v>9.2799817985977681E-2</v>
      </c>
      <c r="Y229">
        <v>0.99518727922244632</v>
      </c>
      <c r="Z229">
        <v>0.11731657623028979</v>
      </c>
      <c r="AA229">
        <v>2.1319087279205018</v>
      </c>
    </row>
    <row r="230" spans="1:27" x14ac:dyDescent="0.2">
      <c r="A230" s="7" t="s">
        <v>2224</v>
      </c>
      <c r="B230" t="s">
        <v>1110</v>
      </c>
      <c r="C230">
        <v>2016</v>
      </c>
      <c r="D230">
        <v>1.96</v>
      </c>
      <c r="E230">
        <v>3</v>
      </c>
      <c r="F230">
        <v>1.96</v>
      </c>
      <c r="G230">
        <v>11.790649999999999</v>
      </c>
      <c r="H230">
        <v>1</v>
      </c>
      <c r="I230">
        <v>0.6</v>
      </c>
      <c r="J230">
        <v>1.2022471910112362</v>
      </c>
      <c r="K230">
        <v>0.55798020952623462</v>
      </c>
      <c r="L230">
        <v>1</v>
      </c>
      <c r="M230">
        <v>0.5</v>
      </c>
      <c r="N230">
        <v>0</v>
      </c>
      <c r="O230">
        <v>0</v>
      </c>
      <c r="P230">
        <v>26.800725650053192</v>
      </c>
      <c r="Q230">
        <v>0.66835871404399327</v>
      </c>
      <c r="R230">
        <v>5.5576571899679905E-2</v>
      </c>
      <c r="S230">
        <v>1.8473784759074505</v>
      </c>
      <c r="T230">
        <v>0.18325694544278229</v>
      </c>
      <c r="U230">
        <v>0.37996179155168752</v>
      </c>
      <c r="V230">
        <v>26.528989254381695</v>
      </c>
      <c r="W230">
        <v>0.49376382868097146</v>
      </c>
      <c r="X230">
        <v>0.14376569265103775</v>
      </c>
      <c r="Y230">
        <v>-7.3848108378291394E-2</v>
      </c>
      <c r="Z230">
        <v>0.15864532897333991</v>
      </c>
      <c r="AA230">
        <v>0.13342835580367013</v>
      </c>
    </row>
    <row r="231" spans="1:27" x14ac:dyDescent="0.2">
      <c r="A231" s="7" t="s">
        <v>2224</v>
      </c>
      <c r="B231" t="s">
        <v>1114</v>
      </c>
      <c r="C231">
        <v>2015</v>
      </c>
      <c r="D231">
        <v>0.8899999999999999</v>
      </c>
      <c r="E231">
        <v>3</v>
      </c>
      <c r="F231">
        <v>0.8899999999999999</v>
      </c>
      <c r="G231">
        <v>7.0356499999999995</v>
      </c>
      <c r="H231">
        <v>1</v>
      </c>
      <c r="I231">
        <v>0.5</v>
      </c>
      <c r="J231">
        <v>0.53448275862068961</v>
      </c>
      <c r="K231">
        <v>0.82743889472848409</v>
      </c>
      <c r="L231">
        <v>1</v>
      </c>
      <c r="M231">
        <v>0.4</v>
      </c>
      <c r="N231">
        <v>0</v>
      </c>
      <c r="O231">
        <v>0.1</v>
      </c>
      <c r="P231">
        <v>26.655822046317311</v>
      </c>
      <c r="Q231">
        <v>0.61133668994640245</v>
      </c>
      <c r="R231">
        <v>0.16029562745591708</v>
      </c>
      <c r="S231">
        <v>2.3409638554216872</v>
      </c>
      <c r="T231">
        <v>7.5656705204798363E-2</v>
      </c>
      <c r="U231">
        <v>0.85451807228915666</v>
      </c>
      <c r="V231">
        <v>26.328180304995932</v>
      </c>
      <c r="W231">
        <v>0.48733417561660974</v>
      </c>
      <c r="X231">
        <v>0.26342581782637198</v>
      </c>
      <c r="Y231">
        <v>0.81459750417538801</v>
      </c>
      <c r="Z231">
        <v>1.7448596763494868E-2</v>
      </c>
      <c r="AA231">
        <v>3.2106070475844959</v>
      </c>
    </row>
    <row r="232" spans="1:27" x14ac:dyDescent="0.2">
      <c r="A232" s="7" t="s">
        <v>2224</v>
      </c>
      <c r="B232" t="s">
        <v>1118</v>
      </c>
      <c r="C232">
        <v>2014</v>
      </c>
      <c r="D232">
        <v>0.57999999999999996</v>
      </c>
      <c r="E232">
        <v>3</v>
      </c>
      <c r="F232">
        <v>0.57999999999999996</v>
      </c>
      <c r="G232">
        <v>7.798</v>
      </c>
      <c r="H232">
        <v>1</v>
      </c>
      <c r="I232">
        <v>0.4</v>
      </c>
      <c r="J232">
        <v>1</v>
      </c>
      <c r="K232">
        <v>0.97331851927967727</v>
      </c>
      <c r="L232">
        <v>1</v>
      </c>
      <c r="M232">
        <v>0.2</v>
      </c>
      <c r="N232">
        <v>0</v>
      </c>
      <c r="O232">
        <v>0.1</v>
      </c>
      <c r="P232">
        <v>26.442098510624742</v>
      </c>
      <c r="Q232">
        <v>0.6455390098001782</v>
      </c>
      <c r="R232">
        <v>0.18329865751010943</v>
      </c>
      <c r="S232">
        <v>1.8919330289193308</v>
      </c>
      <c r="T232">
        <v>-4.8581681049014126E-3</v>
      </c>
      <c r="U232">
        <v>0.99315068493150704</v>
      </c>
      <c r="V232">
        <v>26.282231434071004</v>
      </c>
      <c r="W232">
        <v>0.50157722425107343</v>
      </c>
      <c r="X232">
        <v>0.51863588308926012</v>
      </c>
      <c r="Y232">
        <v>0.65787575367336626</v>
      </c>
      <c r="Z232">
        <v>-8.6094933100890489E-2</v>
      </c>
      <c r="AA232">
        <v>1.6971842555784507</v>
      </c>
    </row>
    <row r="233" spans="1:27" x14ac:dyDescent="0.2">
      <c r="A233" s="7" t="s">
        <v>2226</v>
      </c>
      <c r="B233" t="s">
        <v>1135</v>
      </c>
      <c r="C233">
        <v>2024</v>
      </c>
      <c r="D233">
        <v>0</v>
      </c>
      <c r="E233">
        <v>3</v>
      </c>
      <c r="F233">
        <v>0</v>
      </c>
      <c r="G233">
        <v>33.058</v>
      </c>
      <c r="H233">
        <v>0</v>
      </c>
      <c r="I233">
        <v>0.5</v>
      </c>
      <c r="J233">
        <v>0</v>
      </c>
      <c r="K233">
        <v>-0.20461447297899457</v>
      </c>
      <c r="L233">
        <v>0</v>
      </c>
      <c r="M233">
        <v>0.1</v>
      </c>
      <c r="N233">
        <v>0</v>
      </c>
      <c r="O233">
        <v>0.5</v>
      </c>
      <c r="P233">
        <v>26.271454368549637</v>
      </c>
      <c r="Q233">
        <v>0.42695465237642732</v>
      </c>
      <c r="R233">
        <v>-4.535039567955379E-2</v>
      </c>
      <c r="S233">
        <v>1.4495192307692308</v>
      </c>
      <c r="T233">
        <v>-0.13722693463078006</v>
      </c>
      <c r="U233">
        <v>-3.5718349358974359</v>
      </c>
      <c r="V233">
        <v>27.384013648267295</v>
      </c>
      <c r="W233">
        <v>0.48545741592707448</v>
      </c>
      <c r="X233">
        <v>3.2346149409246384E-2</v>
      </c>
      <c r="Y233">
        <v>1.144934834624445</v>
      </c>
      <c r="Z233">
        <v>6.3798444472921989E-2</v>
      </c>
      <c r="AA233">
        <v>3.1784031096669594</v>
      </c>
    </row>
    <row r="234" spans="1:27" x14ac:dyDescent="0.2">
      <c r="A234" s="7" t="s">
        <v>2226</v>
      </c>
      <c r="B234" t="s">
        <v>1137</v>
      </c>
      <c r="C234">
        <v>2023</v>
      </c>
      <c r="D234">
        <v>0</v>
      </c>
      <c r="E234">
        <v>3</v>
      </c>
      <c r="F234">
        <v>0</v>
      </c>
      <c r="G234">
        <v>25.244</v>
      </c>
      <c r="H234">
        <v>0</v>
      </c>
      <c r="I234">
        <v>0.6</v>
      </c>
      <c r="J234">
        <v>0</v>
      </c>
      <c r="K234">
        <v>0.43287037037037035</v>
      </c>
      <c r="L234">
        <v>0</v>
      </c>
      <c r="M234">
        <v>0.6</v>
      </c>
      <c r="N234">
        <v>0</v>
      </c>
      <c r="O234">
        <v>0.1</v>
      </c>
      <c r="P234">
        <v>26.328538351289815</v>
      </c>
      <c r="Q234">
        <v>0.36137146136189746</v>
      </c>
      <c r="R234">
        <v>-6.4880369546936323E-2</v>
      </c>
      <c r="S234">
        <v>1.7764202103035514</v>
      </c>
      <c r="T234">
        <v>9.2374978332053895E-2</v>
      </c>
      <c r="U234">
        <v>-5.49467627802394</v>
      </c>
      <c r="V234">
        <v>27.299081806523226</v>
      </c>
      <c r="W234">
        <v>0.46521697219377411</v>
      </c>
      <c r="X234">
        <v>0.15041103099044562</v>
      </c>
      <c r="Y234">
        <v>-2.9208327087658914E-2</v>
      </c>
      <c r="Z234">
        <v>0.12100082665351053</v>
      </c>
      <c r="AA234">
        <v>-6.3742397812059523E-2</v>
      </c>
    </row>
    <row r="235" spans="1:27" x14ac:dyDescent="0.2">
      <c r="A235" s="7" t="s">
        <v>2226</v>
      </c>
      <c r="B235" t="s">
        <v>1139</v>
      </c>
      <c r="C235">
        <v>2022</v>
      </c>
      <c r="D235">
        <v>0</v>
      </c>
      <c r="E235">
        <v>3</v>
      </c>
      <c r="F235">
        <v>0</v>
      </c>
      <c r="G235">
        <v>1.73</v>
      </c>
      <c r="H235">
        <v>0</v>
      </c>
      <c r="I235">
        <v>0.2</v>
      </c>
      <c r="J235">
        <v>0</v>
      </c>
      <c r="K235">
        <v>-0.60242800677583286</v>
      </c>
      <c r="L235">
        <v>0</v>
      </c>
      <c r="M235">
        <v>0.1</v>
      </c>
      <c r="N235">
        <v>0</v>
      </c>
      <c r="O235">
        <v>0.8</v>
      </c>
      <c r="P235">
        <v>26.257101866276042</v>
      </c>
      <c r="Q235">
        <v>0.31308545985389924</v>
      </c>
      <c r="R235">
        <v>7.9515213617393776E-2</v>
      </c>
      <c r="S235">
        <v>1.5775870453219218</v>
      </c>
      <c r="T235">
        <v>0.26565547658888439</v>
      </c>
      <c r="U235">
        <v>-4.077137230110873</v>
      </c>
      <c r="V235">
        <v>27.165406532050127</v>
      </c>
      <c r="W235">
        <v>0.48765642400650455</v>
      </c>
      <c r="X235">
        <v>-3.1812594822902537E-2</v>
      </c>
      <c r="Y235">
        <v>0.77923973910549271</v>
      </c>
      <c r="Z235">
        <v>0.14797114025641953</v>
      </c>
      <c r="AA235">
        <v>1.6764066254052044</v>
      </c>
    </row>
    <row r="236" spans="1:27" x14ac:dyDescent="0.2">
      <c r="A236" s="7" t="s">
        <v>2226</v>
      </c>
      <c r="B236" t="s">
        <v>1140</v>
      </c>
      <c r="C236">
        <v>2021</v>
      </c>
      <c r="D236">
        <v>0</v>
      </c>
      <c r="E236">
        <v>3</v>
      </c>
      <c r="F236">
        <v>0</v>
      </c>
      <c r="G236">
        <v>36.855000000000004</v>
      </c>
      <c r="H236">
        <v>0</v>
      </c>
      <c r="I236">
        <v>0.8</v>
      </c>
      <c r="J236">
        <v>0</v>
      </c>
      <c r="K236">
        <v>0.73069632657079653</v>
      </c>
      <c r="L236">
        <v>0</v>
      </c>
      <c r="M236">
        <v>0.5</v>
      </c>
      <c r="N236">
        <v>0</v>
      </c>
      <c r="O236">
        <v>0.2</v>
      </c>
      <c r="P236">
        <v>26.193559768233413</v>
      </c>
      <c r="Q236">
        <v>0.31789247673978022</v>
      </c>
      <c r="R236">
        <v>0.5146654410933722</v>
      </c>
      <c r="S236">
        <v>1.3085050041418269</v>
      </c>
      <c r="T236">
        <v>0.38305399077358182</v>
      </c>
      <c r="U236">
        <v>-2.6128002824590233</v>
      </c>
      <c r="V236">
        <v>27.063940225368629</v>
      </c>
      <c r="W236">
        <v>0.50468208542591042</v>
      </c>
      <c r="X236">
        <v>0.69996477429400172</v>
      </c>
      <c r="Y236">
        <v>1.0080967923320723</v>
      </c>
      <c r="Z236">
        <v>0.27778789223154321</v>
      </c>
      <c r="AA236">
        <v>2.5142562565950426</v>
      </c>
    </row>
    <row r="237" spans="1:27" x14ac:dyDescent="0.2">
      <c r="A237" s="7" t="s">
        <v>2226</v>
      </c>
      <c r="B237" t="s">
        <v>1144</v>
      </c>
      <c r="C237">
        <v>2020</v>
      </c>
      <c r="D237">
        <v>0</v>
      </c>
      <c r="E237">
        <v>3</v>
      </c>
      <c r="F237">
        <v>0</v>
      </c>
      <c r="G237">
        <v>23.983999999999998</v>
      </c>
      <c r="H237">
        <v>0</v>
      </c>
      <c r="I237">
        <v>0.8</v>
      </c>
      <c r="J237">
        <v>0</v>
      </c>
      <c r="K237">
        <v>0.6593795487099845</v>
      </c>
      <c r="L237">
        <v>0</v>
      </c>
      <c r="M237">
        <v>0.7</v>
      </c>
      <c r="N237">
        <v>0</v>
      </c>
      <c r="O237">
        <v>0.1</v>
      </c>
      <c r="P237">
        <v>25.99029891345468</v>
      </c>
      <c r="Q237">
        <v>0.41965022699133303</v>
      </c>
      <c r="R237">
        <v>-0.10491052612057306</v>
      </c>
      <c r="S237">
        <v>1.1843101213416511</v>
      </c>
      <c r="T237">
        <v>5.7510195617612499E-3</v>
      </c>
      <c r="U237">
        <v>-1.8403310342435764</v>
      </c>
      <c r="V237">
        <v>26.901511121077455</v>
      </c>
      <c r="W237">
        <v>0.51476255695383588</v>
      </c>
      <c r="X237">
        <v>4.0442521052391198E-2</v>
      </c>
      <c r="Y237">
        <v>1.0266692674113442</v>
      </c>
      <c r="Z237">
        <v>0.10315358955062341</v>
      </c>
      <c r="AA237">
        <v>2.0088545605154695</v>
      </c>
    </row>
    <row r="238" spans="1:27" x14ac:dyDescent="0.2">
      <c r="A238" s="7" t="s">
        <v>2226</v>
      </c>
      <c r="B238" t="s">
        <v>1148</v>
      </c>
      <c r="C238">
        <v>2019</v>
      </c>
      <c r="D238">
        <v>0</v>
      </c>
      <c r="E238">
        <v>3</v>
      </c>
      <c r="F238">
        <v>0</v>
      </c>
      <c r="G238">
        <v>19.591000000000001</v>
      </c>
      <c r="H238">
        <v>0</v>
      </c>
      <c r="I238">
        <v>0.8</v>
      </c>
      <c r="J238">
        <v>0</v>
      </c>
      <c r="K238">
        <v>0.25160659566020116</v>
      </c>
      <c r="L238">
        <v>0</v>
      </c>
      <c r="M238">
        <v>0.4</v>
      </c>
      <c r="N238">
        <v>0</v>
      </c>
      <c r="O238">
        <v>0.4</v>
      </c>
      <c r="P238">
        <v>26.46788630599487</v>
      </c>
      <c r="Q238">
        <v>0.63036431417097327</v>
      </c>
      <c r="R238">
        <v>-5.1210273407257145E-2</v>
      </c>
      <c r="S238">
        <v>1.1719071734654127</v>
      </c>
      <c r="T238">
        <v>1.3600368177995016E-2</v>
      </c>
      <c r="U238">
        <v>-2.3377954340167042</v>
      </c>
      <c r="V238">
        <v>26.738840474357183</v>
      </c>
      <c r="W238">
        <v>0.48775270577725199</v>
      </c>
      <c r="X238">
        <v>4.7879591607904649E-2</v>
      </c>
      <c r="Y238">
        <v>0.88180810193634862</v>
      </c>
      <c r="Z238">
        <v>0.15044168803662933</v>
      </c>
      <c r="AA238">
        <v>1.9486848764131026</v>
      </c>
    </row>
    <row r="239" spans="1:27" x14ac:dyDescent="0.2">
      <c r="A239" s="7" t="s">
        <v>2226</v>
      </c>
      <c r="B239" t="s">
        <v>1152</v>
      </c>
      <c r="C239">
        <v>2018</v>
      </c>
      <c r="D239">
        <v>0</v>
      </c>
      <c r="E239">
        <v>3</v>
      </c>
      <c r="F239">
        <v>0</v>
      </c>
      <c r="G239">
        <v>22.694999999999997</v>
      </c>
      <c r="H239">
        <v>0</v>
      </c>
      <c r="I239">
        <v>0.5</v>
      </c>
      <c r="J239">
        <v>0</v>
      </c>
      <c r="K239">
        <v>0.12085686823605531</v>
      </c>
      <c r="L239">
        <v>0</v>
      </c>
      <c r="M239">
        <v>0.5</v>
      </c>
      <c r="N239">
        <v>0</v>
      </c>
      <c r="O239">
        <v>0.2</v>
      </c>
      <c r="P239">
        <v>26.48413727858674</v>
      </c>
      <c r="Q239">
        <v>0.59780873671782764</v>
      </c>
      <c r="R239">
        <v>4.5003059044575133E-2</v>
      </c>
      <c r="S239">
        <v>1.175779926670812</v>
      </c>
      <c r="T239">
        <v>4.2515767520164838E-2</v>
      </c>
      <c r="U239">
        <v>-2.3620575055211304</v>
      </c>
      <c r="V239">
        <v>26.579185325718736</v>
      </c>
      <c r="W239">
        <v>0.51019045501467464</v>
      </c>
      <c r="X239">
        <v>0.23479566142968689</v>
      </c>
      <c r="Y239">
        <v>0.89822906396717905</v>
      </c>
      <c r="Z239">
        <v>0.16651126294379778</v>
      </c>
      <c r="AA239">
        <v>2.8082812608839705</v>
      </c>
    </row>
    <row r="240" spans="1:27" x14ac:dyDescent="0.2">
      <c r="A240" s="7" t="s">
        <v>2226</v>
      </c>
      <c r="B240" t="s">
        <v>1156</v>
      </c>
      <c r="C240">
        <v>2017</v>
      </c>
      <c r="D240">
        <v>0</v>
      </c>
      <c r="E240">
        <v>3</v>
      </c>
      <c r="F240">
        <v>0</v>
      </c>
      <c r="G240">
        <v>15.955969999999999</v>
      </c>
      <c r="H240">
        <v>0</v>
      </c>
      <c r="I240">
        <v>0.7</v>
      </c>
      <c r="J240">
        <v>0</v>
      </c>
      <c r="K240">
        <v>0.13265777677969315</v>
      </c>
      <c r="L240">
        <v>0</v>
      </c>
      <c r="M240">
        <v>0.5</v>
      </c>
      <c r="N240">
        <v>0</v>
      </c>
      <c r="O240">
        <v>0.2</v>
      </c>
      <c r="P240">
        <v>26.488854979625124</v>
      </c>
      <c r="Q240">
        <v>0.62005095150206657</v>
      </c>
      <c r="R240">
        <v>8.37074153379056E-2</v>
      </c>
      <c r="S240">
        <v>1.1622476273178963</v>
      </c>
      <c r="T240">
        <v>3.9001414848462285E-2</v>
      </c>
      <c r="U240">
        <v>-2.3071850180024822</v>
      </c>
      <c r="V240">
        <v>26.549458854797365</v>
      </c>
      <c r="W240">
        <v>0.52747189864424715</v>
      </c>
      <c r="X240">
        <v>0.10098801403247153</v>
      </c>
      <c r="Y240">
        <v>1.0473998459430853</v>
      </c>
      <c r="Z240">
        <v>0.12885844715531539</v>
      </c>
      <c r="AA240">
        <v>2.4067785850054508</v>
      </c>
    </row>
    <row r="241" spans="1:27" x14ac:dyDescent="0.2">
      <c r="A241" s="7" t="s">
        <v>2226</v>
      </c>
      <c r="B241" t="s">
        <v>1160</v>
      </c>
      <c r="C241">
        <v>2016</v>
      </c>
      <c r="D241">
        <v>0</v>
      </c>
      <c r="E241">
        <v>3</v>
      </c>
      <c r="F241">
        <v>0</v>
      </c>
      <c r="G241">
        <v>11.986649999999999</v>
      </c>
      <c r="H241">
        <v>0</v>
      </c>
      <c r="I241">
        <v>0.7</v>
      </c>
      <c r="J241">
        <v>0</v>
      </c>
      <c r="K241">
        <v>0.67820492862735826</v>
      </c>
      <c r="L241">
        <v>0</v>
      </c>
      <c r="M241">
        <v>0.6</v>
      </c>
      <c r="N241">
        <v>0</v>
      </c>
      <c r="O241">
        <v>0</v>
      </c>
      <c r="P241">
        <v>26.508520765931884</v>
      </c>
      <c r="Q241">
        <v>0.6278801099964666</v>
      </c>
      <c r="R241">
        <v>8.60467220952148E-2</v>
      </c>
      <c r="S241">
        <v>1.1657085847308661</v>
      </c>
      <c r="T241">
        <v>2.7737788317351696E-2</v>
      </c>
      <c r="U241">
        <v>-2.2885212282452057</v>
      </c>
      <c r="V241">
        <v>26.558209742793828</v>
      </c>
      <c r="W241">
        <v>0.49781168908572415</v>
      </c>
      <c r="X241">
        <v>0.14071867763148427</v>
      </c>
      <c r="Y241">
        <v>-5.6811192606329493E-3</v>
      </c>
      <c r="Z241">
        <v>0.17419724468588299</v>
      </c>
      <c r="AA241">
        <v>0.40027665778335947</v>
      </c>
    </row>
    <row r="242" spans="1:27" x14ac:dyDescent="0.2">
      <c r="A242" s="7" t="s">
        <v>2228</v>
      </c>
      <c r="B242" t="s">
        <v>1178</v>
      </c>
      <c r="C242">
        <v>2024</v>
      </c>
      <c r="D242">
        <v>0</v>
      </c>
      <c r="E242">
        <v>3</v>
      </c>
      <c r="F242">
        <v>0</v>
      </c>
      <c r="G242">
        <v>33.058</v>
      </c>
      <c r="H242">
        <v>0</v>
      </c>
      <c r="I242">
        <v>0.5</v>
      </c>
      <c r="J242">
        <v>-1</v>
      </c>
      <c r="K242">
        <v>-0.10461447297899458</v>
      </c>
      <c r="L242">
        <v>0</v>
      </c>
      <c r="M242">
        <v>0.1</v>
      </c>
      <c r="N242">
        <v>1</v>
      </c>
      <c r="O242">
        <v>0.4</v>
      </c>
      <c r="P242">
        <v>27.754008363927397</v>
      </c>
      <c r="Q242">
        <v>0.49209192922263389</v>
      </c>
      <c r="R242">
        <v>4.9449613524241043E-2</v>
      </c>
      <c r="S242">
        <v>0.95073571396176126</v>
      </c>
      <c r="T242">
        <v>0.10809528160374555</v>
      </c>
      <c r="U242">
        <v>0.3150981552784991</v>
      </c>
      <c r="V242">
        <v>27.235758248729518</v>
      </c>
      <c r="W242">
        <v>0.47894368824245381</v>
      </c>
      <c r="X242">
        <v>2.2866148488866901E-2</v>
      </c>
      <c r="Y242">
        <v>1.1948131863051918</v>
      </c>
      <c r="Z242">
        <v>3.9266222849469422E-2</v>
      </c>
      <c r="AA242">
        <v>2.7897098005493652</v>
      </c>
    </row>
    <row r="243" spans="1:27" x14ac:dyDescent="0.2">
      <c r="A243" s="7" t="s">
        <v>2228</v>
      </c>
      <c r="B243" t="s">
        <v>1180</v>
      </c>
      <c r="C243">
        <v>2023</v>
      </c>
      <c r="D243">
        <v>25.43</v>
      </c>
      <c r="E243">
        <v>3</v>
      </c>
      <c r="F243">
        <v>25.43</v>
      </c>
      <c r="G243">
        <v>22.701000000000001</v>
      </c>
      <c r="H243">
        <v>1</v>
      </c>
      <c r="I243">
        <v>0.5</v>
      </c>
      <c r="J243">
        <v>1</v>
      </c>
      <c r="K243">
        <v>0.33287037037037037</v>
      </c>
      <c r="L243">
        <v>1</v>
      </c>
      <c r="M243">
        <v>0.5</v>
      </c>
      <c r="N243">
        <v>0</v>
      </c>
      <c r="O243">
        <v>0.1</v>
      </c>
      <c r="P243">
        <v>27.747694202485942</v>
      </c>
      <c r="Q243">
        <v>0.43182570531576364</v>
      </c>
      <c r="R243">
        <v>3.6202450425888433E-2</v>
      </c>
      <c r="S243">
        <v>0.98186025566968305</v>
      </c>
      <c r="T243">
        <v>0.20186892639897105</v>
      </c>
      <c r="U243">
        <v>0.3008662393543316</v>
      </c>
      <c r="V243">
        <v>27.15716622140361</v>
      </c>
      <c r="W243">
        <v>0.45817154779838748</v>
      </c>
      <c r="X243">
        <v>0.14030274899316311</v>
      </c>
      <c r="Y243">
        <v>5.024766837572793E-2</v>
      </c>
      <c r="Z243">
        <v>0.1100514318468188</v>
      </c>
      <c r="AA243">
        <v>-0.64329664954988641</v>
      </c>
    </row>
    <row r="244" spans="1:27" x14ac:dyDescent="0.2">
      <c r="A244" s="7" t="s">
        <v>2228</v>
      </c>
      <c r="B244" t="s">
        <v>1182</v>
      </c>
      <c r="C244">
        <v>2022</v>
      </c>
      <c r="D244">
        <v>0</v>
      </c>
      <c r="E244">
        <v>3</v>
      </c>
      <c r="F244">
        <v>0</v>
      </c>
      <c r="G244">
        <v>1.73</v>
      </c>
      <c r="H244">
        <v>0</v>
      </c>
      <c r="I244">
        <v>0.2</v>
      </c>
      <c r="J244">
        <v>-1</v>
      </c>
      <c r="K244">
        <v>-0.50242800677583288</v>
      </c>
      <c r="L244">
        <v>0</v>
      </c>
      <c r="M244">
        <v>0.1</v>
      </c>
      <c r="N244">
        <v>1</v>
      </c>
      <c r="O244">
        <v>0.7</v>
      </c>
      <c r="P244">
        <v>27.580352889303327</v>
      </c>
      <c r="Q244">
        <v>0.50140017715239105</v>
      </c>
      <c r="R244">
        <v>-0.24609292361462121</v>
      </c>
      <c r="S244">
        <v>1.0202942045064531</v>
      </c>
      <c r="T244">
        <v>0.1801522623961441</v>
      </c>
      <c r="U244">
        <v>0.51746629738121275</v>
      </c>
      <c r="V244">
        <v>27.033081429747405</v>
      </c>
      <c r="W244">
        <v>0.46882495227665533</v>
      </c>
      <c r="X244">
        <v>7.4821890029895814E-4</v>
      </c>
      <c r="Y244">
        <v>0.83496902318703936</v>
      </c>
      <c r="Z244">
        <v>0.15652146167569353</v>
      </c>
      <c r="AA244">
        <v>1.2169462726559956</v>
      </c>
    </row>
    <row r="245" spans="1:27" x14ac:dyDescent="0.2">
      <c r="A245" s="7" t="s">
        <v>2228</v>
      </c>
      <c r="B245" t="s">
        <v>1183</v>
      </c>
      <c r="C245">
        <v>2021</v>
      </c>
      <c r="D245">
        <v>34.659999999999997</v>
      </c>
      <c r="E245">
        <v>3</v>
      </c>
      <c r="F245">
        <v>34.659999999999997</v>
      </c>
      <c r="G245">
        <v>33.388999999999996</v>
      </c>
      <c r="H245">
        <v>1</v>
      </c>
      <c r="I245">
        <v>0.7</v>
      </c>
      <c r="J245">
        <v>0.60166358595194069</v>
      </c>
      <c r="K245">
        <v>0.67052996797560249</v>
      </c>
      <c r="L245">
        <v>1</v>
      </c>
      <c r="M245">
        <v>0.4</v>
      </c>
      <c r="N245">
        <v>0</v>
      </c>
      <c r="O245">
        <v>0.2</v>
      </c>
      <c r="P245">
        <v>27.522530598131667</v>
      </c>
      <c r="Q245">
        <v>0.50851081325548886</v>
      </c>
      <c r="R245">
        <v>0.78769111986397822</v>
      </c>
      <c r="S245">
        <v>2.0619372865569701</v>
      </c>
      <c r="T245">
        <v>0.46313083632378721</v>
      </c>
      <c r="U245">
        <v>0.88776777398323492</v>
      </c>
      <c r="V245">
        <v>26.931043142378805</v>
      </c>
      <c r="W245">
        <v>0.48562025177433954</v>
      </c>
      <c r="X245">
        <v>0.6726622064169413</v>
      </c>
      <c r="Y245">
        <v>0.93275356409055799</v>
      </c>
      <c r="Z245">
        <v>0.26978020767652267</v>
      </c>
      <c r="AA245">
        <v>2.1641994509508171</v>
      </c>
    </row>
    <row r="246" spans="1:27" x14ac:dyDescent="0.2">
      <c r="A246" s="7" t="s">
        <v>2228</v>
      </c>
      <c r="B246" t="s">
        <v>1187</v>
      </c>
      <c r="C246">
        <v>2020</v>
      </c>
      <c r="D246">
        <v>21.64</v>
      </c>
      <c r="E246">
        <v>3</v>
      </c>
      <c r="F246">
        <v>21.64</v>
      </c>
      <c r="G246">
        <v>21.82</v>
      </c>
      <c r="H246">
        <v>1</v>
      </c>
      <c r="I246">
        <v>0.7</v>
      </c>
      <c r="J246">
        <v>0.24654377880184339</v>
      </c>
      <c r="K246">
        <v>0.63472517082980018</v>
      </c>
      <c r="L246">
        <v>1</v>
      </c>
      <c r="M246">
        <v>0.6</v>
      </c>
      <c r="N246">
        <v>0</v>
      </c>
      <c r="O246">
        <v>0.1</v>
      </c>
      <c r="P246">
        <v>27.29274199919147</v>
      </c>
      <c r="Q246">
        <v>0.57381869803285335</v>
      </c>
      <c r="R246">
        <v>-2.1003798597783008E-2</v>
      </c>
      <c r="S246">
        <v>2.4553891584054002</v>
      </c>
      <c r="T246">
        <v>0.12856815198197014</v>
      </c>
      <c r="U246">
        <v>1.08015186669479</v>
      </c>
      <c r="V246">
        <v>26.771266812503779</v>
      </c>
      <c r="W246">
        <v>0.49934570984968374</v>
      </c>
      <c r="X246">
        <v>3.2051848300112193E-2</v>
      </c>
      <c r="Y246">
        <v>0.8995613637049692</v>
      </c>
      <c r="Z246">
        <v>9.0871876308602537E-2</v>
      </c>
      <c r="AA246">
        <v>1.7168062704216329</v>
      </c>
    </row>
    <row r="247" spans="1:27" x14ac:dyDescent="0.2">
      <c r="A247" s="7" t="s">
        <v>2228</v>
      </c>
      <c r="B247" t="s">
        <v>1191</v>
      </c>
      <c r="C247">
        <v>2019</v>
      </c>
      <c r="D247">
        <v>17.36</v>
      </c>
      <c r="E247">
        <v>3</v>
      </c>
      <c r="F247">
        <v>17.36</v>
      </c>
      <c r="G247">
        <v>17.855000000000004</v>
      </c>
      <c r="H247">
        <v>1</v>
      </c>
      <c r="I247">
        <v>0.7</v>
      </c>
      <c r="J247">
        <v>-0.23893029373081992</v>
      </c>
      <c r="K247">
        <v>0.27549962503328318</v>
      </c>
      <c r="L247">
        <v>0</v>
      </c>
      <c r="M247">
        <v>0.4</v>
      </c>
      <c r="N247">
        <v>1</v>
      </c>
      <c r="O247">
        <v>0.3</v>
      </c>
      <c r="P247">
        <v>27.242708743244915</v>
      </c>
      <c r="Q247">
        <v>0.57602060282334988</v>
      </c>
      <c r="R247">
        <v>-9.8495271790381422E-2</v>
      </c>
      <c r="S247">
        <v>1.9909197914915082</v>
      </c>
      <c r="T247">
        <v>0.13311341796971865</v>
      </c>
      <c r="U247">
        <v>0.7629056667227172</v>
      </c>
      <c r="V247">
        <v>26.661358230632182</v>
      </c>
      <c r="W247">
        <v>0.49318707691201435</v>
      </c>
      <c r="X247">
        <v>5.2608091446217073E-2</v>
      </c>
      <c r="Y247">
        <v>0.79990684013373925</v>
      </c>
      <c r="Z247">
        <v>0.13849038305745695</v>
      </c>
      <c r="AA247">
        <v>1.6386147663391601</v>
      </c>
    </row>
    <row r="248" spans="1:27" x14ac:dyDescent="0.2">
      <c r="A248" s="7" t="s">
        <v>2228</v>
      </c>
      <c r="B248" t="s">
        <v>1195</v>
      </c>
      <c r="C248">
        <v>2018</v>
      </c>
      <c r="D248">
        <v>22.810000000000002</v>
      </c>
      <c r="E248">
        <v>3</v>
      </c>
      <c r="F248">
        <v>22.810000000000002</v>
      </c>
      <c r="G248">
        <v>20.413999999999994</v>
      </c>
      <c r="H248">
        <v>1</v>
      </c>
      <c r="I248">
        <v>0.4</v>
      </c>
      <c r="J248">
        <v>0.62464387464387494</v>
      </c>
      <c r="K248">
        <v>5.839248077166781E-2</v>
      </c>
      <c r="L248">
        <v>1</v>
      </c>
      <c r="M248">
        <v>0.4</v>
      </c>
      <c r="N248">
        <v>0</v>
      </c>
      <c r="O248">
        <v>0.2</v>
      </c>
      <c r="P248">
        <v>27.161290083881763</v>
      </c>
      <c r="Q248">
        <v>0.48250201126307318</v>
      </c>
      <c r="R248">
        <v>0.29033387755255746</v>
      </c>
      <c r="S248">
        <v>2.1203291052451152</v>
      </c>
      <c r="T248">
        <v>0.22270657082417178</v>
      </c>
      <c r="U248">
        <v>0.70449091532396302</v>
      </c>
      <c r="V248">
        <v>26.511470045189231</v>
      </c>
      <c r="W248">
        <v>0.5217211275601501</v>
      </c>
      <c r="X248">
        <v>0.21026257957888861</v>
      </c>
      <c r="Y248">
        <v>0.80377414610974862</v>
      </c>
      <c r="Z248">
        <v>0.14849218261339708</v>
      </c>
      <c r="AA248">
        <v>2.5016264187994612</v>
      </c>
    </row>
    <row r="249" spans="1:27" x14ac:dyDescent="0.2">
      <c r="A249" s="7" t="s">
        <v>2228</v>
      </c>
      <c r="B249" t="s">
        <v>1199</v>
      </c>
      <c r="C249">
        <v>2017</v>
      </c>
      <c r="D249">
        <v>14.04</v>
      </c>
      <c r="E249">
        <v>3</v>
      </c>
      <c r="F249">
        <v>14.04</v>
      </c>
      <c r="G249">
        <v>14.551970000000001</v>
      </c>
      <c r="H249">
        <v>1</v>
      </c>
      <c r="I249">
        <v>0.6</v>
      </c>
      <c r="J249">
        <v>0.52277657266811295</v>
      </c>
      <c r="K249">
        <v>8.0380119512881862E-2</v>
      </c>
      <c r="L249">
        <v>1</v>
      </c>
      <c r="M249">
        <v>0.4</v>
      </c>
      <c r="N249">
        <v>0</v>
      </c>
      <c r="O249">
        <v>0.2</v>
      </c>
      <c r="P249">
        <v>27.18661989081243</v>
      </c>
      <c r="Q249">
        <v>0.5046380502000728</v>
      </c>
      <c r="R249">
        <v>0.14620496270882621</v>
      </c>
      <c r="S249">
        <v>1.809960878724044</v>
      </c>
      <c r="T249">
        <v>0.12753743213955465</v>
      </c>
      <c r="U249">
        <v>0.65452904002407453</v>
      </c>
      <c r="V249">
        <v>26.479682363678638</v>
      </c>
      <c r="W249">
        <v>0.53901318877444648</v>
      </c>
      <c r="X249">
        <v>9.4738259295379462E-2</v>
      </c>
      <c r="Y249">
        <v>0.98262852080247054</v>
      </c>
      <c r="Z249">
        <v>0.12000484542620615</v>
      </c>
      <c r="AA249">
        <v>2.1106071792027956</v>
      </c>
    </row>
    <row r="250" spans="1:27" x14ac:dyDescent="0.2">
      <c r="A250" s="7" t="s">
        <v>2228</v>
      </c>
      <c r="B250" t="s">
        <v>1203</v>
      </c>
      <c r="C250">
        <v>2016</v>
      </c>
      <c r="D250">
        <v>9.2199999999999989</v>
      </c>
      <c r="E250">
        <v>3</v>
      </c>
      <c r="F250">
        <v>9.2199999999999989</v>
      </c>
      <c r="G250">
        <v>11.064649999999999</v>
      </c>
      <c r="H250">
        <v>1</v>
      </c>
      <c r="I250">
        <v>0.6</v>
      </c>
      <c r="J250">
        <v>0.32661870503597118</v>
      </c>
      <c r="K250">
        <v>0.64554305812376112</v>
      </c>
      <c r="L250">
        <v>1</v>
      </c>
      <c r="M250">
        <v>0.5</v>
      </c>
      <c r="N250">
        <v>0</v>
      </c>
      <c r="O250">
        <v>0</v>
      </c>
      <c r="P250">
        <v>27.254963830797077</v>
      </c>
      <c r="Q250">
        <v>0.52037816562326034</v>
      </c>
      <c r="R250">
        <v>4.392225942161132E-2</v>
      </c>
      <c r="S250">
        <v>1.9077296063890476</v>
      </c>
      <c r="T250">
        <v>0.10211984851237979</v>
      </c>
      <c r="U250">
        <v>0.62244089497369581</v>
      </c>
      <c r="V250">
        <v>26.483565436307309</v>
      </c>
      <c r="W250">
        <v>0.50856188352304477</v>
      </c>
      <c r="X250">
        <v>0.1449311238988446</v>
      </c>
      <c r="Y250">
        <v>-7.9883221426451073E-2</v>
      </c>
      <c r="Z250">
        <v>0.16675903866638014</v>
      </c>
      <c r="AA250">
        <v>0.10918044546146932</v>
      </c>
    </row>
    <row r="251" spans="1:27" x14ac:dyDescent="0.2">
      <c r="A251" s="7" t="s">
        <v>2228</v>
      </c>
      <c r="B251" t="s">
        <v>1207</v>
      </c>
      <c r="C251">
        <v>2015</v>
      </c>
      <c r="D251">
        <v>6.9499999999999993</v>
      </c>
      <c r="E251">
        <v>3</v>
      </c>
      <c r="F251">
        <v>6.9499999999999993</v>
      </c>
      <c r="G251">
        <v>6.4296499999999996</v>
      </c>
      <c r="H251">
        <v>1</v>
      </c>
      <c r="I251">
        <v>0.5</v>
      </c>
      <c r="J251">
        <v>1.8483606557377048</v>
      </c>
      <c r="K251">
        <v>0.69605110501678258</v>
      </c>
      <c r="L251">
        <v>1</v>
      </c>
      <c r="M251">
        <v>0.4</v>
      </c>
      <c r="N251">
        <v>0</v>
      </c>
      <c r="O251">
        <v>0.1</v>
      </c>
      <c r="P251">
        <v>27.0264610801438</v>
      </c>
      <c r="Q251">
        <v>0.49917034778124086</v>
      </c>
      <c r="R251">
        <v>0.21728207218279572</v>
      </c>
      <c r="S251">
        <v>2.3129805165735635</v>
      </c>
      <c r="T251">
        <v>0.12489219245853601</v>
      </c>
      <c r="U251">
        <v>0.73606866885960642</v>
      </c>
      <c r="V251">
        <v>26.291116401613277</v>
      </c>
      <c r="W251">
        <v>0.49855080983312589</v>
      </c>
      <c r="X251">
        <v>0.25709399063449656</v>
      </c>
      <c r="Y251">
        <v>0.81770676404740172</v>
      </c>
      <c r="Z251">
        <v>1.1977987068635128E-2</v>
      </c>
      <c r="AA251">
        <v>3.2224519879274509</v>
      </c>
    </row>
    <row r="252" spans="1:27" x14ac:dyDescent="0.2">
      <c r="A252" s="7" t="s">
        <v>2228</v>
      </c>
      <c r="B252" t="s">
        <v>1211</v>
      </c>
      <c r="C252">
        <v>2014</v>
      </c>
      <c r="D252">
        <v>2.44</v>
      </c>
      <c r="E252">
        <v>3</v>
      </c>
      <c r="F252">
        <v>2.44</v>
      </c>
      <c r="G252">
        <v>7.6120000000000001</v>
      </c>
      <c r="H252">
        <v>1</v>
      </c>
      <c r="I252">
        <v>0.4</v>
      </c>
      <c r="J252">
        <v>2.6417910447761193</v>
      </c>
      <c r="K252">
        <v>0.8091394148020653</v>
      </c>
      <c r="L252">
        <v>1</v>
      </c>
      <c r="M252">
        <v>0.2</v>
      </c>
      <c r="N252">
        <v>0</v>
      </c>
      <c r="O252">
        <v>0.1</v>
      </c>
      <c r="P252">
        <v>26.723052867114149</v>
      </c>
      <c r="Q252">
        <v>0.56379069778392865</v>
      </c>
      <c r="R252">
        <v>3.7941260418637182</v>
      </c>
      <c r="S252">
        <v>1.937614978668057</v>
      </c>
      <c r="T252">
        <v>0.11893030846533981</v>
      </c>
      <c r="U252">
        <v>0.64572225582136844</v>
      </c>
      <c r="V252">
        <v>26.25101428334996</v>
      </c>
      <c r="W252">
        <v>0.51066037003065667</v>
      </c>
      <c r="X252">
        <v>6.728246004505907E-2</v>
      </c>
      <c r="Y252">
        <v>0.65216550995477551</v>
      </c>
      <c r="Z252">
        <v>-0.10156849267217065</v>
      </c>
      <c r="AA252">
        <v>1.735787414368466</v>
      </c>
    </row>
    <row r="253" spans="1:27" x14ac:dyDescent="0.2">
      <c r="A253" s="7" t="s">
        <v>2231</v>
      </c>
      <c r="B253" t="s">
        <v>1227</v>
      </c>
      <c r="C253">
        <v>2025</v>
      </c>
      <c r="D253">
        <v>106.85</v>
      </c>
      <c r="E253">
        <v>3</v>
      </c>
      <c r="F253">
        <v>106.85</v>
      </c>
      <c r="G253">
        <v>0</v>
      </c>
      <c r="H253">
        <v>1</v>
      </c>
      <c r="I253">
        <v>0</v>
      </c>
      <c r="J253">
        <v>-0.47411162515995675</v>
      </c>
      <c r="K253">
        <v>-0.4</v>
      </c>
      <c r="L253">
        <v>0</v>
      </c>
      <c r="M253">
        <v>0</v>
      </c>
      <c r="N253">
        <v>1</v>
      </c>
      <c r="O253">
        <v>0.4</v>
      </c>
      <c r="P253">
        <v>27.854491813724511</v>
      </c>
      <c r="Q253">
        <v>0.55182744206095768</v>
      </c>
      <c r="R253">
        <v>2.5915125624669022E-2</v>
      </c>
      <c r="S253">
        <v>2.781368716419228</v>
      </c>
      <c r="T253">
        <v>0.26153392742966752</v>
      </c>
      <c r="U253">
        <v>3.5984613064920068</v>
      </c>
      <c r="V253">
        <v>27.479091898742677</v>
      </c>
      <c r="W253">
        <v>0.52588909289256258</v>
      </c>
      <c r="X253">
        <v>-0.11078414504837342</v>
      </c>
      <c r="Y253">
        <v>0.73057449873776192</v>
      </c>
      <c r="Z253">
        <v>-2.0145147872353806E-2</v>
      </c>
      <c r="AA253">
        <v>3.1280858492296248</v>
      </c>
    </row>
    <row r="254" spans="1:27" x14ac:dyDescent="0.2">
      <c r="A254" s="7" t="s">
        <v>2231</v>
      </c>
      <c r="B254" t="s">
        <v>1229</v>
      </c>
      <c r="C254">
        <v>2024</v>
      </c>
      <c r="D254">
        <v>203.18</v>
      </c>
      <c r="E254">
        <v>3</v>
      </c>
      <c r="F254">
        <v>203.18</v>
      </c>
      <c r="G254">
        <v>12.739999999999998</v>
      </c>
      <c r="H254">
        <v>1</v>
      </c>
      <c r="I254">
        <v>0.4</v>
      </c>
      <c r="J254">
        <v>1</v>
      </c>
      <c r="K254">
        <v>-0.30461447297899458</v>
      </c>
      <c r="L254">
        <v>1</v>
      </c>
      <c r="M254">
        <v>0</v>
      </c>
      <c r="N254">
        <v>0</v>
      </c>
      <c r="O254">
        <v>0.5</v>
      </c>
      <c r="P254">
        <v>27.772429528214879</v>
      </c>
      <c r="Q254">
        <v>0.45106802269304058</v>
      </c>
      <c r="R254">
        <v>0.4794668733643237</v>
      </c>
      <c r="S254">
        <v>4.8244774239263082</v>
      </c>
      <c r="T254">
        <v>0.30789416005985809</v>
      </c>
      <c r="U254">
        <v>8.0689682320985714</v>
      </c>
      <c r="V254">
        <v>27.23391613230077</v>
      </c>
      <c r="W254">
        <v>0.48304607889541318</v>
      </c>
      <c r="X254">
        <v>-2.0135577495141367E-2</v>
      </c>
      <c r="Y254">
        <v>0.8074390153087373</v>
      </c>
      <c r="Z254">
        <v>1.9286335003858172E-2</v>
      </c>
      <c r="AA254">
        <v>2.0143227928673584</v>
      </c>
    </row>
    <row r="255" spans="1:27" x14ac:dyDescent="0.2">
      <c r="A255" s="7" t="s">
        <v>2231</v>
      </c>
      <c r="B255" t="s">
        <v>1231</v>
      </c>
      <c r="C255">
        <v>2023</v>
      </c>
      <c r="D255">
        <v>0</v>
      </c>
      <c r="E255">
        <v>3</v>
      </c>
      <c r="F255">
        <v>0</v>
      </c>
      <c r="G255">
        <v>25.244</v>
      </c>
      <c r="H255">
        <v>0</v>
      </c>
      <c r="I255">
        <v>0.6</v>
      </c>
      <c r="J255">
        <v>0</v>
      </c>
      <c r="K255">
        <v>0.43287037037037035</v>
      </c>
      <c r="L255">
        <v>0</v>
      </c>
      <c r="M255">
        <v>0.6</v>
      </c>
      <c r="N255">
        <v>0</v>
      </c>
      <c r="O255">
        <v>0.1</v>
      </c>
      <c r="P255">
        <v>27.448059354247171</v>
      </c>
      <c r="Q255">
        <v>0.52760086455331412</v>
      </c>
      <c r="R255">
        <v>0.59693879286013041</v>
      </c>
      <c r="S255">
        <v>-7.7096303155495409</v>
      </c>
      <c r="T255">
        <v>0.19763591467151956</v>
      </c>
      <c r="U255">
        <v>-15.830116105135694</v>
      </c>
      <c r="V255">
        <v>27.187129706227488</v>
      </c>
      <c r="W255">
        <v>0.44859403187463237</v>
      </c>
      <c r="X255">
        <v>8.4229114749738931E-2</v>
      </c>
      <c r="Y255">
        <v>0.91939672549765028</v>
      </c>
      <c r="Z255">
        <v>0.11047473301956397</v>
      </c>
      <c r="AA255">
        <v>0.96980158489911594</v>
      </c>
    </row>
    <row r="256" spans="1:27" x14ac:dyDescent="0.2">
      <c r="A256" s="7" t="s">
        <v>2231</v>
      </c>
      <c r="B256" t="s">
        <v>1233</v>
      </c>
      <c r="C256">
        <v>2022</v>
      </c>
      <c r="D256">
        <v>0</v>
      </c>
      <c r="E256">
        <v>3</v>
      </c>
      <c r="F256">
        <v>0</v>
      </c>
      <c r="G256">
        <v>1.73</v>
      </c>
      <c r="H256">
        <v>0</v>
      </c>
      <c r="I256">
        <v>0.2</v>
      </c>
      <c r="J256">
        <v>-1</v>
      </c>
      <c r="K256">
        <v>-0.50242800677583288</v>
      </c>
      <c r="L256">
        <v>0</v>
      </c>
      <c r="M256">
        <v>0.1</v>
      </c>
      <c r="N256">
        <v>1</v>
      </c>
      <c r="O256">
        <v>0.7</v>
      </c>
      <c r="P256">
        <v>27.27321553305844</v>
      </c>
      <c r="Q256">
        <v>0.580557458499533</v>
      </c>
      <c r="R256">
        <v>-0.19472969346455704</v>
      </c>
      <c r="S256">
        <v>0.75523138752081165</v>
      </c>
      <c r="T256">
        <v>0.17282704933611259</v>
      </c>
      <c r="U256">
        <v>0.87461024319752056</v>
      </c>
      <c r="V256">
        <v>27.063795165371893</v>
      </c>
      <c r="W256">
        <v>0.46090922414194113</v>
      </c>
      <c r="X256">
        <v>-4.3881041147074583E-3</v>
      </c>
      <c r="Y256">
        <v>0.86147530488560364</v>
      </c>
      <c r="Z256">
        <v>0.15725398298169668</v>
      </c>
      <c r="AA256">
        <v>1.1812318780743649</v>
      </c>
    </row>
    <row r="257" spans="1:27" x14ac:dyDescent="0.2">
      <c r="A257" s="7" t="s">
        <v>2231</v>
      </c>
      <c r="B257" t="s">
        <v>1235</v>
      </c>
      <c r="C257">
        <v>2021</v>
      </c>
      <c r="D257">
        <v>26.75</v>
      </c>
      <c r="E257">
        <v>3</v>
      </c>
      <c r="F257">
        <v>26.75</v>
      </c>
      <c r="G257">
        <v>34.18</v>
      </c>
      <c r="H257">
        <v>1</v>
      </c>
      <c r="I257">
        <v>0.7</v>
      </c>
      <c r="J257">
        <v>-0.57363723302518321</v>
      </c>
      <c r="K257">
        <v>0.78806004987331479</v>
      </c>
      <c r="L257">
        <v>0</v>
      </c>
      <c r="M257">
        <v>0.5</v>
      </c>
      <c r="N257">
        <v>1</v>
      </c>
      <c r="O257">
        <v>0.1</v>
      </c>
      <c r="P257">
        <v>27.112057468088935</v>
      </c>
      <c r="Q257">
        <v>0.59786906208150392</v>
      </c>
      <c r="R257">
        <v>2.6412897840841776E-3</v>
      </c>
      <c r="S257">
        <v>0.66471778381247648</v>
      </c>
      <c r="T257">
        <v>0.29527148694813293</v>
      </c>
      <c r="U257">
        <v>1.2891821615675172</v>
      </c>
      <c r="V257">
        <v>26.972090455383075</v>
      </c>
      <c r="W257">
        <v>0.47668442689173807</v>
      </c>
      <c r="X257">
        <v>0.75116718942493066</v>
      </c>
      <c r="Y257">
        <v>1.0724755143650073</v>
      </c>
      <c r="Z257">
        <v>0.28656614261408808</v>
      </c>
      <c r="AA257">
        <v>2.1240580121923887</v>
      </c>
    </row>
    <row r="258" spans="1:27" x14ac:dyDescent="0.2">
      <c r="A258" s="7" t="s">
        <v>2231</v>
      </c>
      <c r="B258" t="s">
        <v>1239</v>
      </c>
      <c r="C258">
        <v>2020</v>
      </c>
      <c r="D258">
        <v>62.739999999999995</v>
      </c>
      <c r="E258">
        <v>3</v>
      </c>
      <c r="F258">
        <v>62.739999999999995</v>
      </c>
      <c r="G258">
        <v>17.709999999999997</v>
      </c>
      <c r="H258">
        <v>1</v>
      </c>
      <c r="I258">
        <v>0.7</v>
      </c>
      <c r="J258">
        <v>0.53849926434526707</v>
      </c>
      <c r="K258">
        <v>0.60552962227545781</v>
      </c>
      <c r="L258">
        <v>1</v>
      </c>
      <c r="M258">
        <v>0.6</v>
      </c>
      <c r="N258">
        <v>0</v>
      </c>
      <c r="O258">
        <v>0.1</v>
      </c>
      <c r="P258">
        <v>27.012753181442683</v>
      </c>
      <c r="Q258">
        <v>0.56492854584626917</v>
      </c>
      <c r="R258">
        <v>0.41300434512725026</v>
      </c>
      <c r="S258">
        <v>0.5169378943872468</v>
      </c>
      <c r="T258">
        <v>0.23261191418087043</v>
      </c>
      <c r="U258">
        <v>1.9828240894497953</v>
      </c>
      <c r="V258">
        <v>26.799265694278652</v>
      </c>
      <c r="W258">
        <v>0.50023472506834221</v>
      </c>
      <c r="X258">
        <v>-1.1348966072391132E-2</v>
      </c>
      <c r="Y258">
        <v>1.0934064901067848</v>
      </c>
      <c r="Z258">
        <v>8.0467500088712507E-2</v>
      </c>
      <c r="AA258">
        <v>1.6265390481461324</v>
      </c>
    </row>
    <row r="259" spans="1:27" x14ac:dyDescent="0.2">
      <c r="A259" s="7" t="s">
        <v>2231</v>
      </c>
      <c r="B259" t="s">
        <v>1243</v>
      </c>
      <c r="C259">
        <v>2019</v>
      </c>
      <c r="D259">
        <v>40.78</v>
      </c>
      <c r="E259">
        <v>3</v>
      </c>
      <c r="F259">
        <v>40.78</v>
      </c>
      <c r="G259">
        <v>15.513000000000002</v>
      </c>
      <c r="H259">
        <v>1</v>
      </c>
      <c r="I259">
        <v>0.7</v>
      </c>
      <c r="J259">
        <v>0.48452857662904997</v>
      </c>
      <c r="K259">
        <v>0.20315373799729616</v>
      </c>
      <c r="L259">
        <v>1</v>
      </c>
      <c r="M259">
        <v>0.3</v>
      </c>
      <c r="N259">
        <v>0</v>
      </c>
      <c r="O259">
        <v>0.4</v>
      </c>
      <c r="P259">
        <v>26.968364342366602</v>
      </c>
      <c r="Q259">
        <v>0.5620373244354776</v>
      </c>
      <c r="R259">
        <v>0.39562081736079535</v>
      </c>
      <c r="S259">
        <v>0.36934000894960362</v>
      </c>
      <c r="T259">
        <v>0.26766892492487349</v>
      </c>
      <c r="U259">
        <v>3.3522091167754411</v>
      </c>
      <c r="V259">
        <v>26.688792670720012</v>
      </c>
      <c r="W259">
        <v>0.49458540475080159</v>
      </c>
      <c r="X259">
        <v>3.1964825310993985E-3</v>
      </c>
      <c r="Y259">
        <v>0.96206481838792968</v>
      </c>
      <c r="Z259">
        <v>0.12503483236194149</v>
      </c>
      <c r="AA259">
        <v>1.3796844213338875</v>
      </c>
    </row>
    <row r="260" spans="1:27" x14ac:dyDescent="0.2">
      <c r="A260" s="7" t="s">
        <v>2231</v>
      </c>
      <c r="B260" t="s">
        <v>1247</v>
      </c>
      <c r="C260">
        <v>2018</v>
      </c>
      <c r="D260">
        <v>27.47</v>
      </c>
      <c r="E260">
        <v>3</v>
      </c>
      <c r="F260">
        <v>27.47</v>
      </c>
      <c r="G260">
        <v>19.947999999999997</v>
      </c>
      <c r="H260">
        <v>1</v>
      </c>
      <c r="I260">
        <v>0.4</v>
      </c>
      <c r="J260">
        <v>9.2680986475735805E-2</v>
      </c>
      <c r="K260">
        <v>0.11158876958848171</v>
      </c>
      <c r="L260">
        <v>1</v>
      </c>
      <c r="M260">
        <v>0.4</v>
      </c>
      <c r="N260">
        <v>0</v>
      </c>
      <c r="O260">
        <v>0.2</v>
      </c>
      <c r="P260">
        <v>26.759412120179281</v>
      </c>
      <c r="Q260">
        <v>0.61790483840890509</v>
      </c>
      <c r="R260">
        <v>0.16400614606710828</v>
      </c>
      <c r="S260">
        <v>-1.2428048310420146</v>
      </c>
      <c r="T260">
        <v>7.3697376488828889E-2</v>
      </c>
      <c r="U260">
        <v>12.435628934858023</v>
      </c>
      <c r="V260">
        <v>26.551657841559482</v>
      </c>
      <c r="W260">
        <v>0.50818084484556691</v>
      </c>
      <c r="X260">
        <v>0.22289535272743355</v>
      </c>
      <c r="Y260">
        <v>1.1400875397384618</v>
      </c>
      <c r="Z260">
        <v>0.16339310204693139</v>
      </c>
      <c r="AA260">
        <v>1.3285126168460555</v>
      </c>
    </row>
    <row r="261" spans="1:27" x14ac:dyDescent="0.2">
      <c r="A261" s="7" t="s">
        <v>2231</v>
      </c>
      <c r="B261" t="s">
        <v>1251</v>
      </c>
      <c r="C261">
        <v>2017</v>
      </c>
      <c r="D261">
        <v>25.14</v>
      </c>
      <c r="E261">
        <v>3</v>
      </c>
      <c r="F261">
        <v>25.14</v>
      </c>
      <c r="G261">
        <v>13.441970000000001</v>
      </c>
      <c r="H261">
        <v>1</v>
      </c>
      <c r="I261">
        <v>0.6</v>
      </c>
      <c r="J261">
        <v>0.64960629921259849</v>
      </c>
      <c r="K261">
        <v>6.769714685843331E-2</v>
      </c>
      <c r="L261">
        <v>1</v>
      </c>
      <c r="M261">
        <v>0.4</v>
      </c>
      <c r="N261">
        <v>0</v>
      </c>
      <c r="O261">
        <v>0.2</v>
      </c>
      <c r="P261">
        <v>26.652703226837914</v>
      </c>
      <c r="Q261">
        <v>0.62121917170777108</v>
      </c>
      <c r="R261">
        <v>-3.7315814591568186E-2</v>
      </c>
      <c r="S261">
        <v>2.1722560975609766</v>
      </c>
      <c r="T261">
        <v>0.19147726097389164</v>
      </c>
      <c r="U261">
        <v>8.8277439024390247</v>
      </c>
      <c r="V261">
        <v>26.53307403007609</v>
      </c>
      <c r="W261">
        <v>0.52735507662367664</v>
      </c>
      <c r="X261">
        <v>0.1130903370254189</v>
      </c>
      <c r="Y261">
        <v>0.94639899891877732</v>
      </c>
      <c r="Z261">
        <v>0.11361086254277245</v>
      </c>
      <c r="AA261">
        <v>1.2932856929613004</v>
      </c>
    </row>
    <row r="262" spans="1:27" x14ac:dyDescent="0.2">
      <c r="A262" s="7" t="s">
        <v>2231</v>
      </c>
      <c r="B262" t="s">
        <v>1255</v>
      </c>
      <c r="C262">
        <v>2016</v>
      </c>
      <c r="D262">
        <v>15.24</v>
      </c>
      <c r="E262">
        <v>3</v>
      </c>
      <c r="F262">
        <v>15.24</v>
      </c>
      <c r="G262">
        <v>10.46265</v>
      </c>
      <c r="H262">
        <v>1</v>
      </c>
      <c r="I262">
        <v>0.6</v>
      </c>
      <c r="J262">
        <v>1</v>
      </c>
      <c r="K262">
        <v>0.57820492862735828</v>
      </c>
      <c r="L262">
        <v>1</v>
      </c>
      <c r="M262">
        <v>0.5</v>
      </c>
      <c r="N262">
        <v>0</v>
      </c>
      <c r="O262">
        <v>0</v>
      </c>
      <c r="P262">
        <v>26.663253040239184</v>
      </c>
      <c r="Q262">
        <v>0.51853159195199439</v>
      </c>
      <c r="R262">
        <v>0.22929450424786957</v>
      </c>
      <c r="S262">
        <v>-8.736714975845409</v>
      </c>
      <c r="T262">
        <v>0.28403670259545266</v>
      </c>
      <c r="U262">
        <v>-14.685990338164251</v>
      </c>
      <c r="V262">
        <v>26.542736515363099</v>
      </c>
      <c r="W262">
        <v>0.50874654089017135</v>
      </c>
      <c r="X262">
        <v>0.12639389941621879</v>
      </c>
      <c r="Y262">
        <v>0.9845612367969947</v>
      </c>
      <c r="Z262">
        <v>0.14856735325807288</v>
      </c>
      <c r="AA262">
        <v>1.6400235687752638</v>
      </c>
    </row>
    <row r="263" spans="1:27" x14ac:dyDescent="0.2">
      <c r="A263" s="7" t="s">
        <v>2231</v>
      </c>
      <c r="B263" t="s">
        <v>1258</v>
      </c>
      <c r="C263">
        <v>2015</v>
      </c>
      <c r="D263">
        <v>0</v>
      </c>
      <c r="E263">
        <v>3</v>
      </c>
      <c r="F263">
        <v>0</v>
      </c>
      <c r="G263">
        <v>7.1246499999999999</v>
      </c>
      <c r="H263">
        <v>0</v>
      </c>
      <c r="I263">
        <v>0.6</v>
      </c>
      <c r="J263">
        <v>0</v>
      </c>
      <c r="K263">
        <v>0.8808871705905531</v>
      </c>
      <c r="L263">
        <v>0</v>
      </c>
      <c r="M263">
        <v>0.5</v>
      </c>
      <c r="N263">
        <v>0</v>
      </c>
      <c r="O263">
        <v>0.1</v>
      </c>
      <c r="P263">
        <v>26.434787686991324</v>
      </c>
      <c r="Q263">
        <v>0.40984602917341983</v>
      </c>
      <c r="R263">
        <v>0.54489233970251583</v>
      </c>
      <c r="S263">
        <v>1.1225359616409167</v>
      </c>
      <c r="T263">
        <v>0.28036370080403633</v>
      </c>
      <c r="U263">
        <v>1.6297282898241876</v>
      </c>
      <c r="V263">
        <v>26.350283740928528</v>
      </c>
      <c r="W263">
        <v>0.5074832416939079</v>
      </c>
      <c r="X263">
        <v>0.22069284979897213</v>
      </c>
      <c r="Y263">
        <v>0.94997838126214029</v>
      </c>
      <c r="Z263">
        <v>-5.2966249697537987E-3</v>
      </c>
      <c r="AA263">
        <v>3.1330860258309929</v>
      </c>
    </row>
    <row r="264" spans="1:27" x14ac:dyDescent="0.2">
      <c r="A264" s="7" t="s">
        <v>2231</v>
      </c>
      <c r="B264" t="s">
        <v>1260</v>
      </c>
      <c r="C264">
        <v>2014</v>
      </c>
      <c r="D264">
        <v>0</v>
      </c>
      <c r="E264">
        <v>3</v>
      </c>
      <c r="F264">
        <v>0</v>
      </c>
      <c r="G264">
        <v>7.8559999999999999</v>
      </c>
      <c r="H264">
        <v>0</v>
      </c>
      <c r="I264">
        <v>0.5</v>
      </c>
      <c r="J264">
        <v>0</v>
      </c>
      <c r="K264">
        <v>1.0733185192796773</v>
      </c>
      <c r="L264">
        <v>0</v>
      </c>
      <c r="M264">
        <v>0.3</v>
      </c>
      <c r="N264">
        <v>0</v>
      </c>
      <c r="O264">
        <v>0.1</v>
      </c>
      <c r="P264">
        <v>25.952221995791938</v>
      </c>
      <c r="Q264">
        <v>0.19734108849189863</v>
      </c>
      <c r="R264">
        <v>0.17080413681093187</v>
      </c>
      <c r="S264">
        <v>0.77654320987654357</v>
      </c>
      <c r="T264">
        <v>-3.7425611559656721E-2</v>
      </c>
      <c r="U264">
        <v>1.971604938271605</v>
      </c>
      <c r="V264">
        <v>26.336662157941319</v>
      </c>
      <c r="W264">
        <v>0.55137699328532674</v>
      </c>
      <c r="X264">
        <v>0.5201976981766574</v>
      </c>
      <c r="Y264">
        <v>0.79729948105371473</v>
      </c>
      <c r="Z264">
        <v>-8.2024002669046081E-2</v>
      </c>
      <c r="AA264">
        <v>1.5884671163184398</v>
      </c>
    </row>
    <row r="265" spans="1:27" x14ac:dyDescent="0.2">
      <c r="A265" s="7" t="s">
        <v>2234</v>
      </c>
      <c r="B265" t="s">
        <v>1267</v>
      </c>
      <c r="C265">
        <v>2025</v>
      </c>
      <c r="D265">
        <v>0</v>
      </c>
      <c r="E265">
        <v>3</v>
      </c>
      <c r="F265">
        <v>0</v>
      </c>
      <c r="G265">
        <v>10.684999999999999</v>
      </c>
      <c r="H265">
        <v>0</v>
      </c>
      <c r="I265">
        <v>0.1</v>
      </c>
      <c r="J265">
        <v>0</v>
      </c>
      <c r="K265">
        <v>-0.44741116251599566</v>
      </c>
      <c r="L265">
        <v>0</v>
      </c>
      <c r="M265">
        <v>0</v>
      </c>
      <c r="N265">
        <v>0</v>
      </c>
      <c r="O265">
        <v>0.5</v>
      </c>
      <c r="P265">
        <v>26.038509148084042</v>
      </c>
      <c r="Q265">
        <v>0.58527436656277343</v>
      </c>
      <c r="R265">
        <v>-0.26123395286263429</v>
      </c>
      <c r="S265">
        <v>0.96564943803877346</v>
      </c>
      <c r="T265">
        <v>-0.24550160124589299</v>
      </c>
      <c r="U265">
        <v>0.47975120939875604</v>
      </c>
      <c r="V265">
        <v>27.738517993834176</v>
      </c>
      <c r="W265">
        <v>0.5211109608208746</v>
      </c>
      <c r="X265">
        <v>-6.9762848121615803E-2</v>
      </c>
      <c r="Y265">
        <v>0.98996296707782683</v>
      </c>
      <c r="Z265">
        <v>5.2288499081297693E-2</v>
      </c>
      <c r="AA265">
        <v>3.5736158631000898</v>
      </c>
    </row>
    <row r="266" spans="1:27" x14ac:dyDescent="0.2">
      <c r="A266" s="7" t="s">
        <v>2234</v>
      </c>
      <c r="B266" t="s">
        <v>1269</v>
      </c>
      <c r="C266">
        <v>2024</v>
      </c>
      <c r="D266">
        <v>0</v>
      </c>
      <c r="E266">
        <v>3</v>
      </c>
      <c r="F266">
        <v>0</v>
      </c>
      <c r="G266">
        <v>33.058</v>
      </c>
      <c r="H266">
        <v>0</v>
      </c>
      <c r="I266">
        <v>0.5</v>
      </c>
      <c r="J266">
        <v>0</v>
      </c>
      <c r="K266">
        <v>-0.20461447297899457</v>
      </c>
      <c r="L266">
        <v>0</v>
      </c>
      <c r="M266">
        <v>0.1</v>
      </c>
      <c r="N266">
        <v>0</v>
      </c>
      <c r="O266">
        <v>0.5</v>
      </c>
      <c r="P266">
        <v>26.155771705307011</v>
      </c>
      <c r="Q266">
        <v>0.51902834008097165</v>
      </c>
      <c r="R266">
        <v>-0.14502584995316037</v>
      </c>
      <c r="S266">
        <v>1.6157530601383714</v>
      </c>
      <c r="T266">
        <v>-5.1680518455783149E-2</v>
      </c>
      <c r="U266">
        <v>0.3145290047897818</v>
      </c>
      <c r="V266">
        <v>27.39558191459156</v>
      </c>
      <c r="W266">
        <v>0.47625004715662006</v>
      </c>
      <c r="X266">
        <v>4.231369483660704E-2</v>
      </c>
      <c r="Y266">
        <v>1.128311451687531</v>
      </c>
      <c r="Z266">
        <v>5.5243802855422297E-2</v>
      </c>
      <c r="AA266">
        <v>2.7897667155982377</v>
      </c>
    </row>
    <row r="267" spans="1:27" x14ac:dyDescent="0.2">
      <c r="A267" s="7" t="s">
        <v>2234</v>
      </c>
      <c r="B267" t="s">
        <v>1271</v>
      </c>
      <c r="C267">
        <v>2023</v>
      </c>
      <c r="D267">
        <v>0</v>
      </c>
      <c r="E267">
        <v>3</v>
      </c>
      <c r="F267">
        <v>0</v>
      </c>
      <c r="G267">
        <v>25.244</v>
      </c>
      <c r="H267">
        <v>0</v>
      </c>
      <c r="I267">
        <v>0.6</v>
      </c>
      <c r="J267">
        <v>0</v>
      </c>
      <c r="K267">
        <v>0.43287037037037035</v>
      </c>
      <c r="L267">
        <v>0</v>
      </c>
      <c r="M267">
        <v>0.6</v>
      </c>
      <c r="N267">
        <v>0</v>
      </c>
      <c r="O267">
        <v>0.1</v>
      </c>
      <c r="P267">
        <v>26.236253004503116</v>
      </c>
      <c r="Q267">
        <v>0.52308752584424534</v>
      </c>
      <c r="R267">
        <v>-2.4291766276355764E-2</v>
      </c>
      <c r="S267">
        <v>1.4025686448184234</v>
      </c>
      <c r="T267">
        <v>0.16345331283317965</v>
      </c>
      <c r="U267">
        <v>0.28520814880425155</v>
      </c>
      <c r="V267">
        <v>27.308310341201896</v>
      </c>
      <c r="W267">
        <v>0.44904536574553927</v>
      </c>
      <c r="X267">
        <v>0.14635217066338754</v>
      </c>
      <c r="Y267">
        <v>8.1768294608538846E-3</v>
      </c>
      <c r="Z267">
        <v>0.11389299320339794</v>
      </c>
      <c r="AA267">
        <v>-0.64173084049487839</v>
      </c>
    </row>
    <row r="268" spans="1:27" x14ac:dyDescent="0.2">
      <c r="A268" s="7" t="s">
        <v>2234</v>
      </c>
      <c r="B268" t="s">
        <v>1273</v>
      </c>
      <c r="C268">
        <v>2022</v>
      </c>
      <c r="D268">
        <v>0</v>
      </c>
      <c r="E268">
        <v>3</v>
      </c>
      <c r="F268">
        <v>0</v>
      </c>
      <c r="G268">
        <v>1.73</v>
      </c>
      <c r="H268">
        <v>0</v>
      </c>
      <c r="I268">
        <v>0.2</v>
      </c>
      <c r="J268">
        <v>-1</v>
      </c>
      <c r="K268">
        <v>-0.50242800677583288</v>
      </c>
      <c r="L268">
        <v>0</v>
      </c>
      <c r="M268">
        <v>0.1</v>
      </c>
      <c r="N268">
        <v>1</v>
      </c>
      <c r="O268">
        <v>0.7</v>
      </c>
      <c r="P268">
        <v>26.079837087425371</v>
      </c>
      <c r="Q268">
        <v>0.59890815671162489</v>
      </c>
      <c r="R268">
        <v>0.25001561793176097</v>
      </c>
      <c r="S268">
        <v>1.1450189155107189</v>
      </c>
      <c r="T268">
        <v>0.2521562715003316</v>
      </c>
      <c r="U268">
        <v>0.30895334174022704</v>
      </c>
      <c r="V268">
        <v>27.183133009935197</v>
      </c>
      <c r="W268">
        <v>0.45907415432073195</v>
      </c>
      <c r="X268">
        <v>-4.8862635254339259E-2</v>
      </c>
      <c r="Y268">
        <v>0.82249655208661299</v>
      </c>
      <c r="Z268">
        <v>0.14932106076527479</v>
      </c>
      <c r="AA268">
        <v>1.2377975682200941</v>
      </c>
    </row>
    <row r="269" spans="1:27" x14ac:dyDescent="0.2">
      <c r="A269" s="7" t="s">
        <v>2234</v>
      </c>
      <c r="B269" t="s">
        <v>1275</v>
      </c>
      <c r="C269">
        <v>2021</v>
      </c>
      <c r="D269">
        <v>51</v>
      </c>
      <c r="E269">
        <v>3</v>
      </c>
      <c r="F269">
        <v>51</v>
      </c>
      <c r="G269">
        <v>31.755000000000003</v>
      </c>
      <c r="H269">
        <v>1</v>
      </c>
      <c r="I269">
        <v>0.7</v>
      </c>
      <c r="J269">
        <v>5.0714285714285712</v>
      </c>
      <c r="K269">
        <v>0.22355346942793944</v>
      </c>
      <c r="L269">
        <v>1</v>
      </c>
      <c r="M269">
        <v>0.4</v>
      </c>
      <c r="N269">
        <v>0</v>
      </c>
      <c r="O269">
        <v>0.2</v>
      </c>
      <c r="P269">
        <v>26.071615482413364</v>
      </c>
      <c r="Q269">
        <v>0.60912280701754384</v>
      </c>
      <c r="R269">
        <v>2.4586488015542365</v>
      </c>
      <c r="S269">
        <v>1.3326432022084191</v>
      </c>
      <c r="T269">
        <v>0.31638871745582159</v>
      </c>
      <c r="U269">
        <v>0.9668737060041408</v>
      </c>
      <c r="V269">
        <v>27.076134653950628</v>
      </c>
      <c r="W269">
        <v>0.47555905239813406</v>
      </c>
      <c r="X269">
        <v>0.50556643824791536</v>
      </c>
      <c r="Y269">
        <v>1.0056829725254128</v>
      </c>
      <c r="Z269">
        <v>0.28445441956331918</v>
      </c>
      <c r="AA269">
        <v>2.1562888577487263</v>
      </c>
    </row>
    <row r="270" spans="1:27" x14ac:dyDescent="0.2">
      <c r="A270" s="7" t="s">
        <v>2234</v>
      </c>
      <c r="B270" t="s">
        <v>1277</v>
      </c>
      <c r="C270">
        <v>2020</v>
      </c>
      <c r="D270">
        <v>8.4</v>
      </c>
      <c r="E270">
        <v>3</v>
      </c>
      <c r="F270">
        <v>8.4</v>
      </c>
      <c r="G270">
        <v>23.143999999999998</v>
      </c>
      <c r="H270">
        <v>1</v>
      </c>
      <c r="I270">
        <v>0.7</v>
      </c>
      <c r="J270">
        <v>0.57598499061913699</v>
      </c>
      <c r="K270">
        <v>0.60178104964807078</v>
      </c>
      <c r="L270">
        <v>1</v>
      </c>
      <c r="M270">
        <v>0.6</v>
      </c>
      <c r="N270">
        <v>0</v>
      </c>
      <c r="O270">
        <v>0.1</v>
      </c>
      <c r="P270">
        <v>26.010550011149842</v>
      </c>
      <c r="Q270">
        <v>0.6560672514619883</v>
      </c>
      <c r="R270">
        <v>-0.30541965177727892</v>
      </c>
      <c r="S270">
        <v>1.4040968342644322</v>
      </c>
      <c r="T270">
        <v>8.4360917774422575E-2</v>
      </c>
      <c r="U270">
        <v>1.5474860335195528</v>
      </c>
      <c r="V270">
        <v>26.899486011307943</v>
      </c>
      <c r="W270">
        <v>0.49112085450677034</v>
      </c>
      <c r="X270">
        <v>6.0493433618061788E-2</v>
      </c>
      <c r="Y270">
        <v>1.0046905961190662</v>
      </c>
      <c r="Z270">
        <v>9.5292599729357289E-2</v>
      </c>
      <c r="AA270">
        <v>1.6700728537391565</v>
      </c>
    </row>
    <row r="271" spans="1:27" x14ac:dyDescent="0.2">
      <c r="A271" s="7" t="s">
        <v>2234</v>
      </c>
      <c r="B271" t="s">
        <v>1279</v>
      </c>
      <c r="C271">
        <v>2019</v>
      </c>
      <c r="D271">
        <v>5.33</v>
      </c>
      <c r="E271">
        <v>3</v>
      </c>
      <c r="F271">
        <v>5.33</v>
      </c>
      <c r="G271">
        <v>19.058</v>
      </c>
      <c r="H271">
        <v>1</v>
      </c>
      <c r="I271">
        <v>0.7</v>
      </c>
      <c r="J271">
        <v>1</v>
      </c>
      <c r="K271">
        <v>0.15160659566020115</v>
      </c>
      <c r="L271">
        <v>1</v>
      </c>
      <c r="M271">
        <v>0.3</v>
      </c>
      <c r="N271">
        <v>0</v>
      </c>
      <c r="O271">
        <v>0.4</v>
      </c>
      <c r="P271">
        <v>25.382664714325671</v>
      </c>
      <c r="Q271">
        <v>0.31801470588235298</v>
      </c>
      <c r="R271">
        <v>-5.5453423893357501E-2</v>
      </c>
      <c r="S271">
        <v>1.194054500412882</v>
      </c>
      <c r="T271">
        <v>0.13210198014583921</v>
      </c>
      <c r="U271">
        <v>0.34764657308009911</v>
      </c>
      <c r="V271">
        <v>26.847362633524103</v>
      </c>
      <c r="W271">
        <v>0.51898766660611417</v>
      </c>
      <c r="X271">
        <v>4.8303906656514684E-2</v>
      </c>
      <c r="Y271">
        <v>0.87959336924160181</v>
      </c>
      <c r="Z271">
        <v>0.13859152683984494</v>
      </c>
      <c r="AA271">
        <v>1.6801406757034218</v>
      </c>
    </row>
    <row r="272" spans="1:27" x14ac:dyDescent="0.2">
      <c r="A272" s="7" t="s">
        <v>2234</v>
      </c>
      <c r="B272" t="s">
        <v>1281</v>
      </c>
      <c r="C272">
        <v>2018</v>
      </c>
      <c r="D272">
        <v>0</v>
      </c>
      <c r="E272">
        <v>3</v>
      </c>
      <c r="F272">
        <v>0</v>
      </c>
      <c r="G272">
        <v>22.694999999999997</v>
      </c>
      <c r="H272">
        <v>0</v>
      </c>
      <c r="I272">
        <v>0.5</v>
      </c>
      <c r="J272">
        <v>0</v>
      </c>
      <c r="K272">
        <v>0.12085686823605531</v>
      </c>
      <c r="L272">
        <v>0</v>
      </c>
      <c r="M272">
        <v>0.5</v>
      </c>
      <c r="N272">
        <v>0</v>
      </c>
      <c r="O272">
        <v>0.2</v>
      </c>
      <c r="P272">
        <v>25.309647371206648</v>
      </c>
      <c r="Q272">
        <v>0.36515054452274187</v>
      </c>
      <c r="R272">
        <v>0.34766836268953294</v>
      </c>
      <c r="S272">
        <v>1.3319327731092439</v>
      </c>
      <c r="T272">
        <v>0.31934506484561809</v>
      </c>
      <c r="U272">
        <v>0.63970588235294112</v>
      </c>
      <c r="V272">
        <v>26.696634316456745</v>
      </c>
      <c r="W272">
        <v>0.53345627423418318</v>
      </c>
      <c r="X272">
        <v>0.20452913106519111</v>
      </c>
      <c r="Y272">
        <v>0.88261377932333573</v>
      </c>
      <c r="Z272">
        <v>0.13882833321125249</v>
      </c>
      <c r="AA272">
        <v>2.508104922096563</v>
      </c>
    </row>
    <row r="273" spans="1:27" x14ac:dyDescent="0.2">
      <c r="A273" s="7" t="s">
        <v>2234</v>
      </c>
      <c r="B273" t="s">
        <v>1283</v>
      </c>
      <c r="C273">
        <v>2017</v>
      </c>
      <c r="D273">
        <v>0</v>
      </c>
      <c r="E273">
        <v>3</v>
      </c>
      <c r="F273">
        <v>0</v>
      </c>
      <c r="G273">
        <v>15.955969999999999</v>
      </c>
      <c r="H273">
        <v>0</v>
      </c>
      <c r="I273">
        <v>0.7</v>
      </c>
      <c r="J273">
        <v>0</v>
      </c>
      <c r="K273">
        <v>0.13265777677969315</v>
      </c>
      <c r="L273">
        <v>0</v>
      </c>
      <c r="M273">
        <v>0.5</v>
      </c>
      <c r="N273">
        <v>0</v>
      </c>
      <c r="O273">
        <v>0.2</v>
      </c>
      <c r="P273">
        <v>25.083249359058922</v>
      </c>
      <c r="Q273">
        <v>0.5156482861400894</v>
      </c>
      <c r="R273">
        <v>0.50367224060249072</v>
      </c>
      <c r="S273">
        <v>1.2371601208459213</v>
      </c>
      <c r="T273">
        <v>0.21774580814033706</v>
      </c>
      <c r="U273">
        <v>1.0271903323262841</v>
      </c>
      <c r="V273">
        <v>26.690019416853989</v>
      </c>
      <c r="W273">
        <v>0.53791216518044482</v>
      </c>
      <c r="X273">
        <v>5.8991531506013009E-2</v>
      </c>
      <c r="Y273">
        <v>1.039908596590283</v>
      </c>
      <c r="Z273">
        <v>0.11098400782612791</v>
      </c>
      <c r="AA273">
        <v>2.0733410499725742</v>
      </c>
    </row>
    <row r="274" spans="1:27" x14ac:dyDescent="0.2">
      <c r="A274" s="7" t="s">
        <v>2234</v>
      </c>
      <c r="B274" t="s">
        <v>1285</v>
      </c>
      <c r="C274">
        <v>2016</v>
      </c>
      <c r="D274">
        <v>0</v>
      </c>
      <c r="E274">
        <v>3</v>
      </c>
      <c r="F274">
        <v>0</v>
      </c>
      <c r="G274">
        <v>11.986649999999999</v>
      </c>
      <c r="H274">
        <v>0</v>
      </c>
      <c r="I274">
        <v>0.7</v>
      </c>
      <c r="J274">
        <v>0</v>
      </c>
      <c r="K274">
        <v>0.67820492862735826</v>
      </c>
      <c r="L274">
        <v>0</v>
      </c>
      <c r="M274">
        <v>0.6</v>
      </c>
      <c r="N274">
        <v>0</v>
      </c>
      <c r="O274">
        <v>0</v>
      </c>
      <c r="P274">
        <v>25.251577513258013</v>
      </c>
      <c r="Q274">
        <v>0.4583635047067342</v>
      </c>
      <c r="R274">
        <v>0.31162449071745724</v>
      </c>
      <c r="S274">
        <v>1.5510835913312691</v>
      </c>
      <c r="T274">
        <v>0.16878522516712077</v>
      </c>
      <c r="U274">
        <v>3.2755417956656347</v>
      </c>
      <c r="V274">
        <v>26.683904068061217</v>
      </c>
      <c r="W274">
        <v>0.51476334961469739</v>
      </c>
      <c r="X274">
        <v>0.11816090076926003</v>
      </c>
      <c r="Y274">
        <v>-4.4218619920673177E-2</v>
      </c>
      <c r="Z274">
        <v>0.16009250100090608</v>
      </c>
      <c r="AA274">
        <v>-0.15612964460772458</v>
      </c>
    </row>
    <row r="275" spans="1:27" x14ac:dyDescent="0.2">
      <c r="A275" s="7" t="s">
        <v>2234</v>
      </c>
      <c r="B275" t="s">
        <v>1287</v>
      </c>
      <c r="C275">
        <v>2015</v>
      </c>
      <c r="D275">
        <v>0</v>
      </c>
      <c r="E275">
        <v>3</v>
      </c>
      <c r="F275">
        <v>0</v>
      </c>
      <c r="G275">
        <v>7.1246499999999999</v>
      </c>
      <c r="H275">
        <v>0</v>
      </c>
      <c r="I275">
        <v>0.6</v>
      </c>
      <c r="J275">
        <v>0</v>
      </c>
      <c r="K275">
        <v>0.8808871705905531</v>
      </c>
      <c r="L275">
        <v>0</v>
      </c>
      <c r="M275">
        <v>0.5</v>
      </c>
      <c r="N275">
        <v>0</v>
      </c>
      <c r="O275">
        <v>0.1</v>
      </c>
      <c r="P275">
        <v>24.71944886439827</v>
      </c>
      <c r="Q275">
        <v>0.56193693693693691</v>
      </c>
      <c r="R275">
        <v>0.4932607852969968</v>
      </c>
      <c r="S275">
        <v>3.0980392156862755</v>
      </c>
      <c r="T275">
        <v>-0.16829033095142062</v>
      </c>
      <c r="U275">
        <v>7.7058823529411766</v>
      </c>
      <c r="V275">
        <v>26.521817623187832</v>
      </c>
      <c r="W275">
        <v>0.49227415091755622</v>
      </c>
      <c r="X275">
        <v>0.22642968917736311</v>
      </c>
      <c r="Y275">
        <v>0.7304780197015448</v>
      </c>
      <c r="Z275">
        <v>4.4553823003074748E-2</v>
      </c>
      <c r="AA275">
        <v>2.525470619519294</v>
      </c>
    </row>
    <row r="276" spans="1:27" x14ac:dyDescent="0.2">
      <c r="A276" s="7" t="s">
        <v>2234</v>
      </c>
      <c r="B276" t="s">
        <v>1289</v>
      </c>
      <c r="C276">
        <v>2014</v>
      </c>
      <c r="D276">
        <v>0</v>
      </c>
      <c r="E276">
        <v>3</v>
      </c>
      <c r="F276">
        <v>0</v>
      </c>
      <c r="G276">
        <v>7.8559999999999999</v>
      </c>
      <c r="H276">
        <v>0</v>
      </c>
      <c r="I276">
        <v>0.5</v>
      </c>
      <c r="J276">
        <v>0</v>
      </c>
      <c r="K276">
        <v>1.0733185192796773</v>
      </c>
      <c r="L276">
        <v>0</v>
      </c>
      <c r="M276">
        <v>0.3</v>
      </c>
      <c r="N276">
        <v>0</v>
      </c>
      <c r="O276">
        <v>0.1</v>
      </c>
      <c r="P276">
        <v>24.342972059042022</v>
      </c>
      <c r="Q276">
        <v>0.76337020148891832</v>
      </c>
      <c r="R276">
        <v>-1.1106540387522457E-2</v>
      </c>
      <c r="S276">
        <v>1.5592442131098985</v>
      </c>
      <c r="T276">
        <v>-0.2629181118909007</v>
      </c>
      <c r="U276">
        <v>2.3958959276656366</v>
      </c>
      <c r="V276">
        <v>26.515467706469089</v>
      </c>
      <c r="W276">
        <v>0.48848486961899112</v>
      </c>
      <c r="X276">
        <v>0.54293653282646415</v>
      </c>
      <c r="Y276">
        <v>0.69946185564954544</v>
      </c>
      <c r="Z276">
        <v>-5.3837440127640579E-2</v>
      </c>
      <c r="AA276">
        <v>1.5413236730524364</v>
      </c>
    </row>
    <row r="277" spans="1:27" x14ac:dyDescent="0.2">
      <c r="A277" s="7" t="s">
        <v>2237</v>
      </c>
      <c r="B277" t="s">
        <v>1297</v>
      </c>
      <c r="C277">
        <v>2025</v>
      </c>
      <c r="D277">
        <v>0</v>
      </c>
      <c r="E277">
        <v>3</v>
      </c>
      <c r="F277">
        <v>0</v>
      </c>
      <c r="G277">
        <v>10.684999999999999</v>
      </c>
      <c r="H277">
        <v>0</v>
      </c>
      <c r="I277">
        <v>0.1</v>
      </c>
      <c r="J277">
        <v>0</v>
      </c>
      <c r="K277">
        <v>-0.44741116251599566</v>
      </c>
      <c r="L277">
        <v>0</v>
      </c>
      <c r="M277">
        <v>0</v>
      </c>
      <c r="N277">
        <v>0</v>
      </c>
      <c r="O277">
        <v>0.5</v>
      </c>
      <c r="P277">
        <v>28.366476176595089</v>
      </c>
      <c r="Q277">
        <v>0.28061143039591319</v>
      </c>
      <c r="R277">
        <v>0.10244476074875819</v>
      </c>
      <c r="S277">
        <v>0.27050997782705105</v>
      </c>
      <c r="T277">
        <v>-1.8293566091048718E-2</v>
      </c>
      <c r="U277">
        <v>1.1367900392290635</v>
      </c>
      <c r="V277">
        <v>27.405951275475452</v>
      </c>
      <c r="W277">
        <v>0.56463423741614049</v>
      </c>
      <c r="X277">
        <v>-0.12171695006610043</v>
      </c>
      <c r="Y277">
        <v>1.0892686042509301</v>
      </c>
      <c r="Z277">
        <v>1.9830208344891371E-2</v>
      </c>
      <c r="AA277">
        <v>3.479753173124331</v>
      </c>
    </row>
    <row r="278" spans="1:27" x14ac:dyDescent="0.2">
      <c r="A278" s="7" t="s">
        <v>2237</v>
      </c>
      <c r="B278" t="s">
        <v>1299</v>
      </c>
      <c r="C278">
        <v>2024</v>
      </c>
      <c r="D278">
        <v>0</v>
      </c>
      <c r="E278">
        <v>3</v>
      </c>
      <c r="F278">
        <v>0</v>
      </c>
      <c r="G278">
        <v>33.058</v>
      </c>
      <c r="H278">
        <v>0</v>
      </c>
      <c r="I278">
        <v>0.5</v>
      </c>
      <c r="J278">
        <v>0</v>
      </c>
      <c r="K278">
        <v>-0.20461447297899457</v>
      </c>
      <c r="L278">
        <v>0</v>
      </c>
      <c r="M278">
        <v>0.1</v>
      </c>
      <c r="N278">
        <v>0</v>
      </c>
      <c r="O278">
        <v>0.5</v>
      </c>
      <c r="P278">
        <v>28.351690887575906</v>
      </c>
      <c r="Q278">
        <v>0.27048331156254218</v>
      </c>
      <c r="R278">
        <v>7.2418617855576128E-2</v>
      </c>
      <c r="S278">
        <v>0.32337731811697584</v>
      </c>
      <c r="T278">
        <v>3.8237284496520953E-2</v>
      </c>
      <c r="U278">
        <v>0.97940442225392299</v>
      </c>
      <c r="V278">
        <v>27.17598999636467</v>
      </c>
      <c r="W278">
        <v>0.5011045500084631</v>
      </c>
      <c r="X278">
        <v>2.0569248055733392E-2</v>
      </c>
      <c r="Y278">
        <v>1.2575490258896704</v>
      </c>
      <c r="Z278">
        <v>4.6252022560191883E-2</v>
      </c>
      <c r="AA278">
        <v>2.7232791738518229</v>
      </c>
    </row>
    <row r="279" spans="1:27" x14ac:dyDescent="0.2">
      <c r="A279" s="7" t="s">
        <v>2237</v>
      </c>
      <c r="B279" t="s">
        <v>1301</v>
      </c>
      <c r="C279">
        <v>2023</v>
      </c>
      <c r="D279">
        <v>0</v>
      </c>
      <c r="E279">
        <v>3</v>
      </c>
      <c r="F279">
        <v>0</v>
      </c>
      <c r="G279">
        <v>25.244</v>
      </c>
      <c r="H279">
        <v>0</v>
      </c>
      <c r="I279">
        <v>0.6</v>
      </c>
      <c r="J279">
        <v>-1</v>
      </c>
      <c r="K279">
        <v>0.53287037037037033</v>
      </c>
      <c r="L279">
        <v>0</v>
      </c>
      <c r="M279">
        <v>0.6</v>
      </c>
      <c r="N279">
        <v>1</v>
      </c>
      <c r="O279">
        <v>0</v>
      </c>
      <c r="P279">
        <v>28.237229963164445</v>
      </c>
      <c r="Q279">
        <v>0.27049944092433842</v>
      </c>
      <c r="R279">
        <v>9.6612994894941684E-2</v>
      </c>
      <c r="S279">
        <v>0.2725127087872185</v>
      </c>
      <c r="T279">
        <v>1.3724480754249481E-2</v>
      </c>
      <c r="U279">
        <v>0.94843863471314438</v>
      </c>
      <c r="V279">
        <v>27.108212645335762</v>
      </c>
      <c r="W279">
        <v>0.47430417423752996</v>
      </c>
      <c r="X279">
        <v>0.1342616945462578</v>
      </c>
      <c r="Y279">
        <v>0.12118242306397438</v>
      </c>
      <c r="Z279">
        <v>0.12886587641129094</v>
      </c>
      <c r="AA279">
        <v>-0.70805388908576783</v>
      </c>
    </row>
    <row r="280" spans="1:27" x14ac:dyDescent="0.2">
      <c r="A280" s="7" t="s">
        <v>2237</v>
      </c>
      <c r="B280" t="s">
        <v>1303</v>
      </c>
      <c r="C280">
        <v>2022</v>
      </c>
      <c r="D280">
        <v>0.02</v>
      </c>
      <c r="E280">
        <v>3</v>
      </c>
      <c r="F280">
        <v>0.02</v>
      </c>
      <c r="G280">
        <v>1.7280000000000002</v>
      </c>
      <c r="H280">
        <v>1</v>
      </c>
      <c r="I280">
        <v>0.1</v>
      </c>
      <c r="J280">
        <v>1</v>
      </c>
      <c r="K280">
        <v>-0.70242800677583284</v>
      </c>
      <c r="L280">
        <v>1</v>
      </c>
      <c r="M280">
        <v>0</v>
      </c>
      <c r="N280">
        <v>0</v>
      </c>
      <c r="O280">
        <v>0.8</v>
      </c>
      <c r="P280">
        <v>28.147934826215039</v>
      </c>
      <c r="Q280">
        <v>0.23665299825423247</v>
      </c>
      <c r="R280">
        <v>7.5111590452883625E-2</v>
      </c>
      <c r="S280">
        <v>0.22101243194929715</v>
      </c>
      <c r="T280">
        <v>7.5835560649665831E-2</v>
      </c>
      <c r="U280">
        <v>1.001381327699683</v>
      </c>
      <c r="V280">
        <v>26.976323236056231</v>
      </c>
      <c r="W280">
        <v>0.4952996701664712</v>
      </c>
      <c r="X280">
        <v>-3.1372232506451526E-2</v>
      </c>
      <c r="Y280">
        <v>0.91489720044275502</v>
      </c>
      <c r="Z280">
        <v>0.16695313185034136</v>
      </c>
      <c r="AA280">
        <v>1.1685547696241485</v>
      </c>
    </row>
    <row r="281" spans="1:27" x14ac:dyDescent="0.2">
      <c r="A281" s="7" t="s">
        <v>2237</v>
      </c>
      <c r="B281" t="s">
        <v>1305</v>
      </c>
      <c r="C281">
        <v>2021</v>
      </c>
      <c r="D281">
        <v>0</v>
      </c>
      <c r="E281">
        <v>3</v>
      </c>
      <c r="F281">
        <v>0</v>
      </c>
      <c r="G281">
        <v>36.855000000000004</v>
      </c>
      <c r="H281">
        <v>0</v>
      </c>
      <c r="I281">
        <v>0.8</v>
      </c>
      <c r="J281">
        <v>0</v>
      </c>
      <c r="K281">
        <v>0.73069632657079653</v>
      </c>
      <c r="L281">
        <v>0</v>
      </c>
      <c r="M281">
        <v>0.5</v>
      </c>
      <c r="N281">
        <v>0</v>
      </c>
      <c r="O281">
        <v>0.2</v>
      </c>
      <c r="P281">
        <v>28.064332687243319</v>
      </c>
      <c r="Q281">
        <v>0.25590739500621834</v>
      </c>
      <c r="R281">
        <v>0.42882027646800447</v>
      </c>
      <c r="S281">
        <v>0.11697073356138352</v>
      </c>
      <c r="T281">
        <v>0.17002433673547465</v>
      </c>
      <c r="U281">
        <v>0.98650703154694031</v>
      </c>
      <c r="V281">
        <v>26.876862933467635</v>
      </c>
      <c r="W281">
        <v>0.51088059359926663</v>
      </c>
      <c r="X281">
        <v>0.70854929075653861</v>
      </c>
      <c r="Y281">
        <v>1.1272502193901164</v>
      </c>
      <c r="Z281">
        <v>0.29909085763535387</v>
      </c>
      <c r="AA281">
        <v>2.1543255251944466</v>
      </c>
    </row>
    <row r="282" spans="1:27" x14ac:dyDescent="0.2">
      <c r="A282" s="7" t="s">
        <v>2237</v>
      </c>
      <c r="B282" t="s">
        <v>1307</v>
      </c>
      <c r="C282">
        <v>2020</v>
      </c>
      <c r="D282">
        <v>0</v>
      </c>
      <c r="E282">
        <v>3</v>
      </c>
      <c r="F282">
        <v>0</v>
      </c>
      <c r="G282">
        <v>23.983999999999998</v>
      </c>
      <c r="H282">
        <v>0</v>
      </c>
      <c r="I282">
        <v>0.8</v>
      </c>
      <c r="J282">
        <v>0</v>
      </c>
      <c r="K282">
        <v>0.6593795487099845</v>
      </c>
      <c r="L282">
        <v>0</v>
      </c>
      <c r="M282">
        <v>0.7</v>
      </c>
      <c r="N282">
        <v>0</v>
      </c>
      <c r="O282">
        <v>0.1</v>
      </c>
      <c r="P282">
        <v>27.859258049806552</v>
      </c>
      <c r="Q282">
        <v>0.27937622281044999</v>
      </c>
      <c r="R282">
        <v>-1.4162584337711115E-2</v>
      </c>
      <c r="S282">
        <v>-0.32446889805899437</v>
      </c>
      <c r="T282">
        <v>4.5561863977396137E-2</v>
      </c>
      <c r="U282">
        <v>1.6559682103010853</v>
      </c>
      <c r="V282">
        <v>26.714615207442268</v>
      </c>
      <c r="W282">
        <v>0.52878995737192414</v>
      </c>
      <c r="X282">
        <v>3.1367726874105009E-2</v>
      </c>
      <c r="Y282">
        <v>1.1775471693514088</v>
      </c>
      <c r="Z282">
        <v>9.9172505109059922E-2</v>
      </c>
      <c r="AA282">
        <v>1.6592246360610035</v>
      </c>
    </row>
    <row r="283" spans="1:27" x14ac:dyDescent="0.2">
      <c r="A283" s="7" t="s">
        <v>2237</v>
      </c>
      <c r="B283" t="s">
        <v>1309</v>
      </c>
      <c r="C283">
        <v>2019</v>
      </c>
      <c r="D283">
        <v>0</v>
      </c>
      <c r="E283">
        <v>3</v>
      </c>
      <c r="F283">
        <v>0</v>
      </c>
      <c r="G283">
        <v>19.591000000000001</v>
      </c>
      <c r="H283">
        <v>0</v>
      </c>
      <c r="I283">
        <v>0.8</v>
      </c>
      <c r="J283">
        <v>0</v>
      </c>
      <c r="K283">
        <v>0.25160659566020116</v>
      </c>
      <c r="L283">
        <v>0</v>
      </c>
      <c r="M283">
        <v>0.4</v>
      </c>
      <c r="N283">
        <v>0</v>
      </c>
      <c r="O283">
        <v>0.4</v>
      </c>
      <c r="P283">
        <v>27.772843122793432</v>
      </c>
      <c r="Q283">
        <v>0.25255417087683846</v>
      </c>
      <c r="R283">
        <v>-2.8003687549791434E-2</v>
      </c>
      <c r="S283">
        <v>-0.42715280865569877</v>
      </c>
      <c r="T283">
        <v>5.7923577331941666E-2</v>
      </c>
      <c r="U283">
        <v>1.640284570920409</v>
      </c>
      <c r="V283">
        <v>26.608344792677325</v>
      </c>
      <c r="W283">
        <v>0.52553372010666555</v>
      </c>
      <c r="X283">
        <v>4.5558933022158077E-2</v>
      </c>
      <c r="Y283">
        <v>1.0417141001484598</v>
      </c>
      <c r="Z283">
        <v>0.14600936712123466</v>
      </c>
      <c r="AA283">
        <v>1.5508768759193909</v>
      </c>
    </row>
    <row r="284" spans="1:27" x14ac:dyDescent="0.2">
      <c r="A284" s="7" t="s">
        <v>2237</v>
      </c>
      <c r="B284" t="s">
        <v>1313</v>
      </c>
      <c r="C284">
        <v>2018</v>
      </c>
      <c r="D284">
        <v>0</v>
      </c>
      <c r="E284">
        <v>3</v>
      </c>
      <c r="F284">
        <v>0</v>
      </c>
      <c r="G284">
        <v>22.694999999999997</v>
      </c>
      <c r="H284">
        <v>0</v>
      </c>
      <c r="I284">
        <v>0.5</v>
      </c>
      <c r="J284">
        <v>-1</v>
      </c>
      <c r="K284">
        <v>0.2208568682360553</v>
      </c>
      <c r="L284">
        <v>0</v>
      </c>
      <c r="M284">
        <v>0.5</v>
      </c>
      <c r="N284">
        <v>1</v>
      </c>
      <c r="O284">
        <v>0.1</v>
      </c>
      <c r="P284">
        <v>27.62287391294867</v>
      </c>
      <c r="Q284">
        <v>0.28021803891741143</v>
      </c>
      <c r="R284">
        <v>0.11176894520601044</v>
      </c>
      <c r="S284">
        <v>-0.73756959109234022</v>
      </c>
      <c r="T284">
        <v>0.11168177920403603</v>
      </c>
      <c r="U284">
        <v>2.0287963140717991</v>
      </c>
      <c r="V284">
        <v>26.465311662282545</v>
      </c>
      <c r="W284">
        <v>0.54194952479471614</v>
      </c>
      <c r="X284">
        <v>0.22811907281354332</v>
      </c>
      <c r="Y284">
        <v>1.0895640157434943</v>
      </c>
      <c r="Z284">
        <v>0.15959466177541068</v>
      </c>
      <c r="AA284">
        <v>2.3691958789246774</v>
      </c>
    </row>
    <row r="285" spans="1:27" x14ac:dyDescent="0.2">
      <c r="A285" s="7" t="s">
        <v>2237</v>
      </c>
      <c r="B285" t="s">
        <v>1317</v>
      </c>
      <c r="C285">
        <v>2017</v>
      </c>
      <c r="D285">
        <v>1.9699999999999999E-2</v>
      </c>
      <c r="E285">
        <v>3</v>
      </c>
      <c r="F285">
        <v>1.9699999999999999E-2</v>
      </c>
      <c r="G285">
        <v>15.953999999999999</v>
      </c>
      <c r="H285">
        <v>1</v>
      </c>
      <c r="I285">
        <v>0.6</v>
      </c>
      <c r="J285">
        <v>0.1939393939393938</v>
      </c>
      <c r="K285">
        <v>0.11326383738575377</v>
      </c>
      <c r="L285">
        <v>1</v>
      </c>
      <c r="M285">
        <v>0.4</v>
      </c>
      <c r="N285">
        <v>0</v>
      </c>
      <c r="O285">
        <v>0.2</v>
      </c>
      <c r="P285">
        <v>27.547451335485231</v>
      </c>
      <c r="Q285">
        <v>0.27405857740585776</v>
      </c>
      <c r="R285">
        <v>8.5982035041087812E-2</v>
      </c>
      <c r="S285">
        <v>-1.2466246624662465</v>
      </c>
      <c r="T285">
        <v>7.5449656882443261E-2</v>
      </c>
      <c r="U285">
        <v>2.5495049504950495</v>
      </c>
      <c r="V285">
        <v>26.443599219211357</v>
      </c>
      <c r="W285">
        <v>0.56207113605386794</v>
      </c>
      <c r="X285">
        <v>0.10076055206215329</v>
      </c>
      <c r="Y285">
        <v>1.2882870749214996</v>
      </c>
      <c r="Z285">
        <v>0.12521362295191729</v>
      </c>
      <c r="AA285">
        <v>1.9211095881556979</v>
      </c>
    </row>
    <row r="286" spans="1:27" x14ac:dyDescent="0.2">
      <c r="A286" s="7" t="s">
        <v>2237</v>
      </c>
      <c r="B286" t="s">
        <v>1321</v>
      </c>
      <c r="C286">
        <v>2016</v>
      </c>
      <c r="D286">
        <v>1.6500000000000001E-2</v>
      </c>
      <c r="E286">
        <v>3</v>
      </c>
      <c r="F286">
        <v>1.6500000000000001E-2</v>
      </c>
      <c r="G286">
        <v>11.984999999999999</v>
      </c>
      <c r="H286">
        <v>1</v>
      </c>
      <c r="I286">
        <v>0.6</v>
      </c>
      <c r="J286">
        <v>0</v>
      </c>
      <c r="K286">
        <v>0.67820492862735826</v>
      </c>
      <c r="L286">
        <v>0</v>
      </c>
      <c r="M286">
        <v>0.6</v>
      </c>
      <c r="N286">
        <v>0</v>
      </c>
      <c r="O286">
        <v>0</v>
      </c>
      <c r="P286">
        <v>27.599602452116251</v>
      </c>
      <c r="Q286">
        <v>0.28127594796567951</v>
      </c>
      <c r="R286">
        <v>6.8533680112581319E-3</v>
      </c>
      <c r="S286">
        <v>-1.9590785086389819</v>
      </c>
      <c r="T286">
        <v>9.0164301949214612E-2</v>
      </c>
      <c r="U286">
        <v>3.3807214307365872</v>
      </c>
      <c r="V286">
        <v>26.449101574175394</v>
      </c>
      <c r="W286">
        <v>0.53247210528880273</v>
      </c>
      <c r="X286">
        <v>0.14863801303987995</v>
      </c>
      <c r="Y286">
        <v>0.30679759007635193</v>
      </c>
      <c r="Z286">
        <v>0.16795459332269669</v>
      </c>
      <c r="AA286">
        <v>-0.16664760811481977</v>
      </c>
    </row>
    <row r="287" spans="1:27" x14ac:dyDescent="0.2">
      <c r="A287" s="7" t="s">
        <v>2237</v>
      </c>
      <c r="B287" t="s">
        <v>1325</v>
      </c>
      <c r="C287">
        <v>2015</v>
      </c>
      <c r="D287">
        <v>1.6500000000000001E-2</v>
      </c>
      <c r="E287">
        <v>3</v>
      </c>
      <c r="F287">
        <v>1.6500000000000001E-2</v>
      </c>
      <c r="G287">
        <v>7.1230000000000002</v>
      </c>
      <c r="H287">
        <v>1</v>
      </c>
      <c r="I287">
        <v>0.5</v>
      </c>
      <c r="J287">
        <v>1</v>
      </c>
      <c r="K287">
        <v>0.78088717059055313</v>
      </c>
      <c r="L287">
        <v>1</v>
      </c>
      <c r="M287">
        <v>0.4</v>
      </c>
      <c r="N287">
        <v>0</v>
      </c>
      <c r="O287">
        <v>0.1</v>
      </c>
      <c r="P287">
        <v>27.388380449237236</v>
      </c>
      <c r="Q287">
        <v>0.30088219220860335</v>
      </c>
      <c r="R287">
        <v>0.46585039188360389</v>
      </c>
      <c r="S287">
        <v>-5.3141624730409704</v>
      </c>
      <c r="T287">
        <v>5.0245162114360004E-2</v>
      </c>
      <c r="U287">
        <v>8.2084831056793668</v>
      </c>
      <c r="V287">
        <v>26.254924464703937</v>
      </c>
      <c r="W287">
        <v>0.51837962539038962</v>
      </c>
      <c r="X287">
        <v>0.2294752884455179</v>
      </c>
      <c r="Y287">
        <v>1.6651670962267946</v>
      </c>
      <c r="Z287">
        <v>2.027210155132135E-2</v>
      </c>
      <c r="AA287">
        <v>2.475210544245475</v>
      </c>
    </row>
    <row r="288" spans="1:27" x14ac:dyDescent="0.2">
      <c r="A288" s="7" t="s">
        <v>2240</v>
      </c>
      <c r="B288" t="s">
        <v>1335</v>
      </c>
      <c r="C288">
        <v>2024</v>
      </c>
      <c r="D288">
        <v>4</v>
      </c>
      <c r="E288">
        <v>3</v>
      </c>
      <c r="F288">
        <v>4</v>
      </c>
      <c r="G288">
        <v>32.658000000000001</v>
      </c>
      <c r="H288">
        <v>1</v>
      </c>
      <c r="I288">
        <v>0.4</v>
      </c>
      <c r="J288">
        <v>0</v>
      </c>
      <c r="K288">
        <v>-0.20461447297899457</v>
      </c>
      <c r="L288">
        <v>0</v>
      </c>
      <c r="M288">
        <v>0.1</v>
      </c>
      <c r="N288">
        <v>0</v>
      </c>
      <c r="O288">
        <v>0.5</v>
      </c>
      <c r="P288">
        <v>25.911606326596328</v>
      </c>
      <c r="Q288">
        <v>0.52651252041555618</v>
      </c>
      <c r="R288">
        <v>5.9222885417981264E-2</v>
      </c>
      <c r="S288">
        <v>-0.90195268225778169</v>
      </c>
      <c r="T288">
        <v>-8.1656667803458843E-2</v>
      </c>
      <c r="U288">
        <v>7.294231945410667</v>
      </c>
      <c r="V288">
        <v>27.419998452462625</v>
      </c>
      <c r="W288">
        <v>0.47550162912316168</v>
      </c>
      <c r="X288">
        <v>2.1888821299492878E-2</v>
      </c>
      <c r="Y288">
        <v>1.3800820259271462</v>
      </c>
      <c r="Z288">
        <v>5.8241417790189862E-2</v>
      </c>
      <c r="AA288">
        <v>2.0917964215361491</v>
      </c>
    </row>
    <row r="289" spans="1:27" x14ac:dyDescent="0.2">
      <c r="A289" s="7" t="s">
        <v>2240</v>
      </c>
      <c r="B289" t="s">
        <v>1338</v>
      </c>
      <c r="C289">
        <v>2023</v>
      </c>
      <c r="D289">
        <v>4</v>
      </c>
      <c r="E289">
        <v>3</v>
      </c>
      <c r="F289">
        <v>4</v>
      </c>
      <c r="G289">
        <v>24.844000000000001</v>
      </c>
      <c r="H289">
        <v>1</v>
      </c>
      <c r="I289">
        <v>0.5</v>
      </c>
      <c r="J289">
        <v>1</v>
      </c>
      <c r="K289">
        <v>0.33287037037037037</v>
      </c>
      <c r="L289">
        <v>1</v>
      </c>
      <c r="M289">
        <v>0.5</v>
      </c>
      <c r="N289">
        <v>0</v>
      </c>
      <c r="O289">
        <v>0.1</v>
      </c>
      <c r="P289">
        <v>25.62812501051458</v>
      </c>
      <c r="Q289">
        <v>0.52800041617292759</v>
      </c>
      <c r="R289">
        <v>0.61208345863964375</v>
      </c>
      <c r="S289">
        <v>-8.8302602439997283E-2</v>
      </c>
      <c r="T289">
        <v>-8.495653829914368E-2</v>
      </c>
      <c r="U289">
        <v>4.2668558709263449</v>
      </c>
      <c r="V289">
        <v>27.369123140600749</v>
      </c>
      <c r="W289">
        <v>0.44855407671267111</v>
      </c>
      <c r="X289">
        <v>8.27146481717876E-2</v>
      </c>
      <c r="Y289">
        <v>0.15726395418669595</v>
      </c>
      <c r="Z289">
        <v>0.13873397831663029</v>
      </c>
      <c r="AA289">
        <v>-1.0398956127070877</v>
      </c>
    </row>
    <row r="290" spans="1:27" x14ac:dyDescent="0.2">
      <c r="A290" s="7" t="s">
        <v>2240</v>
      </c>
      <c r="B290" t="s">
        <v>1341</v>
      </c>
      <c r="C290">
        <v>2022</v>
      </c>
      <c r="D290">
        <v>0</v>
      </c>
      <c r="E290">
        <v>3</v>
      </c>
      <c r="F290">
        <v>0</v>
      </c>
      <c r="G290">
        <v>1.73</v>
      </c>
      <c r="H290">
        <v>0</v>
      </c>
      <c r="I290">
        <v>0.2</v>
      </c>
      <c r="J290">
        <v>-1</v>
      </c>
      <c r="K290">
        <v>-0.50242800677583288</v>
      </c>
      <c r="L290">
        <v>0</v>
      </c>
      <c r="M290">
        <v>0.1</v>
      </c>
      <c r="N290">
        <v>1</v>
      </c>
      <c r="O290">
        <v>0.7</v>
      </c>
      <c r="P290">
        <v>25.636900999407139</v>
      </c>
      <c r="Q290">
        <v>0.51127320475096105</v>
      </c>
      <c r="R290">
        <v>-2.5099265053240116E-2</v>
      </c>
      <c r="S290">
        <v>0.25765474379777786</v>
      </c>
      <c r="T290">
        <v>3.7420969235527721E-2</v>
      </c>
      <c r="U290">
        <v>2.5492656490359131</v>
      </c>
      <c r="V290">
        <v>27.22742661873702</v>
      </c>
      <c r="W290">
        <v>0.46783764951679829</v>
      </c>
      <c r="X290">
        <v>-2.1351146955839152E-2</v>
      </c>
      <c r="Y290">
        <v>0.91123296925790709</v>
      </c>
      <c r="Z290">
        <v>0.17079459099175517</v>
      </c>
      <c r="AA290">
        <v>1.0137663374905255</v>
      </c>
    </row>
    <row r="291" spans="1:27" x14ac:dyDescent="0.2">
      <c r="A291" s="7" t="s">
        <v>2240</v>
      </c>
      <c r="B291" t="s">
        <v>1344</v>
      </c>
      <c r="C291">
        <v>2021</v>
      </c>
      <c r="D291">
        <v>4.5</v>
      </c>
      <c r="E291">
        <v>3</v>
      </c>
      <c r="F291">
        <v>4.5</v>
      </c>
      <c r="G291">
        <v>36.405000000000001</v>
      </c>
      <c r="H291">
        <v>1</v>
      </c>
      <c r="I291">
        <v>0.7</v>
      </c>
      <c r="J291">
        <v>0</v>
      </c>
      <c r="K291">
        <v>0.73069632657079653</v>
      </c>
      <c r="L291">
        <v>0</v>
      </c>
      <c r="M291">
        <v>0.5</v>
      </c>
      <c r="N291">
        <v>0</v>
      </c>
      <c r="O291">
        <v>0.2</v>
      </c>
      <c r="P291">
        <v>25.169486714750992</v>
      </c>
      <c r="Q291">
        <v>0.54335478681177285</v>
      </c>
      <c r="R291">
        <v>6.9091990706911188E-2</v>
      </c>
      <c r="S291">
        <v>0.35422848674110224</v>
      </c>
      <c r="T291">
        <v>0.12940029311787279</v>
      </c>
      <c r="U291">
        <v>1.7085244770663082</v>
      </c>
      <c r="V291">
        <v>27.166347530716866</v>
      </c>
      <c r="W291">
        <v>0.48213585441871115</v>
      </c>
      <c r="X291">
        <v>0.74452211933264789</v>
      </c>
      <c r="Y291">
        <v>1.1035244440721448</v>
      </c>
      <c r="Z291">
        <v>0.30315326199711412</v>
      </c>
      <c r="AA291">
        <v>2.0821237806425095</v>
      </c>
    </row>
    <row r="292" spans="1:27" x14ac:dyDescent="0.2">
      <c r="A292" s="7" t="s">
        <v>2240</v>
      </c>
      <c r="B292" t="s">
        <v>1347</v>
      </c>
      <c r="C292">
        <v>2020</v>
      </c>
      <c r="D292">
        <v>4.5</v>
      </c>
      <c r="E292">
        <v>3</v>
      </c>
      <c r="F292">
        <v>4.5</v>
      </c>
      <c r="G292">
        <v>23.533999999999999</v>
      </c>
      <c r="H292">
        <v>1</v>
      </c>
      <c r="I292">
        <v>0.7</v>
      </c>
      <c r="J292">
        <v>1.0454545454545452</v>
      </c>
      <c r="K292">
        <v>0.55483409416453</v>
      </c>
      <c r="L292">
        <v>1</v>
      </c>
      <c r="M292">
        <v>0.6</v>
      </c>
      <c r="N292">
        <v>0</v>
      </c>
      <c r="O292">
        <v>0.1</v>
      </c>
      <c r="P292">
        <v>25.046127274949715</v>
      </c>
      <c r="Q292">
        <v>0.55427585328136864</v>
      </c>
      <c r="R292">
        <v>0.50935088530056727</v>
      </c>
      <c r="S292">
        <v>0.13247243735927028</v>
      </c>
      <c r="T292">
        <v>6.5878602895758309E-5</v>
      </c>
      <c r="U292">
        <v>2.2689412091531289</v>
      </c>
      <c r="V292">
        <v>26.995928284927952</v>
      </c>
      <c r="W292">
        <v>0.5012999943248323</v>
      </c>
      <c r="X292">
        <v>-2.0983620089722831E-2</v>
      </c>
      <c r="Y292">
        <v>1.1318530358095824</v>
      </c>
      <c r="Z292">
        <v>0.10372210364650998</v>
      </c>
      <c r="AA292">
        <v>1.5979273361757991</v>
      </c>
    </row>
    <row r="293" spans="1:27" x14ac:dyDescent="0.2">
      <c r="A293" s="7" t="s">
        <v>2240</v>
      </c>
      <c r="B293" t="s">
        <v>1350</v>
      </c>
      <c r="C293">
        <v>2019</v>
      </c>
      <c r="D293">
        <v>2.2000000000000002</v>
      </c>
      <c r="E293">
        <v>3</v>
      </c>
      <c r="F293">
        <v>2.2000000000000002</v>
      </c>
      <c r="G293">
        <v>19.371000000000002</v>
      </c>
      <c r="H293">
        <v>1</v>
      </c>
      <c r="I293">
        <v>0.7</v>
      </c>
      <c r="J293">
        <v>1</v>
      </c>
      <c r="K293">
        <v>0.15160659566020115</v>
      </c>
      <c r="L293">
        <v>1</v>
      </c>
      <c r="M293">
        <v>0.3</v>
      </c>
      <c r="N293">
        <v>0</v>
      </c>
      <c r="O293">
        <v>0.4</v>
      </c>
      <c r="P293">
        <v>24.778335921903299</v>
      </c>
      <c r="Q293">
        <v>0.50033600739798711</v>
      </c>
      <c r="R293">
        <v>0.38888687873920613</v>
      </c>
      <c r="S293">
        <v>0.3177152140532099</v>
      </c>
      <c r="T293">
        <v>3.9052938946987296E-2</v>
      </c>
      <c r="U293">
        <v>1.7115348278863745</v>
      </c>
      <c r="V293">
        <v>26.907795512766342</v>
      </c>
      <c r="W293">
        <v>0.50075553645455073</v>
      </c>
      <c r="X293">
        <v>3.8698763932583204E-3</v>
      </c>
      <c r="Y293">
        <v>0.96722729787756889</v>
      </c>
      <c r="Z293">
        <v>0.1478964309597301</v>
      </c>
      <c r="AA293">
        <v>1.5437518502227945</v>
      </c>
    </row>
    <row r="294" spans="1:27" x14ac:dyDescent="0.2">
      <c r="A294" s="7" t="s">
        <v>2240</v>
      </c>
      <c r="B294" t="s">
        <v>1353</v>
      </c>
      <c r="C294">
        <v>2018</v>
      </c>
      <c r="D294">
        <v>0</v>
      </c>
      <c r="E294">
        <v>3</v>
      </c>
      <c r="F294">
        <v>0</v>
      </c>
      <c r="G294">
        <v>22.694999999999997</v>
      </c>
      <c r="H294">
        <v>0</v>
      </c>
      <c r="I294">
        <v>0.5</v>
      </c>
      <c r="J294">
        <v>0</v>
      </c>
      <c r="K294">
        <v>0.12085686823605531</v>
      </c>
      <c r="L294">
        <v>0</v>
      </c>
      <c r="M294">
        <v>0.5</v>
      </c>
      <c r="N294">
        <v>0</v>
      </c>
      <c r="O294">
        <v>0.2</v>
      </c>
      <c r="P294">
        <v>24.658730507002026</v>
      </c>
      <c r="Q294">
        <v>0.52180301348052116</v>
      </c>
      <c r="R294">
        <v>0.36548961785116951</v>
      </c>
      <c r="S294">
        <v>0.32166260713959655</v>
      </c>
      <c r="T294">
        <v>1.5240995568921317E-2</v>
      </c>
      <c r="U294">
        <v>1.6224054232316978</v>
      </c>
      <c r="V294">
        <v>26.761726002877207</v>
      </c>
      <c r="W294">
        <v>0.51779102733840521</v>
      </c>
      <c r="X294">
        <v>0.20274700554902741</v>
      </c>
      <c r="Y294">
        <v>0.9836407959203004</v>
      </c>
      <c r="Z294">
        <v>0.16923874013892218</v>
      </c>
      <c r="AA294">
        <v>2.4098349680086875</v>
      </c>
    </row>
    <row r="295" spans="1:27" x14ac:dyDescent="0.2">
      <c r="A295" s="7" t="s">
        <v>2240</v>
      </c>
      <c r="B295" t="s">
        <v>1356</v>
      </c>
      <c r="C295">
        <v>2017</v>
      </c>
      <c r="D295">
        <v>0</v>
      </c>
      <c r="E295">
        <v>3</v>
      </c>
      <c r="F295">
        <v>0</v>
      </c>
      <c r="G295">
        <v>15.955969999999999</v>
      </c>
      <c r="H295">
        <v>0</v>
      </c>
      <c r="I295">
        <v>0.7</v>
      </c>
      <c r="J295">
        <v>0</v>
      </c>
      <c r="K295">
        <v>0.13265777677969315</v>
      </c>
      <c r="L295">
        <v>0</v>
      </c>
      <c r="M295">
        <v>0.5</v>
      </c>
      <c r="N295">
        <v>0</v>
      </c>
      <c r="O295">
        <v>0.2</v>
      </c>
      <c r="P295">
        <v>24.518187471831709</v>
      </c>
      <c r="Q295">
        <v>0.58014487815794624</v>
      </c>
      <c r="R295">
        <v>3.3820428542279179E-2</v>
      </c>
      <c r="S295">
        <v>0.30716135310406445</v>
      </c>
      <c r="T295">
        <v>3.7747975952393584E-2</v>
      </c>
      <c r="U295">
        <v>1.3363721838874678</v>
      </c>
      <c r="V295">
        <v>26.746525605576711</v>
      </c>
      <c r="W295">
        <v>0.53146250597865907</v>
      </c>
      <c r="X295">
        <v>0.10597671271203417</v>
      </c>
      <c r="Y295">
        <v>1.1329084733644685</v>
      </c>
      <c r="Z295">
        <v>0.12898379104492225</v>
      </c>
      <c r="AA295">
        <v>2.042422864816456</v>
      </c>
    </row>
    <row r="296" spans="1:27" x14ac:dyDescent="0.2">
      <c r="A296" s="7" t="s">
        <v>2240</v>
      </c>
      <c r="B296" t="s">
        <v>1359</v>
      </c>
      <c r="C296">
        <v>2016</v>
      </c>
      <c r="D296">
        <v>0</v>
      </c>
      <c r="E296">
        <v>3</v>
      </c>
      <c r="F296">
        <v>0</v>
      </c>
      <c r="G296">
        <v>11.986649999999999</v>
      </c>
      <c r="H296">
        <v>0</v>
      </c>
      <c r="I296">
        <v>0.7</v>
      </c>
      <c r="J296">
        <v>0</v>
      </c>
      <c r="K296">
        <v>0.67820492862735826</v>
      </c>
      <c r="L296">
        <v>0</v>
      </c>
      <c r="M296">
        <v>0.6</v>
      </c>
      <c r="N296">
        <v>0</v>
      </c>
      <c r="O296">
        <v>0</v>
      </c>
      <c r="P296">
        <v>24.118803566281645</v>
      </c>
      <c r="Q296">
        <v>0.40416336330135172</v>
      </c>
      <c r="R296">
        <v>0.3910183244853811</v>
      </c>
      <c r="S296">
        <v>0.3541767006215269</v>
      </c>
      <c r="T296">
        <v>0.13160026836277255</v>
      </c>
      <c r="U296">
        <v>1.5651401984803337</v>
      </c>
      <c r="V296">
        <v>26.79718146275885</v>
      </c>
      <c r="W296">
        <v>0.52018336375523555</v>
      </c>
      <c r="X296">
        <v>0.11022151739246763</v>
      </c>
      <c r="Y296">
        <v>7.5472069150301052E-2</v>
      </c>
      <c r="Z296">
        <v>0.16381099668134089</v>
      </c>
      <c r="AA296">
        <v>1.4910515110805544E-2</v>
      </c>
    </row>
    <row r="297" spans="1:27" x14ac:dyDescent="0.2">
      <c r="A297" s="7" t="s">
        <v>2242</v>
      </c>
      <c r="B297" t="s">
        <v>1365</v>
      </c>
      <c r="C297">
        <v>2025</v>
      </c>
      <c r="D297">
        <v>0</v>
      </c>
      <c r="E297">
        <v>3</v>
      </c>
      <c r="F297">
        <v>0</v>
      </c>
      <c r="G297">
        <v>10.684999999999999</v>
      </c>
      <c r="H297">
        <v>0</v>
      </c>
      <c r="I297">
        <v>0.1</v>
      </c>
      <c r="J297">
        <v>0</v>
      </c>
      <c r="K297">
        <v>-0.44741116251599566</v>
      </c>
      <c r="L297">
        <v>0</v>
      </c>
      <c r="M297">
        <v>0</v>
      </c>
      <c r="N297">
        <v>0</v>
      </c>
      <c r="O297">
        <v>0.5</v>
      </c>
      <c r="P297">
        <v>27.114340049133929</v>
      </c>
      <c r="Q297">
        <v>0.38634393802483502</v>
      </c>
      <c r="R297">
        <v>-0.24016235566036848</v>
      </c>
      <c r="S297">
        <v>7.5684133022456745E-2</v>
      </c>
      <c r="T297">
        <v>-3.7936730752824936E-2</v>
      </c>
      <c r="U297">
        <v>17.299699349613448</v>
      </c>
      <c r="V297">
        <v>27.584827865112764</v>
      </c>
      <c r="W297">
        <v>0.54952959346915153</v>
      </c>
      <c r="X297">
        <v>-7.2773076293368058E-2</v>
      </c>
      <c r="Y297">
        <v>1.1171008677944434</v>
      </c>
      <c r="Z297">
        <v>2.2636374725145118E-2</v>
      </c>
      <c r="AA297">
        <v>1.1707661287837048</v>
      </c>
    </row>
    <row r="298" spans="1:27" x14ac:dyDescent="0.2">
      <c r="A298" s="7" t="s">
        <v>2242</v>
      </c>
      <c r="B298" t="s">
        <v>1367</v>
      </c>
      <c r="C298">
        <v>2024</v>
      </c>
      <c r="D298">
        <v>0</v>
      </c>
      <c r="E298">
        <v>3</v>
      </c>
      <c r="F298">
        <v>0</v>
      </c>
      <c r="G298">
        <v>33.058</v>
      </c>
      <c r="H298">
        <v>0</v>
      </c>
      <c r="I298">
        <v>0.5</v>
      </c>
      <c r="J298">
        <v>-1</v>
      </c>
      <c r="K298">
        <v>-0.10461447297899458</v>
      </c>
      <c r="L298">
        <v>0</v>
      </c>
      <c r="M298">
        <v>0.1</v>
      </c>
      <c r="N298">
        <v>1</v>
      </c>
      <c r="O298">
        <v>0.4</v>
      </c>
      <c r="P298">
        <v>27.264170287129826</v>
      </c>
      <c r="Q298">
        <v>0.34136897417136064</v>
      </c>
      <c r="R298">
        <v>-2.2231817221390338E-2</v>
      </c>
      <c r="S298">
        <v>0.41174004192872116</v>
      </c>
      <c r="T298">
        <v>-4.3400034591054688E-2</v>
      </c>
      <c r="U298">
        <v>11.105398322851153</v>
      </c>
      <c r="V298">
        <v>27.284742056409279</v>
      </c>
      <c r="W298">
        <v>0.49401598374758127</v>
      </c>
      <c r="X298">
        <v>3.0034291563430036E-2</v>
      </c>
      <c r="Y298">
        <v>1.2487127535084959</v>
      </c>
      <c r="Z298">
        <v>5.4415754468949452E-2</v>
      </c>
      <c r="AA298">
        <v>1.7106797837921004</v>
      </c>
    </row>
    <row r="299" spans="1:27" x14ac:dyDescent="0.2">
      <c r="A299" s="7" t="s">
        <v>2242</v>
      </c>
      <c r="B299" t="s">
        <v>1369</v>
      </c>
      <c r="C299">
        <v>2023</v>
      </c>
      <c r="D299">
        <v>22.96</v>
      </c>
      <c r="E299">
        <v>3</v>
      </c>
      <c r="F299">
        <v>22.96</v>
      </c>
      <c r="G299">
        <v>22.948</v>
      </c>
      <c r="H299">
        <v>1</v>
      </c>
      <c r="I299">
        <v>0.5</v>
      </c>
      <c r="J299">
        <v>0.32870370370370366</v>
      </c>
      <c r="K299">
        <v>0.4</v>
      </c>
      <c r="L299">
        <v>1</v>
      </c>
      <c r="M299">
        <v>0.5</v>
      </c>
      <c r="N299">
        <v>0</v>
      </c>
      <c r="O299">
        <v>0.1</v>
      </c>
      <c r="P299">
        <v>27.094662276364286</v>
      </c>
      <c r="Q299">
        <v>0.32384581978340632</v>
      </c>
      <c r="R299">
        <v>-0.13496825258071954</v>
      </c>
      <c r="S299">
        <v>0.66268422630717072</v>
      </c>
      <c r="T299">
        <v>6.6471054357099643E-2</v>
      </c>
      <c r="U299">
        <v>5.7448624212929857</v>
      </c>
      <c r="V299">
        <v>27.22246941401578</v>
      </c>
      <c r="W299">
        <v>0.46896953635162325</v>
      </c>
      <c r="X299">
        <v>0.15741981929382393</v>
      </c>
      <c r="Y299">
        <v>8.2165271311979149E-2</v>
      </c>
      <c r="Z299">
        <v>0.12359121905100594</v>
      </c>
      <c r="AA299">
        <v>-1.1876962677437519</v>
      </c>
    </row>
    <row r="300" spans="1:27" x14ac:dyDescent="0.2">
      <c r="A300" s="7" t="s">
        <v>2242</v>
      </c>
      <c r="B300" t="s">
        <v>1371</v>
      </c>
      <c r="C300">
        <v>2022</v>
      </c>
      <c r="D300">
        <v>17.28</v>
      </c>
      <c r="E300">
        <v>3</v>
      </c>
      <c r="F300">
        <v>17.28</v>
      </c>
      <c r="G300">
        <v>2E-3</v>
      </c>
      <c r="H300">
        <v>1</v>
      </c>
      <c r="I300">
        <v>0.1</v>
      </c>
      <c r="J300">
        <v>-2.4280067758328611E-2</v>
      </c>
      <c r="K300">
        <v>-0.6</v>
      </c>
      <c r="L300">
        <v>0</v>
      </c>
      <c r="M300">
        <v>0.1</v>
      </c>
      <c r="N300">
        <v>1</v>
      </c>
      <c r="O300">
        <v>0.7</v>
      </c>
      <c r="P300">
        <v>27.12040047115293</v>
      </c>
      <c r="Q300">
        <v>0.31282087172129713</v>
      </c>
      <c r="R300">
        <v>0.46669666022504486</v>
      </c>
      <c r="S300">
        <v>0.58687009462334039</v>
      </c>
      <c r="T300">
        <v>6.4770217038696218E-2</v>
      </c>
      <c r="U300">
        <v>7.8039756473263404</v>
      </c>
      <c r="V300">
        <v>27.07907667156244</v>
      </c>
      <c r="W300">
        <v>0.48768288281976468</v>
      </c>
      <c r="X300">
        <v>-7.0530739483667643E-2</v>
      </c>
      <c r="Y300">
        <v>0.87831143417535085</v>
      </c>
      <c r="Z300">
        <v>0.16805966621143834</v>
      </c>
      <c r="AA300">
        <v>0.48829533766148286</v>
      </c>
    </row>
    <row r="301" spans="1:27" x14ac:dyDescent="0.2">
      <c r="A301" s="7" t="s">
        <v>2242</v>
      </c>
      <c r="B301" t="s">
        <v>1373</v>
      </c>
      <c r="C301">
        <v>2021</v>
      </c>
      <c r="D301">
        <v>17.71</v>
      </c>
      <c r="E301">
        <v>3</v>
      </c>
      <c r="F301">
        <v>17.71</v>
      </c>
      <c r="G301">
        <v>35.084000000000003</v>
      </c>
      <c r="H301">
        <v>1</v>
      </c>
      <c r="I301">
        <v>0.7</v>
      </c>
      <c r="J301">
        <v>0.39779005524861888</v>
      </c>
      <c r="K301">
        <v>0.69091732104593473</v>
      </c>
      <c r="L301">
        <v>1</v>
      </c>
      <c r="M301">
        <v>0.4</v>
      </c>
      <c r="N301">
        <v>0</v>
      </c>
      <c r="O301">
        <v>0.2</v>
      </c>
      <c r="P301">
        <v>27.266568864125368</v>
      </c>
      <c r="Q301">
        <v>0.32433841028424493</v>
      </c>
      <c r="R301">
        <v>0.92695657642360785</v>
      </c>
      <c r="S301">
        <v>0.28746918899420854</v>
      </c>
      <c r="T301">
        <v>1.2899622511394697E-2</v>
      </c>
      <c r="U301">
        <v>12.919099817638925</v>
      </c>
      <c r="V301">
        <v>26.956639315779427</v>
      </c>
      <c r="W301">
        <v>0.50403749207146398</v>
      </c>
      <c r="X301">
        <v>0.65873566076097823</v>
      </c>
      <c r="Y301">
        <v>1.110200373846834</v>
      </c>
      <c r="Z301">
        <v>0.31480332905776187</v>
      </c>
      <c r="AA301">
        <v>0.96106624658524797</v>
      </c>
    </row>
    <row r="302" spans="1:27" x14ac:dyDescent="0.2">
      <c r="A302" s="7" t="s">
        <v>2242</v>
      </c>
      <c r="B302" t="s">
        <v>1377</v>
      </c>
      <c r="C302">
        <v>2020</v>
      </c>
      <c r="D302">
        <v>12.67</v>
      </c>
      <c r="E302">
        <v>3</v>
      </c>
      <c r="F302">
        <v>12.67</v>
      </c>
      <c r="G302">
        <v>22.716999999999999</v>
      </c>
      <c r="H302">
        <v>1</v>
      </c>
      <c r="I302">
        <v>0.7</v>
      </c>
      <c r="J302">
        <v>3.9686274509803927</v>
      </c>
      <c r="K302">
        <v>0.26251680361194529</v>
      </c>
      <c r="L302">
        <v>1</v>
      </c>
      <c r="M302">
        <v>0.6</v>
      </c>
      <c r="N302">
        <v>0</v>
      </c>
      <c r="O302">
        <v>0.1</v>
      </c>
      <c r="P302">
        <v>26.761373005809212</v>
      </c>
      <c r="Q302">
        <v>0.31671514367726955</v>
      </c>
      <c r="R302">
        <v>-0.27809052526444822</v>
      </c>
      <c r="S302">
        <v>0.49716986393040374</v>
      </c>
      <c r="T302">
        <v>6.3014647061187812E-2</v>
      </c>
      <c r="U302">
        <v>4.8428925942449252</v>
      </c>
      <c r="V302">
        <v>26.824403711842002</v>
      </c>
      <c r="W302">
        <v>0.52505606528524218</v>
      </c>
      <c r="X302">
        <v>5.7760520966778715E-2</v>
      </c>
      <c r="Y302">
        <v>1.095383293152469</v>
      </c>
      <c r="Z302">
        <v>9.7427226800680763E-2</v>
      </c>
      <c r="AA302">
        <v>1.3405321976666194</v>
      </c>
    </row>
    <row r="303" spans="1:27" x14ac:dyDescent="0.2">
      <c r="A303" s="7" t="s">
        <v>2242</v>
      </c>
      <c r="B303" t="s">
        <v>1381</v>
      </c>
      <c r="C303">
        <v>2019</v>
      </c>
      <c r="D303">
        <v>2.5499999999999998</v>
      </c>
      <c r="E303">
        <v>3</v>
      </c>
      <c r="F303">
        <v>2.5499999999999998</v>
      </c>
      <c r="G303">
        <v>19.336000000000002</v>
      </c>
      <c r="H303">
        <v>1</v>
      </c>
      <c r="I303">
        <v>0.7</v>
      </c>
      <c r="J303">
        <v>1</v>
      </c>
      <c r="K303">
        <v>0.15160659566020115</v>
      </c>
      <c r="L303">
        <v>1</v>
      </c>
      <c r="M303">
        <v>0.3</v>
      </c>
      <c r="N303">
        <v>0</v>
      </c>
      <c r="O303">
        <v>0.4</v>
      </c>
      <c r="P303">
        <v>26.58741392437711</v>
      </c>
      <c r="Q303">
        <v>0.33335888830207111</v>
      </c>
      <c r="R303">
        <v>-3.7988717712226894E-2</v>
      </c>
      <c r="S303">
        <v>0.27302920048511986</v>
      </c>
      <c r="T303">
        <v>1.1835466462867627E-2</v>
      </c>
      <c r="U303">
        <v>5.5711726840190314</v>
      </c>
      <c r="V303">
        <v>26.726887712518959</v>
      </c>
      <c r="W303">
        <v>0.5174532483641423</v>
      </c>
      <c r="X303">
        <v>4.6557436038401623E-2</v>
      </c>
      <c r="Y303">
        <v>0.97169589923437805</v>
      </c>
      <c r="Z303">
        <v>0.15061817820814208</v>
      </c>
      <c r="AA303">
        <v>1.1577880646095289</v>
      </c>
    </row>
    <row r="304" spans="1:27" x14ac:dyDescent="0.2">
      <c r="A304" s="7" t="s">
        <v>2242</v>
      </c>
      <c r="B304" t="s">
        <v>1385</v>
      </c>
      <c r="C304">
        <v>2018</v>
      </c>
      <c r="D304">
        <v>0</v>
      </c>
      <c r="E304">
        <v>3</v>
      </c>
      <c r="F304">
        <v>0</v>
      </c>
      <c r="G304">
        <v>22.694999999999997</v>
      </c>
      <c r="H304">
        <v>0</v>
      </c>
      <c r="I304">
        <v>0.5</v>
      </c>
      <c r="J304">
        <v>-1</v>
      </c>
      <c r="K304">
        <v>0.2208568682360553</v>
      </c>
      <c r="L304">
        <v>0</v>
      </c>
      <c r="M304">
        <v>0.5</v>
      </c>
      <c r="N304">
        <v>1</v>
      </c>
      <c r="O304">
        <v>0.1</v>
      </c>
      <c r="P304">
        <v>26.474654840401769</v>
      </c>
      <c r="Q304">
        <v>0.41466680973838849</v>
      </c>
      <c r="R304">
        <v>0.25116100040502731</v>
      </c>
      <c r="S304">
        <v>1.4575870470301016</v>
      </c>
      <c r="T304">
        <v>-3.0966492172328515E-5</v>
      </c>
      <c r="U304">
        <v>5.1209130581552929</v>
      </c>
      <c r="V304">
        <v>26.580133569537235</v>
      </c>
      <c r="W304">
        <v>0.5285046477126184</v>
      </c>
      <c r="X304">
        <v>0.21417986729364163</v>
      </c>
      <c r="Y304">
        <v>0.87004835193125007</v>
      </c>
      <c r="Z304">
        <v>0.17076593634503151</v>
      </c>
      <c r="AA304">
        <v>2.0599842045163284</v>
      </c>
    </row>
    <row r="305" spans="1:27" x14ac:dyDescent="0.2">
      <c r="A305" s="7" t="s">
        <v>2242</v>
      </c>
      <c r="B305" t="s">
        <v>1389</v>
      </c>
      <c r="C305">
        <v>2017</v>
      </c>
      <c r="D305">
        <v>2.2799999999999998</v>
      </c>
      <c r="E305">
        <v>3</v>
      </c>
      <c r="F305">
        <v>2.2799999999999998</v>
      </c>
      <c r="G305">
        <v>15.727969999999999</v>
      </c>
      <c r="H305">
        <v>1</v>
      </c>
      <c r="I305">
        <v>0.6</v>
      </c>
      <c r="J305">
        <v>-0.41538461538461541</v>
      </c>
      <c r="K305">
        <v>0.1741962383181547</v>
      </c>
      <c r="L305">
        <v>0</v>
      </c>
      <c r="M305">
        <v>0.5</v>
      </c>
      <c r="N305">
        <v>1</v>
      </c>
      <c r="O305">
        <v>0.1</v>
      </c>
      <c r="P305">
        <v>26.500499799358817</v>
      </c>
      <c r="Q305">
        <v>0.43861774308527479</v>
      </c>
      <c r="R305">
        <v>0.14469452894642876</v>
      </c>
      <c r="S305">
        <v>1.3260525974589574</v>
      </c>
      <c r="T305">
        <v>5.38469113979254E-3</v>
      </c>
      <c r="U305">
        <v>4.9328542849152255</v>
      </c>
      <c r="V305">
        <v>26.548294372824</v>
      </c>
      <c r="W305">
        <v>0.54561521948592628</v>
      </c>
      <c r="X305">
        <v>9.48893026716192E-2</v>
      </c>
      <c r="Y305">
        <v>1.0310193489289792</v>
      </c>
      <c r="Z305">
        <v>0.13222011952618234</v>
      </c>
      <c r="AA305">
        <v>1.6827746547136804</v>
      </c>
    </row>
    <row r="306" spans="1:27" x14ac:dyDescent="0.2">
      <c r="A306" s="7" t="s">
        <v>2242</v>
      </c>
      <c r="B306" t="s">
        <v>1393</v>
      </c>
      <c r="C306">
        <v>2016</v>
      </c>
      <c r="D306">
        <v>3.9</v>
      </c>
      <c r="E306">
        <v>3</v>
      </c>
      <c r="F306">
        <v>3.9</v>
      </c>
      <c r="G306">
        <v>11.596649999999999</v>
      </c>
      <c r="H306">
        <v>1</v>
      </c>
      <c r="I306">
        <v>0.6</v>
      </c>
      <c r="J306">
        <v>0.61157024793388426</v>
      </c>
      <c r="K306">
        <v>0.61704790383396979</v>
      </c>
      <c r="L306">
        <v>1</v>
      </c>
      <c r="M306">
        <v>0.5</v>
      </c>
      <c r="N306">
        <v>0</v>
      </c>
      <c r="O306">
        <v>0</v>
      </c>
      <c r="P306">
        <v>26.483941421324776</v>
      </c>
      <c r="Q306">
        <v>0.48513207626850224</v>
      </c>
      <c r="R306">
        <v>-0.11448798912414948</v>
      </c>
      <c r="S306">
        <v>1.3772025083783215</v>
      </c>
      <c r="T306">
        <v>3.7788087196495741E-2</v>
      </c>
      <c r="U306">
        <v>4.2694414897168054</v>
      </c>
      <c r="V306">
        <v>26.560667677254536</v>
      </c>
      <c r="W306">
        <v>0.51208649245852056</v>
      </c>
      <c r="X306">
        <v>0.16077214875342069</v>
      </c>
      <c r="Y306">
        <v>-2.683051162537841E-2</v>
      </c>
      <c r="Z306">
        <v>0.17319221479796859</v>
      </c>
      <c r="AA306">
        <v>-0.25551961401284162</v>
      </c>
    </row>
    <row r="307" spans="1:27" x14ac:dyDescent="0.2">
      <c r="A307" s="7" t="s">
        <v>2242</v>
      </c>
      <c r="B307" t="s">
        <v>1397</v>
      </c>
      <c r="C307">
        <v>2015</v>
      </c>
      <c r="D307">
        <v>2.42</v>
      </c>
      <c r="E307">
        <v>3</v>
      </c>
      <c r="F307">
        <v>2.42</v>
      </c>
      <c r="G307">
        <v>6.8826499999999999</v>
      </c>
      <c r="H307">
        <v>1</v>
      </c>
      <c r="I307">
        <v>0.5</v>
      </c>
      <c r="J307">
        <v>5.2051282051282044</v>
      </c>
      <c r="K307">
        <v>0.36037435007773266</v>
      </c>
      <c r="L307">
        <v>1</v>
      </c>
      <c r="M307">
        <v>0.4</v>
      </c>
      <c r="N307">
        <v>0</v>
      </c>
      <c r="O307">
        <v>0.1</v>
      </c>
      <c r="P307">
        <v>26.322479582821146</v>
      </c>
      <c r="Q307">
        <v>0.48089611965428752</v>
      </c>
      <c r="R307">
        <v>8.5192888101620179E-2</v>
      </c>
      <c r="S307">
        <v>1.5441004027191227</v>
      </c>
      <c r="T307">
        <v>-9.2154329952169378E-2</v>
      </c>
      <c r="U307">
        <v>5.1732209973665135</v>
      </c>
      <c r="V307">
        <v>26.361514551345543</v>
      </c>
      <c r="W307">
        <v>0.50037823264582115</v>
      </c>
      <c r="X307">
        <v>0.27177056664351606</v>
      </c>
      <c r="Y307">
        <v>0.9031378878090065</v>
      </c>
      <c r="Z307">
        <v>3.6094267336491286E-2</v>
      </c>
      <c r="AA307">
        <v>2.7787367550767605</v>
      </c>
    </row>
    <row r="308" spans="1:27" x14ac:dyDescent="0.2">
      <c r="A308" s="7" t="s">
        <v>2242</v>
      </c>
      <c r="B308" t="s">
        <v>1401</v>
      </c>
      <c r="C308">
        <v>2014</v>
      </c>
      <c r="D308">
        <v>0.39</v>
      </c>
      <c r="E308">
        <v>3</v>
      </c>
      <c r="F308">
        <v>0.39</v>
      </c>
      <c r="G308">
        <v>7.8170000000000002</v>
      </c>
      <c r="H308">
        <v>1</v>
      </c>
      <c r="I308">
        <v>0.4</v>
      </c>
      <c r="J308">
        <v>-0.78571428571428581</v>
      </c>
      <c r="K308">
        <v>1.151889947851106</v>
      </c>
      <c r="L308">
        <v>0</v>
      </c>
      <c r="M308">
        <v>0.3</v>
      </c>
      <c r="N308">
        <v>1</v>
      </c>
      <c r="O308">
        <v>0</v>
      </c>
      <c r="P308">
        <v>26.112240877138454</v>
      </c>
      <c r="Q308">
        <v>0.46202703726492139</v>
      </c>
      <c r="R308">
        <v>0.13704563036663009</v>
      </c>
      <c r="S308">
        <v>1.1767346521253323</v>
      </c>
      <c r="T308">
        <v>-3.637045102727296E-2</v>
      </c>
      <c r="U308">
        <v>3.4453267865854618</v>
      </c>
      <c r="V308">
        <v>26.318882282236149</v>
      </c>
      <c r="W308">
        <v>0.52196744342165746</v>
      </c>
      <c r="X308">
        <v>0.52441751148219518</v>
      </c>
      <c r="Y308">
        <v>0.74727555077261631</v>
      </c>
      <c r="Z308">
        <v>-8.215589773559405E-2</v>
      </c>
      <c r="AA308">
        <v>1.4247202442835669</v>
      </c>
    </row>
    <row r="309" spans="1:27" x14ac:dyDescent="0.2">
      <c r="A309" s="7" t="s">
        <v>2244</v>
      </c>
      <c r="B309" t="s">
        <v>1451</v>
      </c>
      <c r="C309">
        <v>2024</v>
      </c>
      <c r="D309">
        <v>50</v>
      </c>
      <c r="E309">
        <v>4</v>
      </c>
      <c r="F309">
        <v>50</v>
      </c>
      <c r="G309">
        <v>58.940000000000005</v>
      </c>
      <c r="H309">
        <v>1</v>
      </c>
      <c r="I309">
        <v>0.5</v>
      </c>
      <c r="J309">
        <v>0.1111111111111111</v>
      </c>
      <c r="K309">
        <v>0.20351923742697586</v>
      </c>
      <c r="L309">
        <v>1</v>
      </c>
      <c r="M309">
        <v>0.2857142857142857</v>
      </c>
      <c r="N309">
        <v>0</v>
      </c>
      <c r="O309">
        <v>0.2857142857142857</v>
      </c>
      <c r="P309">
        <v>24.796769358908161</v>
      </c>
      <c r="Q309">
        <v>0.29634146810486789</v>
      </c>
      <c r="R309">
        <v>0.10763088637983342</v>
      </c>
      <c r="S309">
        <v>0.78818027060962714</v>
      </c>
      <c r="T309">
        <v>0.13434697755744152</v>
      </c>
      <c r="U309">
        <v>0.37404322011454583</v>
      </c>
      <c r="V309">
        <v>25.619660167770512</v>
      </c>
      <c r="W309">
        <v>0.26053748572823132</v>
      </c>
      <c r="X309">
        <v>0.2767389710901102</v>
      </c>
      <c r="Y309">
        <v>1.1984021355677783</v>
      </c>
      <c r="Z309">
        <v>6.8570542769538292E-2</v>
      </c>
      <c r="AA309">
        <v>4.2491374173598961</v>
      </c>
    </row>
    <row r="310" spans="1:27" x14ac:dyDescent="0.2">
      <c r="A310" s="7" t="s">
        <v>2244</v>
      </c>
      <c r="B310" t="s">
        <v>1453</v>
      </c>
      <c r="C310">
        <v>2023</v>
      </c>
      <c r="D310">
        <v>45</v>
      </c>
      <c r="E310">
        <v>4</v>
      </c>
      <c r="F310">
        <v>45</v>
      </c>
      <c r="G310">
        <v>87.525714285714301</v>
      </c>
      <c r="H310">
        <v>1</v>
      </c>
      <c r="I310">
        <v>0.42857142857142855</v>
      </c>
      <c r="J310">
        <v>0.125</v>
      </c>
      <c r="K310">
        <v>0.28919887955182072</v>
      </c>
      <c r="L310">
        <v>1</v>
      </c>
      <c r="M310">
        <v>0.35714285714285715</v>
      </c>
      <c r="N310">
        <v>0</v>
      </c>
      <c r="O310">
        <v>0</v>
      </c>
      <c r="P310">
        <v>24.762551356576409</v>
      </c>
      <c r="Q310">
        <v>0.20574391930258004</v>
      </c>
      <c r="R310">
        <v>0.21187436345698996</v>
      </c>
      <c r="S310">
        <v>0.7630232021167358</v>
      </c>
      <c r="T310">
        <v>0.31191567451064972</v>
      </c>
      <c r="U310">
        <v>0.43031739324152102</v>
      </c>
      <c r="V310">
        <v>25.41014126905603</v>
      </c>
      <c r="W310">
        <v>0.25357621963365401</v>
      </c>
      <c r="X310">
        <v>0.24901646796011997</v>
      </c>
      <c r="Y310">
        <v>1.2804919299379331</v>
      </c>
      <c r="Z310">
        <v>9.3511353929492239E-2</v>
      </c>
      <c r="AA310">
        <v>2.7415609389561979</v>
      </c>
    </row>
    <row r="311" spans="1:27" x14ac:dyDescent="0.2">
      <c r="A311" s="7" t="s">
        <v>2244</v>
      </c>
      <c r="B311" t="s">
        <v>1455</v>
      </c>
      <c r="C311">
        <v>2022</v>
      </c>
      <c r="D311">
        <v>40</v>
      </c>
      <c r="E311">
        <v>4</v>
      </c>
      <c r="F311">
        <v>40</v>
      </c>
      <c r="G311">
        <v>77.32285714285716</v>
      </c>
      <c r="H311">
        <v>1</v>
      </c>
      <c r="I311">
        <v>0.21428571428571427</v>
      </c>
      <c r="J311">
        <v>2.3333333333333335</v>
      </c>
      <c r="K311">
        <v>0.40059814988263875</v>
      </c>
      <c r="L311">
        <v>1</v>
      </c>
      <c r="M311">
        <v>0.21428571428571427</v>
      </c>
      <c r="N311">
        <v>0</v>
      </c>
      <c r="O311">
        <v>0</v>
      </c>
      <c r="P311">
        <v>24.470776774955219</v>
      </c>
      <c r="Q311">
        <v>0.22724320538853646</v>
      </c>
      <c r="R311">
        <v>0.47766893778200314</v>
      </c>
      <c r="S311">
        <v>0.68658393947716745</v>
      </c>
      <c r="T311">
        <v>0.33455722584314579</v>
      </c>
      <c r="U311">
        <v>0.55513125151079945</v>
      </c>
      <c r="V311">
        <v>25.333792758597685</v>
      </c>
      <c r="W311">
        <v>0.25002426015633289</v>
      </c>
      <c r="X311">
        <v>0.1803592716258241</v>
      </c>
      <c r="Y311">
        <v>1.3912911843085389</v>
      </c>
      <c r="Z311">
        <v>7.9567859196518098E-2</v>
      </c>
      <c r="AA311">
        <v>2.3083395323688278</v>
      </c>
    </row>
    <row r="312" spans="1:27" x14ac:dyDescent="0.2">
      <c r="A312" s="7" t="s">
        <v>2244</v>
      </c>
      <c r="B312" t="s">
        <v>1457</v>
      </c>
      <c r="C312">
        <v>2021</v>
      </c>
      <c r="D312">
        <v>12</v>
      </c>
      <c r="E312">
        <v>4</v>
      </c>
      <c r="F312">
        <v>12</v>
      </c>
      <c r="G312">
        <v>29.597857142857144</v>
      </c>
      <c r="H312">
        <v>1</v>
      </c>
      <c r="I312">
        <v>0.14285714285714285</v>
      </c>
      <c r="J312">
        <v>0.2</v>
      </c>
      <c r="K312">
        <v>-1.4286005462476048E-2</v>
      </c>
      <c r="L312">
        <v>1</v>
      </c>
      <c r="M312">
        <v>7.1428571428571425E-2</v>
      </c>
      <c r="N312">
        <v>0</v>
      </c>
      <c r="O312">
        <v>7.1428571428571425E-2</v>
      </c>
      <c r="P312">
        <v>24.08666380426477</v>
      </c>
      <c r="Q312">
        <v>0.30365755302819086</v>
      </c>
      <c r="R312">
        <v>0.90789807528073996</v>
      </c>
      <c r="S312">
        <v>0.53958548022963093</v>
      </c>
      <c r="T312">
        <v>0.34879658281069953</v>
      </c>
      <c r="U312">
        <v>0.54417140574145684</v>
      </c>
      <c r="V312">
        <v>25.279745720556765</v>
      </c>
      <c r="W312">
        <v>0.22955942431659473</v>
      </c>
      <c r="X312">
        <v>0.24382310265368939</v>
      </c>
      <c r="Y312">
        <v>1.3873885292581214</v>
      </c>
      <c r="Z312">
        <v>7.1594699040100601E-2</v>
      </c>
      <c r="AA312">
        <v>18.303170065474408</v>
      </c>
    </row>
    <row r="313" spans="1:27" x14ac:dyDescent="0.2">
      <c r="A313" s="7" t="s">
        <v>2244</v>
      </c>
      <c r="B313" t="s">
        <v>1460</v>
      </c>
      <c r="C313">
        <v>2020</v>
      </c>
      <c r="D313">
        <v>10</v>
      </c>
      <c r="E313">
        <v>4</v>
      </c>
      <c r="F313">
        <v>10</v>
      </c>
      <c r="G313">
        <v>42.187142857142859</v>
      </c>
      <c r="H313">
        <v>1</v>
      </c>
      <c r="I313">
        <v>0.14285714285714285</v>
      </c>
      <c r="J313">
        <v>1</v>
      </c>
      <c r="K313">
        <v>0.19556239521351787</v>
      </c>
      <c r="L313">
        <v>1</v>
      </c>
      <c r="M313">
        <v>0.14285714285714285</v>
      </c>
      <c r="N313">
        <v>0</v>
      </c>
      <c r="O313">
        <v>0</v>
      </c>
      <c r="P313">
        <v>23.709625676132891</v>
      </c>
      <c r="Q313">
        <v>0.32147957039435932</v>
      </c>
      <c r="R313">
        <v>-5.2553890512055612E-2</v>
      </c>
      <c r="S313">
        <v>0.27278253267244257</v>
      </c>
      <c r="T313">
        <v>0.18391279119389375</v>
      </c>
      <c r="U313">
        <v>0.68964334822054452</v>
      </c>
      <c r="V313">
        <v>25.475577811894219</v>
      </c>
      <c r="W313">
        <v>0.25407851454694824</v>
      </c>
      <c r="X313">
        <v>0.11550344821642798</v>
      </c>
      <c r="Y313">
        <v>1.9008750229402078</v>
      </c>
      <c r="Z313">
        <v>5.2928285217865502E-2</v>
      </c>
      <c r="AA313">
        <v>-11.6639643280238</v>
      </c>
    </row>
    <row r="314" spans="1:27" x14ac:dyDescent="0.2">
      <c r="A314" s="7" t="s">
        <v>2244</v>
      </c>
      <c r="B314" t="s">
        <v>1462</v>
      </c>
      <c r="C314">
        <v>2019</v>
      </c>
      <c r="D314">
        <v>0</v>
      </c>
      <c r="E314">
        <v>4</v>
      </c>
      <c r="F314">
        <v>0</v>
      </c>
      <c r="G314">
        <v>24.013571428571428</v>
      </c>
      <c r="H314">
        <v>0</v>
      </c>
      <c r="I314">
        <v>0.14285714285714285</v>
      </c>
      <c r="J314">
        <v>0</v>
      </c>
      <c r="K314">
        <v>7.1435616592770729E-2</v>
      </c>
      <c r="L314">
        <v>0</v>
      </c>
      <c r="M314">
        <v>0.14285714285714285</v>
      </c>
      <c r="N314">
        <v>0</v>
      </c>
      <c r="O314">
        <v>0</v>
      </c>
      <c r="P314">
        <v>23.364858521260572</v>
      </c>
      <c r="Q314">
        <v>0.34083946894811312</v>
      </c>
      <c r="R314">
        <v>1.739562432354</v>
      </c>
      <c r="S314">
        <v>5.8182870821093031E-2</v>
      </c>
      <c r="T314">
        <v>0.26076029323476352</v>
      </c>
      <c r="U314">
        <v>0.54838002215416548</v>
      </c>
      <c r="V314">
        <v>25.33494404273705</v>
      </c>
      <c r="W314">
        <v>0.26206139869908179</v>
      </c>
      <c r="X314">
        <v>0.19138693031172915</v>
      </c>
      <c r="Y314">
        <v>1.0019326911723421</v>
      </c>
      <c r="Z314">
        <v>1.3099310123289215E-2</v>
      </c>
      <c r="AA314">
        <v>-3.0434088454807107</v>
      </c>
    </row>
    <row r="315" spans="1:27" x14ac:dyDescent="0.2">
      <c r="A315" s="7" t="s">
        <v>2244</v>
      </c>
      <c r="B315" t="s">
        <v>1464</v>
      </c>
      <c r="C315">
        <v>2018</v>
      </c>
      <c r="D315">
        <v>0</v>
      </c>
      <c r="E315">
        <v>4</v>
      </c>
      <c r="F315">
        <v>0</v>
      </c>
      <c r="G315">
        <v>21.725714285714282</v>
      </c>
      <c r="H315">
        <v>0</v>
      </c>
      <c r="I315">
        <v>7.1428571428571425E-2</v>
      </c>
      <c r="J315">
        <v>0</v>
      </c>
      <c r="K315">
        <v>1.512461085784857E-2</v>
      </c>
      <c r="L315">
        <v>0</v>
      </c>
      <c r="M315">
        <v>7.1428571428571425E-2</v>
      </c>
      <c r="N315">
        <v>0</v>
      </c>
      <c r="O315">
        <v>0</v>
      </c>
      <c r="P315">
        <v>23.116857864049948</v>
      </c>
      <c r="Q315">
        <v>0.27983159687698977</v>
      </c>
      <c r="R315">
        <v>-0.36051048100122518</v>
      </c>
      <c r="S315">
        <v>-0.58883690990985293</v>
      </c>
      <c r="T315">
        <v>0.27769792692644041</v>
      </c>
      <c r="U315">
        <v>0.82459310188120516</v>
      </c>
      <c r="V315">
        <v>25.206839511237565</v>
      </c>
      <c r="W315">
        <v>0.32237745150832142</v>
      </c>
      <c r="X315">
        <v>0.12616308335917148</v>
      </c>
      <c r="Y315">
        <v>0.84979540526838859</v>
      </c>
      <c r="Z315">
        <v>-3.7950791960633438E-2</v>
      </c>
      <c r="AA315">
        <v>1.1188127460780593</v>
      </c>
    </row>
    <row r="316" spans="1:27" x14ac:dyDescent="0.2">
      <c r="A316" s="7" t="s">
        <v>2244</v>
      </c>
      <c r="B316" t="s">
        <v>1466</v>
      </c>
      <c r="C316">
        <v>2017</v>
      </c>
      <c r="D316">
        <v>0</v>
      </c>
      <c r="E316">
        <v>4</v>
      </c>
      <c r="F316">
        <v>0</v>
      </c>
      <c r="G316">
        <v>17.929285714285715</v>
      </c>
      <c r="H316">
        <v>0</v>
      </c>
      <c r="I316">
        <v>7.1428571428571425E-2</v>
      </c>
      <c r="J316">
        <v>0</v>
      </c>
      <c r="K316">
        <v>-6.9648828143057473E-3</v>
      </c>
      <c r="L316">
        <v>0</v>
      </c>
      <c r="M316">
        <v>0</v>
      </c>
      <c r="N316">
        <v>0</v>
      </c>
      <c r="O316">
        <v>7.1428571428571425E-2</v>
      </c>
      <c r="P316">
        <v>22.436477106167796</v>
      </c>
      <c r="Q316">
        <v>0.3640544138949961</v>
      </c>
      <c r="R316">
        <v>1.028693272707883</v>
      </c>
      <c r="S316">
        <v>-1.669059674749733</v>
      </c>
      <c r="T316">
        <v>6.5482425828602822E-2</v>
      </c>
      <c r="U316">
        <v>0.57853868465568237</v>
      </c>
      <c r="V316">
        <v>25.118916141991885</v>
      </c>
      <c r="W316">
        <v>0.33577172578918196</v>
      </c>
      <c r="X316">
        <v>3.8973163343348771E-2</v>
      </c>
      <c r="Y316">
        <v>0.99888062220188589</v>
      </c>
      <c r="Z316">
        <v>-5.0176084147361785E-2</v>
      </c>
      <c r="AA316">
        <v>0.6341517554746704</v>
      </c>
    </row>
    <row r="317" spans="1:27" x14ac:dyDescent="0.2">
      <c r="A317" s="7" t="s">
        <v>2249</v>
      </c>
      <c r="B317" t="s">
        <v>1504</v>
      </c>
      <c r="C317">
        <v>2024</v>
      </c>
      <c r="D317">
        <v>27.490000000000002</v>
      </c>
      <c r="E317">
        <v>4</v>
      </c>
      <c r="F317">
        <v>27.490000000000002</v>
      </c>
      <c r="G317">
        <v>60.547857142857147</v>
      </c>
      <c r="H317">
        <v>1</v>
      </c>
      <c r="I317">
        <v>0.5</v>
      </c>
      <c r="J317">
        <v>7.3828125000000022E-2</v>
      </c>
      <c r="K317">
        <v>0.20618230786348382</v>
      </c>
      <c r="L317">
        <v>1</v>
      </c>
      <c r="M317">
        <v>0.2857142857142857</v>
      </c>
      <c r="N317">
        <v>0</v>
      </c>
      <c r="O317">
        <v>0.2857142857142857</v>
      </c>
      <c r="P317">
        <v>25.366439071958709</v>
      </c>
      <c r="Q317">
        <v>0.2480764187649894</v>
      </c>
      <c r="R317">
        <v>0.46884272535881388</v>
      </c>
      <c r="S317">
        <v>0.19580867252871367</v>
      </c>
      <c r="T317">
        <v>5.8649938029422581E-2</v>
      </c>
      <c r="U317">
        <v>2.1818185995229911</v>
      </c>
      <c r="V317">
        <v>25.578969473981186</v>
      </c>
      <c r="W317">
        <v>0.26398498925250841</v>
      </c>
      <c r="X317">
        <v>0.25093812544875438</v>
      </c>
      <c r="Y317">
        <v>1.2407143925735578</v>
      </c>
      <c r="Z317">
        <v>7.3977474164396789E-2</v>
      </c>
      <c r="AA317">
        <v>4.1200106045450067</v>
      </c>
    </row>
    <row r="318" spans="1:27" x14ac:dyDescent="0.2">
      <c r="A318" s="7" t="s">
        <v>2249</v>
      </c>
      <c r="B318" t="s">
        <v>1506</v>
      </c>
      <c r="C318">
        <v>2023</v>
      </c>
      <c r="D318">
        <v>25.6</v>
      </c>
      <c r="E318">
        <v>4</v>
      </c>
      <c r="F318">
        <v>25.6</v>
      </c>
      <c r="G318">
        <v>88.911428571428573</v>
      </c>
      <c r="H318">
        <v>1</v>
      </c>
      <c r="I318">
        <v>0.42857142857142855</v>
      </c>
      <c r="J318">
        <v>1</v>
      </c>
      <c r="K318">
        <v>0.22669887955182075</v>
      </c>
      <c r="L318">
        <v>1</v>
      </c>
      <c r="M318">
        <v>0.35714285714285715</v>
      </c>
      <c r="N318">
        <v>0</v>
      </c>
      <c r="O318">
        <v>0</v>
      </c>
      <c r="P318">
        <v>25.165822900765445</v>
      </c>
      <c r="Q318">
        <v>0.14256735757958566</v>
      </c>
      <c r="R318">
        <v>1.0483167359025685</v>
      </c>
      <c r="S318">
        <v>0.20627008779575018</v>
      </c>
      <c r="T318">
        <v>7.5377729303730739E-2</v>
      </c>
      <c r="U318">
        <v>2.0792710178956555</v>
      </c>
      <c r="V318">
        <v>25.381336158756817</v>
      </c>
      <c r="W318">
        <v>0.25808883118529652</v>
      </c>
      <c r="X318">
        <v>0.17931293692298844</v>
      </c>
      <c r="Y318">
        <v>1.3202600095322894</v>
      </c>
      <c r="Z318">
        <v>0.11322284936340214</v>
      </c>
      <c r="AA318">
        <v>2.6237785371951881</v>
      </c>
    </row>
    <row r="319" spans="1:27" x14ac:dyDescent="0.2">
      <c r="A319" s="7" t="s">
        <v>2249</v>
      </c>
      <c r="B319" t="s">
        <v>1509</v>
      </c>
      <c r="C319">
        <v>2022</v>
      </c>
      <c r="D319">
        <v>0</v>
      </c>
      <c r="E319">
        <v>4</v>
      </c>
      <c r="F319">
        <v>0</v>
      </c>
      <c r="G319">
        <v>80.180000000000021</v>
      </c>
      <c r="H319">
        <v>0</v>
      </c>
      <c r="I319">
        <v>0.2857142857142857</v>
      </c>
      <c r="J319">
        <v>0</v>
      </c>
      <c r="K319">
        <v>0.56726481654930538</v>
      </c>
      <c r="L319">
        <v>0</v>
      </c>
      <c r="M319">
        <v>0.2857142857142857</v>
      </c>
      <c r="N319">
        <v>0</v>
      </c>
      <c r="O319">
        <v>0</v>
      </c>
      <c r="P319">
        <v>24.672028846496573</v>
      </c>
      <c r="Q319">
        <v>3.1388750624311242E-2</v>
      </c>
      <c r="R319">
        <v>0.26484532223667112</v>
      </c>
      <c r="S319">
        <v>0.16058934175787523</v>
      </c>
      <c r="T319">
        <v>4.0868409029913275E-2</v>
      </c>
      <c r="U319">
        <v>3.3425782883492672</v>
      </c>
      <c r="V319">
        <v>25.31702175263591</v>
      </c>
      <c r="W319">
        <v>0.2663454647200183</v>
      </c>
      <c r="X319">
        <v>0.19970687303903609</v>
      </c>
      <c r="Y319">
        <v>1.4351240674518131</v>
      </c>
      <c r="Z319">
        <v>0.1062668425431756</v>
      </c>
      <c r="AA319">
        <v>2.0760522792989557</v>
      </c>
    </row>
    <row r="320" spans="1:27" x14ac:dyDescent="0.2">
      <c r="A320" s="7" t="s">
        <v>2249</v>
      </c>
      <c r="B320" t="s">
        <v>1512</v>
      </c>
      <c r="C320">
        <v>2021</v>
      </c>
      <c r="D320">
        <v>0</v>
      </c>
      <c r="E320">
        <v>4</v>
      </c>
      <c r="F320">
        <v>0</v>
      </c>
      <c r="G320">
        <v>30.455000000000002</v>
      </c>
      <c r="H320">
        <v>0</v>
      </c>
      <c r="I320">
        <v>0.21428571428571427</v>
      </c>
      <c r="J320">
        <v>0</v>
      </c>
      <c r="K320">
        <v>-2.9117676176145958E-7</v>
      </c>
      <c r="L320">
        <v>0</v>
      </c>
      <c r="M320">
        <v>0.14285714285714285</v>
      </c>
      <c r="N320">
        <v>0</v>
      </c>
      <c r="O320">
        <v>7.1428571428571425E-2</v>
      </c>
      <c r="P320">
        <v>24.236250895743577</v>
      </c>
      <c r="Q320">
        <v>2.3697203747842436E-3</v>
      </c>
      <c r="R320">
        <v>0.36007332282610771</v>
      </c>
      <c r="S320">
        <v>0.97043895365051036</v>
      </c>
      <c r="T320">
        <v>1.8572392500597654E-2</v>
      </c>
      <c r="U320">
        <v>186.11730715600424</v>
      </c>
      <c r="V320">
        <v>25.267280129600199</v>
      </c>
      <c r="W320">
        <v>0.25466674370437864</v>
      </c>
      <c r="X320">
        <v>0.31230119671051843</v>
      </c>
      <c r="Y320">
        <v>1.3514840731397146</v>
      </c>
      <c r="Z320">
        <v>0.11287272282886333</v>
      </c>
      <c r="AA320">
        <v>2.8387420862858441</v>
      </c>
    </row>
    <row r="321" spans="1:27" x14ac:dyDescent="0.2">
      <c r="A321" s="7" t="s">
        <v>2249</v>
      </c>
      <c r="B321" t="s">
        <v>1513</v>
      </c>
      <c r="C321">
        <v>2020</v>
      </c>
      <c r="D321">
        <v>0</v>
      </c>
      <c r="E321">
        <v>4</v>
      </c>
      <c r="F321">
        <v>0</v>
      </c>
      <c r="G321">
        <v>42.901428571428575</v>
      </c>
      <c r="H321">
        <v>0</v>
      </c>
      <c r="I321">
        <v>0.21428571428571427</v>
      </c>
      <c r="J321">
        <v>0</v>
      </c>
      <c r="K321">
        <v>0.26699096664208927</v>
      </c>
      <c r="L321">
        <v>0</v>
      </c>
      <c r="M321">
        <v>0.21428571428571427</v>
      </c>
      <c r="N321">
        <v>0</v>
      </c>
      <c r="O321">
        <v>0</v>
      </c>
      <c r="P321">
        <v>23.993249442995651</v>
      </c>
      <c r="Q321">
        <v>2.5906745597681388E-3</v>
      </c>
      <c r="R321">
        <v>6.1920418715565528E-2</v>
      </c>
      <c r="S321">
        <v>1.0140742589769873</v>
      </c>
      <c r="T321">
        <v>1.1207765991428283E-2</v>
      </c>
      <c r="U321">
        <v>-70.869157190884124</v>
      </c>
      <c r="V321">
        <v>25.440124841036372</v>
      </c>
      <c r="W321">
        <v>0.29393962652627215</v>
      </c>
      <c r="X321">
        <v>0.10119415956297534</v>
      </c>
      <c r="Y321">
        <v>1.8082135571521396</v>
      </c>
      <c r="Z321">
        <v>7.451641336817369E-2</v>
      </c>
      <c r="AA321">
        <v>-2.7191142606357164</v>
      </c>
    </row>
    <row r="322" spans="1:27" x14ac:dyDescent="0.2">
      <c r="A322" s="7" t="s">
        <v>2252</v>
      </c>
      <c r="B322" t="s">
        <v>1540</v>
      </c>
      <c r="C322">
        <v>2024</v>
      </c>
      <c r="D322">
        <v>39.619999999999997</v>
      </c>
      <c r="E322">
        <v>4</v>
      </c>
      <c r="F322">
        <v>39.619999999999997</v>
      </c>
      <c r="G322">
        <v>59.681428571428569</v>
      </c>
      <c r="H322">
        <v>1</v>
      </c>
      <c r="I322">
        <v>0.5</v>
      </c>
      <c r="J322">
        <v>3.7279236276849632</v>
      </c>
      <c r="K322">
        <v>-5.482451375687071E-2</v>
      </c>
      <c r="L322">
        <v>1</v>
      </c>
      <c r="M322">
        <v>0.2857142857142857</v>
      </c>
      <c r="N322">
        <v>0</v>
      </c>
      <c r="O322">
        <v>0.2857142857142857</v>
      </c>
      <c r="P322">
        <v>23.839639368655511</v>
      </c>
      <c r="Q322">
        <v>0.17827784667193927</v>
      </c>
      <c r="R322">
        <v>0.24328508165740903</v>
      </c>
      <c r="S322">
        <v>0.49615714968319014</v>
      </c>
      <c r="T322">
        <v>0.14303385406590186</v>
      </c>
      <c r="U322">
        <v>1.5261943007814895</v>
      </c>
      <c r="V322">
        <v>25.688026595645699</v>
      </c>
      <c r="W322">
        <v>0.26897060154486913</v>
      </c>
      <c r="X322">
        <v>0.26704938571314046</v>
      </c>
      <c r="Y322">
        <v>1.2192609299196664</v>
      </c>
      <c r="Z322">
        <v>6.7950051590362562E-2</v>
      </c>
      <c r="AA322">
        <v>4.166840911597971</v>
      </c>
    </row>
    <row r="323" spans="1:27" x14ac:dyDescent="0.2">
      <c r="A323" s="7" t="s">
        <v>2252</v>
      </c>
      <c r="B323" t="s">
        <v>1542</v>
      </c>
      <c r="C323">
        <v>2023</v>
      </c>
      <c r="D323">
        <v>8.3800000000000008</v>
      </c>
      <c r="E323">
        <v>4</v>
      </c>
      <c r="F323">
        <v>8.3800000000000008</v>
      </c>
      <c r="G323">
        <v>90.141428571428577</v>
      </c>
      <c r="H323">
        <v>1</v>
      </c>
      <c r="I323">
        <v>0.42857142857142855</v>
      </c>
      <c r="J323">
        <v>1</v>
      </c>
      <c r="K323">
        <v>0.22669887955182075</v>
      </c>
      <c r="L323">
        <v>1</v>
      </c>
      <c r="M323">
        <v>0.35714285714285715</v>
      </c>
      <c r="N323">
        <v>0</v>
      </c>
      <c r="O323">
        <v>0</v>
      </c>
      <c r="P323">
        <v>23.722901283201509</v>
      </c>
      <c r="Q323">
        <v>0.14758367974525227</v>
      </c>
      <c r="R323">
        <v>0.34823918580139357</v>
      </c>
      <c r="S323">
        <v>0.42466330602351871</v>
      </c>
      <c r="T323">
        <v>0.1363563721875625</v>
      </c>
      <c r="U323">
        <v>1.5713525363498355</v>
      </c>
      <c r="V323">
        <v>25.48440198858281</v>
      </c>
      <c r="W323">
        <v>0.25773052245917744</v>
      </c>
      <c r="X323">
        <v>0.23765273276475299</v>
      </c>
      <c r="Y323">
        <v>1.3046604939445916</v>
      </c>
      <c r="Z323">
        <v>0.10814129578974951</v>
      </c>
      <c r="AA323">
        <v>2.6600584287341746</v>
      </c>
    </row>
    <row r="324" spans="1:27" x14ac:dyDescent="0.2">
      <c r="A324" s="7" t="s">
        <v>2252</v>
      </c>
      <c r="B324" t="s">
        <v>1544</v>
      </c>
      <c r="C324">
        <v>2022</v>
      </c>
      <c r="D324">
        <v>0</v>
      </c>
      <c r="E324">
        <v>4</v>
      </c>
      <c r="F324">
        <v>0</v>
      </c>
      <c r="G324">
        <v>80.180000000000021</v>
      </c>
      <c r="H324">
        <v>0</v>
      </c>
      <c r="I324">
        <v>0.2857142857142857</v>
      </c>
      <c r="J324">
        <v>0</v>
      </c>
      <c r="K324">
        <v>0.56726481654930538</v>
      </c>
      <c r="L324">
        <v>0</v>
      </c>
      <c r="M324">
        <v>0.2857142857142857</v>
      </c>
      <c r="N324">
        <v>0</v>
      </c>
      <c r="O324">
        <v>0</v>
      </c>
      <c r="P324">
        <v>23.391784529936924</v>
      </c>
      <c r="Q324">
        <v>0.15186077422938921</v>
      </c>
      <c r="R324">
        <v>0.30569193551012641</v>
      </c>
      <c r="S324">
        <v>0.38152946177563013</v>
      </c>
      <c r="T324">
        <v>0.15228118047823699</v>
      </c>
      <c r="U324">
        <v>3.8760872924966883</v>
      </c>
      <c r="V324">
        <v>25.423708779015879</v>
      </c>
      <c r="W324">
        <v>0.25630612941959513</v>
      </c>
      <c r="X324">
        <v>0.19599354455963106</v>
      </c>
      <c r="Y324">
        <v>1.416712390783667</v>
      </c>
      <c r="Z324">
        <v>9.6138408775146178E-2</v>
      </c>
      <c r="AA324">
        <v>2.0315931956200033</v>
      </c>
    </row>
    <row r="325" spans="1:27" x14ac:dyDescent="0.2">
      <c r="A325" s="7" t="s">
        <v>2255</v>
      </c>
      <c r="B325" t="s">
        <v>1564</v>
      </c>
      <c r="C325">
        <v>2024</v>
      </c>
      <c r="D325">
        <v>0</v>
      </c>
      <c r="E325">
        <v>4</v>
      </c>
      <c r="F325">
        <v>0</v>
      </c>
      <c r="G325">
        <v>62.511428571428574</v>
      </c>
      <c r="H325">
        <v>0</v>
      </c>
      <c r="I325">
        <v>0.5714285714285714</v>
      </c>
      <c r="J325">
        <v>-1</v>
      </c>
      <c r="K325">
        <v>0.28288431679205528</v>
      </c>
      <c r="L325">
        <v>0</v>
      </c>
      <c r="M325">
        <v>0.35714285714285715</v>
      </c>
      <c r="N325">
        <v>1</v>
      </c>
      <c r="O325">
        <v>0.21428571428571427</v>
      </c>
      <c r="P325">
        <v>28.078212651034583</v>
      </c>
      <c r="Q325">
        <v>0.28863889536010012</v>
      </c>
      <c r="R325">
        <v>0.19599439196488544</v>
      </c>
      <c r="S325">
        <v>0.99278913512166522</v>
      </c>
      <c r="T325">
        <v>2.9620497495410559E-2</v>
      </c>
      <c r="U325">
        <v>7.62546251214291</v>
      </c>
      <c r="V325">
        <v>25.385271361190053</v>
      </c>
      <c r="W325">
        <v>0.26108766949571477</v>
      </c>
      <c r="X325">
        <v>0.27042729211974931</v>
      </c>
      <c r="Y325">
        <v>1.1837872166740611</v>
      </c>
      <c r="Z325">
        <v>7.6051005631111918E-2</v>
      </c>
      <c r="AA325">
        <v>3.7311788965007269</v>
      </c>
    </row>
    <row r="326" spans="1:27" x14ac:dyDescent="0.2">
      <c r="A326" s="7" t="s">
        <v>2255</v>
      </c>
      <c r="B326" t="s">
        <v>1566</v>
      </c>
      <c r="C326">
        <v>2023</v>
      </c>
      <c r="D326">
        <v>412.13</v>
      </c>
      <c r="E326">
        <v>4</v>
      </c>
      <c r="F326">
        <v>412.13</v>
      </c>
      <c r="G326">
        <v>61.302142857142861</v>
      </c>
      <c r="H326">
        <v>1</v>
      </c>
      <c r="I326">
        <v>0.42857142857142855</v>
      </c>
      <c r="J326">
        <v>0</v>
      </c>
      <c r="K326">
        <v>0.29812745098039217</v>
      </c>
      <c r="L326">
        <v>0</v>
      </c>
      <c r="M326">
        <v>0.42857142857142855</v>
      </c>
      <c r="N326">
        <v>0</v>
      </c>
      <c r="O326">
        <v>0</v>
      </c>
      <c r="P326">
        <v>27.988376115477038</v>
      </c>
      <c r="Q326">
        <v>0.25676031951819195</v>
      </c>
      <c r="R326">
        <v>8.1927144580525635E-2</v>
      </c>
      <c r="S326">
        <v>1.0296257969434357</v>
      </c>
      <c r="T326">
        <v>4.1533700142972266E-2</v>
      </c>
      <c r="U326">
        <v>8.0210597285754766</v>
      </c>
      <c r="V326">
        <v>25.179725214848844</v>
      </c>
      <c r="W326">
        <v>0.24993219104682463</v>
      </c>
      <c r="X326">
        <v>0.25984540286649199</v>
      </c>
      <c r="Y326">
        <v>1.2614488874503118</v>
      </c>
      <c r="Z326">
        <v>0.11604318512679868</v>
      </c>
      <c r="AA326">
        <v>2.199365057860915</v>
      </c>
    </row>
    <row r="327" spans="1:27" x14ac:dyDescent="0.2">
      <c r="A327" s="7" t="s">
        <v>2255</v>
      </c>
      <c r="B327" t="s">
        <v>1568</v>
      </c>
      <c r="C327">
        <v>2022</v>
      </c>
      <c r="D327">
        <v>412.13</v>
      </c>
      <c r="E327">
        <v>4</v>
      </c>
      <c r="F327">
        <v>412.13</v>
      </c>
      <c r="G327">
        <v>50.742142857142859</v>
      </c>
      <c r="H327">
        <v>1</v>
      </c>
      <c r="I327">
        <v>0.21428571428571427</v>
      </c>
      <c r="J327">
        <v>0.40004076502360969</v>
      </c>
      <c r="K327">
        <v>0.53869047619047616</v>
      </c>
      <c r="L327">
        <v>1</v>
      </c>
      <c r="M327">
        <v>0.21428571428571427</v>
      </c>
      <c r="N327">
        <v>0</v>
      </c>
      <c r="O327">
        <v>0</v>
      </c>
      <c r="P327">
        <v>27.964631002789595</v>
      </c>
      <c r="Q327">
        <v>0.25913446937662765</v>
      </c>
      <c r="R327">
        <v>0.26718554886902846</v>
      </c>
      <c r="S327">
        <v>0.63988246557430473</v>
      </c>
      <c r="T327">
        <v>2.1441671884325691E-2</v>
      </c>
      <c r="U327">
        <v>5.7315215091833487</v>
      </c>
      <c r="V327">
        <v>25.042638239611488</v>
      </c>
      <c r="W327">
        <v>0.24736665482399189</v>
      </c>
      <c r="X327">
        <v>0.1994941251633672</v>
      </c>
      <c r="Y327">
        <v>1.395182973800444</v>
      </c>
      <c r="Z327">
        <v>0.10803290955641084</v>
      </c>
      <c r="AA327">
        <v>1.8769736775627817</v>
      </c>
    </row>
    <row r="328" spans="1:27" x14ac:dyDescent="0.2">
      <c r="A328" s="7" t="s">
        <v>2255</v>
      </c>
      <c r="B328" t="s">
        <v>1570</v>
      </c>
      <c r="C328">
        <v>2021</v>
      </c>
      <c r="D328">
        <v>294.37</v>
      </c>
      <c r="E328">
        <v>4</v>
      </c>
      <c r="F328">
        <v>294.37</v>
      </c>
      <c r="G328">
        <v>9.4285714285714288</v>
      </c>
      <c r="H328">
        <v>1</v>
      </c>
      <c r="I328">
        <v>0.14285714285714285</v>
      </c>
      <c r="J328">
        <v>-0.40000407647466468</v>
      </c>
      <c r="K328">
        <v>2.8571428571428574E-2</v>
      </c>
      <c r="L328">
        <v>0</v>
      </c>
      <c r="M328">
        <v>0.14285714285714285</v>
      </c>
      <c r="N328">
        <v>1</v>
      </c>
      <c r="O328">
        <v>0</v>
      </c>
      <c r="P328">
        <v>27.821181560701671</v>
      </c>
      <c r="Q328">
        <v>0.31196374955320261</v>
      </c>
      <c r="R328">
        <v>0.19455914890601345</v>
      </c>
      <c r="S328">
        <v>0.58556898725117346</v>
      </c>
      <c r="T328">
        <v>4.4649212876442426E-2</v>
      </c>
      <c r="U328">
        <v>5.7572278205225027</v>
      </c>
      <c r="V328">
        <v>24.968535907520359</v>
      </c>
      <c r="W328">
        <v>0.22886724127284377</v>
      </c>
      <c r="X328">
        <v>0.33299046845053021</v>
      </c>
      <c r="Y328">
        <v>1.3835565703396595</v>
      </c>
      <c r="Z328">
        <v>0.10961312028188273</v>
      </c>
      <c r="AA328">
        <v>17.868748697575985</v>
      </c>
    </row>
    <row r="329" spans="1:27" x14ac:dyDescent="0.2">
      <c r="A329" s="7" t="s">
        <v>2255</v>
      </c>
      <c r="B329" t="s">
        <v>1572</v>
      </c>
      <c r="C329">
        <v>2020</v>
      </c>
      <c r="D329">
        <v>490.62</v>
      </c>
      <c r="E329">
        <v>4</v>
      </c>
      <c r="F329">
        <v>490.62</v>
      </c>
      <c r="G329">
        <v>7.8571428571428568</v>
      </c>
      <c r="H329">
        <v>1</v>
      </c>
      <c r="I329">
        <v>0.14285714285714285</v>
      </c>
      <c r="J329">
        <v>0.61287353298925018</v>
      </c>
      <c r="K329">
        <v>0.22321428571428573</v>
      </c>
      <c r="L329">
        <v>1</v>
      </c>
      <c r="M329">
        <v>0.14285714285714285</v>
      </c>
      <c r="N329">
        <v>0</v>
      </c>
      <c r="O329">
        <v>0</v>
      </c>
      <c r="P329">
        <v>27.574865711142095</v>
      </c>
      <c r="Q329">
        <v>0.35595104535905175</v>
      </c>
      <c r="R329">
        <v>0.13521679523679886</v>
      </c>
      <c r="S329">
        <v>0.59852316152289242</v>
      </c>
      <c r="T329">
        <v>3.4838301831092933E-2</v>
      </c>
      <c r="U329">
        <v>4.1692152008068026</v>
      </c>
      <c r="V329">
        <v>24.992422807518068</v>
      </c>
      <c r="W329">
        <v>0.24976958017636172</v>
      </c>
      <c r="X329">
        <v>9.2032112497821172E-2</v>
      </c>
      <c r="Y329">
        <v>1.8601574443339013</v>
      </c>
      <c r="Z329">
        <v>7.1562596388215619E-2</v>
      </c>
      <c r="AA329">
        <v>-12.098910809597083</v>
      </c>
    </row>
    <row r="330" spans="1:27" x14ac:dyDescent="0.2">
      <c r="A330" s="7" t="s">
        <v>2255</v>
      </c>
      <c r="B330" t="s">
        <v>1574</v>
      </c>
      <c r="C330">
        <v>2019</v>
      </c>
      <c r="D330">
        <v>304.19</v>
      </c>
      <c r="E330">
        <v>4</v>
      </c>
      <c r="F330">
        <v>304.19</v>
      </c>
      <c r="G330">
        <v>2.2857142857142856</v>
      </c>
      <c r="H330">
        <v>1</v>
      </c>
      <c r="I330">
        <v>7.1428571428571425E-2</v>
      </c>
      <c r="J330">
        <v>9.8632298790207664E-5</v>
      </c>
      <c r="K330">
        <v>7.1428571428571425E-2</v>
      </c>
      <c r="L330">
        <v>1</v>
      </c>
      <c r="M330">
        <v>7.1428571428571425E-2</v>
      </c>
      <c r="N330">
        <v>0</v>
      </c>
      <c r="O330">
        <v>0</v>
      </c>
      <c r="P330">
        <v>27.578347208933856</v>
      </c>
      <c r="Q330">
        <v>0.37207753733726801</v>
      </c>
      <c r="R330">
        <v>0.10645779424565438</v>
      </c>
      <c r="S330">
        <v>0.6151885189343671</v>
      </c>
      <c r="T330">
        <v>1.225964610955891E-2</v>
      </c>
      <c r="U330">
        <v>4.0319586702395407</v>
      </c>
      <c r="V330">
        <v>24.808257956777886</v>
      </c>
      <c r="W330">
        <v>0.25815664015043743</v>
      </c>
      <c r="X330">
        <v>0.46357103666312011</v>
      </c>
      <c r="Y330">
        <v>0.93230698515818256</v>
      </c>
      <c r="Z330">
        <v>5.4516084644156644E-2</v>
      </c>
      <c r="AA330">
        <v>-3.4788561764913828</v>
      </c>
    </row>
    <row r="331" spans="1:27" x14ac:dyDescent="0.2">
      <c r="A331" s="7" t="s">
        <v>2255</v>
      </c>
      <c r="B331" t="s">
        <v>1576</v>
      </c>
      <c r="C331">
        <v>2018</v>
      </c>
      <c r="D331">
        <v>304.15999999999997</v>
      </c>
      <c r="E331">
        <v>4</v>
      </c>
      <c r="F331">
        <v>304.15999999999997</v>
      </c>
      <c r="G331">
        <v>0</v>
      </c>
      <c r="H331">
        <v>1</v>
      </c>
      <c r="I331">
        <v>0</v>
      </c>
      <c r="J331">
        <v>0.21174455200987999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27.13932418162933</v>
      </c>
      <c r="Q331">
        <v>0.57282293659773131</v>
      </c>
      <c r="R331">
        <v>8.2698751015428895E-2</v>
      </c>
      <c r="S331">
        <v>0.70309618240511385</v>
      </c>
      <c r="T331">
        <v>5.9181731491368066E-2</v>
      </c>
      <c r="U331">
        <v>1.414442383630506</v>
      </c>
      <c r="V331">
        <v>24.536428458307672</v>
      </c>
      <c r="W331">
        <v>0.27354556155486448</v>
      </c>
      <c r="X331">
        <v>5.2294878023062465E-2</v>
      </c>
      <c r="Y331">
        <v>0.63447322321589417</v>
      </c>
      <c r="Z331">
        <v>-1.5314260547880526E-3</v>
      </c>
      <c r="AA331">
        <v>1.0205045324531758</v>
      </c>
    </row>
    <row r="332" spans="1:27" x14ac:dyDescent="0.2">
      <c r="A332" s="7" t="s">
        <v>2255</v>
      </c>
      <c r="B332" t="s">
        <v>1578</v>
      </c>
      <c r="C332">
        <v>2017</v>
      </c>
      <c r="D332">
        <v>251.01</v>
      </c>
      <c r="E332">
        <v>4</v>
      </c>
      <c r="F332">
        <v>251.01</v>
      </c>
      <c r="G332">
        <v>0</v>
      </c>
      <c r="H332">
        <v>1</v>
      </c>
      <c r="I332">
        <v>0</v>
      </c>
      <c r="J332">
        <v>-9.7508359400280464E-2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27.001481821349639</v>
      </c>
      <c r="Q332">
        <v>0.62665978372127973</v>
      </c>
      <c r="R332">
        <v>6.2695951212591305E-2</v>
      </c>
      <c r="S332">
        <v>0.98742805735419892</v>
      </c>
      <c r="T332">
        <v>6.8578648828670888E-2</v>
      </c>
      <c r="U332">
        <v>1.0297346646378711</v>
      </c>
      <c r="V332">
        <v>24.358082022794907</v>
      </c>
      <c r="W332">
        <v>0.29200416415146796</v>
      </c>
      <c r="X332">
        <v>0.2804724937171717</v>
      </c>
      <c r="Y332">
        <v>0.55613266685123053</v>
      </c>
      <c r="Z332">
        <v>-5.0950139897378802E-2</v>
      </c>
      <c r="AA332">
        <v>0.5589524254776389</v>
      </c>
    </row>
    <row r="333" spans="1:27" x14ac:dyDescent="0.2">
      <c r="A333" s="7" t="s">
        <v>2255</v>
      </c>
      <c r="B333" t="s">
        <v>1580</v>
      </c>
      <c r="C333">
        <v>2016</v>
      </c>
      <c r="D333">
        <v>278.13</v>
      </c>
      <c r="E333">
        <v>4</v>
      </c>
      <c r="F333">
        <v>278.13</v>
      </c>
      <c r="G333">
        <v>0</v>
      </c>
      <c r="H333">
        <v>1</v>
      </c>
      <c r="I333">
        <v>0</v>
      </c>
      <c r="J333">
        <v>-0.10416465358971891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26.943647725728951</v>
      </c>
      <c r="Q333">
        <v>0.63736095819989114</v>
      </c>
      <c r="R333">
        <v>0.12558238380863695</v>
      </c>
      <c r="S333">
        <v>1.2791247674442345</v>
      </c>
      <c r="T333">
        <v>0.12918664581911113</v>
      </c>
      <c r="U333">
        <v>1.3200861361188259</v>
      </c>
      <c r="V333">
        <v>23.958225051512557</v>
      </c>
      <c r="W333">
        <v>0.18914234669737878</v>
      </c>
      <c r="X333">
        <v>0.17963688431821501</v>
      </c>
      <c r="Y333">
        <v>7.4525540230906824</v>
      </c>
      <c r="Z333">
        <v>-6.9822370259399261E-2</v>
      </c>
      <c r="AA333">
        <v>-20.385656160447066</v>
      </c>
    </row>
    <row r="334" spans="1:27" x14ac:dyDescent="0.2">
      <c r="A334" s="7" t="s">
        <v>2255</v>
      </c>
      <c r="B334" t="s">
        <v>1582</v>
      </c>
      <c r="C334">
        <v>2015</v>
      </c>
      <c r="D334">
        <v>310.47000000000003</v>
      </c>
      <c r="E334">
        <v>4</v>
      </c>
      <c r="F334">
        <v>310.47000000000003</v>
      </c>
      <c r="G334">
        <v>0</v>
      </c>
      <c r="H334">
        <v>1</v>
      </c>
      <c r="I334">
        <v>0</v>
      </c>
      <c r="J334">
        <v>-0.14456935030583559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26.551273465221506</v>
      </c>
      <c r="Q334">
        <v>0.6580914100596108</v>
      </c>
      <c r="R334">
        <v>0.24003087098046971</v>
      </c>
      <c r="S334">
        <v>1.6302970949859232</v>
      </c>
      <c r="T334">
        <v>0.20562183763288047</v>
      </c>
      <c r="U334">
        <v>1.447568474575224</v>
      </c>
      <c r="V334">
        <v>24.196052031924761</v>
      </c>
      <c r="W334">
        <v>0.17673362312009333</v>
      </c>
      <c r="X334">
        <v>1.1746461241380304</v>
      </c>
      <c r="Y334">
        <v>-1.3532572007263799</v>
      </c>
      <c r="Z334">
        <v>1.2278619260863441E-2</v>
      </c>
      <c r="AA334">
        <v>6.8760911185119022</v>
      </c>
    </row>
    <row r="335" spans="1:27" x14ac:dyDescent="0.2">
      <c r="A335" s="7" t="s">
        <v>2255</v>
      </c>
      <c r="B335" t="s">
        <v>1584</v>
      </c>
      <c r="C335">
        <v>2014</v>
      </c>
      <c r="D335">
        <v>362.94</v>
      </c>
      <c r="E335">
        <v>4</v>
      </c>
      <c r="F335">
        <v>362.94</v>
      </c>
      <c r="G335">
        <v>0</v>
      </c>
      <c r="H335">
        <v>1</v>
      </c>
      <c r="I335">
        <v>0</v>
      </c>
      <c r="J335">
        <v>1.6842689150210781</v>
      </c>
      <c r="K335">
        <v>-7.1428571428571425E-2</v>
      </c>
      <c r="L335">
        <v>1</v>
      </c>
      <c r="M335">
        <v>0</v>
      </c>
      <c r="N335">
        <v>0</v>
      </c>
      <c r="O335">
        <v>7.1428571428571425E-2</v>
      </c>
      <c r="P335">
        <v>26.193590482722112</v>
      </c>
      <c r="Q335">
        <v>0.67573946170588506</v>
      </c>
      <c r="R335">
        <v>0.32810095767348102</v>
      </c>
      <c r="S335">
        <v>1.3026419829381972</v>
      </c>
      <c r="T335">
        <v>0.19295976266618964</v>
      </c>
      <c r="U335">
        <v>1.3999838647963931</v>
      </c>
      <c r="V335">
        <v>24.088238329732278</v>
      </c>
      <c r="W335">
        <v>0.16679636853567525</v>
      </c>
      <c r="X335">
        <v>-0.33642932949592419</v>
      </c>
      <c r="Y335">
        <v>1.1014683467816322</v>
      </c>
      <c r="Z335">
        <v>1.0595967800740846E-2</v>
      </c>
      <c r="AA335">
        <v>6.3538232324832356E-2</v>
      </c>
    </row>
    <row r="336" spans="1:27" x14ac:dyDescent="0.2">
      <c r="A336" s="7" t="s">
        <v>2258</v>
      </c>
      <c r="B336" t="s">
        <v>1595</v>
      </c>
      <c r="C336">
        <v>2024</v>
      </c>
      <c r="D336">
        <v>0.44</v>
      </c>
      <c r="E336">
        <v>4</v>
      </c>
      <c r="F336">
        <v>0.44</v>
      </c>
      <c r="G336">
        <v>62.480000000000004</v>
      </c>
      <c r="H336">
        <v>1</v>
      </c>
      <c r="I336">
        <v>0.5</v>
      </c>
      <c r="J336">
        <v>1</v>
      </c>
      <c r="K336">
        <v>0.14002717393491237</v>
      </c>
      <c r="L336">
        <v>1</v>
      </c>
      <c r="M336">
        <v>0.2857142857142857</v>
      </c>
      <c r="N336">
        <v>0</v>
      </c>
      <c r="O336">
        <v>0.2857142857142857</v>
      </c>
      <c r="P336">
        <v>24.626109218250644</v>
      </c>
      <c r="Q336">
        <v>0.19799538660454544</v>
      </c>
      <c r="R336">
        <v>0.2959576209201078</v>
      </c>
      <c r="S336">
        <v>0.88888896343906088</v>
      </c>
      <c r="T336">
        <v>0.11022114463855416</v>
      </c>
      <c r="U336">
        <v>0.95535484456618047</v>
      </c>
      <c r="V336">
        <v>25.63185017781748</v>
      </c>
      <c r="W336">
        <v>0.2675622058353973</v>
      </c>
      <c r="X336">
        <v>0.26328706148009057</v>
      </c>
      <c r="Y336">
        <v>1.1912086575085328</v>
      </c>
      <c r="Z336">
        <v>7.0293816549458807E-2</v>
      </c>
      <c r="AA336">
        <v>4.2076151584704933</v>
      </c>
    </row>
    <row r="337" spans="1:27" x14ac:dyDescent="0.2">
      <c r="A337" s="7" t="s">
        <v>2258</v>
      </c>
      <c r="B337" t="s">
        <v>1599</v>
      </c>
      <c r="C337">
        <v>2023</v>
      </c>
      <c r="D337">
        <v>0</v>
      </c>
      <c r="E337">
        <v>4</v>
      </c>
      <c r="F337">
        <v>0</v>
      </c>
      <c r="G337">
        <v>90.740000000000009</v>
      </c>
      <c r="H337">
        <v>0</v>
      </c>
      <c r="I337">
        <v>0.5</v>
      </c>
      <c r="J337">
        <v>0</v>
      </c>
      <c r="K337">
        <v>0.29812745098039217</v>
      </c>
      <c r="L337">
        <v>0</v>
      </c>
      <c r="M337">
        <v>0.42857142857142855</v>
      </c>
      <c r="N337">
        <v>0</v>
      </c>
      <c r="O337">
        <v>0</v>
      </c>
      <c r="P337">
        <v>24.25311904913962</v>
      </c>
      <c r="Q337">
        <v>0.14431278515853899</v>
      </c>
      <c r="R337">
        <v>4.0320905638754789E-2</v>
      </c>
      <c r="S337">
        <v>0.98516164893805014</v>
      </c>
      <c r="T337">
        <v>0.11736327472093018</v>
      </c>
      <c r="U337">
        <v>0.99318539964674213</v>
      </c>
      <c r="V337">
        <v>25.4465292910158</v>
      </c>
      <c r="W337">
        <v>0.25796415778679982</v>
      </c>
      <c r="X337">
        <v>0.26331258944497288</v>
      </c>
      <c r="Y337">
        <v>1.2646248980221251</v>
      </c>
      <c r="Z337">
        <v>0.10972405391196886</v>
      </c>
      <c r="AA337">
        <v>2.7013560813558244</v>
      </c>
    </row>
    <row r="338" spans="1:27" x14ac:dyDescent="0.2">
      <c r="A338" s="7" t="s">
        <v>2258</v>
      </c>
      <c r="B338" t="s">
        <v>1602</v>
      </c>
      <c r="C338">
        <v>2022</v>
      </c>
      <c r="D338">
        <v>0</v>
      </c>
      <c r="E338">
        <v>4</v>
      </c>
      <c r="F338">
        <v>0</v>
      </c>
      <c r="G338">
        <v>80.180000000000021</v>
      </c>
      <c r="H338">
        <v>0</v>
      </c>
      <c r="I338">
        <v>0.2857142857142857</v>
      </c>
      <c r="J338">
        <v>0</v>
      </c>
      <c r="K338">
        <v>0.56726481654930538</v>
      </c>
      <c r="L338">
        <v>0</v>
      </c>
      <c r="M338">
        <v>0.2857142857142857</v>
      </c>
      <c r="N338">
        <v>0</v>
      </c>
      <c r="O338">
        <v>0</v>
      </c>
      <c r="P338">
        <v>24.252668054450368</v>
      </c>
      <c r="Q338">
        <v>0.14983091948571375</v>
      </c>
      <c r="R338">
        <v>7.4324217124486669E-2</v>
      </c>
      <c r="S338">
        <v>0.98266549893095945</v>
      </c>
      <c r="T338">
        <v>0.11452075722743955</v>
      </c>
      <c r="U338">
        <v>1.3274348712425337</v>
      </c>
      <c r="V338">
        <v>25.351968485306426</v>
      </c>
      <c r="W338">
        <v>0.2564752839815681</v>
      </c>
      <c r="X338">
        <v>0.21702697350378009</v>
      </c>
      <c r="Y338">
        <v>1.3666177210207229</v>
      </c>
      <c r="Z338">
        <v>9.9571174525218659E-2</v>
      </c>
      <c r="AA338">
        <v>2.2439808973911828</v>
      </c>
    </row>
    <row r="339" spans="1:27" x14ac:dyDescent="0.2">
      <c r="A339" s="7" t="s">
        <v>2261</v>
      </c>
      <c r="B339" t="s">
        <v>1621</v>
      </c>
      <c r="C339">
        <v>2024</v>
      </c>
      <c r="D339">
        <v>70</v>
      </c>
      <c r="E339">
        <v>4</v>
      </c>
      <c r="F339">
        <v>70</v>
      </c>
      <c r="G339">
        <v>57.511428571428574</v>
      </c>
      <c r="H339">
        <v>1</v>
      </c>
      <c r="I339">
        <v>0.5</v>
      </c>
      <c r="J339">
        <v>-0.21348314606741572</v>
      </c>
      <c r="K339">
        <v>0.22670454151115635</v>
      </c>
      <c r="L339">
        <v>0</v>
      </c>
      <c r="M339">
        <v>0.35714285714285715</v>
      </c>
      <c r="N339">
        <v>1</v>
      </c>
      <c r="O339">
        <v>0.21428571428571427</v>
      </c>
      <c r="P339">
        <v>25.083034081405199</v>
      </c>
      <c r="Q339">
        <v>0.27216605529211774</v>
      </c>
      <c r="R339">
        <v>0.11510651484402534</v>
      </c>
      <c r="S339">
        <v>0.36833053355731543</v>
      </c>
      <c r="T339">
        <v>5.0157877057440375E-2</v>
      </c>
      <c r="U339">
        <v>2.1293096552275816</v>
      </c>
      <c r="V339">
        <v>25.59921268759215</v>
      </c>
      <c r="W339">
        <v>0.2622643009291421</v>
      </c>
      <c r="X339">
        <v>0.27620499762838213</v>
      </c>
      <c r="Y339">
        <v>1.2283914025000862</v>
      </c>
      <c r="Z339">
        <v>7.4584049948109785E-2</v>
      </c>
      <c r="AA339">
        <v>4.1237612434232505</v>
      </c>
    </row>
    <row r="340" spans="1:27" x14ac:dyDescent="0.2">
      <c r="A340" s="7" t="s">
        <v>2261</v>
      </c>
      <c r="B340" t="s">
        <v>1626</v>
      </c>
      <c r="C340">
        <v>2021</v>
      </c>
      <c r="D340">
        <v>0</v>
      </c>
      <c r="E340">
        <v>4</v>
      </c>
      <c r="F340">
        <v>0</v>
      </c>
      <c r="G340">
        <v>30.455000000000002</v>
      </c>
      <c r="H340">
        <v>0</v>
      </c>
      <c r="I340">
        <v>0.21428571428571427</v>
      </c>
      <c r="J340">
        <v>0</v>
      </c>
      <c r="K340">
        <v>-2.9117676176145958E-7</v>
      </c>
      <c r="L340">
        <v>0</v>
      </c>
      <c r="M340">
        <v>0.14285714285714285</v>
      </c>
      <c r="N340">
        <v>0</v>
      </c>
      <c r="O340">
        <v>7.1428571428571425E-2</v>
      </c>
      <c r="P340">
        <v>25.003287431164708</v>
      </c>
      <c r="Q340">
        <v>0.28976218820076965</v>
      </c>
      <c r="R340">
        <v>0.38984617716147607</v>
      </c>
      <c r="S340">
        <v>0.45250631085467002</v>
      </c>
      <c r="T340">
        <v>6.5024715114490705E-2</v>
      </c>
      <c r="U340">
        <v>1.6051929318427696</v>
      </c>
      <c r="V340">
        <v>25.203360418315103</v>
      </c>
      <c r="W340">
        <v>0.23071737138554649</v>
      </c>
      <c r="X340">
        <v>0.30857958991859741</v>
      </c>
      <c r="Y340">
        <v>1.3946451267060347</v>
      </c>
      <c r="Z340">
        <v>0.1070661825021267</v>
      </c>
      <c r="AA340">
        <v>18.214751604965965</v>
      </c>
    </row>
    <row r="341" spans="1:27" x14ac:dyDescent="0.2">
      <c r="A341" s="7" t="s">
        <v>2261</v>
      </c>
      <c r="B341" t="s">
        <v>1628</v>
      </c>
      <c r="C341">
        <v>2020</v>
      </c>
      <c r="D341">
        <v>0</v>
      </c>
      <c r="E341">
        <v>4</v>
      </c>
      <c r="F341">
        <v>0</v>
      </c>
      <c r="G341">
        <v>42.901428571428575</v>
      </c>
      <c r="H341">
        <v>0</v>
      </c>
      <c r="I341">
        <v>0.21428571428571427</v>
      </c>
      <c r="J341">
        <v>0</v>
      </c>
      <c r="K341">
        <v>0.26699096664208927</v>
      </c>
      <c r="L341">
        <v>0</v>
      </c>
      <c r="M341">
        <v>0.21428571428571427</v>
      </c>
      <c r="N341">
        <v>0</v>
      </c>
      <c r="O341">
        <v>0</v>
      </c>
      <c r="P341">
        <v>24.936148705092045</v>
      </c>
      <c r="Q341">
        <v>0.33339254785273348</v>
      </c>
      <c r="R341">
        <v>0.14083922612769939</v>
      </c>
      <c r="S341">
        <v>0.40105425865007333</v>
      </c>
      <c r="T341">
        <v>-2.6337833656581818E-2</v>
      </c>
      <c r="U341">
        <v>1.6773017319963537</v>
      </c>
      <c r="V341">
        <v>25.322262433274322</v>
      </c>
      <c r="W341">
        <v>0.2525893923646515</v>
      </c>
      <c r="X341">
        <v>9.1329308636458606E-2</v>
      </c>
      <c r="Y341">
        <v>1.8848410571930037</v>
      </c>
      <c r="Z341">
        <v>7.9209613324174963E-2</v>
      </c>
      <c r="AA341">
        <v>-11.787421625995776</v>
      </c>
    </row>
    <row r="342" spans="1:27" x14ac:dyDescent="0.2">
      <c r="A342" s="7" t="s">
        <v>2261</v>
      </c>
      <c r="B342" t="s">
        <v>1630</v>
      </c>
      <c r="C342">
        <v>2019</v>
      </c>
      <c r="D342">
        <v>0</v>
      </c>
      <c r="E342">
        <v>4</v>
      </c>
      <c r="F342">
        <v>0</v>
      </c>
      <c r="G342">
        <v>24.013571428571428</v>
      </c>
      <c r="H342">
        <v>0</v>
      </c>
      <c r="I342">
        <v>0.14285714285714285</v>
      </c>
      <c r="J342">
        <v>0</v>
      </c>
      <c r="K342">
        <v>7.1435616592770729E-2</v>
      </c>
      <c r="L342">
        <v>0</v>
      </c>
      <c r="M342">
        <v>0.14285714285714285</v>
      </c>
      <c r="N342">
        <v>0</v>
      </c>
      <c r="O342">
        <v>0</v>
      </c>
      <c r="P342">
        <v>24.897006744148527</v>
      </c>
      <c r="Q342">
        <v>0.35653807075340987</v>
      </c>
      <c r="R342">
        <v>0.46505737227386712</v>
      </c>
      <c r="S342">
        <v>0.4538849347568209</v>
      </c>
      <c r="T342">
        <v>2.3345158778229645E-2</v>
      </c>
      <c r="U342">
        <v>1.4079922894424675</v>
      </c>
      <c r="V342">
        <v>25.143425514876053</v>
      </c>
      <c r="W342">
        <v>0.26009907347341971</v>
      </c>
      <c r="X342">
        <v>0.40380444032508467</v>
      </c>
      <c r="Y342">
        <v>0.95246993318037587</v>
      </c>
      <c r="Z342">
        <v>5.2668499199378195E-2</v>
      </c>
      <c r="AA342">
        <v>-3.1508603788917489</v>
      </c>
    </row>
    <row r="343" spans="1:27" x14ac:dyDescent="0.2">
      <c r="A343" s="7" t="s">
        <v>2261</v>
      </c>
      <c r="B343" t="s">
        <v>1632</v>
      </c>
      <c r="C343">
        <v>2018</v>
      </c>
      <c r="D343">
        <v>0</v>
      </c>
      <c r="E343">
        <v>4</v>
      </c>
      <c r="F343">
        <v>0</v>
      </c>
      <c r="G343">
        <v>21.725714285714282</v>
      </c>
      <c r="H343">
        <v>0</v>
      </c>
      <c r="I343">
        <v>7.1428571428571425E-2</v>
      </c>
      <c r="J343">
        <v>0</v>
      </c>
      <c r="K343">
        <v>1.512461085784857E-2</v>
      </c>
      <c r="L343">
        <v>0</v>
      </c>
      <c r="M343">
        <v>7.1428571428571425E-2</v>
      </c>
      <c r="N343">
        <v>0</v>
      </c>
      <c r="O343">
        <v>0</v>
      </c>
      <c r="P343">
        <v>24.647454539273429</v>
      </c>
      <c r="Q343">
        <v>0.21674701651782186</v>
      </c>
      <c r="R343">
        <v>0.10387540543563367</v>
      </c>
      <c r="S343">
        <v>0.63783014391902582</v>
      </c>
      <c r="T343">
        <v>9.7391598915989158E-4</v>
      </c>
      <c r="U343">
        <v>1.6681427592387579</v>
      </c>
      <c r="V343">
        <v>24.951740065366987</v>
      </c>
      <c r="W343">
        <v>0.3328915482348494</v>
      </c>
      <c r="X343">
        <v>4.8765435619695006E-2</v>
      </c>
      <c r="Y343">
        <v>0.64535089629690878</v>
      </c>
      <c r="Z343">
        <v>8.1698765289133102E-3</v>
      </c>
      <c r="AA343">
        <v>0.9782211365184672</v>
      </c>
    </row>
    <row r="344" spans="1:27" x14ac:dyDescent="0.2">
      <c r="A344" s="7" t="s">
        <v>2261</v>
      </c>
      <c r="B344" t="s">
        <v>1634</v>
      </c>
      <c r="C344">
        <v>2017</v>
      </c>
      <c r="D344">
        <v>0</v>
      </c>
      <c r="E344">
        <v>4</v>
      </c>
      <c r="F344">
        <v>0</v>
      </c>
      <c r="G344">
        <v>17.929285714285715</v>
      </c>
      <c r="H344">
        <v>0</v>
      </c>
      <c r="I344">
        <v>7.1428571428571425E-2</v>
      </c>
      <c r="J344">
        <v>0</v>
      </c>
      <c r="K344">
        <v>-6.9648828143057473E-3</v>
      </c>
      <c r="L344">
        <v>0</v>
      </c>
      <c r="M344">
        <v>0</v>
      </c>
      <c r="N344">
        <v>0</v>
      </c>
      <c r="O344">
        <v>7.1428571428571425E-2</v>
      </c>
      <c r="P344">
        <v>24.504086164758704</v>
      </c>
      <c r="Q344">
        <v>0.25497126698896289</v>
      </c>
      <c r="R344">
        <v>4.0144858370063652E-3</v>
      </c>
      <c r="S344">
        <v>0.63271328450229225</v>
      </c>
      <c r="T344">
        <v>2.3490682499559108E-2</v>
      </c>
      <c r="U344">
        <v>1.3107972809190072</v>
      </c>
      <c r="V344">
        <v>24.774314632226734</v>
      </c>
      <c r="W344">
        <v>0.35395225027352079</v>
      </c>
      <c r="X344">
        <v>0.29514286006106794</v>
      </c>
      <c r="Y344">
        <v>0.61525179565988164</v>
      </c>
      <c r="Z344">
        <v>-3.9678148315100858E-2</v>
      </c>
      <c r="AA344">
        <v>0.5121086560974496</v>
      </c>
    </row>
    <row r="345" spans="1:27" x14ac:dyDescent="0.2">
      <c r="A345" s="7" t="s">
        <v>2261</v>
      </c>
      <c r="B345" t="s">
        <v>1636</v>
      </c>
      <c r="C345">
        <v>2016</v>
      </c>
      <c r="D345">
        <v>0</v>
      </c>
      <c r="E345">
        <v>4</v>
      </c>
      <c r="F345">
        <v>0</v>
      </c>
      <c r="G345">
        <v>19.866428571428571</v>
      </c>
      <c r="H345">
        <v>0</v>
      </c>
      <c r="I345">
        <v>7.1428571428571425E-2</v>
      </c>
      <c r="J345">
        <v>0</v>
      </c>
      <c r="K345">
        <v>-7.4403323992656362E-3</v>
      </c>
      <c r="L345">
        <v>0</v>
      </c>
      <c r="M345">
        <v>0</v>
      </c>
      <c r="N345">
        <v>0</v>
      </c>
      <c r="O345">
        <v>7.1428571428571425E-2</v>
      </c>
      <c r="P345">
        <v>24.441776906184948</v>
      </c>
      <c r="Q345">
        <v>0.27070844355993495</v>
      </c>
      <c r="R345">
        <v>-7.1136144358392661E-2</v>
      </c>
      <c r="S345">
        <v>0.61286016242073649</v>
      </c>
      <c r="T345">
        <v>4.237075068478649E-2</v>
      </c>
      <c r="U345">
        <v>1.2918567137612638</v>
      </c>
      <c r="V345">
        <v>24.583692756398559</v>
      </c>
      <c r="W345">
        <v>0.28080547535736783</v>
      </c>
      <c r="X345">
        <v>0.24520972704055821</v>
      </c>
      <c r="Y345">
        <v>7.6191201743465564</v>
      </c>
      <c r="Z345">
        <v>-4.088373854795771E-2</v>
      </c>
      <c r="AA345">
        <v>-20.378598804857674</v>
      </c>
    </row>
    <row r="346" spans="1:27" x14ac:dyDescent="0.2">
      <c r="A346" s="7" t="s">
        <v>2261</v>
      </c>
      <c r="B346" t="s">
        <v>1638</v>
      </c>
      <c r="C346">
        <v>2015</v>
      </c>
      <c r="D346">
        <v>0</v>
      </c>
      <c r="E346">
        <v>4</v>
      </c>
      <c r="F346">
        <v>0</v>
      </c>
      <c r="G346">
        <v>22.176428571428573</v>
      </c>
      <c r="H346">
        <v>0</v>
      </c>
      <c r="I346">
        <v>7.1428571428571425E-2</v>
      </c>
      <c r="J346">
        <v>0</v>
      </c>
      <c r="K346">
        <v>-1.0326382164702542E-2</v>
      </c>
      <c r="L346">
        <v>0</v>
      </c>
      <c r="M346">
        <v>0</v>
      </c>
      <c r="N346">
        <v>0</v>
      </c>
      <c r="O346">
        <v>7.1428571428571425E-2</v>
      </c>
      <c r="P346">
        <v>24.260391735832812</v>
      </c>
      <c r="Q346">
        <v>0.30484753258845437</v>
      </c>
      <c r="R346">
        <v>-0.19951155363516815</v>
      </c>
      <c r="S346">
        <v>0.57495267753556822</v>
      </c>
      <c r="T346">
        <v>8.2411182294700056E-2</v>
      </c>
      <c r="U346">
        <v>1.0985528485070526</v>
      </c>
      <c r="V346">
        <v>24.959679275054327</v>
      </c>
      <c r="W346">
        <v>0.29448158227714544</v>
      </c>
      <c r="X346">
        <v>1.3211602656765764</v>
      </c>
      <c r="Y346">
        <v>-1.0014757282429285</v>
      </c>
      <c r="Z346">
        <v>5.3348837706923578E-2</v>
      </c>
      <c r="AA346">
        <v>6.9924296605346266</v>
      </c>
    </row>
    <row r="347" spans="1:27" x14ac:dyDescent="0.2">
      <c r="A347" s="7" t="s">
        <v>2270</v>
      </c>
      <c r="B347" t="s">
        <v>1681</v>
      </c>
      <c r="C347">
        <v>2024</v>
      </c>
      <c r="D347">
        <v>13.68</v>
      </c>
      <c r="E347">
        <v>5</v>
      </c>
      <c r="F347">
        <v>13.68</v>
      </c>
      <c r="G347">
        <v>119.15777777777778</v>
      </c>
      <c r="H347">
        <v>1</v>
      </c>
      <c r="I347">
        <v>0.44444444444444442</v>
      </c>
      <c r="J347">
        <v>1</v>
      </c>
      <c r="K347">
        <v>0.22563872031168053</v>
      </c>
      <c r="L347">
        <v>1</v>
      </c>
      <c r="M347">
        <v>0.33333333333333331</v>
      </c>
      <c r="N347">
        <v>0</v>
      </c>
      <c r="O347">
        <v>0.1111111111111111</v>
      </c>
      <c r="P347">
        <v>23.676725324507618</v>
      </c>
      <c r="Q347">
        <v>5.2991928663246951E-2</v>
      </c>
      <c r="R347">
        <v>0.80347222804531393</v>
      </c>
      <c r="S347">
        <v>0.91453979257825779</v>
      </c>
      <c r="T347">
        <v>0.38327335787847538</v>
      </c>
      <c r="U347">
        <v>1.3482278515896515</v>
      </c>
      <c r="V347">
        <v>24.812738471388002</v>
      </c>
      <c r="W347">
        <v>7.9045366412676232E-2</v>
      </c>
      <c r="X347">
        <v>0.21854235291153978</v>
      </c>
      <c r="Y347">
        <v>0.16681462819328011</v>
      </c>
      <c r="Z347">
        <v>0.22509618788191257</v>
      </c>
      <c r="AA347">
        <v>2.8742229985581176</v>
      </c>
    </row>
    <row r="348" spans="1:27" x14ac:dyDescent="0.2">
      <c r="A348" s="7" t="s">
        <v>2270</v>
      </c>
      <c r="B348" t="s">
        <v>1685</v>
      </c>
      <c r="C348">
        <v>2023</v>
      </c>
      <c r="D348">
        <v>0</v>
      </c>
      <c r="E348">
        <v>5</v>
      </c>
      <c r="F348">
        <v>0</v>
      </c>
      <c r="G348">
        <v>16.477777777777778</v>
      </c>
      <c r="H348">
        <v>0</v>
      </c>
      <c r="I348">
        <v>0.1111111111111111</v>
      </c>
      <c r="J348">
        <v>0</v>
      </c>
      <c r="K348">
        <v>0.31688311688311693</v>
      </c>
      <c r="L348">
        <v>0</v>
      </c>
      <c r="M348">
        <v>0.1111111111111111</v>
      </c>
      <c r="N348">
        <v>0</v>
      </c>
      <c r="O348">
        <v>0</v>
      </c>
      <c r="P348">
        <v>23.236891049342091</v>
      </c>
      <c r="Q348">
        <v>3.789339573957707E-2</v>
      </c>
      <c r="R348">
        <v>0.76841171843199652</v>
      </c>
      <c r="S348">
        <v>0.88702329025864146</v>
      </c>
      <c r="T348">
        <v>0.39440788528717502</v>
      </c>
      <c r="U348">
        <v>1.5952450701431276</v>
      </c>
      <c r="V348">
        <v>24.189238957414052</v>
      </c>
      <c r="W348">
        <v>4.3040922464977892E-2</v>
      </c>
      <c r="X348">
        <v>0.42386604834680019</v>
      </c>
      <c r="Y348">
        <v>0.64827791759668263</v>
      </c>
      <c r="Z348">
        <v>0.12799911441612674</v>
      </c>
      <c r="AA348">
        <v>2.1629231277339049</v>
      </c>
    </row>
    <row r="349" spans="1:27" x14ac:dyDescent="0.2">
      <c r="A349" s="7" t="s">
        <v>2270</v>
      </c>
      <c r="B349" t="s">
        <v>1688</v>
      </c>
      <c r="C349">
        <v>2022</v>
      </c>
      <c r="D349">
        <v>0</v>
      </c>
      <c r="E349">
        <v>5</v>
      </c>
      <c r="F349">
        <v>0</v>
      </c>
      <c r="G349">
        <v>4.2777777777777777</v>
      </c>
      <c r="H349">
        <v>0</v>
      </c>
      <c r="I349">
        <v>0.1111111111111111</v>
      </c>
      <c r="J349">
        <v>0</v>
      </c>
      <c r="K349">
        <v>0.1111111111111111</v>
      </c>
      <c r="L349">
        <v>0</v>
      </c>
      <c r="M349">
        <v>0.1111111111111111</v>
      </c>
      <c r="N349">
        <v>0</v>
      </c>
      <c r="O349">
        <v>0</v>
      </c>
      <c r="P349">
        <v>22.531543296586293</v>
      </c>
      <c r="Q349">
        <v>3.5755814287079642E-2</v>
      </c>
      <c r="R349">
        <v>1.4986964602724906</v>
      </c>
      <c r="S349">
        <v>0.99316380480748589</v>
      </c>
      <c r="T349">
        <v>0.7455283476276815</v>
      </c>
      <c r="U349">
        <v>3.1700318976867683</v>
      </c>
      <c r="V349">
        <v>24.908216570247024</v>
      </c>
      <c r="W349">
        <v>6.3770392177090629E-2</v>
      </c>
      <c r="X349">
        <v>0.39605076314639226</v>
      </c>
      <c r="Y349">
        <v>0.73528799331077488</v>
      </c>
      <c r="Z349">
        <v>0.3085989969304892</v>
      </c>
      <c r="AA349">
        <v>1.9439700720711677</v>
      </c>
    </row>
    <row r="350" spans="1:27" x14ac:dyDescent="0.2">
      <c r="A350" s="7" t="s">
        <v>2277</v>
      </c>
      <c r="B350" t="s">
        <v>1697</v>
      </c>
      <c r="C350">
        <v>2024</v>
      </c>
      <c r="D350">
        <v>0.86</v>
      </c>
      <c r="E350">
        <v>5</v>
      </c>
      <c r="F350">
        <v>0.86</v>
      </c>
      <c r="G350">
        <v>120.5822222222222</v>
      </c>
      <c r="H350">
        <v>1</v>
      </c>
      <c r="I350">
        <v>0.44444444444444442</v>
      </c>
      <c r="J350">
        <v>1</v>
      </c>
      <c r="K350">
        <v>0.22563872031168053</v>
      </c>
      <c r="L350">
        <v>1</v>
      </c>
      <c r="M350">
        <v>0.33333333333333331</v>
      </c>
      <c r="N350">
        <v>0</v>
      </c>
      <c r="O350">
        <v>0.1111111111111111</v>
      </c>
      <c r="P350">
        <v>22.212437357746587</v>
      </c>
      <c r="Q350">
        <v>1.6485237923490687E-2</v>
      </c>
      <c r="R350">
        <v>0.52244243151695691</v>
      </c>
      <c r="S350">
        <v>0.87048976341165651</v>
      </c>
      <c r="T350">
        <v>0.49769532246421605</v>
      </c>
      <c r="U350">
        <v>0.8593156371923435</v>
      </c>
      <c r="V350">
        <v>25.021922466639573</v>
      </c>
      <c r="W350">
        <v>8.4260607946927121E-2</v>
      </c>
      <c r="X350">
        <v>0.26538065233293262</v>
      </c>
      <c r="Y350">
        <v>0.17310748950279456</v>
      </c>
      <c r="Z350">
        <v>0.20602586045095586</v>
      </c>
      <c r="AA350">
        <v>2.944067600614876</v>
      </c>
    </row>
    <row r="351" spans="1:27" x14ac:dyDescent="0.2">
      <c r="A351" s="7" t="s">
        <v>2279</v>
      </c>
      <c r="B351" t="s">
        <v>1701</v>
      </c>
      <c r="C351">
        <v>2025</v>
      </c>
      <c r="D351">
        <v>233</v>
      </c>
      <c r="E351">
        <v>5</v>
      </c>
      <c r="F351">
        <v>233</v>
      </c>
      <c r="G351">
        <v>37.051111111111112</v>
      </c>
      <c r="H351">
        <v>1</v>
      </c>
      <c r="I351">
        <v>0.55555555555555558</v>
      </c>
      <c r="J351">
        <v>-0.74310915104740904</v>
      </c>
      <c r="K351">
        <v>0.27648578811369506</v>
      </c>
      <c r="L351">
        <v>0</v>
      </c>
      <c r="M351">
        <v>0.44444444444444442</v>
      </c>
      <c r="N351">
        <v>1</v>
      </c>
      <c r="O351">
        <v>0.33333333333333331</v>
      </c>
      <c r="P351">
        <v>24.27525251244548</v>
      </c>
      <c r="Q351">
        <v>6.1743222950822775E-2</v>
      </c>
      <c r="R351">
        <v>3.99946389169199E-2</v>
      </c>
      <c r="S351">
        <v>0.13523305906417371</v>
      </c>
      <c r="T351">
        <v>0.60594849219699087</v>
      </c>
      <c r="U351">
        <v>1.6531602435039783</v>
      </c>
      <c r="V351">
        <v>26.295484495831648</v>
      </c>
      <c r="W351">
        <v>0.1397917405805448</v>
      </c>
      <c r="X351">
        <v>0.20026919824936751</v>
      </c>
      <c r="Y351">
        <v>0.80047426519214249</v>
      </c>
      <c r="Z351">
        <v>-5.1788043698726069E-3</v>
      </c>
      <c r="AA351">
        <v>-1.4760627205127115</v>
      </c>
    </row>
    <row r="352" spans="1:27" x14ac:dyDescent="0.2">
      <c r="A352" s="7" t="s">
        <v>2279</v>
      </c>
      <c r="B352" t="s">
        <v>1705</v>
      </c>
      <c r="C352">
        <v>2024</v>
      </c>
      <c r="D352">
        <v>907</v>
      </c>
      <c r="E352">
        <v>5</v>
      </c>
      <c r="F352">
        <v>907</v>
      </c>
      <c r="G352">
        <v>19.899999999999999</v>
      </c>
      <c r="H352">
        <v>1</v>
      </c>
      <c r="I352">
        <v>0.44444444444444442</v>
      </c>
      <c r="J352">
        <v>1</v>
      </c>
      <c r="K352">
        <v>0.22563872031168053</v>
      </c>
      <c r="L352">
        <v>1</v>
      </c>
      <c r="M352">
        <v>0.33333333333333331</v>
      </c>
      <c r="N352">
        <v>0</v>
      </c>
      <c r="O352">
        <v>0.1111111111111111</v>
      </c>
      <c r="P352">
        <v>23.921684840580234</v>
      </c>
      <c r="Q352">
        <v>3.7973975020183702E-2</v>
      </c>
      <c r="R352">
        <v>0.34533333663847077</v>
      </c>
      <c r="S352">
        <v>-0.71277047066491661</v>
      </c>
      <c r="T352">
        <v>0.77995295684965693</v>
      </c>
      <c r="U352">
        <v>4.2481315117474461</v>
      </c>
      <c r="V352">
        <v>24.777744254806198</v>
      </c>
      <c r="W352">
        <v>8.1190788361685265E-2</v>
      </c>
      <c r="X352">
        <v>0.29489883481268031</v>
      </c>
      <c r="Y352">
        <v>0.39928752294230502</v>
      </c>
      <c r="Z352">
        <v>0.15898292138671569</v>
      </c>
      <c r="AA352">
        <v>2.4599510471070043</v>
      </c>
    </row>
    <row r="353" spans="1:27" x14ac:dyDescent="0.2">
      <c r="A353" s="7" t="s">
        <v>2284</v>
      </c>
      <c r="B353" t="s">
        <v>1714</v>
      </c>
      <c r="C353">
        <v>2024</v>
      </c>
      <c r="D353">
        <v>4.5599999999999996</v>
      </c>
      <c r="E353">
        <v>5</v>
      </c>
      <c r="F353">
        <v>4.5599999999999996</v>
      </c>
      <c r="G353">
        <v>120.1711111111111</v>
      </c>
      <c r="H353">
        <v>1</v>
      </c>
      <c r="I353">
        <v>0.44444444444444442</v>
      </c>
      <c r="J353">
        <v>-0.96925151719487523</v>
      </c>
      <c r="K353">
        <v>0.44444444444444442</v>
      </c>
      <c r="L353">
        <v>0</v>
      </c>
      <c r="M353">
        <v>0.44444444444444442</v>
      </c>
      <c r="N353">
        <v>1</v>
      </c>
      <c r="O353">
        <v>0</v>
      </c>
      <c r="P353">
        <v>24.688241626047766</v>
      </c>
      <c r="Q353">
        <v>6.2210084323879249E-2</v>
      </c>
      <c r="R353">
        <v>0.10104345506990819</v>
      </c>
      <c r="S353">
        <v>0.55639321768590011</v>
      </c>
      <c r="T353">
        <v>9.0376114872826749E-2</v>
      </c>
      <c r="U353">
        <v>2.0902500981548298</v>
      </c>
      <c r="V353">
        <v>24.668236142596552</v>
      </c>
      <c r="W353">
        <v>7.7728487032585905E-2</v>
      </c>
      <c r="X353">
        <v>0.33561381507410742</v>
      </c>
      <c r="Y353">
        <v>0.21797842460647401</v>
      </c>
      <c r="Z353">
        <v>0.27391239504952075</v>
      </c>
      <c r="AA353">
        <v>2.7682198204773778</v>
      </c>
    </row>
    <row r="354" spans="1:27" x14ac:dyDescent="0.2">
      <c r="A354" s="7" t="s">
        <v>2284</v>
      </c>
      <c r="B354" t="s">
        <v>1718</v>
      </c>
      <c r="C354">
        <v>2023</v>
      </c>
      <c r="D354">
        <v>148.30000000000001</v>
      </c>
      <c r="E354">
        <v>5</v>
      </c>
      <c r="F354">
        <v>148.30000000000001</v>
      </c>
      <c r="G354">
        <v>0</v>
      </c>
      <c r="H354">
        <v>1</v>
      </c>
      <c r="I354">
        <v>0</v>
      </c>
      <c r="J354">
        <v>2.8519480519480522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24.068391296675408</v>
      </c>
      <c r="Q354">
        <v>6.2346024736732661E-2</v>
      </c>
      <c r="R354">
        <v>0.6125270462893091</v>
      </c>
      <c r="S354">
        <v>0.99778997246120693</v>
      </c>
      <c r="T354">
        <v>0.42243540405296037</v>
      </c>
      <c r="U354">
        <v>1.1487511484597912</v>
      </c>
      <c r="V354">
        <v>24.0506555828585</v>
      </c>
      <c r="W354">
        <v>3.8965484298785283E-2</v>
      </c>
      <c r="X354">
        <v>0.475827605727696</v>
      </c>
      <c r="Y354">
        <v>0.62981680389625516</v>
      </c>
      <c r="Z354">
        <v>0.11865660816086494</v>
      </c>
      <c r="AA354">
        <v>2.2373387813477943</v>
      </c>
    </row>
    <row r="355" spans="1:27" x14ac:dyDescent="0.2">
      <c r="A355" s="7" t="s">
        <v>2284</v>
      </c>
      <c r="B355" t="s">
        <v>1722</v>
      </c>
      <c r="C355">
        <v>2022</v>
      </c>
      <c r="D355">
        <v>38.5</v>
      </c>
      <c r="E355">
        <v>5</v>
      </c>
      <c r="F355">
        <v>38.5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23.587870284137672</v>
      </c>
      <c r="Q355">
        <v>5.7567067319655281E-2</v>
      </c>
      <c r="R355">
        <v>0.94670382293199573</v>
      </c>
      <c r="S355">
        <v>0.9962910071656339</v>
      </c>
      <c r="T355">
        <v>0.45242006927514644</v>
      </c>
      <c r="U355">
        <v>1.1140322778906573</v>
      </c>
      <c r="V355">
        <v>24.556107574396567</v>
      </c>
      <c r="W355">
        <v>5.6499974499565418E-2</v>
      </c>
      <c r="X355">
        <v>0.67204708181663975</v>
      </c>
      <c r="Y355">
        <v>0.73424559252472565</v>
      </c>
      <c r="Z355">
        <v>0.45515313610675667</v>
      </c>
      <c r="AA355">
        <v>2.6293032786698713</v>
      </c>
    </row>
    <row r="356" spans="1:27" x14ac:dyDescent="0.2">
      <c r="A356" s="7" t="s">
        <v>2284</v>
      </c>
      <c r="B356" t="s">
        <v>1726</v>
      </c>
      <c r="C356">
        <v>2021</v>
      </c>
      <c r="D356">
        <v>0</v>
      </c>
      <c r="E356">
        <v>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22.960962907734501</v>
      </c>
      <c r="Q356">
        <v>5.9124873929279183E-2</v>
      </c>
      <c r="R356">
        <v>0.27950276304033705</v>
      </c>
      <c r="S356">
        <v>0.99063986965591688</v>
      </c>
      <c r="T356">
        <v>0.24063217698209571</v>
      </c>
      <c r="U356">
        <v>1.6755492645876973</v>
      </c>
      <c r="V356">
        <v>22.867510630644809</v>
      </c>
      <c r="W356">
        <v>3.0118990094567435E-2</v>
      </c>
      <c r="X356">
        <v>-4.0523780681260946E-2</v>
      </c>
      <c r="Y356">
        <v>0.43827850848609395</v>
      </c>
      <c r="Z356">
        <v>2.9047209263704576E-2</v>
      </c>
      <c r="AA356">
        <v>17.210608984954593</v>
      </c>
    </row>
    <row r="357" spans="1:27" x14ac:dyDescent="0.2">
      <c r="A357" s="7" t="s">
        <v>2284</v>
      </c>
      <c r="B357" t="s">
        <v>1728</v>
      </c>
      <c r="C357">
        <v>2020</v>
      </c>
      <c r="D357">
        <v>0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22.600509642831252</v>
      </c>
      <c r="Q357">
        <v>5.6237144185717715E-2</v>
      </c>
      <c r="R357">
        <v>0.60261811450317082</v>
      </c>
      <c r="S357">
        <v>0.98625241302219391</v>
      </c>
      <c r="T357">
        <v>0.26070423168654877</v>
      </c>
      <c r="U357">
        <v>1.5905916908794697</v>
      </c>
      <c r="V357">
        <v>24.198271145753285</v>
      </c>
      <c r="W357">
        <v>1.1672549383862777E-2</v>
      </c>
      <c r="X357" t="s">
        <v>2345</v>
      </c>
      <c r="Y357">
        <v>0.76522929500342229</v>
      </c>
      <c r="Z357" t="s">
        <v>2345</v>
      </c>
      <c r="AA357">
        <v>6.3689253935660508</v>
      </c>
    </row>
    <row r="358" spans="1:27" x14ac:dyDescent="0.2">
      <c r="A358" s="7" t="s">
        <v>2284</v>
      </c>
      <c r="B358" t="s">
        <v>1729</v>
      </c>
      <c r="C358">
        <v>2019</v>
      </c>
      <c r="D358">
        <v>0</v>
      </c>
      <c r="E358">
        <v>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22.346825762693463</v>
      </c>
      <c r="Q358">
        <v>7.5056136613850494E-2</v>
      </c>
      <c r="R358">
        <v>0.33893563509351354</v>
      </c>
      <c r="S358">
        <v>0.96665544321096464</v>
      </c>
      <c r="T358">
        <v>3.4488878181792075E-2</v>
      </c>
      <c r="U358">
        <v>4.0219461472187286</v>
      </c>
      <c r="V358" t="s">
        <v>2345</v>
      </c>
      <c r="W358" t="s">
        <v>2345</v>
      </c>
      <c r="X358" t="s">
        <v>2345</v>
      </c>
      <c r="Y358" t="s">
        <v>2345</v>
      </c>
      <c r="Z358" t="s">
        <v>2345</v>
      </c>
      <c r="AA358" t="s">
        <v>2345</v>
      </c>
    </row>
    <row r="359" spans="1:27" x14ac:dyDescent="0.2">
      <c r="A359" s="7" t="s">
        <v>2321</v>
      </c>
      <c r="B359" t="s">
        <v>1732</v>
      </c>
      <c r="C359">
        <v>2024</v>
      </c>
      <c r="D359">
        <v>0</v>
      </c>
      <c r="E359">
        <v>5</v>
      </c>
      <c r="F359">
        <v>0</v>
      </c>
      <c r="G359">
        <v>120.67777777777776</v>
      </c>
      <c r="H359">
        <v>0</v>
      </c>
      <c r="I359">
        <v>0.55555555555555558</v>
      </c>
      <c r="J359">
        <v>0</v>
      </c>
      <c r="K359">
        <v>0.33674983142279163</v>
      </c>
      <c r="L359">
        <v>0</v>
      </c>
      <c r="M359">
        <v>0.44444444444444442</v>
      </c>
      <c r="N359">
        <v>0</v>
      </c>
      <c r="O359">
        <v>0.1111111111111111</v>
      </c>
      <c r="P359">
        <v>25.317112149203059</v>
      </c>
      <c r="Q359">
        <v>5.6273641199910997E-2</v>
      </c>
      <c r="R359">
        <v>0.10856643117749143</v>
      </c>
      <c r="S359">
        <v>0.50325301745412121</v>
      </c>
      <c r="T359">
        <v>3.0036161046421095E-2</v>
      </c>
      <c r="U359">
        <v>3.4363979001211469</v>
      </c>
      <c r="V359">
        <v>24.57839749643151</v>
      </c>
      <c r="W359">
        <v>7.8576550336009951E-2</v>
      </c>
      <c r="X359">
        <v>0.33435998572284359</v>
      </c>
      <c r="Y359">
        <v>0.22556988178244244</v>
      </c>
      <c r="Z359">
        <v>0.28396905402058836</v>
      </c>
      <c r="AA359">
        <v>2.5759129916250467</v>
      </c>
    </row>
    <row r="360" spans="1:27" x14ac:dyDescent="0.2">
      <c r="A360" s="7" t="s">
        <v>2321</v>
      </c>
      <c r="B360" t="s">
        <v>1734</v>
      </c>
      <c r="C360">
        <v>2023</v>
      </c>
      <c r="D360">
        <v>0</v>
      </c>
      <c r="E360">
        <v>5</v>
      </c>
      <c r="F360">
        <v>0</v>
      </c>
      <c r="G360">
        <v>16.477777777777778</v>
      </c>
      <c r="H360">
        <v>0</v>
      </c>
      <c r="I360">
        <v>0.1111111111111111</v>
      </c>
      <c r="J360">
        <v>0</v>
      </c>
      <c r="K360">
        <v>0.31688311688311693</v>
      </c>
      <c r="L360">
        <v>0</v>
      </c>
      <c r="M360">
        <v>0.1111111111111111</v>
      </c>
      <c r="N360">
        <v>0</v>
      </c>
      <c r="O360">
        <v>0</v>
      </c>
      <c r="P360">
        <v>25.034293124220486</v>
      </c>
      <c r="Q360">
        <v>2.7510500959512595E-2</v>
      </c>
      <c r="R360">
        <v>0.30108807737439114</v>
      </c>
      <c r="S360">
        <v>1.1490136214185063</v>
      </c>
      <c r="T360">
        <v>5.1605331544974431E-2</v>
      </c>
      <c r="U360">
        <v>7.7502348520432127</v>
      </c>
      <c r="V360">
        <v>23.889671944934321</v>
      </c>
      <c r="W360">
        <v>4.4771404928321962E-2</v>
      </c>
      <c r="X360">
        <v>0.57964059536600199</v>
      </c>
      <c r="Y360">
        <v>0.60461286240337198</v>
      </c>
      <c r="Z360">
        <v>0.2422666323301936</v>
      </c>
      <c r="AA360">
        <v>1.1370914974172242</v>
      </c>
    </row>
    <row r="361" spans="1:27" x14ac:dyDescent="0.2">
      <c r="A361" s="7" t="s">
        <v>2321</v>
      </c>
      <c r="B361" t="s">
        <v>1736</v>
      </c>
      <c r="C361">
        <v>2022</v>
      </c>
      <c r="D361">
        <v>0</v>
      </c>
      <c r="E361">
        <v>5</v>
      </c>
      <c r="F361">
        <v>0</v>
      </c>
      <c r="G361">
        <v>4.2777777777777777</v>
      </c>
      <c r="H361">
        <v>0</v>
      </c>
      <c r="I361">
        <v>0.1111111111111111</v>
      </c>
      <c r="J361">
        <v>0</v>
      </c>
      <c r="K361">
        <v>0.1111111111111111</v>
      </c>
      <c r="L361">
        <v>0</v>
      </c>
      <c r="M361">
        <v>0.1111111111111111</v>
      </c>
      <c r="N361">
        <v>0</v>
      </c>
      <c r="O361">
        <v>0</v>
      </c>
      <c r="P361">
        <v>24.524871116112191</v>
      </c>
      <c r="Q361">
        <v>2.4992741160967547E-2</v>
      </c>
      <c r="R361">
        <v>-0.15460229663921121</v>
      </c>
      <c r="S361">
        <v>0.69300663603879531</v>
      </c>
      <c r="T361">
        <v>0.1647779245858319</v>
      </c>
      <c r="U361">
        <v>3.5710056151097498</v>
      </c>
      <c r="V361">
        <v>24.243773963738391</v>
      </c>
      <c r="W361">
        <v>6.7358083219127993E-2</v>
      </c>
      <c r="X361">
        <v>1.2227001416022432</v>
      </c>
      <c r="Y361">
        <v>0.83534038290033852</v>
      </c>
      <c r="Z361">
        <v>0.59897420845141403</v>
      </c>
      <c r="AA361">
        <v>1.8103121662635069</v>
      </c>
    </row>
    <row r="362" spans="1:27" x14ac:dyDescent="0.2">
      <c r="A362" s="7" t="s">
        <v>2321</v>
      </c>
      <c r="B362" t="s">
        <v>1737</v>
      </c>
      <c r="C362">
        <v>2021</v>
      </c>
      <c r="D362">
        <v>0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24.247830632558852</v>
      </c>
      <c r="Q362">
        <v>2.2393117062965911E-2</v>
      </c>
      <c r="R362">
        <v>-4.0523780681260946E-2</v>
      </c>
      <c r="S362">
        <v>0.18243626062322946</v>
      </c>
      <c r="T362">
        <v>2.9047209263704576E-2</v>
      </c>
      <c r="U362">
        <v>18.228895184135979</v>
      </c>
      <c r="V362">
        <v>22.224076768232635</v>
      </c>
      <c r="W362">
        <v>4.8484868527724073E-2</v>
      </c>
      <c r="X362">
        <v>0.27950276304033705</v>
      </c>
      <c r="Y362">
        <v>0.84238031300243765</v>
      </c>
      <c r="Z362">
        <v>0.24063217698209571</v>
      </c>
      <c r="AA362">
        <v>8.9339360251804525</v>
      </c>
    </row>
    <row r="363" spans="1:27" x14ac:dyDescent="0.2">
      <c r="A363" s="7" t="s">
        <v>2287</v>
      </c>
      <c r="B363" t="s">
        <v>1745</v>
      </c>
      <c r="C363">
        <v>2025</v>
      </c>
      <c r="D363">
        <v>80</v>
      </c>
      <c r="E363">
        <v>5</v>
      </c>
      <c r="F363">
        <v>80</v>
      </c>
      <c r="G363">
        <v>54.051111111111112</v>
      </c>
      <c r="H363">
        <v>1</v>
      </c>
      <c r="I363">
        <v>0.55555555555555558</v>
      </c>
      <c r="J363">
        <v>-0.5</v>
      </c>
      <c r="K363">
        <v>0.24947366021953854</v>
      </c>
      <c r="L363">
        <v>0</v>
      </c>
      <c r="M363">
        <v>0.44444444444444442</v>
      </c>
      <c r="N363">
        <v>1</v>
      </c>
      <c r="O363">
        <v>0.33333333333333331</v>
      </c>
      <c r="P363">
        <v>27.944620903884115</v>
      </c>
      <c r="Q363">
        <v>0.24201917356918082</v>
      </c>
      <c r="R363">
        <v>0.31660027773717303</v>
      </c>
      <c r="S363">
        <v>0.73713612136121365</v>
      </c>
      <c r="T363">
        <v>6.4514010774088679E-2</v>
      </c>
      <c r="U363">
        <v>2.8960127101271014</v>
      </c>
      <c r="V363">
        <v>25.378142397971992</v>
      </c>
      <c r="W363">
        <v>9.4722752925955278E-2</v>
      </c>
      <c r="X363">
        <v>6.1966378839240943E-2</v>
      </c>
      <c r="Y363">
        <v>0.64999849961788247</v>
      </c>
      <c r="Z363">
        <v>0.26553843634157848</v>
      </c>
      <c r="AA363">
        <v>-1.7867758371684923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50A9-4F27-D646-AB7A-C44F9373BCA1}">
  <dimension ref="A1:AA440"/>
  <sheetViews>
    <sheetView zoomScale="75" workbookViewId="0">
      <selection activeCell="G24" sqref="G24"/>
    </sheetView>
  </sheetViews>
  <sheetFormatPr baseColWidth="10" defaultRowHeight="16" x14ac:dyDescent="0.2"/>
  <cols>
    <col min="2" max="2" width="15.83203125" customWidth="1"/>
  </cols>
  <sheetData>
    <row r="1" spans="1:27" x14ac:dyDescent="0.2">
      <c r="A1" s="1" t="s">
        <v>2348</v>
      </c>
      <c r="B1" s="1" t="s">
        <v>0</v>
      </c>
      <c r="C1" s="1" t="s">
        <v>2346</v>
      </c>
      <c r="D1" s="1" t="s">
        <v>2165</v>
      </c>
      <c r="E1" s="14" t="s">
        <v>2347</v>
      </c>
      <c r="F1" s="13" t="s">
        <v>2342</v>
      </c>
      <c r="G1" s="13" t="s">
        <v>2343</v>
      </c>
      <c r="H1" s="9" t="s">
        <v>2325</v>
      </c>
      <c r="I1" s="9" t="s">
        <v>2326</v>
      </c>
      <c r="J1" s="12" t="s">
        <v>2341</v>
      </c>
      <c r="K1" s="12" t="s">
        <v>2344</v>
      </c>
      <c r="L1" s="9" t="s">
        <v>2327</v>
      </c>
      <c r="M1" s="9" t="s">
        <v>2328</v>
      </c>
      <c r="N1" s="9" t="s">
        <v>2329</v>
      </c>
      <c r="O1" s="9" t="s">
        <v>2330</v>
      </c>
      <c r="P1" s="10" t="s">
        <v>2331</v>
      </c>
      <c r="Q1" s="10" t="s">
        <v>2332</v>
      </c>
      <c r="R1" s="10" t="s">
        <v>2333</v>
      </c>
      <c r="S1" s="10" t="s">
        <v>2334</v>
      </c>
      <c r="T1" s="10" t="s">
        <v>2335</v>
      </c>
      <c r="U1" s="10" t="s">
        <v>2349</v>
      </c>
      <c r="V1" s="11" t="s">
        <v>2336</v>
      </c>
      <c r="W1" s="11" t="s">
        <v>2337</v>
      </c>
      <c r="X1" s="11" t="s">
        <v>2338</v>
      </c>
      <c r="Y1" s="11" t="s">
        <v>2339</v>
      </c>
      <c r="Z1" s="11" t="s">
        <v>2340</v>
      </c>
      <c r="AA1" s="11" t="s">
        <v>2350</v>
      </c>
    </row>
    <row r="2" spans="1:27" x14ac:dyDescent="0.2">
      <c r="A2" s="7" t="s">
        <v>2173</v>
      </c>
      <c r="B2" t="s">
        <v>23</v>
      </c>
      <c r="C2">
        <v>2024</v>
      </c>
      <c r="D2">
        <v>0</v>
      </c>
      <c r="E2">
        <v>1</v>
      </c>
      <c r="F2">
        <v>0</v>
      </c>
      <c r="G2">
        <v>214.65000000000006</v>
      </c>
      <c r="H2">
        <v>0</v>
      </c>
      <c r="I2">
        <v>0.83333333333333337</v>
      </c>
      <c r="J2">
        <v>0</v>
      </c>
      <c r="K2">
        <v>3.3213967737444179E-2</v>
      </c>
      <c r="L2">
        <v>0</v>
      </c>
      <c r="M2">
        <v>0.66666666666666663</v>
      </c>
      <c r="N2">
        <v>0</v>
      </c>
      <c r="O2">
        <v>0.16666666666666666</v>
      </c>
      <c r="P2">
        <v>31.055226928515346</v>
      </c>
      <c r="Q2">
        <v>0.67690981132315176</v>
      </c>
      <c r="R2">
        <v>0.25438003947169086</v>
      </c>
      <c r="S2">
        <v>0.88491057282157115</v>
      </c>
      <c r="T2">
        <v>4.4392039770145435E-2</v>
      </c>
      <c r="U2">
        <v>0.73819834955762886</v>
      </c>
      <c r="V2">
        <v>28.895709928348975</v>
      </c>
      <c r="W2">
        <v>0.51199197765638005</v>
      </c>
      <c r="X2">
        <v>0.17118061223249206</v>
      </c>
      <c r="Y2">
        <v>0.79852548005677737</v>
      </c>
      <c r="Z2">
        <v>0.12177692337500727</v>
      </c>
      <c r="AA2">
        <v>0.85190113249297905</v>
      </c>
    </row>
    <row r="3" spans="1:27" x14ac:dyDescent="0.2">
      <c r="A3" s="7" t="s">
        <v>2173</v>
      </c>
      <c r="B3" t="s">
        <v>27</v>
      </c>
      <c r="C3">
        <v>2023</v>
      </c>
      <c r="D3">
        <v>0</v>
      </c>
      <c r="E3">
        <v>1</v>
      </c>
      <c r="F3">
        <v>0</v>
      </c>
      <c r="G3">
        <v>195.35</v>
      </c>
      <c r="H3">
        <v>0</v>
      </c>
      <c r="I3">
        <v>0.83333333333333337</v>
      </c>
      <c r="J3">
        <v>-1</v>
      </c>
      <c r="K3">
        <v>7.3185050172315427E-2</v>
      </c>
      <c r="L3">
        <v>0</v>
      </c>
      <c r="M3">
        <v>0.5</v>
      </c>
      <c r="N3">
        <v>1</v>
      </c>
      <c r="O3">
        <v>0.33333333333333331</v>
      </c>
      <c r="P3">
        <v>30.98839714838881</v>
      </c>
      <c r="Q3">
        <v>0.64206898381917954</v>
      </c>
      <c r="R3">
        <v>-0.26830096068597176</v>
      </c>
      <c r="S3">
        <v>0.88690206369599567</v>
      </c>
      <c r="T3">
        <v>-2.1263586385471302E-2</v>
      </c>
      <c r="U3">
        <v>0.74522865953908879</v>
      </c>
      <c r="V3">
        <v>28.950488017637543</v>
      </c>
      <c r="W3">
        <v>0.47348976337207827</v>
      </c>
      <c r="X3">
        <v>-3.7500664934112936E-2</v>
      </c>
      <c r="Y3">
        <v>0.80302192536609884</v>
      </c>
      <c r="Z3">
        <v>0.11841774986111753</v>
      </c>
      <c r="AA3">
        <v>0.83818777875983486</v>
      </c>
    </row>
    <row r="4" spans="1:27" x14ac:dyDescent="0.2">
      <c r="A4" s="7" t="s">
        <v>2173</v>
      </c>
      <c r="B4" t="s">
        <v>30</v>
      </c>
      <c r="C4">
        <v>2022</v>
      </c>
      <c r="D4">
        <v>51.03</v>
      </c>
      <c r="E4">
        <v>1</v>
      </c>
      <c r="F4">
        <v>51.03</v>
      </c>
      <c r="G4">
        <v>240.5033333333333</v>
      </c>
      <c r="H4">
        <v>1</v>
      </c>
      <c r="I4">
        <v>0.83333333333333337</v>
      </c>
      <c r="J4">
        <v>1</v>
      </c>
      <c r="K4">
        <v>0.59952004385451818</v>
      </c>
      <c r="L4">
        <v>1</v>
      </c>
      <c r="M4">
        <v>0.5</v>
      </c>
      <c r="N4">
        <v>0</v>
      </c>
      <c r="O4">
        <v>0.16666666666666666</v>
      </c>
      <c r="P4">
        <v>30.894064207250224</v>
      </c>
      <c r="Q4">
        <v>0.66665801724976936</v>
      </c>
      <c r="R4">
        <v>0.13988356811839209</v>
      </c>
      <c r="S4">
        <v>0.91974659860894958</v>
      </c>
      <c r="T4">
        <v>4.9332070035370552E-2</v>
      </c>
      <c r="U4">
        <v>0.58878604291843928</v>
      </c>
      <c r="V4">
        <v>28.005022673270954</v>
      </c>
      <c r="W4">
        <v>0.45949876398210993</v>
      </c>
      <c r="X4">
        <v>0.10381140391856736</v>
      </c>
      <c r="Y4">
        <v>0.78172803973763649</v>
      </c>
      <c r="Z4">
        <v>0.12952165295973672</v>
      </c>
      <c r="AA4">
        <v>0.88374829962920176</v>
      </c>
    </row>
    <row r="5" spans="1:27" x14ac:dyDescent="0.2">
      <c r="A5" s="7" t="s">
        <v>2173</v>
      </c>
      <c r="B5" t="s">
        <v>31</v>
      </c>
      <c r="C5">
        <v>2021</v>
      </c>
      <c r="D5">
        <v>0</v>
      </c>
      <c r="E5">
        <v>1</v>
      </c>
      <c r="F5">
        <v>0</v>
      </c>
      <c r="G5">
        <v>82.756666666666675</v>
      </c>
      <c r="H5">
        <v>0</v>
      </c>
      <c r="I5">
        <v>0.83333333333333337</v>
      </c>
      <c r="J5">
        <v>-1</v>
      </c>
      <c r="K5">
        <v>1.230790893694971</v>
      </c>
      <c r="L5">
        <v>0</v>
      </c>
      <c r="M5">
        <v>0.83333333333333337</v>
      </c>
      <c r="N5">
        <v>1</v>
      </c>
      <c r="O5">
        <v>0</v>
      </c>
      <c r="P5">
        <v>30.928605713020012</v>
      </c>
      <c r="Q5">
        <v>0.61646120508458724</v>
      </c>
      <c r="R5">
        <v>0.6200676130682321</v>
      </c>
      <c r="S5">
        <v>0.92570437668480376</v>
      </c>
      <c r="T5">
        <v>8.5679010361529001E-2</v>
      </c>
      <c r="U5">
        <v>0.60359904637449002</v>
      </c>
      <c r="V5">
        <v>28.5880145314181</v>
      </c>
      <c r="W5">
        <v>0.54592305229083227</v>
      </c>
      <c r="X5">
        <v>0.71962063520940733</v>
      </c>
      <c r="Y5">
        <v>0.7816452330629996</v>
      </c>
      <c r="Z5">
        <v>0.12893486160323281</v>
      </c>
      <c r="AA5">
        <v>1.1281548067421958</v>
      </c>
    </row>
    <row r="6" spans="1:27" x14ac:dyDescent="0.2">
      <c r="A6" s="7" t="s">
        <v>2173</v>
      </c>
      <c r="B6" t="s">
        <v>35</v>
      </c>
      <c r="C6">
        <v>2020</v>
      </c>
      <c r="D6">
        <v>12.55</v>
      </c>
      <c r="E6">
        <v>1</v>
      </c>
      <c r="F6">
        <v>12.55</v>
      </c>
      <c r="G6">
        <v>54.073333333333331</v>
      </c>
      <c r="H6">
        <v>1</v>
      </c>
      <c r="I6">
        <v>0.83333333333333337</v>
      </c>
      <c r="J6">
        <v>-0.17650918635170601</v>
      </c>
      <c r="K6">
        <v>-0.29877017459072802</v>
      </c>
      <c r="L6">
        <v>0</v>
      </c>
      <c r="M6">
        <v>0.33333333333333331</v>
      </c>
      <c r="N6">
        <v>1</v>
      </c>
      <c r="O6">
        <v>0.5</v>
      </c>
      <c r="P6">
        <v>30.781711671682622</v>
      </c>
      <c r="Q6">
        <v>0.68957551509633896</v>
      </c>
      <c r="R6">
        <v>-0.17469058202995114</v>
      </c>
      <c r="S6">
        <v>0.92655942708047667</v>
      </c>
      <c r="T6">
        <v>7.1806643831163241E-3</v>
      </c>
      <c r="U6">
        <v>0.57734601342327574</v>
      </c>
      <c r="V6">
        <v>28.62410898974591</v>
      </c>
      <c r="W6">
        <v>0.5371219038041336</v>
      </c>
      <c r="X6">
        <v>-0.27049470961689742</v>
      </c>
      <c r="Y6">
        <v>0.74822583962489408</v>
      </c>
      <c r="Z6">
        <v>3.2136749155249916E-2</v>
      </c>
      <c r="AA6">
        <v>1.2967729424726022</v>
      </c>
    </row>
    <row r="7" spans="1:27" x14ac:dyDescent="0.2">
      <c r="A7" s="7" t="s">
        <v>2173</v>
      </c>
      <c r="B7" t="s">
        <v>39</v>
      </c>
      <c r="C7">
        <v>2019</v>
      </c>
      <c r="D7">
        <v>15.24</v>
      </c>
      <c r="E7">
        <v>1</v>
      </c>
      <c r="F7">
        <v>15.24</v>
      </c>
      <c r="G7">
        <v>112.14333333333333</v>
      </c>
      <c r="H7">
        <v>1</v>
      </c>
      <c r="I7">
        <v>0.83333333333333337</v>
      </c>
      <c r="J7">
        <v>-8.2480433473810913E-2</v>
      </c>
      <c r="K7">
        <v>0.24288944535612003</v>
      </c>
      <c r="L7">
        <v>0</v>
      </c>
      <c r="M7">
        <v>0.5</v>
      </c>
      <c r="N7">
        <v>1</v>
      </c>
      <c r="O7">
        <v>0.16666666666666666</v>
      </c>
      <c r="P7">
        <v>30.716701400339002</v>
      </c>
      <c r="Q7">
        <v>0.6789238522301172</v>
      </c>
      <c r="R7">
        <v>-6.8645652932810219E-2</v>
      </c>
      <c r="S7">
        <v>0.94282054617069999</v>
      </c>
      <c r="T7">
        <v>5.9472199379436173E-2</v>
      </c>
      <c r="U7">
        <v>0.49718230829655835</v>
      </c>
      <c r="V7">
        <v>28.57221706652582</v>
      </c>
      <c r="W7">
        <v>0.51462950612310221</v>
      </c>
      <c r="X7">
        <v>2.5367390533262441E-2</v>
      </c>
      <c r="Y7">
        <v>0.82043004245216766</v>
      </c>
      <c r="Z7">
        <v>0.16320281597335701</v>
      </c>
      <c r="AA7">
        <v>0.95146752072382801</v>
      </c>
    </row>
    <row r="8" spans="1:27" x14ac:dyDescent="0.2">
      <c r="A8" s="7" t="s">
        <v>2173</v>
      </c>
      <c r="B8" t="s">
        <v>43</v>
      </c>
      <c r="C8">
        <v>2018</v>
      </c>
      <c r="D8">
        <v>16.61</v>
      </c>
      <c r="E8">
        <v>1</v>
      </c>
      <c r="F8">
        <v>16.61</v>
      </c>
      <c r="G8">
        <v>64.588333333333324</v>
      </c>
      <c r="H8">
        <v>1</v>
      </c>
      <c r="I8">
        <v>0.83333333333333337</v>
      </c>
      <c r="J8">
        <v>1.0659203980099503</v>
      </c>
      <c r="K8">
        <v>0.58403361050346703</v>
      </c>
      <c r="L8">
        <v>1</v>
      </c>
      <c r="M8">
        <v>0.66666666666666663</v>
      </c>
      <c r="N8">
        <v>0</v>
      </c>
      <c r="O8">
        <v>0</v>
      </c>
      <c r="P8">
        <v>30.666475899791489</v>
      </c>
      <c r="Q8">
        <v>0.66358202902004959</v>
      </c>
      <c r="R8">
        <v>0.25633934364098065</v>
      </c>
      <c r="S8">
        <v>0.95895668406121792</v>
      </c>
      <c r="T8">
        <v>7.8311238562828803E-2</v>
      </c>
      <c r="U8">
        <v>0.51061330401890859</v>
      </c>
      <c r="V8">
        <v>28.458498470957164</v>
      </c>
      <c r="W8">
        <v>0.50857093375965079</v>
      </c>
      <c r="X8">
        <v>0.36447021235614913</v>
      </c>
      <c r="Y8">
        <v>0.75475666621895687</v>
      </c>
      <c r="Z8">
        <v>0.12546631841900283</v>
      </c>
      <c r="AA8">
        <v>0.92459536485141181</v>
      </c>
    </row>
    <row r="9" spans="1:27" x14ac:dyDescent="0.2">
      <c r="A9" s="7" t="s">
        <v>2173</v>
      </c>
      <c r="B9" t="s">
        <v>47</v>
      </c>
      <c r="C9">
        <v>2017</v>
      </c>
      <c r="D9">
        <v>8.0399999999999991</v>
      </c>
      <c r="E9">
        <v>1</v>
      </c>
      <c r="F9">
        <v>8.0399999999999991</v>
      </c>
      <c r="G9">
        <v>46.836666666666666</v>
      </c>
      <c r="H9">
        <v>1</v>
      </c>
      <c r="I9">
        <v>0.83333333333333337</v>
      </c>
      <c r="J9">
        <v>0</v>
      </c>
      <c r="K9">
        <v>0.29415529581938399</v>
      </c>
      <c r="L9">
        <v>0</v>
      </c>
      <c r="M9">
        <v>0.83333333333333337</v>
      </c>
      <c r="N9">
        <v>0</v>
      </c>
      <c r="O9">
        <v>0</v>
      </c>
      <c r="P9">
        <v>30.534570664090417</v>
      </c>
      <c r="Q9">
        <v>0.68782483687222329</v>
      </c>
      <c r="R9">
        <v>7.1197573052491192E-2</v>
      </c>
      <c r="S9">
        <v>0.96041190527453713</v>
      </c>
      <c r="T9">
        <v>4.3625085002696989E-2</v>
      </c>
      <c r="U9">
        <v>0.51793923189591828</v>
      </c>
      <c r="V9">
        <v>28.340294221632764</v>
      </c>
      <c r="W9">
        <v>0.52425580172965813</v>
      </c>
      <c r="X9">
        <v>0.16368051534193973</v>
      </c>
      <c r="Y9">
        <v>0.73280408468167568</v>
      </c>
      <c r="Z9">
        <v>7.7823092704658745E-2</v>
      </c>
      <c r="AA9">
        <v>0.97472195973747044</v>
      </c>
    </row>
    <row r="10" spans="1:27" x14ac:dyDescent="0.2">
      <c r="A10" s="7" t="s">
        <v>2173</v>
      </c>
      <c r="B10" t="s">
        <v>51</v>
      </c>
      <c r="C10">
        <v>2016</v>
      </c>
      <c r="D10">
        <v>8.0399999999999991</v>
      </c>
      <c r="E10">
        <v>1</v>
      </c>
      <c r="F10">
        <v>8.0399999999999991</v>
      </c>
      <c r="G10">
        <v>39.714999999999996</v>
      </c>
      <c r="H10">
        <v>1</v>
      </c>
      <c r="I10">
        <v>0.83333333333333337</v>
      </c>
      <c r="J10">
        <v>1.9011406844106397E-2</v>
      </c>
      <c r="K10">
        <v>0.12024418244311276</v>
      </c>
      <c r="L10">
        <v>1</v>
      </c>
      <c r="M10">
        <v>0.5</v>
      </c>
      <c r="N10">
        <v>0</v>
      </c>
      <c r="O10">
        <v>0.16666666666666666</v>
      </c>
      <c r="P10">
        <v>30.459454702179315</v>
      </c>
      <c r="Q10">
        <v>0.67987405592478678</v>
      </c>
      <c r="R10">
        <v>6.2129136001112251E-3</v>
      </c>
      <c r="S10">
        <v>0.96184328410843745</v>
      </c>
      <c r="T10">
        <v>5.870328490395537E-2</v>
      </c>
      <c r="U10">
        <v>0.47869044477902545</v>
      </c>
      <c r="V10">
        <v>28.279917393391163</v>
      </c>
      <c r="W10">
        <v>0.50976915651127397</v>
      </c>
      <c r="X10">
        <v>1.2025010972091809E-2</v>
      </c>
      <c r="Y10">
        <v>0.68181067484391633</v>
      </c>
      <c r="Z10">
        <v>0.1046415641016665</v>
      </c>
      <c r="AA10">
        <v>1.0228333237057139</v>
      </c>
    </row>
    <row r="11" spans="1:27" x14ac:dyDescent="0.2">
      <c r="A11" s="7" t="s">
        <v>2173</v>
      </c>
      <c r="B11" t="s">
        <v>55</v>
      </c>
      <c r="C11">
        <v>2015</v>
      </c>
      <c r="D11">
        <v>7.89</v>
      </c>
      <c r="E11">
        <v>1</v>
      </c>
      <c r="F11">
        <v>7.89</v>
      </c>
      <c r="G11">
        <v>35.634999999999998</v>
      </c>
      <c r="H11">
        <v>1</v>
      </c>
      <c r="I11">
        <v>0.83333333333333337</v>
      </c>
      <c r="J11">
        <v>9.5833333333333257E-2</v>
      </c>
      <c r="K11">
        <v>0.14170091571122448</v>
      </c>
      <c r="L11">
        <v>1</v>
      </c>
      <c r="M11">
        <v>0.66666666666666663</v>
      </c>
      <c r="N11">
        <v>0</v>
      </c>
      <c r="O11">
        <v>0.16666666666666666</v>
      </c>
      <c r="P11">
        <v>30.467290960594653</v>
      </c>
      <c r="Q11">
        <v>0.64531170464061782</v>
      </c>
      <c r="R11">
        <v>8.649791558247677E-2</v>
      </c>
      <c r="S11">
        <v>0.94994686943808038</v>
      </c>
      <c r="T11">
        <v>4.996656790624493E-2</v>
      </c>
      <c r="U11">
        <v>0.56231154867296362</v>
      </c>
      <c r="V11">
        <v>28.027871693643341</v>
      </c>
      <c r="W11">
        <v>0.5715191003465081</v>
      </c>
      <c r="X11">
        <v>0.11349516833089235</v>
      </c>
      <c r="Y11">
        <v>0.93141875924207973</v>
      </c>
      <c r="Z11">
        <v>8.333263086364541E-2</v>
      </c>
      <c r="AA11">
        <v>-1.2671068112371704</v>
      </c>
    </row>
    <row r="12" spans="1:27" x14ac:dyDescent="0.2">
      <c r="A12" s="7" t="s">
        <v>2173</v>
      </c>
      <c r="B12" t="s">
        <v>59</v>
      </c>
      <c r="C12">
        <v>2014</v>
      </c>
      <c r="D12">
        <v>7.2</v>
      </c>
      <c r="E12">
        <v>1</v>
      </c>
      <c r="F12">
        <v>7.2</v>
      </c>
      <c r="G12">
        <v>30.623333333333338</v>
      </c>
      <c r="H12">
        <v>1</v>
      </c>
      <c r="I12">
        <v>0.83333333333333337</v>
      </c>
      <c r="J12">
        <v>0</v>
      </c>
      <c r="K12">
        <v>0.11887241342288564</v>
      </c>
      <c r="L12">
        <v>0</v>
      </c>
      <c r="M12">
        <v>0.66666666666666663</v>
      </c>
      <c r="N12">
        <v>0</v>
      </c>
      <c r="O12">
        <v>0.16666666666666666</v>
      </c>
      <c r="P12">
        <v>30.350833207338933</v>
      </c>
      <c r="Q12">
        <v>0.65559075392670851</v>
      </c>
      <c r="R12">
        <v>6.4733002981924637E-2</v>
      </c>
      <c r="S12">
        <v>0.94814852656926307</v>
      </c>
      <c r="T12">
        <v>1.0987182156690922E-2</v>
      </c>
      <c r="U12">
        <v>0.49974688787701133</v>
      </c>
      <c r="V12">
        <v>28.372328915213384</v>
      </c>
      <c r="W12">
        <v>0.62176756223611285</v>
      </c>
      <c r="X12">
        <v>0.16466401188567392</v>
      </c>
      <c r="Y12">
        <v>0.98195601519919717</v>
      </c>
      <c r="Z12">
        <v>7.137529378609328E-2</v>
      </c>
      <c r="AA12">
        <v>0.86783657475742348</v>
      </c>
    </row>
    <row r="13" spans="1:27" x14ac:dyDescent="0.2">
      <c r="A13" s="7" t="s">
        <v>2173</v>
      </c>
      <c r="B13" t="s">
        <v>67</v>
      </c>
      <c r="C13">
        <v>2012</v>
      </c>
      <c r="D13">
        <v>5.99</v>
      </c>
      <c r="E13">
        <v>1</v>
      </c>
      <c r="F13">
        <v>5.99</v>
      </c>
      <c r="G13">
        <v>19.001666666666665</v>
      </c>
      <c r="H13">
        <v>1</v>
      </c>
      <c r="I13">
        <v>0.83333333333333337</v>
      </c>
      <c r="J13">
        <v>-0.33221850613154963</v>
      </c>
      <c r="K13">
        <v>7.6735506186178068E-2</v>
      </c>
      <c r="L13">
        <v>0</v>
      </c>
      <c r="M13">
        <v>0.66666666666666663</v>
      </c>
      <c r="N13">
        <v>1</v>
      </c>
      <c r="O13">
        <v>0.16666666666666666</v>
      </c>
      <c r="P13">
        <v>30.121589955223332</v>
      </c>
      <c r="Q13">
        <v>0.64785398974937225</v>
      </c>
      <c r="R13">
        <v>2.7457090546010532E-2</v>
      </c>
      <c r="S13">
        <v>0.93903490756449703</v>
      </c>
      <c r="T13">
        <v>0.10540943848479907</v>
      </c>
      <c r="U13">
        <v>0.38696800655181979</v>
      </c>
      <c r="V13">
        <v>27.941601621502926</v>
      </c>
      <c r="W13">
        <v>0.61294539861361075</v>
      </c>
      <c r="X13">
        <v>3.9420032186550824E-2</v>
      </c>
      <c r="Y13" t="s">
        <v>2345</v>
      </c>
      <c r="Z13">
        <v>0.12618571892984234</v>
      </c>
      <c r="AA13">
        <v>0.50988452343578827</v>
      </c>
    </row>
    <row r="14" spans="1:27" x14ac:dyDescent="0.2">
      <c r="A14" s="7" t="s">
        <v>2178</v>
      </c>
      <c r="B14" t="s">
        <v>79</v>
      </c>
      <c r="C14">
        <v>2025</v>
      </c>
      <c r="D14">
        <v>397</v>
      </c>
      <c r="E14">
        <v>1</v>
      </c>
      <c r="F14">
        <v>397</v>
      </c>
      <c r="G14">
        <v>11.590000000000002</v>
      </c>
      <c r="H14">
        <v>1</v>
      </c>
      <c r="I14">
        <v>0.5</v>
      </c>
      <c r="J14">
        <v>-0.62369668246445498</v>
      </c>
      <c r="K14">
        <v>-0.51901680290072039</v>
      </c>
      <c r="L14">
        <v>0</v>
      </c>
      <c r="M14">
        <v>0</v>
      </c>
      <c r="N14">
        <v>1</v>
      </c>
      <c r="O14">
        <v>0.66666666666666663</v>
      </c>
      <c r="P14">
        <v>29.331107632614167</v>
      </c>
      <c r="Q14">
        <v>0.68588586811281049</v>
      </c>
      <c r="R14">
        <v>-0.56298308392180951</v>
      </c>
      <c r="S14">
        <v>1.1230089015354674</v>
      </c>
      <c r="T14">
        <v>-0.14364113670492185</v>
      </c>
      <c r="U14">
        <v>0.50958002213181863</v>
      </c>
      <c r="V14">
        <v>28.648938493617798</v>
      </c>
      <c r="W14">
        <v>0.47597260545144227</v>
      </c>
      <c r="X14">
        <v>-8.4693664174095629E-2</v>
      </c>
      <c r="Y14">
        <v>0.92840826223429396</v>
      </c>
      <c r="Z14">
        <v>6.0424107437486684E-2</v>
      </c>
      <c r="AA14">
        <v>0.43679759231998971</v>
      </c>
    </row>
    <row r="15" spans="1:27" x14ac:dyDescent="0.2">
      <c r="A15" s="7" t="s">
        <v>2178</v>
      </c>
      <c r="B15" t="s">
        <v>81</v>
      </c>
      <c r="C15">
        <v>2024</v>
      </c>
      <c r="D15">
        <v>1055</v>
      </c>
      <c r="E15">
        <v>1</v>
      </c>
      <c r="F15">
        <v>1055</v>
      </c>
      <c r="G15">
        <v>38.81666666666667</v>
      </c>
      <c r="H15">
        <v>1</v>
      </c>
      <c r="I15">
        <v>0.66666666666666663</v>
      </c>
      <c r="J15">
        <v>0.1164021164021164</v>
      </c>
      <c r="K15">
        <v>1.3813615003758118E-2</v>
      </c>
      <c r="L15">
        <v>1</v>
      </c>
      <c r="M15">
        <v>0.5</v>
      </c>
      <c r="N15">
        <v>0</v>
      </c>
      <c r="O15">
        <v>0.16666666666666666</v>
      </c>
      <c r="P15">
        <v>29.859164842737719</v>
      </c>
      <c r="Q15">
        <v>0.5404276530147365</v>
      </c>
      <c r="R15">
        <v>8.7440906332666657E-2</v>
      </c>
      <c r="S15">
        <v>0.82896494026124168</v>
      </c>
      <c r="T15">
        <v>9.5236359065184004E-2</v>
      </c>
      <c r="U15">
        <v>0.34686712493659322</v>
      </c>
      <c r="V15">
        <v>29.134922345504503</v>
      </c>
      <c r="W15">
        <v>0.53928840931806321</v>
      </c>
      <c r="X15">
        <v>0.20456843886029691</v>
      </c>
      <c r="Y15">
        <v>0.81251188819685982</v>
      </c>
      <c r="Z15">
        <v>0.11160805951599957</v>
      </c>
      <c r="AA15">
        <v>0.93016737741718614</v>
      </c>
    </row>
    <row r="16" spans="1:27" x14ac:dyDescent="0.2">
      <c r="A16" s="7" t="s">
        <v>2178</v>
      </c>
      <c r="B16" t="s">
        <v>85</v>
      </c>
      <c r="C16">
        <v>2021</v>
      </c>
      <c r="D16">
        <v>340</v>
      </c>
      <c r="E16">
        <v>1</v>
      </c>
      <c r="F16">
        <v>340</v>
      </c>
      <c r="G16">
        <v>26.09</v>
      </c>
      <c r="H16">
        <v>1</v>
      </c>
      <c r="I16">
        <v>0.66666666666666663</v>
      </c>
      <c r="J16">
        <v>0.31274131274131273</v>
      </c>
      <c r="K16">
        <v>1.0120006749047523</v>
      </c>
      <c r="L16">
        <v>1</v>
      </c>
      <c r="M16">
        <v>0.66666666666666663</v>
      </c>
      <c r="N16">
        <v>0</v>
      </c>
      <c r="O16">
        <v>0.16666666666666666</v>
      </c>
      <c r="P16">
        <v>29.55742059220767</v>
      </c>
      <c r="Q16">
        <v>0.62101760749009172</v>
      </c>
      <c r="R16">
        <v>0.67307538513398857</v>
      </c>
      <c r="S16">
        <v>0.94628606751350375</v>
      </c>
      <c r="T16">
        <v>0.120643001640904</v>
      </c>
      <c r="U16">
        <v>0.51768068687897728</v>
      </c>
      <c r="V16">
        <v>28.862251555580571</v>
      </c>
      <c r="W16">
        <v>0.54501177180973137</v>
      </c>
      <c r="X16">
        <v>0.70901908079625608</v>
      </c>
      <c r="Y16">
        <v>0.77752889489725963</v>
      </c>
      <c r="Z16">
        <v>0.1219420633473578</v>
      </c>
      <c r="AA16">
        <v>1.1453384786412983</v>
      </c>
    </row>
    <row r="17" spans="1:27" x14ac:dyDescent="0.2">
      <c r="A17" s="7" t="s">
        <v>2178</v>
      </c>
      <c r="B17" t="s">
        <v>89</v>
      </c>
      <c r="C17">
        <v>2020</v>
      </c>
      <c r="D17">
        <v>259</v>
      </c>
      <c r="E17">
        <v>1</v>
      </c>
      <c r="F17">
        <v>259</v>
      </c>
      <c r="G17">
        <v>12.998333333333335</v>
      </c>
      <c r="H17">
        <v>1</v>
      </c>
      <c r="I17">
        <v>0.83333333333333337</v>
      </c>
      <c r="J17">
        <v>-0.52214022140221406</v>
      </c>
      <c r="K17">
        <v>-0.24116500208230998</v>
      </c>
      <c r="L17">
        <v>0</v>
      </c>
      <c r="M17">
        <v>0.33333333333333331</v>
      </c>
      <c r="N17">
        <v>1</v>
      </c>
      <c r="O17">
        <v>0.5</v>
      </c>
      <c r="P17">
        <v>29.421376099327965</v>
      </c>
      <c r="Q17">
        <v>0.71174460021306574</v>
      </c>
      <c r="R17">
        <v>-0.28080294891908764</v>
      </c>
      <c r="S17">
        <v>0.93398100981754961</v>
      </c>
      <c r="T17">
        <v>2.7864171003219884E-3</v>
      </c>
      <c r="U17">
        <v>0.45047649757938357</v>
      </c>
      <c r="V17">
        <v>28.850831585138355</v>
      </c>
      <c r="W17">
        <v>0.53342705628467912</v>
      </c>
      <c r="X17">
        <v>-0.25280931513537469</v>
      </c>
      <c r="Y17">
        <v>0.7469889091687153</v>
      </c>
      <c r="Z17">
        <v>3.2869123702382312E-2</v>
      </c>
      <c r="AA17">
        <v>1.3179178617799174</v>
      </c>
    </row>
    <row r="18" spans="1:27" x14ac:dyDescent="0.2">
      <c r="A18" s="7" t="s">
        <v>2178</v>
      </c>
      <c r="B18" t="s">
        <v>93</v>
      </c>
      <c r="C18">
        <v>2019</v>
      </c>
      <c r="D18">
        <v>542</v>
      </c>
      <c r="E18">
        <v>1</v>
      </c>
      <c r="F18">
        <v>542</v>
      </c>
      <c r="G18">
        <v>24.349999999999998</v>
      </c>
      <c r="H18">
        <v>1</v>
      </c>
      <c r="I18">
        <v>0.83333333333333337</v>
      </c>
      <c r="J18">
        <v>1.1679999999999999</v>
      </c>
      <c r="K18">
        <v>3.44760397771516E-2</v>
      </c>
      <c r="L18">
        <v>1</v>
      </c>
      <c r="M18">
        <v>0.33333333333333331</v>
      </c>
      <c r="N18">
        <v>0</v>
      </c>
      <c r="O18">
        <v>0.33333333333333331</v>
      </c>
      <c r="P18">
        <v>29.413916414218132</v>
      </c>
      <c r="Q18">
        <v>0.67697547523562107</v>
      </c>
      <c r="R18">
        <v>-2.4221713366125441E-2</v>
      </c>
      <c r="S18">
        <v>1.0578059514542655</v>
      </c>
      <c r="T18">
        <v>0.10997469739966807</v>
      </c>
      <c r="U18">
        <v>0.49669720185159039</v>
      </c>
      <c r="V18">
        <v>28.789347897545966</v>
      </c>
      <c r="W18">
        <v>0.5149542356221849</v>
      </c>
      <c r="X18">
        <v>1.7963400605481645E-2</v>
      </c>
      <c r="Y18">
        <v>0.80126580823824012</v>
      </c>
      <c r="Z18">
        <v>0.15478573296998502</v>
      </c>
      <c r="AA18">
        <v>0.95154837179798923</v>
      </c>
    </row>
    <row r="19" spans="1:27" x14ac:dyDescent="0.2">
      <c r="A19" s="7" t="s">
        <v>2178</v>
      </c>
      <c r="B19" t="s">
        <v>97</v>
      </c>
      <c r="C19">
        <v>2018</v>
      </c>
      <c r="D19">
        <v>250</v>
      </c>
      <c r="E19">
        <v>1</v>
      </c>
      <c r="F19">
        <v>250</v>
      </c>
      <c r="G19">
        <v>25.689999999999998</v>
      </c>
      <c r="H19">
        <v>1</v>
      </c>
      <c r="I19">
        <v>0.83333333333333337</v>
      </c>
      <c r="J19">
        <v>0.16279069767441862</v>
      </c>
      <c r="K19">
        <v>0.7345552272260556</v>
      </c>
      <c r="L19">
        <v>1</v>
      </c>
      <c r="M19">
        <v>0.66666666666666663</v>
      </c>
      <c r="N19">
        <v>0</v>
      </c>
      <c r="O19">
        <v>0</v>
      </c>
      <c r="P19">
        <v>29.377152267079342</v>
      </c>
      <c r="Q19">
        <v>0.66798828131132926</v>
      </c>
      <c r="R19">
        <v>0.35359412333946194</v>
      </c>
      <c r="S19">
        <v>0.97302140700709905</v>
      </c>
      <c r="T19">
        <v>0.11335429161232957</v>
      </c>
      <c r="U19">
        <v>0.40722852879790139</v>
      </c>
      <c r="V19">
        <v>28.673385743075851</v>
      </c>
      <c r="W19">
        <v>0.50783655837777086</v>
      </c>
      <c r="X19">
        <v>0.34826108240640224</v>
      </c>
      <c r="Y19">
        <v>0.75241254572797667</v>
      </c>
      <c r="Z19">
        <v>0.11962580957741936</v>
      </c>
      <c r="AA19">
        <v>0.94182616072157976</v>
      </c>
    </row>
    <row r="20" spans="1:27" x14ac:dyDescent="0.2">
      <c r="A20" s="7" t="s">
        <v>2178</v>
      </c>
      <c r="B20" t="s">
        <v>101</v>
      </c>
      <c r="C20">
        <v>2017</v>
      </c>
      <c r="D20">
        <v>215</v>
      </c>
      <c r="E20">
        <v>1</v>
      </c>
      <c r="F20">
        <v>215</v>
      </c>
      <c r="G20">
        <v>12.343333333333334</v>
      </c>
      <c r="H20">
        <v>1</v>
      </c>
      <c r="I20">
        <v>0.83333333333333337</v>
      </c>
      <c r="J20">
        <v>0.10256410256410256</v>
      </c>
      <c r="K20">
        <v>0.27706127872536684</v>
      </c>
      <c r="L20">
        <v>1</v>
      </c>
      <c r="M20">
        <v>0.66666666666666663</v>
      </c>
      <c r="N20">
        <v>0</v>
      </c>
      <c r="O20">
        <v>0</v>
      </c>
      <c r="P20">
        <v>29.284708422632313</v>
      </c>
      <c r="Q20">
        <v>0.68408303140992099</v>
      </c>
      <c r="R20">
        <v>0.13576695819530915</v>
      </c>
      <c r="S20">
        <v>1.0245699703672846</v>
      </c>
      <c r="T20">
        <v>8.2106551697469984E-2</v>
      </c>
      <c r="U20">
        <v>0.49731162540443086</v>
      </c>
      <c r="V20">
        <v>28.548604595209117</v>
      </c>
      <c r="W20">
        <v>0.52487943597337516</v>
      </c>
      <c r="X20">
        <v>0.15291895115147006</v>
      </c>
      <c r="Y20">
        <v>0.72211107383288431</v>
      </c>
      <c r="Z20">
        <v>7.1409514922196576E-2</v>
      </c>
      <c r="AA20">
        <v>0.97815989415271831</v>
      </c>
    </row>
    <row r="21" spans="1:27" x14ac:dyDescent="0.2">
      <c r="A21" s="7" t="s">
        <v>2178</v>
      </c>
      <c r="B21" t="s">
        <v>105</v>
      </c>
      <c r="C21">
        <v>2016</v>
      </c>
      <c r="D21">
        <v>195</v>
      </c>
      <c r="E21">
        <v>1</v>
      </c>
      <c r="F21">
        <v>195</v>
      </c>
      <c r="G21">
        <v>8.5549999999999997</v>
      </c>
      <c r="H21">
        <v>1</v>
      </c>
      <c r="I21">
        <v>0.83333333333333337</v>
      </c>
      <c r="J21">
        <v>0.10169491525423729</v>
      </c>
      <c r="K21">
        <v>0.10646359770809094</v>
      </c>
      <c r="L21">
        <v>1</v>
      </c>
      <c r="M21">
        <v>0.5</v>
      </c>
      <c r="N21">
        <v>0</v>
      </c>
      <c r="O21">
        <v>0.16666666666666666</v>
      </c>
      <c r="P21">
        <v>29.243389330829711</v>
      </c>
      <c r="Q21">
        <v>0.67628856358131428</v>
      </c>
      <c r="R21">
        <v>-9.0798479748828043E-2</v>
      </c>
      <c r="S21">
        <v>1.0232957953492061</v>
      </c>
      <c r="T21">
        <v>4.1382402882630079E-2</v>
      </c>
      <c r="U21">
        <v>0.55365397389567195</v>
      </c>
      <c r="V21">
        <v>28.482594955282764</v>
      </c>
      <c r="W21">
        <v>0.51036673856851944</v>
      </c>
      <c r="X21">
        <v>3.1427289641879665E-2</v>
      </c>
      <c r="Y21">
        <v>0.66952017259576257</v>
      </c>
      <c r="Z21">
        <v>0.10810574050593155</v>
      </c>
      <c r="AA21">
        <v>1.0103394021862728</v>
      </c>
    </row>
    <row r="22" spans="1:27" x14ac:dyDescent="0.2">
      <c r="A22" s="7" t="s">
        <v>2178</v>
      </c>
      <c r="B22" t="s">
        <v>109</v>
      </c>
      <c r="C22">
        <v>2015</v>
      </c>
      <c r="D22">
        <v>177</v>
      </c>
      <c r="E22">
        <v>1</v>
      </c>
      <c r="F22">
        <v>177</v>
      </c>
      <c r="G22">
        <v>7.45</v>
      </c>
      <c r="H22">
        <v>1</v>
      </c>
      <c r="I22">
        <v>0.83333333333333337</v>
      </c>
      <c r="J22">
        <v>0.14935064935064934</v>
      </c>
      <c r="K22">
        <v>0.13278136304167179</v>
      </c>
      <c r="L22">
        <v>1</v>
      </c>
      <c r="M22">
        <v>0.66666666666666663</v>
      </c>
      <c r="N22">
        <v>0</v>
      </c>
      <c r="O22">
        <v>0.16666666666666666</v>
      </c>
      <c r="P22">
        <v>29.244571958657058</v>
      </c>
      <c r="Q22">
        <v>0.67943039556770723</v>
      </c>
      <c r="R22">
        <v>2.8796562707219087E-2</v>
      </c>
      <c r="S22">
        <v>0.99938261556848573</v>
      </c>
      <c r="T22">
        <v>6.2591509271612875E-2</v>
      </c>
      <c r="U22">
        <v>0.55370656569001298</v>
      </c>
      <c r="V22">
        <v>28.272415494030859</v>
      </c>
      <c r="W22">
        <v>0.56469536216109018</v>
      </c>
      <c r="X22">
        <v>0.12792050654970677</v>
      </c>
      <c r="Y22">
        <v>0.92153161001599881</v>
      </c>
      <c r="Z22">
        <v>8.017639552230342E-2</v>
      </c>
      <c r="AA22">
        <v>-1.2653858146405799</v>
      </c>
    </row>
    <row r="23" spans="1:27" x14ac:dyDescent="0.2">
      <c r="A23" s="7" t="s">
        <v>2178</v>
      </c>
      <c r="B23" t="s">
        <v>114</v>
      </c>
      <c r="C23">
        <v>2014</v>
      </c>
      <c r="D23">
        <v>154</v>
      </c>
      <c r="E23">
        <v>1</v>
      </c>
      <c r="F23">
        <v>154</v>
      </c>
      <c r="G23">
        <v>6.1566666666666663</v>
      </c>
      <c r="H23">
        <v>1</v>
      </c>
      <c r="I23">
        <v>0.83333333333333337</v>
      </c>
      <c r="J23">
        <v>0.4</v>
      </c>
      <c r="K23">
        <v>5.2205746756218967E-2</v>
      </c>
      <c r="L23">
        <v>1</v>
      </c>
      <c r="M23">
        <v>0.5</v>
      </c>
      <c r="N23">
        <v>0</v>
      </c>
      <c r="O23">
        <v>0.16666666666666666</v>
      </c>
      <c r="P23">
        <v>29.097405217152055</v>
      </c>
      <c r="Q23">
        <v>0.72868515205724504</v>
      </c>
      <c r="R23">
        <v>0.23981588223734662</v>
      </c>
      <c r="S23">
        <v>1.0364465532500735</v>
      </c>
      <c r="T23">
        <v>4.6727909965986726E-2</v>
      </c>
      <c r="U23">
        <v>0.37427475661323634</v>
      </c>
      <c r="V23">
        <v>28.685685912760103</v>
      </c>
      <c r="W23">
        <v>0.60349396270347877</v>
      </c>
      <c r="X23">
        <v>0.12089329207181843</v>
      </c>
      <c r="Y23">
        <v>0.95252333963892699</v>
      </c>
      <c r="Z23">
        <v>6.2440111833769324E-2</v>
      </c>
      <c r="AA23">
        <v>0.89920460757336718</v>
      </c>
    </row>
    <row r="24" spans="1:27" x14ac:dyDescent="0.2">
      <c r="A24" s="7" t="s">
        <v>2182</v>
      </c>
      <c r="B24" t="s">
        <v>136</v>
      </c>
      <c r="C24">
        <v>2021</v>
      </c>
      <c r="D24">
        <v>71.44</v>
      </c>
      <c r="E24">
        <v>1</v>
      </c>
      <c r="F24">
        <v>71.44</v>
      </c>
      <c r="G24">
        <v>70.849999999999994</v>
      </c>
      <c r="H24">
        <v>1</v>
      </c>
      <c r="I24">
        <v>0.66666666666666663</v>
      </c>
      <c r="J24">
        <v>1.0089988751406072</v>
      </c>
      <c r="K24">
        <v>0.89595774783820314</v>
      </c>
      <c r="L24">
        <v>1</v>
      </c>
      <c r="M24">
        <v>0.66666666666666663</v>
      </c>
      <c r="N24">
        <v>0</v>
      </c>
      <c r="O24">
        <v>0.16666666666666666</v>
      </c>
      <c r="P24">
        <v>28.530232421227353</v>
      </c>
      <c r="Q24">
        <v>0.35421481536939142</v>
      </c>
      <c r="R24">
        <v>0.62504144352722357</v>
      </c>
      <c r="S24">
        <v>0.98415721102460985</v>
      </c>
      <c r="T24">
        <v>0.19997201584646973</v>
      </c>
      <c r="U24">
        <v>0.28574619834274056</v>
      </c>
      <c r="V24">
        <v>29.067689189776633</v>
      </c>
      <c r="W24">
        <v>0.59837233023387149</v>
      </c>
      <c r="X24">
        <v>0.71862586911760906</v>
      </c>
      <c r="Y24">
        <v>0.76995466619503838</v>
      </c>
      <c r="Z24">
        <v>0.10607626050624464</v>
      </c>
      <c r="AA24">
        <v>1.1917253763485456</v>
      </c>
    </row>
    <row r="25" spans="1:27" x14ac:dyDescent="0.2">
      <c r="A25" s="7" t="s">
        <v>2182</v>
      </c>
      <c r="B25" t="s">
        <v>139</v>
      </c>
      <c r="C25">
        <v>2020</v>
      </c>
      <c r="D25">
        <v>35.56</v>
      </c>
      <c r="E25">
        <v>1</v>
      </c>
      <c r="F25">
        <v>35.56</v>
      </c>
      <c r="G25">
        <v>50.238333333333337</v>
      </c>
      <c r="H25">
        <v>1</v>
      </c>
      <c r="I25">
        <v>0.83333333333333337</v>
      </c>
      <c r="J25">
        <v>9.9907206928549458E-2</v>
      </c>
      <c r="K25">
        <v>-0.34483957347077054</v>
      </c>
      <c r="L25">
        <v>1</v>
      </c>
      <c r="M25">
        <v>0.16666666666666666</v>
      </c>
      <c r="N25">
        <v>0</v>
      </c>
      <c r="O25">
        <v>0.66666666666666663</v>
      </c>
      <c r="P25">
        <v>28.353327989970516</v>
      </c>
      <c r="Q25">
        <v>0.35422241302111812</v>
      </c>
      <c r="R25">
        <v>-0.17500055053123365</v>
      </c>
      <c r="S25">
        <v>0.97678505053932829</v>
      </c>
      <c r="T25">
        <v>3.8597805279656783E-2</v>
      </c>
      <c r="U25">
        <v>0.2568017983102085</v>
      </c>
      <c r="V25">
        <v>29.028839603364599</v>
      </c>
      <c r="W25">
        <v>0.59301408748333706</v>
      </c>
      <c r="X25">
        <v>-0.27044304820001702</v>
      </c>
      <c r="Y25">
        <v>0.73985490238175211</v>
      </c>
      <c r="Z25">
        <v>2.6900559005826507E-2</v>
      </c>
      <c r="AA25">
        <v>1.35019697832478</v>
      </c>
    </row>
    <row r="26" spans="1:27" x14ac:dyDescent="0.2">
      <c r="A26" s="7" t="s">
        <v>2182</v>
      </c>
      <c r="B26" t="s">
        <v>143</v>
      </c>
      <c r="C26">
        <v>2019</v>
      </c>
      <c r="D26">
        <v>32.33</v>
      </c>
      <c r="E26">
        <v>1</v>
      </c>
      <c r="F26">
        <v>32.33</v>
      </c>
      <c r="G26">
        <v>109.295</v>
      </c>
      <c r="H26">
        <v>1</v>
      </c>
      <c r="I26">
        <v>0.83333333333333337</v>
      </c>
      <c r="J26">
        <v>0.24059861857252493</v>
      </c>
      <c r="K26">
        <v>0.18904293668173078</v>
      </c>
      <c r="L26">
        <v>1</v>
      </c>
      <c r="M26">
        <v>0.33333333333333331</v>
      </c>
      <c r="N26">
        <v>0</v>
      </c>
      <c r="O26">
        <v>0.33333333333333331</v>
      </c>
      <c r="P26">
        <v>28.330581189861967</v>
      </c>
      <c r="Q26">
        <v>0.27661936928768766</v>
      </c>
      <c r="R26">
        <v>3.7324558345095626E-2</v>
      </c>
      <c r="S26">
        <v>0.97097912752627957</v>
      </c>
      <c r="T26">
        <v>0.54716392757793864</v>
      </c>
      <c r="U26">
        <v>0.20742365674990224</v>
      </c>
      <c r="V26">
        <v>28.969903768271994</v>
      </c>
      <c r="W26">
        <v>0.58168025328017381</v>
      </c>
      <c r="X26">
        <v>7.7056886536114684E-3</v>
      </c>
      <c r="Y26">
        <v>0.81573694555957121</v>
      </c>
      <c r="Z26">
        <v>8.1920861273606607E-2</v>
      </c>
      <c r="AA26">
        <v>0.99976062931493737</v>
      </c>
    </row>
    <row r="27" spans="1:27" x14ac:dyDescent="0.2">
      <c r="A27" s="7" t="s">
        <v>2182</v>
      </c>
      <c r="B27" t="s">
        <v>147</v>
      </c>
      <c r="C27">
        <v>2018</v>
      </c>
      <c r="D27">
        <v>26.06</v>
      </c>
      <c r="E27">
        <v>1</v>
      </c>
      <c r="F27">
        <v>26.06</v>
      </c>
      <c r="G27">
        <v>63.013333333333343</v>
      </c>
      <c r="H27">
        <v>1</v>
      </c>
      <c r="I27">
        <v>0.83333333333333337</v>
      </c>
      <c r="J27">
        <v>0.74314381270903007</v>
      </c>
      <c r="K27">
        <v>0.63782970805362027</v>
      </c>
      <c r="L27">
        <v>1</v>
      </c>
      <c r="M27">
        <v>0.66666666666666663</v>
      </c>
      <c r="N27">
        <v>0</v>
      </c>
      <c r="O27">
        <v>0</v>
      </c>
      <c r="P27">
        <v>27.826892129505662</v>
      </c>
      <c r="Q27">
        <v>0.33558949990545639</v>
      </c>
      <c r="R27">
        <v>0.426231082364803</v>
      </c>
      <c r="S27">
        <v>0.95093475600471467</v>
      </c>
      <c r="T27">
        <v>0.16186189799569306</v>
      </c>
      <c r="U27">
        <v>0.37195675590320271</v>
      </c>
      <c r="V27">
        <v>28.931762432671466</v>
      </c>
      <c r="W27">
        <v>0.56323635527874971</v>
      </c>
      <c r="X27">
        <v>0.33615492256884538</v>
      </c>
      <c r="Y27">
        <v>0.75609365422837405</v>
      </c>
      <c r="Z27">
        <v>0.11154120851352545</v>
      </c>
      <c r="AA27">
        <v>0.94770478953736259</v>
      </c>
    </row>
    <row r="28" spans="1:27" x14ac:dyDescent="0.2">
      <c r="A28" s="7" t="s">
        <v>2182</v>
      </c>
      <c r="B28" t="s">
        <v>151</v>
      </c>
      <c r="C28">
        <v>2017</v>
      </c>
      <c r="D28">
        <v>14.95</v>
      </c>
      <c r="E28">
        <v>1</v>
      </c>
      <c r="F28">
        <v>14.95</v>
      </c>
      <c r="G28">
        <v>45.685000000000002</v>
      </c>
      <c r="H28">
        <v>1</v>
      </c>
      <c r="I28">
        <v>0.83333333333333337</v>
      </c>
      <c r="J28">
        <v>7.553956834532366E-2</v>
      </c>
      <c r="K28">
        <v>0.28156536776183</v>
      </c>
      <c r="L28">
        <v>1</v>
      </c>
      <c r="M28">
        <v>0.66666666666666663</v>
      </c>
      <c r="N28">
        <v>0</v>
      </c>
      <c r="O28">
        <v>0</v>
      </c>
      <c r="P28">
        <v>27.674235765764795</v>
      </c>
      <c r="Q28">
        <v>0.34482292977526474</v>
      </c>
      <c r="R28">
        <v>8.5053733031674295E-2</v>
      </c>
      <c r="S28">
        <v>0.9439302580128639</v>
      </c>
      <c r="T28">
        <v>0.1658071032014008</v>
      </c>
      <c r="U28">
        <v>0.34616113524113046</v>
      </c>
      <c r="V28">
        <v>28.817016704687035</v>
      </c>
      <c r="W28">
        <v>0.58142278624581789</v>
      </c>
      <c r="X28">
        <v>0.16137115534540922</v>
      </c>
      <c r="Y28">
        <v>0.73555102589195442</v>
      </c>
      <c r="Z28">
        <v>5.7459423004874777E-2</v>
      </c>
      <c r="AA28">
        <v>1.0033516425132685</v>
      </c>
    </row>
    <row r="29" spans="1:27" x14ac:dyDescent="0.2">
      <c r="A29" s="7" t="s">
        <v>2182</v>
      </c>
      <c r="B29" t="s">
        <v>159</v>
      </c>
      <c r="C29">
        <v>2015</v>
      </c>
      <c r="D29">
        <v>13.5</v>
      </c>
      <c r="E29">
        <v>1</v>
      </c>
      <c r="F29">
        <v>13.5</v>
      </c>
      <c r="G29">
        <v>34.699999999999996</v>
      </c>
      <c r="H29">
        <v>1</v>
      </c>
      <c r="I29">
        <v>0.83333333333333337</v>
      </c>
      <c r="J29">
        <v>0.31067961165048535</v>
      </c>
      <c r="K29">
        <v>0.10589320265836578</v>
      </c>
      <c r="L29">
        <v>1</v>
      </c>
      <c r="M29">
        <v>0.66666666666666663</v>
      </c>
      <c r="N29">
        <v>0</v>
      </c>
      <c r="O29">
        <v>0.16666666666666666</v>
      </c>
      <c r="P29">
        <v>27.503215016774043</v>
      </c>
      <c r="Q29">
        <v>0.37693517449524105</v>
      </c>
      <c r="R29">
        <v>0.3290488000603955</v>
      </c>
      <c r="S29">
        <v>0.93388155666777994</v>
      </c>
      <c r="T29">
        <v>9.3871246983370307E-2</v>
      </c>
      <c r="U29">
        <v>1.0553096776755082</v>
      </c>
      <c r="V29">
        <v>28.620686882407465</v>
      </c>
      <c r="W29">
        <v>0.62519440637558332</v>
      </c>
      <c r="X29">
        <v>5.2857447211412667E-2</v>
      </c>
      <c r="Y29">
        <v>0.93463182179614002</v>
      </c>
      <c r="Z29">
        <v>7.2356461094364069E-2</v>
      </c>
      <c r="AA29">
        <v>-1.365706437037679</v>
      </c>
    </row>
    <row r="30" spans="1:27" x14ac:dyDescent="0.2">
      <c r="A30" s="7" t="s">
        <v>2182</v>
      </c>
      <c r="B30" t="s">
        <v>163</v>
      </c>
      <c r="C30">
        <v>2014</v>
      </c>
      <c r="D30">
        <v>10.3</v>
      </c>
      <c r="E30">
        <v>1</v>
      </c>
      <c r="F30">
        <v>10.3</v>
      </c>
      <c r="G30">
        <v>30.106666666666669</v>
      </c>
      <c r="H30">
        <v>1</v>
      </c>
      <c r="I30">
        <v>0.83333333333333337</v>
      </c>
      <c r="J30">
        <v>0.30544993662864384</v>
      </c>
      <c r="K30">
        <v>6.7964090651445E-2</v>
      </c>
      <c r="L30">
        <v>1</v>
      </c>
      <c r="M30">
        <v>0.5</v>
      </c>
      <c r="N30">
        <v>0</v>
      </c>
      <c r="O30">
        <v>0.16666666666666666</v>
      </c>
      <c r="P30">
        <v>27.273115414918955</v>
      </c>
      <c r="Q30">
        <v>0.41726466410828178</v>
      </c>
      <c r="R30">
        <v>0.19950831438364891</v>
      </c>
      <c r="S30">
        <v>0.91046279744991265</v>
      </c>
      <c r="T30">
        <v>5.6917789526756683E-2</v>
      </c>
      <c r="U30">
        <v>0.80598206259493077</v>
      </c>
      <c r="V30">
        <v>29.141758363318381</v>
      </c>
      <c r="W30">
        <v>0.68134908469071953</v>
      </c>
      <c r="X30">
        <v>0.13097018403524285</v>
      </c>
      <c r="Y30">
        <v>0.99451792490564728</v>
      </c>
      <c r="Z30">
        <v>5.9892641943576838E-2</v>
      </c>
      <c r="AA30">
        <v>0.79127778107794366</v>
      </c>
    </row>
    <row r="31" spans="1:27" x14ac:dyDescent="0.2">
      <c r="A31" s="7" t="s">
        <v>2184</v>
      </c>
      <c r="B31" t="s">
        <v>198</v>
      </c>
      <c r="C31">
        <v>2024</v>
      </c>
      <c r="D31">
        <v>51.15</v>
      </c>
      <c r="E31">
        <v>1</v>
      </c>
      <c r="F31">
        <v>51.15</v>
      </c>
      <c r="G31">
        <v>206.12500000000003</v>
      </c>
      <c r="H31">
        <v>1</v>
      </c>
      <c r="I31">
        <v>0.66666666666666663</v>
      </c>
      <c r="J31">
        <v>-0.14436266309802614</v>
      </c>
      <c r="K31">
        <v>5.7274411587115215E-2</v>
      </c>
      <c r="L31">
        <v>0</v>
      </c>
      <c r="M31">
        <v>0.66666666666666663</v>
      </c>
      <c r="N31">
        <v>1</v>
      </c>
      <c r="O31">
        <v>0</v>
      </c>
      <c r="P31">
        <v>30.660284872691332</v>
      </c>
      <c r="Q31">
        <v>0.67382264771298717</v>
      </c>
      <c r="R31">
        <v>0.10651533340608976</v>
      </c>
      <c r="S31">
        <v>0.69313093808015724</v>
      </c>
      <c r="T31">
        <v>6.795206364488586E-2</v>
      </c>
      <c r="U31">
        <v>1.2585999781587855</v>
      </c>
      <c r="V31">
        <v>28.974698339513775</v>
      </c>
      <c r="W31">
        <v>0.51260941037841301</v>
      </c>
      <c r="X31">
        <v>0.20075355344561227</v>
      </c>
      <c r="Y31">
        <v>0.84647038874213099</v>
      </c>
      <c r="Z31">
        <v>0.11706491860005919</v>
      </c>
      <c r="AA31">
        <v>0.74782080677274776</v>
      </c>
    </row>
    <row r="32" spans="1:27" x14ac:dyDescent="0.2">
      <c r="A32" s="7" t="s">
        <v>2184</v>
      </c>
      <c r="B32" t="s">
        <v>205</v>
      </c>
      <c r="C32">
        <v>2021</v>
      </c>
      <c r="D32">
        <v>41.66</v>
      </c>
      <c r="E32">
        <v>1</v>
      </c>
      <c r="F32">
        <v>41.66</v>
      </c>
      <c r="G32">
        <v>75.813333333333333</v>
      </c>
      <c r="H32">
        <v>1</v>
      </c>
      <c r="I32">
        <v>0.66666666666666663</v>
      </c>
      <c r="J32">
        <v>5.0028818443804033</v>
      </c>
      <c r="K32">
        <v>0.23031058629823709</v>
      </c>
      <c r="L32">
        <v>1</v>
      </c>
      <c r="M32">
        <v>0.66666666666666663</v>
      </c>
      <c r="N32">
        <v>0</v>
      </c>
      <c r="O32">
        <v>0.16666666666666666</v>
      </c>
      <c r="P32">
        <v>30.431772034541794</v>
      </c>
      <c r="Q32">
        <v>0.64319134714711068</v>
      </c>
      <c r="R32">
        <v>0.52179954837589015</v>
      </c>
      <c r="S32">
        <v>0.71474803513638463</v>
      </c>
      <c r="T32">
        <v>6.3633791303801049E-2</v>
      </c>
      <c r="U32">
        <v>1.5361380798274002</v>
      </c>
      <c r="V32">
        <v>28.687381267113743</v>
      </c>
      <c r="W32">
        <v>0.54057702387832751</v>
      </c>
      <c r="X32">
        <v>0.73927424814787579</v>
      </c>
      <c r="Y32">
        <v>0.82383650137268349</v>
      </c>
      <c r="Z32">
        <v>0.13334390541477839</v>
      </c>
      <c r="AA32">
        <v>0.94164700005161384</v>
      </c>
    </row>
    <row r="33" spans="1:27" x14ac:dyDescent="0.2">
      <c r="A33" s="7" t="s">
        <v>2184</v>
      </c>
      <c r="B33" t="s">
        <v>209</v>
      </c>
      <c r="C33">
        <v>2020</v>
      </c>
      <c r="D33">
        <v>6.94</v>
      </c>
      <c r="E33">
        <v>1</v>
      </c>
      <c r="F33">
        <v>6.94</v>
      </c>
      <c r="G33">
        <v>55.008333333333333</v>
      </c>
      <c r="H33">
        <v>1</v>
      </c>
      <c r="I33">
        <v>0.83333333333333337</v>
      </c>
      <c r="J33">
        <v>-0.79227776114935644</v>
      </c>
      <c r="K33">
        <v>-0.19614207879111958</v>
      </c>
      <c r="L33">
        <v>0</v>
      </c>
      <c r="M33">
        <v>0.33333333333333331</v>
      </c>
      <c r="N33">
        <v>1</v>
      </c>
      <c r="O33">
        <v>0.5</v>
      </c>
      <c r="P33">
        <v>30.362136589961754</v>
      </c>
      <c r="Q33">
        <v>0.67758957654723129</v>
      </c>
      <c r="R33">
        <v>-0.33644536652835411</v>
      </c>
      <c r="S33">
        <v>0.73027155093858209</v>
      </c>
      <c r="T33">
        <v>1.2791519434628975E-2</v>
      </c>
      <c r="U33">
        <v>1.7975214142518681</v>
      </c>
      <c r="V33">
        <v>28.694038170032726</v>
      </c>
      <c r="W33">
        <v>0.53911956022898488</v>
      </c>
      <c r="X33">
        <v>-0.24353557886716359</v>
      </c>
      <c r="Y33">
        <v>0.78094048564854301</v>
      </c>
      <c r="Z33">
        <v>3.1201606646664475E-2</v>
      </c>
      <c r="AA33">
        <v>1.0934103756678366</v>
      </c>
    </row>
    <row r="34" spans="1:27" x14ac:dyDescent="0.2">
      <c r="A34" s="7" t="s">
        <v>2184</v>
      </c>
      <c r="B34" t="s">
        <v>213</v>
      </c>
      <c r="C34">
        <v>2019</v>
      </c>
      <c r="D34">
        <v>33.409999999999997</v>
      </c>
      <c r="E34">
        <v>1</v>
      </c>
      <c r="F34">
        <v>33.409999999999997</v>
      </c>
      <c r="G34">
        <v>109.11500000000001</v>
      </c>
      <c r="H34">
        <v>1</v>
      </c>
      <c r="I34">
        <v>0.83333333333333337</v>
      </c>
      <c r="J34">
        <v>0.28946352759552285</v>
      </c>
      <c r="K34">
        <v>0.18089878517789773</v>
      </c>
      <c r="L34">
        <v>1</v>
      </c>
      <c r="M34">
        <v>0.33333333333333331</v>
      </c>
      <c r="N34">
        <v>0</v>
      </c>
      <c r="O34">
        <v>0.33333333333333331</v>
      </c>
      <c r="P34">
        <v>30.192116904074094</v>
      </c>
      <c r="Q34">
        <v>0.67281853281853277</v>
      </c>
      <c r="R34">
        <v>5.3168244719592028E-2</v>
      </c>
      <c r="S34">
        <v>0.78319099378881984</v>
      </c>
      <c r="T34">
        <v>6.1655114310879638E-2</v>
      </c>
      <c r="U34">
        <v>1.513586956521739</v>
      </c>
      <c r="V34">
        <v>28.659647815903302</v>
      </c>
      <c r="W34">
        <v>0.5156470593583663</v>
      </c>
      <c r="X34">
        <v>5.0650742578620678E-3</v>
      </c>
      <c r="Y34">
        <v>0.84703496784914778</v>
      </c>
      <c r="Z34">
        <v>0.16283899681811642</v>
      </c>
      <c r="AA34">
        <v>0.78206674601963122</v>
      </c>
    </row>
    <row r="35" spans="1:27" x14ac:dyDescent="0.2">
      <c r="A35" s="7" t="s">
        <v>2184</v>
      </c>
      <c r="B35" t="s">
        <v>217</v>
      </c>
      <c r="C35">
        <v>2018</v>
      </c>
      <c r="D35">
        <v>25.91</v>
      </c>
      <c r="E35">
        <v>1</v>
      </c>
      <c r="F35">
        <v>25.91</v>
      </c>
      <c r="G35">
        <v>63.038333333333334</v>
      </c>
      <c r="H35">
        <v>1</v>
      </c>
      <c r="I35">
        <v>0.83333333333333337</v>
      </c>
      <c r="J35">
        <v>1.4723282442748091</v>
      </c>
      <c r="K35">
        <v>0.51629896945932385</v>
      </c>
      <c r="L35">
        <v>1</v>
      </c>
      <c r="M35">
        <v>0.66666666666666663</v>
      </c>
      <c r="N35">
        <v>0</v>
      </c>
      <c r="O35">
        <v>0</v>
      </c>
      <c r="P35">
        <v>30.208430979371819</v>
      </c>
      <c r="Q35">
        <v>0.6415710704246752</v>
      </c>
      <c r="R35">
        <v>0.36980379115397399</v>
      </c>
      <c r="S35">
        <v>0.77186230489630103</v>
      </c>
      <c r="T35">
        <v>5.1122489168964162E-2</v>
      </c>
      <c r="U35">
        <v>1.8144109471883687</v>
      </c>
      <c r="V35">
        <v>28.534839291027108</v>
      </c>
      <c r="W35">
        <v>0.51223942685887991</v>
      </c>
      <c r="X35">
        <v>0.34555947110398355</v>
      </c>
      <c r="Y35">
        <v>0.78593906274644298</v>
      </c>
      <c r="Z35">
        <v>0.1299977766513136</v>
      </c>
      <c r="AA35">
        <v>0.70729575765650188</v>
      </c>
    </row>
    <row r="36" spans="1:27" x14ac:dyDescent="0.2">
      <c r="A36" s="7" t="s">
        <v>2184</v>
      </c>
      <c r="B36" t="s">
        <v>221</v>
      </c>
      <c r="C36">
        <v>2017</v>
      </c>
      <c r="D36">
        <v>10.48</v>
      </c>
      <c r="E36">
        <v>1</v>
      </c>
      <c r="F36">
        <v>10.48</v>
      </c>
      <c r="G36">
        <v>46.43</v>
      </c>
      <c r="H36">
        <v>1</v>
      </c>
      <c r="I36">
        <v>0.83333333333333337</v>
      </c>
      <c r="J36">
        <v>0.75250836120401332</v>
      </c>
      <c r="K36">
        <v>0.16873723561871509</v>
      </c>
      <c r="L36">
        <v>1</v>
      </c>
      <c r="M36">
        <v>0.66666666666666663</v>
      </c>
      <c r="N36">
        <v>0</v>
      </c>
      <c r="O36">
        <v>0</v>
      </c>
      <c r="P36">
        <v>30.134667737090602</v>
      </c>
      <c r="Q36">
        <v>0.64799214852375886</v>
      </c>
      <c r="R36">
        <v>0.20569366479550921</v>
      </c>
      <c r="S36">
        <v>0.7920153000239063</v>
      </c>
      <c r="T36">
        <v>2.5540697424431352E-2</v>
      </c>
      <c r="U36">
        <v>1.9230217547214918</v>
      </c>
      <c r="V36">
        <v>28.406944709466064</v>
      </c>
      <c r="W36">
        <v>0.53089458312106885</v>
      </c>
      <c r="X36">
        <v>0.14126450005143673</v>
      </c>
      <c r="Y36">
        <v>0.76087018555678076</v>
      </c>
      <c r="Z36">
        <v>8.0837157301036341E-2</v>
      </c>
      <c r="AA36">
        <v>0.74054153926654143</v>
      </c>
    </row>
    <row r="37" spans="1:27" x14ac:dyDescent="0.2">
      <c r="A37" s="7" t="s">
        <v>2184</v>
      </c>
      <c r="B37" t="s">
        <v>225</v>
      </c>
      <c r="C37">
        <v>2016</v>
      </c>
      <c r="D37">
        <v>5.98</v>
      </c>
      <c r="E37">
        <v>1</v>
      </c>
      <c r="F37">
        <v>5.98</v>
      </c>
      <c r="G37">
        <v>40.05833333333333</v>
      </c>
      <c r="H37">
        <v>1</v>
      </c>
      <c r="I37">
        <v>0.83333333333333337</v>
      </c>
      <c r="J37">
        <v>-0.49106382978723401</v>
      </c>
      <c r="K37">
        <v>0.20525672188166952</v>
      </c>
      <c r="L37">
        <v>0</v>
      </c>
      <c r="M37">
        <v>0.66666666666666663</v>
      </c>
      <c r="N37">
        <v>1</v>
      </c>
      <c r="O37">
        <v>0</v>
      </c>
      <c r="P37">
        <v>30.031639949193959</v>
      </c>
      <c r="Q37">
        <v>0.64279238440616504</v>
      </c>
      <c r="R37">
        <v>-3.1456310679611632E-2</v>
      </c>
      <c r="S37">
        <v>0.85936661298980144</v>
      </c>
      <c r="T37">
        <v>1.9450358041416684E-2</v>
      </c>
      <c r="U37">
        <v>1.9602791196994096</v>
      </c>
      <c r="V37">
        <v>28.351219852222055</v>
      </c>
      <c r="W37">
        <v>0.51594943509771096</v>
      </c>
      <c r="X37">
        <v>1.9558855828036383E-2</v>
      </c>
      <c r="Y37">
        <v>0.7023060090676434</v>
      </c>
      <c r="Z37">
        <v>0.11249214947417423</v>
      </c>
      <c r="AA37">
        <v>0.77590187788564979</v>
      </c>
    </row>
    <row r="38" spans="1:27" x14ac:dyDescent="0.2">
      <c r="A38" s="7" t="s">
        <v>2184</v>
      </c>
      <c r="B38" t="s">
        <v>229</v>
      </c>
      <c r="C38">
        <v>2015</v>
      </c>
      <c r="D38">
        <v>11.75</v>
      </c>
      <c r="E38">
        <v>1</v>
      </c>
      <c r="F38">
        <v>11.75</v>
      </c>
      <c r="G38">
        <v>34.991666666666667</v>
      </c>
      <c r="H38">
        <v>1</v>
      </c>
      <c r="I38">
        <v>0.83333333333333337</v>
      </c>
      <c r="J38">
        <v>0.43118148599269168</v>
      </c>
      <c r="K38">
        <v>8.5809556934664744E-2</v>
      </c>
      <c r="L38">
        <v>1</v>
      </c>
      <c r="M38">
        <v>0.66666666666666663</v>
      </c>
      <c r="N38">
        <v>0</v>
      </c>
      <c r="O38">
        <v>0.16666666666666666</v>
      </c>
      <c r="P38">
        <v>29.89673473414669</v>
      </c>
      <c r="Q38">
        <v>0.61164141938161443</v>
      </c>
      <c r="R38">
        <v>-6.4146829002362349E-2</v>
      </c>
      <c r="S38">
        <v>1.0740867190167294</v>
      </c>
      <c r="T38">
        <v>3.8750408185479479E-2</v>
      </c>
      <c r="U38">
        <v>2.290542847388187</v>
      </c>
      <c r="V38">
        <v>28.141982938932934</v>
      </c>
      <c r="W38">
        <v>0.57825315739830874</v>
      </c>
      <c r="X38">
        <v>0.15115635447710213</v>
      </c>
      <c r="Y38">
        <v>0.90659078932634996</v>
      </c>
      <c r="Z38">
        <v>8.6136670793836773E-2</v>
      </c>
      <c r="AA38">
        <v>-1.6127530709802147</v>
      </c>
    </row>
    <row r="39" spans="1:27" x14ac:dyDescent="0.2">
      <c r="A39" s="7" t="s">
        <v>2184</v>
      </c>
      <c r="B39" t="s">
        <v>233</v>
      </c>
      <c r="C39">
        <v>2014</v>
      </c>
      <c r="D39">
        <v>8.2100000000000009</v>
      </c>
      <c r="E39">
        <v>1</v>
      </c>
      <c r="F39">
        <v>8.2100000000000009</v>
      </c>
      <c r="G39">
        <v>30.455000000000002</v>
      </c>
      <c r="H39">
        <v>1</v>
      </c>
      <c r="I39">
        <v>0.83333333333333337</v>
      </c>
      <c r="J39">
        <v>-0.36108949416342406</v>
      </c>
      <c r="K39">
        <v>0.17905399578345629</v>
      </c>
      <c r="L39">
        <v>0</v>
      </c>
      <c r="M39">
        <v>0.66666666666666663</v>
      </c>
      <c r="N39">
        <v>1</v>
      </c>
      <c r="O39">
        <v>0</v>
      </c>
      <c r="P39">
        <v>29.798473534931098</v>
      </c>
      <c r="Q39">
        <v>0.64858058608058611</v>
      </c>
      <c r="R39">
        <v>0.17234767788666372</v>
      </c>
      <c r="S39">
        <v>0.99895869489760503</v>
      </c>
      <c r="T39">
        <v>4.3013395600344104E-2</v>
      </c>
      <c r="U39">
        <v>2.0322804581742449</v>
      </c>
      <c r="V39">
        <v>28.510418833315345</v>
      </c>
      <c r="W39">
        <v>0.62352010419764348</v>
      </c>
      <c r="X39">
        <v>0.13776034315948915</v>
      </c>
      <c r="Y39">
        <v>0.96501929242308304</v>
      </c>
      <c r="Z39">
        <v>6.3368740425179981E-2</v>
      </c>
      <c r="AA39">
        <v>0.48470318218311514</v>
      </c>
    </row>
    <row r="40" spans="1:27" x14ac:dyDescent="0.2">
      <c r="A40" s="7" t="s">
        <v>2186</v>
      </c>
      <c r="B40" t="s">
        <v>249</v>
      </c>
      <c r="C40">
        <v>2023</v>
      </c>
      <c r="D40">
        <v>0.85</v>
      </c>
      <c r="E40">
        <v>1</v>
      </c>
      <c r="F40">
        <v>0.85</v>
      </c>
      <c r="G40">
        <v>195.20833333333334</v>
      </c>
      <c r="H40">
        <v>1</v>
      </c>
      <c r="I40">
        <v>0.66666666666666663</v>
      </c>
      <c r="J40">
        <v>6.2499999999999917E-2</v>
      </c>
      <c r="K40">
        <v>-0.10389828316101786</v>
      </c>
      <c r="L40">
        <v>1</v>
      </c>
      <c r="M40">
        <v>0.33333333333333331</v>
      </c>
      <c r="N40">
        <v>0</v>
      </c>
      <c r="O40">
        <v>0.5</v>
      </c>
      <c r="P40">
        <v>29.715436268674136</v>
      </c>
      <c r="Q40">
        <v>0.22214712443755436</v>
      </c>
      <c r="R40">
        <v>-4.6719679798532532E-2</v>
      </c>
      <c r="S40">
        <v>0.96962581248559809</v>
      </c>
      <c r="T40">
        <v>0.18200184505464304</v>
      </c>
      <c r="U40">
        <v>0.13449722517021576</v>
      </c>
      <c r="V40">
        <v>29.162648164256662</v>
      </c>
      <c r="W40">
        <v>0.54347673993568246</v>
      </c>
      <c r="X40">
        <v>-0.11136109189659267</v>
      </c>
      <c r="Y40">
        <v>0.78647717560817831</v>
      </c>
      <c r="Z40">
        <v>5.0662606047746091E-2</v>
      </c>
      <c r="AA40">
        <v>0.93997635115464695</v>
      </c>
    </row>
    <row r="41" spans="1:27" x14ac:dyDescent="0.2">
      <c r="A41" s="7" t="s">
        <v>2186</v>
      </c>
      <c r="B41" t="s">
        <v>253</v>
      </c>
      <c r="C41">
        <v>2020</v>
      </c>
      <c r="D41">
        <v>0.7</v>
      </c>
      <c r="E41">
        <v>1</v>
      </c>
      <c r="F41">
        <v>0.7</v>
      </c>
      <c r="G41">
        <v>56.048333333333339</v>
      </c>
      <c r="H41">
        <v>1</v>
      </c>
      <c r="I41">
        <v>0.83333333333333337</v>
      </c>
      <c r="J41">
        <v>7.6923076923076816E-2</v>
      </c>
      <c r="K41">
        <v>-0.34100888513652511</v>
      </c>
      <c r="L41">
        <v>1</v>
      </c>
      <c r="M41">
        <v>0.16666666666666666</v>
      </c>
      <c r="N41">
        <v>0</v>
      </c>
      <c r="O41">
        <v>0.66666666666666663</v>
      </c>
      <c r="P41">
        <v>29.401844105292483</v>
      </c>
      <c r="Q41">
        <v>0.29392035348377132</v>
      </c>
      <c r="R41">
        <v>-0.31552713263172905</v>
      </c>
      <c r="S41">
        <v>0.95856102850782343</v>
      </c>
      <c r="T41">
        <v>0.133333955515026</v>
      </c>
      <c r="U41">
        <v>0.13860900145879937</v>
      </c>
      <c r="V41">
        <v>28.854086917477606</v>
      </c>
      <c r="W41">
        <v>0.60306443073956151</v>
      </c>
      <c r="X41">
        <v>-0.24702195118326775</v>
      </c>
      <c r="Y41">
        <v>0.74289223938700288</v>
      </c>
      <c r="Z41">
        <v>1.1111200633264972E-2</v>
      </c>
      <c r="AA41">
        <v>1.3698957778000149</v>
      </c>
    </row>
    <row r="42" spans="1:27" x14ac:dyDescent="0.2">
      <c r="A42" s="7" t="s">
        <v>2186</v>
      </c>
      <c r="B42" t="s">
        <v>255</v>
      </c>
      <c r="C42">
        <v>2019</v>
      </c>
      <c r="D42">
        <v>0.65</v>
      </c>
      <c r="E42">
        <v>1</v>
      </c>
      <c r="F42">
        <v>0.65</v>
      </c>
      <c r="G42">
        <v>114.575</v>
      </c>
      <c r="H42">
        <v>1</v>
      </c>
      <c r="I42">
        <v>0.83333333333333337</v>
      </c>
      <c r="J42">
        <v>0</v>
      </c>
      <c r="K42">
        <v>0.22914270644381821</v>
      </c>
      <c r="L42">
        <v>0</v>
      </c>
      <c r="M42">
        <v>0.5</v>
      </c>
      <c r="N42">
        <v>0</v>
      </c>
      <c r="O42">
        <v>0.33333333333333331</v>
      </c>
      <c r="P42">
        <v>29.292652157777201</v>
      </c>
      <c r="Q42">
        <v>0.30220528271628749</v>
      </c>
      <c r="R42">
        <v>9.5870135395599299E-3</v>
      </c>
      <c r="S42">
        <v>0.9519002431351079</v>
      </c>
      <c r="T42">
        <v>2.0415262396879106E-2</v>
      </c>
      <c r="U42">
        <v>0.18396234260159511</v>
      </c>
      <c r="V42">
        <v>28.809558606952788</v>
      </c>
      <c r="W42">
        <v>0.57741593437540717</v>
      </c>
      <c r="X42">
        <v>1.2328612787867418E-2</v>
      </c>
      <c r="Y42">
        <v>0.8189167596247664</v>
      </c>
      <c r="Z42">
        <v>0.16971230547044988</v>
      </c>
      <c r="AA42">
        <v>1.0036708483396553</v>
      </c>
    </row>
    <row r="43" spans="1:27" x14ac:dyDescent="0.2">
      <c r="A43" s="7" t="s">
        <v>2186</v>
      </c>
      <c r="B43" t="s">
        <v>257</v>
      </c>
      <c r="C43">
        <v>2018</v>
      </c>
      <c r="D43">
        <v>0.65</v>
      </c>
      <c r="E43">
        <v>1</v>
      </c>
      <c r="F43">
        <v>0.65</v>
      </c>
      <c r="G43">
        <v>67.248333333333335</v>
      </c>
      <c r="H43">
        <v>1</v>
      </c>
      <c r="I43">
        <v>0.83333333333333337</v>
      </c>
      <c r="J43">
        <v>0</v>
      </c>
      <c r="K43">
        <v>0.76168701017179208</v>
      </c>
      <c r="L43">
        <v>0</v>
      </c>
      <c r="M43">
        <v>0.83333333333333337</v>
      </c>
      <c r="N43">
        <v>0</v>
      </c>
      <c r="O43">
        <v>0</v>
      </c>
      <c r="P43">
        <v>29.267254988341801</v>
      </c>
      <c r="Q43">
        <v>0.28663569058787636</v>
      </c>
      <c r="R43">
        <v>0.32419901295213105</v>
      </c>
      <c r="S43">
        <v>0.95215622644783149</v>
      </c>
      <c r="T43">
        <v>0.18140103958399575</v>
      </c>
      <c r="U43">
        <v>0.16027832450437651</v>
      </c>
      <c r="V43">
        <v>28.691701956198781</v>
      </c>
      <c r="W43">
        <v>0.57139532349834643</v>
      </c>
      <c r="X43">
        <v>0.35316026747095747</v>
      </c>
      <c r="Y43">
        <v>0.75589007582118783</v>
      </c>
      <c r="Z43">
        <v>0.10828468491547499</v>
      </c>
      <c r="AA43">
        <v>0.98298452810383397</v>
      </c>
    </row>
    <row r="44" spans="1:27" x14ac:dyDescent="0.2">
      <c r="A44" s="7" t="s">
        <v>2186</v>
      </c>
      <c r="B44" t="s">
        <v>259</v>
      </c>
      <c r="C44">
        <v>2017</v>
      </c>
      <c r="D44">
        <v>0.65</v>
      </c>
      <c r="E44">
        <v>1</v>
      </c>
      <c r="F44">
        <v>0.65</v>
      </c>
      <c r="G44">
        <v>48.068333333333328</v>
      </c>
      <c r="H44">
        <v>1</v>
      </c>
      <c r="I44">
        <v>0.83333333333333337</v>
      </c>
      <c r="J44">
        <v>8.3333333333333412E-2</v>
      </c>
      <c r="K44">
        <v>0.28026640693049504</v>
      </c>
      <c r="L44">
        <v>1</v>
      </c>
      <c r="M44">
        <v>0.66666666666666663</v>
      </c>
      <c r="N44">
        <v>0</v>
      </c>
      <c r="O44">
        <v>0</v>
      </c>
      <c r="P44">
        <v>29.075511269291965</v>
      </c>
      <c r="Q44">
        <v>0.33746806959942827</v>
      </c>
      <c r="R44">
        <v>0.15103939625776208</v>
      </c>
      <c r="S44">
        <v>0.94111696649809018</v>
      </c>
      <c r="T44">
        <v>4.7717544133729105E-2</v>
      </c>
      <c r="U44">
        <v>0.17339021370824784</v>
      </c>
      <c r="V44">
        <v>28.583470787432507</v>
      </c>
      <c r="W44">
        <v>0.582648596275124</v>
      </c>
      <c r="X44">
        <v>0.15037354480772791</v>
      </c>
      <c r="Y44">
        <v>0.73601990781108351</v>
      </c>
      <c r="Z44">
        <v>7.7141016182820057E-2</v>
      </c>
      <c r="AA44">
        <v>1.032146796102082</v>
      </c>
    </row>
    <row r="45" spans="1:27" x14ac:dyDescent="0.2">
      <c r="A45" s="7" t="s">
        <v>2188</v>
      </c>
      <c r="B45" t="s">
        <v>265</v>
      </c>
      <c r="C45">
        <v>2025</v>
      </c>
      <c r="D45">
        <v>22.48</v>
      </c>
      <c r="E45">
        <v>1</v>
      </c>
      <c r="F45">
        <v>22.48</v>
      </c>
      <c r="G45">
        <v>74.010000000000005</v>
      </c>
      <c r="H45">
        <v>1</v>
      </c>
      <c r="I45">
        <v>0.5</v>
      </c>
      <c r="J45">
        <v>-0.7722391084093212</v>
      </c>
      <c r="K45">
        <v>-0.49425973190990941</v>
      </c>
      <c r="L45">
        <v>0</v>
      </c>
      <c r="M45">
        <v>0</v>
      </c>
      <c r="N45">
        <v>1</v>
      </c>
      <c r="O45">
        <v>0.66666666666666663</v>
      </c>
      <c r="P45">
        <v>28.388952724888394</v>
      </c>
      <c r="Q45">
        <v>0.60148941494701147</v>
      </c>
      <c r="R45">
        <v>-0.10453114233802596</v>
      </c>
      <c r="S45">
        <v>0.92840826223429396</v>
      </c>
      <c r="T45">
        <v>7.0088114895314732E-2</v>
      </c>
      <c r="U45">
        <v>0.6108503349493235</v>
      </c>
      <c r="V45">
        <v>29.120015947480688</v>
      </c>
      <c r="W45">
        <v>0.51817083203434178</v>
      </c>
      <c r="X45">
        <v>-0.3139196349659874</v>
      </c>
      <c r="Y45">
        <v>1.1230089015354674</v>
      </c>
      <c r="Z45">
        <v>-4.6440518362631605E-2</v>
      </c>
      <c r="AA45">
        <v>0.38616243591123733</v>
      </c>
    </row>
    <row r="46" spans="1:27" x14ac:dyDescent="0.2">
      <c r="A46" s="7" t="s">
        <v>2188</v>
      </c>
      <c r="B46" t="s">
        <v>267</v>
      </c>
      <c r="C46">
        <v>2024</v>
      </c>
      <c r="D46">
        <v>98.7</v>
      </c>
      <c r="E46">
        <v>1</v>
      </c>
      <c r="F46">
        <v>98.7</v>
      </c>
      <c r="G46">
        <v>198.20000000000005</v>
      </c>
      <c r="H46">
        <v>1</v>
      </c>
      <c r="I46">
        <v>0.66666666666666663</v>
      </c>
      <c r="J46">
        <v>0.12312243969048711</v>
      </c>
      <c r="K46">
        <v>1.2693561122362999E-2</v>
      </c>
      <c r="L46">
        <v>1</v>
      </c>
      <c r="M46">
        <v>0.5</v>
      </c>
      <c r="N46">
        <v>0</v>
      </c>
      <c r="O46">
        <v>0.16666666666666666</v>
      </c>
      <c r="P46">
        <v>28.421707354134465</v>
      </c>
      <c r="Q46">
        <v>0.56153065727429119</v>
      </c>
      <c r="R46">
        <v>0.27770058436254397</v>
      </c>
      <c r="S46">
        <v>0.91624844765321245</v>
      </c>
      <c r="T46">
        <v>0.14537554804824943</v>
      </c>
      <c r="U46">
        <v>0.65752222900460366</v>
      </c>
      <c r="V46">
        <v>29.422413843225151</v>
      </c>
      <c r="W46">
        <v>0.53506780846615221</v>
      </c>
      <c r="X46">
        <v>0.16651650325432144</v>
      </c>
      <c r="Y46">
        <v>0.7906910113488671</v>
      </c>
      <c r="Z46">
        <v>0.10158022171938648</v>
      </c>
      <c r="AA46">
        <v>0.86803635660358403</v>
      </c>
    </row>
    <row r="47" spans="1:27" x14ac:dyDescent="0.2">
      <c r="A47" s="7" t="s">
        <v>2188</v>
      </c>
      <c r="B47" t="s">
        <v>269</v>
      </c>
      <c r="C47">
        <v>2023</v>
      </c>
      <c r="D47">
        <v>87.88</v>
      </c>
      <c r="E47">
        <v>1</v>
      </c>
      <c r="F47">
        <v>87.88</v>
      </c>
      <c r="G47">
        <v>180.70333333333335</v>
      </c>
      <c r="H47">
        <v>1</v>
      </c>
      <c r="I47">
        <v>0.66666666666666663</v>
      </c>
      <c r="J47">
        <v>0.30618311533888221</v>
      </c>
      <c r="K47">
        <v>-0.14451213571749824</v>
      </c>
      <c r="L47">
        <v>1</v>
      </c>
      <c r="M47">
        <v>0.33333333333333331</v>
      </c>
      <c r="N47">
        <v>0</v>
      </c>
      <c r="O47">
        <v>0.5</v>
      </c>
      <c r="P47">
        <v>28.346503498422241</v>
      </c>
      <c r="Q47">
        <v>0.55324463993999529</v>
      </c>
      <c r="R47">
        <v>0.11346763858243047</v>
      </c>
      <c r="S47">
        <v>0.91419848475989207</v>
      </c>
      <c r="T47">
        <v>0.15386306406056421</v>
      </c>
      <c r="U47">
        <v>0.70833966771636447</v>
      </c>
      <c r="V47">
        <v>29.390803625965308</v>
      </c>
      <c r="W47">
        <v>0.48829382068527566</v>
      </c>
      <c r="X47">
        <v>-0.164756864690247</v>
      </c>
      <c r="Y47">
        <v>0.79756264115331954</v>
      </c>
      <c r="Z47">
        <v>6.0042199712439036E-2</v>
      </c>
      <c r="AA47">
        <v>0.84433594406362211</v>
      </c>
    </row>
    <row r="48" spans="1:27" x14ac:dyDescent="0.2">
      <c r="A48" s="7" t="s">
        <v>2188</v>
      </c>
      <c r="B48" t="s">
        <v>271</v>
      </c>
      <c r="C48">
        <v>2022</v>
      </c>
      <c r="D48">
        <v>67.28</v>
      </c>
      <c r="E48">
        <v>1</v>
      </c>
      <c r="F48">
        <v>67.28</v>
      </c>
      <c r="G48">
        <v>237.79499999999996</v>
      </c>
      <c r="H48">
        <v>1</v>
      </c>
      <c r="I48">
        <v>0.83333333333333337</v>
      </c>
      <c r="J48">
        <v>0.57786116322701686</v>
      </c>
      <c r="K48">
        <v>0.66987651665001524</v>
      </c>
      <c r="L48">
        <v>1</v>
      </c>
      <c r="M48">
        <v>0.5</v>
      </c>
      <c r="N48">
        <v>0</v>
      </c>
      <c r="O48">
        <v>0.16666666666666666</v>
      </c>
      <c r="P48">
        <v>28.147333857888899</v>
      </c>
      <c r="Q48">
        <v>0.58190146177701052</v>
      </c>
      <c r="R48">
        <v>0.12784064865890099</v>
      </c>
      <c r="S48">
        <v>0.91451173622202664</v>
      </c>
      <c r="T48">
        <v>0.18831097319615395</v>
      </c>
      <c r="U48">
        <v>0.51735805527487133</v>
      </c>
      <c r="V48">
        <v>28.920599456391397</v>
      </c>
      <c r="W48">
        <v>0.48775094913969613</v>
      </c>
      <c r="X48">
        <v>0.10983286364831291</v>
      </c>
      <c r="Y48">
        <v>0.78347299386661085</v>
      </c>
      <c r="Z48">
        <v>6.0032201379345035E-2</v>
      </c>
      <c r="AA48">
        <v>0.90755762884372437</v>
      </c>
    </row>
    <row r="49" spans="1:27" x14ac:dyDescent="0.2">
      <c r="A49" s="7" t="s">
        <v>2188</v>
      </c>
      <c r="B49" t="s">
        <v>273</v>
      </c>
      <c r="C49">
        <v>2021</v>
      </c>
      <c r="D49">
        <v>42.64</v>
      </c>
      <c r="E49">
        <v>1</v>
      </c>
      <c r="F49">
        <v>42.64</v>
      </c>
      <c r="G49">
        <v>75.650000000000006</v>
      </c>
      <c r="H49">
        <v>1</v>
      </c>
      <c r="I49">
        <v>0.66666666666666663</v>
      </c>
      <c r="J49">
        <v>0.91726618705035956</v>
      </c>
      <c r="K49">
        <v>0.91124652918657778</v>
      </c>
      <c r="L49">
        <v>1</v>
      </c>
      <c r="M49">
        <v>0.66666666666666663</v>
      </c>
      <c r="N49">
        <v>0</v>
      </c>
      <c r="O49">
        <v>0.16666666666666666</v>
      </c>
      <c r="P49">
        <v>28.038011060881878</v>
      </c>
      <c r="Q49">
        <v>0.58562766551575629</v>
      </c>
      <c r="R49">
        <v>0.75582126250733683</v>
      </c>
      <c r="S49">
        <v>0.90123015767854775</v>
      </c>
      <c r="T49">
        <v>0.14382170349238718</v>
      </c>
      <c r="U49">
        <v>0.59246217039883398</v>
      </c>
      <c r="V49">
        <v>29.166133461845725</v>
      </c>
      <c r="W49">
        <v>0.55208976020459843</v>
      </c>
      <c r="X49">
        <v>0.69246990532158637</v>
      </c>
      <c r="Y49">
        <v>0.78654007686425076</v>
      </c>
      <c r="Z49">
        <v>0.11730632297706116</v>
      </c>
      <c r="AA49">
        <v>1.130382181937327</v>
      </c>
    </row>
    <row r="50" spans="1:27" x14ac:dyDescent="0.2">
      <c r="A50" s="7" t="s">
        <v>2188</v>
      </c>
      <c r="B50" t="s">
        <v>277</v>
      </c>
      <c r="C50">
        <v>2020</v>
      </c>
      <c r="D50">
        <v>22.240000000000002</v>
      </c>
      <c r="E50">
        <v>1</v>
      </c>
      <c r="F50">
        <v>22.240000000000002</v>
      </c>
      <c r="G50">
        <v>52.458333333333336</v>
      </c>
      <c r="H50">
        <v>1</v>
      </c>
      <c r="I50">
        <v>0.83333333333333337</v>
      </c>
      <c r="J50">
        <v>-0.65503334884442377</v>
      </c>
      <c r="K50">
        <v>-0.21901614750860834</v>
      </c>
      <c r="L50">
        <v>0</v>
      </c>
      <c r="M50">
        <v>0.33333333333333331</v>
      </c>
      <c r="N50">
        <v>1</v>
      </c>
      <c r="O50">
        <v>0.5</v>
      </c>
      <c r="P50">
        <v>27.864860066997796</v>
      </c>
      <c r="Q50">
        <v>0.65422049783092362</v>
      </c>
      <c r="R50">
        <v>-0.22698692260827036</v>
      </c>
      <c r="S50">
        <v>0.88942988732428241</v>
      </c>
      <c r="T50">
        <v>8.1990184166773242E-2</v>
      </c>
      <c r="U50">
        <v>0.51930759148137906</v>
      </c>
      <c r="V50">
        <v>29.110250923860054</v>
      </c>
      <c r="W50">
        <v>0.54301440668170275</v>
      </c>
      <c r="X50">
        <v>-0.26177865285384422</v>
      </c>
      <c r="Y50">
        <v>0.75441409625092637</v>
      </c>
      <c r="Z50">
        <v>1.9668495857973766E-2</v>
      </c>
      <c r="AA50">
        <v>1.3064460127962516</v>
      </c>
    </row>
    <row r="51" spans="1:27" x14ac:dyDescent="0.2">
      <c r="A51" s="7" t="s">
        <v>2188</v>
      </c>
      <c r="B51" t="s">
        <v>281</v>
      </c>
      <c r="C51">
        <v>2019</v>
      </c>
      <c r="D51">
        <v>64.47</v>
      </c>
      <c r="E51">
        <v>1</v>
      </c>
      <c r="F51">
        <v>64.47</v>
      </c>
      <c r="G51">
        <v>103.93833333333333</v>
      </c>
      <c r="H51">
        <v>1</v>
      </c>
      <c r="I51">
        <v>0.83333333333333337</v>
      </c>
      <c r="J51">
        <v>-0.24072547403132727</v>
      </c>
      <c r="K51">
        <v>0.26926361878237276</v>
      </c>
      <c r="L51">
        <v>0</v>
      </c>
      <c r="M51">
        <v>0.5</v>
      </c>
      <c r="N51">
        <v>1</v>
      </c>
      <c r="O51">
        <v>0.16666666666666666</v>
      </c>
      <c r="P51">
        <v>27.845034312117587</v>
      </c>
      <c r="Q51">
        <v>0.62062877077179068</v>
      </c>
      <c r="R51">
        <v>2.390026072612339E-2</v>
      </c>
      <c r="S51">
        <v>0.87566511108451994</v>
      </c>
      <c r="T51">
        <v>0.15805226959659038</v>
      </c>
      <c r="U51">
        <v>0.64684163641923609</v>
      </c>
      <c r="V51">
        <v>29.05082824789606</v>
      </c>
      <c r="W51">
        <v>0.52434535303282337</v>
      </c>
      <c r="X51">
        <v>9.9430715901068414E-3</v>
      </c>
      <c r="Y51">
        <v>0.831622614966531</v>
      </c>
      <c r="Z51">
        <v>0.14677280427049796</v>
      </c>
      <c r="AA51">
        <v>0.92652429937004843</v>
      </c>
    </row>
    <row r="52" spans="1:27" x14ac:dyDescent="0.2">
      <c r="A52" s="7" t="s">
        <v>2188</v>
      </c>
      <c r="B52" t="s">
        <v>285</v>
      </c>
      <c r="C52">
        <v>2018</v>
      </c>
      <c r="D52">
        <v>84.91</v>
      </c>
      <c r="E52">
        <v>1</v>
      </c>
      <c r="F52">
        <v>84.91</v>
      </c>
      <c r="G52">
        <v>53.205000000000005</v>
      </c>
      <c r="H52">
        <v>1</v>
      </c>
      <c r="I52">
        <v>0.83333333333333337</v>
      </c>
      <c r="J52">
        <v>1.125938908362544</v>
      </c>
      <c r="K52">
        <v>0.57403052544470146</v>
      </c>
      <c r="L52">
        <v>1</v>
      </c>
      <c r="M52">
        <v>0.66666666666666663</v>
      </c>
      <c r="N52">
        <v>0</v>
      </c>
      <c r="O52">
        <v>0</v>
      </c>
      <c r="P52">
        <v>27.814415430445457</v>
      </c>
      <c r="Q52">
        <v>0.58430784291527094</v>
      </c>
      <c r="R52">
        <v>0.33674222905371587</v>
      </c>
      <c r="S52">
        <v>0.87992368505408858</v>
      </c>
      <c r="T52">
        <v>0.18325824193435214</v>
      </c>
      <c r="U52">
        <v>0.54649508677477954</v>
      </c>
      <c r="V52">
        <v>28.933841882514837</v>
      </c>
      <c r="W52">
        <v>0.52178329811044732</v>
      </c>
      <c r="X52">
        <v>0.35106973145402659</v>
      </c>
      <c r="Y52">
        <v>0.76792883272014489</v>
      </c>
      <c r="Z52">
        <v>0.10797515119041561</v>
      </c>
      <c r="AA52">
        <v>0.91861506772543333</v>
      </c>
    </row>
    <row r="53" spans="1:27" x14ac:dyDescent="0.2">
      <c r="A53" s="7" t="s">
        <v>2188</v>
      </c>
      <c r="B53" t="s">
        <v>289</v>
      </c>
      <c r="C53">
        <v>2017</v>
      </c>
      <c r="D53">
        <v>39.94</v>
      </c>
      <c r="E53">
        <v>1</v>
      </c>
      <c r="F53">
        <v>39.94</v>
      </c>
      <c r="G53">
        <v>41.519999999999996</v>
      </c>
      <c r="H53">
        <v>1</v>
      </c>
      <c r="I53">
        <v>0.83333333333333337</v>
      </c>
      <c r="J53">
        <v>0.75098640946953088</v>
      </c>
      <c r="K53">
        <v>0.16899089424112881</v>
      </c>
      <c r="L53">
        <v>1</v>
      </c>
      <c r="M53">
        <v>0.66666666666666663</v>
      </c>
      <c r="N53">
        <v>0</v>
      </c>
      <c r="O53">
        <v>0</v>
      </c>
      <c r="P53">
        <v>27.733084803014385</v>
      </c>
      <c r="Q53">
        <v>0.58825016659834173</v>
      </c>
      <c r="R53">
        <v>0.17415496951529574</v>
      </c>
      <c r="S53">
        <v>0.86855268119138085</v>
      </c>
      <c r="T53">
        <v>0.11252418767776041</v>
      </c>
      <c r="U53">
        <v>0.54085058485187043</v>
      </c>
      <c r="V53">
        <v>28.807208531812108</v>
      </c>
      <c r="W53">
        <v>0.54085158010863843</v>
      </c>
      <c r="X53">
        <v>0.14652094926480563</v>
      </c>
      <c r="Y53">
        <v>0.74811395536220171</v>
      </c>
      <c r="Z53">
        <v>6.6339908925481514E-2</v>
      </c>
      <c r="AA53">
        <v>0.9709034009114782</v>
      </c>
    </row>
    <row r="54" spans="1:27" x14ac:dyDescent="0.2">
      <c r="A54" s="7" t="s">
        <v>2188</v>
      </c>
      <c r="B54" t="s">
        <v>293</v>
      </c>
      <c r="C54">
        <v>2016</v>
      </c>
      <c r="D54">
        <v>22.81</v>
      </c>
      <c r="E54">
        <v>1</v>
      </c>
      <c r="F54">
        <v>22.81</v>
      </c>
      <c r="G54">
        <v>37.25333333333333</v>
      </c>
      <c r="H54">
        <v>1</v>
      </c>
      <c r="I54">
        <v>0.83333333333333337</v>
      </c>
      <c r="J54">
        <v>1.0812043795620436</v>
      </c>
      <c r="K54">
        <v>-5.6787979676543442E-2</v>
      </c>
      <c r="L54">
        <v>1</v>
      </c>
      <c r="M54">
        <v>0.5</v>
      </c>
      <c r="N54">
        <v>0</v>
      </c>
      <c r="O54">
        <v>0.16666666666666666</v>
      </c>
      <c r="P54">
        <v>27.721407374925267</v>
      </c>
      <c r="Q54">
        <v>0.53317705054919751</v>
      </c>
      <c r="R54">
        <v>4.9600877129499565E-2</v>
      </c>
      <c r="S54">
        <v>0.86820923566519581</v>
      </c>
      <c r="T54">
        <v>0.11211183929756065</v>
      </c>
      <c r="U54">
        <v>0.54406943676435737</v>
      </c>
      <c r="V54">
        <v>28.736258614600171</v>
      </c>
      <c r="W54">
        <v>0.53421865740720553</v>
      </c>
      <c r="X54">
        <v>3.3474182662141415E-3</v>
      </c>
      <c r="Y54">
        <v>0.70053748453256459</v>
      </c>
      <c r="Z54">
        <v>9.3959853222945436E-2</v>
      </c>
      <c r="AA54">
        <v>1.0119368250414917</v>
      </c>
    </row>
    <row r="55" spans="1:27" x14ac:dyDescent="0.2">
      <c r="A55" s="7" t="s">
        <v>2188</v>
      </c>
      <c r="B55" t="s">
        <v>297</v>
      </c>
      <c r="C55">
        <v>2015</v>
      </c>
      <c r="D55">
        <v>10.96</v>
      </c>
      <c r="E55">
        <v>1</v>
      </c>
      <c r="F55">
        <v>10.96</v>
      </c>
      <c r="G55">
        <v>35.123333333333328</v>
      </c>
      <c r="H55">
        <v>1</v>
      </c>
      <c r="I55">
        <v>0.83333333333333337</v>
      </c>
      <c r="J55">
        <v>3.5916824196597426E-2</v>
      </c>
      <c r="K55">
        <v>0.1516870005673471</v>
      </c>
      <c r="L55">
        <v>1</v>
      </c>
      <c r="M55">
        <v>0.66666666666666663</v>
      </c>
      <c r="N55">
        <v>0</v>
      </c>
      <c r="O55">
        <v>0.16666666666666666</v>
      </c>
      <c r="P55">
        <v>27.406239974495261</v>
      </c>
      <c r="Q55">
        <v>0.69836520005859593</v>
      </c>
      <c r="R55">
        <v>0.16028213955831716</v>
      </c>
      <c r="S55">
        <v>0.81017945497507826</v>
      </c>
      <c r="T55">
        <v>0.13811735901411898</v>
      </c>
      <c r="U55">
        <v>0.2144473267260491</v>
      </c>
      <c r="V55">
        <v>28.640081890863222</v>
      </c>
      <c r="W55">
        <v>0.56090840126291241</v>
      </c>
      <c r="X55">
        <v>9.5049112336932251E-2</v>
      </c>
      <c r="Y55">
        <v>0.9593722421346802</v>
      </c>
      <c r="Z55">
        <v>6.1294933086676898E-2</v>
      </c>
      <c r="AA55">
        <v>-1.1975339668477871</v>
      </c>
    </row>
    <row r="56" spans="1:27" x14ac:dyDescent="0.2">
      <c r="A56" s="7" t="s">
        <v>2190</v>
      </c>
      <c r="B56" t="s">
        <v>320</v>
      </c>
      <c r="C56">
        <v>2024</v>
      </c>
      <c r="D56">
        <v>0</v>
      </c>
      <c r="E56">
        <v>2</v>
      </c>
      <c r="F56">
        <v>0</v>
      </c>
      <c r="G56">
        <v>6.3399999999999998E-2</v>
      </c>
      <c r="H56">
        <v>0</v>
      </c>
      <c r="I56">
        <v>0.58333333333333337</v>
      </c>
      <c r="J56">
        <v>0</v>
      </c>
      <c r="K56">
        <v>8.6160653443004165E-2</v>
      </c>
      <c r="L56">
        <v>0</v>
      </c>
      <c r="M56">
        <v>0.58333333333333337</v>
      </c>
      <c r="N56">
        <v>0</v>
      </c>
      <c r="O56">
        <v>8.3333333333333329E-2</v>
      </c>
      <c r="P56">
        <v>25.02382142769336</v>
      </c>
      <c r="Q56">
        <v>0.7550847325234763</v>
      </c>
      <c r="R56">
        <v>0.12729554334767457</v>
      </c>
      <c r="S56">
        <v>-0.23546221013386082</v>
      </c>
      <c r="T56">
        <v>6.4561338548831129E-2</v>
      </c>
      <c r="U56">
        <v>1.1667595037542531</v>
      </c>
      <c r="V56">
        <v>26.697931357987038</v>
      </c>
      <c r="W56">
        <v>0.681629947703143</v>
      </c>
      <c r="X56">
        <v>9.6229963205441915E-2</v>
      </c>
      <c r="Y56">
        <v>0.65174256569470645</v>
      </c>
      <c r="Z56">
        <v>5.6514752505388587E-2</v>
      </c>
      <c r="AA56">
        <v>0.90591746044327315</v>
      </c>
    </row>
    <row r="57" spans="1:27" x14ac:dyDescent="0.2">
      <c r="A57" s="7" t="s">
        <v>2190</v>
      </c>
      <c r="B57" t="s">
        <v>324</v>
      </c>
      <c r="C57">
        <v>2023</v>
      </c>
      <c r="D57">
        <v>0</v>
      </c>
      <c r="E57">
        <v>2</v>
      </c>
      <c r="F57">
        <v>0</v>
      </c>
      <c r="G57">
        <v>6.6299999999999998E-2</v>
      </c>
      <c r="H57">
        <v>0</v>
      </c>
      <c r="I57">
        <v>0.58333333333333337</v>
      </c>
      <c r="J57">
        <v>0</v>
      </c>
      <c r="K57">
        <v>0.11703324263565433</v>
      </c>
      <c r="L57">
        <v>0</v>
      </c>
      <c r="M57">
        <v>0.5</v>
      </c>
      <c r="N57">
        <v>0</v>
      </c>
      <c r="O57">
        <v>0.25</v>
      </c>
      <c r="P57">
        <v>24.92762334049084</v>
      </c>
      <c r="Q57">
        <v>0.78663655528402343</v>
      </c>
      <c r="R57">
        <v>0.20470361752535471</v>
      </c>
      <c r="S57">
        <v>-0.42691677593303251</v>
      </c>
      <c r="T57">
        <v>6.9890547087433169E-2</v>
      </c>
      <c r="U57">
        <v>1.2728518618198066</v>
      </c>
      <c r="V57">
        <v>26.577869359852812</v>
      </c>
      <c r="W57">
        <v>0.70032483502415999</v>
      </c>
      <c r="X57">
        <v>0.13261188915987768</v>
      </c>
      <c r="Y57">
        <v>0.64808270021735737</v>
      </c>
      <c r="Z57">
        <v>7.648585689957757E-2</v>
      </c>
      <c r="AA57">
        <v>0.77403121652156315</v>
      </c>
    </row>
    <row r="58" spans="1:27" x14ac:dyDescent="0.2">
      <c r="A58" s="7" t="s">
        <v>2190</v>
      </c>
      <c r="B58" t="s">
        <v>328</v>
      </c>
      <c r="C58">
        <v>2022</v>
      </c>
      <c r="D58">
        <v>0</v>
      </c>
      <c r="E58">
        <v>2</v>
      </c>
      <c r="F58">
        <v>0</v>
      </c>
      <c r="G58">
        <v>6.4731666666666673E-2</v>
      </c>
      <c r="H58">
        <v>0</v>
      </c>
      <c r="I58">
        <v>0.66666666666666663</v>
      </c>
      <c r="J58">
        <v>0</v>
      </c>
      <c r="K58">
        <v>-0.16164186159374039</v>
      </c>
      <c r="L58">
        <v>0</v>
      </c>
      <c r="M58">
        <v>0.33333333333333331</v>
      </c>
      <c r="N58">
        <v>0</v>
      </c>
      <c r="O58">
        <v>0.5</v>
      </c>
      <c r="P58">
        <v>24.903097949056466</v>
      </c>
      <c r="Q58">
        <v>0.71322427644270792</v>
      </c>
      <c r="R58">
        <v>4.6271007492250993E-2</v>
      </c>
      <c r="S58">
        <v>-0.6929649007989892</v>
      </c>
      <c r="T58">
        <v>-0.25776320778102352</v>
      </c>
      <c r="U58">
        <v>1.6319610423140616</v>
      </c>
      <c r="V58">
        <v>26.467969552892978</v>
      </c>
      <c r="W58">
        <v>0.70756185394190596</v>
      </c>
      <c r="X58">
        <v>7.6751964029055111E-2</v>
      </c>
      <c r="Y58">
        <v>0.64917227469347305</v>
      </c>
      <c r="Z58">
        <v>5.125712485816989E-2</v>
      </c>
      <c r="AA58">
        <v>0.8289262473536142</v>
      </c>
    </row>
    <row r="59" spans="1:27" x14ac:dyDescent="0.2">
      <c r="A59" s="7" t="s">
        <v>2190</v>
      </c>
      <c r="B59" t="s">
        <v>332</v>
      </c>
      <c r="C59">
        <v>2021</v>
      </c>
      <c r="D59">
        <v>0</v>
      </c>
      <c r="E59">
        <v>2</v>
      </c>
      <c r="F59">
        <v>0</v>
      </c>
      <c r="G59">
        <v>8.178524999999999E-2</v>
      </c>
      <c r="H59">
        <v>0</v>
      </c>
      <c r="I59">
        <v>0.83333333333333337</v>
      </c>
      <c r="J59">
        <v>0</v>
      </c>
      <c r="K59">
        <v>0.16387618392405565</v>
      </c>
      <c r="L59">
        <v>0</v>
      </c>
      <c r="M59">
        <v>0.66666666666666663</v>
      </c>
      <c r="N59">
        <v>0</v>
      </c>
      <c r="O59">
        <v>0.25</v>
      </c>
      <c r="P59">
        <v>25.239826828295676</v>
      </c>
      <c r="Q59">
        <v>0.76243865064409688</v>
      </c>
      <c r="R59">
        <v>9.5649261923435036E-2</v>
      </c>
      <c r="S59">
        <v>2.3150476324480574E-2</v>
      </c>
      <c r="T59">
        <v>3.0664453994463534E-2</v>
      </c>
      <c r="U59">
        <v>1.1334211361766247</v>
      </c>
      <c r="V59">
        <v>25.995404596130534</v>
      </c>
      <c r="W59">
        <v>0.77071603374293363</v>
      </c>
      <c r="X59">
        <v>0.12983824430514754</v>
      </c>
      <c r="Y59">
        <v>0.54899274750875215</v>
      </c>
      <c r="Z59">
        <v>3.7011689540205277E-2</v>
      </c>
      <c r="AA59">
        <v>0.67295271890317832</v>
      </c>
    </row>
    <row r="60" spans="1:27" x14ac:dyDescent="0.2">
      <c r="A60" s="7" t="s">
        <v>2190</v>
      </c>
      <c r="B60" t="s">
        <v>336</v>
      </c>
      <c r="C60">
        <v>2020</v>
      </c>
      <c r="D60">
        <v>0</v>
      </c>
      <c r="E60">
        <v>2</v>
      </c>
      <c r="F60">
        <v>0</v>
      </c>
      <c r="G60">
        <v>6.9905916666666665E-2</v>
      </c>
      <c r="H60">
        <v>0</v>
      </c>
      <c r="I60">
        <v>0.83333333333333337</v>
      </c>
      <c r="J60">
        <v>-1</v>
      </c>
      <c r="K60">
        <v>-2.2906983693792141E-3</v>
      </c>
      <c r="L60">
        <v>0</v>
      </c>
      <c r="M60">
        <v>0.58333333333333337</v>
      </c>
      <c r="N60">
        <v>1</v>
      </c>
      <c r="O60">
        <v>0.41666666666666669</v>
      </c>
      <c r="P60">
        <v>25.063652056347621</v>
      </c>
      <c r="Q60">
        <v>0.69167542024711859</v>
      </c>
      <c r="R60">
        <v>-0.33110151109496833</v>
      </c>
      <c r="S60">
        <v>-4.2749356515657561E-2</v>
      </c>
      <c r="T60">
        <v>4.9391214983644384E-2</v>
      </c>
      <c r="U60">
        <v>0.8918677824118002</v>
      </c>
      <c r="V60">
        <v>26.265581106971336</v>
      </c>
      <c r="W60">
        <v>0.7494102705821698</v>
      </c>
      <c r="X60">
        <v>-4.1950154107860287E-2</v>
      </c>
      <c r="Y60">
        <v>0.52840523671364126</v>
      </c>
      <c r="Z60">
        <v>4.2090339105536195E-2</v>
      </c>
      <c r="AA60">
        <v>0.64020820540115519</v>
      </c>
    </row>
    <row r="61" spans="1:27" x14ac:dyDescent="0.2">
      <c r="A61" s="7" t="s">
        <v>2190</v>
      </c>
      <c r="B61" t="s">
        <v>340</v>
      </c>
      <c r="C61">
        <v>2019</v>
      </c>
      <c r="D61">
        <v>8.5000000000000006E-2</v>
      </c>
      <c r="E61">
        <v>2</v>
      </c>
      <c r="F61">
        <v>8.5000000000000006E-2</v>
      </c>
      <c r="G61">
        <v>6.4225333333333329E-2</v>
      </c>
      <c r="H61">
        <v>1</v>
      </c>
      <c r="I61">
        <v>1</v>
      </c>
      <c r="J61">
        <v>-0.39285714285714285</v>
      </c>
      <c r="K61">
        <v>0.2048308529080162</v>
      </c>
      <c r="L61">
        <v>0</v>
      </c>
      <c r="M61">
        <v>0.5</v>
      </c>
      <c r="N61">
        <v>1</v>
      </c>
      <c r="O61">
        <v>0.41666666666666669</v>
      </c>
      <c r="P61">
        <v>24.972427499745269</v>
      </c>
      <c r="Q61">
        <v>0.58668880238623777</v>
      </c>
      <c r="R61">
        <v>-0.10141449175174067</v>
      </c>
      <c r="S61">
        <v>-6.13346471069404E-2</v>
      </c>
      <c r="T61">
        <v>1.1638738079695477E-2</v>
      </c>
      <c r="U61">
        <v>0.83239778062389191</v>
      </c>
      <c r="V61">
        <v>26.23012234673833</v>
      </c>
      <c r="W61">
        <v>0.74952061241240975</v>
      </c>
      <c r="X61">
        <v>1.2222618040345717E-2</v>
      </c>
      <c r="Y61">
        <v>0.51863777498925445</v>
      </c>
      <c r="Z61">
        <v>5.532658950115165E-2</v>
      </c>
      <c r="AA61">
        <v>0.65149220172262645</v>
      </c>
    </row>
    <row r="62" spans="1:27" x14ac:dyDescent="0.2">
      <c r="A62" s="7" t="s">
        <v>2190</v>
      </c>
      <c r="B62" t="s">
        <v>343</v>
      </c>
      <c r="C62">
        <v>2018</v>
      </c>
      <c r="D62">
        <v>0.14000000000000001</v>
      </c>
      <c r="E62">
        <v>2</v>
      </c>
      <c r="F62">
        <v>0.14000000000000001</v>
      </c>
      <c r="G62">
        <v>6.8903749999999986E-2</v>
      </c>
      <c r="H62">
        <v>1</v>
      </c>
      <c r="I62">
        <v>1</v>
      </c>
      <c r="J62">
        <v>0</v>
      </c>
      <c r="K62">
        <v>0.19625836163091881</v>
      </c>
      <c r="L62">
        <v>0</v>
      </c>
      <c r="M62">
        <v>0.66666666666666663</v>
      </c>
      <c r="N62">
        <v>0</v>
      </c>
      <c r="O62">
        <v>0.25</v>
      </c>
      <c r="P62">
        <v>25.152437771837665</v>
      </c>
      <c r="Q62">
        <v>0.7510716451901992</v>
      </c>
      <c r="R62">
        <v>-1.5254998041396406E-2</v>
      </c>
      <c r="S62">
        <v>4.4630601999348825E-2</v>
      </c>
      <c r="T62">
        <v>9.3399836288925772E-2</v>
      </c>
      <c r="U62">
        <v>0.8838483050722955</v>
      </c>
      <c r="V62">
        <v>26.157555533535874</v>
      </c>
      <c r="W62">
        <v>0.75335985190247312</v>
      </c>
      <c r="X62">
        <v>5.5654398540226115E-2</v>
      </c>
      <c r="Y62">
        <v>0.4993913355499644</v>
      </c>
      <c r="Z62">
        <v>6.6329108159860956E-2</v>
      </c>
      <c r="AA62">
        <v>0.61097783469722489</v>
      </c>
    </row>
    <row r="63" spans="1:27" x14ac:dyDescent="0.2">
      <c r="A63" s="7" t="s">
        <v>2190</v>
      </c>
      <c r="B63" t="s">
        <v>345</v>
      </c>
      <c r="C63">
        <v>2017</v>
      </c>
      <c r="D63">
        <v>0.14000000000000001</v>
      </c>
      <c r="E63">
        <v>2</v>
      </c>
      <c r="F63">
        <v>0.14000000000000001</v>
      </c>
      <c r="G63">
        <v>6.0442166666666665E-2</v>
      </c>
      <c r="H63">
        <v>1</v>
      </c>
      <c r="I63">
        <v>1</v>
      </c>
      <c r="J63">
        <v>1.0527859237536661</v>
      </c>
      <c r="K63">
        <v>0.55401747729414474</v>
      </c>
      <c r="L63">
        <v>1</v>
      </c>
      <c r="M63">
        <v>0.75</v>
      </c>
      <c r="N63">
        <v>0</v>
      </c>
      <c r="O63">
        <v>0.25</v>
      </c>
      <c r="P63">
        <v>25.117599898576145</v>
      </c>
      <c r="Q63">
        <v>0.74369813276535357</v>
      </c>
      <c r="R63">
        <v>3.0307515450885392E-2</v>
      </c>
      <c r="S63">
        <v>-1.409860487931913E-2</v>
      </c>
      <c r="T63">
        <v>0.1079507836980199</v>
      </c>
      <c r="U63">
        <v>0.96056325767697881</v>
      </c>
      <c r="V63">
        <v>26.127846138291485</v>
      </c>
      <c r="W63">
        <v>0.76148414340283199</v>
      </c>
      <c r="X63">
        <v>4.7184963668004905E-2</v>
      </c>
      <c r="Y63">
        <v>0.45668530370257104</v>
      </c>
      <c r="Z63">
        <v>7.9371624497737395E-2</v>
      </c>
      <c r="AA63">
        <v>0.60386286369874764</v>
      </c>
    </row>
    <row r="64" spans="1:27" x14ac:dyDescent="0.2">
      <c r="A64" s="7" t="s">
        <v>2190</v>
      </c>
      <c r="B64" t="s">
        <v>347</v>
      </c>
      <c r="C64">
        <v>2016</v>
      </c>
      <c r="D64">
        <v>6.8199999999999997E-2</v>
      </c>
      <c r="E64">
        <v>2</v>
      </c>
      <c r="F64">
        <v>6.8199999999999997E-2</v>
      </c>
      <c r="G64">
        <v>5.1711833333333325E-2</v>
      </c>
      <c r="H64">
        <v>1</v>
      </c>
      <c r="I64">
        <v>1</v>
      </c>
      <c r="J64">
        <v>1</v>
      </c>
      <c r="K64">
        <v>1.3237367044724768</v>
      </c>
      <c r="L64">
        <v>1</v>
      </c>
      <c r="M64">
        <v>0.83333333333333337</v>
      </c>
      <c r="N64">
        <v>0</v>
      </c>
      <c r="O64">
        <v>0.16666666666666666</v>
      </c>
      <c r="P64">
        <v>25.071069708879101</v>
      </c>
      <c r="Q64">
        <v>0.7310682032791298</v>
      </c>
      <c r="R64">
        <v>1.7174621306279114E-2</v>
      </c>
      <c r="S64">
        <v>-0.18961351962027212</v>
      </c>
      <c r="T64">
        <v>5.3606244480413852E-2</v>
      </c>
      <c r="U64">
        <v>1.1914539401767081</v>
      </c>
      <c r="V64">
        <v>26.085916894295679</v>
      </c>
      <c r="W64">
        <v>0.71503169647972864</v>
      </c>
      <c r="X64">
        <v>0.12387411831585479</v>
      </c>
      <c r="Y64">
        <v>0.46330210881458472</v>
      </c>
      <c r="Z64">
        <v>3.9677726507472547E-2</v>
      </c>
      <c r="AA64">
        <v>0.68750288595097075</v>
      </c>
    </row>
    <row r="65" spans="1:27" x14ac:dyDescent="0.2">
      <c r="A65" s="7" t="s">
        <v>2190</v>
      </c>
      <c r="B65" t="s">
        <v>349</v>
      </c>
      <c r="C65">
        <v>2015</v>
      </c>
      <c r="D65">
        <v>0</v>
      </c>
      <c r="E65">
        <v>2</v>
      </c>
      <c r="F65">
        <v>0</v>
      </c>
      <c r="G65">
        <v>4.1440083333333336E-2</v>
      </c>
      <c r="H65">
        <v>0</v>
      </c>
      <c r="I65">
        <v>1</v>
      </c>
      <c r="J65">
        <v>-1</v>
      </c>
      <c r="K65">
        <v>4.2283097783256762</v>
      </c>
      <c r="L65">
        <v>0</v>
      </c>
      <c r="M65">
        <v>0.75</v>
      </c>
      <c r="N65">
        <v>1</v>
      </c>
      <c r="O65">
        <v>0.25</v>
      </c>
      <c r="P65">
        <v>25.181814319102784</v>
      </c>
      <c r="Q65">
        <v>0.60081698836695219</v>
      </c>
      <c r="R65">
        <v>-4.5870940040078967E-2</v>
      </c>
      <c r="S65">
        <v>-0.35157741033035783</v>
      </c>
      <c r="T65">
        <v>-0.42708155554479227</v>
      </c>
      <c r="U65">
        <v>1.7831535573789352</v>
      </c>
      <c r="V65">
        <v>26.003759586794569</v>
      </c>
      <c r="W65">
        <v>0.79723960251283477</v>
      </c>
      <c r="X65">
        <v>1.2598758753794756E-2</v>
      </c>
      <c r="Y65">
        <v>0.6089933798435968</v>
      </c>
      <c r="Z65">
        <v>3.3689348305915801E-2</v>
      </c>
      <c r="AA65">
        <v>0.8035522645950397</v>
      </c>
    </row>
    <row r="66" spans="1:27" x14ac:dyDescent="0.2">
      <c r="A66" s="7" t="s">
        <v>2190</v>
      </c>
      <c r="B66" t="s">
        <v>352</v>
      </c>
      <c r="C66">
        <v>2014</v>
      </c>
      <c r="D66">
        <v>8.0699999999999994E-2</v>
      </c>
      <c r="E66">
        <v>2</v>
      </c>
      <c r="F66">
        <v>8.0699999999999994E-2</v>
      </c>
      <c r="G66">
        <v>3.224291666666667E-2</v>
      </c>
      <c r="H66">
        <v>1</v>
      </c>
      <c r="I66">
        <v>1</v>
      </c>
      <c r="J66">
        <v>0.44364937388193193</v>
      </c>
      <c r="K66">
        <v>1.3641327005264776</v>
      </c>
      <c r="L66">
        <v>1</v>
      </c>
      <c r="M66">
        <v>0.58333333333333337</v>
      </c>
      <c r="N66">
        <v>0</v>
      </c>
      <c r="O66">
        <v>0.33333333333333331</v>
      </c>
      <c r="P66">
        <v>25.674625380756524</v>
      </c>
      <c r="Q66">
        <v>0.78265489177575409</v>
      </c>
      <c r="R66">
        <v>6.7160004565521181E-2</v>
      </c>
      <c r="S66">
        <v>0.48980797922819769</v>
      </c>
      <c r="T66">
        <v>4.0748209083108972E-2</v>
      </c>
      <c r="U66">
        <v>0.68863859779822789</v>
      </c>
      <c r="V66">
        <v>26.211135757907766</v>
      </c>
      <c r="W66">
        <v>0.77036634512551772</v>
      </c>
      <c r="X66">
        <v>1.7772605657772809E-2</v>
      </c>
      <c r="Y66">
        <v>0.62763083364790462</v>
      </c>
      <c r="Z66">
        <v>1.6157240418124039E-2</v>
      </c>
      <c r="AA66">
        <v>0.76029587851403335</v>
      </c>
    </row>
    <row r="67" spans="1:27" x14ac:dyDescent="0.2">
      <c r="A67" s="7" t="s">
        <v>2193</v>
      </c>
      <c r="B67" t="s">
        <v>363</v>
      </c>
      <c r="C67">
        <v>2024</v>
      </c>
      <c r="D67">
        <v>0</v>
      </c>
      <c r="E67">
        <v>2</v>
      </c>
      <c r="F67">
        <v>0</v>
      </c>
      <c r="G67">
        <v>6.3399999999999998E-2</v>
      </c>
      <c r="H67">
        <v>0</v>
      </c>
      <c r="I67">
        <v>0.58333333333333337</v>
      </c>
      <c r="J67">
        <v>0</v>
      </c>
      <c r="K67">
        <v>8.6160653443004165E-2</v>
      </c>
      <c r="L67">
        <v>0</v>
      </c>
      <c r="M67">
        <v>0.58333333333333337</v>
      </c>
      <c r="N67">
        <v>0</v>
      </c>
      <c r="O67">
        <v>8.3333333333333329E-2</v>
      </c>
      <c r="P67">
        <v>28.86816473500696</v>
      </c>
      <c r="Q67">
        <v>0.78615816495475455</v>
      </c>
      <c r="R67">
        <v>9.2099756360980223E-2</v>
      </c>
      <c r="S67">
        <v>0.21297275216059736</v>
      </c>
      <c r="T67">
        <v>-3.4695161134935509E-2</v>
      </c>
      <c r="U67">
        <v>0.99943424670093295</v>
      </c>
      <c r="V67">
        <v>26.270782101618863</v>
      </c>
      <c r="W67">
        <v>0.67817734409966757</v>
      </c>
      <c r="X67">
        <v>0.10014060620396352</v>
      </c>
      <c r="Y67">
        <v>0.60191645877310007</v>
      </c>
      <c r="Z67">
        <v>6.7543252470251558E-2</v>
      </c>
      <c r="AA67">
        <v>0.92450915567141989</v>
      </c>
    </row>
    <row r="68" spans="1:27" x14ac:dyDescent="0.2">
      <c r="A68" s="7" t="s">
        <v>2193</v>
      </c>
      <c r="B68" t="s">
        <v>365</v>
      </c>
      <c r="C68">
        <v>2023</v>
      </c>
      <c r="D68">
        <v>0</v>
      </c>
      <c r="E68">
        <v>2</v>
      </c>
      <c r="F68">
        <v>0</v>
      </c>
      <c r="G68">
        <v>6.6299999999999998E-2</v>
      </c>
      <c r="H68">
        <v>0</v>
      </c>
      <c r="I68">
        <v>0.58333333333333337</v>
      </c>
      <c r="J68">
        <v>0</v>
      </c>
      <c r="K68">
        <v>0.11703324263565433</v>
      </c>
      <c r="L68">
        <v>0</v>
      </c>
      <c r="M68">
        <v>0.5</v>
      </c>
      <c r="N68">
        <v>0</v>
      </c>
      <c r="O68">
        <v>0.25</v>
      </c>
      <c r="P68">
        <v>28.822152419995955</v>
      </c>
      <c r="Q68">
        <v>0.80572273871232603</v>
      </c>
      <c r="R68">
        <v>0.16687092367615231</v>
      </c>
      <c r="S68">
        <v>0.27900671520738524</v>
      </c>
      <c r="T68">
        <v>5.1912842186356362E-2</v>
      </c>
      <c r="U68">
        <v>0.77697152570634953</v>
      </c>
      <c r="V68">
        <v>26.145143906574464</v>
      </c>
      <c r="W68">
        <v>0.69820414797657071</v>
      </c>
      <c r="X68">
        <v>0.13681552180978906</v>
      </c>
      <c r="Y68">
        <v>0.5696467567573108</v>
      </c>
      <c r="Z68">
        <v>7.8483379666363887E-2</v>
      </c>
      <c r="AA68">
        <v>0.82912903164528062</v>
      </c>
    </row>
    <row r="69" spans="1:27" x14ac:dyDescent="0.2">
      <c r="A69" s="7" t="s">
        <v>2193</v>
      </c>
      <c r="B69" t="s">
        <v>371</v>
      </c>
      <c r="C69">
        <v>2020</v>
      </c>
      <c r="D69">
        <v>1.61E-2</v>
      </c>
      <c r="E69">
        <v>2</v>
      </c>
      <c r="F69">
        <v>1.61E-2</v>
      </c>
      <c r="G69">
        <v>6.8564249999999993E-2</v>
      </c>
      <c r="H69">
        <v>1</v>
      </c>
      <c r="I69">
        <v>0.75</v>
      </c>
      <c r="J69">
        <v>-0.12041083916083921</v>
      </c>
      <c r="K69">
        <v>-7.5589795105975952E-2</v>
      </c>
      <c r="L69">
        <v>0</v>
      </c>
      <c r="M69">
        <v>0.58333333333333337</v>
      </c>
      <c r="N69">
        <v>1</v>
      </c>
      <c r="O69">
        <v>0.41666666666666669</v>
      </c>
      <c r="P69">
        <v>27.923808633388241</v>
      </c>
      <c r="Q69">
        <v>0.79775220533698266</v>
      </c>
      <c r="R69">
        <v>-4.9304718141428117E-2</v>
      </c>
      <c r="S69">
        <v>0.28911887241242246</v>
      </c>
      <c r="T69">
        <v>4.5154930680452642E-2</v>
      </c>
      <c r="U69">
        <v>0.40922999917979863</v>
      </c>
      <c r="V69">
        <v>26.027234725551281</v>
      </c>
      <c r="W69">
        <v>0.74057053849134791</v>
      </c>
      <c r="X69">
        <v>-6.5433220187321964E-2</v>
      </c>
      <c r="Y69">
        <v>0.50074955096963469</v>
      </c>
      <c r="Z69">
        <v>4.2443362797468832E-2</v>
      </c>
      <c r="AA69">
        <v>0.68042802067048858</v>
      </c>
    </row>
    <row r="70" spans="1:27" x14ac:dyDescent="0.2">
      <c r="A70" s="7" t="s">
        <v>2193</v>
      </c>
      <c r="B70" t="s">
        <v>375</v>
      </c>
      <c r="C70">
        <v>2019</v>
      </c>
      <c r="D70">
        <v>1.8304000000000001E-2</v>
      </c>
      <c r="E70">
        <v>2</v>
      </c>
      <c r="F70">
        <v>1.8304000000000001E-2</v>
      </c>
      <c r="G70">
        <v>6.9783333333333322E-2</v>
      </c>
      <c r="H70">
        <v>1</v>
      </c>
      <c r="I70">
        <v>1</v>
      </c>
      <c r="J70">
        <v>0.14400000000000002</v>
      </c>
      <c r="K70">
        <v>0.16009275766992095</v>
      </c>
      <c r="L70">
        <v>1</v>
      </c>
      <c r="M70">
        <v>0.41666666666666669</v>
      </c>
      <c r="N70">
        <v>0</v>
      </c>
      <c r="O70">
        <v>0.5</v>
      </c>
      <c r="P70">
        <v>27.885927640455453</v>
      </c>
      <c r="Q70">
        <v>0.79428693655398064</v>
      </c>
      <c r="R70">
        <v>-1.7198272298103334E-2</v>
      </c>
      <c r="S70">
        <v>0.25234202425414509</v>
      </c>
      <c r="T70">
        <v>6.9327510029475278E-2</v>
      </c>
      <c r="U70">
        <v>0.4308759081997463</v>
      </c>
      <c r="V70">
        <v>25.987330668345816</v>
      </c>
      <c r="W70">
        <v>0.73222076789843127</v>
      </c>
      <c r="X70">
        <v>5.2045997525426062E-3</v>
      </c>
      <c r="Y70">
        <v>0.49249805237583061</v>
      </c>
      <c r="Z70">
        <v>5.0519191838669993E-2</v>
      </c>
      <c r="AA70">
        <v>0.68495235775797181</v>
      </c>
    </row>
    <row r="71" spans="1:27" x14ac:dyDescent="0.2">
      <c r="A71" s="7" t="s">
        <v>2193</v>
      </c>
      <c r="B71" t="s">
        <v>379</v>
      </c>
      <c r="C71">
        <v>2018</v>
      </c>
      <c r="D71">
        <v>1.6E-2</v>
      </c>
      <c r="E71">
        <v>2</v>
      </c>
      <c r="F71">
        <v>1.6E-2</v>
      </c>
      <c r="G71">
        <v>7.9237083333333333E-2</v>
      </c>
      <c r="H71">
        <v>1</v>
      </c>
      <c r="I71">
        <v>1</v>
      </c>
      <c r="J71">
        <v>5.2777079668258819E-3</v>
      </c>
      <c r="K71">
        <v>0.19581855263368331</v>
      </c>
      <c r="L71">
        <v>1</v>
      </c>
      <c r="M71">
        <v>0.58333333333333337</v>
      </c>
      <c r="N71">
        <v>0</v>
      </c>
      <c r="O71">
        <v>0.25</v>
      </c>
      <c r="P71">
        <v>27.820849426411897</v>
      </c>
      <c r="Q71">
        <v>0.77522286239849403</v>
      </c>
      <c r="R71">
        <v>4.8693979007869981E-2</v>
      </c>
      <c r="S71">
        <v>0.20341602694116273</v>
      </c>
      <c r="T71">
        <v>7.7601471373043296E-2</v>
      </c>
      <c r="U71">
        <v>0.44077305693060459</v>
      </c>
      <c r="V71">
        <v>25.935187895654689</v>
      </c>
      <c r="W71">
        <v>0.75134725046844852</v>
      </c>
      <c r="X71">
        <v>5.032531711945392E-2</v>
      </c>
      <c r="Y71">
        <v>0.48615921680481328</v>
      </c>
      <c r="Z71">
        <v>6.7645638569517844E-2</v>
      </c>
      <c r="AA71">
        <v>0.64790077204236574</v>
      </c>
    </row>
    <row r="72" spans="1:27" x14ac:dyDescent="0.2">
      <c r="A72" s="7" t="s">
        <v>2193</v>
      </c>
      <c r="B72" t="s">
        <v>383</v>
      </c>
      <c r="C72">
        <v>2017</v>
      </c>
      <c r="D72">
        <v>1.5916E-2</v>
      </c>
      <c r="E72">
        <v>2</v>
      </c>
      <c r="F72">
        <v>1.5916E-2</v>
      </c>
      <c r="G72">
        <v>7.0782499999999984E-2</v>
      </c>
      <c r="H72">
        <v>1</v>
      </c>
      <c r="I72">
        <v>1</v>
      </c>
      <c r="J72">
        <v>0.11300699300699296</v>
      </c>
      <c r="K72">
        <v>0.63233238818970083</v>
      </c>
      <c r="L72">
        <v>1</v>
      </c>
      <c r="M72">
        <v>0.75</v>
      </c>
      <c r="N72">
        <v>0</v>
      </c>
      <c r="O72">
        <v>0.25</v>
      </c>
      <c r="P72">
        <v>27.799771837412212</v>
      </c>
      <c r="Q72">
        <v>0.78932021202458136</v>
      </c>
      <c r="R72">
        <v>-5.2491559175752989E-2</v>
      </c>
      <c r="S72">
        <v>-0.17975025194320551</v>
      </c>
      <c r="T72">
        <v>6.3701946789364888E-2</v>
      </c>
      <c r="U72">
        <v>0.47651814489977151</v>
      </c>
      <c r="V72">
        <v>25.904331810055144</v>
      </c>
      <c r="W72">
        <v>0.75768230346456289</v>
      </c>
      <c r="X72">
        <v>5.4084886553558108E-2</v>
      </c>
      <c r="Y72">
        <v>0.47048960762456155</v>
      </c>
      <c r="Z72">
        <v>8.3059027573458663E-2</v>
      </c>
      <c r="AA72">
        <v>0.64419995643018158</v>
      </c>
    </row>
    <row r="73" spans="1:27" x14ac:dyDescent="0.2">
      <c r="A73" s="7" t="s">
        <v>2196</v>
      </c>
      <c r="B73" t="s">
        <v>402</v>
      </c>
      <c r="C73">
        <v>2025</v>
      </c>
      <c r="D73">
        <v>0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-0.58333333333333337</v>
      </c>
      <c r="L73">
        <v>0</v>
      </c>
      <c r="M73">
        <v>0</v>
      </c>
      <c r="N73">
        <v>0</v>
      </c>
      <c r="O73">
        <v>0.58333333333333337</v>
      </c>
      <c r="P73">
        <v>28.194093209665876</v>
      </c>
      <c r="Q73">
        <v>0.78176018003950898</v>
      </c>
      <c r="R73">
        <v>0.14479568553526367</v>
      </c>
      <c r="S73">
        <v>0.30463634515977278</v>
      </c>
      <c r="T73">
        <v>7.5494483775499388E-2</v>
      </c>
      <c r="U73">
        <v>1.4958448989685798</v>
      </c>
      <c r="V73">
        <v>26.349322203397424</v>
      </c>
      <c r="W73">
        <v>0.66271670198691091</v>
      </c>
      <c r="X73">
        <v>0.18117345367621293</v>
      </c>
      <c r="Y73">
        <v>0.83139860997459003</v>
      </c>
      <c r="Z73">
        <v>0.10699890786923465</v>
      </c>
      <c r="AA73">
        <v>0.80270949195299346</v>
      </c>
    </row>
    <row r="74" spans="1:27" x14ac:dyDescent="0.2">
      <c r="A74" s="7" t="s">
        <v>2196</v>
      </c>
      <c r="B74" t="s">
        <v>406</v>
      </c>
      <c r="C74">
        <v>2024</v>
      </c>
      <c r="D74">
        <v>0</v>
      </c>
      <c r="E74">
        <v>2</v>
      </c>
      <c r="F74">
        <v>0</v>
      </c>
      <c r="G74">
        <v>6.3399999999999998E-2</v>
      </c>
      <c r="H74">
        <v>0</v>
      </c>
      <c r="I74">
        <v>0.58333333333333337</v>
      </c>
      <c r="J74">
        <v>0</v>
      </c>
      <c r="K74">
        <v>8.6160653443004165E-2</v>
      </c>
      <c r="L74">
        <v>0</v>
      </c>
      <c r="M74">
        <v>0.58333333333333337</v>
      </c>
      <c r="N74">
        <v>0</v>
      </c>
      <c r="O74">
        <v>8.3333333333333329E-2</v>
      </c>
      <c r="P74">
        <v>27.942711664563724</v>
      </c>
      <c r="Q74">
        <v>0.74829908063953987</v>
      </c>
      <c r="R74">
        <v>0.1361720472248078</v>
      </c>
      <c r="S74">
        <v>0.16907624072276969</v>
      </c>
      <c r="T74">
        <v>-4.8347782782001393E-2</v>
      </c>
      <c r="U74">
        <v>1.3333720596476362</v>
      </c>
      <c r="V74">
        <v>26.373610220556998</v>
      </c>
      <c r="W74">
        <v>0.68238390902358026</v>
      </c>
      <c r="X74">
        <v>9.5243684996871567E-2</v>
      </c>
      <c r="Y74">
        <v>0.6067938489328587</v>
      </c>
      <c r="Z74">
        <v>6.9060210431036648E-2</v>
      </c>
      <c r="AA74">
        <v>0.88740495423289734</v>
      </c>
    </row>
    <row r="75" spans="1:27" x14ac:dyDescent="0.2">
      <c r="A75" s="7" t="s">
        <v>2196</v>
      </c>
      <c r="B75" t="s">
        <v>410</v>
      </c>
      <c r="C75">
        <v>2023</v>
      </c>
      <c r="D75">
        <v>0</v>
      </c>
      <c r="E75">
        <v>2</v>
      </c>
      <c r="F75">
        <v>0</v>
      </c>
      <c r="G75">
        <v>6.6299999999999998E-2</v>
      </c>
      <c r="H75">
        <v>0</v>
      </c>
      <c r="I75">
        <v>0.58333333333333337</v>
      </c>
      <c r="J75">
        <v>-1</v>
      </c>
      <c r="K75">
        <v>0.20036657596898766</v>
      </c>
      <c r="L75">
        <v>0</v>
      </c>
      <c r="M75">
        <v>0.5</v>
      </c>
      <c r="N75">
        <v>1</v>
      </c>
      <c r="O75">
        <v>0.16666666666666666</v>
      </c>
      <c r="P75">
        <v>27.783186683867189</v>
      </c>
      <c r="Q75">
        <v>0.79098778463232366</v>
      </c>
      <c r="R75">
        <v>0.21924560037079699</v>
      </c>
      <c r="S75">
        <v>0.23403615578232137</v>
      </c>
      <c r="T75">
        <v>2.9756881348328563E-2</v>
      </c>
      <c r="U75">
        <v>0.8046164957657066</v>
      </c>
      <c r="V75">
        <v>26.260584543922107</v>
      </c>
      <c r="W75">
        <v>0.69984136509657113</v>
      </c>
      <c r="X75">
        <v>0.13099611328816188</v>
      </c>
      <c r="Y75">
        <v>0.57464348558231793</v>
      </c>
      <c r="Z75">
        <v>8.0945153092811417E-2</v>
      </c>
      <c r="AA75">
        <v>0.82605736830535204</v>
      </c>
    </row>
    <row r="76" spans="1:27" x14ac:dyDescent="0.2">
      <c r="A76" s="7" t="s">
        <v>2196</v>
      </c>
      <c r="B76" t="s">
        <v>414</v>
      </c>
      <c r="C76">
        <v>2022</v>
      </c>
      <c r="D76">
        <v>5.0299999999999997E-2</v>
      </c>
      <c r="E76">
        <v>2</v>
      </c>
      <c r="F76">
        <v>5.0299999999999997E-2</v>
      </c>
      <c r="G76">
        <v>6.0540000000000004E-2</v>
      </c>
      <c r="H76">
        <v>1</v>
      </c>
      <c r="I76">
        <v>0.58333333333333337</v>
      </c>
      <c r="J76">
        <v>-5.0943396226415118E-2</v>
      </c>
      <c r="K76">
        <v>-0.15739657857487246</v>
      </c>
      <c r="L76">
        <v>0</v>
      </c>
      <c r="M76">
        <v>0.33333333333333331</v>
      </c>
      <c r="N76">
        <v>1</v>
      </c>
      <c r="O76">
        <v>0.41666666666666669</v>
      </c>
      <c r="P76">
        <v>27.62439923961966</v>
      </c>
      <c r="Q76">
        <v>0.77685625125830482</v>
      </c>
      <c r="R76">
        <v>3.0847246406080275E-2</v>
      </c>
      <c r="S76">
        <v>0.22169310574095791</v>
      </c>
      <c r="T76">
        <v>2.0089537483230564E-2</v>
      </c>
      <c r="U76">
        <v>0.57634748830116589</v>
      </c>
      <c r="V76">
        <v>26.165602742830401</v>
      </c>
      <c r="W76">
        <v>0.70049163451795082</v>
      </c>
      <c r="X76">
        <v>7.8955358469936635E-2</v>
      </c>
      <c r="Y76">
        <v>0.54754360730014551</v>
      </c>
      <c r="Z76">
        <v>1.1563875534705016E-2</v>
      </c>
      <c r="AA76">
        <v>0.94621664224393576</v>
      </c>
    </row>
    <row r="77" spans="1:27" x14ac:dyDescent="0.2">
      <c r="A77" s="7" t="s">
        <v>2196</v>
      </c>
      <c r="B77" t="s">
        <v>418</v>
      </c>
      <c r="C77">
        <v>2021</v>
      </c>
      <c r="D77">
        <v>5.2999999999999999E-2</v>
      </c>
      <c r="E77">
        <v>2</v>
      </c>
      <c r="F77">
        <v>5.2999999999999999E-2</v>
      </c>
      <c r="G77">
        <v>7.7368583333333338E-2</v>
      </c>
      <c r="H77">
        <v>1</v>
      </c>
      <c r="I77">
        <v>0.75</v>
      </c>
      <c r="J77">
        <v>0</v>
      </c>
      <c r="K77">
        <v>0.16387618392405565</v>
      </c>
      <c r="L77">
        <v>0</v>
      </c>
      <c r="M77">
        <v>0.66666666666666663</v>
      </c>
      <c r="N77">
        <v>0</v>
      </c>
      <c r="O77">
        <v>0.25</v>
      </c>
      <c r="P77">
        <v>27.55897394194778</v>
      </c>
      <c r="Q77">
        <v>0.75461989259387829</v>
      </c>
      <c r="R77">
        <v>6.0567592628870681E-2</v>
      </c>
      <c r="S77">
        <v>0.23162358803406038</v>
      </c>
      <c r="T77">
        <v>4.4942596135052082E-2</v>
      </c>
      <c r="U77">
        <v>0.47848186947547722</v>
      </c>
      <c r="V77">
        <v>25.763489884765324</v>
      </c>
      <c r="W77">
        <v>0.7714979095479555</v>
      </c>
      <c r="X77">
        <v>0.13334641123460397</v>
      </c>
      <c r="Y77">
        <v>0.52814543633779409</v>
      </c>
      <c r="Z77">
        <v>3.5583875326146423E-2</v>
      </c>
      <c r="AA77">
        <v>0.73844664557329298</v>
      </c>
    </row>
    <row r="78" spans="1:27" x14ac:dyDescent="0.2">
      <c r="A78" s="7" t="s">
        <v>2196</v>
      </c>
      <c r="B78" t="s">
        <v>422</v>
      </c>
      <c r="C78">
        <v>2020</v>
      </c>
      <c r="D78">
        <v>5.2999999999999999E-2</v>
      </c>
      <c r="E78">
        <v>2</v>
      </c>
      <c r="F78">
        <v>5.2999999999999999E-2</v>
      </c>
      <c r="G78">
        <v>6.5489249999999999E-2</v>
      </c>
      <c r="H78">
        <v>1</v>
      </c>
      <c r="I78">
        <v>0.75</v>
      </c>
      <c r="J78">
        <v>0.48459383753501384</v>
      </c>
      <c r="K78">
        <v>-0.12600685149729704</v>
      </c>
      <c r="L78">
        <v>1</v>
      </c>
      <c r="M78">
        <v>0.5</v>
      </c>
      <c r="N78">
        <v>0</v>
      </c>
      <c r="O78">
        <v>0.5</v>
      </c>
      <c r="P78">
        <v>27.57130826582193</v>
      </c>
      <c r="Q78">
        <v>0.72465672719166485</v>
      </c>
      <c r="R78">
        <v>4.4192972981818679E-2</v>
      </c>
      <c r="S78">
        <v>0.2064390580352744</v>
      </c>
      <c r="T78">
        <v>4.9923037949735266E-2</v>
      </c>
      <c r="U78">
        <v>0.54700791539396332</v>
      </c>
      <c r="V78">
        <v>26.05660975618181</v>
      </c>
      <c r="W78">
        <v>0.74666182833679107</v>
      </c>
      <c r="X78">
        <v>-7.3224694447592539E-2</v>
      </c>
      <c r="Y78">
        <v>0.50763953550106367</v>
      </c>
      <c r="Z78">
        <v>4.2046020525028621E-2</v>
      </c>
      <c r="AA78">
        <v>0.66894652765264162</v>
      </c>
    </row>
    <row r="79" spans="1:27" x14ac:dyDescent="0.2">
      <c r="A79" s="7" t="s">
        <v>2196</v>
      </c>
      <c r="B79" t="s">
        <v>426</v>
      </c>
      <c r="C79">
        <v>2019</v>
      </c>
      <c r="D79">
        <v>3.5700000000000003E-2</v>
      </c>
      <c r="E79">
        <v>2</v>
      </c>
      <c r="F79">
        <v>3.5700000000000003E-2</v>
      </c>
      <c r="G79">
        <v>6.8333666666666668E-2</v>
      </c>
      <c r="H79">
        <v>1</v>
      </c>
      <c r="I79">
        <v>1</v>
      </c>
      <c r="J79">
        <v>-2.7247956403269775E-2</v>
      </c>
      <c r="K79">
        <v>0.17436342070352681</v>
      </c>
      <c r="L79">
        <v>0</v>
      </c>
      <c r="M79">
        <v>0.5</v>
      </c>
      <c r="N79">
        <v>1</v>
      </c>
      <c r="O79">
        <v>0.41666666666666669</v>
      </c>
      <c r="P79">
        <v>27.553188214832957</v>
      </c>
      <c r="Q79">
        <v>0.73272951912132389</v>
      </c>
      <c r="R79">
        <v>2.1941633915879333E-2</v>
      </c>
      <c r="S79">
        <v>0.1838754112744023</v>
      </c>
      <c r="T79">
        <v>6.9249616326970192E-4</v>
      </c>
      <c r="U79">
        <v>0.6233717920596622</v>
      </c>
      <c r="V79">
        <v>26.015058953814361</v>
      </c>
      <c r="W79">
        <v>0.7373505526844859</v>
      </c>
      <c r="X79">
        <v>1.9429409013773842E-3</v>
      </c>
      <c r="Y79">
        <v>0.49820360345747589</v>
      </c>
      <c r="Z79">
        <v>5.6238776327520466E-2</v>
      </c>
      <c r="AA79">
        <v>0.66891103410297881</v>
      </c>
    </row>
    <row r="80" spans="1:27" x14ac:dyDescent="0.2">
      <c r="A80" s="7" t="s">
        <v>2196</v>
      </c>
      <c r="B80" t="s">
        <v>430</v>
      </c>
      <c r="C80">
        <v>2018</v>
      </c>
      <c r="D80">
        <v>3.6700000000000003E-2</v>
      </c>
      <c r="E80">
        <v>2</v>
      </c>
      <c r="F80">
        <v>3.6700000000000003E-2</v>
      </c>
      <c r="G80">
        <v>7.7512083333333329E-2</v>
      </c>
      <c r="H80">
        <v>1</v>
      </c>
      <c r="I80">
        <v>1</v>
      </c>
      <c r="J80">
        <v>0.39543726235741455</v>
      </c>
      <c r="K80">
        <v>0.16330525643446758</v>
      </c>
      <c r="L80">
        <v>1</v>
      </c>
      <c r="M80">
        <v>0.58333333333333337</v>
      </c>
      <c r="N80">
        <v>0</v>
      </c>
      <c r="O80">
        <v>0.25</v>
      </c>
      <c r="P80">
        <v>27.560524614556563</v>
      </c>
      <c r="Q80">
        <v>0.71831927471025214</v>
      </c>
      <c r="R80">
        <v>3.0595859461850727E-2</v>
      </c>
      <c r="S80">
        <v>0.19706457825488427</v>
      </c>
      <c r="T80">
        <v>3.2483718348602322E-2</v>
      </c>
      <c r="U80">
        <v>0.58973182377234445</v>
      </c>
      <c r="V80">
        <v>25.956881629975967</v>
      </c>
      <c r="W80">
        <v>0.75608921610913526</v>
      </c>
      <c r="X80">
        <v>5.1833493748288856E-2</v>
      </c>
      <c r="Y80">
        <v>0.48668850419533644</v>
      </c>
      <c r="Z80">
        <v>7.1405451321554583E-2</v>
      </c>
      <c r="AA80">
        <v>0.63548754147222075</v>
      </c>
    </row>
    <row r="81" spans="1:27" x14ac:dyDescent="0.2">
      <c r="A81" s="7" t="s">
        <v>2196</v>
      </c>
      <c r="B81" t="s">
        <v>434</v>
      </c>
      <c r="C81">
        <v>2017</v>
      </c>
      <c r="D81">
        <v>2.63E-2</v>
      </c>
      <c r="E81">
        <v>2</v>
      </c>
      <c r="F81">
        <v>2.63E-2</v>
      </c>
      <c r="G81">
        <v>6.9917166666666655E-2</v>
      </c>
      <c r="H81">
        <v>1</v>
      </c>
      <c r="I81">
        <v>1</v>
      </c>
      <c r="J81">
        <v>-0.43562231759656656</v>
      </c>
      <c r="K81">
        <v>0.67805149740666415</v>
      </c>
      <c r="L81">
        <v>0</v>
      </c>
      <c r="M81">
        <v>0.83333333333333337</v>
      </c>
      <c r="N81">
        <v>1</v>
      </c>
      <c r="O81">
        <v>0.16666666666666666</v>
      </c>
      <c r="P81">
        <v>27.658880416582608</v>
      </c>
      <c r="Q81">
        <v>0.7778791365143336</v>
      </c>
      <c r="R81">
        <v>-6.9379691610171323E-2</v>
      </c>
      <c r="S81">
        <v>0.33349483297007898</v>
      </c>
      <c r="T81">
        <v>2.2320458796727342E-2</v>
      </c>
      <c r="U81">
        <v>0.47829818679517627</v>
      </c>
      <c r="V81">
        <v>25.916072761790943</v>
      </c>
      <c r="W81">
        <v>0.75863572642375032</v>
      </c>
      <c r="X81">
        <v>5.5492230923092967E-2</v>
      </c>
      <c r="Y81">
        <v>0.42771918388178792</v>
      </c>
      <c r="Z81">
        <v>8.6507484906178447E-2</v>
      </c>
      <c r="AA81">
        <v>0.64405161960556445</v>
      </c>
    </row>
    <row r="82" spans="1:27" x14ac:dyDescent="0.2">
      <c r="A82" s="7" t="s">
        <v>2196</v>
      </c>
      <c r="B82" t="s">
        <v>438</v>
      </c>
      <c r="C82">
        <v>2016</v>
      </c>
      <c r="D82">
        <v>4.6600000000000003E-2</v>
      </c>
      <c r="E82">
        <v>2</v>
      </c>
      <c r="F82">
        <v>4.6600000000000003E-2</v>
      </c>
      <c r="G82">
        <v>5.3511833333333335E-2</v>
      </c>
      <c r="H82">
        <v>1</v>
      </c>
      <c r="I82">
        <v>1</v>
      </c>
      <c r="J82">
        <v>0.19794344473007727</v>
      </c>
      <c r="K82">
        <v>1.3905747507449704</v>
      </c>
      <c r="L82">
        <v>1</v>
      </c>
      <c r="M82">
        <v>0.83333333333333337</v>
      </c>
      <c r="N82">
        <v>0</v>
      </c>
      <c r="O82">
        <v>0.16666666666666666</v>
      </c>
      <c r="P82">
        <v>27.614328567319994</v>
      </c>
      <c r="Q82">
        <v>0.77792476658606569</v>
      </c>
      <c r="R82">
        <v>7.6429015400907074E-2</v>
      </c>
      <c r="S82">
        <v>0.37452452790767699</v>
      </c>
      <c r="T82">
        <v>4.1373180341416425E-2</v>
      </c>
      <c r="U82">
        <v>0.51082755187945894</v>
      </c>
      <c r="V82">
        <v>25.873978656092273</v>
      </c>
      <c r="W82">
        <v>0.71112698287081721</v>
      </c>
      <c r="X82">
        <v>0.117948678906392</v>
      </c>
      <c r="Y82">
        <v>0.41201683176658926</v>
      </c>
      <c r="Z82">
        <v>4.0901032921372295E-2</v>
      </c>
      <c r="AA82">
        <v>0.74422175164240822</v>
      </c>
    </row>
    <row r="83" spans="1:27" x14ac:dyDescent="0.2">
      <c r="A83" s="7" t="s">
        <v>2196</v>
      </c>
      <c r="B83" t="s">
        <v>442</v>
      </c>
      <c r="C83">
        <v>2015</v>
      </c>
      <c r="D83">
        <v>3.8899999999999997E-2</v>
      </c>
      <c r="E83">
        <v>2</v>
      </c>
      <c r="F83">
        <v>3.8899999999999997E-2</v>
      </c>
      <c r="G83">
        <v>3.8198416666666672E-2</v>
      </c>
      <c r="H83">
        <v>1</v>
      </c>
      <c r="I83">
        <v>0.91666666666666663</v>
      </c>
      <c r="J83">
        <v>1.4935897435897436</v>
      </c>
      <c r="K83">
        <v>4.0205106330265297</v>
      </c>
      <c r="L83">
        <v>1</v>
      </c>
      <c r="M83">
        <v>0.66666666666666663</v>
      </c>
      <c r="N83">
        <v>0</v>
      </c>
      <c r="O83">
        <v>0.33333333333333331</v>
      </c>
      <c r="P83">
        <v>27.567161830724679</v>
      </c>
      <c r="Q83">
        <v>0.79368471769048654</v>
      </c>
      <c r="R83">
        <v>5.447263017356474E-2</v>
      </c>
      <c r="S83">
        <v>0.33084820635947088</v>
      </c>
      <c r="T83">
        <v>2.9813815963163872E-2</v>
      </c>
      <c r="U83">
        <v>0.52811201477719372</v>
      </c>
      <c r="V83">
        <v>25.765224835632381</v>
      </c>
      <c r="W83">
        <v>0.7779528295804814</v>
      </c>
      <c r="X83">
        <v>1.4494731745010097E-3</v>
      </c>
      <c r="Y83">
        <v>0.51150400603076418</v>
      </c>
      <c r="Z83">
        <v>-1.7076804083857099E-2</v>
      </c>
      <c r="AA83">
        <v>0.92905641885521373</v>
      </c>
    </row>
    <row r="84" spans="1:27" x14ac:dyDescent="0.2">
      <c r="A84" s="7" t="s">
        <v>2196</v>
      </c>
      <c r="B84" t="s">
        <v>446</v>
      </c>
      <c r="C84">
        <v>2014</v>
      </c>
      <c r="D84">
        <v>1.5599999999999999E-2</v>
      </c>
      <c r="E84">
        <v>2</v>
      </c>
      <c r="F84">
        <v>1.5599999999999999E-2</v>
      </c>
      <c r="G84">
        <v>3.7667916666666669E-2</v>
      </c>
      <c r="H84">
        <v>1</v>
      </c>
      <c r="I84">
        <v>1</v>
      </c>
      <c r="J84">
        <v>0.14705882352941177</v>
      </c>
      <c r="K84">
        <v>1.388848579722521</v>
      </c>
      <c r="L84">
        <v>1</v>
      </c>
      <c r="M84">
        <v>0.58333333333333337</v>
      </c>
      <c r="N84">
        <v>0</v>
      </c>
      <c r="O84">
        <v>0.33333333333333331</v>
      </c>
      <c r="P84">
        <v>27.507462684735632</v>
      </c>
      <c r="Q84">
        <v>0.77643504531722052</v>
      </c>
      <c r="R84">
        <v>5.0785634118967415E-2</v>
      </c>
      <c r="S84">
        <v>0.30169822448420652</v>
      </c>
      <c r="T84">
        <v>2.7803638173631306E-2</v>
      </c>
      <c r="U84">
        <v>0.48495087801247078</v>
      </c>
      <c r="V84">
        <v>26.027852027509859</v>
      </c>
      <c r="W84">
        <v>0.77098832977137111</v>
      </c>
      <c r="X84">
        <v>1.9591980151834339E-2</v>
      </c>
      <c r="Y84">
        <v>0.66525278459670278</v>
      </c>
      <c r="Z84">
        <v>1.7595526074732665E-2</v>
      </c>
      <c r="AA84">
        <v>0.78066465049260914</v>
      </c>
    </row>
    <row r="85" spans="1:27" x14ac:dyDescent="0.2">
      <c r="A85" s="7" t="s">
        <v>2198</v>
      </c>
      <c r="B85" t="s">
        <v>461</v>
      </c>
      <c r="C85">
        <v>2025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-1</v>
      </c>
      <c r="K85">
        <v>-0.5</v>
      </c>
      <c r="L85">
        <v>0</v>
      </c>
      <c r="M85">
        <v>0</v>
      </c>
      <c r="N85">
        <v>1</v>
      </c>
      <c r="O85">
        <v>0.5</v>
      </c>
      <c r="P85">
        <v>28.086642438860924</v>
      </c>
      <c r="Q85">
        <v>0.38897367598451132</v>
      </c>
      <c r="R85">
        <v>0.13702696960244687</v>
      </c>
      <c r="S85">
        <v>0.74925382308648103</v>
      </c>
      <c r="T85">
        <v>8.8102531086433747E-2</v>
      </c>
      <c r="U85">
        <v>0.38491927942009385</v>
      </c>
      <c r="V85">
        <v>26.364672313512415</v>
      </c>
      <c r="W85">
        <v>0.71882905970905342</v>
      </c>
      <c r="X85">
        <v>0.18228327023804392</v>
      </c>
      <c r="Y85">
        <v>0.75729569698680532</v>
      </c>
      <c r="Z85">
        <v>0.10519775825338691</v>
      </c>
      <c r="AA85">
        <v>0.96141315188849141</v>
      </c>
    </row>
    <row r="86" spans="1:27" x14ac:dyDescent="0.2">
      <c r="A86" s="7" t="s">
        <v>2198</v>
      </c>
      <c r="B86" t="s">
        <v>465</v>
      </c>
      <c r="C86">
        <v>2024</v>
      </c>
      <c r="D86">
        <v>0.35</v>
      </c>
      <c r="E86">
        <v>2</v>
      </c>
      <c r="F86">
        <v>0.35</v>
      </c>
      <c r="G86">
        <v>3.4233333333333331E-2</v>
      </c>
      <c r="H86">
        <v>1</v>
      </c>
      <c r="I86">
        <v>0.5</v>
      </c>
      <c r="J86">
        <v>6.060606060606049E-2</v>
      </c>
      <c r="K86">
        <v>8.111014839249911E-2</v>
      </c>
      <c r="L86">
        <v>1</v>
      </c>
      <c r="M86">
        <v>0.5</v>
      </c>
      <c r="N86">
        <v>0</v>
      </c>
      <c r="O86">
        <v>8.3333333333333329E-2</v>
      </c>
      <c r="P86">
        <v>28.010134719579103</v>
      </c>
      <c r="Q86">
        <v>0.3240749930355396</v>
      </c>
      <c r="R86">
        <v>0.13873226851909726</v>
      </c>
      <c r="S86">
        <v>0.71775013087796014</v>
      </c>
      <c r="T86">
        <v>0.10684986297955344</v>
      </c>
      <c r="U86">
        <v>0.40596514796908201</v>
      </c>
      <c r="V86">
        <v>26.366118769999737</v>
      </c>
      <c r="W86">
        <v>0.72951991875735811</v>
      </c>
      <c r="X86">
        <v>9.4959215964172727E-2</v>
      </c>
      <c r="Y86">
        <v>0.54583008336005978</v>
      </c>
      <c r="Z86">
        <v>5.1816027568641662E-2</v>
      </c>
      <c r="AA86">
        <v>0.99045016664162544</v>
      </c>
    </row>
    <row r="87" spans="1:27" x14ac:dyDescent="0.2">
      <c r="A87" s="7" t="s">
        <v>2198</v>
      </c>
      <c r="B87" t="s">
        <v>469</v>
      </c>
      <c r="C87">
        <v>2023</v>
      </c>
      <c r="D87">
        <v>0.33</v>
      </c>
      <c r="E87">
        <v>2</v>
      </c>
      <c r="F87">
        <v>0.33</v>
      </c>
      <c r="G87">
        <v>3.8800000000000001E-2</v>
      </c>
      <c r="H87">
        <v>1</v>
      </c>
      <c r="I87">
        <v>0.5</v>
      </c>
      <c r="J87">
        <v>0.17857142857142852</v>
      </c>
      <c r="K87">
        <v>0.10215229025470192</v>
      </c>
      <c r="L87">
        <v>1</v>
      </c>
      <c r="M87">
        <v>0.41666666666666669</v>
      </c>
      <c r="N87">
        <v>0</v>
      </c>
      <c r="O87">
        <v>0.25</v>
      </c>
      <c r="P87">
        <v>27.892756721292844</v>
      </c>
      <c r="Q87">
        <v>0.29034015993127987</v>
      </c>
      <c r="R87">
        <v>7.4943319978877376E-2</v>
      </c>
      <c r="S87">
        <v>0.67715088385264854</v>
      </c>
      <c r="T87">
        <v>0.11228282050625446</v>
      </c>
      <c r="U87">
        <v>0.39787733336776426</v>
      </c>
      <c r="V87">
        <v>26.248410095319255</v>
      </c>
      <c r="W87">
        <v>0.75546887895224257</v>
      </c>
      <c r="X87">
        <v>0.14702969999837517</v>
      </c>
      <c r="Y87">
        <v>0.52540851579672598</v>
      </c>
      <c r="Z87">
        <v>7.1775604297486306E-2</v>
      </c>
      <c r="AA87">
        <v>0.87125060857179004</v>
      </c>
    </row>
    <row r="88" spans="1:27" x14ac:dyDescent="0.2">
      <c r="A88" s="7" t="s">
        <v>2198</v>
      </c>
      <c r="B88" t="s">
        <v>476</v>
      </c>
      <c r="C88">
        <v>2020</v>
      </c>
      <c r="D88">
        <v>0.18</v>
      </c>
      <c r="E88">
        <v>2</v>
      </c>
      <c r="F88">
        <v>0.18</v>
      </c>
      <c r="G88">
        <v>5.4905916666666665E-2</v>
      </c>
      <c r="H88">
        <v>1</v>
      </c>
      <c r="I88">
        <v>0.75</v>
      </c>
      <c r="J88">
        <v>-0.10000000000000009</v>
      </c>
      <c r="K88">
        <v>-7.7290698369379199E-2</v>
      </c>
      <c r="L88">
        <v>0</v>
      </c>
      <c r="M88">
        <v>0.58333333333333337</v>
      </c>
      <c r="N88">
        <v>1</v>
      </c>
      <c r="O88">
        <v>0.41666666666666669</v>
      </c>
      <c r="P88">
        <v>27.486276229281785</v>
      </c>
      <c r="Q88">
        <v>0.41400855019919258</v>
      </c>
      <c r="R88">
        <v>-4.4401813742588114E-2</v>
      </c>
      <c r="S88">
        <v>0.54950437999211166</v>
      </c>
      <c r="T88">
        <v>9.3382715071659614E-2</v>
      </c>
      <c r="U88">
        <v>0.40439411326463204</v>
      </c>
      <c r="V88">
        <v>26.063695759226821</v>
      </c>
      <c r="W88">
        <v>0.77254917641949705</v>
      </c>
      <c r="X88">
        <v>-6.5841795553891969E-2</v>
      </c>
      <c r="Y88">
        <v>0.47905075867132724</v>
      </c>
      <c r="Z88">
        <v>3.842438076486826E-2</v>
      </c>
      <c r="AA88">
        <v>0.68083101116341915</v>
      </c>
    </row>
    <row r="89" spans="1:27" x14ac:dyDescent="0.2">
      <c r="A89" s="7" t="s">
        <v>2198</v>
      </c>
      <c r="B89" t="s">
        <v>480</v>
      </c>
      <c r="C89">
        <v>2019</v>
      </c>
      <c r="D89">
        <v>0.2</v>
      </c>
      <c r="E89">
        <v>2</v>
      </c>
      <c r="F89">
        <v>0.2</v>
      </c>
      <c r="G89">
        <v>5.4642000000000003E-2</v>
      </c>
      <c r="H89">
        <v>1</v>
      </c>
      <c r="I89">
        <v>1</v>
      </c>
      <c r="J89">
        <v>0.1764705882352941</v>
      </c>
      <c r="K89">
        <v>0.15738687531697981</v>
      </c>
      <c r="L89">
        <v>1</v>
      </c>
      <c r="M89">
        <v>0.41666666666666669</v>
      </c>
      <c r="N89">
        <v>0</v>
      </c>
      <c r="O89">
        <v>0.5</v>
      </c>
      <c r="P89">
        <v>27.344683472660044</v>
      </c>
      <c r="Q89">
        <v>0.43671913385858224</v>
      </c>
      <c r="R89">
        <v>7.2241118159284134E-2</v>
      </c>
      <c r="S89">
        <v>0.50423587003124215</v>
      </c>
      <c r="T89">
        <v>0.11074644700310085</v>
      </c>
      <c r="U89">
        <v>0.35860624227765525</v>
      </c>
      <c r="V89">
        <v>26.032434348995434</v>
      </c>
      <c r="W89">
        <v>0.76201808478971433</v>
      </c>
      <c r="X89">
        <v>-2.248682785573016E-3</v>
      </c>
      <c r="Y89">
        <v>0.47150689856107247</v>
      </c>
      <c r="Z89">
        <v>4.7067613757534536E-2</v>
      </c>
      <c r="AA89">
        <v>0.69097482991814607</v>
      </c>
    </row>
    <row r="90" spans="1:27" x14ac:dyDescent="0.2">
      <c r="A90" s="7" t="s">
        <v>2198</v>
      </c>
      <c r="B90" t="s">
        <v>484</v>
      </c>
      <c r="C90">
        <v>2018</v>
      </c>
      <c r="D90">
        <v>0.17</v>
      </c>
      <c r="E90">
        <v>2</v>
      </c>
      <c r="F90">
        <v>0.17</v>
      </c>
      <c r="G90">
        <v>6.6403749999999997E-2</v>
      </c>
      <c r="H90">
        <v>1</v>
      </c>
      <c r="I90">
        <v>1</v>
      </c>
      <c r="J90">
        <v>0.30769230769230776</v>
      </c>
      <c r="K90">
        <v>0.17061733598989315</v>
      </c>
      <c r="L90">
        <v>1</v>
      </c>
      <c r="M90">
        <v>0.58333333333333337</v>
      </c>
      <c r="N90">
        <v>0</v>
      </c>
      <c r="O90">
        <v>0.25</v>
      </c>
      <c r="P90">
        <v>27.314372878924146</v>
      </c>
      <c r="Q90">
        <v>0.44329091789998998</v>
      </c>
      <c r="R90">
        <v>4.9651654382699251E-2</v>
      </c>
      <c r="S90">
        <v>0.42798643810842096</v>
      </c>
      <c r="T90">
        <v>0.10589941365633332</v>
      </c>
      <c r="U90">
        <v>0.50076213546236903</v>
      </c>
      <c r="V90">
        <v>25.977394274611999</v>
      </c>
      <c r="W90">
        <v>0.77900824584332373</v>
      </c>
      <c r="X90">
        <v>5.0245510838218148E-2</v>
      </c>
      <c r="Y90">
        <v>0.46744501587420845</v>
      </c>
      <c r="Z90">
        <v>6.5287476712576994E-2</v>
      </c>
      <c r="AA90">
        <v>0.64290168216471877</v>
      </c>
    </row>
    <row r="91" spans="1:27" x14ac:dyDescent="0.2">
      <c r="A91" s="7" t="s">
        <v>2198</v>
      </c>
      <c r="B91" t="s">
        <v>488</v>
      </c>
      <c r="C91">
        <v>2017</v>
      </c>
      <c r="D91">
        <v>0.13</v>
      </c>
      <c r="E91">
        <v>2</v>
      </c>
      <c r="F91">
        <v>0.13</v>
      </c>
      <c r="G91">
        <v>6.1275500000000004E-2</v>
      </c>
      <c r="H91">
        <v>1</v>
      </c>
      <c r="I91">
        <v>1</v>
      </c>
      <c r="J91">
        <v>-0.13333333333333328</v>
      </c>
      <c r="K91">
        <v>0.65286074871806132</v>
      </c>
      <c r="L91">
        <v>0</v>
      </c>
      <c r="M91">
        <v>0.83333333333333337</v>
      </c>
      <c r="N91">
        <v>1</v>
      </c>
      <c r="O91">
        <v>0.16666666666666666</v>
      </c>
      <c r="P91">
        <v>27.161107082668973</v>
      </c>
      <c r="Q91">
        <v>0.44037814211846621</v>
      </c>
      <c r="R91">
        <v>5.6286585070872253E-2</v>
      </c>
      <c r="S91">
        <v>0.3264367916170558</v>
      </c>
      <c r="T91">
        <v>9.1000710316299666E-2</v>
      </c>
      <c r="U91">
        <v>0.36056542209665027</v>
      </c>
      <c r="V91">
        <v>25.957553872950413</v>
      </c>
      <c r="W91">
        <v>0.78676080929007253</v>
      </c>
      <c r="X91">
        <v>4.5020041199672671E-2</v>
      </c>
      <c r="Y91">
        <v>0.42830735399453984</v>
      </c>
      <c r="Z91">
        <v>8.0784130612880756E-2</v>
      </c>
      <c r="AA91">
        <v>0.65386268333044162</v>
      </c>
    </row>
    <row r="92" spans="1:27" x14ac:dyDescent="0.2">
      <c r="A92" s="7" t="s">
        <v>2200</v>
      </c>
      <c r="B92" t="s">
        <v>506</v>
      </c>
      <c r="C92">
        <v>2025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-1</v>
      </c>
      <c r="K92">
        <v>-0.5</v>
      </c>
      <c r="L92">
        <v>0</v>
      </c>
      <c r="M92">
        <v>0</v>
      </c>
      <c r="N92">
        <v>1</v>
      </c>
      <c r="O92">
        <v>0.5</v>
      </c>
      <c r="P92">
        <v>25.882317785580614</v>
      </c>
      <c r="Q92">
        <v>0.76335324732725973</v>
      </c>
      <c r="R92">
        <v>0.10716932375523447</v>
      </c>
      <c r="S92">
        <v>0.94511571744718947</v>
      </c>
      <c r="T92">
        <v>6.9709589086264456E-2</v>
      </c>
      <c r="U92">
        <v>1.3758091056657202</v>
      </c>
      <c r="V92">
        <v>26.679575835409601</v>
      </c>
      <c r="W92">
        <v>0.66534626380294648</v>
      </c>
      <c r="X92">
        <v>0.18654864821621711</v>
      </c>
      <c r="Y92">
        <v>0.72465204792668736</v>
      </c>
      <c r="Z92">
        <v>0.10782532139626821</v>
      </c>
      <c r="AA92">
        <v>0.8198574624248306</v>
      </c>
    </row>
    <row r="93" spans="1:27" x14ac:dyDescent="0.2">
      <c r="A93" s="7" t="s">
        <v>2200</v>
      </c>
      <c r="B93" t="s">
        <v>510</v>
      </c>
      <c r="C93">
        <v>2024</v>
      </c>
      <c r="D93">
        <v>6.7599999999999993E-2</v>
      </c>
      <c r="E93">
        <v>2</v>
      </c>
      <c r="F93">
        <v>6.7599999999999993E-2</v>
      </c>
      <c r="G93">
        <v>5.7766666666666661E-2</v>
      </c>
      <c r="H93">
        <v>1</v>
      </c>
      <c r="I93">
        <v>0.5</v>
      </c>
      <c r="J93">
        <v>2.1148036253776415E-2</v>
      </c>
      <c r="K93">
        <v>8.4398317088522787E-2</v>
      </c>
      <c r="L93">
        <v>1</v>
      </c>
      <c r="M93">
        <v>0.5</v>
      </c>
      <c r="N93">
        <v>0</v>
      </c>
      <c r="O93">
        <v>8.3333333333333329E-2</v>
      </c>
      <c r="P93">
        <v>25.791405161816868</v>
      </c>
      <c r="Q93">
        <v>0.76643038475121905</v>
      </c>
      <c r="R93">
        <v>7.5490298838866154E-2</v>
      </c>
      <c r="S93">
        <v>0.93244083619499385</v>
      </c>
      <c r="T93">
        <v>4.2652335689949805E-2</v>
      </c>
      <c r="U93">
        <v>1.4511416596605256</v>
      </c>
      <c r="V93">
        <v>26.612644276417761</v>
      </c>
      <c r="W93">
        <v>0.6803693196778382</v>
      </c>
      <c r="X93">
        <v>0.10198610148419841</v>
      </c>
      <c r="Y93">
        <v>0.52197556054705607</v>
      </c>
      <c r="Z93">
        <v>5.894908615637541E-2</v>
      </c>
      <c r="AA93">
        <v>0.87431944312035403</v>
      </c>
    </row>
    <row r="94" spans="1:27" x14ac:dyDescent="0.2">
      <c r="A94" s="7" t="s">
        <v>2200</v>
      </c>
      <c r="B94" t="s">
        <v>514</v>
      </c>
      <c r="C94">
        <v>2023</v>
      </c>
      <c r="D94">
        <v>6.6199999999999995E-2</v>
      </c>
      <c r="E94">
        <v>2</v>
      </c>
      <c r="F94">
        <v>6.6199999999999995E-2</v>
      </c>
      <c r="G94">
        <v>6.0783333333333335E-2</v>
      </c>
      <c r="H94">
        <v>1</v>
      </c>
      <c r="I94">
        <v>0.5</v>
      </c>
      <c r="J94">
        <v>0.4646017699115042</v>
      </c>
      <c r="K94">
        <v>7.831642847636229E-2</v>
      </c>
      <c r="L94">
        <v>1</v>
      </c>
      <c r="M94">
        <v>0.41666666666666669</v>
      </c>
      <c r="N94">
        <v>0</v>
      </c>
      <c r="O94">
        <v>0.25</v>
      </c>
      <c r="P94">
        <v>25.725561707847419</v>
      </c>
      <c r="Q94">
        <v>0.73208762896300505</v>
      </c>
      <c r="R94">
        <v>0.12099924064220713</v>
      </c>
      <c r="S94">
        <v>0.92849815844739703</v>
      </c>
      <c r="T94">
        <v>5.4867551021225036E-2</v>
      </c>
      <c r="U94">
        <v>1.4528908154542672</v>
      </c>
      <c r="V94">
        <v>26.489209541257637</v>
      </c>
      <c r="W94">
        <v>0.70638582683760653</v>
      </c>
      <c r="X94">
        <v>0.14191237548022742</v>
      </c>
      <c r="Y94">
        <v>0.4974810408417541</v>
      </c>
      <c r="Z94">
        <v>7.8155078684711804E-2</v>
      </c>
      <c r="AA94">
        <v>0.75402688833995635</v>
      </c>
    </row>
    <row r="95" spans="1:27" x14ac:dyDescent="0.2">
      <c r="A95" s="7" t="s">
        <v>2200</v>
      </c>
      <c r="B95" t="s">
        <v>518</v>
      </c>
      <c r="C95">
        <v>2022</v>
      </c>
      <c r="D95">
        <v>4.5200000000000004E-2</v>
      </c>
      <c r="E95">
        <v>2</v>
      </c>
      <c r="F95">
        <v>4.5200000000000004E-2</v>
      </c>
      <c r="G95">
        <v>6.0965000000000012E-2</v>
      </c>
      <c r="H95">
        <v>1</v>
      </c>
      <c r="I95">
        <v>0.58333333333333337</v>
      </c>
      <c r="J95">
        <v>0.33727810650887596</v>
      </c>
      <c r="K95">
        <v>-0.18974837046948009</v>
      </c>
      <c r="L95">
        <v>1</v>
      </c>
      <c r="M95">
        <v>0.25</v>
      </c>
      <c r="N95">
        <v>0</v>
      </c>
      <c r="O95">
        <v>0.5</v>
      </c>
      <c r="P95">
        <v>25.663505898135</v>
      </c>
      <c r="Q95">
        <v>0.73407760634157837</v>
      </c>
      <c r="R95">
        <v>6.0014609633014748E-2</v>
      </c>
      <c r="S95">
        <v>0.92531679776600062</v>
      </c>
      <c r="T95">
        <v>3.6317535572496229E-2</v>
      </c>
      <c r="U95">
        <v>1.6454661039584235</v>
      </c>
      <c r="V95">
        <v>26.383479780773143</v>
      </c>
      <c r="W95">
        <v>0.70524481728647592</v>
      </c>
      <c r="X95">
        <v>7.4788592294660283E-2</v>
      </c>
      <c r="Y95">
        <v>0.46936319707514085</v>
      </c>
      <c r="Z95">
        <v>9.2455900933813527E-3</v>
      </c>
      <c r="AA95">
        <v>0.82742568494868507</v>
      </c>
    </row>
    <row r="96" spans="1:27" x14ac:dyDescent="0.2">
      <c r="A96" s="7" t="s">
        <v>2200</v>
      </c>
      <c r="B96" t="s">
        <v>522</v>
      </c>
      <c r="C96">
        <v>2021</v>
      </c>
      <c r="D96">
        <v>3.3799999999999997E-2</v>
      </c>
      <c r="E96">
        <v>2</v>
      </c>
      <c r="F96">
        <v>3.3799999999999997E-2</v>
      </c>
      <c r="G96">
        <v>7.8968583333333328E-2</v>
      </c>
      <c r="H96">
        <v>1</v>
      </c>
      <c r="I96">
        <v>0.75</v>
      </c>
      <c r="J96">
        <v>8.9552238805968559E-3</v>
      </c>
      <c r="K96">
        <v>0.16312991526733925</v>
      </c>
      <c r="L96">
        <v>1</v>
      </c>
      <c r="M96">
        <v>0.58333333333333337</v>
      </c>
      <c r="N96">
        <v>0</v>
      </c>
      <c r="O96">
        <v>0.25</v>
      </c>
      <c r="P96">
        <v>25.593486760215676</v>
      </c>
      <c r="Q96">
        <v>0.76923506182533841</v>
      </c>
      <c r="R96">
        <v>0.10715451380432262</v>
      </c>
      <c r="S96">
        <v>0.91257190316011261</v>
      </c>
      <c r="T96">
        <v>3.4655733899968025E-2</v>
      </c>
      <c r="U96">
        <v>1.5448243146817828</v>
      </c>
      <c r="V96">
        <v>25.960038602938532</v>
      </c>
      <c r="W96">
        <v>0.7700363926248095</v>
      </c>
      <c r="X96">
        <v>0.12868771911705879</v>
      </c>
      <c r="Y96">
        <v>0.46005060482518889</v>
      </c>
      <c r="Z96">
        <v>3.661256154965483E-2</v>
      </c>
      <c r="AA96">
        <v>0.63181240105266256</v>
      </c>
    </row>
    <row r="97" spans="1:27" x14ac:dyDescent="0.2">
      <c r="A97" s="7" t="s">
        <v>2200</v>
      </c>
      <c r="B97" t="s">
        <v>526</v>
      </c>
      <c r="C97">
        <v>2020</v>
      </c>
      <c r="D97">
        <v>3.3500000000000002E-2</v>
      </c>
      <c r="E97">
        <v>2</v>
      </c>
      <c r="F97">
        <v>3.3500000000000002E-2</v>
      </c>
      <c r="G97">
        <v>6.711425E-2</v>
      </c>
      <c r="H97">
        <v>1</v>
      </c>
      <c r="I97">
        <v>0.75</v>
      </c>
      <c r="J97">
        <v>0.66666666666666674</v>
      </c>
      <c r="K97">
        <v>-0.14117958725826812</v>
      </c>
      <c r="L97">
        <v>1</v>
      </c>
      <c r="M97">
        <v>0.5</v>
      </c>
      <c r="N97">
        <v>0</v>
      </c>
      <c r="O97">
        <v>0.5</v>
      </c>
      <c r="P97">
        <v>25.527256504169095</v>
      </c>
      <c r="Q97">
        <v>0.78777143017147722</v>
      </c>
      <c r="R97">
        <v>3.1669743574181508E-2</v>
      </c>
      <c r="S97">
        <v>0.91715355947338173</v>
      </c>
      <c r="T97">
        <v>1.7939994711902937E-2</v>
      </c>
      <c r="U97">
        <v>1.5487076270491527</v>
      </c>
      <c r="V97">
        <v>26.226947402986212</v>
      </c>
      <c r="W97">
        <v>0.74140226975514001</v>
      </c>
      <c r="X97">
        <v>-7.2181091996956104E-2</v>
      </c>
      <c r="Y97">
        <v>0.448413327047888</v>
      </c>
      <c r="Z97">
        <v>4.4711274128181315E-2</v>
      </c>
      <c r="AA97">
        <v>0.58547155168137588</v>
      </c>
    </row>
    <row r="98" spans="1:27" x14ac:dyDescent="0.2">
      <c r="A98" s="7" t="s">
        <v>2200</v>
      </c>
      <c r="B98" t="s">
        <v>530</v>
      </c>
      <c r="C98">
        <v>2019</v>
      </c>
      <c r="D98">
        <v>2.01E-2</v>
      </c>
      <c r="E98">
        <v>2</v>
      </c>
      <c r="F98">
        <v>2.01E-2</v>
      </c>
      <c r="G98">
        <v>6.9633666666666663E-2</v>
      </c>
      <c r="H98">
        <v>1</v>
      </c>
      <c r="I98">
        <v>1</v>
      </c>
      <c r="J98">
        <v>-3.3653846153846118E-2</v>
      </c>
      <c r="K98">
        <v>0.17489724484940816</v>
      </c>
      <c r="L98">
        <v>0</v>
      </c>
      <c r="M98">
        <v>0.5</v>
      </c>
      <c r="N98">
        <v>1</v>
      </c>
      <c r="O98">
        <v>0.41666666666666669</v>
      </c>
      <c r="P98">
        <v>25.497304314006495</v>
      </c>
      <c r="Q98">
        <v>0.79658823127074474</v>
      </c>
      <c r="R98">
        <v>7.5190403211642387E-3</v>
      </c>
      <c r="S98">
        <v>0.91010855605843854</v>
      </c>
      <c r="T98">
        <v>2.7840082770987373E-2</v>
      </c>
      <c r="U98">
        <v>1.5689677835620839</v>
      </c>
      <c r="V98">
        <v>26.186382612216562</v>
      </c>
      <c r="W98">
        <v>0.73202899333870086</v>
      </c>
      <c r="X98">
        <v>3.1448237009369753E-3</v>
      </c>
      <c r="Y98">
        <v>0.43768417472547277</v>
      </c>
      <c r="Z98">
        <v>5.3976477443543995E-2</v>
      </c>
      <c r="AA98">
        <v>0.59011136814444376</v>
      </c>
    </row>
    <row r="99" spans="1:27" x14ac:dyDescent="0.2">
      <c r="A99" s="7" t="s">
        <v>2200</v>
      </c>
      <c r="B99" t="s">
        <v>534</v>
      </c>
      <c r="C99">
        <v>2018</v>
      </c>
      <c r="D99">
        <v>2.0799999999999999E-2</v>
      </c>
      <c r="E99">
        <v>2</v>
      </c>
      <c r="F99">
        <v>2.0799999999999999E-2</v>
      </c>
      <c r="G99">
        <v>7.8837083333333335E-2</v>
      </c>
      <c r="H99">
        <v>1</v>
      </c>
      <c r="I99">
        <v>1</v>
      </c>
      <c r="J99">
        <v>0</v>
      </c>
      <c r="K99">
        <v>0.19625836163091881</v>
      </c>
      <c r="L99">
        <v>0</v>
      </c>
      <c r="M99">
        <v>0.66666666666666663</v>
      </c>
      <c r="N99">
        <v>0</v>
      </c>
      <c r="O99">
        <v>0.25</v>
      </c>
      <c r="P99">
        <v>25.406558102767242</v>
      </c>
      <c r="Q99">
        <v>0.81257734244194924</v>
      </c>
      <c r="R99">
        <v>3.0946280301530349E-2</v>
      </c>
      <c r="S99">
        <v>0.90454643064902474</v>
      </c>
      <c r="T99">
        <v>2.8103032369707608E-2</v>
      </c>
      <c r="U99">
        <v>1.4101270013887175</v>
      </c>
      <c r="V99">
        <v>26.136378839291748</v>
      </c>
      <c r="W99">
        <v>0.74823437713149399</v>
      </c>
      <c r="X99">
        <v>5.1804292011648885E-2</v>
      </c>
      <c r="Y99">
        <v>0.42773168316249149</v>
      </c>
      <c r="Z99">
        <v>7.1770508486462478E-2</v>
      </c>
      <c r="AA99">
        <v>0.56712127667085632</v>
      </c>
    </row>
    <row r="100" spans="1:27" x14ac:dyDescent="0.2">
      <c r="A100" s="7" t="s">
        <v>2200</v>
      </c>
      <c r="B100" t="s">
        <v>538</v>
      </c>
      <c r="C100">
        <v>2017</v>
      </c>
      <c r="D100">
        <v>2.0799999999999999E-2</v>
      </c>
      <c r="E100">
        <v>2</v>
      </c>
      <c r="F100">
        <v>2.0799999999999999E-2</v>
      </c>
      <c r="G100">
        <v>7.0375499999999994E-2</v>
      </c>
      <c r="H100">
        <v>1</v>
      </c>
      <c r="I100">
        <v>1</v>
      </c>
      <c r="J100">
        <v>-0.52941176470588236</v>
      </c>
      <c r="K100">
        <v>0.68586728466577374</v>
      </c>
      <c r="L100">
        <v>0</v>
      </c>
      <c r="M100">
        <v>0.83333333333333337</v>
      </c>
      <c r="N100">
        <v>1</v>
      </c>
      <c r="O100">
        <v>0.16666666666666666</v>
      </c>
      <c r="P100">
        <v>25.377975582427581</v>
      </c>
      <c r="Q100">
        <v>0.81578165648693313</v>
      </c>
      <c r="R100">
        <v>5.5863209377828182E-2</v>
      </c>
      <c r="S100">
        <v>0.90710936639364859</v>
      </c>
      <c r="T100">
        <v>2.8500701783806461E-2</v>
      </c>
      <c r="U100">
        <v>1.3793643998762299</v>
      </c>
      <c r="V100">
        <v>26.10614816463719</v>
      </c>
      <c r="W100">
        <v>0.7554771830927004</v>
      </c>
      <c r="X100">
        <v>4.5055322507426339E-2</v>
      </c>
      <c r="Y100">
        <v>0.37991797276315703</v>
      </c>
      <c r="Z100">
        <v>8.5992464657255185E-2</v>
      </c>
      <c r="AA100">
        <v>0.56896276851547667</v>
      </c>
    </row>
    <row r="101" spans="1:27" x14ac:dyDescent="0.2">
      <c r="A101" s="7" t="s">
        <v>2200</v>
      </c>
      <c r="B101" t="s">
        <v>542</v>
      </c>
      <c r="C101">
        <v>2016</v>
      </c>
      <c r="D101">
        <v>4.4200000000000003E-2</v>
      </c>
      <c r="E101">
        <v>2</v>
      </c>
      <c r="F101">
        <v>4.4200000000000003E-2</v>
      </c>
      <c r="G101">
        <v>5.3711833333333327E-2</v>
      </c>
      <c r="H101">
        <v>1</v>
      </c>
      <c r="I101">
        <v>1</v>
      </c>
      <c r="J101">
        <v>3.0925925925925926</v>
      </c>
      <c r="K101">
        <v>1.1493539884230941</v>
      </c>
      <c r="L101">
        <v>1</v>
      </c>
      <c r="M101">
        <v>0.83333333333333337</v>
      </c>
      <c r="N101">
        <v>0</v>
      </c>
      <c r="O101">
        <v>0.16666666666666666</v>
      </c>
      <c r="P101">
        <v>25.396488668547605</v>
      </c>
      <c r="Q101">
        <v>0.782783281870436</v>
      </c>
      <c r="R101">
        <v>6.7605549885032534E-2</v>
      </c>
      <c r="S101">
        <v>0.9004519379022341</v>
      </c>
      <c r="T101">
        <v>4.59035801895653E-2</v>
      </c>
      <c r="U101">
        <v>1.4747499464208058</v>
      </c>
      <c r="V101">
        <v>26.058798647656641</v>
      </c>
      <c r="W101">
        <v>0.71072210659711965</v>
      </c>
      <c r="X101">
        <v>0.11883102545797945</v>
      </c>
      <c r="Y101">
        <v>0.36420524903981133</v>
      </c>
      <c r="Z101">
        <v>4.0447992936557396E-2</v>
      </c>
      <c r="AA101">
        <v>0.66389488543062924</v>
      </c>
    </row>
    <row r="102" spans="1:27" x14ac:dyDescent="0.2">
      <c r="A102" s="7" t="s">
        <v>2200</v>
      </c>
      <c r="B102" t="s">
        <v>544</v>
      </c>
      <c r="C102">
        <v>2015</v>
      </c>
      <c r="D102">
        <v>1.0800000000000001E-2</v>
      </c>
      <c r="E102">
        <v>2</v>
      </c>
      <c r="F102">
        <v>1.0800000000000001E-2</v>
      </c>
      <c r="G102">
        <v>4.0540083333333331E-2</v>
      </c>
      <c r="H102">
        <v>1</v>
      </c>
      <c r="I102">
        <v>0.91666666666666663</v>
      </c>
      <c r="J102">
        <v>-0.4517766497461928</v>
      </c>
      <c r="K102">
        <v>4.1826244991378578</v>
      </c>
      <c r="L102">
        <v>0</v>
      </c>
      <c r="M102">
        <v>0.75</v>
      </c>
      <c r="N102">
        <v>1</v>
      </c>
      <c r="O102">
        <v>0.25</v>
      </c>
      <c r="P102">
        <v>25.332915674297144</v>
      </c>
      <c r="Q102">
        <v>0.77292135499249026</v>
      </c>
      <c r="R102">
        <v>-7.0826763064608667E-2</v>
      </c>
      <c r="S102">
        <v>0.89162886826359578</v>
      </c>
      <c r="T102">
        <v>9.0705679305840906E-3</v>
      </c>
      <c r="U102">
        <v>1.5831426215625368</v>
      </c>
      <c r="V102">
        <v>25.988649451275137</v>
      </c>
      <c r="W102">
        <v>0.78002916585028093</v>
      </c>
      <c r="X102">
        <v>1.5371627978742499E-2</v>
      </c>
      <c r="Y102">
        <v>0.43139248290160342</v>
      </c>
      <c r="Z102">
        <v>-1.477199874690379E-2</v>
      </c>
      <c r="AA102">
        <v>0.82355335817667952</v>
      </c>
    </row>
    <row r="103" spans="1:27" x14ac:dyDescent="0.2">
      <c r="A103" s="7" t="s">
        <v>2200</v>
      </c>
      <c r="B103" t="s">
        <v>546</v>
      </c>
      <c r="C103">
        <v>2014</v>
      </c>
      <c r="D103">
        <v>1.9699999999999999E-2</v>
      </c>
      <c r="E103">
        <v>2</v>
      </c>
      <c r="F103">
        <v>1.9699999999999999E-2</v>
      </c>
      <c r="G103">
        <v>3.7326250000000005E-2</v>
      </c>
      <c r="H103">
        <v>1</v>
      </c>
      <c r="I103">
        <v>1</v>
      </c>
      <c r="J103">
        <v>9.9444444444444446</v>
      </c>
      <c r="K103">
        <v>0.5723997779796014</v>
      </c>
      <c r="L103">
        <v>1</v>
      </c>
      <c r="M103">
        <v>0.58333333333333337</v>
      </c>
      <c r="N103">
        <v>0</v>
      </c>
      <c r="O103">
        <v>0.33333333333333331</v>
      </c>
      <c r="P103">
        <v>25.264366661057846</v>
      </c>
      <c r="Q103">
        <v>0.77922304918585727</v>
      </c>
      <c r="R103">
        <v>-6.7579313607542435E-2</v>
      </c>
      <c r="S103">
        <v>0.88994410256618384</v>
      </c>
      <c r="T103">
        <v>-3.4602932023746362E-2</v>
      </c>
      <c r="U103">
        <v>1.4091957337963121</v>
      </c>
      <c r="V103">
        <v>26.252161629877634</v>
      </c>
      <c r="W103">
        <v>0.77070952938450743</v>
      </c>
      <c r="X103">
        <v>3.2743641010335431E-2</v>
      </c>
      <c r="Y103">
        <v>0.54760360898030735</v>
      </c>
      <c r="Z103">
        <v>2.4529589429996852E-2</v>
      </c>
      <c r="AA103">
        <v>0.68824016491422491</v>
      </c>
    </row>
    <row r="104" spans="1:27" x14ac:dyDescent="0.2">
      <c r="A104" s="7" t="s">
        <v>2202</v>
      </c>
      <c r="B104" t="s">
        <v>554</v>
      </c>
      <c r="C104">
        <v>2025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-1</v>
      </c>
      <c r="K104">
        <v>-0.5</v>
      </c>
      <c r="L104">
        <v>0</v>
      </c>
      <c r="M104">
        <v>0</v>
      </c>
      <c r="N104">
        <v>1</v>
      </c>
      <c r="O104">
        <v>0.5</v>
      </c>
      <c r="P104">
        <v>26.075592173594472</v>
      </c>
      <c r="Q104">
        <v>0.68298504509835856</v>
      </c>
      <c r="R104">
        <v>0.15668010679223343</v>
      </c>
      <c r="S104">
        <v>0.91062639008082769</v>
      </c>
      <c r="T104">
        <v>0.11819584655342587</v>
      </c>
      <c r="U104">
        <v>0.79671074800535691</v>
      </c>
      <c r="V104">
        <v>26.651965208550479</v>
      </c>
      <c r="W104">
        <v>0.67682743554993241</v>
      </c>
      <c r="X104">
        <v>0.17947567921093155</v>
      </c>
      <c r="Y104">
        <v>0.73040026915441425</v>
      </c>
      <c r="Z104">
        <v>0.10089871318667373</v>
      </c>
      <c r="AA104">
        <v>0.90258579923345383</v>
      </c>
    </row>
    <row r="105" spans="1:27" x14ac:dyDescent="0.2">
      <c r="A105" s="7" t="s">
        <v>2202</v>
      </c>
      <c r="B105" t="s">
        <v>558</v>
      </c>
      <c r="C105">
        <v>2024</v>
      </c>
      <c r="D105">
        <v>5.0200000000000002E-2</v>
      </c>
      <c r="E105">
        <v>2</v>
      </c>
      <c r="F105">
        <v>5.0200000000000002E-2</v>
      </c>
      <c r="G105">
        <v>5.9216666666666661E-2</v>
      </c>
      <c r="H105">
        <v>1</v>
      </c>
      <c r="I105">
        <v>0.5</v>
      </c>
      <c r="J105">
        <v>0.29381443298969073</v>
      </c>
      <c r="K105">
        <v>6.1676117360529935E-2</v>
      </c>
      <c r="L105">
        <v>1</v>
      </c>
      <c r="M105">
        <v>0.5</v>
      </c>
      <c r="N105">
        <v>0</v>
      </c>
      <c r="O105">
        <v>8.3333333333333329E-2</v>
      </c>
      <c r="P105">
        <v>25.957237687730142</v>
      </c>
      <c r="Q105">
        <v>0.66297123597348084</v>
      </c>
      <c r="R105">
        <v>8.7384198337613794E-2</v>
      </c>
      <c r="S105">
        <v>0.89330457359124116</v>
      </c>
      <c r="T105">
        <v>9.2401499680061533E-2</v>
      </c>
      <c r="U105">
        <v>0.88165217030620346</v>
      </c>
      <c r="V105">
        <v>26.594218440205175</v>
      </c>
      <c r="W105">
        <v>0.69186478065314239</v>
      </c>
      <c r="X105">
        <v>0.10066455709544868</v>
      </c>
      <c r="Y105">
        <v>0.5263240341696952</v>
      </c>
      <c r="Z105">
        <v>5.3421401268585217E-2</v>
      </c>
      <c r="AA105">
        <v>0.93759605304861204</v>
      </c>
    </row>
    <row r="106" spans="1:27" x14ac:dyDescent="0.2">
      <c r="A106" s="7" t="s">
        <v>2202</v>
      </c>
      <c r="B106" t="s">
        <v>562</v>
      </c>
      <c r="C106">
        <v>2023</v>
      </c>
      <c r="D106">
        <v>3.8800000000000001E-2</v>
      </c>
      <c r="E106">
        <v>2</v>
      </c>
      <c r="F106">
        <v>3.8800000000000001E-2</v>
      </c>
      <c r="G106">
        <v>6.3066666666666674E-2</v>
      </c>
      <c r="H106">
        <v>1</v>
      </c>
      <c r="I106">
        <v>0.5</v>
      </c>
      <c r="J106">
        <v>0.20347394540942915</v>
      </c>
      <c r="K106">
        <v>0.1000770805182019</v>
      </c>
      <c r="L106">
        <v>1</v>
      </c>
      <c r="M106">
        <v>0.41666666666666669</v>
      </c>
      <c r="N106">
        <v>0</v>
      </c>
      <c r="O106">
        <v>0.25</v>
      </c>
      <c r="P106">
        <v>25.848146503206717</v>
      </c>
      <c r="Q106">
        <v>0.67228499619937843</v>
      </c>
      <c r="R106">
        <v>0.15803439973516942</v>
      </c>
      <c r="S106">
        <v>0.88099680377920475</v>
      </c>
      <c r="T106">
        <v>8.7663181541146981E-2</v>
      </c>
      <c r="U106">
        <v>0.92519118436987335</v>
      </c>
      <c r="V106">
        <v>26.475589008439936</v>
      </c>
      <c r="W106">
        <v>0.71303056381134278</v>
      </c>
      <c r="X106">
        <v>0.1377973578032316</v>
      </c>
      <c r="Y106">
        <v>0.50275896913821994</v>
      </c>
      <c r="Z106">
        <v>7.4511119738053813E-2</v>
      </c>
      <c r="AA106">
        <v>0.81266018068266688</v>
      </c>
    </row>
    <row r="107" spans="1:27" x14ac:dyDescent="0.2">
      <c r="A107" s="7" t="s">
        <v>2202</v>
      </c>
      <c r="B107" t="s">
        <v>566</v>
      </c>
      <c r="C107">
        <v>2022</v>
      </c>
      <c r="D107">
        <v>3.2240000000000005E-2</v>
      </c>
      <c r="E107">
        <v>2</v>
      </c>
      <c r="F107">
        <v>3.2240000000000005E-2</v>
      </c>
      <c r="G107">
        <v>6.204500000000001E-2</v>
      </c>
      <c r="H107">
        <v>1</v>
      </c>
      <c r="I107">
        <v>0.58333333333333337</v>
      </c>
      <c r="J107">
        <v>0.15971223021582759</v>
      </c>
      <c r="K107">
        <v>-0.17495121411172601</v>
      </c>
      <c r="L107">
        <v>1</v>
      </c>
      <c r="M107">
        <v>0.25</v>
      </c>
      <c r="N107">
        <v>0</v>
      </c>
      <c r="O107">
        <v>0.5</v>
      </c>
      <c r="P107">
        <v>25.745607687804817</v>
      </c>
      <c r="Q107">
        <v>0.65357561390670238</v>
      </c>
      <c r="R107">
        <v>6.8651661307207901E-2</v>
      </c>
      <c r="S107">
        <v>0.86128677404933318</v>
      </c>
      <c r="T107">
        <v>7.8264352031369097E-2</v>
      </c>
      <c r="U107">
        <v>1.0701036252807536</v>
      </c>
      <c r="V107">
        <v>26.37435735969872</v>
      </c>
      <c r="W107">
        <v>0.71418948311257324</v>
      </c>
      <c r="X107">
        <v>7.3554727769775549E-2</v>
      </c>
      <c r="Y107">
        <v>0.47647764415477056</v>
      </c>
      <c r="Z107">
        <v>3.2531877421137978E-3</v>
      </c>
      <c r="AA107">
        <v>0.89135484924620378</v>
      </c>
    </row>
    <row r="108" spans="1:27" x14ac:dyDescent="0.2">
      <c r="A108" s="7" t="s">
        <v>2202</v>
      </c>
      <c r="B108" t="s">
        <v>570</v>
      </c>
      <c r="C108">
        <v>2021</v>
      </c>
      <c r="D108">
        <v>2.7799999999999998E-2</v>
      </c>
      <c r="E108">
        <v>2</v>
      </c>
      <c r="F108">
        <v>2.7799999999999998E-2</v>
      </c>
      <c r="G108">
        <v>7.9468583333333329E-2</v>
      </c>
      <c r="H108">
        <v>1</v>
      </c>
      <c r="I108">
        <v>0.75</v>
      </c>
      <c r="J108">
        <v>7.3359073359073323E-2</v>
      </c>
      <c r="K108">
        <v>0.15776292781079954</v>
      </c>
      <c r="L108">
        <v>1</v>
      </c>
      <c r="M108">
        <v>0.58333333333333337</v>
      </c>
      <c r="N108">
        <v>0</v>
      </c>
      <c r="O108">
        <v>0.25</v>
      </c>
      <c r="P108">
        <v>25.594504602562385</v>
      </c>
      <c r="Q108">
        <v>0.70365445456750841</v>
      </c>
      <c r="R108">
        <v>0.10282130677644608</v>
      </c>
      <c r="S108">
        <v>0.85283058204903017</v>
      </c>
      <c r="T108">
        <v>8.0028720713153853E-2</v>
      </c>
      <c r="U108">
        <v>0.90182907390711597</v>
      </c>
      <c r="V108">
        <v>25.959936818703863</v>
      </c>
      <c r="W108">
        <v>0.77659445335059241</v>
      </c>
      <c r="X108">
        <v>0.12912103981984643</v>
      </c>
      <c r="Y108">
        <v>0.46602473693629715</v>
      </c>
      <c r="Z108">
        <v>3.2075262868336243E-2</v>
      </c>
      <c r="AA108">
        <v>0.69611192513012932</v>
      </c>
    </row>
    <row r="109" spans="1:27" x14ac:dyDescent="0.2">
      <c r="A109" s="7" t="s">
        <v>2202</v>
      </c>
      <c r="B109" t="s">
        <v>574</v>
      </c>
      <c r="C109">
        <v>2020</v>
      </c>
      <c r="D109">
        <v>2.5899999999999999E-2</v>
      </c>
      <c r="E109">
        <v>2</v>
      </c>
      <c r="F109">
        <v>2.5899999999999999E-2</v>
      </c>
      <c r="G109">
        <v>6.7747583333333319E-2</v>
      </c>
      <c r="H109">
        <v>1</v>
      </c>
      <c r="I109">
        <v>0.75</v>
      </c>
      <c r="J109">
        <v>0.58895705521472408</v>
      </c>
      <c r="K109">
        <v>-0.13470378630393956</v>
      </c>
      <c r="L109">
        <v>1</v>
      </c>
      <c r="M109">
        <v>0.5</v>
      </c>
      <c r="N109">
        <v>0</v>
      </c>
      <c r="O109">
        <v>0.5</v>
      </c>
      <c r="P109">
        <v>25.495945114835404</v>
      </c>
      <c r="Q109">
        <v>0.69574631682010102</v>
      </c>
      <c r="R109">
        <v>2.1321497341035833E-3</v>
      </c>
      <c r="S109">
        <v>0.83807219476964523</v>
      </c>
      <c r="T109">
        <v>5.6484513543777669E-2</v>
      </c>
      <c r="U109">
        <v>0.9260414294795184</v>
      </c>
      <c r="V109">
        <v>26.229556685430683</v>
      </c>
      <c r="W109">
        <v>0.74907102920108803</v>
      </c>
      <c r="X109">
        <v>-6.9719625843616281E-2</v>
      </c>
      <c r="Y109">
        <v>0.45500344077319949</v>
      </c>
      <c r="Z109">
        <v>4.1499230892191756E-2</v>
      </c>
      <c r="AA109">
        <v>0.63736040147884532</v>
      </c>
    </row>
    <row r="110" spans="1:27" x14ac:dyDescent="0.2">
      <c r="A110" s="7" t="s">
        <v>2202</v>
      </c>
      <c r="B110" t="s">
        <v>578</v>
      </c>
      <c r="C110">
        <v>2019</v>
      </c>
      <c r="D110">
        <v>1.6299999999999999E-2</v>
      </c>
      <c r="E110">
        <v>2</v>
      </c>
      <c r="F110">
        <v>1.6299999999999999E-2</v>
      </c>
      <c r="G110">
        <v>6.9950333333333323E-2</v>
      </c>
      <c r="H110">
        <v>1</v>
      </c>
      <c r="I110">
        <v>1</v>
      </c>
      <c r="J110">
        <v>-0.59950859950859958</v>
      </c>
      <c r="K110">
        <v>0.22205180762897095</v>
      </c>
      <c r="L110">
        <v>0</v>
      </c>
      <c r="M110">
        <v>0.5</v>
      </c>
      <c r="N110">
        <v>1</v>
      </c>
      <c r="O110">
        <v>0.41666666666666669</v>
      </c>
      <c r="P110">
        <v>25.418338809102217</v>
      </c>
      <c r="Q110">
        <v>0.70633359764355397</v>
      </c>
      <c r="R110">
        <v>2.4637844957543287E-2</v>
      </c>
      <c r="S110">
        <v>0.81905941641410074</v>
      </c>
      <c r="T110">
        <v>6.2768263010591449E-2</v>
      </c>
      <c r="U110">
        <v>0.99110794365441535</v>
      </c>
      <c r="V110">
        <v>26.192963070958587</v>
      </c>
      <c r="W110">
        <v>0.73955021280763333</v>
      </c>
      <c r="X110">
        <v>1.718256647905388E-3</v>
      </c>
      <c r="Y110">
        <v>0.44527160302916763</v>
      </c>
      <c r="Z110">
        <v>5.1065795756910316E-2</v>
      </c>
      <c r="AA110">
        <v>0.63826635480341609</v>
      </c>
    </row>
    <row r="111" spans="1:27" x14ac:dyDescent="0.2">
      <c r="A111" s="7" t="s">
        <v>2202</v>
      </c>
      <c r="B111" t="s">
        <v>582</v>
      </c>
      <c r="C111">
        <v>2018</v>
      </c>
      <c r="D111">
        <v>4.07E-2</v>
      </c>
      <c r="E111">
        <v>2</v>
      </c>
      <c r="F111">
        <v>4.07E-2</v>
      </c>
      <c r="G111">
        <v>7.7178750000000004E-2</v>
      </c>
      <c r="H111">
        <v>1</v>
      </c>
      <c r="I111">
        <v>1</v>
      </c>
      <c r="J111">
        <v>1.2437810945273643E-2</v>
      </c>
      <c r="K111">
        <v>0.19522187738547936</v>
      </c>
      <c r="L111">
        <v>1</v>
      </c>
      <c r="M111">
        <v>0.58333333333333337</v>
      </c>
      <c r="N111">
        <v>0</v>
      </c>
      <c r="O111">
        <v>0.25</v>
      </c>
      <c r="P111">
        <v>25.364280948368883</v>
      </c>
      <c r="Q111">
        <v>0.68788011636523894</v>
      </c>
      <c r="R111">
        <v>3.5280831089422149E-2</v>
      </c>
      <c r="S111">
        <v>0.81823744107250507</v>
      </c>
      <c r="T111">
        <v>0.12111922120402713</v>
      </c>
      <c r="U111">
        <v>0.89556847827907826</v>
      </c>
      <c r="V111">
        <v>26.139901935491608</v>
      </c>
      <c r="W111">
        <v>0.75862581263788631</v>
      </c>
      <c r="X111">
        <v>5.144307944599124E-2</v>
      </c>
      <c r="Y111">
        <v>0.43492409896053474</v>
      </c>
      <c r="Z111">
        <v>6.4019159416935853E-2</v>
      </c>
      <c r="AA111">
        <v>0.61000115359665963</v>
      </c>
    </row>
    <row r="112" spans="1:27" x14ac:dyDescent="0.2">
      <c r="A112" s="7" t="s">
        <v>2202</v>
      </c>
      <c r="B112" t="s">
        <v>586</v>
      </c>
      <c r="C112">
        <v>2017</v>
      </c>
      <c r="D112">
        <v>4.02E-2</v>
      </c>
      <c r="E112">
        <v>2</v>
      </c>
      <c r="F112">
        <v>4.02E-2</v>
      </c>
      <c r="G112">
        <v>6.8758833333333325E-2</v>
      </c>
      <c r="H112">
        <v>1</v>
      </c>
      <c r="I112">
        <v>1</v>
      </c>
      <c r="J112">
        <v>2.4067796610169494</v>
      </c>
      <c r="K112">
        <v>0.44118466585553778</v>
      </c>
      <c r="L112">
        <v>1</v>
      </c>
      <c r="M112">
        <v>0.75</v>
      </c>
      <c r="N112">
        <v>0</v>
      </c>
      <c r="O112">
        <v>0.25</v>
      </c>
      <c r="P112">
        <v>25.221997215017367</v>
      </c>
      <c r="Q112">
        <v>0.72057402618995858</v>
      </c>
      <c r="R112">
        <v>0.16094835560220999</v>
      </c>
      <c r="S112">
        <v>0.79683640610626849</v>
      </c>
      <c r="T112">
        <v>0.13379631489658866</v>
      </c>
      <c r="U112">
        <v>0.90790662274426237</v>
      </c>
      <c r="V112">
        <v>26.119146361921381</v>
      </c>
      <c r="W112">
        <v>0.76341115228411482</v>
      </c>
      <c r="X112">
        <v>3.6298226988727859E-2</v>
      </c>
      <c r="Y112">
        <v>0.38910738612043877</v>
      </c>
      <c r="Z112">
        <v>7.7217830231189999E-2</v>
      </c>
      <c r="AA112">
        <v>0.60825091660980724</v>
      </c>
    </row>
    <row r="113" spans="1:27" x14ac:dyDescent="0.2">
      <c r="A113" s="7" t="s">
        <v>2202</v>
      </c>
      <c r="B113" t="s">
        <v>590</v>
      </c>
      <c r="C113">
        <v>2016</v>
      </c>
      <c r="D113">
        <v>1.18E-2</v>
      </c>
      <c r="E113">
        <v>2</v>
      </c>
      <c r="F113">
        <v>1.18E-2</v>
      </c>
      <c r="G113">
        <v>5.6411833333333328E-2</v>
      </c>
      <c r="H113">
        <v>1</v>
      </c>
      <c r="I113">
        <v>1</v>
      </c>
      <c r="J113">
        <v>0.41080822572931608</v>
      </c>
      <c r="K113">
        <v>1.3728360189950335</v>
      </c>
      <c r="L113">
        <v>1</v>
      </c>
      <c r="M113">
        <v>0.83333333333333337</v>
      </c>
      <c r="N113">
        <v>0</v>
      </c>
      <c r="O113">
        <v>0.16666666666666666</v>
      </c>
      <c r="P113">
        <v>25.102759666776421</v>
      </c>
      <c r="Q113">
        <v>0.77452537689338952</v>
      </c>
      <c r="R113">
        <v>0.13246401191448087</v>
      </c>
      <c r="S113">
        <v>0.7344296259106301</v>
      </c>
      <c r="T113">
        <v>4.5558205419424833E-2</v>
      </c>
      <c r="U113">
        <v>1.1305888398741015</v>
      </c>
      <c r="V113">
        <v>26.083276064470905</v>
      </c>
      <c r="W113">
        <v>0.7114102653452069</v>
      </c>
      <c r="X113">
        <v>0.11234517925503462</v>
      </c>
      <c r="Y113">
        <v>0.37929818649359354</v>
      </c>
      <c r="Z113">
        <v>4.0482530413571451E-2</v>
      </c>
      <c r="AA113">
        <v>0.69257497764285458</v>
      </c>
    </row>
    <row r="114" spans="1:27" x14ac:dyDescent="0.2">
      <c r="A114" s="7" t="s">
        <v>2202</v>
      </c>
      <c r="B114" t="s">
        <v>592</v>
      </c>
      <c r="C114">
        <v>2015</v>
      </c>
      <c r="D114">
        <v>8.3639999999999999E-3</v>
      </c>
      <c r="E114">
        <v>2</v>
      </c>
      <c r="F114">
        <v>8.3639999999999999E-3</v>
      </c>
      <c r="G114">
        <v>4.0743083333333339E-2</v>
      </c>
      <c r="H114">
        <v>1</v>
      </c>
      <c r="I114">
        <v>0.91666666666666663</v>
      </c>
      <c r="J114">
        <v>1.6980645161290322</v>
      </c>
      <c r="K114">
        <v>4.0034710686482562</v>
      </c>
      <c r="L114">
        <v>1</v>
      </c>
      <c r="M114">
        <v>0.66666666666666663</v>
      </c>
      <c r="N114">
        <v>0</v>
      </c>
      <c r="O114">
        <v>0.33333333333333331</v>
      </c>
      <c r="P114">
        <v>25.089817347162022</v>
      </c>
      <c r="Q114">
        <v>0.76177436972144252</v>
      </c>
      <c r="R114">
        <v>-7.9734433726306175E-3</v>
      </c>
      <c r="S114">
        <v>0.67497035759641399</v>
      </c>
      <c r="T114">
        <v>4.3508696508236848E-2</v>
      </c>
      <c r="U114">
        <v>1.2669131204828268</v>
      </c>
      <c r="V114">
        <v>26.012959283988646</v>
      </c>
      <c r="W114">
        <v>0.7811438643773857</v>
      </c>
      <c r="X114">
        <v>8.3879257907449392E-3</v>
      </c>
      <c r="Y114">
        <v>0.4623436987112009</v>
      </c>
      <c r="Z114">
        <v>-1.8598457477754099E-2</v>
      </c>
      <c r="AA114">
        <v>0.85517630828465041</v>
      </c>
    </row>
    <row r="115" spans="1:27" x14ac:dyDescent="0.2">
      <c r="A115" s="7" t="s">
        <v>2204</v>
      </c>
      <c r="B115" t="s">
        <v>601</v>
      </c>
      <c r="C115">
        <v>2025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-1</v>
      </c>
      <c r="K115">
        <v>-0.5</v>
      </c>
      <c r="L115">
        <v>0</v>
      </c>
      <c r="M115">
        <v>0</v>
      </c>
      <c r="N115">
        <v>1</v>
      </c>
      <c r="O115">
        <v>0.5</v>
      </c>
      <c r="P115">
        <v>25.787604835722476</v>
      </c>
      <c r="Q115">
        <v>0.75144982220180023</v>
      </c>
      <c r="R115">
        <v>0.12608453706246459</v>
      </c>
      <c r="S115">
        <v>0.80423950823802692</v>
      </c>
      <c r="T115">
        <v>8.9799141488031947E-2</v>
      </c>
      <c r="U115">
        <v>0.91215059072383664</v>
      </c>
      <c r="V115">
        <v>26.693106256817909</v>
      </c>
      <c r="W115">
        <v>0.66704675310658357</v>
      </c>
      <c r="X115">
        <v>0.18384647488661282</v>
      </c>
      <c r="Y115">
        <v>0.74813141612821443</v>
      </c>
      <c r="Z115">
        <v>0.10495538533887286</v>
      </c>
      <c r="AA115">
        <v>0.88609439313081395</v>
      </c>
    </row>
    <row r="116" spans="1:27" x14ac:dyDescent="0.2">
      <c r="A116" s="7" t="s">
        <v>2204</v>
      </c>
      <c r="B116" t="s">
        <v>605</v>
      </c>
      <c r="C116">
        <v>2024</v>
      </c>
      <c r="D116">
        <v>7.5800000000000006E-2</v>
      </c>
      <c r="E116">
        <v>2</v>
      </c>
      <c r="F116">
        <v>7.5800000000000006E-2</v>
      </c>
      <c r="G116">
        <v>5.7083333333333326E-2</v>
      </c>
      <c r="H116">
        <v>1</v>
      </c>
      <c r="I116">
        <v>0.5</v>
      </c>
      <c r="J116">
        <v>0.39338235294117668</v>
      </c>
      <c r="K116">
        <v>5.3378790697906103E-2</v>
      </c>
      <c r="L116">
        <v>1</v>
      </c>
      <c r="M116">
        <v>0.5</v>
      </c>
      <c r="N116">
        <v>0</v>
      </c>
      <c r="O116">
        <v>8.3333333333333329E-2</v>
      </c>
      <c r="P116">
        <v>25.649780618746973</v>
      </c>
      <c r="Q116">
        <v>0.77577219010949316</v>
      </c>
      <c r="R116">
        <v>8.6663330743442346E-2</v>
      </c>
      <c r="S116">
        <v>0.80898697657172813</v>
      </c>
      <c r="T116">
        <v>9.6958349587478149E-2</v>
      </c>
      <c r="U116">
        <v>0.96943444919852684</v>
      </c>
      <c r="V116">
        <v>26.628380336758863</v>
      </c>
      <c r="W116">
        <v>0.67933134130469652</v>
      </c>
      <c r="X116">
        <v>0.10074465349480105</v>
      </c>
      <c r="Y116">
        <v>0.53569265606075223</v>
      </c>
      <c r="Z116">
        <v>5.2915084612205593E-2</v>
      </c>
      <c r="AA116">
        <v>0.92784246650502056</v>
      </c>
    </row>
    <row r="117" spans="1:27" x14ac:dyDescent="0.2">
      <c r="A117" s="7" t="s">
        <v>2204</v>
      </c>
      <c r="B117" t="s">
        <v>609</v>
      </c>
      <c r="C117">
        <v>2023</v>
      </c>
      <c r="D117">
        <v>5.4399999999999997E-2</v>
      </c>
      <c r="E117">
        <v>2</v>
      </c>
      <c r="F117">
        <v>5.4399999999999997E-2</v>
      </c>
      <c r="G117">
        <v>6.1766666666666664E-2</v>
      </c>
      <c r="H117">
        <v>1</v>
      </c>
      <c r="I117">
        <v>0.5</v>
      </c>
      <c r="J117">
        <v>1.2723475355054301</v>
      </c>
      <c r="K117">
        <v>1.1004281343535149E-2</v>
      </c>
      <c r="L117">
        <v>1</v>
      </c>
      <c r="M117">
        <v>0.41666666666666669</v>
      </c>
      <c r="N117">
        <v>0</v>
      </c>
      <c r="O117">
        <v>0.25</v>
      </c>
      <c r="P117">
        <v>25.535883594321572</v>
      </c>
      <c r="Q117">
        <v>0.75774366754184286</v>
      </c>
      <c r="R117">
        <v>3.0294026530472307E-2</v>
      </c>
      <c r="S117">
        <v>0.80018363100734868</v>
      </c>
      <c r="T117">
        <v>0.10306355549393796</v>
      </c>
      <c r="U117">
        <v>0.88074551871930939</v>
      </c>
      <c r="V117">
        <v>26.51028488720495</v>
      </c>
      <c r="W117">
        <v>0.70353515588440219</v>
      </c>
      <c r="X117">
        <v>0.15199073260375351</v>
      </c>
      <c r="Y117">
        <v>0.51173821055731494</v>
      </c>
      <c r="Z117">
        <v>7.2799967076632596E-2</v>
      </c>
      <c r="AA117">
        <v>0.817598587977174</v>
      </c>
    </row>
    <row r="118" spans="1:27" x14ac:dyDescent="0.2">
      <c r="A118" s="7" t="s">
        <v>2204</v>
      </c>
      <c r="B118" t="s">
        <v>613</v>
      </c>
      <c r="C118">
        <v>2022</v>
      </c>
      <c r="D118">
        <v>2.3939999999999999E-2</v>
      </c>
      <c r="E118">
        <v>2</v>
      </c>
      <c r="F118">
        <v>2.3939999999999999E-2</v>
      </c>
      <c r="G118">
        <v>6.2736666666666677E-2</v>
      </c>
      <c r="H118">
        <v>1</v>
      </c>
      <c r="I118">
        <v>0.58333333333333337</v>
      </c>
      <c r="J118">
        <v>-3.8554216867469841E-2</v>
      </c>
      <c r="K118">
        <v>-0.15842901018811792</v>
      </c>
      <c r="L118">
        <v>0</v>
      </c>
      <c r="M118">
        <v>0.33333333333333331</v>
      </c>
      <c r="N118">
        <v>1</v>
      </c>
      <c r="O118">
        <v>0.41666666666666669</v>
      </c>
      <c r="P118">
        <v>25.396061381134576</v>
      </c>
      <c r="Q118">
        <v>0.76962816276182955</v>
      </c>
      <c r="R118">
        <v>6.7033585140108487E-2</v>
      </c>
      <c r="S118">
        <v>0.79077112130081972</v>
      </c>
      <c r="T118">
        <v>4.1006725605803214E-2</v>
      </c>
      <c r="U118">
        <v>1.0536376180895337</v>
      </c>
      <c r="V118">
        <v>26.413195838217632</v>
      </c>
      <c r="W118">
        <v>0.70129475546200359</v>
      </c>
      <c r="X118">
        <v>7.378588150793261E-2</v>
      </c>
      <c r="Y118">
        <v>0.48431271668238313</v>
      </c>
      <c r="Z118">
        <v>8.5757058029089228E-3</v>
      </c>
      <c r="AA118">
        <v>0.89318440560078394</v>
      </c>
    </row>
    <row r="119" spans="1:27" x14ac:dyDescent="0.2">
      <c r="A119" s="7" t="s">
        <v>2204</v>
      </c>
      <c r="B119" t="s">
        <v>617</v>
      </c>
      <c r="C119">
        <v>2021</v>
      </c>
      <c r="D119">
        <v>2.4899999999999999E-2</v>
      </c>
      <c r="E119">
        <v>2</v>
      </c>
      <c r="F119">
        <v>2.4899999999999999E-2</v>
      </c>
      <c r="G119">
        <v>7.9710249999999996E-2</v>
      </c>
      <c r="H119">
        <v>1</v>
      </c>
      <c r="I119">
        <v>0.75</v>
      </c>
      <c r="J119">
        <v>1</v>
      </c>
      <c r="K119">
        <v>8.0542850590722317E-2</v>
      </c>
      <c r="L119">
        <v>1</v>
      </c>
      <c r="M119">
        <v>0.58333333333333337</v>
      </c>
      <c r="N119">
        <v>0</v>
      </c>
      <c r="O119">
        <v>0.25</v>
      </c>
      <c r="P119">
        <v>25.344092153618679</v>
      </c>
      <c r="Q119">
        <v>0.77941334955102892</v>
      </c>
      <c r="R119">
        <v>8.9066035333738469E-2</v>
      </c>
      <c r="S119">
        <v>0.77524079818932301</v>
      </c>
      <c r="T119">
        <v>3.9302719505697858E-2</v>
      </c>
      <c r="U119">
        <v>0.92489856745443833</v>
      </c>
      <c r="V119">
        <v>25.984978063598238</v>
      </c>
      <c r="W119">
        <v>0.76901856385224032</v>
      </c>
      <c r="X119">
        <v>0.13049656696411721</v>
      </c>
      <c r="Y119">
        <v>0.47378371532226782</v>
      </c>
      <c r="Z119">
        <v>3.6147862989081847E-2</v>
      </c>
      <c r="AA119">
        <v>0.69380497577539713</v>
      </c>
    </row>
    <row r="120" spans="1:27" x14ac:dyDescent="0.2">
      <c r="A120" s="7" t="s">
        <v>2204</v>
      </c>
      <c r="B120" t="s">
        <v>621</v>
      </c>
      <c r="C120">
        <v>2020</v>
      </c>
      <c r="D120">
        <v>0</v>
      </c>
      <c r="E120">
        <v>2</v>
      </c>
      <c r="F120">
        <v>0</v>
      </c>
      <c r="G120">
        <v>6.9905916666666665E-2</v>
      </c>
      <c r="H120">
        <v>0</v>
      </c>
      <c r="I120">
        <v>0.83333333333333337</v>
      </c>
      <c r="J120">
        <v>-1</v>
      </c>
      <c r="K120">
        <v>-2.2906983693792141E-3</v>
      </c>
      <c r="L120">
        <v>0</v>
      </c>
      <c r="M120">
        <v>0.58333333333333337</v>
      </c>
      <c r="N120">
        <v>1</v>
      </c>
      <c r="O120">
        <v>0.41666666666666669</v>
      </c>
      <c r="P120">
        <v>25.264678018447878</v>
      </c>
      <c r="Q120">
        <v>0.79399759773707146</v>
      </c>
      <c r="R120">
        <v>-0.16512383790898488</v>
      </c>
      <c r="S120">
        <v>0.77464995367538581</v>
      </c>
      <c r="T120">
        <v>6.7283685321027223E-3</v>
      </c>
      <c r="U120">
        <v>0.95718631047675573</v>
      </c>
      <c r="V120">
        <v>26.248828943462982</v>
      </c>
      <c r="W120">
        <v>0.74088342245800709</v>
      </c>
      <c r="X120">
        <v>-5.5781626873358907E-2</v>
      </c>
      <c r="Y120">
        <v>0.46028862753105432</v>
      </c>
      <c r="Z120">
        <v>4.5645576309831327E-2</v>
      </c>
      <c r="AA120">
        <v>0.63476499472907555</v>
      </c>
    </row>
    <row r="121" spans="1:27" x14ac:dyDescent="0.2">
      <c r="A121" s="7" t="s">
        <v>2204</v>
      </c>
      <c r="B121" t="s">
        <v>625</v>
      </c>
      <c r="C121">
        <v>2019</v>
      </c>
      <c r="D121">
        <v>1.0500000000000001E-2</v>
      </c>
      <c r="E121">
        <v>2</v>
      </c>
      <c r="F121">
        <v>1.0500000000000001E-2</v>
      </c>
      <c r="G121">
        <v>7.0433666666666658E-2</v>
      </c>
      <c r="H121">
        <v>1</v>
      </c>
      <c r="I121">
        <v>1</v>
      </c>
      <c r="J121">
        <v>2.5</v>
      </c>
      <c r="K121">
        <v>-3.6240575663412371E-2</v>
      </c>
      <c r="L121">
        <v>1</v>
      </c>
      <c r="M121">
        <v>0.41666666666666669</v>
      </c>
      <c r="N121">
        <v>0</v>
      </c>
      <c r="O121">
        <v>0.5</v>
      </c>
      <c r="P121">
        <v>25.234552153465813</v>
      </c>
      <c r="Q121">
        <v>0.77134547001297726</v>
      </c>
      <c r="R121">
        <v>5.8282990883574914E-2</v>
      </c>
      <c r="S121">
        <v>0.78446884595521349</v>
      </c>
      <c r="T121">
        <v>3.1991600198030885E-2</v>
      </c>
      <c r="U121">
        <v>0.91497826438510999</v>
      </c>
      <c r="V121">
        <v>26.208278625594954</v>
      </c>
      <c r="W121">
        <v>0.73413255677684808</v>
      </c>
      <c r="X121">
        <v>-1.0855055125972475E-3</v>
      </c>
      <c r="Y121">
        <v>0.4481541505674082</v>
      </c>
      <c r="Z121">
        <v>5.3630517657957032E-2</v>
      </c>
      <c r="AA121">
        <v>0.64461049474252485</v>
      </c>
    </row>
    <row r="122" spans="1:27" x14ac:dyDescent="0.2">
      <c r="A122" s="7" t="s">
        <v>2204</v>
      </c>
      <c r="B122" t="s">
        <v>629</v>
      </c>
      <c r="C122">
        <v>2018</v>
      </c>
      <c r="D122">
        <v>3.0000000000000001E-3</v>
      </c>
      <c r="E122">
        <v>2</v>
      </c>
      <c r="F122">
        <v>3.0000000000000001E-3</v>
      </c>
      <c r="G122">
        <v>8.0320416666666658E-2</v>
      </c>
      <c r="H122">
        <v>1</v>
      </c>
      <c r="I122">
        <v>1</v>
      </c>
      <c r="J122">
        <v>-0.86111111111111116</v>
      </c>
      <c r="K122">
        <v>0.26801762089017805</v>
      </c>
      <c r="L122">
        <v>0</v>
      </c>
      <c r="M122">
        <v>0.66666666666666663</v>
      </c>
      <c r="N122">
        <v>1</v>
      </c>
      <c r="O122">
        <v>0.16666666666666666</v>
      </c>
      <c r="P122">
        <v>25.124808906006404</v>
      </c>
      <c r="Q122">
        <v>0.77398658807391574</v>
      </c>
      <c r="R122">
        <v>0.2358284927551777</v>
      </c>
      <c r="S122">
        <v>0.77919191489057182</v>
      </c>
      <c r="T122">
        <v>8.0860235731209547E-3</v>
      </c>
      <c r="U122">
        <v>0.80739134662676482</v>
      </c>
      <c r="V122">
        <v>26.159857939021816</v>
      </c>
      <c r="W122">
        <v>0.75145027332882997</v>
      </c>
      <c r="X122">
        <v>3.4730774307178275E-2</v>
      </c>
      <c r="Y122">
        <v>0.43817789280902919</v>
      </c>
      <c r="Z122">
        <v>7.3438592552844698E-2</v>
      </c>
      <c r="AA122">
        <v>0.61734924790101908</v>
      </c>
    </row>
    <row r="123" spans="1:27" x14ac:dyDescent="0.2">
      <c r="A123" s="7" t="s">
        <v>2204</v>
      </c>
      <c r="B123" t="s">
        <v>633</v>
      </c>
      <c r="C123">
        <v>2017</v>
      </c>
      <c r="D123">
        <v>2.1600000000000001E-2</v>
      </c>
      <c r="E123">
        <v>2</v>
      </c>
      <c r="F123">
        <v>2.1600000000000001E-2</v>
      </c>
      <c r="G123">
        <v>7.030883333333332E-2</v>
      </c>
      <c r="H123">
        <v>1</v>
      </c>
      <c r="I123">
        <v>1</v>
      </c>
      <c r="J123">
        <v>1.602409638554217</v>
      </c>
      <c r="K123">
        <v>0.50821550106076541</v>
      </c>
      <c r="L123">
        <v>1</v>
      </c>
      <c r="M123">
        <v>0.75</v>
      </c>
      <c r="N123">
        <v>0</v>
      </c>
      <c r="O123">
        <v>0.25</v>
      </c>
      <c r="P123">
        <v>25.066103062977021</v>
      </c>
      <c r="Q123">
        <v>0.79931620840609585</v>
      </c>
      <c r="R123">
        <v>8.6138198294661628E-2</v>
      </c>
      <c r="S123">
        <v>0.79735143856692459</v>
      </c>
      <c r="T123">
        <v>5.4500068584606202E-2</v>
      </c>
      <c r="U123">
        <v>0.66996333549958653</v>
      </c>
      <c r="V123">
        <v>26.132137541258075</v>
      </c>
      <c r="W123">
        <v>0.75684930376610338</v>
      </c>
      <c r="X123">
        <v>4.2532406764356885E-2</v>
      </c>
      <c r="Y123">
        <v>0.38906446674871736</v>
      </c>
      <c r="Z123">
        <v>8.3825850757188555E-2</v>
      </c>
      <c r="AA123">
        <v>0.62807952388019694</v>
      </c>
    </row>
    <row r="124" spans="1:27" x14ac:dyDescent="0.2">
      <c r="A124" s="7" t="s">
        <v>2204</v>
      </c>
      <c r="B124" t="s">
        <v>637</v>
      </c>
      <c r="C124">
        <v>2016</v>
      </c>
      <c r="D124">
        <v>8.3000000000000001E-3</v>
      </c>
      <c r="E124">
        <v>2</v>
      </c>
      <c r="F124">
        <v>8.3000000000000001E-3</v>
      </c>
      <c r="G124">
        <v>5.6703499999999997E-2</v>
      </c>
      <c r="H124">
        <v>1</v>
      </c>
      <c r="I124">
        <v>1</v>
      </c>
      <c r="J124">
        <v>-0.41549295774647887</v>
      </c>
      <c r="K124">
        <v>1.4416944509513498</v>
      </c>
      <c r="L124">
        <v>0</v>
      </c>
      <c r="M124">
        <v>0.91666666666666663</v>
      </c>
      <c r="N124">
        <v>1</v>
      </c>
      <c r="O124">
        <v>8.3333333333333329E-2</v>
      </c>
      <c r="P124">
        <v>25.048259076435773</v>
      </c>
      <c r="Q124">
        <v>0.80084212794700915</v>
      </c>
      <c r="R124">
        <v>7.2539197288492785E-2</v>
      </c>
      <c r="S124">
        <v>0.79192589384038126</v>
      </c>
      <c r="T124">
        <v>1.7419896601414214E-2</v>
      </c>
      <c r="U124">
        <v>0.79398998532686449</v>
      </c>
      <c r="V124">
        <v>26.087817780332625</v>
      </c>
      <c r="W124">
        <v>0.7092172027574053</v>
      </c>
      <c r="X124">
        <v>0.11833766071763344</v>
      </c>
      <c r="Y124">
        <v>0.37407125304543437</v>
      </c>
      <c r="Z124">
        <v>4.329636129537251E-2</v>
      </c>
      <c r="AA124">
        <v>0.72062488218845766</v>
      </c>
    </row>
    <row r="125" spans="1:27" x14ac:dyDescent="0.2">
      <c r="A125" s="7" t="s">
        <v>2204</v>
      </c>
      <c r="B125" t="s">
        <v>639</v>
      </c>
      <c r="C125">
        <v>2015</v>
      </c>
      <c r="D125">
        <v>1.4200000000000001E-2</v>
      </c>
      <c r="E125">
        <v>2</v>
      </c>
      <c r="F125">
        <v>1.4200000000000001E-2</v>
      </c>
      <c r="G125">
        <v>4.0256750000000001E-2</v>
      </c>
      <c r="H125">
        <v>1</v>
      </c>
      <c r="I125">
        <v>0.91666666666666663</v>
      </c>
      <c r="J125">
        <v>1.4482758620689657</v>
      </c>
      <c r="K125">
        <v>4.0242867898199286</v>
      </c>
      <c r="L125">
        <v>1</v>
      </c>
      <c r="M125">
        <v>0.66666666666666663</v>
      </c>
      <c r="N125">
        <v>0</v>
      </c>
      <c r="O125">
        <v>0.33333333333333331</v>
      </c>
      <c r="P125">
        <v>25.07171956851996</v>
      </c>
      <c r="Q125">
        <v>0.78740858193513019</v>
      </c>
      <c r="R125">
        <v>1.0097238286974397E-2</v>
      </c>
      <c r="S125">
        <v>0.80357556044330136</v>
      </c>
      <c r="T125">
        <v>1.918180526952824E-2</v>
      </c>
      <c r="U125">
        <v>0.87039096298398899</v>
      </c>
      <c r="V125">
        <v>26.014769061852853</v>
      </c>
      <c r="W125">
        <v>0.77858044315601693</v>
      </c>
      <c r="X125">
        <v>6.3800722730110483E-3</v>
      </c>
      <c r="Y125">
        <v>0.44397152687593122</v>
      </c>
      <c r="Z125">
        <v>-1.5895469562342029E-2</v>
      </c>
      <c r="AA125">
        <v>0.89482852403453417</v>
      </c>
    </row>
    <row r="126" spans="1:27" x14ac:dyDescent="0.2">
      <c r="A126" s="7" t="s">
        <v>2204</v>
      </c>
      <c r="B126" t="s">
        <v>641</v>
      </c>
      <c r="C126">
        <v>2014</v>
      </c>
      <c r="D126">
        <v>5.7999999999999996E-3</v>
      </c>
      <c r="E126">
        <v>2</v>
      </c>
      <c r="F126">
        <v>5.7999999999999996E-3</v>
      </c>
      <c r="G126">
        <v>3.8484583333333336E-2</v>
      </c>
      <c r="H126">
        <v>1</v>
      </c>
      <c r="I126">
        <v>1</v>
      </c>
      <c r="J126">
        <v>4.6862745098039209</v>
      </c>
      <c r="K126">
        <v>1.0105806058663116</v>
      </c>
      <c r="L126">
        <v>1</v>
      </c>
      <c r="M126">
        <v>0.58333333333333337</v>
      </c>
      <c r="N126">
        <v>0</v>
      </c>
      <c r="O126">
        <v>0.33333333333333331</v>
      </c>
      <c r="P126">
        <v>25.063464528595123</v>
      </c>
      <c r="Q126">
        <v>0.80907764788821135</v>
      </c>
      <c r="R126">
        <v>5.2682844802896422E-2</v>
      </c>
      <c r="S126">
        <v>0.7935232260158317</v>
      </c>
      <c r="T126">
        <v>2.7899180634340368E-2</v>
      </c>
      <c r="U126">
        <v>0.83368076483894538</v>
      </c>
      <c r="V126">
        <v>26.272251843123904</v>
      </c>
      <c r="W126">
        <v>0.76772406951427197</v>
      </c>
      <c r="X126">
        <v>1.9381178964731113E-2</v>
      </c>
      <c r="Y126">
        <v>0.56688778429037778</v>
      </c>
      <c r="Z126">
        <v>1.758491024576499E-2</v>
      </c>
      <c r="AA126">
        <v>0.74579166180996159</v>
      </c>
    </row>
    <row r="127" spans="1:27" x14ac:dyDescent="0.2">
      <c r="A127" s="7" t="s">
        <v>2206</v>
      </c>
      <c r="B127" t="s">
        <v>649</v>
      </c>
      <c r="C127">
        <v>2025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-1</v>
      </c>
      <c r="K127">
        <v>-0.5</v>
      </c>
      <c r="L127">
        <v>0</v>
      </c>
      <c r="M127">
        <v>0</v>
      </c>
      <c r="N127">
        <v>1</v>
      </c>
      <c r="O127">
        <v>0.5</v>
      </c>
      <c r="P127">
        <v>25.33252278075225</v>
      </c>
      <c r="Q127">
        <v>0.74080414811696327</v>
      </c>
      <c r="R127">
        <v>0.54959464730804886</v>
      </c>
      <c r="S127">
        <v>0.67375536712022854</v>
      </c>
      <c r="T127">
        <v>0.12496063624678221</v>
      </c>
      <c r="U127">
        <v>0.83932224831447311</v>
      </c>
      <c r="V127">
        <v>26.758117978956513</v>
      </c>
      <c r="W127">
        <v>0.66856756369013171</v>
      </c>
      <c r="X127">
        <v>0.12334503056581506</v>
      </c>
      <c r="Y127">
        <v>0.76987877298118079</v>
      </c>
      <c r="Z127">
        <v>9.9932314659051405E-2</v>
      </c>
      <c r="AA127">
        <v>0.89649844204643725</v>
      </c>
    </row>
    <row r="128" spans="1:27" x14ac:dyDescent="0.2">
      <c r="A128" s="7" t="s">
        <v>2206</v>
      </c>
      <c r="B128" t="s">
        <v>653</v>
      </c>
      <c r="C128">
        <v>2024</v>
      </c>
      <c r="D128">
        <v>7.4000000000000003E-3</v>
      </c>
      <c r="E128">
        <v>2</v>
      </c>
      <c r="F128">
        <v>7.4000000000000003E-3</v>
      </c>
      <c r="G128">
        <v>6.278333333333333E-2</v>
      </c>
      <c r="H128">
        <v>1</v>
      </c>
      <c r="I128">
        <v>0.5</v>
      </c>
      <c r="J128">
        <v>0.1935483870967743</v>
      </c>
      <c r="K128">
        <v>7.0031621184939635E-2</v>
      </c>
      <c r="L128">
        <v>1</v>
      </c>
      <c r="M128">
        <v>0.5</v>
      </c>
      <c r="N128">
        <v>0</v>
      </c>
      <c r="O128">
        <v>8.3333333333333329E-2</v>
      </c>
      <c r="P128">
        <v>25.116119138675732</v>
      </c>
      <c r="Q128">
        <v>0.77828647233398929</v>
      </c>
      <c r="R128">
        <v>8.2633072508708993E-2</v>
      </c>
      <c r="S128">
        <v>0.59743693895890215</v>
      </c>
      <c r="T128">
        <v>4.756852010727522E-2</v>
      </c>
      <c r="U128">
        <v>0.79966292109077353</v>
      </c>
      <c r="V128">
        <v>26.687676056766772</v>
      </c>
      <c r="W128">
        <v>0.67905197661308592</v>
      </c>
      <c r="X128">
        <v>0.10119245996532698</v>
      </c>
      <c r="Y128">
        <v>0.55919821579551066</v>
      </c>
      <c r="Z128">
        <v>5.840284344333925E-2</v>
      </c>
      <c r="AA128">
        <v>0.94670596962810427</v>
      </c>
    </row>
    <row r="129" spans="1:27" x14ac:dyDescent="0.2">
      <c r="A129" s="7" t="s">
        <v>2206</v>
      </c>
      <c r="B129" t="s">
        <v>657</v>
      </c>
      <c r="C129">
        <v>2023</v>
      </c>
      <c r="D129">
        <v>6.1999999999999998E-3</v>
      </c>
      <c r="E129">
        <v>2</v>
      </c>
      <c r="F129">
        <v>6.1999999999999998E-3</v>
      </c>
      <c r="G129">
        <v>6.5783333333333333E-2</v>
      </c>
      <c r="H129">
        <v>1</v>
      </c>
      <c r="I129">
        <v>0.5</v>
      </c>
      <c r="J129">
        <v>1</v>
      </c>
      <c r="K129">
        <v>3.3699909302320995E-2</v>
      </c>
      <c r="L129">
        <v>1</v>
      </c>
      <c r="M129">
        <v>0.41666666666666669</v>
      </c>
      <c r="N129">
        <v>0</v>
      </c>
      <c r="O129">
        <v>0.25</v>
      </c>
      <c r="P129">
        <v>24.996262216810024</v>
      </c>
      <c r="Q129">
        <v>0.8080634755116809</v>
      </c>
      <c r="R129">
        <v>0.15335085797716719</v>
      </c>
      <c r="S129">
        <v>0.57868504294606038</v>
      </c>
      <c r="T129">
        <v>4.2658888785573626E-2</v>
      </c>
      <c r="U129">
        <v>0.7024089439647373</v>
      </c>
      <c r="V129">
        <v>26.570242818039567</v>
      </c>
      <c r="W129">
        <v>0.69794406610997572</v>
      </c>
      <c r="X129">
        <v>0.13831775133189853</v>
      </c>
      <c r="Y129">
        <v>0.53634916478634709</v>
      </c>
      <c r="Z129">
        <v>7.9511596710895305E-2</v>
      </c>
      <c r="AA129">
        <v>0.83741376294990422</v>
      </c>
    </row>
    <row r="130" spans="1:27" x14ac:dyDescent="0.2">
      <c r="A130" s="7" t="s">
        <v>2206</v>
      </c>
      <c r="B130" t="s">
        <v>661</v>
      </c>
      <c r="C130">
        <v>2022</v>
      </c>
      <c r="D130">
        <v>0</v>
      </c>
      <c r="E130">
        <v>2</v>
      </c>
      <c r="F130">
        <v>0</v>
      </c>
      <c r="G130">
        <v>6.4731666666666673E-2</v>
      </c>
      <c r="H130">
        <v>0</v>
      </c>
      <c r="I130">
        <v>0.66666666666666663</v>
      </c>
      <c r="J130">
        <v>-1</v>
      </c>
      <c r="K130">
        <v>-7.8308528260407059E-2</v>
      </c>
      <c r="L130">
        <v>0</v>
      </c>
      <c r="M130">
        <v>0.33333333333333331</v>
      </c>
      <c r="N130">
        <v>1</v>
      </c>
      <c r="O130">
        <v>0.41666666666666669</v>
      </c>
      <c r="P130">
        <v>24.937031884425565</v>
      </c>
      <c r="Q130">
        <v>0.79838175284895052</v>
      </c>
      <c r="R130">
        <v>2.9230764608529913E-2</v>
      </c>
      <c r="S130">
        <v>0.54820303248400704</v>
      </c>
      <c r="T130">
        <v>-7.1199751757517827E-3</v>
      </c>
      <c r="U130">
        <v>0.73158209267755403</v>
      </c>
      <c r="V130">
        <v>26.464199115629746</v>
      </c>
      <c r="W130">
        <v>0.69809991211899003</v>
      </c>
      <c r="X130">
        <v>7.9186284441015262E-2</v>
      </c>
      <c r="Y130">
        <v>0.51126472655091793</v>
      </c>
      <c r="Z130">
        <v>1.5450948771702496E-2</v>
      </c>
      <c r="AA130">
        <v>0.92896835286878143</v>
      </c>
    </row>
    <row r="131" spans="1:27" x14ac:dyDescent="0.2">
      <c r="A131" s="7" t="s">
        <v>2206</v>
      </c>
      <c r="B131" t="s">
        <v>665</v>
      </c>
      <c r="C131">
        <v>2021</v>
      </c>
      <c r="D131">
        <v>3.2299999999999999E-4</v>
      </c>
      <c r="E131">
        <v>2</v>
      </c>
      <c r="F131">
        <v>3.2299999999999999E-4</v>
      </c>
      <c r="G131">
        <v>8.1758333333333322E-2</v>
      </c>
      <c r="H131">
        <v>1</v>
      </c>
      <c r="I131">
        <v>0.75</v>
      </c>
      <c r="J131">
        <v>1</v>
      </c>
      <c r="K131">
        <v>8.0542850590722317E-2</v>
      </c>
      <c r="L131">
        <v>1</v>
      </c>
      <c r="M131">
        <v>0.58333333333333337</v>
      </c>
      <c r="N131">
        <v>0</v>
      </c>
      <c r="O131">
        <v>0.25</v>
      </c>
      <c r="P131">
        <v>24.89504643550125</v>
      </c>
      <c r="Q131">
        <v>0.80233952736066583</v>
      </c>
      <c r="R131">
        <v>7.4709043242167761E-2</v>
      </c>
      <c r="S131">
        <v>0.55220750177930389</v>
      </c>
      <c r="T131">
        <v>1.5562581073911572E-2</v>
      </c>
      <c r="U131">
        <v>0.63303725498913521</v>
      </c>
      <c r="V131">
        <v>26.029882635409979</v>
      </c>
      <c r="W131">
        <v>0.76672594607127675</v>
      </c>
      <c r="X131">
        <v>0.13193226617327428</v>
      </c>
      <c r="Y131">
        <v>0.49608704496326972</v>
      </c>
      <c r="Z131">
        <v>3.8521876832260479E-2</v>
      </c>
      <c r="AA131">
        <v>0.72299110702192737</v>
      </c>
    </row>
    <row r="132" spans="1:27" x14ac:dyDescent="0.2">
      <c r="A132" s="7" t="s">
        <v>2206</v>
      </c>
      <c r="B132" t="s">
        <v>669</v>
      </c>
      <c r="C132">
        <v>2020</v>
      </c>
      <c r="D132">
        <v>0</v>
      </c>
      <c r="E132">
        <v>2</v>
      </c>
      <c r="F132">
        <v>0</v>
      </c>
      <c r="G132">
        <v>6.9905916666666665E-2</v>
      </c>
      <c r="H132">
        <v>0</v>
      </c>
      <c r="I132">
        <v>0.83333333333333337</v>
      </c>
      <c r="J132">
        <v>-1</v>
      </c>
      <c r="K132">
        <v>-2.2906983693792141E-3</v>
      </c>
      <c r="L132">
        <v>0</v>
      </c>
      <c r="M132">
        <v>0.58333333333333337</v>
      </c>
      <c r="N132">
        <v>1</v>
      </c>
      <c r="O132">
        <v>0.41666666666666669</v>
      </c>
      <c r="P132">
        <v>24.842088679848352</v>
      </c>
      <c r="Q132">
        <v>0.79335708042796815</v>
      </c>
      <c r="R132">
        <v>-4.1031182758852536E-2</v>
      </c>
      <c r="S132">
        <v>0.54279641537261369</v>
      </c>
      <c r="T132">
        <v>-1.9501624973200364E-3</v>
      </c>
      <c r="U132">
        <v>0.59536966515327472</v>
      </c>
      <c r="V132">
        <v>26.284044721679606</v>
      </c>
      <c r="W132">
        <v>0.7409367989004324</v>
      </c>
      <c r="X132">
        <v>-6.6122681469203262E-2</v>
      </c>
      <c r="Y132">
        <v>0.479609755722952</v>
      </c>
      <c r="Z132">
        <v>4.6368787228949888E-2</v>
      </c>
      <c r="AA132">
        <v>0.66491638183936563</v>
      </c>
    </row>
    <row r="133" spans="1:27" x14ac:dyDescent="0.2">
      <c r="A133" s="7" t="s">
        <v>2206</v>
      </c>
      <c r="B133" t="s">
        <v>673</v>
      </c>
      <c r="C133">
        <v>2019</v>
      </c>
      <c r="D133">
        <v>6.463E-3</v>
      </c>
      <c r="E133">
        <v>2</v>
      </c>
      <c r="F133">
        <v>6.463E-3</v>
      </c>
      <c r="G133">
        <v>7.0770083333333331E-2</v>
      </c>
      <c r="H133">
        <v>1</v>
      </c>
      <c r="I133">
        <v>1</v>
      </c>
      <c r="J133">
        <v>-0.51037878787878788</v>
      </c>
      <c r="K133">
        <v>0.21462432332648662</v>
      </c>
      <c r="L133">
        <v>0</v>
      </c>
      <c r="M133">
        <v>0.5</v>
      </c>
      <c r="N133">
        <v>1</v>
      </c>
      <c r="O133">
        <v>0.41666666666666669</v>
      </c>
      <c r="P133">
        <v>24.796126275950115</v>
      </c>
      <c r="Q133">
        <v>0.77708705575188886</v>
      </c>
      <c r="R133">
        <v>-1.1154497660079921E-2</v>
      </c>
      <c r="S133">
        <v>0.54567815273068188</v>
      </c>
      <c r="T133">
        <v>6.9689177291546528E-2</v>
      </c>
      <c r="U133">
        <v>0.50949916143649432</v>
      </c>
      <c r="V133">
        <v>26.244814115387925</v>
      </c>
      <c r="W133">
        <v>0.73365409129860548</v>
      </c>
      <c r="X133">
        <v>4.7009518660406551E-3</v>
      </c>
      <c r="Y133">
        <v>0.46805337500278582</v>
      </c>
      <c r="Z133">
        <v>5.0489052900164061E-2</v>
      </c>
      <c r="AA133">
        <v>0.67840041998824274</v>
      </c>
    </row>
    <row r="134" spans="1:27" x14ac:dyDescent="0.2">
      <c r="A134" s="7" t="s">
        <v>2206</v>
      </c>
      <c r="B134" t="s">
        <v>677</v>
      </c>
      <c r="C134">
        <v>2018</v>
      </c>
      <c r="D134">
        <v>1.32E-2</v>
      </c>
      <c r="E134">
        <v>2</v>
      </c>
      <c r="F134">
        <v>1.32E-2</v>
      </c>
      <c r="G134">
        <v>7.9470416666666654E-2</v>
      </c>
      <c r="H134">
        <v>1</v>
      </c>
      <c r="I134">
        <v>1</v>
      </c>
      <c r="J134">
        <v>-0.10810810810810816</v>
      </c>
      <c r="K134">
        <v>0.20526737063992784</v>
      </c>
      <c r="L134">
        <v>0</v>
      </c>
      <c r="M134">
        <v>0.66666666666666663</v>
      </c>
      <c r="N134">
        <v>1</v>
      </c>
      <c r="O134">
        <v>0.16666666666666666</v>
      </c>
      <c r="P134">
        <v>24.704188794878007</v>
      </c>
      <c r="Q134">
        <v>0.76668633507192774</v>
      </c>
      <c r="R134">
        <v>7.4870642744845117E-2</v>
      </c>
      <c r="S134">
        <v>0.53699142530845712</v>
      </c>
      <c r="T134">
        <v>0.10780452503367499</v>
      </c>
      <c r="U134">
        <v>0.38204930545679638</v>
      </c>
      <c r="V134">
        <v>26.194909614949182</v>
      </c>
      <c r="W134">
        <v>0.75205862774566234</v>
      </c>
      <c r="X134">
        <v>4.8143928474705992E-2</v>
      </c>
      <c r="Y134">
        <v>0.45836126694087204</v>
      </c>
      <c r="Z134">
        <v>6.5128717431131869E-2</v>
      </c>
      <c r="AA134">
        <v>0.65279441799851645</v>
      </c>
    </row>
    <row r="135" spans="1:27" x14ac:dyDescent="0.2">
      <c r="A135" s="7" t="s">
        <v>2206</v>
      </c>
      <c r="B135" t="s">
        <v>681</v>
      </c>
      <c r="C135">
        <v>2017</v>
      </c>
      <c r="D135">
        <v>1.4800000000000001E-2</v>
      </c>
      <c r="E135">
        <v>2</v>
      </c>
      <c r="F135">
        <v>1.4800000000000001E-2</v>
      </c>
      <c r="G135">
        <v>7.0875499999999994E-2</v>
      </c>
      <c r="H135">
        <v>1</v>
      </c>
      <c r="I135">
        <v>1</v>
      </c>
      <c r="J135">
        <v>1.1010789324247587</v>
      </c>
      <c r="K135">
        <v>0.54999305990488689</v>
      </c>
      <c r="L135">
        <v>1</v>
      </c>
      <c r="M135">
        <v>0.75</v>
      </c>
      <c r="N135">
        <v>0</v>
      </c>
      <c r="O135">
        <v>0.25</v>
      </c>
      <c r="P135">
        <v>24.681594646886069</v>
      </c>
      <c r="Q135">
        <v>0.73423929810755384</v>
      </c>
      <c r="R135">
        <v>0.1108744185375039</v>
      </c>
      <c r="S135">
        <v>0.49937023290640348</v>
      </c>
      <c r="T135">
        <v>0.10806502412079667</v>
      </c>
      <c r="U135">
        <v>0.46119952788254676</v>
      </c>
      <c r="V135">
        <v>26.164179909265656</v>
      </c>
      <c r="W135">
        <v>0.76227237962431527</v>
      </c>
      <c r="X135">
        <v>4.0471055077453362E-2</v>
      </c>
      <c r="Y135">
        <v>0.41389623388709412</v>
      </c>
      <c r="Z135">
        <v>7.9362104462506008E-2</v>
      </c>
      <c r="AA135">
        <v>0.64547650784828348</v>
      </c>
    </row>
    <row r="136" spans="1:27" x14ac:dyDescent="0.2">
      <c r="A136" s="7" t="s">
        <v>2206</v>
      </c>
      <c r="B136" t="s">
        <v>685</v>
      </c>
      <c r="C136">
        <v>2016</v>
      </c>
      <c r="D136">
        <v>7.0439999999999999E-3</v>
      </c>
      <c r="E136">
        <v>2</v>
      </c>
      <c r="F136">
        <v>7.0439999999999999E-3</v>
      </c>
      <c r="G136">
        <v>5.680816666666666E-2</v>
      </c>
      <c r="H136">
        <v>1</v>
      </c>
      <c r="I136">
        <v>1</v>
      </c>
      <c r="J136">
        <v>4.4184615384615382</v>
      </c>
      <c r="K136">
        <v>1.0388649096006819</v>
      </c>
      <c r="L136">
        <v>1</v>
      </c>
      <c r="M136">
        <v>0.83333333333333337</v>
      </c>
      <c r="N136">
        <v>0</v>
      </c>
      <c r="O136">
        <v>0.16666666666666666</v>
      </c>
      <c r="P136">
        <v>24.656658887687882</v>
      </c>
      <c r="Q136">
        <v>0.75865822712102138</v>
      </c>
      <c r="R136">
        <v>0.11138402115763979</v>
      </c>
      <c r="S136">
        <v>0.4332971067885838</v>
      </c>
      <c r="T136">
        <v>5.4912976901168878E-2</v>
      </c>
      <c r="U136">
        <v>0.62543724595184835</v>
      </c>
      <c r="V136">
        <v>26.120451129394947</v>
      </c>
      <c r="W136">
        <v>0.71273252782623764</v>
      </c>
      <c r="X136">
        <v>0.11445317833071873</v>
      </c>
      <c r="Y136">
        <v>0.40667387005014333</v>
      </c>
      <c r="Z136">
        <v>3.9547053265397036E-2</v>
      </c>
      <c r="AA136">
        <v>0.73467094380304232</v>
      </c>
    </row>
    <row r="137" spans="1:27" x14ac:dyDescent="0.2">
      <c r="A137" s="7" t="s">
        <v>2208</v>
      </c>
      <c r="B137" t="s">
        <v>693</v>
      </c>
      <c r="C137">
        <v>2021</v>
      </c>
      <c r="D137">
        <v>0.22</v>
      </c>
      <c r="E137">
        <v>2</v>
      </c>
      <c r="F137">
        <v>0.22</v>
      </c>
      <c r="G137">
        <v>6.3451916666666663E-2</v>
      </c>
      <c r="H137">
        <v>1</v>
      </c>
      <c r="I137">
        <v>0.75</v>
      </c>
      <c r="J137">
        <v>0.22222222222222227</v>
      </c>
      <c r="K137">
        <v>0.14535766540553713</v>
      </c>
      <c r="L137">
        <v>1</v>
      </c>
      <c r="M137">
        <v>0.58333333333333337</v>
      </c>
      <c r="N137">
        <v>0</v>
      </c>
      <c r="O137">
        <v>0.25</v>
      </c>
      <c r="P137">
        <v>26.660955064621074</v>
      </c>
      <c r="Q137">
        <v>0.65258614776630486</v>
      </c>
      <c r="R137">
        <v>0.2445994649213965</v>
      </c>
      <c r="S137">
        <v>-0.11769378789988733</v>
      </c>
      <c r="T137">
        <v>7.3634086424637646E-3</v>
      </c>
      <c r="U137">
        <v>0.19968730614880176</v>
      </c>
      <c r="V137">
        <v>25.853291772497993</v>
      </c>
      <c r="W137">
        <v>0.78170128403071282</v>
      </c>
      <c r="X137">
        <v>0.1149432240053514</v>
      </c>
      <c r="Y137">
        <v>0.56307717393118883</v>
      </c>
      <c r="Z137">
        <v>3.9341794075405258E-2</v>
      </c>
      <c r="AA137">
        <v>0.76632610190596073</v>
      </c>
    </row>
    <row r="138" spans="1:27" x14ac:dyDescent="0.2">
      <c r="A138" s="7" t="s">
        <v>2208</v>
      </c>
      <c r="B138" t="s">
        <v>697</v>
      </c>
      <c r="C138">
        <v>2020</v>
      </c>
      <c r="D138">
        <v>0.18</v>
      </c>
      <c r="E138">
        <v>2</v>
      </c>
      <c r="F138">
        <v>0.18</v>
      </c>
      <c r="G138">
        <v>5.4905916666666665E-2</v>
      </c>
      <c r="H138">
        <v>1</v>
      </c>
      <c r="I138">
        <v>0.75</v>
      </c>
      <c r="J138">
        <v>0.5</v>
      </c>
      <c r="K138">
        <v>-0.1272906983693792</v>
      </c>
      <c r="L138">
        <v>1</v>
      </c>
      <c r="M138">
        <v>0.5</v>
      </c>
      <c r="N138">
        <v>0</v>
      </c>
      <c r="O138">
        <v>0.5</v>
      </c>
      <c r="P138">
        <v>26.732056909122395</v>
      </c>
      <c r="Q138">
        <v>0.67595352231376127</v>
      </c>
      <c r="R138">
        <v>-4.673379808933642E-2</v>
      </c>
      <c r="S138">
        <v>-0.11305341868031571</v>
      </c>
      <c r="T138">
        <v>1.9629803140768502E-2</v>
      </c>
      <c r="U138">
        <v>0.23408764945071273</v>
      </c>
      <c r="V138">
        <v>26.1265473692401</v>
      </c>
      <c r="W138">
        <v>0.75072042874328293</v>
      </c>
      <c r="X138">
        <v>-6.5647463524996272E-2</v>
      </c>
      <c r="Y138">
        <v>0.53426390856069617</v>
      </c>
      <c r="Z138">
        <v>4.457045675910918E-2</v>
      </c>
      <c r="AA138">
        <v>0.69502321648124576</v>
      </c>
    </row>
    <row r="139" spans="1:27" x14ac:dyDescent="0.2">
      <c r="A139" s="7" t="s">
        <v>2208</v>
      </c>
      <c r="B139" t="s">
        <v>701</v>
      </c>
      <c r="C139">
        <v>2019</v>
      </c>
      <c r="D139">
        <v>0.12</v>
      </c>
      <c r="E139">
        <v>2</v>
      </c>
      <c r="F139">
        <v>0.12</v>
      </c>
      <c r="G139">
        <v>6.1308666666666657E-2</v>
      </c>
      <c r="H139">
        <v>1</v>
      </c>
      <c r="I139">
        <v>1</v>
      </c>
      <c r="J139">
        <v>-0.42857142857142855</v>
      </c>
      <c r="K139">
        <v>0.20780704338420666</v>
      </c>
      <c r="L139">
        <v>0</v>
      </c>
      <c r="M139">
        <v>0.5</v>
      </c>
      <c r="N139">
        <v>1</v>
      </c>
      <c r="O139">
        <v>0.41666666666666669</v>
      </c>
      <c r="P139">
        <v>26.745940734360683</v>
      </c>
      <c r="Q139">
        <v>0.65609756688580279</v>
      </c>
      <c r="R139">
        <v>-4.572333685322072E-2</v>
      </c>
      <c r="S139">
        <v>-0.12726298054832286</v>
      </c>
      <c r="T139">
        <v>2.5913827547108689E-2</v>
      </c>
      <c r="U139">
        <v>0.26414764895083476</v>
      </c>
      <c r="V139">
        <v>26.08232957718705</v>
      </c>
      <c r="W139">
        <v>0.74373654870411265</v>
      </c>
      <c r="X139">
        <v>7.5816884654690553E-3</v>
      </c>
      <c r="Y139">
        <v>0.52413180277603633</v>
      </c>
      <c r="Z139">
        <v>5.4136998712200547E-2</v>
      </c>
      <c r="AA139">
        <v>0.69884637936204774</v>
      </c>
    </row>
    <row r="140" spans="1:27" x14ac:dyDescent="0.2">
      <c r="A140" s="7" t="s">
        <v>2208</v>
      </c>
      <c r="B140" t="s">
        <v>705</v>
      </c>
      <c r="C140">
        <v>2018</v>
      </c>
      <c r="D140">
        <v>0.21</v>
      </c>
      <c r="E140">
        <v>2</v>
      </c>
      <c r="F140">
        <v>0.21</v>
      </c>
      <c r="G140">
        <v>6.307041666666667E-2</v>
      </c>
      <c r="H140">
        <v>1</v>
      </c>
      <c r="I140">
        <v>1</v>
      </c>
      <c r="J140">
        <v>0.23529411764705868</v>
      </c>
      <c r="K140">
        <v>0.17665051849366389</v>
      </c>
      <c r="L140">
        <v>1</v>
      </c>
      <c r="M140">
        <v>0.58333333333333337</v>
      </c>
      <c r="N140">
        <v>0</v>
      </c>
      <c r="O140">
        <v>0.25</v>
      </c>
      <c r="P140">
        <v>26.516764083971836</v>
      </c>
      <c r="Q140">
        <v>0.63899207396414548</v>
      </c>
      <c r="R140">
        <v>1.4353041988003357E-2</v>
      </c>
      <c r="S140">
        <v>-0.15058099030058442</v>
      </c>
      <c r="T140">
        <v>6.4569551406774603E-2</v>
      </c>
      <c r="U140">
        <v>0.18457406678771382</v>
      </c>
      <c r="V140">
        <v>26.043861674191362</v>
      </c>
      <c r="W140">
        <v>0.76269981617131088</v>
      </c>
      <c r="X140">
        <v>5.318706187110947E-2</v>
      </c>
      <c r="Y140">
        <v>0.51565896824162549</v>
      </c>
      <c r="Z140">
        <v>6.8731631900040238E-2</v>
      </c>
      <c r="AA140">
        <v>0.66925068788760667</v>
      </c>
    </row>
    <row r="141" spans="1:27" x14ac:dyDescent="0.2">
      <c r="A141" s="7" t="s">
        <v>2208</v>
      </c>
      <c r="B141" t="s">
        <v>709</v>
      </c>
      <c r="C141">
        <v>2017</v>
      </c>
      <c r="D141">
        <v>0.17</v>
      </c>
      <c r="E141">
        <v>2</v>
      </c>
      <c r="F141">
        <v>0.17</v>
      </c>
      <c r="G141">
        <v>5.7942166666666663E-2</v>
      </c>
      <c r="H141">
        <v>1</v>
      </c>
      <c r="I141">
        <v>1</v>
      </c>
      <c r="J141">
        <v>1.0047169811320755</v>
      </c>
      <c r="K141">
        <v>0.55802322251261061</v>
      </c>
      <c r="L141">
        <v>1</v>
      </c>
      <c r="M141">
        <v>0.75</v>
      </c>
      <c r="N141">
        <v>0</v>
      </c>
      <c r="O141">
        <v>0.25</v>
      </c>
      <c r="P141">
        <v>26.536939548026858</v>
      </c>
      <c r="Q141">
        <v>0.64505281516632973</v>
      </c>
      <c r="R141">
        <v>2.8323262839879071E-2</v>
      </c>
      <c r="S141">
        <v>-0.20769508019462965</v>
      </c>
      <c r="T141">
        <v>7.3365566222614004E-2</v>
      </c>
      <c r="U141">
        <v>0.25715969844416409</v>
      </c>
      <c r="V141">
        <v>26.009567834170586</v>
      </c>
      <c r="W141">
        <v>0.76970458653608398</v>
      </c>
      <c r="X141">
        <v>4.7350318052255432E-2</v>
      </c>
      <c r="Y141">
        <v>0.4728183433121802</v>
      </c>
      <c r="Z141">
        <v>8.2253725954021209E-2</v>
      </c>
      <c r="AA141">
        <v>0.66247982696814878</v>
      </c>
    </row>
    <row r="142" spans="1:27" x14ac:dyDescent="0.2">
      <c r="A142" s="7" t="s">
        <v>2208</v>
      </c>
      <c r="B142" t="s">
        <v>713</v>
      </c>
      <c r="C142">
        <v>2016</v>
      </c>
      <c r="D142">
        <v>8.48E-2</v>
      </c>
      <c r="E142">
        <v>2</v>
      </c>
      <c r="F142">
        <v>8.48E-2</v>
      </c>
      <c r="G142">
        <v>5.0328499999999998E-2</v>
      </c>
      <c r="H142">
        <v>1</v>
      </c>
      <c r="I142">
        <v>1</v>
      </c>
      <c r="J142">
        <v>0.49559082892416223</v>
      </c>
      <c r="K142">
        <v>1.3657708020621298</v>
      </c>
      <c r="L142">
        <v>1</v>
      </c>
      <c r="M142">
        <v>0.83333333333333337</v>
      </c>
      <c r="N142">
        <v>0</v>
      </c>
      <c r="O142">
        <v>0.16666666666666666</v>
      </c>
      <c r="P142">
        <v>26.555951510642895</v>
      </c>
      <c r="Q142">
        <v>0.65243470056318387</v>
      </c>
      <c r="R142">
        <v>0.11388559443337631</v>
      </c>
      <c r="S142">
        <v>-0.31159216568269138</v>
      </c>
      <c r="T142">
        <v>4.0013041905309216E-2</v>
      </c>
      <c r="U142">
        <v>0.390497610345797</v>
      </c>
      <c r="V142">
        <v>25.962176744148696</v>
      </c>
      <c r="W142">
        <v>0.72158448837272404</v>
      </c>
      <c r="X142">
        <v>0.11420302100314508</v>
      </c>
      <c r="Y142">
        <v>0.47439107663844099</v>
      </c>
      <c r="Z142">
        <v>4.1037046764983008E-2</v>
      </c>
      <c r="AA142">
        <v>0.75424924677021332</v>
      </c>
    </row>
    <row r="143" spans="1:27" x14ac:dyDescent="0.2">
      <c r="A143" s="7" t="s">
        <v>2210</v>
      </c>
      <c r="B143" t="s">
        <v>737</v>
      </c>
      <c r="C143">
        <v>2025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-1</v>
      </c>
      <c r="K143">
        <v>-0.5</v>
      </c>
      <c r="L143">
        <v>0</v>
      </c>
      <c r="M143">
        <v>0</v>
      </c>
      <c r="N143">
        <v>1</v>
      </c>
      <c r="O143">
        <v>0.5</v>
      </c>
      <c r="P143">
        <v>27.081764475516895</v>
      </c>
      <c r="Q143">
        <v>0.86576644110575507</v>
      </c>
      <c r="R143">
        <v>0.14446078670951201</v>
      </c>
      <c r="S143">
        <v>0.90540085387478686</v>
      </c>
      <c r="T143">
        <v>7.7528229436738372E-2</v>
      </c>
      <c r="U143">
        <v>1.2427759101428866</v>
      </c>
      <c r="V143">
        <v>26.508226308275848</v>
      </c>
      <c r="W143">
        <v>0.6507158075488757</v>
      </c>
      <c r="X143">
        <v>0.18122129636560605</v>
      </c>
      <c r="Y143">
        <v>0.731271191855421</v>
      </c>
      <c r="Z143">
        <v>0.10670837277477195</v>
      </c>
      <c r="AA143">
        <v>0.83886220464237826</v>
      </c>
    </row>
    <row r="144" spans="1:27" x14ac:dyDescent="0.2">
      <c r="A144" s="7" t="s">
        <v>2210</v>
      </c>
      <c r="B144" t="s">
        <v>741</v>
      </c>
      <c r="C144">
        <v>2024</v>
      </c>
      <c r="D144">
        <v>0.15</v>
      </c>
      <c r="E144">
        <v>2</v>
      </c>
      <c r="F144">
        <v>0.15</v>
      </c>
      <c r="G144">
        <v>5.0899999999999994E-2</v>
      </c>
      <c r="H144">
        <v>1</v>
      </c>
      <c r="I144">
        <v>0.5</v>
      </c>
      <c r="J144">
        <v>7.1428571428571286E-2</v>
      </c>
      <c r="K144">
        <v>8.020827249062322E-2</v>
      </c>
      <c r="L144">
        <v>1</v>
      </c>
      <c r="M144">
        <v>0.5</v>
      </c>
      <c r="N144">
        <v>0</v>
      </c>
      <c r="O144">
        <v>8.3333333333333329E-2</v>
      </c>
      <c r="P144">
        <v>26.938597519518439</v>
      </c>
      <c r="Q144">
        <v>0.84821605620058338</v>
      </c>
      <c r="R144">
        <v>8.5812354464640972E-2</v>
      </c>
      <c r="S144">
        <v>0.89088486741455519</v>
      </c>
      <c r="T144">
        <v>2.9530773694809206E-2</v>
      </c>
      <c r="U144">
        <v>1.2418524829547664</v>
      </c>
      <c r="V144">
        <v>26.485178458895362</v>
      </c>
      <c r="W144">
        <v>0.67128202285013094</v>
      </c>
      <c r="X144">
        <v>0.10083920641466787</v>
      </c>
      <c r="Y144">
        <v>0.52659289041154922</v>
      </c>
      <c r="Z144">
        <v>6.0407037489168806E-2</v>
      </c>
      <c r="AA144">
        <v>0.89757379608766064</v>
      </c>
    </row>
    <row r="145" spans="1:27" x14ac:dyDescent="0.2">
      <c r="A145" s="7" t="s">
        <v>2210</v>
      </c>
      <c r="B145" t="s">
        <v>745</v>
      </c>
      <c r="C145">
        <v>2023</v>
      </c>
      <c r="D145">
        <v>0.14000000000000001</v>
      </c>
      <c r="E145">
        <v>2</v>
      </c>
      <c r="F145">
        <v>0.14000000000000001</v>
      </c>
      <c r="G145">
        <v>5.4633333333333332E-2</v>
      </c>
      <c r="H145">
        <v>1</v>
      </c>
      <c r="I145">
        <v>0.5</v>
      </c>
      <c r="J145">
        <v>0.44329896907216504</v>
      </c>
      <c r="K145">
        <v>8.0091661879640563E-2</v>
      </c>
      <c r="L145">
        <v>1</v>
      </c>
      <c r="M145">
        <v>0.41666666666666669</v>
      </c>
      <c r="N145">
        <v>0</v>
      </c>
      <c r="O145">
        <v>0.25</v>
      </c>
      <c r="P145">
        <v>26.76010442228521</v>
      </c>
      <c r="Q145">
        <v>0.8716278006895779</v>
      </c>
      <c r="R145">
        <v>0.14847187202346435</v>
      </c>
      <c r="S145">
        <v>0.88739420671371727</v>
      </c>
      <c r="T145">
        <v>6.5146180233366602E-2</v>
      </c>
      <c r="U145">
        <v>0.93537093478583977</v>
      </c>
      <c r="V145">
        <v>26.374260350764548</v>
      </c>
      <c r="W145">
        <v>0.69088136331243166</v>
      </c>
      <c r="X145">
        <v>0.13885986088230995</v>
      </c>
      <c r="Y145">
        <v>0.50204814658994068</v>
      </c>
      <c r="Z145">
        <v>7.7013008772251645E-2</v>
      </c>
      <c r="AA145">
        <v>0.81152909730311507</v>
      </c>
    </row>
    <row r="146" spans="1:27" x14ac:dyDescent="0.2">
      <c r="A146" s="7" t="s">
        <v>2210</v>
      </c>
      <c r="B146" t="s">
        <v>749</v>
      </c>
      <c r="C146">
        <v>2022</v>
      </c>
      <c r="D146">
        <v>9.7000000000000003E-2</v>
      </c>
      <c r="E146">
        <v>2</v>
      </c>
      <c r="F146">
        <v>9.7000000000000003E-2</v>
      </c>
      <c r="G146">
        <v>5.6648333333333335E-2</v>
      </c>
      <c r="H146">
        <v>1</v>
      </c>
      <c r="I146">
        <v>0.58333333333333337</v>
      </c>
      <c r="J146">
        <v>2.1052631578947385E-2</v>
      </c>
      <c r="K146">
        <v>-0.16339624755865267</v>
      </c>
      <c r="L146">
        <v>1</v>
      </c>
      <c r="M146">
        <v>0.25</v>
      </c>
      <c r="N146">
        <v>0</v>
      </c>
      <c r="O146">
        <v>0.5</v>
      </c>
      <c r="P146">
        <v>26.685566031182468</v>
      </c>
      <c r="Q146">
        <v>0.84437235188636217</v>
      </c>
      <c r="R146">
        <v>8.0989937159533065E-2</v>
      </c>
      <c r="S146">
        <v>0.87205453585580606</v>
      </c>
      <c r="T146">
        <v>3.4897872798493788E-2</v>
      </c>
      <c r="U146">
        <v>1.0410646557668031</v>
      </c>
      <c r="V146">
        <v>26.269917543767868</v>
      </c>
      <c r="W146">
        <v>0.69298984555927767</v>
      </c>
      <c r="X146">
        <v>7.1792116933729097E-2</v>
      </c>
      <c r="Y146">
        <v>0.47528122617627361</v>
      </c>
      <c r="Z146">
        <v>9.4483990610959839E-3</v>
      </c>
      <c r="AA146">
        <v>0.89458140141442066</v>
      </c>
    </row>
    <row r="147" spans="1:27" x14ac:dyDescent="0.2">
      <c r="A147" s="7" t="s">
        <v>2210</v>
      </c>
      <c r="B147" t="s">
        <v>752</v>
      </c>
      <c r="C147">
        <v>2021</v>
      </c>
      <c r="D147">
        <v>9.5000000000000001E-2</v>
      </c>
      <c r="E147">
        <v>2</v>
      </c>
      <c r="F147">
        <v>9.5000000000000001E-2</v>
      </c>
      <c r="G147">
        <v>7.3868583333333335E-2</v>
      </c>
      <c r="H147">
        <v>1</v>
      </c>
      <c r="I147">
        <v>0.75</v>
      </c>
      <c r="J147">
        <v>0.92697768762677502</v>
      </c>
      <c r="K147">
        <v>8.6628043288491066E-2</v>
      </c>
      <c r="L147">
        <v>1</v>
      </c>
      <c r="M147">
        <v>0.58333333333333337</v>
      </c>
      <c r="N147">
        <v>0</v>
      </c>
      <c r="O147">
        <v>0.25</v>
      </c>
      <c r="P147">
        <v>26.669693498514317</v>
      </c>
      <c r="Q147">
        <v>0.86740642062193629</v>
      </c>
      <c r="R147">
        <v>0.1256320346821338</v>
      </c>
      <c r="S147">
        <v>0.86877779050774162</v>
      </c>
      <c r="T147">
        <v>2.8277405301103134E-2</v>
      </c>
      <c r="U147">
        <v>1.0603730512102738</v>
      </c>
      <c r="V147">
        <v>25.852417929108675</v>
      </c>
      <c r="W147">
        <v>0.76021925674514967</v>
      </c>
      <c r="X147">
        <v>0.12683996702927766</v>
      </c>
      <c r="Y147">
        <v>0.464430016090426</v>
      </c>
      <c r="Z147">
        <v>3.7250394409541324E-2</v>
      </c>
      <c r="AA147">
        <v>0.68025752739981349</v>
      </c>
    </row>
    <row r="148" spans="1:27" x14ac:dyDescent="0.2">
      <c r="A148" s="7" t="s">
        <v>2210</v>
      </c>
      <c r="B148" t="s">
        <v>756</v>
      </c>
      <c r="C148">
        <v>2020</v>
      </c>
      <c r="D148">
        <v>4.9299999999999997E-2</v>
      </c>
      <c r="E148">
        <v>2</v>
      </c>
      <c r="F148">
        <v>4.9299999999999997E-2</v>
      </c>
      <c r="G148">
        <v>6.579758333333334E-2</v>
      </c>
      <c r="H148">
        <v>1</v>
      </c>
      <c r="I148">
        <v>0.75</v>
      </c>
      <c r="J148">
        <v>-0.27393225331369669</v>
      </c>
      <c r="K148">
        <v>-6.2796343926571158E-2</v>
      </c>
      <c r="L148">
        <v>0</v>
      </c>
      <c r="M148">
        <v>0.58333333333333337</v>
      </c>
      <c r="N148">
        <v>1</v>
      </c>
      <c r="O148">
        <v>0.41666666666666669</v>
      </c>
      <c r="P148">
        <v>26.601751592327492</v>
      </c>
      <c r="Q148">
        <v>0.8969074269407864</v>
      </c>
      <c r="R148">
        <v>1.6272985545245255E-2</v>
      </c>
      <c r="S148">
        <v>0.86273226813526604</v>
      </c>
      <c r="T148">
        <v>1.3508436482839035E-2</v>
      </c>
      <c r="U148">
        <v>1.0137250732308312</v>
      </c>
      <c r="V148">
        <v>26.137406145639677</v>
      </c>
      <c r="W148">
        <v>0.73230760335769751</v>
      </c>
      <c r="X148">
        <v>-7.0898028827878087E-2</v>
      </c>
      <c r="Y148">
        <v>0.45294843465939771</v>
      </c>
      <c r="Z148">
        <v>4.5080570647269967E-2</v>
      </c>
      <c r="AA148">
        <v>0.63005343116623591</v>
      </c>
    </row>
    <row r="149" spans="1:27" x14ac:dyDescent="0.2">
      <c r="A149" s="7" t="s">
        <v>2210</v>
      </c>
      <c r="B149" t="s">
        <v>760</v>
      </c>
      <c r="C149">
        <v>2019</v>
      </c>
      <c r="D149">
        <v>6.7900000000000002E-2</v>
      </c>
      <c r="E149">
        <v>2</v>
      </c>
      <c r="F149">
        <v>6.7900000000000002E-2</v>
      </c>
      <c r="G149">
        <v>6.5650333333333324E-2</v>
      </c>
      <c r="H149">
        <v>1</v>
      </c>
      <c r="I149">
        <v>1</v>
      </c>
      <c r="J149">
        <v>0.15084745762711874</v>
      </c>
      <c r="K149">
        <v>0.1595221362009944</v>
      </c>
      <c r="L149">
        <v>1</v>
      </c>
      <c r="M149">
        <v>0.41666666666666669</v>
      </c>
      <c r="N149">
        <v>0</v>
      </c>
      <c r="O149">
        <v>0.5</v>
      </c>
      <c r="P149">
        <v>26.571757105353889</v>
      </c>
      <c r="Q149">
        <v>0.90252989513810833</v>
      </c>
      <c r="R149">
        <v>1.2404559864281461E-2</v>
      </c>
      <c r="S149">
        <v>0.8599849943016441</v>
      </c>
      <c r="T149">
        <v>2.3676097436131555E-2</v>
      </c>
      <c r="U149">
        <v>0.99333302505770871</v>
      </c>
      <c r="V149">
        <v>26.096844879604276</v>
      </c>
      <c r="W149">
        <v>0.72320052134975388</v>
      </c>
      <c r="X149">
        <v>2.7376970723438734E-3</v>
      </c>
      <c r="Y149">
        <v>0.44186113820520562</v>
      </c>
      <c r="Z149">
        <v>5.4323476221448647E-2</v>
      </c>
      <c r="AA149">
        <v>0.63808093135314159</v>
      </c>
    </row>
    <row r="150" spans="1:27" x14ac:dyDescent="0.2">
      <c r="A150" s="7" t="s">
        <v>2210</v>
      </c>
      <c r="B150" t="s">
        <v>764</v>
      </c>
      <c r="C150">
        <v>2018</v>
      </c>
      <c r="D150">
        <v>5.8999999999999997E-2</v>
      </c>
      <c r="E150">
        <v>2</v>
      </c>
      <c r="F150">
        <v>5.8999999999999997E-2</v>
      </c>
      <c r="G150">
        <v>7.5653750000000006E-2</v>
      </c>
      <c r="H150">
        <v>1</v>
      </c>
      <c r="I150">
        <v>1</v>
      </c>
      <c r="J150">
        <v>0.86708860759493644</v>
      </c>
      <c r="K150">
        <v>0.12400097766467411</v>
      </c>
      <c r="L150">
        <v>1</v>
      </c>
      <c r="M150">
        <v>0.58333333333333337</v>
      </c>
      <c r="N150">
        <v>0</v>
      </c>
      <c r="O150">
        <v>0.25</v>
      </c>
      <c r="P150">
        <v>26.546609120157978</v>
      </c>
      <c r="Q150">
        <v>0.90278677822370301</v>
      </c>
      <c r="R150">
        <v>5.9738092597592107E-2</v>
      </c>
      <c r="S150">
        <v>0.85791905538411928</v>
      </c>
      <c r="T150">
        <v>1.9453490970538889E-2</v>
      </c>
      <c r="U150">
        <v>0.97251122944033663</v>
      </c>
      <c r="V150">
        <v>26.041374587842515</v>
      </c>
      <c r="W150">
        <v>0.74071692414968104</v>
      </c>
      <c r="X150">
        <v>4.9404974320310407E-2</v>
      </c>
      <c r="Y150">
        <v>0.4316172977679002</v>
      </c>
      <c r="Z150">
        <v>7.2491303603059873E-2</v>
      </c>
      <c r="AA150">
        <v>0.6035892576665548</v>
      </c>
    </row>
    <row r="151" spans="1:27" x14ac:dyDescent="0.2">
      <c r="A151" s="7" t="s">
        <v>2210</v>
      </c>
      <c r="B151" t="s">
        <v>768</v>
      </c>
      <c r="C151">
        <v>2017</v>
      </c>
      <c r="D151">
        <v>3.1600000000000003E-2</v>
      </c>
      <c r="E151">
        <v>2</v>
      </c>
      <c r="F151">
        <v>3.1600000000000003E-2</v>
      </c>
      <c r="G151">
        <v>6.9475500000000009E-2</v>
      </c>
      <c r="H151">
        <v>1</v>
      </c>
      <c r="I151">
        <v>1</v>
      </c>
      <c r="J151">
        <v>1.2820512820512966E-2</v>
      </c>
      <c r="K151">
        <v>0.64068126153857408</v>
      </c>
      <c r="L151">
        <v>1</v>
      </c>
      <c r="M151">
        <v>0.75</v>
      </c>
      <c r="N151">
        <v>0</v>
      </c>
      <c r="O151">
        <v>0.25</v>
      </c>
      <c r="P151">
        <v>26.549421952805872</v>
      </c>
      <c r="Q151">
        <v>0.90504163847403973</v>
      </c>
      <c r="R151">
        <v>4.9811704568497595E-2</v>
      </c>
      <c r="S151">
        <v>0.85966860752545704</v>
      </c>
      <c r="T151">
        <v>9.0942091394830837E-3</v>
      </c>
      <c r="U151">
        <v>0.95370991627048651</v>
      </c>
      <c r="V151">
        <v>26.008527633772335</v>
      </c>
      <c r="W151">
        <v>0.74803885126044145</v>
      </c>
      <c r="X151">
        <v>4.5559614574870559E-2</v>
      </c>
      <c r="Y151">
        <v>0.38387136933550631</v>
      </c>
      <c r="Z151">
        <v>8.7609672377615466E-2</v>
      </c>
      <c r="AA151">
        <v>0.6044339754826219</v>
      </c>
    </row>
    <row r="152" spans="1:27" x14ac:dyDescent="0.2">
      <c r="A152" s="7" t="s">
        <v>2210</v>
      </c>
      <c r="B152" t="s">
        <v>772</v>
      </c>
      <c r="C152">
        <v>2016</v>
      </c>
      <c r="D152">
        <v>3.1199999999999999E-2</v>
      </c>
      <c r="E152">
        <v>2</v>
      </c>
      <c r="F152">
        <v>3.1199999999999999E-2</v>
      </c>
      <c r="G152">
        <v>5.4795166666666666E-2</v>
      </c>
      <c r="H152">
        <v>1</v>
      </c>
      <c r="I152">
        <v>1</v>
      </c>
      <c r="J152">
        <v>-0.76</v>
      </c>
      <c r="K152">
        <v>1.4704033711391433</v>
      </c>
      <c r="L152">
        <v>0</v>
      </c>
      <c r="M152">
        <v>0.91666666666666663</v>
      </c>
      <c r="N152">
        <v>1</v>
      </c>
      <c r="O152">
        <v>8.3333333333333329E-2</v>
      </c>
      <c r="P152">
        <v>26.547836155704434</v>
      </c>
      <c r="Q152">
        <v>0.89621560714380921</v>
      </c>
      <c r="R152">
        <v>8.3094748266029805E-2</v>
      </c>
      <c r="S152">
        <v>0.75119907862881496</v>
      </c>
      <c r="T152">
        <v>2.8291571564999451E-2</v>
      </c>
      <c r="U152">
        <v>0.96166566725821434</v>
      </c>
      <c r="V152">
        <v>25.962853023726904</v>
      </c>
      <c r="W152">
        <v>0.70126941282433863</v>
      </c>
      <c r="X152">
        <v>0.11728210561987973</v>
      </c>
      <c r="Y152">
        <v>0.3777736907919404</v>
      </c>
      <c r="Z152">
        <v>4.2209193799013986E-2</v>
      </c>
      <c r="AA152">
        <v>0.70665190869417849</v>
      </c>
    </row>
    <row r="153" spans="1:27" x14ac:dyDescent="0.2">
      <c r="A153" s="7" t="s">
        <v>2210</v>
      </c>
      <c r="B153" t="s">
        <v>775</v>
      </c>
      <c r="C153">
        <v>2015</v>
      </c>
      <c r="D153">
        <v>0.13</v>
      </c>
      <c r="E153">
        <v>2</v>
      </c>
      <c r="F153">
        <v>0.13</v>
      </c>
      <c r="G153">
        <v>3.0606750000000002E-2</v>
      </c>
      <c r="H153">
        <v>1</v>
      </c>
      <c r="I153">
        <v>0.91666666666666663</v>
      </c>
      <c r="J153">
        <v>2.080568720379147</v>
      </c>
      <c r="K153">
        <v>3.9715957182940795</v>
      </c>
      <c r="L153">
        <v>1</v>
      </c>
      <c r="M153">
        <v>0.66666666666666663</v>
      </c>
      <c r="N153">
        <v>0</v>
      </c>
      <c r="O153">
        <v>0.33333333333333331</v>
      </c>
      <c r="P153">
        <v>26.508990466491269</v>
      </c>
      <c r="Q153">
        <v>0.89034315302567191</v>
      </c>
      <c r="R153">
        <v>3.3881169551069235E-2</v>
      </c>
      <c r="S153">
        <v>0.74629942835222074</v>
      </c>
      <c r="T153">
        <v>3.9706907606509835E-2</v>
      </c>
      <c r="U153">
        <v>0.92408380519592825</v>
      </c>
      <c r="V153">
        <v>25.871041972055725</v>
      </c>
      <c r="W153">
        <v>0.76828698604696277</v>
      </c>
      <c r="X153">
        <v>3.7374132436671769E-3</v>
      </c>
      <c r="Y153">
        <v>0.4521538314603713</v>
      </c>
      <c r="Z153">
        <v>-1.817603648867332E-2</v>
      </c>
      <c r="AA153">
        <v>0.8894592398133403</v>
      </c>
    </row>
    <row r="154" spans="1:27" x14ac:dyDescent="0.2">
      <c r="A154" s="7" t="s">
        <v>2210</v>
      </c>
      <c r="B154" t="s">
        <v>777</v>
      </c>
      <c r="C154">
        <v>2014</v>
      </c>
      <c r="D154">
        <v>4.2200000000000001E-2</v>
      </c>
      <c r="E154">
        <v>2</v>
      </c>
      <c r="F154">
        <v>4.2200000000000001E-2</v>
      </c>
      <c r="G154">
        <v>3.5451250000000004E-2</v>
      </c>
      <c r="H154">
        <v>1</v>
      </c>
      <c r="I154">
        <v>1</v>
      </c>
      <c r="J154">
        <v>-0.29431438127090298</v>
      </c>
      <c r="K154">
        <v>1.4256296801225472</v>
      </c>
      <c r="L154">
        <v>0</v>
      </c>
      <c r="M154">
        <v>0.66666666666666663</v>
      </c>
      <c r="N154">
        <v>1</v>
      </c>
      <c r="O154">
        <v>0.25</v>
      </c>
      <c r="P154">
        <v>26.461718259430786</v>
      </c>
      <c r="Q154">
        <v>0.88114200068273452</v>
      </c>
      <c r="R154">
        <v>-8.5722269774284321E-3</v>
      </c>
      <c r="S154">
        <v>0.72729925129256967</v>
      </c>
      <c r="T154">
        <v>2.7068398543860242E-2</v>
      </c>
      <c r="U154">
        <v>0.95303933605838187</v>
      </c>
      <c r="V154">
        <v>26.132426470040336</v>
      </c>
      <c r="W154">
        <v>0.76051763423481966</v>
      </c>
      <c r="X154">
        <v>2.6187298051433876E-2</v>
      </c>
      <c r="Y154">
        <v>0.58013257923503025</v>
      </c>
      <c r="Z154">
        <v>1.767721936692945E-2</v>
      </c>
      <c r="AA154">
        <v>0.73385580468801792</v>
      </c>
    </row>
    <row r="155" spans="1:27" x14ac:dyDescent="0.2">
      <c r="A155" s="7" t="s">
        <v>2212</v>
      </c>
      <c r="B155" t="s">
        <v>788</v>
      </c>
      <c r="C155">
        <v>2021</v>
      </c>
      <c r="D155">
        <v>9.6600000000000005E-2</v>
      </c>
      <c r="E155">
        <v>2</v>
      </c>
      <c r="F155">
        <v>9.6600000000000005E-2</v>
      </c>
      <c r="G155">
        <v>7.3735249999999988E-2</v>
      </c>
      <c r="H155">
        <v>1</v>
      </c>
      <c r="I155">
        <v>0.75</v>
      </c>
      <c r="J155">
        <v>0.6100000000000001</v>
      </c>
      <c r="K155">
        <v>0.11304285059072229</v>
      </c>
      <c r="L155">
        <v>1</v>
      </c>
      <c r="M155">
        <v>0.58333333333333337</v>
      </c>
      <c r="N155">
        <v>0</v>
      </c>
      <c r="O155">
        <v>0.25</v>
      </c>
      <c r="P155">
        <v>26.071011259405772</v>
      </c>
      <c r="Q155">
        <v>0.70309897493980034</v>
      </c>
      <c r="R155">
        <v>0.17306752177119322</v>
      </c>
      <c r="S155">
        <v>0.53136642482982721</v>
      </c>
      <c r="T155">
        <v>2.0411215813514665E-2</v>
      </c>
      <c r="U155">
        <v>0.47156783103168154</v>
      </c>
      <c r="V155">
        <v>25.912286153019522</v>
      </c>
      <c r="W155">
        <v>0.77665000131336326</v>
      </c>
      <c r="X155">
        <v>0.12209641832037173</v>
      </c>
      <c r="Y155">
        <v>0.49817115265821743</v>
      </c>
      <c r="Z155">
        <v>3.8037013358300162E-2</v>
      </c>
      <c r="AA155">
        <v>0.7391380494176728</v>
      </c>
    </row>
    <row r="156" spans="1:27" x14ac:dyDescent="0.2">
      <c r="A156" s="7" t="s">
        <v>2212</v>
      </c>
      <c r="B156" t="s">
        <v>792</v>
      </c>
      <c r="C156">
        <v>2020</v>
      </c>
      <c r="D156">
        <v>0.06</v>
      </c>
      <c r="E156">
        <v>2</v>
      </c>
      <c r="F156">
        <v>0.06</v>
      </c>
      <c r="G156">
        <v>6.490591666666666E-2</v>
      </c>
      <c r="H156">
        <v>1</v>
      </c>
      <c r="I156">
        <v>0.75</v>
      </c>
      <c r="J156">
        <v>0.10294117647058826</v>
      </c>
      <c r="K156">
        <v>-9.4202463075261575E-2</v>
      </c>
      <c r="L156">
        <v>1</v>
      </c>
      <c r="M156">
        <v>0.5</v>
      </c>
      <c r="N156">
        <v>0</v>
      </c>
      <c r="O156">
        <v>0.5</v>
      </c>
      <c r="P156">
        <v>26.136834147221208</v>
      </c>
      <c r="Q156">
        <v>0.7167058026743186</v>
      </c>
      <c r="R156">
        <v>-0.10322561469471458</v>
      </c>
      <c r="S156">
        <v>0.53735697742749489</v>
      </c>
      <c r="T156">
        <v>5.8911829886262194E-2</v>
      </c>
      <c r="U156">
        <v>0.55159874174703583</v>
      </c>
      <c r="V156">
        <v>26.176149266065199</v>
      </c>
      <c r="W156">
        <v>0.74732440537990319</v>
      </c>
      <c r="X156">
        <v>-6.0939812141214765E-2</v>
      </c>
      <c r="Y156">
        <v>0.48006304221837864</v>
      </c>
      <c r="Z156">
        <v>4.1296954530318043E-2</v>
      </c>
      <c r="AA156">
        <v>0.6685639587898855</v>
      </c>
    </row>
    <row r="157" spans="1:27" x14ac:dyDescent="0.2">
      <c r="A157" s="7" t="s">
        <v>2212</v>
      </c>
      <c r="B157" t="s">
        <v>796</v>
      </c>
      <c r="C157">
        <v>2019</v>
      </c>
      <c r="D157">
        <v>5.4399999999999997E-2</v>
      </c>
      <c r="E157">
        <v>2</v>
      </c>
      <c r="F157">
        <v>5.4399999999999997E-2</v>
      </c>
      <c r="G157">
        <v>6.6775333333333325E-2</v>
      </c>
      <c r="H157">
        <v>1</v>
      </c>
      <c r="I157">
        <v>1</v>
      </c>
      <c r="J157">
        <v>0.47826086956521735</v>
      </c>
      <c r="K157">
        <v>0.13223768520615284</v>
      </c>
      <c r="L157">
        <v>1</v>
      </c>
      <c r="M157">
        <v>0.41666666666666669</v>
      </c>
      <c r="N157">
        <v>0</v>
      </c>
      <c r="O157">
        <v>0.5</v>
      </c>
      <c r="P157">
        <v>26.14337154054467</v>
      </c>
      <c r="Q157">
        <v>0.71922904963634837</v>
      </c>
      <c r="R157">
        <v>-6.0379690136919906E-2</v>
      </c>
      <c r="S157">
        <v>0.51276020998827732</v>
      </c>
      <c r="T157">
        <v>5.4748128786356681E-2</v>
      </c>
      <c r="U157">
        <v>0.64483293408377684</v>
      </c>
      <c r="V157">
        <v>26.132543676671713</v>
      </c>
      <c r="W157">
        <v>0.73847559180823386</v>
      </c>
      <c r="X157">
        <v>8.8030512391106541E-3</v>
      </c>
      <c r="Y157">
        <v>0.47079653689798623</v>
      </c>
      <c r="Z157">
        <v>5.173414027559655E-2</v>
      </c>
      <c r="AA157">
        <v>0.66712260560096937</v>
      </c>
    </row>
    <row r="158" spans="1:27" x14ac:dyDescent="0.2">
      <c r="A158" s="7" t="s">
        <v>2212</v>
      </c>
      <c r="B158" t="s">
        <v>800</v>
      </c>
      <c r="C158">
        <v>2018</v>
      </c>
      <c r="D158">
        <v>3.6799999999999999E-2</v>
      </c>
      <c r="E158">
        <v>2</v>
      </c>
      <c r="F158">
        <v>3.6799999999999999E-2</v>
      </c>
      <c r="G158">
        <v>7.7503749999999996E-2</v>
      </c>
      <c r="H158">
        <v>1</v>
      </c>
      <c r="I158">
        <v>1</v>
      </c>
      <c r="J158">
        <v>1.2576687116564418</v>
      </c>
      <c r="K158">
        <v>9.1452635659548642E-2</v>
      </c>
      <c r="L158">
        <v>1</v>
      </c>
      <c r="M158">
        <v>0.58333333333333337</v>
      </c>
      <c r="N158">
        <v>0</v>
      </c>
      <c r="O158">
        <v>0.25</v>
      </c>
      <c r="P158">
        <v>26.086347105481845</v>
      </c>
      <c r="Q158">
        <v>0.82713095170141804</v>
      </c>
      <c r="R158">
        <v>1.3583491984915375E-2</v>
      </c>
      <c r="S158">
        <v>0.4915882795546801</v>
      </c>
      <c r="T158">
        <v>3.8677355235805455E-2</v>
      </c>
      <c r="U158">
        <v>0.67600409477011969</v>
      </c>
      <c r="V158">
        <v>26.079729755732199</v>
      </c>
      <c r="W158">
        <v>0.74702157635987143</v>
      </c>
      <c r="X158">
        <v>5.3251191038033469E-2</v>
      </c>
      <c r="Y158">
        <v>0.46214486242035346</v>
      </c>
      <c r="Z158">
        <v>7.0889314914287654E-2</v>
      </c>
      <c r="AA158">
        <v>0.62829818555573957</v>
      </c>
    </row>
    <row r="159" spans="1:27" x14ac:dyDescent="0.2">
      <c r="A159" s="7" t="s">
        <v>2212</v>
      </c>
      <c r="B159" t="s">
        <v>804</v>
      </c>
      <c r="C159">
        <v>2017</v>
      </c>
      <c r="D159">
        <v>1.6299999999999999E-2</v>
      </c>
      <c r="E159">
        <v>2</v>
      </c>
      <c r="F159">
        <v>1.6299999999999999E-2</v>
      </c>
      <c r="G159">
        <v>7.0750499999999994E-2</v>
      </c>
      <c r="H159">
        <v>1</v>
      </c>
      <c r="I159">
        <v>1</v>
      </c>
      <c r="J159">
        <v>0.97503937961953213</v>
      </c>
      <c r="K159">
        <v>0.56049635597198921</v>
      </c>
      <c r="L159">
        <v>1</v>
      </c>
      <c r="M159">
        <v>0.75</v>
      </c>
      <c r="N159">
        <v>0</v>
      </c>
      <c r="O159">
        <v>0.25</v>
      </c>
      <c r="P159">
        <v>26.09882098411245</v>
      </c>
      <c r="Q159">
        <v>0.85285321770015288</v>
      </c>
      <c r="R159">
        <v>5.1412092256577058E-2</v>
      </c>
      <c r="S159">
        <v>0.46605295590794604</v>
      </c>
      <c r="T159">
        <v>3.3301256958263394E-2</v>
      </c>
      <c r="U159">
        <v>0.78543215806341093</v>
      </c>
      <c r="V159">
        <v>26.046077714496789</v>
      </c>
      <c r="W159">
        <v>0.75238788632493214</v>
      </c>
      <c r="X159">
        <v>4.5426248934197271E-2</v>
      </c>
      <c r="Y159">
        <v>0.41667267363696553</v>
      </c>
      <c r="Z159">
        <v>8.5592418392717098E-2</v>
      </c>
      <c r="AA159">
        <v>0.61845712199987812</v>
      </c>
    </row>
    <row r="160" spans="1:27" x14ac:dyDescent="0.2">
      <c r="A160" s="7" t="s">
        <v>2212</v>
      </c>
      <c r="B160" t="s">
        <v>808</v>
      </c>
      <c r="C160">
        <v>2016</v>
      </c>
      <c r="D160">
        <v>8.2529999999999999E-3</v>
      </c>
      <c r="E160">
        <v>2</v>
      </c>
      <c r="F160">
        <v>8.2529999999999999E-3</v>
      </c>
      <c r="G160">
        <v>5.6707416666666656E-2</v>
      </c>
      <c r="H160">
        <v>1</v>
      </c>
      <c r="I160">
        <v>1</v>
      </c>
      <c r="J160">
        <v>0.4545294324991187</v>
      </c>
      <c r="K160">
        <v>1.3691925850975499</v>
      </c>
      <c r="L160">
        <v>1</v>
      </c>
      <c r="M160">
        <v>0.83333333333333337</v>
      </c>
      <c r="N160">
        <v>0</v>
      </c>
      <c r="O160">
        <v>0.16666666666666666</v>
      </c>
      <c r="P160">
        <v>26.100431518164559</v>
      </c>
      <c r="Q160">
        <v>0.85393864948711984</v>
      </c>
      <c r="R160">
        <v>0.19748583874881986</v>
      </c>
      <c r="S160">
        <v>0.43833668870964509</v>
      </c>
      <c r="T160">
        <v>1.4139390795672257E-2</v>
      </c>
      <c r="U160">
        <v>0.88523686111007061</v>
      </c>
      <c r="V160">
        <v>26.000136743521892</v>
      </c>
      <c r="W160">
        <v>0.70479249262906274</v>
      </c>
      <c r="X160">
        <v>0.10584299657160072</v>
      </c>
      <c r="Y160">
        <v>0.40621572623913771</v>
      </c>
      <c r="Z160">
        <v>4.3624411875946699E-2</v>
      </c>
      <c r="AA160">
        <v>0.71302097587319047</v>
      </c>
    </row>
    <row r="161" spans="1:27" x14ac:dyDescent="0.2">
      <c r="A161" s="7" t="s">
        <v>2212</v>
      </c>
      <c r="B161" t="s">
        <v>812</v>
      </c>
      <c r="C161">
        <v>2015</v>
      </c>
      <c r="D161">
        <v>5.6740000000000002E-3</v>
      </c>
      <c r="E161">
        <v>2</v>
      </c>
      <c r="F161">
        <v>5.6740000000000002E-3</v>
      </c>
      <c r="G161">
        <v>4.0967250000000004E-2</v>
      </c>
      <c r="H161">
        <v>1</v>
      </c>
      <c r="I161">
        <v>0.91666666666666663</v>
      </c>
      <c r="J161">
        <v>-0.30311962662736425</v>
      </c>
      <c r="K161">
        <v>4.170236413877956</v>
      </c>
      <c r="L161">
        <v>0</v>
      </c>
      <c r="M161">
        <v>0.75</v>
      </c>
      <c r="N161">
        <v>1</v>
      </c>
      <c r="O161">
        <v>0.25</v>
      </c>
      <c r="P161">
        <v>26.095656026816172</v>
      </c>
      <c r="Q161">
        <v>0.82830476200469738</v>
      </c>
      <c r="R161">
        <v>-3.2790234761890691E-2</v>
      </c>
      <c r="S161">
        <v>0.42388885269130594</v>
      </c>
      <c r="T161">
        <v>1.3089725809901526E-2</v>
      </c>
      <c r="U161">
        <v>0.86957516936779633</v>
      </c>
      <c r="V161">
        <v>25.912375416023234</v>
      </c>
      <c r="W161">
        <v>0.7744908251490602</v>
      </c>
      <c r="X161">
        <v>1.114534705621828E-2</v>
      </c>
      <c r="Y161">
        <v>0.4982124851262163</v>
      </c>
      <c r="Z161">
        <v>-1.5218571844605733E-2</v>
      </c>
      <c r="AA161">
        <v>0.89491010339615362</v>
      </c>
    </row>
    <row r="162" spans="1:27" x14ac:dyDescent="0.2">
      <c r="A162" s="7" t="s">
        <v>2214</v>
      </c>
      <c r="B162" t="s">
        <v>833</v>
      </c>
      <c r="C162">
        <v>2021</v>
      </c>
      <c r="D162">
        <v>0</v>
      </c>
      <c r="E162">
        <v>2</v>
      </c>
      <c r="F162">
        <v>0</v>
      </c>
      <c r="G162">
        <v>8.178524999999999E-2</v>
      </c>
      <c r="H162">
        <v>0</v>
      </c>
      <c r="I162">
        <v>0.83333333333333337</v>
      </c>
      <c r="J162">
        <v>-1</v>
      </c>
      <c r="K162">
        <v>0.24720951725738896</v>
      </c>
      <c r="L162">
        <v>0</v>
      </c>
      <c r="M162">
        <v>0.66666666666666663</v>
      </c>
      <c r="N162">
        <v>1</v>
      </c>
      <c r="O162">
        <v>0.16666666666666666</v>
      </c>
      <c r="P162">
        <v>25.995305961041094</v>
      </c>
      <c r="Q162">
        <v>0.79377146289005351</v>
      </c>
      <c r="R162">
        <v>0.15064856168929786</v>
      </c>
      <c r="S162">
        <v>0.48611752064635666</v>
      </c>
      <c r="T162">
        <v>3.6898340248962658E-2</v>
      </c>
      <c r="U162">
        <v>0.34184443082179045</v>
      </c>
      <c r="V162">
        <v>25.919856682855993</v>
      </c>
      <c r="W162">
        <v>0.76758275251833796</v>
      </c>
      <c r="X162">
        <v>0.12433831432856127</v>
      </c>
      <c r="Y162">
        <v>0.50269604307656457</v>
      </c>
      <c r="Z162">
        <v>3.6388300914755367E-2</v>
      </c>
      <c r="AA162">
        <v>0.75211038943866182</v>
      </c>
    </row>
    <row r="163" spans="1:27" x14ac:dyDescent="0.2">
      <c r="A163" s="7" t="s">
        <v>2214</v>
      </c>
      <c r="B163" t="s">
        <v>837</v>
      </c>
      <c r="C163">
        <v>2020</v>
      </c>
      <c r="D163">
        <v>1.0709999999999999E-3</v>
      </c>
      <c r="E163">
        <v>2</v>
      </c>
      <c r="F163">
        <v>1.0709999999999999E-3</v>
      </c>
      <c r="G163">
        <v>6.9816666666666652E-2</v>
      </c>
      <c r="H163">
        <v>1</v>
      </c>
      <c r="I163">
        <v>0.75</v>
      </c>
      <c r="J163">
        <v>3.2786885245901599E-2</v>
      </c>
      <c r="K163">
        <v>-8.8356272139871017E-2</v>
      </c>
      <c r="L163">
        <v>1</v>
      </c>
      <c r="M163">
        <v>0.5</v>
      </c>
      <c r="N163">
        <v>0</v>
      </c>
      <c r="O163">
        <v>0.5</v>
      </c>
      <c r="P163">
        <v>25.974423459467452</v>
      </c>
      <c r="Q163">
        <v>0.79216613291261984</v>
      </c>
      <c r="R163">
        <v>-8.6027373957757169E-2</v>
      </c>
      <c r="S163">
        <v>0.48074238259042301</v>
      </c>
      <c r="T163">
        <v>4.4217489193537372E-2</v>
      </c>
      <c r="U163">
        <v>0.37298320355790959</v>
      </c>
      <c r="V163">
        <v>26.189683490044683</v>
      </c>
      <c r="W163">
        <v>0.74103604452671146</v>
      </c>
      <c r="X163">
        <v>-6.2372998869294545E-2</v>
      </c>
      <c r="Y163">
        <v>0.48478092512146792</v>
      </c>
      <c r="Z163">
        <v>4.2521482921378445E-2</v>
      </c>
      <c r="AA163">
        <v>0.68344858697231281</v>
      </c>
    </row>
    <row r="164" spans="1:27" x14ac:dyDescent="0.2">
      <c r="A164" s="7" t="s">
        <v>2214</v>
      </c>
      <c r="B164" t="s">
        <v>841</v>
      </c>
      <c r="C164">
        <v>2019</v>
      </c>
      <c r="D164">
        <v>1.0369999999999999E-3</v>
      </c>
      <c r="E164">
        <v>2</v>
      </c>
      <c r="F164">
        <v>1.0369999999999999E-3</v>
      </c>
      <c r="G164">
        <v>7.1222250000000001E-2</v>
      </c>
      <c r="H164">
        <v>1</v>
      </c>
      <c r="I164">
        <v>1</v>
      </c>
      <c r="J164">
        <v>0.60775193798449612</v>
      </c>
      <c r="K164">
        <v>0.12144676283787963</v>
      </c>
      <c r="L164">
        <v>1</v>
      </c>
      <c r="M164">
        <v>0.41666666666666669</v>
      </c>
      <c r="N164">
        <v>0</v>
      </c>
      <c r="O164">
        <v>0.5</v>
      </c>
      <c r="P164">
        <v>25.93003907271671</v>
      </c>
      <c r="Q164">
        <v>0.81426405897301801</v>
      </c>
      <c r="R164">
        <v>5.1922109718460341E-2</v>
      </c>
      <c r="S164">
        <v>0.52135966911614129</v>
      </c>
      <c r="T164">
        <v>4.5604230270295219E-2</v>
      </c>
      <c r="U164">
        <v>0.38603839347167124</v>
      </c>
      <c r="V164">
        <v>26.150321382324041</v>
      </c>
      <c r="W164">
        <v>0.73055600769684481</v>
      </c>
      <c r="X164">
        <v>-5.5543208217103312E-4</v>
      </c>
      <c r="Y164">
        <v>0.47007991530399756</v>
      </c>
      <c r="Z164">
        <v>5.2496131818601667E-2</v>
      </c>
      <c r="AA164">
        <v>0.68868881731864473</v>
      </c>
    </row>
    <row r="165" spans="1:27" x14ac:dyDescent="0.2">
      <c r="A165" s="7" t="s">
        <v>2214</v>
      </c>
      <c r="B165" t="s">
        <v>845</v>
      </c>
      <c r="C165">
        <v>2018</v>
      </c>
      <c r="D165">
        <v>6.4499999999999996E-4</v>
      </c>
      <c r="E165">
        <v>2</v>
      </c>
      <c r="F165">
        <v>6.4499999999999996E-4</v>
      </c>
      <c r="G165">
        <v>8.0516666666666667E-2</v>
      </c>
      <c r="H165">
        <v>1</v>
      </c>
      <c r="I165">
        <v>1</v>
      </c>
      <c r="J165">
        <v>0.31632653061224486</v>
      </c>
      <c r="K165">
        <v>0.16989781741323173</v>
      </c>
      <c r="L165">
        <v>1</v>
      </c>
      <c r="M165">
        <v>0.58333333333333337</v>
      </c>
      <c r="N165">
        <v>0</v>
      </c>
      <c r="O165">
        <v>0.25</v>
      </c>
      <c r="P165">
        <v>25.846704630844854</v>
      </c>
      <c r="Q165">
        <v>0.82390480949664335</v>
      </c>
      <c r="R165">
        <v>5.7903715948364853E-2</v>
      </c>
      <c r="S165">
        <v>0.49372686200408461</v>
      </c>
      <c r="T165">
        <v>6.2836405584518598E-2</v>
      </c>
      <c r="U165">
        <v>0.34498855890815999</v>
      </c>
      <c r="V165">
        <v>26.099699961951945</v>
      </c>
      <c r="W165">
        <v>0.7472904215436027</v>
      </c>
      <c r="X165">
        <v>4.9557839041079348E-2</v>
      </c>
      <c r="Y165">
        <v>0.46196664721623643</v>
      </c>
      <c r="Z165">
        <v>6.887606071856156E-2</v>
      </c>
      <c r="AA165">
        <v>0.65588281354423617</v>
      </c>
    </row>
    <row r="166" spans="1:27" x14ac:dyDescent="0.2">
      <c r="A166" s="7" t="s">
        <v>2214</v>
      </c>
      <c r="B166" t="s">
        <v>849</v>
      </c>
      <c r="C166">
        <v>2017</v>
      </c>
      <c r="D166">
        <v>4.8999999999999998E-4</v>
      </c>
      <c r="E166">
        <v>2</v>
      </c>
      <c r="F166">
        <v>4.8999999999999998E-4</v>
      </c>
      <c r="G166">
        <v>7.2068000000000007E-2</v>
      </c>
      <c r="H166">
        <v>1</v>
      </c>
      <c r="I166">
        <v>1</v>
      </c>
      <c r="J166">
        <v>0.4202898550724638</v>
      </c>
      <c r="K166">
        <v>0.60672548301757823</v>
      </c>
      <c r="L166">
        <v>1</v>
      </c>
      <c r="M166">
        <v>0.75</v>
      </c>
      <c r="N166">
        <v>0</v>
      </c>
      <c r="O166">
        <v>0.25</v>
      </c>
      <c r="P166">
        <v>25.821836932287169</v>
      </c>
      <c r="Q166">
        <v>0.81454104036125352</v>
      </c>
      <c r="R166">
        <v>0.10778908881257609</v>
      </c>
      <c r="S166">
        <v>0.46145425181766814</v>
      </c>
      <c r="T166">
        <v>4.9001927956450878E-2</v>
      </c>
      <c r="U166">
        <v>0.40639509931882689</v>
      </c>
      <c r="V166">
        <v>26.069159718815566</v>
      </c>
      <c r="W166">
        <v>0.75558056776984028</v>
      </c>
      <c r="X166">
        <v>4.0728165887864015E-2</v>
      </c>
      <c r="Y166">
        <v>0.41705589897782208</v>
      </c>
      <c r="Z166">
        <v>8.4284029142868144E-2</v>
      </c>
      <c r="AA166">
        <v>0.65004354356192684</v>
      </c>
    </row>
    <row r="167" spans="1:27" x14ac:dyDescent="0.2">
      <c r="A167" s="7" t="s">
        <v>2216</v>
      </c>
      <c r="B167" t="s">
        <v>872</v>
      </c>
      <c r="C167">
        <v>2024</v>
      </c>
      <c r="D167">
        <v>0</v>
      </c>
      <c r="E167">
        <v>2</v>
      </c>
      <c r="F167">
        <v>0</v>
      </c>
      <c r="G167">
        <v>6.3399999999999998E-2</v>
      </c>
      <c r="H167">
        <v>0</v>
      </c>
      <c r="I167">
        <v>0.58333333333333337</v>
      </c>
      <c r="J167">
        <v>0</v>
      </c>
      <c r="K167">
        <v>8.6160653443004165E-2</v>
      </c>
      <c r="L167">
        <v>0</v>
      </c>
      <c r="M167">
        <v>0.58333333333333337</v>
      </c>
      <c r="N167">
        <v>0</v>
      </c>
      <c r="O167">
        <v>8.3333333333333329E-2</v>
      </c>
      <c r="P167">
        <v>26.007230976245406</v>
      </c>
      <c r="Q167">
        <v>0.44446095132968644</v>
      </c>
      <c r="R167">
        <v>8.108234185081975E-2</v>
      </c>
      <c r="S167">
        <v>0.64282977475961078</v>
      </c>
      <c r="T167">
        <v>0.17571437472630685</v>
      </c>
      <c r="U167">
        <v>7.0742006461012419E-2</v>
      </c>
      <c r="V167">
        <v>26.588663630370142</v>
      </c>
      <c r="W167">
        <v>0.71614370116911952</v>
      </c>
      <c r="X167">
        <v>0.10136476337175912</v>
      </c>
      <c r="Y167">
        <v>0.55415456737320967</v>
      </c>
      <c r="Z167">
        <v>4.4164415152335733E-2</v>
      </c>
      <c r="AA167">
        <v>1.0276971823647445</v>
      </c>
    </row>
    <row r="168" spans="1:27" x14ac:dyDescent="0.2">
      <c r="A168" s="7" t="s">
        <v>2216</v>
      </c>
      <c r="B168" t="s">
        <v>874</v>
      </c>
      <c r="C168">
        <v>2023</v>
      </c>
      <c r="D168">
        <v>0</v>
      </c>
      <c r="E168">
        <v>2</v>
      </c>
      <c r="F168">
        <v>0</v>
      </c>
      <c r="G168">
        <v>6.6299999999999998E-2</v>
      </c>
      <c r="H168">
        <v>0</v>
      </c>
      <c r="I168">
        <v>0.58333333333333337</v>
      </c>
      <c r="J168">
        <v>0</v>
      </c>
      <c r="K168">
        <v>0.11703324263565433</v>
      </c>
      <c r="L168">
        <v>0</v>
      </c>
      <c r="M168">
        <v>0.5</v>
      </c>
      <c r="N168">
        <v>0</v>
      </c>
      <c r="O168">
        <v>0.25</v>
      </c>
      <c r="P168">
        <v>25.836769969048373</v>
      </c>
      <c r="Q168">
        <v>0.57406526303602512</v>
      </c>
      <c r="R168">
        <v>0.12129676150459212</v>
      </c>
      <c r="S168">
        <v>0.56679270422013284</v>
      </c>
      <c r="T168">
        <v>0.14102081098000849</v>
      </c>
      <c r="U168">
        <v>9.0208196560221054E-2</v>
      </c>
      <c r="V168">
        <v>26.476853067790866</v>
      </c>
      <c r="W168">
        <v>0.7239438674961598</v>
      </c>
      <c r="X168">
        <v>0.14187931760662909</v>
      </c>
      <c r="Y168">
        <v>0.53767053575589452</v>
      </c>
      <c r="Z168">
        <v>6.8582494244846984E-2</v>
      </c>
      <c r="AA168">
        <v>0.90543606821707279</v>
      </c>
    </row>
    <row r="169" spans="1:27" x14ac:dyDescent="0.2">
      <c r="A169" s="7" t="s">
        <v>2216</v>
      </c>
      <c r="B169" t="s">
        <v>876</v>
      </c>
      <c r="C169">
        <v>2022</v>
      </c>
      <c r="D169">
        <v>0</v>
      </c>
      <c r="E169">
        <v>2</v>
      </c>
      <c r="F169">
        <v>0</v>
      </c>
      <c r="G169">
        <v>6.4731666666666673E-2</v>
      </c>
      <c r="H169">
        <v>0</v>
      </c>
      <c r="I169">
        <v>0.66666666666666663</v>
      </c>
      <c r="J169">
        <v>-1</v>
      </c>
      <c r="K169">
        <v>-7.8308528260407059E-2</v>
      </c>
      <c r="L169">
        <v>0</v>
      </c>
      <c r="M169">
        <v>0.33333333333333331</v>
      </c>
      <c r="N169">
        <v>1</v>
      </c>
      <c r="O169">
        <v>0.41666666666666669</v>
      </c>
      <c r="P169">
        <v>25.709380126893389</v>
      </c>
      <c r="Q169">
        <v>0.69695042882706171</v>
      </c>
      <c r="R169">
        <v>0.20049594394891135</v>
      </c>
      <c r="S169">
        <v>0.49641855632193027</v>
      </c>
      <c r="T169">
        <v>0.15534382569154809</v>
      </c>
      <c r="U169">
        <v>0.12841292271382704</v>
      </c>
      <c r="V169">
        <v>26.378382644244432</v>
      </c>
      <c r="W169">
        <v>0.70937005923253316</v>
      </c>
      <c r="X169">
        <v>5.4719830249532198E-2</v>
      </c>
      <c r="Y169">
        <v>0.51701855723559309</v>
      </c>
      <c r="Z169">
        <v>-7.7581656379117738E-3</v>
      </c>
      <c r="AA169">
        <v>0.99598714953141809</v>
      </c>
    </row>
    <row r="170" spans="1:27" x14ac:dyDescent="0.2">
      <c r="A170" s="7" t="s">
        <v>2216</v>
      </c>
      <c r="B170" t="s">
        <v>880</v>
      </c>
      <c r="C170">
        <v>2021</v>
      </c>
      <c r="D170">
        <v>0.19</v>
      </c>
      <c r="E170">
        <v>2</v>
      </c>
      <c r="F170">
        <v>0.19</v>
      </c>
      <c r="G170">
        <v>6.5951916666666666E-2</v>
      </c>
      <c r="H170">
        <v>1</v>
      </c>
      <c r="I170">
        <v>0.75</v>
      </c>
      <c r="J170">
        <v>-0.20833333333333329</v>
      </c>
      <c r="K170">
        <v>0.18123729503516675</v>
      </c>
      <c r="L170">
        <v>0</v>
      </c>
      <c r="M170">
        <v>0.66666666666666663</v>
      </c>
      <c r="N170">
        <v>1</v>
      </c>
      <c r="O170">
        <v>0.16666666666666666</v>
      </c>
      <c r="P170">
        <v>25.570976283877343</v>
      </c>
      <c r="Q170">
        <v>0.88103504531282095</v>
      </c>
      <c r="R170">
        <v>0.17011636820190845</v>
      </c>
      <c r="S170">
        <v>0.39688515379165223</v>
      </c>
      <c r="T170">
        <v>6.2674174068225189E-2</v>
      </c>
      <c r="U170">
        <v>0.17298348931128674</v>
      </c>
      <c r="V170">
        <v>25.962289650572369</v>
      </c>
      <c r="W170">
        <v>0.75885639427606122</v>
      </c>
      <c r="X170">
        <v>0.1223915336773002</v>
      </c>
      <c r="Y170">
        <v>0.51161927976203492</v>
      </c>
      <c r="Z170">
        <v>3.3810717532829118E-2</v>
      </c>
      <c r="AA170">
        <v>0.76899648358971218</v>
      </c>
    </row>
    <row r="171" spans="1:27" x14ac:dyDescent="0.2">
      <c r="A171" s="7" t="s">
        <v>2216</v>
      </c>
      <c r="B171" t="s">
        <v>884</v>
      </c>
      <c r="C171">
        <v>2020</v>
      </c>
      <c r="D171">
        <v>0.24</v>
      </c>
      <c r="E171">
        <v>2</v>
      </c>
      <c r="F171">
        <v>0.24</v>
      </c>
      <c r="G171">
        <v>4.9905916666666661E-2</v>
      </c>
      <c r="H171">
        <v>1</v>
      </c>
      <c r="I171">
        <v>0.75</v>
      </c>
      <c r="J171">
        <v>9.090909090909087E-2</v>
      </c>
      <c r="K171">
        <v>-9.3199789278470113E-2</v>
      </c>
      <c r="L171">
        <v>1</v>
      </c>
      <c r="M171">
        <v>0.5</v>
      </c>
      <c r="N171">
        <v>0</v>
      </c>
      <c r="O171">
        <v>0.5</v>
      </c>
      <c r="P171">
        <v>25.630545729724748</v>
      </c>
      <c r="Q171">
        <v>0.90390045426009469</v>
      </c>
      <c r="R171">
        <v>-6.1821361836010613E-2</v>
      </c>
      <c r="S171">
        <v>0.45535019735999271</v>
      </c>
      <c r="T171">
        <v>0.10115311257071639</v>
      </c>
      <c r="U171">
        <v>0.12216673683027822</v>
      </c>
      <c r="V171">
        <v>26.218339967523239</v>
      </c>
      <c r="W171">
        <v>0.73172485108108853</v>
      </c>
      <c r="X171">
        <v>-6.4390166546106756E-2</v>
      </c>
      <c r="Y171">
        <v>0.48689694055733712</v>
      </c>
      <c r="Z171">
        <v>3.7776847639946855E-2</v>
      </c>
      <c r="AA171">
        <v>0.70434995919961541</v>
      </c>
    </row>
    <row r="172" spans="1:27" x14ac:dyDescent="0.2">
      <c r="A172" s="7" t="s">
        <v>2216</v>
      </c>
      <c r="B172" t="s">
        <v>888</v>
      </c>
      <c r="C172">
        <v>2019</v>
      </c>
      <c r="D172">
        <v>0.22</v>
      </c>
      <c r="E172">
        <v>2</v>
      </c>
      <c r="F172">
        <v>0.22</v>
      </c>
      <c r="G172">
        <v>5.2975333333333326E-2</v>
      </c>
      <c r="H172">
        <v>1</v>
      </c>
      <c r="I172">
        <v>1</v>
      </c>
      <c r="J172">
        <v>0</v>
      </c>
      <c r="K172">
        <v>0.17209275766992096</v>
      </c>
      <c r="L172">
        <v>0</v>
      </c>
      <c r="M172">
        <v>0.5</v>
      </c>
      <c r="N172">
        <v>0</v>
      </c>
      <c r="O172">
        <v>0.5</v>
      </c>
      <c r="P172">
        <v>25.640238827410961</v>
      </c>
      <c r="Q172">
        <v>0.88703683410258771</v>
      </c>
      <c r="R172">
        <v>3.217791561228478E-2</v>
      </c>
      <c r="S172">
        <v>0.45704313029508775</v>
      </c>
      <c r="T172">
        <v>0.14092121350692557</v>
      </c>
      <c r="U172">
        <v>0.13214732353235817</v>
      </c>
      <c r="V172">
        <v>26.174471402766187</v>
      </c>
      <c r="W172">
        <v>0.72449160976938065</v>
      </c>
      <c r="X172">
        <v>1.0899174266769303E-3</v>
      </c>
      <c r="Y172">
        <v>0.47543962687241864</v>
      </c>
      <c r="Z172">
        <v>4.4553049882215812E-2</v>
      </c>
      <c r="AA172">
        <v>0.7098464064802541</v>
      </c>
    </row>
    <row r="173" spans="1:27" x14ac:dyDescent="0.2">
      <c r="A173" s="7" t="s">
        <v>2216</v>
      </c>
      <c r="B173" t="s">
        <v>892</v>
      </c>
      <c r="C173">
        <v>2018</v>
      </c>
      <c r="D173">
        <v>0.22</v>
      </c>
      <c r="E173">
        <v>2</v>
      </c>
      <c r="F173">
        <v>0.22</v>
      </c>
      <c r="G173">
        <v>6.2237083333333332E-2</v>
      </c>
      <c r="H173">
        <v>1</v>
      </c>
      <c r="I173">
        <v>1</v>
      </c>
      <c r="J173">
        <v>-7.2903497682258789E-2</v>
      </c>
      <c r="K173">
        <v>0.20233365310444038</v>
      </c>
      <c r="L173">
        <v>0</v>
      </c>
      <c r="M173">
        <v>0.66666666666666663</v>
      </c>
      <c r="N173">
        <v>1</v>
      </c>
      <c r="O173">
        <v>0.16666666666666666</v>
      </c>
      <c r="P173">
        <v>25.598657790060894</v>
      </c>
      <c r="Q173">
        <v>0.86954017248199911</v>
      </c>
      <c r="R173">
        <v>1.6406700220442438E-2</v>
      </c>
      <c r="S173">
        <v>0.43260856473224696</v>
      </c>
      <c r="T173">
        <v>0.1293150891621844</v>
      </c>
      <c r="U173">
        <v>0.12725291854369372</v>
      </c>
      <c r="V173">
        <v>26.120370532017276</v>
      </c>
      <c r="W173">
        <v>0.74348747462815634</v>
      </c>
      <c r="X173">
        <v>5.301592368507288E-2</v>
      </c>
      <c r="Y173">
        <v>0.46705983865555623</v>
      </c>
      <c r="Z173">
        <v>6.3336170420422749E-2</v>
      </c>
      <c r="AA173">
        <v>0.67402745024127508</v>
      </c>
    </row>
    <row r="174" spans="1:27" x14ac:dyDescent="0.2">
      <c r="A174" s="7" t="s">
        <v>2216</v>
      </c>
      <c r="B174" t="s">
        <v>896</v>
      </c>
      <c r="C174">
        <v>2017</v>
      </c>
      <c r="D174">
        <v>0.23730000000000001</v>
      </c>
      <c r="E174">
        <v>2</v>
      </c>
      <c r="F174">
        <v>0.23730000000000001</v>
      </c>
      <c r="G174">
        <v>5.2333833333333329E-2</v>
      </c>
      <c r="H174">
        <v>1</v>
      </c>
      <c r="I174">
        <v>1</v>
      </c>
      <c r="J174">
        <v>0.11043518951801595</v>
      </c>
      <c r="K174">
        <v>0.63254670514711553</v>
      </c>
      <c r="L174">
        <v>1</v>
      </c>
      <c r="M174">
        <v>0.75</v>
      </c>
      <c r="N174">
        <v>0</v>
      </c>
      <c r="O174">
        <v>0.25</v>
      </c>
      <c r="P174">
        <v>25.559704398293615</v>
      </c>
      <c r="Q174">
        <v>0.8428323292842852</v>
      </c>
      <c r="R174">
        <v>-1.935610055862258E-2</v>
      </c>
      <c r="S174">
        <v>0.41989409275723655</v>
      </c>
      <c r="T174">
        <v>0.28581130840784758</v>
      </c>
      <c r="U174">
        <v>0.10984185249385775</v>
      </c>
      <c r="V174">
        <v>26.091004096648362</v>
      </c>
      <c r="W174">
        <v>0.7532229603595878</v>
      </c>
      <c r="X174">
        <v>5.1323598335463905E-2</v>
      </c>
      <c r="Y174">
        <v>0.4205192455661913</v>
      </c>
      <c r="Z174">
        <v>6.4549914105251752E-2</v>
      </c>
      <c r="AA174">
        <v>0.67475631413067427</v>
      </c>
    </row>
    <row r="175" spans="1:27" x14ac:dyDescent="0.2">
      <c r="A175" s="7" t="s">
        <v>2216</v>
      </c>
      <c r="B175" t="s">
        <v>900</v>
      </c>
      <c r="C175">
        <v>2016</v>
      </c>
      <c r="D175">
        <v>0.2137</v>
      </c>
      <c r="E175">
        <v>2</v>
      </c>
      <c r="F175">
        <v>0.2137</v>
      </c>
      <c r="G175">
        <v>3.9586833333333328E-2</v>
      </c>
      <c r="H175">
        <v>1</v>
      </c>
      <c r="I175">
        <v>1</v>
      </c>
      <c r="J175">
        <v>6.849999999999995E-2</v>
      </c>
      <c r="K175">
        <v>1.4013617044724767</v>
      </c>
      <c r="L175">
        <v>1</v>
      </c>
      <c r="M175">
        <v>0.83333333333333337</v>
      </c>
      <c r="N175">
        <v>0</v>
      </c>
      <c r="O175">
        <v>0.16666666666666666</v>
      </c>
      <c r="P175">
        <v>25.415886239453311</v>
      </c>
      <c r="Q175">
        <v>0.88603896324930032</v>
      </c>
      <c r="R175">
        <v>1.7291863898147408E-2</v>
      </c>
      <c r="S175">
        <v>0.29486173689528072</v>
      </c>
      <c r="T175">
        <v>4.3804344946322432E-2</v>
      </c>
      <c r="U175">
        <v>0.1547574751296675</v>
      </c>
      <c r="V175">
        <v>26.057182183414497</v>
      </c>
      <c r="W175">
        <v>0.7021174664822144</v>
      </c>
      <c r="X175">
        <v>0.12386239405666796</v>
      </c>
      <c r="Y175">
        <v>0.41925890367680724</v>
      </c>
      <c r="Z175">
        <v>4.0657916460881689E-2</v>
      </c>
      <c r="AA175">
        <v>0.77389425803822409</v>
      </c>
    </row>
    <row r="176" spans="1:27" x14ac:dyDescent="0.2">
      <c r="A176" s="7" t="s">
        <v>2218</v>
      </c>
      <c r="B176" t="s">
        <v>914</v>
      </c>
      <c r="C176">
        <v>2025</v>
      </c>
      <c r="D176">
        <v>0</v>
      </c>
      <c r="E176">
        <v>3</v>
      </c>
      <c r="F176">
        <v>0</v>
      </c>
      <c r="G176">
        <v>10.684999999999999</v>
      </c>
      <c r="H176">
        <v>0</v>
      </c>
      <c r="I176">
        <v>0.1</v>
      </c>
      <c r="J176">
        <v>-1</v>
      </c>
      <c r="K176">
        <v>-0.34741116251599569</v>
      </c>
      <c r="L176">
        <v>0</v>
      </c>
      <c r="M176">
        <v>0</v>
      </c>
      <c r="N176">
        <v>1</v>
      </c>
      <c r="O176">
        <v>0.4</v>
      </c>
      <c r="P176">
        <v>27.273605898054665</v>
      </c>
      <c r="Q176">
        <v>0.44396138857039924</v>
      </c>
      <c r="R176">
        <v>-1.6639686782366492E-2</v>
      </c>
      <c r="S176">
        <v>0.94364590350959154</v>
      </c>
      <c r="T176">
        <v>5.3362607006096963E-2</v>
      </c>
      <c r="U176">
        <v>0.7198375271075006</v>
      </c>
      <c r="V176">
        <v>27.562075600981228</v>
      </c>
      <c r="W176">
        <v>0.54129852910549947</v>
      </c>
      <c r="X176">
        <v>-0.10470488613308263</v>
      </c>
      <c r="Y176">
        <v>0.99310632915342434</v>
      </c>
      <c r="Z176">
        <v>9.5936121881562732E-3</v>
      </c>
      <c r="AA176">
        <v>3.5393178177131261</v>
      </c>
    </row>
    <row r="177" spans="1:27" x14ac:dyDescent="0.2">
      <c r="A177" s="7" t="s">
        <v>2218</v>
      </c>
      <c r="B177" t="s">
        <v>916</v>
      </c>
      <c r="C177">
        <v>2024</v>
      </c>
      <c r="D177">
        <v>2.4900000000000002</v>
      </c>
      <c r="E177">
        <v>3</v>
      </c>
      <c r="F177">
        <v>2.4900000000000002</v>
      </c>
      <c r="G177">
        <v>32.809000000000005</v>
      </c>
      <c r="H177">
        <v>1</v>
      </c>
      <c r="I177">
        <v>0.4</v>
      </c>
      <c r="J177">
        <v>-0.56994818652849732</v>
      </c>
      <c r="K177">
        <v>-0.14761965432614482</v>
      </c>
      <c r="L177">
        <v>0</v>
      </c>
      <c r="M177">
        <v>0.1</v>
      </c>
      <c r="N177">
        <v>1</v>
      </c>
      <c r="O177">
        <v>0.4</v>
      </c>
      <c r="P177">
        <v>27.213587166144251</v>
      </c>
      <c r="Q177">
        <v>0.45974177780139208</v>
      </c>
      <c r="R177">
        <v>-0.25886094981817731</v>
      </c>
      <c r="S177">
        <v>0.94412296417158825</v>
      </c>
      <c r="T177">
        <v>3.0662316226843147E-2</v>
      </c>
      <c r="U177">
        <v>0.78541711274877835</v>
      </c>
      <c r="V177">
        <v>27.289800368507837</v>
      </c>
      <c r="W177">
        <v>0.48217870338457802</v>
      </c>
      <c r="X177">
        <v>5.3697204823108732E-2</v>
      </c>
      <c r="Y177">
        <v>1.195474461284209</v>
      </c>
      <c r="Z177">
        <v>4.7009519387159672E-2</v>
      </c>
      <c r="AA177">
        <v>2.7426779048023375</v>
      </c>
    </row>
    <row r="178" spans="1:27" x14ac:dyDescent="0.2">
      <c r="A178" s="7" t="s">
        <v>2218</v>
      </c>
      <c r="B178" t="s">
        <v>918</v>
      </c>
      <c r="C178">
        <v>2023</v>
      </c>
      <c r="D178">
        <v>5.79</v>
      </c>
      <c r="E178">
        <v>3</v>
      </c>
      <c r="F178">
        <v>5.79</v>
      </c>
      <c r="G178">
        <v>24.664999999999999</v>
      </c>
      <c r="H178">
        <v>1</v>
      </c>
      <c r="I178">
        <v>0.5</v>
      </c>
      <c r="J178">
        <v>1</v>
      </c>
      <c r="K178">
        <v>0.33287037037037037</v>
      </c>
      <c r="L178">
        <v>1</v>
      </c>
      <c r="M178">
        <v>0.5</v>
      </c>
      <c r="N178">
        <v>0</v>
      </c>
      <c r="O178">
        <v>0.1</v>
      </c>
      <c r="P178">
        <v>27.114541203424977</v>
      </c>
      <c r="Q178">
        <v>0.47415175900116824</v>
      </c>
      <c r="R178">
        <v>9.1822677439336031E-2</v>
      </c>
      <c r="S178">
        <v>0.94068229372621837</v>
      </c>
      <c r="T178">
        <v>0.15248511971358245</v>
      </c>
      <c r="U178">
        <v>0.56240130519380194</v>
      </c>
      <c r="V178">
        <v>27.220481521309704</v>
      </c>
      <c r="W178">
        <v>0.453938942429847</v>
      </c>
      <c r="X178">
        <v>0.13474072629181838</v>
      </c>
      <c r="Y178">
        <v>5.4365464570074393E-2</v>
      </c>
      <c r="Z178">
        <v>0.11498981251535767</v>
      </c>
      <c r="AA178">
        <v>-0.66945015613383352</v>
      </c>
    </row>
    <row r="179" spans="1:27" x14ac:dyDescent="0.2">
      <c r="A179" s="7" t="s">
        <v>2218</v>
      </c>
      <c r="B179" t="s">
        <v>920</v>
      </c>
      <c r="C179">
        <v>2022</v>
      </c>
      <c r="D179">
        <v>0</v>
      </c>
      <c r="E179">
        <v>3</v>
      </c>
      <c r="F179">
        <v>0</v>
      </c>
      <c r="G179">
        <v>1.73</v>
      </c>
      <c r="H179">
        <v>0</v>
      </c>
      <c r="I179">
        <v>0.2</v>
      </c>
      <c r="J179">
        <v>-1</v>
      </c>
      <c r="K179">
        <v>-0.50242800677583288</v>
      </c>
      <c r="L179">
        <v>0</v>
      </c>
      <c r="M179">
        <v>0.1</v>
      </c>
      <c r="N179">
        <v>1</v>
      </c>
      <c r="O179">
        <v>0.7</v>
      </c>
      <c r="P179">
        <v>26.978311215895918</v>
      </c>
      <c r="Q179">
        <v>0.47624910445553775</v>
      </c>
      <c r="R179">
        <v>-0.11013421525041867</v>
      </c>
      <c r="S179">
        <v>0.9293593096964563</v>
      </c>
      <c r="T179">
        <v>0.21281043149355497</v>
      </c>
      <c r="U179">
        <v>0.61540275463630922</v>
      </c>
      <c r="V179">
        <v>27.093285597088141</v>
      </c>
      <c r="W179">
        <v>0.47134005954634067</v>
      </c>
      <c r="X179">
        <v>-1.2847651936121297E-2</v>
      </c>
      <c r="Y179">
        <v>0.84406251266803911</v>
      </c>
      <c r="Z179">
        <v>0.15325564476595246</v>
      </c>
      <c r="AA179">
        <v>1.2071526269304862</v>
      </c>
    </row>
    <row r="180" spans="1:27" x14ac:dyDescent="0.2">
      <c r="A180" s="7" t="s">
        <v>2218</v>
      </c>
      <c r="B180" t="s">
        <v>921</v>
      </c>
      <c r="C180">
        <v>2021</v>
      </c>
      <c r="D180">
        <v>8.7899999999999991</v>
      </c>
      <c r="E180">
        <v>3</v>
      </c>
      <c r="F180">
        <v>8.7899999999999991</v>
      </c>
      <c r="G180">
        <v>35.975999999999999</v>
      </c>
      <c r="H180">
        <v>1</v>
      </c>
      <c r="I180">
        <v>0.7</v>
      </c>
      <c r="J180">
        <v>-7.8616352201257872E-2</v>
      </c>
      <c r="K180">
        <v>0.73855796179092237</v>
      </c>
      <c r="L180">
        <v>0</v>
      </c>
      <c r="M180">
        <v>0.5</v>
      </c>
      <c r="N180">
        <v>1</v>
      </c>
      <c r="O180">
        <v>0.1</v>
      </c>
      <c r="P180">
        <v>26.772381176656022</v>
      </c>
      <c r="Q180">
        <v>0.54255931731400064</v>
      </c>
      <c r="R180">
        <v>0.49899767026060582</v>
      </c>
      <c r="S180">
        <v>0.89892572226273948</v>
      </c>
      <c r="T180">
        <v>0.19375487999456836</v>
      </c>
      <c r="U180">
        <v>0.89592794598633552</v>
      </c>
      <c r="V180">
        <v>27.006058084526369</v>
      </c>
      <c r="W180">
        <v>0.48221540136848839</v>
      </c>
      <c r="X180">
        <v>0.70153155137727841</v>
      </c>
      <c r="Y180">
        <v>1.0490547205199809</v>
      </c>
      <c r="Z180">
        <v>0.29671780330944453</v>
      </c>
      <c r="AA180">
        <v>2.1633834337505071</v>
      </c>
    </row>
    <row r="181" spans="1:27" x14ac:dyDescent="0.2">
      <c r="A181" s="7" t="s">
        <v>2218</v>
      </c>
      <c r="B181" t="s">
        <v>925</v>
      </c>
      <c r="C181">
        <v>2020</v>
      </c>
      <c r="D181">
        <v>9.5399999999999991</v>
      </c>
      <c r="E181">
        <v>3</v>
      </c>
      <c r="F181">
        <v>9.5399999999999991</v>
      </c>
      <c r="G181">
        <v>23.03</v>
      </c>
      <c r="H181">
        <v>1</v>
      </c>
      <c r="I181">
        <v>0.7</v>
      </c>
      <c r="J181">
        <v>0.47449768160741879</v>
      </c>
      <c r="K181">
        <v>0.61192978054924263</v>
      </c>
      <c r="L181">
        <v>1</v>
      </c>
      <c r="M181">
        <v>0.6</v>
      </c>
      <c r="N181">
        <v>0</v>
      </c>
      <c r="O181">
        <v>0.1</v>
      </c>
      <c r="P181">
        <v>26.974950042805816</v>
      </c>
      <c r="Q181">
        <v>0.43487972309910078</v>
      </c>
      <c r="R181">
        <v>-4.8837049506991415E-2</v>
      </c>
      <c r="S181">
        <v>0.91137946384783119</v>
      </c>
      <c r="T181">
        <v>6.7956888630366794E-2</v>
      </c>
      <c r="U181">
        <v>0.95751375087711355</v>
      </c>
      <c r="V181">
        <v>26.803046008142342</v>
      </c>
      <c r="W181">
        <v>0.51323960734305907</v>
      </c>
      <c r="X181">
        <v>3.4835173391033036E-2</v>
      </c>
      <c r="Y181">
        <v>1.0539623331607262</v>
      </c>
      <c r="Z181">
        <v>9.6933002643762881E-2</v>
      </c>
      <c r="AA181">
        <v>1.7290700820034004</v>
      </c>
    </row>
    <row r="182" spans="1:27" x14ac:dyDescent="0.2">
      <c r="A182" s="7" t="s">
        <v>2218</v>
      </c>
      <c r="B182" t="s">
        <v>929</v>
      </c>
      <c r="C182">
        <v>2019</v>
      </c>
      <c r="D182">
        <v>6.47</v>
      </c>
      <c r="E182">
        <v>3</v>
      </c>
      <c r="F182">
        <v>6.47</v>
      </c>
      <c r="G182">
        <v>18.944000000000003</v>
      </c>
      <c r="H182">
        <v>1</v>
      </c>
      <c r="I182">
        <v>0.7</v>
      </c>
      <c r="J182">
        <v>-0.35557768924302785</v>
      </c>
      <c r="K182">
        <v>0.28716436458450395</v>
      </c>
      <c r="L182">
        <v>0</v>
      </c>
      <c r="M182">
        <v>0.4</v>
      </c>
      <c r="N182">
        <v>1</v>
      </c>
      <c r="O182">
        <v>0.3</v>
      </c>
      <c r="P182">
        <v>26.787278926643914</v>
      </c>
      <c r="Q182">
        <v>0.52606847741677476</v>
      </c>
      <c r="R182">
        <v>-0.20762241807602</v>
      </c>
      <c r="S182">
        <v>0.90853500074813165</v>
      </c>
      <c r="T182">
        <v>0.14912812466569197</v>
      </c>
      <c r="U182">
        <v>0.6935259050424073</v>
      </c>
      <c r="V182">
        <v>26.70690121229228</v>
      </c>
      <c r="W182">
        <v>0.49818228945267184</v>
      </c>
      <c r="X182">
        <v>6.3520806074780931E-2</v>
      </c>
      <c r="Y182">
        <v>0.90814531920807673</v>
      </c>
      <c r="Z182">
        <v>0.13688891238785963</v>
      </c>
      <c r="AA182">
        <v>1.645552742507191</v>
      </c>
    </row>
    <row r="183" spans="1:27" x14ac:dyDescent="0.2">
      <c r="A183" s="7" t="s">
        <v>2218</v>
      </c>
      <c r="B183" t="s">
        <v>933</v>
      </c>
      <c r="C183">
        <v>2018</v>
      </c>
      <c r="D183">
        <v>10.039999999999999</v>
      </c>
      <c r="E183">
        <v>3</v>
      </c>
      <c r="F183">
        <v>10.039999999999999</v>
      </c>
      <c r="G183">
        <v>21.690999999999995</v>
      </c>
      <c r="H183">
        <v>1</v>
      </c>
      <c r="I183">
        <v>0.4</v>
      </c>
      <c r="J183">
        <v>0.91603053435114479</v>
      </c>
      <c r="K183">
        <v>2.9253814800940824E-2</v>
      </c>
      <c r="L183">
        <v>1</v>
      </c>
      <c r="M183">
        <v>0.4</v>
      </c>
      <c r="N183">
        <v>0</v>
      </c>
      <c r="O183">
        <v>0.2</v>
      </c>
      <c r="P183">
        <v>26.742326095645193</v>
      </c>
      <c r="Q183">
        <v>0.57120031518122916</v>
      </c>
      <c r="R183">
        <v>8.9593854048482413E-2</v>
      </c>
      <c r="S183">
        <v>0.90871122923373338</v>
      </c>
      <c r="T183">
        <v>0.2155111070320499</v>
      </c>
      <c r="U183">
        <v>0.66086510459372239</v>
      </c>
      <c r="V183">
        <v>26.553366444012891</v>
      </c>
      <c r="W183">
        <v>0.51285129716833455</v>
      </c>
      <c r="X183">
        <v>0.23033658192929612</v>
      </c>
      <c r="Y183">
        <v>0.92493593371088689</v>
      </c>
      <c r="Z183">
        <v>0.14921172899260929</v>
      </c>
      <c r="AA183">
        <v>2.5059889998724847</v>
      </c>
    </row>
    <row r="184" spans="1:27" x14ac:dyDescent="0.2">
      <c r="A184" s="7" t="s">
        <v>2218</v>
      </c>
      <c r="B184" t="s">
        <v>937</v>
      </c>
      <c r="C184">
        <v>2017</v>
      </c>
      <c r="D184">
        <v>5.24</v>
      </c>
      <c r="E184">
        <v>3</v>
      </c>
      <c r="F184">
        <v>5.24</v>
      </c>
      <c r="G184">
        <v>15.431969999999998</v>
      </c>
      <c r="H184">
        <v>1</v>
      </c>
      <c r="I184">
        <v>0.6</v>
      </c>
      <c r="J184">
        <v>-0.41321388577827545</v>
      </c>
      <c r="K184">
        <v>0.17397916535752073</v>
      </c>
      <c r="L184">
        <v>0</v>
      </c>
      <c r="M184">
        <v>0.5</v>
      </c>
      <c r="N184">
        <v>1</v>
      </c>
      <c r="O184">
        <v>0.1</v>
      </c>
      <c r="P184">
        <v>26.781877219331186</v>
      </c>
      <c r="Q184">
        <v>0.55306102889095121</v>
      </c>
      <c r="R184">
        <v>-0.14943391466145262</v>
      </c>
      <c r="S184">
        <v>0.91532044715126815</v>
      </c>
      <c r="T184">
        <v>0.17460618881837212</v>
      </c>
      <c r="U184">
        <v>0.60526029412316551</v>
      </c>
      <c r="V184">
        <v>26.520156630826762</v>
      </c>
      <c r="W184">
        <v>0.53417089090535863</v>
      </c>
      <c r="X184">
        <v>0.12430214703240734</v>
      </c>
      <c r="Y184">
        <v>1.0720925639597483</v>
      </c>
      <c r="Z184">
        <v>0.1152979697583244</v>
      </c>
      <c r="AA184">
        <v>2.1155340537928859</v>
      </c>
    </row>
    <row r="185" spans="1:27" x14ac:dyDescent="0.2">
      <c r="A185" s="7" t="s">
        <v>2218</v>
      </c>
      <c r="B185" t="s">
        <v>941</v>
      </c>
      <c r="C185">
        <v>2016</v>
      </c>
      <c r="D185">
        <v>8.93</v>
      </c>
      <c r="E185">
        <v>3</v>
      </c>
      <c r="F185">
        <v>8.93</v>
      </c>
      <c r="G185">
        <v>11.09365</v>
      </c>
      <c r="H185">
        <v>1</v>
      </c>
      <c r="I185">
        <v>0.6</v>
      </c>
      <c r="J185">
        <v>3.2727272727272729</v>
      </c>
      <c r="K185">
        <v>0.35093220135463088</v>
      </c>
      <c r="L185">
        <v>1</v>
      </c>
      <c r="M185">
        <v>0.5</v>
      </c>
      <c r="N185">
        <v>0</v>
      </c>
      <c r="O185">
        <v>0</v>
      </c>
      <c r="P185">
        <v>26.881756391400319</v>
      </c>
      <c r="Q185">
        <v>0.61109677310170629</v>
      </c>
      <c r="R185">
        <v>0.4122766385776131</v>
      </c>
      <c r="S185">
        <v>0.91177180215589371</v>
      </c>
      <c r="T185">
        <v>0.29406055879239329</v>
      </c>
      <c r="U185">
        <v>0.83956882126318244</v>
      </c>
      <c r="V185">
        <v>26.520886180246983</v>
      </c>
      <c r="W185">
        <v>0.49949002277520005</v>
      </c>
      <c r="X185">
        <v>0.10809568598324444</v>
      </c>
      <c r="Y185">
        <v>1.971255899686437E-2</v>
      </c>
      <c r="Z185">
        <v>0.14756496763837884</v>
      </c>
      <c r="AA185">
        <v>8.7467652832520754E-2</v>
      </c>
    </row>
    <row r="186" spans="1:27" x14ac:dyDescent="0.2">
      <c r="A186" s="7" t="s">
        <v>2218</v>
      </c>
      <c r="B186" t="s">
        <v>945</v>
      </c>
      <c r="C186">
        <v>2015</v>
      </c>
      <c r="D186">
        <v>2.09</v>
      </c>
      <c r="E186">
        <v>3</v>
      </c>
      <c r="F186">
        <v>2.09</v>
      </c>
      <c r="G186">
        <v>6.9156499999999994</v>
      </c>
      <c r="H186">
        <v>1</v>
      </c>
      <c r="I186">
        <v>0.5</v>
      </c>
      <c r="J186">
        <v>0.42176870748299311</v>
      </c>
      <c r="K186">
        <v>0.83871029984225376</v>
      </c>
      <c r="L186">
        <v>1</v>
      </c>
      <c r="M186">
        <v>0.4</v>
      </c>
      <c r="N186">
        <v>0</v>
      </c>
      <c r="O186">
        <v>0.1</v>
      </c>
      <c r="P186">
        <v>26.798761282159607</v>
      </c>
      <c r="Q186">
        <v>0.65269097721030189</v>
      </c>
      <c r="R186">
        <v>8.3824501952606489E-2</v>
      </c>
      <c r="S186">
        <v>0.8505990692147738</v>
      </c>
      <c r="T186">
        <v>7.8201026582810446E-2</v>
      </c>
      <c r="U186">
        <v>1.8720005281050929</v>
      </c>
      <c r="V186">
        <v>26.313886381411699</v>
      </c>
      <c r="W186">
        <v>0.4831987468902198</v>
      </c>
      <c r="X186">
        <v>0.27192260954896202</v>
      </c>
      <c r="Y186">
        <v>0.98019359153171182</v>
      </c>
      <c r="Z186">
        <v>1.7165894388160199E-2</v>
      </c>
      <c r="AA186">
        <v>3.1088588020029024</v>
      </c>
    </row>
    <row r="187" spans="1:27" x14ac:dyDescent="0.2">
      <c r="A187" s="7" t="s">
        <v>2218</v>
      </c>
      <c r="B187" t="s">
        <v>949</v>
      </c>
      <c r="C187">
        <v>2014</v>
      </c>
      <c r="D187">
        <v>1.47</v>
      </c>
      <c r="E187">
        <v>3</v>
      </c>
      <c r="F187">
        <v>1.47</v>
      </c>
      <c r="G187">
        <v>7.7090000000000005</v>
      </c>
      <c r="H187">
        <v>1</v>
      </c>
      <c r="I187">
        <v>0.4</v>
      </c>
      <c r="J187">
        <v>0</v>
      </c>
      <c r="K187">
        <v>1.0733185192796773</v>
      </c>
      <c r="L187">
        <v>0</v>
      </c>
      <c r="M187">
        <v>0.3</v>
      </c>
      <c r="N187">
        <v>0</v>
      </c>
      <c r="O187">
        <v>0.1</v>
      </c>
      <c r="P187">
        <v>26.684912723311879</v>
      </c>
      <c r="Q187">
        <v>0.69959742330308639</v>
      </c>
      <c r="R187">
        <v>0.22939378653452414</v>
      </c>
      <c r="S187">
        <v>0.83213291148468371</v>
      </c>
      <c r="T187">
        <v>-4.5300893529981699E-2</v>
      </c>
      <c r="U187">
        <v>1.8303395687229358</v>
      </c>
      <c r="V187">
        <v>26.255252077105766</v>
      </c>
      <c r="W187">
        <v>0.4955707338618614</v>
      </c>
      <c r="X187">
        <v>5.8506627302245082E-2</v>
      </c>
      <c r="Y187">
        <v>0.79035076835269724</v>
      </c>
      <c r="Z187">
        <v>-8.1571496382753322E-2</v>
      </c>
      <c r="AA187">
        <v>1.6041632684905143</v>
      </c>
    </row>
    <row r="188" spans="1:27" x14ac:dyDescent="0.2">
      <c r="A188" s="7" t="s">
        <v>2221</v>
      </c>
      <c r="B188" t="s">
        <v>969</v>
      </c>
      <c r="C188">
        <v>2025</v>
      </c>
      <c r="D188">
        <v>0</v>
      </c>
      <c r="E188">
        <v>3</v>
      </c>
      <c r="F188">
        <v>0</v>
      </c>
      <c r="G188">
        <v>10.684999999999999</v>
      </c>
      <c r="H188">
        <v>0</v>
      </c>
      <c r="I188">
        <v>0.1</v>
      </c>
      <c r="J188">
        <v>-1</v>
      </c>
      <c r="K188">
        <v>-0.34741116251599569</v>
      </c>
      <c r="L188">
        <v>0</v>
      </c>
      <c r="M188">
        <v>0</v>
      </c>
      <c r="N188">
        <v>1</v>
      </c>
      <c r="O188">
        <v>0.4</v>
      </c>
      <c r="P188">
        <v>27.472290296590785</v>
      </c>
      <c r="Q188">
        <v>0.67476260685914402</v>
      </c>
      <c r="R188">
        <v>-0.14086039776856252</v>
      </c>
      <c r="S188">
        <v>0.83380496567336793</v>
      </c>
      <c r="T188">
        <v>3.7307158109067838E-2</v>
      </c>
      <c r="U188">
        <v>0.61501929749179929</v>
      </c>
      <c r="V188">
        <v>27.533692115476065</v>
      </c>
      <c r="W188">
        <v>0.50832692649282163</v>
      </c>
      <c r="X188">
        <v>-8.6959070277911762E-2</v>
      </c>
      <c r="Y188">
        <v>1.0087978917014562</v>
      </c>
      <c r="Z188">
        <v>1.1887247744874723E-2</v>
      </c>
      <c r="AA188">
        <v>3.5542918505153693</v>
      </c>
    </row>
    <row r="189" spans="1:27" x14ac:dyDescent="0.2">
      <c r="A189" s="7" t="s">
        <v>2221</v>
      </c>
      <c r="B189" t="s">
        <v>973</v>
      </c>
      <c r="C189">
        <v>2024</v>
      </c>
      <c r="D189">
        <v>118.42</v>
      </c>
      <c r="E189">
        <v>3</v>
      </c>
      <c r="F189">
        <v>118.42</v>
      </c>
      <c r="G189">
        <v>21.216000000000001</v>
      </c>
      <c r="H189">
        <v>1</v>
      </c>
      <c r="I189">
        <v>0.4</v>
      </c>
      <c r="J189">
        <v>-0.3816510887159939</v>
      </c>
      <c r="K189">
        <v>-0.16644936410739519</v>
      </c>
      <c r="L189">
        <v>0</v>
      </c>
      <c r="M189">
        <v>0.1</v>
      </c>
      <c r="N189">
        <v>1</v>
      </c>
      <c r="O189">
        <v>0.4</v>
      </c>
      <c r="P189">
        <v>27.482265854618198</v>
      </c>
      <c r="Q189">
        <v>0.54339390563716961</v>
      </c>
      <c r="R189">
        <v>0.13931491087635273</v>
      </c>
      <c r="S189">
        <v>0.82306998251846841</v>
      </c>
      <c r="T189">
        <v>0.16116644529997656</v>
      </c>
      <c r="U189">
        <v>0.7356260724557121</v>
      </c>
      <c r="V189">
        <v>27.262932499660444</v>
      </c>
      <c r="W189">
        <v>0.47381349060100025</v>
      </c>
      <c r="X189">
        <v>1.3879618753655731E-2</v>
      </c>
      <c r="Y189">
        <v>1.2075797594495212</v>
      </c>
      <c r="Z189">
        <v>3.3959106479846325E-2</v>
      </c>
      <c r="AA189">
        <v>2.7476570088316441</v>
      </c>
    </row>
    <row r="190" spans="1:27" x14ac:dyDescent="0.2">
      <c r="A190" s="7" t="s">
        <v>2221</v>
      </c>
      <c r="B190" t="s">
        <v>977</v>
      </c>
      <c r="C190">
        <v>2023</v>
      </c>
      <c r="D190">
        <v>191.51</v>
      </c>
      <c r="E190">
        <v>3</v>
      </c>
      <c r="F190">
        <v>191.51</v>
      </c>
      <c r="G190">
        <v>6.093</v>
      </c>
      <c r="H190">
        <v>1</v>
      </c>
      <c r="I190">
        <v>0.5</v>
      </c>
      <c r="J190">
        <v>1</v>
      </c>
      <c r="K190">
        <v>0.33287037037037037</v>
      </c>
      <c r="L190">
        <v>1</v>
      </c>
      <c r="M190">
        <v>0.5</v>
      </c>
      <c r="N190">
        <v>0</v>
      </c>
      <c r="O190">
        <v>0.1</v>
      </c>
      <c r="P190">
        <v>27.625118731075922</v>
      </c>
      <c r="Q190">
        <v>0.38864819462537031</v>
      </c>
      <c r="R190">
        <v>6.7555326240864355E-2</v>
      </c>
      <c r="S190">
        <v>0.85335468567742101</v>
      </c>
      <c r="T190">
        <v>0.22491951622726877</v>
      </c>
      <c r="U190">
        <v>0.61953348495018146</v>
      </c>
      <c r="V190">
        <v>27.169423768544611</v>
      </c>
      <c r="W190">
        <v>0.46248929886742685</v>
      </c>
      <c r="X190">
        <v>0.13716746141166553</v>
      </c>
      <c r="Y190">
        <v>6.3098225374954117E-2</v>
      </c>
      <c r="Z190">
        <v>0.10774637286398903</v>
      </c>
      <c r="AA190">
        <v>-0.67516337410947147</v>
      </c>
    </row>
    <row r="191" spans="1:27" x14ac:dyDescent="0.2">
      <c r="A191" s="7" t="s">
        <v>2221</v>
      </c>
      <c r="B191" t="s">
        <v>979</v>
      </c>
      <c r="C191">
        <v>2022</v>
      </c>
      <c r="D191">
        <v>0</v>
      </c>
      <c r="E191">
        <v>3</v>
      </c>
      <c r="F191">
        <v>0</v>
      </c>
      <c r="G191">
        <v>1.73</v>
      </c>
      <c r="H191">
        <v>0</v>
      </c>
      <c r="I191">
        <v>0.2</v>
      </c>
      <c r="J191">
        <v>-1</v>
      </c>
      <c r="K191">
        <v>-0.50242800677583288</v>
      </c>
      <c r="L191">
        <v>0</v>
      </c>
      <c r="M191">
        <v>0.1</v>
      </c>
      <c r="N191">
        <v>1</v>
      </c>
      <c r="O191">
        <v>0.7</v>
      </c>
      <c r="P191">
        <v>27.316084318143545</v>
      </c>
      <c r="Q191">
        <v>0.47345769934300219</v>
      </c>
      <c r="R191">
        <v>-0.20542291638670707</v>
      </c>
      <c r="S191">
        <v>0.76341713423788815</v>
      </c>
      <c r="T191">
        <v>0.1582693864543272</v>
      </c>
      <c r="U191">
        <v>0.7041190631297034</v>
      </c>
      <c r="V191">
        <v>27.059508286863384</v>
      </c>
      <c r="W191">
        <v>0.47161920005759422</v>
      </c>
      <c r="X191">
        <v>-3.3187818224924559E-3</v>
      </c>
      <c r="Y191">
        <v>0.86065673021389588</v>
      </c>
      <c r="Z191">
        <v>0.15870974926987524</v>
      </c>
      <c r="AA191">
        <v>1.1982809960811465</v>
      </c>
    </row>
    <row r="192" spans="1:27" x14ac:dyDescent="0.2">
      <c r="A192" s="7" t="s">
        <v>2221</v>
      </c>
      <c r="B192" t="s">
        <v>980</v>
      </c>
      <c r="C192">
        <v>2021</v>
      </c>
      <c r="D192">
        <v>217.15</v>
      </c>
      <c r="E192">
        <v>3</v>
      </c>
      <c r="F192">
        <v>217.15</v>
      </c>
      <c r="G192">
        <v>15.14</v>
      </c>
      <c r="H192">
        <v>1</v>
      </c>
      <c r="I192">
        <v>0.7</v>
      </c>
      <c r="J192">
        <v>0.86554982817869408</v>
      </c>
      <c r="K192">
        <v>0.64414134375292709</v>
      </c>
      <c r="L192">
        <v>1</v>
      </c>
      <c r="M192">
        <v>0.4</v>
      </c>
      <c r="N192">
        <v>0</v>
      </c>
      <c r="O192">
        <v>0.2</v>
      </c>
      <c r="P192">
        <v>27.183934571806915</v>
      </c>
      <c r="Q192">
        <v>0.57175819104753112</v>
      </c>
      <c r="R192">
        <v>0.76097188192210075</v>
      </c>
      <c r="S192">
        <v>0.87265383701591825</v>
      </c>
      <c r="T192">
        <v>0.512070265650172</v>
      </c>
      <c r="U192">
        <v>1.0593965312425755</v>
      </c>
      <c r="V192">
        <v>26.96490274501128</v>
      </c>
      <c r="W192">
        <v>0.47929551399513526</v>
      </c>
      <c r="X192">
        <v>0.67533413021112909</v>
      </c>
      <c r="Y192">
        <v>1.0516819090446632</v>
      </c>
      <c r="Z192">
        <v>0.26488626474388416</v>
      </c>
      <c r="AA192">
        <v>2.1470365752248832</v>
      </c>
    </row>
    <row r="193" spans="1:27" x14ac:dyDescent="0.2">
      <c r="A193" s="7" t="s">
        <v>2221</v>
      </c>
      <c r="B193" t="s">
        <v>984</v>
      </c>
      <c r="C193">
        <v>2020</v>
      </c>
      <c r="D193">
        <v>116.4</v>
      </c>
      <c r="E193">
        <v>3</v>
      </c>
      <c r="F193">
        <v>116.4</v>
      </c>
      <c r="G193">
        <v>12.343999999999999</v>
      </c>
      <c r="H193">
        <v>1</v>
      </c>
      <c r="I193">
        <v>0.7</v>
      </c>
      <c r="J193">
        <v>4.4874007594062479E-3</v>
      </c>
      <c r="K193">
        <v>0.65893080863404396</v>
      </c>
      <c r="L193">
        <v>1</v>
      </c>
      <c r="M193">
        <v>0.6</v>
      </c>
      <c r="N193">
        <v>0</v>
      </c>
      <c r="O193">
        <v>0.1</v>
      </c>
      <c r="P193">
        <v>27.004992324914415</v>
      </c>
      <c r="Q193">
        <v>0.64169821525148729</v>
      </c>
      <c r="R193">
        <v>-7.598657665202968E-2</v>
      </c>
      <c r="S193">
        <v>0.83090379008746362</v>
      </c>
      <c r="T193">
        <v>0.13773698566540099</v>
      </c>
      <c r="U193">
        <v>1.6953352769679297</v>
      </c>
      <c r="V193">
        <v>26.800041779931483</v>
      </c>
      <c r="W193">
        <v>0.49255775812782038</v>
      </c>
      <c r="X193">
        <v>3.755012610553686E-2</v>
      </c>
      <c r="Y193">
        <v>1.0620099005367629</v>
      </c>
      <c r="Z193">
        <v>8.9954992940259437E-2</v>
      </c>
      <c r="AA193">
        <v>1.6552879293943188</v>
      </c>
    </row>
    <row r="194" spans="1:27" x14ac:dyDescent="0.2">
      <c r="A194" s="7" t="s">
        <v>2221</v>
      </c>
      <c r="B194" t="s">
        <v>988</v>
      </c>
      <c r="C194">
        <v>2019</v>
      </c>
      <c r="D194">
        <v>115.88000000000001</v>
      </c>
      <c r="E194">
        <v>3</v>
      </c>
      <c r="F194">
        <v>115.88000000000001</v>
      </c>
      <c r="G194">
        <v>8.0030000000000001</v>
      </c>
      <c r="H194">
        <v>1</v>
      </c>
      <c r="I194">
        <v>0.7</v>
      </c>
      <c r="J194">
        <v>-0.27903938281590224</v>
      </c>
      <c r="K194">
        <v>0.27951053394179137</v>
      </c>
      <c r="L194">
        <v>0</v>
      </c>
      <c r="M194">
        <v>0.4</v>
      </c>
      <c r="N194">
        <v>1</v>
      </c>
      <c r="O194">
        <v>0.3</v>
      </c>
      <c r="P194">
        <v>26.999671946259443</v>
      </c>
      <c r="Q194">
        <v>0.5679883240087571</v>
      </c>
      <c r="R194">
        <v>-2.1779066485926979E-2</v>
      </c>
      <c r="S194">
        <v>0.71391604370327766</v>
      </c>
      <c r="T194">
        <v>0.25368360416329933</v>
      </c>
      <c r="U194">
        <v>1.3640023001725128</v>
      </c>
      <c r="V194">
        <v>26.685661910330726</v>
      </c>
      <c r="W194">
        <v>0.49399030479347361</v>
      </c>
      <c r="X194">
        <v>4.4936470915771631E-2</v>
      </c>
      <c r="Y194">
        <v>0.92760721491256215</v>
      </c>
      <c r="Z194">
        <v>0.12643336443809888</v>
      </c>
      <c r="AA194">
        <v>1.5785051029941806</v>
      </c>
    </row>
    <row r="195" spans="1:27" x14ac:dyDescent="0.2">
      <c r="A195" s="7" t="s">
        <v>2221</v>
      </c>
      <c r="B195" t="s">
        <v>992</v>
      </c>
      <c r="C195">
        <v>2018</v>
      </c>
      <c r="D195">
        <v>160.72999999999996</v>
      </c>
      <c r="E195">
        <v>3</v>
      </c>
      <c r="F195">
        <v>160.72999999999996</v>
      </c>
      <c r="G195">
        <v>6.6219999999999999</v>
      </c>
      <c r="H195">
        <v>1</v>
      </c>
      <c r="I195">
        <v>0.4</v>
      </c>
      <c r="J195">
        <v>0.46051794638800514</v>
      </c>
      <c r="K195">
        <v>7.4805073597254787E-2</v>
      </c>
      <c r="L195">
        <v>1</v>
      </c>
      <c r="M195">
        <v>0.4</v>
      </c>
      <c r="N195">
        <v>0</v>
      </c>
      <c r="O195">
        <v>0.2</v>
      </c>
      <c r="P195">
        <v>26.63485656244978</v>
      </c>
      <c r="Q195">
        <v>0.59056860742254003</v>
      </c>
      <c r="R195">
        <v>0.17869465360613601</v>
      </c>
      <c r="S195">
        <v>0.78985758944077811</v>
      </c>
      <c r="T195">
        <v>0.32657809237108471</v>
      </c>
      <c r="U195">
        <v>1.0402917679749915</v>
      </c>
      <c r="V195">
        <v>26.564113397332431</v>
      </c>
      <c r="W195">
        <v>0.51091446794420337</v>
      </c>
      <c r="X195">
        <v>0.22142650197353078</v>
      </c>
      <c r="Y195">
        <v>0.9368212976901823</v>
      </c>
      <c r="Z195">
        <v>0.13810503045870579</v>
      </c>
      <c r="AA195">
        <v>2.4680463335343581</v>
      </c>
    </row>
    <row r="196" spans="1:27" x14ac:dyDescent="0.2">
      <c r="A196" s="7" t="s">
        <v>2221</v>
      </c>
      <c r="B196" t="s">
        <v>996</v>
      </c>
      <c r="C196">
        <v>2017</v>
      </c>
      <c r="D196">
        <v>110.05</v>
      </c>
      <c r="E196">
        <v>3</v>
      </c>
      <c r="F196">
        <v>110.05</v>
      </c>
      <c r="G196">
        <v>4.9509699999999999</v>
      </c>
      <c r="H196">
        <v>1</v>
      </c>
      <c r="I196">
        <v>0.6</v>
      </c>
      <c r="J196">
        <v>0.3653846153846152</v>
      </c>
      <c r="K196">
        <v>9.6119315241231656E-2</v>
      </c>
      <c r="L196">
        <v>1</v>
      </c>
      <c r="M196">
        <v>0.4</v>
      </c>
      <c r="N196">
        <v>0</v>
      </c>
      <c r="O196">
        <v>0.2</v>
      </c>
      <c r="P196">
        <v>26.764418565931873</v>
      </c>
      <c r="Q196">
        <v>0.5133860452212512</v>
      </c>
      <c r="R196">
        <v>0.15363388351137708</v>
      </c>
      <c r="S196">
        <v>0.64596821659799897</v>
      </c>
      <c r="T196">
        <v>0.18480823226536769</v>
      </c>
      <c r="U196">
        <v>1.1215420835785757</v>
      </c>
      <c r="V196">
        <v>26.521902496166696</v>
      </c>
      <c r="W196">
        <v>0.53813838927232871</v>
      </c>
      <c r="X196">
        <v>9.3995367215124373E-2</v>
      </c>
      <c r="Y196">
        <v>1.0990277870150751</v>
      </c>
      <c r="Z196">
        <v>0.11427776541362485</v>
      </c>
      <c r="AA196">
        <v>2.0639058748473453</v>
      </c>
    </row>
    <row r="197" spans="1:27" x14ac:dyDescent="0.2">
      <c r="A197" s="7" t="s">
        <v>2221</v>
      </c>
      <c r="B197" t="s">
        <v>1000</v>
      </c>
      <c r="C197">
        <v>2016</v>
      </c>
      <c r="D197">
        <v>80.600000000000009</v>
      </c>
      <c r="E197">
        <v>3</v>
      </c>
      <c r="F197">
        <v>80.600000000000009</v>
      </c>
      <c r="G197">
        <v>3.92665</v>
      </c>
      <c r="H197">
        <v>1</v>
      </c>
      <c r="I197">
        <v>0.6</v>
      </c>
      <c r="J197">
        <v>0.36888586956521763</v>
      </c>
      <c r="K197">
        <v>0.64131634167083651</v>
      </c>
      <c r="L197">
        <v>1</v>
      </c>
      <c r="M197">
        <v>0.5</v>
      </c>
      <c r="N197">
        <v>0</v>
      </c>
      <c r="O197">
        <v>0</v>
      </c>
      <c r="P197">
        <v>26.797953005023718</v>
      </c>
      <c r="Q197">
        <v>0.48357242017584445</v>
      </c>
      <c r="R197">
        <v>1.2616261789647476E-2</v>
      </c>
      <c r="S197">
        <v>0.80565603419927645</v>
      </c>
      <c r="T197">
        <v>0.27360340340262868</v>
      </c>
      <c r="U197">
        <v>1.1318645182505753</v>
      </c>
      <c r="V197">
        <v>26.529266518884647</v>
      </c>
      <c r="W197">
        <v>0.51224245806778623</v>
      </c>
      <c r="X197">
        <v>0.14806172366204101</v>
      </c>
      <c r="Y197">
        <v>3.0324135792526019E-2</v>
      </c>
      <c r="Z197">
        <v>0.14961068317735529</v>
      </c>
      <c r="AA197">
        <v>5.8238083133781246E-2</v>
      </c>
    </row>
    <row r="198" spans="1:27" x14ac:dyDescent="0.2">
      <c r="A198" s="7" t="s">
        <v>2221</v>
      </c>
      <c r="B198" t="s">
        <v>1004</v>
      </c>
      <c r="C198">
        <v>2015</v>
      </c>
      <c r="D198">
        <v>58.879999999999995</v>
      </c>
      <c r="E198">
        <v>3</v>
      </c>
      <c r="F198">
        <v>58.879999999999995</v>
      </c>
      <c r="G198">
        <v>1.23665</v>
      </c>
      <c r="H198">
        <v>1</v>
      </c>
      <c r="I198">
        <v>0.5</v>
      </c>
      <c r="J198">
        <v>-0.20086862106406095</v>
      </c>
      <c r="K198">
        <v>0.90097403269695919</v>
      </c>
      <c r="L198">
        <v>0</v>
      </c>
      <c r="M198">
        <v>0.5</v>
      </c>
      <c r="N198">
        <v>1</v>
      </c>
      <c r="O198">
        <v>0</v>
      </c>
      <c r="P198">
        <v>26.607539184015359</v>
      </c>
      <c r="Q198">
        <v>0.44498664941701466</v>
      </c>
      <c r="R198">
        <v>0.21820015695223716</v>
      </c>
      <c r="S198">
        <v>0.77526978068303298</v>
      </c>
      <c r="T198">
        <v>0.10561147045488327</v>
      </c>
      <c r="U198">
        <v>1.5870305075298707</v>
      </c>
      <c r="V198">
        <v>26.333008591226122</v>
      </c>
      <c r="W198">
        <v>0.50396917966954846</v>
      </c>
      <c r="X198">
        <v>0.2569919812156698</v>
      </c>
      <c r="Y198">
        <v>0.98856351247968299</v>
      </c>
      <c r="Z198">
        <v>1.4120289513485436E-2</v>
      </c>
      <c r="AA198">
        <v>3.1373558040604248</v>
      </c>
    </row>
    <row r="199" spans="1:27" x14ac:dyDescent="0.2">
      <c r="A199" s="7" t="s">
        <v>2221</v>
      </c>
      <c r="B199" t="s">
        <v>1008</v>
      </c>
      <c r="C199">
        <v>2014</v>
      </c>
      <c r="D199">
        <v>73.680000000000007</v>
      </c>
      <c r="E199">
        <v>3</v>
      </c>
      <c r="F199">
        <v>73.680000000000007</v>
      </c>
      <c r="G199">
        <v>0.48799999999999999</v>
      </c>
      <c r="H199">
        <v>1</v>
      </c>
      <c r="I199">
        <v>0.4</v>
      </c>
      <c r="J199">
        <v>7.8771084337349402</v>
      </c>
      <c r="K199">
        <v>0.28560767590618336</v>
      </c>
      <c r="L199">
        <v>1</v>
      </c>
      <c r="M199">
        <v>0.2</v>
      </c>
      <c r="N199">
        <v>0</v>
      </c>
      <c r="O199">
        <v>0.1</v>
      </c>
      <c r="P199">
        <v>26.403665635193953</v>
      </c>
      <c r="Q199">
        <v>0.44126478257085727</v>
      </c>
      <c r="R199">
        <v>-0.23343955141019124</v>
      </c>
      <c r="S199">
        <v>0.69219716990540858</v>
      </c>
      <c r="T199">
        <v>-8.3487143747977055E-2</v>
      </c>
      <c r="U199">
        <v>1.6645171771792304</v>
      </c>
      <c r="V199">
        <v>26.286501753563314</v>
      </c>
      <c r="W199">
        <v>0.52427436060988686</v>
      </c>
      <c r="X199">
        <v>0.1163607945453345</v>
      </c>
      <c r="Y199">
        <v>0.8078427360501067</v>
      </c>
      <c r="Z199">
        <v>-7.67982151055039E-2</v>
      </c>
      <c r="AA199">
        <v>1.6225879786620372</v>
      </c>
    </row>
    <row r="200" spans="1:27" x14ac:dyDescent="0.2">
      <c r="A200" s="7" t="s">
        <v>2315</v>
      </c>
      <c r="B200" t="s">
        <v>1049</v>
      </c>
      <c r="C200">
        <v>2025</v>
      </c>
      <c r="D200">
        <v>0</v>
      </c>
      <c r="E200">
        <v>3</v>
      </c>
      <c r="F200">
        <v>0</v>
      </c>
      <c r="G200">
        <v>10.684999999999999</v>
      </c>
      <c r="H200">
        <v>0</v>
      </c>
      <c r="I200">
        <v>0.1</v>
      </c>
      <c r="J200">
        <v>0</v>
      </c>
      <c r="K200">
        <v>-0.44741116251599566</v>
      </c>
      <c r="L200">
        <v>0</v>
      </c>
      <c r="M200">
        <v>0</v>
      </c>
      <c r="N200">
        <v>0</v>
      </c>
      <c r="O200">
        <v>0.5</v>
      </c>
      <c r="P200">
        <v>28.587574214539469</v>
      </c>
      <c r="Q200">
        <v>0.70677629895060146</v>
      </c>
      <c r="R200">
        <v>-1.2650893565631316E-2</v>
      </c>
      <c r="S200">
        <v>1.1137225734473781</v>
      </c>
      <c r="T200">
        <v>8.663349379212576E-2</v>
      </c>
      <c r="U200">
        <v>1.3247303830420227</v>
      </c>
      <c r="V200">
        <v>27.374365841483399</v>
      </c>
      <c r="W200">
        <v>0.50375354190832777</v>
      </c>
      <c r="X200">
        <v>-0.10527471373547337</v>
      </c>
      <c r="Y200">
        <v>0.96880966201945473</v>
      </c>
      <c r="Z200">
        <v>4.8406283615807302E-3</v>
      </c>
      <c r="AA200">
        <v>3.4529045525796227</v>
      </c>
    </row>
    <row r="201" spans="1:27" x14ac:dyDescent="0.2">
      <c r="A201" s="7" t="s">
        <v>2315</v>
      </c>
      <c r="B201" t="s">
        <v>1051</v>
      </c>
      <c r="C201">
        <v>2024</v>
      </c>
      <c r="D201">
        <v>0</v>
      </c>
      <c r="E201">
        <v>3</v>
      </c>
      <c r="F201">
        <v>0</v>
      </c>
      <c r="G201">
        <v>33.058</v>
      </c>
      <c r="H201">
        <v>0</v>
      </c>
      <c r="I201">
        <v>0.5</v>
      </c>
      <c r="J201">
        <v>0</v>
      </c>
      <c r="K201">
        <v>-0.20461447297899457</v>
      </c>
      <c r="L201">
        <v>0</v>
      </c>
      <c r="M201">
        <v>0.1</v>
      </c>
      <c r="N201">
        <v>0</v>
      </c>
      <c r="O201">
        <v>0.5</v>
      </c>
      <c r="P201">
        <v>28.394411893111407</v>
      </c>
      <c r="Q201">
        <v>0.65865343116098407</v>
      </c>
      <c r="R201">
        <v>-5.6942077997401919E-2</v>
      </c>
      <c r="S201">
        <v>1.560824996912437</v>
      </c>
      <c r="T201">
        <v>8.0807025787379264E-2</v>
      </c>
      <c r="U201">
        <v>1.8615536618500679</v>
      </c>
      <c r="V201">
        <v>27.171717895811121</v>
      </c>
      <c r="W201">
        <v>0.46228753804861877</v>
      </c>
      <c r="X201">
        <v>3.3505317641031193E-2</v>
      </c>
      <c r="Y201">
        <v>1.1338042580101244</v>
      </c>
      <c r="Z201">
        <v>4.1995048431106061E-2</v>
      </c>
      <c r="AA201">
        <v>2.635064249892209</v>
      </c>
    </row>
    <row r="202" spans="1:27" x14ac:dyDescent="0.2">
      <c r="A202" s="7" t="s">
        <v>2315</v>
      </c>
      <c r="B202" t="s">
        <v>1053</v>
      </c>
      <c r="C202">
        <v>2023</v>
      </c>
      <c r="D202">
        <v>0</v>
      </c>
      <c r="E202">
        <v>3</v>
      </c>
      <c r="F202">
        <v>0</v>
      </c>
      <c r="G202">
        <v>25.244</v>
      </c>
      <c r="H202">
        <v>0</v>
      </c>
      <c r="I202">
        <v>0.6</v>
      </c>
      <c r="J202">
        <v>0</v>
      </c>
      <c r="K202">
        <v>0.43287037037037035</v>
      </c>
      <c r="L202">
        <v>0</v>
      </c>
      <c r="M202">
        <v>0.6</v>
      </c>
      <c r="N202">
        <v>0</v>
      </c>
      <c r="O202">
        <v>0.1</v>
      </c>
      <c r="P202">
        <v>28.331251745150347</v>
      </c>
      <c r="Q202">
        <v>0.64380831212892276</v>
      </c>
      <c r="R202">
        <v>7.1312308054158446E-2</v>
      </c>
      <c r="S202">
        <v>1.4909809084924293</v>
      </c>
      <c r="T202">
        <v>0.13004626724100526</v>
      </c>
      <c r="U202">
        <v>2.1046741277156022</v>
      </c>
      <c r="V202">
        <v>27.098810467137174</v>
      </c>
      <c r="W202">
        <v>0.43697328711707162</v>
      </c>
      <c r="X202">
        <v>0.13679176323033609</v>
      </c>
      <c r="Y202">
        <v>-6.6439690654670482E-4</v>
      </c>
      <c r="Z202">
        <v>0.11723369776261539</v>
      </c>
      <c r="AA202">
        <v>-0.8236774383860137</v>
      </c>
    </row>
    <row r="203" spans="1:27" x14ac:dyDescent="0.2">
      <c r="A203" s="7" t="s">
        <v>2315</v>
      </c>
      <c r="B203" t="s">
        <v>1055</v>
      </c>
      <c r="C203">
        <v>2022</v>
      </c>
      <c r="D203">
        <v>0</v>
      </c>
      <c r="E203">
        <v>3</v>
      </c>
      <c r="F203">
        <v>0</v>
      </c>
      <c r="G203">
        <v>1.73</v>
      </c>
      <c r="H203">
        <v>0</v>
      </c>
      <c r="I203">
        <v>0.2</v>
      </c>
      <c r="J203">
        <v>0</v>
      </c>
      <c r="K203">
        <v>-0.60242800677583286</v>
      </c>
      <c r="L203">
        <v>0</v>
      </c>
      <c r="M203">
        <v>0.1</v>
      </c>
      <c r="N203">
        <v>0</v>
      </c>
      <c r="O203">
        <v>0.8</v>
      </c>
      <c r="P203">
        <v>28.194109688710178</v>
      </c>
      <c r="Q203">
        <v>0.63050978871874397</v>
      </c>
      <c r="R203">
        <v>-0.1276726521648478</v>
      </c>
      <c r="S203">
        <v>1.219563441111241</v>
      </c>
      <c r="T203">
        <v>0.22871134937663029</v>
      </c>
      <c r="U203">
        <v>2.0109723357067812</v>
      </c>
      <c r="V203">
        <v>26.971705749806716</v>
      </c>
      <c r="W203">
        <v>0.45591399112002007</v>
      </c>
      <c r="X203">
        <v>-1.1093808244678382E-2</v>
      </c>
      <c r="Y203">
        <v>0.8150420995265607</v>
      </c>
      <c r="Z203">
        <v>0.15166555297764495</v>
      </c>
      <c r="AA203">
        <v>1.0675956688234387</v>
      </c>
    </row>
    <row r="204" spans="1:27" x14ac:dyDescent="0.2">
      <c r="A204" s="7" t="s">
        <v>2315</v>
      </c>
      <c r="B204" t="s">
        <v>1057</v>
      </c>
      <c r="C204">
        <v>2021</v>
      </c>
      <c r="D204">
        <v>0</v>
      </c>
      <c r="E204">
        <v>3</v>
      </c>
      <c r="F204">
        <v>0</v>
      </c>
      <c r="G204">
        <v>36.855000000000004</v>
      </c>
      <c r="H204">
        <v>0</v>
      </c>
      <c r="I204">
        <v>0.8</v>
      </c>
      <c r="J204">
        <v>0</v>
      </c>
      <c r="K204">
        <v>0.73069632657079653</v>
      </c>
      <c r="L204">
        <v>0</v>
      </c>
      <c r="M204">
        <v>0.5</v>
      </c>
      <c r="N204">
        <v>0</v>
      </c>
      <c r="O204">
        <v>0.2</v>
      </c>
      <c r="P204">
        <v>28.178527119507471</v>
      </c>
      <c r="Q204">
        <v>0.5418818007254107</v>
      </c>
      <c r="R204">
        <v>0.17189251945470607</v>
      </c>
      <c r="S204">
        <v>1.7092731829573946</v>
      </c>
      <c r="T204">
        <v>0.31898603074425064</v>
      </c>
      <c r="U204">
        <v>3.8945279866332494</v>
      </c>
      <c r="V204">
        <v>26.865443490241223</v>
      </c>
      <c r="W204">
        <v>0.48228315302734731</v>
      </c>
      <c r="X204">
        <v>0.73424206645786849</v>
      </c>
      <c r="Y204">
        <v>0.96801997445051546</v>
      </c>
      <c r="Z204">
        <v>0.2841946882344763</v>
      </c>
      <c r="AA204">
        <v>1.8635234296858154</v>
      </c>
    </row>
    <row r="205" spans="1:27" x14ac:dyDescent="0.2">
      <c r="A205" s="7" t="s">
        <v>2315</v>
      </c>
      <c r="B205" t="s">
        <v>1059</v>
      </c>
      <c r="C205">
        <v>2020</v>
      </c>
      <c r="D205">
        <v>0</v>
      </c>
      <c r="E205">
        <v>3</v>
      </c>
      <c r="F205">
        <v>0</v>
      </c>
      <c r="G205">
        <v>23.983999999999998</v>
      </c>
      <c r="H205">
        <v>0</v>
      </c>
      <c r="I205">
        <v>0.8</v>
      </c>
      <c r="J205">
        <v>0</v>
      </c>
      <c r="K205">
        <v>0.6593795487099845</v>
      </c>
      <c r="L205">
        <v>0</v>
      </c>
      <c r="M205">
        <v>0.7</v>
      </c>
      <c r="N205">
        <v>0</v>
      </c>
      <c r="O205">
        <v>0.1</v>
      </c>
      <c r="P205">
        <v>28.03447652473346</v>
      </c>
      <c r="Q205">
        <v>0.51975272867767797</v>
      </c>
      <c r="R205">
        <v>0.28093220771441052</v>
      </c>
      <c r="S205">
        <v>1.7732620320855614</v>
      </c>
      <c r="T205">
        <v>0.19060783392140637</v>
      </c>
      <c r="U205">
        <v>3.4290909090909087</v>
      </c>
      <c r="V205">
        <v>26.697093359949577</v>
      </c>
      <c r="W205">
        <v>0.50475230678520133</v>
      </c>
      <c r="X205">
        <v>1.858247668892843E-3</v>
      </c>
      <c r="Y205">
        <v>0.96777407633695312</v>
      </c>
      <c r="Z205">
        <v>8.4667908114658921E-2</v>
      </c>
      <c r="AA205">
        <v>1.481912366182021</v>
      </c>
    </row>
    <row r="206" spans="1:27" x14ac:dyDescent="0.2">
      <c r="A206" s="7" t="s">
        <v>2315</v>
      </c>
      <c r="B206" t="s">
        <v>1061</v>
      </c>
      <c r="C206">
        <v>2019</v>
      </c>
      <c r="D206">
        <v>0</v>
      </c>
      <c r="E206">
        <v>3</v>
      </c>
      <c r="F206">
        <v>0</v>
      </c>
      <c r="G206">
        <v>19.591000000000001</v>
      </c>
      <c r="H206">
        <v>0</v>
      </c>
      <c r="I206">
        <v>0.8</v>
      </c>
      <c r="J206">
        <v>0</v>
      </c>
      <c r="K206">
        <v>0.25160659566020116</v>
      </c>
      <c r="L206">
        <v>0</v>
      </c>
      <c r="M206">
        <v>0.4</v>
      </c>
      <c r="N206">
        <v>0</v>
      </c>
      <c r="O206">
        <v>0.4</v>
      </c>
      <c r="P206">
        <v>27.861938700340321</v>
      </c>
      <c r="Q206">
        <v>0.61584677005237765</v>
      </c>
      <c r="R206">
        <v>0.1958554401609709</v>
      </c>
      <c r="S206">
        <v>1.7382785164450669</v>
      </c>
      <c r="T206">
        <v>0.34791307740286848</v>
      </c>
      <c r="U206">
        <v>3.5425705621646837</v>
      </c>
      <c r="V206">
        <v>26.599435234922634</v>
      </c>
      <c r="W206">
        <v>0.48920446018911157</v>
      </c>
      <c r="X206">
        <v>2.3173020251081845E-2</v>
      </c>
      <c r="Y206">
        <v>0.82517096763838327</v>
      </c>
      <c r="Z206">
        <v>0.11701041711414198</v>
      </c>
      <c r="AA206">
        <v>1.3606482767949633</v>
      </c>
    </row>
    <row r="207" spans="1:27" x14ac:dyDescent="0.2">
      <c r="A207" s="7" t="s">
        <v>2315</v>
      </c>
      <c r="B207" t="s">
        <v>1063</v>
      </c>
      <c r="C207">
        <v>2018</v>
      </c>
      <c r="D207">
        <v>0</v>
      </c>
      <c r="E207">
        <v>3</v>
      </c>
      <c r="F207">
        <v>0</v>
      </c>
      <c r="G207">
        <v>22.694999999999997</v>
      </c>
      <c r="H207">
        <v>0</v>
      </c>
      <c r="I207">
        <v>0.5</v>
      </c>
      <c r="J207">
        <v>0</v>
      </c>
      <c r="K207">
        <v>0.12085686823605531</v>
      </c>
      <c r="L207">
        <v>0</v>
      </c>
      <c r="M207">
        <v>0.5</v>
      </c>
      <c r="N207">
        <v>0</v>
      </c>
      <c r="O207">
        <v>0.2</v>
      </c>
      <c r="P207">
        <v>27.588965804347399</v>
      </c>
      <c r="Q207">
        <v>0.65136712346731362</v>
      </c>
      <c r="R207">
        <v>0.37566497201721849</v>
      </c>
      <c r="S207">
        <v>2.1036567808810833</v>
      </c>
      <c r="T207">
        <v>0.19941052619913002</v>
      </c>
      <c r="U207">
        <v>3.3913043478260869</v>
      </c>
      <c r="V207">
        <v>26.468702473142674</v>
      </c>
      <c r="W207">
        <v>0.50483461633972604</v>
      </c>
      <c r="X207">
        <v>0.20172947013242251</v>
      </c>
      <c r="Y207">
        <v>0.80544137854615183</v>
      </c>
      <c r="Z207">
        <v>0.15082178707590127</v>
      </c>
      <c r="AA207">
        <v>2.2329450755492486</v>
      </c>
    </row>
    <row r="208" spans="1:27" x14ac:dyDescent="0.2">
      <c r="A208" s="7" t="s">
        <v>2315</v>
      </c>
      <c r="B208" t="s">
        <v>1065</v>
      </c>
      <c r="C208">
        <v>2017</v>
      </c>
      <c r="D208">
        <v>0</v>
      </c>
      <c r="E208">
        <v>3</v>
      </c>
      <c r="F208">
        <v>0</v>
      </c>
      <c r="G208">
        <v>15.955969999999999</v>
      </c>
      <c r="H208">
        <v>0</v>
      </c>
      <c r="I208">
        <v>0.7</v>
      </c>
      <c r="J208">
        <v>0</v>
      </c>
      <c r="K208">
        <v>0.13265777677969315</v>
      </c>
      <c r="L208">
        <v>0</v>
      </c>
      <c r="M208">
        <v>0.5</v>
      </c>
      <c r="N208">
        <v>0</v>
      </c>
      <c r="O208">
        <v>0.2</v>
      </c>
      <c r="P208">
        <v>27.600597229979872</v>
      </c>
      <c r="Q208">
        <v>0.65885181845506458</v>
      </c>
      <c r="R208">
        <v>-3.6967585577597717E-2</v>
      </c>
      <c r="S208">
        <v>1.6223701159295838</v>
      </c>
      <c r="T208">
        <v>0.11940710114228316</v>
      </c>
      <c r="U208">
        <v>2.5712752254186344</v>
      </c>
      <c r="V208">
        <v>26.438284629761892</v>
      </c>
      <c r="W208">
        <v>0.52359181194894744</v>
      </c>
      <c r="X208">
        <v>0.11305551412402184</v>
      </c>
      <c r="Y208">
        <v>1.0013875970819166</v>
      </c>
      <c r="Z208">
        <v>0.12081787852593329</v>
      </c>
      <c r="AA208">
        <v>1.9189325606633392</v>
      </c>
    </row>
    <row r="209" spans="1:27" x14ac:dyDescent="0.2">
      <c r="A209" s="7" t="s">
        <v>2315</v>
      </c>
      <c r="B209" t="s">
        <v>1067</v>
      </c>
      <c r="C209">
        <v>2016</v>
      </c>
      <c r="D209">
        <v>0</v>
      </c>
      <c r="E209">
        <v>3</v>
      </c>
      <c r="F209">
        <v>0</v>
      </c>
      <c r="G209">
        <v>11.986649999999999</v>
      </c>
      <c r="H209">
        <v>0</v>
      </c>
      <c r="I209">
        <v>0.7</v>
      </c>
      <c r="J209">
        <v>0</v>
      </c>
      <c r="K209">
        <v>0.67820492862735826</v>
      </c>
      <c r="L209">
        <v>0</v>
      </c>
      <c r="M209">
        <v>0.6</v>
      </c>
      <c r="N209">
        <v>0</v>
      </c>
      <c r="O209">
        <v>0</v>
      </c>
      <c r="P209">
        <v>27.729520557444104</v>
      </c>
      <c r="Q209">
        <v>0.5472443337181746</v>
      </c>
      <c r="R209">
        <v>5.8492346288474328E-2</v>
      </c>
      <c r="S209">
        <v>1.8839835728952761</v>
      </c>
      <c r="T209">
        <v>0.17655710543758946</v>
      </c>
      <c r="U209">
        <v>3.2240759753593426</v>
      </c>
      <c r="V209">
        <v>26.436109763642605</v>
      </c>
      <c r="W209">
        <v>0.50587526671355321</v>
      </c>
      <c r="X209">
        <v>0.1434741152121583</v>
      </c>
      <c r="Y209">
        <v>-7.7508618077073946E-2</v>
      </c>
      <c r="Z209">
        <v>0.1593153129738592</v>
      </c>
      <c r="AA209">
        <v>-0.15098306257709532</v>
      </c>
    </row>
    <row r="210" spans="1:27" x14ac:dyDescent="0.2">
      <c r="A210" s="7" t="s">
        <v>2315</v>
      </c>
      <c r="B210" t="s">
        <v>1069</v>
      </c>
      <c r="C210">
        <v>2015</v>
      </c>
      <c r="D210">
        <v>0</v>
      </c>
      <c r="E210">
        <v>3</v>
      </c>
      <c r="F210">
        <v>0</v>
      </c>
      <c r="G210">
        <v>7.1246499999999999</v>
      </c>
      <c r="H210">
        <v>0</v>
      </c>
      <c r="I210">
        <v>0.6</v>
      </c>
      <c r="J210">
        <v>0</v>
      </c>
      <c r="K210">
        <v>0.8808871705905531</v>
      </c>
      <c r="L210">
        <v>0</v>
      </c>
      <c r="M210">
        <v>0.5</v>
      </c>
      <c r="N210">
        <v>0</v>
      </c>
      <c r="O210">
        <v>0.1</v>
      </c>
      <c r="P210">
        <v>27.431320583020767</v>
      </c>
      <c r="Q210">
        <v>0.47804951013387176</v>
      </c>
      <c r="R210">
        <v>0.2387938033550383</v>
      </c>
      <c r="S210">
        <v>2.8850066342326404</v>
      </c>
      <c r="T210">
        <v>0.15821352161869884</v>
      </c>
      <c r="U210">
        <v>4.9137549756744798</v>
      </c>
      <c r="V210">
        <v>26.250630451325584</v>
      </c>
      <c r="W210">
        <v>0.50066289359786276</v>
      </c>
      <c r="X210">
        <v>0.25470379828202522</v>
      </c>
      <c r="Y210">
        <v>0.75414830652972653</v>
      </c>
      <c r="Z210">
        <v>8.275617161950367E-3</v>
      </c>
      <c r="AA210">
        <v>2.8046833572459642</v>
      </c>
    </row>
    <row r="211" spans="1:27" x14ac:dyDescent="0.2">
      <c r="A211" s="7" t="s">
        <v>2315</v>
      </c>
      <c r="B211" t="s">
        <v>1071</v>
      </c>
      <c r="C211">
        <v>2014</v>
      </c>
      <c r="D211">
        <v>0</v>
      </c>
      <c r="E211">
        <v>3</v>
      </c>
      <c r="F211">
        <v>0</v>
      </c>
      <c r="G211">
        <v>7.8559999999999999</v>
      </c>
      <c r="H211">
        <v>0</v>
      </c>
      <c r="I211">
        <v>0.5</v>
      </c>
      <c r="J211">
        <v>0</v>
      </c>
      <c r="K211">
        <v>1.0733185192796773</v>
      </c>
      <c r="L211">
        <v>0</v>
      </c>
      <c r="M211">
        <v>0.3</v>
      </c>
      <c r="N211">
        <v>0</v>
      </c>
      <c r="O211">
        <v>0.1</v>
      </c>
      <c r="P211">
        <v>26.957039366535838</v>
      </c>
      <c r="Q211">
        <v>0.53319644079397677</v>
      </c>
      <c r="R211">
        <v>0.15367980833864148</v>
      </c>
      <c r="S211">
        <v>1.7306488629250991</v>
      </c>
      <c r="T211">
        <v>0.13991900036923396</v>
      </c>
      <c r="U211">
        <v>1.7433757563112873</v>
      </c>
      <c r="V211">
        <v>26.225015783414218</v>
      </c>
      <c r="W211">
        <v>0.51405973191842902</v>
      </c>
      <c r="X211">
        <v>6.7970874576730414E-2</v>
      </c>
      <c r="Y211">
        <v>0.67803627442264525</v>
      </c>
      <c r="Z211">
        <v>-0.10472398312015528</v>
      </c>
      <c r="AA211">
        <v>1.613825914314031</v>
      </c>
    </row>
    <row r="212" spans="1:27" x14ac:dyDescent="0.2">
      <c r="A212" s="7" t="s">
        <v>2224</v>
      </c>
      <c r="B212" t="s">
        <v>1079</v>
      </c>
      <c r="C212">
        <v>2025</v>
      </c>
      <c r="D212">
        <v>0</v>
      </c>
      <c r="E212">
        <v>3</v>
      </c>
      <c r="F212">
        <v>0</v>
      </c>
      <c r="G212">
        <v>10.684999999999999</v>
      </c>
      <c r="H212">
        <v>0</v>
      </c>
      <c r="I212">
        <v>0.1</v>
      </c>
      <c r="J212">
        <v>-1</v>
      </c>
      <c r="K212">
        <v>-0.34741116251599569</v>
      </c>
      <c r="L212">
        <v>0</v>
      </c>
      <c r="M212">
        <v>0</v>
      </c>
      <c r="N212">
        <v>1</v>
      </c>
      <c r="O212">
        <v>0.4</v>
      </c>
      <c r="P212">
        <v>27.500847508200767</v>
      </c>
      <c r="Q212">
        <v>0.6034936208842715</v>
      </c>
      <c r="R212">
        <v>-0.20638648944780902</v>
      </c>
      <c r="S212">
        <v>0.91100449964571495</v>
      </c>
      <c r="T212">
        <v>-1.6587395924000582E-2</v>
      </c>
      <c r="U212">
        <v>0.32077313872478447</v>
      </c>
      <c r="V212">
        <v>27.529612513817501</v>
      </c>
      <c r="W212">
        <v>0.51850821020351767</v>
      </c>
      <c r="X212">
        <v>-7.7598200038019413E-2</v>
      </c>
      <c r="Y212">
        <v>0.99776938684826377</v>
      </c>
      <c r="Z212">
        <v>1.9586469749598785E-2</v>
      </c>
      <c r="AA212">
        <v>3.5963270160535137</v>
      </c>
    </row>
    <row r="213" spans="1:27" x14ac:dyDescent="0.2">
      <c r="A213" s="7" t="s">
        <v>2224</v>
      </c>
      <c r="B213" t="s">
        <v>1083</v>
      </c>
      <c r="C213">
        <v>2024</v>
      </c>
      <c r="D213">
        <v>2.4900000000000002</v>
      </c>
      <c r="E213">
        <v>3</v>
      </c>
      <c r="F213">
        <v>2.4900000000000002</v>
      </c>
      <c r="G213">
        <v>32.809000000000005</v>
      </c>
      <c r="H213">
        <v>1</v>
      </c>
      <c r="I213">
        <v>0.4</v>
      </c>
      <c r="J213">
        <v>-9.4545454545454474E-2</v>
      </c>
      <c r="K213">
        <v>-0.19515992752444913</v>
      </c>
      <c r="L213">
        <v>0</v>
      </c>
      <c r="M213">
        <v>0.1</v>
      </c>
      <c r="N213">
        <v>1</v>
      </c>
      <c r="O213">
        <v>0.4</v>
      </c>
      <c r="P213">
        <v>27.540194470047759</v>
      </c>
      <c r="Q213">
        <v>0.59223194652509481</v>
      </c>
      <c r="R213">
        <v>6.6492880441189062E-3</v>
      </c>
      <c r="S213">
        <v>0.8971995268275994</v>
      </c>
      <c r="T213">
        <v>8.7859152105192989E-2</v>
      </c>
      <c r="U213">
        <v>0.32380416693243957</v>
      </c>
      <c r="V213">
        <v>27.257139638117486</v>
      </c>
      <c r="W213">
        <v>0.46892968651220779</v>
      </c>
      <c r="X213">
        <v>2.7146181036879113E-2</v>
      </c>
      <c r="Y213">
        <v>1.2001668050186081</v>
      </c>
      <c r="Z213">
        <v>4.1289835799324694E-2</v>
      </c>
      <c r="AA213">
        <v>2.7888391993839718</v>
      </c>
    </row>
    <row r="214" spans="1:27" x14ac:dyDescent="0.2">
      <c r="A214" s="7" t="s">
        <v>2224</v>
      </c>
      <c r="B214" t="s">
        <v>1087</v>
      </c>
      <c r="C214">
        <v>2023</v>
      </c>
      <c r="D214">
        <v>2.75</v>
      </c>
      <c r="E214">
        <v>3</v>
      </c>
      <c r="F214">
        <v>2.75</v>
      </c>
      <c r="G214">
        <v>24.969000000000001</v>
      </c>
      <c r="H214">
        <v>1</v>
      </c>
      <c r="I214">
        <v>0.5</v>
      </c>
      <c r="J214">
        <v>1</v>
      </c>
      <c r="K214">
        <v>0.33287037037037037</v>
      </c>
      <c r="L214">
        <v>1</v>
      </c>
      <c r="M214">
        <v>0.5</v>
      </c>
      <c r="N214">
        <v>0</v>
      </c>
      <c r="O214">
        <v>0.1</v>
      </c>
      <c r="P214">
        <v>27.527882574301476</v>
      </c>
      <c r="Q214">
        <v>0.54070168358828474</v>
      </c>
      <c r="R214">
        <v>9.0842320206568239E-2</v>
      </c>
      <c r="S214">
        <v>0.90120592363438456</v>
      </c>
      <c r="T214">
        <v>0.14436021263737303</v>
      </c>
      <c r="U214">
        <v>0.35985189406445561</v>
      </c>
      <c r="V214">
        <v>27.179147384222055</v>
      </c>
      <c r="W214">
        <v>0.44728394997113535</v>
      </c>
      <c r="X214">
        <v>0.13483876201509512</v>
      </c>
      <c r="Y214">
        <v>5.8313101579257717E-2</v>
      </c>
      <c r="Z214">
        <v>0.11580230322297862</v>
      </c>
      <c r="AA214">
        <v>-0.64919521502089883</v>
      </c>
    </row>
    <row r="215" spans="1:27" x14ac:dyDescent="0.2">
      <c r="A215" s="7" t="s">
        <v>2224</v>
      </c>
      <c r="B215" t="s">
        <v>1089</v>
      </c>
      <c r="C215">
        <v>2022</v>
      </c>
      <c r="D215">
        <v>0</v>
      </c>
      <c r="E215">
        <v>3</v>
      </c>
      <c r="F215">
        <v>0</v>
      </c>
      <c r="G215">
        <v>1.73</v>
      </c>
      <c r="H215">
        <v>0</v>
      </c>
      <c r="I215">
        <v>0.2</v>
      </c>
      <c r="J215">
        <v>-1</v>
      </c>
      <c r="K215">
        <v>-0.50242800677583288</v>
      </c>
      <c r="L215">
        <v>0</v>
      </c>
      <c r="M215">
        <v>0.1</v>
      </c>
      <c r="N215">
        <v>1</v>
      </c>
      <c r="O215">
        <v>0.7</v>
      </c>
      <c r="P215">
        <v>27.326918291189383</v>
      </c>
      <c r="Q215">
        <v>0.5547347804577214</v>
      </c>
      <c r="R215">
        <v>-0.20079815090432296</v>
      </c>
      <c r="S215">
        <v>0.89397572810094239</v>
      </c>
      <c r="T215">
        <v>9.6757905083204851E-2</v>
      </c>
      <c r="U215">
        <v>0.37791959419835125</v>
      </c>
      <c r="V215">
        <v>27.058424889558797</v>
      </c>
      <c r="W215">
        <v>0.46349149194612227</v>
      </c>
      <c r="X215">
        <v>-3.7812583707308666E-3</v>
      </c>
      <c r="Y215">
        <v>0.84760087082759061</v>
      </c>
      <c r="Z215">
        <v>0.16486089740698745</v>
      </c>
      <c r="AA215">
        <v>1.2309009429742819</v>
      </c>
    </row>
    <row r="216" spans="1:27" x14ac:dyDescent="0.2">
      <c r="A216" s="7" t="s">
        <v>2224</v>
      </c>
      <c r="B216" t="s">
        <v>1090</v>
      </c>
      <c r="C216">
        <v>2021</v>
      </c>
      <c r="D216">
        <v>7.99</v>
      </c>
      <c r="E216">
        <v>3</v>
      </c>
      <c r="F216">
        <v>7.99</v>
      </c>
      <c r="G216">
        <v>36.055999999999997</v>
      </c>
      <c r="H216">
        <v>1</v>
      </c>
      <c r="I216">
        <v>0.7</v>
      </c>
      <c r="J216">
        <v>1.0227848101265822</v>
      </c>
      <c r="K216">
        <v>0.6284178455581384</v>
      </c>
      <c r="L216">
        <v>1</v>
      </c>
      <c r="M216">
        <v>0.4</v>
      </c>
      <c r="N216">
        <v>0</v>
      </c>
      <c r="O216">
        <v>0.2</v>
      </c>
      <c r="P216">
        <v>27.297967570962207</v>
      </c>
      <c r="Q216">
        <v>0.55151827071538861</v>
      </c>
      <c r="R216">
        <v>0.89393561650178266</v>
      </c>
      <c r="S216">
        <v>1.7821484992101106</v>
      </c>
      <c r="T216">
        <v>0.36595245283395672</v>
      </c>
      <c r="U216">
        <v>0.53475513428120058</v>
      </c>
      <c r="V216">
        <v>26.953499445095748</v>
      </c>
      <c r="W216">
        <v>0.4813195060283495</v>
      </c>
      <c r="X216">
        <v>0.66203775675316079</v>
      </c>
      <c r="Y216">
        <v>0.96073244282524395</v>
      </c>
      <c r="Z216">
        <v>0.27949804602550571</v>
      </c>
      <c r="AA216">
        <v>2.1995007149210202</v>
      </c>
    </row>
    <row r="217" spans="1:27" x14ac:dyDescent="0.2">
      <c r="A217" s="7" t="s">
        <v>2224</v>
      </c>
      <c r="B217" t="s">
        <v>1094</v>
      </c>
      <c r="C217">
        <v>2020</v>
      </c>
      <c r="D217">
        <v>3.95</v>
      </c>
      <c r="E217">
        <v>3</v>
      </c>
      <c r="F217">
        <v>3.95</v>
      </c>
      <c r="G217">
        <v>23.588999999999999</v>
      </c>
      <c r="H217">
        <v>1</v>
      </c>
      <c r="I217">
        <v>0.7</v>
      </c>
      <c r="J217">
        <v>-0.26029962546816476</v>
      </c>
      <c r="K217">
        <v>0.68540951125680105</v>
      </c>
      <c r="L217">
        <v>0</v>
      </c>
      <c r="M217">
        <v>0.7</v>
      </c>
      <c r="N217">
        <v>1</v>
      </c>
      <c r="O217">
        <v>0</v>
      </c>
      <c r="P217">
        <v>27.01788879597138</v>
      </c>
      <c r="Q217">
        <v>0.60611318739989328</v>
      </c>
      <c r="R217">
        <v>-5.5362041482073687E-2</v>
      </c>
      <c r="S217">
        <v>2.0695500978048256</v>
      </c>
      <c r="T217">
        <v>8.1050813710317193E-2</v>
      </c>
      <c r="U217">
        <v>0.62834166485546628</v>
      </c>
      <c r="V217">
        <v>26.798752132825786</v>
      </c>
      <c r="W217">
        <v>0.49611626091297978</v>
      </c>
      <c r="X217">
        <v>3.5487672588541262E-2</v>
      </c>
      <c r="Y217">
        <v>0.93814526976502677</v>
      </c>
      <c r="Z217">
        <v>9.5623610135767839E-2</v>
      </c>
      <c r="AA217">
        <v>1.7619872906055651</v>
      </c>
    </row>
    <row r="218" spans="1:27" x14ac:dyDescent="0.2">
      <c r="A218" s="7" t="s">
        <v>2224</v>
      </c>
      <c r="B218" t="s">
        <v>1098</v>
      </c>
      <c r="C218">
        <v>2019</v>
      </c>
      <c r="D218">
        <v>5.34</v>
      </c>
      <c r="E218">
        <v>3</v>
      </c>
      <c r="F218">
        <v>5.34</v>
      </c>
      <c r="G218">
        <v>19.057000000000002</v>
      </c>
      <c r="H218">
        <v>1</v>
      </c>
      <c r="I218">
        <v>0.7</v>
      </c>
      <c r="J218">
        <v>-9.4915254237288207E-2</v>
      </c>
      <c r="K218">
        <v>0.26109812108392993</v>
      </c>
      <c r="L218">
        <v>0</v>
      </c>
      <c r="M218">
        <v>0.4</v>
      </c>
      <c r="N218">
        <v>1</v>
      </c>
      <c r="O218">
        <v>0.3</v>
      </c>
      <c r="P218">
        <v>27.007184401317094</v>
      </c>
      <c r="Q218">
        <v>0.62530178657653301</v>
      </c>
      <c r="R218">
        <v>-5.222463467422167E-2</v>
      </c>
      <c r="S218">
        <v>1.7394455517303857</v>
      </c>
      <c r="T218">
        <v>0.11199576835220526</v>
      </c>
      <c r="U218">
        <v>0.50099655734734549</v>
      </c>
      <c r="V218">
        <v>26.684910664824958</v>
      </c>
      <c r="W218">
        <v>0.48825895853669604</v>
      </c>
      <c r="X218">
        <v>4.7981027734601098E-2</v>
      </c>
      <c r="Y218">
        <v>0.82505426410985139</v>
      </c>
      <c r="Z218">
        <v>0.14060214801920828</v>
      </c>
      <c r="AA218">
        <v>1.6648056772766975</v>
      </c>
    </row>
    <row r="219" spans="1:27" x14ac:dyDescent="0.2">
      <c r="A219" s="7" t="s">
        <v>2224</v>
      </c>
      <c r="B219" t="s">
        <v>1102</v>
      </c>
      <c r="C219">
        <v>2018</v>
      </c>
      <c r="D219">
        <v>5.9</v>
      </c>
      <c r="E219">
        <v>3</v>
      </c>
      <c r="F219">
        <v>5.9</v>
      </c>
      <c r="G219">
        <v>22.104999999999997</v>
      </c>
      <c r="H219">
        <v>1</v>
      </c>
      <c r="I219">
        <v>0.4</v>
      </c>
      <c r="J219">
        <v>1.1146953405017923</v>
      </c>
      <c r="K219">
        <v>9.3873341858760721E-3</v>
      </c>
      <c r="L219">
        <v>1</v>
      </c>
      <c r="M219">
        <v>0.4</v>
      </c>
      <c r="N219">
        <v>0</v>
      </c>
      <c r="O219">
        <v>0.2</v>
      </c>
      <c r="P219">
        <v>26.83909595912484</v>
      </c>
      <c r="Q219">
        <v>0.60652324774462174</v>
      </c>
      <c r="R219">
        <v>0.17357518485362577</v>
      </c>
      <c r="S219">
        <v>1.9289279297264923</v>
      </c>
      <c r="T219">
        <v>0.18097208339630941</v>
      </c>
      <c r="U219">
        <v>0.43841086045118793</v>
      </c>
      <c r="V219">
        <v>26.543689457664925</v>
      </c>
      <c r="W219">
        <v>0.50931900391199525</v>
      </c>
      <c r="X219">
        <v>0.22193844884878181</v>
      </c>
      <c r="Y219">
        <v>0.82291426366161091</v>
      </c>
      <c r="Z219">
        <v>0.15266563135618333</v>
      </c>
      <c r="AA219">
        <v>2.5282344242867385</v>
      </c>
    </row>
    <row r="220" spans="1:27" x14ac:dyDescent="0.2">
      <c r="A220" s="7" t="s">
        <v>2224</v>
      </c>
      <c r="B220" t="s">
        <v>1106</v>
      </c>
      <c r="C220">
        <v>2017</v>
      </c>
      <c r="D220">
        <v>2.79</v>
      </c>
      <c r="E220">
        <v>3</v>
      </c>
      <c r="F220">
        <v>2.79</v>
      </c>
      <c r="G220">
        <v>15.676969999999997</v>
      </c>
      <c r="H220">
        <v>1</v>
      </c>
      <c r="I220">
        <v>0.6</v>
      </c>
      <c r="J220">
        <v>0.42346938775510207</v>
      </c>
      <c r="K220">
        <v>9.0310838004182964E-2</v>
      </c>
      <c r="L220">
        <v>1</v>
      </c>
      <c r="M220">
        <v>0.4</v>
      </c>
      <c r="N220">
        <v>0</v>
      </c>
      <c r="O220">
        <v>0.2</v>
      </c>
      <c r="P220">
        <v>26.858984449345737</v>
      </c>
      <c r="Q220">
        <v>0.61509338717819273</v>
      </c>
      <c r="R220">
        <v>0.16558937580284394</v>
      </c>
      <c r="S220">
        <v>1.6843732945242857</v>
      </c>
      <c r="T220">
        <v>0.15442012409871816</v>
      </c>
      <c r="U220">
        <v>0.44151355284700744</v>
      </c>
      <c r="V220">
        <v>26.512445907825303</v>
      </c>
      <c r="W220">
        <v>0.52796765507663457</v>
      </c>
      <c r="X220">
        <v>9.2799817985977681E-2</v>
      </c>
      <c r="Y220">
        <v>0.99518727922244632</v>
      </c>
      <c r="Z220">
        <v>0.11731657623028979</v>
      </c>
      <c r="AA220">
        <v>2.1319087279205018</v>
      </c>
    </row>
    <row r="221" spans="1:27" x14ac:dyDescent="0.2">
      <c r="A221" s="7" t="s">
        <v>2224</v>
      </c>
      <c r="B221" t="s">
        <v>1110</v>
      </c>
      <c r="C221">
        <v>2016</v>
      </c>
      <c r="D221">
        <v>1.96</v>
      </c>
      <c r="E221">
        <v>3</v>
      </c>
      <c r="F221">
        <v>1.96</v>
      </c>
      <c r="G221">
        <v>11.790649999999999</v>
      </c>
      <c r="H221">
        <v>1</v>
      </c>
      <c r="I221">
        <v>0.6</v>
      </c>
      <c r="J221">
        <v>1.2022471910112362</v>
      </c>
      <c r="K221">
        <v>0.55798020952623462</v>
      </c>
      <c r="L221">
        <v>1</v>
      </c>
      <c r="M221">
        <v>0.5</v>
      </c>
      <c r="N221">
        <v>0</v>
      </c>
      <c r="O221">
        <v>0</v>
      </c>
      <c r="P221">
        <v>26.800725650053192</v>
      </c>
      <c r="Q221">
        <v>0.66835871404399327</v>
      </c>
      <c r="R221">
        <v>5.5576571899679905E-2</v>
      </c>
      <c r="S221">
        <v>1.8473784759074505</v>
      </c>
      <c r="T221">
        <v>0.18325694544278229</v>
      </c>
      <c r="U221">
        <v>0.37996179155168752</v>
      </c>
      <c r="V221">
        <v>26.528989254381695</v>
      </c>
      <c r="W221">
        <v>0.49376382868097146</v>
      </c>
      <c r="X221">
        <v>0.14376569265103775</v>
      </c>
      <c r="Y221">
        <v>-7.3848108378291394E-2</v>
      </c>
      <c r="Z221">
        <v>0.15864532897333991</v>
      </c>
      <c r="AA221">
        <v>0.13342835580367013</v>
      </c>
    </row>
    <row r="222" spans="1:27" x14ac:dyDescent="0.2">
      <c r="A222" s="7" t="s">
        <v>2224</v>
      </c>
      <c r="B222" t="s">
        <v>1114</v>
      </c>
      <c r="C222">
        <v>2015</v>
      </c>
      <c r="D222">
        <v>0.8899999999999999</v>
      </c>
      <c r="E222">
        <v>3</v>
      </c>
      <c r="F222">
        <v>0.8899999999999999</v>
      </c>
      <c r="G222">
        <v>7.0356499999999995</v>
      </c>
      <c r="H222">
        <v>1</v>
      </c>
      <c r="I222">
        <v>0.5</v>
      </c>
      <c r="J222">
        <v>0.53448275862068961</v>
      </c>
      <c r="K222">
        <v>0.82743889472848409</v>
      </c>
      <c r="L222">
        <v>1</v>
      </c>
      <c r="M222">
        <v>0.4</v>
      </c>
      <c r="N222">
        <v>0</v>
      </c>
      <c r="O222">
        <v>0.1</v>
      </c>
      <c r="P222">
        <v>26.655822046317311</v>
      </c>
      <c r="Q222">
        <v>0.61133668994640245</v>
      </c>
      <c r="R222">
        <v>0.16029562745591708</v>
      </c>
      <c r="S222">
        <v>2.3409638554216872</v>
      </c>
      <c r="T222">
        <v>7.5656705204798363E-2</v>
      </c>
      <c r="U222">
        <v>0.85451807228915666</v>
      </c>
      <c r="V222">
        <v>26.328180304995932</v>
      </c>
      <c r="W222">
        <v>0.48733417561660974</v>
      </c>
      <c r="X222">
        <v>0.26342581782637198</v>
      </c>
      <c r="Y222">
        <v>0.81459750417538801</v>
      </c>
      <c r="Z222">
        <v>1.7448596763494868E-2</v>
      </c>
      <c r="AA222">
        <v>3.2106070475844959</v>
      </c>
    </row>
    <row r="223" spans="1:27" x14ac:dyDescent="0.2">
      <c r="A223" s="7" t="s">
        <v>2224</v>
      </c>
      <c r="B223" t="s">
        <v>1118</v>
      </c>
      <c r="C223">
        <v>2014</v>
      </c>
      <c r="D223">
        <v>0.57999999999999996</v>
      </c>
      <c r="E223">
        <v>3</v>
      </c>
      <c r="F223">
        <v>0.57999999999999996</v>
      </c>
      <c r="G223">
        <v>7.798</v>
      </c>
      <c r="H223">
        <v>1</v>
      </c>
      <c r="I223">
        <v>0.4</v>
      </c>
      <c r="J223">
        <v>1</v>
      </c>
      <c r="K223">
        <v>0.97331851927967727</v>
      </c>
      <c r="L223">
        <v>1</v>
      </c>
      <c r="M223">
        <v>0.2</v>
      </c>
      <c r="N223">
        <v>0</v>
      </c>
      <c r="O223">
        <v>0.1</v>
      </c>
      <c r="P223">
        <v>26.442098510624742</v>
      </c>
      <c r="Q223">
        <v>0.6455390098001782</v>
      </c>
      <c r="R223">
        <v>0.18329865751010943</v>
      </c>
      <c r="S223">
        <v>1.8919330289193308</v>
      </c>
      <c r="T223">
        <v>-4.8581681049014126E-3</v>
      </c>
      <c r="U223">
        <v>0.99315068493150704</v>
      </c>
      <c r="V223">
        <v>26.282231434071004</v>
      </c>
      <c r="W223">
        <v>0.50157722425107343</v>
      </c>
      <c r="X223">
        <v>6.426851843029692E-2</v>
      </c>
      <c r="Y223">
        <v>0.65787575367336626</v>
      </c>
      <c r="Z223">
        <v>-8.6626837060888362E-2</v>
      </c>
      <c r="AA223">
        <v>1.6971842555784507</v>
      </c>
    </row>
    <row r="224" spans="1:27" x14ac:dyDescent="0.2">
      <c r="A224" s="7" t="s">
        <v>2226</v>
      </c>
      <c r="B224" t="s">
        <v>1135</v>
      </c>
      <c r="C224">
        <v>2024</v>
      </c>
      <c r="D224">
        <v>0</v>
      </c>
      <c r="E224">
        <v>3</v>
      </c>
      <c r="F224">
        <v>0</v>
      </c>
      <c r="G224">
        <v>33.058</v>
      </c>
      <c r="H224">
        <v>0</v>
      </c>
      <c r="I224">
        <v>0.5</v>
      </c>
      <c r="J224">
        <v>0</v>
      </c>
      <c r="K224">
        <v>-0.20461447297899457</v>
      </c>
      <c r="L224">
        <v>0</v>
      </c>
      <c r="M224">
        <v>0.1</v>
      </c>
      <c r="N224">
        <v>0</v>
      </c>
      <c r="O224">
        <v>0.5</v>
      </c>
      <c r="P224">
        <v>26.271454368549637</v>
      </c>
      <c r="Q224">
        <v>0.42695465237642732</v>
      </c>
      <c r="R224">
        <v>-4.535039567955379E-2</v>
      </c>
      <c r="S224">
        <v>1.4495192307692308</v>
      </c>
      <c r="T224">
        <v>-0.13722693463078006</v>
      </c>
      <c r="U224">
        <v>-3.5718349358974359</v>
      </c>
      <c r="V224">
        <v>27.384013648267295</v>
      </c>
      <c r="W224">
        <v>0.48545741592707448</v>
      </c>
      <c r="X224">
        <v>3.2346149409246384E-2</v>
      </c>
      <c r="Y224">
        <v>1.144934834624445</v>
      </c>
      <c r="Z224">
        <v>6.3798444472921989E-2</v>
      </c>
      <c r="AA224">
        <v>3.1784031096669594</v>
      </c>
    </row>
    <row r="225" spans="1:27" x14ac:dyDescent="0.2">
      <c r="A225" s="7" t="s">
        <v>2226</v>
      </c>
      <c r="B225" t="s">
        <v>1137</v>
      </c>
      <c r="C225">
        <v>2023</v>
      </c>
      <c r="D225">
        <v>0</v>
      </c>
      <c r="E225">
        <v>3</v>
      </c>
      <c r="F225">
        <v>0</v>
      </c>
      <c r="G225">
        <v>25.244</v>
      </c>
      <c r="H225">
        <v>0</v>
      </c>
      <c r="I225">
        <v>0.6</v>
      </c>
      <c r="J225">
        <v>0</v>
      </c>
      <c r="K225">
        <v>0.43287037037037035</v>
      </c>
      <c r="L225">
        <v>0</v>
      </c>
      <c r="M225">
        <v>0.6</v>
      </c>
      <c r="N225">
        <v>0</v>
      </c>
      <c r="O225">
        <v>0.1</v>
      </c>
      <c r="P225">
        <v>26.328538351289815</v>
      </c>
      <c r="Q225">
        <v>0.36137146136189746</v>
      </c>
      <c r="R225">
        <v>-6.4880369546936323E-2</v>
      </c>
      <c r="S225">
        <v>1.7764202103035514</v>
      </c>
      <c r="T225">
        <v>9.2374978332053895E-2</v>
      </c>
      <c r="U225">
        <v>-5.49467627802394</v>
      </c>
      <c r="V225">
        <v>27.299081806523226</v>
      </c>
      <c r="W225">
        <v>0.46521697219377411</v>
      </c>
      <c r="X225">
        <v>0.15041103099044562</v>
      </c>
      <c r="Y225">
        <v>-2.9208327087658914E-2</v>
      </c>
      <c r="Z225">
        <v>0.12100082665351053</v>
      </c>
      <c r="AA225">
        <v>-6.3742397812059523E-2</v>
      </c>
    </row>
    <row r="226" spans="1:27" x14ac:dyDescent="0.2">
      <c r="A226" s="7" t="s">
        <v>2226</v>
      </c>
      <c r="B226" t="s">
        <v>1139</v>
      </c>
      <c r="C226">
        <v>2022</v>
      </c>
      <c r="D226">
        <v>0</v>
      </c>
      <c r="E226">
        <v>3</v>
      </c>
      <c r="F226">
        <v>0</v>
      </c>
      <c r="G226">
        <v>1.73</v>
      </c>
      <c r="H226">
        <v>0</v>
      </c>
      <c r="I226">
        <v>0.2</v>
      </c>
      <c r="J226">
        <v>0</v>
      </c>
      <c r="K226">
        <v>-0.60242800677583286</v>
      </c>
      <c r="L226">
        <v>0</v>
      </c>
      <c r="M226">
        <v>0.1</v>
      </c>
      <c r="N226">
        <v>0</v>
      </c>
      <c r="O226">
        <v>0.8</v>
      </c>
      <c r="P226">
        <v>26.257101866276042</v>
      </c>
      <c r="Q226">
        <v>0.31308545985389924</v>
      </c>
      <c r="R226">
        <v>7.9515213617393776E-2</v>
      </c>
      <c r="S226">
        <v>1.5775870453219218</v>
      </c>
      <c r="T226">
        <v>0.26565547658888439</v>
      </c>
      <c r="U226">
        <v>-4.077137230110873</v>
      </c>
      <c r="V226">
        <v>27.165406532050127</v>
      </c>
      <c r="W226">
        <v>0.48765642400650455</v>
      </c>
      <c r="X226">
        <v>-3.1812594822902537E-2</v>
      </c>
      <c r="Y226">
        <v>0.77923973910549271</v>
      </c>
      <c r="Z226">
        <v>0.14797114025641953</v>
      </c>
      <c r="AA226">
        <v>1.6764066254052044</v>
      </c>
    </row>
    <row r="227" spans="1:27" x14ac:dyDescent="0.2">
      <c r="A227" s="7" t="s">
        <v>2226</v>
      </c>
      <c r="B227" t="s">
        <v>1140</v>
      </c>
      <c r="C227">
        <v>2021</v>
      </c>
      <c r="D227">
        <v>0</v>
      </c>
      <c r="E227">
        <v>3</v>
      </c>
      <c r="F227">
        <v>0</v>
      </c>
      <c r="G227">
        <v>36.855000000000004</v>
      </c>
      <c r="H227">
        <v>0</v>
      </c>
      <c r="I227">
        <v>0.8</v>
      </c>
      <c r="J227">
        <v>0</v>
      </c>
      <c r="K227">
        <v>0.73069632657079653</v>
      </c>
      <c r="L227">
        <v>0</v>
      </c>
      <c r="M227">
        <v>0.5</v>
      </c>
      <c r="N227">
        <v>0</v>
      </c>
      <c r="O227">
        <v>0.2</v>
      </c>
      <c r="P227">
        <v>26.193559768233413</v>
      </c>
      <c r="Q227">
        <v>0.31789247673978022</v>
      </c>
      <c r="R227">
        <v>0.5146654410933722</v>
      </c>
      <c r="S227">
        <v>1.3085050041418269</v>
      </c>
      <c r="T227">
        <v>0.38305399077358182</v>
      </c>
      <c r="U227">
        <v>-2.6128002824590233</v>
      </c>
      <c r="V227">
        <v>27.063940225368629</v>
      </c>
      <c r="W227">
        <v>0.50468208542591042</v>
      </c>
      <c r="X227">
        <v>0.69996477429400172</v>
      </c>
      <c r="Y227">
        <v>1.0080967923320723</v>
      </c>
      <c r="Z227">
        <v>0.27778789223154321</v>
      </c>
      <c r="AA227">
        <v>2.5142562565950426</v>
      </c>
    </row>
    <row r="228" spans="1:27" x14ac:dyDescent="0.2">
      <c r="A228" s="7" t="s">
        <v>2226</v>
      </c>
      <c r="B228" t="s">
        <v>1144</v>
      </c>
      <c r="C228">
        <v>2020</v>
      </c>
      <c r="D228">
        <v>0</v>
      </c>
      <c r="E228">
        <v>3</v>
      </c>
      <c r="F228">
        <v>0</v>
      </c>
      <c r="G228">
        <v>23.983999999999998</v>
      </c>
      <c r="H228">
        <v>0</v>
      </c>
      <c r="I228">
        <v>0.8</v>
      </c>
      <c r="J228">
        <v>0</v>
      </c>
      <c r="K228">
        <v>0.6593795487099845</v>
      </c>
      <c r="L228">
        <v>0</v>
      </c>
      <c r="M228">
        <v>0.7</v>
      </c>
      <c r="N228">
        <v>0</v>
      </c>
      <c r="O228">
        <v>0.1</v>
      </c>
      <c r="P228">
        <v>25.99029891345468</v>
      </c>
      <c r="Q228">
        <v>0.41965022699133303</v>
      </c>
      <c r="R228">
        <v>-0.10491052612057306</v>
      </c>
      <c r="S228">
        <v>1.1843101213416511</v>
      </c>
      <c r="T228">
        <v>5.7510195617612499E-3</v>
      </c>
      <c r="U228">
        <v>-1.8403310342435764</v>
      </c>
      <c r="V228">
        <v>26.901511121077455</v>
      </c>
      <c r="W228">
        <v>0.51476255695383588</v>
      </c>
      <c r="X228">
        <v>4.0442521052391198E-2</v>
      </c>
      <c r="Y228">
        <v>1.0266692674113442</v>
      </c>
      <c r="Z228">
        <v>0.10315358955062341</v>
      </c>
      <c r="AA228">
        <v>2.0088545605154695</v>
      </c>
    </row>
    <row r="229" spans="1:27" x14ac:dyDescent="0.2">
      <c r="A229" s="7" t="s">
        <v>2226</v>
      </c>
      <c r="B229" t="s">
        <v>1148</v>
      </c>
      <c r="C229">
        <v>2019</v>
      </c>
      <c r="D229">
        <v>0</v>
      </c>
      <c r="E229">
        <v>3</v>
      </c>
      <c r="F229">
        <v>0</v>
      </c>
      <c r="G229">
        <v>19.591000000000001</v>
      </c>
      <c r="H229">
        <v>0</v>
      </c>
      <c r="I229">
        <v>0.8</v>
      </c>
      <c r="J229">
        <v>0</v>
      </c>
      <c r="K229">
        <v>0.25160659566020116</v>
      </c>
      <c r="L229">
        <v>0</v>
      </c>
      <c r="M229">
        <v>0.4</v>
      </c>
      <c r="N229">
        <v>0</v>
      </c>
      <c r="O229">
        <v>0.4</v>
      </c>
      <c r="P229">
        <v>26.46788630599487</v>
      </c>
      <c r="Q229">
        <v>0.63036431417097327</v>
      </c>
      <c r="R229">
        <v>-5.1210273407257145E-2</v>
      </c>
      <c r="S229">
        <v>1.1719071734654127</v>
      </c>
      <c r="T229">
        <v>1.3600368177995016E-2</v>
      </c>
      <c r="U229">
        <v>-2.3377954340167042</v>
      </c>
      <c r="V229">
        <v>26.738840474357183</v>
      </c>
      <c r="W229">
        <v>0.48775270577725199</v>
      </c>
      <c r="X229">
        <v>4.7879591607904649E-2</v>
      </c>
      <c r="Y229">
        <v>0.88180810193634862</v>
      </c>
      <c r="Z229">
        <v>0.15044168803662933</v>
      </c>
      <c r="AA229">
        <v>1.9486848764131026</v>
      </c>
    </row>
    <row r="230" spans="1:27" x14ac:dyDescent="0.2">
      <c r="A230" s="7" t="s">
        <v>2226</v>
      </c>
      <c r="B230" t="s">
        <v>1152</v>
      </c>
      <c r="C230">
        <v>2018</v>
      </c>
      <c r="D230">
        <v>0</v>
      </c>
      <c r="E230">
        <v>3</v>
      </c>
      <c r="F230">
        <v>0</v>
      </c>
      <c r="G230">
        <v>22.694999999999997</v>
      </c>
      <c r="H230">
        <v>0</v>
      </c>
      <c r="I230">
        <v>0.5</v>
      </c>
      <c r="J230">
        <v>0</v>
      </c>
      <c r="K230">
        <v>0.12085686823605531</v>
      </c>
      <c r="L230">
        <v>0</v>
      </c>
      <c r="M230">
        <v>0.5</v>
      </c>
      <c r="N230">
        <v>0</v>
      </c>
      <c r="O230">
        <v>0.2</v>
      </c>
      <c r="P230">
        <v>26.48413727858674</v>
      </c>
      <c r="Q230">
        <v>0.59780873671782764</v>
      </c>
      <c r="R230">
        <v>4.5003059044575133E-2</v>
      </c>
      <c r="S230">
        <v>1.175779926670812</v>
      </c>
      <c r="T230">
        <v>4.2515767520164838E-2</v>
      </c>
      <c r="U230">
        <v>-2.3620575055211304</v>
      </c>
      <c r="V230">
        <v>26.579185325718736</v>
      </c>
      <c r="W230">
        <v>0.51019045501467464</v>
      </c>
      <c r="X230">
        <v>0.23479566142968689</v>
      </c>
      <c r="Y230">
        <v>0.89822906396717905</v>
      </c>
      <c r="Z230">
        <v>0.16651126294379778</v>
      </c>
      <c r="AA230">
        <v>2.8082812608839705</v>
      </c>
    </row>
    <row r="231" spans="1:27" x14ac:dyDescent="0.2">
      <c r="A231" s="7" t="s">
        <v>2226</v>
      </c>
      <c r="B231" t="s">
        <v>1156</v>
      </c>
      <c r="C231">
        <v>2017</v>
      </c>
      <c r="D231">
        <v>0</v>
      </c>
      <c r="E231">
        <v>3</v>
      </c>
      <c r="F231">
        <v>0</v>
      </c>
      <c r="G231">
        <v>15.955969999999999</v>
      </c>
      <c r="H231">
        <v>0</v>
      </c>
      <c r="I231">
        <v>0.7</v>
      </c>
      <c r="J231">
        <v>0</v>
      </c>
      <c r="K231">
        <v>0.13265777677969315</v>
      </c>
      <c r="L231">
        <v>0</v>
      </c>
      <c r="M231">
        <v>0.5</v>
      </c>
      <c r="N231">
        <v>0</v>
      </c>
      <c r="O231">
        <v>0.2</v>
      </c>
      <c r="P231">
        <v>26.488854979625124</v>
      </c>
      <c r="Q231">
        <v>0.62005095150206657</v>
      </c>
      <c r="R231">
        <v>8.37074153379056E-2</v>
      </c>
      <c r="S231">
        <v>1.1622476273178963</v>
      </c>
      <c r="T231">
        <v>3.9001414848462285E-2</v>
      </c>
      <c r="U231">
        <v>-2.3071850180024822</v>
      </c>
      <c r="V231">
        <v>26.549458854797365</v>
      </c>
      <c r="W231">
        <v>0.52747189864424715</v>
      </c>
      <c r="X231">
        <v>0.10098801403247153</v>
      </c>
      <c r="Y231">
        <v>1.0473998459430853</v>
      </c>
      <c r="Z231">
        <v>0.12885844715531539</v>
      </c>
      <c r="AA231">
        <v>2.4067785850054508</v>
      </c>
    </row>
    <row r="232" spans="1:27" x14ac:dyDescent="0.2">
      <c r="A232" s="7" t="s">
        <v>2226</v>
      </c>
      <c r="B232" t="s">
        <v>1160</v>
      </c>
      <c r="C232">
        <v>2016</v>
      </c>
      <c r="D232">
        <v>0</v>
      </c>
      <c r="E232">
        <v>3</v>
      </c>
      <c r="F232">
        <v>0</v>
      </c>
      <c r="G232">
        <v>11.986649999999999</v>
      </c>
      <c r="H232">
        <v>0</v>
      </c>
      <c r="I232">
        <v>0.7</v>
      </c>
      <c r="J232">
        <v>0</v>
      </c>
      <c r="K232">
        <v>0.67820492862735826</v>
      </c>
      <c r="L232">
        <v>0</v>
      </c>
      <c r="M232">
        <v>0.6</v>
      </c>
      <c r="N232">
        <v>0</v>
      </c>
      <c r="O232">
        <v>0</v>
      </c>
      <c r="P232">
        <v>26.508520765931884</v>
      </c>
      <c r="Q232">
        <v>0.6278801099964666</v>
      </c>
      <c r="R232">
        <v>8.60467220952148E-2</v>
      </c>
      <c r="S232">
        <v>1.1657085847308661</v>
      </c>
      <c r="T232">
        <v>2.7737788317351696E-2</v>
      </c>
      <c r="U232">
        <v>-2.2885212282452057</v>
      </c>
      <c r="V232">
        <v>26.558209742793828</v>
      </c>
      <c r="W232">
        <v>0.49781168908572415</v>
      </c>
      <c r="X232">
        <v>0.14071867763148427</v>
      </c>
      <c r="Y232">
        <v>-5.6811192606329493E-3</v>
      </c>
      <c r="Z232">
        <v>0.17419724468588299</v>
      </c>
      <c r="AA232">
        <v>0.40027665778335947</v>
      </c>
    </row>
    <row r="233" spans="1:27" x14ac:dyDescent="0.2">
      <c r="A233" s="7" t="s">
        <v>2228</v>
      </c>
      <c r="B233" t="s">
        <v>1178</v>
      </c>
      <c r="C233">
        <v>2024</v>
      </c>
      <c r="D233">
        <v>0</v>
      </c>
      <c r="E233">
        <v>3</v>
      </c>
      <c r="F233">
        <v>0</v>
      </c>
      <c r="G233">
        <v>33.058</v>
      </c>
      <c r="H233">
        <v>0</v>
      </c>
      <c r="I233">
        <v>0.5</v>
      </c>
      <c r="J233">
        <v>-1</v>
      </c>
      <c r="K233">
        <v>-0.10461447297899458</v>
      </c>
      <c r="L233">
        <v>0</v>
      </c>
      <c r="M233">
        <v>0.1</v>
      </c>
      <c r="N233">
        <v>1</v>
      </c>
      <c r="O233">
        <v>0.4</v>
      </c>
      <c r="P233">
        <v>27.754008363927397</v>
      </c>
      <c r="Q233">
        <v>0.49209192922263389</v>
      </c>
      <c r="R233">
        <v>4.9449613524241043E-2</v>
      </c>
      <c r="S233">
        <v>0.95073571396176126</v>
      </c>
      <c r="T233">
        <v>0.10809528160374555</v>
      </c>
      <c r="U233">
        <v>0.3150981552784991</v>
      </c>
      <c r="V233">
        <v>27.235758248729518</v>
      </c>
      <c r="W233">
        <v>0.47894368824245381</v>
      </c>
      <c r="X233">
        <v>2.2866148488866901E-2</v>
      </c>
      <c r="Y233">
        <v>1.1948131863051918</v>
      </c>
      <c r="Z233">
        <v>3.9266222849469422E-2</v>
      </c>
      <c r="AA233">
        <v>2.7897098005493652</v>
      </c>
    </row>
    <row r="234" spans="1:27" x14ac:dyDescent="0.2">
      <c r="A234" s="7" t="s">
        <v>2228</v>
      </c>
      <c r="B234" t="s">
        <v>1180</v>
      </c>
      <c r="C234">
        <v>2023</v>
      </c>
      <c r="D234">
        <v>25.43</v>
      </c>
      <c r="E234">
        <v>3</v>
      </c>
      <c r="F234">
        <v>25.43</v>
      </c>
      <c r="G234">
        <v>22.701000000000001</v>
      </c>
      <c r="H234">
        <v>1</v>
      </c>
      <c r="I234">
        <v>0.5</v>
      </c>
      <c r="J234">
        <v>1</v>
      </c>
      <c r="K234">
        <v>0.33287037037037037</v>
      </c>
      <c r="L234">
        <v>1</v>
      </c>
      <c r="M234">
        <v>0.5</v>
      </c>
      <c r="N234">
        <v>0</v>
      </c>
      <c r="O234">
        <v>0.1</v>
      </c>
      <c r="P234">
        <v>27.747694202485942</v>
      </c>
      <c r="Q234">
        <v>0.43182570531576364</v>
      </c>
      <c r="R234">
        <v>3.6202450425888433E-2</v>
      </c>
      <c r="S234">
        <v>0.98186025566968305</v>
      </c>
      <c r="T234">
        <v>0.20186892639897105</v>
      </c>
      <c r="U234">
        <v>0.3008662393543316</v>
      </c>
      <c r="V234">
        <v>27.15716622140361</v>
      </c>
      <c r="W234">
        <v>0.45817154779838748</v>
      </c>
      <c r="X234">
        <v>0.14030274899316311</v>
      </c>
      <c r="Y234">
        <v>5.024766837572793E-2</v>
      </c>
      <c r="Z234">
        <v>0.1100514318468188</v>
      </c>
      <c r="AA234">
        <v>-0.64329664954988641</v>
      </c>
    </row>
    <row r="235" spans="1:27" x14ac:dyDescent="0.2">
      <c r="A235" s="7" t="s">
        <v>2228</v>
      </c>
      <c r="B235" t="s">
        <v>1182</v>
      </c>
      <c r="C235">
        <v>2022</v>
      </c>
      <c r="D235">
        <v>0</v>
      </c>
      <c r="E235">
        <v>3</v>
      </c>
      <c r="F235">
        <v>0</v>
      </c>
      <c r="G235">
        <v>1.73</v>
      </c>
      <c r="H235">
        <v>0</v>
      </c>
      <c r="I235">
        <v>0.2</v>
      </c>
      <c r="J235">
        <v>-1</v>
      </c>
      <c r="K235">
        <v>-0.50242800677583288</v>
      </c>
      <c r="L235">
        <v>0</v>
      </c>
      <c r="M235">
        <v>0.1</v>
      </c>
      <c r="N235">
        <v>1</v>
      </c>
      <c r="O235">
        <v>0.7</v>
      </c>
      <c r="P235">
        <v>27.580352889303327</v>
      </c>
      <c r="Q235">
        <v>0.50140017715239105</v>
      </c>
      <c r="R235">
        <v>-0.24609292361462121</v>
      </c>
      <c r="S235">
        <v>1.0202942045064531</v>
      </c>
      <c r="T235">
        <v>0.1801522623961441</v>
      </c>
      <c r="U235">
        <v>0.51746629738121275</v>
      </c>
      <c r="V235">
        <v>27.033081429747405</v>
      </c>
      <c r="W235">
        <v>0.46882495227665533</v>
      </c>
      <c r="X235">
        <v>7.4821890029895814E-4</v>
      </c>
      <c r="Y235">
        <v>0.83496902318703936</v>
      </c>
      <c r="Z235">
        <v>0.15652146167569353</v>
      </c>
      <c r="AA235">
        <v>1.2169462726559956</v>
      </c>
    </row>
    <row r="236" spans="1:27" x14ac:dyDescent="0.2">
      <c r="A236" s="7" t="s">
        <v>2228</v>
      </c>
      <c r="B236" t="s">
        <v>1183</v>
      </c>
      <c r="C236">
        <v>2021</v>
      </c>
      <c r="D236">
        <v>34.659999999999997</v>
      </c>
      <c r="E236">
        <v>3</v>
      </c>
      <c r="F236">
        <v>34.659999999999997</v>
      </c>
      <c r="G236">
        <v>33.388999999999996</v>
      </c>
      <c r="H236">
        <v>1</v>
      </c>
      <c r="I236">
        <v>0.7</v>
      </c>
      <c r="J236">
        <v>0.60166358595194069</v>
      </c>
      <c r="K236">
        <v>0.67052996797560249</v>
      </c>
      <c r="L236">
        <v>1</v>
      </c>
      <c r="M236">
        <v>0.4</v>
      </c>
      <c r="N236">
        <v>0</v>
      </c>
      <c r="O236">
        <v>0.2</v>
      </c>
      <c r="P236">
        <v>27.522530598131667</v>
      </c>
      <c r="Q236">
        <v>0.50851081325548886</v>
      </c>
      <c r="R236">
        <v>0.78769111986397822</v>
      </c>
      <c r="S236">
        <v>2.0619372865569701</v>
      </c>
      <c r="T236">
        <v>0.46313083632378721</v>
      </c>
      <c r="U236">
        <v>0.88776777398323492</v>
      </c>
      <c r="V236">
        <v>26.931043142378805</v>
      </c>
      <c r="W236">
        <v>0.48562025177433954</v>
      </c>
      <c r="X236">
        <v>0.6726622064169413</v>
      </c>
      <c r="Y236">
        <v>0.93275356409055799</v>
      </c>
      <c r="Z236">
        <v>0.26978020767652267</v>
      </c>
      <c r="AA236">
        <v>2.1641994509508171</v>
      </c>
    </row>
    <row r="237" spans="1:27" x14ac:dyDescent="0.2">
      <c r="A237" s="7" t="s">
        <v>2228</v>
      </c>
      <c r="B237" t="s">
        <v>1187</v>
      </c>
      <c r="C237">
        <v>2020</v>
      </c>
      <c r="D237">
        <v>21.64</v>
      </c>
      <c r="E237">
        <v>3</v>
      </c>
      <c r="F237">
        <v>21.64</v>
      </c>
      <c r="G237">
        <v>21.82</v>
      </c>
      <c r="H237">
        <v>1</v>
      </c>
      <c r="I237">
        <v>0.7</v>
      </c>
      <c r="J237">
        <v>0.24654377880184339</v>
      </c>
      <c r="K237">
        <v>0.63472517082980018</v>
      </c>
      <c r="L237">
        <v>1</v>
      </c>
      <c r="M237">
        <v>0.6</v>
      </c>
      <c r="N237">
        <v>0</v>
      </c>
      <c r="O237">
        <v>0.1</v>
      </c>
      <c r="P237">
        <v>27.29274199919147</v>
      </c>
      <c r="Q237">
        <v>0.57381869803285335</v>
      </c>
      <c r="R237">
        <v>-2.1003798597783008E-2</v>
      </c>
      <c r="S237">
        <v>2.4553891584054002</v>
      </c>
      <c r="T237">
        <v>0.12856815198197014</v>
      </c>
      <c r="U237">
        <v>1.08015186669479</v>
      </c>
      <c r="V237">
        <v>26.771266812503779</v>
      </c>
      <c r="W237">
        <v>0.49934570984968374</v>
      </c>
      <c r="X237">
        <v>3.2051848300112193E-2</v>
      </c>
      <c r="Y237">
        <v>0.8995613637049692</v>
      </c>
      <c r="Z237">
        <v>9.0871876308602537E-2</v>
      </c>
      <c r="AA237">
        <v>1.7168062704216329</v>
      </c>
    </row>
    <row r="238" spans="1:27" x14ac:dyDescent="0.2">
      <c r="A238" s="7" t="s">
        <v>2228</v>
      </c>
      <c r="B238" t="s">
        <v>1191</v>
      </c>
      <c r="C238">
        <v>2019</v>
      </c>
      <c r="D238">
        <v>17.36</v>
      </c>
      <c r="E238">
        <v>3</v>
      </c>
      <c r="F238">
        <v>17.36</v>
      </c>
      <c r="G238">
        <v>17.855000000000004</v>
      </c>
      <c r="H238">
        <v>1</v>
      </c>
      <c r="I238">
        <v>0.7</v>
      </c>
      <c r="J238">
        <v>-0.23893029373081992</v>
      </c>
      <c r="K238">
        <v>0.27549962503328318</v>
      </c>
      <c r="L238">
        <v>0</v>
      </c>
      <c r="M238">
        <v>0.4</v>
      </c>
      <c r="N238">
        <v>1</v>
      </c>
      <c r="O238">
        <v>0.3</v>
      </c>
      <c r="P238">
        <v>27.242708743244915</v>
      </c>
      <c r="Q238">
        <v>0.57602060282334988</v>
      </c>
      <c r="R238">
        <v>-9.8495271790381422E-2</v>
      </c>
      <c r="S238">
        <v>1.9909197914915082</v>
      </c>
      <c r="T238">
        <v>0.13311341796971865</v>
      </c>
      <c r="U238">
        <v>0.7629056667227172</v>
      </c>
      <c r="V238">
        <v>26.661358230632182</v>
      </c>
      <c r="W238">
        <v>0.49318707691201435</v>
      </c>
      <c r="X238">
        <v>5.2608091446217073E-2</v>
      </c>
      <c r="Y238">
        <v>0.79990684013373925</v>
      </c>
      <c r="Z238">
        <v>0.13849038305745695</v>
      </c>
      <c r="AA238">
        <v>1.6386147663391601</v>
      </c>
    </row>
    <row r="239" spans="1:27" x14ac:dyDescent="0.2">
      <c r="A239" s="7" t="s">
        <v>2228</v>
      </c>
      <c r="B239" t="s">
        <v>1195</v>
      </c>
      <c r="C239">
        <v>2018</v>
      </c>
      <c r="D239">
        <v>22.810000000000002</v>
      </c>
      <c r="E239">
        <v>3</v>
      </c>
      <c r="F239">
        <v>22.810000000000002</v>
      </c>
      <c r="G239">
        <v>20.413999999999994</v>
      </c>
      <c r="H239">
        <v>1</v>
      </c>
      <c r="I239">
        <v>0.4</v>
      </c>
      <c r="J239">
        <v>0.62464387464387494</v>
      </c>
      <c r="K239">
        <v>5.839248077166781E-2</v>
      </c>
      <c r="L239">
        <v>1</v>
      </c>
      <c r="M239">
        <v>0.4</v>
      </c>
      <c r="N239">
        <v>0</v>
      </c>
      <c r="O239">
        <v>0.2</v>
      </c>
      <c r="P239">
        <v>27.161290083881763</v>
      </c>
      <c r="Q239">
        <v>0.48250201126307318</v>
      </c>
      <c r="R239">
        <v>0.29033387755255746</v>
      </c>
      <c r="S239">
        <v>2.1203291052451152</v>
      </c>
      <c r="T239">
        <v>0.22270657082417178</v>
      </c>
      <c r="U239">
        <v>0.70449091532396302</v>
      </c>
      <c r="V239">
        <v>26.511470045189231</v>
      </c>
      <c r="W239">
        <v>0.5217211275601501</v>
      </c>
      <c r="X239">
        <v>0.21026257957888861</v>
      </c>
      <c r="Y239">
        <v>0.80377414610974862</v>
      </c>
      <c r="Z239">
        <v>0.14849218261339708</v>
      </c>
      <c r="AA239">
        <v>2.5016264187994612</v>
      </c>
    </row>
    <row r="240" spans="1:27" x14ac:dyDescent="0.2">
      <c r="A240" s="7" t="s">
        <v>2228</v>
      </c>
      <c r="B240" t="s">
        <v>1199</v>
      </c>
      <c r="C240">
        <v>2017</v>
      </c>
      <c r="D240">
        <v>14.04</v>
      </c>
      <c r="E240">
        <v>3</v>
      </c>
      <c r="F240">
        <v>14.04</v>
      </c>
      <c r="G240">
        <v>14.551970000000001</v>
      </c>
      <c r="H240">
        <v>1</v>
      </c>
      <c r="I240">
        <v>0.6</v>
      </c>
      <c r="J240">
        <v>0.52277657266811295</v>
      </c>
      <c r="K240">
        <v>8.0380119512881862E-2</v>
      </c>
      <c r="L240">
        <v>1</v>
      </c>
      <c r="M240">
        <v>0.4</v>
      </c>
      <c r="N240">
        <v>0</v>
      </c>
      <c r="O240">
        <v>0.2</v>
      </c>
      <c r="P240">
        <v>27.18661989081243</v>
      </c>
      <c r="Q240">
        <v>0.5046380502000728</v>
      </c>
      <c r="R240">
        <v>0.14620496270882621</v>
      </c>
      <c r="S240">
        <v>1.809960878724044</v>
      </c>
      <c r="T240">
        <v>0.12753743213955465</v>
      </c>
      <c r="U240">
        <v>0.65452904002407453</v>
      </c>
      <c r="V240">
        <v>26.479682363678638</v>
      </c>
      <c r="W240">
        <v>0.53901318877444648</v>
      </c>
      <c r="X240">
        <v>9.4738259295379462E-2</v>
      </c>
      <c r="Y240">
        <v>0.98262852080247054</v>
      </c>
      <c r="Z240">
        <v>0.12000484542620615</v>
      </c>
      <c r="AA240">
        <v>2.1106071792027956</v>
      </c>
    </row>
    <row r="241" spans="1:27" x14ac:dyDescent="0.2">
      <c r="A241" s="7" t="s">
        <v>2228</v>
      </c>
      <c r="B241" t="s">
        <v>1203</v>
      </c>
      <c r="C241">
        <v>2016</v>
      </c>
      <c r="D241">
        <v>9.2199999999999989</v>
      </c>
      <c r="E241">
        <v>3</v>
      </c>
      <c r="F241">
        <v>9.2199999999999989</v>
      </c>
      <c r="G241">
        <v>11.064649999999999</v>
      </c>
      <c r="H241">
        <v>1</v>
      </c>
      <c r="I241">
        <v>0.6</v>
      </c>
      <c r="J241">
        <v>0.32661870503597118</v>
      </c>
      <c r="K241">
        <v>0.64554305812376112</v>
      </c>
      <c r="L241">
        <v>1</v>
      </c>
      <c r="M241">
        <v>0.5</v>
      </c>
      <c r="N241">
        <v>0</v>
      </c>
      <c r="O241">
        <v>0</v>
      </c>
      <c r="P241">
        <v>27.254963830797077</v>
      </c>
      <c r="Q241">
        <v>0.52037816562326034</v>
      </c>
      <c r="R241">
        <v>4.392225942161132E-2</v>
      </c>
      <c r="S241">
        <v>1.9077296063890476</v>
      </c>
      <c r="T241">
        <v>0.10211984851237979</v>
      </c>
      <c r="U241">
        <v>0.62244089497369581</v>
      </c>
      <c r="V241">
        <v>26.483565436307309</v>
      </c>
      <c r="W241">
        <v>0.50856188352304477</v>
      </c>
      <c r="X241">
        <v>0.1449311238988446</v>
      </c>
      <c r="Y241">
        <v>-7.9883221426451073E-2</v>
      </c>
      <c r="Z241">
        <v>0.16675903866638014</v>
      </c>
      <c r="AA241">
        <v>0.10918044546146932</v>
      </c>
    </row>
    <row r="242" spans="1:27" x14ac:dyDescent="0.2">
      <c r="A242" s="7" t="s">
        <v>2228</v>
      </c>
      <c r="B242" t="s">
        <v>1207</v>
      </c>
      <c r="C242">
        <v>2015</v>
      </c>
      <c r="D242">
        <v>6.9499999999999993</v>
      </c>
      <c r="E242">
        <v>3</v>
      </c>
      <c r="F242">
        <v>6.9499999999999993</v>
      </c>
      <c r="G242">
        <v>6.4296499999999996</v>
      </c>
      <c r="H242">
        <v>1</v>
      </c>
      <c r="I242">
        <v>0.5</v>
      </c>
      <c r="J242">
        <v>1.8483606557377048</v>
      </c>
      <c r="K242">
        <v>0.69605110501678258</v>
      </c>
      <c r="L242">
        <v>1</v>
      </c>
      <c r="M242">
        <v>0.4</v>
      </c>
      <c r="N242">
        <v>0</v>
      </c>
      <c r="O242">
        <v>0.1</v>
      </c>
      <c r="P242">
        <v>27.0264610801438</v>
      </c>
      <c r="Q242">
        <v>0.49917034778124086</v>
      </c>
      <c r="R242">
        <v>0.21728207218279572</v>
      </c>
      <c r="S242">
        <v>2.3129805165735635</v>
      </c>
      <c r="T242">
        <v>0.12489219245853601</v>
      </c>
      <c r="U242">
        <v>0.73606866885960642</v>
      </c>
      <c r="V242">
        <v>26.291116401613277</v>
      </c>
      <c r="W242">
        <v>0.49855080983312589</v>
      </c>
      <c r="X242">
        <v>0.25709399063449656</v>
      </c>
      <c r="Y242">
        <v>0.81770676404740172</v>
      </c>
      <c r="Z242">
        <v>1.1977987068635128E-2</v>
      </c>
      <c r="AA242">
        <v>3.2224519879274509</v>
      </c>
    </row>
    <row r="243" spans="1:27" x14ac:dyDescent="0.2">
      <c r="A243" s="7" t="s">
        <v>2228</v>
      </c>
      <c r="B243" t="s">
        <v>1211</v>
      </c>
      <c r="C243">
        <v>2014</v>
      </c>
      <c r="D243">
        <v>2.44</v>
      </c>
      <c r="E243">
        <v>3</v>
      </c>
      <c r="F243">
        <v>2.44</v>
      </c>
      <c r="G243">
        <v>7.6120000000000001</v>
      </c>
      <c r="H243">
        <v>1</v>
      </c>
      <c r="I243">
        <v>0.4</v>
      </c>
      <c r="J243">
        <v>2.6417910447761193</v>
      </c>
      <c r="K243">
        <v>0.8091394148020653</v>
      </c>
      <c r="L243">
        <v>1</v>
      </c>
      <c r="M243">
        <v>0.2</v>
      </c>
      <c r="N243">
        <v>0</v>
      </c>
      <c r="O243">
        <v>0.1</v>
      </c>
      <c r="P243">
        <v>26.723052867114149</v>
      </c>
      <c r="Q243">
        <v>0.56379069778392865</v>
      </c>
      <c r="R243">
        <v>0.15918712459201223</v>
      </c>
      <c r="S243">
        <v>1.937614978668057</v>
      </c>
      <c r="T243">
        <v>0.11467507678535686</v>
      </c>
      <c r="U243">
        <v>0.64572225582136844</v>
      </c>
      <c r="V243">
        <v>26.25101428334996</v>
      </c>
      <c r="W243">
        <v>0.51066037003065667</v>
      </c>
      <c r="X243">
        <v>6.728246004505907E-2</v>
      </c>
      <c r="Y243">
        <v>0.65216550995477551</v>
      </c>
      <c r="Z243">
        <v>-0.10156849267217065</v>
      </c>
      <c r="AA243">
        <v>1.735787414368466</v>
      </c>
    </row>
    <row r="244" spans="1:27" x14ac:dyDescent="0.2">
      <c r="A244" s="7" t="s">
        <v>2228</v>
      </c>
      <c r="B244" t="s">
        <v>1215</v>
      </c>
      <c r="C244">
        <v>2013</v>
      </c>
      <c r="D244">
        <v>0.67</v>
      </c>
      <c r="E244">
        <v>3</v>
      </c>
      <c r="F244">
        <v>0.67</v>
      </c>
      <c r="G244">
        <v>1.1590000000000003</v>
      </c>
      <c r="H244">
        <v>1</v>
      </c>
      <c r="I244">
        <v>0.3</v>
      </c>
      <c r="J244">
        <v>8.0645161290322648E-2</v>
      </c>
      <c r="K244">
        <v>-0.21192862656277295</v>
      </c>
      <c r="L244">
        <v>1</v>
      </c>
      <c r="M244">
        <v>0.1</v>
      </c>
      <c r="N244">
        <v>0</v>
      </c>
      <c r="O244">
        <v>0.4</v>
      </c>
      <c r="P244">
        <v>26.974930687661928</v>
      </c>
      <c r="Q244">
        <v>0.61428065851551594</v>
      </c>
      <c r="R244">
        <v>-7.9448258439366537E-2</v>
      </c>
      <c r="S244">
        <v>1.1343753445927802</v>
      </c>
      <c r="T244">
        <v>1.4343133896606181E-2</v>
      </c>
      <c r="U244">
        <v>0.58485486202225268</v>
      </c>
      <c r="V244">
        <v>26.371644919966759</v>
      </c>
      <c r="W244">
        <v>0.57261071746123171</v>
      </c>
      <c r="X244">
        <v>-4.1361278374214314E-2</v>
      </c>
      <c r="Y244" t="s">
        <v>2345</v>
      </c>
      <c r="Z244">
        <v>-3.6794692876216131E-2</v>
      </c>
      <c r="AA244">
        <v>3.4289440220136957</v>
      </c>
    </row>
    <row r="245" spans="1:27" x14ac:dyDescent="0.2">
      <c r="A245" s="7" t="s">
        <v>2231</v>
      </c>
      <c r="B245" t="s">
        <v>1227</v>
      </c>
      <c r="C245">
        <v>2025</v>
      </c>
      <c r="D245">
        <v>106.85</v>
      </c>
      <c r="E245">
        <v>3</v>
      </c>
      <c r="F245">
        <v>106.85</v>
      </c>
      <c r="G245">
        <v>0</v>
      </c>
      <c r="H245">
        <v>1</v>
      </c>
      <c r="I245">
        <v>0</v>
      </c>
      <c r="J245">
        <v>-0.47411162515995675</v>
      </c>
      <c r="K245">
        <v>-0.4</v>
      </c>
      <c r="L245">
        <v>0</v>
      </c>
      <c r="M245">
        <v>0</v>
      </c>
      <c r="N245">
        <v>1</v>
      </c>
      <c r="O245">
        <v>0.4</v>
      </c>
      <c r="P245">
        <v>27.854491813724511</v>
      </c>
      <c r="Q245">
        <v>0.55182744206095768</v>
      </c>
      <c r="R245">
        <v>2.5915125624669022E-2</v>
      </c>
      <c r="S245">
        <v>2.781368716419228</v>
      </c>
      <c r="T245">
        <v>0.26153392742966752</v>
      </c>
      <c r="U245">
        <v>3.5984613064920068</v>
      </c>
      <c r="V245">
        <v>27.479091898742677</v>
      </c>
      <c r="W245">
        <v>0.52588909289256258</v>
      </c>
      <c r="X245">
        <v>-0.11078414504837342</v>
      </c>
      <c r="Y245">
        <v>0.73057449873776192</v>
      </c>
      <c r="Z245">
        <v>-2.0145147872353806E-2</v>
      </c>
      <c r="AA245">
        <v>3.1280858492296248</v>
      </c>
    </row>
    <row r="246" spans="1:27" x14ac:dyDescent="0.2">
      <c r="A246" s="7" t="s">
        <v>2231</v>
      </c>
      <c r="B246" t="s">
        <v>1229</v>
      </c>
      <c r="C246">
        <v>2024</v>
      </c>
      <c r="D246">
        <v>203.18</v>
      </c>
      <c r="E246">
        <v>3</v>
      </c>
      <c r="F246">
        <v>203.18</v>
      </c>
      <c r="G246">
        <v>12.739999999999998</v>
      </c>
      <c r="H246">
        <v>1</v>
      </c>
      <c r="I246">
        <v>0.4</v>
      </c>
      <c r="J246">
        <v>1</v>
      </c>
      <c r="K246">
        <v>-0.30461447297899458</v>
      </c>
      <c r="L246">
        <v>1</v>
      </c>
      <c r="M246">
        <v>0</v>
      </c>
      <c r="N246">
        <v>0</v>
      </c>
      <c r="O246">
        <v>0.5</v>
      </c>
      <c r="P246">
        <v>27.772429528214879</v>
      </c>
      <c r="Q246">
        <v>0.45106802269304058</v>
      </c>
      <c r="R246">
        <v>0.4794668733643237</v>
      </c>
      <c r="S246">
        <v>4.8244774239263082</v>
      </c>
      <c r="T246">
        <v>0.30789416005985809</v>
      </c>
      <c r="U246">
        <v>8.0689682320985714</v>
      </c>
      <c r="V246">
        <v>27.23391613230077</v>
      </c>
      <c r="W246">
        <v>0.48304607889541318</v>
      </c>
      <c r="X246">
        <v>-2.0135577495141367E-2</v>
      </c>
      <c r="Y246">
        <v>0.8074390153087373</v>
      </c>
      <c r="Z246">
        <v>1.9286335003858172E-2</v>
      </c>
      <c r="AA246">
        <v>2.0143227928673584</v>
      </c>
    </row>
    <row r="247" spans="1:27" x14ac:dyDescent="0.2">
      <c r="A247" s="7" t="s">
        <v>2231</v>
      </c>
      <c r="B247" t="s">
        <v>1231</v>
      </c>
      <c r="C247">
        <v>2023</v>
      </c>
      <c r="D247">
        <v>0</v>
      </c>
      <c r="E247">
        <v>3</v>
      </c>
      <c r="F247">
        <v>0</v>
      </c>
      <c r="G247">
        <v>25.244</v>
      </c>
      <c r="H247">
        <v>0</v>
      </c>
      <c r="I247">
        <v>0.6</v>
      </c>
      <c r="J247">
        <v>0</v>
      </c>
      <c r="K247">
        <v>0.43287037037037035</v>
      </c>
      <c r="L247">
        <v>0</v>
      </c>
      <c r="M247">
        <v>0.6</v>
      </c>
      <c r="N247">
        <v>0</v>
      </c>
      <c r="O247">
        <v>0.1</v>
      </c>
      <c r="P247">
        <v>27.448059354247171</v>
      </c>
      <c r="Q247">
        <v>0.52760086455331412</v>
      </c>
      <c r="R247">
        <v>0.59693879286013041</v>
      </c>
      <c r="S247">
        <v>-7.7096303155495409</v>
      </c>
      <c r="T247">
        <v>0.19763591467151956</v>
      </c>
      <c r="U247">
        <v>-15.830116105135694</v>
      </c>
      <c r="V247">
        <v>27.187129706227488</v>
      </c>
      <c r="W247">
        <v>0.44859403187463237</v>
      </c>
      <c r="X247">
        <v>8.4229114749738931E-2</v>
      </c>
      <c r="Y247">
        <v>0.91939672549765028</v>
      </c>
      <c r="Z247">
        <v>0.11047473301956397</v>
      </c>
      <c r="AA247">
        <v>0.96980158489911594</v>
      </c>
    </row>
    <row r="248" spans="1:27" x14ac:dyDescent="0.2">
      <c r="A248" s="7" t="s">
        <v>2231</v>
      </c>
      <c r="B248" t="s">
        <v>1233</v>
      </c>
      <c r="C248">
        <v>2022</v>
      </c>
      <c r="D248">
        <v>0</v>
      </c>
      <c r="E248">
        <v>3</v>
      </c>
      <c r="F248">
        <v>0</v>
      </c>
      <c r="G248">
        <v>1.73</v>
      </c>
      <c r="H248">
        <v>0</v>
      </c>
      <c r="I248">
        <v>0.2</v>
      </c>
      <c r="J248">
        <v>-1</v>
      </c>
      <c r="K248">
        <v>-0.50242800677583288</v>
      </c>
      <c r="L248">
        <v>0</v>
      </c>
      <c r="M248">
        <v>0.1</v>
      </c>
      <c r="N248">
        <v>1</v>
      </c>
      <c r="O248">
        <v>0.7</v>
      </c>
      <c r="P248">
        <v>27.27321553305844</v>
      </c>
      <c r="Q248">
        <v>0.580557458499533</v>
      </c>
      <c r="R248">
        <v>-0.19472969346455704</v>
      </c>
      <c r="S248">
        <v>0.75523138752081165</v>
      </c>
      <c r="T248">
        <v>0.17282704933611259</v>
      </c>
      <c r="U248">
        <v>0.87461024319752056</v>
      </c>
      <c r="V248">
        <v>27.063795165371893</v>
      </c>
      <c r="W248">
        <v>0.46090922414194113</v>
      </c>
      <c r="X248">
        <v>-4.3881041147074583E-3</v>
      </c>
      <c r="Y248">
        <v>0.86147530488560364</v>
      </c>
      <c r="Z248">
        <v>0.15725398298169668</v>
      </c>
      <c r="AA248">
        <v>1.1812318780743649</v>
      </c>
    </row>
    <row r="249" spans="1:27" x14ac:dyDescent="0.2">
      <c r="A249" s="7" t="s">
        <v>2231</v>
      </c>
      <c r="B249" t="s">
        <v>1235</v>
      </c>
      <c r="C249">
        <v>2021</v>
      </c>
      <c r="D249">
        <v>26.75</v>
      </c>
      <c r="E249">
        <v>3</v>
      </c>
      <c r="F249">
        <v>26.75</v>
      </c>
      <c r="G249">
        <v>34.18</v>
      </c>
      <c r="H249">
        <v>1</v>
      </c>
      <c r="I249">
        <v>0.7</v>
      </c>
      <c r="J249">
        <v>-0.57363723302518321</v>
      </c>
      <c r="K249">
        <v>0.78806004987331479</v>
      </c>
      <c r="L249">
        <v>0</v>
      </c>
      <c r="M249">
        <v>0.5</v>
      </c>
      <c r="N249">
        <v>1</v>
      </c>
      <c r="O249">
        <v>0.1</v>
      </c>
      <c r="P249">
        <v>27.112057468088935</v>
      </c>
      <c r="Q249">
        <v>0.59786906208150392</v>
      </c>
      <c r="R249">
        <v>2.6412897840841776E-3</v>
      </c>
      <c r="S249">
        <v>0.66471778381247648</v>
      </c>
      <c r="T249">
        <v>0.29527148694813293</v>
      </c>
      <c r="U249">
        <v>1.2891821615675172</v>
      </c>
      <c r="V249">
        <v>26.972090455383075</v>
      </c>
      <c r="W249">
        <v>0.47668442689173807</v>
      </c>
      <c r="X249">
        <v>0.75116718942493066</v>
      </c>
      <c r="Y249">
        <v>1.0724755143650073</v>
      </c>
      <c r="Z249">
        <v>0.28656614261408808</v>
      </c>
      <c r="AA249">
        <v>2.1240580121923887</v>
      </c>
    </row>
    <row r="250" spans="1:27" x14ac:dyDescent="0.2">
      <c r="A250" s="7" t="s">
        <v>2231</v>
      </c>
      <c r="B250" t="s">
        <v>1239</v>
      </c>
      <c r="C250">
        <v>2020</v>
      </c>
      <c r="D250">
        <v>62.739999999999995</v>
      </c>
      <c r="E250">
        <v>3</v>
      </c>
      <c r="F250">
        <v>62.739999999999995</v>
      </c>
      <c r="G250">
        <v>17.709999999999997</v>
      </c>
      <c r="H250">
        <v>1</v>
      </c>
      <c r="I250">
        <v>0.7</v>
      </c>
      <c r="J250">
        <v>0.53849926434526707</v>
      </c>
      <c r="K250">
        <v>0.60552962227545781</v>
      </c>
      <c r="L250">
        <v>1</v>
      </c>
      <c r="M250">
        <v>0.6</v>
      </c>
      <c r="N250">
        <v>0</v>
      </c>
      <c r="O250">
        <v>0.1</v>
      </c>
      <c r="P250">
        <v>27.012753181442683</v>
      </c>
      <c r="Q250">
        <v>0.56492854584626917</v>
      </c>
      <c r="R250">
        <v>0.41300434512725026</v>
      </c>
      <c r="S250">
        <v>0.5169378943872468</v>
      </c>
      <c r="T250">
        <v>0.23261191418087043</v>
      </c>
      <c r="U250">
        <v>1.9828240894497953</v>
      </c>
      <c r="V250">
        <v>26.799265694278652</v>
      </c>
      <c r="W250">
        <v>0.50023472506834221</v>
      </c>
      <c r="X250">
        <v>-1.1348966072391132E-2</v>
      </c>
      <c r="Y250">
        <v>1.0934064901067848</v>
      </c>
      <c r="Z250">
        <v>8.0467500088712507E-2</v>
      </c>
      <c r="AA250">
        <v>1.6265390481461324</v>
      </c>
    </row>
    <row r="251" spans="1:27" x14ac:dyDescent="0.2">
      <c r="A251" s="7" t="s">
        <v>2231</v>
      </c>
      <c r="B251" t="s">
        <v>1243</v>
      </c>
      <c r="C251">
        <v>2019</v>
      </c>
      <c r="D251">
        <v>40.78</v>
      </c>
      <c r="E251">
        <v>3</v>
      </c>
      <c r="F251">
        <v>40.78</v>
      </c>
      <c r="G251">
        <v>15.513000000000002</v>
      </c>
      <c r="H251">
        <v>1</v>
      </c>
      <c r="I251">
        <v>0.7</v>
      </c>
      <c r="J251">
        <v>0.48452857662904997</v>
      </c>
      <c r="K251">
        <v>0.20315373799729616</v>
      </c>
      <c r="L251">
        <v>1</v>
      </c>
      <c r="M251">
        <v>0.3</v>
      </c>
      <c r="N251">
        <v>0</v>
      </c>
      <c r="O251">
        <v>0.4</v>
      </c>
      <c r="P251">
        <v>26.968364342366602</v>
      </c>
      <c r="Q251">
        <v>0.5620373244354776</v>
      </c>
      <c r="R251">
        <v>0.39562081736079535</v>
      </c>
      <c r="S251">
        <v>0.36934000894960362</v>
      </c>
      <c r="T251">
        <v>0.26766892492487349</v>
      </c>
      <c r="U251">
        <v>3.3522091167754411</v>
      </c>
      <c r="V251">
        <v>26.688792670720012</v>
      </c>
      <c r="W251">
        <v>0.49458540475080159</v>
      </c>
      <c r="X251">
        <v>3.1964825310993985E-3</v>
      </c>
      <c r="Y251">
        <v>0.96206481838792968</v>
      </c>
      <c r="Z251">
        <v>0.12503483236194149</v>
      </c>
      <c r="AA251">
        <v>1.3796844213338875</v>
      </c>
    </row>
    <row r="252" spans="1:27" x14ac:dyDescent="0.2">
      <c r="A252" s="7" t="s">
        <v>2231</v>
      </c>
      <c r="B252" t="s">
        <v>1247</v>
      </c>
      <c r="C252">
        <v>2018</v>
      </c>
      <c r="D252">
        <v>27.47</v>
      </c>
      <c r="E252">
        <v>3</v>
      </c>
      <c r="F252">
        <v>27.47</v>
      </c>
      <c r="G252">
        <v>19.947999999999997</v>
      </c>
      <c r="H252">
        <v>1</v>
      </c>
      <c r="I252">
        <v>0.4</v>
      </c>
      <c r="J252">
        <v>9.2680986475735805E-2</v>
      </c>
      <c r="K252">
        <v>0.11158876958848171</v>
      </c>
      <c r="L252">
        <v>1</v>
      </c>
      <c r="M252">
        <v>0.4</v>
      </c>
      <c r="N252">
        <v>0</v>
      </c>
      <c r="O252">
        <v>0.2</v>
      </c>
      <c r="P252">
        <v>26.759412120179281</v>
      </c>
      <c r="Q252">
        <v>0.61790483840890509</v>
      </c>
      <c r="R252">
        <v>0.16400614606710828</v>
      </c>
      <c r="S252">
        <v>-1.2428048310420146</v>
      </c>
      <c r="T252">
        <v>7.3697376488828889E-2</v>
      </c>
      <c r="U252">
        <v>12.435628934858023</v>
      </c>
      <c r="V252">
        <v>26.551657841559482</v>
      </c>
      <c r="W252">
        <v>0.50818084484556691</v>
      </c>
      <c r="X252">
        <v>0.22289535272743355</v>
      </c>
      <c r="Y252">
        <v>1.1400875397384618</v>
      </c>
      <c r="Z252">
        <v>0.16339310204693139</v>
      </c>
      <c r="AA252">
        <v>1.3285126168460555</v>
      </c>
    </row>
    <row r="253" spans="1:27" x14ac:dyDescent="0.2">
      <c r="A253" s="7" t="s">
        <v>2231</v>
      </c>
      <c r="B253" t="s">
        <v>1251</v>
      </c>
      <c r="C253">
        <v>2017</v>
      </c>
      <c r="D253">
        <v>25.14</v>
      </c>
      <c r="E253">
        <v>3</v>
      </c>
      <c r="F253">
        <v>25.14</v>
      </c>
      <c r="G253">
        <v>13.441970000000001</v>
      </c>
      <c r="H253">
        <v>1</v>
      </c>
      <c r="I253">
        <v>0.6</v>
      </c>
      <c r="J253">
        <v>0.64960629921259849</v>
      </c>
      <c r="K253">
        <v>6.769714685843331E-2</v>
      </c>
      <c r="L253">
        <v>1</v>
      </c>
      <c r="M253">
        <v>0.4</v>
      </c>
      <c r="N253">
        <v>0</v>
      </c>
      <c r="O253">
        <v>0.2</v>
      </c>
      <c r="P253">
        <v>26.652703226837914</v>
      </c>
      <c r="Q253">
        <v>0.62121917170777108</v>
      </c>
      <c r="R253">
        <v>-3.7315814591568186E-2</v>
      </c>
      <c r="S253">
        <v>2.1722560975609766</v>
      </c>
      <c r="T253">
        <v>0.19147726097389164</v>
      </c>
      <c r="U253">
        <v>8.8277439024390247</v>
      </c>
      <c r="V253">
        <v>26.53307403007609</v>
      </c>
      <c r="W253">
        <v>0.52735507662367664</v>
      </c>
      <c r="X253">
        <v>0.1130903370254189</v>
      </c>
      <c r="Y253">
        <v>0.94639899891877732</v>
      </c>
      <c r="Z253">
        <v>0.11361086254277245</v>
      </c>
      <c r="AA253">
        <v>1.2932856929613004</v>
      </c>
    </row>
    <row r="254" spans="1:27" x14ac:dyDescent="0.2">
      <c r="A254" s="7" t="s">
        <v>2231</v>
      </c>
      <c r="B254" t="s">
        <v>1255</v>
      </c>
      <c r="C254">
        <v>2016</v>
      </c>
      <c r="D254">
        <v>15.24</v>
      </c>
      <c r="E254">
        <v>3</v>
      </c>
      <c r="F254">
        <v>15.24</v>
      </c>
      <c r="G254">
        <v>10.46265</v>
      </c>
      <c r="H254">
        <v>1</v>
      </c>
      <c r="I254">
        <v>0.6</v>
      </c>
      <c r="J254">
        <v>1</v>
      </c>
      <c r="K254">
        <v>0.57820492862735828</v>
      </c>
      <c r="L254">
        <v>1</v>
      </c>
      <c r="M254">
        <v>0.5</v>
      </c>
      <c r="N254">
        <v>0</v>
      </c>
      <c r="O254">
        <v>0</v>
      </c>
      <c r="P254">
        <v>26.663253040239184</v>
      </c>
      <c r="Q254">
        <v>0.51853159195199439</v>
      </c>
      <c r="R254">
        <v>0.22929450424786957</v>
      </c>
      <c r="S254">
        <v>-8.736714975845409</v>
      </c>
      <c r="T254">
        <v>0.28403670259545266</v>
      </c>
      <c r="U254">
        <v>-14.685990338164251</v>
      </c>
      <c r="V254">
        <v>26.542736515363099</v>
      </c>
      <c r="W254">
        <v>0.50874654089017135</v>
      </c>
      <c r="X254">
        <v>0.12639389941621879</v>
      </c>
      <c r="Y254">
        <v>0.9845612367969947</v>
      </c>
      <c r="Z254">
        <v>0.14856735325807288</v>
      </c>
      <c r="AA254">
        <v>1.6400235687752638</v>
      </c>
    </row>
    <row r="255" spans="1:27" x14ac:dyDescent="0.2">
      <c r="A255" s="7" t="s">
        <v>2231</v>
      </c>
      <c r="B255" t="s">
        <v>1258</v>
      </c>
      <c r="C255">
        <v>2015</v>
      </c>
      <c r="D255">
        <v>0</v>
      </c>
      <c r="E255">
        <v>3</v>
      </c>
      <c r="F255">
        <v>0</v>
      </c>
      <c r="G255">
        <v>7.1246499999999999</v>
      </c>
      <c r="H255">
        <v>0</v>
      </c>
      <c r="I255">
        <v>0.6</v>
      </c>
      <c r="J255">
        <v>0</v>
      </c>
      <c r="K255">
        <v>0.8808871705905531</v>
      </c>
      <c r="L255">
        <v>0</v>
      </c>
      <c r="M255">
        <v>0.5</v>
      </c>
      <c r="N255">
        <v>0</v>
      </c>
      <c r="O255">
        <v>0.1</v>
      </c>
      <c r="P255">
        <v>26.434787686991324</v>
      </c>
      <c r="Q255">
        <v>0.40984602917341983</v>
      </c>
      <c r="R255">
        <v>0.54489233970251583</v>
      </c>
      <c r="S255">
        <v>1.1225359616409167</v>
      </c>
      <c r="T255">
        <v>0.28036370080403633</v>
      </c>
      <c r="U255">
        <v>1.6297282898241876</v>
      </c>
      <c r="V255">
        <v>26.350283740928528</v>
      </c>
      <c r="W255">
        <v>0.5074832416939079</v>
      </c>
      <c r="X255">
        <v>0.22069284979897213</v>
      </c>
      <c r="Y255">
        <v>0.94997838126214029</v>
      </c>
      <c r="Z255">
        <v>-5.2966249697537987E-3</v>
      </c>
      <c r="AA255">
        <v>3.1330860258309929</v>
      </c>
    </row>
    <row r="256" spans="1:27" x14ac:dyDescent="0.2">
      <c r="A256" s="7" t="s">
        <v>2231</v>
      </c>
      <c r="B256" t="s">
        <v>1260</v>
      </c>
      <c r="C256">
        <v>2014</v>
      </c>
      <c r="D256">
        <v>0</v>
      </c>
      <c r="E256">
        <v>3</v>
      </c>
      <c r="F256">
        <v>0</v>
      </c>
      <c r="G256">
        <v>7.8559999999999999</v>
      </c>
      <c r="H256">
        <v>0</v>
      </c>
      <c r="I256">
        <v>0.5</v>
      </c>
      <c r="J256">
        <v>0</v>
      </c>
      <c r="K256">
        <v>1.0733185192796773</v>
      </c>
      <c r="L256">
        <v>0</v>
      </c>
      <c r="M256">
        <v>0.3</v>
      </c>
      <c r="N256">
        <v>0</v>
      </c>
      <c r="O256">
        <v>0.1</v>
      </c>
      <c r="P256">
        <v>25.952221995791938</v>
      </c>
      <c r="Q256">
        <v>0.19734108849189863</v>
      </c>
      <c r="R256">
        <v>0.17080413681093187</v>
      </c>
      <c r="S256">
        <v>0.77654320987654357</v>
      </c>
      <c r="T256">
        <v>-3.7425611559656721E-2</v>
      </c>
      <c r="U256">
        <v>1.971604938271605</v>
      </c>
      <c r="V256">
        <v>26.336662157941319</v>
      </c>
      <c r="W256">
        <v>0.55137699328532674</v>
      </c>
      <c r="X256">
        <v>6.5830333517694115E-2</v>
      </c>
      <c r="Y256">
        <v>0.79729948105371473</v>
      </c>
      <c r="Z256">
        <v>-8.2555906629043954E-2</v>
      </c>
      <c r="AA256">
        <v>1.5884671163184398</v>
      </c>
    </row>
    <row r="257" spans="1:27" x14ac:dyDescent="0.2">
      <c r="A257" s="7" t="s">
        <v>2234</v>
      </c>
      <c r="B257" t="s">
        <v>1267</v>
      </c>
      <c r="C257">
        <v>2025</v>
      </c>
      <c r="D257">
        <v>0</v>
      </c>
      <c r="E257">
        <v>3</v>
      </c>
      <c r="F257">
        <v>0</v>
      </c>
      <c r="G257">
        <v>10.684999999999999</v>
      </c>
      <c r="H257">
        <v>0</v>
      </c>
      <c r="I257">
        <v>0.1</v>
      </c>
      <c r="J257">
        <v>0</v>
      </c>
      <c r="K257">
        <v>-0.44741116251599566</v>
      </c>
      <c r="L257">
        <v>0</v>
      </c>
      <c r="M257">
        <v>0</v>
      </c>
      <c r="N257">
        <v>0</v>
      </c>
      <c r="O257">
        <v>0.5</v>
      </c>
      <c r="P257">
        <v>26.038509148084042</v>
      </c>
      <c r="Q257">
        <v>0.58527436656277343</v>
      </c>
      <c r="R257">
        <v>-0.26123395286263429</v>
      </c>
      <c r="S257">
        <v>0.96564943803877346</v>
      </c>
      <c r="T257">
        <v>-0.24550160124589299</v>
      </c>
      <c r="U257">
        <v>0.47975120939875604</v>
      </c>
      <c r="V257">
        <v>27.738517993834176</v>
      </c>
      <c r="W257">
        <v>0.5211109608208746</v>
      </c>
      <c r="X257">
        <v>-6.9762848121615803E-2</v>
      </c>
      <c r="Y257">
        <v>0.98996296707782683</v>
      </c>
      <c r="Z257">
        <v>5.2288499081297693E-2</v>
      </c>
      <c r="AA257">
        <v>3.5736158631000898</v>
      </c>
    </row>
    <row r="258" spans="1:27" x14ac:dyDescent="0.2">
      <c r="A258" s="7" t="s">
        <v>2234</v>
      </c>
      <c r="B258" t="s">
        <v>1269</v>
      </c>
      <c r="C258">
        <v>2024</v>
      </c>
      <c r="D258">
        <v>0</v>
      </c>
      <c r="E258">
        <v>3</v>
      </c>
      <c r="F258">
        <v>0</v>
      </c>
      <c r="G258">
        <v>33.058</v>
      </c>
      <c r="H258">
        <v>0</v>
      </c>
      <c r="I258">
        <v>0.5</v>
      </c>
      <c r="J258">
        <v>0</v>
      </c>
      <c r="K258">
        <v>-0.20461447297899457</v>
      </c>
      <c r="L258">
        <v>0</v>
      </c>
      <c r="M258">
        <v>0.1</v>
      </c>
      <c r="N258">
        <v>0</v>
      </c>
      <c r="O258">
        <v>0.5</v>
      </c>
      <c r="P258">
        <v>26.155771705307011</v>
      </c>
      <c r="Q258">
        <v>0.51902834008097165</v>
      </c>
      <c r="R258">
        <v>-0.14502584995316037</v>
      </c>
      <c r="S258">
        <v>1.6157530601383714</v>
      </c>
      <c r="T258">
        <v>-5.1680518455783149E-2</v>
      </c>
      <c r="U258">
        <v>0.3145290047897818</v>
      </c>
      <c r="V258">
        <v>27.39558191459156</v>
      </c>
      <c r="W258">
        <v>0.47625004715662006</v>
      </c>
      <c r="X258">
        <v>4.231369483660704E-2</v>
      </c>
      <c r="Y258">
        <v>1.128311451687531</v>
      </c>
      <c r="Z258">
        <v>5.5243802855422297E-2</v>
      </c>
      <c r="AA258">
        <v>2.7897667155982377</v>
      </c>
    </row>
    <row r="259" spans="1:27" x14ac:dyDescent="0.2">
      <c r="A259" s="7" t="s">
        <v>2234</v>
      </c>
      <c r="B259" t="s">
        <v>1271</v>
      </c>
      <c r="C259">
        <v>2023</v>
      </c>
      <c r="D259">
        <v>0</v>
      </c>
      <c r="E259">
        <v>3</v>
      </c>
      <c r="F259">
        <v>0</v>
      </c>
      <c r="G259">
        <v>25.244</v>
      </c>
      <c r="H259">
        <v>0</v>
      </c>
      <c r="I259">
        <v>0.6</v>
      </c>
      <c r="J259">
        <v>0</v>
      </c>
      <c r="K259">
        <v>0.43287037037037035</v>
      </c>
      <c r="L259">
        <v>0</v>
      </c>
      <c r="M259">
        <v>0.6</v>
      </c>
      <c r="N259">
        <v>0</v>
      </c>
      <c r="O259">
        <v>0.1</v>
      </c>
      <c r="P259">
        <v>26.236253004503116</v>
      </c>
      <c r="Q259">
        <v>0.52308752584424534</v>
      </c>
      <c r="R259">
        <v>-2.4291766276355764E-2</v>
      </c>
      <c r="S259">
        <v>1.4025686448184234</v>
      </c>
      <c r="T259">
        <v>0.16345331283317965</v>
      </c>
      <c r="U259">
        <v>0.28520814880425155</v>
      </c>
      <c r="V259">
        <v>27.308310341201896</v>
      </c>
      <c r="W259">
        <v>0.44904536574553927</v>
      </c>
      <c r="X259">
        <v>0.14635217066338754</v>
      </c>
      <c r="Y259">
        <v>8.1768294608538846E-3</v>
      </c>
      <c r="Z259">
        <v>0.11389299320339794</v>
      </c>
      <c r="AA259">
        <v>-0.64173084049487839</v>
      </c>
    </row>
    <row r="260" spans="1:27" x14ac:dyDescent="0.2">
      <c r="A260" s="7" t="s">
        <v>2234</v>
      </c>
      <c r="B260" t="s">
        <v>1273</v>
      </c>
      <c r="C260">
        <v>2022</v>
      </c>
      <c r="D260">
        <v>0</v>
      </c>
      <c r="E260">
        <v>3</v>
      </c>
      <c r="F260">
        <v>0</v>
      </c>
      <c r="G260">
        <v>1.73</v>
      </c>
      <c r="H260">
        <v>0</v>
      </c>
      <c r="I260">
        <v>0.2</v>
      </c>
      <c r="J260">
        <v>-1</v>
      </c>
      <c r="K260">
        <v>-0.50242800677583288</v>
      </c>
      <c r="L260">
        <v>0</v>
      </c>
      <c r="M260">
        <v>0.1</v>
      </c>
      <c r="N260">
        <v>1</v>
      </c>
      <c r="O260">
        <v>0.7</v>
      </c>
      <c r="P260">
        <v>26.079837087425371</v>
      </c>
      <c r="Q260">
        <v>0.59890815671162489</v>
      </c>
      <c r="R260">
        <v>0.25001561793176097</v>
      </c>
      <c r="S260">
        <v>1.1450189155107189</v>
      </c>
      <c r="T260">
        <v>0.2521562715003316</v>
      </c>
      <c r="U260">
        <v>0.30895334174022704</v>
      </c>
      <c r="V260">
        <v>27.183133009935197</v>
      </c>
      <c r="W260">
        <v>0.45907415432073195</v>
      </c>
      <c r="X260">
        <v>-4.8862635254339259E-2</v>
      </c>
      <c r="Y260">
        <v>0.82249655208661299</v>
      </c>
      <c r="Z260">
        <v>0.14932106076527479</v>
      </c>
      <c r="AA260">
        <v>1.2377975682200941</v>
      </c>
    </row>
    <row r="261" spans="1:27" x14ac:dyDescent="0.2">
      <c r="A261" s="7" t="s">
        <v>2234</v>
      </c>
      <c r="B261" t="s">
        <v>1275</v>
      </c>
      <c r="C261">
        <v>2021</v>
      </c>
      <c r="D261">
        <v>51</v>
      </c>
      <c r="E261">
        <v>3</v>
      </c>
      <c r="F261">
        <v>51</v>
      </c>
      <c r="G261">
        <v>31.755000000000003</v>
      </c>
      <c r="H261">
        <v>1</v>
      </c>
      <c r="I261">
        <v>0.7</v>
      </c>
      <c r="J261">
        <v>5.0714285714285712</v>
      </c>
      <c r="K261">
        <v>0.22355346942793944</v>
      </c>
      <c r="L261">
        <v>1</v>
      </c>
      <c r="M261">
        <v>0.4</v>
      </c>
      <c r="N261">
        <v>0</v>
      </c>
      <c r="O261">
        <v>0.2</v>
      </c>
      <c r="P261">
        <v>26.071615482413364</v>
      </c>
      <c r="Q261">
        <v>0.60912280701754384</v>
      </c>
      <c r="R261">
        <v>2.4586488015542365</v>
      </c>
      <c r="S261">
        <v>1.3326432022084191</v>
      </c>
      <c r="T261">
        <v>0.31638871745582159</v>
      </c>
      <c r="U261">
        <v>0.9668737060041408</v>
      </c>
      <c r="V261">
        <v>27.076134653950628</v>
      </c>
      <c r="W261">
        <v>0.47555905239813406</v>
      </c>
      <c r="X261">
        <v>0.50556643824791536</v>
      </c>
      <c r="Y261">
        <v>1.0056829725254128</v>
      </c>
      <c r="Z261">
        <v>0.28445441956331918</v>
      </c>
      <c r="AA261">
        <v>2.1562888577487263</v>
      </c>
    </row>
    <row r="262" spans="1:27" x14ac:dyDescent="0.2">
      <c r="A262" s="7" t="s">
        <v>2234</v>
      </c>
      <c r="B262" t="s">
        <v>1277</v>
      </c>
      <c r="C262">
        <v>2020</v>
      </c>
      <c r="D262">
        <v>8.4</v>
      </c>
      <c r="E262">
        <v>3</v>
      </c>
      <c r="F262">
        <v>8.4</v>
      </c>
      <c r="G262">
        <v>23.143999999999998</v>
      </c>
      <c r="H262">
        <v>1</v>
      </c>
      <c r="I262">
        <v>0.7</v>
      </c>
      <c r="J262">
        <v>0.57598499061913699</v>
      </c>
      <c r="K262">
        <v>0.60178104964807078</v>
      </c>
      <c r="L262">
        <v>1</v>
      </c>
      <c r="M262">
        <v>0.6</v>
      </c>
      <c r="N262">
        <v>0</v>
      </c>
      <c r="O262">
        <v>0.1</v>
      </c>
      <c r="P262">
        <v>26.010550011149842</v>
      </c>
      <c r="Q262">
        <v>0.6560672514619883</v>
      </c>
      <c r="R262">
        <v>-0.30541965177727892</v>
      </c>
      <c r="S262">
        <v>1.4040968342644322</v>
      </c>
      <c r="T262">
        <v>8.4360917774422575E-2</v>
      </c>
      <c r="U262">
        <v>1.5474860335195528</v>
      </c>
      <c r="V262">
        <v>26.899486011307943</v>
      </c>
      <c r="W262">
        <v>0.49112085450677034</v>
      </c>
      <c r="X262">
        <v>6.0493433618061788E-2</v>
      </c>
      <c r="Y262">
        <v>1.0046905961190662</v>
      </c>
      <c r="Z262">
        <v>9.5292599729357289E-2</v>
      </c>
      <c r="AA262">
        <v>1.6700728537391565</v>
      </c>
    </row>
    <row r="263" spans="1:27" x14ac:dyDescent="0.2">
      <c r="A263" s="7" t="s">
        <v>2234</v>
      </c>
      <c r="B263" t="s">
        <v>1279</v>
      </c>
      <c r="C263">
        <v>2019</v>
      </c>
      <c r="D263">
        <v>5.33</v>
      </c>
      <c r="E263">
        <v>3</v>
      </c>
      <c r="F263">
        <v>5.33</v>
      </c>
      <c r="G263">
        <v>19.058</v>
      </c>
      <c r="H263">
        <v>1</v>
      </c>
      <c r="I263">
        <v>0.7</v>
      </c>
      <c r="J263">
        <v>1</v>
      </c>
      <c r="K263">
        <v>0.15160659566020115</v>
      </c>
      <c r="L263">
        <v>1</v>
      </c>
      <c r="M263">
        <v>0.3</v>
      </c>
      <c r="N263">
        <v>0</v>
      </c>
      <c r="O263">
        <v>0.4</v>
      </c>
      <c r="P263">
        <v>25.382664714325671</v>
      </c>
      <c r="Q263">
        <v>0.31801470588235298</v>
      </c>
      <c r="R263">
        <v>-5.5453423893357501E-2</v>
      </c>
      <c r="S263">
        <v>1.194054500412882</v>
      </c>
      <c r="T263">
        <v>0.13210198014583921</v>
      </c>
      <c r="U263">
        <v>0.34764657308009911</v>
      </c>
      <c r="V263">
        <v>26.847362633524103</v>
      </c>
      <c r="W263">
        <v>0.51898766660611417</v>
      </c>
      <c r="X263">
        <v>4.8303906656514684E-2</v>
      </c>
      <c r="Y263">
        <v>0.87959336924160181</v>
      </c>
      <c r="Z263">
        <v>0.13859152683984494</v>
      </c>
      <c r="AA263">
        <v>1.6801406757034218</v>
      </c>
    </row>
    <row r="264" spans="1:27" x14ac:dyDescent="0.2">
      <c r="A264" s="7" t="s">
        <v>2234</v>
      </c>
      <c r="B264" t="s">
        <v>1281</v>
      </c>
      <c r="C264">
        <v>2018</v>
      </c>
      <c r="D264">
        <v>0</v>
      </c>
      <c r="E264">
        <v>3</v>
      </c>
      <c r="F264">
        <v>0</v>
      </c>
      <c r="G264">
        <v>22.694999999999997</v>
      </c>
      <c r="H264">
        <v>0</v>
      </c>
      <c r="I264">
        <v>0.5</v>
      </c>
      <c r="J264">
        <v>0</v>
      </c>
      <c r="K264">
        <v>0.12085686823605531</v>
      </c>
      <c r="L264">
        <v>0</v>
      </c>
      <c r="M264">
        <v>0.5</v>
      </c>
      <c r="N264">
        <v>0</v>
      </c>
      <c r="O264">
        <v>0.2</v>
      </c>
      <c r="P264">
        <v>25.309647371206648</v>
      </c>
      <c r="Q264">
        <v>0.36515054452274187</v>
      </c>
      <c r="R264">
        <v>0.34766836268953294</v>
      </c>
      <c r="S264">
        <v>1.3319327731092439</v>
      </c>
      <c r="T264">
        <v>0.31934506484561809</v>
      </c>
      <c r="U264">
        <v>0.63970588235294112</v>
      </c>
      <c r="V264">
        <v>26.696634316456745</v>
      </c>
      <c r="W264">
        <v>0.53345627423418318</v>
      </c>
      <c r="X264">
        <v>0.20452913106519111</v>
      </c>
      <c r="Y264">
        <v>0.88261377932333573</v>
      </c>
      <c r="Z264">
        <v>0.13882833321125249</v>
      </c>
      <c r="AA264">
        <v>2.508104922096563</v>
      </c>
    </row>
    <row r="265" spans="1:27" x14ac:dyDescent="0.2">
      <c r="A265" s="7" t="s">
        <v>2234</v>
      </c>
      <c r="B265" t="s">
        <v>1283</v>
      </c>
      <c r="C265">
        <v>2017</v>
      </c>
      <c r="D265">
        <v>0</v>
      </c>
      <c r="E265">
        <v>3</v>
      </c>
      <c r="F265">
        <v>0</v>
      </c>
      <c r="G265">
        <v>15.955969999999999</v>
      </c>
      <c r="H265">
        <v>0</v>
      </c>
      <c r="I265">
        <v>0.7</v>
      </c>
      <c r="J265">
        <v>0</v>
      </c>
      <c r="K265">
        <v>0.13265777677969315</v>
      </c>
      <c r="L265">
        <v>0</v>
      </c>
      <c r="M265">
        <v>0.5</v>
      </c>
      <c r="N265">
        <v>0</v>
      </c>
      <c r="O265">
        <v>0.2</v>
      </c>
      <c r="P265">
        <v>25.083249359058922</v>
      </c>
      <c r="Q265">
        <v>0.5156482861400894</v>
      </c>
      <c r="R265">
        <v>0.50367224060249072</v>
      </c>
      <c r="S265">
        <v>1.2371601208459213</v>
      </c>
      <c r="T265">
        <v>0.21774580814033706</v>
      </c>
      <c r="U265">
        <v>1.0271903323262841</v>
      </c>
      <c r="V265">
        <v>26.690019416853989</v>
      </c>
      <c r="W265">
        <v>0.53791216518044482</v>
      </c>
      <c r="X265">
        <v>5.8991531506013009E-2</v>
      </c>
      <c r="Y265">
        <v>1.039908596590283</v>
      </c>
      <c r="Z265">
        <v>0.11098400782612791</v>
      </c>
      <c r="AA265">
        <v>2.0733410499725742</v>
      </c>
    </row>
    <row r="266" spans="1:27" x14ac:dyDescent="0.2">
      <c r="A266" s="7" t="s">
        <v>2234</v>
      </c>
      <c r="B266" t="s">
        <v>1285</v>
      </c>
      <c r="C266">
        <v>2016</v>
      </c>
      <c r="D266">
        <v>0</v>
      </c>
      <c r="E266">
        <v>3</v>
      </c>
      <c r="F266">
        <v>0</v>
      </c>
      <c r="G266">
        <v>11.986649999999999</v>
      </c>
      <c r="H266">
        <v>0</v>
      </c>
      <c r="I266">
        <v>0.7</v>
      </c>
      <c r="J266">
        <v>0</v>
      </c>
      <c r="K266">
        <v>0.67820492862735826</v>
      </c>
      <c r="L266">
        <v>0</v>
      </c>
      <c r="M266">
        <v>0.6</v>
      </c>
      <c r="N266">
        <v>0</v>
      </c>
      <c r="O266">
        <v>0</v>
      </c>
      <c r="P266">
        <v>25.251577513258013</v>
      </c>
      <c r="Q266">
        <v>0.4583635047067342</v>
      </c>
      <c r="R266">
        <v>0.31162449071745724</v>
      </c>
      <c r="S266">
        <v>1.5510835913312691</v>
      </c>
      <c r="T266">
        <v>0.16878522516712077</v>
      </c>
      <c r="U266">
        <v>3.2755417956656347</v>
      </c>
      <c r="V266">
        <v>26.683904068061217</v>
      </c>
      <c r="W266">
        <v>0.51476334961469739</v>
      </c>
      <c r="X266">
        <v>0.11816090076926003</v>
      </c>
      <c r="Y266">
        <v>-4.4218619920673177E-2</v>
      </c>
      <c r="Z266">
        <v>0.16009250100090608</v>
      </c>
      <c r="AA266">
        <v>-0.15612964460772458</v>
      </c>
    </row>
    <row r="267" spans="1:27" x14ac:dyDescent="0.2">
      <c r="A267" s="7" t="s">
        <v>2234</v>
      </c>
      <c r="B267" t="s">
        <v>1287</v>
      </c>
      <c r="C267">
        <v>2015</v>
      </c>
      <c r="D267">
        <v>0</v>
      </c>
      <c r="E267">
        <v>3</v>
      </c>
      <c r="F267">
        <v>0</v>
      </c>
      <c r="G267">
        <v>7.1246499999999999</v>
      </c>
      <c r="H267">
        <v>0</v>
      </c>
      <c r="I267">
        <v>0.6</v>
      </c>
      <c r="J267">
        <v>0</v>
      </c>
      <c r="K267">
        <v>0.8808871705905531</v>
      </c>
      <c r="L267">
        <v>0</v>
      </c>
      <c r="M267">
        <v>0.5</v>
      </c>
      <c r="N267">
        <v>0</v>
      </c>
      <c r="O267">
        <v>0.1</v>
      </c>
      <c r="P267">
        <v>24.71944886439827</v>
      </c>
      <c r="Q267">
        <v>0.56193693693693691</v>
      </c>
      <c r="R267">
        <v>0.4932607852969968</v>
      </c>
      <c r="S267">
        <v>3.0980392156862755</v>
      </c>
      <c r="T267">
        <v>-0.16829033095142062</v>
      </c>
      <c r="U267">
        <v>7.7058823529411766</v>
      </c>
      <c r="V267">
        <v>26.521817623187832</v>
      </c>
      <c r="W267">
        <v>0.49227415091755622</v>
      </c>
      <c r="X267">
        <v>0.22642968917736311</v>
      </c>
      <c r="Y267">
        <v>0.7304780197015448</v>
      </c>
      <c r="Z267">
        <v>4.4553823003074748E-2</v>
      </c>
      <c r="AA267">
        <v>2.525470619519294</v>
      </c>
    </row>
    <row r="268" spans="1:27" x14ac:dyDescent="0.2">
      <c r="A268" s="7" t="s">
        <v>2234</v>
      </c>
      <c r="B268" t="s">
        <v>1289</v>
      </c>
      <c r="C268">
        <v>2014</v>
      </c>
      <c r="D268">
        <v>0</v>
      </c>
      <c r="E268">
        <v>3</v>
      </c>
      <c r="F268">
        <v>0</v>
      </c>
      <c r="G268">
        <v>7.8559999999999999</v>
      </c>
      <c r="H268">
        <v>0</v>
      </c>
      <c r="I268">
        <v>0.5</v>
      </c>
      <c r="J268">
        <v>0</v>
      </c>
      <c r="K268">
        <v>1.0733185192796773</v>
      </c>
      <c r="L268">
        <v>0</v>
      </c>
      <c r="M268">
        <v>0.3</v>
      </c>
      <c r="N268">
        <v>0</v>
      </c>
      <c r="O268">
        <v>0.1</v>
      </c>
      <c r="P268">
        <v>24.342972059042022</v>
      </c>
      <c r="Q268">
        <v>0.76337020148891832</v>
      </c>
      <c r="R268">
        <v>-1.1106540387522457E-2</v>
      </c>
      <c r="S268">
        <v>1.5592442131098985</v>
      </c>
      <c r="T268">
        <v>-0.2629181118909007</v>
      </c>
      <c r="U268">
        <v>2.3958959276656366</v>
      </c>
      <c r="V268">
        <v>26.515467706469089</v>
      </c>
      <c r="W268">
        <v>0.48848486961899112</v>
      </c>
      <c r="X268">
        <v>8.8569168167500906E-2</v>
      </c>
      <c r="Y268">
        <v>0.69946185564954544</v>
      </c>
      <c r="Z268">
        <v>-5.4369344087638452E-2</v>
      </c>
      <c r="AA268">
        <v>1.5413236730524364</v>
      </c>
    </row>
    <row r="269" spans="1:27" x14ac:dyDescent="0.2">
      <c r="A269" s="7" t="s">
        <v>2237</v>
      </c>
      <c r="B269" t="s">
        <v>1297</v>
      </c>
      <c r="C269">
        <v>2025</v>
      </c>
      <c r="D269">
        <v>0</v>
      </c>
      <c r="E269">
        <v>3</v>
      </c>
      <c r="F269">
        <v>0</v>
      </c>
      <c r="G269">
        <v>10.684999999999999</v>
      </c>
      <c r="H269">
        <v>0</v>
      </c>
      <c r="I269">
        <v>0.1</v>
      </c>
      <c r="J269">
        <v>0</v>
      </c>
      <c r="K269">
        <v>-0.44741116251599566</v>
      </c>
      <c r="L269">
        <v>0</v>
      </c>
      <c r="M269">
        <v>0</v>
      </c>
      <c r="N269">
        <v>0</v>
      </c>
      <c r="O269">
        <v>0.5</v>
      </c>
      <c r="P269">
        <v>28.366476176595089</v>
      </c>
      <c r="Q269">
        <v>0.28061143039591319</v>
      </c>
      <c r="R269">
        <v>0.10244476074875819</v>
      </c>
      <c r="S269">
        <v>0.27050997782705105</v>
      </c>
      <c r="T269">
        <v>-1.8293566091048718E-2</v>
      </c>
      <c r="U269">
        <v>1.1367900392290635</v>
      </c>
      <c r="V269">
        <v>27.405951275475452</v>
      </c>
      <c r="W269">
        <v>0.56463423741614049</v>
      </c>
      <c r="X269">
        <v>-0.12171695006610043</v>
      </c>
      <c r="Y269">
        <v>1.0892686042509301</v>
      </c>
      <c r="Z269">
        <v>1.9830208344891371E-2</v>
      </c>
      <c r="AA269">
        <v>3.479753173124331</v>
      </c>
    </row>
    <row r="270" spans="1:27" x14ac:dyDescent="0.2">
      <c r="A270" s="7" t="s">
        <v>2237</v>
      </c>
      <c r="B270" t="s">
        <v>1299</v>
      </c>
      <c r="C270">
        <v>2024</v>
      </c>
      <c r="D270">
        <v>0</v>
      </c>
      <c r="E270">
        <v>3</v>
      </c>
      <c r="F270">
        <v>0</v>
      </c>
      <c r="G270">
        <v>33.058</v>
      </c>
      <c r="H270">
        <v>0</v>
      </c>
      <c r="I270">
        <v>0.5</v>
      </c>
      <c r="J270">
        <v>0</v>
      </c>
      <c r="K270">
        <v>-0.20461447297899457</v>
      </c>
      <c r="L270">
        <v>0</v>
      </c>
      <c r="M270">
        <v>0.1</v>
      </c>
      <c r="N270">
        <v>0</v>
      </c>
      <c r="O270">
        <v>0.5</v>
      </c>
      <c r="P270">
        <v>28.351690887575906</v>
      </c>
      <c r="Q270">
        <v>0.27048331156254218</v>
      </c>
      <c r="R270">
        <v>7.2418617855576128E-2</v>
      </c>
      <c r="S270">
        <v>0.32337731811697584</v>
      </c>
      <c r="T270">
        <v>3.8237284496520953E-2</v>
      </c>
      <c r="U270">
        <v>0.97940442225392299</v>
      </c>
      <c r="V270">
        <v>27.17598999636467</v>
      </c>
      <c r="W270">
        <v>0.5011045500084631</v>
      </c>
      <c r="X270">
        <v>2.0569248055733392E-2</v>
      </c>
      <c r="Y270">
        <v>1.2575490258896704</v>
      </c>
      <c r="Z270">
        <v>4.6252022560191883E-2</v>
      </c>
      <c r="AA270">
        <v>2.7232791738518229</v>
      </c>
    </row>
    <row r="271" spans="1:27" x14ac:dyDescent="0.2">
      <c r="A271" s="7" t="s">
        <v>2237</v>
      </c>
      <c r="B271" t="s">
        <v>1301</v>
      </c>
      <c r="C271">
        <v>2023</v>
      </c>
      <c r="D271">
        <v>0</v>
      </c>
      <c r="E271">
        <v>3</v>
      </c>
      <c r="F271">
        <v>0</v>
      </c>
      <c r="G271">
        <v>25.244</v>
      </c>
      <c r="H271">
        <v>0</v>
      </c>
      <c r="I271">
        <v>0.6</v>
      </c>
      <c r="J271">
        <v>-1</v>
      </c>
      <c r="K271">
        <v>0.53287037037037033</v>
      </c>
      <c r="L271">
        <v>0</v>
      </c>
      <c r="M271">
        <v>0.6</v>
      </c>
      <c r="N271">
        <v>1</v>
      </c>
      <c r="O271">
        <v>0</v>
      </c>
      <c r="P271">
        <v>28.237229963164445</v>
      </c>
      <c r="Q271">
        <v>0.27049944092433842</v>
      </c>
      <c r="R271">
        <v>9.6612994894941684E-2</v>
      </c>
      <c r="S271">
        <v>0.2725127087872185</v>
      </c>
      <c r="T271">
        <v>1.3724480754249481E-2</v>
      </c>
      <c r="U271">
        <v>0.94843863471314438</v>
      </c>
      <c r="V271">
        <v>27.108212645335762</v>
      </c>
      <c r="W271">
        <v>0.47430417423752996</v>
      </c>
      <c r="X271">
        <v>0.1342616945462578</v>
      </c>
      <c r="Y271">
        <v>0.12118242306397438</v>
      </c>
      <c r="Z271">
        <v>0.12886587641129094</v>
      </c>
      <c r="AA271">
        <v>-0.70805388908576783</v>
      </c>
    </row>
    <row r="272" spans="1:27" x14ac:dyDescent="0.2">
      <c r="A272" s="7" t="s">
        <v>2237</v>
      </c>
      <c r="B272" t="s">
        <v>1303</v>
      </c>
      <c r="C272">
        <v>2022</v>
      </c>
      <c r="D272">
        <v>0.02</v>
      </c>
      <c r="E272">
        <v>3</v>
      </c>
      <c r="F272">
        <v>0.02</v>
      </c>
      <c r="G272">
        <v>1.7280000000000002</v>
      </c>
      <c r="H272">
        <v>1</v>
      </c>
      <c r="I272">
        <v>0.1</v>
      </c>
      <c r="J272">
        <v>1</v>
      </c>
      <c r="K272">
        <v>-0.70242800677583284</v>
      </c>
      <c r="L272">
        <v>1</v>
      </c>
      <c r="M272">
        <v>0</v>
      </c>
      <c r="N272">
        <v>0</v>
      </c>
      <c r="O272">
        <v>0.8</v>
      </c>
      <c r="P272">
        <v>28.147934826215039</v>
      </c>
      <c r="Q272">
        <v>0.23665299825423247</v>
      </c>
      <c r="R272">
        <v>7.5111590452883625E-2</v>
      </c>
      <c r="S272">
        <v>0.22101243194929715</v>
      </c>
      <c r="T272">
        <v>7.5835560649665831E-2</v>
      </c>
      <c r="U272">
        <v>1.001381327699683</v>
      </c>
      <c r="V272">
        <v>26.976323236056231</v>
      </c>
      <c r="W272">
        <v>0.4952996701664712</v>
      </c>
      <c r="X272">
        <v>-3.1372232506451526E-2</v>
      </c>
      <c r="Y272">
        <v>0.91489720044275502</v>
      </c>
      <c r="Z272">
        <v>0.16695313185034136</v>
      </c>
      <c r="AA272">
        <v>1.1685547696241485</v>
      </c>
    </row>
    <row r="273" spans="1:27" x14ac:dyDescent="0.2">
      <c r="A273" s="7" t="s">
        <v>2237</v>
      </c>
      <c r="B273" t="s">
        <v>1305</v>
      </c>
      <c r="C273">
        <v>2021</v>
      </c>
      <c r="D273">
        <v>0</v>
      </c>
      <c r="E273">
        <v>3</v>
      </c>
      <c r="F273">
        <v>0</v>
      </c>
      <c r="G273">
        <v>36.855000000000004</v>
      </c>
      <c r="H273">
        <v>0</v>
      </c>
      <c r="I273">
        <v>0.8</v>
      </c>
      <c r="J273">
        <v>0</v>
      </c>
      <c r="K273">
        <v>0.73069632657079653</v>
      </c>
      <c r="L273">
        <v>0</v>
      </c>
      <c r="M273">
        <v>0.5</v>
      </c>
      <c r="N273">
        <v>0</v>
      </c>
      <c r="O273">
        <v>0.2</v>
      </c>
      <c r="P273">
        <v>28.064332687243319</v>
      </c>
      <c r="Q273">
        <v>0.25590739500621834</v>
      </c>
      <c r="R273">
        <v>0.42882027646800447</v>
      </c>
      <c r="S273">
        <v>0.11697073356138352</v>
      </c>
      <c r="T273">
        <v>0.17002433673547465</v>
      </c>
      <c r="U273">
        <v>0.98650703154694031</v>
      </c>
      <c r="V273">
        <v>26.876862933467635</v>
      </c>
      <c r="W273">
        <v>0.51088059359926663</v>
      </c>
      <c r="X273">
        <v>0.70854929075653861</v>
      </c>
      <c r="Y273">
        <v>1.1272502193901164</v>
      </c>
      <c r="Z273">
        <v>0.29909085763535387</v>
      </c>
      <c r="AA273">
        <v>2.1543255251944466</v>
      </c>
    </row>
    <row r="274" spans="1:27" x14ac:dyDescent="0.2">
      <c r="A274" s="7" t="s">
        <v>2237</v>
      </c>
      <c r="B274" t="s">
        <v>1307</v>
      </c>
      <c r="C274">
        <v>2020</v>
      </c>
      <c r="D274">
        <v>0</v>
      </c>
      <c r="E274">
        <v>3</v>
      </c>
      <c r="F274">
        <v>0</v>
      </c>
      <c r="G274">
        <v>23.983999999999998</v>
      </c>
      <c r="H274">
        <v>0</v>
      </c>
      <c r="I274">
        <v>0.8</v>
      </c>
      <c r="J274">
        <v>0</v>
      </c>
      <c r="K274">
        <v>0.6593795487099845</v>
      </c>
      <c r="L274">
        <v>0</v>
      </c>
      <c r="M274">
        <v>0.7</v>
      </c>
      <c r="N274">
        <v>0</v>
      </c>
      <c r="O274">
        <v>0.1</v>
      </c>
      <c r="P274">
        <v>27.859258049806552</v>
      </c>
      <c r="Q274">
        <v>0.27937622281044999</v>
      </c>
      <c r="R274">
        <v>-1.4162584337711115E-2</v>
      </c>
      <c r="S274">
        <v>-0.32446889805899437</v>
      </c>
      <c r="T274">
        <v>4.5561863977396137E-2</v>
      </c>
      <c r="U274">
        <v>1.6559682103010853</v>
      </c>
      <c r="V274">
        <v>26.714615207442268</v>
      </c>
      <c r="W274">
        <v>0.52878995737192414</v>
      </c>
      <c r="X274">
        <v>3.1367726874105009E-2</v>
      </c>
      <c r="Y274">
        <v>1.1775471693514088</v>
      </c>
      <c r="Z274">
        <v>9.9172505109059922E-2</v>
      </c>
      <c r="AA274">
        <v>1.6592246360610035</v>
      </c>
    </row>
    <row r="275" spans="1:27" x14ac:dyDescent="0.2">
      <c r="A275" s="7" t="s">
        <v>2237</v>
      </c>
      <c r="B275" t="s">
        <v>1309</v>
      </c>
      <c r="C275">
        <v>2019</v>
      </c>
      <c r="D275">
        <v>0</v>
      </c>
      <c r="E275">
        <v>3</v>
      </c>
      <c r="F275">
        <v>0</v>
      </c>
      <c r="G275">
        <v>19.591000000000001</v>
      </c>
      <c r="H275">
        <v>0</v>
      </c>
      <c r="I275">
        <v>0.8</v>
      </c>
      <c r="J275">
        <v>0</v>
      </c>
      <c r="K275">
        <v>0.25160659566020116</v>
      </c>
      <c r="L275">
        <v>0</v>
      </c>
      <c r="M275">
        <v>0.4</v>
      </c>
      <c r="N275">
        <v>0</v>
      </c>
      <c r="O275">
        <v>0.4</v>
      </c>
      <c r="P275">
        <v>27.772843122793432</v>
      </c>
      <c r="Q275">
        <v>0.25255417087683846</v>
      </c>
      <c r="R275">
        <v>-2.8003687549791434E-2</v>
      </c>
      <c r="S275">
        <v>-0.42715280865569877</v>
      </c>
      <c r="T275">
        <v>5.7923577331941666E-2</v>
      </c>
      <c r="U275">
        <v>1.640284570920409</v>
      </c>
      <c r="V275">
        <v>26.608344792677325</v>
      </c>
      <c r="W275">
        <v>0.52553372010666555</v>
      </c>
      <c r="X275">
        <v>4.5558933022158077E-2</v>
      </c>
      <c r="Y275">
        <v>1.0417141001484598</v>
      </c>
      <c r="Z275">
        <v>0.14600936712123466</v>
      </c>
      <c r="AA275">
        <v>1.5508768759193909</v>
      </c>
    </row>
    <row r="276" spans="1:27" x14ac:dyDescent="0.2">
      <c r="A276" s="7" t="s">
        <v>2237</v>
      </c>
      <c r="B276" t="s">
        <v>1313</v>
      </c>
      <c r="C276">
        <v>2018</v>
      </c>
      <c r="D276">
        <v>0</v>
      </c>
      <c r="E276">
        <v>3</v>
      </c>
      <c r="F276">
        <v>0</v>
      </c>
      <c r="G276">
        <v>22.694999999999997</v>
      </c>
      <c r="H276">
        <v>0</v>
      </c>
      <c r="I276">
        <v>0.5</v>
      </c>
      <c r="J276">
        <v>-1</v>
      </c>
      <c r="K276">
        <v>0.2208568682360553</v>
      </c>
      <c r="L276">
        <v>0</v>
      </c>
      <c r="M276">
        <v>0.5</v>
      </c>
      <c r="N276">
        <v>1</v>
      </c>
      <c r="O276">
        <v>0.1</v>
      </c>
      <c r="P276">
        <v>27.62287391294867</v>
      </c>
      <c r="Q276">
        <v>0.28021803891741143</v>
      </c>
      <c r="R276">
        <v>0.11176894520601044</v>
      </c>
      <c r="S276">
        <v>-0.73756959109234022</v>
      </c>
      <c r="T276">
        <v>0.11168177920403603</v>
      </c>
      <c r="U276">
        <v>2.0287963140717991</v>
      </c>
      <c r="V276">
        <v>26.465311662282545</v>
      </c>
      <c r="W276">
        <v>0.54194952479471614</v>
      </c>
      <c r="X276">
        <v>0.22811907281354332</v>
      </c>
      <c r="Y276">
        <v>1.0895640157434943</v>
      </c>
      <c r="Z276">
        <v>0.15959466177541068</v>
      </c>
      <c r="AA276">
        <v>2.3691958789246774</v>
      </c>
    </row>
    <row r="277" spans="1:27" x14ac:dyDescent="0.2">
      <c r="A277" s="7" t="s">
        <v>2237</v>
      </c>
      <c r="B277" t="s">
        <v>1317</v>
      </c>
      <c r="C277">
        <v>2017</v>
      </c>
      <c r="D277">
        <v>1.9699999999999999E-2</v>
      </c>
      <c r="E277">
        <v>3</v>
      </c>
      <c r="F277">
        <v>1.9699999999999999E-2</v>
      </c>
      <c r="G277">
        <v>15.953999999999999</v>
      </c>
      <c r="H277">
        <v>1</v>
      </c>
      <c r="I277">
        <v>0.6</v>
      </c>
      <c r="J277">
        <v>0.1939393939393938</v>
      </c>
      <c r="K277">
        <v>0.11326383738575377</v>
      </c>
      <c r="L277">
        <v>1</v>
      </c>
      <c r="M277">
        <v>0.4</v>
      </c>
      <c r="N277">
        <v>0</v>
      </c>
      <c r="O277">
        <v>0.2</v>
      </c>
      <c r="P277">
        <v>27.547451335485231</v>
      </c>
      <c r="Q277">
        <v>0.27405857740585776</v>
      </c>
      <c r="R277">
        <v>8.5982035041087812E-2</v>
      </c>
      <c r="S277">
        <v>-1.2466246624662465</v>
      </c>
      <c r="T277">
        <v>7.5449656882443261E-2</v>
      </c>
      <c r="U277">
        <v>2.5495049504950495</v>
      </c>
      <c r="V277">
        <v>26.443599219211357</v>
      </c>
      <c r="W277">
        <v>0.56207113605386794</v>
      </c>
      <c r="X277">
        <v>0.10076055206215329</v>
      </c>
      <c r="Y277">
        <v>1.2882870749214996</v>
      </c>
      <c r="Z277">
        <v>0.12521362295191729</v>
      </c>
      <c r="AA277">
        <v>1.9211095881556979</v>
      </c>
    </row>
    <row r="278" spans="1:27" x14ac:dyDescent="0.2">
      <c r="A278" s="7" t="s">
        <v>2237</v>
      </c>
      <c r="B278" t="s">
        <v>1321</v>
      </c>
      <c r="C278">
        <v>2016</v>
      </c>
      <c r="D278">
        <v>1.6500000000000001E-2</v>
      </c>
      <c r="E278">
        <v>3</v>
      </c>
      <c r="F278">
        <v>1.6500000000000001E-2</v>
      </c>
      <c r="G278">
        <v>11.984999999999999</v>
      </c>
      <c r="H278">
        <v>1</v>
      </c>
      <c r="I278">
        <v>0.6</v>
      </c>
      <c r="J278">
        <v>0</v>
      </c>
      <c r="K278">
        <v>0.67820492862735826</v>
      </c>
      <c r="L278">
        <v>0</v>
      </c>
      <c r="M278">
        <v>0.6</v>
      </c>
      <c r="N278">
        <v>0</v>
      </c>
      <c r="O278">
        <v>0</v>
      </c>
      <c r="P278">
        <v>27.599602452116251</v>
      </c>
      <c r="Q278">
        <v>0.28127594796567951</v>
      </c>
      <c r="R278">
        <v>6.8533680112581319E-3</v>
      </c>
      <c r="S278">
        <v>-1.9590785086389819</v>
      </c>
      <c r="T278">
        <v>9.0164301949214612E-2</v>
      </c>
      <c r="U278">
        <v>3.3807214307365872</v>
      </c>
      <c r="V278">
        <v>26.449101574175394</v>
      </c>
      <c r="W278">
        <v>0.53247210528880273</v>
      </c>
      <c r="X278">
        <v>0.14863801303987995</v>
      </c>
      <c r="Y278">
        <v>0.30679759007635193</v>
      </c>
      <c r="Z278">
        <v>0.16795459332269669</v>
      </c>
      <c r="AA278">
        <v>-0.16664760811481977</v>
      </c>
    </row>
    <row r="279" spans="1:27" x14ac:dyDescent="0.2">
      <c r="A279" s="7" t="s">
        <v>2237</v>
      </c>
      <c r="B279" t="s">
        <v>1325</v>
      </c>
      <c r="C279">
        <v>2015</v>
      </c>
      <c r="D279">
        <v>1.6500000000000001E-2</v>
      </c>
      <c r="E279">
        <v>3</v>
      </c>
      <c r="F279">
        <v>1.6500000000000001E-2</v>
      </c>
      <c r="G279">
        <v>7.1230000000000002</v>
      </c>
      <c r="H279">
        <v>1</v>
      </c>
      <c r="I279">
        <v>0.5</v>
      </c>
      <c r="J279">
        <v>1</v>
      </c>
      <c r="K279">
        <v>0.78088717059055313</v>
      </c>
      <c r="L279">
        <v>1</v>
      </c>
      <c r="M279">
        <v>0.4</v>
      </c>
      <c r="N279">
        <v>0</v>
      </c>
      <c r="O279">
        <v>0.1</v>
      </c>
      <c r="P279">
        <v>27.388380449237236</v>
      </c>
      <c r="Q279">
        <v>0.30088219220860335</v>
      </c>
      <c r="R279">
        <v>0.46585039188360389</v>
      </c>
      <c r="S279">
        <v>-5.3141624730409704</v>
      </c>
      <c r="T279">
        <v>5.0245162114360004E-2</v>
      </c>
      <c r="U279">
        <v>8.2084831056793668</v>
      </c>
      <c r="V279">
        <v>26.254924464703937</v>
      </c>
      <c r="W279">
        <v>0.51837962539038962</v>
      </c>
      <c r="X279">
        <v>0.2294752884455179</v>
      </c>
      <c r="Y279">
        <v>1.6651670962267946</v>
      </c>
      <c r="Z279">
        <v>2.027210155132135E-2</v>
      </c>
      <c r="AA279">
        <v>2.475210544245475</v>
      </c>
    </row>
    <row r="280" spans="1:27" x14ac:dyDescent="0.2">
      <c r="A280" s="7" t="s">
        <v>2240</v>
      </c>
      <c r="B280" t="s">
        <v>1335</v>
      </c>
      <c r="C280">
        <v>2024</v>
      </c>
      <c r="D280">
        <v>4</v>
      </c>
      <c r="E280">
        <v>3</v>
      </c>
      <c r="F280">
        <v>4</v>
      </c>
      <c r="G280">
        <v>32.658000000000001</v>
      </c>
      <c r="H280">
        <v>1</v>
      </c>
      <c r="I280">
        <v>0.4</v>
      </c>
      <c r="J280">
        <v>0</v>
      </c>
      <c r="K280">
        <v>-0.20461447297899457</v>
      </c>
      <c r="L280">
        <v>0</v>
      </c>
      <c r="M280">
        <v>0.1</v>
      </c>
      <c r="N280">
        <v>0</v>
      </c>
      <c r="O280">
        <v>0.5</v>
      </c>
      <c r="P280">
        <v>25.911606326596328</v>
      </c>
      <c r="Q280">
        <v>0.52651252041555618</v>
      </c>
      <c r="R280">
        <v>5.9222885417981264E-2</v>
      </c>
      <c r="S280">
        <v>-0.90195268225778169</v>
      </c>
      <c r="T280">
        <v>-8.1656667803458843E-2</v>
      </c>
      <c r="U280">
        <v>7.294231945410667</v>
      </c>
      <c r="V280">
        <v>27.419998452462625</v>
      </c>
      <c r="W280">
        <v>0.47550162912316168</v>
      </c>
      <c r="X280">
        <v>2.1888821299492878E-2</v>
      </c>
      <c r="Y280">
        <v>1.3800820259271462</v>
      </c>
      <c r="Z280">
        <v>5.8241417790189862E-2</v>
      </c>
      <c r="AA280">
        <v>2.0917964215361491</v>
      </c>
    </row>
    <row r="281" spans="1:27" x14ac:dyDescent="0.2">
      <c r="A281" s="7" t="s">
        <v>2240</v>
      </c>
      <c r="B281" t="s">
        <v>1338</v>
      </c>
      <c r="C281">
        <v>2023</v>
      </c>
      <c r="D281">
        <v>4</v>
      </c>
      <c r="E281">
        <v>3</v>
      </c>
      <c r="F281">
        <v>4</v>
      </c>
      <c r="G281">
        <v>24.844000000000001</v>
      </c>
      <c r="H281">
        <v>1</v>
      </c>
      <c r="I281">
        <v>0.5</v>
      </c>
      <c r="J281">
        <v>1</v>
      </c>
      <c r="K281">
        <v>0.33287037037037037</v>
      </c>
      <c r="L281">
        <v>1</v>
      </c>
      <c r="M281">
        <v>0.5</v>
      </c>
      <c r="N281">
        <v>0</v>
      </c>
      <c r="O281">
        <v>0.1</v>
      </c>
      <c r="P281">
        <v>25.62812501051458</v>
      </c>
      <c r="Q281">
        <v>0.52800041617292759</v>
      </c>
      <c r="R281">
        <v>0.61208345863964375</v>
      </c>
      <c r="S281">
        <v>-8.8302602439997283E-2</v>
      </c>
      <c r="T281">
        <v>-8.495653829914368E-2</v>
      </c>
      <c r="U281">
        <v>4.2668558709263449</v>
      </c>
      <c r="V281">
        <v>27.369123140600749</v>
      </c>
      <c r="W281">
        <v>0.44855407671267111</v>
      </c>
      <c r="X281">
        <v>8.27146481717876E-2</v>
      </c>
      <c r="Y281">
        <v>0.15726395418669595</v>
      </c>
      <c r="Z281">
        <v>0.13873397831663029</v>
      </c>
      <c r="AA281">
        <v>-1.0398956127070877</v>
      </c>
    </row>
    <row r="282" spans="1:27" x14ac:dyDescent="0.2">
      <c r="A282" s="7" t="s">
        <v>2240</v>
      </c>
      <c r="B282" t="s">
        <v>1341</v>
      </c>
      <c r="C282">
        <v>2022</v>
      </c>
      <c r="D282">
        <v>0</v>
      </c>
      <c r="E282">
        <v>3</v>
      </c>
      <c r="F282">
        <v>0</v>
      </c>
      <c r="G282">
        <v>1.73</v>
      </c>
      <c r="H282">
        <v>0</v>
      </c>
      <c r="I282">
        <v>0.2</v>
      </c>
      <c r="J282">
        <v>-1</v>
      </c>
      <c r="K282">
        <v>-0.50242800677583288</v>
      </c>
      <c r="L282">
        <v>0</v>
      </c>
      <c r="M282">
        <v>0.1</v>
      </c>
      <c r="N282">
        <v>1</v>
      </c>
      <c r="O282">
        <v>0.7</v>
      </c>
      <c r="P282">
        <v>25.636900999407139</v>
      </c>
      <c r="Q282">
        <v>0.51127320475096105</v>
      </c>
      <c r="R282">
        <v>-2.5099265053240116E-2</v>
      </c>
      <c r="S282">
        <v>0.25765474379777786</v>
      </c>
      <c r="T282">
        <v>3.7420969235527721E-2</v>
      </c>
      <c r="U282">
        <v>2.5492656490359131</v>
      </c>
      <c r="V282">
        <v>27.22742661873702</v>
      </c>
      <c r="W282">
        <v>0.46783764951679829</v>
      </c>
      <c r="X282">
        <v>-2.1351146955839152E-2</v>
      </c>
      <c r="Y282">
        <v>0.91123296925790709</v>
      </c>
      <c r="Z282">
        <v>0.17079459099175517</v>
      </c>
      <c r="AA282">
        <v>1.0137663374905255</v>
      </c>
    </row>
    <row r="283" spans="1:27" x14ac:dyDescent="0.2">
      <c r="A283" s="7" t="s">
        <v>2240</v>
      </c>
      <c r="B283" t="s">
        <v>1344</v>
      </c>
      <c r="C283">
        <v>2021</v>
      </c>
      <c r="D283">
        <v>4.5</v>
      </c>
      <c r="E283">
        <v>3</v>
      </c>
      <c r="F283">
        <v>4.5</v>
      </c>
      <c r="G283">
        <v>36.405000000000001</v>
      </c>
      <c r="H283">
        <v>1</v>
      </c>
      <c r="I283">
        <v>0.7</v>
      </c>
      <c r="J283">
        <v>0</v>
      </c>
      <c r="K283">
        <v>0.73069632657079653</v>
      </c>
      <c r="L283">
        <v>0</v>
      </c>
      <c r="M283">
        <v>0.5</v>
      </c>
      <c r="N283">
        <v>0</v>
      </c>
      <c r="O283">
        <v>0.2</v>
      </c>
      <c r="P283">
        <v>25.169486714750992</v>
      </c>
      <c r="Q283">
        <v>0.54335478681177285</v>
      </c>
      <c r="R283">
        <v>6.9091990706911188E-2</v>
      </c>
      <c r="S283">
        <v>0.35422848674110224</v>
      </c>
      <c r="T283">
        <v>0.12940029311787279</v>
      </c>
      <c r="U283">
        <v>1.7085244770663082</v>
      </c>
      <c r="V283">
        <v>27.166347530716866</v>
      </c>
      <c r="W283">
        <v>0.48213585441871115</v>
      </c>
      <c r="X283">
        <v>0.74452211933264789</v>
      </c>
      <c r="Y283">
        <v>1.1035244440721448</v>
      </c>
      <c r="Z283">
        <v>0.30315326199711412</v>
      </c>
      <c r="AA283">
        <v>2.0821237806425095</v>
      </c>
    </row>
    <row r="284" spans="1:27" x14ac:dyDescent="0.2">
      <c r="A284" s="7" t="s">
        <v>2240</v>
      </c>
      <c r="B284" t="s">
        <v>1347</v>
      </c>
      <c r="C284">
        <v>2020</v>
      </c>
      <c r="D284">
        <v>4.5</v>
      </c>
      <c r="E284">
        <v>3</v>
      </c>
      <c r="F284">
        <v>4.5</v>
      </c>
      <c r="G284">
        <v>23.533999999999999</v>
      </c>
      <c r="H284">
        <v>1</v>
      </c>
      <c r="I284">
        <v>0.7</v>
      </c>
      <c r="J284">
        <v>1.0454545454545452</v>
      </c>
      <c r="K284">
        <v>0.55483409416453</v>
      </c>
      <c r="L284">
        <v>1</v>
      </c>
      <c r="M284">
        <v>0.6</v>
      </c>
      <c r="N284">
        <v>0</v>
      </c>
      <c r="O284">
        <v>0.1</v>
      </c>
      <c r="P284">
        <v>25.046127274949715</v>
      </c>
      <c r="Q284">
        <v>0.55427585328136864</v>
      </c>
      <c r="R284">
        <v>0.50935088530056727</v>
      </c>
      <c r="S284">
        <v>0.13247243735927028</v>
      </c>
      <c r="T284">
        <v>6.5878602895758309E-5</v>
      </c>
      <c r="U284">
        <v>2.2689412091531289</v>
      </c>
      <c r="V284">
        <v>26.995928284927952</v>
      </c>
      <c r="W284">
        <v>0.5012999943248323</v>
      </c>
      <c r="X284">
        <v>-2.0983620089722831E-2</v>
      </c>
      <c r="Y284">
        <v>1.1318530358095824</v>
      </c>
      <c r="Z284">
        <v>0.10372210364650998</v>
      </c>
      <c r="AA284">
        <v>1.5979273361757991</v>
      </c>
    </row>
    <row r="285" spans="1:27" x14ac:dyDescent="0.2">
      <c r="A285" s="7" t="s">
        <v>2240</v>
      </c>
      <c r="B285" t="s">
        <v>1350</v>
      </c>
      <c r="C285">
        <v>2019</v>
      </c>
      <c r="D285">
        <v>2.2000000000000002</v>
      </c>
      <c r="E285">
        <v>3</v>
      </c>
      <c r="F285">
        <v>2.2000000000000002</v>
      </c>
      <c r="G285">
        <v>19.371000000000002</v>
      </c>
      <c r="H285">
        <v>1</v>
      </c>
      <c r="I285">
        <v>0.7</v>
      </c>
      <c r="J285">
        <v>1</v>
      </c>
      <c r="K285">
        <v>0.15160659566020115</v>
      </c>
      <c r="L285">
        <v>1</v>
      </c>
      <c r="M285">
        <v>0.3</v>
      </c>
      <c r="N285">
        <v>0</v>
      </c>
      <c r="O285">
        <v>0.4</v>
      </c>
      <c r="P285">
        <v>24.778335921903299</v>
      </c>
      <c r="Q285">
        <v>0.50033600739798711</v>
      </c>
      <c r="R285">
        <v>0.38888687873920613</v>
      </c>
      <c r="S285">
        <v>0.3177152140532099</v>
      </c>
      <c r="T285">
        <v>3.9052938946987296E-2</v>
      </c>
      <c r="U285">
        <v>1.7115348278863745</v>
      </c>
      <c r="V285">
        <v>26.907795512766342</v>
      </c>
      <c r="W285">
        <v>0.50075553645455073</v>
      </c>
      <c r="X285">
        <v>3.8698763932583204E-3</v>
      </c>
      <c r="Y285">
        <v>0.96722729787756889</v>
      </c>
      <c r="Z285">
        <v>0.1478964309597301</v>
      </c>
      <c r="AA285">
        <v>1.5437518502227945</v>
      </c>
    </row>
    <row r="286" spans="1:27" x14ac:dyDescent="0.2">
      <c r="A286" s="7" t="s">
        <v>2240</v>
      </c>
      <c r="B286" t="s">
        <v>1353</v>
      </c>
      <c r="C286">
        <v>2018</v>
      </c>
      <c r="D286">
        <v>0</v>
      </c>
      <c r="E286">
        <v>3</v>
      </c>
      <c r="F286">
        <v>0</v>
      </c>
      <c r="G286">
        <v>22.694999999999997</v>
      </c>
      <c r="H286">
        <v>0</v>
      </c>
      <c r="I286">
        <v>0.5</v>
      </c>
      <c r="J286">
        <v>0</v>
      </c>
      <c r="K286">
        <v>0.12085686823605531</v>
      </c>
      <c r="L286">
        <v>0</v>
      </c>
      <c r="M286">
        <v>0.5</v>
      </c>
      <c r="N286">
        <v>0</v>
      </c>
      <c r="O286">
        <v>0.2</v>
      </c>
      <c r="P286">
        <v>24.658730507002026</v>
      </c>
      <c r="Q286">
        <v>0.52180301348052116</v>
      </c>
      <c r="R286">
        <v>0.36548961785116951</v>
      </c>
      <c r="S286">
        <v>0.32166260713959655</v>
      </c>
      <c r="T286">
        <v>1.5240995568921317E-2</v>
      </c>
      <c r="U286">
        <v>1.6224054232316978</v>
      </c>
      <c r="V286">
        <v>26.761726002877207</v>
      </c>
      <c r="W286">
        <v>0.51779102733840521</v>
      </c>
      <c r="X286">
        <v>0.20274700554902741</v>
      </c>
      <c r="Y286">
        <v>0.9836407959203004</v>
      </c>
      <c r="Z286">
        <v>0.16923874013892218</v>
      </c>
      <c r="AA286">
        <v>2.4098349680086875</v>
      </c>
    </row>
    <row r="287" spans="1:27" x14ac:dyDescent="0.2">
      <c r="A287" s="7" t="s">
        <v>2240</v>
      </c>
      <c r="B287" t="s">
        <v>1356</v>
      </c>
      <c r="C287">
        <v>2017</v>
      </c>
      <c r="D287">
        <v>0</v>
      </c>
      <c r="E287">
        <v>3</v>
      </c>
      <c r="F287">
        <v>0</v>
      </c>
      <c r="G287">
        <v>15.955969999999999</v>
      </c>
      <c r="H287">
        <v>0</v>
      </c>
      <c r="I287">
        <v>0.7</v>
      </c>
      <c r="J287">
        <v>0</v>
      </c>
      <c r="K287">
        <v>0.13265777677969315</v>
      </c>
      <c r="L287">
        <v>0</v>
      </c>
      <c r="M287">
        <v>0.5</v>
      </c>
      <c r="N287">
        <v>0</v>
      </c>
      <c r="O287">
        <v>0.2</v>
      </c>
      <c r="P287">
        <v>24.518187471831709</v>
      </c>
      <c r="Q287">
        <v>0.58014487815794624</v>
      </c>
      <c r="R287">
        <v>3.3820428542279179E-2</v>
      </c>
      <c r="S287">
        <v>0.30716135310406445</v>
      </c>
      <c r="T287">
        <v>3.7747975952393584E-2</v>
      </c>
      <c r="U287">
        <v>1.3363721838874678</v>
      </c>
      <c r="V287">
        <v>26.746525605576711</v>
      </c>
      <c r="W287">
        <v>0.53146250597865907</v>
      </c>
      <c r="X287">
        <v>0.10597671271203417</v>
      </c>
      <c r="Y287">
        <v>1.1329084733644685</v>
      </c>
      <c r="Z287">
        <v>0.12898379104492225</v>
      </c>
      <c r="AA287">
        <v>2.042422864816456</v>
      </c>
    </row>
    <row r="288" spans="1:27" x14ac:dyDescent="0.2">
      <c r="A288" s="7" t="s">
        <v>2240</v>
      </c>
      <c r="B288" t="s">
        <v>1359</v>
      </c>
      <c r="C288">
        <v>2016</v>
      </c>
      <c r="D288">
        <v>0</v>
      </c>
      <c r="E288">
        <v>3</v>
      </c>
      <c r="F288">
        <v>0</v>
      </c>
      <c r="G288">
        <v>11.986649999999999</v>
      </c>
      <c r="H288">
        <v>0</v>
      </c>
      <c r="I288">
        <v>0.7</v>
      </c>
      <c r="J288">
        <v>0</v>
      </c>
      <c r="K288">
        <v>0.67820492862735826</v>
      </c>
      <c r="L288">
        <v>0</v>
      </c>
      <c r="M288">
        <v>0.6</v>
      </c>
      <c r="N288">
        <v>0</v>
      </c>
      <c r="O288">
        <v>0</v>
      </c>
      <c r="P288">
        <v>24.118803566281645</v>
      </c>
      <c r="Q288">
        <v>0.40416336330135172</v>
      </c>
      <c r="R288">
        <v>0.3910183244853811</v>
      </c>
      <c r="S288">
        <v>0.3541767006215269</v>
      </c>
      <c r="T288">
        <v>0.13160026836277255</v>
      </c>
      <c r="U288">
        <v>1.5651401984803337</v>
      </c>
      <c r="V288">
        <v>26.79718146275885</v>
      </c>
      <c r="W288">
        <v>0.52018336375523555</v>
      </c>
      <c r="X288">
        <v>0.11022151739246763</v>
      </c>
      <c r="Y288">
        <v>7.5472069150301052E-2</v>
      </c>
      <c r="Z288">
        <v>0.16381099668134089</v>
      </c>
      <c r="AA288">
        <v>1.4910515110805544E-2</v>
      </c>
    </row>
    <row r="289" spans="1:27" x14ac:dyDescent="0.2">
      <c r="A289" s="7" t="s">
        <v>2242</v>
      </c>
      <c r="B289" t="s">
        <v>1365</v>
      </c>
      <c r="C289">
        <v>2025</v>
      </c>
      <c r="D289">
        <v>0</v>
      </c>
      <c r="E289">
        <v>3</v>
      </c>
      <c r="F289">
        <v>0</v>
      </c>
      <c r="G289">
        <v>10.684999999999999</v>
      </c>
      <c r="H289">
        <v>0</v>
      </c>
      <c r="I289">
        <v>0.1</v>
      </c>
      <c r="J289">
        <v>0</v>
      </c>
      <c r="K289">
        <v>-0.44741116251599566</v>
      </c>
      <c r="L289">
        <v>0</v>
      </c>
      <c r="M289">
        <v>0</v>
      </c>
      <c r="N289">
        <v>0</v>
      </c>
      <c r="O289">
        <v>0.5</v>
      </c>
      <c r="P289">
        <v>27.114340049133929</v>
      </c>
      <c r="Q289">
        <v>0.38634393802483502</v>
      </c>
      <c r="R289">
        <v>-0.24016235566036848</v>
      </c>
      <c r="S289">
        <v>7.5684133022456745E-2</v>
      </c>
      <c r="T289">
        <v>-3.7936730752824936E-2</v>
      </c>
      <c r="U289">
        <v>17.299699349613448</v>
      </c>
      <c r="V289">
        <v>27.584827865112764</v>
      </c>
      <c r="W289">
        <v>0.54952959346915153</v>
      </c>
      <c r="X289">
        <v>-7.2773076293368058E-2</v>
      </c>
      <c r="Y289">
        <v>1.1171008677944434</v>
      </c>
      <c r="Z289">
        <v>2.2636374725145118E-2</v>
      </c>
      <c r="AA289">
        <v>1.1707661287837048</v>
      </c>
    </row>
    <row r="290" spans="1:27" x14ac:dyDescent="0.2">
      <c r="A290" s="7" t="s">
        <v>2242</v>
      </c>
      <c r="B290" t="s">
        <v>1367</v>
      </c>
      <c r="C290">
        <v>2024</v>
      </c>
      <c r="D290">
        <v>0</v>
      </c>
      <c r="E290">
        <v>3</v>
      </c>
      <c r="F290">
        <v>0</v>
      </c>
      <c r="G290">
        <v>33.058</v>
      </c>
      <c r="H290">
        <v>0</v>
      </c>
      <c r="I290">
        <v>0.5</v>
      </c>
      <c r="J290">
        <v>-1</v>
      </c>
      <c r="K290">
        <v>-0.10461447297899458</v>
      </c>
      <c r="L290">
        <v>0</v>
      </c>
      <c r="M290">
        <v>0.1</v>
      </c>
      <c r="N290">
        <v>1</v>
      </c>
      <c r="O290">
        <v>0.4</v>
      </c>
      <c r="P290">
        <v>27.264170287129826</v>
      </c>
      <c r="Q290">
        <v>0.34136897417136064</v>
      </c>
      <c r="R290">
        <v>-2.2231817221390338E-2</v>
      </c>
      <c r="S290">
        <v>0.41174004192872116</v>
      </c>
      <c r="T290">
        <v>-4.3400034591054688E-2</v>
      </c>
      <c r="U290">
        <v>11.105398322851153</v>
      </c>
      <c r="V290">
        <v>27.284742056409279</v>
      </c>
      <c r="W290">
        <v>0.49401598374758127</v>
      </c>
      <c r="X290">
        <v>3.0034291563430036E-2</v>
      </c>
      <c r="Y290">
        <v>1.2487127535084959</v>
      </c>
      <c r="Z290">
        <v>5.4415754468949452E-2</v>
      </c>
      <c r="AA290">
        <v>1.7106797837921004</v>
      </c>
    </row>
    <row r="291" spans="1:27" x14ac:dyDescent="0.2">
      <c r="A291" s="7" t="s">
        <v>2242</v>
      </c>
      <c r="B291" t="s">
        <v>1369</v>
      </c>
      <c r="C291">
        <v>2023</v>
      </c>
      <c r="D291">
        <v>22.96</v>
      </c>
      <c r="E291">
        <v>3</v>
      </c>
      <c r="F291">
        <v>22.96</v>
      </c>
      <c r="G291">
        <v>22.948</v>
      </c>
      <c r="H291">
        <v>1</v>
      </c>
      <c r="I291">
        <v>0.5</v>
      </c>
      <c r="J291">
        <v>0.32870370370370366</v>
      </c>
      <c r="K291">
        <v>0.4</v>
      </c>
      <c r="L291">
        <v>1</v>
      </c>
      <c r="M291">
        <v>0.5</v>
      </c>
      <c r="N291">
        <v>0</v>
      </c>
      <c r="O291">
        <v>0.1</v>
      </c>
      <c r="P291">
        <v>27.094662276364286</v>
      </c>
      <c r="Q291">
        <v>0.32384581978340632</v>
      </c>
      <c r="R291">
        <v>-0.13496825258071954</v>
      </c>
      <c r="S291">
        <v>0.66268422630717072</v>
      </c>
      <c r="T291">
        <v>6.6471054357099643E-2</v>
      </c>
      <c r="U291">
        <v>5.7448624212929857</v>
      </c>
      <c r="V291">
        <v>27.22246941401578</v>
      </c>
      <c r="W291">
        <v>0.46896953635162325</v>
      </c>
      <c r="X291">
        <v>0.15741981929382393</v>
      </c>
      <c r="Y291">
        <v>8.2165271311979149E-2</v>
      </c>
      <c r="Z291">
        <v>0.12359121905100594</v>
      </c>
      <c r="AA291">
        <v>-1.1876962677437519</v>
      </c>
    </row>
    <row r="292" spans="1:27" x14ac:dyDescent="0.2">
      <c r="A292" s="7" t="s">
        <v>2242</v>
      </c>
      <c r="B292" t="s">
        <v>1371</v>
      </c>
      <c r="C292">
        <v>2022</v>
      </c>
      <c r="D292">
        <v>17.28</v>
      </c>
      <c r="E292">
        <v>3</v>
      </c>
      <c r="F292">
        <v>17.28</v>
      </c>
      <c r="G292">
        <v>2E-3</v>
      </c>
      <c r="H292">
        <v>1</v>
      </c>
      <c r="I292">
        <v>0.1</v>
      </c>
      <c r="J292">
        <v>-2.4280067758328611E-2</v>
      </c>
      <c r="K292">
        <v>-0.6</v>
      </c>
      <c r="L292">
        <v>0</v>
      </c>
      <c r="M292">
        <v>0.1</v>
      </c>
      <c r="N292">
        <v>1</v>
      </c>
      <c r="O292">
        <v>0.7</v>
      </c>
      <c r="P292">
        <v>27.12040047115293</v>
      </c>
      <c r="Q292">
        <v>0.31282087172129713</v>
      </c>
      <c r="R292">
        <v>0.46669666022504486</v>
      </c>
      <c r="S292">
        <v>0.58687009462334039</v>
      </c>
      <c r="T292">
        <v>6.4770217038696218E-2</v>
      </c>
      <c r="U292">
        <v>7.8039756473263404</v>
      </c>
      <c r="V292">
        <v>27.07907667156244</v>
      </c>
      <c r="W292">
        <v>0.48768288281976468</v>
      </c>
      <c r="X292">
        <v>-7.0530739483667643E-2</v>
      </c>
      <c r="Y292">
        <v>0.87831143417535085</v>
      </c>
      <c r="Z292">
        <v>0.16805966621143834</v>
      </c>
      <c r="AA292">
        <v>0.48829533766148286</v>
      </c>
    </row>
    <row r="293" spans="1:27" x14ac:dyDescent="0.2">
      <c r="A293" s="7" t="s">
        <v>2242</v>
      </c>
      <c r="B293" t="s">
        <v>1373</v>
      </c>
      <c r="C293">
        <v>2021</v>
      </c>
      <c r="D293">
        <v>17.71</v>
      </c>
      <c r="E293">
        <v>3</v>
      </c>
      <c r="F293">
        <v>17.71</v>
      </c>
      <c r="G293">
        <v>35.084000000000003</v>
      </c>
      <c r="H293">
        <v>1</v>
      </c>
      <c r="I293">
        <v>0.7</v>
      </c>
      <c r="J293">
        <v>0.39779005524861888</v>
      </c>
      <c r="K293">
        <v>0.69091732104593473</v>
      </c>
      <c r="L293">
        <v>1</v>
      </c>
      <c r="M293">
        <v>0.4</v>
      </c>
      <c r="N293">
        <v>0</v>
      </c>
      <c r="O293">
        <v>0.2</v>
      </c>
      <c r="P293">
        <v>27.266568864125368</v>
      </c>
      <c r="Q293">
        <v>0.32433841028424493</v>
      </c>
      <c r="R293">
        <v>0.92695657642360785</v>
      </c>
      <c r="S293">
        <v>0.28746918899420854</v>
      </c>
      <c r="T293">
        <v>1.2899622511394697E-2</v>
      </c>
      <c r="U293">
        <v>12.919099817638925</v>
      </c>
      <c r="V293">
        <v>26.956639315779427</v>
      </c>
      <c r="W293">
        <v>0.50403749207146398</v>
      </c>
      <c r="X293">
        <v>0.65873566076097823</v>
      </c>
      <c r="Y293">
        <v>1.110200373846834</v>
      </c>
      <c r="Z293">
        <v>0.31480332905776187</v>
      </c>
      <c r="AA293">
        <v>0.96106624658524797</v>
      </c>
    </row>
    <row r="294" spans="1:27" x14ac:dyDescent="0.2">
      <c r="A294" s="7" t="s">
        <v>2242</v>
      </c>
      <c r="B294" t="s">
        <v>1377</v>
      </c>
      <c r="C294">
        <v>2020</v>
      </c>
      <c r="D294">
        <v>12.67</v>
      </c>
      <c r="E294">
        <v>3</v>
      </c>
      <c r="F294">
        <v>12.67</v>
      </c>
      <c r="G294">
        <v>22.716999999999999</v>
      </c>
      <c r="H294">
        <v>1</v>
      </c>
      <c r="I294">
        <v>0.7</v>
      </c>
      <c r="J294">
        <v>3.9686274509803927</v>
      </c>
      <c r="K294">
        <v>0.26251680361194529</v>
      </c>
      <c r="L294">
        <v>1</v>
      </c>
      <c r="M294">
        <v>0.6</v>
      </c>
      <c r="N294">
        <v>0</v>
      </c>
      <c r="O294">
        <v>0.1</v>
      </c>
      <c r="P294">
        <v>26.761373005809212</v>
      </c>
      <c r="Q294">
        <v>0.31671514367726955</v>
      </c>
      <c r="R294">
        <v>-0.27809052526444822</v>
      </c>
      <c r="S294">
        <v>0.49716986393040374</v>
      </c>
      <c r="T294">
        <v>6.3014647061187812E-2</v>
      </c>
      <c r="U294">
        <v>4.8428925942449252</v>
      </c>
      <c r="V294">
        <v>26.824403711842002</v>
      </c>
      <c r="W294">
        <v>0.52505606528524218</v>
      </c>
      <c r="X294">
        <v>5.7760520966778715E-2</v>
      </c>
      <c r="Y294">
        <v>1.095383293152469</v>
      </c>
      <c r="Z294">
        <v>9.7427226800680763E-2</v>
      </c>
      <c r="AA294">
        <v>1.3405321976666194</v>
      </c>
    </row>
    <row r="295" spans="1:27" x14ac:dyDescent="0.2">
      <c r="A295" s="7" t="s">
        <v>2242</v>
      </c>
      <c r="B295" t="s">
        <v>1381</v>
      </c>
      <c r="C295">
        <v>2019</v>
      </c>
      <c r="D295">
        <v>2.5499999999999998</v>
      </c>
      <c r="E295">
        <v>3</v>
      </c>
      <c r="F295">
        <v>2.5499999999999998</v>
      </c>
      <c r="G295">
        <v>19.336000000000002</v>
      </c>
      <c r="H295">
        <v>1</v>
      </c>
      <c r="I295">
        <v>0.7</v>
      </c>
      <c r="J295">
        <v>1</v>
      </c>
      <c r="K295">
        <v>0.15160659566020115</v>
      </c>
      <c r="L295">
        <v>1</v>
      </c>
      <c r="M295">
        <v>0.3</v>
      </c>
      <c r="N295">
        <v>0</v>
      </c>
      <c r="O295">
        <v>0.4</v>
      </c>
      <c r="P295">
        <v>26.58741392437711</v>
      </c>
      <c r="Q295">
        <v>0.33335888830207111</v>
      </c>
      <c r="R295">
        <v>-3.7988717712226894E-2</v>
      </c>
      <c r="S295">
        <v>0.27302920048511986</v>
      </c>
      <c r="T295">
        <v>1.1835466462867627E-2</v>
      </c>
      <c r="U295">
        <v>5.5711726840190314</v>
      </c>
      <c r="V295">
        <v>26.726887712518959</v>
      </c>
      <c r="W295">
        <v>0.5174532483641423</v>
      </c>
      <c r="X295">
        <v>4.6557436038401623E-2</v>
      </c>
      <c r="Y295">
        <v>0.97169589923437805</v>
      </c>
      <c r="Z295">
        <v>0.15061817820814208</v>
      </c>
      <c r="AA295">
        <v>1.1577880646095289</v>
      </c>
    </row>
    <row r="296" spans="1:27" x14ac:dyDescent="0.2">
      <c r="A296" s="7" t="s">
        <v>2242</v>
      </c>
      <c r="B296" t="s">
        <v>1385</v>
      </c>
      <c r="C296">
        <v>2018</v>
      </c>
      <c r="D296">
        <v>0</v>
      </c>
      <c r="E296">
        <v>3</v>
      </c>
      <c r="F296">
        <v>0</v>
      </c>
      <c r="G296">
        <v>22.694999999999997</v>
      </c>
      <c r="H296">
        <v>0</v>
      </c>
      <c r="I296">
        <v>0.5</v>
      </c>
      <c r="J296">
        <v>-1</v>
      </c>
      <c r="K296">
        <v>0.2208568682360553</v>
      </c>
      <c r="L296">
        <v>0</v>
      </c>
      <c r="M296">
        <v>0.5</v>
      </c>
      <c r="N296">
        <v>1</v>
      </c>
      <c r="O296">
        <v>0.1</v>
      </c>
      <c r="P296">
        <v>26.474654840401769</v>
      </c>
      <c r="Q296">
        <v>0.41466680973838849</v>
      </c>
      <c r="R296">
        <v>0.25116100040502731</v>
      </c>
      <c r="S296">
        <v>1.4575870470301016</v>
      </c>
      <c r="T296">
        <v>-3.0966492172328515E-5</v>
      </c>
      <c r="U296">
        <v>5.1209130581552929</v>
      </c>
      <c r="V296">
        <v>26.580133569537235</v>
      </c>
      <c r="W296">
        <v>0.5285046477126184</v>
      </c>
      <c r="X296">
        <v>0.21417986729364163</v>
      </c>
      <c r="Y296">
        <v>0.87004835193125007</v>
      </c>
      <c r="Z296">
        <v>0.17076593634503151</v>
      </c>
      <c r="AA296">
        <v>2.0599842045163284</v>
      </c>
    </row>
    <row r="297" spans="1:27" x14ac:dyDescent="0.2">
      <c r="A297" s="7" t="s">
        <v>2242</v>
      </c>
      <c r="B297" t="s">
        <v>1389</v>
      </c>
      <c r="C297">
        <v>2017</v>
      </c>
      <c r="D297">
        <v>2.2799999999999998</v>
      </c>
      <c r="E297">
        <v>3</v>
      </c>
      <c r="F297">
        <v>2.2799999999999998</v>
      </c>
      <c r="G297">
        <v>15.727969999999999</v>
      </c>
      <c r="H297">
        <v>1</v>
      </c>
      <c r="I297">
        <v>0.6</v>
      </c>
      <c r="J297">
        <v>-0.41538461538461541</v>
      </c>
      <c r="K297">
        <v>0.1741962383181547</v>
      </c>
      <c r="L297">
        <v>0</v>
      </c>
      <c r="M297">
        <v>0.5</v>
      </c>
      <c r="N297">
        <v>1</v>
      </c>
      <c r="O297">
        <v>0.1</v>
      </c>
      <c r="P297">
        <v>26.500499799358817</v>
      </c>
      <c r="Q297">
        <v>0.43861774308527479</v>
      </c>
      <c r="R297">
        <v>0.14469452894642876</v>
      </c>
      <c r="S297">
        <v>1.3260525974589574</v>
      </c>
      <c r="T297">
        <v>5.38469113979254E-3</v>
      </c>
      <c r="U297">
        <v>4.9328542849152255</v>
      </c>
      <c r="V297">
        <v>26.548294372824</v>
      </c>
      <c r="W297">
        <v>0.54561521948592628</v>
      </c>
      <c r="X297">
        <v>9.48893026716192E-2</v>
      </c>
      <c r="Y297">
        <v>1.0310193489289792</v>
      </c>
      <c r="Z297">
        <v>0.13222011952618234</v>
      </c>
      <c r="AA297">
        <v>1.6827746547136804</v>
      </c>
    </row>
    <row r="298" spans="1:27" x14ac:dyDescent="0.2">
      <c r="A298" s="7" t="s">
        <v>2242</v>
      </c>
      <c r="B298" t="s">
        <v>1393</v>
      </c>
      <c r="C298">
        <v>2016</v>
      </c>
      <c r="D298">
        <v>3.9</v>
      </c>
      <c r="E298">
        <v>3</v>
      </c>
      <c r="F298">
        <v>3.9</v>
      </c>
      <c r="G298">
        <v>11.596649999999999</v>
      </c>
      <c r="H298">
        <v>1</v>
      </c>
      <c r="I298">
        <v>0.6</v>
      </c>
      <c r="J298">
        <v>0.61157024793388426</v>
      </c>
      <c r="K298">
        <v>0.61704790383396979</v>
      </c>
      <c r="L298">
        <v>1</v>
      </c>
      <c r="M298">
        <v>0.5</v>
      </c>
      <c r="N298">
        <v>0</v>
      </c>
      <c r="O298">
        <v>0</v>
      </c>
      <c r="P298">
        <v>26.483941421324776</v>
      </c>
      <c r="Q298">
        <v>0.48513207626850224</v>
      </c>
      <c r="R298">
        <v>-0.11448798912414948</v>
      </c>
      <c r="S298">
        <v>1.3772025083783215</v>
      </c>
      <c r="T298">
        <v>3.7788087196495741E-2</v>
      </c>
      <c r="U298">
        <v>4.2694414897168054</v>
      </c>
      <c r="V298">
        <v>26.560667677254536</v>
      </c>
      <c r="W298">
        <v>0.51208649245852056</v>
      </c>
      <c r="X298">
        <v>0.16077214875342069</v>
      </c>
      <c r="Y298">
        <v>-2.683051162537841E-2</v>
      </c>
      <c r="Z298">
        <v>0.17319221479796859</v>
      </c>
      <c r="AA298">
        <v>-0.25551961401284162</v>
      </c>
    </row>
    <row r="299" spans="1:27" x14ac:dyDescent="0.2">
      <c r="A299" s="7" t="s">
        <v>2242</v>
      </c>
      <c r="B299" t="s">
        <v>1397</v>
      </c>
      <c r="C299">
        <v>2015</v>
      </c>
      <c r="D299">
        <v>2.42</v>
      </c>
      <c r="E299">
        <v>3</v>
      </c>
      <c r="F299">
        <v>2.42</v>
      </c>
      <c r="G299">
        <v>6.8826499999999999</v>
      </c>
      <c r="H299">
        <v>1</v>
      </c>
      <c r="I299">
        <v>0.5</v>
      </c>
      <c r="J299">
        <v>5.2051282051282044</v>
      </c>
      <c r="K299">
        <v>0.36037435007773266</v>
      </c>
      <c r="L299">
        <v>1</v>
      </c>
      <c r="M299">
        <v>0.4</v>
      </c>
      <c r="N299">
        <v>0</v>
      </c>
      <c r="O299">
        <v>0.1</v>
      </c>
      <c r="P299">
        <v>26.322479582821146</v>
      </c>
      <c r="Q299">
        <v>0.48089611965428752</v>
      </c>
      <c r="R299">
        <v>8.5192888101620179E-2</v>
      </c>
      <c r="S299">
        <v>1.5441004027191227</v>
      </c>
      <c r="T299">
        <v>-9.2154329952169378E-2</v>
      </c>
      <c r="U299">
        <v>5.1732209973665135</v>
      </c>
      <c r="V299">
        <v>26.361514551345543</v>
      </c>
      <c r="W299">
        <v>0.50037823264582115</v>
      </c>
      <c r="X299">
        <v>0.27177056664351606</v>
      </c>
      <c r="Y299">
        <v>0.9031378878090065</v>
      </c>
      <c r="Z299">
        <v>3.6094267336491286E-2</v>
      </c>
      <c r="AA299">
        <v>2.7787367550767605</v>
      </c>
    </row>
    <row r="300" spans="1:27" x14ac:dyDescent="0.2">
      <c r="A300" s="7" t="s">
        <v>2242</v>
      </c>
      <c r="B300" t="s">
        <v>1401</v>
      </c>
      <c r="C300">
        <v>2014</v>
      </c>
      <c r="D300">
        <v>0.39</v>
      </c>
      <c r="E300">
        <v>3</v>
      </c>
      <c r="F300">
        <v>0.39</v>
      </c>
      <c r="G300">
        <v>7.8170000000000002</v>
      </c>
      <c r="H300">
        <v>1</v>
      </c>
      <c r="I300">
        <v>0.4</v>
      </c>
      <c r="J300">
        <v>-0.78571428571428581</v>
      </c>
      <c r="K300">
        <v>1.151889947851106</v>
      </c>
      <c r="L300">
        <v>0</v>
      </c>
      <c r="M300">
        <v>0.3</v>
      </c>
      <c r="N300">
        <v>1</v>
      </c>
      <c r="O300">
        <v>0</v>
      </c>
      <c r="P300">
        <v>26.112240877138454</v>
      </c>
      <c r="Q300">
        <v>0.46202703726492139</v>
      </c>
      <c r="R300">
        <v>0.13704563036663009</v>
      </c>
      <c r="S300">
        <v>1.1767346521253323</v>
      </c>
      <c r="T300">
        <v>-3.637045102727296E-2</v>
      </c>
      <c r="U300">
        <v>3.4453267865854618</v>
      </c>
      <c r="V300">
        <v>26.318882282236149</v>
      </c>
      <c r="W300">
        <v>0.52196744342165746</v>
      </c>
      <c r="X300">
        <v>7.0050146823231838E-2</v>
      </c>
      <c r="Y300">
        <v>0.74727555077261631</v>
      </c>
      <c r="Z300">
        <v>-8.2687801695591923E-2</v>
      </c>
      <c r="AA300">
        <v>1.4247202442835669</v>
      </c>
    </row>
    <row r="301" spans="1:27" x14ac:dyDescent="0.2">
      <c r="A301" s="7" t="s">
        <v>2244</v>
      </c>
      <c r="B301" t="s">
        <v>1451</v>
      </c>
      <c r="C301">
        <v>2024</v>
      </c>
      <c r="D301">
        <v>50</v>
      </c>
      <c r="E301">
        <v>4</v>
      </c>
      <c r="F301">
        <v>50</v>
      </c>
      <c r="G301">
        <v>58.940000000000005</v>
      </c>
      <c r="H301">
        <v>1</v>
      </c>
      <c r="I301">
        <v>0.5</v>
      </c>
      <c r="J301">
        <v>0.1111111111111111</v>
      </c>
      <c r="K301">
        <v>0.20351923742697586</v>
      </c>
      <c r="L301">
        <v>1</v>
      </c>
      <c r="M301">
        <v>0.2857142857142857</v>
      </c>
      <c r="N301">
        <v>0</v>
      </c>
      <c r="O301">
        <v>0.2857142857142857</v>
      </c>
      <c r="P301">
        <v>24.796769358908161</v>
      </c>
      <c r="Q301">
        <v>0.29634146810486789</v>
      </c>
      <c r="R301">
        <v>0.10763088637983342</v>
      </c>
      <c r="S301">
        <v>0.78818027060962714</v>
      </c>
      <c r="T301">
        <v>0.13434697755744152</v>
      </c>
      <c r="U301">
        <v>0.37404322011454583</v>
      </c>
      <c r="V301">
        <v>25.619660167770512</v>
      </c>
      <c r="W301">
        <v>0.26053748572823132</v>
      </c>
      <c r="X301">
        <v>0.2767389710901102</v>
      </c>
      <c r="Y301">
        <v>1.1984021355677783</v>
      </c>
      <c r="Z301">
        <v>6.8570542769538292E-2</v>
      </c>
      <c r="AA301">
        <v>4.2491374173598961</v>
      </c>
    </row>
    <row r="302" spans="1:27" x14ac:dyDescent="0.2">
      <c r="A302" s="7" t="s">
        <v>2244</v>
      </c>
      <c r="B302" t="s">
        <v>1453</v>
      </c>
      <c r="C302">
        <v>2023</v>
      </c>
      <c r="D302">
        <v>45</v>
      </c>
      <c r="E302">
        <v>4</v>
      </c>
      <c r="F302">
        <v>45</v>
      </c>
      <c r="G302">
        <v>87.525714285714301</v>
      </c>
      <c r="H302">
        <v>1</v>
      </c>
      <c r="I302">
        <v>0.42857142857142855</v>
      </c>
      <c r="J302">
        <v>0.125</v>
      </c>
      <c r="K302">
        <v>0.28919887955182072</v>
      </c>
      <c r="L302">
        <v>1</v>
      </c>
      <c r="M302">
        <v>0.35714285714285715</v>
      </c>
      <c r="N302">
        <v>0</v>
      </c>
      <c r="O302">
        <v>0</v>
      </c>
      <c r="P302">
        <v>24.762551356576409</v>
      </c>
      <c r="Q302">
        <v>0.20574391930258004</v>
      </c>
      <c r="R302">
        <v>0.21187436345698996</v>
      </c>
      <c r="S302">
        <v>0.7630232021167358</v>
      </c>
      <c r="T302">
        <v>0.31191567451064972</v>
      </c>
      <c r="U302">
        <v>0.43031739324152102</v>
      </c>
      <c r="V302">
        <v>25.41014126905603</v>
      </c>
      <c r="W302">
        <v>0.25357621963365401</v>
      </c>
      <c r="X302">
        <v>0.24901646796011997</v>
      </c>
      <c r="Y302">
        <v>1.2804919299379331</v>
      </c>
      <c r="Z302">
        <v>9.3511353929492239E-2</v>
      </c>
      <c r="AA302">
        <v>2.7415609389561979</v>
      </c>
    </row>
    <row r="303" spans="1:27" x14ac:dyDescent="0.2">
      <c r="A303" s="7" t="s">
        <v>2244</v>
      </c>
      <c r="B303" t="s">
        <v>1455</v>
      </c>
      <c r="C303">
        <v>2022</v>
      </c>
      <c r="D303">
        <v>40</v>
      </c>
      <c r="E303">
        <v>4</v>
      </c>
      <c r="F303">
        <v>40</v>
      </c>
      <c r="G303">
        <v>77.32285714285716</v>
      </c>
      <c r="H303">
        <v>1</v>
      </c>
      <c r="I303">
        <v>0.21428571428571427</v>
      </c>
      <c r="J303">
        <v>2.3333333333333335</v>
      </c>
      <c r="K303">
        <v>0.40059814988263875</v>
      </c>
      <c r="L303">
        <v>1</v>
      </c>
      <c r="M303">
        <v>0.21428571428571427</v>
      </c>
      <c r="N303">
        <v>0</v>
      </c>
      <c r="O303">
        <v>0</v>
      </c>
      <c r="P303">
        <v>24.470776774955219</v>
      </c>
      <c r="Q303">
        <v>0.22724320538853646</v>
      </c>
      <c r="R303">
        <v>0.47766893778200314</v>
      </c>
      <c r="S303">
        <v>0.68658393947716745</v>
      </c>
      <c r="T303">
        <v>0.33455722584314579</v>
      </c>
      <c r="U303">
        <v>0.55513125151079945</v>
      </c>
      <c r="V303">
        <v>25.333792758597685</v>
      </c>
      <c r="W303">
        <v>0.25002426015633289</v>
      </c>
      <c r="X303">
        <v>0.1803592716258241</v>
      </c>
      <c r="Y303">
        <v>1.3912911843085389</v>
      </c>
      <c r="Z303">
        <v>7.9567859196518098E-2</v>
      </c>
      <c r="AA303">
        <v>2.3083395323688278</v>
      </c>
    </row>
    <row r="304" spans="1:27" x14ac:dyDescent="0.2">
      <c r="A304" s="7" t="s">
        <v>2244</v>
      </c>
      <c r="B304" t="s">
        <v>1457</v>
      </c>
      <c r="C304">
        <v>2021</v>
      </c>
      <c r="D304">
        <v>12</v>
      </c>
      <c r="E304">
        <v>4</v>
      </c>
      <c r="F304">
        <v>12</v>
      </c>
      <c r="G304">
        <v>29.597857142857144</v>
      </c>
      <c r="H304">
        <v>1</v>
      </c>
      <c r="I304">
        <v>0.14285714285714285</v>
      </c>
      <c r="J304">
        <v>0.2</v>
      </c>
      <c r="K304">
        <v>-1.4286005462476048E-2</v>
      </c>
      <c r="L304">
        <v>1</v>
      </c>
      <c r="M304">
        <v>7.1428571428571425E-2</v>
      </c>
      <c r="N304">
        <v>0</v>
      </c>
      <c r="O304">
        <v>7.1428571428571425E-2</v>
      </c>
      <c r="P304">
        <v>24.08666380426477</v>
      </c>
      <c r="Q304">
        <v>0.30365755302819086</v>
      </c>
      <c r="R304">
        <v>0.90789807528073996</v>
      </c>
      <c r="S304">
        <v>0.53958548022963093</v>
      </c>
      <c r="T304">
        <v>0.34879658281069953</v>
      </c>
      <c r="U304">
        <v>0.54417140574145684</v>
      </c>
      <c r="V304">
        <v>25.279745720556765</v>
      </c>
      <c r="W304">
        <v>0.22955942431659473</v>
      </c>
      <c r="X304">
        <v>0.24382310265368939</v>
      </c>
      <c r="Y304">
        <v>1.3873885292581214</v>
      </c>
      <c r="Z304">
        <v>7.1594699040100601E-2</v>
      </c>
      <c r="AA304">
        <v>18.303170065474408</v>
      </c>
    </row>
    <row r="305" spans="1:27" x14ac:dyDescent="0.2">
      <c r="A305" s="7" t="s">
        <v>2244</v>
      </c>
      <c r="B305" t="s">
        <v>1460</v>
      </c>
      <c r="C305">
        <v>2020</v>
      </c>
      <c r="D305">
        <v>10</v>
      </c>
      <c r="E305">
        <v>4</v>
      </c>
      <c r="F305">
        <v>10</v>
      </c>
      <c r="G305">
        <v>42.187142857142859</v>
      </c>
      <c r="H305">
        <v>1</v>
      </c>
      <c r="I305">
        <v>0.14285714285714285</v>
      </c>
      <c r="J305">
        <v>1</v>
      </c>
      <c r="K305">
        <v>0.19556239521351787</v>
      </c>
      <c r="L305">
        <v>1</v>
      </c>
      <c r="M305">
        <v>0.14285714285714285</v>
      </c>
      <c r="N305">
        <v>0</v>
      </c>
      <c r="O305">
        <v>0</v>
      </c>
      <c r="P305">
        <v>23.709625676132891</v>
      </c>
      <c r="Q305">
        <v>0.32147957039435932</v>
      </c>
      <c r="R305">
        <v>-5.2553890512055612E-2</v>
      </c>
      <c r="S305">
        <v>0.27278253267244257</v>
      </c>
      <c r="T305">
        <v>0.18391279119389375</v>
      </c>
      <c r="U305">
        <v>0.68964334822054452</v>
      </c>
      <c r="V305">
        <v>25.475577811894219</v>
      </c>
      <c r="W305">
        <v>0.25407851454694824</v>
      </c>
      <c r="X305">
        <v>0.11550344821642798</v>
      </c>
      <c r="Y305">
        <v>1.9008750229402078</v>
      </c>
      <c r="Z305">
        <v>5.2928285217865502E-2</v>
      </c>
      <c r="AA305">
        <v>-11.6639643280238</v>
      </c>
    </row>
    <row r="306" spans="1:27" x14ac:dyDescent="0.2">
      <c r="A306" s="7" t="s">
        <v>2244</v>
      </c>
      <c r="B306" t="s">
        <v>1462</v>
      </c>
      <c r="C306">
        <v>2019</v>
      </c>
      <c r="D306">
        <v>0</v>
      </c>
      <c r="E306">
        <v>4</v>
      </c>
      <c r="F306">
        <v>0</v>
      </c>
      <c r="G306">
        <v>24.013571428571428</v>
      </c>
      <c r="H306">
        <v>0</v>
      </c>
      <c r="I306">
        <v>0.14285714285714285</v>
      </c>
      <c r="J306">
        <v>0</v>
      </c>
      <c r="K306">
        <v>7.1435616592770729E-2</v>
      </c>
      <c r="L306">
        <v>0</v>
      </c>
      <c r="M306">
        <v>0.14285714285714285</v>
      </c>
      <c r="N306">
        <v>0</v>
      </c>
      <c r="O306">
        <v>0</v>
      </c>
      <c r="P306">
        <v>23.364858521260572</v>
      </c>
      <c r="Q306">
        <v>0.34083946894811312</v>
      </c>
      <c r="R306">
        <v>1.739562432354</v>
      </c>
      <c r="S306">
        <v>5.8182870821093031E-2</v>
      </c>
      <c r="T306">
        <v>0.26076029323476352</v>
      </c>
      <c r="U306">
        <v>0.54838002215416548</v>
      </c>
      <c r="V306">
        <v>25.33494404273705</v>
      </c>
      <c r="W306">
        <v>0.26206139869908179</v>
      </c>
      <c r="X306">
        <v>0.19138693031172915</v>
      </c>
      <c r="Y306">
        <v>1.0019326911723421</v>
      </c>
      <c r="Z306">
        <v>1.3099310123289215E-2</v>
      </c>
      <c r="AA306">
        <v>-3.0434088454807107</v>
      </c>
    </row>
    <row r="307" spans="1:27" x14ac:dyDescent="0.2">
      <c r="A307" s="7" t="s">
        <v>2244</v>
      </c>
      <c r="B307" t="s">
        <v>1464</v>
      </c>
      <c r="C307">
        <v>2018</v>
      </c>
      <c r="D307">
        <v>0</v>
      </c>
      <c r="E307">
        <v>4</v>
      </c>
      <c r="F307">
        <v>0</v>
      </c>
      <c r="G307">
        <v>21.725714285714282</v>
      </c>
      <c r="H307">
        <v>0</v>
      </c>
      <c r="I307">
        <v>7.1428571428571425E-2</v>
      </c>
      <c r="J307">
        <v>0</v>
      </c>
      <c r="K307">
        <v>1.512461085784857E-2</v>
      </c>
      <c r="L307">
        <v>0</v>
      </c>
      <c r="M307">
        <v>7.1428571428571425E-2</v>
      </c>
      <c r="N307">
        <v>0</v>
      </c>
      <c r="O307">
        <v>0</v>
      </c>
      <c r="P307">
        <v>23.116857864049948</v>
      </c>
      <c r="Q307">
        <v>0.27983159687698977</v>
      </c>
      <c r="R307">
        <v>-0.36051048100122518</v>
      </c>
      <c r="S307">
        <v>-0.58883690990985293</v>
      </c>
      <c r="T307">
        <v>0.27769792692644041</v>
      </c>
      <c r="U307">
        <v>0.82459310188120516</v>
      </c>
      <c r="V307">
        <v>25.206839511237565</v>
      </c>
      <c r="W307">
        <v>0.32237745150832142</v>
      </c>
      <c r="X307">
        <v>0.12616308335917148</v>
      </c>
      <c r="Y307">
        <v>0.84979540526838859</v>
      </c>
      <c r="Z307">
        <v>-3.7950791960633438E-2</v>
      </c>
      <c r="AA307">
        <v>1.1188127460780593</v>
      </c>
    </row>
    <row r="308" spans="1:27" x14ac:dyDescent="0.2">
      <c r="A308" s="7" t="s">
        <v>2244</v>
      </c>
      <c r="B308" t="s">
        <v>1466</v>
      </c>
      <c r="C308">
        <v>2017</v>
      </c>
      <c r="D308">
        <v>0</v>
      </c>
      <c r="E308">
        <v>4</v>
      </c>
      <c r="F308">
        <v>0</v>
      </c>
      <c r="G308">
        <v>17.929285714285715</v>
      </c>
      <c r="H308">
        <v>0</v>
      </c>
      <c r="I308">
        <v>7.1428571428571425E-2</v>
      </c>
      <c r="J308">
        <v>0</v>
      </c>
      <c r="K308">
        <v>-6.9648828143057473E-3</v>
      </c>
      <c r="L308">
        <v>0</v>
      </c>
      <c r="M308">
        <v>0</v>
      </c>
      <c r="N308">
        <v>0</v>
      </c>
      <c r="O308">
        <v>7.1428571428571425E-2</v>
      </c>
      <c r="P308">
        <v>22.436477106167796</v>
      </c>
      <c r="Q308">
        <v>0.3640544138949961</v>
      </c>
      <c r="R308">
        <v>1.028693272707883</v>
      </c>
      <c r="S308">
        <v>-1.669059674749733</v>
      </c>
      <c r="T308">
        <v>6.5482425828602822E-2</v>
      </c>
      <c r="U308">
        <v>0.57853868465568237</v>
      </c>
      <c r="V308">
        <v>25.118916141991885</v>
      </c>
      <c r="W308">
        <v>0.33577172578918196</v>
      </c>
      <c r="X308">
        <v>3.8973163343348771E-2</v>
      </c>
      <c r="Y308">
        <v>0.99888062220188589</v>
      </c>
      <c r="Z308">
        <v>-5.0176084147361785E-2</v>
      </c>
      <c r="AA308">
        <v>0.6341517554746704</v>
      </c>
    </row>
    <row r="309" spans="1:27" x14ac:dyDescent="0.2">
      <c r="A309" s="7" t="s">
        <v>2247</v>
      </c>
      <c r="B309" t="s">
        <v>1475</v>
      </c>
      <c r="C309">
        <v>2024</v>
      </c>
      <c r="D309">
        <v>37.5</v>
      </c>
      <c r="E309">
        <v>4</v>
      </c>
      <c r="F309">
        <v>37.5</v>
      </c>
      <c r="G309">
        <v>59.832857142857151</v>
      </c>
      <c r="H309">
        <v>1</v>
      </c>
      <c r="I309">
        <v>0.5</v>
      </c>
      <c r="J309">
        <v>-0.94485294117647056</v>
      </c>
      <c r="K309">
        <v>0.27894524116180314</v>
      </c>
      <c r="L309">
        <v>0</v>
      </c>
      <c r="M309">
        <v>0.35714285714285715</v>
      </c>
      <c r="N309">
        <v>1</v>
      </c>
      <c r="O309">
        <v>0.21428571428571427</v>
      </c>
      <c r="P309">
        <v>25.534319471994664</v>
      </c>
      <c r="Q309">
        <v>0.28646193666012809</v>
      </c>
      <c r="R309">
        <v>0.15892136061871187</v>
      </c>
      <c r="S309">
        <v>0.34952402368638036</v>
      </c>
      <c r="T309">
        <v>4.1879464183838797E-2</v>
      </c>
      <c r="U309">
        <v>3.6046398320965447</v>
      </c>
      <c r="V309">
        <v>25.566978016835758</v>
      </c>
      <c r="W309">
        <v>0.26124316654571278</v>
      </c>
      <c r="X309">
        <v>0.2730753657873331</v>
      </c>
      <c r="Y309">
        <v>1.2297347246337242</v>
      </c>
      <c r="Z309">
        <v>7.5175365153367049E-2</v>
      </c>
      <c r="AA309">
        <v>4.0183805165040392</v>
      </c>
    </row>
    <row r="310" spans="1:27" x14ac:dyDescent="0.2">
      <c r="A310" s="7" t="s">
        <v>2247</v>
      </c>
      <c r="B310" t="s">
        <v>1477</v>
      </c>
      <c r="C310">
        <v>2023</v>
      </c>
      <c r="D310">
        <v>680</v>
      </c>
      <c r="E310">
        <v>4</v>
      </c>
      <c r="F310">
        <v>680</v>
      </c>
      <c r="G310">
        <v>42.168571428571433</v>
      </c>
      <c r="H310">
        <v>1</v>
      </c>
      <c r="I310">
        <v>0.42857142857142855</v>
      </c>
      <c r="J310">
        <v>8.7999999999999995E-2</v>
      </c>
      <c r="K310">
        <v>0.29184173669467789</v>
      </c>
      <c r="L310">
        <v>1</v>
      </c>
      <c r="M310">
        <v>0.35714285714285715</v>
      </c>
      <c r="N310">
        <v>0</v>
      </c>
      <c r="O310">
        <v>0</v>
      </c>
      <c r="P310">
        <v>25.290152470508893</v>
      </c>
      <c r="Q310">
        <v>0.30819583558455593</v>
      </c>
      <c r="R310">
        <v>0.20111800731637142</v>
      </c>
      <c r="S310">
        <v>0.74786630071060645</v>
      </c>
      <c r="T310">
        <v>8.5160758885433216E-2</v>
      </c>
      <c r="U310">
        <v>2.6186036019099896</v>
      </c>
      <c r="V310">
        <v>25.372455475203711</v>
      </c>
      <c r="W310">
        <v>0.24625822561351288</v>
      </c>
      <c r="X310">
        <v>0.24991283097183814</v>
      </c>
      <c r="Y310">
        <v>1.2815745657526567</v>
      </c>
      <c r="Z310">
        <v>0.11240759689826026</v>
      </c>
      <c r="AA310">
        <v>2.5852547811941635</v>
      </c>
    </row>
    <row r="311" spans="1:27" x14ac:dyDescent="0.2">
      <c r="A311" s="7" t="s">
        <v>2247</v>
      </c>
      <c r="B311" t="s">
        <v>1479</v>
      </c>
      <c r="C311">
        <v>2022</v>
      </c>
      <c r="D311">
        <v>625</v>
      </c>
      <c r="E311">
        <v>4</v>
      </c>
      <c r="F311">
        <v>625</v>
      </c>
      <c r="G311">
        <v>35.537142857142854</v>
      </c>
      <c r="H311">
        <v>1</v>
      </c>
      <c r="I311">
        <v>0.21428571428571427</v>
      </c>
      <c r="J311">
        <v>4.208333333333333</v>
      </c>
      <c r="K311">
        <v>0.26666957845406736</v>
      </c>
      <c r="L311">
        <v>1</v>
      </c>
      <c r="M311">
        <v>0.21428571428571427</v>
      </c>
      <c r="N311">
        <v>0</v>
      </c>
      <c r="O311">
        <v>0</v>
      </c>
      <c r="P311">
        <v>25.257358837917344</v>
      </c>
      <c r="Q311">
        <v>0.25868862667625808</v>
      </c>
      <c r="R311">
        <v>0.29863752218530237</v>
      </c>
      <c r="S311">
        <v>0.92351018157469766</v>
      </c>
      <c r="T311">
        <v>9.837555643601277E-2</v>
      </c>
      <c r="U311">
        <v>2.6684784749300881</v>
      </c>
      <c r="V311">
        <v>25.268244253350844</v>
      </c>
      <c r="W311">
        <v>0.24740380838235607</v>
      </c>
      <c r="X311">
        <v>0.19663485486188781</v>
      </c>
      <c r="Y311">
        <v>1.3715473308004114</v>
      </c>
      <c r="Z311">
        <v>0.10103892005171201</v>
      </c>
      <c r="AA311">
        <v>2.1322272637505537</v>
      </c>
    </row>
    <row r="312" spans="1:27" x14ac:dyDescent="0.2">
      <c r="A312" s="7" t="s">
        <v>2247</v>
      </c>
      <c r="B312" t="s">
        <v>1481</v>
      </c>
      <c r="C312">
        <v>2021</v>
      </c>
      <c r="D312">
        <v>120</v>
      </c>
      <c r="E312">
        <v>4</v>
      </c>
      <c r="F312">
        <v>120</v>
      </c>
      <c r="G312">
        <v>21.883571428571429</v>
      </c>
      <c r="H312">
        <v>1</v>
      </c>
      <c r="I312">
        <v>0.14285714285714285</v>
      </c>
      <c r="J312">
        <v>0.2</v>
      </c>
      <c r="K312">
        <v>-1.4286005462476048E-2</v>
      </c>
      <c r="L312">
        <v>1</v>
      </c>
      <c r="M312">
        <v>7.1428571428571425E-2</v>
      </c>
      <c r="N312">
        <v>0</v>
      </c>
      <c r="O312">
        <v>7.1428571428571425E-2</v>
      </c>
      <c r="P312">
        <v>25.086224324527478</v>
      </c>
      <c r="Q312">
        <v>0.23398183184904892</v>
      </c>
      <c r="R312">
        <v>0.18398849775643056</v>
      </c>
      <c r="S312">
        <v>0.67666002146909987</v>
      </c>
      <c r="T312">
        <v>5.4598328392679855E-2</v>
      </c>
      <c r="U312">
        <v>2.0090860297500384</v>
      </c>
      <c r="V312">
        <v>25.196449010534874</v>
      </c>
      <c r="W312">
        <v>0.23536573441485661</v>
      </c>
      <c r="X312">
        <v>0.3343117998442281</v>
      </c>
      <c r="Y312">
        <v>1.3759656508214988</v>
      </c>
      <c r="Z312">
        <v>0.10836948084235305</v>
      </c>
      <c r="AA312">
        <v>18.181093846807027</v>
      </c>
    </row>
    <row r="313" spans="1:27" x14ac:dyDescent="0.2">
      <c r="A313" s="7" t="s">
        <v>2247</v>
      </c>
      <c r="B313" t="s">
        <v>1483</v>
      </c>
      <c r="C313">
        <v>2020</v>
      </c>
      <c r="D313">
        <v>100</v>
      </c>
      <c r="E313">
        <v>4</v>
      </c>
      <c r="F313">
        <v>100</v>
      </c>
      <c r="G313">
        <v>35.758571428571429</v>
      </c>
      <c r="H313">
        <v>1</v>
      </c>
      <c r="I313">
        <v>0.14285714285714285</v>
      </c>
      <c r="J313">
        <v>2.125</v>
      </c>
      <c r="K313">
        <v>0.11520525235637501</v>
      </c>
      <c r="L313">
        <v>1</v>
      </c>
      <c r="M313">
        <v>0.14285714285714285</v>
      </c>
      <c r="N313">
        <v>0</v>
      </c>
      <c r="O313">
        <v>0</v>
      </c>
      <c r="P313">
        <v>24.874778072224853</v>
      </c>
      <c r="Q313">
        <v>0.20273886352904139</v>
      </c>
      <c r="R313">
        <v>0.19252364622979234</v>
      </c>
      <c r="S313">
        <v>0.7816662570656181</v>
      </c>
      <c r="T313">
        <v>4.065874105061261E-2</v>
      </c>
      <c r="U313">
        <v>2.122634553944458</v>
      </c>
      <c r="V313">
        <v>25.329933762382723</v>
      </c>
      <c r="W313">
        <v>0.26892110290511295</v>
      </c>
      <c r="X313">
        <v>8.4868756123696987E-2</v>
      </c>
      <c r="Y313">
        <v>1.8372645573910609</v>
      </c>
      <c r="Z313">
        <v>7.0835041485775657E-2</v>
      </c>
      <c r="AA313">
        <v>-11.84308822873929</v>
      </c>
    </row>
    <row r="314" spans="1:27" x14ac:dyDescent="0.2">
      <c r="A314" s="7" t="s">
        <v>2247</v>
      </c>
      <c r="B314" t="s">
        <v>1485</v>
      </c>
      <c r="C314">
        <v>2019</v>
      </c>
      <c r="D314">
        <v>32</v>
      </c>
      <c r="E314">
        <v>4</v>
      </c>
      <c r="F314">
        <v>32</v>
      </c>
      <c r="G314">
        <v>21.727857142857143</v>
      </c>
      <c r="H314">
        <v>1</v>
      </c>
      <c r="I314">
        <v>7.1428571428571425E-2</v>
      </c>
      <c r="J314">
        <v>1</v>
      </c>
      <c r="K314">
        <v>7.0451641993005478E-6</v>
      </c>
      <c r="L314">
        <v>1</v>
      </c>
      <c r="M314">
        <v>7.1428571428571425E-2</v>
      </c>
      <c r="N314">
        <v>0</v>
      </c>
      <c r="O314">
        <v>0</v>
      </c>
      <c r="P314">
        <v>24.773797826211858</v>
      </c>
      <c r="Q314">
        <v>0.24178101274639549</v>
      </c>
      <c r="R314">
        <v>0.22259335191541307</v>
      </c>
      <c r="S314">
        <v>0.70992861778066185</v>
      </c>
      <c r="T314">
        <v>2.7063778352754538E-2</v>
      </c>
      <c r="U314">
        <v>1.8666699945090601</v>
      </c>
      <c r="V314">
        <v>25.15882662961814</v>
      </c>
      <c r="W314">
        <v>0.27444370572429649</v>
      </c>
      <c r="X314">
        <v>0.44421511038482703</v>
      </c>
      <c r="Y314">
        <v>0.92046447280239574</v>
      </c>
      <c r="Z314">
        <v>5.2048729270290715E-2</v>
      </c>
      <c r="AA314">
        <v>-3.2081950920250732</v>
      </c>
    </row>
    <row r="315" spans="1:27" x14ac:dyDescent="0.2">
      <c r="A315" s="7" t="s">
        <v>2247</v>
      </c>
      <c r="B315" t="s">
        <v>1487</v>
      </c>
      <c r="C315">
        <v>2018</v>
      </c>
      <c r="D315">
        <v>0</v>
      </c>
      <c r="E315">
        <v>4</v>
      </c>
      <c r="F315">
        <v>0</v>
      </c>
      <c r="G315">
        <v>21.725714285714282</v>
      </c>
      <c r="H315">
        <v>0</v>
      </c>
      <c r="I315">
        <v>7.1428571428571425E-2</v>
      </c>
      <c r="J315">
        <v>0</v>
      </c>
      <c r="K315">
        <v>1.512461085784857E-2</v>
      </c>
      <c r="L315">
        <v>0</v>
      </c>
      <c r="M315">
        <v>7.1428571428571425E-2</v>
      </c>
      <c r="N315">
        <v>0</v>
      </c>
      <c r="O315">
        <v>0</v>
      </c>
      <c r="P315">
        <v>24.604210886803696</v>
      </c>
      <c r="Q315">
        <v>0.21854755518877655</v>
      </c>
      <c r="R315">
        <v>0.16374018175481875</v>
      </c>
      <c r="S315">
        <v>0.66841321210253246</v>
      </c>
      <c r="T315">
        <v>2.0969094059129268E-2</v>
      </c>
      <c r="U315">
        <v>1.4898546257769558</v>
      </c>
      <c r="V315">
        <v>24.958947340778607</v>
      </c>
      <c r="W315">
        <v>0.33259145845635696</v>
      </c>
      <c r="X315">
        <v>3.8787972899830825E-2</v>
      </c>
      <c r="Y315">
        <v>0.64025371826632438</v>
      </c>
      <c r="Z315">
        <v>4.8373468505850782E-3</v>
      </c>
      <c r="AA315">
        <v>1.0079358254287676</v>
      </c>
    </row>
    <row r="316" spans="1:27" x14ac:dyDescent="0.2">
      <c r="A316" s="7" t="s">
        <v>2247</v>
      </c>
      <c r="B316" t="s">
        <v>1489</v>
      </c>
      <c r="C316">
        <v>2017</v>
      </c>
      <c r="D316">
        <v>0</v>
      </c>
      <c r="E316">
        <v>4</v>
      </c>
      <c r="F316">
        <v>0</v>
      </c>
      <c r="G316">
        <v>17.929285714285715</v>
      </c>
      <c r="H316">
        <v>0</v>
      </c>
      <c r="I316">
        <v>7.1428571428571425E-2</v>
      </c>
      <c r="J316">
        <v>0</v>
      </c>
      <c r="K316">
        <v>-6.9648828143057473E-3</v>
      </c>
      <c r="L316">
        <v>0</v>
      </c>
      <c r="M316">
        <v>0</v>
      </c>
      <c r="N316">
        <v>0</v>
      </c>
      <c r="O316">
        <v>7.1428571428571425E-2</v>
      </c>
      <c r="P316">
        <v>24.436715944994553</v>
      </c>
      <c r="Q316">
        <v>0.15858031467252104</v>
      </c>
      <c r="R316">
        <v>3.8993955936829749E-2</v>
      </c>
      <c r="S316">
        <v>0.62181201151789389</v>
      </c>
      <c r="T316">
        <v>1.6584797690788473E-2</v>
      </c>
      <c r="U316">
        <v>1.1079288358700123</v>
      </c>
      <c r="V316">
        <v>24.785543002187424</v>
      </c>
      <c r="W316">
        <v>0.37001740899292779</v>
      </c>
      <c r="X316">
        <v>0.28639799253611209</v>
      </c>
      <c r="Y316">
        <v>0.61706867449061475</v>
      </c>
      <c r="Z316">
        <v>-3.79516771129082E-2</v>
      </c>
      <c r="AA316">
        <v>0.54592006360561529</v>
      </c>
    </row>
    <row r="317" spans="1:27" x14ac:dyDescent="0.2">
      <c r="A317" s="7" t="s">
        <v>2247</v>
      </c>
      <c r="B317" t="s">
        <v>1491</v>
      </c>
      <c r="C317">
        <v>2016</v>
      </c>
      <c r="D317">
        <v>0</v>
      </c>
      <c r="E317">
        <v>4</v>
      </c>
      <c r="F317">
        <v>0</v>
      </c>
      <c r="G317">
        <v>19.866428571428571</v>
      </c>
      <c r="H317">
        <v>0</v>
      </c>
      <c r="I317">
        <v>7.1428571428571425E-2</v>
      </c>
      <c r="J317">
        <v>0</v>
      </c>
      <c r="K317">
        <v>-7.4403323992656362E-3</v>
      </c>
      <c r="L317">
        <v>0</v>
      </c>
      <c r="M317">
        <v>0</v>
      </c>
      <c r="N317">
        <v>0</v>
      </c>
      <c r="O317">
        <v>7.1428571428571425E-2</v>
      </c>
      <c r="P317">
        <v>24.360667769177638</v>
      </c>
      <c r="Q317">
        <v>0.17316347748269417</v>
      </c>
      <c r="R317">
        <v>0.16925030938578778</v>
      </c>
      <c r="S317">
        <v>0.59142548707140286</v>
      </c>
      <c r="T317">
        <v>7.4681584879015836E-3</v>
      </c>
      <c r="U317">
        <v>0.95306636508507681</v>
      </c>
      <c r="V317">
        <v>24.603970040650388</v>
      </c>
      <c r="W317">
        <v>0.30519171687667801</v>
      </c>
      <c r="X317">
        <v>0.1650809091258314</v>
      </c>
      <c r="Y317">
        <v>7.6244788431838897</v>
      </c>
      <c r="Z317">
        <v>-2.9249541148996083E-2</v>
      </c>
      <c r="AA317">
        <v>-20.293901217688628</v>
      </c>
    </row>
    <row r="318" spans="1:27" x14ac:dyDescent="0.2">
      <c r="A318" s="7" t="s">
        <v>2247</v>
      </c>
      <c r="B318" t="s">
        <v>1493</v>
      </c>
      <c r="C318">
        <v>2015</v>
      </c>
      <c r="D318">
        <v>0</v>
      </c>
      <c r="E318">
        <v>4</v>
      </c>
      <c r="F318">
        <v>0</v>
      </c>
      <c r="G318">
        <v>22.176428571428573</v>
      </c>
      <c r="H318">
        <v>0</v>
      </c>
      <c r="I318">
        <v>7.1428571428571425E-2</v>
      </c>
      <c r="J318">
        <v>0</v>
      </c>
      <c r="K318">
        <v>-1.0326382164702542E-2</v>
      </c>
      <c r="L318">
        <v>0</v>
      </c>
      <c r="M318">
        <v>0</v>
      </c>
      <c r="N318">
        <v>0</v>
      </c>
      <c r="O318">
        <v>7.1428571428571425E-2</v>
      </c>
      <c r="P318">
        <v>24.297099131738829</v>
      </c>
      <c r="Q318">
        <v>0.18859563010125374</v>
      </c>
      <c r="R318">
        <v>9.0295778148634653E-2</v>
      </c>
      <c r="S318">
        <v>0.58501635429105447</v>
      </c>
      <c r="T318">
        <v>6.8493150684931503E-3</v>
      </c>
      <c r="U318">
        <v>0.85104615544364259</v>
      </c>
      <c r="V318">
        <v>24.947443476418986</v>
      </c>
      <c r="W318">
        <v>0.33323221643954565</v>
      </c>
      <c r="X318">
        <v>0.23756390857134302</v>
      </c>
      <c r="Y318">
        <v>-1.0048302871614239</v>
      </c>
      <c r="Z318">
        <v>8.3092836568136E-2</v>
      </c>
      <c r="AA318">
        <v>7.0749318915557629</v>
      </c>
    </row>
    <row r="319" spans="1:27" x14ac:dyDescent="0.2">
      <c r="A319" s="7" t="s">
        <v>2247</v>
      </c>
      <c r="B319" t="s">
        <v>1495</v>
      </c>
      <c r="C319">
        <v>2014</v>
      </c>
      <c r="D319">
        <v>0</v>
      </c>
      <c r="E319">
        <v>4</v>
      </c>
      <c r="F319">
        <v>0</v>
      </c>
      <c r="G319">
        <v>25.924285714285713</v>
      </c>
      <c r="H319">
        <v>0</v>
      </c>
      <c r="I319">
        <v>7.1428571428571425E-2</v>
      </c>
      <c r="J319">
        <v>0</v>
      </c>
      <c r="K319">
        <v>4.887635107293415E-2</v>
      </c>
      <c r="L319">
        <v>0</v>
      </c>
      <c r="M319">
        <v>7.1428571428571425E-2</v>
      </c>
      <c r="N319">
        <v>0</v>
      </c>
      <c r="O319">
        <v>7.1428571428571425E-2</v>
      </c>
      <c r="P319">
        <v>24.270552924480462</v>
      </c>
      <c r="Q319">
        <v>0.20222356634695698</v>
      </c>
      <c r="R319">
        <v>-0.36845764004126114</v>
      </c>
      <c r="S319">
        <v>0.58122649394066028</v>
      </c>
      <c r="T319">
        <v>3.1593745018188145E-2</v>
      </c>
      <c r="U319">
        <v>0.81357083159214372</v>
      </c>
      <c r="V319">
        <v>24.946950742289715</v>
      </c>
      <c r="W319">
        <v>0.31919149954124043</v>
      </c>
      <c r="X319">
        <v>0.23684214106015269</v>
      </c>
      <c r="Y319">
        <v>-13.780497190349083</v>
      </c>
      <c r="Z319">
        <v>3.6080182648938114E-2</v>
      </c>
      <c r="AA319">
        <v>45.654517153414311</v>
      </c>
    </row>
    <row r="320" spans="1:27" x14ac:dyDescent="0.2">
      <c r="A320" s="7" t="s">
        <v>2249</v>
      </c>
      <c r="B320" t="s">
        <v>1504</v>
      </c>
      <c r="C320">
        <v>2024</v>
      </c>
      <c r="D320">
        <v>27.490000000000002</v>
      </c>
      <c r="E320">
        <v>4</v>
      </c>
      <c r="F320">
        <v>27.490000000000002</v>
      </c>
      <c r="G320">
        <v>60.547857142857147</v>
      </c>
      <c r="H320">
        <v>1</v>
      </c>
      <c r="I320">
        <v>0.5</v>
      </c>
      <c r="J320">
        <v>7.3828125000000022E-2</v>
      </c>
      <c r="K320">
        <v>0.20618230786348382</v>
      </c>
      <c r="L320">
        <v>1</v>
      </c>
      <c r="M320">
        <v>0.2857142857142857</v>
      </c>
      <c r="N320">
        <v>0</v>
      </c>
      <c r="O320">
        <v>0.2857142857142857</v>
      </c>
      <c r="P320">
        <v>25.366439071958709</v>
      </c>
      <c r="Q320">
        <v>0.2480764187649894</v>
      </c>
      <c r="R320">
        <v>0.46884272535881388</v>
      </c>
      <c r="S320">
        <v>0.19580867252871367</v>
      </c>
      <c r="T320">
        <v>5.8649938029422581E-2</v>
      </c>
      <c r="U320">
        <v>2.1818185995229911</v>
      </c>
      <c r="V320">
        <v>25.578969473981186</v>
      </c>
      <c r="W320">
        <v>0.26398498925250841</v>
      </c>
      <c r="X320">
        <v>0.25093812544875438</v>
      </c>
      <c r="Y320">
        <v>1.2407143925735578</v>
      </c>
      <c r="Z320">
        <v>7.3977474164396789E-2</v>
      </c>
      <c r="AA320">
        <v>4.1200106045450067</v>
      </c>
    </row>
    <row r="321" spans="1:27" x14ac:dyDescent="0.2">
      <c r="A321" s="7" t="s">
        <v>2249</v>
      </c>
      <c r="B321" t="s">
        <v>1506</v>
      </c>
      <c r="C321">
        <v>2023</v>
      </c>
      <c r="D321">
        <v>25.6</v>
      </c>
      <c r="E321">
        <v>4</v>
      </c>
      <c r="F321">
        <v>25.6</v>
      </c>
      <c r="G321">
        <v>88.911428571428573</v>
      </c>
      <c r="H321">
        <v>1</v>
      </c>
      <c r="I321">
        <v>0.42857142857142855</v>
      </c>
      <c r="J321">
        <v>1</v>
      </c>
      <c r="K321">
        <v>0.22669887955182075</v>
      </c>
      <c r="L321">
        <v>1</v>
      </c>
      <c r="M321">
        <v>0.35714285714285715</v>
      </c>
      <c r="N321">
        <v>0</v>
      </c>
      <c r="O321">
        <v>0</v>
      </c>
      <c r="P321">
        <v>25.165822900765445</v>
      </c>
      <c r="Q321">
        <v>0.14256735757958566</v>
      </c>
      <c r="R321">
        <v>1.0483167359025685</v>
      </c>
      <c r="S321">
        <v>0.20627008779575018</v>
      </c>
      <c r="T321">
        <v>7.5377729303730739E-2</v>
      </c>
      <c r="U321">
        <v>2.0792710178956555</v>
      </c>
      <c r="V321">
        <v>25.381336158756817</v>
      </c>
      <c r="W321">
        <v>0.25808883118529652</v>
      </c>
      <c r="X321">
        <v>0.17931293692298844</v>
      </c>
      <c r="Y321">
        <v>1.3202600095322894</v>
      </c>
      <c r="Z321">
        <v>0.11322284936340214</v>
      </c>
      <c r="AA321">
        <v>2.6237785371951881</v>
      </c>
    </row>
    <row r="322" spans="1:27" x14ac:dyDescent="0.2">
      <c r="A322" s="7" t="s">
        <v>2249</v>
      </c>
      <c r="B322" t="s">
        <v>1509</v>
      </c>
      <c r="C322">
        <v>2022</v>
      </c>
      <c r="D322">
        <v>0</v>
      </c>
      <c r="E322">
        <v>4</v>
      </c>
      <c r="F322">
        <v>0</v>
      </c>
      <c r="G322">
        <v>80.180000000000021</v>
      </c>
      <c r="H322">
        <v>0</v>
      </c>
      <c r="I322">
        <v>0.2857142857142857</v>
      </c>
      <c r="J322">
        <v>0</v>
      </c>
      <c r="K322">
        <v>0.56726481654930538</v>
      </c>
      <c r="L322">
        <v>0</v>
      </c>
      <c r="M322">
        <v>0.2857142857142857</v>
      </c>
      <c r="N322">
        <v>0</v>
      </c>
      <c r="O322">
        <v>0</v>
      </c>
      <c r="P322">
        <v>24.672028846496573</v>
      </c>
      <c r="Q322">
        <v>3.1388750624311242E-2</v>
      </c>
      <c r="R322">
        <v>0.26484532223667112</v>
      </c>
      <c r="S322">
        <v>0.16058934175787523</v>
      </c>
      <c r="T322">
        <v>4.0868409029913275E-2</v>
      </c>
      <c r="U322">
        <v>3.3425782883492672</v>
      </c>
      <c r="V322">
        <v>25.31702175263591</v>
      </c>
      <c r="W322">
        <v>0.2663454647200183</v>
      </c>
      <c r="X322">
        <v>0.19970687303903609</v>
      </c>
      <c r="Y322">
        <v>1.4351240674518131</v>
      </c>
      <c r="Z322">
        <v>0.1062668425431756</v>
      </c>
      <c r="AA322">
        <v>2.0760522792989557</v>
      </c>
    </row>
    <row r="323" spans="1:27" x14ac:dyDescent="0.2">
      <c r="A323" s="7" t="s">
        <v>2249</v>
      </c>
      <c r="B323" t="s">
        <v>1512</v>
      </c>
      <c r="C323">
        <v>2021</v>
      </c>
      <c r="D323">
        <v>0</v>
      </c>
      <c r="E323">
        <v>4</v>
      </c>
      <c r="F323">
        <v>0</v>
      </c>
      <c r="G323">
        <v>30.455000000000002</v>
      </c>
      <c r="H323">
        <v>0</v>
      </c>
      <c r="I323">
        <v>0.21428571428571427</v>
      </c>
      <c r="J323">
        <v>0</v>
      </c>
      <c r="K323">
        <v>-2.9117676176145958E-7</v>
      </c>
      <c r="L323">
        <v>0</v>
      </c>
      <c r="M323">
        <v>0.14285714285714285</v>
      </c>
      <c r="N323">
        <v>0</v>
      </c>
      <c r="O323">
        <v>7.1428571428571425E-2</v>
      </c>
      <c r="P323">
        <v>24.236250895743577</v>
      </c>
      <c r="Q323">
        <v>2.3697203747842436E-3</v>
      </c>
      <c r="R323">
        <v>0.36007332282610771</v>
      </c>
      <c r="S323">
        <v>0.97043895365051036</v>
      </c>
      <c r="T323">
        <v>1.8572392500597654E-2</v>
      </c>
      <c r="U323">
        <v>186.11730715600424</v>
      </c>
      <c r="V323">
        <v>25.267280129600199</v>
      </c>
      <c r="W323">
        <v>0.25466674370437864</v>
      </c>
      <c r="X323">
        <v>0.31230119671051843</v>
      </c>
      <c r="Y323">
        <v>1.3514840731397146</v>
      </c>
      <c r="Z323">
        <v>0.11287272282886333</v>
      </c>
      <c r="AA323">
        <v>2.8387420862858441</v>
      </c>
    </row>
    <row r="324" spans="1:27" x14ac:dyDescent="0.2">
      <c r="A324" s="7" t="s">
        <v>2249</v>
      </c>
      <c r="B324" t="s">
        <v>1513</v>
      </c>
      <c r="C324">
        <v>2020</v>
      </c>
      <c r="D324">
        <v>0</v>
      </c>
      <c r="E324">
        <v>4</v>
      </c>
      <c r="F324">
        <v>0</v>
      </c>
      <c r="G324">
        <v>42.901428571428575</v>
      </c>
      <c r="H324">
        <v>0</v>
      </c>
      <c r="I324">
        <v>0.21428571428571427</v>
      </c>
      <c r="J324">
        <v>0</v>
      </c>
      <c r="K324">
        <v>0.26699096664208927</v>
      </c>
      <c r="L324">
        <v>0</v>
      </c>
      <c r="M324">
        <v>0.21428571428571427</v>
      </c>
      <c r="N324">
        <v>0</v>
      </c>
      <c r="O324">
        <v>0</v>
      </c>
      <c r="P324">
        <v>23.993249442995651</v>
      </c>
      <c r="Q324">
        <v>2.5906745597681388E-3</v>
      </c>
      <c r="R324">
        <v>6.1920418715565528E-2</v>
      </c>
      <c r="S324">
        <v>1.0140742589769873</v>
      </c>
      <c r="T324">
        <v>1.1207765991428283E-2</v>
      </c>
      <c r="U324">
        <v>-70.869157190884124</v>
      </c>
      <c r="V324">
        <v>25.440124841036372</v>
      </c>
      <c r="W324">
        <v>0.29393962652627215</v>
      </c>
      <c r="X324">
        <v>0.10119415956297534</v>
      </c>
      <c r="Y324">
        <v>1.8082135571521396</v>
      </c>
      <c r="Z324">
        <v>7.451641336817369E-2</v>
      </c>
      <c r="AA324">
        <v>-2.7191142606357164</v>
      </c>
    </row>
    <row r="325" spans="1:27" x14ac:dyDescent="0.2">
      <c r="A325" s="7" t="s">
        <v>2255</v>
      </c>
      <c r="B325" t="s">
        <v>1564</v>
      </c>
      <c r="C325">
        <v>2024</v>
      </c>
      <c r="D325">
        <v>0</v>
      </c>
      <c r="E325">
        <v>4</v>
      </c>
      <c r="F325">
        <v>0</v>
      </c>
      <c r="G325">
        <v>62.511428571428574</v>
      </c>
      <c r="H325">
        <v>0</v>
      </c>
      <c r="I325">
        <v>0.5714285714285714</v>
      </c>
      <c r="J325">
        <v>-1</v>
      </c>
      <c r="K325">
        <v>0.28288431679205528</v>
      </c>
      <c r="L325">
        <v>0</v>
      </c>
      <c r="M325">
        <v>0.35714285714285715</v>
      </c>
      <c r="N325">
        <v>1</v>
      </c>
      <c r="O325">
        <v>0.21428571428571427</v>
      </c>
      <c r="P325">
        <v>28.078212651034583</v>
      </c>
      <c r="Q325">
        <v>0.28863889536010012</v>
      </c>
      <c r="R325">
        <v>0.19599439196488544</v>
      </c>
      <c r="S325">
        <v>0.99278913512166522</v>
      </c>
      <c r="T325">
        <v>2.9620497495410559E-2</v>
      </c>
      <c r="U325">
        <v>7.62546251214291</v>
      </c>
      <c r="V325">
        <v>25.385271361190053</v>
      </c>
      <c r="W325">
        <v>0.26108766949571477</v>
      </c>
      <c r="X325">
        <v>0.27042729211974931</v>
      </c>
      <c r="Y325">
        <v>1.1837872166740611</v>
      </c>
      <c r="Z325">
        <v>7.6051005631111918E-2</v>
      </c>
      <c r="AA325">
        <v>3.7311788965007269</v>
      </c>
    </row>
    <row r="326" spans="1:27" x14ac:dyDescent="0.2">
      <c r="A326" s="7" t="s">
        <v>2255</v>
      </c>
      <c r="B326" t="s">
        <v>1566</v>
      </c>
      <c r="C326">
        <v>2023</v>
      </c>
      <c r="D326">
        <v>412.13</v>
      </c>
      <c r="E326">
        <v>4</v>
      </c>
      <c r="F326">
        <v>412.13</v>
      </c>
      <c r="G326">
        <v>61.302142857142861</v>
      </c>
      <c r="H326">
        <v>1</v>
      </c>
      <c r="I326">
        <v>0.42857142857142855</v>
      </c>
      <c r="J326">
        <v>0</v>
      </c>
      <c r="K326">
        <v>0.29812745098039217</v>
      </c>
      <c r="L326">
        <v>0</v>
      </c>
      <c r="M326">
        <v>0.42857142857142855</v>
      </c>
      <c r="N326">
        <v>0</v>
      </c>
      <c r="O326">
        <v>0</v>
      </c>
      <c r="P326">
        <v>27.988376115477038</v>
      </c>
      <c r="Q326">
        <v>0.25676031951819195</v>
      </c>
      <c r="R326">
        <v>8.1927144580525635E-2</v>
      </c>
      <c r="S326">
        <v>1.0296257969434357</v>
      </c>
      <c r="T326">
        <v>4.1533700142972266E-2</v>
      </c>
      <c r="U326">
        <v>8.0210597285754766</v>
      </c>
      <c r="V326">
        <v>25.179725214848844</v>
      </c>
      <c r="W326">
        <v>0.24993219104682463</v>
      </c>
      <c r="X326">
        <v>0.25984540286649199</v>
      </c>
      <c r="Y326">
        <v>1.2614488874503118</v>
      </c>
      <c r="Z326">
        <v>0.11604318512679868</v>
      </c>
      <c r="AA326">
        <v>2.199365057860915</v>
      </c>
    </row>
    <row r="327" spans="1:27" x14ac:dyDescent="0.2">
      <c r="A327" s="7" t="s">
        <v>2255</v>
      </c>
      <c r="B327" t="s">
        <v>1568</v>
      </c>
      <c r="C327">
        <v>2022</v>
      </c>
      <c r="D327">
        <v>412.13</v>
      </c>
      <c r="E327">
        <v>4</v>
      </c>
      <c r="F327">
        <v>412.13</v>
      </c>
      <c r="G327">
        <v>50.742142857142859</v>
      </c>
      <c r="H327">
        <v>1</v>
      </c>
      <c r="I327">
        <v>0.21428571428571427</v>
      </c>
      <c r="J327">
        <v>0.40004076502360969</v>
      </c>
      <c r="K327">
        <v>0.53869047619047616</v>
      </c>
      <c r="L327">
        <v>1</v>
      </c>
      <c r="M327">
        <v>0.21428571428571427</v>
      </c>
      <c r="N327">
        <v>0</v>
      </c>
      <c r="O327">
        <v>0</v>
      </c>
      <c r="P327">
        <v>27.964631002789595</v>
      </c>
      <c r="Q327">
        <v>0.25913446937662765</v>
      </c>
      <c r="R327">
        <v>0.26718554886902846</v>
      </c>
      <c r="S327">
        <v>0.63988246557430473</v>
      </c>
      <c r="T327">
        <v>2.1441671884325691E-2</v>
      </c>
      <c r="U327">
        <v>5.7315215091833487</v>
      </c>
      <c r="V327">
        <v>25.042638239611488</v>
      </c>
      <c r="W327">
        <v>0.24736665482399189</v>
      </c>
      <c r="X327">
        <v>0.1994941251633672</v>
      </c>
      <c r="Y327">
        <v>1.395182973800444</v>
      </c>
      <c r="Z327">
        <v>0.10803290955641084</v>
      </c>
      <c r="AA327">
        <v>1.8769736775627817</v>
      </c>
    </row>
    <row r="328" spans="1:27" x14ac:dyDescent="0.2">
      <c r="A328" s="7" t="s">
        <v>2255</v>
      </c>
      <c r="B328" t="s">
        <v>1570</v>
      </c>
      <c r="C328">
        <v>2021</v>
      </c>
      <c r="D328">
        <v>294.37</v>
      </c>
      <c r="E328">
        <v>4</v>
      </c>
      <c r="F328">
        <v>294.37</v>
      </c>
      <c r="G328">
        <v>9.4285714285714288</v>
      </c>
      <c r="H328">
        <v>1</v>
      </c>
      <c r="I328">
        <v>0.14285714285714285</v>
      </c>
      <c r="J328">
        <v>-0.40000407647466468</v>
      </c>
      <c r="K328">
        <v>2.8571428571428574E-2</v>
      </c>
      <c r="L328">
        <v>0</v>
      </c>
      <c r="M328">
        <v>0.14285714285714285</v>
      </c>
      <c r="N328">
        <v>1</v>
      </c>
      <c r="O328">
        <v>0</v>
      </c>
      <c r="P328">
        <v>27.821181560701671</v>
      </c>
      <c r="Q328">
        <v>0.31196374955320261</v>
      </c>
      <c r="R328">
        <v>0.19455914890601345</v>
      </c>
      <c r="S328">
        <v>0.58556898725117346</v>
      </c>
      <c r="T328">
        <v>4.4649212876442426E-2</v>
      </c>
      <c r="U328">
        <v>5.7572278205225027</v>
      </c>
      <c r="V328">
        <v>24.968535907520359</v>
      </c>
      <c r="W328">
        <v>0.22886724127284377</v>
      </c>
      <c r="X328">
        <v>0.33299046845053021</v>
      </c>
      <c r="Y328">
        <v>1.3835565703396595</v>
      </c>
      <c r="Z328">
        <v>0.10961312028188273</v>
      </c>
      <c r="AA328">
        <v>17.868748697575985</v>
      </c>
    </row>
    <row r="329" spans="1:27" x14ac:dyDescent="0.2">
      <c r="A329" s="7" t="s">
        <v>2255</v>
      </c>
      <c r="B329" t="s">
        <v>1572</v>
      </c>
      <c r="C329">
        <v>2020</v>
      </c>
      <c r="D329">
        <v>490.62</v>
      </c>
      <c r="E329">
        <v>4</v>
      </c>
      <c r="F329">
        <v>490.62</v>
      </c>
      <c r="G329">
        <v>7.8571428571428568</v>
      </c>
      <c r="H329">
        <v>1</v>
      </c>
      <c r="I329">
        <v>0.14285714285714285</v>
      </c>
      <c r="J329">
        <v>0.61287353298925018</v>
      </c>
      <c r="K329">
        <v>0.22321428571428573</v>
      </c>
      <c r="L329">
        <v>1</v>
      </c>
      <c r="M329">
        <v>0.14285714285714285</v>
      </c>
      <c r="N329">
        <v>0</v>
      </c>
      <c r="O329">
        <v>0</v>
      </c>
      <c r="P329">
        <v>27.574865711142095</v>
      </c>
      <c r="Q329">
        <v>0.35595104535905175</v>
      </c>
      <c r="R329">
        <v>0.13521679523679886</v>
      </c>
      <c r="S329">
        <v>0.59852316152289242</v>
      </c>
      <c r="T329">
        <v>3.4838301831092933E-2</v>
      </c>
      <c r="U329">
        <v>4.1692152008068026</v>
      </c>
      <c r="V329">
        <v>24.992422807518068</v>
      </c>
      <c r="W329">
        <v>0.24976958017636172</v>
      </c>
      <c r="X329">
        <v>9.2032112497821172E-2</v>
      </c>
      <c r="Y329">
        <v>1.8601574443339013</v>
      </c>
      <c r="Z329">
        <v>7.1562596388215619E-2</v>
      </c>
      <c r="AA329">
        <v>-12.098910809597083</v>
      </c>
    </row>
    <row r="330" spans="1:27" x14ac:dyDescent="0.2">
      <c r="A330" s="7" t="s">
        <v>2255</v>
      </c>
      <c r="B330" t="s">
        <v>1574</v>
      </c>
      <c r="C330">
        <v>2019</v>
      </c>
      <c r="D330">
        <v>304.19</v>
      </c>
      <c r="E330">
        <v>4</v>
      </c>
      <c r="F330">
        <v>304.19</v>
      </c>
      <c r="G330">
        <v>2.2857142857142856</v>
      </c>
      <c r="H330">
        <v>1</v>
      </c>
      <c r="I330">
        <v>7.1428571428571425E-2</v>
      </c>
      <c r="J330">
        <v>9.8632298790207664E-5</v>
      </c>
      <c r="K330">
        <v>7.1428571428571425E-2</v>
      </c>
      <c r="L330">
        <v>1</v>
      </c>
      <c r="M330">
        <v>7.1428571428571425E-2</v>
      </c>
      <c r="N330">
        <v>0</v>
      </c>
      <c r="O330">
        <v>0</v>
      </c>
      <c r="P330">
        <v>27.578347208933856</v>
      </c>
      <c r="Q330">
        <v>0.37207753733726801</v>
      </c>
      <c r="R330">
        <v>0.10645779424565438</v>
      </c>
      <c r="S330">
        <v>0.6151885189343671</v>
      </c>
      <c r="T330">
        <v>1.225964610955891E-2</v>
      </c>
      <c r="U330">
        <v>4.0319586702395407</v>
      </c>
      <c r="V330">
        <v>24.808257956777886</v>
      </c>
      <c r="W330">
        <v>0.25815664015043743</v>
      </c>
      <c r="X330">
        <v>0.46357103666312011</v>
      </c>
      <c r="Y330">
        <v>0.93230698515818256</v>
      </c>
      <c r="Z330">
        <v>5.4516084644156644E-2</v>
      </c>
      <c r="AA330">
        <v>-3.4788561764913828</v>
      </c>
    </row>
    <row r="331" spans="1:27" x14ac:dyDescent="0.2">
      <c r="A331" s="7" t="s">
        <v>2255</v>
      </c>
      <c r="B331" t="s">
        <v>1576</v>
      </c>
      <c r="C331">
        <v>2018</v>
      </c>
      <c r="D331">
        <v>304.15999999999997</v>
      </c>
      <c r="E331">
        <v>4</v>
      </c>
      <c r="F331">
        <v>304.15999999999997</v>
      </c>
      <c r="G331">
        <v>0</v>
      </c>
      <c r="H331">
        <v>1</v>
      </c>
      <c r="I331">
        <v>0</v>
      </c>
      <c r="J331">
        <v>0.21174455200987999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27.13932418162933</v>
      </c>
      <c r="Q331">
        <v>0.57282293659773131</v>
      </c>
      <c r="R331">
        <v>8.2698751015428895E-2</v>
      </c>
      <c r="S331">
        <v>0.70309618240511385</v>
      </c>
      <c r="T331">
        <v>5.9181731491368066E-2</v>
      </c>
      <c r="U331">
        <v>1.414442383630506</v>
      </c>
      <c r="V331">
        <v>24.536428458307672</v>
      </c>
      <c r="W331">
        <v>0.27354556155486448</v>
      </c>
      <c r="X331">
        <v>5.2294878023062465E-2</v>
      </c>
      <c r="Y331">
        <v>0.63447322321589417</v>
      </c>
      <c r="Z331">
        <v>-1.5314260547880526E-3</v>
      </c>
      <c r="AA331">
        <v>1.0205045324531758</v>
      </c>
    </row>
    <row r="332" spans="1:27" x14ac:dyDescent="0.2">
      <c r="A332" s="7" t="s">
        <v>2255</v>
      </c>
      <c r="B332" t="s">
        <v>1578</v>
      </c>
      <c r="C332">
        <v>2017</v>
      </c>
      <c r="D332">
        <v>251.01</v>
      </c>
      <c r="E332">
        <v>4</v>
      </c>
      <c r="F332">
        <v>251.01</v>
      </c>
      <c r="G332">
        <v>0</v>
      </c>
      <c r="H332">
        <v>1</v>
      </c>
      <c r="I332">
        <v>0</v>
      </c>
      <c r="J332">
        <v>-9.7508359400280464E-2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27.001481821349639</v>
      </c>
      <c r="Q332">
        <v>0.62665978372127973</v>
      </c>
      <c r="R332">
        <v>6.2695951212591305E-2</v>
      </c>
      <c r="S332">
        <v>0.98742805735419892</v>
      </c>
      <c r="T332">
        <v>6.8578648828670888E-2</v>
      </c>
      <c r="U332">
        <v>1.0297346646378711</v>
      </c>
      <c r="V332">
        <v>24.358082022794907</v>
      </c>
      <c r="W332">
        <v>0.29200416415146796</v>
      </c>
      <c r="X332">
        <v>0.2804724937171717</v>
      </c>
      <c r="Y332">
        <v>0.55613266685123053</v>
      </c>
      <c r="Z332">
        <v>-5.0950139897378802E-2</v>
      </c>
      <c r="AA332">
        <v>0.5589524254776389</v>
      </c>
    </row>
    <row r="333" spans="1:27" x14ac:dyDescent="0.2">
      <c r="A333" s="7" t="s">
        <v>2255</v>
      </c>
      <c r="B333" t="s">
        <v>1580</v>
      </c>
      <c r="C333">
        <v>2016</v>
      </c>
      <c r="D333">
        <v>278.13</v>
      </c>
      <c r="E333">
        <v>4</v>
      </c>
      <c r="F333">
        <v>278.13</v>
      </c>
      <c r="G333">
        <v>0</v>
      </c>
      <c r="H333">
        <v>1</v>
      </c>
      <c r="I333">
        <v>0</v>
      </c>
      <c r="J333">
        <v>-0.10416465358971891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26.943647725728951</v>
      </c>
      <c r="Q333">
        <v>0.63736095819989114</v>
      </c>
      <c r="R333">
        <v>0.12558238380863695</v>
      </c>
      <c r="S333">
        <v>1.2791247674442345</v>
      </c>
      <c r="T333">
        <v>0.12918664581911113</v>
      </c>
      <c r="U333">
        <v>1.3200861361188259</v>
      </c>
      <c r="V333">
        <v>23.958225051512557</v>
      </c>
      <c r="W333">
        <v>0.18914234669737878</v>
      </c>
      <c r="X333">
        <v>0.17963688431821501</v>
      </c>
      <c r="Y333">
        <v>7.4525540230906824</v>
      </c>
      <c r="Z333">
        <v>-6.9822370259399261E-2</v>
      </c>
      <c r="AA333">
        <v>-20.385656160447066</v>
      </c>
    </row>
    <row r="334" spans="1:27" x14ac:dyDescent="0.2">
      <c r="A334" s="7" t="s">
        <v>2255</v>
      </c>
      <c r="B334" t="s">
        <v>1582</v>
      </c>
      <c r="C334">
        <v>2015</v>
      </c>
      <c r="D334">
        <v>310.47000000000003</v>
      </c>
      <c r="E334">
        <v>4</v>
      </c>
      <c r="F334">
        <v>310.47000000000003</v>
      </c>
      <c r="G334">
        <v>0</v>
      </c>
      <c r="H334">
        <v>1</v>
      </c>
      <c r="I334">
        <v>0</v>
      </c>
      <c r="J334">
        <v>-0.14456935030583559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26.551273465221506</v>
      </c>
      <c r="Q334">
        <v>0.6580914100596108</v>
      </c>
      <c r="R334">
        <v>0.24003087098046971</v>
      </c>
      <c r="S334">
        <v>1.6302970949859232</v>
      </c>
      <c r="T334">
        <v>0.20562183763288047</v>
      </c>
      <c r="U334">
        <v>1.447568474575224</v>
      </c>
      <c r="V334">
        <v>24.196052031924761</v>
      </c>
      <c r="W334">
        <v>0.17673362312009333</v>
      </c>
      <c r="X334">
        <v>0.18765221096073134</v>
      </c>
      <c r="Y334">
        <v>-1.3532572007263799</v>
      </c>
      <c r="Z334">
        <v>1.683532904667356E-2</v>
      </c>
      <c r="AA334">
        <v>6.8760911185119022</v>
      </c>
    </row>
    <row r="335" spans="1:27" x14ac:dyDescent="0.2">
      <c r="A335" s="7" t="s">
        <v>2255</v>
      </c>
      <c r="B335" t="s">
        <v>1584</v>
      </c>
      <c r="C335">
        <v>2014</v>
      </c>
      <c r="D335">
        <v>362.94</v>
      </c>
      <c r="E335">
        <v>4</v>
      </c>
      <c r="F335">
        <v>362.94</v>
      </c>
      <c r="G335">
        <v>0</v>
      </c>
      <c r="H335">
        <v>1</v>
      </c>
      <c r="I335">
        <v>0</v>
      </c>
      <c r="J335">
        <v>1.6842689150210781</v>
      </c>
      <c r="K335">
        <v>-7.1428571428571425E-2</v>
      </c>
      <c r="L335">
        <v>1</v>
      </c>
      <c r="M335">
        <v>0</v>
      </c>
      <c r="N335">
        <v>0</v>
      </c>
      <c r="O335">
        <v>7.1428571428571425E-2</v>
      </c>
      <c r="P335">
        <v>26.193590482722112</v>
      </c>
      <c r="Q335">
        <v>0.67573946170588506</v>
      </c>
      <c r="R335">
        <v>0.32810095767348102</v>
      </c>
      <c r="S335">
        <v>1.3026419829381972</v>
      </c>
      <c r="T335">
        <v>0.19295976266618964</v>
      </c>
      <c r="U335">
        <v>1.3999838647963931</v>
      </c>
      <c r="V335">
        <v>24.305938222875834</v>
      </c>
      <c r="W335">
        <v>0.1613528677549311</v>
      </c>
      <c r="X335">
        <v>4.6559418219053184E-3</v>
      </c>
      <c r="Y335">
        <v>-14.141204934847851</v>
      </c>
      <c r="Z335">
        <v>-1.7708489900395714E-2</v>
      </c>
      <c r="AA335">
        <v>45.459046142346232</v>
      </c>
    </row>
    <row r="336" spans="1:27" x14ac:dyDescent="0.2">
      <c r="A336" s="7" t="s">
        <v>2258</v>
      </c>
      <c r="B336" t="s">
        <v>1595</v>
      </c>
      <c r="C336">
        <v>2024</v>
      </c>
      <c r="D336">
        <v>0.44</v>
      </c>
      <c r="E336">
        <v>4</v>
      </c>
      <c r="F336">
        <v>0.44</v>
      </c>
      <c r="G336">
        <v>62.480000000000004</v>
      </c>
      <c r="H336">
        <v>1</v>
      </c>
      <c r="I336">
        <v>0.5</v>
      </c>
      <c r="J336">
        <v>1</v>
      </c>
      <c r="K336">
        <v>0.14002717393491237</v>
      </c>
      <c r="L336">
        <v>1</v>
      </c>
      <c r="M336">
        <v>0.2857142857142857</v>
      </c>
      <c r="N336">
        <v>0</v>
      </c>
      <c r="O336">
        <v>0.2857142857142857</v>
      </c>
      <c r="P336">
        <v>24.626109218250644</v>
      </c>
      <c r="Q336">
        <v>0.19799538660454544</v>
      </c>
      <c r="R336">
        <v>0.2959576209201078</v>
      </c>
      <c r="S336">
        <v>0.88888896343906088</v>
      </c>
      <c r="T336">
        <v>0.11022114463855416</v>
      </c>
      <c r="U336">
        <v>0.95535484456618047</v>
      </c>
      <c r="V336">
        <v>25.63185017781748</v>
      </c>
      <c r="W336">
        <v>0.2675622058353973</v>
      </c>
      <c r="X336">
        <v>0.26328706148009057</v>
      </c>
      <c r="Y336">
        <v>1.1912086575085328</v>
      </c>
      <c r="Z336">
        <v>7.0293816549458807E-2</v>
      </c>
      <c r="AA336">
        <v>4.2076151584704933</v>
      </c>
    </row>
    <row r="337" spans="1:27" x14ac:dyDescent="0.2">
      <c r="A337" s="7" t="s">
        <v>2258</v>
      </c>
      <c r="B337" t="s">
        <v>1599</v>
      </c>
      <c r="C337">
        <v>2023</v>
      </c>
      <c r="D337">
        <v>0</v>
      </c>
      <c r="E337">
        <v>4</v>
      </c>
      <c r="F337">
        <v>0</v>
      </c>
      <c r="G337">
        <v>90.740000000000009</v>
      </c>
      <c r="H337">
        <v>0</v>
      </c>
      <c r="I337">
        <v>0.5</v>
      </c>
      <c r="J337">
        <v>0</v>
      </c>
      <c r="K337">
        <v>0.29812745098039217</v>
      </c>
      <c r="L337">
        <v>0</v>
      </c>
      <c r="M337">
        <v>0.42857142857142855</v>
      </c>
      <c r="N337">
        <v>0</v>
      </c>
      <c r="O337">
        <v>0</v>
      </c>
      <c r="P337">
        <v>24.25311904913962</v>
      </c>
      <c r="Q337">
        <v>0.14431278515853899</v>
      </c>
      <c r="R337">
        <v>4.0320905638754789E-2</v>
      </c>
      <c r="S337">
        <v>0.98516164893805014</v>
      </c>
      <c r="T337">
        <v>0.11736327472093018</v>
      </c>
      <c r="U337">
        <v>0.99318539964674213</v>
      </c>
      <c r="V337">
        <v>25.4465292910158</v>
      </c>
      <c r="W337">
        <v>0.25796415778679982</v>
      </c>
      <c r="X337">
        <v>0.26331258944497288</v>
      </c>
      <c r="Y337">
        <v>1.2646248980221251</v>
      </c>
      <c r="Z337">
        <v>0.10972405391196886</v>
      </c>
      <c r="AA337">
        <v>2.7013560813558244</v>
      </c>
    </row>
    <row r="338" spans="1:27" x14ac:dyDescent="0.2">
      <c r="A338" s="7" t="s">
        <v>2258</v>
      </c>
      <c r="B338" t="s">
        <v>1602</v>
      </c>
      <c r="C338">
        <v>2022</v>
      </c>
      <c r="D338">
        <v>0</v>
      </c>
      <c r="E338">
        <v>4</v>
      </c>
      <c r="F338">
        <v>0</v>
      </c>
      <c r="G338">
        <v>80.180000000000021</v>
      </c>
      <c r="H338">
        <v>0</v>
      </c>
      <c r="I338">
        <v>0.2857142857142857</v>
      </c>
      <c r="J338">
        <v>0</v>
      </c>
      <c r="K338">
        <v>0.56726481654930538</v>
      </c>
      <c r="L338">
        <v>0</v>
      </c>
      <c r="M338">
        <v>0.2857142857142857</v>
      </c>
      <c r="N338">
        <v>0</v>
      </c>
      <c r="O338">
        <v>0</v>
      </c>
      <c r="P338">
        <v>24.252668054450368</v>
      </c>
      <c r="Q338">
        <v>0.14983091948571375</v>
      </c>
      <c r="R338">
        <v>7.4324217124486669E-2</v>
      </c>
      <c r="S338">
        <v>0.98266549893095945</v>
      </c>
      <c r="T338">
        <v>0.11452075722743955</v>
      </c>
      <c r="U338">
        <v>1.3274348712425337</v>
      </c>
      <c r="V338">
        <v>25.351968485306426</v>
      </c>
      <c r="W338">
        <v>0.2564752839815681</v>
      </c>
      <c r="X338">
        <v>0.21702697350378009</v>
      </c>
      <c r="Y338">
        <v>1.3666177210207229</v>
      </c>
      <c r="Z338">
        <v>9.9571174525218659E-2</v>
      </c>
      <c r="AA338">
        <v>2.2439808973911828</v>
      </c>
    </row>
    <row r="339" spans="1:27" x14ac:dyDescent="0.2">
      <c r="A339" s="7" t="s">
        <v>2261</v>
      </c>
      <c r="B339" t="s">
        <v>1621</v>
      </c>
      <c r="C339">
        <v>2024</v>
      </c>
      <c r="D339">
        <v>70</v>
      </c>
      <c r="E339">
        <v>4</v>
      </c>
      <c r="F339">
        <v>70</v>
      </c>
      <c r="G339">
        <v>57.511428571428574</v>
      </c>
      <c r="H339">
        <v>1</v>
      </c>
      <c r="I339">
        <v>0.5</v>
      </c>
      <c r="J339">
        <v>-0.21348314606741572</v>
      </c>
      <c r="K339">
        <v>0.22670454151115635</v>
      </c>
      <c r="L339">
        <v>0</v>
      </c>
      <c r="M339">
        <v>0.35714285714285715</v>
      </c>
      <c r="N339">
        <v>1</v>
      </c>
      <c r="O339">
        <v>0.21428571428571427</v>
      </c>
      <c r="P339">
        <v>25.083034081405199</v>
      </c>
      <c r="Q339">
        <v>0.27216605529211774</v>
      </c>
      <c r="R339">
        <v>0.11510651484402534</v>
      </c>
      <c r="S339">
        <v>0.36833053355731543</v>
      </c>
      <c r="T339">
        <v>5.0157877057440375E-2</v>
      </c>
      <c r="U339">
        <v>2.1293096552275816</v>
      </c>
      <c r="V339">
        <v>25.59921268759215</v>
      </c>
      <c r="W339">
        <v>0.2622643009291421</v>
      </c>
      <c r="X339">
        <v>0.27620499762838213</v>
      </c>
      <c r="Y339">
        <v>1.2283914025000862</v>
      </c>
      <c r="Z339">
        <v>7.4584049948109785E-2</v>
      </c>
      <c r="AA339">
        <v>4.1237612434232505</v>
      </c>
    </row>
    <row r="340" spans="1:27" x14ac:dyDescent="0.2">
      <c r="A340" s="7" t="s">
        <v>2261</v>
      </c>
      <c r="B340" t="s">
        <v>1626</v>
      </c>
      <c r="C340">
        <v>2021</v>
      </c>
      <c r="D340">
        <v>0</v>
      </c>
      <c r="E340">
        <v>4</v>
      </c>
      <c r="F340">
        <v>0</v>
      </c>
      <c r="G340">
        <v>30.455000000000002</v>
      </c>
      <c r="H340">
        <v>0</v>
      </c>
      <c r="I340">
        <v>0.21428571428571427</v>
      </c>
      <c r="J340">
        <v>0</v>
      </c>
      <c r="K340">
        <v>-2.9117676176145958E-7</v>
      </c>
      <c r="L340">
        <v>0</v>
      </c>
      <c r="M340">
        <v>0.14285714285714285</v>
      </c>
      <c r="N340">
        <v>0</v>
      </c>
      <c r="O340">
        <v>7.1428571428571425E-2</v>
      </c>
      <c r="P340">
        <v>25.003287431164708</v>
      </c>
      <c r="Q340">
        <v>0.28976218820076965</v>
      </c>
      <c r="R340">
        <v>0.38984617716147607</v>
      </c>
      <c r="S340">
        <v>0.45250631085467002</v>
      </c>
      <c r="T340">
        <v>6.5024715114490705E-2</v>
      </c>
      <c r="U340">
        <v>1.6051929318427696</v>
      </c>
      <c r="V340">
        <v>25.203360418315103</v>
      </c>
      <c r="W340">
        <v>0.23071737138554649</v>
      </c>
      <c r="X340">
        <v>0.30857958991859741</v>
      </c>
      <c r="Y340">
        <v>1.3946451267060347</v>
      </c>
      <c r="Z340">
        <v>0.1070661825021267</v>
      </c>
      <c r="AA340">
        <v>18.214751604965965</v>
      </c>
    </row>
    <row r="341" spans="1:27" x14ac:dyDescent="0.2">
      <c r="A341" s="7" t="s">
        <v>2261</v>
      </c>
      <c r="B341" t="s">
        <v>1628</v>
      </c>
      <c r="C341">
        <v>2020</v>
      </c>
      <c r="D341">
        <v>0</v>
      </c>
      <c r="E341">
        <v>4</v>
      </c>
      <c r="F341">
        <v>0</v>
      </c>
      <c r="G341">
        <v>42.901428571428575</v>
      </c>
      <c r="H341">
        <v>0</v>
      </c>
      <c r="I341">
        <v>0.21428571428571427</v>
      </c>
      <c r="J341">
        <v>0</v>
      </c>
      <c r="K341">
        <v>0.26699096664208927</v>
      </c>
      <c r="L341">
        <v>0</v>
      </c>
      <c r="M341">
        <v>0.21428571428571427</v>
      </c>
      <c r="N341">
        <v>0</v>
      </c>
      <c r="O341">
        <v>0</v>
      </c>
      <c r="P341">
        <v>24.936148705092045</v>
      </c>
      <c r="Q341">
        <v>0.33339254785273348</v>
      </c>
      <c r="R341">
        <v>0.14083922612769939</v>
      </c>
      <c r="S341">
        <v>0.40105425865007333</v>
      </c>
      <c r="T341">
        <v>-2.6337833656581818E-2</v>
      </c>
      <c r="U341">
        <v>1.6773017319963537</v>
      </c>
      <c r="V341">
        <v>25.322262433274322</v>
      </c>
      <c r="W341">
        <v>0.2525893923646515</v>
      </c>
      <c r="X341">
        <v>9.1329308636458606E-2</v>
      </c>
      <c r="Y341">
        <v>1.8848410571930037</v>
      </c>
      <c r="Z341">
        <v>7.9209613324174963E-2</v>
      </c>
      <c r="AA341">
        <v>-11.787421625995776</v>
      </c>
    </row>
    <row r="342" spans="1:27" x14ac:dyDescent="0.2">
      <c r="A342" s="7" t="s">
        <v>2261</v>
      </c>
      <c r="B342" t="s">
        <v>1630</v>
      </c>
      <c r="C342">
        <v>2019</v>
      </c>
      <c r="D342">
        <v>0</v>
      </c>
      <c r="E342">
        <v>4</v>
      </c>
      <c r="F342">
        <v>0</v>
      </c>
      <c r="G342">
        <v>24.013571428571428</v>
      </c>
      <c r="H342">
        <v>0</v>
      </c>
      <c r="I342">
        <v>0.14285714285714285</v>
      </c>
      <c r="J342">
        <v>0</v>
      </c>
      <c r="K342">
        <v>7.1435616592770729E-2</v>
      </c>
      <c r="L342">
        <v>0</v>
      </c>
      <c r="M342">
        <v>0.14285714285714285</v>
      </c>
      <c r="N342">
        <v>0</v>
      </c>
      <c r="O342">
        <v>0</v>
      </c>
      <c r="P342">
        <v>24.897006744148527</v>
      </c>
      <c r="Q342">
        <v>0.35653807075340987</v>
      </c>
      <c r="R342">
        <v>0.46505737227386712</v>
      </c>
      <c r="S342">
        <v>0.4538849347568209</v>
      </c>
      <c r="T342">
        <v>2.3345158778229645E-2</v>
      </c>
      <c r="U342">
        <v>1.4079922894424675</v>
      </c>
      <c r="V342">
        <v>25.143425514876053</v>
      </c>
      <c r="W342">
        <v>0.26009907347341971</v>
      </c>
      <c r="X342">
        <v>0.40380444032508467</v>
      </c>
      <c r="Y342">
        <v>0.95246993318037587</v>
      </c>
      <c r="Z342">
        <v>5.2668499199378195E-2</v>
      </c>
      <c r="AA342">
        <v>-3.1508603788917489</v>
      </c>
    </row>
    <row r="343" spans="1:27" x14ac:dyDescent="0.2">
      <c r="A343" s="7" t="s">
        <v>2261</v>
      </c>
      <c r="B343" t="s">
        <v>1632</v>
      </c>
      <c r="C343">
        <v>2018</v>
      </c>
      <c r="D343">
        <v>0</v>
      </c>
      <c r="E343">
        <v>4</v>
      </c>
      <c r="F343">
        <v>0</v>
      </c>
      <c r="G343">
        <v>21.725714285714282</v>
      </c>
      <c r="H343">
        <v>0</v>
      </c>
      <c r="I343">
        <v>7.1428571428571425E-2</v>
      </c>
      <c r="J343">
        <v>0</v>
      </c>
      <c r="K343">
        <v>1.512461085784857E-2</v>
      </c>
      <c r="L343">
        <v>0</v>
      </c>
      <c r="M343">
        <v>7.1428571428571425E-2</v>
      </c>
      <c r="N343">
        <v>0</v>
      </c>
      <c r="O343">
        <v>0</v>
      </c>
      <c r="P343">
        <v>24.647454539273429</v>
      </c>
      <c r="Q343">
        <v>0.21674701651782186</v>
      </c>
      <c r="R343">
        <v>0.10387540543563367</v>
      </c>
      <c r="S343">
        <v>0.63783014391902582</v>
      </c>
      <c r="T343">
        <v>9.7391598915989158E-4</v>
      </c>
      <c r="U343">
        <v>1.6681427592387579</v>
      </c>
      <c r="V343">
        <v>24.951740065366987</v>
      </c>
      <c r="W343">
        <v>0.3328915482348494</v>
      </c>
      <c r="X343">
        <v>4.8765435619695006E-2</v>
      </c>
      <c r="Y343">
        <v>0.64535089629690878</v>
      </c>
      <c r="Z343">
        <v>8.1698765289133102E-3</v>
      </c>
      <c r="AA343">
        <v>0.9782211365184672</v>
      </c>
    </row>
    <row r="344" spans="1:27" x14ac:dyDescent="0.2">
      <c r="A344" s="7" t="s">
        <v>2261</v>
      </c>
      <c r="B344" t="s">
        <v>1634</v>
      </c>
      <c r="C344">
        <v>2017</v>
      </c>
      <c r="D344">
        <v>0</v>
      </c>
      <c r="E344">
        <v>4</v>
      </c>
      <c r="F344">
        <v>0</v>
      </c>
      <c r="G344">
        <v>17.929285714285715</v>
      </c>
      <c r="H344">
        <v>0</v>
      </c>
      <c r="I344">
        <v>7.1428571428571425E-2</v>
      </c>
      <c r="J344">
        <v>0</v>
      </c>
      <c r="K344">
        <v>-6.9648828143057473E-3</v>
      </c>
      <c r="L344">
        <v>0</v>
      </c>
      <c r="M344">
        <v>0</v>
      </c>
      <c r="N344">
        <v>0</v>
      </c>
      <c r="O344">
        <v>7.1428571428571425E-2</v>
      </c>
      <c r="P344">
        <v>24.504086164758704</v>
      </c>
      <c r="Q344">
        <v>0.25497126698896289</v>
      </c>
      <c r="R344">
        <v>4.0144858370063652E-3</v>
      </c>
      <c r="S344">
        <v>0.63271328450229225</v>
      </c>
      <c r="T344">
        <v>2.3490682499559108E-2</v>
      </c>
      <c r="U344">
        <v>1.3107972809190072</v>
      </c>
      <c r="V344">
        <v>24.774314632226734</v>
      </c>
      <c r="W344">
        <v>0.35395225027352079</v>
      </c>
      <c r="X344">
        <v>0.29514286006106794</v>
      </c>
      <c r="Y344">
        <v>0.61525179565988164</v>
      </c>
      <c r="Z344">
        <v>-3.9678148315100858E-2</v>
      </c>
      <c r="AA344">
        <v>0.5121086560974496</v>
      </c>
    </row>
    <row r="345" spans="1:27" x14ac:dyDescent="0.2">
      <c r="A345" s="7" t="s">
        <v>2261</v>
      </c>
      <c r="B345" t="s">
        <v>1636</v>
      </c>
      <c r="C345">
        <v>2016</v>
      </c>
      <c r="D345">
        <v>0</v>
      </c>
      <c r="E345">
        <v>4</v>
      </c>
      <c r="F345">
        <v>0</v>
      </c>
      <c r="G345">
        <v>19.866428571428571</v>
      </c>
      <c r="H345">
        <v>0</v>
      </c>
      <c r="I345">
        <v>7.1428571428571425E-2</v>
      </c>
      <c r="J345">
        <v>0</v>
      </c>
      <c r="K345">
        <v>-7.4403323992656362E-3</v>
      </c>
      <c r="L345">
        <v>0</v>
      </c>
      <c r="M345">
        <v>0</v>
      </c>
      <c r="N345">
        <v>0</v>
      </c>
      <c r="O345">
        <v>7.1428571428571425E-2</v>
      </c>
      <c r="P345">
        <v>24.441776906184948</v>
      </c>
      <c r="Q345">
        <v>0.27070844355993495</v>
      </c>
      <c r="R345">
        <v>-7.1136144358392661E-2</v>
      </c>
      <c r="S345">
        <v>0.61286016242073649</v>
      </c>
      <c r="T345">
        <v>4.237075068478649E-2</v>
      </c>
      <c r="U345">
        <v>1.2918567137612638</v>
      </c>
      <c r="V345">
        <v>24.583692756398559</v>
      </c>
      <c r="W345">
        <v>0.28080547535736783</v>
      </c>
      <c r="X345">
        <v>0.24520972704055821</v>
      </c>
      <c r="Y345">
        <v>7.6191201743465564</v>
      </c>
      <c r="Z345">
        <v>-4.088373854795771E-2</v>
      </c>
      <c r="AA345">
        <v>-20.378598804857674</v>
      </c>
    </row>
    <row r="346" spans="1:27" x14ac:dyDescent="0.2">
      <c r="A346" s="7" t="s">
        <v>2261</v>
      </c>
      <c r="B346" t="s">
        <v>1638</v>
      </c>
      <c r="C346">
        <v>2015</v>
      </c>
      <c r="D346">
        <v>0</v>
      </c>
      <c r="E346">
        <v>4</v>
      </c>
      <c r="F346">
        <v>0</v>
      </c>
      <c r="G346">
        <v>22.176428571428573</v>
      </c>
      <c r="H346">
        <v>0</v>
      </c>
      <c r="I346">
        <v>7.1428571428571425E-2</v>
      </c>
      <c r="J346">
        <v>0</v>
      </c>
      <c r="K346">
        <v>-1.0326382164702542E-2</v>
      </c>
      <c r="L346">
        <v>0</v>
      </c>
      <c r="M346">
        <v>0</v>
      </c>
      <c r="N346">
        <v>0</v>
      </c>
      <c r="O346">
        <v>7.1428571428571425E-2</v>
      </c>
      <c r="P346">
        <v>24.260391735832812</v>
      </c>
      <c r="Q346">
        <v>0.30484753258845437</v>
      </c>
      <c r="R346">
        <v>-0.19951155363516815</v>
      </c>
      <c r="S346">
        <v>0.57495267753556822</v>
      </c>
      <c r="T346">
        <v>8.2411182294700056E-2</v>
      </c>
      <c r="U346">
        <v>1.0985528485070526</v>
      </c>
      <c r="V346">
        <v>24.959679275054327</v>
      </c>
      <c r="W346">
        <v>0.29448158227714544</v>
      </c>
      <c r="X346">
        <v>0.33416635249927729</v>
      </c>
      <c r="Y346">
        <v>-1.0014757282429285</v>
      </c>
      <c r="Z346">
        <v>5.7905547492733696E-2</v>
      </c>
      <c r="AA346">
        <v>6.9924296605346266</v>
      </c>
    </row>
    <row r="347" spans="1:27" x14ac:dyDescent="0.2">
      <c r="A347" s="7" t="s">
        <v>2264</v>
      </c>
      <c r="B347" t="s">
        <v>1651</v>
      </c>
      <c r="C347">
        <v>2024</v>
      </c>
      <c r="D347">
        <v>0</v>
      </c>
      <c r="E347">
        <v>4</v>
      </c>
      <c r="F347">
        <v>0</v>
      </c>
      <c r="G347">
        <v>62.511428571428574</v>
      </c>
      <c r="H347">
        <v>0</v>
      </c>
      <c r="I347">
        <v>0.5714285714285714</v>
      </c>
      <c r="J347">
        <v>0</v>
      </c>
      <c r="K347">
        <v>0.21145574536348383</v>
      </c>
      <c r="L347">
        <v>0</v>
      </c>
      <c r="M347">
        <v>0.35714285714285715</v>
      </c>
      <c r="N347">
        <v>0</v>
      </c>
      <c r="O347">
        <v>0.2857142857142857</v>
      </c>
      <c r="P347">
        <v>25.08436958156404</v>
      </c>
      <c r="Q347">
        <v>4.483698583104944E-2</v>
      </c>
      <c r="R347">
        <v>0.28107777246364374</v>
      </c>
      <c r="S347">
        <v>0.99765688007959108</v>
      </c>
      <c r="T347">
        <v>1.045952092052542E-2</v>
      </c>
      <c r="U347">
        <v>35.713670277102047</v>
      </c>
      <c r="V347">
        <v>25.599117294723662</v>
      </c>
      <c r="W347">
        <v>0.27850209160493267</v>
      </c>
      <c r="X347">
        <v>0.26434990779840939</v>
      </c>
      <c r="Y347">
        <v>1.1834395206056378</v>
      </c>
      <c r="Z347">
        <v>7.7419646815032286E-2</v>
      </c>
      <c r="AA347">
        <v>1.7248783418607887</v>
      </c>
    </row>
    <row r="348" spans="1:27" x14ac:dyDescent="0.2">
      <c r="A348" s="7" t="s">
        <v>2266</v>
      </c>
      <c r="B348" t="s">
        <v>1657</v>
      </c>
      <c r="C348">
        <v>2025</v>
      </c>
      <c r="D348">
        <v>0</v>
      </c>
      <c r="E348">
        <v>4</v>
      </c>
      <c r="F348">
        <v>0</v>
      </c>
      <c r="G348">
        <v>31.581428571428571</v>
      </c>
      <c r="H348">
        <v>0</v>
      </c>
      <c r="I348">
        <v>0.42857142857142855</v>
      </c>
      <c r="J348">
        <v>-1</v>
      </c>
      <c r="K348">
        <v>-0.11109777181212487</v>
      </c>
      <c r="L348">
        <v>0</v>
      </c>
      <c r="M348">
        <v>0.14285714285714285</v>
      </c>
      <c r="N348">
        <v>1</v>
      </c>
      <c r="O348">
        <v>0.42857142857142855</v>
      </c>
      <c r="P348">
        <v>23.701202503790306</v>
      </c>
      <c r="Q348">
        <v>0.78900426502740639</v>
      </c>
      <c r="R348">
        <v>-0.12906320972971697</v>
      </c>
      <c r="S348">
        <v>0.29537366814860505</v>
      </c>
      <c r="T348">
        <v>-0.14107974378321711</v>
      </c>
      <c r="U348">
        <v>3.9102242251313388</v>
      </c>
      <c r="V348">
        <v>27.010949446944053</v>
      </c>
      <c r="W348">
        <v>0.30185210528786427</v>
      </c>
      <c r="X348">
        <v>0.13114923848183513</v>
      </c>
      <c r="Y348">
        <v>1.1572081418679987</v>
      </c>
      <c r="Z348">
        <v>6.4502785367512597E-2</v>
      </c>
      <c r="AA348">
        <v>7.0923725275773153</v>
      </c>
    </row>
    <row r="349" spans="1:27" x14ac:dyDescent="0.2">
      <c r="A349" s="7" t="s">
        <v>2266</v>
      </c>
      <c r="B349" t="s">
        <v>1660</v>
      </c>
      <c r="C349">
        <v>2024</v>
      </c>
      <c r="D349">
        <v>2.11</v>
      </c>
      <c r="E349">
        <v>4</v>
      </c>
      <c r="F349">
        <v>2.11</v>
      </c>
      <c r="G349">
        <v>62.36071428571428</v>
      </c>
      <c r="H349">
        <v>1</v>
      </c>
      <c r="I349">
        <v>0.5</v>
      </c>
      <c r="J349">
        <v>-0.79414634146341467</v>
      </c>
      <c r="K349">
        <v>0.268180484039442</v>
      </c>
      <c r="L349">
        <v>0</v>
      </c>
      <c r="M349">
        <v>0.35714285714285715</v>
      </c>
      <c r="N349">
        <v>1</v>
      </c>
      <c r="O349">
        <v>0.21428571428571427</v>
      </c>
      <c r="P349">
        <v>23.81063975125463</v>
      </c>
      <c r="Q349">
        <v>0.63905264003094975</v>
      </c>
      <c r="R349">
        <v>0.33296192462829222</v>
      </c>
      <c r="S349">
        <v>0.57298328079532101</v>
      </c>
      <c r="T349">
        <v>9.9177774648534361E-2</v>
      </c>
      <c r="U349">
        <v>2.0112537493951925</v>
      </c>
      <c r="V349">
        <v>25.690097996888618</v>
      </c>
      <c r="W349">
        <v>0.23605811630493981</v>
      </c>
      <c r="X349">
        <v>0.26064389692950596</v>
      </c>
      <c r="Y349">
        <v>1.2137733491259426</v>
      </c>
      <c r="Z349">
        <v>7.1082628691603075E-2</v>
      </c>
      <c r="AA349">
        <v>4.1321938081255638</v>
      </c>
    </row>
    <row r="350" spans="1:27" x14ac:dyDescent="0.2">
      <c r="A350" s="7" t="s">
        <v>2266</v>
      </c>
      <c r="B350" t="s">
        <v>1663</v>
      </c>
      <c r="C350">
        <v>2023</v>
      </c>
      <c r="D350">
        <v>10.25</v>
      </c>
      <c r="E350">
        <v>4</v>
      </c>
      <c r="F350">
        <v>10.25</v>
      </c>
      <c r="G350">
        <v>90.007857142857148</v>
      </c>
      <c r="H350">
        <v>1</v>
      </c>
      <c r="I350">
        <v>0.42857142857142855</v>
      </c>
      <c r="J350">
        <v>1</v>
      </c>
      <c r="K350">
        <v>0.22669887955182075</v>
      </c>
      <c r="L350">
        <v>1</v>
      </c>
      <c r="M350">
        <v>0.35714285714285715</v>
      </c>
      <c r="N350">
        <v>0</v>
      </c>
      <c r="O350">
        <v>0</v>
      </c>
      <c r="P350">
        <v>23.62099049588776</v>
      </c>
      <c r="Q350">
        <v>0.62149034569322847</v>
      </c>
      <c r="R350">
        <v>0.54165273757475907</v>
      </c>
      <c r="S350">
        <v>0.42209402342291141</v>
      </c>
      <c r="T350">
        <v>0.13126677592247382</v>
      </c>
      <c r="U350">
        <v>2.1630192980243557</v>
      </c>
      <c r="V350">
        <v>25.49168133053379</v>
      </c>
      <c r="W350">
        <v>0.2238800463200363</v>
      </c>
      <c r="X350">
        <v>0.2215349367836392</v>
      </c>
      <c r="Y350">
        <v>1.3048440141303492</v>
      </c>
      <c r="Z350">
        <v>0.10856542881184023</v>
      </c>
      <c r="AA350">
        <v>2.6177965171859947</v>
      </c>
    </row>
    <row r="351" spans="1:27" x14ac:dyDescent="0.2">
      <c r="A351" s="7" t="s">
        <v>2268</v>
      </c>
      <c r="B351" t="s">
        <v>1668</v>
      </c>
      <c r="C351">
        <v>2025</v>
      </c>
      <c r="D351">
        <v>368</v>
      </c>
      <c r="E351">
        <v>4</v>
      </c>
      <c r="F351">
        <v>368</v>
      </c>
      <c r="G351">
        <v>5.2957142857142854</v>
      </c>
      <c r="H351">
        <v>1</v>
      </c>
      <c r="I351">
        <v>0.35714285714285715</v>
      </c>
      <c r="J351">
        <v>-0.43209876543209874</v>
      </c>
      <c r="K351">
        <v>-0.15166214570983211</v>
      </c>
      <c r="L351">
        <v>0</v>
      </c>
      <c r="M351">
        <v>0.14285714285714285</v>
      </c>
      <c r="N351">
        <v>1</v>
      </c>
      <c r="O351">
        <v>0.42857142857142855</v>
      </c>
      <c r="P351">
        <v>28.286197441936437</v>
      </c>
      <c r="Q351">
        <v>0.26670464849840197</v>
      </c>
      <c r="R351">
        <v>0.18781427142508766</v>
      </c>
      <c r="S351">
        <v>1.5749502120502317</v>
      </c>
      <c r="T351">
        <v>4.4148291004365792E-2</v>
      </c>
      <c r="U351">
        <v>18.868559812611572</v>
      </c>
      <c r="V351">
        <v>25.482617800895344</v>
      </c>
      <c r="W351">
        <v>0.47595197746419915</v>
      </c>
      <c r="X351">
        <v>2.5523411430233584E-2</v>
      </c>
      <c r="Y351">
        <v>0.73068262723412314</v>
      </c>
      <c r="Z351">
        <v>2.7601071049849582E-3</v>
      </c>
      <c r="AA351">
        <v>2.1062606650839046</v>
      </c>
    </row>
    <row r="352" spans="1:27" x14ac:dyDescent="0.2">
      <c r="A352" s="7" t="s">
        <v>2268</v>
      </c>
      <c r="B352" t="s">
        <v>1672</v>
      </c>
      <c r="C352">
        <v>2024</v>
      </c>
      <c r="D352">
        <v>648</v>
      </c>
      <c r="E352">
        <v>4</v>
      </c>
      <c r="F352">
        <v>648</v>
      </c>
      <c r="G352">
        <v>16.225714285714286</v>
      </c>
      <c r="H352">
        <v>1</v>
      </c>
      <c r="I352">
        <v>0.5</v>
      </c>
      <c r="J352">
        <v>1</v>
      </c>
      <c r="K352">
        <v>0.1400271739349124</v>
      </c>
      <c r="L352">
        <v>1</v>
      </c>
      <c r="M352">
        <v>0.2857142857142857</v>
      </c>
      <c r="N352">
        <v>0</v>
      </c>
      <c r="O352">
        <v>0.2857142857142857</v>
      </c>
      <c r="P352">
        <v>28.242489042069224</v>
      </c>
      <c r="Q352">
        <v>0.22869241808114979</v>
      </c>
      <c r="R352">
        <v>0.24228295038016645</v>
      </c>
      <c r="S352">
        <v>1.1747975574140448</v>
      </c>
      <c r="T352">
        <v>6.0618346276711005E-2</v>
      </c>
      <c r="U352">
        <v>5.7965212325029132</v>
      </c>
      <c r="V352">
        <v>25.373537333259005</v>
      </c>
      <c r="W352">
        <v>0.26536956072992551</v>
      </c>
      <c r="X352">
        <v>0.2671209665186578</v>
      </c>
      <c r="Y352">
        <v>1.1707866150817483</v>
      </c>
      <c r="Z352">
        <v>7.3836873575304746E-2</v>
      </c>
      <c r="AA352">
        <v>3.8618175593321555</v>
      </c>
    </row>
    <row r="353" spans="1:27" x14ac:dyDescent="0.2">
      <c r="A353" s="7" t="s">
        <v>2268</v>
      </c>
      <c r="B353" t="s">
        <v>1675</v>
      </c>
      <c r="C353">
        <v>2023</v>
      </c>
      <c r="D353">
        <v>0</v>
      </c>
      <c r="E353">
        <v>4</v>
      </c>
      <c r="F353">
        <v>0</v>
      </c>
      <c r="G353">
        <v>90.740000000000009</v>
      </c>
      <c r="H353">
        <v>0</v>
      </c>
      <c r="I353">
        <v>0.5</v>
      </c>
      <c r="J353">
        <v>0</v>
      </c>
      <c r="K353">
        <v>0.29812745098039217</v>
      </c>
      <c r="L353">
        <v>0</v>
      </c>
      <c r="M353">
        <v>0.42857142857142855</v>
      </c>
      <c r="N353">
        <v>0</v>
      </c>
      <c r="O353">
        <v>0</v>
      </c>
      <c r="P353">
        <v>28.094931846105609</v>
      </c>
      <c r="Q353">
        <v>0.22913623441391803</v>
      </c>
      <c r="R353">
        <v>0.20752792677431264</v>
      </c>
      <c r="S353">
        <v>0.98941993482826929</v>
      </c>
      <c r="T353">
        <v>5.3137603417094462E-2</v>
      </c>
      <c r="U353">
        <v>6.3089820249196844</v>
      </c>
      <c r="V353">
        <v>25.172114091232515</v>
      </c>
      <c r="W353">
        <v>0.2519053399828442</v>
      </c>
      <c r="X353">
        <v>0.24937867101700972</v>
      </c>
      <c r="Y353">
        <v>1.2643207347442522</v>
      </c>
      <c r="Z353">
        <v>0.1150761931872885</v>
      </c>
      <c r="AA353">
        <v>2.3216563224077569</v>
      </c>
    </row>
    <row r="354" spans="1:27" x14ac:dyDescent="0.2">
      <c r="A354" s="7" t="s">
        <v>2268</v>
      </c>
      <c r="B354" t="s">
        <v>1676</v>
      </c>
      <c r="C354">
        <v>2022</v>
      </c>
      <c r="D354">
        <v>0</v>
      </c>
      <c r="E354">
        <v>4</v>
      </c>
      <c r="F354">
        <v>0</v>
      </c>
      <c r="G354">
        <v>80.180000000000021</v>
      </c>
      <c r="H354">
        <v>0</v>
      </c>
      <c r="I354">
        <v>0.2857142857142857</v>
      </c>
      <c r="J354">
        <v>0</v>
      </c>
      <c r="K354">
        <v>0.56726481654930538</v>
      </c>
      <c r="L354">
        <v>0</v>
      </c>
      <c r="M354">
        <v>0.2857142857142857</v>
      </c>
      <c r="N354">
        <v>0</v>
      </c>
      <c r="O354">
        <v>0</v>
      </c>
      <c r="P354">
        <v>27.944729058129713</v>
      </c>
      <c r="Q354">
        <v>0.23062207250327002</v>
      </c>
      <c r="R354">
        <v>0.18159899202381702</v>
      </c>
      <c r="S354">
        <v>0.96898056775818286</v>
      </c>
      <c r="T354">
        <v>3.3621228046124087E-2</v>
      </c>
      <c r="U354">
        <v>8.6806802345734031</v>
      </c>
      <c r="V354">
        <v>25.044296734999808</v>
      </c>
      <c r="W354">
        <v>0.24974268789677176</v>
      </c>
      <c r="X354">
        <v>0.20727472124020466</v>
      </c>
      <c r="Y354">
        <v>1.3677581319517875</v>
      </c>
      <c r="Z354">
        <v>0.10692567717806552</v>
      </c>
      <c r="AA354">
        <v>1.631210450446944</v>
      </c>
    </row>
    <row r="355" spans="1:27" x14ac:dyDescent="0.2">
      <c r="A355" s="7" t="s">
        <v>2270</v>
      </c>
      <c r="B355" t="s">
        <v>1681</v>
      </c>
      <c r="C355">
        <v>2024</v>
      </c>
      <c r="D355">
        <v>13.68</v>
      </c>
      <c r="E355">
        <v>5</v>
      </c>
      <c r="F355">
        <v>13.68</v>
      </c>
      <c r="G355">
        <v>100.92090909090911</v>
      </c>
      <c r="H355">
        <v>1</v>
      </c>
      <c r="I355">
        <v>0.54545454545454541</v>
      </c>
      <c r="J355">
        <v>1</v>
      </c>
      <c r="K355">
        <v>0.13435847293427927</v>
      </c>
      <c r="L355">
        <v>1</v>
      </c>
      <c r="M355">
        <v>0.27272727272727271</v>
      </c>
      <c r="N355">
        <v>0</v>
      </c>
      <c r="O355">
        <v>0.18181818181818182</v>
      </c>
      <c r="P355">
        <v>23.676725324507618</v>
      </c>
      <c r="Q355">
        <v>5.2991928663246951E-2</v>
      </c>
      <c r="R355">
        <v>0.80347222804531393</v>
      </c>
      <c r="S355">
        <v>0.91453979257825779</v>
      </c>
      <c r="T355">
        <v>0.38327335787847538</v>
      </c>
      <c r="U355">
        <v>1.3482278515896515</v>
      </c>
      <c r="V355">
        <v>25.521185190668135</v>
      </c>
      <c r="W355">
        <v>0.14379876063702485</v>
      </c>
      <c r="X355">
        <v>0.19681088718891468</v>
      </c>
      <c r="Y355">
        <v>-0.33225246704931272</v>
      </c>
      <c r="Z355">
        <v>0.17568029461732607</v>
      </c>
      <c r="AA355">
        <v>-12.429641908946193</v>
      </c>
    </row>
    <row r="356" spans="1:27" x14ac:dyDescent="0.2">
      <c r="A356" s="7" t="s">
        <v>2270</v>
      </c>
      <c r="B356" t="s">
        <v>1685</v>
      </c>
      <c r="C356">
        <v>2023</v>
      </c>
      <c r="D356">
        <v>0</v>
      </c>
      <c r="E356">
        <v>5</v>
      </c>
      <c r="F356">
        <v>0</v>
      </c>
      <c r="G356">
        <v>17.214545454545455</v>
      </c>
      <c r="H356">
        <v>0</v>
      </c>
      <c r="I356">
        <v>0.27272727272727271</v>
      </c>
      <c r="J356">
        <v>0</v>
      </c>
      <c r="K356">
        <v>0.2713254911425303</v>
      </c>
      <c r="L356">
        <v>0</v>
      </c>
      <c r="M356">
        <v>0.27272727272727271</v>
      </c>
      <c r="N356">
        <v>0</v>
      </c>
      <c r="O356">
        <v>0</v>
      </c>
      <c r="P356">
        <v>23.236891049342091</v>
      </c>
      <c r="Q356">
        <v>3.789339573957707E-2</v>
      </c>
      <c r="R356">
        <v>0.76841171843199652</v>
      </c>
      <c r="S356">
        <v>0.88702329025864146</v>
      </c>
      <c r="T356">
        <v>0.39440788528717502</v>
      </c>
      <c r="U356">
        <v>1.5952450701431276</v>
      </c>
      <c r="V356">
        <v>25.10893659925787</v>
      </c>
      <c r="W356">
        <v>0.12676103131687905</v>
      </c>
      <c r="X356">
        <v>0.34754518396780243</v>
      </c>
      <c r="Y356">
        <v>0.67764098635019121</v>
      </c>
      <c r="Z356">
        <v>0.10769223634800298</v>
      </c>
      <c r="AA356">
        <v>95.801317448647481</v>
      </c>
    </row>
    <row r="357" spans="1:27" x14ac:dyDescent="0.2">
      <c r="A357" s="7" t="s">
        <v>2270</v>
      </c>
      <c r="B357" t="s">
        <v>1688</v>
      </c>
      <c r="C357">
        <v>2022</v>
      </c>
      <c r="D357">
        <v>0</v>
      </c>
      <c r="E357">
        <v>5</v>
      </c>
      <c r="F357">
        <v>0</v>
      </c>
      <c r="G357">
        <v>7.1127272727272723</v>
      </c>
      <c r="H357">
        <v>0</v>
      </c>
      <c r="I357">
        <v>0.27272727272727271</v>
      </c>
      <c r="J357">
        <v>0</v>
      </c>
      <c r="K357">
        <v>8.7952066899435327E-2</v>
      </c>
      <c r="L357">
        <v>0</v>
      </c>
      <c r="M357">
        <v>0.18181818181818182</v>
      </c>
      <c r="N357">
        <v>0</v>
      </c>
      <c r="O357">
        <v>9.0909090909090912E-2</v>
      </c>
      <c r="P357">
        <v>22.531543296586293</v>
      </c>
      <c r="Q357">
        <v>3.5755814287079642E-2</v>
      </c>
      <c r="R357">
        <v>1.4986964602724906</v>
      </c>
      <c r="S357">
        <v>0.99316380480748589</v>
      </c>
      <c r="T357">
        <v>0.7455283476276815</v>
      </c>
      <c r="U357">
        <v>3.1700318976867683</v>
      </c>
      <c r="V357">
        <v>25.608835289331786</v>
      </c>
      <c r="W357">
        <v>0.11997211555710209</v>
      </c>
      <c r="X357">
        <v>0.26861590220329534</v>
      </c>
      <c r="Y357">
        <v>0.73528799331077488</v>
      </c>
      <c r="Z357">
        <v>0.21635328224569136</v>
      </c>
      <c r="AA357">
        <v>-73.642036269557352</v>
      </c>
    </row>
    <row r="358" spans="1:27" x14ac:dyDescent="0.2">
      <c r="A358" s="7" t="s">
        <v>2275</v>
      </c>
      <c r="B358" t="s">
        <v>1694</v>
      </c>
      <c r="C358">
        <v>2024</v>
      </c>
      <c r="D358">
        <v>0</v>
      </c>
      <c r="E358">
        <v>5</v>
      </c>
      <c r="F358">
        <v>0</v>
      </c>
      <c r="G358">
        <v>102.16454545454545</v>
      </c>
      <c r="H358">
        <v>0</v>
      </c>
      <c r="I358">
        <v>0.63636363636363635</v>
      </c>
      <c r="J358">
        <v>0</v>
      </c>
      <c r="K358">
        <v>0.22526756384337021</v>
      </c>
      <c r="L358">
        <v>0</v>
      </c>
      <c r="M358">
        <v>0.36363636363636365</v>
      </c>
      <c r="N358">
        <v>0</v>
      </c>
      <c r="O358">
        <v>0.18181818181818182</v>
      </c>
      <c r="P358">
        <v>23.291670755535105</v>
      </c>
      <c r="Q358">
        <v>6.5159064775776156E-3</v>
      </c>
      <c r="R358">
        <v>0.12237490277417673</v>
      </c>
      <c r="S358">
        <v>5.5050454590868221E-2</v>
      </c>
      <c r="T358">
        <v>0.21114872102489396</v>
      </c>
      <c r="U358">
        <v>0.30332700569487459</v>
      </c>
      <c r="V358">
        <v>25.563969031665081</v>
      </c>
      <c r="W358">
        <v>0.14896276310209922</v>
      </c>
      <c r="X358">
        <v>0.28194805284780683</v>
      </c>
      <c r="Y358">
        <v>-0.23675365171738058</v>
      </c>
      <c r="Z358">
        <v>0.19719587422402376</v>
      </c>
      <c r="AA358">
        <v>-12.313541814957885</v>
      </c>
    </row>
    <row r="359" spans="1:27" x14ac:dyDescent="0.2">
      <c r="A359" s="7" t="s">
        <v>2277</v>
      </c>
      <c r="B359" t="s">
        <v>1697</v>
      </c>
      <c r="C359">
        <v>2024</v>
      </c>
      <c r="D359">
        <v>0.86</v>
      </c>
      <c r="E359">
        <v>5</v>
      </c>
      <c r="F359">
        <v>0.86</v>
      </c>
      <c r="G359">
        <v>102.08636363636361</v>
      </c>
      <c r="H359">
        <v>1</v>
      </c>
      <c r="I359">
        <v>0.54545454545454541</v>
      </c>
      <c r="J359">
        <v>1</v>
      </c>
      <c r="K359">
        <v>0.13435847293427927</v>
      </c>
      <c r="L359">
        <v>1</v>
      </c>
      <c r="M359">
        <v>0.27272727272727271</v>
      </c>
      <c r="N359">
        <v>0</v>
      </c>
      <c r="O359">
        <v>0.18181818181818182</v>
      </c>
      <c r="P359">
        <v>22.212437357746587</v>
      </c>
      <c r="Q359">
        <v>1.6485237923490687E-2</v>
      </c>
      <c r="R359">
        <v>0.52244243151695691</v>
      </c>
      <c r="S359">
        <v>0.87048976341165651</v>
      </c>
      <c r="T359">
        <v>0.49769532246421605</v>
      </c>
      <c r="U359">
        <v>0.8593156371923435</v>
      </c>
      <c r="V359">
        <v>25.683883853641575</v>
      </c>
      <c r="W359">
        <v>0.14785505960810885</v>
      </c>
      <c r="X359">
        <v>0.23193961175495931</v>
      </c>
      <c r="Y359">
        <v>-0.32735801936413478</v>
      </c>
      <c r="Z359">
        <v>0.16137754904410853</v>
      </c>
      <c r="AA359">
        <v>-12.375318329568715</v>
      </c>
    </row>
    <row r="360" spans="1:27" x14ac:dyDescent="0.2">
      <c r="A360" s="7" t="s">
        <v>2279</v>
      </c>
      <c r="B360" t="s">
        <v>1701</v>
      </c>
      <c r="C360">
        <v>2025</v>
      </c>
      <c r="D360">
        <v>233</v>
      </c>
      <c r="E360">
        <v>5</v>
      </c>
      <c r="F360">
        <v>233</v>
      </c>
      <c r="G360">
        <v>30.314545454545456</v>
      </c>
      <c r="H360">
        <v>1</v>
      </c>
      <c r="I360">
        <v>0.45454545454545453</v>
      </c>
      <c r="J360">
        <v>-0.74310915104740904</v>
      </c>
      <c r="K360">
        <v>4.4397463002114161E-2</v>
      </c>
      <c r="L360">
        <v>0</v>
      </c>
      <c r="M360">
        <v>0.36363636363636365</v>
      </c>
      <c r="N360">
        <v>1</v>
      </c>
      <c r="O360">
        <v>0.45454545454545453</v>
      </c>
      <c r="P360">
        <v>24.27525251244548</v>
      </c>
      <c r="Q360">
        <v>6.1743222950822775E-2</v>
      </c>
      <c r="R360">
        <v>3.99946389169199E-2</v>
      </c>
      <c r="S360">
        <v>0.13523305906417371</v>
      </c>
      <c r="T360">
        <v>0.60594849219699087</v>
      </c>
      <c r="U360">
        <v>1.6531602435039783</v>
      </c>
      <c r="V360">
        <v>26.895626012080243</v>
      </c>
      <c r="W360">
        <v>0.21568525604378541</v>
      </c>
      <c r="X360">
        <v>0.16664296012576874</v>
      </c>
      <c r="Y360">
        <v>0.80333217072886964</v>
      </c>
      <c r="Z360">
        <v>6.6163080535451991E-3</v>
      </c>
      <c r="AA360">
        <v>16.915354550785622</v>
      </c>
    </row>
    <row r="361" spans="1:27" x14ac:dyDescent="0.2">
      <c r="A361" s="7" t="s">
        <v>2279</v>
      </c>
      <c r="B361" t="s">
        <v>1705</v>
      </c>
      <c r="C361">
        <v>2024</v>
      </c>
      <c r="D361">
        <v>907</v>
      </c>
      <c r="E361">
        <v>5</v>
      </c>
      <c r="F361">
        <v>907</v>
      </c>
      <c r="G361">
        <v>19.71</v>
      </c>
      <c r="H361">
        <v>1</v>
      </c>
      <c r="I361">
        <v>0.54545454545454541</v>
      </c>
      <c r="J361">
        <v>1</v>
      </c>
      <c r="K361">
        <v>0.13435847293427927</v>
      </c>
      <c r="L361">
        <v>1</v>
      </c>
      <c r="M361">
        <v>0.27272727272727271</v>
      </c>
      <c r="N361">
        <v>0</v>
      </c>
      <c r="O361">
        <v>0.18181818181818182</v>
      </c>
      <c r="P361">
        <v>23.921684840580234</v>
      </c>
      <c r="Q361">
        <v>3.7973975020183702E-2</v>
      </c>
      <c r="R361">
        <v>0.34533333663847077</v>
      </c>
      <c r="S361">
        <v>-0.71277047066491661</v>
      </c>
      <c r="T361">
        <v>0.77995295684965693</v>
      </c>
      <c r="U361">
        <v>4.2481315117474461</v>
      </c>
      <c r="V361">
        <v>25.493967466660063</v>
      </c>
      <c r="W361">
        <v>0.14546742215292077</v>
      </c>
      <c r="X361">
        <v>0.25407824861477007</v>
      </c>
      <c r="Y361">
        <v>-0.15144021557784887</v>
      </c>
      <c r="Z361">
        <v>0.12609534474592837</v>
      </c>
      <c r="AA361">
        <v>-12.751853426741505</v>
      </c>
    </row>
    <row r="362" spans="1:27" x14ac:dyDescent="0.2">
      <c r="A362" s="7" t="s">
        <v>2284</v>
      </c>
      <c r="B362" t="s">
        <v>1714</v>
      </c>
      <c r="C362">
        <v>2024</v>
      </c>
      <c r="D362">
        <v>4.5599999999999996</v>
      </c>
      <c r="E362">
        <v>5</v>
      </c>
      <c r="F362">
        <v>4.5599999999999996</v>
      </c>
      <c r="G362">
        <v>101.75</v>
      </c>
      <c r="H362">
        <v>1</v>
      </c>
      <c r="I362">
        <v>0.54545454545454541</v>
      </c>
      <c r="J362">
        <v>-0.96925151719487523</v>
      </c>
      <c r="K362">
        <v>0.31338133813381341</v>
      </c>
      <c r="L362">
        <v>0</v>
      </c>
      <c r="M362">
        <v>0.36363636363636365</v>
      </c>
      <c r="N362">
        <v>1</v>
      </c>
      <c r="O362">
        <v>9.0909090909090912E-2</v>
      </c>
      <c r="P362">
        <v>24.688241626047766</v>
      </c>
      <c r="Q362">
        <v>6.2210084323879249E-2</v>
      </c>
      <c r="R362">
        <v>0.10104345506990819</v>
      </c>
      <c r="S362">
        <v>0.55639321768590011</v>
      </c>
      <c r="T362">
        <v>9.0376114872826749E-2</v>
      </c>
      <c r="U362">
        <v>2.0902500981548298</v>
      </c>
      <c r="V362">
        <v>25.408794490497005</v>
      </c>
      <c r="W362">
        <v>0.14277452111917682</v>
      </c>
      <c r="X362">
        <v>0.28461448381084042</v>
      </c>
      <c r="Y362">
        <v>-0.29245840317238408</v>
      </c>
      <c r="Z362">
        <v>0.21229244999303218</v>
      </c>
      <c r="AA362">
        <v>-12.512088825231213</v>
      </c>
    </row>
    <row r="363" spans="1:27" x14ac:dyDescent="0.2">
      <c r="A363" s="7" t="s">
        <v>2284</v>
      </c>
      <c r="B363" t="s">
        <v>1718</v>
      </c>
      <c r="C363">
        <v>2023</v>
      </c>
      <c r="D363">
        <v>148.30000000000001</v>
      </c>
      <c r="E363">
        <v>5</v>
      </c>
      <c r="F363">
        <v>148.30000000000001</v>
      </c>
      <c r="G363">
        <v>3.7327272727272729</v>
      </c>
      <c r="H363">
        <v>1</v>
      </c>
      <c r="I363">
        <v>0.18181818181818182</v>
      </c>
      <c r="J363">
        <v>2.8519480519480522</v>
      </c>
      <c r="K363">
        <v>1.2057486419980092E-2</v>
      </c>
      <c r="L363">
        <v>1</v>
      </c>
      <c r="M363">
        <v>0.18181818181818182</v>
      </c>
      <c r="N363">
        <v>0</v>
      </c>
      <c r="O363">
        <v>0</v>
      </c>
      <c r="P363">
        <v>24.068391296675408</v>
      </c>
      <c r="Q363">
        <v>6.2346024736732661E-2</v>
      </c>
      <c r="R363">
        <v>0.6125270462893091</v>
      </c>
      <c r="S363">
        <v>0.99778997246120693</v>
      </c>
      <c r="T363">
        <v>0.42243540405296037</v>
      </c>
      <c r="U363">
        <v>1.1487511484597912</v>
      </c>
      <c r="V363">
        <v>25.004999068341206</v>
      </c>
      <c r="W363">
        <v>0.1237044526922346</v>
      </c>
      <c r="X363">
        <v>0.38651635200347428</v>
      </c>
      <c r="Y363">
        <v>0.66181717460696776</v>
      </c>
      <c r="Z363">
        <v>0.10068535665655665</v>
      </c>
      <c r="AA363">
        <v>95.857129188857897</v>
      </c>
    </row>
    <row r="364" spans="1:27" x14ac:dyDescent="0.2">
      <c r="A364" s="7" t="s">
        <v>2284</v>
      </c>
      <c r="B364" t="s">
        <v>1722</v>
      </c>
      <c r="C364">
        <v>2022</v>
      </c>
      <c r="D364">
        <v>38.5</v>
      </c>
      <c r="E364">
        <v>5</v>
      </c>
      <c r="F364">
        <v>38.5</v>
      </c>
      <c r="G364">
        <v>3.6127272727272728</v>
      </c>
      <c r="H364">
        <v>1</v>
      </c>
      <c r="I364">
        <v>0.18181818181818182</v>
      </c>
      <c r="J364">
        <v>1</v>
      </c>
      <c r="K364">
        <v>-2.957024009655587E-3</v>
      </c>
      <c r="L364">
        <v>1</v>
      </c>
      <c r="M364">
        <v>9.0909090909090912E-2</v>
      </c>
      <c r="N364">
        <v>0</v>
      </c>
      <c r="O364">
        <v>9.0909090909090912E-2</v>
      </c>
      <c r="P364">
        <v>23.587870284137672</v>
      </c>
      <c r="Q364">
        <v>5.7567067319655281E-2</v>
      </c>
      <c r="R364">
        <v>0.94670382293199573</v>
      </c>
      <c r="S364">
        <v>0.9962910071656339</v>
      </c>
      <c r="T364">
        <v>0.45242006927514644</v>
      </c>
      <c r="U364">
        <v>1.1140322778906573</v>
      </c>
      <c r="V364">
        <v>25.344753542443939</v>
      </c>
      <c r="W364">
        <v>0.11451930229895818</v>
      </c>
      <c r="X364">
        <v>0.45261344798346032</v>
      </c>
      <c r="Y364">
        <v>0.73424559252472565</v>
      </c>
      <c r="Z364">
        <v>0.31405604169653634</v>
      </c>
      <c r="AA364">
        <v>-73.12803636460832</v>
      </c>
    </row>
    <row r="365" spans="1:27" x14ac:dyDescent="0.2">
      <c r="A365" s="7" t="s">
        <v>2284</v>
      </c>
      <c r="B365" t="s">
        <v>1726</v>
      </c>
      <c r="C365">
        <v>2021</v>
      </c>
      <c r="D365">
        <v>0</v>
      </c>
      <c r="E365">
        <v>5</v>
      </c>
      <c r="F365">
        <v>0</v>
      </c>
      <c r="G365">
        <v>4.450909090909092</v>
      </c>
      <c r="H365">
        <v>0</v>
      </c>
      <c r="I365">
        <v>0.18181818181818182</v>
      </c>
      <c r="J365">
        <v>0</v>
      </c>
      <c r="K365">
        <v>1.4983788220808552E-2</v>
      </c>
      <c r="L365">
        <v>0</v>
      </c>
      <c r="M365">
        <v>9.0909090909090912E-2</v>
      </c>
      <c r="N365">
        <v>0</v>
      </c>
      <c r="O365">
        <v>9.0909090909090912E-2</v>
      </c>
      <c r="P365">
        <v>22.960962907734501</v>
      </c>
      <c r="Q365">
        <v>5.9124873929279183E-2</v>
      </c>
      <c r="R365">
        <v>0.27950276304033705</v>
      </c>
      <c r="S365">
        <v>0.99063986965591688</v>
      </c>
      <c r="T365">
        <v>0.24063217698209571</v>
      </c>
      <c r="U365">
        <v>1.6755492645876973</v>
      </c>
      <c r="V365">
        <v>25.277672471565729</v>
      </c>
      <c r="W365">
        <v>0.22939824395266895</v>
      </c>
      <c r="X365">
        <v>3.3317387201459714E-2</v>
      </c>
      <c r="Y365">
        <v>2.0649664027732886</v>
      </c>
      <c r="Z365">
        <v>4.1917464090336219E-2</v>
      </c>
      <c r="AA365">
        <v>26.707171251814955</v>
      </c>
    </row>
    <row r="366" spans="1:27" x14ac:dyDescent="0.2">
      <c r="A366" s="7" t="s">
        <v>2284</v>
      </c>
      <c r="B366" t="s">
        <v>1728</v>
      </c>
      <c r="C366">
        <v>2020</v>
      </c>
      <c r="D366">
        <v>0</v>
      </c>
      <c r="E366">
        <v>5</v>
      </c>
      <c r="F366">
        <v>0</v>
      </c>
      <c r="G366">
        <v>3.6763636363636363</v>
      </c>
      <c r="H366">
        <v>0</v>
      </c>
      <c r="I366">
        <v>0.18181818181818182</v>
      </c>
      <c r="J366">
        <v>0</v>
      </c>
      <c r="K366">
        <v>-1.5101604278074872E-2</v>
      </c>
      <c r="L366">
        <v>0</v>
      </c>
      <c r="M366">
        <v>0</v>
      </c>
      <c r="N366">
        <v>0</v>
      </c>
      <c r="O366">
        <v>9.0909090909090912E-2</v>
      </c>
      <c r="P366">
        <v>22.600509642831252</v>
      </c>
      <c r="Q366">
        <v>5.6237144185717715E-2</v>
      </c>
      <c r="R366">
        <v>0.60261811450317082</v>
      </c>
      <c r="S366">
        <v>0.98625241302219391</v>
      </c>
      <c r="T366">
        <v>0.26070423168654877</v>
      </c>
      <c r="U366">
        <v>1.5905916908794697</v>
      </c>
      <c r="V366">
        <v>26.458608686766663</v>
      </c>
      <c r="W366">
        <v>0.29900135718217613</v>
      </c>
      <c r="X366">
        <v>0.33016012475337098</v>
      </c>
      <c r="Y366">
        <v>1.5152663380075582</v>
      </c>
      <c r="Z366">
        <v>5.0279095405549458E-2</v>
      </c>
      <c r="AA366">
        <v>12.360197884224403</v>
      </c>
    </row>
    <row r="367" spans="1:27" x14ac:dyDescent="0.2">
      <c r="A367" s="7" t="s">
        <v>2284</v>
      </c>
      <c r="B367" t="s">
        <v>1729</v>
      </c>
      <c r="C367">
        <v>2019</v>
      </c>
      <c r="D367">
        <v>0</v>
      </c>
      <c r="E367">
        <v>5</v>
      </c>
      <c r="F367">
        <v>0</v>
      </c>
      <c r="G367">
        <v>4.3181818181818183</v>
      </c>
      <c r="H367">
        <v>0</v>
      </c>
      <c r="I367">
        <v>0.18181818181818182</v>
      </c>
      <c r="J367">
        <v>0</v>
      </c>
      <c r="K367">
        <v>8.0199694017231649E-2</v>
      </c>
      <c r="L367">
        <v>0</v>
      </c>
      <c r="M367">
        <v>9.0909090909090912E-2</v>
      </c>
      <c r="N367">
        <v>0</v>
      </c>
      <c r="O367">
        <v>0</v>
      </c>
      <c r="P367">
        <v>22.346825762693463</v>
      </c>
      <c r="Q367">
        <v>7.5056136613850494E-2</v>
      </c>
      <c r="R367">
        <v>0.33893563509351354</v>
      </c>
      <c r="S367">
        <v>0.96665544321096464</v>
      </c>
      <c r="T367">
        <v>3.4488878181792075E-2</v>
      </c>
      <c r="U367">
        <v>4.0219461472187286</v>
      </c>
      <c r="V367">
        <v>27.375636535881835</v>
      </c>
      <c r="W367">
        <v>0.43677119740119974</v>
      </c>
      <c r="X367">
        <v>2.2468041054241605E-2</v>
      </c>
      <c r="Y367">
        <v>1.7639136223060845</v>
      </c>
      <c r="Z367">
        <v>4.3648582298471898E-2</v>
      </c>
      <c r="AA367">
        <v>11.708153995622849</v>
      </c>
    </row>
    <row r="368" spans="1:27" x14ac:dyDescent="0.2">
      <c r="A368" s="7" t="s">
        <v>2321</v>
      </c>
      <c r="B368" t="s">
        <v>1732</v>
      </c>
      <c r="C368">
        <v>2024</v>
      </c>
      <c r="D368">
        <v>0</v>
      </c>
      <c r="E368">
        <v>5</v>
      </c>
      <c r="F368">
        <v>0</v>
      </c>
      <c r="G368">
        <v>102.16454545454545</v>
      </c>
      <c r="H368">
        <v>0</v>
      </c>
      <c r="I368">
        <v>0.63636363636363635</v>
      </c>
      <c r="J368">
        <v>0</v>
      </c>
      <c r="K368">
        <v>0.22526756384337021</v>
      </c>
      <c r="L368">
        <v>0</v>
      </c>
      <c r="M368">
        <v>0.36363636363636365</v>
      </c>
      <c r="N368">
        <v>0</v>
      </c>
      <c r="O368">
        <v>0.18181818181818182</v>
      </c>
      <c r="P368">
        <v>25.317112149203059</v>
      </c>
      <c r="Q368">
        <v>5.6273641199910997E-2</v>
      </c>
      <c r="R368">
        <v>0.10856643117749143</v>
      </c>
      <c r="S368">
        <v>0.50325301745412121</v>
      </c>
      <c r="T368">
        <v>3.0036161046421095E-2</v>
      </c>
      <c r="U368">
        <v>3.4363979001211469</v>
      </c>
      <c r="V368">
        <v>25.338919987924196</v>
      </c>
      <c r="W368">
        <v>0.14343412591072888</v>
      </c>
      <c r="X368">
        <v>0.28367411179739255</v>
      </c>
      <c r="Y368">
        <v>-0.28655393647996419</v>
      </c>
      <c r="Z368">
        <v>0.2198349442213329</v>
      </c>
      <c r="AA368">
        <v>-12.661660803227472</v>
      </c>
    </row>
    <row r="369" spans="1:27" x14ac:dyDescent="0.2">
      <c r="A369" s="7" t="s">
        <v>2321</v>
      </c>
      <c r="B369" t="s">
        <v>1734</v>
      </c>
      <c r="C369">
        <v>2023</v>
      </c>
      <c r="D369">
        <v>0</v>
      </c>
      <c r="E369">
        <v>5</v>
      </c>
      <c r="F369">
        <v>0</v>
      </c>
      <c r="G369">
        <v>17.214545454545455</v>
      </c>
      <c r="H369">
        <v>0</v>
      </c>
      <c r="I369">
        <v>0.27272727272727271</v>
      </c>
      <c r="J369">
        <v>0</v>
      </c>
      <c r="K369">
        <v>0.2713254911425303</v>
      </c>
      <c r="L369">
        <v>0</v>
      </c>
      <c r="M369">
        <v>0.27272727272727271</v>
      </c>
      <c r="N369">
        <v>0</v>
      </c>
      <c r="O369">
        <v>0</v>
      </c>
      <c r="P369">
        <v>25.034293124220486</v>
      </c>
      <c r="Q369">
        <v>2.7510500959512595E-2</v>
      </c>
      <c r="R369">
        <v>0.30108807737439114</v>
      </c>
      <c r="S369">
        <v>1.1490136214185063</v>
      </c>
      <c r="T369">
        <v>5.1605331544974431E-2</v>
      </c>
      <c r="U369">
        <v>7.7502348520432127</v>
      </c>
      <c r="V369">
        <v>24.884261339898071</v>
      </c>
      <c r="W369">
        <v>0.12805889316438712</v>
      </c>
      <c r="X369">
        <v>0.46437609423220377</v>
      </c>
      <c r="Y369">
        <v>0.64021379618449636</v>
      </c>
      <c r="Z369">
        <v>0.19339287478355313</v>
      </c>
      <c r="AA369">
        <v>95.031943725909969</v>
      </c>
    </row>
    <row r="370" spans="1:27" x14ac:dyDescent="0.2">
      <c r="A370" s="7" t="s">
        <v>2321</v>
      </c>
      <c r="B370" t="s">
        <v>1736</v>
      </c>
      <c r="C370">
        <v>2022</v>
      </c>
      <c r="D370">
        <v>0</v>
      </c>
      <c r="E370">
        <v>5</v>
      </c>
      <c r="F370">
        <v>0</v>
      </c>
      <c r="G370">
        <v>7.1127272727272723</v>
      </c>
      <c r="H370">
        <v>0</v>
      </c>
      <c r="I370">
        <v>0.27272727272727271</v>
      </c>
      <c r="J370">
        <v>0</v>
      </c>
      <c r="K370">
        <v>8.7952066899435327E-2</v>
      </c>
      <c r="L370">
        <v>0</v>
      </c>
      <c r="M370">
        <v>0.18181818181818182</v>
      </c>
      <c r="N370">
        <v>0</v>
      </c>
      <c r="O370">
        <v>9.0909090909090912E-2</v>
      </c>
      <c r="P370">
        <v>24.524871116112191</v>
      </c>
      <c r="Q370">
        <v>2.4992741160967547E-2</v>
      </c>
      <c r="R370">
        <v>-0.15460229663921121</v>
      </c>
      <c r="S370">
        <v>0.69300663603879531</v>
      </c>
      <c r="T370">
        <v>0.1647779245858319</v>
      </c>
      <c r="U370">
        <v>3.5710056151097498</v>
      </c>
      <c r="V370">
        <v>25.110503334450307</v>
      </c>
      <c r="W370">
        <v>0.12266288383863011</v>
      </c>
      <c r="X370">
        <v>0.81971548784052928</v>
      </c>
      <c r="Y370">
        <v>0.83534038290033852</v>
      </c>
      <c r="Z370">
        <v>0.40993675659297457</v>
      </c>
      <c r="AA370">
        <v>-73.742279698913094</v>
      </c>
    </row>
    <row r="371" spans="1:27" x14ac:dyDescent="0.2">
      <c r="A371" s="7" t="s">
        <v>2321</v>
      </c>
      <c r="B371" t="s">
        <v>1737</v>
      </c>
      <c r="C371">
        <v>2021</v>
      </c>
      <c r="D371">
        <v>0</v>
      </c>
      <c r="E371">
        <v>5</v>
      </c>
      <c r="F371">
        <v>0</v>
      </c>
      <c r="G371">
        <v>4.450909090909092</v>
      </c>
      <c r="H371">
        <v>0</v>
      </c>
      <c r="I371">
        <v>0.18181818181818182</v>
      </c>
      <c r="J371">
        <v>0</v>
      </c>
      <c r="K371">
        <v>1.4983788220808552E-2</v>
      </c>
      <c r="L371">
        <v>0</v>
      </c>
      <c r="M371">
        <v>9.0909090909090912E-2</v>
      </c>
      <c r="N371">
        <v>0</v>
      </c>
      <c r="O371">
        <v>9.0909090909090912E-2</v>
      </c>
      <c r="P371">
        <v>24.247830632558852</v>
      </c>
      <c r="Q371">
        <v>2.2393117062965911E-2</v>
      </c>
      <c r="R371">
        <v>-4.0523780681260946E-2</v>
      </c>
      <c r="S371">
        <v>0.18243626062322946</v>
      </c>
      <c r="T371">
        <v>2.9047209263704576E-2</v>
      </c>
      <c r="U371">
        <v>18.228895184135979</v>
      </c>
      <c r="V371">
        <v>24.955955540359646</v>
      </c>
      <c r="W371">
        <v>0.23858118316924726</v>
      </c>
      <c r="X371">
        <v>0.13999290177532572</v>
      </c>
      <c r="Y371">
        <v>2.2670173050314602</v>
      </c>
      <c r="Z371">
        <v>0.11244578666313326</v>
      </c>
      <c r="AA371">
        <v>22.568834771927882</v>
      </c>
    </row>
    <row r="372" spans="1:27" x14ac:dyDescent="0.2">
      <c r="A372" s="7" t="s">
        <v>2322</v>
      </c>
      <c r="B372" t="s">
        <v>1739</v>
      </c>
      <c r="C372">
        <v>2025</v>
      </c>
      <c r="D372">
        <v>0</v>
      </c>
      <c r="E372">
        <v>5</v>
      </c>
      <c r="F372">
        <v>0</v>
      </c>
      <c r="G372">
        <v>51.49636363636364</v>
      </c>
      <c r="H372">
        <v>0</v>
      </c>
      <c r="I372">
        <v>0.54545454545454541</v>
      </c>
      <c r="J372">
        <v>0</v>
      </c>
      <c r="K372">
        <v>-2.3157914365832092E-2</v>
      </c>
      <c r="L372">
        <v>0</v>
      </c>
      <c r="M372">
        <v>0.36363636363636365</v>
      </c>
      <c r="N372">
        <v>0</v>
      </c>
      <c r="O372">
        <v>0.54545454545454541</v>
      </c>
      <c r="P372">
        <v>26.532236812466742</v>
      </c>
      <c r="Q372">
        <v>0.15453558011978061</v>
      </c>
      <c r="R372">
        <v>8.3938118761561986E-2</v>
      </c>
      <c r="S372">
        <v>-0.50173096316811416</v>
      </c>
      <c r="T372">
        <v>-7.4871619513833892E-2</v>
      </c>
      <c r="U372">
        <v>1.5082107861583154</v>
      </c>
      <c r="V372">
        <v>26.519461962076704</v>
      </c>
      <c r="W372">
        <v>0.20021986318229243</v>
      </c>
      <c r="X372">
        <v>0.15565709016460821</v>
      </c>
      <c r="Y372">
        <v>0.93072497517532715</v>
      </c>
      <c r="Z372">
        <v>0.17682133598125138</v>
      </c>
      <c r="AA372">
        <v>16.939512793676567</v>
      </c>
    </row>
    <row r="373" spans="1:27" x14ac:dyDescent="0.2">
      <c r="A373" s="7" t="s">
        <v>2322</v>
      </c>
      <c r="B373" t="s">
        <v>1741</v>
      </c>
      <c r="C373">
        <v>2024</v>
      </c>
      <c r="D373">
        <v>0</v>
      </c>
      <c r="E373">
        <v>5</v>
      </c>
      <c r="F373">
        <v>0</v>
      </c>
      <c r="G373">
        <v>102.16454545454545</v>
      </c>
      <c r="H373">
        <v>0</v>
      </c>
      <c r="I373">
        <v>0.63636363636363635</v>
      </c>
      <c r="J373">
        <v>0</v>
      </c>
      <c r="K373">
        <v>0.22526756384337021</v>
      </c>
      <c r="L373">
        <v>0</v>
      </c>
      <c r="M373">
        <v>0.36363636363636365</v>
      </c>
      <c r="N373">
        <v>0</v>
      </c>
      <c r="O373">
        <v>0.18181818181818182</v>
      </c>
      <c r="P373">
        <v>26.532884714008375</v>
      </c>
      <c r="Q373">
        <v>0.16442073572979263</v>
      </c>
      <c r="R373">
        <v>0.11149356029223467</v>
      </c>
      <c r="S373">
        <v>-0.9204400901604588</v>
      </c>
      <c r="T373">
        <v>-0.25863214896653919</v>
      </c>
      <c r="U373">
        <v>6.4425227074917988</v>
      </c>
      <c r="V373">
        <v>25.203834147390271</v>
      </c>
      <c r="W373">
        <v>0.13141778207407531</v>
      </c>
      <c r="X373">
        <v>0.28330822065804961</v>
      </c>
      <c r="Y373">
        <v>-0.12836581341167752</v>
      </c>
      <c r="Z373">
        <v>0.25591848297295289</v>
      </c>
      <c r="AA373">
        <v>-12.995674670713099</v>
      </c>
    </row>
    <row r="374" spans="1:27" x14ac:dyDescent="0.2">
      <c r="A374" s="7" t="s">
        <v>2322</v>
      </c>
      <c r="B374" t="s">
        <v>1743</v>
      </c>
      <c r="C374">
        <v>2023</v>
      </c>
      <c r="D374">
        <v>0</v>
      </c>
      <c r="E374">
        <v>5</v>
      </c>
      <c r="F374">
        <v>0</v>
      </c>
      <c r="G374">
        <v>17.214545454545455</v>
      </c>
      <c r="H374">
        <v>0</v>
      </c>
      <c r="I374">
        <v>0.27272727272727271</v>
      </c>
      <c r="J374">
        <v>0</v>
      </c>
      <c r="K374">
        <v>0.2713254911425303</v>
      </c>
      <c r="L374">
        <v>0</v>
      </c>
      <c r="M374">
        <v>0.27272727272727271</v>
      </c>
      <c r="N374">
        <v>0</v>
      </c>
      <c r="O374">
        <v>0</v>
      </c>
      <c r="P374">
        <v>26.716578674912011</v>
      </c>
      <c r="Q374">
        <v>0.12748664969805859</v>
      </c>
      <c r="R374">
        <v>0.35798302137670035</v>
      </c>
      <c r="S374">
        <v>0.39564035074963283</v>
      </c>
      <c r="T374">
        <v>-9.0043392349554593E-2</v>
      </c>
      <c r="U374">
        <v>1.9137522358107812</v>
      </c>
      <c r="V374">
        <v>24.673975646061631</v>
      </c>
      <c r="W374">
        <v>0.11556187457206886</v>
      </c>
      <c r="X374">
        <v>0.45015235823162647</v>
      </c>
      <c r="Y374">
        <v>0.74783854913719261</v>
      </c>
      <c r="Z374">
        <v>0.2288050557571854</v>
      </c>
      <c r="AA374">
        <v>95.761504052939031</v>
      </c>
    </row>
    <row r="375" spans="1:27" x14ac:dyDescent="0.2">
      <c r="A375" s="7" t="s">
        <v>2287</v>
      </c>
      <c r="B375" t="s">
        <v>1745</v>
      </c>
      <c r="C375">
        <v>2025</v>
      </c>
      <c r="D375">
        <v>80</v>
      </c>
      <c r="E375">
        <v>5</v>
      </c>
      <c r="F375">
        <v>80</v>
      </c>
      <c r="G375">
        <v>44.223636363636359</v>
      </c>
      <c r="H375">
        <v>1</v>
      </c>
      <c r="I375">
        <v>0.45454545454545453</v>
      </c>
      <c r="J375">
        <v>-0.5</v>
      </c>
      <c r="K375">
        <v>2.229663108871336E-2</v>
      </c>
      <c r="L375">
        <v>0</v>
      </c>
      <c r="M375">
        <v>0.36363636363636365</v>
      </c>
      <c r="N375">
        <v>1</v>
      </c>
      <c r="O375">
        <v>0.45454545454545453</v>
      </c>
      <c r="P375">
        <v>27.944620903884115</v>
      </c>
      <c r="Q375">
        <v>0.24201917356918082</v>
      </c>
      <c r="R375">
        <v>0.31660027773717303</v>
      </c>
      <c r="S375">
        <v>0.73713612136121365</v>
      </c>
      <c r="T375">
        <v>6.4514010774088679E-2</v>
      </c>
      <c r="U375">
        <v>2.8960127101271014</v>
      </c>
      <c r="V375">
        <v>26.284064613507141</v>
      </c>
      <c r="W375">
        <v>0.18563926427405905</v>
      </c>
      <c r="X375">
        <v>9.7491550420705453E-2</v>
      </c>
      <c r="Y375">
        <v>0.68295155826946152</v>
      </c>
      <c r="Z375">
        <v>0.14197492840927073</v>
      </c>
      <c r="AA375">
        <v>16.708212473015102</v>
      </c>
    </row>
    <row r="376" spans="1:27" x14ac:dyDescent="0.2">
      <c r="A376" s="7" t="s">
        <v>2289</v>
      </c>
      <c r="B376" t="s">
        <v>1757</v>
      </c>
      <c r="C376">
        <v>2024</v>
      </c>
      <c r="D376">
        <v>35</v>
      </c>
      <c r="E376">
        <v>5</v>
      </c>
      <c r="F376">
        <v>35</v>
      </c>
      <c r="G376">
        <v>98.982727272727274</v>
      </c>
      <c r="H376">
        <v>1</v>
      </c>
      <c r="I376">
        <v>0.54545454545454541</v>
      </c>
      <c r="J376">
        <v>0</v>
      </c>
      <c r="K376">
        <v>0.22526756384337021</v>
      </c>
      <c r="L376">
        <v>0</v>
      </c>
      <c r="M376">
        <v>0.36363636363636365</v>
      </c>
      <c r="N376">
        <v>0</v>
      </c>
      <c r="O376">
        <v>0.18181818181818182</v>
      </c>
      <c r="P376">
        <v>28.047731425753593</v>
      </c>
      <c r="Q376">
        <v>0.22380901841376488</v>
      </c>
      <c r="R376">
        <v>0.16130602599708577</v>
      </c>
      <c r="S376">
        <v>-4.9949261171443835</v>
      </c>
      <c r="T376">
        <v>3.6531852499619016E-2</v>
      </c>
      <c r="U376">
        <v>-136.03320277728324</v>
      </c>
      <c r="V376">
        <v>25.035517846085249</v>
      </c>
      <c r="W376">
        <v>0.12481908399807844</v>
      </c>
      <c r="X376">
        <v>0.2770816624449432</v>
      </c>
      <c r="Y376">
        <v>0.32435485625320298</v>
      </c>
      <c r="Z376">
        <v>0.21902298278968316</v>
      </c>
      <c r="AA376">
        <v>2.8349614942619041</v>
      </c>
    </row>
    <row r="377" spans="1:27" x14ac:dyDescent="0.2">
      <c r="A377" s="7" t="s">
        <v>2289</v>
      </c>
      <c r="B377" t="s">
        <v>1769</v>
      </c>
      <c r="C377">
        <v>2021</v>
      </c>
      <c r="D377">
        <v>44.400000000000006</v>
      </c>
      <c r="E377">
        <v>5</v>
      </c>
      <c r="F377">
        <v>44.400000000000006</v>
      </c>
      <c r="G377">
        <v>0.41454545454545449</v>
      </c>
      <c r="H377">
        <v>1</v>
      </c>
      <c r="I377">
        <v>9.0909090909090912E-2</v>
      </c>
      <c r="J377">
        <v>0.25282167042889414</v>
      </c>
      <c r="K377">
        <v>-8.0000000000000071E-3</v>
      </c>
      <c r="L377">
        <v>1</v>
      </c>
      <c r="M377">
        <v>0</v>
      </c>
      <c r="N377">
        <v>0</v>
      </c>
      <c r="O377">
        <v>9.0909090909090912E-2</v>
      </c>
      <c r="P377">
        <v>27.646715315180185</v>
      </c>
      <c r="Q377">
        <v>0.3064033124043874</v>
      </c>
      <c r="R377">
        <v>7.9763439382857237E-2</v>
      </c>
      <c r="S377">
        <v>6.5006162695152012</v>
      </c>
      <c r="T377">
        <v>6.6427186061546614E-2</v>
      </c>
      <c r="U377">
        <v>68.557518488085449</v>
      </c>
      <c r="V377">
        <v>24.10623436970431</v>
      </c>
      <c r="W377">
        <v>0.16757863433389189</v>
      </c>
      <c r="X377">
        <v>9.9897161753952982E-2</v>
      </c>
      <c r="Y377">
        <v>0.68747230280846727</v>
      </c>
      <c r="Z377">
        <v>9.9985794397185912E-2</v>
      </c>
      <c r="AA377">
        <v>9.9866789459405148</v>
      </c>
    </row>
    <row r="378" spans="1:27" x14ac:dyDescent="0.2">
      <c r="A378" s="7" t="s">
        <v>2289</v>
      </c>
      <c r="B378" t="s">
        <v>1773</v>
      </c>
      <c r="C378">
        <v>2020</v>
      </c>
      <c r="D378">
        <v>35.44</v>
      </c>
      <c r="E378">
        <v>5</v>
      </c>
      <c r="F378">
        <v>35.44</v>
      </c>
      <c r="G378">
        <v>0.45454545454545453</v>
      </c>
      <c r="H378">
        <v>1</v>
      </c>
      <c r="I378">
        <v>9.0909090909090912E-2</v>
      </c>
      <c r="J378">
        <v>-0.16611764705882359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27.546772827183204</v>
      </c>
      <c r="Q378">
        <v>0.30983797920589901</v>
      </c>
      <c r="R378">
        <v>3.9529012446807954E-2</v>
      </c>
      <c r="S378">
        <v>2.8874579382074028</v>
      </c>
      <c r="T378">
        <v>7.1220856020235063E-2</v>
      </c>
      <c r="U378">
        <v>27.11878250229428</v>
      </c>
      <c r="V378">
        <v>24.809854291982678</v>
      </c>
      <c r="W378">
        <v>0.21446774550878236</v>
      </c>
      <c r="X378">
        <v>0.61170467578155241</v>
      </c>
      <c r="Y378">
        <v>0.88153116294582168</v>
      </c>
      <c r="Z378">
        <v>0.14502078323870632</v>
      </c>
      <c r="AA378">
        <v>3.8508009470861331</v>
      </c>
    </row>
    <row r="379" spans="1:27" x14ac:dyDescent="0.2">
      <c r="A379" s="7" t="s">
        <v>2289</v>
      </c>
      <c r="B379" t="s">
        <v>1777</v>
      </c>
      <c r="C379">
        <v>2019</v>
      </c>
      <c r="D379">
        <v>42.5</v>
      </c>
      <c r="E379">
        <v>5</v>
      </c>
      <c r="F379">
        <v>42.5</v>
      </c>
      <c r="G379">
        <v>0.45454545454545453</v>
      </c>
      <c r="H379">
        <v>1</v>
      </c>
      <c r="I379">
        <v>9.0909090909090912E-2</v>
      </c>
      <c r="J379">
        <v>0.88219663418954808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27.437327137589612</v>
      </c>
      <c r="Q379">
        <v>0.32221844618951101</v>
      </c>
      <c r="R379">
        <v>-8.7175953012015306E-3</v>
      </c>
      <c r="S379">
        <v>2.3423916030114853</v>
      </c>
      <c r="T379">
        <v>6.3335714692140888E-2</v>
      </c>
      <c r="U379">
        <v>21.638621750838052</v>
      </c>
      <c r="V379">
        <v>24.83038584843376</v>
      </c>
      <c r="W379">
        <v>0.31319004261336947</v>
      </c>
      <c r="X379">
        <v>0.19629465625159914</v>
      </c>
      <c r="Y379">
        <v>1.076045542405824</v>
      </c>
      <c r="Z379">
        <v>2.9225164043297492E-2</v>
      </c>
      <c r="AA379">
        <v>2.8998161938131872</v>
      </c>
    </row>
    <row r="380" spans="1:27" x14ac:dyDescent="0.2">
      <c r="A380" s="7" t="s">
        <v>2289</v>
      </c>
      <c r="B380" t="s">
        <v>1781</v>
      </c>
      <c r="C380">
        <v>2018</v>
      </c>
      <c r="D380">
        <v>22.580000000000002</v>
      </c>
      <c r="E380">
        <v>5</v>
      </c>
      <c r="F380">
        <v>22.580000000000002</v>
      </c>
      <c r="G380">
        <v>0.45454545454545453</v>
      </c>
      <c r="H380">
        <v>1</v>
      </c>
      <c r="I380">
        <v>9.0909090909090912E-2</v>
      </c>
      <c r="J380">
        <v>-0.33195266272189339</v>
      </c>
      <c r="K380">
        <v>-9.0009000900089691E-4</v>
      </c>
      <c r="L380">
        <v>0</v>
      </c>
      <c r="M380">
        <v>0</v>
      </c>
      <c r="N380">
        <v>1</v>
      </c>
      <c r="O380">
        <v>9.0909090909090912E-2</v>
      </c>
      <c r="P380">
        <v>27.543274559669943</v>
      </c>
      <c r="Q380">
        <v>0.30179597442338535</v>
      </c>
      <c r="R380">
        <v>8.44007035273453E-2</v>
      </c>
      <c r="S380">
        <v>1.4303616321794623</v>
      </c>
      <c r="T380">
        <v>1.0677114752399863E-2</v>
      </c>
      <c r="U380">
        <v>10.809359891703732</v>
      </c>
      <c r="V380">
        <v>24.683914644882215</v>
      </c>
      <c r="W380">
        <v>0.32927867264397981</v>
      </c>
      <c r="X380">
        <v>4.8832570767925798E-2</v>
      </c>
      <c r="Y380">
        <v>1.0929327274585792</v>
      </c>
      <c r="Z380">
        <v>2.4874999482185096E-2</v>
      </c>
      <c r="AA380">
        <v>2.8000042244622705</v>
      </c>
    </row>
    <row r="381" spans="1:27" x14ac:dyDescent="0.2">
      <c r="A381" s="7" t="s">
        <v>2289</v>
      </c>
      <c r="B381" t="s">
        <v>1785</v>
      </c>
      <c r="C381">
        <v>2017</v>
      </c>
      <c r="D381">
        <v>33.799999999999997</v>
      </c>
      <c r="E381">
        <v>5</v>
      </c>
      <c r="F381">
        <v>33.799999999999997</v>
      </c>
      <c r="G381">
        <v>0.45909090909090905</v>
      </c>
      <c r="H381">
        <v>1</v>
      </c>
      <c r="I381">
        <v>9.0909090909090912E-2</v>
      </c>
      <c r="J381">
        <v>0.22508155128669799</v>
      </c>
      <c r="K381">
        <v>-5.7345252150446937E-3</v>
      </c>
      <c r="L381">
        <v>1</v>
      </c>
      <c r="M381">
        <v>0</v>
      </c>
      <c r="N381">
        <v>0</v>
      </c>
      <c r="O381">
        <v>9.0909090909090912E-2</v>
      </c>
      <c r="P381">
        <v>27.035127679772494</v>
      </c>
      <c r="Q381">
        <v>0.47736766653964108</v>
      </c>
      <c r="R381">
        <v>1.6569044187178195E-2</v>
      </c>
      <c r="S381">
        <v>1.2160782577190934</v>
      </c>
      <c r="T381">
        <v>0.10330978330321121</v>
      </c>
      <c r="U381">
        <v>3.4367779074916469</v>
      </c>
      <c r="V381">
        <v>27.051611465658535</v>
      </c>
      <c r="W381">
        <v>0.62194209867750505</v>
      </c>
      <c r="X381">
        <v>2.6502289491201703E-2</v>
      </c>
      <c r="Y381">
        <v>1.2491538473877544</v>
      </c>
      <c r="Z381">
        <v>2.5181219649237259E-2</v>
      </c>
      <c r="AA381">
        <v>1.2466314303588328</v>
      </c>
    </row>
    <row r="382" spans="1:27" x14ac:dyDescent="0.2">
      <c r="A382" s="7" t="s">
        <v>2289</v>
      </c>
      <c r="B382" t="s">
        <v>1789</v>
      </c>
      <c r="C382">
        <v>2016</v>
      </c>
      <c r="D382">
        <v>27.59</v>
      </c>
      <c r="E382">
        <v>5</v>
      </c>
      <c r="F382">
        <v>27.59</v>
      </c>
      <c r="G382">
        <v>0.49</v>
      </c>
      <c r="H382">
        <v>1</v>
      </c>
      <c r="I382">
        <v>9.0909090909090912E-2</v>
      </c>
      <c r="J382">
        <v>0.40621814475025475</v>
      </c>
      <c r="K382">
        <v>-8.138820638820642E-3</v>
      </c>
      <c r="L382">
        <v>1</v>
      </c>
      <c r="M382">
        <v>0</v>
      </c>
      <c r="N382">
        <v>0</v>
      </c>
      <c r="O382">
        <v>9.0909090909090912E-2</v>
      </c>
      <c r="P382">
        <v>27.023078681382831</v>
      </c>
      <c r="Q382">
        <v>0.50111300898121114</v>
      </c>
      <c r="R382">
        <v>1.0342460670822229E-2</v>
      </c>
      <c r="S382">
        <v>1.0116291994331286</v>
      </c>
      <c r="T382">
        <v>8.7608778409280649E-2</v>
      </c>
      <c r="U382">
        <v>2.7824075360546865</v>
      </c>
      <c r="V382">
        <v>27.043462025129479</v>
      </c>
      <c r="W382">
        <v>0.61845983854074815</v>
      </c>
      <c r="X382">
        <v>3.0603151115671245E-4</v>
      </c>
      <c r="Y382">
        <v>1.2515112635893064</v>
      </c>
      <c r="Z382">
        <v>2.2130041318805204E-2</v>
      </c>
      <c r="AA382">
        <v>1.2349486994888048</v>
      </c>
    </row>
    <row r="383" spans="1:27" x14ac:dyDescent="0.2">
      <c r="A383" s="7" t="s">
        <v>2289</v>
      </c>
      <c r="B383" t="s">
        <v>1797</v>
      </c>
      <c r="C383">
        <v>2014</v>
      </c>
      <c r="D383">
        <v>25.759999999999998</v>
      </c>
      <c r="E383">
        <v>5</v>
      </c>
      <c r="F383">
        <v>25.759999999999998</v>
      </c>
      <c r="G383">
        <v>0.30363636363636365</v>
      </c>
      <c r="H383">
        <v>1</v>
      </c>
      <c r="I383">
        <v>9.0909090909090912E-2</v>
      </c>
      <c r="J383">
        <v>8.1444164567590169E-2</v>
      </c>
      <c r="K383">
        <v>6.4102564102564022E-3</v>
      </c>
      <c r="L383">
        <v>1</v>
      </c>
      <c r="M383">
        <v>9.0909090909090912E-2</v>
      </c>
      <c r="N383">
        <v>0</v>
      </c>
      <c r="O383">
        <v>0</v>
      </c>
      <c r="P383">
        <v>27.134964228834377</v>
      </c>
      <c r="Q383">
        <v>0.49181428972602625</v>
      </c>
      <c r="R383">
        <v>3.0907808645151302E-2</v>
      </c>
      <c r="S383">
        <v>0.97453619701089234</v>
      </c>
      <c r="T383">
        <v>9.5742979813623452E-2</v>
      </c>
      <c r="U383">
        <v>2.3996047276361261</v>
      </c>
      <c r="V383">
        <v>27.030697389468237</v>
      </c>
      <c r="W383">
        <v>0.59833331510624566</v>
      </c>
      <c r="X383">
        <v>2.8207721094051008E-2</v>
      </c>
      <c r="Y383">
        <v>1.3141212019883619</v>
      </c>
      <c r="Z383">
        <v>2.3759785004767459E-2</v>
      </c>
      <c r="AA383">
        <v>1.2372495687668976</v>
      </c>
    </row>
    <row r="384" spans="1:27" x14ac:dyDescent="0.2">
      <c r="A384" s="7" t="s">
        <v>2292</v>
      </c>
      <c r="B384" t="s">
        <v>1807</v>
      </c>
      <c r="C384">
        <v>2025</v>
      </c>
      <c r="D384">
        <v>0</v>
      </c>
      <c r="E384">
        <v>5</v>
      </c>
      <c r="F384">
        <v>0</v>
      </c>
      <c r="G384">
        <v>51.49636363636364</v>
      </c>
      <c r="H384">
        <v>0</v>
      </c>
      <c r="I384">
        <v>0.54545454545454541</v>
      </c>
      <c r="J384">
        <v>-1</v>
      </c>
      <c r="K384">
        <v>6.7751176543258809E-2</v>
      </c>
      <c r="L384">
        <v>0</v>
      </c>
      <c r="M384">
        <v>0.36363636363636365</v>
      </c>
      <c r="N384">
        <v>1</v>
      </c>
      <c r="O384">
        <v>0.45454545454545453</v>
      </c>
      <c r="P384">
        <v>27.990708218758318</v>
      </c>
      <c r="Q384">
        <v>0.51373631166858935</v>
      </c>
      <c r="R384">
        <v>0.11904044515959455</v>
      </c>
      <c r="S384">
        <v>0.8147637928757776</v>
      </c>
      <c r="T384">
        <v>1.33023241928869E-2</v>
      </c>
      <c r="U384">
        <v>4.113797693781919</v>
      </c>
      <c r="V384">
        <v>26.276383394361435</v>
      </c>
      <c r="W384">
        <v>0.14035307459082427</v>
      </c>
      <c r="X384">
        <v>0.14688150856510007</v>
      </c>
      <c r="Y384">
        <v>0.66742602396654871</v>
      </c>
      <c r="Z384">
        <v>0.15477785005457118</v>
      </c>
      <c r="AA384">
        <v>16.505248309072631</v>
      </c>
    </row>
    <row r="385" spans="1:27" x14ac:dyDescent="0.2">
      <c r="A385" s="7" t="s">
        <v>2292</v>
      </c>
      <c r="B385" t="s">
        <v>1811</v>
      </c>
      <c r="C385">
        <v>2024</v>
      </c>
      <c r="D385">
        <v>2.71</v>
      </c>
      <c r="E385">
        <v>5</v>
      </c>
      <c r="F385">
        <v>2.71</v>
      </c>
      <c r="G385">
        <v>101.91818181818181</v>
      </c>
      <c r="H385">
        <v>1</v>
      </c>
      <c r="I385">
        <v>0.54545454545454541</v>
      </c>
      <c r="J385">
        <v>-0.55280528052805278</v>
      </c>
      <c r="K385">
        <v>0.27552258934592044</v>
      </c>
      <c r="L385">
        <v>0</v>
      </c>
      <c r="M385">
        <v>0.36363636363636365</v>
      </c>
      <c r="N385">
        <v>1</v>
      </c>
      <c r="O385">
        <v>9.0909090909090912E-2</v>
      </c>
      <c r="P385">
        <v>27.953765990543594</v>
      </c>
      <c r="Q385">
        <v>0.51706226243072517</v>
      </c>
      <c r="R385">
        <v>0.10192695404499297</v>
      </c>
      <c r="S385">
        <v>0.83695151634760867</v>
      </c>
      <c r="T385">
        <v>1.8333377147513964E-2</v>
      </c>
      <c r="U385">
        <v>4.0468646068606597</v>
      </c>
      <c r="V385">
        <v>25.045958449997471</v>
      </c>
      <c r="W385">
        <v>9.2235390218416161E-2</v>
      </c>
      <c r="X385">
        <v>0.28450404643895477</v>
      </c>
      <c r="Y385">
        <v>-0.3236315474681295</v>
      </c>
      <c r="Z385">
        <v>0.22129779220869628</v>
      </c>
      <c r="AA385">
        <v>-12.729490437309639</v>
      </c>
    </row>
    <row r="386" spans="1:27" x14ac:dyDescent="0.2">
      <c r="A386" s="7" t="s">
        <v>2292</v>
      </c>
      <c r="B386" t="s">
        <v>1818</v>
      </c>
      <c r="C386">
        <v>2021</v>
      </c>
      <c r="D386">
        <v>4.5599999999999996</v>
      </c>
      <c r="E386">
        <v>5</v>
      </c>
      <c r="F386">
        <v>4.5599999999999996</v>
      </c>
      <c r="G386">
        <v>4.036363636363637</v>
      </c>
      <c r="H386">
        <v>1</v>
      </c>
      <c r="I386">
        <v>9.0909090909090912E-2</v>
      </c>
      <c r="J386">
        <v>-8.8000000000000078E-2</v>
      </c>
      <c r="K386">
        <v>2.2983788220808557E-2</v>
      </c>
      <c r="L386">
        <v>0</v>
      </c>
      <c r="M386">
        <v>9.0909090909090912E-2</v>
      </c>
      <c r="N386">
        <v>1</v>
      </c>
      <c r="O386">
        <v>0</v>
      </c>
      <c r="P386">
        <v>27.72895330979312</v>
      </c>
      <c r="Q386">
        <v>0.55095168321715349</v>
      </c>
      <c r="R386">
        <v>6.071250290278285E-2</v>
      </c>
      <c r="S386">
        <v>0.88269232460576419</v>
      </c>
      <c r="T386">
        <v>3.027799694575747E-2</v>
      </c>
      <c r="U386">
        <v>3.8499485492651782</v>
      </c>
      <c r="V386">
        <v>24.085674871051076</v>
      </c>
      <c r="W386">
        <v>0.10644154163070037</v>
      </c>
      <c r="X386">
        <v>0.10624747391397778</v>
      </c>
      <c r="Y386">
        <v>2.0919532890358266</v>
      </c>
      <c r="Z386">
        <v>0.11203552410244898</v>
      </c>
      <c r="AA386">
        <v>26.163571430645582</v>
      </c>
    </row>
    <row r="387" spans="1:27" x14ac:dyDescent="0.2">
      <c r="A387" s="7" t="s">
        <v>2292</v>
      </c>
      <c r="B387" t="s">
        <v>1822</v>
      </c>
      <c r="C387">
        <v>2020</v>
      </c>
      <c r="D387">
        <v>5</v>
      </c>
      <c r="E387">
        <v>5</v>
      </c>
      <c r="F387">
        <v>5</v>
      </c>
      <c r="G387">
        <v>3.2218181818181817</v>
      </c>
      <c r="H387">
        <v>1</v>
      </c>
      <c r="I387">
        <v>9.0909090909090912E-2</v>
      </c>
      <c r="J387">
        <v>0</v>
      </c>
      <c r="K387">
        <v>-1.5101604278074872E-2</v>
      </c>
      <c r="L387">
        <v>0</v>
      </c>
      <c r="M387">
        <v>0</v>
      </c>
      <c r="N387">
        <v>0</v>
      </c>
      <c r="O387">
        <v>9.0909090909090912E-2</v>
      </c>
      <c r="P387">
        <v>27.630782087363496</v>
      </c>
      <c r="Q387">
        <v>0.57549354295676669</v>
      </c>
      <c r="R387">
        <v>0.620791237059934</v>
      </c>
      <c r="S387">
        <v>0.89311178081184883</v>
      </c>
      <c r="T387">
        <v>2.9337334790863853E-2</v>
      </c>
      <c r="U387">
        <v>3.592885756812878</v>
      </c>
      <c r="V387">
        <v>24.781851205255915</v>
      </c>
      <c r="W387">
        <v>0.12591589092515984</v>
      </c>
      <c r="X387">
        <v>0.32107356347498939</v>
      </c>
      <c r="Y387">
        <v>1.5463132154110062</v>
      </c>
      <c r="Z387">
        <v>0.16596254385339193</v>
      </c>
      <c r="AA387">
        <v>11.692766528913268</v>
      </c>
    </row>
    <row r="388" spans="1:27" x14ac:dyDescent="0.2">
      <c r="A388" s="7" t="s">
        <v>2292</v>
      </c>
      <c r="B388" t="s">
        <v>1826</v>
      </c>
      <c r="C388">
        <v>2019</v>
      </c>
      <c r="D388">
        <v>5</v>
      </c>
      <c r="E388">
        <v>5</v>
      </c>
      <c r="F388">
        <v>5</v>
      </c>
      <c r="G388">
        <v>3.8636363636363638</v>
      </c>
      <c r="H388">
        <v>1</v>
      </c>
      <c r="I388">
        <v>9.0909090909090912E-2</v>
      </c>
      <c r="J388">
        <v>0</v>
      </c>
      <c r="K388">
        <v>8.0199694017231649E-2</v>
      </c>
      <c r="L388">
        <v>0</v>
      </c>
      <c r="M388">
        <v>9.0909090909090912E-2</v>
      </c>
      <c r="N388">
        <v>0</v>
      </c>
      <c r="O388">
        <v>0</v>
      </c>
      <c r="P388">
        <v>27.313945934174058</v>
      </c>
      <c r="Q388">
        <v>0.55132394861288847</v>
      </c>
      <c r="R388">
        <v>5.3653677409684741E-2</v>
      </c>
      <c r="S388">
        <v>1.1854356416006835</v>
      </c>
      <c r="T388">
        <v>2.3961449904802909E-2</v>
      </c>
      <c r="U388">
        <v>1.7776862404076463</v>
      </c>
      <c r="V388">
        <v>24.892076450141538</v>
      </c>
      <c r="W388">
        <v>0.19863729140168074</v>
      </c>
      <c r="X388">
        <v>0.16510901989615601</v>
      </c>
      <c r="Y388">
        <v>1.654523523111225</v>
      </c>
      <c r="Z388">
        <v>4.8912296436966485E-2</v>
      </c>
      <c r="AA388">
        <v>12.83028394902839</v>
      </c>
    </row>
    <row r="389" spans="1:27" x14ac:dyDescent="0.2">
      <c r="A389" s="7" t="s">
        <v>2292</v>
      </c>
      <c r="B389" t="s">
        <v>1830</v>
      </c>
      <c r="C389">
        <v>2018</v>
      </c>
      <c r="D389">
        <v>5</v>
      </c>
      <c r="E389">
        <v>5</v>
      </c>
      <c r="F389">
        <v>5</v>
      </c>
      <c r="G389">
        <v>2.0527272727272727</v>
      </c>
      <c r="H389">
        <v>1</v>
      </c>
      <c r="I389">
        <v>9.0909090909090912E-2</v>
      </c>
      <c r="J389">
        <v>-9.9009900990098664E-3</v>
      </c>
      <c r="K389">
        <v>-3.0177514792899398E-2</v>
      </c>
      <c r="L389">
        <v>0</v>
      </c>
      <c r="M389">
        <v>0</v>
      </c>
      <c r="N389">
        <v>1</v>
      </c>
      <c r="O389">
        <v>9.0909090909090912E-2</v>
      </c>
      <c r="P389">
        <v>27.195250396786559</v>
      </c>
      <c r="Q389">
        <v>0.57801275886487535</v>
      </c>
      <c r="R389">
        <v>4.8832570767925798E-2</v>
      </c>
      <c r="S389">
        <v>1.2242690862432408</v>
      </c>
      <c r="T389">
        <v>2.4874999482185096E-2</v>
      </c>
      <c r="U389">
        <v>1.5772395627866573</v>
      </c>
      <c r="V389">
        <v>24.85792672632391</v>
      </c>
      <c r="W389">
        <v>0.19117028042323481</v>
      </c>
      <c r="X389">
        <v>8.44007035273453E-2</v>
      </c>
      <c r="Y389">
        <v>1.1959790004266899</v>
      </c>
      <c r="Z389">
        <v>1.0677114752399863E-2</v>
      </c>
      <c r="AA389">
        <v>7.416064388920808</v>
      </c>
    </row>
    <row r="390" spans="1:27" x14ac:dyDescent="0.2">
      <c r="A390" s="7" t="s">
        <v>2292</v>
      </c>
      <c r="B390" t="s">
        <v>1834</v>
      </c>
      <c r="C390">
        <v>2017</v>
      </c>
      <c r="D390">
        <v>5.05</v>
      </c>
      <c r="E390">
        <v>5</v>
      </c>
      <c r="F390">
        <v>5.05</v>
      </c>
      <c r="G390">
        <v>3.0727272727272723</v>
      </c>
      <c r="H390">
        <v>1</v>
      </c>
      <c r="I390">
        <v>9.0909090909090912E-2</v>
      </c>
      <c r="J390">
        <v>-6.3079777365491627E-2</v>
      </c>
      <c r="K390">
        <v>2.0461959207881634E-2</v>
      </c>
      <c r="L390">
        <v>0</v>
      </c>
      <c r="M390">
        <v>9.0909090909090912E-2</v>
      </c>
      <c r="N390">
        <v>1</v>
      </c>
      <c r="O390">
        <v>0</v>
      </c>
      <c r="P390">
        <v>27.051611465658535</v>
      </c>
      <c r="Q390">
        <v>0.62194209867750505</v>
      </c>
      <c r="R390">
        <v>2.6502289491201703E-2</v>
      </c>
      <c r="S390">
        <v>1.2491538473877544</v>
      </c>
      <c r="T390">
        <v>2.5181219649237259E-2</v>
      </c>
      <c r="U390">
        <v>1.2466314303588328</v>
      </c>
      <c r="V390">
        <v>27.035127679772494</v>
      </c>
      <c r="W390">
        <v>0.47736766653964108</v>
      </c>
      <c r="X390">
        <v>1.6569044187178195E-2</v>
      </c>
      <c r="Y390">
        <v>1.2160782577190934</v>
      </c>
      <c r="Z390">
        <v>0.10330978330321121</v>
      </c>
      <c r="AA390">
        <v>3.4367779074916469</v>
      </c>
    </row>
    <row r="391" spans="1:27" x14ac:dyDescent="0.2">
      <c r="A391" s="7" t="s">
        <v>2292</v>
      </c>
      <c r="B391" t="s">
        <v>1838</v>
      </c>
      <c r="C391">
        <v>2016</v>
      </c>
      <c r="D391">
        <v>5.39</v>
      </c>
      <c r="E391">
        <v>5</v>
      </c>
      <c r="F391">
        <v>5.39</v>
      </c>
      <c r="G391">
        <v>2.5081818181818183</v>
      </c>
      <c r="H391">
        <v>1</v>
      </c>
      <c r="I391">
        <v>9.0909090909090912E-2</v>
      </c>
      <c r="J391">
        <v>-8.952702702702707E-2</v>
      </c>
      <c r="K391">
        <v>3.6928922250023158E-2</v>
      </c>
      <c r="L391">
        <v>0</v>
      </c>
      <c r="M391">
        <v>9.0909090909090912E-2</v>
      </c>
      <c r="N391">
        <v>1</v>
      </c>
      <c r="O391">
        <v>0</v>
      </c>
      <c r="P391">
        <v>27.043462025129479</v>
      </c>
      <c r="Q391">
        <v>0.61845983854074815</v>
      </c>
      <c r="R391">
        <v>3.0603151115671245E-4</v>
      </c>
      <c r="S391">
        <v>1.2515112635893064</v>
      </c>
      <c r="T391">
        <v>2.2130041318805204E-2</v>
      </c>
      <c r="U391">
        <v>1.2349486994888048</v>
      </c>
      <c r="V391">
        <v>27.023078681382831</v>
      </c>
      <c r="W391">
        <v>0.50111300898121114</v>
      </c>
      <c r="X391">
        <v>1.0342460670822229E-2</v>
      </c>
      <c r="Y391">
        <v>1.0116291994331286</v>
      </c>
      <c r="Z391">
        <v>8.7608778409280649E-2</v>
      </c>
      <c r="AA391">
        <v>2.7824075360546865</v>
      </c>
    </row>
    <row r="392" spans="1:27" x14ac:dyDescent="0.2">
      <c r="A392" s="7" t="s">
        <v>2292</v>
      </c>
      <c r="B392" t="s">
        <v>1842</v>
      </c>
      <c r="C392">
        <v>2015</v>
      </c>
      <c r="D392">
        <v>5.92</v>
      </c>
      <c r="E392">
        <v>5</v>
      </c>
      <c r="F392">
        <v>5.92</v>
      </c>
      <c r="G392">
        <v>1.7836363636363637</v>
      </c>
      <c r="H392">
        <v>1</v>
      </c>
      <c r="I392">
        <v>9.0909090909090912E-2</v>
      </c>
      <c r="J392">
        <v>0.77245508982035938</v>
      </c>
      <c r="K392">
        <v>-2.1668548842461877E-2</v>
      </c>
      <c r="L392">
        <v>1</v>
      </c>
      <c r="M392">
        <v>0</v>
      </c>
      <c r="N392">
        <v>0</v>
      </c>
      <c r="O392">
        <v>9.0909090909090912E-2</v>
      </c>
      <c r="P392">
        <v>27.03558123977265</v>
      </c>
      <c r="Q392">
        <v>0.61434194297322786</v>
      </c>
      <c r="R392">
        <v>-5.2920849543549586E-3</v>
      </c>
      <c r="S392">
        <v>1.2586396116380416</v>
      </c>
      <c r="T392">
        <v>2.6166548782949106E-2</v>
      </c>
      <c r="U392">
        <v>1.2082478851576519</v>
      </c>
      <c r="V392">
        <v>27.205421665512862</v>
      </c>
      <c r="W392">
        <v>0.46322649369890018</v>
      </c>
      <c r="X392">
        <v>4.9844433948943223E-2</v>
      </c>
      <c r="Y392" t="s">
        <v>2345</v>
      </c>
      <c r="Z392">
        <v>7.5107046236844499E-2</v>
      </c>
      <c r="AA392">
        <v>2.8805851363952226</v>
      </c>
    </row>
    <row r="393" spans="1:27" x14ac:dyDescent="0.2">
      <c r="A393" s="7" t="s">
        <v>2292</v>
      </c>
      <c r="B393" t="s">
        <v>1846</v>
      </c>
      <c r="C393">
        <v>2014</v>
      </c>
      <c r="D393">
        <v>3.34</v>
      </c>
      <c r="E393">
        <v>5</v>
      </c>
      <c r="F393">
        <v>3.34</v>
      </c>
      <c r="G393">
        <v>2.3418181818181818</v>
      </c>
      <c r="H393">
        <v>1</v>
      </c>
      <c r="I393">
        <v>9.0909090909090912E-2</v>
      </c>
      <c r="J393">
        <v>7.0512820512820429E-2</v>
      </c>
      <c r="K393">
        <v>7.4040149606900149E-3</v>
      </c>
      <c r="L393">
        <v>1</v>
      </c>
      <c r="M393">
        <v>9.0909090909090912E-2</v>
      </c>
      <c r="N393">
        <v>0</v>
      </c>
      <c r="O393">
        <v>0</v>
      </c>
      <c r="P393">
        <v>27.030697389468237</v>
      </c>
      <c r="Q393">
        <v>0.59833331510624566</v>
      </c>
      <c r="R393">
        <v>2.8207721094051008E-2</v>
      </c>
      <c r="S393">
        <v>1.3141212019883619</v>
      </c>
      <c r="T393">
        <v>2.3759785004767459E-2</v>
      </c>
      <c r="U393">
        <v>1.2372495687668976</v>
      </c>
      <c r="V393">
        <v>27.134964228834377</v>
      </c>
      <c r="W393">
        <v>0.49181428972602625</v>
      </c>
      <c r="X393">
        <v>3.0907808645151302E-2</v>
      </c>
      <c r="Y393">
        <v>0.97453619701089234</v>
      </c>
      <c r="Z393">
        <v>9.5742979813623452E-2</v>
      </c>
      <c r="AA393">
        <v>2.3996047276361261</v>
      </c>
    </row>
    <row r="394" spans="1:27" x14ac:dyDescent="0.2">
      <c r="A394" s="7" t="s">
        <v>2294</v>
      </c>
      <c r="B394" t="s">
        <v>1861</v>
      </c>
      <c r="C394">
        <v>2025</v>
      </c>
      <c r="D394">
        <v>0</v>
      </c>
      <c r="E394">
        <v>7</v>
      </c>
      <c r="F394">
        <v>0</v>
      </c>
      <c r="G394">
        <v>3.8849999999999998</v>
      </c>
      <c r="H394">
        <v>0</v>
      </c>
      <c r="I394">
        <v>0.25</v>
      </c>
      <c r="J394">
        <v>-1</v>
      </c>
      <c r="K394">
        <v>-0.43027638190954776</v>
      </c>
      <c r="L394">
        <v>0</v>
      </c>
      <c r="M394">
        <v>0</v>
      </c>
      <c r="N394">
        <v>1</v>
      </c>
      <c r="O394">
        <v>0.5</v>
      </c>
      <c r="P394">
        <v>27.750135709113035</v>
      </c>
      <c r="Q394">
        <v>0.20332374906679898</v>
      </c>
      <c r="R394">
        <v>5.3077493186738822E-2</v>
      </c>
      <c r="S394">
        <v>-1.8248333530548653</v>
      </c>
      <c r="T394">
        <v>9.2410642924242198E-2</v>
      </c>
      <c r="U394">
        <v>21.216286041099671</v>
      </c>
      <c r="V394">
        <v>27.082017880420395</v>
      </c>
      <c r="W394" t="s">
        <v>2345</v>
      </c>
      <c r="X394">
        <v>-0.37000558537071093</v>
      </c>
      <c r="Y394" t="s">
        <v>2345</v>
      </c>
      <c r="Z394">
        <v>-9.0250578769573819E-2</v>
      </c>
      <c r="AA394">
        <v>0.48847456484923102</v>
      </c>
    </row>
    <row r="395" spans="1:27" x14ac:dyDescent="0.2">
      <c r="A395" s="7" t="s">
        <v>2294</v>
      </c>
      <c r="B395" t="s">
        <v>1865</v>
      </c>
      <c r="C395">
        <v>2024</v>
      </c>
      <c r="D395">
        <v>5.27</v>
      </c>
      <c r="E395">
        <v>7</v>
      </c>
      <c r="F395">
        <v>5.27</v>
      </c>
      <c r="G395">
        <v>14.17</v>
      </c>
      <c r="H395">
        <v>1</v>
      </c>
      <c r="I395">
        <v>0.5</v>
      </c>
      <c r="J395">
        <v>1</v>
      </c>
      <c r="K395">
        <v>-5.8540695945276125E-2</v>
      </c>
      <c r="L395">
        <v>1</v>
      </c>
      <c r="M395">
        <v>0.5</v>
      </c>
      <c r="N395">
        <v>0</v>
      </c>
      <c r="O395">
        <v>0.25</v>
      </c>
      <c r="P395">
        <v>27.776761672459504</v>
      </c>
      <c r="Q395">
        <v>0.138161079301856</v>
      </c>
      <c r="R395">
        <v>0.39953184774760953</v>
      </c>
      <c r="S395">
        <v>2.4344731506131287</v>
      </c>
      <c r="T395">
        <v>4.8456345694016939E-2</v>
      </c>
      <c r="U395">
        <v>-16.957846531580618</v>
      </c>
      <c r="V395">
        <v>25.813751639010469</v>
      </c>
      <c r="W395">
        <v>0.57972857792487953</v>
      </c>
      <c r="X395">
        <v>5.3049539478840335E-2</v>
      </c>
      <c r="Y395">
        <v>0.96431524729528784</v>
      </c>
      <c r="Z395">
        <v>0.17878716158598401</v>
      </c>
      <c r="AA395">
        <v>0.35604449403049382</v>
      </c>
    </row>
    <row r="396" spans="1:27" x14ac:dyDescent="0.2">
      <c r="A396" s="7" t="s">
        <v>2294</v>
      </c>
      <c r="B396" t="s">
        <v>1869</v>
      </c>
      <c r="C396">
        <v>2023</v>
      </c>
      <c r="D396">
        <v>0</v>
      </c>
      <c r="E396">
        <v>7</v>
      </c>
      <c r="F396">
        <v>0</v>
      </c>
      <c r="G396">
        <v>13.76</v>
      </c>
      <c r="H396">
        <v>0</v>
      </c>
      <c r="I396">
        <v>0.75</v>
      </c>
      <c r="J396">
        <v>0</v>
      </c>
      <c r="K396">
        <v>1.1429062572744175</v>
      </c>
      <c r="L396">
        <v>0</v>
      </c>
      <c r="M396">
        <v>0.5</v>
      </c>
      <c r="N396">
        <v>0</v>
      </c>
      <c r="O396">
        <v>0.25</v>
      </c>
      <c r="P396">
        <v>27.738990824679629</v>
      </c>
      <c r="Q396">
        <v>9.4183735572443431E-2</v>
      </c>
      <c r="R396">
        <v>0.48117662998770916</v>
      </c>
      <c r="S396">
        <v>2.3795795613342245</v>
      </c>
      <c r="T396">
        <v>-1.3539409957516129E-2</v>
      </c>
      <c r="U396">
        <v>-12.280697490734553</v>
      </c>
      <c r="V396">
        <v>25.681333317539302</v>
      </c>
      <c r="W396">
        <v>0.61605557291837532</v>
      </c>
      <c r="X396">
        <v>0.38200570338208545</v>
      </c>
      <c r="Y396">
        <v>0.95923621920044888</v>
      </c>
      <c r="Z396">
        <v>0.23176753820373838</v>
      </c>
      <c r="AA396">
        <v>0.38321191803815224</v>
      </c>
    </row>
    <row r="397" spans="1:27" x14ac:dyDescent="0.2">
      <c r="A397" s="7" t="s">
        <v>2294</v>
      </c>
      <c r="B397" t="s">
        <v>1872</v>
      </c>
      <c r="C397">
        <v>2022</v>
      </c>
      <c r="D397">
        <v>0</v>
      </c>
      <c r="E397">
        <v>7</v>
      </c>
      <c r="F397">
        <v>0</v>
      </c>
      <c r="G397">
        <v>4.9275000000000002</v>
      </c>
      <c r="H397">
        <v>0</v>
      </c>
      <c r="I397">
        <v>0.75</v>
      </c>
      <c r="J397">
        <v>0</v>
      </c>
      <c r="K397">
        <v>0.5051072124756335</v>
      </c>
      <c r="L397">
        <v>0</v>
      </c>
      <c r="M397">
        <v>0.75</v>
      </c>
      <c r="N397">
        <v>0</v>
      </c>
      <c r="O397">
        <v>0</v>
      </c>
      <c r="P397">
        <v>27.5871998363797</v>
      </c>
      <c r="Q397">
        <v>5.1264986287057591E-2</v>
      </c>
      <c r="R397">
        <v>-0.1594706883613668</v>
      </c>
      <c r="S397">
        <v>2.2763567179053545</v>
      </c>
      <c r="T397">
        <v>-4.8748291254854047E-2</v>
      </c>
      <c r="U397">
        <v>-10.634936933127976</v>
      </c>
      <c r="V397">
        <v>25.000884188006292</v>
      </c>
      <c r="W397">
        <v>0.58868761079449106</v>
      </c>
      <c r="X397">
        <v>0.10434990638676078</v>
      </c>
      <c r="Y397">
        <v>0.9845423141070101</v>
      </c>
      <c r="Z397">
        <v>0.21973922459931838</v>
      </c>
      <c r="AA397">
        <v>0.4447417302602184</v>
      </c>
    </row>
    <row r="398" spans="1:27" x14ac:dyDescent="0.2">
      <c r="A398" s="7" t="s">
        <v>2294</v>
      </c>
      <c r="B398" t="s">
        <v>1873</v>
      </c>
      <c r="C398">
        <v>2021</v>
      </c>
      <c r="D398">
        <v>0</v>
      </c>
      <c r="E398">
        <v>7</v>
      </c>
      <c r="F398">
        <v>0</v>
      </c>
      <c r="G398">
        <v>2.5099999999999998</v>
      </c>
      <c r="H398">
        <v>0</v>
      </c>
      <c r="I398">
        <v>0.5</v>
      </c>
      <c r="J398">
        <v>0</v>
      </c>
      <c r="K398">
        <v>1.6381617219313558</v>
      </c>
      <c r="L398">
        <v>0</v>
      </c>
      <c r="M398">
        <v>0.25</v>
      </c>
      <c r="N398">
        <v>0</v>
      </c>
      <c r="O398">
        <v>0.5</v>
      </c>
      <c r="P398">
        <v>27.734885512958837</v>
      </c>
      <c r="Q398">
        <v>1.7930506106629412E-2</v>
      </c>
      <c r="R398">
        <v>0.62727429165205084</v>
      </c>
      <c r="S398">
        <v>1.2003031999890739</v>
      </c>
      <c r="T398">
        <v>-3.2422962532942801E-2</v>
      </c>
      <c r="U398">
        <v>-8.5762438711263478</v>
      </c>
      <c r="V398">
        <v>25.2250561407627</v>
      </c>
      <c r="W398">
        <v>0.73565058124068994</v>
      </c>
      <c r="X398">
        <v>0.20451264406103495</v>
      </c>
      <c r="Y398">
        <v>0.90769575343229281</v>
      </c>
      <c r="Z398">
        <v>0.21242607235631908</v>
      </c>
      <c r="AA398">
        <v>0.76122644643457316</v>
      </c>
    </row>
    <row r="399" spans="1:27" x14ac:dyDescent="0.2">
      <c r="A399" s="7" t="s">
        <v>2294</v>
      </c>
      <c r="B399" t="s">
        <v>1877</v>
      </c>
      <c r="C399">
        <v>2020</v>
      </c>
      <c r="D399">
        <v>0</v>
      </c>
      <c r="E399">
        <v>7</v>
      </c>
      <c r="F399">
        <v>0</v>
      </c>
      <c r="G399">
        <v>5.9799999999999995</v>
      </c>
      <c r="H399">
        <v>0</v>
      </c>
      <c r="I399">
        <v>0.75</v>
      </c>
      <c r="J399">
        <v>0</v>
      </c>
      <c r="K399">
        <v>0.34820127504553727</v>
      </c>
      <c r="L399">
        <v>0</v>
      </c>
      <c r="M399">
        <v>0.5</v>
      </c>
      <c r="N399">
        <v>0</v>
      </c>
      <c r="O399">
        <v>0.25</v>
      </c>
      <c r="P399">
        <v>27.647095232331321</v>
      </c>
      <c r="Q399">
        <v>1.9508878138641453E-2</v>
      </c>
      <c r="R399">
        <v>-0.55422559416770789</v>
      </c>
      <c r="S399">
        <v>1.2281656927851854</v>
      </c>
      <c r="T399">
        <v>-0.12639816324206651</v>
      </c>
      <c r="U399">
        <v>-9.8100497633207908</v>
      </c>
      <c r="V399">
        <v>25.206342844470406</v>
      </c>
      <c r="W399">
        <v>0.64526632308946963</v>
      </c>
      <c r="X399">
        <v>-0.14143570067493688</v>
      </c>
      <c r="Y399">
        <v>1.3712139613069381</v>
      </c>
      <c r="Z399">
        <v>9.4573319953617063E-2</v>
      </c>
      <c r="AA399">
        <v>3.1778964000350518</v>
      </c>
    </row>
    <row r="400" spans="1:27" x14ac:dyDescent="0.2">
      <c r="A400" s="7" t="s">
        <v>2294</v>
      </c>
      <c r="B400" t="s">
        <v>1881</v>
      </c>
      <c r="C400">
        <v>2019</v>
      </c>
      <c r="D400">
        <v>0</v>
      </c>
      <c r="E400">
        <v>7</v>
      </c>
      <c r="F400">
        <v>0</v>
      </c>
      <c r="G400">
        <v>2.1675</v>
      </c>
      <c r="H400">
        <v>0</v>
      </c>
      <c r="I400">
        <v>0.5</v>
      </c>
      <c r="J400">
        <v>-1</v>
      </c>
      <c r="K400">
        <v>-0.16226903960946984</v>
      </c>
      <c r="L400">
        <v>0</v>
      </c>
      <c r="M400">
        <v>0.25</v>
      </c>
      <c r="N400">
        <v>1</v>
      </c>
      <c r="O400">
        <v>0.25</v>
      </c>
      <c r="P400">
        <v>27.562011815735218</v>
      </c>
      <c r="Q400">
        <v>2.8653685024825407E-2</v>
      </c>
      <c r="R400">
        <v>0.10842748990303641</v>
      </c>
      <c r="S400">
        <v>-12.333846153846153</v>
      </c>
      <c r="T400">
        <v>2.1620168583552542E-2</v>
      </c>
      <c r="U400">
        <v>477.62461538461537</v>
      </c>
      <c r="V400">
        <v>25.28018394322963</v>
      </c>
      <c r="W400">
        <v>0.5786773353399538</v>
      </c>
      <c r="X400">
        <v>0.10567902146789565</v>
      </c>
      <c r="Y400">
        <v>0.69735536166979273</v>
      </c>
      <c r="Z400">
        <v>0.11405020182650429</v>
      </c>
      <c r="AA400">
        <v>3.2827194567759554</v>
      </c>
    </row>
    <row r="401" spans="1:27" x14ac:dyDescent="0.2">
      <c r="A401" s="7" t="s">
        <v>2294</v>
      </c>
      <c r="B401" t="s">
        <v>1885</v>
      </c>
      <c r="C401">
        <v>2018</v>
      </c>
      <c r="D401">
        <v>2.69</v>
      </c>
      <c r="E401">
        <v>7</v>
      </c>
      <c r="F401">
        <v>2.69</v>
      </c>
      <c r="G401">
        <v>6.4975000000000005</v>
      </c>
      <c r="H401">
        <v>1</v>
      </c>
      <c r="I401">
        <v>0.5</v>
      </c>
      <c r="J401">
        <v>-0.79000780640124912</v>
      </c>
      <c r="K401">
        <v>0.31089582284851536</v>
      </c>
      <c r="L401">
        <v>0</v>
      </c>
      <c r="M401">
        <v>0.5</v>
      </c>
      <c r="N401">
        <v>1</v>
      </c>
      <c r="O401">
        <v>0</v>
      </c>
      <c r="P401">
        <v>26.480987103573568</v>
      </c>
      <c r="Q401">
        <v>0.28729163113578798</v>
      </c>
      <c r="R401">
        <v>0.14755298029399522</v>
      </c>
      <c r="S401">
        <v>1.6534245064519686</v>
      </c>
      <c r="T401">
        <v>1.7854352486733463E-2</v>
      </c>
      <c r="U401">
        <v>5.9841402889599644</v>
      </c>
      <c r="V401">
        <v>25.109305139047919</v>
      </c>
      <c r="W401">
        <v>0.65255934510504454</v>
      </c>
      <c r="X401">
        <v>0.43156590300987979</v>
      </c>
      <c r="Y401">
        <v>1.0566342708750514</v>
      </c>
      <c r="Z401">
        <v>0.14082304320216715</v>
      </c>
      <c r="AA401">
        <v>5.4840805891896354</v>
      </c>
    </row>
    <row r="402" spans="1:27" x14ac:dyDescent="0.2">
      <c r="A402" s="7" t="s">
        <v>2294</v>
      </c>
      <c r="B402" t="s">
        <v>1889</v>
      </c>
      <c r="C402">
        <v>2017</v>
      </c>
      <c r="D402">
        <v>12.81</v>
      </c>
      <c r="E402">
        <v>7</v>
      </c>
      <c r="F402">
        <v>12.81</v>
      </c>
      <c r="G402">
        <v>4.9675000000000002</v>
      </c>
      <c r="H402">
        <v>1</v>
      </c>
      <c r="I402">
        <v>0.25</v>
      </c>
      <c r="J402">
        <v>-0.26716247139588101</v>
      </c>
      <c r="K402">
        <v>-7.9737732656514376E-2</v>
      </c>
      <c r="L402">
        <v>0</v>
      </c>
      <c r="M402">
        <v>0.25</v>
      </c>
      <c r="N402">
        <v>1</v>
      </c>
      <c r="O402">
        <v>0.25</v>
      </c>
      <c r="P402">
        <v>26.501939310444239</v>
      </c>
      <c r="Q402">
        <v>0.30288559675872945</v>
      </c>
      <c r="R402">
        <v>7.4723723481487481E-2</v>
      </c>
      <c r="S402">
        <v>1.2106569191221266</v>
      </c>
      <c r="T402">
        <v>7.4072051612737444E-2</v>
      </c>
      <c r="U402">
        <v>3.8043804514182975</v>
      </c>
      <c r="V402">
        <v>25.031809299209989</v>
      </c>
      <c r="W402">
        <v>0.57372213764268931</v>
      </c>
      <c r="X402">
        <v>8.2180777399805421E-2</v>
      </c>
      <c r="Y402">
        <v>0.24925231491376798</v>
      </c>
      <c r="Z402">
        <v>0.18816038803098517</v>
      </c>
      <c r="AA402">
        <v>5.6713513233517485</v>
      </c>
    </row>
    <row r="403" spans="1:27" x14ac:dyDescent="0.2">
      <c r="A403" s="7" t="s">
        <v>2294</v>
      </c>
      <c r="B403" t="s">
        <v>1892</v>
      </c>
      <c r="C403">
        <v>2016</v>
      </c>
      <c r="D403">
        <v>17.48</v>
      </c>
      <c r="E403">
        <v>7</v>
      </c>
      <c r="F403">
        <v>17.48</v>
      </c>
      <c r="G403">
        <v>3.280475</v>
      </c>
      <c r="H403">
        <v>1</v>
      </c>
      <c r="I403">
        <v>0.5</v>
      </c>
      <c r="J403">
        <v>1</v>
      </c>
      <c r="K403">
        <v>0.16982758620689659</v>
      </c>
      <c r="L403">
        <v>1</v>
      </c>
      <c r="M403">
        <v>0.25</v>
      </c>
      <c r="N403">
        <v>0</v>
      </c>
      <c r="O403">
        <v>0.25</v>
      </c>
      <c r="P403">
        <v>26.424735639436683</v>
      </c>
      <c r="Q403">
        <v>0.35046624368958962</v>
      </c>
      <c r="R403">
        <v>0.194393662400975</v>
      </c>
      <c r="S403">
        <v>1.8935465672447203</v>
      </c>
      <c r="T403">
        <v>0.12636594570228527</v>
      </c>
      <c r="U403">
        <v>6.3415340086830678</v>
      </c>
      <c r="V403">
        <v>24.894868891244698</v>
      </c>
      <c r="W403">
        <v>0.61263399984377909</v>
      </c>
      <c r="X403">
        <v>5.1988082910060629E-2</v>
      </c>
      <c r="Y403">
        <v>1.1589952996045156</v>
      </c>
      <c r="Z403">
        <v>2.602927814854173E-2</v>
      </c>
      <c r="AA403">
        <v>-0.29108212459465799</v>
      </c>
    </row>
    <row r="404" spans="1:27" x14ac:dyDescent="0.2">
      <c r="A404" s="7" t="s">
        <v>2300</v>
      </c>
      <c r="B404" t="s">
        <v>1997</v>
      </c>
      <c r="C404">
        <v>2024</v>
      </c>
      <c r="D404">
        <v>55.72</v>
      </c>
      <c r="E404">
        <v>7</v>
      </c>
      <c r="F404">
        <v>55.72</v>
      </c>
      <c r="G404">
        <v>1.5574999999999999</v>
      </c>
      <c r="H404">
        <v>1</v>
      </c>
      <c r="I404">
        <v>0.5</v>
      </c>
      <c r="J404">
        <v>0.51908396946564883</v>
      </c>
      <c r="K404">
        <v>6.1688311688311667E-2</v>
      </c>
      <c r="L404">
        <v>1</v>
      </c>
      <c r="M404">
        <v>0.5</v>
      </c>
      <c r="N404">
        <v>0</v>
      </c>
      <c r="O404">
        <v>0.25</v>
      </c>
      <c r="P404">
        <v>23.634425792949131</v>
      </c>
      <c r="Q404">
        <v>0.60637054834383353</v>
      </c>
      <c r="R404">
        <v>0.20732900249127284</v>
      </c>
      <c r="S404">
        <v>0.99574299788186038</v>
      </c>
      <c r="T404">
        <v>0.36334364609616471</v>
      </c>
      <c r="U404">
        <v>0.15758863143286969</v>
      </c>
      <c r="V404">
        <v>26.849335608888065</v>
      </c>
      <c r="W404">
        <v>0.46267621066438519</v>
      </c>
      <c r="X404">
        <v>0.10110025079292451</v>
      </c>
      <c r="Y404">
        <v>1.4438919648723774</v>
      </c>
      <c r="Z404">
        <v>0.10006533648544708</v>
      </c>
      <c r="AA404">
        <v>-3.9228142967228781</v>
      </c>
    </row>
    <row r="405" spans="1:27" x14ac:dyDescent="0.2">
      <c r="A405" s="7" t="s">
        <v>2300</v>
      </c>
      <c r="B405" t="s">
        <v>1999</v>
      </c>
      <c r="C405">
        <v>2023</v>
      </c>
      <c r="D405">
        <v>36.68</v>
      </c>
      <c r="E405">
        <v>7</v>
      </c>
      <c r="F405">
        <v>36.68</v>
      </c>
      <c r="G405">
        <v>4.59</v>
      </c>
      <c r="H405">
        <v>1</v>
      </c>
      <c r="I405">
        <v>0.5</v>
      </c>
      <c r="J405">
        <v>1.5088919288645692</v>
      </c>
      <c r="K405">
        <v>0.76568327505827505</v>
      </c>
      <c r="L405">
        <v>1</v>
      </c>
      <c r="M405">
        <v>0.25</v>
      </c>
      <c r="N405">
        <v>0</v>
      </c>
      <c r="O405">
        <v>0.25</v>
      </c>
      <c r="P405">
        <v>23.550437614496474</v>
      </c>
      <c r="Q405">
        <v>0.67520162475115553</v>
      </c>
      <c r="R405">
        <v>0.86249318450261669</v>
      </c>
      <c r="S405">
        <v>0.99483371347221727</v>
      </c>
      <c r="T405">
        <v>0.33210352614114363</v>
      </c>
      <c r="U405">
        <v>0.29144575544358553</v>
      </c>
      <c r="V405">
        <v>26.728471620085088</v>
      </c>
      <c r="W405">
        <v>0.47080110062369734</v>
      </c>
      <c r="X405">
        <v>0.2549001852104496</v>
      </c>
      <c r="Y405">
        <v>1.6516091431314526</v>
      </c>
      <c r="Z405">
        <v>0.11655322617085177</v>
      </c>
      <c r="AA405">
        <v>-2.7598238935063826</v>
      </c>
    </row>
    <row r="406" spans="1:27" x14ac:dyDescent="0.2">
      <c r="A406" s="7" t="s">
        <v>2300</v>
      </c>
      <c r="B406" t="s">
        <v>2001</v>
      </c>
      <c r="C406">
        <v>2022</v>
      </c>
      <c r="D406">
        <v>14.62</v>
      </c>
      <c r="E406">
        <v>7</v>
      </c>
      <c r="F406">
        <v>14.62</v>
      </c>
      <c r="G406">
        <v>1.2725</v>
      </c>
      <c r="H406">
        <v>1</v>
      </c>
      <c r="I406">
        <v>0.5</v>
      </c>
      <c r="J406">
        <v>0.53894736842105251</v>
      </c>
      <c r="K406">
        <v>0.37037037037037035</v>
      </c>
      <c r="L406">
        <v>1</v>
      </c>
      <c r="M406">
        <v>0.5</v>
      </c>
      <c r="N406">
        <v>0</v>
      </c>
      <c r="O406">
        <v>0</v>
      </c>
      <c r="P406">
        <v>23.251806124877628</v>
      </c>
      <c r="Q406">
        <v>0.83648439453873669</v>
      </c>
      <c r="R406">
        <v>-0.22160913374786206</v>
      </c>
      <c r="S406">
        <v>0.99395382484955896</v>
      </c>
      <c r="T406">
        <v>0.16398491023135289</v>
      </c>
      <c r="U406">
        <v>0.12120337463101936</v>
      </c>
      <c r="V406">
        <v>26.446015425173652</v>
      </c>
      <c r="W406">
        <v>0.32694780804393136</v>
      </c>
      <c r="X406">
        <v>0.13541912908000842</v>
      </c>
      <c r="Y406">
        <v>1.6257437606349079</v>
      </c>
      <c r="Z406">
        <v>0.11337262385621492</v>
      </c>
      <c r="AA406">
        <v>-3.1406383723261135</v>
      </c>
    </row>
    <row r="407" spans="1:27" x14ac:dyDescent="0.2">
      <c r="A407" s="7" t="s">
        <v>2300</v>
      </c>
      <c r="B407" t="s">
        <v>2003</v>
      </c>
      <c r="C407">
        <v>2021</v>
      </c>
      <c r="D407">
        <v>9.5</v>
      </c>
      <c r="E407">
        <v>7</v>
      </c>
      <c r="F407">
        <v>9.5</v>
      </c>
      <c r="G407">
        <v>0.13500000000000001</v>
      </c>
      <c r="H407">
        <v>1</v>
      </c>
      <c r="I407">
        <v>0.25</v>
      </c>
      <c r="J407">
        <v>-0.44735311227457819</v>
      </c>
      <c r="K407">
        <v>1.7500000000000004</v>
      </c>
      <c r="L407">
        <v>0</v>
      </c>
      <c r="M407">
        <v>0.25</v>
      </c>
      <c r="N407">
        <v>1</v>
      </c>
      <c r="O407">
        <v>0.25</v>
      </c>
      <c r="P407">
        <v>23.152167848216131</v>
      </c>
      <c r="Q407">
        <v>0.8682204258842241</v>
      </c>
      <c r="R407">
        <v>-0.16674126801557232</v>
      </c>
      <c r="S407">
        <v>0.99266247424967757</v>
      </c>
      <c r="T407">
        <v>0.1982252756664534</v>
      </c>
      <c r="U407">
        <v>0.23163197939843946</v>
      </c>
      <c r="V407">
        <v>26.752628695676936</v>
      </c>
      <c r="W407">
        <v>0.45222060798149183</v>
      </c>
      <c r="X407">
        <v>0.46918449728357597</v>
      </c>
      <c r="Y407">
        <v>1.011516116301991</v>
      </c>
      <c r="Z407">
        <v>0.13554332628985369</v>
      </c>
      <c r="AA407">
        <v>-2.1747321704070228</v>
      </c>
    </row>
    <row r="408" spans="1:27" x14ac:dyDescent="0.2">
      <c r="A408" s="7" t="s">
        <v>2300</v>
      </c>
      <c r="B408" t="s">
        <v>2005</v>
      </c>
      <c r="C408">
        <v>2020</v>
      </c>
      <c r="D408">
        <v>17.189999999999998</v>
      </c>
      <c r="E408">
        <v>7</v>
      </c>
      <c r="F408">
        <v>17.189999999999998</v>
      </c>
      <c r="G408">
        <v>1.6824999999999999</v>
      </c>
      <c r="H408">
        <v>1</v>
      </c>
      <c r="I408">
        <v>0.5</v>
      </c>
      <c r="J408">
        <v>1.3483606557377046</v>
      </c>
      <c r="K408">
        <v>1.1111111111111127E-2</v>
      </c>
      <c r="L408">
        <v>1</v>
      </c>
      <c r="M408">
        <v>0.25</v>
      </c>
      <c r="N408">
        <v>0</v>
      </c>
      <c r="O408">
        <v>0.25</v>
      </c>
      <c r="P408">
        <v>23.264399137914623</v>
      </c>
      <c r="Q408">
        <v>0.7224183552466199</v>
      </c>
      <c r="R408">
        <v>-0.58737020424244202</v>
      </c>
      <c r="S408">
        <v>0.99142405453934412</v>
      </c>
      <c r="T408">
        <v>0.1696063420541449</v>
      </c>
      <c r="U408">
        <v>0.6104778599478341</v>
      </c>
      <c r="V408">
        <v>26.302016868074581</v>
      </c>
      <c r="W408">
        <v>0.46953895381247501</v>
      </c>
      <c r="X408">
        <v>-0.13314954815625335</v>
      </c>
      <c r="Y408">
        <v>1.4501278407222185</v>
      </c>
      <c r="Z408">
        <v>2.0572193629564223E-2</v>
      </c>
      <c r="AA408">
        <v>0.5727644942178961</v>
      </c>
    </row>
    <row r="409" spans="1:27" x14ac:dyDescent="0.2">
      <c r="A409" s="7" t="s">
        <v>2300</v>
      </c>
      <c r="B409" t="s">
        <v>2007</v>
      </c>
      <c r="C409">
        <v>2019</v>
      </c>
      <c r="D409">
        <v>7.32</v>
      </c>
      <c r="E409">
        <v>7</v>
      </c>
      <c r="F409">
        <v>7.32</v>
      </c>
      <c r="G409">
        <v>0.33750000000000002</v>
      </c>
      <c r="H409">
        <v>1</v>
      </c>
      <c r="I409">
        <v>0.25</v>
      </c>
      <c r="J409">
        <v>-0.70376365843787936</v>
      </c>
      <c r="K409">
        <v>-0.236328125</v>
      </c>
      <c r="L409">
        <v>0</v>
      </c>
      <c r="M409">
        <v>0.25</v>
      </c>
      <c r="N409">
        <v>1</v>
      </c>
      <c r="O409">
        <v>0.25</v>
      </c>
      <c r="P409">
        <v>23.400206034649745</v>
      </c>
      <c r="Q409">
        <v>0.59039241612446969</v>
      </c>
      <c r="R409">
        <v>0.36384003365482909</v>
      </c>
      <c r="S409">
        <v>0.98939762173082091</v>
      </c>
      <c r="T409">
        <v>7.3537460389926687E-2</v>
      </c>
      <c r="U409">
        <v>1.28063733159547</v>
      </c>
      <c r="V409">
        <v>26.320635388501</v>
      </c>
      <c r="W409">
        <v>0.43824265256504269</v>
      </c>
      <c r="X409">
        <v>4.1825885529947482E-2</v>
      </c>
      <c r="Y409">
        <v>-3.7437258968558651</v>
      </c>
      <c r="Z409">
        <v>0.10107087887491074</v>
      </c>
      <c r="AA409">
        <v>122.36871397003094</v>
      </c>
    </row>
    <row r="410" spans="1:27" x14ac:dyDescent="0.2">
      <c r="A410" s="7" t="s">
        <v>2300</v>
      </c>
      <c r="B410" t="s">
        <v>2009</v>
      </c>
      <c r="C410">
        <v>2018</v>
      </c>
      <c r="D410">
        <v>24.71</v>
      </c>
      <c r="E410">
        <v>7</v>
      </c>
      <c r="F410">
        <v>24.71</v>
      </c>
      <c r="G410">
        <v>0.99249999999999994</v>
      </c>
      <c r="H410">
        <v>1</v>
      </c>
      <c r="I410">
        <v>0.5</v>
      </c>
      <c r="J410">
        <v>0.24358329139406137</v>
      </c>
      <c r="K410">
        <v>5.2498048399687719E-2</v>
      </c>
      <c r="L410">
        <v>1</v>
      </c>
      <c r="M410">
        <v>0.25</v>
      </c>
      <c r="N410">
        <v>0</v>
      </c>
      <c r="O410">
        <v>0.25</v>
      </c>
      <c r="P410">
        <v>23.221811879211966</v>
      </c>
      <c r="Q410">
        <v>0.61263865216295488</v>
      </c>
      <c r="R410">
        <v>1.1420426635898151</v>
      </c>
      <c r="S410">
        <v>0.98865576791932341</v>
      </c>
      <c r="T410">
        <v>0.32355380367904224</v>
      </c>
      <c r="U410">
        <v>0.930154361016854</v>
      </c>
      <c r="V410">
        <v>25.924098945138319</v>
      </c>
      <c r="W410">
        <v>0.5712225898482528</v>
      </c>
      <c r="X410">
        <v>0.18294348218592482</v>
      </c>
      <c r="Y410">
        <v>1.2782238503859331</v>
      </c>
      <c r="Z410">
        <v>6.4398180404089969E-2</v>
      </c>
      <c r="AA410">
        <v>6.7475770711754128</v>
      </c>
    </row>
    <row r="411" spans="1:27" x14ac:dyDescent="0.2">
      <c r="A411" s="7" t="s">
        <v>2300</v>
      </c>
      <c r="B411" t="s">
        <v>2011</v>
      </c>
      <c r="C411">
        <v>2017</v>
      </c>
      <c r="D411">
        <v>19.87</v>
      </c>
      <c r="E411">
        <v>7</v>
      </c>
      <c r="F411">
        <v>19.87</v>
      </c>
      <c r="G411">
        <v>3.2025000000000001</v>
      </c>
      <c r="H411">
        <v>1</v>
      </c>
      <c r="I411">
        <v>0.25</v>
      </c>
      <c r="J411">
        <v>0.68104906937394249</v>
      </c>
      <c r="K411">
        <v>-0.31679061784897022</v>
      </c>
      <c r="L411">
        <v>1</v>
      </c>
      <c r="M411">
        <v>0</v>
      </c>
      <c r="N411">
        <v>0</v>
      </c>
      <c r="O411">
        <v>0.5</v>
      </c>
      <c r="P411">
        <v>22.902579636310467</v>
      </c>
      <c r="Q411">
        <v>0.50645740533229988</v>
      </c>
      <c r="R411">
        <v>0.34354230764671922</v>
      </c>
      <c r="S411">
        <v>0.98492336446930562</v>
      </c>
      <c r="T411">
        <v>0.34178842813690252</v>
      </c>
      <c r="U411">
        <v>0.97170061290581589</v>
      </c>
      <c r="V411">
        <v>25.931649217743434</v>
      </c>
      <c r="W411">
        <v>0.52282918549929669</v>
      </c>
      <c r="X411">
        <v>1.4976131358497485E-2</v>
      </c>
      <c r="Y411">
        <v>0.32449683313137495</v>
      </c>
      <c r="Z411">
        <v>0.12123129389994387</v>
      </c>
      <c r="AA411">
        <v>6.3795212829798684</v>
      </c>
    </row>
    <row r="412" spans="1:27" x14ac:dyDescent="0.2">
      <c r="A412" s="7" t="s">
        <v>2303</v>
      </c>
      <c r="B412" t="s">
        <v>2017</v>
      </c>
      <c r="C412">
        <v>2024</v>
      </c>
      <c r="D412">
        <v>0.96</v>
      </c>
      <c r="E412">
        <v>7</v>
      </c>
      <c r="F412">
        <v>0.96</v>
      </c>
      <c r="G412">
        <v>15.247499999999999</v>
      </c>
      <c r="H412">
        <v>1</v>
      </c>
      <c r="I412">
        <v>0.5</v>
      </c>
      <c r="J412">
        <v>0.24675324675324667</v>
      </c>
      <c r="K412">
        <v>0.12977099236641221</v>
      </c>
      <c r="L412">
        <v>1</v>
      </c>
      <c r="M412">
        <v>0.5</v>
      </c>
      <c r="N412">
        <v>0</v>
      </c>
      <c r="O412">
        <v>0.25</v>
      </c>
      <c r="P412">
        <v>26.116711548586025</v>
      </c>
      <c r="Q412">
        <v>0.4672031278414257</v>
      </c>
      <c r="R412">
        <v>5.4444148069114684E-2</v>
      </c>
      <c r="S412">
        <v>0.98272297178903101</v>
      </c>
      <c r="T412">
        <v>0.18333713033741633</v>
      </c>
      <c r="U412">
        <v>0.2847380410022779</v>
      </c>
      <c r="V412">
        <v>26.228764169978842</v>
      </c>
      <c r="W412">
        <v>0.49746806578998715</v>
      </c>
      <c r="X412">
        <v>0.13932146439846405</v>
      </c>
      <c r="Y412">
        <v>1.4482319735699871</v>
      </c>
      <c r="Z412">
        <v>0.14506696542513417</v>
      </c>
      <c r="AA412">
        <v>-3.9546016491152303</v>
      </c>
    </row>
    <row r="413" spans="1:27" x14ac:dyDescent="0.2">
      <c r="A413" s="7" t="s">
        <v>2303</v>
      </c>
      <c r="B413" t="s">
        <v>2027</v>
      </c>
      <c r="C413">
        <v>2020</v>
      </c>
      <c r="D413">
        <v>0.06</v>
      </c>
      <c r="E413">
        <v>7</v>
      </c>
      <c r="F413">
        <v>0.06</v>
      </c>
      <c r="G413">
        <v>5.9649999999999999</v>
      </c>
      <c r="H413">
        <v>1</v>
      </c>
      <c r="I413">
        <v>0.5</v>
      </c>
      <c r="J413">
        <v>-0.95555555555555549</v>
      </c>
      <c r="K413">
        <v>0.58709016393442615</v>
      </c>
      <c r="L413">
        <v>0</v>
      </c>
      <c r="M413">
        <v>0.5</v>
      </c>
      <c r="N413">
        <v>1</v>
      </c>
      <c r="O413">
        <v>0</v>
      </c>
      <c r="P413">
        <v>25.784897833405779</v>
      </c>
      <c r="Q413">
        <v>0.50265971577178925</v>
      </c>
      <c r="R413">
        <v>-0.18440824835860226</v>
      </c>
      <c r="S413">
        <v>1.6194417652235427</v>
      </c>
      <c r="T413">
        <v>2.7524625796026013E-2</v>
      </c>
      <c r="U413">
        <v>0.96258239540626223</v>
      </c>
      <c r="V413">
        <v>25.671892194201792</v>
      </c>
      <c r="W413">
        <v>0.52447861368118276</v>
      </c>
      <c r="X413">
        <v>-0.23389003712721329</v>
      </c>
      <c r="Y413">
        <v>1.2407886038274856</v>
      </c>
      <c r="Z413">
        <v>5.6092622694093944E-2</v>
      </c>
      <c r="AA413">
        <v>0.4847383603532891</v>
      </c>
    </row>
    <row r="414" spans="1:27" x14ac:dyDescent="0.2">
      <c r="A414" s="7" t="s">
        <v>2303</v>
      </c>
      <c r="B414" t="s">
        <v>2031</v>
      </c>
      <c r="C414">
        <v>2019</v>
      </c>
      <c r="D414">
        <v>1.35</v>
      </c>
      <c r="E414">
        <v>7</v>
      </c>
      <c r="F414">
        <v>1.35</v>
      </c>
      <c r="G414">
        <v>1.83</v>
      </c>
      <c r="H414">
        <v>1</v>
      </c>
      <c r="I414">
        <v>0.25</v>
      </c>
      <c r="J414">
        <v>5.4687500000000049E-2</v>
      </c>
      <c r="K414">
        <v>-0.42594091460946981</v>
      </c>
      <c r="L414">
        <v>1</v>
      </c>
      <c r="M414">
        <v>0</v>
      </c>
      <c r="N414">
        <v>0</v>
      </c>
      <c r="O414">
        <v>0.5</v>
      </c>
      <c r="P414">
        <v>25.995399684722415</v>
      </c>
      <c r="Q414">
        <v>0.41615772575295251</v>
      </c>
      <c r="R414">
        <v>-6.2801206335265314E-2</v>
      </c>
      <c r="S414">
        <v>1.264551151814838</v>
      </c>
      <c r="T414">
        <v>0.38125035829401982</v>
      </c>
      <c r="U414">
        <v>0.82331937707800085</v>
      </c>
      <c r="V414">
        <v>25.671836975982831</v>
      </c>
      <c r="W414">
        <v>0.48180132515792196</v>
      </c>
      <c r="X414">
        <v>0.14848619552747108</v>
      </c>
      <c r="Y414">
        <v>-3.8354437402172046</v>
      </c>
      <c r="Z414">
        <v>2.4142654398887468E-2</v>
      </c>
      <c r="AA414">
        <v>122.4830434586603</v>
      </c>
    </row>
    <row r="415" spans="1:27" x14ac:dyDescent="0.2">
      <c r="A415" s="7" t="s">
        <v>2303</v>
      </c>
      <c r="B415" t="s">
        <v>2035</v>
      </c>
      <c r="C415">
        <v>2018</v>
      </c>
      <c r="D415">
        <v>1.28</v>
      </c>
      <c r="E415">
        <v>7</v>
      </c>
      <c r="F415">
        <v>1.28</v>
      </c>
      <c r="G415">
        <v>6.8500000000000005</v>
      </c>
      <c r="H415">
        <v>1</v>
      </c>
      <c r="I415">
        <v>0.5</v>
      </c>
      <c r="J415">
        <v>1</v>
      </c>
      <c r="K415">
        <v>-0.13660612875179695</v>
      </c>
      <c r="L415">
        <v>1</v>
      </c>
      <c r="M415">
        <v>0.25</v>
      </c>
      <c r="N415">
        <v>0</v>
      </c>
      <c r="O415">
        <v>0.25</v>
      </c>
      <c r="P415">
        <v>25.553761048301972</v>
      </c>
      <c r="Q415">
        <v>0.55064388236474959</v>
      </c>
      <c r="R415">
        <v>0.139746083887758</v>
      </c>
      <c r="S415">
        <v>1.7681488079300118</v>
      </c>
      <c r="T415">
        <v>0.13263351471571716</v>
      </c>
      <c r="U415">
        <v>1.7221162725886743</v>
      </c>
      <c r="V415">
        <v>25.34111165286582</v>
      </c>
      <c r="W415">
        <v>0.58672128229780418</v>
      </c>
      <c r="X415">
        <v>0.4335176271114391</v>
      </c>
      <c r="Y415">
        <v>1.0183928370490369</v>
      </c>
      <c r="Z415">
        <v>0.11212825264492124</v>
      </c>
      <c r="AA415">
        <v>6.5495865932824575</v>
      </c>
    </row>
    <row r="416" spans="1:27" x14ac:dyDescent="0.2">
      <c r="A416" s="7" t="s">
        <v>2303</v>
      </c>
      <c r="B416" t="s">
        <v>2039</v>
      </c>
      <c r="C416">
        <v>2017</v>
      </c>
      <c r="D416">
        <v>0</v>
      </c>
      <c r="E416">
        <v>7</v>
      </c>
      <c r="F416">
        <v>0</v>
      </c>
      <c r="G416">
        <v>8.17</v>
      </c>
      <c r="H416">
        <v>0</v>
      </c>
      <c r="I416">
        <v>0.5</v>
      </c>
      <c r="J416">
        <v>-1</v>
      </c>
      <c r="K416">
        <v>0.10347164949451537</v>
      </c>
      <c r="L416">
        <v>0</v>
      </c>
      <c r="M416">
        <v>0.25</v>
      </c>
      <c r="N416">
        <v>1</v>
      </c>
      <c r="O416">
        <v>0.25</v>
      </c>
      <c r="P416">
        <v>25.582299364196274</v>
      </c>
      <c r="Q416">
        <v>0.57911777652214469</v>
      </c>
      <c r="R416">
        <v>-9.570189631116921E-2</v>
      </c>
      <c r="S416">
        <v>1.5012609740576672</v>
      </c>
      <c r="T416">
        <v>0.19595439161262446</v>
      </c>
      <c r="U416">
        <v>1.7313686603772418</v>
      </c>
      <c r="V416">
        <v>25.261719285771981</v>
      </c>
      <c r="W416">
        <v>0.50466409270183554</v>
      </c>
      <c r="X416">
        <v>0.12478718234796959</v>
      </c>
      <c r="Y416">
        <v>0.1523842966019211</v>
      </c>
      <c r="Z416">
        <v>0.15768980303101338</v>
      </c>
      <c r="AA416">
        <v>6.1896042711120121</v>
      </c>
    </row>
    <row r="417" spans="1:27" x14ac:dyDescent="0.2">
      <c r="A417" s="7" t="s">
        <v>2324</v>
      </c>
      <c r="B417" t="s">
        <v>2066</v>
      </c>
      <c r="C417">
        <v>2024</v>
      </c>
      <c r="D417">
        <v>0</v>
      </c>
      <c r="E417">
        <v>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-0.33333333333333331</v>
      </c>
      <c r="L417">
        <v>0</v>
      </c>
      <c r="M417">
        <v>0</v>
      </c>
      <c r="N417">
        <v>0</v>
      </c>
      <c r="O417">
        <v>0.33333333333333331</v>
      </c>
      <c r="P417">
        <v>26.497525414406446</v>
      </c>
      <c r="Q417">
        <v>2.2550061197989475E-2</v>
      </c>
      <c r="R417">
        <v>0.47476658670360727</v>
      </c>
      <c r="S417">
        <v>0.58052018214092771</v>
      </c>
      <c r="T417">
        <v>-2.374733168812479E-2</v>
      </c>
      <c r="U417">
        <v>3.9688353785598518</v>
      </c>
      <c r="V417">
        <v>27.557876720477079</v>
      </c>
      <c r="W417">
        <v>5.1159814043502533E-2</v>
      </c>
      <c r="X417">
        <v>0.16478565098143613</v>
      </c>
      <c r="Y417">
        <v>0.71559844921298232</v>
      </c>
      <c r="Z417">
        <v>2.8291145687074401E-2</v>
      </c>
      <c r="AA417">
        <v>7.7158970042537298</v>
      </c>
    </row>
    <row r="418" spans="1:27" x14ac:dyDescent="0.2">
      <c r="A418" s="7" t="s">
        <v>2324</v>
      </c>
      <c r="B418" t="s">
        <v>2068</v>
      </c>
      <c r="C418">
        <v>2023</v>
      </c>
      <c r="D418">
        <v>0</v>
      </c>
      <c r="E418">
        <v>8</v>
      </c>
      <c r="F418">
        <v>0</v>
      </c>
      <c r="G418">
        <v>33.333333333333336</v>
      </c>
      <c r="H418">
        <v>0</v>
      </c>
      <c r="I418">
        <v>0.33333333333333331</v>
      </c>
      <c r="J418">
        <v>0</v>
      </c>
      <c r="K418">
        <v>-0.23931623931623933</v>
      </c>
      <c r="L418">
        <v>0</v>
      </c>
      <c r="M418">
        <v>0.33333333333333331</v>
      </c>
      <c r="N418">
        <v>0</v>
      </c>
      <c r="O418">
        <v>0.33333333333333331</v>
      </c>
      <c r="P418">
        <v>26.285450184471557</v>
      </c>
      <c r="Q418">
        <v>2.3748900691652169E-2</v>
      </c>
      <c r="R418">
        <v>0.10222702219573954</v>
      </c>
      <c r="S418">
        <v>0.62804869447461598</v>
      </c>
      <c r="T418">
        <v>-1.3256339047589077E-2</v>
      </c>
      <c r="U418">
        <v>2.6731178852040456</v>
      </c>
      <c r="V418">
        <v>27.402665406688897</v>
      </c>
      <c r="W418">
        <v>4.2212225997471674E-2</v>
      </c>
      <c r="X418">
        <v>0.58564332801649932</v>
      </c>
      <c r="Y418">
        <v>0.67459032571709254</v>
      </c>
      <c r="Z418">
        <v>5.4365337862660901E-2</v>
      </c>
      <c r="AA418">
        <v>8.51954042375651</v>
      </c>
    </row>
    <row r="419" spans="1:27" x14ac:dyDescent="0.2">
      <c r="A419" s="7" t="s">
        <v>2324</v>
      </c>
      <c r="B419" t="s">
        <v>2070</v>
      </c>
      <c r="C419">
        <v>2022</v>
      </c>
      <c r="D419">
        <v>0</v>
      </c>
      <c r="E419">
        <v>8</v>
      </c>
      <c r="F419">
        <v>0</v>
      </c>
      <c r="G419">
        <v>53.333333333333336</v>
      </c>
      <c r="H419">
        <v>0</v>
      </c>
      <c r="I419">
        <v>0.66666666666666663</v>
      </c>
      <c r="J419">
        <v>0</v>
      </c>
      <c r="K419">
        <v>0.33333333333333331</v>
      </c>
      <c r="L419">
        <v>0</v>
      </c>
      <c r="M419">
        <v>0.66666666666666663</v>
      </c>
      <c r="N419">
        <v>0</v>
      </c>
      <c r="O419">
        <v>0.33333333333333331</v>
      </c>
      <c r="P419">
        <v>26.236876018263946</v>
      </c>
      <c r="Q419">
        <v>1.8266846741518676E-2</v>
      </c>
      <c r="R419">
        <v>-7.5535357708462425E-2</v>
      </c>
      <c r="S419">
        <v>0.64458342881020092</v>
      </c>
      <c r="T419">
        <v>5.5306576935102721E-2</v>
      </c>
      <c r="U419">
        <v>2.3434201835851676</v>
      </c>
      <c r="V419">
        <v>26.746678230244356</v>
      </c>
      <c r="W419">
        <v>3.9395628383796184E-2</v>
      </c>
      <c r="X419">
        <v>0.46076280842673423</v>
      </c>
      <c r="Y419">
        <v>0.66200017508434295</v>
      </c>
      <c r="Z419">
        <v>4.2238859273166812E-2</v>
      </c>
      <c r="AA419">
        <v>8.7103704289901849</v>
      </c>
    </row>
    <row r="420" spans="1:27" x14ac:dyDescent="0.2">
      <c r="A420" s="7" t="s">
        <v>2324</v>
      </c>
      <c r="B420" t="s">
        <v>2072</v>
      </c>
      <c r="C420">
        <v>2021</v>
      </c>
      <c r="D420">
        <v>0</v>
      </c>
      <c r="E420">
        <v>8</v>
      </c>
      <c r="F420">
        <v>0</v>
      </c>
      <c r="G420">
        <v>21.306666666666668</v>
      </c>
      <c r="H420">
        <v>0</v>
      </c>
      <c r="I420">
        <v>0.66666666666666663</v>
      </c>
      <c r="J420">
        <v>0</v>
      </c>
      <c r="K420">
        <v>-0.49771487542385379</v>
      </c>
      <c r="L420">
        <v>0</v>
      </c>
      <c r="M420">
        <v>0</v>
      </c>
      <c r="N420">
        <v>0</v>
      </c>
      <c r="O420">
        <v>0.66666666666666663</v>
      </c>
      <c r="P420">
        <v>26.126384562853524</v>
      </c>
      <c r="Q420">
        <v>1.823519347315149E-2</v>
      </c>
      <c r="R420">
        <v>0.1078507405759328</v>
      </c>
      <c r="S420">
        <v>0.57027379400260758</v>
      </c>
      <c r="T420">
        <v>1.471793880332928E-2</v>
      </c>
      <c r="U420">
        <v>2.6195893089960887</v>
      </c>
      <c r="V420">
        <v>26.775072487849553</v>
      </c>
      <c r="W420">
        <v>3.6971105668930651E-2</v>
      </c>
      <c r="X420">
        <v>0.31141782071639662</v>
      </c>
      <c r="Y420">
        <v>0.66560172311950816</v>
      </c>
      <c r="Z420">
        <v>7.6086144327216568E-2</v>
      </c>
      <c r="AA420">
        <v>5.8194415159028852</v>
      </c>
    </row>
    <row r="421" spans="1:27" x14ac:dyDescent="0.2">
      <c r="A421" s="7" t="s">
        <v>2324</v>
      </c>
      <c r="B421" t="s">
        <v>2074</v>
      </c>
      <c r="C421">
        <v>2020</v>
      </c>
      <c r="D421">
        <v>0</v>
      </c>
      <c r="E421">
        <v>8</v>
      </c>
      <c r="F421">
        <v>0</v>
      </c>
      <c r="G421">
        <v>48.406666666666666</v>
      </c>
      <c r="H421">
        <v>0</v>
      </c>
      <c r="I421">
        <v>1</v>
      </c>
      <c r="J421">
        <v>0</v>
      </c>
      <c r="K421">
        <v>0.98888888888888893</v>
      </c>
      <c r="L421">
        <v>0</v>
      </c>
      <c r="M421">
        <v>1</v>
      </c>
      <c r="N421">
        <v>0</v>
      </c>
      <c r="O421">
        <v>0</v>
      </c>
      <c r="P421">
        <v>25.95179894751681</v>
      </c>
      <c r="Q421">
        <v>1.8807735404972149E-2</v>
      </c>
      <c r="R421">
        <v>-6.7295150005929116E-2</v>
      </c>
      <c r="S421">
        <v>0.69676737219274376</v>
      </c>
      <c r="T421">
        <v>1.1378656077884554E-2</v>
      </c>
      <c r="U421">
        <v>2.6520079102461183</v>
      </c>
      <c r="V421">
        <v>26.284320282031803</v>
      </c>
      <c r="W421">
        <v>4.7179029311258995E-2</v>
      </c>
      <c r="X421">
        <v>0.2000985346673565</v>
      </c>
      <c r="Y421">
        <v>0.65330727410681666</v>
      </c>
      <c r="Z421">
        <v>8.3152930194395569E-2</v>
      </c>
      <c r="AA421">
        <v>4.3377171718408958</v>
      </c>
    </row>
    <row r="422" spans="1:27" x14ac:dyDescent="0.2">
      <c r="A422" s="7" t="s">
        <v>2324</v>
      </c>
      <c r="B422" t="s">
        <v>2076</v>
      </c>
      <c r="C422">
        <v>2019</v>
      </c>
      <c r="D422">
        <v>0</v>
      </c>
      <c r="E422">
        <v>8</v>
      </c>
      <c r="F422">
        <v>0</v>
      </c>
      <c r="G422">
        <v>10</v>
      </c>
      <c r="H422">
        <v>0</v>
      </c>
      <c r="I422">
        <v>0.33333333333333331</v>
      </c>
      <c r="J422">
        <v>0</v>
      </c>
      <c r="K422">
        <v>-0.53846153846153844</v>
      </c>
      <c r="L422">
        <v>0</v>
      </c>
      <c r="M422">
        <v>0</v>
      </c>
      <c r="N422">
        <v>0</v>
      </c>
      <c r="O422">
        <v>0.66666666666666663</v>
      </c>
      <c r="P422">
        <v>25.866939068604932</v>
      </c>
      <c r="Q422">
        <v>2.0782752824726865E-2</v>
      </c>
      <c r="R422">
        <v>0.16595462275498774</v>
      </c>
      <c r="S422">
        <v>0.70543594035301282</v>
      </c>
      <c r="T422">
        <v>1.2321348723978603E-3</v>
      </c>
      <c r="U422">
        <v>2.2589774802191114</v>
      </c>
      <c r="V422">
        <v>26.089418646014039</v>
      </c>
      <c r="W422">
        <v>5.6408479065261675E-2</v>
      </c>
      <c r="X422">
        <v>7.2461515181666478E-2</v>
      </c>
      <c r="Y422">
        <v>0.58031186314283467</v>
      </c>
      <c r="Z422">
        <v>5.0094245217913592E-2</v>
      </c>
      <c r="AA422">
        <v>6.1286716507772541</v>
      </c>
    </row>
    <row r="423" spans="1:27" x14ac:dyDescent="0.2">
      <c r="A423" s="7" t="s">
        <v>2324</v>
      </c>
      <c r="B423" t="s">
        <v>2078</v>
      </c>
      <c r="C423">
        <v>2018</v>
      </c>
      <c r="D423">
        <v>0</v>
      </c>
      <c r="E423">
        <v>8</v>
      </c>
      <c r="F423">
        <v>0</v>
      </c>
      <c r="G423">
        <v>41.14</v>
      </c>
      <c r="H423">
        <v>0</v>
      </c>
      <c r="I423">
        <v>0.66666666666666663</v>
      </c>
      <c r="J423">
        <v>0</v>
      </c>
      <c r="K423">
        <v>0.33333333333333331</v>
      </c>
      <c r="L423">
        <v>0</v>
      </c>
      <c r="M423">
        <v>0.33333333333333331</v>
      </c>
      <c r="N423">
        <v>0</v>
      </c>
      <c r="O423">
        <v>0</v>
      </c>
      <c r="P423">
        <v>25.595182977064152</v>
      </c>
      <c r="Q423">
        <v>2.4469445742163268E-2</v>
      </c>
      <c r="R423">
        <v>2.3809186778965152E-2</v>
      </c>
      <c r="S423">
        <v>0.74234812695455454</v>
      </c>
      <c r="T423">
        <v>2.7884122629849578E-4</v>
      </c>
      <c r="U423">
        <v>1.1719841639496973</v>
      </c>
      <c r="V423">
        <v>25.910923030067107</v>
      </c>
      <c r="W423">
        <v>5.6336105241738758E-2</v>
      </c>
      <c r="X423">
        <v>0.12827356785371927</v>
      </c>
      <c r="Y423">
        <v>0.58600670206875471</v>
      </c>
      <c r="Z423">
        <v>5.9328540582473187E-2</v>
      </c>
      <c r="AA423">
        <v>5.0944657491945513</v>
      </c>
    </row>
    <row r="424" spans="1:27" x14ac:dyDescent="0.2">
      <c r="A424" s="7" t="s">
        <v>2309</v>
      </c>
      <c r="B424" t="s">
        <v>2112</v>
      </c>
      <c r="C424">
        <v>2024</v>
      </c>
      <c r="D424">
        <v>0</v>
      </c>
      <c r="E424">
        <v>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-0.33333333333333331</v>
      </c>
      <c r="L424">
        <v>0</v>
      </c>
      <c r="M424">
        <v>0</v>
      </c>
      <c r="N424">
        <v>0</v>
      </c>
      <c r="O424">
        <v>0.33333333333333331</v>
      </c>
      <c r="P424">
        <v>28.051407019920617</v>
      </c>
      <c r="Q424">
        <v>4.2932608408662053E-2</v>
      </c>
      <c r="R424">
        <v>0.15339508229492904</v>
      </c>
      <c r="S424">
        <v>0.97192378790929224</v>
      </c>
      <c r="T424">
        <v>1.94768509412124E-2</v>
      </c>
      <c r="U424">
        <v>2.9809469773230592</v>
      </c>
      <c r="V424">
        <v>27.039916185305685</v>
      </c>
      <c r="W424">
        <v>4.4365631639945009E-2</v>
      </c>
      <c r="X424">
        <v>0.27190948578432889</v>
      </c>
      <c r="Y424">
        <v>0.58513058062352741</v>
      </c>
      <c r="Z424">
        <v>1.388308481062867E-2</v>
      </c>
      <c r="AA424">
        <v>8.0451931379993269</v>
      </c>
    </row>
    <row r="425" spans="1:27" x14ac:dyDescent="0.2">
      <c r="A425" s="7" t="s">
        <v>2309</v>
      </c>
      <c r="B425" t="s">
        <v>2116</v>
      </c>
      <c r="C425">
        <v>2021</v>
      </c>
      <c r="D425">
        <v>22.92</v>
      </c>
      <c r="E425">
        <v>8</v>
      </c>
      <c r="F425">
        <v>22.92</v>
      </c>
      <c r="G425">
        <v>13.666666666666666</v>
      </c>
      <c r="H425">
        <v>1</v>
      </c>
      <c r="I425">
        <v>0.33333333333333331</v>
      </c>
      <c r="J425">
        <v>-0.49314462627156119</v>
      </c>
      <c r="K425">
        <v>-0.33333333333333331</v>
      </c>
      <c r="L425">
        <v>0</v>
      </c>
      <c r="M425">
        <v>0</v>
      </c>
      <c r="N425">
        <v>1</v>
      </c>
      <c r="O425">
        <v>0.33333333333333331</v>
      </c>
      <c r="P425">
        <v>27.690564683027606</v>
      </c>
      <c r="Q425">
        <v>2.8067031484370879E-2</v>
      </c>
      <c r="R425">
        <v>0.28315634691617508</v>
      </c>
      <c r="S425">
        <v>0.84644550492018877</v>
      </c>
      <c r="T425">
        <v>0.1211407119801656</v>
      </c>
      <c r="U425">
        <v>3.0813225098153825</v>
      </c>
      <c r="V425">
        <v>26.253679114458194</v>
      </c>
      <c r="W425">
        <v>3.3693826331857517E-2</v>
      </c>
      <c r="X425">
        <v>0.25298261860298249</v>
      </c>
      <c r="Y425">
        <v>0.57354448614698106</v>
      </c>
      <c r="Z425">
        <v>4.0611886601604467E-2</v>
      </c>
      <c r="AA425">
        <v>5.6655304489631204</v>
      </c>
    </row>
    <row r="426" spans="1:27" x14ac:dyDescent="0.2">
      <c r="A426" s="7" t="s">
        <v>2309</v>
      </c>
      <c r="B426" t="s">
        <v>2118</v>
      </c>
      <c r="C426">
        <v>2020</v>
      </c>
      <c r="D426">
        <v>45.22</v>
      </c>
      <c r="E426">
        <v>8</v>
      </c>
      <c r="F426">
        <v>45.22</v>
      </c>
      <c r="G426">
        <v>33.333333333333336</v>
      </c>
      <c r="H426">
        <v>1</v>
      </c>
      <c r="I426">
        <v>0.66666666666666663</v>
      </c>
      <c r="J426">
        <v>1</v>
      </c>
      <c r="K426">
        <v>0.65555555555555556</v>
      </c>
      <c r="L426">
        <v>1</v>
      </c>
      <c r="M426">
        <v>0.66666666666666663</v>
      </c>
      <c r="N426">
        <v>0</v>
      </c>
      <c r="O426">
        <v>0</v>
      </c>
      <c r="P426">
        <v>27.198402670127823</v>
      </c>
      <c r="Q426">
        <v>5.47866240860162E-2</v>
      </c>
      <c r="R426">
        <v>0.35464571418390434</v>
      </c>
      <c r="S426">
        <v>0.80819588505356232</v>
      </c>
      <c r="T426">
        <v>0.15434002699830748</v>
      </c>
      <c r="U426">
        <v>2.5587978783507301</v>
      </c>
      <c r="V426">
        <v>25.868785707828135</v>
      </c>
      <c r="W426">
        <v>3.5186066417577648E-2</v>
      </c>
      <c r="X426">
        <v>5.9451579937412014E-2</v>
      </c>
      <c r="Y426">
        <v>0.61616443648654384</v>
      </c>
      <c r="Z426">
        <v>3.5499139887587926E-2</v>
      </c>
      <c r="AA426">
        <v>4.3687871824726923</v>
      </c>
    </row>
    <row r="427" spans="1:27" x14ac:dyDescent="0.2">
      <c r="A427" s="7" t="s">
        <v>2309</v>
      </c>
      <c r="B427" t="s">
        <v>2120</v>
      </c>
      <c r="C427">
        <v>2019</v>
      </c>
      <c r="D427">
        <v>0</v>
      </c>
      <c r="E427">
        <v>8</v>
      </c>
      <c r="F427">
        <v>0</v>
      </c>
      <c r="G427">
        <v>10</v>
      </c>
      <c r="H427">
        <v>0</v>
      </c>
      <c r="I427">
        <v>0.33333333333333331</v>
      </c>
      <c r="J427">
        <v>-1</v>
      </c>
      <c r="K427">
        <v>-0.20512820512820515</v>
      </c>
      <c r="L427">
        <v>0</v>
      </c>
      <c r="M427">
        <v>0</v>
      </c>
      <c r="N427">
        <v>1</v>
      </c>
      <c r="O427">
        <v>0.33333333333333331</v>
      </c>
      <c r="P427">
        <v>26.88025117844397</v>
      </c>
      <c r="Q427">
        <v>7.2993180128092403E-2</v>
      </c>
      <c r="R427">
        <v>0.14192067774264827</v>
      </c>
      <c r="S427">
        <v>0.68876033657333524</v>
      </c>
      <c r="T427">
        <v>0.10956724907586864</v>
      </c>
      <c r="U427">
        <v>3.2797312490932828</v>
      </c>
      <c r="V427">
        <v>25.751647942734362</v>
      </c>
      <c r="W427">
        <v>3.9005003297473168E-2</v>
      </c>
      <c r="X427">
        <v>8.0472830185779623E-2</v>
      </c>
      <c r="Y427">
        <v>0.58587039773606053</v>
      </c>
      <c r="Z427">
        <v>1.3982540483423338E-2</v>
      </c>
      <c r="AA427">
        <v>5.7884203944858639</v>
      </c>
    </row>
    <row r="428" spans="1:27" x14ac:dyDescent="0.2">
      <c r="A428" s="7" t="s">
        <v>2309</v>
      </c>
      <c r="B428" t="s">
        <v>2122</v>
      </c>
      <c r="C428">
        <v>2018</v>
      </c>
      <c r="D428">
        <v>45.42</v>
      </c>
      <c r="E428">
        <v>8</v>
      </c>
      <c r="F428">
        <v>45.42</v>
      </c>
      <c r="G428">
        <v>26</v>
      </c>
      <c r="H428">
        <v>1</v>
      </c>
      <c r="I428">
        <v>0.33333333333333331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26.585398731591049</v>
      </c>
      <c r="Q428">
        <v>7.4512124686675785E-2</v>
      </c>
      <c r="R428">
        <v>0.40325122477645681</v>
      </c>
      <c r="S428">
        <v>0.49108858605565414</v>
      </c>
      <c r="T428">
        <v>5.825170867019068E-2</v>
      </c>
      <c r="U428">
        <v>4.1557553798536038</v>
      </c>
      <c r="V428">
        <v>25.580851111891473</v>
      </c>
      <c r="W428">
        <v>3.9655212260234586E-2</v>
      </c>
      <c r="X428">
        <v>1.792888521222058E-3</v>
      </c>
      <c r="Y428">
        <v>0.66975988236838813</v>
      </c>
      <c r="Z428">
        <v>4.0004251434509121E-2</v>
      </c>
      <c r="AA428">
        <v>4.0998753438932489</v>
      </c>
    </row>
    <row r="429" spans="1:27" x14ac:dyDescent="0.2">
      <c r="A429" s="7" t="s">
        <v>2309</v>
      </c>
      <c r="B429" t="s">
        <v>2124</v>
      </c>
      <c r="C429">
        <v>2017</v>
      </c>
      <c r="D429">
        <v>0</v>
      </c>
      <c r="E429">
        <v>8</v>
      </c>
      <c r="F429">
        <v>0</v>
      </c>
      <c r="G429">
        <v>26</v>
      </c>
      <c r="H429">
        <v>0</v>
      </c>
      <c r="I429">
        <v>0.33333333333333331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26.658657263423599</v>
      </c>
      <c r="Q429">
        <v>6.2201867854083152E-2</v>
      </c>
      <c r="R429">
        <v>1.9145282076884671</v>
      </c>
      <c r="S429">
        <v>0.40585595212652276</v>
      </c>
      <c r="T429">
        <v>6.9433116932546028E-3</v>
      </c>
      <c r="U429">
        <v>5.7355560304908453</v>
      </c>
      <c r="V429">
        <v>25.496716708439738</v>
      </c>
      <c r="W429">
        <v>4.6953865205004719E-2</v>
      </c>
      <c r="X429">
        <v>0.55037169842008871</v>
      </c>
      <c r="Y429">
        <v>0.61010283838771551</v>
      </c>
      <c r="Z429">
        <v>7.2692560837621212E-2</v>
      </c>
      <c r="AA429">
        <v>5.0288849383675593</v>
      </c>
    </row>
    <row r="430" spans="1:27" x14ac:dyDescent="0.2">
      <c r="A430" s="7" t="s">
        <v>2309</v>
      </c>
      <c r="B430" t="s">
        <v>2126</v>
      </c>
      <c r="C430">
        <v>2016</v>
      </c>
      <c r="D430">
        <v>0</v>
      </c>
      <c r="E430">
        <v>8</v>
      </c>
      <c r="F430">
        <v>0</v>
      </c>
      <c r="G430">
        <v>26</v>
      </c>
      <c r="H430">
        <v>0</v>
      </c>
      <c r="I430">
        <v>0.33333333333333331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26.602356442834171</v>
      </c>
      <c r="Q430">
        <v>6.483087354958543E-2</v>
      </c>
      <c r="R430">
        <v>0.17519361652194321</v>
      </c>
      <c r="S430">
        <v>0.4050344490858786</v>
      </c>
      <c r="T430">
        <v>8.8175290668240744E-2</v>
      </c>
      <c r="U430">
        <v>5.4645653628456214</v>
      </c>
      <c r="V430">
        <v>25.248750197363044</v>
      </c>
      <c r="W430">
        <v>6.3625847098099611E-2</v>
      </c>
      <c r="X430">
        <v>0.12946681512320501</v>
      </c>
      <c r="Y430">
        <v>0.42287486348354142</v>
      </c>
      <c r="Z430">
        <v>4.077866257615545E-2</v>
      </c>
      <c r="AA430">
        <v>7.0950757303801932</v>
      </c>
    </row>
    <row r="431" spans="1:27" x14ac:dyDescent="0.2">
      <c r="A431" s="7" t="s">
        <v>2309</v>
      </c>
      <c r="B431" t="s">
        <v>2128</v>
      </c>
      <c r="C431">
        <v>2015</v>
      </c>
      <c r="D431">
        <v>0</v>
      </c>
      <c r="E431">
        <v>8</v>
      </c>
      <c r="F431">
        <v>0</v>
      </c>
      <c r="G431">
        <v>26</v>
      </c>
      <c r="H431">
        <v>0</v>
      </c>
      <c r="I431">
        <v>0.33333333333333331</v>
      </c>
      <c r="J431">
        <v>-1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25.393333854512345</v>
      </c>
      <c r="Q431">
        <v>7.2648891804507759E-2</v>
      </c>
      <c r="R431">
        <v>-0.16532810969637612</v>
      </c>
      <c r="S431">
        <v>-2.6445170549974042E-2</v>
      </c>
      <c r="T431">
        <v>0.11243635006604372</v>
      </c>
      <c r="U431">
        <v>2.258466424405289</v>
      </c>
      <c r="V431">
        <v>26.043255126685558</v>
      </c>
      <c r="W431">
        <v>0.14199169002871503</v>
      </c>
      <c r="X431">
        <v>-5.9740061139064382E-2</v>
      </c>
      <c r="Y431">
        <v>0.37543060012685225</v>
      </c>
      <c r="Z431">
        <v>5.2782105216432063E-2</v>
      </c>
      <c r="AA431">
        <v>2.0058757928523696</v>
      </c>
    </row>
    <row r="432" spans="1:27" x14ac:dyDescent="0.2">
      <c r="A432" s="7" t="s">
        <v>2309</v>
      </c>
      <c r="B432" t="s">
        <v>2130</v>
      </c>
      <c r="C432">
        <v>2014</v>
      </c>
      <c r="D432">
        <v>4.16</v>
      </c>
      <c r="E432">
        <v>8</v>
      </c>
      <c r="F432">
        <v>4.16</v>
      </c>
      <c r="G432">
        <v>26</v>
      </c>
      <c r="H432">
        <v>1</v>
      </c>
      <c r="I432">
        <v>0.33333333333333331</v>
      </c>
      <c r="J432">
        <v>1</v>
      </c>
      <c r="K432">
        <v>0.31666666666666665</v>
      </c>
      <c r="L432">
        <v>1</v>
      </c>
      <c r="M432">
        <v>0.33333333333333331</v>
      </c>
      <c r="N432">
        <v>0</v>
      </c>
      <c r="O432">
        <v>0</v>
      </c>
      <c r="P432">
        <v>25.297440589231982</v>
      </c>
      <c r="Q432">
        <v>8.8645459421545572E-2</v>
      </c>
      <c r="R432">
        <v>-2.0513886446125063E-2</v>
      </c>
      <c r="S432">
        <v>-0.56575798808239108</v>
      </c>
      <c r="T432">
        <v>3.5409633997730873E-2</v>
      </c>
      <c r="U432">
        <v>3.5487730493126262</v>
      </c>
      <c r="V432">
        <v>26.016578948068734</v>
      </c>
      <c r="W432">
        <v>0.14115663433522604</v>
      </c>
      <c r="X432">
        <v>0.41384816821299331</v>
      </c>
      <c r="Y432">
        <v>0.34809252409946667</v>
      </c>
      <c r="Z432">
        <v>5.1928037914041304E-2</v>
      </c>
      <c r="AA432">
        <v>2.0230589429781221</v>
      </c>
    </row>
    <row r="433" spans="1:27" x14ac:dyDescent="0.2">
      <c r="A433" s="7" t="s">
        <v>2311</v>
      </c>
      <c r="B433" t="s">
        <v>2139</v>
      </c>
      <c r="C433">
        <v>2024</v>
      </c>
      <c r="D433">
        <v>0</v>
      </c>
      <c r="E433">
        <v>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-0.33333333333333331</v>
      </c>
      <c r="L433">
        <v>0</v>
      </c>
      <c r="M433">
        <v>0</v>
      </c>
      <c r="N433">
        <v>0</v>
      </c>
      <c r="O433">
        <v>0.33333333333333331</v>
      </c>
      <c r="P433">
        <v>27.591367188951708</v>
      </c>
      <c r="Q433">
        <v>8.2580567295306943E-3</v>
      </c>
      <c r="R433">
        <v>0.32382729835466462</v>
      </c>
      <c r="S433">
        <v>0.49905004369798989</v>
      </c>
      <c r="T433">
        <v>9.5586757754121277E-3</v>
      </c>
      <c r="U433">
        <v>17.26047801801117</v>
      </c>
      <c r="V433">
        <v>27.193262795628659</v>
      </c>
      <c r="W433">
        <v>5.5923815532988801E-2</v>
      </c>
      <c r="X433">
        <v>0.21509874709775034</v>
      </c>
      <c r="Y433">
        <v>0.74275516202729486</v>
      </c>
      <c r="Z433">
        <v>1.7189143199228762E-2</v>
      </c>
      <c r="AA433">
        <v>3.2853494577699571</v>
      </c>
    </row>
    <row r="434" spans="1:27" x14ac:dyDescent="0.2">
      <c r="A434" s="7" t="s">
        <v>2311</v>
      </c>
      <c r="B434" t="s">
        <v>2141</v>
      </c>
      <c r="C434">
        <v>2023</v>
      </c>
      <c r="D434">
        <v>0</v>
      </c>
      <c r="E434">
        <v>8</v>
      </c>
      <c r="F434">
        <v>0</v>
      </c>
      <c r="G434">
        <v>33.333333333333336</v>
      </c>
      <c r="H434">
        <v>0</v>
      </c>
      <c r="I434">
        <v>0.33333333333333331</v>
      </c>
      <c r="J434">
        <v>-1</v>
      </c>
      <c r="K434">
        <v>9.4017094017094016E-2</v>
      </c>
      <c r="L434">
        <v>0</v>
      </c>
      <c r="M434">
        <v>0.33333333333333331</v>
      </c>
      <c r="N434">
        <v>1</v>
      </c>
      <c r="O434">
        <v>0</v>
      </c>
      <c r="P434">
        <v>27.337735372196757</v>
      </c>
      <c r="Q434">
        <v>4.1820358831818867E-3</v>
      </c>
      <c r="R434">
        <v>0.48724232042273963</v>
      </c>
      <c r="S434">
        <v>0.39676380747956741</v>
      </c>
      <c r="T434">
        <v>4.5168308109544135E-2</v>
      </c>
      <c r="U434">
        <v>19.523652274415916</v>
      </c>
      <c r="V434">
        <v>27.051903677447161</v>
      </c>
      <c r="W434">
        <v>4.8734514266961765E-2</v>
      </c>
      <c r="X434">
        <v>0.39313567890299927</v>
      </c>
      <c r="Y434">
        <v>0.75168528804877532</v>
      </c>
      <c r="Z434">
        <v>2.5153014284094298E-2</v>
      </c>
      <c r="AA434">
        <v>2.9026956273525535</v>
      </c>
    </row>
    <row r="435" spans="1:27" x14ac:dyDescent="0.2">
      <c r="A435" s="7" t="s">
        <v>2311</v>
      </c>
      <c r="B435" t="s">
        <v>2143</v>
      </c>
      <c r="C435">
        <v>2022</v>
      </c>
      <c r="D435">
        <v>82</v>
      </c>
      <c r="E435">
        <v>8</v>
      </c>
      <c r="F435">
        <v>82</v>
      </c>
      <c r="G435">
        <v>26</v>
      </c>
      <c r="H435">
        <v>1</v>
      </c>
      <c r="I435">
        <v>0.33333333333333331</v>
      </c>
      <c r="J435">
        <v>1</v>
      </c>
      <c r="K435">
        <v>0</v>
      </c>
      <c r="L435">
        <v>1</v>
      </c>
      <c r="M435">
        <v>0.33333333333333331</v>
      </c>
      <c r="N435">
        <v>0</v>
      </c>
      <c r="O435">
        <v>0.33333333333333331</v>
      </c>
      <c r="P435">
        <v>26.738886267265464</v>
      </c>
      <c r="Q435">
        <v>4.5341402703889888E-3</v>
      </c>
      <c r="R435">
        <v>0.85144171845098593</v>
      </c>
      <c r="S435">
        <v>0.55051660516605161</v>
      </c>
      <c r="T435">
        <v>4.9545971776010583E-2</v>
      </c>
      <c r="U435">
        <v>14.121033210332103</v>
      </c>
      <c r="V435">
        <v>26.495673105743599</v>
      </c>
      <c r="W435">
        <v>4.6261981619361028E-2</v>
      </c>
      <c r="X435">
        <v>-2.72572965298995E-3</v>
      </c>
      <c r="Y435">
        <v>0.7090335869064176</v>
      </c>
      <c r="Z435">
        <v>4.5119161852712884E-2</v>
      </c>
      <c r="AA435">
        <v>2.8215639156167178</v>
      </c>
    </row>
    <row r="436" spans="1:27" x14ac:dyDescent="0.2">
      <c r="A436" s="7" t="s">
        <v>2311</v>
      </c>
      <c r="B436" t="s">
        <v>2145</v>
      </c>
      <c r="C436">
        <v>2021</v>
      </c>
      <c r="D436">
        <v>41</v>
      </c>
      <c r="E436">
        <v>8</v>
      </c>
      <c r="F436">
        <v>41</v>
      </c>
      <c r="G436">
        <v>7.6400000000000006</v>
      </c>
      <c r="H436">
        <v>1</v>
      </c>
      <c r="I436">
        <v>0.33333333333333331</v>
      </c>
      <c r="J436">
        <v>0</v>
      </c>
      <c r="K436">
        <v>-0.49771487542385379</v>
      </c>
      <c r="L436">
        <v>0</v>
      </c>
      <c r="M436">
        <v>0</v>
      </c>
      <c r="N436">
        <v>0</v>
      </c>
      <c r="O436">
        <v>0.66666666666666663</v>
      </c>
      <c r="P436">
        <v>26.056670385366122</v>
      </c>
      <c r="Q436">
        <v>5.3345048324337898E-3</v>
      </c>
      <c r="R436">
        <v>0.54552499447267189</v>
      </c>
      <c r="S436">
        <v>0.47552873773389409</v>
      </c>
      <c r="T436">
        <v>5.5565401194615227E-2</v>
      </c>
      <c r="U436">
        <v>11.625929537973912</v>
      </c>
      <c r="V436">
        <v>26.798310547012022</v>
      </c>
      <c r="W436">
        <v>4.1271335215836549E-2</v>
      </c>
      <c r="X436">
        <v>0.1655264027508169</v>
      </c>
      <c r="Y436">
        <v>0.69718340854241267</v>
      </c>
      <c r="Z436">
        <v>6.2470323530121254E-2</v>
      </c>
      <c r="AA436">
        <v>2.8173281062436106</v>
      </c>
    </row>
    <row r="437" spans="1:27" x14ac:dyDescent="0.2">
      <c r="A437" s="7" t="s">
        <v>2311</v>
      </c>
      <c r="B437" t="s">
        <v>2147</v>
      </c>
      <c r="C437">
        <v>2020</v>
      </c>
      <c r="D437">
        <v>41</v>
      </c>
      <c r="E437">
        <v>8</v>
      </c>
      <c r="F437">
        <v>41</v>
      </c>
      <c r="G437">
        <v>34.74</v>
      </c>
      <c r="H437">
        <v>1</v>
      </c>
      <c r="I437">
        <v>0.66666666666666663</v>
      </c>
      <c r="J437">
        <v>1</v>
      </c>
      <c r="K437">
        <v>0.65555555555555556</v>
      </c>
      <c r="L437">
        <v>1</v>
      </c>
      <c r="M437">
        <v>0.66666666666666663</v>
      </c>
      <c r="N437">
        <v>0</v>
      </c>
      <c r="O437">
        <v>0</v>
      </c>
      <c r="P437">
        <v>25.287950128176394</v>
      </c>
      <c r="Q437">
        <v>1.0979850721222661E-2</v>
      </c>
      <c r="R437">
        <v>0.17670622912166567</v>
      </c>
      <c r="S437">
        <v>0.60596019507257426</v>
      </c>
      <c r="T437">
        <v>5.1171595207836262E-2</v>
      </c>
      <c r="U437">
        <v>8.3756317638072275</v>
      </c>
      <c r="V437">
        <v>26.505603221811942</v>
      </c>
      <c r="W437">
        <v>4.9788324205842151E-2</v>
      </c>
      <c r="X437">
        <v>0.11876474162482491</v>
      </c>
      <c r="Y437">
        <v>0.68357633314687327</v>
      </c>
      <c r="Z437">
        <v>6.9888617151078331E-2</v>
      </c>
      <c r="AA437">
        <v>2.4298425539871933</v>
      </c>
    </row>
    <row r="438" spans="1:27" x14ac:dyDescent="0.2">
      <c r="A438" s="7" t="s">
        <v>2311</v>
      </c>
      <c r="B438" t="s">
        <v>2149</v>
      </c>
      <c r="C438">
        <v>2019</v>
      </c>
      <c r="D438">
        <v>0</v>
      </c>
      <c r="E438">
        <v>8</v>
      </c>
      <c r="F438">
        <v>0</v>
      </c>
      <c r="G438">
        <v>10</v>
      </c>
      <c r="H438">
        <v>0</v>
      </c>
      <c r="I438">
        <v>0.33333333333333331</v>
      </c>
      <c r="J438">
        <v>0</v>
      </c>
      <c r="K438">
        <v>-0.53846153846153844</v>
      </c>
      <c r="L438">
        <v>0</v>
      </c>
      <c r="M438">
        <v>0</v>
      </c>
      <c r="N438">
        <v>0</v>
      </c>
      <c r="O438">
        <v>0.66666666666666663</v>
      </c>
      <c r="P438">
        <v>25.085601725065228</v>
      </c>
      <c r="Q438">
        <v>9.3921291428465947E-3</v>
      </c>
      <c r="R438">
        <v>0.32098225879541009</v>
      </c>
      <c r="S438">
        <v>0.54743207564148755</v>
      </c>
      <c r="T438">
        <v>1.2227587927509713E-2</v>
      </c>
      <c r="U438">
        <v>12.950009123331435</v>
      </c>
      <c r="V438">
        <v>26.349864427193939</v>
      </c>
      <c r="W438">
        <v>6.0205353625888434E-2</v>
      </c>
      <c r="X438">
        <v>2.0785636501525689E-2</v>
      </c>
      <c r="Y438">
        <v>0.63297981804667647</v>
      </c>
      <c r="Z438">
        <v>4.6429094199542977E-2</v>
      </c>
      <c r="AA438">
        <v>2.564994436406479</v>
      </c>
    </row>
    <row r="439" spans="1:27" x14ac:dyDescent="0.2">
      <c r="A439" s="7" t="s">
        <v>2311</v>
      </c>
      <c r="B439" t="s">
        <v>2151</v>
      </c>
      <c r="C439">
        <v>2018</v>
      </c>
      <c r="D439">
        <v>0</v>
      </c>
      <c r="E439">
        <v>8</v>
      </c>
      <c r="F439">
        <v>0</v>
      </c>
      <c r="G439">
        <v>41.14</v>
      </c>
      <c r="H439">
        <v>0</v>
      </c>
      <c r="I439">
        <v>0.66666666666666663</v>
      </c>
      <c r="J439">
        <v>0</v>
      </c>
      <c r="K439">
        <v>0.33333333333333331</v>
      </c>
      <c r="L439">
        <v>0</v>
      </c>
      <c r="M439">
        <v>0.33333333333333331</v>
      </c>
      <c r="N439">
        <v>0</v>
      </c>
      <c r="O439">
        <v>0</v>
      </c>
      <c r="P439">
        <v>24.865270750736808</v>
      </c>
      <c r="Q439">
        <v>2.5302539238672393E-3</v>
      </c>
      <c r="R439">
        <v>-7.5342734018741697E-2</v>
      </c>
      <c r="S439">
        <v>0.76041722901692177</v>
      </c>
      <c r="T439">
        <v>5.6220357257305252E-2</v>
      </c>
      <c r="U439">
        <v>9.0510470815339463</v>
      </c>
      <c r="V439">
        <v>26.154227105509552</v>
      </c>
      <c r="W439">
        <v>6.3649169181170764E-2</v>
      </c>
      <c r="X439">
        <v>0.16132420811962156</v>
      </c>
      <c r="Y439">
        <v>0.57998366804796564</v>
      </c>
      <c r="Z439">
        <v>4.0681368572137597E-2</v>
      </c>
      <c r="AA439">
        <v>2.468111443333135</v>
      </c>
    </row>
    <row r="440" spans="1:27" x14ac:dyDescent="0.2">
      <c r="A440" s="7" t="s">
        <v>2311</v>
      </c>
      <c r="B440" t="s">
        <v>2153</v>
      </c>
      <c r="C440">
        <v>2017</v>
      </c>
      <c r="D440">
        <v>0</v>
      </c>
      <c r="E440">
        <v>8</v>
      </c>
      <c r="F440">
        <v>0</v>
      </c>
      <c r="G440">
        <v>26</v>
      </c>
      <c r="H440">
        <v>0</v>
      </c>
      <c r="I440">
        <v>0.33333333333333331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24.612080090817663</v>
      </c>
      <c r="Q440">
        <v>5.5559621046232131E-3</v>
      </c>
      <c r="R440">
        <v>0.6885768253416864</v>
      </c>
      <c r="S440">
        <v>0.60998433447520495</v>
      </c>
      <c r="T440">
        <v>8.1462870722711855E-2</v>
      </c>
      <c r="U440">
        <v>11.702186023231778</v>
      </c>
      <c r="V440">
        <v>26.178909099308385</v>
      </c>
      <c r="W440">
        <v>6.5835833788158035E-2</v>
      </c>
      <c r="X440">
        <v>1.1633473895934792</v>
      </c>
      <c r="Y440">
        <v>0.54206004427148813</v>
      </c>
      <c r="Z440">
        <v>3.5432781322892577E-2</v>
      </c>
      <c r="AA440">
        <v>3.0400082741205821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FFA4-E8EF-4B46-BB23-776036DE2E27}">
  <dimension ref="A1:AE1073"/>
  <sheetViews>
    <sheetView tabSelected="1" zoomScale="67" workbookViewId="0">
      <selection activeCell="AI12" sqref="AI12"/>
    </sheetView>
  </sheetViews>
  <sheetFormatPr baseColWidth="10" defaultRowHeight="16" x14ac:dyDescent="0.2"/>
  <cols>
    <col min="2" max="2" width="15.1640625" customWidth="1"/>
    <col min="5" max="5" width="12.6640625" customWidth="1"/>
    <col min="26" max="26" width="12.33203125" customWidth="1"/>
    <col min="31" max="31" width="14.33203125" customWidth="1"/>
  </cols>
  <sheetData>
    <row r="1" spans="1:31" x14ac:dyDescent="0.2">
      <c r="A1" s="1" t="s">
        <v>2348</v>
      </c>
      <c r="B1" s="1" t="s">
        <v>0</v>
      </c>
      <c r="C1" s="1" t="s">
        <v>2346</v>
      </c>
      <c r="D1" s="1" t="s">
        <v>2165</v>
      </c>
      <c r="E1" s="14" t="s">
        <v>2347</v>
      </c>
      <c r="F1" s="13" t="s">
        <v>2342</v>
      </c>
      <c r="G1" s="13" t="s">
        <v>2343</v>
      </c>
      <c r="H1" s="9" t="s">
        <v>2325</v>
      </c>
      <c r="I1" s="9" t="s">
        <v>2326</v>
      </c>
      <c r="J1" s="12" t="s">
        <v>2341</v>
      </c>
      <c r="K1" s="12" t="s">
        <v>2344</v>
      </c>
      <c r="L1" s="9" t="s">
        <v>2327</v>
      </c>
      <c r="M1" s="9" t="s">
        <v>2328</v>
      </c>
      <c r="N1" s="9" t="s">
        <v>2329</v>
      </c>
      <c r="O1" s="9" t="s">
        <v>2330</v>
      </c>
      <c r="P1" s="10" t="s">
        <v>2331</v>
      </c>
      <c r="Q1" s="10" t="s">
        <v>2332</v>
      </c>
      <c r="R1" s="10" t="s">
        <v>2333</v>
      </c>
      <c r="S1" s="10" t="s">
        <v>2334</v>
      </c>
      <c r="T1" s="10" t="s">
        <v>2335</v>
      </c>
      <c r="U1" s="10" t="s">
        <v>2349</v>
      </c>
      <c r="V1" s="10" t="s">
        <v>2351</v>
      </c>
      <c r="W1" s="10" t="s">
        <v>2357</v>
      </c>
      <c r="X1" s="11" t="s">
        <v>2336</v>
      </c>
      <c r="Y1" s="11" t="s">
        <v>2337</v>
      </c>
      <c r="Z1" s="11" t="s">
        <v>2338</v>
      </c>
      <c r="AA1" s="11" t="s">
        <v>2339</v>
      </c>
      <c r="AB1" s="11" t="s">
        <v>2340</v>
      </c>
      <c r="AC1" s="11" t="s">
        <v>2350</v>
      </c>
      <c r="AD1" s="11" t="s">
        <v>2352</v>
      </c>
      <c r="AE1" s="11" t="s">
        <v>2353</v>
      </c>
    </row>
    <row r="2" spans="1:31" x14ac:dyDescent="0.2">
      <c r="A2" s="7" t="s">
        <v>2173</v>
      </c>
      <c r="B2" t="str">
        <f>A2&amp;" "&amp;
"IV"
&amp;" кв. "&amp;C2</f>
        <v>GAZP IV кв. 2025</v>
      </c>
      <c r="C2">
        <v>2025</v>
      </c>
      <c r="D2">
        <f>SUMIFS(Дивиденды!$C:$C,Дивиденды!$A:$A,A2,Дивиденды!$I:$I,C2)</f>
        <v>0</v>
      </c>
      <c r="E2">
        <v>1</v>
      </c>
      <c r="F2">
        <f>D2</f>
        <v>0</v>
      </c>
      <c r="G2">
        <f>AVERAGEIFS($D:$D,$E:$E,E2,$C:$C,C2,$A:$A,"&lt;&gt;"&amp;A2)</f>
        <v>77.756666666666675</v>
      </c>
      <c r="H2">
        <f>IF(D2&gt;0,1,0)</f>
        <v>0</v>
      </c>
      <c r="I2">
        <f>IFERROR((COUNTIFS($E:$E,E2,$C:$C,C2,$H:$H,1)-H2)/(COUNTIFS($E:$E,E2,$C:$C,C2)-1),0)</f>
        <v>0.66666666666666663</v>
      </c>
      <c r="J2">
        <f>IF(A3&lt;&gt;A2,"",IF(D2=D3,0,IF(AND(D3=0,D2&lt;&gt;0), 1,(D2-D3)/D3)))</f>
        <v>0</v>
      </c>
      <c r="K2">
        <f>IFERROR(AVERAGEIFS($J:$J,$E:$E,E2,$C:$C,C2,$A:$A,"&lt;&gt;"&amp;A2),"")</f>
        <v>-0.62296624997812966</v>
      </c>
      <c r="L2">
        <f>IF(J2&lt;&gt;"",IF(J2&gt;0,1,0),"")</f>
        <v>0</v>
      </c>
      <c r="M2">
        <f>IFERROR(AVERAGEIFS($L:$L,$E:$E,E2,$C:$C,C2,$A:$A,"&lt;&gt;"&amp;A2),"")</f>
        <v>0</v>
      </c>
      <c r="N2">
        <f>IF(J2&lt;&gt;"",IF(J2&lt;0,1,0),"")</f>
        <v>0</v>
      </c>
      <c r="O2">
        <f>IFERROR(AVERAGEIFS($N:$N,$E:$E,E2,$C:$C,C2,$A:$A,"&lt;&gt;"&amp;A2),"")</f>
        <v>0.83333333333333337</v>
      </c>
      <c r="P2" t="str">
        <f>IFERROR(LN('Дивиденды по годам'!I2),"")</f>
        <v/>
      </c>
      <c r="Q2" t="str">
        <f>IFERROR('Дивиденды по годам'!G2/'Дивиденды по годам'!I2, "")</f>
        <v/>
      </c>
      <c r="R2" t="str">
        <f>IFERROR(IF(AND('Дивиденды по годам'!N2&lt;&gt;"",'Дивиденды по годам'!U2&lt;&gt;"",'Дивиденды по годам'!U2&lt;&gt;0),'Дивиденды по годам'!N2/'Дивиденды по годам'!U2-1,""),"")</f>
        <v/>
      </c>
      <c r="S2" t="str">
        <f>IFERROR(IF(AND('Дивиденды по годам'!L2&lt;&gt;"",'Дивиденды по годам'!I2&lt;&gt;"",'Дивиденды по годам'!J2&lt;&gt;"",'Дивиденды по годам'!K2&lt;&gt;"",('Дивиденды по годам'!I2-'Дивиденды по годам'!J2-'Дивиденды по годам'!K2)&lt;&gt;0),'Дивиденды по годам'!L2/('Дивиденды по годам'!I2-'Дивиденды по годам'!J2-'Дивиденды по годам'!K2),""),"")</f>
        <v/>
      </c>
      <c r="T2" t="str">
        <f>IFERROR(IF(AND('Дивиденды по годам'!Q2&lt;&gt;"",'Дивиденды по годам'!I2&lt;&gt;"",'Дивиденды по годам'!V2&lt;&gt;"",('Дивиденды по годам'!I2+'Дивиденды по годам'!V2)&lt;&gt;0),'Дивиденды по годам'!Q2/(('Дивиденды по годам'!I2+'Дивиденды по годам'!V2)/2),""),"")</f>
        <v/>
      </c>
      <c r="U2" t="str">
        <f>IFERROR(IF(AND('Дивиденды по годам'!J2&lt;&gt;"",'Дивиденды по годам'!K2&lt;&gt;"",'Дивиденды по годам'!M2&lt;&gt;"",'Дивиденды по годам'!M2&lt;&gt;0),('Дивиденды по годам'!J2+'Дивиденды по годам'!K2)/'Дивиденды по годам'!M2,""),"")</f>
        <v/>
      </c>
      <c r="V2" t="str">
        <f>IFERROR(IF(AND('Дивиденды по годам'!J2&lt;&gt;"",'Дивиденды по годам'!K2&lt;&gt;"",'Дивиденды по годам'!M2&lt;&gt;"",'Дивиденды по годам'!I2&lt;&gt;0),('Дивиденды по годам'!J2+'Дивиденды по годам'!K2)/'Дивиденды по годам'!I2,""),"")</f>
        <v/>
      </c>
      <c r="W2" t="str">
        <f>IFERROR('Дивиденды по годам'!I2,"")</f>
        <v/>
      </c>
      <c r="X2" cm="1">
        <f t="array" ref="X2">IFERROR(AVERAGE(_xlfn._xlws.FILTER(P$2:P$1073,($C$2:$C$1073=$C2)*($E$2:$E$1073=$E2)*(ROW(P$2:P$1073)&lt;&gt;ROW(P2))*(P$2:P$1073&lt;&gt;""))),"")</f>
        <v>28.307188246358621</v>
      </c>
      <c r="Y2" cm="1">
        <f t="array" ref="Y2">IFERROR(AVERAGE(_xlfn._xlws.FILTER(Q$2:Q$1073,($C$2:$C$1073=$C2)*($E$2:$E$1073=$E2)*(ROW(Q$2:Q$1073)&lt;&gt;ROW(Q2))*(Q$2:Q$1073&lt;&gt;""))),"")</f>
        <v>0.53419343836509714</v>
      </c>
      <c r="Z2" cm="1">
        <f t="array" ref="Z2">IFERROR(AVERAGE(_xlfn._xlws.FILTER(R$2:R$1073,($C$2:$C$1073=$C2)*($E$2:$E$1073=$E2)*(ROW(R$2:R$1073)&lt;&gt;ROW(R2))*(R$2:R$1073&lt;&gt;""))),"")</f>
        <v>-0.25128971877251305</v>
      </c>
      <c r="AA2" cm="1">
        <f t="array" ref="AA2">IFERROR(AVERAGE(_xlfn._xlws.FILTER(S$2:S$1073,($C$2:$C$1073=$C2)*($E$2:$E$1073=$E2)*(ROW(S$2:S$1073)&lt;&gt;ROW(S2))*(S$2:S$1073&lt;&gt;""))),"")</f>
        <v>0.7103915367710556</v>
      </c>
      <c r="AB2" cm="1">
        <f t="array" ref="AB2">IFERROR(AVERAGE(_xlfn._xlws.FILTER(T$2:T$1073,($C$2:$C$1073=$C2)*($E$2:$E$1073=$E2)*(ROW(T$2:T$1073)&lt;&gt;ROW(T2))*(T$2:T$1073&lt;&gt;""))),"")</f>
        <v>1.109913570195168E-2</v>
      </c>
      <c r="AC2" cm="1">
        <f t="array" ref="AC2">IFERROR(AVERAGE(_xlfn._xlws.FILTER(U$2:U$1073,($C$2:$C$1073=$C2)*($E$2:$E$1073=$E2)*(ROW(U$2:U$1073)&lt;&gt;ROW(U2))*(U$2:U$1073&lt;&gt;""))),"")</f>
        <v>0.71283761221882813</v>
      </c>
      <c r="AD2" cm="1">
        <f t="array" ref="AD2">IFERROR(AVERAGE(_xlfn._xlws.FILTER(V$2:V$1073,($C$2:$C$1073=$C2)*($E$2:$E$1073=$E2)*(ROW(V$2:V$1073)&lt;&gt;ROW(V2))*(V$2:V$1073&lt;&gt;""))),"")</f>
        <v>0.37992268115994704</v>
      </c>
      <c r="AE2">
        <f>IF('Дивиденды по годам'!M2&lt;0,1,0)</f>
        <v>0</v>
      </c>
    </row>
    <row r="3" spans="1:31" x14ac:dyDescent="0.2">
      <c r="A3" s="7" t="s">
        <v>2173</v>
      </c>
      <c r="B3" t="str">
        <f t="shared" ref="B3:B66" si="0">A3&amp;" "&amp;
"IV"
&amp;" кв. "&amp;C3</f>
        <v>GAZP IV кв. 2024</v>
      </c>
      <c r="C3">
        <v>2024</v>
      </c>
      <c r="D3">
        <f>SUMIFS(Дивиденды!$C:$C,Дивиденды!$A:$A,A3,Дивиденды!$I:$I,C3)</f>
        <v>0</v>
      </c>
      <c r="E3">
        <v>1</v>
      </c>
      <c r="F3">
        <f t="shared" ref="F3:F66" si="1">D3</f>
        <v>0</v>
      </c>
      <c r="G3">
        <f t="shared" ref="G3:G66" si="2">AVERAGEIFS($D:$D,$E:$E,E3,$C:$C,C3,$A:$A,"&lt;&gt;"&amp;A3)</f>
        <v>214.65000000000006</v>
      </c>
      <c r="H3">
        <f t="shared" ref="H3:H66" si="3">IF(D3&gt;0,1,0)</f>
        <v>0</v>
      </c>
      <c r="I3">
        <f t="shared" ref="I3:I66" si="4">IFERROR((COUNTIFS($E:$E,E3,$C:$C,C3,$H:$H,1)-H3)/(COUNTIFS($E:$E,E3,$C:$C,C3)-1),0)</f>
        <v>0.83333333333333337</v>
      </c>
      <c r="J3">
        <f t="shared" ref="J3:J66" si="5">IF(A4&lt;&gt;A3,"",IF(D3=D4,0,IF(AND(D4=0,D3&lt;&gt;0), 1,(D3-D4)/D4)))</f>
        <v>0</v>
      </c>
      <c r="K3">
        <f>IFERROR(AVERAGEIFS($J:$J,$E:$E,E3,$C:$C,C3,$A:$A,"&lt;&gt;"&amp;A3),"")</f>
        <v>3.3213967737444179E-2</v>
      </c>
      <c r="L3">
        <f t="shared" ref="L3:L66" si="6">IF(J3&lt;&gt;"",IF(J3&gt;0,1,0),"")</f>
        <v>0</v>
      </c>
      <c r="M3">
        <f t="shared" ref="M3:M66" si="7">IFERROR(AVERAGEIFS($L:$L,$E:$E,E3,$C:$C,C3,$A:$A,"&lt;&gt;"&amp;A3),"")</f>
        <v>0.66666666666666663</v>
      </c>
      <c r="N3">
        <f t="shared" ref="N3:N66" si="8">IF(J3&lt;&gt;"",IF(J3&lt;0,1,0),"")</f>
        <v>0</v>
      </c>
      <c r="O3">
        <f t="shared" ref="O3:O66" si="9">IFERROR(AVERAGEIFS($N:$N,$E:$E,E3,$C:$C,C3,$A:$A,"&lt;&gt;"&amp;A3),"")</f>
        <v>0.16666666666666666</v>
      </c>
      <c r="P3">
        <f>IFERROR(LN('Дивиденды по годам'!I3),"")</f>
        <v>31.055226928515346</v>
      </c>
      <c r="Q3">
        <f>IFERROR('Дивиденды по годам'!G3/'Дивиденды по годам'!I3, "")</f>
        <v>0.67690981132315176</v>
      </c>
      <c r="R3">
        <f>IFERROR(IF(AND('Дивиденды по годам'!N3&lt;&gt;"",'Дивиденды по годам'!U3&lt;&gt;"",'Дивиденды по годам'!U3&lt;&gt;0),'Дивиденды по годам'!N3/'Дивиденды по годам'!U3-1,""),"")</f>
        <v>0.25438003947169086</v>
      </c>
      <c r="S3">
        <f>IFERROR(IF(AND('Дивиденды по годам'!L3&lt;&gt;"",'Дивиденды по годам'!I3&lt;&gt;"",'Дивиденды по годам'!J3&lt;&gt;"",'Дивиденды по годам'!K3&lt;&gt;"",('Дивиденды по годам'!I3-'Дивиденды по годам'!J3-'Дивиденды по годам'!K3)&lt;&gt;0),'Дивиденды по годам'!L3/('Дивиденды по годам'!I3-'Дивиденды по годам'!J3-'Дивиденды по годам'!K3),""),"")</f>
        <v>0.88491057282157115</v>
      </c>
      <c r="T3">
        <f>IFERROR(IF(AND('Дивиденды по годам'!Q3&lt;&gt;"",'Дивиденды по годам'!I3&lt;&gt;"",'Дивиденды по годам'!V3&lt;&gt;"",('Дивиденды по годам'!I3+'Дивиденды по годам'!V3)&lt;&gt;0),'Дивиденды по годам'!Q3/(('Дивиденды по годам'!I3+'Дивиденды по годам'!V3)/2),""),"")</f>
        <v>4.4392039770145435E-2</v>
      </c>
      <c r="U3">
        <f>IFERROR(IF(AND('Дивиденды по годам'!J3&lt;&gt;"",'Дивиденды по годам'!K3&lt;&gt;"",'Дивиденды по годам'!M3&lt;&gt;"",'Дивиденды по годам'!M3&lt;&gt;0),('Дивиденды по годам'!J3+'Дивиденды по годам'!K3)/'Дивиденды по годам'!M3,""),"")</f>
        <v>0.73819834955762886</v>
      </c>
      <c r="V3">
        <f>IFERROR(IF(AND('Дивиденды по годам'!J3&lt;&gt;"",'Дивиденды по годам'!K3&lt;&gt;"",'Дивиденды по годам'!M3&lt;&gt;"",'Дивиденды по годам'!I3&lt;&gt;0),('Дивиденды по годам'!J3+'Дивиденды по годам'!K3)/'Дивиденды по годам'!I3,""),"")</f>
        <v>0.4246916640701564</v>
      </c>
      <c r="W3">
        <f>IFERROR('Дивиденды по годам'!I3,"")</f>
        <v>30698255000000</v>
      </c>
      <c r="X3" cm="1">
        <f t="array" ref="X3">IFERROR(AVERAGE(_xlfn._xlws.FILTER(P$2:P$1073,($C$2:$C$1073=$C3)*($E$2:$E$1073=$E3)*(ROW(P$2:P$1073)&lt;&gt;ROW(P3))*(P$2:P$1073&lt;&gt;""))),"")</f>
        <v>28.895709928348975</v>
      </c>
      <c r="Y3" cm="1">
        <f t="array" ref="Y3">IFERROR(AVERAGE(_xlfn._xlws.FILTER(Q$2:Q$1073,($C$2:$C$1073=$C3)*($E$2:$E$1073=$E3)*(ROW(Q$2:Q$1073)&lt;&gt;ROW(Q3))*(Q$2:Q$1073&lt;&gt;""))),"")</f>
        <v>0.51199197765638005</v>
      </c>
      <c r="Z3" cm="1">
        <f t="array" ref="Z3">IFERROR(AVERAGE(_xlfn._xlws.FILTER(R$2:R$1073,($C$2:$C$1073=$C3)*($E$2:$E$1073=$E3)*(ROW(R$2:R$1073)&lt;&gt;ROW(R3))*(R$2:R$1073&lt;&gt;""))),"")</f>
        <v>0.17118061223249206</v>
      </c>
      <c r="AA3" cm="1">
        <f t="array" ref="AA3">IFERROR(AVERAGE(_xlfn._xlws.FILTER(S$2:S$1073,($C$2:$C$1073=$C3)*($E$2:$E$1073=$E3)*(ROW(S$2:S$1073)&lt;&gt;ROW(S3))*(S$2:S$1073&lt;&gt;""))),"")</f>
        <v>0.79852548005677737</v>
      </c>
      <c r="AB3" cm="1">
        <f t="array" ref="AB3">IFERROR(AVERAGE(_xlfn._xlws.FILTER(T$2:T$1073,($C$2:$C$1073=$C3)*($E$2:$E$1073=$E3)*(ROW(T$2:T$1073)&lt;&gt;ROW(T3))*(T$2:T$1073&lt;&gt;""))),"")</f>
        <v>0.12177692337500727</v>
      </c>
      <c r="AC3" cm="1">
        <f t="array" ref="AC3">IFERROR(AVERAGE(_xlfn._xlws.FILTER(U$2:U$1073,($C$2:$C$1073=$C3)*($E$2:$E$1073=$E3)*(ROW(U$2:U$1073)&lt;&gt;ROW(U3))*(U$2:U$1073&lt;&gt;""))),"")</f>
        <v>0.85190113249297905</v>
      </c>
      <c r="AD3" cm="1">
        <f t="array" ref="AD3">IFERROR(AVERAGE(_xlfn._xlws.FILTER(V$2:V$1073,($C$2:$C$1073=$C3)*($E$2:$E$1073=$E3)*(ROW(V$2:V$1073)&lt;&gt;ROW(V3))*(V$2:V$1073&lt;&gt;""))),"")</f>
        <v>0.41548489099430502</v>
      </c>
      <c r="AE3">
        <f>IF('Дивиденды по годам'!M3&lt;0,1,0)</f>
        <v>0</v>
      </c>
    </row>
    <row r="4" spans="1:31" x14ac:dyDescent="0.2">
      <c r="A4" s="7" t="s">
        <v>2173</v>
      </c>
      <c r="B4" t="str">
        <f t="shared" si="0"/>
        <v>GAZP IV кв. 2023</v>
      </c>
      <c r="C4">
        <v>2023</v>
      </c>
      <c r="D4">
        <f>SUMIFS(Дивиденды!$C:$C,Дивиденды!$A:$A,A4,Дивиденды!$I:$I,C4)</f>
        <v>0</v>
      </c>
      <c r="E4">
        <v>1</v>
      </c>
      <c r="F4">
        <f t="shared" si="1"/>
        <v>0</v>
      </c>
      <c r="G4">
        <f t="shared" si="2"/>
        <v>195.35</v>
      </c>
      <c r="H4">
        <f t="shared" si="3"/>
        <v>0</v>
      </c>
      <c r="I4">
        <f t="shared" si="4"/>
        <v>0.83333333333333337</v>
      </c>
      <c r="J4">
        <f t="shared" si="5"/>
        <v>-1</v>
      </c>
      <c r="K4">
        <f t="shared" ref="K4:K67" si="10">IFERROR(AVERAGEIFS($J:$J,$E:$E,E4,$C:$C,C4,$A:$A,"&lt;&gt;"&amp;A4),"")</f>
        <v>7.3185050172315427E-2</v>
      </c>
      <c r="L4">
        <f t="shared" si="6"/>
        <v>0</v>
      </c>
      <c r="M4">
        <f t="shared" si="7"/>
        <v>0.5</v>
      </c>
      <c r="N4">
        <f t="shared" si="8"/>
        <v>1</v>
      </c>
      <c r="O4">
        <f t="shared" si="9"/>
        <v>0.33333333333333331</v>
      </c>
      <c r="P4">
        <f>IFERROR(LN('Дивиденды по годам'!I4),"")</f>
        <v>30.98839714838881</v>
      </c>
      <c r="Q4">
        <f>IFERROR('Дивиденды по годам'!G4/'Дивиденды по годам'!I4, "")</f>
        <v>0.64206898381917954</v>
      </c>
      <c r="R4">
        <f>IFERROR(IF(AND('Дивиденды по годам'!N4&lt;&gt;"",'Дивиденды по годам'!U4&lt;&gt;"",'Дивиденды по годам'!U4&lt;&gt;0),'Дивиденды по годам'!N4/'Дивиденды по годам'!U4-1,""),"")</f>
        <v>-0.26830096068597176</v>
      </c>
      <c r="S4">
        <f>IFERROR(IF(AND('Дивиденды по годам'!L4&lt;&gt;"",'Дивиденды по годам'!I4&lt;&gt;"",'Дивиденды по годам'!J4&lt;&gt;"",'Дивиденды по годам'!K4&lt;&gt;"",('Дивиденды по годам'!I4-'Дивиденды по годам'!J4-'Дивиденды по годам'!K4)&lt;&gt;0),'Дивиденды по годам'!L4/('Дивиденды по годам'!I4-'Дивиденды по годам'!J4-'Дивиденды по годам'!K4),""),"")</f>
        <v>0.88690206369599567</v>
      </c>
      <c r="T4">
        <f>IFERROR(IF(AND('Дивиденды по годам'!Q4&lt;&gt;"",'Дивиденды по годам'!I4&lt;&gt;"",'Дивиденды по годам'!V4&lt;&gt;"",('Дивиденды по годам'!I4+'Дивиденды по годам'!V4)&lt;&gt;0),'Дивиденды по годам'!Q4/(('Дивиденды по годам'!I4+'Дивиденды по годам'!V4)/2),""),"")</f>
        <v>-2.1263586385471302E-2</v>
      </c>
      <c r="U4">
        <f>IFERROR(IF(AND('Дивиденды по годам'!J4&lt;&gt;"",'Дивиденды по годам'!K4&lt;&gt;"",'Дивиденды по годам'!M4&lt;&gt;"",'Дивиденды по годам'!M4&lt;&gt;0),('Дивиденды по годам'!J4+'Дивиденды по годам'!K4)/'Дивиденды по годам'!M4,""),"")</f>
        <v>0.74522865953908879</v>
      </c>
      <c r="V4">
        <f>IFERROR(IF(AND('Дивиденды по годам'!J4&lt;&gt;"",'Дивиденды по годам'!K4&lt;&gt;"",'Дивиденды по годам'!M4&lt;&gt;"",'Дивиденды по годам'!I4&lt;&gt;0),('Дивиденды по годам'!J4+'Дивиденды по годам'!K4)/'Дивиденды по годам'!I4,""),"")</f>
        <v>0.42700918041072172</v>
      </c>
      <c r="W4">
        <f>IFERROR('Дивиденды по годам'!I4,"")</f>
        <v>28713748000000</v>
      </c>
      <c r="X4" cm="1">
        <f t="array" ref="X4">IFERROR(AVERAGE(_xlfn._xlws.FILTER(P$2:P$1073,($C$2:$C$1073=$C4)*($E$2:$E$1073=$E4)*(ROW(P$2:P$1073)&lt;&gt;ROW(P4))*(P$2:P$1073&lt;&gt;""))),"")</f>
        <v>28.950488017637543</v>
      </c>
      <c r="Y4" cm="1">
        <f t="array" ref="Y4">IFERROR(AVERAGE(_xlfn._xlws.FILTER(Q$2:Q$1073,($C$2:$C$1073=$C4)*($E$2:$E$1073=$E4)*(ROW(Q$2:Q$1073)&lt;&gt;ROW(Q4))*(Q$2:Q$1073&lt;&gt;""))),"")</f>
        <v>0.47348976337207827</v>
      </c>
      <c r="Z4" cm="1">
        <f t="array" ref="Z4">IFERROR(AVERAGE(_xlfn._xlws.FILTER(R$2:R$1073,($C$2:$C$1073=$C4)*($E$2:$E$1073=$E4)*(ROW(R$2:R$1073)&lt;&gt;ROW(R4))*(R$2:R$1073&lt;&gt;""))),"")</f>
        <v>-3.7500664934112936E-2</v>
      </c>
      <c r="AA4" cm="1">
        <f t="array" ref="AA4">IFERROR(AVERAGE(_xlfn._xlws.FILTER(S$2:S$1073,($C$2:$C$1073=$C4)*($E$2:$E$1073=$E4)*(ROW(S$2:S$1073)&lt;&gt;ROW(S4))*(S$2:S$1073&lt;&gt;""))),"")</f>
        <v>0.80302192536609884</v>
      </c>
      <c r="AB4" cm="1">
        <f t="array" ref="AB4">IFERROR(AVERAGE(_xlfn._xlws.FILTER(T$2:T$1073,($C$2:$C$1073=$C4)*($E$2:$E$1073=$E4)*(ROW(T$2:T$1073)&lt;&gt;ROW(T4))*(T$2:T$1073&lt;&gt;""))),"")</f>
        <v>0.11841774986111753</v>
      </c>
      <c r="AC4" cm="1">
        <f t="array" ref="AC4">IFERROR(AVERAGE(_xlfn._xlws.FILTER(U$2:U$1073,($C$2:$C$1073=$C4)*($E$2:$E$1073=$E4)*(ROW(U$2:U$1073)&lt;&gt;ROW(U4))*(U$2:U$1073&lt;&gt;""))),"")</f>
        <v>0.83818777875983486</v>
      </c>
      <c r="AD4" cm="1">
        <f t="array" ref="AD4">IFERROR(AVERAGE(_xlfn._xlws.FILTER(V$2:V$1073,($C$2:$C$1073=$C4)*($E$2:$E$1073=$E4)*(ROW(V$2:V$1073)&lt;&gt;ROW(V4))*(V$2:V$1073&lt;&gt;""))),"")</f>
        <v>0.37254240273330191</v>
      </c>
      <c r="AE4">
        <f>IF('Дивиденды по годам'!M4&lt;0,1,0)</f>
        <v>0</v>
      </c>
    </row>
    <row r="5" spans="1:31" x14ac:dyDescent="0.2">
      <c r="A5" s="7" t="s">
        <v>2173</v>
      </c>
      <c r="B5" t="str">
        <f t="shared" si="0"/>
        <v>GAZP IV кв. 2022</v>
      </c>
      <c r="C5">
        <v>2022</v>
      </c>
      <c r="D5">
        <f>SUMIFS(Дивиденды!$C:$C,Дивиденды!$A:$A,A5,Дивиденды!$I:$I,C5)</f>
        <v>51.03</v>
      </c>
      <c r="E5">
        <v>1</v>
      </c>
      <c r="F5">
        <f t="shared" si="1"/>
        <v>51.03</v>
      </c>
      <c r="G5">
        <f t="shared" si="2"/>
        <v>240.5033333333333</v>
      </c>
      <c r="H5">
        <f t="shared" si="3"/>
        <v>1</v>
      </c>
      <c r="I5">
        <f t="shared" si="4"/>
        <v>0.83333333333333337</v>
      </c>
      <c r="J5">
        <f t="shared" si="5"/>
        <v>1</v>
      </c>
      <c r="K5">
        <f t="shared" si="10"/>
        <v>0.59952004385451818</v>
      </c>
      <c r="L5">
        <f t="shared" si="6"/>
        <v>1</v>
      </c>
      <c r="M5">
        <f t="shared" si="7"/>
        <v>0.5</v>
      </c>
      <c r="N5">
        <f t="shared" si="8"/>
        <v>0</v>
      </c>
      <c r="O5">
        <f t="shared" si="9"/>
        <v>0.16666666666666666</v>
      </c>
      <c r="P5">
        <f>IFERROR(LN('Дивиденды по годам'!I5),"")</f>
        <v>30.894064207250224</v>
      </c>
      <c r="Q5">
        <f>IFERROR('Дивиденды по годам'!G5/'Дивиденды по годам'!I5, "")</f>
        <v>0.66665801724976936</v>
      </c>
      <c r="R5">
        <f>IFERROR(IF(AND('Дивиденды по годам'!N5&lt;&gt;"",'Дивиденды по годам'!U5&lt;&gt;"",'Дивиденды по годам'!U5&lt;&gt;0),'Дивиденды по годам'!N5/'Дивиденды по годам'!U5-1,""),"")</f>
        <v>0.13988356811839209</v>
      </c>
      <c r="S5">
        <f>IFERROR(IF(AND('Дивиденды по годам'!L5&lt;&gt;"",'Дивиденды по годам'!I5&lt;&gt;"",'Дивиденды по годам'!J5&lt;&gt;"",'Дивиденды по годам'!K5&lt;&gt;"",('Дивиденды по годам'!I5-'Дивиденды по годам'!J5-'Дивиденды по годам'!K5)&lt;&gt;0),'Дивиденды по годам'!L5/('Дивиденды по годам'!I5-'Дивиденды по годам'!J5-'Дивиденды по годам'!K5),""),"")</f>
        <v>0.91974659860894958</v>
      </c>
      <c r="T5">
        <f>IFERROR(IF(AND('Дивиденды по годам'!Q5&lt;&gt;"",'Дивиденды по годам'!I5&lt;&gt;"",'Дивиденды по годам'!V5&lt;&gt;"",('Дивиденды по годам'!I5+'Дивиденды по годам'!V5)&lt;&gt;0),'Дивиденды по годам'!Q5/(('Дивиденды по годам'!I5+'Дивиденды по годам'!V5)/2),""),"")</f>
        <v>4.9332070035370552E-2</v>
      </c>
      <c r="U5">
        <f>IFERROR(IF(AND('Дивиденды по годам'!J5&lt;&gt;"",'Дивиденды по годам'!K5&lt;&gt;"",'Дивиденды по годам'!M5&lt;&gt;"",'Дивиденды по годам'!M5&lt;&gt;0),('Дивиденды по годам'!J5+'Дивиденды по годам'!K5)/'Дивиденды по годам'!M5,""),"")</f>
        <v>0.58878604291843928</v>
      </c>
      <c r="V5">
        <f>IFERROR(IF(AND('Дивиденды по годам'!J5&lt;&gt;"",'Дивиденды по годам'!K5&lt;&gt;"",'Дивиденды по годам'!M5&lt;&gt;"",'Дивиденды по годам'!I5&lt;&gt;0),('Дивиденды по годам'!J5+'Дивиденды по годам'!K5)/'Дивиденды по годам'!I5,""),"")</f>
        <v>0.37058862994346226</v>
      </c>
      <c r="W5">
        <f>IFERROR('Дивиденды по годам'!I5,"")</f>
        <v>26128929000000</v>
      </c>
      <c r="X5" cm="1">
        <f t="array" ref="X5">IFERROR(AVERAGE(_xlfn._xlws.FILTER(P$2:P$1073,($C$2:$C$1073=$C5)*($E$2:$E$1073=$E5)*(ROW(P$2:P$1073)&lt;&gt;ROW(P5))*(P$2:P$1073&lt;&gt;""))),"")</f>
        <v>28.005022673270954</v>
      </c>
      <c r="Y5" cm="1">
        <f t="array" ref="Y5">IFERROR(AVERAGE(_xlfn._xlws.FILTER(Q$2:Q$1073,($C$2:$C$1073=$C5)*($E$2:$E$1073=$E5)*(ROW(Q$2:Q$1073)&lt;&gt;ROW(Q5))*(Q$2:Q$1073&lt;&gt;""))),"")</f>
        <v>0.45949876398210993</v>
      </c>
      <c r="Z5" cm="1">
        <f t="array" ref="Z5">IFERROR(AVERAGE(_xlfn._xlws.FILTER(R$2:R$1073,($C$2:$C$1073=$C5)*($E$2:$E$1073=$E5)*(ROW(R$2:R$1073)&lt;&gt;ROW(R5))*(R$2:R$1073&lt;&gt;""))),"")</f>
        <v>0.10381140391856736</v>
      </c>
      <c r="AA5" cm="1">
        <f t="array" ref="AA5">IFERROR(AVERAGE(_xlfn._xlws.FILTER(S$2:S$1073,($C$2:$C$1073=$C5)*($E$2:$E$1073=$E5)*(ROW(S$2:S$1073)&lt;&gt;ROW(S5))*(S$2:S$1073&lt;&gt;""))),"")</f>
        <v>0.78172803973763649</v>
      </c>
      <c r="AB5" cm="1">
        <f t="array" ref="AB5">IFERROR(AVERAGE(_xlfn._xlws.FILTER(T$2:T$1073,($C$2:$C$1073=$C5)*($E$2:$E$1073=$E5)*(ROW(T$2:T$1073)&lt;&gt;ROW(T5))*(T$2:T$1073&lt;&gt;""))),"")</f>
        <v>0.12952165295973672</v>
      </c>
      <c r="AC5" cm="1">
        <f t="array" ref="AC5">IFERROR(AVERAGE(_xlfn._xlws.FILTER(U$2:U$1073,($C$2:$C$1073=$C5)*($E$2:$E$1073=$E5)*(ROW(U$2:U$1073)&lt;&gt;ROW(U5))*(U$2:U$1073&lt;&gt;""))),"")</f>
        <v>0.88374829962920176</v>
      </c>
      <c r="AD5" cm="1">
        <f t="array" ref="AD5">IFERROR(AVERAGE(_xlfn._xlws.FILTER(V$2:V$1073,($C$2:$C$1073=$C5)*($E$2:$E$1073=$E5)*(ROW(V$2:V$1073)&lt;&gt;ROW(V5))*(V$2:V$1073&lt;&gt;""))),"")</f>
        <v>0.37181705629303369</v>
      </c>
      <c r="AE5">
        <f>IF('Дивиденды по годам'!M5&lt;0,1,0)</f>
        <v>0</v>
      </c>
    </row>
    <row r="6" spans="1:31" x14ac:dyDescent="0.2">
      <c r="A6" s="7" t="s">
        <v>2173</v>
      </c>
      <c r="B6" t="str">
        <f t="shared" si="0"/>
        <v>GAZP IV кв. 2021</v>
      </c>
      <c r="C6">
        <v>2021</v>
      </c>
      <c r="D6">
        <f>SUMIFS(Дивиденды!$C:$C,Дивиденды!$A:$A,A6,Дивиденды!$I:$I,C6)</f>
        <v>0</v>
      </c>
      <c r="E6">
        <v>1</v>
      </c>
      <c r="F6">
        <f t="shared" si="1"/>
        <v>0</v>
      </c>
      <c r="G6">
        <f t="shared" si="2"/>
        <v>82.756666666666675</v>
      </c>
      <c r="H6">
        <f t="shared" si="3"/>
        <v>0</v>
      </c>
      <c r="I6">
        <f t="shared" si="4"/>
        <v>0.83333333333333337</v>
      </c>
      <c r="J6">
        <f t="shared" si="5"/>
        <v>-1</v>
      </c>
      <c r="K6">
        <f t="shared" si="10"/>
        <v>1.230790893694971</v>
      </c>
      <c r="L6">
        <f t="shared" si="6"/>
        <v>0</v>
      </c>
      <c r="M6">
        <f t="shared" si="7"/>
        <v>0.83333333333333337</v>
      </c>
      <c r="N6">
        <f t="shared" si="8"/>
        <v>1</v>
      </c>
      <c r="O6">
        <f t="shared" si="9"/>
        <v>0</v>
      </c>
      <c r="P6">
        <f>IFERROR(LN('Дивиденды по годам'!I6),"")</f>
        <v>30.928605713020012</v>
      </c>
      <c r="Q6">
        <f>IFERROR('Дивиденды по годам'!G6/'Дивиденды по годам'!I6, "")</f>
        <v>0.61646120508458724</v>
      </c>
      <c r="R6">
        <f>IFERROR(IF(AND('Дивиденды по годам'!N6&lt;&gt;"",'Дивиденды по годам'!U6&lt;&gt;"",'Дивиденды по годам'!U6&lt;&gt;0),'Дивиденды по годам'!N6/'Дивиденды по годам'!U6-1,""),"")</f>
        <v>0.6200676130682321</v>
      </c>
      <c r="S6">
        <f>IFERROR(IF(AND('Дивиденды по годам'!L6&lt;&gt;"",'Дивиденды по годам'!I6&lt;&gt;"",'Дивиденды по годам'!J6&lt;&gt;"",'Дивиденды по годам'!K6&lt;&gt;"",('Дивиденды по годам'!I6-'Дивиденды по годам'!J6-'Дивиденды по годам'!K6)&lt;&gt;0),'Дивиденды по годам'!L6/('Дивиденды по годам'!I6-'Дивиденды по годам'!J6-'Дивиденды по годам'!K6),""),"")</f>
        <v>0.92570437668480376</v>
      </c>
      <c r="T6">
        <f>IFERROR(IF(AND('Дивиденды по годам'!Q6&lt;&gt;"",'Дивиденды по годам'!I6&lt;&gt;"",'Дивиденды по годам'!V6&lt;&gt;"",('Дивиденды по годам'!I6+'Дивиденды по годам'!V6)&lt;&gt;0),'Дивиденды по годам'!Q6/(('Дивиденды по годам'!I6+'Дивиденды по годам'!V6)/2),""),"")</f>
        <v>8.5679010361529001E-2</v>
      </c>
      <c r="U6">
        <f>IFERROR(IF(AND('Дивиденды по годам'!J6&lt;&gt;"",'Дивиденды по годам'!K6&lt;&gt;"",'Дивиденды по годам'!M6&lt;&gt;"",'Дивиденды по годам'!M6&lt;&gt;0),('Дивиденды по годам'!J6+'Дивиденды по годам'!K6)/'Дивиденды по годам'!M6,""),"")</f>
        <v>0.60359904637449002</v>
      </c>
      <c r="V6">
        <f>IFERROR(IF(AND('Дивиденды по годам'!J6&lt;&gt;"",'Дивиденды по годам'!K6&lt;&gt;"",'Дивиденды по годам'!M6&lt;&gt;"",'Дивиденды по годам'!I6&lt;&gt;0),('Дивиденды по годам'!J6+'Дивиденды по годам'!K6)/'Дивиденды по годам'!I6,""),"")</f>
        <v>0.37640272220112742</v>
      </c>
      <c r="W6">
        <f>IFERROR('Дивиденды по годам'!I6,"")</f>
        <v>27047230000000</v>
      </c>
      <c r="X6" cm="1">
        <f t="array" ref="X6">IFERROR(AVERAGE(_xlfn._xlws.FILTER(P$2:P$1073,($C$2:$C$1073=$C6)*($E$2:$E$1073=$E6)*(ROW(P$2:P$1073)&lt;&gt;ROW(P6))*(P$2:P$1073&lt;&gt;""))),"")</f>
        <v>28.5880145314181</v>
      </c>
      <c r="Y6" cm="1">
        <f t="array" ref="Y6">IFERROR(AVERAGE(_xlfn._xlws.FILTER(Q$2:Q$1073,($C$2:$C$1073=$C6)*($E$2:$E$1073=$E6)*(ROW(Q$2:Q$1073)&lt;&gt;ROW(Q6))*(Q$2:Q$1073&lt;&gt;""))),"")</f>
        <v>0.54592305229083227</v>
      </c>
      <c r="Z6" cm="1">
        <f t="array" ref="Z6">IFERROR(AVERAGE(_xlfn._xlws.FILTER(R$2:R$1073,($C$2:$C$1073=$C6)*($E$2:$E$1073=$E6)*(ROW(R$2:R$1073)&lt;&gt;ROW(R6))*(R$2:R$1073&lt;&gt;""))),"")</f>
        <v>0.71962063520940733</v>
      </c>
      <c r="AA6" cm="1">
        <f t="array" ref="AA6">IFERROR(AVERAGE(_xlfn._xlws.FILTER(S$2:S$1073,($C$2:$C$1073=$C6)*($E$2:$E$1073=$E6)*(ROW(S$2:S$1073)&lt;&gt;ROW(S6))*(S$2:S$1073&lt;&gt;""))),"")</f>
        <v>0.7816452330629996</v>
      </c>
      <c r="AB6" cm="1">
        <f t="array" ref="AB6">IFERROR(AVERAGE(_xlfn._xlws.FILTER(T$2:T$1073,($C$2:$C$1073=$C6)*($E$2:$E$1073=$E6)*(ROW(T$2:T$1073)&lt;&gt;ROW(T6))*(T$2:T$1073&lt;&gt;""))),"")</f>
        <v>0.12893486160323281</v>
      </c>
      <c r="AC6" cm="1">
        <f t="array" ref="AC6">IFERROR(AVERAGE(_xlfn._xlws.FILTER(U$2:U$1073,($C$2:$C$1073=$C6)*($E$2:$E$1073=$E6)*(ROW(U$2:U$1073)&lt;&gt;ROW(U6))*(U$2:U$1073&lt;&gt;""))),"")</f>
        <v>1.1281548067421958</v>
      </c>
      <c r="AD6" cm="1">
        <f t="array" ref="AD6">IFERROR(AVERAGE(_xlfn._xlws.FILTER(V$2:V$1073,($C$2:$C$1073=$C6)*($E$2:$E$1073=$E6)*(ROW(V$2:V$1073)&lt;&gt;ROW(V6))*(V$2:V$1073&lt;&gt;""))),"")</f>
        <v>0.45428996944277483</v>
      </c>
      <c r="AE6">
        <f>IF('Дивиденды по годам'!M6&lt;0,1,0)</f>
        <v>0</v>
      </c>
    </row>
    <row r="7" spans="1:31" x14ac:dyDescent="0.2">
      <c r="A7" s="7" t="s">
        <v>2173</v>
      </c>
      <c r="B7" t="str">
        <f t="shared" si="0"/>
        <v>GAZP IV кв. 2020</v>
      </c>
      <c r="C7">
        <v>2020</v>
      </c>
      <c r="D7">
        <f>SUMIFS(Дивиденды!$C:$C,Дивиденды!$A:$A,A7,Дивиденды!$I:$I,C7)</f>
        <v>12.55</v>
      </c>
      <c r="E7">
        <v>1</v>
      </c>
      <c r="F7">
        <f t="shared" si="1"/>
        <v>12.55</v>
      </c>
      <c r="G7">
        <f t="shared" si="2"/>
        <v>54.073333333333331</v>
      </c>
      <c r="H7">
        <f t="shared" si="3"/>
        <v>1</v>
      </c>
      <c r="I7">
        <f t="shared" si="4"/>
        <v>0.83333333333333337</v>
      </c>
      <c r="J7">
        <f t="shared" si="5"/>
        <v>-0.17650918635170601</v>
      </c>
      <c r="K7">
        <f t="shared" si="10"/>
        <v>-0.29877017459072802</v>
      </c>
      <c r="L7">
        <f t="shared" si="6"/>
        <v>0</v>
      </c>
      <c r="M7">
        <f t="shared" si="7"/>
        <v>0.33333333333333331</v>
      </c>
      <c r="N7">
        <f t="shared" si="8"/>
        <v>1</v>
      </c>
      <c r="O7">
        <f t="shared" si="9"/>
        <v>0.5</v>
      </c>
      <c r="P7">
        <f>IFERROR(LN('Дивиденды по годам'!I7),"")</f>
        <v>30.781711671682622</v>
      </c>
      <c r="Q7">
        <f>IFERROR('Дивиденды по годам'!G7/'Дивиденды по годам'!I7, "")</f>
        <v>0.68957551509633896</v>
      </c>
      <c r="R7">
        <f>IFERROR(IF(AND('Дивиденды по годам'!N7&lt;&gt;"",'Дивиденды по годам'!U7&lt;&gt;"",'Дивиденды по годам'!U7&lt;&gt;0),'Дивиденды по годам'!N7/'Дивиденды по годам'!U7-1,""),"")</f>
        <v>-0.17469058202995114</v>
      </c>
      <c r="S7">
        <f>IFERROR(IF(AND('Дивиденды по годам'!L7&lt;&gt;"",'Дивиденды по годам'!I7&lt;&gt;"",'Дивиденды по годам'!J7&lt;&gt;"",'Дивиденды по годам'!K7&lt;&gt;"",('Дивиденды по годам'!I7-'Дивиденды по годам'!J7-'Дивиденды по годам'!K7)&lt;&gt;0),'Дивиденды по годам'!L7/('Дивиденды по годам'!I7-'Дивиденды по годам'!J7-'Дивиденды по годам'!K7),""),"")</f>
        <v>0.92655942708047667</v>
      </c>
      <c r="T7">
        <f>IFERROR(IF(AND('Дивиденды по годам'!Q7&lt;&gt;"",'Дивиденды по годам'!I7&lt;&gt;"",'Дивиденды по годам'!V7&lt;&gt;"",('Дивиденды по годам'!I7+'Дивиденды по годам'!V7)&lt;&gt;0),'Дивиденды по годам'!Q7/(('Дивиденды по годам'!I7+'Дивиденды по годам'!V7)/2),""),"")</f>
        <v>7.1806643831163241E-3</v>
      </c>
      <c r="U7">
        <f>IFERROR(IF(AND('Дивиденды по годам'!J7&lt;&gt;"",'Дивиденды по годам'!K7&lt;&gt;"",'Дивиденды по годам'!M7&lt;&gt;"",'Дивиденды по годам'!M7&lt;&gt;0),('Дивиденды по годам'!J7+'Дивиденды по годам'!K7)/'Дивиденды по годам'!M7,""),"")</f>
        <v>0.57734601342327574</v>
      </c>
      <c r="V7">
        <f>IFERROR(IF(AND('Дивиденды по годам'!J7&lt;&gt;"",'Дивиденды по годам'!K7&lt;&gt;"",'Дивиденды по годам'!M7&lt;&gt;"",'Дивиденды по годам'!I7&lt;&gt;0),('Дивиденды по годам'!J7+'Дивиденды по годам'!K7)/'Дивиденды по годам'!I7,""),"")</f>
        <v>0.36602369328608864</v>
      </c>
      <c r="W7">
        <f>IFERROR('Дивиденды по годам'!I7,"")</f>
        <v>23352185000000</v>
      </c>
      <c r="X7" cm="1">
        <f t="array" ref="X7">IFERROR(AVERAGE(_xlfn._xlws.FILTER(P$2:P$1073,($C$2:$C$1073=$C7)*($E$2:$E$1073=$E7)*(ROW(P$2:P$1073)&lt;&gt;ROW(P7))*(P$2:P$1073&lt;&gt;""))),"")</f>
        <v>28.62410898974591</v>
      </c>
      <c r="Y7" cm="1">
        <f t="array" ref="Y7">IFERROR(AVERAGE(_xlfn._xlws.FILTER(Q$2:Q$1073,($C$2:$C$1073=$C7)*($E$2:$E$1073=$E7)*(ROW(Q$2:Q$1073)&lt;&gt;ROW(Q7))*(Q$2:Q$1073&lt;&gt;""))),"")</f>
        <v>0.5371219038041336</v>
      </c>
      <c r="Z7" cm="1">
        <f t="array" ref="Z7">IFERROR(AVERAGE(_xlfn._xlws.FILTER(R$2:R$1073,($C$2:$C$1073=$C7)*($E$2:$E$1073=$E7)*(ROW(R$2:R$1073)&lt;&gt;ROW(R7))*(R$2:R$1073&lt;&gt;""))),"")</f>
        <v>-0.27049470961689742</v>
      </c>
      <c r="AA7" cm="1">
        <f t="array" ref="AA7">IFERROR(AVERAGE(_xlfn._xlws.FILTER(S$2:S$1073,($C$2:$C$1073=$C7)*($E$2:$E$1073=$E7)*(ROW(S$2:S$1073)&lt;&gt;ROW(S7))*(S$2:S$1073&lt;&gt;""))),"")</f>
        <v>0.74822583962489408</v>
      </c>
      <c r="AB7" cm="1">
        <f t="array" ref="AB7">IFERROR(AVERAGE(_xlfn._xlws.FILTER(T$2:T$1073,($C$2:$C$1073=$C7)*($E$2:$E$1073=$E7)*(ROW(T$2:T$1073)&lt;&gt;ROW(T7))*(T$2:T$1073&lt;&gt;""))),"")</f>
        <v>3.2136749155249916E-2</v>
      </c>
      <c r="AC7" cm="1">
        <f t="array" ref="AC7">IFERROR(AVERAGE(_xlfn._xlws.FILTER(U$2:U$1073,($C$2:$C$1073=$C7)*($E$2:$E$1073=$E7)*(ROW(U$2:U$1073)&lt;&gt;ROW(U7))*(U$2:U$1073&lt;&gt;""))),"")</f>
        <v>1.2967729424726022</v>
      </c>
      <c r="AD7" cm="1">
        <f t="array" ref="AD7">IFERROR(AVERAGE(_xlfn._xlws.FILTER(V$2:V$1073,($C$2:$C$1073=$C7)*($E$2:$E$1073=$E7)*(ROW(V$2:V$1073)&lt;&gt;ROW(V7))*(V$2:V$1073&lt;&gt;""))),"")</f>
        <v>0.40716345527193359</v>
      </c>
      <c r="AE7">
        <f>IF('Дивиденды по годам'!M7&lt;0,1,0)</f>
        <v>0</v>
      </c>
    </row>
    <row r="8" spans="1:31" x14ac:dyDescent="0.2">
      <c r="A8" s="7" t="s">
        <v>2173</v>
      </c>
      <c r="B8" t="str">
        <f t="shared" si="0"/>
        <v>GAZP IV кв. 2019</v>
      </c>
      <c r="C8">
        <v>2019</v>
      </c>
      <c r="D8">
        <f>SUMIFS(Дивиденды!$C:$C,Дивиденды!$A:$A,A8,Дивиденды!$I:$I,C8)</f>
        <v>15.24</v>
      </c>
      <c r="E8">
        <v>1</v>
      </c>
      <c r="F8">
        <f t="shared" si="1"/>
        <v>15.24</v>
      </c>
      <c r="G8">
        <f t="shared" si="2"/>
        <v>112.14333333333333</v>
      </c>
      <c r="H8">
        <f t="shared" si="3"/>
        <v>1</v>
      </c>
      <c r="I8">
        <f t="shared" si="4"/>
        <v>0.83333333333333337</v>
      </c>
      <c r="J8">
        <f t="shared" si="5"/>
        <v>-8.2480433473810913E-2</v>
      </c>
      <c r="K8">
        <f t="shared" si="10"/>
        <v>0.24288944535612003</v>
      </c>
      <c r="L8">
        <f t="shared" si="6"/>
        <v>0</v>
      </c>
      <c r="M8">
        <f t="shared" si="7"/>
        <v>0.5</v>
      </c>
      <c r="N8">
        <f t="shared" si="8"/>
        <v>1</v>
      </c>
      <c r="O8">
        <f t="shared" si="9"/>
        <v>0.16666666666666666</v>
      </c>
      <c r="P8">
        <f>IFERROR(LN('Дивиденды по годам'!I8),"")</f>
        <v>30.716701400339002</v>
      </c>
      <c r="Q8">
        <f>IFERROR('Дивиденды по годам'!G8/'Дивиденды по годам'!I8, "")</f>
        <v>0.6789238522301172</v>
      </c>
      <c r="R8">
        <f>IFERROR(IF(AND('Дивиденды по годам'!N8&lt;&gt;"",'Дивиденды по годам'!U8&lt;&gt;"",'Дивиденды по годам'!U8&lt;&gt;0),'Дивиденды по годам'!N8/'Дивиденды по годам'!U8-1,""),"")</f>
        <v>-6.8645652932810219E-2</v>
      </c>
      <c r="S8">
        <f>IFERROR(IF(AND('Дивиденды по годам'!L8&lt;&gt;"",'Дивиденды по годам'!I8&lt;&gt;"",'Дивиденды по годам'!J8&lt;&gt;"",'Дивиденды по годам'!K8&lt;&gt;"",('Дивиденды по годам'!I8-'Дивиденды по годам'!J8-'Дивиденды по годам'!K8)&lt;&gt;0),'Дивиденды по годам'!L8/('Дивиденды по годам'!I8-'Дивиденды по годам'!J8-'Дивиденды по годам'!K8),""),"")</f>
        <v>0.94282054617069999</v>
      </c>
      <c r="T8">
        <f>IFERROR(IF(AND('Дивиденды по годам'!Q8&lt;&gt;"",'Дивиденды по годам'!I8&lt;&gt;"",'Дивиденды по годам'!V8&lt;&gt;"",('Дивиденды по годам'!I8+'Дивиденды по годам'!V8)&lt;&gt;0),'Дивиденды по годам'!Q8/(('Дивиденды по годам'!I8+'Дивиденды по годам'!V8)/2),""),"")</f>
        <v>5.9472199379436173E-2</v>
      </c>
      <c r="U8">
        <f>IFERROR(IF(AND('Дивиденды по годам'!J8&lt;&gt;"",'Дивиденды по годам'!K8&lt;&gt;"",'Дивиденды по годам'!M8&lt;&gt;"",'Дивиденды по годам'!M8&lt;&gt;0),('Дивиденды по годам'!J8+'Дивиденды по годам'!K8)/'Дивиденды по годам'!M8,""),"")</f>
        <v>0.49718230829655835</v>
      </c>
      <c r="V8">
        <f>IFERROR(IF(AND('Дивиденды по годам'!J8&lt;&gt;"",'Дивиденды по годам'!K8&lt;&gt;"",'Дивиденды по годам'!M8&lt;&gt;"",'Дивиденды по годам'!I8&lt;&gt;0),('Дивиденды по годам'!J8+'Дивиденды по годам'!K8)/'Дивиденды по годам'!I8,""),"")</f>
        <v>0.33207866907152744</v>
      </c>
      <c r="W8">
        <f>IFERROR('Дивиденды по годам'!I8,"")</f>
        <v>21882348000000</v>
      </c>
      <c r="X8" cm="1">
        <f t="array" ref="X8">IFERROR(AVERAGE(_xlfn._xlws.FILTER(P$2:P$1073,($C$2:$C$1073=$C8)*($E$2:$E$1073=$E8)*(ROW(P$2:P$1073)&lt;&gt;ROW(P8))*(P$2:P$1073&lt;&gt;""))),"")</f>
        <v>28.57221706652582</v>
      </c>
      <c r="Y8" cm="1">
        <f t="array" ref="Y8">IFERROR(AVERAGE(_xlfn._xlws.FILTER(Q$2:Q$1073,($C$2:$C$1073=$C8)*($E$2:$E$1073=$E8)*(ROW(Q$2:Q$1073)&lt;&gt;ROW(Q8))*(Q$2:Q$1073&lt;&gt;""))),"")</f>
        <v>0.51462950612310221</v>
      </c>
      <c r="Z8" cm="1">
        <f t="array" ref="Z8">IFERROR(AVERAGE(_xlfn._xlws.FILTER(R$2:R$1073,($C$2:$C$1073=$C8)*($E$2:$E$1073=$E8)*(ROW(R$2:R$1073)&lt;&gt;ROW(R8))*(R$2:R$1073&lt;&gt;""))),"")</f>
        <v>2.5367390533262441E-2</v>
      </c>
      <c r="AA8" cm="1">
        <f t="array" ref="AA8">IFERROR(AVERAGE(_xlfn._xlws.FILTER(S$2:S$1073,($C$2:$C$1073=$C8)*($E$2:$E$1073=$E8)*(ROW(S$2:S$1073)&lt;&gt;ROW(S8))*(S$2:S$1073&lt;&gt;""))),"")</f>
        <v>0.82043004245216766</v>
      </c>
      <c r="AB8" cm="1">
        <f t="array" ref="AB8">IFERROR(AVERAGE(_xlfn._xlws.FILTER(T$2:T$1073,($C$2:$C$1073=$C8)*($E$2:$E$1073=$E8)*(ROW(T$2:T$1073)&lt;&gt;ROW(T8))*(T$2:T$1073&lt;&gt;""))),"")</f>
        <v>0.16320281597335701</v>
      </c>
      <c r="AC8" cm="1">
        <f t="array" ref="AC8">IFERROR(AVERAGE(_xlfn._xlws.FILTER(U$2:U$1073,($C$2:$C$1073=$C8)*($E$2:$E$1073=$E8)*(ROW(U$2:U$1073)&lt;&gt;ROW(U8))*(U$2:U$1073&lt;&gt;""))),"")</f>
        <v>0.95146752072382801</v>
      </c>
      <c r="AD8" cm="1">
        <f t="array" ref="AD8">IFERROR(AVERAGE(_xlfn._xlws.FILTER(V$2:V$1073,($C$2:$C$1073=$C8)*($E$2:$E$1073=$E8)*(ROW(V$2:V$1073)&lt;&gt;ROW(V8))*(V$2:V$1073&lt;&gt;""))),"")</f>
        <v>0.39679468323831024</v>
      </c>
      <c r="AE8">
        <f>IF('Дивиденды по годам'!M8&lt;0,1,0)</f>
        <v>0</v>
      </c>
    </row>
    <row r="9" spans="1:31" x14ac:dyDescent="0.2">
      <c r="A9" s="7" t="s">
        <v>2173</v>
      </c>
      <c r="B9" t="str">
        <f t="shared" si="0"/>
        <v>GAZP IV кв. 2018</v>
      </c>
      <c r="C9">
        <v>2018</v>
      </c>
      <c r="D9">
        <f>SUMIFS(Дивиденды!$C:$C,Дивиденды!$A:$A,A9,Дивиденды!$I:$I,C9)</f>
        <v>16.61</v>
      </c>
      <c r="E9">
        <v>1</v>
      </c>
      <c r="F9">
        <f t="shared" si="1"/>
        <v>16.61</v>
      </c>
      <c r="G9">
        <f t="shared" si="2"/>
        <v>64.588333333333324</v>
      </c>
      <c r="H9">
        <f t="shared" si="3"/>
        <v>1</v>
      </c>
      <c r="I9">
        <f t="shared" si="4"/>
        <v>0.83333333333333337</v>
      </c>
      <c r="J9">
        <f t="shared" si="5"/>
        <v>1.0659203980099503</v>
      </c>
      <c r="K9">
        <f t="shared" si="10"/>
        <v>0.58403361050346703</v>
      </c>
      <c r="L9">
        <f t="shared" si="6"/>
        <v>1</v>
      </c>
      <c r="M9">
        <f t="shared" si="7"/>
        <v>0.66666666666666663</v>
      </c>
      <c r="N9">
        <f t="shared" si="8"/>
        <v>0</v>
      </c>
      <c r="O9">
        <f t="shared" si="9"/>
        <v>0</v>
      </c>
      <c r="P9">
        <f>IFERROR(LN('Дивиденды по годам'!I9),"")</f>
        <v>30.666475899791489</v>
      </c>
      <c r="Q9">
        <f>IFERROR('Дивиденды по годам'!G9/'Дивиденды по годам'!I9, "")</f>
        <v>0.66358202902004959</v>
      </c>
      <c r="R9">
        <f>IFERROR(IF(AND('Дивиденды по годам'!N9&lt;&gt;"",'Дивиденды по годам'!U9&lt;&gt;"",'Дивиденды по годам'!U9&lt;&gt;0),'Дивиденды по годам'!N9/'Дивиденды по годам'!U9-1,""),"")</f>
        <v>0.25633934364098065</v>
      </c>
      <c r="S9">
        <f>IFERROR(IF(AND('Дивиденды по годам'!L9&lt;&gt;"",'Дивиденды по годам'!I9&lt;&gt;"",'Дивиденды по годам'!J9&lt;&gt;"",'Дивиденды по годам'!K9&lt;&gt;"",('Дивиденды по годам'!I9-'Дивиденды по годам'!J9-'Дивиденды по годам'!K9)&lt;&gt;0),'Дивиденды по годам'!L9/('Дивиденды по годам'!I9-'Дивиденды по годам'!J9-'Дивиденды по годам'!K9),""),"")</f>
        <v>0.95895668406121792</v>
      </c>
      <c r="T9">
        <f>IFERROR(IF(AND('Дивиденды по годам'!Q9&lt;&gt;"",'Дивиденды по годам'!I9&lt;&gt;"",'Дивиденды по годам'!V9&lt;&gt;"",('Дивиденды по годам'!I9+'Дивиденды по годам'!V9)&lt;&gt;0),'Дивиденды по годам'!Q9/(('Дивиденды по годам'!I9+'Дивиденды по годам'!V9)/2),""),"")</f>
        <v>7.8311238562828803E-2</v>
      </c>
      <c r="U9">
        <f>IFERROR(IF(AND('Дивиденды по годам'!J9&lt;&gt;"",'Дивиденды по годам'!K9&lt;&gt;"",'Дивиденды по годам'!M9&lt;&gt;"",'Дивиденды по годам'!M9&lt;&gt;0),('Дивиденды по годам'!J9+'Дивиденды по годам'!K9)/'Дивиденды по годам'!M9,""),"")</f>
        <v>0.51061330401890859</v>
      </c>
      <c r="V9">
        <f>IFERROR(IF(AND('Дивиденды по годам'!J9&lt;&gt;"",'Дивиденды по годам'!K9&lt;&gt;"",'Дивиденды по годам'!M9&lt;&gt;"",'Дивиденды по годам'!I9&lt;&gt;0),('Дивиденды по годам'!J9+'Дивиденды по годам'!K9)/'Дивиденды по годам'!I9,""),"")</f>
        <v>0.33801721635871224</v>
      </c>
      <c r="W9">
        <f>IFERROR('Дивиденды по годам'!I9,"")</f>
        <v>20810440000000</v>
      </c>
      <c r="X9" cm="1">
        <f t="array" ref="X9">IFERROR(AVERAGE(_xlfn._xlws.FILTER(P$2:P$1073,($C$2:$C$1073=$C9)*($E$2:$E$1073=$E9)*(ROW(P$2:P$1073)&lt;&gt;ROW(P9))*(P$2:P$1073&lt;&gt;""))),"")</f>
        <v>28.458498470957164</v>
      </c>
      <c r="Y9" cm="1">
        <f t="array" ref="Y9">IFERROR(AVERAGE(_xlfn._xlws.FILTER(Q$2:Q$1073,($C$2:$C$1073=$C9)*($E$2:$E$1073=$E9)*(ROW(Q$2:Q$1073)&lt;&gt;ROW(Q9))*(Q$2:Q$1073&lt;&gt;""))),"")</f>
        <v>0.50857093375965079</v>
      </c>
      <c r="Z9" cm="1">
        <f t="array" ref="Z9">IFERROR(AVERAGE(_xlfn._xlws.FILTER(R$2:R$1073,($C$2:$C$1073=$C9)*($E$2:$E$1073=$E9)*(ROW(R$2:R$1073)&lt;&gt;ROW(R9))*(R$2:R$1073&lt;&gt;""))),"")</f>
        <v>0.36447021235614913</v>
      </c>
      <c r="AA9" cm="1">
        <f t="array" ref="AA9">IFERROR(AVERAGE(_xlfn._xlws.FILTER(S$2:S$1073,($C$2:$C$1073=$C9)*($E$2:$E$1073=$E9)*(ROW(S$2:S$1073)&lt;&gt;ROW(S9))*(S$2:S$1073&lt;&gt;""))),"")</f>
        <v>0.75475666621895687</v>
      </c>
      <c r="AB9" cm="1">
        <f t="array" ref="AB9">IFERROR(AVERAGE(_xlfn._xlws.FILTER(T$2:T$1073,($C$2:$C$1073=$C9)*($E$2:$E$1073=$E9)*(ROW(T$2:T$1073)&lt;&gt;ROW(T9))*(T$2:T$1073&lt;&gt;""))),"")</f>
        <v>0.12546631841900283</v>
      </c>
      <c r="AC9" cm="1">
        <f t="array" ref="AC9">IFERROR(AVERAGE(_xlfn._xlws.FILTER(U$2:U$1073,($C$2:$C$1073=$C9)*($E$2:$E$1073=$E9)*(ROW(U$2:U$1073)&lt;&gt;ROW(U9))*(U$2:U$1073&lt;&gt;""))),"")</f>
        <v>0.92459536485141181</v>
      </c>
      <c r="AD9" cm="1">
        <f t="array" ref="AD9">IFERROR(AVERAGE(_xlfn._xlws.FILTER(V$2:V$1073,($C$2:$C$1073=$C9)*($E$2:$E$1073=$E9)*(ROW(V$2:V$1073)&lt;&gt;ROW(V9))*(V$2:V$1073&lt;&gt;""))),"")</f>
        <v>0.39812337748064763</v>
      </c>
      <c r="AE9">
        <f>IF('Дивиденды по годам'!M9&lt;0,1,0)</f>
        <v>0</v>
      </c>
    </row>
    <row r="10" spans="1:31" x14ac:dyDescent="0.2">
      <c r="A10" s="7" t="s">
        <v>2173</v>
      </c>
      <c r="B10" t="str">
        <f t="shared" si="0"/>
        <v>GAZP IV кв. 2017</v>
      </c>
      <c r="C10">
        <v>2017</v>
      </c>
      <c r="D10">
        <f>SUMIFS(Дивиденды!$C:$C,Дивиденды!$A:$A,A10,Дивиденды!$I:$I,C10)</f>
        <v>8.0399999999999991</v>
      </c>
      <c r="E10">
        <v>1</v>
      </c>
      <c r="F10">
        <f t="shared" si="1"/>
        <v>8.0399999999999991</v>
      </c>
      <c r="G10">
        <f t="shared" si="2"/>
        <v>46.836666666666666</v>
      </c>
      <c r="H10">
        <f t="shared" si="3"/>
        <v>1</v>
      </c>
      <c r="I10">
        <f t="shared" si="4"/>
        <v>0.83333333333333337</v>
      </c>
      <c r="J10">
        <f t="shared" si="5"/>
        <v>0</v>
      </c>
      <c r="K10">
        <f t="shared" si="10"/>
        <v>0.29415529581938399</v>
      </c>
      <c r="L10">
        <f t="shared" si="6"/>
        <v>0</v>
      </c>
      <c r="M10">
        <f t="shared" si="7"/>
        <v>0.83333333333333337</v>
      </c>
      <c r="N10">
        <f t="shared" si="8"/>
        <v>0</v>
      </c>
      <c r="O10">
        <f t="shared" si="9"/>
        <v>0</v>
      </c>
      <c r="P10">
        <f>IFERROR(LN('Дивиденды по годам'!I10),"")</f>
        <v>30.534570664090417</v>
      </c>
      <c r="Q10">
        <f>IFERROR('Дивиденды по годам'!G10/'Дивиденды по годам'!I10, "")</f>
        <v>0.68782483687222329</v>
      </c>
      <c r="R10">
        <f>IFERROR(IF(AND('Дивиденды по годам'!N10&lt;&gt;"",'Дивиденды по годам'!U10&lt;&gt;"",'Дивиденды по годам'!U10&lt;&gt;0),'Дивиденды по годам'!N10/'Дивиденды по годам'!U10-1,""),"")</f>
        <v>7.1197573052491192E-2</v>
      </c>
      <c r="S10">
        <f>IFERROR(IF(AND('Дивиденды по годам'!L10&lt;&gt;"",'Дивиденды по годам'!I10&lt;&gt;"",'Дивиденды по годам'!J10&lt;&gt;"",'Дивиденды по годам'!K10&lt;&gt;"",('Дивиденды по годам'!I10-'Дивиденды по годам'!J10-'Дивиденды по годам'!K10)&lt;&gt;0),'Дивиденды по годам'!L10/('Дивиденды по годам'!I10-'Дивиденды по годам'!J10-'Дивиденды по годам'!K10),""),"")</f>
        <v>0.96041190527453713</v>
      </c>
      <c r="T10">
        <f>IFERROR(IF(AND('Дивиденды по годам'!Q10&lt;&gt;"",'Дивиденды по годам'!I10&lt;&gt;"",'Дивиденды по годам'!V10&lt;&gt;"",('Дивиденды по годам'!I10+'Дивиденды по годам'!V10)&lt;&gt;0),'Дивиденды по годам'!Q10/(('Дивиденды по годам'!I10+'Дивиденды по годам'!V10)/2),""),"")</f>
        <v>4.3625085002696989E-2</v>
      </c>
      <c r="U10">
        <f>IFERROR(IF(AND('Дивиденды по годам'!J10&lt;&gt;"",'Дивиденды по годам'!K10&lt;&gt;"",'Дивиденды по годам'!M10&lt;&gt;"",'Дивиденды по годам'!M10&lt;&gt;0),('Дивиденды по годам'!J10+'Дивиденды по годам'!K10)/'Дивиденды по годам'!M10,""),"")</f>
        <v>0.51793923189591828</v>
      </c>
      <c r="V10">
        <f>IFERROR(IF(AND('Дивиденды по годам'!J10&lt;&gt;"",'Дивиденды по годам'!K10&lt;&gt;"",'Дивиденды по годам'!M10&lt;&gt;"",'Дивиденды по годам'!I10&lt;&gt;0),('Дивиденды по годам'!J10+'Дивиденды по годам'!K10)/'Дивиденды по годам'!I10,""),"")</f>
        <v>0.34121209928081775</v>
      </c>
      <c r="W10">
        <f>IFERROR('Дивиденды по годам'!I10,"")</f>
        <v>18238770000000</v>
      </c>
      <c r="X10" cm="1">
        <f t="array" ref="X10">IFERROR(AVERAGE(_xlfn._xlws.FILTER(P$2:P$1073,($C$2:$C$1073=$C10)*($E$2:$E$1073=$E10)*(ROW(P$2:P$1073)&lt;&gt;ROW(P10))*(P$2:P$1073&lt;&gt;""))),"")</f>
        <v>28.340294221632764</v>
      </c>
      <c r="Y10" cm="1">
        <f t="array" ref="Y10">IFERROR(AVERAGE(_xlfn._xlws.FILTER(Q$2:Q$1073,($C$2:$C$1073=$C10)*($E$2:$E$1073=$E10)*(ROW(Q$2:Q$1073)&lt;&gt;ROW(Q10))*(Q$2:Q$1073&lt;&gt;""))),"")</f>
        <v>0.52425580172965813</v>
      </c>
      <c r="Z10" cm="1">
        <f t="array" ref="Z10">IFERROR(AVERAGE(_xlfn._xlws.FILTER(R$2:R$1073,($C$2:$C$1073=$C10)*($E$2:$E$1073=$E10)*(ROW(R$2:R$1073)&lt;&gt;ROW(R10))*(R$2:R$1073&lt;&gt;""))),"")</f>
        <v>0.16368051534193973</v>
      </c>
      <c r="AA10" cm="1">
        <f t="array" ref="AA10">IFERROR(AVERAGE(_xlfn._xlws.FILTER(S$2:S$1073,($C$2:$C$1073=$C10)*($E$2:$E$1073=$E10)*(ROW(S$2:S$1073)&lt;&gt;ROW(S10))*(S$2:S$1073&lt;&gt;""))),"")</f>
        <v>0.73280408468167568</v>
      </c>
      <c r="AB10" cm="1">
        <f t="array" ref="AB10">IFERROR(AVERAGE(_xlfn._xlws.FILTER(T$2:T$1073,($C$2:$C$1073=$C10)*($E$2:$E$1073=$E10)*(ROW(T$2:T$1073)&lt;&gt;ROW(T10))*(T$2:T$1073&lt;&gt;""))),"")</f>
        <v>7.7823092704658745E-2</v>
      </c>
      <c r="AC10" cm="1">
        <f t="array" ref="AC10">IFERROR(AVERAGE(_xlfn._xlws.FILTER(U$2:U$1073,($C$2:$C$1073=$C10)*($E$2:$E$1073=$E10)*(ROW(U$2:U$1073)&lt;&gt;ROW(U10))*(U$2:U$1073&lt;&gt;""))),"")</f>
        <v>0.97472195973747044</v>
      </c>
      <c r="AD10" cm="1">
        <f t="array" ref="AD10">IFERROR(AVERAGE(_xlfn._xlws.FILTER(V$2:V$1073,($C$2:$C$1073=$C10)*($E$2:$E$1073=$E10)*(ROW(V$2:V$1073)&lt;&gt;ROW(V10))*(V$2:V$1073&lt;&gt;""))),"")</f>
        <v>0.40816670232475655</v>
      </c>
      <c r="AE10">
        <f>IF('Дивиденды по годам'!M10&lt;0,1,0)</f>
        <v>0</v>
      </c>
    </row>
    <row r="11" spans="1:31" x14ac:dyDescent="0.2">
      <c r="A11" s="7" t="s">
        <v>2173</v>
      </c>
      <c r="B11" t="str">
        <f t="shared" si="0"/>
        <v>GAZP IV кв. 2016</v>
      </c>
      <c r="C11">
        <v>2016</v>
      </c>
      <c r="D11">
        <f>SUMIFS(Дивиденды!$C:$C,Дивиденды!$A:$A,A11,Дивиденды!$I:$I,C11)</f>
        <v>8.0399999999999991</v>
      </c>
      <c r="E11">
        <v>1</v>
      </c>
      <c r="F11">
        <f t="shared" si="1"/>
        <v>8.0399999999999991</v>
      </c>
      <c r="G11">
        <f t="shared" si="2"/>
        <v>39.714999999999996</v>
      </c>
      <c r="H11">
        <f t="shared" si="3"/>
        <v>1</v>
      </c>
      <c r="I11">
        <f t="shared" si="4"/>
        <v>0.83333333333333337</v>
      </c>
      <c r="J11">
        <f t="shared" si="5"/>
        <v>1.9011406844106397E-2</v>
      </c>
      <c r="K11">
        <f t="shared" si="10"/>
        <v>0.12024418244311276</v>
      </c>
      <c r="L11">
        <f t="shared" si="6"/>
        <v>1</v>
      </c>
      <c r="M11">
        <f t="shared" si="7"/>
        <v>0.5</v>
      </c>
      <c r="N11">
        <f t="shared" si="8"/>
        <v>0</v>
      </c>
      <c r="O11">
        <f t="shared" si="9"/>
        <v>0.16666666666666666</v>
      </c>
      <c r="P11">
        <f>IFERROR(LN('Дивиденды по годам'!I11),"")</f>
        <v>30.459454702179315</v>
      </c>
      <c r="Q11">
        <f>IFERROR('Дивиденды по годам'!G11/'Дивиденды по годам'!I11, "")</f>
        <v>0.67987405592478678</v>
      </c>
      <c r="R11">
        <f>IFERROR(IF(AND('Дивиденды по годам'!N11&lt;&gt;"",'Дивиденды по годам'!U11&lt;&gt;"",'Дивиденды по годам'!U11&lt;&gt;0),'Дивиденды по годам'!N11/'Дивиденды по годам'!U11-1,""),"")</f>
        <v>6.2129136001112251E-3</v>
      </c>
      <c r="S11">
        <f>IFERROR(IF(AND('Дивиденды по годам'!L11&lt;&gt;"",'Дивиденды по годам'!I11&lt;&gt;"",'Дивиденды по годам'!J11&lt;&gt;"",'Дивиденды по годам'!K11&lt;&gt;"",('Дивиденды по годам'!I11-'Дивиденды по годам'!J11-'Дивиденды по годам'!K11)&lt;&gt;0),'Дивиденды по годам'!L11/('Дивиденды по годам'!I11-'Дивиденды по годам'!J11-'Дивиденды по годам'!K11),""),"")</f>
        <v>0.96184328410843745</v>
      </c>
      <c r="T11">
        <f>IFERROR(IF(AND('Дивиденды по годам'!Q11&lt;&gt;"",'Дивиденды по годам'!I11&lt;&gt;"",'Дивиденды по годам'!V11&lt;&gt;"",('Дивиденды по годам'!I11+'Дивиденды по годам'!V11)&lt;&gt;0),'Дивиденды по годам'!Q11/(('Дивиденды по годам'!I11+'Дивиденды по годам'!V11)/2),""),"")</f>
        <v>5.870328490395537E-2</v>
      </c>
      <c r="U11">
        <f>IFERROR(IF(AND('Дивиденды по годам'!J11&lt;&gt;"",'Дивиденды по годам'!K11&lt;&gt;"",'Дивиденды по годам'!M11&lt;&gt;"",'Дивиденды по годам'!M11&lt;&gt;0),('Дивиденды по годам'!J11+'Дивиденды по годам'!K11)/'Дивиденды по годам'!M11,""),"")</f>
        <v>0.47869044477902545</v>
      </c>
      <c r="V11">
        <f>IFERROR(IF(AND('Дивиденды по годам'!J11&lt;&gt;"",'Дивиденды по годам'!K11&lt;&gt;"",'Дивиденды по годам'!M11&lt;&gt;"",'Дивиденды по годам'!I11&lt;&gt;0),('Дивиденды по годам'!J11+'Дивиденды по годам'!K11)/'Дивиденды по годам'!I11,""),"")</f>
        <v>0.32372593362538477</v>
      </c>
      <c r="W11">
        <f>IFERROR('Дивиденды по годам'!I11,"")</f>
        <v>16918938000000</v>
      </c>
      <c r="X11" cm="1">
        <f t="array" ref="X11">IFERROR(AVERAGE(_xlfn._xlws.FILTER(P$2:P$1073,($C$2:$C$1073=$C11)*($E$2:$E$1073=$E11)*(ROW(P$2:P$1073)&lt;&gt;ROW(P11))*(P$2:P$1073&lt;&gt;""))),"")</f>
        <v>28.279917393391163</v>
      </c>
      <c r="Y11" cm="1">
        <f t="array" ref="Y11">IFERROR(AVERAGE(_xlfn._xlws.FILTER(Q$2:Q$1073,($C$2:$C$1073=$C11)*($E$2:$E$1073=$E11)*(ROW(Q$2:Q$1073)&lt;&gt;ROW(Q11))*(Q$2:Q$1073&lt;&gt;""))),"")</f>
        <v>0.50976915651127397</v>
      </c>
      <c r="Z11" cm="1">
        <f t="array" ref="Z11">IFERROR(AVERAGE(_xlfn._xlws.FILTER(R$2:R$1073,($C$2:$C$1073=$C11)*($E$2:$E$1073=$E11)*(ROW(R$2:R$1073)&lt;&gt;ROW(R11))*(R$2:R$1073&lt;&gt;""))),"")</f>
        <v>1.2025010972091809E-2</v>
      </c>
      <c r="AA11" cm="1">
        <f t="array" ref="AA11">IFERROR(AVERAGE(_xlfn._xlws.FILTER(S$2:S$1073,($C$2:$C$1073=$C11)*($E$2:$E$1073=$E11)*(ROW(S$2:S$1073)&lt;&gt;ROW(S11))*(S$2:S$1073&lt;&gt;""))),"")</f>
        <v>0.68181067484391633</v>
      </c>
      <c r="AB11" cm="1">
        <f t="array" ref="AB11">IFERROR(AVERAGE(_xlfn._xlws.FILTER(T$2:T$1073,($C$2:$C$1073=$C11)*($E$2:$E$1073=$E11)*(ROW(T$2:T$1073)&lt;&gt;ROW(T11))*(T$2:T$1073&lt;&gt;""))),"")</f>
        <v>0.1046415641016665</v>
      </c>
      <c r="AC11" cm="1">
        <f t="array" ref="AC11">IFERROR(AVERAGE(_xlfn._xlws.FILTER(U$2:U$1073,($C$2:$C$1073=$C11)*($E$2:$E$1073=$E11)*(ROW(U$2:U$1073)&lt;&gt;ROW(U11))*(U$2:U$1073&lt;&gt;""))),"")</f>
        <v>1.0228333237057139</v>
      </c>
      <c r="AD11" cm="1">
        <f t="array" ref="AD11">IFERROR(AVERAGE(_xlfn._xlws.FILTER(V$2:V$1073,($C$2:$C$1073=$C11)*($E$2:$E$1073=$E11)*(ROW(V$2:V$1073)&lt;&gt;ROW(V11))*(V$2:V$1073&lt;&gt;""))),"")</f>
        <v>0.42036600683777742</v>
      </c>
      <c r="AE11">
        <f>IF('Дивиденды по годам'!M11&lt;0,1,0)</f>
        <v>0</v>
      </c>
    </row>
    <row r="12" spans="1:31" x14ac:dyDescent="0.2">
      <c r="A12" s="7" t="s">
        <v>2173</v>
      </c>
      <c r="B12" t="str">
        <f t="shared" si="0"/>
        <v>GAZP IV кв. 2015</v>
      </c>
      <c r="C12">
        <v>2015</v>
      </c>
      <c r="D12">
        <f>SUMIFS(Дивиденды!$C:$C,Дивиденды!$A:$A,A12,Дивиденды!$I:$I,C12)</f>
        <v>7.89</v>
      </c>
      <c r="E12">
        <v>1</v>
      </c>
      <c r="F12">
        <f t="shared" si="1"/>
        <v>7.89</v>
      </c>
      <c r="G12">
        <f t="shared" si="2"/>
        <v>35.634999999999998</v>
      </c>
      <c r="H12">
        <f t="shared" si="3"/>
        <v>1</v>
      </c>
      <c r="I12">
        <f t="shared" si="4"/>
        <v>0.83333333333333337</v>
      </c>
      <c r="J12">
        <f t="shared" si="5"/>
        <v>9.5833333333333257E-2</v>
      </c>
      <c r="K12">
        <f t="shared" si="10"/>
        <v>0.14170091571122448</v>
      </c>
      <c r="L12">
        <f t="shared" si="6"/>
        <v>1</v>
      </c>
      <c r="M12">
        <f t="shared" si="7"/>
        <v>0.66666666666666663</v>
      </c>
      <c r="N12">
        <f t="shared" si="8"/>
        <v>0</v>
      </c>
      <c r="O12">
        <f t="shared" si="9"/>
        <v>0.16666666666666666</v>
      </c>
      <c r="P12">
        <f>IFERROR(LN('Дивиденды по годам'!I12),"")</f>
        <v>30.467290960594653</v>
      </c>
      <c r="Q12">
        <f>IFERROR('Дивиденды по годам'!G12/'Дивиденды по годам'!I12, "")</f>
        <v>0.64531170464061782</v>
      </c>
      <c r="R12">
        <f>IFERROR(IF(AND('Дивиденды по годам'!N12&lt;&gt;"",'Дивиденды по годам'!U12&lt;&gt;"",'Дивиденды по годам'!U12&lt;&gt;0),'Дивиденды по годам'!N12/'Дивиденды по годам'!U12-1,""),"")</f>
        <v>8.649791558247677E-2</v>
      </c>
      <c r="S12">
        <f>IFERROR(IF(AND('Дивиденды по годам'!L12&lt;&gt;"",'Дивиденды по годам'!I12&lt;&gt;"",'Дивиденды по годам'!J12&lt;&gt;"",'Дивиденды по годам'!K12&lt;&gt;"",('Дивиденды по годам'!I12-'Дивиденды по годам'!J12-'Дивиденды по годам'!K12)&lt;&gt;0),'Дивиденды по годам'!L12/('Дивиденды по годам'!I12-'Дивиденды по годам'!J12-'Дивиденды по годам'!K12),""),"")</f>
        <v>0.94994686943808038</v>
      </c>
      <c r="T12">
        <f>IFERROR(IF(AND('Дивиденды по годам'!Q12&lt;&gt;"",'Дивиденды по годам'!I12&lt;&gt;"",'Дивиденды по годам'!V12&lt;&gt;"",('Дивиденды по годам'!I12+'Дивиденды по годам'!V12)&lt;&gt;0),'Дивиденды по годам'!Q12/(('Дивиденды по годам'!I12+'Дивиденды по годам'!V12)/2),""),"")</f>
        <v>4.996656790624493E-2</v>
      </c>
      <c r="U12">
        <f>IFERROR(IF(AND('Дивиденды по годам'!J12&lt;&gt;"",'Дивиденды по годам'!K12&lt;&gt;"",'Дивиденды по годам'!M12&lt;&gt;"",'Дивиденды по годам'!M12&lt;&gt;0),('Дивиденды по годам'!J12+'Дивиденды по годам'!K12)/'Дивиденды по годам'!M12,""),"")</f>
        <v>0.56231154867296362</v>
      </c>
      <c r="V12">
        <f>IFERROR(IF(AND('Дивиденды по годам'!J12&lt;&gt;"",'Дивиденды по годам'!K12&lt;&gt;"",'Дивиденды по годам'!M12&lt;&gt;"",'Дивиденды по годам'!I12&lt;&gt;0),('Дивиденды по годам'!J12+'Дивиденды по годам'!K12)/'Дивиденды по годам'!I12,""),"")</f>
        <v>0.35992280102556645</v>
      </c>
      <c r="W12">
        <f>IFERROR('Дивиденды по годам'!I12,"")</f>
        <v>17052040000000</v>
      </c>
      <c r="X12" cm="1">
        <f t="array" ref="X12">IFERROR(AVERAGE(_xlfn._xlws.FILTER(P$2:P$1073,($C$2:$C$1073=$C12)*($E$2:$E$1073=$E12)*(ROW(P$2:P$1073)&lt;&gt;ROW(P12))*(P$2:P$1073&lt;&gt;""))),"")</f>
        <v>28.027871693643341</v>
      </c>
      <c r="Y12" cm="1">
        <f t="array" ref="Y12">IFERROR(AVERAGE(_xlfn._xlws.FILTER(Q$2:Q$1073,($C$2:$C$1073=$C12)*($E$2:$E$1073=$E12)*(ROW(Q$2:Q$1073)&lt;&gt;ROW(Q12))*(Q$2:Q$1073&lt;&gt;""))),"")</f>
        <v>0.5715191003465081</v>
      </c>
      <c r="Z12" cm="1">
        <f t="array" ref="Z12">IFERROR(AVERAGE(_xlfn._xlws.FILTER(R$2:R$1073,($C$2:$C$1073=$C12)*($E$2:$E$1073=$E12)*(ROW(R$2:R$1073)&lt;&gt;ROW(R12))*(R$2:R$1073&lt;&gt;""))),"")</f>
        <v>0.11349516833089235</v>
      </c>
      <c r="AA12" cm="1">
        <f t="array" ref="AA12">IFERROR(AVERAGE(_xlfn._xlws.FILTER(S$2:S$1073,($C$2:$C$1073=$C12)*($E$2:$E$1073=$E12)*(ROW(S$2:S$1073)&lt;&gt;ROW(S12))*(S$2:S$1073&lt;&gt;""))),"")</f>
        <v>0.93141875924207973</v>
      </c>
      <c r="AB12" cm="1">
        <f t="array" ref="AB12">IFERROR(AVERAGE(_xlfn._xlws.FILTER(T$2:T$1073,($C$2:$C$1073=$C12)*($E$2:$E$1073=$E12)*(ROW(T$2:T$1073)&lt;&gt;ROW(T12))*(T$2:T$1073&lt;&gt;""))),"")</f>
        <v>8.333263086364541E-2</v>
      </c>
      <c r="AC12" cm="1">
        <f t="array" ref="AC12">IFERROR(AVERAGE(_xlfn._xlws.FILTER(U$2:U$1073,($C$2:$C$1073=$C12)*($E$2:$E$1073=$E12)*(ROW(U$2:U$1073)&lt;&gt;ROW(U12))*(U$2:U$1073&lt;&gt;""))),"")</f>
        <v>-1.2671068112371704</v>
      </c>
      <c r="AD12" cm="1">
        <f t="array" ref="AD12">IFERROR(AVERAGE(_xlfn._xlws.FILTER(V$2:V$1073,($C$2:$C$1073=$C12)*($E$2:$E$1073=$E12)*(ROW(V$2:V$1073)&lt;&gt;ROW(V12))*(V$2:V$1073&lt;&gt;""))),"")</f>
        <v>0.56966746921706501</v>
      </c>
      <c r="AE12">
        <f>IF('Дивиденды по годам'!M12&lt;0,1,0)</f>
        <v>0</v>
      </c>
    </row>
    <row r="13" spans="1:31" x14ac:dyDescent="0.2">
      <c r="A13" s="7" t="s">
        <v>2173</v>
      </c>
      <c r="B13" t="str">
        <f t="shared" si="0"/>
        <v>GAZP IV кв. 2014</v>
      </c>
      <c r="C13">
        <v>2014</v>
      </c>
      <c r="D13">
        <f>SUMIFS(Дивиденды!$C:$C,Дивиденды!$A:$A,A13,Дивиденды!$I:$I,C13)</f>
        <v>7.2</v>
      </c>
      <c r="E13">
        <v>1</v>
      </c>
      <c r="F13">
        <f t="shared" si="1"/>
        <v>7.2</v>
      </c>
      <c r="G13">
        <f t="shared" si="2"/>
        <v>30.623333333333338</v>
      </c>
      <c r="H13">
        <f t="shared" si="3"/>
        <v>1</v>
      </c>
      <c r="I13">
        <f t="shared" si="4"/>
        <v>0.83333333333333337</v>
      </c>
      <c r="J13">
        <f t="shared" si="5"/>
        <v>0</v>
      </c>
      <c r="K13">
        <f t="shared" si="10"/>
        <v>0.11887241342288564</v>
      </c>
      <c r="L13">
        <f t="shared" si="6"/>
        <v>0</v>
      </c>
      <c r="M13">
        <f t="shared" si="7"/>
        <v>0.66666666666666663</v>
      </c>
      <c r="N13">
        <f t="shared" si="8"/>
        <v>0</v>
      </c>
      <c r="O13">
        <f t="shared" si="9"/>
        <v>0.16666666666666666</v>
      </c>
      <c r="P13">
        <f>IFERROR(LN('Дивиденды по годам'!I13),"")</f>
        <v>30.350833207338933</v>
      </c>
      <c r="Q13">
        <f>IFERROR('Дивиденды по годам'!G13/'Дивиденды по годам'!I13, "")</f>
        <v>0.65559075392670851</v>
      </c>
      <c r="R13">
        <f>IFERROR(IF(AND('Дивиденды по годам'!N13&lt;&gt;"",'Дивиденды по годам'!U13&lt;&gt;"",'Дивиденды по годам'!U13&lt;&gt;0),'Дивиденды по годам'!N13/'Дивиденды по годам'!U13-1,""),"")</f>
        <v>6.4733002981924637E-2</v>
      </c>
      <c r="S13">
        <f>IFERROR(IF(AND('Дивиденды по годам'!L13&lt;&gt;"",'Дивиденды по годам'!I13&lt;&gt;"",'Дивиденды по годам'!J13&lt;&gt;"",'Дивиденды по годам'!K13&lt;&gt;"",('Дивиденды по годам'!I13-'Дивиденды по годам'!J13-'Дивиденды по годам'!K13)&lt;&gt;0),'Дивиденды по годам'!L13/('Дивиденды по годам'!I13-'Дивиденды по годам'!J13-'Дивиденды по годам'!K13),""),"")</f>
        <v>0.94814852656926307</v>
      </c>
      <c r="T13">
        <f>IFERROR(IF(AND('Дивиденды по годам'!Q13&lt;&gt;"",'Дивиденды по годам'!I13&lt;&gt;"",'Дивиденды по годам'!V13&lt;&gt;"",('Дивиденды по годам'!I13+'Дивиденды по годам'!V13)&lt;&gt;0),'Дивиденды по годам'!Q13/(('Дивиденды по годам'!I13+'Дивиденды по годам'!V13)/2),""),"")</f>
        <v>1.0987182156690922E-2</v>
      </c>
      <c r="U13">
        <f>IFERROR(IF(AND('Дивиденды по годам'!J13&lt;&gt;"",'Дивиденды по годам'!K13&lt;&gt;"",'Дивиденды по годам'!M13&lt;&gt;"",'Дивиденды по годам'!M13&lt;&gt;0),('Дивиденды по годам'!J13+'Дивиденды по годам'!K13)/'Дивиденды по годам'!M13,""),"")</f>
        <v>0.49974688787701133</v>
      </c>
      <c r="V13">
        <f>IFERROR(IF(AND('Дивиденды по годам'!J13&lt;&gt;"",'Дивиденды по годам'!K13&lt;&gt;"",'Дивиденды по годам'!M13&lt;&gt;"",'Дивиденды по годам'!I13&lt;&gt;0),('Дивиденды по годам'!J13+'Дивиденды по годам'!K13)/'Дивиденды по годам'!I13,""),"")</f>
        <v>0.33322082007080234</v>
      </c>
      <c r="W13">
        <f>IFERROR('Дивиденды по годам'!I13,"")</f>
        <v>15177470000000</v>
      </c>
      <c r="X13" cm="1">
        <f t="array" ref="X13">IFERROR(AVERAGE(_xlfn._xlws.FILTER(P$2:P$1073,($C$2:$C$1073=$C13)*($E$2:$E$1073=$E13)*(ROW(P$2:P$1073)&lt;&gt;ROW(P13))*(P$2:P$1073&lt;&gt;""))),"")</f>
        <v>28.372328915213384</v>
      </c>
      <c r="Y13" cm="1">
        <f t="array" ref="Y13">IFERROR(AVERAGE(_xlfn._xlws.FILTER(Q$2:Q$1073,($C$2:$C$1073=$C13)*($E$2:$E$1073=$E13)*(ROW(Q$2:Q$1073)&lt;&gt;ROW(Q13))*(Q$2:Q$1073&lt;&gt;""))),"")</f>
        <v>0.62176756223611285</v>
      </c>
      <c r="Z13" cm="1">
        <f t="array" ref="Z13">IFERROR(AVERAGE(_xlfn._xlws.FILTER(R$2:R$1073,($C$2:$C$1073=$C13)*($E$2:$E$1073=$E13)*(ROW(R$2:R$1073)&lt;&gt;ROW(R13))*(R$2:R$1073&lt;&gt;""))),"")</f>
        <v>0.16466401188567392</v>
      </c>
      <c r="AA13" cm="1">
        <f t="array" ref="AA13">IFERROR(AVERAGE(_xlfn._xlws.FILTER(S$2:S$1073,($C$2:$C$1073=$C13)*($E$2:$E$1073=$E13)*(ROW(S$2:S$1073)&lt;&gt;ROW(S13))*(S$2:S$1073&lt;&gt;""))),"")</f>
        <v>0.93308346429543454</v>
      </c>
      <c r="AB13" cm="1">
        <f t="array" ref="AB13">IFERROR(AVERAGE(_xlfn._xlws.FILTER(T$2:T$1073,($C$2:$C$1073=$C13)*($E$2:$E$1073=$E13)*(ROW(T$2:T$1073)&lt;&gt;ROW(T13))*(T$2:T$1073&lt;&gt;""))),"")</f>
        <v>7.137529378609328E-2</v>
      </c>
      <c r="AC13" cm="1">
        <f t="array" ref="AC13">IFERROR(AVERAGE(_xlfn._xlws.FILTER(U$2:U$1073,($C$2:$C$1073=$C13)*($E$2:$E$1073=$E13)*(ROW(U$2:U$1073)&lt;&gt;ROW(U13))*(U$2:U$1073&lt;&gt;""))),"")</f>
        <v>0.86783657475742348</v>
      </c>
      <c r="AD13" cm="1">
        <f t="array" ref="AD13">IFERROR(AVERAGE(_xlfn._xlws.FILTER(V$2:V$1073,($C$2:$C$1073=$C13)*($E$2:$E$1073=$E13)*(ROW(V$2:V$1073)&lt;&gt;ROW(V13))*(V$2:V$1073&lt;&gt;""))),"")</f>
        <v>0.3986104094035508</v>
      </c>
      <c r="AE13">
        <f>IF('Дивиденды по годам'!M13&lt;0,1,0)</f>
        <v>0</v>
      </c>
    </row>
    <row r="14" spans="1:31" x14ac:dyDescent="0.2">
      <c r="A14" s="7" t="s">
        <v>2173</v>
      </c>
      <c r="B14" t="str">
        <f t="shared" si="0"/>
        <v>GAZP IV кв. 2013</v>
      </c>
      <c r="C14">
        <v>2013</v>
      </c>
      <c r="D14">
        <f>SUMIFS(Дивиденды!$C:$C,Дивиденды!$A:$A,A14,Дивиденды!$I:$I,C14)</f>
        <v>7.2</v>
      </c>
      <c r="E14">
        <v>1</v>
      </c>
      <c r="F14">
        <f t="shared" si="1"/>
        <v>7.2</v>
      </c>
      <c r="G14">
        <f t="shared" si="2"/>
        <v>23.261666666666667</v>
      </c>
      <c r="H14">
        <f t="shared" si="3"/>
        <v>1</v>
      </c>
      <c r="I14">
        <f t="shared" si="4"/>
        <v>0.83333333333333337</v>
      </c>
      <c r="J14">
        <f t="shared" si="5"/>
        <v>0.2020033388981636</v>
      </c>
      <c r="K14">
        <f t="shared" si="10"/>
        <v>0.18760300515474779</v>
      </c>
      <c r="L14">
        <f t="shared" si="6"/>
        <v>1</v>
      </c>
      <c r="M14">
        <f t="shared" si="7"/>
        <v>0.66666666666666663</v>
      </c>
      <c r="N14">
        <f t="shared" si="8"/>
        <v>0</v>
      </c>
      <c r="O14">
        <f t="shared" si="9"/>
        <v>0.16666666666666666</v>
      </c>
      <c r="P14">
        <f>IFERROR(LN('Дивиденды по годам'!I14),"")</f>
        <v>30.228976352275751</v>
      </c>
      <c r="Q14">
        <f>IFERROR('Дивиденды по годам'!G14/'Дивиденды по годам'!I14, "")</f>
        <v>0.66537146266260883</v>
      </c>
      <c r="R14">
        <f>IFERROR(IF(AND('Дивиденды по годам'!N14&lt;&gt;"",'Дивиденды по годам'!U14&lt;&gt;"",'Дивиденды по годам'!U14&lt;&gt;0),'Дивиденды по годам'!N14/'Дивиденды по годам'!U14-1,""),"")</f>
        <v>0.10191270232563898</v>
      </c>
      <c r="S14">
        <f>IFERROR(IF(AND('Дивиденды по годам'!L14&lt;&gt;"",'Дивиденды по годам'!I14&lt;&gt;"",'Дивиденды по годам'!J14&lt;&gt;"",'Дивиденды по годам'!K14&lt;&gt;"",('Дивиденды по годам'!I14-'Дивиденды по годам'!J14-'Дивиденды по годам'!K14)&lt;&gt;0),'Дивиденды по годам'!L14/('Дивиденды по годам'!I14-'Дивиденды по годам'!J14-'Дивиденды по годам'!K14),""),"")</f>
        <v>0.94436170811244846</v>
      </c>
      <c r="T14">
        <f>IFERROR(IF(AND('Дивиденды по годам'!Q14&lt;&gt;"",'Дивиденды по годам'!I14&lt;&gt;"",'Дивиденды по годам'!V14&lt;&gt;"",('Дивиденды по годам'!I14+'Дивиденды по годам'!V14)&lt;&gt;0),'Дивиденды по годам'!Q14/(('Дивиденды по годам'!I14+'Дивиденды по годам'!V14)/2),""),"")</f>
        <v>9.1412159678486538E-2</v>
      </c>
      <c r="U14">
        <f>IFERROR(IF(AND('Дивиденды по годам'!J14&lt;&gt;"",'Дивиденды по годам'!K14&lt;&gt;"",'Дивиденды по годам'!M14&lt;&gt;"",'Дивиденды по годам'!M14&lt;&gt;0),('Дивиденды по годам'!J14+'Дивиденды по годам'!K14)/'Дивиденды по годам'!M14,""),"")</f>
        <v>0.39461722083286538</v>
      </c>
      <c r="V14">
        <f>IFERROR(IF(AND('Дивиденды по годам'!J14&lt;&gt;"",'Дивиденды по годам'!K14&lt;&gt;"",'Дивиденды по годам'!M14&lt;&gt;"",'Дивиденды по годам'!I14&lt;&gt;0),('Дивиденды по годам'!J14+'Дивиденды по годам'!K14)/'Дивиденды по годам'!I14,""),"")</f>
        <v>0.28295736990627435</v>
      </c>
      <c r="W14">
        <f>IFERROR('Дивиденды по годам'!I14,"")</f>
        <v>13436236000000</v>
      </c>
      <c r="X14" cm="1">
        <f t="array" ref="X14">IFERROR(AVERAGE(_xlfn._xlws.FILTER(P$2:P$1073,($C$2:$C$1073=$C14)*($E$2:$E$1073=$E14)*(ROW(P$2:P$1073)&lt;&gt;ROW(P14))*(P$2:P$1073&lt;&gt;""))),"")</f>
        <v>28.221138772182435</v>
      </c>
      <c r="Y14" cm="1">
        <f t="array" ref="Y14">IFERROR(AVERAGE(_xlfn._xlws.FILTER(Q$2:Q$1073,($C$2:$C$1073=$C14)*($E$2:$E$1073=$E14)*(ROW(Q$2:Q$1073)&lt;&gt;ROW(Q14))*(Q$2:Q$1073&lt;&gt;""))),"")</f>
        <v>0.63661212942781331</v>
      </c>
      <c r="Z14" cm="1">
        <f t="array" ref="Z14">IFERROR(AVERAGE(_xlfn._xlws.FILTER(R$2:R$1073,($C$2:$C$1073=$C14)*($E$2:$E$1073=$E14)*(ROW(R$2:R$1073)&lt;&gt;ROW(R14))*(R$2:R$1073&lt;&gt;""))),"")</f>
        <v>0.2513441352957933</v>
      </c>
      <c r="AA14" cm="1">
        <f t="array" ref="AA14">IFERROR(AVERAGE(_xlfn._xlws.FILTER(S$2:S$1073,($C$2:$C$1073=$C14)*($E$2:$E$1073=$E14)*(ROW(S$2:S$1073)&lt;&gt;ROW(S14))*(S$2:S$1073&lt;&gt;""))),"")</f>
        <v>0.88430354976654146</v>
      </c>
      <c r="AB14" cm="1">
        <f t="array" ref="AB14">IFERROR(AVERAGE(_xlfn._xlws.FILTER(T$2:T$1073,($C$2:$C$1073=$C14)*($E$2:$E$1073=$E14)*(ROW(T$2:T$1073)&lt;&gt;ROW(T14))*(T$2:T$1073&lt;&gt;""))),"")</f>
        <v>0.12452484310466713</v>
      </c>
      <c r="AC14" cm="1">
        <f t="array" ref="AC14">IFERROR(AVERAGE(_xlfn._xlws.FILTER(U$2:U$1073,($C$2:$C$1073=$C14)*($E$2:$E$1073=$E14)*(ROW(U$2:U$1073)&lt;&gt;ROW(U14))*(U$2:U$1073&lt;&gt;""))),"")</f>
        <v>0.67750260631788672</v>
      </c>
      <c r="AD14" cm="1">
        <f t="array" ref="AD14">IFERROR(AVERAGE(_xlfn._xlws.FILTER(V$2:V$1073,($C$2:$C$1073=$C14)*($E$2:$E$1073=$E14)*(ROW(V$2:V$1073)&lt;&gt;ROW(V14))*(V$2:V$1073&lt;&gt;""))),"")</f>
        <v>0.37202403092261893</v>
      </c>
      <c r="AE14">
        <f>IF('Дивиденды по годам'!M14&lt;0,1,0)</f>
        <v>0</v>
      </c>
    </row>
    <row r="15" spans="1:31" x14ac:dyDescent="0.2">
      <c r="A15" s="7" t="s">
        <v>2173</v>
      </c>
      <c r="B15" t="str">
        <f t="shared" si="0"/>
        <v>GAZP IV кв. 2012</v>
      </c>
      <c r="C15">
        <v>2012</v>
      </c>
      <c r="D15">
        <f>SUMIFS(Дивиденды!$C:$C,Дивиденды!$A:$A,A15,Дивиденды!$I:$I,C15)</f>
        <v>5.99</v>
      </c>
      <c r="E15">
        <v>1</v>
      </c>
      <c r="F15">
        <f t="shared" si="1"/>
        <v>5.99</v>
      </c>
      <c r="G15">
        <f t="shared" si="2"/>
        <v>19.001666666666665</v>
      </c>
      <c r="H15">
        <f t="shared" si="3"/>
        <v>1</v>
      </c>
      <c r="I15">
        <f t="shared" si="4"/>
        <v>0.83333333333333337</v>
      </c>
      <c r="J15">
        <f t="shared" si="5"/>
        <v>-0.33221850613154963</v>
      </c>
      <c r="K15">
        <f t="shared" si="10"/>
        <v>7.6735506186178068E-2</v>
      </c>
      <c r="L15">
        <f t="shared" si="6"/>
        <v>0</v>
      </c>
      <c r="M15">
        <f t="shared" si="7"/>
        <v>0.66666666666666663</v>
      </c>
      <c r="N15">
        <f t="shared" si="8"/>
        <v>1</v>
      </c>
      <c r="O15">
        <f t="shared" si="9"/>
        <v>0.16666666666666666</v>
      </c>
      <c r="P15">
        <f>IFERROR(LN('Дивиденды по годам'!I15),"")</f>
        <v>30.121589955223332</v>
      </c>
      <c r="Q15">
        <f>IFERROR('Дивиденды по годам'!G15/'Дивиденды по годам'!I15, "")</f>
        <v>0.64785398974937225</v>
      </c>
      <c r="R15">
        <f>IFERROR(IF(AND('Дивиденды по годам'!N15&lt;&gt;"",'Дивиденды по годам'!U15&lt;&gt;"",'Дивиденды по годам'!U15&lt;&gt;0),'Дивиденды по годам'!N15/'Дивиденды по годам'!U15-1,""),"")</f>
        <v>2.7457090546010532E-2</v>
      </c>
      <c r="S15">
        <f>IFERROR(IF(AND('Дивиденды по годам'!L15&lt;&gt;"",'Дивиденды по годам'!I15&lt;&gt;"",'Дивиденды по годам'!J15&lt;&gt;"",'Дивиденды по годам'!K15&lt;&gt;"",('Дивиденды по годам'!I15-'Дивиденды по годам'!J15-'Дивиденды по годам'!K15)&lt;&gt;0),'Дивиденды по годам'!L15/('Дивиденды по годам'!I15-'Дивиденды по годам'!J15-'Дивиденды по годам'!K15),""),"")</f>
        <v>0.93903490756449703</v>
      </c>
      <c r="T15">
        <f>IFERROR(IF(AND('Дивиденды по годам'!Q15&lt;&gt;"",'Дивиденды по годам'!I15&lt;&gt;"",'Дивиденды по годам'!V15&lt;&gt;"",('Дивиденды по годам'!I15+'Дивиденды по годам'!V15)&lt;&gt;0),'Дивиденды по годам'!Q15/(('Дивиденды по годам'!I15+'Дивиденды по годам'!V15)/2),""),"")</f>
        <v>0.10540943848479907</v>
      </c>
      <c r="U15">
        <f>IFERROR(IF(AND('Дивиденды по годам'!J15&lt;&gt;"",'Дивиденды по годам'!K15&lt;&gt;"",'Дивиденды по годам'!M15&lt;&gt;"",'Дивиденды по годам'!M15&lt;&gt;0),('Дивиденды по годам'!J15+'Дивиденды по годам'!K15)/'Дивиденды по годам'!M15,""),"")</f>
        <v>0.38696800655181979</v>
      </c>
      <c r="V15">
        <f>IFERROR(IF(AND('Дивиденды по годам'!J15&lt;&gt;"",'Дивиденды по годам'!K15&lt;&gt;"",'Дивиденды по годам'!M15&lt;&gt;"",'Дивиденды по годам'!I15&lt;&gt;0),('Дивиденды по годам'!J15+'Дивиденды по годам'!K15)/'Дивиденды по годам'!I15,""),"")</f>
        <v>0.2790028354827534</v>
      </c>
      <c r="W15">
        <f>IFERROR('Дивиденды по годам'!I15,"")</f>
        <v>12068139000000</v>
      </c>
      <c r="X15" cm="1">
        <f t="array" ref="X15">IFERROR(AVERAGE(_xlfn._xlws.FILTER(P$2:P$1073,($C$2:$C$1073=$C15)*($E$2:$E$1073=$E15)*(ROW(P$2:P$1073)&lt;&gt;ROW(P15))*(P$2:P$1073&lt;&gt;""))),"")</f>
        <v>27.941601621502926</v>
      </c>
      <c r="Y15" cm="1">
        <f t="array" ref="Y15">IFERROR(AVERAGE(_xlfn._xlws.FILTER(Q$2:Q$1073,($C$2:$C$1073=$C15)*($E$2:$E$1073=$E15)*(ROW(Q$2:Q$1073)&lt;&gt;ROW(Q15))*(Q$2:Q$1073&lt;&gt;""))),"")</f>
        <v>0.61294539861361075</v>
      </c>
      <c r="Z15" cm="1">
        <f t="array" ref="Z15">IFERROR(AVERAGE(_xlfn._xlws.FILTER(R$2:R$1073,($C$2:$C$1073=$C15)*($E$2:$E$1073=$E15)*(ROW(R$2:R$1073)&lt;&gt;ROW(R15))*(R$2:R$1073&lt;&gt;""))),"")</f>
        <v>3.9661079067105198E-2</v>
      </c>
      <c r="AA15" cm="1">
        <f t="array" ref="AA15">IFERROR(AVERAGE(_xlfn._xlws.FILTER(S$2:S$1073,($C$2:$C$1073=$C15)*($E$2:$E$1073=$E15)*(ROW(S$2:S$1073)&lt;&gt;ROW(S15))*(S$2:S$1073&lt;&gt;""))),"")</f>
        <v>0.89795663617077426</v>
      </c>
      <c r="AB15" cm="1">
        <f t="array" ref="AB15">IFERROR(AVERAGE(_xlfn._xlws.FILTER(T$2:T$1073,($C$2:$C$1073=$C15)*($E$2:$E$1073=$E15)*(ROW(T$2:T$1073)&lt;&gt;ROW(T15))*(T$2:T$1073&lt;&gt;""))),"")</f>
        <v>0.12530018729702813</v>
      </c>
      <c r="AC15" cm="1">
        <f t="array" ref="AC15">IFERROR(AVERAGE(_xlfn._xlws.FILTER(U$2:U$1073,($C$2:$C$1073=$C15)*($E$2:$E$1073=$E15)*(ROW(U$2:U$1073)&lt;&gt;ROW(U15))*(U$2:U$1073&lt;&gt;""))),"")</f>
        <v>0.50988452343578827</v>
      </c>
      <c r="AD15" cm="1">
        <f t="array" ref="AD15">IFERROR(AVERAGE(_xlfn._xlws.FILTER(V$2:V$1073,($C$2:$C$1073=$C15)*($E$2:$E$1073=$E15)*(ROW(V$2:V$1073)&lt;&gt;ROW(V15))*(V$2:V$1073&lt;&gt;""))),"")</f>
        <v>0.33159406807644842</v>
      </c>
      <c r="AE15">
        <f>IF('Дивиденды по годам'!M15&lt;0,1,0)</f>
        <v>0</v>
      </c>
    </row>
    <row r="16" spans="1:31" x14ac:dyDescent="0.2">
      <c r="A16" s="7" t="s">
        <v>2173</v>
      </c>
      <c r="B16" t="str">
        <f t="shared" si="0"/>
        <v>GAZP IV кв. 2011</v>
      </c>
      <c r="C16">
        <v>2011</v>
      </c>
      <c r="D16">
        <f>SUMIFS(Дивиденды!$C:$C,Дивиденды!$A:$A,A16,Дивиденды!$I:$I,C16)</f>
        <v>8.9700000000000006</v>
      </c>
      <c r="E16">
        <v>1</v>
      </c>
      <c r="F16">
        <f t="shared" si="1"/>
        <v>8.9700000000000006</v>
      </c>
      <c r="G16">
        <f t="shared" si="2"/>
        <v>16.035</v>
      </c>
      <c r="H16">
        <f t="shared" si="3"/>
        <v>1</v>
      </c>
      <c r="I16">
        <f t="shared" si="4"/>
        <v>0.83333333333333337</v>
      </c>
      <c r="J16">
        <f t="shared" si="5"/>
        <v>1.3298701298701301</v>
      </c>
      <c r="K16">
        <f t="shared" si="10"/>
        <v>0.51830097933003938</v>
      </c>
      <c r="L16">
        <f t="shared" si="6"/>
        <v>1</v>
      </c>
      <c r="M16">
        <f t="shared" si="7"/>
        <v>0.83333333333333337</v>
      </c>
      <c r="N16">
        <f t="shared" si="8"/>
        <v>0</v>
      </c>
      <c r="O16">
        <f t="shared" si="9"/>
        <v>0</v>
      </c>
      <c r="P16">
        <f>IFERROR(LN('Дивиденды по годам'!I16),"")</f>
        <v>30.019847756336127</v>
      </c>
      <c r="Q16">
        <f>IFERROR('Дивиденды по годам'!G16/'Дивиденды по годам'!I16, "")</f>
        <v>0.61634367200039342</v>
      </c>
      <c r="R16">
        <f>IFERROR(IF(AND('Дивиденды по годам'!N16&lt;&gt;"",'Дивиденды по годам'!U16&lt;&gt;"",'Дивиденды по годам'!U16&lt;&gt;0),'Дивиденды по годам'!N16/'Дивиденды по годам'!U16-1,""),"")</f>
        <v>0.28913549810483796</v>
      </c>
      <c r="S16">
        <f>IFERROR(IF(AND('Дивиденды по годам'!L16&lt;&gt;"",'Дивиденды по годам'!I16&lt;&gt;"",'Дивиденды по годам'!J16&lt;&gt;"",'Дивиденды по годам'!K16&lt;&gt;"",('Дивиденды по годам'!I16-'Дивиденды по годам'!J16-'Дивиденды по годам'!K16)&lt;&gt;0),'Дивиденды по годам'!L16/('Дивиденды по годам'!I16-'Дивиденды по годам'!J16-'Дивиденды по годам'!K16),""),"")</f>
        <v>0.93325478666319805</v>
      </c>
      <c r="T16">
        <f>IFERROR(IF(AND('Дивиденды по годам'!Q16&lt;&gt;"",'Дивиденды по годам'!I16&lt;&gt;"",'Дивиденды по годам'!V16&lt;&gt;"",('Дивиденды по годам'!I16+'Дивиденды по годам'!V16)&lt;&gt;0),'Дивиденды по годам'!Q16/(('Дивиденды по годам'!I16+'Дивиденды по годам'!V16)/2),""),"")</f>
        <v>0.13333294266996923</v>
      </c>
      <c r="U16">
        <f>IFERROR(IF(AND('Дивиденды по годам'!J16&lt;&gt;"",'Дивиденды по годам'!K16&lt;&gt;"",'Дивиденды по годам'!M16&lt;&gt;"",'Дивиденды по годам'!M16&lt;&gt;0),('Дивиденды по годам'!J16+'Дивиденды по годам'!K16)/'Дивиденды по годам'!M16,""),"")</f>
        <v>0.40454949632076626</v>
      </c>
      <c r="V16">
        <f>IFERROR(IF(AND('Дивиденды по годам'!J16&lt;&gt;"",'Дивиденды по годам'!K16&lt;&gt;"",'Дивиденды по годам'!M16&lt;&gt;"",'Дивиденды по годам'!I16&lt;&gt;0),('Дивиденды по годам'!J16+'Дивиденды по годам'!K16)/'Дивиденды по годам'!I16,""),"")</f>
        <v>0.28802793876647875</v>
      </c>
      <c r="W16">
        <f>IFERROR('Дивиденды по годам'!I16,"")</f>
        <v>10900696000000</v>
      </c>
      <c r="X16" cm="1">
        <f t="array" ref="X16">IFERROR(AVERAGE(_xlfn._xlws.FILTER(P$2:P$1073,($C$2:$C$1073=$C16)*($E$2:$E$1073=$E16)*(ROW(P$2:P$1073)&lt;&gt;ROW(P16))*(P$2:P$1073&lt;&gt;""))),"")</f>
        <v>27.825817898387751</v>
      </c>
      <c r="Y16" cm="1">
        <f t="array" ref="Y16">IFERROR(AVERAGE(_xlfn._xlws.FILTER(Q$2:Q$1073,($C$2:$C$1073=$C16)*($E$2:$E$1073=$E16)*(ROW(Q$2:Q$1073)&lt;&gt;ROW(Q16))*(Q$2:Q$1073&lt;&gt;""))),"")</f>
        <v>0.60116680696246461</v>
      </c>
      <c r="Z16" cm="1">
        <f t="array" ref="Z16">IFERROR(AVERAGE(_xlfn._xlws.FILTER(R$2:R$1073,($C$2:$C$1073=$C16)*($E$2:$E$1073=$E16)*(ROW(R$2:R$1073)&lt;&gt;ROW(R16))*(R$2:R$1073&lt;&gt;""))),"")</f>
        <v>0.36602667856981935</v>
      </c>
      <c r="AA16" cm="1">
        <f t="array" ref="AA16">IFERROR(AVERAGE(_xlfn._xlws.FILTER(S$2:S$1073,($C$2:$C$1073=$C16)*($E$2:$E$1073=$E16)*(ROW(S$2:S$1073)&lt;&gt;ROW(S16))*(S$2:S$1073&lt;&gt;""))),"")</f>
        <v>0.86979962745428385</v>
      </c>
      <c r="AB16" cm="1">
        <f t="array" ref="AB16">IFERROR(AVERAGE(_xlfn._xlws.FILTER(T$2:T$1073,($C$2:$C$1073=$C16)*($E$2:$E$1073=$E16)*(ROW(T$2:T$1073)&lt;&gt;ROW(T16))*(T$2:T$1073&lt;&gt;""))),"")</f>
        <v>0.16853339678081239</v>
      </c>
      <c r="AC16" cm="1">
        <f t="array" ref="AC16">IFERROR(AVERAGE(_xlfn._xlws.FILTER(U$2:U$1073,($C$2:$C$1073=$C16)*($E$2:$E$1073=$E16)*(ROW(U$2:U$1073)&lt;&gt;ROW(U16))*(U$2:U$1073&lt;&gt;""))),"")</f>
        <v>0.53166591966577403</v>
      </c>
      <c r="AD16" cm="1">
        <f t="array" ref="AD16">IFERROR(AVERAGE(_xlfn._xlws.FILTER(V$2:V$1073,($C$2:$C$1073=$C16)*($E$2:$E$1073=$E16)*(ROW(V$2:V$1073)&lt;&gt;ROW(V16))*(V$2:V$1073&lt;&gt;""))),"")</f>
        <v>0.34365862711088846</v>
      </c>
      <c r="AE16">
        <f>IF('Дивиденды по годам'!M16&lt;0,1,0)</f>
        <v>0</v>
      </c>
    </row>
    <row r="17" spans="1:31" x14ac:dyDescent="0.2">
      <c r="A17" s="7" t="s">
        <v>2173</v>
      </c>
      <c r="B17" t="str">
        <f t="shared" si="0"/>
        <v>GAZP IV кв. 2010</v>
      </c>
      <c r="C17">
        <v>2010</v>
      </c>
      <c r="D17">
        <f>SUMIFS(Дивиденды!$C:$C,Дивиденды!$A:$A,A17,Дивиденды!$I:$I,C17)</f>
        <v>3.85</v>
      </c>
      <c r="E17">
        <v>1</v>
      </c>
      <c r="F17">
        <f t="shared" si="1"/>
        <v>3.85</v>
      </c>
      <c r="G17">
        <f t="shared" si="2"/>
        <v>11.88</v>
      </c>
      <c r="H17">
        <f t="shared" si="3"/>
        <v>1</v>
      </c>
      <c r="I17">
        <f t="shared" si="4"/>
        <v>0.83333333333333337</v>
      </c>
      <c r="J17" t="str">
        <f t="shared" si="5"/>
        <v/>
      </c>
      <c r="K17" t="str">
        <f t="shared" si="10"/>
        <v/>
      </c>
      <c r="L17" t="str">
        <f t="shared" si="6"/>
        <v/>
      </c>
      <c r="M17" t="str">
        <f t="shared" si="7"/>
        <v/>
      </c>
      <c r="N17" t="str">
        <f t="shared" si="8"/>
        <v/>
      </c>
      <c r="O17" t="str">
        <f t="shared" si="9"/>
        <v/>
      </c>
      <c r="P17">
        <f>IFERROR(LN('Дивиденды по годам'!I17),"")</f>
        <v>29.854129249516657</v>
      </c>
      <c r="Q17">
        <f>IFERROR('Дивиденды по годам'!G17/'Дивиденды по годам'!I17, "")</f>
        <v>0.59402697685024231</v>
      </c>
      <c r="R17" t="str">
        <f>IFERROR(IF(AND('Дивиденды по годам'!N17&lt;&gt;"",'Дивиденды по годам'!U17&lt;&gt;"",'Дивиденды по годам'!U17&lt;&gt;0),'Дивиденды по годам'!N17/'Дивиденды по годам'!U17-1,""),"")</f>
        <v/>
      </c>
      <c r="S17">
        <f>IFERROR(IF(AND('Дивиденды по годам'!L17&lt;&gt;"",'Дивиденды по годам'!I17&lt;&gt;"",'Дивиденды по годам'!J17&lt;&gt;"",'Дивиденды по годам'!K17&lt;&gt;"",('Дивиденды по годам'!I17-'Дивиденды по годам'!J17-'Дивиденды по годам'!K17)&lt;&gt;0),'Дивиденды по годам'!L17/('Дивиденды по годам'!I17-'Дивиденды по годам'!J17-'Дивиденды по годам'!K17),""),"")</f>
        <v>0.92230875865026429</v>
      </c>
      <c r="T17" t="str">
        <f>IFERROR(IF(AND('Дивиденды по годам'!Q17&lt;&gt;"",'Дивиденды по годам'!I17&lt;&gt;"",'Дивиденды по годам'!V17&lt;&gt;"",('Дивиденды по годам'!I17+'Дивиденды по годам'!V17)&lt;&gt;0),'Дивиденды по годам'!Q17/(('Дивиденды по годам'!I17+'Дивиденды по годам'!V17)/2),""),"")</f>
        <v/>
      </c>
      <c r="U17">
        <f>IFERROR(IF(AND('Дивиденды по годам'!J17&lt;&gt;"",'Дивиденды по годам'!K17&lt;&gt;"",'Дивиденды по годам'!M17&lt;&gt;"",'Дивиденды по годам'!M17&lt;&gt;0),('Дивиденды по годам'!J17+'Дивиденды по годам'!K17)/'Дивиденды по годам'!M17,""),"")</f>
        <v>0.4130175796593854</v>
      </c>
      <c r="V17">
        <f>IFERROR(IF(AND('Дивиденды по годам'!J17&lt;&gt;"",'Дивиденды по годам'!K17&lt;&gt;"",'Дивиденды по годам'!M17&lt;&gt;"",'Дивиденды по годам'!I17&lt;&gt;0),('Дивиденды по годам'!J17+'Дивиденды по годам'!K17)/'Дивиденды по годам'!I17,""),"")</f>
        <v>0.29229472131475198</v>
      </c>
      <c r="W17">
        <f>IFERROR('Дивиденды по годам'!I17,"")</f>
        <v>9235993000000</v>
      </c>
      <c r="X17" cm="1">
        <f t="array" ref="X17">IFERROR(AVERAGE(_xlfn._xlws.FILTER(P$2:P$1073,($C$2:$C$1073=$C17)*($E$2:$E$1073=$E17)*(ROW(P$2:P$1073)&lt;&gt;ROW(P17))*(P$2:P$1073&lt;&gt;""))),"")</f>
        <v>27.472074535726197</v>
      </c>
      <c r="Y17" cm="1">
        <f t="array" ref="Y17">IFERROR(AVERAGE(_xlfn._xlws.FILTER(Q$2:Q$1073,($C$2:$C$1073=$C17)*($E$2:$E$1073=$E17)*(ROW(Q$2:Q$1073)&lt;&gt;ROW(Q17))*(Q$2:Q$1073&lt;&gt;""))),"")</f>
        <v>0.65047598549620578</v>
      </c>
      <c r="Z17" cm="1">
        <f t="array" ref="Z17">IFERROR(AVERAGE(_xlfn._xlws.FILTER(R$2:R$1073,($C$2:$C$1073=$C17)*($E$2:$E$1073=$E17)*(ROW(R$2:R$1073)&lt;&gt;ROW(R17))*(R$2:R$1073&lt;&gt;""))),"")</f>
        <v>0.23861324477859247</v>
      </c>
      <c r="AA17" cm="1">
        <f t="array" ref="AA17">IFERROR(AVERAGE(_xlfn._xlws.FILTER(S$2:S$1073,($C$2:$C$1073=$C17)*($E$2:$E$1073=$E17)*(ROW(S$2:S$1073)&lt;&gt;ROW(S17))*(S$2:S$1073&lt;&gt;""))),"")</f>
        <v>0.82690725782620733</v>
      </c>
      <c r="AB17" cm="1">
        <f t="array" ref="AB17">IFERROR(AVERAGE(_xlfn._xlws.FILTER(T$2:T$1073,($C$2:$C$1073=$C17)*($E$2:$E$1073=$E17)*(ROW(T$2:T$1073)&lt;&gt;ROW(T17))*(T$2:T$1073&lt;&gt;""))),"")</f>
        <v>0.10947396081496689</v>
      </c>
      <c r="AC17" cm="1">
        <f t="array" ref="AC17">IFERROR(AVERAGE(_xlfn._xlws.FILTER(U$2:U$1073,($C$2:$C$1073=$C17)*($E$2:$E$1073=$E17)*(ROW(U$2:U$1073)&lt;&gt;ROW(U17))*(U$2:U$1073&lt;&gt;""))),"")</f>
        <v>0.55457444837779901</v>
      </c>
      <c r="AD17" cm="1">
        <f t="array" ref="AD17">IFERROR(AVERAGE(_xlfn._xlws.FILTER(V$2:V$1073,($C$2:$C$1073=$C17)*($E$2:$E$1073=$E17)*(ROW(V$2:V$1073)&lt;&gt;ROW(V17))*(V$2:V$1073&lt;&gt;""))),"")</f>
        <v>0.35109134133330622</v>
      </c>
      <c r="AE17">
        <f>IF('Дивиденды по годам'!M17&lt;0,1,0)</f>
        <v>0</v>
      </c>
    </row>
    <row r="18" spans="1:31" x14ac:dyDescent="0.2">
      <c r="A18" s="7" t="s">
        <v>2178</v>
      </c>
      <c r="B18" t="str">
        <f t="shared" si="0"/>
        <v>LKOH IV кв. 2025</v>
      </c>
      <c r="C18">
        <v>2025</v>
      </c>
      <c r="D18">
        <f>SUMIFS(Дивиденды!$C:$C,Дивиденды!$A:$A,A18,Дивиденды!$I:$I,C18)</f>
        <v>397</v>
      </c>
      <c r="E18">
        <v>1</v>
      </c>
      <c r="F18">
        <f t="shared" si="1"/>
        <v>397</v>
      </c>
      <c r="G18">
        <f t="shared" si="2"/>
        <v>11.590000000000002</v>
      </c>
      <c r="H18">
        <f t="shared" si="3"/>
        <v>1</v>
      </c>
      <c r="I18">
        <f t="shared" si="4"/>
        <v>0.5</v>
      </c>
      <c r="J18">
        <f t="shared" si="5"/>
        <v>-0.62369668246445498</v>
      </c>
      <c r="K18">
        <f t="shared" si="10"/>
        <v>-0.51901680290072039</v>
      </c>
      <c r="L18">
        <f t="shared" si="6"/>
        <v>0</v>
      </c>
      <c r="M18">
        <f t="shared" si="7"/>
        <v>0</v>
      </c>
      <c r="N18">
        <f t="shared" si="8"/>
        <v>1</v>
      </c>
      <c r="O18">
        <f t="shared" si="9"/>
        <v>0.66666666666666663</v>
      </c>
      <c r="P18">
        <f>IFERROR(LN('Дивиденды по годам'!I18),"")</f>
        <v>29.331107632614167</v>
      </c>
      <c r="Q18">
        <f>IFERROR('Дивиденды по годам'!G18/'Дивиденды по годам'!I18, "")</f>
        <v>0.68588586811281049</v>
      </c>
      <c r="R18">
        <f>IFERROR(IF(AND('Дивиденды по годам'!N18&lt;&gt;"",'Дивиденды по годам'!U18&lt;&gt;"",'Дивиденды по годам'!U18&lt;&gt;0),'Дивиденды по годам'!N18/'Дивиденды по годам'!U18-1,""),"")</f>
        <v>-0.56298308392180951</v>
      </c>
      <c r="S18">
        <f>IFERROR(IF(AND('Дивиденды по годам'!L18&lt;&gt;"",'Дивиденды по годам'!I18&lt;&gt;"",'Дивиденды по годам'!J18&lt;&gt;"",'Дивиденды по годам'!K18&lt;&gt;"",('Дивиденды по годам'!I18-'Дивиденды по годам'!J18-'Дивиденды по годам'!K18)&lt;&gt;0),'Дивиденды по годам'!L18/('Дивиденды по годам'!I18-'Дивиденды по годам'!J18-'Дивиденды по годам'!K18),""),"")</f>
        <v>1.1230089015354674</v>
      </c>
      <c r="T18">
        <f>IFERROR(IF(AND('Дивиденды по годам'!Q18&lt;&gt;"",'Дивиденды по годам'!I18&lt;&gt;"",'Дивиденды по годам'!V18&lt;&gt;"",('Дивиденды по годам'!I18+'Дивиденды по годам'!V18)&lt;&gt;0),'Дивиденды по годам'!Q18/(('Дивиденды по годам'!I18+'Дивиденды по годам'!V18)/2),""),"")</f>
        <v>-0.14364113670492185</v>
      </c>
      <c r="U18">
        <f>IFERROR(IF(AND('Дивиденды по годам'!J18&lt;&gt;"",'Дивиденды по годам'!K18&lt;&gt;"",'Дивиденды по годам'!M18&lt;&gt;"",'Дивиденды по годам'!M18&lt;&gt;0),('Дивиденды по годам'!J18+'Дивиденды по годам'!K18)/'Дивиденды по годам'!M18,""),"")</f>
        <v>0.50958002213181863</v>
      </c>
      <c r="V18">
        <f>IFERROR(IF(AND('Дивиденды по годам'!J18&lt;&gt;"",'Дивиденды по годам'!K18&lt;&gt;"",'Дивиденды по годам'!M18&lt;&gt;"",'Дивиденды по годам'!I18&lt;&gt;0),('Дивиденды по годам'!J18+'Дивиденды по годам'!K18)/'Дивиденды по годам'!I18,""),"")</f>
        <v>0.33756410038614132</v>
      </c>
      <c r="W18">
        <f>IFERROR('Дивиденды по годам'!I18,"")</f>
        <v>5474421000000</v>
      </c>
      <c r="X18" cm="1">
        <f t="array" ref="X18">IFERROR(AVERAGE(_xlfn._xlws.FILTER(P$2:P$1073,($C$2:$C$1073=$C18)*($E$2:$E$1073=$E18)*(ROW(P$2:P$1073)&lt;&gt;ROW(P18))*(P$2:P$1073&lt;&gt;""))),"")</f>
        <v>27.965881784273439</v>
      </c>
      <c r="Y18" cm="1">
        <f t="array" ref="Y18">IFERROR(AVERAGE(_xlfn._xlws.FILTER(Q$2:Q$1073,($C$2:$C$1073=$C18)*($E$2:$E$1073=$E18)*(ROW(Q$2:Q$1073)&lt;&gt;ROW(Q18))*(Q$2:Q$1073&lt;&gt;""))),"")</f>
        <v>0.48362929511585939</v>
      </c>
      <c r="Z18" cm="1">
        <f t="array" ref="Z18">IFERROR(AVERAGE(_xlfn._xlws.FILTER(R$2:R$1073,($C$2:$C$1073=$C18)*($E$2:$E$1073=$E18)*(ROW(R$2:R$1073)&lt;&gt;ROW(R18))*(R$2:R$1073&lt;&gt;""))),"")</f>
        <v>-0.14739193038941423</v>
      </c>
      <c r="AA18" cm="1">
        <f t="array" ref="AA18">IFERROR(AVERAGE(_xlfn._xlws.FILTER(S$2:S$1073,($C$2:$C$1073=$C18)*($E$2:$E$1073=$E18)*(ROW(S$2:S$1073)&lt;&gt;ROW(S18))*(S$2:S$1073&lt;&gt;""))),"")</f>
        <v>0.50408285438884981</v>
      </c>
      <c r="AB18" cm="1">
        <f t="array" ref="AB18">IFERROR(AVERAGE(_xlfn._xlws.FILTER(T$2:T$1073,($C$2:$C$1073=$C18)*($E$2:$E$1073=$E18)*(ROW(T$2:T$1073)&lt;&gt;ROW(T18))*(T$2:T$1073&lt;&gt;""))),"")</f>
        <v>6.267922650424286E-2</v>
      </c>
      <c r="AC18" cm="1">
        <f t="array" ref="AC18">IFERROR(AVERAGE(_xlfn._xlws.FILTER(U$2:U$1073,($C$2:$C$1073=$C18)*($E$2:$E$1073=$E18)*(ROW(U$2:U$1073)&lt;&gt;ROW(U18))*(U$2:U$1073&lt;&gt;""))),"")</f>
        <v>0.7805901422478313</v>
      </c>
      <c r="AD18" cm="1">
        <f t="array" ref="AD18">IFERROR(AVERAGE(_xlfn._xlws.FILTER(V$2:V$1073,($C$2:$C$1073=$C18)*($E$2:$E$1073=$E18)*(ROW(V$2:V$1073)&lt;&gt;ROW(V18))*(V$2:V$1073&lt;&gt;""))),"")</f>
        <v>0.39404220808454898</v>
      </c>
      <c r="AE18">
        <f>IF('Дивиденды по годам'!M18&lt;0,1,0)</f>
        <v>0</v>
      </c>
    </row>
    <row r="19" spans="1:31" x14ac:dyDescent="0.2">
      <c r="A19" s="7" t="s">
        <v>2178</v>
      </c>
      <c r="B19" t="str">
        <f t="shared" si="0"/>
        <v>LKOH IV кв. 2024</v>
      </c>
      <c r="C19">
        <v>2024</v>
      </c>
      <c r="D19">
        <f>SUMIFS(Дивиденды!$C:$C,Дивиденды!$A:$A,A19,Дивиденды!$I:$I,C19)</f>
        <v>1055</v>
      </c>
      <c r="E19">
        <v>1</v>
      </c>
      <c r="F19">
        <f t="shared" si="1"/>
        <v>1055</v>
      </c>
      <c r="G19">
        <f t="shared" si="2"/>
        <v>38.81666666666667</v>
      </c>
      <c r="H19">
        <f t="shared" si="3"/>
        <v>1</v>
      </c>
      <c r="I19">
        <f t="shared" si="4"/>
        <v>0.66666666666666663</v>
      </c>
      <c r="J19">
        <f t="shared" si="5"/>
        <v>0.1164021164021164</v>
      </c>
      <c r="K19">
        <f t="shared" si="10"/>
        <v>1.3813615003758118E-2</v>
      </c>
      <c r="L19">
        <f t="shared" si="6"/>
        <v>1</v>
      </c>
      <c r="M19">
        <f t="shared" si="7"/>
        <v>0.5</v>
      </c>
      <c r="N19">
        <f t="shared" si="8"/>
        <v>0</v>
      </c>
      <c r="O19">
        <f t="shared" si="9"/>
        <v>0.16666666666666666</v>
      </c>
      <c r="P19">
        <f>IFERROR(LN('Дивиденды по годам'!I19),"")</f>
        <v>29.859164842737719</v>
      </c>
      <c r="Q19">
        <f>IFERROR('Дивиденды по годам'!G19/'Дивиденды по годам'!I19, "")</f>
        <v>0.5404276530147365</v>
      </c>
      <c r="R19">
        <f>IFERROR(IF(AND('Дивиденды по годам'!N19&lt;&gt;"",'Дивиденды по годам'!U19&lt;&gt;"",'Дивиденды по годам'!U19&lt;&gt;0),'Дивиденды по годам'!N19/'Дивиденды по годам'!U19-1,""),"")</f>
        <v>8.7440906332666657E-2</v>
      </c>
      <c r="S19">
        <f>IFERROR(IF(AND('Дивиденды по годам'!L19&lt;&gt;"",'Дивиденды по годам'!I19&lt;&gt;"",'Дивиденды по годам'!J19&lt;&gt;"",'Дивиденды по годам'!K19&lt;&gt;"",('Дивиденды по годам'!I19-'Дивиденды по годам'!J19-'Дивиденды по годам'!K19)&lt;&gt;0),'Дивиденды по годам'!L19/('Дивиденды по годам'!I19-'Дивиденды по годам'!J19-'Дивиденды по годам'!K19),""),"")</f>
        <v>0.82896494026124168</v>
      </c>
      <c r="T19">
        <f>IFERROR(IF(AND('Дивиденды по годам'!Q19&lt;&gt;"",'Дивиденды по годам'!I19&lt;&gt;"",'Дивиденды по годам'!V19&lt;&gt;"",('Дивиденды по годам'!I19+'Дивиденды по годам'!V19)&lt;&gt;0),'Дивиденды по годам'!Q19/(('Дивиденды по годам'!I19+'Дивиденды по годам'!V19)/2),""),"")</f>
        <v>9.5236359065184004E-2</v>
      </c>
      <c r="U19">
        <f>IFERROR(IF(AND('Дивиденды по годам'!J19&lt;&gt;"",'Дивиденды по годам'!K19&lt;&gt;"",'Дивиденды по годам'!M19&lt;&gt;"",'Дивиденды по годам'!M19&lt;&gt;0),('Дивиденды по годам'!J19+'Дивиденды по годам'!K19)/'Дивиденды по годам'!M19,""),"")</f>
        <v>0.34686712493659322</v>
      </c>
      <c r="V19">
        <f>IFERROR(IF(AND('Дивиденды по годам'!J19&lt;&gt;"",'Дивиденды по годам'!K19&lt;&gt;"",'Дивиденды по годам'!M19&lt;&gt;"",'Дивиденды по годам'!I19&lt;&gt;0),('Дивиденды по годам'!J19+'Дивиденды по годам'!K19)/'Дивиденды по годам'!I19,""),"")</f>
        <v>0.25753626212602282</v>
      </c>
      <c r="W19">
        <f>IFERROR('Дивиденды по годам'!I19,"")</f>
        <v>9282619000000</v>
      </c>
      <c r="X19" cm="1">
        <f t="array" ref="X19">IFERROR(AVERAGE(_xlfn._xlws.FILTER(P$2:P$1073,($C$2:$C$1073=$C19)*($E$2:$E$1073=$E19)*(ROW(P$2:P$1073)&lt;&gt;ROW(P19))*(P$2:P$1073&lt;&gt;""))),"")</f>
        <v>29.134922345504503</v>
      </c>
      <c r="Y19" cm="1">
        <f t="array" ref="Y19">IFERROR(AVERAGE(_xlfn._xlws.FILTER(Q$2:Q$1073,($C$2:$C$1073=$C19)*($E$2:$E$1073=$E19)*(ROW(Q$2:Q$1073)&lt;&gt;ROW(Q19))*(Q$2:Q$1073&lt;&gt;""))),"")</f>
        <v>0.53928840931806321</v>
      </c>
      <c r="Z19" cm="1">
        <f t="array" ref="Z19">IFERROR(AVERAGE(_xlfn._xlws.FILTER(R$2:R$1073,($C$2:$C$1073=$C19)*($E$2:$E$1073=$E19)*(ROW(R$2:R$1073)&lt;&gt;ROW(R19))*(R$2:R$1073&lt;&gt;""))),"")</f>
        <v>0.20456843886029691</v>
      </c>
      <c r="AA19" cm="1">
        <f t="array" ref="AA19">IFERROR(AVERAGE(_xlfn._xlws.FILTER(S$2:S$1073,($C$2:$C$1073=$C19)*($E$2:$E$1073=$E19)*(ROW(S$2:S$1073)&lt;&gt;ROW(S19))*(S$2:S$1073&lt;&gt;""))),"")</f>
        <v>0.81251188819685982</v>
      </c>
      <c r="AB19" cm="1">
        <f t="array" ref="AB19">IFERROR(AVERAGE(_xlfn._xlws.FILTER(T$2:T$1073,($C$2:$C$1073=$C19)*($E$2:$E$1073=$E19)*(ROW(T$2:T$1073)&lt;&gt;ROW(T19))*(T$2:T$1073&lt;&gt;""))),"")</f>
        <v>0.11160805951599957</v>
      </c>
      <c r="AC19" cm="1">
        <f t="array" ref="AC19">IFERROR(AVERAGE(_xlfn._xlws.FILTER(U$2:U$1073,($C$2:$C$1073=$C19)*($E$2:$E$1073=$E19)*(ROW(U$2:U$1073)&lt;&gt;ROW(U19))*(U$2:U$1073&lt;&gt;""))),"")</f>
        <v>0.93016737741718614</v>
      </c>
      <c r="AD19" cm="1">
        <f t="array" ref="AD19">IFERROR(AVERAGE(_xlfn._xlws.FILTER(V$2:V$1073,($C$2:$C$1073=$C19)*($E$2:$E$1073=$E19)*(ROW(V$2:V$1073)&lt;&gt;ROW(V19))*(V$2:V$1073&lt;&gt;""))),"")</f>
        <v>0.44891597138313177</v>
      </c>
      <c r="AE19">
        <f>IF('Дивиденды по годам'!M19&lt;0,1,0)</f>
        <v>0</v>
      </c>
    </row>
    <row r="20" spans="1:31" x14ac:dyDescent="0.2">
      <c r="A20" s="7" t="s">
        <v>2178</v>
      </c>
      <c r="B20" t="str">
        <f t="shared" si="0"/>
        <v>LKOH IV кв. 2023</v>
      </c>
      <c r="C20">
        <v>2023</v>
      </c>
      <c r="D20">
        <f>SUMIFS(Дивиденды!$C:$C,Дивиденды!$A:$A,A20,Дивиденды!$I:$I,C20)</f>
        <v>945</v>
      </c>
      <c r="E20">
        <v>1</v>
      </c>
      <c r="F20">
        <f t="shared" si="1"/>
        <v>945</v>
      </c>
      <c r="G20">
        <f t="shared" si="2"/>
        <v>37.85</v>
      </c>
      <c r="H20">
        <f t="shared" si="3"/>
        <v>1</v>
      </c>
      <c r="I20">
        <f t="shared" si="4"/>
        <v>0.66666666666666663</v>
      </c>
      <c r="J20">
        <f t="shared" si="5"/>
        <v>-0.23233143785540211</v>
      </c>
      <c r="K20">
        <f t="shared" si="10"/>
        <v>-5.4759710185117549E-2</v>
      </c>
      <c r="L20">
        <f t="shared" si="6"/>
        <v>0</v>
      </c>
      <c r="M20">
        <f t="shared" si="7"/>
        <v>0.5</v>
      </c>
      <c r="N20">
        <f t="shared" si="8"/>
        <v>1</v>
      </c>
      <c r="O20">
        <f t="shared" si="9"/>
        <v>0.33333333333333331</v>
      </c>
      <c r="P20">
        <f>IFERROR(LN('Дивиденды по годам'!I20),"")</f>
        <v>29.78280343526475</v>
      </c>
      <c r="Q20">
        <f>IFERROR('Дивиденды по годам'!G20/'Дивиденды по годам'!I20, "")</f>
        <v>0.54917523170754823</v>
      </c>
      <c r="R20" t="str">
        <f>IFERROR(IF(AND('Дивиденды по годам'!N20&lt;&gt;"",'Дивиденды по годам'!U20&lt;&gt;"",'Дивиденды по годам'!U20&lt;&gt;0),'Дивиденды по годам'!N20/'Дивиденды по годам'!U20-1,""),"")</f>
        <v/>
      </c>
      <c r="S20">
        <f>IFERROR(IF(AND('Дивиденды по годам'!L20&lt;&gt;"",'Дивиденды по годам'!I20&lt;&gt;"",'Дивиденды по годам'!J20&lt;&gt;"",'Дивиденды по годам'!K20&lt;&gt;"",('Дивиденды по годам'!I20-'Дивиденды по годам'!J20-'Дивиденды по годам'!K20)&lt;&gt;0),'Дивиденды по годам'!L20/('Дивиденды по годам'!I20-'Дивиденды по годам'!J20-'Дивиденды по годам'!K20),""),"")</f>
        <v>0.86840691473033393</v>
      </c>
      <c r="T20" t="str">
        <f>IFERROR(IF(AND('Дивиденды по годам'!Q20&lt;&gt;"",'Дивиденды по годам'!I20&lt;&gt;"",'Дивиденды по годам'!V20&lt;&gt;"",('Дивиденды по годам'!I20+'Дивиденды по годам'!V20)&lt;&gt;0),'Дивиденды по годам'!Q20/(('Дивиденды по годам'!I20+'Дивиденды по годам'!V20)/2),""),"")</f>
        <v/>
      </c>
      <c r="U20">
        <f>IFERROR(IF(AND('Дивиденды по годам'!J20&lt;&gt;"",'Дивиденды по годам'!K20&lt;&gt;"",'Дивиденды по годам'!M20&lt;&gt;"",'Дивиденды по годам'!M20&lt;&gt;0),('Дивиденды по годам'!J20+'Дивиденды по годам'!K20)/'Дивиденды по годам'!M20,""),"")</f>
        <v>0.34351819407292311</v>
      </c>
      <c r="V20">
        <f>IFERROR(IF(AND('Дивиденды по годам'!J20&lt;&gt;"",'Дивиденды по годам'!K20&lt;&gt;"",'Дивиденды по годам'!M20&lt;&gt;"",'Дивиденды по годам'!I20&lt;&gt;0),('Дивиденды по годам'!J20+'Дивиденды по годам'!K20)/'Дивиденды по годам'!I20,""),"")</f>
        <v>0.25568555423245554</v>
      </c>
      <c r="W20">
        <f>IFERROR('Дивиденды по годам'!I20,"")</f>
        <v>8600173000000</v>
      </c>
      <c r="X20" cm="1">
        <f t="array" ref="X20">IFERROR(AVERAGE(_xlfn._xlws.FILTER(P$2:P$1073,($C$2:$C$1073=$C20)*($E$2:$E$1073=$E20)*(ROW(P$2:P$1073)&lt;&gt;ROW(P20))*(P$2:P$1073&lt;&gt;""))),"")</f>
        <v>29.151420303158222</v>
      </c>
      <c r="Y20" cm="1">
        <f t="array" ref="Y20">IFERROR(AVERAGE(_xlfn._xlws.FILTER(Q$2:Q$1073,($C$2:$C$1073=$C20)*($E$2:$E$1073=$E20)*(ROW(Q$2:Q$1073)&lt;&gt;ROW(Q20))*(Q$2:Q$1073&lt;&gt;""))),"")</f>
        <v>0.48897205539068356</v>
      </c>
      <c r="Z20" cm="1">
        <f t="array" ref="Z20">IFERROR(AVERAGE(_xlfn._xlws.FILTER(R$2:R$1073,($C$2:$C$1073=$C20)*($E$2:$E$1073=$E20)*(ROW(R$2:R$1073)&lt;&gt;ROW(R20))*(R$2:R$1073&lt;&gt;""))),"")</f>
        <v>-9.5200738872077639E-2</v>
      </c>
      <c r="AA20" cm="1">
        <f t="array" ref="AA20">IFERROR(AVERAGE(_xlfn._xlws.FILTER(S$2:S$1073,($C$2:$C$1073=$C20)*($E$2:$E$1073=$E20)*(ROW(S$2:S$1073)&lt;&gt;ROW(S20))*(S$2:S$1073&lt;&gt;""))),"")</f>
        <v>0.80672095515923137</v>
      </c>
      <c r="AB20" cm="1">
        <f t="array" ref="AB20">IFERROR(AVERAGE(_xlfn._xlws.FILTER(T$2:T$1073,($C$2:$C$1073=$C20)*($E$2:$E$1073=$E20)*(ROW(T$2:T$1073)&lt;&gt;ROW(T20))*(T$2:T$1073&lt;&gt;""))),"")</f>
        <v>8.3497415799470329E-2</v>
      </c>
      <c r="AC20" cm="1">
        <f t="array" ref="AC20">IFERROR(AVERAGE(_xlfn._xlws.FILTER(U$2:U$1073,($C$2:$C$1073=$C20)*($E$2:$E$1073=$E20)*(ROW(U$2:U$1073)&lt;&gt;ROW(U20))*(U$2:U$1073&lt;&gt;""))),"")</f>
        <v>0.90513952300419576</v>
      </c>
      <c r="AD20" cm="1">
        <f t="array" ref="AD20">IFERROR(AVERAGE(_xlfn._xlws.FILTER(V$2:V$1073,($C$2:$C$1073=$C20)*($E$2:$E$1073=$E20)*(ROW(V$2:V$1073)&lt;&gt;ROW(V20))*(V$2:V$1073&lt;&gt;""))),"")</f>
        <v>0.40109634042967962</v>
      </c>
      <c r="AE20">
        <f>IF('Дивиденды по годам'!M20&lt;0,1,0)</f>
        <v>0</v>
      </c>
    </row>
    <row r="21" spans="1:31" x14ac:dyDescent="0.2">
      <c r="A21" s="7" t="s">
        <v>2178</v>
      </c>
      <c r="B21" t="str">
        <f t="shared" si="0"/>
        <v>LKOH IV кв. 2022</v>
      </c>
      <c r="C21">
        <v>2022</v>
      </c>
      <c r="D21">
        <f>SUMIFS(Дивиденды!$C:$C,Дивиденды!$A:$A,A21,Дивиденды!$I:$I,C21)</f>
        <v>1231</v>
      </c>
      <c r="E21">
        <v>1</v>
      </c>
      <c r="F21">
        <f t="shared" si="1"/>
        <v>1231</v>
      </c>
      <c r="G21">
        <f t="shared" si="2"/>
        <v>43.841666666666676</v>
      </c>
      <c r="H21">
        <f t="shared" si="3"/>
        <v>1</v>
      </c>
      <c r="I21">
        <f t="shared" si="4"/>
        <v>0.83333333333333337</v>
      </c>
      <c r="J21">
        <f t="shared" si="5"/>
        <v>2.6205882352941177</v>
      </c>
      <c r="K21">
        <f t="shared" si="10"/>
        <v>0.32942200463883187</v>
      </c>
      <c r="L21">
        <f t="shared" si="6"/>
        <v>1</v>
      </c>
      <c r="M21">
        <f t="shared" si="7"/>
        <v>0.5</v>
      </c>
      <c r="N21">
        <f t="shared" si="8"/>
        <v>0</v>
      </c>
      <c r="O21">
        <f t="shared" si="9"/>
        <v>0.16666666666666666</v>
      </c>
      <c r="P21" t="str">
        <f>IFERROR(LN('Дивиденды по годам'!I21),"")</f>
        <v/>
      </c>
      <c r="Q21" t="str">
        <f>IFERROR('Дивиденды по годам'!G21/'Дивиденды по годам'!I21, "")</f>
        <v/>
      </c>
      <c r="R21" t="str">
        <f>IFERROR(IF(AND('Дивиденды по годам'!N21&lt;&gt;"",'Дивиденды по годам'!U21&lt;&gt;"",'Дивиденды по годам'!U21&lt;&gt;0),'Дивиденды по годам'!N21/'Дивиденды по годам'!U21-1,""),"")</f>
        <v/>
      </c>
      <c r="S21" t="str">
        <f>IFERROR(IF(AND('Дивиденды по годам'!L21&lt;&gt;"",'Дивиденды по годам'!I21&lt;&gt;"",'Дивиденды по годам'!J21&lt;&gt;"",'Дивиденды по годам'!K21&lt;&gt;"",('Дивиденды по годам'!I21-'Дивиденды по годам'!J21-'Дивиденды по годам'!K21)&lt;&gt;0),'Дивиденды по годам'!L21/('Дивиденды по годам'!I21-'Дивиденды по годам'!J21-'Дивиденды по годам'!K21),""),"")</f>
        <v/>
      </c>
      <c r="T21" t="str">
        <f>IFERROR(IF(AND('Дивиденды по годам'!Q21&lt;&gt;"",'Дивиденды по годам'!I21&lt;&gt;"",'Дивиденды по годам'!V21&lt;&gt;"",('Дивиденды по годам'!I21+'Дивиденды по годам'!V21)&lt;&gt;0),'Дивиденды по годам'!Q21/(('Дивиденды по годам'!I21+'Дивиденды по годам'!V21)/2),""),"")</f>
        <v/>
      </c>
      <c r="U21" t="str">
        <f>IFERROR(IF(AND('Дивиденды по годам'!J21&lt;&gt;"",'Дивиденды по годам'!K21&lt;&gt;"",'Дивиденды по годам'!M21&lt;&gt;"",'Дивиденды по годам'!M21&lt;&gt;0),('Дивиденды по годам'!J21+'Дивиденды по годам'!K21)/'Дивиденды по годам'!M21,""),"")</f>
        <v/>
      </c>
      <c r="V21" t="str">
        <f>IFERROR(IF(AND('Дивиденды по годам'!J21&lt;&gt;"",'Дивиденды по годам'!K21&lt;&gt;"",'Дивиденды по годам'!M21&lt;&gt;"",'Дивиденды по годам'!I21&lt;&gt;0),('Дивиденды по годам'!J21+'Дивиденды по годам'!K21)/'Дивиденды по годам'!I21,""),"")</f>
        <v/>
      </c>
      <c r="W21" t="str">
        <f>IFERROR('Дивиденды по годам'!I21,"")</f>
        <v/>
      </c>
      <c r="X21" cm="1">
        <f t="array" ref="X21">IFERROR(AVERAGE(_xlfn._xlws.FILTER(P$2:P$1073,($C$2:$C$1073=$C21)*($E$2:$E$1073=$E21)*(ROW(P$2:P$1073)&lt;&gt;ROW(P21))*(P$2:P$1073&lt;&gt;""))),"")</f>
        <v>28.727283056765771</v>
      </c>
      <c r="Y21" cm="1">
        <f t="array" ref="Y21">IFERROR(AVERAGE(_xlfn._xlws.FILTER(Q$2:Q$1073,($C$2:$C$1073=$C21)*($E$2:$E$1073=$E21)*(ROW(Q$2:Q$1073)&lt;&gt;ROW(Q21))*(Q$2:Q$1073&lt;&gt;""))),"")</f>
        <v>0.51128857729902477</v>
      </c>
      <c r="Z21" cm="1">
        <f t="array" ref="Z21">IFERROR(AVERAGE(_xlfn._xlws.FILTER(R$2:R$1073,($C$2:$C$1073=$C21)*($E$2:$E$1073=$E21)*(ROW(R$2:R$1073)&lt;&gt;ROW(R21))*(R$2:R$1073&lt;&gt;""))),"")</f>
        <v>0.11583545865184226</v>
      </c>
      <c r="AA21" cm="1">
        <f t="array" ref="AA21">IFERROR(AVERAGE(_xlfn._xlws.FILTER(S$2:S$1073,($C$2:$C$1073=$C21)*($E$2:$E$1073=$E21)*(ROW(S$2:S$1073)&lt;&gt;ROW(S21))*(S$2:S$1073&lt;&gt;""))),"")</f>
        <v>0.81623267945546474</v>
      </c>
      <c r="AB21" cm="1">
        <f t="array" ref="AB21">IFERROR(AVERAGE(_xlfn._xlws.FILTER(T$2:T$1073,($C$2:$C$1073=$C21)*($E$2:$E$1073=$E21)*(ROW(T$2:T$1073)&lt;&gt;ROW(T21))*(T$2:T$1073&lt;&gt;""))),"")</f>
        <v>0.10279179198494799</v>
      </c>
      <c r="AC21" cm="1">
        <f t="array" ref="AC21">IFERROR(AVERAGE(_xlfn._xlws.FILTER(U$2:U$1073,($C$2:$C$1073=$C21)*($E$2:$E$1073=$E21)*(ROW(U$2:U$1073)&lt;&gt;ROW(U21))*(U$2:U$1073&lt;&gt;""))),"")</f>
        <v>0.81000773545151117</v>
      </c>
      <c r="AD21" cm="1">
        <f t="array" ref="AD21">IFERROR(AVERAGE(_xlfn._xlws.FILTER(V$2:V$1073,($C$2:$C$1073=$C21)*($E$2:$E$1073=$E21)*(ROW(V$2:V$1073)&lt;&gt;ROW(V21))*(V$2:V$1073&lt;&gt;""))),"")</f>
        <v>0.37150994970564083</v>
      </c>
      <c r="AE21">
        <f>IF('Дивиденды по годам'!M21&lt;0,1,0)</f>
        <v>0</v>
      </c>
    </row>
    <row r="22" spans="1:31" x14ac:dyDescent="0.2">
      <c r="A22" s="7" t="s">
        <v>2178</v>
      </c>
      <c r="B22" t="str">
        <f t="shared" si="0"/>
        <v>LKOH IV кв. 2021</v>
      </c>
      <c r="C22">
        <v>2021</v>
      </c>
      <c r="D22">
        <f>SUMIFS(Дивиденды!$C:$C,Дивиденды!$A:$A,A22,Дивиденды!$I:$I,C22)</f>
        <v>340</v>
      </c>
      <c r="E22">
        <v>1</v>
      </c>
      <c r="F22">
        <f t="shared" si="1"/>
        <v>340</v>
      </c>
      <c r="G22">
        <f t="shared" si="2"/>
        <v>26.09</v>
      </c>
      <c r="H22">
        <f t="shared" si="3"/>
        <v>1</v>
      </c>
      <c r="I22">
        <f t="shared" si="4"/>
        <v>0.66666666666666663</v>
      </c>
      <c r="J22">
        <f t="shared" si="5"/>
        <v>0.31274131274131273</v>
      </c>
      <c r="K22">
        <f t="shared" si="10"/>
        <v>1.0120006749047523</v>
      </c>
      <c r="L22">
        <f t="shared" si="6"/>
        <v>1</v>
      </c>
      <c r="M22">
        <f t="shared" si="7"/>
        <v>0.66666666666666663</v>
      </c>
      <c r="N22">
        <f t="shared" si="8"/>
        <v>0</v>
      </c>
      <c r="O22">
        <f t="shared" si="9"/>
        <v>0.16666666666666666</v>
      </c>
      <c r="P22">
        <f>IFERROR(LN('Дивиденды по годам'!I22),"")</f>
        <v>29.55742059220767</v>
      </c>
      <c r="Q22">
        <f>IFERROR('Дивиденды по годам'!G22/'Дивиденды по годам'!I22, "")</f>
        <v>0.62101760749009172</v>
      </c>
      <c r="R22">
        <f>IFERROR(IF(AND('Дивиденды по годам'!N22&lt;&gt;"",'Дивиденды по годам'!U22&lt;&gt;"",'Дивиденды по годам'!U22&lt;&gt;0),'Дивиденды по годам'!N22/'Дивиденды по годам'!U22-1,""),"")</f>
        <v>0.67307538513398857</v>
      </c>
      <c r="S22">
        <f>IFERROR(IF(AND('Дивиденды по годам'!L22&lt;&gt;"",'Дивиденды по годам'!I22&lt;&gt;"",'Дивиденды по годам'!J22&lt;&gt;"",'Дивиденды по годам'!K22&lt;&gt;"",('Дивиденды по годам'!I22-'Дивиденды по годам'!J22-'Дивиденды по годам'!K22)&lt;&gt;0),'Дивиденды по годам'!L22/('Дивиденды по годам'!I22-'Дивиденды по годам'!J22-'Дивиденды по годам'!K22),""),"")</f>
        <v>0.94628606751350375</v>
      </c>
      <c r="T22">
        <f>IFERROR(IF(AND('Дивиденды по годам'!Q22&lt;&gt;"",'Дивиденды по годам'!I22&lt;&gt;"",'Дивиденды по годам'!V22&lt;&gt;"",('Дивиденды по годам'!I22+'Дивиденды по годам'!V22)&lt;&gt;0),'Дивиденды по годам'!Q22/(('Дивиденды по годам'!I22+'Дивиденды по годам'!V22)/2),""),"")</f>
        <v>0.120643001640904</v>
      </c>
      <c r="U22">
        <f>IFERROR(IF(AND('Дивиденды по годам'!J22&lt;&gt;"",'Дивиденды по годам'!K22&lt;&gt;"",'Дивиденды по годам'!M22&lt;&gt;"",'Дивиденды по годам'!M22&lt;&gt;0),('Дивиденды по годам'!J22+'Дивиденды по годам'!K22)/'Дивиденды по годам'!M22,""),"")</f>
        <v>0.51768068687897728</v>
      </c>
      <c r="V22">
        <f>IFERROR(IF(AND('Дивиденды по годам'!J22&lt;&gt;"",'Дивиденды по годам'!K22&lt;&gt;"",'Дивиденды по годам'!M22&lt;&gt;"",'Дивиденды по годам'!I22&lt;&gt;0),('Дивиденды по годам'!J22+'Дивиденды по годам'!K22)/'Дивиденды по годам'!I22,""),"")</f>
        <v>0.3410998712407402</v>
      </c>
      <c r="W22">
        <f>IFERROR('Дивиденды по годам'!I22,"")</f>
        <v>6864749000000</v>
      </c>
      <c r="X22" cm="1">
        <f t="array" ref="X22">IFERROR(AVERAGE(_xlfn._xlws.FILTER(P$2:P$1073,($C$2:$C$1073=$C22)*($E$2:$E$1073=$E22)*(ROW(P$2:P$1073)&lt;&gt;ROW(P22))*(P$2:P$1073&lt;&gt;""))),"")</f>
        <v>28.862251555580571</v>
      </c>
      <c r="Y22" cm="1">
        <f t="array" ref="Y22">IFERROR(AVERAGE(_xlfn._xlws.FILTER(Q$2:Q$1073,($C$2:$C$1073=$C22)*($E$2:$E$1073=$E22)*(ROW(Q$2:Q$1073)&lt;&gt;ROW(Q22))*(Q$2:Q$1073&lt;&gt;""))),"")</f>
        <v>0.54501177180973137</v>
      </c>
      <c r="Z22" cm="1">
        <f t="array" ref="Z22">IFERROR(AVERAGE(_xlfn._xlws.FILTER(R$2:R$1073,($C$2:$C$1073=$C22)*($E$2:$E$1073=$E22)*(ROW(R$2:R$1073)&lt;&gt;ROW(R22))*(R$2:R$1073&lt;&gt;""))),"")</f>
        <v>0.70901908079625608</v>
      </c>
      <c r="AA22" cm="1">
        <f t="array" ref="AA22">IFERROR(AVERAGE(_xlfn._xlws.FILTER(S$2:S$1073,($C$2:$C$1073=$C22)*($E$2:$E$1073=$E22)*(ROW(S$2:S$1073)&lt;&gt;ROW(S22))*(S$2:S$1073&lt;&gt;""))),"")</f>
        <v>0.77752889489725963</v>
      </c>
      <c r="AB22" cm="1">
        <f t="array" ref="AB22">IFERROR(AVERAGE(_xlfn._xlws.FILTER(T$2:T$1073,($C$2:$C$1073=$C22)*($E$2:$E$1073=$E22)*(ROW(T$2:T$1073)&lt;&gt;ROW(T22))*(T$2:T$1073&lt;&gt;""))),"")</f>
        <v>0.1219420633473578</v>
      </c>
      <c r="AC22" cm="1">
        <f t="array" ref="AC22">IFERROR(AVERAGE(_xlfn._xlws.FILTER(U$2:U$1073,($C$2:$C$1073=$C22)*($E$2:$E$1073=$E22)*(ROW(U$2:U$1073)&lt;&gt;ROW(U22))*(U$2:U$1073&lt;&gt;""))),"")</f>
        <v>1.1453384786412983</v>
      </c>
      <c r="AD22" cm="1">
        <f t="array" ref="AD22">IFERROR(AVERAGE(_xlfn._xlws.FILTER(V$2:V$1073,($C$2:$C$1073=$C22)*($E$2:$E$1073=$E22)*(ROW(V$2:V$1073)&lt;&gt;ROW(V22))*(V$2:V$1073&lt;&gt;""))),"")</f>
        <v>0.46135053963485229</v>
      </c>
      <c r="AE22">
        <f>IF('Дивиденды по годам'!M22&lt;0,1,0)</f>
        <v>0</v>
      </c>
    </row>
    <row r="23" spans="1:31" x14ac:dyDescent="0.2">
      <c r="A23" s="7" t="s">
        <v>2178</v>
      </c>
      <c r="B23" t="str">
        <f t="shared" si="0"/>
        <v>LKOH IV кв. 2020</v>
      </c>
      <c r="C23">
        <v>2020</v>
      </c>
      <c r="D23">
        <f>SUMIFS(Дивиденды!$C:$C,Дивиденды!$A:$A,A23,Дивиденды!$I:$I,C23)</f>
        <v>259</v>
      </c>
      <c r="E23">
        <v>1</v>
      </c>
      <c r="F23">
        <f t="shared" si="1"/>
        <v>259</v>
      </c>
      <c r="G23">
        <f t="shared" si="2"/>
        <v>12.998333333333335</v>
      </c>
      <c r="H23">
        <f t="shared" si="3"/>
        <v>1</v>
      </c>
      <c r="I23">
        <f t="shared" si="4"/>
        <v>0.83333333333333337</v>
      </c>
      <c r="J23">
        <f t="shared" si="5"/>
        <v>-0.52214022140221406</v>
      </c>
      <c r="K23">
        <f t="shared" si="10"/>
        <v>-0.24116500208230998</v>
      </c>
      <c r="L23">
        <f t="shared" si="6"/>
        <v>0</v>
      </c>
      <c r="M23">
        <f t="shared" si="7"/>
        <v>0.33333333333333331</v>
      </c>
      <c r="N23">
        <f t="shared" si="8"/>
        <v>1</v>
      </c>
      <c r="O23">
        <f t="shared" si="9"/>
        <v>0.5</v>
      </c>
      <c r="P23">
        <f>IFERROR(LN('Дивиденды по годам'!I23),"")</f>
        <v>29.421376099327965</v>
      </c>
      <c r="Q23">
        <f>IFERROR('Дивиденды по годам'!G23/'Дивиденды по годам'!I23, "")</f>
        <v>0.71174460021306574</v>
      </c>
      <c r="R23">
        <f>IFERROR(IF(AND('Дивиденды по годам'!N23&lt;&gt;"",'Дивиденды по годам'!U23&lt;&gt;"",'Дивиденды по годам'!U23&lt;&gt;0),'Дивиденды по годам'!N23/'Дивиденды по годам'!U23-1,""),"")</f>
        <v>-0.28080294891908764</v>
      </c>
      <c r="S23">
        <f>IFERROR(IF(AND('Дивиденды по годам'!L23&lt;&gt;"",'Дивиденды по годам'!I23&lt;&gt;"",'Дивиденды по годам'!J23&lt;&gt;"",'Дивиденды по годам'!K23&lt;&gt;"",('Дивиденды по годам'!I23-'Дивиденды по годам'!J23-'Дивиденды по годам'!K23)&lt;&gt;0),'Дивиденды по годам'!L23/('Дивиденды по годам'!I23-'Дивиденды по годам'!J23-'Дивиденды по годам'!K23),""),"")</f>
        <v>0.93398100981754961</v>
      </c>
      <c r="T23">
        <f>IFERROR(IF(AND('Дивиденды по годам'!Q23&lt;&gt;"",'Дивиденды по годам'!I23&lt;&gt;"",'Дивиденды по годам'!V23&lt;&gt;"",('Дивиденды по годам'!I23+'Дивиденды по годам'!V23)&lt;&gt;0),'Дивиденды по годам'!Q23/(('Дивиденды по годам'!I23+'Дивиденды по годам'!V23)/2),""),"")</f>
        <v>2.7864171003219884E-3</v>
      </c>
      <c r="U23">
        <f>IFERROR(IF(AND('Дивиденды по годам'!J23&lt;&gt;"",'Дивиденды по годам'!K23&lt;&gt;"",'Дивиденды по годам'!M23&lt;&gt;"",'Дивиденды по годам'!M23&lt;&gt;0),('Дивиденды по годам'!J23+'Дивиденды по годам'!K23)/'Дивиденды по годам'!M23,""),"")</f>
        <v>0.45047649757938357</v>
      </c>
      <c r="V23">
        <f>IFERROR(IF(AND('Дивиденды по годам'!J23&lt;&gt;"",'Дивиденды по годам'!K23&lt;&gt;"",'Дивиденды по годам'!M23&lt;&gt;"",'Дивиденды по годам'!I23&lt;&gt;0),('Дивиденды по годам'!J23+'Дивиденды по годам'!K23)/'Дивиденды по годам'!I23,""),"")</f>
        <v>0.31057138694157249</v>
      </c>
      <c r="W23">
        <f>IFERROR('Дивиденды по годам'!I23,"")</f>
        <v>5991579000000</v>
      </c>
      <c r="X23" cm="1">
        <f t="array" ref="X23">IFERROR(AVERAGE(_xlfn._xlws.FILTER(P$2:P$1073,($C$2:$C$1073=$C23)*($E$2:$E$1073=$E23)*(ROW(P$2:P$1073)&lt;&gt;ROW(P23))*(P$2:P$1073&lt;&gt;""))),"")</f>
        <v>28.850831585138355</v>
      </c>
      <c r="Y23" cm="1">
        <f t="array" ref="Y23">IFERROR(AVERAGE(_xlfn._xlws.FILTER(Q$2:Q$1073,($C$2:$C$1073=$C23)*($E$2:$E$1073=$E23)*(ROW(Q$2:Q$1073)&lt;&gt;ROW(Q23))*(Q$2:Q$1073&lt;&gt;""))),"")</f>
        <v>0.53342705628467912</v>
      </c>
      <c r="Z23" cm="1">
        <f t="array" ref="Z23">IFERROR(AVERAGE(_xlfn._xlws.FILTER(R$2:R$1073,($C$2:$C$1073=$C23)*($E$2:$E$1073=$E23)*(ROW(R$2:R$1073)&lt;&gt;ROW(R23))*(R$2:R$1073&lt;&gt;""))),"")</f>
        <v>-0.25280931513537469</v>
      </c>
      <c r="AA23" cm="1">
        <f t="array" ref="AA23">IFERROR(AVERAGE(_xlfn._xlws.FILTER(S$2:S$1073,($C$2:$C$1073=$C23)*($E$2:$E$1073=$E23)*(ROW(S$2:S$1073)&lt;&gt;ROW(S23))*(S$2:S$1073&lt;&gt;""))),"")</f>
        <v>0.7469889091687153</v>
      </c>
      <c r="AB23" cm="1">
        <f t="array" ref="AB23">IFERROR(AVERAGE(_xlfn._xlws.FILTER(T$2:T$1073,($C$2:$C$1073=$C23)*($E$2:$E$1073=$E23)*(ROW(T$2:T$1073)&lt;&gt;ROW(T23))*(T$2:T$1073&lt;&gt;""))),"")</f>
        <v>3.2869123702382312E-2</v>
      </c>
      <c r="AC23" cm="1">
        <f t="array" ref="AC23">IFERROR(AVERAGE(_xlfn._xlws.FILTER(U$2:U$1073,($C$2:$C$1073=$C23)*($E$2:$E$1073=$E23)*(ROW(U$2:U$1073)&lt;&gt;ROW(U23))*(U$2:U$1073&lt;&gt;""))),"")</f>
        <v>1.3179178617799174</v>
      </c>
      <c r="AD23" cm="1">
        <f t="array" ref="AD23">IFERROR(AVERAGE(_xlfn._xlws.FILTER(V$2:V$1073,($C$2:$C$1073=$C23)*($E$2:$E$1073=$E23)*(ROW(V$2:V$1073)&lt;&gt;ROW(V23))*(V$2:V$1073&lt;&gt;""))),"")</f>
        <v>0.41640550632935297</v>
      </c>
      <c r="AE23">
        <f>IF('Дивиденды по годам'!M23&lt;0,1,0)</f>
        <v>0</v>
      </c>
    </row>
    <row r="24" spans="1:31" x14ac:dyDescent="0.2">
      <c r="A24" s="7" t="s">
        <v>2178</v>
      </c>
      <c r="B24" t="str">
        <f t="shared" si="0"/>
        <v>LKOH IV кв. 2019</v>
      </c>
      <c r="C24">
        <v>2019</v>
      </c>
      <c r="D24">
        <f>SUMIFS(Дивиденды!$C:$C,Дивиденды!$A:$A,A24,Дивиденды!$I:$I,C24)</f>
        <v>542</v>
      </c>
      <c r="E24">
        <v>1</v>
      </c>
      <c r="F24">
        <f t="shared" si="1"/>
        <v>542</v>
      </c>
      <c r="G24">
        <f t="shared" si="2"/>
        <v>24.349999999999998</v>
      </c>
      <c r="H24">
        <f t="shared" si="3"/>
        <v>1</v>
      </c>
      <c r="I24">
        <f t="shared" si="4"/>
        <v>0.83333333333333337</v>
      </c>
      <c r="J24">
        <f t="shared" si="5"/>
        <v>1.1679999999999999</v>
      </c>
      <c r="K24">
        <f t="shared" si="10"/>
        <v>3.44760397771516E-2</v>
      </c>
      <c r="L24">
        <f t="shared" si="6"/>
        <v>1</v>
      </c>
      <c r="M24">
        <f t="shared" si="7"/>
        <v>0.33333333333333331</v>
      </c>
      <c r="N24">
        <f t="shared" si="8"/>
        <v>0</v>
      </c>
      <c r="O24">
        <f t="shared" si="9"/>
        <v>0.33333333333333331</v>
      </c>
      <c r="P24">
        <f>IFERROR(LN('Дивиденды по годам'!I24),"")</f>
        <v>29.413916414218132</v>
      </c>
      <c r="Q24">
        <f>IFERROR('Дивиденды по годам'!G24/'Дивиденды по годам'!I24, "")</f>
        <v>0.67697547523562107</v>
      </c>
      <c r="R24">
        <f>IFERROR(IF(AND('Дивиденды по годам'!N24&lt;&gt;"",'Дивиденды по годам'!U24&lt;&gt;"",'Дивиденды по годам'!U24&lt;&gt;0),'Дивиденды по годам'!N24/'Дивиденды по годам'!U24-1,""),"")</f>
        <v>-2.4221713366125441E-2</v>
      </c>
      <c r="S24">
        <f>IFERROR(IF(AND('Дивиденды по годам'!L24&lt;&gt;"",'Дивиденды по годам'!I24&lt;&gt;"",'Дивиденды по годам'!J24&lt;&gt;"",'Дивиденды по годам'!K24&lt;&gt;"",('Дивиденды по годам'!I24-'Дивиденды по годам'!J24-'Дивиденды по годам'!K24)&lt;&gt;0),'Дивиденды по годам'!L24/('Дивиденды по годам'!I24-'Дивиденды по годам'!J24-'Дивиденды по годам'!K24),""),"")</f>
        <v>1.0578059514542655</v>
      </c>
      <c r="T24">
        <f>IFERROR(IF(AND('Дивиденды по годам'!Q24&lt;&gt;"",'Дивиденды по годам'!I24&lt;&gt;"",'Дивиденды по годам'!V24&lt;&gt;"",('Дивиденды по годам'!I24+'Дивиденды по годам'!V24)&lt;&gt;0),'Дивиденды по годам'!Q24/(('Дивиденды по годам'!I24+'Дивиденды по годам'!V24)/2),""),"")</f>
        <v>0.10997469739966807</v>
      </c>
      <c r="U24">
        <f>IFERROR(IF(AND('Дивиденды по годам'!J24&lt;&gt;"",'Дивиденды по годам'!K24&lt;&gt;"",'Дивиденды по годам'!M24&lt;&gt;"",'Дивиденды по годам'!M24&lt;&gt;0),('Дивиденды по годам'!J24+'Дивиденды по годам'!K24)/'Дивиденды по годам'!M24,""),"")</f>
        <v>0.49669720185159039</v>
      </c>
      <c r="V24">
        <f>IFERROR(IF(AND('Дивиденды по годам'!J24&lt;&gt;"",'Дивиденды по годам'!K24&lt;&gt;"",'Дивиденды по годам'!M24&lt;&gt;"",'Дивиденды по годам'!I24&lt;&gt;0),('Дивиденды по годам'!J24+'Дивиденды по годам'!K24)/'Дивиденды по годам'!I24,""),"")</f>
        <v>0.331862183771786</v>
      </c>
      <c r="W24">
        <f>IFERROR('Дивиденды по годам'!I24,"")</f>
        <v>5947050000000</v>
      </c>
      <c r="X24" cm="1">
        <f t="array" ref="X24">IFERROR(AVERAGE(_xlfn._xlws.FILTER(P$2:P$1073,($C$2:$C$1073=$C24)*($E$2:$E$1073=$E24)*(ROW(P$2:P$1073)&lt;&gt;ROW(P24))*(P$2:P$1073&lt;&gt;""))),"")</f>
        <v>28.789347897545966</v>
      </c>
      <c r="Y24" cm="1">
        <f t="array" ref="Y24">IFERROR(AVERAGE(_xlfn._xlws.FILTER(Q$2:Q$1073,($C$2:$C$1073=$C24)*($E$2:$E$1073=$E24)*(ROW(Q$2:Q$1073)&lt;&gt;ROW(Q24))*(Q$2:Q$1073&lt;&gt;""))),"")</f>
        <v>0.5149542356221849</v>
      </c>
      <c r="Z24" cm="1">
        <f t="array" ref="Z24">IFERROR(AVERAGE(_xlfn._xlws.FILTER(R$2:R$1073,($C$2:$C$1073=$C24)*($E$2:$E$1073=$E24)*(ROW(R$2:R$1073)&lt;&gt;ROW(R24))*(R$2:R$1073&lt;&gt;""))),"")</f>
        <v>1.7963400605481645E-2</v>
      </c>
      <c r="AA24" cm="1">
        <f t="array" ref="AA24">IFERROR(AVERAGE(_xlfn._xlws.FILTER(S$2:S$1073,($C$2:$C$1073=$C24)*($E$2:$E$1073=$E24)*(ROW(S$2:S$1073)&lt;&gt;ROW(S24))*(S$2:S$1073&lt;&gt;""))),"")</f>
        <v>0.80126580823824012</v>
      </c>
      <c r="AB24" cm="1">
        <f t="array" ref="AB24">IFERROR(AVERAGE(_xlfn._xlws.FILTER(T$2:T$1073,($C$2:$C$1073=$C24)*($E$2:$E$1073=$E24)*(ROW(T$2:T$1073)&lt;&gt;ROW(T24))*(T$2:T$1073&lt;&gt;""))),"")</f>
        <v>0.15478573296998502</v>
      </c>
      <c r="AC24" cm="1">
        <f t="array" ref="AC24">IFERROR(AVERAGE(_xlfn._xlws.FILTER(U$2:U$1073,($C$2:$C$1073=$C24)*($E$2:$E$1073=$E24)*(ROW(U$2:U$1073)&lt;&gt;ROW(U24))*(U$2:U$1073&lt;&gt;""))),"")</f>
        <v>0.95154837179798923</v>
      </c>
      <c r="AD24" cm="1">
        <f t="array" ref="AD24">IFERROR(AVERAGE(_xlfn._xlws.FILTER(V$2:V$1073,($C$2:$C$1073=$C24)*($E$2:$E$1073=$E24)*(ROW(V$2:V$1073)&lt;&gt;ROW(V24))*(V$2:V$1073&lt;&gt;""))),"")</f>
        <v>0.39683076412160045</v>
      </c>
      <c r="AE24">
        <f>IF('Дивиденды по годам'!M24&lt;0,1,0)</f>
        <v>0</v>
      </c>
    </row>
    <row r="25" spans="1:31" x14ac:dyDescent="0.2">
      <c r="A25" s="7" t="s">
        <v>2178</v>
      </c>
      <c r="B25" t="str">
        <f t="shared" si="0"/>
        <v>LKOH IV кв. 2018</v>
      </c>
      <c r="C25">
        <v>2018</v>
      </c>
      <c r="D25">
        <f>SUMIFS(Дивиденды!$C:$C,Дивиденды!$A:$A,A25,Дивиденды!$I:$I,C25)</f>
        <v>250</v>
      </c>
      <c r="E25">
        <v>1</v>
      </c>
      <c r="F25">
        <f t="shared" si="1"/>
        <v>250</v>
      </c>
      <c r="G25">
        <f t="shared" si="2"/>
        <v>25.689999999999998</v>
      </c>
      <c r="H25">
        <f t="shared" si="3"/>
        <v>1</v>
      </c>
      <c r="I25">
        <f t="shared" si="4"/>
        <v>0.83333333333333337</v>
      </c>
      <c r="J25">
        <f t="shared" si="5"/>
        <v>0.16279069767441862</v>
      </c>
      <c r="K25">
        <f t="shared" si="10"/>
        <v>0.7345552272260556</v>
      </c>
      <c r="L25">
        <f t="shared" si="6"/>
        <v>1</v>
      </c>
      <c r="M25">
        <f t="shared" si="7"/>
        <v>0.66666666666666663</v>
      </c>
      <c r="N25">
        <f t="shared" si="8"/>
        <v>0</v>
      </c>
      <c r="O25">
        <f t="shared" si="9"/>
        <v>0</v>
      </c>
      <c r="P25">
        <f>IFERROR(LN('Дивиденды по годам'!I25),"")</f>
        <v>29.377152267079342</v>
      </c>
      <c r="Q25">
        <f>IFERROR('Дивиденды по годам'!G25/'Дивиденды по годам'!I25, "")</f>
        <v>0.66798828131132926</v>
      </c>
      <c r="R25">
        <f>IFERROR(IF(AND('Дивиденды по годам'!N25&lt;&gt;"",'Дивиденды по годам'!U25&lt;&gt;"",'Дивиденды по годам'!U25&lt;&gt;0),'Дивиденды по годам'!N25/'Дивиденды по годам'!U25-1,""),"")</f>
        <v>0.35359412333946194</v>
      </c>
      <c r="S25">
        <f>IFERROR(IF(AND('Дивиденды по годам'!L25&lt;&gt;"",'Дивиденды по годам'!I25&lt;&gt;"",'Дивиденды по годам'!J25&lt;&gt;"",'Дивиденды по годам'!K25&lt;&gt;"",('Дивиденды по годам'!I25-'Дивиденды по годам'!J25-'Дивиденды по годам'!K25)&lt;&gt;0),'Дивиденды по годам'!L25/('Дивиденды по годам'!I25-'Дивиденды по годам'!J25-'Дивиденды по годам'!K25),""),"")</f>
        <v>0.97302140700709905</v>
      </c>
      <c r="T25">
        <f>IFERROR(IF(AND('Дивиденды по годам'!Q25&lt;&gt;"",'Дивиденды по годам'!I25&lt;&gt;"",'Дивиденды по годам'!V25&lt;&gt;"",('Дивиденды по годам'!I25+'Дивиденды по годам'!V25)&lt;&gt;0),'Дивиденды по годам'!Q25/(('Дивиденды по годам'!I25+'Дивиденды по годам'!V25)/2),""),"")</f>
        <v>0.11335429161232957</v>
      </c>
      <c r="U25">
        <f>IFERROR(IF(AND('Дивиденды по годам'!J25&lt;&gt;"",'Дивиденды по годам'!K25&lt;&gt;"",'Дивиденды по годам'!M25&lt;&gt;"",'Дивиденды по годам'!M25&lt;&gt;0),('Дивиденды по годам'!J25+'Дивиденды по годам'!K25)/'Дивиденды по годам'!M25,""),"")</f>
        <v>0.40722852879790139</v>
      </c>
      <c r="V25">
        <f>IFERROR(IF(AND('Дивиденды по годам'!J25&lt;&gt;"",'Дивиденды по годам'!K25&lt;&gt;"",'Дивиденды по годам'!M25&lt;&gt;"",'Дивиденды по годам'!I25&lt;&gt;0),('Дивиденды по годам'!J25+'Дивиденды по годам'!K25)/'Дивиденды по годам'!I25,""),"")</f>
        <v>0.28938336628647565</v>
      </c>
      <c r="W25">
        <f>IFERROR('Дивиденды по годам'!I25,"")</f>
        <v>5732382000000</v>
      </c>
      <c r="X25" cm="1">
        <f t="array" ref="X25">IFERROR(AVERAGE(_xlfn._xlws.FILTER(P$2:P$1073,($C$2:$C$1073=$C25)*($E$2:$E$1073=$E25)*(ROW(P$2:P$1073)&lt;&gt;ROW(P25))*(P$2:P$1073&lt;&gt;""))),"")</f>
        <v>28.673385743075851</v>
      </c>
      <c r="Y25" cm="1">
        <f t="array" ref="Y25">IFERROR(AVERAGE(_xlfn._xlws.FILTER(Q$2:Q$1073,($C$2:$C$1073=$C25)*($E$2:$E$1073=$E25)*(ROW(Q$2:Q$1073)&lt;&gt;ROW(Q25))*(Q$2:Q$1073&lt;&gt;""))),"")</f>
        <v>0.50783655837777086</v>
      </c>
      <c r="Z25" cm="1">
        <f t="array" ref="Z25">IFERROR(AVERAGE(_xlfn._xlws.FILTER(R$2:R$1073,($C$2:$C$1073=$C25)*($E$2:$E$1073=$E25)*(ROW(R$2:R$1073)&lt;&gt;ROW(R25))*(R$2:R$1073&lt;&gt;""))),"")</f>
        <v>0.34826108240640224</v>
      </c>
      <c r="AA25" cm="1">
        <f t="array" ref="AA25">IFERROR(AVERAGE(_xlfn._xlws.FILTER(S$2:S$1073,($C$2:$C$1073=$C25)*($E$2:$E$1073=$E25)*(ROW(S$2:S$1073)&lt;&gt;ROW(S25))*(S$2:S$1073&lt;&gt;""))),"")</f>
        <v>0.75241254572797667</v>
      </c>
      <c r="AB25" cm="1">
        <f t="array" ref="AB25">IFERROR(AVERAGE(_xlfn._xlws.FILTER(T$2:T$1073,($C$2:$C$1073=$C25)*($E$2:$E$1073=$E25)*(ROW(T$2:T$1073)&lt;&gt;ROW(T25))*(T$2:T$1073&lt;&gt;""))),"")</f>
        <v>0.11962580957741936</v>
      </c>
      <c r="AC25" cm="1">
        <f t="array" ref="AC25">IFERROR(AVERAGE(_xlfn._xlws.FILTER(U$2:U$1073,($C$2:$C$1073=$C25)*($E$2:$E$1073=$E25)*(ROW(U$2:U$1073)&lt;&gt;ROW(U25))*(U$2:U$1073&lt;&gt;""))),"")</f>
        <v>0.94182616072157976</v>
      </c>
      <c r="AD25" cm="1">
        <f t="array" ref="AD25">IFERROR(AVERAGE(_xlfn._xlws.FILTER(V$2:V$1073,($C$2:$C$1073=$C25)*($E$2:$E$1073=$E25)*(ROW(V$2:V$1073)&lt;&gt;ROW(V25))*(V$2:V$1073&lt;&gt;""))),"")</f>
        <v>0.40622901915935367</v>
      </c>
      <c r="AE25">
        <f>IF('Дивиденды по годам'!M25&lt;0,1,0)</f>
        <v>0</v>
      </c>
    </row>
    <row r="26" spans="1:31" x14ac:dyDescent="0.2">
      <c r="A26" s="7" t="s">
        <v>2178</v>
      </c>
      <c r="B26" t="str">
        <f t="shared" si="0"/>
        <v>LKOH IV кв. 2017</v>
      </c>
      <c r="C26">
        <v>2017</v>
      </c>
      <c r="D26">
        <f>SUMIFS(Дивиденды!$C:$C,Дивиденды!$A:$A,A26,Дивиденды!$I:$I,C26)</f>
        <v>215</v>
      </c>
      <c r="E26">
        <v>1</v>
      </c>
      <c r="F26">
        <f t="shared" si="1"/>
        <v>215</v>
      </c>
      <c r="G26">
        <f t="shared" si="2"/>
        <v>12.343333333333334</v>
      </c>
      <c r="H26">
        <f t="shared" si="3"/>
        <v>1</v>
      </c>
      <c r="I26">
        <f t="shared" si="4"/>
        <v>0.83333333333333337</v>
      </c>
      <c r="J26">
        <f t="shared" si="5"/>
        <v>0.10256410256410256</v>
      </c>
      <c r="K26">
        <f t="shared" si="10"/>
        <v>0.27706127872536684</v>
      </c>
      <c r="L26">
        <f t="shared" si="6"/>
        <v>1</v>
      </c>
      <c r="M26">
        <f t="shared" si="7"/>
        <v>0.66666666666666663</v>
      </c>
      <c r="N26">
        <f t="shared" si="8"/>
        <v>0</v>
      </c>
      <c r="O26">
        <f t="shared" si="9"/>
        <v>0</v>
      </c>
      <c r="P26">
        <f>IFERROR(LN('Дивиденды по годам'!I26),"")</f>
        <v>29.284708422632313</v>
      </c>
      <c r="Q26">
        <f>IFERROR('Дивиденды по годам'!G26/'Дивиденды по годам'!I26, "")</f>
        <v>0.68408303140992099</v>
      </c>
      <c r="R26">
        <f>IFERROR(IF(AND('Дивиденды по годам'!N26&lt;&gt;"",'Дивиденды по годам'!U26&lt;&gt;"",'Дивиденды по годам'!U26&lt;&gt;0),'Дивиденды по годам'!N26/'Дивиденды по годам'!U26-1,""),"")</f>
        <v>0.13576695819530915</v>
      </c>
      <c r="S26">
        <f>IFERROR(IF(AND('Дивиденды по годам'!L26&lt;&gt;"",'Дивиденды по годам'!I26&lt;&gt;"",'Дивиденды по годам'!J26&lt;&gt;"",'Дивиденды по годам'!K26&lt;&gt;"",('Дивиденды по годам'!I26-'Дивиденды по годам'!J26-'Дивиденды по годам'!K26)&lt;&gt;0),'Дивиденды по годам'!L26/('Дивиденды по годам'!I26-'Дивиденды по годам'!J26-'Дивиденды по годам'!K26),""),"")</f>
        <v>1.0245699703672846</v>
      </c>
      <c r="T26">
        <f>IFERROR(IF(AND('Дивиденды по годам'!Q26&lt;&gt;"",'Дивиденды по годам'!I26&lt;&gt;"",'Дивиденды по годам'!V26&lt;&gt;"",('Дивиденды по годам'!I26+'Дивиденды по годам'!V26)&lt;&gt;0),'Дивиденды по годам'!Q26/(('Дивиденды по годам'!I26+'Дивиденды по годам'!V26)/2),""),"")</f>
        <v>8.2106551697469984E-2</v>
      </c>
      <c r="U26">
        <f>IFERROR(IF(AND('Дивиденды по годам'!J26&lt;&gt;"",'Дивиденды по годам'!K26&lt;&gt;"",'Дивиденды по годам'!M26&lt;&gt;"",'Дивиденды по годам'!M26&lt;&gt;0),('Дивиденды по годам'!J26+'Дивиденды по годам'!K26)/'Дивиденды по годам'!M26,""),"")</f>
        <v>0.49731162540443086</v>
      </c>
      <c r="V26">
        <f>IFERROR(IF(AND('Дивиденды по годам'!J26&lt;&gt;"",'Дивиденды по годам'!K26&lt;&gt;"",'Дивиденды по годам'!M26&lt;&gt;"",'Дивиденды по годам'!I26&lt;&gt;0),('Дивиденды по годам'!J26+'Дивиденды по годам'!K26)/'Дивиденды по годам'!I26,""),"")</f>
        <v>0.3321363548954645</v>
      </c>
      <c r="W26">
        <f>IFERROR('Дивиденды по годам'!I26,"")</f>
        <v>5226215000000</v>
      </c>
      <c r="X26" cm="1">
        <f t="array" ref="X26">IFERROR(AVERAGE(_xlfn._xlws.FILTER(P$2:P$1073,($C$2:$C$1073=$C26)*($E$2:$E$1073=$E26)*(ROW(P$2:P$1073)&lt;&gt;ROW(P26))*(P$2:P$1073&lt;&gt;""))),"")</f>
        <v>28.548604595209117</v>
      </c>
      <c r="Y26" cm="1">
        <f t="array" ref="Y26">IFERROR(AVERAGE(_xlfn._xlws.FILTER(Q$2:Q$1073,($C$2:$C$1073=$C26)*($E$2:$E$1073=$E26)*(ROW(Q$2:Q$1073)&lt;&gt;ROW(Q26))*(Q$2:Q$1073&lt;&gt;""))),"")</f>
        <v>0.52487943597337516</v>
      </c>
      <c r="Z26" cm="1">
        <f t="array" ref="Z26">IFERROR(AVERAGE(_xlfn._xlws.FILTER(R$2:R$1073,($C$2:$C$1073=$C26)*($E$2:$E$1073=$E26)*(ROW(R$2:R$1073)&lt;&gt;ROW(R26))*(R$2:R$1073&lt;&gt;""))),"")</f>
        <v>0.15291895115147006</v>
      </c>
      <c r="AA26" cm="1">
        <f t="array" ref="AA26">IFERROR(AVERAGE(_xlfn._xlws.FILTER(S$2:S$1073,($C$2:$C$1073=$C26)*($E$2:$E$1073=$E26)*(ROW(S$2:S$1073)&lt;&gt;ROW(S26))*(S$2:S$1073&lt;&gt;""))),"")</f>
        <v>0.72211107383288431</v>
      </c>
      <c r="AB26" cm="1">
        <f t="array" ref="AB26">IFERROR(AVERAGE(_xlfn._xlws.FILTER(T$2:T$1073,($C$2:$C$1073=$C26)*($E$2:$E$1073=$E26)*(ROW(T$2:T$1073)&lt;&gt;ROW(T26))*(T$2:T$1073&lt;&gt;""))),"")</f>
        <v>7.1409514922196576E-2</v>
      </c>
      <c r="AC26" cm="1">
        <f t="array" ref="AC26">IFERROR(AVERAGE(_xlfn._xlws.FILTER(U$2:U$1073,($C$2:$C$1073=$C26)*($E$2:$E$1073=$E26)*(ROW(U$2:U$1073)&lt;&gt;ROW(U26))*(U$2:U$1073&lt;&gt;""))),"")</f>
        <v>0.97815989415271831</v>
      </c>
      <c r="AD26" cm="1">
        <f t="array" ref="AD26">IFERROR(AVERAGE(_xlfn._xlws.FILTER(V$2:V$1073,($C$2:$C$1073=$C26)*($E$2:$E$1073=$E26)*(ROW(V$2:V$1073)&lt;&gt;ROW(V26))*(V$2:V$1073&lt;&gt;""))),"")</f>
        <v>0.40967932638898213</v>
      </c>
      <c r="AE26">
        <f>IF('Дивиденды по годам'!M26&lt;0,1,0)</f>
        <v>0</v>
      </c>
    </row>
    <row r="27" spans="1:31" x14ac:dyDescent="0.2">
      <c r="A27" s="7" t="s">
        <v>2178</v>
      </c>
      <c r="B27" t="str">
        <f t="shared" si="0"/>
        <v>LKOH IV кв. 2016</v>
      </c>
      <c r="C27">
        <v>2016</v>
      </c>
      <c r="D27">
        <f>SUMIFS(Дивиденды!$C:$C,Дивиденды!$A:$A,A27,Дивиденды!$I:$I,C27)</f>
        <v>195</v>
      </c>
      <c r="E27">
        <v>1</v>
      </c>
      <c r="F27">
        <f t="shared" si="1"/>
        <v>195</v>
      </c>
      <c r="G27">
        <f t="shared" si="2"/>
        <v>8.5549999999999997</v>
      </c>
      <c r="H27">
        <f t="shared" si="3"/>
        <v>1</v>
      </c>
      <c r="I27">
        <f t="shared" si="4"/>
        <v>0.83333333333333337</v>
      </c>
      <c r="J27">
        <f t="shared" si="5"/>
        <v>0.10169491525423729</v>
      </c>
      <c r="K27">
        <f t="shared" si="10"/>
        <v>0.10646359770809094</v>
      </c>
      <c r="L27">
        <f t="shared" si="6"/>
        <v>1</v>
      </c>
      <c r="M27">
        <f t="shared" si="7"/>
        <v>0.5</v>
      </c>
      <c r="N27">
        <f t="shared" si="8"/>
        <v>0</v>
      </c>
      <c r="O27">
        <f t="shared" si="9"/>
        <v>0.16666666666666666</v>
      </c>
      <c r="P27">
        <f>IFERROR(LN('Дивиденды по годам'!I27),"")</f>
        <v>29.243389330829711</v>
      </c>
      <c r="Q27">
        <f>IFERROR('Дивиденды по годам'!G27/'Дивиденды по годам'!I27, "")</f>
        <v>0.67628856358131428</v>
      </c>
      <c r="R27">
        <f>IFERROR(IF(AND('Дивиденды по годам'!N27&lt;&gt;"",'Дивиденды по годам'!U27&lt;&gt;"",'Дивиденды по годам'!U27&lt;&gt;0),'Дивиденды по годам'!N27/'Дивиденды по годам'!U27-1,""),"")</f>
        <v>-9.0798479748828043E-2</v>
      </c>
      <c r="S27">
        <f>IFERROR(IF(AND('Дивиденды по годам'!L27&lt;&gt;"",'Дивиденды по годам'!I27&lt;&gt;"",'Дивиденды по годам'!J27&lt;&gt;"",'Дивиденды по годам'!K27&lt;&gt;"",('Дивиденды по годам'!I27-'Дивиденды по годам'!J27-'Дивиденды по годам'!K27)&lt;&gt;0),'Дивиденды по годам'!L27/('Дивиденды по годам'!I27-'Дивиденды по годам'!J27-'Дивиденды по годам'!K27),""),"")</f>
        <v>1.0232957953492061</v>
      </c>
      <c r="T27">
        <f>IFERROR(IF(AND('Дивиденды по годам'!Q27&lt;&gt;"",'Дивиденды по годам'!I27&lt;&gt;"",'Дивиденды по годам'!V27&lt;&gt;"",('Дивиденды по годам'!I27+'Дивиденды по годам'!V27)&lt;&gt;0),'Дивиденды по годам'!Q27/(('Дивиденды по годам'!I27+'Дивиденды по годам'!V27)/2),""),"")</f>
        <v>4.1382402882630079E-2</v>
      </c>
      <c r="U27">
        <f>IFERROR(IF(AND('Дивиденды по годам'!J27&lt;&gt;"",'Дивиденды по годам'!K27&lt;&gt;"",'Дивиденды по годам'!M27&lt;&gt;"",'Дивиденды по годам'!M27&lt;&gt;0),('Дивиденды по годам'!J27+'Дивиденды по годам'!K27)/'Дивиденды по годам'!M27,""),"")</f>
        <v>0.55365397389567195</v>
      </c>
      <c r="V27">
        <f>IFERROR(IF(AND('Дивиденды по годам'!J27&lt;&gt;"",'Дивиденды по годам'!K27&lt;&gt;"",'Дивиденды по годам'!M27&lt;&gt;"",'Дивиденды по годам'!I27&lt;&gt;0),('Дивиденды по годам'!J27+'Дивиденды по годам'!K27)/'Дивиденды по годам'!I27,""),"")</f>
        <v>0.35635603757214079</v>
      </c>
      <c r="W27">
        <f>IFERROR('Дивиденды по годам'!I27,"")</f>
        <v>5014673000000</v>
      </c>
      <c r="X27" cm="1">
        <f t="array" ref="X27">IFERROR(AVERAGE(_xlfn._xlws.FILTER(P$2:P$1073,($C$2:$C$1073=$C27)*($E$2:$E$1073=$E27)*(ROW(P$2:P$1073)&lt;&gt;ROW(P27))*(P$2:P$1073&lt;&gt;""))),"")</f>
        <v>28.482594955282764</v>
      </c>
      <c r="Y27" cm="1">
        <f t="array" ref="Y27">IFERROR(AVERAGE(_xlfn._xlws.FILTER(Q$2:Q$1073,($C$2:$C$1073=$C27)*($E$2:$E$1073=$E27)*(ROW(Q$2:Q$1073)&lt;&gt;ROW(Q27))*(Q$2:Q$1073&lt;&gt;""))),"")</f>
        <v>0.51036673856851944</v>
      </c>
      <c r="Z27" cm="1">
        <f t="array" ref="Z27">IFERROR(AVERAGE(_xlfn._xlws.FILTER(R$2:R$1073,($C$2:$C$1073=$C27)*($E$2:$E$1073=$E27)*(ROW(R$2:R$1073)&lt;&gt;ROW(R27))*(R$2:R$1073&lt;&gt;""))),"")</f>
        <v>3.1427289641879665E-2</v>
      </c>
      <c r="AA27" cm="1">
        <f t="array" ref="AA27">IFERROR(AVERAGE(_xlfn._xlws.FILTER(S$2:S$1073,($C$2:$C$1073=$C27)*($E$2:$E$1073=$E27)*(ROW(S$2:S$1073)&lt;&gt;ROW(S27))*(S$2:S$1073&lt;&gt;""))),"")</f>
        <v>0.66952017259576257</v>
      </c>
      <c r="AB27" cm="1">
        <f t="array" ref="AB27">IFERROR(AVERAGE(_xlfn._xlws.FILTER(T$2:T$1073,($C$2:$C$1073=$C27)*($E$2:$E$1073=$E27)*(ROW(T$2:T$1073)&lt;&gt;ROW(T27))*(T$2:T$1073&lt;&gt;""))),"")</f>
        <v>0.10810574050593155</v>
      </c>
      <c r="AC27" cm="1">
        <f t="array" ref="AC27">IFERROR(AVERAGE(_xlfn._xlws.FILTER(U$2:U$1073,($C$2:$C$1073=$C27)*($E$2:$E$1073=$E27)*(ROW(U$2:U$1073)&lt;&gt;ROW(U27))*(U$2:U$1073&lt;&gt;""))),"")</f>
        <v>1.0103394021862728</v>
      </c>
      <c r="AD27" cm="1">
        <f t="array" ref="AD27">IFERROR(AVERAGE(_xlfn._xlws.FILTER(V$2:V$1073,($C$2:$C$1073=$C27)*($E$2:$E$1073=$E27)*(ROW(V$2:V$1073)&lt;&gt;ROW(V27))*(V$2:V$1073&lt;&gt;""))),"")</f>
        <v>0.41492765617998467</v>
      </c>
      <c r="AE27">
        <f>IF('Дивиденды по годам'!M27&lt;0,1,0)</f>
        <v>0</v>
      </c>
    </row>
    <row r="28" spans="1:31" x14ac:dyDescent="0.2">
      <c r="A28" s="7" t="s">
        <v>2178</v>
      </c>
      <c r="B28" t="str">
        <f t="shared" si="0"/>
        <v>LKOH IV кв. 2015</v>
      </c>
      <c r="C28">
        <v>2015</v>
      </c>
      <c r="D28">
        <f>SUMIFS(Дивиденды!$C:$C,Дивиденды!$A:$A,A28,Дивиденды!$I:$I,C28)</f>
        <v>177</v>
      </c>
      <c r="E28">
        <v>1</v>
      </c>
      <c r="F28">
        <f t="shared" si="1"/>
        <v>177</v>
      </c>
      <c r="G28">
        <f t="shared" si="2"/>
        <v>7.45</v>
      </c>
      <c r="H28">
        <f t="shared" si="3"/>
        <v>1</v>
      </c>
      <c r="I28">
        <f t="shared" si="4"/>
        <v>0.83333333333333337</v>
      </c>
      <c r="J28">
        <f t="shared" si="5"/>
        <v>0.14935064935064934</v>
      </c>
      <c r="K28">
        <f t="shared" si="10"/>
        <v>0.13278136304167179</v>
      </c>
      <c r="L28">
        <f t="shared" si="6"/>
        <v>1</v>
      </c>
      <c r="M28">
        <f t="shared" si="7"/>
        <v>0.66666666666666663</v>
      </c>
      <c r="N28">
        <f t="shared" si="8"/>
        <v>0</v>
      </c>
      <c r="O28">
        <f t="shared" si="9"/>
        <v>0.16666666666666666</v>
      </c>
      <c r="P28">
        <f>IFERROR(LN('Дивиденды по годам'!I28),"")</f>
        <v>29.244571958657058</v>
      </c>
      <c r="Q28">
        <f>IFERROR('Дивиденды по годам'!G28/'Дивиденды по годам'!I28, "")</f>
        <v>0.67943039556770723</v>
      </c>
      <c r="R28">
        <f>IFERROR(IF(AND('Дивиденды по годам'!N28&lt;&gt;"",'Дивиденды по годам'!U28&lt;&gt;"",'Дивиденды по годам'!U28&lt;&gt;0),'Дивиденды по годам'!N28/'Дивиденды по годам'!U28-1,""),"")</f>
        <v>2.8796562707219087E-2</v>
      </c>
      <c r="S28">
        <f>IFERROR(IF(AND('Дивиденды по годам'!L28&lt;&gt;"",'Дивиденды по годам'!I28&lt;&gt;"",'Дивиденды по годам'!J28&lt;&gt;"",'Дивиденды по годам'!K28&lt;&gt;"",('Дивиденды по годам'!I28-'Дивиденды по годам'!J28-'Дивиденды по годам'!K28)&lt;&gt;0),'Дивиденды по годам'!L28/('Дивиденды по годам'!I28-'Дивиденды по годам'!J28-'Дивиденды по годам'!K28),""),"")</f>
        <v>0.99938261556848573</v>
      </c>
      <c r="T28">
        <f>IFERROR(IF(AND('Дивиденды по годам'!Q28&lt;&gt;"",'Дивиденды по годам'!I28&lt;&gt;"",'Дивиденды по годам'!V28&lt;&gt;"",('Дивиденды по годам'!I28+'Дивиденды по годам'!V28)&lt;&gt;0),'Дивиденды по годам'!Q28/(('Дивиденды по годам'!I28+'Дивиденды по годам'!V28)/2),""),"")</f>
        <v>6.2591509271612875E-2</v>
      </c>
      <c r="U28">
        <f>IFERROR(IF(AND('Дивиденды по годам'!J28&lt;&gt;"",'Дивиденды по годам'!K28&lt;&gt;"",'Дивиденды по годам'!M28&lt;&gt;"",'Дивиденды по годам'!M28&lt;&gt;0),('Дивиденды по годам'!J28+'Дивиденды по годам'!K28)/'Дивиденды по годам'!M28,""),"")</f>
        <v>0.55370656569001298</v>
      </c>
      <c r="V28">
        <f>IFERROR(IF(AND('Дивиденды по годам'!J28&lt;&gt;"",'Дивиденды по годам'!K28&lt;&gt;"",'Дивиденды по годам'!M28&lt;&gt;"",'Дивиденды по годам'!I28&lt;&gt;0),('Дивиденды по годам'!J28+'Дивиденды по годам'!K28)/'Дивиденды по годам'!I28,""),"")</f>
        <v>0.35637782443437616</v>
      </c>
      <c r="W28">
        <f>IFERROR('Дивиденды по годам'!I28,"")</f>
        <v>5020607000000</v>
      </c>
      <c r="X28" cm="1">
        <f t="array" ref="X28">IFERROR(AVERAGE(_xlfn._xlws.FILTER(P$2:P$1073,($C$2:$C$1073=$C28)*($E$2:$E$1073=$E28)*(ROW(P$2:P$1073)&lt;&gt;ROW(P28))*(P$2:P$1073&lt;&gt;""))),"")</f>
        <v>28.272415494030859</v>
      </c>
      <c r="Y28" cm="1">
        <f t="array" ref="Y28">IFERROR(AVERAGE(_xlfn._xlws.FILTER(Q$2:Q$1073,($C$2:$C$1073=$C28)*($E$2:$E$1073=$E28)*(ROW(Q$2:Q$1073)&lt;&gt;ROW(Q28))*(Q$2:Q$1073&lt;&gt;""))),"")</f>
        <v>0.56469536216109018</v>
      </c>
      <c r="Z28" cm="1">
        <f t="array" ref="Z28">IFERROR(AVERAGE(_xlfn._xlws.FILTER(R$2:R$1073,($C$2:$C$1073=$C28)*($E$2:$E$1073=$E28)*(ROW(R$2:R$1073)&lt;&gt;ROW(R28))*(R$2:R$1073&lt;&gt;""))),"")</f>
        <v>0.12792050654970677</v>
      </c>
      <c r="AA28" cm="1">
        <f t="array" ref="AA28">IFERROR(AVERAGE(_xlfn._xlws.FILTER(S$2:S$1073,($C$2:$C$1073=$C28)*($E$2:$E$1073=$E28)*(ROW(S$2:S$1073)&lt;&gt;ROW(S28))*(S$2:S$1073&lt;&gt;""))),"")</f>
        <v>0.92153161001599881</v>
      </c>
      <c r="AB28" cm="1">
        <f t="array" ref="AB28">IFERROR(AVERAGE(_xlfn._xlws.FILTER(T$2:T$1073,($C$2:$C$1073=$C28)*($E$2:$E$1073=$E28)*(ROW(T$2:T$1073)&lt;&gt;ROW(T28))*(T$2:T$1073&lt;&gt;""))),"")</f>
        <v>8.017639552230342E-2</v>
      </c>
      <c r="AC28" cm="1">
        <f t="array" ref="AC28">IFERROR(AVERAGE(_xlfn._xlws.FILTER(U$2:U$1073,($C$2:$C$1073=$C28)*($E$2:$E$1073=$E28)*(ROW(U$2:U$1073)&lt;&gt;ROW(U28))*(U$2:U$1073&lt;&gt;""))),"")</f>
        <v>-1.2653858146405799</v>
      </c>
      <c r="AD28" cm="1">
        <f t="array" ref="AD28">IFERROR(AVERAGE(_xlfn._xlws.FILTER(V$2:V$1073,($C$2:$C$1073=$C28)*($E$2:$E$1073=$E28)*(ROW(V$2:V$1073)&lt;&gt;ROW(V28))*(V$2:V$1073&lt;&gt;""))),"")</f>
        <v>0.57037646453530311</v>
      </c>
      <c r="AE28">
        <f>IF('Дивиденды по годам'!M28&lt;0,1,0)</f>
        <v>0</v>
      </c>
    </row>
    <row r="29" spans="1:31" x14ac:dyDescent="0.2">
      <c r="A29" s="7" t="s">
        <v>2178</v>
      </c>
      <c r="B29" t="str">
        <f t="shared" si="0"/>
        <v>LKOH IV кв. 2014</v>
      </c>
      <c r="C29">
        <v>2014</v>
      </c>
      <c r="D29">
        <f>SUMIFS(Дивиденды!$C:$C,Дивиденды!$A:$A,A29,Дивиденды!$I:$I,C29)</f>
        <v>154</v>
      </c>
      <c r="E29">
        <v>1</v>
      </c>
      <c r="F29">
        <f t="shared" si="1"/>
        <v>154</v>
      </c>
      <c r="G29">
        <f t="shared" si="2"/>
        <v>6.1566666666666663</v>
      </c>
      <c r="H29">
        <f t="shared" si="3"/>
        <v>1</v>
      </c>
      <c r="I29">
        <f t="shared" si="4"/>
        <v>0.83333333333333337</v>
      </c>
      <c r="J29">
        <f t="shared" si="5"/>
        <v>0.4</v>
      </c>
      <c r="K29">
        <f t="shared" si="10"/>
        <v>5.2205746756218967E-2</v>
      </c>
      <c r="L29">
        <f t="shared" si="6"/>
        <v>1</v>
      </c>
      <c r="M29">
        <f t="shared" si="7"/>
        <v>0.5</v>
      </c>
      <c r="N29">
        <f t="shared" si="8"/>
        <v>0</v>
      </c>
      <c r="O29">
        <f t="shared" si="9"/>
        <v>0.16666666666666666</v>
      </c>
      <c r="P29">
        <f>IFERROR(LN('Дивиденды по годам'!I29),"")</f>
        <v>29.097405217152055</v>
      </c>
      <c r="Q29">
        <f>IFERROR('Дивиденды по годам'!G29/'Дивиденды по годам'!I29, "")</f>
        <v>0.72868515205724504</v>
      </c>
      <c r="R29">
        <f>IFERROR(IF(AND('Дивиденды по годам'!N29&lt;&gt;"",'Дивиденды по годам'!U29&lt;&gt;"",'Дивиденды по годам'!U29&lt;&gt;0),'Дивиденды по годам'!N29/'Дивиденды по годам'!U29-1,""),"")</f>
        <v>0.23981588223734662</v>
      </c>
      <c r="S29">
        <f>IFERROR(IF(AND('Дивиденды по годам'!L29&lt;&gt;"",'Дивиденды по годам'!I29&lt;&gt;"",'Дивиденды по годам'!J29&lt;&gt;"",'Дивиденды по годам'!K29&lt;&gt;"",('Дивиденды по годам'!I29-'Дивиденды по годам'!J29-'Дивиденды по годам'!K29)&lt;&gt;0),'Дивиденды по годам'!L29/('Дивиденды по годам'!I29-'Дивиденды по годам'!J29-'Дивиденды по годам'!K29),""),"")</f>
        <v>1.0364465532500735</v>
      </c>
      <c r="T29">
        <f>IFERROR(IF(AND('Дивиденды по годам'!Q29&lt;&gt;"",'Дивиденды по годам'!I29&lt;&gt;"",'Дивиденды по годам'!V29&lt;&gt;"",('Дивиденды по годам'!I29+'Дивиденды по годам'!V29)&lt;&gt;0),'Дивиденды по годам'!Q29/(('Дивиденды по годам'!I29+'Дивиденды по годам'!V29)/2),""),"")</f>
        <v>4.6727909965986726E-2</v>
      </c>
      <c r="U29">
        <f>IFERROR(IF(AND('Дивиденды по годам'!J29&lt;&gt;"",'Дивиденды по годам'!K29&lt;&gt;"",'Дивиденды по годам'!M29&lt;&gt;"",'Дивиденды по годам'!M29&lt;&gt;0),('Дивиденды по годам'!J29+'Дивиденды по годам'!K29)/'Дивиденды по годам'!M29,""),"")</f>
        <v>0.37427475661323634</v>
      </c>
      <c r="V29">
        <f>IFERROR(IF(AND('Дивиденды по годам'!J29&lt;&gt;"",'Дивиденды по годам'!K29&lt;&gt;"",'Дивиденды по годам'!M29&lt;&gt;"",'Дивиденды по годам'!I29&lt;&gt;0),('Дивиденды по годам'!J29+'Дивиденды по годам'!K29)/'Дивиденды по годам'!I29,""),"")</f>
        <v>0.27234347048300539</v>
      </c>
      <c r="W29">
        <f>IFERROR('Дивиденды по годам'!I29,"")</f>
        <v>4333537145323.1934</v>
      </c>
      <c r="X29" cm="1">
        <f t="array" ref="X29">IFERROR(AVERAGE(_xlfn._xlws.FILTER(P$2:P$1073,($C$2:$C$1073=$C29)*($E$2:$E$1073=$E29)*(ROW(P$2:P$1073)&lt;&gt;ROW(P29))*(P$2:P$1073&lt;&gt;""))),"")</f>
        <v>28.685685912760103</v>
      </c>
      <c r="Y29" cm="1">
        <f t="array" ref="Y29">IFERROR(AVERAGE(_xlfn._xlws.FILTER(Q$2:Q$1073,($C$2:$C$1073=$C29)*($E$2:$E$1073=$E29)*(ROW(Q$2:Q$1073)&lt;&gt;ROW(Q29))*(Q$2:Q$1073&lt;&gt;""))),"")</f>
        <v>0.60349396270347877</v>
      </c>
      <c r="Z29" cm="1">
        <f t="array" ref="Z29">IFERROR(AVERAGE(_xlfn._xlws.FILTER(R$2:R$1073,($C$2:$C$1073=$C29)*($E$2:$E$1073=$E29)*(ROW(R$2:R$1073)&lt;&gt;ROW(R29))*(R$2:R$1073&lt;&gt;""))),"")</f>
        <v>0.12089329207181843</v>
      </c>
      <c r="AA29" cm="1">
        <f t="array" ref="AA29">IFERROR(AVERAGE(_xlfn._xlws.FILTER(S$2:S$1073,($C$2:$C$1073=$C29)*($E$2:$E$1073=$E29)*(ROW(S$2:S$1073)&lt;&gt;ROW(S29))*(S$2:S$1073&lt;&gt;""))),"")</f>
        <v>0.91100895762523193</v>
      </c>
      <c r="AB29" cm="1">
        <f t="array" ref="AB29">IFERROR(AVERAGE(_xlfn._xlws.FILTER(T$2:T$1073,($C$2:$C$1073=$C29)*($E$2:$E$1073=$E29)*(ROW(T$2:T$1073)&lt;&gt;ROW(T29))*(T$2:T$1073&lt;&gt;""))),"")</f>
        <v>6.2440111833769324E-2</v>
      </c>
      <c r="AC29" cm="1">
        <f t="array" ref="AC29">IFERROR(AVERAGE(_xlfn._xlws.FILTER(U$2:U$1073,($C$2:$C$1073=$C29)*($E$2:$E$1073=$E29)*(ROW(U$2:U$1073)&lt;&gt;ROW(U29))*(U$2:U$1073&lt;&gt;""))),"")</f>
        <v>0.89920460757336718</v>
      </c>
      <c r="AD29" cm="1">
        <f t="array" ref="AD29">IFERROR(AVERAGE(_xlfn._xlws.FILTER(V$2:V$1073,($C$2:$C$1073=$C29)*($E$2:$E$1073=$E29)*(ROW(V$2:V$1073)&lt;&gt;ROW(V29))*(V$2:V$1073&lt;&gt;""))),"")</f>
        <v>0.41382974680050005</v>
      </c>
      <c r="AE29">
        <f>IF('Дивиденды по годам'!M29&lt;0,1,0)</f>
        <v>0</v>
      </c>
    </row>
    <row r="30" spans="1:31" x14ac:dyDescent="0.2">
      <c r="A30" s="7" t="s">
        <v>2178</v>
      </c>
      <c r="B30" t="str">
        <f t="shared" si="0"/>
        <v>LKOH IV кв. 2013</v>
      </c>
      <c r="C30">
        <v>2013</v>
      </c>
      <c r="D30">
        <f>SUMIFS(Дивиденды!$C:$C,Дивиденды!$A:$A,A30,Дивиденды!$I:$I,C30)</f>
        <v>110</v>
      </c>
      <c r="E30">
        <v>1</v>
      </c>
      <c r="F30">
        <f t="shared" si="1"/>
        <v>110</v>
      </c>
      <c r="G30">
        <f t="shared" si="2"/>
        <v>6.128333333333333</v>
      </c>
      <c r="H30">
        <f t="shared" si="3"/>
        <v>1</v>
      </c>
      <c r="I30">
        <f t="shared" si="4"/>
        <v>0.83333333333333337</v>
      </c>
      <c r="J30">
        <f t="shared" si="5"/>
        <v>0.22222222222222221</v>
      </c>
      <c r="K30">
        <f t="shared" si="10"/>
        <v>0.18423319126740467</v>
      </c>
      <c r="L30">
        <f t="shared" si="6"/>
        <v>1</v>
      </c>
      <c r="M30">
        <f t="shared" si="7"/>
        <v>0.66666666666666663</v>
      </c>
      <c r="N30">
        <f t="shared" si="8"/>
        <v>0</v>
      </c>
      <c r="O30">
        <f t="shared" si="9"/>
        <v>0.16666666666666666</v>
      </c>
      <c r="P30">
        <f>IFERROR(LN('Дивиденды по годам'!I30),"")</f>
        <v>28.880100861679207</v>
      </c>
      <c r="Q30">
        <f>IFERROR('Дивиденды по годам'!G30/'Дивиденды по годам'!I30, "")</f>
        <v>0.71699044207679241</v>
      </c>
      <c r="R30">
        <f>IFERROR(IF(AND('Дивиденды по годам'!N30&lt;&gt;"",'Дивиденды по годам'!U30&lt;&gt;"",'Дивиденды по годам'!U30&lt;&gt;0),'Дивиденды по годам'!N30/'Дивиденды по годам'!U30-1,""),"")</f>
        <v>4.2600315275921785E-2</v>
      </c>
      <c r="S30">
        <f>IFERROR(IF(AND('Дивиденды по годам'!L30&lt;&gt;"",'Дивиденды по годам'!I30&lt;&gt;"",'Дивиденды по годам'!J30&lt;&gt;"",'Дивиденды по годам'!K30&lt;&gt;"",('Дивиденды по годам'!I30-'Дивиденды по годам'!J30-'Дивиденды по годам'!K30)&lt;&gt;0),'Дивиденды по годам'!L30/('Дивиденды по годам'!I30-'Дивиденды по годам'!J30-'Дивиденды по годам'!K30),""),"")</f>
        <v>1.03651051310016</v>
      </c>
      <c r="T30">
        <f>IFERROR(IF(AND('Дивиденды по годам'!Q30&lt;&gt;"",'Дивиденды по годам'!I30&lt;&gt;"",'Дивиденды по годам'!V30&lt;&gt;"",('Дивиденды по годам'!I30+'Дивиденды по годам'!V30)&lt;&gt;0),'Дивиденды по годам'!Q30/(('Дивиденды по годам'!I30+'Дивиденды по годам'!V30)/2),""),"")</f>
        <v>7.4080486715921559E-2</v>
      </c>
      <c r="U30">
        <f>IFERROR(IF(AND('Дивиденды по годам'!J30&lt;&gt;"",'Дивиденды по годам'!K30&lt;&gt;"",'Дивиденды по годам'!M30&lt;&gt;"",'Дивиденды по годам'!M30&lt;&gt;0),('Дивиденды по годам'!J30+'Дивиденды по годам'!K30)/'Дивиденды по годам'!M30,""),"")</f>
        <v>0.38785111914273035</v>
      </c>
      <c r="V30">
        <f>IFERROR(IF(AND('Дивиденды по годам'!J30&lt;&gt;"",'Дивиденды по годам'!K30&lt;&gt;"",'Дивиденды по годам'!M30&lt;&gt;"",'Дивиденды по годам'!I30&lt;&gt;0),('Дивиденды по годам'!J30+'Дивиденды по годам'!K30)/'Дивиденды по годам'!I30,""),"")</f>
        <v>0.27946417149436215</v>
      </c>
      <c r="W30">
        <f>IFERROR('Дивиденды по годам'!I30,"")</f>
        <v>3487132431999.9995</v>
      </c>
      <c r="X30" cm="1">
        <f t="array" ref="X30">IFERROR(AVERAGE(_xlfn._xlws.FILTER(P$2:P$1073,($C$2:$C$1073=$C30)*($E$2:$E$1073=$E30)*(ROW(P$2:P$1073)&lt;&gt;ROW(P30))*(P$2:P$1073&lt;&gt;""))),"")</f>
        <v>28.558357644831574</v>
      </c>
      <c r="Y30" cm="1">
        <f t="array" ref="Y30">IFERROR(AVERAGE(_xlfn._xlws.FILTER(Q$2:Q$1073,($C$2:$C$1073=$C30)*($E$2:$E$1073=$E30)*(ROW(Q$2:Q$1073)&lt;&gt;ROW(Q30))*(Q$2:Q$1073&lt;&gt;""))),"")</f>
        <v>0.62370738457426733</v>
      </c>
      <c r="Z30" cm="1">
        <f t="array" ref="Z30">IFERROR(AVERAGE(_xlfn._xlws.FILTER(R$2:R$1073,($C$2:$C$1073=$C30)*($E$2:$E$1073=$E30)*(ROW(R$2:R$1073)&lt;&gt;ROW(R30))*(R$2:R$1073&lt;&gt;""))),"")</f>
        <v>0.2661722320582226</v>
      </c>
      <c r="AA30" cm="1">
        <f t="array" ref="AA30">IFERROR(AVERAGE(_xlfn._xlws.FILTER(S$2:S$1073,($C$2:$C$1073=$C30)*($E$2:$E$1073=$E30)*(ROW(S$2:S$1073)&lt;&gt;ROW(S30))*(S$2:S$1073&lt;&gt;""))),"")</f>
        <v>0.86126634851961348</v>
      </c>
      <c r="AB30" cm="1">
        <f t="array" ref="AB30">IFERROR(AVERAGE(_xlfn._xlws.FILTER(T$2:T$1073,($C$2:$C$1073=$C30)*($E$2:$E$1073=$E30)*(ROW(T$2:T$1073)&lt;&gt;ROW(T30))*(T$2:T$1073&lt;&gt;""))),"")</f>
        <v>0.12885776134530838</v>
      </c>
      <c r="AC30" cm="1">
        <f t="array" ref="AC30">IFERROR(AVERAGE(_xlfn._xlws.FILTER(U$2:U$1073,($C$2:$C$1073=$C30)*($E$2:$E$1073=$E30)*(ROW(U$2:U$1073)&lt;&gt;ROW(U30))*(U$2:U$1073&lt;&gt;""))),"")</f>
        <v>0.67919413174042054</v>
      </c>
      <c r="AD30" cm="1">
        <f t="array" ref="AD30">IFERROR(AVERAGE(_xlfn._xlws.FILTER(V$2:V$1073,($C$2:$C$1073=$C30)*($E$2:$E$1073=$E30)*(ROW(V$2:V$1073)&lt;&gt;ROW(V30))*(V$2:V$1073&lt;&gt;""))),"")</f>
        <v>0.37289733052559704</v>
      </c>
      <c r="AE30">
        <f>IF('Дивиденды по годам'!M30&lt;0,1,0)</f>
        <v>0</v>
      </c>
    </row>
    <row r="31" spans="1:31" x14ac:dyDescent="0.2">
      <c r="A31" s="7" t="s">
        <v>2178</v>
      </c>
      <c r="B31" t="str">
        <f t="shared" si="0"/>
        <v>LKOH IV кв. 2012</v>
      </c>
      <c r="C31">
        <v>2012</v>
      </c>
      <c r="D31">
        <f>SUMIFS(Дивиденды!$C:$C,Дивиденды!$A:$A,A31,Дивиденды!$I:$I,C31)</f>
        <v>90</v>
      </c>
      <c r="E31">
        <v>1</v>
      </c>
      <c r="F31">
        <f t="shared" si="1"/>
        <v>90</v>
      </c>
      <c r="G31">
        <f t="shared" si="2"/>
        <v>5</v>
      </c>
      <c r="H31">
        <f t="shared" si="3"/>
        <v>1</v>
      </c>
      <c r="I31">
        <f t="shared" si="4"/>
        <v>0.83333333333333337</v>
      </c>
      <c r="J31">
        <f t="shared" si="5"/>
        <v>0.2</v>
      </c>
      <c r="K31">
        <f t="shared" si="10"/>
        <v>-1.1967578169080206E-2</v>
      </c>
      <c r="L31">
        <f t="shared" si="6"/>
        <v>1</v>
      </c>
      <c r="M31">
        <f t="shared" si="7"/>
        <v>0.5</v>
      </c>
      <c r="N31">
        <f t="shared" si="8"/>
        <v>0</v>
      </c>
      <c r="O31">
        <f t="shared" si="9"/>
        <v>0.33333333333333331</v>
      </c>
      <c r="P31">
        <f>IFERROR(LN('Дивиденды по годам'!I31),"")</f>
        <v>28.754007664262996</v>
      </c>
      <c r="Q31">
        <f>IFERROR('Дивиденды по годам'!G31/'Дивиденды по годам'!I31, "")</f>
        <v>0.67585210335384638</v>
      </c>
      <c r="R31">
        <f>IFERROR(IF(AND('Дивиденды по годам'!N31&lt;&gt;"",'Дивиденды по годам'!U31&lt;&gt;"",'Дивиденды по годам'!U31&lt;&gt;0),'Дивиденды по годам'!N31/'Дивиденды по годам'!U31-1,""),"")</f>
        <v>0.10011801840127621</v>
      </c>
      <c r="S31">
        <f>IFERROR(IF(AND('Дивиденды по годам'!L31&lt;&gt;"",'Дивиденды по годам'!I31&lt;&gt;"",'Дивиденды по годам'!J31&lt;&gt;"",'Дивиденды по годам'!K31&lt;&gt;"",('Дивиденды по годам'!I31-'Дивиденды по годам'!J31-'Дивиденды по годам'!K31)&lt;&gt;0),'Дивиденды по годам'!L31/('Дивиденды по годам'!I31-'Дивиденды по годам'!J31-'Дивиденды по годам'!K31),""),"")</f>
        <v>1.0273359572976761</v>
      </c>
      <c r="T31">
        <f>IFERROR(IF(AND('Дивиденды по годам'!Q31&lt;&gt;"",'Дивиденды по годам'!I31&lt;&gt;"",'Дивиденды по годам'!V31&lt;&gt;"",('Дивиденды по годам'!I31+'Дивиденды по годам'!V31)&lt;&gt;0),'Дивиденды по годам'!Q31/(('Дивиденды по годам'!I31+'Дивиденды по годам'!V31)/2),""),"")</f>
        <v>0.1179307779470702</v>
      </c>
      <c r="U31">
        <f>IFERROR(IF(AND('Дивиденды по годам'!J31&lt;&gt;"",'Дивиденды по годам'!K31&lt;&gt;"",'Дивиденды по годам'!M31&lt;&gt;"",'Дивиденды по годам'!M31&lt;&gt;0),('Дивиденды по годам'!J31+'Дивиденды по годам'!K31)/'Дивиденды по годам'!M31,""),"")</f>
        <v>0.33392192807462123</v>
      </c>
      <c r="V31">
        <f>IFERROR(IF(AND('Дивиденды по годам'!J31&lt;&gt;"",'Дивиденды по годам'!K31&lt;&gt;"",'Дивиденды по годам'!M31&lt;&gt;"",'Дивиденды по годам'!I31&lt;&gt;0),('Дивиденды по годам'!J31+'Дивиденды по годам'!K31)/'Дивиденды по годам'!I31,""),"")</f>
        <v>0.2503309384505007</v>
      </c>
      <c r="W31">
        <f>IFERROR('Дивиденды по годам'!I31,"")</f>
        <v>3074021220565.5156</v>
      </c>
      <c r="X31" cm="1">
        <f t="array" ref="X31">IFERROR(AVERAGE(_xlfn._xlws.FILTER(P$2:P$1073,($C$2:$C$1073=$C31)*($E$2:$E$1073=$E31)*(ROW(P$2:P$1073)&lt;&gt;ROW(P31))*(P$2:P$1073&lt;&gt;""))),"")</f>
        <v>28.283497194243008</v>
      </c>
      <c r="Y31" cm="1">
        <f t="array" ref="Y31">IFERROR(AVERAGE(_xlfn._xlws.FILTER(Q$2:Q$1073,($C$2:$C$1073=$C31)*($E$2:$E$1073=$E31)*(ROW(Q$2:Q$1073)&lt;&gt;ROW(Q31))*(Q$2:Q$1073&lt;&gt;""))),"")</f>
        <v>0.60594587021249224</v>
      </c>
      <c r="Z31" cm="1">
        <f t="array" ref="Z31">IFERROR(AVERAGE(_xlfn._xlws.FILTER(R$2:R$1073,($C$2:$C$1073=$C31)*($E$2:$E$1073=$E31)*(ROW(R$2:R$1073)&lt;&gt;ROW(R31))*(R$2:R$1073&lt;&gt;""))),"")</f>
        <v>2.1495847103288779E-2</v>
      </c>
      <c r="AA31" cm="1">
        <f t="array" ref="AA31">IFERROR(AVERAGE(_xlfn._xlws.FILTER(S$2:S$1073,($C$2:$C$1073=$C31)*($E$2:$E$1073=$E31)*(ROW(S$2:S$1073)&lt;&gt;ROW(S31))*(S$2:S$1073&lt;&gt;""))),"")</f>
        <v>0.87588137373747954</v>
      </c>
      <c r="AB31" cm="1">
        <f t="array" ref="AB31">IFERROR(AVERAGE(_xlfn._xlws.FILTER(T$2:T$1073,($C$2:$C$1073=$C31)*($E$2:$E$1073=$E31)*(ROW(T$2:T$1073)&lt;&gt;ROW(T31))*(T$2:T$1073&lt;&gt;""))),"")</f>
        <v>0.12216985243146036</v>
      </c>
      <c r="AC31" cm="1">
        <f t="array" ref="AC31">IFERROR(AVERAGE(_xlfn._xlws.FILTER(U$2:U$1073,($C$2:$C$1073=$C31)*($E$2:$E$1073=$E31)*(ROW(U$2:U$1073)&lt;&gt;ROW(U31))*(U$2:U$1073&lt;&gt;""))),"")</f>
        <v>0.52314604305508794</v>
      </c>
      <c r="AD31" cm="1">
        <f t="array" ref="AD31">IFERROR(AVERAGE(_xlfn._xlws.FILTER(V$2:V$1073,($C$2:$C$1073=$C31)*($E$2:$E$1073=$E31)*(ROW(V$2:V$1073)&lt;&gt;ROW(V31))*(V$2:V$1073&lt;&gt;""))),"")</f>
        <v>0.33876204233451157</v>
      </c>
      <c r="AE31">
        <f>IF('Дивиденды по годам'!M31&lt;0,1,0)</f>
        <v>0</v>
      </c>
    </row>
    <row r="32" spans="1:31" x14ac:dyDescent="0.2">
      <c r="A32" s="7" t="s">
        <v>2178</v>
      </c>
      <c r="B32" t="str">
        <f t="shared" si="0"/>
        <v>LKOH IV кв. 2011</v>
      </c>
      <c r="C32">
        <v>2011</v>
      </c>
      <c r="D32">
        <f>SUMIFS(Дивиденды!$C:$C,Дивиденды!$A:$A,A32,Дивиденды!$I:$I,C32)</f>
        <v>75</v>
      </c>
      <c r="E32">
        <v>1</v>
      </c>
      <c r="F32">
        <f t="shared" si="1"/>
        <v>75</v>
      </c>
      <c r="G32">
        <f t="shared" si="2"/>
        <v>5.03</v>
      </c>
      <c r="H32">
        <f t="shared" si="3"/>
        <v>1</v>
      </c>
      <c r="I32">
        <f t="shared" si="4"/>
        <v>0.83333333333333337</v>
      </c>
      <c r="J32">
        <f t="shared" si="5"/>
        <v>0.2711864406779661</v>
      </c>
      <c r="K32">
        <f t="shared" si="10"/>
        <v>0.69474826086206676</v>
      </c>
      <c r="L32">
        <f t="shared" si="6"/>
        <v>1</v>
      </c>
      <c r="M32">
        <f>IFERROR(AVERAGEIFS($L:$L,$E:$E,E32,$C:$C,C32,$A:$A,"&lt;&gt;"&amp;A32),"")</f>
        <v>0.83333333333333337</v>
      </c>
      <c r="N32">
        <f t="shared" si="8"/>
        <v>0</v>
      </c>
      <c r="O32">
        <f t="shared" si="9"/>
        <v>0</v>
      </c>
      <c r="P32">
        <f>IFERROR(LN('Дивиденды по годам'!I32),"")</f>
        <v>28.617310491844059</v>
      </c>
      <c r="Q32">
        <f>IFERROR('Дивиденды по годам'!G32/'Дивиденды по годам'!I32, "")</f>
        <v>0.62289455215369771</v>
      </c>
      <c r="R32">
        <f>IFERROR(IF(AND('Дивиденды по годам'!N32&lt;&gt;"",'Дивиденды по годам'!U32&lt;&gt;"",'Дивиденды по годам'!U32&lt;&gt;0),'Дивиденды по годам'!N32/'Дивиденды по годам'!U32-1,""),"")</f>
        <v>0.23276360732277679</v>
      </c>
      <c r="S32">
        <f>IFERROR(IF(AND('Дивиденды по годам'!L32&lt;&gt;"",'Дивиденды по годам'!I32&lt;&gt;"",'Дивиденды по годам'!J32&lt;&gt;"",'Дивиденды по годам'!K32&lt;&gt;"",('Дивиденды по годам'!I32-'Дивиденды по годам'!J32-'Дивиденды по годам'!K32)&lt;&gt;0),'Дивиденды по годам'!L32/('Дивиденды по годам'!I32-'Дивиденды по годам'!J32-'Дивиденды по годам'!K32),""),"")</f>
        <v>1.007025761124122</v>
      </c>
      <c r="T32">
        <f>IFERROR(IF(AND('Дивиденды по годам'!Q32&lt;&gt;"",'Дивиденды по годам'!I32&lt;&gt;"",'Дивиденды по годам'!V32&lt;&gt;"",('Дивиденды по годам'!I32+'Дивиденды по годам'!V32)&lt;&gt;0),'Дивиденды по годам'!Q32/(('Дивиденды по годам'!I32+'Дивиденды по годам'!V32)/2),""),"")</f>
        <v>0.11041821777597025</v>
      </c>
      <c r="U32">
        <f>IFERROR(IF(AND('Дивиденды по годам'!J32&lt;&gt;"",'Дивиденды по годам'!K32&lt;&gt;"",'Дивиденды по годам'!M32&lt;&gt;"",'Дивиденды по годам'!M32&lt;&gt;0),('Дивиденды по годам'!J32+'Дивиденды по годам'!K32)/'Дивиденды по годам'!M32,""),"")</f>
        <v>0.35167343550825603</v>
      </c>
      <c r="V32">
        <f>IFERROR(IF(AND('Дивиденды по годам'!J32&lt;&gt;"",'Дивиденды по годам'!K32&lt;&gt;"",'Дивиденды по годам'!M32&lt;&gt;"",'Дивиденды по годам'!I32&lt;&gt;0),('Дивиденды по годам'!J32+'Дивиденды по годам'!K32)/'Дивиденды по годам'!I32,""),"")</f>
        <v>0.26017633125712786</v>
      </c>
      <c r="W32">
        <f>IFERROR('Дивиденды по годам'!I32,"")</f>
        <v>2681266817446.1538</v>
      </c>
      <c r="X32" cm="1">
        <f t="array" ref="X32">IFERROR(AVERAGE(_xlfn._xlws.FILTER(P$2:P$1073,($C$2:$C$1073=$C32)*($E$2:$E$1073=$E32)*(ROW(P$2:P$1073)&lt;&gt;ROW(P32))*(P$2:P$1073&lt;&gt;""))),"")</f>
        <v>28.176452214510768</v>
      </c>
      <c r="Y32" cm="1">
        <f t="array" ref="Y32">IFERROR(AVERAGE(_xlfn._xlws.FILTER(Q$2:Q$1073,($C$2:$C$1073=$C32)*($E$2:$E$1073=$E32)*(ROW(Q$2:Q$1073)&lt;&gt;ROW(Q32))*(Q$2:Q$1073&lt;&gt;""))),"")</f>
        <v>0.59952908692413853</v>
      </c>
      <c r="Z32" cm="1">
        <f t="array" ref="Z32">IFERROR(AVERAGE(_xlfn._xlws.FILTER(R$2:R$1073,($C$2:$C$1073=$C32)*($E$2:$E$1073=$E32)*(ROW(R$2:R$1073)&lt;&gt;ROW(R32))*(R$2:R$1073&lt;&gt;""))),"")</f>
        <v>0.38011965126533465</v>
      </c>
      <c r="AA32" cm="1">
        <f t="array" ref="AA32">IFERROR(AVERAGE(_xlfn._xlws.FILTER(S$2:S$1073,($C$2:$C$1073=$C32)*($E$2:$E$1073=$E32)*(ROW(S$2:S$1073)&lt;&gt;ROW(S32))*(S$2:S$1073&lt;&gt;""))),"")</f>
        <v>0.85135688383905284</v>
      </c>
      <c r="AB32" cm="1">
        <f t="array" ref="AB32">IFERROR(AVERAGE(_xlfn._xlws.FILTER(T$2:T$1073,($C$2:$C$1073=$C32)*($E$2:$E$1073=$E32)*(ROW(T$2:T$1073)&lt;&gt;ROW(T32))*(T$2:T$1073&lt;&gt;""))),"")</f>
        <v>0.17426207800431212</v>
      </c>
      <c r="AC32" cm="1">
        <f t="array" ref="AC32">IFERROR(AVERAGE(_xlfn._xlws.FILTER(U$2:U$1073,($C$2:$C$1073=$C32)*($E$2:$E$1073=$E32)*(ROW(U$2:U$1073)&lt;&gt;ROW(U32))*(U$2:U$1073&lt;&gt;""))),"")</f>
        <v>0.54488493486890155</v>
      </c>
      <c r="AD32" cm="1">
        <f t="array" ref="AD32">IFERROR(AVERAGE(_xlfn._xlws.FILTER(V$2:V$1073,($C$2:$C$1073=$C32)*($E$2:$E$1073=$E32)*(ROW(V$2:V$1073)&lt;&gt;ROW(V32))*(V$2:V$1073&lt;&gt;""))),"")</f>
        <v>0.35062152898822618</v>
      </c>
      <c r="AE32">
        <f>IF('Дивиденды по годам'!M32&lt;0,1,0)</f>
        <v>0</v>
      </c>
    </row>
    <row r="33" spans="1:31" x14ac:dyDescent="0.2">
      <c r="A33" s="7" t="s">
        <v>2178</v>
      </c>
      <c r="B33" t="str">
        <f t="shared" si="0"/>
        <v>LKOH IV кв. 2010</v>
      </c>
      <c r="C33">
        <v>2010</v>
      </c>
      <c r="D33">
        <f>SUMIFS(Дивиденды!$C:$C,Дивиденды!$A:$A,A33,Дивиденды!$I:$I,C33)</f>
        <v>59</v>
      </c>
      <c r="E33">
        <v>1</v>
      </c>
      <c r="F33">
        <f t="shared" si="1"/>
        <v>59</v>
      </c>
      <c r="G33">
        <f t="shared" si="2"/>
        <v>2.688333333333333</v>
      </c>
      <c r="H33">
        <f t="shared" si="3"/>
        <v>1</v>
      </c>
      <c r="I33">
        <f t="shared" si="4"/>
        <v>0.83333333333333337</v>
      </c>
      <c r="J33" t="str">
        <f t="shared" si="5"/>
        <v/>
      </c>
      <c r="K33" t="str">
        <f t="shared" si="10"/>
        <v/>
      </c>
      <c r="L33" t="str">
        <f t="shared" si="6"/>
        <v/>
      </c>
      <c r="M33" t="str">
        <f t="shared" si="7"/>
        <v/>
      </c>
      <c r="N33" t="str">
        <f t="shared" si="8"/>
        <v/>
      </c>
      <c r="O33" t="str">
        <f t="shared" si="9"/>
        <v/>
      </c>
      <c r="P33">
        <f>IFERROR(LN('Дивиденды по годам'!I33),"")</f>
        <v>28.5677872208541</v>
      </c>
      <c r="Q33">
        <f>IFERROR('Дивиденды по годам'!G33/'Дивиденды по годам'!I33, "")</f>
        <v>0.65021364723805897</v>
      </c>
      <c r="R33">
        <f>IFERROR(IF(AND('Дивиденды по годам'!N33&lt;&gt;"",'Дивиденды по годам'!U33&lt;&gt;"",'Дивиденды по годам'!U33&lt;&gt;0),'Дивиденды по годам'!N33/'Дивиденды по годам'!U33-1,""),"")</f>
        <v>0.23861324477859247</v>
      </c>
      <c r="S33">
        <f>IFERROR(IF(AND('Дивиденды по годам'!L33&lt;&gt;"",'Дивиденды по годам'!I33&lt;&gt;"",'Дивиденды по годам'!J33&lt;&gt;"",'Дивиденды по годам'!K33&lt;&gt;"",('Дивиденды по годам'!I33-'Дивиденды по годам'!J33-'Дивиденды по годам'!K33)&lt;&gt;0),'Дивиденды по годам'!L33/('Дивиденды по годам'!I33-'Дивиденды по годам'!J33-'Дивиденды по годам'!K33),""),"")</f>
        <v>0.99338992718853791</v>
      </c>
      <c r="T33">
        <f>IFERROR(IF(AND('Дивиденды по годам'!Q33&lt;&gt;"",'Дивиденды по годам'!I33&lt;&gt;"",'Дивиденды по годам'!V33&lt;&gt;"",('Дивиденды по годам'!I33+'Дивиденды по годам'!V33)&lt;&gt;0),'Дивиденды по годам'!Q33/(('Дивиденды по годам'!I33+'Дивиденды по годам'!V33)/2),""),"")</f>
        <v>0.10947396081496689</v>
      </c>
      <c r="U33">
        <f>IFERROR(IF(AND('Дивиденды по годам'!J33&lt;&gt;"",'Дивиденды по годам'!K33&lt;&gt;"",'Дивиденды по годам'!M33&lt;&gt;"",'Дивиденды по годам'!M33&lt;&gt;0),('Дивиденды по годам'!J33+'Дивиденды по годам'!K33)/'Дивиденды по годам'!M33,""),"")</f>
        <v>0.40952556703798154</v>
      </c>
      <c r="V33">
        <f>IFERROR(IF(AND('Дивиденды по годам'!J33&lt;&gt;"",'Дивиденды по годам'!K33&lt;&gt;"",'Дивиденды по годам'!M33&lt;&gt;"",'Дивиденды по годам'!I33&lt;&gt;0),('Дивиденды по годам'!J33+'Дивиденды по годам'!K33)/'Дивиденды по годам'!I33,""),"")</f>
        <v>0.29054834140709623</v>
      </c>
      <c r="W33">
        <f>IFERROR('Дивиденды по годам'!I33,"")</f>
        <v>2551716078853.4614</v>
      </c>
      <c r="X33" cm="1">
        <f t="array" ref="X33">IFERROR(AVERAGE(_xlfn._xlws.FILTER(P$2:P$1073,($C$2:$C$1073=$C33)*($E$2:$E$1073=$E33)*(ROW(P$2:P$1073)&lt;&gt;ROW(P33))*(P$2:P$1073&lt;&gt;""))),"")</f>
        <v>28.115245550057473</v>
      </c>
      <c r="Y33" cm="1">
        <f t="array" ref="Y33">IFERROR(AVERAGE(_xlfn._xlws.FILTER(Q$2:Q$1073,($C$2:$C$1073=$C33)*($E$2:$E$1073=$E33)*(ROW(Q$2:Q$1073)&lt;&gt;ROW(Q33))*(Q$2:Q$1073&lt;&gt;""))),"")</f>
        <v>0.62238265030229745</v>
      </c>
      <c r="Z33" t="str" cm="1">
        <f t="array" ref="Z33">IFERROR(AVERAGE(_xlfn._xlws.FILTER(R$2:R$1073,($C$2:$C$1073=$C33)*($E$2:$E$1073=$E33)*(ROW(R$2:R$1073)&lt;&gt;ROW(R33))*(R$2:R$1073&lt;&gt;""))),"")</f>
        <v/>
      </c>
      <c r="AA33" cm="1">
        <f t="array" ref="AA33">IFERROR(AVERAGE(_xlfn._xlws.FILTER(S$2:S$1073,($C$2:$C$1073=$C33)*($E$2:$E$1073=$E33)*(ROW(S$2:S$1073)&lt;&gt;ROW(S33))*(S$2:S$1073&lt;&gt;""))),"")</f>
        <v>0.79136667355707047</v>
      </c>
      <c r="AB33" t="str" cm="1">
        <f t="array" ref="AB33">IFERROR(AVERAGE(_xlfn._xlws.FILTER(T$2:T$1073,($C$2:$C$1073=$C33)*($E$2:$E$1073=$E33)*(ROW(T$2:T$1073)&lt;&gt;ROW(T33))*(T$2:T$1073&lt;&gt;""))),"")</f>
        <v/>
      </c>
      <c r="AC33" cm="1">
        <f t="array" ref="AC33">IFERROR(AVERAGE(_xlfn._xlws.FILTER(U$2:U$1073,($C$2:$C$1073=$C33)*($E$2:$E$1073=$E33)*(ROW(U$2:U$1073)&lt;&gt;ROW(U33))*(U$2:U$1073&lt;&gt;""))),"")</f>
        <v>0.556320454688501</v>
      </c>
      <c r="AD33" cm="1">
        <f t="array" ref="AD33">IFERROR(AVERAGE(_xlfn._xlws.FILTER(V$2:V$1073,($C$2:$C$1073=$C33)*($E$2:$E$1073=$E33)*(ROW(V$2:V$1073)&lt;&gt;ROW(V33))*(V$2:V$1073&lt;&gt;""))),"")</f>
        <v>0.35196453128713406</v>
      </c>
      <c r="AE33">
        <f>IF('Дивиденды по годам'!M33&lt;0,1,0)</f>
        <v>0</v>
      </c>
    </row>
    <row r="34" spans="1:31" x14ac:dyDescent="0.2">
      <c r="A34" s="7" t="s">
        <v>2182</v>
      </c>
      <c r="B34" t="str">
        <f t="shared" si="0"/>
        <v>NVTK IV кв. 2025</v>
      </c>
      <c r="C34">
        <v>2025</v>
      </c>
      <c r="D34">
        <f>SUMIFS(Дивиденды!$C:$C,Дивиденды!$A:$A,A34,Дивиденды!$I:$I,C34)</f>
        <v>35.5</v>
      </c>
      <c r="E34">
        <v>1</v>
      </c>
      <c r="F34">
        <f t="shared" si="1"/>
        <v>35.5</v>
      </c>
      <c r="G34">
        <f t="shared" si="2"/>
        <v>71.84</v>
      </c>
      <c r="H34">
        <f t="shared" si="3"/>
        <v>1</v>
      </c>
      <c r="I34">
        <f t="shared" si="4"/>
        <v>0.5</v>
      </c>
      <c r="J34">
        <f t="shared" si="5"/>
        <v>-0.56786366402921484</v>
      </c>
      <c r="K34">
        <f t="shared" si="10"/>
        <v>-0.52832230597326058</v>
      </c>
      <c r="L34">
        <f t="shared" si="6"/>
        <v>0</v>
      </c>
      <c r="M34">
        <f t="shared" si="7"/>
        <v>0</v>
      </c>
      <c r="N34">
        <f t="shared" si="8"/>
        <v>1</v>
      </c>
      <c r="O34">
        <f t="shared" si="9"/>
        <v>0.66666666666666663</v>
      </c>
      <c r="P34">
        <f>IFERROR(LN('Дивиденды по годам'!I34),"")</f>
        <v>28.908924262347206</v>
      </c>
      <c r="Q34">
        <f>IFERROR('Дивиденды по годам'!G34/'Дивиденды по годам'!I34, "")</f>
        <v>0.35045579595587312</v>
      </c>
      <c r="R34">
        <f>IFERROR(IF(AND('Дивиденды по годам'!N34&lt;&gt;"",'Дивиденды по годам'!U34&lt;&gt;"",'Дивиденды по годам'!U34&lt;&gt;0),'Дивиденды по годам'!N34/'Дивиденды по годам'!U34-1,""),"")</f>
        <v>-6.4856186010165295E-2</v>
      </c>
      <c r="S34" t="str">
        <f>IFERROR(IF(AND('Дивиденды по годам'!L34&lt;&gt;"",'Дивиденды по годам'!I34&lt;&gt;"",'Дивиденды по годам'!J34&lt;&gt;"",'Дивиденды по годам'!K34&lt;&gt;"",('Дивиденды по годам'!I34-'Дивиденды по годам'!J34-'Дивиденды по годам'!K34)&lt;&gt;0),'Дивиденды по годам'!L34/('Дивиденды по годам'!I34-'Дивиденды по годам'!J34-'Дивиденды по годам'!K34),""),"")</f>
        <v/>
      </c>
      <c r="T34">
        <f>IFERROR(IF(AND('Дивиденды по годам'!Q34&lt;&gt;"",'Дивиденды по годам'!I34&lt;&gt;"",'Дивиденды по годам'!V34&lt;&gt;"",('Дивиденды по годам'!I34+'Дивиденды по годам'!V34)&lt;&gt;0),'Дивиденды по годам'!Q34/(('Дивиденды по годам'!I34+'Дивиденды по годам'!V34)/2),""),"")</f>
        <v>5.0760099979658635E-2</v>
      </c>
      <c r="U34">
        <f>IFERROR(IF(AND('Дивиденды по годам'!J34&lt;&gt;"",'Дивиденды по годам'!K34&lt;&gt;"",'Дивиденды по годам'!M34&lt;&gt;"",'Дивиденды по годам'!M34&lt;&gt;0),('Дивиденды по годам'!J34+'Дивиденды по годам'!K34)/'Дивиденды по годам'!M34,""),"")</f>
        <v>0.26274484969065598</v>
      </c>
      <c r="V34">
        <f>IFERROR(IF(AND('Дивиденды по годам'!J34&lt;&gt;"",'Дивиденды по годам'!K34&lt;&gt;"",'Дивиденды по годам'!M34&lt;&gt;"",'Дивиденды по годам'!I34&lt;&gt;0),('Дивиденды по годам'!J34+'Дивиденды по годам'!K34)/'Дивиденды по годам'!I34,""),"")</f>
        <v>0.20807437841066828</v>
      </c>
      <c r="W34">
        <f>IFERROR('Дивиденды по годам'!I34,"")</f>
        <v>3589106000000</v>
      </c>
      <c r="X34" cm="1">
        <f t="array" ref="X34">IFERROR(AVERAGE(_xlfn._xlws.FILTER(P$2:P$1073,($C$2:$C$1073=$C34)*($E$2:$E$1073=$E34)*(ROW(P$2:P$1073)&lt;&gt;ROW(P34))*(P$2:P$1073&lt;&gt;""))),"")</f>
        <v>28.106609574362423</v>
      </c>
      <c r="Y34" cm="1">
        <f t="array" ref="Y34">IFERROR(AVERAGE(_xlfn._xlws.FILTER(Q$2:Q$1073,($C$2:$C$1073=$C34)*($E$2:$E$1073=$E34)*(ROW(Q$2:Q$1073)&lt;&gt;ROW(Q34))*(Q$2:Q$1073&lt;&gt;""))),"")</f>
        <v>0.59543931916817183</v>
      </c>
      <c r="Z34" cm="1">
        <f t="array" ref="Z34">IFERROR(AVERAGE(_xlfn._xlws.FILTER(R$2:R$1073,($C$2:$C$1073=$C34)*($E$2:$E$1073=$E34)*(ROW(R$2:R$1073)&lt;&gt;ROW(R34))*(R$2:R$1073&lt;&gt;""))),"")</f>
        <v>-0.31343422969329565</v>
      </c>
      <c r="AA34" cm="1">
        <f t="array" ref="AA34">IFERROR(AVERAGE(_xlfn._xlws.FILTER(S$2:S$1073,($C$2:$C$1073=$C34)*($E$2:$E$1073=$E34)*(ROW(S$2:S$1073)&lt;&gt;ROW(S34))*(S$2:S$1073&lt;&gt;""))),"")</f>
        <v>0.7103915367710556</v>
      </c>
      <c r="AB34" cm="1">
        <f t="array" ref="AB34">IFERROR(AVERAGE(_xlfn._xlws.FILTER(T$2:T$1073,($C$2:$C$1073=$C34)*($E$2:$E$1073=$E34)*(ROW(T$2:T$1073)&lt;&gt;ROW(T34))*(T$2:T$1073&lt;&gt;""))),"")</f>
        <v>-2.121185723950638E-3</v>
      </c>
      <c r="AC34" cm="1">
        <f t="array" ref="AC34">IFERROR(AVERAGE(_xlfn._xlws.FILTER(U$2:U$1073,($C$2:$C$1073=$C34)*($E$2:$E$1073=$E34)*(ROW(U$2:U$1073)&lt;&gt;ROW(U34))*(U$2:U$1073&lt;&gt;""))),"")</f>
        <v>0.86286853306155209</v>
      </c>
      <c r="AD34" cm="1">
        <f t="array" ref="AD34">IFERROR(AVERAGE(_xlfn._xlws.FILTER(V$2:V$1073,($C$2:$C$1073=$C34)*($E$2:$E$1073=$E34)*(ROW(V$2:V$1073)&lt;&gt;ROW(V34))*(V$2:V$1073&lt;&gt;""))),"")</f>
        <v>0.43720544874303996</v>
      </c>
      <c r="AE34">
        <f>IF('Дивиденды по годам'!M34&lt;0,1,0)</f>
        <v>0</v>
      </c>
    </row>
    <row r="35" spans="1:31" x14ac:dyDescent="0.2">
      <c r="A35" s="7" t="s">
        <v>2182</v>
      </c>
      <c r="B35" t="str">
        <f t="shared" si="0"/>
        <v>NVTK IV кв. 2024</v>
      </c>
      <c r="C35">
        <v>2024</v>
      </c>
      <c r="D35">
        <f>SUMIFS(Дивиденды!$C:$C,Дивиденды!$A:$A,A35,Дивиденды!$I:$I,C35)</f>
        <v>82.15</v>
      </c>
      <c r="E35">
        <v>1</v>
      </c>
      <c r="F35">
        <f t="shared" si="1"/>
        <v>82.15</v>
      </c>
      <c r="G35">
        <f t="shared" si="2"/>
        <v>200.95833333333337</v>
      </c>
      <c r="H35">
        <f t="shared" si="3"/>
        <v>1</v>
      </c>
      <c r="I35">
        <f t="shared" si="4"/>
        <v>0.66666666666666663</v>
      </c>
      <c r="J35">
        <f t="shared" si="5"/>
        <v>4.5298384018322972E-2</v>
      </c>
      <c r="K35">
        <f t="shared" si="10"/>
        <v>2.5664237067723684E-2</v>
      </c>
      <c r="L35">
        <f t="shared" si="6"/>
        <v>1</v>
      </c>
      <c r="M35">
        <f t="shared" si="7"/>
        <v>0.5</v>
      </c>
      <c r="N35">
        <f t="shared" si="8"/>
        <v>0</v>
      </c>
      <c r="O35">
        <f t="shared" si="9"/>
        <v>0.16666666666666666</v>
      </c>
      <c r="P35">
        <f>IFERROR(LN('Дивиденды по годам'!I35),"")</f>
        <v>28.950316598378652</v>
      </c>
      <c r="Q35">
        <f>IFERROR('Дивиденды по годам'!G35/'Дивиденды по годам'!I35, "")</f>
        <v>0.34067876127604235</v>
      </c>
      <c r="R35">
        <f>IFERROR(IF(AND('Дивиденды по годам'!N35&lt;&gt;"",'Дивиденды по годам'!U35&lt;&gt;"",'Дивиденды по годам'!U35&lt;&gt;0),'Дивиденды по годам'!N35/'Дивиденды по годам'!U35-1,""),"")</f>
        <v>0.12711774193077985</v>
      </c>
      <c r="S35" t="str">
        <f>IFERROR(IF(AND('Дивиденды по годам'!L35&lt;&gt;"",'Дивиденды по годам'!I35&lt;&gt;"",'Дивиденды по годам'!J35&lt;&gt;"",'Дивиденды по годам'!K35&lt;&gt;"",('Дивиденды по годам'!I35-'Дивиденды по годам'!J35-'Дивиденды по годам'!K35)&lt;&gt;0),'Дивиденды по годам'!L35/('Дивиденды по годам'!I35-'Дивиденды по годам'!J35-'Дивиденды по годам'!K35),""),"")</f>
        <v/>
      </c>
      <c r="T35">
        <f>IFERROR(IF(AND('Дивиденды по годам'!Q35&lt;&gt;"",'Дивиденды по годам'!I35&lt;&gt;"",'Дивиденды по годам'!V35&lt;&gt;"",('Дивиденды по годам'!I35+'Дивиденды по годам'!V35)&lt;&gt;0),'Дивиденды по годам'!Q35/(('Дивиденды по годам'!I35+'Дивиденды по годам'!V35)/2),""),"")</f>
        <v>0.14374007354663218</v>
      </c>
      <c r="U35">
        <f>IFERROR(IF(AND('Дивиденды по годам'!J35&lt;&gt;"",'Дивиденды по годам'!K35&lt;&gt;"",'Дивиденды по годам'!M35&lt;&gt;"",'Дивиденды по годам'!M35&lt;&gt;0),('Дивиденды по годам'!J35+'Дивиденды по годам'!K35)/'Дивиденды по годам'!M35,""),"")</f>
        <v>0.3134774180205695</v>
      </c>
      <c r="V35">
        <f>IFERROR(IF(AND('Дивиденды по годам'!J35&lt;&gt;"",'Дивиденды по годам'!K35&lt;&gt;"",'Дивиденды по годам'!M35&lt;&gt;"",'Дивиденды по годам'!I35&lt;&gt;0),('Дивиденды по годам'!J35+'Дивиденды по годам'!K35)/'Дивиденды по годам'!I35,""),"")</f>
        <v>0.23866220592736551</v>
      </c>
      <c r="W35">
        <f>IFERROR('Дивиденды по годам'!I35,"")</f>
        <v>3740785000000</v>
      </c>
      <c r="X35" cm="1">
        <f t="array" ref="X35">IFERROR(AVERAGE(_xlfn._xlws.FILTER(P$2:P$1073,($C$2:$C$1073=$C35)*($E$2:$E$1073=$E35)*(ROW(P$2:P$1073)&lt;&gt;ROW(P35))*(P$2:P$1073&lt;&gt;""))),"")</f>
        <v>29.316691994376317</v>
      </c>
      <c r="Y35" cm="1">
        <f t="array" ref="Y35">IFERROR(AVERAGE(_xlfn._xlws.FILTER(Q$2:Q$1073,($C$2:$C$1073=$C35)*($E$2:$E$1073=$E35)*(ROW(Q$2:Q$1073)&lt;&gt;ROW(Q35))*(Q$2:Q$1073&lt;&gt;""))),"")</f>
        <v>0.57923818766580193</v>
      </c>
      <c r="Z35" cm="1">
        <f t="array" ref="Z35">IFERROR(AVERAGE(_xlfn._xlws.FILTER(R$2:R$1073,($C$2:$C$1073=$C35)*($E$2:$E$1073=$E35)*(ROW(R$2:R$1073)&lt;&gt;ROW(R35))*(R$2:R$1073&lt;&gt;""))),"")</f>
        <v>0.19663307174067426</v>
      </c>
      <c r="AA35" cm="1">
        <f t="array" ref="AA35">IFERROR(AVERAGE(_xlfn._xlws.FILTER(S$2:S$1073,($C$2:$C$1073=$C35)*($E$2:$E$1073=$E35)*(ROW(S$2:S$1073)&lt;&gt;ROW(S35))*(S$2:S$1073&lt;&gt;""))),"")</f>
        <v>0.81580249860973608</v>
      </c>
      <c r="AB35" cm="1">
        <f t="array" ref="AB35">IFERROR(AVERAGE(_xlfn._xlws.FILTER(T$2:T$1073,($C$2:$C$1073=$C35)*($E$2:$E$1073=$E35)*(ROW(T$2:T$1073)&lt;&gt;ROW(T35))*(T$2:T$1073&lt;&gt;""))),"")</f>
        <v>0.10190731661970993</v>
      </c>
      <c r="AC35" cm="1">
        <f t="array" ref="AC35">IFERROR(AVERAGE(_xlfn._xlws.FILTER(U$2:U$1073,($C$2:$C$1073=$C35)*($E$2:$E$1073=$E35)*(ROW(U$2:U$1073)&lt;&gt;ROW(U35))*(U$2:U$1073&lt;&gt;""))),"")</f>
        <v>0.93684531880039079</v>
      </c>
      <c r="AD35" cm="1">
        <f t="array" ref="AD35">IFERROR(AVERAGE(_xlfn._xlws.FILTER(V$2:V$1073,($C$2:$C$1073=$C35)*($E$2:$E$1073=$E35)*(ROW(V$2:V$1073)&lt;&gt;ROW(V35))*(V$2:V$1073&lt;&gt;""))),"")</f>
        <v>0.45269078262286316</v>
      </c>
      <c r="AE35">
        <f>IF('Дивиденды по годам'!M35&lt;0,1,0)</f>
        <v>0</v>
      </c>
    </row>
    <row r="36" spans="1:31" x14ac:dyDescent="0.2">
      <c r="A36" s="7" t="s">
        <v>2182</v>
      </c>
      <c r="B36" t="str">
        <f t="shared" si="0"/>
        <v>NVTK IV кв. 2023</v>
      </c>
      <c r="C36">
        <v>2023</v>
      </c>
      <c r="D36">
        <f>SUMIFS(Дивиденды!$C:$C,Дивиденды!$A:$A,A36,Дивиденды!$I:$I,C36)</f>
        <v>78.59</v>
      </c>
      <c r="E36">
        <v>1</v>
      </c>
      <c r="F36">
        <f t="shared" si="1"/>
        <v>78.59</v>
      </c>
      <c r="G36">
        <f t="shared" si="2"/>
        <v>182.25166666666667</v>
      </c>
      <c r="H36">
        <f t="shared" si="3"/>
        <v>1</v>
      </c>
      <c r="I36">
        <f t="shared" si="4"/>
        <v>0.66666666666666663</v>
      </c>
      <c r="J36">
        <f t="shared" si="5"/>
        <v>-0.25563553703352904</v>
      </c>
      <c r="K36">
        <f t="shared" si="10"/>
        <v>-5.087569365542971E-2</v>
      </c>
      <c r="L36">
        <f t="shared" si="6"/>
        <v>0</v>
      </c>
      <c r="M36">
        <f t="shared" si="7"/>
        <v>0.5</v>
      </c>
      <c r="N36">
        <f t="shared" si="8"/>
        <v>1</v>
      </c>
      <c r="O36">
        <f t="shared" si="9"/>
        <v>0.33333333333333331</v>
      </c>
      <c r="P36">
        <f>IFERROR(LN('Дивиденды по годам'!I36),"")</f>
        <v>28.8001393974046</v>
      </c>
      <c r="Q36">
        <f>IFERROR('Дивиденды по годам'!G36/'Дивиденды по годам'!I36, "")</f>
        <v>0.36007546084327152</v>
      </c>
      <c r="R36" t="str">
        <f>IFERROR(IF(AND('Дивиденды по годам'!N36&lt;&gt;"",'Дивиденды по годам'!U36&lt;&gt;"",'Дивиденды по годам'!U36&lt;&gt;0),'Дивиденды по годам'!N36/'Дивиденды по годам'!U36-1,""),"")</f>
        <v/>
      </c>
      <c r="S36" t="str">
        <f>IFERROR(IF(AND('Дивиденды по годам'!L36&lt;&gt;"",'Дивиденды по годам'!I36&lt;&gt;"",'Дивиденды по годам'!J36&lt;&gt;"",'Дивиденды по годам'!K36&lt;&gt;"",('Дивиденды по годам'!I36-'Дивиденды по годам'!J36-'Дивиденды по годам'!K36)&lt;&gt;0),'Дивиденды по годам'!L36/('Дивиденды по годам'!I36-'Дивиденды по годам'!J36-'Дивиденды по годам'!K36),""),"")</f>
        <v/>
      </c>
      <c r="T36" t="str">
        <f>IFERROR(IF(AND('Дивиденды по годам'!Q36&lt;&gt;"",'Дивиденды по годам'!I36&lt;&gt;"",'Дивиденды по годам'!V36&lt;&gt;"",('Дивиденды по годам'!I36+'Дивиденды по годам'!V36)&lt;&gt;0),'Дивиденды по годам'!Q36/(('Дивиденды по годам'!I36+'Дивиденды по годам'!V36)/2),""),"")</f>
        <v/>
      </c>
      <c r="U36">
        <f>IFERROR(IF(AND('Дивиденды по годам'!J36&lt;&gt;"",'Дивиденды по годам'!K36&lt;&gt;"",'Дивиденды по годам'!M36&lt;&gt;"",'Дивиденды по годам'!M36&lt;&gt;0),('Дивиденды по годам'!J36+'Дивиденды по годам'!K36)/'Дивиденды по годам'!M36,""),"")</f>
        <v>0.23545957372338075</v>
      </c>
      <c r="V36">
        <f>IFERROR(IF(AND('Дивиденды по годам'!J36&lt;&gt;"",'Дивиденды по годам'!K36&lt;&gt;"",'Дивиденды по годам'!M36&lt;&gt;"",'Дивиденды по годам'!I36&lt;&gt;0),('Дивиденды по годам'!J36+'Дивиденды по годам'!K36)/'Дивиденды по годам'!I36,""),"")</f>
        <v>0.19058460408685141</v>
      </c>
      <c r="W36">
        <f>IFERROR('Дивиденды по годам'!I36,"")</f>
        <v>3219153000000</v>
      </c>
      <c r="X36" cm="1">
        <f t="array" ref="X36">IFERROR(AVERAGE(_xlfn._xlws.FILTER(P$2:P$1073,($C$2:$C$1073=$C36)*($E$2:$E$1073=$E36)*(ROW(P$2:P$1073)&lt;&gt;ROW(P36))*(P$2:P$1073&lt;&gt;""))),"")</f>
        <v>29.315197642801579</v>
      </c>
      <c r="Y36" cm="1">
        <f t="array" ref="Y36">IFERROR(AVERAGE(_xlfn._xlws.FILTER(Q$2:Q$1073,($C$2:$C$1073=$C36)*($E$2:$E$1073=$E36)*(ROW(Q$2:Q$1073)&lt;&gt;ROW(Q36))*(Q$2:Q$1073&lt;&gt;""))),"")</f>
        <v>0.52048868386806291</v>
      </c>
      <c r="Z36" cm="1">
        <f t="array" ref="Z36">IFERROR(AVERAGE(_xlfn._xlws.FILTER(R$2:R$1073,($C$2:$C$1073=$C36)*($E$2:$E$1073=$E36)*(ROW(R$2:R$1073)&lt;&gt;ROW(R36))*(R$2:R$1073&lt;&gt;""))),"")</f>
        <v>-9.5200738872077639E-2</v>
      </c>
      <c r="AA36" cm="1">
        <f t="array" ref="AA36">IFERROR(AVERAGE(_xlfn._xlws.FILTER(S$2:S$1073,($C$2:$C$1073=$C36)*($E$2:$E$1073=$E36)*(ROW(S$2:S$1073)&lt;&gt;ROW(S36))*(S$2:S$1073&lt;&gt;""))),"")</f>
        <v>0.81700194842108154</v>
      </c>
      <c r="AB36" cm="1">
        <f t="array" ref="AB36">IFERROR(AVERAGE(_xlfn._xlws.FILTER(T$2:T$1073,($C$2:$C$1073=$C36)*($E$2:$E$1073=$E36)*(ROW(T$2:T$1073)&lt;&gt;ROW(T36))*(T$2:T$1073&lt;&gt;""))),"")</f>
        <v>8.3497415799470329E-2</v>
      </c>
      <c r="AC36" cm="1">
        <f t="array" ref="AC36">IFERROR(AVERAGE(_xlfn._xlws.FILTER(U$2:U$1073,($C$2:$C$1073=$C36)*($E$2:$E$1073=$E36)*(ROW(U$2:U$1073)&lt;&gt;ROW(U36))*(U$2:U$1073&lt;&gt;""))),"")</f>
        <v>0.92314929306245286</v>
      </c>
      <c r="AD36" cm="1">
        <f t="array" ref="AD36">IFERROR(AVERAGE(_xlfn._xlws.FILTER(V$2:V$1073,($C$2:$C$1073=$C36)*($E$2:$E$1073=$E36)*(ROW(V$2:V$1073)&lt;&gt;ROW(V36))*(V$2:V$1073&lt;&gt;""))),"")</f>
        <v>0.41194649878728029</v>
      </c>
      <c r="AE36">
        <f>IF('Дивиденды по годам'!M36&lt;0,1,0)</f>
        <v>0</v>
      </c>
    </row>
    <row r="37" spans="1:31" x14ac:dyDescent="0.2">
      <c r="A37" s="7" t="s">
        <v>2182</v>
      </c>
      <c r="B37" t="str">
        <f t="shared" si="0"/>
        <v>NVTK IV кв. 2022</v>
      </c>
      <c r="C37">
        <v>2022</v>
      </c>
      <c r="D37">
        <f>SUMIFS(Дивиденды!$C:$C,Дивиденды!$A:$A,A37,Дивиденды!$I:$I,C37)</f>
        <v>105.58</v>
      </c>
      <c r="E37">
        <v>1</v>
      </c>
      <c r="F37">
        <f t="shared" si="1"/>
        <v>105.58</v>
      </c>
      <c r="G37">
        <f t="shared" si="2"/>
        <v>231.41166666666663</v>
      </c>
      <c r="H37">
        <f t="shared" si="3"/>
        <v>1</v>
      </c>
      <c r="I37">
        <f t="shared" si="4"/>
        <v>0.83333333333333337</v>
      </c>
      <c r="J37">
        <f t="shared" si="5"/>
        <v>0.47788353863381861</v>
      </c>
      <c r="K37">
        <f t="shared" si="10"/>
        <v>0.68653945408221506</v>
      </c>
      <c r="L37">
        <f t="shared" si="6"/>
        <v>1</v>
      </c>
      <c r="M37">
        <f t="shared" si="7"/>
        <v>0.5</v>
      </c>
      <c r="N37">
        <f t="shared" si="8"/>
        <v>0</v>
      </c>
      <c r="O37">
        <f t="shared" si="9"/>
        <v>0.16666666666666666</v>
      </c>
      <c r="P37" t="str">
        <f>IFERROR(LN('Дивиденды по годам'!I37),"")</f>
        <v/>
      </c>
      <c r="Q37" t="str">
        <f>IFERROR('Дивиденды по годам'!G37/'Дивиденды по годам'!I37, "")</f>
        <v/>
      </c>
      <c r="R37" t="str">
        <f>IFERROR(IF(AND('Дивиденды по годам'!N37&lt;&gt;"",'Дивиденды по годам'!U37&lt;&gt;"",'Дивиденды по годам'!U37&lt;&gt;0),'Дивиденды по годам'!N37/'Дивиденды по годам'!U37-1,""),"")</f>
        <v/>
      </c>
      <c r="S37" t="str">
        <f>IFERROR(IF(AND('Дивиденды по годам'!L37&lt;&gt;"",'Дивиденды по годам'!I37&lt;&gt;"",'Дивиденды по годам'!J37&lt;&gt;"",'Дивиденды по годам'!K37&lt;&gt;"",('Дивиденды по годам'!I37-'Дивиденды по годам'!J37-'Дивиденды по годам'!K37)&lt;&gt;0),'Дивиденды по годам'!L37/('Дивиденды по годам'!I37-'Дивиденды по годам'!J37-'Дивиденды по годам'!K37),""),"")</f>
        <v/>
      </c>
      <c r="T37" t="str">
        <f>IFERROR(IF(AND('Дивиденды по годам'!Q37&lt;&gt;"",'Дивиденды по годам'!I37&lt;&gt;"",'Дивиденды по годам'!V37&lt;&gt;"",('Дивиденды по годам'!I37+'Дивиденды по годам'!V37)&lt;&gt;0),'Дивиденды по годам'!Q37/(('Дивиденды по годам'!I37+'Дивиденды по годам'!V37)/2),""),"")</f>
        <v/>
      </c>
      <c r="U37" t="str">
        <f>IFERROR(IF(AND('Дивиденды по годам'!J37&lt;&gt;"",'Дивиденды по годам'!K37&lt;&gt;"",'Дивиденды по годам'!M37&lt;&gt;"",'Дивиденды по годам'!M37&lt;&gt;0),('Дивиденды по годам'!J37+'Дивиденды по годам'!K37)/'Дивиденды по годам'!M37,""),"")</f>
        <v/>
      </c>
      <c r="V37" t="str">
        <f>IFERROR(IF(AND('Дивиденды по годам'!J37&lt;&gt;"",'Дивиденды по годам'!K37&lt;&gt;"",'Дивиденды по годам'!M37&lt;&gt;"",'Дивиденды по годам'!I37&lt;&gt;0),('Дивиденды по годам'!J37+'Дивиденды по годам'!K37)/'Дивиденды по годам'!I37,""),"")</f>
        <v/>
      </c>
      <c r="W37" t="str">
        <f>IFERROR('Дивиденды по годам'!I37,"")</f>
        <v/>
      </c>
      <c r="X37" cm="1">
        <f t="array" ref="X37">IFERROR(AVERAGE(_xlfn._xlws.FILTER(P$2:P$1073,($C$2:$C$1073=$C37)*($E$2:$E$1073=$E37)*(ROW(P$2:P$1073)&lt;&gt;ROW(P37))*(P$2:P$1073&lt;&gt;""))),"")</f>
        <v>28.727283056765771</v>
      </c>
      <c r="Y37" cm="1">
        <f t="array" ref="Y37">IFERROR(AVERAGE(_xlfn._xlws.FILTER(Q$2:Q$1073,($C$2:$C$1073=$C37)*($E$2:$E$1073=$E37)*(ROW(Q$2:Q$1073)&lt;&gt;ROW(Q37))*(Q$2:Q$1073&lt;&gt;""))),"")</f>
        <v>0.51128857729902477</v>
      </c>
      <c r="Z37" cm="1">
        <f t="array" ref="Z37">IFERROR(AVERAGE(_xlfn._xlws.FILTER(R$2:R$1073,($C$2:$C$1073=$C37)*($E$2:$E$1073=$E37)*(ROW(R$2:R$1073)&lt;&gt;ROW(R37))*(R$2:R$1073&lt;&gt;""))),"")</f>
        <v>0.11583545865184226</v>
      </c>
      <c r="AA37" cm="1">
        <f t="array" ref="AA37">IFERROR(AVERAGE(_xlfn._xlws.FILTER(S$2:S$1073,($C$2:$C$1073=$C37)*($E$2:$E$1073=$E37)*(ROW(S$2:S$1073)&lt;&gt;ROW(S37))*(S$2:S$1073&lt;&gt;""))),"")</f>
        <v>0.81623267945546474</v>
      </c>
      <c r="AB37" cm="1">
        <f t="array" ref="AB37">IFERROR(AVERAGE(_xlfn._xlws.FILTER(T$2:T$1073,($C$2:$C$1073=$C37)*($E$2:$E$1073=$E37)*(ROW(T$2:T$1073)&lt;&gt;ROW(T37))*(T$2:T$1073&lt;&gt;""))),"")</f>
        <v>0.10279179198494799</v>
      </c>
      <c r="AC37" cm="1">
        <f t="array" ref="AC37">IFERROR(AVERAGE(_xlfn._xlws.FILTER(U$2:U$1073,($C$2:$C$1073=$C37)*($E$2:$E$1073=$E37)*(ROW(U$2:U$1073)&lt;&gt;ROW(U37))*(U$2:U$1073&lt;&gt;""))),"")</f>
        <v>0.81000773545151117</v>
      </c>
      <c r="AD37" cm="1">
        <f t="array" ref="AD37">IFERROR(AVERAGE(_xlfn._xlws.FILTER(V$2:V$1073,($C$2:$C$1073=$C37)*($E$2:$E$1073=$E37)*(ROW(V$2:V$1073)&lt;&gt;ROW(V37))*(V$2:V$1073&lt;&gt;""))),"")</f>
        <v>0.37150994970564083</v>
      </c>
      <c r="AE37">
        <f>IF('Дивиденды по годам'!M37&lt;0,1,0)</f>
        <v>0</v>
      </c>
    </row>
    <row r="38" spans="1:31" x14ac:dyDescent="0.2">
      <c r="A38" s="7" t="s">
        <v>2182</v>
      </c>
      <c r="B38" t="str">
        <f t="shared" si="0"/>
        <v>NVTK IV кв. 2021</v>
      </c>
      <c r="C38">
        <v>2021</v>
      </c>
      <c r="D38">
        <f>SUMIFS(Дивиденды!$C:$C,Дивиденды!$A:$A,A38,Дивиденды!$I:$I,C38)</f>
        <v>71.44</v>
      </c>
      <c r="E38">
        <v>1</v>
      </c>
      <c r="F38">
        <f t="shared" si="1"/>
        <v>71.44</v>
      </c>
      <c r="G38">
        <f t="shared" si="2"/>
        <v>70.849999999999994</v>
      </c>
      <c r="H38">
        <f t="shared" si="3"/>
        <v>1</v>
      </c>
      <c r="I38">
        <f t="shared" si="4"/>
        <v>0.66666666666666663</v>
      </c>
      <c r="J38">
        <f t="shared" si="5"/>
        <v>1.0089988751406072</v>
      </c>
      <c r="K38">
        <f t="shared" si="10"/>
        <v>0.89595774783820314</v>
      </c>
      <c r="L38">
        <f t="shared" si="6"/>
        <v>1</v>
      </c>
      <c r="M38">
        <f t="shared" si="7"/>
        <v>0.66666666666666663</v>
      </c>
      <c r="N38">
        <f t="shared" si="8"/>
        <v>0</v>
      </c>
      <c r="O38">
        <f t="shared" si="9"/>
        <v>0.16666666666666666</v>
      </c>
      <c r="P38">
        <f>IFERROR(LN('Дивиденды по годам'!I38),"")</f>
        <v>28.530232421227353</v>
      </c>
      <c r="Q38">
        <f>IFERROR('Дивиденды по годам'!G38/'Дивиденды по годам'!I38, "")</f>
        <v>0.35421481536939142</v>
      </c>
      <c r="R38">
        <f>IFERROR(IF(AND('Дивиденды по годам'!N38&lt;&gt;"",'Дивиденды по годам'!U38&lt;&gt;"",'Дивиденды по годам'!U38&lt;&gt;0),'Дивиденды по годам'!N38/'Дивиденды по годам'!U38-1,""),"")</f>
        <v>0.62504144352722357</v>
      </c>
      <c r="S38">
        <f>IFERROR(IF(AND('Дивиденды по годам'!L38&lt;&gt;"",'Дивиденды по годам'!I38&lt;&gt;"",'Дивиденды по годам'!J38&lt;&gt;"",'Дивиденды по годам'!K38&lt;&gt;"",('Дивиденды по годам'!I38-'Дивиденды по годам'!J38-'Дивиденды по годам'!K38)&lt;&gt;0),'Дивиденды по годам'!L38/('Дивиденды по годам'!I38-'Дивиденды по годам'!J38-'Дивиденды по годам'!K38),""),"")</f>
        <v>0.98415721102460985</v>
      </c>
      <c r="T38">
        <f>IFERROR(IF(AND('Дивиденды по годам'!Q38&lt;&gt;"",'Дивиденды по годам'!I38&lt;&gt;"",'Дивиденды по годам'!V38&lt;&gt;"",('Дивиденды по годам'!I38+'Дивиденды по годам'!V38)&lt;&gt;0),'Дивиденды по годам'!Q38/(('Дивиденды по годам'!I38+'Дивиденды по годам'!V38)/2),""),"")</f>
        <v>0.19997201584646973</v>
      </c>
      <c r="U38">
        <f>IFERROR(IF(AND('Дивиденды по годам'!J38&lt;&gt;"",'Дивиденды по годам'!K38&lt;&gt;"",'Дивиденды по годам'!M38&lt;&gt;"",'Дивиденды по годам'!M38&lt;&gt;0),('Дивиденды по годам'!J38+'Дивиденды по годам'!K38)/'Дивиденды по годам'!M38,""),"")</f>
        <v>0.28574619834274056</v>
      </c>
      <c r="V38">
        <f>IFERROR(IF(AND('Дивиденды по годам'!J38&lt;&gt;"",'Дивиденды по годам'!K38&lt;&gt;"",'Дивиденды по годам'!M38&lt;&gt;"",'Дивиденды по годам'!I38&lt;&gt;0),('Дивиденды по годам'!J38+'Дивиденды по годам'!K38)/'Дивиденды по годам'!I38,""),"")</f>
        <v>0.22224152691336163</v>
      </c>
      <c r="W38">
        <f>IFERROR('Дивиденды по годам'!I38,"")</f>
        <v>2457664000000</v>
      </c>
      <c r="X38" cm="1">
        <f t="array" ref="X38">IFERROR(AVERAGE(_xlfn._xlws.FILTER(P$2:P$1073,($C$2:$C$1073=$C38)*($E$2:$E$1073=$E38)*(ROW(P$2:P$1073)&lt;&gt;ROW(P38))*(P$2:P$1073&lt;&gt;""))),"")</f>
        <v>29.067689189776633</v>
      </c>
      <c r="Y38" cm="1">
        <f t="array" ref="Y38">IFERROR(AVERAGE(_xlfn._xlws.FILTER(Q$2:Q$1073,($C$2:$C$1073=$C38)*($E$2:$E$1073=$E38)*(ROW(Q$2:Q$1073)&lt;&gt;ROW(Q38))*(Q$2:Q$1073&lt;&gt;""))),"")</f>
        <v>0.59837233023387149</v>
      </c>
      <c r="Z38" cm="1">
        <f t="array" ref="Z38">IFERROR(AVERAGE(_xlfn._xlws.FILTER(R$2:R$1073,($C$2:$C$1073=$C38)*($E$2:$E$1073=$E38)*(ROW(R$2:R$1073)&lt;&gt;ROW(R38))*(R$2:R$1073&lt;&gt;""))),"")</f>
        <v>0.71862586911760906</v>
      </c>
      <c r="AA38" cm="1">
        <f t="array" ref="AA38">IFERROR(AVERAGE(_xlfn._xlws.FILTER(S$2:S$1073,($C$2:$C$1073=$C38)*($E$2:$E$1073=$E38)*(ROW(S$2:S$1073)&lt;&gt;ROW(S38))*(S$2:S$1073&lt;&gt;""))),"")</f>
        <v>0.76995466619503838</v>
      </c>
      <c r="AB38" cm="1">
        <f t="array" ref="AB38">IFERROR(AVERAGE(_xlfn._xlws.FILTER(T$2:T$1073,($C$2:$C$1073=$C38)*($E$2:$E$1073=$E38)*(ROW(T$2:T$1073)&lt;&gt;ROW(T38))*(T$2:T$1073&lt;&gt;""))),"")</f>
        <v>0.10607626050624464</v>
      </c>
      <c r="AC38" cm="1">
        <f t="array" ref="AC38">IFERROR(AVERAGE(_xlfn._xlws.FILTER(U$2:U$1073,($C$2:$C$1073=$C38)*($E$2:$E$1073=$E38)*(ROW(U$2:U$1073)&lt;&gt;ROW(U38))*(U$2:U$1073&lt;&gt;""))),"")</f>
        <v>1.1917253763485456</v>
      </c>
      <c r="AD38" cm="1">
        <f t="array" ref="AD38">IFERROR(AVERAGE(_xlfn._xlws.FILTER(V$2:V$1073,($C$2:$C$1073=$C38)*($E$2:$E$1073=$E38)*(ROW(V$2:V$1073)&lt;&gt;ROW(V38))*(V$2:V$1073&lt;&gt;""))),"")</f>
        <v>0.485122208500328</v>
      </c>
      <c r="AE38">
        <f>IF('Дивиденды по годам'!M38&lt;0,1,0)</f>
        <v>0</v>
      </c>
    </row>
    <row r="39" spans="1:31" x14ac:dyDescent="0.2">
      <c r="A39" s="7" t="s">
        <v>2182</v>
      </c>
      <c r="B39" t="str">
        <f t="shared" si="0"/>
        <v>NVTK IV кв. 2020</v>
      </c>
      <c r="C39">
        <v>2020</v>
      </c>
      <c r="D39">
        <f>SUMIFS(Дивиденды!$C:$C,Дивиденды!$A:$A,A39,Дивиденды!$I:$I,C39)</f>
        <v>35.56</v>
      </c>
      <c r="E39">
        <v>1</v>
      </c>
      <c r="F39">
        <f t="shared" si="1"/>
        <v>35.56</v>
      </c>
      <c r="G39">
        <f t="shared" si="2"/>
        <v>50.238333333333337</v>
      </c>
      <c r="H39">
        <f t="shared" si="3"/>
        <v>1</v>
      </c>
      <c r="I39">
        <f t="shared" si="4"/>
        <v>0.83333333333333337</v>
      </c>
      <c r="J39">
        <f t="shared" si="5"/>
        <v>9.9907206928549458E-2</v>
      </c>
      <c r="K39">
        <f t="shared" si="10"/>
        <v>-0.34483957347077054</v>
      </c>
      <c r="L39">
        <f t="shared" si="6"/>
        <v>1</v>
      </c>
      <c r="M39">
        <f t="shared" si="7"/>
        <v>0.16666666666666666</v>
      </c>
      <c r="N39">
        <f t="shared" si="8"/>
        <v>0</v>
      </c>
      <c r="O39">
        <f t="shared" si="9"/>
        <v>0.66666666666666663</v>
      </c>
      <c r="P39">
        <f>IFERROR(LN('Дивиденды по годам'!I39),"")</f>
        <v>28.353327989970516</v>
      </c>
      <c r="Q39">
        <f>IFERROR('Дивиденды по годам'!G39/'Дивиденды по годам'!I39, "")</f>
        <v>0.35422241302111812</v>
      </c>
      <c r="R39">
        <f>IFERROR(IF(AND('Дивиденды по годам'!N39&lt;&gt;"",'Дивиденды по годам'!U39&lt;&gt;"",'Дивиденды по годам'!U39&lt;&gt;0),'Дивиденды по годам'!N39/'Дивиденды по годам'!U39-1,""),"")</f>
        <v>-0.17500055053123365</v>
      </c>
      <c r="S39">
        <f>IFERROR(IF(AND('Дивиденды по годам'!L39&lt;&gt;"",'Дивиденды по годам'!I39&lt;&gt;"",'Дивиденды по годам'!J39&lt;&gt;"",'Дивиденды по годам'!K39&lt;&gt;"",('Дивиденды по годам'!I39-'Дивиденды по годам'!J39-'Дивиденды по годам'!K39)&lt;&gt;0),'Дивиденды по годам'!L39/('Дивиденды по годам'!I39-'Дивиденды по годам'!J39-'Дивиденды по годам'!K39),""),"")</f>
        <v>0.97678505053932829</v>
      </c>
      <c r="T39">
        <f>IFERROR(IF(AND('Дивиденды по годам'!Q39&lt;&gt;"",'Дивиденды по годам'!I39&lt;&gt;"",'Дивиденды по годам'!V39&lt;&gt;"",('Дивиденды по годам'!I39+'Дивиденды по годам'!V39)&lt;&gt;0),'Дивиденды по годам'!Q39/(('Дивиденды по годам'!I39+'Дивиденды по годам'!V39)/2),""),"")</f>
        <v>3.8597805279656783E-2</v>
      </c>
      <c r="U39">
        <f>IFERROR(IF(AND('Дивиденды по годам'!J39&lt;&gt;"",'Дивиденды по годам'!K39&lt;&gt;"",'Дивиденды по годам'!M39&lt;&gt;"",'Дивиденды по годам'!M39&lt;&gt;0),('Дивиденды по годам'!J39+'Дивиденды по годам'!K39)/'Дивиденды по годам'!M39,""),"")</f>
        <v>0.2568017983102085</v>
      </c>
      <c r="V39">
        <f>IFERROR(IF(AND('Дивиденды по годам'!J39&lt;&gt;"",'Дивиденды по годам'!K39&lt;&gt;"",'Дивиденды по годам'!M39&lt;&gt;"",'Дивиденды по годам'!I39&lt;&gt;0),('Дивиденды по годам'!J39+'Дивиденды по годам'!K39)/'Дивиденды по годам'!I39,""),"")</f>
        <v>0.20432959171086715</v>
      </c>
      <c r="W39">
        <f>IFERROR('Дивиденды по годам'!I39,"")</f>
        <v>2059178000000</v>
      </c>
      <c r="X39" cm="1">
        <f t="array" ref="X39">IFERROR(AVERAGE(_xlfn._xlws.FILTER(P$2:P$1073,($C$2:$C$1073=$C39)*($E$2:$E$1073=$E39)*(ROW(P$2:P$1073)&lt;&gt;ROW(P39))*(P$2:P$1073&lt;&gt;""))),"")</f>
        <v>29.028839603364599</v>
      </c>
      <c r="Y39" cm="1">
        <f t="array" ref="Y39">IFERROR(AVERAGE(_xlfn._xlws.FILTER(Q$2:Q$1073,($C$2:$C$1073=$C39)*($E$2:$E$1073=$E39)*(ROW(Q$2:Q$1073)&lt;&gt;ROW(Q39))*(Q$2:Q$1073&lt;&gt;""))),"")</f>
        <v>0.59301408748333706</v>
      </c>
      <c r="Z39" cm="1">
        <f t="array" ref="Z39">IFERROR(AVERAGE(_xlfn._xlws.FILTER(R$2:R$1073,($C$2:$C$1073=$C39)*($E$2:$E$1073=$E39)*(ROW(R$2:R$1073)&lt;&gt;ROW(R39))*(R$2:R$1073&lt;&gt;""))),"")</f>
        <v>-0.27044304820001702</v>
      </c>
      <c r="AA39" cm="1">
        <f t="array" ref="AA39">IFERROR(AVERAGE(_xlfn._xlws.FILTER(S$2:S$1073,($C$2:$C$1073=$C39)*($E$2:$E$1073=$E39)*(ROW(S$2:S$1073)&lt;&gt;ROW(S39))*(S$2:S$1073&lt;&gt;""))),"")</f>
        <v>0.73985490238175211</v>
      </c>
      <c r="AB39" cm="1">
        <f t="array" ref="AB39">IFERROR(AVERAGE(_xlfn._xlws.FILTER(T$2:T$1073,($C$2:$C$1073=$C39)*($E$2:$E$1073=$E39)*(ROW(T$2:T$1073)&lt;&gt;ROW(T39))*(T$2:T$1073&lt;&gt;""))),"")</f>
        <v>2.6900559005826507E-2</v>
      </c>
      <c r="AC39" cm="1">
        <f t="array" ref="AC39">IFERROR(AVERAGE(_xlfn._xlws.FILTER(U$2:U$1073,($C$2:$C$1073=$C39)*($E$2:$E$1073=$E39)*(ROW(U$2:U$1073)&lt;&gt;ROW(U39))*(U$2:U$1073&lt;&gt;""))),"")</f>
        <v>1.35019697832478</v>
      </c>
      <c r="AD39" cm="1">
        <f t="array" ref="AD39">IFERROR(AVERAGE(_xlfn._xlws.FILTER(V$2:V$1073,($C$2:$C$1073=$C39)*($E$2:$E$1073=$E39)*(ROW(V$2:V$1073)&lt;&gt;ROW(V39))*(V$2:V$1073&lt;&gt;""))),"")</f>
        <v>0.43411247220113713</v>
      </c>
      <c r="AE39">
        <f>IF('Дивиденды по годам'!M39&lt;0,1,0)</f>
        <v>0</v>
      </c>
    </row>
    <row r="40" spans="1:31" x14ac:dyDescent="0.2">
      <c r="A40" s="7" t="s">
        <v>2182</v>
      </c>
      <c r="B40" t="str">
        <f t="shared" si="0"/>
        <v>NVTK IV кв. 2019</v>
      </c>
      <c r="C40">
        <v>2019</v>
      </c>
      <c r="D40">
        <f>SUMIFS(Дивиденды!$C:$C,Дивиденды!$A:$A,A40,Дивиденды!$I:$I,C40)</f>
        <v>32.33</v>
      </c>
      <c r="E40">
        <v>1</v>
      </c>
      <c r="F40">
        <f t="shared" si="1"/>
        <v>32.33</v>
      </c>
      <c r="G40">
        <f t="shared" si="2"/>
        <v>109.295</v>
      </c>
      <c r="H40">
        <f t="shared" si="3"/>
        <v>1</v>
      </c>
      <c r="I40">
        <f t="shared" si="4"/>
        <v>0.83333333333333337</v>
      </c>
      <c r="J40">
        <f t="shared" si="5"/>
        <v>0.24059861857252493</v>
      </c>
      <c r="K40">
        <f t="shared" si="10"/>
        <v>0.18904293668173078</v>
      </c>
      <c r="L40">
        <f t="shared" si="6"/>
        <v>1</v>
      </c>
      <c r="M40">
        <f t="shared" si="7"/>
        <v>0.33333333333333331</v>
      </c>
      <c r="N40">
        <f t="shared" si="8"/>
        <v>0</v>
      </c>
      <c r="O40">
        <f t="shared" si="9"/>
        <v>0.33333333333333331</v>
      </c>
      <c r="P40">
        <f>IFERROR(LN('Дивиденды по годам'!I40),"")</f>
        <v>28.330581189861967</v>
      </c>
      <c r="Q40">
        <f>IFERROR('Дивиденды по годам'!G40/'Дивиденды по годам'!I40, "")</f>
        <v>0.27661936928768766</v>
      </c>
      <c r="R40">
        <f>IFERROR(IF(AND('Дивиденды по годам'!N40&lt;&gt;"",'Дивиденды по годам'!U40&lt;&gt;"",'Дивиденды по годам'!U40&lt;&gt;0),'Дивиденды по годам'!N40/'Дивиденды по годам'!U40-1,""),"")</f>
        <v>3.7324558345095626E-2</v>
      </c>
      <c r="S40">
        <f>IFERROR(IF(AND('Дивиденды по годам'!L40&lt;&gt;"",'Дивиденды по годам'!I40&lt;&gt;"",'Дивиденды по годам'!J40&lt;&gt;"",'Дивиденды по годам'!K40&lt;&gt;"",('Дивиденды по годам'!I40-'Дивиденды по годам'!J40-'Дивиденды по годам'!K40)&lt;&gt;0),'Дивиденды по годам'!L40/('Дивиденды по годам'!I40-'Дивиденды по годам'!J40-'Дивиденды по годам'!K40),""),"")</f>
        <v>0.97097912752627957</v>
      </c>
      <c r="T40">
        <f>IFERROR(IF(AND('Дивиденды по годам'!Q40&lt;&gt;"",'Дивиденды по годам'!I40&lt;&gt;"",'Дивиденды по годам'!V40&lt;&gt;"",('Дивиденды по годам'!I40+'Дивиденды по годам'!V40)&lt;&gt;0),'Дивиденды по годам'!Q40/(('Дивиденды по годам'!I40+'Дивиденды по годам'!V40)/2),""),"")</f>
        <v>0.54716392757793864</v>
      </c>
      <c r="U40">
        <f>IFERROR(IF(AND('Дивиденды по годам'!J40&lt;&gt;"",'Дивиденды по годам'!K40&lt;&gt;"",'Дивиденды по годам'!M40&lt;&gt;"",'Дивиденды по годам'!M40&lt;&gt;0),('Дивиденды по годам'!J40+'Дивиденды по годам'!K40)/'Дивиденды по годам'!M40,""),"")</f>
        <v>0.20742365674990224</v>
      </c>
      <c r="V40">
        <f>IFERROR(IF(AND('Дивиденды по годам'!J40&lt;&gt;"",'Дивиденды по годам'!K40&lt;&gt;"",'Дивиденды по годам'!M40&lt;&gt;"",'Дивиденды по годам'!I40&lt;&gt;0),('Дивиденды по годам'!J40+'Дивиденды по годам'!K40)/'Дивиденды по годам'!I40,""),"")</f>
        <v>0.17179028718737999</v>
      </c>
      <c r="W40">
        <f>IFERROR('Дивиденды по годам'!I40,"")</f>
        <v>2012867000000</v>
      </c>
      <c r="X40" cm="1">
        <f t="array" ref="X40">IFERROR(AVERAGE(_xlfn._xlws.FILTER(P$2:P$1073,($C$2:$C$1073=$C40)*($E$2:$E$1073=$E40)*(ROW(P$2:P$1073)&lt;&gt;ROW(P40))*(P$2:P$1073&lt;&gt;""))),"")</f>
        <v>28.969903768271994</v>
      </c>
      <c r="Y40" cm="1">
        <f t="array" ref="Y40">IFERROR(AVERAGE(_xlfn._xlws.FILTER(Q$2:Q$1073,($C$2:$C$1073=$C40)*($E$2:$E$1073=$E40)*(ROW(Q$2:Q$1073)&lt;&gt;ROW(Q40))*(Q$2:Q$1073&lt;&gt;""))),"")</f>
        <v>0.58168025328017381</v>
      </c>
      <c r="Z40" cm="1">
        <f t="array" ref="Z40">IFERROR(AVERAGE(_xlfn._xlws.FILTER(R$2:R$1073,($C$2:$C$1073=$C40)*($E$2:$E$1073=$E40)*(ROW(R$2:R$1073)&lt;&gt;ROW(R40))*(R$2:R$1073&lt;&gt;""))),"")</f>
        <v>7.7056886536114684E-3</v>
      </c>
      <c r="AA40" cm="1">
        <f t="array" ref="AA40">IFERROR(AVERAGE(_xlfn._xlws.FILTER(S$2:S$1073,($C$2:$C$1073=$C40)*($E$2:$E$1073=$E40)*(ROW(S$2:S$1073)&lt;&gt;ROW(S40))*(S$2:S$1073&lt;&gt;""))),"")</f>
        <v>0.81573694555957121</v>
      </c>
      <c r="AB40" cm="1">
        <f t="array" ref="AB40">IFERROR(AVERAGE(_xlfn._xlws.FILTER(T$2:T$1073,($C$2:$C$1073=$C40)*($E$2:$E$1073=$E40)*(ROW(T$2:T$1073)&lt;&gt;ROW(T40))*(T$2:T$1073&lt;&gt;""))),"")</f>
        <v>8.1920861273606607E-2</v>
      </c>
      <c r="AC40" cm="1">
        <f t="array" ref="AC40">IFERROR(AVERAGE(_xlfn._xlws.FILTER(U$2:U$1073,($C$2:$C$1073=$C40)*($E$2:$E$1073=$E40)*(ROW(U$2:U$1073)&lt;&gt;ROW(U40))*(U$2:U$1073&lt;&gt;""))),"")</f>
        <v>0.99976062931493737</v>
      </c>
      <c r="AD40" cm="1">
        <f t="array" ref="AD40">IFERROR(AVERAGE(_xlfn._xlws.FILTER(V$2:V$1073,($C$2:$C$1073=$C40)*($E$2:$E$1073=$E40)*(ROW(V$2:V$1073)&lt;&gt;ROW(V40))*(V$2:V$1073&lt;&gt;""))),"")</f>
        <v>0.42350941355233479</v>
      </c>
      <c r="AE40">
        <f>IF('Дивиденды по годам'!M40&lt;0,1,0)</f>
        <v>0</v>
      </c>
    </row>
    <row r="41" spans="1:31" x14ac:dyDescent="0.2">
      <c r="A41" s="7" t="s">
        <v>2182</v>
      </c>
      <c r="B41" t="str">
        <f t="shared" si="0"/>
        <v>NVTK IV кв. 2018</v>
      </c>
      <c r="C41">
        <v>2018</v>
      </c>
      <c r="D41">
        <f>SUMIFS(Дивиденды!$C:$C,Дивиденды!$A:$A,A41,Дивиденды!$I:$I,C41)</f>
        <v>26.06</v>
      </c>
      <c r="E41">
        <v>1</v>
      </c>
      <c r="F41">
        <f t="shared" si="1"/>
        <v>26.06</v>
      </c>
      <c r="G41">
        <f t="shared" si="2"/>
        <v>63.013333333333343</v>
      </c>
      <c r="H41">
        <f t="shared" si="3"/>
        <v>1</v>
      </c>
      <c r="I41">
        <f t="shared" si="4"/>
        <v>0.83333333333333337</v>
      </c>
      <c r="J41">
        <f t="shared" si="5"/>
        <v>0.74314381270903007</v>
      </c>
      <c r="K41">
        <f t="shared" si="10"/>
        <v>0.63782970805362027</v>
      </c>
      <c r="L41">
        <f t="shared" si="6"/>
        <v>1</v>
      </c>
      <c r="M41">
        <f t="shared" si="7"/>
        <v>0.66666666666666663</v>
      </c>
      <c r="N41">
        <f t="shared" si="8"/>
        <v>0</v>
      </c>
      <c r="O41">
        <f t="shared" si="9"/>
        <v>0</v>
      </c>
      <c r="P41">
        <f>IFERROR(LN('Дивиденды по годам'!I41),"")</f>
        <v>27.826892129505662</v>
      </c>
      <c r="Q41">
        <f>IFERROR('Дивиденды по годам'!G41/'Дивиденды по годам'!I41, "")</f>
        <v>0.33558949990545639</v>
      </c>
      <c r="R41">
        <f>IFERROR(IF(AND('Дивиденды по годам'!N41&lt;&gt;"",'Дивиденды по годам'!U41&lt;&gt;"",'Дивиденды по годам'!U41&lt;&gt;0),'Дивиденды по годам'!N41/'Дивиденды по годам'!U41-1,""),"")</f>
        <v>0.426231082364803</v>
      </c>
      <c r="S41">
        <f>IFERROR(IF(AND('Дивиденды по годам'!L41&lt;&gt;"",'Дивиденды по годам'!I41&lt;&gt;"",'Дивиденды по годам'!J41&lt;&gt;"",'Дивиденды по годам'!K41&lt;&gt;"",('Дивиденды по годам'!I41-'Дивиденды по годам'!J41-'Дивиденды по годам'!K41)&lt;&gt;0),'Дивиденды по годам'!L41/('Дивиденды по годам'!I41-'Дивиденды по годам'!J41-'Дивиденды по годам'!K41),""),"")</f>
        <v>0.95093475600471467</v>
      </c>
      <c r="T41">
        <f>IFERROR(IF(AND('Дивиденды по годам'!Q41&lt;&gt;"",'Дивиденды по годам'!I41&lt;&gt;"",'Дивиденды по годам'!V41&lt;&gt;"",('Дивиденды по годам'!I41+'Дивиденды по годам'!V41)&lt;&gt;0),'Дивиденды по годам'!Q41/(('Дивиденды по годам'!I41+'Дивиденды по годам'!V41)/2),""),"")</f>
        <v>0.16186189799569306</v>
      </c>
      <c r="U41">
        <f>IFERROR(IF(AND('Дивиденды по годам'!J41&lt;&gt;"",'Дивиденды по годам'!K41&lt;&gt;"",'Дивиденды по годам'!M41&lt;&gt;"",'Дивиденды по годам'!M41&lt;&gt;0),('Дивиденды по годам'!J41+'Дивиденды по годам'!K41)/'Дивиденды по годам'!M41,""),"")</f>
        <v>0.37195675590320271</v>
      </c>
      <c r="V41">
        <f>IFERROR(IF(AND('Дивиденды по годам'!J41&lt;&gt;"",'Дивиденды по годам'!K41&lt;&gt;"",'Дивиденды по годам'!M41&lt;&gt;"",'Дивиденды по годам'!I41&lt;&gt;0),('Дивиденды по годам'!J41+'Дивиденды по годам'!K41)/'Дивиденды по годам'!I41,""),"")</f>
        <v>0.27111405246758796</v>
      </c>
      <c r="W41">
        <f>IFERROR('Дивиденды по годам'!I41,"")</f>
        <v>1216370000000</v>
      </c>
      <c r="X41" cm="1">
        <f t="array" ref="X41">IFERROR(AVERAGE(_xlfn._xlws.FILTER(P$2:P$1073,($C$2:$C$1073=$C41)*($E$2:$E$1073=$E41)*(ROW(P$2:P$1073)&lt;&gt;ROW(P41))*(P$2:P$1073&lt;&gt;""))),"")</f>
        <v>28.931762432671466</v>
      </c>
      <c r="Y41" cm="1">
        <f t="array" ref="Y41">IFERROR(AVERAGE(_xlfn._xlws.FILTER(Q$2:Q$1073,($C$2:$C$1073=$C41)*($E$2:$E$1073=$E41)*(ROW(Q$2:Q$1073)&lt;&gt;ROW(Q41))*(Q$2:Q$1073&lt;&gt;""))),"")</f>
        <v>0.56323635527874971</v>
      </c>
      <c r="Z41" cm="1">
        <f t="array" ref="Z41">IFERROR(AVERAGE(_xlfn._xlws.FILTER(R$2:R$1073,($C$2:$C$1073=$C41)*($E$2:$E$1073=$E41)*(ROW(R$2:R$1073)&lt;&gt;ROW(R41))*(R$2:R$1073&lt;&gt;""))),"")</f>
        <v>0.33615492256884538</v>
      </c>
      <c r="AA41" cm="1">
        <f t="array" ref="AA41">IFERROR(AVERAGE(_xlfn._xlws.FILTER(S$2:S$1073,($C$2:$C$1073=$C41)*($E$2:$E$1073=$E41)*(ROW(S$2:S$1073)&lt;&gt;ROW(S41))*(S$2:S$1073&lt;&gt;""))),"")</f>
        <v>0.75609365422837405</v>
      </c>
      <c r="AB41" cm="1">
        <f t="array" ref="AB41">IFERROR(AVERAGE(_xlfn._xlws.FILTER(T$2:T$1073,($C$2:$C$1073=$C41)*($E$2:$E$1073=$E41)*(ROW(T$2:T$1073)&lt;&gt;ROW(T41))*(T$2:T$1073&lt;&gt;""))),"")</f>
        <v>0.11154120851352545</v>
      </c>
      <c r="AC41" cm="1">
        <f t="array" ref="AC41">IFERROR(AVERAGE(_xlfn._xlws.FILTER(U$2:U$1073,($C$2:$C$1073=$C41)*($E$2:$E$1073=$E41)*(ROW(U$2:U$1073)&lt;&gt;ROW(U41))*(U$2:U$1073&lt;&gt;""))),"")</f>
        <v>0.94770478953736259</v>
      </c>
      <c r="AD41" cm="1">
        <f t="array" ref="AD41">IFERROR(AVERAGE(_xlfn._xlws.FILTER(V$2:V$1073,($C$2:$C$1073=$C41)*($E$2:$E$1073=$E41)*(ROW(V$2:V$1073)&lt;&gt;ROW(V41))*(V$2:V$1073&lt;&gt;""))),"")</f>
        <v>0.40927390479583498</v>
      </c>
      <c r="AE41">
        <f>IF('Дивиденды по годам'!M41&lt;0,1,0)</f>
        <v>0</v>
      </c>
    </row>
    <row r="42" spans="1:31" x14ac:dyDescent="0.2">
      <c r="A42" s="7" t="s">
        <v>2182</v>
      </c>
      <c r="B42" t="str">
        <f t="shared" si="0"/>
        <v>NVTK IV кв. 2017</v>
      </c>
      <c r="C42">
        <v>2017</v>
      </c>
      <c r="D42">
        <f>SUMIFS(Дивиденды!$C:$C,Дивиденды!$A:$A,A42,Дивиденды!$I:$I,C42)</f>
        <v>14.95</v>
      </c>
      <c r="E42">
        <v>1</v>
      </c>
      <c r="F42">
        <f t="shared" si="1"/>
        <v>14.95</v>
      </c>
      <c r="G42">
        <f t="shared" si="2"/>
        <v>45.685000000000002</v>
      </c>
      <c r="H42">
        <f t="shared" si="3"/>
        <v>1</v>
      </c>
      <c r="I42">
        <f t="shared" si="4"/>
        <v>0.83333333333333337</v>
      </c>
      <c r="J42">
        <f t="shared" si="5"/>
        <v>7.553956834532366E-2</v>
      </c>
      <c r="K42">
        <f t="shared" si="10"/>
        <v>0.28156536776183</v>
      </c>
      <c r="L42">
        <f t="shared" si="6"/>
        <v>1</v>
      </c>
      <c r="M42">
        <f t="shared" si="7"/>
        <v>0.66666666666666663</v>
      </c>
      <c r="N42">
        <f t="shared" si="8"/>
        <v>0</v>
      </c>
      <c r="O42">
        <f t="shared" si="9"/>
        <v>0</v>
      </c>
      <c r="P42">
        <f>IFERROR(LN('Дивиденды по годам'!I42),"")</f>
        <v>27.674235765764795</v>
      </c>
      <c r="Q42">
        <f>IFERROR('Дивиденды по годам'!G42/'Дивиденды по годам'!I42, "")</f>
        <v>0.34482292977526474</v>
      </c>
      <c r="R42">
        <f>IFERROR(IF(AND('Дивиденды по годам'!N42&lt;&gt;"",'Дивиденды по годам'!U42&lt;&gt;"",'Дивиденды по годам'!U42&lt;&gt;0),'Дивиденды по годам'!N42/'Дивиденды по годам'!U42-1,""),"")</f>
        <v>8.5053733031674295E-2</v>
      </c>
      <c r="S42">
        <f>IFERROR(IF(AND('Дивиденды по годам'!L42&lt;&gt;"",'Дивиденды по годам'!I42&lt;&gt;"",'Дивиденды по годам'!J42&lt;&gt;"",'Дивиденды по годам'!K42&lt;&gt;"",('Дивиденды по годам'!I42-'Дивиденды по годам'!J42-'Дивиденды по годам'!K42)&lt;&gt;0),'Дивиденды по годам'!L42/('Дивиденды по годам'!I42-'Дивиденды по годам'!J42-'Дивиденды по годам'!K42),""),"")</f>
        <v>0.9439302580128639</v>
      </c>
      <c r="T42">
        <f>IFERROR(IF(AND('Дивиденды по годам'!Q42&lt;&gt;"",'Дивиденды по годам'!I42&lt;&gt;"",'Дивиденды по годам'!V42&lt;&gt;"",('Дивиденды по годам'!I42+'Дивиденды по годам'!V42)&lt;&gt;0),'Дивиденды по годам'!Q42/(('Дивиденды по годам'!I42+'Дивиденды по годам'!V42)/2),""),"")</f>
        <v>0.1658071032014008</v>
      </c>
      <c r="U42">
        <f>IFERROR(IF(AND('Дивиденды по годам'!J42&lt;&gt;"",'Дивиденды по годам'!K42&lt;&gt;"",'Дивиденды по годам'!M42&lt;&gt;"",'Дивиденды по годам'!M42&lt;&gt;0),('Дивиденды по годам'!J42+'Дивиденды по годам'!K42)/'Дивиденды по годам'!M42,""),"")</f>
        <v>0.34616113524113046</v>
      </c>
      <c r="V42">
        <f>IFERROR(IF(AND('Дивиденды по годам'!J42&lt;&gt;"",'Дивиденды по годам'!K42&lt;&gt;"",'Дивиденды по годам'!M42&lt;&gt;"",'Дивиденды по годам'!I42&lt;&gt;0),('Дивиденды по годам'!J42+'Дивиденды по годам'!K42)/'Дивиденды по годам'!I42,""),"")</f>
        <v>0.25714687950720289</v>
      </c>
      <c r="W42">
        <f>IFERROR('Дивиденды по годам'!I42,"")</f>
        <v>1044162000000</v>
      </c>
      <c r="X42" cm="1">
        <f t="array" ref="X42">IFERROR(AVERAGE(_xlfn._xlws.FILTER(P$2:P$1073,($C$2:$C$1073=$C42)*($E$2:$E$1073=$E42)*(ROW(P$2:P$1073)&lt;&gt;ROW(P42))*(P$2:P$1073&lt;&gt;""))),"")</f>
        <v>28.817016704687035</v>
      </c>
      <c r="Y42" cm="1">
        <f t="array" ref="Y42">IFERROR(AVERAGE(_xlfn._xlws.FILTER(Q$2:Q$1073,($C$2:$C$1073=$C42)*($E$2:$E$1073=$E42)*(ROW(Q$2:Q$1073)&lt;&gt;ROW(Q42))*(Q$2:Q$1073&lt;&gt;""))),"")</f>
        <v>0.58142278624581789</v>
      </c>
      <c r="Z42" cm="1">
        <f t="array" ref="Z42">IFERROR(AVERAGE(_xlfn._xlws.FILTER(R$2:R$1073,($C$2:$C$1073=$C42)*($E$2:$E$1073=$E42)*(ROW(R$2:R$1073)&lt;&gt;ROW(R42))*(R$2:R$1073&lt;&gt;""))),"")</f>
        <v>0.16137115534540922</v>
      </c>
      <c r="AA42" cm="1">
        <f t="array" ref="AA42">IFERROR(AVERAGE(_xlfn._xlws.FILTER(S$2:S$1073,($C$2:$C$1073=$C42)*($E$2:$E$1073=$E42)*(ROW(S$2:S$1073)&lt;&gt;ROW(S42))*(S$2:S$1073&lt;&gt;""))),"")</f>
        <v>0.73555102589195442</v>
      </c>
      <c r="AB42" cm="1">
        <f t="array" ref="AB42">IFERROR(AVERAGE(_xlfn._xlws.FILTER(T$2:T$1073,($C$2:$C$1073=$C42)*($E$2:$E$1073=$E42)*(ROW(T$2:T$1073)&lt;&gt;ROW(T42))*(T$2:T$1073&lt;&gt;""))),"")</f>
        <v>5.7459423004874777E-2</v>
      </c>
      <c r="AC42" cm="1">
        <f t="array" ref="AC42">IFERROR(AVERAGE(_xlfn._xlws.FILTER(U$2:U$1073,($C$2:$C$1073=$C42)*($E$2:$E$1073=$E42)*(ROW(U$2:U$1073)&lt;&gt;ROW(U42))*(U$2:U$1073&lt;&gt;""))),"")</f>
        <v>1.0033516425132685</v>
      </c>
      <c r="AD42" cm="1">
        <f t="array" ref="AD42">IFERROR(AVERAGE(_xlfn._xlws.FILTER(V$2:V$1073,($C$2:$C$1073=$C42)*($E$2:$E$1073=$E42)*(ROW(V$2:V$1073)&lt;&gt;ROW(V42))*(V$2:V$1073&lt;&gt;""))),"")</f>
        <v>0.42217757228702574</v>
      </c>
      <c r="AE42">
        <f>IF('Дивиденды по годам'!M42&lt;0,1,0)</f>
        <v>0</v>
      </c>
    </row>
    <row r="43" spans="1:31" x14ac:dyDescent="0.2">
      <c r="A43" s="7" t="s">
        <v>2182</v>
      </c>
      <c r="B43" t="str">
        <f t="shared" si="0"/>
        <v>NVTK IV кв. 2016</v>
      </c>
      <c r="C43">
        <v>2016</v>
      </c>
      <c r="D43">
        <f>SUMIFS(Дивиденды!$C:$C,Дивиденды!$A:$A,A43,Дивиденды!$I:$I,C43)</f>
        <v>13.9</v>
      </c>
      <c r="E43">
        <v>1</v>
      </c>
      <c r="F43">
        <f t="shared" si="1"/>
        <v>13.9</v>
      </c>
      <c r="G43">
        <f t="shared" si="2"/>
        <v>38.73833333333333</v>
      </c>
      <c r="H43">
        <f t="shared" si="3"/>
        <v>1</v>
      </c>
      <c r="I43">
        <f t="shared" si="4"/>
        <v>0.83333333333333337</v>
      </c>
      <c r="J43">
        <f t="shared" si="5"/>
        <v>2.9629629629629655E-2</v>
      </c>
      <c r="K43">
        <f t="shared" si="10"/>
        <v>0.11847447864552556</v>
      </c>
      <c r="L43">
        <f t="shared" si="6"/>
        <v>1</v>
      </c>
      <c r="M43">
        <f t="shared" si="7"/>
        <v>0.5</v>
      </c>
      <c r="N43">
        <f t="shared" si="8"/>
        <v>0</v>
      </c>
      <c r="O43">
        <f t="shared" si="9"/>
        <v>0.16666666666666666</v>
      </c>
      <c r="P43">
        <f>IFERROR(LN('Дивиденды по годам'!I43),"")</f>
        <v>27.594184917558852</v>
      </c>
      <c r="Q43">
        <f>IFERROR('Дивиденды по годам'!G43/'Дивиденды по годам'!I43, "")</f>
        <v>0.34424496334431032</v>
      </c>
      <c r="R43">
        <f>IFERROR(IF(AND('Дивиденды по годам'!N43&lt;&gt;"",'Дивиденды по годам'!U43&lt;&gt;"",'Дивиденды по годам'!U43&lt;&gt;0),'Дивиденды по годам'!N43/'Дивиденды по годам'!U43-1,""),"")</f>
        <v>0.13074633145742376</v>
      </c>
      <c r="S43" t="str">
        <f>IFERROR(IF(AND('Дивиденды по годам'!L43&lt;&gt;"",'Дивиденды по годам'!I43&lt;&gt;"",'Дивиденды по годам'!J43&lt;&gt;"",'Дивиденды по годам'!K43&lt;&gt;"",('Дивиденды по годам'!I43-'Дивиденды по годам'!J43-'Дивиденды по годам'!K43)&lt;&gt;0),'Дивиденды по годам'!L43/('Дивиденды по годам'!I43-'Дивиденды по годам'!J43-'Дивиденды по годам'!K43),""),"")</f>
        <v/>
      </c>
      <c r="T43">
        <f>IFERROR(IF(AND('Дивиденды по годам'!Q43&lt;&gt;"",'Дивиденды по годам'!I43&lt;&gt;"",'Дивиденды по годам'!V43&lt;&gt;"",('Дивиденды по годам'!I43+'Дивиденды по годам'!V43)&lt;&gt;0),'Дивиденды по годам'!Q43/(('Дивиденды по годам'!I43+'Дивиденды по годам'!V43)/2),""),"")</f>
        <v>0.28751997171148752</v>
      </c>
      <c r="U43">
        <f>IFERROR(IF(AND('Дивиденды по годам'!J43&lt;&gt;"",'Дивиденды по годам'!K43&lt;&gt;"",'Дивиденды по годам'!M43&lt;&gt;"",'Дивиденды по годам'!M43&lt;&gt;0),('Дивиденды по годам'!J43+'Дивиденды по годам'!K43)/'Дивиденды по годам'!M43,""),"")</f>
        <v>0.46541689472723957</v>
      </c>
      <c r="V43">
        <f>IFERROR(IF(AND('Дивиденды по годам'!J43&lt;&gt;"",'Дивиденды по годам'!K43&lt;&gt;"",'Дивиденды по годам'!M43&lt;&gt;"",'Дивиденды по годам'!I43&lt;&gt;0),('Дивиденды по годам'!J43+'Дивиденды по годам'!K43)/'Дивиденды по годам'!I43,""),"")</f>
        <v>0.31760033366741575</v>
      </c>
      <c r="W43">
        <f>IFERROR('Дивиденды по годам'!I43,"")</f>
        <v>963834000000</v>
      </c>
      <c r="X43" cm="1">
        <f t="array" ref="X43">IFERROR(AVERAGE(_xlfn._xlws.FILTER(P$2:P$1073,($C$2:$C$1073=$C43)*($E$2:$E$1073=$E43)*(ROW(P$2:P$1073)&lt;&gt;ROW(P43))*(P$2:P$1073&lt;&gt;""))),"")</f>
        <v>28.757462357494575</v>
      </c>
      <c r="Y43" cm="1">
        <f t="array" ref="Y43">IFERROR(AVERAGE(_xlfn._xlws.FILTER(Q$2:Q$1073,($C$2:$C$1073=$C43)*($E$2:$E$1073=$E43)*(ROW(Q$2:Q$1073)&lt;&gt;ROW(Q43))*(Q$2:Q$1073&lt;&gt;""))),"")</f>
        <v>0.56570733860802014</v>
      </c>
      <c r="Z43" cm="1">
        <f t="array" ref="Z43">IFERROR(AVERAGE(_xlfn._xlws.FILTER(R$2:R$1073,($C$2:$C$1073=$C43)*($E$2:$E$1073=$E43)*(ROW(R$2:R$1073)&lt;&gt;ROW(R43))*(R$2:R$1073&lt;&gt;""))),"")</f>
        <v>-1.2881672599370697E-2</v>
      </c>
      <c r="AA43" cm="1">
        <f t="array" ref="AA43">IFERROR(AVERAGE(_xlfn._xlws.FILTER(S$2:S$1073,($C$2:$C$1073=$C43)*($E$2:$E$1073=$E43)*(ROW(S$2:S$1073)&lt;&gt;ROW(S43))*(S$2:S$1073&lt;&gt;""))),"")</f>
        <v>0.72848277638800318</v>
      </c>
      <c r="AB43" cm="1">
        <f t="array" ref="AB43">IFERROR(AVERAGE(_xlfn._xlws.FILTER(T$2:T$1073,($C$2:$C$1073=$C43)*($E$2:$E$1073=$E43)*(ROW(T$2:T$1073)&lt;&gt;ROW(T43))*(T$2:T$1073&lt;&gt;""))),"")</f>
        <v>5.8878226740160057E-2</v>
      </c>
      <c r="AC43" cm="1">
        <f t="array" ref="AC43">IFERROR(AVERAGE(_xlfn._xlws.FILTER(U$2:U$1073,($C$2:$C$1073=$C43)*($E$2:$E$1073=$E43)*(ROW(U$2:U$1073)&lt;&gt;ROW(U43))*(U$2:U$1073&lt;&gt;""))),"")</f>
        <v>1.0250455820476783</v>
      </c>
      <c r="AD43" cm="1">
        <f t="array" ref="AD43">IFERROR(AVERAGE(_xlfn._xlws.FILTER(V$2:V$1073,($C$2:$C$1073=$C43)*($E$2:$E$1073=$E43)*(ROW(V$2:V$1073)&lt;&gt;ROW(V43))*(V$2:V$1073&lt;&gt;""))),"")</f>
        <v>0.42138694016410555</v>
      </c>
      <c r="AE43">
        <f>IF('Дивиденды по годам'!M43&lt;0,1,0)</f>
        <v>0</v>
      </c>
    </row>
    <row r="44" spans="1:31" x14ac:dyDescent="0.2">
      <c r="A44" s="7" t="s">
        <v>2182</v>
      </c>
      <c r="B44" t="str">
        <f t="shared" si="0"/>
        <v>NVTK IV кв. 2015</v>
      </c>
      <c r="C44">
        <v>2015</v>
      </c>
      <c r="D44">
        <f>SUMIFS(Дивиденды!$C:$C,Дивиденды!$A:$A,A44,Дивиденды!$I:$I,C44)</f>
        <v>13.5</v>
      </c>
      <c r="E44">
        <v>1</v>
      </c>
      <c r="F44">
        <f t="shared" si="1"/>
        <v>13.5</v>
      </c>
      <c r="G44">
        <f t="shared" si="2"/>
        <v>34.699999999999996</v>
      </c>
      <c r="H44">
        <f t="shared" si="3"/>
        <v>1</v>
      </c>
      <c r="I44">
        <f t="shared" si="4"/>
        <v>0.83333333333333337</v>
      </c>
      <c r="J44">
        <f t="shared" si="5"/>
        <v>0.31067961165048535</v>
      </c>
      <c r="K44">
        <f t="shared" si="10"/>
        <v>0.10589320265836578</v>
      </c>
      <c r="L44">
        <f t="shared" si="6"/>
        <v>1</v>
      </c>
      <c r="M44">
        <f t="shared" si="7"/>
        <v>0.66666666666666663</v>
      </c>
      <c r="N44">
        <f t="shared" si="8"/>
        <v>0</v>
      </c>
      <c r="O44">
        <f t="shared" si="9"/>
        <v>0.16666666666666666</v>
      </c>
      <c r="P44">
        <f>IFERROR(LN('Дивиденды по годам'!I44),"")</f>
        <v>27.503215016774043</v>
      </c>
      <c r="Q44">
        <f>IFERROR('Дивиденды по годам'!G44/'Дивиденды по годам'!I44, "")</f>
        <v>0.37693517449524105</v>
      </c>
      <c r="R44">
        <f>IFERROR(IF(AND('Дивиденды по годам'!N44&lt;&gt;"",'Дивиденды по годам'!U44&lt;&gt;"",'Дивиденды по годам'!U44&lt;&gt;0),'Дивиденды по годам'!N44/'Дивиденды по годам'!U44-1,""),"")</f>
        <v>0.3290488000603955</v>
      </c>
      <c r="S44">
        <f>IFERROR(IF(AND('Дивиденды по годам'!L44&lt;&gt;"",'Дивиденды по годам'!I44&lt;&gt;"",'Дивиденды по годам'!J44&lt;&gt;"",'Дивиденды по годам'!K44&lt;&gt;"",('Дивиденды по годам'!I44-'Дивиденды по годам'!J44-'Дивиденды по годам'!K44)&lt;&gt;0),'Дивиденды по годам'!L44/('Дивиденды по годам'!I44-'Дивиденды по годам'!J44-'Дивиденды по годам'!K44),""),"")</f>
        <v>0.93388155666777994</v>
      </c>
      <c r="T44">
        <f>IFERROR(IF(AND('Дивиденды по годам'!Q44&lt;&gt;"",'Дивиденды по годам'!I44&lt;&gt;"",'Дивиденды по годам'!V44&lt;&gt;"",('Дивиденды по годам'!I44+'Дивиденды по годам'!V44)&lt;&gt;0),'Дивиденды по годам'!Q44/(('Дивиденды по годам'!I44+'Дивиденды по годам'!V44)/2),""),"")</f>
        <v>9.3871246983370307E-2</v>
      </c>
      <c r="U44">
        <f>IFERROR(IF(AND('Дивиденды по годам'!J44&lt;&gt;"",'Дивиденды по годам'!K44&lt;&gt;"",'Дивиденды по годам'!M44&lt;&gt;"",'Дивиденды по годам'!M44&lt;&gt;0),('Дивиденды по годам'!J44+'Дивиденды по годам'!K44)/'Дивиденды по годам'!M44,""),"")</f>
        <v>1.0553096776755082</v>
      </c>
      <c r="V44">
        <f>IFERROR(IF(AND('Дивиденды по годам'!J44&lt;&gt;"",'Дивиденды по годам'!K44&lt;&gt;"",'Дивиденды по годам'!M44&lt;&gt;"",'Дивиденды по годам'!I44&lt;&gt;0),('Дивиденды по годам'!J44+'Дивиденды по годам'!K44)/'Дивиденды по годам'!I44,""),"")</f>
        <v>0.51345531485504936</v>
      </c>
      <c r="W44">
        <f>IFERROR('Дивиденды по годам'!I44,"")</f>
        <v>880024000000</v>
      </c>
      <c r="X44" cm="1">
        <f t="array" ref="X44">IFERROR(AVERAGE(_xlfn._xlws.FILTER(P$2:P$1073,($C$2:$C$1073=$C44)*($E$2:$E$1073=$E44)*(ROW(P$2:P$1073)&lt;&gt;ROW(P44))*(P$2:P$1073&lt;&gt;""))),"")</f>
        <v>28.620686882407465</v>
      </c>
      <c r="Y44" cm="1">
        <f t="array" ref="Y44">IFERROR(AVERAGE(_xlfn._xlws.FILTER(Q$2:Q$1073,($C$2:$C$1073=$C44)*($E$2:$E$1073=$E44)*(ROW(Q$2:Q$1073)&lt;&gt;ROW(Q44))*(Q$2:Q$1073&lt;&gt;""))),"")</f>
        <v>0.62519440637558332</v>
      </c>
      <c r="Z44" cm="1">
        <f t="array" ref="Z44">IFERROR(AVERAGE(_xlfn._xlws.FILTER(R$2:R$1073,($C$2:$C$1073=$C44)*($E$2:$E$1073=$E44)*(ROW(R$2:R$1073)&lt;&gt;ROW(R44))*(R$2:R$1073&lt;&gt;""))),"")</f>
        <v>5.2857447211412667E-2</v>
      </c>
      <c r="AA44" cm="1">
        <f t="array" ref="AA44">IFERROR(AVERAGE(_xlfn._xlws.FILTER(S$2:S$1073,($C$2:$C$1073=$C44)*($E$2:$E$1073=$E44)*(ROW(S$2:S$1073)&lt;&gt;ROW(S44))*(S$2:S$1073&lt;&gt;""))),"")</f>
        <v>0.93463182179614002</v>
      </c>
      <c r="AB44" cm="1">
        <f t="array" ref="AB44">IFERROR(AVERAGE(_xlfn._xlws.FILTER(T$2:T$1073,($C$2:$C$1073=$C44)*($E$2:$E$1073=$E44)*(ROW(T$2:T$1073)&lt;&gt;ROW(T44))*(T$2:T$1073&lt;&gt;""))),"")</f>
        <v>7.2356461094364069E-2</v>
      </c>
      <c r="AC44" cm="1">
        <f t="array" ref="AC44">IFERROR(AVERAGE(_xlfn._xlws.FILTER(U$2:U$1073,($C$2:$C$1073=$C44)*($E$2:$E$1073=$E44)*(ROW(U$2:U$1073)&lt;&gt;ROW(U44))*(U$2:U$1073&lt;&gt;""))),"")</f>
        <v>-1.365706437037679</v>
      </c>
      <c r="AD44" cm="1">
        <f t="array" ref="AD44">IFERROR(AVERAGE(_xlfn._xlws.FILTER(V$2:V$1073,($C$2:$C$1073=$C44)*($E$2:$E$1073=$E44)*(ROW(V$2:V$1073)&lt;&gt;ROW(V44))*(V$2:V$1073&lt;&gt;""))),"")</f>
        <v>0.53896096645116853</v>
      </c>
      <c r="AE44">
        <f>IF('Дивиденды по годам'!M44&lt;0,1,0)</f>
        <v>0</v>
      </c>
    </row>
    <row r="45" spans="1:31" x14ac:dyDescent="0.2">
      <c r="A45" s="7" t="s">
        <v>2182</v>
      </c>
      <c r="B45" t="str">
        <f t="shared" si="0"/>
        <v>NVTK IV кв. 2014</v>
      </c>
      <c r="C45">
        <v>2014</v>
      </c>
      <c r="D45">
        <f>SUMIFS(Дивиденды!$C:$C,Дивиденды!$A:$A,A45,Дивиденды!$I:$I,C45)</f>
        <v>10.3</v>
      </c>
      <c r="E45">
        <v>1</v>
      </c>
      <c r="F45">
        <f t="shared" si="1"/>
        <v>10.3</v>
      </c>
      <c r="G45">
        <f t="shared" si="2"/>
        <v>30.106666666666669</v>
      </c>
      <c r="H45">
        <f t="shared" si="3"/>
        <v>1</v>
      </c>
      <c r="I45">
        <f t="shared" si="4"/>
        <v>0.83333333333333337</v>
      </c>
      <c r="J45">
        <f t="shared" si="5"/>
        <v>0.30544993662864384</v>
      </c>
      <c r="K45">
        <f t="shared" si="10"/>
        <v>6.7964090651445E-2</v>
      </c>
      <c r="L45">
        <f t="shared" si="6"/>
        <v>1</v>
      </c>
      <c r="M45">
        <f t="shared" si="7"/>
        <v>0.5</v>
      </c>
      <c r="N45">
        <f t="shared" si="8"/>
        <v>0</v>
      </c>
      <c r="O45">
        <f t="shared" si="9"/>
        <v>0.16666666666666666</v>
      </c>
      <c r="P45">
        <f>IFERROR(LN('Дивиденды по годам'!I45),"")</f>
        <v>27.273115414918955</v>
      </c>
      <c r="Q45">
        <f>IFERROR('Дивиденды по годам'!G45/'Дивиденды по годам'!I45, "")</f>
        <v>0.41726466410828178</v>
      </c>
      <c r="R45">
        <f>IFERROR(IF(AND('Дивиденды по годам'!N45&lt;&gt;"",'Дивиденды по годам'!U45&lt;&gt;"",'Дивиденды по годам'!U45&lt;&gt;0),'Дивиденды по годам'!N45/'Дивиденды по годам'!U45-1,""),"")</f>
        <v>0.19950831438364891</v>
      </c>
      <c r="S45">
        <f>IFERROR(IF(AND('Дивиденды по годам'!L45&lt;&gt;"",'Дивиденды по годам'!I45&lt;&gt;"",'Дивиденды по годам'!J45&lt;&gt;"",'Дивиденды по годам'!K45&lt;&gt;"",('Дивиденды по годам'!I45-'Дивиденды по годам'!J45-'Дивиденды по годам'!K45)&lt;&gt;0),'Дивиденды по годам'!L45/('Дивиденды по годам'!I45-'Дивиденды по годам'!J45-'Дивиденды по годам'!K45),""),"")</f>
        <v>0.91046279744991265</v>
      </c>
      <c r="T45">
        <f>IFERROR(IF(AND('Дивиденды по годам'!Q45&lt;&gt;"",'Дивиденды по годам'!I45&lt;&gt;"",'Дивиденды по годам'!V45&lt;&gt;"",('Дивиденды по годам'!I45+'Дивиденды по годам'!V45)&lt;&gt;0),'Дивиденды по годам'!Q45/(('Дивиденды по годам'!I45+'Дивиденды по годам'!V45)/2),""),"")</f>
        <v>5.6917789526756683E-2</v>
      </c>
      <c r="U45">
        <f>IFERROR(IF(AND('Дивиденды по годам'!J45&lt;&gt;"",'Дивиденды по годам'!K45&lt;&gt;"",'Дивиденды по годам'!M45&lt;&gt;"",'Дивиденды по годам'!M45&lt;&gt;0),('Дивиденды по годам'!J45+'Дивиденды по годам'!K45)/'Дивиденды по годам'!M45,""),"")</f>
        <v>0.80598206259493077</v>
      </c>
      <c r="V45">
        <f>IFERROR(IF(AND('Дивиденды по годам'!J45&lt;&gt;"",'Дивиденды по годам'!K45&lt;&gt;"",'Дивиденды по годам'!M45&lt;&gt;"",'Дивиденды по годам'!I45&lt;&gt;0),('Дивиденды по годам'!J45+'Дивиденды по годам'!K45)/'Дивиденды по годам'!I45,""),"")</f>
        <v>0.44628464439832422</v>
      </c>
      <c r="W45">
        <f>IFERROR('Дивиденды по годам'!I45,"")</f>
        <v>699139000000</v>
      </c>
      <c r="X45" cm="1">
        <f t="array" ref="X45">IFERROR(AVERAGE(_xlfn._xlws.FILTER(P$2:P$1073,($C$2:$C$1073=$C45)*($E$2:$E$1073=$E45)*(ROW(P$2:P$1073)&lt;&gt;ROW(P45))*(P$2:P$1073&lt;&gt;""))),"")</f>
        <v>29.141758363318381</v>
      </c>
      <c r="Y45" cm="1">
        <f t="array" ref="Y45">IFERROR(AVERAGE(_xlfn._xlws.FILTER(Q$2:Q$1073,($C$2:$C$1073=$C45)*($E$2:$E$1073=$E45)*(ROW(Q$2:Q$1073)&lt;&gt;ROW(Q45))*(Q$2:Q$1073&lt;&gt;""))),"")</f>
        <v>0.68134908469071953</v>
      </c>
      <c r="Z45" cm="1">
        <f t="array" ref="Z45">IFERROR(AVERAGE(_xlfn._xlws.FILTER(R$2:R$1073,($C$2:$C$1073=$C45)*($E$2:$E$1073=$E45)*(ROW(R$2:R$1073)&lt;&gt;ROW(R45))*(R$2:R$1073&lt;&gt;""))),"")</f>
        <v>0.13097018403524285</v>
      </c>
      <c r="AA45" cm="1">
        <f t="array" ref="AA45">IFERROR(AVERAGE(_xlfn._xlws.FILTER(S$2:S$1073,($C$2:$C$1073=$C45)*($E$2:$E$1073=$E45)*(ROW(S$2:S$1073)&lt;&gt;ROW(S45))*(S$2:S$1073&lt;&gt;""))),"")</f>
        <v>0.94250489657527214</v>
      </c>
      <c r="AB45" cm="1">
        <f t="array" ref="AB45">IFERROR(AVERAGE(_xlfn._xlws.FILTER(T$2:T$1073,($C$2:$C$1073=$C45)*($E$2:$E$1073=$E45)*(ROW(T$2:T$1073)&lt;&gt;ROW(T45))*(T$2:T$1073&lt;&gt;""))),"")</f>
        <v>5.9892641943576838E-2</v>
      </c>
      <c r="AC45" cm="1">
        <f t="array" ref="AC45">IFERROR(AVERAGE(_xlfn._xlws.FILTER(U$2:U$1073,($C$2:$C$1073=$C45)*($E$2:$E$1073=$E45)*(ROW(U$2:U$1073)&lt;&gt;ROW(U45))*(U$2:U$1073&lt;&gt;""))),"")</f>
        <v>0.79127778107794366</v>
      </c>
      <c r="AD45" cm="1">
        <f t="array" ref="AD45">IFERROR(AVERAGE(_xlfn._xlws.FILTER(V$2:V$1073,($C$2:$C$1073=$C45)*($E$2:$E$1073=$E45)*(ROW(V$2:V$1073)&lt;&gt;ROW(V45))*(V$2:V$1073&lt;&gt;""))),"")</f>
        <v>0.37034445332167032</v>
      </c>
      <c r="AE45">
        <f>IF('Дивиденды по годам'!M45&lt;0,1,0)</f>
        <v>0</v>
      </c>
    </row>
    <row r="46" spans="1:31" x14ac:dyDescent="0.2">
      <c r="A46" s="7" t="s">
        <v>2182</v>
      </c>
      <c r="B46" t="str">
        <f t="shared" si="0"/>
        <v>NVTK IV кв. 2013</v>
      </c>
      <c r="C46">
        <v>2013</v>
      </c>
      <c r="D46">
        <f>SUMIFS(Дивиденды!$C:$C,Дивиденды!$A:$A,A46,Дивиденды!$I:$I,C46)</f>
        <v>7.8900000000000006</v>
      </c>
      <c r="E46">
        <v>1</v>
      </c>
      <c r="F46">
        <f t="shared" si="1"/>
        <v>7.8900000000000006</v>
      </c>
      <c r="G46">
        <f t="shared" si="2"/>
        <v>23.146666666666665</v>
      </c>
      <c r="H46">
        <f t="shared" si="3"/>
        <v>1</v>
      </c>
      <c r="I46">
        <f t="shared" si="4"/>
        <v>0.83333333333333337</v>
      </c>
      <c r="J46">
        <f t="shared" si="5"/>
        <v>0.15014577259475237</v>
      </c>
      <c r="K46">
        <f t="shared" si="10"/>
        <v>0.196245932871983</v>
      </c>
      <c r="L46">
        <f t="shared" si="6"/>
        <v>1</v>
      </c>
      <c r="M46">
        <f t="shared" si="7"/>
        <v>0.66666666666666663</v>
      </c>
      <c r="N46">
        <f t="shared" si="8"/>
        <v>0</v>
      </c>
      <c r="O46">
        <f t="shared" si="9"/>
        <v>0.16666666666666666</v>
      </c>
      <c r="P46">
        <f>IFERROR(LN('Дивиденды по годам'!I46),"")</f>
        <v>27.116848229658075</v>
      </c>
      <c r="Q46">
        <f>IFERROR('Дивиденды по годам'!G46/'Дивиденды по годам'!I46, "")</f>
        <v>0.40750842398347814</v>
      </c>
      <c r="R46">
        <f>IFERROR(IF(AND('Дивиденды по годам'!N46&lt;&gt;"",'Дивиденды по годам'!U46&lt;&gt;"",'Дивиденды по годам'!U46&lt;&gt;0),'Дивиденды по годам'!N46/'Дивиденды по годам'!U46-1,""),"")</f>
        <v>0.41325193271176874</v>
      </c>
      <c r="S46">
        <f>IFERROR(IF(AND('Дивиденды по годам'!L46&lt;&gt;"",'Дивиденды по годам'!I46&lt;&gt;"",'Дивиденды по годам'!J46&lt;&gt;"",'Дивиденды по годам'!K46&lt;&gt;"",('Дивиденды по годам'!I46-'Дивиденды по годам'!J46-'Дивиденды по годам'!K46)&lt;&gt;0),'Дивиденды по годам'!L46/('Дивиденды по годам'!I46-'Дивиденды по годам'!J46-'Дивиденды по годам'!K46),""),"")</f>
        <v>0.89695140420900832</v>
      </c>
      <c r="T46">
        <f>IFERROR(IF(AND('Дивиденды по годам'!Q46&lt;&gt;"",'Дивиденды по годам'!I46&lt;&gt;"",'Дивиденды по годам'!V46&lt;&gt;"",('Дивиденды по годам'!I46+'Дивиденды по годам'!V46)&lt;&gt;0),'Дивиденды по годам'!Q46/(('Дивиденды по годам'!I46+'Дивиденды по годам'!V46)/2),""),"")</f>
        <v>0.20722287980337906</v>
      </c>
      <c r="U46">
        <f>IFERROR(IF(AND('Дивиденды по годам'!J46&lt;&gt;"",'Дивиденды по годам'!K46&lt;&gt;"",'Дивиденды по годам'!M46&lt;&gt;"",'Дивиденды по годам'!M46&lt;&gt;0),('Дивиденды по годам'!J46+'Дивиденды по годам'!K46)/'Дивиденды по годам'!M46,""),"")</f>
        <v>0.60295879718112777</v>
      </c>
      <c r="V46">
        <f>IFERROR(IF(AND('Дивиденды по годам'!J46&lt;&gt;"",'Дивиденды по годам'!K46&lt;&gt;"",'Дивиденды по годам'!M46&lt;&gt;"",'Дивиденды по годам'!I46&lt;&gt;0),('Дивиденды по годам'!J46+'Дивиденды по годам'!K46)/'Дивиденды по годам'!I46,""),"")</f>
        <v>0.37615364676962182</v>
      </c>
      <c r="W46">
        <f>IFERROR('Дивиденды по годам'!I46,"")</f>
        <v>597995000000</v>
      </c>
      <c r="X46" cm="1">
        <f t="array" ref="X46">IFERROR(AVERAGE(_xlfn._xlws.FILTER(P$2:P$1073,($C$2:$C$1073=$C46)*($E$2:$E$1073=$E46)*(ROW(P$2:P$1073)&lt;&gt;ROW(P46))*(P$2:P$1073&lt;&gt;""))),"")</f>
        <v>28.999170802836858</v>
      </c>
      <c r="Y46" cm="1">
        <f t="array" ref="Y46">IFERROR(AVERAGE(_xlfn._xlws.FILTER(Q$2:Q$1073,($C$2:$C$1073=$C46)*($E$2:$E$1073=$E46)*(ROW(Q$2:Q$1073)&lt;&gt;ROW(Q46))*(Q$2:Q$1073&lt;&gt;""))),"")</f>
        <v>0.70107788909759594</v>
      </c>
      <c r="Z46" cm="1">
        <f t="array" ref="Z46">IFERROR(AVERAGE(_xlfn._xlws.FILTER(R$2:R$1073,($C$2:$C$1073=$C46)*($E$2:$E$1073=$E46)*(ROW(R$2:R$1073)&lt;&gt;ROW(R46))*(R$2:R$1073&lt;&gt;""))),"")</f>
        <v>0.17350932769926086</v>
      </c>
      <c r="AA46" cm="1">
        <f t="array" ref="AA46">IFERROR(AVERAGE(_xlfn._xlws.FILTER(S$2:S$1073,($C$2:$C$1073=$C46)*($E$2:$E$1073=$E46)*(ROW(S$2:S$1073)&lt;&gt;ROW(S46))*(S$2:S$1073&lt;&gt;""))),"")</f>
        <v>0.89615612574240133</v>
      </c>
      <c r="AB46" cm="1">
        <f t="array" ref="AB46">IFERROR(AVERAGE(_xlfn._xlws.FILTER(T$2:T$1073,($C$2:$C$1073=$C46)*($E$2:$E$1073=$E46)*(ROW(T$2:T$1073)&lt;&gt;ROW(T46))*(T$2:T$1073&lt;&gt;""))),"")</f>
        <v>9.5572163073444003E-2</v>
      </c>
      <c r="AC46" cm="1">
        <f t="array" ref="AC46">IFERROR(AVERAGE(_xlfn._xlws.FILTER(U$2:U$1073,($C$2:$C$1073=$C46)*($E$2:$E$1073=$E46)*(ROW(U$2:U$1073)&lt;&gt;ROW(U46))*(U$2:U$1073&lt;&gt;""))),"")</f>
        <v>0.62541721223082114</v>
      </c>
      <c r="AD46" cm="1">
        <f t="array" ref="AD46">IFERROR(AVERAGE(_xlfn._xlws.FILTER(V$2:V$1073,($C$2:$C$1073=$C46)*($E$2:$E$1073=$E46)*(ROW(V$2:V$1073)&lt;&gt;ROW(V46))*(V$2:V$1073&lt;&gt;""))),"")</f>
        <v>0.34872496170678208</v>
      </c>
      <c r="AE46">
        <f>IF('Дивиденды по годам'!M46&lt;0,1,0)</f>
        <v>0</v>
      </c>
    </row>
    <row r="47" spans="1:31" x14ac:dyDescent="0.2">
      <c r="A47" s="7" t="s">
        <v>2182</v>
      </c>
      <c r="B47" t="str">
        <f t="shared" si="0"/>
        <v>NVTK IV кв. 2012</v>
      </c>
      <c r="C47">
        <v>2012</v>
      </c>
      <c r="D47">
        <f>SUMIFS(Дивиденды!$C:$C,Дивиденды!$A:$A,A47,Дивиденды!$I:$I,C47)</f>
        <v>6.8599999999999994</v>
      </c>
      <c r="E47">
        <v>1</v>
      </c>
      <c r="F47">
        <f t="shared" si="1"/>
        <v>6.8599999999999994</v>
      </c>
      <c r="G47">
        <f t="shared" si="2"/>
        <v>18.856666666666666</v>
      </c>
      <c r="H47">
        <f t="shared" si="3"/>
        <v>1</v>
      </c>
      <c r="I47">
        <f>IFERROR((COUNTIFS($E:$E,E47,$C:$C,C47,$H:$H,1)-H47)/(COUNTIFS($E:$E,E47,$C:$C,C47)-1),0)</f>
        <v>0.83333333333333337</v>
      </c>
      <c r="J47">
        <f t="shared" si="5"/>
        <v>0.14333333333333323</v>
      </c>
      <c r="K47">
        <f t="shared" si="10"/>
        <v>-2.5231337246357463E-3</v>
      </c>
      <c r="L47">
        <f t="shared" si="6"/>
        <v>1</v>
      </c>
      <c r="M47">
        <f t="shared" si="7"/>
        <v>0.5</v>
      </c>
      <c r="N47">
        <f t="shared" si="8"/>
        <v>0</v>
      </c>
      <c r="O47">
        <f t="shared" si="9"/>
        <v>0.33333333333333331</v>
      </c>
      <c r="P47">
        <f>IFERROR(LN('Дивиденды по годам'!I47),"")</f>
        <v>26.861280106801686</v>
      </c>
      <c r="Q47">
        <f>IFERROR('Дивиденды по годам'!G47/'Дивиденды по годам'!I47, "")</f>
        <v>0.4261756342130662</v>
      </c>
      <c r="R47">
        <f>IFERROR(IF(AND('Дивиденды по годам'!N47&lt;&gt;"",'Дивиденды по годам'!U47&lt;&gt;"",'Дивиденды по годам'!U47&lt;&gt;0),'Дивиденды по годам'!N47/'Дивиденды по годам'!U47-1,""),"")</f>
        <v>0.19827449109414763</v>
      </c>
      <c r="S47">
        <f>IFERROR(IF(AND('Дивиденды по годам'!L47&lt;&gt;"",'Дивиденды по годам'!I47&lt;&gt;"",'Дивиденды по годам'!J47&lt;&gt;"",'Дивиденды по годам'!K47&lt;&gt;"",('Дивиденды по годам'!I47-'Дивиденды по годам'!J47-'Дивиденды по годам'!K47)&lt;&gt;0),'Дивиденды по годам'!L47/('Дивиденды по годам'!I47-'Дивиденды по годам'!J47-'Дивиденды по годам'!K47),""),"")</f>
        <v>0.87059776657134713</v>
      </c>
      <c r="T47">
        <f>IFERROR(IF(AND('Дивиденды по годам'!Q47&lt;&gt;"",'Дивиденды по годам'!I47&lt;&gt;"",'Дивиденды по годам'!V47&lt;&gt;"",('Дивиденды по годам'!I47+'Дивиденды по годам'!V47)&lt;&gt;0),'Дивиденды по годам'!Q47/(('Дивиденды по годам'!I47+'Дивиденды по годам'!V47)/2),""),"")</f>
        <v>0.16405355761223298</v>
      </c>
      <c r="U47">
        <f>IFERROR(IF(AND('Дивиденды по годам'!J47&lt;&gt;"",'Дивиденды по годам'!K47&lt;&gt;"",'Дивиденды по годам'!M47&lt;&gt;"",'Дивиденды по годам'!M47&lt;&gt;0),('Дивиденды по годам'!J47+'Дивиденды по годам'!K47)/'Дивиденды по годам'!M47,""),"")</f>
        <v>0.58987782396902178</v>
      </c>
      <c r="V47">
        <f>IFERROR(IF(AND('Дивиденды по годам'!J47&lt;&gt;"",'Дивиденды по годам'!K47&lt;&gt;"",'Дивиденды по годам'!M47&lt;&gt;"",'Дивиденды по годам'!I47&lt;&gt;0),('Дивиденды по годам'!J47+'Дивиденды по годам'!K47)/'Дивиденды по годам'!I47,""),"")</f>
        <v>0.37102085146167518</v>
      </c>
      <c r="W47">
        <f>IFERROR('Дивиденды по годам'!I47,"")</f>
        <v>463133000000</v>
      </c>
      <c r="X47" cm="1">
        <f t="array" ref="X47">IFERROR(AVERAGE(_xlfn._xlws.FILTER(P$2:P$1073,($C$2:$C$1073=$C47)*($E$2:$E$1073=$E47)*(ROW(P$2:P$1073)&lt;&gt;ROW(P47))*(P$2:P$1073&lt;&gt;""))),"")</f>
        <v>28.756679083608336</v>
      </c>
      <c r="Y47" cm="1">
        <f t="array" ref="Y47">IFERROR(AVERAGE(_xlfn._xlws.FILTER(Q$2:Q$1073,($C$2:$C$1073=$C47)*($E$2:$E$1073=$E47)*(ROW(Q$2:Q$1073)&lt;&gt;ROW(Q47))*(Q$2:Q$1073&lt;&gt;""))),"")</f>
        <v>0.66836498749768725</v>
      </c>
      <c r="Z47" cm="1">
        <f t="array" ref="Z47">IFERROR(AVERAGE(_xlfn._xlws.FILTER(R$2:R$1073,($C$2:$C$1073=$C47)*($E$2:$E$1073=$E47)*(ROW(R$2:R$1073)&lt;&gt;ROW(R47))*(R$2:R$1073&lt;&gt;""))),"")</f>
        <v>-3.0432710699290766E-3</v>
      </c>
      <c r="AA47" cm="1">
        <f t="array" ref="AA47">IFERROR(AVERAGE(_xlfn._xlws.FILTER(S$2:S$1073,($C$2:$C$1073=$C47)*($E$2:$E$1073=$E47)*(ROW(S$2:S$1073)&lt;&gt;ROW(S47))*(S$2:S$1073&lt;&gt;""))),"")</f>
        <v>0.91506592141906173</v>
      </c>
      <c r="AB47" cm="1">
        <f t="array" ref="AB47">IFERROR(AVERAGE(_xlfn._xlws.FILTER(T$2:T$1073,($C$2:$C$1073=$C47)*($E$2:$E$1073=$E47)*(ROW(T$2:T$1073)&lt;&gt;ROW(T47))*(T$2:T$1073&lt;&gt;""))),"")</f>
        <v>0.11063915751516966</v>
      </c>
      <c r="AC47" cm="1">
        <f t="array" ref="AC47">IFERROR(AVERAGE(_xlfn._xlws.FILTER(U$2:U$1073,($C$2:$C$1073=$C47)*($E$2:$E$1073=$E47)*(ROW(U$2:U$1073)&lt;&gt;ROW(U47))*(U$2:U$1073&lt;&gt;""))),"")</f>
        <v>0.45915706908148779</v>
      </c>
      <c r="AD47" cm="1">
        <f t="array" ref="AD47">IFERROR(AVERAGE(_xlfn._xlws.FILTER(V$2:V$1073,($C$2:$C$1073=$C47)*($E$2:$E$1073=$E47)*(ROW(V$2:V$1073)&lt;&gt;ROW(V47))*(V$2:V$1073&lt;&gt;""))),"")</f>
        <v>0.308589564081718</v>
      </c>
      <c r="AE47">
        <f>IF('Дивиденды по годам'!M47&lt;0,1,0)</f>
        <v>0</v>
      </c>
    </row>
    <row r="48" spans="1:31" x14ac:dyDescent="0.2">
      <c r="A48" s="7" t="s">
        <v>2182</v>
      </c>
      <c r="B48" t="str">
        <f t="shared" si="0"/>
        <v>NVTK IV кв. 2011</v>
      </c>
      <c r="C48">
        <v>2011</v>
      </c>
      <c r="D48">
        <f>SUMIFS(Дивиденды!$C:$C,Дивиденды!$A:$A,A48,Дивиденды!$I:$I,C48)</f>
        <v>6</v>
      </c>
      <c r="E48">
        <v>1</v>
      </c>
      <c r="F48">
        <f t="shared" si="1"/>
        <v>6</v>
      </c>
      <c r="G48">
        <f t="shared" si="2"/>
        <v>16.529999999999998</v>
      </c>
      <c r="H48">
        <f t="shared" si="3"/>
        <v>1</v>
      </c>
      <c r="I48">
        <f t="shared" si="4"/>
        <v>0.83333333333333337</v>
      </c>
      <c r="J48">
        <f t="shared" si="5"/>
        <v>0.5</v>
      </c>
      <c r="K48">
        <f t="shared" si="10"/>
        <v>0.65661266764172754</v>
      </c>
      <c r="L48">
        <f t="shared" si="6"/>
        <v>1</v>
      </c>
      <c r="M48">
        <f t="shared" si="7"/>
        <v>0.83333333333333337</v>
      </c>
      <c r="N48">
        <f t="shared" si="8"/>
        <v>0</v>
      </c>
      <c r="O48">
        <f t="shared" si="9"/>
        <v>0</v>
      </c>
      <c r="P48">
        <f>IFERROR(LN('Дивиденды по годам'!I48),"")</f>
        <v>26.672428127820485</v>
      </c>
      <c r="Q48">
        <f>IFERROR('Дивиденды по годам'!G48/'Дивиденды по годам'!I48, "")</f>
        <v>0.43497673642262513</v>
      </c>
      <c r="R48">
        <f>IFERROR(IF(AND('Дивиденды по годам'!N48&lt;&gt;"",'Дивиденды по годам'!U48&lt;&gt;"",'Дивиденды по годам'!U48&lt;&gt;0),'Дивиденды по годам'!N48/'Дивиденды по годам'!U48-1,""),"")</f>
        <v>0.50451189499589821</v>
      </c>
      <c r="S48">
        <f>IFERROR(IF(AND('Дивиденды по годам'!L48&lt;&gt;"",'Дивиденды по годам'!I48&lt;&gt;"",'Дивиденды по годам'!J48&lt;&gt;"",'Дивиденды по годам'!K48&lt;&gt;"",('Дивиденды по годам'!I48-'Дивиденды по годам'!J48-'Дивиденды по годам'!K48)&lt;&gt;0),'Дивиденды по годам'!L48/('Дивиденды по годам'!I48-'Дивиденды по годам'!J48-'Дивиденды по годам'!K48),""),"")</f>
        <v>0.84355061609884063</v>
      </c>
      <c r="T48">
        <f>IFERROR(IF(AND('Дивиденды по годам'!Q48&lt;&gt;"",'Дивиденды по годам'!I48&lt;&gt;"",'Дивиденды по годам'!V48&lt;&gt;"",('Дивиденды по годам'!I48+'Дивиденды по годам'!V48)&lt;&gt;0),'Дивиденды по годам'!Q48/(('Дивиденды по годам'!I48+'Дивиденды по годам'!V48)/2),""),"")</f>
        <v>0.35683550078147785</v>
      </c>
      <c r="U48">
        <f>IFERROR(IF(AND('Дивиденды по годам'!J48&lt;&gt;"",'Дивиденды по годам'!K48&lt;&gt;"",'Дивиденды по годам'!M48&lt;&gt;"",'Дивиденды по годам'!M48&lt;&gt;0),('Дивиденды по годам'!J48+'Дивиденды по годам'!K48)/'Дивиденды по годам'!M48,""),"")</f>
        <v>0.58651451080345252</v>
      </c>
      <c r="V48">
        <f>IFERROR(IF(AND('Дивиденды по годам'!J48&lt;&gt;"",'Дивиденды по годам'!K48&lt;&gt;"",'Дивиденды по годам'!M48&lt;&gt;"",'Дивиденды по годам'!I48&lt;&gt;0),('Дивиденды по годам'!J48+'Дивиденды по годам'!K48)/'Дивиденды по годам'!I48,""),"")</f>
        <v>0.36968745435957351</v>
      </c>
      <c r="W48">
        <f>IFERROR('Дивиденды по годам'!I48,"")</f>
        <v>383432000000</v>
      </c>
      <c r="X48" cm="1">
        <f t="array" ref="X48">IFERROR(AVERAGE(_xlfn._xlws.FILTER(P$2:P$1073,($C$2:$C$1073=$C48)*($E$2:$E$1073=$E48)*(ROW(P$2:P$1073)&lt;&gt;ROW(P48))*(P$2:P$1073&lt;&gt;""))),"")</f>
        <v>28.66267280551666</v>
      </c>
      <c r="Y48" cm="1">
        <f t="array" ref="Y48">IFERROR(AVERAGE(_xlfn._xlws.FILTER(Q$2:Q$1073,($C$2:$C$1073=$C48)*($E$2:$E$1073=$E48)*(ROW(Q$2:Q$1073)&lt;&gt;ROW(Q48))*(Q$2:Q$1073&lt;&gt;""))),"")</f>
        <v>0.64650854085690668</v>
      </c>
      <c r="Z48" cm="1">
        <f t="array" ref="Z48">IFERROR(AVERAGE(_xlfn._xlws.FILTER(R$2:R$1073,($C$2:$C$1073=$C48)*($E$2:$E$1073=$E48)*(ROW(R$2:R$1073)&lt;&gt;ROW(R48))*(R$2:R$1073&lt;&gt;""))),"")</f>
        <v>0.31218257934705429</v>
      </c>
      <c r="AA48" cm="1">
        <f t="array" ref="AA48">IFERROR(AVERAGE(_xlfn._xlws.FILTER(S$2:S$1073,($C$2:$C$1073=$C48)*($E$2:$E$1073=$E48)*(ROW(S$2:S$1073)&lt;&gt;ROW(S48))*(S$2:S$1073&lt;&gt;""))),"")</f>
        <v>0.89222567009537324</v>
      </c>
      <c r="AB48" cm="1">
        <f t="array" ref="AB48">IFERROR(AVERAGE(_xlfn._xlws.FILTER(T$2:T$1073,($C$2:$C$1073=$C48)*($E$2:$E$1073=$E48)*(ROW(T$2:T$1073)&lt;&gt;ROW(T48))*(T$2:T$1073&lt;&gt;""))),"")</f>
        <v>0.11265775725293523</v>
      </c>
      <c r="AC48" cm="1">
        <f t="array" ref="AC48">IFERROR(AVERAGE(_xlfn._xlws.FILTER(U$2:U$1073,($C$2:$C$1073=$C48)*($E$2:$E$1073=$E48)*(ROW(U$2:U$1073)&lt;&gt;ROW(U48))*(U$2:U$1073&lt;&gt;""))),"")</f>
        <v>0.48617466604510251</v>
      </c>
      <c r="AD48" cm="1">
        <f t="array" ref="AD48">IFERROR(AVERAGE(_xlfn._xlws.FILTER(V$2:V$1073,($C$2:$C$1073=$C48)*($E$2:$E$1073=$E48)*(ROW(V$2:V$1073)&lt;&gt;ROW(V48))*(V$2:V$1073&lt;&gt;""))),"")</f>
        <v>0.32324374821261481</v>
      </c>
      <c r="AE48">
        <f>IF('Дивиденды по годам'!M48&lt;0,1,0)</f>
        <v>0</v>
      </c>
    </row>
    <row r="49" spans="1:31" x14ac:dyDescent="0.2">
      <c r="A49" s="7" t="s">
        <v>2182</v>
      </c>
      <c r="B49" t="str">
        <f t="shared" si="0"/>
        <v>NVTK IV кв. 2010</v>
      </c>
      <c r="C49">
        <v>2010</v>
      </c>
      <c r="D49">
        <f>SUMIFS(Дивиденды!$C:$C,Дивиденды!$A:$A,A49,Дивиденды!$I:$I,C49)</f>
        <v>4</v>
      </c>
      <c r="E49">
        <v>1</v>
      </c>
      <c r="F49">
        <f t="shared" si="1"/>
        <v>4</v>
      </c>
      <c r="G49">
        <f t="shared" si="2"/>
        <v>11.854999999999999</v>
      </c>
      <c r="H49">
        <f t="shared" si="3"/>
        <v>1</v>
      </c>
      <c r="I49">
        <f t="shared" si="4"/>
        <v>0.83333333333333337</v>
      </c>
      <c r="J49" t="str">
        <f t="shared" si="5"/>
        <v/>
      </c>
      <c r="K49" t="str">
        <f t="shared" si="10"/>
        <v/>
      </c>
      <c r="L49" t="str">
        <f t="shared" si="6"/>
        <v/>
      </c>
      <c r="M49" t="str">
        <f t="shared" si="7"/>
        <v/>
      </c>
      <c r="N49" t="str">
        <f t="shared" si="8"/>
        <v/>
      </c>
      <c r="O49" t="str">
        <f t="shared" si="9"/>
        <v/>
      </c>
      <c r="P49">
        <f>IFERROR(LN('Дивиденды по годам'!I49),"")</f>
        <v>26.376361850598293</v>
      </c>
      <c r="Q49">
        <f>IFERROR('Дивиденды по годам'!G49/'Дивиденды по годам'!I49, "")</f>
        <v>0.65073832375435259</v>
      </c>
      <c r="R49" t="str">
        <f>IFERROR(IF(AND('Дивиденды по годам'!N49&lt;&gt;"",'Дивиденды по годам'!U49&lt;&gt;"",'Дивиденды по годам'!U49&lt;&gt;0),'Дивиденды по годам'!N49/'Дивиденды по годам'!U49-1,""),"")</f>
        <v/>
      </c>
      <c r="S49">
        <f>IFERROR(IF(AND('Дивиденды по годам'!L49&lt;&gt;"",'Дивиденды по годам'!I49&lt;&gt;"",'Дивиденды по годам'!J49&lt;&gt;"",'Дивиденды по годам'!K49&lt;&gt;"",('Дивиденды по годам'!I49-'Дивиденды по годам'!J49-'Дивиденды по годам'!K49)&lt;&gt;0),'Дивиденды по годам'!L49/('Дивиденды по годам'!I49-'Дивиденды по годам'!J49-'Дивиденды по годам'!K49),""),"")</f>
        <v>0.66042458846387664</v>
      </c>
      <c r="T49" t="str">
        <f>IFERROR(IF(AND('Дивиденды по годам'!Q49&lt;&gt;"",'Дивиденды по годам'!I49&lt;&gt;"",'Дивиденды по годам'!V49&lt;&gt;"",('Дивиденды по годам'!I49+'Дивиденды по годам'!V49)&lt;&gt;0),'Дивиденды по годам'!Q49/(('Дивиденды по годам'!I49+'Дивиденды по годам'!V49)/2),""),"")</f>
        <v/>
      </c>
      <c r="U49">
        <f>IFERROR(IF(AND('Дивиденды по годам'!J49&lt;&gt;"",'Дивиденды по годам'!K49&lt;&gt;"",'Дивиденды по годам'!M49&lt;&gt;"",'Дивиденды по годам'!M49&lt;&gt;0),('Дивиденды по годам'!J49+'Дивиденды по годам'!K49)/'Дивиденды по годам'!M49,""),"")</f>
        <v>0.69962332971761654</v>
      </c>
      <c r="V49">
        <f>IFERROR(IF(AND('Дивиденды по годам'!J49&lt;&gt;"",'Дивиденды по годам'!K49&lt;&gt;"",'Дивиденды по годам'!M49&lt;&gt;"",'Дивиденды по годам'!I49&lt;&gt;0),('Дивиденды по годам'!J49+'Дивиденды по годам'!K49)/'Дивиденды по годам'!I49,""),"")</f>
        <v>0.41163434125951615</v>
      </c>
      <c r="W49">
        <f>IFERROR('Дивиденды по годам'!I49,"")</f>
        <v>285173000000</v>
      </c>
      <c r="X49" cm="1">
        <f t="array" ref="X49">IFERROR(AVERAGE(_xlfn._xlws.FILTER(P$2:P$1073,($C$2:$C$1073=$C49)*($E$2:$E$1073=$E49)*(ROW(P$2:P$1073)&lt;&gt;ROW(P49))*(P$2:P$1073&lt;&gt;""))),"")</f>
        <v>29.21095823518538</v>
      </c>
      <c r="Y49" cm="1">
        <f t="array" ref="Y49">IFERROR(AVERAGE(_xlfn._xlws.FILTER(Q$2:Q$1073,($C$2:$C$1073=$C49)*($E$2:$E$1073=$E49)*(ROW(Q$2:Q$1073)&lt;&gt;ROW(Q49))*(Q$2:Q$1073&lt;&gt;""))),"")</f>
        <v>0.62212031204415064</v>
      </c>
      <c r="Z49" cm="1">
        <f t="array" ref="Z49">IFERROR(AVERAGE(_xlfn._xlws.FILTER(R$2:R$1073,($C$2:$C$1073=$C49)*($E$2:$E$1073=$E49)*(ROW(R$2:R$1073)&lt;&gt;ROW(R49))*(R$2:R$1073&lt;&gt;""))),"")</f>
        <v>0.23861324477859247</v>
      </c>
      <c r="AA49" cm="1">
        <f t="array" ref="AA49">IFERROR(AVERAGE(_xlfn._xlws.FILTER(S$2:S$1073,($C$2:$C$1073=$C49)*($E$2:$E$1073=$E49)*(ROW(S$2:S$1073)&lt;&gt;ROW(S49))*(S$2:S$1073&lt;&gt;""))),"")</f>
        <v>0.95784934291940105</v>
      </c>
      <c r="AB49" cm="1">
        <f t="array" ref="AB49">IFERROR(AVERAGE(_xlfn._xlws.FILTER(T$2:T$1073,($C$2:$C$1073=$C49)*($E$2:$E$1073=$E49)*(ROW(T$2:T$1073)&lt;&gt;ROW(T49))*(T$2:T$1073&lt;&gt;""))),"")</f>
        <v>0.10947396081496689</v>
      </c>
      <c r="AC49" cm="1">
        <f t="array" ref="AC49">IFERROR(AVERAGE(_xlfn._xlws.FILTER(U$2:U$1073,($C$2:$C$1073=$C49)*($E$2:$E$1073=$E49)*(ROW(U$2:U$1073)&lt;&gt;ROW(U49))*(U$2:U$1073&lt;&gt;""))),"")</f>
        <v>0.41127157334868347</v>
      </c>
      <c r="AD49" cm="1">
        <f t="array" ref="AD49">IFERROR(AVERAGE(_xlfn._xlws.FILTER(V$2:V$1073,($C$2:$C$1073=$C49)*($E$2:$E$1073=$E49)*(ROW(V$2:V$1073)&lt;&gt;ROW(V49))*(V$2:V$1073&lt;&gt;""))),"")</f>
        <v>0.29142153136092408</v>
      </c>
      <c r="AE49">
        <f>IF('Дивиденды по годам'!M49&lt;0,1,0)</f>
        <v>0</v>
      </c>
    </row>
    <row r="50" spans="1:31" x14ac:dyDescent="0.2">
      <c r="A50" s="7" t="s">
        <v>2314</v>
      </c>
      <c r="B50" t="str">
        <f t="shared" si="0"/>
        <v>RNFT IV кв. 2025</v>
      </c>
      <c r="C50">
        <v>2025</v>
      </c>
      <c r="D50">
        <f>SUMIFS(Дивиденды!$C:$C,Дивиденды!$A:$A,A50,Дивиденды!$I:$I,C50)</f>
        <v>0</v>
      </c>
      <c r="E50">
        <v>1</v>
      </c>
      <c r="F50">
        <f t="shared" si="1"/>
        <v>0</v>
      </c>
      <c r="G50">
        <f t="shared" si="2"/>
        <v>77.756666666666675</v>
      </c>
      <c r="H50">
        <f t="shared" si="3"/>
        <v>0</v>
      </c>
      <c r="I50">
        <f t="shared" si="4"/>
        <v>0.66666666666666663</v>
      </c>
      <c r="J50">
        <f t="shared" si="5"/>
        <v>0</v>
      </c>
      <c r="K50">
        <f t="shared" si="10"/>
        <v>-0.62296624997812966</v>
      </c>
      <c r="L50">
        <f t="shared" si="6"/>
        <v>0</v>
      </c>
      <c r="M50">
        <f t="shared" si="7"/>
        <v>0</v>
      </c>
      <c r="N50">
        <f t="shared" si="8"/>
        <v>0</v>
      </c>
      <c r="O50">
        <f t="shared" si="9"/>
        <v>0.83333333333333337</v>
      </c>
      <c r="P50">
        <f>IFERROR(LN('Дивиденды по годам'!I50),"")</f>
        <v>26.599768365584712</v>
      </c>
      <c r="Q50">
        <f>IFERROR('Дивиденды по годам'!G50/'Дивиденды по годам'!I50, "")</f>
        <v>0.49894267444469376</v>
      </c>
      <c r="R50">
        <f>IFERROR(IF(AND('Дивиденды по годам'!N50&lt;&gt;"",'Дивиденды по годам'!U50&lt;&gt;"",'Дивиденды по годам'!U50&lt;&gt;0),'Дивиденды по годам'!N50/'Дивиденды по годам'!U50-1,""),"")</f>
        <v>-0.27278846282005142</v>
      </c>
      <c r="S50">
        <f>IFERROR(IF(AND('Дивиденды по годам'!L50&lt;&gt;"",'Дивиденды по годам'!I50&lt;&gt;"",'Дивиденды по годам'!J50&lt;&gt;"",'Дивиденды по годам'!K50&lt;&gt;"",('Дивиденды по годам'!I50-'Дивиденды по годам'!J50-'Дивиденды по годам'!K50)&lt;&gt;0),'Дивиденды по годам'!L50/('Дивиденды по годам'!I50-'Дивиденды по годам'!J50-'Дивиденды по годам'!K50),""),"")</f>
        <v>7.975744654340558E-2</v>
      </c>
      <c r="T50">
        <f>IFERROR(IF(AND('Дивиденды по годам'!Q50&lt;&gt;"",'Дивиденды по годам'!I50&lt;&gt;"",'Дивиденды по годам'!V50&lt;&gt;"",('Дивиденды по годам'!I50+'Дивиденды по годам'!V50)&lt;&gt;0),'Дивиденды по годам'!Q50/(('Дивиденды по годам'!I50+'Дивиденды по годам'!V50)/2),""),"")</f>
        <v>6.71894646377552E-2</v>
      </c>
      <c r="U50">
        <f>IFERROR(IF(AND('Дивиденды по годам'!J50&lt;&gt;"",'Дивиденды по годам'!K50&lt;&gt;"",'Дивиденды по годам'!M50&lt;&gt;"",'Дивиденды по годам'!M50&lt;&gt;0),('Дивиденды по годам'!J50+'Дивиденды по годам'!K50)/'Дивиденды по годам'!M50,""),"")</f>
        <v>1.4681752421035144</v>
      </c>
      <c r="V50">
        <f>IFERROR(IF(AND('Дивиденды по годам'!J50&lt;&gt;"",'Дивиденды по годам'!K50&lt;&gt;"",'Дивиденды по годам'!M50&lt;&gt;"",'Дивиденды по годам'!I50&lt;&gt;0),('Дивиденды по годам'!J50+'Дивиденды по годам'!K50)/'Дивиденды по годам'!I50,""),"")</f>
        <v>0.59484238276867851</v>
      </c>
      <c r="W50">
        <f>IFERROR('Дивиденды по годам'!I50,"")</f>
        <v>356560000000</v>
      </c>
      <c r="X50" cm="1">
        <f t="array" ref="X50">IFERROR(AVERAGE(_xlfn._xlws.FILTER(P$2:P$1073,($C$2:$C$1073=$C50)*($E$2:$E$1073=$E50)*(ROW(P$2:P$1073)&lt;&gt;ROW(P50))*(P$2:P$1073&lt;&gt;""))),"")</f>
        <v>28.876328206616591</v>
      </c>
      <c r="Y50" cm="1">
        <f t="array" ref="Y50">IFERROR(AVERAGE(_xlfn._xlws.FILTER(Q$2:Q$1073,($C$2:$C$1073=$C50)*($E$2:$E$1073=$E50)*(ROW(Q$2:Q$1073)&lt;&gt;ROW(Q50))*(Q$2:Q$1073&lt;&gt;""))),"")</f>
        <v>0.54594369300523171</v>
      </c>
      <c r="Z50" cm="1">
        <f t="array" ref="Z50">IFERROR(AVERAGE(_xlfn._xlws.FILTER(R$2:R$1073,($C$2:$C$1073=$C50)*($E$2:$E$1073=$E50)*(ROW(R$2:R$1073)&lt;&gt;ROW(R50))*(R$2:R$1073&lt;&gt;""))),"")</f>
        <v>-0.24412347075666693</v>
      </c>
      <c r="AA50" cm="1">
        <f t="array" ref="AA50">IFERROR(AVERAGE(_xlfn._xlws.FILTER(S$2:S$1073,($C$2:$C$1073=$C50)*($E$2:$E$1073=$E50)*(ROW(S$2:S$1073)&lt;&gt;ROW(S50))*(S$2:S$1073&lt;&gt;""))),"")</f>
        <v>1.0257085818848806</v>
      </c>
      <c r="AB50" cm="1">
        <f t="array" ref="AB50">IFERROR(AVERAGE(_xlfn._xlws.FILTER(T$2:T$1073,($C$2:$C$1073=$C50)*($E$2:$E$1073=$E50)*(ROW(T$2:T$1073)&lt;&gt;ROW(T50))*(T$2:T$1073&lt;&gt;""))),"")</f>
        <v>-7.5976406099828265E-3</v>
      </c>
      <c r="AC50" cm="1">
        <f t="array" ref="AC50">IFERROR(AVERAGE(_xlfn._xlws.FILTER(U$2:U$1073,($C$2:$C$1073=$C50)*($E$2:$E$1073=$E50)*(ROW(U$2:U$1073)&lt;&gt;ROW(U50))*(U$2:U$1073&lt;&gt;""))),"")</f>
        <v>0.46105840225726608</v>
      </c>
      <c r="AD50" cm="1">
        <f t="array" ref="AD50">IFERROR(AVERAGE(_xlfn._xlws.FILTER(V$2:V$1073,($C$2:$C$1073=$C50)*($E$2:$E$1073=$E50)*(ROW(V$2:V$1073)&lt;&gt;ROW(V50))*(V$2:V$1073&lt;&gt;""))),"")</f>
        <v>0.30828278062370323</v>
      </c>
      <c r="AE50">
        <f>IF('Дивиденды по годам'!M50&lt;0,1,0)</f>
        <v>0</v>
      </c>
    </row>
    <row r="51" spans="1:31" x14ac:dyDescent="0.2">
      <c r="A51" s="7" t="s">
        <v>2314</v>
      </c>
      <c r="B51" t="str">
        <f t="shared" si="0"/>
        <v>RNFT IV кв. 2024</v>
      </c>
      <c r="C51">
        <v>2024</v>
      </c>
      <c r="D51">
        <f>SUMIFS(Дивиденды!$C:$C,Дивиденды!$A:$A,A51,Дивиденды!$I:$I,C51)</f>
        <v>0</v>
      </c>
      <c r="E51">
        <v>1</v>
      </c>
      <c r="F51">
        <f t="shared" si="1"/>
        <v>0</v>
      </c>
      <c r="G51">
        <f t="shared" si="2"/>
        <v>214.65000000000006</v>
      </c>
      <c r="H51">
        <f t="shared" si="3"/>
        <v>0</v>
      </c>
      <c r="I51">
        <f t="shared" si="4"/>
        <v>0.83333333333333337</v>
      </c>
      <c r="J51">
        <f t="shared" si="5"/>
        <v>0</v>
      </c>
      <c r="K51">
        <f t="shared" si="10"/>
        <v>3.3213967737444179E-2</v>
      </c>
      <c r="L51">
        <f t="shared" si="6"/>
        <v>0</v>
      </c>
      <c r="M51">
        <f t="shared" si="7"/>
        <v>0.66666666666666663</v>
      </c>
      <c r="N51">
        <f t="shared" si="8"/>
        <v>0</v>
      </c>
      <c r="O51">
        <f t="shared" si="9"/>
        <v>0.16666666666666666</v>
      </c>
      <c r="P51">
        <f>IFERROR(LN('Дивиденды по годам'!I51),"")</f>
        <v>26.587075973802715</v>
      </c>
      <c r="Q51">
        <f>IFERROR('Дивиденды по годам'!G51/'Дивиденды по годам'!I51, "")</f>
        <v>0.44350016900384304</v>
      </c>
      <c r="R51">
        <f>IFERROR(IF(AND('Дивиденды по годам'!N51&lt;&gt;"",'Дивиденды по годам'!U51&lt;&gt;"",'Дивиденды по годам'!U51&lt;&gt;0),'Дивиденды по годам'!N51/'Дивиденды по годам'!U51-1,""),"")</f>
        <v>0.25712849513038005</v>
      </c>
      <c r="S51">
        <f>IFERROR(IF(AND('Дивиденды по годам'!L51&lt;&gt;"",'Дивиденды по годам'!I51&lt;&gt;"",'Дивиденды по годам'!J51&lt;&gt;"",'Дивиденды по годам'!K51&lt;&gt;"",('Дивиденды по годам'!I51-'Дивиденды по годам'!J51-'Дивиденды по годам'!K51)&lt;&gt;0),'Дивиденды по годам'!L51/('Дивиденды по годам'!I51-'Дивиденды по годам'!J51-'Дивиденды по годам'!K51),""),"")</f>
        <v>0.75575759423249855</v>
      </c>
      <c r="T51">
        <f>IFERROR(IF(AND('Дивиденды по годам'!Q51&lt;&gt;"",'Дивиденды по годам'!I51&lt;&gt;"",'Дивиденды по годам'!V51&lt;&gt;"",('Дивиденды по годам'!I51+'Дивиденды по годам'!V51)&lt;&gt;0),'Дивиденды по годам'!Q51/(('Дивиденды по годам'!I51+'Дивиденды по годам'!V51)/2),""),"")</f>
        <v>0.15658057257008492</v>
      </c>
      <c r="U51">
        <f>IFERROR(IF(AND('Дивиденды по годам'!J51&lt;&gt;"",'Дивиденды по годам'!K51&lt;&gt;"",'Дивиденды по годам'!M51&lt;&gt;"",'Дивиденды по годам'!M51&lt;&gt;0),('Дивиденды по годам'!J51+'Дивиденды по годам'!K51)/'Дивиденды по годам'!M51,""),"")</f>
        <v>1.683038912344343</v>
      </c>
      <c r="V51">
        <f>IFERROR(IF(AND('Дивиденды по годам'!J51&lt;&gt;"",'Дивиденды по годам'!K51&lt;&gt;"",'Дивиденды по годам'!M51&lt;&gt;"",'Дивиденды по годам'!I51&lt;&gt;0),('Дивиденды по годам'!J51+'Дивиденды по годам'!K51)/'Дивиденды по годам'!I51,""),"")</f>
        <v>0.62728829783305828</v>
      </c>
      <c r="W51">
        <f>IFERROR('Дивиденды по годам'!I51,"")</f>
        <v>352063000000</v>
      </c>
      <c r="X51" cm="1">
        <f t="array" ref="X51">IFERROR(AVERAGE(_xlfn._xlws.FILTER(P$2:P$1073,($C$2:$C$1073=$C51)*($E$2:$E$1073=$E51)*(ROW(P$2:P$1073)&lt;&gt;ROW(P51))*(P$2:P$1073&lt;&gt;""))),"")</f>
        <v>29.789340119291502</v>
      </c>
      <c r="Y51" cm="1">
        <f t="array" ref="Y51">IFERROR(AVERAGE(_xlfn._xlws.FILTER(Q$2:Q$1073,($C$2:$C$1073=$C51)*($E$2:$E$1073=$E51)*(ROW(Q$2:Q$1073)&lt;&gt;ROW(Q51))*(Q$2:Q$1073&lt;&gt;""))),"")</f>
        <v>0.55867390612024181</v>
      </c>
      <c r="Z51" cm="1">
        <f t="array" ref="Z51">IFERROR(AVERAGE(_xlfn._xlws.FILTER(R$2:R$1073,($C$2:$C$1073=$C51)*($E$2:$E$1073=$E51)*(ROW(R$2:R$1073)&lt;&gt;ROW(R51))*(R$2:R$1073&lt;&gt;""))),"")</f>
        <v>0.17063092110075423</v>
      </c>
      <c r="AA51" cm="1">
        <f t="array" ref="AA51">IFERROR(AVERAGE(_xlfn._xlws.FILTER(S$2:S$1073,($C$2:$C$1073=$C51)*($E$2:$E$1073=$E51)*(ROW(S$2:S$1073)&lt;&gt;ROW(S51))*(S$2:S$1073&lt;&gt;""))),"")</f>
        <v>0.83081372470404569</v>
      </c>
      <c r="AB51" cm="1">
        <f t="array" ref="AB51">IFERROR(AVERAGE(_xlfn._xlws.FILTER(T$2:T$1073,($C$2:$C$1073=$C51)*($E$2:$E$1073=$E51)*(ROW(T$2:T$1073)&lt;&gt;ROW(T51))*(T$2:T$1073&lt;&gt;""))),"")</f>
        <v>9.9339216815019379E-2</v>
      </c>
      <c r="AC51" cm="1">
        <f t="array" ref="AC51">IFERROR(AVERAGE(_xlfn._xlws.FILTER(U$2:U$1073,($C$2:$C$1073=$C51)*($E$2:$E$1073=$E51)*(ROW(U$2:U$1073)&lt;&gt;ROW(U51))*(U$2:U$1073&lt;&gt;""))),"")</f>
        <v>0.66293301993563625</v>
      </c>
      <c r="AD51" cm="1">
        <f t="array" ref="AD51">IFERROR(AVERAGE(_xlfn._xlws.FILTER(V$2:V$1073,($C$2:$C$1073=$C51)*($E$2:$E$1073=$E51)*(ROW(V$2:V$1073)&lt;&gt;ROW(V51))*(V$2:V$1073&lt;&gt;""))),"")</f>
        <v>0.37496556424172461</v>
      </c>
      <c r="AE51">
        <f>IF('Дивиденды по годам'!M51&lt;0,1,0)</f>
        <v>0</v>
      </c>
    </row>
    <row r="52" spans="1:31" x14ac:dyDescent="0.2">
      <c r="A52" s="7" t="s">
        <v>2314</v>
      </c>
      <c r="B52" t="str">
        <f t="shared" si="0"/>
        <v>RNFT IV кв. 2023</v>
      </c>
      <c r="C52">
        <v>2023</v>
      </c>
      <c r="D52">
        <f>SUMIFS(Дивиденды!$C:$C,Дивиденды!$A:$A,A52,Дивиденды!$I:$I,C52)</f>
        <v>0</v>
      </c>
      <c r="E52">
        <v>1</v>
      </c>
      <c r="F52">
        <f t="shared" si="1"/>
        <v>0</v>
      </c>
      <c r="G52">
        <f t="shared" si="2"/>
        <v>195.35</v>
      </c>
      <c r="H52">
        <f t="shared" si="3"/>
        <v>0</v>
      </c>
      <c r="I52">
        <f t="shared" si="4"/>
        <v>0.83333333333333337</v>
      </c>
      <c r="J52">
        <f t="shared" si="5"/>
        <v>0</v>
      </c>
      <c r="K52">
        <f t="shared" si="10"/>
        <v>-9.3481616494351216E-2</v>
      </c>
      <c r="L52">
        <f t="shared" si="6"/>
        <v>0</v>
      </c>
      <c r="M52">
        <f t="shared" si="7"/>
        <v>0.5</v>
      </c>
      <c r="N52">
        <f t="shared" si="8"/>
        <v>0</v>
      </c>
      <c r="O52">
        <f t="shared" si="9"/>
        <v>0.5</v>
      </c>
      <c r="P52">
        <f>IFERROR(LN('Дивиденды по годам'!I52),"")</f>
        <v>26.493859248845848</v>
      </c>
      <c r="Q52">
        <f>IFERROR('Дивиденды по годам'!G52/'Дивиденды по годам'!I52, "")</f>
        <v>0.48354368810955078</v>
      </c>
      <c r="R52">
        <f>IFERROR(IF(AND('Дивиденды по годам'!N52&lt;&gt;"",'Дивиденды по годам'!U52&lt;&gt;"",'Дивиденды по годам'!U52&lt;&gt;0),'Дивиденды по годам'!N52/'Дивиденды по годам'!U52-1,""),"")</f>
        <v>-0.17924995358623674</v>
      </c>
      <c r="S52">
        <f>IFERROR(IF(AND('Дивиденды по годам'!L52&lt;&gt;"",'Дивиденды по годам'!I52&lt;&gt;"",'Дивиденды по годам'!J52&lt;&gt;"",'Дивиденды по годам'!K52&lt;&gt;"",('Дивиденды по годам'!I52-'Дивиденды по годам'!J52-'Дивиденды по годам'!K52)&lt;&gt;0),'Дивиденды по годам'!L52/('Дивиденды по годам'!I52-'Дивиденды по годам'!J52-'Дивиденды по годам'!K52),""),"")</f>
        <v>0.56344889262980691</v>
      </c>
      <c r="T52">
        <f>IFERROR(IF(AND('Дивиденды по годам'!Q52&lt;&gt;"",'Дивиденды по годам'!I52&lt;&gt;"",'Дивиденды по годам'!V52&lt;&gt;"",('Дивиденды по годам'!I52+'Дивиденды по годам'!V52)&lt;&gt;0),'Дивиденды по годам'!Q52/(('Дивиденды по годам'!I52+'Дивиденды по годам'!V52)/2),""),"")</f>
        <v>1.9388340468145356E-2</v>
      </c>
      <c r="U52">
        <f>IFERROR(IF(AND('Дивиденды по годам'!J52&lt;&gt;"",'Дивиденды по годам'!K52&lt;&gt;"",'Дивиденды по годам'!M52&lt;&gt;"",'Дивиденды по годам'!M52&lt;&gt;0),('Дивиденды по годам'!J52+'Дивиденды по годам'!K52)/'Дивиденды по годам'!M52,""),"")</f>
        <v>2.3744857698984689</v>
      </c>
      <c r="V52">
        <f>IFERROR(IF(AND('Дивиденды по годам'!J52&lt;&gt;"",'Дивиденды по годам'!K52&lt;&gt;"",'Дивиденды по годам'!M52&lt;&gt;"",'Дивиденды по годам'!I52&lt;&gt;0),('Дивиденды по годам'!J52+'Дивиденды по годам'!K52)/'Дивиденды по годам'!I52,""),"")</f>
        <v>0.70365855179466719</v>
      </c>
      <c r="W52">
        <f>IFERROR('Дивиденды по годам'!I52,"")</f>
        <v>320728000000</v>
      </c>
      <c r="X52" cm="1">
        <f t="array" ref="X52">IFERROR(AVERAGE(_xlfn._xlws.FILTER(P$2:P$1073,($C$2:$C$1073=$C52)*($E$2:$E$1073=$E52)*(ROW(P$2:P$1073)&lt;&gt;ROW(P52))*(P$2:P$1073&lt;&gt;""))),"")</f>
        <v>29.699577667561371</v>
      </c>
      <c r="Y52" cm="1">
        <f t="array" ref="Y52">IFERROR(AVERAGE(_xlfn._xlws.FILTER(Q$2:Q$1073,($C$2:$C$1073=$C52)*($E$2:$E$1073=$E52)*(ROW(Q$2:Q$1073)&lt;&gt;ROW(Q52))*(Q$2:Q$1073&lt;&gt;""))),"")</f>
        <v>0.49991064599034979</v>
      </c>
      <c r="Z52" cm="1">
        <f t="array" ref="Z52">IFERROR(AVERAGE(_xlfn._xlws.FILTER(R$2:R$1073,($C$2:$C$1073=$C52)*($E$2:$E$1073=$E52)*(ROW(R$2:R$1073)&lt;&gt;ROW(R52))*(R$2:R$1073&lt;&gt;""))),"")</f>
        <v>-6.7184333967357943E-2</v>
      </c>
      <c r="AA52" cm="1">
        <f t="array" ref="AA52">IFERROR(AVERAGE(_xlfn._xlws.FILTER(S$2:S$1073,($C$2:$C$1073=$C52)*($E$2:$E$1073=$E52)*(ROW(S$2:S$1073)&lt;&gt;ROW(S52))*(S$2:S$1073&lt;&gt;""))),"")</f>
        <v>0.86771255957933668</v>
      </c>
      <c r="AB52" cm="1">
        <f t="array" ref="AB52">IFERROR(AVERAGE(_xlfn._xlws.FILTER(T$2:T$1073,($C$2:$C$1073=$C52)*($E$2:$E$1073=$E52)*(ROW(T$2:T$1073)&lt;&gt;ROW(T52))*(T$2:T$1073&lt;&gt;""))),"")</f>
        <v>0.10486710757657865</v>
      </c>
      <c r="AC52" cm="1">
        <f t="array" ref="AC52">IFERROR(AVERAGE(_xlfn._xlws.FILTER(U$2:U$1073,($C$2:$C$1073=$C52)*($E$2:$E$1073=$E52)*(ROW(U$2:U$1073)&lt;&gt;ROW(U52))*(U$2:U$1073&lt;&gt;""))),"")</f>
        <v>0.56664492703327152</v>
      </c>
      <c r="AD52" cm="1">
        <f t="array" ref="AD52">IFERROR(AVERAGE(_xlfn._xlws.FILTER(V$2:V$1073,($C$2:$C$1073=$C52)*($E$2:$E$1073=$E52)*(ROW(V$2:V$1073)&lt;&gt;ROW(V52))*(V$2:V$1073&lt;&gt;""))),"")</f>
        <v>0.32643417416931098</v>
      </c>
      <c r="AE52">
        <f>IF('Дивиденды по годам'!M52&lt;0,1,0)</f>
        <v>0</v>
      </c>
    </row>
    <row r="53" spans="1:31" x14ac:dyDescent="0.2">
      <c r="A53" s="7" t="s">
        <v>2314</v>
      </c>
      <c r="B53" t="str">
        <f t="shared" si="0"/>
        <v>RNFT IV кв. 2022</v>
      </c>
      <c r="C53">
        <v>2022</v>
      </c>
      <c r="D53">
        <f>SUMIFS(Дивиденды!$C:$C,Дивиденды!$A:$A,A53,Дивиденды!$I:$I,C53)</f>
        <v>0</v>
      </c>
      <c r="E53">
        <v>1</v>
      </c>
      <c r="F53">
        <f t="shared" si="1"/>
        <v>0</v>
      </c>
      <c r="G53">
        <f t="shared" si="2"/>
        <v>249.0083333333333</v>
      </c>
      <c r="H53">
        <f t="shared" si="3"/>
        <v>0</v>
      </c>
      <c r="I53">
        <f t="shared" si="4"/>
        <v>1</v>
      </c>
      <c r="J53">
        <f t="shared" si="5"/>
        <v>0</v>
      </c>
      <c r="K53">
        <f t="shared" si="10"/>
        <v>0.76618671052118481</v>
      </c>
      <c r="L53">
        <f t="shared" si="6"/>
        <v>0</v>
      </c>
      <c r="M53">
        <f t="shared" si="7"/>
        <v>0.66666666666666663</v>
      </c>
      <c r="N53">
        <f t="shared" si="8"/>
        <v>0</v>
      </c>
      <c r="O53">
        <f t="shared" si="9"/>
        <v>0.16666666666666666</v>
      </c>
      <c r="P53">
        <f>IFERROR(LN('Дивиденды по годам'!I53),"")</f>
        <v>26.366654079911001</v>
      </c>
      <c r="Q53">
        <f>IFERROR('Дивиденды по годам'!G53/'Дивиденды по годам'!I53, "")</f>
        <v>0.54460763832333636</v>
      </c>
      <c r="R53">
        <f>IFERROR(IF(AND('Дивиденды по годам'!N53&lt;&gt;"",'Дивиденды по годам'!U53&lt;&gt;"",'Дивиденды по годам'!U53&lt;&gt;0),'Дивиденды по годам'!N53/'Дивиденды по годам'!U53-1,""),"")</f>
        <v>7.9782159178233725E-2</v>
      </c>
      <c r="S53">
        <f>IFERROR(IF(AND('Дивиденды по годам'!L53&lt;&gt;"",'Дивиденды по годам'!I53&lt;&gt;"",'Дивиденды по годам'!J53&lt;&gt;"",'Дивиденды по годам'!K53&lt;&gt;"",('Дивиденды по годам'!I53-'Дивиденды по годам'!J53-'Дивиденды по годам'!K53)&lt;&gt;0),'Дивиденды по годам'!L53/('Дивиденды по годам'!I53-'Дивиденды по годам'!J53-'Дивиденды по годам'!K53),""),"")</f>
        <v>0.4676566987306095</v>
      </c>
      <c r="T53">
        <f>IFERROR(IF(AND('Дивиденды по годам'!Q53&lt;&gt;"",'Дивиденды по годам'!I53&lt;&gt;"",'Дивиденды по годам'!V53&lt;&gt;"",('Дивиденды по годам'!I53+'Дивиденды по годам'!V53)&lt;&gt;0),'Дивиденды по годам'!Q53/(('Дивиденды по годам'!I53+'Дивиденды по годам'!V53)/2),""),"")</f>
        <v>7.073233272331951E-2</v>
      </c>
      <c r="U53">
        <f>IFERROR(IF(AND('Дивиденды по годам'!J53&lt;&gt;"",'Дивиденды по годам'!K53&lt;&gt;"",'Дивиденды по годам'!M53&lt;&gt;"",'Дивиденды по годам'!M53&lt;&gt;0),('Дивиденды по годам'!J53+'Дивиденды по годам'!K53)/'Дивиденды по годам'!M53,""),"")</f>
        <v>2.0151280600424908</v>
      </c>
      <c r="V53">
        <f>IFERROR(IF(AND('Дивиденды по годам'!J53&lt;&gt;"",'Дивиденды по годам'!K53&lt;&gt;"",'Дивиденды по годам'!M53&lt;&gt;"",'Дивиденды по годам'!I53&lt;&gt;0),('Дивиденды по годам'!J53+'Дивиденды по годам'!K53)/'Дивиденды по годам'!I53,""),"")</f>
        <v>0.66833912852580213</v>
      </c>
      <c r="W53">
        <f>IFERROR('Дивиденды по годам'!I53,"")</f>
        <v>282418000000</v>
      </c>
      <c r="X53" cm="1">
        <f t="array" ref="X53">IFERROR(AVERAGE(_xlfn._xlws.FILTER(P$2:P$1073,($C$2:$C$1073=$C53)*($E$2:$E$1073=$E53)*(ROW(P$2:P$1073)&lt;&gt;ROW(P53))*(P$2:P$1073&lt;&gt;""))),"")</f>
        <v>29.514159382384026</v>
      </c>
      <c r="Y53" cm="1">
        <f t="array" ref="Y53">IFERROR(AVERAGE(_xlfn._xlws.FILTER(Q$2:Q$1073,($C$2:$C$1073=$C53)*($E$2:$E$1073=$E53)*(ROW(Q$2:Q$1073)&lt;&gt;ROW(Q53))*(Q$2:Q$1073&lt;&gt;""))),"")</f>
        <v>0.50018222362425424</v>
      </c>
      <c r="Z53" cm="1">
        <f t="array" ref="Z53">IFERROR(AVERAGE(_xlfn._xlws.FILTER(R$2:R$1073,($C$2:$C$1073=$C53)*($E$2:$E$1073=$E53)*(ROW(R$2:R$1073)&lt;&gt;ROW(R53))*(R$2:R$1073&lt;&gt;""))),"")</f>
        <v>0.13386210838864654</v>
      </c>
      <c r="AA53" cm="1">
        <f t="array" ref="AA53">IFERROR(AVERAGE(_xlfn._xlws.FILTER(S$2:S$1073,($C$2:$C$1073=$C53)*($E$2:$E$1073=$E53)*(ROW(S$2:S$1073)&lt;&gt;ROW(S53))*(S$2:S$1073&lt;&gt;""))),"")</f>
        <v>0.93242467303041643</v>
      </c>
      <c r="AB53" cm="1">
        <f t="array" ref="AB53">IFERROR(AVERAGE(_xlfn._xlws.FILTER(T$2:T$1073,($C$2:$C$1073=$C53)*($E$2:$E$1073=$E53)*(ROW(T$2:T$1073)&lt;&gt;ROW(T53))*(T$2:T$1073&lt;&gt;""))),"")</f>
        <v>0.11882152161576225</v>
      </c>
      <c r="AC53" cm="1">
        <f t="array" ref="AC53">IFERROR(AVERAGE(_xlfn._xlws.FILTER(U$2:U$1073,($C$2:$C$1073=$C53)*($E$2:$E$1073=$E53)*(ROW(U$2:U$1073)&lt;&gt;ROW(U53))*(U$2:U$1073&lt;&gt;""))),"")</f>
        <v>0.40830096058785115</v>
      </c>
      <c r="AD53" cm="1">
        <f t="array" ref="AD53">IFERROR(AVERAGE(_xlfn._xlws.FILTER(V$2:V$1073,($C$2:$C$1073=$C53)*($E$2:$E$1073=$E53)*(ROW(V$2:V$1073)&lt;&gt;ROW(V53))*(V$2:V$1073&lt;&gt;""))),"")</f>
        <v>0.27256689009892038</v>
      </c>
      <c r="AE53">
        <f>IF('Дивиденды по годам'!M53&lt;0,1,0)</f>
        <v>0</v>
      </c>
    </row>
    <row r="54" spans="1:31" x14ac:dyDescent="0.2">
      <c r="A54" s="7" t="s">
        <v>2314</v>
      </c>
      <c r="B54" t="str">
        <f t="shared" si="0"/>
        <v>RNFT IV кв. 2021</v>
      </c>
      <c r="C54">
        <v>2021</v>
      </c>
      <c r="D54">
        <f>SUMIFS(Дивиденды!$C:$C,Дивиденды!$A:$A,A54,Дивиденды!$I:$I,C54)</f>
        <v>0</v>
      </c>
      <c r="E54">
        <v>1</v>
      </c>
      <c r="F54">
        <f t="shared" si="1"/>
        <v>0</v>
      </c>
      <c r="G54">
        <f t="shared" si="2"/>
        <v>82.756666666666675</v>
      </c>
      <c r="H54">
        <f t="shared" si="3"/>
        <v>0</v>
      </c>
      <c r="I54">
        <f t="shared" si="4"/>
        <v>0.83333333333333337</v>
      </c>
      <c r="J54">
        <f t="shared" si="5"/>
        <v>0</v>
      </c>
      <c r="K54">
        <f t="shared" si="10"/>
        <v>1.0641242270283044</v>
      </c>
      <c r="L54">
        <f t="shared" si="6"/>
        <v>0</v>
      </c>
      <c r="M54">
        <f t="shared" si="7"/>
        <v>0.83333333333333337</v>
      </c>
      <c r="N54">
        <f t="shared" si="8"/>
        <v>0</v>
      </c>
      <c r="O54">
        <f t="shared" si="9"/>
        <v>0.16666666666666666</v>
      </c>
      <c r="P54">
        <f>IFERROR(LN('Дивиденды по годам'!I54),"")</f>
        <v>26.382636548231801</v>
      </c>
      <c r="Q54">
        <f>IFERROR('Дивиденды по годам'!G54/'Дивиденды по годам'!I54, "")</f>
        <v>0.52556382593181117</v>
      </c>
      <c r="R54">
        <f>IFERROR(IF(AND('Дивиденды по годам'!N54&lt;&gt;"",'Дивиденды по годам'!U54&lt;&gt;"",'Дивиденды по годам'!U54&lt;&gt;0),'Дивиденды по годам'!N54/'Дивиденды по годам'!U54-1,""),"")</f>
        <v>1.0223655365025976</v>
      </c>
      <c r="S54">
        <f>IFERROR(IF(AND('Дивиденды по годам'!L54&lt;&gt;"",'Дивиденды по годам'!I54&lt;&gt;"",'Дивиденды по годам'!J54&lt;&gt;"",'Дивиденды по годам'!K54&lt;&gt;"",('Дивиденды по годам'!I54-'Дивиденды по годам'!J54-'Дивиденды по годам'!K54)&lt;&gt;0),'Дивиденды по годам'!L54/('Дивиденды по годам'!I54-'Дивиденды по годам'!J54-'Дивиденды по годам'!K54),""),"")</f>
        <v>0.36180469396195203</v>
      </c>
      <c r="T54">
        <f>IFERROR(IF(AND('Дивиденды по годам'!Q54&lt;&gt;"",'Дивиденды по годам'!I54&lt;&gt;"",'Дивиденды по годам'!V54&lt;&gt;"",('Дивиденды по годам'!I54+'Дивиденды по годам'!V54)&lt;&gt;0),'Дивиденды по годам'!Q54/(('Дивиденды по годам'!I54+'Дивиденды по годам'!V54)/2),""),"")</f>
        <v>0.116603795732602</v>
      </c>
      <c r="U54">
        <f>IFERROR(IF(AND('Дивиденды по годам'!J54&lt;&gt;"",'Дивиденды по годам'!K54&lt;&gt;"",'Дивиденды по годам'!M54&lt;&gt;"",'Дивиденды по годам'!M54&lt;&gt;0),('Дивиденды по годам'!J54+'Дивиденды по годам'!K54)/'Дивиденды по годам'!M54,""),"")</f>
        <v>2.7087468982630272</v>
      </c>
      <c r="V54">
        <f>IFERROR(IF(AND('Дивиденды по годам'!J54&lt;&gt;"",'Дивиденды по годам'!K54&lt;&gt;"",'Дивиденды по годам'!M54&lt;&gt;"",'Дивиденды по годам'!I54&lt;&gt;0),('Дивиденды по годам'!J54+'Дивиденды по годам'!K54)/'Дивиденды по годам'!I54,""),"")</f>
        <v>0.73036714895040566</v>
      </c>
      <c r="W54">
        <f>IFERROR('Дивиденды по годам'!I54,"")</f>
        <v>286968000000</v>
      </c>
      <c r="X54" cm="1">
        <f t="array" ref="X54">IFERROR(AVERAGE(_xlfn._xlws.FILTER(P$2:P$1073,($C$2:$C$1073=$C54)*($E$2:$E$1073=$E54)*(ROW(P$2:P$1073)&lt;&gt;ROW(P54))*(P$2:P$1073&lt;&gt;""))),"")</f>
        <v>29.497208364375741</v>
      </c>
      <c r="Y54" cm="1">
        <f t="array" ref="Y54">IFERROR(AVERAGE(_xlfn._xlws.FILTER(Q$2:Q$1073,($C$2:$C$1073=$C54)*($E$2:$E$1073=$E54)*(ROW(Q$2:Q$1073)&lt;&gt;ROW(Q54))*(Q$2:Q$1073&lt;&gt;""))),"")</f>
        <v>0.5641025281213875</v>
      </c>
      <c r="Z54" cm="1">
        <f t="array" ref="Z54">IFERROR(AVERAGE(_xlfn._xlws.FILTER(R$2:R$1073,($C$2:$C$1073=$C54)*($E$2:$E$1073=$E54)*(ROW(R$2:R$1073)&lt;&gt;ROW(R54))*(R$2:R$1073&lt;&gt;""))),"")</f>
        <v>0.63916105052253425</v>
      </c>
      <c r="AA54" cm="1">
        <f t="array" ref="AA54">IFERROR(AVERAGE(_xlfn._xlws.FILTER(S$2:S$1073,($C$2:$C$1073=$C54)*($E$2:$E$1073=$E54)*(ROW(S$2:S$1073)&lt;&gt;ROW(S54))*(S$2:S$1073&lt;&gt;""))),"")</f>
        <v>0.89442516960757001</v>
      </c>
      <c r="AB54" cm="1">
        <f t="array" ref="AB54">IFERROR(AVERAGE(_xlfn._xlws.FILTER(T$2:T$1073,($C$2:$C$1073=$C54)*($E$2:$E$1073=$E54)*(ROW(T$2:T$1073)&lt;&gt;ROW(T54))*(T$2:T$1073&lt;&gt;""))),"")</f>
        <v>0.1227499045290182</v>
      </c>
      <c r="AC54" cm="1">
        <f t="array" ref="AC54">IFERROR(AVERAGE(_xlfn._xlws.FILTER(U$2:U$1073,($C$2:$C$1073=$C54)*($E$2:$E$1073=$E54)*(ROW(U$2:U$1073)&lt;&gt;ROW(U54))*(U$2:U$1073&lt;&gt;""))),"")</f>
        <v>0.70712523636448843</v>
      </c>
      <c r="AD54" cm="1">
        <f t="array" ref="AD54">IFERROR(AVERAGE(_xlfn._xlws.FILTER(V$2:V$1073,($C$2:$C$1073=$C54)*($E$2:$E$1073=$E54)*(ROW(V$2:V$1073)&lt;&gt;ROW(V54))*(V$2:V$1073&lt;&gt;""))),"")</f>
        <v>0.38349708409291916</v>
      </c>
      <c r="AE54">
        <f>IF('Дивиденды по годам'!M54&lt;0,1,0)</f>
        <v>0</v>
      </c>
    </row>
    <row r="55" spans="1:31" x14ac:dyDescent="0.2">
      <c r="A55" s="7" t="s">
        <v>2314</v>
      </c>
      <c r="B55" t="str">
        <f t="shared" si="0"/>
        <v>RNFT IV кв. 2020</v>
      </c>
      <c r="C55">
        <v>2020</v>
      </c>
      <c r="D55">
        <f>SUMIFS(Дивиденды!$C:$C,Дивиденды!$A:$A,A55,Дивиденды!$I:$I,C55)</f>
        <v>0</v>
      </c>
      <c r="E55">
        <v>1</v>
      </c>
      <c r="F55">
        <f t="shared" si="1"/>
        <v>0</v>
      </c>
      <c r="G55">
        <f t="shared" si="2"/>
        <v>56.164999999999999</v>
      </c>
      <c r="H55">
        <f t="shared" si="3"/>
        <v>0</v>
      </c>
      <c r="I55">
        <f t="shared" si="4"/>
        <v>1</v>
      </c>
      <c r="J55">
        <f t="shared" si="5"/>
        <v>0</v>
      </c>
      <c r="K55">
        <f t="shared" si="10"/>
        <v>-0.32818837231601233</v>
      </c>
      <c r="L55">
        <f t="shared" si="6"/>
        <v>0</v>
      </c>
      <c r="M55">
        <f t="shared" si="7"/>
        <v>0.33333333333333331</v>
      </c>
      <c r="N55">
        <f t="shared" si="8"/>
        <v>0</v>
      </c>
      <c r="O55">
        <f t="shared" si="9"/>
        <v>0.66666666666666663</v>
      </c>
      <c r="P55">
        <f>IFERROR(LN('Дивиденды по годам'!I55),"")</f>
        <v>26.341109086924956</v>
      </c>
      <c r="Q55">
        <f>IFERROR('Дивиденды по годам'!G55/'Дивиденды по годам'!I55, "")</f>
        <v>0.5310339817286911</v>
      </c>
      <c r="R55">
        <f>IFERROR(IF(AND('Дивиденды по годам'!N55&lt;&gt;"",'Дивиденды по годам'!U55&lt;&gt;"",'Дивиденды по годам'!U55&lt;&gt;0),'Дивиденды по годам'!N55/'Дивиденды по годам'!U55-1,""),"")</f>
        <v>-0.28820533648270963</v>
      </c>
      <c r="S55">
        <f>IFERROR(IF(AND('Дивиденды по годам'!L55&lt;&gt;"",'Дивиденды по годам'!I55&lt;&gt;"",'Дивиденды по годам'!J55&lt;&gt;"",'Дивиденды по годам'!K55&lt;&gt;"",('Дивиденды по годам'!I55-'Дивиденды по годам'!J55-'Дивиденды по годам'!K55)&lt;&gt;0),'Дивиденды по годам'!L55/('Дивиденды по годам'!I55-'Дивиденды по годам'!J55-'Дивиденды по годам'!K55),""),"")</f>
        <v>3.2651062179866536E-4</v>
      </c>
      <c r="T55">
        <f>IFERROR(IF(AND('Дивиденды по годам'!Q55&lt;&gt;"",'Дивиденды по годам'!I55&lt;&gt;"",'Дивиденды по годам'!V55&lt;&gt;"",('Дивиденды по годам'!I55+'Дивиденды по годам'!V55)&lt;&gt;0),'Дивиденды по годам'!Q55/(('Дивиденды по годам'!I55+'Дивиденды по годам'!V55)/2),""),"")</f>
        <v>-7.6679386564907484E-2</v>
      </c>
      <c r="U55">
        <f>IFERROR(IF(AND('Дивиденды по годам'!J55&lt;&gt;"",'Дивиденды по годам'!K55&lt;&gt;"",'Дивиденды по годам'!M55&lt;&gt;"",'Дивиденды по годам'!M55&lt;&gt;0),('Дивиденды по годам'!J55+'Дивиденды по годам'!K55)/'Дивиденды по годам'!M55,""),"")</f>
        <v>4.6179213517539743</v>
      </c>
      <c r="V55">
        <f>IFERROR(IF(AND('Дивиденды по годам'!J55&lt;&gt;"",'Дивиденды по годам'!K55&lt;&gt;"",'Дивиденды по годам'!M55&lt;&gt;"",'Дивиденды по годам'!I55&lt;&gt;0),('Дивиденды по годам'!J55+'Дивиденды по годам'!K55)/'Дивиденды по годам'!I55,""),"")</f>
        <v>0.82199822009117496</v>
      </c>
      <c r="W55">
        <f>IFERROR('Дивиденды по годам'!I55,"")</f>
        <v>275295000000</v>
      </c>
      <c r="X55" cm="1">
        <f t="array" ref="X55">IFERROR(AVERAGE(_xlfn._xlws.FILTER(P$2:P$1073,($C$2:$C$1073=$C55)*($E$2:$E$1073=$E55)*(ROW(P$2:P$1073)&lt;&gt;ROW(P55))*(P$2:P$1073&lt;&gt;""))),"")</f>
        <v>29.36420942053886</v>
      </c>
      <c r="Y55" cm="1">
        <f t="array" ref="Y55">IFERROR(AVERAGE(_xlfn._xlws.FILTER(Q$2:Q$1073,($C$2:$C$1073=$C55)*($E$2:$E$1073=$E55)*(ROW(Q$2:Q$1073)&lt;&gt;ROW(Q55))*(Q$2:Q$1073&lt;&gt;""))),"")</f>
        <v>0.56354549269874143</v>
      </c>
      <c r="Z55" cm="1">
        <f t="array" ref="Z55">IFERROR(AVERAGE(_xlfn._xlws.FILTER(R$2:R$1073,($C$2:$C$1073=$C55)*($E$2:$E$1073=$E55)*(ROW(R$2:R$1073)&lt;&gt;ROW(R55))*(R$2:R$1073&lt;&gt;""))),"")</f>
        <v>-0.25157558387477102</v>
      </c>
      <c r="AA55" cm="1">
        <f t="array" ref="AA55">IFERROR(AVERAGE(_xlfn._xlws.FILTER(S$2:S$1073,($C$2:$C$1073=$C55)*($E$2:$E$1073=$E55)*(ROW(S$2:S$1073)&lt;&gt;ROW(S55))*(S$2:S$1073&lt;&gt;""))),"")</f>
        <v>0.90259799236800697</v>
      </c>
      <c r="AB55" cm="1">
        <f t="array" ref="AB55">IFERROR(AVERAGE(_xlfn._xlws.FILTER(T$2:T$1073,($C$2:$C$1073=$C55)*($E$2:$E$1073=$E55)*(ROW(T$2:T$1073)&lt;&gt;ROW(T55))*(T$2:T$1073&lt;&gt;""))),"")</f>
        <v>4.6113424313253881E-2</v>
      </c>
      <c r="AC55" cm="1">
        <f t="array" ref="AC55">IFERROR(AVERAGE(_xlfn._xlws.FILTER(U$2:U$1073,($C$2:$C$1073=$C55)*($E$2:$E$1073=$E55)*(ROW(U$2:U$1073)&lt;&gt;ROW(U55))*(U$2:U$1073&lt;&gt;""))),"")</f>
        <v>0.62334371941748568</v>
      </c>
      <c r="AD55" cm="1">
        <f t="array" ref="AD55">IFERROR(AVERAGE(_xlfn._xlws.FILTER(V$2:V$1073,($C$2:$C$1073=$C55)*($E$2:$E$1073=$E55)*(ROW(V$2:V$1073)&lt;&gt;ROW(V55))*(V$2:V$1073&lt;&gt;""))),"")</f>
        <v>0.33116770080441921</v>
      </c>
      <c r="AE55">
        <f>IF('Дивиденды по годам'!M55&lt;0,1,0)</f>
        <v>0</v>
      </c>
    </row>
    <row r="56" spans="1:31" x14ac:dyDescent="0.2">
      <c r="A56" s="7" t="s">
        <v>2314</v>
      </c>
      <c r="B56" t="str">
        <f t="shared" si="0"/>
        <v>RNFT IV кв. 2019</v>
      </c>
      <c r="C56">
        <v>2019</v>
      </c>
      <c r="D56">
        <f>SUMIFS(Дивиденды!$C:$C,Дивиденды!$A:$A,A56,Дивиденды!$I:$I,C56)</f>
        <v>0</v>
      </c>
      <c r="E56">
        <v>1</v>
      </c>
      <c r="F56">
        <f t="shared" si="1"/>
        <v>0</v>
      </c>
      <c r="G56">
        <f t="shared" si="2"/>
        <v>114.68333333333334</v>
      </c>
      <c r="H56">
        <f t="shared" si="3"/>
        <v>0</v>
      </c>
      <c r="I56">
        <f t="shared" si="4"/>
        <v>1</v>
      </c>
      <c r="J56">
        <f t="shared" si="5"/>
        <v>0</v>
      </c>
      <c r="K56">
        <f t="shared" si="10"/>
        <v>0.22914270644381821</v>
      </c>
      <c r="L56">
        <f t="shared" si="6"/>
        <v>0</v>
      </c>
      <c r="M56">
        <f t="shared" si="7"/>
        <v>0.5</v>
      </c>
      <c r="N56">
        <f t="shared" si="8"/>
        <v>0</v>
      </c>
      <c r="O56">
        <f t="shared" si="9"/>
        <v>0.33333333333333331</v>
      </c>
      <c r="P56">
        <f>IFERROR(LN('Дивиденды по годам'!I56),"")</f>
        <v>26.359001421105948</v>
      </c>
      <c r="Q56">
        <f>IFERROR('Дивиденды по годам'!G56/'Дивиденды по годам'!I56, "")</f>
        <v>0.53852960590869359</v>
      </c>
      <c r="R56">
        <f>IFERROR(IF(AND('Дивиденды по годам'!N56&lt;&gt;"",'Дивиденды по годам'!U56&lt;&gt;"",'Дивиденды по годам'!U56&lt;&gt;0),'Дивиденды по годам'!N56/'Дивиденды по годам'!U56-1,""),"")</f>
        <v>5.2445979235329121E-2</v>
      </c>
      <c r="S56">
        <f>IFERROR(IF(AND('Дивиденды по годам'!L56&lt;&gt;"",'Дивиденды по годам'!I56&lt;&gt;"",'Дивиденды по годам'!J56&lt;&gt;"",'Дивиденды по годам'!K56&lt;&gt;"",('Дивиденды по годам'!I56-'Дивиденды по годам'!J56-'Дивиденды по годам'!K56)&lt;&gt;0),'Дивиденды по годам'!L56/('Дивиденды по годам'!I56-'Дивиденды по годам'!J56-'Дивиденды по годам'!K56),""),"")</f>
        <v>0.28303882772401362</v>
      </c>
      <c r="T56">
        <f>IFERROR(IF(AND('Дивиденды по годам'!Q56&lt;&gt;"",'Дивиденды по годам'!I56&lt;&gt;"",'Дивиденды по годам'!V56&lt;&gt;"",('Дивиденды по годам'!I56+'Дивиденды по годам'!V56)&lt;&gt;0),'Дивиденды по годам'!Q56/(('Дивиденды по годам'!I56+'Дивиденды по годам'!V56)/2),""),"")</f>
        <v>8.195562455818628E-2</v>
      </c>
      <c r="U56">
        <f>IFERROR(IF(AND('Дивиденды по годам'!J56&lt;&gt;"",'Дивиденды по годам'!K56&lt;&gt;"",'Дивиденды по годам'!M56&lt;&gt;"",'Дивиденды по годам'!M56&lt;&gt;0),('Дивиденды по годам'!J56+'Дивиденды по годам'!K56)/'Дивиденды по годам'!M56,""),"")</f>
        <v>2.6602933301989053</v>
      </c>
      <c r="V56">
        <f>IFERROR(IF(AND('Дивиденды по годам'!J56&lt;&gt;"",'Дивиденды по годам'!K56&lt;&gt;"",'Дивиденды по годам'!M56&lt;&gt;"",'Дивиденды по годам'!I56&lt;&gt;0),('Дивиденды по годам'!J56+'Дивиденды по годам'!K56)/'Дивиденды по годам'!I56,""),"")</f>
        <v>0.72679785203289748</v>
      </c>
      <c r="W56">
        <f>IFERROR('Дивиденды по годам'!I56,"")</f>
        <v>280265000000</v>
      </c>
      <c r="X56" cm="1">
        <f t="array" ref="X56">IFERROR(AVERAGE(_xlfn._xlws.FILTER(P$2:P$1073,($C$2:$C$1073=$C56)*($E$2:$E$1073=$E56)*(ROW(P$2:P$1073)&lt;&gt;ROW(P56))*(P$2:P$1073&lt;&gt;""))),"")</f>
        <v>29.298500396397998</v>
      </c>
      <c r="Y56" cm="1">
        <f t="array" ref="Y56">IFERROR(AVERAGE(_xlfn._xlws.FILTER(Q$2:Q$1073,($C$2:$C$1073=$C56)*($E$2:$E$1073=$E56)*(ROW(Q$2:Q$1073)&lt;&gt;ROW(Q56))*(Q$2:Q$1073&lt;&gt;""))),"")</f>
        <v>0.53802854717667281</v>
      </c>
      <c r="Z56" cm="1">
        <f t="array" ref="Z56">IFERROR(AVERAGE(_xlfn._xlws.FILTER(R$2:R$1073,($C$2:$C$1073=$C56)*($E$2:$E$1073=$E56)*(ROW(R$2:R$1073)&lt;&gt;ROW(R56))*(R$2:R$1073&lt;&gt;""))),"")</f>
        <v>5.1854518385725523E-3</v>
      </c>
      <c r="AA56" cm="1">
        <f t="array" ref="AA56">IFERROR(AVERAGE(_xlfn._xlws.FILTER(S$2:S$1073,($C$2:$C$1073=$C56)*($E$2:$E$1073=$E56)*(ROW(S$2:S$1073)&lt;&gt;ROW(S56))*(S$2:S$1073&lt;&gt;""))),"")</f>
        <v>0.93039366219328212</v>
      </c>
      <c r="AB56" cm="1">
        <f t="array" ref="AB56">IFERROR(AVERAGE(_xlfn._xlws.FILTER(T$2:T$1073,($C$2:$C$1073=$C56)*($E$2:$E$1073=$E56)*(ROW(T$2:T$1073)&lt;&gt;ROW(T56))*(T$2:T$1073&lt;&gt;""))),"")</f>
        <v>0.15945557844356531</v>
      </c>
      <c r="AC56" cm="1">
        <f t="array" ref="AC56">IFERROR(AVERAGE(_xlfn._xlws.FILTER(U$2:U$1073,($C$2:$C$1073=$C56)*($E$2:$E$1073=$E56)*(ROW(U$2:U$1073)&lt;&gt;ROW(U56))*(U$2:U$1073&lt;&gt;""))),"")</f>
        <v>0.59094901707343694</v>
      </c>
      <c r="AD56" cm="1">
        <f t="array" ref="AD56">IFERROR(AVERAGE(_xlfn._xlws.FILTER(V$2:V$1073,($C$2:$C$1073=$C56)*($E$2:$E$1073=$E56)*(ROW(V$2:V$1073)&lt;&gt;ROW(V56))*(V$2:V$1073&lt;&gt;""))),"")</f>
        <v>0.33100815274474854</v>
      </c>
      <c r="AE56">
        <f>IF('Дивиденды по годам'!M56&lt;0,1,0)</f>
        <v>0</v>
      </c>
    </row>
    <row r="57" spans="1:31" x14ac:dyDescent="0.2">
      <c r="A57" s="7" t="s">
        <v>2314</v>
      </c>
      <c r="B57" t="str">
        <f t="shared" si="0"/>
        <v>RNFT IV кв. 2018</v>
      </c>
      <c r="C57">
        <v>2018</v>
      </c>
      <c r="D57">
        <f>SUMIFS(Дивиденды!$C:$C,Дивиденды!$A:$A,A57,Дивиденды!$I:$I,C57)</f>
        <v>0</v>
      </c>
      <c r="E57">
        <v>1</v>
      </c>
      <c r="F57">
        <f t="shared" si="1"/>
        <v>0</v>
      </c>
      <c r="G57">
        <f t="shared" si="2"/>
        <v>67.356666666666669</v>
      </c>
      <c r="H57">
        <f t="shared" si="3"/>
        <v>0</v>
      </c>
      <c r="I57">
        <f t="shared" si="4"/>
        <v>1</v>
      </c>
      <c r="J57">
        <f t="shared" si="5"/>
        <v>0</v>
      </c>
      <c r="K57">
        <f t="shared" si="10"/>
        <v>0.76168701017179208</v>
      </c>
      <c r="L57">
        <f t="shared" si="6"/>
        <v>0</v>
      </c>
      <c r="M57">
        <f t="shared" si="7"/>
        <v>0.83333333333333337</v>
      </c>
      <c r="N57">
        <f t="shared" si="8"/>
        <v>0</v>
      </c>
      <c r="O57">
        <f t="shared" si="9"/>
        <v>0</v>
      </c>
      <c r="P57">
        <f>IFERROR(LN('Дивиденды по годам'!I57),"")</f>
        <v>26.256845030998896</v>
      </c>
      <c r="Q57">
        <f>IFERROR('Дивиденды по годам'!G57/'Дивиденды по годам'!I57, "")</f>
        <v>0.53533321741329709</v>
      </c>
      <c r="R57">
        <f>IFERROR(IF(AND('Дивиденды по годам'!N57&lt;&gt;"",'Дивиденды по годам'!U57&lt;&gt;"",'Дивиденды по годам'!U57&lt;&gt;0),'Дивиденды по годам'!N57/'Дивиденды по годам'!U57-1,""),"")</f>
        <v>0.37625103527280901</v>
      </c>
      <c r="S57">
        <f>IFERROR(IF(AND('Дивиденды по годам'!L57&lt;&gt;"",'Дивиденды по годам'!I57&lt;&gt;"",'Дивиденды по годам'!J57&lt;&gt;"",'Дивиденды по годам'!K57&lt;&gt;"",('Дивиденды по годам'!I57-'Дивиденды по годам'!J57-'Дивиденды по годам'!K57)&lt;&gt;0),'Дивиденды по годам'!L57/('Дивиденды по годам'!I57-'Дивиденды по годам'!J57-'Дивиденды по годам'!K57),""),"")</f>
        <v>6.4161790370598497E-4</v>
      </c>
      <c r="T57">
        <f>IFERROR(IF(AND('Дивиденды по годам'!Q57&lt;&gt;"",'Дивиденды по годам'!I57&lt;&gt;"",'Дивиденды по годам'!V57&lt;&gt;"",('Дивиденды по годам'!I57+'Дивиденды по годам'!V57)&lt;&gt;0),'Дивиденды по годам'!Q57/(('Дивиденды по годам'!I57+'Дивиденды по годам'!V57)/2),""),"")</f>
        <v>6.1799950218682217E-2</v>
      </c>
      <c r="U57">
        <f>IFERROR(IF(AND('Дивиденды по годам'!J57&lt;&gt;"",'Дивиденды по годам'!K57&lt;&gt;"",'Дивиденды по годам'!M57&lt;&gt;"",'Дивиденды по годам'!M57&lt;&gt;0),('Дивиденды по годам'!J57+'Дивиденды по годам'!K57)/'Дивиденды по годам'!M57,""),"")</f>
        <v>2.2472025459398419</v>
      </c>
      <c r="V57">
        <f>IFERROR(IF(AND('Дивиденды по годам'!J57&lt;&gt;"",'Дивиденды по годам'!K57&lt;&gt;"",'Дивиденды по годам'!M57&lt;&gt;"",'Дивиденды по годам'!I57&lt;&gt;0),('Дивиденды по годам'!J57+'Дивиденды по годам'!K57)/'Дивиденды по годам'!I57,""),"")</f>
        <v>0.69204261642060005</v>
      </c>
      <c r="W57">
        <f>IFERROR('Дивиденды по годам'!I57,"")</f>
        <v>253048000000</v>
      </c>
      <c r="X57" cm="1">
        <f t="array" ref="X57">IFERROR(AVERAGE(_xlfn._xlws.FILTER(P$2:P$1073,($C$2:$C$1073=$C57)*($E$2:$E$1073=$E57)*(ROW(P$2:P$1073)&lt;&gt;ROW(P57))*(P$2:P$1073&lt;&gt;""))),"")</f>
        <v>29.193436949089261</v>
      </c>
      <c r="Y57" cm="1">
        <f t="array" ref="Y57">IFERROR(AVERAGE(_xlfn._xlws.FILTER(Q$2:Q$1073,($C$2:$C$1073=$C57)*($E$2:$E$1073=$E57)*(ROW(Q$2:Q$1073)&lt;&gt;ROW(Q57))*(Q$2:Q$1073&lt;&gt;""))),"")</f>
        <v>0.52994573569410963</v>
      </c>
      <c r="Z57" cm="1">
        <f t="array" ref="Z57">IFERROR(AVERAGE(_xlfn._xlws.FILTER(R$2:R$1073,($C$2:$C$1073=$C57)*($E$2:$E$1073=$E57)*(ROW(R$2:R$1073)&lt;&gt;ROW(R57))*(R$2:R$1073&lt;&gt;""))),"")</f>
        <v>0.34448493041751105</v>
      </c>
      <c r="AA57" cm="1">
        <f t="array" ref="AA57">IFERROR(AVERAGE(_xlfn._xlws.FILTER(S$2:S$1073,($C$2:$C$1073=$C57)*($E$2:$E$1073=$E57)*(ROW(S$2:S$1073)&lt;&gt;ROW(S57))*(S$2:S$1073&lt;&gt;""))),"")</f>
        <v>0.91447584391187542</v>
      </c>
      <c r="AB57" cm="1">
        <f t="array" ref="AB57">IFERROR(AVERAGE(_xlfn._xlws.FILTER(T$2:T$1073,($C$2:$C$1073=$C57)*($E$2:$E$1073=$E57)*(ROW(T$2:T$1073)&lt;&gt;ROW(T57))*(T$2:T$1073&lt;&gt;""))),"")</f>
        <v>0.12821819980969393</v>
      </c>
      <c r="AC57" cm="1">
        <f t="array" ref="AC57">IFERROR(AVERAGE(_xlfn._xlws.FILTER(U$2:U$1073,($C$2:$C$1073=$C57)*($E$2:$E$1073=$E57)*(ROW(U$2:U$1073)&lt;&gt;ROW(U57))*(U$2:U$1073&lt;&gt;""))),"")</f>
        <v>0.6351638245312563</v>
      </c>
      <c r="AD57" cm="1">
        <f t="array" ref="AD57">IFERROR(AVERAGE(_xlfn._xlws.FILTER(V$2:V$1073,($C$2:$C$1073=$C57)*($E$2:$E$1073=$E57)*(ROW(V$2:V$1073)&lt;&gt;ROW(V57))*(V$2:V$1073&lt;&gt;""))),"")</f>
        <v>0.33911914413699962</v>
      </c>
      <c r="AE57">
        <f>IF('Дивиденды по годам'!M57&lt;0,1,0)</f>
        <v>0</v>
      </c>
    </row>
    <row r="58" spans="1:31" x14ac:dyDescent="0.2">
      <c r="A58" s="7" t="s">
        <v>2314</v>
      </c>
      <c r="B58" t="str">
        <f t="shared" si="0"/>
        <v>RNFT IV кв. 2017</v>
      </c>
      <c r="C58">
        <v>2017</v>
      </c>
      <c r="D58">
        <f>SUMIFS(Дивиденды!$C:$C,Дивиденды!$A:$A,A58,Дивиденды!$I:$I,C58)</f>
        <v>0</v>
      </c>
      <c r="E58">
        <v>1</v>
      </c>
      <c r="F58">
        <f t="shared" si="1"/>
        <v>0</v>
      </c>
      <c r="G58">
        <f t="shared" si="2"/>
        <v>48.176666666666655</v>
      </c>
      <c r="H58">
        <f t="shared" si="3"/>
        <v>0</v>
      </c>
      <c r="I58">
        <f t="shared" si="4"/>
        <v>1</v>
      </c>
      <c r="J58">
        <f t="shared" si="5"/>
        <v>0</v>
      </c>
      <c r="K58">
        <f t="shared" si="10"/>
        <v>0.29415529581938399</v>
      </c>
      <c r="L58">
        <f t="shared" si="6"/>
        <v>0</v>
      </c>
      <c r="M58">
        <f t="shared" si="7"/>
        <v>0.83333333333333337</v>
      </c>
      <c r="N58">
        <f t="shared" si="8"/>
        <v>0</v>
      </c>
      <c r="O58">
        <f t="shared" si="9"/>
        <v>0</v>
      </c>
      <c r="P58">
        <f>IFERROR(LN('Дивиденды по годам'!I58),"")</f>
        <v>26.139557332002539</v>
      </c>
      <c r="Q58">
        <f>IFERROR('Дивиденды по годам'!G58/'Дивиденды по годам'!I58, "")</f>
        <v>0.54291846447123437</v>
      </c>
      <c r="R58">
        <f>IFERROR(IF(AND('Дивиденды по годам'!N58&lt;&gt;"",'Дивиденды по годам'!U58&lt;&gt;"",'Дивиденды по годам'!U58&lt;&gt;0),'Дивиденды по годам'!N58/'Дивиденды по годам'!U58-1,""),"")</f>
        <v>0.23037437025608787</v>
      </c>
      <c r="S58">
        <f>IFERROR(IF(AND('Дивиденды по годам'!L58&lt;&gt;"",'Дивиденды по годам'!I58&lt;&gt;"",'Дивиденды по годам'!J58&lt;&gt;"",'Дивиденды по годам'!K58&lt;&gt;"",('Дивиденды по годам'!I58-'Дивиденды по годам'!J58-'Дивиденды по годам'!K58)&lt;&gt;0),'Дивиденды по годам'!L58/('Дивиденды по годам'!I58-'Дивиденды по годам'!J58-'Дивиденды по годам'!K58),""),"")</f>
        <v>-0.17336066800347169</v>
      </c>
      <c r="T58">
        <f>IFERROR(IF(AND('Дивиденды по годам'!Q58&lt;&gt;"",'Дивиденды по годам'!I58&lt;&gt;"",'Дивиденды по годам'!V58&lt;&gt;"",('Дивиденды по годам'!I58+'Дивиденды по годам'!V58)&lt;&gt;0),'Дивиденды по годам'!Q58/(('Дивиденды по годам'!I58+'Дивиденды по годам'!V58)/2),""),"")</f>
        <v>3.3242472093160835E-2</v>
      </c>
      <c r="U58">
        <f>IFERROR(IF(AND('Дивиденды по годам'!J58&lt;&gt;"",'Дивиденды по годам'!K58&lt;&gt;"",'Дивиденды по годам'!M58&lt;&gt;"",'Дивиденды по годам'!M58&lt;&gt;0),('Дивиденды по годам'!J58+'Дивиденды по годам'!K58)/'Дивиденды по годам'!M58,""),"")</f>
        <v>2.3675964444976505</v>
      </c>
      <c r="V58">
        <f>IFERROR(IF(AND('Дивиденды по годам'!J58&lt;&gt;"",'Дивиденды по годам'!K58&lt;&gt;"",'Дивиденды по годам'!M58&lt;&gt;"",'Дивиденды по годам'!I58&lt;&gt;0),('Дивиденды по годам'!J58+'Дивиденды по годам'!K58)/'Дивиденды по годам'!I58,""),"")</f>
        <v>0.70305230555938203</v>
      </c>
      <c r="W58">
        <f>IFERROR('Дивиденды по годам'!I58,"")</f>
        <v>225043000000</v>
      </c>
      <c r="X58" cm="1">
        <f t="array" ref="X58">IFERROR(AVERAGE(_xlfn._xlws.FILTER(P$2:P$1073,($C$2:$C$1073=$C58)*($E$2:$E$1073=$E58)*(ROW(P$2:P$1073)&lt;&gt;ROW(P58))*(P$2:P$1073&lt;&gt;""))),"")</f>
        <v>29.072796443647416</v>
      </c>
      <c r="Y58" cm="1">
        <f t="array" ref="Y58">IFERROR(AVERAGE(_xlfn._xlws.FILTER(Q$2:Q$1073,($C$2:$C$1073=$C58)*($E$2:$E$1073=$E58)*(ROW(Q$2:Q$1073)&lt;&gt;ROW(Q58))*(Q$2:Q$1073&lt;&gt;""))),"")</f>
        <v>0.54840686379648962</v>
      </c>
      <c r="Z58" cm="1">
        <f t="array" ref="Z58">IFERROR(AVERAGE(_xlfn._xlws.FILTER(R$2:R$1073,($C$2:$C$1073=$C58)*($E$2:$E$1073=$E58)*(ROW(R$2:R$1073)&lt;&gt;ROW(R58))*(R$2:R$1073&lt;&gt;""))),"")</f>
        <v>0.13715104914134027</v>
      </c>
      <c r="AA58" cm="1">
        <f t="array" ref="AA58">IFERROR(AVERAGE(_xlfn._xlws.FILTER(S$2:S$1073,($C$2:$C$1073=$C58)*($E$2:$E$1073=$E58)*(ROW(S$2:S$1073)&lt;&gt;ROW(S58))*(S$2:S$1073&lt;&gt;""))),"")</f>
        <v>0.92176618022801049</v>
      </c>
      <c r="AB58" cm="1">
        <f t="array" ref="AB58">IFERROR(AVERAGE(_xlfn._xlws.FILTER(T$2:T$1073,($C$2:$C$1073=$C58)*($E$2:$E$1073=$E58)*(ROW(T$2:T$1073)&lt;&gt;ROW(T58))*(T$2:T$1073&lt;&gt;""))),"")</f>
        <v>7.9553528189581432E-2</v>
      </c>
      <c r="AC58" cm="1">
        <f t="array" ref="AC58">IFERROR(AVERAGE(_xlfn._xlws.FILTER(U$2:U$1073,($C$2:$C$1073=$C58)*($E$2:$E$1073=$E58)*(ROW(U$2:U$1073)&lt;&gt;ROW(U58))*(U$2:U$1073&lt;&gt;""))),"")</f>
        <v>0.66644575763718161</v>
      </c>
      <c r="AD58" cm="1">
        <f t="array" ref="AD58">IFERROR(AVERAGE(_xlfn._xlws.FILTER(V$2:V$1073,($C$2:$C$1073=$C58)*($E$2:$E$1073=$E58)*(ROW(V$2:V$1073)&lt;&gt;ROW(V58))*(V$2:V$1073&lt;&gt;""))),"")</f>
        <v>0.34786000127832922</v>
      </c>
      <c r="AE58">
        <f>IF('Дивиденды по годам'!M58&lt;0,1,0)</f>
        <v>0</v>
      </c>
    </row>
    <row r="59" spans="1:31" x14ac:dyDescent="0.2">
      <c r="A59" s="7" t="s">
        <v>2314</v>
      </c>
      <c r="B59" t="str">
        <f t="shared" si="0"/>
        <v>RNFT IV кв. 2016</v>
      </c>
      <c r="C59">
        <v>2016</v>
      </c>
      <c r="D59">
        <f>SUMIFS(Дивиденды!$C:$C,Дивиденды!$A:$A,A59,Дивиденды!$I:$I,C59)</f>
        <v>0</v>
      </c>
      <c r="E59">
        <v>1</v>
      </c>
      <c r="F59">
        <f t="shared" si="1"/>
        <v>0</v>
      </c>
      <c r="G59">
        <f t="shared" si="2"/>
        <v>41.055</v>
      </c>
      <c r="H59">
        <f t="shared" si="3"/>
        <v>0</v>
      </c>
      <c r="I59">
        <f t="shared" si="4"/>
        <v>1</v>
      </c>
      <c r="J59">
        <f t="shared" si="5"/>
        <v>0</v>
      </c>
      <c r="K59">
        <f t="shared" si="10"/>
        <v>0.12341275025046383</v>
      </c>
      <c r="L59">
        <f t="shared" si="6"/>
        <v>0</v>
      </c>
      <c r="M59">
        <f t="shared" si="7"/>
        <v>0.66666666666666663</v>
      </c>
      <c r="N59">
        <f t="shared" si="8"/>
        <v>0</v>
      </c>
      <c r="O59">
        <f t="shared" si="9"/>
        <v>0.16666666666666666</v>
      </c>
      <c r="P59">
        <f>IFERROR(LN('Дивиденды по годам'!I59),"")</f>
        <v>26.091365763095649</v>
      </c>
      <c r="Q59">
        <f>IFERROR('Дивиденды по годам'!G59/'Дивиденды по годам'!I59, "")</f>
        <v>0.52255717982793592</v>
      </c>
      <c r="R59">
        <f>IFERROR(IF(AND('Дивиденды по годам'!N59&lt;&gt;"",'Дивиденды по годам'!U59&lt;&gt;"",'Дивиденды по годам'!U59&lt;&gt;0),'Дивиденды по годам'!N59/'Дивиденды по годам'!U59-1,""),"")</f>
        <v>2.0326367019753988E-3</v>
      </c>
      <c r="S59">
        <f>IFERROR(IF(AND('Дивиденды по годам'!L59&lt;&gt;"",'Дивиденды по годам'!I59&lt;&gt;"",'Дивиденды по годам'!J59&lt;&gt;"",'Дивиденды по годам'!K59&lt;&gt;"",('Дивиденды по годам'!I59-'Дивиденды по годам'!J59-'Дивиденды по годам'!K59)&lt;&gt;0),'Дивиденды по годам'!L59/('Дивиденды по годам'!I59-'Дивиденды по годам'!J59-'Дивиденды по годам'!K59),""),"")</f>
        <v>-0.28008167630900871</v>
      </c>
      <c r="T59">
        <f>IFERROR(IF(AND('Дивиденды по годам'!Q59&lt;&gt;"",'Дивиденды по годам'!I59&lt;&gt;"",'Дивиденды по годам'!V59&lt;&gt;"",('Дивиденды по годам'!I59+'Дивиденды по годам'!V59)&lt;&gt;0),'Дивиденды по годам'!Q59/(('Дивиденды по годам'!I59+'Дивиденды по годам'!V59)/2),""),"")</f>
        <v>6.2743248575237498E-2</v>
      </c>
      <c r="U59">
        <f>IFERROR(IF(AND('Дивиденды по годам'!J59&lt;&gt;"",'Дивиденды по годам'!K59&lt;&gt;"",'Дивиденды по годам'!M59&lt;&gt;"",'Дивиденды по годам'!M59&lt;&gt;0),('Дивиденды по годам'!J59+'Дивиденды по годам'!K59)/'Дивиденды по годам'!M59,""),"")</f>
        <v>2.4753755651708884</v>
      </c>
      <c r="V59">
        <f>IFERROR(IF(AND('Дивиденды по годам'!J59&lt;&gt;"",'Дивиденды по годам'!K59&lt;&gt;"",'Дивиденды по годам'!M59&lt;&gt;"",'Дивиденды по годам'!I59&lt;&gt;0),('Дивиденды по годам'!J59+'Дивиденды по годам'!K59)/'Дивиденды по годам'!I59,""),"")</f>
        <v>0.71226131356228584</v>
      </c>
      <c r="W59">
        <f>IFERROR('Дивиденды по годам'!I59,"")</f>
        <v>214455000000</v>
      </c>
      <c r="X59" cm="1">
        <f t="array" ref="X59">IFERROR(AVERAGE(_xlfn._xlws.FILTER(P$2:P$1073,($C$2:$C$1073=$C59)*($E$2:$E$1073=$E59)*(ROW(P$2:P$1073)&lt;&gt;ROW(P59))*(P$2:P$1073&lt;&gt;""))),"")</f>
        <v>29.007932216571774</v>
      </c>
      <c r="Y59" cm="1">
        <f t="array" ref="Y59">IFERROR(AVERAGE(_xlfn._xlws.FILTER(Q$2:Q$1073,($C$2:$C$1073=$C59)*($E$2:$E$1073=$E59)*(ROW(Q$2:Q$1073)&lt;&gt;ROW(Q59))*(Q$2:Q$1073&lt;&gt;""))),"")</f>
        <v>0.53598863586074919</v>
      </c>
      <c r="Z59" cm="1">
        <f t="array" ref="Z59">IFERROR(AVERAGE(_xlfn._xlws.FILTER(R$2:R$1073,($C$2:$C$1073=$C59)*($E$2:$E$1073=$E59)*(ROW(R$2:R$1073)&lt;&gt;ROW(R59))*(R$2:R$1073&lt;&gt;""))),"")</f>
        <v>1.2861066351718974E-2</v>
      </c>
      <c r="AA59" cm="1">
        <f t="array" ref="AA59">IFERROR(AVERAGE(_xlfn._xlws.FILTER(S$2:S$1073,($C$2:$C$1073=$C59)*($E$2:$E$1073=$E59)*(ROW(S$2:S$1073)&lt;&gt;ROW(S59))*(S$2:S$1073&lt;&gt;""))),"")</f>
        <v>0.93019566692740552</v>
      </c>
      <c r="AB59" cm="1">
        <f t="array" ref="AB59">IFERROR(AVERAGE(_xlfn._xlws.FILTER(T$2:T$1073,($C$2:$C$1073=$C59)*($E$2:$E$1073=$E59)*(ROW(T$2:T$1073)&lt;&gt;ROW(T59))*(T$2:T$1073&lt;&gt;""))),"")</f>
        <v>0.10383357136741007</v>
      </c>
      <c r="AC59" cm="1">
        <f t="array" ref="AC59">IFERROR(AVERAGE(_xlfn._xlws.FILTER(U$2:U$1073,($C$2:$C$1073=$C59)*($E$2:$E$1073=$E59)*(ROW(U$2:U$1073)&lt;&gt;ROW(U59))*(U$2:U$1073&lt;&gt;""))),"")</f>
        <v>0.69005247030706984</v>
      </c>
      <c r="AD59" cm="1">
        <f t="array" ref="AD59">IFERROR(AVERAGE(_xlfn._xlws.FILTER(V$2:V$1073,($C$2:$C$1073=$C59)*($E$2:$E$1073=$E59)*(ROW(V$2:V$1073)&lt;&gt;ROW(V59))*(V$2:V$1073&lt;&gt;""))),"")</f>
        <v>0.35561011018162719</v>
      </c>
      <c r="AE59">
        <f>IF('Дивиденды по годам'!M59&lt;0,1,0)</f>
        <v>0</v>
      </c>
    </row>
    <row r="60" spans="1:31" x14ac:dyDescent="0.2">
      <c r="A60" s="7" t="s">
        <v>2314</v>
      </c>
      <c r="B60" t="str">
        <f t="shared" si="0"/>
        <v>RNFT IV кв. 2015</v>
      </c>
      <c r="C60">
        <v>2015</v>
      </c>
      <c r="D60">
        <f>SUMIFS(Дивиденды!$C:$C,Дивиденды!$A:$A,A60,Дивиденды!$I:$I,C60)</f>
        <v>0</v>
      </c>
      <c r="E60">
        <v>1</v>
      </c>
      <c r="F60">
        <f t="shared" si="1"/>
        <v>0</v>
      </c>
      <c r="G60">
        <f t="shared" si="2"/>
        <v>36.949999999999996</v>
      </c>
      <c r="H60">
        <f t="shared" si="3"/>
        <v>0</v>
      </c>
      <c r="I60">
        <f t="shared" si="4"/>
        <v>1</v>
      </c>
      <c r="J60">
        <f t="shared" si="5"/>
        <v>0</v>
      </c>
      <c r="K60">
        <f t="shared" si="10"/>
        <v>0.1576731379334467</v>
      </c>
      <c r="L60">
        <f t="shared" si="6"/>
        <v>0</v>
      </c>
      <c r="M60">
        <f t="shared" si="7"/>
        <v>0.83333333333333337</v>
      </c>
      <c r="N60">
        <f t="shared" si="8"/>
        <v>0</v>
      </c>
      <c r="O60">
        <f t="shared" si="9"/>
        <v>0.16666666666666666</v>
      </c>
      <c r="P60">
        <f>IFERROR(LN('Дивиденды по годам'!I60),"")</f>
        <v>26.088596784143657</v>
      </c>
      <c r="Q60">
        <f>IFERROR('Дивиденды по годам'!G60/'Дивиденды по годам'!I60, "")</f>
        <v>0.49122331222938154</v>
      </c>
      <c r="R60" t="str">
        <f>IFERROR(IF(AND('Дивиденды по годам'!N60&lt;&gt;"",'Дивиденды по годам'!U60&lt;&gt;"",'Дивиденды по годам'!U60&lt;&gt;0),'Дивиденды по годам'!N60/'Дивиденды по годам'!U60-1,""),"")</f>
        <v/>
      </c>
      <c r="S60">
        <f>IFERROR(IF(AND('Дивиденды по годам'!L60&lt;&gt;"",'Дивиденды по годам'!I60&lt;&gt;"",'Дивиденды по годам'!J60&lt;&gt;"",'Дивиденды по годам'!K60&lt;&gt;"",('Дивиденды по годам'!I60-'Дивиденды по годам'!J60-'Дивиденды по годам'!K60)&lt;&gt;0),'Дивиденды по годам'!L60/('Дивиденды по годам'!I60-'Дивиденды по годам'!J60-'Дивиденды по годам'!K60),""),"")</f>
        <v>0.8395634499823259</v>
      </c>
      <c r="T60" t="str">
        <f>IFERROR(IF(AND('Дивиденды по годам'!Q60&lt;&gt;"",'Дивиденды по годам'!I60&lt;&gt;"",'Дивиденды по годам'!V60&lt;&gt;"",('Дивиденды по годам'!I60+'Дивиденды по годам'!V60)&lt;&gt;0),'Дивиденды по годам'!Q60/(('Дивиденды по годам'!I60+'Дивиденды по годам'!V60)/2),""),"")</f>
        <v/>
      </c>
      <c r="U60">
        <f>IFERROR(IF(AND('Дивиденды по годам'!J60&lt;&gt;"",'Дивиденды по годам'!K60&lt;&gt;"",'Дивиденды по годам'!M60&lt;&gt;"",'Дивиденды по годам'!M60&lt;&gt;0),('Дивиденды по годам'!J60+'Дивиденды по годам'!K60)/'Дивиденды по годам'!M60,""),"")</f>
        <v>-10.449540473665607</v>
      </c>
      <c r="V60">
        <f>IFERROR(IF(AND('Дивиденды по годам'!J60&lt;&gt;"",'Дивиденды по годам'!K60&lt;&gt;"",'Дивиденды по годам'!M60&lt;&gt;"",'Дивиденды по годам'!I60&lt;&gt;0),('Дивиденды по годам'!J60+'Дивиденды по годам'!K60)/'Дивиденды по годам'!I60,""),"")</f>
        <v>1.1058252517978884</v>
      </c>
      <c r="W60">
        <f>IFERROR('Дивиденды по годам'!I60,"")</f>
        <v>213862000000</v>
      </c>
      <c r="X60" cm="1">
        <f t="array" ref="X60">IFERROR(AVERAGE(_xlfn._xlws.FILTER(P$2:P$1073,($C$2:$C$1073=$C60)*($E$2:$E$1073=$E60)*(ROW(P$2:P$1073)&lt;&gt;ROW(P60))*(P$2:P$1073&lt;&gt;""))),"")</f>
        <v>28.903610528933541</v>
      </c>
      <c r="Y60" cm="1">
        <f t="array" ref="Y60">IFERROR(AVERAGE(_xlfn._xlws.FILTER(Q$2:Q$1073,($C$2:$C$1073=$C60)*($E$2:$E$1073=$E60)*(ROW(Q$2:Q$1073)&lt;&gt;ROW(Q60))*(Q$2:Q$1073&lt;&gt;""))),"")</f>
        <v>0.60233677882875525</v>
      </c>
      <c r="Z60" cm="1">
        <f t="array" ref="Z60">IFERROR(AVERAGE(_xlfn._xlws.FILTER(R$2:R$1073,($C$2:$C$1073=$C60)*($E$2:$E$1073=$E60)*(ROW(R$2:R$1073)&lt;&gt;ROW(R60))*(R$2:R$1073&lt;&gt;""))),"")</f>
        <v>0.10809571778120923</v>
      </c>
      <c r="AA60" cm="1">
        <f t="array" ref="AA60">IFERROR(AVERAGE(_xlfn._xlws.FILTER(S$2:S$1073,($C$2:$C$1073=$C60)*($E$2:$E$1073=$E60)*(ROW(S$2:S$1073)&lt;&gt;ROW(S60))*(S$2:S$1073&lt;&gt;""))),"")</f>
        <v>0.95349544313323054</v>
      </c>
      <c r="AB60" cm="1">
        <f t="array" ref="AB60">IFERROR(AVERAGE(_xlfn._xlws.FILTER(T$2:T$1073,($C$2:$C$1073=$C60)*($E$2:$E$1073=$E60)*(ROW(T$2:T$1073)&lt;&gt;ROW(T60))*(T$2:T$1073&lt;&gt;""))),"")</f>
        <v>7.6659418272165311E-2</v>
      </c>
      <c r="AC60" cm="1">
        <f t="array" ref="AC60">IFERROR(AVERAGE(_xlfn._xlws.FILTER(U$2:U$1073,($C$2:$C$1073=$C60)*($E$2:$E$1073=$E60)*(ROW(U$2:U$1073)&lt;&gt;ROW(U60))*(U$2:U$1073&lt;&gt;""))),"")</f>
        <v>0.93526359323054409</v>
      </c>
      <c r="AD60" cm="1">
        <f t="array" ref="AD60">IFERROR(AVERAGE(_xlfn._xlws.FILTER(V$2:V$1073,($C$2:$C$1073=$C60)*($E$2:$E$1073=$E60)*(ROW(V$2:V$1073)&lt;&gt;ROW(V60))*(V$2:V$1073&lt;&gt;""))),"")</f>
        <v>0.42048697906260069</v>
      </c>
      <c r="AE60">
        <f>IF('Дивиденды по годам'!M60&lt;0,1,0)</f>
        <v>1</v>
      </c>
    </row>
    <row r="61" spans="1:31" x14ac:dyDescent="0.2">
      <c r="A61" s="7" t="s">
        <v>2314</v>
      </c>
      <c r="B61" t="str">
        <f t="shared" si="0"/>
        <v>RNFT IV кв. 2014</v>
      </c>
      <c r="C61">
        <v>2014</v>
      </c>
      <c r="D61">
        <f>SUMIFS(Дивиденды!$C:$C,Дивиденды!$A:$A,A61,Дивиденды!$I:$I,C61)</f>
        <v>0</v>
      </c>
      <c r="E61">
        <v>1</v>
      </c>
      <c r="F61">
        <f t="shared" si="1"/>
        <v>0</v>
      </c>
      <c r="G61">
        <f t="shared" si="2"/>
        <v>31.823333333333338</v>
      </c>
      <c r="H61">
        <f t="shared" si="3"/>
        <v>0</v>
      </c>
      <c r="I61">
        <f t="shared" si="4"/>
        <v>1</v>
      </c>
      <c r="J61">
        <f t="shared" si="5"/>
        <v>0</v>
      </c>
      <c r="K61">
        <f t="shared" si="10"/>
        <v>0.11887241342288564</v>
      </c>
      <c r="L61">
        <f t="shared" si="6"/>
        <v>0</v>
      </c>
      <c r="M61">
        <f t="shared" si="7"/>
        <v>0.66666666666666663</v>
      </c>
      <c r="N61">
        <f t="shared" si="8"/>
        <v>0</v>
      </c>
      <c r="O61">
        <f t="shared" si="9"/>
        <v>0.16666666666666666</v>
      </c>
      <c r="P61" t="str">
        <f>IFERROR(LN('Дивиденды по годам'!I61),"")</f>
        <v/>
      </c>
      <c r="Q61" t="str">
        <f>IFERROR('Дивиденды по годам'!G61/'Дивиденды по годам'!I61, "")</f>
        <v/>
      </c>
      <c r="R61" t="str">
        <f>IFERROR(IF(AND('Дивиденды по годам'!N61&lt;&gt;"",'Дивиденды по годам'!U61&lt;&gt;"",'Дивиденды по годам'!U61&lt;&gt;0),'Дивиденды по годам'!N61/'Дивиденды по годам'!U61-1,""),"")</f>
        <v/>
      </c>
      <c r="S61" t="str">
        <f>IFERROR(IF(AND('Дивиденды по годам'!L61&lt;&gt;"",'Дивиденды по годам'!I61&lt;&gt;"",'Дивиденды по годам'!J61&lt;&gt;"",'Дивиденды по годам'!K61&lt;&gt;"",('Дивиденды по годам'!I61-'Дивиденды по годам'!J61-'Дивиденды по годам'!K61)&lt;&gt;0),'Дивиденды по годам'!L61/('Дивиденды по годам'!I61-'Дивиденды по годам'!J61-'Дивиденды по годам'!K61),""),"")</f>
        <v/>
      </c>
      <c r="T61" t="str">
        <f>IFERROR(IF(AND('Дивиденды по годам'!Q61&lt;&gt;"",'Дивиденды по годам'!I61&lt;&gt;"",'Дивиденды по годам'!V61&lt;&gt;"",('Дивиденды по годам'!I61+'Дивиденды по годам'!V61)&lt;&gt;0),'Дивиденды по годам'!Q61/(('Дивиденды по годам'!I61+'Дивиденды по годам'!V61)/2),""),"")</f>
        <v/>
      </c>
      <c r="U61" t="str">
        <f>IFERROR(IF(AND('Дивиденды по годам'!J61&lt;&gt;"",'Дивиденды по годам'!K61&lt;&gt;"",'Дивиденды по годам'!M61&lt;&gt;"",'Дивиденды по годам'!M61&lt;&gt;0),('Дивиденды по годам'!J61+'Дивиденды по годам'!K61)/'Дивиденды по годам'!M61,""),"")</f>
        <v/>
      </c>
      <c r="V61" t="str">
        <f>IFERROR(IF(AND('Дивиденды по годам'!J61&lt;&gt;"",'Дивиденды по годам'!K61&lt;&gt;"",'Дивиденды по годам'!M61&lt;&gt;"",'Дивиденды по годам'!I61&lt;&gt;0),('Дивиденды по годам'!J61+'Дивиденды по годам'!K61)/'Дивиденды по годам'!I61,""),"")</f>
        <v/>
      </c>
      <c r="W61" t="str">
        <f>IFERROR('Дивиденды по годам'!I61,"")</f>
        <v/>
      </c>
      <c r="X61" cm="1">
        <f t="array" ref="X61">IFERROR(AVERAGE(_xlfn._xlws.FILTER(P$2:P$1073,($C$2:$C$1073=$C61)*($E$2:$E$1073=$E61)*(ROW(P$2:P$1073)&lt;&gt;ROW(P61))*(P$2:P$1073&lt;&gt;""))),"")</f>
        <v>28.768029773638499</v>
      </c>
      <c r="Y61" cm="1">
        <f t="array" ref="Y61">IFERROR(AVERAGE(_xlfn._xlws.FILTER(Q$2:Q$1073,($C$2:$C$1073=$C61)*($E$2:$E$1073=$E61)*(ROW(Q$2:Q$1073)&lt;&gt;ROW(Q61))*(Q$2:Q$1073&lt;&gt;""))),"")</f>
        <v>0.62853220057423198</v>
      </c>
      <c r="Z61" cm="1">
        <f t="array" ref="Z61">IFERROR(AVERAGE(_xlfn._xlws.FILTER(R$2:R$1073,($C$2:$C$1073=$C61)*($E$2:$E$1073=$E61)*(ROW(R$2:R$1073)&lt;&gt;ROW(R61))*(R$2:R$1073&lt;&gt;""))),"")</f>
        <v>0.14467781010492406</v>
      </c>
      <c r="AA61" cm="1">
        <f t="array" ref="AA61">IFERROR(AVERAGE(_xlfn._xlws.FILTER(S$2:S$1073,($C$2:$C$1073=$C61)*($E$2:$E$1073=$E61)*(ROW(S$2:S$1073)&lt;&gt;ROW(S61))*(S$2:S$1073&lt;&gt;""))),"")</f>
        <v>0.93609647675020025</v>
      </c>
      <c r="AB61" cm="1">
        <f t="array" ref="AB61">IFERROR(AVERAGE(_xlfn._xlws.FILTER(T$2:T$1073,($C$2:$C$1073=$C61)*($E$2:$E$1073=$E61)*(ROW(T$2:T$1073)&lt;&gt;ROW(T61))*(T$2:T$1073&lt;&gt;""))),"")</f>
        <v>5.9297671460212809E-2</v>
      </c>
      <c r="AC61" cm="1">
        <f t="array" ref="AC61">IFERROR(AVERAGE(_xlfn._xlws.FILTER(U$2:U$1073,($C$2:$C$1073=$C61)*($E$2:$E$1073=$E61)*(ROW(U$2:U$1073)&lt;&gt;ROW(U61))*(U$2:U$1073&lt;&gt;""))),"")</f>
        <v>0.79421863738134113</v>
      </c>
      <c r="AD61" cm="1">
        <f t="array" ref="AD61">IFERROR(AVERAGE(_xlfn._xlws.FILTER(V$2:V$1073,($C$2:$C$1073=$C61)*($E$2:$E$1073=$E61)*(ROW(V$2:V$1073)&lt;&gt;ROW(V61))*(V$2:V$1073&lt;&gt;""))),"")</f>
        <v>0.38553249153700109</v>
      </c>
      <c r="AE61">
        <f>IF('Дивиденды по годам'!M61&lt;0,1,0)</f>
        <v>0</v>
      </c>
    </row>
    <row r="62" spans="1:31" x14ac:dyDescent="0.2">
      <c r="A62" s="7" t="s">
        <v>2314</v>
      </c>
      <c r="B62" t="str">
        <f t="shared" si="0"/>
        <v>RNFT IV кв. 2013</v>
      </c>
      <c r="C62">
        <v>2013</v>
      </c>
      <c r="D62">
        <f>SUMIFS(Дивиденды!$C:$C,Дивиденды!$A:$A,A62,Дивиденды!$I:$I,C62)</f>
        <v>0</v>
      </c>
      <c r="E62">
        <v>1</v>
      </c>
      <c r="F62">
        <f t="shared" si="1"/>
        <v>0</v>
      </c>
      <c r="G62">
        <f t="shared" si="2"/>
        <v>24.461666666666662</v>
      </c>
      <c r="H62">
        <f t="shared" si="3"/>
        <v>0</v>
      </c>
      <c r="I62">
        <f t="shared" si="4"/>
        <v>1</v>
      </c>
      <c r="J62">
        <f t="shared" si="5"/>
        <v>0</v>
      </c>
      <c r="K62">
        <f t="shared" si="10"/>
        <v>0.22127022830444174</v>
      </c>
      <c r="L62">
        <f t="shared" si="6"/>
        <v>0</v>
      </c>
      <c r="M62">
        <f t="shared" si="7"/>
        <v>0.83333333333333337</v>
      </c>
      <c r="N62">
        <f t="shared" si="8"/>
        <v>0</v>
      </c>
      <c r="O62">
        <f t="shared" si="9"/>
        <v>0.16666666666666666</v>
      </c>
      <c r="P62" t="str">
        <f>IFERROR(LN('Дивиденды по годам'!I62),"")</f>
        <v/>
      </c>
      <c r="Q62" t="str">
        <f>IFERROR('Дивиденды по годам'!G62/'Дивиденды по годам'!I62, "")</f>
        <v/>
      </c>
      <c r="R62" t="str">
        <f>IFERROR(IF(AND('Дивиденды по годам'!N62&lt;&gt;"",'Дивиденды по годам'!U62&lt;&gt;"",'Дивиденды по годам'!U62&lt;&gt;0),'Дивиденды по годам'!N62/'Дивиденды по годам'!U62-1,""),"")</f>
        <v/>
      </c>
      <c r="S62" t="str">
        <f>IFERROR(IF(AND('Дивиденды по годам'!L62&lt;&gt;"",'Дивиденды по годам'!I62&lt;&gt;"",'Дивиденды по годам'!J62&lt;&gt;"",'Дивиденды по годам'!K62&lt;&gt;"",('Дивиденды по годам'!I62-'Дивиденды по годам'!J62-'Дивиденды по годам'!K62)&lt;&gt;0),'Дивиденды по годам'!L62/('Дивиденды по годам'!I62-'Дивиденды по годам'!J62-'Дивиденды по годам'!K62),""),"")</f>
        <v/>
      </c>
      <c r="T62" t="str">
        <f>IFERROR(IF(AND('Дивиденды по годам'!Q62&lt;&gt;"",'Дивиденды по годам'!I62&lt;&gt;"",'Дивиденды по годам'!V62&lt;&gt;"",('Дивиденды по годам'!I62+'Дивиденды по годам'!V62)&lt;&gt;0),'Дивиденды по годам'!Q62/(('Дивиденды по годам'!I62+'Дивиденды по годам'!V62)/2),""),"")</f>
        <v/>
      </c>
      <c r="U62" t="str">
        <f>IFERROR(IF(AND('Дивиденды по годам'!J62&lt;&gt;"",'Дивиденды по годам'!K62&lt;&gt;"",'Дивиденды по годам'!M62&lt;&gt;"",'Дивиденды по годам'!M62&lt;&gt;0),('Дивиденды по годам'!J62+'Дивиденды по годам'!K62)/'Дивиденды по годам'!M62,""),"")</f>
        <v/>
      </c>
      <c r="V62" t="str">
        <f>IFERROR(IF(AND('Дивиденды по годам'!J62&lt;&gt;"",'Дивиденды по годам'!K62&lt;&gt;"",'Дивиденды по годам'!M62&lt;&gt;"",'Дивиденды по годам'!I62&lt;&gt;0),('Дивиденды по годам'!J62+'Дивиденды по годам'!K62)/'Дивиденды по годам'!I62,""),"")</f>
        <v/>
      </c>
      <c r="W62" t="str">
        <f>IFERROR('Дивиденды по годам'!I62,"")</f>
        <v/>
      </c>
      <c r="X62" cm="1">
        <f t="array" ref="X62">IFERROR(AVERAGE(_xlfn._xlws.FILTER(P$2:P$1073,($C$2:$C$1073=$C62)*($E$2:$E$1073=$E62)*(ROW(P$2:P$1073)&lt;&gt;ROW(P62))*(P$2:P$1073&lt;&gt;""))),"")</f>
        <v>28.622706288201101</v>
      </c>
      <c r="Y62" cm="1">
        <f t="array" ref="Y62">IFERROR(AVERAGE(_xlfn._xlws.FILTER(Q$2:Q$1073,($C$2:$C$1073=$C62)*($E$2:$E$1073=$E62)*(ROW(Q$2:Q$1073)&lt;&gt;ROW(Q62))*(Q$2:Q$1073&lt;&gt;""))),"")</f>
        <v>0.64236399607477235</v>
      </c>
      <c r="Z62" cm="1">
        <f t="array" ref="Z62">IFERROR(AVERAGE(_xlfn._xlws.FILTER(R$2:R$1073,($C$2:$C$1073=$C62)*($E$2:$E$1073=$E62)*(ROW(R$2:R$1073)&lt;&gt;ROW(R62))*(R$2:R$1073&lt;&gt;""))),"")</f>
        <v>0.22145784870176244</v>
      </c>
      <c r="AA62" cm="1">
        <f t="array" ref="AA62">IFERROR(AVERAGE(_xlfn._xlws.FILTER(S$2:S$1073,($C$2:$C$1073=$C62)*($E$2:$E$1073=$E62)*(ROW(S$2:S$1073)&lt;&gt;ROW(S62))*(S$2:S$1073&lt;&gt;""))),"")</f>
        <v>0.89631518143572286</v>
      </c>
      <c r="AB62" cm="1">
        <f t="array" ref="AB62">IFERROR(AVERAGE(_xlfn._xlws.FILTER(T$2:T$1073,($C$2:$C$1073=$C62)*($E$2:$E$1073=$E62)*(ROW(T$2:T$1073)&lt;&gt;ROW(T62))*(T$2:T$1073&lt;&gt;""))),"")</f>
        <v>0.11790230641943103</v>
      </c>
      <c r="AC62" cm="1">
        <f t="array" ref="AC62">IFERROR(AVERAGE(_xlfn._xlws.FILTER(U$2:U$1073,($C$2:$C$1073=$C62)*($E$2:$E$1073=$E62)*(ROW(U$2:U$1073)&lt;&gt;ROW(U62))*(U$2:U$1073&lt;&gt;""))),"")</f>
        <v>0.6209255292208824</v>
      </c>
      <c r="AD62" cm="1">
        <f t="array" ref="AD62">IFERROR(AVERAGE(_xlfn._xlws.FILTER(V$2:V$1073,($C$2:$C$1073=$C62)*($E$2:$E$1073=$E62)*(ROW(V$2:V$1073)&lt;&gt;ROW(V62))*(V$2:V$1073&lt;&gt;""))),"")</f>
        <v>0.35421069871935001</v>
      </c>
      <c r="AE62">
        <f>IF('Дивиденды по годам'!M62&lt;0,1,0)</f>
        <v>0</v>
      </c>
    </row>
    <row r="63" spans="1:31" x14ac:dyDescent="0.2">
      <c r="A63" s="7" t="s">
        <v>2314</v>
      </c>
      <c r="B63" t="str">
        <f t="shared" si="0"/>
        <v>RNFT IV кв. 2012</v>
      </c>
      <c r="C63">
        <v>2012</v>
      </c>
      <c r="D63">
        <f>SUMIFS(Дивиденды!$C:$C,Дивиденды!$A:$A,A63,Дивиденды!$I:$I,C63)</f>
        <v>0</v>
      </c>
      <c r="E63">
        <v>1</v>
      </c>
      <c r="F63">
        <f t="shared" si="1"/>
        <v>0</v>
      </c>
      <c r="G63">
        <f t="shared" si="2"/>
        <v>19.999999999999996</v>
      </c>
      <c r="H63">
        <f t="shared" si="3"/>
        <v>0</v>
      </c>
      <c r="I63">
        <f t="shared" si="4"/>
        <v>1</v>
      </c>
      <c r="J63">
        <f t="shared" si="5"/>
        <v>0</v>
      </c>
      <c r="K63">
        <f t="shared" si="10"/>
        <v>2.1365755164253125E-2</v>
      </c>
      <c r="L63">
        <f t="shared" si="6"/>
        <v>0</v>
      </c>
      <c r="M63">
        <f t="shared" si="7"/>
        <v>0.66666666666666663</v>
      </c>
      <c r="N63">
        <f t="shared" si="8"/>
        <v>0</v>
      </c>
      <c r="O63">
        <f t="shared" si="9"/>
        <v>0.33333333333333331</v>
      </c>
      <c r="P63" t="str">
        <f>IFERROR(LN('Дивиденды по годам'!I63),"")</f>
        <v/>
      </c>
      <c r="Q63" t="str">
        <f>IFERROR('Дивиденды по годам'!G63/'Дивиденды по годам'!I63, "")</f>
        <v/>
      </c>
      <c r="R63" t="str">
        <f>IFERROR(IF(AND('Дивиденды по годам'!N63&lt;&gt;"",'Дивиденды по годам'!U63&lt;&gt;"",'Дивиденды по годам'!U63&lt;&gt;0),'Дивиденды по годам'!N63/'Дивиденды по годам'!U63-1,""),"")</f>
        <v/>
      </c>
      <c r="S63" t="str">
        <f>IFERROR(IF(AND('Дивиденды по годам'!L63&lt;&gt;"",'Дивиденды по годам'!I63&lt;&gt;"",'Дивиденды по годам'!J63&lt;&gt;"",'Дивиденды по годам'!K63&lt;&gt;"",('Дивиденды по годам'!I63-'Дивиденды по годам'!J63-'Дивиденды по годам'!K63)&lt;&gt;0),'Дивиденды по годам'!L63/('Дивиденды по годам'!I63-'Дивиденды по годам'!J63-'Дивиденды по годам'!K63),""),"")</f>
        <v/>
      </c>
      <c r="T63" t="str">
        <f>IFERROR(IF(AND('Дивиденды по годам'!Q63&lt;&gt;"",'Дивиденды по годам'!I63&lt;&gt;"",'Дивиденды по годам'!V63&lt;&gt;"",('Дивиденды по годам'!I63+'Дивиденды по годам'!V63)&lt;&gt;0),'Дивиденды по годам'!Q63/(('Дивиденды по годам'!I63+'Дивиденды по годам'!V63)/2),""),"")</f>
        <v/>
      </c>
      <c r="U63" t="str">
        <f>IFERROR(IF(AND('Дивиденды по годам'!J63&lt;&gt;"",'Дивиденды по годам'!K63&lt;&gt;"",'Дивиденды по годам'!M63&lt;&gt;"",'Дивиденды по годам'!M63&lt;&gt;0),('Дивиденды по годам'!J63+'Дивиденды по годам'!K63)/'Дивиденды по годам'!M63,""),"")</f>
        <v/>
      </c>
      <c r="V63" t="str">
        <f>IFERROR(IF(AND('Дивиденды по годам'!J63&lt;&gt;"",'Дивиденды по годам'!K63&lt;&gt;"",'Дивиденды по годам'!M63&lt;&gt;"",'Дивиденды по годам'!I63&lt;&gt;0),('Дивиденды по годам'!J63+'Дивиденды по годам'!K63)/'Дивиденды по годам'!I63,""),"")</f>
        <v/>
      </c>
      <c r="W63" t="str">
        <f>IFERROR('Дивиденды по годам'!I63,"")</f>
        <v/>
      </c>
      <c r="X63" cm="1">
        <f t="array" ref="X63">IFERROR(AVERAGE(_xlfn._xlws.FILTER(P$2:P$1073,($C$2:$C$1073=$C63)*($E$2:$E$1073=$E63)*(ROW(P$2:P$1073)&lt;&gt;ROW(P63))*(P$2:P$1073&lt;&gt;""))),"")</f>
        <v>28.377599288247005</v>
      </c>
      <c r="Y63" cm="1">
        <f t="array" ref="Y63">IFERROR(AVERAGE(_xlfn._xlws.FILTER(Q$2:Q$1073,($C$2:$C$1073=$C63)*($E$2:$E$1073=$E63)*(ROW(Q$2:Q$1073)&lt;&gt;ROW(Q63))*(Q$2:Q$1073&lt;&gt;""))),"")</f>
        <v>0.61992711684076307</v>
      </c>
      <c r="Z63" cm="1">
        <f t="array" ref="Z63">IFERROR(AVERAGE(_xlfn._xlws.FILTER(R$2:R$1073,($C$2:$C$1073=$C63)*($E$2:$E$1073=$E63)*(ROW(R$2:R$1073)&lt;&gt;ROW(R63))*(R$2:R$1073&lt;&gt;""))),"")</f>
        <v>3.7220281362886264E-2</v>
      </c>
      <c r="AA63" cm="1">
        <f t="array" ref="AA63">IFERROR(AVERAGE(_xlfn._xlws.FILTER(S$2:S$1073,($C$2:$C$1073=$C63)*($E$2:$E$1073=$E63)*(ROW(S$2:S$1073)&lt;&gt;ROW(S63))*(S$2:S$1073&lt;&gt;""))),"")</f>
        <v>0.90617229044951875</v>
      </c>
      <c r="AB63" cm="1">
        <f t="array" ref="AB63">IFERROR(AVERAGE(_xlfn._xlws.FILTER(T$2:T$1073,($C$2:$C$1073=$C63)*($E$2:$E$1073=$E63)*(ROW(T$2:T$1073)&lt;&gt;ROW(T63))*(T$2:T$1073&lt;&gt;""))),"")</f>
        <v>0.12132203753458233</v>
      </c>
      <c r="AC63" cm="1">
        <f t="array" ref="AC63">IFERROR(AVERAGE(_xlfn._xlws.FILTER(U$2:U$1073,($C$2:$C$1073=$C63)*($E$2:$E$1073=$E63)*(ROW(U$2:U$1073)&lt;&gt;ROW(U63))*(U$2:U$1073&lt;&gt;""))),"")</f>
        <v>0.48530122005899462</v>
      </c>
      <c r="AD63" cm="1">
        <f t="array" ref="AD63">IFERROR(AVERAGE(_xlfn._xlws.FILTER(V$2:V$1073,($C$2:$C$1073=$C63)*($E$2:$E$1073=$E63)*(ROW(V$2:V$1073)&lt;&gt;ROW(V63))*(V$2:V$1073&lt;&gt;""))),"")</f>
        <v>0.32107582155770942</v>
      </c>
      <c r="AE63">
        <f>IF('Дивиденды по годам'!M63&lt;0,1,0)</f>
        <v>0</v>
      </c>
    </row>
    <row r="64" spans="1:31" x14ac:dyDescent="0.2">
      <c r="A64" s="7" t="s">
        <v>2314</v>
      </c>
      <c r="B64" t="str">
        <f t="shared" si="0"/>
        <v>RNFT IV кв. 2011</v>
      </c>
      <c r="C64">
        <v>2011</v>
      </c>
      <c r="D64">
        <f>SUMIFS(Дивиденды!$C:$C,Дивиденды!$A:$A,A64,Дивиденды!$I:$I,C64)</f>
        <v>0</v>
      </c>
      <c r="E64">
        <v>1</v>
      </c>
      <c r="F64">
        <f t="shared" si="1"/>
        <v>0</v>
      </c>
      <c r="G64">
        <f t="shared" si="2"/>
        <v>17.529999999999998</v>
      </c>
      <c r="H64">
        <f t="shared" si="3"/>
        <v>0</v>
      </c>
      <c r="I64">
        <f t="shared" si="4"/>
        <v>1</v>
      </c>
      <c r="J64">
        <f t="shared" si="5"/>
        <v>0</v>
      </c>
      <c r="K64">
        <f t="shared" si="10"/>
        <v>0.73994600097506102</v>
      </c>
      <c r="L64">
        <f t="shared" si="6"/>
        <v>0</v>
      </c>
      <c r="M64">
        <f t="shared" si="7"/>
        <v>1</v>
      </c>
      <c r="N64">
        <f t="shared" si="8"/>
        <v>0</v>
      </c>
      <c r="O64">
        <f t="shared" si="9"/>
        <v>0</v>
      </c>
      <c r="P64" t="str">
        <f>IFERROR(LN('Дивиденды по годам'!I64),"")</f>
        <v/>
      </c>
      <c r="Q64" t="str">
        <f>IFERROR('Дивиденды по годам'!G64/'Дивиденды по годам'!I64, "")</f>
        <v/>
      </c>
      <c r="R64" t="str">
        <f>IFERROR(IF(AND('Дивиденды по годам'!N64&lt;&gt;"",'Дивиденды по годам'!U64&lt;&gt;"",'Дивиденды по годам'!U64&lt;&gt;0),'Дивиденды по годам'!N64/'Дивиденды по годам'!U64-1,""),"")</f>
        <v/>
      </c>
      <c r="S64" t="str">
        <f>IFERROR(IF(AND('Дивиденды по годам'!L64&lt;&gt;"",'Дивиденды по годам'!I64&lt;&gt;"",'Дивиденды по годам'!J64&lt;&gt;"",'Дивиденды по годам'!K64&lt;&gt;"",('Дивиденды по годам'!I64-'Дивиденды по годам'!J64-'Дивиденды по годам'!K64)&lt;&gt;0),'Дивиденды по годам'!L64/('Дивиденды по годам'!I64-'Дивиденды по годам'!J64-'Дивиденды по годам'!K64),""),"")</f>
        <v/>
      </c>
      <c r="T64" t="str">
        <f>IFERROR(IF(AND('Дивиденды по годам'!Q64&lt;&gt;"",'Дивиденды по годам'!I64&lt;&gt;"",'Дивиденды по годам'!V64&lt;&gt;"",('Дивиденды по годам'!I64+'Дивиденды по годам'!V64)&lt;&gt;0),'Дивиденды по годам'!Q64/(('Дивиденды по годам'!I64+'Дивиденды по годам'!V64)/2),""),"")</f>
        <v/>
      </c>
      <c r="U64" t="str">
        <f>IFERROR(IF(AND('Дивиденды по годам'!J64&lt;&gt;"",'Дивиденды по годам'!K64&lt;&gt;"",'Дивиденды по годам'!M64&lt;&gt;"",'Дивиденды по годам'!M64&lt;&gt;0),('Дивиденды по годам'!J64+'Дивиденды по годам'!K64)/'Дивиденды по годам'!M64,""),"")</f>
        <v/>
      </c>
      <c r="V64" t="str">
        <f>IFERROR(IF(AND('Дивиденды по годам'!J64&lt;&gt;"",'Дивиденды по годам'!K64&lt;&gt;"",'Дивиденды по годам'!M64&lt;&gt;"",'Дивиденды по годам'!I64&lt;&gt;0),('Дивиденды по годам'!J64+'Дивиденды по годам'!K64)/'Дивиденды по годам'!I64,""),"")</f>
        <v/>
      </c>
      <c r="W64" t="str">
        <f>IFERROR('Дивиденды по годам'!I64,"")</f>
        <v/>
      </c>
      <c r="X64" cm="1">
        <f t="array" ref="X64">IFERROR(AVERAGE(_xlfn._xlws.FILTER(P$2:P$1073,($C$2:$C$1073=$C64)*($E$2:$E$1073=$E64)*(ROW(P$2:P$1073)&lt;&gt;ROW(P64))*(P$2:P$1073&lt;&gt;""))),"")</f>
        <v>28.264623869977424</v>
      </c>
      <c r="Y64" cm="1">
        <f t="array" ref="Y64">IFERROR(AVERAGE(_xlfn._xlws.FILTER(Q$2:Q$1073,($C$2:$C$1073=$C64)*($E$2:$E$1073=$E64)*(ROW(Q$2:Q$1073)&lt;&gt;ROW(Q64))*(Q$2:Q$1073&lt;&gt;""))),"")</f>
        <v>0.60420217997005043</v>
      </c>
      <c r="Z64" cm="1">
        <f t="array" ref="Z64">IFERROR(AVERAGE(_xlfn._xlws.FILTER(R$2:R$1073,($C$2:$C$1073=$C64)*($E$2:$E$1073=$E64)*(ROW(R$2:R$1073)&lt;&gt;ROW(R64))*(R$2:R$1073&lt;&gt;""))),"")</f>
        <v>0.35064844247682309</v>
      </c>
      <c r="AA64" cm="1">
        <f t="array" ref="AA64">IFERROR(AVERAGE(_xlfn._xlws.FILTER(S$2:S$1073,($C$2:$C$1073=$C64)*($E$2:$E$1073=$E64)*(ROW(S$2:S$1073)&lt;&gt;ROW(S64))*(S$2:S$1073&lt;&gt;""))),"")</f>
        <v>0.88249065929606674</v>
      </c>
      <c r="AB64" cm="1">
        <f t="array" ref="AB64">IFERROR(AVERAGE(_xlfn._xlws.FILTER(T$2:T$1073,($C$2:$C$1073=$C64)*($E$2:$E$1073=$E64)*(ROW(T$2:T$1073)&lt;&gt;ROW(T64))*(T$2:T$1073&lt;&gt;""))),"")</f>
        <v>0.16149330595864375</v>
      </c>
      <c r="AC64" cm="1">
        <f t="array" ref="AC64">IFERROR(AVERAGE(_xlfn._xlws.FILTER(U$2:U$1073,($C$2:$C$1073=$C64)*($E$2:$E$1073=$E64)*(ROW(U$2:U$1073)&lt;&gt;ROW(U64))*(U$2:U$1073&lt;&gt;""))),"")</f>
        <v>0.50624263499677247</v>
      </c>
      <c r="AD64" cm="1">
        <f t="array" ref="AD64">IFERROR(AVERAGE(_xlfn._xlws.FILTER(V$2:V$1073,($C$2:$C$1073=$C64)*($E$2:$E$1073=$E64)*(ROW(V$2:V$1073)&lt;&gt;ROW(V64))*(V$2:V$1073&lt;&gt;""))),"")</f>
        <v>0.33253248944200653</v>
      </c>
      <c r="AE64">
        <f>IF('Дивиденды по годам'!M64&lt;0,1,0)</f>
        <v>0</v>
      </c>
    </row>
    <row r="65" spans="1:31" x14ac:dyDescent="0.2">
      <c r="A65" s="7" t="s">
        <v>2314</v>
      </c>
      <c r="B65" t="str">
        <f t="shared" si="0"/>
        <v>RNFT IV кв. 2010</v>
      </c>
      <c r="C65">
        <v>2010</v>
      </c>
      <c r="D65">
        <f>SUMIFS(Дивиденды!$C:$C,Дивиденды!$A:$A,A65,Дивиденды!$I:$I,C65)</f>
        <v>0</v>
      </c>
      <c r="E65">
        <v>1</v>
      </c>
      <c r="F65">
        <f t="shared" si="1"/>
        <v>0</v>
      </c>
      <c r="G65">
        <f t="shared" si="2"/>
        <v>12.521666666666667</v>
      </c>
      <c r="H65">
        <f t="shared" si="3"/>
        <v>0</v>
      </c>
      <c r="I65">
        <f t="shared" si="4"/>
        <v>1</v>
      </c>
      <c r="J65" t="str">
        <f t="shared" si="5"/>
        <v/>
      </c>
      <c r="K65" t="str">
        <f t="shared" si="10"/>
        <v/>
      </c>
      <c r="L65" t="str">
        <f t="shared" si="6"/>
        <v/>
      </c>
      <c r="M65" t="str">
        <f t="shared" si="7"/>
        <v/>
      </c>
      <c r="N65" t="str">
        <f t="shared" si="8"/>
        <v/>
      </c>
      <c r="O65" t="str">
        <f t="shared" si="9"/>
        <v/>
      </c>
      <c r="P65" t="str">
        <f>IFERROR(LN('Дивиденды по годам'!I65),"")</f>
        <v/>
      </c>
      <c r="Q65" t="str">
        <f>IFERROR('Дивиденды по годам'!G65/'Дивиденды по годам'!I65, "")</f>
        <v/>
      </c>
      <c r="R65" t="str">
        <f>IFERROR(IF(AND('Дивиденды по годам'!N65&lt;&gt;"",'Дивиденды по годам'!U65&lt;&gt;"",'Дивиденды по годам'!U65&lt;&gt;0),'Дивиденды по годам'!N65/'Дивиденды по годам'!U65-1,""),"")</f>
        <v/>
      </c>
      <c r="S65" t="str">
        <f>IFERROR(IF(AND('Дивиденды по годам'!L65&lt;&gt;"",'Дивиденды по годам'!I65&lt;&gt;"",'Дивиденды по годам'!J65&lt;&gt;"",'Дивиденды по годам'!K65&lt;&gt;"",('Дивиденды по годам'!I65-'Дивиденды по годам'!J65-'Дивиденды по годам'!K65)&lt;&gt;0),'Дивиденды по годам'!L65/('Дивиденды по годам'!I65-'Дивиденды по годам'!J65-'Дивиденды по годам'!K65),""),"")</f>
        <v/>
      </c>
      <c r="T65" t="str">
        <f>IFERROR(IF(AND('Дивиденды по годам'!Q65&lt;&gt;"",'Дивиденды по годам'!I65&lt;&gt;"",'Дивиденды по годам'!V65&lt;&gt;"",('Дивиденды по годам'!I65+'Дивиденды по годам'!V65)&lt;&gt;0),'Дивиденды по годам'!Q65/(('Дивиденды по годам'!I65+'Дивиденды по годам'!V65)/2),""),"")</f>
        <v/>
      </c>
      <c r="U65" t="str">
        <f>IFERROR(IF(AND('Дивиденды по годам'!J65&lt;&gt;"",'Дивиденды по годам'!K65&lt;&gt;"",'Дивиденды по годам'!M65&lt;&gt;"",'Дивиденды по годам'!M65&lt;&gt;0),('Дивиденды по годам'!J65+'Дивиденды по годам'!K65)/'Дивиденды по годам'!M65,""),"")</f>
        <v/>
      </c>
      <c r="V65" t="str">
        <f>IFERROR(IF(AND('Дивиденды по годам'!J65&lt;&gt;"",'Дивиденды по годам'!K65&lt;&gt;"",'Дивиденды по годам'!M65&lt;&gt;"",'Дивиденды по годам'!I65&lt;&gt;0),('Дивиденды по годам'!J65+'Дивиденды по годам'!K65)/'Дивиденды по годам'!I65,""),"")</f>
        <v/>
      </c>
      <c r="W65" t="str">
        <f>IFERROR('Дивиденды по годам'!I65,"")</f>
        <v/>
      </c>
      <c r="X65" cm="1">
        <f t="array" ref="X65">IFERROR(AVERAGE(_xlfn._xlws.FILTER(P$2:P$1073,($C$2:$C$1073=$C65)*($E$2:$E$1073=$E65)*(ROW(P$2:P$1073)&lt;&gt;ROW(P65))*(P$2:P$1073&lt;&gt;""))),"")</f>
        <v>28.26609277365635</v>
      </c>
      <c r="Y65" cm="1">
        <f t="array" ref="Y65">IFERROR(AVERAGE(_xlfn._xlws.FILTER(Q$2:Q$1073,($C$2:$C$1073=$C65)*($E$2:$E$1073=$E65)*(ROW(Q$2:Q$1073)&lt;&gt;ROW(Q65))*(Q$2:Q$1073&lt;&gt;""))),"")</f>
        <v>0.63165964928088458</v>
      </c>
      <c r="Z65" cm="1">
        <f t="array" ref="Z65">IFERROR(AVERAGE(_xlfn._xlws.FILTER(R$2:R$1073,($C$2:$C$1073=$C65)*($E$2:$E$1073=$E65)*(ROW(R$2:R$1073)&lt;&gt;ROW(R65))*(R$2:R$1073&lt;&gt;""))),"")</f>
        <v>0.23861324477859247</v>
      </c>
      <c r="AA65" cm="1">
        <f t="array" ref="AA65">IFERROR(AVERAGE(_xlfn._xlws.FILTER(S$2:S$1073,($C$2:$C$1073=$C65)*($E$2:$E$1073=$E65)*(ROW(S$2:S$1073)&lt;&gt;ROW(S65))*(S$2:S$1073&lt;&gt;""))),"")</f>
        <v>0.85870775810089295</v>
      </c>
      <c r="AB65" cm="1">
        <f t="array" ref="AB65">IFERROR(AVERAGE(_xlfn._xlws.FILTER(T$2:T$1073,($C$2:$C$1073=$C65)*($E$2:$E$1073=$E65)*(ROW(T$2:T$1073)&lt;&gt;ROW(T65))*(T$2:T$1073&lt;&gt;""))),"")</f>
        <v>0.10947396081496689</v>
      </c>
      <c r="AC65" cm="1">
        <f t="array" ref="AC65">IFERROR(AVERAGE(_xlfn._xlws.FILTER(U$2:U$1073,($C$2:$C$1073=$C65)*($E$2:$E$1073=$E65)*(ROW(U$2:U$1073)&lt;&gt;ROW(U65))*(U$2:U$1073&lt;&gt;""))),"")</f>
        <v>0.50738882547166109</v>
      </c>
      <c r="AD65" cm="1">
        <f t="array" ref="AD65">IFERROR(AVERAGE(_xlfn._xlws.FILTER(V$2:V$1073,($C$2:$C$1073=$C65)*($E$2:$E$1073=$E65)*(ROW(V$2:V$1073)&lt;&gt;ROW(V65))*(V$2:V$1073&lt;&gt;""))),"")</f>
        <v>0.33149246799378812</v>
      </c>
      <c r="AE65">
        <f>IF('Дивиденды по годам'!M65&lt;0,1,0)</f>
        <v>0</v>
      </c>
    </row>
    <row r="66" spans="1:31" x14ac:dyDescent="0.2">
      <c r="A66" s="7" t="s">
        <v>2184</v>
      </c>
      <c r="B66" t="str">
        <f t="shared" si="0"/>
        <v>ROSN IV кв. 2025</v>
      </c>
      <c r="C66">
        <v>2025</v>
      </c>
      <c r="D66">
        <f>SUMIFS(Дивиденды!$C:$C,Дивиденды!$A:$A,A66,Дивиденды!$I:$I,C66)</f>
        <v>11.56</v>
      </c>
      <c r="E66">
        <v>1</v>
      </c>
      <c r="F66">
        <f t="shared" si="1"/>
        <v>11.56</v>
      </c>
      <c r="G66">
        <f t="shared" si="2"/>
        <v>75.83</v>
      </c>
      <c r="H66">
        <f t="shared" si="3"/>
        <v>1</v>
      </c>
      <c r="I66">
        <f t="shared" si="4"/>
        <v>0.5</v>
      </c>
      <c r="J66">
        <f t="shared" si="5"/>
        <v>-0.77399804496578684</v>
      </c>
      <c r="K66">
        <f t="shared" si="10"/>
        <v>-0.49396657581716513</v>
      </c>
      <c r="L66">
        <f t="shared" si="6"/>
        <v>0</v>
      </c>
      <c r="M66">
        <f t="shared" si="7"/>
        <v>0</v>
      </c>
      <c r="N66">
        <f t="shared" si="8"/>
        <v>1</v>
      </c>
      <c r="O66">
        <f t="shared" si="9"/>
        <v>0.66666666666666663</v>
      </c>
      <c r="P66" t="str">
        <f>IFERROR(LN('Дивиденды по годам'!I66),"")</f>
        <v/>
      </c>
      <c r="Q66" t="str">
        <f>IFERROR('Дивиденды по годам'!G66/'Дивиденды по годам'!I66, "")</f>
        <v/>
      </c>
      <c r="R66" t="str">
        <f>IFERROR(IF(AND('Дивиденды по годам'!N66&lt;&gt;"",'Дивиденды по годам'!U66&lt;&gt;"",'Дивиденды по годам'!U66&lt;&gt;0),'Дивиденды по годам'!N66/'Дивиденды по годам'!U66-1,""),"")</f>
        <v/>
      </c>
      <c r="S66" t="str">
        <f>IFERROR(IF(AND('Дивиденды по годам'!L66&lt;&gt;"",'Дивиденды по годам'!I66&lt;&gt;"",'Дивиденды по годам'!J66&lt;&gt;"",'Дивиденды по годам'!K66&lt;&gt;"",('Дивиденды по годам'!I66-'Дивиденды по годам'!J66-'Дивиденды по годам'!K66)&lt;&gt;0),'Дивиденды по годам'!L66/('Дивиденды по годам'!I66-'Дивиденды по годам'!J66-'Дивиденды по годам'!K66),""),"")</f>
        <v/>
      </c>
      <c r="T66" t="str">
        <f>IFERROR(IF(AND('Дивиденды по годам'!Q66&lt;&gt;"",'Дивиденды по годам'!I66&lt;&gt;"",'Дивиденды по годам'!V66&lt;&gt;"",('Дивиденды по годам'!I66+'Дивиденды по годам'!V66)&lt;&gt;0),'Дивиденды по годам'!Q66/(('Дивиденды по годам'!I66+'Дивиденды по годам'!V66)/2),""),"")</f>
        <v/>
      </c>
      <c r="U66" t="str">
        <f>IFERROR(IF(AND('Дивиденды по годам'!J66&lt;&gt;"",'Дивиденды по годам'!K66&lt;&gt;"",'Дивиденды по годам'!M66&lt;&gt;"",'Дивиденды по годам'!M66&lt;&gt;0),('Дивиденды по годам'!J66+'Дивиденды по годам'!K66)/'Дивиденды по годам'!M66,""),"")</f>
        <v/>
      </c>
      <c r="V66" t="str">
        <f>IFERROR(IF(AND('Дивиденды по годам'!J66&lt;&gt;"",'Дивиденды по годам'!K66&lt;&gt;"",'Дивиденды по годам'!M66&lt;&gt;"",'Дивиденды по годам'!I66&lt;&gt;0),('Дивиденды по годам'!J66+'Дивиденды по годам'!K66)/'Дивиденды по годам'!I66,""),"")</f>
        <v/>
      </c>
      <c r="W66" t="str">
        <f>IFERROR('Дивиденды по годам'!I66,"")</f>
        <v/>
      </c>
      <c r="X66" cm="1">
        <f t="array" ref="X66">IFERROR(AVERAGE(_xlfn._xlws.FILTER(P$2:P$1073,($C$2:$C$1073=$C66)*($E$2:$E$1073=$E66)*(ROW(P$2:P$1073)&lt;&gt;ROW(P66))*(P$2:P$1073&lt;&gt;""))),"")</f>
        <v>28.307188246358621</v>
      </c>
      <c r="Y66" cm="1">
        <f t="array" ref="Y66">IFERROR(AVERAGE(_xlfn._xlws.FILTER(Q$2:Q$1073,($C$2:$C$1073=$C66)*($E$2:$E$1073=$E66)*(ROW(Q$2:Q$1073)&lt;&gt;ROW(Q66))*(Q$2:Q$1073&lt;&gt;""))),"")</f>
        <v>0.53419343836509714</v>
      </c>
      <c r="Z66" cm="1">
        <f t="array" ref="Z66">IFERROR(AVERAGE(_xlfn._xlws.FILTER(R$2:R$1073,($C$2:$C$1073=$C66)*($E$2:$E$1073=$E66)*(ROW(R$2:R$1073)&lt;&gt;ROW(R66))*(R$2:R$1073&lt;&gt;""))),"")</f>
        <v>-0.25128971877251305</v>
      </c>
      <c r="AA66" cm="1">
        <f t="array" ref="AA66">IFERROR(AVERAGE(_xlfn._xlws.FILTER(S$2:S$1073,($C$2:$C$1073=$C66)*($E$2:$E$1073=$E66)*(ROW(S$2:S$1073)&lt;&gt;ROW(S66))*(S$2:S$1073&lt;&gt;""))),"")</f>
        <v>0.7103915367710556</v>
      </c>
      <c r="AB66" cm="1">
        <f t="array" ref="AB66">IFERROR(AVERAGE(_xlfn._xlws.FILTER(T$2:T$1073,($C$2:$C$1073=$C66)*($E$2:$E$1073=$E66)*(ROW(T$2:T$1073)&lt;&gt;ROW(T66))*(T$2:T$1073&lt;&gt;""))),"")</f>
        <v>1.109913570195168E-2</v>
      </c>
      <c r="AC66" cm="1">
        <f t="array" ref="AC66">IFERROR(AVERAGE(_xlfn._xlws.FILTER(U$2:U$1073,($C$2:$C$1073=$C66)*($E$2:$E$1073=$E66)*(ROW(U$2:U$1073)&lt;&gt;ROW(U66))*(U$2:U$1073&lt;&gt;""))),"")</f>
        <v>0.71283761221882813</v>
      </c>
      <c r="AD66" cm="1">
        <f t="array" ref="AD66">IFERROR(AVERAGE(_xlfn._xlws.FILTER(V$2:V$1073,($C$2:$C$1073=$C66)*($E$2:$E$1073=$E66)*(ROW(V$2:V$1073)&lt;&gt;ROW(V66))*(V$2:V$1073&lt;&gt;""))),"")</f>
        <v>0.37992268115994704</v>
      </c>
      <c r="AE66">
        <f>IF('Дивиденды по годам'!M66&lt;0,1,0)</f>
        <v>0</v>
      </c>
    </row>
    <row r="67" spans="1:31" x14ac:dyDescent="0.2">
      <c r="A67" s="7" t="s">
        <v>2184</v>
      </c>
      <c r="B67" t="str">
        <f t="shared" ref="B67:B130" si="11">A67&amp;" "&amp;
"IV"
&amp;" кв. "&amp;C67</f>
        <v>ROSN IV кв. 2024</v>
      </c>
      <c r="C67">
        <v>2024</v>
      </c>
      <c r="D67">
        <f>SUMIFS(Дивиденды!$C:$C,Дивиденды!$A:$A,A67,Дивиденды!$I:$I,C67)</f>
        <v>51.15</v>
      </c>
      <c r="E67">
        <v>1</v>
      </c>
      <c r="F67">
        <f t="shared" ref="F67:F130" si="12">D67</f>
        <v>51.15</v>
      </c>
      <c r="G67">
        <f t="shared" ref="G67:G130" si="13">AVERAGEIFS($D:$D,$E:$E,E67,$C:$C,C67,$A:$A,"&lt;&gt;"&amp;A67)</f>
        <v>206.12500000000003</v>
      </c>
      <c r="H67">
        <f t="shared" ref="H67:H130" si="14">IF(D67&gt;0,1,0)</f>
        <v>1</v>
      </c>
      <c r="I67">
        <f t="shared" ref="I67:I130" si="15">IFERROR((COUNTIFS($E:$E,E67,$C:$C,C67,$H:$H,1)-H67)/(COUNTIFS($E:$E,E67,$C:$C,C67)-1),0)</f>
        <v>0.66666666666666663</v>
      </c>
      <c r="J67">
        <f t="shared" ref="J67:J130" si="16">IF(A68&lt;&gt;A67,"",IF(D67=D68,0,IF(AND(D68=0,D67&lt;&gt;0), 1,(D67-D68)/D68)))</f>
        <v>-0.14436266309802614</v>
      </c>
      <c r="K67">
        <f t="shared" si="10"/>
        <v>5.7274411587115215E-2</v>
      </c>
      <c r="L67">
        <f t="shared" ref="L67:L130" si="17">IF(J67&lt;&gt;"",IF(J67&gt;0,1,0),"")</f>
        <v>0</v>
      </c>
      <c r="M67">
        <f t="shared" ref="M67:M130" si="18">IFERROR(AVERAGEIFS($L:$L,$E:$E,E67,$C:$C,C67,$A:$A,"&lt;&gt;"&amp;A67),"")</f>
        <v>0.66666666666666663</v>
      </c>
      <c r="N67">
        <f t="shared" ref="N67:N130" si="19">IF(J67&lt;&gt;"",IF(J67&lt;0,1,0),"")</f>
        <v>1</v>
      </c>
      <c r="O67">
        <f t="shared" ref="O67:O130" si="20">IFERROR(AVERAGEIFS($N:$N,$E:$E,E67,$C:$C,C67,$A:$A,"&lt;&gt;"&amp;A67),"")</f>
        <v>0</v>
      </c>
      <c r="P67">
        <f>IFERROR(LN('Дивиденды по годам'!I67),"")</f>
        <v>30.660284872691332</v>
      </c>
      <c r="Q67">
        <f>IFERROR('Дивиденды по годам'!G67/'Дивиденды по годам'!I67, "")</f>
        <v>0.67382264771298717</v>
      </c>
      <c r="R67">
        <f>IFERROR(IF(AND('Дивиденды по годам'!N67&lt;&gt;"",'Дивиденды по годам'!U67&lt;&gt;"",'Дивиденды по годам'!U67&lt;&gt;0),'Дивиденды по годам'!N67/'Дивиденды по годам'!U67-1,""),"")</f>
        <v>0.10651533340608976</v>
      </c>
      <c r="S67">
        <f>IFERROR(IF(AND('Дивиденды по годам'!L67&lt;&gt;"",'Дивиденды по годам'!I67&lt;&gt;"",'Дивиденды по годам'!J67&lt;&gt;"",'Дивиденды по годам'!K67&lt;&gt;"",('Дивиденды по годам'!I67-'Дивиденды по годам'!J67-'Дивиденды по годам'!K67)&lt;&gt;0),'Дивиденды по годам'!L67/('Дивиденды по годам'!I67-'Дивиденды по годам'!J67-'Дивиденды по годам'!K67),""),"")</f>
        <v>0.69313093808015724</v>
      </c>
      <c r="T67">
        <f>IFERROR(IF(AND('Дивиденды по годам'!Q67&lt;&gt;"",'Дивиденды по годам'!I67&lt;&gt;"",'Дивиденды по годам'!V67&lt;&gt;"",('Дивиденды по годам'!I67+'Дивиденды по годам'!V67)&lt;&gt;0),'Дивиденды по годам'!Q67/(('Дивиденды по годам'!I67+'Дивиденды по годам'!V67)/2),""),"")</f>
        <v>6.795206364488586E-2</v>
      </c>
      <c r="U67">
        <f>IFERROR(IF(AND('Дивиденды по годам'!J67&lt;&gt;"",'Дивиденды по годам'!K67&lt;&gt;"",'Дивиденды по годам'!M67&lt;&gt;"",'Дивиденды по годам'!M67&lt;&gt;0),('Дивиденды по годам'!J67+'Дивиденды по годам'!K67)/'Дивиденды по годам'!M67,""),"")</f>
        <v>1.2585999781587855</v>
      </c>
      <c r="V67">
        <f>IFERROR(IF(AND('Дивиденды по годам'!J67&lt;&gt;"",'Дивиденды по годам'!K67&lt;&gt;"",'Дивиденды по годам'!M67&lt;&gt;"",'Дивиденды по годам'!I67&lt;&gt;0),('Дивиденды по годам'!J67+'Дивиденды по годам'!K67)/'Дивиденды по годам'!I67,""),"")</f>
        <v>0.55724784837056374</v>
      </c>
      <c r="W67">
        <f>IFERROR('Дивиденды по годам'!I67,"")</f>
        <v>20682000000000</v>
      </c>
      <c r="X67" cm="1">
        <f t="array" ref="X67">IFERROR(AVERAGE(_xlfn._xlws.FILTER(P$2:P$1073,($C$2:$C$1073=$C67)*($E$2:$E$1073=$E67)*(ROW(P$2:P$1073)&lt;&gt;ROW(P67))*(P$2:P$1073&lt;&gt;""))),"")</f>
        <v>28.974698339513775</v>
      </c>
      <c r="Y67" cm="1">
        <f t="array" ref="Y67">IFERROR(AVERAGE(_xlfn._xlws.FILTER(Q$2:Q$1073,($C$2:$C$1073=$C67)*($E$2:$E$1073=$E67)*(ROW(Q$2:Q$1073)&lt;&gt;ROW(Q67))*(Q$2:Q$1073&lt;&gt;""))),"")</f>
        <v>0.51260941037841301</v>
      </c>
      <c r="Z67" cm="1">
        <f t="array" ref="Z67">IFERROR(AVERAGE(_xlfn._xlws.FILTER(R$2:R$1073,($C$2:$C$1073=$C67)*($E$2:$E$1073=$E67)*(ROW(R$2:R$1073)&lt;&gt;ROW(R67))*(R$2:R$1073&lt;&gt;""))),"")</f>
        <v>0.20075355344561227</v>
      </c>
      <c r="AA67" cm="1">
        <f t="array" ref="AA67">IFERROR(AVERAGE(_xlfn._xlws.FILTER(S$2:S$1073,($C$2:$C$1073=$C67)*($E$2:$E$1073=$E67)*(ROW(S$2:S$1073)&lt;&gt;ROW(S67))*(S$2:S$1073&lt;&gt;""))),"")</f>
        <v>0.84647038874213099</v>
      </c>
      <c r="AB67" cm="1">
        <f t="array" ref="AB67">IFERROR(AVERAGE(_xlfn._xlws.FILTER(T$2:T$1073,($C$2:$C$1073=$C67)*($E$2:$E$1073=$E67)*(ROW(T$2:T$1073)&lt;&gt;ROW(T67))*(T$2:T$1073&lt;&gt;""))),"")</f>
        <v>0.11706491860005919</v>
      </c>
      <c r="AC67" cm="1">
        <f t="array" ref="AC67">IFERROR(AVERAGE(_xlfn._xlws.FILTER(U$2:U$1073,($C$2:$C$1073=$C67)*($E$2:$E$1073=$E67)*(ROW(U$2:U$1073)&lt;&gt;ROW(U67))*(U$2:U$1073&lt;&gt;""))),"")</f>
        <v>0.74782080677274776</v>
      </c>
      <c r="AD67" cm="1">
        <f t="array" ref="AD67">IFERROR(AVERAGE(_xlfn._xlws.FILTER(V$2:V$1073,($C$2:$C$1073=$C67)*($E$2:$E$1073=$E67)*(ROW(V$2:V$1073)&lt;&gt;ROW(V67))*(V$2:V$1073&lt;&gt;""))),"")</f>
        <v>0.38897365413422358</v>
      </c>
      <c r="AE67">
        <f>IF('Дивиденды по годам'!M67&lt;0,1,0)</f>
        <v>0</v>
      </c>
    </row>
    <row r="68" spans="1:31" x14ac:dyDescent="0.2">
      <c r="A68" s="7" t="s">
        <v>2184</v>
      </c>
      <c r="B68" t="str">
        <f t="shared" si="11"/>
        <v>ROSN IV кв. 2023</v>
      </c>
      <c r="C68">
        <v>2023</v>
      </c>
      <c r="D68">
        <f>SUMIFS(Дивиденды!$C:$C,Дивиденды!$A:$A,A68,Дивиденды!$I:$I,C68)</f>
        <v>59.78</v>
      </c>
      <c r="E68">
        <v>1</v>
      </c>
      <c r="F68">
        <f t="shared" si="12"/>
        <v>59.78</v>
      </c>
      <c r="G68">
        <f t="shared" si="13"/>
        <v>185.38666666666668</v>
      </c>
      <c r="H68">
        <f t="shared" si="14"/>
        <v>1</v>
      </c>
      <c r="I68">
        <f t="shared" si="15"/>
        <v>0.66666666666666663</v>
      </c>
      <c r="J68">
        <f t="shared" si="16"/>
        <v>0.55839416058394165</v>
      </c>
      <c r="K68">
        <f t="shared" ref="K68:K131" si="21">IFERROR(AVERAGEIFS($J:$J,$E:$E,E68,$C:$C,C68,$A:$A,"&lt;&gt;"&amp;A68),"")</f>
        <v>-0.18654730992500812</v>
      </c>
      <c r="L68">
        <f t="shared" si="17"/>
        <v>1</v>
      </c>
      <c r="M68">
        <f t="shared" si="18"/>
        <v>0.33333333333333331</v>
      </c>
      <c r="N68">
        <f t="shared" si="19"/>
        <v>0</v>
      </c>
      <c r="O68">
        <f t="shared" si="20"/>
        <v>0.5</v>
      </c>
      <c r="P68">
        <f>IFERROR(LN('Дивиденды по годам'!I68),"")</f>
        <v>30.564186257213709</v>
      </c>
      <c r="Q68">
        <f>IFERROR('Дивиденды по годам'!G68/'Дивиденды по годам'!I68, "")</f>
        <v>0.67275243519454941</v>
      </c>
      <c r="R68" t="str">
        <f>IFERROR(IF(AND('Дивиденды по годам'!N68&lt;&gt;"",'Дивиденды по годам'!U68&lt;&gt;"",'Дивиденды по годам'!U68&lt;&gt;0),'Дивиденды по годам'!N68/'Дивиденды по годам'!U68-1,""),"")</f>
        <v/>
      </c>
      <c r="S68">
        <f>IFERROR(IF(AND('Дивиденды по годам'!L68&lt;&gt;"",'Дивиденды по годам'!I68&lt;&gt;"",'Дивиденды по годам'!J68&lt;&gt;"",'Дивиденды по годам'!K68&lt;&gt;"",('Дивиденды по годам'!I68-'Дивиденды по годам'!J68-'Дивиденды по годам'!K68)&lt;&gt;0),'Дивиденды по годам'!L68/('Дивиденды по годам'!I68-'Дивиденды по годам'!J68-'Дивиденды по годам'!K68),""),"")</f>
        <v>0.69942952222486332</v>
      </c>
      <c r="T68" t="str">
        <f>IFERROR(IF(AND('Дивиденды по годам'!Q68&lt;&gt;"",'Дивиденды по годам'!I68&lt;&gt;"",'Дивиденды по годам'!V68&lt;&gt;"",('Дивиденды по годам'!I68+'Дивиденды по годам'!V68)&lt;&gt;0),'Дивиденды по годам'!Q68/(('Дивиденды по годам'!I68+'Дивиденды по годам'!V68)/2),""),"")</f>
        <v/>
      </c>
      <c r="U68">
        <f>IFERROR(IF(AND('Дивиденды по годам'!J68&lt;&gt;"",'Дивиденды по годам'!K68&lt;&gt;"",'Дивиденды по годам'!M68&lt;&gt;"",'Дивиденды по годам'!M68&lt;&gt;0),('Дивиденды по годам'!J68+'Дивиденды по годам'!K68)/'Дивиденды по годам'!M68,""),"")</f>
        <v>1.2328262419776563</v>
      </c>
      <c r="V68">
        <f>IFERROR(IF(AND('Дивиденды по годам'!J68&lt;&gt;"",'Дивиденды по годам'!K68&lt;&gt;"",'Дивиденды по годам'!M68&lt;&gt;"",'Дивиденды по годам'!I68&lt;&gt;0),('Дивиденды по годам'!J68+'Дивиденды по годам'!K68)/'Дивиденды по годам'!I68,""),"")</f>
        <v>0.55213711609091398</v>
      </c>
      <c r="W68">
        <f>IFERROR('Дивиденды по годам'!I68,"")</f>
        <v>18787000000000</v>
      </c>
      <c r="X68" cm="1">
        <f t="array" ref="X68">IFERROR(AVERAGE(_xlfn._xlws.FILTER(P$2:P$1073,($C$2:$C$1073=$C68)*($E$2:$E$1073=$E68)*(ROW(P$2:P$1073)&lt;&gt;ROW(P68))*(P$2:P$1073&lt;&gt;""))),"")</f>
        <v>29.021189832833397</v>
      </c>
      <c r="Y68" cm="1">
        <f t="array" ref="Y68">IFERROR(AVERAGE(_xlfn._xlws.FILTER(Q$2:Q$1073,($C$2:$C$1073=$C68)*($E$2:$E$1073=$E68)*(ROW(Q$2:Q$1073)&lt;&gt;ROW(Q68))*(Q$2:Q$1073&lt;&gt;""))),"")</f>
        <v>0.46837585480951666</v>
      </c>
      <c r="Z68" cm="1">
        <f t="array" ref="Z68">IFERROR(AVERAGE(_xlfn._xlws.FILTER(R$2:R$1073,($C$2:$C$1073=$C68)*($E$2:$E$1073=$E68)*(ROW(R$2:R$1073)&lt;&gt;ROW(R68))*(R$2:R$1073&lt;&gt;""))),"")</f>
        <v>-9.5200738872077639E-2</v>
      </c>
      <c r="AA68" cm="1">
        <f t="array" ref="AA68">IFERROR(AVERAGE(_xlfn._xlws.FILTER(S$2:S$1073,($C$2:$C$1073=$C68)*($E$2:$E$1073=$E68)*(ROW(S$2:S$1073)&lt;&gt;ROW(S68))*(S$2:S$1073&lt;&gt;""))),"")</f>
        <v>0.84051643366032525</v>
      </c>
      <c r="AB68" cm="1">
        <f t="array" ref="AB68">IFERROR(AVERAGE(_xlfn._xlws.FILTER(T$2:T$1073,($C$2:$C$1073=$C68)*($E$2:$E$1073=$E68)*(ROW(T$2:T$1073)&lt;&gt;ROW(T68))*(T$2:T$1073&lt;&gt;""))),"")</f>
        <v>8.3497415799470329E-2</v>
      </c>
      <c r="AC68" cm="1">
        <f t="array" ref="AC68">IFERROR(AVERAGE(_xlfn._xlws.FILTER(U$2:U$1073,($C$2:$C$1073=$C68)*($E$2:$E$1073=$E68)*(ROW(U$2:U$1073)&lt;&gt;ROW(U68))*(U$2:U$1073&lt;&gt;""))),"")</f>
        <v>0.75692151502007354</v>
      </c>
      <c r="AD68" cm="1">
        <f t="array" ref="AD68">IFERROR(AVERAGE(_xlfn._xlws.FILTER(V$2:V$1073,($C$2:$C$1073=$C68)*($E$2:$E$1073=$E68)*(ROW(V$2:V$1073)&lt;&gt;ROW(V68))*(V$2:V$1073&lt;&gt;""))),"")</f>
        <v>0.35168774678660314</v>
      </c>
      <c r="AE68">
        <f>IF('Дивиденды по годам'!M68&lt;0,1,0)</f>
        <v>0</v>
      </c>
    </row>
    <row r="69" spans="1:31" x14ac:dyDescent="0.2">
      <c r="A69" s="7" t="s">
        <v>2184</v>
      </c>
      <c r="B69" t="str">
        <f t="shared" si="11"/>
        <v>ROSN IV кв. 2022</v>
      </c>
      <c r="C69">
        <v>2022</v>
      </c>
      <c r="D69">
        <f>SUMIFS(Дивиденды!$C:$C,Дивиденды!$A:$A,A69,Дивиденды!$I:$I,C69)</f>
        <v>38.36</v>
      </c>
      <c r="E69">
        <v>1</v>
      </c>
      <c r="F69">
        <f t="shared" si="12"/>
        <v>38.36</v>
      </c>
      <c r="G69">
        <f t="shared" si="13"/>
        <v>242.61499999999998</v>
      </c>
      <c r="H69">
        <f t="shared" si="14"/>
        <v>1</v>
      </c>
      <c r="I69">
        <f t="shared" si="15"/>
        <v>0.83333333333333337</v>
      </c>
      <c r="J69">
        <f t="shared" si="16"/>
        <v>-7.921267402784439E-2</v>
      </c>
      <c r="K69">
        <f t="shared" si="21"/>
        <v>0.77938882285915889</v>
      </c>
      <c r="L69">
        <f t="shared" si="17"/>
        <v>0</v>
      </c>
      <c r="M69">
        <f t="shared" si="18"/>
        <v>0.66666666666666663</v>
      </c>
      <c r="N69">
        <f t="shared" si="19"/>
        <v>1</v>
      </c>
      <c r="O69">
        <f t="shared" si="20"/>
        <v>0</v>
      </c>
      <c r="P69" t="str">
        <f>IFERROR(LN('Дивиденды по годам'!I69),"")</f>
        <v/>
      </c>
      <c r="Q69" t="str">
        <f>IFERROR('Дивиденды по годам'!G69/'Дивиденды по годам'!I69, "")</f>
        <v/>
      </c>
      <c r="R69" t="str">
        <f>IFERROR(IF(AND('Дивиденды по годам'!N69&lt;&gt;"",'Дивиденды по годам'!U69&lt;&gt;"",'Дивиденды по годам'!U69&lt;&gt;0),'Дивиденды по годам'!N69/'Дивиденды по годам'!U69-1,""),"")</f>
        <v/>
      </c>
      <c r="S69" t="str">
        <f>IFERROR(IF(AND('Дивиденды по годам'!L69&lt;&gt;"",'Дивиденды по годам'!I69&lt;&gt;"",'Дивиденды по годам'!J69&lt;&gt;"",'Дивиденды по годам'!K69&lt;&gt;"",('Дивиденды по годам'!I69-'Дивиденды по годам'!J69-'Дивиденды по годам'!K69)&lt;&gt;0),'Дивиденды по годам'!L69/('Дивиденды по годам'!I69-'Дивиденды по годам'!J69-'Дивиденды по годам'!K69),""),"")</f>
        <v/>
      </c>
      <c r="T69" t="str">
        <f>IFERROR(IF(AND('Дивиденды по годам'!Q69&lt;&gt;"",'Дивиденды по годам'!I69&lt;&gt;"",'Дивиденды по годам'!V69&lt;&gt;"",('Дивиденды по годам'!I69+'Дивиденды по годам'!V69)&lt;&gt;0),'Дивиденды по годам'!Q69/(('Дивиденды по годам'!I69+'Дивиденды по годам'!V69)/2),""),"")</f>
        <v/>
      </c>
      <c r="U69" t="str">
        <f>IFERROR(IF(AND('Дивиденды по годам'!J69&lt;&gt;"",'Дивиденды по годам'!K69&lt;&gt;"",'Дивиденды по годам'!M69&lt;&gt;"",'Дивиденды по годам'!M69&lt;&gt;0),('Дивиденды по годам'!J69+'Дивиденды по годам'!K69)/'Дивиденды по годам'!M69,""),"")</f>
        <v/>
      </c>
      <c r="V69" t="str">
        <f>IFERROR(IF(AND('Дивиденды по годам'!J69&lt;&gt;"",'Дивиденды по годам'!K69&lt;&gt;"",'Дивиденды по годам'!M69&lt;&gt;"",'Дивиденды по годам'!I69&lt;&gt;0),('Дивиденды по годам'!J69+'Дивиденды по годам'!K69)/'Дивиденды по годам'!I69,""),"")</f>
        <v/>
      </c>
      <c r="W69" t="str">
        <f>IFERROR('Дивиденды по годам'!I69,"")</f>
        <v/>
      </c>
      <c r="X69" cm="1">
        <f t="array" ref="X69">IFERROR(AVERAGE(_xlfn._xlws.FILTER(P$2:P$1073,($C$2:$C$1073=$C69)*($E$2:$E$1073=$E69)*(ROW(P$2:P$1073)&lt;&gt;ROW(P69))*(P$2:P$1073&lt;&gt;""))),"")</f>
        <v>28.727283056765771</v>
      </c>
      <c r="Y69" cm="1">
        <f t="array" ref="Y69">IFERROR(AVERAGE(_xlfn._xlws.FILTER(Q$2:Q$1073,($C$2:$C$1073=$C69)*($E$2:$E$1073=$E69)*(ROW(Q$2:Q$1073)&lt;&gt;ROW(Q69))*(Q$2:Q$1073&lt;&gt;""))),"")</f>
        <v>0.51128857729902477</v>
      </c>
      <c r="Z69" cm="1">
        <f t="array" ref="Z69">IFERROR(AVERAGE(_xlfn._xlws.FILTER(R$2:R$1073,($C$2:$C$1073=$C69)*($E$2:$E$1073=$E69)*(ROW(R$2:R$1073)&lt;&gt;ROW(R69))*(R$2:R$1073&lt;&gt;""))),"")</f>
        <v>0.11583545865184226</v>
      </c>
      <c r="AA69" cm="1">
        <f t="array" ref="AA69">IFERROR(AVERAGE(_xlfn._xlws.FILTER(S$2:S$1073,($C$2:$C$1073=$C69)*($E$2:$E$1073=$E69)*(ROW(S$2:S$1073)&lt;&gt;ROW(S69))*(S$2:S$1073&lt;&gt;""))),"")</f>
        <v>0.81623267945546474</v>
      </c>
      <c r="AB69" cm="1">
        <f t="array" ref="AB69">IFERROR(AVERAGE(_xlfn._xlws.FILTER(T$2:T$1073,($C$2:$C$1073=$C69)*($E$2:$E$1073=$E69)*(ROW(T$2:T$1073)&lt;&gt;ROW(T69))*(T$2:T$1073&lt;&gt;""))),"")</f>
        <v>0.10279179198494799</v>
      </c>
      <c r="AC69" cm="1">
        <f t="array" ref="AC69">IFERROR(AVERAGE(_xlfn._xlws.FILTER(U$2:U$1073,($C$2:$C$1073=$C69)*($E$2:$E$1073=$E69)*(ROW(U$2:U$1073)&lt;&gt;ROW(U69))*(U$2:U$1073&lt;&gt;""))),"")</f>
        <v>0.81000773545151117</v>
      </c>
      <c r="AD69" cm="1">
        <f t="array" ref="AD69">IFERROR(AVERAGE(_xlfn._xlws.FILTER(V$2:V$1073,($C$2:$C$1073=$C69)*($E$2:$E$1073=$E69)*(ROW(V$2:V$1073)&lt;&gt;ROW(V69))*(V$2:V$1073&lt;&gt;""))),"")</f>
        <v>0.37150994970564083</v>
      </c>
      <c r="AE69">
        <f>IF('Дивиденды по годам'!M69&lt;0,1,0)</f>
        <v>0</v>
      </c>
    </row>
    <row r="70" spans="1:31" x14ac:dyDescent="0.2">
      <c r="A70" s="7" t="s">
        <v>2184</v>
      </c>
      <c r="B70" t="str">
        <f t="shared" si="11"/>
        <v>ROSN IV кв. 2021</v>
      </c>
      <c r="C70">
        <v>2021</v>
      </c>
      <c r="D70">
        <f>SUMIFS(Дивиденды!$C:$C,Дивиденды!$A:$A,A70,Дивиденды!$I:$I,C70)</f>
        <v>41.66</v>
      </c>
      <c r="E70">
        <v>1</v>
      </c>
      <c r="F70">
        <f t="shared" si="12"/>
        <v>41.66</v>
      </c>
      <c r="G70">
        <f t="shared" si="13"/>
        <v>75.813333333333333</v>
      </c>
      <c r="H70">
        <f t="shared" si="14"/>
        <v>1</v>
      </c>
      <c r="I70">
        <f t="shared" si="15"/>
        <v>0.66666666666666663</v>
      </c>
      <c r="J70">
        <f t="shared" si="16"/>
        <v>5.0028818443804033</v>
      </c>
      <c r="K70">
        <f t="shared" si="21"/>
        <v>0.23031058629823709</v>
      </c>
      <c r="L70">
        <f t="shared" si="17"/>
        <v>1</v>
      </c>
      <c r="M70">
        <f t="shared" si="18"/>
        <v>0.66666666666666663</v>
      </c>
      <c r="N70">
        <f t="shared" si="19"/>
        <v>0</v>
      </c>
      <c r="O70">
        <f t="shared" si="20"/>
        <v>0.16666666666666666</v>
      </c>
      <c r="P70">
        <f>IFERROR(LN('Дивиденды по годам'!I70),"")</f>
        <v>30.431772034541794</v>
      </c>
      <c r="Q70">
        <f>IFERROR('Дивиденды по годам'!G70/'Дивиденды по годам'!I70, "")</f>
        <v>0.64319134714711068</v>
      </c>
      <c r="R70">
        <f>IFERROR(IF(AND('Дивиденды по годам'!N70&lt;&gt;"",'Дивиденды по годам'!U70&lt;&gt;"",'Дивиденды по годам'!U70&lt;&gt;0),'Дивиденды по годам'!N70/'Дивиденды по годам'!U70-1,""),"")</f>
        <v>0.52179954837589015</v>
      </c>
      <c r="S70">
        <f>IFERROR(IF(AND('Дивиденды по годам'!L70&lt;&gt;"",'Дивиденды по годам'!I70&lt;&gt;"",'Дивиденды по годам'!J70&lt;&gt;"",'Дивиденды по годам'!K70&lt;&gt;"",('Дивиденды по годам'!I70-'Дивиденды по годам'!J70-'Дивиденды по годам'!K70)&lt;&gt;0),'Дивиденды по годам'!L70/('Дивиденды по годам'!I70-'Дивиденды по годам'!J70-'Дивиденды по годам'!K70),""),"")</f>
        <v>0.71474803513638463</v>
      </c>
      <c r="T70">
        <f>IFERROR(IF(AND('Дивиденды по годам'!Q70&lt;&gt;"",'Дивиденды по годам'!I70&lt;&gt;"",'Дивиденды по годам'!V70&lt;&gt;"",('Дивиденды по годам'!I70+'Дивиденды по годам'!V70)&lt;&gt;0),'Дивиденды по годам'!Q70/(('Дивиденды по годам'!I70+'Дивиденды по годам'!V70)/2),""),"")</f>
        <v>6.3633791303801049E-2</v>
      </c>
      <c r="U70">
        <f>IFERROR(IF(AND('Дивиденды по годам'!J70&lt;&gt;"",'Дивиденды по годам'!K70&lt;&gt;"",'Дивиденды по годам'!M70&lt;&gt;"",'Дивиденды по годам'!M70&lt;&gt;0),('Дивиденды по годам'!J70+'Дивиденды по годам'!K70)/'Дивиденды по годам'!M70,""),"")</f>
        <v>1.5361380798274002</v>
      </c>
      <c r="V70">
        <f>IFERROR(IF(AND('Дивиденды по годам'!J70&lt;&gt;"",'Дивиденды по годам'!K70&lt;&gt;"",'Дивиденды по годам'!M70&lt;&gt;"",'Дивиденды по годам'!I70&lt;&gt;0),('Дивиденды по годам'!J70+'Дивиденды по годам'!K70)/'Дивиденды по годам'!I70,""),"")</f>
        <v>0.60569970225435987</v>
      </c>
      <c r="W70">
        <f>IFERROR('Дивиденды по годам'!I70,"")</f>
        <v>16457000000000</v>
      </c>
      <c r="X70" cm="1">
        <f t="array" ref="X70">IFERROR(AVERAGE(_xlfn._xlws.FILTER(P$2:P$1073,($C$2:$C$1073=$C70)*($E$2:$E$1073=$E70)*(ROW(P$2:P$1073)&lt;&gt;ROW(P70))*(P$2:P$1073&lt;&gt;""))),"")</f>
        <v>28.687381267113743</v>
      </c>
      <c r="Y70" cm="1">
        <f t="array" ref="Y70">IFERROR(AVERAGE(_xlfn._xlws.FILTER(Q$2:Q$1073,($C$2:$C$1073=$C70)*($E$2:$E$1073=$E70)*(ROW(Q$2:Q$1073)&lt;&gt;ROW(Q70))*(Q$2:Q$1073&lt;&gt;""))),"")</f>
        <v>0.54057702387832751</v>
      </c>
      <c r="Z70" cm="1">
        <f t="array" ref="Z70">IFERROR(AVERAGE(_xlfn._xlws.FILTER(R$2:R$1073,($C$2:$C$1073=$C70)*($E$2:$E$1073=$E70)*(ROW(R$2:R$1073)&lt;&gt;ROW(R70))*(R$2:R$1073&lt;&gt;""))),"")</f>
        <v>0.73927424814787579</v>
      </c>
      <c r="AA70" cm="1">
        <f t="array" ref="AA70">IFERROR(AVERAGE(_xlfn._xlws.FILTER(S$2:S$1073,($C$2:$C$1073=$C70)*($E$2:$E$1073=$E70)*(ROW(S$2:S$1073)&lt;&gt;ROW(S70))*(S$2:S$1073&lt;&gt;""))),"")</f>
        <v>0.82383650137268349</v>
      </c>
      <c r="AB70" cm="1">
        <f t="array" ref="AB70">IFERROR(AVERAGE(_xlfn._xlws.FILTER(T$2:T$1073,($C$2:$C$1073=$C70)*($E$2:$E$1073=$E70)*(ROW(T$2:T$1073)&lt;&gt;ROW(T70))*(T$2:T$1073&lt;&gt;""))),"")</f>
        <v>0.13334390541477839</v>
      </c>
      <c r="AC70" cm="1">
        <f t="array" ref="AC70">IFERROR(AVERAGE(_xlfn._xlws.FILTER(U$2:U$1073,($C$2:$C$1073=$C70)*($E$2:$E$1073=$E70)*(ROW(U$2:U$1073)&lt;&gt;ROW(U70))*(U$2:U$1073&lt;&gt;""))),"")</f>
        <v>0.94164700005161384</v>
      </c>
      <c r="AD70" cm="1">
        <f t="array" ref="AD70">IFERROR(AVERAGE(_xlfn._xlws.FILTER(V$2:V$1073,($C$2:$C$1073=$C70)*($E$2:$E$1073=$E70)*(ROW(V$2:V$1073)&lt;&gt;ROW(V70))*(V$2:V$1073&lt;&gt;""))),"")</f>
        <v>0.40843057343212835</v>
      </c>
      <c r="AE70">
        <f>IF('Дивиденды по годам'!M70&lt;0,1,0)</f>
        <v>0</v>
      </c>
    </row>
    <row r="71" spans="1:31" x14ac:dyDescent="0.2">
      <c r="A71" s="7" t="s">
        <v>2184</v>
      </c>
      <c r="B71" t="str">
        <f t="shared" si="11"/>
        <v>ROSN IV кв. 2020</v>
      </c>
      <c r="C71">
        <v>2020</v>
      </c>
      <c r="D71">
        <f>SUMIFS(Дивиденды!$C:$C,Дивиденды!$A:$A,A71,Дивиденды!$I:$I,C71)</f>
        <v>6.94</v>
      </c>
      <c r="E71">
        <v>1</v>
      </c>
      <c r="F71">
        <f t="shared" si="12"/>
        <v>6.94</v>
      </c>
      <c r="G71">
        <f t="shared" si="13"/>
        <v>55.008333333333333</v>
      </c>
      <c r="H71">
        <f t="shared" si="14"/>
        <v>1</v>
      </c>
      <c r="I71">
        <f t="shared" si="15"/>
        <v>0.83333333333333337</v>
      </c>
      <c r="J71">
        <f t="shared" si="16"/>
        <v>-0.79227776114935644</v>
      </c>
      <c r="K71">
        <f t="shared" si="21"/>
        <v>-0.19614207879111958</v>
      </c>
      <c r="L71">
        <f t="shared" si="17"/>
        <v>0</v>
      </c>
      <c r="M71">
        <f t="shared" si="18"/>
        <v>0.33333333333333331</v>
      </c>
      <c r="N71">
        <f t="shared" si="19"/>
        <v>1</v>
      </c>
      <c r="O71">
        <f t="shared" si="20"/>
        <v>0.5</v>
      </c>
      <c r="P71">
        <f>IFERROR(LN('Дивиденды по годам'!I71),"")</f>
        <v>30.362136589961754</v>
      </c>
      <c r="Q71">
        <f>IFERROR('Дивиденды по годам'!G71/'Дивиденды по годам'!I71, "")</f>
        <v>0.67758957654723129</v>
      </c>
      <c r="R71">
        <f>IFERROR(IF(AND('Дивиденды по годам'!N71&lt;&gt;"",'Дивиденды по годам'!U71&lt;&gt;"",'Дивиденды по годам'!U71&lt;&gt;0),'Дивиденды по годам'!N71/'Дивиденды по годам'!U71-1,""),"")</f>
        <v>-0.33644536652835411</v>
      </c>
      <c r="S71">
        <f>IFERROR(IF(AND('Дивиденды по годам'!L71&lt;&gt;"",'Дивиденды по годам'!I71&lt;&gt;"",'Дивиденды по годам'!J71&lt;&gt;"",'Дивиденды по годам'!K71&lt;&gt;"",('Дивиденды по годам'!I71-'Дивиденды по годам'!J71-'Дивиденды по годам'!K71)&lt;&gt;0),'Дивиденды по годам'!L71/('Дивиденды по годам'!I71-'Дивиденды по годам'!J71-'Дивиденды по годам'!K71),""),"")</f>
        <v>0.73027155093858209</v>
      </c>
      <c r="T71">
        <f>IFERROR(IF(AND('Дивиденды по годам'!Q71&lt;&gt;"",'Дивиденды по годам'!I71&lt;&gt;"",'Дивиденды по годам'!V71&lt;&gt;"",('Дивиденды по годам'!I71+'Дивиденды по годам'!V71)&lt;&gt;0),'Дивиденды по годам'!Q71/(('Дивиденды по годам'!I71+'Дивиденды по годам'!V71)/2),""),"")</f>
        <v>1.2791519434628975E-2</v>
      </c>
      <c r="U71">
        <f>IFERROR(IF(AND('Дивиденды по годам'!J71&lt;&gt;"",'Дивиденды по годам'!K71&lt;&gt;"",'Дивиденды по годам'!M71&lt;&gt;"",'Дивиденды по годам'!M71&lt;&gt;0),('Дивиденды по годам'!J71+'Дивиденды по годам'!K71)/'Дивиденды по годам'!M71,""),"")</f>
        <v>1.7975214142518681</v>
      </c>
      <c r="V71">
        <f>IFERROR(IF(AND('Дивиденды по годам'!J71&lt;&gt;"",'Дивиденды по годам'!K71&lt;&gt;"",'Дивиденды по годам'!M71&lt;&gt;"",'Дивиденды по годам'!I71&lt;&gt;0),('Дивиденды по годам'!J71+'Дивиденды по годам'!K71)/'Дивиденды по годам'!I71,""),"")</f>
        <v>0.64254071661237788</v>
      </c>
      <c r="W71">
        <f>IFERROR('Дивиденды по годам'!I71,"")</f>
        <v>15350000000000</v>
      </c>
      <c r="X71" cm="1">
        <f t="array" ref="X71">IFERROR(AVERAGE(_xlfn._xlws.FILTER(P$2:P$1073,($C$2:$C$1073=$C71)*($E$2:$E$1073=$E71)*(ROW(P$2:P$1073)&lt;&gt;ROW(P71))*(P$2:P$1073&lt;&gt;""))),"")</f>
        <v>28.694038170032726</v>
      </c>
      <c r="Y71" cm="1">
        <f t="array" ref="Y71">IFERROR(AVERAGE(_xlfn._xlws.FILTER(Q$2:Q$1073,($C$2:$C$1073=$C71)*($E$2:$E$1073=$E71)*(ROW(Q$2:Q$1073)&lt;&gt;ROW(Q71))*(Q$2:Q$1073&lt;&gt;""))),"")</f>
        <v>0.53911956022898488</v>
      </c>
      <c r="Z71" cm="1">
        <f t="array" ref="Z71">IFERROR(AVERAGE(_xlfn._xlws.FILTER(R$2:R$1073,($C$2:$C$1073=$C71)*($E$2:$E$1073=$E71)*(ROW(R$2:R$1073)&lt;&gt;ROW(R71))*(R$2:R$1073&lt;&gt;""))),"")</f>
        <v>-0.24353557886716359</v>
      </c>
      <c r="AA71" cm="1">
        <f t="array" ref="AA71">IFERROR(AVERAGE(_xlfn._xlws.FILTER(S$2:S$1073,($C$2:$C$1073=$C71)*($E$2:$E$1073=$E71)*(ROW(S$2:S$1073)&lt;&gt;ROW(S71))*(S$2:S$1073&lt;&gt;""))),"")</f>
        <v>0.78094048564854301</v>
      </c>
      <c r="AB71" cm="1">
        <f t="array" ref="AB71">IFERROR(AVERAGE(_xlfn._xlws.FILTER(T$2:T$1073,($C$2:$C$1073=$C71)*($E$2:$E$1073=$E71)*(ROW(T$2:T$1073)&lt;&gt;ROW(T71))*(T$2:T$1073&lt;&gt;""))),"")</f>
        <v>3.1201606646664475E-2</v>
      </c>
      <c r="AC71" cm="1">
        <f t="array" ref="AC71">IFERROR(AVERAGE(_xlfn._xlws.FILTER(U$2:U$1073,($C$2:$C$1073=$C71)*($E$2:$E$1073=$E71)*(ROW(U$2:U$1073)&lt;&gt;ROW(U71))*(U$2:U$1073&lt;&gt;""))),"")</f>
        <v>1.0934103756678366</v>
      </c>
      <c r="AD71" cm="1">
        <f t="array" ref="AD71">IFERROR(AVERAGE(_xlfn._xlws.FILTER(V$2:V$1073,($C$2:$C$1073=$C71)*($E$2:$E$1073=$E71)*(ROW(V$2:V$1073)&lt;&gt;ROW(V71))*(V$2:V$1073&lt;&gt;""))),"")</f>
        <v>0.36107728471755207</v>
      </c>
      <c r="AE71">
        <f>IF('Дивиденды по годам'!M71&lt;0,1,0)</f>
        <v>0</v>
      </c>
    </row>
    <row r="72" spans="1:31" x14ac:dyDescent="0.2">
      <c r="A72" s="7" t="s">
        <v>2184</v>
      </c>
      <c r="B72" t="str">
        <f t="shared" si="11"/>
        <v>ROSN IV кв. 2019</v>
      </c>
      <c r="C72">
        <v>2019</v>
      </c>
      <c r="D72">
        <f>SUMIFS(Дивиденды!$C:$C,Дивиденды!$A:$A,A72,Дивиденды!$I:$I,C72)</f>
        <v>33.409999999999997</v>
      </c>
      <c r="E72">
        <v>1</v>
      </c>
      <c r="F72">
        <f t="shared" si="12"/>
        <v>33.409999999999997</v>
      </c>
      <c r="G72">
        <f t="shared" si="13"/>
        <v>109.11500000000001</v>
      </c>
      <c r="H72">
        <f t="shared" si="14"/>
        <v>1</v>
      </c>
      <c r="I72">
        <f t="shared" si="15"/>
        <v>0.83333333333333337</v>
      </c>
      <c r="J72">
        <f t="shared" si="16"/>
        <v>0.28946352759552285</v>
      </c>
      <c r="K72">
        <f t="shared" si="21"/>
        <v>0.18089878517789773</v>
      </c>
      <c r="L72">
        <f t="shared" si="17"/>
        <v>1</v>
      </c>
      <c r="M72">
        <f t="shared" si="18"/>
        <v>0.33333333333333331</v>
      </c>
      <c r="N72">
        <f t="shared" si="19"/>
        <v>0</v>
      </c>
      <c r="O72">
        <f t="shared" si="20"/>
        <v>0.33333333333333331</v>
      </c>
      <c r="P72">
        <f>IFERROR(LN('Дивиденды по годам'!I72),"")</f>
        <v>30.192116904074094</v>
      </c>
      <c r="Q72">
        <f>IFERROR('Дивиденды по годам'!G72/'Дивиденды по годам'!I72, "")</f>
        <v>0.67281853281853277</v>
      </c>
      <c r="R72">
        <f>IFERROR(IF(AND('Дивиденды по годам'!N72&lt;&gt;"",'Дивиденды по годам'!U72&lt;&gt;"",'Дивиденды по годам'!U72&lt;&gt;0),'Дивиденды по годам'!N72/'Дивиденды по годам'!U72-1,""),"")</f>
        <v>5.3168244719592028E-2</v>
      </c>
      <c r="S72">
        <f>IFERROR(IF(AND('Дивиденды по годам'!L72&lt;&gt;"",'Дивиденды по годам'!I72&lt;&gt;"",'Дивиденды по годам'!J72&lt;&gt;"",'Дивиденды по годам'!K72&lt;&gt;"",('Дивиденды по годам'!I72-'Дивиденды по годам'!J72-'Дивиденды по годам'!K72)&lt;&gt;0),'Дивиденды по годам'!L72/('Дивиденды по годам'!I72-'Дивиденды по годам'!J72-'Дивиденды по годам'!K72),""),"")</f>
        <v>0.78319099378881984</v>
      </c>
      <c r="T72">
        <f>IFERROR(IF(AND('Дивиденды по годам'!Q72&lt;&gt;"",'Дивиденды по годам'!I72&lt;&gt;"",'Дивиденды по годам'!V72&lt;&gt;"",('Дивиденды по годам'!I72+'Дивиденды по годам'!V72)&lt;&gt;0),'Дивиденды по годам'!Q72/(('Дивиденды по годам'!I72+'Дивиденды по годам'!V72)/2),""),"")</f>
        <v>6.1655114310879638E-2</v>
      </c>
      <c r="U72">
        <f>IFERROR(IF(AND('Дивиденды по годам'!J72&lt;&gt;"",'Дивиденды по годам'!K72&lt;&gt;"",'Дивиденды по годам'!M72&lt;&gt;"",'Дивиденды по годам'!M72&lt;&gt;0),('Дивиденды по годам'!J72+'Дивиденды по годам'!K72)/'Дивиденды по годам'!M72,""),"")</f>
        <v>1.513586956521739</v>
      </c>
      <c r="V72">
        <f>IFERROR(IF(AND('Дивиденды по годам'!J72&lt;&gt;"",'Дивиденды по годам'!K72&lt;&gt;"",'Дивиденды по годам'!M72&lt;&gt;"",'Дивиденды по годам'!I72&lt;&gt;0),('Дивиденды по годам'!J72+'Дивиденды по годам'!K72)/'Дивиденды по годам'!I72,""),"")</f>
        <v>0.60216216216216212</v>
      </c>
      <c r="W72">
        <f>IFERROR('Дивиденды по годам'!I72,"")</f>
        <v>12950000000000</v>
      </c>
      <c r="X72" cm="1">
        <f t="array" ref="X72">IFERROR(AVERAGE(_xlfn._xlws.FILTER(P$2:P$1073,($C$2:$C$1073=$C72)*($E$2:$E$1073=$E72)*(ROW(P$2:P$1073)&lt;&gt;ROW(P72))*(P$2:P$1073&lt;&gt;""))),"")</f>
        <v>28.659647815903302</v>
      </c>
      <c r="Y72" cm="1">
        <f t="array" ref="Y72">IFERROR(AVERAGE(_xlfn._xlws.FILTER(Q$2:Q$1073,($C$2:$C$1073=$C72)*($E$2:$E$1073=$E72)*(ROW(Q$2:Q$1073)&lt;&gt;ROW(Q72))*(Q$2:Q$1073&lt;&gt;""))),"")</f>
        <v>0.5156470593583663</v>
      </c>
      <c r="Z72" cm="1">
        <f t="array" ref="Z72">IFERROR(AVERAGE(_xlfn._xlws.FILTER(R$2:R$1073,($C$2:$C$1073=$C72)*($E$2:$E$1073=$E72)*(ROW(R$2:R$1073)&lt;&gt;ROW(R72))*(R$2:R$1073&lt;&gt;""))),"")</f>
        <v>5.0650742578620678E-3</v>
      </c>
      <c r="AA72" cm="1">
        <f t="array" ref="AA72">IFERROR(AVERAGE(_xlfn._xlws.FILTER(S$2:S$1073,($C$2:$C$1073=$C72)*($E$2:$E$1073=$E72)*(ROW(S$2:S$1073)&lt;&gt;ROW(S72))*(S$2:S$1073&lt;&gt;""))),"")</f>
        <v>0.84703496784914778</v>
      </c>
      <c r="AB72" cm="1">
        <f t="array" ref="AB72">IFERROR(AVERAGE(_xlfn._xlws.FILTER(T$2:T$1073,($C$2:$C$1073=$C72)*($E$2:$E$1073=$E72)*(ROW(T$2:T$1073)&lt;&gt;ROW(T72))*(T$2:T$1073&lt;&gt;""))),"")</f>
        <v>0.16283899681811642</v>
      </c>
      <c r="AC72" cm="1">
        <f t="array" ref="AC72">IFERROR(AVERAGE(_xlfn._xlws.FILTER(U$2:U$1073,($C$2:$C$1073=$C72)*($E$2:$E$1073=$E72)*(ROW(U$2:U$1073)&lt;&gt;ROW(U72))*(U$2:U$1073&lt;&gt;""))),"")</f>
        <v>0.78206674601963122</v>
      </c>
      <c r="AD72" cm="1">
        <f t="array" ref="AD72">IFERROR(AVERAGE(_xlfn._xlws.FILTER(V$2:V$1073,($C$2:$C$1073=$C72)*($E$2:$E$1073=$E72)*(ROW(V$2:V$1073)&lt;&gt;ROW(V72))*(V$2:V$1073&lt;&gt;""))),"")</f>
        <v>0.35178076772320449</v>
      </c>
      <c r="AE72">
        <f>IF('Дивиденды по годам'!M72&lt;0,1,0)</f>
        <v>0</v>
      </c>
    </row>
    <row r="73" spans="1:31" x14ac:dyDescent="0.2">
      <c r="A73" s="7" t="s">
        <v>2184</v>
      </c>
      <c r="B73" t="str">
        <f t="shared" si="11"/>
        <v>ROSN IV кв. 2018</v>
      </c>
      <c r="C73">
        <v>2018</v>
      </c>
      <c r="D73">
        <f>SUMIFS(Дивиденды!$C:$C,Дивиденды!$A:$A,A73,Дивиденды!$I:$I,C73)</f>
        <v>25.91</v>
      </c>
      <c r="E73">
        <v>1</v>
      </c>
      <c r="F73">
        <f t="shared" si="12"/>
        <v>25.91</v>
      </c>
      <c r="G73">
        <f t="shared" si="13"/>
        <v>63.038333333333334</v>
      </c>
      <c r="H73">
        <f t="shared" si="14"/>
        <v>1</v>
      </c>
      <c r="I73">
        <f t="shared" si="15"/>
        <v>0.83333333333333337</v>
      </c>
      <c r="J73">
        <f t="shared" si="16"/>
        <v>1.4723282442748091</v>
      </c>
      <c r="K73">
        <f t="shared" si="21"/>
        <v>0.51629896945932385</v>
      </c>
      <c r="L73">
        <f t="shared" si="17"/>
        <v>1</v>
      </c>
      <c r="M73">
        <f t="shared" si="18"/>
        <v>0.66666666666666663</v>
      </c>
      <c r="N73">
        <f t="shared" si="19"/>
        <v>0</v>
      </c>
      <c r="O73">
        <f t="shared" si="20"/>
        <v>0</v>
      </c>
      <c r="P73">
        <f>IFERROR(LN('Дивиденды по годам'!I73),"")</f>
        <v>30.208430979371819</v>
      </c>
      <c r="Q73">
        <f>IFERROR('Дивиденды по годам'!G73/'Дивиденды по годам'!I73, "")</f>
        <v>0.6415710704246752</v>
      </c>
      <c r="R73">
        <f>IFERROR(IF(AND('Дивиденды по годам'!N73&lt;&gt;"",'Дивиденды по годам'!U73&lt;&gt;"",'Дивиденды по годам'!U73&lt;&gt;0),'Дивиденды по годам'!N73/'Дивиденды по годам'!U73-1,""),"")</f>
        <v>0.36980379115397399</v>
      </c>
      <c r="S73">
        <f>IFERROR(IF(AND('Дивиденды по годам'!L73&lt;&gt;"",'Дивиденды по годам'!I73&lt;&gt;"",'Дивиденды по годам'!J73&lt;&gt;"",'Дивиденды по годам'!K73&lt;&gt;"",('Дивиденды по годам'!I73-'Дивиденды по годам'!J73-'Дивиденды по годам'!K73)&lt;&gt;0),'Дивиденды по годам'!L73/('Дивиденды по годам'!I73-'Дивиденды по годам'!J73-'Дивиденды по годам'!K73),""),"")</f>
        <v>0.77186230489630103</v>
      </c>
      <c r="T73">
        <f>IFERROR(IF(AND('Дивиденды по годам'!Q73&lt;&gt;"",'Дивиденды по годам'!I73&lt;&gt;"",'Дивиденды по годам'!V73&lt;&gt;"",('Дивиденды по годам'!I73+'Дивиденды по годам'!V73)&lt;&gt;0),'Дивиденды по годам'!Q73/(('Дивиденды по годам'!I73+'Дивиденды по годам'!V73)/2),""),"")</f>
        <v>5.1122489168964162E-2</v>
      </c>
      <c r="U73">
        <f>IFERROR(IF(AND('Дивиденды по годам'!J73&lt;&gt;"",'Дивиденды по годам'!K73&lt;&gt;"",'Дивиденды по годам'!M73&lt;&gt;"",'Дивиденды по годам'!M73&lt;&gt;0),('Дивиденды по годам'!J73+'Дивиденды по годам'!K73)/'Дивиденды по годам'!M73,""),"")</f>
        <v>1.8144109471883687</v>
      </c>
      <c r="V73">
        <f>IFERROR(IF(AND('Дивиденды по годам'!J73&lt;&gt;"",'Дивиденды по годам'!K73&lt;&gt;"",'Дивиденды по годам'!M73&lt;&gt;"",'Дивиденды по годам'!I73&lt;&gt;0),('Дивиденды по годам'!J73+'Дивиденды по годам'!K73)/'Дивиденды по годам'!I73,""),"")</f>
        <v>0.64468586188558841</v>
      </c>
      <c r="W73">
        <f>IFERROR('Дивиденды по годам'!I73,"")</f>
        <v>13163000000000</v>
      </c>
      <c r="X73" cm="1">
        <f t="array" ref="X73">IFERROR(AVERAGE(_xlfn._xlws.FILTER(P$2:P$1073,($C$2:$C$1073=$C73)*($E$2:$E$1073=$E73)*(ROW(P$2:P$1073)&lt;&gt;ROW(P73))*(P$2:P$1073&lt;&gt;""))),"")</f>
        <v>28.534839291027108</v>
      </c>
      <c r="Y73" cm="1">
        <f t="array" ref="Y73">IFERROR(AVERAGE(_xlfn._xlws.FILTER(Q$2:Q$1073,($C$2:$C$1073=$C73)*($E$2:$E$1073=$E73)*(ROW(Q$2:Q$1073)&lt;&gt;ROW(Q73))*(Q$2:Q$1073&lt;&gt;""))),"")</f>
        <v>0.51223942685887991</v>
      </c>
      <c r="Z73" cm="1">
        <f t="array" ref="Z73">IFERROR(AVERAGE(_xlfn._xlws.FILTER(R$2:R$1073,($C$2:$C$1073=$C73)*($E$2:$E$1073=$E73)*(ROW(R$2:R$1073)&lt;&gt;ROW(R73))*(R$2:R$1073&lt;&gt;""))),"")</f>
        <v>0.34555947110398355</v>
      </c>
      <c r="AA73" cm="1">
        <f t="array" ref="AA73">IFERROR(AVERAGE(_xlfn._xlws.FILTER(S$2:S$1073,($C$2:$C$1073=$C73)*($E$2:$E$1073=$E73)*(ROW(S$2:S$1073)&lt;&gt;ROW(S73))*(S$2:S$1073&lt;&gt;""))),"")</f>
        <v>0.78593906274644298</v>
      </c>
      <c r="AB73" cm="1">
        <f t="array" ref="AB73">IFERROR(AVERAGE(_xlfn._xlws.FILTER(T$2:T$1073,($C$2:$C$1073=$C73)*($E$2:$E$1073=$E73)*(ROW(T$2:T$1073)&lt;&gt;ROW(T73))*(T$2:T$1073&lt;&gt;""))),"")</f>
        <v>0.1299977766513136</v>
      </c>
      <c r="AC73" cm="1">
        <f t="array" ref="AC73">IFERROR(AVERAGE(_xlfn._xlws.FILTER(U$2:U$1073,($C$2:$C$1073=$C73)*($E$2:$E$1073=$E73)*(ROW(U$2:U$1073)&lt;&gt;ROW(U73))*(U$2:U$1073&lt;&gt;""))),"")</f>
        <v>0.70729575765650188</v>
      </c>
      <c r="AD73" cm="1">
        <f t="array" ref="AD73">IFERROR(AVERAGE(_xlfn._xlws.FILTER(V$2:V$1073,($C$2:$C$1073=$C73)*($E$2:$E$1073=$E73)*(ROW(V$2:V$1073)&lt;&gt;ROW(V73))*(V$2:V$1073&lt;&gt;""))),"")</f>
        <v>0.34701193655950163</v>
      </c>
      <c r="AE73">
        <f>IF('Дивиденды по годам'!M73&lt;0,1,0)</f>
        <v>0</v>
      </c>
    </row>
    <row r="74" spans="1:31" x14ac:dyDescent="0.2">
      <c r="A74" s="7" t="s">
        <v>2184</v>
      </c>
      <c r="B74" t="str">
        <f t="shared" si="11"/>
        <v>ROSN IV кв. 2017</v>
      </c>
      <c r="C74">
        <v>2017</v>
      </c>
      <c r="D74">
        <f>SUMIFS(Дивиденды!$C:$C,Дивиденды!$A:$A,A74,Дивиденды!$I:$I,C74)</f>
        <v>10.48</v>
      </c>
      <c r="E74">
        <v>1</v>
      </c>
      <c r="F74">
        <f t="shared" si="12"/>
        <v>10.48</v>
      </c>
      <c r="G74">
        <f t="shared" si="13"/>
        <v>46.43</v>
      </c>
      <c r="H74">
        <f t="shared" si="14"/>
        <v>1</v>
      </c>
      <c r="I74">
        <f t="shared" si="15"/>
        <v>0.83333333333333337</v>
      </c>
      <c r="J74">
        <f t="shared" si="16"/>
        <v>0.75250836120401332</v>
      </c>
      <c r="K74">
        <f t="shared" si="21"/>
        <v>0.16873723561871509</v>
      </c>
      <c r="L74">
        <f t="shared" si="17"/>
        <v>1</v>
      </c>
      <c r="M74">
        <f t="shared" si="18"/>
        <v>0.66666666666666663</v>
      </c>
      <c r="N74">
        <f t="shared" si="19"/>
        <v>0</v>
      </c>
      <c r="O74">
        <f t="shared" si="20"/>
        <v>0</v>
      </c>
      <c r="P74">
        <f>IFERROR(LN('Дивиденды по годам'!I74),"")</f>
        <v>30.134667737090602</v>
      </c>
      <c r="Q74">
        <f>IFERROR('Дивиденды по годам'!G74/'Дивиденды по годам'!I74, "")</f>
        <v>0.64799214852375886</v>
      </c>
      <c r="R74">
        <f>IFERROR(IF(AND('Дивиденды по годам'!N74&lt;&gt;"",'Дивиденды по годам'!U74&lt;&gt;"",'Дивиденды по годам'!U74&lt;&gt;0),'Дивиденды по годам'!N74/'Дивиденды по годам'!U74-1,""),"")</f>
        <v>0.20569366479550921</v>
      </c>
      <c r="S74">
        <f>IFERROR(IF(AND('Дивиденды по годам'!L74&lt;&gt;"",'Дивиденды по годам'!I74&lt;&gt;"",'Дивиденды по годам'!J74&lt;&gt;"",'Дивиденды по годам'!K74&lt;&gt;"",('Дивиденды по годам'!I74-'Дивиденды по годам'!J74-'Дивиденды по годам'!K74)&lt;&gt;0),'Дивиденды по годам'!L74/('Дивиденды по годам'!I74-'Дивиденды по годам'!J74-'Дивиденды по годам'!K74),""),"")</f>
        <v>0.7920153000239063</v>
      </c>
      <c r="T74">
        <f>IFERROR(IF(AND('Дивиденды по годам'!Q74&lt;&gt;"",'Дивиденды по годам'!I74&lt;&gt;"",'Дивиденды по годам'!V74&lt;&gt;"",('Дивиденды по годам'!I74+'Дивиденды по годам'!V74)&lt;&gt;0),'Дивиденды по годам'!Q74/(('Дивиденды по годам'!I74+'Дивиденды по годам'!V74)/2),""),"")</f>
        <v>2.5540697424431352E-2</v>
      </c>
      <c r="U74">
        <f>IFERROR(IF(AND('Дивиденды по годам'!J74&lt;&gt;"",'Дивиденды по годам'!K74&lt;&gt;"",'Дивиденды по годам'!M74&lt;&gt;"",'Дивиденды по годам'!M74&lt;&gt;0),('Дивиденды по годам'!J74+'Дивиденды по годам'!K74)/'Дивиденды по годам'!M74,""),"")</f>
        <v>1.9230217547214918</v>
      </c>
      <c r="V74">
        <f>IFERROR(IF(AND('Дивиденды по годам'!J74&lt;&gt;"",'Дивиденды по годам'!K74&lt;&gt;"",'Дивиденды по годам'!M74&lt;&gt;"",'Дивиденды по годам'!I74&lt;&gt;0),('Дивиденды по годам'!J74+'Дивиденды по годам'!K74)/'Дивиденды по годам'!I74,""),"")</f>
        <v>0.65788828003598598</v>
      </c>
      <c r="W74">
        <f>IFERROR('Дивиденды по годам'!I74,"")</f>
        <v>12227000000000</v>
      </c>
      <c r="X74" cm="1">
        <f t="array" ref="X74">IFERROR(AVERAGE(_xlfn._xlws.FILTER(P$2:P$1073,($C$2:$C$1073=$C74)*($E$2:$E$1073=$E74)*(ROW(P$2:P$1073)&lt;&gt;ROW(P74))*(P$2:P$1073&lt;&gt;""))),"")</f>
        <v>28.406944709466064</v>
      </c>
      <c r="Y74" cm="1">
        <f t="array" ref="Y74">IFERROR(AVERAGE(_xlfn._xlws.FILTER(Q$2:Q$1073,($C$2:$C$1073=$C74)*($E$2:$E$1073=$E74)*(ROW(Q$2:Q$1073)&lt;&gt;ROW(Q74))*(Q$2:Q$1073&lt;&gt;""))),"")</f>
        <v>0.53089458312106885</v>
      </c>
      <c r="Z74" cm="1">
        <f t="array" ref="Z74">IFERROR(AVERAGE(_xlfn._xlws.FILTER(R$2:R$1073,($C$2:$C$1073=$C74)*($E$2:$E$1073=$E74)*(ROW(R$2:R$1073)&lt;&gt;ROW(R74))*(R$2:R$1073&lt;&gt;""))),"")</f>
        <v>0.14126450005143673</v>
      </c>
      <c r="AA74" cm="1">
        <f t="array" ref="AA74">IFERROR(AVERAGE(_xlfn._xlws.FILTER(S$2:S$1073,($C$2:$C$1073=$C74)*($E$2:$E$1073=$E74)*(ROW(S$2:S$1073)&lt;&gt;ROW(S74))*(S$2:S$1073&lt;&gt;""))),"")</f>
        <v>0.76087018555678076</v>
      </c>
      <c r="AB74" cm="1">
        <f t="array" ref="AB74">IFERROR(AVERAGE(_xlfn._xlws.FILTER(T$2:T$1073,($C$2:$C$1073=$C74)*($E$2:$E$1073=$E74)*(ROW(T$2:T$1073)&lt;&gt;ROW(T74))*(T$2:T$1073&lt;&gt;""))),"")</f>
        <v>8.0837157301036341E-2</v>
      </c>
      <c r="AC74" cm="1">
        <f t="array" ref="AC74">IFERROR(AVERAGE(_xlfn._xlws.FILTER(U$2:U$1073,($C$2:$C$1073=$C74)*($E$2:$E$1073=$E74)*(ROW(U$2:U$1073)&lt;&gt;ROW(U74))*(U$2:U$1073&lt;&gt;""))),"")</f>
        <v>0.74054153926654143</v>
      </c>
      <c r="AD74" cm="1">
        <f t="array" ref="AD74">IFERROR(AVERAGE(_xlfn._xlws.FILTER(V$2:V$1073,($C$2:$C$1073=$C74)*($E$2:$E$1073=$E74)*(ROW(V$2:V$1073)&lt;&gt;ROW(V74))*(V$2:V$1073&lt;&gt;""))),"")</f>
        <v>0.3553873388655619</v>
      </c>
      <c r="AE74">
        <f>IF('Дивиденды по годам'!M74&lt;0,1,0)</f>
        <v>0</v>
      </c>
    </row>
    <row r="75" spans="1:31" x14ac:dyDescent="0.2">
      <c r="A75" s="7" t="s">
        <v>2184</v>
      </c>
      <c r="B75" t="str">
        <f t="shared" si="11"/>
        <v>ROSN IV кв. 2016</v>
      </c>
      <c r="C75">
        <v>2016</v>
      </c>
      <c r="D75">
        <f>SUMIFS(Дивиденды!$C:$C,Дивиденды!$A:$A,A75,Дивиденды!$I:$I,C75)</f>
        <v>5.98</v>
      </c>
      <c r="E75">
        <v>1</v>
      </c>
      <c r="F75">
        <f t="shared" si="12"/>
        <v>5.98</v>
      </c>
      <c r="G75">
        <f t="shared" si="13"/>
        <v>40.05833333333333</v>
      </c>
      <c r="H75">
        <f t="shared" si="14"/>
        <v>1</v>
      </c>
      <c r="I75">
        <f t="shared" si="15"/>
        <v>0.83333333333333337</v>
      </c>
      <c r="J75">
        <f t="shared" si="16"/>
        <v>-0.49106382978723401</v>
      </c>
      <c r="K75">
        <f t="shared" si="21"/>
        <v>0.20525672188166952</v>
      </c>
      <c r="L75">
        <f t="shared" si="17"/>
        <v>0</v>
      </c>
      <c r="M75">
        <f t="shared" si="18"/>
        <v>0.66666666666666663</v>
      </c>
      <c r="N75">
        <f t="shared" si="19"/>
        <v>1</v>
      </c>
      <c r="O75">
        <f t="shared" si="20"/>
        <v>0</v>
      </c>
      <c r="P75">
        <f>IFERROR(LN('Дивиденды по годам'!I75),"")</f>
        <v>30.031639949193959</v>
      </c>
      <c r="Q75">
        <f>IFERROR('Дивиденды по годам'!G75/'Дивиденды по годам'!I75, "")</f>
        <v>0.64279238440616504</v>
      </c>
      <c r="R75">
        <f>IFERROR(IF(AND('Дивиденды по годам'!N75&lt;&gt;"",'Дивиденды по годам'!U75&lt;&gt;"",'Дивиденды по годам'!U75&lt;&gt;0),'Дивиденды по годам'!N75/'Дивиденды по годам'!U75-1,""),"")</f>
        <v>-3.1456310679611632E-2</v>
      </c>
      <c r="S75">
        <f>IFERROR(IF(AND('Дивиденды по годам'!L75&lt;&gt;"",'Дивиденды по годам'!I75&lt;&gt;"",'Дивиденды по годам'!J75&lt;&gt;"",'Дивиденды по годам'!K75&lt;&gt;"",('Дивиденды по годам'!I75-'Дивиденды по годам'!J75-'Дивиденды по годам'!K75)&lt;&gt;0),'Дивиденды по годам'!L75/('Дивиденды по годам'!I75-'Дивиденды по годам'!J75-'Дивиденды по годам'!K75),""),"")</f>
        <v>0.85936661298980144</v>
      </c>
      <c r="T75">
        <f>IFERROR(IF(AND('Дивиденды по годам'!Q75&lt;&gt;"",'Дивиденды по годам'!I75&lt;&gt;"",'Дивиденды по годам'!V75&lt;&gt;"",('Дивиденды по годам'!I75+'Дивиденды по годам'!V75)&lt;&gt;0),'Дивиденды по годам'!Q75/(('Дивиденды по годам'!I75+'Дивиденды по годам'!V75)/2),""),"")</f>
        <v>1.9450358041416684E-2</v>
      </c>
      <c r="U75">
        <f>IFERROR(IF(AND('Дивиденды по годам'!J75&lt;&gt;"",'Дивиденды по годам'!K75&lt;&gt;"",'Дивиденды по годам'!M75&lt;&gt;"",'Дивиденды по годам'!M75&lt;&gt;0),('Дивиденды по годам'!J75+'Дивиденды по годам'!K75)/'Дивиденды по годам'!M75,""),"")</f>
        <v>1.9602791196994096</v>
      </c>
      <c r="V75">
        <f>IFERROR(IF(AND('Дивиденды по годам'!J75&lt;&gt;"",'Дивиденды по годам'!K75&lt;&gt;"",'Дивиденды по годам'!M75&lt;&gt;"",'Дивиденды по годам'!I75&lt;&gt;0),('Дивиденды по годам'!J75+'Дивиденды по годам'!K75)/'Дивиденды по годам'!I75,""),"")</f>
        <v>0.66219401631912966</v>
      </c>
      <c r="W75">
        <f>IFERROR('Дивиденды по годам'!I75,"")</f>
        <v>11030000000000</v>
      </c>
      <c r="X75" cm="1">
        <f t="array" ref="X75">IFERROR(AVERAGE(_xlfn._xlws.FILTER(P$2:P$1073,($C$2:$C$1073=$C75)*($E$2:$E$1073=$E75)*(ROW(P$2:P$1073)&lt;&gt;ROW(P75))*(P$2:P$1073&lt;&gt;""))),"")</f>
        <v>28.351219852222055</v>
      </c>
      <c r="Y75" cm="1">
        <f t="array" ref="Y75">IFERROR(AVERAGE(_xlfn._xlws.FILTER(Q$2:Q$1073,($C$2:$C$1073=$C75)*($E$2:$E$1073=$E75)*(ROW(Q$2:Q$1073)&lt;&gt;ROW(Q75))*(Q$2:Q$1073&lt;&gt;""))),"")</f>
        <v>0.51594943509771096</v>
      </c>
      <c r="Z75" cm="1">
        <f t="array" ref="Z75">IFERROR(AVERAGE(_xlfn._xlws.FILTER(R$2:R$1073,($C$2:$C$1073=$C75)*($E$2:$E$1073=$E75)*(ROW(R$2:R$1073)&lt;&gt;ROW(R75))*(R$2:R$1073&lt;&gt;""))),"")</f>
        <v>1.9558855828036383E-2</v>
      </c>
      <c r="AA75" cm="1">
        <f t="array" ref="AA75">IFERROR(AVERAGE(_xlfn._xlws.FILTER(S$2:S$1073,($C$2:$C$1073=$C75)*($E$2:$E$1073=$E75)*(ROW(S$2:S$1073)&lt;&gt;ROW(S75))*(S$2:S$1073&lt;&gt;""))),"")</f>
        <v>0.7023060090676434</v>
      </c>
      <c r="AB75" cm="1">
        <f t="array" ref="AB75">IFERROR(AVERAGE(_xlfn._xlws.FILTER(T$2:T$1073,($C$2:$C$1073=$C75)*($E$2:$E$1073=$E75)*(ROW(T$2:T$1073)&lt;&gt;ROW(T75))*(T$2:T$1073&lt;&gt;""))),"")</f>
        <v>0.11249214947417423</v>
      </c>
      <c r="AC75" cm="1">
        <f t="array" ref="AC75">IFERROR(AVERAGE(_xlfn._xlws.FILTER(U$2:U$1073,($C$2:$C$1073=$C75)*($E$2:$E$1073=$E75)*(ROW(U$2:U$1073)&lt;&gt;ROW(U75))*(U$2:U$1073&lt;&gt;""))),"")</f>
        <v>0.77590187788564979</v>
      </c>
      <c r="AD75" cm="1">
        <f t="array" ref="AD75">IFERROR(AVERAGE(_xlfn._xlws.FILTER(V$2:V$1073,($C$2:$C$1073=$C75)*($E$2:$E$1073=$E75)*(ROW(V$2:V$1073)&lt;&gt;ROW(V75))*(V$2:V$1073&lt;&gt;""))),"")</f>
        <v>0.36395465972215324</v>
      </c>
      <c r="AE75">
        <f>IF('Дивиденды по годам'!M75&lt;0,1,0)</f>
        <v>0</v>
      </c>
    </row>
    <row r="76" spans="1:31" x14ac:dyDescent="0.2">
      <c r="A76" s="7" t="s">
        <v>2184</v>
      </c>
      <c r="B76" t="str">
        <f t="shared" si="11"/>
        <v>ROSN IV кв. 2015</v>
      </c>
      <c r="C76">
        <v>2015</v>
      </c>
      <c r="D76">
        <f>SUMIFS(Дивиденды!$C:$C,Дивиденды!$A:$A,A76,Дивиденды!$I:$I,C76)</f>
        <v>11.75</v>
      </c>
      <c r="E76">
        <v>1</v>
      </c>
      <c r="F76">
        <f t="shared" si="12"/>
        <v>11.75</v>
      </c>
      <c r="G76">
        <f t="shared" si="13"/>
        <v>34.991666666666667</v>
      </c>
      <c r="H76">
        <f t="shared" si="14"/>
        <v>1</v>
      </c>
      <c r="I76">
        <f t="shared" si="15"/>
        <v>0.83333333333333337</v>
      </c>
      <c r="J76">
        <f t="shared" si="16"/>
        <v>0.43118148599269168</v>
      </c>
      <c r="K76">
        <f t="shared" si="21"/>
        <v>8.5809556934664744E-2</v>
      </c>
      <c r="L76">
        <f t="shared" si="17"/>
        <v>1</v>
      </c>
      <c r="M76">
        <f t="shared" si="18"/>
        <v>0.66666666666666663</v>
      </c>
      <c r="N76">
        <f t="shared" si="19"/>
        <v>0</v>
      </c>
      <c r="O76">
        <f t="shared" si="20"/>
        <v>0.16666666666666666</v>
      </c>
      <c r="P76">
        <f>IFERROR(LN('Дивиденды по годам'!I76),"")</f>
        <v>29.89673473414669</v>
      </c>
      <c r="Q76">
        <f>IFERROR('Дивиденды по годам'!G76/'Дивиденды по годам'!I76, "")</f>
        <v>0.61164141938161443</v>
      </c>
      <c r="R76">
        <f>IFERROR(IF(AND('Дивиденды по годам'!N76&lt;&gt;"",'Дивиденды по годам'!U76&lt;&gt;"",'Дивиденды по годам'!U76&lt;&gt;0),'Дивиденды по годам'!N76/'Дивиденды по годам'!U76-1,""),"")</f>
        <v>-6.4146829002362349E-2</v>
      </c>
      <c r="S76">
        <f>IFERROR(IF(AND('Дивиденды по годам'!L76&lt;&gt;"",'Дивиденды по годам'!I76&lt;&gt;"",'Дивиденды по годам'!J76&lt;&gt;"",'Дивиденды по годам'!K76&lt;&gt;"",('Дивиденды по годам'!I76-'Дивиденды по годам'!J76-'Дивиденды по годам'!K76)&lt;&gt;0),'Дивиденды по годам'!L76/('Дивиденды по годам'!I76-'Дивиденды по годам'!J76-'Дивиденды по годам'!K76),""),"")</f>
        <v>1.0740867190167294</v>
      </c>
      <c r="T76">
        <f>IFERROR(IF(AND('Дивиденды по годам'!Q76&lt;&gt;"",'Дивиденды по годам'!I76&lt;&gt;"",'Дивиденды по годам'!V76&lt;&gt;"",('Дивиденды по годам'!I76+'Дивиденды по годам'!V76)&lt;&gt;0),'Дивиденды по годам'!Q76/(('Дивиденды по годам'!I76+'Дивиденды по годам'!V76)/2),""),"")</f>
        <v>3.8750408185479479E-2</v>
      </c>
      <c r="U76">
        <f>IFERROR(IF(AND('Дивиденды по годам'!J76&lt;&gt;"",'Дивиденды по годам'!K76&lt;&gt;"",'Дивиденды по годам'!M76&lt;&gt;"",'Дивиденды по годам'!M76&lt;&gt;0),('Дивиденды по годам'!J76+'Дивиденды по годам'!K76)/'Дивиденды по годам'!M76,""),"")</f>
        <v>2.290542847388187</v>
      </c>
      <c r="V76">
        <f>IFERROR(IF(AND('Дивиденды по годам'!J76&lt;&gt;"",'Дивиденды по годам'!K76&lt;&gt;"",'Дивиденды по годам'!M76&lt;&gt;"",'Дивиденды по годам'!I76&lt;&gt;0),('Дивиденды по годам'!J76+'Дивиденды по годам'!K76)/'Дивиденды по годам'!I76,""),"")</f>
        <v>0.69609877567960154</v>
      </c>
      <c r="W76">
        <f>IFERROR('Дивиденды по годам'!I76,"")</f>
        <v>9638000000000</v>
      </c>
      <c r="X76" cm="1">
        <f t="array" ref="X76">IFERROR(AVERAGE(_xlfn._xlws.FILTER(P$2:P$1073,($C$2:$C$1073=$C76)*($E$2:$E$1073=$E76)*(ROW(P$2:P$1073)&lt;&gt;ROW(P76))*(P$2:P$1073&lt;&gt;""))),"")</f>
        <v>28.141982938932934</v>
      </c>
      <c r="Y76" cm="1">
        <f t="array" ref="Y76">IFERROR(AVERAGE(_xlfn._xlws.FILTER(Q$2:Q$1073,($C$2:$C$1073=$C76)*($E$2:$E$1073=$E76)*(ROW(Q$2:Q$1073)&lt;&gt;ROW(Q76))*(Q$2:Q$1073&lt;&gt;""))),"")</f>
        <v>0.57825315739830874</v>
      </c>
      <c r="Z76" cm="1">
        <f t="array" ref="Z76">IFERROR(AVERAGE(_xlfn._xlws.FILTER(R$2:R$1073,($C$2:$C$1073=$C76)*($E$2:$E$1073=$E76)*(ROW(R$2:R$1073)&lt;&gt;ROW(R76))*(R$2:R$1073&lt;&gt;""))),"")</f>
        <v>0.15115635447710213</v>
      </c>
      <c r="AA76" cm="1">
        <f t="array" ref="AA76">IFERROR(AVERAGE(_xlfn._xlws.FILTER(S$2:S$1073,($C$2:$C$1073=$C76)*($E$2:$E$1073=$E76)*(ROW(S$2:S$1073)&lt;&gt;ROW(S76))*(S$2:S$1073&lt;&gt;""))),"")</f>
        <v>0.90659078932634996</v>
      </c>
      <c r="AB76" cm="1">
        <f t="array" ref="AB76">IFERROR(AVERAGE(_xlfn._xlws.FILTER(T$2:T$1073,($C$2:$C$1073=$C76)*($E$2:$E$1073=$E76)*(ROW(T$2:T$1073)&lt;&gt;ROW(T76))*(T$2:T$1073&lt;&gt;""))),"")</f>
        <v>8.6136670793836773E-2</v>
      </c>
      <c r="AC76" cm="1">
        <f t="array" ref="AC76">IFERROR(AVERAGE(_xlfn._xlws.FILTER(U$2:U$1073,($C$2:$C$1073=$C76)*($E$2:$E$1073=$E76)*(ROW(U$2:U$1073)&lt;&gt;ROW(U76))*(U$2:U$1073&lt;&gt;""))),"")</f>
        <v>-1.6127530709802147</v>
      </c>
      <c r="AD76" cm="1">
        <f t="array" ref="AD76">IFERROR(AVERAGE(_xlfn._xlws.FILTER(V$2:V$1073,($C$2:$C$1073=$C76)*($E$2:$E$1073=$E76)*(ROW(V$2:V$1073)&lt;&gt;ROW(V76))*(V$2:V$1073&lt;&gt;""))),"")</f>
        <v>0.50243227428625814</v>
      </c>
      <c r="AE76">
        <f>IF('Дивиденды по годам'!M76&lt;0,1,0)</f>
        <v>0</v>
      </c>
    </row>
    <row r="77" spans="1:31" x14ac:dyDescent="0.2">
      <c r="A77" s="7" t="s">
        <v>2184</v>
      </c>
      <c r="B77" t="str">
        <f t="shared" si="11"/>
        <v>ROSN IV кв. 2014</v>
      </c>
      <c r="C77">
        <v>2014</v>
      </c>
      <c r="D77">
        <f>SUMIFS(Дивиденды!$C:$C,Дивиденды!$A:$A,A77,Дивиденды!$I:$I,C77)</f>
        <v>8.2100000000000009</v>
      </c>
      <c r="E77">
        <v>1</v>
      </c>
      <c r="F77">
        <f t="shared" si="12"/>
        <v>8.2100000000000009</v>
      </c>
      <c r="G77">
        <f t="shared" si="13"/>
        <v>30.455000000000002</v>
      </c>
      <c r="H77">
        <f t="shared" si="14"/>
        <v>1</v>
      </c>
      <c r="I77">
        <f t="shared" si="15"/>
        <v>0.83333333333333337</v>
      </c>
      <c r="J77">
        <f t="shared" si="16"/>
        <v>-0.36108949416342406</v>
      </c>
      <c r="K77">
        <f t="shared" si="21"/>
        <v>0.17905399578345629</v>
      </c>
      <c r="L77">
        <f t="shared" si="17"/>
        <v>0</v>
      </c>
      <c r="M77">
        <f t="shared" si="18"/>
        <v>0.66666666666666663</v>
      </c>
      <c r="N77">
        <f t="shared" si="19"/>
        <v>1</v>
      </c>
      <c r="O77">
        <f t="shared" si="20"/>
        <v>0</v>
      </c>
      <c r="P77">
        <f>IFERROR(LN('Дивиденды по годам'!I77),"")</f>
        <v>29.798473534931098</v>
      </c>
      <c r="Q77">
        <f>IFERROR('Дивиденды по годам'!G77/'Дивиденды по годам'!I77, "")</f>
        <v>0.64858058608058611</v>
      </c>
      <c r="R77">
        <f>IFERROR(IF(AND('Дивиденды по годам'!N77&lt;&gt;"",'Дивиденды по годам'!U77&lt;&gt;"",'Дивиденды по годам'!U77&lt;&gt;0),'Дивиденды по годам'!N77/'Дивиденды по годам'!U77-1,""),"")</f>
        <v>0.17234767788666372</v>
      </c>
      <c r="S77">
        <f>IFERROR(IF(AND('Дивиденды по годам'!L77&lt;&gt;"",'Дивиденды по годам'!I77&lt;&gt;"",'Дивиденды по годам'!J77&lt;&gt;"",'Дивиденды по годам'!K77&lt;&gt;"",('Дивиденды по годам'!I77-'Дивиденды по годам'!J77-'Дивиденды по годам'!K77)&lt;&gt;0),'Дивиденды по годам'!L77/('Дивиденды по годам'!I77-'Дивиденды по годам'!J77-'Дивиденды по годам'!K77),""),"")</f>
        <v>0.99895869489760503</v>
      </c>
      <c r="T77">
        <f>IFERROR(IF(AND('Дивиденды по годам'!Q77&lt;&gt;"",'Дивиденды по годам'!I77&lt;&gt;"",'Дивиденды по годам'!V77&lt;&gt;"",('Дивиденды по годам'!I77+'Дивиденды по годам'!V77)&lt;&gt;0),'Дивиденды по годам'!Q77/(('Дивиденды по годам'!I77+'Дивиденды по годам'!V77)/2),""),"")</f>
        <v>4.3013395600344104E-2</v>
      </c>
      <c r="U77">
        <f>IFERROR(IF(AND('Дивиденды по годам'!J77&lt;&gt;"",'Дивиденды по годам'!K77&lt;&gt;"",'Дивиденды по годам'!M77&lt;&gt;"",'Дивиденды по годам'!M77&lt;&gt;0),('Дивиденды по годам'!J77+'Дивиденды по годам'!K77)/'Дивиденды по годам'!M77,""),"")</f>
        <v>2.0322804581742449</v>
      </c>
      <c r="V77">
        <f>IFERROR(IF(AND('Дивиденды по годам'!J77&lt;&gt;"",'Дивиденды по годам'!K77&lt;&gt;"",'Дивиденды по годам'!M77&lt;&gt;"",'Дивиденды по годам'!I77&lt;&gt;0),('Дивиденды по годам'!J77+'Дивиденды по годам'!K77)/'Дивиденды по годам'!I77,""),"")</f>
        <v>0.67021520146520142</v>
      </c>
      <c r="W77">
        <f>IFERROR('Дивиденды по годам'!I77,"")</f>
        <v>8736000000000</v>
      </c>
      <c r="X77" cm="1">
        <f t="array" ref="X77">IFERROR(AVERAGE(_xlfn._xlws.FILTER(P$2:P$1073,($C$2:$C$1073=$C77)*($E$2:$E$1073=$E77)*(ROW(P$2:P$1073)&lt;&gt;ROW(P77))*(P$2:P$1073&lt;&gt;""))),"")</f>
        <v>28.510418833315345</v>
      </c>
      <c r="Y77" cm="1">
        <f t="array" ref="Y77">IFERROR(AVERAGE(_xlfn._xlws.FILTER(Q$2:Q$1073,($C$2:$C$1073=$C77)*($E$2:$E$1073=$E77)*(ROW(Q$2:Q$1073)&lt;&gt;ROW(Q77))*(Q$2:Q$1073&lt;&gt;""))),"")</f>
        <v>0.62352010419764348</v>
      </c>
      <c r="Z77" cm="1">
        <f t="array" ref="Z77">IFERROR(AVERAGE(_xlfn._xlws.FILTER(R$2:R$1073,($C$2:$C$1073=$C77)*($E$2:$E$1073=$E77)*(ROW(R$2:R$1073)&lt;&gt;ROW(R77))*(R$2:R$1073&lt;&gt;""))),"")</f>
        <v>0.13776034315948915</v>
      </c>
      <c r="AA77" cm="1">
        <f t="array" ref="AA77">IFERROR(AVERAGE(_xlfn._xlws.FILTER(S$2:S$1073,($C$2:$C$1073=$C77)*($E$2:$E$1073=$E77)*(ROW(S$2:S$1073)&lt;&gt;ROW(S77))*(S$2:S$1073&lt;&gt;""))),"")</f>
        <v>0.920380922213349</v>
      </c>
      <c r="AB77" cm="1">
        <f t="array" ref="AB77">IFERROR(AVERAGE(_xlfn._xlws.FILTER(T$2:T$1073,($C$2:$C$1073=$C77)*($E$2:$E$1073=$E77)*(ROW(T$2:T$1073)&lt;&gt;ROW(T77))*(T$2:T$1073&lt;&gt;""))),"")</f>
        <v>6.3368740425179981E-2</v>
      </c>
      <c r="AC77" cm="1">
        <f t="array" ref="AC77">IFERROR(AVERAGE(_xlfn._xlws.FILTER(U$2:U$1073,($C$2:$C$1073=$C77)*($E$2:$E$1073=$E77)*(ROW(U$2:U$1073)&lt;&gt;ROW(U77))*(U$2:U$1073&lt;&gt;""))),"")</f>
        <v>0.48470318218311514</v>
      </c>
      <c r="AD77" cm="1">
        <f t="array" ref="AD77">IFERROR(AVERAGE(_xlfn._xlws.FILTER(V$2:V$1073,($C$2:$C$1073=$C77)*($E$2:$E$1073=$E77)*(ROW(V$2:V$1073)&lt;&gt;ROW(V77))*(V$2:V$1073&lt;&gt;""))),"")</f>
        <v>0.31436181405495101</v>
      </c>
      <c r="AE77">
        <f>IF('Дивиденды по годам'!M77&lt;0,1,0)</f>
        <v>0</v>
      </c>
    </row>
    <row r="78" spans="1:31" x14ac:dyDescent="0.2">
      <c r="A78" s="7" t="s">
        <v>2184</v>
      </c>
      <c r="B78" t="str">
        <f t="shared" si="11"/>
        <v>ROSN IV кв. 2013</v>
      </c>
      <c r="C78">
        <v>2013</v>
      </c>
      <c r="D78">
        <f>SUMIFS(Дивиденды!$C:$C,Дивиденды!$A:$A,A78,Дивиденды!$I:$I,C78)</f>
        <v>12.85</v>
      </c>
      <c r="E78">
        <v>1</v>
      </c>
      <c r="F78">
        <f t="shared" si="12"/>
        <v>12.85</v>
      </c>
      <c r="G78">
        <f t="shared" si="13"/>
        <v>22.319999999999997</v>
      </c>
      <c r="H78">
        <f t="shared" si="14"/>
        <v>1</v>
      </c>
      <c r="I78">
        <f t="shared" si="15"/>
        <v>0.83333333333333337</v>
      </c>
      <c r="J78">
        <f t="shared" si="16"/>
        <v>0.59627329192546563</v>
      </c>
      <c r="K78">
        <f t="shared" si="21"/>
        <v>0.12189134631686412</v>
      </c>
      <c r="L78">
        <f t="shared" si="17"/>
        <v>1</v>
      </c>
      <c r="M78">
        <f t="shared" si="18"/>
        <v>0.66666666666666663</v>
      </c>
      <c r="N78">
        <f t="shared" si="19"/>
        <v>0</v>
      </c>
      <c r="O78">
        <f t="shared" si="20"/>
        <v>0.16666666666666666</v>
      </c>
      <c r="P78">
        <f>IFERROR(LN('Дивиденды по годам'!I78),"")</f>
        <v>29.650978010773493</v>
      </c>
      <c r="Q78">
        <f>IFERROR('Дивиденды по годам'!G78/'Дивиденды по годам'!I78, "")</f>
        <v>0.70708410719023618</v>
      </c>
      <c r="R78">
        <f>IFERROR(IF(AND('Дивиденды по годам'!N78&lt;&gt;"",'Дивиденды по годам'!U78&lt;&gt;"",'Дивиденды по годам'!U78&lt;&gt;0),'Дивиденды по годам'!N78/'Дивиденды по годам'!U78-1,""),"")</f>
        <v>0.5250162443144899</v>
      </c>
      <c r="S78">
        <f>IFERROR(IF(AND('Дивиденды по годам'!L78&lt;&gt;"",'Дивиденды по годам'!I78&lt;&gt;"",'Дивиденды по годам'!J78&lt;&gt;"",'Дивиденды по годам'!K78&lt;&gt;"",('Дивиденды по годам'!I78-'Дивиденды по годам'!J78-'Дивиденды по годам'!K78)&lt;&gt;0),'Дивиденды по годам'!L78/('Дивиденды по годам'!I78-'Дивиденды по годам'!J78-'Дивиденды по годам'!K78),""),"")</f>
        <v>0.84107424960505528</v>
      </c>
      <c r="T78">
        <f>IFERROR(IF(AND('Дивиденды по годам'!Q78&lt;&gt;"",'Дивиденды по годам'!I78&lt;&gt;"",'Дивиденды по годам'!V78&lt;&gt;"",('Дивиденды по годам'!I78+'Дивиденды по годам'!V78)&lt;&gt;0),'Дивиденды по годам'!Q78/(('Дивиденды по годам'!I78+'Дивиденды по годам'!V78)/2),""),"")</f>
        <v>9.6700596700596705E-2</v>
      </c>
      <c r="U78">
        <f>IFERROR(IF(AND('Дивиденды по годам'!J78&lt;&gt;"",'Дивиденды по годам'!K78&lt;&gt;"",'Дивиденды по годам'!M78&lt;&gt;"",'Дивиденды по годам'!M78&lt;&gt;0),('Дивиденды по годам'!J78+'Дивиденды по годам'!K78)/'Дивиденды по годам'!M78,""),"")</f>
        <v>1.3816745655608216</v>
      </c>
      <c r="V78">
        <f>IFERROR(IF(AND('Дивиденды по годам'!J78&lt;&gt;"",'Дивиденды по годам'!K78&lt;&gt;"",'Дивиденды по годам'!M78&lt;&gt;"",'Дивиденды по годам'!I78&lt;&gt;0),('Дивиденды по годам'!J78+'Дивиденды по годам'!K78)/'Дивиденды по годам'!I78,""),"")</f>
        <v>0.5801273547360043</v>
      </c>
      <c r="W78">
        <f>IFERROR('Дивиденды по годам'!I78,"")</f>
        <v>7538000000000</v>
      </c>
      <c r="X78" cm="1">
        <f t="array" ref="X78">IFERROR(AVERAGE(_xlfn._xlws.FILTER(P$2:P$1073,($C$2:$C$1073=$C78)*($E$2:$E$1073=$E78)*(ROW(P$2:P$1073)&lt;&gt;ROW(P78))*(P$2:P$1073&lt;&gt;""))),"")</f>
        <v>28.365638357557998</v>
      </c>
      <c r="Y78" cm="1">
        <f t="array" ref="Y78">IFERROR(AVERAGE(_xlfn._xlws.FILTER(Q$2:Q$1073,($C$2:$C$1073=$C78)*($E$2:$E$1073=$E78)*(ROW(Q$2:Q$1073)&lt;&gt;ROW(Q78))*(Q$2:Q$1073&lt;&gt;""))),"")</f>
        <v>0.62618396829590639</v>
      </c>
      <c r="Z78" cm="1">
        <f t="array" ref="Z78">IFERROR(AVERAGE(_xlfn._xlws.FILTER(R$2:R$1073,($C$2:$C$1073=$C78)*($E$2:$E$1073=$E78)*(ROW(R$2:R$1073)&lt;&gt;ROW(R78))*(R$2:R$1073&lt;&gt;""))),"")</f>
        <v>0.14556824979858057</v>
      </c>
      <c r="AA78" cm="1">
        <f t="array" ref="AA78">IFERROR(AVERAGE(_xlfn._xlws.FILTER(S$2:S$1073,($C$2:$C$1073=$C78)*($E$2:$E$1073=$E78)*(ROW(S$2:S$1073)&lt;&gt;ROW(S78))*(S$2:S$1073&lt;&gt;""))),"")</f>
        <v>0.91012541439338968</v>
      </c>
      <c r="AB78" cm="1">
        <f t="array" ref="AB78">IFERROR(AVERAGE(_xlfn._xlws.FILTER(T$2:T$1073,($C$2:$C$1073=$C78)*($E$2:$E$1073=$E78)*(ROW(T$2:T$1073)&lt;&gt;ROW(T78))*(T$2:T$1073&lt;&gt;""))),"")</f>
        <v>0.12320273384913959</v>
      </c>
      <c r="AC78" cm="1">
        <f t="array" ref="AC78">IFERROR(AVERAGE(_xlfn._xlws.FILTER(U$2:U$1073,($C$2:$C$1073=$C78)*($E$2:$E$1073=$E78)*(ROW(U$2:U$1073)&lt;&gt;ROW(U78))*(U$2:U$1073&lt;&gt;""))),"")</f>
        <v>0.43073827013589761</v>
      </c>
      <c r="AD78" cm="1">
        <f t="array" ref="AD78">IFERROR(AVERAGE(_xlfn._xlws.FILTER(V$2:V$1073,($C$2:$C$1073=$C78)*($E$2:$E$1073=$E78)*(ROW(V$2:V$1073)&lt;&gt;ROW(V78))*(V$2:V$1073&lt;&gt;""))),"")</f>
        <v>0.29773153471518643</v>
      </c>
      <c r="AE78">
        <f>IF('Дивиденды по годам'!M78&lt;0,1,0)</f>
        <v>0</v>
      </c>
    </row>
    <row r="79" spans="1:31" x14ac:dyDescent="0.2">
      <c r="A79" s="7" t="s">
        <v>2184</v>
      </c>
      <c r="B79" t="str">
        <f t="shared" si="11"/>
        <v>ROSN IV кв. 2012</v>
      </c>
      <c r="C79">
        <v>2012</v>
      </c>
      <c r="D79">
        <f>SUMIFS(Дивиденды!$C:$C,Дивиденды!$A:$A,A79,Дивиденды!$I:$I,C79)</f>
        <v>8.0500000000000007</v>
      </c>
      <c r="E79">
        <v>1</v>
      </c>
      <c r="F79">
        <f t="shared" si="12"/>
        <v>8.0500000000000007</v>
      </c>
      <c r="G79">
        <f t="shared" si="13"/>
        <v>18.658333333333331</v>
      </c>
      <c r="H79">
        <f t="shared" si="14"/>
        <v>1</v>
      </c>
      <c r="I79">
        <f t="shared" si="15"/>
        <v>0.83333333333333337</v>
      </c>
      <c r="J79">
        <f t="shared" si="16"/>
        <v>6.9057104913678682E-2</v>
      </c>
      <c r="K79">
        <f t="shared" si="21"/>
        <v>9.8562376786400143E-3</v>
      </c>
      <c r="L79">
        <f t="shared" si="17"/>
        <v>1</v>
      </c>
      <c r="M79">
        <f t="shared" si="18"/>
        <v>0.5</v>
      </c>
      <c r="N79">
        <f t="shared" si="19"/>
        <v>0</v>
      </c>
      <c r="O79">
        <f t="shared" si="20"/>
        <v>0.33333333333333331</v>
      </c>
      <c r="P79">
        <f>IFERROR(LN('Дивиденды по годам'!I79),"")</f>
        <v>28.981170030412084</v>
      </c>
      <c r="Q79">
        <f>IFERROR('Дивиденды по годам'!G79/'Дивиденды по годам'!I79, "")</f>
        <v>0.63789528252980821</v>
      </c>
      <c r="R79">
        <f>IFERROR(IF(AND('Дивиденды по годам'!N79&lt;&gt;"",'Дивиденды по годам'!U79&lt;&gt;"",'Дивиденды по годам'!U79&lt;&gt;0),'Дивиденды по годам'!N79/'Дивиденды по годам'!U79-1,""),"")</f>
        <v>0.13915618060695789</v>
      </c>
      <c r="S79">
        <f>IFERROR(IF(AND('Дивиденды по годам'!L79&lt;&gt;"",'Дивиденды по годам'!I79&lt;&gt;"",'Дивиденды по годам'!J79&lt;&gt;"",'Дивиденды по годам'!K79&lt;&gt;"",('Дивиденды по годам'!I79-'Дивиденды по годам'!J79-'Дивиденды по годам'!K79)&lt;&gt;0),'Дивиденды по годам'!L79/('Дивиденды по годам'!I79-'Дивиденды по годам'!J79-'Дивиденды по годам'!K79),""),"")</f>
        <v>0.9474845542806708</v>
      </c>
      <c r="T79">
        <f>IFERROR(IF(AND('Дивиденды по годам'!Q79&lt;&gt;"",'Дивиденды по годам'!I79&lt;&gt;"",'Дивиденды по годам'!V79&lt;&gt;"",('Дивиденды по годам'!I79+'Дивиденды по годам'!V79)&lt;&gt;0),'Дивиденды по годам'!Q79/(('Дивиденды по годам'!I79+'Дивиденды по годам'!V79)/2),""),"")</f>
        <v>9.4540428472702137E-2</v>
      </c>
      <c r="U79">
        <f>IFERROR(IF(AND('Дивиденды по годам'!J79&lt;&gt;"",'Дивиденды по годам'!K79&lt;&gt;"",'Дивиденды по годам'!M79&lt;&gt;"",'Дивиденды по годам'!M79&lt;&gt;0),('Дивиденды по годам'!J79+'Дивиденды по годам'!K79)/'Дивиденды по годам'!M79,""),"")</f>
        <v>0.70255957634598409</v>
      </c>
      <c r="V79">
        <f>IFERROR(IF(AND('Дивиденды по годам'!J79&lt;&gt;"",'Дивиденды по годам'!K79&lt;&gt;"",'Дивиденды по годам'!M79&lt;&gt;"",'Дивиденды по годам'!I79&lt;&gt;0),('Дивиденды по годам'!J79+'Дивиденды по годам'!K79)/'Дивиденды по годам'!I79,""),"")</f>
        <v>0.41264904095386212</v>
      </c>
      <c r="W79">
        <f>IFERROR('Дивиденды по годам'!I79,"")</f>
        <v>3858000000000</v>
      </c>
      <c r="X79" cm="1">
        <f t="array" ref="X79">IFERROR(AVERAGE(_xlfn._xlws.FILTER(P$2:P$1073,($C$2:$C$1073=$C79)*($E$2:$E$1073=$E79)*(ROW(P$2:P$1073)&lt;&gt;ROW(P79))*(P$2:P$1073&lt;&gt;""))),"")</f>
        <v>28.226706602705736</v>
      </c>
      <c r="Y79" cm="1">
        <f t="array" ref="Y79">IFERROR(AVERAGE(_xlfn._xlws.FILTER(Q$2:Q$1073,($C$2:$C$1073=$C79)*($E$2:$E$1073=$E79)*(ROW(Q$2:Q$1073)&lt;&gt;ROW(Q79))*(Q$2:Q$1073&lt;&gt;""))),"")</f>
        <v>0.61543507541850173</v>
      </c>
      <c r="Z79" cm="1">
        <f t="array" ref="Z79">IFERROR(AVERAGE(_xlfn._xlws.FILTER(R$2:R$1073,($C$2:$C$1073=$C79)*($E$2:$E$1073=$E79)*(ROW(R$2:R$1073)&lt;&gt;ROW(R79))*(R$2:R$1073&lt;&gt;""))),"")</f>
        <v>1.1736306551868358E-2</v>
      </c>
      <c r="AA79" cm="1">
        <f t="array" ref="AA79">IFERROR(AVERAGE(_xlfn._xlws.FILTER(S$2:S$1073,($C$2:$C$1073=$C79)*($E$2:$E$1073=$E79)*(ROW(S$2:S$1073)&lt;&gt;ROW(S79))*(S$2:S$1073&lt;&gt;""))),"")</f>
        <v>0.89584422449173085</v>
      </c>
      <c r="AB79" cm="1">
        <f t="array" ref="AB79">IFERROR(AVERAGE(_xlfn._xlws.FILTER(T$2:T$1073,($C$2:$C$1073=$C79)*($E$2:$E$1073=$E79)*(ROW(T$2:T$1073)&lt;&gt;ROW(T79))*(T$2:T$1073&lt;&gt;""))),"")</f>
        <v>0.12801743980005237</v>
      </c>
      <c r="AC79" cm="1">
        <f t="array" ref="AC79">IFERROR(AVERAGE(_xlfn._xlws.FILTER(U$2:U$1073,($C$2:$C$1073=$C79)*($E$2:$E$1073=$E79)*(ROW(U$2:U$1073)&lt;&gt;ROW(U79))*(U$2:U$1073&lt;&gt;""))),"")</f>
        <v>0.43098663098724721</v>
      </c>
      <c r="AD79" cm="1">
        <f t="array" ref="AD79">IFERROR(AVERAGE(_xlfn._xlws.FILTER(V$2:V$1073,($C$2:$C$1073=$C79)*($E$2:$E$1073=$E79)*(ROW(V$2:V$1073)&lt;&gt;ROW(V79))*(V$2:V$1073&lt;&gt;""))),"")</f>
        <v>0.29818251670867124</v>
      </c>
      <c r="AE79">
        <f>IF('Дивиденды по годам'!M79&lt;0,1,0)</f>
        <v>0</v>
      </c>
    </row>
    <row r="80" spans="1:31" x14ac:dyDescent="0.2">
      <c r="A80" s="7" t="s">
        <v>2184</v>
      </c>
      <c r="B80" t="str">
        <f t="shared" si="11"/>
        <v>ROSN IV кв. 2011</v>
      </c>
      <c r="C80">
        <v>2011</v>
      </c>
      <c r="D80">
        <f>SUMIFS(Дивиденды!$C:$C,Дивиденды!$A:$A,A80,Дивиденды!$I:$I,C80)</f>
        <v>7.53</v>
      </c>
      <c r="E80">
        <v>1</v>
      </c>
      <c r="F80">
        <f t="shared" si="12"/>
        <v>7.53</v>
      </c>
      <c r="G80">
        <f t="shared" si="13"/>
        <v>16.274999999999999</v>
      </c>
      <c r="H80">
        <f t="shared" si="14"/>
        <v>1</v>
      </c>
      <c r="I80">
        <f t="shared" si="15"/>
        <v>0.83333333333333337</v>
      </c>
      <c r="J80">
        <f t="shared" si="16"/>
        <v>1.7282608695652177</v>
      </c>
      <c r="K80">
        <f t="shared" si="21"/>
        <v>0.45190252271419129</v>
      </c>
      <c r="L80">
        <f t="shared" si="17"/>
        <v>1</v>
      </c>
      <c r="M80">
        <f t="shared" si="18"/>
        <v>0.83333333333333337</v>
      </c>
      <c r="N80">
        <f t="shared" si="19"/>
        <v>0</v>
      </c>
      <c r="O80">
        <f t="shared" si="20"/>
        <v>0</v>
      </c>
      <c r="P80">
        <f>IFERROR(LN('Дивиденды по годам'!I80),"")</f>
        <v>28.84800885733198</v>
      </c>
      <c r="Q80">
        <f>IFERROR('Дивиденды по годам'!G80/'Дивиденды по годам'!I80, "")</f>
        <v>0.66064554338169978</v>
      </c>
      <c r="R80">
        <f>IFERROR(IF(AND('Дивиденды по годам'!N80&lt;&gt;"",'Дивиденды по годам'!U80&lt;&gt;"",'Дивиденды по годам'!U80&lt;&gt;0),'Дивиденды по годам'!N80/'Дивиденды по годам'!U80-1,""),"")</f>
        <v>0.41096605744125325</v>
      </c>
      <c r="S80">
        <f>IFERROR(IF(AND('Дивиденды по годам'!L80&lt;&gt;"",'Дивиденды по годам'!I80&lt;&gt;"",'Дивиденды по годам'!J80&lt;&gt;"",'Дивиденды по годам'!K80&lt;&gt;"",('Дивиденды по годам'!I80-'Дивиденды по годам'!J80-'Дивиденды по годам'!K80)&lt;&gt;0),'Дивиденды по годам'!L80/('Дивиденды по годам'!I80-'Дивиденды по годам'!J80-'Дивиденды по годам'!K80),""),"")</f>
        <v>0.90720154664088937</v>
      </c>
      <c r="T80">
        <f>IFERROR(IF(AND('Дивиденды по годам'!Q80&lt;&gt;"",'Дивиденды по годам'!I80&lt;&gt;"",'Дивиденды по годам'!V80&lt;&gt;"",('Дивиденды по годам'!I80+'Дивиденды по годам'!V80)&lt;&gt;0),'Дивиденды по годам'!Q80/(('Дивиденды по годам'!I80+'Дивиденды по годам'!V80)/2),""),"")</f>
        <v>9.9812265331664582E-2</v>
      </c>
      <c r="U80">
        <f>IFERROR(IF(AND('Дивиденды по годам'!J80&lt;&gt;"",'Дивиденды по годам'!K80&lt;&gt;"",'Дивиденды по годам'!M80&lt;&gt;"",'Дивиденды по годам'!M80&lt;&gt;0),('Дивиденды по годам'!J80+'Дивиденды по годам'!K80)/'Дивиденды по годам'!M80,""),"")</f>
        <v>0.63218946350894156</v>
      </c>
      <c r="V80">
        <f>IFERROR(IF(AND('Дивиденды по годам'!J80&lt;&gt;"",'Дивиденды по годам'!K80&lt;&gt;"",'Дивиденды по годам'!M80&lt;&gt;"",'Дивиденды по годам'!I80&lt;&gt;0),('Дивиденды по годам'!J80+'Дивиденды по годам'!K80)/'Дивиденды по годам'!I80,""),"")</f>
        <v>0.38732602901984009</v>
      </c>
      <c r="W80">
        <f>IFERROR('Дивиденды по годам'!I80,"")</f>
        <v>3377000000000</v>
      </c>
      <c r="X80" cm="1">
        <f t="array" ref="X80">IFERROR(AVERAGE(_xlfn._xlws.FILTER(P$2:P$1073,($C$2:$C$1073=$C80)*($E$2:$E$1073=$E80)*(ROW(P$2:P$1073)&lt;&gt;ROW(P80))*(P$2:P$1073&lt;&gt;""))),"")</f>
        <v>28.118777623138786</v>
      </c>
      <c r="Y80" cm="1">
        <f t="array" ref="Y80">IFERROR(AVERAGE(_xlfn._xlws.FILTER(Q$2:Q$1073,($C$2:$C$1073=$C80)*($E$2:$E$1073=$E80)*(ROW(Q$2:Q$1073)&lt;&gt;ROW(Q80))*(Q$2:Q$1073&lt;&gt;""))),"")</f>
        <v>0.59009133911713807</v>
      </c>
      <c r="Z80" cm="1">
        <f t="array" ref="Z80">IFERROR(AVERAGE(_xlfn._xlws.FILTER(R$2:R$1073,($C$2:$C$1073=$C80)*($E$2:$E$1073=$E80)*(ROW(R$2:R$1073)&lt;&gt;ROW(R80))*(R$2:R$1073&lt;&gt;""))),"")</f>
        <v>0.33556903873571553</v>
      </c>
      <c r="AA80" cm="1">
        <f t="array" ref="AA80">IFERROR(AVERAGE(_xlfn._xlws.FILTER(S$2:S$1073,($C$2:$C$1073=$C80)*($E$2:$E$1073=$E80)*(ROW(S$2:S$1073)&lt;&gt;ROW(S80))*(S$2:S$1073&lt;&gt;""))),"")</f>
        <v>0.87631293745986105</v>
      </c>
      <c r="AB80" cm="1">
        <f t="array" ref="AB80">IFERROR(AVERAGE(_xlfn._xlws.FILTER(T$2:T$1073,($C$2:$C$1073=$C80)*($E$2:$E$1073=$E80)*(ROW(T$2:T$1073)&lt;&gt;ROW(T80))*(T$2:T$1073&lt;&gt;""))),"")</f>
        <v>0.17691356611538855</v>
      </c>
      <c r="AC80" cm="1">
        <f t="array" ref="AC80">IFERROR(AVERAGE(_xlfn._xlws.FILTER(U$2:U$1073,($C$2:$C$1073=$C80)*($E$2:$E$1073=$E80)*(ROW(U$2:U$1073)&lt;&gt;ROW(U80))*(U$2:U$1073&lt;&gt;""))),"")</f>
        <v>0.47475592786873022</v>
      </c>
      <c r="AD80" cm="1">
        <f t="array" ref="AD80">IFERROR(AVERAGE(_xlfn._xlws.FILTER(V$2:V$1073,($C$2:$C$1073=$C80)*($E$2:$E$1073=$E80)*(ROW(V$2:V$1073)&lt;&gt;ROW(V80))*(V$2:V$1073&lt;&gt;""))),"")</f>
        <v>0.31883410454754813</v>
      </c>
      <c r="AE80">
        <f>IF('Дивиденды по годам'!M80&lt;0,1,0)</f>
        <v>0</v>
      </c>
    </row>
    <row r="81" spans="1:31" x14ac:dyDescent="0.2">
      <c r="A81" s="7" t="s">
        <v>2184</v>
      </c>
      <c r="B81" t="str">
        <f t="shared" si="11"/>
        <v>ROSN IV кв. 2010</v>
      </c>
      <c r="C81">
        <v>2010</v>
      </c>
      <c r="D81">
        <f>SUMIFS(Дивиденды!$C:$C,Дивиденды!$A:$A,A81,Дивиденды!$I:$I,C81)</f>
        <v>2.76</v>
      </c>
      <c r="E81">
        <v>1</v>
      </c>
      <c r="F81">
        <f t="shared" si="12"/>
        <v>2.76</v>
      </c>
      <c r="G81">
        <f t="shared" si="13"/>
        <v>12.061666666666666</v>
      </c>
      <c r="H81">
        <f t="shared" si="14"/>
        <v>1</v>
      </c>
      <c r="I81">
        <f t="shared" si="15"/>
        <v>0.83333333333333337</v>
      </c>
      <c r="J81" t="str">
        <f t="shared" si="16"/>
        <v/>
      </c>
      <c r="K81" t="str">
        <f t="shared" si="21"/>
        <v/>
      </c>
      <c r="L81" t="str">
        <f t="shared" si="17"/>
        <v/>
      </c>
      <c r="M81" t="str">
        <f t="shared" si="18"/>
        <v/>
      </c>
      <c r="N81" t="str">
        <f t="shared" si="19"/>
        <v/>
      </c>
      <c r="O81" t="str">
        <f t="shared" si="20"/>
        <v/>
      </c>
      <c r="P81" t="str">
        <f>IFERROR(LN('Дивиденды по годам'!I81),"")</f>
        <v/>
      </c>
      <c r="Q81" t="str">
        <f>IFERROR('Дивиденды по годам'!G81/'Дивиденды по годам'!I81, "")</f>
        <v/>
      </c>
      <c r="R81" t="str">
        <f>IFERROR(IF(AND('Дивиденды по годам'!N81&lt;&gt;"",'Дивиденды по годам'!U81&lt;&gt;"",'Дивиденды по годам'!U81&lt;&gt;0),'Дивиденды по годам'!N81/'Дивиденды по годам'!U81-1,""),"")</f>
        <v/>
      </c>
      <c r="S81" t="str">
        <f>IFERROR(IF(AND('Дивиденды по годам'!L81&lt;&gt;"",'Дивиденды по годам'!I81&lt;&gt;"",'Дивиденды по годам'!J81&lt;&gt;"",'Дивиденды по годам'!K81&lt;&gt;"",('Дивиденды по годам'!I81-'Дивиденды по годам'!J81-'Дивиденды по годам'!K81)&lt;&gt;0),'Дивиденды по годам'!L81/('Дивиденды по годам'!I81-'Дивиденды по годам'!J81-'Дивиденды по годам'!K81),""),"")</f>
        <v/>
      </c>
      <c r="T81" t="str">
        <f>IFERROR(IF(AND('Дивиденды по годам'!Q81&lt;&gt;"",'Дивиденды по годам'!I81&lt;&gt;"",'Дивиденды по годам'!V81&lt;&gt;"",('Дивиденды по годам'!I81+'Дивиденды по годам'!V81)&lt;&gt;0),'Дивиденды по годам'!Q81/(('Дивиденды по годам'!I81+'Дивиденды по годам'!V81)/2),""),"")</f>
        <v/>
      </c>
      <c r="U81" t="str">
        <f>IFERROR(IF(AND('Дивиденды по годам'!J81&lt;&gt;"",'Дивиденды по годам'!K81&lt;&gt;"",'Дивиденды по годам'!M81&lt;&gt;"",'Дивиденды по годам'!M81&lt;&gt;0),('Дивиденды по годам'!J81+'Дивиденды по годам'!K81)/'Дивиденды по годам'!M81,""),"")</f>
        <v/>
      </c>
      <c r="V81" t="str">
        <f>IFERROR(IF(AND('Дивиденды по годам'!J81&lt;&gt;"",'Дивиденды по годам'!K81&lt;&gt;"",'Дивиденды по годам'!M81&lt;&gt;"",'Дивиденды по годам'!I81&lt;&gt;0),('Дивиденды по годам'!J81+'Дивиденды по годам'!K81)/'Дивиденды по годам'!I81,""),"")</f>
        <v/>
      </c>
      <c r="W81" t="str">
        <f>IFERROR('Дивиденды по годам'!I81,"")</f>
        <v/>
      </c>
      <c r="X81" cm="1">
        <f t="array" ref="X81">IFERROR(AVERAGE(_xlfn._xlws.FILTER(P$2:P$1073,($C$2:$C$1073=$C81)*($E$2:$E$1073=$E81)*(ROW(P$2:P$1073)&lt;&gt;ROW(P81))*(P$2:P$1073&lt;&gt;""))),"")</f>
        <v>28.26609277365635</v>
      </c>
      <c r="Y81" cm="1">
        <f t="array" ref="Y81">IFERROR(AVERAGE(_xlfn._xlws.FILTER(Q$2:Q$1073,($C$2:$C$1073=$C81)*($E$2:$E$1073=$E81)*(ROW(Q$2:Q$1073)&lt;&gt;ROW(Q81))*(Q$2:Q$1073&lt;&gt;""))),"")</f>
        <v>0.63165964928088458</v>
      </c>
      <c r="Z81" cm="1">
        <f t="array" ref="Z81">IFERROR(AVERAGE(_xlfn._xlws.FILTER(R$2:R$1073,($C$2:$C$1073=$C81)*($E$2:$E$1073=$E81)*(ROW(R$2:R$1073)&lt;&gt;ROW(R81))*(R$2:R$1073&lt;&gt;""))),"")</f>
        <v>0.23861324477859247</v>
      </c>
      <c r="AA81" cm="1">
        <f t="array" ref="AA81">IFERROR(AVERAGE(_xlfn._xlws.FILTER(S$2:S$1073,($C$2:$C$1073=$C81)*($E$2:$E$1073=$E81)*(ROW(S$2:S$1073)&lt;&gt;ROW(S81))*(S$2:S$1073&lt;&gt;""))),"")</f>
        <v>0.85870775810089295</v>
      </c>
      <c r="AB81" cm="1">
        <f t="array" ref="AB81">IFERROR(AVERAGE(_xlfn._xlws.FILTER(T$2:T$1073,($C$2:$C$1073=$C81)*($E$2:$E$1073=$E81)*(ROW(T$2:T$1073)&lt;&gt;ROW(T81))*(T$2:T$1073&lt;&gt;""))),"")</f>
        <v>0.10947396081496689</v>
      </c>
      <c r="AC81" cm="1">
        <f t="array" ref="AC81">IFERROR(AVERAGE(_xlfn._xlws.FILTER(U$2:U$1073,($C$2:$C$1073=$C81)*($E$2:$E$1073=$E81)*(ROW(U$2:U$1073)&lt;&gt;ROW(U81))*(U$2:U$1073&lt;&gt;""))),"")</f>
        <v>0.50738882547166109</v>
      </c>
      <c r="AD81" cm="1">
        <f t="array" ref="AD81">IFERROR(AVERAGE(_xlfn._xlws.FILTER(V$2:V$1073,($C$2:$C$1073=$C81)*($E$2:$E$1073=$E81)*(ROW(V$2:V$1073)&lt;&gt;ROW(V81))*(V$2:V$1073&lt;&gt;""))),"")</f>
        <v>0.33149246799378812</v>
      </c>
      <c r="AE81">
        <f>IF('Дивиденды по годам'!M81&lt;0,1,0)</f>
        <v>0</v>
      </c>
    </row>
    <row r="82" spans="1:31" x14ac:dyDescent="0.2">
      <c r="A82" s="7" t="s">
        <v>2186</v>
      </c>
      <c r="B82" t="str">
        <f t="shared" si="11"/>
        <v>SNGS IV кв. 2025</v>
      </c>
      <c r="C82">
        <v>2025</v>
      </c>
      <c r="D82">
        <f>SUMIFS(Дивиденды!$C:$C,Дивиденды!$A:$A,A82,Дивиденды!$I:$I,C82)</f>
        <v>0</v>
      </c>
      <c r="E82">
        <v>1</v>
      </c>
      <c r="F82">
        <f t="shared" si="12"/>
        <v>0</v>
      </c>
      <c r="G82">
        <f t="shared" si="13"/>
        <v>77.756666666666675</v>
      </c>
      <c r="H82">
        <f t="shared" si="14"/>
        <v>0</v>
      </c>
      <c r="I82">
        <f t="shared" si="15"/>
        <v>0.66666666666666663</v>
      </c>
      <c r="J82">
        <f t="shared" si="16"/>
        <v>-1</v>
      </c>
      <c r="K82">
        <f t="shared" si="21"/>
        <v>-0.45629958331146298</v>
      </c>
      <c r="L82">
        <f t="shared" si="17"/>
        <v>0</v>
      </c>
      <c r="M82">
        <f t="shared" si="18"/>
        <v>0</v>
      </c>
      <c r="N82">
        <f t="shared" si="19"/>
        <v>1</v>
      </c>
      <c r="O82">
        <f t="shared" si="20"/>
        <v>0.66666666666666663</v>
      </c>
      <c r="P82" t="str">
        <f>IFERROR(LN('Дивиденды по годам'!I82),"")</f>
        <v/>
      </c>
      <c r="Q82" t="str">
        <f>IFERROR('Дивиденды по годам'!G82/'Дивиденды по годам'!I82, "")</f>
        <v/>
      </c>
      <c r="R82" t="str">
        <f>IFERROR(IF(AND('Дивиденды по годам'!N82&lt;&gt;"",'Дивиденды по годам'!U82&lt;&gt;"",'Дивиденды по годам'!U82&lt;&gt;0),'Дивиденды по годам'!N82/'Дивиденды по годам'!U82-1,""),"")</f>
        <v/>
      </c>
      <c r="S82" t="str">
        <f>IFERROR(IF(AND('Дивиденды по годам'!L82&lt;&gt;"",'Дивиденды по годам'!I82&lt;&gt;"",'Дивиденды по годам'!J82&lt;&gt;"",'Дивиденды по годам'!K82&lt;&gt;"",('Дивиденды по годам'!I82-'Дивиденды по годам'!J82-'Дивиденды по годам'!K82)&lt;&gt;0),'Дивиденды по годам'!L82/('Дивиденды по годам'!I82-'Дивиденды по годам'!J82-'Дивиденды по годам'!K82),""),"")</f>
        <v/>
      </c>
      <c r="T82" t="str">
        <f>IFERROR(IF(AND('Дивиденды по годам'!Q82&lt;&gt;"",'Дивиденды по годам'!I82&lt;&gt;"",'Дивиденды по годам'!V82&lt;&gt;"",('Дивиденды по годам'!I82+'Дивиденды по годам'!V82)&lt;&gt;0),'Дивиденды по годам'!Q82/(('Дивиденды по годам'!I82+'Дивиденды по годам'!V82)/2),""),"")</f>
        <v/>
      </c>
      <c r="U82" t="str">
        <f>IFERROR(IF(AND('Дивиденды по годам'!J82&lt;&gt;"",'Дивиденды по годам'!K82&lt;&gt;"",'Дивиденды по годам'!M82&lt;&gt;"",'Дивиденды по годам'!M82&lt;&gt;0),('Дивиденды по годам'!J82+'Дивиденды по годам'!K82)/'Дивиденды по годам'!M82,""),"")</f>
        <v/>
      </c>
      <c r="V82" t="str">
        <f>IFERROR(IF(AND('Дивиденды по годам'!J82&lt;&gt;"",'Дивиденды по годам'!K82&lt;&gt;"",'Дивиденды по годам'!M82&lt;&gt;"",'Дивиденды по годам'!I82&lt;&gt;0),('Дивиденды по годам'!J82+'Дивиденды по годам'!K82)/'Дивиденды по годам'!I82,""),"")</f>
        <v/>
      </c>
      <c r="W82" t="str">
        <f>IFERROR('Дивиденды по годам'!I82,"")</f>
        <v/>
      </c>
      <c r="X82" cm="1">
        <f t="array" ref="X82">IFERROR(AVERAGE(_xlfn._xlws.FILTER(P$2:P$1073,($C$2:$C$1073=$C82)*($E$2:$E$1073=$E82)*(ROW(P$2:P$1073)&lt;&gt;ROW(P82))*(P$2:P$1073&lt;&gt;""))),"")</f>
        <v>28.307188246358621</v>
      </c>
      <c r="Y82" cm="1">
        <f t="array" ref="Y82">IFERROR(AVERAGE(_xlfn._xlws.FILTER(Q$2:Q$1073,($C$2:$C$1073=$C82)*($E$2:$E$1073=$E82)*(ROW(Q$2:Q$1073)&lt;&gt;ROW(Q82))*(Q$2:Q$1073&lt;&gt;""))),"")</f>
        <v>0.53419343836509714</v>
      </c>
      <c r="Z82" cm="1">
        <f t="array" ref="Z82">IFERROR(AVERAGE(_xlfn._xlws.FILTER(R$2:R$1073,($C$2:$C$1073=$C82)*($E$2:$E$1073=$E82)*(ROW(R$2:R$1073)&lt;&gt;ROW(R82))*(R$2:R$1073&lt;&gt;""))),"")</f>
        <v>-0.25128971877251305</v>
      </c>
      <c r="AA82" cm="1">
        <f t="array" ref="AA82">IFERROR(AVERAGE(_xlfn._xlws.FILTER(S$2:S$1073,($C$2:$C$1073=$C82)*($E$2:$E$1073=$E82)*(ROW(S$2:S$1073)&lt;&gt;ROW(S82))*(S$2:S$1073&lt;&gt;""))),"")</f>
        <v>0.7103915367710556</v>
      </c>
      <c r="AB82" cm="1">
        <f t="array" ref="AB82">IFERROR(AVERAGE(_xlfn._xlws.FILTER(T$2:T$1073,($C$2:$C$1073=$C82)*($E$2:$E$1073=$E82)*(ROW(T$2:T$1073)&lt;&gt;ROW(T82))*(T$2:T$1073&lt;&gt;""))),"")</f>
        <v>1.109913570195168E-2</v>
      </c>
      <c r="AC82" cm="1">
        <f t="array" ref="AC82">IFERROR(AVERAGE(_xlfn._xlws.FILTER(U$2:U$1073,($C$2:$C$1073=$C82)*($E$2:$E$1073=$E82)*(ROW(U$2:U$1073)&lt;&gt;ROW(U82))*(U$2:U$1073&lt;&gt;""))),"")</f>
        <v>0.71283761221882813</v>
      </c>
      <c r="AD82" cm="1">
        <f t="array" ref="AD82">IFERROR(AVERAGE(_xlfn._xlws.FILTER(V$2:V$1073,($C$2:$C$1073=$C82)*($E$2:$E$1073=$E82)*(ROW(V$2:V$1073)&lt;&gt;ROW(V82))*(V$2:V$1073&lt;&gt;""))),"")</f>
        <v>0.37992268115994704</v>
      </c>
      <c r="AE82">
        <f>IF('Дивиденды по годам'!M82&lt;0,1,0)</f>
        <v>0</v>
      </c>
    </row>
    <row r="83" spans="1:31" x14ac:dyDescent="0.2">
      <c r="A83" s="7" t="s">
        <v>2186</v>
      </c>
      <c r="B83" t="str">
        <f t="shared" si="11"/>
        <v>SNGS IV кв. 2024</v>
      </c>
      <c r="C83">
        <v>2024</v>
      </c>
      <c r="D83">
        <f>SUMIFS(Дивиденды!$C:$C,Дивиденды!$A:$A,A83,Дивиденды!$I:$I,C83)</f>
        <v>0.9</v>
      </c>
      <c r="E83">
        <v>1</v>
      </c>
      <c r="F83">
        <f t="shared" si="12"/>
        <v>0.9</v>
      </c>
      <c r="G83">
        <f t="shared" si="13"/>
        <v>214.50000000000003</v>
      </c>
      <c r="H83">
        <f t="shared" si="14"/>
        <v>1</v>
      </c>
      <c r="I83">
        <f t="shared" si="15"/>
        <v>0.66666666666666663</v>
      </c>
      <c r="J83">
        <f t="shared" si="16"/>
        <v>5.8823529411764761E-2</v>
      </c>
      <c r="K83">
        <f t="shared" si="21"/>
        <v>2.3410046168816725E-2</v>
      </c>
      <c r="L83">
        <f t="shared" si="17"/>
        <v>1</v>
      </c>
      <c r="M83">
        <f t="shared" si="18"/>
        <v>0.5</v>
      </c>
      <c r="N83">
        <f t="shared" si="19"/>
        <v>0</v>
      </c>
      <c r="O83">
        <f t="shared" si="20"/>
        <v>0.16666666666666666</v>
      </c>
      <c r="P83" t="str">
        <f>IFERROR(LN('Дивиденды по годам'!I83),"")</f>
        <v/>
      </c>
      <c r="Q83" t="str">
        <f>IFERROR('Дивиденды по годам'!G83/'Дивиденды по годам'!I83, "")</f>
        <v/>
      </c>
      <c r="R83" t="str">
        <f>IFERROR(IF(AND('Дивиденды по годам'!N83&lt;&gt;"",'Дивиденды по годам'!U83&lt;&gt;"",'Дивиденды по годам'!U83&lt;&gt;0),'Дивиденды по годам'!N83/'Дивиденды по годам'!U83-1,""),"")</f>
        <v/>
      </c>
      <c r="S83" t="str">
        <f>IFERROR(IF(AND('Дивиденды по годам'!L83&lt;&gt;"",'Дивиденды по годам'!I83&lt;&gt;"",'Дивиденды по годам'!J83&lt;&gt;"",'Дивиденды по годам'!K83&lt;&gt;"",('Дивиденды по годам'!I83-'Дивиденды по годам'!J83-'Дивиденды по годам'!K83)&lt;&gt;0),'Дивиденды по годам'!L83/('Дивиденды по годам'!I83-'Дивиденды по годам'!J83-'Дивиденды по годам'!K83),""),"")</f>
        <v/>
      </c>
      <c r="T83" t="str">
        <f>IFERROR(IF(AND('Дивиденды по годам'!Q83&lt;&gt;"",'Дивиденды по годам'!I83&lt;&gt;"",'Дивиденды по годам'!V83&lt;&gt;"",('Дивиденды по годам'!I83+'Дивиденды по годам'!V83)&lt;&gt;0),'Дивиденды по годам'!Q83/(('Дивиденды по годам'!I83+'Дивиденды по годам'!V83)/2),""),"")</f>
        <v/>
      </c>
      <c r="U83" t="str">
        <f>IFERROR(IF(AND('Дивиденды по годам'!J83&lt;&gt;"",'Дивиденды по годам'!K83&lt;&gt;"",'Дивиденды по годам'!M83&lt;&gt;"",'Дивиденды по годам'!M83&lt;&gt;0),('Дивиденды по годам'!J83+'Дивиденды по годам'!K83)/'Дивиденды по годам'!M83,""),"")</f>
        <v/>
      </c>
      <c r="V83" t="str">
        <f>IFERROR(IF(AND('Дивиденды по годам'!J83&lt;&gt;"",'Дивиденды по годам'!K83&lt;&gt;"",'Дивиденды по годам'!M83&lt;&gt;"",'Дивиденды по годам'!I83&lt;&gt;0),('Дивиденды по годам'!J83+'Дивиденды по годам'!K83)/'Дивиденды по годам'!I83,""),"")</f>
        <v/>
      </c>
      <c r="W83" t="str">
        <f>IFERROR('Дивиденды по годам'!I83,"")</f>
        <v/>
      </c>
      <c r="X83" cm="1">
        <f t="array" ref="X83">IFERROR(AVERAGE(_xlfn._xlws.FILTER(P$2:P$1073,($C$2:$C$1073=$C83)*($E$2:$E$1073=$E83)*(ROW(P$2:P$1073)&lt;&gt;ROW(P83))*(P$2:P$1073&lt;&gt;""))),"")</f>
        <v>29.255629428376704</v>
      </c>
      <c r="Y83" cm="1">
        <f t="array" ref="Y83">IFERROR(AVERAGE(_xlfn._xlws.FILTER(Q$2:Q$1073,($C$2:$C$1073=$C83)*($E$2:$E$1073=$E83)*(ROW(Q$2:Q$1073)&lt;&gt;ROW(Q83))*(Q$2:Q$1073&lt;&gt;""))),"")</f>
        <v>0.53947828326750868</v>
      </c>
      <c r="Z83" cm="1">
        <f t="array" ref="Z83">IFERROR(AVERAGE(_xlfn._xlws.FILTER(R$2:R$1073,($C$2:$C$1073=$C83)*($E$2:$E$1073=$E83)*(ROW(R$2:R$1073)&lt;&gt;ROW(R83))*(R$2:R$1073&lt;&gt;""))),"")</f>
        <v>0.18504718343902518</v>
      </c>
      <c r="AA83" cm="1">
        <f t="array" ref="AA83">IFERROR(AVERAGE(_xlfn._xlws.FILTER(S$2:S$1073,($C$2:$C$1073=$C83)*($E$2:$E$1073=$E83)*(ROW(S$2:S$1073)&lt;&gt;ROW(S83))*(S$2:S$1073&lt;&gt;""))),"")</f>
        <v>0.81580249860973608</v>
      </c>
      <c r="AB83" cm="1">
        <f t="array" ref="AB83">IFERROR(AVERAGE(_xlfn._xlws.FILTER(T$2:T$1073,($C$2:$C$1073=$C83)*($E$2:$E$1073=$E83)*(ROW(T$2:T$1073)&lt;&gt;ROW(T83))*(T$2:T$1073&lt;&gt;""))),"")</f>
        <v>0.10887944277419696</v>
      </c>
      <c r="AC83" cm="1">
        <f t="array" ref="AC83">IFERROR(AVERAGE(_xlfn._xlws.FILTER(U$2:U$1073,($C$2:$C$1073=$C83)*($E$2:$E$1073=$E83)*(ROW(U$2:U$1073)&lt;&gt;ROW(U83))*(U$2:U$1073&lt;&gt;""))),"")</f>
        <v>0.83295066867042067</v>
      </c>
      <c r="AD83" cm="1">
        <f t="array" ref="AD83">IFERROR(AVERAGE(_xlfn._xlws.FILTER(V$2:V$1073,($C$2:$C$1073=$C83)*($E$2:$E$1073=$E83)*(ROW(V$2:V$1073)&lt;&gt;ROW(V83))*(V$2:V$1073&lt;&gt;""))),"")</f>
        <v>0.41701935317361355</v>
      </c>
      <c r="AE83">
        <f>IF('Дивиденды по годам'!M83&lt;0,1,0)</f>
        <v>0</v>
      </c>
    </row>
    <row r="84" spans="1:31" x14ac:dyDescent="0.2">
      <c r="A84" s="7" t="s">
        <v>2186</v>
      </c>
      <c r="B84" t="str">
        <f t="shared" si="11"/>
        <v>SNGS IV кв. 2023</v>
      </c>
      <c r="C84">
        <v>2023</v>
      </c>
      <c r="D84">
        <f>SUMIFS(Дивиденды!$C:$C,Дивиденды!$A:$A,A84,Дивиденды!$I:$I,C84)</f>
        <v>0.85</v>
      </c>
      <c r="E84">
        <v>1</v>
      </c>
      <c r="F84">
        <f t="shared" si="12"/>
        <v>0.85</v>
      </c>
      <c r="G84">
        <f t="shared" si="13"/>
        <v>195.20833333333334</v>
      </c>
      <c r="H84">
        <f t="shared" si="14"/>
        <v>1</v>
      </c>
      <c r="I84">
        <f t="shared" si="15"/>
        <v>0.66666666666666663</v>
      </c>
      <c r="J84">
        <f t="shared" si="16"/>
        <v>6.2499999999999917E-2</v>
      </c>
      <c r="K84">
        <f t="shared" si="21"/>
        <v>-0.10389828316101786</v>
      </c>
      <c r="L84">
        <f t="shared" si="17"/>
        <v>1</v>
      </c>
      <c r="M84">
        <f t="shared" si="18"/>
        <v>0.33333333333333331</v>
      </c>
      <c r="N84">
        <f t="shared" si="19"/>
        <v>0</v>
      </c>
      <c r="O84">
        <f t="shared" si="20"/>
        <v>0.5</v>
      </c>
      <c r="P84">
        <f>IFERROR(LN('Дивиденды по годам'!I84),"")</f>
        <v>29.715436268674136</v>
      </c>
      <c r="Q84">
        <f>IFERROR('Дивиденды по годам'!G84/'Дивиденды по годам'!I84, "")</f>
        <v>0.22214712443755436</v>
      </c>
      <c r="R84">
        <f>IFERROR(IF(AND('Дивиденды по годам'!N84&lt;&gt;"",'Дивиденды по годам'!U84&lt;&gt;"",'Дивиденды по годам'!U84&lt;&gt;0),'Дивиденды по годам'!N84/'Дивиденды по годам'!U84-1,""),"")</f>
        <v>-4.6719679798532532E-2</v>
      </c>
      <c r="S84">
        <f>IFERROR(IF(AND('Дивиденды по годам'!L84&lt;&gt;"",'Дивиденды по годам'!I84&lt;&gt;"",'Дивиденды по годам'!J84&lt;&gt;"",'Дивиденды по годам'!K84&lt;&gt;"",('Дивиденды по годам'!I84-'Дивиденды по годам'!J84-'Дивиденды по годам'!K84)&lt;&gt;0),'Дивиденды по годам'!L84/('Дивиденды по годам'!I84-'Дивиденды по годам'!J84-'Дивиденды по годам'!K84),""),"")</f>
        <v>0.96962581248559809</v>
      </c>
      <c r="T84">
        <f>IFERROR(IF(AND('Дивиденды по годам'!Q84&lt;&gt;"",'Дивиденды по годам'!I84&lt;&gt;"",'Дивиденды по годам'!V84&lt;&gt;"",('Дивиденды по годам'!I84+'Дивиденды по годам'!V84)&lt;&gt;0),'Дивиденды по годам'!Q84/(('Дивиденды по годам'!I84+'Дивиденды по годам'!V84)/2),""),"")</f>
        <v>0.18200184505464304</v>
      </c>
      <c r="U84">
        <f>IFERROR(IF(AND('Дивиденды по годам'!J84&lt;&gt;"",'Дивиденды по годам'!K84&lt;&gt;"",'Дивиденды по годам'!M84&lt;&gt;"",'Дивиденды по годам'!M84&lt;&gt;0),('Дивиденды по годам'!J84+'Дивиденды по годам'!K84)/'Дивиденды по годам'!M84,""),"")</f>
        <v>0.13449722517021576</v>
      </c>
      <c r="V84">
        <f>IFERROR(IF(AND('Дивиденды по годам'!J84&lt;&gt;"",'Дивиденды по годам'!K84&lt;&gt;"",'Дивиденды по годам'!M84&lt;&gt;"",'Дивиденды по годам'!I84&lt;&gt;0),('Дивиденды по годам'!J84+'Дивиденды по годам'!K84)/'Дивиденды по годам'!I84,""),"")</f>
        <v>0.1185522733650021</v>
      </c>
      <c r="W84">
        <f>IFERROR('Дивиденды по годам'!I84,"")</f>
        <v>8039888000000</v>
      </c>
      <c r="X84" cm="1">
        <f t="array" ref="X84">IFERROR(AVERAGE(_xlfn._xlws.FILTER(P$2:P$1073,($C$2:$C$1073=$C84)*($E$2:$E$1073=$E84)*(ROW(P$2:P$1073)&lt;&gt;ROW(P84))*(P$2:P$1073&lt;&gt;""))),"")</f>
        <v>29.162648164256662</v>
      </c>
      <c r="Y84" cm="1">
        <f t="array" ref="Y84">IFERROR(AVERAGE(_xlfn._xlws.FILTER(Q$2:Q$1073,($C$2:$C$1073=$C84)*($E$2:$E$1073=$E84)*(ROW(Q$2:Q$1073)&lt;&gt;ROW(Q84))*(Q$2:Q$1073&lt;&gt;""))),"")</f>
        <v>0.54347673993568246</v>
      </c>
      <c r="Z84" cm="1">
        <f t="array" ref="Z84">IFERROR(AVERAGE(_xlfn._xlws.FILTER(R$2:R$1073,($C$2:$C$1073=$C84)*($E$2:$E$1073=$E84)*(ROW(R$2:R$1073)&lt;&gt;ROW(R84))*(R$2:R$1073&lt;&gt;""))),"")</f>
        <v>-0.11136109189659267</v>
      </c>
      <c r="AA84" cm="1">
        <f t="array" ref="AA84">IFERROR(AVERAGE(_xlfn._xlws.FILTER(S$2:S$1073,($C$2:$C$1073=$C84)*($E$2:$E$1073=$E84)*(ROW(S$2:S$1073)&lt;&gt;ROW(S84))*(S$2:S$1073&lt;&gt;""))),"")</f>
        <v>0.78647717560817831</v>
      </c>
      <c r="AB84" cm="1">
        <f t="array" ref="AB84">IFERROR(AVERAGE(_xlfn._xlws.FILTER(T$2:T$1073,($C$2:$C$1073=$C84)*($E$2:$E$1073=$E84)*(ROW(T$2:T$1073)&lt;&gt;ROW(T84))*(T$2:T$1073&lt;&gt;""))),"")</f>
        <v>5.0662606047746091E-2</v>
      </c>
      <c r="AC84" cm="1">
        <f t="array" ref="AC84">IFERROR(AVERAGE(_xlfn._xlws.FILTER(U$2:U$1073,($C$2:$C$1073=$C84)*($E$2:$E$1073=$E84)*(ROW(U$2:U$1073)&lt;&gt;ROW(U84))*(U$2:U$1073&lt;&gt;""))),"")</f>
        <v>0.93997635115464695</v>
      </c>
      <c r="AD84" cm="1">
        <f t="array" ref="AD84">IFERROR(AVERAGE(_xlfn._xlws.FILTER(V$2:V$1073,($C$2:$C$1073=$C84)*($E$2:$E$1073=$E84)*(ROW(V$2:V$1073)&lt;&gt;ROW(V84))*(V$2:V$1073&lt;&gt;""))),"")</f>
        <v>0.42395188724092181</v>
      </c>
      <c r="AE84">
        <f>IF('Дивиденды по годам'!M84&lt;0,1,0)</f>
        <v>0</v>
      </c>
    </row>
    <row r="85" spans="1:31" x14ac:dyDescent="0.2">
      <c r="A85" s="7" t="s">
        <v>2186</v>
      </c>
      <c r="B85" t="str">
        <f t="shared" si="11"/>
        <v>SNGS IV кв. 2022</v>
      </c>
      <c r="C85">
        <v>2022</v>
      </c>
      <c r="D85">
        <f>SUMIFS(Дивиденды!$C:$C,Дивиденды!$A:$A,A85,Дивиденды!$I:$I,C85)</f>
        <v>0.8</v>
      </c>
      <c r="E85">
        <v>1</v>
      </c>
      <c r="F85">
        <f t="shared" si="12"/>
        <v>0.8</v>
      </c>
      <c r="G85">
        <f t="shared" si="13"/>
        <v>248.87499999999997</v>
      </c>
      <c r="H85">
        <f t="shared" si="14"/>
        <v>1</v>
      </c>
      <c r="I85">
        <f t="shared" si="15"/>
        <v>0.83333333333333337</v>
      </c>
      <c r="J85">
        <f t="shared" si="16"/>
        <v>0</v>
      </c>
      <c r="K85">
        <f t="shared" si="21"/>
        <v>0.76618671052118481</v>
      </c>
      <c r="L85">
        <f t="shared" si="17"/>
        <v>0</v>
      </c>
      <c r="M85">
        <f t="shared" si="18"/>
        <v>0.66666666666666663</v>
      </c>
      <c r="N85">
        <f t="shared" si="19"/>
        <v>0</v>
      </c>
      <c r="O85">
        <f t="shared" si="20"/>
        <v>0.16666666666666666</v>
      </c>
      <c r="P85">
        <f>IFERROR(LN('Дивиденды по годам'!I85),"")</f>
        <v>29.501080082012958</v>
      </c>
      <c r="Q85">
        <f>IFERROR('Дивиденды по годам'!G85/'Дивиденды по годам'!I85, "")</f>
        <v>0.25198719184598284</v>
      </c>
      <c r="R85" t="str">
        <f>IFERROR(IF(AND('Дивиденды по годам'!N85&lt;&gt;"",'Дивиденды по годам'!U85&lt;&gt;"",'Дивиденды по годам'!U85&lt;&gt;0),'Дивиденды по годам'!N85/'Дивиденды по годам'!U85-1,""),"")</f>
        <v/>
      </c>
      <c r="S85">
        <f>IFERROR(IF(AND('Дивиденды по годам'!L85&lt;&gt;"",'Дивиденды по годам'!I85&lt;&gt;"",'Дивиденды по годам'!J85&lt;&gt;"",'Дивиденды по годам'!K85&lt;&gt;"",('Дивиденды по годам'!I85-'Дивиденды по годам'!J85-'Дивиденды по годам'!K85)&lt;&gt;0),'Дивиденды по годам'!L85/('Дивиденды по годам'!I85-'Дивиденды по годам'!J85-'Дивиденды по годам'!K85),""),"")</f>
        <v>0.96301568426027317</v>
      </c>
      <c r="T85" t="str">
        <f>IFERROR(IF(AND('Дивиденды по годам'!Q85&lt;&gt;"",'Дивиденды по годам'!I85&lt;&gt;"",'Дивиденды по годам'!V85&lt;&gt;"",('Дивиденды по годам'!I85+'Дивиденды по годам'!V85)&lt;&gt;0),'Дивиденды по годам'!Q85/(('Дивиденды по годам'!I85+'Дивиденды по годам'!V85)/2),""),"")</f>
        <v/>
      </c>
      <c r="U85">
        <f>IFERROR(IF(AND('Дивиденды по годам'!J85&lt;&gt;"",'Дивиденды по годам'!K85&lt;&gt;"",'Дивиденды по годам'!M85&lt;&gt;"",'Дивиденды по годам'!M85&lt;&gt;0),('Дивиденды по годам'!J85+'Дивиденды по годам'!K85)/'Дивиденды по годам'!M85,""),"")</f>
        <v>0.11875878357024296</v>
      </c>
      <c r="V85">
        <f>IFERROR(IF(AND('Дивиденды по годам'!J85&lt;&gt;"",'Дивиденды по годам'!K85&lt;&gt;"",'Дивиденды по годам'!M85&lt;&gt;"",'Дивиденды по годам'!I85&lt;&gt;0),('Дивиденды по годам'!J85+'Дивиденды по годам'!K85)/'Дивиденды по годам'!I85,""),"")</f>
        <v>0.10615226920610497</v>
      </c>
      <c r="W85">
        <f>IFERROR('Дивиденды по годам'!I85,"")</f>
        <v>6488679000000</v>
      </c>
      <c r="X85" cm="1">
        <f t="array" ref="X85">IFERROR(AVERAGE(_xlfn._xlws.FILTER(P$2:P$1073,($C$2:$C$1073=$C85)*($E$2:$E$1073=$E85)*(ROW(P$2:P$1073)&lt;&gt;ROW(P85))*(P$2:P$1073&lt;&gt;""))),"")</f>
        <v>28.469350715016706</v>
      </c>
      <c r="Y85" cm="1">
        <f t="array" ref="Y85">IFERROR(AVERAGE(_xlfn._xlws.FILTER(Q$2:Q$1073,($C$2:$C$1073=$C85)*($E$2:$E$1073=$E85)*(ROW(Q$2:Q$1073)&lt;&gt;ROW(Q85))*(Q$2:Q$1073&lt;&gt;""))),"")</f>
        <v>0.59772237245003879</v>
      </c>
      <c r="Z85" cm="1">
        <f t="array" ref="Z85">IFERROR(AVERAGE(_xlfn._xlws.FILTER(R$2:R$1073,($C$2:$C$1073=$C85)*($E$2:$E$1073=$E85)*(ROW(R$2:R$1073)&lt;&gt;ROW(R85))*(R$2:R$1073&lt;&gt;""))),"")</f>
        <v>0.11583545865184226</v>
      </c>
      <c r="AA85" cm="1">
        <f t="array" ref="AA85">IFERROR(AVERAGE(_xlfn._xlws.FILTER(S$2:S$1073,($C$2:$C$1073=$C85)*($E$2:$E$1073=$E85)*(ROW(S$2:S$1073)&lt;&gt;ROW(S85))*(S$2:S$1073&lt;&gt;""))),"")</f>
        <v>0.76730501118719519</v>
      </c>
      <c r="AB85" cm="1">
        <f t="array" ref="AB85">IFERROR(AVERAGE(_xlfn._xlws.FILTER(T$2:T$1073,($C$2:$C$1073=$C85)*($E$2:$E$1073=$E85)*(ROW(T$2:T$1073)&lt;&gt;ROW(T85))*(T$2:T$1073&lt;&gt;""))),"")</f>
        <v>0.10279179198494799</v>
      </c>
      <c r="AC85" cm="1">
        <f t="array" ref="AC85">IFERROR(AVERAGE(_xlfn._xlws.FILTER(U$2:U$1073,($C$2:$C$1073=$C85)*($E$2:$E$1073=$E85)*(ROW(U$2:U$1073)&lt;&gt;ROW(U85))*(U$2:U$1073&lt;&gt;""))),"")</f>
        <v>1.0404240527452673</v>
      </c>
      <c r="AD85" cm="1">
        <f t="array" ref="AD85">IFERROR(AVERAGE(_xlfn._xlws.FILTER(V$2:V$1073,($C$2:$C$1073=$C85)*($E$2:$E$1073=$E85)*(ROW(V$2:V$1073)&lt;&gt;ROW(V85))*(V$2:V$1073&lt;&gt;""))),"")</f>
        <v>0.45996250987215276</v>
      </c>
      <c r="AE85">
        <f>IF('Дивиденды по годам'!M85&lt;0,1,0)</f>
        <v>0</v>
      </c>
    </row>
    <row r="86" spans="1:31" x14ac:dyDescent="0.2">
      <c r="A86" s="7" t="s">
        <v>2186</v>
      </c>
      <c r="B86" t="str">
        <f t="shared" si="11"/>
        <v>SNGS IV кв. 2021</v>
      </c>
      <c r="C86">
        <v>2021</v>
      </c>
      <c r="D86">
        <f>SUMIFS(Дивиденды!$C:$C,Дивиденды!$A:$A,A86,Дивиденды!$I:$I,C86)</f>
        <v>0.8</v>
      </c>
      <c r="E86">
        <v>1</v>
      </c>
      <c r="F86">
        <f t="shared" si="12"/>
        <v>0.8</v>
      </c>
      <c r="G86">
        <f t="shared" si="13"/>
        <v>82.623333333333335</v>
      </c>
      <c r="H86">
        <f t="shared" si="14"/>
        <v>1</v>
      </c>
      <c r="I86">
        <f t="shared" si="15"/>
        <v>0.66666666666666663</v>
      </c>
      <c r="J86">
        <f t="shared" si="16"/>
        <v>0.14285714285714299</v>
      </c>
      <c r="K86">
        <f t="shared" si="21"/>
        <v>1.0403147032187805</v>
      </c>
      <c r="L86">
        <f t="shared" si="17"/>
        <v>1</v>
      </c>
      <c r="M86">
        <f t="shared" si="18"/>
        <v>0.66666666666666663</v>
      </c>
      <c r="N86">
        <f t="shared" si="19"/>
        <v>0</v>
      </c>
      <c r="O86">
        <f t="shared" si="20"/>
        <v>0.16666666666666666</v>
      </c>
      <c r="P86" t="str">
        <f>IFERROR(LN('Дивиденды по годам'!I86),"")</f>
        <v/>
      </c>
      <c r="Q86" t="str">
        <f>IFERROR('Дивиденды по годам'!G86/'Дивиденды по годам'!I86, "")</f>
        <v/>
      </c>
      <c r="R86" t="str">
        <f>IFERROR(IF(AND('Дивиденды по годам'!N86&lt;&gt;"",'Дивиденды по годам'!U86&lt;&gt;"",'Дивиденды по годам'!U86&lt;&gt;0),'Дивиденды по годам'!N86/'Дивиденды по годам'!U86-1,""),"")</f>
        <v/>
      </c>
      <c r="S86" t="str">
        <f>IFERROR(IF(AND('Дивиденды по годам'!L86&lt;&gt;"",'Дивиденды по годам'!I86&lt;&gt;"",'Дивиденды по годам'!J86&lt;&gt;"",'Дивиденды по годам'!K86&lt;&gt;"",('Дивиденды по годам'!I86-'Дивиденды по годам'!J86-'Дивиденды по годам'!K86)&lt;&gt;0),'Дивиденды по годам'!L86/('Дивиденды по годам'!I86-'Дивиденды по годам'!J86-'Дивиденды по годам'!K86),""),"")</f>
        <v/>
      </c>
      <c r="T86" t="str">
        <f>IFERROR(IF(AND('Дивиденды по годам'!Q86&lt;&gt;"",'Дивиденды по годам'!I86&lt;&gt;"",'Дивиденды по годам'!V86&lt;&gt;"",('Дивиденды по годам'!I86+'Дивиденды по годам'!V86)&lt;&gt;0),'Дивиденды по годам'!Q86/(('Дивиденды по годам'!I86+'Дивиденды по годам'!V86)/2),""),"")</f>
        <v/>
      </c>
      <c r="U86" t="str">
        <f>IFERROR(IF(AND('Дивиденды по годам'!J86&lt;&gt;"",'Дивиденды по годам'!K86&lt;&gt;"",'Дивиденды по годам'!M86&lt;&gt;"",'Дивиденды по годам'!M86&lt;&gt;0),('Дивиденды по годам'!J86+'Дивиденды по годам'!K86)/'Дивиденды по годам'!M86,""),"")</f>
        <v/>
      </c>
      <c r="V86" t="str">
        <f>IFERROR(IF(AND('Дивиденды по годам'!J86&lt;&gt;"",'Дивиденды по годам'!K86&lt;&gt;"",'Дивиденды по годам'!M86&lt;&gt;"",'Дивиденды по годам'!I86&lt;&gt;0),('Дивиденды по годам'!J86+'Дивиденды по годам'!K86)/'Дивиденды по годам'!I86,""),"")</f>
        <v/>
      </c>
      <c r="W86" t="str">
        <f>IFERROR('Дивиденды по годам'!I86,"")</f>
        <v/>
      </c>
      <c r="X86" cm="1">
        <f t="array" ref="X86">IFERROR(AVERAGE(_xlfn._xlws.FILTER(P$2:P$1073,($C$2:$C$1073=$C86)*($E$2:$E$1073=$E86)*(ROW(P$2:P$1073)&lt;&gt;ROW(P86))*(P$2:P$1073&lt;&gt;""))),"")</f>
        <v>28.978113061685082</v>
      </c>
      <c r="Y86" cm="1">
        <f t="array" ref="Y86">IFERROR(AVERAGE(_xlfn._xlws.FILTER(Q$2:Q$1073,($C$2:$C$1073=$C86)*($E$2:$E$1073=$E86)*(ROW(Q$2:Q$1073)&lt;&gt;ROW(Q86))*(Q$2:Q$1073&lt;&gt;""))),"")</f>
        <v>0.55767941108979147</v>
      </c>
      <c r="Z86" cm="1">
        <f t="array" ref="Z86">IFERROR(AVERAGE(_xlfn._xlws.FILTER(R$2:R$1073,($C$2:$C$1073=$C86)*($E$2:$E$1073=$E86)*(ROW(R$2:R$1073)&lt;&gt;ROW(R86))*(R$2:R$1073&lt;&gt;""))),"")</f>
        <v>0.70302846485254478</v>
      </c>
      <c r="AA86" cm="1">
        <f t="array" ref="AA86">IFERROR(AVERAGE(_xlfn._xlws.FILTER(S$2:S$1073,($C$2:$C$1073=$C86)*($E$2:$E$1073=$E86)*(ROW(S$2:S$1073)&lt;&gt;ROW(S86))*(S$2:S$1073&lt;&gt;""))),"")</f>
        <v>0.80565509033330029</v>
      </c>
      <c r="AB86" cm="1">
        <f t="array" ref="AB86">IFERROR(AVERAGE(_xlfn._xlws.FILTER(T$2:T$1073,($C$2:$C$1073=$C86)*($E$2:$E$1073=$E86)*(ROW(T$2:T$1073)&lt;&gt;ROW(T86))*(T$2:T$1073&lt;&gt;""))),"")</f>
        <v>0.12172555306294884</v>
      </c>
      <c r="AC86" cm="1">
        <f t="array" ref="AC86">IFERROR(AVERAGE(_xlfn._xlws.FILTER(U$2:U$1073,($C$2:$C$1073=$C86)*($E$2:$E$1073=$E86)*(ROW(U$2:U$1073)&lt;&gt;ROW(U86))*(U$2:U$1073&lt;&gt;""))),"")</f>
        <v>1.0407288466809115</v>
      </c>
      <c r="AD86" cm="1">
        <f t="array" ref="AD86">IFERROR(AVERAGE(_xlfn._xlws.FILTER(V$2:V$1073,($C$2:$C$1073=$C86)*($E$2:$E$1073=$E86)*(ROW(V$2:V$1073)&lt;&gt;ROW(V86))*(V$2:V$1073&lt;&gt;""))),"")</f>
        <v>0.44130876156916693</v>
      </c>
      <c r="AE86">
        <f>IF('Дивиденды по годам'!M86&lt;0,1,0)</f>
        <v>0</v>
      </c>
    </row>
    <row r="87" spans="1:31" x14ac:dyDescent="0.2">
      <c r="A87" s="7" t="s">
        <v>2186</v>
      </c>
      <c r="B87" t="str">
        <f t="shared" si="11"/>
        <v>SNGS IV кв. 2020</v>
      </c>
      <c r="C87">
        <v>2020</v>
      </c>
      <c r="D87">
        <f>SUMIFS(Дивиденды!$C:$C,Дивиденды!$A:$A,A87,Дивиденды!$I:$I,C87)</f>
        <v>0.7</v>
      </c>
      <c r="E87">
        <v>1</v>
      </c>
      <c r="F87">
        <f t="shared" si="12"/>
        <v>0.7</v>
      </c>
      <c r="G87">
        <f t="shared" si="13"/>
        <v>56.048333333333339</v>
      </c>
      <c r="H87">
        <f t="shared" si="14"/>
        <v>1</v>
      </c>
      <c r="I87">
        <f t="shared" si="15"/>
        <v>0.83333333333333337</v>
      </c>
      <c r="J87">
        <f t="shared" si="16"/>
        <v>7.6923076923076816E-2</v>
      </c>
      <c r="K87">
        <f t="shared" si="21"/>
        <v>-0.34100888513652511</v>
      </c>
      <c r="L87">
        <f t="shared" si="17"/>
        <v>1</v>
      </c>
      <c r="M87">
        <f t="shared" si="18"/>
        <v>0.16666666666666666</v>
      </c>
      <c r="N87">
        <f t="shared" si="19"/>
        <v>0</v>
      </c>
      <c r="O87">
        <f t="shared" si="20"/>
        <v>0.66666666666666663</v>
      </c>
      <c r="P87">
        <f>IFERROR(LN('Дивиденды по годам'!I87),"")</f>
        <v>29.401844105292483</v>
      </c>
      <c r="Q87">
        <f>IFERROR('Дивиденды по годам'!G87/'Дивиденды по годам'!I87, "")</f>
        <v>0.29392035348377132</v>
      </c>
      <c r="R87">
        <f>IFERROR(IF(AND('Дивиденды по годам'!N87&lt;&gt;"",'Дивиденды по годам'!U87&lt;&gt;"",'Дивиденды по годам'!U87&lt;&gt;0),'Дивиденды по годам'!N87/'Дивиденды по годам'!U87-1,""),"")</f>
        <v>-0.31552713263172905</v>
      </c>
      <c r="S87">
        <f>IFERROR(IF(AND('Дивиденды по годам'!L87&lt;&gt;"",'Дивиденды по годам'!I87&lt;&gt;"",'Дивиденды по годам'!J87&lt;&gt;"",'Дивиденды по годам'!K87&lt;&gt;"",('Дивиденды по годам'!I87-'Дивиденды по годам'!J87-'Дивиденды по годам'!K87)&lt;&gt;0),'Дивиденды по годам'!L87/('Дивиденды по годам'!I87-'Дивиденды по годам'!J87-'Дивиденды по годам'!K87),""),"")</f>
        <v>0.95856102850782343</v>
      </c>
      <c r="T87">
        <f>IFERROR(IF(AND('Дивиденды по годам'!Q87&lt;&gt;"",'Дивиденды по годам'!I87&lt;&gt;"",'Дивиденды по годам'!V87&lt;&gt;"",('Дивиденды по годам'!I87+'Дивиденды по годам'!V87)&lt;&gt;0),'Дивиденды по годам'!Q87/(('Дивиденды по годам'!I87+'Дивиденды по годам'!V87)/2),""),"")</f>
        <v>0.133333955515026</v>
      </c>
      <c r="U87">
        <f>IFERROR(IF(AND('Дивиденды по годам'!J87&lt;&gt;"",'Дивиденды по годам'!K87&lt;&gt;"",'Дивиденды по годам'!M87&lt;&gt;"",'Дивиденды по годам'!M87&lt;&gt;0),('Дивиденды по годам'!J87+'Дивиденды по годам'!K87)/'Дивиденды по годам'!M87,""),"")</f>
        <v>0.13860900145879937</v>
      </c>
      <c r="V87">
        <f>IFERROR(IF(AND('Дивиденды по годам'!J87&lt;&gt;"",'Дивиденды по годам'!K87&lt;&gt;"",'Дивиденды по годам'!M87&lt;&gt;"",'Дивиденды по годам'!I87&lt;&gt;0),('Дивиденды по годам'!J87+'Дивиденды по годам'!K87)/'Дивиденды по годам'!I87,""),"")</f>
        <v>0.12173538175195513</v>
      </c>
      <c r="W87">
        <f>IFERROR('Дивиденды по годам'!I87,"")</f>
        <v>5875687000000</v>
      </c>
      <c r="X87" cm="1">
        <f t="array" ref="X87">IFERROR(AVERAGE(_xlfn._xlws.FILTER(P$2:P$1073,($C$2:$C$1073=$C87)*($E$2:$E$1073=$E87)*(ROW(P$2:P$1073)&lt;&gt;ROW(P87))*(P$2:P$1073&lt;&gt;""))),"")</f>
        <v>28.854086917477606</v>
      </c>
      <c r="Y87" cm="1">
        <f t="array" ref="Y87">IFERROR(AVERAGE(_xlfn._xlws.FILTER(Q$2:Q$1073,($C$2:$C$1073=$C87)*($E$2:$E$1073=$E87)*(ROW(Q$2:Q$1073)&lt;&gt;ROW(Q87))*(Q$2:Q$1073&lt;&gt;""))),"")</f>
        <v>0.60306443073956151</v>
      </c>
      <c r="Z87" cm="1">
        <f t="array" ref="Z87">IFERROR(AVERAGE(_xlfn._xlws.FILTER(R$2:R$1073,($C$2:$C$1073=$C87)*($E$2:$E$1073=$E87)*(ROW(R$2:R$1073)&lt;&gt;ROW(R87))*(R$2:R$1073&lt;&gt;""))),"")</f>
        <v>-0.24702195118326775</v>
      </c>
      <c r="AA87" cm="1">
        <f t="array" ref="AA87">IFERROR(AVERAGE(_xlfn._xlws.FILTER(S$2:S$1073,($C$2:$C$1073=$C87)*($E$2:$E$1073=$E87)*(ROW(S$2:S$1073)&lt;&gt;ROW(S87))*(S$2:S$1073&lt;&gt;""))),"")</f>
        <v>0.74289223938700288</v>
      </c>
      <c r="AB87" cm="1">
        <f t="array" ref="AB87">IFERROR(AVERAGE(_xlfn._xlws.FILTER(T$2:T$1073,($C$2:$C$1073=$C87)*($E$2:$E$1073=$E87)*(ROW(T$2:T$1073)&lt;&gt;ROW(T87))*(T$2:T$1073&lt;&gt;""))),"")</f>
        <v>1.1111200633264972E-2</v>
      </c>
      <c r="AC87" cm="1">
        <f t="array" ref="AC87">IFERROR(AVERAGE(_xlfn._xlws.FILTER(U$2:U$1073,($C$2:$C$1073=$C87)*($E$2:$E$1073=$E87)*(ROW(U$2:U$1073)&lt;&gt;ROW(U87))*(U$2:U$1073&lt;&gt;""))),"")</f>
        <v>1.3698957778000149</v>
      </c>
      <c r="AD87" cm="1">
        <f t="array" ref="AD87">IFERROR(AVERAGE(_xlfn._xlws.FILTER(V$2:V$1073,($C$2:$C$1073=$C87)*($E$2:$E$1073=$E87)*(ROW(V$2:V$1073)&lt;&gt;ROW(V87))*(V$2:V$1073&lt;&gt;""))),"")</f>
        <v>0.44787817386095585</v>
      </c>
      <c r="AE87">
        <f>IF('Дивиденды по годам'!M87&lt;0,1,0)</f>
        <v>0</v>
      </c>
    </row>
    <row r="88" spans="1:31" x14ac:dyDescent="0.2">
      <c r="A88" s="7" t="s">
        <v>2186</v>
      </c>
      <c r="B88" t="str">
        <f t="shared" si="11"/>
        <v>SNGS IV кв. 2019</v>
      </c>
      <c r="C88">
        <v>2019</v>
      </c>
      <c r="D88">
        <f>SUMIFS(Дивиденды!$C:$C,Дивиденды!$A:$A,A88,Дивиденды!$I:$I,C88)</f>
        <v>0.65</v>
      </c>
      <c r="E88">
        <v>1</v>
      </c>
      <c r="F88">
        <f t="shared" si="12"/>
        <v>0.65</v>
      </c>
      <c r="G88">
        <f t="shared" si="13"/>
        <v>114.575</v>
      </c>
      <c r="H88">
        <f t="shared" si="14"/>
        <v>1</v>
      </c>
      <c r="I88">
        <f t="shared" si="15"/>
        <v>0.83333333333333337</v>
      </c>
      <c r="J88">
        <f t="shared" si="16"/>
        <v>0</v>
      </c>
      <c r="K88">
        <f t="shared" si="21"/>
        <v>0.22914270644381821</v>
      </c>
      <c r="L88">
        <f t="shared" si="17"/>
        <v>0</v>
      </c>
      <c r="M88">
        <f t="shared" si="18"/>
        <v>0.5</v>
      </c>
      <c r="N88">
        <f t="shared" si="19"/>
        <v>0</v>
      </c>
      <c r="O88">
        <f t="shared" si="20"/>
        <v>0.33333333333333331</v>
      </c>
      <c r="P88">
        <f>IFERROR(LN('Дивиденды по годам'!I88),"")</f>
        <v>29.292652157777201</v>
      </c>
      <c r="Q88">
        <f>IFERROR('Дивиденды по годам'!G88/'Дивиденды по годам'!I88, "")</f>
        <v>0.30220528271628749</v>
      </c>
      <c r="R88">
        <f>IFERROR(IF(AND('Дивиденды по годам'!N88&lt;&gt;"",'Дивиденды по годам'!U88&lt;&gt;"",'Дивиденды по годам'!U88&lt;&gt;0),'Дивиденды по годам'!N88/'Дивиденды по годам'!U88-1,""),"")</f>
        <v>9.5870135395599299E-3</v>
      </c>
      <c r="S88">
        <f>IFERROR(IF(AND('Дивиденды по годам'!L88&lt;&gt;"",'Дивиденды по годам'!I88&lt;&gt;"",'Дивиденды по годам'!J88&lt;&gt;"",'Дивиденды по годам'!K88&lt;&gt;"",('Дивиденды по годам'!I88-'Дивиденды по годам'!J88-'Дивиденды по годам'!K88)&lt;&gt;0),'Дивиденды по годам'!L88/('Дивиденды по годам'!I88-'Дивиденды по годам'!J88-'Дивиденды по годам'!K88),""),"")</f>
        <v>0.9519002431351079</v>
      </c>
      <c r="T88">
        <f>IFERROR(IF(AND('Дивиденды по годам'!Q88&lt;&gt;"",'Дивиденды по годам'!I88&lt;&gt;"",'Дивиденды по годам'!V88&lt;&gt;"",('Дивиденды по годам'!I88+'Дивиденды по годам'!V88)&lt;&gt;0),'Дивиденды по годам'!Q88/(('Дивиденды по годам'!I88+'Дивиденды по годам'!V88)/2),""),"")</f>
        <v>2.0415262396879106E-2</v>
      </c>
      <c r="U88">
        <f>IFERROR(IF(AND('Дивиденды по годам'!J88&lt;&gt;"",'Дивиденды по годам'!K88&lt;&gt;"",'Дивиденды по годам'!M88&lt;&gt;"",'Дивиденды по годам'!M88&lt;&gt;0),('Дивиденды по годам'!J88+'Дивиденды по годам'!K88)/'Дивиденды по годам'!M88,""),"")</f>
        <v>0.18396234260159511</v>
      </c>
      <c r="V88">
        <f>IFERROR(IF(AND('Дивиденды по годам'!J88&lt;&gt;"",'Дивиденды по годам'!K88&lt;&gt;"",'Дивиденды по годам'!M88&lt;&gt;"",'Дивиденды по годам'!I88&lt;&gt;0),('Дивиденды по годам'!J88+'Дивиденды по годам'!K88)/'Дивиденды по годам'!I88,""),"")</f>
        <v>0.15537854202133072</v>
      </c>
      <c r="W88">
        <f>IFERROR('Дивиденды по годам'!I88,"")</f>
        <v>5267896000000</v>
      </c>
      <c r="X88" cm="1">
        <f t="array" ref="X88">IFERROR(AVERAGE(_xlfn._xlws.FILTER(P$2:P$1073,($C$2:$C$1073=$C88)*($E$2:$E$1073=$E88)*(ROW(P$2:P$1073)&lt;&gt;ROW(P88))*(P$2:P$1073&lt;&gt;""))),"")</f>
        <v>28.809558606952788</v>
      </c>
      <c r="Y88" cm="1">
        <f t="array" ref="Y88">IFERROR(AVERAGE(_xlfn._xlws.FILTER(Q$2:Q$1073,($C$2:$C$1073=$C88)*($E$2:$E$1073=$E88)*(ROW(Q$2:Q$1073)&lt;&gt;ROW(Q88))*(Q$2:Q$1073&lt;&gt;""))),"")</f>
        <v>0.57741593437540717</v>
      </c>
      <c r="Z88" cm="1">
        <f t="array" ref="Z88">IFERROR(AVERAGE(_xlfn._xlws.FILTER(R$2:R$1073,($C$2:$C$1073=$C88)*($E$2:$E$1073=$E88)*(ROW(R$2:R$1073)&lt;&gt;ROW(R88))*(R$2:R$1073&lt;&gt;""))),"")</f>
        <v>1.2328612787867418E-2</v>
      </c>
      <c r="AA88" cm="1">
        <f t="array" ref="AA88">IFERROR(AVERAGE(_xlfn._xlws.FILTER(S$2:S$1073,($C$2:$C$1073=$C88)*($E$2:$E$1073=$E88)*(ROW(S$2:S$1073)&lt;&gt;ROW(S88))*(S$2:S$1073&lt;&gt;""))),"")</f>
        <v>0.8189167596247664</v>
      </c>
      <c r="AB88" cm="1">
        <f t="array" ref="AB88">IFERROR(AVERAGE(_xlfn._xlws.FILTER(T$2:T$1073,($C$2:$C$1073=$C88)*($E$2:$E$1073=$E88)*(ROW(T$2:T$1073)&lt;&gt;ROW(T88))*(T$2:T$1073&lt;&gt;""))),"")</f>
        <v>0.16971230547044988</v>
      </c>
      <c r="AC88" cm="1">
        <f t="array" ref="AC88">IFERROR(AVERAGE(_xlfn._xlws.FILTER(U$2:U$1073,($C$2:$C$1073=$C88)*($E$2:$E$1073=$E88)*(ROW(U$2:U$1073)&lt;&gt;ROW(U88))*(U$2:U$1073&lt;&gt;""))),"")</f>
        <v>1.0036708483396553</v>
      </c>
      <c r="AD88" cm="1">
        <f t="array" ref="AD88">IFERROR(AVERAGE(_xlfn._xlws.FILTER(V$2:V$1073,($C$2:$C$1073=$C88)*($E$2:$E$1073=$E88)*(ROW(V$2:V$1073)&lt;&gt;ROW(V88))*(V$2:V$1073&lt;&gt;""))),"")</f>
        <v>0.426244704413343</v>
      </c>
      <c r="AE88">
        <f>IF('Дивиденды по годам'!M88&lt;0,1,0)</f>
        <v>0</v>
      </c>
    </row>
    <row r="89" spans="1:31" x14ac:dyDescent="0.2">
      <c r="A89" s="7" t="s">
        <v>2186</v>
      </c>
      <c r="B89" t="str">
        <f t="shared" si="11"/>
        <v>SNGS IV кв. 2018</v>
      </c>
      <c r="C89">
        <v>2018</v>
      </c>
      <c r="D89">
        <f>SUMIFS(Дивиденды!$C:$C,Дивиденды!$A:$A,A89,Дивиденды!$I:$I,C89)</f>
        <v>0.65</v>
      </c>
      <c r="E89">
        <v>1</v>
      </c>
      <c r="F89">
        <f t="shared" si="12"/>
        <v>0.65</v>
      </c>
      <c r="G89">
        <f t="shared" si="13"/>
        <v>67.248333333333335</v>
      </c>
      <c r="H89">
        <f t="shared" si="14"/>
        <v>1</v>
      </c>
      <c r="I89">
        <f t="shared" si="15"/>
        <v>0.83333333333333337</v>
      </c>
      <c r="J89">
        <f t="shared" si="16"/>
        <v>0</v>
      </c>
      <c r="K89">
        <f t="shared" si="21"/>
        <v>0.76168701017179208</v>
      </c>
      <c r="L89">
        <f t="shared" si="17"/>
        <v>0</v>
      </c>
      <c r="M89">
        <f t="shared" si="18"/>
        <v>0.83333333333333337</v>
      </c>
      <c r="N89">
        <f t="shared" si="19"/>
        <v>0</v>
      </c>
      <c r="O89">
        <f t="shared" si="20"/>
        <v>0</v>
      </c>
      <c r="P89">
        <f>IFERROR(LN('Дивиденды по годам'!I89),"")</f>
        <v>29.267254988341801</v>
      </c>
      <c r="Q89">
        <f>IFERROR('Дивиденды по годам'!G89/'Дивиденды по годам'!I89, "")</f>
        <v>0.28663569058787636</v>
      </c>
      <c r="R89">
        <f>IFERROR(IF(AND('Дивиденды по годам'!N89&lt;&gt;"",'Дивиденды по годам'!U89&lt;&gt;"",'Дивиденды по годам'!U89&lt;&gt;0),'Дивиденды по годам'!N89/'Дивиденды по годам'!U89-1,""),"")</f>
        <v>0.32419901295213105</v>
      </c>
      <c r="S89">
        <f>IFERROR(IF(AND('Дивиденды по годам'!L89&lt;&gt;"",'Дивиденды по годам'!I89&lt;&gt;"",'Дивиденды по годам'!J89&lt;&gt;"",'Дивиденды по годам'!K89&lt;&gt;"",('Дивиденды по годам'!I89-'Дивиденды по годам'!J89-'Дивиденды по годам'!K89)&lt;&gt;0),'Дивиденды по годам'!L89/('Дивиденды по годам'!I89-'Дивиденды по годам'!J89-'Дивиденды по годам'!K89),""),"")</f>
        <v>0.95215622644783149</v>
      </c>
      <c r="T89">
        <f>IFERROR(IF(AND('Дивиденды по годам'!Q89&lt;&gt;"",'Дивиденды по годам'!I89&lt;&gt;"",'Дивиденды по годам'!V89&lt;&gt;"",('Дивиденды по годам'!I89+'Дивиденды по годам'!V89)&lt;&gt;0),'Дивиденды по годам'!Q89/(('Дивиденды по годам'!I89+'Дивиденды по годам'!V89)/2),""),"")</f>
        <v>0.18140103958399575</v>
      </c>
      <c r="U89">
        <f>IFERROR(IF(AND('Дивиденды по годам'!J89&lt;&gt;"",'Дивиденды по годам'!K89&lt;&gt;"",'Дивиденды по годам'!M89&lt;&gt;"",'Дивиденды по годам'!M89&lt;&gt;0),('Дивиденды по годам'!J89+'Дивиденды по годам'!K89)/'Дивиденды по годам'!M89,""),"")</f>
        <v>0.16027832450437651</v>
      </c>
      <c r="V89">
        <f>IFERROR(IF(AND('Дивиденды по годам'!J89&lt;&gt;"",'Дивиденды по годам'!K89&lt;&gt;"",'Дивиденды по годам'!M89&lt;&gt;"",'Дивиденды по годам'!I89&lt;&gt;0),('Дивиденды по годам'!J89+'Дивиденды по годам'!K89)/'Дивиденды по годам'!I89,""),"")</f>
        <v>0.13813782531259547</v>
      </c>
      <c r="W89">
        <f>IFERROR('Дивиденды по годам'!I89,"")</f>
        <v>5135791000000</v>
      </c>
      <c r="X89" cm="1">
        <f t="array" ref="X89">IFERROR(AVERAGE(_xlfn._xlws.FILTER(P$2:P$1073,($C$2:$C$1073=$C89)*($E$2:$E$1073=$E89)*(ROW(P$2:P$1073)&lt;&gt;ROW(P89))*(P$2:P$1073&lt;&gt;""))),"")</f>
        <v>28.691701956198781</v>
      </c>
      <c r="Y89" cm="1">
        <f t="array" ref="Y89">IFERROR(AVERAGE(_xlfn._xlws.FILTER(Q$2:Q$1073,($C$2:$C$1073=$C89)*($E$2:$E$1073=$E89)*(ROW(Q$2:Q$1073)&lt;&gt;ROW(Q89))*(Q$2:Q$1073&lt;&gt;""))),"")</f>
        <v>0.57139532349834643</v>
      </c>
      <c r="Z89" cm="1">
        <f t="array" ref="Z89">IFERROR(AVERAGE(_xlfn._xlws.FILTER(R$2:R$1073,($C$2:$C$1073=$C89)*($E$2:$E$1073=$E89)*(ROW(R$2:R$1073)&lt;&gt;ROW(R89))*(R$2:R$1073&lt;&gt;""))),"")</f>
        <v>0.35316026747095747</v>
      </c>
      <c r="AA89" cm="1">
        <f t="array" ref="AA89">IFERROR(AVERAGE(_xlfn._xlws.FILTER(S$2:S$1073,($C$2:$C$1073=$C89)*($E$2:$E$1073=$E89)*(ROW(S$2:S$1073)&lt;&gt;ROW(S89))*(S$2:S$1073&lt;&gt;""))),"")</f>
        <v>0.75589007582118783</v>
      </c>
      <c r="AB89" cm="1">
        <f t="array" ref="AB89">IFERROR(AVERAGE(_xlfn._xlws.FILTER(T$2:T$1073,($C$2:$C$1073=$C89)*($E$2:$E$1073=$E89)*(ROW(T$2:T$1073)&lt;&gt;ROW(T89))*(T$2:T$1073&lt;&gt;""))),"")</f>
        <v>0.10828468491547499</v>
      </c>
      <c r="AC89" cm="1">
        <f t="array" ref="AC89">IFERROR(AVERAGE(_xlfn._xlws.FILTER(U$2:U$1073,($C$2:$C$1073=$C89)*($E$2:$E$1073=$E89)*(ROW(U$2:U$1073)&lt;&gt;ROW(U89))*(U$2:U$1073&lt;&gt;""))),"")</f>
        <v>0.98298452810383397</v>
      </c>
      <c r="AD89" cm="1">
        <f t="array" ref="AD89">IFERROR(AVERAGE(_xlfn._xlws.FILTER(V$2:V$1073,($C$2:$C$1073=$C89)*($E$2:$E$1073=$E89)*(ROW(V$2:V$1073)&lt;&gt;ROW(V89))*(V$2:V$1073&lt;&gt;""))),"")</f>
        <v>0.43143660932166711</v>
      </c>
      <c r="AE89">
        <f>IF('Дивиденды по годам'!M89&lt;0,1,0)</f>
        <v>0</v>
      </c>
    </row>
    <row r="90" spans="1:31" x14ac:dyDescent="0.2">
      <c r="A90" s="7" t="s">
        <v>2186</v>
      </c>
      <c r="B90" t="str">
        <f t="shared" si="11"/>
        <v>SNGS IV кв. 2017</v>
      </c>
      <c r="C90">
        <v>2017</v>
      </c>
      <c r="D90">
        <f>SUMIFS(Дивиденды!$C:$C,Дивиденды!$A:$A,A90,Дивиденды!$I:$I,C90)</f>
        <v>0.65</v>
      </c>
      <c r="E90">
        <v>1</v>
      </c>
      <c r="F90">
        <f t="shared" si="12"/>
        <v>0.65</v>
      </c>
      <c r="G90">
        <f t="shared" si="13"/>
        <v>48.068333333333328</v>
      </c>
      <c r="H90">
        <f t="shared" si="14"/>
        <v>1</v>
      </c>
      <c r="I90">
        <f t="shared" si="15"/>
        <v>0.83333333333333337</v>
      </c>
      <c r="J90">
        <f t="shared" si="16"/>
        <v>8.3333333333333412E-2</v>
      </c>
      <c r="K90">
        <f t="shared" si="21"/>
        <v>0.28026640693049504</v>
      </c>
      <c r="L90">
        <f t="shared" si="17"/>
        <v>1</v>
      </c>
      <c r="M90">
        <f t="shared" si="18"/>
        <v>0.66666666666666663</v>
      </c>
      <c r="N90">
        <f t="shared" si="19"/>
        <v>0</v>
      </c>
      <c r="O90">
        <f t="shared" si="20"/>
        <v>0</v>
      </c>
      <c r="P90">
        <f>IFERROR(LN('Дивиденды по годам'!I90),"")</f>
        <v>29.075511269291965</v>
      </c>
      <c r="Q90">
        <f>IFERROR('Дивиденды по годам'!G90/'Дивиденды по годам'!I90, "")</f>
        <v>0.33746806959942827</v>
      </c>
      <c r="R90">
        <f>IFERROR(IF(AND('Дивиденды по годам'!N90&lt;&gt;"",'Дивиденды по годам'!U90&lt;&gt;"",'Дивиденды по годам'!U90&lt;&gt;0),'Дивиденды по годам'!N90/'Дивиденды по годам'!U90-1,""),"")</f>
        <v>0.15103939625776208</v>
      </c>
      <c r="S90">
        <f>IFERROR(IF(AND('Дивиденды по годам'!L90&lt;&gt;"",'Дивиденды по годам'!I90&lt;&gt;"",'Дивиденды по годам'!J90&lt;&gt;"",'Дивиденды по годам'!K90&lt;&gt;"",('Дивиденды по годам'!I90-'Дивиденды по годам'!J90-'Дивиденды по годам'!K90)&lt;&gt;0),'Дивиденды по годам'!L90/('Дивиденды по годам'!I90-'Дивиденды по годам'!J90-'Дивиденды по годам'!K90),""),"")</f>
        <v>0.94111696649809018</v>
      </c>
      <c r="T90">
        <f>IFERROR(IF(AND('Дивиденды по годам'!Q90&lt;&gt;"",'Дивиденды по годам'!I90&lt;&gt;"",'Дивиденды по годам'!V90&lt;&gt;"",('Дивиденды по годам'!I90+'Дивиденды по годам'!V90)&lt;&gt;0),'Дивиденды по годам'!Q90/(('Дивиденды по годам'!I90+'Дивиденды по годам'!V90)/2),""),"")</f>
        <v>4.7717544133729105E-2</v>
      </c>
      <c r="U90">
        <f>IFERROR(IF(AND('Дивиденды по годам'!J90&lt;&gt;"",'Дивиденды по годам'!K90&lt;&gt;"",'Дивиденды по годам'!M90&lt;&gt;"",'Дивиденды по годам'!M90&lt;&gt;0),('Дивиденды по годам'!J90+'Дивиденды по годам'!K90)/'Дивиденды по годам'!M90,""),"")</f>
        <v>0.17339021370824784</v>
      </c>
      <c r="V90">
        <f>IFERROR(IF(AND('Дивиденды по годам'!J90&lt;&gt;"",'Дивиденды по годам'!K90&lt;&gt;"",'Дивиденды по годам'!M90&lt;&gt;"",'Дивиденды по годам'!I90&lt;&gt;0),('Дивиденды по годам'!J90+'Дивиденды по годам'!K90)/'Дивиденды по годам'!I90,""),"")</f>
        <v>0.14776858685422756</v>
      </c>
      <c r="W90">
        <f>IFERROR('Дивиденды по годам'!I90,"")</f>
        <v>4239690000000</v>
      </c>
      <c r="X90" cm="1">
        <f t="array" ref="X90">IFERROR(AVERAGE(_xlfn._xlws.FILTER(P$2:P$1073,($C$2:$C$1073=$C90)*($E$2:$E$1073=$E90)*(ROW(P$2:P$1073)&lt;&gt;ROW(P90))*(P$2:P$1073&lt;&gt;""))),"")</f>
        <v>28.583470787432507</v>
      </c>
      <c r="Y90" cm="1">
        <f t="array" ref="Y90">IFERROR(AVERAGE(_xlfn._xlws.FILTER(Q$2:Q$1073,($C$2:$C$1073=$C90)*($E$2:$E$1073=$E90)*(ROW(Q$2:Q$1073)&lt;&gt;ROW(Q90))*(Q$2:Q$1073&lt;&gt;""))),"")</f>
        <v>0.582648596275124</v>
      </c>
      <c r="Z90" cm="1">
        <f t="array" ref="Z90">IFERROR(AVERAGE(_xlfn._xlws.FILTER(R$2:R$1073,($C$2:$C$1073=$C90)*($E$2:$E$1073=$E90)*(ROW(R$2:R$1073)&lt;&gt;ROW(R90))*(R$2:R$1073&lt;&gt;""))),"")</f>
        <v>0.15037354480772791</v>
      </c>
      <c r="AA90" cm="1">
        <f t="array" ref="AA90">IFERROR(AVERAGE(_xlfn._xlws.FILTER(S$2:S$1073,($C$2:$C$1073=$C90)*($E$2:$E$1073=$E90)*(ROW(S$2:S$1073)&lt;&gt;ROW(S90))*(S$2:S$1073&lt;&gt;""))),"")</f>
        <v>0.73601990781108351</v>
      </c>
      <c r="AB90" cm="1">
        <f t="array" ref="AB90">IFERROR(AVERAGE(_xlfn._xlws.FILTER(T$2:T$1073,($C$2:$C$1073=$C90)*($E$2:$E$1073=$E90)*(ROW(T$2:T$1073)&lt;&gt;ROW(T90))*(T$2:T$1073&lt;&gt;""))),"")</f>
        <v>7.7141016182820057E-2</v>
      </c>
      <c r="AC90" cm="1">
        <f t="array" ref="AC90">IFERROR(AVERAGE(_xlfn._xlws.FILTER(U$2:U$1073,($C$2:$C$1073=$C90)*($E$2:$E$1073=$E90)*(ROW(U$2:U$1073)&lt;&gt;ROW(U90))*(U$2:U$1073&lt;&gt;""))),"")</f>
        <v>1.032146796102082</v>
      </c>
      <c r="AD90" cm="1">
        <f t="array" ref="AD90">IFERROR(AVERAGE(_xlfn._xlws.FILTER(V$2:V$1073,($C$2:$C$1073=$C90)*($E$2:$E$1073=$E90)*(ROW(V$2:V$1073)&lt;&gt;ROW(V90))*(V$2:V$1073&lt;&gt;""))),"")</f>
        <v>0.44040728772918825</v>
      </c>
      <c r="AE90">
        <f>IF('Дивиденды по годам'!M90&lt;0,1,0)</f>
        <v>0</v>
      </c>
    </row>
    <row r="91" spans="1:31" x14ac:dyDescent="0.2">
      <c r="A91" s="7" t="s">
        <v>2186</v>
      </c>
      <c r="B91" t="str">
        <f t="shared" si="11"/>
        <v>SNGS IV кв. 2016</v>
      </c>
      <c r="C91">
        <v>2016</v>
      </c>
      <c r="D91">
        <f>SUMIFS(Дивиденды!$C:$C,Дивиденды!$A:$A,A91,Дивиденды!$I:$I,C91)</f>
        <v>0.6</v>
      </c>
      <c r="E91">
        <v>1</v>
      </c>
      <c r="F91">
        <f t="shared" si="12"/>
        <v>0.6</v>
      </c>
      <c r="G91">
        <f t="shared" si="13"/>
        <v>40.954999999999998</v>
      </c>
      <c r="H91">
        <f t="shared" si="14"/>
        <v>1</v>
      </c>
      <c r="I91">
        <f t="shared" si="15"/>
        <v>0.83333333333333337</v>
      </c>
      <c r="J91">
        <f t="shared" si="16"/>
        <v>0</v>
      </c>
      <c r="K91">
        <f t="shared" si="21"/>
        <v>0.12341275025046383</v>
      </c>
      <c r="L91">
        <f t="shared" si="17"/>
        <v>0</v>
      </c>
      <c r="M91">
        <f t="shared" si="18"/>
        <v>0.66666666666666663</v>
      </c>
      <c r="N91">
        <f t="shared" si="19"/>
        <v>0</v>
      </c>
      <c r="O91">
        <f t="shared" si="20"/>
        <v>0.16666666666666666</v>
      </c>
      <c r="P91">
        <f>IFERROR(LN('Дивиденды по годам'!I91),"")</f>
        <v>28.997517024743544</v>
      </c>
      <c r="Q91">
        <f>IFERROR('Дивиденды по годам'!G91/'Дивиденды по годам'!I91, "")</f>
        <v>0.33955479735872102</v>
      </c>
      <c r="R91" t="str">
        <f>IFERROR(IF(AND('Дивиденды по годам'!N91&lt;&gt;"",'Дивиденды по годам'!U91&lt;&gt;"",'Дивиденды по годам'!U91&lt;&gt;0),'Дивиденды по годам'!N91/'Дивиденды по годам'!U91-1,""),"")</f>
        <v/>
      </c>
      <c r="S91">
        <f>IFERROR(IF(AND('Дивиденды по годам'!L91&lt;&gt;"",'Дивиденды по годам'!I91&lt;&gt;"",'Дивиденды по годам'!J91&lt;&gt;"",'Дивиденды по годам'!K91&lt;&gt;"",('Дивиденды по годам'!I91-'Дивиденды по годам'!J91-'Дивиденды по годам'!K91)&lt;&gt;0),'Дивиденды по годам'!L91/('Дивиденды по годам'!I91-'Дивиденды по годам'!J91-'Дивиденды по годам'!K91),""),"")</f>
        <v>0.93826340652438667</v>
      </c>
      <c r="T91" t="str">
        <f>IFERROR(IF(AND('Дивиденды по годам'!Q91&lt;&gt;"",'Дивиденды по годам'!I91&lt;&gt;"",'Дивиденды по годам'!V91&lt;&gt;"",('Дивиденды по годам'!I91+'Дивиденды по годам'!V91)&lt;&gt;0),'Дивиденды по годам'!Q91/(('Дивиденды по годам'!I91+'Дивиденды по годам'!V91)/2),""),"")</f>
        <v/>
      </c>
      <c r="U91">
        <f>IFERROR(IF(AND('Дивиденды по годам'!J91&lt;&gt;"",'Дивиденды по годам'!K91&lt;&gt;"",'Дивиденды по годам'!M91&lt;&gt;"",'Дивиденды по годам'!M91&lt;&gt;0),('Дивиденды по годам'!J91+'Дивиденды по годам'!K91)/'Дивиденды по годам'!M91,""),"")</f>
        <v>0.1382049519767157</v>
      </c>
      <c r="V91">
        <f>IFERROR(IF(AND('Дивиденды по годам'!J91&lt;&gt;"",'Дивиденды по годам'!K91&lt;&gt;"",'Дивиденды по годам'!M91&lt;&gt;"",'Дивиденды по годам'!I91&lt;&gt;0),('Дивиденды по годам'!J91+'Дивиденды по годам'!K91)/'Дивиденды по годам'!I91,""),"")</f>
        <v>0.12142360805643636</v>
      </c>
      <c r="W91">
        <f>IFERROR('Дивиденды по годам'!I91,"")</f>
        <v>3921585000000</v>
      </c>
      <c r="X91" cm="1">
        <f t="array" ref="X91">IFERROR(AVERAGE(_xlfn._xlws.FILTER(P$2:P$1073,($C$2:$C$1073=$C91)*($E$2:$E$1073=$E91)*(ROW(P$2:P$1073)&lt;&gt;ROW(P91))*(P$2:P$1073&lt;&gt;""))),"")</f>
        <v>28.523573672963792</v>
      </c>
      <c r="Y91" cm="1">
        <f t="array" ref="Y91">IFERROR(AVERAGE(_xlfn._xlws.FILTER(Q$2:Q$1073,($C$2:$C$1073=$C91)*($E$2:$E$1073=$E91)*(ROW(Q$2:Q$1073)&lt;&gt;ROW(Q91))*(Q$2:Q$1073&lt;&gt;""))),"")</f>
        <v>0.5664890329389517</v>
      </c>
      <c r="Z91" cm="1">
        <f t="array" ref="Z91">IFERROR(AVERAGE(_xlfn._xlws.FILTER(R$2:R$1073,($C$2:$C$1073=$C91)*($E$2:$E$1073=$E91)*(ROW(R$2:R$1073)&lt;&gt;ROW(R91))*(R$2:R$1073&lt;&gt;""))),"")</f>
        <v>1.1056328076761712E-2</v>
      </c>
      <c r="AA91" cm="1">
        <f t="array" ref="AA91">IFERROR(AVERAGE(_xlfn._xlws.FILTER(S$2:S$1073,($C$2:$C$1073=$C91)*($E$2:$E$1073=$E91)*(ROW(S$2:S$1073)&lt;&gt;ROW(S91))*(S$2:S$1073&lt;&gt;""))),"")</f>
        <v>0.68652665036072646</v>
      </c>
      <c r="AB91" cm="1">
        <f t="array" ref="AB91">IFERROR(AVERAGE(_xlfn._xlws.FILTER(T$2:T$1073,($C$2:$C$1073=$C91)*($E$2:$E$1073=$E91)*(ROW(T$2:T$1073)&lt;&gt;ROW(T91))*(T$2:T$1073&lt;&gt;""))),"")</f>
        <v>9.6985184235381314E-2</v>
      </c>
      <c r="AC91" cm="1">
        <f t="array" ref="AC91">IFERROR(AVERAGE(_xlfn._xlws.FILTER(U$2:U$1073,($C$2:$C$1073=$C91)*($E$2:$E$1073=$E91)*(ROW(U$2:U$1073)&lt;&gt;ROW(U91))*(U$2:U$1073&lt;&gt;""))),"")</f>
        <v>1.0795809058394321</v>
      </c>
      <c r="AD91" cm="1">
        <f t="array" ref="AD91">IFERROR(AVERAGE(_xlfn._xlws.FILTER(V$2:V$1073,($C$2:$C$1073=$C91)*($E$2:$E$1073=$E91)*(ROW(V$2:V$1073)&lt;&gt;ROW(V91))*(V$2:V$1073&lt;&gt;""))),"")</f>
        <v>0.45408306109926877</v>
      </c>
      <c r="AE91">
        <f>IF('Дивиденды по годам'!M91&lt;0,1,0)</f>
        <v>0</v>
      </c>
    </row>
    <row r="92" spans="1:31" x14ac:dyDescent="0.2">
      <c r="A92" s="7" t="s">
        <v>2186</v>
      </c>
      <c r="B92" t="str">
        <f t="shared" si="11"/>
        <v>SNGS IV кв. 2015</v>
      </c>
      <c r="C92">
        <v>2015</v>
      </c>
      <c r="D92">
        <f>SUMIFS(Дивиденды!$C:$C,Дивиденды!$A:$A,A92,Дивиденды!$I:$I,C92)</f>
        <v>0.6</v>
      </c>
      <c r="E92">
        <v>1</v>
      </c>
      <c r="F92">
        <f t="shared" si="12"/>
        <v>0.6</v>
      </c>
      <c r="G92">
        <f t="shared" si="13"/>
        <v>36.85</v>
      </c>
      <c r="H92">
        <f t="shared" si="14"/>
        <v>1</v>
      </c>
      <c r="I92">
        <f t="shared" si="15"/>
        <v>0.83333333333333337</v>
      </c>
      <c r="J92">
        <f t="shared" si="16"/>
        <v>-7.6923076923076983E-2</v>
      </c>
      <c r="K92">
        <f t="shared" si="21"/>
        <v>0.1704936507539595</v>
      </c>
      <c r="L92">
        <f t="shared" si="17"/>
        <v>0</v>
      </c>
      <c r="M92">
        <f t="shared" si="18"/>
        <v>0.83333333333333337</v>
      </c>
      <c r="N92">
        <f t="shared" si="19"/>
        <v>1</v>
      </c>
      <c r="O92">
        <f t="shared" si="20"/>
        <v>0</v>
      </c>
      <c r="P92" t="str">
        <f>IFERROR(LN('Дивиденды по годам'!I92),"")</f>
        <v/>
      </c>
      <c r="Q92" t="str">
        <f>IFERROR('Дивиденды по годам'!G92/'Дивиденды по годам'!I92, "")</f>
        <v/>
      </c>
      <c r="R92" t="str">
        <f>IFERROR(IF(AND('Дивиденды по годам'!N92&lt;&gt;"",'Дивиденды по годам'!U92&lt;&gt;"",'Дивиденды по годам'!U92&lt;&gt;0),'Дивиденды по годам'!N92/'Дивиденды по годам'!U92-1,""),"")</f>
        <v/>
      </c>
      <c r="S92" t="str">
        <f>IFERROR(IF(AND('Дивиденды по годам'!L92&lt;&gt;"",'Дивиденды по годам'!I92&lt;&gt;"",'Дивиденды по годам'!J92&lt;&gt;"",'Дивиденды по годам'!K92&lt;&gt;"",('Дивиденды по годам'!I92-'Дивиденды по годам'!J92-'Дивиденды по годам'!K92)&lt;&gt;0),'Дивиденды по годам'!L92/('Дивиденды по годам'!I92-'Дивиденды по годам'!J92-'Дивиденды по годам'!K92),""),"")</f>
        <v/>
      </c>
      <c r="T92" t="str">
        <f>IFERROR(IF(AND('Дивиденды по годам'!Q92&lt;&gt;"",'Дивиденды по годам'!I92&lt;&gt;"",'Дивиденды по годам'!V92&lt;&gt;"",('Дивиденды по годам'!I92+'Дивиденды по годам'!V92)&lt;&gt;0),'Дивиденды по годам'!Q92/(('Дивиденды по годам'!I92+'Дивиденды по годам'!V92)/2),""),"")</f>
        <v/>
      </c>
      <c r="U92" t="str">
        <f>IFERROR(IF(AND('Дивиденды по годам'!J92&lt;&gt;"",'Дивиденды по годам'!K92&lt;&gt;"",'Дивиденды по годам'!M92&lt;&gt;"",'Дивиденды по годам'!M92&lt;&gt;0),('Дивиденды по годам'!J92+'Дивиденды по годам'!K92)/'Дивиденды по годам'!M92,""),"")</f>
        <v/>
      </c>
      <c r="V92" t="str">
        <f>IFERROR(IF(AND('Дивиденды по годам'!J92&lt;&gt;"",'Дивиденды по годам'!K92&lt;&gt;"",'Дивиденды по годам'!M92&lt;&gt;"",'Дивиденды по годам'!I92&lt;&gt;0),('Дивиденды по годам'!J92+'Дивиденды по годам'!K92)/'Дивиденды по годам'!I92,""),"")</f>
        <v/>
      </c>
      <c r="W92" t="str">
        <f>IFERROR('Дивиденды по годам'!I92,"")</f>
        <v/>
      </c>
      <c r="X92" cm="1">
        <f t="array" ref="X92">IFERROR(AVERAGE(_xlfn._xlws.FILTER(P$2:P$1073,($C$2:$C$1073=$C92)*($E$2:$E$1073=$E92)*(ROW(P$2:P$1073)&lt;&gt;ROW(P92))*(P$2:P$1073&lt;&gt;""))),"")</f>
        <v>28.434441571468565</v>
      </c>
      <c r="Y92" cm="1">
        <f t="array" ref="Y92">IFERROR(AVERAGE(_xlfn._xlws.FILTER(Q$2:Q$1073,($C$2:$C$1073=$C92)*($E$2:$E$1073=$E92)*(ROW(Q$2:Q$1073)&lt;&gt;ROW(Q92))*(Q$2:Q$1073&lt;&gt;""))),"")</f>
        <v>0.58381786772885969</v>
      </c>
      <c r="Z92" cm="1">
        <f t="array" ref="Z92">IFERROR(AVERAGE(_xlfn._xlws.FILTER(R$2:R$1073,($C$2:$C$1073=$C92)*($E$2:$E$1073=$E92)*(ROW(R$2:R$1073)&lt;&gt;ROW(R92))*(R$2:R$1073&lt;&gt;""))),"")</f>
        <v>0.10809571778120923</v>
      </c>
      <c r="AA92" cm="1">
        <f t="array" ref="AA92">IFERROR(AVERAGE(_xlfn._xlws.FILTER(S$2:S$1073,($C$2:$C$1073=$C92)*($E$2:$E$1073=$E92)*(ROW(S$2:S$1073)&lt;&gt;ROW(S92))*(S$2:S$1073&lt;&gt;""))),"")</f>
        <v>0.93450677760807999</v>
      </c>
      <c r="AB92" cm="1">
        <f t="array" ref="AB92">IFERROR(AVERAGE(_xlfn._xlws.FILTER(T$2:T$1073,($C$2:$C$1073=$C92)*($E$2:$E$1073=$E92)*(ROW(T$2:T$1073)&lt;&gt;ROW(T92))*(T$2:T$1073&lt;&gt;""))),"")</f>
        <v>7.6659418272165311E-2</v>
      </c>
      <c r="AC92" cm="1">
        <f t="array" ref="AC92">IFERROR(AVERAGE(_xlfn._xlws.FILTER(U$2:U$1073,($C$2:$C$1073=$C92)*($E$2:$E$1073=$E92)*(ROW(U$2:U$1073)&lt;&gt;ROW(U92))*(U$2:U$1073&lt;&gt;""))),"")</f>
        <v>-0.96220375125214785</v>
      </c>
      <c r="AD92" cm="1">
        <f t="array" ref="AD92">IFERROR(AVERAGE(_xlfn._xlws.FILTER(V$2:V$1073,($C$2:$C$1073=$C92)*($E$2:$E$1073=$E92)*(ROW(V$2:V$1073)&lt;&gt;ROW(V92))*(V$2:V$1073&lt;&gt;""))),"")</f>
        <v>0.53471002451848204</v>
      </c>
      <c r="AE92">
        <f>IF('Дивиденды по годам'!M92&lt;0,1,0)</f>
        <v>0</v>
      </c>
    </row>
    <row r="93" spans="1:31" x14ac:dyDescent="0.2">
      <c r="A93" s="7" t="s">
        <v>2186</v>
      </c>
      <c r="B93" t="str">
        <f t="shared" si="11"/>
        <v>SNGS IV кв. 2014</v>
      </c>
      <c r="C93">
        <v>2014</v>
      </c>
      <c r="D93">
        <f>SUMIFS(Дивиденды!$C:$C,Дивиденды!$A:$A,A93,Дивиденды!$I:$I,C93)</f>
        <v>0.65</v>
      </c>
      <c r="E93">
        <v>1</v>
      </c>
      <c r="F93">
        <f t="shared" si="12"/>
        <v>0.65</v>
      </c>
      <c r="G93">
        <f t="shared" si="13"/>
        <v>31.715000000000003</v>
      </c>
      <c r="H93">
        <f t="shared" si="14"/>
        <v>1</v>
      </c>
      <c r="I93">
        <f t="shared" si="15"/>
        <v>0.83333333333333337</v>
      </c>
      <c r="J93">
        <f t="shared" si="16"/>
        <v>8.3333333333333412E-2</v>
      </c>
      <c r="K93">
        <f t="shared" si="21"/>
        <v>0.10498352453399673</v>
      </c>
      <c r="L93">
        <f t="shared" si="17"/>
        <v>1</v>
      </c>
      <c r="M93">
        <f t="shared" si="18"/>
        <v>0.5</v>
      </c>
      <c r="N93">
        <f t="shared" si="19"/>
        <v>0</v>
      </c>
      <c r="O93">
        <f t="shared" si="20"/>
        <v>0.16666666666666666</v>
      </c>
      <c r="P93" t="str">
        <f>IFERROR(LN('Дивиденды по годам'!I93),"")</f>
        <v/>
      </c>
      <c r="Q93" t="str">
        <f>IFERROR('Дивиденды по годам'!G93/'Дивиденды по годам'!I93, "")</f>
        <v/>
      </c>
      <c r="R93" t="str">
        <f>IFERROR(IF(AND('Дивиденды по годам'!N93&lt;&gt;"",'Дивиденды по годам'!U93&lt;&gt;"",'Дивиденды по годам'!U93&lt;&gt;0),'Дивиденды по годам'!N93/'Дивиденды по годам'!U93-1,""),"")</f>
        <v/>
      </c>
      <c r="S93" t="str">
        <f>IFERROR(IF(AND('Дивиденды по годам'!L93&lt;&gt;"",'Дивиденды по годам'!I93&lt;&gt;"",'Дивиденды по годам'!J93&lt;&gt;"",'Дивиденды по годам'!K93&lt;&gt;"",('Дивиденды по годам'!I93-'Дивиденды по годам'!J93-'Дивиденды по годам'!K93)&lt;&gt;0),'Дивиденды по годам'!L93/('Дивиденды по годам'!I93-'Дивиденды по годам'!J93-'Дивиденды по годам'!K93),""),"")</f>
        <v/>
      </c>
      <c r="T93" t="str">
        <f>IFERROR(IF(AND('Дивиденды по годам'!Q93&lt;&gt;"",'Дивиденды по годам'!I93&lt;&gt;"",'Дивиденды по годам'!V93&lt;&gt;"",('Дивиденды по годам'!I93+'Дивиденды по годам'!V93)&lt;&gt;0),'Дивиденды по годам'!Q93/(('Дивиденды по годам'!I93+'Дивиденды по годам'!V93)/2),""),"")</f>
        <v/>
      </c>
      <c r="U93" t="str">
        <f>IFERROR(IF(AND('Дивиденды по годам'!J93&lt;&gt;"",'Дивиденды по годам'!K93&lt;&gt;"",'Дивиденды по годам'!M93&lt;&gt;"",'Дивиденды по годам'!M93&lt;&gt;0),('Дивиденды по годам'!J93+'Дивиденды по годам'!K93)/'Дивиденды по годам'!M93,""),"")</f>
        <v/>
      </c>
      <c r="V93" t="str">
        <f>IFERROR(IF(AND('Дивиденды по годам'!J93&lt;&gt;"",'Дивиденды по годам'!K93&lt;&gt;"",'Дивиденды по годам'!M93&lt;&gt;"",'Дивиденды по годам'!I93&lt;&gt;0),('Дивиденды по годам'!J93+'Дивиденды по годам'!K93)/'Дивиденды по годам'!I93,""),"")</f>
        <v/>
      </c>
      <c r="W93" t="str">
        <f>IFERROR('Дивиденды по годам'!I93,"")</f>
        <v/>
      </c>
      <c r="X93" cm="1">
        <f t="array" ref="X93">IFERROR(AVERAGE(_xlfn._xlws.FILTER(P$2:P$1073,($C$2:$C$1073=$C93)*($E$2:$E$1073=$E93)*(ROW(P$2:P$1073)&lt;&gt;ROW(P93))*(P$2:P$1073&lt;&gt;""))),"")</f>
        <v>28.768029773638499</v>
      </c>
      <c r="Y93" cm="1">
        <f t="array" ref="Y93">IFERROR(AVERAGE(_xlfn._xlws.FILTER(Q$2:Q$1073,($C$2:$C$1073=$C93)*($E$2:$E$1073=$E93)*(ROW(Q$2:Q$1073)&lt;&gt;ROW(Q93))*(Q$2:Q$1073&lt;&gt;""))),"")</f>
        <v>0.62853220057423198</v>
      </c>
      <c r="Z93" cm="1">
        <f t="array" ref="Z93">IFERROR(AVERAGE(_xlfn._xlws.FILTER(R$2:R$1073,($C$2:$C$1073=$C93)*($E$2:$E$1073=$E93)*(ROW(R$2:R$1073)&lt;&gt;ROW(R93))*(R$2:R$1073&lt;&gt;""))),"")</f>
        <v>0.14467781010492406</v>
      </c>
      <c r="AA93" cm="1">
        <f t="array" ref="AA93">IFERROR(AVERAGE(_xlfn._xlws.FILTER(S$2:S$1073,($C$2:$C$1073=$C93)*($E$2:$E$1073=$E93)*(ROW(S$2:S$1073)&lt;&gt;ROW(S93))*(S$2:S$1073&lt;&gt;""))),"")</f>
        <v>0.93609647675020025</v>
      </c>
      <c r="AB93" cm="1">
        <f t="array" ref="AB93">IFERROR(AVERAGE(_xlfn._xlws.FILTER(T$2:T$1073,($C$2:$C$1073=$C93)*($E$2:$E$1073=$E93)*(ROW(T$2:T$1073)&lt;&gt;ROW(T93))*(T$2:T$1073&lt;&gt;""))),"")</f>
        <v>5.9297671460212809E-2</v>
      </c>
      <c r="AC93" cm="1">
        <f t="array" ref="AC93">IFERROR(AVERAGE(_xlfn._xlws.FILTER(U$2:U$1073,($C$2:$C$1073=$C93)*($E$2:$E$1073=$E93)*(ROW(U$2:U$1073)&lt;&gt;ROW(U93))*(U$2:U$1073&lt;&gt;""))),"")</f>
        <v>0.79421863738134113</v>
      </c>
      <c r="AD93" cm="1">
        <f t="array" ref="AD93">IFERROR(AVERAGE(_xlfn._xlws.FILTER(V$2:V$1073,($C$2:$C$1073=$C93)*($E$2:$E$1073=$E93)*(ROW(V$2:V$1073)&lt;&gt;ROW(V93))*(V$2:V$1073&lt;&gt;""))),"")</f>
        <v>0.38553249153700109</v>
      </c>
      <c r="AE93">
        <f>IF('Дивиденды по годам'!M93&lt;0,1,0)</f>
        <v>0</v>
      </c>
    </row>
    <row r="94" spans="1:31" x14ac:dyDescent="0.2">
      <c r="A94" s="7" t="s">
        <v>2186</v>
      </c>
      <c r="B94" t="str">
        <f t="shared" si="11"/>
        <v>SNGS IV кв. 2013</v>
      </c>
      <c r="C94">
        <v>2013</v>
      </c>
      <c r="D94">
        <f>SUMIFS(Дивиденды!$C:$C,Дивиденды!$A:$A,A94,Дивиденды!$I:$I,C94)</f>
        <v>0.6</v>
      </c>
      <c r="E94">
        <v>1</v>
      </c>
      <c r="F94">
        <f t="shared" si="12"/>
        <v>0.6</v>
      </c>
      <c r="G94">
        <f t="shared" si="13"/>
        <v>24.361666666666665</v>
      </c>
      <c r="H94">
        <f t="shared" si="14"/>
        <v>1</v>
      </c>
      <c r="I94">
        <f t="shared" si="15"/>
        <v>0.83333333333333337</v>
      </c>
      <c r="J94">
        <f t="shared" si="16"/>
        <v>0.19999999999999996</v>
      </c>
      <c r="K94">
        <f t="shared" si="21"/>
        <v>0.18793689497110841</v>
      </c>
      <c r="L94">
        <f t="shared" si="17"/>
        <v>1</v>
      </c>
      <c r="M94">
        <f t="shared" si="18"/>
        <v>0.66666666666666663</v>
      </c>
      <c r="N94">
        <f t="shared" si="19"/>
        <v>0</v>
      </c>
      <c r="O94">
        <f t="shared" si="20"/>
        <v>0.16666666666666666</v>
      </c>
      <c r="P94" t="str">
        <f>IFERROR(LN('Дивиденды по годам'!I94),"")</f>
        <v/>
      </c>
      <c r="Q94" t="str">
        <f>IFERROR('Дивиденды по годам'!G94/'Дивиденды по годам'!I94, "")</f>
        <v/>
      </c>
      <c r="R94" t="str">
        <f>IFERROR(IF(AND('Дивиденды по годам'!N94&lt;&gt;"",'Дивиденды по годам'!U94&lt;&gt;"",'Дивиденды по годам'!U94&lt;&gt;0),'Дивиденды по годам'!N94/'Дивиденды по годам'!U94-1,""),"")</f>
        <v/>
      </c>
      <c r="S94" t="str">
        <f>IFERROR(IF(AND('Дивиденды по годам'!L94&lt;&gt;"",'Дивиденды по годам'!I94&lt;&gt;"",'Дивиденды по годам'!J94&lt;&gt;"",'Дивиденды по годам'!K94&lt;&gt;"",('Дивиденды по годам'!I94-'Дивиденды по годам'!J94-'Дивиденды по годам'!K94)&lt;&gt;0),'Дивиденды по годам'!L94/('Дивиденды по годам'!I94-'Дивиденды по годам'!J94-'Дивиденды по годам'!K94),""),"")</f>
        <v/>
      </c>
      <c r="T94" t="str">
        <f>IFERROR(IF(AND('Дивиденды по годам'!Q94&lt;&gt;"",'Дивиденды по годам'!I94&lt;&gt;"",'Дивиденды по годам'!V94&lt;&gt;"",('Дивиденды по годам'!I94+'Дивиденды по годам'!V94)&lt;&gt;0),'Дивиденды по годам'!Q94/(('Дивиденды по годам'!I94+'Дивиденды по годам'!V94)/2),""),"")</f>
        <v/>
      </c>
      <c r="U94" t="str">
        <f>IFERROR(IF(AND('Дивиденды по годам'!J94&lt;&gt;"",'Дивиденды по годам'!K94&lt;&gt;"",'Дивиденды по годам'!M94&lt;&gt;"",'Дивиденды по годам'!M94&lt;&gt;0),('Дивиденды по годам'!J94+'Дивиденды по годам'!K94)/'Дивиденды по годам'!M94,""),"")</f>
        <v/>
      </c>
      <c r="V94" t="str">
        <f>IFERROR(IF(AND('Дивиденды по годам'!J94&lt;&gt;"",'Дивиденды по годам'!K94&lt;&gt;"",'Дивиденды по годам'!M94&lt;&gt;"",'Дивиденды по годам'!I94&lt;&gt;0),('Дивиденды по годам'!J94+'Дивиденды по годам'!K94)/'Дивиденды по годам'!I94,""),"")</f>
        <v/>
      </c>
      <c r="W94" t="str">
        <f>IFERROR('Дивиденды по годам'!I94,"")</f>
        <v/>
      </c>
      <c r="X94" cm="1">
        <f t="array" ref="X94">IFERROR(AVERAGE(_xlfn._xlws.FILTER(P$2:P$1073,($C$2:$C$1073=$C94)*($E$2:$E$1073=$E94)*(ROW(P$2:P$1073)&lt;&gt;ROW(P94))*(P$2:P$1073&lt;&gt;""))),"")</f>
        <v>28.622706288201101</v>
      </c>
      <c r="Y94" cm="1">
        <f t="array" ref="Y94">IFERROR(AVERAGE(_xlfn._xlws.FILTER(Q$2:Q$1073,($C$2:$C$1073=$C94)*($E$2:$E$1073=$E94)*(ROW(Q$2:Q$1073)&lt;&gt;ROW(Q94))*(Q$2:Q$1073&lt;&gt;""))),"")</f>
        <v>0.64236399607477235</v>
      </c>
      <c r="Z94" cm="1">
        <f t="array" ref="Z94">IFERROR(AVERAGE(_xlfn._xlws.FILTER(R$2:R$1073,($C$2:$C$1073=$C94)*($E$2:$E$1073=$E94)*(ROW(R$2:R$1073)&lt;&gt;ROW(R94))*(R$2:R$1073&lt;&gt;""))),"")</f>
        <v>0.22145784870176244</v>
      </c>
      <c r="AA94" cm="1">
        <f t="array" ref="AA94">IFERROR(AVERAGE(_xlfn._xlws.FILTER(S$2:S$1073,($C$2:$C$1073=$C94)*($E$2:$E$1073=$E94)*(ROW(S$2:S$1073)&lt;&gt;ROW(S94))*(S$2:S$1073&lt;&gt;""))),"")</f>
        <v>0.89631518143572286</v>
      </c>
      <c r="AB94" cm="1">
        <f t="array" ref="AB94">IFERROR(AVERAGE(_xlfn._xlws.FILTER(T$2:T$1073,($C$2:$C$1073=$C94)*($E$2:$E$1073=$E94)*(ROW(T$2:T$1073)&lt;&gt;ROW(T94))*(T$2:T$1073&lt;&gt;""))),"")</f>
        <v>0.11790230641943103</v>
      </c>
      <c r="AC94" cm="1">
        <f t="array" ref="AC94">IFERROR(AVERAGE(_xlfn._xlws.FILTER(U$2:U$1073,($C$2:$C$1073=$C94)*($E$2:$E$1073=$E94)*(ROW(U$2:U$1073)&lt;&gt;ROW(U94))*(U$2:U$1073&lt;&gt;""))),"")</f>
        <v>0.6209255292208824</v>
      </c>
      <c r="AD94" cm="1">
        <f t="array" ref="AD94">IFERROR(AVERAGE(_xlfn._xlws.FILTER(V$2:V$1073,($C$2:$C$1073=$C94)*($E$2:$E$1073=$E94)*(ROW(V$2:V$1073)&lt;&gt;ROW(V94))*(V$2:V$1073&lt;&gt;""))),"")</f>
        <v>0.35421069871935001</v>
      </c>
      <c r="AE94">
        <f>IF('Дивиденды по годам'!M94&lt;0,1,0)</f>
        <v>0</v>
      </c>
    </row>
    <row r="95" spans="1:31" x14ac:dyDescent="0.2">
      <c r="A95" s="7" t="s">
        <v>2186</v>
      </c>
      <c r="B95" t="str">
        <f t="shared" si="11"/>
        <v>SNGS IV кв. 2012</v>
      </c>
      <c r="C95">
        <v>2012</v>
      </c>
      <c r="D95">
        <f>SUMIFS(Дивиденды!$C:$C,Дивиденды!$A:$A,A95,Дивиденды!$I:$I,C95)</f>
        <v>0.5</v>
      </c>
      <c r="E95">
        <v>1</v>
      </c>
      <c r="F95">
        <f t="shared" si="12"/>
        <v>0.5</v>
      </c>
      <c r="G95">
        <f t="shared" si="13"/>
        <v>19.916666666666664</v>
      </c>
      <c r="H95">
        <f t="shared" si="14"/>
        <v>1</v>
      </c>
      <c r="I95">
        <f t="shared" si="15"/>
        <v>0.83333333333333337</v>
      </c>
      <c r="J95">
        <f t="shared" si="16"/>
        <v>-0.16666666666666663</v>
      </c>
      <c r="K95">
        <f t="shared" si="21"/>
        <v>4.9143532942030894E-2</v>
      </c>
      <c r="L95">
        <f t="shared" si="17"/>
        <v>0</v>
      </c>
      <c r="M95">
        <f t="shared" si="18"/>
        <v>0.66666666666666663</v>
      </c>
      <c r="N95">
        <f t="shared" si="19"/>
        <v>1</v>
      </c>
      <c r="O95">
        <f t="shared" si="20"/>
        <v>0.16666666666666666</v>
      </c>
      <c r="P95" t="str">
        <f>IFERROR(LN('Дивиденды по годам'!I95),"")</f>
        <v/>
      </c>
      <c r="Q95" t="str">
        <f>IFERROR('Дивиденды по годам'!G95/'Дивиденды по годам'!I95, "")</f>
        <v/>
      </c>
      <c r="R95" t="str">
        <f>IFERROR(IF(AND('Дивиденды по годам'!N95&lt;&gt;"",'Дивиденды по годам'!U95&lt;&gt;"",'Дивиденды по годам'!U95&lt;&gt;0),'Дивиденды по годам'!N95/'Дивиденды по годам'!U95-1,""),"")</f>
        <v/>
      </c>
      <c r="S95" t="str">
        <f>IFERROR(IF(AND('Дивиденды по годам'!L95&lt;&gt;"",'Дивиденды по годам'!I95&lt;&gt;"",'Дивиденды по годам'!J95&lt;&gt;"",'Дивиденды по годам'!K95&lt;&gt;"",('Дивиденды по годам'!I95-'Дивиденды по годам'!J95-'Дивиденды по годам'!K95)&lt;&gt;0),'Дивиденды по годам'!L95/('Дивиденды по годам'!I95-'Дивиденды по годам'!J95-'Дивиденды по годам'!K95),""),"")</f>
        <v/>
      </c>
      <c r="T95" t="str">
        <f>IFERROR(IF(AND('Дивиденды по годам'!Q95&lt;&gt;"",'Дивиденды по годам'!I95&lt;&gt;"",'Дивиденды по годам'!V95&lt;&gt;"",('Дивиденды по годам'!I95+'Дивиденды по годам'!V95)&lt;&gt;0),'Дивиденды по годам'!Q95/(('Дивиденды по годам'!I95+'Дивиденды по годам'!V95)/2),""),"")</f>
        <v/>
      </c>
      <c r="U95" t="str">
        <f>IFERROR(IF(AND('Дивиденды по годам'!J95&lt;&gt;"",'Дивиденды по годам'!K95&lt;&gt;"",'Дивиденды по годам'!M95&lt;&gt;"",'Дивиденды по годам'!M95&lt;&gt;0),('Дивиденды по годам'!J95+'Дивиденды по годам'!K95)/'Дивиденды по годам'!M95,""),"")</f>
        <v/>
      </c>
      <c r="V95" t="str">
        <f>IFERROR(IF(AND('Дивиденды по годам'!J95&lt;&gt;"",'Дивиденды по годам'!K95&lt;&gt;"",'Дивиденды по годам'!M95&lt;&gt;"",'Дивиденды по годам'!I95&lt;&gt;0),('Дивиденды по годам'!J95+'Дивиденды по годам'!K95)/'Дивиденды по годам'!I95,""),"")</f>
        <v/>
      </c>
      <c r="W95" t="str">
        <f>IFERROR('Дивиденды по годам'!I95,"")</f>
        <v/>
      </c>
      <c r="X95" cm="1">
        <f t="array" ref="X95">IFERROR(AVERAGE(_xlfn._xlws.FILTER(P$2:P$1073,($C$2:$C$1073=$C95)*($E$2:$E$1073=$E95)*(ROW(P$2:P$1073)&lt;&gt;ROW(P95))*(P$2:P$1073&lt;&gt;""))),"")</f>
        <v>28.377599288247005</v>
      </c>
      <c r="Y95" cm="1">
        <f t="array" ref="Y95">IFERROR(AVERAGE(_xlfn._xlws.FILTER(Q$2:Q$1073,($C$2:$C$1073=$C95)*($E$2:$E$1073=$E95)*(ROW(Q$2:Q$1073)&lt;&gt;ROW(Q95))*(Q$2:Q$1073&lt;&gt;""))),"")</f>
        <v>0.61992711684076307</v>
      </c>
      <c r="Z95" cm="1">
        <f t="array" ref="Z95">IFERROR(AVERAGE(_xlfn._xlws.FILTER(R$2:R$1073,($C$2:$C$1073=$C95)*($E$2:$E$1073=$E95)*(ROW(R$2:R$1073)&lt;&gt;ROW(R95))*(R$2:R$1073&lt;&gt;""))),"")</f>
        <v>3.7220281362886264E-2</v>
      </c>
      <c r="AA95" cm="1">
        <f t="array" ref="AA95">IFERROR(AVERAGE(_xlfn._xlws.FILTER(S$2:S$1073,($C$2:$C$1073=$C95)*($E$2:$E$1073=$E95)*(ROW(S$2:S$1073)&lt;&gt;ROW(S95))*(S$2:S$1073&lt;&gt;""))),"")</f>
        <v>0.90617229044951875</v>
      </c>
      <c r="AB95" cm="1">
        <f t="array" ref="AB95">IFERROR(AVERAGE(_xlfn._xlws.FILTER(T$2:T$1073,($C$2:$C$1073=$C95)*($E$2:$E$1073=$E95)*(ROW(T$2:T$1073)&lt;&gt;ROW(T95))*(T$2:T$1073&lt;&gt;""))),"")</f>
        <v>0.12132203753458233</v>
      </c>
      <c r="AC95" cm="1">
        <f t="array" ref="AC95">IFERROR(AVERAGE(_xlfn._xlws.FILTER(U$2:U$1073,($C$2:$C$1073=$C95)*($E$2:$E$1073=$E95)*(ROW(U$2:U$1073)&lt;&gt;ROW(U95))*(U$2:U$1073&lt;&gt;""))),"")</f>
        <v>0.48530122005899462</v>
      </c>
      <c r="AD95" cm="1">
        <f t="array" ref="AD95">IFERROR(AVERAGE(_xlfn._xlws.FILTER(V$2:V$1073,($C$2:$C$1073=$C95)*($E$2:$E$1073=$E95)*(ROW(V$2:V$1073)&lt;&gt;ROW(V95))*(V$2:V$1073&lt;&gt;""))),"")</f>
        <v>0.32107582155770942</v>
      </c>
      <c r="AE95">
        <f>IF('Дивиденды по годам'!M95&lt;0,1,0)</f>
        <v>0</v>
      </c>
    </row>
    <row r="96" spans="1:31" x14ac:dyDescent="0.2">
      <c r="A96" s="7" t="s">
        <v>2186</v>
      </c>
      <c r="B96" t="str">
        <f t="shared" si="11"/>
        <v>SNGS IV кв. 2011</v>
      </c>
      <c r="C96">
        <v>2011</v>
      </c>
      <c r="D96">
        <f>SUMIFS(Дивиденды!$C:$C,Дивиденды!$A:$A,A96,Дивиденды!$I:$I,C96)</f>
        <v>0.6</v>
      </c>
      <c r="E96">
        <v>1</v>
      </c>
      <c r="F96">
        <f t="shared" si="12"/>
        <v>0.6</v>
      </c>
      <c r="G96">
        <f t="shared" si="13"/>
        <v>17.43</v>
      </c>
      <c r="H96">
        <f t="shared" si="14"/>
        <v>1</v>
      </c>
      <c r="I96">
        <f t="shared" si="15"/>
        <v>0.83333333333333337</v>
      </c>
      <c r="J96">
        <f t="shared" si="16"/>
        <v>0.19999999999999996</v>
      </c>
      <c r="K96">
        <f t="shared" si="21"/>
        <v>0.70661266764172759</v>
      </c>
      <c r="L96">
        <f t="shared" si="17"/>
        <v>1</v>
      </c>
      <c r="M96">
        <f t="shared" si="18"/>
        <v>0.83333333333333337</v>
      </c>
      <c r="N96">
        <f t="shared" si="19"/>
        <v>0</v>
      </c>
      <c r="O96">
        <f t="shared" si="20"/>
        <v>0</v>
      </c>
      <c r="P96" t="str">
        <f>IFERROR(LN('Дивиденды по годам'!I96),"")</f>
        <v/>
      </c>
      <c r="Q96" t="str">
        <f>IFERROR('Дивиденды по годам'!G96/'Дивиденды по годам'!I96, "")</f>
        <v/>
      </c>
      <c r="R96" t="str">
        <f>IFERROR(IF(AND('Дивиденды по годам'!N96&lt;&gt;"",'Дивиденды по годам'!U96&lt;&gt;"",'Дивиденды по годам'!U96&lt;&gt;0),'Дивиденды по годам'!N96/'Дивиденды по годам'!U96-1,""),"")</f>
        <v/>
      </c>
      <c r="S96" t="str">
        <f>IFERROR(IF(AND('Дивиденды по годам'!L96&lt;&gt;"",'Дивиденды по годам'!I96&lt;&gt;"",'Дивиденды по годам'!J96&lt;&gt;"",'Дивиденды по годам'!K96&lt;&gt;"",('Дивиденды по годам'!I96-'Дивиденды по годам'!J96-'Дивиденды по годам'!K96)&lt;&gt;0),'Дивиденды по годам'!L96/('Дивиденды по годам'!I96-'Дивиденды по годам'!J96-'Дивиденды по годам'!K96),""),"")</f>
        <v/>
      </c>
      <c r="T96" t="str">
        <f>IFERROR(IF(AND('Дивиденды по годам'!Q96&lt;&gt;"",'Дивиденды по годам'!I96&lt;&gt;"",'Дивиденды по годам'!V96&lt;&gt;"",('Дивиденды по годам'!I96+'Дивиденды по годам'!V96)&lt;&gt;0),'Дивиденды по годам'!Q96/(('Дивиденды по годам'!I96+'Дивиденды по годам'!V96)/2),""),"")</f>
        <v/>
      </c>
      <c r="U96" t="str">
        <f>IFERROR(IF(AND('Дивиденды по годам'!J96&lt;&gt;"",'Дивиденды по годам'!K96&lt;&gt;"",'Дивиденды по годам'!M96&lt;&gt;"",'Дивиденды по годам'!M96&lt;&gt;0),('Дивиденды по годам'!J96+'Дивиденды по годам'!K96)/'Дивиденды по годам'!M96,""),"")</f>
        <v/>
      </c>
      <c r="V96" t="str">
        <f>IFERROR(IF(AND('Дивиденды по годам'!J96&lt;&gt;"",'Дивиденды по годам'!K96&lt;&gt;"",'Дивиденды по годам'!M96&lt;&gt;"",'Дивиденды по годам'!I96&lt;&gt;0),('Дивиденды по годам'!J96+'Дивиденды по годам'!K96)/'Дивиденды по годам'!I96,""),"")</f>
        <v/>
      </c>
      <c r="W96" t="str">
        <f>IFERROR('Дивиденды по годам'!I96,"")</f>
        <v/>
      </c>
      <c r="X96" cm="1">
        <f t="array" ref="X96">IFERROR(AVERAGE(_xlfn._xlws.FILTER(P$2:P$1073,($C$2:$C$1073=$C96)*($E$2:$E$1073=$E96)*(ROW(P$2:P$1073)&lt;&gt;ROW(P96))*(P$2:P$1073&lt;&gt;""))),"")</f>
        <v>28.264623869977424</v>
      </c>
      <c r="Y96" cm="1">
        <f t="array" ref="Y96">IFERROR(AVERAGE(_xlfn._xlws.FILTER(Q$2:Q$1073,($C$2:$C$1073=$C96)*($E$2:$E$1073=$E96)*(ROW(Q$2:Q$1073)&lt;&gt;ROW(Q96))*(Q$2:Q$1073&lt;&gt;""))),"")</f>
        <v>0.60420217997005043</v>
      </c>
      <c r="Z96" cm="1">
        <f t="array" ref="Z96">IFERROR(AVERAGE(_xlfn._xlws.FILTER(R$2:R$1073,($C$2:$C$1073=$C96)*($E$2:$E$1073=$E96)*(ROW(R$2:R$1073)&lt;&gt;ROW(R96))*(R$2:R$1073&lt;&gt;""))),"")</f>
        <v>0.35064844247682309</v>
      </c>
      <c r="AA96" cm="1">
        <f t="array" ref="AA96">IFERROR(AVERAGE(_xlfn._xlws.FILTER(S$2:S$1073,($C$2:$C$1073=$C96)*($E$2:$E$1073=$E96)*(ROW(S$2:S$1073)&lt;&gt;ROW(S96))*(S$2:S$1073&lt;&gt;""))),"")</f>
        <v>0.88249065929606674</v>
      </c>
      <c r="AB96" cm="1">
        <f t="array" ref="AB96">IFERROR(AVERAGE(_xlfn._xlws.FILTER(T$2:T$1073,($C$2:$C$1073=$C96)*($E$2:$E$1073=$E96)*(ROW(T$2:T$1073)&lt;&gt;ROW(T96))*(T$2:T$1073&lt;&gt;""))),"")</f>
        <v>0.16149330595864375</v>
      </c>
      <c r="AC96" cm="1">
        <f t="array" ref="AC96">IFERROR(AVERAGE(_xlfn._xlws.FILTER(U$2:U$1073,($C$2:$C$1073=$C96)*($E$2:$E$1073=$E96)*(ROW(U$2:U$1073)&lt;&gt;ROW(U96))*(U$2:U$1073&lt;&gt;""))),"")</f>
        <v>0.50624263499677247</v>
      </c>
      <c r="AD96" cm="1">
        <f t="array" ref="AD96">IFERROR(AVERAGE(_xlfn._xlws.FILTER(V$2:V$1073,($C$2:$C$1073=$C96)*($E$2:$E$1073=$E96)*(ROW(V$2:V$1073)&lt;&gt;ROW(V96))*(V$2:V$1073&lt;&gt;""))),"")</f>
        <v>0.33253248944200653</v>
      </c>
      <c r="AE96">
        <f>IF('Дивиденды по годам'!M96&lt;0,1,0)</f>
        <v>0</v>
      </c>
    </row>
    <row r="97" spans="1:31" x14ac:dyDescent="0.2">
      <c r="A97" s="7" t="s">
        <v>2186</v>
      </c>
      <c r="B97" t="str">
        <f t="shared" si="11"/>
        <v>SNGS IV кв. 2010</v>
      </c>
      <c r="C97">
        <v>2010</v>
      </c>
      <c r="D97">
        <f>SUMIFS(Дивиденды!$C:$C,Дивиденды!$A:$A,A97,Дивиденды!$I:$I,C97)</f>
        <v>0.5</v>
      </c>
      <c r="E97">
        <v>1</v>
      </c>
      <c r="F97">
        <f t="shared" si="12"/>
        <v>0.5</v>
      </c>
      <c r="G97">
        <f t="shared" si="13"/>
        <v>12.438333333333333</v>
      </c>
      <c r="H97">
        <f t="shared" si="14"/>
        <v>1</v>
      </c>
      <c r="I97">
        <f t="shared" si="15"/>
        <v>0.83333333333333337</v>
      </c>
      <c r="J97" t="str">
        <f t="shared" si="16"/>
        <v/>
      </c>
      <c r="K97" t="str">
        <f t="shared" si="21"/>
        <v/>
      </c>
      <c r="L97" t="str">
        <f t="shared" si="17"/>
        <v/>
      </c>
      <c r="M97" t="str">
        <f t="shared" si="18"/>
        <v/>
      </c>
      <c r="N97" t="str">
        <f t="shared" si="19"/>
        <v/>
      </c>
      <c r="O97" t="str">
        <f t="shared" si="20"/>
        <v/>
      </c>
      <c r="P97" t="str">
        <f>IFERROR(LN('Дивиденды по годам'!I97),"")</f>
        <v/>
      </c>
      <c r="Q97" t="str">
        <f>IFERROR('Дивиденды по годам'!G97/'Дивиденды по годам'!I97, "")</f>
        <v/>
      </c>
      <c r="R97" t="str">
        <f>IFERROR(IF(AND('Дивиденды по годам'!N97&lt;&gt;"",'Дивиденды по годам'!U97&lt;&gt;"",'Дивиденды по годам'!U97&lt;&gt;0),'Дивиденды по годам'!N97/'Дивиденды по годам'!U97-1,""),"")</f>
        <v/>
      </c>
      <c r="S97" t="str">
        <f>IFERROR(IF(AND('Дивиденды по годам'!L97&lt;&gt;"",'Дивиденды по годам'!I97&lt;&gt;"",'Дивиденды по годам'!J97&lt;&gt;"",'Дивиденды по годам'!K97&lt;&gt;"",('Дивиденды по годам'!I97-'Дивиденды по годам'!J97-'Дивиденды по годам'!K97)&lt;&gt;0),'Дивиденды по годам'!L97/('Дивиденды по годам'!I97-'Дивиденды по годам'!J97-'Дивиденды по годам'!K97),""),"")</f>
        <v/>
      </c>
      <c r="T97" t="str">
        <f>IFERROR(IF(AND('Дивиденды по годам'!Q97&lt;&gt;"",'Дивиденды по годам'!I97&lt;&gt;"",'Дивиденды по годам'!V97&lt;&gt;"",('Дивиденды по годам'!I97+'Дивиденды по годам'!V97)&lt;&gt;0),'Дивиденды по годам'!Q97/(('Дивиденды по годам'!I97+'Дивиденды по годам'!V97)/2),""),"")</f>
        <v/>
      </c>
      <c r="U97" t="str">
        <f>IFERROR(IF(AND('Дивиденды по годам'!J97&lt;&gt;"",'Дивиденды по годам'!K97&lt;&gt;"",'Дивиденды по годам'!M97&lt;&gt;"",'Дивиденды по годам'!M97&lt;&gt;0),('Дивиденды по годам'!J97+'Дивиденды по годам'!K97)/'Дивиденды по годам'!M97,""),"")</f>
        <v/>
      </c>
      <c r="V97" t="str">
        <f>IFERROR(IF(AND('Дивиденды по годам'!J97&lt;&gt;"",'Дивиденды по годам'!K97&lt;&gt;"",'Дивиденды по годам'!M97&lt;&gt;"",'Дивиденды по годам'!I97&lt;&gt;0),('Дивиденды по годам'!J97+'Дивиденды по годам'!K97)/'Дивиденды по годам'!I97,""),"")</f>
        <v/>
      </c>
      <c r="W97" t="str">
        <f>IFERROR('Дивиденды по годам'!I97,"")</f>
        <v/>
      </c>
      <c r="X97" cm="1">
        <f t="array" ref="X97">IFERROR(AVERAGE(_xlfn._xlws.FILTER(P$2:P$1073,($C$2:$C$1073=$C97)*($E$2:$E$1073=$E97)*(ROW(P$2:P$1073)&lt;&gt;ROW(P97))*(P$2:P$1073&lt;&gt;""))),"")</f>
        <v>28.26609277365635</v>
      </c>
      <c r="Y97" cm="1">
        <f t="array" ref="Y97">IFERROR(AVERAGE(_xlfn._xlws.FILTER(Q$2:Q$1073,($C$2:$C$1073=$C97)*($E$2:$E$1073=$E97)*(ROW(Q$2:Q$1073)&lt;&gt;ROW(Q97))*(Q$2:Q$1073&lt;&gt;""))),"")</f>
        <v>0.63165964928088458</v>
      </c>
      <c r="Z97" cm="1">
        <f t="array" ref="Z97">IFERROR(AVERAGE(_xlfn._xlws.FILTER(R$2:R$1073,($C$2:$C$1073=$C97)*($E$2:$E$1073=$E97)*(ROW(R$2:R$1073)&lt;&gt;ROW(R97))*(R$2:R$1073&lt;&gt;""))),"")</f>
        <v>0.23861324477859247</v>
      </c>
      <c r="AA97" cm="1">
        <f t="array" ref="AA97">IFERROR(AVERAGE(_xlfn._xlws.FILTER(S$2:S$1073,($C$2:$C$1073=$C97)*($E$2:$E$1073=$E97)*(ROW(S$2:S$1073)&lt;&gt;ROW(S97))*(S$2:S$1073&lt;&gt;""))),"")</f>
        <v>0.85870775810089295</v>
      </c>
      <c r="AB97" cm="1">
        <f t="array" ref="AB97">IFERROR(AVERAGE(_xlfn._xlws.FILTER(T$2:T$1073,($C$2:$C$1073=$C97)*($E$2:$E$1073=$E97)*(ROW(T$2:T$1073)&lt;&gt;ROW(T97))*(T$2:T$1073&lt;&gt;""))),"")</f>
        <v>0.10947396081496689</v>
      </c>
      <c r="AC97" cm="1">
        <f t="array" ref="AC97">IFERROR(AVERAGE(_xlfn._xlws.FILTER(U$2:U$1073,($C$2:$C$1073=$C97)*($E$2:$E$1073=$E97)*(ROW(U$2:U$1073)&lt;&gt;ROW(U97))*(U$2:U$1073&lt;&gt;""))),"")</f>
        <v>0.50738882547166109</v>
      </c>
      <c r="AD97" cm="1">
        <f t="array" ref="AD97">IFERROR(AVERAGE(_xlfn._xlws.FILTER(V$2:V$1073,($C$2:$C$1073=$C97)*($E$2:$E$1073=$E97)*(ROW(V$2:V$1073)&lt;&gt;ROW(V97))*(V$2:V$1073&lt;&gt;""))),"")</f>
        <v>0.33149246799378812</v>
      </c>
      <c r="AE97">
        <f>IF('Дивиденды по годам'!M97&lt;0,1,0)</f>
        <v>0</v>
      </c>
    </row>
    <row r="98" spans="1:31" x14ac:dyDescent="0.2">
      <c r="A98" s="7" t="s">
        <v>2188</v>
      </c>
      <c r="B98" t="str">
        <f t="shared" si="11"/>
        <v>TATN IV кв. 2025</v>
      </c>
      <c r="C98">
        <v>2025</v>
      </c>
      <c r="D98">
        <f>SUMIFS(Дивиденды!$C:$C,Дивиденды!$A:$A,A98,Дивиденды!$I:$I,C98)</f>
        <v>22.48</v>
      </c>
      <c r="E98">
        <v>1</v>
      </c>
      <c r="F98">
        <f t="shared" si="12"/>
        <v>22.48</v>
      </c>
      <c r="G98">
        <f t="shared" si="13"/>
        <v>74.010000000000005</v>
      </c>
      <c r="H98">
        <f t="shared" si="14"/>
        <v>1</v>
      </c>
      <c r="I98">
        <f t="shared" si="15"/>
        <v>0.5</v>
      </c>
      <c r="J98">
        <f t="shared" si="16"/>
        <v>-0.7722391084093212</v>
      </c>
      <c r="K98">
        <f t="shared" si="21"/>
        <v>-0.49425973190990941</v>
      </c>
      <c r="L98">
        <f t="shared" si="17"/>
        <v>0</v>
      </c>
      <c r="M98">
        <f t="shared" si="18"/>
        <v>0</v>
      </c>
      <c r="N98">
        <f t="shared" si="19"/>
        <v>1</v>
      </c>
      <c r="O98">
        <f t="shared" si="20"/>
        <v>0.66666666666666663</v>
      </c>
      <c r="P98">
        <f>IFERROR(LN('Дивиденды по годам'!I98),"")</f>
        <v>28.388952724888394</v>
      </c>
      <c r="Q98">
        <f>IFERROR('Дивиденды по годам'!G98/'Дивиденды по годам'!I98, "")</f>
        <v>0.60148941494701147</v>
      </c>
      <c r="R98">
        <f>IFERROR(IF(AND('Дивиденды по годам'!N98&lt;&gt;"",'Дивиденды по годам'!U98&lt;&gt;"",'Дивиденды по годам'!U98&lt;&gt;0),'Дивиденды по годам'!N98/'Дивиденды по годам'!U98-1,""),"")</f>
        <v>-0.10453114233802596</v>
      </c>
      <c r="S98">
        <f>IFERROR(IF(AND('Дивиденды по годам'!L98&lt;&gt;"",'Дивиденды по годам'!I98&lt;&gt;"",'Дивиденды по годам'!J98&lt;&gt;"",'Дивиденды по годам'!K98&lt;&gt;"",('Дивиденды по годам'!I98-'Дивиденды по годам'!J98-'Дивиденды по годам'!K98)&lt;&gt;0),'Дивиденды по годам'!L98/('Дивиденды по годам'!I98-'Дивиденды по годам'!J98-'Дивиденды по годам'!K98),""),"")</f>
        <v>0.92840826223429396</v>
      </c>
      <c r="T98">
        <f>IFERROR(IF(AND('Дивиденды по годам'!Q98&lt;&gt;"",'Дивиденды по годам'!I98&lt;&gt;"",'Дивиденды по годам'!V98&lt;&gt;"",('Дивиденды по годам'!I98+'Дивиденды по годам'!V98)&lt;&gt;0),'Дивиденды по годам'!Q98/(('Дивиденды по годам'!I98+'Дивиденды по годам'!V98)/2),""),"")</f>
        <v>7.0088114895314732E-2</v>
      </c>
      <c r="U98">
        <f>IFERROR(IF(AND('Дивиденды по годам'!J98&lt;&gt;"",'Дивиденды по годам'!K98&lt;&gt;"",'Дивиденды по годам'!M98&lt;&gt;"",'Дивиденды по годам'!M98&lt;&gt;0),('Дивиденды по годам'!J98+'Дивиденды по годам'!K98)/'Дивиденды по годам'!M98,""),"")</f>
        <v>0.6108503349493235</v>
      </c>
      <c r="V98">
        <f>IFERROR(IF(AND('Дивиденды по годам'!J98&lt;&gt;"",'Дивиденды по годам'!K98&lt;&gt;"",'Дивиденды по годам'!M98&lt;&gt;"",'Дивиденды по годам'!I98&lt;&gt;0),('Дивиденды по годам'!J98+'Дивиденды по годам'!K98)/'Дивиденды по годам'!I98,""),"")</f>
        <v>0.37920986307430016</v>
      </c>
      <c r="W98">
        <f>IFERROR('Дивиденды по годам'!I98,"")</f>
        <v>2133858000000</v>
      </c>
      <c r="X98" cm="1">
        <f t="array" ref="X98">IFERROR(AVERAGE(_xlfn._xlws.FILTER(P$2:P$1073,($C$2:$C$1073=$C98)*($E$2:$E$1073=$E98)*(ROW(P$2:P$1073)&lt;&gt;ROW(P98))*(P$2:P$1073&lt;&gt;""))),"")</f>
        <v>28.279933420182029</v>
      </c>
      <c r="Y98" cm="1">
        <f t="array" ref="Y98">IFERROR(AVERAGE(_xlfn._xlws.FILTER(Q$2:Q$1073,($C$2:$C$1073=$C98)*($E$2:$E$1073=$E98)*(ROW(Q$2:Q$1073)&lt;&gt;ROW(Q98))*(Q$2:Q$1073&lt;&gt;""))),"")</f>
        <v>0.51176144617112573</v>
      </c>
      <c r="Z98" cm="1">
        <f t="array" ref="Z98">IFERROR(AVERAGE(_xlfn._xlws.FILTER(R$2:R$1073,($C$2:$C$1073=$C98)*($E$2:$E$1073=$E98)*(ROW(R$2:R$1073)&lt;&gt;ROW(R98))*(R$2:R$1073&lt;&gt;""))),"")</f>
        <v>-0.30020924425067541</v>
      </c>
      <c r="AA98" cm="1">
        <f t="array" ref="AA98">IFERROR(AVERAGE(_xlfn._xlws.FILTER(S$2:S$1073,($C$2:$C$1073=$C98)*($E$2:$E$1073=$E98)*(ROW(S$2:S$1073)&lt;&gt;ROW(S98))*(S$2:S$1073&lt;&gt;""))),"")</f>
        <v>0.60138317403943653</v>
      </c>
      <c r="AB98" cm="1">
        <f t="array" ref="AB98">IFERROR(AVERAGE(_xlfn._xlws.FILTER(T$2:T$1073,($C$2:$C$1073=$C98)*($E$2:$E$1073=$E98)*(ROW(T$2:T$1073)&lt;&gt;ROW(T98))*(T$2:T$1073&lt;&gt;""))),"")</f>
        <v>-8.5638573625026696E-3</v>
      </c>
      <c r="AC98" cm="1">
        <f t="array" ref="AC98">IFERROR(AVERAGE(_xlfn._xlws.FILTER(U$2:U$1073,($C$2:$C$1073=$C98)*($E$2:$E$1073=$E98)*(ROW(U$2:U$1073)&lt;&gt;ROW(U98))*(U$2:U$1073&lt;&gt;""))),"")</f>
        <v>0.74683337130866301</v>
      </c>
      <c r="AD98" cm="1">
        <f t="array" ref="AD98">IFERROR(AVERAGE(_xlfn._xlws.FILTER(V$2:V$1073,($C$2:$C$1073=$C98)*($E$2:$E$1073=$E98)*(ROW(V$2:V$1073)&lt;&gt;ROW(V98))*(V$2:V$1073&lt;&gt;""))),"")</f>
        <v>0.38016028718849598</v>
      </c>
      <c r="AE98">
        <f>IF('Дивиденды по годам'!M98&lt;0,1,0)</f>
        <v>0</v>
      </c>
    </row>
    <row r="99" spans="1:31" x14ac:dyDescent="0.2">
      <c r="A99" s="7" t="s">
        <v>2188</v>
      </c>
      <c r="B99" t="str">
        <f t="shared" si="11"/>
        <v>TATN IV кв. 2024</v>
      </c>
      <c r="C99">
        <v>2024</v>
      </c>
      <c r="D99">
        <f>SUMIFS(Дивиденды!$C:$C,Дивиденды!$A:$A,A99,Дивиденды!$I:$I,C99)</f>
        <v>98.7</v>
      </c>
      <c r="E99">
        <v>1</v>
      </c>
      <c r="F99">
        <f t="shared" si="12"/>
        <v>98.7</v>
      </c>
      <c r="G99">
        <f t="shared" si="13"/>
        <v>198.20000000000005</v>
      </c>
      <c r="H99">
        <f t="shared" si="14"/>
        <v>1</v>
      </c>
      <c r="I99">
        <f t="shared" si="15"/>
        <v>0.66666666666666663</v>
      </c>
      <c r="J99">
        <f t="shared" si="16"/>
        <v>0.12312243969048711</v>
      </c>
      <c r="K99">
        <f t="shared" si="21"/>
        <v>1.2693561122362999E-2</v>
      </c>
      <c r="L99">
        <f t="shared" si="17"/>
        <v>1</v>
      </c>
      <c r="M99">
        <f t="shared" si="18"/>
        <v>0.5</v>
      </c>
      <c r="N99">
        <f t="shared" si="19"/>
        <v>0</v>
      </c>
      <c r="O99">
        <f t="shared" si="20"/>
        <v>0.16666666666666666</v>
      </c>
      <c r="P99">
        <f>IFERROR(LN('Дивиденды по годам'!I99),"")</f>
        <v>28.421707354134465</v>
      </c>
      <c r="Q99">
        <f>IFERROR('Дивиденды по годам'!G99/'Дивиденды по годам'!I99, "")</f>
        <v>0.56153065727429119</v>
      </c>
      <c r="R99">
        <f>IFERROR(IF(AND('Дивиденды по годам'!N99&lt;&gt;"",'Дивиденды по годам'!U99&lt;&gt;"",'Дивиденды по годам'!U99&lt;&gt;0),'Дивиденды по годам'!N99/'Дивиденды по годам'!U99-1,""),"")</f>
        <v>0.27770058436254397</v>
      </c>
      <c r="S99">
        <f>IFERROR(IF(AND('Дивиденды по годам'!L99&lt;&gt;"",'Дивиденды по годам'!I99&lt;&gt;"",'Дивиденды по годам'!J99&lt;&gt;"",'Дивиденды по годам'!K99&lt;&gt;"",('Дивиденды по годам'!I99-'Дивиденды по годам'!J99-'Дивиденды по годам'!K99)&lt;&gt;0),'Дивиденды по годам'!L99/('Дивиденды по годам'!I99-'Дивиденды по годам'!J99-'Дивиденды по годам'!K99),""),"")</f>
        <v>0.91624844765321245</v>
      </c>
      <c r="T99">
        <f>IFERROR(IF(AND('Дивиденды по годам'!Q99&lt;&gt;"",'Дивиденды по годам'!I99&lt;&gt;"",'Дивиденды по годам'!V99&lt;&gt;"",('Дивиденды по годам'!I99+'Дивиденды по годам'!V99)&lt;&gt;0),'Дивиденды по годам'!Q99/(('Дивиденды по годам'!I99+'Дивиденды по годам'!V99)/2),""),"")</f>
        <v>0.14537554804824943</v>
      </c>
      <c r="U99">
        <f>IFERROR(IF(AND('Дивиденды по годам'!J99&lt;&gt;"",'Дивиденды по годам'!K99&lt;&gt;"",'Дивиденды по годам'!M99&lt;&gt;"",'Дивиденды по годам'!M99&lt;&gt;0),('Дивиденды по годам'!J99+'Дивиденды по годам'!K99)/'Дивиденды по годам'!M99,""),"")</f>
        <v>0.65752222900460366</v>
      </c>
      <c r="V99">
        <f>IFERROR(IF(AND('Дивиденды по годам'!J99&lt;&gt;"",'Дивиденды по годам'!K99&lt;&gt;"",'Дивиденды по годам'!M99&lt;&gt;"",'Дивиденды по годам'!I99&lt;&gt;0),('Дивиденды по годам'!J99+'Дивиденды по годам'!K99)/'Дивиденды по годам'!I99,""),"")</f>
        <v>0.39668984071451474</v>
      </c>
      <c r="W99">
        <f>IFERROR('Дивиденды по годам'!I99,"")</f>
        <v>2204909000000</v>
      </c>
      <c r="X99" cm="1">
        <f t="array" ref="X99">IFERROR(AVERAGE(_xlfn._xlws.FILTER(P$2:P$1073,($C$2:$C$1073=$C99)*($E$2:$E$1073=$E99)*(ROW(P$2:P$1073)&lt;&gt;ROW(P99))*(P$2:P$1073&lt;&gt;""))),"")</f>
        <v>29.422413843225151</v>
      </c>
      <c r="Y99" cm="1">
        <f t="array" ref="Y99">IFERROR(AVERAGE(_xlfn._xlws.FILTER(Q$2:Q$1073,($C$2:$C$1073=$C99)*($E$2:$E$1073=$E99)*(ROW(Q$2:Q$1073)&lt;&gt;ROW(Q99))*(Q$2:Q$1073&lt;&gt;""))),"")</f>
        <v>0.53506780846615221</v>
      </c>
      <c r="Z99" cm="1">
        <f t="array" ref="Z99">IFERROR(AVERAGE(_xlfn._xlws.FILTER(R$2:R$1073,($C$2:$C$1073=$C99)*($E$2:$E$1073=$E99)*(ROW(R$2:R$1073)&lt;&gt;ROW(R99))*(R$2:R$1073&lt;&gt;""))),"")</f>
        <v>0.16651650325432144</v>
      </c>
      <c r="AA99" cm="1">
        <f t="array" ref="AA99">IFERROR(AVERAGE(_xlfn._xlws.FILTER(S$2:S$1073,($C$2:$C$1073=$C99)*($E$2:$E$1073=$E99)*(ROW(S$2:S$1073)&lt;&gt;ROW(S99))*(S$2:S$1073&lt;&gt;""))),"")</f>
        <v>0.7906910113488671</v>
      </c>
      <c r="AB99" cm="1">
        <f t="array" ref="AB99">IFERROR(AVERAGE(_xlfn._xlws.FILTER(T$2:T$1073,($C$2:$C$1073=$C99)*($E$2:$E$1073=$E99)*(ROW(T$2:T$1073)&lt;&gt;ROW(T99))*(T$2:T$1073&lt;&gt;""))),"")</f>
        <v>0.10158022171938648</v>
      </c>
      <c r="AC99" cm="1">
        <f t="array" ref="AC99">IFERROR(AVERAGE(_xlfn._xlws.FILTER(U$2:U$1073,($C$2:$C$1073=$C99)*($E$2:$E$1073=$E99)*(ROW(U$2:U$1073)&lt;&gt;ROW(U99))*(U$2:U$1073&lt;&gt;""))),"")</f>
        <v>0.86803635660358403</v>
      </c>
      <c r="AD99" cm="1">
        <f t="array" ref="AD99">IFERROR(AVERAGE(_xlfn._xlws.FILTER(V$2:V$1073,($C$2:$C$1073=$C99)*($E$2:$E$1073=$E99)*(ROW(V$2:V$1073)&lt;&gt;ROW(V99))*(V$2:V$1073&lt;&gt;""))),"")</f>
        <v>0.42108525566543331</v>
      </c>
      <c r="AE99">
        <f>IF('Дивиденды по годам'!M99&lt;0,1,0)</f>
        <v>0</v>
      </c>
    </row>
    <row r="100" spans="1:31" x14ac:dyDescent="0.2">
      <c r="A100" s="7" t="s">
        <v>2188</v>
      </c>
      <c r="B100" t="str">
        <f t="shared" si="11"/>
        <v>TATN IV кв. 2023</v>
      </c>
      <c r="C100">
        <v>2023</v>
      </c>
      <c r="D100">
        <f>SUMIFS(Дивиденды!$C:$C,Дивиденды!$A:$A,A100,Дивиденды!$I:$I,C100)</f>
        <v>87.88</v>
      </c>
      <c r="E100">
        <v>1</v>
      </c>
      <c r="F100">
        <f t="shared" si="12"/>
        <v>87.88</v>
      </c>
      <c r="G100">
        <f t="shared" si="13"/>
        <v>180.70333333333335</v>
      </c>
      <c r="H100">
        <f t="shared" si="14"/>
        <v>1</v>
      </c>
      <c r="I100">
        <f t="shared" si="15"/>
        <v>0.66666666666666663</v>
      </c>
      <c r="J100">
        <f t="shared" si="16"/>
        <v>0.30618311533888221</v>
      </c>
      <c r="K100">
        <f t="shared" si="21"/>
        <v>-0.14451213571749824</v>
      </c>
      <c r="L100">
        <f t="shared" si="17"/>
        <v>1</v>
      </c>
      <c r="M100">
        <f t="shared" si="18"/>
        <v>0.33333333333333331</v>
      </c>
      <c r="N100">
        <f t="shared" si="19"/>
        <v>0</v>
      </c>
      <c r="O100">
        <f t="shared" si="20"/>
        <v>0.5</v>
      </c>
      <c r="P100">
        <f>IFERROR(LN('Дивиденды по годам'!I100),"")</f>
        <v>28.346503498422241</v>
      </c>
      <c r="Q100">
        <f>IFERROR('Дивиденды по годам'!G100/'Дивиденды по годам'!I100, "")</f>
        <v>0.55324463993999529</v>
      </c>
      <c r="R100">
        <f>IFERROR(IF(AND('Дивиденды по годам'!N100&lt;&gt;"",'Дивиденды по годам'!U100&lt;&gt;"",'Дивиденды по годам'!U100&lt;&gt;0),'Дивиденды по годам'!N100/'Дивиденды по годам'!U100-1,""),"")</f>
        <v>0.11346763858243047</v>
      </c>
      <c r="S100">
        <f>IFERROR(IF(AND('Дивиденды по годам'!L100&lt;&gt;"",'Дивиденды по годам'!I100&lt;&gt;"",'Дивиденды по годам'!J100&lt;&gt;"",'Дивиденды по годам'!K100&lt;&gt;"",('Дивиденды по годам'!I100-'Дивиденды по годам'!J100-'Дивиденды по годам'!K100)&lt;&gt;0),'Дивиденды по годам'!L100/('Дивиденды по годам'!I100-'Дивиденды по годам'!J100-'Дивиденды по годам'!K100),""),"")</f>
        <v>0.91419848475989207</v>
      </c>
      <c r="T100">
        <f>IFERROR(IF(AND('Дивиденды по годам'!Q100&lt;&gt;"",'Дивиденды по годам'!I100&lt;&gt;"",'Дивиденды по годам'!V100&lt;&gt;"",('Дивиденды по годам'!I100+'Дивиденды по годам'!V100)&lt;&gt;0),'Дивиденды по годам'!Q100/(('Дивиденды по годам'!I100+'Дивиденды по годам'!V100)/2),""),"")</f>
        <v>0.15386306406056421</v>
      </c>
      <c r="U100">
        <f>IFERROR(IF(AND('Дивиденды по годам'!J100&lt;&gt;"",'Дивиденды по годам'!K100&lt;&gt;"",'Дивиденды по годам'!M100&lt;&gt;"",'Дивиденды по годам'!M100&lt;&gt;0),('Дивиденды по годам'!J100+'Дивиденды по годам'!K100)/'Дивиденды по годам'!M100,""),"")</f>
        <v>0.70833966771636447</v>
      </c>
      <c r="V100">
        <f>IFERROR(IF(AND('Дивиденды по годам'!J100&lt;&gt;"",'Дивиденды по годам'!K100&lt;&gt;"",'Дивиденды по годам'!M100&lt;&gt;"",'Дивиденды по годам'!I100&lt;&gt;0),('Дивиденды по годам'!J100+'Дивиденды по годам'!K100)/'Дивиденды по годам'!I100,""),"")</f>
        <v>0.41463631682992097</v>
      </c>
      <c r="W100">
        <f>IFERROR('Дивиденды по годам'!I100,"")</f>
        <v>2045173000000</v>
      </c>
      <c r="X100" cm="1">
        <f t="array" ref="X100">IFERROR(AVERAGE(_xlfn._xlws.FILTER(P$2:P$1073,($C$2:$C$1073=$C100)*($E$2:$E$1073=$E100)*(ROW(P$2:P$1073)&lt;&gt;ROW(P100))*(P$2:P$1073&lt;&gt;""))),"")</f>
        <v>29.390803625965308</v>
      </c>
      <c r="Y100" cm="1">
        <f t="array" ref="Y100">IFERROR(AVERAGE(_xlfn._xlws.FILTER(Q$2:Q$1073,($C$2:$C$1073=$C100)*($E$2:$E$1073=$E100)*(ROW(Q$2:Q$1073)&lt;&gt;ROW(Q100))*(Q$2:Q$1073&lt;&gt;""))),"")</f>
        <v>0.48829382068527566</v>
      </c>
      <c r="Z100" cm="1">
        <f t="array" ref="Z100">IFERROR(AVERAGE(_xlfn._xlws.FILTER(R$2:R$1073,($C$2:$C$1073=$C100)*($E$2:$E$1073=$E100)*(ROW(R$2:R$1073)&lt;&gt;ROW(R100))*(R$2:R$1073&lt;&gt;""))),"")</f>
        <v>-0.164756864690247</v>
      </c>
      <c r="AA100" cm="1">
        <f t="array" ref="AA100">IFERROR(AVERAGE(_xlfn._xlws.FILTER(S$2:S$1073,($C$2:$C$1073=$C100)*($E$2:$E$1073=$E100)*(ROW(S$2:S$1073)&lt;&gt;ROW(S100))*(S$2:S$1073&lt;&gt;""))),"")</f>
        <v>0.79756264115331954</v>
      </c>
      <c r="AB100" cm="1">
        <f t="array" ref="AB100">IFERROR(AVERAGE(_xlfn._xlws.FILTER(T$2:T$1073,($C$2:$C$1073=$C100)*($E$2:$E$1073=$E100)*(ROW(T$2:T$1073)&lt;&gt;ROW(T100))*(T$2:T$1073&lt;&gt;""))),"")</f>
        <v>6.0042199712439036E-2</v>
      </c>
      <c r="AC100" cm="1">
        <f t="array" ref="AC100">IFERROR(AVERAGE(_xlfn._xlws.FILTER(U$2:U$1073,($C$2:$C$1073=$C100)*($E$2:$E$1073=$E100)*(ROW(U$2:U$1073)&lt;&gt;ROW(U100))*(U$2:U$1073&lt;&gt;""))),"")</f>
        <v>0.84433594406362211</v>
      </c>
      <c r="AD100" cm="1">
        <f t="array" ref="AD100">IFERROR(AVERAGE(_xlfn._xlws.FILTER(V$2:V$1073,($C$2:$C$1073=$C100)*($E$2:$E$1073=$E100)*(ROW(V$2:V$1073)&lt;&gt;ROW(V100))*(V$2:V$1073&lt;&gt;""))),"")</f>
        <v>0.37460454666343529</v>
      </c>
      <c r="AE100">
        <f>IF('Дивиденды по годам'!M100&lt;0,1,0)</f>
        <v>0</v>
      </c>
    </row>
    <row r="101" spans="1:31" x14ac:dyDescent="0.2">
      <c r="A101" s="7" t="s">
        <v>2188</v>
      </c>
      <c r="B101" t="str">
        <f t="shared" si="11"/>
        <v>TATN IV кв. 2022</v>
      </c>
      <c r="C101">
        <v>2022</v>
      </c>
      <c r="D101">
        <f>SUMIFS(Дивиденды!$C:$C,Дивиденды!$A:$A,A101,Дивиденды!$I:$I,C101)</f>
        <v>67.28</v>
      </c>
      <c r="E101">
        <v>1</v>
      </c>
      <c r="F101">
        <f t="shared" si="12"/>
        <v>67.28</v>
      </c>
      <c r="G101">
        <f t="shared" si="13"/>
        <v>237.79499999999996</v>
      </c>
      <c r="H101">
        <f t="shared" si="14"/>
        <v>1</v>
      </c>
      <c r="I101">
        <f t="shared" si="15"/>
        <v>0.83333333333333337</v>
      </c>
      <c r="J101">
        <f t="shared" si="16"/>
        <v>0.57786116322701686</v>
      </c>
      <c r="K101">
        <f t="shared" si="21"/>
        <v>0.66987651665001524</v>
      </c>
      <c r="L101">
        <f t="shared" si="17"/>
        <v>1</v>
      </c>
      <c r="M101">
        <f t="shared" si="18"/>
        <v>0.5</v>
      </c>
      <c r="N101">
        <f t="shared" si="19"/>
        <v>0</v>
      </c>
      <c r="O101">
        <f t="shared" si="20"/>
        <v>0.16666666666666666</v>
      </c>
      <c r="P101">
        <f>IFERROR(LN('Дивиденды по годам'!I101),"")</f>
        <v>28.147333857888899</v>
      </c>
      <c r="Q101">
        <f>IFERROR('Дивиденды по годам'!G101/'Дивиденды по годам'!I101, "")</f>
        <v>0.58190146177701052</v>
      </c>
      <c r="R101">
        <f>IFERROR(IF(AND('Дивиденды по годам'!N101&lt;&gt;"",'Дивиденды по годам'!U101&lt;&gt;"",'Дивиденды по годам'!U101&lt;&gt;0),'Дивиденды по годам'!N101/'Дивиденды по годам'!U101-1,""),"")</f>
        <v>0.12784064865890099</v>
      </c>
      <c r="S101">
        <f>IFERROR(IF(AND('Дивиденды по годам'!L101&lt;&gt;"",'Дивиденды по годам'!I101&lt;&gt;"",'Дивиденды по годам'!J101&lt;&gt;"",'Дивиденды по годам'!K101&lt;&gt;"",('Дивиденды по годам'!I101-'Дивиденды по годам'!J101-'Дивиденды по годам'!K101)&lt;&gt;0),'Дивиденды по годам'!L101/('Дивиденды по годам'!I101-'Дивиденды по годам'!J101-'Дивиденды по годам'!K101),""),"")</f>
        <v>0.91451173622202664</v>
      </c>
      <c r="T101">
        <f>IFERROR(IF(AND('Дивиденды по годам'!Q101&lt;&gt;"",'Дивиденды по годам'!I101&lt;&gt;"",'Дивиденды по годам'!V101&lt;&gt;"",('Дивиденды по годам'!I101+'Дивиденды по годам'!V101)&lt;&gt;0),'Дивиденды по годам'!Q101/(('Дивиденды по годам'!I101+'Дивиденды по годам'!V101)/2),""),"")</f>
        <v>0.18831097319615395</v>
      </c>
      <c r="U101">
        <f>IFERROR(IF(AND('Дивиденды по годам'!J101&lt;&gt;"",'Дивиденды по годам'!K101&lt;&gt;"",'Дивиденды по годам'!M101&lt;&gt;"",'Дивиденды по годам'!M101&lt;&gt;0),('Дивиденды по годам'!J101+'Дивиденды по годам'!K101)/'Дивиденды по годам'!M101,""),"")</f>
        <v>0.51735805527487133</v>
      </c>
      <c r="V101">
        <f>IFERROR(IF(AND('Дивиденды по годам'!J101&lt;&gt;"",'Дивиденды по годам'!K101&lt;&gt;"",'Дивиденды по годам'!M101&lt;&gt;"",'Дивиденды по годам'!I101&lt;&gt;0),('Дивиденды по годам'!J101+'Дивиденды по годам'!K101)/'Дивиденды по годам'!I101,""),"")</f>
        <v>0.34095977114719389</v>
      </c>
      <c r="W101">
        <f>IFERROR('Дивиденды по годам'!I101,"")</f>
        <v>1675837000000</v>
      </c>
      <c r="X101" cm="1">
        <f t="array" ref="X101">IFERROR(AVERAGE(_xlfn._xlws.FILTER(P$2:P$1073,($C$2:$C$1073=$C101)*($E$2:$E$1073=$E101)*(ROW(P$2:P$1073)&lt;&gt;ROW(P101))*(P$2:P$1073&lt;&gt;""))),"")</f>
        <v>28.920599456391397</v>
      </c>
      <c r="Y101" cm="1">
        <f t="array" ref="Y101">IFERROR(AVERAGE(_xlfn._xlws.FILTER(Q$2:Q$1073,($C$2:$C$1073=$C101)*($E$2:$E$1073=$E101)*(ROW(Q$2:Q$1073)&lt;&gt;ROW(Q101))*(Q$2:Q$1073&lt;&gt;""))),"")</f>
        <v>0.48775094913969613</v>
      </c>
      <c r="Z101" cm="1">
        <f t="array" ref="Z101">IFERROR(AVERAGE(_xlfn._xlws.FILTER(R$2:R$1073,($C$2:$C$1073=$C101)*($E$2:$E$1073=$E101)*(ROW(R$2:R$1073)&lt;&gt;ROW(R101))*(R$2:R$1073&lt;&gt;""))),"")</f>
        <v>0.10983286364831291</v>
      </c>
      <c r="AA101" cm="1">
        <f t="array" ref="AA101">IFERROR(AVERAGE(_xlfn._xlws.FILTER(S$2:S$1073,($C$2:$C$1073=$C101)*($E$2:$E$1073=$E101)*(ROW(S$2:S$1073)&lt;&gt;ROW(S101))*(S$2:S$1073&lt;&gt;""))),"")</f>
        <v>0.78347299386661085</v>
      </c>
      <c r="AB101" cm="1">
        <f t="array" ref="AB101">IFERROR(AVERAGE(_xlfn._xlws.FILTER(T$2:T$1073,($C$2:$C$1073=$C101)*($E$2:$E$1073=$E101)*(ROW(T$2:T$1073)&lt;&gt;ROW(T101))*(T$2:T$1073&lt;&gt;""))),"")</f>
        <v>6.0032201379345035E-2</v>
      </c>
      <c r="AC101" cm="1">
        <f t="array" ref="AC101">IFERROR(AVERAGE(_xlfn._xlws.FILTER(U$2:U$1073,($C$2:$C$1073=$C101)*($E$2:$E$1073=$E101)*(ROW(U$2:U$1073)&lt;&gt;ROW(U101))*(U$2:U$1073&lt;&gt;""))),"")</f>
        <v>0.90755762884372437</v>
      </c>
      <c r="AD101" cm="1">
        <f t="array" ref="AD101">IFERROR(AVERAGE(_xlfn._xlws.FILTER(V$2:V$1073,($C$2:$C$1073=$C101)*($E$2:$E$1073=$E101)*(ROW(V$2:V$1073)&lt;&gt;ROW(V101))*(V$2:V$1073&lt;&gt;""))),"")</f>
        <v>0.38169334255845649</v>
      </c>
      <c r="AE101">
        <f>IF('Дивиденды по годам'!M101&lt;0,1,0)</f>
        <v>0</v>
      </c>
    </row>
    <row r="102" spans="1:31" x14ac:dyDescent="0.2">
      <c r="A102" s="7" t="s">
        <v>2188</v>
      </c>
      <c r="B102" t="str">
        <f t="shared" si="11"/>
        <v>TATN IV кв. 2021</v>
      </c>
      <c r="C102">
        <v>2021</v>
      </c>
      <c r="D102">
        <f>SUMIFS(Дивиденды!$C:$C,Дивиденды!$A:$A,A102,Дивиденды!$I:$I,C102)</f>
        <v>42.64</v>
      </c>
      <c r="E102">
        <v>1</v>
      </c>
      <c r="F102">
        <f t="shared" si="12"/>
        <v>42.64</v>
      </c>
      <c r="G102">
        <f t="shared" si="13"/>
        <v>75.650000000000006</v>
      </c>
      <c r="H102">
        <f t="shared" si="14"/>
        <v>1</v>
      </c>
      <c r="I102">
        <f t="shared" si="15"/>
        <v>0.66666666666666663</v>
      </c>
      <c r="J102">
        <f t="shared" si="16"/>
        <v>0.91726618705035956</v>
      </c>
      <c r="K102">
        <f t="shared" si="21"/>
        <v>0.91124652918657778</v>
      </c>
      <c r="L102">
        <f t="shared" si="17"/>
        <v>1</v>
      </c>
      <c r="M102">
        <f t="shared" si="18"/>
        <v>0.66666666666666663</v>
      </c>
      <c r="N102">
        <f t="shared" si="19"/>
        <v>0</v>
      </c>
      <c r="O102">
        <f t="shared" si="20"/>
        <v>0.16666666666666666</v>
      </c>
      <c r="P102">
        <f>IFERROR(LN('Дивиденды по годам'!I102),"")</f>
        <v>28.038011060881878</v>
      </c>
      <c r="Q102">
        <f>IFERROR('Дивиденды по годам'!G102/'Дивиденды по годам'!I102, "")</f>
        <v>0.58562766551575629</v>
      </c>
      <c r="R102">
        <f>IFERROR(IF(AND('Дивиденды по годам'!N102&lt;&gt;"",'Дивиденды по годам'!U102&lt;&gt;"",'Дивиденды по годам'!U102&lt;&gt;0),'Дивиденды по годам'!N102/'Дивиденды по годам'!U102-1,""),"")</f>
        <v>0.75582126250733683</v>
      </c>
      <c r="S102">
        <f>IFERROR(IF(AND('Дивиденды по годам'!L102&lt;&gt;"",'Дивиденды по годам'!I102&lt;&gt;"",'Дивиденды по годам'!J102&lt;&gt;"",'Дивиденды по годам'!K102&lt;&gt;"",('Дивиденды по годам'!I102-'Дивиденды по годам'!J102-'Дивиденды по годам'!K102)&lt;&gt;0),'Дивиденды по годам'!L102/('Дивиденды по годам'!I102-'Дивиденды по годам'!J102-'Дивиденды по годам'!K102),""),"")</f>
        <v>0.90123015767854775</v>
      </c>
      <c r="T102">
        <f>IFERROR(IF(AND('Дивиденды по годам'!Q102&lt;&gt;"",'Дивиденды по годам'!I102&lt;&gt;"",'Дивиденды по годам'!V102&lt;&gt;"",('Дивиденды по годам'!I102+'Дивиденды по годам'!V102)&lt;&gt;0),'Дивиденды по годам'!Q102/(('Дивиденды по годам'!I102+'Дивиденды по годам'!V102)/2),""),"")</f>
        <v>0.14382170349238718</v>
      </c>
      <c r="U102">
        <f>IFERROR(IF(AND('Дивиденды по годам'!J102&lt;&gt;"",'Дивиденды по годам'!K102&lt;&gt;"",'Дивиденды по годам'!M102&lt;&gt;"",'Дивиденды по годам'!M102&lt;&gt;0),('Дивиденды по годам'!J102+'Дивиденды по годам'!K102)/'Дивиденды по годам'!M102,""),"")</f>
        <v>0.59246217039883398</v>
      </c>
      <c r="V102">
        <f>IFERROR(IF(AND('Дивиденды по годам'!J102&lt;&gt;"",'Дивиденды по годам'!K102&lt;&gt;"",'Дивиденды по годам'!M102&lt;&gt;"",'Дивиденды по годам'!I102&lt;&gt;0),('Дивиденды по годам'!J102+'Дивиденды по годам'!K102)/'Дивиденды по годам'!I102,""),"")</f>
        <v>0.37204159785500657</v>
      </c>
      <c r="W102">
        <f>IFERROR('Дивиденды по годам'!I102,"")</f>
        <v>1502289000000</v>
      </c>
      <c r="X102" cm="1">
        <f t="array" ref="X102">IFERROR(AVERAGE(_xlfn._xlws.FILTER(P$2:P$1073,($C$2:$C$1073=$C102)*($E$2:$E$1073=$E102)*(ROW(P$2:P$1073)&lt;&gt;ROW(P102))*(P$2:P$1073&lt;&gt;""))),"")</f>
        <v>29.166133461845725</v>
      </c>
      <c r="Y102" cm="1">
        <f t="array" ref="Y102">IFERROR(AVERAGE(_xlfn._xlws.FILTER(Q$2:Q$1073,($C$2:$C$1073=$C102)*($E$2:$E$1073=$E102)*(ROW(Q$2:Q$1073)&lt;&gt;ROW(Q102))*(Q$2:Q$1073&lt;&gt;""))),"")</f>
        <v>0.55208976020459843</v>
      </c>
      <c r="Z102" cm="1">
        <f t="array" ref="Z102">IFERROR(AVERAGE(_xlfn._xlws.FILTER(R$2:R$1073,($C$2:$C$1073=$C102)*($E$2:$E$1073=$E102)*(ROW(R$2:R$1073)&lt;&gt;ROW(R102))*(R$2:R$1073&lt;&gt;""))),"")</f>
        <v>0.69246990532158637</v>
      </c>
      <c r="AA102" cm="1">
        <f t="array" ref="AA102">IFERROR(AVERAGE(_xlfn._xlws.FILTER(S$2:S$1073,($C$2:$C$1073=$C102)*($E$2:$E$1073=$E102)*(ROW(S$2:S$1073)&lt;&gt;ROW(S102))*(S$2:S$1073&lt;&gt;""))),"")</f>
        <v>0.78654007686425076</v>
      </c>
      <c r="AB102" cm="1">
        <f t="array" ref="AB102">IFERROR(AVERAGE(_xlfn._xlws.FILTER(T$2:T$1073,($C$2:$C$1073=$C102)*($E$2:$E$1073=$E102)*(ROW(T$2:T$1073)&lt;&gt;ROW(T102))*(T$2:T$1073&lt;&gt;""))),"")</f>
        <v>0.11730632297706116</v>
      </c>
      <c r="AC102" cm="1">
        <f t="array" ref="AC102">IFERROR(AVERAGE(_xlfn._xlws.FILTER(U$2:U$1073,($C$2:$C$1073=$C102)*($E$2:$E$1073=$E102)*(ROW(U$2:U$1073)&lt;&gt;ROW(U102))*(U$2:U$1073&lt;&gt;""))),"")</f>
        <v>1.130382181937327</v>
      </c>
      <c r="AD102" cm="1">
        <f t="array" ref="AD102">IFERROR(AVERAGE(_xlfn._xlws.FILTER(V$2:V$1073,($C$2:$C$1073=$C102)*($E$2:$E$1073=$E102)*(ROW(V$2:V$1073)&lt;&gt;ROW(V102))*(V$2:V$1073&lt;&gt;""))),"")</f>
        <v>0.455162194311999</v>
      </c>
      <c r="AE102">
        <f>IF('Дивиденды по годам'!M102&lt;0,1,0)</f>
        <v>0</v>
      </c>
    </row>
    <row r="103" spans="1:31" x14ac:dyDescent="0.2">
      <c r="A103" s="7" t="s">
        <v>2188</v>
      </c>
      <c r="B103" t="str">
        <f t="shared" si="11"/>
        <v>TATN IV кв. 2020</v>
      </c>
      <c r="C103">
        <v>2020</v>
      </c>
      <c r="D103">
        <f>SUMIFS(Дивиденды!$C:$C,Дивиденды!$A:$A,A103,Дивиденды!$I:$I,C103)</f>
        <v>22.240000000000002</v>
      </c>
      <c r="E103">
        <v>1</v>
      </c>
      <c r="F103">
        <f t="shared" si="12"/>
        <v>22.240000000000002</v>
      </c>
      <c r="G103">
        <f t="shared" si="13"/>
        <v>52.458333333333336</v>
      </c>
      <c r="H103">
        <f t="shared" si="14"/>
        <v>1</v>
      </c>
      <c r="I103">
        <f t="shared" si="15"/>
        <v>0.83333333333333337</v>
      </c>
      <c r="J103">
        <f t="shared" si="16"/>
        <v>-0.65503334884442377</v>
      </c>
      <c r="K103">
        <f t="shared" si="21"/>
        <v>-0.21901614750860834</v>
      </c>
      <c r="L103">
        <f t="shared" si="17"/>
        <v>0</v>
      </c>
      <c r="M103">
        <f t="shared" si="18"/>
        <v>0.33333333333333331</v>
      </c>
      <c r="N103">
        <f t="shared" si="19"/>
        <v>1</v>
      </c>
      <c r="O103">
        <f t="shared" si="20"/>
        <v>0.5</v>
      </c>
      <c r="P103">
        <f>IFERROR(LN('Дивиденды по годам'!I103),"")</f>
        <v>27.864860066997796</v>
      </c>
      <c r="Q103">
        <f>IFERROR('Дивиденды по годам'!G103/'Дивиденды по годам'!I103, "")</f>
        <v>0.65422049783092362</v>
      </c>
      <c r="R103">
        <f>IFERROR(IF(AND('Дивиденды по годам'!N103&lt;&gt;"",'Дивиденды по годам'!U103&lt;&gt;"",'Дивиденды по годам'!U103&lt;&gt;0),'Дивиденды по годам'!N103/'Дивиденды по годам'!U103-1,""),"")</f>
        <v>-0.22698692260827036</v>
      </c>
      <c r="S103">
        <f>IFERROR(IF(AND('Дивиденды по годам'!L103&lt;&gt;"",'Дивиденды по годам'!I103&lt;&gt;"",'Дивиденды по годам'!J103&lt;&gt;"",'Дивиденды по годам'!K103&lt;&gt;"",('Дивиденды по годам'!I103-'Дивиденды по годам'!J103-'Дивиденды по годам'!K103)&lt;&gt;0),'Дивиденды по годам'!L103/('Дивиденды по годам'!I103-'Дивиденды по годам'!J103-'Дивиденды по годам'!K103),""),"")</f>
        <v>0.88942988732428241</v>
      </c>
      <c r="T103">
        <f>IFERROR(IF(AND('Дивиденды по годам'!Q103&lt;&gt;"",'Дивиденды по годам'!I103&lt;&gt;"",'Дивиденды по годам'!V103&lt;&gt;"",('Дивиденды по годам'!I103+'Дивиденды по годам'!V103)&lt;&gt;0),'Дивиденды по годам'!Q103/(('Дивиденды по годам'!I103+'Дивиденды по годам'!V103)/2),""),"")</f>
        <v>8.1990184166773242E-2</v>
      </c>
      <c r="U103">
        <f>IFERROR(IF(AND('Дивиденды по годам'!J103&lt;&gt;"",'Дивиденды по годам'!K103&lt;&gt;"",'Дивиденды по годам'!M103&lt;&gt;"",'Дивиденды по годам'!M103&lt;&gt;0),('Дивиденды по годам'!J103+'Дивиденды по годам'!K103)/'Дивиденды по годам'!M103,""),"")</f>
        <v>0.51930759148137906</v>
      </c>
      <c r="V103">
        <f>IFERROR(IF(AND('Дивиденды по годам'!J103&lt;&gt;"",'Дивиденды по годам'!K103&lt;&gt;"",'Дивиденды по годам'!M103&lt;&gt;"",'Дивиденды по годам'!I103&lt;&gt;0),('Дивиденды по годам'!J103+'Дивиденды по годам'!K103)/'Дивиденды по годам'!I103,""),"")</f>
        <v>0.34180543452365403</v>
      </c>
      <c r="W103">
        <f>IFERROR('Дивиденды по годам'!I103,"")</f>
        <v>1263441000000</v>
      </c>
      <c r="X103" cm="1">
        <f t="array" ref="X103">IFERROR(AVERAGE(_xlfn._xlws.FILTER(P$2:P$1073,($C$2:$C$1073=$C103)*($E$2:$E$1073=$E103)*(ROW(P$2:P$1073)&lt;&gt;ROW(P103))*(P$2:P$1073&lt;&gt;""))),"")</f>
        <v>29.110250923860054</v>
      </c>
      <c r="Y103" cm="1">
        <f t="array" ref="Y103">IFERROR(AVERAGE(_xlfn._xlws.FILTER(Q$2:Q$1073,($C$2:$C$1073=$C103)*($E$2:$E$1073=$E103)*(ROW(Q$2:Q$1073)&lt;&gt;ROW(Q103))*(Q$2:Q$1073&lt;&gt;""))),"")</f>
        <v>0.54301440668170275</v>
      </c>
      <c r="Z103" cm="1">
        <f t="array" ref="Z103">IFERROR(AVERAGE(_xlfn._xlws.FILTER(R$2:R$1073,($C$2:$C$1073=$C103)*($E$2:$E$1073=$E103)*(ROW(R$2:R$1073)&lt;&gt;ROW(R103))*(R$2:R$1073&lt;&gt;""))),"")</f>
        <v>-0.26177865285384422</v>
      </c>
      <c r="AA103" cm="1">
        <f t="array" ref="AA103">IFERROR(AVERAGE(_xlfn._xlws.FILTER(S$2:S$1073,($C$2:$C$1073=$C103)*($E$2:$E$1073=$E103)*(ROW(S$2:S$1073)&lt;&gt;ROW(S103))*(S$2:S$1073&lt;&gt;""))),"")</f>
        <v>0.75441409625092637</v>
      </c>
      <c r="AB103" cm="1">
        <f t="array" ref="AB103">IFERROR(AVERAGE(_xlfn._xlws.FILTER(T$2:T$1073,($C$2:$C$1073=$C103)*($E$2:$E$1073=$E103)*(ROW(T$2:T$1073)&lt;&gt;ROW(T103))*(T$2:T$1073&lt;&gt;""))),"")</f>
        <v>1.9668495857973766E-2</v>
      </c>
      <c r="AC103" cm="1">
        <f t="array" ref="AC103">IFERROR(AVERAGE(_xlfn._xlws.FILTER(U$2:U$1073,($C$2:$C$1073=$C103)*($E$2:$E$1073=$E103)*(ROW(U$2:U$1073)&lt;&gt;ROW(U103))*(U$2:U$1073&lt;&gt;""))),"")</f>
        <v>1.3064460127962516</v>
      </c>
      <c r="AD103" cm="1">
        <f t="array" ref="AD103">IFERROR(AVERAGE(_xlfn._xlws.FILTER(V$2:V$1073,($C$2:$C$1073=$C103)*($E$2:$E$1073=$E103)*(ROW(V$2:V$1073)&lt;&gt;ROW(V103))*(V$2:V$1073&lt;&gt;""))),"")</f>
        <v>0.41119983173233937</v>
      </c>
      <c r="AE103">
        <f>IF('Дивиденды по годам'!M103&lt;0,1,0)</f>
        <v>0</v>
      </c>
    </row>
    <row r="104" spans="1:31" x14ac:dyDescent="0.2">
      <c r="A104" s="7" t="s">
        <v>2188</v>
      </c>
      <c r="B104" t="str">
        <f t="shared" si="11"/>
        <v>TATN IV кв. 2019</v>
      </c>
      <c r="C104">
        <v>2019</v>
      </c>
      <c r="D104">
        <f>SUMIFS(Дивиденды!$C:$C,Дивиденды!$A:$A,A104,Дивиденды!$I:$I,C104)</f>
        <v>64.47</v>
      </c>
      <c r="E104">
        <v>1</v>
      </c>
      <c r="F104">
        <f t="shared" si="12"/>
        <v>64.47</v>
      </c>
      <c r="G104">
        <f t="shared" si="13"/>
        <v>103.93833333333333</v>
      </c>
      <c r="H104">
        <f t="shared" si="14"/>
        <v>1</v>
      </c>
      <c r="I104">
        <f t="shared" si="15"/>
        <v>0.83333333333333337</v>
      </c>
      <c r="J104">
        <f t="shared" si="16"/>
        <v>-0.24072547403132727</v>
      </c>
      <c r="K104">
        <f t="shared" si="21"/>
        <v>0.26926361878237276</v>
      </c>
      <c r="L104">
        <f t="shared" si="17"/>
        <v>0</v>
      </c>
      <c r="M104">
        <f t="shared" si="18"/>
        <v>0.5</v>
      </c>
      <c r="N104">
        <f t="shared" si="19"/>
        <v>1</v>
      </c>
      <c r="O104">
        <f t="shared" si="20"/>
        <v>0.16666666666666666</v>
      </c>
      <c r="P104">
        <f>IFERROR(LN('Дивиденды по годам'!I104),"")</f>
        <v>27.845034312117587</v>
      </c>
      <c r="Q104">
        <f>IFERROR('Дивиденды по годам'!G104/'Дивиденды по годам'!I104, "")</f>
        <v>0.62062877077179068</v>
      </c>
      <c r="R104">
        <f>IFERROR(IF(AND('Дивиденды по годам'!N104&lt;&gt;"",'Дивиденды по годам'!U104&lt;&gt;"",'Дивиденды по годам'!U104&lt;&gt;0),'Дивиденды по годам'!N104/'Дивиденды по годам'!U104-1,""),"")</f>
        <v>2.390026072612339E-2</v>
      </c>
      <c r="S104">
        <f>IFERROR(IF(AND('Дивиденды по годам'!L104&lt;&gt;"",'Дивиденды по годам'!I104&lt;&gt;"",'Дивиденды по годам'!J104&lt;&gt;"",'Дивиденды по годам'!K104&lt;&gt;"",('Дивиденды по годам'!I104-'Дивиденды по годам'!J104-'Дивиденды по годам'!K104)&lt;&gt;0),'Дивиденды по годам'!L104/('Дивиденды по годам'!I104-'Дивиденды по годам'!J104-'Дивиденды по годам'!K104),""),"")</f>
        <v>0.87566511108451994</v>
      </c>
      <c r="T104">
        <f>IFERROR(IF(AND('Дивиденды по годам'!Q104&lt;&gt;"",'Дивиденды по годам'!I104&lt;&gt;"",'Дивиденды по годам'!V104&lt;&gt;"",('Дивиденды по годам'!I104+'Дивиденды по годам'!V104)&lt;&gt;0),'Дивиденды по годам'!Q104/(('Дивиденды по годам'!I104+'Дивиденды по годам'!V104)/2),""),"")</f>
        <v>0.15805226959659038</v>
      </c>
      <c r="U104">
        <f>IFERROR(IF(AND('Дивиденды по годам'!J104&lt;&gt;"",'Дивиденды по годам'!K104&lt;&gt;"",'Дивиденды по годам'!M104&lt;&gt;"",'Дивиденды по годам'!M104&lt;&gt;0),('Дивиденды по годам'!J104+'Дивиденды по годам'!K104)/'Дивиденды по годам'!M104,""),"")</f>
        <v>0.64684163641923609</v>
      </c>
      <c r="V104">
        <f>IFERROR(IF(AND('Дивиденды по годам'!J104&lt;&gt;"",'Дивиденды по годам'!K104&lt;&gt;"",'Дивиденды по годам'!M104&lt;&gt;"",'Дивиденды по годам'!I104&lt;&gt;0),('Дивиденды по годам'!J104+'Дивиденды по годам'!K104)/'Дивиденды по годам'!I104,""),"")</f>
        <v>0.39277707225430492</v>
      </c>
      <c r="W104">
        <f>IFERROR('Дивиденды по годам'!I104,"")</f>
        <v>1238639000000</v>
      </c>
      <c r="X104" cm="1">
        <f t="array" ref="X104">IFERROR(AVERAGE(_xlfn._xlws.FILTER(P$2:P$1073,($C$2:$C$1073=$C104)*($E$2:$E$1073=$E104)*(ROW(P$2:P$1073)&lt;&gt;ROW(P104))*(P$2:P$1073&lt;&gt;""))),"")</f>
        <v>29.05082824789606</v>
      </c>
      <c r="Y104" cm="1">
        <f t="array" ref="Y104">IFERROR(AVERAGE(_xlfn._xlws.FILTER(Q$2:Q$1073,($C$2:$C$1073=$C104)*($E$2:$E$1073=$E104)*(ROW(Q$2:Q$1073)&lt;&gt;ROW(Q104))*(Q$2:Q$1073&lt;&gt;""))),"")</f>
        <v>0.52434535303282337</v>
      </c>
      <c r="Z104" cm="1">
        <f t="array" ref="Z104">IFERROR(AVERAGE(_xlfn._xlws.FILTER(R$2:R$1073,($C$2:$C$1073=$C104)*($E$2:$E$1073=$E104)*(ROW(R$2:R$1073)&lt;&gt;ROW(R104))*(R$2:R$1073&lt;&gt;""))),"")</f>
        <v>9.9430715901068414E-3</v>
      </c>
      <c r="AA104" cm="1">
        <f t="array" ref="AA104">IFERROR(AVERAGE(_xlfn._xlws.FILTER(S$2:S$1073,($C$2:$C$1073=$C104)*($E$2:$E$1073=$E104)*(ROW(S$2:S$1073)&lt;&gt;ROW(S104))*(S$2:S$1073&lt;&gt;""))),"")</f>
        <v>0.831622614966531</v>
      </c>
      <c r="AB104" cm="1">
        <f t="array" ref="AB104">IFERROR(AVERAGE(_xlfn._xlws.FILTER(T$2:T$1073,($C$2:$C$1073=$C104)*($E$2:$E$1073=$E104)*(ROW(T$2:T$1073)&lt;&gt;ROW(T104))*(T$2:T$1073&lt;&gt;""))),"")</f>
        <v>0.14677280427049796</v>
      </c>
      <c r="AC104" cm="1">
        <f t="array" ref="AC104">IFERROR(AVERAGE(_xlfn._xlws.FILTER(U$2:U$1073,($C$2:$C$1073=$C104)*($E$2:$E$1073=$E104)*(ROW(U$2:U$1073)&lt;&gt;ROW(U104))*(U$2:U$1073&lt;&gt;""))),"")</f>
        <v>0.92652429937004843</v>
      </c>
      <c r="AD104" cm="1">
        <f t="array" ref="AD104">IFERROR(AVERAGE(_xlfn._xlws.FILTER(V$2:V$1073,($C$2:$C$1073=$C104)*($E$2:$E$1073=$E104)*(ROW(V$2:V$1073)&lt;&gt;ROW(V104))*(V$2:V$1073&lt;&gt;""))),"")</f>
        <v>0.38667828270784727</v>
      </c>
      <c r="AE104">
        <f>IF('Дивиденды по годам'!M104&lt;0,1,0)</f>
        <v>0</v>
      </c>
    </row>
    <row r="105" spans="1:31" x14ac:dyDescent="0.2">
      <c r="A105" s="7" t="s">
        <v>2188</v>
      </c>
      <c r="B105" t="str">
        <f t="shared" si="11"/>
        <v>TATN IV кв. 2018</v>
      </c>
      <c r="C105">
        <v>2018</v>
      </c>
      <c r="D105">
        <f>SUMIFS(Дивиденды!$C:$C,Дивиденды!$A:$A,A105,Дивиденды!$I:$I,C105)</f>
        <v>84.91</v>
      </c>
      <c r="E105">
        <v>1</v>
      </c>
      <c r="F105">
        <f t="shared" si="12"/>
        <v>84.91</v>
      </c>
      <c r="G105">
        <f t="shared" si="13"/>
        <v>53.205000000000005</v>
      </c>
      <c r="H105">
        <f t="shared" si="14"/>
        <v>1</v>
      </c>
      <c r="I105">
        <f t="shared" si="15"/>
        <v>0.83333333333333337</v>
      </c>
      <c r="J105">
        <f t="shared" si="16"/>
        <v>1.125938908362544</v>
      </c>
      <c r="K105">
        <f t="shared" si="21"/>
        <v>0.57403052544470146</v>
      </c>
      <c r="L105">
        <f t="shared" si="17"/>
        <v>1</v>
      </c>
      <c r="M105">
        <f t="shared" si="18"/>
        <v>0.66666666666666663</v>
      </c>
      <c r="N105">
        <f t="shared" si="19"/>
        <v>0</v>
      </c>
      <c r="O105">
        <f t="shared" si="20"/>
        <v>0</v>
      </c>
      <c r="P105">
        <f>IFERROR(LN('Дивиденды по годам'!I105),"")</f>
        <v>27.814415430445457</v>
      </c>
      <c r="Q105">
        <f>IFERROR('Дивиденды по годам'!G105/'Дивиденды по годам'!I105, "")</f>
        <v>0.58430784291527094</v>
      </c>
      <c r="R105">
        <f>IFERROR(IF(AND('Дивиденды по годам'!N105&lt;&gt;"",'Дивиденды по годам'!U105&lt;&gt;"",'Дивиденды по годам'!U105&lt;&gt;0),'Дивиденды по годам'!N105/'Дивиденды по годам'!U105-1,""),"")</f>
        <v>0.33674222905371587</v>
      </c>
      <c r="S105">
        <f>IFERROR(IF(AND('Дивиденды по годам'!L105&lt;&gt;"",'Дивиденды по годам'!I105&lt;&gt;"",'Дивиденды по годам'!J105&lt;&gt;"",'Дивиденды по годам'!K105&lt;&gt;"",('Дивиденды по годам'!I105-'Дивиденды по годам'!J105-'Дивиденды по годам'!K105)&lt;&gt;0),'Дивиденды по годам'!L105/('Дивиденды по годам'!I105-'Дивиденды по годам'!J105-'Дивиденды по годам'!K105),""),"")</f>
        <v>0.87992368505408858</v>
      </c>
      <c r="T105">
        <f>IFERROR(IF(AND('Дивиденды по годам'!Q105&lt;&gt;"",'Дивиденды по годам'!I105&lt;&gt;"",'Дивиденды по годам'!V105&lt;&gt;"",('Дивиденды по годам'!I105+'Дивиденды по годам'!V105)&lt;&gt;0),'Дивиденды по годам'!Q105/(('Дивиденды по годам'!I105+'Дивиденды по годам'!V105)/2),""),"")</f>
        <v>0.18325824193435214</v>
      </c>
      <c r="U105">
        <f>IFERROR(IF(AND('Дивиденды по годам'!J105&lt;&gt;"",'Дивиденды по годам'!K105&lt;&gt;"",'Дивиденды по годам'!M105&lt;&gt;"",'Дивиденды по годам'!M105&lt;&gt;0),('Дивиденды по годам'!J105+'Дивиденды по годам'!K105)/'Дивиденды по годам'!M105,""),"")</f>
        <v>0.54649508677477954</v>
      </c>
      <c r="V105">
        <f>IFERROR(IF(AND('Дивиденды по годам'!J105&lt;&gt;"",'Дивиденды по годам'!K105&lt;&gt;"",'Дивиденды по годам'!M105&lt;&gt;"",'Дивиденды по годам'!I105&lt;&gt;0),('Дивиденды по годам'!J105+'Дивиденды по годам'!K105)/'Дивиденды по годам'!I105,""),"")</f>
        <v>0.35337654251103817</v>
      </c>
      <c r="W105">
        <f>IFERROR('Дивиденды по годам'!I105,"")</f>
        <v>1201288000000</v>
      </c>
      <c r="X105" cm="1">
        <f t="array" ref="X105">IFERROR(AVERAGE(_xlfn._xlws.FILTER(P$2:P$1073,($C$2:$C$1073=$C105)*($E$2:$E$1073=$E105)*(ROW(P$2:P$1073)&lt;&gt;ROW(P105))*(P$2:P$1073&lt;&gt;""))),"")</f>
        <v>28.933841882514837</v>
      </c>
      <c r="Y105" cm="1">
        <f t="array" ref="Y105">IFERROR(AVERAGE(_xlfn._xlws.FILTER(Q$2:Q$1073,($C$2:$C$1073=$C105)*($E$2:$E$1073=$E105)*(ROW(Q$2:Q$1073)&lt;&gt;ROW(Q105))*(Q$2:Q$1073&lt;&gt;""))),"")</f>
        <v>0.52178329811044732</v>
      </c>
      <c r="Z105" cm="1">
        <f t="array" ref="Z105">IFERROR(AVERAGE(_xlfn._xlws.FILTER(R$2:R$1073,($C$2:$C$1073=$C105)*($E$2:$E$1073=$E105)*(ROW(R$2:R$1073)&lt;&gt;ROW(R105))*(R$2:R$1073&lt;&gt;""))),"")</f>
        <v>0.35106973145402659</v>
      </c>
      <c r="AA105" cm="1">
        <f t="array" ref="AA105">IFERROR(AVERAGE(_xlfn._xlws.FILTER(S$2:S$1073,($C$2:$C$1073=$C105)*($E$2:$E$1073=$E105)*(ROW(S$2:S$1073)&lt;&gt;ROW(S105))*(S$2:S$1073&lt;&gt;""))),"")</f>
        <v>0.76792883272014489</v>
      </c>
      <c r="AB105" cm="1">
        <f t="array" ref="AB105">IFERROR(AVERAGE(_xlfn._xlws.FILTER(T$2:T$1073,($C$2:$C$1073=$C105)*($E$2:$E$1073=$E105)*(ROW(T$2:T$1073)&lt;&gt;ROW(T105))*(T$2:T$1073&lt;&gt;""))),"")</f>
        <v>0.10797515119041561</v>
      </c>
      <c r="AC105" cm="1">
        <f t="array" ref="AC105">IFERROR(AVERAGE(_xlfn._xlws.FILTER(U$2:U$1073,($C$2:$C$1073=$C105)*($E$2:$E$1073=$E105)*(ROW(U$2:U$1073)&lt;&gt;ROW(U105))*(U$2:U$1073&lt;&gt;""))),"")</f>
        <v>0.91861506772543333</v>
      </c>
      <c r="AD105" cm="1">
        <f t="array" ref="AD105">IFERROR(AVERAGE(_xlfn._xlws.FILTER(V$2:V$1073,($C$2:$C$1073=$C105)*($E$2:$E$1073=$E105)*(ROW(V$2:V$1073)&lt;&gt;ROW(V105))*(V$2:V$1073&lt;&gt;""))),"")</f>
        <v>0.39556348978859335</v>
      </c>
      <c r="AE105">
        <f>IF('Дивиденды по годам'!M105&lt;0,1,0)</f>
        <v>0</v>
      </c>
    </row>
    <row r="106" spans="1:31" x14ac:dyDescent="0.2">
      <c r="A106" s="7" t="s">
        <v>2188</v>
      </c>
      <c r="B106" t="str">
        <f t="shared" si="11"/>
        <v>TATN IV кв. 2017</v>
      </c>
      <c r="C106">
        <v>2017</v>
      </c>
      <c r="D106">
        <f>SUMIFS(Дивиденды!$C:$C,Дивиденды!$A:$A,A106,Дивиденды!$I:$I,C106)</f>
        <v>39.94</v>
      </c>
      <c r="E106">
        <v>1</v>
      </c>
      <c r="F106">
        <f t="shared" si="12"/>
        <v>39.94</v>
      </c>
      <c r="G106">
        <f t="shared" si="13"/>
        <v>41.519999999999996</v>
      </c>
      <c r="H106">
        <f t="shared" si="14"/>
        <v>1</v>
      </c>
      <c r="I106">
        <f t="shared" si="15"/>
        <v>0.83333333333333337</v>
      </c>
      <c r="J106">
        <f t="shared" si="16"/>
        <v>0.75098640946953088</v>
      </c>
      <c r="K106">
        <f t="shared" si="21"/>
        <v>0.16899089424112881</v>
      </c>
      <c r="L106">
        <f t="shared" si="17"/>
        <v>1</v>
      </c>
      <c r="M106">
        <f t="shared" si="18"/>
        <v>0.66666666666666663</v>
      </c>
      <c r="N106">
        <f t="shared" si="19"/>
        <v>0</v>
      </c>
      <c r="O106">
        <f t="shared" si="20"/>
        <v>0</v>
      </c>
      <c r="P106">
        <f>IFERROR(LN('Дивиденды по годам'!I106),"")</f>
        <v>27.733084803014385</v>
      </c>
      <c r="Q106">
        <f>IFERROR('Дивиденды по годам'!G106/'Дивиденды по годам'!I106, "")</f>
        <v>0.58825016659834173</v>
      </c>
      <c r="R106">
        <f>IFERROR(IF(AND('Дивиденды по годам'!N106&lt;&gt;"",'Дивиденды по годам'!U106&lt;&gt;"",'Дивиденды по годам'!U106&lt;&gt;0),'Дивиденды по годам'!N106/'Дивиденды по годам'!U106-1,""),"")</f>
        <v>0.17415496951529574</v>
      </c>
      <c r="S106">
        <f>IFERROR(IF(AND('Дивиденды по годам'!L106&lt;&gt;"",'Дивиденды по годам'!I106&lt;&gt;"",'Дивиденды по годам'!J106&lt;&gt;"",'Дивиденды по годам'!K106&lt;&gt;"",('Дивиденды по годам'!I106-'Дивиденды по годам'!J106-'Дивиденды по годам'!K106)&lt;&gt;0),'Дивиденды по годам'!L106/('Дивиденды по годам'!I106-'Дивиденды по годам'!J106-'Дивиденды по годам'!K106),""),"")</f>
        <v>0.86855268119138085</v>
      </c>
      <c r="T106">
        <f>IFERROR(IF(AND('Дивиденды по годам'!Q106&lt;&gt;"",'Дивиденды по годам'!I106&lt;&gt;"",'Дивиденды по годам'!V106&lt;&gt;"",('Дивиденды по годам'!I106+'Дивиденды по годам'!V106)&lt;&gt;0),'Дивиденды по годам'!Q106/(('Дивиденды по годам'!I106+'Дивиденды по годам'!V106)/2),""),"")</f>
        <v>0.11252418767776041</v>
      </c>
      <c r="U106">
        <f>IFERROR(IF(AND('Дивиденды по годам'!J106&lt;&gt;"",'Дивиденды по годам'!K106&lt;&gt;"",'Дивиденды по годам'!M106&lt;&gt;"",'Дивиденды по годам'!M106&lt;&gt;0),('Дивиденды по годам'!J106+'Дивиденды по годам'!K106)/'Дивиденды по годам'!M106,""),"")</f>
        <v>0.54085058485187043</v>
      </c>
      <c r="V106">
        <f>IFERROR(IF(AND('Дивиденды по годам'!J106&lt;&gt;"",'Дивиденды по годам'!K106&lt;&gt;"",'Дивиденды по годам'!M106&lt;&gt;"",'Дивиденды по годам'!I106&lt;&gt;0),('Дивиденды по годам'!J106+'Дивиденды по годам'!K106)/'Дивиденды по годам'!I106,""),"")</f>
        <v>0.35100780709627666</v>
      </c>
      <c r="W106">
        <f>IFERROR('Дивиденды по годам'!I106,"")</f>
        <v>1107454000000</v>
      </c>
      <c r="X106" cm="1">
        <f t="array" ref="X106">IFERROR(AVERAGE(_xlfn._xlws.FILTER(P$2:P$1073,($C$2:$C$1073=$C106)*($E$2:$E$1073=$E106)*(ROW(P$2:P$1073)&lt;&gt;ROW(P106))*(P$2:P$1073&lt;&gt;""))),"")</f>
        <v>28.807208531812108</v>
      </c>
      <c r="Y106" cm="1">
        <f t="array" ref="Y106">IFERROR(AVERAGE(_xlfn._xlws.FILTER(Q$2:Q$1073,($C$2:$C$1073=$C106)*($E$2:$E$1073=$E106)*(ROW(Q$2:Q$1073)&lt;&gt;ROW(Q106))*(Q$2:Q$1073&lt;&gt;""))),"")</f>
        <v>0.54085158010863843</v>
      </c>
      <c r="Z106" cm="1">
        <f t="array" ref="Z106">IFERROR(AVERAGE(_xlfn._xlws.FILTER(R$2:R$1073,($C$2:$C$1073=$C106)*($E$2:$E$1073=$E106)*(ROW(R$2:R$1073)&lt;&gt;ROW(R106))*(R$2:R$1073&lt;&gt;""))),"")</f>
        <v>0.14652094926480563</v>
      </c>
      <c r="AA106" cm="1">
        <f t="array" ref="AA106">IFERROR(AVERAGE(_xlfn._xlws.FILTER(S$2:S$1073,($C$2:$C$1073=$C106)*($E$2:$E$1073=$E106)*(ROW(S$2:S$1073)&lt;&gt;ROW(S106))*(S$2:S$1073&lt;&gt;""))),"")</f>
        <v>0.74811395536220171</v>
      </c>
      <c r="AB106" cm="1">
        <f t="array" ref="AB106">IFERROR(AVERAGE(_xlfn._xlws.FILTER(T$2:T$1073,($C$2:$C$1073=$C106)*($E$2:$E$1073=$E106)*(ROW(T$2:T$1073)&lt;&gt;ROW(T106))*(T$2:T$1073&lt;&gt;""))),"")</f>
        <v>6.6339908925481514E-2</v>
      </c>
      <c r="AC106" cm="1">
        <f t="array" ref="AC106">IFERROR(AVERAGE(_xlfn._xlws.FILTER(U$2:U$1073,($C$2:$C$1073=$C106)*($E$2:$E$1073=$E106)*(ROW(U$2:U$1073)&lt;&gt;ROW(U106))*(U$2:U$1073&lt;&gt;""))),"")</f>
        <v>0.9709034009114782</v>
      </c>
      <c r="AD106" cm="1">
        <f t="array" ref="AD106">IFERROR(AVERAGE(_xlfn._xlws.FILTER(V$2:V$1073,($C$2:$C$1073=$C106)*($E$2:$E$1073=$E106)*(ROW(V$2:V$1073)&lt;&gt;ROW(V106))*(V$2:V$1073&lt;&gt;""))),"")</f>
        <v>0.40653408435551341</v>
      </c>
      <c r="AE106">
        <f>IF('Дивиденды по годам'!M106&lt;0,1,0)</f>
        <v>0</v>
      </c>
    </row>
    <row r="107" spans="1:31" x14ac:dyDescent="0.2">
      <c r="A107" s="7" t="s">
        <v>2188</v>
      </c>
      <c r="B107" t="str">
        <f t="shared" si="11"/>
        <v>TATN IV кв. 2016</v>
      </c>
      <c r="C107">
        <v>2016</v>
      </c>
      <c r="D107">
        <f>SUMIFS(Дивиденды!$C:$C,Дивиденды!$A:$A,A107,Дивиденды!$I:$I,C107)</f>
        <v>22.81</v>
      </c>
      <c r="E107">
        <v>1</v>
      </c>
      <c r="F107">
        <f t="shared" si="12"/>
        <v>22.81</v>
      </c>
      <c r="G107">
        <f t="shared" si="13"/>
        <v>37.25333333333333</v>
      </c>
      <c r="H107">
        <f t="shared" si="14"/>
        <v>1</v>
      </c>
      <c r="I107">
        <f t="shared" si="15"/>
        <v>0.83333333333333337</v>
      </c>
      <c r="J107">
        <f t="shared" si="16"/>
        <v>1.0812043795620436</v>
      </c>
      <c r="K107">
        <f t="shared" si="21"/>
        <v>-5.6787979676543442E-2</v>
      </c>
      <c r="L107">
        <f t="shared" si="17"/>
        <v>1</v>
      </c>
      <c r="M107">
        <f t="shared" si="18"/>
        <v>0.5</v>
      </c>
      <c r="N107">
        <f t="shared" si="19"/>
        <v>0</v>
      </c>
      <c r="O107">
        <f t="shared" si="20"/>
        <v>0.16666666666666666</v>
      </c>
      <c r="P107">
        <f>IFERROR(LN('Дивиденды по годам'!I107),"")</f>
        <v>27.721407374925267</v>
      </c>
      <c r="Q107">
        <f>IFERROR('Дивиденды по годам'!G107/'Дивиденды по годам'!I107, "")</f>
        <v>0.53317705054919751</v>
      </c>
      <c r="R107">
        <f>IFERROR(IF(AND('Дивиденды по годам'!N107&lt;&gt;"",'Дивиденды по годам'!U107&lt;&gt;"",'Дивиденды по годам'!U107&lt;&gt;0),'Дивиденды по годам'!N107/'Дивиденды по годам'!U107-1,""),"")</f>
        <v>4.9600877129499565E-2</v>
      </c>
      <c r="S107">
        <f>IFERROR(IF(AND('Дивиденды по годам'!L107&lt;&gt;"",'Дивиденды по годам'!I107&lt;&gt;"",'Дивиденды по годам'!J107&lt;&gt;"",'Дивиденды по годам'!K107&lt;&gt;"",('Дивиденды по годам'!I107-'Дивиденды по годам'!J107-'Дивиденды по годам'!K107)&lt;&gt;0),'Дивиденды по годам'!L107/('Дивиденды по годам'!I107-'Дивиденды по годам'!J107-'Дивиденды по годам'!K107),""),"")</f>
        <v>0.86820923566519581</v>
      </c>
      <c r="T107">
        <f>IFERROR(IF(AND('Дивиденды по годам'!Q107&lt;&gt;"",'Дивиденды по годам'!I107&lt;&gt;"",'Дивиденды по годам'!V107&lt;&gt;"",('Дивиденды по годам'!I107+'Дивиденды по годам'!V107)&lt;&gt;0),'Дивиденды по годам'!Q107/(('Дивиденды по годам'!I107+'Дивиденды по годам'!V107)/2),""),"")</f>
        <v>0.11211183929756065</v>
      </c>
      <c r="U107">
        <f>IFERROR(IF(AND('Дивиденды по годам'!J107&lt;&gt;"",'Дивиденды по годам'!K107&lt;&gt;"",'Дивиденды по годам'!M107&lt;&gt;"",'Дивиденды по годам'!M107&lt;&gt;0),('Дивиденды по годам'!J107+'Дивиденды по годам'!K107)/'Дивиденды по годам'!M107,""),"")</f>
        <v>0.54406943676435737</v>
      </c>
      <c r="V107">
        <f>IFERROR(IF(AND('Дивиденды по годам'!J107&lt;&gt;"",'Дивиденды по годам'!K107&lt;&gt;"",'Дивиденды по годам'!M107&lt;&gt;"",'Дивиденды по годам'!I107&lt;&gt;0),('Дивиденды по годам'!J107+'Дивиденды по годам'!K107)/'Дивиденды по годам'!I107,""),"")</f>
        <v>0.35236073184925593</v>
      </c>
      <c r="W107">
        <f>IFERROR('Дивиденды по годам'!I107,"")</f>
        <v>1094597000000</v>
      </c>
      <c r="X107" cm="1">
        <f t="array" ref="X107">IFERROR(AVERAGE(_xlfn._xlws.FILTER(P$2:P$1073,($C$2:$C$1073=$C107)*($E$2:$E$1073=$E107)*(ROW(P$2:P$1073)&lt;&gt;ROW(P107))*(P$2:P$1073&lt;&gt;""))),"")</f>
        <v>28.736258614600171</v>
      </c>
      <c r="Y107" cm="1">
        <f t="array" ref="Y107">IFERROR(AVERAGE(_xlfn._xlws.FILTER(Q$2:Q$1073,($C$2:$C$1073=$C107)*($E$2:$E$1073=$E107)*(ROW(Q$2:Q$1073)&lt;&gt;ROW(Q107))*(Q$2:Q$1073&lt;&gt;""))),"")</f>
        <v>0.53421865740720553</v>
      </c>
      <c r="Z107" cm="1">
        <f t="array" ref="Z107">IFERROR(AVERAGE(_xlfn._xlws.FILTER(R$2:R$1073,($C$2:$C$1073=$C107)*($E$2:$E$1073=$E107)*(ROW(R$2:R$1073)&lt;&gt;ROW(R107))*(R$2:R$1073&lt;&gt;""))),"")</f>
        <v>3.3474182662141415E-3</v>
      </c>
      <c r="AA107" cm="1">
        <f t="array" ref="AA107">IFERROR(AVERAGE(_xlfn._xlws.FILTER(S$2:S$1073,($C$2:$C$1073=$C107)*($E$2:$E$1073=$E107)*(ROW(S$2:S$1073)&lt;&gt;ROW(S107))*(S$2:S$1073&lt;&gt;""))),"")</f>
        <v>0.70053748453256459</v>
      </c>
      <c r="AB107" cm="1">
        <f t="array" ref="AB107">IFERROR(AVERAGE(_xlfn._xlws.FILTER(T$2:T$1073,($C$2:$C$1073=$C107)*($E$2:$E$1073=$E107)*(ROW(T$2:T$1073)&lt;&gt;ROW(T107))*(T$2:T$1073&lt;&gt;""))),"")</f>
        <v>9.3959853222945436E-2</v>
      </c>
      <c r="AC107" cm="1">
        <f t="array" ref="AC107">IFERROR(AVERAGE(_xlfn._xlws.FILTER(U$2:U$1073,($C$2:$C$1073=$C107)*($E$2:$E$1073=$E107)*(ROW(U$2:U$1073)&lt;&gt;ROW(U107))*(U$2:U$1073&lt;&gt;""))),"")</f>
        <v>1.0119368250414917</v>
      </c>
      <c r="AD107" cm="1">
        <f t="array" ref="AD107">IFERROR(AVERAGE(_xlfn._xlws.FILTER(V$2:V$1073,($C$2:$C$1073=$C107)*($E$2:$E$1073=$E107)*(ROW(V$2:V$1073)&lt;&gt;ROW(V107))*(V$2:V$1073&lt;&gt;""))),"")</f>
        <v>0.41559354046713221</v>
      </c>
      <c r="AE107">
        <f>IF('Дивиденды по годам'!M107&lt;0,1,0)</f>
        <v>0</v>
      </c>
    </row>
    <row r="108" spans="1:31" x14ac:dyDescent="0.2">
      <c r="A108" s="7" t="s">
        <v>2188</v>
      </c>
      <c r="B108" t="str">
        <f t="shared" si="11"/>
        <v>TATN IV кв. 2015</v>
      </c>
      <c r="C108">
        <v>2015</v>
      </c>
      <c r="D108">
        <f>SUMIFS(Дивиденды!$C:$C,Дивиденды!$A:$A,A108,Дивиденды!$I:$I,C108)</f>
        <v>10.96</v>
      </c>
      <c r="E108">
        <v>1</v>
      </c>
      <c r="F108">
        <f t="shared" si="12"/>
        <v>10.96</v>
      </c>
      <c r="G108">
        <f t="shared" si="13"/>
        <v>35.123333333333328</v>
      </c>
      <c r="H108">
        <f t="shared" si="14"/>
        <v>1</v>
      </c>
      <c r="I108">
        <f t="shared" si="15"/>
        <v>0.83333333333333337</v>
      </c>
      <c r="J108">
        <f t="shared" si="16"/>
        <v>3.5916824196597426E-2</v>
      </c>
      <c r="K108">
        <f t="shared" si="21"/>
        <v>0.1516870005673471</v>
      </c>
      <c r="L108">
        <f t="shared" si="17"/>
        <v>1</v>
      </c>
      <c r="M108">
        <f t="shared" si="18"/>
        <v>0.66666666666666663</v>
      </c>
      <c r="N108">
        <f t="shared" si="19"/>
        <v>0</v>
      </c>
      <c r="O108">
        <f t="shared" si="20"/>
        <v>0.16666666666666666</v>
      </c>
      <c r="P108">
        <f>IFERROR(LN('Дивиденды по годам'!I108),"")</f>
        <v>27.406239974495261</v>
      </c>
      <c r="Q108">
        <f>IFERROR('Дивиденды по годам'!G108/'Дивиденды по годам'!I108, "")</f>
        <v>0.69836520005859593</v>
      </c>
      <c r="R108">
        <f>IFERROR(IF(AND('Дивиденды по годам'!N108&lt;&gt;"",'Дивиденды по годам'!U108&lt;&gt;"",'Дивиденды по годам'!U108&lt;&gt;0),'Дивиденды по годам'!N108/'Дивиденды по годам'!U108-1,""),"")</f>
        <v>0.16028213955831716</v>
      </c>
      <c r="S108">
        <f>IFERROR(IF(AND('Дивиденды по годам'!L108&lt;&gt;"",'Дивиденды по годам'!I108&lt;&gt;"",'Дивиденды по годам'!J108&lt;&gt;"",'Дивиденды по годам'!K108&lt;&gt;"",('Дивиденды по годам'!I108-'Дивиденды по годам'!J108-'Дивиденды по годам'!K108)&lt;&gt;0),'Дивиденды по годам'!L108/('Дивиденды по годам'!I108-'Дивиденды по годам'!J108-'Дивиденды по годам'!K108),""),"")</f>
        <v>0.81017945497507826</v>
      </c>
      <c r="T108">
        <f>IFERROR(IF(AND('Дивиденды по годам'!Q108&lt;&gt;"",'Дивиденды по годам'!I108&lt;&gt;"",'Дивиденды по годам'!V108&lt;&gt;"",('Дивиденды по годам'!I108+'Дивиденды по годам'!V108)&lt;&gt;0),'Дивиденды по годам'!Q108/(('Дивиденды по годам'!I108+'Дивиденды по годам'!V108)/2),""),"")</f>
        <v>0.13811735901411898</v>
      </c>
      <c r="U108">
        <f>IFERROR(IF(AND('Дивиденды по годам'!J108&lt;&gt;"",'Дивиденды по годам'!K108&lt;&gt;"",'Дивиденды по годам'!M108&lt;&gt;"",'Дивиденды по годам'!M108&lt;&gt;0),('Дивиденды по годам'!J108+'Дивиденды по годам'!K108)/'Дивиденды по годам'!M108,""),"")</f>
        <v>0.2144473267260491</v>
      </c>
      <c r="V108">
        <f>IFERROR(IF(AND('Дивиденды по годам'!J108&lt;&gt;"",'Дивиденды по годам'!K108&lt;&gt;"",'Дивиденды по годам'!M108&lt;&gt;"",'Дивиденды по годам'!I108&lt;&gt;0),('Дивиденды по годам'!J108+'Дивиденды по годам'!K108)/'Дивиденды по годам'!I108,""),"")</f>
        <v>0.17658017931840975</v>
      </c>
      <c r="W108">
        <f>IFERROR('Дивиденды по годам'!I108,"")</f>
        <v>798691000000</v>
      </c>
      <c r="X108" cm="1">
        <f t="array" ref="X108">IFERROR(AVERAGE(_xlfn._xlws.FILTER(P$2:P$1073,($C$2:$C$1073=$C108)*($E$2:$E$1073=$E108)*(ROW(P$2:P$1073)&lt;&gt;ROW(P108))*(P$2:P$1073&lt;&gt;""))),"")</f>
        <v>28.640081890863222</v>
      </c>
      <c r="Y108" cm="1">
        <f t="array" ref="Y108">IFERROR(AVERAGE(_xlfn._xlws.FILTER(Q$2:Q$1073,($C$2:$C$1073=$C108)*($E$2:$E$1073=$E108)*(ROW(Q$2:Q$1073)&lt;&gt;ROW(Q108))*(Q$2:Q$1073&lt;&gt;""))),"")</f>
        <v>0.56090840126291241</v>
      </c>
      <c r="Z108" cm="1">
        <f t="array" ref="Z108">IFERROR(AVERAGE(_xlfn._xlws.FILTER(R$2:R$1073,($C$2:$C$1073=$C108)*($E$2:$E$1073=$E108)*(ROW(R$2:R$1073)&lt;&gt;ROW(R108))*(R$2:R$1073&lt;&gt;""))),"")</f>
        <v>9.5049112336932251E-2</v>
      </c>
      <c r="AA108" cm="1">
        <f t="array" ref="AA108">IFERROR(AVERAGE(_xlfn._xlws.FILTER(S$2:S$1073,($C$2:$C$1073=$C108)*($E$2:$E$1073=$E108)*(ROW(S$2:S$1073)&lt;&gt;ROW(S108))*(S$2:S$1073&lt;&gt;""))),"")</f>
        <v>0.9593722421346802</v>
      </c>
      <c r="AB108" cm="1">
        <f t="array" ref="AB108">IFERROR(AVERAGE(_xlfn._xlws.FILTER(T$2:T$1073,($C$2:$C$1073=$C108)*($E$2:$E$1073=$E108)*(ROW(T$2:T$1073)&lt;&gt;ROW(T108))*(T$2:T$1073&lt;&gt;""))),"")</f>
        <v>6.1294933086676898E-2</v>
      </c>
      <c r="AC108" cm="1">
        <f t="array" ref="AC108">IFERROR(AVERAGE(_xlfn._xlws.FILTER(U$2:U$1073,($C$2:$C$1073=$C108)*($E$2:$E$1073=$E108)*(ROW(U$2:U$1073)&lt;&gt;ROW(U108))*(U$2:U$1073&lt;&gt;""))),"")</f>
        <v>-1.1975339668477871</v>
      </c>
      <c r="AD108" cm="1">
        <f t="array" ref="AD108">IFERROR(AVERAGE(_xlfn._xlws.FILTER(V$2:V$1073,($C$2:$C$1073=$C108)*($E$2:$E$1073=$E108)*(ROW(V$2:V$1073)&lt;&gt;ROW(V108))*(V$2:V$1073&lt;&gt;""))),"")</f>
        <v>0.60633599355849643</v>
      </c>
      <c r="AE108">
        <f>IF('Дивиденды по годам'!M108&lt;0,1,0)</f>
        <v>0</v>
      </c>
    </row>
    <row r="109" spans="1:31" x14ac:dyDescent="0.2">
      <c r="A109" s="7" t="s">
        <v>2188</v>
      </c>
      <c r="B109" t="str">
        <f t="shared" si="11"/>
        <v>TATN IV кв. 2014</v>
      </c>
      <c r="C109">
        <v>2014</v>
      </c>
      <c r="D109">
        <f>SUMIFS(Дивиденды!$C:$C,Дивиденды!$A:$A,A109,Дивиденды!$I:$I,C109)</f>
        <v>10.58</v>
      </c>
      <c r="E109">
        <v>1</v>
      </c>
      <c r="F109">
        <f t="shared" si="12"/>
        <v>10.58</v>
      </c>
      <c r="G109">
        <f t="shared" si="13"/>
        <v>30.060000000000002</v>
      </c>
      <c r="H109">
        <f t="shared" si="14"/>
        <v>1</v>
      </c>
      <c r="I109">
        <f t="shared" si="15"/>
        <v>0.83333333333333337</v>
      </c>
      <c r="J109">
        <f t="shared" si="16"/>
        <v>0.28554070473876059</v>
      </c>
      <c r="K109">
        <f t="shared" si="21"/>
        <v>7.1282295966425532E-2</v>
      </c>
      <c r="L109">
        <f t="shared" si="17"/>
        <v>1</v>
      </c>
      <c r="M109">
        <f t="shared" si="18"/>
        <v>0.5</v>
      </c>
      <c r="N109">
        <f t="shared" si="19"/>
        <v>0</v>
      </c>
      <c r="O109">
        <f t="shared" si="20"/>
        <v>0.16666666666666666</v>
      </c>
      <c r="P109">
        <f>IFERROR(LN('Дивиденды по годам'!I109),"")</f>
        <v>27.320321493851441</v>
      </c>
      <c r="Q109">
        <f>IFERROR('Дивиденды по годам'!G109/'Дивиденды по годам'!I109, "")</f>
        <v>0.69253984669833846</v>
      </c>
      <c r="R109">
        <f>IFERROR(IF(AND('Дивиденды по годам'!N109&lt;&gt;"",'Дивиденды по годам'!U109&lt;&gt;"",'Дивиденды по годам'!U109&lt;&gt;0),'Дивиденды по годам'!N109/'Дивиденды по годам'!U109-1,""),"")</f>
        <v>4.6984173035036436E-2</v>
      </c>
      <c r="S109">
        <f>IFERROR(IF(AND('Дивиденды по годам'!L109&lt;&gt;"",'Дивиденды по годам'!I109&lt;&gt;"",'Дивиденды по годам'!J109&lt;&gt;"",'Дивиденды по годам'!K109&lt;&gt;"",('Дивиденды по годам'!I109-'Дивиденды по годам'!J109-'Дивиденды по годам'!K109)&lt;&gt;0),'Дивиденды по годам'!L109/('Дивиденды по годам'!I109-'Дивиденды по годам'!J109-'Дивиденды по годам'!K109),""),"")</f>
        <v>0.78646581158414686</v>
      </c>
      <c r="T109">
        <f>IFERROR(IF(AND('Дивиденды по годам'!Q109&lt;&gt;"",'Дивиденды по годам'!I109&lt;&gt;"",'Дивиденды по годам'!V109&lt;&gt;"",('Дивиденды по годам'!I109+'Дивиденды по годам'!V109)&lt;&gt;0),'Дивиденды по годам'!Q109/(('Дивиденды по годам'!I109+'Дивиденды по годам'!V109)/2),""),"")</f>
        <v>0.13884208005128559</v>
      </c>
      <c r="U109">
        <f>IFERROR(IF(AND('Дивиденды по годам'!J109&lt;&gt;"",'Дивиденды по годам'!K109&lt;&gt;"",'Дивиденды по годам'!M109&lt;&gt;"",'Дивиденды по годам'!M109&lt;&gt;0),('Дивиденды по годам'!J109+'Дивиденды по годам'!K109)/'Дивиденды по годам'!M109,""),"")</f>
        <v>0.25880902164728192</v>
      </c>
      <c r="V109">
        <f>IFERROR(IF(AND('Дивиденды по годам'!J109&lt;&gt;"",'Дивиденды по годам'!K109&lt;&gt;"",'Дивиденды по годам'!M109&lt;&gt;"",'Дивиденды по годам'!I109&lt;&gt;0),('Дивиденды по годам'!J109+'Дивиденды по годам'!K109)/'Дивиденды по годам'!I109,""),"")</f>
        <v>0.20559832126767214</v>
      </c>
      <c r="W109">
        <f>IFERROR('Дивиденды по годам'!I109,"")</f>
        <v>732934000000</v>
      </c>
      <c r="X109" cm="1">
        <f t="array" ref="X109">IFERROR(AVERAGE(_xlfn._xlws.FILTER(P$2:P$1073,($C$2:$C$1073=$C109)*($E$2:$E$1073=$E109)*(ROW(P$2:P$1073)&lt;&gt;ROW(P109))*(P$2:P$1073&lt;&gt;""))),"")</f>
        <v>29.129956843585262</v>
      </c>
      <c r="Y109" cm="1">
        <f t="array" ref="Y109">IFERROR(AVERAGE(_xlfn._xlws.FILTER(Q$2:Q$1073,($C$2:$C$1073=$C109)*($E$2:$E$1073=$E109)*(ROW(Q$2:Q$1073)&lt;&gt;ROW(Q109))*(Q$2:Q$1073&lt;&gt;""))),"")</f>
        <v>0.61253028904320539</v>
      </c>
      <c r="Z109" cm="1">
        <f t="array" ref="Z109">IFERROR(AVERAGE(_xlfn._xlws.FILTER(R$2:R$1073,($C$2:$C$1073=$C109)*($E$2:$E$1073=$E109)*(ROW(R$2:R$1073)&lt;&gt;ROW(R109))*(R$2:R$1073&lt;&gt;""))),"")</f>
        <v>0.16910121937239597</v>
      </c>
      <c r="AA109" cm="1">
        <f t="array" ref="AA109">IFERROR(AVERAGE(_xlfn._xlws.FILTER(S$2:S$1073,($C$2:$C$1073=$C109)*($E$2:$E$1073=$E109)*(ROW(S$2:S$1073)&lt;&gt;ROW(S109))*(S$2:S$1073&lt;&gt;""))),"")</f>
        <v>0.97350414304171351</v>
      </c>
      <c r="AB109" cm="1">
        <f t="array" ref="AB109">IFERROR(AVERAGE(_xlfn._xlws.FILTER(T$2:T$1073,($C$2:$C$1073=$C109)*($E$2:$E$1073=$E109)*(ROW(T$2:T$1073)&lt;&gt;ROW(T109))*(T$2:T$1073&lt;&gt;""))),"")</f>
        <v>3.9411569312444605E-2</v>
      </c>
      <c r="AC109" cm="1">
        <f t="array" ref="AC109">IFERROR(AVERAGE(_xlfn._xlws.FILTER(U$2:U$1073,($C$2:$C$1073=$C109)*($E$2:$E$1073=$E109)*(ROW(U$2:U$1073)&lt;&gt;ROW(U109))*(U$2:U$1073&lt;&gt;""))),"")</f>
        <v>0.92807104131485585</v>
      </c>
      <c r="AD109" cm="1">
        <f t="array" ref="AD109">IFERROR(AVERAGE(_xlfn._xlws.FILTER(V$2:V$1073,($C$2:$C$1073=$C109)*($E$2:$E$1073=$E109)*(ROW(V$2:V$1073)&lt;&gt;ROW(V109))*(V$2:V$1073&lt;&gt;""))),"")</f>
        <v>0.43051603410433331</v>
      </c>
      <c r="AE109">
        <f>IF('Дивиденды по годам'!M109&lt;0,1,0)</f>
        <v>0</v>
      </c>
    </row>
    <row r="110" spans="1:31" x14ac:dyDescent="0.2">
      <c r="A110" s="7" t="s">
        <v>2188</v>
      </c>
      <c r="B110" t="str">
        <f t="shared" si="11"/>
        <v>TATN IV кв. 2013</v>
      </c>
      <c r="C110">
        <v>2013</v>
      </c>
      <c r="D110">
        <f>SUMIFS(Дивиденды!$C:$C,Дивиденды!$A:$A,A110,Дивиденды!$I:$I,C110)</f>
        <v>8.23</v>
      </c>
      <c r="E110">
        <v>1</v>
      </c>
      <c r="F110">
        <f t="shared" si="12"/>
        <v>8.23</v>
      </c>
      <c r="G110">
        <f t="shared" si="13"/>
        <v>23.09</v>
      </c>
      <c r="H110">
        <f t="shared" si="14"/>
        <v>1</v>
      </c>
      <c r="I110">
        <f t="shared" si="15"/>
        <v>0.83333333333333337</v>
      </c>
      <c r="J110">
        <f t="shared" si="16"/>
        <v>-4.3023255813953401E-2</v>
      </c>
      <c r="K110">
        <f t="shared" si="21"/>
        <v>0.22844077094010062</v>
      </c>
      <c r="L110">
        <f t="shared" si="17"/>
        <v>0</v>
      </c>
      <c r="M110">
        <f t="shared" si="18"/>
        <v>0.83333333333333337</v>
      </c>
      <c r="N110">
        <f t="shared" si="19"/>
        <v>1</v>
      </c>
      <c r="O110">
        <f t="shared" si="20"/>
        <v>0</v>
      </c>
      <c r="P110">
        <f>IFERROR(LN('Дивиденды по годам'!I110),"")</f>
        <v>27.236627986618963</v>
      </c>
      <c r="Q110">
        <f>IFERROR('Дивиденды по годам'!G110/'Дивиденды по годам'!I110, "")</f>
        <v>0.71486554446074624</v>
      </c>
      <c r="R110">
        <f>IFERROR(IF(AND('Дивиденды по годам'!N110&lt;&gt;"",'Дивиденды по годам'!U110&lt;&gt;"",'Дивиденды по годам'!U110&lt;&gt;0),'Дивиденды по годам'!N110/'Дивиденды по годам'!U110-1,""),"")</f>
        <v>2.4508048880992783E-2</v>
      </c>
      <c r="S110">
        <f>IFERROR(IF(AND('Дивиденды по годам'!L110&lt;&gt;"",'Дивиденды по годам'!I110&lt;&gt;"",'Дивиденды по годам'!J110&lt;&gt;"",'Дивиденды по годам'!K110&lt;&gt;"",('Дивиденды по годам'!I110-'Дивиденды по годам'!J110-'Дивиденды по годам'!K110)&lt;&gt;0),'Дивиденды по годам'!L110/('Дивиденды по годам'!I110-'Дивиденды по годам'!J110-'Дивиденды по годам'!K110),""),"")</f>
        <v>0.76267803215194196</v>
      </c>
      <c r="T110">
        <f>IFERROR(IF(AND('Дивиденды по годам'!Q110&lt;&gt;"",'Дивиденды по годам'!I110&lt;&gt;"",'Дивиденды по годам'!V110&lt;&gt;"",('Дивиденды по годам'!I110+'Дивиденды по годам'!V110)&lt;&gt;0),'Дивиденды по годам'!Q110/(('Дивиденды по годам'!I110+'Дивиденды по годам'!V110)/2),""),"")</f>
        <v>0.12009540919877121</v>
      </c>
      <c r="U110">
        <f>IFERROR(IF(AND('Дивиденды по годам'!J110&lt;&gt;"",'Дивиденды по годам'!K110&lt;&gt;"",'Дивиденды по годам'!M110&lt;&gt;"",'Дивиденды по годам'!M110&lt;&gt;0),('Дивиденды по годам'!J110+'Дивиденды по годам'!K110)/'Дивиденды по годам'!M110,""),"")</f>
        <v>0.33752594338686698</v>
      </c>
      <c r="V110">
        <f>IFERROR(IF(AND('Дивиденды по годам'!J110&lt;&gt;"",'Дивиденды по годам'!K110&lt;&gt;"",'Дивиденды по годам'!M110&lt;&gt;"",'Дивиденды по годам'!I110&lt;&gt;0),('Дивиденды по годам'!J110+'Дивиденды по годам'!K110)/'Дивиденды по годам'!I110,""),"")</f>
        <v>0.25235095069048746</v>
      </c>
      <c r="W110">
        <f>IFERROR('Дивиденды по годам'!I110,"")</f>
        <v>674089000000</v>
      </c>
      <c r="X110" cm="1">
        <f t="array" ref="X110">IFERROR(AVERAGE(_xlfn._xlws.FILTER(P$2:P$1073,($C$2:$C$1073=$C110)*($E$2:$E$1073=$E110)*(ROW(P$2:P$1073)&lt;&gt;ROW(P110))*(P$2:P$1073&lt;&gt;""))),"")</f>
        <v>28.969225863596634</v>
      </c>
      <c r="Y110" cm="1">
        <f t="array" ref="Y110">IFERROR(AVERAGE(_xlfn._xlws.FILTER(Q$2:Q$1073,($C$2:$C$1073=$C110)*($E$2:$E$1073=$E110)*(ROW(Q$2:Q$1073)&lt;&gt;ROW(Q110))*(Q$2:Q$1073&lt;&gt;""))),"")</f>
        <v>0.62423860897827887</v>
      </c>
      <c r="Z110" cm="1">
        <f t="array" ref="Z110">IFERROR(AVERAGE(_xlfn._xlws.FILTER(R$2:R$1073,($C$2:$C$1073=$C110)*($E$2:$E$1073=$E110)*(ROW(R$2:R$1073)&lt;&gt;ROW(R110))*(R$2:R$1073&lt;&gt;""))),"")</f>
        <v>0.27069529865695485</v>
      </c>
      <c r="AA110" cm="1">
        <f t="array" ref="AA110">IFERROR(AVERAGE(_xlfn._xlws.FILTER(S$2:S$1073,($C$2:$C$1073=$C110)*($E$2:$E$1073=$E110)*(ROW(S$2:S$1073)&lt;&gt;ROW(S110))*(S$2:S$1073&lt;&gt;""))),"")</f>
        <v>0.92972446875666803</v>
      </c>
      <c r="AB110" cm="1">
        <f t="array" ref="AB110">IFERROR(AVERAGE(_xlfn._xlws.FILTER(T$2:T$1073,($C$2:$C$1073=$C110)*($E$2:$E$1073=$E110)*(ROW(T$2:T$1073)&lt;&gt;ROW(T110))*(T$2:T$1073&lt;&gt;""))),"")</f>
        <v>0.11735403072459596</v>
      </c>
      <c r="AC110" cm="1">
        <f t="array" ref="AC110">IFERROR(AVERAGE(_xlfn._xlws.FILTER(U$2:U$1073,($C$2:$C$1073=$C110)*($E$2:$E$1073=$E110)*(ROW(U$2:U$1073)&lt;&gt;ROW(U110))*(U$2:U$1073&lt;&gt;""))),"")</f>
        <v>0.69177542567938621</v>
      </c>
      <c r="AD110" cm="1">
        <f t="array" ref="AD110">IFERROR(AVERAGE(_xlfn._xlws.FILTER(V$2:V$1073,($C$2:$C$1073=$C110)*($E$2:$E$1073=$E110)*(ROW(V$2:V$1073)&lt;&gt;ROW(V110))*(V$2:V$1073&lt;&gt;""))),"")</f>
        <v>0.37967563572656565</v>
      </c>
      <c r="AE110">
        <f>IF('Дивиденды по годам'!M110&lt;0,1,0)</f>
        <v>0</v>
      </c>
    </row>
    <row r="111" spans="1:31" x14ac:dyDescent="0.2">
      <c r="A111" s="7" t="s">
        <v>2188</v>
      </c>
      <c r="B111" t="str">
        <f t="shared" si="11"/>
        <v>TATN IV кв. 2012</v>
      </c>
      <c r="C111">
        <v>2012</v>
      </c>
      <c r="D111">
        <f>SUMIFS(Дивиденды!$C:$C,Дивиденды!$A:$A,A111,Дивиденды!$I:$I,C111)</f>
        <v>8.6</v>
      </c>
      <c r="E111">
        <v>1</v>
      </c>
      <c r="F111">
        <f t="shared" si="12"/>
        <v>8.6</v>
      </c>
      <c r="G111">
        <f t="shared" si="13"/>
        <v>18.566666666666666</v>
      </c>
      <c r="H111">
        <f t="shared" si="14"/>
        <v>1</v>
      </c>
      <c r="I111">
        <f t="shared" si="15"/>
        <v>0.83333333333333337</v>
      </c>
      <c r="J111">
        <f t="shared" si="16"/>
        <v>0.2146892655367231</v>
      </c>
      <c r="K111">
        <f t="shared" si="21"/>
        <v>-1.4415789091867389E-2</v>
      </c>
      <c r="L111">
        <f t="shared" si="17"/>
        <v>1</v>
      </c>
      <c r="M111">
        <f t="shared" si="18"/>
        <v>0.5</v>
      </c>
      <c r="N111">
        <f t="shared" si="19"/>
        <v>0</v>
      </c>
      <c r="O111">
        <f t="shared" si="20"/>
        <v>0.33333333333333331</v>
      </c>
      <c r="P111">
        <f>IFERROR(LN('Дивиденды по годам'!I111),"")</f>
        <v>27.16994868453493</v>
      </c>
      <c r="Q111">
        <f>IFERROR('Дивиденды по годам'!G111/'Дивиденды по годам'!I111, "")</f>
        <v>0.71185857435772204</v>
      </c>
      <c r="R111">
        <f>IFERROR(IF(AND('Дивиденды по годам'!N111&lt;&gt;"",'Дивиденды по годам'!U111&lt;&gt;"",'Дивиденды по годам'!U111&lt;&gt;0),'Дивиденды по годам'!N111/'Дивиденды по годам'!U111-1,""),"")</f>
        <v>-0.27890437383396094</v>
      </c>
      <c r="S111">
        <f>IFERROR(IF(AND('Дивиденды по годам'!L111&lt;&gt;"",'Дивиденды по годам'!I111&lt;&gt;"",'Дивиденды по годам'!J111&lt;&gt;"",'Дивиденды по годам'!K111&lt;&gt;"",('Дивиденды по годам'!I111-'Дивиденды по годам'!J111-'Дивиденды по годам'!K111)&lt;&gt;0),'Дивиденды по годам'!L111/('Дивиденды по годам'!I111-'Дивиденды по годам'!J111-'Дивиденды по годам'!K111),""),"")</f>
        <v>0.74640826653340298</v>
      </c>
      <c r="T111">
        <f>IFERROR(IF(AND('Дивиденды по годам'!Q111&lt;&gt;"",'Дивиденды по годам'!I111&lt;&gt;"",'Дивиденды по годам'!V111&lt;&gt;"",('Дивиденды по годам'!I111+'Дивиденды по годам'!V111)&lt;&gt;0),'Дивиденды по годам'!Q111/(('Дивиденды по годам'!I111+'Дивиденды по годам'!V111)/2),""),"")</f>
        <v>0.12467598515610721</v>
      </c>
      <c r="U111">
        <f>IFERROR(IF(AND('Дивиденды по годам'!J111&lt;&gt;"",'Дивиденды по годам'!K111&lt;&gt;"",'Дивиденды по годам'!M111&lt;&gt;"",'Дивиденды по годам'!M111&lt;&gt;0),('Дивиденды по годам'!J111+'Дивиденды по годам'!K111)/'Дивиденды по годам'!M111,""),"")</f>
        <v>0.41317876535352605</v>
      </c>
      <c r="V111">
        <f>IFERROR(IF(AND('Дивиденды по годам'!J111&lt;&gt;"",'Дивиденды по годам'!K111&lt;&gt;"",'Дивиденды по годам'!M111&lt;&gt;"",'Дивиденды по годам'!I111&lt;&gt;0),('Дивиденды по годам'!J111+'Дивиденды по годам'!K111)/'Дивиденды по годам'!I111,""),"")</f>
        <v>0.29237544143975569</v>
      </c>
      <c r="W111">
        <f>IFERROR('Дивиденды по годам'!I111,"")</f>
        <v>630607000000</v>
      </c>
      <c r="X111" cm="1">
        <f t="array" ref="X111">IFERROR(AVERAGE(_xlfn._xlws.FILTER(P$2:P$1073,($C$2:$C$1073=$C111)*($E$2:$E$1073=$E111)*(ROW(P$2:P$1073)&lt;&gt;ROW(P111))*(P$2:P$1073&lt;&gt;""))),"")</f>
        <v>28.679511939175026</v>
      </c>
      <c r="Y111" cm="1">
        <f t="array" ref="Y111">IFERROR(AVERAGE(_xlfn._xlws.FILTER(Q$2:Q$1073,($C$2:$C$1073=$C111)*($E$2:$E$1073=$E111)*(ROW(Q$2:Q$1073)&lt;&gt;ROW(Q111))*(Q$2:Q$1073&lt;&gt;""))),"")</f>
        <v>0.59694425246152327</v>
      </c>
      <c r="Z111" cm="1">
        <f t="array" ref="Z111">IFERROR(AVERAGE(_xlfn._xlws.FILTER(R$2:R$1073,($C$2:$C$1073=$C111)*($E$2:$E$1073=$E111)*(ROW(R$2:R$1073)&lt;&gt;ROW(R111))*(R$2:R$1073&lt;&gt;""))),"")</f>
        <v>0.11625144516209807</v>
      </c>
      <c r="AA111" cm="1">
        <f t="array" ref="AA111">IFERROR(AVERAGE(_xlfn._xlws.FILTER(S$2:S$1073,($C$2:$C$1073=$C111)*($E$2:$E$1073=$E111)*(ROW(S$2:S$1073)&lt;&gt;ROW(S111))*(S$2:S$1073&lt;&gt;""))),"")</f>
        <v>0.9461132964285478</v>
      </c>
      <c r="AB111" cm="1">
        <f t="array" ref="AB111">IFERROR(AVERAGE(_xlfn._xlws.FILTER(T$2:T$1073,($C$2:$C$1073=$C111)*($E$2:$E$1073=$E111)*(ROW(T$2:T$1073)&lt;&gt;ROW(T111))*(T$2:T$1073&lt;&gt;""))),"")</f>
        <v>0.1204835506292011</v>
      </c>
      <c r="AC111" cm="1">
        <f t="array" ref="AC111">IFERROR(AVERAGE(_xlfn._xlws.FILTER(U$2:U$1073,($C$2:$C$1073=$C111)*($E$2:$E$1073=$E111)*(ROW(U$2:U$1073)&lt;&gt;ROW(U111))*(U$2:U$1073&lt;&gt;""))),"")</f>
        <v>0.50333183373536172</v>
      </c>
      <c r="AD111" cm="1">
        <f t="array" ref="AD111">IFERROR(AVERAGE(_xlfn._xlws.FILTER(V$2:V$1073,($C$2:$C$1073=$C111)*($E$2:$E$1073=$E111)*(ROW(V$2:V$1073)&lt;&gt;ROW(V111))*(V$2:V$1073&lt;&gt;""))),"")</f>
        <v>0.32825091658719785</v>
      </c>
      <c r="AE111">
        <f>IF('Дивиденды по годам'!M111&lt;0,1,0)</f>
        <v>0</v>
      </c>
    </row>
    <row r="112" spans="1:31" x14ac:dyDescent="0.2">
      <c r="A112" s="7" t="s">
        <v>2188</v>
      </c>
      <c r="B112" t="str">
        <f t="shared" si="11"/>
        <v>TATN IV кв. 2011</v>
      </c>
      <c r="C112">
        <v>2011</v>
      </c>
      <c r="D112">
        <f>SUMIFS(Дивиденды!$C:$C,Дивиденды!$A:$A,A112,Дивиденды!$I:$I,C112)</f>
        <v>7.08</v>
      </c>
      <c r="E112">
        <v>1</v>
      </c>
      <c r="F112">
        <f t="shared" si="12"/>
        <v>7.08</v>
      </c>
      <c r="G112">
        <f t="shared" si="13"/>
        <v>16.349999999999998</v>
      </c>
      <c r="H112">
        <f t="shared" si="14"/>
        <v>1</v>
      </c>
      <c r="I112">
        <f t="shared" si="15"/>
        <v>0.83333333333333337</v>
      </c>
      <c r="J112">
        <f t="shared" si="16"/>
        <v>0.41035856573705193</v>
      </c>
      <c r="K112">
        <f t="shared" si="21"/>
        <v>0.67155290668555223</v>
      </c>
      <c r="L112">
        <f t="shared" si="17"/>
        <v>1</v>
      </c>
      <c r="M112">
        <f t="shared" si="18"/>
        <v>0.83333333333333337</v>
      </c>
      <c r="N112">
        <f t="shared" si="19"/>
        <v>0</v>
      </c>
      <c r="O112">
        <f t="shared" si="20"/>
        <v>0</v>
      </c>
      <c r="P112">
        <f>IFERROR(LN('Дивиденды по годам'!I112),"")</f>
        <v>27.165524116554483</v>
      </c>
      <c r="Q112">
        <f>IFERROR('Дивиденды по годам'!G112/'Дивиденды по годам'!I112, "")</f>
        <v>0.6861503958918358</v>
      </c>
      <c r="R112">
        <f>IFERROR(IF(AND('Дивиденды по годам'!N112&lt;&gt;"",'Дивиденды по годам'!U112&lt;&gt;"",'Дивиденды по годам'!U112&lt;&gt;0),'Дивиденды по годам'!N112/'Дивиденды по годам'!U112-1,""),"")</f>
        <v>0.31586515451934916</v>
      </c>
      <c r="S112">
        <f>IFERROR(IF(AND('Дивиденды по годам'!L112&lt;&gt;"",'Дивиденды по годам'!I112&lt;&gt;"",'Дивиденды по годам'!J112&lt;&gt;"",'Дивиденды по годам'!K112&lt;&gt;"",('Дивиденды по годам'!I112-'Дивиденды по годам'!J112-'Дивиденды по годам'!K112)&lt;&gt;0),'Дивиденды по годам'!L112/('Дивиденды по годам'!I112-'Дивиденды по годам'!J112-'Дивиденды по годам'!K112),""),"")</f>
        <v>0.7214205859532834</v>
      </c>
      <c r="T112">
        <f>IFERROR(IF(AND('Дивиденды по годам'!Q112&lt;&gt;"",'Дивиденды по годам'!I112&lt;&gt;"",'Дивиденды по годам'!V112&lt;&gt;"",('Дивиденды по годам'!I112+'Дивиденды по годам'!V112)&lt;&gt;0),'Дивиденды по годам'!Q112/(('Дивиденды по годам'!I112+'Дивиденды по годам'!V112)/2),""),"")</f>
        <v>0.10706760323413685</v>
      </c>
      <c r="U112">
        <f>IFERROR(IF(AND('Дивиденды по годам'!J112&lt;&gt;"",'Дивиденды по годам'!K112&lt;&gt;"",'Дивиденды по годам'!M112&lt;&gt;"",'Дивиденды по годам'!M112&lt;&gt;0),('Дивиденды по годам'!J112+'Дивиденды по годам'!K112)/'Дивиденды по годам'!M112,""),"")</f>
        <v>0.55628626884244603</v>
      </c>
      <c r="V112">
        <f>IFERROR(IF(AND('Дивиденды по годам'!J112&lt;&gt;"",'Дивиденды по годам'!K112&lt;&gt;"",'Дивиденды по годам'!M112&lt;&gt;"",'Дивиденды по годам'!I112&lt;&gt;0),('Дивиденды по годам'!J112+'Дивиденды по годам'!K112)/'Дивиденды по годам'!I112,""),"")</f>
        <v>0.35744469380701249</v>
      </c>
      <c r="W112">
        <f>IFERROR('Дивиденды по годам'!I112,"")</f>
        <v>627823000000</v>
      </c>
      <c r="X112" cm="1">
        <f t="array" ref="X112">IFERROR(AVERAGE(_xlfn._xlws.FILTER(P$2:P$1073,($C$2:$C$1073=$C112)*($E$2:$E$1073=$E112)*(ROW(P$2:P$1073)&lt;&gt;ROW(P112))*(P$2:P$1073&lt;&gt;""))),"")</f>
        <v>28.539398808333161</v>
      </c>
      <c r="Y112" cm="1">
        <f t="array" ref="Y112">IFERROR(AVERAGE(_xlfn._xlws.FILTER(Q$2:Q$1073,($C$2:$C$1073=$C112)*($E$2:$E$1073=$E112)*(ROW(Q$2:Q$1073)&lt;&gt;ROW(Q112))*(Q$2:Q$1073&lt;&gt;""))),"")</f>
        <v>0.58371512598960407</v>
      </c>
      <c r="Z112" cm="1">
        <f t="array" ref="Z112">IFERROR(AVERAGE(_xlfn._xlws.FILTER(R$2:R$1073,($C$2:$C$1073=$C112)*($E$2:$E$1073=$E112)*(ROW(R$2:R$1073)&lt;&gt;ROW(R112))*(R$2:R$1073&lt;&gt;""))),"")</f>
        <v>0.35934426446619155</v>
      </c>
      <c r="AA112" cm="1">
        <f t="array" ref="AA112">IFERROR(AVERAGE(_xlfn._xlws.FILTER(S$2:S$1073,($C$2:$C$1073=$C112)*($E$2:$E$1073=$E112)*(ROW(S$2:S$1073)&lt;&gt;ROW(S112))*(S$2:S$1073&lt;&gt;""))),"")</f>
        <v>0.9227581776317626</v>
      </c>
      <c r="AB112" cm="1">
        <f t="array" ref="AB112">IFERROR(AVERAGE(_xlfn._xlws.FILTER(T$2:T$1073,($C$2:$C$1073=$C112)*($E$2:$E$1073=$E112)*(ROW(T$2:T$1073)&lt;&gt;ROW(T112))*(T$2:T$1073&lt;&gt;""))),"")</f>
        <v>0.17509973163977047</v>
      </c>
      <c r="AC112" cm="1">
        <f t="array" ref="AC112">IFERROR(AVERAGE(_xlfn._xlws.FILTER(U$2:U$1073,($C$2:$C$1073=$C112)*($E$2:$E$1073=$E112)*(ROW(U$2:U$1073)&lt;&gt;ROW(U112))*(U$2:U$1073&lt;&gt;""))),"")</f>
        <v>0.49373172653535408</v>
      </c>
      <c r="AD112" cm="1">
        <f t="array" ref="AD112">IFERROR(AVERAGE(_xlfn._xlws.FILTER(V$2:V$1073,($C$2:$C$1073=$C112)*($E$2:$E$1073=$E112)*(ROW(V$2:V$1073)&lt;&gt;ROW(V112))*(V$2:V$1073&lt;&gt;""))),"")</f>
        <v>0.32630443835075507</v>
      </c>
      <c r="AE112">
        <f>IF('Дивиденды по годам'!M112&lt;0,1,0)</f>
        <v>0</v>
      </c>
    </row>
    <row r="113" spans="1:31" x14ac:dyDescent="0.2">
      <c r="A113" s="7" t="s">
        <v>2188</v>
      </c>
      <c r="B113" t="str">
        <f t="shared" si="11"/>
        <v>TATN IV кв. 2010</v>
      </c>
      <c r="C113">
        <v>2010</v>
      </c>
      <c r="D113">
        <f>SUMIFS(Дивиденды!$C:$C,Дивиденды!$A:$A,A113,Дивиденды!$I:$I,C113)</f>
        <v>5.0199999999999996</v>
      </c>
      <c r="E113">
        <v>1</v>
      </c>
      <c r="F113">
        <f t="shared" si="12"/>
        <v>5.0199999999999996</v>
      </c>
      <c r="G113">
        <f t="shared" si="13"/>
        <v>11.685</v>
      </c>
      <c r="H113">
        <f t="shared" si="14"/>
        <v>1</v>
      </c>
      <c r="I113">
        <f t="shared" si="15"/>
        <v>0.83333333333333337</v>
      </c>
      <c r="J113" t="str">
        <f t="shared" si="16"/>
        <v/>
      </c>
      <c r="K113" t="str">
        <f t="shared" si="21"/>
        <v/>
      </c>
      <c r="L113" t="str">
        <f t="shared" si="17"/>
        <v/>
      </c>
      <c r="M113" t="str">
        <f t="shared" si="18"/>
        <v/>
      </c>
      <c r="N113" t="str">
        <f t="shared" si="19"/>
        <v/>
      </c>
      <c r="O113" t="str">
        <f t="shared" si="20"/>
        <v/>
      </c>
      <c r="P113" t="str">
        <f>IFERROR(LN('Дивиденды по годам'!I113),"")</f>
        <v/>
      </c>
      <c r="Q113" t="str">
        <f>IFERROR('Дивиденды по годам'!G113/'Дивиденды по годам'!I113, "")</f>
        <v/>
      </c>
      <c r="R113" t="str">
        <f>IFERROR(IF(AND('Дивиденды по годам'!N113&lt;&gt;"",'Дивиденды по годам'!U113&lt;&gt;"",'Дивиденды по годам'!U113&lt;&gt;0),'Дивиденды по годам'!N113/'Дивиденды по годам'!U113-1,""),"")</f>
        <v/>
      </c>
      <c r="S113" t="str">
        <f>IFERROR(IF(AND('Дивиденды по годам'!L113&lt;&gt;"",'Дивиденды по годам'!I113&lt;&gt;"",'Дивиденды по годам'!J113&lt;&gt;"",'Дивиденды по годам'!K113&lt;&gt;"",('Дивиденды по годам'!I113-'Дивиденды по годам'!J113-'Дивиденды по годам'!K113)&lt;&gt;0),'Дивиденды по годам'!L113/('Дивиденды по годам'!I113-'Дивиденды по годам'!J113-'Дивиденды по годам'!K113),""),"")</f>
        <v/>
      </c>
      <c r="T113" t="str">
        <f>IFERROR(IF(AND('Дивиденды по годам'!Q113&lt;&gt;"",'Дивиденды по годам'!I113&lt;&gt;"",'Дивиденды по годам'!V113&lt;&gt;"",('Дивиденды по годам'!I113+'Дивиденды по годам'!V113)&lt;&gt;0),'Дивиденды по годам'!Q113/(('Дивиденды по годам'!I113+'Дивиденды по годам'!V113)/2),""),"")</f>
        <v/>
      </c>
      <c r="U113" t="str">
        <f>IFERROR(IF(AND('Дивиденды по годам'!J113&lt;&gt;"",'Дивиденды по годам'!K113&lt;&gt;"",'Дивиденды по годам'!M113&lt;&gt;"",'Дивиденды по годам'!M113&lt;&gt;0),('Дивиденды по годам'!J113+'Дивиденды по годам'!K113)/'Дивиденды по годам'!M113,""),"")</f>
        <v/>
      </c>
      <c r="V113" t="str">
        <f>IFERROR(IF(AND('Дивиденды по годам'!J113&lt;&gt;"",'Дивиденды по годам'!K113&lt;&gt;"",'Дивиденды по годам'!M113&lt;&gt;"",'Дивиденды по годам'!I113&lt;&gt;0),('Дивиденды по годам'!J113+'Дивиденды по годам'!K113)/'Дивиденды по годам'!I113,""),"")</f>
        <v/>
      </c>
      <c r="W113" t="str">
        <f>IFERROR('Дивиденды по годам'!I113,"")</f>
        <v/>
      </c>
      <c r="X113" cm="1">
        <f t="array" ref="X113">IFERROR(AVERAGE(_xlfn._xlws.FILTER(P$2:P$1073,($C$2:$C$1073=$C113)*($E$2:$E$1073=$E113)*(ROW(P$2:P$1073)&lt;&gt;ROW(P113))*(P$2:P$1073&lt;&gt;""))),"")</f>
        <v>28.26609277365635</v>
      </c>
      <c r="Y113" cm="1">
        <f t="array" ref="Y113">IFERROR(AVERAGE(_xlfn._xlws.FILTER(Q$2:Q$1073,($C$2:$C$1073=$C113)*($E$2:$E$1073=$E113)*(ROW(Q$2:Q$1073)&lt;&gt;ROW(Q113))*(Q$2:Q$1073&lt;&gt;""))),"")</f>
        <v>0.63165964928088458</v>
      </c>
      <c r="Z113" cm="1">
        <f t="array" ref="Z113">IFERROR(AVERAGE(_xlfn._xlws.FILTER(R$2:R$1073,($C$2:$C$1073=$C113)*($E$2:$E$1073=$E113)*(ROW(R$2:R$1073)&lt;&gt;ROW(R113))*(R$2:R$1073&lt;&gt;""))),"")</f>
        <v>0.23861324477859247</v>
      </c>
      <c r="AA113" cm="1">
        <f t="array" ref="AA113">IFERROR(AVERAGE(_xlfn._xlws.FILTER(S$2:S$1073,($C$2:$C$1073=$C113)*($E$2:$E$1073=$E113)*(ROW(S$2:S$1073)&lt;&gt;ROW(S113))*(S$2:S$1073&lt;&gt;""))),"")</f>
        <v>0.85870775810089295</v>
      </c>
      <c r="AB113" cm="1">
        <f t="array" ref="AB113">IFERROR(AVERAGE(_xlfn._xlws.FILTER(T$2:T$1073,($C$2:$C$1073=$C113)*($E$2:$E$1073=$E113)*(ROW(T$2:T$1073)&lt;&gt;ROW(T113))*(T$2:T$1073&lt;&gt;""))),"")</f>
        <v>0.10947396081496689</v>
      </c>
      <c r="AC113" cm="1">
        <f t="array" ref="AC113">IFERROR(AVERAGE(_xlfn._xlws.FILTER(U$2:U$1073,($C$2:$C$1073=$C113)*($E$2:$E$1073=$E113)*(ROW(U$2:U$1073)&lt;&gt;ROW(U113))*(U$2:U$1073&lt;&gt;""))),"")</f>
        <v>0.50738882547166109</v>
      </c>
      <c r="AD113" cm="1">
        <f t="array" ref="AD113">IFERROR(AVERAGE(_xlfn._xlws.FILTER(V$2:V$1073,($C$2:$C$1073=$C113)*($E$2:$E$1073=$E113)*(ROW(V$2:V$1073)&lt;&gt;ROW(V113))*(V$2:V$1073&lt;&gt;""))),"")</f>
        <v>0.33149246799378812</v>
      </c>
      <c r="AE113">
        <f>IF('Дивиденды по годам'!M113&lt;0,1,0)</f>
        <v>0</v>
      </c>
    </row>
    <row r="114" spans="1:31" x14ac:dyDescent="0.2">
      <c r="A114" s="7" t="s">
        <v>2190</v>
      </c>
      <c r="B114" t="str">
        <f t="shared" si="11"/>
        <v>ELFV IV кв. 2025</v>
      </c>
      <c r="C114">
        <v>2025</v>
      </c>
      <c r="D114">
        <f>SUMIFS(Дивиденды!$C:$C,Дивиденды!$A:$A,A114,Дивиденды!$I:$I,C114)</f>
        <v>0</v>
      </c>
      <c r="E114">
        <v>2</v>
      </c>
      <c r="F114">
        <f t="shared" si="12"/>
        <v>0</v>
      </c>
      <c r="G114">
        <f t="shared" si="13"/>
        <v>0</v>
      </c>
      <c r="H114">
        <f t="shared" si="14"/>
        <v>0</v>
      </c>
      <c r="I114">
        <f t="shared" si="15"/>
        <v>0</v>
      </c>
      <c r="J114">
        <f t="shared" si="16"/>
        <v>0</v>
      </c>
      <c r="K114">
        <f t="shared" si="21"/>
        <v>-0.58333333333333337</v>
      </c>
      <c r="L114">
        <f t="shared" si="17"/>
        <v>0</v>
      </c>
      <c r="M114">
        <f t="shared" si="18"/>
        <v>0</v>
      </c>
      <c r="N114">
        <f t="shared" si="19"/>
        <v>0</v>
      </c>
      <c r="O114">
        <f t="shared" si="20"/>
        <v>0.58333333333333337</v>
      </c>
      <c r="P114" t="str">
        <f>IFERROR(LN('Дивиденды по годам'!I114),"")</f>
        <v/>
      </c>
      <c r="Q114" t="str">
        <f>IFERROR('Дивиденды по годам'!G114/'Дивиденды по годам'!I114, "")</f>
        <v/>
      </c>
      <c r="R114" t="str">
        <f>IFERROR(IF(AND('Дивиденды по годам'!N114&lt;&gt;"",'Дивиденды по годам'!U114&lt;&gt;"",'Дивиденды по годам'!U114&lt;&gt;0),'Дивиденды по годам'!N114/'Дивиденды по годам'!U114-1,""),"")</f>
        <v/>
      </c>
      <c r="S114" t="str">
        <f>IFERROR(IF(AND('Дивиденды по годам'!L114&lt;&gt;"",'Дивиденды по годам'!I114&lt;&gt;"",'Дивиденды по годам'!J114&lt;&gt;"",'Дивиденды по годам'!K114&lt;&gt;"",('Дивиденды по годам'!I114-'Дивиденды по годам'!J114-'Дивиденды по годам'!K114)&lt;&gt;0),'Дивиденды по годам'!L114/('Дивиденды по годам'!I114-'Дивиденды по годам'!J114-'Дивиденды по годам'!K114),""),"")</f>
        <v/>
      </c>
      <c r="T114" t="str">
        <f>IFERROR(IF(AND('Дивиденды по годам'!Q114&lt;&gt;"",'Дивиденды по годам'!I114&lt;&gt;"",'Дивиденды по годам'!V114&lt;&gt;"",('Дивиденды по годам'!I114+'Дивиденды по годам'!V114)&lt;&gt;0),'Дивиденды по годам'!Q114/(('Дивиденды по годам'!I114+'Дивиденды по годам'!V114)/2),""),"")</f>
        <v/>
      </c>
      <c r="U114" t="str">
        <f>IFERROR(IF(AND('Дивиденды по годам'!J114&lt;&gt;"",'Дивиденды по годам'!K114&lt;&gt;"",'Дивиденды по годам'!M114&lt;&gt;"",'Дивиденды по годам'!M114&lt;&gt;0),('Дивиденды по годам'!J114+'Дивиденды по годам'!K114)/'Дивиденды по годам'!M114,""),"")</f>
        <v/>
      </c>
      <c r="V114" t="str">
        <f>IFERROR(IF(AND('Дивиденды по годам'!J114&lt;&gt;"",'Дивиденды по годам'!K114&lt;&gt;"",'Дивиденды по годам'!M114&lt;&gt;"",'Дивиденды по годам'!I114&lt;&gt;0),('Дивиденды по годам'!J114+'Дивиденды по годам'!K114)/'Дивиденды по годам'!I114,""),"")</f>
        <v/>
      </c>
      <c r="W114" t="str">
        <f>IFERROR('Дивиденды по годам'!I114,"")</f>
        <v/>
      </c>
      <c r="X114" cm="1">
        <f t="array" ref="X114">IFERROR(AVERAGE(_xlfn._xlws.FILTER(P$2:P$1073,($C$2:$C$1073=$C114)*($E$2:$E$1073=$E114)*(ROW(P$2:P$1073)&lt;&gt;ROW(P114))*(P$2:P$1073&lt;&gt;""))),"")</f>
        <v>26.57991857918098</v>
      </c>
      <c r="Y114" cm="1">
        <f t="array" ref="Y114">IFERROR(AVERAGE(_xlfn._xlws.FILTER(Q$2:Q$1073,($C$2:$C$1073=$C114)*($E$2:$E$1073=$E114)*(ROW(Q$2:Q$1073)&lt;&gt;ROW(Q114))*(Q$2:Q$1073&lt;&gt;""))),"")</f>
        <v>0.67759713674348565</v>
      </c>
      <c r="Z114" cm="1">
        <f t="array" ref="Z114">IFERROR(AVERAGE(_xlfn._xlws.FILTER(R$2:R$1073,($C$2:$C$1073=$C114)*($E$2:$E$1073=$E114)*(ROW(R$2:R$1073)&lt;&gt;ROW(R114))*(R$2:R$1073&lt;&gt;""))),"")</f>
        <v>0.17662623265859428</v>
      </c>
      <c r="AA114" cm="1">
        <f t="array" ref="AA114">IFERROR(AVERAGE(_xlfn._xlws.FILTER(S$2:S$1073,($C$2:$C$1073=$C114)*($E$2:$E$1073=$E114)*(ROW(S$2:S$1073)&lt;&gt;ROW(S114))*(S$2:S$1073&lt;&gt;""))),"")</f>
        <v>0.75614685785818758</v>
      </c>
      <c r="AB114" cm="1">
        <f t="array" ref="AB114">IFERROR(AVERAGE(_xlfn._xlws.FILTER(T$2:T$1073,($C$2:$C$1073=$C114)*($E$2:$E$1073=$E114)*(ROW(T$2:T$1073)&lt;&gt;ROW(T114))*(T$2:T$1073&lt;&gt;""))),"")</f>
        <v>0.10306085485751774</v>
      </c>
      <c r="AC114" cm="1">
        <f t="array" ref="AC114">IFERROR(AVERAGE(_xlfn._xlws.FILTER(U$2:U$1073,($C$2:$C$1073=$C114)*($E$2:$E$1073=$E114)*(ROW(U$2:U$1073)&lt;&gt;ROW(U114))*(U$2:U$1073&lt;&gt;""))),"")</f>
        <v>0.88935141782994176</v>
      </c>
      <c r="AD114" cm="1">
        <f t="array" ref="AD114">IFERROR(AVERAGE(_xlfn._xlws.FILTER(V$2:V$1073,($C$2:$C$1073=$C114)*($E$2:$E$1073=$E114)*(ROW(V$2:V$1073)&lt;&gt;ROW(V114))*(V$2:V$1073&lt;&gt;""))),"")</f>
        <v>0.43128750803252092</v>
      </c>
      <c r="AE114">
        <f>IF('Дивиденды по годам'!M114&lt;0,1,0)</f>
        <v>0</v>
      </c>
    </row>
    <row r="115" spans="1:31" x14ac:dyDescent="0.2">
      <c r="A115" s="7" t="s">
        <v>2190</v>
      </c>
      <c r="B115" t="str">
        <f t="shared" si="11"/>
        <v>ELFV IV кв. 2024</v>
      </c>
      <c r="C115">
        <v>2024</v>
      </c>
      <c r="D115">
        <f>SUMIFS(Дивиденды!$C:$C,Дивиденды!$A:$A,A115,Дивиденды!$I:$I,C115)</f>
        <v>0</v>
      </c>
      <c r="E115">
        <v>2</v>
      </c>
      <c r="F115">
        <f t="shared" si="12"/>
        <v>0</v>
      </c>
      <c r="G115">
        <f t="shared" si="13"/>
        <v>6.3399999999999998E-2</v>
      </c>
      <c r="H115">
        <f t="shared" si="14"/>
        <v>0</v>
      </c>
      <c r="I115">
        <f t="shared" si="15"/>
        <v>0.58333333333333337</v>
      </c>
      <c r="J115">
        <f t="shared" si="16"/>
        <v>0</v>
      </c>
      <c r="K115">
        <f t="shared" si="21"/>
        <v>8.6160653443004165E-2</v>
      </c>
      <c r="L115">
        <f t="shared" si="17"/>
        <v>0</v>
      </c>
      <c r="M115">
        <f t="shared" si="18"/>
        <v>0.58333333333333337</v>
      </c>
      <c r="N115">
        <f t="shared" si="19"/>
        <v>0</v>
      </c>
      <c r="O115">
        <f t="shared" si="20"/>
        <v>8.3333333333333329E-2</v>
      </c>
      <c r="P115">
        <f>IFERROR(LN('Дивиденды по годам'!I115),"")</f>
        <v>25.02382142769336</v>
      </c>
      <c r="Q115">
        <f>IFERROR('Дивиденды по годам'!G115/'Дивиденды по годам'!I115, "")</f>
        <v>0.7550847325234763</v>
      </c>
      <c r="R115">
        <f>IFERROR(IF(AND('Дивиденды по годам'!N115&lt;&gt;"",'Дивиденды по годам'!U115&lt;&gt;"",'Дивиденды по годам'!U115&lt;&gt;0),'Дивиденды по годам'!N115/'Дивиденды по годам'!U115-1,""),"")</f>
        <v>0.12729554334767457</v>
      </c>
      <c r="S115">
        <f>IFERROR(IF(AND('Дивиденды по годам'!L115&lt;&gt;"",'Дивиденды по годам'!I115&lt;&gt;"",'Дивиденды по годам'!J115&lt;&gt;"",'Дивиденды по годам'!K115&lt;&gt;"",('Дивиденды по годам'!I115-'Дивиденды по годам'!J115-'Дивиденды по годам'!K115)&lt;&gt;0),'Дивиденды по годам'!L115/('Дивиденды по годам'!I115-'Дивиденды по годам'!J115-'Дивиденды по годам'!K115),""),"")</f>
        <v>-0.23546221013386082</v>
      </c>
      <c r="T115">
        <f>IFERROR(IF(AND('Дивиденды по годам'!Q115&lt;&gt;"",'Дивиденды по годам'!I115&lt;&gt;"",'Дивиденды по годам'!V115&lt;&gt;"",('Дивиденды по годам'!I115+'Дивиденды по годам'!V115)&lt;&gt;0),'Дивиденды по годам'!Q115/(('Дивиденды по годам'!I115+'Дивиденды по годам'!V115)/2),""),"")</f>
        <v>6.4561338548831129E-2</v>
      </c>
      <c r="U115">
        <f>IFERROR(IF(AND('Дивиденды по годам'!J115&lt;&gt;"",'Дивиденды по годам'!K115&lt;&gt;"",'Дивиденды по годам'!M115&lt;&gt;"",'Дивиденды по годам'!M115&lt;&gt;0),('Дивиденды по годам'!J115+'Дивиденды по годам'!K115)/'Дивиденды по годам'!M115,""),"")</f>
        <v>1.1667595037542531</v>
      </c>
      <c r="V115">
        <f>IFERROR(IF(AND('Дивиденды по годам'!J115&lt;&gt;"",'Дивиденды по годам'!K115&lt;&gt;"",'Дивиденды по годам'!M115&lt;&gt;"",'Дивиденды по годам'!I115&lt;&gt;0),('Дивиденды по годам'!J115+'Дивиденды по годам'!K115)/'Дивиденды по годам'!I115,""),"")</f>
        <v>0.53848131356186879</v>
      </c>
      <c r="W115">
        <f>IFERROR('Дивиденды по годам'!I115,"")</f>
        <v>73740752000</v>
      </c>
      <c r="X115" cm="1">
        <f t="array" ref="X115">IFERROR(AVERAGE(_xlfn._xlws.FILTER(P$2:P$1073,($C$2:$C$1073=$C115)*($E$2:$E$1073=$E115)*(ROW(P$2:P$1073)&lt;&gt;ROW(P115))*(P$2:P$1073&lt;&gt;""))),"")</f>
        <v>26.697931357987038</v>
      </c>
      <c r="Y115" cm="1">
        <f t="array" ref="Y115">IFERROR(AVERAGE(_xlfn._xlws.FILTER(Q$2:Q$1073,($C$2:$C$1073=$C115)*($E$2:$E$1073=$E115)*(ROW(Q$2:Q$1073)&lt;&gt;ROW(Q115))*(Q$2:Q$1073&lt;&gt;""))),"")</f>
        <v>0.681629947703143</v>
      </c>
      <c r="Z115" cm="1">
        <f t="array" ref="Z115">IFERROR(AVERAGE(_xlfn._xlws.FILTER(R$2:R$1073,($C$2:$C$1073=$C115)*($E$2:$E$1073=$E115)*(ROW(R$2:R$1073)&lt;&gt;ROW(R115))*(R$2:R$1073&lt;&gt;""))),"")</f>
        <v>9.6229963205441915E-2</v>
      </c>
      <c r="AA115" cm="1">
        <f t="array" ref="AA115">IFERROR(AVERAGE(_xlfn._xlws.FILTER(S$2:S$1073,($C$2:$C$1073=$C115)*($E$2:$E$1073=$E115)*(ROW(S$2:S$1073)&lt;&gt;ROW(S115))*(S$2:S$1073&lt;&gt;""))),"")</f>
        <v>0.65174256569470645</v>
      </c>
      <c r="AB115" cm="1">
        <f t="array" ref="AB115">IFERROR(AVERAGE(_xlfn._xlws.FILTER(T$2:T$1073,($C$2:$C$1073=$C115)*($E$2:$E$1073=$E115)*(ROW(T$2:T$1073)&lt;&gt;ROW(T115))*(T$2:T$1073&lt;&gt;""))),"")</f>
        <v>5.6514752505388587E-2</v>
      </c>
      <c r="AC115" cm="1">
        <f t="array" ref="AC115">IFERROR(AVERAGE(_xlfn._xlws.FILTER(U$2:U$1073,($C$2:$C$1073=$C115)*($E$2:$E$1073=$E115)*(ROW(U$2:U$1073)&lt;&gt;ROW(U115))*(U$2:U$1073&lt;&gt;""))),"")</f>
        <v>0.90591746044327315</v>
      </c>
      <c r="AD115" cm="1">
        <f t="array" ref="AD115">IFERROR(AVERAGE(_xlfn._xlws.FILTER(V$2:V$1073,($C$2:$C$1073=$C115)*($E$2:$E$1073=$E115)*(ROW(V$2:V$1073)&lt;&gt;ROW(V115))*(V$2:V$1073&lt;&gt;""))),"")</f>
        <v>0.44191188349454369</v>
      </c>
      <c r="AE115">
        <f>IF('Дивиденды по годам'!M115&lt;0,1,0)</f>
        <v>0</v>
      </c>
    </row>
    <row r="116" spans="1:31" x14ac:dyDescent="0.2">
      <c r="A116" s="7" t="s">
        <v>2190</v>
      </c>
      <c r="B116" t="str">
        <f t="shared" si="11"/>
        <v>ELFV IV кв. 2023</v>
      </c>
      <c r="C116">
        <v>2023</v>
      </c>
      <c r="D116">
        <f>SUMIFS(Дивиденды!$C:$C,Дивиденды!$A:$A,A116,Дивиденды!$I:$I,C116)</f>
        <v>0</v>
      </c>
      <c r="E116">
        <v>2</v>
      </c>
      <c r="F116">
        <f t="shared" si="12"/>
        <v>0</v>
      </c>
      <c r="G116">
        <f t="shared" si="13"/>
        <v>6.6299999999999998E-2</v>
      </c>
      <c r="H116">
        <f t="shared" si="14"/>
        <v>0</v>
      </c>
      <c r="I116">
        <f t="shared" si="15"/>
        <v>0.58333333333333337</v>
      </c>
      <c r="J116">
        <f t="shared" si="16"/>
        <v>0</v>
      </c>
      <c r="K116">
        <f t="shared" si="21"/>
        <v>0.11703324263565433</v>
      </c>
      <c r="L116">
        <f t="shared" si="17"/>
        <v>0</v>
      </c>
      <c r="M116">
        <f t="shared" si="18"/>
        <v>0.5</v>
      </c>
      <c r="N116">
        <f t="shared" si="19"/>
        <v>0</v>
      </c>
      <c r="O116">
        <f t="shared" si="20"/>
        <v>0.25</v>
      </c>
      <c r="P116">
        <f>IFERROR(LN('Дивиденды по годам'!I116),"")</f>
        <v>24.92762334049084</v>
      </c>
      <c r="Q116">
        <f>IFERROR('Дивиденды по годам'!G116/'Дивиденды по годам'!I116, "")</f>
        <v>0.78663655528402343</v>
      </c>
      <c r="R116">
        <f>IFERROR(IF(AND('Дивиденды по годам'!N116&lt;&gt;"",'Дивиденды по годам'!U116&lt;&gt;"",'Дивиденды по годам'!U116&lt;&gt;0),'Дивиденды по годам'!N116/'Дивиденды по годам'!U116-1,""),"")</f>
        <v>0.20470361752535471</v>
      </c>
      <c r="S116">
        <f>IFERROR(IF(AND('Дивиденды по годам'!L116&lt;&gt;"",'Дивиденды по годам'!I116&lt;&gt;"",'Дивиденды по годам'!J116&lt;&gt;"",'Дивиденды по годам'!K116&lt;&gt;"",('Дивиденды по годам'!I116-'Дивиденды по годам'!J116-'Дивиденды по годам'!K116)&lt;&gt;0),'Дивиденды по годам'!L116/('Дивиденды по годам'!I116-'Дивиденды по годам'!J116-'Дивиденды по годам'!K116),""),"")</f>
        <v>-0.42691677593303251</v>
      </c>
      <c r="T116">
        <f>IFERROR(IF(AND('Дивиденды по годам'!Q116&lt;&gt;"",'Дивиденды по годам'!I116&lt;&gt;"",'Дивиденды по годам'!V116&lt;&gt;"",('Дивиденды по годам'!I116+'Дивиденды по годам'!V116)&lt;&gt;0),'Дивиденды по годам'!Q116/(('Дивиденды по годам'!I116+'Дивиденды по годам'!V116)/2),""),"")</f>
        <v>6.9890547087433169E-2</v>
      </c>
      <c r="U116">
        <f>IFERROR(IF(AND('Дивиденды по годам'!J116&lt;&gt;"",'Дивиденды по годам'!K116&lt;&gt;"",'Дивиденды по годам'!M116&lt;&gt;"",'Дивиденды по годам'!M116&lt;&gt;0),('Дивиденды по годам'!J116+'Дивиденды по годам'!K116)/'Дивиденды по годам'!M116,""),"")</f>
        <v>1.2728518618198066</v>
      </c>
      <c r="V116">
        <f>IFERROR(IF(AND('Дивиденды по годам'!J116&lt;&gt;"",'Дивиденды по годам'!K116&lt;&gt;"",'Дивиденды по годам'!M116&lt;&gt;"",'Дивиденды по годам'!I116&lt;&gt;0),('Дивиденды по годам'!J116+'Дивиденды по годам'!K116)/'Дивиденды по годам'!I116,""),"")</f>
        <v>0.56002411912612327</v>
      </c>
      <c r="W116">
        <f>IFERROR('Дивиденды по годам'!I116,"")</f>
        <v>66977551000</v>
      </c>
      <c r="X116" cm="1">
        <f t="array" ref="X116">IFERROR(AVERAGE(_xlfn._xlws.FILTER(P$2:P$1073,($C$2:$C$1073=$C116)*($E$2:$E$1073=$E116)*(ROW(P$2:P$1073)&lt;&gt;ROW(P116))*(P$2:P$1073&lt;&gt;""))),"")</f>
        <v>26.577869359852812</v>
      </c>
      <c r="Y116" cm="1">
        <f t="array" ref="Y116">IFERROR(AVERAGE(_xlfn._xlws.FILTER(Q$2:Q$1073,($C$2:$C$1073=$C116)*($E$2:$E$1073=$E116)*(ROW(Q$2:Q$1073)&lt;&gt;ROW(Q116))*(Q$2:Q$1073&lt;&gt;""))),"")</f>
        <v>0.70032483502415999</v>
      </c>
      <c r="Z116" cm="1">
        <f t="array" ref="Z116">IFERROR(AVERAGE(_xlfn._xlws.FILTER(R$2:R$1073,($C$2:$C$1073=$C116)*($E$2:$E$1073=$E116)*(ROW(R$2:R$1073)&lt;&gt;ROW(R116))*(R$2:R$1073&lt;&gt;""))),"")</f>
        <v>0.13261188915987768</v>
      </c>
      <c r="AA116" cm="1">
        <f t="array" ref="AA116">IFERROR(AVERAGE(_xlfn._xlws.FILTER(S$2:S$1073,($C$2:$C$1073=$C116)*($E$2:$E$1073=$E116)*(ROW(S$2:S$1073)&lt;&gt;ROW(S116))*(S$2:S$1073&lt;&gt;""))),"")</f>
        <v>0.64808270021735737</v>
      </c>
      <c r="AB116" cm="1">
        <f t="array" ref="AB116">IFERROR(AVERAGE(_xlfn._xlws.FILTER(T$2:T$1073,($C$2:$C$1073=$C116)*($E$2:$E$1073=$E116)*(ROW(T$2:T$1073)&lt;&gt;ROW(T116))*(T$2:T$1073&lt;&gt;""))),"")</f>
        <v>7.648585689957757E-2</v>
      </c>
      <c r="AC116" cm="1">
        <f t="array" ref="AC116">IFERROR(AVERAGE(_xlfn._xlws.FILTER(U$2:U$1073,($C$2:$C$1073=$C116)*($E$2:$E$1073=$E116)*(ROW(U$2:U$1073)&lt;&gt;ROW(U116))*(U$2:U$1073&lt;&gt;""))),"")</f>
        <v>0.77403121652156315</v>
      </c>
      <c r="AD116" cm="1">
        <f t="array" ref="AD116">IFERROR(AVERAGE(_xlfn._xlws.FILTER(V$2:V$1073,($C$2:$C$1073=$C116)*($E$2:$E$1073=$E116)*(ROW(V$2:V$1073)&lt;&gt;ROW(V116))*(V$2:V$1073&lt;&gt;""))),"")</f>
        <v>0.40972990321861197</v>
      </c>
      <c r="AE116">
        <f>IF('Дивиденды по годам'!M116&lt;0,1,0)</f>
        <v>0</v>
      </c>
    </row>
    <row r="117" spans="1:31" x14ac:dyDescent="0.2">
      <c r="A117" s="7" t="s">
        <v>2190</v>
      </c>
      <c r="B117" t="str">
        <f t="shared" si="11"/>
        <v>ELFV IV кв. 2022</v>
      </c>
      <c r="C117">
        <v>2022</v>
      </c>
      <c r="D117">
        <f>SUMIFS(Дивиденды!$C:$C,Дивиденды!$A:$A,A117,Дивиденды!$I:$I,C117)</f>
        <v>0</v>
      </c>
      <c r="E117">
        <v>2</v>
      </c>
      <c r="F117">
        <f t="shared" si="12"/>
        <v>0</v>
      </c>
      <c r="G117">
        <f t="shared" si="13"/>
        <v>6.4731666666666673E-2</v>
      </c>
      <c r="H117">
        <f t="shared" si="14"/>
        <v>0</v>
      </c>
      <c r="I117">
        <f t="shared" si="15"/>
        <v>0.66666666666666663</v>
      </c>
      <c r="J117">
        <f t="shared" si="16"/>
        <v>0</v>
      </c>
      <c r="K117">
        <f t="shared" si="21"/>
        <v>-0.16164186159374039</v>
      </c>
      <c r="L117">
        <f t="shared" si="17"/>
        <v>0</v>
      </c>
      <c r="M117">
        <f t="shared" si="18"/>
        <v>0.33333333333333331</v>
      </c>
      <c r="N117">
        <f t="shared" si="19"/>
        <v>0</v>
      </c>
      <c r="O117">
        <f t="shared" si="20"/>
        <v>0.5</v>
      </c>
      <c r="P117">
        <f>IFERROR(LN('Дивиденды по годам'!I117),"")</f>
        <v>24.903097949056466</v>
      </c>
      <c r="Q117">
        <f>IFERROR('Дивиденды по годам'!G117/'Дивиденды по годам'!I117, "")</f>
        <v>0.71322427644270792</v>
      </c>
      <c r="R117">
        <f>IFERROR(IF(AND('Дивиденды по годам'!N117&lt;&gt;"",'Дивиденды по годам'!U117&lt;&gt;"",'Дивиденды по годам'!U117&lt;&gt;0),'Дивиденды по годам'!N117/'Дивиденды по годам'!U117-1,""),"")</f>
        <v>4.6271007492250993E-2</v>
      </c>
      <c r="S117">
        <f>IFERROR(IF(AND('Дивиденды по годам'!L117&lt;&gt;"",'Дивиденды по годам'!I117&lt;&gt;"",'Дивиденды по годам'!J117&lt;&gt;"",'Дивиденды по годам'!K117&lt;&gt;"",('Дивиденды по годам'!I117-'Дивиденды по годам'!J117-'Дивиденды по годам'!K117)&lt;&gt;0),'Дивиденды по годам'!L117/('Дивиденды по годам'!I117-'Дивиденды по годам'!J117-'Дивиденды по годам'!K117),""),"")</f>
        <v>-0.6929649007989892</v>
      </c>
      <c r="T117">
        <f>IFERROR(IF(AND('Дивиденды по годам'!Q117&lt;&gt;"",'Дивиденды по годам'!I117&lt;&gt;"",'Дивиденды по годам'!V117&lt;&gt;"",('Дивиденды по годам'!I117+'Дивиденды по годам'!V117)&lt;&gt;0),'Дивиденды по годам'!Q117/(('Дивиденды по годам'!I117+'Дивиденды по годам'!V117)/2),""),"")</f>
        <v>-0.25776320778102352</v>
      </c>
      <c r="U117">
        <f>IFERROR(IF(AND('Дивиденды по годам'!J117&lt;&gt;"",'Дивиденды по годам'!K117&lt;&gt;"",'Дивиденды по годам'!M117&lt;&gt;"",'Дивиденды по годам'!M117&lt;&gt;0),('Дивиденды по годам'!J117+'Дивиденды по годам'!K117)/'Дивиденды по годам'!M117,""),"")</f>
        <v>1.6319610423140616</v>
      </c>
      <c r="V117">
        <f>IFERROR(IF(AND('Дивиденды по годам'!J117&lt;&gt;"",'Дивиденды по годам'!K117&lt;&gt;"",'Дивиденды по годам'!M117&lt;&gt;"",'Дивиденды по годам'!I117&lt;&gt;0),('Дивиденды по годам'!J117+'Дивиденды по годам'!K117)/'Дивиденды по годам'!I117,""),"")</f>
        <v>0.62005516650019099</v>
      </c>
      <c r="W117">
        <f>IFERROR('Дивиденды по годам'!I117,"")</f>
        <v>65354880000</v>
      </c>
      <c r="X117" cm="1">
        <f t="array" ref="X117">IFERROR(AVERAGE(_xlfn._xlws.FILTER(P$2:P$1073,($C$2:$C$1073=$C117)*($E$2:$E$1073=$E117)*(ROW(P$2:P$1073)&lt;&gt;ROW(P117))*(P$2:P$1073&lt;&gt;""))),"")</f>
        <v>26.467969552892978</v>
      </c>
      <c r="Y117" cm="1">
        <f t="array" ref="Y117">IFERROR(AVERAGE(_xlfn._xlws.FILTER(Q$2:Q$1073,($C$2:$C$1073=$C117)*($E$2:$E$1073=$E117)*(ROW(Q$2:Q$1073)&lt;&gt;ROW(Q117))*(Q$2:Q$1073&lt;&gt;""))),"")</f>
        <v>0.70756185394190596</v>
      </c>
      <c r="Z117" cm="1">
        <f t="array" ref="Z117">IFERROR(AVERAGE(_xlfn._xlws.FILTER(R$2:R$1073,($C$2:$C$1073=$C117)*($E$2:$E$1073=$E117)*(ROW(R$2:R$1073)&lt;&gt;ROW(R117))*(R$2:R$1073&lt;&gt;""))),"")</f>
        <v>7.6751964029055111E-2</v>
      </c>
      <c r="AA117" cm="1">
        <f t="array" ref="AA117">IFERROR(AVERAGE(_xlfn._xlws.FILTER(S$2:S$1073,($C$2:$C$1073=$C117)*($E$2:$E$1073=$E117)*(ROW(S$2:S$1073)&lt;&gt;ROW(S117))*(S$2:S$1073&lt;&gt;""))),"")</f>
        <v>0.64917227469347305</v>
      </c>
      <c r="AB117" cm="1">
        <f t="array" ref="AB117">IFERROR(AVERAGE(_xlfn._xlws.FILTER(T$2:T$1073,($C$2:$C$1073=$C117)*($E$2:$E$1073=$E117)*(ROW(T$2:T$1073)&lt;&gt;ROW(T117))*(T$2:T$1073&lt;&gt;""))),"")</f>
        <v>5.125712485816989E-2</v>
      </c>
      <c r="AC117" cm="1">
        <f t="array" ref="AC117">IFERROR(AVERAGE(_xlfn._xlws.FILTER(U$2:U$1073,($C$2:$C$1073=$C117)*($E$2:$E$1073=$E117)*(ROW(U$2:U$1073)&lt;&gt;ROW(U117))*(U$2:U$1073&lt;&gt;""))),"")</f>
        <v>0.8289262473536142</v>
      </c>
      <c r="AD117" cm="1">
        <f t="array" ref="AD117">IFERROR(AVERAGE(_xlfn._xlws.FILTER(V$2:V$1073,($C$2:$C$1073=$C117)*($E$2:$E$1073=$E117)*(ROW(V$2:V$1073)&lt;&gt;ROW(V117))*(V$2:V$1073&lt;&gt;""))),"")</f>
        <v>0.42190335325254491</v>
      </c>
      <c r="AE117">
        <f>IF('Дивиденды по годам'!M117&lt;0,1,0)</f>
        <v>0</v>
      </c>
    </row>
    <row r="118" spans="1:31" x14ac:dyDescent="0.2">
      <c r="A118" s="7" t="s">
        <v>2190</v>
      </c>
      <c r="B118" t="str">
        <f t="shared" si="11"/>
        <v>ELFV IV кв. 2021</v>
      </c>
      <c r="C118">
        <v>2021</v>
      </c>
      <c r="D118">
        <f>SUMIFS(Дивиденды!$C:$C,Дивиденды!$A:$A,A118,Дивиденды!$I:$I,C118)</f>
        <v>0</v>
      </c>
      <c r="E118">
        <v>2</v>
      </c>
      <c r="F118">
        <f t="shared" si="12"/>
        <v>0</v>
      </c>
      <c r="G118">
        <f t="shared" si="13"/>
        <v>8.178524999999999E-2</v>
      </c>
      <c r="H118">
        <f t="shared" si="14"/>
        <v>0</v>
      </c>
      <c r="I118">
        <f t="shared" si="15"/>
        <v>0.83333333333333337</v>
      </c>
      <c r="J118">
        <f t="shared" si="16"/>
        <v>0</v>
      </c>
      <c r="K118">
        <f t="shared" si="21"/>
        <v>0.16387618392405565</v>
      </c>
      <c r="L118">
        <f t="shared" si="17"/>
        <v>0</v>
      </c>
      <c r="M118">
        <f t="shared" si="18"/>
        <v>0.66666666666666663</v>
      </c>
      <c r="N118">
        <f t="shared" si="19"/>
        <v>0</v>
      </c>
      <c r="O118">
        <f t="shared" si="20"/>
        <v>0.25</v>
      </c>
      <c r="P118">
        <f>IFERROR(LN('Дивиденды по годам'!I118),"")</f>
        <v>25.239826828295676</v>
      </c>
      <c r="Q118">
        <f>IFERROR('Дивиденды по годам'!G118/'Дивиденды по годам'!I118, "")</f>
        <v>0.76243865064409688</v>
      </c>
      <c r="R118">
        <f>IFERROR(IF(AND('Дивиденды по годам'!N118&lt;&gt;"",'Дивиденды по годам'!U118&lt;&gt;"",'Дивиденды по годам'!U118&lt;&gt;0),'Дивиденды по годам'!N118/'Дивиденды по годам'!U118-1,""),"")</f>
        <v>9.5649261923435036E-2</v>
      </c>
      <c r="S118">
        <f>IFERROR(IF(AND('Дивиденды по годам'!L118&lt;&gt;"",'Дивиденды по годам'!I118&lt;&gt;"",'Дивиденды по годам'!J118&lt;&gt;"",'Дивиденды по годам'!K118&lt;&gt;"",('Дивиденды по годам'!I118-'Дивиденды по годам'!J118-'Дивиденды по годам'!K118)&lt;&gt;0),'Дивиденды по годам'!L118/('Дивиденды по годам'!I118-'Дивиденды по годам'!J118-'Дивиденды по годам'!K118),""),"")</f>
        <v>2.3150476324480574E-2</v>
      </c>
      <c r="T118">
        <f>IFERROR(IF(AND('Дивиденды по годам'!Q118&lt;&gt;"",'Дивиденды по годам'!I118&lt;&gt;"",'Дивиденды по годам'!V118&lt;&gt;"",('Дивиденды по годам'!I118+'Дивиденды по годам'!V118)&lt;&gt;0),'Дивиденды по годам'!Q118/(('Дивиденды по годам'!I118+'Дивиденды по годам'!V118)/2),""),"")</f>
        <v>3.0664453994463534E-2</v>
      </c>
      <c r="U118">
        <f>IFERROR(IF(AND('Дивиденды по годам'!J118&lt;&gt;"",'Дивиденды по годам'!K118&lt;&gt;"",'Дивиденды по годам'!M118&lt;&gt;"",'Дивиденды по годам'!M118&lt;&gt;0),('Дивиденды по годам'!J118+'Дивиденды по годам'!K118)/'Дивиденды по годам'!M118,""),"")</f>
        <v>1.1334211361766247</v>
      </c>
      <c r="V118">
        <f>IFERROR(IF(AND('Дивиденды по годам'!J118&lt;&gt;"",'Дивиденды по годам'!K118&lt;&gt;"",'Дивиденды по годам'!M118&lt;&gt;"",'Дивиденды по годам'!I118&lt;&gt;0),('Дивиденды по годам'!J118+'Дивиденды по годам'!K118)/'Дивиденды по годам'!I118,""),"")</f>
        <v>0.53126929182292937</v>
      </c>
      <c r="W118">
        <f>IFERROR('Дивиденды по годам'!I118,"")</f>
        <v>91520317000</v>
      </c>
      <c r="X118" cm="1">
        <f t="array" ref="X118">IFERROR(AVERAGE(_xlfn._xlws.FILTER(P$2:P$1073,($C$2:$C$1073=$C118)*($E$2:$E$1073=$E118)*(ROW(P$2:P$1073)&lt;&gt;ROW(P118))*(P$2:P$1073&lt;&gt;""))),"")</f>
        <v>25.995404596130534</v>
      </c>
      <c r="Y118" cm="1">
        <f t="array" ref="Y118">IFERROR(AVERAGE(_xlfn._xlws.FILTER(Q$2:Q$1073,($C$2:$C$1073=$C118)*($E$2:$E$1073=$E118)*(ROW(Q$2:Q$1073)&lt;&gt;ROW(Q118))*(Q$2:Q$1073&lt;&gt;""))),"")</f>
        <v>0.77071603374293363</v>
      </c>
      <c r="Z118" cm="1">
        <f t="array" ref="Z118">IFERROR(AVERAGE(_xlfn._xlws.FILTER(R$2:R$1073,($C$2:$C$1073=$C118)*($E$2:$E$1073=$E118)*(ROW(R$2:R$1073)&lt;&gt;ROW(R118))*(R$2:R$1073&lt;&gt;""))),"")</f>
        <v>0.12983824430514754</v>
      </c>
      <c r="AA118" cm="1">
        <f t="array" ref="AA118">IFERROR(AVERAGE(_xlfn._xlws.FILTER(S$2:S$1073,($C$2:$C$1073=$C118)*($E$2:$E$1073=$E118)*(ROW(S$2:S$1073)&lt;&gt;ROW(S118))*(S$2:S$1073&lt;&gt;""))),"")</f>
        <v>0.54899274750875215</v>
      </c>
      <c r="AB118" cm="1">
        <f t="array" ref="AB118">IFERROR(AVERAGE(_xlfn._xlws.FILTER(T$2:T$1073,($C$2:$C$1073=$C118)*($E$2:$E$1073=$E118)*(ROW(T$2:T$1073)&lt;&gt;ROW(T118))*(T$2:T$1073&lt;&gt;""))),"")</f>
        <v>3.7011689540205277E-2</v>
      </c>
      <c r="AC118" cm="1">
        <f t="array" ref="AC118">IFERROR(AVERAGE(_xlfn._xlws.FILTER(U$2:U$1073,($C$2:$C$1073=$C118)*($E$2:$E$1073=$E118)*(ROW(U$2:U$1073)&lt;&gt;ROW(U118))*(U$2:U$1073&lt;&gt;""))),"")</f>
        <v>0.67295271890317832</v>
      </c>
      <c r="AD118" cm="1">
        <f t="array" ref="AD118">IFERROR(AVERAGE(_xlfn._xlws.FILTER(V$2:V$1073,($C$2:$C$1073=$C118)*($E$2:$E$1073=$E118)*(ROW(V$2:V$1073)&lt;&gt;ROW(V118))*(V$2:V$1073&lt;&gt;""))),"")</f>
        <v>0.3676786023771495</v>
      </c>
      <c r="AE118">
        <f>IF('Дивиденды по годам'!M118&lt;0,1,0)</f>
        <v>0</v>
      </c>
    </row>
    <row r="119" spans="1:31" x14ac:dyDescent="0.2">
      <c r="A119" s="7" t="s">
        <v>2190</v>
      </c>
      <c r="B119" t="str">
        <f t="shared" si="11"/>
        <v>ELFV IV кв. 2020</v>
      </c>
      <c r="C119">
        <v>2020</v>
      </c>
      <c r="D119">
        <f>SUMIFS(Дивиденды!$C:$C,Дивиденды!$A:$A,A119,Дивиденды!$I:$I,C119)</f>
        <v>0</v>
      </c>
      <c r="E119">
        <v>2</v>
      </c>
      <c r="F119">
        <f t="shared" si="12"/>
        <v>0</v>
      </c>
      <c r="G119">
        <f t="shared" si="13"/>
        <v>6.9905916666666665E-2</v>
      </c>
      <c r="H119">
        <f t="shared" si="14"/>
        <v>0</v>
      </c>
      <c r="I119">
        <f t="shared" si="15"/>
        <v>0.83333333333333337</v>
      </c>
      <c r="J119">
        <f t="shared" si="16"/>
        <v>-1</v>
      </c>
      <c r="K119">
        <f t="shared" si="21"/>
        <v>-2.2906983693792141E-3</v>
      </c>
      <c r="L119">
        <f t="shared" si="17"/>
        <v>0</v>
      </c>
      <c r="M119">
        <f t="shared" si="18"/>
        <v>0.58333333333333337</v>
      </c>
      <c r="N119">
        <f t="shared" si="19"/>
        <v>1</v>
      </c>
      <c r="O119">
        <f t="shared" si="20"/>
        <v>0.41666666666666669</v>
      </c>
      <c r="P119">
        <f>IFERROR(LN('Дивиденды по годам'!I119),"")</f>
        <v>25.063652056347621</v>
      </c>
      <c r="Q119">
        <f>IFERROR('Дивиденды по годам'!G119/'Дивиденды по годам'!I119, "")</f>
        <v>0.69167542024711859</v>
      </c>
      <c r="R119">
        <f>IFERROR(IF(AND('Дивиденды по годам'!N119&lt;&gt;"",'Дивиденды по годам'!U119&lt;&gt;"",'Дивиденды по годам'!U119&lt;&gt;0),'Дивиденды по годам'!N119/'Дивиденды по годам'!U119-1,""),"")</f>
        <v>-0.33110151109496833</v>
      </c>
      <c r="S119">
        <f>IFERROR(IF(AND('Дивиденды по годам'!L119&lt;&gt;"",'Дивиденды по годам'!I119&lt;&gt;"",'Дивиденды по годам'!J119&lt;&gt;"",'Дивиденды по годам'!K119&lt;&gt;"",('Дивиденды по годам'!I119-'Дивиденды по годам'!J119-'Дивиденды по годам'!K119)&lt;&gt;0),'Дивиденды по годам'!L119/('Дивиденды по годам'!I119-'Дивиденды по годам'!J119-'Дивиденды по годам'!K119),""),"")</f>
        <v>-4.2749356515657561E-2</v>
      </c>
      <c r="T119">
        <f>IFERROR(IF(AND('Дивиденды по годам'!Q119&lt;&gt;"",'Дивиденды по годам'!I119&lt;&gt;"",'Дивиденды по годам'!V119&lt;&gt;"",('Дивиденды по годам'!I119+'Дивиденды по годам'!V119)&lt;&gt;0),'Дивиденды по годам'!Q119/(('Дивиденды по годам'!I119+'Дивиденды по годам'!V119)/2),""),"")</f>
        <v>4.9391214983644384E-2</v>
      </c>
      <c r="U119">
        <f>IFERROR(IF(AND('Дивиденды по годам'!J119&lt;&gt;"",'Дивиденды по годам'!K119&lt;&gt;"",'Дивиденды по годам'!M119&lt;&gt;"",'Дивиденды по годам'!M119&lt;&gt;0),('Дивиденды по годам'!J119+'Дивиденды по годам'!K119)/'Дивиденды по годам'!M119,""),"")</f>
        <v>0.8918677824118002</v>
      </c>
      <c r="V119">
        <f>IFERROR(IF(AND('Дивиденды по годам'!J119&lt;&gt;"",'Дивиденды по годам'!K119&lt;&gt;"",'Дивиденды по годам'!M119&lt;&gt;"",'Дивиденды по годам'!I119&lt;&gt;0),('Дивиденды по годам'!J119+'Дивиденды по годам'!K119)/'Дивиденды по годам'!I119,""),"")</f>
        <v>0.47142183544921146</v>
      </c>
      <c r="W119">
        <f>IFERROR('Дивиденды по годам'!I119,"")</f>
        <v>76737171000</v>
      </c>
      <c r="X119" cm="1">
        <f t="array" ref="X119">IFERROR(AVERAGE(_xlfn._xlws.FILTER(P$2:P$1073,($C$2:$C$1073=$C119)*($E$2:$E$1073=$E119)*(ROW(P$2:P$1073)&lt;&gt;ROW(P119))*(P$2:P$1073&lt;&gt;""))),"")</f>
        <v>26.265581106971336</v>
      </c>
      <c r="Y119" cm="1">
        <f t="array" ref="Y119">IFERROR(AVERAGE(_xlfn._xlws.FILTER(Q$2:Q$1073,($C$2:$C$1073=$C119)*($E$2:$E$1073=$E119)*(ROW(Q$2:Q$1073)&lt;&gt;ROW(Q119))*(Q$2:Q$1073&lt;&gt;""))),"")</f>
        <v>0.7494102705821698</v>
      </c>
      <c r="Z119" cm="1">
        <f t="array" ref="Z119">IFERROR(AVERAGE(_xlfn._xlws.FILTER(R$2:R$1073,($C$2:$C$1073=$C119)*($E$2:$E$1073=$E119)*(ROW(R$2:R$1073)&lt;&gt;ROW(R119))*(R$2:R$1073&lt;&gt;""))),"")</f>
        <v>-4.1950154107860287E-2</v>
      </c>
      <c r="AA119" cm="1">
        <f t="array" ref="AA119">IFERROR(AVERAGE(_xlfn._xlws.FILTER(S$2:S$1073,($C$2:$C$1073=$C119)*($E$2:$E$1073=$E119)*(ROW(S$2:S$1073)&lt;&gt;ROW(S119))*(S$2:S$1073&lt;&gt;""))),"")</f>
        <v>0.52840523671364126</v>
      </c>
      <c r="AB119" cm="1">
        <f t="array" ref="AB119">IFERROR(AVERAGE(_xlfn._xlws.FILTER(T$2:T$1073,($C$2:$C$1073=$C119)*($E$2:$E$1073=$E119)*(ROW(T$2:T$1073)&lt;&gt;ROW(T119))*(T$2:T$1073&lt;&gt;""))),"")</f>
        <v>4.2090339105536195E-2</v>
      </c>
      <c r="AC119" cm="1">
        <f t="array" ref="AC119">IFERROR(AVERAGE(_xlfn._xlws.FILTER(U$2:U$1073,($C$2:$C$1073=$C119)*($E$2:$E$1073=$E119)*(ROW(U$2:U$1073)&lt;&gt;ROW(U119))*(U$2:U$1073&lt;&gt;""))),"")</f>
        <v>0.64020820540115519</v>
      </c>
      <c r="AD119" cm="1">
        <f t="array" ref="AD119">IFERROR(AVERAGE(_xlfn._xlws.FILTER(V$2:V$1073,($C$2:$C$1073=$C119)*($E$2:$E$1073=$E119)*(ROW(V$2:V$1073)&lt;&gt;ROW(V119))*(V$2:V$1073&lt;&gt;""))),"")</f>
        <v>0.35931231233577693</v>
      </c>
      <c r="AE119">
        <f>IF('Дивиденды по годам'!M119&lt;0,1,0)</f>
        <v>0</v>
      </c>
    </row>
    <row r="120" spans="1:31" x14ac:dyDescent="0.2">
      <c r="A120" s="7" t="s">
        <v>2190</v>
      </c>
      <c r="B120" t="str">
        <f t="shared" si="11"/>
        <v>ELFV IV кв. 2019</v>
      </c>
      <c r="C120">
        <v>2019</v>
      </c>
      <c r="D120">
        <f>SUMIFS(Дивиденды!$C:$C,Дивиденды!$A:$A,A120,Дивиденды!$I:$I,C120)</f>
        <v>8.5000000000000006E-2</v>
      </c>
      <c r="E120">
        <v>2</v>
      </c>
      <c r="F120">
        <f t="shared" si="12"/>
        <v>8.5000000000000006E-2</v>
      </c>
      <c r="G120">
        <f t="shared" si="13"/>
        <v>6.4225333333333329E-2</v>
      </c>
      <c r="H120">
        <f t="shared" si="14"/>
        <v>1</v>
      </c>
      <c r="I120">
        <f t="shared" si="15"/>
        <v>1</v>
      </c>
      <c r="J120">
        <f t="shared" si="16"/>
        <v>-0.39285714285714285</v>
      </c>
      <c r="K120">
        <f t="shared" si="21"/>
        <v>0.2048308529080162</v>
      </c>
      <c r="L120">
        <f t="shared" si="17"/>
        <v>0</v>
      </c>
      <c r="M120">
        <f t="shared" si="18"/>
        <v>0.5</v>
      </c>
      <c r="N120">
        <f t="shared" si="19"/>
        <v>1</v>
      </c>
      <c r="O120">
        <f t="shared" si="20"/>
        <v>0.41666666666666669</v>
      </c>
      <c r="P120">
        <f>IFERROR(LN('Дивиденды по годам'!I120),"")</f>
        <v>24.972427499745269</v>
      </c>
      <c r="Q120">
        <f>IFERROR('Дивиденды по годам'!G120/'Дивиденды по годам'!I120, "")</f>
        <v>0.58668880238623777</v>
      </c>
      <c r="R120">
        <f>IFERROR(IF(AND('Дивиденды по годам'!N120&lt;&gt;"",'Дивиденды по годам'!U120&lt;&gt;"",'Дивиденды по годам'!U120&lt;&gt;0),'Дивиденды по годам'!N120/'Дивиденды по годам'!U120-1,""),"")</f>
        <v>-0.10141449175174067</v>
      </c>
      <c r="S120">
        <f>IFERROR(IF(AND('Дивиденды по годам'!L120&lt;&gt;"",'Дивиденды по годам'!I120&lt;&gt;"",'Дивиденды по годам'!J120&lt;&gt;"",'Дивиденды по годам'!K120&lt;&gt;"",('Дивиденды по годам'!I120-'Дивиденды по годам'!J120-'Дивиденды по годам'!K120)&lt;&gt;0),'Дивиденды по годам'!L120/('Дивиденды по годам'!I120-'Дивиденды по годам'!J120-'Дивиденды по годам'!K120),""),"")</f>
        <v>-6.13346471069404E-2</v>
      </c>
      <c r="T120">
        <f>IFERROR(IF(AND('Дивиденды по годам'!Q120&lt;&gt;"",'Дивиденды по годам'!I120&lt;&gt;"",'Дивиденды по годам'!V120&lt;&gt;"",('Дивиденды по годам'!I120+'Дивиденды по годам'!V120)&lt;&gt;0),'Дивиденды по годам'!Q120/(('Дивиденды по годам'!I120+'Дивиденды по годам'!V120)/2),""),"")</f>
        <v>1.1638738079695477E-2</v>
      </c>
      <c r="U120">
        <f>IFERROR(IF(AND('Дивиденды по годам'!J120&lt;&gt;"",'Дивиденды по годам'!K120&lt;&gt;"",'Дивиденды по годам'!M120&lt;&gt;"",'Дивиденды по годам'!M120&lt;&gt;0),('Дивиденды по годам'!J120+'Дивиденды по годам'!K120)/'Дивиденды по годам'!M120,""),"")</f>
        <v>0.83239778062389191</v>
      </c>
      <c r="V120">
        <f>IFERROR(IF(AND('Дивиденды по годам'!J120&lt;&gt;"",'Дивиденды по годам'!K120&lt;&gt;"",'Дивиденды по годам'!M120&lt;&gt;"",'Дивиденды по годам'!I120&lt;&gt;0),('Дивиденды по годам'!J120+'Дивиденды по годам'!K120)/'Дивиденды по годам'!I120,""),"")</f>
        <v>0.45426696617176565</v>
      </c>
      <c r="W120">
        <f>IFERROR('Дивиденды по годам'!I120,"")</f>
        <v>70046665000</v>
      </c>
      <c r="X120" cm="1">
        <f t="array" ref="X120">IFERROR(AVERAGE(_xlfn._xlws.FILTER(P$2:P$1073,($C$2:$C$1073=$C120)*($E$2:$E$1073=$E120)*(ROW(P$2:P$1073)&lt;&gt;ROW(P120))*(P$2:P$1073&lt;&gt;""))),"")</f>
        <v>26.23012234673833</v>
      </c>
      <c r="Y120" cm="1">
        <f t="array" ref="Y120">IFERROR(AVERAGE(_xlfn._xlws.FILTER(Q$2:Q$1073,($C$2:$C$1073=$C120)*($E$2:$E$1073=$E120)*(ROW(Q$2:Q$1073)&lt;&gt;ROW(Q120))*(Q$2:Q$1073&lt;&gt;""))),"")</f>
        <v>0.74952061241240975</v>
      </c>
      <c r="Z120" cm="1">
        <f t="array" ref="Z120">IFERROR(AVERAGE(_xlfn._xlws.FILTER(R$2:R$1073,($C$2:$C$1073=$C120)*($E$2:$E$1073=$E120)*(ROW(R$2:R$1073)&lt;&gt;ROW(R120))*(R$2:R$1073&lt;&gt;""))),"")</f>
        <v>1.2222618040345717E-2</v>
      </c>
      <c r="AA120" cm="1">
        <f t="array" ref="AA120">IFERROR(AVERAGE(_xlfn._xlws.FILTER(S$2:S$1073,($C$2:$C$1073=$C120)*($E$2:$E$1073=$E120)*(ROW(S$2:S$1073)&lt;&gt;ROW(S120))*(S$2:S$1073&lt;&gt;""))),"")</f>
        <v>0.51863777498925445</v>
      </c>
      <c r="AB120" cm="1">
        <f t="array" ref="AB120">IFERROR(AVERAGE(_xlfn._xlws.FILTER(T$2:T$1073,($C$2:$C$1073=$C120)*($E$2:$E$1073=$E120)*(ROW(T$2:T$1073)&lt;&gt;ROW(T120))*(T$2:T$1073&lt;&gt;""))),"")</f>
        <v>5.532658950115165E-2</v>
      </c>
      <c r="AC120" cm="1">
        <f t="array" ref="AC120">IFERROR(AVERAGE(_xlfn._xlws.FILTER(U$2:U$1073,($C$2:$C$1073=$C120)*($E$2:$E$1073=$E120)*(ROW(U$2:U$1073)&lt;&gt;ROW(U120))*(U$2:U$1073&lt;&gt;""))),"")</f>
        <v>0.65149220172262645</v>
      </c>
      <c r="AD120" cm="1">
        <f t="array" ref="AD120">IFERROR(AVERAGE(_xlfn._xlws.FILTER(V$2:V$1073,($C$2:$C$1073=$C120)*($E$2:$E$1073=$E120)*(ROW(V$2:V$1073)&lt;&gt;ROW(V120))*(V$2:V$1073&lt;&gt;""))),"")</f>
        <v>0.36395588295455478</v>
      </c>
      <c r="AE120">
        <f>IF('Дивиденды по годам'!M120&lt;0,1,0)</f>
        <v>0</v>
      </c>
    </row>
    <row r="121" spans="1:31" x14ac:dyDescent="0.2">
      <c r="A121" s="7" t="s">
        <v>2190</v>
      </c>
      <c r="B121" t="str">
        <f t="shared" si="11"/>
        <v>ELFV IV кв. 2018</v>
      </c>
      <c r="C121">
        <v>2018</v>
      </c>
      <c r="D121">
        <f>SUMIFS(Дивиденды!$C:$C,Дивиденды!$A:$A,A121,Дивиденды!$I:$I,C121)</f>
        <v>0.14000000000000001</v>
      </c>
      <c r="E121">
        <v>2</v>
      </c>
      <c r="F121">
        <f t="shared" si="12"/>
        <v>0.14000000000000001</v>
      </c>
      <c r="G121">
        <f t="shared" si="13"/>
        <v>6.8903749999999986E-2</v>
      </c>
      <c r="H121">
        <f t="shared" si="14"/>
        <v>1</v>
      </c>
      <c r="I121">
        <f t="shared" si="15"/>
        <v>1</v>
      </c>
      <c r="J121">
        <f t="shared" si="16"/>
        <v>0</v>
      </c>
      <c r="K121">
        <f t="shared" si="21"/>
        <v>0.19625836163091881</v>
      </c>
      <c r="L121">
        <f t="shared" si="17"/>
        <v>0</v>
      </c>
      <c r="M121">
        <f t="shared" si="18"/>
        <v>0.66666666666666663</v>
      </c>
      <c r="N121">
        <f t="shared" si="19"/>
        <v>0</v>
      </c>
      <c r="O121">
        <f t="shared" si="20"/>
        <v>0.25</v>
      </c>
      <c r="P121">
        <f>IFERROR(LN('Дивиденды по годам'!I121),"")</f>
        <v>25.152437771837665</v>
      </c>
      <c r="Q121">
        <f>IFERROR('Дивиденды по годам'!G121/'Дивиденды по годам'!I121, "")</f>
        <v>0.7510716451901992</v>
      </c>
      <c r="R121">
        <f>IFERROR(IF(AND('Дивиденды по годам'!N121&lt;&gt;"",'Дивиденды по годам'!U121&lt;&gt;"",'Дивиденды по годам'!U121&lt;&gt;0),'Дивиденды по годам'!N121/'Дивиденды по годам'!U121-1,""),"")</f>
        <v>-1.5254998041396406E-2</v>
      </c>
      <c r="S121">
        <f>IFERROR(IF(AND('Дивиденды по годам'!L121&lt;&gt;"",'Дивиденды по годам'!I121&lt;&gt;"",'Дивиденды по годам'!J121&lt;&gt;"",'Дивиденды по годам'!K121&lt;&gt;"",('Дивиденды по годам'!I121-'Дивиденды по годам'!J121-'Дивиденды по годам'!K121)&lt;&gt;0),'Дивиденды по годам'!L121/('Дивиденды по годам'!I121-'Дивиденды по годам'!J121-'Дивиденды по годам'!K121),""),"")</f>
        <v>4.4630601999348825E-2</v>
      </c>
      <c r="T121">
        <f>IFERROR(IF(AND('Дивиденды по годам'!Q121&lt;&gt;"",'Дивиденды по годам'!I121&lt;&gt;"",'Дивиденды по годам'!V121&lt;&gt;"",('Дивиденды по годам'!I121+'Дивиденды по годам'!V121)&lt;&gt;0),'Дивиденды по годам'!Q121/(('Дивиденды по годам'!I121+'Дивиденды по годам'!V121)/2),""),"")</f>
        <v>9.3399836288925772E-2</v>
      </c>
      <c r="U121">
        <f>IFERROR(IF(AND('Дивиденды по годам'!J121&lt;&gt;"",'Дивиденды по годам'!K121&lt;&gt;"",'Дивиденды по годам'!M121&lt;&gt;"",'Дивиденды по годам'!M121&lt;&gt;0),('Дивиденды по годам'!J121+'Дивиденды по годам'!K121)/'Дивиденды по годам'!M121,""),"")</f>
        <v>0.8838483050722955</v>
      </c>
      <c r="V121">
        <f>IFERROR(IF(AND('Дивиденды по годам'!J121&lt;&gt;"",'Дивиденды по годам'!K121&lt;&gt;"",'Дивиденды по годам'!M121&lt;&gt;"",'Дивиденды по годам'!I121&lt;&gt;0),('Дивиденды по годам'!J121+'Дивиденды по годам'!K121)/'Дивиденды по годам'!I121,""),"")</f>
        <v>0.46917169641128642</v>
      </c>
      <c r="W121">
        <f>IFERROR('Дивиденды по годам'!I121,"")</f>
        <v>83861945000</v>
      </c>
      <c r="X121" cm="1">
        <f t="array" ref="X121">IFERROR(AVERAGE(_xlfn._xlws.FILTER(P$2:P$1073,($C$2:$C$1073=$C121)*($E$2:$E$1073=$E121)*(ROW(P$2:P$1073)&lt;&gt;ROW(P121))*(P$2:P$1073&lt;&gt;""))),"")</f>
        <v>26.157555533535874</v>
      </c>
      <c r="Y121" cm="1">
        <f t="array" ref="Y121">IFERROR(AVERAGE(_xlfn._xlws.FILTER(Q$2:Q$1073,($C$2:$C$1073=$C121)*($E$2:$E$1073=$E121)*(ROW(Q$2:Q$1073)&lt;&gt;ROW(Q121))*(Q$2:Q$1073&lt;&gt;""))),"")</f>
        <v>0.75335985190247312</v>
      </c>
      <c r="Z121" cm="1">
        <f t="array" ref="Z121">IFERROR(AVERAGE(_xlfn._xlws.FILTER(R$2:R$1073,($C$2:$C$1073=$C121)*($E$2:$E$1073=$E121)*(ROW(R$2:R$1073)&lt;&gt;ROW(R121))*(R$2:R$1073&lt;&gt;""))),"")</f>
        <v>5.5654398540226115E-2</v>
      </c>
      <c r="AA121" cm="1">
        <f t="array" ref="AA121">IFERROR(AVERAGE(_xlfn._xlws.FILTER(S$2:S$1073,($C$2:$C$1073=$C121)*($E$2:$E$1073=$E121)*(ROW(S$2:S$1073)&lt;&gt;ROW(S121))*(S$2:S$1073&lt;&gt;""))),"")</f>
        <v>0.4993913355499644</v>
      </c>
      <c r="AB121" cm="1">
        <f t="array" ref="AB121">IFERROR(AVERAGE(_xlfn._xlws.FILTER(T$2:T$1073,($C$2:$C$1073=$C121)*($E$2:$E$1073=$E121)*(ROW(T$2:T$1073)&lt;&gt;ROW(T121))*(T$2:T$1073&lt;&gt;""))),"")</f>
        <v>6.6329108159860956E-2</v>
      </c>
      <c r="AC121" cm="1">
        <f t="array" ref="AC121">IFERROR(AVERAGE(_xlfn._xlws.FILTER(U$2:U$1073,($C$2:$C$1073=$C121)*($E$2:$E$1073=$E121)*(ROW(U$2:U$1073)&lt;&gt;ROW(U121))*(U$2:U$1073&lt;&gt;""))),"")</f>
        <v>0.61097783469722489</v>
      </c>
      <c r="AD121" cm="1">
        <f t="array" ref="AD121">IFERROR(AVERAGE(_xlfn._xlws.FILTER(V$2:V$1073,($C$2:$C$1073=$C121)*($E$2:$E$1073=$E121)*(ROW(V$2:V$1073)&lt;&gt;ROW(V121))*(V$2:V$1073&lt;&gt;""))),"")</f>
        <v>0.35106921745280428</v>
      </c>
      <c r="AE121">
        <f>IF('Дивиденды по годам'!M121&lt;0,1,0)</f>
        <v>0</v>
      </c>
    </row>
    <row r="122" spans="1:31" x14ac:dyDescent="0.2">
      <c r="A122" s="7" t="s">
        <v>2190</v>
      </c>
      <c r="B122" t="str">
        <f t="shared" si="11"/>
        <v>ELFV IV кв. 2017</v>
      </c>
      <c r="C122">
        <v>2017</v>
      </c>
      <c r="D122">
        <f>SUMIFS(Дивиденды!$C:$C,Дивиденды!$A:$A,A122,Дивиденды!$I:$I,C122)</f>
        <v>0.14000000000000001</v>
      </c>
      <c r="E122">
        <v>2</v>
      </c>
      <c r="F122">
        <f t="shared" si="12"/>
        <v>0.14000000000000001</v>
      </c>
      <c r="G122">
        <f t="shared" si="13"/>
        <v>6.0442166666666665E-2</v>
      </c>
      <c r="H122">
        <f t="shared" si="14"/>
        <v>1</v>
      </c>
      <c r="I122">
        <f t="shared" si="15"/>
        <v>1</v>
      </c>
      <c r="J122">
        <f t="shared" si="16"/>
        <v>1.0527859237536661</v>
      </c>
      <c r="K122">
        <f t="shared" si="21"/>
        <v>0.55401747729414474</v>
      </c>
      <c r="L122">
        <f t="shared" si="17"/>
        <v>1</v>
      </c>
      <c r="M122">
        <f t="shared" si="18"/>
        <v>0.75</v>
      </c>
      <c r="N122">
        <f t="shared" si="19"/>
        <v>0</v>
      </c>
      <c r="O122">
        <f t="shared" si="20"/>
        <v>0.25</v>
      </c>
      <c r="P122">
        <f>IFERROR(LN('Дивиденды по годам'!I122),"")</f>
        <v>25.117599898576145</v>
      </c>
      <c r="Q122">
        <f>IFERROR('Дивиденды по годам'!G122/'Дивиденды по годам'!I122, "")</f>
        <v>0.74369813276535357</v>
      </c>
      <c r="R122">
        <f>IFERROR(IF(AND('Дивиденды по годам'!N122&lt;&gt;"",'Дивиденды по годам'!U122&lt;&gt;"",'Дивиденды по годам'!U122&lt;&gt;0),'Дивиденды по годам'!N122/'Дивиденды по годам'!U122-1,""),"")</f>
        <v>3.0307515450885392E-2</v>
      </c>
      <c r="S122">
        <f>IFERROR(IF(AND('Дивиденды по годам'!L122&lt;&gt;"",'Дивиденды по годам'!I122&lt;&gt;"",'Дивиденды по годам'!J122&lt;&gt;"",'Дивиденды по годам'!K122&lt;&gt;"",('Дивиденды по годам'!I122-'Дивиденды по годам'!J122-'Дивиденды по годам'!K122)&lt;&gt;0),'Дивиденды по годам'!L122/('Дивиденды по годам'!I122-'Дивиденды по годам'!J122-'Дивиденды по годам'!K122),""),"")</f>
        <v>-1.409860487931913E-2</v>
      </c>
      <c r="T122">
        <f>IFERROR(IF(AND('Дивиденды по годам'!Q122&lt;&gt;"",'Дивиденды по годам'!I122&lt;&gt;"",'Дивиденды по годам'!V122&lt;&gt;"",('Дивиденды по годам'!I122+'Дивиденды по годам'!V122)&lt;&gt;0),'Дивиденды по годам'!Q122/(('Дивиденды по годам'!I122+'Дивиденды по годам'!V122)/2),""),"")</f>
        <v>0.1079507836980199</v>
      </c>
      <c r="U122">
        <f>IFERROR(IF(AND('Дивиденды по годам'!J122&lt;&gt;"",'Дивиденды по годам'!K122&lt;&gt;"",'Дивиденды по годам'!M122&lt;&gt;"",'Дивиденды по годам'!M122&lt;&gt;0),('Дивиденды по годам'!J122+'Дивиденды по годам'!K122)/'Дивиденды по годам'!M122,""),"")</f>
        <v>0.96056325767697881</v>
      </c>
      <c r="V122">
        <f>IFERROR(IF(AND('Дивиденды по годам'!J122&lt;&gt;"",'Дивиденды по годам'!K122&lt;&gt;"",'Дивиденды по годам'!M122&lt;&gt;"",'Дивиденды по годам'!I122&lt;&gt;0),('Дивиденды по годам'!J122+'Дивиденды по годам'!K122)/'Дивиденды по годам'!I122,""),"")</f>
        <v>0.48994249683895719</v>
      </c>
      <c r="W122">
        <f>IFERROR('Дивиденды по годам'!I122,"")</f>
        <v>80990678000</v>
      </c>
      <c r="X122" cm="1">
        <f t="array" ref="X122">IFERROR(AVERAGE(_xlfn._xlws.FILTER(P$2:P$1073,($C$2:$C$1073=$C122)*($E$2:$E$1073=$E122)*(ROW(P$2:P$1073)&lt;&gt;ROW(P122))*(P$2:P$1073&lt;&gt;""))),"")</f>
        <v>26.127846138291485</v>
      </c>
      <c r="Y122" cm="1">
        <f t="array" ref="Y122">IFERROR(AVERAGE(_xlfn._xlws.FILTER(Q$2:Q$1073,($C$2:$C$1073=$C122)*($E$2:$E$1073=$E122)*(ROW(Q$2:Q$1073)&lt;&gt;ROW(Q122))*(Q$2:Q$1073&lt;&gt;""))),"")</f>
        <v>0.76148414340283199</v>
      </c>
      <c r="Z122" cm="1">
        <f t="array" ref="Z122">IFERROR(AVERAGE(_xlfn._xlws.FILTER(R$2:R$1073,($C$2:$C$1073=$C122)*($E$2:$E$1073=$E122)*(ROW(R$2:R$1073)&lt;&gt;ROW(R122))*(R$2:R$1073&lt;&gt;""))),"")</f>
        <v>4.7184963668004905E-2</v>
      </c>
      <c r="AA122" cm="1">
        <f t="array" ref="AA122">IFERROR(AVERAGE(_xlfn._xlws.FILTER(S$2:S$1073,($C$2:$C$1073=$C122)*($E$2:$E$1073=$E122)*(ROW(S$2:S$1073)&lt;&gt;ROW(S122))*(S$2:S$1073&lt;&gt;""))),"")</f>
        <v>0.45668530370257104</v>
      </c>
      <c r="AB122" cm="1">
        <f t="array" ref="AB122">IFERROR(AVERAGE(_xlfn._xlws.FILTER(T$2:T$1073,($C$2:$C$1073=$C122)*($E$2:$E$1073=$E122)*(ROW(T$2:T$1073)&lt;&gt;ROW(T122))*(T$2:T$1073&lt;&gt;""))),"")</f>
        <v>7.9371624497737395E-2</v>
      </c>
      <c r="AC122" cm="1">
        <f t="array" ref="AC122">IFERROR(AVERAGE(_xlfn._xlws.FILTER(U$2:U$1073,($C$2:$C$1073=$C122)*($E$2:$E$1073=$E122)*(ROW(U$2:U$1073)&lt;&gt;ROW(U122))*(U$2:U$1073&lt;&gt;""))),"")</f>
        <v>0.60386286369874764</v>
      </c>
      <c r="AD122" cm="1">
        <f t="array" ref="AD122">IFERROR(AVERAGE(_xlfn._xlws.FILTER(V$2:V$1073,($C$2:$C$1073=$C122)*($E$2:$E$1073=$E122)*(ROW(V$2:V$1073)&lt;&gt;ROW(V122))*(V$2:V$1073&lt;&gt;""))),"")</f>
        <v>0.35035358843259656</v>
      </c>
      <c r="AE122">
        <f>IF('Дивиденды по годам'!M122&lt;0,1,0)</f>
        <v>0</v>
      </c>
    </row>
    <row r="123" spans="1:31" x14ac:dyDescent="0.2">
      <c r="A123" s="7" t="s">
        <v>2190</v>
      </c>
      <c r="B123" t="str">
        <f t="shared" si="11"/>
        <v>ELFV IV кв. 2016</v>
      </c>
      <c r="C123">
        <v>2016</v>
      </c>
      <c r="D123">
        <f>SUMIFS(Дивиденды!$C:$C,Дивиденды!$A:$A,A123,Дивиденды!$I:$I,C123)</f>
        <v>6.8199999999999997E-2</v>
      </c>
      <c r="E123">
        <v>2</v>
      </c>
      <c r="F123">
        <f t="shared" si="12"/>
        <v>6.8199999999999997E-2</v>
      </c>
      <c r="G123">
        <f t="shared" si="13"/>
        <v>5.1711833333333325E-2</v>
      </c>
      <c r="H123">
        <f t="shared" si="14"/>
        <v>1</v>
      </c>
      <c r="I123">
        <f t="shared" si="15"/>
        <v>1</v>
      </c>
      <c r="J123">
        <f t="shared" si="16"/>
        <v>1</v>
      </c>
      <c r="K123">
        <f t="shared" si="21"/>
        <v>1.3237367044724768</v>
      </c>
      <c r="L123">
        <f t="shared" si="17"/>
        <v>1</v>
      </c>
      <c r="M123">
        <f t="shared" si="18"/>
        <v>0.83333333333333337</v>
      </c>
      <c r="N123">
        <f t="shared" si="19"/>
        <v>0</v>
      </c>
      <c r="O123">
        <f t="shared" si="20"/>
        <v>0.16666666666666666</v>
      </c>
      <c r="P123">
        <f>IFERROR(LN('Дивиденды по годам'!I123),"")</f>
        <v>25.071069708879101</v>
      </c>
      <c r="Q123">
        <f>IFERROR('Дивиденды по годам'!G123/'Дивиденды по годам'!I123, "")</f>
        <v>0.7310682032791298</v>
      </c>
      <c r="R123">
        <f>IFERROR(IF(AND('Дивиденды по годам'!N123&lt;&gt;"",'Дивиденды по годам'!U123&lt;&gt;"",'Дивиденды по годам'!U123&lt;&gt;0),'Дивиденды по годам'!N123/'Дивиденды по годам'!U123-1,""),"")</f>
        <v>1.7174621306279114E-2</v>
      </c>
      <c r="S123">
        <f>IFERROR(IF(AND('Дивиденды по годам'!L123&lt;&gt;"",'Дивиденды по годам'!I123&lt;&gt;"",'Дивиденды по годам'!J123&lt;&gt;"",'Дивиденды по годам'!K123&lt;&gt;"",('Дивиденды по годам'!I123-'Дивиденды по годам'!J123-'Дивиденды по годам'!K123)&lt;&gt;0),'Дивиденды по годам'!L123/('Дивиденды по годам'!I123-'Дивиденды по годам'!J123-'Дивиденды по годам'!K123),""),"")</f>
        <v>-0.18961351962027212</v>
      </c>
      <c r="T123">
        <f>IFERROR(IF(AND('Дивиденды по годам'!Q123&lt;&gt;"",'Дивиденды по годам'!I123&lt;&gt;"",'Дивиденды по годам'!V123&lt;&gt;"",('Дивиденды по годам'!I123+'Дивиденды по годам'!V123)&lt;&gt;0),'Дивиденды по годам'!Q123/(('Дивиденды по годам'!I123+'Дивиденды по годам'!V123)/2),""),"")</f>
        <v>5.3606244480413852E-2</v>
      </c>
      <c r="U123">
        <f>IFERROR(IF(AND('Дивиденды по годам'!J123&lt;&gt;"",'Дивиденды по годам'!K123&lt;&gt;"",'Дивиденды по годам'!M123&lt;&gt;"",'Дивиденды по годам'!M123&lt;&gt;0),('Дивиденды по годам'!J123+'Дивиденды по годам'!K123)/'Дивиденды по годам'!M123,""),"")</f>
        <v>1.1914539401767081</v>
      </c>
      <c r="V123">
        <f>IFERROR(IF(AND('Дивиденды по годам'!J123&lt;&gt;"",'Дивиденды по годам'!K123&lt;&gt;"",'Дивиденды по годам'!M123&lt;&gt;"",'Дивиденды по годам'!I123&lt;&gt;0),('Дивиденды по годам'!J123+'Дивиденды по годам'!K123)/'Дивиденды по годам'!I123,""),"")</f>
        <v>0.54368194481907983</v>
      </c>
      <c r="W123">
        <f>IFERROR('Дивиденды по годам'!I123,"")</f>
        <v>77308497000</v>
      </c>
      <c r="X123" cm="1">
        <f t="array" ref="X123">IFERROR(AVERAGE(_xlfn._xlws.FILTER(P$2:P$1073,($C$2:$C$1073=$C123)*($E$2:$E$1073=$E123)*(ROW(P$2:P$1073)&lt;&gt;ROW(P123))*(P$2:P$1073&lt;&gt;""))),"")</f>
        <v>26.085916894295679</v>
      </c>
      <c r="Y123" cm="1">
        <f t="array" ref="Y123">IFERROR(AVERAGE(_xlfn._xlws.FILTER(Q$2:Q$1073,($C$2:$C$1073=$C123)*($E$2:$E$1073=$E123)*(ROW(Q$2:Q$1073)&lt;&gt;ROW(Q123))*(Q$2:Q$1073&lt;&gt;""))),"")</f>
        <v>0.71503169647972864</v>
      </c>
      <c r="Z123" cm="1">
        <f t="array" ref="Z123">IFERROR(AVERAGE(_xlfn._xlws.FILTER(R$2:R$1073,($C$2:$C$1073=$C123)*($E$2:$E$1073=$E123)*(ROW(R$2:R$1073)&lt;&gt;ROW(R123))*(R$2:R$1073&lt;&gt;""))),"")</f>
        <v>0.12387411831585479</v>
      </c>
      <c r="AA123" cm="1">
        <f t="array" ref="AA123">IFERROR(AVERAGE(_xlfn._xlws.FILTER(S$2:S$1073,($C$2:$C$1073=$C123)*($E$2:$E$1073=$E123)*(ROW(S$2:S$1073)&lt;&gt;ROW(S123))*(S$2:S$1073&lt;&gt;""))),"")</f>
        <v>0.46330210881458472</v>
      </c>
      <c r="AB123" cm="1">
        <f t="array" ref="AB123">IFERROR(AVERAGE(_xlfn._xlws.FILTER(T$2:T$1073,($C$2:$C$1073=$C123)*($E$2:$E$1073=$E123)*(ROW(T$2:T$1073)&lt;&gt;ROW(T123))*(T$2:T$1073&lt;&gt;""))),"")</f>
        <v>3.9677726507472547E-2</v>
      </c>
      <c r="AC123" cm="1">
        <f t="array" ref="AC123">IFERROR(AVERAGE(_xlfn._xlws.FILTER(U$2:U$1073,($C$2:$C$1073=$C123)*($E$2:$E$1073=$E123)*(ROW(U$2:U$1073)&lt;&gt;ROW(U123))*(U$2:U$1073&lt;&gt;""))),"")</f>
        <v>0.68750288595097075</v>
      </c>
      <c r="AD123" cm="1">
        <f t="array" ref="AD123">IFERROR(AVERAGE(_xlfn._xlws.FILTER(V$2:V$1073,($C$2:$C$1073=$C123)*($E$2:$E$1073=$E123)*(ROW(V$2:V$1073)&lt;&gt;ROW(V123))*(V$2:V$1073&lt;&gt;""))),"")</f>
        <v>0.38174357621753857</v>
      </c>
      <c r="AE123">
        <f>IF('Дивиденды по годам'!M123&lt;0,1,0)</f>
        <v>0</v>
      </c>
    </row>
    <row r="124" spans="1:31" x14ac:dyDescent="0.2">
      <c r="A124" s="7" t="s">
        <v>2190</v>
      </c>
      <c r="B124" t="str">
        <f t="shared" si="11"/>
        <v>ELFV IV кв. 2015</v>
      </c>
      <c r="C124">
        <v>2015</v>
      </c>
      <c r="D124">
        <f>SUMIFS(Дивиденды!$C:$C,Дивиденды!$A:$A,A124,Дивиденды!$I:$I,C124)</f>
        <v>0</v>
      </c>
      <c r="E124">
        <v>2</v>
      </c>
      <c r="F124">
        <f t="shared" si="12"/>
        <v>0</v>
      </c>
      <c r="G124">
        <f t="shared" si="13"/>
        <v>4.1440083333333336E-2</v>
      </c>
      <c r="H124">
        <f t="shared" si="14"/>
        <v>0</v>
      </c>
      <c r="I124">
        <f t="shared" si="15"/>
        <v>1</v>
      </c>
      <c r="J124">
        <f t="shared" si="16"/>
        <v>-1</v>
      </c>
      <c r="K124">
        <f t="shared" si="21"/>
        <v>4.2283097783256762</v>
      </c>
      <c r="L124">
        <f t="shared" si="17"/>
        <v>0</v>
      </c>
      <c r="M124">
        <f t="shared" si="18"/>
        <v>0.75</v>
      </c>
      <c r="N124">
        <f t="shared" si="19"/>
        <v>1</v>
      </c>
      <c r="O124">
        <f t="shared" si="20"/>
        <v>0.25</v>
      </c>
      <c r="P124">
        <f>IFERROR(LN('Дивиденды по годам'!I124),"")</f>
        <v>25.181814319102784</v>
      </c>
      <c r="Q124">
        <f>IFERROR('Дивиденды по годам'!G124/'Дивиденды по годам'!I124, "")</f>
        <v>0.60081698836695219</v>
      </c>
      <c r="R124">
        <f>IFERROR(IF(AND('Дивиденды по годам'!N124&lt;&gt;"",'Дивиденды по годам'!U124&lt;&gt;"",'Дивиденды по годам'!U124&lt;&gt;0),'Дивиденды по годам'!N124/'Дивиденды по годам'!U124-1,""),"")</f>
        <v>-4.5870940040078967E-2</v>
      </c>
      <c r="S124">
        <f>IFERROR(IF(AND('Дивиденды по годам'!L124&lt;&gt;"",'Дивиденды по годам'!I124&lt;&gt;"",'Дивиденды по годам'!J124&lt;&gt;"",'Дивиденды по годам'!K124&lt;&gt;"",('Дивиденды по годам'!I124-'Дивиденды по годам'!J124-'Дивиденды по годам'!K124)&lt;&gt;0),'Дивиденды по годам'!L124/('Дивиденды по годам'!I124-'Дивиденды по годам'!J124-'Дивиденды по годам'!K124),""),"")</f>
        <v>-0.35157741033035783</v>
      </c>
      <c r="T124">
        <f>IFERROR(IF(AND('Дивиденды по годам'!Q124&lt;&gt;"",'Дивиденды по годам'!I124&lt;&gt;"",'Дивиденды по годам'!V124&lt;&gt;"",('Дивиденды по годам'!I124+'Дивиденды по годам'!V124)&lt;&gt;0),'Дивиденды по годам'!Q124/(('Дивиденды по годам'!I124+'Дивиденды по годам'!V124)/2),""),"")</f>
        <v>-0.42708155554479227</v>
      </c>
      <c r="U124">
        <f>IFERROR(IF(AND('Дивиденды по годам'!J124&lt;&gt;"",'Дивиденды по годам'!K124&lt;&gt;"",'Дивиденды по годам'!M124&lt;&gt;"",'Дивиденды по годам'!M124&lt;&gt;0),('Дивиденды по годам'!J124+'Дивиденды по годам'!K124)/'Дивиденды по годам'!M124,""),"")</f>
        <v>1.7831535573789352</v>
      </c>
      <c r="V124">
        <f>IFERROR(IF(AND('Дивиденды по годам'!J124&lt;&gt;"",'Дивиденды по годам'!K124&lt;&gt;"",'Дивиденды по годам'!M124&lt;&gt;"",'Дивиденды по годам'!I124&lt;&gt;0),('Дивиденды по годам'!J124+'Дивиденды по годам'!K124)/'Дивиденды по годам'!I124,""),"")</f>
        <v>0.64069535532859323</v>
      </c>
      <c r="W124">
        <f>IFERROR('Дивиденды по годам'!I124,"")</f>
        <v>86362062000</v>
      </c>
      <c r="X124" cm="1">
        <f t="array" ref="X124">IFERROR(AVERAGE(_xlfn._xlws.FILTER(P$2:P$1073,($C$2:$C$1073=$C124)*($E$2:$E$1073=$E124)*(ROW(P$2:P$1073)&lt;&gt;ROW(P124))*(P$2:P$1073&lt;&gt;""))),"")</f>
        <v>26.003759586794569</v>
      </c>
      <c r="Y124" cm="1">
        <f t="array" ref="Y124">IFERROR(AVERAGE(_xlfn._xlws.FILTER(Q$2:Q$1073,($C$2:$C$1073=$C124)*($E$2:$E$1073=$E124)*(ROW(Q$2:Q$1073)&lt;&gt;ROW(Q124))*(Q$2:Q$1073&lt;&gt;""))),"")</f>
        <v>0.79723960251283477</v>
      </c>
      <c r="Z124" cm="1">
        <f t="array" ref="Z124">IFERROR(AVERAGE(_xlfn._xlws.FILTER(R$2:R$1073,($C$2:$C$1073=$C124)*($E$2:$E$1073=$E124)*(ROW(R$2:R$1073)&lt;&gt;ROW(R124))*(R$2:R$1073&lt;&gt;""))),"")</f>
        <v>1.2598758753794756E-2</v>
      </c>
      <c r="AA124" cm="1">
        <f t="array" ref="AA124">IFERROR(AVERAGE(_xlfn._xlws.FILTER(S$2:S$1073,($C$2:$C$1073=$C124)*($E$2:$E$1073=$E124)*(ROW(S$2:S$1073)&lt;&gt;ROW(S124))*(S$2:S$1073&lt;&gt;""))),"")</f>
        <v>0.6089933798435968</v>
      </c>
      <c r="AB124" cm="1">
        <f t="array" ref="AB124">IFERROR(AVERAGE(_xlfn._xlws.FILTER(T$2:T$1073,($C$2:$C$1073=$C124)*($E$2:$E$1073=$E124)*(ROW(T$2:T$1073)&lt;&gt;ROW(T124))*(T$2:T$1073&lt;&gt;""))),"")</f>
        <v>3.3689348305915801E-2</v>
      </c>
      <c r="AC124" cm="1">
        <f t="array" ref="AC124">IFERROR(AVERAGE(_xlfn._xlws.FILTER(U$2:U$1073,($C$2:$C$1073=$C124)*($E$2:$E$1073=$E124)*(ROW(U$2:U$1073)&lt;&gt;ROW(U124))*(U$2:U$1073&lt;&gt;""))),"")</f>
        <v>0.8035522645950397</v>
      </c>
      <c r="AD124" cm="1">
        <f t="array" ref="AD124">IFERROR(AVERAGE(_xlfn._xlws.FILTER(V$2:V$1073,($C$2:$C$1073=$C124)*($E$2:$E$1073=$E124)*(ROW(V$2:V$1073)&lt;&gt;ROW(V124))*(V$2:V$1073&lt;&gt;""))),"")</f>
        <v>0.41829181371717494</v>
      </c>
      <c r="AE124">
        <f>IF('Дивиденды по годам'!M124&lt;0,1,0)</f>
        <v>0</v>
      </c>
    </row>
    <row r="125" spans="1:31" x14ac:dyDescent="0.2">
      <c r="A125" s="7" t="s">
        <v>2190</v>
      </c>
      <c r="B125" t="str">
        <f t="shared" si="11"/>
        <v>ELFV IV кв. 2014</v>
      </c>
      <c r="C125">
        <v>2014</v>
      </c>
      <c r="D125">
        <f>SUMIFS(Дивиденды!$C:$C,Дивиденды!$A:$A,A125,Дивиденды!$I:$I,C125)</f>
        <v>8.0699999999999994E-2</v>
      </c>
      <c r="E125">
        <v>2</v>
      </c>
      <c r="F125">
        <f t="shared" si="12"/>
        <v>8.0699999999999994E-2</v>
      </c>
      <c r="G125">
        <f t="shared" si="13"/>
        <v>3.224291666666667E-2</v>
      </c>
      <c r="H125">
        <f t="shared" si="14"/>
        <v>1</v>
      </c>
      <c r="I125">
        <f t="shared" si="15"/>
        <v>1</v>
      </c>
      <c r="J125">
        <f t="shared" si="16"/>
        <v>0.44364937388193193</v>
      </c>
      <c r="K125">
        <f t="shared" si="21"/>
        <v>1.3641327005264776</v>
      </c>
      <c r="L125">
        <f t="shared" si="17"/>
        <v>1</v>
      </c>
      <c r="M125">
        <f t="shared" si="18"/>
        <v>0.58333333333333337</v>
      </c>
      <c r="N125">
        <f t="shared" si="19"/>
        <v>0</v>
      </c>
      <c r="O125">
        <f t="shared" si="20"/>
        <v>0.33333333333333331</v>
      </c>
      <c r="P125">
        <f>IFERROR(LN('Дивиденды по годам'!I125),"")</f>
        <v>25.674625380756524</v>
      </c>
      <c r="Q125">
        <f>IFERROR('Дивиденды по годам'!G125/'Дивиденды по годам'!I125, "")</f>
        <v>0.78265489177575409</v>
      </c>
      <c r="R125">
        <f>IFERROR(IF(AND('Дивиденды по годам'!N125&lt;&gt;"",'Дивиденды по годам'!U125&lt;&gt;"",'Дивиденды по годам'!U125&lt;&gt;0),'Дивиденды по годам'!N125/'Дивиденды по годам'!U125-1,""),"")</f>
        <v>6.7160004565521181E-2</v>
      </c>
      <c r="S125">
        <f>IFERROR(IF(AND('Дивиденды по годам'!L125&lt;&gt;"",'Дивиденды по годам'!I125&lt;&gt;"",'Дивиденды по годам'!J125&lt;&gt;"",'Дивиденды по годам'!K125&lt;&gt;"",('Дивиденды по годам'!I125-'Дивиденды по годам'!J125-'Дивиденды по годам'!K125)&lt;&gt;0),'Дивиденды по годам'!L125/('Дивиденды по годам'!I125-'Дивиденды по годам'!J125-'Дивиденды по годам'!K125),""),"")</f>
        <v>0.48980797922819769</v>
      </c>
      <c r="T125">
        <f>IFERROR(IF(AND('Дивиденды по годам'!Q125&lt;&gt;"",'Дивиденды по годам'!I125&lt;&gt;"",'Дивиденды по годам'!V125&lt;&gt;"",('Дивиденды по годам'!I125+'Дивиденды по годам'!V125)&lt;&gt;0),'Дивиденды по годам'!Q125/(('Дивиденды по годам'!I125+'Дивиденды по годам'!V125)/2),""),"")</f>
        <v>4.0748209083108972E-2</v>
      </c>
      <c r="U125">
        <f>IFERROR(IF(AND('Дивиденды по годам'!J125&lt;&gt;"",'Дивиденды по годам'!K125&lt;&gt;"",'Дивиденды по годам'!M125&lt;&gt;"",'Дивиденды по годам'!M125&lt;&gt;0),('Дивиденды по годам'!J125+'Дивиденды по годам'!K125)/'Дивиденды по годам'!M125,""),"")</f>
        <v>0.68863859779822789</v>
      </c>
      <c r="V125">
        <f>IFERROR(IF(AND('Дивиденды по годам'!J125&lt;&gt;"",'Дивиденды по годам'!K125&lt;&gt;"",'Дивиденды по годам'!M125&lt;&gt;"",'Дивиденды по годам'!I125&lt;&gt;0),('Дивиденды по годам'!J125+'Дивиденды по годам'!K125)/'Дивиденды по годам'!I125,""),"")</f>
        <v>0.40780697462211629</v>
      </c>
      <c r="W125">
        <f>IFERROR('Дивиденды по годам'!I125,"")</f>
        <v>141367028000</v>
      </c>
      <c r="X125" cm="1">
        <f t="array" ref="X125">IFERROR(AVERAGE(_xlfn._xlws.FILTER(P$2:P$1073,($C$2:$C$1073=$C125)*($E$2:$E$1073=$E125)*(ROW(P$2:P$1073)&lt;&gt;ROW(P125))*(P$2:P$1073&lt;&gt;""))),"")</f>
        <v>26.211135757907766</v>
      </c>
      <c r="Y125" cm="1">
        <f t="array" ref="Y125">IFERROR(AVERAGE(_xlfn._xlws.FILTER(Q$2:Q$1073,($C$2:$C$1073=$C125)*($E$2:$E$1073=$E125)*(ROW(Q$2:Q$1073)&lt;&gt;ROW(Q125))*(Q$2:Q$1073&lt;&gt;""))),"")</f>
        <v>0.77036634512551772</v>
      </c>
      <c r="Z125" cm="1">
        <f t="array" ref="Z125">IFERROR(AVERAGE(_xlfn._xlws.FILTER(R$2:R$1073,($C$2:$C$1073=$C125)*($E$2:$E$1073=$E125)*(ROW(R$2:R$1073)&lt;&gt;ROW(R125))*(R$2:R$1073&lt;&gt;""))),"")</f>
        <v>1.7772605657772809E-2</v>
      </c>
      <c r="AA125" cm="1">
        <f t="array" ref="AA125">IFERROR(AVERAGE(_xlfn._xlws.FILTER(S$2:S$1073,($C$2:$C$1073=$C125)*($E$2:$E$1073=$E125)*(ROW(S$2:S$1073)&lt;&gt;ROW(S125))*(S$2:S$1073&lt;&gt;""))),"")</f>
        <v>0.62763083364790462</v>
      </c>
      <c r="AB125" cm="1">
        <f t="array" ref="AB125">IFERROR(AVERAGE(_xlfn._xlws.FILTER(T$2:T$1073,($C$2:$C$1073=$C125)*($E$2:$E$1073=$E125)*(ROW(T$2:T$1073)&lt;&gt;ROW(T125))*(T$2:T$1073&lt;&gt;""))),"")</f>
        <v>1.6157240418124039E-2</v>
      </c>
      <c r="AC125" cm="1">
        <f t="array" ref="AC125">IFERROR(AVERAGE(_xlfn._xlws.FILTER(U$2:U$1073,($C$2:$C$1073=$C125)*($E$2:$E$1073=$E125)*(ROW(U$2:U$1073)&lt;&gt;ROW(U125))*(U$2:U$1073&lt;&gt;""))),"")</f>
        <v>0.76029587851403335</v>
      </c>
      <c r="AD125" cm="1">
        <f t="array" ref="AD125">IFERROR(AVERAGE(_xlfn._xlws.FILTER(V$2:V$1073,($C$2:$C$1073=$C125)*($E$2:$E$1073=$E125)*(ROW(V$2:V$1073)&lt;&gt;ROW(V125))*(V$2:V$1073&lt;&gt;""))),"")</f>
        <v>0.40314056229771128</v>
      </c>
      <c r="AE125">
        <f>IF('Дивиденды по годам'!M125&lt;0,1,0)</f>
        <v>0</v>
      </c>
    </row>
    <row r="126" spans="1:31" x14ac:dyDescent="0.2">
      <c r="A126" s="7" t="s">
        <v>2190</v>
      </c>
      <c r="B126" t="str">
        <f t="shared" si="11"/>
        <v>ELFV IV кв. 2013</v>
      </c>
      <c r="C126">
        <v>2013</v>
      </c>
      <c r="D126">
        <f>SUMIFS(Дивиденды!$C:$C,Дивиденды!$A:$A,A126,Дивиденды!$I:$I,C126)</f>
        <v>5.5899999999999998E-2</v>
      </c>
      <c r="E126">
        <v>2</v>
      </c>
      <c r="F126">
        <f t="shared" si="12"/>
        <v>5.5899999999999998E-2</v>
      </c>
      <c r="G126">
        <f t="shared" si="13"/>
        <v>4.1784750000000002E-2</v>
      </c>
      <c r="H126">
        <f t="shared" si="14"/>
        <v>1</v>
      </c>
      <c r="I126">
        <f t="shared" si="15"/>
        <v>0.75</v>
      </c>
      <c r="J126">
        <f t="shared" si="16"/>
        <v>1</v>
      </c>
      <c r="K126">
        <f t="shared" si="21"/>
        <v>-7.0380478914656611E-2</v>
      </c>
      <c r="L126">
        <f t="shared" si="17"/>
        <v>1</v>
      </c>
      <c r="M126">
        <f t="shared" si="18"/>
        <v>0.41666666666666669</v>
      </c>
      <c r="N126">
        <f t="shared" si="19"/>
        <v>0</v>
      </c>
      <c r="O126">
        <f t="shared" si="20"/>
        <v>0.33333333333333331</v>
      </c>
      <c r="P126">
        <f>IFERROR(LN('Дивиденды по годам'!I126),"")</f>
        <v>25.610601112283277</v>
      </c>
      <c r="Q126">
        <f>IFERROR('Дивиденды по годам'!G126/'Дивиденды по годам'!I126, "")</f>
        <v>0.82822600260946166</v>
      </c>
      <c r="R126">
        <f>IFERROR(IF(AND('Дивиденды по годам'!N126&lt;&gt;"",'Дивиденды по годам'!U126&lt;&gt;"",'Дивиденды по годам'!U126&lt;&gt;0),'Дивиденды по годам'!N126/'Дивиденды по годам'!U126-1,""),"")</f>
        <v>4.7735985058507069E-2</v>
      </c>
      <c r="S126">
        <f>IFERROR(IF(AND('Дивиденды по годам'!L126&lt;&gt;"",'Дивиденды по годам'!I126&lt;&gt;"",'Дивиденды по годам'!J126&lt;&gt;"",'Дивиденды по годам'!K126&lt;&gt;"",('Дивиденды по годам'!I126-'Дивиденды по годам'!J126-'Дивиденды по годам'!K126)&lt;&gt;0),'Дивиденды по годам'!L126/('Дивиденды по годам'!I126-'Дивиденды по годам'!J126-'Дивиденды по годам'!K126),""),"")</f>
        <v>0.4636519590056305</v>
      </c>
      <c r="T126">
        <f>IFERROR(IF(AND('Дивиденды по годам'!Q126&lt;&gt;"",'Дивиденды по годам'!I126&lt;&gt;"",'Дивиденды по годам'!V126&lt;&gt;"",('Дивиденды по годам'!I126+'Дивиденды по годам'!V126)&lt;&gt;0),'Дивиденды по годам'!Q126/(('Дивиденды по годам'!I126+'Дивиденды по годам'!V126)/2),""),"")</f>
        <v>3.7923856207821627E-2</v>
      </c>
      <c r="U126">
        <f>IFERROR(IF(AND('Дивиденды по годам'!J126&lt;&gt;"",'Дивиденды по годам'!K126&lt;&gt;"",'Дивиденды по годам'!M126&lt;&gt;"",'Дивиденды по годам'!M126&lt;&gt;0),('Дивиденды по годам'!J126+'Дивиденды по годам'!K126)/'Дивиденды по годам'!M126,""),"")</f>
        <v>0.69774189933668107</v>
      </c>
      <c r="V126">
        <f>IFERROR(IF(AND('Дивиденды по годам'!J126&lt;&gt;"",'Дивиденды по годам'!K126&lt;&gt;"",'Дивиденды по годам'!M126&lt;&gt;"",'Дивиденды по годам'!I126&lt;&gt;0),('Дивиденды по годам'!J126+'Дивиденды по годам'!K126)/'Дивиденды по годам'!I126,""),"")</f>
        <v>0.41098231692891213</v>
      </c>
      <c r="W126">
        <f>IFERROR('Дивиденды по годам'!I126,"")</f>
        <v>132599761000</v>
      </c>
      <c r="X126" cm="1">
        <f t="array" ref="X126">IFERROR(AVERAGE(_xlfn._xlws.FILTER(P$2:P$1073,($C$2:$C$1073=$C126)*($E$2:$E$1073=$E126)*(ROW(P$2:P$1073)&lt;&gt;ROW(P126))*(P$2:P$1073&lt;&gt;""))),"")</f>
        <v>26.157703520087257</v>
      </c>
      <c r="Y126" cm="1">
        <f t="array" ref="Y126">IFERROR(AVERAGE(_xlfn._xlws.FILTER(Q$2:Q$1073,($C$2:$C$1073=$C126)*($E$2:$E$1073=$E126)*(ROW(Q$2:Q$1073)&lt;&gt;ROW(Q126))*(Q$2:Q$1073&lt;&gt;""))),"")</f>
        <v>0.77831001233763986</v>
      </c>
      <c r="Z126" cm="1">
        <f t="array" ref="Z126">IFERROR(AVERAGE(_xlfn._xlws.FILTER(R$2:R$1073,($C$2:$C$1073=$C126)*($E$2:$E$1073=$E126)*(ROW(R$2:R$1073)&lt;&gt;ROW(R126))*(R$2:R$1073&lt;&gt;""))),"")</f>
        <v>0.10334610373748482</v>
      </c>
      <c r="AA126" t="str" cm="1">
        <f t="array" ref="AA126">IFERROR(AVERAGE(_xlfn._xlws.FILTER(S$2:S$1073,($C$2:$C$1073=$C126)*($E$2:$E$1073=$E126)*(ROW(S$2:S$1073)&lt;&gt;ROW(S126))*(S$2:S$1073&lt;&gt;""))),"")</f>
        <v/>
      </c>
      <c r="AB126" cm="1">
        <f t="array" ref="AB126">IFERROR(AVERAGE(_xlfn._xlws.FILTER(T$2:T$1073,($C$2:$C$1073=$C126)*($E$2:$E$1073=$E126)*(ROW(T$2:T$1073)&lt;&gt;ROW(T126))*(T$2:T$1073&lt;&gt;""))),"")</f>
        <v>-9.6390452777529896E-3</v>
      </c>
      <c r="AC126" cm="1">
        <f t="array" ref="AC126">IFERROR(AVERAGE(_xlfn._xlws.FILTER(U$2:U$1073,($C$2:$C$1073=$C126)*($E$2:$E$1073=$E126)*(ROW(U$2:U$1073)&lt;&gt;ROW(U126))*(U$2:U$1073&lt;&gt;""))),"")</f>
        <v>0.67511828653958639</v>
      </c>
      <c r="AD126" cm="1">
        <f t="array" ref="AD126">IFERROR(AVERAGE(_xlfn._xlws.FILTER(V$2:V$1073,($C$2:$C$1073=$C126)*($E$2:$E$1073=$E126)*(ROW(V$2:V$1073)&lt;&gt;ROW(V126))*(V$2:V$1073&lt;&gt;""))),"")</f>
        <v>0.3742211130357615</v>
      </c>
      <c r="AE126">
        <f>IF('Дивиденды по годам'!M126&lt;0,1,0)</f>
        <v>0</v>
      </c>
    </row>
    <row r="127" spans="1:31" x14ac:dyDescent="0.2">
      <c r="A127" s="7" t="s">
        <v>2190</v>
      </c>
      <c r="B127" t="str">
        <f t="shared" si="11"/>
        <v>ELFV IV кв. 2012</v>
      </c>
      <c r="C127">
        <v>2012</v>
      </c>
      <c r="D127">
        <f>SUMIFS(Дивиденды!$C:$C,Дивиденды!$A:$A,A127,Дивиденды!$I:$I,C127)</f>
        <v>0</v>
      </c>
      <c r="E127">
        <v>2</v>
      </c>
      <c r="F127">
        <f t="shared" si="12"/>
        <v>0</v>
      </c>
      <c r="G127">
        <f t="shared" si="13"/>
        <v>3.7162333333333332E-2</v>
      </c>
      <c r="H127">
        <f t="shared" si="14"/>
        <v>0</v>
      </c>
      <c r="I127">
        <f t="shared" si="15"/>
        <v>0.75</v>
      </c>
      <c r="J127">
        <f t="shared" si="16"/>
        <v>0</v>
      </c>
      <c r="K127">
        <f t="shared" si="21"/>
        <v>0.74080204300683228</v>
      </c>
      <c r="L127">
        <f t="shared" si="17"/>
        <v>0</v>
      </c>
      <c r="M127">
        <f t="shared" si="18"/>
        <v>0.58333333333333337</v>
      </c>
      <c r="N127">
        <f t="shared" si="19"/>
        <v>0</v>
      </c>
      <c r="O127">
        <f t="shared" si="20"/>
        <v>0.16666666666666666</v>
      </c>
      <c r="P127">
        <f>IFERROR(LN('Дивиденды по годам'!I127),"")</f>
        <v>25.574231753399165</v>
      </c>
      <c r="Q127">
        <f>IFERROR('Дивиденды по годам'!G127/'Дивиденды по годам'!I127, "")</f>
        <v>0.84568472511649029</v>
      </c>
      <c r="R127">
        <f>IFERROR(IF(AND('Дивиденды по годам'!N127&lt;&gt;"",'Дивиденды по годам'!U127&lt;&gt;"",'Дивиденды по годам'!U127&lt;&gt;0),'Дивиденды по годам'!N127/'Дивиденды по годам'!U127-1,""),"")</f>
        <v>0.10720803568690696</v>
      </c>
      <c r="S127">
        <f>IFERROR(IF(AND('Дивиденды по годам'!L127&lt;&gt;"",'Дивиденды по годам'!I127&lt;&gt;"",'Дивиденды по годам'!J127&lt;&gt;"",'Дивиденды по годам'!K127&lt;&gt;"",('Дивиденды по годам'!I127-'Дивиденды по годам'!J127-'Дивиденды по годам'!K127)&lt;&gt;0),'Дивиденды по годам'!L127/('Дивиденды по годам'!I127-'Дивиденды по годам'!J127-'Дивиденды по годам'!K127),""),"")</f>
        <v>0.44715527647269881</v>
      </c>
      <c r="T127">
        <f>IFERROR(IF(AND('Дивиденды по годам'!Q127&lt;&gt;"",'Дивиденды по годам'!I127&lt;&gt;"",'Дивиденды по годам'!V127&lt;&gt;"",('Дивиденды по годам'!I127+'Дивиденды по годам'!V127)&lt;&gt;0),'Дивиденды по годам'!Q127/(('Дивиденды по годам'!I127+'Дивиденды по годам'!V127)/2),""),"")</f>
        <v>4.4991890641832316E-2</v>
      </c>
      <c r="U127">
        <f>IFERROR(IF(AND('Дивиденды по годам'!J127&lt;&gt;"",'Дивиденды по годам'!K127&lt;&gt;"",'Дивиденды по годам'!M127&lt;&gt;"",'Дивиденды по годам'!M127&lt;&gt;0),('Дивиденды по годам'!J127+'Дивиденды по годам'!K127)/'Дивиденды по годам'!M127,""),"")</f>
        <v>0.69264675731123093</v>
      </c>
      <c r="V127">
        <f>IFERROR(IF(AND('Дивиденды по годам'!J127&lt;&gt;"",'Дивиденды по годам'!K127&lt;&gt;"",'Дивиденды по годам'!M127&lt;&gt;"",'Дивиденды по годам'!I127&lt;&gt;0),('Дивиденды по годам'!J127+'Дивиденды по годам'!K127)/'Дивиденды по годам'!I127,""),"")</f>
        <v>0.40920927790716366</v>
      </c>
      <c r="W127">
        <f>IFERROR('Дивиденды по годам'!I127,"")</f>
        <v>127863836000</v>
      </c>
      <c r="X127" cm="1">
        <f t="array" ref="X127">IFERROR(AVERAGE(_xlfn._xlws.FILTER(P$2:P$1073,($C$2:$C$1073=$C127)*($E$2:$E$1073=$E127)*(ROW(P$2:P$1073)&lt;&gt;ROW(P127))*(P$2:P$1073&lt;&gt;""))),"")</f>
        <v>26.157452957964448</v>
      </c>
      <c r="Y127" cm="1">
        <f t="array" ref="Y127">IFERROR(AVERAGE(_xlfn._xlws.FILTER(Q$2:Q$1073,($C$2:$C$1073=$C127)*($E$2:$E$1073=$E127)*(ROW(Q$2:Q$1073)&lt;&gt;ROW(Q127))*(Q$2:Q$1073&lt;&gt;""))),"")</f>
        <v>0.77090884686982597</v>
      </c>
      <c r="Z127" cm="1">
        <f t="array" ref="Z127">IFERROR(AVERAGE(_xlfn._xlws.FILTER(R$2:R$1073,($C$2:$C$1073=$C127)*($E$2:$E$1073=$E127)*(ROW(R$2:R$1073)&lt;&gt;ROW(R127))*(R$2:R$1073&lt;&gt;""))),"")</f>
        <v>-2.9531961692993387E-2</v>
      </c>
      <c r="AA127" t="str" cm="1">
        <f t="array" ref="AA127">IFERROR(AVERAGE(_xlfn._xlws.FILTER(S$2:S$1073,($C$2:$C$1073=$C127)*($E$2:$E$1073=$E127)*(ROW(S$2:S$1073)&lt;&gt;ROW(S127))*(S$2:S$1073&lt;&gt;""))),"")</f>
        <v/>
      </c>
      <c r="AB127" cm="1">
        <f t="array" ref="AB127">IFERROR(AVERAGE(_xlfn._xlws.FILTER(T$2:T$1073,($C$2:$C$1073=$C127)*($E$2:$E$1073=$E127)*(ROW(T$2:T$1073)&lt;&gt;ROW(T127))*(T$2:T$1073&lt;&gt;""))),"")</f>
        <v>1.6319533139678086E-2</v>
      </c>
      <c r="AC127" cm="1">
        <f t="array" ref="AC127">IFERROR(AVERAGE(_xlfn._xlws.FILTER(U$2:U$1073,($C$2:$C$1073=$C127)*($E$2:$E$1073=$E127)*(ROW(U$2:U$1073)&lt;&gt;ROW(U127))*(U$2:U$1073&lt;&gt;""))),"")</f>
        <v>0.64721499154258999</v>
      </c>
      <c r="AD127" cm="1">
        <f t="array" ref="AD127">IFERROR(AVERAGE(_xlfn._xlws.FILTER(V$2:V$1073,($C$2:$C$1073=$C127)*($E$2:$E$1073=$E127)*(ROW(V$2:V$1073)&lt;&gt;ROW(V127))*(V$2:V$1073&lt;&gt;""))),"")</f>
        <v>0.3750963103572505</v>
      </c>
      <c r="AE127">
        <f>IF('Дивиденды по годам'!M127&lt;0,1,0)</f>
        <v>0</v>
      </c>
    </row>
    <row r="128" spans="1:31" x14ac:dyDescent="0.2">
      <c r="A128" s="7" t="s">
        <v>2190</v>
      </c>
      <c r="B128" t="str">
        <f t="shared" si="11"/>
        <v>ELFV IV кв. 2011</v>
      </c>
      <c r="C128">
        <v>2011</v>
      </c>
      <c r="D128">
        <f>SUMIFS(Дивиденды!$C:$C,Дивиденды!$A:$A,A128,Дивиденды!$I:$I,C128)</f>
        <v>0</v>
      </c>
      <c r="E128">
        <v>2</v>
      </c>
      <c r="F128">
        <f t="shared" si="12"/>
        <v>0</v>
      </c>
      <c r="G128">
        <f t="shared" si="13"/>
        <v>1.154675E-2</v>
      </c>
      <c r="H128">
        <f t="shared" si="14"/>
        <v>0</v>
      </c>
      <c r="I128">
        <f t="shared" si="15"/>
        <v>0.83333333333333337</v>
      </c>
      <c r="J128">
        <f t="shared" si="16"/>
        <v>0</v>
      </c>
      <c r="K128">
        <f t="shared" si="21"/>
        <v>5.0770249936127408E-2</v>
      </c>
      <c r="L128">
        <f t="shared" si="17"/>
        <v>0</v>
      </c>
      <c r="M128">
        <f t="shared" si="18"/>
        <v>0.5</v>
      </c>
      <c r="N128">
        <f t="shared" si="19"/>
        <v>0</v>
      </c>
      <c r="O128">
        <f t="shared" si="20"/>
        <v>0.41666666666666669</v>
      </c>
      <c r="P128">
        <f>IFERROR(LN('Дивиденды по годам'!I128),"")</f>
        <v>25.502190074913834</v>
      </c>
      <c r="Q128">
        <f>IFERROR('Дивиденды по годам'!G128/'Дивиденды по годам'!I128, "")</f>
        <v>0.84894129873320723</v>
      </c>
      <c r="R128">
        <f>IFERROR(IF(AND('Дивиденды по годам'!N128&lt;&gt;"",'Дивиденды по годам'!U128&lt;&gt;"",'Дивиденды по годам'!U128&lt;&gt;0),'Дивиденды по годам'!N128/'Дивиденды по годам'!U128-1,""),"")</f>
        <v>0.14348983045887875</v>
      </c>
      <c r="S128">
        <f>IFERROR(IF(AND('Дивиденды по годам'!L128&lt;&gt;"",'Дивиденды по годам'!I128&lt;&gt;"",'Дивиденды по годам'!J128&lt;&gt;"",'Дивиденды по годам'!K128&lt;&gt;"",('Дивиденды по годам'!I128-'Дивиденды по годам'!J128-'Дивиденды по годам'!K128)&lt;&gt;0),'Дивиденды по годам'!L128/('Дивиденды по годам'!I128-'Дивиденды по годам'!J128-'Дивиденды по годам'!K128),""),"")</f>
        <v>0.39850050246333968</v>
      </c>
      <c r="T128">
        <f>IFERROR(IF(AND('Дивиденды по годам'!Q128&lt;&gt;"",'Дивиденды по годам'!I128&lt;&gt;"",'Дивиденды по годам'!V128&lt;&gt;"",('Дивиденды по годам'!I128+'Дивиденды по годам'!V128)&lt;&gt;0),'Дивиденды по годам'!Q128/(('Дивиденды по годам'!I128+'Дивиденды по годам'!V128)/2),""),"")</f>
        <v>4.5214358774442007E-2</v>
      </c>
      <c r="U128">
        <f>IFERROR(IF(AND('Дивиденды по годам'!J128&lt;&gt;"",'Дивиденды по годам'!K128&lt;&gt;"",'Дивиденды по годам'!M128&lt;&gt;"",'Дивиденды по годам'!M128&lt;&gt;0),('Дивиденды по годам'!J128+'Дивиденды по годам'!K128)/'Дивиденды по годам'!M128,""),"")</f>
        <v>0.69589720769331875</v>
      </c>
      <c r="V128">
        <f>IFERROR(IF(AND('Дивиденды по годам'!J128&lt;&gt;"",'Дивиденды по годам'!K128&lt;&gt;"",'Дивиденды по годам'!M128&lt;&gt;"",'Дивиденды по годам'!I128&lt;&gt;0),('Дивиденды по годам'!J128+'Дивиденды по годам'!K128)/'Дивиденды по годам'!I128,""),"")</f>
        <v>0.41034162007958375</v>
      </c>
      <c r="W128">
        <f>IFERROR('Дивиденды по годам'!I128,"")</f>
        <v>118976291000</v>
      </c>
      <c r="X128" cm="1">
        <f t="array" ref="X128">IFERROR(AVERAGE(_xlfn._xlws.FILTER(P$2:P$1073,($C$2:$C$1073=$C128)*($E$2:$E$1073=$E128)*(ROW(P$2:P$1073)&lt;&gt;ROW(P128))*(P$2:P$1073&lt;&gt;""))),"")</f>
        <v>26.216433638899886</v>
      </c>
      <c r="Y128" cm="1">
        <f t="array" ref="Y128">IFERROR(AVERAGE(_xlfn._xlws.FILTER(Q$2:Q$1073,($C$2:$C$1073=$C128)*($E$2:$E$1073=$E128)*(ROW(Q$2:Q$1073)&lt;&gt;ROW(Q128))*(Q$2:Q$1073&lt;&gt;""))),"")</f>
        <v>0.75750068440960105</v>
      </c>
      <c r="Z128" t="str" cm="1">
        <f t="array" ref="Z128">IFERROR(AVERAGE(_xlfn._xlws.FILTER(R$2:R$1073,($C$2:$C$1073=$C128)*($E$2:$E$1073=$E128)*(ROW(R$2:R$1073)&lt;&gt;ROW(R128))*(R$2:R$1073&lt;&gt;""))),"")</f>
        <v/>
      </c>
      <c r="AA128" t="str" cm="1">
        <f t="array" ref="AA128">IFERROR(AVERAGE(_xlfn._xlws.FILTER(S$2:S$1073,($C$2:$C$1073=$C128)*($E$2:$E$1073=$E128)*(ROW(S$2:S$1073)&lt;&gt;ROW(S128))*(S$2:S$1073&lt;&gt;""))),"")</f>
        <v/>
      </c>
      <c r="AB128" t="str" cm="1">
        <f t="array" ref="AB128">IFERROR(AVERAGE(_xlfn._xlws.FILTER(T$2:T$1073,($C$2:$C$1073=$C128)*($E$2:$E$1073=$E128)*(ROW(T$2:T$1073)&lt;&gt;ROW(T128))*(T$2:T$1073&lt;&gt;""))),"")</f>
        <v/>
      </c>
      <c r="AC128" cm="1">
        <f t="array" ref="AC128">IFERROR(AVERAGE(_xlfn._xlws.FILTER(U$2:U$1073,($C$2:$C$1073=$C128)*($E$2:$E$1073=$E128)*(ROW(U$2:U$1073)&lt;&gt;ROW(U128))*(U$2:U$1073&lt;&gt;""))),"")</f>
        <v>0.58346210628251594</v>
      </c>
      <c r="AD128" cm="1">
        <f t="array" ref="AD128">IFERROR(AVERAGE(_xlfn._xlws.FILTER(V$2:V$1073,($C$2:$C$1073=$C128)*($E$2:$E$1073=$E128)*(ROW(V$2:V$1073)&lt;&gt;ROW(V128))*(V$2:V$1073&lt;&gt;""))),"")</f>
        <v>0.35254241760328497</v>
      </c>
      <c r="AE128">
        <f>IF('Дивиденды по годам'!M128&lt;0,1,0)</f>
        <v>0</v>
      </c>
    </row>
    <row r="129" spans="1:31" x14ac:dyDescent="0.2">
      <c r="A129" s="7" t="s">
        <v>2190</v>
      </c>
      <c r="B129" t="str">
        <f t="shared" si="11"/>
        <v>ELFV IV кв. 2010</v>
      </c>
      <c r="C129">
        <v>2010</v>
      </c>
      <c r="D129">
        <f>SUMIFS(Дивиденды!$C:$C,Дивиденды!$A:$A,A129,Дивиденды!$I:$I,C129)</f>
        <v>0</v>
      </c>
      <c r="E129">
        <v>2</v>
      </c>
      <c r="F129">
        <f t="shared" si="12"/>
        <v>0</v>
      </c>
      <c r="G129">
        <f t="shared" si="13"/>
        <v>6.5618333333333336E-3</v>
      </c>
      <c r="H129">
        <f t="shared" si="14"/>
        <v>0</v>
      </c>
      <c r="I129">
        <f t="shared" si="15"/>
        <v>0.83333333333333337</v>
      </c>
      <c r="J129" t="str">
        <f t="shared" si="16"/>
        <v/>
      </c>
      <c r="K129" t="str">
        <f t="shared" si="21"/>
        <v/>
      </c>
      <c r="L129" t="str">
        <f t="shared" si="17"/>
        <v/>
      </c>
      <c r="M129" t="str">
        <f t="shared" si="18"/>
        <v/>
      </c>
      <c r="N129" t="str">
        <f t="shared" si="19"/>
        <v/>
      </c>
      <c r="O129" t="str">
        <f t="shared" si="20"/>
        <v/>
      </c>
      <c r="P129" t="str">
        <f>IFERROR(LN('Дивиденды по годам'!I129),"")</f>
        <v/>
      </c>
      <c r="Q129" t="str">
        <f>IFERROR('Дивиденды по годам'!G129/'Дивиденды по годам'!I129, "")</f>
        <v/>
      </c>
      <c r="R129" t="str">
        <f>IFERROR(IF(AND('Дивиденды по годам'!N129&lt;&gt;"",'Дивиденды по годам'!U129&lt;&gt;"",'Дивиденды по годам'!U129&lt;&gt;0),'Дивиденды по годам'!N129/'Дивиденды по годам'!U129-1,""),"")</f>
        <v/>
      </c>
      <c r="S129" t="str">
        <f>IFERROR(IF(AND('Дивиденды по годам'!L129&lt;&gt;"",'Дивиденды по годам'!I129&lt;&gt;"",'Дивиденды по годам'!J129&lt;&gt;"",'Дивиденды по годам'!K129&lt;&gt;"",('Дивиденды по годам'!I129-'Дивиденды по годам'!J129-'Дивиденды по годам'!K129)&lt;&gt;0),'Дивиденды по годам'!L129/('Дивиденды по годам'!I129-'Дивиденды по годам'!J129-'Дивиденды по годам'!K129),""),"")</f>
        <v/>
      </c>
      <c r="T129" t="str">
        <f>IFERROR(IF(AND('Дивиденды по годам'!Q129&lt;&gt;"",'Дивиденды по годам'!I129&lt;&gt;"",'Дивиденды по годам'!V129&lt;&gt;"",('Дивиденды по годам'!I129+'Дивиденды по годам'!V129)&lt;&gt;0),'Дивиденды по годам'!Q129/(('Дивиденды по годам'!I129+'Дивиденды по годам'!V129)/2),""),"")</f>
        <v/>
      </c>
      <c r="U129" t="str">
        <f>IFERROR(IF(AND('Дивиденды по годам'!J129&lt;&gt;"",'Дивиденды по годам'!K129&lt;&gt;"",'Дивиденды по годам'!M129&lt;&gt;"",'Дивиденды по годам'!M129&lt;&gt;0),('Дивиденды по годам'!J129+'Дивиденды по годам'!K129)/'Дивиденды по годам'!M129,""),"")</f>
        <v/>
      </c>
      <c r="V129" t="str">
        <f>IFERROR(IF(AND('Дивиденды по годам'!J129&lt;&gt;"",'Дивиденды по годам'!K129&lt;&gt;"",'Дивиденды по годам'!M129&lt;&gt;"",'Дивиденды по годам'!I129&lt;&gt;0),('Дивиденды по годам'!J129+'Дивиденды по годам'!K129)/'Дивиденды по годам'!I129,""),"")</f>
        <v/>
      </c>
      <c r="W129" t="str">
        <f>IFERROR('Дивиденды по годам'!I129,"")</f>
        <v/>
      </c>
      <c r="X129" cm="1">
        <f t="array" ref="X129">IFERROR(AVERAGE(_xlfn._xlws.FILTER(P$2:P$1073,($C$2:$C$1073=$C129)*($E$2:$E$1073=$E129)*(ROW(P$2:P$1073)&lt;&gt;ROW(P129))*(P$2:P$1073&lt;&gt;""))),"")</f>
        <v>24.730948088520865</v>
      </c>
      <c r="Y129" cm="1">
        <f t="array" ref="Y129">IFERROR(AVERAGE(_xlfn._xlws.FILTER(Q$2:Q$1073,($C$2:$C$1073=$C129)*($E$2:$E$1073=$E129)*(ROW(Q$2:Q$1073)&lt;&gt;ROW(Q129))*(Q$2:Q$1073&lt;&gt;""))),"")</f>
        <v>0.82035195639515091</v>
      </c>
      <c r="Z129" t="str" cm="1">
        <f t="array" ref="Z129">IFERROR(AVERAGE(_xlfn._xlws.FILTER(R$2:R$1073,($C$2:$C$1073=$C129)*($E$2:$E$1073=$E129)*(ROW(R$2:R$1073)&lt;&gt;ROW(R129))*(R$2:R$1073&lt;&gt;""))),"")</f>
        <v/>
      </c>
      <c r="AA129" t="str" cm="1">
        <f t="array" ref="AA129">IFERROR(AVERAGE(_xlfn._xlws.FILTER(S$2:S$1073,($C$2:$C$1073=$C129)*($E$2:$E$1073=$E129)*(ROW(S$2:S$1073)&lt;&gt;ROW(S129))*(S$2:S$1073&lt;&gt;""))),"")</f>
        <v/>
      </c>
      <c r="AB129" t="str" cm="1">
        <f t="array" ref="AB129">IFERROR(AVERAGE(_xlfn._xlws.FILTER(T$2:T$1073,($C$2:$C$1073=$C129)*($E$2:$E$1073=$E129)*(ROW(T$2:T$1073)&lt;&gt;ROW(T129))*(T$2:T$1073&lt;&gt;""))),"")</f>
        <v/>
      </c>
      <c r="AC129" cm="1">
        <f t="array" ref="AC129">IFERROR(AVERAGE(_xlfn._xlws.FILTER(U$2:U$1073,($C$2:$C$1073=$C129)*($E$2:$E$1073=$E129)*(ROW(U$2:U$1073)&lt;&gt;ROW(U129))*(U$2:U$1073&lt;&gt;""))),"")</f>
        <v>0.91314375247969903</v>
      </c>
      <c r="AD129" cm="1">
        <f t="array" ref="AD129">IFERROR(AVERAGE(_xlfn._xlws.FILTER(V$2:V$1073,($C$2:$C$1073=$C129)*($E$2:$E$1073=$E129)*(ROW(V$2:V$1073)&lt;&gt;ROW(V129))*(V$2:V$1073&lt;&gt;""))),"")</f>
        <v>0.47730012514539921</v>
      </c>
      <c r="AE129">
        <f>IF('Дивиденды по годам'!M129&lt;0,1,0)</f>
        <v>0</v>
      </c>
    </row>
    <row r="130" spans="1:31" x14ac:dyDescent="0.2">
      <c r="A130" s="7" t="s">
        <v>2193</v>
      </c>
      <c r="B130" t="str">
        <f t="shared" si="11"/>
        <v>FEES IV кв. 2025</v>
      </c>
      <c r="C130">
        <v>2025</v>
      </c>
      <c r="D130">
        <f>SUMIFS(Дивиденды!$C:$C,Дивиденды!$A:$A,A130,Дивиденды!$I:$I,C130)</f>
        <v>0</v>
      </c>
      <c r="E130">
        <v>2</v>
      </c>
      <c r="F130">
        <f t="shared" si="12"/>
        <v>0</v>
      </c>
      <c r="G130">
        <f t="shared" si="13"/>
        <v>0</v>
      </c>
      <c r="H130">
        <f t="shared" si="14"/>
        <v>0</v>
      </c>
      <c r="I130">
        <f t="shared" si="15"/>
        <v>0</v>
      </c>
      <c r="J130">
        <f t="shared" si="16"/>
        <v>0</v>
      </c>
      <c r="K130">
        <f t="shared" si="21"/>
        <v>-0.58333333333333337</v>
      </c>
      <c r="L130">
        <f t="shared" si="17"/>
        <v>0</v>
      </c>
      <c r="M130">
        <f t="shared" si="18"/>
        <v>0</v>
      </c>
      <c r="N130">
        <f t="shared" si="19"/>
        <v>0</v>
      </c>
      <c r="O130">
        <f t="shared" si="20"/>
        <v>0.58333333333333337</v>
      </c>
      <c r="P130" t="str">
        <f>IFERROR(LN('Дивиденды по годам'!I130),"")</f>
        <v/>
      </c>
      <c r="Q130" t="str">
        <f>IFERROR('Дивиденды по годам'!G130/'Дивиденды по годам'!I130, "")</f>
        <v/>
      </c>
      <c r="R130" t="str">
        <f>IFERROR(IF(AND('Дивиденды по годам'!N130&lt;&gt;"",'Дивиденды по годам'!U130&lt;&gt;"",'Дивиденды по годам'!U130&lt;&gt;0),'Дивиденды по годам'!N130/'Дивиденды по годам'!U130-1,""),"")</f>
        <v/>
      </c>
      <c r="S130" t="str">
        <f>IFERROR(IF(AND('Дивиденды по годам'!L130&lt;&gt;"",'Дивиденды по годам'!I130&lt;&gt;"",'Дивиденды по годам'!J130&lt;&gt;"",'Дивиденды по годам'!K130&lt;&gt;"",('Дивиденды по годам'!I130-'Дивиденды по годам'!J130-'Дивиденды по годам'!K130)&lt;&gt;0),'Дивиденды по годам'!L130/('Дивиденды по годам'!I130-'Дивиденды по годам'!J130-'Дивиденды по годам'!K130),""),"")</f>
        <v/>
      </c>
      <c r="T130" t="str">
        <f>IFERROR(IF(AND('Дивиденды по годам'!Q130&lt;&gt;"",'Дивиденды по годам'!I130&lt;&gt;"",'Дивиденды по годам'!V130&lt;&gt;"",('Дивиденды по годам'!I130+'Дивиденды по годам'!V130)&lt;&gt;0),'Дивиденды по годам'!Q130/(('Дивиденды по годам'!I130+'Дивиденды по годам'!V130)/2),""),"")</f>
        <v/>
      </c>
      <c r="U130" t="str">
        <f>IFERROR(IF(AND('Дивиденды по годам'!J130&lt;&gt;"",'Дивиденды по годам'!K130&lt;&gt;"",'Дивиденды по годам'!M130&lt;&gt;"",'Дивиденды по годам'!M130&lt;&gt;0),('Дивиденды по годам'!J130+'Дивиденды по годам'!K130)/'Дивиденды по годам'!M130,""),"")</f>
        <v/>
      </c>
      <c r="V130" t="str">
        <f>IFERROR(IF(AND('Дивиденды по годам'!J130&lt;&gt;"",'Дивиденды по годам'!K130&lt;&gt;"",'Дивиденды по годам'!M130&lt;&gt;"",'Дивиденды по годам'!I130&lt;&gt;0),('Дивиденды по годам'!J130+'Дивиденды по годам'!K130)/'Дивиденды по годам'!I130,""),"")</f>
        <v/>
      </c>
      <c r="W130" t="str">
        <f>IFERROR('Дивиденды по годам'!I130,"")</f>
        <v/>
      </c>
      <c r="X130" cm="1">
        <f t="array" ref="X130">IFERROR(AVERAGE(_xlfn._xlws.FILTER(P$2:P$1073,($C$2:$C$1073=$C130)*($E$2:$E$1073=$E130)*(ROW(P$2:P$1073)&lt;&gt;ROW(P130))*(P$2:P$1073&lt;&gt;""))),"")</f>
        <v>26.57991857918098</v>
      </c>
      <c r="Y130" cm="1">
        <f t="array" ref="Y130">IFERROR(AVERAGE(_xlfn._xlws.FILTER(Q$2:Q$1073,($C$2:$C$1073=$C130)*($E$2:$E$1073=$E130)*(ROW(Q$2:Q$1073)&lt;&gt;ROW(Q130))*(Q$2:Q$1073&lt;&gt;""))),"")</f>
        <v>0.67759713674348565</v>
      </c>
      <c r="Z130" cm="1">
        <f t="array" ref="Z130">IFERROR(AVERAGE(_xlfn._xlws.FILTER(R$2:R$1073,($C$2:$C$1073=$C130)*($E$2:$E$1073=$E130)*(ROW(R$2:R$1073)&lt;&gt;ROW(R130))*(R$2:R$1073&lt;&gt;""))),"")</f>
        <v>0.17662623265859428</v>
      </c>
      <c r="AA130" cm="1">
        <f t="array" ref="AA130">IFERROR(AVERAGE(_xlfn._xlws.FILTER(S$2:S$1073,($C$2:$C$1073=$C130)*($E$2:$E$1073=$E130)*(ROW(S$2:S$1073)&lt;&gt;ROW(S130))*(S$2:S$1073&lt;&gt;""))),"")</f>
        <v>0.75614685785818758</v>
      </c>
      <c r="AB130" cm="1">
        <f t="array" ref="AB130">IFERROR(AVERAGE(_xlfn._xlws.FILTER(T$2:T$1073,($C$2:$C$1073=$C130)*($E$2:$E$1073=$E130)*(ROW(T$2:T$1073)&lt;&gt;ROW(T130))*(T$2:T$1073&lt;&gt;""))),"")</f>
        <v>0.10306085485751774</v>
      </c>
      <c r="AC130" cm="1">
        <f t="array" ref="AC130">IFERROR(AVERAGE(_xlfn._xlws.FILTER(U$2:U$1073,($C$2:$C$1073=$C130)*($E$2:$E$1073=$E130)*(ROW(U$2:U$1073)&lt;&gt;ROW(U130))*(U$2:U$1073&lt;&gt;""))),"")</f>
        <v>0.88935141782994176</v>
      </c>
      <c r="AD130" cm="1">
        <f t="array" ref="AD130">IFERROR(AVERAGE(_xlfn._xlws.FILTER(V$2:V$1073,($C$2:$C$1073=$C130)*($E$2:$E$1073=$E130)*(ROW(V$2:V$1073)&lt;&gt;ROW(V130))*(V$2:V$1073&lt;&gt;""))),"")</f>
        <v>0.43128750803252092</v>
      </c>
      <c r="AE130">
        <f>IF('Дивиденды по годам'!M130&lt;0,1,0)</f>
        <v>0</v>
      </c>
    </row>
    <row r="131" spans="1:31" x14ac:dyDescent="0.2">
      <c r="A131" s="7" t="s">
        <v>2193</v>
      </c>
      <c r="B131" t="str">
        <f t="shared" ref="B131:B194" si="22">A131&amp;" "&amp;
"IV"
&amp;" кв. "&amp;C131</f>
        <v>FEES IV кв. 2024</v>
      </c>
      <c r="C131">
        <v>2024</v>
      </c>
      <c r="D131">
        <f>SUMIFS(Дивиденды!$C:$C,Дивиденды!$A:$A,A131,Дивиденды!$I:$I,C131)</f>
        <v>0</v>
      </c>
      <c r="E131">
        <v>2</v>
      </c>
      <c r="F131">
        <f t="shared" ref="F131:F194" si="23">D131</f>
        <v>0</v>
      </c>
      <c r="G131">
        <f t="shared" ref="G131:G194" si="24">AVERAGEIFS($D:$D,$E:$E,E131,$C:$C,C131,$A:$A,"&lt;&gt;"&amp;A131)</f>
        <v>6.3399999999999998E-2</v>
      </c>
      <c r="H131">
        <f t="shared" ref="H131:H194" si="25">IF(D131&gt;0,1,0)</f>
        <v>0</v>
      </c>
      <c r="I131">
        <f t="shared" ref="I131:I194" si="26">IFERROR((COUNTIFS($E:$E,E131,$C:$C,C131,$H:$H,1)-H131)/(COUNTIFS($E:$E,E131,$C:$C,C131)-1),0)</f>
        <v>0.58333333333333337</v>
      </c>
      <c r="J131">
        <f t="shared" ref="J131:J194" si="27">IF(A132&lt;&gt;A131,"",IF(D131=D132,0,IF(AND(D132=0,D131&lt;&gt;0), 1,(D131-D132)/D132)))</f>
        <v>0</v>
      </c>
      <c r="K131">
        <f t="shared" si="21"/>
        <v>8.6160653443004165E-2</v>
      </c>
      <c r="L131">
        <f t="shared" ref="L131:L194" si="28">IF(J131&lt;&gt;"",IF(J131&gt;0,1,0),"")</f>
        <v>0</v>
      </c>
      <c r="M131">
        <f t="shared" ref="M131:M194" si="29">IFERROR(AVERAGEIFS($L:$L,$E:$E,E131,$C:$C,C131,$A:$A,"&lt;&gt;"&amp;A131),"")</f>
        <v>0.58333333333333337</v>
      </c>
      <c r="N131">
        <f t="shared" ref="N131:N194" si="30">IF(J131&lt;&gt;"",IF(J131&lt;0,1,0),"")</f>
        <v>0</v>
      </c>
      <c r="O131">
        <f t="shared" ref="O131:O194" si="31">IFERROR(AVERAGEIFS($N:$N,$E:$E,E131,$C:$C,C131,$A:$A,"&lt;&gt;"&amp;A131),"")</f>
        <v>8.3333333333333329E-2</v>
      </c>
      <c r="P131">
        <f>IFERROR(LN('Дивиденды по годам'!I131),"")</f>
        <v>28.86816473500696</v>
      </c>
      <c r="Q131">
        <f>IFERROR('Дивиденды по годам'!G131/'Дивиденды по годам'!I131, "")</f>
        <v>0.78615816495475455</v>
      </c>
      <c r="R131">
        <f>IFERROR(IF(AND('Дивиденды по годам'!N131&lt;&gt;"",'Дивиденды по годам'!U131&lt;&gt;"",'Дивиденды по годам'!U131&lt;&gt;0),'Дивиденды по годам'!N131/'Дивиденды по годам'!U131-1,""),"")</f>
        <v>9.2099756360980223E-2</v>
      </c>
      <c r="S131">
        <f>IFERROR(IF(AND('Дивиденды по годам'!L131&lt;&gt;"",'Дивиденды по годам'!I131&lt;&gt;"",'Дивиденды по годам'!J131&lt;&gt;"",'Дивиденды по годам'!K131&lt;&gt;"",('Дивиденды по годам'!I131-'Дивиденды по годам'!J131-'Дивиденды по годам'!K131)&lt;&gt;0),'Дивиденды по годам'!L131/('Дивиденды по годам'!I131-'Дивиденды по годам'!J131-'Дивиденды по годам'!K131),""),"")</f>
        <v>0.21297275216059736</v>
      </c>
      <c r="T131">
        <f>IFERROR(IF(AND('Дивиденды по годам'!Q131&lt;&gt;"",'Дивиденды по годам'!I131&lt;&gt;"",'Дивиденды по годам'!V131&lt;&gt;"",('Дивиденды по годам'!I131+'Дивиденды по годам'!V131)&lt;&gt;0),'Дивиденды по годам'!Q131/(('Дивиденды по годам'!I131+'Дивиденды по годам'!V131)/2),""),"")</f>
        <v>-3.4695161134935509E-2</v>
      </c>
      <c r="U131">
        <f>IFERROR(IF(AND('Дивиденды по годам'!J131&lt;&gt;"",'Дивиденды по годам'!K131&lt;&gt;"",'Дивиденды по годам'!M131&lt;&gt;"",'Дивиденды по годам'!M131&lt;&gt;0),('Дивиденды по годам'!J131+'Дивиденды по годам'!K131)/'Дивиденды по годам'!M131,""),"")</f>
        <v>0.99943424670093295</v>
      </c>
      <c r="V131">
        <f>IFERROR(IF(AND('Дивиденды по годам'!J131&lt;&gt;"",'Дивиденды по годам'!K131&lt;&gt;"",'Дивиденды по годам'!M131&lt;&gt;"",'Дивиденды по годам'!I131&lt;&gt;0),('Дивиденды по годам'!J131+'Дивиденды по годам'!K131)/'Дивиденды по годам'!I131,""),"")</f>
        <v>0.49985852165431283</v>
      </c>
      <c r="W131">
        <f>IFERROR('Дивиденды по годам'!I131,"")</f>
        <v>3445757000000</v>
      </c>
      <c r="X131" cm="1">
        <f t="array" ref="X131">IFERROR(AVERAGE(_xlfn._xlws.FILTER(P$2:P$1073,($C$2:$C$1073=$C131)*($E$2:$E$1073=$E131)*(ROW(P$2:P$1073)&lt;&gt;ROW(P131))*(P$2:P$1073&lt;&gt;""))),"")</f>
        <v>26.270782101618863</v>
      </c>
      <c r="Y131" cm="1">
        <f t="array" ref="Y131">IFERROR(AVERAGE(_xlfn._xlws.FILTER(Q$2:Q$1073,($C$2:$C$1073=$C131)*($E$2:$E$1073=$E131)*(ROW(Q$2:Q$1073)&lt;&gt;ROW(Q131))*(Q$2:Q$1073&lt;&gt;""))),"")</f>
        <v>0.67817734409966757</v>
      </c>
      <c r="Z131" cm="1">
        <f t="array" ref="Z131">IFERROR(AVERAGE(_xlfn._xlws.FILTER(R$2:R$1073,($C$2:$C$1073=$C131)*($E$2:$E$1073=$E131)*(ROW(R$2:R$1073)&lt;&gt;ROW(R131))*(R$2:R$1073&lt;&gt;""))),"")</f>
        <v>0.10014060620396352</v>
      </c>
      <c r="AA131" cm="1">
        <f t="array" ref="AA131">IFERROR(AVERAGE(_xlfn._xlws.FILTER(S$2:S$1073,($C$2:$C$1073=$C131)*($E$2:$E$1073=$E131)*(ROW(S$2:S$1073)&lt;&gt;ROW(S131))*(S$2:S$1073&lt;&gt;""))),"")</f>
        <v>0.60191645877310007</v>
      </c>
      <c r="AB131" cm="1">
        <f t="array" ref="AB131">IFERROR(AVERAGE(_xlfn._xlws.FILTER(T$2:T$1073,($C$2:$C$1073=$C131)*($E$2:$E$1073=$E131)*(ROW(T$2:T$1073)&lt;&gt;ROW(T131))*(T$2:T$1073&lt;&gt;""))),"")</f>
        <v>6.7543252470251558E-2</v>
      </c>
      <c r="AC131" cm="1">
        <f t="array" ref="AC131">IFERROR(AVERAGE(_xlfn._xlws.FILTER(U$2:U$1073,($C$2:$C$1073=$C131)*($E$2:$E$1073=$E131)*(ROW(U$2:U$1073)&lt;&gt;ROW(U131))*(U$2:U$1073&lt;&gt;""))),"")</f>
        <v>0.92450915567141989</v>
      </c>
      <c r="AD131" cm="1">
        <f t="array" ref="AD131">IFERROR(AVERAGE(_xlfn._xlws.FILTER(V$2:V$1073,($C$2:$C$1073=$C131)*($E$2:$E$1073=$E131)*(ROW(V$2:V$1073)&lt;&gt;ROW(V131))*(V$2:V$1073&lt;&gt;""))),"")</f>
        <v>0.44620330481760551</v>
      </c>
      <c r="AE131">
        <f>IF('Дивиденды по годам'!M131&lt;0,1,0)</f>
        <v>0</v>
      </c>
    </row>
    <row r="132" spans="1:31" x14ac:dyDescent="0.2">
      <c r="A132" s="7" t="s">
        <v>2193</v>
      </c>
      <c r="B132" t="str">
        <f t="shared" si="22"/>
        <v>FEES IV кв. 2023</v>
      </c>
      <c r="C132">
        <v>2023</v>
      </c>
      <c r="D132">
        <f>SUMIFS(Дивиденды!$C:$C,Дивиденды!$A:$A,A132,Дивиденды!$I:$I,C132)</f>
        <v>0</v>
      </c>
      <c r="E132">
        <v>2</v>
      </c>
      <c r="F132">
        <f t="shared" si="23"/>
        <v>0</v>
      </c>
      <c r="G132">
        <f t="shared" si="24"/>
        <v>6.6299999999999998E-2</v>
      </c>
      <c r="H132">
        <f t="shared" si="25"/>
        <v>0</v>
      </c>
      <c r="I132">
        <f t="shared" si="26"/>
        <v>0.58333333333333337</v>
      </c>
      <c r="J132">
        <f t="shared" si="27"/>
        <v>0</v>
      </c>
      <c r="K132">
        <f t="shared" ref="K132:K195" si="32">IFERROR(AVERAGEIFS($J:$J,$E:$E,E132,$C:$C,C132,$A:$A,"&lt;&gt;"&amp;A132),"")</f>
        <v>0.11703324263565433</v>
      </c>
      <c r="L132">
        <f t="shared" si="28"/>
        <v>0</v>
      </c>
      <c r="M132">
        <f t="shared" si="29"/>
        <v>0.5</v>
      </c>
      <c r="N132">
        <f t="shared" si="30"/>
        <v>0</v>
      </c>
      <c r="O132">
        <f t="shared" si="31"/>
        <v>0.25</v>
      </c>
      <c r="P132">
        <f>IFERROR(LN('Дивиденды по годам'!I132),"")</f>
        <v>28.822152419995955</v>
      </c>
      <c r="Q132">
        <f>IFERROR('Дивиденды по годам'!G132/'Дивиденды по годам'!I132, "")</f>
        <v>0.80572273871232603</v>
      </c>
      <c r="R132">
        <f>IFERROR(IF(AND('Дивиденды по годам'!N132&lt;&gt;"",'Дивиденды по годам'!U132&lt;&gt;"",'Дивиденды по годам'!U132&lt;&gt;0),'Дивиденды по годам'!N132/'Дивиденды по годам'!U132-1,""),"")</f>
        <v>0.16687092367615231</v>
      </c>
      <c r="S132">
        <f>IFERROR(IF(AND('Дивиденды по годам'!L132&lt;&gt;"",'Дивиденды по годам'!I132&lt;&gt;"",'Дивиденды по годам'!J132&lt;&gt;"",'Дивиденды по годам'!K132&lt;&gt;"",('Дивиденды по годам'!I132-'Дивиденды по годам'!J132-'Дивиденды по годам'!K132)&lt;&gt;0),'Дивиденды по годам'!L132/('Дивиденды по годам'!I132-'Дивиденды по годам'!J132-'Дивиденды по годам'!K132),""),"")</f>
        <v>0.27900671520738524</v>
      </c>
      <c r="T132">
        <f>IFERROR(IF(AND('Дивиденды по годам'!Q132&lt;&gt;"",'Дивиденды по годам'!I132&lt;&gt;"",'Дивиденды по годам'!V132&lt;&gt;"",('Дивиденды по годам'!I132+'Дивиденды по годам'!V132)&lt;&gt;0),'Дивиденды по годам'!Q132/(('Дивиденды по годам'!I132+'Дивиденды по годам'!V132)/2),""),"")</f>
        <v>5.1912842186356362E-2</v>
      </c>
      <c r="U132">
        <f>IFERROR(IF(AND('Дивиденды по годам'!J132&lt;&gt;"",'Дивиденды по годам'!K132&lt;&gt;"",'Дивиденды по годам'!M132&lt;&gt;"",'Дивиденды по годам'!M132&lt;&gt;0),('Дивиденды по годам'!J132+'Дивиденды по годам'!K132)/'Дивиденды по годам'!M132,""),"")</f>
        <v>0.77697152570634953</v>
      </c>
      <c r="V132">
        <f>IFERROR(IF(AND('Дивиденды по годам'!J132&lt;&gt;"",'Дивиденды по годам'!K132&lt;&gt;"",'Дивиденды по годам'!M132&lt;&gt;"",'Дивиденды по годам'!I132&lt;&gt;0),('Дивиденды по годам'!J132+'Дивиденды по годам'!K132)/'Дивиденды по годам'!I132,""),"")</f>
        <v>0.43724478105944997</v>
      </c>
      <c r="W132">
        <f>IFERROR('Дивиденды по годам'!I132,"")</f>
        <v>3290802000000</v>
      </c>
      <c r="X132" cm="1">
        <f t="array" ref="X132">IFERROR(AVERAGE(_xlfn._xlws.FILTER(P$2:P$1073,($C$2:$C$1073=$C132)*($E$2:$E$1073=$E132)*(ROW(P$2:P$1073)&lt;&gt;ROW(P132))*(P$2:P$1073&lt;&gt;""))),"")</f>
        <v>26.145143906574464</v>
      </c>
      <c r="Y132" cm="1">
        <f t="array" ref="Y132">IFERROR(AVERAGE(_xlfn._xlws.FILTER(Q$2:Q$1073,($C$2:$C$1073=$C132)*($E$2:$E$1073=$E132)*(ROW(Q$2:Q$1073)&lt;&gt;ROW(Q132))*(Q$2:Q$1073&lt;&gt;""))),"")</f>
        <v>0.69820414797657071</v>
      </c>
      <c r="Z132" cm="1">
        <f t="array" ref="Z132">IFERROR(AVERAGE(_xlfn._xlws.FILTER(R$2:R$1073,($C$2:$C$1073=$C132)*($E$2:$E$1073=$E132)*(ROW(R$2:R$1073)&lt;&gt;ROW(R132))*(R$2:R$1073&lt;&gt;""))),"")</f>
        <v>0.13681552180978906</v>
      </c>
      <c r="AA132" cm="1">
        <f t="array" ref="AA132">IFERROR(AVERAGE(_xlfn._xlws.FILTER(S$2:S$1073,($C$2:$C$1073=$C132)*($E$2:$E$1073=$E132)*(ROW(S$2:S$1073)&lt;&gt;ROW(S132))*(S$2:S$1073&lt;&gt;""))),"")</f>
        <v>0.5696467567573108</v>
      </c>
      <c r="AB132" cm="1">
        <f t="array" ref="AB132">IFERROR(AVERAGE(_xlfn._xlws.FILTER(T$2:T$1073,($C$2:$C$1073=$C132)*($E$2:$E$1073=$E132)*(ROW(T$2:T$1073)&lt;&gt;ROW(T132))*(T$2:T$1073&lt;&gt;""))),"")</f>
        <v>7.8483379666363887E-2</v>
      </c>
      <c r="AC132" cm="1">
        <f t="array" ref="AC132">IFERROR(AVERAGE(_xlfn._xlws.FILTER(U$2:U$1073,($C$2:$C$1073=$C132)*($E$2:$E$1073=$E132)*(ROW(U$2:U$1073)&lt;&gt;ROW(U132))*(U$2:U$1073&lt;&gt;""))),"")</f>
        <v>0.82912903164528062</v>
      </c>
      <c r="AD132" cm="1">
        <f t="array" ref="AD132">IFERROR(AVERAGE(_xlfn._xlws.FILTER(V$2:V$1073,($C$2:$C$1073=$C132)*($E$2:$E$1073=$E132)*(ROW(V$2:V$1073)&lt;&gt;ROW(V132))*(V$2:V$1073&lt;&gt;""))),"")</f>
        <v>0.42337205189268678</v>
      </c>
      <c r="AE132">
        <f>IF('Дивиденды по годам'!M132&lt;0,1,0)</f>
        <v>0</v>
      </c>
    </row>
    <row r="133" spans="1:31" x14ac:dyDescent="0.2">
      <c r="A133" s="7" t="s">
        <v>2193</v>
      </c>
      <c r="B133" t="str">
        <f t="shared" si="22"/>
        <v>FEES IV кв. 2022</v>
      </c>
      <c r="C133">
        <v>2022</v>
      </c>
      <c r="D133">
        <f>SUMIFS(Дивиденды!$C:$C,Дивиденды!$A:$A,A133,Дивиденды!$I:$I,C133)</f>
        <v>0</v>
      </c>
      <c r="E133">
        <v>2</v>
      </c>
      <c r="F133">
        <f t="shared" si="23"/>
        <v>0</v>
      </c>
      <c r="G133">
        <f t="shared" si="24"/>
        <v>6.4731666666666673E-2</v>
      </c>
      <c r="H133">
        <f t="shared" si="25"/>
        <v>0</v>
      </c>
      <c r="I133">
        <f t="shared" si="26"/>
        <v>0.66666666666666663</v>
      </c>
      <c r="J133">
        <f t="shared" si="27"/>
        <v>0</v>
      </c>
      <c r="K133">
        <f t="shared" si="32"/>
        <v>-0.16164186159374039</v>
      </c>
      <c r="L133">
        <f t="shared" si="28"/>
        <v>0</v>
      </c>
      <c r="M133">
        <f t="shared" si="29"/>
        <v>0.33333333333333331</v>
      </c>
      <c r="N133">
        <f t="shared" si="30"/>
        <v>0</v>
      </c>
      <c r="O133">
        <f t="shared" si="31"/>
        <v>0.5</v>
      </c>
      <c r="P133">
        <f>IFERROR(LN('Дивиденды по годам'!I133),"")</f>
        <v>28.704065650848612</v>
      </c>
      <c r="Q133">
        <f>IFERROR('Дивиденды по годам'!G133/'Дивиденды по годам'!I133, "")</f>
        <v>0.78891340023780299</v>
      </c>
      <c r="R133" t="str">
        <f>IFERROR(IF(AND('Дивиденды по годам'!N133&lt;&gt;"",'Дивиденды по годам'!U133&lt;&gt;"",'Дивиденды по годам'!U133&lt;&gt;0),'Дивиденды по годам'!N133/'Дивиденды по годам'!U133-1,""),"")</f>
        <v/>
      </c>
      <c r="S133">
        <f>IFERROR(IF(AND('Дивиденды по годам'!L133&lt;&gt;"",'Дивиденды по годам'!I133&lt;&gt;"",'Дивиденды по годам'!J133&lt;&gt;"",'Дивиденды по годам'!K133&lt;&gt;"",('Дивиденды по годам'!I133-'Дивиденды по годам'!J133-'Дивиденды по годам'!K133)&lt;&gt;0),'Дивиденды по годам'!L133/('Дивиденды по годам'!I133-'Дивиденды по годам'!J133-'Дивиденды по годам'!K133),""),"")</f>
        <v>0.48270401903372961</v>
      </c>
      <c r="T133" t="str">
        <f>IFERROR(IF(AND('Дивиденды по годам'!Q133&lt;&gt;"",'Дивиденды по годам'!I133&lt;&gt;"",'Дивиденды по годам'!V133&lt;&gt;"",('Дивиденды по годам'!I133+'Дивиденды по годам'!V133)&lt;&gt;0),'Дивиденды по годам'!Q133/(('Дивиденды по годам'!I133+'Дивиденды по годам'!V133)/2),""),"")</f>
        <v/>
      </c>
      <c r="U133">
        <f>IFERROR(IF(AND('Дивиденды по годам'!J133&lt;&gt;"",'Дивиденды по годам'!K133&lt;&gt;"",'Дивиденды по годам'!M133&lt;&gt;"",'Дивиденды по годам'!M133&lt;&gt;0),('Дивиденды по годам'!J133+'Дивиденды по годам'!K133)/'Дивиденды по годам'!M133,""),"")</f>
        <v>0.81942159661335001</v>
      </c>
      <c r="V133">
        <f>IFERROR(IF(AND('Дивиденды по годам'!J133&lt;&gt;"",'Дивиденды по годам'!K133&lt;&gt;"",'Дивиденды по годам'!M133&lt;&gt;"",'Дивиденды по годам'!I133&lt;&gt;0),('Дивиденды по годам'!J133+'Дивиденды по годам'!K133)/'Дивиденды по годам'!I133,""),"")</f>
        <v>0.45037477742300724</v>
      </c>
      <c r="W133">
        <f>IFERROR('Дивиденды по годам'!I133,"")</f>
        <v>2924269000000</v>
      </c>
      <c r="X133" cm="1">
        <f t="array" ref="X133">IFERROR(AVERAGE(_xlfn._xlws.FILTER(P$2:P$1073,($C$2:$C$1073=$C133)*($E$2:$E$1073=$E133)*(ROW(P$2:P$1073)&lt;&gt;ROW(P133))*(P$2:P$1073&lt;&gt;""))),"")</f>
        <v>26.045639808249405</v>
      </c>
      <c r="Y133" cm="1">
        <f t="array" ref="Y133">IFERROR(AVERAGE(_xlfn._xlws.FILTER(Q$2:Q$1073,($C$2:$C$1073=$C133)*($E$2:$E$1073=$E133)*(ROW(Q$2:Q$1073)&lt;&gt;ROW(Q133))*(Q$2:Q$1073&lt;&gt;""))),"")</f>
        <v>0.69915195129800645</v>
      </c>
      <c r="Z133" cm="1">
        <f t="array" ref="Z133">IFERROR(AVERAGE(_xlfn._xlws.FILTER(R$2:R$1073,($C$2:$C$1073=$C133)*($E$2:$E$1073=$E133)*(ROW(R$2:R$1073)&lt;&gt;ROW(R133))*(R$2:R$1073&lt;&gt;""))),"")</f>
        <v>7.2941844461954591E-2</v>
      </c>
      <c r="AA133" cm="1">
        <f t="array" ref="AA133">IFERROR(AVERAGE(_xlfn._xlws.FILTER(S$2:S$1073,($C$2:$C$1073=$C133)*($E$2:$E$1073=$E133)*(ROW(S$2:S$1073)&lt;&gt;ROW(S133))*(S$2:S$1073&lt;&gt;""))),"")</f>
        <v>0.51854239471205987</v>
      </c>
      <c r="AB133" cm="1">
        <f t="array" ref="AB133">IFERROR(AVERAGE(_xlfn._xlws.FILTER(T$2:T$1073,($C$2:$C$1073=$C133)*($E$2:$E$1073=$E133)*(ROW(T$2:T$1073)&lt;&gt;ROW(T133))*(T$2:T$1073&lt;&gt;""))),"")</f>
        <v>1.2629583278270708E-2</v>
      </c>
      <c r="AC133" cm="1">
        <f t="array" ref="AC133">IFERROR(AVERAGE(_xlfn._xlws.FILTER(U$2:U$1073,($C$2:$C$1073=$C133)*($E$2:$E$1073=$E133)*(ROW(U$2:U$1073)&lt;&gt;ROW(U133))*(U$2:U$1073&lt;&gt;""))),"")</f>
        <v>0.91920840798702663</v>
      </c>
      <c r="AD133" cm="1">
        <f t="array" ref="AD133">IFERROR(AVERAGE(_xlfn._xlws.FILTER(V$2:V$1073,($C$2:$C$1073=$C133)*($E$2:$E$1073=$E133)*(ROW(V$2:V$1073)&lt;&gt;ROW(V133))*(V$2:V$1073&lt;&gt;""))),"")</f>
        <v>0.44075672981667641</v>
      </c>
      <c r="AE133">
        <f>IF('Дивиденды по годам'!M133&lt;0,1,0)</f>
        <v>0</v>
      </c>
    </row>
    <row r="134" spans="1:31" x14ac:dyDescent="0.2">
      <c r="A134" s="7" t="s">
        <v>2193</v>
      </c>
      <c r="B134" t="str">
        <f t="shared" si="22"/>
        <v>FEES IV кв. 2021</v>
      </c>
      <c r="C134">
        <v>2021</v>
      </c>
      <c r="D134">
        <f>SUMIFS(Дивиденды!$C:$C,Дивиденды!$A:$A,A134,Дивиденды!$I:$I,C134)</f>
        <v>0</v>
      </c>
      <c r="E134">
        <v>2</v>
      </c>
      <c r="F134">
        <f t="shared" si="23"/>
        <v>0</v>
      </c>
      <c r="G134">
        <f t="shared" si="24"/>
        <v>8.178524999999999E-2</v>
      </c>
      <c r="H134">
        <f t="shared" si="25"/>
        <v>0</v>
      </c>
      <c r="I134">
        <f t="shared" si="26"/>
        <v>0.83333333333333337</v>
      </c>
      <c r="J134">
        <f t="shared" si="27"/>
        <v>-1</v>
      </c>
      <c r="K134">
        <f t="shared" si="32"/>
        <v>0.24720951725738896</v>
      </c>
      <c r="L134">
        <f t="shared" si="28"/>
        <v>0</v>
      </c>
      <c r="M134">
        <f t="shared" si="29"/>
        <v>0.66666666666666663</v>
      </c>
      <c r="N134">
        <f t="shared" si="30"/>
        <v>1</v>
      </c>
      <c r="O134">
        <f t="shared" si="31"/>
        <v>0.16666666666666666</v>
      </c>
      <c r="P134" t="str">
        <f>IFERROR(LN('Дивиденды по годам'!I134),"")</f>
        <v/>
      </c>
      <c r="Q134" t="str">
        <f>IFERROR('Дивиденды по годам'!G134/'Дивиденды по годам'!I134, "")</f>
        <v/>
      </c>
      <c r="R134" t="str">
        <f>IFERROR(IF(AND('Дивиденды по годам'!N134&lt;&gt;"",'Дивиденды по годам'!U134&lt;&gt;"",'Дивиденды по годам'!U134&lt;&gt;0),'Дивиденды по годам'!N134/'Дивиденды по годам'!U134-1,""),"")</f>
        <v/>
      </c>
      <c r="S134" t="str">
        <f>IFERROR(IF(AND('Дивиденды по годам'!L134&lt;&gt;"",'Дивиденды по годам'!I134&lt;&gt;"",'Дивиденды по годам'!J134&lt;&gt;"",'Дивиденды по годам'!K134&lt;&gt;"",('Дивиденды по годам'!I134-'Дивиденды по годам'!J134-'Дивиденды по годам'!K134)&lt;&gt;0),'Дивиденды по годам'!L134/('Дивиденды по годам'!I134-'Дивиденды по годам'!J134-'Дивиденды по годам'!K134),""),"")</f>
        <v/>
      </c>
      <c r="T134" t="str">
        <f>IFERROR(IF(AND('Дивиденды по годам'!Q134&lt;&gt;"",'Дивиденды по годам'!I134&lt;&gt;"",'Дивиденды по годам'!V134&lt;&gt;"",('Дивиденды по годам'!I134+'Дивиденды по годам'!V134)&lt;&gt;0),'Дивиденды по годам'!Q134/(('Дивиденды по годам'!I134+'Дивиденды по годам'!V134)/2),""),"")</f>
        <v/>
      </c>
      <c r="U134" t="str">
        <f>IFERROR(IF(AND('Дивиденды по годам'!J134&lt;&gt;"",'Дивиденды по годам'!K134&lt;&gt;"",'Дивиденды по годам'!M134&lt;&gt;"",'Дивиденды по годам'!M134&lt;&gt;0),('Дивиденды по годам'!J134+'Дивиденды по годам'!K134)/'Дивиденды по годам'!M134,""),"")</f>
        <v/>
      </c>
      <c r="V134" t="str">
        <f>IFERROR(IF(AND('Дивиденды по годам'!J134&lt;&gt;"",'Дивиденды по годам'!K134&lt;&gt;"",'Дивиденды по годам'!M134&lt;&gt;"",'Дивиденды по годам'!I134&lt;&gt;0),('Дивиденды по годам'!J134+'Дивиденды по годам'!K134)/'Дивиденды по годам'!I134,""),"")</f>
        <v/>
      </c>
      <c r="W134" t="str">
        <f>IFERROR('Дивиденды по годам'!I134,"")</f>
        <v/>
      </c>
      <c r="X134" cm="1">
        <f t="array" ref="X134">IFERROR(AVERAGE(_xlfn._xlws.FILTER(P$2:P$1073,($C$2:$C$1073=$C134)*($E$2:$E$1073=$E134)*(ROW(P$2:P$1073)&lt;&gt;ROW(P134))*(P$2:P$1073&lt;&gt;""))),"")</f>
        <v>25.926715708145551</v>
      </c>
      <c r="Y134" cm="1">
        <f t="array" ref="Y134">IFERROR(AVERAGE(_xlfn._xlws.FILTER(Q$2:Q$1073,($C$2:$C$1073=$C134)*($E$2:$E$1073=$E134)*(ROW(Q$2:Q$1073)&lt;&gt;ROW(Q134))*(Q$2:Q$1073&lt;&gt;""))),"")</f>
        <v>0.76996354437031223</v>
      </c>
      <c r="Z134" cm="1">
        <f t="array" ref="Z134">IFERROR(AVERAGE(_xlfn._xlws.FILTER(R$2:R$1073,($C$2:$C$1073=$C134)*($E$2:$E$1073=$E134)*(ROW(R$2:R$1073)&lt;&gt;ROW(R134))*(R$2:R$1073&lt;&gt;""))),"")</f>
        <v>0.12673015499771914</v>
      </c>
      <c r="AA134" cm="1">
        <f t="array" ref="AA134">IFERROR(AVERAGE(_xlfn._xlws.FILTER(S$2:S$1073,($C$2:$C$1073=$C134)*($E$2:$E$1073=$E134)*(ROW(S$2:S$1073)&lt;&gt;ROW(S134))*(S$2:S$1073&lt;&gt;""))),"")</f>
        <v>0.50118890467381838</v>
      </c>
      <c r="AB134" cm="1">
        <f t="array" ref="AB134">IFERROR(AVERAGE(_xlfn._xlws.FILTER(T$2:T$1073,($C$2:$C$1073=$C134)*($E$2:$E$1073=$E134)*(ROW(T$2:T$1073)&lt;&gt;ROW(T134))*(T$2:T$1073&lt;&gt;""))),"")</f>
        <v>3.6434668126956032E-2</v>
      </c>
      <c r="AC134" cm="1">
        <f t="array" ref="AC134">IFERROR(AVERAGE(_xlfn._xlws.FILTER(U$2:U$1073,($C$2:$C$1073=$C134)*($E$2:$E$1073=$E134)*(ROW(U$2:U$1073)&lt;&gt;ROW(U134))*(U$2:U$1073&lt;&gt;""))),"")</f>
        <v>0.71481348410985535</v>
      </c>
      <c r="AD134" cm="1">
        <f t="array" ref="AD134">IFERROR(AVERAGE(_xlfn._xlws.FILTER(V$2:V$1073,($C$2:$C$1073=$C134)*($E$2:$E$1073=$E134)*(ROW(V$2:V$1073)&lt;&gt;ROW(V134))*(V$2:V$1073&lt;&gt;""))),"")</f>
        <v>0.38255048323585666</v>
      </c>
      <c r="AE134">
        <f>IF('Дивиденды по годам'!M134&lt;0,1,0)</f>
        <v>0</v>
      </c>
    </row>
    <row r="135" spans="1:31" x14ac:dyDescent="0.2">
      <c r="A135" s="7" t="s">
        <v>2193</v>
      </c>
      <c r="B135" t="str">
        <f t="shared" si="22"/>
        <v>FEES IV кв. 2020</v>
      </c>
      <c r="C135">
        <v>2020</v>
      </c>
      <c r="D135">
        <f>SUMIFS(Дивиденды!$C:$C,Дивиденды!$A:$A,A135,Дивиденды!$I:$I,C135)</f>
        <v>1.61E-2</v>
      </c>
      <c r="E135">
        <v>2</v>
      </c>
      <c r="F135">
        <f t="shared" si="23"/>
        <v>1.61E-2</v>
      </c>
      <c r="G135">
        <f t="shared" si="24"/>
        <v>6.8564249999999993E-2</v>
      </c>
      <c r="H135">
        <f t="shared" si="25"/>
        <v>1</v>
      </c>
      <c r="I135">
        <f t="shared" si="26"/>
        <v>0.75</v>
      </c>
      <c r="J135">
        <f t="shared" si="27"/>
        <v>-0.12041083916083921</v>
      </c>
      <c r="K135">
        <f t="shared" si="32"/>
        <v>-7.5589795105975952E-2</v>
      </c>
      <c r="L135">
        <f t="shared" si="28"/>
        <v>0</v>
      </c>
      <c r="M135">
        <f t="shared" si="29"/>
        <v>0.58333333333333337</v>
      </c>
      <c r="N135">
        <f t="shared" si="30"/>
        <v>1</v>
      </c>
      <c r="O135">
        <f t="shared" si="31"/>
        <v>0.41666666666666669</v>
      </c>
      <c r="P135">
        <f>IFERROR(LN('Дивиденды по годам'!I135),"")</f>
        <v>27.923808633388241</v>
      </c>
      <c r="Q135">
        <f>IFERROR('Дивиденды по годам'!G135/'Дивиденды по годам'!I135, "")</f>
        <v>0.79775220533698266</v>
      </c>
      <c r="R135">
        <f>IFERROR(IF(AND('Дивиденды по годам'!N135&lt;&gt;"",'Дивиденды по годам'!U135&lt;&gt;"",'Дивиденды по годам'!U135&lt;&gt;0),'Дивиденды по годам'!N135/'Дивиденды по годам'!U135-1,""),"")</f>
        <v>-4.9304718141428117E-2</v>
      </c>
      <c r="S135">
        <f>IFERROR(IF(AND('Дивиденды по годам'!L135&lt;&gt;"",'Дивиденды по годам'!I135&lt;&gt;"",'Дивиденды по годам'!J135&lt;&gt;"",'Дивиденды по годам'!K135&lt;&gt;"",('Дивиденды по годам'!I135-'Дивиденды по годам'!J135-'Дивиденды по годам'!K135)&lt;&gt;0),'Дивиденды по годам'!L135/('Дивиденды по годам'!I135-'Дивиденды по годам'!J135-'Дивиденды по годам'!K135),""),"")</f>
        <v>0.28911887241242246</v>
      </c>
      <c r="T135">
        <f>IFERROR(IF(AND('Дивиденды по годам'!Q135&lt;&gt;"",'Дивиденды по годам'!I135&lt;&gt;"",'Дивиденды по годам'!V135&lt;&gt;"",('Дивиденды по годам'!I135+'Дивиденды по годам'!V135)&lt;&gt;0),'Дивиденды по годам'!Q135/(('Дивиденды по годам'!I135+'Дивиденды по годам'!V135)/2),""),"")</f>
        <v>4.5154930680452642E-2</v>
      </c>
      <c r="U135">
        <f>IFERROR(IF(AND('Дивиденды по годам'!J135&lt;&gt;"",'Дивиденды по годам'!K135&lt;&gt;"",'Дивиденды по годам'!M135&lt;&gt;"",'Дивиденды по годам'!M135&lt;&gt;0),('Дивиденды по годам'!J135+'Дивиденды по годам'!K135)/'Дивиденды по годам'!M135,""),"")</f>
        <v>0.40922999917979863</v>
      </c>
      <c r="V135">
        <f>IFERROR(IF(AND('Дивиденды по годам'!J135&lt;&gt;"",'Дивиденды по годам'!K135&lt;&gt;"",'Дивиденды по годам'!M135&lt;&gt;"",'Дивиденды по годам'!I135&lt;&gt;0),('Дивиденды по годам'!J135+'Дивиденды по годам'!K135)/'Дивиденды по годам'!I135,""),"")</f>
        <v>0.29039262534716054</v>
      </c>
      <c r="W135">
        <f>IFERROR('Дивиденды по годам'!I135,"")</f>
        <v>1340158000000</v>
      </c>
      <c r="X135" cm="1">
        <f t="array" ref="X135">IFERROR(AVERAGE(_xlfn._xlws.FILTER(P$2:P$1073,($C$2:$C$1073=$C135)*($E$2:$E$1073=$E135)*(ROW(P$2:P$1073)&lt;&gt;ROW(P135))*(P$2:P$1073&lt;&gt;""))),"")</f>
        <v>26.027234725551281</v>
      </c>
      <c r="Y135" cm="1">
        <f t="array" ref="Y135">IFERROR(AVERAGE(_xlfn._xlws.FILTER(Q$2:Q$1073,($C$2:$C$1073=$C135)*($E$2:$E$1073=$E135)*(ROW(Q$2:Q$1073)&lt;&gt;ROW(Q135))*(Q$2:Q$1073&lt;&gt;""))),"")</f>
        <v>0.74057053849134791</v>
      </c>
      <c r="Z135" cm="1">
        <f t="array" ref="Z135">IFERROR(AVERAGE(_xlfn._xlws.FILTER(R$2:R$1073,($C$2:$C$1073=$C135)*($E$2:$E$1073=$E135)*(ROW(R$2:R$1073)&lt;&gt;ROW(R135))*(R$2:R$1073&lt;&gt;""))),"")</f>
        <v>-6.5433220187321964E-2</v>
      </c>
      <c r="AA135" cm="1">
        <f t="array" ref="AA135">IFERROR(AVERAGE(_xlfn._xlws.FILTER(S$2:S$1073,($C$2:$C$1073=$C135)*($E$2:$E$1073=$E135)*(ROW(S$2:S$1073)&lt;&gt;ROW(S135))*(S$2:S$1073&lt;&gt;""))),"")</f>
        <v>0.50074955096963469</v>
      </c>
      <c r="AB135" cm="1">
        <f t="array" ref="AB135">IFERROR(AVERAGE(_xlfn._xlws.FILTER(T$2:T$1073,($C$2:$C$1073=$C135)*($E$2:$E$1073=$E135)*(ROW(T$2:T$1073)&lt;&gt;ROW(T135))*(T$2:T$1073&lt;&gt;""))),"")</f>
        <v>4.2443362797468832E-2</v>
      </c>
      <c r="AC135" cm="1">
        <f t="array" ref="AC135">IFERROR(AVERAGE(_xlfn._xlws.FILTER(U$2:U$1073,($C$2:$C$1073=$C135)*($E$2:$E$1073=$E135)*(ROW(U$2:U$1073)&lt;&gt;ROW(U135))*(U$2:U$1073&lt;&gt;""))),"")</f>
        <v>0.68042802067048858</v>
      </c>
      <c r="AD135" cm="1">
        <f t="array" ref="AD135">IFERROR(AVERAGE(_xlfn._xlws.FILTER(V$2:V$1073,($C$2:$C$1073=$C135)*($E$2:$E$1073=$E135)*(ROW(V$2:V$1073)&lt;&gt;ROW(V135))*(V$2:V$1073&lt;&gt;""))),"")</f>
        <v>0.3743980798442812</v>
      </c>
      <c r="AE135">
        <f>IF('Дивиденды по годам'!M135&lt;0,1,0)</f>
        <v>0</v>
      </c>
    </row>
    <row r="136" spans="1:31" x14ac:dyDescent="0.2">
      <c r="A136" s="7" t="s">
        <v>2193</v>
      </c>
      <c r="B136" t="str">
        <f t="shared" si="22"/>
        <v>FEES IV кв. 2019</v>
      </c>
      <c r="C136">
        <v>2019</v>
      </c>
      <c r="D136">
        <f>SUMIFS(Дивиденды!$C:$C,Дивиденды!$A:$A,A136,Дивиденды!$I:$I,C136)</f>
        <v>1.8304000000000001E-2</v>
      </c>
      <c r="E136">
        <v>2</v>
      </c>
      <c r="F136">
        <f t="shared" si="23"/>
        <v>1.8304000000000001E-2</v>
      </c>
      <c r="G136">
        <f t="shared" si="24"/>
        <v>6.9783333333333322E-2</v>
      </c>
      <c r="H136">
        <f t="shared" si="25"/>
        <v>1</v>
      </c>
      <c r="I136">
        <f t="shared" si="26"/>
        <v>1</v>
      </c>
      <c r="J136">
        <f t="shared" si="27"/>
        <v>0.14400000000000002</v>
      </c>
      <c r="K136">
        <f t="shared" si="32"/>
        <v>0.16009275766992095</v>
      </c>
      <c r="L136">
        <f t="shared" si="28"/>
        <v>1</v>
      </c>
      <c r="M136">
        <f t="shared" si="29"/>
        <v>0.41666666666666669</v>
      </c>
      <c r="N136">
        <f t="shared" si="30"/>
        <v>0</v>
      </c>
      <c r="O136">
        <f t="shared" si="31"/>
        <v>0.5</v>
      </c>
      <c r="P136">
        <f>IFERROR(LN('Дивиденды по годам'!I136),"")</f>
        <v>27.885927640455453</v>
      </c>
      <c r="Q136">
        <f>IFERROR('Дивиденды по годам'!G136/'Дивиденды по годам'!I136, "")</f>
        <v>0.79428693655398064</v>
      </c>
      <c r="R136">
        <f>IFERROR(IF(AND('Дивиденды по годам'!N136&lt;&gt;"",'Дивиденды по годам'!U136&lt;&gt;"",'Дивиденды по годам'!U136&lt;&gt;0),'Дивиденды по годам'!N136/'Дивиденды по годам'!U136-1,""),"")</f>
        <v>-1.7198272298103334E-2</v>
      </c>
      <c r="S136">
        <f>IFERROR(IF(AND('Дивиденды по годам'!L136&lt;&gt;"",'Дивиденды по годам'!I136&lt;&gt;"",'Дивиденды по годам'!J136&lt;&gt;"",'Дивиденды по годам'!K136&lt;&gt;"",('Дивиденды по годам'!I136-'Дивиденды по годам'!J136-'Дивиденды по годам'!K136)&lt;&gt;0),'Дивиденды по годам'!L136/('Дивиденды по годам'!I136-'Дивиденды по годам'!J136-'Дивиденды по годам'!K136),""),"")</f>
        <v>0.25234202425414509</v>
      </c>
      <c r="T136">
        <f>IFERROR(IF(AND('Дивиденды по годам'!Q136&lt;&gt;"",'Дивиденды по годам'!I136&lt;&gt;"",'Дивиденды по годам'!V136&lt;&gt;"",('Дивиденды по годам'!I136+'Дивиденды по годам'!V136)&lt;&gt;0),'Дивиденды по годам'!Q136/(('Дивиденды по годам'!I136+'Дивиденды по годам'!V136)/2),""),"")</f>
        <v>6.9327510029475278E-2</v>
      </c>
      <c r="U136">
        <f>IFERROR(IF(AND('Дивиденды по годам'!J136&lt;&gt;"",'Дивиденды по годам'!K136&lt;&gt;"",'Дивиденды по годам'!M136&lt;&gt;"",'Дивиденды по годам'!M136&lt;&gt;0),('Дивиденды по годам'!J136+'Дивиденды по годам'!K136)/'Дивиденды по годам'!M136,""),"")</f>
        <v>0.4308759081997463</v>
      </c>
      <c r="V136">
        <f>IFERROR(IF(AND('Дивиденды по годам'!J136&lt;&gt;"",'Дивиденды по годам'!K136&lt;&gt;"",'Дивиденды по годам'!M136&lt;&gt;"",'Дивиденды по годам'!I136&lt;&gt;0),('Дивиденды по годам'!J136+'Дивиденды по годам'!K136)/'Дивиденды по годам'!I136,""),"")</f>
        <v>0.30112737640670179</v>
      </c>
      <c r="W136">
        <f>IFERROR('Дивиденды по годам'!I136,"")</f>
        <v>1290341000000</v>
      </c>
      <c r="X136" cm="1">
        <f t="array" ref="X136">IFERROR(AVERAGE(_xlfn._xlws.FILTER(P$2:P$1073,($C$2:$C$1073=$C136)*($E$2:$E$1073=$E136)*(ROW(P$2:P$1073)&lt;&gt;ROW(P136))*(P$2:P$1073&lt;&gt;""))),"")</f>
        <v>25.987330668345816</v>
      </c>
      <c r="Y136" cm="1">
        <f t="array" ref="Y136">IFERROR(AVERAGE(_xlfn._xlws.FILTER(Q$2:Q$1073,($C$2:$C$1073=$C136)*($E$2:$E$1073=$E136)*(ROW(Q$2:Q$1073)&lt;&gt;ROW(Q136))*(Q$2:Q$1073&lt;&gt;""))),"")</f>
        <v>0.73222076789843127</v>
      </c>
      <c r="Z136" cm="1">
        <f t="array" ref="Z136">IFERROR(AVERAGE(_xlfn._xlws.FILTER(R$2:R$1073,($C$2:$C$1073=$C136)*($E$2:$E$1073=$E136)*(ROW(R$2:R$1073)&lt;&gt;ROW(R136))*(R$2:R$1073&lt;&gt;""))),"")</f>
        <v>5.2045997525426062E-3</v>
      </c>
      <c r="AA136" cm="1">
        <f t="array" ref="AA136">IFERROR(AVERAGE(_xlfn._xlws.FILTER(S$2:S$1073,($C$2:$C$1073=$C136)*($E$2:$E$1073=$E136)*(ROW(S$2:S$1073)&lt;&gt;ROW(S136))*(S$2:S$1073&lt;&gt;""))),"")</f>
        <v>0.49249805237583061</v>
      </c>
      <c r="AB136" cm="1">
        <f t="array" ref="AB136">IFERROR(AVERAGE(_xlfn._xlws.FILTER(T$2:T$1073,($C$2:$C$1073=$C136)*($E$2:$E$1073=$E136)*(ROW(T$2:T$1073)&lt;&gt;ROW(T136))*(T$2:T$1073&lt;&gt;""))),"")</f>
        <v>5.0519191838669993E-2</v>
      </c>
      <c r="AC136" cm="1">
        <f t="array" ref="AC136">IFERROR(AVERAGE(_xlfn._xlws.FILTER(U$2:U$1073,($C$2:$C$1073=$C136)*($E$2:$E$1073=$E136)*(ROW(U$2:U$1073)&lt;&gt;ROW(U136))*(U$2:U$1073&lt;&gt;""))),"")</f>
        <v>0.68495235775797181</v>
      </c>
      <c r="AD136" cm="1">
        <f t="array" ref="AD136">IFERROR(AVERAGE(_xlfn._xlws.FILTER(V$2:V$1073,($C$2:$C$1073=$C136)*($E$2:$E$1073=$E136)*(ROW(V$2:V$1073)&lt;&gt;ROW(V136))*(V$2:V$1073&lt;&gt;""))),"")</f>
        <v>0.37671751543497672</v>
      </c>
      <c r="AE136">
        <f>IF('Дивиденды по годам'!M136&lt;0,1,0)</f>
        <v>0</v>
      </c>
    </row>
    <row r="137" spans="1:31" x14ac:dyDescent="0.2">
      <c r="A137" s="7" t="s">
        <v>2193</v>
      </c>
      <c r="B137" t="str">
        <f t="shared" si="22"/>
        <v>FEES IV кв. 2018</v>
      </c>
      <c r="C137">
        <v>2018</v>
      </c>
      <c r="D137">
        <f>SUMIFS(Дивиденды!$C:$C,Дивиденды!$A:$A,A137,Дивиденды!$I:$I,C137)</f>
        <v>1.6E-2</v>
      </c>
      <c r="E137">
        <v>2</v>
      </c>
      <c r="F137">
        <f t="shared" si="23"/>
        <v>1.6E-2</v>
      </c>
      <c r="G137">
        <f t="shared" si="24"/>
        <v>7.9237083333333333E-2</v>
      </c>
      <c r="H137">
        <f t="shared" si="25"/>
        <v>1</v>
      </c>
      <c r="I137">
        <f t="shared" si="26"/>
        <v>1</v>
      </c>
      <c r="J137">
        <f t="shared" si="27"/>
        <v>5.2777079668258819E-3</v>
      </c>
      <c r="K137">
        <f t="shared" si="32"/>
        <v>0.19581855263368331</v>
      </c>
      <c r="L137">
        <f t="shared" si="28"/>
        <v>1</v>
      </c>
      <c r="M137">
        <f t="shared" si="29"/>
        <v>0.58333333333333337</v>
      </c>
      <c r="N137">
        <f t="shared" si="30"/>
        <v>0</v>
      </c>
      <c r="O137">
        <f t="shared" si="31"/>
        <v>0.25</v>
      </c>
      <c r="P137">
        <f>IFERROR(LN('Дивиденды по годам'!I137),"")</f>
        <v>27.820849426411897</v>
      </c>
      <c r="Q137">
        <f>IFERROR('Дивиденды по годам'!G137/'Дивиденды по годам'!I137, "")</f>
        <v>0.77522286239849403</v>
      </c>
      <c r="R137">
        <f>IFERROR(IF(AND('Дивиденды по годам'!N137&lt;&gt;"",'Дивиденды по годам'!U137&lt;&gt;"",'Дивиденды по годам'!U137&lt;&gt;0),'Дивиденды по годам'!N137/'Дивиденды по годам'!U137-1,""),"")</f>
        <v>4.8693979007869981E-2</v>
      </c>
      <c r="S137">
        <f>IFERROR(IF(AND('Дивиденды по годам'!L137&lt;&gt;"",'Дивиденды по годам'!I137&lt;&gt;"",'Дивиденды по годам'!J137&lt;&gt;"",'Дивиденды по годам'!K137&lt;&gt;"",('Дивиденды по годам'!I137-'Дивиденды по годам'!J137-'Дивиденды по годам'!K137)&lt;&gt;0),'Дивиденды по годам'!L137/('Дивиденды по годам'!I137-'Дивиденды по годам'!J137-'Дивиденды по годам'!K137),""),"")</f>
        <v>0.20341602694116273</v>
      </c>
      <c r="T137">
        <f>IFERROR(IF(AND('Дивиденды по годам'!Q137&lt;&gt;"",'Дивиденды по годам'!I137&lt;&gt;"",'Дивиденды по годам'!V137&lt;&gt;"",('Дивиденды по годам'!I137+'Дивиденды по годам'!V137)&lt;&gt;0),'Дивиденды по годам'!Q137/(('Дивиденды по годам'!I137+'Дивиденды по годам'!V137)/2),""),"")</f>
        <v>7.7601471373043296E-2</v>
      </c>
      <c r="U137">
        <f>IFERROR(IF(AND('Дивиденды по годам'!J137&lt;&gt;"",'Дивиденды по годам'!K137&lt;&gt;"",'Дивиденды по годам'!M137&lt;&gt;"",'Дивиденды по годам'!M137&lt;&gt;0),('Дивиденды по годам'!J137+'Дивиденды по годам'!K137)/'Дивиденды по годам'!M137,""),"")</f>
        <v>0.44077305693060459</v>
      </c>
      <c r="V137">
        <f>IFERROR(IF(AND('Дивиденды по годам'!J137&lt;&gt;"",'Дивиденды по годам'!K137&lt;&gt;"",'Дивиденды по годам'!M137&lt;&gt;"",'Дивиденды по годам'!I137&lt;&gt;0),('Дивиденды по годам'!J137+'Дивиденды по годам'!K137)/'Дивиденды по годам'!I137,""),"")</f>
        <v>0.30592816461297456</v>
      </c>
      <c r="W137">
        <f>IFERROR('Дивиденды по годам'!I137,"")</f>
        <v>1209042000000</v>
      </c>
      <c r="X137" cm="1">
        <f t="array" ref="X137">IFERROR(AVERAGE(_xlfn._xlws.FILTER(P$2:P$1073,($C$2:$C$1073=$C137)*($E$2:$E$1073=$E137)*(ROW(P$2:P$1073)&lt;&gt;ROW(P137))*(P$2:P$1073&lt;&gt;""))),"")</f>
        <v>25.935187895654689</v>
      </c>
      <c r="Y137" cm="1">
        <f t="array" ref="Y137">IFERROR(AVERAGE(_xlfn._xlws.FILTER(Q$2:Q$1073,($C$2:$C$1073=$C137)*($E$2:$E$1073=$E137)*(ROW(Q$2:Q$1073)&lt;&gt;ROW(Q137))*(Q$2:Q$1073&lt;&gt;""))),"")</f>
        <v>0.75134725046844852</v>
      </c>
      <c r="Z137" cm="1">
        <f t="array" ref="Z137">IFERROR(AVERAGE(_xlfn._xlws.FILTER(R$2:R$1073,($C$2:$C$1073=$C137)*($E$2:$E$1073=$E137)*(ROW(R$2:R$1073)&lt;&gt;ROW(R137))*(R$2:R$1073&lt;&gt;""))),"")</f>
        <v>5.032531711945392E-2</v>
      </c>
      <c r="AA137" cm="1">
        <f t="array" ref="AA137">IFERROR(AVERAGE(_xlfn._xlws.FILTER(S$2:S$1073,($C$2:$C$1073=$C137)*($E$2:$E$1073=$E137)*(ROW(S$2:S$1073)&lt;&gt;ROW(S137))*(S$2:S$1073&lt;&gt;""))),"")</f>
        <v>0.48615921680481328</v>
      </c>
      <c r="AB137" cm="1">
        <f t="array" ref="AB137">IFERROR(AVERAGE(_xlfn._xlws.FILTER(T$2:T$1073,($C$2:$C$1073=$C137)*($E$2:$E$1073=$E137)*(ROW(T$2:T$1073)&lt;&gt;ROW(T137))*(T$2:T$1073&lt;&gt;""))),"")</f>
        <v>6.7645638569517844E-2</v>
      </c>
      <c r="AC137" cm="1">
        <f t="array" ref="AC137">IFERROR(AVERAGE(_xlfn._xlws.FILTER(U$2:U$1073,($C$2:$C$1073=$C137)*($E$2:$E$1073=$E137)*(ROW(U$2:U$1073)&lt;&gt;ROW(U137))*(U$2:U$1073&lt;&gt;""))),"")</f>
        <v>0.64790077204236574</v>
      </c>
      <c r="AD137" cm="1">
        <f t="array" ref="AD137">IFERROR(AVERAGE(_xlfn._xlws.FILTER(V$2:V$1073,($C$2:$C$1073=$C137)*($E$2:$E$1073=$E137)*(ROW(V$2:V$1073)&lt;&gt;ROW(V137))*(V$2:V$1073&lt;&gt;""))),"")</f>
        <v>0.36467284510266357</v>
      </c>
      <c r="AE137">
        <f>IF('Дивиденды по годам'!M137&lt;0,1,0)</f>
        <v>0</v>
      </c>
    </row>
    <row r="138" spans="1:31" x14ac:dyDescent="0.2">
      <c r="A138" s="7" t="s">
        <v>2193</v>
      </c>
      <c r="B138" t="str">
        <f t="shared" si="22"/>
        <v>FEES IV кв. 2017</v>
      </c>
      <c r="C138">
        <v>2017</v>
      </c>
      <c r="D138">
        <f>SUMIFS(Дивиденды!$C:$C,Дивиденды!$A:$A,A138,Дивиденды!$I:$I,C138)</f>
        <v>1.5916E-2</v>
      </c>
      <c r="E138">
        <v>2</v>
      </c>
      <c r="F138">
        <f t="shared" si="23"/>
        <v>1.5916E-2</v>
      </c>
      <c r="G138">
        <f t="shared" si="24"/>
        <v>7.0782499999999984E-2</v>
      </c>
      <c r="H138">
        <f t="shared" si="25"/>
        <v>1</v>
      </c>
      <c r="I138">
        <f t="shared" si="26"/>
        <v>1</v>
      </c>
      <c r="J138">
        <f t="shared" si="27"/>
        <v>0.11300699300699296</v>
      </c>
      <c r="K138">
        <f t="shared" si="32"/>
        <v>0.63233238818970083</v>
      </c>
      <c r="L138">
        <f t="shared" si="28"/>
        <v>1</v>
      </c>
      <c r="M138">
        <f t="shared" si="29"/>
        <v>0.75</v>
      </c>
      <c r="N138">
        <f t="shared" si="30"/>
        <v>0</v>
      </c>
      <c r="O138">
        <f t="shared" si="31"/>
        <v>0.25</v>
      </c>
      <c r="P138">
        <f>IFERROR(LN('Дивиденды по годам'!I138),"")</f>
        <v>27.799771837412212</v>
      </c>
      <c r="Q138">
        <f>IFERROR('Дивиденды по годам'!G138/'Дивиденды по годам'!I138, "")</f>
        <v>0.78932021202458136</v>
      </c>
      <c r="R138">
        <f>IFERROR(IF(AND('Дивиденды по годам'!N138&lt;&gt;"",'Дивиденды по годам'!U138&lt;&gt;"",'Дивиденды по годам'!U138&lt;&gt;0),'Дивиденды по годам'!N138/'Дивиденды по годам'!U138-1,""),"")</f>
        <v>-5.2491559175752989E-2</v>
      </c>
      <c r="S138">
        <f>IFERROR(IF(AND('Дивиденды по годам'!L138&lt;&gt;"",'Дивиденды по годам'!I138&lt;&gt;"",'Дивиденды по годам'!J138&lt;&gt;"",'Дивиденды по годам'!K138&lt;&gt;"",('Дивиденды по годам'!I138-'Дивиденды по годам'!J138-'Дивиденды по годам'!K138)&lt;&gt;0),'Дивиденды по годам'!L138/('Дивиденды по годам'!I138-'Дивиденды по годам'!J138-'Дивиденды по годам'!K138),""),"")</f>
        <v>-0.17975025194320551</v>
      </c>
      <c r="T138">
        <f>IFERROR(IF(AND('Дивиденды по годам'!Q138&lt;&gt;"",'Дивиденды по годам'!I138&lt;&gt;"",'Дивиденды по годам'!V138&lt;&gt;"",('Дивиденды по годам'!I138+'Дивиденды по годам'!V138)&lt;&gt;0),'Дивиденды по годам'!Q138/(('Дивиденды по годам'!I138+'Дивиденды по годам'!V138)/2),""),"")</f>
        <v>6.3701946789364888E-2</v>
      </c>
      <c r="U138">
        <f>IFERROR(IF(AND('Дивиденды по годам'!J138&lt;&gt;"",'Дивиденды по годам'!K138&lt;&gt;"",'Дивиденды по годам'!M138&lt;&gt;"",'Дивиденды по годам'!M138&lt;&gt;0),('Дивиденды по годам'!J138+'Дивиденды по годам'!K138)/'Дивиденды по годам'!M138,""),"")</f>
        <v>0.47651814489977151</v>
      </c>
      <c r="V138">
        <f>IFERROR(IF(AND('Дивиденды по годам'!J138&lt;&gt;"",'Дивиденды по годам'!K138&lt;&gt;"",'Дивиденды по годам'!M138&lt;&gt;"",'Дивиденды по годам'!I138&lt;&gt;0),('Дивиденды по годам'!J138+'Дивиденды по годам'!K138)/'Дивиденды по годам'!I138,""),"")</f>
        <v>0.3227309779739404</v>
      </c>
      <c r="W138">
        <f>IFERROR('Дивиденды по годам'!I138,"")</f>
        <v>1183825000000</v>
      </c>
      <c r="X138" cm="1">
        <f t="array" ref="X138">IFERROR(AVERAGE(_xlfn._xlws.FILTER(P$2:P$1073,($C$2:$C$1073=$C138)*($E$2:$E$1073=$E138)*(ROW(P$2:P$1073)&lt;&gt;ROW(P138))*(P$2:P$1073&lt;&gt;""))),"")</f>
        <v>25.904331810055144</v>
      </c>
      <c r="Y138" cm="1">
        <f t="array" ref="Y138">IFERROR(AVERAGE(_xlfn._xlws.FILTER(Q$2:Q$1073,($C$2:$C$1073=$C138)*($E$2:$E$1073=$E138)*(ROW(Q$2:Q$1073)&lt;&gt;ROW(Q138))*(Q$2:Q$1073&lt;&gt;""))),"")</f>
        <v>0.75768230346456289</v>
      </c>
      <c r="Z138" cm="1">
        <f t="array" ref="Z138">IFERROR(AVERAGE(_xlfn._xlws.FILTER(R$2:R$1073,($C$2:$C$1073=$C138)*($E$2:$E$1073=$E138)*(ROW(R$2:R$1073)&lt;&gt;ROW(R138))*(R$2:R$1073&lt;&gt;""))),"")</f>
        <v>5.4084886553558108E-2</v>
      </c>
      <c r="AA138" cm="1">
        <f t="array" ref="AA138">IFERROR(AVERAGE(_xlfn._xlws.FILTER(S$2:S$1073,($C$2:$C$1073=$C138)*($E$2:$E$1073=$E138)*(ROW(S$2:S$1073)&lt;&gt;ROW(S138))*(S$2:S$1073&lt;&gt;""))),"")</f>
        <v>0.47048960762456155</v>
      </c>
      <c r="AB138" cm="1">
        <f t="array" ref="AB138">IFERROR(AVERAGE(_xlfn._xlws.FILTER(T$2:T$1073,($C$2:$C$1073=$C138)*($E$2:$E$1073=$E138)*(ROW(T$2:T$1073)&lt;&gt;ROW(T138))*(T$2:T$1073&lt;&gt;""))),"")</f>
        <v>8.3059027573458663E-2</v>
      </c>
      <c r="AC138" cm="1">
        <f t="array" ref="AC138">IFERROR(AVERAGE(_xlfn._xlws.FILTER(U$2:U$1073,($C$2:$C$1073=$C138)*($E$2:$E$1073=$E138)*(ROW(U$2:U$1073)&lt;&gt;ROW(U138))*(U$2:U$1073&lt;&gt;""))),"")</f>
        <v>0.64419995643018158</v>
      </c>
      <c r="AD138" cm="1">
        <f t="array" ref="AD138">IFERROR(AVERAGE(_xlfn._xlws.FILTER(V$2:V$1073,($C$2:$C$1073=$C138)*($E$2:$E$1073=$E138)*(ROW(V$2:V$1073)&lt;&gt;ROW(V138))*(V$2:V$1073&lt;&gt;""))),"")</f>
        <v>0.36428788167134796</v>
      </c>
      <c r="AE138">
        <f>IF('Дивиденды по годам'!M138&lt;0,1,0)</f>
        <v>0</v>
      </c>
    </row>
    <row r="139" spans="1:31" x14ac:dyDescent="0.2">
      <c r="A139" s="7" t="s">
        <v>2193</v>
      </c>
      <c r="B139" t="str">
        <f t="shared" si="22"/>
        <v>FEES IV кв. 2016</v>
      </c>
      <c r="C139">
        <v>2016</v>
      </c>
      <c r="D139">
        <f>SUMIFS(Дивиденды!$C:$C,Дивиденды!$A:$A,A139,Дивиденды!$I:$I,C139)</f>
        <v>1.43E-2</v>
      </c>
      <c r="E139">
        <v>2</v>
      </c>
      <c r="F139">
        <f t="shared" si="23"/>
        <v>1.43E-2</v>
      </c>
      <c r="G139">
        <f t="shared" si="24"/>
        <v>5.6203499999999997E-2</v>
      </c>
      <c r="H139">
        <f t="shared" si="25"/>
        <v>1</v>
      </c>
      <c r="I139">
        <f t="shared" si="26"/>
        <v>1</v>
      </c>
      <c r="J139">
        <f t="shared" si="27"/>
        <v>7.5187969924812095E-2</v>
      </c>
      <c r="K139">
        <f t="shared" si="32"/>
        <v>1.400804373645409</v>
      </c>
      <c r="L139">
        <f t="shared" si="28"/>
        <v>1</v>
      </c>
      <c r="M139">
        <f t="shared" si="29"/>
        <v>0.83333333333333337</v>
      </c>
      <c r="N139">
        <f t="shared" si="30"/>
        <v>0</v>
      </c>
      <c r="O139">
        <f t="shared" si="31"/>
        <v>0.16666666666666666</v>
      </c>
      <c r="P139">
        <f>IFERROR(LN('Дивиденды по годам'!I139),"")</f>
        <v>27.723700565667702</v>
      </c>
      <c r="Q139">
        <f>IFERROR('Дивиденды по годам'!G139/'Дивиденды по годам'!I139, "")</f>
        <v>7.7170930900274354E-2</v>
      </c>
      <c r="R139">
        <f>IFERROR(IF(AND('Дивиденды по годам'!N139&lt;&gt;"",'Дивиденды по годам'!U139&lt;&gt;"",'Дивиденды по годам'!U139&lt;&gt;0),'Дивиденды по годам'!N139/'Дивиденды по годам'!U139-1,""),"")</f>
        <v>0.36656134216562153</v>
      </c>
      <c r="S139" t="str">
        <f>IFERROR(IF(AND('Дивиденды по годам'!L139&lt;&gt;"",'Дивиденды по годам'!I139&lt;&gt;"",'Дивиденды по годам'!J139&lt;&gt;"",'Дивиденды по годам'!K139&lt;&gt;"",('Дивиденды по годам'!I139-'Дивиденды по годам'!J139-'Дивиденды по годам'!K139)&lt;&gt;0),'Дивиденды по годам'!L139/('Дивиденды по годам'!I139-'Дивиденды по годам'!J139-'Дивиденды по годам'!K139),""),"")</f>
        <v/>
      </c>
      <c r="T139">
        <f>IFERROR(IF(AND('Дивиденды по годам'!Q139&lt;&gt;"",'Дивиденды по годам'!I139&lt;&gt;"",'Дивиденды по годам'!V139&lt;&gt;"",('Дивиденды по годам'!I139+'Дивиденды по годам'!V139)&lt;&gt;0),'Дивиденды по годам'!Q139/(('Дивиденды по годам'!I139+'Дивиденды по годам'!V139)/2),""),"")</f>
        <v>6.5361076409432436E-2</v>
      </c>
      <c r="U139">
        <f>IFERROR(IF(AND('Дивиденды по годам'!J139&lt;&gt;"",'Дивиденды по годам'!K139&lt;&gt;"",'Дивиденды по годам'!M139&lt;&gt;"",'Дивиденды по годам'!M139&lt;&gt;0),('Дивиденды по годам'!J139+'Дивиденды по годам'!K139)/'Дивиденды по годам'!M139,""),"")</f>
        <v>0.50615650101521514</v>
      </c>
      <c r="V139">
        <f>IFERROR(IF(AND('Дивиденды по годам'!J139&lt;&gt;"",'Дивиденды по годам'!K139&lt;&gt;"",'Дивиденды по годам'!M139&lt;&gt;"",'Дивиденды по годам'!I139&lt;&gt;0),('Дивиденды по годам'!J139+'Дивиденды по годам'!K139)/'Дивиденды по годам'!I139,""),"")</f>
        <v>0.33605837153977269</v>
      </c>
      <c r="W139">
        <f>IFERROR('Дивиденды по годам'!I139,"")</f>
        <v>1097110000000</v>
      </c>
      <c r="X139" cm="1">
        <f t="array" ref="X139">IFERROR(AVERAGE(_xlfn._xlws.FILTER(P$2:P$1073,($C$2:$C$1073=$C139)*($E$2:$E$1073=$E139)*(ROW(P$2:P$1073)&lt;&gt;ROW(P139))*(P$2:P$1073&lt;&gt;""))),"")</f>
        <v>25.864864322896633</v>
      </c>
      <c r="Y139" cm="1">
        <f t="array" ref="Y139">IFERROR(AVERAGE(_xlfn._xlws.FILTER(Q$2:Q$1073,($C$2:$C$1073=$C139)*($E$2:$E$1073=$E139)*(ROW(Q$2:Q$1073)&lt;&gt;ROW(Q139))*(Q$2:Q$1073&lt;&gt;""))),"")</f>
        <v>0.76952313584463317</v>
      </c>
      <c r="Z139" cm="1">
        <f t="array" ref="Z139">IFERROR(AVERAGE(_xlfn._xlws.FILTER(R$2:R$1073,($C$2:$C$1073=$C139)*($E$2:$E$1073=$E139)*(ROW(R$2:R$1073)&lt;&gt;ROW(R139))*(R$2:R$1073&lt;&gt;""))),"")</f>
        <v>8.8935446229920556E-2</v>
      </c>
      <c r="AA139" cm="1">
        <f t="array" ref="AA139">IFERROR(AVERAGE(_xlfn._xlws.FILTER(S$2:S$1073,($C$2:$C$1073=$C139)*($E$2:$E$1073=$E139)*(ROW(S$2:S$1073)&lt;&gt;ROW(S139))*(S$2:S$1073&lt;&gt;""))),"")</f>
        <v>0.40889247311168003</v>
      </c>
      <c r="AB139" cm="1">
        <f t="array" ref="AB139">IFERROR(AVERAGE(_xlfn._xlws.FILTER(T$2:T$1073,($C$2:$C$1073=$C139)*($E$2:$E$1073=$E139)*(ROW(T$2:T$1073)&lt;&gt;ROW(T139))*(T$2:T$1073&lt;&gt;""))),"")</f>
        <v>3.850224331457068E-2</v>
      </c>
      <c r="AC139" cm="1">
        <f t="array" ref="AC139">IFERROR(AVERAGE(_xlfn._xlws.FILTER(U$2:U$1073,($C$2:$C$1073=$C139)*($E$2:$E$1073=$E139)*(ROW(U$2:U$1073)&lt;&gt;ROW(U139))*(U$2:U$1073&lt;&gt;""))),"")</f>
        <v>0.74461100588109508</v>
      </c>
      <c r="AD139" cm="1">
        <f t="array" ref="AD139">IFERROR(AVERAGE(_xlfn._xlws.FILTER(V$2:V$1073,($C$2:$C$1073=$C139)*($E$2:$E$1073=$E139)*(ROW(V$2:V$1073)&lt;&gt;ROW(V139))*(V$2:V$1073&lt;&gt;""))),"")</f>
        <v>0.39904554065748088</v>
      </c>
      <c r="AE139">
        <f>IF('Дивиденды по годам'!M139&lt;0,1,0)</f>
        <v>0</v>
      </c>
    </row>
    <row r="140" spans="1:31" x14ac:dyDescent="0.2">
      <c r="A140" s="7" t="s">
        <v>2193</v>
      </c>
      <c r="B140" t="str">
        <f t="shared" si="22"/>
        <v>FEES IV кв. 2015</v>
      </c>
      <c r="C140">
        <v>2015</v>
      </c>
      <c r="D140">
        <f>SUMIFS(Дивиденды!$C:$C,Дивиденды!$A:$A,A140,Дивиденды!$I:$I,C140)</f>
        <v>1.3299999999999999E-2</v>
      </c>
      <c r="E140">
        <v>2</v>
      </c>
      <c r="F140">
        <f t="shared" si="23"/>
        <v>1.3299999999999999E-2</v>
      </c>
      <c r="G140">
        <f t="shared" si="24"/>
        <v>4.033175E-2</v>
      </c>
      <c r="H140">
        <f t="shared" si="25"/>
        <v>1</v>
      </c>
      <c r="I140">
        <f t="shared" si="26"/>
        <v>0.91666666666666663</v>
      </c>
      <c r="J140">
        <f t="shared" si="27"/>
        <v>12.194444444444443</v>
      </c>
      <c r="K140">
        <f t="shared" si="32"/>
        <v>3.1287727412886386</v>
      </c>
      <c r="L140">
        <f t="shared" si="28"/>
        <v>1</v>
      </c>
      <c r="M140">
        <f t="shared" si="29"/>
        <v>0.66666666666666663</v>
      </c>
      <c r="N140">
        <f t="shared" si="30"/>
        <v>0</v>
      </c>
      <c r="O140">
        <f t="shared" si="31"/>
        <v>0.33333333333333331</v>
      </c>
      <c r="P140">
        <f>IFERROR(LN('Дивиденды по годам'!I140),"")</f>
        <v>27.626338168024166</v>
      </c>
      <c r="Q140">
        <f>IFERROR('Дивиденды по годам'!G140/'Дивиденды по годам'!I140, "")</f>
        <v>0.82496825167181065</v>
      </c>
      <c r="R140">
        <f>IFERROR(IF(AND('Дивиденды по годам'!N140&lt;&gt;"",'Дивиденды по годам'!U140&lt;&gt;"",'Дивиденды по годам'!U140&lt;&gt;0),'Дивиденды по годам'!N140/'Дивиденды по годам'!U140-1,""),"")</f>
        <v>7.8960271815313288E-2</v>
      </c>
      <c r="S140" t="str">
        <f>IFERROR(IF(AND('Дивиденды по годам'!L140&lt;&gt;"",'Дивиденды по годам'!I140&lt;&gt;"",'Дивиденды по годам'!J140&lt;&gt;"",'Дивиденды по годам'!K140&lt;&gt;"",('Дивиденды по годам'!I140-'Дивиденды по годам'!J140-'Дивиденды по годам'!K140)&lt;&gt;0),'Дивиденды по годам'!L140/('Дивиденды по годам'!I140-'Дивиденды по годам'!J140-'Дивиденды по годам'!K140),""),"")</f>
        <v/>
      </c>
      <c r="T140">
        <f>IFERROR(IF(AND('Дивиденды по годам'!Q140&lt;&gt;"",'Дивиденды по годам'!I140&lt;&gt;"",'Дивиденды по годам'!V140&lt;&gt;"",('Дивиденды по годам'!I140+'Дивиденды по годам'!V140)&lt;&gt;0),'Дивиденды по годам'!Q140/(('Дивиденды по годам'!I140+'Дивиденды по годам'!V140)/2),""),"")</f>
        <v>4.5685502690231507E-2</v>
      </c>
      <c r="U140">
        <f>IFERROR(IF(AND('Дивиденды по годам'!J140&lt;&gt;"",'Дивиденды по годам'!K140&lt;&gt;"",'Дивиденды по годам'!M140&lt;&gt;"",'Дивиденды по годам'!M140&lt;&gt;0),('Дивиденды по годам'!J140+'Дивиденды по годам'!K140)/'Дивиденды по годам'!M140,""),"")</f>
        <v>0.60630561715065889</v>
      </c>
      <c r="V140">
        <f>IFERROR(IF(AND('Дивиденды по годам'!J140&lt;&gt;"",'Дивиденды по годам'!K140&lt;&gt;"",'Дивиденды по годам'!M140&lt;&gt;"",'Дивиденды по годам'!I140&lt;&gt;0),('Дивиденды по годам'!J140+'Дивиденды по годам'!K140)/'Дивиденды по годам'!I140,""),"")</f>
        <v>0.3774534625771605</v>
      </c>
      <c r="W140">
        <f>IFERROR('Дивиденды по годам'!I140,"")</f>
        <v>995328000000</v>
      </c>
      <c r="X140" cm="1">
        <f t="array" ref="X140">IFERROR(AVERAGE(_xlfn._xlws.FILTER(P$2:P$1073,($C$2:$C$1073=$C140)*($E$2:$E$1073=$E140)*(ROW(P$2:P$1073)&lt;&gt;ROW(P140))*(P$2:P$1073&lt;&gt;""))),"")</f>
        <v>25.759307201902438</v>
      </c>
      <c r="Y140" cm="1">
        <f t="array" ref="Y140">IFERROR(AVERAGE(_xlfn._xlws.FILTER(Q$2:Q$1073,($C$2:$C$1073=$C140)*($E$2:$E$1073=$E140)*(ROW(Q$2:Q$1073)&lt;&gt;ROW(Q140))*(Q$2:Q$1073&lt;&gt;""))),"")</f>
        <v>0.77482447618234895</v>
      </c>
      <c r="Z140" cm="1">
        <f t="array" ref="Z140">IFERROR(AVERAGE(_xlfn._xlws.FILTER(R$2:R$1073,($C$2:$C$1073=$C140)*($E$2:$E$1073=$E140)*(ROW(R$2:R$1073)&lt;&gt;ROW(R140))*(R$2:R$1073&lt;&gt;""))),"")</f>
        <v>-1.2713758968043844E-3</v>
      </c>
      <c r="AA140" cm="1">
        <f t="array" ref="AA140">IFERROR(AVERAGE(_xlfn._xlws.FILTER(S$2:S$1073,($C$2:$C$1073=$C140)*($E$2:$E$1073=$E140)*(ROW(S$2:S$1073)&lt;&gt;ROW(S140))*(S$2:S$1073&lt;&gt;""))),"")</f>
        <v>0.4889220310718525</v>
      </c>
      <c r="AB140" cm="1">
        <f t="array" ref="AB140">IFERROR(AVERAGE(_xlfn._xlws.FILTER(T$2:T$1073,($C$2:$C$1073=$C140)*($E$2:$E$1073=$E140)*(ROW(T$2:T$1073)&lt;&gt;ROW(T140))*(T$2:T$1073&lt;&gt;""))),"")</f>
        <v>-1.8840324831309062E-2</v>
      </c>
      <c r="AC140" cm="1">
        <f t="array" ref="AC140">IFERROR(AVERAGE(_xlfn._xlws.FILTER(U$2:U$1073,($C$2:$C$1073=$C140)*($E$2:$E$1073=$E140)*(ROW(U$2:U$1073)&lt;&gt;ROW(U140))*(U$2:U$1073&lt;&gt;""))),"")</f>
        <v>0.9212370586178672</v>
      </c>
      <c r="AD140" cm="1">
        <f t="array" ref="AD140">IFERROR(AVERAGE(_xlfn._xlws.FILTER(V$2:V$1073,($C$2:$C$1073=$C140)*($E$2:$E$1073=$E140)*(ROW(V$2:V$1073)&lt;&gt;ROW(V140))*(V$2:V$1073&lt;&gt;""))),"")</f>
        <v>0.44461600299231818</v>
      </c>
      <c r="AE140">
        <f>IF('Дивиденды по годам'!M140&lt;0,1,0)</f>
        <v>0</v>
      </c>
    </row>
    <row r="141" spans="1:31" x14ac:dyDescent="0.2">
      <c r="A141" s="7" t="s">
        <v>2193</v>
      </c>
      <c r="B141" t="str">
        <f t="shared" si="22"/>
        <v>FEES IV кв. 2014</v>
      </c>
      <c r="C141">
        <v>2014</v>
      </c>
      <c r="D141">
        <f>SUMIFS(Дивиденды!$C:$C,Дивиденды!$A:$A,A141,Дивиденды!$I:$I,C141)</f>
        <v>1.008E-3</v>
      </c>
      <c r="E141">
        <v>2</v>
      </c>
      <c r="F141">
        <f t="shared" si="23"/>
        <v>1.008E-3</v>
      </c>
      <c r="G141">
        <f t="shared" si="24"/>
        <v>3.8883916666666671E-2</v>
      </c>
      <c r="H141">
        <f t="shared" si="25"/>
        <v>1</v>
      </c>
      <c r="I141">
        <f t="shared" si="26"/>
        <v>1</v>
      </c>
      <c r="J141">
        <f t="shared" si="27"/>
        <v>1</v>
      </c>
      <c r="K141">
        <f t="shared" si="32"/>
        <v>1.3177701483499717</v>
      </c>
      <c r="L141">
        <f t="shared" si="28"/>
        <v>1</v>
      </c>
      <c r="M141">
        <f t="shared" si="29"/>
        <v>0.58333333333333337</v>
      </c>
      <c r="N141">
        <f t="shared" si="30"/>
        <v>0</v>
      </c>
      <c r="O141">
        <f t="shared" si="31"/>
        <v>0.33333333333333331</v>
      </c>
      <c r="P141">
        <f>IFERROR(LN('Дивиденды по годам'!I141),"")</f>
        <v>27.563999514497169</v>
      </c>
      <c r="Q141">
        <f>IFERROR('Дивиденды по годам'!G141/'Дивиденды по годам'!I141, "")</f>
        <v>0.85013927874462003</v>
      </c>
      <c r="R141">
        <f>IFERROR(IF(AND('Дивиденды по годам'!N141&lt;&gt;"",'Дивиденды по годам'!U141&lt;&gt;"",'Дивиденды по годам'!U141&lt;&gt;0),'Дивиденды по годам'!N141/'Дивиденды по годам'!U141-1,""),"")</f>
        <v>9.7379249224536224E-2</v>
      </c>
      <c r="S141" t="str">
        <f>IFERROR(IF(AND('Дивиденды по годам'!L141&lt;&gt;"",'Дивиденды по годам'!I141&lt;&gt;"",'Дивиденды по годам'!J141&lt;&gt;"",'Дивиденды по годам'!K141&lt;&gt;"",('Дивиденды по годам'!I141-'Дивиденды по годам'!J141-'Дивиденды по годам'!K141)&lt;&gt;0),'Дивиденды по годам'!L141/('Дивиденды по годам'!I141-'Дивиденды по годам'!J141-'Дивиденды по годам'!K141),""),"")</f>
        <v/>
      </c>
      <c r="T141">
        <f>IFERROR(IF(AND('Дивиденды по годам'!Q141&lt;&gt;"",'Дивиденды по годам'!I141&lt;&gt;"",'Дивиденды по годам'!V141&lt;&gt;"",('Дивиденды по годам'!I141+'Дивиденды по годам'!V141)&lt;&gt;0),'Дивиденды по годам'!Q141/(('Дивиденды по годам'!I141+'Дивиденды по годам'!V141)/2),""),"")</f>
        <v>-2.2227173342497103E-2</v>
      </c>
      <c r="U141">
        <f>IFERROR(IF(AND('Дивиденды по годам'!J141&lt;&gt;"",'Дивиденды по годам'!K141&lt;&gt;"",'Дивиденды по годам'!M141&lt;&gt;"",'Дивиденды по годам'!M141&lt;&gt;0),('Дивиденды по годам'!J141+'Дивиденды по годам'!K141)/'Дивиденды по годам'!M141,""),"")</f>
        <v>0.63141037382835197</v>
      </c>
      <c r="V141">
        <f>IFERROR(IF(AND('Дивиденды по годам'!J141&lt;&gt;"",'Дивиденды по годам'!K141&lt;&gt;"",'Дивиденды по годам'!M141&lt;&gt;"",'Дивиденды по годам'!I141&lt;&gt;0),('Дивиденды по годам'!J141+'Дивиденды по годам'!K141)/'Дивиденды по годам'!I141,""),"")</f>
        <v>0.38703344293848746</v>
      </c>
      <c r="W141">
        <f>IFERROR('Дивиденды по годам'!I141,"")</f>
        <v>935175000000</v>
      </c>
      <c r="X141" cm="1">
        <f t="array" ref="X141">IFERROR(AVERAGE(_xlfn._xlws.FILTER(P$2:P$1073,($C$2:$C$1073=$C141)*($E$2:$E$1073=$E141)*(ROW(P$2:P$1073)&lt;&gt;ROW(P141))*(P$2:P$1073&lt;&gt;""))),"")</f>
        <v>26.022198344533699</v>
      </c>
      <c r="Y141" cm="1">
        <f t="array" ref="Y141">IFERROR(AVERAGE(_xlfn._xlws.FILTER(Q$2:Q$1073,($C$2:$C$1073=$C141)*($E$2:$E$1073=$E141)*(ROW(Q$2:Q$1073)&lt;&gt;ROW(Q141))*(Q$2:Q$1073&lt;&gt;""))),"")</f>
        <v>0.76361790642863103</v>
      </c>
      <c r="Z141" cm="1">
        <f t="array" ref="Z141">IFERROR(AVERAGE(_xlfn._xlws.FILTER(R$2:R$1073,($C$2:$C$1073=$C141)*($E$2:$E$1073=$E141)*(ROW(R$2:R$1073)&lt;&gt;ROW(R141))*(R$2:R$1073&lt;&gt;""))),"")</f>
        <v>1.4414911806771137E-2</v>
      </c>
      <c r="AA141" cm="1">
        <f t="array" ref="AA141">IFERROR(AVERAGE(_xlfn._xlws.FILTER(S$2:S$1073,($C$2:$C$1073=$C141)*($E$2:$E$1073=$E141)*(ROW(S$2:S$1073)&lt;&gt;ROW(S141))*(S$2:S$1073&lt;&gt;""))),"")</f>
        <v>0.60466035791128681</v>
      </c>
      <c r="AB141" cm="1">
        <f t="array" ref="AB141">IFERROR(AVERAGE(_xlfn._xlws.FILTER(T$2:T$1073,($C$2:$C$1073=$C141)*($E$2:$E$1073=$E141)*(ROW(T$2:T$1073)&lt;&gt;ROW(T141))*(T$2:T$1073&lt;&gt;""))),"")</f>
        <v>2.3154505132080269E-2</v>
      </c>
      <c r="AC141" cm="1">
        <f t="array" ref="AC141">IFERROR(AVERAGE(_xlfn._xlws.FILTER(U$2:U$1073,($C$2:$C$1073=$C141)*($E$2:$E$1073=$E141)*(ROW(U$2:U$1073)&lt;&gt;ROW(U141))*(U$2:U$1073&lt;&gt;""))),"")</f>
        <v>0.76601870091102087</v>
      </c>
      <c r="AD141" cm="1">
        <f t="array" ref="AD141">IFERROR(AVERAGE(_xlfn._xlws.FILTER(V$2:V$1073,($C$2:$C$1073=$C141)*($E$2:$E$1073=$E141)*(ROW(V$2:V$1073)&lt;&gt;ROW(V141))*(V$2:V$1073&lt;&gt;""))),"")</f>
        <v>0.40521791546607416</v>
      </c>
      <c r="AE141">
        <f>IF('Дивиденды по годам'!M141&lt;0,1,0)</f>
        <v>0</v>
      </c>
    </row>
    <row r="142" spans="1:31" x14ac:dyDescent="0.2">
      <c r="A142" s="7" t="s">
        <v>2193</v>
      </c>
      <c r="B142" t="str">
        <f t="shared" si="22"/>
        <v>FEES IV кв. 2013</v>
      </c>
      <c r="C142">
        <v>2013</v>
      </c>
      <c r="D142">
        <f>SUMIFS(Дивиденды!$C:$C,Дивиденды!$A:$A,A142,Дивиденды!$I:$I,C142)</f>
        <v>0</v>
      </c>
      <c r="E142">
        <v>2</v>
      </c>
      <c r="F142">
        <f t="shared" si="23"/>
        <v>0</v>
      </c>
      <c r="G142">
        <f t="shared" si="24"/>
        <v>4.6443083333333329E-2</v>
      </c>
      <c r="H142">
        <f t="shared" si="25"/>
        <v>0</v>
      </c>
      <c r="I142">
        <f t="shared" si="26"/>
        <v>0.83333333333333337</v>
      </c>
      <c r="J142">
        <f t="shared" si="27"/>
        <v>0</v>
      </c>
      <c r="K142">
        <f t="shared" si="32"/>
        <v>1.2952854418676727E-2</v>
      </c>
      <c r="L142">
        <f t="shared" si="28"/>
        <v>0</v>
      </c>
      <c r="M142">
        <f t="shared" si="29"/>
        <v>0.5</v>
      </c>
      <c r="N142">
        <f t="shared" si="30"/>
        <v>0</v>
      </c>
      <c r="O142">
        <f t="shared" si="31"/>
        <v>0.33333333333333331</v>
      </c>
      <c r="P142">
        <f>IFERROR(LN('Дивиденды по годам'!I142),"")</f>
        <v>27.546009919062477</v>
      </c>
      <c r="Q142">
        <f>IFERROR('Дивиденды по годам'!G142/'Дивиденды по годам'!I142, "")</f>
        <v>0.81623121125484754</v>
      </c>
      <c r="R142">
        <f>IFERROR(IF(AND('Дивиденды по годам'!N142&lt;&gt;"",'Дивиденды по годам'!U142&lt;&gt;"",'Дивиденды по годам'!U142&lt;&gt;0),'Дивиденды по годам'!N142/'Дивиденды по годам'!U142-1,""),"")</f>
        <v>9.8112000889778672E-2</v>
      </c>
      <c r="S142" t="str">
        <f>IFERROR(IF(AND('Дивиденды по годам'!L142&lt;&gt;"",'Дивиденды по годам'!I142&lt;&gt;"",'Дивиденды по годам'!J142&lt;&gt;"",'Дивиденды по годам'!K142&lt;&gt;"",('Дивиденды по годам'!I142-'Дивиденды по годам'!J142-'Дивиденды по годам'!K142)&lt;&gt;0),'Дивиденды по годам'!L142/('Дивиденды по годам'!I142-'Дивиденды по годам'!J142-'Дивиденды по годам'!K142),""),"")</f>
        <v/>
      </c>
      <c r="T142">
        <f>IFERROR(IF(AND('Дивиденды по годам'!Q142&lt;&gt;"",'Дивиденды по годам'!I142&lt;&gt;"",'Дивиденды по годам'!V142&lt;&gt;"",('Дивиденды по годам'!I142+'Дивиденды по годам'!V142)&lt;&gt;0),'Дивиденды по годам'!Q142/(('Дивиденды по годам'!I142+'Дивиденды по годам'!V142)/2),""),"")</f>
        <v>-0.21551050307447919</v>
      </c>
      <c r="U142">
        <f>IFERROR(IF(AND('Дивиденды по годам'!J142&lt;&gt;"",'Дивиденды по годам'!K142&lt;&gt;"",'Дивиденды по годам'!M142&lt;&gt;"",'Дивиденды по годам'!M142&lt;&gt;0),('Дивиденды по годам'!J142+'Дивиденды по годам'!K142)/'Дивиденды по годам'!M142,""),"")</f>
        <v>0.67519063573209415</v>
      </c>
      <c r="V142">
        <f>IFERROR(IF(AND('Дивиденды по годам'!J142&lt;&gt;"",'Дивиденды по годам'!K142&lt;&gt;"",'Дивиденды по годам'!M142&lt;&gt;"",'Дивиденды по годам'!I142&lt;&gt;0),('Дивиденды по годам'!J142+'Дивиденды по годам'!K142)/'Дивиденды по годам'!I142,""),"")</f>
        <v>0.40305301458243969</v>
      </c>
      <c r="W142">
        <f>IFERROR('Дивиденды по годам'!I142,"")</f>
        <v>918502000000</v>
      </c>
      <c r="X142" cm="1">
        <f t="array" ref="X142">IFERROR(AVERAGE(_xlfn._xlws.FILTER(P$2:P$1073,($C$2:$C$1073=$C142)*($E$2:$E$1073=$E142)*(ROW(P$2:P$1073)&lt;&gt;ROW(P142))*(P$2:P$1073&lt;&gt;""))),"")</f>
        <v>25.964162639409334</v>
      </c>
      <c r="Y142" cm="1">
        <f t="array" ref="Y142">IFERROR(AVERAGE(_xlfn._xlws.FILTER(Q$2:Q$1073,($C$2:$C$1073=$C142)*($E$2:$E$1073=$E142)*(ROW(Q$2:Q$1073)&lt;&gt;ROW(Q142))*(Q$2:Q$1073&lt;&gt;""))),"")</f>
        <v>0.77950949147310133</v>
      </c>
      <c r="Z142" cm="1">
        <f t="array" ref="Z142">IFERROR(AVERAGE(_xlfn._xlws.FILTER(R$2:R$1073,($C$2:$C$1073=$C142)*($E$2:$E$1073=$E142)*(ROW(R$2:R$1073)&lt;&gt;ROW(R142))*(R$2:R$1073&lt;&gt;""))),"")</f>
        <v>9.7748768645121276E-2</v>
      </c>
      <c r="AA142" cm="1">
        <f t="array" ref="AA142">IFERROR(AVERAGE(_xlfn._xlws.FILTER(S$2:S$1073,($C$2:$C$1073=$C142)*($E$2:$E$1073=$E142)*(ROW(S$2:S$1073)&lt;&gt;ROW(S142))*(S$2:S$1073&lt;&gt;""))),"")</f>
        <v>0.4636519590056305</v>
      </c>
      <c r="AB142" cm="1">
        <f t="array" ref="AB142">IFERROR(AVERAGE(_xlfn._xlws.FILTER(T$2:T$1073,($C$2:$C$1073=$C142)*($E$2:$E$1073=$E142)*(ROW(T$2:T$1073)&lt;&gt;ROW(T142))*(T$2:T$1073&lt;&gt;""))),"")</f>
        <v>1.8520327975835995E-2</v>
      </c>
      <c r="AC142" cm="1">
        <f t="array" ref="AC142">IFERROR(AVERAGE(_xlfn._xlws.FILTER(U$2:U$1073,($C$2:$C$1073=$C142)*($E$2:$E$1073=$E142)*(ROW(U$2:U$1073)&lt;&gt;ROW(U142))*(U$2:U$1073&lt;&gt;""))),"")</f>
        <v>0.67737341290004505</v>
      </c>
      <c r="AD142" cm="1">
        <f t="array" ref="AD142">IFERROR(AVERAGE(_xlfn._xlws.FILTER(V$2:V$1073,($C$2:$C$1073=$C142)*($E$2:$E$1073=$E142)*(ROW(V$2:V$1073)&lt;&gt;ROW(V142))*(V$2:V$1073&lt;&gt;""))),"")</f>
        <v>0.37501404327040883</v>
      </c>
      <c r="AE142">
        <f>IF('Дивиденды по годам'!M142&lt;0,1,0)</f>
        <v>0</v>
      </c>
    </row>
    <row r="143" spans="1:31" x14ac:dyDescent="0.2">
      <c r="A143" s="7" t="s">
        <v>2193</v>
      </c>
      <c r="B143" t="str">
        <f t="shared" si="22"/>
        <v>FEES IV кв. 2012</v>
      </c>
      <c r="C143">
        <v>2012</v>
      </c>
      <c r="D143">
        <f>SUMIFS(Дивиденды!$C:$C,Дивиденды!$A:$A,A143,Дивиденды!$I:$I,C143)</f>
        <v>0</v>
      </c>
      <c r="E143">
        <v>2</v>
      </c>
      <c r="F143">
        <f t="shared" si="23"/>
        <v>0</v>
      </c>
      <c r="G143">
        <f t="shared" si="24"/>
        <v>3.7162333333333332E-2</v>
      </c>
      <c r="H143">
        <f t="shared" si="25"/>
        <v>0</v>
      </c>
      <c r="I143">
        <f t="shared" si="26"/>
        <v>0.75</v>
      </c>
      <c r="J143">
        <f t="shared" si="27"/>
        <v>0</v>
      </c>
      <c r="K143">
        <f t="shared" si="32"/>
        <v>0.74080204300683228</v>
      </c>
      <c r="L143">
        <f t="shared" si="28"/>
        <v>0</v>
      </c>
      <c r="M143">
        <f t="shared" si="29"/>
        <v>0.58333333333333337</v>
      </c>
      <c r="N143">
        <f t="shared" si="30"/>
        <v>0</v>
      </c>
      <c r="O143">
        <f t="shared" si="31"/>
        <v>0.16666666666666666</v>
      </c>
      <c r="P143">
        <f>IFERROR(LN('Дивиденды по годам'!I143),"")</f>
        <v>27.862324088443462</v>
      </c>
      <c r="Q143">
        <f>IFERROR('Дивиденды по годам'!G143/'Дивиденды по годам'!I143, "")</f>
        <v>0.8700994492323294</v>
      </c>
      <c r="R143">
        <f>IFERROR(IF(AND('Дивиденды по годам'!N143&lt;&gt;"",'Дивиденды по годам'!U143&lt;&gt;"",'Дивиденды по годам'!U143&lt;&gt;0),'Дивиденды по годам'!N143/'Дивиденды по годам'!U143-1,""),"")</f>
        <v>3.0701220167513199E-2</v>
      </c>
      <c r="S143" t="str">
        <f>IFERROR(IF(AND('Дивиденды по годам'!L143&lt;&gt;"",'Дивиденды по годам'!I143&lt;&gt;"",'Дивиденды по годам'!J143&lt;&gt;"",'Дивиденды по годам'!K143&lt;&gt;"",('Дивиденды по годам'!I143-'Дивиденды по годам'!J143-'Дивиденды по годам'!K143)&lt;&gt;0),'Дивиденды по годам'!L143/('Дивиденды по годам'!I143-'Дивиденды по годам'!J143-'Дивиденды по годам'!K143),""),"")</f>
        <v/>
      </c>
      <c r="T143">
        <f>IFERROR(IF(AND('Дивиденды по годам'!Q143&lt;&gt;"",'Дивиденды по годам'!I143&lt;&gt;"",'Дивиденды по годам'!V143&lt;&gt;"",('Дивиденды по годам'!I143+'Дивиденды по годам'!V143)&lt;&gt;0),'Дивиденды по годам'!Q143/(('Дивиденды по годам'!I143+'Дивиденды по годам'!V143)/2),""),"")</f>
        <v>5.8112526908913583E-3</v>
      </c>
      <c r="U143">
        <f>IFERROR(IF(AND('Дивиденды по годам'!J143&lt;&gt;"",'Дивиденды по годам'!K143&lt;&gt;"",'Дивиденды по годам'!M143&lt;&gt;"",'Дивиденды по годам'!M143&lt;&gt;0),('Дивиденды по годам'!J143+'Дивиденды по годам'!K143)/'Дивиденды по годам'!M143,""),"")</f>
        <v>0.38824251263499732</v>
      </c>
      <c r="V143">
        <f>IFERROR(IF(AND('Дивиденды по годам'!J143&lt;&gt;"",'Дивиденды по годам'!K143&lt;&gt;"",'Дивиденды по годам'!M143&lt;&gt;"",'Дивиденды по годам'!I143&lt;&gt;0),('Дивиденды по годам'!J143+'Дивиденды по годам'!K143)/'Дивиденды по годам'!I143,""),"")</f>
        <v>0.27966476253351541</v>
      </c>
      <c r="W143">
        <f>IFERROR('Дивиденды по годам'!I143,"")</f>
        <v>1260241000000</v>
      </c>
      <c r="X143" cm="1">
        <f t="array" ref="X143">IFERROR(AVERAGE(_xlfn._xlws.FILTER(P$2:P$1073,($C$2:$C$1073=$C143)*($E$2:$E$1073=$E143)*(ROW(P$2:P$1073)&lt;&gt;ROW(P143))*(P$2:P$1073&lt;&gt;""))),"")</f>
        <v>25.928643724460017</v>
      </c>
      <c r="Y143" cm="1">
        <f t="array" ref="Y143">IFERROR(AVERAGE(_xlfn._xlws.FILTER(Q$2:Q$1073,($C$2:$C$1073=$C143)*($E$2:$E$1073=$E143)*(ROW(Q$2:Q$1073)&lt;&gt;ROW(Q143))*(Q$2:Q$1073&lt;&gt;""))),"")</f>
        <v>0.76846737445824209</v>
      </c>
      <c r="Z143" cm="1">
        <f t="array" ref="Z143">IFERROR(AVERAGE(_xlfn._xlws.FILTER(R$2:R$1073,($C$2:$C$1073=$C143)*($E$2:$E$1073=$E143)*(ROW(R$2:R$1073)&lt;&gt;ROW(R143))*(R$2:R$1073&lt;&gt;""))),"")</f>
        <v>-2.1031204413060747E-2</v>
      </c>
      <c r="AA143" cm="1">
        <f t="array" ref="AA143">IFERROR(AVERAGE(_xlfn._xlws.FILTER(S$2:S$1073,($C$2:$C$1073=$C143)*($E$2:$E$1073=$E143)*(ROW(S$2:S$1073)&lt;&gt;ROW(S143))*(S$2:S$1073&lt;&gt;""))),"")</f>
        <v>0.44715527647269881</v>
      </c>
      <c r="AB143" cm="1">
        <f t="array" ref="AB143">IFERROR(AVERAGE(_xlfn._xlws.FILTER(T$2:T$1073,($C$2:$C$1073=$C143)*($E$2:$E$1073=$E143)*(ROW(T$2:T$1073)&lt;&gt;ROW(T143))*(T$2:T$1073&lt;&gt;""))),"")</f>
        <v>2.1217112883545709E-2</v>
      </c>
      <c r="AC143" cm="1">
        <f t="array" ref="AC143">IFERROR(AVERAGE(_xlfn._xlws.FILTER(U$2:U$1073,($C$2:$C$1073=$C143)*($E$2:$E$1073=$E143)*(ROW(U$2:U$1073)&lt;&gt;ROW(U143))*(U$2:U$1073&lt;&gt;""))),"")</f>
        <v>0.67765541601021329</v>
      </c>
      <c r="AD143" cm="1">
        <f t="array" ref="AD143">IFERROR(AVERAGE(_xlfn._xlws.FILTER(V$2:V$1073,($C$2:$C$1073=$C143)*($E$2:$E$1073=$E143)*(ROW(V$2:V$1073)&lt;&gt;ROW(V143))*(V$2:V$1073&lt;&gt;""))),"")</f>
        <v>0.38805076189461535</v>
      </c>
      <c r="AE143">
        <f>IF('Дивиденды по годам'!M143&lt;0,1,0)</f>
        <v>0</v>
      </c>
    </row>
    <row r="144" spans="1:31" x14ac:dyDescent="0.2">
      <c r="A144" s="7" t="s">
        <v>2193</v>
      </c>
      <c r="B144" t="str">
        <f t="shared" si="22"/>
        <v>FEES IV кв. 2011</v>
      </c>
      <c r="C144">
        <v>2011</v>
      </c>
      <c r="D144">
        <f>SUMIFS(Дивиденды!$C:$C,Дивиденды!$A:$A,A144,Дивиденды!$I:$I,C144)</f>
        <v>0</v>
      </c>
      <c r="E144">
        <v>2</v>
      </c>
      <c r="F144">
        <f t="shared" si="23"/>
        <v>0</v>
      </c>
      <c r="G144">
        <f t="shared" si="24"/>
        <v>1.154675E-2</v>
      </c>
      <c r="H144">
        <f t="shared" si="25"/>
        <v>0</v>
      </c>
      <c r="I144">
        <f t="shared" si="26"/>
        <v>0.83333333333333337</v>
      </c>
      <c r="J144">
        <f t="shared" si="27"/>
        <v>-1</v>
      </c>
      <c r="K144">
        <f t="shared" si="32"/>
        <v>0.13410358326946076</v>
      </c>
      <c r="L144">
        <f t="shared" si="28"/>
        <v>0</v>
      </c>
      <c r="M144">
        <f t="shared" si="29"/>
        <v>0.5</v>
      </c>
      <c r="N144">
        <f t="shared" si="30"/>
        <v>1</v>
      </c>
      <c r="O144">
        <f t="shared" si="31"/>
        <v>0.33333333333333331</v>
      </c>
      <c r="P144">
        <f>IFERROR(LN('Дивиденды по годам'!I144),"")</f>
        <v>27.782605935320994</v>
      </c>
      <c r="Q144">
        <f>IFERROR('Дивиденды по годам'!G144/'Дивиденды по годам'!I144, "")</f>
        <v>0.84273986681871349</v>
      </c>
      <c r="R144" t="str">
        <f>IFERROR(IF(AND('Дивиденды по годам'!N144&lt;&gt;"",'Дивиденды по годам'!U144&lt;&gt;"",'Дивиденды по годам'!U144&lt;&gt;0),'Дивиденды по годам'!N144/'Дивиденды по годам'!U144-1,""),"")</f>
        <v/>
      </c>
      <c r="S144" t="str">
        <f>IFERROR(IF(AND('Дивиденды по годам'!L144&lt;&gt;"",'Дивиденды по годам'!I144&lt;&gt;"",'Дивиденды по годам'!J144&lt;&gt;"",'Дивиденды по годам'!K144&lt;&gt;"",('Дивиденды по годам'!I144-'Дивиденды по годам'!J144-'Дивиденды по годам'!K144)&lt;&gt;0),'Дивиденды по годам'!L144/('Дивиденды по годам'!I144-'Дивиденды по годам'!J144-'Дивиденды по годам'!K144),""),"")</f>
        <v/>
      </c>
      <c r="T144" t="str">
        <f>IFERROR(IF(AND('Дивиденды по годам'!Q144&lt;&gt;"",'Дивиденды по годам'!I144&lt;&gt;"",'Дивиденды по годам'!V144&lt;&gt;"",('Дивиденды по годам'!I144+'Дивиденды по годам'!V144)&lt;&gt;0),'Дивиденды по годам'!Q144/(('Дивиденды по годам'!I144+'Дивиденды по годам'!V144)/2),""),"")</f>
        <v/>
      </c>
      <c r="U144">
        <f>IFERROR(IF(AND('Дивиденды по годам'!J144&lt;&gt;"",'Дивиденды по годам'!K144&lt;&gt;"",'Дивиденды по годам'!M144&lt;&gt;"",'Дивиденды по годам'!M144&lt;&gt;0),('Дивиденды по годам'!J144+'Дивиденды по годам'!K144)/'Дивиденды по годам'!M144,""),"")</f>
        <v>0.29569973288260754</v>
      </c>
      <c r="V144">
        <f>IFERROR(IF(AND('Дивиденды по годам'!J144&lt;&gt;"",'Дивиденды по годам'!K144&lt;&gt;"",'Дивиденды по годам'!M144&lt;&gt;"",'Дивиденды по годам'!I144&lt;&gt;0),('Дивиденды по годам'!J144+'Дивиденды по годам'!K144)/'Дивиденды по годам'!I144,""),"")</f>
        <v>0.22821624901067908</v>
      </c>
      <c r="W144">
        <f>IFERROR('Дивиденды по годам'!I144,"")</f>
        <v>1163677000000</v>
      </c>
      <c r="X144" cm="1">
        <f t="array" ref="X144">IFERROR(AVERAGE(_xlfn._xlws.FILTER(P$2:P$1073,($C$2:$C$1073=$C144)*($E$2:$E$1073=$E144)*(ROW(P$2:P$1073)&lt;&gt;ROW(P144))*(P$2:P$1073&lt;&gt;""))),"")</f>
        <v>25.963054098854649</v>
      </c>
      <c r="Y144" cm="1">
        <f t="array" ref="Y144">IFERROR(AVERAGE(_xlfn._xlws.FILTER(Q$2:Q$1073,($C$2:$C$1073=$C144)*($E$2:$E$1073=$E144)*(ROW(Q$2:Q$1073)&lt;&gt;ROW(Q144))*(Q$2:Q$1073&lt;&gt;""))),"")</f>
        <v>0.75818973240010035</v>
      </c>
      <c r="Z144" cm="1">
        <f t="array" ref="Z144">IFERROR(AVERAGE(_xlfn._xlws.FILTER(R$2:R$1073,($C$2:$C$1073=$C144)*($E$2:$E$1073=$E144)*(ROW(R$2:R$1073)&lt;&gt;ROW(R144))*(R$2:R$1073&lt;&gt;""))),"")</f>
        <v>0.14348983045887875</v>
      </c>
      <c r="AA144" cm="1">
        <f t="array" ref="AA144">IFERROR(AVERAGE(_xlfn._xlws.FILTER(S$2:S$1073,($C$2:$C$1073=$C144)*($E$2:$E$1073=$E144)*(ROW(S$2:S$1073)&lt;&gt;ROW(S144))*(S$2:S$1073&lt;&gt;""))),"")</f>
        <v>0.39850050246333968</v>
      </c>
      <c r="AB144" cm="1">
        <f t="array" ref="AB144">IFERROR(AVERAGE(_xlfn._xlws.FILTER(T$2:T$1073,($C$2:$C$1073=$C144)*($E$2:$E$1073=$E144)*(ROW(T$2:T$1073)&lt;&gt;ROW(T144))*(T$2:T$1073&lt;&gt;""))),"")</f>
        <v>4.5214358774442007E-2</v>
      </c>
      <c r="AC144" cm="1">
        <f t="array" ref="AC144">IFERROR(AVERAGE(_xlfn._xlws.FILTER(U$2:U$1073,($C$2:$C$1073=$C144)*($E$2:$E$1073=$E144)*(ROW(U$2:U$1073)&lt;&gt;ROW(U144))*(U$2:U$1073&lt;&gt;""))),"")</f>
        <v>0.62792849237259507</v>
      </c>
      <c r="AD144" cm="1">
        <f t="array" ref="AD144">IFERROR(AVERAGE(_xlfn._xlws.FILTER(V$2:V$1073,($C$2:$C$1073=$C144)*($E$2:$E$1073=$E144)*(ROW(V$2:V$1073)&lt;&gt;ROW(V144))*(V$2:V$1073&lt;&gt;""))),"")</f>
        <v>0.37277856994427433</v>
      </c>
      <c r="AE144">
        <f>IF('Дивиденды по годам'!M144&lt;0,1,0)</f>
        <v>0</v>
      </c>
    </row>
    <row r="145" spans="1:31" x14ac:dyDescent="0.2">
      <c r="A145" s="7" t="s">
        <v>2193</v>
      </c>
      <c r="B145" t="str">
        <f t="shared" si="22"/>
        <v>FEES IV кв. 2010</v>
      </c>
      <c r="C145">
        <v>2010</v>
      </c>
      <c r="D145">
        <f>SUMIFS(Дивиденды!$C:$C,Дивиденды!$A:$A,A145,Дивиденды!$I:$I,C145)</f>
        <v>2.052E-3</v>
      </c>
      <c r="E145">
        <v>2</v>
      </c>
      <c r="F145">
        <f t="shared" si="23"/>
        <v>2.052E-3</v>
      </c>
      <c r="G145">
        <f t="shared" si="24"/>
        <v>6.3908333333333343E-3</v>
      </c>
      <c r="H145">
        <f t="shared" si="25"/>
        <v>1</v>
      </c>
      <c r="I145">
        <f t="shared" si="26"/>
        <v>0.75</v>
      </c>
      <c r="J145" t="str">
        <f t="shared" si="27"/>
        <v/>
      </c>
      <c r="K145" t="str">
        <f t="shared" si="32"/>
        <v/>
      </c>
      <c r="L145" t="str">
        <f t="shared" si="28"/>
        <v/>
      </c>
      <c r="M145" t="str">
        <f t="shared" si="29"/>
        <v/>
      </c>
      <c r="N145" t="str">
        <f t="shared" si="30"/>
        <v/>
      </c>
      <c r="O145" t="str">
        <f t="shared" si="31"/>
        <v/>
      </c>
      <c r="P145" t="str">
        <f>IFERROR(LN('Дивиденды по годам'!I145),"")</f>
        <v/>
      </c>
      <c r="Q145" t="str">
        <f>IFERROR('Дивиденды по годам'!G145/'Дивиденды по годам'!I145, "")</f>
        <v/>
      </c>
      <c r="R145" t="str">
        <f>IFERROR(IF(AND('Дивиденды по годам'!N145&lt;&gt;"",'Дивиденды по годам'!U145&lt;&gt;"",'Дивиденды по годам'!U145&lt;&gt;0),'Дивиденды по годам'!N145/'Дивиденды по годам'!U145-1,""),"")</f>
        <v/>
      </c>
      <c r="S145" t="str">
        <f>IFERROR(IF(AND('Дивиденды по годам'!L145&lt;&gt;"",'Дивиденды по годам'!I145&lt;&gt;"",'Дивиденды по годам'!J145&lt;&gt;"",'Дивиденды по годам'!K145&lt;&gt;"",('Дивиденды по годам'!I145-'Дивиденды по годам'!J145-'Дивиденды по годам'!K145)&lt;&gt;0),'Дивиденды по годам'!L145/('Дивиденды по годам'!I145-'Дивиденды по годам'!J145-'Дивиденды по годам'!K145),""),"")</f>
        <v/>
      </c>
      <c r="T145" t="str">
        <f>IFERROR(IF(AND('Дивиденды по годам'!Q145&lt;&gt;"",'Дивиденды по годам'!I145&lt;&gt;"",'Дивиденды по годам'!V145&lt;&gt;"",('Дивиденды по годам'!I145+'Дивиденды по годам'!V145)&lt;&gt;0),'Дивиденды по годам'!Q145/(('Дивиденды по годам'!I145+'Дивиденды по годам'!V145)/2),""),"")</f>
        <v/>
      </c>
      <c r="U145" t="str">
        <f>IFERROR(IF(AND('Дивиденды по годам'!J145&lt;&gt;"",'Дивиденды по годам'!K145&lt;&gt;"",'Дивиденды по годам'!M145&lt;&gt;"",'Дивиденды по годам'!M145&lt;&gt;0),('Дивиденды по годам'!J145+'Дивиденды по годам'!K145)/'Дивиденды по годам'!M145,""),"")</f>
        <v/>
      </c>
      <c r="V145" t="str">
        <f>IFERROR(IF(AND('Дивиденды по годам'!J145&lt;&gt;"",'Дивиденды по годам'!K145&lt;&gt;"",'Дивиденды по годам'!M145&lt;&gt;"",'Дивиденды по годам'!I145&lt;&gt;0),('Дивиденды по годам'!J145+'Дивиденды по годам'!K145)/'Дивиденды по годам'!I145,""),"")</f>
        <v/>
      </c>
      <c r="W145" t="str">
        <f>IFERROR('Дивиденды по годам'!I145,"")</f>
        <v/>
      </c>
      <c r="X145" cm="1">
        <f t="array" ref="X145">IFERROR(AVERAGE(_xlfn._xlws.FILTER(P$2:P$1073,($C$2:$C$1073=$C145)*($E$2:$E$1073=$E145)*(ROW(P$2:P$1073)&lt;&gt;ROW(P145))*(P$2:P$1073&lt;&gt;""))),"")</f>
        <v>24.730948088520865</v>
      </c>
      <c r="Y145" cm="1">
        <f t="array" ref="Y145">IFERROR(AVERAGE(_xlfn._xlws.FILTER(Q$2:Q$1073,($C$2:$C$1073=$C145)*($E$2:$E$1073=$E145)*(ROW(Q$2:Q$1073)&lt;&gt;ROW(Q145))*(Q$2:Q$1073&lt;&gt;""))),"")</f>
        <v>0.82035195639515091</v>
      </c>
      <c r="Z145" t="str" cm="1">
        <f t="array" ref="Z145">IFERROR(AVERAGE(_xlfn._xlws.FILTER(R$2:R$1073,($C$2:$C$1073=$C145)*($E$2:$E$1073=$E145)*(ROW(R$2:R$1073)&lt;&gt;ROW(R145))*(R$2:R$1073&lt;&gt;""))),"")</f>
        <v/>
      </c>
      <c r="AA145" t="str" cm="1">
        <f t="array" ref="AA145">IFERROR(AVERAGE(_xlfn._xlws.FILTER(S$2:S$1073,($C$2:$C$1073=$C145)*($E$2:$E$1073=$E145)*(ROW(S$2:S$1073)&lt;&gt;ROW(S145))*(S$2:S$1073&lt;&gt;""))),"")</f>
        <v/>
      </c>
      <c r="AB145" t="str" cm="1">
        <f t="array" ref="AB145">IFERROR(AVERAGE(_xlfn._xlws.FILTER(T$2:T$1073,($C$2:$C$1073=$C145)*($E$2:$E$1073=$E145)*(ROW(T$2:T$1073)&lt;&gt;ROW(T145))*(T$2:T$1073&lt;&gt;""))),"")</f>
        <v/>
      </c>
      <c r="AC145" cm="1">
        <f t="array" ref="AC145">IFERROR(AVERAGE(_xlfn._xlws.FILTER(U$2:U$1073,($C$2:$C$1073=$C145)*($E$2:$E$1073=$E145)*(ROW(U$2:U$1073)&lt;&gt;ROW(U145))*(U$2:U$1073&lt;&gt;""))),"")</f>
        <v>0.91314375247969903</v>
      </c>
      <c r="AD145" cm="1">
        <f t="array" ref="AD145">IFERROR(AVERAGE(_xlfn._xlws.FILTER(V$2:V$1073,($C$2:$C$1073=$C145)*($E$2:$E$1073=$E145)*(ROW(V$2:V$1073)&lt;&gt;ROW(V145))*(V$2:V$1073&lt;&gt;""))),"")</f>
        <v>0.47730012514539921</v>
      </c>
      <c r="AE145">
        <f>IF('Дивиденды по годам'!M145&lt;0,1,0)</f>
        <v>0</v>
      </c>
    </row>
    <row r="146" spans="1:31" x14ac:dyDescent="0.2">
      <c r="A146" s="7" t="s">
        <v>2196</v>
      </c>
      <c r="B146" t="str">
        <f t="shared" si="22"/>
        <v>HYDR IV кв. 2025</v>
      </c>
      <c r="C146">
        <v>2025</v>
      </c>
      <c r="D146">
        <f>SUMIFS(Дивиденды!$C:$C,Дивиденды!$A:$A,A146,Дивиденды!$I:$I,C146)</f>
        <v>0</v>
      </c>
      <c r="E146">
        <v>2</v>
      </c>
      <c r="F146">
        <f t="shared" si="23"/>
        <v>0</v>
      </c>
      <c r="G146">
        <f t="shared" si="24"/>
        <v>0</v>
      </c>
      <c r="H146">
        <f t="shared" si="25"/>
        <v>0</v>
      </c>
      <c r="I146">
        <f t="shared" si="26"/>
        <v>0</v>
      </c>
      <c r="J146">
        <f t="shared" si="27"/>
        <v>0</v>
      </c>
      <c r="K146">
        <f t="shared" si="32"/>
        <v>-0.58333333333333337</v>
      </c>
      <c r="L146">
        <f t="shared" si="28"/>
        <v>0</v>
      </c>
      <c r="M146">
        <f t="shared" si="29"/>
        <v>0</v>
      </c>
      <c r="N146">
        <f t="shared" si="30"/>
        <v>0</v>
      </c>
      <c r="O146">
        <f t="shared" si="31"/>
        <v>0.58333333333333337</v>
      </c>
      <c r="P146">
        <f>IFERROR(LN('Дивиденды по годам'!I146),"")</f>
        <v>28.194093209665876</v>
      </c>
      <c r="Q146">
        <f>IFERROR('Дивиденды по годам'!G146/'Дивиденды по годам'!I146, "")</f>
        <v>0.78176018003950898</v>
      </c>
      <c r="R146">
        <f>IFERROR(IF(AND('Дивиденды по годам'!N146&lt;&gt;"",'Дивиденды по годам'!U146&lt;&gt;"",'Дивиденды по годам'!U146&lt;&gt;0),'Дивиденды по годам'!N146/'Дивиденды по годам'!U146-1,""),"")</f>
        <v>0.14479568553526367</v>
      </c>
      <c r="S146">
        <f>IFERROR(IF(AND('Дивиденды по годам'!L146&lt;&gt;"",'Дивиденды по годам'!I146&lt;&gt;"",'Дивиденды по годам'!J146&lt;&gt;"",'Дивиденды по годам'!K146&lt;&gt;"",('Дивиденды по годам'!I146-'Дивиденды по годам'!J146-'Дивиденды по годам'!K146)&lt;&gt;0),'Дивиденды по годам'!L146/('Дивиденды по годам'!I146-'Дивиденды по годам'!J146-'Дивиденды по годам'!K146),""),"")</f>
        <v>0.30463634515977278</v>
      </c>
      <c r="T146">
        <f>IFERROR(IF(AND('Дивиденды по годам'!Q146&lt;&gt;"",'Дивиденды по годам'!I146&lt;&gt;"",'Дивиденды по годам'!V146&lt;&gt;"",('Дивиденды по годам'!I146+'Дивиденды по годам'!V146)&lt;&gt;0),'Дивиденды по годам'!Q146/(('Дивиденды по годам'!I146+'Дивиденды по годам'!V146)/2),""),"")</f>
        <v>7.5494483775499388E-2</v>
      </c>
      <c r="U146">
        <f>IFERROR(IF(AND('Дивиденды по годам'!J146&lt;&gt;"",'Дивиденды по годам'!K146&lt;&gt;"",'Дивиденды по годам'!M146&lt;&gt;"",'Дивиденды по годам'!M146&lt;&gt;0),('Дивиденды по годам'!J146+'Дивиденды по годам'!K146)/'Дивиденды по годам'!M146,""),"")</f>
        <v>1.4958448989685798</v>
      </c>
      <c r="V146">
        <f>IFERROR(IF(AND('Дивиденды по годам'!J146&lt;&gt;"",'Дивиденды по годам'!K146&lt;&gt;"",'Дивиденды по годам'!M146&lt;&gt;"",'Дивиденды по годам'!I146&lt;&gt;0),('Дивиденды по годам'!J146+'Дивиденды по годам'!K146)/'Дивиденды по годам'!I146,""),"")</f>
        <v>0.59933407704410846</v>
      </c>
      <c r="W146">
        <f>IFERROR('Дивиденды по годам'!I146,"")</f>
        <v>1756059000000</v>
      </c>
      <c r="X146" cm="1">
        <f t="array" ref="X146">IFERROR(AVERAGE(_xlfn._xlws.FILTER(P$2:P$1073,($C$2:$C$1073=$C146)*($E$2:$E$1073=$E146)*(ROW(P$2:P$1073)&lt;&gt;ROW(P146))*(P$2:P$1073&lt;&gt;""))),"")</f>
        <v>26.349322203397424</v>
      </c>
      <c r="Y146" cm="1">
        <f t="array" ref="Y146">IFERROR(AVERAGE(_xlfn._xlws.FILTER(Q$2:Q$1073,($C$2:$C$1073=$C146)*($E$2:$E$1073=$E146)*(ROW(Q$2:Q$1073)&lt;&gt;ROW(Q146))*(Q$2:Q$1073&lt;&gt;""))),"")</f>
        <v>0.66271670198691091</v>
      </c>
      <c r="Z146" cm="1">
        <f t="array" ref="Z146">IFERROR(AVERAGE(_xlfn._xlws.FILTER(R$2:R$1073,($C$2:$C$1073=$C146)*($E$2:$E$1073=$E146)*(ROW(R$2:R$1073)&lt;&gt;ROW(R146))*(R$2:R$1073&lt;&gt;""))),"")</f>
        <v>0.18117345367621293</v>
      </c>
      <c r="AA146" cm="1">
        <f t="array" ref="AA146">IFERROR(AVERAGE(_xlfn._xlws.FILTER(S$2:S$1073,($C$2:$C$1073=$C146)*($E$2:$E$1073=$E146)*(ROW(S$2:S$1073)&lt;&gt;ROW(S146))*(S$2:S$1073&lt;&gt;""))),"")</f>
        <v>0.83139860997459003</v>
      </c>
      <c r="AB146" cm="1">
        <f t="array" ref="AB146">IFERROR(AVERAGE(_xlfn._xlws.FILTER(T$2:T$1073,($C$2:$C$1073=$C146)*($E$2:$E$1073=$E146)*(ROW(T$2:T$1073)&lt;&gt;ROW(T146))*(T$2:T$1073&lt;&gt;""))),"")</f>
        <v>0.10699890786923465</v>
      </c>
      <c r="AC146" cm="1">
        <f t="array" ref="AC146">IFERROR(AVERAGE(_xlfn._xlws.FILTER(U$2:U$1073,($C$2:$C$1073=$C146)*($E$2:$E$1073=$E146)*(ROW(U$2:U$1073)&lt;&gt;ROW(U146))*(U$2:U$1073&lt;&gt;""))),"")</f>
        <v>0.80270949195299346</v>
      </c>
      <c r="AD146" cm="1">
        <f t="array" ref="AD146">IFERROR(AVERAGE(_xlfn._xlws.FILTER(V$2:V$1073,($C$2:$C$1073=$C146)*($E$2:$E$1073=$E146)*(ROW(V$2:V$1073)&lt;&gt;ROW(V146))*(V$2:V$1073&lt;&gt;""))),"")</f>
        <v>0.40728085531657987</v>
      </c>
      <c r="AE146">
        <f>IF('Дивиденды по годам'!M146&lt;0,1,0)</f>
        <v>0</v>
      </c>
    </row>
    <row r="147" spans="1:31" x14ac:dyDescent="0.2">
      <c r="A147" s="7" t="s">
        <v>2196</v>
      </c>
      <c r="B147" t="str">
        <f t="shared" si="22"/>
        <v>HYDR IV кв. 2024</v>
      </c>
      <c r="C147">
        <v>2024</v>
      </c>
      <c r="D147">
        <f>SUMIFS(Дивиденды!$C:$C,Дивиденды!$A:$A,A147,Дивиденды!$I:$I,C147)</f>
        <v>0</v>
      </c>
      <c r="E147">
        <v>2</v>
      </c>
      <c r="F147">
        <f t="shared" si="23"/>
        <v>0</v>
      </c>
      <c r="G147">
        <f t="shared" si="24"/>
        <v>6.3399999999999998E-2</v>
      </c>
      <c r="H147">
        <f t="shared" si="25"/>
        <v>0</v>
      </c>
      <c r="I147">
        <f t="shared" si="26"/>
        <v>0.58333333333333337</v>
      </c>
      <c r="J147">
        <f t="shared" si="27"/>
        <v>0</v>
      </c>
      <c r="K147">
        <f t="shared" si="32"/>
        <v>8.6160653443004165E-2</v>
      </c>
      <c r="L147">
        <f t="shared" si="28"/>
        <v>0</v>
      </c>
      <c r="M147">
        <f t="shared" si="29"/>
        <v>0.58333333333333337</v>
      </c>
      <c r="N147">
        <f t="shared" si="30"/>
        <v>0</v>
      </c>
      <c r="O147">
        <f t="shared" si="31"/>
        <v>8.3333333333333329E-2</v>
      </c>
      <c r="P147">
        <f>IFERROR(LN('Дивиденды по годам'!I147),"")</f>
        <v>27.942711664563724</v>
      </c>
      <c r="Q147">
        <f>IFERROR('Дивиденды по годам'!G147/'Дивиденды по годам'!I147, "")</f>
        <v>0.74829908063953987</v>
      </c>
      <c r="R147">
        <f>IFERROR(IF(AND('Дивиденды по годам'!N147&lt;&gt;"",'Дивиденды по годам'!U147&lt;&gt;"",'Дивиденды по годам'!U147&lt;&gt;0),'Дивиденды по годам'!N147/'Дивиденды по годам'!U147-1,""),"")</f>
        <v>0.1361720472248078</v>
      </c>
      <c r="S147">
        <f>IFERROR(IF(AND('Дивиденды по годам'!L147&lt;&gt;"",'Дивиденды по годам'!I147&lt;&gt;"",'Дивиденды по годам'!J147&lt;&gt;"",'Дивиденды по годам'!K147&lt;&gt;"",('Дивиденды по годам'!I147-'Дивиденды по годам'!J147-'Дивиденды по годам'!K147)&lt;&gt;0),'Дивиденды по годам'!L147/('Дивиденды по годам'!I147-'Дивиденды по годам'!J147-'Дивиденды по годам'!K147),""),"")</f>
        <v>0.16907624072276969</v>
      </c>
      <c r="T147">
        <f>IFERROR(IF(AND('Дивиденды по годам'!Q147&lt;&gt;"",'Дивиденды по годам'!I147&lt;&gt;"",'Дивиденды по годам'!V147&lt;&gt;"",('Дивиденды по годам'!I147+'Дивиденды по годам'!V147)&lt;&gt;0),'Дивиденды по годам'!Q147/(('Дивиденды по годам'!I147+'Дивиденды по годам'!V147)/2),""),"")</f>
        <v>-4.8347782782001393E-2</v>
      </c>
      <c r="U147">
        <f>IFERROR(IF(AND('Дивиденды по годам'!J147&lt;&gt;"",'Дивиденды по годам'!K147&lt;&gt;"",'Дивиденды по годам'!M147&lt;&gt;"",'Дивиденды по годам'!M147&lt;&gt;0),('Дивиденды по годам'!J147+'Дивиденды по годам'!K147)/'Дивиденды по годам'!M147,""),"")</f>
        <v>1.3333720596476362</v>
      </c>
      <c r="V147">
        <f>IFERROR(IF(AND('Дивиденды по годам'!J147&lt;&gt;"",'Дивиденды по годам'!K147&lt;&gt;"",'Дивиденды по годам'!M147&lt;&gt;"",'Дивиденды по годам'!I147&lt;&gt;0),('Дивиденды по годам'!J147+'Дивиденды по годам'!K147)/'Дивиденды по годам'!I147,""),"")</f>
        <v>0.57143568430702363</v>
      </c>
      <c r="W147">
        <f>IFERROR('Дивиденды по годам'!I147,"")</f>
        <v>1365732000000</v>
      </c>
      <c r="X147" cm="1">
        <f t="array" ref="X147">IFERROR(AVERAGE(_xlfn._xlws.FILTER(P$2:P$1073,($C$2:$C$1073=$C147)*($E$2:$E$1073=$E147)*(ROW(P$2:P$1073)&lt;&gt;ROW(P147))*(P$2:P$1073&lt;&gt;""))),"")</f>
        <v>26.373610220556998</v>
      </c>
      <c r="Y147" cm="1">
        <f t="array" ref="Y147">IFERROR(AVERAGE(_xlfn._xlws.FILTER(Q$2:Q$1073,($C$2:$C$1073=$C147)*($E$2:$E$1073=$E147)*(ROW(Q$2:Q$1073)&lt;&gt;ROW(Q147))*(Q$2:Q$1073&lt;&gt;""))),"")</f>
        <v>0.68238390902358026</v>
      </c>
      <c r="Z147" cm="1">
        <f t="array" ref="Z147">IFERROR(AVERAGE(_xlfn._xlws.FILTER(R$2:R$1073,($C$2:$C$1073=$C147)*($E$2:$E$1073=$E147)*(ROW(R$2:R$1073)&lt;&gt;ROW(R147))*(R$2:R$1073&lt;&gt;""))),"")</f>
        <v>9.5243684996871567E-2</v>
      </c>
      <c r="AA147" cm="1">
        <f t="array" ref="AA147">IFERROR(AVERAGE(_xlfn._xlws.FILTER(S$2:S$1073,($C$2:$C$1073=$C147)*($E$2:$E$1073=$E147)*(ROW(S$2:S$1073)&lt;&gt;ROW(S147))*(S$2:S$1073&lt;&gt;""))),"")</f>
        <v>0.6067938489328587</v>
      </c>
      <c r="AB147" cm="1">
        <f t="array" ref="AB147">IFERROR(AVERAGE(_xlfn._xlws.FILTER(T$2:T$1073,($C$2:$C$1073=$C147)*($E$2:$E$1073=$E147)*(ROW(T$2:T$1073)&lt;&gt;ROW(T147))*(T$2:T$1073&lt;&gt;""))),"")</f>
        <v>6.9060210431036648E-2</v>
      </c>
      <c r="AC147" cm="1">
        <f t="array" ref="AC147">IFERROR(AVERAGE(_xlfn._xlws.FILTER(U$2:U$1073,($C$2:$C$1073=$C147)*($E$2:$E$1073=$E147)*(ROW(U$2:U$1073)&lt;&gt;ROW(U147))*(U$2:U$1073&lt;&gt;""))),"")</f>
        <v>0.88740495423289734</v>
      </c>
      <c r="AD147" cm="1">
        <f t="array" ref="AD147">IFERROR(AVERAGE(_xlfn._xlws.FILTER(V$2:V$1073,($C$2:$C$1073=$C147)*($E$2:$E$1073=$E147)*(ROW(V$2:V$1073)&lt;&gt;ROW(V147))*(V$2:V$1073&lt;&gt;""))),"")</f>
        <v>0.43825028674508204</v>
      </c>
      <c r="AE147">
        <f>IF('Дивиденды по годам'!M147&lt;0,1,0)</f>
        <v>0</v>
      </c>
    </row>
    <row r="148" spans="1:31" x14ac:dyDescent="0.2">
      <c r="A148" s="7" t="s">
        <v>2196</v>
      </c>
      <c r="B148" t="str">
        <f t="shared" si="22"/>
        <v>HYDR IV кв. 2023</v>
      </c>
      <c r="C148">
        <v>2023</v>
      </c>
      <c r="D148">
        <f>SUMIFS(Дивиденды!$C:$C,Дивиденды!$A:$A,A148,Дивиденды!$I:$I,C148)</f>
        <v>0</v>
      </c>
      <c r="E148">
        <v>2</v>
      </c>
      <c r="F148">
        <f t="shared" si="23"/>
        <v>0</v>
      </c>
      <c r="G148">
        <f t="shared" si="24"/>
        <v>6.6299999999999998E-2</v>
      </c>
      <c r="H148">
        <f t="shared" si="25"/>
        <v>0</v>
      </c>
      <c r="I148">
        <f t="shared" si="26"/>
        <v>0.58333333333333337</v>
      </c>
      <c r="J148">
        <f t="shared" si="27"/>
        <v>-1</v>
      </c>
      <c r="K148">
        <f t="shared" si="32"/>
        <v>0.20036657596898766</v>
      </c>
      <c r="L148">
        <f t="shared" si="28"/>
        <v>0</v>
      </c>
      <c r="M148">
        <f t="shared" si="29"/>
        <v>0.5</v>
      </c>
      <c r="N148">
        <f t="shared" si="30"/>
        <v>1</v>
      </c>
      <c r="O148">
        <f t="shared" si="31"/>
        <v>0.16666666666666666</v>
      </c>
      <c r="P148">
        <f>IFERROR(LN('Дивиденды по годам'!I148),"")</f>
        <v>27.783186683867189</v>
      </c>
      <c r="Q148">
        <f>IFERROR('Дивиденды по годам'!G148/'Дивиденды по годам'!I148, "")</f>
        <v>0.79098778463232366</v>
      </c>
      <c r="R148">
        <f>IFERROR(IF(AND('Дивиденды по годам'!N148&lt;&gt;"",'Дивиденды по годам'!U148&lt;&gt;"",'Дивиденды по годам'!U148&lt;&gt;0),'Дивиденды по годам'!N148/'Дивиденды по годам'!U148-1,""),"")</f>
        <v>0.21924560037079699</v>
      </c>
      <c r="S148">
        <f>IFERROR(IF(AND('Дивиденды по годам'!L148&lt;&gt;"",'Дивиденды по годам'!I148&lt;&gt;"",'Дивиденды по годам'!J148&lt;&gt;"",'Дивиденды по годам'!K148&lt;&gt;"",('Дивиденды по годам'!I148-'Дивиденды по годам'!J148-'Дивиденды по годам'!K148)&lt;&gt;0),'Дивиденды по годам'!L148/('Дивиденды по годам'!I148-'Дивиденды по годам'!J148-'Дивиденды по годам'!K148),""),"")</f>
        <v>0.23403615578232137</v>
      </c>
      <c r="T148">
        <f>IFERROR(IF(AND('Дивиденды по годам'!Q148&lt;&gt;"",'Дивиденды по годам'!I148&lt;&gt;"",'Дивиденды по годам'!V148&lt;&gt;"",('Дивиденды по годам'!I148+'Дивиденды по годам'!V148)&lt;&gt;0),'Дивиденды по годам'!Q148/(('Дивиденды по годам'!I148+'Дивиденды по годам'!V148)/2),""),"")</f>
        <v>2.9756881348328563E-2</v>
      </c>
      <c r="U148">
        <f>IFERROR(IF(AND('Дивиденды по годам'!J148&lt;&gt;"",'Дивиденды по годам'!K148&lt;&gt;"",'Дивиденды по годам'!M148&lt;&gt;"",'Дивиденды по годам'!M148&lt;&gt;0),('Дивиденды по годам'!J148+'Дивиденды по годам'!K148)/'Дивиденды по годам'!M148,""),"")</f>
        <v>0.8046164957657066</v>
      </c>
      <c r="V148">
        <f>IFERROR(IF(AND('Дивиденды по годам'!J148&lt;&gt;"",'Дивиденды по годам'!K148&lt;&gt;"",'Дивиденды по годам'!M148&lt;&gt;"",'Дивиденды по годам'!I148&lt;&gt;0),('Дивиденды по годам'!J148+'Дивиденды по годам'!K148)/'Дивиденды по годам'!I148,""),"")</f>
        <v>0.44586564383825178</v>
      </c>
      <c r="W148">
        <f>IFERROR('Дивиденды по годам'!I148,"")</f>
        <v>1164353000000</v>
      </c>
      <c r="X148" cm="1">
        <f t="array" ref="X148">IFERROR(AVERAGE(_xlfn._xlws.FILTER(P$2:P$1073,($C$2:$C$1073=$C148)*($E$2:$E$1073=$E148)*(ROW(P$2:P$1073)&lt;&gt;ROW(P148))*(P$2:P$1073&lt;&gt;""))),"")</f>
        <v>26.260584543922107</v>
      </c>
      <c r="Y148" cm="1">
        <f t="array" ref="Y148">IFERROR(AVERAGE(_xlfn._xlws.FILTER(Q$2:Q$1073,($C$2:$C$1073=$C148)*($E$2:$E$1073=$E148)*(ROW(Q$2:Q$1073)&lt;&gt;ROW(Q148))*(Q$2:Q$1073&lt;&gt;""))),"")</f>
        <v>0.69984136509657113</v>
      </c>
      <c r="Z148" cm="1">
        <f t="array" ref="Z148">IFERROR(AVERAGE(_xlfn._xlws.FILTER(R$2:R$1073,($C$2:$C$1073=$C148)*($E$2:$E$1073=$E148)*(ROW(R$2:R$1073)&lt;&gt;ROW(R148))*(R$2:R$1073&lt;&gt;""))),"")</f>
        <v>0.13099611328816188</v>
      </c>
      <c r="AA148" cm="1">
        <f t="array" ref="AA148">IFERROR(AVERAGE(_xlfn._xlws.FILTER(S$2:S$1073,($C$2:$C$1073=$C148)*($E$2:$E$1073=$E148)*(ROW(S$2:S$1073)&lt;&gt;ROW(S148))*(S$2:S$1073&lt;&gt;""))),"")</f>
        <v>0.57464348558231793</v>
      </c>
      <c r="AB148" cm="1">
        <f t="array" ref="AB148">IFERROR(AVERAGE(_xlfn._xlws.FILTER(T$2:T$1073,($C$2:$C$1073=$C148)*($E$2:$E$1073=$E148)*(ROW(T$2:T$1073)&lt;&gt;ROW(T148))*(T$2:T$1073&lt;&gt;""))),"")</f>
        <v>8.0945153092811417E-2</v>
      </c>
      <c r="AC148" cm="1">
        <f t="array" ref="AC148">IFERROR(AVERAGE(_xlfn._xlws.FILTER(U$2:U$1073,($C$2:$C$1073=$C148)*($E$2:$E$1073=$E148)*(ROW(U$2:U$1073)&lt;&gt;ROW(U148))*(U$2:U$1073&lt;&gt;""))),"")</f>
        <v>0.82605736830535204</v>
      </c>
      <c r="AD148" cm="1">
        <f t="array" ref="AD148">IFERROR(AVERAGE(_xlfn._xlws.FILTER(V$2:V$1073,($C$2:$C$1073=$C148)*($E$2:$E$1073=$E148)*(ROW(V$2:V$1073)&lt;&gt;ROW(V148))*(V$2:V$1073&lt;&gt;""))),"")</f>
        <v>0.42241417825059768</v>
      </c>
      <c r="AE148">
        <f>IF('Дивиденды по годам'!M148&lt;0,1,0)</f>
        <v>0</v>
      </c>
    </row>
    <row r="149" spans="1:31" x14ac:dyDescent="0.2">
      <c r="A149" s="7" t="s">
        <v>2196</v>
      </c>
      <c r="B149" t="str">
        <f t="shared" si="22"/>
        <v>HYDR IV кв. 2022</v>
      </c>
      <c r="C149">
        <v>2022</v>
      </c>
      <c r="D149">
        <f>SUMIFS(Дивиденды!$C:$C,Дивиденды!$A:$A,A149,Дивиденды!$I:$I,C149)</f>
        <v>5.0299999999999997E-2</v>
      </c>
      <c r="E149">
        <v>2</v>
      </c>
      <c r="F149">
        <f t="shared" si="23"/>
        <v>5.0299999999999997E-2</v>
      </c>
      <c r="G149">
        <f t="shared" si="24"/>
        <v>6.0540000000000004E-2</v>
      </c>
      <c r="H149">
        <f t="shared" si="25"/>
        <v>1</v>
      </c>
      <c r="I149">
        <f t="shared" si="26"/>
        <v>0.58333333333333337</v>
      </c>
      <c r="J149">
        <f t="shared" si="27"/>
        <v>-5.0943396226415118E-2</v>
      </c>
      <c r="K149">
        <f t="shared" si="32"/>
        <v>-0.15739657857487246</v>
      </c>
      <c r="L149">
        <f t="shared" si="28"/>
        <v>0</v>
      </c>
      <c r="M149">
        <f t="shared" si="29"/>
        <v>0.33333333333333331</v>
      </c>
      <c r="N149">
        <f t="shared" si="30"/>
        <v>1</v>
      </c>
      <c r="O149">
        <f t="shared" si="31"/>
        <v>0.41666666666666669</v>
      </c>
      <c r="P149">
        <f>IFERROR(LN('Дивиденды по годам'!I149),"")</f>
        <v>27.62439923961966</v>
      </c>
      <c r="Q149">
        <f>IFERROR('Дивиденды по годам'!G149/'Дивиденды по годам'!I149, "")</f>
        <v>0.77685625125830482</v>
      </c>
      <c r="R149">
        <f>IFERROR(IF(AND('Дивиденды по годам'!N149&lt;&gt;"",'Дивиденды по годам'!U149&lt;&gt;"",'Дивиденды по годам'!U149&lt;&gt;0),'Дивиденды по годам'!N149/'Дивиденды по годам'!U149-1,""),"")</f>
        <v>3.0847246406080275E-2</v>
      </c>
      <c r="S149">
        <f>IFERROR(IF(AND('Дивиденды по годам'!L149&lt;&gt;"",'Дивиденды по годам'!I149&lt;&gt;"",'Дивиденды по годам'!J149&lt;&gt;"",'Дивиденды по годам'!K149&lt;&gt;"",('Дивиденды по годам'!I149-'Дивиденды по годам'!J149-'Дивиденды по годам'!K149)&lt;&gt;0),'Дивиденды по годам'!L149/('Дивиденды по годам'!I149-'Дивиденды по годам'!J149-'Дивиденды по годам'!K149),""),"")</f>
        <v>0.22169310574095791</v>
      </c>
      <c r="T149">
        <f>IFERROR(IF(AND('Дивиденды по годам'!Q149&lt;&gt;"",'Дивиденды по годам'!I149&lt;&gt;"",'Дивиденды по годам'!V149&lt;&gt;"",('Дивиденды по годам'!I149+'Дивиденды по годам'!V149)&lt;&gt;0),'Дивиденды по годам'!Q149/(('Дивиденды по годам'!I149+'Дивиденды по годам'!V149)/2),""),"")</f>
        <v>2.0089537483230564E-2</v>
      </c>
      <c r="U149">
        <f>IFERROR(IF(AND('Дивиденды по годам'!J149&lt;&gt;"",'Дивиденды по годам'!K149&lt;&gt;"",'Дивиденды по годам'!M149&lt;&gt;"",'Дивиденды по годам'!M149&lt;&gt;0),('Дивиденды по годам'!J149+'Дивиденды по годам'!K149)/'Дивиденды по годам'!M149,""),"")</f>
        <v>0.57634748830116589</v>
      </c>
      <c r="V149">
        <f>IFERROR(IF(AND('Дивиденды по годам'!J149&lt;&gt;"",'Дивиденды по годам'!K149&lt;&gt;"",'Дивиденды по годам'!M149&lt;&gt;"",'Дивиденды по годам'!I149&lt;&gt;0),('Дивиденды по годам'!J149+'Дивиденды по годам'!K149)/'Дивиденды по годам'!I149,""),"")</f>
        <v>0.36562210589893296</v>
      </c>
      <c r="W149">
        <f>IFERROR('Дивиденды по годам'!I149,"")</f>
        <v>993400000000</v>
      </c>
      <c r="X149" cm="1">
        <f t="array" ref="X149">IFERROR(AVERAGE(_xlfn._xlws.FILTER(P$2:P$1073,($C$2:$C$1073=$C149)*($E$2:$E$1073=$E149)*(ROW(P$2:P$1073)&lt;&gt;ROW(P149))*(P$2:P$1073&lt;&gt;""))),"")</f>
        <v>26.165602742830401</v>
      </c>
      <c r="Y149" cm="1">
        <f t="array" ref="Y149">IFERROR(AVERAGE(_xlfn._xlws.FILTER(Q$2:Q$1073,($C$2:$C$1073=$C149)*($E$2:$E$1073=$E149)*(ROW(Q$2:Q$1073)&lt;&gt;ROW(Q149))*(Q$2:Q$1073&lt;&gt;""))),"")</f>
        <v>0.70049163451795082</v>
      </c>
      <c r="Z149" cm="1">
        <f t="array" ref="Z149">IFERROR(AVERAGE(_xlfn._xlws.FILTER(R$2:R$1073,($C$2:$C$1073=$C149)*($E$2:$E$1073=$E149)*(ROW(R$2:R$1073)&lt;&gt;ROW(R149))*(R$2:R$1073&lt;&gt;""))),"")</f>
        <v>7.8955358469936635E-2</v>
      </c>
      <c r="AA149" cm="1">
        <f t="array" ref="AA149">IFERROR(AVERAGE(_xlfn._xlws.FILTER(S$2:S$1073,($C$2:$C$1073=$C149)*($E$2:$E$1073=$E149)*(ROW(S$2:S$1073)&lt;&gt;ROW(S149))*(S$2:S$1073&lt;&gt;""))),"")</f>
        <v>0.54754360730014551</v>
      </c>
      <c r="AB149" cm="1">
        <f t="array" ref="AB149">IFERROR(AVERAGE(_xlfn._xlws.FILTER(T$2:T$1073,($C$2:$C$1073=$C149)*($E$2:$E$1073=$E149)*(ROW(T$2:T$1073)&lt;&gt;ROW(T149))*(T$2:T$1073&lt;&gt;""))),"")</f>
        <v>1.1563875534705016E-2</v>
      </c>
      <c r="AC149" cm="1">
        <f t="array" ref="AC149">IFERROR(AVERAGE(_xlfn._xlws.FILTER(U$2:U$1073,($C$2:$C$1073=$C149)*($E$2:$E$1073=$E149)*(ROW(U$2:U$1073)&lt;&gt;ROW(U149))*(U$2:U$1073&lt;&gt;""))),"")</f>
        <v>0.94621664224393576</v>
      </c>
      <c r="AD149" cm="1">
        <f t="array" ref="AD149">IFERROR(AVERAGE(_xlfn._xlws.FILTER(V$2:V$1073,($C$2:$C$1073=$C149)*($E$2:$E$1073=$E149)*(ROW(V$2:V$1073)&lt;&gt;ROW(V149))*(V$2:V$1073&lt;&gt;""))),"")</f>
        <v>0.45017369331935136</v>
      </c>
      <c r="AE149">
        <f>IF('Дивиденды по годам'!M149&lt;0,1,0)</f>
        <v>0</v>
      </c>
    </row>
    <row r="150" spans="1:31" x14ac:dyDescent="0.2">
      <c r="A150" s="7" t="s">
        <v>2196</v>
      </c>
      <c r="B150" t="str">
        <f t="shared" si="22"/>
        <v>HYDR IV кв. 2021</v>
      </c>
      <c r="C150">
        <v>2021</v>
      </c>
      <c r="D150">
        <f>SUMIFS(Дивиденды!$C:$C,Дивиденды!$A:$A,A150,Дивиденды!$I:$I,C150)</f>
        <v>5.2999999999999999E-2</v>
      </c>
      <c r="E150">
        <v>2</v>
      </c>
      <c r="F150">
        <f t="shared" si="23"/>
        <v>5.2999999999999999E-2</v>
      </c>
      <c r="G150">
        <f t="shared" si="24"/>
        <v>7.7368583333333338E-2</v>
      </c>
      <c r="H150">
        <f t="shared" si="25"/>
        <v>1</v>
      </c>
      <c r="I150">
        <f t="shared" si="26"/>
        <v>0.75</v>
      </c>
      <c r="J150">
        <f t="shared" si="27"/>
        <v>0</v>
      </c>
      <c r="K150">
        <f t="shared" si="32"/>
        <v>0.16387618392405565</v>
      </c>
      <c r="L150">
        <f t="shared" si="28"/>
        <v>0</v>
      </c>
      <c r="M150">
        <f t="shared" si="29"/>
        <v>0.66666666666666663</v>
      </c>
      <c r="N150">
        <f t="shared" si="30"/>
        <v>0</v>
      </c>
      <c r="O150">
        <f t="shared" si="31"/>
        <v>0.25</v>
      </c>
      <c r="P150">
        <f>IFERROR(LN('Дивиденды по годам'!I150),"")</f>
        <v>27.55897394194778</v>
      </c>
      <c r="Q150">
        <f>IFERROR('Дивиденды по годам'!G150/'Дивиденды по годам'!I150, "")</f>
        <v>0.75461989259387829</v>
      </c>
      <c r="R150">
        <f>IFERROR(IF(AND('Дивиденды по годам'!N150&lt;&gt;"",'Дивиденды по годам'!U150&lt;&gt;"",'Дивиденды по годам'!U150&lt;&gt;0),'Дивиденды по годам'!N150/'Дивиденды по годам'!U150-1,""),"")</f>
        <v>6.0567592628870681E-2</v>
      </c>
      <c r="S150">
        <f>IFERROR(IF(AND('Дивиденды по годам'!L150&lt;&gt;"",'Дивиденды по годам'!I150&lt;&gt;"",'Дивиденды по годам'!J150&lt;&gt;"",'Дивиденды по годам'!K150&lt;&gt;"",('Дивиденды по годам'!I150-'Дивиденды по годам'!J150-'Дивиденды по годам'!K150)&lt;&gt;0),'Дивиденды по годам'!L150/('Дивиденды по годам'!I150-'Дивиденды по годам'!J150-'Дивиденды по годам'!K150),""),"")</f>
        <v>0.23162358803406038</v>
      </c>
      <c r="T150">
        <f>IFERROR(IF(AND('Дивиденды по годам'!Q150&lt;&gt;"",'Дивиденды по годам'!I150&lt;&gt;"",'Дивиденды по годам'!V150&lt;&gt;"",('Дивиденды по годам'!I150+'Дивиденды по годам'!V150)&lt;&gt;0),'Дивиденды по годам'!Q150/(('Дивиденды по годам'!I150+'Дивиденды по годам'!V150)/2),""),"")</f>
        <v>4.4942596135052082E-2</v>
      </c>
      <c r="U150">
        <f>IFERROR(IF(AND('Дивиденды по годам'!J150&lt;&gt;"",'Дивиденды по годам'!K150&lt;&gt;"",'Дивиденды по годам'!M150&lt;&gt;"",'Дивиденды по годам'!M150&lt;&gt;0),('Дивиденды по годам'!J150+'Дивиденды по годам'!K150)/'Дивиденды по годам'!M150,""),"")</f>
        <v>0.47848186947547722</v>
      </c>
      <c r="V150">
        <f>IFERROR(IF(AND('Дивиденды по годам'!J150&lt;&gt;"",'Дивиденды по годам'!K150&lt;&gt;"",'Дивиденды по годам'!M150&lt;&gt;"",'Дивиденды по годам'!I150&lt;&gt;0),('Дивиденды по годам'!J150+'Дивиденды по годам'!K150)/'Дивиденды по годам'!I150,""),"")</f>
        <v>0.32363052895956634</v>
      </c>
      <c r="W150">
        <f>IFERROR('Дивиденды по годам'!I150,"")</f>
        <v>930487000000</v>
      </c>
      <c r="X150" cm="1">
        <f t="array" ref="X150">IFERROR(AVERAGE(_xlfn._xlws.FILTER(P$2:P$1073,($C$2:$C$1073=$C150)*($E$2:$E$1073=$E150)*(ROW(P$2:P$1073)&lt;&gt;ROW(P150))*(P$2:P$1073&lt;&gt;""))),"")</f>
        <v>25.763489884765324</v>
      </c>
      <c r="Y150" cm="1">
        <f t="array" ref="Y150">IFERROR(AVERAGE(_xlfn._xlws.FILTER(Q$2:Q$1073,($C$2:$C$1073=$C150)*($E$2:$E$1073=$E150)*(ROW(Q$2:Q$1073)&lt;&gt;ROW(Q150))*(Q$2:Q$1073&lt;&gt;""))),"")</f>
        <v>0.7714979095479555</v>
      </c>
      <c r="Z150" cm="1">
        <f t="array" ref="Z150">IFERROR(AVERAGE(_xlfn._xlws.FILTER(R$2:R$1073,($C$2:$C$1073=$C150)*($E$2:$E$1073=$E150)*(ROW(R$2:R$1073)&lt;&gt;ROW(R150))*(R$2:R$1073&lt;&gt;""))),"")</f>
        <v>0.13334641123460397</v>
      </c>
      <c r="AA150" cm="1">
        <f t="array" ref="AA150">IFERROR(AVERAGE(_xlfn._xlws.FILTER(S$2:S$1073,($C$2:$C$1073=$C150)*($E$2:$E$1073=$E150)*(ROW(S$2:S$1073)&lt;&gt;ROW(S150))*(S$2:S$1073&lt;&gt;""))),"")</f>
        <v>0.52814543633779409</v>
      </c>
      <c r="AB150" cm="1">
        <f t="array" ref="AB150">IFERROR(AVERAGE(_xlfn._xlws.FILTER(T$2:T$1073,($C$2:$C$1073=$C150)*($E$2:$E$1073=$E150)*(ROW(T$2:T$1073)&lt;&gt;ROW(T150))*(T$2:T$1073&lt;&gt;""))),"")</f>
        <v>3.5583875326146423E-2</v>
      </c>
      <c r="AC150" cm="1">
        <f t="array" ref="AC150">IFERROR(AVERAGE(_xlfn._xlws.FILTER(U$2:U$1073,($C$2:$C$1073=$C150)*($E$2:$E$1073=$E150)*(ROW(U$2:U$1073)&lt;&gt;ROW(U150))*(U$2:U$1073&lt;&gt;""))),"")</f>
        <v>0.73844664557329298</v>
      </c>
      <c r="AD150" cm="1">
        <f t="array" ref="AD150">IFERROR(AVERAGE(_xlfn._xlws.FILTER(V$2:V$1073,($C$2:$C$1073=$C150)*($E$2:$E$1073=$E150)*(ROW(V$2:V$1073)&lt;&gt;ROW(V150))*(V$2:V$1073&lt;&gt;""))),"")</f>
        <v>0.3884424786634858</v>
      </c>
      <c r="AE150">
        <f>IF('Дивиденды по годам'!M150&lt;0,1,0)</f>
        <v>0</v>
      </c>
    </row>
    <row r="151" spans="1:31" x14ac:dyDescent="0.2">
      <c r="A151" s="7" t="s">
        <v>2196</v>
      </c>
      <c r="B151" t="str">
        <f t="shared" si="22"/>
        <v>HYDR IV кв. 2020</v>
      </c>
      <c r="C151">
        <v>2020</v>
      </c>
      <c r="D151">
        <f>SUMIFS(Дивиденды!$C:$C,Дивиденды!$A:$A,A151,Дивиденды!$I:$I,C151)</f>
        <v>5.2999999999999999E-2</v>
      </c>
      <c r="E151">
        <v>2</v>
      </c>
      <c r="F151">
        <f t="shared" si="23"/>
        <v>5.2999999999999999E-2</v>
      </c>
      <c r="G151">
        <f t="shared" si="24"/>
        <v>6.5489249999999999E-2</v>
      </c>
      <c r="H151">
        <f t="shared" si="25"/>
        <v>1</v>
      </c>
      <c r="I151">
        <f t="shared" si="26"/>
        <v>0.75</v>
      </c>
      <c r="J151">
        <f t="shared" si="27"/>
        <v>0.48459383753501384</v>
      </c>
      <c r="K151">
        <f t="shared" si="32"/>
        <v>-0.12600685149729704</v>
      </c>
      <c r="L151">
        <f t="shared" si="28"/>
        <v>1</v>
      </c>
      <c r="M151">
        <f t="shared" si="29"/>
        <v>0.5</v>
      </c>
      <c r="N151">
        <f t="shared" si="30"/>
        <v>0</v>
      </c>
      <c r="O151">
        <f t="shared" si="31"/>
        <v>0.5</v>
      </c>
      <c r="P151">
        <f>IFERROR(LN('Дивиденды по годам'!I151),"")</f>
        <v>27.57130826582193</v>
      </c>
      <c r="Q151">
        <f>IFERROR('Дивиденды по годам'!G151/'Дивиденды по годам'!I151, "")</f>
        <v>0.72465672719166485</v>
      </c>
      <c r="R151">
        <f>IFERROR(IF(AND('Дивиденды по годам'!N151&lt;&gt;"",'Дивиденды по годам'!U151&lt;&gt;"",'Дивиденды по годам'!U151&lt;&gt;0),'Дивиденды по годам'!N151/'Дивиденды по годам'!U151-1,""),"")</f>
        <v>4.4192972981818679E-2</v>
      </c>
      <c r="S151">
        <f>IFERROR(IF(AND('Дивиденды по годам'!L151&lt;&gt;"",'Дивиденды по годам'!I151&lt;&gt;"",'Дивиденды по годам'!J151&lt;&gt;"",'Дивиденды по годам'!K151&lt;&gt;"",('Дивиденды по годам'!I151-'Дивиденды по годам'!J151-'Дивиденды по годам'!K151)&lt;&gt;0),'Дивиденды по годам'!L151/('Дивиденды по годам'!I151-'Дивиденды по годам'!J151-'Дивиденды по годам'!K151),""),"")</f>
        <v>0.2064390580352744</v>
      </c>
      <c r="T151">
        <f>IFERROR(IF(AND('Дивиденды по годам'!Q151&lt;&gt;"",'Дивиденды по годам'!I151&lt;&gt;"",'Дивиденды по годам'!V151&lt;&gt;"",('Дивиденды по годам'!I151+'Дивиденды по годам'!V151)&lt;&gt;0),'Дивиденды по годам'!Q151/(('Дивиденды по годам'!I151+'Дивиденды по годам'!V151)/2),""),"")</f>
        <v>4.9923037949735266E-2</v>
      </c>
      <c r="U151">
        <f>IFERROR(IF(AND('Дивиденды по годам'!J151&lt;&gt;"",'Дивиденды по годам'!K151&lt;&gt;"",'Дивиденды по годам'!M151&lt;&gt;"",'Дивиденды по годам'!M151&lt;&gt;0),('Дивиденды по годам'!J151+'Дивиденды по годам'!K151)/'Дивиденды по годам'!M151,""),"")</f>
        <v>0.54700791539396332</v>
      </c>
      <c r="V151">
        <f>IFERROR(IF(AND('Дивиденды по годам'!J151&lt;&gt;"",'Дивиденды по годам'!K151&lt;&gt;"",'Дивиденды по годам'!M151&lt;&gt;"",'Дивиденды по годам'!I151&lt;&gt;0),('Дивиденды по годам'!J151+'Дивиденды по годам'!K151)/'Дивиденды по годам'!I151,""),"")</f>
        <v>0.35359089630427742</v>
      </c>
      <c r="W151">
        <f>IFERROR('Дивиденды по годам'!I151,"")</f>
        <v>942035000000</v>
      </c>
      <c r="X151" cm="1">
        <f t="array" ref="X151">IFERROR(AVERAGE(_xlfn._xlws.FILTER(P$2:P$1073,($C$2:$C$1073=$C151)*($E$2:$E$1073=$E151)*(ROW(P$2:P$1073)&lt;&gt;ROW(P151))*(P$2:P$1073&lt;&gt;""))),"")</f>
        <v>26.05660975618181</v>
      </c>
      <c r="Y151" cm="1">
        <f t="array" ref="Y151">IFERROR(AVERAGE(_xlfn._xlws.FILTER(Q$2:Q$1073,($C$2:$C$1073=$C151)*($E$2:$E$1073=$E151)*(ROW(Q$2:Q$1073)&lt;&gt;ROW(Q151))*(Q$2:Q$1073&lt;&gt;""))),"")</f>
        <v>0.74666182833679107</v>
      </c>
      <c r="Z151" cm="1">
        <f t="array" ref="Z151">IFERROR(AVERAGE(_xlfn._xlws.FILTER(R$2:R$1073,($C$2:$C$1073=$C151)*($E$2:$E$1073=$E151)*(ROW(R$2:R$1073)&lt;&gt;ROW(R151))*(R$2:R$1073&lt;&gt;""))),"")</f>
        <v>-7.3224694447592539E-2</v>
      </c>
      <c r="AA151" cm="1">
        <f t="array" ref="AA151">IFERROR(AVERAGE(_xlfn._xlws.FILTER(S$2:S$1073,($C$2:$C$1073=$C151)*($E$2:$E$1073=$E151)*(ROW(S$2:S$1073)&lt;&gt;ROW(S151))*(S$2:S$1073&lt;&gt;""))),"")</f>
        <v>0.50763953550106367</v>
      </c>
      <c r="AB151" cm="1">
        <f t="array" ref="AB151">IFERROR(AVERAGE(_xlfn._xlws.FILTER(T$2:T$1073,($C$2:$C$1073=$C151)*($E$2:$E$1073=$E151)*(ROW(T$2:T$1073)&lt;&gt;ROW(T151))*(T$2:T$1073&lt;&gt;""))),"")</f>
        <v>4.2046020525028621E-2</v>
      </c>
      <c r="AC151" cm="1">
        <f t="array" ref="AC151">IFERROR(AVERAGE(_xlfn._xlws.FILTER(U$2:U$1073,($C$2:$C$1073=$C151)*($E$2:$E$1073=$E151)*(ROW(U$2:U$1073)&lt;&gt;ROW(U151))*(U$2:U$1073&lt;&gt;""))),"")</f>
        <v>0.66894652765264162</v>
      </c>
      <c r="AD151" cm="1">
        <f t="array" ref="AD151">IFERROR(AVERAGE(_xlfn._xlws.FILTER(V$2:V$1073,($C$2:$C$1073=$C151)*($E$2:$E$1073=$E151)*(ROW(V$2:V$1073)&lt;&gt;ROW(V151))*(V$2:V$1073&lt;&gt;""))),"")</f>
        <v>0.36913155726452146</v>
      </c>
      <c r="AE151">
        <f>IF('Дивиденды по годам'!M151&lt;0,1,0)</f>
        <v>0</v>
      </c>
    </row>
    <row r="152" spans="1:31" x14ac:dyDescent="0.2">
      <c r="A152" s="7" t="s">
        <v>2196</v>
      </c>
      <c r="B152" t="str">
        <f t="shared" si="22"/>
        <v>HYDR IV кв. 2019</v>
      </c>
      <c r="C152">
        <v>2019</v>
      </c>
      <c r="D152">
        <f>SUMIFS(Дивиденды!$C:$C,Дивиденды!$A:$A,A152,Дивиденды!$I:$I,C152)</f>
        <v>3.5700000000000003E-2</v>
      </c>
      <c r="E152">
        <v>2</v>
      </c>
      <c r="F152">
        <f t="shared" si="23"/>
        <v>3.5700000000000003E-2</v>
      </c>
      <c r="G152">
        <f t="shared" si="24"/>
        <v>6.8333666666666668E-2</v>
      </c>
      <c r="H152">
        <f t="shared" si="25"/>
        <v>1</v>
      </c>
      <c r="I152">
        <f t="shared" si="26"/>
        <v>1</v>
      </c>
      <c r="J152">
        <f t="shared" si="27"/>
        <v>-2.7247956403269775E-2</v>
      </c>
      <c r="K152">
        <f t="shared" si="32"/>
        <v>0.17436342070352681</v>
      </c>
      <c r="L152">
        <f t="shared" si="28"/>
        <v>0</v>
      </c>
      <c r="M152">
        <f t="shared" si="29"/>
        <v>0.5</v>
      </c>
      <c r="N152">
        <f t="shared" si="30"/>
        <v>1</v>
      </c>
      <c r="O152">
        <f t="shared" si="31"/>
        <v>0.41666666666666669</v>
      </c>
      <c r="P152">
        <f>IFERROR(LN('Дивиденды по годам'!I152),"")</f>
        <v>27.553188214832957</v>
      </c>
      <c r="Q152">
        <f>IFERROR('Дивиденды по годам'!G152/'Дивиденды по годам'!I152, "")</f>
        <v>0.73272951912132389</v>
      </c>
      <c r="R152">
        <f>IFERROR(IF(AND('Дивиденды по годам'!N152&lt;&gt;"",'Дивиденды по годам'!U152&lt;&gt;"",'Дивиденды по годам'!U152&lt;&gt;0),'Дивиденды по годам'!N152/'Дивиденды по годам'!U152-1,""),"")</f>
        <v>2.1941633915879333E-2</v>
      </c>
      <c r="S152">
        <f>IFERROR(IF(AND('Дивиденды по годам'!L152&lt;&gt;"",'Дивиденды по годам'!I152&lt;&gt;"",'Дивиденды по годам'!J152&lt;&gt;"",'Дивиденды по годам'!K152&lt;&gt;"",('Дивиденды по годам'!I152-'Дивиденды по годам'!J152-'Дивиденды по годам'!K152)&lt;&gt;0),'Дивиденды по годам'!L152/('Дивиденды по годам'!I152-'Дивиденды по годам'!J152-'Дивиденды по годам'!K152),""),"")</f>
        <v>0.1838754112744023</v>
      </c>
      <c r="T152">
        <f>IFERROR(IF(AND('Дивиденды по годам'!Q152&lt;&gt;"",'Дивиденды по годам'!I152&lt;&gt;"",'Дивиденды по годам'!V152&lt;&gt;"",('Дивиденды по годам'!I152+'Дивиденды по годам'!V152)&lt;&gt;0),'Дивиденды по годам'!Q152/(('Дивиденды по годам'!I152+'Дивиденды по годам'!V152)/2),""),"")</f>
        <v>6.9249616326970192E-4</v>
      </c>
      <c r="U152">
        <f>IFERROR(IF(AND('Дивиденды по годам'!J152&lt;&gt;"",'Дивиденды по годам'!K152&lt;&gt;"",'Дивиденды по годам'!M152&lt;&gt;"",'Дивиденды по годам'!M152&lt;&gt;0),('Дивиденды по годам'!J152+'Дивиденды по годам'!K152)/'Дивиденды по годам'!M152,""),"")</f>
        <v>0.6233717920596622</v>
      </c>
      <c r="V152">
        <f>IFERROR(IF(AND('Дивиденды по годам'!J152&lt;&gt;"",'Дивиденды по годам'!K152&lt;&gt;"",'Дивиденды по годам'!M152&lt;&gt;"",'Дивиденды по годам'!I152&lt;&gt;0),('Дивиденды по годам'!J152+'Дивиденды по годам'!K152)/'Дивиденды по годам'!I152,""),"")</f>
        <v>0.38399816672233517</v>
      </c>
      <c r="W152">
        <f>IFERROR('Дивиденды по годам'!I152,"")</f>
        <v>925119000000</v>
      </c>
      <c r="X152" cm="1">
        <f t="array" ref="X152">IFERROR(AVERAGE(_xlfn._xlws.FILTER(P$2:P$1073,($C$2:$C$1073=$C152)*($E$2:$E$1073=$E152)*(ROW(P$2:P$1073)&lt;&gt;ROW(P152))*(P$2:P$1073&lt;&gt;""))),"")</f>
        <v>26.015058953814361</v>
      </c>
      <c r="Y152" cm="1">
        <f t="array" ref="Y152">IFERROR(AVERAGE(_xlfn._xlws.FILTER(Q$2:Q$1073,($C$2:$C$1073=$C152)*($E$2:$E$1073=$E152)*(ROW(Q$2:Q$1073)&lt;&gt;ROW(Q152))*(Q$2:Q$1073&lt;&gt;""))),"")</f>
        <v>0.7373505526844859</v>
      </c>
      <c r="Z152" cm="1">
        <f t="array" ref="Z152">IFERROR(AVERAGE(_xlfn._xlws.FILTER(R$2:R$1073,($C$2:$C$1073=$C152)*($E$2:$E$1073=$E152)*(ROW(R$2:R$1073)&lt;&gt;ROW(R152))*(R$2:R$1073&lt;&gt;""))),"")</f>
        <v>1.9429409013773842E-3</v>
      </c>
      <c r="AA152" cm="1">
        <f t="array" ref="AA152">IFERROR(AVERAGE(_xlfn._xlws.FILTER(S$2:S$1073,($C$2:$C$1073=$C152)*($E$2:$E$1073=$E152)*(ROW(S$2:S$1073)&lt;&gt;ROW(S152))*(S$2:S$1073&lt;&gt;""))),"")</f>
        <v>0.49820360345747589</v>
      </c>
      <c r="AB152" cm="1">
        <f t="array" ref="AB152">IFERROR(AVERAGE(_xlfn._xlws.FILTER(T$2:T$1073,($C$2:$C$1073=$C152)*($E$2:$E$1073=$E152)*(ROW(T$2:T$1073)&lt;&gt;ROW(T152))*(T$2:T$1073&lt;&gt;""))),"")</f>
        <v>5.6238776327520466E-2</v>
      </c>
      <c r="AC152" cm="1">
        <f t="array" ref="AC152">IFERROR(AVERAGE(_xlfn._xlws.FILTER(U$2:U$1073,($C$2:$C$1073=$C152)*($E$2:$E$1073=$E152)*(ROW(U$2:U$1073)&lt;&gt;ROW(U152))*(U$2:U$1073&lt;&gt;""))),"")</f>
        <v>0.66891103410297881</v>
      </c>
      <c r="AD152" cm="1">
        <f t="array" ref="AD152">IFERROR(AVERAGE(_xlfn._xlws.FILTER(V$2:V$1073,($C$2:$C$1073=$C152)*($E$2:$E$1073=$E152)*(ROW(V$2:V$1073)&lt;&gt;ROW(V152))*(V$2:V$1073&lt;&gt;""))),"")</f>
        <v>0.36981161624200731</v>
      </c>
      <c r="AE152">
        <f>IF('Дивиденды по годам'!M152&lt;0,1,0)</f>
        <v>0</v>
      </c>
    </row>
    <row r="153" spans="1:31" x14ac:dyDescent="0.2">
      <c r="A153" s="7" t="s">
        <v>2196</v>
      </c>
      <c r="B153" t="str">
        <f t="shared" si="22"/>
        <v>HYDR IV кв. 2018</v>
      </c>
      <c r="C153">
        <v>2018</v>
      </c>
      <c r="D153">
        <f>SUMIFS(Дивиденды!$C:$C,Дивиденды!$A:$A,A153,Дивиденды!$I:$I,C153)</f>
        <v>3.6700000000000003E-2</v>
      </c>
      <c r="E153">
        <v>2</v>
      </c>
      <c r="F153">
        <f t="shared" si="23"/>
        <v>3.6700000000000003E-2</v>
      </c>
      <c r="G153">
        <f t="shared" si="24"/>
        <v>7.7512083333333329E-2</v>
      </c>
      <c r="H153">
        <f t="shared" si="25"/>
        <v>1</v>
      </c>
      <c r="I153">
        <f t="shared" si="26"/>
        <v>1</v>
      </c>
      <c r="J153">
        <f t="shared" si="27"/>
        <v>0.39543726235741455</v>
      </c>
      <c r="K153">
        <f t="shared" si="32"/>
        <v>0.16330525643446758</v>
      </c>
      <c r="L153">
        <f t="shared" si="28"/>
        <v>1</v>
      </c>
      <c r="M153">
        <f t="shared" si="29"/>
        <v>0.58333333333333337</v>
      </c>
      <c r="N153">
        <f t="shared" si="30"/>
        <v>0</v>
      </c>
      <c r="O153">
        <f t="shared" si="31"/>
        <v>0.25</v>
      </c>
      <c r="P153">
        <f>IFERROR(LN('Дивиденды по годам'!I153),"")</f>
        <v>27.560524614556563</v>
      </c>
      <c r="Q153">
        <f>IFERROR('Дивиденды по годам'!G153/'Дивиденды по годам'!I153, "")</f>
        <v>0.71831927471025214</v>
      </c>
      <c r="R153">
        <f>IFERROR(IF(AND('Дивиденды по годам'!N153&lt;&gt;"",'Дивиденды по годам'!U153&lt;&gt;"",'Дивиденды по годам'!U153&lt;&gt;0),'Дивиденды по годам'!N153/'Дивиденды по годам'!U153-1,""),"")</f>
        <v>3.0595859461850727E-2</v>
      </c>
      <c r="S153">
        <f>IFERROR(IF(AND('Дивиденды по годам'!L153&lt;&gt;"",'Дивиденды по годам'!I153&lt;&gt;"",'Дивиденды по годам'!J153&lt;&gt;"",'Дивиденды по годам'!K153&lt;&gt;"",('Дивиденды по годам'!I153-'Дивиденды по годам'!J153-'Дивиденды по годам'!K153)&lt;&gt;0),'Дивиденды по годам'!L153/('Дивиденды по годам'!I153-'Дивиденды по годам'!J153-'Дивиденды по годам'!K153),""),"")</f>
        <v>0.19706457825488427</v>
      </c>
      <c r="T153">
        <f>IFERROR(IF(AND('Дивиденды по годам'!Q153&lt;&gt;"",'Дивиденды по годам'!I153&lt;&gt;"",'Дивиденды по годам'!V153&lt;&gt;"",('Дивиденды по годам'!I153+'Дивиденды по годам'!V153)&lt;&gt;0),'Дивиденды по годам'!Q153/(('Дивиденды по годам'!I153+'Дивиденды по годам'!V153)/2),""),"")</f>
        <v>3.2483718348602322E-2</v>
      </c>
      <c r="U153">
        <f>IFERROR(IF(AND('Дивиденды по годам'!J153&lt;&gt;"",'Дивиденды по годам'!K153&lt;&gt;"",'Дивиденды по годам'!M153&lt;&gt;"",'Дивиденды по годам'!M153&lt;&gt;0),('Дивиденды по годам'!J153+'Дивиденды по годам'!K153)/'Дивиденды по годам'!M153,""),"")</f>
        <v>0.58973182377234445</v>
      </c>
      <c r="V153">
        <f>IFERROR(IF(AND('Дивиденды по годам'!J153&lt;&gt;"",'Дивиденды по годам'!K153&lt;&gt;"",'Дивиденды по годам'!M153&lt;&gt;"",'Дивиденды по годам'!I153&lt;&gt;0),('Дивиденды по годам'!J153+'Дивиденды по годам'!K153)/'Дивиденды по годам'!I153,""),"")</f>
        <v>0.37096308632291447</v>
      </c>
      <c r="W153">
        <f>IFERROR('Дивиденды по годам'!I153,"")</f>
        <v>931931000000</v>
      </c>
      <c r="X153" cm="1">
        <f t="array" ref="X153">IFERROR(AVERAGE(_xlfn._xlws.FILTER(P$2:P$1073,($C$2:$C$1073=$C153)*($E$2:$E$1073=$E153)*(ROW(P$2:P$1073)&lt;&gt;ROW(P153))*(P$2:P$1073&lt;&gt;""))),"")</f>
        <v>25.956881629975967</v>
      </c>
      <c r="Y153" cm="1">
        <f t="array" ref="Y153">IFERROR(AVERAGE(_xlfn._xlws.FILTER(Q$2:Q$1073,($C$2:$C$1073=$C153)*($E$2:$E$1073=$E153)*(ROW(Q$2:Q$1073)&lt;&gt;ROW(Q153))*(Q$2:Q$1073&lt;&gt;""))),"")</f>
        <v>0.75608921610913526</v>
      </c>
      <c r="Z153" cm="1">
        <f t="array" ref="Z153">IFERROR(AVERAGE(_xlfn._xlws.FILTER(R$2:R$1073,($C$2:$C$1073=$C153)*($E$2:$E$1073=$E153)*(ROW(R$2:R$1073)&lt;&gt;ROW(R153))*(R$2:R$1073&lt;&gt;""))),"")</f>
        <v>5.1833493748288856E-2</v>
      </c>
      <c r="AA153" cm="1">
        <f t="array" ref="AA153">IFERROR(AVERAGE(_xlfn._xlws.FILTER(S$2:S$1073,($C$2:$C$1073=$C153)*($E$2:$E$1073=$E153)*(ROW(S$2:S$1073)&lt;&gt;ROW(S153))*(S$2:S$1073&lt;&gt;""))),"")</f>
        <v>0.48668850419533644</v>
      </c>
      <c r="AB153" cm="1">
        <f t="array" ref="AB153">IFERROR(AVERAGE(_xlfn._xlws.FILTER(T$2:T$1073,($C$2:$C$1073=$C153)*($E$2:$E$1073=$E153)*(ROW(T$2:T$1073)&lt;&gt;ROW(T153))*(T$2:T$1073&lt;&gt;""))),"")</f>
        <v>7.1405451321554583E-2</v>
      </c>
      <c r="AC153" cm="1">
        <f t="array" ref="AC153">IFERROR(AVERAGE(_xlfn._xlws.FILTER(U$2:U$1073,($C$2:$C$1073=$C153)*($E$2:$E$1073=$E153)*(ROW(U$2:U$1073)&lt;&gt;ROW(U153))*(U$2:U$1073&lt;&gt;""))),"")</f>
        <v>0.63548754147222075</v>
      </c>
      <c r="AD153" cm="1">
        <f t="array" ref="AD153">IFERROR(AVERAGE(_xlfn._xlws.FILTER(V$2:V$1073,($C$2:$C$1073=$C153)*($E$2:$E$1073=$E153)*(ROW(V$2:V$1073)&lt;&gt;ROW(V153))*(V$2:V$1073&lt;&gt;""))),"")</f>
        <v>0.35925326829350196</v>
      </c>
      <c r="AE153">
        <f>IF('Дивиденды по годам'!M153&lt;0,1,0)</f>
        <v>0</v>
      </c>
    </row>
    <row r="154" spans="1:31" x14ac:dyDescent="0.2">
      <c r="A154" s="7" t="s">
        <v>2196</v>
      </c>
      <c r="B154" t="str">
        <f t="shared" si="22"/>
        <v>HYDR IV кв. 2017</v>
      </c>
      <c r="C154">
        <v>2017</v>
      </c>
      <c r="D154">
        <f>SUMIFS(Дивиденды!$C:$C,Дивиденды!$A:$A,A154,Дивиденды!$I:$I,C154)</f>
        <v>2.63E-2</v>
      </c>
      <c r="E154">
        <v>2</v>
      </c>
      <c r="F154">
        <f t="shared" si="23"/>
        <v>2.63E-2</v>
      </c>
      <c r="G154">
        <f t="shared" si="24"/>
        <v>6.9917166666666655E-2</v>
      </c>
      <c r="H154">
        <f t="shared" si="25"/>
        <v>1</v>
      </c>
      <c r="I154">
        <f t="shared" si="26"/>
        <v>1</v>
      </c>
      <c r="J154">
        <f t="shared" si="27"/>
        <v>-0.43562231759656656</v>
      </c>
      <c r="K154">
        <f t="shared" si="32"/>
        <v>0.67805149740666415</v>
      </c>
      <c r="L154">
        <f t="shared" si="28"/>
        <v>0</v>
      </c>
      <c r="M154">
        <f t="shared" si="29"/>
        <v>0.83333333333333337</v>
      </c>
      <c r="N154">
        <f t="shared" si="30"/>
        <v>1</v>
      </c>
      <c r="O154">
        <f t="shared" si="31"/>
        <v>0.16666666666666666</v>
      </c>
      <c r="P154">
        <f>IFERROR(LN('Дивиденды по годам'!I154),"")</f>
        <v>27.658880416582608</v>
      </c>
      <c r="Q154">
        <f>IFERROR('Дивиденды по годам'!G154/'Дивиденды по годам'!I154, "")</f>
        <v>0.7778791365143336</v>
      </c>
      <c r="R154">
        <f>IFERROR(IF(AND('Дивиденды по годам'!N154&lt;&gt;"",'Дивиденды по годам'!U154&lt;&gt;"",'Дивиденды по годам'!U154&lt;&gt;0),'Дивиденды по годам'!N154/'Дивиденды по годам'!U154-1,""),"")</f>
        <v>-6.9379691610171323E-2</v>
      </c>
      <c r="S154">
        <f>IFERROR(IF(AND('Дивиденды по годам'!L154&lt;&gt;"",'Дивиденды по годам'!I154&lt;&gt;"",'Дивиденды по годам'!J154&lt;&gt;"",'Дивиденды по годам'!K154&lt;&gt;"",('Дивиденды по годам'!I154-'Дивиденды по годам'!J154-'Дивиденды по годам'!K154)&lt;&gt;0),'Дивиденды по годам'!L154/('Дивиденды по годам'!I154-'Дивиденды по годам'!J154-'Дивиденды по годам'!K154),""),"")</f>
        <v>0.33349483297007898</v>
      </c>
      <c r="T154">
        <f>IFERROR(IF(AND('Дивиденды по годам'!Q154&lt;&gt;"",'Дивиденды по годам'!I154&lt;&gt;"",'Дивиденды по годам'!V154&lt;&gt;"",('Дивиденды по годам'!I154+'Дивиденды по годам'!V154)&lt;&gt;0),'Дивиденды по годам'!Q154/(('Дивиденды по годам'!I154+'Дивиденды по годам'!V154)/2),""),"")</f>
        <v>2.2320458796727342E-2</v>
      </c>
      <c r="U154">
        <f>IFERROR(IF(AND('Дивиденды по годам'!J154&lt;&gt;"",'Дивиденды по годам'!K154&lt;&gt;"",'Дивиденды по годам'!M154&lt;&gt;"",'Дивиденды по годам'!M154&lt;&gt;0),('Дивиденды по годам'!J154+'Дивиденды по годам'!K154)/'Дивиденды по годам'!M154,""),"")</f>
        <v>0.47829818679517627</v>
      </c>
      <c r="V154">
        <f>IFERROR(IF(AND('Дивиденды по годам'!J154&lt;&gt;"",'Дивиденды по годам'!K154&lt;&gt;"",'Дивиденды по годам'!M154&lt;&gt;"",'Дивиденды по годам'!I154&lt;&gt;0),('Дивиденды по годам'!J154+'Дивиденды по годам'!K154)/'Дивиденды по годам'!I154,""),"")</f>
        <v>0.32354648816290965</v>
      </c>
      <c r="W154">
        <f>IFERROR('Дивиденды по годам'!I154,"")</f>
        <v>1028251000000</v>
      </c>
      <c r="X154" cm="1">
        <f t="array" ref="X154">IFERROR(AVERAGE(_xlfn._xlws.FILTER(P$2:P$1073,($C$2:$C$1073=$C154)*($E$2:$E$1073=$E154)*(ROW(P$2:P$1073)&lt;&gt;ROW(P154))*(P$2:P$1073&lt;&gt;""))),"")</f>
        <v>25.916072761790943</v>
      </c>
      <c r="Y154" cm="1">
        <f t="array" ref="Y154">IFERROR(AVERAGE(_xlfn._xlws.FILTER(Q$2:Q$1073,($C$2:$C$1073=$C154)*($E$2:$E$1073=$E154)*(ROW(Q$2:Q$1073)&lt;&gt;ROW(Q154))*(Q$2:Q$1073&lt;&gt;""))),"")</f>
        <v>0.75863572642375032</v>
      </c>
      <c r="Z154" cm="1">
        <f t="array" ref="Z154">IFERROR(AVERAGE(_xlfn._xlws.FILTER(R$2:R$1073,($C$2:$C$1073=$C154)*($E$2:$E$1073=$E154)*(ROW(R$2:R$1073)&lt;&gt;ROW(R154))*(R$2:R$1073&lt;&gt;""))),"")</f>
        <v>5.5492230923092967E-2</v>
      </c>
      <c r="AA154" cm="1">
        <f t="array" ref="AA154">IFERROR(AVERAGE(_xlfn._xlws.FILTER(S$2:S$1073,($C$2:$C$1073=$C154)*($E$2:$E$1073=$E154)*(ROW(S$2:S$1073)&lt;&gt;ROW(S154))*(S$2:S$1073&lt;&gt;""))),"")</f>
        <v>0.42771918388178792</v>
      </c>
      <c r="AB154" cm="1">
        <f t="array" ref="AB154">IFERROR(AVERAGE(_xlfn._xlws.FILTER(T$2:T$1073,($C$2:$C$1073=$C154)*($E$2:$E$1073=$E154)*(ROW(T$2:T$1073)&lt;&gt;ROW(T154))*(T$2:T$1073&lt;&gt;""))),"")</f>
        <v>8.6507484906178447E-2</v>
      </c>
      <c r="AC154" cm="1">
        <f t="array" ref="AC154">IFERROR(AVERAGE(_xlfn._xlws.FILTER(U$2:U$1073,($C$2:$C$1073=$C154)*($E$2:$E$1073=$E154)*(ROW(U$2:U$1073)&lt;&gt;ROW(U154))*(U$2:U$1073&lt;&gt;""))),"")</f>
        <v>0.64405161960556445</v>
      </c>
      <c r="AD154" cm="1">
        <f t="array" ref="AD154">IFERROR(AVERAGE(_xlfn._xlws.FILTER(V$2:V$1073,($C$2:$C$1073=$C154)*($E$2:$E$1073=$E154)*(ROW(V$2:V$1073)&lt;&gt;ROW(V154))*(V$2:V$1073&lt;&gt;""))),"")</f>
        <v>0.36421992248893392</v>
      </c>
      <c r="AE154">
        <f>IF('Дивиденды по годам'!M154&lt;0,1,0)</f>
        <v>0</v>
      </c>
    </row>
    <row r="155" spans="1:31" x14ac:dyDescent="0.2">
      <c r="A155" s="7" t="s">
        <v>2196</v>
      </c>
      <c r="B155" t="str">
        <f t="shared" si="22"/>
        <v>HYDR IV кв. 2016</v>
      </c>
      <c r="C155">
        <v>2016</v>
      </c>
      <c r="D155">
        <f>SUMIFS(Дивиденды!$C:$C,Дивиденды!$A:$A,A155,Дивиденды!$I:$I,C155)</f>
        <v>4.6600000000000003E-2</v>
      </c>
      <c r="E155">
        <v>2</v>
      </c>
      <c r="F155">
        <f t="shared" si="23"/>
        <v>4.6600000000000003E-2</v>
      </c>
      <c r="G155">
        <f t="shared" si="24"/>
        <v>5.3511833333333335E-2</v>
      </c>
      <c r="H155">
        <f t="shared" si="25"/>
        <v>1</v>
      </c>
      <c r="I155">
        <f t="shared" si="26"/>
        <v>1</v>
      </c>
      <c r="J155">
        <f t="shared" si="27"/>
        <v>0.19794344473007727</v>
      </c>
      <c r="K155">
        <f t="shared" si="32"/>
        <v>1.3905747507449704</v>
      </c>
      <c r="L155">
        <f t="shared" si="28"/>
        <v>1</v>
      </c>
      <c r="M155">
        <f t="shared" si="29"/>
        <v>0.83333333333333337</v>
      </c>
      <c r="N155">
        <f t="shared" si="30"/>
        <v>0</v>
      </c>
      <c r="O155">
        <f t="shared" si="31"/>
        <v>0.16666666666666666</v>
      </c>
      <c r="P155">
        <f>IFERROR(LN('Дивиденды по годам'!I155),"")</f>
        <v>27.614328567319994</v>
      </c>
      <c r="Q155">
        <f>IFERROR('Дивиденды по годам'!G155/'Дивиденды по годам'!I155, "")</f>
        <v>0.77792476658606569</v>
      </c>
      <c r="R155">
        <f>IFERROR(IF(AND('Дивиденды по годам'!N155&lt;&gt;"",'Дивиденды по годам'!U155&lt;&gt;"",'Дивиденды по годам'!U155&lt;&gt;0),'Дивиденды по годам'!N155/'Дивиденды по годам'!U155-1,""),"")</f>
        <v>7.6429015400907074E-2</v>
      </c>
      <c r="S155">
        <f>IFERROR(IF(AND('Дивиденды по годам'!L155&lt;&gt;"",'Дивиденды по годам'!I155&lt;&gt;"",'Дивиденды по годам'!J155&lt;&gt;"",'Дивиденды по годам'!K155&lt;&gt;"",('Дивиденды по годам'!I155-'Дивиденды по годам'!J155-'Дивиденды по годам'!K155)&lt;&gt;0),'Дивиденды по годам'!L155/('Дивиденды по годам'!I155-'Дивиденды по годам'!J155-'Дивиденды по годам'!K155),""),"")</f>
        <v>0.37452452790767699</v>
      </c>
      <c r="T155">
        <f>IFERROR(IF(AND('Дивиденды по годам'!Q155&lt;&gt;"",'Дивиденды по годам'!I155&lt;&gt;"",'Дивиденды по годам'!V155&lt;&gt;"",('Дивиденды по годам'!I155+'Дивиденды по годам'!V155)&lt;&gt;0),'Дивиденды по годам'!Q155/(('Дивиденды по годам'!I155+'Дивиденды по годам'!V155)/2),""),"")</f>
        <v>4.1373180341416425E-2</v>
      </c>
      <c r="U155">
        <f>IFERROR(IF(AND('Дивиденды по годам'!J155&lt;&gt;"",'Дивиденды по годам'!K155&lt;&gt;"",'Дивиденды по годам'!M155&lt;&gt;"",'Дивиденды по годам'!M155&lt;&gt;0),('Дивиденды по годам'!J155+'Дивиденды по годам'!K155)/'Дивиденды по годам'!M155,""),"")</f>
        <v>0.51082755187945894</v>
      </c>
      <c r="V155">
        <f>IFERROR(IF(AND('Дивиденды по годам'!J155&lt;&gt;"",'Дивиденды по годам'!K155&lt;&gt;"",'Дивиденды по годам'!M155&lt;&gt;"",'Дивиденды по годам'!I155&lt;&gt;0),('Дивиденды по годам'!J155+'Дивиденды по годам'!K155)/'Дивиденды по годам'!I155,""),"")</f>
        <v>0.33811109100042097</v>
      </c>
      <c r="W155">
        <f>IFERROR('Дивиденды по годам'!I155,"")</f>
        <v>983446000000</v>
      </c>
      <c r="X155" cm="1">
        <f t="array" ref="X155">IFERROR(AVERAGE(_xlfn._xlws.FILTER(P$2:P$1073,($C$2:$C$1073=$C155)*($E$2:$E$1073=$E155)*(ROW(P$2:P$1073)&lt;&gt;ROW(P155))*(P$2:P$1073&lt;&gt;""))),"")</f>
        <v>25.873978656092273</v>
      </c>
      <c r="Y155" cm="1">
        <f t="array" ref="Y155">IFERROR(AVERAGE(_xlfn._xlws.FILTER(Q$2:Q$1073,($C$2:$C$1073=$C155)*($E$2:$E$1073=$E155)*(ROW(Q$2:Q$1073)&lt;&gt;ROW(Q155))*(Q$2:Q$1073&lt;&gt;""))),"")</f>
        <v>0.71112698287081721</v>
      </c>
      <c r="Z155" cm="1">
        <f t="array" ref="Z155">IFERROR(AVERAGE(_xlfn._xlws.FILTER(R$2:R$1073,($C$2:$C$1073=$C155)*($E$2:$E$1073=$E155)*(ROW(R$2:R$1073)&lt;&gt;ROW(R155))*(R$2:R$1073&lt;&gt;""))),"")</f>
        <v>0.117948678906392</v>
      </c>
      <c r="AA155" cm="1">
        <f t="array" ref="AA155">IFERROR(AVERAGE(_xlfn._xlws.FILTER(S$2:S$1073,($C$2:$C$1073=$C155)*($E$2:$E$1073=$E155)*(ROW(S$2:S$1073)&lt;&gt;ROW(S155))*(S$2:S$1073&lt;&gt;""))),"")</f>
        <v>0.41201683176658926</v>
      </c>
      <c r="AB155" cm="1">
        <f t="array" ref="AB155">IFERROR(AVERAGE(_xlfn._xlws.FILTER(T$2:T$1073,($C$2:$C$1073=$C155)*($E$2:$E$1073=$E155)*(ROW(T$2:T$1073)&lt;&gt;ROW(T155))*(T$2:T$1073&lt;&gt;""))),"")</f>
        <v>4.0901032921372295E-2</v>
      </c>
      <c r="AC155" cm="1">
        <f t="array" ref="AC155">IFERROR(AVERAGE(_xlfn._xlws.FILTER(U$2:U$1073,($C$2:$C$1073=$C155)*($E$2:$E$1073=$E155)*(ROW(U$2:U$1073)&lt;&gt;ROW(U155))*(U$2:U$1073&lt;&gt;""))),"")</f>
        <v>0.74422175164240822</v>
      </c>
      <c r="AD155" cm="1">
        <f t="array" ref="AD155">IFERROR(AVERAGE(_xlfn._xlws.FILTER(V$2:V$1073,($C$2:$C$1073=$C155)*($E$2:$E$1073=$E155)*(ROW(V$2:V$1073)&lt;&gt;ROW(V155))*(V$2:V$1073&lt;&gt;""))),"")</f>
        <v>0.39887448070242687</v>
      </c>
      <c r="AE155">
        <f>IF('Дивиденды по годам'!M155&lt;0,1,0)</f>
        <v>0</v>
      </c>
    </row>
    <row r="156" spans="1:31" x14ac:dyDescent="0.2">
      <c r="A156" s="7" t="s">
        <v>2196</v>
      </c>
      <c r="B156" t="str">
        <f t="shared" si="22"/>
        <v>HYDR IV кв. 2015</v>
      </c>
      <c r="C156">
        <v>2015</v>
      </c>
      <c r="D156">
        <f>SUMIFS(Дивиденды!$C:$C,Дивиденды!$A:$A,A156,Дивиденды!$I:$I,C156)</f>
        <v>3.8899999999999997E-2</v>
      </c>
      <c r="E156">
        <v>2</v>
      </c>
      <c r="F156">
        <f t="shared" si="23"/>
        <v>3.8899999999999997E-2</v>
      </c>
      <c r="G156">
        <f t="shared" si="24"/>
        <v>3.8198416666666672E-2</v>
      </c>
      <c r="H156">
        <f t="shared" si="25"/>
        <v>1</v>
      </c>
      <c r="I156">
        <f t="shared" si="26"/>
        <v>0.91666666666666663</v>
      </c>
      <c r="J156">
        <f t="shared" si="27"/>
        <v>1.4935897435897436</v>
      </c>
      <c r="K156">
        <f t="shared" si="32"/>
        <v>4.0205106330265297</v>
      </c>
      <c r="L156">
        <f t="shared" si="28"/>
        <v>1</v>
      </c>
      <c r="M156">
        <f t="shared" si="29"/>
        <v>0.66666666666666663</v>
      </c>
      <c r="N156">
        <f t="shared" si="30"/>
        <v>0</v>
      </c>
      <c r="O156">
        <f t="shared" si="31"/>
        <v>0.33333333333333331</v>
      </c>
      <c r="P156">
        <f>IFERROR(LN('Дивиденды по годам'!I156),"")</f>
        <v>27.567161830724679</v>
      </c>
      <c r="Q156">
        <f>IFERROR('Дивиденды по годам'!G156/'Дивиденды по годам'!I156, "")</f>
        <v>0.79368471769048654</v>
      </c>
      <c r="R156">
        <f>IFERROR(IF(AND('Дивиденды по годам'!N156&lt;&gt;"",'Дивиденды по годам'!U156&lt;&gt;"",'Дивиденды по годам'!U156&lt;&gt;0),'Дивиденды по годам'!N156/'Дивиденды по годам'!U156-1,""),"")</f>
        <v>5.447263017356474E-2</v>
      </c>
      <c r="S156">
        <f>IFERROR(IF(AND('Дивиденды по годам'!L156&lt;&gt;"",'Дивиденды по годам'!I156&lt;&gt;"",'Дивиденды по годам'!J156&lt;&gt;"",'Дивиденды по годам'!K156&lt;&gt;"",('Дивиденды по годам'!I156-'Дивиденды по годам'!J156-'Дивиденды по годам'!K156)&lt;&gt;0),'Дивиденды по годам'!L156/('Дивиденды по годам'!I156-'Дивиденды по годам'!J156-'Дивиденды по годам'!K156),""),"")</f>
        <v>0.33084820635947088</v>
      </c>
      <c r="T156">
        <f>IFERROR(IF(AND('Дивиденды по годам'!Q156&lt;&gt;"",'Дивиденды по годам'!I156&lt;&gt;"",'Дивиденды по годам'!V156&lt;&gt;"",('Дивиденды по годам'!I156+'Дивиденды по годам'!V156)&lt;&gt;0),'Дивиденды по годам'!Q156/(('Дивиденды по годам'!I156+'Дивиденды по годам'!V156)/2),""),"")</f>
        <v>2.9813815963163872E-2</v>
      </c>
      <c r="U156">
        <f>IFERROR(IF(AND('Дивиденды по годам'!J156&lt;&gt;"",'Дивиденды по годам'!K156&lt;&gt;"",'Дивиденды по годам'!M156&lt;&gt;"",'Дивиденды по годам'!M156&lt;&gt;0),('Дивиденды по годам'!J156+'Дивиденды по годам'!K156)/'Дивиденды по годам'!M156,""),"")</f>
        <v>0.52811201477719372</v>
      </c>
      <c r="V156">
        <f>IFERROR(IF(AND('Дивиденды по годам'!J156&lt;&gt;"",'Дивиденды по годам'!K156&lt;&gt;"",'Дивиденды по годам'!M156&lt;&gt;"",'Дивиденды по годам'!I156&lt;&gt;0),('Дивиденды по годам'!J156+'Дивиденды по годам'!K156)/'Дивиденды по годам'!I156,""),"")</f>
        <v>0.34559771120849087</v>
      </c>
      <c r="W156">
        <f>IFERROR('Дивиденды по годам'!I156,"")</f>
        <v>938137000000</v>
      </c>
      <c r="X156" cm="1">
        <f t="array" ref="X156">IFERROR(AVERAGE(_xlfn._xlws.FILTER(P$2:P$1073,($C$2:$C$1073=$C156)*($E$2:$E$1073=$E156)*(ROW(P$2:P$1073)&lt;&gt;ROW(P156))*(P$2:P$1073&lt;&gt;""))),"")</f>
        <v>25.765224835632381</v>
      </c>
      <c r="Y156" cm="1">
        <f t="array" ref="Y156">IFERROR(AVERAGE(_xlfn._xlws.FILTER(Q$2:Q$1073,($C$2:$C$1073=$C156)*($E$2:$E$1073=$E156)*(ROW(Q$2:Q$1073)&lt;&gt;ROW(Q156))*(Q$2:Q$1073&lt;&gt;""))),"")</f>
        <v>0.7779528295804814</v>
      </c>
      <c r="Z156" cm="1">
        <f t="array" ref="Z156">IFERROR(AVERAGE(_xlfn._xlws.FILTER(R$2:R$1073,($C$2:$C$1073=$C156)*($E$2:$E$1073=$E156)*(ROW(R$2:R$1073)&lt;&gt;ROW(R156))*(R$2:R$1073&lt;&gt;""))),"")</f>
        <v>1.4494731745010097E-3</v>
      </c>
      <c r="AA156" cm="1">
        <f t="array" ref="AA156">IFERROR(AVERAGE(_xlfn._xlws.FILTER(S$2:S$1073,($C$2:$C$1073=$C156)*($E$2:$E$1073=$E156)*(ROW(S$2:S$1073)&lt;&gt;ROW(S156))*(S$2:S$1073&lt;&gt;""))),"")</f>
        <v>0.51150400603076418</v>
      </c>
      <c r="AB156" cm="1">
        <f t="array" ref="AB156">IFERROR(AVERAGE(_xlfn._xlws.FILTER(T$2:T$1073,($C$2:$C$1073=$C156)*($E$2:$E$1073=$E156)*(ROW(T$2:T$1073)&lt;&gt;ROW(T156))*(T$2:T$1073&lt;&gt;""))),"")</f>
        <v>-1.7076804083857099E-2</v>
      </c>
      <c r="AC156" cm="1">
        <f t="array" ref="AC156">IFERROR(AVERAGE(_xlfn._xlws.FILTER(U$2:U$1073,($C$2:$C$1073=$C156)*($E$2:$E$1073=$E156)*(ROW(U$2:U$1073)&lt;&gt;ROW(U156))*(U$2:U$1073&lt;&gt;""))),"")</f>
        <v>0.92905641885521373</v>
      </c>
      <c r="AD156" cm="1">
        <f t="array" ref="AD156">IFERROR(AVERAGE(_xlfn._xlws.FILTER(V$2:V$1073,($C$2:$C$1073=$C156)*($E$2:$E$1073=$E156)*(ROW(V$2:V$1073)&lt;&gt;ROW(V156))*(V$2:V$1073&lt;&gt;""))),"")</f>
        <v>0.4478015781291852</v>
      </c>
      <c r="AE156">
        <f>IF('Дивиденды по годам'!M156&lt;0,1,0)</f>
        <v>0</v>
      </c>
    </row>
    <row r="157" spans="1:31" x14ac:dyDescent="0.2">
      <c r="A157" s="7" t="s">
        <v>2196</v>
      </c>
      <c r="B157" t="str">
        <f t="shared" si="22"/>
        <v>HYDR IV кв. 2014</v>
      </c>
      <c r="C157">
        <v>2014</v>
      </c>
      <c r="D157">
        <f>SUMIFS(Дивиденды!$C:$C,Дивиденды!$A:$A,A157,Дивиденды!$I:$I,C157)</f>
        <v>1.5599999999999999E-2</v>
      </c>
      <c r="E157">
        <v>2</v>
      </c>
      <c r="F157">
        <f t="shared" si="23"/>
        <v>1.5599999999999999E-2</v>
      </c>
      <c r="G157">
        <f t="shared" si="24"/>
        <v>3.7667916666666669E-2</v>
      </c>
      <c r="H157">
        <f t="shared" si="25"/>
        <v>1</v>
      </c>
      <c r="I157">
        <f t="shared" si="26"/>
        <v>1</v>
      </c>
      <c r="J157">
        <f t="shared" si="27"/>
        <v>0.14705882352941177</v>
      </c>
      <c r="K157">
        <f t="shared" si="32"/>
        <v>1.388848579722521</v>
      </c>
      <c r="L157">
        <f t="shared" si="28"/>
        <v>1</v>
      </c>
      <c r="M157">
        <f t="shared" si="29"/>
        <v>0.58333333333333337</v>
      </c>
      <c r="N157">
        <f t="shared" si="30"/>
        <v>0</v>
      </c>
      <c r="O157">
        <f t="shared" si="31"/>
        <v>0.33333333333333331</v>
      </c>
      <c r="P157">
        <f>IFERROR(LN('Дивиденды по годам'!I157),"")</f>
        <v>27.507462684735632</v>
      </c>
      <c r="Q157">
        <f>IFERROR('Дивиденды по годам'!G157/'Дивиденды по годам'!I157, "")</f>
        <v>0.77643504531722052</v>
      </c>
      <c r="R157">
        <f>IFERROR(IF(AND('Дивиденды по годам'!N157&lt;&gt;"",'Дивиденды по годам'!U157&lt;&gt;"",'Дивиденды по годам'!U157&lt;&gt;0),'Дивиденды по годам'!N157/'Дивиденды по годам'!U157-1,""),"")</f>
        <v>5.0785634118967415E-2</v>
      </c>
      <c r="S157">
        <f>IFERROR(IF(AND('Дивиденды по годам'!L157&lt;&gt;"",'Дивиденды по годам'!I157&lt;&gt;"",'Дивиденды по годам'!J157&lt;&gt;"",'Дивиденды по годам'!K157&lt;&gt;"",('Дивиденды по годам'!I157-'Дивиденды по годам'!J157-'Дивиденды по годам'!K157)&lt;&gt;0),'Дивиденды по годам'!L157/('Дивиденды по годам'!I157-'Дивиденды по годам'!J157-'Дивиденды по годам'!K157),""),"")</f>
        <v>0.30169822448420652</v>
      </c>
      <c r="T157">
        <f>IFERROR(IF(AND('Дивиденды по годам'!Q157&lt;&gt;"",'Дивиденды по годам'!I157&lt;&gt;"",'Дивиденды по годам'!V157&lt;&gt;"",('Дивиденды по годам'!I157+'Дивиденды по годам'!V157)&lt;&gt;0),'Дивиденды по годам'!Q157/(('Дивиденды по годам'!I157+'Дивиденды по годам'!V157)/2),""),"")</f>
        <v>2.7803638173631306E-2</v>
      </c>
      <c r="U157">
        <f>IFERROR(IF(AND('Дивиденды по годам'!J157&lt;&gt;"",'Дивиденды по годам'!K157&lt;&gt;"",'Дивиденды по годам'!M157&lt;&gt;"",'Дивиденды по годам'!M157&lt;&gt;0),('Дивиденды по годам'!J157+'Дивиденды по годам'!K157)/'Дивиденды по годам'!M157,""),"")</f>
        <v>0.48495087801247078</v>
      </c>
      <c r="V157">
        <f>IFERROR(IF(AND('Дивиденды по годам'!J157&lt;&gt;"",'Дивиденды по годам'!K157&lt;&gt;"",'Дивиденды по годам'!M157&lt;&gt;"",'Дивиденды по годам'!I157&lt;&gt;0),('Дивиденды по годам'!J157+'Дивиденды по годам'!K157)/'Дивиденды по годам'!I157,""),"")</f>
        <v>0.32657705059008568</v>
      </c>
      <c r="W157">
        <f>IFERROR('Дивиденды по годам'!I157,"")</f>
        <v>883770000000</v>
      </c>
      <c r="X157" cm="1">
        <f t="array" ref="X157">IFERROR(AVERAGE(_xlfn._xlws.FILTER(P$2:P$1073,($C$2:$C$1073=$C157)*($E$2:$E$1073=$E157)*(ROW(P$2:P$1073)&lt;&gt;ROW(P157))*(P$2:P$1073&lt;&gt;""))),"")</f>
        <v>26.027852027509859</v>
      </c>
      <c r="Y157" cm="1">
        <f t="array" ref="Y157">IFERROR(AVERAGE(_xlfn._xlws.FILTER(Q$2:Q$1073,($C$2:$C$1073=$C157)*($E$2:$E$1073=$E157)*(ROW(Q$2:Q$1073)&lt;&gt;ROW(Q157))*(Q$2:Q$1073&lt;&gt;""))),"")</f>
        <v>0.77098832977137111</v>
      </c>
      <c r="Z157" cm="1">
        <f t="array" ref="Z157">IFERROR(AVERAGE(_xlfn._xlws.FILTER(R$2:R$1073,($C$2:$C$1073=$C157)*($E$2:$E$1073=$E157)*(ROW(R$2:R$1073)&lt;&gt;ROW(R157))*(R$2:R$1073&lt;&gt;""))),"")</f>
        <v>1.9591980151834339E-2</v>
      </c>
      <c r="AA157" cm="1">
        <f t="array" ref="AA157">IFERROR(AVERAGE(_xlfn._xlws.FILTER(S$2:S$1073,($C$2:$C$1073=$C157)*($E$2:$E$1073=$E157)*(ROW(S$2:S$1073)&lt;&gt;ROW(S157))*(S$2:S$1073&lt;&gt;""))),"")</f>
        <v>0.66525278459670278</v>
      </c>
      <c r="AB157" cm="1">
        <f t="array" ref="AB157">IFERROR(AVERAGE(_xlfn._xlws.FILTER(T$2:T$1073,($C$2:$C$1073=$C157)*($E$2:$E$1073=$E157)*(ROW(T$2:T$1073)&lt;&gt;ROW(T157))*(T$2:T$1073&lt;&gt;""))),"")</f>
        <v>1.7595526074732665E-2</v>
      </c>
      <c r="AC157" cm="1">
        <f t="array" ref="AC157">IFERROR(AVERAGE(_xlfn._xlws.FILTER(U$2:U$1073,($C$2:$C$1073=$C157)*($E$2:$E$1073=$E157)*(ROW(U$2:U$1073)&lt;&gt;ROW(U157))*(U$2:U$1073&lt;&gt;""))),"")</f>
        <v>0.78066465049260914</v>
      </c>
      <c r="AD157" cm="1">
        <f t="array" ref="AD157">IFERROR(AVERAGE(_xlfn._xlws.FILTER(V$2:V$1073,($C$2:$C$1073=$C157)*($E$2:$E$1073=$E157)*(ROW(V$2:V$1073)&lt;&gt;ROW(V157))*(V$2:V$1073&lt;&gt;""))),"")</f>
        <v>0.41126355470091447</v>
      </c>
      <c r="AE157">
        <f>IF('Дивиденды по годам'!M157&lt;0,1,0)</f>
        <v>0</v>
      </c>
    </row>
    <row r="158" spans="1:31" x14ac:dyDescent="0.2">
      <c r="A158" s="7" t="s">
        <v>2196</v>
      </c>
      <c r="B158" t="str">
        <f t="shared" si="22"/>
        <v>HYDR IV кв. 2013</v>
      </c>
      <c r="C158">
        <v>2013</v>
      </c>
      <c r="D158">
        <f>SUMIFS(Дивиденды!$C:$C,Дивиденды!$A:$A,A158,Дивиденды!$I:$I,C158)</f>
        <v>1.3599999999999999E-2</v>
      </c>
      <c r="E158">
        <v>2</v>
      </c>
      <c r="F158">
        <f t="shared" si="23"/>
        <v>1.3599999999999999E-2</v>
      </c>
      <c r="G158">
        <f t="shared" si="24"/>
        <v>4.5309750000000003E-2</v>
      </c>
      <c r="H158">
        <f t="shared" si="25"/>
        <v>1</v>
      </c>
      <c r="I158">
        <f t="shared" si="26"/>
        <v>0.75</v>
      </c>
      <c r="J158">
        <f t="shared" si="27"/>
        <v>0.4231896190874842</v>
      </c>
      <c r="K158">
        <f t="shared" si="32"/>
        <v>-2.2312947171946956E-2</v>
      </c>
      <c r="L158">
        <f t="shared" si="28"/>
        <v>1</v>
      </c>
      <c r="M158">
        <f t="shared" si="29"/>
        <v>0.41666666666666669</v>
      </c>
      <c r="N158">
        <f t="shared" si="30"/>
        <v>0</v>
      </c>
      <c r="O158">
        <f t="shared" si="31"/>
        <v>0.33333333333333331</v>
      </c>
      <c r="P158">
        <f>IFERROR(LN('Дивиденды по годам'!I158),"")</f>
        <v>27.470906352928615</v>
      </c>
      <c r="Q158">
        <f>IFERROR('Дивиденды по годам'!G158/'Дивиденды по годам'!I158, "")</f>
        <v>0.74391054004126533</v>
      </c>
      <c r="R158">
        <f>IFERROR(IF(AND('Дивиденды по годам'!N158&lt;&gt;"",'Дивиденды по годам'!U158&lt;&gt;"",'Дивиденды по годам'!U158&lt;&gt;0),'Дивиденды по годам'!N158/'Дивиденды по годам'!U158-1,""),"")</f>
        <v>0.20215261487512071</v>
      </c>
      <c r="S158" t="str">
        <f>IFERROR(IF(AND('Дивиденды по годам'!L158&lt;&gt;"",'Дивиденды по годам'!I158&lt;&gt;"",'Дивиденды по годам'!J158&lt;&gt;"",'Дивиденды по годам'!K158&lt;&gt;"",('Дивиденды по годам'!I158-'Дивиденды по годам'!J158-'Дивиденды по годам'!K158)&lt;&gt;0),'Дивиденды по годам'!L158/('Дивиденды по годам'!I158-'Дивиденды по годам'!J158-'Дивиденды по годам'!K158),""),"")</f>
        <v/>
      </c>
      <c r="T158">
        <f>IFERROR(IF(AND('Дивиденды по годам'!Q158&lt;&gt;"",'Дивиденды по годам'!I158&lt;&gt;"",'Дивиденды по годам'!V158&lt;&gt;"",('Дивиденды по годам'!I158+'Дивиденды по годам'!V158)&lt;&gt;0),'Дивиденды по годам'!Q158/(('Дивиденды по годам'!I158+'Дивиденды по годам'!V158)/2),""),"")</f>
        <v>2.4599350946482672E-2</v>
      </c>
      <c r="U158">
        <f>IFERROR(IF(AND('Дивиденды по годам'!J158&lt;&gt;"",'Дивиденды по годам'!K158&lt;&gt;"",'Дивиденды по годам'!M158&lt;&gt;"",'Дивиденды по годам'!M158&lt;&gt;0),('Дивиденды по годам'!J158+'Дивиденды по годам'!K158)/'Дивиденды по годам'!M158,""),"")</f>
        <v>0.42791353210201993</v>
      </c>
      <c r="V158">
        <f>IFERROR(IF(AND('Дивиденды по годам'!J158&lt;&gt;"",'Дивиденды по годам'!K158&lt;&gt;"",'Дивиденды по годам'!M158&lt;&gt;"",'Дивиденды по годам'!I158&lt;&gt;0),('Дивиденды по годам'!J158+'Дивиденды по годам'!K158)/'Дивиденды по годам'!I158,""),"")</f>
        <v>0.29967748220166518</v>
      </c>
      <c r="W158">
        <f>IFERROR('Дивиденды по годам'!I158,"")</f>
        <v>852046000000</v>
      </c>
      <c r="X158" cm="1">
        <f t="array" ref="X158">IFERROR(AVERAGE(_xlfn._xlws.FILTER(P$2:P$1073,($C$2:$C$1073=$C158)*($E$2:$E$1073=$E158)*(ROW(P$2:P$1073)&lt;&gt;ROW(P158))*(P$2:P$1073&lt;&gt;""))),"")</f>
        <v>25.971672996022722</v>
      </c>
      <c r="Y158" cm="1">
        <f t="array" ref="Y158">IFERROR(AVERAGE(_xlfn._xlws.FILTER(Q$2:Q$1073,($C$2:$C$1073=$C158)*($E$2:$E$1073=$E158)*(ROW(Q$2:Q$1073)&lt;&gt;ROW(Q158))*(Q$2:Q$1073&lt;&gt;""))),"")</f>
        <v>0.78674155859445949</v>
      </c>
      <c r="Z158" cm="1">
        <f t="array" ref="Z158">IFERROR(AVERAGE(_xlfn._xlws.FILTER(R$2:R$1073,($C$2:$C$1073=$C158)*($E$2:$E$1073=$E158)*(ROW(R$2:R$1073)&lt;&gt;ROW(R158))*(R$2:R$1073&lt;&gt;""))),"")</f>
        <v>8.6188700424527712E-2</v>
      </c>
      <c r="AA158" cm="1">
        <f t="array" ref="AA158">IFERROR(AVERAGE(_xlfn._xlws.FILTER(S$2:S$1073,($C$2:$C$1073=$C158)*($E$2:$E$1073=$E158)*(ROW(S$2:S$1073)&lt;&gt;ROW(S158))*(S$2:S$1073&lt;&gt;""))),"")</f>
        <v>0.4636519590056305</v>
      </c>
      <c r="AB158" cm="1">
        <f t="array" ref="AB158">IFERROR(AVERAGE(_xlfn._xlws.FILTER(T$2:T$1073,($C$2:$C$1073=$C158)*($E$2:$E$1073=$E158)*(ROW(T$2:T$1073)&lt;&gt;ROW(T158))*(T$2:T$1073&lt;&gt;""))),"")</f>
        <v>-8.1585446931597694E-3</v>
      </c>
      <c r="AC158" cm="1">
        <f t="array" ref="AC158">IFERROR(AVERAGE(_xlfn._xlws.FILTER(U$2:U$1073,($C$2:$C$1073=$C158)*($E$2:$E$1073=$E158)*(ROW(U$2:U$1073)&lt;&gt;ROW(U158))*(U$2:U$1073&lt;&gt;""))),"")</f>
        <v>0.70210112326305241</v>
      </c>
      <c r="AD158" cm="1">
        <f t="array" ref="AD158">IFERROR(AVERAGE(_xlfn._xlws.FILTER(V$2:V$1073,($C$2:$C$1073=$C158)*($E$2:$E$1073=$E158)*(ROW(V$2:V$1073)&lt;&gt;ROW(V158))*(V$2:V$1073&lt;&gt;""))),"")</f>
        <v>0.38535159650848622</v>
      </c>
      <c r="AE158">
        <f>IF('Дивиденды по годам'!M158&lt;0,1,0)</f>
        <v>0</v>
      </c>
    </row>
    <row r="159" spans="1:31" x14ac:dyDescent="0.2">
      <c r="A159" s="7" t="s">
        <v>2196</v>
      </c>
      <c r="B159" t="str">
        <f t="shared" si="22"/>
        <v>HYDR IV кв. 2012</v>
      </c>
      <c r="C159">
        <v>2012</v>
      </c>
      <c r="D159">
        <f>SUMIFS(Дивиденды!$C:$C,Дивиденды!$A:$A,A159,Дивиденды!$I:$I,C159)</f>
        <v>9.5560000000000003E-3</v>
      </c>
      <c r="E159">
        <v>2</v>
      </c>
      <c r="F159">
        <f t="shared" si="23"/>
        <v>9.5560000000000003E-3</v>
      </c>
      <c r="G159">
        <f t="shared" si="24"/>
        <v>3.6366000000000002E-2</v>
      </c>
      <c r="H159">
        <f t="shared" si="25"/>
        <v>1</v>
      </c>
      <c r="I159">
        <f t="shared" si="26"/>
        <v>0.66666666666666663</v>
      </c>
      <c r="J159">
        <f t="shared" si="27"/>
        <v>0.21069301913087538</v>
      </c>
      <c r="K159">
        <f t="shared" si="32"/>
        <v>0.72324429141259261</v>
      </c>
      <c r="L159">
        <f t="shared" si="28"/>
        <v>1</v>
      </c>
      <c r="M159">
        <f t="shared" si="29"/>
        <v>0.5</v>
      </c>
      <c r="N159">
        <f t="shared" si="30"/>
        <v>0</v>
      </c>
      <c r="O159">
        <f t="shared" si="31"/>
        <v>0.16666666666666666</v>
      </c>
      <c r="P159">
        <f>IFERROR(LN('Дивиденды по годам'!I159),"")</f>
        <v>27.474071355661476</v>
      </c>
      <c r="Q159">
        <f>IFERROR('Дивиденды по годам'!G159/'Дивиденды по годам'!I159, "")</f>
        <v>0.70718118928759033</v>
      </c>
      <c r="R159">
        <f>IFERROR(IF(AND('Дивиденды по годам'!N159&lt;&gt;"",'Дивиденды по годам'!U159&lt;&gt;"",'Дивиденды по годам'!U159&lt;&gt;0),'Дивиденды по годам'!N159/'Дивиденды по годам'!U159-1,""),"")</f>
        <v>-0.28049443048657052</v>
      </c>
      <c r="S159" t="str">
        <f>IFERROR(IF(AND('Дивиденды по годам'!L159&lt;&gt;"",'Дивиденды по годам'!I159&lt;&gt;"",'Дивиденды по годам'!J159&lt;&gt;"",'Дивиденды по годам'!K159&lt;&gt;"",('Дивиденды по годам'!I159-'Дивиденды по годам'!J159-'Дивиденды по годам'!K159)&lt;&gt;0),'Дивиденды по годам'!L159/('Дивиденды по годам'!I159-'Дивиденды по годам'!J159-'Дивиденды по годам'!K159),""),"")</f>
        <v/>
      </c>
      <c r="T159">
        <f>IFERROR(IF(AND('Дивиденды по годам'!Q159&lt;&gt;"",'Дивиденды по годам'!I159&lt;&gt;"",'Дивиденды по годам'!V159&lt;&gt;"",('Дивиденды по годам'!I159+'Дивиденды по годам'!V159)&lt;&gt;0),'Дивиденды по годам'!Q159/(('Дивиденды по годам'!I159+'Дивиденды по годам'!V159)/2),""),"")</f>
        <v>-3.0649313243685982E-2</v>
      </c>
      <c r="U159">
        <f>IFERROR(IF(AND('Дивиденды по годам'!J159&lt;&gt;"",'Дивиденды по годам'!K159&lt;&gt;"",'Дивиденды по годам'!M159&lt;&gt;"",'Дивиденды по годам'!M159&lt;&gt;0),('Дивиденды по годам'!J159+'Дивиденды по годам'!K159)/'Дивиденды по годам'!M159,""),"")</f>
        <v>0.55713370295043607</v>
      </c>
      <c r="V159">
        <f>IFERROR(IF(AND('Дивиденды по годам'!J159&lt;&gt;"",'Дивиденды по годам'!K159&lt;&gt;"",'Дивиденды по годам'!M159&lt;&gt;"",'Дивиденды по годам'!I159&lt;&gt;0),('Дивиденды по годам'!J159+'Дивиденды по годам'!K159)/'Дивиденды по годам'!I159,""),"")</f>
        <v>0.35093191318600708</v>
      </c>
      <c r="W159">
        <f>IFERROR('Дивиденды по годам'!I159,"")</f>
        <v>854747000000</v>
      </c>
      <c r="X159" cm="1">
        <f t="array" ref="X159">IFERROR(AVERAGE(_xlfn._xlws.FILTER(P$2:P$1073,($C$2:$C$1073=$C159)*($E$2:$E$1073=$E159)*(ROW(P$2:P$1073)&lt;&gt;ROW(P159))*(P$2:P$1073&lt;&gt;""))),"")</f>
        <v>25.967468997738216</v>
      </c>
      <c r="Y159" cm="1">
        <f t="array" ref="Y159">IFERROR(AVERAGE(_xlfn._xlws.FILTER(Q$2:Q$1073,($C$2:$C$1073=$C159)*($E$2:$E$1073=$E159)*(ROW(Q$2:Q$1073)&lt;&gt;ROW(Q159))*(Q$2:Q$1073&lt;&gt;""))),"")</f>
        <v>0.78475920045271597</v>
      </c>
      <c r="Z159" cm="1">
        <f t="array" ref="Z159">IFERROR(AVERAGE(_xlfn._xlws.FILTER(R$2:R$1073,($C$2:$C$1073=$C159)*($E$2:$E$1073=$E159)*(ROW(R$2:R$1073)&lt;&gt;ROW(R159))*(R$2:R$1073&lt;&gt;""))),"")</f>
        <v>1.3546090104059667E-2</v>
      </c>
      <c r="AA159" cm="1">
        <f t="array" ref="AA159">IFERROR(AVERAGE(_xlfn._xlws.FILTER(S$2:S$1073,($C$2:$C$1073=$C159)*($E$2:$E$1073=$E159)*(ROW(S$2:S$1073)&lt;&gt;ROW(S159))*(S$2:S$1073&lt;&gt;""))),"")</f>
        <v>0.44715527647269881</v>
      </c>
      <c r="AB159" cm="1">
        <f t="array" ref="AB159">IFERROR(AVERAGE(_xlfn._xlws.FILTER(T$2:T$1073,($C$2:$C$1073=$C159)*($E$2:$E$1073=$E159)*(ROW(T$2:T$1073)&lt;&gt;ROW(T159))*(T$2:T$1073&lt;&gt;""))),"")</f>
        <v>2.5774683625367875E-2</v>
      </c>
      <c r="AC159" cm="1">
        <f t="array" ref="AC159">IFERROR(AVERAGE(_xlfn._xlws.FILTER(U$2:U$1073,($C$2:$C$1073=$C159)*($E$2:$E$1073=$E159)*(ROW(U$2:U$1073)&lt;&gt;ROW(U159))*(U$2:U$1073&lt;&gt;""))),"")</f>
        <v>0.66076629697866951</v>
      </c>
      <c r="AD159" cm="1">
        <f t="array" ref="AD159">IFERROR(AVERAGE(_xlfn._xlws.FILTER(V$2:V$1073,($C$2:$C$1073=$C159)*($E$2:$E$1073=$E159)*(ROW(V$2:V$1073)&lt;&gt;ROW(V159))*(V$2:V$1073&lt;&gt;""))),"")</f>
        <v>0.38092404682936615</v>
      </c>
      <c r="AE159">
        <f>IF('Дивиденды по годам'!M159&lt;0,1,0)</f>
        <v>0</v>
      </c>
    </row>
    <row r="160" spans="1:31" x14ac:dyDescent="0.2">
      <c r="A160" s="7" t="s">
        <v>2196</v>
      </c>
      <c r="B160" t="str">
        <f t="shared" si="22"/>
        <v>HYDR IV кв. 2011</v>
      </c>
      <c r="C160">
        <v>2011</v>
      </c>
      <c r="D160">
        <f>SUMIFS(Дивиденды!$C:$C,Дивиденды!$A:$A,A160,Дивиденды!$I:$I,C160)</f>
        <v>7.8930000000000007E-3</v>
      </c>
      <c r="E160">
        <v>2</v>
      </c>
      <c r="F160">
        <f t="shared" si="23"/>
        <v>7.8930000000000007E-3</v>
      </c>
      <c r="G160">
        <f t="shared" si="24"/>
        <v>1.0889000000000001E-2</v>
      </c>
      <c r="H160">
        <f t="shared" si="25"/>
        <v>1</v>
      </c>
      <c r="I160">
        <f t="shared" si="26"/>
        <v>0.75</v>
      </c>
      <c r="J160">
        <f t="shared" si="27"/>
        <v>-8.2316009766306084E-2</v>
      </c>
      <c r="K160">
        <f t="shared" si="32"/>
        <v>5.7629917416652909E-2</v>
      </c>
      <c r="L160">
        <f t="shared" si="28"/>
        <v>0</v>
      </c>
      <c r="M160">
        <f t="shared" si="29"/>
        <v>0.5</v>
      </c>
      <c r="N160">
        <f t="shared" si="30"/>
        <v>1</v>
      </c>
      <c r="O160">
        <f t="shared" si="31"/>
        <v>0.33333333333333331</v>
      </c>
      <c r="P160">
        <f>IFERROR(LN('Дивиденды по годам'!I160),"")</f>
        <v>27.422498900013437</v>
      </c>
      <c r="Q160">
        <f>IFERROR('Дивиденды по годам'!G160/'Дивиденды по годам'!I160, "")</f>
        <v>0.70046921406336426</v>
      </c>
      <c r="R160" t="str">
        <f>IFERROR(IF(AND('Дивиденды по годам'!N160&lt;&gt;"",'Дивиденды по годам'!U160&lt;&gt;"",'Дивиденды по годам'!U160&lt;&gt;0),'Дивиденды по годам'!N160/'Дивиденды по годам'!U160-1,""),"")</f>
        <v/>
      </c>
      <c r="S160" t="str">
        <f>IFERROR(IF(AND('Дивиденды по годам'!L160&lt;&gt;"",'Дивиденды по годам'!I160&lt;&gt;"",'Дивиденды по годам'!J160&lt;&gt;"",'Дивиденды по годам'!K160&lt;&gt;"",('Дивиденды по годам'!I160-'Дивиденды по годам'!J160-'Дивиденды по годам'!K160)&lt;&gt;0),'Дивиденды по годам'!L160/('Дивиденды по годам'!I160-'Дивиденды по годам'!J160-'Дивиденды по годам'!K160),""),"")</f>
        <v/>
      </c>
      <c r="T160" t="str">
        <f>IFERROR(IF(AND('Дивиденды по годам'!Q160&lt;&gt;"",'Дивиденды по годам'!I160&lt;&gt;"",'Дивиденды по годам'!V160&lt;&gt;"",('Дивиденды по годам'!I160+'Дивиденды по годам'!V160)&lt;&gt;0),'Дивиденды по годам'!Q160/(('Дивиденды по годам'!I160+'Дивиденды по годам'!V160)/2),""),"")</f>
        <v/>
      </c>
      <c r="U160">
        <f>IFERROR(IF(AND('Дивиденды по годам'!J160&lt;&gt;"",'Дивиденды по годам'!K160&lt;&gt;"",'Дивиденды по годам'!M160&lt;&gt;"",'Дивиденды по годам'!M160&lt;&gt;0),('Дивиденды по годам'!J160+'Дивиденды по годам'!K160)/'Дивиденды по годам'!M160,""),"")</f>
        <v>0.51940706808025738</v>
      </c>
      <c r="V160">
        <f>IFERROR(IF(AND('Дивиденды по годам'!J160&lt;&gt;"",'Дивиденды по годам'!K160&lt;&gt;"",'Дивиденды по годам'!M160&lt;&gt;"",'Дивиденды по годам'!I160&lt;&gt;0),('Дивиденды по годам'!J160+'Дивиденды по годам'!K160)/'Дивиденды по годам'!I160,""),"")</f>
        <v>0.33633495650931344</v>
      </c>
      <c r="W160">
        <f>IFERROR('Дивиденды по годам'!I160,"")</f>
        <v>811783000000</v>
      </c>
      <c r="X160" cm="1">
        <f t="array" ref="X160">IFERROR(AVERAGE(_xlfn._xlws.FILTER(P$2:P$1073,($C$2:$C$1073=$C160)*($E$2:$E$1073=$E160)*(ROW(P$2:P$1073)&lt;&gt;ROW(P160))*(P$2:P$1073&lt;&gt;""))),"")</f>
        <v>26.003065991666599</v>
      </c>
      <c r="Y160" cm="1">
        <f t="array" ref="Y160">IFERROR(AVERAGE(_xlfn._xlws.FILTER(Q$2:Q$1073,($C$2:$C$1073=$C160)*($E$2:$E$1073=$E160)*(ROW(Q$2:Q$1073)&lt;&gt;ROW(Q160))*(Q$2:Q$1073&lt;&gt;""))),"")</f>
        <v>0.7739975827062503</v>
      </c>
      <c r="Z160" cm="1">
        <f t="array" ref="Z160">IFERROR(AVERAGE(_xlfn._xlws.FILTER(R$2:R$1073,($C$2:$C$1073=$C160)*($E$2:$E$1073=$E160)*(ROW(R$2:R$1073)&lt;&gt;ROW(R160))*(R$2:R$1073&lt;&gt;""))),"")</f>
        <v>0.14348983045887875</v>
      </c>
      <c r="AA160" cm="1">
        <f t="array" ref="AA160">IFERROR(AVERAGE(_xlfn._xlws.FILTER(S$2:S$1073,($C$2:$C$1073=$C160)*($E$2:$E$1073=$E160)*(ROW(S$2:S$1073)&lt;&gt;ROW(S160))*(S$2:S$1073&lt;&gt;""))),"")</f>
        <v>0.39850050246333968</v>
      </c>
      <c r="AB160" cm="1">
        <f t="array" ref="AB160">IFERROR(AVERAGE(_xlfn._xlws.FILTER(T$2:T$1073,($C$2:$C$1073=$C160)*($E$2:$E$1073=$E160)*(ROW(T$2:T$1073)&lt;&gt;ROW(T160))*(T$2:T$1073&lt;&gt;""))),"")</f>
        <v>4.5214358774442007E-2</v>
      </c>
      <c r="AC160" cm="1">
        <f t="array" ref="AC160">IFERROR(AVERAGE(_xlfn._xlws.FILTER(U$2:U$1073,($C$2:$C$1073=$C160)*($E$2:$E$1073=$E160)*(ROW(U$2:U$1073)&lt;&gt;ROW(U160))*(U$2:U$1073&lt;&gt;""))),"")</f>
        <v>0.60307212179507841</v>
      </c>
      <c r="AD160" cm="1">
        <f t="array" ref="AD160">IFERROR(AVERAGE(_xlfn._xlws.FILTER(V$2:V$1073,($C$2:$C$1073=$C160)*($E$2:$E$1073=$E160)*(ROW(V$2:V$1073)&lt;&gt;ROW(V160))*(V$2:V$1073&lt;&gt;""))),"")</f>
        <v>0.36076538022220389</v>
      </c>
      <c r="AE160">
        <f>IF('Дивиденды по годам'!M160&lt;0,1,0)</f>
        <v>0</v>
      </c>
    </row>
    <row r="161" spans="1:31" x14ac:dyDescent="0.2">
      <c r="A161" s="7" t="s">
        <v>2196</v>
      </c>
      <c r="B161" t="str">
        <f t="shared" si="22"/>
        <v>HYDR IV кв. 2010</v>
      </c>
      <c r="C161">
        <v>2010</v>
      </c>
      <c r="D161">
        <f>SUMIFS(Дивиденды!$C:$C,Дивиденды!$A:$A,A161,Дивиденды!$I:$I,C161)</f>
        <v>8.6009999999999993E-3</v>
      </c>
      <c r="E161">
        <v>2</v>
      </c>
      <c r="F161">
        <f t="shared" si="23"/>
        <v>8.6009999999999993E-3</v>
      </c>
      <c r="G161">
        <f t="shared" si="24"/>
        <v>5.8450833333333341E-3</v>
      </c>
      <c r="H161">
        <f t="shared" si="25"/>
        <v>1</v>
      </c>
      <c r="I161">
        <f t="shared" si="26"/>
        <v>0.75</v>
      </c>
      <c r="J161" t="str">
        <f t="shared" si="27"/>
        <v/>
      </c>
      <c r="K161" t="str">
        <f t="shared" si="32"/>
        <v/>
      </c>
      <c r="L161" t="str">
        <f t="shared" si="28"/>
        <v/>
      </c>
      <c r="M161" t="str">
        <f t="shared" si="29"/>
        <v/>
      </c>
      <c r="N161" t="str">
        <f t="shared" si="30"/>
        <v/>
      </c>
      <c r="O161" t="str">
        <f t="shared" si="31"/>
        <v/>
      </c>
      <c r="P161" t="str">
        <f>IFERROR(LN('Дивиденды по годам'!I161),"")</f>
        <v/>
      </c>
      <c r="Q161" t="str">
        <f>IFERROR('Дивиденды по годам'!G161/'Дивиденды по годам'!I161, "")</f>
        <v/>
      </c>
      <c r="R161" t="str">
        <f>IFERROR(IF(AND('Дивиденды по годам'!N161&lt;&gt;"",'Дивиденды по годам'!U161&lt;&gt;"",'Дивиденды по годам'!U161&lt;&gt;0),'Дивиденды по годам'!N161/'Дивиденды по годам'!U161-1,""),"")</f>
        <v/>
      </c>
      <c r="S161" t="str">
        <f>IFERROR(IF(AND('Дивиденды по годам'!L161&lt;&gt;"",'Дивиденды по годам'!I161&lt;&gt;"",'Дивиденды по годам'!J161&lt;&gt;"",'Дивиденды по годам'!K161&lt;&gt;"",('Дивиденды по годам'!I161-'Дивиденды по годам'!J161-'Дивиденды по годам'!K161)&lt;&gt;0),'Дивиденды по годам'!L161/('Дивиденды по годам'!I161-'Дивиденды по годам'!J161-'Дивиденды по годам'!K161),""),"")</f>
        <v/>
      </c>
      <c r="T161" t="str">
        <f>IFERROR(IF(AND('Дивиденды по годам'!Q161&lt;&gt;"",'Дивиденды по годам'!I161&lt;&gt;"",'Дивиденды по годам'!V161&lt;&gt;"",('Дивиденды по годам'!I161+'Дивиденды по годам'!V161)&lt;&gt;0),'Дивиденды по годам'!Q161/(('Дивиденды по годам'!I161+'Дивиденды по годам'!V161)/2),""),"")</f>
        <v/>
      </c>
      <c r="U161" t="str">
        <f>IFERROR(IF(AND('Дивиденды по годам'!J161&lt;&gt;"",'Дивиденды по годам'!K161&lt;&gt;"",'Дивиденды по годам'!M161&lt;&gt;"",'Дивиденды по годам'!M161&lt;&gt;0),('Дивиденды по годам'!J161+'Дивиденды по годам'!K161)/'Дивиденды по годам'!M161,""),"")</f>
        <v/>
      </c>
      <c r="V161" t="str">
        <f>IFERROR(IF(AND('Дивиденды по годам'!J161&lt;&gt;"",'Дивиденды по годам'!K161&lt;&gt;"",'Дивиденды по годам'!M161&lt;&gt;"",'Дивиденды по годам'!I161&lt;&gt;0),('Дивиденды по годам'!J161+'Дивиденды по годам'!K161)/'Дивиденды по годам'!I161,""),"")</f>
        <v/>
      </c>
      <c r="W161" t="str">
        <f>IFERROR('Дивиденды по годам'!I161,"")</f>
        <v/>
      </c>
      <c r="X161" cm="1">
        <f t="array" ref="X161">IFERROR(AVERAGE(_xlfn._xlws.FILTER(P$2:P$1073,($C$2:$C$1073=$C161)*($E$2:$E$1073=$E161)*(ROW(P$2:P$1073)&lt;&gt;ROW(P161))*(P$2:P$1073&lt;&gt;""))),"")</f>
        <v>24.730948088520865</v>
      </c>
      <c r="Y161" cm="1">
        <f t="array" ref="Y161">IFERROR(AVERAGE(_xlfn._xlws.FILTER(Q$2:Q$1073,($C$2:$C$1073=$C161)*($E$2:$E$1073=$E161)*(ROW(Q$2:Q$1073)&lt;&gt;ROW(Q161))*(Q$2:Q$1073&lt;&gt;""))),"")</f>
        <v>0.82035195639515091</v>
      </c>
      <c r="Z161" t="str" cm="1">
        <f t="array" ref="Z161">IFERROR(AVERAGE(_xlfn._xlws.FILTER(R$2:R$1073,($C$2:$C$1073=$C161)*($E$2:$E$1073=$E161)*(ROW(R$2:R$1073)&lt;&gt;ROW(R161))*(R$2:R$1073&lt;&gt;""))),"")</f>
        <v/>
      </c>
      <c r="AA161" t="str" cm="1">
        <f t="array" ref="AA161">IFERROR(AVERAGE(_xlfn._xlws.FILTER(S$2:S$1073,($C$2:$C$1073=$C161)*($E$2:$E$1073=$E161)*(ROW(S$2:S$1073)&lt;&gt;ROW(S161))*(S$2:S$1073&lt;&gt;""))),"")</f>
        <v/>
      </c>
      <c r="AB161" t="str" cm="1">
        <f t="array" ref="AB161">IFERROR(AVERAGE(_xlfn._xlws.FILTER(T$2:T$1073,($C$2:$C$1073=$C161)*($E$2:$E$1073=$E161)*(ROW(T$2:T$1073)&lt;&gt;ROW(T161))*(T$2:T$1073&lt;&gt;""))),"")</f>
        <v/>
      </c>
      <c r="AC161" cm="1">
        <f t="array" ref="AC161">IFERROR(AVERAGE(_xlfn._xlws.FILTER(U$2:U$1073,($C$2:$C$1073=$C161)*($E$2:$E$1073=$E161)*(ROW(U$2:U$1073)&lt;&gt;ROW(U161))*(U$2:U$1073&lt;&gt;""))),"")</f>
        <v>0.91314375247969903</v>
      </c>
      <c r="AD161" cm="1">
        <f t="array" ref="AD161">IFERROR(AVERAGE(_xlfn._xlws.FILTER(V$2:V$1073,($C$2:$C$1073=$C161)*($E$2:$E$1073=$E161)*(ROW(V$2:V$1073)&lt;&gt;ROW(V161))*(V$2:V$1073&lt;&gt;""))),"")</f>
        <v>0.47730012514539921</v>
      </c>
      <c r="AE161">
        <f>IF('Дивиденды по годам'!M161&lt;0,1,0)</f>
        <v>0</v>
      </c>
    </row>
    <row r="162" spans="1:31" x14ac:dyDescent="0.2">
      <c r="A162" s="7" t="s">
        <v>2198</v>
      </c>
      <c r="B162" t="str">
        <f t="shared" si="22"/>
        <v>IRAO IV кв. 2025</v>
      </c>
      <c r="C162">
        <v>2025</v>
      </c>
      <c r="D162">
        <f>SUMIFS(Дивиденды!$C:$C,Дивиденды!$A:$A,A162,Дивиденды!$I:$I,C162)</f>
        <v>0</v>
      </c>
      <c r="E162">
        <v>2</v>
      </c>
      <c r="F162">
        <f t="shared" si="23"/>
        <v>0</v>
      </c>
      <c r="G162">
        <f t="shared" si="24"/>
        <v>0</v>
      </c>
      <c r="H162">
        <f t="shared" si="25"/>
        <v>0</v>
      </c>
      <c r="I162">
        <f t="shared" si="26"/>
        <v>0</v>
      </c>
      <c r="J162">
        <f t="shared" si="27"/>
        <v>-1</v>
      </c>
      <c r="K162">
        <f t="shared" si="32"/>
        <v>-0.5</v>
      </c>
      <c r="L162">
        <f t="shared" si="28"/>
        <v>0</v>
      </c>
      <c r="M162">
        <f t="shared" si="29"/>
        <v>0</v>
      </c>
      <c r="N162">
        <f t="shared" si="30"/>
        <v>1</v>
      </c>
      <c r="O162">
        <f t="shared" si="31"/>
        <v>0.5</v>
      </c>
      <c r="P162">
        <f>IFERROR(LN('Дивиденды по годам'!I162),"")</f>
        <v>28.086642438860924</v>
      </c>
      <c r="Q162">
        <f>IFERROR('Дивиденды по годам'!G162/'Дивиденды по годам'!I162, "")</f>
        <v>0.38897367598451132</v>
      </c>
      <c r="R162">
        <f>IFERROR(IF(AND('Дивиденды по годам'!N162&lt;&gt;"",'Дивиденды по годам'!U162&lt;&gt;"",'Дивиденды по годам'!U162&lt;&gt;0),'Дивиденды по годам'!N162/'Дивиденды по годам'!U162-1,""),"")</f>
        <v>0.13702696960244687</v>
      </c>
      <c r="S162">
        <f>IFERROR(IF(AND('Дивиденды по годам'!L162&lt;&gt;"",'Дивиденды по годам'!I162&lt;&gt;"",'Дивиденды по годам'!J162&lt;&gt;"",'Дивиденды по годам'!K162&lt;&gt;"",('Дивиденды по годам'!I162-'Дивиденды по годам'!J162-'Дивиденды по годам'!K162)&lt;&gt;0),'Дивиденды по годам'!L162/('Дивиденды по годам'!I162-'Дивиденды по годам'!J162-'Дивиденды по годам'!K162),""),"")</f>
        <v>0.74925382308648103</v>
      </c>
      <c r="T162">
        <f>IFERROR(IF(AND('Дивиденды по годам'!Q162&lt;&gt;"",'Дивиденды по годам'!I162&lt;&gt;"",'Дивиденды по годам'!V162&lt;&gt;"",('Дивиденды по годам'!I162+'Дивиденды по годам'!V162)&lt;&gt;0),'Дивиденды по годам'!Q162/(('Дивиденды по годам'!I162+'Дивиденды по годам'!V162)/2),""),"")</f>
        <v>8.8102531086433747E-2</v>
      </c>
      <c r="U162">
        <f>IFERROR(IF(AND('Дивиденды по годам'!J162&lt;&gt;"",'Дивиденды по годам'!K162&lt;&gt;"",'Дивиденды по годам'!M162&lt;&gt;"",'Дивиденды по годам'!M162&lt;&gt;0),('Дивиденды по годам'!J162+'Дивиденды по годам'!K162)/'Дивиденды по годам'!M162,""),"")</f>
        <v>0.38491927942009385</v>
      </c>
      <c r="V162">
        <f>IFERROR(IF(AND('Дивиденды по годам'!J162&lt;&gt;"",'Дивиденды по годам'!K162&lt;&gt;"",'Дивиденды по годам'!M162&lt;&gt;"",'Дивиденды по годам'!I162&lt;&gt;0),('Дивиденды по годам'!J162+'Дивиденды по годам'!K162)/'Дивиденды по годам'!I162,""),"")</f>
        <v>0.27793625602588967</v>
      </c>
      <c r="W162">
        <f>IFERROR('Дивиденды по годам'!I162,"")</f>
        <v>1577153000000</v>
      </c>
      <c r="X162" cm="1">
        <f t="array" ref="X162">IFERROR(AVERAGE(_xlfn._xlws.FILTER(P$2:P$1073,($C$2:$C$1073=$C162)*($E$2:$E$1073=$E162)*(ROW(P$2:P$1073)&lt;&gt;ROW(P162))*(P$2:P$1073&lt;&gt;""))),"")</f>
        <v>26.364672313512415</v>
      </c>
      <c r="Y162" cm="1">
        <f t="array" ref="Y162">IFERROR(AVERAGE(_xlfn._xlws.FILTER(Q$2:Q$1073,($C$2:$C$1073=$C162)*($E$2:$E$1073=$E162)*(ROW(Q$2:Q$1073)&lt;&gt;ROW(Q162))*(Q$2:Q$1073&lt;&gt;""))),"")</f>
        <v>0.71882905970905342</v>
      </c>
      <c r="Z162" cm="1">
        <f t="array" ref="Z162">IFERROR(AVERAGE(_xlfn._xlws.FILTER(R$2:R$1073,($C$2:$C$1073=$C162)*($E$2:$E$1073=$E162)*(ROW(R$2:R$1073)&lt;&gt;ROW(R162))*(R$2:R$1073&lt;&gt;""))),"")</f>
        <v>0.18228327023804392</v>
      </c>
      <c r="AA162" cm="1">
        <f t="array" ref="AA162">IFERROR(AVERAGE(_xlfn._xlws.FILTER(S$2:S$1073,($C$2:$C$1073=$C162)*($E$2:$E$1073=$E162)*(ROW(S$2:S$1073)&lt;&gt;ROW(S162))*(S$2:S$1073&lt;&gt;""))),"")</f>
        <v>0.75729569698680532</v>
      </c>
      <c r="AB162" cm="1">
        <f t="array" ref="AB162">IFERROR(AVERAGE(_xlfn._xlws.FILTER(T$2:T$1073,($C$2:$C$1073=$C162)*($E$2:$E$1073=$E162)*(ROW(T$2:T$1073)&lt;&gt;ROW(T162))*(T$2:T$1073&lt;&gt;""))),"")</f>
        <v>0.10519775825338691</v>
      </c>
      <c r="AC162" cm="1">
        <f t="array" ref="AC162">IFERROR(AVERAGE(_xlfn._xlws.FILTER(U$2:U$1073,($C$2:$C$1073=$C162)*($E$2:$E$1073=$E162)*(ROW(U$2:U$1073)&lt;&gt;ROW(U162))*(U$2:U$1073&lt;&gt;""))),"")</f>
        <v>0.96141315188849141</v>
      </c>
      <c r="AD162" cm="1">
        <f t="array" ref="AD162">IFERROR(AVERAGE(_xlfn._xlws.FILTER(V$2:V$1073,($C$2:$C$1073=$C162)*($E$2:$E$1073=$E162)*(ROW(V$2:V$1073)&lt;&gt;ROW(V162))*(V$2:V$1073&lt;&gt;""))),"")</f>
        <v>0.45319482974775394</v>
      </c>
      <c r="AE162">
        <f>IF('Дивиденды по годам'!M162&lt;0,1,0)</f>
        <v>0</v>
      </c>
    </row>
    <row r="163" spans="1:31" x14ac:dyDescent="0.2">
      <c r="A163" s="7" t="s">
        <v>2198</v>
      </c>
      <c r="B163" t="str">
        <f t="shared" si="22"/>
        <v>IRAO IV кв. 2024</v>
      </c>
      <c r="C163">
        <v>2024</v>
      </c>
      <c r="D163">
        <f>SUMIFS(Дивиденды!$C:$C,Дивиденды!$A:$A,A163,Дивиденды!$I:$I,C163)</f>
        <v>0.35</v>
      </c>
      <c r="E163">
        <v>2</v>
      </c>
      <c r="F163">
        <f t="shared" si="23"/>
        <v>0.35</v>
      </c>
      <c r="G163">
        <f t="shared" si="24"/>
        <v>3.4233333333333331E-2</v>
      </c>
      <c r="H163">
        <f t="shared" si="25"/>
        <v>1</v>
      </c>
      <c r="I163">
        <f t="shared" si="26"/>
        <v>0.5</v>
      </c>
      <c r="J163">
        <f t="shared" si="27"/>
        <v>6.060606060606049E-2</v>
      </c>
      <c r="K163">
        <f t="shared" si="32"/>
        <v>8.111014839249911E-2</v>
      </c>
      <c r="L163">
        <f t="shared" si="28"/>
        <v>1</v>
      </c>
      <c r="M163">
        <f t="shared" si="29"/>
        <v>0.5</v>
      </c>
      <c r="N163">
        <f t="shared" si="30"/>
        <v>0</v>
      </c>
      <c r="O163">
        <f t="shared" si="31"/>
        <v>8.3333333333333329E-2</v>
      </c>
      <c r="P163">
        <f>IFERROR(LN('Дивиденды по годам'!I163),"")</f>
        <v>28.010134719579103</v>
      </c>
      <c r="Q163">
        <f>IFERROR('Дивиденды по годам'!G163/'Дивиденды по годам'!I163, "")</f>
        <v>0.3240749930355396</v>
      </c>
      <c r="R163">
        <f>IFERROR(IF(AND('Дивиденды по годам'!N163&lt;&gt;"",'Дивиденды по годам'!U163&lt;&gt;"",'Дивиденды по годам'!U163&lt;&gt;0),'Дивиденды по годам'!N163/'Дивиденды по годам'!U163-1,""),"")</f>
        <v>0.13873226851909726</v>
      </c>
      <c r="S163">
        <f>IFERROR(IF(AND('Дивиденды по годам'!L163&lt;&gt;"",'Дивиденды по годам'!I163&lt;&gt;"",'Дивиденды по годам'!J163&lt;&gt;"",'Дивиденды по годам'!K163&lt;&gt;"",('Дивиденды по годам'!I163-'Дивиденды по годам'!J163-'Дивиденды по годам'!K163)&lt;&gt;0),'Дивиденды по годам'!L163/('Дивиденды по годам'!I163-'Дивиденды по годам'!J163-'Дивиденды по годам'!K163),""),"")</f>
        <v>0.71775013087796014</v>
      </c>
      <c r="T163">
        <f>IFERROR(IF(AND('Дивиденды по годам'!Q163&lt;&gt;"",'Дивиденды по годам'!I163&lt;&gt;"",'Дивиденды по годам'!V163&lt;&gt;"",('Дивиденды по годам'!I163+'Дивиденды по годам'!V163)&lt;&gt;0),'Дивиденды по годам'!Q163/(('Дивиденды по годам'!I163+'Дивиденды по годам'!V163)/2),""),"")</f>
        <v>0.10684986297955344</v>
      </c>
      <c r="U163">
        <f>IFERROR(IF(AND('Дивиденды по годам'!J163&lt;&gt;"",'Дивиденды по годам'!K163&lt;&gt;"",'Дивиденды по годам'!M163&lt;&gt;"",'Дивиденды по годам'!M163&lt;&gt;0),('Дивиденды по годам'!J163+'Дивиденды по годам'!K163)/'Дивиденды по годам'!M163,""),"")</f>
        <v>0.40596514796908201</v>
      </c>
      <c r="V163">
        <f>IFERROR(IF(AND('Дивиденды по годам'!J163&lt;&gt;"",'Дивиденды по годам'!K163&lt;&gt;"",'Дивиденды по годам'!M163&lt;&gt;"",'Дивиденды по годам'!I163&lt;&gt;0),('Дивиденды по годам'!J163+'Дивиденды по годам'!K163)/'Дивиденды по годам'!I163,""),"")</f>
        <v>0.28874481601161955</v>
      </c>
      <c r="W163">
        <f>IFERROR('Дивиденды по годам'!I163,"")</f>
        <v>1460989000000</v>
      </c>
      <c r="X163" cm="1">
        <f t="array" ref="X163">IFERROR(AVERAGE(_xlfn._xlws.FILTER(P$2:P$1073,($C$2:$C$1073=$C163)*($E$2:$E$1073=$E163)*(ROW(P$2:P$1073)&lt;&gt;ROW(P163))*(P$2:P$1073&lt;&gt;""))),"")</f>
        <v>26.366118769999737</v>
      </c>
      <c r="Y163" cm="1">
        <f t="array" ref="Y163">IFERROR(AVERAGE(_xlfn._xlws.FILTER(Q$2:Q$1073,($C$2:$C$1073=$C163)*($E$2:$E$1073=$E163)*(ROW(Q$2:Q$1073)&lt;&gt;ROW(Q163))*(Q$2:Q$1073&lt;&gt;""))),"")</f>
        <v>0.72951991875735811</v>
      </c>
      <c r="Z163" cm="1">
        <f t="array" ref="Z163">IFERROR(AVERAGE(_xlfn._xlws.FILTER(R$2:R$1073,($C$2:$C$1073=$C163)*($E$2:$E$1073=$E163)*(ROW(R$2:R$1073)&lt;&gt;ROW(R163))*(R$2:R$1073&lt;&gt;""))),"")</f>
        <v>9.4959215964172727E-2</v>
      </c>
      <c r="AA163" cm="1">
        <f t="array" ref="AA163">IFERROR(AVERAGE(_xlfn._xlws.FILTER(S$2:S$1073,($C$2:$C$1073=$C163)*($E$2:$E$1073=$E163)*(ROW(S$2:S$1073)&lt;&gt;ROW(S163))*(S$2:S$1073&lt;&gt;""))),"")</f>
        <v>0.54583008336005978</v>
      </c>
      <c r="AB163" cm="1">
        <f t="array" ref="AB163">IFERROR(AVERAGE(_xlfn._xlws.FILTER(T$2:T$1073,($C$2:$C$1073=$C163)*($E$2:$E$1073=$E163)*(ROW(T$2:T$1073)&lt;&gt;ROW(T163))*(T$2:T$1073&lt;&gt;""))),"")</f>
        <v>5.1816027568641662E-2</v>
      </c>
      <c r="AC163" cm="1">
        <f t="array" ref="AC163">IFERROR(AVERAGE(_xlfn._xlws.FILTER(U$2:U$1073,($C$2:$C$1073=$C163)*($E$2:$E$1073=$E163)*(ROW(U$2:U$1073)&lt;&gt;ROW(U163))*(U$2:U$1073&lt;&gt;""))),"")</f>
        <v>0.99045016664162544</v>
      </c>
      <c r="AD163" cm="1">
        <f t="array" ref="AD163">IFERROR(AVERAGE(_xlfn._xlws.FILTER(V$2:V$1073,($C$2:$C$1073=$C163)*($E$2:$E$1073=$E163)*(ROW(V$2:V$1073)&lt;&gt;ROW(V163))*(V$2:V$1073&lt;&gt;""))),"")</f>
        <v>0.46966038322234915</v>
      </c>
      <c r="AE163">
        <f>IF('Дивиденды по годам'!M163&lt;0,1,0)</f>
        <v>0</v>
      </c>
    </row>
    <row r="164" spans="1:31" x14ac:dyDescent="0.2">
      <c r="A164" s="7" t="s">
        <v>2198</v>
      </c>
      <c r="B164" t="str">
        <f t="shared" si="22"/>
        <v>IRAO IV кв. 2023</v>
      </c>
      <c r="C164">
        <v>2023</v>
      </c>
      <c r="D164">
        <f>SUMIFS(Дивиденды!$C:$C,Дивиденды!$A:$A,A164,Дивиденды!$I:$I,C164)</f>
        <v>0.33</v>
      </c>
      <c r="E164">
        <v>2</v>
      </c>
      <c r="F164">
        <f t="shared" si="23"/>
        <v>0.33</v>
      </c>
      <c r="G164">
        <f t="shared" si="24"/>
        <v>3.8800000000000001E-2</v>
      </c>
      <c r="H164">
        <f t="shared" si="25"/>
        <v>1</v>
      </c>
      <c r="I164">
        <f t="shared" si="26"/>
        <v>0.5</v>
      </c>
      <c r="J164">
        <f t="shared" si="27"/>
        <v>0.17857142857142852</v>
      </c>
      <c r="K164">
        <f t="shared" si="32"/>
        <v>0.10215229025470192</v>
      </c>
      <c r="L164">
        <f t="shared" si="28"/>
        <v>1</v>
      </c>
      <c r="M164">
        <f t="shared" si="29"/>
        <v>0.41666666666666669</v>
      </c>
      <c r="N164">
        <f t="shared" si="30"/>
        <v>0</v>
      </c>
      <c r="O164">
        <f t="shared" si="31"/>
        <v>0.25</v>
      </c>
      <c r="P164">
        <f>IFERROR(LN('Дивиденды по годам'!I164),"")</f>
        <v>27.892756721292844</v>
      </c>
      <c r="Q164">
        <f>IFERROR('Дивиденды по годам'!G164/'Дивиденды по годам'!I164, "")</f>
        <v>0.29034015993127987</v>
      </c>
      <c r="R164">
        <f>IFERROR(IF(AND('Дивиденды по годам'!N164&lt;&gt;"",'Дивиденды по годам'!U164&lt;&gt;"",'Дивиденды по годам'!U164&lt;&gt;0),'Дивиденды по годам'!N164/'Дивиденды по годам'!U164-1,""),"")</f>
        <v>7.4943319978877376E-2</v>
      </c>
      <c r="S164">
        <f>IFERROR(IF(AND('Дивиденды по годам'!L164&lt;&gt;"",'Дивиденды по годам'!I164&lt;&gt;"",'Дивиденды по годам'!J164&lt;&gt;"",'Дивиденды по годам'!K164&lt;&gt;"",('Дивиденды по годам'!I164-'Дивиденды по годам'!J164-'Дивиденды по годам'!K164)&lt;&gt;0),'Дивиденды по годам'!L164/('Дивиденды по годам'!I164-'Дивиденды по годам'!J164-'Дивиденды по годам'!K164),""),"")</f>
        <v>0.67715088385264854</v>
      </c>
      <c r="T164">
        <f>IFERROR(IF(AND('Дивиденды по годам'!Q164&lt;&gt;"",'Дивиденды по годам'!I164&lt;&gt;"",'Дивиденды по годам'!V164&lt;&gt;"",('Дивиденды по годам'!I164+'Дивиденды по годам'!V164)&lt;&gt;0),'Дивиденды по годам'!Q164/(('Дивиденды по годам'!I164+'Дивиденды по годам'!V164)/2),""),"")</f>
        <v>0.11228282050625446</v>
      </c>
      <c r="U164">
        <f>IFERROR(IF(AND('Дивиденды по годам'!J164&lt;&gt;"",'Дивиденды по годам'!K164&lt;&gt;"",'Дивиденды по годам'!M164&lt;&gt;"",'Дивиденды по годам'!M164&lt;&gt;0),('Дивиденды по годам'!J164+'Дивиденды по годам'!K164)/'Дивиденды по годам'!M164,""),"")</f>
        <v>0.39787733336776426</v>
      </c>
      <c r="V164">
        <f>IFERROR(IF(AND('Дивиденды по годам'!J164&lt;&gt;"",'Дивиденды по годам'!K164&lt;&gt;"",'Дивиденды по годам'!M164&lt;&gt;"",'Дивиденды по годам'!I164&lt;&gt;0),('Дивиденды по годам'!J164+'Дивиденды по годам'!K164)/'Дивиденды по годам'!I164,""),"")</f>
        <v>0.28462964801725393</v>
      </c>
      <c r="W164">
        <f>IFERROR('Дивиденды по годам'!I164,"")</f>
        <v>1299183000000</v>
      </c>
      <c r="X164" cm="1">
        <f t="array" ref="X164">IFERROR(AVERAGE(_xlfn._xlws.FILTER(P$2:P$1073,($C$2:$C$1073=$C164)*($E$2:$E$1073=$E164)*(ROW(P$2:P$1073)&lt;&gt;ROW(P164))*(P$2:P$1073&lt;&gt;""))),"")</f>
        <v>26.248410095319255</v>
      </c>
      <c r="Y164" cm="1">
        <f t="array" ref="Y164">IFERROR(AVERAGE(_xlfn._xlws.FILTER(Q$2:Q$1073,($C$2:$C$1073=$C164)*($E$2:$E$1073=$E164)*(ROW(Q$2:Q$1073)&lt;&gt;ROW(Q164))*(Q$2:Q$1073&lt;&gt;""))),"")</f>
        <v>0.75546887895224257</v>
      </c>
      <c r="Z164" cm="1">
        <f t="array" ref="Z164">IFERROR(AVERAGE(_xlfn._xlws.FILTER(R$2:R$1073,($C$2:$C$1073=$C164)*($E$2:$E$1073=$E164)*(ROW(R$2:R$1073)&lt;&gt;ROW(R164))*(R$2:R$1073&lt;&gt;""))),"")</f>
        <v>0.14702969999837517</v>
      </c>
      <c r="AA164" cm="1">
        <f t="array" ref="AA164">IFERROR(AVERAGE(_xlfn._xlws.FILTER(S$2:S$1073,($C$2:$C$1073=$C164)*($E$2:$E$1073=$E164)*(ROW(S$2:S$1073)&lt;&gt;ROW(S164))*(S$2:S$1073&lt;&gt;""))),"")</f>
        <v>0.52540851579672598</v>
      </c>
      <c r="AB164" cm="1">
        <f t="array" ref="AB164">IFERROR(AVERAGE(_xlfn._xlws.FILTER(T$2:T$1073,($C$2:$C$1073=$C164)*($E$2:$E$1073=$E164)*(ROW(T$2:T$1073)&lt;&gt;ROW(T164))*(T$2:T$1073&lt;&gt;""))),"")</f>
        <v>7.1775604297486306E-2</v>
      </c>
      <c r="AC164" cm="1">
        <f t="array" ref="AC164">IFERROR(AVERAGE(_xlfn._xlws.FILTER(U$2:U$1073,($C$2:$C$1073=$C164)*($E$2:$E$1073=$E164)*(ROW(U$2:U$1073)&lt;&gt;ROW(U164))*(U$2:U$1073&lt;&gt;""))),"")</f>
        <v>0.87125060857179004</v>
      </c>
      <c r="AD164" cm="1">
        <f t="array" ref="AD164">IFERROR(AVERAGE(_xlfn._xlws.FILTER(V$2:V$1073,($C$2:$C$1073=$C164)*($E$2:$E$1073=$E164)*(ROW(V$2:V$1073)&lt;&gt;ROW(V164))*(V$2:V$1073&lt;&gt;""))),"")</f>
        <v>0.44032928889737522</v>
      </c>
      <c r="AE164">
        <f>IF('Дивиденды по годам'!M164&lt;0,1,0)</f>
        <v>0</v>
      </c>
    </row>
    <row r="165" spans="1:31" x14ac:dyDescent="0.2">
      <c r="A165" s="7" t="s">
        <v>2198</v>
      </c>
      <c r="B165" t="str">
        <f t="shared" si="22"/>
        <v>IRAO IV кв. 2022</v>
      </c>
      <c r="C165">
        <v>2022</v>
      </c>
      <c r="D165">
        <f>SUMIFS(Дивиденды!$C:$C,Дивиденды!$A:$A,A165,Дивиденды!$I:$I,C165)</f>
        <v>0.28000000000000003</v>
      </c>
      <c r="E165">
        <v>2</v>
      </c>
      <c r="F165">
        <f t="shared" si="23"/>
        <v>0.28000000000000003</v>
      </c>
      <c r="G165">
        <f t="shared" si="24"/>
        <v>4.1398333333333329E-2</v>
      </c>
      <c r="H165">
        <f t="shared" si="25"/>
        <v>1</v>
      </c>
      <c r="I165">
        <f t="shared" si="26"/>
        <v>0.58333333333333337</v>
      </c>
      <c r="J165">
        <f t="shared" si="27"/>
        <v>0.16666666666666682</v>
      </c>
      <c r="K165">
        <f t="shared" si="32"/>
        <v>-0.17553075048262931</v>
      </c>
      <c r="L165">
        <f t="shared" si="28"/>
        <v>1</v>
      </c>
      <c r="M165">
        <f t="shared" si="29"/>
        <v>0.25</v>
      </c>
      <c r="N165">
        <f t="shared" si="30"/>
        <v>0</v>
      </c>
      <c r="O165">
        <f t="shared" si="31"/>
        <v>0.5</v>
      </c>
      <c r="P165">
        <f>IFERROR(LN('Дивиденды по годам'!I165),"")</f>
        <v>27.746108075992705</v>
      </c>
      <c r="Q165">
        <f>IFERROR('Дивиденды по годам'!G165/'Дивиденды по годам'!I165, "")</f>
        <v>0.30530111740856047</v>
      </c>
      <c r="R165" t="str">
        <f>IFERROR(IF(AND('Дивиденды по годам'!N165&lt;&gt;"",'Дивиденды по годам'!U165&lt;&gt;"",'Дивиденды по годам'!U165&lt;&gt;0),'Дивиденды по годам'!N165/'Дивиденды по годам'!U165-1,""),"")</f>
        <v/>
      </c>
      <c r="S165">
        <f>IFERROR(IF(AND('Дивиденды по годам'!L165&lt;&gt;"",'Дивиденды по годам'!I165&lt;&gt;"",'Дивиденды по годам'!J165&lt;&gt;"",'Дивиденды по годам'!K165&lt;&gt;"",('Дивиденды по годам'!I165-'Дивиденды по годам'!J165-'Дивиденды по годам'!K165)&lt;&gt;0),'Дивиденды по годам'!L165/('Дивиденды по годам'!I165-'Дивиденды по годам'!J165-'Дивиденды по годам'!K165),""),"")</f>
        <v>0.64410252968867288</v>
      </c>
      <c r="T165" t="str">
        <f>IFERROR(IF(AND('Дивиденды по годам'!Q165&lt;&gt;"",'Дивиденды по годам'!I165&lt;&gt;"",'Дивиденды по годам'!V165&lt;&gt;"",('Дивиденды по годам'!I165+'Дивиденды по годам'!V165)&lt;&gt;0),'Дивиденды по годам'!Q165/(('Дивиденды по годам'!I165+'Дивиденды по годам'!V165)/2),""),"")</f>
        <v/>
      </c>
      <c r="U165">
        <f>IFERROR(IF(AND('Дивиденды по годам'!J165&lt;&gt;"",'Дивиденды по годам'!K165&lt;&gt;"",'Дивиденды по годам'!M165&lt;&gt;"",'Дивиденды по годам'!M165&lt;&gt;0),('Дивиденды по годам'!J165+'Дивиденды по годам'!K165)/'Дивиденды по годам'!M165,""),"")</f>
        <v>0.39430012278111654</v>
      </c>
      <c r="V165">
        <f>IFERROR(IF(AND('Дивиденды по годам'!J165&lt;&gt;"",'Дивиденды по годам'!K165&lt;&gt;"",'Дивиденды по годам'!M165&lt;&gt;"",'Дивиденды по годам'!I165&lt;&gt;0),('Дивиденды по годам'!J165+'Дивиденды по годам'!K165)/'Дивиденды по годам'!I165,""),"")</f>
        <v>0.28279429682228863</v>
      </c>
      <c r="W165">
        <f>IFERROR('Дивиденды по годам'!I165,"")</f>
        <v>1121971000000</v>
      </c>
      <c r="X165" cm="1">
        <f t="array" ref="X165">IFERROR(AVERAGE(_xlfn._xlws.FILTER(P$2:P$1073,($C$2:$C$1073=$C165)*($E$2:$E$1073=$E165)*(ROW(P$2:P$1073)&lt;&gt;ROW(P165))*(P$2:P$1073&lt;&gt;""))),"")</f>
        <v>26.152079538788954</v>
      </c>
      <c r="Y165" cm="1">
        <f t="array" ref="Y165">IFERROR(AVERAGE(_xlfn._xlws.FILTER(Q$2:Q$1073,($C$2:$C$1073=$C165)*($E$2:$E$1073=$E165)*(ROW(Q$2:Q$1073)&lt;&gt;ROW(Q165))*(Q$2:Q$1073&lt;&gt;""))),"")</f>
        <v>0.7528866493901446</v>
      </c>
      <c r="Z165" cm="1">
        <f t="array" ref="Z165">IFERROR(AVERAGE(_xlfn._xlws.FILTER(R$2:R$1073,($C$2:$C$1073=$C165)*($E$2:$E$1073=$E165)*(ROW(R$2:R$1073)&lt;&gt;ROW(R165))*(R$2:R$1073&lt;&gt;""))),"")</f>
        <v>7.2941844461954591E-2</v>
      </c>
      <c r="AA165" cm="1">
        <f t="array" ref="AA165">IFERROR(AVERAGE(_xlfn._xlws.FILTER(S$2:S$1073,($C$2:$C$1073=$C165)*($E$2:$E$1073=$E165)*(ROW(S$2:S$1073)&lt;&gt;ROW(S165))*(S$2:S$1073&lt;&gt;""))),"")</f>
        <v>0.50060922686151055</v>
      </c>
      <c r="AB165" cm="1">
        <f t="array" ref="AB165">IFERROR(AVERAGE(_xlfn._xlws.FILTER(T$2:T$1073,($C$2:$C$1073=$C165)*($E$2:$E$1073=$E165)*(ROW(T$2:T$1073)&lt;&gt;ROW(T165))*(T$2:T$1073&lt;&gt;""))),"")</f>
        <v>1.2629583278270708E-2</v>
      </c>
      <c r="AC165" cm="1">
        <f t="array" ref="AC165">IFERROR(AVERAGE(_xlfn._xlws.FILTER(U$2:U$1073,($C$2:$C$1073=$C165)*($E$2:$E$1073=$E165)*(ROW(U$2:U$1073)&lt;&gt;ROW(U165))*(U$2:U$1073&lt;&gt;""))),"")</f>
        <v>0.96644412730171902</v>
      </c>
      <c r="AD165" cm="1">
        <f t="array" ref="AD165">IFERROR(AVERAGE(_xlfn._xlws.FILTER(V$2:V$1073,($C$2:$C$1073=$C165)*($E$2:$E$1073=$E165)*(ROW(V$2:V$1073)&lt;&gt;ROW(V165))*(V$2:V$1073&lt;&gt;""))),"")</f>
        <v>0.45937678321675623</v>
      </c>
      <c r="AE165">
        <f>IF('Дивиденды по годам'!M165&lt;0,1,0)</f>
        <v>0</v>
      </c>
    </row>
    <row r="166" spans="1:31" x14ac:dyDescent="0.2">
      <c r="A166" s="7" t="s">
        <v>2198</v>
      </c>
      <c r="B166" t="str">
        <f t="shared" si="22"/>
        <v>IRAO IV кв. 2021</v>
      </c>
      <c r="C166">
        <v>2021</v>
      </c>
      <c r="D166">
        <f>SUMIFS(Дивиденды!$C:$C,Дивиденды!$A:$A,A166,Дивиденды!$I:$I,C166)</f>
        <v>0.24</v>
      </c>
      <c r="E166">
        <v>2</v>
      </c>
      <c r="F166">
        <f t="shared" si="23"/>
        <v>0.24</v>
      </c>
      <c r="G166">
        <f t="shared" si="24"/>
        <v>6.1785249999999993E-2</v>
      </c>
      <c r="H166">
        <f t="shared" si="25"/>
        <v>1</v>
      </c>
      <c r="I166">
        <f t="shared" si="26"/>
        <v>0.75</v>
      </c>
      <c r="J166">
        <f t="shared" si="27"/>
        <v>0.33333333333333331</v>
      </c>
      <c r="K166">
        <f t="shared" si="32"/>
        <v>0.13609840614627791</v>
      </c>
      <c r="L166">
        <f t="shared" si="28"/>
        <v>1</v>
      </c>
      <c r="M166">
        <f t="shared" si="29"/>
        <v>0.58333333333333337</v>
      </c>
      <c r="N166">
        <f t="shared" si="30"/>
        <v>0</v>
      </c>
      <c r="O166">
        <f t="shared" si="31"/>
        <v>0.25</v>
      </c>
      <c r="P166" t="str">
        <f>IFERROR(LN('Дивиденды по годам'!I166),"")</f>
        <v/>
      </c>
      <c r="Q166" t="str">
        <f>IFERROR('Дивиденды по годам'!G166/'Дивиденды по годам'!I166, "")</f>
        <v/>
      </c>
      <c r="R166" t="str">
        <f>IFERROR(IF(AND('Дивиденды по годам'!N166&lt;&gt;"",'Дивиденды по годам'!U166&lt;&gt;"",'Дивиденды по годам'!U166&lt;&gt;0),'Дивиденды по годам'!N166/'Дивиденды по годам'!U166-1,""),"")</f>
        <v/>
      </c>
      <c r="S166" t="str">
        <f>IFERROR(IF(AND('Дивиденды по годам'!L166&lt;&gt;"",'Дивиденды по годам'!I166&lt;&gt;"",'Дивиденды по годам'!J166&lt;&gt;"",'Дивиденды по годам'!K166&lt;&gt;"",('Дивиденды по годам'!I166-'Дивиденды по годам'!J166-'Дивиденды по годам'!K166)&lt;&gt;0),'Дивиденды по годам'!L166/('Дивиденды по годам'!I166-'Дивиденды по годам'!J166-'Дивиденды по годам'!K166),""),"")</f>
        <v/>
      </c>
      <c r="T166" t="str">
        <f>IFERROR(IF(AND('Дивиденды по годам'!Q166&lt;&gt;"",'Дивиденды по годам'!I166&lt;&gt;"",'Дивиденды по годам'!V166&lt;&gt;"",('Дивиденды по годам'!I166+'Дивиденды по годам'!V166)&lt;&gt;0),'Дивиденды по годам'!Q166/(('Дивиденды по годам'!I166+'Дивиденды по годам'!V166)/2),""),"")</f>
        <v/>
      </c>
      <c r="U166" t="str">
        <f>IFERROR(IF(AND('Дивиденды по годам'!J166&lt;&gt;"",'Дивиденды по годам'!K166&lt;&gt;"",'Дивиденды по годам'!M166&lt;&gt;"",'Дивиденды по годам'!M166&lt;&gt;0),('Дивиденды по годам'!J166+'Дивиденды по годам'!K166)/'Дивиденды по годам'!M166,""),"")</f>
        <v/>
      </c>
      <c r="V166" t="str">
        <f>IFERROR(IF(AND('Дивиденды по годам'!J166&lt;&gt;"",'Дивиденды по годам'!K166&lt;&gt;"",'Дивиденды по годам'!M166&lt;&gt;"",'Дивиденды по годам'!I166&lt;&gt;0),('Дивиденды по годам'!J166+'Дивиденды по годам'!K166)/'Дивиденды по годам'!I166,""),"")</f>
        <v/>
      </c>
      <c r="W166" t="str">
        <f>IFERROR('Дивиденды по годам'!I166,"")</f>
        <v/>
      </c>
      <c r="X166" cm="1">
        <f t="array" ref="X166">IFERROR(AVERAGE(_xlfn._xlws.FILTER(P$2:P$1073,($C$2:$C$1073=$C166)*($E$2:$E$1073=$E166)*(ROW(P$2:P$1073)&lt;&gt;ROW(P166))*(P$2:P$1073&lt;&gt;""))),"")</f>
        <v>25.926715708145551</v>
      </c>
      <c r="Y166" cm="1">
        <f t="array" ref="Y166">IFERROR(AVERAGE(_xlfn._xlws.FILTER(Q$2:Q$1073,($C$2:$C$1073=$C166)*($E$2:$E$1073=$E166)*(ROW(Q$2:Q$1073)&lt;&gt;ROW(Q166))*(Q$2:Q$1073&lt;&gt;""))),"")</f>
        <v>0.76996354437031223</v>
      </c>
      <c r="Z166" cm="1">
        <f t="array" ref="Z166">IFERROR(AVERAGE(_xlfn._xlws.FILTER(R$2:R$1073,($C$2:$C$1073=$C166)*($E$2:$E$1073=$E166)*(ROW(R$2:R$1073)&lt;&gt;ROW(R166))*(R$2:R$1073&lt;&gt;""))),"")</f>
        <v>0.12673015499771914</v>
      </c>
      <c r="AA166" cm="1">
        <f t="array" ref="AA166">IFERROR(AVERAGE(_xlfn._xlws.FILTER(S$2:S$1073,($C$2:$C$1073=$C166)*($E$2:$E$1073=$E166)*(ROW(S$2:S$1073)&lt;&gt;ROW(S166))*(S$2:S$1073&lt;&gt;""))),"")</f>
        <v>0.50118890467381838</v>
      </c>
      <c r="AB166" cm="1">
        <f t="array" ref="AB166">IFERROR(AVERAGE(_xlfn._xlws.FILTER(T$2:T$1073,($C$2:$C$1073=$C166)*($E$2:$E$1073=$E166)*(ROW(T$2:T$1073)&lt;&gt;ROW(T166))*(T$2:T$1073&lt;&gt;""))),"")</f>
        <v>3.6434668126956032E-2</v>
      </c>
      <c r="AC166" cm="1">
        <f t="array" ref="AC166">IFERROR(AVERAGE(_xlfn._xlws.FILTER(U$2:U$1073,($C$2:$C$1073=$C166)*($E$2:$E$1073=$E166)*(ROW(U$2:U$1073)&lt;&gt;ROW(U166))*(U$2:U$1073&lt;&gt;""))),"")</f>
        <v>0.71481348410985535</v>
      </c>
      <c r="AD166" cm="1">
        <f t="array" ref="AD166">IFERROR(AVERAGE(_xlfn._xlws.FILTER(V$2:V$1073,($C$2:$C$1073=$C166)*($E$2:$E$1073=$E166)*(ROW(V$2:V$1073)&lt;&gt;ROW(V166))*(V$2:V$1073&lt;&gt;""))),"")</f>
        <v>0.38255048323585666</v>
      </c>
      <c r="AE166">
        <f>IF('Дивиденды по годам'!M166&lt;0,1,0)</f>
        <v>0</v>
      </c>
    </row>
    <row r="167" spans="1:31" x14ac:dyDescent="0.2">
      <c r="A167" s="7" t="s">
        <v>2198</v>
      </c>
      <c r="B167" t="str">
        <f t="shared" si="22"/>
        <v>IRAO IV кв. 2020</v>
      </c>
      <c r="C167">
        <v>2020</v>
      </c>
      <c r="D167">
        <f>SUMIFS(Дивиденды!$C:$C,Дивиденды!$A:$A,A167,Дивиденды!$I:$I,C167)</f>
        <v>0.18</v>
      </c>
      <c r="E167">
        <v>2</v>
      </c>
      <c r="F167">
        <f t="shared" si="23"/>
        <v>0.18</v>
      </c>
      <c r="G167">
        <f t="shared" si="24"/>
        <v>5.4905916666666665E-2</v>
      </c>
      <c r="H167">
        <f t="shared" si="25"/>
        <v>1</v>
      </c>
      <c r="I167">
        <f t="shared" si="26"/>
        <v>0.75</v>
      </c>
      <c r="J167">
        <f t="shared" si="27"/>
        <v>-0.10000000000000009</v>
      </c>
      <c r="K167">
        <f t="shared" si="32"/>
        <v>-7.7290698369379199E-2</v>
      </c>
      <c r="L167">
        <f t="shared" si="28"/>
        <v>0</v>
      </c>
      <c r="M167">
        <f t="shared" si="29"/>
        <v>0.58333333333333337</v>
      </c>
      <c r="N167">
        <f t="shared" si="30"/>
        <v>1</v>
      </c>
      <c r="O167">
        <f t="shared" si="31"/>
        <v>0.41666666666666669</v>
      </c>
      <c r="P167">
        <f>IFERROR(LN('Дивиденды по годам'!I167),"")</f>
        <v>27.486276229281785</v>
      </c>
      <c r="Q167">
        <f>IFERROR('Дивиденды по годам'!G167/'Дивиденды по годам'!I167, "")</f>
        <v>0.41400855019919258</v>
      </c>
      <c r="R167">
        <f>IFERROR(IF(AND('Дивиденды по годам'!N167&lt;&gt;"",'Дивиденды по годам'!U167&lt;&gt;"",'Дивиденды по годам'!U167&lt;&gt;0),'Дивиденды по годам'!N167/'Дивиденды по годам'!U167-1,""),"")</f>
        <v>-4.4401813742588114E-2</v>
      </c>
      <c r="S167">
        <f>IFERROR(IF(AND('Дивиденды по годам'!L167&lt;&gt;"",'Дивиденды по годам'!I167&lt;&gt;"",'Дивиденды по годам'!J167&lt;&gt;"",'Дивиденды по годам'!K167&lt;&gt;"",('Дивиденды по годам'!I167-'Дивиденды по годам'!J167-'Дивиденды по годам'!K167)&lt;&gt;0),'Дивиденды по годам'!L167/('Дивиденды по годам'!I167-'Дивиденды по годам'!J167-'Дивиденды по годам'!K167),""),"")</f>
        <v>0.54950437999211166</v>
      </c>
      <c r="T167">
        <f>IFERROR(IF(AND('Дивиденды по годам'!Q167&lt;&gt;"",'Дивиденды по годам'!I167&lt;&gt;"",'Дивиденды по годам'!V167&lt;&gt;"",('Дивиденды по годам'!I167+'Дивиденды по годам'!V167)&lt;&gt;0),'Дивиденды по годам'!Q167/(('Дивиденды по годам'!I167+'Дивиденды по годам'!V167)/2),""),"")</f>
        <v>9.3382715071659614E-2</v>
      </c>
      <c r="U167">
        <f>IFERROR(IF(AND('Дивиденды по годам'!J167&lt;&gt;"",'Дивиденды по годам'!K167&lt;&gt;"",'Дивиденды по годам'!M167&lt;&gt;"",'Дивиденды по годам'!M167&lt;&gt;0),('Дивиденды по годам'!J167+'Дивиденды по годам'!K167)/'Дивиденды по годам'!M167,""),"")</f>
        <v>0.40439411326463204</v>
      </c>
      <c r="V167">
        <f>IFERROR(IF(AND('Дивиденды по годам'!J167&lt;&gt;"",'Дивиденды по годам'!K167&lt;&gt;"",'Дивиденды по годам'!M167&lt;&gt;"",'Дивиденды по годам'!I167&lt;&gt;0),('Дивиденды по годам'!J167+'Дивиденды по годам'!K167)/'Дивиденды по годам'!I167,""),"")</f>
        <v>0.28794916572569784</v>
      </c>
      <c r="W167">
        <f>IFERROR('Дивиденды по годам'!I167,"")</f>
        <v>865243000000</v>
      </c>
      <c r="X167" cm="1">
        <f t="array" ref="X167">IFERROR(AVERAGE(_xlfn._xlws.FILTER(P$2:P$1073,($C$2:$C$1073=$C167)*($E$2:$E$1073=$E167)*(ROW(P$2:P$1073)&lt;&gt;ROW(P167))*(P$2:P$1073&lt;&gt;""))),"")</f>
        <v>26.063695759226821</v>
      </c>
      <c r="Y167" cm="1">
        <f t="array" ref="Y167">IFERROR(AVERAGE(_xlfn._xlws.FILTER(Q$2:Q$1073,($C$2:$C$1073=$C167)*($E$2:$E$1073=$E167)*(ROW(Q$2:Q$1073)&lt;&gt;ROW(Q167))*(Q$2:Q$1073&lt;&gt;""))),"")</f>
        <v>0.77254917641949705</v>
      </c>
      <c r="Z167" cm="1">
        <f t="array" ref="Z167">IFERROR(AVERAGE(_xlfn._xlws.FILTER(R$2:R$1073,($C$2:$C$1073=$C167)*($E$2:$E$1073=$E167)*(ROW(R$2:R$1073)&lt;&gt;ROW(R167))*(R$2:R$1073&lt;&gt;""))),"")</f>
        <v>-6.5841795553891969E-2</v>
      </c>
      <c r="AA167" cm="1">
        <f t="array" ref="AA167">IFERROR(AVERAGE(_xlfn._xlws.FILTER(S$2:S$1073,($C$2:$C$1073=$C167)*($E$2:$E$1073=$E167)*(ROW(S$2:S$1073)&lt;&gt;ROW(S167))*(S$2:S$1073&lt;&gt;""))),"")</f>
        <v>0.47905075867132724</v>
      </c>
      <c r="AB167" cm="1">
        <f t="array" ref="AB167">IFERROR(AVERAGE(_xlfn._xlws.FILTER(T$2:T$1073,($C$2:$C$1073=$C167)*($E$2:$E$1073=$E167)*(ROW(T$2:T$1073)&lt;&gt;ROW(T167))*(T$2:T$1073&lt;&gt;""))),"")</f>
        <v>3.842438076486826E-2</v>
      </c>
      <c r="AC167" cm="1">
        <f t="array" ref="AC167">IFERROR(AVERAGE(_xlfn._xlws.FILTER(U$2:U$1073,($C$2:$C$1073=$C167)*($E$2:$E$1073=$E167)*(ROW(U$2:U$1073)&lt;&gt;ROW(U167))*(U$2:U$1073&lt;&gt;""))),"")</f>
        <v>0.68083101116341915</v>
      </c>
      <c r="AD167" cm="1">
        <f t="array" ref="AD167">IFERROR(AVERAGE(_xlfn._xlws.FILTER(V$2:V$1073,($C$2:$C$1073=$C167)*($E$2:$E$1073=$E167)*(ROW(V$2:V$1073)&lt;&gt;ROW(V167))*(V$2:V$1073&lt;&gt;""))),"")</f>
        <v>0.37460170147940314</v>
      </c>
      <c r="AE167">
        <f>IF('Дивиденды по годам'!M167&lt;0,1,0)</f>
        <v>0</v>
      </c>
    </row>
    <row r="168" spans="1:31" x14ac:dyDescent="0.2">
      <c r="A168" s="7" t="s">
        <v>2198</v>
      </c>
      <c r="B168" t="str">
        <f t="shared" si="22"/>
        <v>IRAO IV кв. 2019</v>
      </c>
      <c r="C168">
        <v>2019</v>
      </c>
      <c r="D168">
        <f>SUMIFS(Дивиденды!$C:$C,Дивиденды!$A:$A,A168,Дивиденды!$I:$I,C168)</f>
        <v>0.2</v>
      </c>
      <c r="E168">
        <v>2</v>
      </c>
      <c r="F168">
        <f t="shared" si="23"/>
        <v>0.2</v>
      </c>
      <c r="G168">
        <f t="shared" si="24"/>
        <v>5.4642000000000003E-2</v>
      </c>
      <c r="H168">
        <f t="shared" si="25"/>
        <v>1</v>
      </c>
      <c r="I168">
        <f t="shared" si="26"/>
        <v>1</v>
      </c>
      <c r="J168">
        <f t="shared" si="27"/>
        <v>0.1764705882352941</v>
      </c>
      <c r="K168">
        <f t="shared" si="32"/>
        <v>0.15738687531697981</v>
      </c>
      <c r="L168">
        <f t="shared" si="28"/>
        <v>1</v>
      </c>
      <c r="M168">
        <f t="shared" si="29"/>
        <v>0.41666666666666669</v>
      </c>
      <c r="N168">
        <f t="shared" si="30"/>
        <v>0</v>
      </c>
      <c r="O168">
        <f t="shared" si="31"/>
        <v>0.5</v>
      </c>
      <c r="P168">
        <f>IFERROR(LN('Дивиденды по годам'!I168),"")</f>
        <v>27.344683472660044</v>
      </c>
      <c r="Q168">
        <f>IFERROR('Дивиденды по годам'!G168/'Дивиденды по годам'!I168, "")</f>
        <v>0.43671913385858224</v>
      </c>
      <c r="R168">
        <f>IFERROR(IF(AND('Дивиденды по годам'!N168&lt;&gt;"",'Дивиденды по годам'!U168&lt;&gt;"",'Дивиденды по годам'!U168&lt;&gt;0),'Дивиденды по годам'!N168/'Дивиденды по годам'!U168-1,""),"")</f>
        <v>7.2241118159284134E-2</v>
      </c>
      <c r="S168">
        <f>IFERROR(IF(AND('Дивиденды по годам'!L168&lt;&gt;"",'Дивиденды по годам'!I168&lt;&gt;"",'Дивиденды по годам'!J168&lt;&gt;"",'Дивиденды по годам'!K168&lt;&gt;"",('Дивиденды по годам'!I168-'Дивиденды по годам'!J168-'Дивиденды по годам'!K168)&lt;&gt;0),'Дивиденды по годам'!L168/('Дивиденды по годам'!I168-'Дивиденды по годам'!J168-'Дивиденды по годам'!K168),""),"")</f>
        <v>0.50423587003124215</v>
      </c>
      <c r="T168">
        <f>IFERROR(IF(AND('Дивиденды по годам'!Q168&lt;&gt;"",'Дивиденды по годам'!I168&lt;&gt;"",'Дивиденды по годам'!V168&lt;&gt;"",('Дивиденды по годам'!I168+'Дивиденды по годам'!V168)&lt;&gt;0),'Дивиденды по годам'!Q168/(('Дивиденды по годам'!I168+'Дивиденды по годам'!V168)/2),""),"")</f>
        <v>0.11074644700310085</v>
      </c>
      <c r="U168">
        <f>IFERROR(IF(AND('Дивиденды по годам'!J168&lt;&gt;"",'Дивиденды по годам'!K168&lt;&gt;"",'Дивиденды по годам'!M168&lt;&gt;"",'Дивиденды по годам'!M168&lt;&gt;0),('Дивиденды по годам'!J168+'Дивиденды по годам'!K168)/'Дивиденды по годам'!M168,""),"")</f>
        <v>0.35860624227765525</v>
      </c>
      <c r="V168">
        <f>IFERROR(IF(AND('Дивиденды по годам'!J168&lt;&gt;"",'Дивиденды по годам'!K168&lt;&gt;"",'Дивиденды по годам'!M168&lt;&gt;"",'Дивиденды по годам'!I168&lt;&gt;0),('Дивиденды по годам'!J168+'Дивиденды по годам'!K168)/'Дивиденды по годам'!I168,""),"")</f>
        <v>0.26395156382946144</v>
      </c>
      <c r="W168">
        <f>IFERROR('Дивиденды по годам'!I168,"")</f>
        <v>751009000000</v>
      </c>
      <c r="X168" cm="1">
        <f t="array" ref="X168">IFERROR(AVERAGE(_xlfn._xlws.FILTER(P$2:P$1073,($C$2:$C$1073=$C168)*($E$2:$E$1073=$E168)*(ROW(P$2:P$1073)&lt;&gt;ROW(P168))*(P$2:P$1073&lt;&gt;""))),"")</f>
        <v>26.032434348995434</v>
      </c>
      <c r="Y168" cm="1">
        <f t="array" ref="Y168">IFERROR(AVERAGE(_xlfn._xlws.FILTER(Q$2:Q$1073,($C$2:$C$1073=$C168)*($E$2:$E$1073=$E168)*(ROW(Q$2:Q$1073)&lt;&gt;ROW(Q168))*(Q$2:Q$1073&lt;&gt;""))),"")</f>
        <v>0.76201808478971433</v>
      </c>
      <c r="Z168" cm="1">
        <f t="array" ref="Z168">IFERROR(AVERAGE(_xlfn._xlws.FILTER(R$2:R$1073,($C$2:$C$1073=$C168)*($E$2:$E$1073=$E168)*(ROW(R$2:R$1073)&lt;&gt;ROW(R168))*(R$2:R$1073&lt;&gt;""))),"")</f>
        <v>-2.248682785573016E-3</v>
      </c>
      <c r="AA168" cm="1">
        <f t="array" ref="AA168">IFERROR(AVERAGE(_xlfn._xlws.FILTER(S$2:S$1073,($C$2:$C$1073=$C168)*($E$2:$E$1073=$E168)*(ROW(S$2:S$1073)&lt;&gt;ROW(S168))*(S$2:S$1073&lt;&gt;""))),"")</f>
        <v>0.47150689856107247</v>
      </c>
      <c r="AB168" cm="1">
        <f t="array" ref="AB168">IFERROR(AVERAGE(_xlfn._xlws.FILTER(T$2:T$1073,($C$2:$C$1073=$C168)*($E$2:$E$1073=$E168)*(ROW(T$2:T$1073)&lt;&gt;ROW(T168))*(T$2:T$1073&lt;&gt;""))),"")</f>
        <v>4.7067613757534536E-2</v>
      </c>
      <c r="AC168" cm="1">
        <f t="array" ref="AC168">IFERROR(AVERAGE(_xlfn._xlws.FILTER(U$2:U$1073,($C$2:$C$1073=$C168)*($E$2:$E$1073=$E168)*(ROW(U$2:U$1073)&lt;&gt;ROW(U168))*(U$2:U$1073&lt;&gt;""))),"")</f>
        <v>0.69097482991814607</v>
      </c>
      <c r="AD168" cm="1">
        <f t="array" ref="AD168">IFERROR(AVERAGE(_xlfn._xlws.FILTER(V$2:V$1073,($C$2:$C$1073=$C168)*($E$2:$E$1073=$E168)*(ROW(V$2:V$1073)&lt;&gt;ROW(V168))*(V$2:V$1073&lt;&gt;""))),"")</f>
        <v>0.37981549981641344</v>
      </c>
      <c r="AE168">
        <f>IF('Дивиденды по годам'!M168&lt;0,1,0)</f>
        <v>0</v>
      </c>
    </row>
    <row r="169" spans="1:31" x14ac:dyDescent="0.2">
      <c r="A169" s="7" t="s">
        <v>2198</v>
      </c>
      <c r="B169" t="str">
        <f t="shared" si="22"/>
        <v>IRAO IV кв. 2018</v>
      </c>
      <c r="C169">
        <v>2018</v>
      </c>
      <c r="D169">
        <f>SUMIFS(Дивиденды!$C:$C,Дивиденды!$A:$A,A169,Дивиденды!$I:$I,C169)</f>
        <v>0.17</v>
      </c>
      <c r="E169">
        <v>2</v>
      </c>
      <c r="F169">
        <f t="shared" si="23"/>
        <v>0.17</v>
      </c>
      <c r="G169">
        <f t="shared" si="24"/>
        <v>6.6403749999999997E-2</v>
      </c>
      <c r="H169">
        <f t="shared" si="25"/>
        <v>1</v>
      </c>
      <c r="I169">
        <f t="shared" si="26"/>
        <v>1</v>
      </c>
      <c r="J169">
        <f t="shared" si="27"/>
        <v>0.30769230769230776</v>
      </c>
      <c r="K169">
        <f t="shared" si="32"/>
        <v>0.17061733598989315</v>
      </c>
      <c r="L169">
        <f t="shared" si="28"/>
        <v>1</v>
      </c>
      <c r="M169">
        <f t="shared" si="29"/>
        <v>0.58333333333333337</v>
      </c>
      <c r="N169">
        <f t="shared" si="30"/>
        <v>0</v>
      </c>
      <c r="O169">
        <f t="shared" si="31"/>
        <v>0.25</v>
      </c>
      <c r="P169">
        <f>IFERROR(LN('Дивиденды по годам'!I169),"")</f>
        <v>27.314372878924146</v>
      </c>
      <c r="Q169">
        <f>IFERROR('Дивиденды по годам'!G169/'Дивиденды по годам'!I169, "")</f>
        <v>0.44329091789998998</v>
      </c>
      <c r="R169">
        <f>IFERROR(IF(AND('Дивиденды по годам'!N169&lt;&gt;"",'Дивиденды по годам'!U169&lt;&gt;"",'Дивиденды по годам'!U169&lt;&gt;0),'Дивиденды по годам'!N169/'Дивиденды по годам'!U169-1,""),"")</f>
        <v>4.9651654382699251E-2</v>
      </c>
      <c r="S169">
        <f>IFERROR(IF(AND('Дивиденды по годам'!L169&lt;&gt;"",'Дивиденды по годам'!I169&lt;&gt;"",'Дивиденды по годам'!J169&lt;&gt;"",'Дивиденды по годам'!K169&lt;&gt;"",('Дивиденды по годам'!I169-'Дивиденды по годам'!J169-'Дивиденды по годам'!K169)&lt;&gt;0),'Дивиденды по годам'!L169/('Дивиденды по годам'!I169-'Дивиденды по годам'!J169-'Дивиденды по годам'!K169),""),"")</f>
        <v>0.42798643810842096</v>
      </c>
      <c r="T169">
        <f>IFERROR(IF(AND('Дивиденды по годам'!Q169&lt;&gt;"",'Дивиденды по годам'!I169&lt;&gt;"",'Дивиденды по годам'!V169&lt;&gt;"",('Дивиденды по годам'!I169+'Дивиденды по годам'!V169)&lt;&gt;0),'Дивиденды по годам'!Q169/(('Дивиденды по годам'!I169+'Дивиденды по годам'!V169)/2),""),"")</f>
        <v>0.10589941365633332</v>
      </c>
      <c r="U169">
        <f>IFERROR(IF(AND('Дивиденды по годам'!J169&lt;&gt;"",'Дивиденды по годам'!K169&lt;&gt;"",'Дивиденды по годам'!M169&lt;&gt;"",'Дивиденды по годам'!M169&lt;&gt;0),('Дивиденды по годам'!J169+'Дивиденды по годам'!K169)/'Дивиденды по годам'!M169,""),"")</f>
        <v>0.50076213546236903</v>
      </c>
      <c r="V169">
        <f>IFERROR(IF(AND('Дивиденды по годам'!J169&lt;&gt;"",'Дивиденды по годам'!K169&lt;&gt;"",'Дивиденды по годам'!M169&lt;&gt;"",'Дивиденды по годам'!I169&lt;&gt;0),('Дивиденды по годам'!J169+'Дивиденды по годам'!K169)/'Дивиденды по годам'!I169,""),"")</f>
        <v>0.33367188818905635</v>
      </c>
      <c r="W169">
        <f>IFERROR('Дивиденды по годам'!I169,"")</f>
        <v>728587000000</v>
      </c>
      <c r="X169" cm="1">
        <f t="array" ref="X169">IFERROR(AVERAGE(_xlfn._xlws.FILTER(P$2:P$1073,($C$2:$C$1073=$C169)*($E$2:$E$1073=$E169)*(ROW(P$2:P$1073)&lt;&gt;ROW(P169))*(P$2:P$1073&lt;&gt;""))),"")</f>
        <v>25.977394274611999</v>
      </c>
      <c r="Y169" cm="1">
        <f t="array" ref="Y169">IFERROR(AVERAGE(_xlfn._xlws.FILTER(Q$2:Q$1073,($C$2:$C$1073=$C169)*($E$2:$E$1073=$E169)*(ROW(Q$2:Q$1073)&lt;&gt;ROW(Q169))*(Q$2:Q$1073&lt;&gt;""))),"")</f>
        <v>0.77900824584332373</v>
      </c>
      <c r="Z169" cm="1">
        <f t="array" ref="Z169">IFERROR(AVERAGE(_xlfn._xlws.FILTER(R$2:R$1073,($C$2:$C$1073=$C169)*($E$2:$E$1073=$E169)*(ROW(R$2:R$1073)&lt;&gt;ROW(R169))*(R$2:R$1073&lt;&gt;""))),"")</f>
        <v>5.0245510838218148E-2</v>
      </c>
      <c r="AA169" cm="1">
        <f t="array" ref="AA169">IFERROR(AVERAGE(_xlfn._xlws.FILTER(S$2:S$1073,($C$2:$C$1073=$C169)*($E$2:$E$1073=$E169)*(ROW(S$2:S$1073)&lt;&gt;ROW(S169))*(S$2:S$1073&lt;&gt;""))),"")</f>
        <v>0.46744501587420845</v>
      </c>
      <c r="AB169" cm="1">
        <f t="array" ref="AB169">IFERROR(AVERAGE(_xlfn._xlws.FILTER(T$2:T$1073,($C$2:$C$1073=$C169)*($E$2:$E$1073=$E169)*(ROW(T$2:T$1073)&lt;&gt;ROW(T169))*(T$2:T$1073&lt;&gt;""))),"")</f>
        <v>6.5287476712576994E-2</v>
      </c>
      <c r="AC169" cm="1">
        <f t="array" ref="AC169">IFERROR(AVERAGE(_xlfn._xlws.FILTER(U$2:U$1073,($C$2:$C$1073=$C169)*($E$2:$E$1073=$E169)*(ROW(U$2:U$1073)&lt;&gt;ROW(U169))*(U$2:U$1073&lt;&gt;""))),"")</f>
        <v>0.64290168216471877</v>
      </c>
      <c r="AD169" cm="1">
        <f t="array" ref="AD169">IFERROR(AVERAGE(_xlfn._xlws.FILTER(V$2:V$1073,($C$2:$C$1073=$C169)*($E$2:$E$1073=$E169)*(ROW(V$2:V$1073)&lt;&gt;ROW(V169))*(V$2:V$1073&lt;&gt;""))),"")</f>
        <v>0.36236086813799012</v>
      </c>
      <c r="AE169">
        <f>IF('Дивиденды по годам'!M169&lt;0,1,0)</f>
        <v>0</v>
      </c>
    </row>
    <row r="170" spans="1:31" x14ac:dyDescent="0.2">
      <c r="A170" s="7" t="s">
        <v>2198</v>
      </c>
      <c r="B170" t="str">
        <f t="shared" si="22"/>
        <v>IRAO IV кв. 2017</v>
      </c>
      <c r="C170">
        <v>2017</v>
      </c>
      <c r="D170">
        <f>SUMIFS(Дивиденды!$C:$C,Дивиденды!$A:$A,A170,Дивиденды!$I:$I,C170)</f>
        <v>0.13</v>
      </c>
      <c r="E170">
        <v>2</v>
      </c>
      <c r="F170">
        <f t="shared" si="23"/>
        <v>0.13</v>
      </c>
      <c r="G170">
        <f t="shared" si="24"/>
        <v>6.1275500000000004E-2</v>
      </c>
      <c r="H170">
        <f t="shared" si="25"/>
        <v>1</v>
      </c>
      <c r="I170">
        <f t="shared" si="26"/>
        <v>1</v>
      </c>
      <c r="J170">
        <f t="shared" si="27"/>
        <v>-0.13333333333333328</v>
      </c>
      <c r="K170">
        <f t="shared" si="32"/>
        <v>0.65286074871806132</v>
      </c>
      <c r="L170">
        <f t="shared" si="28"/>
        <v>0</v>
      </c>
      <c r="M170">
        <f t="shared" si="29"/>
        <v>0.83333333333333337</v>
      </c>
      <c r="N170">
        <f t="shared" si="30"/>
        <v>1</v>
      </c>
      <c r="O170">
        <f t="shared" si="31"/>
        <v>0.16666666666666666</v>
      </c>
      <c r="P170">
        <f>IFERROR(LN('Дивиденды по годам'!I170),"")</f>
        <v>27.161107082668973</v>
      </c>
      <c r="Q170">
        <f>IFERROR('Дивиденды по годам'!G170/'Дивиденды по годам'!I170, "")</f>
        <v>0.44037814211846621</v>
      </c>
      <c r="R170">
        <f>IFERROR(IF(AND('Дивиденды по годам'!N170&lt;&gt;"",'Дивиденды по годам'!U170&lt;&gt;"",'Дивиденды по годам'!U170&lt;&gt;0),'Дивиденды по годам'!N170/'Дивиденды по годам'!U170-1,""),"")</f>
        <v>5.6286585070872253E-2</v>
      </c>
      <c r="S170">
        <f>IFERROR(IF(AND('Дивиденды по годам'!L170&lt;&gt;"",'Дивиденды по годам'!I170&lt;&gt;"",'Дивиденды по годам'!J170&lt;&gt;"",'Дивиденды по годам'!K170&lt;&gt;"",('Дивиденды по годам'!I170-'Дивиденды по годам'!J170-'Дивиденды по годам'!K170)&lt;&gt;0),'Дивиденды по годам'!L170/('Дивиденды по годам'!I170-'Дивиденды по годам'!J170-'Дивиденды по годам'!K170),""),"")</f>
        <v>0.3264367916170558</v>
      </c>
      <c r="T170">
        <f>IFERROR(IF(AND('Дивиденды по годам'!Q170&lt;&gt;"",'Дивиденды по годам'!I170&lt;&gt;"",'Дивиденды по годам'!V170&lt;&gt;"",('Дивиденды по годам'!I170+'Дивиденды по годам'!V170)&lt;&gt;0),'Дивиденды по годам'!Q170/(('Дивиденды по годам'!I170+'Дивиденды по годам'!V170)/2),""),"")</f>
        <v>9.1000710316299666E-2</v>
      </c>
      <c r="U170">
        <f>IFERROR(IF(AND('Дивиденды по годам'!J170&lt;&gt;"",'Дивиденды по годам'!K170&lt;&gt;"",'Дивиденды по годам'!M170&lt;&gt;"",'Дивиденды по годам'!M170&lt;&gt;0),('Дивиденды по годам'!J170+'Дивиденды по годам'!K170)/'Дивиденды по годам'!M170,""),"")</f>
        <v>0.36056542209665027</v>
      </c>
      <c r="V170">
        <f>IFERROR(IF(AND('Дивиденды по годам'!J170&lt;&gt;"",'Дивиденды по годам'!K170&lt;&gt;"",'Дивиденды по годам'!M170&lt;&gt;"",'Дивиденды по годам'!I170&lt;&gt;0),('Дивиденды по годам'!J170+'Дивиденды по годам'!K170)/'Дивиденды по годам'!I170,""),"")</f>
        <v>0.26501145497363437</v>
      </c>
      <c r="W170">
        <f>IFERROR('Дивиденды по годам'!I170,"")</f>
        <v>625056000000</v>
      </c>
      <c r="X170" cm="1">
        <f t="array" ref="X170">IFERROR(AVERAGE(_xlfn._xlws.FILTER(P$2:P$1073,($C$2:$C$1073=$C170)*($E$2:$E$1073=$E170)*(ROW(P$2:P$1073)&lt;&gt;ROW(P170))*(P$2:P$1073&lt;&gt;""))),"")</f>
        <v>25.957553872950413</v>
      </c>
      <c r="Y170" cm="1">
        <f t="array" ref="Y170">IFERROR(AVERAGE(_xlfn._xlws.FILTER(Q$2:Q$1073,($C$2:$C$1073=$C170)*($E$2:$E$1073=$E170)*(ROW(Q$2:Q$1073)&lt;&gt;ROW(Q170))*(Q$2:Q$1073&lt;&gt;""))),"")</f>
        <v>0.78676080929007253</v>
      </c>
      <c r="Z170" cm="1">
        <f t="array" ref="Z170">IFERROR(AVERAGE(_xlfn._xlws.FILTER(R$2:R$1073,($C$2:$C$1073=$C170)*($E$2:$E$1073=$E170)*(ROW(R$2:R$1073)&lt;&gt;ROW(R170))*(R$2:R$1073&lt;&gt;""))),"")</f>
        <v>4.5020041199672671E-2</v>
      </c>
      <c r="AA170" cm="1">
        <f t="array" ref="AA170">IFERROR(AVERAGE(_xlfn._xlws.FILTER(S$2:S$1073,($C$2:$C$1073=$C170)*($E$2:$E$1073=$E170)*(ROW(S$2:S$1073)&lt;&gt;ROW(S170))*(S$2:S$1073&lt;&gt;""))),"")</f>
        <v>0.42830735399453984</v>
      </c>
      <c r="AB170" cm="1">
        <f t="array" ref="AB170">IFERROR(AVERAGE(_xlfn._xlws.FILTER(T$2:T$1073,($C$2:$C$1073=$C170)*($E$2:$E$1073=$E170)*(ROW(T$2:T$1073)&lt;&gt;ROW(T170))*(T$2:T$1073&lt;&gt;""))),"")</f>
        <v>8.0784130612880756E-2</v>
      </c>
      <c r="AC170" cm="1">
        <f t="array" ref="AC170">IFERROR(AVERAGE(_xlfn._xlws.FILTER(U$2:U$1073,($C$2:$C$1073=$C170)*($E$2:$E$1073=$E170)*(ROW(U$2:U$1073)&lt;&gt;ROW(U170))*(U$2:U$1073&lt;&gt;""))),"")</f>
        <v>0.65386268333044162</v>
      </c>
      <c r="AD170" cm="1">
        <f t="array" ref="AD170">IFERROR(AVERAGE(_xlfn._xlws.FILTER(V$2:V$1073,($C$2:$C$1073=$C170)*($E$2:$E$1073=$E170)*(ROW(V$2:V$1073)&lt;&gt;ROW(V170))*(V$2:V$1073&lt;&gt;""))),"")</f>
        <v>0.36909784192137352</v>
      </c>
      <c r="AE170">
        <f>IF('Дивиденды по годам'!M170&lt;0,1,0)</f>
        <v>0</v>
      </c>
    </row>
    <row r="171" spans="1:31" x14ac:dyDescent="0.2">
      <c r="A171" s="7" t="s">
        <v>2198</v>
      </c>
      <c r="B171" t="str">
        <f t="shared" si="22"/>
        <v>IRAO IV кв. 2016</v>
      </c>
      <c r="C171">
        <v>2016</v>
      </c>
      <c r="D171">
        <f>SUMIFS(Дивиденды!$C:$C,Дивиденды!$A:$A,A171,Дивиденды!$I:$I,C171)</f>
        <v>0.15</v>
      </c>
      <c r="E171">
        <v>2</v>
      </c>
      <c r="F171">
        <f t="shared" si="23"/>
        <v>0.15</v>
      </c>
      <c r="G171">
        <f t="shared" si="24"/>
        <v>4.4895166666666673E-2</v>
      </c>
      <c r="H171">
        <f t="shared" si="25"/>
        <v>1</v>
      </c>
      <c r="I171">
        <f t="shared" si="26"/>
        <v>1</v>
      </c>
      <c r="J171">
        <f t="shared" si="27"/>
        <v>7.4269662921348303</v>
      </c>
      <c r="K171">
        <f t="shared" si="32"/>
        <v>0.78815618012790767</v>
      </c>
      <c r="L171">
        <f t="shared" si="28"/>
        <v>1</v>
      </c>
      <c r="M171">
        <f t="shared" si="29"/>
        <v>0.83333333333333337</v>
      </c>
      <c r="N171">
        <f t="shared" si="30"/>
        <v>0</v>
      </c>
      <c r="O171">
        <f t="shared" si="31"/>
        <v>0.16666666666666666</v>
      </c>
      <c r="P171">
        <f>IFERROR(LN('Дивиденды по годам'!I171),"")</f>
        <v>27.071694786096085</v>
      </c>
      <c r="Q171">
        <f>IFERROR('Дивиденды по годам'!G171/'Дивиденды по годам'!I171, "")</f>
        <v>0.49073118332242815</v>
      </c>
      <c r="R171" t="str">
        <f>IFERROR(IF(AND('Дивиденды по годам'!N171&lt;&gt;"",'Дивиденды по годам'!U171&lt;&gt;"",'Дивиденды по годам'!U171&lt;&gt;0),'Дивиденды по годам'!N171/'Дивиденды по годам'!U171-1,""),"")</f>
        <v/>
      </c>
      <c r="S171">
        <f>IFERROR(IF(AND('Дивиденды по годам'!L171&lt;&gt;"",'Дивиденды по годам'!I171&lt;&gt;"",'Дивиденды по годам'!J171&lt;&gt;"",'Дивиденды по годам'!K171&lt;&gt;"",('Дивиденды по годам'!I171-'Дивиденды по годам'!J171-'Дивиденды по годам'!K171)&lt;&gt;0),'Дивиденды по годам'!L171/('Дивиденды по годам'!I171-'Дивиденды по годам'!J171-'Дивиденды по годам'!K171),""),"")</f>
        <v>0.25732898245814906</v>
      </c>
      <c r="T171" t="str">
        <f>IFERROR(IF(AND('Дивиденды по годам'!Q171&lt;&gt;"",'Дивиденды по годам'!I171&lt;&gt;"",'Дивиденды по годам'!V171&lt;&gt;"",('Дивиденды по годам'!I171+'Дивиденды по годам'!V171)&lt;&gt;0),'Дивиденды по годам'!Q171/(('Дивиденды по годам'!I171+'Дивиденды по годам'!V171)/2),""),"")</f>
        <v/>
      </c>
      <c r="U171">
        <f>IFERROR(IF(AND('Дивиденды по годам'!J171&lt;&gt;"",'Дивиденды по годам'!K171&lt;&gt;"",'Дивиденды по годам'!M171&lt;&gt;"",'Дивиденды по годам'!M171&lt;&gt;0),('Дивиденды по годам'!J171+'Дивиденды по годам'!K171)/'Дивиденды по годам'!M171,""),"")</f>
        <v>0.36345074017355794</v>
      </c>
      <c r="V171">
        <f>IFERROR(IF(AND('Дивиденды по годам'!J171&lt;&gt;"",'Дивиденды по годам'!K171&lt;&gt;"",'Дивиденды по годам'!M171&lt;&gt;"",'Дивиденды по годам'!I171&lt;&gt;0),('Дивиденды по годам'!J171+'Дивиденды по годам'!K171)/'Дивиденды по годам'!I171,""),"")</f>
        <v>0.26656682890303257</v>
      </c>
      <c r="W171">
        <f>IFERROR('Дивиденды по годам'!I171,"")</f>
        <v>571594000000</v>
      </c>
      <c r="X171" cm="1">
        <f t="array" ref="X171">IFERROR(AVERAGE(_xlfn._xlws.FILTER(P$2:P$1073,($C$2:$C$1073=$C171)*($E$2:$E$1073=$E171)*(ROW(P$2:P$1073)&lt;&gt;ROW(P171))*(P$2:P$1073&lt;&gt;""))),"")</f>
        <v>25.919198137860931</v>
      </c>
      <c r="Y171" cm="1">
        <f t="array" ref="Y171">IFERROR(AVERAGE(_xlfn._xlws.FILTER(Q$2:Q$1073,($C$2:$C$1073=$C171)*($E$2:$E$1073=$E171)*(ROW(Q$2:Q$1073)&lt;&gt;ROW(Q171))*(Q$2:Q$1073&lt;&gt;""))),"")</f>
        <v>0.73505978147612039</v>
      </c>
      <c r="Z171" cm="1">
        <f t="array" ref="Z171">IFERROR(AVERAGE(_xlfn._xlws.FILTER(R$2:R$1073,($C$2:$C$1073=$C171)*($E$2:$E$1073=$E171)*(ROW(R$2:R$1073)&lt;&gt;ROW(R171))*(R$2:R$1073&lt;&gt;""))),"")</f>
        <v>0.11417416404225701</v>
      </c>
      <c r="AA171" cm="1">
        <f t="array" ref="AA171">IFERROR(AVERAGE(_xlfn._xlws.FILTER(S$2:S$1073,($C$2:$C$1073=$C171)*($E$2:$E$1073=$E171)*(ROW(S$2:S$1073)&lt;&gt;ROW(S171))*(S$2:S$1073&lt;&gt;""))),"")</f>
        <v>0.42267097226200084</v>
      </c>
      <c r="AB171" cm="1">
        <f t="array" ref="AB171">IFERROR(AVERAGE(_xlfn._xlws.FILTER(T$2:T$1073,($C$2:$C$1073=$C171)*($E$2:$E$1073=$E171)*(ROW(T$2:T$1073)&lt;&gt;ROW(T171))*(T$2:T$1073&lt;&gt;""))),"")</f>
        <v>4.0943955414103568E-2</v>
      </c>
      <c r="AC171" cm="1">
        <f t="array" ref="AC171">IFERROR(AVERAGE(_xlfn._xlws.FILTER(U$2:U$1073,($C$2:$C$1073=$C171)*($E$2:$E$1073=$E171)*(ROW(U$2:U$1073)&lt;&gt;ROW(U171))*(U$2:U$1073&lt;&gt;""))),"")</f>
        <v>0.75650315261789991</v>
      </c>
      <c r="AD171" cm="1">
        <f t="array" ref="AD171">IFERROR(AVERAGE(_xlfn._xlws.FILTER(V$2:V$1073,($C$2:$C$1073=$C171)*($E$2:$E$1073=$E171)*(ROW(V$2:V$1073)&lt;&gt;ROW(V171))*(V$2:V$1073&lt;&gt;""))),"")</f>
        <v>0.40483650254387588</v>
      </c>
      <c r="AE171">
        <f>IF('Дивиденды по годам'!M171&lt;0,1,0)</f>
        <v>0</v>
      </c>
    </row>
    <row r="172" spans="1:31" x14ac:dyDescent="0.2">
      <c r="A172" s="7" t="s">
        <v>2198</v>
      </c>
      <c r="B172" t="str">
        <f t="shared" si="22"/>
        <v>IRAO IV кв. 2015</v>
      </c>
      <c r="C172">
        <v>2015</v>
      </c>
      <c r="D172">
        <f>SUMIFS(Дивиденды!$C:$C,Дивиденды!$A:$A,A172,Дивиденды!$I:$I,C172)</f>
        <v>1.78E-2</v>
      </c>
      <c r="E172">
        <v>2</v>
      </c>
      <c r="F172">
        <f t="shared" si="23"/>
        <v>1.78E-2</v>
      </c>
      <c r="G172">
        <f t="shared" si="24"/>
        <v>3.9956750000000006E-2</v>
      </c>
      <c r="H172">
        <f t="shared" si="25"/>
        <v>1</v>
      </c>
      <c r="I172">
        <f t="shared" si="26"/>
        <v>0.91666666666666663</v>
      </c>
      <c r="J172">
        <f t="shared" si="27"/>
        <v>16.115384615384617</v>
      </c>
      <c r="K172">
        <f t="shared" si="32"/>
        <v>2.8020277270436242</v>
      </c>
      <c r="L172">
        <f t="shared" si="28"/>
        <v>1</v>
      </c>
      <c r="M172">
        <f t="shared" si="29"/>
        <v>0.66666666666666663</v>
      </c>
      <c r="N172">
        <f t="shared" si="30"/>
        <v>0</v>
      </c>
      <c r="O172">
        <f t="shared" si="31"/>
        <v>0.33333333333333331</v>
      </c>
      <c r="P172" t="str">
        <f>IFERROR(LN('Дивиденды по годам'!I172),"")</f>
        <v/>
      </c>
      <c r="Q172" t="str">
        <f>IFERROR('Дивиденды по годам'!G172/'Дивиденды по годам'!I172, "")</f>
        <v/>
      </c>
      <c r="R172" t="str">
        <f>IFERROR(IF(AND('Дивиденды по годам'!N172&lt;&gt;"",'Дивиденды по годам'!U172&lt;&gt;"",'Дивиденды по годам'!U172&lt;&gt;0),'Дивиденды по годам'!N172/'Дивиденды по годам'!U172-1,""),"")</f>
        <v/>
      </c>
      <c r="S172" t="str">
        <f>IFERROR(IF(AND('Дивиденды по годам'!L172&lt;&gt;"",'Дивиденды по годам'!I172&lt;&gt;"",'Дивиденды по годам'!J172&lt;&gt;"",'Дивиденды по годам'!K172&lt;&gt;"",('Дивиденды по годам'!I172-'Дивиденды по годам'!J172-'Дивиденды по годам'!K172)&lt;&gt;0),'Дивиденды по годам'!L172/('Дивиденды по годам'!I172-'Дивиденды по годам'!J172-'Дивиденды по годам'!K172),""),"")</f>
        <v/>
      </c>
      <c r="T172" t="str">
        <f>IFERROR(IF(AND('Дивиденды по годам'!Q172&lt;&gt;"",'Дивиденды по годам'!I172&lt;&gt;"",'Дивиденды по годам'!V172&lt;&gt;"",('Дивиденды по годам'!I172+'Дивиденды по годам'!V172)&lt;&gt;0),'Дивиденды по годам'!Q172/(('Дивиденды по годам'!I172+'Дивиденды по годам'!V172)/2),""),"")</f>
        <v/>
      </c>
      <c r="U172" t="str">
        <f>IFERROR(IF(AND('Дивиденды по годам'!J172&lt;&gt;"",'Дивиденды по годам'!K172&lt;&gt;"",'Дивиденды по годам'!M172&lt;&gt;"",'Дивиденды по годам'!M172&lt;&gt;0),('Дивиденды по годам'!J172+'Дивиденды по годам'!K172)/'Дивиденды по годам'!M172,""),"")</f>
        <v/>
      </c>
      <c r="V172" t="str">
        <f>IFERROR(IF(AND('Дивиденды по годам'!J172&lt;&gt;"",'Дивиденды по годам'!K172&lt;&gt;"",'Дивиденды по годам'!M172&lt;&gt;"",'Дивиденды по годам'!I172&lt;&gt;0),('Дивиденды по годам'!J172+'Дивиденды по годам'!K172)/'Дивиденды по годам'!I172,""),"")</f>
        <v/>
      </c>
      <c r="W172" t="str">
        <f>IFERROR('Дивиденды по годам'!I172,"")</f>
        <v/>
      </c>
      <c r="X172" cm="1">
        <f t="array" ref="X172">IFERROR(AVERAGE(_xlfn._xlws.FILTER(P$2:P$1073,($C$2:$C$1073=$C172)*($E$2:$E$1073=$E172)*(ROW(P$2:P$1073)&lt;&gt;ROW(P172))*(P$2:P$1073&lt;&gt;""))),"")</f>
        <v>25.929037289731681</v>
      </c>
      <c r="Y172" cm="1">
        <f t="array" ref="Y172">IFERROR(AVERAGE(_xlfn._xlws.FILTER(Q$2:Q$1073,($C$2:$C$1073=$C172)*($E$2:$E$1073=$E172)*(ROW(Q$2:Q$1073)&lt;&gt;ROW(Q172))*(Q$2:Q$1073&lt;&gt;""))),"")</f>
        <v>0.77938300122684545</v>
      </c>
      <c r="Z172" cm="1">
        <f t="array" ref="Z172">IFERROR(AVERAGE(_xlfn._xlws.FILTER(R$2:R$1073,($C$2:$C$1073=$C172)*($E$2:$E$1073=$E172)*(ROW(R$2:R$1073)&lt;&gt;ROW(R172))*(R$2:R$1073&lt;&gt;""))),"")</f>
        <v>6.7517888744073832E-3</v>
      </c>
      <c r="AA172" cm="1">
        <f t="array" ref="AA172">IFERROR(AVERAGE(_xlfn._xlws.FILTER(S$2:S$1073,($C$2:$C$1073=$C172)*($E$2:$E$1073=$E172)*(ROW(S$2:S$1073)&lt;&gt;ROW(S172))*(S$2:S$1073&lt;&gt;""))),"")</f>
        <v>0.4889220310718525</v>
      </c>
      <c r="AB172" cm="1">
        <f t="array" ref="AB172">IFERROR(AVERAGE(_xlfn._xlws.FILTER(T$2:T$1073,($C$2:$C$1073=$C172)*($E$2:$E$1073=$E172)*(ROW(T$2:T$1073)&lt;&gt;ROW(T172))*(T$2:T$1073&lt;&gt;""))),"")</f>
        <v>-1.2387742079155006E-2</v>
      </c>
      <c r="AC172" cm="1">
        <f t="array" ref="AC172">IFERROR(AVERAGE(_xlfn._xlws.FILTER(U$2:U$1073,($C$2:$C$1073=$C172)*($E$2:$E$1073=$E172)*(ROW(U$2:U$1073)&lt;&gt;ROW(U172))*(U$2:U$1073&lt;&gt;""))),"")</f>
        <v>0.89260692757539384</v>
      </c>
      <c r="AD172" cm="1">
        <f t="array" ref="AD172">IFERROR(AVERAGE(_xlfn._xlws.FILTER(V$2:V$1073,($C$2:$C$1073=$C172)*($E$2:$E$1073=$E172)*(ROW(V$2:V$1073)&lt;&gt;ROW(V172))*(V$2:V$1073&lt;&gt;""))),"")</f>
        <v>0.43851031750003117</v>
      </c>
      <c r="AE172">
        <f>IF('Дивиденды по годам'!M172&lt;0,1,0)</f>
        <v>0</v>
      </c>
    </row>
    <row r="173" spans="1:31" x14ac:dyDescent="0.2">
      <c r="A173" s="7" t="s">
        <v>2198</v>
      </c>
      <c r="B173" t="str">
        <f t="shared" si="22"/>
        <v>IRAO IV кв. 2014</v>
      </c>
      <c r="C173">
        <v>2014</v>
      </c>
      <c r="D173">
        <f>SUMIFS(Дивиденды!$C:$C,Дивиденды!$A:$A,A173,Дивиденды!$I:$I,C173)</f>
        <v>1.0399999999999999E-3</v>
      </c>
      <c r="E173">
        <v>2</v>
      </c>
      <c r="F173">
        <f t="shared" si="23"/>
        <v>1.0399999999999999E-3</v>
      </c>
      <c r="G173">
        <f t="shared" si="24"/>
        <v>3.8881249999999999E-2</v>
      </c>
      <c r="H173">
        <f t="shared" si="25"/>
        <v>1</v>
      </c>
      <c r="I173">
        <f t="shared" si="26"/>
        <v>1</v>
      </c>
      <c r="J173">
        <f t="shared" si="27"/>
        <v>1</v>
      </c>
      <c r="K173">
        <f t="shared" si="32"/>
        <v>1.3177701483499717</v>
      </c>
      <c r="L173">
        <f t="shared" si="28"/>
        <v>1</v>
      </c>
      <c r="M173">
        <f t="shared" si="29"/>
        <v>0.58333333333333337</v>
      </c>
      <c r="N173">
        <f t="shared" si="30"/>
        <v>0</v>
      </c>
      <c r="O173">
        <f t="shared" si="31"/>
        <v>0.33333333333333331</v>
      </c>
      <c r="P173">
        <f>IFERROR(LN('Дивиденды по годам'!I173),"")</f>
        <v>27.095728604094489</v>
      </c>
      <c r="Q173">
        <f>IFERROR('Дивиденды по годам'!G173/'Дивиденды по годам'!I173, "")</f>
        <v>0.51003590106200192</v>
      </c>
      <c r="R173">
        <f>IFERROR(IF(AND('Дивиденды по годам'!N173&lt;&gt;"",'Дивиденды по годам'!U173&lt;&gt;"",'Дивиденды по годам'!U173&lt;&gt;0),'Дивиденды по годам'!N173/'Дивиденды по годам'!U173-1,""),"")</f>
        <v>0.11894534523290057</v>
      </c>
      <c r="S173" t="str">
        <f>IFERROR(IF(AND('Дивиденды по годам'!L173&lt;&gt;"",'Дивиденды по годам'!I173&lt;&gt;"",'Дивиденды по годам'!J173&lt;&gt;"",'Дивиденды по годам'!K173&lt;&gt;"",('Дивиденды по годам'!I173-'Дивиденды по годам'!J173-'Дивиденды по годам'!K173)&lt;&gt;0),'Дивиденды по годам'!L173/('Дивиденды по годам'!I173-'Дивиденды по годам'!J173-'Дивиденды по годам'!K173),""),"")</f>
        <v/>
      </c>
      <c r="T173">
        <f>IFERROR(IF(AND('Дивиденды по годам'!Q173&lt;&gt;"",'Дивиденды по годам'!I173&lt;&gt;"",'Дивиденды по годам'!V173&lt;&gt;"",('Дивиденды по годам'!I173+'Дивиденды по годам'!V173)&lt;&gt;0),'Дивиденды по годам'!Q173/(('Дивиденды по годам'!I173+'Дивиденды по годам'!V173)/2),""),"")</f>
        <v>1.7802241035130922E-2</v>
      </c>
      <c r="U173">
        <f>IFERROR(IF(AND('Дивиденды по годам'!J173&lt;&gt;"",'Дивиденды по годам'!K173&lt;&gt;"",'Дивиденды по годам'!M173&lt;&gt;"",'Дивиденды по годам'!M173&lt;&gt;0),('Дивиденды по годам'!J173+'Дивиденды по годам'!K173)/'Дивиденды по годам'!M173,""),"")</f>
        <v>0.68126254490321581</v>
      </c>
      <c r="V173">
        <f>IFERROR(IF(AND('Дивиденды по годам'!J173&lt;&gt;"",'Дивиденды по годам'!K173&lt;&gt;"",'Дивиденды по годам'!M173&lt;&gt;"",'Дивиденды по годам'!I173&lt;&gt;0),('Дивиденды по годам'!J173+'Дивиденды по годам'!K173)/'Дивиденды по годам'!I173,""),"")</f>
        <v>0.40520889909103019</v>
      </c>
      <c r="W173">
        <f>IFERROR('Дивиденды по годам'!I173,"")</f>
        <v>585498000000</v>
      </c>
      <c r="X173" cm="1">
        <f t="array" ref="X173">IFERROR(AVERAGE(_xlfn._xlws.FILTER(P$2:P$1073,($C$2:$C$1073=$C173)*($E$2:$E$1073=$E173)*(ROW(P$2:P$1073)&lt;&gt;ROW(P173))*(P$2:P$1073&lt;&gt;""))),"")</f>
        <v>26.06902543557397</v>
      </c>
      <c r="Y173" cm="1">
        <f t="array" ref="Y173">IFERROR(AVERAGE(_xlfn._xlws.FILTER(Q$2:Q$1073,($C$2:$C$1073=$C173)*($E$2:$E$1073=$E173)*(ROW(Q$2:Q$1073)&lt;&gt;ROW(Q173))*(Q$2:Q$1073&lt;&gt;""))),"")</f>
        <v>0.79762824419689293</v>
      </c>
      <c r="Z173" cm="1">
        <f t="array" ref="Z173">IFERROR(AVERAGE(_xlfn._xlws.FILTER(R$2:R$1073,($C$2:$C$1073=$C173)*($E$2:$E$1073=$E173)*(ROW(R$2:R$1073)&lt;&gt;ROW(R173))*(R$2:R$1073&lt;&gt;""))),"")</f>
        <v>1.2018678916952876E-2</v>
      </c>
      <c r="AA173" cm="1">
        <f t="array" ref="AA173">IFERROR(AVERAGE(_xlfn._xlws.FILTER(S$2:S$1073,($C$2:$C$1073=$C173)*($E$2:$E$1073=$E173)*(ROW(S$2:S$1073)&lt;&gt;ROW(S173))*(S$2:S$1073&lt;&gt;""))),"")</f>
        <v>0.60466035791128681</v>
      </c>
      <c r="AB173" cm="1">
        <f t="array" ref="AB173">IFERROR(AVERAGE(_xlfn._xlws.FILTER(T$2:T$1073,($C$2:$C$1073=$C173)*($E$2:$E$1073=$E173)*(ROW(T$2:T$1073)&lt;&gt;ROW(T173))*(T$2:T$1073&lt;&gt;""))),"")</f>
        <v>1.8706792423454931E-2</v>
      </c>
      <c r="AC173" cm="1">
        <f t="array" ref="AC173">IFERROR(AVERAGE(_xlfn._xlws.FILTER(U$2:U$1073,($C$2:$C$1073=$C173)*($E$2:$E$1073=$E173)*(ROW(U$2:U$1073)&lt;&gt;ROW(U173))*(U$2:U$1073&lt;&gt;""))),"")</f>
        <v>0.76103348380353464</v>
      </c>
      <c r="AD173" cm="1">
        <f t="array" ref="AD173">IFERROR(AVERAGE(_xlfn._xlws.FILTER(V$2:V$1073,($C$2:$C$1073=$C173)*($E$2:$E$1073=$E173)*(ROW(V$2:V$1073)&lt;&gt;ROW(V173))*(V$2:V$1073&lt;&gt;""))),"")</f>
        <v>0.4034003698508199</v>
      </c>
      <c r="AE173">
        <f>IF('Дивиденды по годам'!M173&lt;0,1,0)</f>
        <v>0</v>
      </c>
    </row>
    <row r="174" spans="1:31" x14ac:dyDescent="0.2">
      <c r="A174" s="7" t="s">
        <v>2198</v>
      </c>
      <c r="B174" t="str">
        <f t="shared" si="22"/>
        <v>IRAO IV кв. 2013</v>
      </c>
      <c r="C174">
        <v>2013</v>
      </c>
      <c r="D174">
        <f>SUMIFS(Дивиденды!$C:$C,Дивиденды!$A:$A,A174,Дивиденды!$I:$I,C174)</f>
        <v>0</v>
      </c>
      <c r="E174">
        <v>2</v>
      </c>
      <c r="F174">
        <f t="shared" si="23"/>
        <v>0</v>
      </c>
      <c r="G174">
        <f t="shared" si="24"/>
        <v>4.6443083333333329E-2</v>
      </c>
      <c r="H174">
        <f t="shared" si="25"/>
        <v>0</v>
      </c>
      <c r="I174">
        <f t="shared" si="26"/>
        <v>0.83333333333333337</v>
      </c>
      <c r="J174">
        <f t="shared" si="27"/>
        <v>0</v>
      </c>
      <c r="K174">
        <f t="shared" si="32"/>
        <v>1.2952854418676727E-2</v>
      </c>
      <c r="L174">
        <f t="shared" si="28"/>
        <v>0</v>
      </c>
      <c r="M174">
        <f t="shared" si="29"/>
        <v>0.5</v>
      </c>
      <c r="N174">
        <f t="shared" si="30"/>
        <v>0</v>
      </c>
      <c r="O174">
        <f t="shared" si="31"/>
        <v>0.33333333333333331</v>
      </c>
      <c r="P174">
        <f>IFERROR(LN('Дивиденды по годам'!I174),"")</f>
        <v>26.962695320155284</v>
      </c>
      <c r="Q174">
        <f>IFERROR('Дивиденды по годам'!G174/'Дивиденды по годам'!I174, "")</f>
        <v>0.55756526964332398</v>
      </c>
      <c r="R174">
        <f>IFERROR(IF(AND('Дивиденды по годам'!N174&lt;&gt;"",'Дивиденды по годам'!U174&lt;&gt;"",'Дивиденды по годам'!U174&lt;&gt;0),'Дивиденды по годам'!N174/'Дивиденды по годам'!U174-1,""),"")</f>
        <v>0.19082002700520873</v>
      </c>
      <c r="S174" t="str">
        <f>IFERROR(IF(AND('Дивиденды по годам'!L174&lt;&gt;"",'Дивиденды по годам'!I174&lt;&gt;"",'Дивиденды по годам'!J174&lt;&gt;"",'Дивиденды по годам'!K174&lt;&gt;"",('Дивиденды по годам'!I174-'Дивиденды по годам'!J174-'Дивиденды по годам'!K174)&lt;&gt;0),'Дивиденды по годам'!L174/('Дивиденды по годам'!I174-'Дивиденды по годам'!J174-'Дивиденды по годам'!K174),""),"")</f>
        <v/>
      </c>
      <c r="T174">
        <f>IFERROR(IF(AND('Дивиденды по годам'!Q174&lt;&gt;"",'Дивиденды по годам'!I174&lt;&gt;"",'Дивиденды по годам'!V174&lt;&gt;"",('Дивиденды по годам'!I174+'Дивиденды по годам'!V174)&lt;&gt;0),'Дивиденды по годам'!Q174/(('Дивиденды по годам'!I174+'Дивиденды по годам'!V174)/2),""),"")</f>
        <v>-4.615827890895121E-2</v>
      </c>
      <c r="U174">
        <f>IFERROR(IF(AND('Дивиденды по годам'!J174&lt;&gt;"",'Дивиденды по годам'!K174&lt;&gt;"",'Дивиденды по годам'!M174&lt;&gt;"",'Дивиденды по годам'!M174&lt;&gt;0),('Дивиденды по годам'!J174+'Дивиденды по годам'!K174)/'Дивиденды по годам'!M174,""),"")</f>
        <v>0.53192723012412246</v>
      </c>
      <c r="V174">
        <f>IFERROR(IF(AND('Дивиденды по годам'!J174&lt;&gt;"",'Дивиденды по годам'!K174&lt;&gt;"",'Дивиденды по годам'!M174&lt;&gt;"",'Дивиденды по годам'!I174&lt;&gt;0),('Дивиденды по годам'!J174+'Дивиденды по годам'!K174)/'Дивиденды по годам'!I174,""),"")</f>
        <v>0.34722747899782663</v>
      </c>
      <c r="W174">
        <f>IFERROR('Дивиденды по годам'!I174,"")</f>
        <v>512566000000</v>
      </c>
      <c r="X174" cm="1">
        <f t="array" ref="X174">IFERROR(AVERAGE(_xlfn._xlws.FILTER(P$2:P$1073,($C$2:$C$1073=$C174)*($E$2:$E$1073=$E174)*(ROW(P$2:P$1073)&lt;&gt;ROW(P174))*(P$2:P$1073&lt;&gt;""))),"")</f>
        <v>26.022494099300054</v>
      </c>
      <c r="Y174" cm="1">
        <f t="array" ref="Y174">IFERROR(AVERAGE(_xlfn._xlws.FILTER(Q$2:Q$1073,($C$2:$C$1073=$C174)*($E$2:$E$1073=$E174)*(ROW(Q$2:Q$1073)&lt;&gt;ROW(Q174))*(Q$2:Q$1073&lt;&gt;""))),"")</f>
        <v>0.80537608563425367</v>
      </c>
      <c r="Z174" cm="1">
        <f t="array" ref="Z174">IFERROR(AVERAGE(_xlfn._xlws.FILTER(R$2:R$1073,($C$2:$C$1073=$C174)*($E$2:$E$1073=$E174)*(ROW(R$2:R$1073)&lt;&gt;ROW(R174))*(R$2:R$1073&lt;&gt;""))),"")</f>
        <v>8.7447876854517964E-2</v>
      </c>
      <c r="AA174" cm="1">
        <f t="array" ref="AA174">IFERROR(AVERAGE(_xlfn._xlws.FILTER(S$2:S$1073,($C$2:$C$1073=$C174)*($E$2:$E$1073=$E174)*(ROW(S$2:S$1073)&lt;&gt;ROW(S174))*(S$2:S$1073&lt;&gt;""))),"")</f>
        <v>0.4636519590056305</v>
      </c>
      <c r="AB174" cm="1">
        <f t="array" ref="AB174">IFERROR(AVERAGE(_xlfn._xlws.FILTER(T$2:T$1073,($C$2:$C$1073=$C174)*($E$2:$E$1073=$E174)*(ROW(T$2:T$1073)&lt;&gt;ROW(T174))*(T$2:T$1073&lt;&gt;""))),"")</f>
        <v>-2.9658582033378439E-4</v>
      </c>
      <c r="AC174" cm="1">
        <f t="array" ref="AC174">IFERROR(AVERAGE(_xlfn._xlws.FILTER(U$2:U$1073,($C$2:$C$1073=$C174)*($E$2:$E$1073=$E174)*(ROW(U$2:U$1073)&lt;&gt;ROW(U174))*(U$2:U$1073&lt;&gt;""))),"")</f>
        <v>0.69169975346084223</v>
      </c>
      <c r="AD174" cm="1">
        <f t="array" ref="AD174">IFERROR(AVERAGE(_xlfn._xlws.FILTER(V$2:V$1073,($C$2:$C$1073=$C174)*($E$2:$E$1073=$E174)*(ROW(V$2:V$1073)&lt;&gt;ROW(V174))*(V$2:V$1073&lt;&gt;""))),"")</f>
        <v>0.38059659682887009</v>
      </c>
      <c r="AE174">
        <f>IF('Дивиденды по годам'!M174&lt;0,1,0)</f>
        <v>0</v>
      </c>
    </row>
    <row r="175" spans="1:31" x14ac:dyDescent="0.2">
      <c r="A175" s="7" t="s">
        <v>2198</v>
      </c>
      <c r="B175" t="str">
        <f t="shared" si="22"/>
        <v>IRAO IV кв. 2012</v>
      </c>
      <c r="C175">
        <v>2012</v>
      </c>
      <c r="D175">
        <f>SUMIFS(Дивиденды!$C:$C,Дивиденды!$A:$A,A175,Дивиденды!$I:$I,C175)</f>
        <v>0</v>
      </c>
      <c r="E175">
        <v>2</v>
      </c>
      <c r="F175">
        <f t="shared" si="23"/>
        <v>0</v>
      </c>
      <c r="G175">
        <f t="shared" si="24"/>
        <v>3.7162333333333332E-2</v>
      </c>
      <c r="H175">
        <f t="shared" si="25"/>
        <v>0</v>
      </c>
      <c r="I175">
        <f t="shared" si="26"/>
        <v>0.75</v>
      </c>
      <c r="J175">
        <f t="shared" si="27"/>
        <v>0</v>
      </c>
      <c r="K175">
        <f t="shared" si="32"/>
        <v>0.74080204300683228</v>
      </c>
      <c r="L175">
        <f t="shared" si="28"/>
        <v>0</v>
      </c>
      <c r="M175">
        <f t="shared" si="29"/>
        <v>0.58333333333333337</v>
      </c>
      <c r="N175">
        <f t="shared" si="30"/>
        <v>0</v>
      </c>
      <c r="O175">
        <f t="shared" si="31"/>
        <v>0.16666666666666666</v>
      </c>
      <c r="P175">
        <f>IFERROR(LN('Дивиденды по годам'!I175),"")</f>
        <v>26.993562157895624</v>
      </c>
      <c r="Q175">
        <f>IFERROR('Дивиденды по годам'!G175/'Дивиденды по годам'!I175, "")</f>
        <v>0.53488992384144796</v>
      </c>
      <c r="R175">
        <f>IFERROR(IF(AND('Дивиденды по годам'!N175&lt;&gt;"",'Дивиденды по годам'!U175&lt;&gt;"",'Дивиденды по годам'!U175&lt;&gt;0),'Дивиденды по годам'!N175/'Дивиденды по годам'!U175-1,""),"")</f>
        <v>3.7193889348878573E-2</v>
      </c>
      <c r="S175" t="str">
        <f>IFERROR(IF(AND('Дивиденды по годам'!L175&lt;&gt;"",'Дивиденды по годам'!I175&lt;&gt;"",'Дивиденды по годам'!J175&lt;&gt;"",'Дивиденды по годам'!K175&lt;&gt;"",('Дивиденды по годам'!I175-'Дивиденды по годам'!J175-'Дивиденды по годам'!K175)&lt;&gt;0),'Дивиденды по годам'!L175/('Дивиденды по годам'!I175-'Дивиденды по годам'!J175-'Дивиденды по годам'!K175),""),"")</f>
        <v/>
      </c>
      <c r="T175">
        <f>IFERROR(IF(AND('Дивиденды по годам'!Q175&lt;&gt;"",'Дивиденды по годам'!I175&lt;&gt;"",'Дивиденды по годам'!V175&lt;&gt;"",('Дивиденды по годам'!I175+'Дивиденды по годам'!V175)&lt;&gt;0),'Дивиденды по годам'!Q175/(('Дивиденды по годам'!I175+'Дивиденды по годам'!V175)/2),""),"")</f>
        <v>-4.2157371175333552E-2</v>
      </c>
      <c r="U175">
        <f>IFERROR(IF(AND('Дивиденды по годам'!J175&lt;&gt;"",'Дивиденды по годам'!K175&lt;&gt;"",'Дивиденды по годам'!M175&lt;&gt;"",'Дивиденды по годам'!M175&lt;&gt;0),('Дивиденды по годам'!J175+'Дивиденды по годам'!K175)/'Дивиденды по годам'!M175,""),"")</f>
        <v>0.49400007913225824</v>
      </c>
      <c r="V175">
        <f>IFERROR(IF(AND('Дивиденды по годам'!J175&lt;&gt;"",'Дивиденды по годам'!K175&lt;&gt;"",'Дивиденды по годам'!M175&lt;&gt;"",'Дивиденды по годам'!I175&lt;&gt;0),('Дивиденды по годам'!J175+'Дивиденды по годам'!K175)/'Дивиденды по годам'!I175,""),"")</f>
        <v>0.33065599261492828</v>
      </c>
      <c r="W175">
        <f>IFERROR('Дивиденды по годам'!I175,"")</f>
        <v>528634000000</v>
      </c>
      <c r="X175" cm="1">
        <f t="array" ref="X175">IFERROR(AVERAGE(_xlfn._xlws.FILTER(P$2:P$1073,($C$2:$C$1073=$C175)*($E$2:$E$1073=$E175)*(ROW(P$2:P$1073)&lt;&gt;ROW(P175))*(P$2:P$1073&lt;&gt;""))),"")</f>
        <v>26.015519917514801</v>
      </c>
      <c r="Y175" cm="1">
        <f t="array" ref="Y175">IFERROR(AVERAGE(_xlfn._xlws.FILTER(Q$2:Q$1073,($C$2:$C$1073=$C175)*($E$2:$E$1073=$E175)*(ROW(Q$2:Q$1073)&lt;&gt;ROW(Q175))*(Q$2:Q$1073&lt;&gt;""))),"")</f>
        <v>0.80198832699733025</v>
      </c>
      <c r="Z175" cm="1">
        <f t="array" ref="Z175">IFERROR(AVERAGE(_xlfn._xlws.FILTER(R$2:R$1073,($C$2:$C$1073=$C175)*($E$2:$E$1073=$E175)*(ROW(R$2:R$1073)&lt;&gt;ROW(R175))*(R$2:R$1073&lt;&gt;""))),"")</f>
        <v>-2.1752612099879123E-2</v>
      </c>
      <c r="AA175" cm="1">
        <f t="array" ref="AA175">IFERROR(AVERAGE(_xlfn._xlws.FILTER(S$2:S$1073,($C$2:$C$1073=$C175)*($E$2:$E$1073=$E175)*(ROW(S$2:S$1073)&lt;&gt;ROW(S175))*(S$2:S$1073&lt;&gt;""))),"")</f>
        <v>0.44715527647269881</v>
      </c>
      <c r="AB175" cm="1">
        <f t="array" ref="AB175">IFERROR(AVERAGE(_xlfn._xlws.FILTER(T$2:T$1073,($C$2:$C$1073=$C175)*($E$2:$E$1073=$E175)*(ROW(T$2:T$1073)&lt;&gt;ROW(T175))*(T$2:T$1073&lt;&gt;""))),"")</f>
        <v>2.7213190866823819E-2</v>
      </c>
      <c r="AC175" cm="1">
        <f t="array" ref="AC175">IFERROR(AVERAGE(_xlfn._xlws.FILTER(U$2:U$1073,($C$2:$C$1073=$C175)*($E$2:$E$1073=$E175)*(ROW(U$2:U$1073)&lt;&gt;ROW(U175))*(U$2:U$1073&lt;&gt;""))),"")</f>
        <v>0.66707965936048719</v>
      </c>
      <c r="AD175" cm="1">
        <f t="array" ref="AD175">IFERROR(AVERAGE(_xlfn._xlws.FILTER(V$2:V$1073,($C$2:$C$1073=$C175)*($E$2:$E$1073=$E175)*(ROW(V$2:V$1073)&lt;&gt;ROW(V175))*(V$2:V$1073&lt;&gt;""))),"")</f>
        <v>0.38295163888647404</v>
      </c>
      <c r="AE175">
        <f>IF('Дивиденды по годам'!M175&lt;0,1,0)</f>
        <v>0</v>
      </c>
    </row>
    <row r="176" spans="1:31" x14ac:dyDescent="0.2">
      <c r="A176" s="7" t="s">
        <v>2198</v>
      </c>
      <c r="B176" t="str">
        <f t="shared" si="22"/>
        <v>IRAO IV кв. 2011</v>
      </c>
      <c r="C176">
        <v>2011</v>
      </c>
      <c r="D176">
        <f>SUMIFS(Дивиденды!$C:$C,Дивиденды!$A:$A,A176,Дивиденды!$I:$I,C176)</f>
        <v>0</v>
      </c>
      <c r="E176">
        <v>2</v>
      </c>
      <c r="F176">
        <f t="shared" si="23"/>
        <v>0</v>
      </c>
      <c r="G176">
        <f t="shared" si="24"/>
        <v>1.154675E-2</v>
      </c>
      <c r="H176">
        <f t="shared" si="25"/>
        <v>0</v>
      </c>
      <c r="I176">
        <f t="shared" si="26"/>
        <v>0.83333333333333337</v>
      </c>
      <c r="J176">
        <f t="shared" si="27"/>
        <v>-1</v>
      </c>
      <c r="K176">
        <f t="shared" si="32"/>
        <v>0.13410358326946076</v>
      </c>
      <c r="L176">
        <f t="shared" si="28"/>
        <v>0</v>
      </c>
      <c r="M176">
        <f t="shared" si="29"/>
        <v>0.5</v>
      </c>
      <c r="N176">
        <f t="shared" si="30"/>
        <v>1</v>
      </c>
      <c r="O176">
        <f t="shared" si="31"/>
        <v>0.33333333333333331</v>
      </c>
      <c r="P176">
        <f>IFERROR(LN('Дивиденды по годам'!I176),"")</f>
        <v>26.999751419084529</v>
      </c>
      <c r="Q176">
        <f>IFERROR('Дивиденды по годам'!G176/'Дивиденды по годам'!I176, "")</f>
        <v>0.42774611028809062</v>
      </c>
      <c r="R176" t="str">
        <f>IFERROR(IF(AND('Дивиденды по годам'!N176&lt;&gt;"",'Дивиденды по годам'!U176&lt;&gt;"",'Дивиденды по годам'!U176&lt;&gt;0),'Дивиденды по годам'!N176/'Дивиденды по годам'!U176-1,""),"")</f>
        <v/>
      </c>
      <c r="S176" t="str">
        <f>IFERROR(IF(AND('Дивиденды по годам'!L176&lt;&gt;"",'Дивиденды по годам'!I176&lt;&gt;"",'Дивиденды по годам'!J176&lt;&gt;"",'Дивиденды по годам'!K176&lt;&gt;"",('Дивиденды по годам'!I176-'Дивиденды по годам'!J176-'Дивиденды по годам'!K176)&lt;&gt;0),'Дивиденды по годам'!L176/('Дивиденды по годам'!I176-'Дивиденды по годам'!J176-'Дивиденды по годам'!K176),""),"")</f>
        <v/>
      </c>
      <c r="T176" t="str">
        <f>IFERROR(IF(AND('Дивиденды по годам'!Q176&lt;&gt;"",'Дивиденды по годам'!I176&lt;&gt;"",'Дивиденды по годам'!V176&lt;&gt;"",('Дивиденды по годам'!I176+'Дивиденды по годам'!V176)&lt;&gt;0),'Дивиденды по годам'!Q176/(('Дивиденды по годам'!I176+'Дивиденды по годам'!V176)/2),""),"")</f>
        <v/>
      </c>
      <c r="U176">
        <f>IFERROR(IF(AND('Дивиденды по годам'!J176&lt;&gt;"",'Дивиденды по годам'!K176&lt;&gt;"",'Дивиденды по годам'!M176&lt;&gt;"",'Дивиденды по годам'!M176&lt;&gt;0),('Дивиденды по годам'!J176+'Дивиденды по годам'!K176)/'Дивиденды по годам'!M176,""),"")</f>
        <v>0.36159341826717556</v>
      </c>
      <c r="V176">
        <f>IFERROR(IF(AND('Дивиденды по годам'!J176&lt;&gt;"",'Дивиденды по годам'!K176&lt;&gt;"",'Дивиденды по годам'!M176&lt;&gt;"",'Дивиденды по годам'!I176&lt;&gt;0),('Дивиденды по годам'!J176+'Дивиденды по годам'!K176)/'Дивиденды по годам'!I176,""),"")</f>
        <v>0.26556636762195535</v>
      </c>
      <c r="W176">
        <f>IFERROR('Дивиденды по годам'!I176,"")</f>
        <v>531916000000</v>
      </c>
      <c r="X176" cm="1">
        <f t="array" ref="X176">IFERROR(AVERAGE(_xlfn._xlws.FILTER(P$2:P$1073,($C$2:$C$1073=$C176)*($E$2:$E$1073=$E176)*(ROW(P$2:P$1073)&lt;&gt;ROW(P176))*(P$2:P$1073&lt;&gt;""))),"")</f>
        <v>26.050037933992034</v>
      </c>
      <c r="Y176" cm="1">
        <f t="array" ref="Y176">IFERROR(AVERAGE(_xlfn._xlws.FILTER(Q$2:Q$1073,($C$2:$C$1073=$C176)*($E$2:$E$1073=$E176)*(ROW(Q$2:Q$1073)&lt;&gt;ROW(Q176))*(Q$2:Q$1073&lt;&gt;""))),"")</f>
        <v>0.80430014979239184</v>
      </c>
      <c r="Z176" cm="1">
        <f t="array" ref="Z176">IFERROR(AVERAGE(_xlfn._xlws.FILTER(R$2:R$1073,($C$2:$C$1073=$C176)*($E$2:$E$1073=$E176)*(ROW(R$2:R$1073)&lt;&gt;ROW(R176))*(R$2:R$1073&lt;&gt;""))),"")</f>
        <v>0.14348983045887875</v>
      </c>
      <c r="AA176" cm="1">
        <f t="array" ref="AA176">IFERROR(AVERAGE(_xlfn._xlws.FILTER(S$2:S$1073,($C$2:$C$1073=$C176)*($E$2:$E$1073=$E176)*(ROW(S$2:S$1073)&lt;&gt;ROW(S176))*(S$2:S$1073&lt;&gt;""))),"")</f>
        <v>0.39850050246333968</v>
      </c>
      <c r="AB176" cm="1">
        <f t="array" ref="AB176">IFERROR(AVERAGE(_xlfn._xlws.FILTER(T$2:T$1073,($C$2:$C$1073=$C176)*($E$2:$E$1073=$E176)*(ROW(T$2:T$1073)&lt;&gt;ROW(T176))*(T$2:T$1073&lt;&gt;""))),"")</f>
        <v>4.5214358774442007E-2</v>
      </c>
      <c r="AC176" cm="1">
        <f t="array" ref="AC176">IFERROR(AVERAGE(_xlfn._xlws.FILTER(U$2:U$1073,($C$2:$C$1073=$C176)*($E$2:$E$1073=$E176)*(ROW(U$2:U$1073)&lt;&gt;ROW(U176))*(U$2:U$1073&lt;&gt;""))),"")</f>
        <v>0.62060697177430968</v>
      </c>
      <c r="AD176" cm="1">
        <f t="array" ref="AD176">IFERROR(AVERAGE(_xlfn._xlws.FILTER(V$2:V$1073,($C$2:$C$1073=$C176)*($E$2:$E$1073=$E176)*(ROW(V$2:V$1073)&lt;&gt;ROW(V176))*(V$2:V$1073&lt;&gt;""))),"")</f>
        <v>0.36862855676524364</v>
      </c>
      <c r="AE176">
        <f>IF('Дивиденды по годам'!M176&lt;0,1,0)</f>
        <v>0</v>
      </c>
    </row>
    <row r="177" spans="1:31" x14ac:dyDescent="0.2">
      <c r="A177" s="7" t="s">
        <v>2198</v>
      </c>
      <c r="B177" t="str">
        <f t="shared" si="22"/>
        <v>IRAO IV кв. 2010</v>
      </c>
      <c r="C177">
        <v>2010</v>
      </c>
      <c r="D177">
        <f>SUMIFS(Дивиденды!$C:$C,Дивиденды!$A:$A,A177,Дивиденды!$I:$I,C177)</f>
        <v>1.5E-5</v>
      </c>
      <c r="E177">
        <v>2</v>
      </c>
      <c r="F177">
        <f t="shared" si="23"/>
        <v>1.5E-5</v>
      </c>
      <c r="G177">
        <f t="shared" si="24"/>
        <v>6.5605833333333341E-3</v>
      </c>
      <c r="H177">
        <f t="shared" si="25"/>
        <v>1</v>
      </c>
      <c r="I177">
        <f t="shared" si="26"/>
        <v>0.75</v>
      </c>
      <c r="J177" t="str">
        <f t="shared" si="27"/>
        <v/>
      </c>
      <c r="K177" t="str">
        <f t="shared" si="32"/>
        <v/>
      </c>
      <c r="L177" t="str">
        <f t="shared" si="28"/>
        <v/>
      </c>
      <c r="M177" t="str">
        <f t="shared" si="29"/>
        <v/>
      </c>
      <c r="N177" t="str">
        <f t="shared" si="30"/>
        <v/>
      </c>
      <c r="O177" t="str">
        <f t="shared" si="31"/>
        <v/>
      </c>
      <c r="P177" t="str">
        <f>IFERROR(LN('Дивиденды по годам'!I177),"")</f>
        <v/>
      </c>
      <c r="Q177" t="str">
        <f>IFERROR('Дивиденды по годам'!G177/'Дивиденды по годам'!I177, "")</f>
        <v/>
      </c>
      <c r="R177" t="str">
        <f>IFERROR(IF(AND('Дивиденды по годам'!N177&lt;&gt;"",'Дивиденды по годам'!U177&lt;&gt;"",'Дивиденды по годам'!U177&lt;&gt;0),'Дивиденды по годам'!N177/'Дивиденды по годам'!U177-1,""),"")</f>
        <v/>
      </c>
      <c r="S177" t="str">
        <f>IFERROR(IF(AND('Дивиденды по годам'!L177&lt;&gt;"",'Дивиденды по годам'!I177&lt;&gt;"",'Дивиденды по годам'!J177&lt;&gt;"",'Дивиденды по годам'!K177&lt;&gt;"",('Дивиденды по годам'!I177-'Дивиденды по годам'!J177-'Дивиденды по годам'!K177)&lt;&gt;0),'Дивиденды по годам'!L177/('Дивиденды по годам'!I177-'Дивиденды по годам'!J177-'Дивиденды по годам'!K177),""),"")</f>
        <v/>
      </c>
      <c r="T177" t="str">
        <f>IFERROR(IF(AND('Дивиденды по годам'!Q177&lt;&gt;"",'Дивиденды по годам'!I177&lt;&gt;"",'Дивиденды по годам'!V177&lt;&gt;"",('Дивиденды по годам'!I177+'Дивиденды по годам'!V177)&lt;&gt;0),'Дивиденды по годам'!Q177/(('Дивиденды по годам'!I177+'Дивиденды по годам'!V177)/2),""),"")</f>
        <v/>
      </c>
      <c r="U177" t="str">
        <f>IFERROR(IF(AND('Дивиденды по годам'!J177&lt;&gt;"",'Дивиденды по годам'!K177&lt;&gt;"",'Дивиденды по годам'!M177&lt;&gt;"",'Дивиденды по годам'!M177&lt;&gt;0),('Дивиденды по годам'!J177+'Дивиденды по годам'!K177)/'Дивиденды по годам'!M177,""),"")</f>
        <v/>
      </c>
      <c r="V177" t="str">
        <f>IFERROR(IF(AND('Дивиденды по годам'!J177&lt;&gt;"",'Дивиденды по годам'!K177&lt;&gt;"",'Дивиденды по годам'!M177&lt;&gt;"",'Дивиденды по годам'!I177&lt;&gt;0),('Дивиденды по годам'!J177+'Дивиденды по годам'!K177)/'Дивиденды по годам'!I177,""),"")</f>
        <v/>
      </c>
      <c r="W177" t="str">
        <f>IFERROR('Дивиденды по годам'!I177,"")</f>
        <v/>
      </c>
      <c r="X177" cm="1">
        <f t="array" ref="X177">IFERROR(AVERAGE(_xlfn._xlws.FILTER(P$2:P$1073,($C$2:$C$1073=$C177)*($E$2:$E$1073=$E177)*(ROW(P$2:P$1073)&lt;&gt;ROW(P177))*(P$2:P$1073&lt;&gt;""))),"")</f>
        <v>24.730948088520865</v>
      </c>
      <c r="Y177" cm="1">
        <f t="array" ref="Y177">IFERROR(AVERAGE(_xlfn._xlws.FILTER(Q$2:Q$1073,($C$2:$C$1073=$C177)*($E$2:$E$1073=$E177)*(ROW(Q$2:Q$1073)&lt;&gt;ROW(Q177))*(Q$2:Q$1073&lt;&gt;""))),"")</f>
        <v>0.82035195639515091</v>
      </c>
      <c r="Z177" t="str" cm="1">
        <f t="array" ref="Z177">IFERROR(AVERAGE(_xlfn._xlws.FILTER(R$2:R$1073,($C$2:$C$1073=$C177)*($E$2:$E$1073=$E177)*(ROW(R$2:R$1073)&lt;&gt;ROW(R177))*(R$2:R$1073&lt;&gt;""))),"")</f>
        <v/>
      </c>
      <c r="AA177" t="str" cm="1">
        <f t="array" ref="AA177">IFERROR(AVERAGE(_xlfn._xlws.FILTER(S$2:S$1073,($C$2:$C$1073=$C177)*($E$2:$E$1073=$E177)*(ROW(S$2:S$1073)&lt;&gt;ROW(S177))*(S$2:S$1073&lt;&gt;""))),"")</f>
        <v/>
      </c>
      <c r="AB177" t="str" cm="1">
        <f t="array" ref="AB177">IFERROR(AVERAGE(_xlfn._xlws.FILTER(T$2:T$1073,($C$2:$C$1073=$C177)*($E$2:$E$1073=$E177)*(ROW(T$2:T$1073)&lt;&gt;ROW(T177))*(T$2:T$1073&lt;&gt;""))),"")</f>
        <v/>
      </c>
      <c r="AC177" cm="1">
        <f t="array" ref="AC177">IFERROR(AVERAGE(_xlfn._xlws.FILTER(U$2:U$1073,($C$2:$C$1073=$C177)*($E$2:$E$1073=$E177)*(ROW(U$2:U$1073)&lt;&gt;ROW(U177))*(U$2:U$1073&lt;&gt;""))),"")</f>
        <v>0.91314375247969903</v>
      </c>
      <c r="AD177" cm="1">
        <f t="array" ref="AD177">IFERROR(AVERAGE(_xlfn._xlws.FILTER(V$2:V$1073,($C$2:$C$1073=$C177)*($E$2:$E$1073=$E177)*(ROW(V$2:V$1073)&lt;&gt;ROW(V177))*(V$2:V$1073&lt;&gt;""))),"")</f>
        <v>0.47730012514539921</v>
      </c>
      <c r="AE177">
        <f>IF('Дивиденды по годам'!M177&lt;0,1,0)</f>
        <v>0</v>
      </c>
    </row>
    <row r="178" spans="1:31" x14ac:dyDescent="0.2">
      <c r="A178" s="7" t="s">
        <v>2200</v>
      </c>
      <c r="B178" t="str">
        <f t="shared" si="22"/>
        <v>MRKC IV кв. 2025</v>
      </c>
      <c r="C178">
        <v>2025</v>
      </c>
      <c r="D178">
        <f>SUMIFS(Дивиденды!$C:$C,Дивиденды!$A:$A,A178,Дивиденды!$I:$I,C178)</f>
        <v>0</v>
      </c>
      <c r="E178">
        <v>2</v>
      </c>
      <c r="F178">
        <f t="shared" si="23"/>
        <v>0</v>
      </c>
      <c r="G178">
        <f t="shared" si="24"/>
        <v>0</v>
      </c>
      <c r="H178">
        <f t="shared" si="25"/>
        <v>0</v>
      </c>
      <c r="I178">
        <f t="shared" si="26"/>
        <v>0</v>
      </c>
      <c r="J178">
        <f t="shared" si="27"/>
        <v>-1</v>
      </c>
      <c r="K178">
        <f t="shared" si="32"/>
        <v>-0.5</v>
      </c>
      <c r="L178">
        <f t="shared" si="28"/>
        <v>0</v>
      </c>
      <c r="M178">
        <f t="shared" si="29"/>
        <v>0</v>
      </c>
      <c r="N178">
        <f t="shared" si="30"/>
        <v>1</v>
      </c>
      <c r="O178">
        <f t="shared" si="31"/>
        <v>0.5</v>
      </c>
      <c r="P178">
        <f>IFERROR(LN('Дивиденды по годам'!I178),"")</f>
        <v>25.882317785580614</v>
      </c>
      <c r="Q178">
        <f>IFERROR('Дивиденды по годам'!G178/'Дивиденды по годам'!I178, "")</f>
        <v>0.76335324732725973</v>
      </c>
      <c r="R178">
        <f>IFERROR(IF(AND('Дивиденды по годам'!N178&lt;&gt;"",'Дивиденды по годам'!U178&lt;&gt;"",'Дивиденды по годам'!U178&lt;&gt;0),'Дивиденды по годам'!N178/'Дивиденды по годам'!U178-1,""),"")</f>
        <v>0.10716932375523447</v>
      </c>
      <c r="S178">
        <f>IFERROR(IF(AND('Дивиденды по годам'!L178&lt;&gt;"",'Дивиденды по годам'!I178&lt;&gt;"",'Дивиденды по годам'!J178&lt;&gt;"",'Дивиденды по годам'!K178&lt;&gt;"",('Дивиденды по годам'!I178-'Дивиденды по годам'!J178-'Дивиденды по годам'!K178)&lt;&gt;0),'Дивиденды по годам'!L178/('Дивиденды по годам'!I178-'Дивиденды по годам'!J178-'Дивиденды по годам'!K178),""),"")</f>
        <v>0.94511571744718947</v>
      </c>
      <c r="T178">
        <f>IFERROR(IF(AND('Дивиденды по годам'!Q178&lt;&gt;"",'Дивиденды по годам'!I178&lt;&gt;"",'Дивиденды по годам'!V178&lt;&gt;"",('Дивиденды по годам'!I178+'Дивиденды по годам'!V178)&lt;&gt;0),'Дивиденды по годам'!Q178/(('Дивиденды по годам'!I178+'Дивиденды по годам'!V178)/2),""),"")</f>
        <v>6.9709589086264456E-2</v>
      </c>
      <c r="U178">
        <f>IFERROR(IF(AND('Дивиденды по годам'!J178&lt;&gt;"",'Дивиденды по годам'!K178&lt;&gt;"",'Дивиденды по годам'!M178&lt;&gt;"",'Дивиденды по годам'!M178&lt;&gt;0),('Дивиденды по годам'!J178+'Дивиденды по годам'!K178)/'Дивиденды по годам'!M178,""),"")</f>
        <v>1.3758091056657202</v>
      </c>
      <c r="V178">
        <f>IFERROR(IF(AND('Дивиденды по годам'!J178&lt;&gt;"",'Дивиденды по годам'!K178&lt;&gt;"",'Дивиденды по годам'!M178&lt;&gt;"",'Дивиденды по годам'!I178&lt;&gt;0),('Дивиденды по годам'!J178+'Дивиденды по годам'!K178)/'Дивиденды по годам'!I178,""),"")</f>
        <v>0.57909076212594435</v>
      </c>
      <c r="W178">
        <f>IFERROR('Дивиденды по годам'!I178,"")</f>
        <v>173999417000</v>
      </c>
      <c r="X178" cm="1">
        <f t="array" ref="X178">IFERROR(AVERAGE(_xlfn._xlws.FILTER(P$2:P$1073,($C$2:$C$1073=$C178)*($E$2:$E$1073=$E178)*(ROW(P$2:P$1073)&lt;&gt;ROW(P178))*(P$2:P$1073&lt;&gt;""))),"")</f>
        <v>26.679575835409601</v>
      </c>
      <c r="Y178" cm="1">
        <f t="array" ref="Y178">IFERROR(AVERAGE(_xlfn._xlws.FILTER(Q$2:Q$1073,($C$2:$C$1073=$C178)*($E$2:$E$1073=$E178)*(ROW(Q$2:Q$1073)&lt;&gt;ROW(Q178))*(Q$2:Q$1073&lt;&gt;""))),"")</f>
        <v>0.66534626380294648</v>
      </c>
      <c r="Z178" cm="1">
        <f t="array" ref="Z178">IFERROR(AVERAGE(_xlfn._xlws.FILTER(R$2:R$1073,($C$2:$C$1073=$C178)*($E$2:$E$1073=$E178)*(ROW(R$2:R$1073)&lt;&gt;ROW(R178))*(R$2:R$1073&lt;&gt;""))),"")</f>
        <v>0.18654864821621711</v>
      </c>
      <c r="AA178" cm="1">
        <f t="array" ref="AA178">IFERROR(AVERAGE(_xlfn._xlws.FILTER(S$2:S$1073,($C$2:$C$1073=$C178)*($E$2:$E$1073=$E178)*(ROW(S$2:S$1073)&lt;&gt;ROW(S178))*(S$2:S$1073&lt;&gt;""))),"")</f>
        <v>0.72465204792668736</v>
      </c>
      <c r="AB178" cm="1">
        <f t="array" ref="AB178">IFERROR(AVERAGE(_xlfn._xlws.FILTER(T$2:T$1073,($C$2:$C$1073=$C178)*($E$2:$E$1073=$E178)*(ROW(T$2:T$1073)&lt;&gt;ROW(T178))*(T$2:T$1073&lt;&gt;""))),"")</f>
        <v>0.10782532139626821</v>
      </c>
      <c r="AC178" cm="1">
        <f t="array" ref="AC178">IFERROR(AVERAGE(_xlfn._xlws.FILTER(U$2:U$1073,($C$2:$C$1073=$C178)*($E$2:$E$1073=$E178)*(ROW(U$2:U$1073)&lt;&gt;ROW(U178))*(U$2:U$1073&lt;&gt;""))),"")</f>
        <v>0.8198574624248306</v>
      </c>
      <c r="AD178" cm="1">
        <f t="array" ref="AD178">IFERROR(AVERAGE(_xlfn._xlws.FILTER(V$2:V$1073,($C$2:$C$1073=$C178)*($E$2:$E$1073=$E178)*(ROW(V$2:V$1073)&lt;&gt;ROW(V178))*(V$2:V$1073&lt;&gt;""))),"")</f>
        <v>0.41017275744774617</v>
      </c>
      <c r="AE178">
        <f>IF('Дивиденды по годам'!M178&lt;0,1,0)</f>
        <v>0</v>
      </c>
    </row>
    <row r="179" spans="1:31" x14ac:dyDescent="0.2">
      <c r="A179" s="7" t="s">
        <v>2200</v>
      </c>
      <c r="B179" t="str">
        <f t="shared" si="22"/>
        <v>MRKC IV кв. 2024</v>
      </c>
      <c r="C179">
        <v>2024</v>
      </c>
      <c r="D179">
        <f>SUMIFS(Дивиденды!$C:$C,Дивиденды!$A:$A,A179,Дивиденды!$I:$I,C179)</f>
        <v>6.7599999999999993E-2</v>
      </c>
      <c r="E179">
        <v>2</v>
      </c>
      <c r="F179">
        <f t="shared" si="23"/>
        <v>6.7599999999999993E-2</v>
      </c>
      <c r="G179">
        <f t="shared" si="24"/>
        <v>5.7766666666666661E-2</v>
      </c>
      <c r="H179">
        <f t="shared" si="25"/>
        <v>1</v>
      </c>
      <c r="I179">
        <f t="shared" si="26"/>
        <v>0.5</v>
      </c>
      <c r="J179">
        <f t="shared" si="27"/>
        <v>2.1148036253776415E-2</v>
      </c>
      <c r="K179">
        <f t="shared" si="32"/>
        <v>8.4398317088522787E-2</v>
      </c>
      <c r="L179">
        <f t="shared" si="28"/>
        <v>1</v>
      </c>
      <c r="M179">
        <f t="shared" si="29"/>
        <v>0.5</v>
      </c>
      <c r="N179">
        <f t="shared" si="30"/>
        <v>0</v>
      </c>
      <c r="O179">
        <f t="shared" si="31"/>
        <v>8.3333333333333329E-2</v>
      </c>
      <c r="P179">
        <f>IFERROR(LN('Дивиденды по годам'!I179),"")</f>
        <v>25.791405161816868</v>
      </c>
      <c r="Q179">
        <f>IFERROR('Дивиденды по годам'!G179/'Дивиденды по годам'!I179, "")</f>
        <v>0.76643038475121905</v>
      </c>
      <c r="R179">
        <f>IFERROR(IF(AND('Дивиденды по годам'!N179&lt;&gt;"",'Дивиденды по годам'!U179&lt;&gt;"",'Дивиденды по годам'!U179&lt;&gt;0),'Дивиденды по годам'!N179/'Дивиденды по годам'!U179-1,""),"")</f>
        <v>7.5490298838866154E-2</v>
      </c>
      <c r="S179">
        <f>IFERROR(IF(AND('Дивиденды по годам'!L179&lt;&gt;"",'Дивиденды по годам'!I179&lt;&gt;"",'Дивиденды по годам'!J179&lt;&gt;"",'Дивиденды по годам'!K179&lt;&gt;"",('Дивиденды по годам'!I179-'Дивиденды по годам'!J179-'Дивиденды по годам'!K179)&lt;&gt;0),'Дивиденды по годам'!L179/('Дивиденды по годам'!I179-'Дивиденды по годам'!J179-'Дивиденды по годам'!K179),""),"")</f>
        <v>0.93244083619499385</v>
      </c>
      <c r="T179">
        <f>IFERROR(IF(AND('Дивиденды по годам'!Q179&lt;&gt;"",'Дивиденды по годам'!I179&lt;&gt;"",'Дивиденды по годам'!V179&lt;&gt;"",('Дивиденды по годам'!I179+'Дивиденды по годам'!V179)&lt;&gt;0),'Дивиденды по годам'!Q179/(('Дивиденды по годам'!I179+'Дивиденды по годам'!V179)/2),""),"")</f>
        <v>4.2652335689949805E-2</v>
      </c>
      <c r="U179">
        <f>IFERROR(IF(AND('Дивиденды по годам'!J179&lt;&gt;"",'Дивиденды по годам'!K179&lt;&gt;"",'Дивиденды по годам'!M179&lt;&gt;"",'Дивиденды по годам'!M179&lt;&gt;0),('Дивиденды по годам'!J179+'Дивиденды по годам'!K179)/'Дивиденды по годам'!M179,""),"")</f>
        <v>1.4511416596605256</v>
      </c>
      <c r="V179">
        <f>IFERROR(IF(AND('Дивиденды по годам'!J179&lt;&gt;"",'Дивиденды по годам'!K179&lt;&gt;"",'Дивиденды по годам'!M179&lt;&gt;"",'Дивиденды по годам'!I179&lt;&gt;0),('Дивиденды по годам'!J179+'Дивиденды по годам'!K179)/'Дивиденды по годам'!I179,""),"")</f>
        <v>0.59202684346750634</v>
      </c>
      <c r="W179">
        <f>IFERROR('Дивиденды по годам'!I179,"")</f>
        <v>158878431000</v>
      </c>
      <c r="X179" cm="1">
        <f t="array" ref="X179">IFERROR(AVERAGE(_xlfn._xlws.FILTER(P$2:P$1073,($C$2:$C$1073=$C179)*($E$2:$E$1073=$E179)*(ROW(P$2:P$1073)&lt;&gt;ROW(P179))*(P$2:P$1073&lt;&gt;""))),"")</f>
        <v>26.612644276417761</v>
      </c>
      <c r="Y179" cm="1">
        <f t="array" ref="Y179">IFERROR(AVERAGE(_xlfn._xlws.FILTER(Q$2:Q$1073,($C$2:$C$1073=$C179)*($E$2:$E$1073=$E179)*(ROW(Q$2:Q$1073)&lt;&gt;ROW(Q179))*(Q$2:Q$1073&lt;&gt;""))),"")</f>
        <v>0.6803693196778382</v>
      </c>
      <c r="Z179" cm="1">
        <f t="array" ref="Z179">IFERROR(AVERAGE(_xlfn._xlws.FILTER(R$2:R$1073,($C$2:$C$1073=$C179)*($E$2:$E$1073=$E179)*(ROW(R$2:R$1073)&lt;&gt;ROW(R179))*(R$2:R$1073&lt;&gt;""))),"")</f>
        <v>0.10198610148419841</v>
      </c>
      <c r="AA179" cm="1">
        <f t="array" ref="AA179">IFERROR(AVERAGE(_xlfn._xlws.FILTER(S$2:S$1073,($C$2:$C$1073=$C179)*($E$2:$E$1073=$E179)*(ROW(S$2:S$1073)&lt;&gt;ROW(S179))*(S$2:S$1073&lt;&gt;""))),"")</f>
        <v>0.52197556054705607</v>
      </c>
      <c r="AB179" cm="1">
        <f t="array" ref="AB179">IFERROR(AVERAGE(_xlfn._xlws.FILTER(T$2:T$1073,($C$2:$C$1073=$C179)*($E$2:$E$1073=$E179)*(ROW(T$2:T$1073)&lt;&gt;ROW(T179))*(T$2:T$1073&lt;&gt;""))),"")</f>
        <v>5.894908615637541E-2</v>
      </c>
      <c r="AC179" cm="1">
        <f t="array" ref="AC179">IFERROR(AVERAGE(_xlfn._xlws.FILTER(U$2:U$1073,($C$2:$C$1073=$C179)*($E$2:$E$1073=$E179)*(ROW(U$2:U$1073)&lt;&gt;ROW(U179))*(U$2:U$1073&lt;&gt;""))),"")</f>
        <v>0.87431944312035403</v>
      </c>
      <c r="AD179" cm="1">
        <f t="array" ref="AD179">IFERROR(AVERAGE(_xlfn._xlws.FILTER(V$2:V$1073,($C$2:$C$1073=$C179)*($E$2:$E$1073=$E179)*(ROW(V$2:V$1073)&lt;&gt;ROW(V179))*(V$2:V$1073&lt;&gt;""))),"")</f>
        <v>0.43596238017169509</v>
      </c>
      <c r="AE179">
        <f>IF('Дивиденды по годам'!M179&lt;0,1,0)</f>
        <v>0</v>
      </c>
    </row>
    <row r="180" spans="1:31" x14ac:dyDescent="0.2">
      <c r="A180" s="7" t="s">
        <v>2200</v>
      </c>
      <c r="B180" t="str">
        <f t="shared" si="22"/>
        <v>MRKC IV кв. 2023</v>
      </c>
      <c r="C180">
        <v>2023</v>
      </c>
      <c r="D180">
        <f>SUMIFS(Дивиденды!$C:$C,Дивиденды!$A:$A,A180,Дивиденды!$I:$I,C180)</f>
        <v>6.6199999999999995E-2</v>
      </c>
      <c r="E180">
        <v>2</v>
      </c>
      <c r="F180">
        <f t="shared" si="23"/>
        <v>6.6199999999999995E-2</v>
      </c>
      <c r="G180">
        <f t="shared" si="24"/>
        <v>6.0783333333333335E-2</v>
      </c>
      <c r="H180">
        <f t="shared" si="25"/>
        <v>1</v>
      </c>
      <c r="I180">
        <f t="shared" si="26"/>
        <v>0.5</v>
      </c>
      <c r="J180">
        <f t="shared" si="27"/>
        <v>0.4646017699115042</v>
      </c>
      <c r="K180">
        <f t="shared" si="32"/>
        <v>7.831642847636229E-2</v>
      </c>
      <c r="L180">
        <f t="shared" si="28"/>
        <v>1</v>
      </c>
      <c r="M180">
        <f t="shared" si="29"/>
        <v>0.41666666666666669</v>
      </c>
      <c r="N180">
        <f t="shared" si="30"/>
        <v>0</v>
      </c>
      <c r="O180">
        <f t="shared" si="31"/>
        <v>0.25</v>
      </c>
      <c r="P180">
        <f>IFERROR(LN('Дивиденды по годам'!I180),"")</f>
        <v>25.725561707847419</v>
      </c>
      <c r="Q180">
        <f>IFERROR('Дивиденды по годам'!G180/'Дивиденды по годам'!I180, "")</f>
        <v>0.73208762896300505</v>
      </c>
      <c r="R180">
        <f>IFERROR(IF(AND('Дивиденды по годам'!N180&lt;&gt;"",'Дивиденды по годам'!U180&lt;&gt;"",'Дивиденды по годам'!U180&lt;&gt;0),'Дивиденды по годам'!N180/'Дивиденды по годам'!U180-1,""),"")</f>
        <v>0.12099924064220713</v>
      </c>
      <c r="S180">
        <f>IFERROR(IF(AND('Дивиденды по годам'!L180&lt;&gt;"",'Дивиденды по годам'!I180&lt;&gt;"",'Дивиденды по годам'!J180&lt;&gt;"",'Дивиденды по годам'!K180&lt;&gt;"",('Дивиденды по годам'!I180-'Дивиденды по годам'!J180-'Дивиденды по годам'!K180)&lt;&gt;0),'Дивиденды по годам'!L180/('Дивиденды по годам'!I180-'Дивиденды по годам'!J180-'Дивиденды по годам'!K180),""),"")</f>
        <v>0.92849815844739703</v>
      </c>
      <c r="T180">
        <f>IFERROR(IF(AND('Дивиденды по годам'!Q180&lt;&gt;"",'Дивиденды по годам'!I180&lt;&gt;"",'Дивиденды по годам'!V180&lt;&gt;"",('Дивиденды по годам'!I180+'Дивиденды по годам'!V180)&lt;&gt;0),'Дивиденды по годам'!Q180/(('Дивиденды по годам'!I180+'Дивиденды по годам'!V180)/2),""),"")</f>
        <v>5.4867551021225036E-2</v>
      </c>
      <c r="U180">
        <f>IFERROR(IF(AND('Дивиденды по годам'!J180&lt;&gt;"",'Дивиденды по годам'!K180&lt;&gt;"",'Дивиденды по годам'!M180&lt;&gt;"",'Дивиденды по годам'!M180&lt;&gt;0),('Дивиденды по годам'!J180+'Дивиденды по годам'!K180)/'Дивиденды по годам'!M180,""),"")</f>
        <v>1.4528908154542672</v>
      </c>
      <c r="V180">
        <f>IFERROR(IF(AND('Дивиденды по годам'!J180&lt;&gt;"",'Дивиденды по годам'!K180&lt;&gt;"",'Дивиденды по годам'!M180&lt;&gt;"",'Дивиденды по годам'!I180&lt;&gt;0),('Дивиденды по годам'!J180+'Дивиденды по годам'!K180)/'Дивиденды по годам'!I180,""),"")</f>
        <v>0.59231776901785849</v>
      </c>
      <c r="W180">
        <f>IFERROR('Дивиденды по годам'!I180,"")</f>
        <v>148754288000</v>
      </c>
      <c r="X180" cm="1">
        <f t="array" ref="X180">IFERROR(AVERAGE(_xlfn._xlws.FILTER(P$2:P$1073,($C$2:$C$1073=$C180)*($E$2:$E$1073=$E180)*(ROW(P$2:P$1073)&lt;&gt;ROW(P180))*(P$2:P$1073&lt;&gt;""))),"")</f>
        <v>26.489209541257637</v>
      </c>
      <c r="Y180" cm="1">
        <f t="array" ref="Y180">IFERROR(AVERAGE(_xlfn._xlws.FILTER(Q$2:Q$1073,($C$2:$C$1073=$C180)*($E$2:$E$1073=$E180)*(ROW(Q$2:Q$1073)&lt;&gt;ROW(Q180))*(Q$2:Q$1073&lt;&gt;""))),"")</f>
        <v>0.70638582683760653</v>
      </c>
      <c r="Z180" cm="1">
        <f t="array" ref="Z180">IFERROR(AVERAGE(_xlfn._xlws.FILTER(R$2:R$1073,($C$2:$C$1073=$C180)*($E$2:$E$1073=$E180)*(ROW(R$2:R$1073)&lt;&gt;ROW(R180))*(R$2:R$1073&lt;&gt;""))),"")</f>
        <v>0.14191237548022742</v>
      </c>
      <c r="AA180" cm="1">
        <f t="array" ref="AA180">IFERROR(AVERAGE(_xlfn._xlws.FILTER(S$2:S$1073,($C$2:$C$1073=$C180)*($E$2:$E$1073=$E180)*(ROW(S$2:S$1073)&lt;&gt;ROW(S180))*(S$2:S$1073&lt;&gt;""))),"")</f>
        <v>0.4974810408417541</v>
      </c>
      <c r="AB180" cm="1">
        <f t="array" ref="AB180">IFERROR(AVERAGE(_xlfn._xlws.FILTER(T$2:T$1073,($C$2:$C$1073=$C180)*($E$2:$E$1073=$E180)*(ROW(T$2:T$1073)&lt;&gt;ROW(T180))*(T$2:T$1073&lt;&gt;""))),"")</f>
        <v>7.8155078684711804E-2</v>
      </c>
      <c r="AC180" cm="1">
        <f t="array" ref="AC180">IFERROR(AVERAGE(_xlfn._xlws.FILTER(U$2:U$1073,($C$2:$C$1073=$C180)*($E$2:$E$1073=$E180)*(ROW(U$2:U$1073)&lt;&gt;ROW(U180))*(U$2:U$1073&lt;&gt;""))),"")</f>
        <v>0.75402688833995635</v>
      </c>
      <c r="AD180" cm="1">
        <f t="array" ref="AD180">IFERROR(AVERAGE(_xlfn._xlws.FILTER(V$2:V$1073,($C$2:$C$1073=$C180)*($E$2:$E$1073=$E180)*(ROW(V$2:V$1073)&lt;&gt;ROW(V180))*(V$2:V$1073&lt;&gt;""))),"")</f>
        <v>0.40614171989730807</v>
      </c>
      <c r="AE180">
        <f>IF('Дивиденды по годам'!M180&lt;0,1,0)</f>
        <v>0</v>
      </c>
    </row>
    <row r="181" spans="1:31" x14ac:dyDescent="0.2">
      <c r="A181" s="7" t="s">
        <v>2200</v>
      </c>
      <c r="B181" t="str">
        <f t="shared" si="22"/>
        <v>MRKC IV кв. 2022</v>
      </c>
      <c r="C181">
        <v>2022</v>
      </c>
      <c r="D181">
        <f>SUMIFS(Дивиденды!$C:$C,Дивиденды!$A:$A,A181,Дивиденды!$I:$I,C181)</f>
        <v>4.5200000000000004E-2</v>
      </c>
      <c r="E181">
        <v>2</v>
      </c>
      <c r="F181">
        <f t="shared" si="23"/>
        <v>4.5200000000000004E-2</v>
      </c>
      <c r="G181">
        <f t="shared" si="24"/>
        <v>6.0965000000000012E-2</v>
      </c>
      <c r="H181">
        <f t="shared" si="25"/>
        <v>1</v>
      </c>
      <c r="I181">
        <f t="shared" si="26"/>
        <v>0.58333333333333337</v>
      </c>
      <c r="J181">
        <f t="shared" si="27"/>
        <v>0.33727810650887596</v>
      </c>
      <c r="K181">
        <f t="shared" si="32"/>
        <v>-0.18974837046948009</v>
      </c>
      <c r="L181">
        <f t="shared" si="28"/>
        <v>1</v>
      </c>
      <c r="M181">
        <f t="shared" si="29"/>
        <v>0.25</v>
      </c>
      <c r="N181">
        <f t="shared" si="30"/>
        <v>0</v>
      </c>
      <c r="O181">
        <f t="shared" si="31"/>
        <v>0.5</v>
      </c>
      <c r="P181">
        <f>IFERROR(LN('Дивиденды по годам'!I181),"")</f>
        <v>25.663505898135</v>
      </c>
      <c r="Q181">
        <f>IFERROR('Дивиденды по годам'!G181/'Дивиденды по годам'!I181, "")</f>
        <v>0.73407760634157837</v>
      </c>
      <c r="R181">
        <f>IFERROR(IF(AND('Дивиденды по годам'!N181&lt;&gt;"",'Дивиденды по годам'!U181&lt;&gt;"",'Дивиденды по годам'!U181&lt;&gt;0),'Дивиденды по годам'!N181/'Дивиденды по годам'!U181-1,""),"")</f>
        <v>6.0014609633014748E-2</v>
      </c>
      <c r="S181">
        <f>IFERROR(IF(AND('Дивиденды по годам'!L181&lt;&gt;"",'Дивиденды по годам'!I181&lt;&gt;"",'Дивиденды по годам'!J181&lt;&gt;"",'Дивиденды по годам'!K181&lt;&gt;"",('Дивиденды по годам'!I181-'Дивиденды по годам'!J181-'Дивиденды по годам'!K181)&lt;&gt;0),'Дивиденды по годам'!L181/('Дивиденды по годам'!I181-'Дивиденды по годам'!J181-'Дивиденды по годам'!K181),""),"")</f>
        <v>0.92531679776600062</v>
      </c>
      <c r="T181">
        <f>IFERROR(IF(AND('Дивиденды по годам'!Q181&lt;&gt;"",'Дивиденды по годам'!I181&lt;&gt;"",'Дивиденды по годам'!V181&lt;&gt;"",('Дивиденды по годам'!I181+'Дивиденды по годам'!V181)&lt;&gt;0),'Дивиденды по годам'!Q181/(('Дивиденды по годам'!I181+'Дивиденды по годам'!V181)/2),""),"")</f>
        <v>3.6317535572496229E-2</v>
      </c>
      <c r="U181">
        <f>IFERROR(IF(AND('Дивиденды по годам'!J181&lt;&gt;"",'Дивиденды по годам'!K181&lt;&gt;"",'Дивиденды по годам'!M181&lt;&gt;"",'Дивиденды по годам'!M181&lt;&gt;0),('Дивиденды по годам'!J181+'Дивиденды по годам'!K181)/'Дивиденды по годам'!M181,""),"")</f>
        <v>1.6454661039584235</v>
      </c>
      <c r="V181">
        <f>IFERROR(IF(AND('Дивиденды по годам'!J181&lt;&gt;"",'Дивиденды по годам'!K181&lt;&gt;"",'Дивиденды по годам'!M181&lt;&gt;"",'Дивиденды по годам'!I181&lt;&gt;0),('Дивиденды по годам'!J181+'Дивиденды по годам'!K181)/'Дивиденды по годам'!I181,""),"")</f>
        <v>0.6219947787258755</v>
      </c>
      <c r="W181">
        <f>IFERROR('Дивиденды по годам'!I181,"")</f>
        <v>139803807000</v>
      </c>
      <c r="X181" cm="1">
        <f t="array" ref="X181">IFERROR(AVERAGE(_xlfn._xlws.FILTER(P$2:P$1073,($C$2:$C$1073=$C181)*($E$2:$E$1073=$E181)*(ROW(P$2:P$1073)&lt;&gt;ROW(P181))*(P$2:P$1073&lt;&gt;""))),"")</f>
        <v>26.383479780773143</v>
      </c>
      <c r="Y181" cm="1">
        <f t="array" ref="Y181">IFERROR(AVERAGE(_xlfn._xlws.FILTER(Q$2:Q$1073,($C$2:$C$1073=$C181)*($E$2:$E$1073=$E181)*(ROW(Q$2:Q$1073)&lt;&gt;ROW(Q181))*(Q$2:Q$1073&lt;&gt;""))),"")</f>
        <v>0.70524481728647592</v>
      </c>
      <c r="Z181" cm="1">
        <f t="array" ref="Z181">IFERROR(AVERAGE(_xlfn._xlws.FILTER(R$2:R$1073,($C$2:$C$1073=$C181)*($E$2:$E$1073=$E181)*(ROW(R$2:R$1073)&lt;&gt;ROW(R181))*(R$2:R$1073&lt;&gt;""))),"")</f>
        <v>7.4788592294660283E-2</v>
      </c>
      <c r="AA181" cm="1">
        <f t="array" ref="AA181">IFERROR(AVERAGE(_xlfn._xlws.FILTER(S$2:S$1073,($C$2:$C$1073=$C181)*($E$2:$E$1073=$E181)*(ROW(S$2:S$1073)&lt;&gt;ROW(S181))*(S$2:S$1073&lt;&gt;""))),"")</f>
        <v>0.46936319707514085</v>
      </c>
      <c r="AB181" cm="1">
        <f t="array" ref="AB181">IFERROR(AVERAGE(_xlfn._xlws.FILTER(T$2:T$1073,($C$2:$C$1073=$C181)*($E$2:$E$1073=$E181)*(ROW(T$2:T$1073)&lt;&gt;ROW(T181))*(T$2:T$1073&lt;&gt;""))),"")</f>
        <v>9.2455900933813527E-3</v>
      </c>
      <c r="AC181" cm="1">
        <f t="array" ref="AC181">IFERROR(AVERAGE(_xlfn._xlws.FILTER(U$2:U$1073,($C$2:$C$1073=$C181)*($E$2:$E$1073=$E181)*(ROW(U$2:U$1073)&lt;&gt;ROW(U181))*(U$2:U$1073&lt;&gt;""))),"")</f>
        <v>0.82742568494868507</v>
      </c>
      <c r="AD181" cm="1">
        <f t="array" ref="AD181">IFERROR(AVERAGE(_xlfn._xlws.FILTER(V$2:V$1073,($C$2:$C$1073=$C181)*($E$2:$E$1073=$E181)*(ROW(V$2:V$1073)&lt;&gt;ROW(V181))*(V$2:V$1073&lt;&gt;""))),"")</f>
        <v>0.42168784078302429</v>
      </c>
      <c r="AE181">
        <f>IF('Дивиденды по годам'!M181&lt;0,1,0)</f>
        <v>0</v>
      </c>
    </row>
    <row r="182" spans="1:31" x14ac:dyDescent="0.2">
      <c r="A182" s="7" t="s">
        <v>2200</v>
      </c>
      <c r="B182" t="str">
        <f t="shared" si="22"/>
        <v>MRKC IV кв. 2021</v>
      </c>
      <c r="C182">
        <v>2021</v>
      </c>
      <c r="D182">
        <f>SUMIFS(Дивиденды!$C:$C,Дивиденды!$A:$A,A182,Дивиденды!$I:$I,C182)</f>
        <v>3.3799999999999997E-2</v>
      </c>
      <c r="E182">
        <v>2</v>
      </c>
      <c r="F182">
        <f t="shared" si="23"/>
        <v>3.3799999999999997E-2</v>
      </c>
      <c r="G182">
        <f t="shared" si="24"/>
        <v>7.8968583333333328E-2</v>
      </c>
      <c r="H182">
        <f t="shared" si="25"/>
        <v>1</v>
      </c>
      <c r="I182">
        <f t="shared" si="26"/>
        <v>0.75</v>
      </c>
      <c r="J182">
        <f t="shared" si="27"/>
        <v>8.9552238805968559E-3</v>
      </c>
      <c r="K182">
        <f t="shared" si="32"/>
        <v>0.16312991526733925</v>
      </c>
      <c r="L182">
        <f t="shared" si="28"/>
        <v>1</v>
      </c>
      <c r="M182">
        <f t="shared" si="29"/>
        <v>0.58333333333333337</v>
      </c>
      <c r="N182">
        <f t="shared" si="30"/>
        <v>0</v>
      </c>
      <c r="O182">
        <f t="shared" si="31"/>
        <v>0.25</v>
      </c>
      <c r="P182">
        <f>IFERROR(LN('Дивиденды по годам'!I182),"")</f>
        <v>25.593486760215676</v>
      </c>
      <c r="Q182">
        <f>IFERROR('Дивиденды по годам'!G182/'Дивиденды по годам'!I182, "")</f>
        <v>0.76923506182533841</v>
      </c>
      <c r="R182">
        <f>IFERROR(IF(AND('Дивиденды по годам'!N182&lt;&gt;"",'Дивиденды по годам'!U182&lt;&gt;"",'Дивиденды по годам'!U182&lt;&gt;0),'Дивиденды по годам'!N182/'Дивиденды по годам'!U182-1,""),"")</f>
        <v>0.10715451380432262</v>
      </c>
      <c r="S182">
        <f>IFERROR(IF(AND('Дивиденды по годам'!L182&lt;&gt;"",'Дивиденды по годам'!I182&lt;&gt;"",'Дивиденды по годам'!J182&lt;&gt;"",'Дивиденды по годам'!K182&lt;&gt;"",('Дивиденды по годам'!I182-'Дивиденды по годам'!J182-'Дивиденды по годам'!K182)&lt;&gt;0),'Дивиденды по годам'!L182/('Дивиденды по годам'!I182-'Дивиденды по годам'!J182-'Дивиденды по годам'!K182),""),"")</f>
        <v>0.91257190316011261</v>
      </c>
      <c r="T182">
        <f>IFERROR(IF(AND('Дивиденды по годам'!Q182&lt;&gt;"",'Дивиденды по годам'!I182&lt;&gt;"",'Дивиденды по годам'!V182&lt;&gt;"",('Дивиденды по годам'!I182+'Дивиденды по годам'!V182)&lt;&gt;0),'Дивиденды по годам'!Q182/(('Дивиденды по годам'!I182+'Дивиденды по годам'!V182)/2),""),"")</f>
        <v>3.4655733899968025E-2</v>
      </c>
      <c r="U182">
        <f>IFERROR(IF(AND('Дивиденды по годам'!J182&lt;&gt;"",'Дивиденды по годам'!K182&lt;&gt;"",'Дивиденды по годам'!M182&lt;&gt;"",'Дивиденды по годам'!M182&lt;&gt;0),('Дивиденды по годам'!J182+'Дивиденды по годам'!K182)/'Дивиденды по годам'!M182,""),"")</f>
        <v>1.5448243146817828</v>
      </c>
      <c r="V182">
        <f>IFERROR(IF(AND('Дивиденды по годам'!J182&lt;&gt;"",'Дивиденды по годам'!K182&lt;&gt;"",'Дивиденды по годам'!M182&lt;&gt;"",'Дивиденды по годам'!I182&lt;&gt;0),('Дивиденды по годам'!J182+'Дивиденды по годам'!K182)/'Дивиденды по годам'!I182,""),"")</f>
        <v>0.60704556529473241</v>
      </c>
      <c r="W182">
        <f>IFERROR('Дивиденды по годам'!I182,"")</f>
        <v>130349711000</v>
      </c>
      <c r="X182" cm="1">
        <f t="array" ref="X182">IFERROR(AVERAGE(_xlfn._xlws.FILTER(P$2:P$1073,($C$2:$C$1073=$C182)*($E$2:$E$1073=$E182)*(ROW(P$2:P$1073)&lt;&gt;ROW(P182))*(P$2:P$1073&lt;&gt;""))),"")</f>
        <v>25.960038602938532</v>
      </c>
      <c r="Y182" cm="1">
        <f t="array" ref="Y182">IFERROR(AVERAGE(_xlfn._xlws.FILTER(Q$2:Q$1073,($C$2:$C$1073=$C182)*($E$2:$E$1073=$E182)*(ROW(Q$2:Q$1073)&lt;&gt;ROW(Q182))*(Q$2:Q$1073&lt;&gt;""))),"")</f>
        <v>0.7700363926248095</v>
      </c>
      <c r="Z182" cm="1">
        <f t="array" ref="Z182">IFERROR(AVERAGE(_xlfn._xlws.FILTER(R$2:R$1073,($C$2:$C$1073=$C182)*($E$2:$E$1073=$E182)*(ROW(R$2:R$1073)&lt;&gt;ROW(R182))*(R$2:R$1073&lt;&gt;""))),"")</f>
        <v>0.12868771911705879</v>
      </c>
      <c r="AA182" cm="1">
        <f t="array" ref="AA182">IFERROR(AVERAGE(_xlfn._xlws.FILTER(S$2:S$1073,($C$2:$C$1073=$C182)*($E$2:$E$1073=$E182)*(ROW(S$2:S$1073)&lt;&gt;ROW(S182))*(S$2:S$1073&lt;&gt;""))),"")</f>
        <v>0.46005060482518889</v>
      </c>
      <c r="AB182" cm="1">
        <f t="array" ref="AB182">IFERROR(AVERAGE(_xlfn._xlws.FILTER(T$2:T$1073,($C$2:$C$1073=$C182)*($E$2:$E$1073=$E182)*(ROW(T$2:T$1073)&lt;&gt;ROW(T182))*(T$2:T$1073&lt;&gt;""))),"")</f>
        <v>3.661256154965483E-2</v>
      </c>
      <c r="AC182" cm="1">
        <f t="array" ref="AC182">IFERROR(AVERAGE(_xlfn._xlws.FILTER(U$2:U$1073,($C$2:$C$1073=$C182)*($E$2:$E$1073=$E182)*(ROW(U$2:U$1073)&lt;&gt;ROW(U182))*(U$2:U$1073&lt;&gt;""))),"")</f>
        <v>0.63181240105266256</v>
      </c>
      <c r="AD182" cm="1">
        <f t="array" ref="AD182">IFERROR(AVERAGE(_xlfn._xlws.FILTER(V$2:V$1073,($C$2:$C$1073=$C182)*($E$2:$E$1073=$E182)*(ROW(V$2:V$1073)&lt;&gt;ROW(V182))*(V$2:V$1073&lt;&gt;""))),"")</f>
        <v>0.36010097502996918</v>
      </c>
      <c r="AE182">
        <f>IF('Дивиденды по годам'!M182&lt;0,1,0)</f>
        <v>0</v>
      </c>
    </row>
    <row r="183" spans="1:31" x14ac:dyDescent="0.2">
      <c r="A183" s="7" t="s">
        <v>2200</v>
      </c>
      <c r="B183" t="str">
        <f t="shared" si="22"/>
        <v>MRKC IV кв. 2020</v>
      </c>
      <c r="C183">
        <v>2020</v>
      </c>
      <c r="D183">
        <f>SUMIFS(Дивиденды!$C:$C,Дивиденды!$A:$A,A183,Дивиденды!$I:$I,C183)</f>
        <v>3.3500000000000002E-2</v>
      </c>
      <c r="E183">
        <v>2</v>
      </c>
      <c r="F183">
        <f t="shared" si="23"/>
        <v>3.3500000000000002E-2</v>
      </c>
      <c r="G183">
        <f t="shared" si="24"/>
        <v>6.711425E-2</v>
      </c>
      <c r="H183">
        <f t="shared" si="25"/>
        <v>1</v>
      </c>
      <c r="I183">
        <f t="shared" si="26"/>
        <v>0.75</v>
      </c>
      <c r="J183">
        <f t="shared" si="27"/>
        <v>0.66666666666666674</v>
      </c>
      <c r="K183">
        <f t="shared" si="32"/>
        <v>-0.14117958725826812</v>
      </c>
      <c r="L183">
        <f t="shared" si="28"/>
        <v>1</v>
      </c>
      <c r="M183">
        <f t="shared" si="29"/>
        <v>0.5</v>
      </c>
      <c r="N183">
        <f t="shared" si="30"/>
        <v>0</v>
      </c>
      <c r="O183">
        <f t="shared" si="31"/>
        <v>0.5</v>
      </c>
      <c r="P183">
        <f>IFERROR(LN('Дивиденды по годам'!I183),"")</f>
        <v>25.527256504169095</v>
      </c>
      <c r="Q183">
        <f>IFERROR('Дивиденды по годам'!G183/'Дивиденды по годам'!I183, "")</f>
        <v>0.78777143017147722</v>
      </c>
      <c r="R183">
        <f>IFERROR(IF(AND('Дивиденды по годам'!N183&lt;&gt;"",'Дивиденды по годам'!U183&lt;&gt;"",'Дивиденды по годам'!U183&lt;&gt;0),'Дивиденды по годам'!N183/'Дивиденды по годам'!U183-1,""),"")</f>
        <v>3.1669743574181508E-2</v>
      </c>
      <c r="S183">
        <f>IFERROR(IF(AND('Дивиденды по годам'!L183&lt;&gt;"",'Дивиденды по годам'!I183&lt;&gt;"",'Дивиденды по годам'!J183&lt;&gt;"",'Дивиденды по годам'!K183&lt;&gt;"",('Дивиденды по годам'!I183-'Дивиденды по годам'!J183-'Дивиденды по годам'!K183)&lt;&gt;0),'Дивиденды по годам'!L183/('Дивиденды по годам'!I183-'Дивиденды по годам'!J183-'Дивиденды по годам'!K183),""),"")</f>
        <v>0.91715355947338173</v>
      </c>
      <c r="T183">
        <f>IFERROR(IF(AND('Дивиденды по годам'!Q183&lt;&gt;"",'Дивиденды по годам'!I183&lt;&gt;"",'Дивиденды по годам'!V183&lt;&gt;"",('Дивиденды по годам'!I183+'Дивиденды по годам'!V183)&lt;&gt;0),'Дивиденды по годам'!Q183/(('Дивиденды по годам'!I183+'Дивиденды по годам'!V183)/2),""),"")</f>
        <v>1.7939994711902937E-2</v>
      </c>
      <c r="U183">
        <f>IFERROR(IF(AND('Дивиденды по годам'!J183&lt;&gt;"",'Дивиденды по годам'!K183&lt;&gt;"",'Дивиденды по годам'!M183&lt;&gt;"",'Дивиденды по годам'!M183&lt;&gt;0),('Дивиденды по годам'!J183+'Дивиденды по годам'!K183)/'Дивиденды по годам'!M183,""),"")</f>
        <v>1.5487076270491527</v>
      </c>
      <c r="V183">
        <f>IFERROR(IF(AND('Дивиденды по годам'!J183&lt;&gt;"",'Дивиденды по годам'!K183&lt;&gt;"",'Дивиденды по годам'!M183&lt;&gt;"",'Дивиденды по годам'!I183&lt;&gt;0),('Дивиденды по годам'!J183+'Дивиденды по годам'!K183)/'Дивиденды по годам'!I183,""),"")</f>
        <v>0.60764428630922185</v>
      </c>
      <c r="W183">
        <f>IFERROR('Дивиденды по годам'!I183,"")</f>
        <v>121996294000</v>
      </c>
      <c r="X183" cm="1">
        <f t="array" ref="X183">IFERROR(AVERAGE(_xlfn._xlws.FILTER(P$2:P$1073,($C$2:$C$1073=$C183)*($E$2:$E$1073=$E183)*(ROW(P$2:P$1073)&lt;&gt;ROW(P183))*(P$2:P$1073&lt;&gt;""))),"")</f>
        <v>26.226947402986212</v>
      </c>
      <c r="Y183" cm="1">
        <f t="array" ref="Y183">IFERROR(AVERAGE(_xlfn._xlws.FILTER(Q$2:Q$1073,($C$2:$C$1073=$C183)*($E$2:$E$1073=$E183)*(ROW(Q$2:Q$1073)&lt;&gt;ROW(Q183))*(Q$2:Q$1073&lt;&gt;""))),"")</f>
        <v>0.74140226975514001</v>
      </c>
      <c r="Z183" cm="1">
        <f t="array" ref="Z183">IFERROR(AVERAGE(_xlfn._xlws.FILTER(R$2:R$1073,($C$2:$C$1073=$C183)*($E$2:$E$1073=$E183)*(ROW(R$2:R$1073)&lt;&gt;ROW(R183))*(R$2:R$1073&lt;&gt;""))),"")</f>
        <v>-7.2181091996956104E-2</v>
      </c>
      <c r="AA183" cm="1">
        <f t="array" ref="AA183">IFERROR(AVERAGE(_xlfn._xlws.FILTER(S$2:S$1073,($C$2:$C$1073=$C183)*($E$2:$E$1073=$E183)*(ROW(S$2:S$1073)&lt;&gt;ROW(S183))*(S$2:S$1073&lt;&gt;""))),"")</f>
        <v>0.448413327047888</v>
      </c>
      <c r="AB183" cm="1">
        <f t="array" ref="AB183">IFERROR(AVERAGE(_xlfn._xlws.FILTER(T$2:T$1073,($C$2:$C$1073=$C183)*($E$2:$E$1073=$E183)*(ROW(T$2:T$1073)&lt;&gt;ROW(T183))*(T$2:T$1073&lt;&gt;""))),"")</f>
        <v>4.4711274128181315E-2</v>
      </c>
      <c r="AC183" cm="1">
        <f t="array" ref="AC183">IFERROR(AVERAGE(_xlfn._xlws.FILTER(U$2:U$1073,($C$2:$C$1073=$C183)*($E$2:$E$1073=$E183)*(ROW(U$2:U$1073)&lt;&gt;ROW(U183))*(U$2:U$1073&lt;&gt;""))),"")</f>
        <v>0.58547155168137588</v>
      </c>
      <c r="AD183" cm="1">
        <f t="array" ref="AD183">IFERROR(AVERAGE(_xlfn._xlws.FILTER(V$2:V$1073,($C$2:$C$1073=$C183)*($E$2:$E$1073=$E183)*(ROW(V$2:V$1073)&lt;&gt;ROW(V183))*(V$2:V$1073&lt;&gt;""))),"")</f>
        <v>0.34796044143077615</v>
      </c>
      <c r="AE183">
        <f>IF('Дивиденды по годам'!M183&lt;0,1,0)</f>
        <v>0</v>
      </c>
    </row>
    <row r="184" spans="1:31" x14ac:dyDescent="0.2">
      <c r="A184" s="7" t="s">
        <v>2200</v>
      </c>
      <c r="B184" t="str">
        <f t="shared" si="22"/>
        <v>MRKC IV кв. 2019</v>
      </c>
      <c r="C184">
        <v>2019</v>
      </c>
      <c r="D184">
        <f>SUMIFS(Дивиденды!$C:$C,Дивиденды!$A:$A,A184,Дивиденды!$I:$I,C184)</f>
        <v>2.01E-2</v>
      </c>
      <c r="E184">
        <v>2</v>
      </c>
      <c r="F184">
        <f t="shared" si="23"/>
        <v>2.01E-2</v>
      </c>
      <c r="G184">
        <f t="shared" si="24"/>
        <v>6.9633666666666663E-2</v>
      </c>
      <c r="H184">
        <f t="shared" si="25"/>
        <v>1</v>
      </c>
      <c r="I184">
        <f t="shared" si="26"/>
        <v>1</v>
      </c>
      <c r="J184">
        <f t="shared" si="27"/>
        <v>-3.3653846153846118E-2</v>
      </c>
      <c r="K184">
        <f t="shared" si="32"/>
        <v>0.17489724484940816</v>
      </c>
      <c r="L184">
        <f t="shared" si="28"/>
        <v>0</v>
      </c>
      <c r="M184">
        <f t="shared" si="29"/>
        <v>0.5</v>
      </c>
      <c r="N184">
        <f t="shared" si="30"/>
        <v>1</v>
      </c>
      <c r="O184">
        <f t="shared" si="31"/>
        <v>0.41666666666666669</v>
      </c>
      <c r="P184">
        <f>IFERROR(LN('Дивиденды по годам'!I184),"")</f>
        <v>25.497304314006495</v>
      </c>
      <c r="Q184">
        <f>IFERROR('Дивиденды по годам'!G184/'Дивиденды по годам'!I184, "")</f>
        <v>0.79658823127074474</v>
      </c>
      <c r="R184">
        <f>IFERROR(IF(AND('Дивиденды по годам'!N184&lt;&gt;"",'Дивиденды по годам'!U184&lt;&gt;"",'Дивиденды по годам'!U184&lt;&gt;0),'Дивиденды по годам'!N184/'Дивиденды по годам'!U184-1,""),"")</f>
        <v>7.5190403211642387E-3</v>
      </c>
      <c r="S184">
        <f>IFERROR(IF(AND('Дивиденды по годам'!L184&lt;&gt;"",'Дивиденды по годам'!I184&lt;&gt;"",'Дивиденды по годам'!J184&lt;&gt;"",'Дивиденды по годам'!K184&lt;&gt;"",('Дивиденды по годам'!I184-'Дивиденды по годам'!J184-'Дивиденды по годам'!K184)&lt;&gt;0),'Дивиденды по годам'!L184/('Дивиденды по годам'!I184-'Дивиденды по годам'!J184-'Дивиденды по годам'!K184),""),"")</f>
        <v>0.91010855605843854</v>
      </c>
      <c r="T184">
        <f>IFERROR(IF(AND('Дивиденды по годам'!Q184&lt;&gt;"",'Дивиденды по годам'!I184&lt;&gt;"",'Дивиденды по годам'!V184&lt;&gt;"",('Дивиденды по годам'!I184+'Дивиденды по годам'!V184)&lt;&gt;0),'Дивиденды по годам'!Q184/(('Дивиденды по годам'!I184+'Дивиденды по годам'!V184)/2),""),"")</f>
        <v>2.7840082770987373E-2</v>
      </c>
      <c r="U184">
        <f>IFERROR(IF(AND('Дивиденды по годам'!J184&lt;&gt;"",'Дивиденды по годам'!K184&lt;&gt;"",'Дивиденды по годам'!M184&lt;&gt;"",'Дивиденды по годам'!M184&lt;&gt;0),('Дивиденды по годам'!J184+'Дивиденды по годам'!K184)/'Дивиденды по годам'!M184,""),"")</f>
        <v>1.5689677835620839</v>
      </c>
      <c r="V184">
        <f>IFERROR(IF(AND('Дивиденды по годам'!J184&lt;&gt;"",'Дивиденды по годам'!K184&lt;&gt;"",'Дивиденды по годам'!M184&lt;&gt;"",'Дивиденды по годам'!I184&lt;&gt;0),('Дивиденды по годам'!J184+'Дивиденды по годам'!K184)/'Дивиденды по годам'!I184,""),"")</f>
        <v>0.61073859843683276</v>
      </c>
      <c r="W184">
        <f>IFERROR('Дивиденды по годам'!I184,"")</f>
        <v>118396419000</v>
      </c>
      <c r="X184" cm="1">
        <f t="array" ref="X184">IFERROR(AVERAGE(_xlfn._xlws.FILTER(P$2:P$1073,($C$2:$C$1073=$C184)*($E$2:$E$1073=$E184)*(ROW(P$2:P$1073)&lt;&gt;ROW(P184))*(P$2:P$1073&lt;&gt;""))),"")</f>
        <v>26.186382612216562</v>
      </c>
      <c r="Y184" cm="1">
        <f t="array" ref="Y184">IFERROR(AVERAGE(_xlfn._xlws.FILTER(Q$2:Q$1073,($C$2:$C$1073=$C184)*($E$2:$E$1073=$E184)*(ROW(Q$2:Q$1073)&lt;&gt;ROW(Q184))*(Q$2:Q$1073&lt;&gt;""))),"")</f>
        <v>0.73202899333870086</v>
      </c>
      <c r="Z184" cm="1">
        <f t="array" ref="Z184">IFERROR(AVERAGE(_xlfn._xlws.FILTER(R$2:R$1073,($C$2:$C$1073=$C184)*($E$2:$E$1073=$E184)*(ROW(R$2:R$1073)&lt;&gt;ROW(R184))*(R$2:R$1073&lt;&gt;""))),"")</f>
        <v>3.1448237009369753E-3</v>
      </c>
      <c r="AA184" cm="1">
        <f t="array" ref="AA184">IFERROR(AVERAGE(_xlfn._xlws.FILTER(S$2:S$1073,($C$2:$C$1073=$C184)*($E$2:$E$1073=$E184)*(ROW(S$2:S$1073)&lt;&gt;ROW(S184))*(S$2:S$1073&lt;&gt;""))),"")</f>
        <v>0.43768417472547277</v>
      </c>
      <c r="AB184" cm="1">
        <f t="array" ref="AB184">IFERROR(AVERAGE(_xlfn._xlws.FILTER(T$2:T$1073,($C$2:$C$1073=$C184)*($E$2:$E$1073=$E184)*(ROW(T$2:T$1073)&lt;&gt;ROW(T184))*(T$2:T$1073&lt;&gt;""))),"")</f>
        <v>5.3976477443543995E-2</v>
      </c>
      <c r="AC184" cm="1">
        <f t="array" ref="AC184">IFERROR(AVERAGE(_xlfn._xlws.FILTER(U$2:U$1073,($C$2:$C$1073=$C184)*($E$2:$E$1073=$E184)*(ROW(U$2:U$1073)&lt;&gt;ROW(U184))*(U$2:U$1073&lt;&gt;""))),"")</f>
        <v>0.59011136814444376</v>
      </c>
      <c r="AD184" cm="1">
        <f t="array" ref="AD184">IFERROR(AVERAGE(_xlfn._xlws.FILTER(V$2:V$1073,($C$2:$C$1073=$C184)*($E$2:$E$1073=$E184)*(ROW(V$2:V$1073)&lt;&gt;ROW(V184))*(V$2:V$1073&lt;&gt;""))),"")</f>
        <v>0.35091658026579919</v>
      </c>
      <c r="AE184">
        <f>IF('Дивиденды по годам'!M184&lt;0,1,0)</f>
        <v>0</v>
      </c>
    </row>
    <row r="185" spans="1:31" x14ac:dyDescent="0.2">
      <c r="A185" s="7" t="s">
        <v>2200</v>
      </c>
      <c r="B185" t="str">
        <f t="shared" si="22"/>
        <v>MRKC IV кв. 2018</v>
      </c>
      <c r="C185">
        <v>2018</v>
      </c>
      <c r="D185">
        <f>SUMIFS(Дивиденды!$C:$C,Дивиденды!$A:$A,A185,Дивиденды!$I:$I,C185)</f>
        <v>2.0799999999999999E-2</v>
      </c>
      <c r="E185">
        <v>2</v>
      </c>
      <c r="F185">
        <f t="shared" si="23"/>
        <v>2.0799999999999999E-2</v>
      </c>
      <c r="G185">
        <f t="shared" si="24"/>
        <v>7.8837083333333335E-2</v>
      </c>
      <c r="H185">
        <f t="shared" si="25"/>
        <v>1</v>
      </c>
      <c r="I185">
        <f t="shared" si="26"/>
        <v>1</v>
      </c>
      <c r="J185">
        <f t="shared" si="27"/>
        <v>0</v>
      </c>
      <c r="K185">
        <f t="shared" si="32"/>
        <v>0.19625836163091881</v>
      </c>
      <c r="L185">
        <f t="shared" si="28"/>
        <v>0</v>
      </c>
      <c r="M185">
        <f t="shared" si="29"/>
        <v>0.66666666666666663</v>
      </c>
      <c r="N185">
        <f t="shared" si="30"/>
        <v>0</v>
      </c>
      <c r="O185">
        <f t="shared" si="31"/>
        <v>0.25</v>
      </c>
      <c r="P185">
        <f>IFERROR(LN('Дивиденды по годам'!I185),"")</f>
        <v>25.406558102767242</v>
      </c>
      <c r="Q185">
        <f>IFERROR('Дивиденды по годам'!G185/'Дивиденды по годам'!I185, "")</f>
        <v>0.81257734244194924</v>
      </c>
      <c r="R185">
        <f>IFERROR(IF(AND('Дивиденды по годам'!N185&lt;&gt;"",'Дивиденды по годам'!U185&lt;&gt;"",'Дивиденды по годам'!U185&lt;&gt;0),'Дивиденды по годам'!N185/'Дивиденды по годам'!U185-1,""),"")</f>
        <v>3.0946280301530349E-2</v>
      </c>
      <c r="S185">
        <f>IFERROR(IF(AND('Дивиденды по годам'!L185&lt;&gt;"",'Дивиденды по годам'!I185&lt;&gt;"",'Дивиденды по годам'!J185&lt;&gt;"",'Дивиденды по годам'!K185&lt;&gt;"",('Дивиденды по годам'!I185-'Дивиденды по годам'!J185-'Дивиденды по годам'!K185)&lt;&gt;0),'Дивиденды по годам'!L185/('Дивиденды по годам'!I185-'Дивиденды по годам'!J185-'Дивиденды по годам'!K185),""),"")</f>
        <v>0.90454643064902474</v>
      </c>
      <c r="T185">
        <f>IFERROR(IF(AND('Дивиденды по годам'!Q185&lt;&gt;"",'Дивиденды по годам'!I185&lt;&gt;"",'Дивиденды по годам'!V185&lt;&gt;"",('Дивиденды по годам'!I185+'Дивиденды по годам'!V185)&lt;&gt;0),'Дивиденды по годам'!Q185/(('Дивиденды по годам'!I185+'Дивиденды по годам'!V185)/2),""),"")</f>
        <v>2.8103032369707608E-2</v>
      </c>
      <c r="U185">
        <f>IFERROR(IF(AND('Дивиденды по годам'!J185&lt;&gt;"",'Дивиденды по годам'!K185&lt;&gt;"",'Дивиденды по годам'!M185&lt;&gt;"",'Дивиденды по годам'!M185&lt;&gt;0),('Дивиденды по годам'!J185+'Дивиденды по годам'!K185)/'Дивиденды по годам'!M185,""),"")</f>
        <v>1.4101270013887175</v>
      </c>
      <c r="V185">
        <f>IFERROR(IF(AND('Дивиденды по годам'!J185&lt;&gt;"",'Дивиденды по годам'!K185&lt;&gt;"",'Дивиденды по годам'!M185&lt;&gt;"",'Дивиденды по годам'!I185&lt;&gt;0),('Дивиденды по годам'!J185+'Дивиденды по годам'!K185)/'Дивиденды по годам'!I185,""),"")</f>
        <v>0.58508410576546421</v>
      </c>
      <c r="W185">
        <f>IFERROR('Дивиденды по годам'!I185,"")</f>
        <v>108125465000</v>
      </c>
      <c r="X185" cm="1">
        <f t="array" ref="X185">IFERROR(AVERAGE(_xlfn._xlws.FILTER(P$2:P$1073,($C$2:$C$1073=$C185)*($E$2:$E$1073=$E185)*(ROW(P$2:P$1073)&lt;&gt;ROW(P185))*(P$2:P$1073&lt;&gt;""))),"")</f>
        <v>26.136378839291748</v>
      </c>
      <c r="Y185" cm="1">
        <f t="array" ref="Y185">IFERROR(AVERAGE(_xlfn._xlws.FILTER(Q$2:Q$1073,($C$2:$C$1073=$C185)*($E$2:$E$1073=$E185)*(ROW(Q$2:Q$1073)&lt;&gt;ROW(Q185))*(Q$2:Q$1073&lt;&gt;""))),"")</f>
        <v>0.74823437713149399</v>
      </c>
      <c r="Z185" cm="1">
        <f t="array" ref="Z185">IFERROR(AVERAGE(_xlfn._xlws.FILTER(R$2:R$1073,($C$2:$C$1073=$C185)*($E$2:$E$1073=$E185)*(ROW(R$2:R$1073)&lt;&gt;ROW(R185))*(R$2:R$1073&lt;&gt;""))),"")</f>
        <v>5.1804292011648885E-2</v>
      </c>
      <c r="AA185" cm="1">
        <f t="array" ref="AA185">IFERROR(AVERAGE(_xlfn._xlws.FILTER(S$2:S$1073,($C$2:$C$1073=$C185)*($E$2:$E$1073=$E185)*(ROW(S$2:S$1073)&lt;&gt;ROW(S185))*(S$2:S$1073&lt;&gt;""))),"")</f>
        <v>0.42773168316249149</v>
      </c>
      <c r="AB185" cm="1">
        <f t="array" ref="AB185">IFERROR(AVERAGE(_xlfn._xlws.FILTER(T$2:T$1073,($C$2:$C$1073=$C185)*($E$2:$E$1073=$E185)*(ROW(T$2:T$1073)&lt;&gt;ROW(T185))*(T$2:T$1073&lt;&gt;""))),"")</f>
        <v>7.1770508486462478E-2</v>
      </c>
      <c r="AC185" cm="1">
        <f t="array" ref="AC185">IFERROR(AVERAGE(_xlfn._xlws.FILTER(U$2:U$1073,($C$2:$C$1073=$C185)*($E$2:$E$1073=$E185)*(ROW(U$2:U$1073)&lt;&gt;ROW(U185))*(U$2:U$1073&lt;&gt;""))),"")</f>
        <v>0.56712127667085632</v>
      </c>
      <c r="AD185" cm="1">
        <f t="array" ref="AD185">IFERROR(AVERAGE(_xlfn._xlws.FILTER(V$2:V$1073,($C$2:$C$1073=$C185)*($E$2:$E$1073=$E185)*(ROW(V$2:V$1073)&lt;&gt;ROW(V185))*(V$2:V$1073&lt;&gt;""))),"")</f>
        <v>0.34140985000662277</v>
      </c>
      <c r="AE185">
        <f>IF('Дивиденды по годам'!M185&lt;0,1,0)</f>
        <v>0</v>
      </c>
    </row>
    <row r="186" spans="1:31" x14ac:dyDescent="0.2">
      <c r="A186" s="7" t="s">
        <v>2200</v>
      </c>
      <c r="B186" t="str">
        <f t="shared" si="22"/>
        <v>MRKC IV кв. 2017</v>
      </c>
      <c r="C186">
        <v>2017</v>
      </c>
      <c r="D186">
        <f>SUMIFS(Дивиденды!$C:$C,Дивиденды!$A:$A,A186,Дивиденды!$I:$I,C186)</f>
        <v>2.0799999999999999E-2</v>
      </c>
      <c r="E186">
        <v>2</v>
      </c>
      <c r="F186">
        <f t="shared" si="23"/>
        <v>2.0799999999999999E-2</v>
      </c>
      <c r="G186">
        <f t="shared" si="24"/>
        <v>7.0375499999999994E-2</v>
      </c>
      <c r="H186">
        <f t="shared" si="25"/>
        <v>1</v>
      </c>
      <c r="I186">
        <f t="shared" si="26"/>
        <v>1</v>
      </c>
      <c r="J186">
        <f t="shared" si="27"/>
        <v>-0.52941176470588236</v>
      </c>
      <c r="K186">
        <f t="shared" si="32"/>
        <v>0.68586728466577374</v>
      </c>
      <c r="L186">
        <f t="shared" si="28"/>
        <v>0</v>
      </c>
      <c r="M186">
        <f t="shared" si="29"/>
        <v>0.83333333333333337</v>
      </c>
      <c r="N186">
        <f t="shared" si="30"/>
        <v>1</v>
      </c>
      <c r="O186">
        <f t="shared" si="31"/>
        <v>0.16666666666666666</v>
      </c>
      <c r="P186">
        <f>IFERROR(LN('Дивиденды по годам'!I186),"")</f>
        <v>25.377975582427581</v>
      </c>
      <c r="Q186">
        <f>IFERROR('Дивиденды по годам'!G186/'Дивиденды по годам'!I186, "")</f>
        <v>0.81578165648693313</v>
      </c>
      <c r="R186">
        <f>IFERROR(IF(AND('Дивиденды по годам'!N186&lt;&gt;"",'Дивиденды по годам'!U186&lt;&gt;"",'Дивиденды по годам'!U186&lt;&gt;0),'Дивиденды по годам'!N186/'Дивиденды по годам'!U186-1,""),"")</f>
        <v>5.5863209377828182E-2</v>
      </c>
      <c r="S186">
        <f>IFERROR(IF(AND('Дивиденды по годам'!L186&lt;&gt;"",'Дивиденды по годам'!I186&lt;&gt;"",'Дивиденды по годам'!J186&lt;&gt;"",'Дивиденды по годам'!K186&lt;&gt;"",('Дивиденды по годам'!I186-'Дивиденды по годам'!J186-'Дивиденды по годам'!K186)&lt;&gt;0),'Дивиденды по годам'!L186/('Дивиденды по годам'!I186-'Дивиденды по годам'!J186-'Дивиденды по годам'!K186),""),"")</f>
        <v>0.90710936639364859</v>
      </c>
      <c r="T186">
        <f>IFERROR(IF(AND('Дивиденды по годам'!Q186&lt;&gt;"",'Дивиденды по годам'!I186&lt;&gt;"",'Дивиденды по годам'!V186&lt;&gt;"",('Дивиденды по годам'!I186+'Дивиденды по годам'!V186)&lt;&gt;0),'Дивиденды по годам'!Q186/(('Дивиденды по годам'!I186+'Дивиденды по годам'!V186)/2),""),"")</f>
        <v>2.8500701783806461E-2</v>
      </c>
      <c r="U186">
        <f>IFERROR(IF(AND('Дивиденды по годам'!J186&lt;&gt;"",'Дивиденды по годам'!K186&lt;&gt;"",'Дивиденды по годам'!M186&lt;&gt;"",'Дивиденды по годам'!M186&lt;&gt;0),('Дивиденды по годам'!J186+'Дивиденды по годам'!K186)/'Дивиденды по годам'!M186,""),"")</f>
        <v>1.3793643998762299</v>
      </c>
      <c r="V186">
        <f>IFERROR(IF(AND('Дивиденды по годам'!J186&lt;&gt;"",'Дивиденды по годам'!K186&lt;&gt;"",'Дивиденды по годам'!M186&lt;&gt;"",'Дивиденды по годам'!I186&lt;&gt;0),('Дивиденды по годам'!J186+'Дивиденды по годам'!K186)/'Дивиденды по годам'!I186,""),"")</f>
        <v>0.57971969318696281</v>
      </c>
      <c r="W186">
        <f>IFERROR('Дивиденды по годам'!I186,"")</f>
        <v>105078716000</v>
      </c>
      <c r="X186" cm="1">
        <f t="array" ref="X186">IFERROR(AVERAGE(_xlfn._xlws.FILTER(P$2:P$1073,($C$2:$C$1073=$C186)*($E$2:$E$1073=$E186)*(ROW(P$2:P$1073)&lt;&gt;ROW(P186))*(P$2:P$1073&lt;&gt;""))),"")</f>
        <v>26.10614816463719</v>
      </c>
      <c r="Y186" cm="1">
        <f t="array" ref="Y186">IFERROR(AVERAGE(_xlfn._xlws.FILTER(Q$2:Q$1073,($C$2:$C$1073=$C186)*($E$2:$E$1073=$E186)*(ROW(Q$2:Q$1073)&lt;&gt;ROW(Q186))*(Q$2:Q$1073&lt;&gt;""))),"")</f>
        <v>0.7554771830927004</v>
      </c>
      <c r="Z186" cm="1">
        <f t="array" ref="Z186">IFERROR(AVERAGE(_xlfn._xlws.FILTER(R$2:R$1073,($C$2:$C$1073=$C186)*($E$2:$E$1073=$E186)*(ROW(R$2:R$1073)&lt;&gt;ROW(R186))*(R$2:R$1073&lt;&gt;""))),"")</f>
        <v>4.5055322507426339E-2</v>
      </c>
      <c r="AA186" cm="1">
        <f t="array" ref="AA186">IFERROR(AVERAGE(_xlfn._xlws.FILTER(S$2:S$1073,($C$2:$C$1073=$C186)*($E$2:$E$1073=$E186)*(ROW(S$2:S$1073)&lt;&gt;ROW(S186))*(S$2:S$1073&lt;&gt;""))),"")</f>
        <v>0.37991797276315703</v>
      </c>
      <c r="AB186" cm="1">
        <f t="array" ref="AB186">IFERROR(AVERAGE(_xlfn._xlws.FILTER(T$2:T$1073,($C$2:$C$1073=$C186)*($E$2:$E$1073=$E186)*(ROW(T$2:T$1073)&lt;&gt;ROW(T186))*(T$2:T$1073&lt;&gt;""))),"")</f>
        <v>8.5992464657255185E-2</v>
      </c>
      <c r="AC186" cm="1">
        <f t="array" ref="AC186">IFERROR(AVERAGE(_xlfn._xlws.FILTER(U$2:U$1073,($C$2:$C$1073=$C186)*($E$2:$E$1073=$E186)*(ROW(U$2:U$1073)&lt;&gt;ROW(U186))*(U$2:U$1073&lt;&gt;""))),"")</f>
        <v>0.56896276851547667</v>
      </c>
      <c r="AD186" cm="1">
        <f t="array" ref="AD186">IFERROR(AVERAGE(_xlfn._xlws.FILTER(V$2:V$1073,($C$2:$C$1073=$C186)*($E$2:$E$1073=$E186)*(ROW(V$2:V$1073)&lt;&gt;ROW(V186))*(V$2:V$1073&lt;&gt;""))),"")</f>
        <v>0.34287215540359611</v>
      </c>
      <c r="AE186">
        <f>IF('Дивиденды по годам'!M186&lt;0,1,0)</f>
        <v>0</v>
      </c>
    </row>
    <row r="187" spans="1:31" x14ac:dyDescent="0.2">
      <c r="A187" s="7" t="s">
        <v>2200</v>
      </c>
      <c r="B187" t="str">
        <f t="shared" si="22"/>
        <v>MRKC IV кв. 2016</v>
      </c>
      <c r="C187">
        <v>2016</v>
      </c>
      <c r="D187">
        <f>SUMIFS(Дивиденды!$C:$C,Дивиденды!$A:$A,A187,Дивиденды!$I:$I,C187)</f>
        <v>4.4200000000000003E-2</v>
      </c>
      <c r="E187">
        <v>2</v>
      </c>
      <c r="F187">
        <f t="shared" si="23"/>
        <v>4.4200000000000003E-2</v>
      </c>
      <c r="G187">
        <f t="shared" si="24"/>
        <v>5.3711833333333327E-2</v>
      </c>
      <c r="H187">
        <f t="shared" si="25"/>
        <v>1</v>
      </c>
      <c r="I187">
        <f t="shared" si="26"/>
        <v>1</v>
      </c>
      <c r="J187">
        <f t="shared" si="27"/>
        <v>3.0925925925925926</v>
      </c>
      <c r="K187">
        <f t="shared" si="32"/>
        <v>1.1493539884230941</v>
      </c>
      <c r="L187">
        <f t="shared" si="28"/>
        <v>1</v>
      </c>
      <c r="M187">
        <f t="shared" si="29"/>
        <v>0.83333333333333337</v>
      </c>
      <c r="N187">
        <f t="shared" si="30"/>
        <v>0</v>
      </c>
      <c r="O187">
        <f t="shared" si="31"/>
        <v>0.16666666666666666</v>
      </c>
      <c r="P187">
        <f>IFERROR(LN('Дивиденды по годам'!I187),"")</f>
        <v>25.396488668547605</v>
      </c>
      <c r="Q187">
        <f>IFERROR('Дивиденды по годам'!G187/'Дивиденды по годам'!I187, "")</f>
        <v>0.782783281870436</v>
      </c>
      <c r="R187">
        <f>IFERROR(IF(AND('Дивиденды по годам'!N187&lt;&gt;"",'Дивиденды по годам'!U187&lt;&gt;"",'Дивиденды по годам'!U187&lt;&gt;0),'Дивиденды по годам'!N187/'Дивиденды по годам'!U187-1,""),"")</f>
        <v>6.7605549885032534E-2</v>
      </c>
      <c r="S187">
        <f>IFERROR(IF(AND('Дивиденды по годам'!L187&lt;&gt;"",'Дивиденды по годам'!I187&lt;&gt;"",'Дивиденды по годам'!J187&lt;&gt;"",'Дивиденды по годам'!K187&lt;&gt;"",('Дивиденды по годам'!I187-'Дивиденды по годам'!J187-'Дивиденды по годам'!K187)&lt;&gt;0),'Дивиденды по годам'!L187/('Дивиденды по годам'!I187-'Дивиденды по годам'!J187-'Дивиденды по годам'!K187),""),"")</f>
        <v>0.9004519379022341</v>
      </c>
      <c r="T187">
        <f>IFERROR(IF(AND('Дивиденды по годам'!Q187&lt;&gt;"",'Дивиденды по годам'!I187&lt;&gt;"",'Дивиденды по годам'!V187&lt;&gt;"",('Дивиденды по годам'!I187+'Дивиденды по годам'!V187)&lt;&gt;0),'Дивиденды по годам'!Q187/(('Дивиденды по годам'!I187+'Дивиденды по годам'!V187)/2),""),"")</f>
        <v>4.59035801895653E-2</v>
      </c>
      <c r="U187">
        <f>IFERROR(IF(AND('Дивиденды по годам'!J187&lt;&gt;"",'Дивиденды по годам'!K187&lt;&gt;"",'Дивиденды по годам'!M187&lt;&gt;"",'Дивиденды по годам'!M187&lt;&gt;0),('Дивиденды по годам'!J187+'Дивиденды по годам'!K187)/'Дивиденды по годам'!M187,""),"")</f>
        <v>1.4747499464208058</v>
      </c>
      <c r="V187">
        <f>IFERROR(IF(AND('Дивиденды по годам'!J187&lt;&gt;"",'Дивиденды по годам'!K187&lt;&gt;"",'Дивиденды по годам'!M187&lt;&gt;"",'Дивиденды по годам'!I187&lt;&gt;0),('Дивиденды по годам'!J187+'Дивиденды по годам'!K187)/'Дивиденды по годам'!I187,""),"")</f>
        <v>0.59591877092621615</v>
      </c>
      <c r="W187">
        <f>IFERROR('Дивиденды по годам'!I187,"")</f>
        <v>107042166000</v>
      </c>
      <c r="X187" cm="1">
        <f t="array" ref="X187">IFERROR(AVERAGE(_xlfn._xlws.FILTER(P$2:P$1073,($C$2:$C$1073=$C187)*($E$2:$E$1073=$E187)*(ROW(P$2:P$1073)&lt;&gt;ROW(P187))*(P$2:P$1073&lt;&gt;""))),"")</f>
        <v>26.058798647656641</v>
      </c>
      <c r="Y187" cm="1">
        <f t="array" ref="Y187">IFERROR(AVERAGE(_xlfn._xlws.FILTER(Q$2:Q$1073,($C$2:$C$1073=$C187)*($E$2:$E$1073=$E187)*(ROW(Q$2:Q$1073)&lt;&gt;ROW(Q187))*(Q$2:Q$1073&lt;&gt;""))),"")</f>
        <v>0.71072210659711965</v>
      </c>
      <c r="Z187" cm="1">
        <f t="array" ref="Z187">IFERROR(AVERAGE(_xlfn._xlws.FILTER(R$2:R$1073,($C$2:$C$1073=$C187)*($E$2:$E$1073=$E187)*(ROW(R$2:R$1073)&lt;&gt;ROW(R187))*(R$2:R$1073&lt;&gt;""))),"")</f>
        <v>0.11883102545797945</v>
      </c>
      <c r="AA187" cm="1">
        <f t="array" ref="AA187">IFERROR(AVERAGE(_xlfn._xlws.FILTER(S$2:S$1073,($C$2:$C$1073=$C187)*($E$2:$E$1073=$E187)*(ROW(S$2:S$1073)&lt;&gt;ROW(S187))*(S$2:S$1073&lt;&gt;""))),"")</f>
        <v>0.36420524903981133</v>
      </c>
      <c r="AB187" cm="1">
        <f t="array" ref="AB187">IFERROR(AVERAGE(_xlfn._xlws.FILTER(T$2:T$1073,($C$2:$C$1073=$C187)*($E$2:$E$1073=$E187)*(ROW(T$2:T$1073)&lt;&gt;ROW(T187))*(T$2:T$1073&lt;&gt;""))),"")</f>
        <v>4.0447992936557396E-2</v>
      </c>
      <c r="AC187" cm="1">
        <f t="array" ref="AC187">IFERROR(AVERAGE(_xlfn._xlws.FILTER(U$2:U$1073,($C$2:$C$1073=$C187)*($E$2:$E$1073=$E187)*(ROW(U$2:U$1073)&lt;&gt;ROW(U187))*(U$2:U$1073&lt;&gt;""))),"")</f>
        <v>0.66389488543062924</v>
      </c>
      <c r="AD187" cm="1">
        <f t="array" ref="AD187">IFERROR(AVERAGE(_xlfn._xlws.FILTER(V$2:V$1073,($C$2:$C$1073=$C187)*($E$2:$E$1073=$E187)*(ROW(V$2:V$1073)&lt;&gt;ROW(V187))*(V$2:V$1073&lt;&gt;""))),"")</f>
        <v>0.37739050737527724</v>
      </c>
      <c r="AE187">
        <f>IF('Дивиденды по годам'!M187&lt;0,1,0)</f>
        <v>0</v>
      </c>
    </row>
    <row r="188" spans="1:31" x14ac:dyDescent="0.2">
      <c r="A188" s="7" t="s">
        <v>2200</v>
      </c>
      <c r="B188" t="str">
        <f t="shared" si="22"/>
        <v>MRKC IV кв. 2015</v>
      </c>
      <c r="C188">
        <v>2015</v>
      </c>
      <c r="D188">
        <f>SUMIFS(Дивиденды!$C:$C,Дивиденды!$A:$A,A188,Дивиденды!$I:$I,C188)</f>
        <v>1.0800000000000001E-2</v>
      </c>
      <c r="E188">
        <v>2</v>
      </c>
      <c r="F188">
        <f t="shared" si="23"/>
        <v>1.0800000000000001E-2</v>
      </c>
      <c r="G188">
        <f t="shared" si="24"/>
        <v>4.0540083333333331E-2</v>
      </c>
      <c r="H188">
        <f t="shared" si="25"/>
        <v>1</v>
      </c>
      <c r="I188">
        <f t="shared" si="26"/>
        <v>0.91666666666666663</v>
      </c>
      <c r="J188">
        <f t="shared" si="27"/>
        <v>-0.4517766497461928</v>
      </c>
      <c r="K188">
        <f t="shared" si="32"/>
        <v>4.1826244991378578</v>
      </c>
      <c r="L188">
        <f t="shared" si="28"/>
        <v>0</v>
      </c>
      <c r="M188">
        <f t="shared" si="29"/>
        <v>0.75</v>
      </c>
      <c r="N188">
        <f t="shared" si="30"/>
        <v>1</v>
      </c>
      <c r="O188">
        <f t="shared" si="31"/>
        <v>0.25</v>
      </c>
      <c r="P188">
        <f>IFERROR(LN('Дивиденды по годам'!I188),"")</f>
        <v>25.332915674297144</v>
      </c>
      <c r="Q188">
        <f>IFERROR('Дивиденды по годам'!G188/'Дивиденды по годам'!I188, "")</f>
        <v>0.77292135499249026</v>
      </c>
      <c r="R188">
        <f>IFERROR(IF(AND('Дивиденды по годам'!N188&lt;&gt;"",'Дивиденды по годам'!U188&lt;&gt;"",'Дивиденды по годам'!U188&lt;&gt;0),'Дивиденды по годам'!N188/'Дивиденды по годам'!U188-1,""),"")</f>
        <v>-7.0826763064608667E-2</v>
      </c>
      <c r="S188">
        <f>IFERROR(IF(AND('Дивиденды по годам'!L188&lt;&gt;"",'Дивиденды по годам'!I188&lt;&gt;"",'Дивиденды по годам'!J188&lt;&gt;"",'Дивиденды по годам'!K188&lt;&gt;"",('Дивиденды по годам'!I188-'Дивиденды по годам'!J188-'Дивиденды по годам'!K188)&lt;&gt;0),'Дивиденды по годам'!L188/('Дивиденды по годам'!I188-'Дивиденды по годам'!J188-'Дивиденды по годам'!K188),""),"")</f>
        <v>0.89162886826359578</v>
      </c>
      <c r="T188">
        <f>IFERROR(IF(AND('Дивиденды по годам'!Q188&lt;&gt;"",'Дивиденды по годам'!I188&lt;&gt;"",'Дивиденды по годам'!V188&lt;&gt;"",('Дивиденды по годам'!I188+'Дивиденды по годам'!V188)&lt;&gt;0),'Дивиденды по годам'!Q188/(('Дивиденды по годам'!I188+'Дивиденды по годам'!V188)/2),""),"")</f>
        <v>9.0705679305840906E-3</v>
      </c>
      <c r="U188">
        <f>IFERROR(IF(AND('Дивиденды по годам'!J188&lt;&gt;"",'Дивиденды по годам'!K188&lt;&gt;"",'Дивиденды по годам'!M188&lt;&gt;"",'Дивиденды по годам'!M188&lt;&gt;0),('Дивиденды по годам'!J188+'Дивиденды по годам'!K188)/'Дивиденды по годам'!M188,""),"")</f>
        <v>1.5831426215625368</v>
      </c>
      <c r="V188">
        <f>IFERROR(IF(AND('Дивиденды по годам'!J188&lt;&gt;"",'Дивиденды по годам'!K188&lt;&gt;"",'Дивиденды по годам'!M188&lt;&gt;"",'Дивиденды по годам'!I188&lt;&gt;0),('Дивиденды по годам'!J188+'Дивиденды по годам'!K188)/'Дивиденды по годам'!I188,""),"")</f>
        <v>0.61287464669871672</v>
      </c>
      <c r="W188">
        <f>IFERROR('Дивиденды по годам'!I188,"")</f>
        <v>100448970000</v>
      </c>
      <c r="X188" cm="1">
        <f t="array" ref="X188">IFERROR(AVERAGE(_xlfn._xlws.FILTER(P$2:P$1073,($C$2:$C$1073=$C188)*($E$2:$E$1073=$E188)*(ROW(P$2:P$1073)&lt;&gt;ROW(P188))*(P$2:P$1073&lt;&gt;""))),"")</f>
        <v>25.988649451275137</v>
      </c>
      <c r="Y188" cm="1">
        <f t="array" ref="Y188">IFERROR(AVERAGE(_xlfn._xlws.FILTER(Q$2:Q$1073,($C$2:$C$1073=$C188)*($E$2:$E$1073=$E188)*(ROW(Q$2:Q$1073)&lt;&gt;ROW(Q188))*(Q$2:Q$1073&lt;&gt;""))),"")</f>
        <v>0.78002916585028093</v>
      </c>
      <c r="Z188" cm="1">
        <f t="array" ref="Z188">IFERROR(AVERAGE(_xlfn._xlws.FILTER(R$2:R$1073,($C$2:$C$1073=$C188)*($E$2:$E$1073=$E188)*(ROW(R$2:R$1073)&lt;&gt;ROW(R188))*(R$2:R$1073&lt;&gt;""))),"")</f>
        <v>1.5371627978742499E-2</v>
      </c>
      <c r="AA188" cm="1">
        <f t="array" ref="AA188">IFERROR(AVERAGE(_xlfn._xlws.FILTER(S$2:S$1073,($C$2:$C$1073=$C188)*($E$2:$E$1073=$E188)*(ROW(S$2:S$1073)&lt;&gt;ROW(S188))*(S$2:S$1073&lt;&gt;""))),"")</f>
        <v>0.43139248290160342</v>
      </c>
      <c r="AB188" cm="1">
        <f t="array" ref="AB188">IFERROR(AVERAGE(_xlfn._xlws.FILTER(T$2:T$1073,($C$2:$C$1073=$C188)*($E$2:$E$1073=$E188)*(ROW(T$2:T$1073)&lt;&gt;ROW(T188))*(T$2:T$1073&lt;&gt;""))),"")</f>
        <v>-1.477199874690379E-2</v>
      </c>
      <c r="AC188" cm="1">
        <f t="array" ref="AC188">IFERROR(AVERAGE(_xlfn._xlws.FILTER(U$2:U$1073,($C$2:$C$1073=$C188)*($E$2:$E$1073=$E188)*(ROW(U$2:U$1073)&lt;&gt;ROW(U188))*(U$2:U$1073&lt;&gt;""))),"")</f>
        <v>0.82355335817667952</v>
      </c>
      <c r="AD188" cm="1">
        <f t="array" ref="AD188">IFERROR(AVERAGE(_xlfn._xlws.FILTER(V$2:V$1073,($C$2:$C$1073=$C188)*($E$2:$E$1073=$E188)*(ROW(V$2:V$1073)&lt;&gt;ROW(V188))*(V$2:V$1073&lt;&gt;""))),"")</f>
        <v>0.42107388458016259</v>
      </c>
      <c r="AE188">
        <f>IF('Дивиденды по годам'!M188&lt;0,1,0)</f>
        <v>0</v>
      </c>
    </row>
    <row r="189" spans="1:31" x14ac:dyDescent="0.2">
      <c r="A189" s="7" t="s">
        <v>2200</v>
      </c>
      <c r="B189" t="str">
        <f t="shared" si="22"/>
        <v>MRKC IV кв. 2014</v>
      </c>
      <c r="C189">
        <v>2014</v>
      </c>
      <c r="D189">
        <f>SUMIFS(Дивиденды!$C:$C,Дивиденды!$A:$A,A189,Дивиденды!$I:$I,C189)</f>
        <v>1.9699999999999999E-2</v>
      </c>
      <c r="E189">
        <v>2</v>
      </c>
      <c r="F189">
        <f t="shared" si="23"/>
        <v>1.9699999999999999E-2</v>
      </c>
      <c r="G189">
        <f t="shared" si="24"/>
        <v>3.7326250000000005E-2</v>
      </c>
      <c r="H189">
        <f t="shared" si="25"/>
        <v>1</v>
      </c>
      <c r="I189">
        <f t="shared" si="26"/>
        <v>1</v>
      </c>
      <c r="J189">
        <f t="shared" si="27"/>
        <v>9.9444444444444446</v>
      </c>
      <c r="K189">
        <f t="shared" si="32"/>
        <v>0.5723997779796014</v>
      </c>
      <c r="L189">
        <f t="shared" si="28"/>
        <v>1</v>
      </c>
      <c r="M189">
        <f t="shared" si="29"/>
        <v>0.58333333333333337</v>
      </c>
      <c r="N189">
        <f t="shared" si="30"/>
        <v>0</v>
      </c>
      <c r="O189">
        <f t="shared" si="31"/>
        <v>0.33333333333333331</v>
      </c>
      <c r="P189">
        <f>IFERROR(LN('Дивиденды по годам'!I189),"")</f>
        <v>25.264366661057846</v>
      </c>
      <c r="Q189">
        <f>IFERROR('Дивиденды по годам'!G189/'Дивиденды по годам'!I189, "")</f>
        <v>0.77922304918585727</v>
      </c>
      <c r="R189">
        <f>IFERROR(IF(AND('Дивиденды по годам'!N189&lt;&gt;"",'Дивиденды по годам'!U189&lt;&gt;"",'Дивиденды по годам'!U189&lt;&gt;0),'Дивиденды по годам'!N189/'Дивиденды по годам'!U189-1,""),"")</f>
        <v>-6.7579313607542435E-2</v>
      </c>
      <c r="S189">
        <f>IFERROR(IF(AND('Дивиденды по годам'!L189&lt;&gt;"",'Дивиденды по годам'!I189&lt;&gt;"",'Дивиденды по годам'!J189&lt;&gt;"",'Дивиденды по годам'!K189&lt;&gt;"",('Дивиденды по годам'!I189-'Дивиденды по годам'!J189-'Дивиденды по годам'!K189)&lt;&gt;0),'Дивиденды по годам'!L189/('Дивиденды по годам'!I189-'Дивиденды по годам'!J189-'Дивиденды по годам'!K189),""),"")</f>
        <v>0.88994410256618384</v>
      </c>
      <c r="T189">
        <f>IFERROR(IF(AND('Дивиденды по годам'!Q189&lt;&gt;"",'Дивиденды по годам'!I189&lt;&gt;"",'Дивиденды по годам'!V189&lt;&gt;"",('Дивиденды по годам'!I189+'Дивиденды по годам'!V189)&lt;&gt;0),'Дивиденды по годам'!Q189/(('Дивиденды по годам'!I189+'Дивиденды по годам'!V189)/2),""),"")</f>
        <v>-3.4602932023746362E-2</v>
      </c>
      <c r="U189">
        <f>IFERROR(IF(AND('Дивиденды по годам'!J189&lt;&gt;"",'Дивиденды по годам'!K189&lt;&gt;"",'Дивиденды по годам'!M189&lt;&gt;"",'Дивиденды по годам'!M189&lt;&gt;0),('Дивиденды по годам'!J189+'Дивиденды по годам'!K189)/'Дивиденды по годам'!M189,""),"")</f>
        <v>1.4091957337963121</v>
      </c>
      <c r="V189">
        <f>IFERROR(IF(AND('Дивиденды по годам'!J189&lt;&gt;"",'Дивиденды по годам'!K189&lt;&gt;"",'Дивиденды по годам'!M189&lt;&gt;"",'Дивиденды по годам'!I189&lt;&gt;0),('Дивиденды по годам'!J189+'Дивиденды по годам'!K189)/'Дивиденды по годам'!I189,""),"")</f>
        <v>0.58492372123528502</v>
      </c>
      <c r="W189">
        <f>IFERROR('Дивиденды по годам'!I189,"")</f>
        <v>93793994000</v>
      </c>
      <c r="X189" cm="1">
        <f t="array" ref="X189">IFERROR(AVERAGE(_xlfn._xlws.FILTER(P$2:P$1073,($C$2:$C$1073=$C189)*($E$2:$E$1073=$E189)*(ROW(P$2:P$1073)&lt;&gt;ROW(P189))*(P$2:P$1073&lt;&gt;""))),"")</f>
        <v>26.252161629877634</v>
      </c>
      <c r="Y189" cm="1">
        <f t="array" ref="Y189">IFERROR(AVERAGE(_xlfn._xlws.FILTER(Q$2:Q$1073,($C$2:$C$1073=$C189)*($E$2:$E$1073=$E189)*(ROW(Q$2:Q$1073)&lt;&gt;ROW(Q189))*(Q$2:Q$1073&lt;&gt;""))),"")</f>
        <v>0.77070952938450743</v>
      </c>
      <c r="Z189" cm="1">
        <f t="array" ref="Z189">IFERROR(AVERAGE(_xlfn._xlws.FILTER(R$2:R$1073,($C$2:$C$1073=$C189)*($E$2:$E$1073=$E189)*(ROW(R$2:R$1073)&lt;&gt;ROW(R189))*(R$2:R$1073&lt;&gt;""))),"")</f>
        <v>3.2743641010335431E-2</v>
      </c>
      <c r="AA189" cm="1">
        <f t="array" ref="AA189">IFERROR(AVERAGE(_xlfn._xlws.FILTER(S$2:S$1073,($C$2:$C$1073=$C189)*($E$2:$E$1073=$E189)*(ROW(S$2:S$1073)&lt;&gt;ROW(S189))*(S$2:S$1073&lt;&gt;""))),"")</f>
        <v>0.54760360898030735</v>
      </c>
      <c r="AB189" cm="1">
        <f t="array" ref="AB189">IFERROR(AVERAGE(_xlfn._xlws.FILTER(T$2:T$1073,($C$2:$C$1073=$C189)*($E$2:$E$1073=$E189)*(ROW(T$2:T$1073)&lt;&gt;ROW(T189))*(T$2:T$1073&lt;&gt;""))),"")</f>
        <v>2.4529589429996852E-2</v>
      </c>
      <c r="AC189" cm="1">
        <f t="array" ref="AC189">IFERROR(AVERAGE(_xlfn._xlws.FILTER(U$2:U$1073,($C$2:$C$1073=$C189)*($E$2:$E$1073=$E189)*(ROW(U$2:U$1073)&lt;&gt;ROW(U189))*(U$2:U$1073&lt;&gt;""))),"")</f>
        <v>0.68824016491422491</v>
      </c>
      <c r="AD189" cm="1">
        <f t="array" ref="AD189">IFERROR(AVERAGE(_xlfn._xlws.FILTER(V$2:V$1073,($C$2:$C$1073=$C189)*($E$2:$E$1073=$E189)*(ROW(V$2:V$1073)&lt;&gt;ROW(V189))*(V$2:V$1073&lt;&gt;""))),"")</f>
        <v>0.38542888763639449</v>
      </c>
      <c r="AE189">
        <f>IF('Дивиденды по годам'!M189&lt;0,1,0)</f>
        <v>0</v>
      </c>
    </row>
    <row r="190" spans="1:31" x14ac:dyDescent="0.2">
      <c r="A190" s="7" t="s">
        <v>2200</v>
      </c>
      <c r="B190" t="str">
        <f t="shared" si="22"/>
        <v>MRKC IV кв. 2013</v>
      </c>
      <c r="C190">
        <v>2013</v>
      </c>
      <c r="D190">
        <f>SUMIFS(Дивиденды!$C:$C,Дивиденды!$A:$A,A190,Дивиденды!$I:$I,C190)</f>
        <v>1.8E-3</v>
      </c>
      <c r="E190">
        <v>2</v>
      </c>
      <c r="F190">
        <f t="shared" si="23"/>
        <v>1.8E-3</v>
      </c>
      <c r="G190">
        <f t="shared" si="24"/>
        <v>4.6293083333333325E-2</v>
      </c>
      <c r="H190">
        <f t="shared" si="25"/>
        <v>1</v>
      </c>
      <c r="I190">
        <f t="shared" si="26"/>
        <v>0.75</v>
      </c>
      <c r="J190">
        <f t="shared" si="27"/>
        <v>-0.91176470588235292</v>
      </c>
      <c r="K190">
        <f t="shared" si="32"/>
        <v>8.8933246575539457E-2</v>
      </c>
      <c r="L190">
        <f t="shared" si="28"/>
        <v>0</v>
      </c>
      <c r="M190">
        <f t="shared" si="29"/>
        <v>0.5</v>
      </c>
      <c r="N190">
        <f t="shared" si="30"/>
        <v>1</v>
      </c>
      <c r="O190">
        <f t="shared" si="31"/>
        <v>0.25</v>
      </c>
      <c r="P190">
        <f>IFERROR(LN('Дивиденды по годам'!I190),"")</f>
        <v>25.288099577183029</v>
      </c>
      <c r="Q190">
        <f>IFERROR('Дивиденды по годам'!G190/'Дивиденды по годам'!I190, "")</f>
        <v>0.81287336033799584</v>
      </c>
      <c r="R190">
        <f>IFERROR(IF(AND('Дивиденды по годам'!N190&lt;&gt;"",'Дивиденды по годам'!U190&lt;&gt;"",'Дивиденды по годам'!U190&lt;&gt;0),'Дивиденды по годам'!N190/'Дивиденды по годам'!U190-1,""),"")</f>
        <v>0.33311173041108599</v>
      </c>
      <c r="S190" t="str">
        <f>IFERROR(IF(AND('Дивиденды по годам'!L190&lt;&gt;"",'Дивиденды по годам'!I190&lt;&gt;"",'Дивиденды по годам'!J190&lt;&gt;"",'Дивиденды по годам'!K190&lt;&gt;"",('Дивиденды по годам'!I190-'Дивиденды по годам'!J190-'Дивиденды по годам'!K190)&lt;&gt;0),'Дивиденды по годам'!L190/('Дивиденды по годам'!I190-'Дивиденды по годам'!J190-'Дивиденды по годам'!K190),""),"")</f>
        <v/>
      </c>
      <c r="T190">
        <f>IFERROR(IF(AND('Дивиденды по годам'!Q190&lt;&gt;"",'Дивиденды по годам'!I190&lt;&gt;"",'Дивиденды по годам'!V190&lt;&gt;"",('Дивиденды по годам'!I190+'Дивиденды по годам'!V190)&lt;&gt;0),'Дивиденды по годам'!Q190/(('Дивиденды по годам'!I190+'Дивиденды по годам'!V190)/2),""),"")</f>
        <v>2.8687676425137127E-3</v>
      </c>
      <c r="U190">
        <f>IFERROR(IF(AND('Дивиденды по годам'!J190&lt;&gt;"",'Дивиденды по годам'!K190&lt;&gt;"",'Дивиденды по годам'!M190&lt;&gt;"",'Дивиденды по годам'!M190&lt;&gt;0),('Дивиденды по годам'!J190+'Дивиденды по годам'!K190)/'Дивиденды по годам'!M190,""),"")</f>
        <v>1.300298709255949</v>
      </c>
      <c r="V190">
        <f>IFERROR(IF(AND('Дивиденды по годам'!J190&lt;&gt;"",'Дивиденды по годам'!K190&lt;&gt;"",'Дивиденды по годам'!M190&lt;&gt;"",'Дивиденды по годам'!I190&lt;&gt;0),('Дивиденды по годам'!J190+'Дивиденды по годам'!K190)/'Дивиденды по годам'!I190,""),"")</f>
        <v>0.56527385074981917</v>
      </c>
      <c r="W190">
        <f>IFERROR('Дивиденды по годам'!I190,"")</f>
        <v>96046624000</v>
      </c>
      <c r="X190" cm="1">
        <f t="array" ref="X190">IFERROR(AVERAGE(_xlfn._xlws.FILTER(P$2:P$1073,($C$2:$C$1073=$C190)*($E$2:$E$1073=$E190)*(ROW(P$2:P$1073)&lt;&gt;ROW(P190))*(P$2:P$1073&lt;&gt;""))),"")</f>
        <v>26.18995367359728</v>
      </c>
      <c r="Y190" cm="1">
        <f t="array" ref="Y190">IFERROR(AVERAGE(_xlfn._xlws.FILTER(Q$2:Q$1073,($C$2:$C$1073=$C190)*($E$2:$E$1073=$E190)*(ROW(Q$2:Q$1073)&lt;&gt;ROW(Q190))*(Q$2:Q$1073&lt;&gt;""))),"")</f>
        <v>0.77984527656478642</v>
      </c>
      <c r="Z190" cm="1">
        <f t="array" ref="Z190">IFERROR(AVERAGE(_xlfn._xlws.FILTER(R$2:R$1073,($C$2:$C$1073=$C190)*($E$2:$E$1073=$E190)*(ROW(R$2:R$1073)&lt;&gt;ROW(R190))*(R$2:R$1073&lt;&gt;""))),"")</f>
        <v>7.1637687587198254E-2</v>
      </c>
      <c r="AA190" cm="1">
        <f t="array" ref="AA190">IFERROR(AVERAGE(_xlfn._xlws.FILTER(S$2:S$1073,($C$2:$C$1073=$C190)*($E$2:$E$1073=$E190)*(ROW(S$2:S$1073)&lt;&gt;ROW(S190))*(S$2:S$1073&lt;&gt;""))),"")</f>
        <v>0.4636519590056305</v>
      </c>
      <c r="AB190" cm="1">
        <f t="array" ref="AB190">IFERROR(AVERAGE(_xlfn._xlws.FILTER(T$2:T$1073,($C$2:$C$1073=$C190)*($E$2:$E$1073=$E190)*(ROW(T$2:T$1073)&lt;&gt;ROW(T190))*(T$2:T$1073&lt;&gt;""))),"")</f>
        <v>-5.7440354371632212E-3</v>
      </c>
      <c r="AC190" cm="1">
        <f t="array" ref="AC190">IFERROR(AVERAGE(_xlfn._xlws.FILTER(U$2:U$1073,($C$2:$C$1073=$C190)*($E$2:$E$1073=$E190)*(ROW(U$2:U$1073)&lt;&gt;ROW(U190))*(U$2:U$1073&lt;&gt;""))),"")</f>
        <v>0.61486260554765959</v>
      </c>
      <c r="AD190" cm="1">
        <f t="array" ref="AD190">IFERROR(AVERAGE(_xlfn._xlws.FILTER(V$2:V$1073,($C$2:$C$1073=$C190)*($E$2:$E$1073=$E190)*(ROW(V$2:V$1073)&lt;&gt;ROW(V190))*(V$2:V$1073&lt;&gt;""))),"")</f>
        <v>0.35879195965367089</v>
      </c>
      <c r="AE190">
        <f>IF('Дивиденды по годам'!M190&lt;0,1,0)</f>
        <v>0</v>
      </c>
    </row>
    <row r="191" spans="1:31" x14ac:dyDescent="0.2">
      <c r="A191" s="7" t="s">
        <v>2200</v>
      </c>
      <c r="B191" t="str">
        <f t="shared" si="22"/>
        <v>MRKC IV кв. 2012</v>
      </c>
      <c r="C191">
        <v>2012</v>
      </c>
      <c r="D191">
        <f>SUMIFS(Дивиденды!$C:$C,Дивиденды!$A:$A,A191,Дивиденды!$I:$I,C191)</f>
        <v>2.0400000000000001E-2</v>
      </c>
      <c r="E191">
        <v>2</v>
      </c>
      <c r="F191">
        <f t="shared" si="23"/>
        <v>2.0400000000000001E-2</v>
      </c>
      <c r="G191">
        <f t="shared" si="24"/>
        <v>3.5462333333333332E-2</v>
      </c>
      <c r="H191">
        <f t="shared" si="25"/>
        <v>1</v>
      </c>
      <c r="I191">
        <f t="shared" si="26"/>
        <v>0.66666666666666663</v>
      </c>
      <c r="J191">
        <f t="shared" si="27"/>
        <v>1.04</v>
      </c>
      <c r="K191">
        <f t="shared" si="32"/>
        <v>0.65413537634016572</v>
      </c>
      <c r="L191">
        <f t="shared" si="28"/>
        <v>1</v>
      </c>
      <c r="M191">
        <f t="shared" si="29"/>
        <v>0.5</v>
      </c>
      <c r="N191">
        <f t="shared" si="30"/>
        <v>0</v>
      </c>
      <c r="O191">
        <f t="shared" si="31"/>
        <v>0.16666666666666666</v>
      </c>
      <c r="P191">
        <f>IFERROR(LN('Дивиденды по годам'!I191),"")</f>
        <v>25.218298091354377</v>
      </c>
      <c r="Q191">
        <f>IFERROR('Дивиденды по годам'!G191/'Дивиденды по годам'!I191, "")</f>
        <v>0.79668952888777977</v>
      </c>
      <c r="R191">
        <f>IFERROR(IF(AND('Дивиденды по годам'!N191&lt;&gt;"",'Дивиденды по годам'!U191&lt;&gt;"",'Дивиденды по годам'!U191&lt;&gt;0),'Дивиденды по годам'!N191/'Дивиденды по годам'!U191-1,""),"")</f>
        <v>1.3655739543211531E-2</v>
      </c>
      <c r="S191" t="str">
        <f>IFERROR(IF(AND('Дивиденды по годам'!L191&lt;&gt;"",'Дивиденды по годам'!I191&lt;&gt;"",'Дивиденды по годам'!J191&lt;&gt;"",'Дивиденды по годам'!K191&lt;&gt;"",('Дивиденды по годам'!I191-'Дивиденды по годам'!J191-'Дивиденды по годам'!K191)&lt;&gt;0),'Дивиденды по годам'!L191/('Дивиденды по годам'!I191-'Дивиденды по годам'!J191-'Дивиденды по годам'!K191),""),"")</f>
        <v/>
      </c>
      <c r="T191">
        <f>IFERROR(IF(AND('Дивиденды по годам'!Q191&lt;&gt;"",'Дивиденды по годам'!I191&lt;&gt;"",'Дивиденды по годам'!V191&lt;&gt;"",('Дивиденды по годам'!I191+'Дивиденды по годам'!V191)&lt;&gt;0),'Дивиденды по годам'!Q191/(('Дивиденды по годам'!I191+'Дивиденды по годам'!V191)/2),""),"")</f>
        <v>5.3228116357748781E-2</v>
      </c>
      <c r="U191">
        <f>IFERROR(IF(AND('Дивиденды по годам'!J191&lt;&gt;"",'Дивиденды по годам'!K191&lt;&gt;"",'Дивиденды по годам'!M191&lt;&gt;"",'Дивиденды по годам'!M191&lt;&gt;0),('Дивиденды по годам'!J191+'Дивиденды по годам'!K191)/'Дивиденды по годам'!M191,""),"")</f>
        <v>1.1034066354568361</v>
      </c>
      <c r="V191">
        <f>IFERROR(IF(AND('Дивиденды по годам'!J191&lt;&gt;"",'Дивиденды по годам'!K191&lt;&gt;"",'Дивиденды по годам'!M191&lt;&gt;"",'Дивиденды по годам'!I191&lt;&gt;0),('Дивиденды по годам'!J191+'Дивиденды по годам'!K191)/'Дивиденды по годам'!I191,""),"")</f>
        <v>0.52458075241223567</v>
      </c>
      <c r="W191">
        <f>IFERROR('Дивиденды по годам'!I191,"")</f>
        <v>89571058000</v>
      </c>
      <c r="X191" cm="1">
        <f t="array" ref="X191">IFERROR(AVERAGE(_xlfn._xlws.FILTER(P$2:P$1073,($C$2:$C$1073=$C191)*($E$2:$E$1073=$E191)*(ROW(P$2:P$1073)&lt;&gt;ROW(P191))*(P$2:P$1073&lt;&gt;""))),"")</f>
        <v>26.193046324168925</v>
      </c>
      <c r="Y191" cm="1">
        <f t="array" ref="Y191">IFERROR(AVERAGE(_xlfn._xlws.FILTER(Q$2:Q$1073,($C$2:$C$1073=$C191)*($E$2:$E$1073=$E191)*(ROW(Q$2:Q$1073)&lt;&gt;ROW(Q191))*(Q$2:Q$1073&lt;&gt;""))),"")</f>
        <v>0.77580836649269702</v>
      </c>
      <c r="Z191" cm="1">
        <f t="array" ref="Z191">IFERROR(AVERAGE(_xlfn._xlws.FILTER(R$2:R$1073,($C$2:$C$1073=$C191)*($E$2:$E$1073=$E191)*(ROW(R$2:R$1073)&lt;&gt;ROW(R191))*(R$2:R$1073&lt;&gt;""))),"")</f>
        <v>-1.9137262121471672E-2</v>
      </c>
      <c r="AA191" cm="1">
        <f t="array" ref="AA191">IFERROR(AVERAGE(_xlfn._xlws.FILTER(S$2:S$1073,($C$2:$C$1073=$C191)*($E$2:$E$1073=$E191)*(ROW(S$2:S$1073)&lt;&gt;ROW(S191))*(S$2:S$1073&lt;&gt;""))),"")</f>
        <v>0.44715527647269881</v>
      </c>
      <c r="AB191" cm="1">
        <f t="array" ref="AB191">IFERROR(AVERAGE(_xlfn._xlws.FILTER(T$2:T$1073,($C$2:$C$1073=$C191)*($E$2:$E$1073=$E191)*(ROW(T$2:T$1073)&lt;&gt;ROW(T191))*(T$2:T$1073&lt;&gt;""))),"")</f>
        <v>1.5290004925188529E-2</v>
      </c>
      <c r="AC191" cm="1">
        <f t="array" ref="AC191">IFERROR(AVERAGE(_xlfn._xlws.FILTER(U$2:U$1073,($C$2:$C$1073=$C191)*($E$2:$E$1073=$E191)*(ROW(U$2:U$1073)&lt;&gt;ROW(U191))*(U$2:U$1073&lt;&gt;""))),"")</f>
        <v>0.60613900372802942</v>
      </c>
      <c r="AD191" cm="1">
        <f t="array" ref="AD191">IFERROR(AVERAGE(_xlfn._xlws.FILTER(V$2:V$1073,($C$2:$C$1073=$C191)*($E$2:$E$1073=$E191)*(ROW(V$2:V$1073)&lt;&gt;ROW(V191))*(V$2:V$1073&lt;&gt;""))),"")</f>
        <v>0.36355916290674328</v>
      </c>
      <c r="AE191">
        <f>IF('Дивиденды по годам'!M191&lt;0,1,0)</f>
        <v>0</v>
      </c>
    </row>
    <row r="192" spans="1:31" x14ac:dyDescent="0.2">
      <c r="A192" s="7" t="s">
        <v>2200</v>
      </c>
      <c r="B192" t="str">
        <f t="shared" si="22"/>
        <v>MRKC IV кв. 2011</v>
      </c>
      <c r="C192">
        <v>2011</v>
      </c>
      <c r="D192">
        <f>SUMIFS(Дивиденды!$C:$C,Дивиденды!$A:$A,A192,Дивиденды!$I:$I,C192)</f>
        <v>0.01</v>
      </c>
      <c r="E192">
        <v>2</v>
      </c>
      <c r="F192">
        <f t="shared" si="23"/>
        <v>0.01</v>
      </c>
      <c r="G192">
        <f t="shared" si="24"/>
        <v>1.0713416666666668E-2</v>
      </c>
      <c r="H192">
        <f t="shared" si="25"/>
        <v>1</v>
      </c>
      <c r="I192">
        <f t="shared" si="26"/>
        <v>0.75</v>
      </c>
      <c r="J192">
        <f t="shared" si="27"/>
        <v>-0.31034482758620691</v>
      </c>
      <c r="K192">
        <f t="shared" si="32"/>
        <v>7.6632318901644653E-2</v>
      </c>
      <c r="L192">
        <f t="shared" si="28"/>
        <v>0</v>
      </c>
      <c r="M192">
        <f t="shared" si="29"/>
        <v>0.5</v>
      </c>
      <c r="N192">
        <f t="shared" si="30"/>
        <v>1</v>
      </c>
      <c r="O192">
        <f t="shared" si="31"/>
        <v>0.33333333333333331</v>
      </c>
      <c r="P192">
        <f>IFERROR(LN('Дивиденды по годам'!I192),"")</f>
        <v>25.064689138087815</v>
      </c>
      <c r="Q192">
        <f>IFERROR('Дивиденды по годам'!G192/'Дивиденды по годам'!I192, "")</f>
        <v>0.80966657096276928</v>
      </c>
      <c r="R192" t="str">
        <f>IFERROR(IF(AND('Дивиденды по годам'!N192&lt;&gt;"",'Дивиденды по годам'!U192&lt;&gt;"",'Дивиденды по годам'!U192&lt;&gt;0),'Дивиденды по годам'!N192/'Дивиденды по годам'!U192-1,""),"")</f>
        <v/>
      </c>
      <c r="S192" t="str">
        <f>IFERROR(IF(AND('Дивиденды по годам'!L192&lt;&gt;"",'Дивиденды по годам'!I192&lt;&gt;"",'Дивиденды по годам'!J192&lt;&gt;"",'Дивиденды по годам'!K192&lt;&gt;"",('Дивиденды по годам'!I192-'Дивиденды по годам'!J192-'Дивиденды по годам'!K192)&lt;&gt;0),'Дивиденды по годам'!L192/('Дивиденды по годам'!I192-'Дивиденды по годам'!J192-'Дивиденды по годам'!K192),""),"")</f>
        <v/>
      </c>
      <c r="T192" t="str">
        <f>IFERROR(IF(AND('Дивиденды по годам'!Q192&lt;&gt;"",'Дивиденды по годам'!I192&lt;&gt;"",'Дивиденды по годам'!V192&lt;&gt;"",('Дивиденды по годам'!I192+'Дивиденды по годам'!V192)&lt;&gt;0),'Дивиденды по годам'!Q192/(('Дивиденды по годам'!I192+'Дивиденды по годам'!V192)/2),""),"")</f>
        <v/>
      </c>
      <c r="U192">
        <f>IFERROR(IF(AND('Дивиденды по годам'!J192&lt;&gt;"",'Дивиденды по годам'!K192&lt;&gt;"",'Дивиденды по годам'!M192&lt;&gt;"",'Дивиденды по годам'!M192&lt;&gt;0),('Дивиденды по годам'!J192+'Дивиденды по годам'!K192)/'Дивиденды по годам'!M192,""),"")</f>
        <v>0.99122133371877164</v>
      </c>
      <c r="V192">
        <f>IFERROR(IF(AND('Дивиденды по годам'!J192&lt;&gt;"",'Дивиденды по годам'!K192&lt;&gt;"",'Дивиденды по годам'!M192&lt;&gt;"",'Дивиденды по годам'!I192&lt;&gt;0),('Дивиденды по годам'!J192+'Дивиденды по годам'!K192)/'Дивиденды по годам'!I192,""),"")</f>
        <v>0.49779565783758617</v>
      </c>
      <c r="W192">
        <f>IFERROR('Дивиденды по годам'!I192,"")</f>
        <v>76816795000</v>
      </c>
      <c r="X192" cm="1">
        <f t="array" ref="X192">IFERROR(AVERAGE(_xlfn._xlws.FILTER(P$2:P$1073,($C$2:$C$1073=$C192)*($E$2:$E$1073=$E192)*(ROW(P$2:P$1073)&lt;&gt;ROW(P192))*(P$2:P$1073&lt;&gt;""))),"")</f>
        <v>26.265044854102783</v>
      </c>
      <c r="Y192" cm="1">
        <f t="array" ref="Y192">IFERROR(AVERAGE(_xlfn._xlws.FILTER(Q$2:Q$1073,($C$2:$C$1073=$C192)*($E$2:$E$1073=$E192)*(ROW(Q$2:Q$1073)&lt;&gt;ROW(Q192))*(Q$2:Q$1073&lt;&gt;""))),"")</f>
        <v>0.76186454305076079</v>
      </c>
      <c r="Z192" cm="1">
        <f t="array" ref="Z192">IFERROR(AVERAGE(_xlfn._xlws.FILTER(R$2:R$1073,($C$2:$C$1073=$C192)*($E$2:$E$1073=$E192)*(ROW(R$2:R$1073)&lt;&gt;ROW(R192))*(R$2:R$1073&lt;&gt;""))),"")</f>
        <v>0.14348983045887875</v>
      </c>
      <c r="AA192" cm="1">
        <f t="array" ref="AA192">IFERROR(AVERAGE(_xlfn._xlws.FILTER(S$2:S$1073,($C$2:$C$1073=$C192)*($E$2:$E$1073=$E192)*(ROW(S$2:S$1073)&lt;&gt;ROW(S192))*(S$2:S$1073&lt;&gt;""))),"")</f>
        <v>0.39850050246333968</v>
      </c>
      <c r="AB192" cm="1">
        <f t="array" ref="AB192">IFERROR(AVERAGE(_xlfn._xlws.FILTER(T$2:T$1073,($C$2:$C$1073=$C192)*($E$2:$E$1073=$E192)*(ROW(T$2:T$1073)&lt;&gt;ROW(T192))*(T$2:T$1073&lt;&gt;""))),"")</f>
        <v>4.5214358774442007E-2</v>
      </c>
      <c r="AC192" cm="1">
        <f t="array" ref="AC192">IFERROR(AVERAGE(_xlfn._xlws.FILTER(U$2:U$1073,($C$2:$C$1073=$C192)*($E$2:$E$1073=$E192)*(ROW(U$2:U$1073)&lt;&gt;ROW(U192))*(U$2:U$1073&lt;&gt;""))),"")</f>
        <v>0.5506483145019101</v>
      </c>
      <c r="AD192" cm="1">
        <f t="array" ref="AD192">IFERROR(AVERAGE(_xlfn._xlws.FILTER(V$2:V$1073,($C$2:$C$1073=$C192)*($E$2:$E$1073=$E192)*(ROW(V$2:V$1073)&lt;&gt;ROW(V192))*(V$2:V$1073&lt;&gt;""))),"")</f>
        <v>0.34282530229684022</v>
      </c>
      <c r="AE192">
        <f>IF('Дивиденды по годам'!M192&lt;0,1,0)</f>
        <v>0</v>
      </c>
    </row>
    <row r="193" spans="1:31" x14ac:dyDescent="0.2">
      <c r="A193" s="7" t="s">
        <v>2200</v>
      </c>
      <c r="B193" t="str">
        <f t="shared" si="22"/>
        <v>MRKC IV кв. 2010</v>
      </c>
      <c r="C193">
        <v>2010</v>
      </c>
      <c r="D193">
        <f>SUMIFS(Дивиденды!$C:$C,Дивиденды!$A:$A,A193,Дивиденды!$I:$I,C193)</f>
        <v>1.4500000000000001E-2</v>
      </c>
      <c r="E193">
        <v>2</v>
      </c>
      <c r="F193">
        <f t="shared" si="23"/>
        <v>1.4500000000000001E-2</v>
      </c>
      <c r="G193">
        <f t="shared" si="24"/>
        <v>5.3535000000000006E-3</v>
      </c>
      <c r="H193">
        <f t="shared" si="25"/>
        <v>1</v>
      </c>
      <c r="I193">
        <f t="shared" si="26"/>
        <v>0.75</v>
      </c>
      <c r="J193" t="str">
        <f t="shared" si="27"/>
        <v/>
      </c>
      <c r="K193" t="str">
        <f t="shared" si="32"/>
        <v/>
      </c>
      <c r="L193" t="str">
        <f t="shared" si="28"/>
        <v/>
      </c>
      <c r="M193" t="str">
        <f t="shared" si="29"/>
        <v/>
      </c>
      <c r="N193" t="str">
        <f t="shared" si="30"/>
        <v/>
      </c>
      <c r="O193" t="str">
        <f t="shared" si="31"/>
        <v/>
      </c>
      <c r="P193" t="str">
        <f>IFERROR(LN('Дивиденды по годам'!I193),"")</f>
        <v/>
      </c>
      <c r="Q193" t="str">
        <f>IFERROR('Дивиденды по годам'!G193/'Дивиденды по годам'!I193, "")</f>
        <v/>
      </c>
      <c r="R193" t="str">
        <f>IFERROR(IF(AND('Дивиденды по годам'!N193&lt;&gt;"",'Дивиденды по годам'!U193&lt;&gt;"",'Дивиденды по годам'!U193&lt;&gt;0),'Дивиденды по годам'!N193/'Дивиденды по годам'!U193-1,""),"")</f>
        <v/>
      </c>
      <c r="S193" t="str">
        <f>IFERROR(IF(AND('Дивиденды по годам'!L193&lt;&gt;"",'Дивиденды по годам'!I193&lt;&gt;"",'Дивиденды по годам'!J193&lt;&gt;"",'Дивиденды по годам'!K193&lt;&gt;"",('Дивиденды по годам'!I193-'Дивиденды по годам'!J193-'Дивиденды по годам'!K193)&lt;&gt;0),'Дивиденды по годам'!L193/('Дивиденды по годам'!I193-'Дивиденды по годам'!J193-'Дивиденды по годам'!K193),""),"")</f>
        <v/>
      </c>
      <c r="T193" t="str">
        <f>IFERROR(IF(AND('Дивиденды по годам'!Q193&lt;&gt;"",'Дивиденды по годам'!I193&lt;&gt;"",'Дивиденды по годам'!V193&lt;&gt;"",('Дивиденды по годам'!I193+'Дивиденды по годам'!V193)&lt;&gt;0),'Дивиденды по годам'!Q193/(('Дивиденды по годам'!I193+'Дивиденды по годам'!V193)/2),""),"")</f>
        <v/>
      </c>
      <c r="U193" t="str">
        <f>IFERROR(IF(AND('Дивиденды по годам'!J193&lt;&gt;"",'Дивиденды по годам'!K193&lt;&gt;"",'Дивиденды по годам'!M193&lt;&gt;"",'Дивиденды по годам'!M193&lt;&gt;0),('Дивиденды по годам'!J193+'Дивиденды по годам'!K193)/'Дивиденды по годам'!M193,""),"")</f>
        <v/>
      </c>
      <c r="V193" t="str">
        <f>IFERROR(IF(AND('Дивиденды по годам'!J193&lt;&gt;"",'Дивиденды по годам'!K193&lt;&gt;"",'Дивиденды по годам'!M193&lt;&gt;"",'Дивиденды по годам'!I193&lt;&gt;0),('Дивиденды по годам'!J193+'Дивиденды по годам'!K193)/'Дивиденды по годам'!I193,""),"")</f>
        <v/>
      </c>
      <c r="W193" t="str">
        <f>IFERROR('Дивиденды по годам'!I193,"")</f>
        <v/>
      </c>
      <c r="X193" cm="1">
        <f t="array" ref="X193">IFERROR(AVERAGE(_xlfn._xlws.FILTER(P$2:P$1073,($C$2:$C$1073=$C193)*($E$2:$E$1073=$E193)*(ROW(P$2:P$1073)&lt;&gt;ROW(P193))*(P$2:P$1073&lt;&gt;""))),"")</f>
        <v>24.730948088520865</v>
      </c>
      <c r="Y193" cm="1">
        <f t="array" ref="Y193">IFERROR(AVERAGE(_xlfn._xlws.FILTER(Q$2:Q$1073,($C$2:$C$1073=$C193)*($E$2:$E$1073=$E193)*(ROW(Q$2:Q$1073)&lt;&gt;ROW(Q193))*(Q$2:Q$1073&lt;&gt;""))),"")</f>
        <v>0.82035195639515091</v>
      </c>
      <c r="Z193" t="str" cm="1">
        <f t="array" ref="Z193">IFERROR(AVERAGE(_xlfn._xlws.FILTER(R$2:R$1073,($C$2:$C$1073=$C193)*($E$2:$E$1073=$E193)*(ROW(R$2:R$1073)&lt;&gt;ROW(R193))*(R$2:R$1073&lt;&gt;""))),"")</f>
        <v/>
      </c>
      <c r="AA193" t="str" cm="1">
        <f t="array" ref="AA193">IFERROR(AVERAGE(_xlfn._xlws.FILTER(S$2:S$1073,($C$2:$C$1073=$C193)*($E$2:$E$1073=$E193)*(ROW(S$2:S$1073)&lt;&gt;ROW(S193))*(S$2:S$1073&lt;&gt;""))),"")</f>
        <v/>
      </c>
      <c r="AB193" t="str" cm="1">
        <f t="array" ref="AB193">IFERROR(AVERAGE(_xlfn._xlws.FILTER(T$2:T$1073,($C$2:$C$1073=$C193)*($E$2:$E$1073=$E193)*(ROW(T$2:T$1073)&lt;&gt;ROW(T193))*(T$2:T$1073&lt;&gt;""))),"")</f>
        <v/>
      </c>
      <c r="AC193" cm="1">
        <f t="array" ref="AC193">IFERROR(AVERAGE(_xlfn._xlws.FILTER(U$2:U$1073,($C$2:$C$1073=$C193)*($E$2:$E$1073=$E193)*(ROW(U$2:U$1073)&lt;&gt;ROW(U193))*(U$2:U$1073&lt;&gt;""))),"")</f>
        <v>0.91314375247969903</v>
      </c>
      <c r="AD193" cm="1">
        <f t="array" ref="AD193">IFERROR(AVERAGE(_xlfn._xlws.FILTER(V$2:V$1073,($C$2:$C$1073=$C193)*($E$2:$E$1073=$E193)*(ROW(V$2:V$1073)&lt;&gt;ROW(V193))*(V$2:V$1073&lt;&gt;""))),"")</f>
        <v>0.47730012514539921</v>
      </c>
      <c r="AE193">
        <f>IF('Дивиденды по годам'!M193&lt;0,1,0)</f>
        <v>0</v>
      </c>
    </row>
    <row r="194" spans="1:31" x14ac:dyDescent="0.2">
      <c r="A194" s="7" t="s">
        <v>2202</v>
      </c>
      <c r="B194" t="str">
        <f t="shared" si="22"/>
        <v>MRKP IV кв. 2025</v>
      </c>
      <c r="C194">
        <v>2025</v>
      </c>
      <c r="D194">
        <f>SUMIFS(Дивиденды!$C:$C,Дивиденды!$A:$A,A194,Дивиденды!$I:$I,C194)</f>
        <v>0</v>
      </c>
      <c r="E194">
        <v>2</v>
      </c>
      <c r="F194">
        <f t="shared" si="23"/>
        <v>0</v>
      </c>
      <c r="G194">
        <f t="shared" si="24"/>
        <v>0</v>
      </c>
      <c r="H194">
        <f t="shared" si="25"/>
        <v>0</v>
      </c>
      <c r="I194">
        <f t="shared" si="26"/>
        <v>0</v>
      </c>
      <c r="J194">
        <f t="shared" si="27"/>
        <v>-1</v>
      </c>
      <c r="K194">
        <f t="shared" si="32"/>
        <v>-0.5</v>
      </c>
      <c r="L194">
        <f t="shared" si="28"/>
        <v>0</v>
      </c>
      <c r="M194">
        <f t="shared" si="29"/>
        <v>0</v>
      </c>
      <c r="N194">
        <f t="shared" si="30"/>
        <v>1</v>
      </c>
      <c r="O194">
        <f t="shared" si="31"/>
        <v>0.5</v>
      </c>
      <c r="P194">
        <f>IFERROR(LN('Дивиденды по годам'!I194),"")</f>
        <v>26.075592173594472</v>
      </c>
      <c r="Q194">
        <f>IFERROR('Дивиденды по годам'!G194/'Дивиденды по годам'!I194, "")</f>
        <v>0.68298504509835856</v>
      </c>
      <c r="R194">
        <f>IFERROR(IF(AND('Дивиденды по годам'!N194&lt;&gt;"",'Дивиденды по годам'!U194&lt;&gt;"",'Дивиденды по годам'!U194&lt;&gt;0),'Дивиденды по годам'!N194/'Дивиденды по годам'!U194-1,""),"")</f>
        <v>0.15668010679223343</v>
      </c>
      <c r="S194">
        <f>IFERROR(IF(AND('Дивиденды по годам'!L194&lt;&gt;"",'Дивиденды по годам'!I194&lt;&gt;"",'Дивиденды по годам'!J194&lt;&gt;"",'Дивиденды по годам'!K194&lt;&gt;"",('Дивиденды по годам'!I194-'Дивиденды по годам'!J194-'Дивиденды по годам'!K194)&lt;&gt;0),'Дивиденды по годам'!L194/('Дивиденды по годам'!I194-'Дивиденды по годам'!J194-'Дивиденды по годам'!K194),""),"")</f>
        <v>0.91062639008082769</v>
      </c>
      <c r="T194">
        <f>IFERROR(IF(AND('Дивиденды по годам'!Q194&lt;&gt;"",'Дивиденды по годам'!I194&lt;&gt;"",'Дивиденды по годам'!V194&lt;&gt;"",('Дивиденды по годам'!I194+'Дивиденды по годам'!V194)&lt;&gt;0),'Дивиденды по годам'!Q194/(('Дивиденды по годам'!I194+'Дивиденды по годам'!V194)/2),""),"")</f>
        <v>0.11819584655342587</v>
      </c>
      <c r="U194">
        <f>IFERROR(IF(AND('Дивиденды по годам'!J194&lt;&gt;"",'Дивиденды по годам'!K194&lt;&gt;"",'Дивиденды по годам'!M194&lt;&gt;"",'Дивиденды по годам'!M194&lt;&gt;0),('Дивиденды по годам'!J194+'Дивиденды по годам'!K194)/'Дивиденды по годам'!M194,""),"")</f>
        <v>0.79671074800535691</v>
      </c>
      <c r="V194">
        <f>IFERROR(IF(AND('Дивиденды по годам'!J194&lt;&gt;"",'Дивиденды по годам'!K194&lt;&gt;"",'Дивиденды по годам'!M194&lt;&gt;"",'Дивиденды по годам'!I194&lt;&gt;0),('Дивиденды по годам'!J194+'Дивиденды по годам'!K194)/'Дивиденды по годам'!I194,""),"")</f>
        <v>0.44342738467493237</v>
      </c>
      <c r="W194">
        <f>IFERROR('Дивиденды по годам'!I194,"")</f>
        <v>211098814000</v>
      </c>
      <c r="X194" cm="1">
        <f t="array" ref="X194">IFERROR(AVERAGE(_xlfn._xlws.FILTER(P$2:P$1073,($C$2:$C$1073=$C194)*($E$2:$E$1073=$E194)*(ROW(P$2:P$1073)&lt;&gt;ROW(P194))*(P$2:P$1073&lt;&gt;""))),"")</f>
        <v>26.651965208550479</v>
      </c>
      <c r="Y194" cm="1">
        <f t="array" ref="Y194">IFERROR(AVERAGE(_xlfn._xlws.FILTER(Q$2:Q$1073,($C$2:$C$1073=$C194)*($E$2:$E$1073=$E194)*(ROW(Q$2:Q$1073)&lt;&gt;ROW(Q194))*(Q$2:Q$1073&lt;&gt;""))),"")</f>
        <v>0.67682743554993241</v>
      </c>
      <c r="Z194" cm="1">
        <f t="array" ref="Z194">IFERROR(AVERAGE(_xlfn._xlws.FILTER(R$2:R$1073,($C$2:$C$1073=$C194)*($E$2:$E$1073=$E194)*(ROW(R$2:R$1073)&lt;&gt;ROW(R194))*(R$2:R$1073&lt;&gt;""))),"")</f>
        <v>0.17947567921093155</v>
      </c>
      <c r="AA194" cm="1">
        <f t="array" ref="AA194">IFERROR(AVERAGE(_xlfn._xlws.FILTER(S$2:S$1073,($C$2:$C$1073=$C194)*($E$2:$E$1073=$E194)*(ROW(S$2:S$1073)&lt;&gt;ROW(S194))*(S$2:S$1073&lt;&gt;""))),"")</f>
        <v>0.73040026915441425</v>
      </c>
      <c r="AB194" cm="1">
        <f t="array" ref="AB194">IFERROR(AVERAGE(_xlfn._xlws.FILTER(T$2:T$1073,($C$2:$C$1073=$C194)*($E$2:$E$1073=$E194)*(ROW(T$2:T$1073)&lt;&gt;ROW(T194))*(T$2:T$1073&lt;&gt;""))),"")</f>
        <v>0.10089871318667373</v>
      </c>
      <c r="AC194" cm="1">
        <f t="array" ref="AC194">IFERROR(AVERAGE(_xlfn._xlws.FILTER(U$2:U$1073,($C$2:$C$1073=$C194)*($E$2:$E$1073=$E194)*(ROW(U$2:U$1073)&lt;&gt;ROW(U194))*(U$2:U$1073&lt;&gt;""))),"")</f>
        <v>0.90258579923345383</v>
      </c>
      <c r="AD194" cm="1">
        <f t="array" ref="AD194">IFERROR(AVERAGE(_xlfn._xlws.FILTER(V$2:V$1073,($C$2:$C$1073=$C194)*($E$2:$E$1073=$E194)*(ROW(V$2:V$1073)&lt;&gt;ROW(V194))*(V$2:V$1073&lt;&gt;""))),"")</f>
        <v>0.4295532399407479</v>
      </c>
      <c r="AE194">
        <f>IF('Дивиденды по годам'!M194&lt;0,1,0)</f>
        <v>0</v>
      </c>
    </row>
    <row r="195" spans="1:31" x14ac:dyDescent="0.2">
      <c r="A195" s="7" t="s">
        <v>2202</v>
      </c>
      <c r="B195" t="str">
        <f t="shared" ref="B195:B258" si="33">A195&amp;" "&amp;
"IV"
&amp;" кв. "&amp;C195</f>
        <v>MRKP IV кв. 2024</v>
      </c>
      <c r="C195">
        <v>2024</v>
      </c>
      <c r="D195">
        <f>SUMIFS(Дивиденды!$C:$C,Дивиденды!$A:$A,A195,Дивиденды!$I:$I,C195)</f>
        <v>5.0200000000000002E-2</v>
      </c>
      <c r="E195">
        <v>2</v>
      </c>
      <c r="F195">
        <f t="shared" ref="F195:F258" si="34">D195</f>
        <v>5.0200000000000002E-2</v>
      </c>
      <c r="G195">
        <f t="shared" ref="G195:G258" si="35">AVERAGEIFS($D:$D,$E:$E,E195,$C:$C,C195,$A:$A,"&lt;&gt;"&amp;A195)</f>
        <v>5.9216666666666661E-2</v>
      </c>
      <c r="H195">
        <f t="shared" ref="H195:H258" si="36">IF(D195&gt;0,1,0)</f>
        <v>1</v>
      </c>
      <c r="I195">
        <f t="shared" ref="I195:I258" si="37">IFERROR((COUNTIFS($E:$E,E195,$C:$C,C195,$H:$H,1)-H195)/(COUNTIFS($E:$E,E195,$C:$C,C195)-1),0)</f>
        <v>0.5</v>
      </c>
      <c r="J195">
        <f t="shared" ref="J195:J258" si="38">IF(A196&lt;&gt;A195,"",IF(D195=D196,0,IF(AND(D196=0,D195&lt;&gt;0), 1,(D195-D196)/D196)))</f>
        <v>0.29381443298969073</v>
      </c>
      <c r="K195">
        <f t="shared" si="32"/>
        <v>6.1676117360529935E-2</v>
      </c>
      <c r="L195">
        <f t="shared" ref="L195:L258" si="39">IF(J195&lt;&gt;"",IF(J195&gt;0,1,0),"")</f>
        <v>1</v>
      </c>
      <c r="M195">
        <f t="shared" ref="M195:M258" si="40">IFERROR(AVERAGEIFS($L:$L,$E:$E,E195,$C:$C,C195,$A:$A,"&lt;&gt;"&amp;A195),"")</f>
        <v>0.5</v>
      </c>
      <c r="N195">
        <f t="shared" ref="N195:N258" si="41">IF(J195&lt;&gt;"",IF(J195&lt;0,1,0),"")</f>
        <v>0</v>
      </c>
      <c r="O195">
        <f t="shared" ref="O195:O258" si="42">IFERROR(AVERAGEIFS($N:$N,$E:$E,E195,$C:$C,C195,$A:$A,"&lt;&gt;"&amp;A195),"")</f>
        <v>8.3333333333333329E-2</v>
      </c>
      <c r="P195">
        <f>IFERROR(LN('Дивиденды по годам'!I195),"")</f>
        <v>25.957237687730142</v>
      </c>
      <c r="Q195">
        <f>IFERROR('Дивиденды по годам'!G195/'Дивиденды по годам'!I195, "")</f>
        <v>0.66297123597348084</v>
      </c>
      <c r="R195">
        <f>IFERROR(IF(AND('Дивиденды по годам'!N195&lt;&gt;"",'Дивиденды по годам'!U195&lt;&gt;"",'Дивиденды по годам'!U195&lt;&gt;0),'Дивиденды по годам'!N195/'Дивиденды по годам'!U195-1,""),"")</f>
        <v>8.7384198337613794E-2</v>
      </c>
      <c r="S195">
        <f>IFERROR(IF(AND('Дивиденды по годам'!L195&lt;&gt;"",'Дивиденды по годам'!I195&lt;&gt;"",'Дивиденды по годам'!J195&lt;&gt;"",'Дивиденды по годам'!K195&lt;&gt;"",('Дивиденды по годам'!I195-'Дивиденды по годам'!J195-'Дивиденды по годам'!K195)&lt;&gt;0),'Дивиденды по годам'!L195/('Дивиденды по годам'!I195-'Дивиденды по годам'!J195-'Дивиденды по годам'!K195),""),"")</f>
        <v>0.89330457359124116</v>
      </c>
      <c r="T195">
        <f>IFERROR(IF(AND('Дивиденды по годам'!Q195&lt;&gt;"",'Дивиденды по годам'!I195&lt;&gt;"",'Дивиденды по годам'!V195&lt;&gt;"",('Дивиденды по годам'!I195+'Дивиденды по годам'!V195)&lt;&gt;0),'Дивиденды по годам'!Q195/(('Дивиденды по годам'!I195+'Дивиденды по годам'!V195)/2),""),"")</f>
        <v>9.2401499680061533E-2</v>
      </c>
      <c r="U195">
        <f>IFERROR(IF(AND('Дивиденды по годам'!J195&lt;&gt;"",'Дивиденды по годам'!K195&lt;&gt;"",'Дивиденды по годам'!M195&lt;&gt;"",'Дивиденды по годам'!M195&lt;&gt;0),('Дивиденды по годам'!J195+'Дивиденды по годам'!K195)/'Дивиденды по годам'!M195,""),"")</f>
        <v>0.88165217030620346</v>
      </c>
      <c r="V195">
        <f>IFERROR(IF(AND('Дивиденды по годам'!J195&lt;&gt;"",'Дивиденды по годам'!K195&lt;&gt;"",'Дивиденды по годам'!M195&lt;&gt;"",'Дивиденды по годам'!I195&lt;&gt;0),('Дивиденды по годам'!J195+'Дивиденды по годам'!K195)/'Дивиденды по годам'!I195,""),"")</f>
        <v>0.46855215018976176</v>
      </c>
      <c r="W195">
        <f>IFERROR('Дивиденды по годам'!I195,"")</f>
        <v>187536192000</v>
      </c>
      <c r="X195" cm="1">
        <f t="array" ref="X195">IFERROR(AVERAGE(_xlfn._xlws.FILTER(P$2:P$1073,($C$2:$C$1073=$C195)*($E$2:$E$1073=$E195)*(ROW(P$2:P$1073)&lt;&gt;ROW(P195))*(P$2:P$1073&lt;&gt;""))),"")</f>
        <v>26.594218440205175</v>
      </c>
      <c r="Y195" cm="1">
        <f t="array" ref="Y195">IFERROR(AVERAGE(_xlfn._xlws.FILTER(Q$2:Q$1073,($C$2:$C$1073=$C195)*($E$2:$E$1073=$E195)*(ROW(Q$2:Q$1073)&lt;&gt;ROW(Q195))*(Q$2:Q$1073&lt;&gt;""))),"")</f>
        <v>0.69186478065314239</v>
      </c>
      <c r="Z195" cm="1">
        <f t="array" ref="Z195">IFERROR(AVERAGE(_xlfn._xlws.FILTER(R$2:R$1073,($C$2:$C$1073=$C195)*($E$2:$E$1073=$E195)*(ROW(R$2:R$1073)&lt;&gt;ROW(R195))*(R$2:R$1073&lt;&gt;""))),"")</f>
        <v>0.10066455709544868</v>
      </c>
      <c r="AA195" cm="1">
        <f t="array" ref="AA195">IFERROR(AVERAGE(_xlfn._xlws.FILTER(S$2:S$1073,($C$2:$C$1073=$C195)*($E$2:$E$1073=$E195)*(ROW(S$2:S$1073)&lt;&gt;ROW(S195))*(S$2:S$1073&lt;&gt;""))),"")</f>
        <v>0.5263240341696952</v>
      </c>
      <c r="AB195" cm="1">
        <f t="array" ref="AB195">IFERROR(AVERAGE(_xlfn._xlws.FILTER(T$2:T$1073,($C$2:$C$1073=$C195)*($E$2:$E$1073=$E195)*(ROW(T$2:T$1073)&lt;&gt;ROW(T195))*(T$2:T$1073&lt;&gt;""))),"")</f>
        <v>5.3421401268585217E-2</v>
      </c>
      <c r="AC195" cm="1">
        <f t="array" ref="AC195">IFERROR(AVERAGE(_xlfn._xlws.FILTER(U$2:U$1073,($C$2:$C$1073=$C195)*($E$2:$E$1073=$E195)*(ROW(U$2:U$1073)&lt;&gt;ROW(U195))*(U$2:U$1073&lt;&gt;""))),"")</f>
        <v>0.93759605304861204</v>
      </c>
      <c r="AD195" cm="1">
        <f t="array" ref="AD195">IFERROR(AVERAGE(_xlfn._xlws.FILTER(V$2:V$1073,($C$2:$C$1073=$C195)*($E$2:$E$1073=$E195)*(ROW(V$2:V$1073)&lt;&gt;ROW(V195))*(V$2:V$1073&lt;&gt;""))),"")</f>
        <v>0.44968179053588891</v>
      </c>
      <c r="AE195">
        <f>IF('Дивиденды по годам'!M195&lt;0,1,0)</f>
        <v>0</v>
      </c>
    </row>
    <row r="196" spans="1:31" x14ac:dyDescent="0.2">
      <c r="A196" s="7" t="s">
        <v>2202</v>
      </c>
      <c r="B196" t="str">
        <f t="shared" si="33"/>
        <v>MRKP IV кв. 2023</v>
      </c>
      <c r="C196">
        <v>2023</v>
      </c>
      <c r="D196">
        <f>SUMIFS(Дивиденды!$C:$C,Дивиденды!$A:$A,A196,Дивиденды!$I:$I,C196)</f>
        <v>3.8800000000000001E-2</v>
      </c>
      <c r="E196">
        <v>2</v>
      </c>
      <c r="F196">
        <f t="shared" si="34"/>
        <v>3.8800000000000001E-2</v>
      </c>
      <c r="G196">
        <f t="shared" si="35"/>
        <v>6.3066666666666674E-2</v>
      </c>
      <c r="H196">
        <f t="shared" si="36"/>
        <v>1</v>
      </c>
      <c r="I196">
        <f t="shared" si="37"/>
        <v>0.5</v>
      </c>
      <c r="J196">
        <f t="shared" si="38"/>
        <v>0.20347394540942915</v>
      </c>
      <c r="K196">
        <f t="shared" ref="K196:K259" si="43">IFERROR(AVERAGEIFS($J:$J,$E:$E,E196,$C:$C,C196,$A:$A,"&lt;&gt;"&amp;A196),"")</f>
        <v>0.1000770805182019</v>
      </c>
      <c r="L196">
        <f t="shared" si="39"/>
        <v>1</v>
      </c>
      <c r="M196">
        <f t="shared" si="40"/>
        <v>0.41666666666666669</v>
      </c>
      <c r="N196">
        <f t="shared" si="41"/>
        <v>0</v>
      </c>
      <c r="O196">
        <f t="shared" si="42"/>
        <v>0.25</v>
      </c>
      <c r="P196">
        <f>IFERROR(LN('Дивиденды по годам'!I196),"")</f>
        <v>25.848146503206717</v>
      </c>
      <c r="Q196">
        <f>IFERROR('Дивиденды по годам'!G196/'Дивиденды по годам'!I196, "")</f>
        <v>0.67228499619937843</v>
      </c>
      <c r="R196">
        <f>IFERROR(IF(AND('Дивиденды по годам'!N196&lt;&gt;"",'Дивиденды по годам'!U196&lt;&gt;"",'Дивиденды по годам'!U196&lt;&gt;0),'Дивиденды по годам'!N196/'Дивиденды по годам'!U196-1,""),"")</f>
        <v>0.15803439973516942</v>
      </c>
      <c r="S196">
        <f>IFERROR(IF(AND('Дивиденды по годам'!L196&lt;&gt;"",'Дивиденды по годам'!I196&lt;&gt;"",'Дивиденды по годам'!J196&lt;&gt;"",'Дивиденды по годам'!K196&lt;&gt;"",('Дивиденды по годам'!I196-'Дивиденды по годам'!J196-'Дивиденды по годам'!K196)&lt;&gt;0),'Дивиденды по годам'!L196/('Дивиденды по годам'!I196-'Дивиденды по годам'!J196-'Дивиденды по годам'!K196),""),"")</f>
        <v>0.88099680377920475</v>
      </c>
      <c r="T196">
        <f>IFERROR(IF(AND('Дивиденды по годам'!Q196&lt;&gt;"",'Дивиденды по годам'!I196&lt;&gt;"",'Дивиденды по годам'!V196&lt;&gt;"",('Дивиденды по годам'!I196+'Дивиденды по годам'!V196)&lt;&gt;0),'Дивиденды по годам'!Q196/(('Дивиденды по годам'!I196+'Дивиденды по годам'!V196)/2),""),"")</f>
        <v>8.7663181541146981E-2</v>
      </c>
      <c r="U196">
        <f>IFERROR(IF(AND('Дивиденды по годам'!J196&lt;&gt;"",'Дивиденды по годам'!K196&lt;&gt;"",'Дивиденды по годам'!M196&lt;&gt;"",'Дивиденды по годам'!M196&lt;&gt;0),('Дивиденды по годам'!J196+'Дивиденды по годам'!K196)/'Дивиденды по годам'!M196,""),"")</f>
        <v>0.92519118436987335</v>
      </c>
      <c r="V196">
        <f>IFERROR(IF(AND('Дивиденды по годам'!J196&lt;&gt;"",'Дивиденды по годам'!K196&lt;&gt;"",'Дивиденды по годам'!M196&lt;&gt;"",'Дивиденды по годам'!I196&lt;&gt;0),('Дивиденды по годам'!J196+'Дивиденды по годам'!K196)/'Дивиденды по годам'!I196,""),"")</f>
        <v>0.48057106841193747</v>
      </c>
      <c r="W196">
        <f>IFERROR('Дивиденды по годам'!I196,"")</f>
        <v>168154074000</v>
      </c>
      <c r="X196" cm="1">
        <f t="array" ref="X196">IFERROR(AVERAGE(_xlfn._xlws.FILTER(P$2:P$1073,($C$2:$C$1073=$C196)*($E$2:$E$1073=$E196)*(ROW(P$2:P$1073)&lt;&gt;ROW(P196))*(P$2:P$1073&lt;&gt;""))),"")</f>
        <v>26.475589008439936</v>
      </c>
      <c r="Y196" cm="1">
        <f t="array" ref="Y196">IFERROR(AVERAGE(_xlfn._xlws.FILTER(Q$2:Q$1073,($C$2:$C$1073=$C196)*($E$2:$E$1073=$E196)*(ROW(Q$2:Q$1073)&lt;&gt;ROW(Q196))*(Q$2:Q$1073&lt;&gt;""))),"")</f>
        <v>0.71303056381134278</v>
      </c>
      <c r="Z196" cm="1">
        <f t="array" ref="Z196">IFERROR(AVERAGE(_xlfn._xlws.FILTER(R$2:R$1073,($C$2:$C$1073=$C196)*($E$2:$E$1073=$E196)*(ROW(R$2:R$1073)&lt;&gt;ROW(R196))*(R$2:R$1073&lt;&gt;""))),"")</f>
        <v>0.1377973578032316</v>
      </c>
      <c r="AA196" cm="1">
        <f t="array" ref="AA196">IFERROR(AVERAGE(_xlfn._xlws.FILTER(S$2:S$1073,($C$2:$C$1073=$C196)*($E$2:$E$1073=$E196)*(ROW(S$2:S$1073)&lt;&gt;ROW(S196))*(S$2:S$1073&lt;&gt;""))),"")</f>
        <v>0.50275896913821994</v>
      </c>
      <c r="AB196" cm="1">
        <f t="array" ref="AB196">IFERROR(AVERAGE(_xlfn._xlws.FILTER(T$2:T$1073,($C$2:$C$1073=$C196)*($E$2:$E$1073=$E196)*(ROW(T$2:T$1073)&lt;&gt;ROW(T196))*(T$2:T$1073&lt;&gt;""))),"")</f>
        <v>7.4511119738053813E-2</v>
      </c>
      <c r="AC196" cm="1">
        <f t="array" ref="AC196">IFERROR(AVERAGE(_xlfn._xlws.FILTER(U$2:U$1073,($C$2:$C$1073=$C196)*($E$2:$E$1073=$E196)*(ROW(U$2:U$1073)&lt;&gt;ROW(U196))*(U$2:U$1073&lt;&gt;""))),"")</f>
        <v>0.81266018068266688</v>
      </c>
      <c r="AD196" cm="1">
        <f t="array" ref="AD196">IFERROR(AVERAGE(_xlfn._xlws.FILTER(V$2:V$1073,($C$2:$C$1073=$C196)*($E$2:$E$1073=$E196)*(ROW(V$2:V$1073)&lt;&gt;ROW(V196))*(V$2:V$1073&lt;&gt;""))),"")</f>
        <v>0.4185580199646326</v>
      </c>
      <c r="AE196">
        <f>IF('Дивиденды по годам'!M196&lt;0,1,0)</f>
        <v>0</v>
      </c>
    </row>
    <row r="197" spans="1:31" x14ac:dyDescent="0.2">
      <c r="A197" s="7" t="s">
        <v>2202</v>
      </c>
      <c r="B197" t="str">
        <f t="shared" si="33"/>
        <v>MRKP IV кв. 2022</v>
      </c>
      <c r="C197">
        <v>2022</v>
      </c>
      <c r="D197">
        <f>SUMIFS(Дивиденды!$C:$C,Дивиденды!$A:$A,A197,Дивиденды!$I:$I,C197)</f>
        <v>3.2240000000000005E-2</v>
      </c>
      <c r="E197">
        <v>2</v>
      </c>
      <c r="F197">
        <f t="shared" si="34"/>
        <v>3.2240000000000005E-2</v>
      </c>
      <c r="G197">
        <f t="shared" si="35"/>
        <v>6.204500000000001E-2</v>
      </c>
      <c r="H197">
        <f t="shared" si="36"/>
        <v>1</v>
      </c>
      <c r="I197">
        <f t="shared" si="37"/>
        <v>0.58333333333333337</v>
      </c>
      <c r="J197">
        <f t="shared" si="38"/>
        <v>0.15971223021582759</v>
      </c>
      <c r="K197">
        <f t="shared" si="43"/>
        <v>-0.17495121411172601</v>
      </c>
      <c r="L197">
        <f t="shared" si="39"/>
        <v>1</v>
      </c>
      <c r="M197">
        <f t="shared" si="40"/>
        <v>0.25</v>
      </c>
      <c r="N197">
        <f t="shared" si="41"/>
        <v>0</v>
      </c>
      <c r="O197">
        <f t="shared" si="42"/>
        <v>0.5</v>
      </c>
      <c r="P197">
        <f>IFERROR(LN('Дивиденды по годам'!I197),"")</f>
        <v>25.745607687804817</v>
      </c>
      <c r="Q197">
        <f>IFERROR('Дивиденды по годам'!G197/'Дивиденды по годам'!I197, "")</f>
        <v>0.65357561390670238</v>
      </c>
      <c r="R197">
        <f>IFERROR(IF(AND('Дивиденды по годам'!N197&lt;&gt;"",'Дивиденды по годам'!U197&lt;&gt;"",'Дивиденды по годам'!U197&lt;&gt;0),'Дивиденды по годам'!N197/'Дивиденды по годам'!U197-1,""),"")</f>
        <v>6.8651661307207901E-2</v>
      </c>
      <c r="S197">
        <f>IFERROR(IF(AND('Дивиденды по годам'!L197&lt;&gt;"",'Дивиденды по годам'!I197&lt;&gt;"",'Дивиденды по годам'!J197&lt;&gt;"",'Дивиденды по годам'!K197&lt;&gt;"",('Дивиденды по годам'!I197-'Дивиденды по годам'!J197-'Дивиденды по годам'!K197)&lt;&gt;0),'Дивиденды по годам'!L197/('Дивиденды по годам'!I197-'Дивиденды по годам'!J197-'Дивиденды по годам'!K197),""),"")</f>
        <v>0.86128677404933318</v>
      </c>
      <c r="T197">
        <f>IFERROR(IF(AND('Дивиденды по годам'!Q197&lt;&gt;"",'Дивиденды по годам'!I197&lt;&gt;"",'Дивиденды по годам'!V197&lt;&gt;"",('Дивиденды по годам'!I197+'Дивиденды по годам'!V197)&lt;&gt;0),'Дивиденды по годам'!Q197/(('Дивиденды по годам'!I197+'Дивиденды по годам'!V197)/2),""),"")</f>
        <v>7.8264352031369097E-2</v>
      </c>
      <c r="U197">
        <f>IFERROR(IF(AND('Дивиденды по годам'!J197&lt;&gt;"",'Дивиденды по годам'!K197&lt;&gt;"",'Дивиденды по годам'!M197&lt;&gt;"",'Дивиденды по годам'!M197&lt;&gt;0),('Дивиденды по годам'!J197+'Дивиденды по годам'!K197)/'Дивиденды по годам'!M197,""),"")</f>
        <v>1.0701036252807536</v>
      </c>
      <c r="V197">
        <f>IFERROR(IF(AND('Дивиденды по годам'!J197&lt;&gt;"",'Дивиденды по годам'!K197&lt;&gt;"",'Дивиденды по годам'!M197&lt;&gt;"",'Дивиденды по годам'!I197&lt;&gt;0),('Дивиденды по годам'!J197+'Дивиденды по годам'!K197)/'Дивиденды по годам'!I197,""),"")</f>
        <v>0.51693239517689504</v>
      </c>
      <c r="W197">
        <f>IFERROR('Дивиденды по годам'!I197,"")</f>
        <v>151766302000</v>
      </c>
      <c r="X197" cm="1">
        <f t="array" ref="X197">IFERROR(AVERAGE(_xlfn._xlws.FILTER(P$2:P$1073,($C$2:$C$1073=$C197)*($E$2:$E$1073=$E197)*(ROW(P$2:P$1073)&lt;&gt;ROW(P197))*(P$2:P$1073&lt;&gt;""))),"")</f>
        <v>26.37435735969872</v>
      </c>
      <c r="Y197" cm="1">
        <f t="array" ref="Y197">IFERROR(AVERAGE(_xlfn._xlws.FILTER(Q$2:Q$1073,($C$2:$C$1073=$C197)*($E$2:$E$1073=$E197)*(ROW(Q$2:Q$1073)&lt;&gt;ROW(Q197))*(Q$2:Q$1073&lt;&gt;""))),"")</f>
        <v>0.71418948311257324</v>
      </c>
      <c r="Z197" cm="1">
        <f t="array" ref="Z197">IFERROR(AVERAGE(_xlfn._xlws.FILTER(R$2:R$1073,($C$2:$C$1073=$C197)*($E$2:$E$1073=$E197)*(ROW(R$2:R$1073)&lt;&gt;ROW(R197))*(R$2:R$1073&lt;&gt;""))),"")</f>
        <v>7.3554727769775549E-2</v>
      </c>
      <c r="AA197" cm="1">
        <f t="array" ref="AA197">IFERROR(AVERAGE(_xlfn._xlws.FILTER(S$2:S$1073,($C$2:$C$1073=$C197)*($E$2:$E$1073=$E197)*(ROW(S$2:S$1073)&lt;&gt;ROW(S197))*(S$2:S$1073&lt;&gt;""))),"")</f>
        <v>0.47647764415477056</v>
      </c>
      <c r="AB197" cm="1">
        <f t="array" ref="AB197">IFERROR(AVERAGE(_xlfn._xlws.FILTER(T$2:T$1073,($C$2:$C$1073=$C197)*($E$2:$E$1073=$E197)*(ROW(T$2:T$1073)&lt;&gt;ROW(T197))*(T$2:T$1073&lt;&gt;""))),"")</f>
        <v>3.2531877421137978E-3</v>
      </c>
      <c r="AC197" cm="1">
        <f t="array" ref="AC197">IFERROR(AVERAGE(_xlfn._xlws.FILTER(U$2:U$1073,($C$2:$C$1073=$C197)*($E$2:$E$1073=$E197)*(ROW(U$2:U$1073)&lt;&gt;ROW(U197))*(U$2:U$1073&lt;&gt;""))),"")</f>
        <v>0.89135484924620378</v>
      </c>
      <c r="AD197" cm="1">
        <f t="array" ref="AD197">IFERROR(AVERAGE(_xlfn._xlws.FILTER(V$2:V$1073,($C$2:$C$1073=$C197)*($E$2:$E$1073=$E197)*(ROW(V$2:V$1073)&lt;&gt;ROW(V197))*(V$2:V$1073&lt;&gt;""))),"")</f>
        <v>0.43336143895513324</v>
      </c>
      <c r="AE197">
        <f>IF('Дивиденды по годам'!M197&lt;0,1,0)</f>
        <v>0</v>
      </c>
    </row>
    <row r="198" spans="1:31" x14ac:dyDescent="0.2">
      <c r="A198" s="7" t="s">
        <v>2202</v>
      </c>
      <c r="B198" t="str">
        <f t="shared" si="33"/>
        <v>MRKP IV кв. 2021</v>
      </c>
      <c r="C198">
        <v>2021</v>
      </c>
      <c r="D198">
        <f>SUMIFS(Дивиденды!$C:$C,Дивиденды!$A:$A,A198,Дивиденды!$I:$I,C198)</f>
        <v>2.7799999999999998E-2</v>
      </c>
      <c r="E198">
        <v>2</v>
      </c>
      <c r="F198">
        <f t="shared" si="34"/>
        <v>2.7799999999999998E-2</v>
      </c>
      <c r="G198">
        <f t="shared" si="35"/>
        <v>7.9468583333333329E-2</v>
      </c>
      <c r="H198">
        <f t="shared" si="36"/>
        <v>1</v>
      </c>
      <c r="I198">
        <f t="shared" si="37"/>
        <v>0.75</v>
      </c>
      <c r="J198">
        <f t="shared" si="38"/>
        <v>7.3359073359073323E-2</v>
      </c>
      <c r="K198">
        <f t="shared" si="43"/>
        <v>0.15776292781079954</v>
      </c>
      <c r="L198">
        <f t="shared" si="39"/>
        <v>1</v>
      </c>
      <c r="M198">
        <f t="shared" si="40"/>
        <v>0.58333333333333337</v>
      </c>
      <c r="N198">
        <f t="shared" si="41"/>
        <v>0</v>
      </c>
      <c r="O198">
        <f t="shared" si="42"/>
        <v>0.25</v>
      </c>
      <c r="P198">
        <f>IFERROR(LN('Дивиденды по годам'!I198),"")</f>
        <v>25.594504602562385</v>
      </c>
      <c r="Q198">
        <f>IFERROR('Дивиденды по годам'!G198/'Дивиденды по годам'!I198, "")</f>
        <v>0.70365445456750841</v>
      </c>
      <c r="R198">
        <f>IFERROR(IF(AND('Дивиденды по годам'!N198&lt;&gt;"",'Дивиденды по годам'!U198&lt;&gt;"",'Дивиденды по годам'!U198&lt;&gt;0),'Дивиденды по годам'!N198/'Дивиденды по годам'!U198-1,""),"")</f>
        <v>0.10282130677644608</v>
      </c>
      <c r="S198">
        <f>IFERROR(IF(AND('Дивиденды по годам'!L198&lt;&gt;"",'Дивиденды по годам'!I198&lt;&gt;"",'Дивиденды по годам'!J198&lt;&gt;"",'Дивиденды по годам'!K198&lt;&gt;"",('Дивиденды по годам'!I198-'Дивиденды по годам'!J198-'Дивиденды по годам'!K198)&lt;&gt;0),'Дивиденды по годам'!L198/('Дивиденды по годам'!I198-'Дивиденды по годам'!J198-'Дивиденды по годам'!K198),""),"")</f>
        <v>0.85283058204903017</v>
      </c>
      <c r="T198">
        <f>IFERROR(IF(AND('Дивиденды по годам'!Q198&lt;&gt;"",'Дивиденды по годам'!I198&lt;&gt;"",'Дивиденды по годам'!V198&lt;&gt;"",('Дивиденды по годам'!I198+'Дивиденды по годам'!V198)&lt;&gt;0),'Дивиденды по годам'!Q198/(('Дивиденды по годам'!I198+'Дивиденды по годам'!V198)/2),""),"")</f>
        <v>8.0028720713153853E-2</v>
      </c>
      <c r="U198">
        <f>IFERROR(IF(AND('Дивиденды по годам'!J198&lt;&gt;"",'Дивиденды по годам'!K198&lt;&gt;"",'Дивиденды по годам'!M198&lt;&gt;"",'Дивиденды по годам'!M198&lt;&gt;0),('Дивиденды по годам'!J198+'Дивиденды по годам'!K198)/'Дивиденды по годам'!M198,""),"")</f>
        <v>0.90182907390711597</v>
      </c>
      <c r="V198">
        <f>IFERROR(IF(AND('Дивиденды по годам'!J198&lt;&gt;"",'Дивиденды по годам'!K198&lt;&gt;"",'Дивиденды по годам'!M198&lt;&gt;"",'Дивиденды по годам'!I198&lt;&gt;0),('Дивиденды по годам'!J198+'Дивиденды по годам'!K198)/'Дивиденды по годам'!I198,""),"")</f>
        <v>0.47419039191277013</v>
      </c>
      <c r="W198">
        <f>IFERROR('Дивиденды по годам'!I198,"")</f>
        <v>130482454000</v>
      </c>
      <c r="X198" cm="1">
        <f t="array" ref="X198">IFERROR(AVERAGE(_xlfn._xlws.FILTER(P$2:P$1073,($C$2:$C$1073=$C198)*($E$2:$E$1073=$E198)*(ROW(P$2:P$1073)&lt;&gt;ROW(P198))*(P$2:P$1073&lt;&gt;""))),"")</f>
        <v>25.959936818703863</v>
      </c>
      <c r="Y198" cm="1">
        <f t="array" ref="Y198">IFERROR(AVERAGE(_xlfn._xlws.FILTER(Q$2:Q$1073,($C$2:$C$1073=$C198)*($E$2:$E$1073=$E198)*(ROW(Q$2:Q$1073)&lt;&gt;ROW(Q198))*(Q$2:Q$1073&lt;&gt;""))),"")</f>
        <v>0.77659445335059241</v>
      </c>
      <c r="Z198" cm="1">
        <f t="array" ref="Z198">IFERROR(AVERAGE(_xlfn._xlws.FILTER(R$2:R$1073,($C$2:$C$1073=$C198)*($E$2:$E$1073=$E198)*(ROW(R$2:R$1073)&lt;&gt;ROW(R198))*(R$2:R$1073&lt;&gt;""))),"")</f>
        <v>0.12912103981984643</v>
      </c>
      <c r="AA198" cm="1">
        <f t="array" ref="AA198">IFERROR(AVERAGE(_xlfn._xlws.FILTER(S$2:S$1073,($C$2:$C$1073=$C198)*($E$2:$E$1073=$E198)*(ROW(S$2:S$1073)&lt;&gt;ROW(S198))*(S$2:S$1073&lt;&gt;""))),"")</f>
        <v>0.46602473693629715</v>
      </c>
      <c r="AB198" cm="1">
        <f t="array" ref="AB198">IFERROR(AVERAGE(_xlfn._xlws.FILTER(T$2:T$1073,($C$2:$C$1073=$C198)*($E$2:$E$1073=$E198)*(ROW(T$2:T$1073)&lt;&gt;ROW(T198))*(T$2:T$1073&lt;&gt;""))),"")</f>
        <v>3.2075262868336243E-2</v>
      </c>
      <c r="AC198" cm="1">
        <f t="array" ref="AC198">IFERROR(AVERAGE(_xlfn._xlws.FILTER(U$2:U$1073,($C$2:$C$1073=$C198)*($E$2:$E$1073=$E198)*(ROW(U$2:U$1073)&lt;&gt;ROW(U198))*(U$2:U$1073&lt;&gt;""))),"")</f>
        <v>0.69611192513012932</v>
      </c>
      <c r="AD198" cm="1">
        <f t="array" ref="AD198">IFERROR(AVERAGE(_xlfn._xlws.FILTER(V$2:V$1073,($C$2:$C$1073=$C198)*($E$2:$E$1073=$E198)*(ROW(V$2:V$1073)&lt;&gt;ROW(V198))*(V$2:V$1073&lt;&gt;""))),"")</f>
        <v>0.3733864923681654</v>
      </c>
      <c r="AE198">
        <f>IF('Дивиденды по годам'!M198&lt;0,1,0)</f>
        <v>0</v>
      </c>
    </row>
    <row r="199" spans="1:31" x14ac:dyDescent="0.2">
      <c r="A199" s="7" t="s">
        <v>2202</v>
      </c>
      <c r="B199" t="str">
        <f t="shared" si="33"/>
        <v>MRKP IV кв. 2020</v>
      </c>
      <c r="C199">
        <v>2020</v>
      </c>
      <c r="D199">
        <f>SUMIFS(Дивиденды!$C:$C,Дивиденды!$A:$A,A199,Дивиденды!$I:$I,C199)</f>
        <v>2.5899999999999999E-2</v>
      </c>
      <c r="E199">
        <v>2</v>
      </c>
      <c r="F199">
        <f t="shared" si="34"/>
        <v>2.5899999999999999E-2</v>
      </c>
      <c r="G199">
        <f t="shared" si="35"/>
        <v>6.7747583333333319E-2</v>
      </c>
      <c r="H199">
        <f t="shared" si="36"/>
        <v>1</v>
      </c>
      <c r="I199">
        <f t="shared" si="37"/>
        <v>0.75</v>
      </c>
      <c r="J199">
        <f t="shared" si="38"/>
        <v>0.58895705521472408</v>
      </c>
      <c r="K199">
        <f t="shared" si="43"/>
        <v>-0.13470378630393956</v>
      </c>
      <c r="L199">
        <f t="shared" si="39"/>
        <v>1</v>
      </c>
      <c r="M199">
        <f t="shared" si="40"/>
        <v>0.5</v>
      </c>
      <c r="N199">
        <f t="shared" si="41"/>
        <v>0</v>
      </c>
      <c r="O199">
        <f t="shared" si="42"/>
        <v>0.5</v>
      </c>
      <c r="P199">
        <f>IFERROR(LN('Дивиденды по годам'!I199),"")</f>
        <v>25.495945114835404</v>
      </c>
      <c r="Q199">
        <f>IFERROR('Дивиденды по годам'!G199/'Дивиденды по годам'!I199, "")</f>
        <v>0.69574631682010102</v>
      </c>
      <c r="R199">
        <f>IFERROR(IF(AND('Дивиденды по годам'!N199&lt;&gt;"",'Дивиденды по годам'!U199&lt;&gt;"",'Дивиденды по годам'!U199&lt;&gt;0),'Дивиденды по годам'!N199/'Дивиденды по годам'!U199-1,""),"")</f>
        <v>2.1321497341035833E-3</v>
      </c>
      <c r="S199">
        <f>IFERROR(IF(AND('Дивиденды по годам'!L199&lt;&gt;"",'Дивиденды по годам'!I199&lt;&gt;"",'Дивиденды по годам'!J199&lt;&gt;"",'Дивиденды по годам'!K199&lt;&gt;"",('Дивиденды по годам'!I199-'Дивиденды по годам'!J199-'Дивиденды по годам'!K199)&lt;&gt;0),'Дивиденды по годам'!L199/('Дивиденды по годам'!I199-'Дивиденды по годам'!J199-'Дивиденды по годам'!K199),""),"")</f>
        <v>0.83807219476964523</v>
      </c>
      <c r="T199">
        <f>IFERROR(IF(AND('Дивиденды по годам'!Q199&lt;&gt;"",'Дивиденды по годам'!I199&lt;&gt;"",'Дивиденды по годам'!V199&lt;&gt;"",('Дивиденды по годам'!I199+'Дивиденды по годам'!V199)&lt;&gt;0),'Дивиденды по годам'!Q199/(('Дивиденды по годам'!I199+'Дивиденды по годам'!V199)/2),""),"")</f>
        <v>5.6484513543777669E-2</v>
      </c>
      <c r="U199">
        <f>IFERROR(IF(AND('Дивиденды по годам'!J199&lt;&gt;"",'Дивиденды по годам'!K199&lt;&gt;"",'Дивиденды по годам'!M199&lt;&gt;"",'Дивиденды по годам'!M199&lt;&gt;0),('Дивиденды по годам'!J199+'Дивиденды по годам'!K199)/'Дивиденды по годам'!M199,""),"")</f>
        <v>0.9260414294795184</v>
      </c>
      <c r="V199">
        <f>IFERROR(IF(AND('Дивиденды по годам'!J199&lt;&gt;"",'Дивиденды по годам'!K199&lt;&gt;"",'Дивиденды по годам'!M199&lt;&gt;"",'Дивиденды по годам'!I199&lt;&gt;0),('Дивиденды по годам'!J199+'Дивиденды по годам'!K199)/'Дивиденды по годам'!I199,""),"")</f>
        <v>0.48080036872818782</v>
      </c>
      <c r="W199">
        <f>IFERROR('Дивиденды по годам'!I199,"")</f>
        <v>118235604000</v>
      </c>
      <c r="X199" cm="1">
        <f t="array" ref="X199">IFERROR(AVERAGE(_xlfn._xlws.FILTER(P$2:P$1073,($C$2:$C$1073=$C199)*($E$2:$E$1073=$E199)*(ROW(P$2:P$1073)&lt;&gt;ROW(P199))*(P$2:P$1073&lt;&gt;""))),"")</f>
        <v>26.229556685430683</v>
      </c>
      <c r="Y199" cm="1">
        <f t="array" ref="Y199">IFERROR(AVERAGE(_xlfn._xlws.FILTER(Q$2:Q$1073,($C$2:$C$1073=$C199)*($E$2:$E$1073=$E199)*(ROW(Q$2:Q$1073)&lt;&gt;ROW(Q199))*(Q$2:Q$1073&lt;&gt;""))),"")</f>
        <v>0.74907102920108803</v>
      </c>
      <c r="Z199" cm="1">
        <f t="array" ref="Z199">IFERROR(AVERAGE(_xlfn._xlws.FILTER(R$2:R$1073,($C$2:$C$1073=$C199)*($E$2:$E$1073=$E199)*(ROW(R$2:R$1073)&lt;&gt;ROW(R199))*(R$2:R$1073&lt;&gt;""))),"")</f>
        <v>-6.9719625843616281E-2</v>
      </c>
      <c r="AA199" cm="1">
        <f t="array" ref="AA199">IFERROR(AVERAGE(_xlfn._xlws.FILTER(S$2:S$1073,($C$2:$C$1073=$C199)*($E$2:$E$1073=$E199)*(ROW(S$2:S$1073)&lt;&gt;ROW(S199))*(S$2:S$1073&lt;&gt;""))),"")</f>
        <v>0.45500344077319949</v>
      </c>
      <c r="AB199" cm="1">
        <f t="array" ref="AB199">IFERROR(AVERAGE(_xlfn._xlws.FILTER(T$2:T$1073,($C$2:$C$1073=$C199)*($E$2:$E$1073=$E199)*(ROW(T$2:T$1073)&lt;&gt;ROW(T199))*(T$2:T$1073&lt;&gt;""))),"")</f>
        <v>4.1499230892191756E-2</v>
      </c>
      <c r="AC199" cm="1">
        <f t="array" ref="AC199">IFERROR(AVERAGE(_xlfn._xlws.FILTER(U$2:U$1073,($C$2:$C$1073=$C199)*($E$2:$E$1073=$E199)*(ROW(U$2:U$1073)&lt;&gt;ROW(U199))*(U$2:U$1073&lt;&gt;""))),"")</f>
        <v>0.63736040147884532</v>
      </c>
      <c r="AD199" cm="1">
        <f t="array" ref="AD199">IFERROR(AVERAGE(_xlfn._xlws.FILTER(V$2:V$1073,($C$2:$C$1073=$C199)*($E$2:$E$1073=$E199)*(ROW(V$2:V$1073)&lt;&gt;ROW(V199))*(V$2:V$1073&lt;&gt;""))),"")</f>
        <v>0.35853076789586225</v>
      </c>
      <c r="AE199">
        <f>IF('Дивиденды по годам'!M199&lt;0,1,0)</f>
        <v>0</v>
      </c>
    </row>
    <row r="200" spans="1:31" x14ac:dyDescent="0.2">
      <c r="A200" s="7" t="s">
        <v>2202</v>
      </c>
      <c r="B200" t="str">
        <f t="shared" si="33"/>
        <v>MRKP IV кв. 2019</v>
      </c>
      <c r="C200">
        <v>2019</v>
      </c>
      <c r="D200">
        <f>SUMIFS(Дивиденды!$C:$C,Дивиденды!$A:$A,A200,Дивиденды!$I:$I,C200)</f>
        <v>1.6299999999999999E-2</v>
      </c>
      <c r="E200">
        <v>2</v>
      </c>
      <c r="F200">
        <f t="shared" si="34"/>
        <v>1.6299999999999999E-2</v>
      </c>
      <c r="G200">
        <f t="shared" si="35"/>
        <v>6.9950333333333323E-2</v>
      </c>
      <c r="H200">
        <f t="shared" si="36"/>
        <v>1</v>
      </c>
      <c r="I200">
        <f t="shared" si="37"/>
        <v>1</v>
      </c>
      <c r="J200">
        <f t="shared" si="38"/>
        <v>-0.59950859950859958</v>
      </c>
      <c r="K200">
        <f t="shared" si="43"/>
        <v>0.22205180762897095</v>
      </c>
      <c r="L200">
        <f t="shared" si="39"/>
        <v>0</v>
      </c>
      <c r="M200">
        <f t="shared" si="40"/>
        <v>0.5</v>
      </c>
      <c r="N200">
        <f t="shared" si="41"/>
        <v>1</v>
      </c>
      <c r="O200">
        <f t="shared" si="42"/>
        <v>0.41666666666666669</v>
      </c>
      <c r="P200">
        <f>IFERROR(LN('Дивиденды по годам'!I200),"")</f>
        <v>25.418338809102217</v>
      </c>
      <c r="Q200">
        <f>IFERROR('Дивиденды по годам'!G200/'Дивиденды по годам'!I200, "")</f>
        <v>0.70633359764355397</v>
      </c>
      <c r="R200">
        <f>IFERROR(IF(AND('Дивиденды по годам'!N200&lt;&gt;"",'Дивиденды по годам'!U200&lt;&gt;"",'Дивиденды по годам'!U200&lt;&gt;0),'Дивиденды по годам'!N200/'Дивиденды по годам'!U200-1,""),"")</f>
        <v>2.4637844957543287E-2</v>
      </c>
      <c r="S200">
        <f>IFERROR(IF(AND('Дивиденды по годам'!L200&lt;&gt;"",'Дивиденды по годам'!I200&lt;&gt;"",'Дивиденды по годам'!J200&lt;&gt;"",'Дивиденды по годам'!K200&lt;&gt;"",('Дивиденды по годам'!I200-'Дивиденды по годам'!J200-'Дивиденды по годам'!K200)&lt;&gt;0),'Дивиденды по годам'!L200/('Дивиденды по годам'!I200-'Дивиденды по годам'!J200-'Дивиденды по годам'!K200),""),"")</f>
        <v>0.81905941641410074</v>
      </c>
      <c r="T200">
        <f>IFERROR(IF(AND('Дивиденды по годам'!Q200&lt;&gt;"",'Дивиденды по годам'!I200&lt;&gt;"",'Дивиденды по годам'!V200&lt;&gt;"",('Дивиденды по годам'!I200+'Дивиденды по годам'!V200)&lt;&gt;0),'Дивиденды по годам'!Q200/(('Дивиденды по годам'!I200+'Дивиденды по годам'!V200)/2),""),"")</f>
        <v>6.2768263010591449E-2</v>
      </c>
      <c r="U200">
        <f>IFERROR(IF(AND('Дивиденды по годам'!J200&lt;&gt;"",'Дивиденды по годам'!K200&lt;&gt;"",'Дивиденды по годам'!M200&lt;&gt;"",'Дивиденды по годам'!M200&lt;&gt;0),('Дивиденды по годам'!J200+'Дивиденды по годам'!K200)/'Дивиденды по годам'!M200,""),"")</f>
        <v>0.99110794365441535</v>
      </c>
      <c r="V200">
        <f>IFERROR(IF(AND('Дивиденды по годам'!J200&lt;&gt;"",'Дивиденды по годам'!K200&lt;&gt;"",'Дивиденды по годам'!M200&lt;&gt;"",'Дивиденды по годам'!I200&lt;&gt;0),('Дивиденды по годам'!J200+'Дивиденды по годам'!K200)/'Дивиденды по годам'!I200,""),"")</f>
        <v>0.49776705819141465</v>
      </c>
      <c r="W200">
        <f>IFERROR('Дивиденды по годам'!I200,"")</f>
        <v>109406792000</v>
      </c>
      <c r="X200" cm="1">
        <f t="array" ref="X200">IFERROR(AVERAGE(_xlfn._xlws.FILTER(P$2:P$1073,($C$2:$C$1073=$C200)*($E$2:$E$1073=$E200)*(ROW(P$2:P$1073)&lt;&gt;ROW(P200))*(P$2:P$1073&lt;&gt;""))),"")</f>
        <v>26.192963070958587</v>
      </c>
      <c r="Y200" cm="1">
        <f t="array" ref="Y200">IFERROR(AVERAGE(_xlfn._xlws.FILTER(Q$2:Q$1073,($C$2:$C$1073=$C200)*($E$2:$E$1073=$E200)*(ROW(Q$2:Q$1073)&lt;&gt;ROW(Q200))*(Q$2:Q$1073&lt;&gt;""))),"")</f>
        <v>0.73955021280763333</v>
      </c>
      <c r="Z200" cm="1">
        <f t="array" ref="Z200">IFERROR(AVERAGE(_xlfn._xlws.FILTER(R$2:R$1073,($C$2:$C$1073=$C200)*($E$2:$E$1073=$E200)*(ROW(R$2:R$1073)&lt;&gt;ROW(R200))*(R$2:R$1073&lt;&gt;""))),"")</f>
        <v>1.718256647905388E-3</v>
      </c>
      <c r="AA200" cm="1">
        <f t="array" ref="AA200">IFERROR(AVERAGE(_xlfn._xlws.FILTER(S$2:S$1073,($C$2:$C$1073=$C200)*($E$2:$E$1073=$E200)*(ROW(S$2:S$1073)&lt;&gt;ROW(S200))*(S$2:S$1073&lt;&gt;""))),"")</f>
        <v>0.44527160302916763</v>
      </c>
      <c r="AB200" cm="1">
        <f t="array" ref="AB200">IFERROR(AVERAGE(_xlfn._xlws.FILTER(T$2:T$1073,($C$2:$C$1073=$C200)*($E$2:$E$1073=$E200)*(ROW(T$2:T$1073)&lt;&gt;ROW(T200))*(T$2:T$1073&lt;&gt;""))),"")</f>
        <v>5.1065795756910316E-2</v>
      </c>
      <c r="AC200" cm="1">
        <f t="array" ref="AC200">IFERROR(AVERAGE(_xlfn._xlws.FILTER(U$2:U$1073,($C$2:$C$1073=$C200)*($E$2:$E$1073=$E200)*(ROW(U$2:U$1073)&lt;&gt;ROW(U200))*(U$2:U$1073&lt;&gt;""))),"")</f>
        <v>0.63826635480341609</v>
      </c>
      <c r="AD200" cm="1">
        <f t="array" ref="AD200">IFERROR(AVERAGE(_xlfn._xlws.FILTER(V$2:V$1073,($C$2:$C$1073=$C200)*($E$2:$E$1073=$E200)*(ROW(V$2:V$1073)&lt;&gt;ROW(V200))*(V$2:V$1073&lt;&gt;""))),"")</f>
        <v>0.36033087528625068</v>
      </c>
      <c r="AE200">
        <f>IF('Дивиденды по годам'!M200&lt;0,1,0)</f>
        <v>0</v>
      </c>
    </row>
    <row r="201" spans="1:31" x14ac:dyDescent="0.2">
      <c r="A201" s="7" t="s">
        <v>2202</v>
      </c>
      <c r="B201" t="str">
        <f t="shared" si="33"/>
        <v>MRKP IV кв. 2018</v>
      </c>
      <c r="C201">
        <v>2018</v>
      </c>
      <c r="D201">
        <f>SUMIFS(Дивиденды!$C:$C,Дивиденды!$A:$A,A201,Дивиденды!$I:$I,C201)</f>
        <v>4.07E-2</v>
      </c>
      <c r="E201">
        <v>2</v>
      </c>
      <c r="F201">
        <f t="shared" si="34"/>
        <v>4.07E-2</v>
      </c>
      <c r="G201">
        <f t="shared" si="35"/>
        <v>7.7178750000000004E-2</v>
      </c>
      <c r="H201">
        <f t="shared" si="36"/>
        <v>1</v>
      </c>
      <c r="I201">
        <f t="shared" si="37"/>
        <v>1</v>
      </c>
      <c r="J201">
        <f t="shared" si="38"/>
        <v>1.2437810945273643E-2</v>
      </c>
      <c r="K201">
        <f t="shared" si="43"/>
        <v>0.19522187738547936</v>
      </c>
      <c r="L201">
        <f t="shared" si="39"/>
        <v>1</v>
      </c>
      <c r="M201">
        <f t="shared" si="40"/>
        <v>0.58333333333333337</v>
      </c>
      <c r="N201">
        <f t="shared" si="41"/>
        <v>0</v>
      </c>
      <c r="O201">
        <f t="shared" si="42"/>
        <v>0.25</v>
      </c>
      <c r="P201">
        <f>IFERROR(LN('Дивиденды по годам'!I201),"")</f>
        <v>25.364280948368883</v>
      </c>
      <c r="Q201">
        <f>IFERROR('Дивиденды по годам'!G201/'Дивиденды по годам'!I201, "")</f>
        <v>0.68788011636523894</v>
      </c>
      <c r="R201">
        <f>IFERROR(IF(AND('Дивиденды по годам'!N201&lt;&gt;"",'Дивиденды по годам'!U201&lt;&gt;"",'Дивиденды по годам'!U201&lt;&gt;0),'Дивиденды по годам'!N201/'Дивиденды по годам'!U201-1,""),"")</f>
        <v>3.5280831089422149E-2</v>
      </c>
      <c r="S201">
        <f>IFERROR(IF(AND('Дивиденды по годам'!L201&lt;&gt;"",'Дивиденды по годам'!I201&lt;&gt;"",'Дивиденды по годам'!J201&lt;&gt;"",'Дивиденды по годам'!K201&lt;&gt;"",('Дивиденды по годам'!I201-'Дивиденды по годам'!J201-'Дивиденды по годам'!K201)&lt;&gt;0),'Дивиденды по годам'!L201/('Дивиденды по годам'!I201-'Дивиденды по годам'!J201-'Дивиденды по годам'!K201),""),"")</f>
        <v>0.81823744107250507</v>
      </c>
      <c r="T201">
        <f>IFERROR(IF(AND('Дивиденды по годам'!Q201&lt;&gt;"",'Дивиденды по годам'!I201&lt;&gt;"",'Дивиденды по годам'!V201&lt;&gt;"",('Дивиденды по годам'!I201+'Дивиденды по годам'!V201)&lt;&gt;0),'Дивиденды по годам'!Q201/(('Дивиденды по годам'!I201+'Дивиденды по годам'!V201)/2),""),"")</f>
        <v>0.12111922120402713</v>
      </c>
      <c r="U201">
        <f>IFERROR(IF(AND('Дивиденды по годам'!J201&lt;&gt;"",'Дивиденды по годам'!K201&lt;&gt;"",'Дивиденды по годам'!M201&lt;&gt;"",'Дивиденды по годам'!M201&lt;&gt;0),('Дивиденды по годам'!J201+'Дивиденды по годам'!K201)/'Дивиденды по годам'!M201,""),"")</f>
        <v>0.89556847827907826</v>
      </c>
      <c r="V201">
        <f>IFERROR(IF(AND('Дивиденды по годам'!J201&lt;&gt;"",'Дивиденды по годам'!K201&lt;&gt;"",'Дивиденды по годам'!M201&lt;&gt;"",'Дивиденды по годам'!I201&lt;&gt;0),('Дивиденды по годам'!J201+'Дивиденды по годам'!K201)/'Дивиденды по годам'!I201,""),"")</f>
        <v>0.47245377233331831</v>
      </c>
      <c r="W201">
        <f>IFERROR('Дивиденды по годам'!I201,"")</f>
        <v>103649510000</v>
      </c>
      <c r="X201" cm="1">
        <f t="array" ref="X201">IFERROR(AVERAGE(_xlfn._xlws.FILTER(P$2:P$1073,($C$2:$C$1073=$C201)*($E$2:$E$1073=$E201)*(ROW(P$2:P$1073)&lt;&gt;ROW(P201))*(P$2:P$1073&lt;&gt;""))),"")</f>
        <v>26.139901935491608</v>
      </c>
      <c r="Y201" cm="1">
        <f t="array" ref="Y201">IFERROR(AVERAGE(_xlfn._xlws.FILTER(Q$2:Q$1073,($C$2:$C$1073=$C201)*($E$2:$E$1073=$E201)*(ROW(Q$2:Q$1073)&lt;&gt;ROW(Q201))*(Q$2:Q$1073&lt;&gt;""))),"")</f>
        <v>0.75862581263788631</v>
      </c>
      <c r="Z201" cm="1">
        <f t="array" ref="Z201">IFERROR(AVERAGE(_xlfn._xlws.FILTER(R$2:R$1073,($C$2:$C$1073=$C201)*($E$2:$E$1073=$E201)*(ROW(R$2:R$1073)&lt;&gt;ROW(R201))*(R$2:R$1073&lt;&gt;""))),"")</f>
        <v>5.144307944599124E-2</v>
      </c>
      <c r="AA201" cm="1">
        <f t="array" ref="AA201">IFERROR(AVERAGE(_xlfn._xlws.FILTER(S$2:S$1073,($C$2:$C$1073=$C201)*($E$2:$E$1073=$E201)*(ROW(S$2:S$1073)&lt;&gt;ROW(S201))*(S$2:S$1073&lt;&gt;""))),"")</f>
        <v>0.43492409896053474</v>
      </c>
      <c r="AB201" cm="1">
        <f t="array" ref="AB201">IFERROR(AVERAGE(_xlfn._xlws.FILTER(T$2:T$1073,($C$2:$C$1073=$C201)*($E$2:$E$1073=$E201)*(ROW(T$2:T$1073)&lt;&gt;ROW(T201))*(T$2:T$1073&lt;&gt;""))),"")</f>
        <v>6.4019159416935853E-2</v>
      </c>
      <c r="AC201" cm="1">
        <f t="array" ref="AC201">IFERROR(AVERAGE(_xlfn._xlws.FILTER(U$2:U$1073,($C$2:$C$1073=$C201)*($E$2:$E$1073=$E201)*(ROW(U$2:U$1073)&lt;&gt;ROW(U201))*(U$2:U$1073&lt;&gt;""))),"")</f>
        <v>0.61000115359665963</v>
      </c>
      <c r="AD201" cm="1">
        <f t="array" ref="AD201">IFERROR(AVERAGE(_xlfn._xlws.FILTER(V$2:V$1073,($C$2:$C$1073=$C201)*($E$2:$E$1073=$E201)*(ROW(V$2:V$1073)&lt;&gt;ROW(V201))*(V$2:V$1073&lt;&gt;""))),"")</f>
        <v>0.3507957111259683</v>
      </c>
      <c r="AE201">
        <f>IF('Дивиденды по годам'!M201&lt;0,1,0)</f>
        <v>0</v>
      </c>
    </row>
    <row r="202" spans="1:31" x14ac:dyDescent="0.2">
      <c r="A202" s="7" t="s">
        <v>2202</v>
      </c>
      <c r="B202" t="str">
        <f t="shared" si="33"/>
        <v>MRKP IV кв. 2017</v>
      </c>
      <c r="C202">
        <v>2017</v>
      </c>
      <c r="D202">
        <f>SUMIFS(Дивиденды!$C:$C,Дивиденды!$A:$A,A202,Дивиденды!$I:$I,C202)</f>
        <v>4.02E-2</v>
      </c>
      <c r="E202">
        <v>2</v>
      </c>
      <c r="F202">
        <f t="shared" si="34"/>
        <v>4.02E-2</v>
      </c>
      <c r="G202">
        <f t="shared" si="35"/>
        <v>6.8758833333333325E-2</v>
      </c>
      <c r="H202">
        <f t="shared" si="36"/>
        <v>1</v>
      </c>
      <c r="I202">
        <f t="shared" si="37"/>
        <v>1</v>
      </c>
      <c r="J202">
        <f t="shared" si="38"/>
        <v>2.4067796610169494</v>
      </c>
      <c r="K202">
        <f t="shared" si="43"/>
        <v>0.44118466585553778</v>
      </c>
      <c r="L202">
        <f t="shared" si="39"/>
        <v>1</v>
      </c>
      <c r="M202">
        <f t="shared" si="40"/>
        <v>0.75</v>
      </c>
      <c r="N202">
        <f t="shared" si="41"/>
        <v>0</v>
      </c>
      <c r="O202">
        <f t="shared" si="42"/>
        <v>0.25</v>
      </c>
      <c r="P202">
        <f>IFERROR(LN('Дивиденды по годам'!I202),"")</f>
        <v>25.221997215017367</v>
      </c>
      <c r="Q202">
        <f>IFERROR('Дивиденды по годам'!G202/'Дивиденды по годам'!I202, "")</f>
        <v>0.72057402618995858</v>
      </c>
      <c r="R202">
        <f>IFERROR(IF(AND('Дивиденды по годам'!N202&lt;&gt;"",'Дивиденды по годам'!U202&lt;&gt;"",'Дивиденды по годам'!U202&lt;&gt;0),'Дивиденды по годам'!N202/'Дивиденды по годам'!U202-1,""),"")</f>
        <v>0.16094835560220999</v>
      </c>
      <c r="S202">
        <f>IFERROR(IF(AND('Дивиденды по годам'!L202&lt;&gt;"",'Дивиденды по годам'!I202&lt;&gt;"",'Дивиденды по годам'!J202&lt;&gt;"",'Дивиденды по годам'!K202&lt;&gt;"",('Дивиденды по годам'!I202-'Дивиденды по годам'!J202-'Дивиденды по годам'!K202)&lt;&gt;0),'Дивиденды по годам'!L202/('Дивиденды по годам'!I202-'Дивиденды по годам'!J202-'Дивиденды по годам'!K202),""),"")</f>
        <v>0.79683640610626849</v>
      </c>
      <c r="T202">
        <f>IFERROR(IF(AND('Дивиденды по годам'!Q202&lt;&gt;"",'Дивиденды по годам'!I202&lt;&gt;"",'Дивиденды по годам'!V202&lt;&gt;"",('Дивиденды по годам'!I202+'Дивиденды по годам'!V202)&lt;&gt;0),'Дивиденды по годам'!Q202/(('Дивиденды по годам'!I202+'Дивиденды по годам'!V202)/2),""),"")</f>
        <v>0.13379631489658866</v>
      </c>
      <c r="U202">
        <f>IFERROR(IF(AND('Дивиденды по годам'!J202&lt;&gt;"",'Дивиденды по годам'!K202&lt;&gt;"",'Дивиденды по годам'!M202&lt;&gt;"",'Дивиденды по годам'!M202&lt;&gt;0),('Дивиденды по годам'!J202+'Дивиденды по годам'!K202)/'Дивиденды по годам'!M202,""),"")</f>
        <v>0.90790662274426237</v>
      </c>
      <c r="V202">
        <f>IFERROR(IF(AND('Дивиденды по годам'!J202&lt;&gt;"",'Дивиденды по годам'!K202&lt;&gt;"",'Дивиденды по годам'!M202&lt;&gt;"",'Дивиденды по годам'!I202&lt;&gt;0),('Дивиденды по годам'!J202+'Дивиденды по годам'!K202)/'Дивиденды по годам'!I202,""),"")</f>
        <v>0.47586533424699951</v>
      </c>
      <c r="W202">
        <f>IFERROR('Дивиденды по годам'!I202,"")</f>
        <v>89903006000</v>
      </c>
      <c r="X202" cm="1">
        <f t="array" ref="X202">IFERROR(AVERAGE(_xlfn._xlws.FILTER(P$2:P$1073,($C$2:$C$1073=$C202)*($E$2:$E$1073=$E202)*(ROW(P$2:P$1073)&lt;&gt;ROW(P202))*(P$2:P$1073&lt;&gt;""))),"")</f>
        <v>26.119146361921381</v>
      </c>
      <c r="Y202" cm="1">
        <f t="array" ref="Y202">IFERROR(AVERAGE(_xlfn._xlws.FILTER(Q$2:Q$1073,($C$2:$C$1073=$C202)*($E$2:$E$1073=$E202)*(ROW(Q$2:Q$1073)&lt;&gt;ROW(Q202))*(Q$2:Q$1073&lt;&gt;""))),"")</f>
        <v>0.76341115228411482</v>
      </c>
      <c r="Z202" cm="1">
        <f t="array" ref="Z202">IFERROR(AVERAGE(_xlfn._xlws.FILTER(R$2:R$1073,($C$2:$C$1073=$C202)*($E$2:$E$1073=$E202)*(ROW(R$2:R$1073)&lt;&gt;ROW(R202))*(R$2:R$1073&lt;&gt;""))),"")</f>
        <v>3.6298226988727859E-2</v>
      </c>
      <c r="AA202" cm="1">
        <f t="array" ref="AA202">IFERROR(AVERAGE(_xlfn._xlws.FILTER(S$2:S$1073,($C$2:$C$1073=$C202)*($E$2:$E$1073=$E202)*(ROW(S$2:S$1073)&lt;&gt;ROW(S202))*(S$2:S$1073&lt;&gt;""))),"")</f>
        <v>0.38910738612043877</v>
      </c>
      <c r="AB202" cm="1">
        <f t="array" ref="AB202">IFERROR(AVERAGE(_xlfn._xlws.FILTER(T$2:T$1073,($C$2:$C$1073=$C202)*($E$2:$E$1073=$E202)*(ROW(T$2:T$1073)&lt;&gt;ROW(T202))*(T$2:T$1073&lt;&gt;""))),"")</f>
        <v>7.7217830231189999E-2</v>
      </c>
      <c r="AC202" cm="1">
        <f t="array" ref="AC202">IFERROR(AVERAGE(_xlfn._xlws.FILTER(U$2:U$1073,($C$2:$C$1073=$C202)*($E$2:$E$1073=$E202)*(ROW(U$2:U$1073)&lt;&gt;ROW(U202))*(U$2:U$1073&lt;&gt;""))),"")</f>
        <v>0.60825091660980724</v>
      </c>
      <c r="AD202" cm="1">
        <f t="array" ref="AD202">IFERROR(AVERAGE(_xlfn._xlws.FILTER(V$2:V$1073,($C$2:$C$1073=$C202)*($E$2:$E$1073=$E202)*(ROW(V$2:V$1073)&lt;&gt;ROW(V202))*(V$2:V$1073&lt;&gt;""))),"")</f>
        <v>0.35152668531525971</v>
      </c>
      <c r="AE202">
        <f>IF('Дивиденды по годам'!M202&lt;0,1,0)</f>
        <v>0</v>
      </c>
    </row>
    <row r="203" spans="1:31" x14ac:dyDescent="0.2">
      <c r="A203" s="7" t="s">
        <v>2202</v>
      </c>
      <c r="B203" t="str">
        <f t="shared" si="33"/>
        <v>MRKP IV кв. 2016</v>
      </c>
      <c r="C203">
        <v>2016</v>
      </c>
      <c r="D203">
        <f>SUMIFS(Дивиденды!$C:$C,Дивиденды!$A:$A,A203,Дивиденды!$I:$I,C203)</f>
        <v>1.18E-2</v>
      </c>
      <c r="E203">
        <v>2</v>
      </c>
      <c r="F203">
        <f t="shared" si="34"/>
        <v>1.18E-2</v>
      </c>
      <c r="G203">
        <f t="shared" si="35"/>
        <v>5.6411833333333328E-2</v>
      </c>
      <c r="H203">
        <f t="shared" si="36"/>
        <v>1</v>
      </c>
      <c r="I203">
        <f t="shared" si="37"/>
        <v>1</v>
      </c>
      <c r="J203">
        <f t="shared" si="38"/>
        <v>0.41080822572931608</v>
      </c>
      <c r="K203">
        <f t="shared" si="43"/>
        <v>1.3728360189950335</v>
      </c>
      <c r="L203">
        <f t="shared" si="39"/>
        <v>1</v>
      </c>
      <c r="M203">
        <f t="shared" si="40"/>
        <v>0.83333333333333337</v>
      </c>
      <c r="N203">
        <f t="shared" si="41"/>
        <v>0</v>
      </c>
      <c r="O203">
        <f t="shared" si="42"/>
        <v>0.16666666666666666</v>
      </c>
      <c r="P203">
        <f>IFERROR(LN('Дивиденды по годам'!I203),"")</f>
        <v>25.102759666776421</v>
      </c>
      <c r="Q203">
        <f>IFERROR('Дивиденды по годам'!G203/'Дивиденды по годам'!I203, "")</f>
        <v>0.77452537689338952</v>
      </c>
      <c r="R203">
        <f>IFERROR(IF(AND('Дивиденды по годам'!N203&lt;&gt;"",'Дивиденды по годам'!U203&lt;&gt;"",'Дивиденды по годам'!U203&lt;&gt;0),'Дивиденды по годам'!N203/'Дивиденды по годам'!U203-1,""),"")</f>
        <v>0.13246401191448087</v>
      </c>
      <c r="S203">
        <f>IFERROR(IF(AND('Дивиденды по годам'!L203&lt;&gt;"",'Дивиденды по годам'!I203&lt;&gt;"",'Дивиденды по годам'!J203&lt;&gt;"",'Дивиденды по годам'!K203&lt;&gt;"",('Дивиденды по годам'!I203-'Дивиденды по годам'!J203-'Дивиденды по годам'!K203)&lt;&gt;0),'Дивиденды по годам'!L203/('Дивиденды по годам'!I203-'Дивиденды по годам'!J203-'Дивиденды по годам'!K203),""),"")</f>
        <v>0.7344296259106301</v>
      </c>
      <c r="T203">
        <f>IFERROR(IF(AND('Дивиденды по годам'!Q203&lt;&gt;"",'Дивиденды по годам'!I203&lt;&gt;"",'Дивиденды по годам'!V203&lt;&gt;"",('Дивиденды по годам'!I203+'Дивиденды по годам'!V203)&lt;&gt;0),'Дивиденды по годам'!Q203/(('Дивиденды по годам'!I203+'Дивиденды по годам'!V203)/2),""),"")</f>
        <v>4.5558205419424833E-2</v>
      </c>
      <c r="U203">
        <f>IFERROR(IF(AND('Дивиденды по годам'!J203&lt;&gt;"",'Дивиденды по годам'!K203&lt;&gt;"",'Дивиденды по годам'!M203&lt;&gt;"",'Дивиденды по годам'!M203&lt;&gt;0),('Дивиденды по годам'!J203+'Дивиденды по годам'!K203)/'Дивиденды по годам'!M203,""),"")</f>
        <v>1.1305888398741015</v>
      </c>
      <c r="V203">
        <f>IFERROR(IF(AND('Дивиденды по годам'!J203&lt;&gt;"",'Дивиденды по годам'!K203&lt;&gt;"",'Дивиденды по годам'!M203&lt;&gt;"",'Дивиденды по годам'!I203&lt;&gt;0),('Дивиденды по годам'!J203+'Дивиденды по годам'!K203)/'Дивиденды по годам'!I203,""),"")</f>
        <v>0.53064618508980321</v>
      </c>
      <c r="W203">
        <f>IFERROR('Дивиденды по годам'!I203,"")</f>
        <v>79797632000</v>
      </c>
      <c r="X203" cm="1">
        <f t="array" ref="X203">IFERROR(AVERAGE(_xlfn._xlws.FILTER(P$2:P$1073,($C$2:$C$1073=$C203)*($E$2:$E$1073=$E203)*(ROW(P$2:P$1073)&lt;&gt;ROW(P203))*(P$2:P$1073&lt;&gt;""))),"")</f>
        <v>26.083276064470905</v>
      </c>
      <c r="Y203" cm="1">
        <f t="array" ref="Y203">IFERROR(AVERAGE(_xlfn._xlws.FILTER(Q$2:Q$1073,($C$2:$C$1073=$C203)*($E$2:$E$1073=$E203)*(ROW(Q$2:Q$1073)&lt;&gt;ROW(Q203))*(Q$2:Q$1073&lt;&gt;""))),"")</f>
        <v>0.7114102653452069</v>
      </c>
      <c r="Z203" cm="1">
        <f t="array" ref="Z203">IFERROR(AVERAGE(_xlfn._xlws.FILTER(R$2:R$1073,($C$2:$C$1073=$C203)*($E$2:$E$1073=$E203)*(ROW(R$2:R$1073)&lt;&gt;ROW(R203))*(R$2:R$1073&lt;&gt;""))),"")</f>
        <v>0.11234517925503462</v>
      </c>
      <c r="AA203" cm="1">
        <f t="array" ref="AA203">IFERROR(AVERAGE(_xlfn._xlws.FILTER(S$2:S$1073,($C$2:$C$1073=$C203)*($E$2:$E$1073=$E203)*(ROW(S$2:S$1073)&lt;&gt;ROW(S203))*(S$2:S$1073&lt;&gt;""))),"")</f>
        <v>0.37929818649359354</v>
      </c>
      <c r="AB203" cm="1">
        <f t="array" ref="AB203">IFERROR(AVERAGE(_xlfn._xlws.FILTER(T$2:T$1073,($C$2:$C$1073=$C203)*($E$2:$E$1073=$E203)*(ROW(T$2:T$1073)&lt;&gt;ROW(T203))*(T$2:T$1073&lt;&gt;""))),"")</f>
        <v>4.0482530413571451E-2</v>
      </c>
      <c r="AC203" cm="1">
        <f t="array" ref="AC203">IFERROR(AVERAGE(_xlfn._xlws.FILTER(U$2:U$1073,($C$2:$C$1073=$C203)*($E$2:$E$1073=$E203)*(ROW(U$2:U$1073)&lt;&gt;ROW(U203))*(U$2:U$1073&lt;&gt;""))),"")</f>
        <v>0.69257497764285458</v>
      </c>
      <c r="AD203" cm="1">
        <f t="array" ref="AD203">IFERROR(AVERAGE(_xlfn._xlws.FILTER(V$2:V$1073,($C$2:$C$1073=$C203)*($E$2:$E$1073=$E203)*(ROW(V$2:V$1073)&lt;&gt;ROW(V203))*(V$2:V$1073&lt;&gt;""))),"")</f>
        <v>0.3828298895283116</v>
      </c>
      <c r="AE203">
        <f>IF('Дивиденды по годам'!M203&lt;0,1,0)</f>
        <v>0</v>
      </c>
    </row>
    <row r="204" spans="1:31" x14ac:dyDescent="0.2">
      <c r="A204" s="7" t="s">
        <v>2202</v>
      </c>
      <c r="B204" t="str">
        <f t="shared" si="33"/>
        <v>MRKP IV кв. 2015</v>
      </c>
      <c r="C204">
        <v>2015</v>
      </c>
      <c r="D204">
        <f>SUMIFS(Дивиденды!$C:$C,Дивиденды!$A:$A,A204,Дивиденды!$I:$I,C204)</f>
        <v>8.3639999999999999E-3</v>
      </c>
      <c r="E204">
        <v>2</v>
      </c>
      <c r="F204">
        <f t="shared" si="34"/>
        <v>8.3639999999999999E-3</v>
      </c>
      <c r="G204">
        <f t="shared" si="35"/>
        <v>4.0743083333333339E-2</v>
      </c>
      <c r="H204">
        <f t="shared" si="36"/>
        <v>1</v>
      </c>
      <c r="I204">
        <f t="shared" si="37"/>
        <v>0.91666666666666663</v>
      </c>
      <c r="J204">
        <f t="shared" si="38"/>
        <v>1.6980645161290322</v>
      </c>
      <c r="K204">
        <f t="shared" si="43"/>
        <v>4.0034710686482562</v>
      </c>
      <c r="L204">
        <f t="shared" si="39"/>
        <v>1</v>
      </c>
      <c r="M204">
        <f t="shared" si="40"/>
        <v>0.66666666666666663</v>
      </c>
      <c r="N204">
        <f t="shared" si="41"/>
        <v>0</v>
      </c>
      <c r="O204">
        <f t="shared" si="42"/>
        <v>0.33333333333333331</v>
      </c>
      <c r="P204">
        <f>IFERROR(LN('Дивиденды по годам'!I204),"")</f>
        <v>25.089817347162022</v>
      </c>
      <c r="Q204">
        <f>IFERROR('Дивиденды по годам'!G204/'Дивиденды по годам'!I204, "")</f>
        <v>0.76177436972144252</v>
      </c>
      <c r="R204">
        <f>IFERROR(IF(AND('Дивиденды по годам'!N204&lt;&gt;"",'Дивиденды по годам'!U204&lt;&gt;"",'Дивиденды по годам'!U204&lt;&gt;0),'Дивиденды по годам'!N204/'Дивиденды по годам'!U204-1,""),"")</f>
        <v>-7.9734433726306175E-3</v>
      </c>
      <c r="S204">
        <f>IFERROR(IF(AND('Дивиденды по годам'!L204&lt;&gt;"",'Дивиденды по годам'!I204&lt;&gt;"",'Дивиденды по годам'!J204&lt;&gt;"",'Дивиденды по годам'!K204&lt;&gt;"",('Дивиденды по годам'!I204-'Дивиденды по годам'!J204-'Дивиденды по годам'!K204)&lt;&gt;0),'Дивиденды по годам'!L204/('Дивиденды по годам'!I204-'Дивиденды по годам'!J204-'Дивиденды по годам'!K204),""),"")</f>
        <v>0.67497035759641399</v>
      </c>
      <c r="T204">
        <f>IFERROR(IF(AND('Дивиденды по годам'!Q204&lt;&gt;"",'Дивиденды по годам'!I204&lt;&gt;"",'Дивиденды по годам'!V204&lt;&gt;"",('Дивиденды по годам'!I204+'Дивиденды по годам'!V204)&lt;&gt;0),'Дивиденды по годам'!Q204/(('Дивиденды по годам'!I204+'Дивиденды по годам'!V204)/2),""),"")</f>
        <v>4.3508696508236848E-2</v>
      </c>
      <c r="U204">
        <f>IFERROR(IF(AND('Дивиденды по годам'!J204&lt;&gt;"",'Дивиденды по годам'!K204&lt;&gt;"",'Дивиденды по годам'!M204&lt;&gt;"",'Дивиденды по годам'!M204&lt;&gt;0),('Дивиденды по годам'!J204+'Дивиденды по годам'!K204)/'Дивиденды по годам'!M204,""),"")</f>
        <v>1.2669131204828268</v>
      </c>
      <c r="V204">
        <f>IFERROR(IF(AND('Дивиденды по годам'!J204&lt;&gt;"",'Дивиденды по годам'!K204&lt;&gt;"",'Дивиденды по годам'!M204&lt;&gt;"",'Дивиденды по годам'!I204&lt;&gt;0),('Дивиденды по годам'!J204+'Дивиденды по годам'!K204)/'Дивиденды по годам'!I204,""),"")</f>
        <v>0.55887149314879281</v>
      </c>
      <c r="W204">
        <f>IFERROR('Дивиденды по годам'!I204,"")</f>
        <v>78771520000</v>
      </c>
      <c r="X204" cm="1">
        <f t="array" ref="X204">IFERROR(AVERAGE(_xlfn._xlws.FILTER(P$2:P$1073,($C$2:$C$1073=$C204)*($E$2:$E$1073=$E204)*(ROW(P$2:P$1073)&lt;&gt;ROW(P204))*(P$2:P$1073&lt;&gt;""))),"")</f>
        <v>26.012959283988646</v>
      </c>
      <c r="Y204" cm="1">
        <f t="array" ref="Y204">IFERROR(AVERAGE(_xlfn._xlws.FILTER(Q$2:Q$1073,($C$2:$C$1073=$C204)*($E$2:$E$1073=$E204)*(ROW(Q$2:Q$1073)&lt;&gt;ROW(Q204))*(Q$2:Q$1073&lt;&gt;""))),"")</f>
        <v>0.7811438643773857</v>
      </c>
      <c r="Z204" cm="1">
        <f t="array" ref="Z204">IFERROR(AVERAGE(_xlfn._xlws.FILTER(R$2:R$1073,($C$2:$C$1073=$C204)*($E$2:$E$1073=$E204)*(ROW(R$2:R$1073)&lt;&gt;ROW(R204))*(R$2:R$1073&lt;&gt;""))),"")</f>
        <v>8.3879257907449392E-3</v>
      </c>
      <c r="AA204" cm="1">
        <f t="array" ref="AA204">IFERROR(AVERAGE(_xlfn._xlws.FILTER(S$2:S$1073,($C$2:$C$1073=$C204)*($E$2:$E$1073=$E204)*(ROW(S$2:S$1073)&lt;&gt;ROW(S204))*(S$2:S$1073&lt;&gt;""))),"")</f>
        <v>0.4623436987112009</v>
      </c>
      <c r="AB204" cm="1">
        <f t="array" ref="AB204">IFERROR(AVERAGE(_xlfn._xlws.FILTER(T$2:T$1073,($C$2:$C$1073=$C204)*($E$2:$E$1073=$E204)*(ROW(T$2:T$1073)&lt;&gt;ROW(T204))*(T$2:T$1073&lt;&gt;""))),"")</f>
        <v>-1.8598457477754099E-2</v>
      </c>
      <c r="AC204" cm="1">
        <f t="array" ref="AC204">IFERROR(AVERAGE(_xlfn._xlws.FILTER(U$2:U$1073,($C$2:$C$1073=$C204)*($E$2:$E$1073=$E204)*(ROW(U$2:U$1073)&lt;&gt;ROW(U204))*(U$2:U$1073&lt;&gt;""))),"")</f>
        <v>0.85517630828465041</v>
      </c>
      <c r="AD204" cm="1">
        <f t="array" ref="AD204">IFERROR(AVERAGE(_xlfn._xlws.FILTER(V$2:V$1073,($C$2:$C$1073=$C204)*($E$2:$E$1073=$E204)*(ROW(V$2:V$1073)&lt;&gt;ROW(V204))*(V$2:V$1073&lt;&gt;""))),"")</f>
        <v>0.42647419993515506</v>
      </c>
      <c r="AE204">
        <f>IF('Дивиденды по годам'!M204&lt;0,1,0)</f>
        <v>0</v>
      </c>
    </row>
    <row r="205" spans="1:31" x14ac:dyDescent="0.2">
      <c r="A205" s="7" t="s">
        <v>2202</v>
      </c>
      <c r="B205" t="str">
        <f t="shared" si="33"/>
        <v>MRKP IV кв. 2014</v>
      </c>
      <c r="C205">
        <v>2014</v>
      </c>
      <c r="D205">
        <f>SUMIFS(Дивиденды!$C:$C,Дивиденды!$A:$A,A205,Дивиденды!$I:$I,C205)</f>
        <v>3.0999999999999999E-3</v>
      </c>
      <c r="E205">
        <v>2</v>
      </c>
      <c r="F205">
        <f t="shared" si="34"/>
        <v>3.0999999999999999E-3</v>
      </c>
      <c r="G205">
        <f t="shared" si="35"/>
        <v>3.8709583333333332E-2</v>
      </c>
      <c r="H205">
        <f t="shared" si="36"/>
        <v>1</v>
      </c>
      <c r="I205">
        <f t="shared" si="37"/>
        <v>1</v>
      </c>
      <c r="J205">
        <f t="shared" si="38"/>
        <v>-0.44937833037300173</v>
      </c>
      <c r="K205">
        <f t="shared" si="43"/>
        <v>1.4385516758810553</v>
      </c>
      <c r="L205">
        <f t="shared" si="39"/>
        <v>0</v>
      </c>
      <c r="M205">
        <f t="shared" si="40"/>
        <v>0.66666666666666663</v>
      </c>
      <c r="N205">
        <f t="shared" si="41"/>
        <v>1</v>
      </c>
      <c r="O205">
        <f t="shared" si="42"/>
        <v>0.25</v>
      </c>
      <c r="P205">
        <f>IFERROR(LN('Дивиденды по годам'!I205),"")</f>
        <v>25.082222059426091</v>
      </c>
      <c r="Q205">
        <f>IFERROR('Дивиденды по годам'!G205/'Дивиденды по годам'!I205, "")</f>
        <v>0.74751793701489111</v>
      </c>
      <c r="R205">
        <f>IFERROR(IF(AND('Дивиденды по годам'!N205&lt;&gt;"",'Дивиденды по годам'!U205&lt;&gt;"",'Дивиденды по годам'!U205&lt;&gt;0),'Дивиденды по годам'!N205/'Дивиденды по годам'!U205-1,""),"")</f>
        <v>-0.1003266932841137</v>
      </c>
      <c r="S205" t="str">
        <f>IFERROR(IF(AND('Дивиденды по годам'!L205&lt;&gt;"",'Дивиденды по годам'!I205&lt;&gt;"",'Дивиденды по годам'!J205&lt;&gt;"",'Дивиденды по годам'!K205&lt;&gt;"",('Дивиденды по годам'!I205-'Дивиденды по годам'!J205-'Дивиденды по годам'!K205)&lt;&gt;0),'Дивиденды по годам'!L205/('Дивиденды по годам'!I205-'Дивиденды по годам'!J205-'Дивиденды по годам'!K205),""),"")</f>
        <v/>
      </c>
      <c r="T205">
        <f>IFERROR(IF(AND('Дивиденды по годам'!Q205&lt;&gt;"",'Дивиденды по годам'!I205&lt;&gt;"",'Дивиденды по годам'!V205&lt;&gt;"",('Дивиденды по годам'!I205+'Дивиденды по годам'!V205)&lt;&gt;0),'Дивиденды по годам'!Q205/(('Дивиденды по годам'!I205+'Дивиденды по годам'!V205)/2),""),"")</f>
        <v>-2.1018414136545486E-2</v>
      </c>
      <c r="U205">
        <f>IFERROR(IF(AND('Дивиденды по годам'!J205&lt;&gt;"",'Дивиденды по годам'!K205&lt;&gt;"",'Дивиденды по годам'!M205&lt;&gt;"",'Дивиденды по годам'!M205&lt;&gt;0),('Дивиденды по годам'!J205+'Дивиденды по годам'!K205)/'Дивиденды по годам'!M205,""),"")</f>
        <v>1.4240152079908184</v>
      </c>
      <c r="V205">
        <f>IFERROR(IF(AND('Дивиденды по годам'!J205&lt;&gt;"",'Дивиденды по годам'!K205&lt;&gt;"",'Дивиденды по годам'!M205&lt;&gt;"",'Дивиденды по годам'!I205&lt;&gt;0),('Дивиденды по годам'!J205+'Дивиденды по годам'!K205)/'Дивиденды по годам'!I205,""),"")</f>
        <v>0.58746133411066137</v>
      </c>
      <c r="W205">
        <f>IFERROR('Дивиденды по годам'!I205,"")</f>
        <v>78175494000</v>
      </c>
      <c r="X205" cm="1">
        <f t="array" ref="X205">IFERROR(AVERAGE(_xlfn._xlws.FILTER(P$2:P$1073,($C$2:$C$1073=$C205)*($E$2:$E$1073=$E205)*(ROW(P$2:P$1073)&lt;&gt;ROW(P205))*(P$2:P$1073&lt;&gt;""))),"")</f>
        <v>26.270376090040809</v>
      </c>
      <c r="Y205" cm="1">
        <f t="array" ref="Y205">IFERROR(AVERAGE(_xlfn._xlws.FILTER(Q$2:Q$1073,($C$2:$C$1073=$C205)*($E$2:$E$1073=$E205)*(ROW(Q$2:Q$1073)&lt;&gt;ROW(Q205))*(Q$2:Q$1073&lt;&gt;""))),"")</f>
        <v>0.77388004060160398</v>
      </c>
      <c r="Z205" cm="1">
        <f t="array" ref="Z205">IFERROR(AVERAGE(_xlfn._xlws.FILTER(R$2:R$1073,($C$2:$C$1073=$C205)*($E$2:$E$1073=$E205)*(ROW(R$2:R$1073)&lt;&gt;ROW(R205))*(R$2:R$1073&lt;&gt;""))),"")</f>
        <v>3.6382238752176686E-2</v>
      </c>
      <c r="AA205" cm="1">
        <f t="array" ref="AA205">IFERROR(AVERAGE(_xlfn._xlws.FILTER(S$2:S$1073,($C$2:$C$1073=$C205)*($E$2:$E$1073=$E205)*(ROW(S$2:S$1073)&lt;&gt;ROW(S205))*(S$2:S$1073&lt;&gt;""))),"")</f>
        <v>0.60466035791128681</v>
      </c>
      <c r="AB205" cm="1">
        <f t="array" ref="AB205">IFERROR(AVERAGE(_xlfn._xlws.FILTER(T$2:T$1073,($C$2:$C$1073=$C205)*($E$2:$E$1073=$E205)*(ROW(T$2:T$1073)&lt;&gt;ROW(T205))*(T$2:T$1073&lt;&gt;""))),"")</f>
        <v>2.3020198553641198E-2</v>
      </c>
      <c r="AC205" cm="1">
        <f t="array" ref="AC205">IFERROR(AVERAGE(_xlfn._xlws.FILTER(U$2:U$1073,($C$2:$C$1073=$C205)*($E$2:$E$1073=$E205)*(ROW(U$2:U$1073)&lt;&gt;ROW(U205))*(U$2:U$1073&lt;&gt;""))),"")</f>
        <v>0.68675821749477428</v>
      </c>
      <c r="AD205" cm="1">
        <f t="array" ref="AD205">IFERROR(AVERAGE(_xlfn._xlws.FILTER(V$2:V$1073,($C$2:$C$1073=$C205)*($E$2:$E$1073=$E205)*(ROW(V$2:V$1073)&lt;&gt;ROW(V205))*(V$2:V$1073&lt;&gt;""))),"")</f>
        <v>0.38517512634885687</v>
      </c>
      <c r="AE205">
        <f>IF('Дивиденды по годам'!M205&lt;0,1,0)</f>
        <v>0</v>
      </c>
    </row>
    <row r="206" spans="1:31" x14ac:dyDescent="0.2">
      <c r="A206" s="7" t="s">
        <v>2202</v>
      </c>
      <c r="B206" t="str">
        <f t="shared" si="33"/>
        <v>MRKP IV кв. 2013</v>
      </c>
      <c r="C206">
        <v>2013</v>
      </c>
      <c r="D206">
        <f>SUMIFS(Дивиденды!$C:$C,Дивиденды!$A:$A,A206,Дивиденды!$I:$I,C206)</f>
        <v>5.6299999999999996E-3</v>
      </c>
      <c r="E206">
        <v>2</v>
      </c>
      <c r="F206">
        <f t="shared" si="34"/>
        <v>5.6299999999999996E-3</v>
      </c>
      <c r="G206">
        <f t="shared" si="35"/>
        <v>4.5973916666666663E-2</v>
      </c>
      <c r="H206">
        <f t="shared" si="36"/>
        <v>1</v>
      </c>
      <c r="I206">
        <f t="shared" si="37"/>
        <v>0.75</v>
      </c>
      <c r="J206">
        <f t="shared" si="38"/>
        <v>0.32470588235294101</v>
      </c>
      <c r="K206">
        <f t="shared" si="43"/>
        <v>-1.4105969110735037E-2</v>
      </c>
      <c r="L206">
        <f t="shared" si="39"/>
        <v>1</v>
      </c>
      <c r="M206">
        <f t="shared" si="40"/>
        <v>0.41666666666666669</v>
      </c>
      <c r="N206">
        <f t="shared" si="41"/>
        <v>0</v>
      </c>
      <c r="O206">
        <f t="shared" si="42"/>
        <v>0.33333333333333331</v>
      </c>
      <c r="P206">
        <f>IFERROR(LN('Дивиденды по годам'!I206),"")</f>
        <v>25.065638713716666</v>
      </c>
      <c r="Q206">
        <f>IFERROR('Дивиденды по годам'!G206/'Дивиденды по годам'!I206, "")</f>
        <v>0.77766443659548845</v>
      </c>
      <c r="R206">
        <f>IFERROR(IF(AND('Дивиденды по годам'!N206&lt;&gt;"",'Дивиденды по годам'!U206&lt;&gt;"",'Дивиденды по годам'!U206&lt;&gt;0),'Дивиденды по годам'!N206/'Дивиденды по годам'!U206-1,""),"")</f>
        <v>0.29081649178190117</v>
      </c>
      <c r="S206" t="str">
        <f>IFERROR(IF(AND('Дивиденды по годам'!L206&lt;&gt;"",'Дивиденды по годам'!I206&lt;&gt;"",'Дивиденды по годам'!J206&lt;&gt;"",'Дивиденды по годам'!K206&lt;&gt;"",('Дивиденды по годам'!I206-'Дивиденды по годам'!J206-'Дивиденды по годам'!K206)&lt;&gt;0),'Дивиденды по годам'!L206/('Дивиденды по годам'!I206-'Дивиденды по годам'!J206-'Дивиденды по годам'!K206),""),"")</f>
        <v/>
      </c>
      <c r="T206">
        <f>IFERROR(IF(AND('Дивиденды по годам'!Q206&lt;&gt;"",'Дивиденды по годам'!I206&lt;&gt;"",'Дивиденды по годам'!V206&lt;&gt;"",('Дивиденды по годам'!I206+'Дивиденды по годам'!V206)&lt;&gt;0),'Дивиденды по годам'!Q206/(('Дивиденды по годам'!I206+'Дивиденды по годам'!V206)/2),""),"")</f>
        <v>2.3322867968613731E-2</v>
      </c>
      <c r="U206">
        <f>IFERROR(IF(AND('Дивиденды по годам'!J206&lt;&gt;"",'Дивиденды по годам'!K206&lt;&gt;"",'Дивиденды по годам'!M206&lt;&gt;"",'Дивиденды по годам'!M206&lt;&gt;0),('Дивиденды по годам'!J206+'Дивиденды по годам'!K206)/'Дивиденды по годам'!M206,""),"")</f>
        <v>1.2315378731172668</v>
      </c>
      <c r="V206">
        <f>IFERROR(IF(AND('Дивиденды по годам'!J206&lt;&gt;"",'Дивиденды по годам'!K206&lt;&gt;"",'Дивиденды по годам'!M206&lt;&gt;"",'Дивиденды по годам'!I206&lt;&gt;0),('Дивиденды по годам'!J206+'Дивиденды по годам'!K206)/'Дивиденды по годам'!I206,""),"")</f>
        <v>0.55187854436766248</v>
      </c>
      <c r="W206">
        <f>IFERROR('Дивиденды по годам'!I206,"")</f>
        <v>76889773000</v>
      </c>
      <c r="X206" cm="1">
        <f t="array" ref="X206">IFERROR(AVERAGE(_xlfn._xlws.FILTER(P$2:P$1073,($C$2:$C$1073=$C206)*($E$2:$E$1073=$E206)*(ROW(P$2:P$1073)&lt;&gt;ROW(P206))*(P$2:P$1073&lt;&gt;""))),"")</f>
        <v>26.212199759943918</v>
      </c>
      <c r="Y206" cm="1">
        <f t="array" ref="Y206">IFERROR(AVERAGE(_xlfn._xlws.FILTER(Q$2:Q$1073,($C$2:$C$1073=$C206)*($E$2:$E$1073=$E206)*(ROW(Q$2:Q$1073)&lt;&gt;ROW(Q206))*(Q$2:Q$1073&lt;&gt;""))),"")</f>
        <v>0.78336616893903721</v>
      </c>
      <c r="Z206" cm="1">
        <f t="array" ref="Z206">IFERROR(AVERAGE(_xlfn._xlws.FILTER(R$2:R$1073,($C$2:$C$1073=$C206)*($E$2:$E$1073=$E206)*(ROW(R$2:R$1073)&lt;&gt;ROW(R206))*(R$2:R$1073&lt;&gt;""))),"")</f>
        <v>7.6337158545996583E-2</v>
      </c>
      <c r="AA206" cm="1">
        <f t="array" ref="AA206">IFERROR(AVERAGE(_xlfn._xlws.FILTER(S$2:S$1073,($C$2:$C$1073=$C206)*($E$2:$E$1073=$E206)*(ROW(S$2:S$1073)&lt;&gt;ROW(S206))*(S$2:S$1073&lt;&gt;""))),"")</f>
        <v>0.4636519590056305</v>
      </c>
      <c r="AB206" cm="1">
        <f t="array" ref="AB206">IFERROR(AVERAGE(_xlfn._xlws.FILTER(T$2:T$1073,($C$2:$C$1073=$C206)*($E$2:$E$1073=$E206)*(ROW(T$2:T$1073)&lt;&gt;ROW(T206))*(T$2:T$1073&lt;&gt;""))),"")</f>
        <v>-8.016713251174333E-3</v>
      </c>
      <c r="AC206" cm="1">
        <f t="array" ref="AC206">IFERROR(AVERAGE(_xlfn._xlws.FILTER(U$2:U$1073,($C$2:$C$1073=$C206)*($E$2:$E$1073=$E206)*(ROW(U$2:U$1073)&lt;&gt;ROW(U206))*(U$2:U$1073&lt;&gt;""))),"")</f>
        <v>0.62173868916152775</v>
      </c>
      <c r="AD206" cm="1">
        <f t="array" ref="AD206">IFERROR(AVERAGE(_xlfn._xlws.FILTER(V$2:V$1073,($C$2:$C$1073=$C206)*($E$2:$E$1073=$E206)*(ROW(V$2:V$1073)&lt;&gt;ROW(V206))*(V$2:V$1073&lt;&gt;""))),"")</f>
        <v>0.36013149029188651</v>
      </c>
      <c r="AE206">
        <f>IF('Дивиденды по годам'!M206&lt;0,1,0)</f>
        <v>0</v>
      </c>
    </row>
    <row r="207" spans="1:31" x14ac:dyDescent="0.2">
      <c r="A207" s="7" t="s">
        <v>2202</v>
      </c>
      <c r="B207" t="str">
        <f t="shared" si="33"/>
        <v>MRKP IV кв. 2012</v>
      </c>
      <c r="C207">
        <v>2012</v>
      </c>
      <c r="D207">
        <f>SUMIFS(Дивиденды!$C:$C,Дивиденды!$A:$A,A207,Дивиденды!$I:$I,C207)</f>
        <v>4.2500000000000003E-3</v>
      </c>
      <c r="E207">
        <v>2</v>
      </c>
      <c r="F207">
        <f t="shared" si="34"/>
        <v>4.2500000000000003E-3</v>
      </c>
      <c r="G207">
        <f t="shared" si="35"/>
        <v>3.6808166666666663E-2</v>
      </c>
      <c r="H207">
        <f t="shared" si="36"/>
        <v>1</v>
      </c>
      <c r="I207">
        <f t="shared" si="37"/>
        <v>0.66666666666666663</v>
      </c>
      <c r="J207">
        <f t="shared" si="38"/>
        <v>0.51785714285714302</v>
      </c>
      <c r="K207">
        <f t="shared" si="43"/>
        <v>0.69764728110207042</v>
      </c>
      <c r="L207">
        <f t="shared" si="39"/>
        <v>1</v>
      </c>
      <c r="M207">
        <f t="shared" si="40"/>
        <v>0.5</v>
      </c>
      <c r="N207">
        <f t="shared" si="41"/>
        <v>0</v>
      </c>
      <c r="O207">
        <f t="shared" si="42"/>
        <v>0.16666666666666666</v>
      </c>
      <c r="P207">
        <f>IFERROR(LN('Дивиденды по годам'!I207),"")</f>
        <v>25.017951472129315</v>
      </c>
      <c r="Q207">
        <f>IFERROR('Дивиденды по годам'!G207/'Дивиденды по годам'!I207, "")</f>
        <v>0.79114738245893268</v>
      </c>
      <c r="R207" t="str">
        <f>IFERROR(IF(AND('Дивиденды по годам'!N207&lt;&gt;"",'Дивиденды по годам'!U207&lt;&gt;"",'Дивиденды по годам'!U207&lt;&gt;0),'Дивиденды по годам'!N207/'Дивиденды по годам'!U207-1,""),"")</f>
        <v/>
      </c>
      <c r="S207" t="str">
        <f>IFERROR(IF(AND('Дивиденды по годам'!L207&lt;&gt;"",'Дивиденды по годам'!I207&lt;&gt;"",'Дивиденды по годам'!J207&lt;&gt;"",'Дивиденды по годам'!K207&lt;&gt;"",('Дивиденды по годам'!I207-'Дивиденды по годам'!J207-'Дивиденды по годам'!K207)&lt;&gt;0),'Дивиденды по годам'!L207/('Дивиденды по годам'!I207-'Дивиденды по годам'!J207-'Дивиденды по годам'!K207),""),"")</f>
        <v/>
      </c>
      <c r="T207" t="str">
        <f>IFERROR(IF(AND('Дивиденды по годам'!Q207&lt;&gt;"",'Дивиденды по годам'!I207&lt;&gt;"",'Дивиденды по годам'!V207&lt;&gt;"",('Дивиденды по годам'!I207+'Дивиденды по годам'!V207)&lt;&gt;0),'Дивиденды по годам'!Q207/(('Дивиденды по годам'!I207+'Дивиденды по годам'!V207)/2),""),"")</f>
        <v/>
      </c>
      <c r="U207">
        <f>IFERROR(IF(AND('Дивиденды по годам'!J207&lt;&gt;"",'Дивиденды по годам'!K207&lt;&gt;"",'Дивиденды по годам'!M207&lt;&gt;"",'Дивиденды по годам'!M207&lt;&gt;0),('Дивиденды по годам'!J207+'Дивиденды по годам'!K207)/'Дивиденды по годам'!M207,""),"")</f>
        <v>1.1338914076461888</v>
      </c>
      <c r="V207">
        <f>IFERROR(IF(AND('Дивиденды по годам'!J207&lt;&gt;"",'Дивиденды по годам'!K207&lt;&gt;"",'Дивиденды по годам'!M207&lt;&gt;"",'Дивиденды по годам'!I207&lt;&gt;0),('Дивиденды по годам'!J207+'Дивиденды по годам'!K207)/'Дивиденды по годам'!I207,""),"")</f>
        <v>0.53137259168072637</v>
      </c>
      <c r="W207">
        <f>IFERROR('Дивиденды по годам'!I207,"")</f>
        <v>73309165000</v>
      </c>
      <c r="X207" cm="1">
        <f t="array" ref="X207">IFERROR(AVERAGE(_xlfn._xlws.FILTER(P$2:P$1073,($C$2:$C$1073=$C207)*($E$2:$E$1073=$E207)*(ROW(P$2:P$1073)&lt;&gt;ROW(P207))*(P$2:P$1073&lt;&gt;""))),"")</f>
        <v>26.213080986091434</v>
      </c>
      <c r="Y207" cm="1">
        <f t="array" ref="Y207">IFERROR(AVERAGE(_xlfn._xlws.FILTER(Q$2:Q$1073,($C$2:$C$1073=$C207)*($E$2:$E$1073=$E207)*(ROW(Q$2:Q$1073)&lt;&gt;ROW(Q207))*(Q$2:Q$1073&lt;&gt;""))),"")</f>
        <v>0.77636258113558176</v>
      </c>
      <c r="Z207" cm="1">
        <f t="array" ref="Z207">IFERROR(AVERAGE(_xlfn._xlws.FILTER(R$2:R$1073,($C$2:$C$1073=$C207)*($E$2:$E$1073=$E207)*(ROW(R$2:R$1073)&lt;&gt;ROW(R207))*(R$2:R$1073&lt;&gt;""))),"")</f>
        <v>-1.5857961955003351E-2</v>
      </c>
      <c r="AA207" cm="1">
        <f t="array" ref="AA207">IFERROR(AVERAGE(_xlfn._xlws.FILTER(S$2:S$1073,($C$2:$C$1073=$C207)*($E$2:$E$1073=$E207)*(ROW(S$2:S$1073)&lt;&gt;ROW(S207))*(S$2:S$1073&lt;&gt;""))),"")</f>
        <v>0.44715527647269881</v>
      </c>
      <c r="AB207" cm="1">
        <f t="array" ref="AB207">IFERROR(AVERAGE(_xlfn._xlws.FILTER(T$2:T$1073,($C$2:$C$1073=$C207)*($E$2:$E$1073=$E207)*(ROW(T$2:T$1073)&lt;&gt;ROW(T207))*(T$2:T$1073&lt;&gt;""))),"")</f>
        <v>1.9505350639917447E-2</v>
      </c>
      <c r="AC207" cm="1">
        <f t="array" ref="AC207">IFERROR(AVERAGE(_xlfn._xlws.FILTER(U$2:U$1073,($C$2:$C$1073=$C207)*($E$2:$E$1073=$E207)*(ROW(U$2:U$1073)&lt;&gt;ROW(U207))*(U$2:U$1073&lt;&gt;""))),"")</f>
        <v>0.60309052650909423</v>
      </c>
      <c r="AD207" cm="1">
        <f t="array" ref="AD207">IFERROR(AVERAGE(_xlfn._xlws.FILTER(V$2:V$1073,($C$2:$C$1073=$C207)*($E$2:$E$1073=$E207)*(ROW(V$2:V$1073)&lt;&gt;ROW(V207))*(V$2:V$1073&lt;&gt;""))),"")</f>
        <v>0.36287997897989416</v>
      </c>
      <c r="AE207">
        <f>IF('Дивиденды по годам'!M207&lt;0,1,0)</f>
        <v>0</v>
      </c>
    </row>
    <row r="208" spans="1:31" x14ac:dyDescent="0.2">
      <c r="A208" s="7" t="s">
        <v>2202</v>
      </c>
      <c r="B208" t="str">
        <f t="shared" si="33"/>
        <v>MRKP IV кв. 2011</v>
      </c>
      <c r="C208">
        <v>2011</v>
      </c>
      <c r="D208">
        <f>SUMIFS(Дивиденды!$C:$C,Дивиденды!$A:$A,A208,Дивиденды!$I:$I,C208)</f>
        <v>2.8E-3</v>
      </c>
      <c r="E208">
        <v>2</v>
      </c>
      <c r="F208">
        <f t="shared" si="34"/>
        <v>2.8E-3</v>
      </c>
      <c r="G208">
        <f t="shared" si="35"/>
        <v>1.1313416666666666E-2</v>
      </c>
      <c r="H208">
        <f t="shared" si="36"/>
        <v>1</v>
      </c>
      <c r="I208">
        <f t="shared" si="37"/>
        <v>0.75</v>
      </c>
      <c r="J208">
        <f t="shared" si="38"/>
        <v>1.2382094324540369</v>
      </c>
      <c r="K208">
        <f t="shared" si="43"/>
        <v>-5.2413869435042316E-2</v>
      </c>
      <c r="L208">
        <f t="shared" si="39"/>
        <v>1</v>
      </c>
      <c r="M208">
        <f t="shared" si="40"/>
        <v>0.41666666666666669</v>
      </c>
      <c r="N208">
        <f t="shared" si="41"/>
        <v>0</v>
      </c>
      <c r="O208">
        <f t="shared" si="42"/>
        <v>0.41666666666666669</v>
      </c>
      <c r="P208" t="str">
        <f>IFERROR(LN('Дивиденды по годам'!I208),"")</f>
        <v/>
      </c>
      <c r="Q208" t="str">
        <f>IFERROR('Дивиденды по годам'!G208/'Дивиденды по годам'!I208, "")</f>
        <v/>
      </c>
      <c r="R208" t="str">
        <f>IFERROR(IF(AND('Дивиденды по годам'!N208&lt;&gt;"",'Дивиденды по годам'!U208&lt;&gt;"",'Дивиденды по годам'!U208&lt;&gt;0),'Дивиденды по годам'!N208/'Дивиденды по годам'!U208-1,""),"")</f>
        <v/>
      </c>
      <c r="S208" t="str">
        <f>IFERROR(IF(AND('Дивиденды по годам'!L208&lt;&gt;"",'Дивиденды по годам'!I208&lt;&gt;"",'Дивиденды по годам'!J208&lt;&gt;"",'Дивиденды по годам'!K208&lt;&gt;"",('Дивиденды по годам'!I208-'Дивиденды по годам'!J208-'Дивиденды по годам'!K208)&lt;&gt;0),'Дивиденды по годам'!L208/('Дивиденды по годам'!I208-'Дивиденды по годам'!J208-'Дивиденды по годам'!K208),""),"")</f>
        <v/>
      </c>
      <c r="T208" t="str">
        <f>IFERROR(IF(AND('Дивиденды по годам'!Q208&lt;&gt;"",'Дивиденды по годам'!I208&lt;&gt;"",'Дивиденды по годам'!V208&lt;&gt;"",('Дивиденды по годам'!I208+'Дивиденды по годам'!V208)&lt;&gt;0),'Дивиденды по годам'!Q208/(('Дивиденды по годам'!I208+'Дивиденды по годам'!V208)/2),""),"")</f>
        <v/>
      </c>
      <c r="U208" t="str">
        <f>IFERROR(IF(AND('Дивиденды по годам'!J208&lt;&gt;"",'Дивиденды по годам'!K208&lt;&gt;"",'Дивиденды по годам'!M208&lt;&gt;"",'Дивиденды по годам'!M208&lt;&gt;0),('Дивиденды по годам'!J208+'Дивиденды по годам'!K208)/'Дивиденды по годам'!M208,""),"")</f>
        <v/>
      </c>
      <c r="V208" t="str">
        <f>IFERROR(IF(AND('Дивиденды по годам'!J208&lt;&gt;"",'Дивиденды по годам'!K208&lt;&gt;"",'Дивиденды по годам'!M208&lt;&gt;"",'Дивиденды по годам'!I208&lt;&gt;0),('Дивиденды по годам'!J208+'Дивиденды по годам'!K208)/'Дивиденды по годам'!I208,""),"")</f>
        <v/>
      </c>
      <c r="W208" t="str">
        <f>IFERROR('Дивиденды по годам'!I208,"")</f>
        <v/>
      </c>
      <c r="X208" cm="1">
        <f t="array" ref="X208">IFERROR(AVERAGE(_xlfn._xlws.FILTER(P$2:P$1073,($C$2:$C$1073=$C208)*($E$2:$E$1073=$E208)*(ROW(P$2:P$1073)&lt;&gt;ROW(P208))*(P$2:P$1073&lt;&gt;""))),"")</f>
        <v>26.145009282501285</v>
      </c>
      <c r="Y208" cm="1">
        <f t="array" ref="Y208">IFERROR(AVERAGE(_xlfn._xlws.FILTER(Q$2:Q$1073,($C$2:$C$1073=$C208)*($E$2:$E$1073=$E208)*(ROW(Q$2:Q$1073)&lt;&gt;ROW(Q208))*(Q$2:Q$1073&lt;&gt;""))),"")</f>
        <v>0.76664474584196163</v>
      </c>
      <c r="Z208" cm="1">
        <f t="array" ref="Z208">IFERROR(AVERAGE(_xlfn._xlws.FILTER(R$2:R$1073,($C$2:$C$1073=$C208)*($E$2:$E$1073=$E208)*(ROW(R$2:R$1073)&lt;&gt;ROW(R208))*(R$2:R$1073&lt;&gt;""))),"")</f>
        <v>0.14348983045887875</v>
      </c>
      <c r="AA208" cm="1">
        <f t="array" ref="AA208">IFERROR(AVERAGE(_xlfn._xlws.FILTER(S$2:S$1073,($C$2:$C$1073=$C208)*($E$2:$E$1073=$E208)*(ROW(S$2:S$1073)&lt;&gt;ROW(S208))*(S$2:S$1073&lt;&gt;""))),"")</f>
        <v>0.39850050246333968</v>
      </c>
      <c r="AB208" cm="1">
        <f t="array" ref="AB208">IFERROR(AVERAGE(_xlfn._xlws.FILTER(T$2:T$1073,($C$2:$C$1073=$C208)*($E$2:$E$1073=$E208)*(ROW(T$2:T$1073)&lt;&gt;ROW(T208))*(T$2:T$1073&lt;&gt;""))),"")</f>
        <v>4.5214358774442007E-2</v>
      </c>
      <c r="AC208" cm="1">
        <f t="array" ref="AC208">IFERROR(AVERAGE(_xlfn._xlws.FILTER(U$2:U$1073,($C$2:$C$1073=$C208)*($E$2:$E$1073=$E208)*(ROW(U$2:U$1073)&lt;&gt;ROW(U208))*(U$2:U$1073&lt;&gt;""))),"")</f>
        <v>0.59470561642359621</v>
      </c>
      <c r="AD208" cm="1">
        <f t="array" ref="AD208">IFERROR(AVERAGE(_xlfn._xlws.FILTER(V$2:V$1073,($C$2:$C$1073=$C208)*($E$2:$E$1073=$E208)*(ROW(V$2:V$1073)&lt;&gt;ROW(V208))*(V$2:V$1073&lt;&gt;""))),"")</f>
        <v>0.35832233785091483</v>
      </c>
      <c r="AE208">
        <f>IF('Дивиденды по годам'!M208&lt;0,1,0)</f>
        <v>0</v>
      </c>
    </row>
    <row r="209" spans="1:31" x14ac:dyDescent="0.2">
      <c r="A209" s="7" t="s">
        <v>2202</v>
      </c>
      <c r="B209" t="str">
        <f t="shared" si="33"/>
        <v>MRKP IV кв. 2010</v>
      </c>
      <c r="C209">
        <v>2010</v>
      </c>
      <c r="D209">
        <f>SUMIFS(Дивиденды!$C:$C,Дивиденды!$A:$A,A209,Дивиденды!$I:$I,C209)</f>
        <v>1.2509999999999999E-3</v>
      </c>
      <c r="E209">
        <v>2</v>
      </c>
      <c r="F209">
        <f t="shared" si="34"/>
        <v>1.2509999999999999E-3</v>
      </c>
      <c r="G209">
        <f t="shared" si="35"/>
        <v>6.4575833333333334E-3</v>
      </c>
      <c r="H209">
        <f t="shared" si="36"/>
        <v>1</v>
      </c>
      <c r="I209">
        <f t="shared" si="37"/>
        <v>0.75</v>
      </c>
      <c r="J209" t="str">
        <f t="shared" si="38"/>
        <v/>
      </c>
      <c r="K209" t="str">
        <f t="shared" si="43"/>
        <v/>
      </c>
      <c r="L209" t="str">
        <f t="shared" si="39"/>
        <v/>
      </c>
      <c r="M209" t="str">
        <f t="shared" si="40"/>
        <v/>
      </c>
      <c r="N209" t="str">
        <f t="shared" si="41"/>
        <v/>
      </c>
      <c r="O209" t="str">
        <f t="shared" si="42"/>
        <v/>
      </c>
      <c r="P209">
        <f>IFERROR(LN('Дивиденды по годам'!I209),"")</f>
        <v>24.730948088520865</v>
      </c>
      <c r="Q209">
        <f>IFERROR('Дивиденды по годам'!G209/'Дивиденды по годам'!I209, "")</f>
        <v>0.82035195639515091</v>
      </c>
      <c r="R209" t="str">
        <f>IFERROR(IF(AND('Дивиденды по годам'!N209&lt;&gt;"",'Дивиденды по годам'!U209&lt;&gt;"",'Дивиденды по годам'!U209&lt;&gt;0),'Дивиденды по годам'!N209/'Дивиденды по годам'!U209-1,""),"")</f>
        <v/>
      </c>
      <c r="S209" t="str">
        <f>IFERROR(IF(AND('Дивиденды по годам'!L209&lt;&gt;"",'Дивиденды по годам'!I209&lt;&gt;"",'Дивиденды по годам'!J209&lt;&gt;"",'Дивиденды по годам'!K209&lt;&gt;"",('Дивиденды по годам'!I209-'Дивиденды по годам'!J209-'Дивиденды по годам'!K209)&lt;&gt;0),'Дивиденды по годам'!L209/('Дивиденды по годам'!I209-'Дивиденды по годам'!J209-'Дивиденды по годам'!K209),""),"")</f>
        <v/>
      </c>
      <c r="T209" t="str">
        <f>IFERROR(IF(AND('Дивиденды по годам'!Q209&lt;&gt;"",'Дивиденды по годам'!I209&lt;&gt;"",'Дивиденды по годам'!V209&lt;&gt;"",('Дивиденды по годам'!I209+'Дивиденды по годам'!V209)&lt;&gt;0),'Дивиденды по годам'!Q209/(('Дивиденды по годам'!I209+'Дивиденды по годам'!V209)/2),""),"")</f>
        <v/>
      </c>
      <c r="U209">
        <f>IFERROR(IF(AND('Дивиденды по годам'!J209&lt;&gt;"",'Дивиденды по годам'!K209&lt;&gt;"",'Дивиденды по годам'!M209&lt;&gt;"",'Дивиденды по годам'!M209&lt;&gt;0),('Дивиденды по годам'!J209+'Дивиденды по годам'!K209)/'Дивиденды по годам'!M209,""),"")</f>
        <v>0.91314375247969903</v>
      </c>
      <c r="V209">
        <f>IFERROR(IF(AND('Дивиденды по годам'!J209&lt;&gt;"",'Дивиденды по годам'!K209&lt;&gt;"",'Дивиденды по годам'!M209&lt;&gt;"",'Дивиденды по годам'!I209&lt;&gt;0),('Дивиденды по годам'!J209+'Дивиденды по годам'!K209)/'Дивиденды по годам'!I209,""),"")</f>
        <v>0.47730012514539921</v>
      </c>
      <c r="W209">
        <f>IFERROR('Дивиденды по годам'!I209,"")</f>
        <v>55019202000</v>
      </c>
      <c r="X209" t="str" cm="1">
        <f t="array" ref="X209">IFERROR(AVERAGE(_xlfn._xlws.FILTER(P$2:P$1073,($C$2:$C$1073=$C209)*($E$2:$E$1073=$E209)*(ROW(P$2:P$1073)&lt;&gt;ROW(P209))*(P$2:P$1073&lt;&gt;""))),"")</f>
        <v/>
      </c>
      <c r="Y209" t="str" cm="1">
        <f t="array" ref="Y209">IFERROR(AVERAGE(_xlfn._xlws.FILTER(Q$2:Q$1073,($C$2:$C$1073=$C209)*($E$2:$E$1073=$E209)*(ROW(Q$2:Q$1073)&lt;&gt;ROW(Q209))*(Q$2:Q$1073&lt;&gt;""))),"")</f>
        <v/>
      </c>
      <c r="Z209" t="str" cm="1">
        <f t="array" ref="Z209">IFERROR(AVERAGE(_xlfn._xlws.FILTER(R$2:R$1073,($C$2:$C$1073=$C209)*($E$2:$E$1073=$E209)*(ROW(R$2:R$1073)&lt;&gt;ROW(R209))*(R$2:R$1073&lt;&gt;""))),"")</f>
        <v/>
      </c>
      <c r="AA209" t="str" cm="1">
        <f t="array" ref="AA209">IFERROR(AVERAGE(_xlfn._xlws.FILTER(S$2:S$1073,($C$2:$C$1073=$C209)*($E$2:$E$1073=$E209)*(ROW(S$2:S$1073)&lt;&gt;ROW(S209))*(S$2:S$1073&lt;&gt;""))),"")</f>
        <v/>
      </c>
      <c r="AB209" t="str" cm="1">
        <f t="array" ref="AB209">IFERROR(AVERAGE(_xlfn._xlws.FILTER(T$2:T$1073,($C$2:$C$1073=$C209)*($E$2:$E$1073=$E209)*(ROW(T$2:T$1073)&lt;&gt;ROW(T209))*(T$2:T$1073&lt;&gt;""))),"")</f>
        <v/>
      </c>
      <c r="AC209" t="str" cm="1">
        <f t="array" ref="AC209">IFERROR(AVERAGE(_xlfn._xlws.FILTER(U$2:U$1073,($C$2:$C$1073=$C209)*($E$2:$E$1073=$E209)*(ROW(U$2:U$1073)&lt;&gt;ROW(U209))*(U$2:U$1073&lt;&gt;""))),"")</f>
        <v/>
      </c>
      <c r="AD209" t="str" cm="1">
        <f t="array" ref="AD209">IFERROR(AVERAGE(_xlfn._xlws.FILTER(V$2:V$1073,($C$2:$C$1073=$C209)*($E$2:$E$1073=$E209)*(ROW(V$2:V$1073)&lt;&gt;ROW(V209))*(V$2:V$1073&lt;&gt;""))),"")</f>
        <v/>
      </c>
      <c r="AE209">
        <f>IF('Дивиденды по годам'!M209&lt;0,1,0)</f>
        <v>0</v>
      </c>
    </row>
    <row r="210" spans="1:31" x14ac:dyDescent="0.2">
      <c r="A210" s="7" t="s">
        <v>2204</v>
      </c>
      <c r="B210" t="str">
        <f t="shared" si="33"/>
        <v>MRKU IV кв. 2025</v>
      </c>
      <c r="C210">
        <v>2025</v>
      </c>
      <c r="D210">
        <f>SUMIFS(Дивиденды!$C:$C,Дивиденды!$A:$A,A210,Дивиденды!$I:$I,C210)</f>
        <v>0</v>
      </c>
      <c r="E210">
        <v>2</v>
      </c>
      <c r="F210">
        <f t="shared" si="34"/>
        <v>0</v>
      </c>
      <c r="G210">
        <f t="shared" si="35"/>
        <v>0</v>
      </c>
      <c r="H210">
        <f t="shared" si="36"/>
        <v>0</v>
      </c>
      <c r="I210">
        <f t="shared" si="37"/>
        <v>0</v>
      </c>
      <c r="J210">
        <f t="shared" si="38"/>
        <v>-1</v>
      </c>
      <c r="K210">
        <f t="shared" si="43"/>
        <v>-0.5</v>
      </c>
      <c r="L210">
        <f t="shared" si="39"/>
        <v>0</v>
      </c>
      <c r="M210">
        <f t="shared" si="40"/>
        <v>0</v>
      </c>
      <c r="N210">
        <f t="shared" si="41"/>
        <v>1</v>
      </c>
      <c r="O210">
        <f t="shared" si="42"/>
        <v>0.5</v>
      </c>
      <c r="P210">
        <f>IFERROR(LN('Дивиденды по годам'!I210),"")</f>
        <v>25.787604835722476</v>
      </c>
      <c r="Q210">
        <f>IFERROR('Дивиденды по годам'!G210/'Дивиденды по годам'!I210, "")</f>
        <v>0.75144982220180023</v>
      </c>
      <c r="R210">
        <f>IFERROR(IF(AND('Дивиденды по годам'!N210&lt;&gt;"",'Дивиденды по годам'!U210&lt;&gt;"",'Дивиденды по годам'!U210&lt;&gt;0),'Дивиденды по годам'!N210/'Дивиденды по годам'!U210-1,""),"")</f>
        <v>0.12608453706246459</v>
      </c>
      <c r="S210">
        <f>IFERROR(IF(AND('Дивиденды по годам'!L210&lt;&gt;"",'Дивиденды по годам'!I210&lt;&gt;"",'Дивиденды по годам'!J210&lt;&gt;"",'Дивиденды по годам'!K210&lt;&gt;"",('Дивиденды по годам'!I210-'Дивиденды по годам'!J210-'Дивиденды по годам'!K210)&lt;&gt;0),'Дивиденды по годам'!L210/('Дивиденды по годам'!I210-'Дивиденды по годам'!J210-'Дивиденды по годам'!K210),""),"")</f>
        <v>0.80423950823802692</v>
      </c>
      <c r="T210">
        <f>IFERROR(IF(AND('Дивиденды по годам'!Q210&lt;&gt;"",'Дивиденды по годам'!I210&lt;&gt;"",'Дивиденды по годам'!V210&lt;&gt;"",('Дивиденды по годам'!I210+'Дивиденды по годам'!V210)&lt;&gt;0),'Дивиденды по годам'!Q210/(('Дивиденды по годам'!I210+'Дивиденды по годам'!V210)/2),""),"")</f>
        <v>8.9799141488031947E-2</v>
      </c>
      <c r="U210">
        <f>IFERROR(IF(AND('Дивиденды по годам'!J210&lt;&gt;"",'Дивиденды по годам'!K210&lt;&gt;"",'Дивиденды по годам'!M210&lt;&gt;"",'Дивиденды по годам'!M210&lt;&gt;0),('Дивиденды по годам'!J210+'Дивиденды по годам'!K210)/'Дивиденды по годам'!M210,""),"")</f>
        <v>0.91215059072383664</v>
      </c>
      <c r="V210">
        <f>IFERROR(IF(AND('Дивиденды по годам'!J210&lt;&gt;"",'Дивиденды по годам'!K210&lt;&gt;"",'Дивиденды по годам'!M210&lt;&gt;"",'Дивиденды по годам'!I210&lt;&gt;0),('Дивиденды по годам'!J210+'Дивиденды по годам'!K210)/'Дивиденды по годам'!I210,""),"")</f>
        <v>0.4770286373619485</v>
      </c>
      <c r="W210">
        <f>IFERROR('Дивиденды по годам'!I210,"")</f>
        <v>158275787000</v>
      </c>
      <c r="X210" cm="1">
        <f t="array" ref="X210">IFERROR(AVERAGE(_xlfn._xlws.FILTER(P$2:P$1073,($C$2:$C$1073=$C210)*($E$2:$E$1073=$E210)*(ROW(P$2:P$1073)&lt;&gt;ROW(P210))*(P$2:P$1073&lt;&gt;""))),"")</f>
        <v>26.693106256817909</v>
      </c>
      <c r="Y210" cm="1">
        <f t="array" ref="Y210">IFERROR(AVERAGE(_xlfn._xlws.FILTER(Q$2:Q$1073,($C$2:$C$1073=$C210)*($E$2:$E$1073=$E210)*(ROW(Q$2:Q$1073)&lt;&gt;ROW(Q210))*(Q$2:Q$1073&lt;&gt;""))),"")</f>
        <v>0.66704675310658357</v>
      </c>
      <c r="Z210" cm="1">
        <f t="array" ref="Z210">IFERROR(AVERAGE(_xlfn._xlws.FILTER(R$2:R$1073,($C$2:$C$1073=$C210)*($E$2:$E$1073=$E210)*(ROW(R$2:R$1073)&lt;&gt;ROW(R210))*(R$2:R$1073&lt;&gt;""))),"")</f>
        <v>0.18384647488661282</v>
      </c>
      <c r="AA210" cm="1">
        <f t="array" ref="AA210">IFERROR(AVERAGE(_xlfn._xlws.FILTER(S$2:S$1073,($C$2:$C$1073=$C210)*($E$2:$E$1073=$E210)*(ROW(S$2:S$1073)&lt;&gt;ROW(S210))*(S$2:S$1073&lt;&gt;""))),"")</f>
        <v>0.74813141612821443</v>
      </c>
      <c r="AB210" cm="1">
        <f t="array" ref="AB210">IFERROR(AVERAGE(_xlfn._xlws.FILTER(T$2:T$1073,($C$2:$C$1073=$C210)*($E$2:$E$1073=$E210)*(ROW(T$2:T$1073)&lt;&gt;ROW(T210))*(T$2:T$1073&lt;&gt;""))),"")</f>
        <v>0.10495538533887286</v>
      </c>
      <c r="AC210" cm="1">
        <f t="array" ref="AC210">IFERROR(AVERAGE(_xlfn._xlws.FILTER(U$2:U$1073,($C$2:$C$1073=$C210)*($E$2:$E$1073=$E210)*(ROW(U$2:U$1073)&lt;&gt;ROW(U210))*(U$2:U$1073&lt;&gt;""))),"")</f>
        <v>0.88609439313081395</v>
      </c>
      <c r="AD210" cm="1">
        <f t="array" ref="AD210">IFERROR(AVERAGE(_xlfn._xlws.FILTER(V$2:V$1073,($C$2:$C$1073=$C210)*($E$2:$E$1073=$E210)*(ROW(V$2:V$1073)&lt;&gt;ROW(V210))*(V$2:V$1073&lt;&gt;""))),"")</f>
        <v>0.42475306098545984</v>
      </c>
      <c r="AE210">
        <f>IF('Дивиденды по годам'!M210&lt;0,1,0)</f>
        <v>0</v>
      </c>
    </row>
    <row r="211" spans="1:31" x14ac:dyDescent="0.2">
      <c r="A211" s="7" t="s">
        <v>2204</v>
      </c>
      <c r="B211" t="str">
        <f t="shared" si="33"/>
        <v>MRKU IV кв. 2024</v>
      </c>
      <c r="C211">
        <v>2024</v>
      </c>
      <c r="D211">
        <f>SUMIFS(Дивиденды!$C:$C,Дивиденды!$A:$A,A211,Дивиденды!$I:$I,C211)</f>
        <v>7.5800000000000006E-2</v>
      </c>
      <c r="E211">
        <v>2</v>
      </c>
      <c r="F211">
        <f t="shared" si="34"/>
        <v>7.5800000000000006E-2</v>
      </c>
      <c r="G211">
        <f t="shared" si="35"/>
        <v>5.7083333333333326E-2</v>
      </c>
      <c r="H211">
        <f t="shared" si="36"/>
        <v>1</v>
      </c>
      <c r="I211">
        <f t="shared" si="37"/>
        <v>0.5</v>
      </c>
      <c r="J211">
        <f t="shared" si="38"/>
        <v>0.39338235294117668</v>
      </c>
      <c r="K211">
        <f t="shared" si="43"/>
        <v>5.3378790697906103E-2</v>
      </c>
      <c r="L211">
        <f t="shared" si="39"/>
        <v>1</v>
      </c>
      <c r="M211">
        <f t="shared" si="40"/>
        <v>0.5</v>
      </c>
      <c r="N211">
        <f t="shared" si="41"/>
        <v>0</v>
      </c>
      <c r="O211">
        <f t="shared" si="42"/>
        <v>8.3333333333333329E-2</v>
      </c>
      <c r="P211">
        <f>IFERROR(LN('Дивиденды по годам'!I211),"")</f>
        <v>25.649780618746973</v>
      </c>
      <c r="Q211">
        <f>IFERROR('Дивиденды по годам'!G211/'Дивиденды по годам'!I211, "")</f>
        <v>0.77577219010949316</v>
      </c>
      <c r="R211">
        <f>IFERROR(IF(AND('Дивиденды по годам'!N211&lt;&gt;"",'Дивиденды по годам'!U211&lt;&gt;"",'Дивиденды по годам'!U211&lt;&gt;0),'Дивиденды по годам'!N211/'Дивиденды по годам'!U211-1,""),"")</f>
        <v>8.6663330743442346E-2</v>
      </c>
      <c r="S211">
        <f>IFERROR(IF(AND('Дивиденды по годам'!L211&lt;&gt;"",'Дивиденды по годам'!I211&lt;&gt;"",'Дивиденды по годам'!J211&lt;&gt;"",'Дивиденды по годам'!K211&lt;&gt;"",('Дивиденды по годам'!I211-'Дивиденды по годам'!J211-'Дивиденды по годам'!K211)&lt;&gt;0),'Дивиденды по годам'!L211/('Дивиденды по годам'!I211-'Дивиденды по годам'!J211-'Дивиденды по годам'!K211),""),"")</f>
        <v>0.80898697657172813</v>
      </c>
      <c r="T211">
        <f>IFERROR(IF(AND('Дивиденды по годам'!Q211&lt;&gt;"",'Дивиденды по годам'!I211&lt;&gt;"",'Дивиденды по годам'!V211&lt;&gt;"",('Дивиденды по годам'!I211+'Дивиденды по годам'!V211)&lt;&gt;0),'Дивиденды по годам'!Q211/(('Дивиденды по годам'!I211+'Дивиденды по годам'!V211)/2),""),"")</f>
        <v>9.6958349587478149E-2</v>
      </c>
      <c r="U211">
        <f>IFERROR(IF(AND('Дивиденды по годам'!J211&lt;&gt;"",'Дивиденды по годам'!K211&lt;&gt;"",'Дивиденды по годам'!M211&lt;&gt;"",'Дивиденды по годам'!M211&lt;&gt;0),('Дивиденды по годам'!J211+'Дивиденды по годам'!K211)/'Дивиденды по годам'!M211,""),"")</f>
        <v>0.96943444919852684</v>
      </c>
      <c r="V211">
        <f>IFERROR(IF(AND('Дивиденды по годам'!J211&lt;&gt;"",'Дивиденды по годам'!K211&lt;&gt;"",'Дивиденды по годам'!M211&lt;&gt;"",'Дивиденды по годам'!I211&lt;&gt;0),('Дивиденды по годам'!J211+'Дивиденды по годам'!K211)/'Дивиденды по годам'!I211,""),"")</f>
        <v>0.49224001824129965</v>
      </c>
      <c r="W211">
        <f>IFERROR('Дивиденды по годам'!I211,"")</f>
        <v>137898069000</v>
      </c>
      <c r="X211" cm="1">
        <f t="array" ref="X211">IFERROR(AVERAGE(_xlfn._xlws.FILTER(P$2:P$1073,($C$2:$C$1073=$C211)*($E$2:$E$1073=$E211)*(ROW(P$2:P$1073)&lt;&gt;ROW(P211))*(P$2:P$1073&lt;&gt;""))),"")</f>
        <v>26.628380336758863</v>
      </c>
      <c r="Y211" cm="1">
        <f t="array" ref="Y211">IFERROR(AVERAGE(_xlfn._xlws.FILTER(Q$2:Q$1073,($C$2:$C$1073=$C211)*($E$2:$E$1073=$E211)*(ROW(Q$2:Q$1073)&lt;&gt;ROW(Q211))*(Q$2:Q$1073&lt;&gt;""))),"")</f>
        <v>0.67933134130469652</v>
      </c>
      <c r="Z211" cm="1">
        <f t="array" ref="Z211">IFERROR(AVERAGE(_xlfn._xlws.FILTER(R$2:R$1073,($C$2:$C$1073=$C211)*($E$2:$E$1073=$E211)*(ROW(R$2:R$1073)&lt;&gt;ROW(R211))*(R$2:R$1073&lt;&gt;""))),"")</f>
        <v>0.10074465349480105</v>
      </c>
      <c r="AA211" cm="1">
        <f t="array" ref="AA211">IFERROR(AVERAGE(_xlfn._xlws.FILTER(S$2:S$1073,($C$2:$C$1073=$C211)*($E$2:$E$1073=$E211)*(ROW(S$2:S$1073)&lt;&gt;ROW(S211))*(S$2:S$1073&lt;&gt;""))),"")</f>
        <v>0.53569265606075223</v>
      </c>
      <c r="AB211" cm="1">
        <f t="array" ref="AB211">IFERROR(AVERAGE(_xlfn._xlws.FILTER(T$2:T$1073,($C$2:$C$1073=$C211)*($E$2:$E$1073=$E211)*(ROW(T$2:T$1073)&lt;&gt;ROW(T211))*(T$2:T$1073&lt;&gt;""))),"")</f>
        <v>5.2915084612205593E-2</v>
      </c>
      <c r="AC211" cm="1">
        <f t="array" ref="AC211">IFERROR(AVERAGE(_xlfn._xlws.FILTER(U$2:U$1073,($C$2:$C$1073=$C211)*($E$2:$E$1073=$E211)*(ROW(U$2:U$1073)&lt;&gt;ROW(U211))*(U$2:U$1073&lt;&gt;""))),"")</f>
        <v>0.92784246650502056</v>
      </c>
      <c r="AD211" cm="1">
        <f t="array" ref="AD211">IFERROR(AVERAGE(_xlfn._xlws.FILTER(V$2:V$1073,($C$2:$C$1073=$C211)*($E$2:$E$1073=$E211)*(ROW(V$2:V$1073)&lt;&gt;ROW(V211))*(V$2:V$1073&lt;&gt;""))),"")</f>
        <v>0.44704980519682913</v>
      </c>
      <c r="AE211">
        <f>IF('Дивиденды по годам'!M211&lt;0,1,0)</f>
        <v>0</v>
      </c>
    </row>
    <row r="212" spans="1:31" x14ac:dyDescent="0.2">
      <c r="A212" s="7" t="s">
        <v>2204</v>
      </c>
      <c r="B212" t="str">
        <f t="shared" si="33"/>
        <v>MRKU IV кв. 2023</v>
      </c>
      <c r="C212">
        <v>2023</v>
      </c>
      <c r="D212">
        <f>SUMIFS(Дивиденды!$C:$C,Дивиденды!$A:$A,A212,Дивиденды!$I:$I,C212)</f>
        <v>5.4399999999999997E-2</v>
      </c>
      <c r="E212">
        <v>2</v>
      </c>
      <c r="F212">
        <f t="shared" si="34"/>
        <v>5.4399999999999997E-2</v>
      </c>
      <c r="G212">
        <f t="shared" si="35"/>
        <v>6.1766666666666664E-2</v>
      </c>
      <c r="H212">
        <f t="shared" si="36"/>
        <v>1</v>
      </c>
      <c r="I212">
        <f t="shared" si="37"/>
        <v>0.5</v>
      </c>
      <c r="J212">
        <f t="shared" si="38"/>
        <v>1.2723475355054301</v>
      </c>
      <c r="K212">
        <f t="shared" si="43"/>
        <v>1.1004281343535149E-2</v>
      </c>
      <c r="L212">
        <f t="shared" si="39"/>
        <v>1</v>
      </c>
      <c r="M212">
        <f t="shared" si="40"/>
        <v>0.41666666666666669</v>
      </c>
      <c r="N212">
        <f t="shared" si="41"/>
        <v>0</v>
      </c>
      <c r="O212">
        <f t="shared" si="42"/>
        <v>0.25</v>
      </c>
      <c r="P212">
        <f>IFERROR(LN('Дивиденды по годам'!I212),"")</f>
        <v>25.535883594321572</v>
      </c>
      <c r="Q212">
        <f>IFERROR('Дивиденды по годам'!G212/'Дивиденды по годам'!I212, "")</f>
        <v>0.75774366754184286</v>
      </c>
      <c r="R212">
        <f>IFERROR(IF(AND('Дивиденды по годам'!N212&lt;&gt;"",'Дивиденды по годам'!U212&lt;&gt;"",'Дивиденды по годам'!U212&lt;&gt;0),'Дивиденды по годам'!N212/'Дивиденды по годам'!U212-1,""),"")</f>
        <v>3.0294026530472307E-2</v>
      </c>
      <c r="S212">
        <f>IFERROR(IF(AND('Дивиденды по годам'!L212&lt;&gt;"",'Дивиденды по годам'!I212&lt;&gt;"",'Дивиденды по годам'!J212&lt;&gt;"",'Дивиденды по годам'!K212&lt;&gt;"",('Дивиденды по годам'!I212-'Дивиденды по годам'!J212-'Дивиденды по годам'!K212)&lt;&gt;0),'Дивиденды по годам'!L212/('Дивиденды по годам'!I212-'Дивиденды по годам'!J212-'Дивиденды по годам'!K212),""),"")</f>
        <v>0.80018363100734868</v>
      </c>
      <c r="T212">
        <f>IFERROR(IF(AND('Дивиденды по годам'!Q212&lt;&gt;"",'Дивиденды по годам'!I212&lt;&gt;"",'Дивиденды по годам'!V212&lt;&gt;"",('Дивиденды по годам'!I212+'Дивиденды по годам'!V212)&lt;&gt;0),'Дивиденды по годам'!Q212/(('Дивиденды по годам'!I212+'Дивиденды по годам'!V212)/2),""),"")</f>
        <v>0.10306355549393796</v>
      </c>
      <c r="U212">
        <f>IFERROR(IF(AND('Дивиденды по годам'!J212&lt;&gt;"",'Дивиденды по годам'!K212&lt;&gt;"",'Дивиденды по годам'!M212&lt;&gt;"",'Дивиденды по годам'!M212&lt;&gt;0),('Дивиденды по годам'!J212+'Дивиденды по годам'!K212)/'Дивиденды по годам'!M212,""),"")</f>
        <v>0.88074551871930939</v>
      </c>
      <c r="V212">
        <f>IFERROR(IF(AND('Дивиденды по годам'!J212&lt;&gt;"",'Дивиденды по годам'!K212&lt;&gt;"",'Дивиденды по годам'!M212&lt;&gt;"",'Дивиденды по годам'!I212&lt;&gt;0),('Дивиденды по годам'!J212+'Дивиденды по годам'!K212)/'Дивиденды по годам'!I212,""),"")</f>
        <v>0.46829595495676185</v>
      </c>
      <c r="W212">
        <f>IFERROR('Дивиденды по годам'!I212,"")</f>
        <v>123053320000</v>
      </c>
      <c r="X212" cm="1">
        <f t="array" ref="X212">IFERROR(AVERAGE(_xlfn._xlws.FILTER(P$2:P$1073,($C$2:$C$1073=$C212)*($E$2:$E$1073=$E212)*(ROW(P$2:P$1073)&lt;&gt;ROW(P212))*(P$2:P$1073&lt;&gt;""))),"")</f>
        <v>26.51028488720495</v>
      </c>
      <c r="Y212" cm="1">
        <f t="array" ref="Y212">IFERROR(AVERAGE(_xlfn._xlws.FILTER(Q$2:Q$1073,($C$2:$C$1073=$C212)*($E$2:$E$1073=$E212)*(ROW(Q$2:Q$1073)&lt;&gt;ROW(Q212))*(Q$2:Q$1073&lt;&gt;""))),"")</f>
        <v>0.70353515588440219</v>
      </c>
      <c r="Z212" cm="1">
        <f t="array" ref="Z212">IFERROR(AVERAGE(_xlfn._xlws.FILTER(R$2:R$1073,($C$2:$C$1073=$C212)*($E$2:$E$1073=$E212)*(ROW(R$2:R$1073)&lt;&gt;ROW(R212))*(R$2:R$1073&lt;&gt;""))),"")</f>
        <v>0.15199073260375351</v>
      </c>
      <c r="AA212" cm="1">
        <f t="array" ref="AA212">IFERROR(AVERAGE(_xlfn._xlws.FILTER(S$2:S$1073,($C$2:$C$1073=$C212)*($E$2:$E$1073=$E212)*(ROW(S$2:S$1073)&lt;&gt;ROW(S212))*(S$2:S$1073&lt;&gt;""))),"")</f>
        <v>0.51173821055731494</v>
      </c>
      <c r="AB212" cm="1">
        <f t="array" ref="AB212">IFERROR(AVERAGE(_xlfn._xlws.FILTER(T$2:T$1073,($C$2:$C$1073=$C212)*($E$2:$E$1073=$E212)*(ROW(T$2:T$1073)&lt;&gt;ROW(T212))*(T$2:T$1073&lt;&gt;""))),"")</f>
        <v>7.2799967076632596E-2</v>
      </c>
      <c r="AC212" cm="1">
        <f t="array" ref="AC212">IFERROR(AVERAGE(_xlfn._xlws.FILTER(U$2:U$1073,($C$2:$C$1073=$C212)*($E$2:$E$1073=$E212)*(ROW(U$2:U$1073)&lt;&gt;ROW(U212))*(U$2:U$1073&lt;&gt;""))),"")</f>
        <v>0.817598587977174</v>
      </c>
      <c r="AD212" cm="1">
        <f t="array" ref="AD212">IFERROR(AVERAGE(_xlfn._xlws.FILTER(V$2:V$1073,($C$2:$C$1073=$C212)*($E$2:$E$1073=$E212)*(ROW(V$2:V$1073)&lt;&gt;ROW(V212))*(V$2:V$1073&lt;&gt;""))),"")</f>
        <v>0.41992192145965207</v>
      </c>
      <c r="AE212">
        <f>IF('Дивиденды по годам'!M212&lt;0,1,0)</f>
        <v>0</v>
      </c>
    </row>
    <row r="213" spans="1:31" x14ac:dyDescent="0.2">
      <c r="A213" s="7" t="s">
        <v>2204</v>
      </c>
      <c r="B213" t="str">
        <f t="shared" si="33"/>
        <v>MRKU IV кв. 2022</v>
      </c>
      <c r="C213">
        <v>2022</v>
      </c>
      <c r="D213">
        <f>SUMIFS(Дивиденды!$C:$C,Дивиденды!$A:$A,A213,Дивиденды!$I:$I,C213)</f>
        <v>2.3939999999999999E-2</v>
      </c>
      <c r="E213">
        <v>2</v>
      </c>
      <c r="F213">
        <f t="shared" si="34"/>
        <v>2.3939999999999999E-2</v>
      </c>
      <c r="G213">
        <f t="shared" si="35"/>
        <v>6.2736666666666677E-2</v>
      </c>
      <c r="H213">
        <f t="shared" si="36"/>
        <v>1</v>
      </c>
      <c r="I213">
        <f t="shared" si="37"/>
        <v>0.58333333333333337</v>
      </c>
      <c r="J213">
        <f t="shared" si="38"/>
        <v>-3.8554216867469841E-2</v>
      </c>
      <c r="K213">
        <f t="shared" si="43"/>
        <v>-0.15842901018811792</v>
      </c>
      <c r="L213">
        <f t="shared" si="39"/>
        <v>0</v>
      </c>
      <c r="M213">
        <f t="shared" si="40"/>
        <v>0.33333333333333331</v>
      </c>
      <c r="N213">
        <f t="shared" si="41"/>
        <v>1</v>
      </c>
      <c r="O213">
        <f t="shared" si="42"/>
        <v>0.41666666666666669</v>
      </c>
      <c r="P213">
        <f>IFERROR(LN('Дивиденды по годам'!I213),"")</f>
        <v>25.396061381134576</v>
      </c>
      <c r="Q213">
        <f>IFERROR('Дивиденды по годам'!G213/'Дивиденды по годам'!I213, "")</f>
        <v>0.76962816276182955</v>
      </c>
      <c r="R213">
        <f>IFERROR(IF(AND('Дивиденды по годам'!N213&lt;&gt;"",'Дивиденды по годам'!U213&lt;&gt;"",'Дивиденды по годам'!U213&lt;&gt;0),'Дивиденды по годам'!N213/'Дивиденды по годам'!U213-1,""),"")</f>
        <v>6.7033585140108487E-2</v>
      </c>
      <c r="S213">
        <f>IFERROR(IF(AND('Дивиденды по годам'!L213&lt;&gt;"",'Дивиденды по годам'!I213&lt;&gt;"",'Дивиденды по годам'!J213&lt;&gt;"",'Дивиденды по годам'!K213&lt;&gt;"",('Дивиденды по годам'!I213-'Дивиденды по годам'!J213-'Дивиденды по годам'!K213)&lt;&gt;0),'Дивиденды по годам'!L213/('Дивиденды по годам'!I213-'Дивиденды по годам'!J213-'Дивиденды по годам'!K213),""),"")</f>
        <v>0.79077112130081972</v>
      </c>
      <c r="T213">
        <f>IFERROR(IF(AND('Дивиденды по годам'!Q213&lt;&gt;"",'Дивиденды по годам'!I213&lt;&gt;"",'Дивиденды по годам'!V213&lt;&gt;"",('Дивиденды по годам'!I213+'Дивиденды по годам'!V213)&lt;&gt;0),'Дивиденды по годам'!Q213/(('Дивиденды по годам'!I213+'Дивиденды по годам'!V213)/2),""),"")</f>
        <v>4.1006725605803214E-2</v>
      </c>
      <c r="U213">
        <f>IFERROR(IF(AND('Дивиденды по годам'!J213&lt;&gt;"",'Дивиденды по годам'!K213&lt;&gt;"",'Дивиденды по годам'!M213&lt;&gt;"",'Дивиденды по годам'!M213&lt;&gt;0),('Дивиденды по годам'!J213+'Дивиденды по годам'!K213)/'Дивиденды по годам'!M213,""),"")</f>
        <v>1.0536376180895337</v>
      </c>
      <c r="V213">
        <f>IFERROR(IF(AND('Дивиденды по годам'!J213&lt;&gt;"",'Дивиденды по годам'!K213&lt;&gt;"",'Дивиденды по годам'!M213&lt;&gt;"",'Дивиденды по годам'!I213&lt;&gt;0),('Дивиденды по годам'!J213+'Дивиденды по годам'!K213)/'Дивиденды по годам'!I213,""),"")</f>
        <v>0.51305917305396653</v>
      </c>
      <c r="W213">
        <f>IFERROR('Дивиденды по годам'!I213,"")</f>
        <v>106996438000</v>
      </c>
      <c r="X213" cm="1">
        <f t="array" ref="X213">IFERROR(AVERAGE(_xlfn._xlws.FILTER(P$2:P$1073,($C$2:$C$1073=$C213)*($E$2:$E$1073=$E213)*(ROW(P$2:P$1073)&lt;&gt;ROW(P213))*(P$2:P$1073&lt;&gt;""))),"")</f>
        <v>26.413195838217632</v>
      </c>
      <c r="Y213" cm="1">
        <f t="array" ref="Y213">IFERROR(AVERAGE(_xlfn._xlws.FILTER(Q$2:Q$1073,($C$2:$C$1073=$C213)*($E$2:$E$1073=$E213)*(ROW(Q$2:Q$1073)&lt;&gt;ROW(Q213))*(Q$2:Q$1073&lt;&gt;""))),"")</f>
        <v>0.70129475546200359</v>
      </c>
      <c r="Z213" cm="1">
        <f t="array" ref="Z213">IFERROR(AVERAGE(_xlfn._xlws.FILTER(R$2:R$1073,($C$2:$C$1073=$C213)*($E$2:$E$1073=$E213)*(ROW(R$2:R$1073)&lt;&gt;ROW(R213))*(R$2:R$1073&lt;&gt;""))),"")</f>
        <v>7.378588150793261E-2</v>
      </c>
      <c r="AA213" cm="1">
        <f t="array" ref="AA213">IFERROR(AVERAGE(_xlfn._xlws.FILTER(S$2:S$1073,($C$2:$C$1073=$C213)*($E$2:$E$1073=$E213)*(ROW(S$2:S$1073)&lt;&gt;ROW(S213))*(S$2:S$1073&lt;&gt;""))),"")</f>
        <v>0.48431271668238313</v>
      </c>
      <c r="AB213" cm="1">
        <f t="array" ref="AB213">IFERROR(AVERAGE(_xlfn._xlws.FILTER(T$2:T$1073,($C$2:$C$1073=$C213)*($E$2:$E$1073=$E213)*(ROW(T$2:T$1073)&lt;&gt;ROW(T213))*(T$2:T$1073&lt;&gt;""))),"")</f>
        <v>8.5757058029089228E-3</v>
      </c>
      <c r="AC213" cm="1">
        <f t="array" ref="AC213">IFERROR(AVERAGE(_xlfn._xlws.FILTER(U$2:U$1073,($C$2:$C$1073=$C213)*($E$2:$E$1073=$E213)*(ROW(U$2:U$1073)&lt;&gt;ROW(U213))*(U$2:U$1073&lt;&gt;""))),"")</f>
        <v>0.89318440560078394</v>
      </c>
      <c r="AD213" cm="1">
        <f t="array" ref="AD213">IFERROR(AVERAGE(_xlfn._xlws.FILTER(V$2:V$1073,($C$2:$C$1073=$C213)*($E$2:$E$1073=$E213)*(ROW(V$2:V$1073)&lt;&gt;ROW(V213))*(V$2:V$1073&lt;&gt;""))),"")</f>
        <v>0.43379179696879194</v>
      </c>
      <c r="AE213">
        <f>IF('Дивиденды по годам'!M213&lt;0,1,0)</f>
        <v>0</v>
      </c>
    </row>
    <row r="214" spans="1:31" x14ac:dyDescent="0.2">
      <c r="A214" s="7" t="s">
        <v>2204</v>
      </c>
      <c r="B214" t="str">
        <f t="shared" si="33"/>
        <v>MRKU IV кв. 2021</v>
      </c>
      <c r="C214">
        <v>2021</v>
      </c>
      <c r="D214">
        <f>SUMIFS(Дивиденды!$C:$C,Дивиденды!$A:$A,A214,Дивиденды!$I:$I,C214)</f>
        <v>2.4899999999999999E-2</v>
      </c>
      <c r="E214">
        <v>2</v>
      </c>
      <c r="F214">
        <f t="shared" si="34"/>
        <v>2.4899999999999999E-2</v>
      </c>
      <c r="G214">
        <f t="shared" si="35"/>
        <v>7.9710249999999996E-2</v>
      </c>
      <c r="H214">
        <f t="shared" si="36"/>
        <v>1</v>
      </c>
      <c r="I214">
        <f t="shared" si="37"/>
        <v>0.75</v>
      </c>
      <c r="J214">
        <f t="shared" si="38"/>
        <v>1</v>
      </c>
      <c r="K214">
        <f t="shared" si="43"/>
        <v>8.0542850590722317E-2</v>
      </c>
      <c r="L214">
        <f t="shared" si="39"/>
        <v>1</v>
      </c>
      <c r="M214">
        <f t="shared" si="40"/>
        <v>0.58333333333333337</v>
      </c>
      <c r="N214">
        <f t="shared" si="41"/>
        <v>0</v>
      </c>
      <c r="O214">
        <f t="shared" si="42"/>
        <v>0.25</v>
      </c>
      <c r="P214">
        <f>IFERROR(LN('Дивиденды по годам'!I214),"")</f>
        <v>25.344092153618679</v>
      </c>
      <c r="Q214">
        <f>IFERROR('Дивиденды по годам'!G214/'Дивиденды по годам'!I214, "")</f>
        <v>0.77941334955102892</v>
      </c>
      <c r="R214">
        <f>IFERROR(IF(AND('Дивиденды по годам'!N214&lt;&gt;"",'Дивиденды по годам'!U214&lt;&gt;"",'Дивиденды по годам'!U214&lt;&gt;0),'Дивиденды по годам'!N214/'Дивиденды по годам'!U214-1,""),"")</f>
        <v>8.9066035333738469E-2</v>
      </c>
      <c r="S214">
        <f>IFERROR(IF(AND('Дивиденды по годам'!L214&lt;&gt;"",'Дивиденды по годам'!I214&lt;&gt;"",'Дивиденды по годам'!J214&lt;&gt;"",'Дивиденды по годам'!K214&lt;&gt;"",('Дивиденды по годам'!I214-'Дивиденды по годам'!J214-'Дивиденды по годам'!K214)&lt;&gt;0),'Дивиденды по годам'!L214/('Дивиденды по годам'!I214-'Дивиденды по годам'!J214-'Дивиденды по годам'!K214),""),"")</f>
        <v>0.77524079818932301</v>
      </c>
      <c r="T214">
        <f>IFERROR(IF(AND('Дивиденды по годам'!Q214&lt;&gt;"",'Дивиденды по годам'!I214&lt;&gt;"",'Дивиденды по годам'!V214&lt;&gt;"",('Дивиденды по годам'!I214+'Дивиденды по годам'!V214)&lt;&gt;0),'Дивиденды по годам'!Q214/(('Дивиденды по годам'!I214+'Дивиденды по годам'!V214)/2),""),"")</f>
        <v>3.9302719505697858E-2</v>
      </c>
      <c r="U214">
        <f>IFERROR(IF(AND('Дивиденды по годам'!J214&lt;&gt;"",'Дивиденды по годам'!K214&lt;&gt;"",'Дивиденды по годам'!M214&lt;&gt;"",'Дивиденды по годам'!M214&lt;&gt;0),('Дивиденды по годам'!J214+'Дивиденды по годам'!K214)/'Дивиденды по годам'!M214,""),"")</f>
        <v>0.92489856745443833</v>
      </c>
      <c r="V214">
        <f>IFERROR(IF(AND('Дивиденды по годам'!J214&lt;&gt;"",'Дивиденды по годам'!K214&lt;&gt;"",'Дивиденды по годам'!M214&lt;&gt;"",'Дивиденды по годам'!I214&lt;&gt;0),('Дивиденды по годам'!J214+'Дивиденды по годам'!K214)/'Дивиденды по годам'!I214,""),"")</f>
        <v>0.48049210648931001</v>
      </c>
      <c r="W214">
        <f>IFERROR('Дивиденды по годам'!I214,"")</f>
        <v>101577933000</v>
      </c>
      <c r="X214" cm="1">
        <f t="array" ref="X214">IFERROR(AVERAGE(_xlfn._xlws.FILTER(P$2:P$1073,($C$2:$C$1073=$C214)*($E$2:$E$1073=$E214)*(ROW(P$2:P$1073)&lt;&gt;ROW(P214))*(P$2:P$1073&lt;&gt;""))),"")</f>
        <v>25.984978063598238</v>
      </c>
      <c r="Y214" cm="1">
        <f t="array" ref="Y214">IFERROR(AVERAGE(_xlfn._xlws.FILTER(Q$2:Q$1073,($C$2:$C$1073=$C214)*($E$2:$E$1073=$E214)*(ROW(Q$2:Q$1073)&lt;&gt;ROW(Q214))*(Q$2:Q$1073&lt;&gt;""))),"")</f>
        <v>0.76901856385224032</v>
      </c>
      <c r="Z214" cm="1">
        <f t="array" ref="Z214">IFERROR(AVERAGE(_xlfn._xlws.FILTER(R$2:R$1073,($C$2:$C$1073=$C214)*($E$2:$E$1073=$E214)*(ROW(R$2:R$1073)&lt;&gt;ROW(R214))*(R$2:R$1073&lt;&gt;""))),"")</f>
        <v>0.13049656696411721</v>
      </c>
      <c r="AA214" cm="1">
        <f t="array" ref="AA214">IFERROR(AVERAGE(_xlfn._xlws.FILTER(S$2:S$1073,($C$2:$C$1073=$C214)*($E$2:$E$1073=$E214)*(ROW(S$2:S$1073)&lt;&gt;ROW(S214))*(S$2:S$1073&lt;&gt;""))),"")</f>
        <v>0.47378371532226782</v>
      </c>
      <c r="AB214" cm="1">
        <f t="array" ref="AB214">IFERROR(AVERAGE(_xlfn._xlws.FILTER(T$2:T$1073,($C$2:$C$1073=$C214)*($E$2:$E$1073=$E214)*(ROW(T$2:T$1073)&lt;&gt;ROW(T214))*(T$2:T$1073&lt;&gt;""))),"")</f>
        <v>3.6147862989081847E-2</v>
      </c>
      <c r="AC214" cm="1">
        <f t="array" ref="AC214">IFERROR(AVERAGE(_xlfn._xlws.FILTER(U$2:U$1073,($C$2:$C$1073=$C214)*($E$2:$E$1073=$E214)*(ROW(U$2:U$1073)&lt;&gt;ROW(U214))*(U$2:U$1073&lt;&gt;""))),"")</f>
        <v>0.69380497577539713</v>
      </c>
      <c r="AD214" cm="1">
        <f t="array" ref="AD214">IFERROR(AVERAGE(_xlfn._xlws.FILTER(V$2:V$1073,($C$2:$C$1073=$C214)*($E$2:$E$1073=$E214)*(ROW(V$2:V$1073)&lt;&gt;ROW(V214))*(V$2:V$1073&lt;&gt;""))),"")</f>
        <v>0.37275632091051142</v>
      </c>
      <c r="AE214">
        <f>IF('Дивиденды по годам'!M214&lt;0,1,0)</f>
        <v>0</v>
      </c>
    </row>
    <row r="215" spans="1:31" x14ac:dyDescent="0.2">
      <c r="A215" s="7" t="s">
        <v>2204</v>
      </c>
      <c r="B215" t="str">
        <f t="shared" si="33"/>
        <v>MRKU IV кв. 2020</v>
      </c>
      <c r="C215">
        <v>2020</v>
      </c>
      <c r="D215">
        <f>SUMIFS(Дивиденды!$C:$C,Дивиденды!$A:$A,A215,Дивиденды!$I:$I,C215)</f>
        <v>0</v>
      </c>
      <c r="E215">
        <v>2</v>
      </c>
      <c r="F215">
        <f t="shared" si="34"/>
        <v>0</v>
      </c>
      <c r="G215">
        <f t="shared" si="35"/>
        <v>6.9905916666666665E-2</v>
      </c>
      <c r="H215">
        <f t="shared" si="36"/>
        <v>0</v>
      </c>
      <c r="I215">
        <f t="shared" si="37"/>
        <v>0.83333333333333337</v>
      </c>
      <c r="J215">
        <f t="shared" si="38"/>
        <v>-1</v>
      </c>
      <c r="K215">
        <f t="shared" si="43"/>
        <v>-2.2906983693792141E-3</v>
      </c>
      <c r="L215">
        <f t="shared" si="39"/>
        <v>0</v>
      </c>
      <c r="M215">
        <f t="shared" si="40"/>
        <v>0.58333333333333337</v>
      </c>
      <c r="N215">
        <f t="shared" si="41"/>
        <v>1</v>
      </c>
      <c r="O215">
        <f t="shared" si="42"/>
        <v>0.41666666666666669</v>
      </c>
      <c r="P215">
        <f>IFERROR(LN('Дивиденды по годам'!I215),"")</f>
        <v>25.264678018447878</v>
      </c>
      <c r="Q215">
        <f>IFERROR('Дивиденды по годам'!G215/'Дивиденды по годам'!I215, "")</f>
        <v>0.79399759773707146</v>
      </c>
      <c r="R215">
        <f>IFERROR(IF(AND('Дивиденды по годам'!N215&lt;&gt;"",'Дивиденды по годам'!U215&lt;&gt;"",'Дивиденды по годам'!U215&lt;&gt;0),'Дивиденды по годам'!N215/'Дивиденды по годам'!U215-1,""),"")</f>
        <v>-0.16512383790898488</v>
      </c>
      <c r="S215">
        <f>IFERROR(IF(AND('Дивиденды по годам'!L215&lt;&gt;"",'Дивиденды по годам'!I215&lt;&gt;"",'Дивиденды по годам'!J215&lt;&gt;"",'Дивиденды по годам'!K215&lt;&gt;"",('Дивиденды по годам'!I215-'Дивиденды по годам'!J215-'Дивиденды по годам'!K215)&lt;&gt;0),'Дивиденды по годам'!L215/('Дивиденды по годам'!I215-'Дивиденды по годам'!J215-'Дивиденды по годам'!K215),""),"")</f>
        <v>0.77464995367538581</v>
      </c>
      <c r="T215">
        <f>IFERROR(IF(AND('Дивиденды по годам'!Q215&lt;&gt;"",'Дивиденды по годам'!I215&lt;&gt;"",'Дивиденды по годам'!V215&lt;&gt;"",('Дивиденды по годам'!I215+'Дивиденды по годам'!V215)&lt;&gt;0),'Дивиденды по годам'!Q215/(('Дивиденды по годам'!I215+'Дивиденды по годам'!V215)/2),""),"")</f>
        <v>6.7283685321027223E-3</v>
      </c>
      <c r="U215">
        <f>IFERROR(IF(AND('Дивиденды по годам'!J215&lt;&gt;"",'Дивиденды по годам'!K215&lt;&gt;"",'Дивиденды по годам'!M215&lt;&gt;"",'Дивиденды по годам'!M215&lt;&gt;0),('Дивиденды по годам'!J215+'Дивиденды по годам'!K215)/'Дивиденды по годам'!M215,""),"")</f>
        <v>0.95718631047675573</v>
      </c>
      <c r="V215">
        <f>IFERROR(IF(AND('Дивиденды по годам'!J215&lt;&gt;"",'Дивиденды по годам'!K215&lt;&gt;"",'Дивиденды по годам'!M215&lt;&gt;"",'Дивиденды по годам'!I215&lt;&gt;0),('Дивиденды по годам'!J215+'Дивиденды по годам'!K215)/'Дивиденды по годам'!I215,""),"")</f>
        <v>0.48906243894767099</v>
      </c>
      <c r="W215">
        <f>IFERROR('Дивиденды по годам'!I215,"")</f>
        <v>93823202000</v>
      </c>
      <c r="X215" cm="1">
        <f t="array" ref="X215">IFERROR(AVERAGE(_xlfn._xlws.FILTER(P$2:P$1073,($C$2:$C$1073=$C215)*($E$2:$E$1073=$E215)*(ROW(P$2:P$1073)&lt;&gt;ROW(P215))*(P$2:P$1073&lt;&gt;""))),"")</f>
        <v>26.248828943462982</v>
      </c>
      <c r="Y215" cm="1">
        <f t="array" ref="Y215">IFERROR(AVERAGE(_xlfn._xlws.FILTER(Q$2:Q$1073,($C$2:$C$1073=$C215)*($E$2:$E$1073=$E215)*(ROW(Q$2:Q$1073)&lt;&gt;ROW(Q215))*(Q$2:Q$1073&lt;&gt;""))),"")</f>
        <v>0.74088342245800709</v>
      </c>
      <c r="Z215" cm="1">
        <f t="array" ref="Z215">IFERROR(AVERAGE(_xlfn._xlws.FILTER(R$2:R$1073,($C$2:$C$1073=$C215)*($E$2:$E$1073=$E215)*(ROW(R$2:R$1073)&lt;&gt;ROW(R215))*(R$2:R$1073&lt;&gt;""))),"")</f>
        <v>-5.5781626873358907E-2</v>
      </c>
      <c r="AA215" cm="1">
        <f t="array" ref="AA215">IFERROR(AVERAGE(_xlfn._xlws.FILTER(S$2:S$1073,($C$2:$C$1073=$C215)*($E$2:$E$1073=$E215)*(ROW(S$2:S$1073)&lt;&gt;ROW(S215))*(S$2:S$1073&lt;&gt;""))),"")</f>
        <v>0.46028862753105432</v>
      </c>
      <c r="AB215" cm="1">
        <f t="array" ref="AB215">IFERROR(AVERAGE(_xlfn._xlws.FILTER(T$2:T$1073,($C$2:$C$1073=$C215)*($E$2:$E$1073=$E215)*(ROW(T$2:T$1073)&lt;&gt;ROW(T215))*(T$2:T$1073&lt;&gt;""))),"")</f>
        <v>4.5645576309831327E-2</v>
      </c>
      <c r="AC215" cm="1">
        <f t="array" ref="AC215">IFERROR(AVERAGE(_xlfn._xlws.FILTER(U$2:U$1073,($C$2:$C$1073=$C215)*($E$2:$E$1073=$E215)*(ROW(U$2:U$1073)&lt;&gt;ROW(U215))*(U$2:U$1073&lt;&gt;""))),"")</f>
        <v>0.63476499472907555</v>
      </c>
      <c r="AD215" cm="1">
        <f t="array" ref="AD215">IFERROR(AVERAGE(_xlfn._xlws.FILTER(V$2:V$1073,($C$2:$C$1073=$C215)*($E$2:$E$1073=$E215)*(ROW(V$2:V$1073)&lt;&gt;ROW(V215))*(V$2:V$1073&lt;&gt;""))),"")</f>
        <v>0.35784226204423869</v>
      </c>
      <c r="AE215">
        <f>IF('Дивиденды по годам'!M215&lt;0,1,0)</f>
        <v>0</v>
      </c>
    </row>
    <row r="216" spans="1:31" x14ac:dyDescent="0.2">
      <c r="A216" s="7" t="s">
        <v>2204</v>
      </c>
      <c r="B216" t="str">
        <f t="shared" si="33"/>
        <v>MRKU IV кв. 2019</v>
      </c>
      <c r="C216">
        <v>2019</v>
      </c>
      <c r="D216">
        <f>SUMIFS(Дивиденды!$C:$C,Дивиденды!$A:$A,A216,Дивиденды!$I:$I,C216)</f>
        <v>1.0500000000000001E-2</v>
      </c>
      <c r="E216">
        <v>2</v>
      </c>
      <c r="F216">
        <f t="shared" si="34"/>
        <v>1.0500000000000001E-2</v>
      </c>
      <c r="G216">
        <f t="shared" si="35"/>
        <v>7.0433666666666658E-2</v>
      </c>
      <c r="H216">
        <f t="shared" si="36"/>
        <v>1</v>
      </c>
      <c r="I216">
        <f t="shared" si="37"/>
        <v>1</v>
      </c>
      <c r="J216">
        <f t="shared" si="38"/>
        <v>2.5</v>
      </c>
      <c r="K216">
        <f t="shared" si="43"/>
        <v>-3.6240575663412371E-2</v>
      </c>
      <c r="L216">
        <f t="shared" si="39"/>
        <v>1</v>
      </c>
      <c r="M216">
        <f t="shared" si="40"/>
        <v>0.41666666666666669</v>
      </c>
      <c r="N216">
        <f t="shared" si="41"/>
        <v>0</v>
      </c>
      <c r="O216">
        <f t="shared" si="42"/>
        <v>0.5</v>
      </c>
      <c r="P216">
        <f>IFERROR(LN('Дивиденды по годам'!I216),"")</f>
        <v>25.234552153465813</v>
      </c>
      <c r="Q216">
        <f>IFERROR('Дивиденды по годам'!G216/'Дивиденды по годам'!I216, "")</f>
        <v>0.77134547001297726</v>
      </c>
      <c r="R216">
        <f>IFERROR(IF(AND('Дивиденды по годам'!N216&lt;&gt;"",'Дивиденды по годам'!U216&lt;&gt;"",'Дивиденды по годам'!U216&lt;&gt;0),'Дивиденды по годам'!N216/'Дивиденды по годам'!U216-1,""),"")</f>
        <v>5.8282990883574914E-2</v>
      </c>
      <c r="S216">
        <f>IFERROR(IF(AND('Дивиденды по годам'!L216&lt;&gt;"",'Дивиденды по годам'!I216&lt;&gt;"",'Дивиденды по годам'!J216&lt;&gt;"",'Дивиденды по годам'!K216&lt;&gt;"",('Дивиденды по годам'!I216-'Дивиденды по годам'!J216-'Дивиденды по годам'!K216)&lt;&gt;0),'Дивиденды по годам'!L216/('Дивиденды по годам'!I216-'Дивиденды по годам'!J216-'Дивиденды по годам'!K216),""),"")</f>
        <v>0.78446884595521349</v>
      </c>
      <c r="T216">
        <f>IFERROR(IF(AND('Дивиденды по годам'!Q216&lt;&gt;"",'Дивиденды по годам'!I216&lt;&gt;"",'Дивиденды по годам'!V216&lt;&gt;"",('Дивиденды по годам'!I216+'Дивиденды по годам'!V216)&lt;&gt;0),'Дивиденды по годам'!Q216/(('Дивиденды по годам'!I216+'Дивиденды по годам'!V216)/2),""),"")</f>
        <v>3.1991600198030885E-2</v>
      </c>
      <c r="U216">
        <f>IFERROR(IF(AND('Дивиденды по годам'!J216&lt;&gt;"",'Дивиденды по годам'!K216&lt;&gt;"",'Дивиденды по годам'!M216&lt;&gt;"",'Дивиденды по годам'!M216&lt;&gt;0),('Дивиденды по годам'!J216+'Дивиденды по годам'!K216)/'Дивиденды по годам'!M216,""),"")</f>
        <v>0.91497826438510999</v>
      </c>
      <c r="V216">
        <f>IFERROR(IF(AND('Дивиденды по годам'!J216&lt;&gt;"",'Дивиденды по годам'!K216&lt;&gt;"",'Дивиденды по годам'!M216&lt;&gt;"",'Дивиденды по годам'!I216&lt;&gt;0),('Дивиденды по годам'!J216+'Дивиденды по годам'!K216)/'Дивиденды по годам'!I216,""),"")</f>
        <v>0.47780086145202538</v>
      </c>
      <c r="W216">
        <f>IFERROR('Дивиденды по годам'!I216,"")</f>
        <v>91038848000</v>
      </c>
      <c r="X216" cm="1">
        <f t="array" ref="X216">IFERROR(AVERAGE(_xlfn._xlws.FILTER(P$2:P$1073,($C$2:$C$1073=$C216)*($E$2:$E$1073=$E216)*(ROW(P$2:P$1073)&lt;&gt;ROW(P216))*(P$2:P$1073&lt;&gt;""))),"")</f>
        <v>26.208278625594954</v>
      </c>
      <c r="Y216" cm="1">
        <f t="array" ref="Y216">IFERROR(AVERAGE(_xlfn._xlws.FILTER(Q$2:Q$1073,($C$2:$C$1073=$C216)*($E$2:$E$1073=$E216)*(ROW(Q$2:Q$1073)&lt;&gt;ROW(Q216))*(Q$2:Q$1073&lt;&gt;""))),"")</f>
        <v>0.73413255677684808</v>
      </c>
      <c r="Z216" cm="1">
        <f t="array" ref="Z216">IFERROR(AVERAGE(_xlfn._xlws.FILTER(R$2:R$1073,($C$2:$C$1073=$C216)*($E$2:$E$1073=$E216)*(ROW(R$2:R$1073)&lt;&gt;ROW(R216))*(R$2:R$1073&lt;&gt;""))),"")</f>
        <v>-1.0855055125972475E-3</v>
      </c>
      <c r="AA216" cm="1">
        <f t="array" ref="AA216">IFERROR(AVERAGE(_xlfn._xlws.FILTER(S$2:S$1073,($C$2:$C$1073=$C216)*($E$2:$E$1073=$E216)*(ROW(S$2:S$1073)&lt;&gt;ROW(S216))*(S$2:S$1073&lt;&gt;""))),"")</f>
        <v>0.4481541505674082</v>
      </c>
      <c r="AB216" cm="1">
        <f t="array" ref="AB216">IFERROR(AVERAGE(_xlfn._xlws.FILTER(T$2:T$1073,($C$2:$C$1073=$C216)*($E$2:$E$1073=$E216)*(ROW(T$2:T$1073)&lt;&gt;ROW(T216))*(T$2:T$1073&lt;&gt;""))),"")</f>
        <v>5.3630517657957032E-2</v>
      </c>
      <c r="AC216" cm="1">
        <f t="array" ref="AC216">IFERROR(AVERAGE(_xlfn._xlws.FILTER(U$2:U$1073,($C$2:$C$1073=$C216)*($E$2:$E$1073=$E216)*(ROW(U$2:U$1073)&lt;&gt;ROW(U216))*(U$2:U$1073&lt;&gt;""))),"")</f>
        <v>0.64461049474252485</v>
      </c>
      <c r="AD216" cm="1">
        <f t="array" ref="AD216">IFERROR(AVERAGE(_xlfn._xlws.FILTER(V$2:V$1073,($C$2:$C$1073=$C216)*($E$2:$E$1073=$E216)*(ROW(V$2:V$1073)&lt;&gt;ROW(V216))*(V$2:V$1073&lt;&gt;""))),"")</f>
        <v>0.36199472501453306</v>
      </c>
      <c r="AE216">
        <f>IF('Дивиденды по годам'!M216&lt;0,1,0)</f>
        <v>0</v>
      </c>
    </row>
    <row r="217" spans="1:31" x14ac:dyDescent="0.2">
      <c r="A217" s="7" t="s">
        <v>2204</v>
      </c>
      <c r="B217" t="str">
        <f t="shared" si="33"/>
        <v>MRKU IV кв. 2018</v>
      </c>
      <c r="C217">
        <v>2018</v>
      </c>
      <c r="D217">
        <f>SUMIFS(Дивиденды!$C:$C,Дивиденды!$A:$A,A217,Дивиденды!$I:$I,C217)</f>
        <v>3.0000000000000001E-3</v>
      </c>
      <c r="E217">
        <v>2</v>
      </c>
      <c r="F217">
        <f t="shared" si="34"/>
        <v>3.0000000000000001E-3</v>
      </c>
      <c r="G217">
        <f t="shared" si="35"/>
        <v>8.0320416666666658E-2</v>
      </c>
      <c r="H217">
        <f t="shared" si="36"/>
        <v>1</v>
      </c>
      <c r="I217">
        <f t="shared" si="37"/>
        <v>1</v>
      </c>
      <c r="J217">
        <f t="shared" si="38"/>
        <v>-0.86111111111111116</v>
      </c>
      <c r="K217">
        <f t="shared" si="43"/>
        <v>0.26801762089017805</v>
      </c>
      <c r="L217">
        <f t="shared" si="39"/>
        <v>0</v>
      </c>
      <c r="M217">
        <f t="shared" si="40"/>
        <v>0.66666666666666663</v>
      </c>
      <c r="N217">
        <f t="shared" si="41"/>
        <v>1</v>
      </c>
      <c r="O217">
        <f t="shared" si="42"/>
        <v>0.16666666666666666</v>
      </c>
      <c r="P217">
        <f>IFERROR(LN('Дивиденды по годам'!I217),"")</f>
        <v>25.124808906006404</v>
      </c>
      <c r="Q217">
        <f>IFERROR('Дивиденды по годам'!G217/'Дивиденды по годам'!I217, "")</f>
        <v>0.77398658807391574</v>
      </c>
      <c r="R217">
        <f>IFERROR(IF(AND('Дивиденды по годам'!N217&lt;&gt;"",'Дивиденды по годам'!U217&lt;&gt;"",'Дивиденды по годам'!U217&lt;&gt;0),'Дивиденды по годам'!N217/'Дивиденды по годам'!U217-1,""),"")</f>
        <v>0.2358284927551777</v>
      </c>
      <c r="S217">
        <f>IFERROR(IF(AND('Дивиденды по годам'!L217&lt;&gt;"",'Дивиденды по годам'!I217&lt;&gt;"",'Дивиденды по годам'!J217&lt;&gt;"",'Дивиденды по годам'!K217&lt;&gt;"",('Дивиденды по годам'!I217-'Дивиденды по годам'!J217-'Дивиденды по годам'!K217)&lt;&gt;0),'Дивиденды по годам'!L217/('Дивиденды по годам'!I217-'Дивиденды по годам'!J217-'Дивиденды по годам'!K217),""),"")</f>
        <v>0.77919191489057182</v>
      </c>
      <c r="T217">
        <f>IFERROR(IF(AND('Дивиденды по годам'!Q217&lt;&gt;"",'Дивиденды по годам'!I217&lt;&gt;"",'Дивиденды по годам'!V217&lt;&gt;"",('Дивиденды по годам'!I217+'Дивиденды по годам'!V217)&lt;&gt;0),'Дивиденды по годам'!Q217/(('Дивиденды по годам'!I217+'Дивиденды по годам'!V217)/2),""),"")</f>
        <v>8.0860235731209547E-3</v>
      </c>
      <c r="U217">
        <f>IFERROR(IF(AND('Дивиденды по годам'!J217&lt;&gt;"",'Дивиденды по годам'!K217&lt;&gt;"",'Дивиденды по годам'!M217&lt;&gt;"",'Дивиденды по годам'!M217&lt;&gt;0),('Дивиденды по годам'!J217+'Дивиденды по годам'!K217)/'Дивиденды по годам'!M217,""),"")</f>
        <v>0.80739134662676482</v>
      </c>
      <c r="V217">
        <f>IFERROR(IF(AND('Дивиденды по годам'!J217&lt;&gt;"",'Дивиденды по годам'!K217&lt;&gt;"",'Дивиденды по годам'!M217&lt;&gt;"",'Дивиденды по годам'!I217&lt;&gt;0),('Дивиденды по годам'!J217+'Дивиденды по годам'!K217)/'Дивиденды по годам'!I217,""),"")</f>
        <v>0.44671639494879967</v>
      </c>
      <c r="W217">
        <f>IFERROR('Дивиденды по годам'!I217,"")</f>
        <v>81576650000</v>
      </c>
      <c r="X217" cm="1">
        <f t="array" ref="X217">IFERROR(AVERAGE(_xlfn._xlws.FILTER(P$2:P$1073,($C$2:$C$1073=$C217)*($E$2:$E$1073=$E217)*(ROW(P$2:P$1073)&lt;&gt;ROW(P217))*(P$2:P$1073&lt;&gt;""))),"")</f>
        <v>26.159857939021816</v>
      </c>
      <c r="Y217" cm="1">
        <f t="array" ref="Y217">IFERROR(AVERAGE(_xlfn._xlws.FILTER(Q$2:Q$1073,($C$2:$C$1073=$C217)*($E$2:$E$1073=$E217)*(ROW(Q$2:Q$1073)&lt;&gt;ROW(Q217))*(Q$2:Q$1073&lt;&gt;""))),"")</f>
        <v>0.75145027332882997</v>
      </c>
      <c r="Z217" cm="1">
        <f t="array" ref="Z217">IFERROR(AVERAGE(_xlfn._xlws.FILTER(R$2:R$1073,($C$2:$C$1073=$C217)*($E$2:$E$1073=$E217)*(ROW(R$2:R$1073)&lt;&gt;ROW(R217))*(R$2:R$1073&lt;&gt;""))),"")</f>
        <v>3.4730774307178275E-2</v>
      </c>
      <c r="AA217" cm="1">
        <f t="array" ref="AA217">IFERROR(AVERAGE(_xlfn._xlws.FILTER(S$2:S$1073,($C$2:$C$1073=$C217)*($E$2:$E$1073=$E217)*(ROW(S$2:S$1073)&lt;&gt;ROW(S217))*(S$2:S$1073&lt;&gt;""))),"")</f>
        <v>0.43817789280902919</v>
      </c>
      <c r="AB217" cm="1">
        <f t="array" ref="AB217">IFERROR(AVERAGE(_xlfn._xlws.FILTER(T$2:T$1073,($C$2:$C$1073=$C217)*($E$2:$E$1073=$E217)*(ROW(T$2:T$1073)&lt;&gt;ROW(T217))*(T$2:T$1073&lt;&gt;""))),"")</f>
        <v>7.3438592552844698E-2</v>
      </c>
      <c r="AC217" cm="1">
        <f t="array" ref="AC217">IFERROR(AVERAGE(_xlfn._xlws.FILTER(U$2:U$1073,($C$2:$C$1073=$C217)*($E$2:$E$1073=$E217)*(ROW(U$2:U$1073)&lt;&gt;ROW(U217))*(U$2:U$1073&lt;&gt;""))),"")</f>
        <v>0.61734924790101908</v>
      </c>
      <c r="AD217" cm="1">
        <f t="array" ref="AD217">IFERROR(AVERAGE(_xlfn._xlws.FILTER(V$2:V$1073,($C$2:$C$1073=$C217)*($E$2:$E$1073=$E217)*(ROW(V$2:V$1073)&lt;&gt;ROW(V217))*(V$2:V$1073&lt;&gt;""))),"")</f>
        <v>0.35294049257467819</v>
      </c>
      <c r="AE217">
        <f>IF('Дивиденды по годам'!M217&lt;0,1,0)</f>
        <v>0</v>
      </c>
    </row>
    <row r="218" spans="1:31" x14ac:dyDescent="0.2">
      <c r="A218" s="7" t="s">
        <v>2204</v>
      </c>
      <c r="B218" t="str">
        <f t="shared" si="33"/>
        <v>MRKU IV кв. 2017</v>
      </c>
      <c r="C218">
        <v>2017</v>
      </c>
      <c r="D218">
        <f>SUMIFS(Дивиденды!$C:$C,Дивиденды!$A:$A,A218,Дивиденды!$I:$I,C218)</f>
        <v>2.1600000000000001E-2</v>
      </c>
      <c r="E218">
        <v>2</v>
      </c>
      <c r="F218">
        <f t="shared" si="34"/>
        <v>2.1600000000000001E-2</v>
      </c>
      <c r="G218">
        <f t="shared" si="35"/>
        <v>7.030883333333332E-2</v>
      </c>
      <c r="H218">
        <f t="shared" si="36"/>
        <v>1</v>
      </c>
      <c r="I218">
        <f t="shared" si="37"/>
        <v>1</v>
      </c>
      <c r="J218">
        <f t="shared" si="38"/>
        <v>1.602409638554217</v>
      </c>
      <c r="K218">
        <f t="shared" si="43"/>
        <v>0.50821550106076541</v>
      </c>
      <c r="L218">
        <f t="shared" si="39"/>
        <v>1</v>
      </c>
      <c r="M218">
        <f t="shared" si="40"/>
        <v>0.75</v>
      </c>
      <c r="N218">
        <f t="shared" si="41"/>
        <v>0</v>
      </c>
      <c r="O218">
        <f t="shared" si="42"/>
        <v>0.25</v>
      </c>
      <c r="P218">
        <f>IFERROR(LN('Дивиденды по годам'!I218),"")</f>
        <v>25.066103062977021</v>
      </c>
      <c r="Q218">
        <f>IFERROR('Дивиденды по годам'!G218/'Дивиденды по годам'!I218, "")</f>
        <v>0.79931620840609585</v>
      </c>
      <c r="R218">
        <f>IFERROR(IF(AND('Дивиденды по годам'!N218&lt;&gt;"",'Дивиденды по годам'!U218&lt;&gt;"",'Дивиденды по годам'!U218&lt;&gt;0),'Дивиденды по годам'!N218/'Дивиденды по годам'!U218-1,""),"")</f>
        <v>8.6138198294661628E-2</v>
      </c>
      <c r="S218">
        <f>IFERROR(IF(AND('Дивиденды по годам'!L218&lt;&gt;"",'Дивиденды по годам'!I218&lt;&gt;"",'Дивиденды по годам'!J218&lt;&gt;"",'Дивиденды по годам'!K218&lt;&gt;"",('Дивиденды по годам'!I218-'Дивиденды по годам'!J218-'Дивиденды по годам'!K218)&lt;&gt;0),'Дивиденды по годам'!L218/('Дивиденды по годам'!I218-'Дивиденды по годам'!J218-'Дивиденды по годам'!K218),""),"")</f>
        <v>0.79735143856692459</v>
      </c>
      <c r="T218">
        <f>IFERROR(IF(AND('Дивиденды по годам'!Q218&lt;&gt;"",'Дивиденды по годам'!I218&lt;&gt;"",'Дивиденды по годам'!V218&lt;&gt;"",('Дивиденды по годам'!I218+'Дивиденды по годам'!V218)&lt;&gt;0),'Дивиденды по годам'!Q218/(('Дивиденды по годам'!I218+'Дивиденды по годам'!V218)/2),""),"")</f>
        <v>5.4500068584606202E-2</v>
      </c>
      <c r="U218">
        <f>IFERROR(IF(AND('Дивиденды по годам'!J218&lt;&gt;"",'Дивиденды по годам'!K218&lt;&gt;"",'Дивиденды по годам'!M218&lt;&gt;"",'Дивиденды по годам'!M218&lt;&gt;0),('Дивиденды по годам'!J218+'Дивиденды по годам'!K218)/'Дивиденды по годам'!M218,""),"")</f>
        <v>0.66996333549958653</v>
      </c>
      <c r="V218">
        <f>IFERROR(IF(AND('Дивиденды по годам'!J218&lt;&gt;"",'Дивиденды по годам'!K218&lt;&gt;"",'Дивиденды по годам'!M218&lt;&gt;"",'Дивиденды по годам'!I218&lt;&gt;0),('Дивиденды по годам'!J218+'Дивиденды по годам'!K218)/'Дивиденды по годам'!I218,""),"")</f>
        <v>0.4011844579205448</v>
      </c>
      <c r="W218">
        <f>IFERROR('Дивиденды по годам'!I218,"")</f>
        <v>76925485000</v>
      </c>
      <c r="X218" cm="1">
        <f t="array" ref="X218">IFERROR(AVERAGE(_xlfn._xlws.FILTER(P$2:P$1073,($C$2:$C$1073=$C218)*($E$2:$E$1073=$E218)*(ROW(P$2:P$1073)&lt;&gt;ROW(P218))*(P$2:P$1073&lt;&gt;""))),"")</f>
        <v>26.132137541258075</v>
      </c>
      <c r="Y218" cm="1">
        <f t="array" ref="Y218">IFERROR(AVERAGE(_xlfn._xlws.FILTER(Q$2:Q$1073,($C$2:$C$1073=$C218)*($E$2:$E$1073=$E218)*(ROW(Q$2:Q$1073)&lt;&gt;ROW(Q218))*(Q$2:Q$1073&lt;&gt;""))),"")</f>
        <v>0.75684930376610338</v>
      </c>
      <c r="Z218" cm="1">
        <f t="array" ref="Z218">IFERROR(AVERAGE(_xlfn._xlws.FILTER(R$2:R$1073,($C$2:$C$1073=$C218)*($E$2:$E$1073=$E218)*(ROW(R$2:R$1073)&lt;&gt;ROW(R218))*(R$2:R$1073&lt;&gt;""))),"")</f>
        <v>4.2532406764356885E-2</v>
      </c>
      <c r="AA218" cm="1">
        <f t="array" ref="AA218">IFERROR(AVERAGE(_xlfn._xlws.FILTER(S$2:S$1073,($C$2:$C$1073=$C218)*($E$2:$E$1073=$E218)*(ROW(S$2:S$1073)&lt;&gt;ROW(S218))*(S$2:S$1073&lt;&gt;""))),"")</f>
        <v>0.38906446674871736</v>
      </c>
      <c r="AB218" cm="1">
        <f t="array" ref="AB218">IFERROR(AVERAGE(_xlfn._xlws.FILTER(T$2:T$1073,($C$2:$C$1073=$C218)*($E$2:$E$1073=$E218)*(ROW(T$2:T$1073)&lt;&gt;ROW(T218))*(T$2:T$1073&lt;&gt;""))),"")</f>
        <v>8.3825850757188555E-2</v>
      </c>
      <c r="AC218" cm="1">
        <f t="array" ref="AC218">IFERROR(AVERAGE(_xlfn._xlws.FILTER(U$2:U$1073,($C$2:$C$1073=$C218)*($E$2:$E$1073=$E218)*(ROW(U$2:U$1073)&lt;&gt;ROW(U218))*(U$2:U$1073&lt;&gt;""))),"")</f>
        <v>0.62807952388019694</v>
      </c>
      <c r="AD218" cm="1">
        <f t="array" ref="AD218">IFERROR(AVERAGE(_xlfn._xlws.FILTER(V$2:V$1073,($C$2:$C$1073=$C218)*($E$2:$E$1073=$E218)*(ROW(V$2:V$1073)&lt;&gt;ROW(V218))*(V$2:V$1073&lt;&gt;""))),"")</f>
        <v>0.35775009167579763</v>
      </c>
      <c r="AE218">
        <f>IF('Дивиденды по годам'!M218&lt;0,1,0)</f>
        <v>0</v>
      </c>
    </row>
    <row r="219" spans="1:31" x14ac:dyDescent="0.2">
      <c r="A219" s="7" t="s">
        <v>2204</v>
      </c>
      <c r="B219" t="str">
        <f t="shared" si="33"/>
        <v>MRKU IV кв. 2016</v>
      </c>
      <c r="C219">
        <v>2016</v>
      </c>
      <c r="D219">
        <f>SUMIFS(Дивиденды!$C:$C,Дивиденды!$A:$A,A219,Дивиденды!$I:$I,C219)</f>
        <v>8.3000000000000001E-3</v>
      </c>
      <c r="E219">
        <v>2</v>
      </c>
      <c r="F219">
        <f t="shared" si="34"/>
        <v>8.3000000000000001E-3</v>
      </c>
      <c r="G219">
        <f t="shared" si="35"/>
        <v>5.6703499999999997E-2</v>
      </c>
      <c r="H219">
        <f t="shared" si="36"/>
        <v>1</v>
      </c>
      <c r="I219">
        <f t="shared" si="37"/>
        <v>1</v>
      </c>
      <c r="J219">
        <f t="shared" si="38"/>
        <v>-0.41549295774647887</v>
      </c>
      <c r="K219">
        <f t="shared" si="43"/>
        <v>1.4416944509513498</v>
      </c>
      <c r="L219">
        <f t="shared" si="39"/>
        <v>0</v>
      </c>
      <c r="M219">
        <f t="shared" si="40"/>
        <v>0.91666666666666663</v>
      </c>
      <c r="N219">
        <f t="shared" si="41"/>
        <v>1</v>
      </c>
      <c r="O219">
        <f t="shared" si="42"/>
        <v>8.3333333333333329E-2</v>
      </c>
      <c r="P219">
        <f>IFERROR(LN('Дивиденды по годам'!I219),"")</f>
        <v>25.048259076435773</v>
      </c>
      <c r="Q219">
        <f>IFERROR('Дивиденды по годам'!G219/'Дивиденды по годам'!I219, "")</f>
        <v>0.80084212794700915</v>
      </c>
      <c r="R219">
        <f>IFERROR(IF(AND('Дивиденды по годам'!N219&lt;&gt;"",'Дивиденды по годам'!U219&lt;&gt;"",'Дивиденды по годам'!U219&lt;&gt;0),'Дивиденды по годам'!N219/'Дивиденды по годам'!U219-1,""),"")</f>
        <v>7.2539197288492785E-2</v>
      </c>
      <c r="S219">
        <f>IFERROR(IF(AND('Дивиденды по годам'!L219&lt;&gt;"",'Дивиденды по годам'!I219&lt;&gt;"",'Дивиденды по годам'!J219&lt;&gt;"",'Дивиденды по годам'!K219&lt;&gt;"",('Дивиденды по годам'!I219-'Дивиденды по годам'!J219-'Дивиденды по годам'!K219)&lt;&gt;0),'Дивиденды по годам'!L219/('Дивиденды по годам'!I219-'Дивиденды по годам'!J219-'Дивиденды по годам'!K219),""),"")</f>
        <v>0.79192589384038126</v>
      </c>
      <c r="T219">
        <f>IFERROR(IF(AND('Дивиденды по годам'!Q219&lt;&gt;"",'Дивиденды по годам'!I219&lt;&gt;"",'Дивиденды по годам'!V219&lt;&gt;"",('Дивиденды по годам'!I219+'Дивиденды по годам'!V219)&lt;&gt;0),'Дивиденды по годам'!Q219/(('Дивиденды по годам'!I219+'Дивиденды по годам'!V219)/2),""),"")</f>
        <v>1.7419896601414214E-2</v>
      </c>
      <c r="U219">
        <f>IFERROR(IF(AND('Дивиденды по годам'!J219&lt;&gt;"",'Дивиденды по годам'!K219&lt;&gt;"",'Дивиденды по годам'!M219&lt;&gt;"",'Дивиденды по годам'!M219&lt;&gt;0),('Дивиденды по годам'!J219+'Дивиденды по годам'!K219)/'Дивиденды по годам'!M219,""),"")</f>
        <v>0.79398998532686449</v>
      </c>
      <c r="V219">
        <f>IFERROR(IF(AND('Дивиденды по годам'!J219&lt;&gt;"",'Дивиденды по годам'!K219&lt;&gt;"",'Дивиденды по годам'!M219&lt;&gt;"",'Дивиденды по годам'!I219&lt;&gt;0),('Дивиденды по годам'!J219+'Дивиденды по годам'!K219)/'Дивиденды по годам'!I219,""),"")</f>
        <v>0.44258328743245451</v>
      </c>
      <c r="W219">
        <f>IFERROR('Дивиденды по годам'!I219,"")</f>
        <v>75565002000</v>
      </c>
      <c r="X219" cm="1">
        <f t="array" ref="X219">IFERROR(AVERAGE(_xlfn._xlws.FILTER(P$2:P$1073,($C$2:$C$1073=$C219)*($E$2:$E$1073=$E219)*(ROW(P$2:P$1073)&lt;&gt;ROW(P219))*(P$2:P$1073&lt;&gt;""))),"")</f>
        <v>26.087817780332625</v>
      </c>
      <c r="Y219" cm="1">
        <f t="array" ref="Y219">IFERROR(AVERAGE(_xlfn._xlws.FILTER(Q$2:Q$1073,($C$2:$C$1073=$C219)*($E$2:$E$1073=$E219)*(ROW(Q$2:Q$1073)&lt;&gt;ROW(Q219))*(Q$2:Q$1073&lt;&gt;""))),"")</f>
        <v>0.7092172027574053</v>
      </c>
      <c r="Z219" cm="1">
        <f t="array" ref="Z219">IFERROR(AVERAGE(_xlfn._xlws.FILTER(R$2:R$1073,($C$2:$C$1073=$C219)*($E$2:$E$1073=$E219)*(ROW(R$2:R$1073)&lt;&gt;ROW(R219))*(R$2:R$1073&lt;&gt;""))),"")</f>
        <v>0.11833766071763344</v>
      </c>
      <c r="AA219" cm="1">
        <f t="array" ref="AA219">IFERROR(AVERAGE(_xlfn._xlws.FILTER(S$2:S$1073,($C$2:$C$1073=$C219)*($E$2:$E$1073=$E219)*(ROW(S$2:S$1073)&lt;&gt;ROW(S219))*(S$2:S$1073&lt;&gt;""))),"")</f>
        <v>0.37407125304543437</v>
      </c>
      <c r="AB219" cm="1">
        <f t="array" ref="AB219">IFERROR(AVERAGE(_xlfn._xlws.FILTER(T$2:T$1073,($C$2:$C$1073=$C219)*($E$2:$E$1073=$E219)*(ROW(T$2:T$1073)&lt;&gt;ROW(T219))*(T$2:T$1073&lt;&gt;""))),"")</f>
        <v>4.329636129537251E-2</v>
      </c>
      <c r="AC219" cm="1">
        <f t="array" ref="AC219">IFERROR(AVERAGE(_xlfn._xlws.FILTER(U$2:U$1073,($C$2:$C$1073=$C219)*($E$2:$E$1073=$E219)*(ROW(U$2:U$1073)&lt;&gt;ROW(U219))*(U$2:U$1073&lt;&gt;""))),"")</f>
        <v>0.72062488218845766</v>
      </c>
      <c r="AD219" cm="1">
        <f t="array" ref="AD219">IFERROR(AVERAGE(_xlfn._xlws.FILTER(V$2:V$1073,($C$2:$C$1073=$C219)*($E$2:$E$1073=$E219)*(ROW(V$2:V$1073)&lt;&gt;ROW(V219))*(V$2:V$1073&lt;&gt;""))),"")</f>
        <v>0.39016846433309066</v>
      </c>
      <c r="AE219">
        <f>IF('Дивиденды по годам'!M219&lt;0,1,0)</f>
        <v>0</v>
      </c>
    </row>
    <row r="220" spans="1:31" x14ac:dyDescent="0.2">
      <c r="A220" s="7" t="s">
        <v>2204</v>
      </c>
      <c r="B220" t="str">
        <f t="shared" si="33"/>
        <v>MRKU IV кв. 2015</v>
      </c>
      <c r="C220">
        <v>2015</v>
      </c>
      <c r="D220">
        <f>SUMIFS(Дивиденды!$C:$C,Дивиденды!$A:$A,A220,Дивиденды!$I:$I,C220)</f>
        <v>1.4200000000000001E-2</v>
      </c>
      <c r="E220">
        <v>2</v>
      </c>
      <c r="F220">
        <f t="shared" si="34"/>
        <v>1.4200000000000001E-2</v>
      </c>
      <c r="G220">
        <f t="shared" si="35"/>
        <v>4.0256750000000001E-2</v>
      </c>
      <c r="H220">
        <f t="shared" si="36"/>
        <v>1</v>
      </c>
      <c r="I220">
        <f t="shared" si="37"/>
        <v>0.91666666666666663</v>
      </c>
      <c r="J220">
        <f t="shared" si="38"/>
        <v>1.4482758620689657</v>
      </c>
      <c r="K220">
        <f t="shared" si="43"/>
        <v>4.0242867898199286</v>
      </c>
      <c r="L220">
        <f t="shared" si="39"/>
        <v>1</v>
      </c>
      <c r="M220">
        <f t="shared" si="40"/>
        <v>0.66666666666666663</v>
      </c>
      <c r="N220">
        <f t="shared" si="41"/>
        <v>0</v>
      </c>
      <c r="O220">
        <f t="shared" si="42"/>
        <v>0.33333333333333331</v>
      </c>
      <c r="P220">
        <f>IFERROR(LN('Дивиденды по годам'!I220),"")</f>
        <v>25.07171956851996</v>
      </c>
      <c r="Q220">
        <f>IFERROR('Дивиденды по годам'!G220/'Дивиденды по годам'!I220, "")</f>
        <v>0.78740858193513019</v>
      </c>
      <c r="R220">
        <f>IFERROR(IF(AND('Дивиденды по годам'!N220&lt;&gt;"",'Дивиденды по годам'!U220&lt;&gt;"",'Дивиденды по годам'!U220&lt;&gt;0),'Дивиденды по годам'!N220/'Дивиденды по годам'!U220-1,""),"")</f>
        <v>1.0097238286974397E-2</v>
      </c>
      <c r="S220">
        <f>IFERROR(IF(AND('Дивиденды по годам'!L220&lt;&gt;"",'Дивиденды по годам'!I220&lt;&gt;"",'Дивиденды по годам'!J220&lt;&gt;"",'Дивиденды по годам'!K220&lt;&gt;"",('Дивиденды по годам'!I220-'Дивиденды по годам'!J220-'Дивиденды по годам'!K220)&lt;&gt;0),'Дивиденды по годам'!L220/('Дивиденды по годам'!I220-'Дивиденды по годам'!J220-'Дивиденды по годам'!K220),""),"")</f>
        <v>0.80357556044330136</v>
      </c>
      <c r="T220">
        <f>IFERROR(IF(AND('Дивиденды по годам'!Q220&lt;&gt;"",'Дивиденды по годам'!I220&lt;&gt;"",'Дивиденды по годам'!V220&lt;&gt;"",('Дивиденды по годам'!I220+'Дивиденды по годам'!V220)&lt;&gt;0),'Дивиденды по годам'!Q220/(('Дивиденды по годам'!I220+'Дивиденды по годам'!V220)/2),""),"")</f>
        <v>1.918180526952824E-2</v>
      </c>
      <c r="U220">
        <f>IFERROR(IF(AND('Дивиденды по годам'!J220&lt;&gt;"",'Дивиденды по годам'!K220&lt;&gt;"",'Дивиденды по годам'!M220&lt;&gt;"",'Дивиденды по годам'!M220&lt;&gt;0),('Дивиденды по годам'!J220+'Дивиденды по годам'!K220)/'Дивиденды по годам'!M220,""),"")</f>
        <v>0.87039096298398899</v>
      </c>
      <c r="V220">
        <f>IFERROR(IF(AND('Дивиденды по годам'!J220&lt;&gt;"",'Дивиденды по годам'!K220&lt;&gt;"",'Дивиденды по годам'!M220&lt;&gt;"",'Дивиденды по годам'!I220&lt;&gt;0),('Дивиденды по годам'!J220+'Дивиденды по годам'!K220)/'Дивиденды по годам'!I220,""),"")</f>
        <v>0.46535242107638419</v>
      </c>
      <c r="W220">
        <f>IFERROR('Дивиденды по годам'!I220,"")</f>
        <v>77358753000</v>
      </c>
      <c r="X220" cm="1">
        <f t="array" ref="X220">IFERROR(AVERAGE(_xlfn._xlws.FILTER(P$2:P$1073,($C$2:$C$1073=$C220)*($E$2:$E$1073=$E220)*(ROW(P$2:P$1073)&lt;&gt;ROW(P220))*(P$2:P$1073&lt;&gt;""))),"")</f>
        <v>26.014769061852853</v>
      </c>
      <c r="Y220" cm="1">
        <f t="array" ref="Y220">IFERROR(AVERAGE(_xlfn._xlws.FILTER(Q$2:Q$1073,($C$2:$C$1073=$C220)*($E$2:$E$1073=$E220)*(ROW(Q$2:Q$1073)&lt;&gt;ROW(Q220))*(Q$2:Q$1073&lt;&gt;""))),"")</f>
        <v>0.77858044315601693</v>
      </c>
      <c r="Z220" cm="1">
        <f t="array" ref="Z220">IFERROR(AVERAGE(_xlfn._xlws.FILTER(R$2:R$1073,($C$2:$C$1073=$C220)*($E$2:$E$1073=$E220)*(ROW(R$2:R$1073)&lt;&gt;ROW(R220))*(R$2:R$1073&lt;&gt;""))),"")</f>
        <v>6.3800722730110483E-3</v>
      </c>
      <c r="AA220" cm="1">
        <f t="array" ref="AA220">IFERROR(AVERAGE(_xlfn._xlws.FILTER(S$2:S$1073,($C$2:$C$1073=$C220)*($E$2:$E$1073=$E220)*(ROW(S$2:S$1073)&lt;&gt;ROW(S220))*(S$2:S$1073&lt;&gt;""))),"")</f>
        <v>0.44397152687593122</v>
      </c>
      <c r="AB220" cm="1">
        <f t="array" ref="AB220">IFERROR(AVERAGE(_xlfn._xlws.FILTER(T$2:T$1073,($C$2:$C$1073=$C220)*($E$2:$E$1073=$E220)*(ROW(T$2:T$1073)&lt;&gt;ROW(T220))*(T$2:T$1073&lt;&gt;""))),"")</f>
        <v>-1.5895469562342029E-2</v>
      </c>
      <c r="AC220" cm="1">
        <f t="array" ref="AC220">IFERROR(AVERAGE(_xlfn._xlws.FILTER(U$2:U$1073,($C$2:$C$1073=$C220)*($E$2:$E$1073=$E220)*(ROW(U$2:U$1073)&lt;&gt;ROW(U220))*(U$2:U$1073&lt;&gt;""))),"")</f>
        <v>0.89482852403453417</v>
      </c>
      <c r="AD220" cm="1">
        <f t="array" ref="AD220">IFERROR(AVERAGE(_xlfn._xlws.FILTER(V$2:V$1073,($C$2:$C$1073=$C220)*($E$2:$E$1073=$E220)*(ROW(V$2:V$1073)&lt;&gt;ROW(V220))*(V$2:V$1073&lt;&gt;""))),"")</f>
        <v>0.43582610714239589</v>
      </c>
      <c r="AE220">
        <f>IF('Дивиденды по годам'!M220&lt;0,1,0)</f>
        <v>0</v>
      </c>
    </row>
    <row r="221" spans="1:31" x14ac:dyDescent="0.2">
      <c r="A221" s="7" t="s">
        <v>2204</v>
      </c>
      <c r="B221" t="str">
        <f t="shared" si="33"/>
        <v>MRKU IV кв. 2014</v>
      </c>
      <c r="C221">
        <v>2014</v>
      </c>
      <c r="D221">
        <f>SUMIFS(Дивиденды!$C:$C,Дивиденды!$A:$A,A221,Дивиденды!$I:$I,C221)</f>
        <v>5.7999999999999996E-3</v>
      </c>
      <c r="E221">
        <v>2</v>
      </c>
      <c r="F221">
        <f t="shared" si="34"/>
        <v>5.7999999999999996E-3</v>
      </c>
      <c r="G221">
        <f t="shared" si="35"/>
        <v>3.8484583333333336E-2</v>
      </c>
      <c r="H221">
        <f t="shared" si="36"/>
        <v>1</v>
      </c>
      <c r="I221">
        <f t="shared" si="37"/>
        <v>1</v>
      </c>
      <c r="J221">
        <f t="shared" si="38"/>
        <v>4.6862745098039209</v>
      </c>
      <c r="K221">
        <f t="shared" si="43"/>
        <v>1.0105806058663116</v>
      </c>
      <c r="L221">
        <f t="shared" si="39"/>
        <v>1</v>
      </c>
      <c r="M221">
        <f t="shared" si="40"/>
        <v>0.58333333333333337</v>
      </c>
      <c r="N221">
        <f t="shared" si="41"/>
        <v>0</v>
      </c>
      <c r="O221">
        <f t="shared" si="42"/>
        <v>0.33333333333333331</v>
      </c>
      <c r="P221">
        <f>IFERROR(LN('Дивиденды по годам'!I221),"")</f>
        <v>25.063464528595123</v>
      </c>
      <c r="Q221">
        <f>IFERROR('Дивиденды по годам'!G221/'Дивиденды по годам'!I221, "")</f>
        <v>0.80907764788821135</v>
      </c>
      <c r="R221">
        <f>IFERROR(IF(AND('Дивиденды по годам'!N221&lt;&gt;"",'Дивиденды по годам'!U221&lt;&gt;"",'Дивиденды по годам'!U221&lt;&gt;0),'Дивиденды по годам'!N221/'Дивиденды по годам'!U221-1,""),"")</f>
        <v>5.2682844802896422E-2</v>
      </c>
      <c r="S221">
        <f>IFERROR(IF(AND('Дивиденды по годам'!L221&lt;&gt;"",'Дивиденды по годам'!I221&lt;&gt;"",'Дивиденды по годам'!J221&lt;&gt;"",'Дивиденды по годам'!K221&lt;&gt;"",('Дивиденды по годам'!I221-'Дивиденды по годам'!J221-'Дивиденды по годам'!K221)&lt;&gt;0),'Дивиденды по годам'!L221/('Дивиденды по годам'!I221-'Дивиденды по годам'!J221-'Дивиденды по годам'!K221),""),"")</f>
        <v>0.7935232260158317</v>
      </c>
      <c r="T221">
        <f>IFERROR(IF(AND('Дивиденды по годам'!Q221&lt;&gt;"",'Дивиденды по годам'!I221&lt;&gt;"",'Дивиденды по годам'!V221&lt;&gt;"",('Дивиденды по годам'!I221+'Дивиденды по годам'!V221)&lt;&gt;0),'Дивиденды по годам'!Q221/(('Дивиденды по годам'!I221+'Дивиденды по годам'!V221)/2),""),"")</f>
        <v>2.7899180634340368E-2</v>
      </c>
      <c r="U221">
        <f>IFERROR(IF(AND('Дивиденды по годам'!J221&lt;&gt;"",'Дивиденды по годам'!K221&lt;&gt;"",'Дивиденды по годам'!M221&lt;&gt;"",'Дивиденды по годам'!M221&lt;&gt;0),('Дивиденды по годам'!J221+'Дивиденды по годам'!K221)/'Дивиденды по годам'!M221,""),"")</f>
        <v>0.83368076483894538</v>
      </c>
      <c r="V221">
        <f>IFERROR(IF(AND('Дивиденды по годам'!J221&lt;&gt;"",'Дивиденды по годам'!K221&lt;&gt;"",'Дивиденды по годам'!M221&lt;&gt;"",'Дивиденды по годам'!I221&lt;&gt;0),('Дивиденды по годам'!J221+'Дивиденды по годам'!K221)/'Дивиденды по годам'!I221,""),"")</f>
        <v>0.45464880301134025</v>
      </c>
      <c r="W221">
        <f>IFERROR('Дивиденды по годам'!I221,"")</f>
        <v>76722782000</v>
      </c>
      <c r="X221" cm="1">
        <f t="array" ref="X221">IFERROR(AVERAGE(_xlfn._xlws.FILTER(P$2:P$1073,($C$2:$C$1073=$C221)*($E$2:$E$1073=$E221)*(ROW(P$2:P$1073)&lt;&gt;ROW(P221))*(P$2:P$1073&lt;&gt;""))),"")</f>
        <v>26.272251843123904</v>
      </c>
      <c r="Y221" cm="1">
        <f t="array" ref="Y221">IFERROR(AVERAGE(_xlfn._xlws.FILTER(Q$2:Q$1073,($C$2:$C$1073=$C221)*($E$2:$E$1073=$E221)*(ROW(Q$2:Q$1073)&lt;&gt;ROW(Q221))*(Q$2:Q$1073&lt;&gt;""))),"")</f>
        <v>0.76772406951427197</v>
      </c>
      <c r="Z221" cm="1">
        <f t="array" ref="Z221">IFERROR(AVERAGE(_xlfn._xlws.FILTER(R$2:R$1073,($C$2:$C$1073=$C221)*($E$2:$E$1073=$E221)*(ROW(R$2:R$1073)&lt;&gt;ROW(R221))*(R$2:R$1073&lt;&gt;""))),"")</f>
        <v>1.9381178964731113E-2</v>
      </c>
      <c r="AA221" cm="1">
        <f t="array" ref="AA221">IFERROR(AVERAGE(_xlfn._xlws.FILTER(S$2:S$1073,($C$2:$C$1073=$C221)*($E$2:$E$1073=$E221)*(ROW(S$2:S$1073)&lt;&gt;ROW(S221))*(S$2:S$1073&lt;&gt;""))),"")</f>
        <v>0.56688778429037778</v>
      </c>
      <c r="AB221" cm="1">
        <f t="array" ref="AB221">IFERROR(AVERAGE(_xlfn._xlws.FILTER(T$2:T$1073,($C$2:$C$1073=$C221)*($E$2:$E$1073=$E221)*(ROW(T$2:T$1073)&lt;&gt;ROW(T221))*(T$2:T$1073&lt;&gt;""))),"")</f>
        <v>1.758491024576499E-2</v>
      </c>
      <c r="AC221" cm="1">
        <f t="array" ref="AC221">IFERROR(AVERAGE(_xlfn._xlws.FILTER(U$2:U$1073,($C$2:$C$1073=$C221)*($E$2:$E$1073=$E221)*(ROW(U$2:U$1073)&lt;&gt;ROW(U221))*(U$2:U$1073&lt;&gt;""))),"")</f>
        <v>0.74579166180996159</v>
      </c>
      <c r="AD221" cm="1">
        <f t="array" ref="AD221">IFERROR(AVERAGE(_xlfn._xlws.FILTER(V$2:V$1073,($C$2:$C$1073=$C221)*($E$2:$E$1073=$E221)*(ROW(V$2:V$1073)&lt;&gt;ROW(V221))*(V$2:V$1073&lt;&gt;""))),"")</f>
        <v>0.39845637945878887</v>
      </c>
      <c r="AE221">
        <f>IF('Дивиденды по годам'!M221&lt;0,1,0)</f>
        <v>0</v>
      </c>
    </row>
    <row r="222" spans="1:31" x14ac:dyDescent="0.2">
      <c r="A222" s="7" t="s">
        <v>2204</v>
      </c>
      <c r="B222" t="str">
        <f t="shared" si="33"/>
        <v>MRKU IV кв. 2013</v>
      </c>
      <c r="C222">
        <v>2013</v>
      </c>
      <c r="D222">
        <f>SUMIFS(Дивиденды!$C:$C,Дивиденды!$A:$A,A222,Дивиденды!$I:$I,C222)</f>
        <v>1.0200000000000001E-3</v>
      </c>
      <c r="E222">
        <v>2</v>
      </c>
      <c r="F222">
        <f t="shared" si="34"/>
        <v>1.0200000000000001E-3</v>
      </c>
      <c r="G222">
        <f t="shared" si="35"/>
        <v>4.6358083333333328E-2</v>
      </c>
      <c r="H222">
        <f t="shared" si="36"/>
        <v>1</v>
      </c>
      <c r="I222">
        <f t="shared" si="37"/>
        <v>0.75</v>
      </c>
      <c r="J222">
        <f t="shared" si="38"/>
        <v>-0.43016759776536306</v>
      </c>
      <c r="K222">
        <f t="shared" si="43"/>
        <v>4.8800154232456983E-2</v>
      </c>
      <c r="L222">
        <f t="shared" si="39"/>
        <v>0</v>
      </c>
      <c r="M222">
        <f t="shared" si="40"/>
        <v>0.5</v>
      </c>
      <c r="N222">
        <f t="shared" si="41"/>
        <v>1</v>
      </c>
      <c r="O222">
        <f t="shared" si="42"/>
        <v>0.25</v>
      </c>
      <c r="P222">
        <f>IFERROR(LN('Дивиденды по годам'!I222),"")</f>
        <v>24.979830363147215</v>
      </c>
      <c r="Q222">
        <f>IFERROR('Дивиденды по годам'!G222/'Дивиденды по годам'!I222, "")</f>
        <v>0.82667061656959717</v>
      </c>
      <c r="R222">
        <f>IFERROR(IF(AND('Дивиденды по годам'!N222&lt;&gt;"",'Дивиденды по годам'!U222&lt;&gt;"",'Дивиденды по годам'!U222&lt;&gt;0),'Дивиденды по годам'!N222/'Дивиденды по годам'!U222-1,""),"")</f>
        <v>0.1025129420227735</v>
      </c>
      <c r="S222" t="str">
        <f>IFERROR(IF(AND('Дивиденды по годам'!L222&lt;&gt;"",'Дивиденды по годам'!I222&lt;&gt;"",'Дивиденды по годам'!J222&lt;&gt;"",'Дивиденды по годам'!K222&lt;&gt;"",('Дивиденды по годам'!I222-'Дивиденды по годам'!J222-'Дивиденды по годам'!K222)&lt;&gt;0),'Дивиденды по годам'!L222/('Дивиденды по годам'!I222-'Дивиденды по годам'!J222-'Дивиденды по годам'!K222),""),"")</f>
        <v/>
      </c>
      <c r="T222">
        <f>IFERROR(IF(AND('Дивиденды по годам'!Q222&lt;&gt;"",'Дивиденды по годам'!I222&lt;&gt;"",'Дивиденды по годам'!V222&lt;&gt;"",('Дивиденды по годам'!I222+'Дивиденды по годам'!V222)&lt;&gt;0),'Дивиденды по годам'!Q222/(('Дивиденды по годам'!I222+'Дивиденды по годам'!V222)/2),""),"")</f>
        <v>-1.6010763211437285E-2</v>
      </c>
      <c r="U222">
        <f>IFERROR(IF(AND('Дивиденды по годам'!J222&lt;&gt;"",'Дивиденды по годам'!K222&lt;&gt;"",'Дивиденды по годам'!M222&lt;&gt;"",'Дивиденды по годам'!M222&lt;&gt;0),('Дивиденды по годам'!J222+'Дивиденды по годам'!K222)/'Дивиденды по годам'!M222,""),"")</f>
        <v>0.7657640752837066</v>
      </c>
      <c r="V222">
        <f>IFERROR(IF(AND('Дивиденды по годам'!J222&lt;&gt;"",'Дивиденды по годам'!K222&lt;&gt;"",'Дивиденды по годам'!M222&lt;&gt;"",'Дивиденды по годам'!I222&lt;&gt;0),('Дивиденды по годам'!J222+'Дивиденды по годам'!K222)/'Дивиденды по годам'!I222,""),"")</f>
        <v>0.43367292720612788</v>
      </c>
      <c r="W222">
        <f>IFERROR('Дивиденды по годам'!I222,"")</f>
        <v>70567135000</v>
      </c>
      <c r="X222" cm="1">
        <f t="array" ref="X222">IFERROR(AVERAGE(_xlfn._xlws.FILTER(P$2:P$1073,($C$2:$C$1073=$C222)*($E$2:$E$1073=$E222)*(ROW(P$2:P$1073)&lt;&gt;ROW(P222))*(P$2:P$1073&lt;&gt;""))),"")</f>
        <v>26.220780595000868</v>
      </c>
      <c r="Y222" cm="1">
        <f t="array" ref="Y222">IFERROR(AVERAGE(_xlfn._xlws.FILTER(Q$2:Q$1073,($C$2:$C$1073=$C222)*($E$2:$E$1073=$E222)*(ROW(Q$2:Q$1073)&lt;&gt;ROW(Q222))*(Q$2:Q$1073&lt;&gt;""))),"")</f>
        <v>0.77846555094162628</v>
      </c>
      <c r="Z222" cm="1">
        <f t="array" ref="Z222">IFERROR(AVERAGE(_xlfn._xlws.FILTER(R$2:R$1073,($C$2:$C$1073=$C222)*($E$2:$E$1073=$E222)*(ROW(R$2:R$1073)&lt;&gt;ROW(R222))*(R$2:R$1073&lt;&gt;""))),"")</f>
        <v>9.725977518589965E-2</v>
      </c>
      <c r="AA222" cm="1">
        <f t="array" ref="AA222">IFERROR(AVERAGE(_xlfn._xlws.FILTER(S$2:S$1073,($C$2:$C$1073=$C222)*($E$2:$E$1073=$E222)*(ROW(S$2:S$1073)&lt;&gt;ROW(S222))*(S$2:S$1073&lt;&gt;""))),"")</f>
        <v>0.4636519590056305</v>
      </c>
      <c r="AB222" cm="1">
        <f t="array" ref="AB222">IFERROR(AVERAGE(_xlfn._xlws.FILTER(T$2:T$1073,($C$2:$C$1073=$C222)*($E$2:$E$1073=$E222)*(ROW(T$2:T$1073)&lt;&gt;ROW(T222))*(T$2:T$1073&lt;&gt;""))),"")</f>
        <v>-3.6463097867242217E-3</v>
      </c>
      <c r="AC222" cm="1">
        <f t="array" ref="AC222">IFERROR(AVERAGE(_xlfn._xlws.FILTER(U$2:U$1073,($C$2:$C$1073=$C222)*($E$2:$E$1073=$E222)*(ROW(U$2:U$1073)&lt;&gt;ROW(U222))*(U$2:U$1073&lt;&gt;""))),"")</f>
        <v>0.66831606894488382</v>
      </c>
      <c r="AD222" cm="1">
        <f t="array" ref="AD222">IFERROR(AVERAGE(_xlfn._xlws.FILTER(V$2:V$1073,($C$2:$C$1073=$C222)*($E$2:$E$1073=$E222)*(ROW(V$2:V$1073)&lt;&gt;ROW(V222))*(V$2:V$1073&lt;&gt;""))),"")</f>
        <v>0.37195205200803999</v>
      </c>
      <c r="AE222">
        <f>IF('Дивиденды по годам'!M222&lt;0,1,0)</f>
        <v>0</v>
      </c>
    </row>
    <row r="223" spans="1:31" x14ac:dyDescent="0.2">
      <c r="A223" s="7" t="s">
        <v>2204</v>
      </c>
      <c r="B223" t="str">
        <f t="shared" si="33"/>
        <v>MRKU IV кв. 2012</v>
      </c>
      <c r="C223">
        <v>2012</v>
      </c>
      <c r="D223">
        <f>SUMIFS(Дивиденды!$C:$C,Дивиденды!$A:$A,A223,Дивиденды!$I:$I,C223)</f>
        <v>1.7899999999999999E-3</v>
      </c>
      <c r="E223">
        <v>2</v>
      </c>
      <c r="F223">
        <f t="shared" si="34"/>
        <v>1.7899999999999999E-3</v>
      </c>
      <c r="G223">
        <f t="shared" si="35"/>
        <v>3.7013166666666666E-2</v>
      </c>
      <c r="H223">
        <f t="shared" si="36"/>
        <v>1</v>
      </c>
      <c r="I223">
        <f t="shared" si="37"/>
        <v>0.66666666666666663</v>
      </c>
      <c r="J223">
        <f t="shared" si="38"/>
        <v>-0.36071428571428571</v>
      </c>
      <c r="K223">
        <f t="shared" si="43"/>
        <v>0.7708615668163562</v>
      </c>
      <c r="L223">
        <f t="shared" si="39"/>
        <v>0</v>
      </c>
      <c r="M223">
        <f t="shared" si="40"/>
        <v>0.58333333333333337</v>
      </c>
      <c r="N223">
        <f t="shared" si="41"/>
        <v>1</v>
      </c>
      <c r="O223">
        <f t="shared" si="42"/>
        <v>8.3333333333333329E-2</v>
      </c>
      <c r="P223">
        <f>IFERROR(LN('Дивиденды по годам'!I223),"")</f>
        <v>24.925347827729386</v>
      </c>
      <c r="Q223">
        <f>IFERROR('Дивиденды по годам'!G223/'Дивиденды по годам'!I223, "")</f>
        <v>0.82070145392204352</v>
      </c>
      <c r="R223">
        <f>IFERROR(IF(AND('Дивиденды по годам'!N223&lt;&gt;"",'Дивиденды по годам'!U223&lt;&gt;"",'Дивиденды по годам'!U223&lt;&gt;0),'Дивиденды по годам'!N223/'Дивиденды по годам'!U223-1,""),"")</f>
        <v>-4.144089305575982E-2</v>
      </c>
      <c r="S223" t="str">
        <f>IFERROR(IF(AND('Дивиденды по годам'!L223&lt;&gt;"",'Дивиденды по годам'!I223&lt;&gt;"",'Дивиденды по годам'!J223&lt;&gt;"",'Дивиденды по годам'!K223&lt;&gt;"",('Дивиденды по годам'!I223-'Дивиденды по годам'!J223-'Дивиденды по годам'!K223)&lt;&gt;0),'Дивиденды по годам'!L223/('Дивиденды по годам'!I223-'Дивиденды по годам'!J223-'Дивиденды по годам'!K223),""),"")</f>
        <v/>
      </c>
      <c r="T223">
        <f>IFERROR(IF(AND('Дивиденды по годам'!Q223&lt;&gt;"",'Дивиденды по годам'!I223&lt;&gt;"",'Дивиденды по годам'!V223&lt;&gt;"",('Дивиденды по годам'!I223+'Дивиденды по годам'!V223)&lt;&gt;0),'Дивиденды по годам'!Q223/(('Дивиденды по годам'!I223+'Дивиденды по годам'!V223)/2),""),"")</f>
        <v>3.7500680734004672E-3</v>
      </c>
      <c r="U223">
        <f>IFERROR(IF(AND('Дивиденды по годам'!J223&lt;&gt;"",'Дивиденды по годам'!K223&lt;&gt;"",'Дивиденды по годам'!M223&lt;&gt;"",'Дивиденды по годам'!M223&lt;&gt;0),('Дивиденды по годам'!J223+'Дивиденды по годам'!K223)/'Дивиденды по годам'!M223,""),"")</f>
        <v>0.57394064991700255</v>
      </c>
      <c r="V223">
        <f>IFERROR(IF(AND('Дивиденды по годам'!J223&lt;&gt;"",'Дивиденды по годам'!K223&lt;&gt;"",'Дивиденды по годам'!M223&lt;&gt;"",'Дивиденды по годам'!I223&lt;&gt;0),('Дивиденды по годам'!J223+'Дивиденды по годам'!K223)/'Дивиденды по годам'!I223,""),"")</f>
        <v>0.3646520279829279</v>
      </c>
      <c r="W223">
        <f>IFERROR('Дивиденды по годам'!I223,"")</f>
        <v>66825316000</v>
      </c>
      <c r="X223" cm="1">
        <f t="array" ref="X223">IFERROR(AVERAGE(_xlfn._xlws.FILTER(P$2:P$1073,($C$2:$C$1073=$C223)*($E$2:$E$1073=$E223)*(ROW(P$2:P$1073)&lt;&gt;ROW(P223))*(P$2:P$1073&lt;&gt;""))),"")</f>
        <v>26.222341350531423</v>
      </c>
      <c r="Y223" cm="1">
        <f t="array" ref="Y223">IFERROR(AVERAGE(_xlfn._xlws.FILTER(Q$2:Q$1073,($C$2:$C$1073=$C223)*($E$2:$E$1073=$E223)*(ROW(Q$2:Q$1073)&lt;&gt;ROW(Q223))*(Q$2:Q$1073&lt;&gt;""))),"")</f>
        <v>0.77340717398927061</v>
      </c>
      <c r="Z223" cm="1">
        <f t="array" ref="Z223">IFERROR(AVERAGE(_xlfn._xlws.FILTER(R$2:R$1073,($C$2:$C$1073=$C223)*($E$2:$E$1073=$E223)*(ROW(R$2:R$1073)&lt;&gt;ROW(R223))*(R$2:R$1073&lt;&gt;""))),"")</f>
        <v>-1.3015414054919301E-2</v>
      </c>
      <c r="AA223" cm="1">
        <f t="array" ref="AA223">IFERROR(AVERAGE(_xlfn._xlws.FILTER(S$2:S$1073,($C$2:$C$1073=$C223)*($E$2:$E$1073=$E223)*(ROW(S$2:S$1073)&lt;&gt;ROW(S223))*(S$2:S$1073&lt;&gt;""))),"")</f>
        <v>0.44715527647269881</v>
      </c>
      <c r="AB223" cm="1">
        <f t="array" ref="AB223">IFERROR(AVERAGE(_xlfn._xlws.FILTER(T$2:T$1073,($C$2:$C$1073=$C223)*($E$2:$E$1073=$E223)*(ROW(T$2:T$1073)&lt;&gt;ROW(T223))*(T$2:T$1073&lt;&gt;""))),"")</f>
        <v>2.1474760960732069E-2</v>
      </c>
      <c r="AC223" cm="1">
        <f t="array" ref="AC223">IFERROR(AVERAGE(_xlfn._xlws.FILTER(U$2:U$1073,($C$2:$C$1073=$C223)*($E$2:$E$1073=$E223)*(ROW(U$2:U$1073)&lt;&gt;ROW(U223))*(U$2:U$1073&lt;&gt;""))),"")</f>
        <v>0.65908560228201285</v>
      </c>
      <c r="AD223" cm="1">
        <f t="array" ref="AD223">IFERROR(AVERAGE(_xlfn._xlws.FILTER(V$2:V$1073,($C$2:$C$1073=$C223)*($E$2:$E$1073=$E223)*(ROW(V$2:V$1073)&lt;&gt;ROW(V223))*(V$2:V$1073&lt;&gt;""))),"")</f>
        <v>0.37955203534967402</v>
      </c>
      <c r="AE223">
        <f>IF('Дивиденды по годам'!M223&lt;0,1,0)</f>
        <v>0</v>
      </c>
    </row>
    <row r="224" spans="1:31" x14ac:dyDescent="0.2">
      <c r="A224" s="7" t="s">
        <v>2204</v>
      </c>
      <c r="B224" t="str">
        <f t="shared" si="33"/>
        <v>MRKU IV кв. 2011</v>
      </c>
      <c r="C224">
        <v>2011</v>
      </c>
      <c r="D224">
        <f>SUMIFS(Дивиденды!$C:$C,Дивиденды!$A:$A,A224,Дивиденды!$I:$I,C224)</f>
        <v>2.8E-3</v>
      </c>
      <c r="E224">
        <v>2</v>
      </c>
      <c r="F224">
        <f t="shared" si="34"/>
        <v>2.8E-3</v>
      </c>
      <c r="G224">
        <f t="shared" si="35"/>
        <v>1.1313416666666666E-2</v>
      </c>
      <c r="H224">
        <f t="shared" si="36"/>
        <v>1</v>
      </c>
      <c r="I224">
        <f t="shared" si="37"/>
        <v>0.75</v>
      </c>
      <c r="J224">
        <f t="shared" si="38"/>
        <v>0</v>
      </c>
      <c r="K224">
        <f t="shared" si="43"/>
        <v>5.0770249936127408E-2</v>
      </c>
      <c r="L224">
        <f t="shared" si="39"/>
        <v>0</v>
      </c>
      <c r="M224">
        <f t="shared" si="40"/>
        <v>0.5</v>
      </c>
      <c r="N224">
        <f t="shared" si="41"/>
        <v>0</v>
      </c>
      <c r="O224">
        <f t="shared" si="42"/>
        <v>0.41666666666666669</v>
      </c>
      <c r="P224">
        <f>IFERROR(LN('Дивиденды по годам'!I224),"")</f>
        <v>24.885992119496187</v>
      </c>
      <c r="Q224">
        <f>IFERROR('Дивиденды по годам'!G224/'Дивиденды по годам'!I224, "")</f>
        <v>0.8249280839507398</v>
      </c>
      <c r="R224" t="str">
        <f>IFERROR(IF(AND('Дивиденды по годам'!N224&lt;&gt;"",'Дивиденды по годам'!U224&lt;&gt;"",'Дивиденды по годам'!U224&lt;&gt;0),'Дивиденды по годам'!N224/'Дивиденды по годам'!U224-1,""),"")</f>
        <v/>
      </c>
      <c r="S224" t="str">
        <f>IFERROR(IF(AND('Дивиденды по годам'!L224&lt;&gt;"",'Дивиденды по годам'!I224&lt;&gt;"",'Дивиденды по годам'!J224&lt;&gt;"",'Дивиденды по годам'!K224&lt;&gt;"",('Дивиденды по годам'!I224-'Дивиденды по годам'!J224-'Дивиденды по годам'!K224)&lt;&gt;0),'Дивиденды по годам'!L224/('Дивиденды по годам'!I224-'Дивиденды по годам'!J224-'Дивиденды по годам'!K224),""),"")</f>
        <v/>
      </c>
      <c r="T224" t="str">
        <f>IFERROR(IF(AND('Дивиденды по годам'!Q224&lt;&gt;"",'Дивиденды по годам'!I224&lt;&gt;"",'Дивиденды по годам'!V224&lt;&gt;"",('Дивиденды по годам'!I224+'Дивиденды по годам'!V224)&lt;&gt;0),'Дивиденды по годам'!Q224/(('Дивиденды по годам'!I224+'Дивиденды по годам'!V224)/2),""),"")</f>
        <v/>
      </c>
      <c r="U224">
        <f>IFERROR(IF(AND('Дивиденды по годам'!J224&lt;&gt;"",'Дивиденды по годам'!K224&lt;&gt;"",'Дивиденды по годам'!M224&lt;&gt;"",'Дивиденды по годам'!M224&lt;&gt;0),('Дивиденды по годам'!J224+'Дивиденды по годам'!K224)/'Дивиденды по годам'!M224,""),"")</f>
        <v>0.51198122695336334</v>
      </c>
      <c r="V224">
        <f>IFERROR(IF(AND('Дивиденды по годам'!J224&lt;&gt;"",'Дивиденды по годам'!K224&lt;&gt;"",'Дивиденды по годам'!M224&lt;&gt;"",'Дивиденды по годам'!I224&lt;&gt;0),('Дивиденды по годам'!J224+'Дивиденды по годам'!K224)/'Дивиденды по годам'!I224,""),"")</f>
        <v>0.33861612685827036</v>
      </c>
      <c r="W224">
        <f>IFERROR('Дивиденды по годам'!I224,"")</f>
        <v>64246438000</v>
      </c>
      <c r="X224" cm="1">
        <f t="array" ref="X224">IFERROR(AVERAGE(_xlfn._xlws.FILTER(P$2:P$1073,($C$2:$C$1073=$C224)*($E$2:$E$1073=$E224)*(ROW(P$2:P$1073)&lt;&gt;ROW(P224))*(P$2:P$1073&lt;&gt;""))),"")</f>
        <v>26.284900078390741</v>
      </c>
      <c r="Y224" cm="1">
        <f t="array" ref="Y224">IFERROR(AVERAGE(_xlfn._xlws.FILTER(Q$2:Q$1073,($C$2:$C$1073=$C224)*($E$2:$E$1073=$E224)*(ROW(Q$2:Q$1073)&lt;&gt;ROW(Q224))*(Q$2:Q$1073&lt;&gt;""))),"")</f>
        <v>0.76016881938543079</v>
      </c>
      <c r="Z224" cm="1">
        <f t="array" ref="Z224">IFERROR(AVERAGE(_xlfn._xlws.FILTER(R$2:R$1073,($C$2:$C$1073=$C224)*($E$2:$E$1073=$E224)*(ROW(R$2:R$1073)&lt;&gt;ROW(R224))*(R$2:R$1073&lt;&gt;""))),"")</f>
        <v>0.14348983045887875</v>
      </c>
      <c r="AA224" cm="1">
        <f t="array" ref="AA224">IFERROR(AVERAGE(_xlfn._xlws.FILTER(S$2:S$1073,($C$2:$C$1073=$C224)*($E$2:$E$1073=$E224)*(ROW(S$2:S$1073)&lt;&gt;ROW(S224))*(S$2:S$1073&lt;&gt;""))),"")</f>
        <v>0.39850050246333968</v>
      </c>
      <c r="AB224" cm="1">
        <f t="array" ref="AB224">IFERROR(AVERAGE(_xlfn._xlws.FILTER(T$2:T$1073,($C$2:$C$1073=$C224)*($E$2:$E$1073=$E224)*(ROW(T$2:T$1073)&lt;&gt;ROW(T224))*(T$2:T$1073&lt;&gt;""))),"")</f>
        <v>4.5214358774442007E-2</v>
      </c>
      <c r="AC224" cm="1">
        <f t="array" ref="AC224">IFERROR(AVERAGE(_xlfn._xlws.FILTER(U$2:U$1073,($C$2:$C$1073=$C224)*($E$2:$E$1073=$E224)*(ROW(U$2:U$1073)&lt;&gt;ROW(U224))*(U$2:U$1073&lt;&gt;""))),"")</f>
        <v>0.60389721525362217</v>
      </c>
      <c r="AD224" cm="1">
        <f t="array" ref="AD224">IFERROR(AVERAGE(_xlfn._xlws.FILTER(V$2:V$1073,($C$2:$C$1073=$C224)*($E$2:$E$1073=$E224)*(ROW(V$2:V$1073)&lt;&gt;ROW(V224))*(V$2:V$1073&lt;&gt;""))),"")</f>
        <v>0.36051191685009759</v>
      </c>
      <c r="AE224">
        <f>IF('Дивиденды по годам'!M224&lt;0,1,0)</f>
        <v>0</v>
      </c>
    </row>
    <row r="225" spans="1:31" x14ac:dyDescent="0.2">
      <c r="A225" s="7" t="s">
        <v>2204</v>
      </c>
      <c r="B225" t="str">
        <f t="shared" si="33"/>
        <v>MRKU IV кв. 2010</v>
      </c>
      <c r="C225">
        <v>2010</v>
      </c>
      <c r="D225">
        <f>SUMIFS(Дивиденды!$C:$C,Дивиденды!$A:$A,A225,Дивиденды!$I:$I,C225)</f>
        <v>2.8E-3</v>
      </c>
      <c r="E225">
        <v>2</v>
      </c>
      <c r="F225">
        <f t="shared" si="34"/>
        <v>2.8E-3</v>
      </c>
      <c r="G225">
        <f t="shared" si="35"/>
        <v>6.3285000000000008E-3</v>
      </c>
      <c r="H225">
        <f t="shared" si="36"/>
        <v>1</v>
      </c>
      <c r="I225">
        <f t="shared" si="37"/>
        <v>0.75</v>
      </c>
      <c r="J225" t="str">
        <f t="shared" si="38"/>
        <v/>
      </c>
      <c r="K225" t="str">
        <f t="shared" si="43"/>
        <v/>
      </c>
      <c r="L225" t="str">
        <f t="shared" si="39"/>
        <v/>
      </c>
      <c r="M225" t="str">
        <f t="shared" si="40"/>
        <v/>
      </c>
      <c r="N225" t="str">
        <f t="shared" si="41"/>
        <v/>
      </c>
      <c r="O225" t="str">
        <f t="shared" si="42"/>
        <v/>
      </c>
      <c r="P225" t="str">
        <f>IFERROR(LN('Дивиденды по годам'!I225),"")</f>
        <v/>
      </c>
      <c r="Q225" t="str">
        <f>IFERROR('Дивиденды по годам'!G225/'Дивиденды по годам'!I225, "")</f>
        <v/>
      </c>
      <c r="R225" t="str">
        <f>IFERROR(IF(AND('Дивиденды по годам'!N225&lt;&gt;"",'Дивиденды по годам'!U225&lt;&gt;"",'Дивиденды по годам'!U225&lt;&gt;0),'Дивиденды по годам'!N225/'Дивиденды по годам'!U225-1,""),"")</f>
        <v/>
      </c>
      <c r="S225" t="str">
        <f>IFERROR(IF(AND('Дивиденды по годам'!L225&lt;&gt;"",'Дивиденды по годам'!I225&lt;&gt;"",'Дивиденды по годам'!J225&lt;&gt;"",'Дивиденды по годам'!K225&lt;&gt;"",('Дивиденды по годам'!I225-'Дивиденды по годам'!J225-'Дивиденды по годам'!K225)&lt;&gt;0),'Дивиденды по годам'!L225/('Дивиденды по годам'!I225-'Дивиденды по годам'!J225-'Дивиденды по годам'!K225),""),"")</f>
        <v/>
      </c>
      <c r="T225" t="str">
        <f>IFERROR(IF(AND('Дивиденды по годам'!Q225&lt;&gt;"",'Дивиденды по годам'!I225&lt;&gt;"",'Дивиденды по годам'!V225&lt;&gt;"",('Дивиденды по годам'!I225+'Дивиденды по годам'!V225)&lt;&gt;0),'Дивиденды по годам'!Q225/(('Дивиденды по годам'!I225+'Дивиденды по годам'!V225)/2),""),"")</f>
        <v/>
      </c>
      <c r="U225" t="str">
        <f>IFERROR(IF(AND('Дивиденды по годам'!J225&lt;&gt;"",'Дивиденды по годам'!K225&lt;&gt;"",'Дивиденды по годам'!M225&lt;&gt;"",'Дивиденды по годам'!M225&lt;&gt;0),('Дивиденды по годам'!J225+'Дивиденды по годам'!K225)/'Дивиденды по годам'!M225,""),"")</f>
        <v/>
      </c>
      <c r="V225" t="str">
        <f>IFERROR(IF(AND('Дивиденды по годам'!J225&lt;&gt;"",'Дивиденды по годам'!K225&lt;&gt;"",'Дивиденды по годам'!M225&lt;&gt;"",'Дивиденды по годам'!I225&lt;&gt;0),('Дивиденды по годам'!J225+'Дивиденды по годам'!K225)/'Дивиденды по годам'!I225,""),"")</f>
        <v/>
      </c>
      <c r="W225" t="str">
        <f>IFERROR('Дивиденды по годам'!I225,"")</f>
        <v/>
      </c>
      <c r="X225" cm="1">
        <f t="array" ref="X225">IFERROR(AVERAGE(_xlfn._xlws.FILTER(P$2:P$1073,($C$2:$C$1073=$C225)*($E$2:$E$1073=$E225)*(ROW(P$2:P$1073)&lt;&gt;ROW(P225))*(P$2:P$1073&lt;&gt;""))),"")</f>
        <v>24.730948088520865</v>
      </c>
      <c r="Y225" cm="1">
        <f t="array" ref="Y225">IFERROR(AVERAGE(_xlfn._xlws.FILTER(Q$2:Q$1073,($C$2:$C$1073=$C225)*($E$2:$E$1073=$E225)*(ROW(Q$2:Q$1073)&lt;&gt;ROW(Q225))*(Q$2:Q$1073&lt;&gt;""))),"")</f>
        <v>0.82035195639515091</v>
      </c>
      <c r="Z225" t="str" cm="1">
        <f t="array" ref="Z225">IFERROR(AVERAGE(_xlfn._xlws.FILTER(R$2:R$1073,($C$2:$C$1073=$C225)*($E$2:$E$1073=$E225)*(ROW(R$2:R$1073)&lt;&gt;ROW(R225))*(R$2:R$1073&lt;&gt;""))),"")</f>
        <v/>
      </c>
      <c r="AA225" t="str" cm="1">
        <f t="array" ref="AA225">IFERROR(AVERAGE(_xlfn._xlws.FILTER(S$2:S$1073,($C$2:$C$1073=$C225)*($E$2:$E$1073=$E225)*(ROW(S$2:S$1073)&lt;&gt;ROW(S225))*(S$2:S$1073&lt;&gt;""))),"")</f>
        <v/>
      </c>
      <c r="AB225" t="str" cm="1">
        <f t="array" ref="AB225">IFERROR(AVERAGE(_xlfn._xlws.FILTER(T$2:T$1073,($C$2:$C$1073=$C225)*($E$2:$E$1073=$E225)*(ROW(T$2:T$1073)&lt;&gt;ROW(T225))*(T$2:T$1073&lt;&gt;""))),"")</f>
        <v/>
      </c>
      <c r="AC225" cm="1">
        <f t="array" ref="AC225">IFERROR(AVERAGE(_xlfn._xlws.FILTER(U$2:U$1073,($C$2:$C$1073=$C225)*($E$2:$E$1073=$E225)*(ROW(U$2:U$1073)&lt;&gt;ROW(U225))*(U$2:U$1073&lt;&gt;""))),"")</f>
        <v>0.91314375247969903</v>
      </c>
      <c r="AD225" cm="1">
        <f t="array" ref="AD225">IFERROR(AVERAGE(_xlfn._xlws.FILTER(V$2:V$1073,($C$2:$C$1073=$C225)*($E$2:$E$1073=$E225)*(ROW(V$2:V$1073)&lt;&gt;ROW(V225))*(V$2:V$1073&lt;&gt;""))),"")</f>
        <v>0.47730012514539921</v>
      </c>
      <c r="AE225">
        <f>IF('Дивиденды по годам'!M225&lt;0,1,0)</f>
        <v>0</v>
      </c>
    </row>
    <row r="226" spans="1:31" x14ac:dyDescent="0.2">
      <c r="A226" s="7" t="s">
        <v>2206</v>
      </c>
      <c r="B226" t="str">
        <f t="shared" si="33"/>
        <v>MRKV IV кв. 2025</v>
      </c>
      <c r="C226">
        <v>2025</v>
      </c>
      <c r="D226">
        <f>SUMIFS(Дивиденды!$C:$C,Дивиденды!$A:$A,A226,Дивиденды!$I:$I,C226)</f>
        <v>0</v>
      </c>
      <c r="E226">
        <v>2</v>
      </c>
      <c r="F226">
        <f t="shared" si="34"/>
        <v>0</v>
      </c>
      <c r="G226">
        <f t="shared" si="35"/>
        <v>0</v>
      </c>
      <c r="H226">
        <f t="shared" si="36"/>
        <v>0</v>
      </c>
      <c r="I226">
        <f t="shared" si="37"/>
        <v>0</v>
      </c>
      <c r="J226">
        <f t="shared" si="38"/>
        <v>-1</v>
      </c>
      <c r="K226">
        <f t="shared" si="43"/>
        <v>-0.5</v>
      </c>
      <c r="L226">
        <f t="shared" si="39"/>
        <v>0</v>
      </c>
      <c r="M226">
        <f t="shared" si="40"/>
        <v>0</v>
      </c>
      <c r="N226">
        <f t="shared" si="41"/>
        <v>1</v>
      </c>
      <c r="O226">
        <f t="shared" si="42"/>
        <v>0.5</v>
      </c>
      <c r="P226">
        <f>IFERROR(LN('Дивиденды по годам'!I226),"")</f>
        <v>25.33252278075225</v>
      </c>
      <c r="Q226">
        <f>IFERROR('Дивиденды по годам'!G226/'Дивиденды по годам'!I226, "")</f>
        <v>0.74080414811696327</v>
      </c>
      <c r="R226">
        <f>IFERROR(IF(AND('Дивиденды по годам'!N226&lt;&gt;"",'Дивиденды по годам'!U226&lt;&gt;"",'Дивиденды по годам'!U226&lt;&gt;0),'Дивиденды по годам'!N226/'Дивиденды по годам'!U226-1,""),"")</f>
        <v>0.54959464730804886</v>
      </c>
      <c r="S226">
        <f>IFERROR(IF(AND('Дивиденды по годам'!L226&lt;&gt;"",'Дивиденды по годам'!I226&lt;&gt;"",'Дивиденды по годам'!J226&lt;&gt;"",'Дивиденды по годам'!K226&lt;&gt;"",('Дивиденды по годам'!I226-'Дивиденды по годам'!J226-'Дивиденды по годам'!K226)&lt;&gt;0),'Дивиденды по годам'!L226/('Дивиденды по годам'!I226-'Дивиденды по годам'!J226-'Дивиденды по годам'!K226),""),"")</f>
        <v>0.67375536712022854</v>
      </c>
      <c r="T226">
        <f>IFERROR(IF(AND('Дивиденды по годам'!Q226&lt;&gt;"",'Дивиденды по годам'!I226&lt;&gt;"",'Дивиденды по годам'!V226&lt;&gt;"",('Дивиденды по годам'!I226+'Дивиденды по годам'!V226)&lt;&gt;0),'Дивиденды по годам'!Q226/(('Дивиденды по годам'!I226+'Дивиденды по годам'!V226)/2),""),"")</f>
        <v>0.12496063624678221</v>
      </c>
      <c r="U226">
        <f>IFERROR(IF(AND('Дивиденды по годам'!J226&lt;&gt;"",'Дивиденды по годам'!K226&lt;&gt;"",'Дивиденды по годам'!M226&lt;&gt;"",'Дивиденды по годам'!M226&lt;&gt;0),('Дивиденды по годам'!J226+'Дивиденды по годам'!K226)/'Дивиденды по годам'!M226,""),"")</f>
        <v>0.83932224831447311</v>
      </c>
      <c r="V226">
        <f>IFERROR(IF(AND('Дивиденды по годам'!J226&lt;&gt;"",'Дивиденды по годам'!K226&lt;&gt;"",'Дивиденды по годам'!M226&lt;&gt;"",'Дивиденды по годам'!I226&lt;&gt;0),('Дивиденды по годам'!J226+'Дивиденды по годам'!K226)/'Дивиденды по годам'!I226,""),"")</f>
        <v>0.45632147878579471</v>
      </c>
      <c r="W226">
        <f>IFERROR('Дивиденды по годам'!I226,"")</f>
        <v>100409512000</v>
      </c>
      <c r="X226" cm="1">
        <f t="array" ref="X226">IFERROR(AVERAGE(_xlfn._xlws.FILTER(P$2:P$1073,($C$2:$C$1073=$C226)*($E$2:$E$1073=$E226)*(ROW(P$2:P$1073)&lt;&gt;ROW(P226))*(P$2:P$1073&lt;&gt;""))),"")</f>
        <v>26.758117978956513</v>
      </c>
      <c r="Y226" cm="1">
        <f t="array" ref="Y226">IFERROR(AVERAGE(_xlfn._xlws.FILTER(Q$2:Q$1073,($C$2:$C$1073=$C226)*($E$2:$E$1073=$E226)*(ROW(Q$2:Q$1073)&lt;&gt;ROW(Q226))*(Q$2:Q$1073&lt;&gt;""))),"")</f>
        <v>0.66856756369013171</v>
      </c>
      <c r="Z226" cm="1">
        <f t="array" ref="Z226">IFERROR(AVERAGE(_xlfn._xlws.FILTER(R$2:R$1073,($C$2:$C$1073=$C226)*($E$2:$E$1073=$E226)*(ROW(R$2:R$1073)&lt;&gt;ROW(R226))*(R$2:R$1073&lt;&gt;""))),"")</f>
        <v>0.12334503056581506</v>
      </c>
      <c r="AA226" cm="1">
        <f t="array" ref="AA226">IFERROR(AVERAGE(_xlfn._xlws.FILTER(S$2:S$1073,($C$2:$C$1073=$C226)*($E$2:$E$1073=$E226)*(ROW(S$2:S$1073)&lt;&gt;ROW(S226))*(S$2:S$1073&lt;&gt;""))),"")</f>
        <v>0.76987877298118079</v>
      </c>
      <c r="AB226" cm="1">
        <f t="array" ref="AB226">IFERROR(AVERAGE(_xlfn._xlws.FILTER(T$2:T$1073,($C$2:$C$1073=$C226)*($E$2:$E$1073=$E226)*(ROW(T$2:T$1073)&lt;&gt;ROW(T226))*(T$2:T$1073&lt;&gt;""))),"")</f>
        <v>9.9932314659051405E-2</v>
      </c>
      <c r="AC226" cm="1">
        <f t="array" ref="AC226">IFERROR(AVERAGE(_xlfn._xlws.FILTER(U$2:U$1073,($C$2:$C$1073=$C226)*($E$2:$E$1073=$E226)*(ROW(U$2:U$1073)&lt;&gt;ROW(U226))*(U$2:U$1073&lt;&gt;""))),"")</f>
        <v>0.89649844204643725</v>
      </c>
      <c r="AD226" cm="1">
        <f t="array" ref="AD226">IFERROR(AVERAGE(_xlfn._xlws.FILTER(V$2:V$1073,($C$2:$C$1073=$C226)*($E$2:$E$1073=$E226)*(ROW(V$2:V$1073)&lt;&gt;ROW(V226))*(V$2:V$1073&lt;&gt;""))),"")</f>
        <v>0.42771122649633897</v>
      </c>
      <c r="AE226">
        <f>IF('Дивиденды по годам'!M226&lt;0,1,0)</f>
        <v>0</v>
      </c>
    </row>
    <row r="227" spans="1:31" x14ac:dyDescent="0.2">
      <c r="A227" s="7" t="s">
        <v>2206</v>
      </c>
      <c r="B227" t="str">
        <f t="shared" si="33"/>
        <v>MRKV IV кв. 2024</v>
      </c>
      <c r="C227">
        <v>2024</v>
      </c>
      <c r="D227">
        <f>SUMIFS(Дивиденды!$C:$C,Дивиденды!$A:$A,A227,Дивиденды!$I:$I,C227)</f>
        <v>7.4000000000000003E-3</v>
      </c>
      <c r="E227">
        <v>2</v>
      </c>
      <c r="F227">
        <f t="shared" si="34"/>
        <v>7.4000000000000003E-3</v>
      </c>
      <c r="G227">
        <f t="shared" si="35"/>
        <v>6.278333333333333E-2</v>
      </c>
      <c r="H227">
        <f t="shared" si="36"/>
        <v>1</v>
      </c>
      <c r="I227">
        <f t="shared" si="37"/>
        <v>0.5</v>
      </c>
      <c r="J227">
        <f t="shared" si="38"/>
        <v>0.1935483870967743</v>
      </c>
      <c r="K227">
        <f t="shared" si="43"/>
        <v>7.0031621184939635E-2</v>
      </c>
      <c r="L227">
        <f t="shared" si="39"/>
        <v>1</v>
      </c>
      <c r="M227">
        <f t="shared" si="40"/>
        <v>0.5</v>
      </c>
      <c r="N227">
        <f t="shared" si="41"/>
        <v>0</v>
      </c>
      <c r="O227">
        <f t="shared" si="42"/>
        <v>8.3333333333333329E-2</v>
      </c>
      <c r="P227">
        <f>IFERROR(LN('Дивиденды по годам'!I227),"")</f>
        <v>25.116119138675732</v>
      </c>
      <c r="Q227">
        <f>IFERROR('Дивиденды по годам'!G227/'Дивиденды по годам'!I227, "")</f>
        <v>0.77828647233398929</v>
      </c>
      <c r="R227">
        <f>IFERROR(IF(AND('Дивиденды по годам'!N227&lt;&gt;"",'Дивиденды по годам'!U227&lt;&gt;"",'Дивиденды по годам'!U227&lt;&gt;0),'Дивиденды по годам'!N227/'Дивиденды по годам'!U227-1,""),"")</f>
        <v>8.2633072508708993E-2</v>
      </c>
      <c r="S227">
        <f>IFERROR(IF(AND('Дивиденды по годам'!L227&lt;&gt;"",'Дивиденды по годам'!I227&lt;&gt;"",'Дивиденды по годам'!J227&lt;&gt;"",'Дивиденды по годам'!K227&lt;&gt;"",('Дивиденды по годам'!I227-'Дивиденды по годам'!J227-'Дивиденды по годам'!K227)&lt;&gt;0),'Дивиденды по годам'!L227/('Дивиденды по годам'!I227-'Дивиденды по годам'!J227-'Дивиденды по годам'!K227),""),"")</f>
        <v>0.59743693895890215</v>
      </c>
      <c r="T227">
        <f>IFERROR(IF(AND('Дивиденды по годам'!Q227&lt;&gt;"",'Дивиденды по годам'!I227&lt;&gt;"",'Дивиденды по годам'!V227&lt;&gt;"",('Дивиденды по годам'!I227+'Дивиденды по годам'!V227)&lt;&gt;0),'Дивиденды по годам'!Q227/(('Дивиденды по годам'!I227+'Дивиденды по годам'!V227)/2),""),"")</f>
        <v>4.756852010727522E-2</v>
      </c>
      <c r="U227">
        <f>IFERROR(IF(AND('Дивиденды по годам'!J227&lt;&gt;"",'Дивиденды по годам'!K227&lt;&gt;"",'Дивиденды по годам'!M227&lt;&gt;"",'Дивиденды по годам'!M227&lt;&gt;0),('Дивиденды по годам'!J227+'Дивиденды по годам'!K227)/'Дивиденды по годам'!M227,""),"")</f>
        <v>0.79966292109077353</v>
      </c>
      <c r="V227">
        <f>IFERROR(IF(AND('Дивиденды по годам'!J227&lt;&gt;"",'Дивиденды по годам'!K227&lt;&gt;"",'Дивиденды по годам'!M227&lt;&gt;"",'Дивиденды по годам'!I227&lt;&gt;0),('Дивиденды по годам'!J227+'Дивиденды по годам'!K227)/'Дивиденды по годам'!I227,""),"")</f>
        <v>0.44434038825787375</v>
      </c>
      <c r="W227">
        <f>IFERROR('Дивиденды по годам'!I227,"")</f>
        <v>80870839000</v>
      </c>
      <c r="X227" cm="1">
        <f t="array" ref="X227">IFERROR(AVERAGE(_xlfn._xlws.FILTER(P$2:P$1073,($C$2:$C$1073=$C227)*($E$2:$E$1073=$E227)*(ROW(P$2:P$1073)&lt;&gt;ROW(P227))*(P$2:P$1073&lt;&gt;""))),"")</f>
        <v>26.687676056766772</v>
      </c>
      <c r="Y227" cm="1">
        <f t="array" ref="Y227">IFERROR(AVERAGE(_xlfn._xlws.FILTER(Q$2:Q$1073,($C$2:$C$1073=$C227)*($E$2:$E$1073=$E227)*(ROW(Q$2:Q$1073)&lt;&gt;ROW(Q227))*(Q$2:Q$1073&lt;&gt;""))),"")</f>
        <v>0.67905197661308592</v>
      </c>
      <c r="Z227" cm="1">
        <f t="array" ref="Z227">IFERROR(AVERAGE(_xlfn._xlws.FILTER(R$2:R$1073,($C$2:$C$1073=$C227)*($E$2:$E$1073=$E227)*(ROW(R$2:R$1073)&lt;&gt;ROW(R227))*(R$2:R$1073&lt;&gt;""))),"")</f>
        <v>0.10119245996532698</v>
      </c>
      <c r="AA227" cm="1">
        <f t="array" ref="AA227">IFERROR(AVERAGE(_xlfn._xlws.FILTER(S$2:S$1073,($C$2:$C$1073=$C227)*($E$2:$E$1073=$E227)*(ROW(S$2:S$1073)&lt;&gt;ROW(S227))*(S$2:S$1073&lt;&gt;""))),"")</f>
        <v>0.55919821579551066</v>
      </c>
      <c r="AB227" cm="1">
        <f t="array" ref="AB227">IFERROR(AVERAGE(_xlfn._xlws.FILTER(T$2:T$1073,($C$2:$C$1073=$C227)*($E$2:$E$1073=$E227)*(ROW(T$2:T$1073)&lt;&gt;ROW(T227))*(T$2:T$1073&lt;&gt;""))),"")</f>
        <v>5.840284344333925E-2</v>
      </c>
      <c r="AC227" cm="1">
        <f t="array" ref="AC227">IFERROR(AVERAGE(_xlfn._xlws.FILTER(U$2:U$1073,($C$2:$C$1073=$C227)*($E$2:$E$1073=$E227)*(ROW(U$2:U$1073)&lt;&gt;ROW(U227))*(U$2:U$1073&lt;&gt;""))),"")</f>
        <v>0.94670596962810427</v>
      </c>
      <c r="AD227" cm="1">
        <f t="array" ref="AD227">IFERROR(AVERAGE(_xlfn._xlws.FILTER(V$2:V$1073,($C$2:$C$1073=$C227)*($E$2:$E$1073=$E227)*(ROW(V$2:V$1073)&lt;&gt;ROW(V227))*(V$2:V$1073&lt;&gt;""))),"")</f>
        <v>0.45237198630609865</v>
      </c>
      <c r="AE227">
        <f>IF('Дивиденды по годам'!M227&lt;0,1,0)</f>
        <v>0</v>
      </c>
    </row>
    <row r="228" spans="1:31" x14ac:dyDescent="0.2">
      <c r="A228" s="7" t="s">
        <v>2206</v>
      </c>
      <c r="B228" t="str">
        <f t="shared" si="33"/>
        <v>MRKV IV кв. 2023</v>
      </c>
      <c r="C228">
        <v>2023</v>
      </c>
      <c r="D228">
        <f>SUMIFS(Дивиденды!$C:$C,Дивиденды!$A:$A,A228,Дивиденды!$I:$I,C228)</f>
        <v>6.1999999999999998E-3</v>
      </c>
      <c r="E228">
        <v>2</v>
      </c>
      <c r="F228">
        <f t="shared" si="34"/>
        <v>6.1999999999999998E-3</v>
      </c>
      <c r="G228">
        <f t="shared" si="35"/>
        <v>6.5783333333333333E-2</v>
      </c>
      <c r="H228">
        <f t="shared" si="36"/>
        <v>1</v>
      </c>
      <c r="I228">
        <f t="shared" si="37"/>
        <v>0.5</v>
      </c>
      <c r="J228">
        <f t="shared" si="38"/>
        <v>1</v>
      </c>
      <c r="K228">
        <f t="shared" si="43"/>
        <v>3.3699909302320995E-2</v>
      </c>
      <c r="L228">
        <f t="shared" si="39"/>
        <v>1</v>
      </c>
      <c r="M228">
        <f t="shared" si="40"/>
        <v>0.41666666666666669</v>
      </c>
      <c r="N228">
        <f t="shared" si="41"/>
        <v>0</v>
      </c>
      <c r="O228">
        <f t="shared" si="42"/>
        <v>0.25</v>
      </c>
      <c r="P228">
        <f>IFERROR(LN('Дивиденды по годам'!I228),"")</f>
        <v>24.996262216810024</v>
      </c>
      <c r="Q228">
        <f>IFERROR('Дивиденды по годам'!G228/'Дивиденды по годам'!I228, "")</f>
        <v>0.8080634755116809</v>
      </c>
      <c r="R228">
        <f>IFERROR(IF(AND('Дивиденды по годам'!N228&lt;&gt;"",'Дивиденды по годам'!U228&lt;&gt;"",'Дивиденды по годам'!U228&lt;&gt;0),'Дивиденды по годам'!N228/'Дивиденды по годам'!U228-1,""),"")</f>
        <v>0.15335085797716719</v>
      </c>
      <c r="S228">
        <f>IFERROR(IF(AND('Дивиденды по годам'!L228&lt;&gt;"",'Дивиденды по годам'!I228&lt;&gt;"",'Дивиденды по годам'!J228&lt;&gt;"",'Дивиденды по годам'!K228&lt;&gt;"",('Дивиденды по годам'!I228-'Дивиденды по годам'!J228-'Дивиденды по годам'!K228)&lt;&gt;0),'Дивиденды по годам'!L228/('Дивиденды по годам'!I228-'Дивиденды по годам'!J228-'Дивиденды по годам'!K228),""),"")</f>
        <v>0.57868504294606038</v>
      </c>
      <c r="T228">
        <f>IFERROR(IF(AND('Дивиденды по годам'!Q228&lt;&gt;"",'Дивиденды по годам'!I228&lt;&gt;"",'Дивиденды по годам'!V228&lt;&gt;"",('Дивиденды по годам'!I228+'Дивиденды по годам'!V228)&lt;&gt;0),'Дивиденды по годам'!Q228/(('Дивиденды по годам'!I228+'Дивиденды по годам'!V228)/2),""),"")</f>
        <v>4.2658888785573626E-2</v>
      </c>
      <c r="U228">
        <f>IFERROR(IF(AND('Дивиденды по годам'!J228&lt;&gt;"",'Дивиденды по годам'!K228&lt;&gt;"",'Дивиденды по годам'!M228&lt;&gt;"",'Дивиденды по годам'!M228&lt;&gt;0),('Дивиденды по годам'!J228+'Дивиденды по годам'!K228)/'Дивиденды по годам'!M228,""),"")</f>
        <v>0.7024089439647373</v>
      </c>
      <c r="V228">
        <f>IFERROR(IF(AND('Дивиденды по годам'!J228&lt;&gt;"",'Дивиденды по годам'!K228&lt;&gt;"",'Дивиденды по годам'!M228&lt;&gt;"",'Дивиденды по годам'!I228&lt;&gt;0),('Дивиденды по годам'!J228+'Дивиденды по годам'!K228)/'Дивиденды по годам'!I228,""),"")</f>
        <v>0.41259707102389764</v>
      </c>
      <c r="W228">
        <f>IFERROR('Дивиденды по годам'!I228,"")</f>
        <v>71736263000</v>
      </c>
      <c r="X228" cm="1">
        <f t="array" ref="X228">IFERROR(AVERAGE(_xlfn._xlws.FILTER(P$2:P$1073,($C$2:$C$1073=$C228)*($E$2:$E$1073=$E228)*(ROW(P$2:P$1073)&lt;&gt;ROW(P228))*(P$2:P$1073&lt;&gt;""))),"")</f>
        <v>26.570242818039567</v>
      </c>
      <c r="Y228" cm="1">
        <f t="array" ref="Y228">IFERROR(AVERAGE(_xlfn._xlws.FILTER(Q$2:Q$1073,($C$2:$C$1073=$C228)*($E$2:$E$1073=$E228)*(ROW(Q$2:Q$1073)&lt;&gt;ROW(Q228))*(Q$2:Q$1073&lt;&gt;""))),"")</f>
        <v>0.69794406610997572</v>
      </c>
      <c r="Z228" cm="1">
        <f t="array" ref="Z228">IFERROR(AVERAGE(_xlfn._xlws.FILTER(R$2:R$1073,($C$2:$C$1073=$C228)*($E$2:$E$1073=$E228)*(ROW(R$2:R$1073)&lt;&gt;ROW(R228))*(R$2:R$1073&lt;&gt;""))),"")</f>
        <v>0.13831775133189853</v>
      </c>
      <c r="AA228" cm="1">
        <f t="array" ref="AA228">IFERROR(AVERAGE(_xlfn._xlws.FILTER(S$2:S$1073,($C$2:$C$1073=$C228)*($E$2:$E$1073=$E228)*(ROW(S$2:S$1073)&lt;&gt;ROW(S228))*(S$2:S$1073&lt;&gt;""))),"")</f>
        <v>0.53634916478634709</v>
      </c>
      <c r="AB228" cm="1">
        <f t="array" ref="AB228">IFERROR(AVERAGE(_xlfn._xlws.FILTER(T$2:T$1073,($C$2:$C$1073=$C228)*($E$2:$E$1073=$E228)*(ROW(T$2:T$1073)&lt;&gt;ROW(T228))*(T$2:T$1073&lt;&gt;""))),"")</f>
        <v>7.9511596710895305E-2</v>
      </c>
      <c r="AC228" cm="1">
        <f t="array" ref="AC228">IFERROR(AVERAGE(_xlfn._xlws.FILTER(U$2:U$1073,($C$2:$C$1073=$C228)*($E$2:$E$1073=$E228)*(ROW(U$2:U$1073)&lt;&gt;ROW(U228))*(U$2:U$1073&lt;&gt;""))),"")</f>
        <v>0.83741376294990422</v>
      </c>
      <c r="AD228" cm="1">
        <f t="array" ref="AD228">IFERROR(AVERAGE(_xlfn._xlws.FILTER(V$2:V$1073,($C$2:$C$1073=$C228)*($E$2:$E$1073=$E228)*(ROW(V$2:V$1073)&lt;&gt;ROW(V228))*(V$2:V$1073&lt;&gt;""))),"")</f>
        <v>0.42611068634108146</v>
      </c>
      <c r="AE228">
        <f>IF('Дивиденды по годам'!M228&lt;0,1,0)</f>
        <v>0</v>
      </c>
    </row>
    <row r="229" spans="1:31" x14ac:dyDescent="0.2">
      <c r="A229" s="7" t="s">
        <v>2206</v>
      </c>
      <c r="B229" t="str">
        <f t="shared" si="33"/>
        <v>MRKV IV кв. 2022</v>
      </c>
      <c r="C229">
        <v>2022</v>
      </c>
      <c r="D229">
        <f>SUMIFS(Дивиденды!$C:$C,Дивиденды!$A:$A,A229,Дивиденды!$I:$I,C229)</f>
        <v>0</v>
      </c>
      <c r="E229">
        <v>2</v>
      </c>
      <c r="F229">
        <f t="shared" si="34"/>
        <v>0</v>
      </c>
      <c r="G229">
        <f t="shared" si="35"/>
        <v>6.4731666666666673E-2</v>
      </c>
      <c r="H229">
        <f t="shared" si="36"/>
        <v>0</v>
      </c>
      <c r="I229">
        <f t="shared" si="37"/>
        <v>0.66666666666666663</v>
      </c>
      <c r="J229">
        <f t="shared" si="38"/>
        <v>-1</v>
      </c>
      <c r="K229">
        <f t="shared" si="43"/>
        <v>-7.8308528260407059E-2</v>
      </c>
      <c r="L229">
        <f t="shared" si="39"/>
        <v>0</v>
      </c>
      <c r="M229">
        <f t="shared" si="40"/>
        <v>0.33333333333333331</v>
      </c>
      <c r="N229">
        <f t="shared" si="41"/>
        <v>1</v>
      </c>
      <c r="O229">
        <f t="shared" si="42"/>
        <v>0.41666666666666669</v>
      </c>
      <c r="P229">
        <f>IFERROR(LN('Дивиденды по годам'!I229),"")</f>
        <v>24.937031884425565</v>
      </c>
      <c r="Q229">
        <f>IFERROR('Дивиденды по годам'!G229/'Дивиденды по годам'!I229, "")</f>
        <v>0.79838175284895052</v>
      </c>
      <c r="R229">
        <f>IFERROR(IF(AND('Дивиденды по годам'!N229&lt;&gt;"",'Дивиденды по годам'!U229&lt;&gt;"",'Дивиденды по годам'!U229&lt;&gt;0),'Дивиденды по годам'!N229/'Дивиденды по годам'!U229-1,""),"")</f>
        <v>2.9230764608529913E-2</v>
      </c>
      <c r="S229">
        <f>IFERROR(IF(AND('Дивиденды по годам'!L229&lt;&gt;"",'Дивиденды по годам'!I229&lt;&gt;"",'Дивиденды по годам'!J229&lt;&gt;"",'Дивиденды по годам'!K229&lt;&gt;"",('Дивиденды по годам'!I229-'Дивиденды по годам'!J229-'Дивиденды по годам'!K229)&lt;&gt;0),'Дивиденды по годам'!L229/('Дивиденды по годам'!I229-'Дивиденды по годам'!J229-'Дивиденды по годам'!K229),""),"")</f>
        <v>0.54820303248400704</v>
      </c>
      <c r="T229">
        <f>IFERROR(IF(AND('Дивиденды по годам'!Q229&lt;&gt;"",'Дивиденды по годам'!I229&lt;&gt;"",'Дивиденды по годам'!V229&lt;&gt;"",('Дивиденды по годам'!I229+'Дивиденды по годам'!V229)&lt;&gt;0),'Дивиденды по годам'!Q229/(('Дивиденды по годам'!I229+'Дивиденды по годам'!V229)/2),""),"")</f>
        <v>-7.1199751757517827E-3</v>
      </c>
      <c r="U229">
        <f>IFERROR(IF(AND('Дивиденды по годам'!J229&lt;&gt;"",'Дивиденды по годам'!K229&lt;&gt;"",'Дивиденды по годам'!M229&lt;&gt;"",'Дивиденды по годам'!M229&lt;&gt;0),('Дивиденды по годам'!J229+'Дивиденды по годам'!K229)/'Дивиденды по годам'!M229,""),"")</f>
        <v>0.73158209267755403</v>
      </c>
      <c r="V229">
        <f>IFERROR(IF(AND('Дивиденды по годам'!J229&lt;&gt;"",'Дивиденды по годам'!K229&lt;&gt;"",'Дивиденды по годам'!M229&lt;&gt;"",'Дивиденды по годам'!I229&lt;&gt;0),('Дивиденды по годам'!J229+'Дивиденды по годам'!K229)/'Дивиденды по годам'!I229,""),"")</f>
        <v>0.42249345022175933</v>
      </c>
      <c r="W229">
        <f>IFERROR('Дивиденды по годам'!I229,"")</f>
        <v>67610686000</v>
      </c>
      <c r="X229" cm="1">
        <f t="array" ref="X229">IFERROR(AVERAGE(_xlfn._xlws.FILTER(P$2:P$1073,($C$2:$C$1073=$C229)*($E$2:$E$1073=$E229)*(ROW(P$2:P$1073)&lt;&gt;ROW(P229))*(P$2:P$1073&lt;&gt;""))),"")</f>
        <v>26.464199115629746</v>
      </c>
      <c r="Y229" cm="1">
        <f t="array" ref="Y229">IFERROR(AVERAGE(_xlfn._xlws.FILTER(Q$2:Q$1073,($C$2:$C$1073=$C229)*($E$2:$E$1073=$E229)*(ROW(Q$2:Q$1073)&lt;&gt;ROW(Q229))*(Q$2:Q$1073&lt;&gt;""))),"")</f>
        <v>0.69809991211899003</v>
      </c>
      <c r="Z229" cm="1">
        <f t="array" ref="Z229">IFERROR(AVERAGE(_xlfn._xlws.FILTER(R$2:R$1073,($C$2:$C$1073=$C229)*($E$2:$E$1073=$E229)*(ROW(R$2:R$1073)&lt;&gt;ROW(R229))*(R$2:R$1073&lt;&gt;""))),"")</f>
        <v>7.9186284441015262E-2</v>
      </c>
      <c r="AA229" cm="1">
        <f t="array" ref="AA229">IFERROR(AVERAGE(_xlfn._xlws.FILTER(S$2:S$1073,($C$2:$C$1073=$C229)*($E$2:$E$1073=$E229)*(ROW(S$2:S$1073)&lt;&gt;ROW(S229))*(S$2:S$1073&lt;&gt;""))),"")</f>
        <v>0.51126472655091793</v>
      </c>
      <c r="AB229" cm="1">
        <f t="array" ref="AB229">IFERROR(AVERAGE(_xlfn._xlws.FILTER(T$2:T$1073,($C$2:$C$1073=$C229)*($E$2:$E$1073=$E229)*(ROW(T$2:T$1073)&lt;&gt;ROW(T229))*(T$2:T$1073&lt;&gt;""))),"")</f>
        <v>1.5450948771702496E-2</v>
      </c>
      <c r="AC229" cm="1">
        <f t="array" ref="AC229">IFERROR(AVERAGE(_xlfn._xlws.FILTER(U$2:U$1073,($C$2:$C$1073=$C229)*($E$2:$E$1073=$E229)*(ROW(U$2:U$1073)&lt;&gt;ROW(U229))*(U$2:U$1073&lt;&gt;""))),"")</f>
        <v>0.92896835286878143</v>
      </c>
      <c r="AD229" cm="1">
        <f t="array" ref="AD229">IFERROR(AVERAGE(_xlfn._xlws.FILTER(V$2:V$1073,($C$2:$C$1073=$C229)*($E$2:$E$1073=$E229)*(ROW(V$2:V$1073)&lt;&gt;ROW(V229))*(V$2:V$1073&lt;&gt;""))),"")</f>
        <v>0.44385465506125943</v>
      </c>
      <c r="AE229">
        <f>IF('Дивиденды по годам'!M229&lt;0,1,0)</f>
        <v>0</v>
      </c>
    </row>
    <row r="230" spans="1:31" x14ac:dyDescent="0.2">
      <c r="A230" s="7" t="s">
        <v>2206</v>
      </c>
      <c r="B230" t="str">
        <f t="shared" si="33"/>
        <v>MRKV IV кв. 2021</v>
      </c>
      <c r="C230">
        <v>2021</v>
      </c>
      <c r="D230">
        <f>SUMIFS(Дивиденды!$C:$C,Дивиденды!$A:$A,A230,Дивиденды!$I:$I,C230)</f>
        <v>3.2299999999999999E-4</v>
      </c>
      <c r="E230">
        <v>2</v>
      </c>
      <c r="F230">
        <f t="shared" si="34"/>
        <v>3.2299999999999999E-4</v>
      </c>
      <c r="G230">
        <f t="shared" si="35"/>
        <v>8.1758333333333322E-2</v>
      </c>
      <c r="H230">
        <f t="shared" si="36"/>
        <v>1</v>
      </c>
      <c r="I230">
        <f t="shared" si="37"/>
        <v>0.75</v>
      </c>
      <c r="J230">
        <f t="shared" si="38"/>
        <v>1</v>
      </c>
      <c r="K230">
        <f t="shared" si="43"/>
        <v>8.0542850590722317E-2</v>
      </c>
      <c r="L230">
        <f t="shared" si="39"/>
        <v>1</v>
      </c>
      <c r="M230">
        <f t="shared" si="40"/>
        <v>0.58333333333333337</v>
      </c>
      <c r="N230">
        <f t="shared" si="41"/>
        <v>0</v>
      </c>
      <c r="O230">
        <f t="shared" si="42"/>
        <v>0.25</v>
      </c>
      <c r="P230">
        <f>IFERROR(LN('Дивиденды по годам'!I230),"")</f>
        <v>24.89504643550125</v>
      </c>
      <c r="Q230">
        <f>IFERROR('Дивиденды по годам'!G230/'Дивиденды по годам'!I230, "")</f>
        <v>0.80233952736066583</v>
      </c>
      <c r="R230">
        <f>IFERROR(IF(AND('Дивиденды по годам'!N230&lt;&gt;"",'Дивиденды по годам'!U230&lt;&gt;"",'Дивиденды по годам'!U230&lt;&gt;0),'Дивиденды по годам'!N230/'Дивиденды по годам'!U230-1,""),"")</f>
        <v>7.4709043242167761E-2</v>
      </c>
      <c r="S230">
        <f>IFERROR(IF(AND('Дивиденды по годам'!L230&lt;&gt;"",'Дивиденды по годам'!I230&lt;&gt;"",'Дивиденды по годам'!J230&lt;&gt;"",'Дивиденды по годам'!K230&lt;&gt;"",('Дивиденды по годам'!I230-'Дивиденды по годам'!J230-'Дивиденды по годам'!K230)&lt;&gt;0),'Дивиденды по годам'!L230/('Дивиденды по годам'!I230-'Дивиденды по годам'!J230-'Дивиденды по годам'!K230),""),"")</f>
        <v>0.55220750177930389</v>
      </c>
      <c r="T230">
        <f>IFERROR(IF(AND('Дивиденды по годам'!Q230&lt;&gt;"",'Дивиденды по годам'!I230&lt;&gt;"",'Дивиденды по годам'!V230&lt;&gt;"",('Дивиденды по годам'!I230+'Дивиденды по годам'!V230)&lt;&gt;0),'Дивиденды по годам'!Q230/(('Дивиденды по годам'!I230+'Дивиденды по годам'!V230)/2),""),"")</f>
        <v>1.5562581073911572E-2</v>
      </c>
      <c r="U230">
        <f>IFERROR(IF(AND('Дивиденды по годам'!J230&lt;&gt;"",'Дивиденды по годам'!K230&lt;&gt;"",'Дивиденды по годам'!M230&lt;&gt;"",'Дивиденды по годам'!M230&lt;&gt;0),('Дивиденды по годам'!J230+'Дивиденды по годам'!K230)/'Дивиденды по годам'!M230,""),"")</f>
        <v>0.63303725498913521</v>
      </c>
      <c r="V230">
        <f>IFERROR(IF(AND('Дивиденды по годам'!J230&lt;&gt;"",'Дивиденды по годам'!K230&lt;&gt;"",'Дивиденды по годам'!M230&lt;&gt;"",'Дивиденды по годам'!I230&lt;&gt;0),('Дивиденды по годам'!J230+'Дивиденды по годам'!K230)/'Дивиденды по годам'!I230,""),"")</f>
        <v>0.38764409878288225</v>
      </c>
      <c r="W230">
        <f>IFERROR('Дивиденды по годам'!I230,"")</f>
        <v>64830787000</v>
      </c>
      <c r="X230" cm="1">
        <f t="array" ref="X230">IFERROR(AVERAGE(_xlfn._xlws.FILTER(P$2:P$1073,($C$2:$C$1073=$C230)*($E$2:$E$1073=$E230)*(ROW(P$2:P$1073)&lt;&gt;ROW(P230))*(P$2:P$1073&lt;&gt;""))),"")</f>
        <v>26.029882635409979</v>
      </c>
      <c r="Y230" cm="1">
        <f t="array" ref="Y230">IFERROR(AVERAGE(_xlfn._xlws.FILTER(Q$2:Q$1073,($C$2:$C$1073=$C230)*($E$2:$E$1073=$E230)*(ROW(Q$2:Q$1073)&lt;&gt;ROW(Q230))*(Q$2:Q$1073&lt;&gt;""))),"")</f>
        <v>0.76672594607127675</v>
      </c>
      <c r="Z230" cm="1">
        <f t="array" ref="Z230">IFERROR(AVERAGE(_xlfn._xlws.FILTER(R$2:R$1073,($C$2:$C$1073=$C230)*($E$2:$E$1073=$E230)*(ROW(R$2:R$1073)&lt;&gt;ROW(R230))*(R$2:R$1073&lt;&gt;""))),"")</f>
        <v>0.13193226617327428</v>
      </c>
      <c r="AA230" cm="1">
        <f t="array" ref="AA230">IFERROR(AVERAGE(_xlfn._xlws.FILTER(S$2:S$1073,($C$2:$C$1073=$C230)*($E$2:$E$1073=$E230)*(ROW(S$2:S$1073)&lt;&gt;ROW(S230))*(S$2:S$1073&lt;&gt;""))),"")</f>
        <v>0.49608704496326972</v>
      </c>
      <c r="AB230" cm="1">
        <f t="array" ref="AB230">IFERROR(AVERAGE(_xlfn._xlws.FILTER(T$2:T$1073,($C$2:$C$1073=$C230)*($E$2:$E$1073=$E230)*(ROW(T$2:T$1073)&lt;&gt;ROW(T230))*(T$2:T$1073&lt;&gt;""))),"")</f>
        <v>3.8521876832260479E-2</v>
      </c>
      <c r="AC230" cm="1">
        <f t="array" ref="AC230">IFERROR(AVERAGE(_xlfn._xlws.FILTER(U$2:U$1073,($C$2:$C$1073=$C230)*($E$2:$E$1073=$E230)*(ROW(U$2:U$1073)&lt;&gt;ROW(U230))*(U$2:U$1073&lt;&gt;""))),"")</f>
        <v>0.72299110702192737</v>
      </c>
      <c r="AD230" cm="1">
        <f t="array" ref="AD230">IFERROR(AVERAGE(_xlfn._xlws.FILTER(V$2:V$1073,($C$2:$C$1073=$C230)*($E$2:$E$1073=$E230)*(ROW(V$2:V$1073)&lt;&gt;ROW(V230))*(V$2:V$1073&lt;&gt;""))),"")</f>
        <v>0.38204112168115417</v>
      </c>
      <c r="AE230">
        <f>IF('Дивиденды по годам'!M230&lt;0,1,0)</f>
        <v>0</v>
      </c>
    </row>
    <row r="231" spans="1:31" x14ac:dyDescent="0.2">
      <c r="A231" s="7" t="s">
        <v>2206</v>
      </c>
      <c r="B231" t="str">
        <f t="shared" si="33"/>
        <v>MRKV IV кв. 2020</v>
      </c>
      <c r="C231">
        <v>2020</v>
      </c>
      <c r="D231">
        <f>SUMIFS(Дивиденды!$C:$C,Дивиденды!$A:$A,A231,Дивиденды!$I:$I,C231)</f>
        <v>0</v>
      </c>
      <c r="E231">
        <v>2</v>
      </c>
      <c r="F231">
        <f t="shared" si="34"/>
        <v>0</v>
      </c>
      <c r="G231">
        <f t="shared" si="35"/>
        <v>6.9905916666666665E-2</v>
      </c>
      <c r="H231">
        <f t="shared" si="36"/>
        <v>0</v>
      </c>
      <c r="I231">
        <f t="shared" si="37"/>
        <v>0.83333333333333337</v>
      </c>
      <c r="J231">
        <f t="shared" si="38"/>
        <v>-1</v>
      </c>
      <c r="K231">
        <f t="shared" si="43"/>
        <v>-2.2906983693792141E-3</v>
      </c>
      <c r="L231">
        <f t="shared" si="39"/>
        <v>0</v>
      </c>
      <c r="M231">
        <f t="shared" si="40"/>
        <v>0.58333333333333337</v>
      </c>
      <c r="N231">
        <f t="shared" si="41"/>
        <v>1</v>
      </c>
      <c r="O231">
        <f t="shared" si="42"/>
        <v>0.41666666666666669</v>
      </c>
      <c r="P231">
        <f>IFERROR(LN('Дивиденды по годам'!I231),"")</f>
        <v>24.842088679848352</v>
      </c>
      <c r="Q231">
        <f>IFERROR('Дивиденды по годам'!G231/'Дивиденды по годам'!I231, "")</f>
        <v>0.79335708042796815</v>
      </c>
      <c r="R231">
        <f>IFERROR(IF(AND('Дивиденды по годам'!N231&lt;&gt;"",'Дивиденды по годам'!U231&lt;&gt;"",'Дивиденды по годам'!U231&lt;&gt;0),'Дивиденды по годам'!N231/'Дивиденды по годам'!U231-1,""),"")</f>
        <v>-4.1031182758852536E-2</v>
      </c>
      <c r="S231">
        <f>IFERROR(IF(AND('Дивиденды по годам'!L231&lt;&gt;"",'Дивиденды по годам'!I231&lt;&gt;"",'Дивиденды по годам'!J231&lt;&gt;"",'Дивиденды по годам'!K231&lt;&gt;"",('Дивиденды по годам'!I231-'Дивиденды по годам'!J231-'Дивиденды по годам'!K231)&lt;&gt;0),'Дивиденды по годам'!L231/('Дивиденды по годам'!I231-'Дивиденды по годам'!J231-'Дивиденды по годам'!K231),""),"")</f>
        <v>0.54279641537261369</v>
      </c>
      <c r="T231">
        <f>IFERROR(IF(AND('Дивиденды по годам'!Q231&lt;&gt;"",'Дивиденды по годам'!I231&lt;&gt;"",'Дивиденды по годам'!V231&lt;&gt;"",('Дивиденды по годам'!I231+'Дивиденды по годам'!V231)&lt;&gt;0),'Дивиденды по годам'!Q231/(('Дивиденды по годам'!I231+'Дивиденды по годам'!V231)/2),""),"")</f>
        <v>-1.9501624973200364E-3</v>
      </c>
      <c r="U231">
        <f>IFERROR(IF(AND('Дивиденды по годам'!J231&lt;&gt;"",'Дивиденды по годам'!K231&lt;&gt;"",'Дивиденды по годам'!M231&lt;&gt;"",'Дивиденды по годам'!M231&lt;&gt;0),('Дивиденды по годам'!J231+'Дивиденды по годам'!K231)/'Дивиденды по годам'!M231,""),"")</f>
        <v>0.59536966515327472</v>
      </c>
      <c r="V231">
        <f>IFERROR(IF(AND('Дивиденды по годам'!J231&lt;&gt;"",'Дивиденды по годам'!K231&lt;&gt;"",'Дивиденды по годам'!M231&lt;&gt;"",'Дивиденды по годам'!I231&lt;&gt;0),('Дивиденды по годам'!J231+'Дивиденды по годам'!K231)/'Дивиденды по годам'!I231,""),"")</f>
        <v>0.3731860258832706</v>
      </c>
      <c r="W231">
        <f>IFERROR('Дивиденды по годам'!I231,"")</f>
        <v>61486820000</v>
      </c>
      <c r="X231" cm="1">
        <f t="array" ref="X231">IFERROR(AVERAGE(_xlfn._xlws.FILTER(P$2:P$1073,($C$2:$C$1073=$C231)*($E$2:$E$1073=$E231)*(ROW(P$2:P$1073)&lt;&gt;ROW(P231))*(P$2:P$1073&lt;&gt;""))),"")</f>
        <v>26.284044721679606</v>
      </c>
      <c r="Y231" cm="1">
        <f t="array" ref="Y231">IFERROR(AVERAGE(_xlfn._xlws.FILTER(Q$2:Q$1073,($C$2:$C$1073=$C231)*($E$2:$E$1073=$E231)*(ROW(Q$2:Q$1073)&lt;&gt;ROW(Q231))*(Q$2:Q$1073&lt;&gt;""))),"")</f>
        <v>0.7409367989004324</v>
      </c>
      <c r="Z231" cm="1">
        <f t="array" ref="Z231">IFERROR(AVERAGE(_xlfn._xlws.FILTER(R$2:R$1073,($C$2:$C$1073=$C231)*($E$2:$E$1073=$E231)*(ROW(R$2:R$1073)&lt;&gt;ROW(R231))*(R$2:R$1073&lt;&gt;""))),"")</f>
        <v>-6.6122681469203262E-2</v>
      </c>
      <c r="AA231" cm="1">
        <f t="array" ref="AA231">IFERROR(AVERAGE(_xlfn._xlws.FILTER(S$2:S$1073,($C$2:$C$1073=$C231)*($E$2:$E$1073=$E231)*(ROW(S$2:S$1073)&lt;&gt;ROW(S231))*(S$2:S$1073&lt;&gt;""))),"")</f>
        <v>0.479609755722952</v>
      </c>
      <c r="AB231" cm="1">
        <f t="array" ref="AB231">IFERROR(AVERAGE(_xlfn._xlws.FILTER(T$2:T$1073,($C$2:$C$1073=$C231)*($E$2:$E$1073=$E231)*(ROW(T$2:T$1073)&lt;&gt;ROW(T231))*(T$2:T$1073&lt;&gt;""))),"")</f>
        <v>4.6368787228949888E-2</v>
      </c>
      <c r="AC231" cm="1">
        <f t="array" ref="AC231">IFERROR(AVERAGE(_xlfn._xlws.FILTER(U$2:U$1073,($C$2:$C$1073=$C231)*($E$2:$E$1073=$E231)*(ROW(U$2:U$1073)&lt;&gt;ROW(U231))*(U$2:U$1073&lt;&gt;""))),"")</f>
        <v>0.66491638183936563</v>
      </c>
      <c r="AD231" cm="1">
        <f t="array" ref="AD231">IFERROR(AVERAGE(_xlfn._xlws.FILTER(V$2:V$1073,($C$2:$C$1073=$C231)*($E$2:$E$1073=$E231)*(ROW(V$2:V$1073)&lt;&gt;ROW(V231))*(V$2:V$1073&lt;&gt;""))),"")</f>
        <v>0.3674986297996054</v>
      </c>
      <c r="AE231">
        <f>IF('Дивиденды по годам'!M231&lt;0,1,0)</f>
        <v>0</v>
      </c>
    </row>
    <row r="232" spans="1:31" x14ac:dyDescent="0.2">
      <c r="A232" s="7" t="s">
        <v>2206</v>
      </c>
      <c r="B232" t="str">
        <f t="shared" si="33"/>
        <v>MRKV IV кв. 2019</v>
      </c>
      <c r="C232">
        <v>2019</v>
      </c>
      <c r="D232">
        <f>SUMIFS(Дивиденды!$C:$C,Дивиденды!$A:$A,A232,Дивиденды!$I:$I,C232)</f>
        <v>6.463E-3</v>
      </c>
      <c r="E232">
        <v>2</v>
      </c>
      <c r="F232">
        <f t="shared" si="34"/>
        <v>6.463E-3</v>
      </c>
      <c r="G232">
        <f t="shared" si="35"/>
        <v>7.0770083333333331E-2</v>
      </c>
      <c r="H232">
        <f t="shared" si="36"/>
        <v>1</v>
      </c>
      <c r="I232">
        <f t="shared" si="37"/>
        <v>1</v>
      </c>
      <c r="J232">
        <f t="shared" si="38"/>
        <v>-0.51037878787878788</v>
      </c>
      <c r="K232">
        <f t="shared" si="43"/>
        <v>0.21462432332648662</v>
      </c>
      <c r="L232">
        <f t="shared" si="39"/>
        <v>0</v>
      </c>
      <c r="M232">
        <f t="shared" si="40"/>
        <v>0.5</v>
      </c>
      <c r="N232">
        <f t="shared" si="41"/>
        <v>1</v>
      </c>
      <c r="O232">
        <f t="shared" si="42"/>
        <v>0.41666666666666669</v>
      </c>
      <c r="P232">
        <f>IFERROR(LN('Дивиденды по годам'!I232),"")</f>
        <v>24.796126275950115</v>
      </c>
      <c r="Q232">
        <f>IFERROR('Дивиденды по годам'!G232/'Дивиденды по годам'!I232, "")</f>
        <v>0.77708705575188886</v>
      </c>
      <c r="R232">
        <f>IFERROR(IF(AND('Дивиденды по годам'!N232&lt;&gt;"",'Дивиденды по годам'!U232&lt;&gt;"",'Дивиденды по годам'!U232&lt;&gt;0),'Дивиденды по годам'!N232/'Дивиденды по годам'!U232-1,""),"")</f>
        <v>-1.1154497660079921E-2</v>
      </c>
      <c r="S232">
        <f>IFERROR(IF(AND('Дивиденды по годам'!L232&lt;&gt;"",'Дивиденды по годам'!I232&lt;&gt;"",'Дивиденды по годам'!J232&lt;&gt;"",'Дивиденды по годам'!K232&lt;&gt;"",('Дивиденды по годам'!I232-'Дивиденды по годам'!J232-'Дивиденды по годам'!K232)&lt;&gt;0),'Дивиденды по годам'!L232/('Дивиденды по годам'!I232-'Дивиденды по годам'!J232-'Дивиденды по годам'!K232),""),"")</f>
        <v>0.54567815273068188</v>
      </c>
      <c r="T232">
        <f>IFERROR(IF(AND('Дивиденды по годам'!Q232&lt;&gt;"",'Дивиденды по годам'!I232&lt;&gt;"",'Дивиденды по годам'!V232&lt;&gt;"",('Дивиденды по годам'!I232+'Дивиденды по годам'!V232)&lt;&gt;0),'Дивиденды по годам'!Q232/(('Дивиденды по годам'!I232+'Дивиденды по годам'!V232)/2),""),"")</f>
        <v>6.9689177291546528E-2</v>
      </c>
      <c r="U232">
        <f>IFERROR(IF(AND('Дивиденды по годам'!J232&lt;&gt;"",'Дивиденды по годам'!K232&lt;&gt;"",'Дивиденды по годам'!M232&lt;&gt;"",'Дивиденды по годам'!M232&lt;&gt;0),('Дивиденды по годам'!J232+'Дивиденды по годам'!K232)/'Дивиденды по годам'!M232,""),"")</f>
        <v>0.50949916143649432</v>
      </c>
      <c r="V232">
        <f>IFERROR(IF(AND('Дивиденды по годам'!J232&lt;&gt;"",'Дивиденды по годам'!K232&lt;&gt;"",'Дивиденды по годам'!M232&lt;&gt;"",'Дивиденды по годам'!I232&lt;&gt;0),('Дивиденды по годам'!J232+'Дивиденды по годам'!K232)/'Дивиденды по годам'!I232,""),"")</f>
        <v>0.33752861508822329</v>
      </c>
      <c r="W232">
        <f>IFERROR('Дивиденды по годам'!I232,"")</f>
        <v>58724701000</v>
      </c>
      <c r="X232" cm="1">
        <f t="array" ref="X232">IFERROR(AVERAGE(_xlfn._xlws.FILTER(P$2:P$1073,($C$2:$C$1073=$C232)*($E$2:$E$1073=$E232)*(ROW(P$2:P$1073)&lt;&gt;ROW(P232))*(P$2:P$1073&lt;&gt;""))),"")</f>
        <v>26.244814115387925</v>
      </c>
      <c r="Y232" cm="1">
        <f t="array" ref="Y232">IFERROR(AVERAGE(_xlfn._xlws.FILTER(Q$2:Q$1073,($C$2:$C$1073=$C232)*($E$2:$E$1073=$E232)*(ROW(Q$2:Q$1073)&lt;&gt;ROW(Q232))*(Q$2:Q$1073&lt;&gt;""))),"")</f>
        <v>0.73365409129860548</v>
      </c>
      <c r="Z232" cm="1">
        <f t="array" ref="Z232">IFERROR(AVERAGE(_xlfn._xlws.FILTER(R$2:R$1073,($C$2:$C$1073=$C232)*($E$2:$E$1073=$E232)*(ROW(R$2:R$1073)&lt;&gt;ROW(R232))*(R$2:R$1073&lt;&gt;""))),"")</f>
        <v>4.7009518660406551E-3</v>
      </c>
      <c r="AA232" cm="1">
        <f t="array" ref="AA232">IFERROR(AVERAGE(_xlfn._xlws.FILTER(S$2:S$1073,($C$2:$C$1073=$C232)*($E$2:$E$1073=$E232)*(ROW(S$2:S$1073)&lt;&gt;ROW(S232))*(S$2:S$1073&lt;&gt;""))),"")</f>
        <v>0.46805337500278582</v>
      </c>
      <c r="AB232" cm="1">
        <f t="array" ref="AB232">IFERROR(AVERAGE(_xlfn._xlws.FILTER(T$2:T$1073,($C$2:$C$1073=$C232)*($E$2:$E$1073=$E232)*(ROW(T$2:T$1073)&lt;&gt;ROW(T232))*(T$2:T$1073&lt;&gt;""))),"")</f>
        <v>5.0489052900164061E-2</v>
      </c>
      <c r="AC232" cm="1">
        <f t="array" ref="AC232">IFERROR(AVERAGE(_xlfn._xlws.FILTER(U$2:U$1073,($C$2:$C$1073=$C232)*($E$2:$E$1073=$E232)*(ROW(U$2:U$1073)&lt;&gt;ROW(U232))*(U$2:U$1073&lt;&gt;""))),"")</f>
        <v>0.67840041998824274</v>
      </c>
      <c r="AD232" cm="1">
        <f t="array" ref="AD232">IFERROR(AVERAGE(_xlfn._xlws.FILTER(V$2:V$1073,($C$2:$C$1073=$C232)*($E$2:$E$1073=$E232)*(ROW(V$2:V$1073)&lt;&gt;ROW(V232))*(V$2:V$1073&lt;&gt;""))),"")</f>
        <v>0.37368407887818322</v>
      </c>
      <c r="AE232">
        <f>IF('Дивиденды по годам'!M232&lt;0,1,0)</f>
        <v>0</v>
      </c>
    </row>
    <row r="233" spans="1:31" x14ac:dyDescent="0.2">
      <c r="A233" s="7" t="s">
        <v>2206</v>
      </c>
      <c r="B233" t="str">
        <f t="shared" si="33"/>
        <v>MRKV IV кв. 2018</v>
      </c>
      <c r="C233">
        <v>2018</v>
      </c>
      <c r="D233">
        <f>SUMIFS(Дивиденды!$C:$C,Дивиденды!$A:$A,A233,Дивиденды!$I:$I,C233)</f>
        <v>1.32E-2</v>
      </c>
      <c r="E233">
        <v>2</v>
      </c>
      <c r="F233">
        <f t="shared" si="34"/>
        <v>1.32E-2</v>
      </c>
      <c r="G233">
        <f t="shared" si="35"/>
        <v>7.9470416666666654E-2</v>
      </c>
      <c r="H233">
        <f t="shared" si="36"/>
        <v>1</v>
      </c>
      <c r="I233">
        <f t="shared" si="37"/>
        <v>1</v>
      </c>
      <c r="J233">
        <f t="shared" si="38"/>
        <v>-0.10810810810810816</v>
      </c>
      <c r="K233">
        <f t="shared" si="43"/>
        <v>0.20526737063992784</v>
      </c>
      <c r="L233">
        <f t="shared" si="39"/>
        <v>0</v>
      </c>
      <c r="M233">
        <f t="shared" si="40"/>
        <v>0.66666666666666663</v>
      </c>
      <c r="N233">
        <f t="shared" si="41"/>
        <v>1</v>
      </c>
      <c r="O233">
        <f t="shared" si="42"/>
        <v>0.16666666666666666</v>
      </c>
      <c r="P233">
        <f>IFERROR(LN('Дивиденды по годам'!I233),"")</f>
        <v>24.704188794878007</v>
      </c>
      <c r="Q233">
        <f>IFERROR('Дивиденды по годам'!G233/'Дивиденды по годам'!I233, "")</f>
        <v>0.76668633507192774</v>
      </c>
      <c r="R233">
        <f>IFERROR(IF(AND('Дивиденды по годам'!N233&lt;&gt;"",'Дивиденды по годам'!U233&lt;&gt;"",'Дивиденды по годам'!U233&lt;&gt;0),'Дивиденды по годам'!N233/'Дивиденды по годам'!U233-1,""),"")</f>
        <v>7.4870642744845117E-2</v>
      </c>
      <c r="S233">
        <f>IFERROR(IF(AND('Дивиденды по годам'!L233&lt;&gt;"",'Дивиденды по годам'!I233&lt;&gt;"",'Дивиденды по годам'!J233&lt;&gt;"",'Дивиденды по годам'!K233&lt;&gt;"",('Дивиденды по годам'!I233-'Дивиденды по годам'!J233-'Дивиденды по годам'!K233)&lt;&gt;0),'Дивиденды по годам'!L233/('Дивиденды по годам'!I233-'Дивиденды по годам'!J233-'Дивиденды по годам'!K233),""),"")</f>
        <v>0.53699142530845712</v>
      </c>
      <c r="T233">
        <f>IFERROR(IF(AND('Дивиденды по годам'!Q233&lt;&gt;"",'Дивиденды по годам'!I233&lt;&gt;"",'Дивиденды по годам'!V233&lt;&gt;"",('Дивиденды по годам'!I233+'Дивиденды по годам'!V233)&lt;&gt;0),'Дивиденды по годам'!Q233/(('Дивиденды по годам'!I233+'Дивиденды по годам'!V233)/2),""),"")</f>
        <v>0.10780452503367499</v>
      </c>
      <c r="U233">
        <f>IFERROR(IF(AND('Дивиденды по годам'!J233&lt;&gt;"",'Дивиденды по годам'!K233&lt;&gt;"",'Дивиденды по годам'!M233&lt;&gt;"",'Дивиденды по годам'!M233&lt;&gt;0),('Дивиденды по годам'!J233+'Дивиденды по годам'!K233)/'Дивиденды по годам'!M233,""),"")</f>
        <v>0.38204930545679638</v>
      </c>
      <c r="V233">
        <f>IFERROR(IF(AND('Дивиденды по годам'!J233&lt;&gt;"",'Дивиденды по годам'!K233&lt;&gt;"",'Дивиденды по годам'!M233&lt;&gt;"",'Дивиденды по годам'!I233&lt;&gt;0),('Дивиденды по годам'!J233+'Дивиденды по годам'!K233)/'Дивиденды по годам'!I233,""),"")</f>
        <v>0.27643681303433748</v>
      </c>
      <c r="W233">
        <f>IFERROR('Дивиденды по годам'!I233,"")</f>
        <v>53566451000</v>
      </c>
      <c r="X233" cm="1">
        <f t="array" ref="X233">IFERROR(AVERAGE(_xlfn._xlws.FILTER(P$2:P$1073,($C$2:$C$1073=$C233)*($E$2:$E$1073=$E233)*(ROW(P$2:P$1073)&lt;&gt;ROW(P233))*(P$2:P$1073&lt;&gt;""))),"")</f>
        <v>26.194909614949182</v>
      </c>
      <c r="Y233" cm="1">
        <f t="array" ref="Y233">IFERROR(AVERAGE(_xlfn._xlws.FILTER(Q$2:Q$1073,($C$2:$C$1073=$C233)*($E$2:$E$1073=$E233)*(ROW(Q$2:Q$1073)&lt;&gt;ROW(Q233))*(Q$2:Q$1073&lt;&gt;""))),"")</f>
        <v>0.75205862774566234</v>
      </c>
      <c r="Z233" cm="1">
        <f t="array" ref="Z233">IFERROR(AVERAGE(_xlfn._xlws.FILTER(R$2:R$1073,($C$2:$C$1073=$C233)*($E$2:$E$1073=$E233)*(ROW(R$2:R$1073)&lt;&gt;ROW(R233))*(R$2:R$1073&lt;&gt;""))),"")</f>
        <v>4.8143928474705992E-2</v>
      </c>
      <c r="AA233" cm="1">
        <f t="array" ref="AA233">IFERROR(AVERAGE(_xlfn._xlws.FILTER(S$2:S$1073,($C$2:$C$1073=$C233)*($E$2:$E$1073=$E233)*(ROW(S$2:S$1073)&lt;&gt;ROW(S233))*(S$2:S$1073&lt;&gt;""))),"")</f>
        <v>0.45836126694087204</v>
      </c>
      <c r="AB233" cm="1">
        <f t="array" ref="AB233">IFERROR(AVERAGE(_xlfn._xlws.FILTER(T$2:T$1073,($C$2:$C$1073=$C233)*($E$2:$E$1073=$E233)*(ROW(T$2:T$1073)&lt;&gt;ROW(T233))*(T$2:T$1073&lt;&gt;""))),"")</f>
        <v>6.5128717431131869E-2</v>
      </c>
      <c r="AC233" cm="1">
        <f t="array" ref="AC233">IFERROR(AVERAGE(_xlfn._xlws.FILTER(U$2:U$1073,($C$2:$C$1073=$C233)*($E$2:$E$1073=$E233)*(ROW(U$2:U$1073)&lt;&gt;ROW(U233))*(U$2:U$1073&lt;&gt;""))),"")</f>
        <v>0.65279441799851645</v>
      </c>
      <c r="AD233" cm="1">
        <f t="array" ref="AD233">IFERROR(AVERAGE(_xlfn._xlws.FILTER(V$2:V$1073,($C$2:$C$1073=$C233)*($E$2:$E$1073=$E233)*(ROW(V$2:V$1073)&lt;&gt;ROW(V233))*(V$2:V$1073&lt;&gt;""))),"")</f>
        <v>0.36713045773421671</v>
      </c>
      <c r="AE233">
        <f>IF('Дивиденды по годам'!M233&lt;0,1,0)</f>
        <v>0</v>
      </c>
    </row>
    <row r="234" spans="1:31" x14ac:dyDescent="0.2">
      <c r="A234" s="7" t="s">
        <v>2206</v>
      </c>
      <c r="B234" t="str">
        <f t="shared" si="33"/>
        <v>MRKV IV кв. 2017</v>
      </c>
      <c r="C234">
        <v>2017</v>
      </c>
      <c r="D234">
        <f>SUMIFS(Дивиденды!$C:$C,Дивиденды!$A:$A,A234,Дивиденды!$I:$I,C234)</f>
        <v>1.4800000000000001E-2</v>
      </c>
      <c r="E234">
        <v>2</v>
      </c>
      <c r="F234">
        <f t="shared" si="34"/>
        <v>1.4800000000000001E-2</v>
      </c>
      <c r="G234">
        <f t="shared" si="35"/>
        <v>7.0875499999999994E-2</v>
      </c>
      <c r="H234">
        <f t="shared" si="36"/>
        <v>1</v>
      </c>
      <c r="I234">
        <f t="shared" si="37"/>
        <v>1</v>
      </c>
      <c r="J234">
        <f t="shared" si="38"/>
        <v>1.1010789324247587</v>
      </c>
      <c r="K234">
        <f t="shared" si="43"/>
        <v>0.54999305990488689</v>
      </c>
      <c r="L234">
        <f t="shared" si="39"/>
        <v>1</v>
      </c>
      <c r="M234">
        <f t="shared" si="40"/>
        <v>0.75</v>
      </c>
      <c r="N234">
        <f t="shared" si="41"/>
        <v>0</v>
      </c>
      <c r="O234">
        <f t="shared" si="42"/>
        <v>0.25</v>
      </c>
      <c r="P234">
        <f>IFERROR(LN('Дивиденды по годам'!I234),"")</f>
        <v>24.681594646886069</v>
      </c>
      <c r="Q234">
        <f>IFERROR('Дивиденды по годам'!G234/'Дивиденды по годам'!I234, "")</f>
        <v>0.73423929810755384</v>
      </c>
      <c r="R234">
        <f>IFERROR(IF(AND('Дивиденды по годам'!N234&lt;&gt;"",'Дивиденды по годам'!U234&lt;&gt;"",'Дивиденды по годам'!U234&lt;&gt;0),'Дивиденды по годам'!N234/'Дивиденды по годам'!U234-1,""),"")</f>
        <v>0.1108744185375039</v>
      </c>
      <c r="S234">
        <f>IFERROR(IF(AND('Дивиденды по годам'!L234&lt;&gt;"",'Дивиденды по годам'!I234&lt;&gt;"",'Дивиденды по годам'!J234&lt;&gt;"",'Дивиденды по годам'!K234&lt;&gt;"",('Дивиденды по годам'!I234-'Дивиденды по годам'!J234-'Дивиденды по годам'!K234)&lt;&gt;0),'Дивиденды по годам'!L234/('Дивиденды по годам'!I234-'Дивиденды по годам'!J234-'Дивиденды по годам'!K234),""),"")</f>
        <v>0.49937023290640348</v>
      </c>
      <c r="T234">
        <f>IFERROR(IF(AND('Дивиденды по годам'!Q234&lt;&gt;"",'Дивиденды по годам'!I234&lt;&gt;"",'Дивиденды по годам'!V234&lt;&gt;"",('Дивиденды по годам'!I234+'Дивиденды по годам'!V234)&lt;&gt;0),'Дивиденды по годам'!Q234/(('Дивиденды по годам'!I234+'Дивиденды по годам'!V234)/2),""),"")</f>
        <v>0.10806502412079667</v>
      </c>
      <c r="U234">
        <f>IFERROR(IF(AND('Дивиденды по годам'!J234&lt;&gt;"",'Дивиденды по годам'!K234&lt;&gt;"",'Дивиденды по годам'!M234&lt;&gt;"",'Дивиденды по годам'!M234&lt;&gt;0),('Дивиденды по годам'!J234+'Дивиденды по годам'!K234)/'Дивиденды по годам'!M234,""),"")</f>
        <v>0.46119952788254676</v>
      </c>
      <c r="V234">
        <f>IFERROR(IF(AND('Дивиденды по годам'!J234&lt;&gt;"",'Дивиденды по годам'!K234&lt;&gt;"",'Дивиденды по годам'!M234&lt;&gt;"",'Дивиденды по годам'!I234&lt;&gt;0),('Дивиденды по годам'!J234+'Дивиденды по годам'!K234)/'Дивиденды по годам'!I234,""),"")</f>
        <v>0.31563076710740534</v>
      </c>
      <c r="W234">
        <f>IFERROR('Дивиденды по годам'!I234,"")</f>
        <v>52369733000</v>
      </c>
      <c r="X234" cm="1">
        <f t="array" ref="X234">IFERROR(AVERAGE(_xlfn._xlws.FILTER(P$2:P$1073,($C$2:$C$1073=$C234)*($E$2:$E$1073=$E234)*(ROW(P$2:P$1073)&lt;&gt;ROW(P234))*(P$2:P$1073&lt;&gt;""))),"")</f>
        <v>26.164179909265656</v>
      </c>
      <c r="Y234" cm="1">
        <f t="array" ref="Y234">IFERROR(AVERAGE(_xlfn._xlws.FILTER(Q$2:Q$1073,($C$2:$C$1073=$C234)*($E$2:$E$1073=$E234)*(ROW(Q$2:Q$1073)&lt;&gt;ROW(Q234))*(Q$2:Q$1073&lt;&gt;""))),"")</f>
        <v>0.76227237962431527</v>
      </c>
      <c r="Z234" cm="1">
        <f t="array" ref="Z234">IFERROR(AVERAGE(_xlfn._xlws.FILTER(R$2:R$1073,($C$2:$C$1073=$C234)*($E$2:$E$1073=$E234)*(ROW(R$2:R$1073)&lt;&gt;ROW(R234))*(R$2:R$1073&lt;&gt;""))),"")</f>
        <v>4.0471055077453362E-2</v>
      </c>
      <c r="AA234" cm="1">
        <f t="array" ref="AA234">IFERROR(AVERAGE(_xlfn._xlws.FILTER(S$2:S$1073,($C$2:$C$1073=$C234)*($E$2:$E$1073=$E234)*(ROW(S$2:S$1073)&lt;&gt;ROW(S234))*(S$2:S$1073&lt;&gt;""))),"")</f>
        <v>0.41389623388709412</v>
      </c>
      <c r="AB234" cm="1">
        <f t="array" ref="AB234">IFERROR(AVERAGE(_xlfn._xlws.FILTER(T$2:T$1073,($C$2:$C$1073=$C234)*($E$2:$E$1073=$E234)*(ROW(T$2:T$1073)&lt;&gt;ROW(T234))*(T$2:T$1073&lt;&gt;""))),"")</f>
        <v>7.9362104462506008E-2</v>
      </c>
      <c r="AC234" cm="1">
        <f t="array" ref="AC234">IFERROR(AVERAGE(_xlfn._xlws.FILTER(U$2:U$1073,($C$2:$C$1073=$C234)*($E$2:$E$1073=$E234)*(ROW(U$2:U$1073)&lt;&gt;ROW(U234))*(U$2:U$1073&lt;&gt;""))),"")</f>
        <v>0.64547650784828348</v>
      </c>
      <c r="AD234" cm="1">
        <f t="array" ref="AD234">IFERROR(AVERAGE(_xlfn._xlws.FILTER(V$2:V$1073,($C$2:$C$1073=$C234)*($E$2:$E$1073=$E234)*(ROW(V$2:V$1073)&lt;&gt;ROW(V234))*(V$2:V$1073&lt;&gt;""))),"")</f>
        <v>0.36487956591022591</v>
      </c>
      <c r="AE234">
        <f>IF('Дивиденды по годам'!M234&lt;0,1,0)</f>
        <v>0</v>
      </c>
    </row>
    <row r="235" spans="1:31" x14ac:dyDescent="0.2">
      <c r="A235" s="7" t="s">
        <v>2206</v>
      </c>
      <c r="B235" t="str">
        <f t="shared" si="33"/>
        <v>MRKV IV кв. 2016</v>
      </c>
      <c r="C235">
        <v>2016</v>
      </c>
      <c r="D235">
        <f>SUMIFS(Дивиденды!$C:$C,Дивиденды!$A:$A,A235,Дивиденды!$I:$I,C235)</f>
        <v>7.0439999999999999E-3</v>
      </c>
      <c r="E235">
        <v>2</v>
      </c>
      <c r="F235">
        <f t="shared" si="34"/>
        <v>7.0439999999999999E-3</v>
      </c>
      <c r="G235">
        <f t="shared" si="35"/>
        <v>5.680816666666666E-2</v>
      </c>
      <c r="H235">
        <f t="shared" si="36"/>
        <v>1</v>
      </c>
      <c r="I235">
        <f t="shared" si="37"/>
        <v>1</v>
      </c>
      <c r="J235">
        <f t="shared" si="38"/>
        <v>4.4184615384615382</v>
      </c>
      <c r="K235">
        <f t="shared" si="43"/>
        <v>1.0388649096006819</v>
      </c>
      <c r="L235">
        <f t="shared" si="39"/>
        <v>1</v>
      </c>
      <c r="M235">
        <f t="shared" si="40"/>
        <v>0.83333333333333337</v>
      </c>
      <c r="N235">
        <f t="shared" si="41"/>
        <v>0</v>
      </c>
      <c r="O235">
        <f t="shared" si="42"/>
        <v>0.16666666666666666</v>
      </c>
      <c r="P235">
        <f>IFERROR(LN('Дивиденды по годам'!I235),"")</f>
        <v>24.656658887687882</v>
      </c>
      <c r="Q235">
        <f>IFERROR('Дивиденды по годам'!G235/'Дивиденды по годам'!I235, "")</f>
        <v>0.75865822712102138</v>
      </c>
      <c r="R235">
        <f>IFERROR(IF(AND('Дивиденды по годам'!N235&lt;&gt;"",'Дивиденды по годам'!U235&lt;&gt;"",'Дивиденды по годам'!U235&lt;&gt;0),'Дивиденды по годам'!N235/'Дивиденды по годам'!U235-1,""),"")</f>
        <v>0.11138402115763979</v>
      </c>
      <c r="S235">
        <f>IFERROR(IF(AND('Дивиденды по годам'!L235&lt;&gt;"",'Дивиденды по годам'!I235&lt;&gt;"",'Дивиденды по годам'!J235&lt;&gt;"",'Дивиденды по годам'!K235&lt;&gt;"",('Дивиденды по годам'!I235-'Дивиденды по годам'!J235-'Дивиденды по годам'!K235)&lt;&gt;0),'Дивиденды по годам'!L235/('Дивиденды по годам'!I235-'Дивиденды по годам'!J235-'Дивиденды по годам'!K235),""),"")</f>
        <v>0.4332971067885838</v>
      </c>
      <c r="T235">
        <f>IFERROR(IF(AND('Дивиденды по годам'!Q235&lt;&gt;"",'Дивиденды по годам'!I235&lt;&gt;"",'Дивиденды по годам'!V235&lt;&gt;"",('Дивиденды по годам'!I235+'Дивиденды по годам'!V235)&lt;&gt;0),'Дивиденды по годам'!Q235/(('Дивиденды по годам'!I235+'Дивиденды по годам'!V235)/2),""),"")</f>
        <v>5.4912976901168878E-2</v>
      </c>
      <c r="U235">
        <f>IFERROR(IF(AND('Дивиденды по годам'!J235&lt;&gt;"",'Дивиденды по годам'!K235&lt;&gt;"",'Дивиденды по годам'!M235&lt;&gt;"",'Дивиденды по годам'!M235&lt;&gt;0),('Дивиденды по годам'!J235+'Дивиденды по годам'!K235)/'Дивиденды по годам'!M235,""),"")</f>
        <v>0.62543724595184835</v>
      </c>
      <c r="V235">
        <f>IFERROR(IF(AND('Дивиденды по годам'!J235&lt;&gt;"",'Дивиденды по годам'!K235&lt;&gt;"",'Дивиденды по годам'!M235&lt;&gt;"",'Дивиденды по годам'!I235&lt;&gt;0),('Дивиденды по годам'!J235+'Дивиденды по годам'!K235)/'Дивиденды по годам'!I235,""),"")</f>
        <v>0.38478092433866634</v>
      </c>
      <c r="W235">
        <f>IFERROR('Дивиденды по годам'!I235,"")</f>
        <v>51080001000</v>
      </c>
      <c r="X235" cm="1">
        <f t="array" ref="X235">IFERROR(AVERAGE(_xlfn._xlws.FILTER(P$2:P$1073,($C$2:$C$1073=$C235)*($E$2:$E$1073=$E235)*(ROW(P$2:P$1073)&lt;&gt;ROW(P235))*(P$2:P$1073&lt;&gt;""))),"")</f>
        <v>26.120451129394947</v>
      </c>
      <c r="Y235" cm="1">
        <f t="array" ref="Y235">IFERROR(AVERAGE(_xlfn._xlws.FILTER(Q$2:Q$1073,($C$2:$C$1073=$C235)*($E$2:$E$1073=$E235)*(ROW(Q$2:Q$1073)&lt;&gt;ROW(Q235))*(Q$2:Q$1073&lt;&gt;""))),"")</f>
        <v>0.71273252782623764</v>
      </c>
      <c r="Z235" cm="1">
        <f t="array" ref="Z235">IFERROR(AVERAGE(_xlfn._xlws.FILTER(R$2:R$1073,($C$2:$C$1073=$C235)*($E$2:$E$1073=$E235)*(ROW(R$2:R$1073)&lt;&gt;ROW(R235))*(R$2:R$1073&lt;&gt;""))),"")</f>
        <v>0.11445317833071873</v>
      </c>
      <c r="AA235" cm="1">
        <f t="array" ref="AA235">IFERROR(AVERAGE(_xlfn._xlws.FILTER(S$2:S$1073,($C$2:$C$1073=$C235)*($E$2:$E$1073=$E235)*(ROW(S$2:S$1073)&lt;&gt;ROW(S235))*(S$2:S$1073&lt;&gt;""))),"")</f>
        <v>0.40667387005014333</v>
      </c>
      <c r="AB235" cm="1">
        <f t="array" ref="AB235">IFERROR(AVERAGE(_xlfn._xlws.FILTER(T$2:T$1073,($C$2:$C$1073=$C235)*($E$2:$E$1073=$E235)*(ROW(T$2:T$1073)&lt;&gt;ROW(T235))*(T$2:T$1073&lt;&gt;""))),"")</f>
        <v>3.9547053265397036E-2</v>
      </c>
      <c r="AC235" cm="1">
        <f t="array" ref="AC235">IFERROR(AVERAGE(_xlfn._xlws.FILTER(U$2:U$1073,($C$2:$C$1073=$C235)*($E$2:$E$1073=$E235)*(ROW(U$2:U$1073)&lt;&gt;ROW(U235))*(U$2:U$1073&lt;&gt;""))),"")</f>
        <v>0.73467094380304232</v>
      </c>
      <c r="AD235" cm="1">
        <f t="array" ref="AD235">IFERROR(AVERAGE(_xlfn._xlws.FILTER(V$2:V$1073,($C$2:$C$1073=$C235)*($E$2:$E$1073=$E235)*(ROW(V$2:V$1073)&lt;&gt;ROW(V235))*(V$2:V$1073&lt;&gt;""))),"")</f>
        <v>0.39498532792423968</v>
      </c>
      <c r="AE235">
        <f>IF('Дивиденды по годам'!M235&lt;0,1,0)</f>
        <v>0</v>
      </c>
    </row>
    <row r="236" spans="1:31" x14ac:dyDescent="0.2">
      <c r="A236" s="7" t="s">
        <v>2206</v>
      </c>
      <c r="B236" t="str">
        <f t="shared" si="33"/>
        <v>MRKV IV кв. 2015</v>
      </c>
      <c r="C236">
        <v>2015</v>
      </c>
      <c r="D236">
        <f>SUMIFS(Дивиденды!$C:$C,Дивиденды!$A:$A,A236,Дивиденды!$I:$I,C236)</f>
        <v>1.2999999999999999E-3</v>
      </c>
      <c r="E236">
        <v>2</v>
      </c>
      <c r="F236">
        <f t="shared" si="34"/>
        <v>1.2999999999999999E-3</v>
      </c>
      <c r="G236">
        <f t="shared" si="35"/>
        <v>4.133175E-2</v>
      </c>
      <c r="H236">
        <f t="shared" si="36"/>
        <v>1</v>
      </c>
      <c r="I236">
        <f t="shared" si="37"/>
        <v>0.91666666666666663</v>
      </c>
      <c r="J236">
        <f t="shared" si="38"/>
        <v>11.999999999999998</v>
      </c>
      <c r="K236">
        <f t="shared" si="43"/>
        <v>3.1449764449923419</v>
      </c>
      <c r="L236">
        <f t="shared" si="39"/>
        <v>1</v>
      </c>
      <c r="M236">
        <f t="shared" si="40"/>
        <v>0.66666666666666663</v>
      </c>
      <c r="N236">
        <f t="shared" si="41"/>
        <v>0</v>
      </c>
      <c r="O236">
        <f t="shared" si="42"/>
        <v>0.33333333333333331</v>
      </c>
      <c r="P236">
        <f>IFERROR(LN('Дивиденды по годам'!I236),"")</f>
        <v>24.655803666978407</v>
      </c>
      <c r="Q236">
        <f>IFERROR('Дивиденды по годам'!G236/'Дивиденды по годам'!I236, "")</f>
        <v>0.78342717987096844</v>
      </c>
      <c r="R236" t="str">
        <f>IFERROR(IF(AND('Дивиденды по годам'!N236&lt;&gt;"",'Дивиденды по годам'!U236&lt;&gt;"",'Дивиденды по годам'!U236&lt;&gt;0),'Дивиденды по годам'!N236/'Дивиденды по годам'!U236-1,""),"")</f>
        <v/>
      </c>
      <c r="S236">
        <f>IFERROR(IF(AND('Дивиденды по годам'!L236&lt;&gt;"",'Дивиденды по годам'!I236&lt;&gt;"",'Дивиденды по годам'!J236&lt;&gt;"",'Дивиденды по годам'!K236&lt;&gt;"",('Дивиденды по годам'!I236-'Дивиденды по годам'!J236-'Дивиденды по годам'!K236)&lt;&gt;0),'Дивиденды по годам'!L236/('Дивиденды по годам'!I236-'Дивиденды по годам'!J236-'Дивиденды по годам'!K236),""),"")</f>
        <v>0.39174238519886923</v>
      </c>
      <c r="T236" t="str">
        <f>IFERROR(IF(AND('Дивиденды по годам'!Q236&lt;&gt;"",'Дивиденды по годам'!I236&lt;&gt;"",'Дивиденды по годам'!V236&lt;&gt;"",('Дивиденды по годам'!I236+'Дивиденды по годам'!V236)&lt;&gt;0),'Дивиденды по годам'!Q236/(('Дивиденды по годам'!I236+'Дивиденды по годам'!V236)/2),""),"")</f>
        <v/>
      </c>
      <c r="U236">
        <f>IFERROR(IF(AND('Дивиденды по годам'!J236&lt;&gt;"",'Дивиденды по годам'!K236&lt;&gt;"",'Дивиденды по годам'!M236&lt;&gt;"",'Дивиденды по годам'!M236&lt;&gt;0),('Дивиденды по годам'!J236+'Дивиденды по годам'!K236)/'Дивиденды по годам'!M236,""),"")</f>
        <v>0.81074262596262037</v>
      </c>
      <c r="V236">
        <f>IFERROR(IF(AND('Дивиденды по годам'!J236&lt;&gt;"",'Дивиденды по годам'!K236&lt;&gt;"",'Дивиденды по годам'!M236&lt;&gt;"",'Дивиденды по годам'!I236&lt;&gt;0),('Дивиденды по годам'!J236+'Дивиденды по годам'!K236)/'Дивиденды по годам'!I236,""),"")</f>
        <v>0.44774039907058372</v>
      </c>
      <c r="W236">
        <f>IFERROR('Дивиденды по годам'!I236,"")</f>
        <v>51036335000</v>
      </c>
      <c r="X236" cm="1">
        <f t="array" ref="X236">IFERROR(AVERAGE(_xlfn._xlws.FILTER(P$2:P$1073,($C$2:$C$1073=$C236)*($E$2:$E$1073=$E236)*(ROW(P$2:P$1073)&lt;&gt;ROW(P236))*(P$2:P$1073&lt;&gt;""))),"")</f>
        <v>26.056360652007008</v>
      </c>
      <c r="Y236" cm="1">
        <f t="array" ref="Y236">IFERROR(AVERAGE(_xlfn._xlws.FILTER(Q$2:Q$1073,($C$2:$C$1073=$C236)*($E$2:$E$1073=$E236)*(ROW(Q$2:Q$1073)&lt;&gt;ROW(Q236))*(Q$2:Q$1073&lt;&gt;""))),"")</f>
        <v>0.7789785833624332</v>
      </c>
      <c r="Z236" cm="1">
        <f t="array" ref="Z236">IFERROR(AVERAGE(_xlfn._xlws.FILTER(R$2:R$1073,($C$2:$C$1073=$C236)*($E$2:$E$1073=$E236)*(ROW(R$2:R$1073)&lt;&gt;ROW(R236))*(R$2:R$1073&lt;&gt;""))),"")</f>
        <v>6.7517888744073832E-3</v>
      </c>
      <c r="AA236" cm="1">
        <f t="array" ref="AA236">IFERROR(AVERAGE(_xlfn._xlws.FILTER(S$2:S$1073,($C$2:$C$1073=$C236)*($E$2:$E$1073=$E236)*(ROW(S$2:S$1073)&lt;&gt;ROW(S236))*(S$2:S$1073&lt;&gt;""))),"")</f>
        <v>0.50280483762513584</v>
      </c>
      <c r="AB236" cm="1">
        <f t="array" ref="AB236">IFERROR(AVERAGE(_xlfn._xlws.FILTER(T$2:T$1073,($C$2:$C$1073=$C236)*($E$2:$E$1073=$E236)*(ROW(T$2:T$1073)&lt;&gt;ROW(T236))*(T$2:T$1073&lt;&gt;""))),"")</f>
        <v>-1.2387742079155006E-2</v>
      </c>
      <c r="AC236" cm="1">
        <f t="array" ref="AC236">IFERROR(AVERAGE(_xlfn._xlws.FILTER(U$2:U$1073,($C$2:$C$1073=$C236)*($E$2:$E$1073=$E236)*(ROW(U$2:U$1073)&lt;&gt;ROW(U236))*(U$2:U$1073&lt;&gt;""))),"")</f>
        <v>0.90079335773667102</v>
      </c>
      <c r="AD236" cm="1">
        <f t="array" ref="AD236">IFERROR(AVERAGE(_xlfn._xlws.FILTER(V$2:V$1073,($C$2:$C$1073=$C236)*($E$2:$E$1073=$E236)*(ROW(V$2:V$1073)&lt;&gt;ROW(V236))*(V$2:V$1073&lt;&gt;""))),"")</f>
        <v>0.43758730934297596</v>
      </c>
      <c r="AE236">
        <f>IF('Дивиденды по годам'!M236&lt;0,1,0)</f>
        <v>0</v>
      </c>
    </row>
    <row r="237" spans="1:31" x14ac:dyDescent="0.2">
      <c r="A237" s="7" t="s">
        <v>2206</v>
      </c>
      <c r="B237" t="str">
        <f t="shared" si="33"/>
        <v>MRKV IV кв. 2014</v>
      </c>
      <c r="C237">
        <v>2014</v>
      </c>
      <c r="D237">
        <f>SUMIFS(Дивиденды!$C:$C,Дивиденды!$A:$A,A237,Дивиденды!$I:$I,C237)</f>
        <v>1E-4</v>
      </c>
      <c r="E237">
        <v>2</v>
      </c>
      <c r="F237">
        <f t="shared" si="34"/>
        <v>1E-4</v>
      </c>
      <c r="G237">
        <f t="shared" si="35"/>
        <v>3.8959583333333339E-2</v>
      </c>
      <c r="H237">
        <f t="shared" si="36"/>
        <v>1</v>
      </c>
      <c r="I237">
        <f t="shared" si="37"/>
        <v>1</v>
      </c>
      <c r="J237">
        <f t="shared" si="38"/>
        <v>0</v>
      </c>
      <c r="K237">
        <f t="shared" si="43"/>
        <v>1.4011034816833055</v>
      </c>
      <c r="L237">
        <f t="shared" si="39"/>
        <v>0</v>
      </c>
      <c r="M237">
        <f t="shared" si="40"/>
        <v>0.66666666666666663</v>
      </c>
      <c r="N237">
        <f t="shared" si="41"/>
        <v>0</v>
      </c>
      <c r="O237">
        <f t="shared" si="42"/>
        <v>0.33333333333333331</v>
      </c>
      <c r="P237" t="str">
        <f>IFERROR(LN('Дивиденды по годам'!I237),"")</f>
        <v/>
      </c>
      <c r="Q237" t="str">
        <f>IFERROR('Дивиденды по годам'!G237/'Дивиденды по годам'!I237, "")</f>
        <v/>
      </c>
      <c r="R237" t="str">
        <f>IFERROR(IF(AND('Дивиденды по годам'!N237&lt;&gt;"",'Дивиденды по годам'!U237&lt;&gt;"",'Дивиденды по годам'!U237&lt;&gt;0),'Дивиденды по годам'!N237/'Дивиденды по годам'!U237-1,""),"")</f>
        <v/>
      </c>
      <c r="S237" t="str">
        <f>IFERROR(IF(AND('Дивиденды по годам'!L237&lt;&gt;"",'Дивиденды по годам'!I237&lt;&gt;"",'Дивиденды по годам'!J237&lt;&gt;"",'Дивиденды по годам'!K237&lt;&gt;"",('Дивиденды по годам'!I237-'Дивиденды по годам'!J237-'Дивиденды по годам'!K237)&lt;&gt;0),'Дивиденды по годам'!L237/('Дивиденды по годам'!I237-'Дивиденды по годам'!J237-'Дивиденды по годам'!K237),""),"")</f>
        <v/>
      </c>
      <c r="T237" t="str">
        <f>IFERROR(IF(AND('Дивиденды по годам'!Q237&lt;&gt;"",'Дивиденды по годам'!I237&lt;&gt;"",'Дивиденды по годам'!V237&lt;&gt;"",('Дивиденды по годам'!I237+'Дивиденды по годам'!V237)&lt;&gt;0),'Дивиденды по годам'!Q237/(('Дивиденды по годам'!I237+'Дивиденды по годам'!V237)/2),""),"")</f>
        <v/>
      </c>
      <c r="U237" t="str">
        <f>IFERROR(IF(AND('Дивиденды по годам'!J237&lt;&gt;"",'Дивиденды по годам'!K237&lt;&gt;"",'Дивиденды по годам'!M237&lt;&gt;"",'Дивиденды по годам'!M237&lt;&gt;0),('Дивиденды по годам'!J237+'Дивиденды по годам'!K237)/'Дивиденды по годам'!M237,""),"")</f>
        <v/>
      </c>
      <c r="V237" t="str">
        <f>IFERROR(IF(AND('Дивиденды по годам'!J237&lt;&gt;"",'Дивиденды по годам'!K237&lt;&gt;"",'Дивиденды по годам'!M237&lt;&gt;"",'Дивиденды по годам'!I237&lt;&gt;0),('Дивиденды по годам'!J237+'Дивиденды по годам'!K237)/'Дивиденды по годам'!I237,""),"")</f>
        <v/>
      </c>
      <c r="W237" t="str">
        <f>IFERROR('Дивиденды по годам'!I237,"")</f>
        <v/>
      </c>
      <c r="X237" cm="1">
        <f t="array" ref="X237">IFERROR(AVERAGE(_xlfn._xlws.FILTER(P$2:P$1073,($C$2:$C$1073=$C237)*($E$2:$E$1073=$E237)*(ROW(P$2:P$1073)&lt;&gt;ROW(P237))*(P$2:P$1073&lt;&gt;""))),"")</f>
        <v>26.162362087257655</v>
      </c>
      <c r="Y237" cm="1">
        <f t="array" ref="Y237">IFERROR(AVERAGE(_xlfn._xlws.FILTER(Q$2:Q$1073,($C$2:$C$1073=$C237)*($E$2:$E$1073=$E237)*(ROW(Q$2:Q$1073)&lt;&gt;ROW(Q237))*(Q$2:Q$1073&lt;&gt;""))),"")</f>
        <v>0.77148348573008463</v>
      </c>
      <c r="Z237" cm="1">
        <f t="array" ref="Z237">IFERROR(AVERAGE(_xlfn._xlws.FILTER(R$2:R$1073,($C$2:$C$1073=$C237)*($E$2:$E$1073=$E237)*(ROW(R$2:R$1073)&lt;&gt;ROW(R237))*(R$2:R$1073&lt;&gt;""))),"")</f>
        <v>2.2711345548547646E-2</v>
      </c>
      <c r="AA237" cm="1">
        <f t="array" ref="AA237">IFERROR(AVERAGE(_xlfn._xlws.FILTER(S$2:S$1073,($C$2:$C$1073=$C237)*($E$2:$E$1073=$E237)*(ROW(S$2:S$1073)&lt;&gt;ROW(S237))*(S$2:S$1073&lt;&gt;""))),"")</f>
        <v>0.60466035791128681</v>
      </c>
      <c r="AB237" cm="1">
        <f t="array" ref="AB237">IFERROR(AVERAGE(_xlfn._xlws.FILTER(T$2:T$1073,($C$2:$C$1073=$C237)*($E$2:$E$1073=$E237)*(ROW(T$2:T$1073)&lt;&gt;ROW(T237))*(T$2:T$1073&lt;&gt;""))),"")</f>
        <v>1.8616337284622531E-2</v>
      </c>
      <c r="AC237" cm="1">
        <f t="array" ref="AC237">IFERROR(AVERAGE(_xlfn._xlws.FILTER(U$2:U$1073,($C$2:$C$1073=$C237)*($E$2:$E$1073=$E237)*(ROW(U$2:U$1073)&lt;&gt;ROW(U237))*(U$2:U$1073&lt;&gt;""))),"")</f>
        <v>0.75378158026714182</v>
      </c>
      <c r="AD237" cm="1">
        <f t="array" ref="AD237">IFERROR(AVERAGE(_xlfn._xlws.FILTER(V$2:V$1073,($C$2:$C$1073=$C237)*($E$2:$E$1073=$E237)*(ROW(V$2:V$1073)&lt;&gt;ROW(V237))*(V$2:V$1073&lt;&gt;""))),"")</f>
        <v>0.40356478159992998</v>
      </c>
      <c r="AE237">
        <f>IF('Дивиденды по годам'!M237&lt;0,1,0)</f>
        <v>0</v>
      </c>
    </row>
    <row r="238" spans="1:31" x14ac:dyDescent="0.2">
      <c r="A238" s="7" t="s">
        <v>2206</v>
      </c>
      <c r="B238" t="str">
        <f t="shared" si="33"/>
        <v>MRKV IV кв. 2013</v>
      </c>
      <c r="C238">
        <v>2013</v>
      </c>
      <c r="D238">
        <f>SUMIFS(Дивиденды!$C:$C,Дивиденды!$A:$A,A238,Дивиденды!$I:$I,C238)</f>
        <v>1E-4</v>
      </c>
      <c r="E238">
        <v>2</v>
      </c>
      <c r="F238">
        <f t="shared" si="34"/>
        <v>1E-4</v>
      </c>
      <c r="G238">
        <f t="shared" si="35"/>
        <v>4.6434749999999997E-2</v>
      </c>
      <c r="H238">
        <f t="shared" si="36"/>
        <v>1</v>
      </c>
      <c r="I238">
        <f t="shared" si="37"/>
        <v>0.75</v>
      </c>
      <c r="J238">
        <f t="shared" si="38"/>
        <v>-0.93865030674846628</v>
      </c>
      <c r="K238">
        <f t="shared" si="43"/>
        <v>9.1173713314382246E-2</v>
      </c>
      <c r="L238">
        <f t="shared" si="39"/>
        <v>0</v>
      </c>
      <c r="M238">
        <f t="shared" si="40"/>
        <v>0.5</v>
      </c>
      <c r="N238">
        <f t="shared" si="41"/>
        <v>1</v>
      </c>
      <c r="O238">
        <f t="shared" si="42"/>
        <v>0.25</v>
      </c>
      <c r="P238" t="str">
        <f>IFERROR(LN('Дивиденды по годам'!I238),"")</f>
        <v/>
      </c>
      <c r="Q238" t="str">
        <f>IFERROR('Дивиденды по годам'!G238/'Дивиденды по годам'!I238, "")</f>
        <v/>
      </c>
      <c r="R238" t="str">
        <f>IFERROR(IF(AND('Дивиденды по годам'!N238&lt;&gt;"",'Дивиденды по годам'!U238&lt;&gt;"",'Дивиденды по годам'!U238&lt;&gt;0),'Дивиденды по годам'!N238/'Дивиденды по годам'!U238-1,""),"")</f>
        <v/>
      </c>
      <c r="S238" t="str">
        <f>IFERROR(IF(AND('Дивиденды по годам'!L238&lt;&gt;"",'Дивиденды по годам'!I238&lt;&gt;"",'Дивиденды по годам'!J238&lt;&gt;"",'Дивиденды по годам'!K238&lt;&gt;"",('Дивиденды по годам'!I238-'Дивиденды по годам'!J238-'Дивиденды по годам'!K238)&lt;&gt;0),'Дивиденды по годам'!L238/('Дивиденды по годам'!I238-'Дивиденды по годам'!J238-'Дивиденды по годам'!K238),""),"")</f>
        <v/>
      </c>
      <c r="T238" t="str">
        <f>IFERROR(IF(AND('Дивиденды по годам'!Q238&lt;&gt;"",'Дивиденды по годам'!I238&lt;&gt;"",'Дивиденды по годам'!V238&lt;&gt;"",('Дивиденды по годам'!I238+'Дивиденды по годам'!V238)&lt;&gt;0),'Дивиденды по годам'!Q238/(('Дивиденды по годам'!I238+'Дивиденды по годам'!V238)/2),""),"")</f>
        <v/>
      </c>
      <c r="U238" t="str">
        <f>IFERROR(IF(AND('Дивиденды по годам'!J238&lt;&gt;"",'Дивиденды по годам'!K238&lt;&gt;"",'Дивиденды по годам'!M238&lt;&gt;"",'Дивиденды по годам'!M238&lt;&gt;0),('Дивиденды по годам'!J238+'Дивиденды по годам'!K238)/'Дивиденды по годам'!M238,""),"")</f>
        <v/>
      </c>
      <c r="V238" t="str">
        <f>IFERROR(IF(AND('Дивиденды по годам'!J238&lt;&gt;"",'Дивиденды по годам'!K238&lt;&gt;"",'Дивиденды по годам'!M238&lt;&gt;"",'Дивиденды по годам'!I238&lt;&gt;0),('Дивиденды по годам'!J238+'Дивиденды по годам'!K238)/'Дивиденды по годам'!I238,""),"")</f>
        <v/>
      </c>
      <c r="W238" t="str">
        <f>IFERROR('Дивиденды по годам'!I238,"")</f>
        <v/>
      </c>
      <c r="X238" cm="1">
        <f t="array" ref="X238">IFERROR(AVERAGE(_xlfn._xlws.FILTER(P$2:P$1073,($C$2:$C$1073=$C238)*($E$2:$E$1073=$E238)*(ROW(P$2:P$1073)&lt;&gt;ROW(P238))*(P$2:P$1073&lt;&gt;""))),"")</f>
        <v>26.107966937559624</v>
      </c>
      <c r="Y238" cm="1">
        <f t="array" ref="Y238">IFERROR(AVERAGE(_xlfn._xlws.FILTER(Q$2:Q$1073,($C$2:$C$1073=$C238)*($E$2:$E$1073=$E238)*(ROW(Q$2:Q$1073)&lt;&gt;ROW(Q238))*(Q$2:Q$1073&lt;&gt;""))),"")</f>
        <v>0.78284782963507815</v>
      </c>
      <c r="Z238" cm="1">
        <f t="array" ref="Z238">IFERROR(AVERAGE(_xlfn._xlws.FILTER(R$2:R$1073,($C$2:$C$1073=$C238)*($E$2:$E$1073=$E238)*(ROW(R$2:R$1073)&lt;&gt;ROW(R238))*(R$2:R$1073&lt;&gt;""))),"")</f>
        <v>9.7785091869587032E-2</v>
      </c>
      <c r="AA238" cm="1">
        <f t="array" ref="AA238">IFERROR(AVERAGE(_xlfn._xlws.FILTER(S$2:S$1073,($C$2:$C$1073=$C238)*($E$2:$E$1073=$E238)*(ROW(S$2:S$1073)&lt;&gt;ROW(S238))*(S$2:S$1073&lt;&gt;""))),"")</f>
        <v>0.4636519590056305</v>
      </c>
      <c r="AB238" cm="1">
        <f t="array" ref="AB238">IFERROR(AVERAGE(_xlfn._xlws.FILTER(T$2:T$1073,($C$2:$C$1073=$C238)*($E$2:$E$1073=$E238)*(ROW(T$2:T$1073)&lt;&gt;ROW(T238))*(T$2:T$1073&lt;&gt;""))),"")</f>
        <v>-4.8827551291955292E-3</v>
      </c>
      <c r="AC238" cm="1">
        <f t="array" ref="AC238">IFERROR(AVERAGE(_xlfn._xlws.FILTER(U$2:U$1073,($C$2:$C$1073=$C238)*($E$2:$E$1073=$E238)*(ROW(U$2:U$1073)&lt;&gt;ROW(U238))*(U$2:U$1073&lt;&gt;""))),"")</f>
        <v>0.67717497861204956</v>
      </c>
      <c r="AD238" cm="1">
        <f t="array" ref="AD238">IFERROR(AVERAGE(_xlfn._xlws.FILTER(V$2:V$1073,($C$2:$C$1073=$C238)*($E$2:$E$1073=$E238)*(ROW(V$2:V$1073)&lt;&gt;ROW(V238))*(V$2:V$1073&lt;&gt;""))),"")</f>
        <v>0.37756304066241159</v>
      </c>
      <c r="AE238">
        <f>IF('Дивиденды по годам'!M238&lt;0,1,0)</f>
        <v>0</v>
      </c>
    </row>
    <row r="239" spans="1:31" x14ac:dyDescent="0.2">
      <c r="A239" s="7" t="s">
        <v>2206</v>
      </c>
      <c r="B239" t="str">
        <f t="shared" si="33"/>
        <v>MRKV IV кв. 2012</v>
      </c>
      <c r="C239">
        <v>2012</v>
      </c>
      <c r="D239">
        <f>SUMIFS(Дивиденды!$C:$C,Дивиденды!$A:$A,A239,Дивиденды!$I:$I,C239)</f>
        <v>1.6299999999999999E-3</v>
      </c>
      <c r="E239">
        <v>2</v>
      </c>
      <c r="F239">
        <f t="shared" si="34"/>
        <v>1.6299999999999999E-3</v>
      </c>
      <c r="G239">
        <f t="shared" si="35"/>
        <v>3.7026499999999997E-2</v>
      </c>
      <c r="H239">
        <f t="shared" si="36"/>
        <v>1</v>
      </c>
      <c r="I239">
        <f t="shared" si="37"/>
        <v>0.66666666666666663</v>
      </c>
      <c r="J239">
        <f t="shared" si="38"/>
        <v>0.4553571428571429</v>
      </c>
      <c r="K239">
        <f t="shared" si="43"/>
        <v>0.70285561443540379</v>
      </c>
      <c r="L239">
        <f t="shared" si="39"/>
        <v>1</v>
      </c>
      <c r="M239">
        <f t="shared" si="40"/>
        <v>0.5</v>
      </c>
      <c r="N239">
        <f t="shared" si="41"/>
        <v>0</v>
      </c>
      <c r="O239">
        <f t="shared" si="42"/>
        <v>0.16666666666666666</v>
      </c>
      <c r="P239" t="str">
        <f>IFERROR(LN('Дивиденды по годам'!I239),"")</f>
        <v/>
      </c>
      <c r="Q239" t="str">
        <f>IFERROR('Дивиденды по годам'!G239/'Дивиденды по годам'!I239, "")</f>
        <v/>
      </c>
      <c r="R239" t="str">
        <f>IFERROR(IF(AND('Дивиденды по годам'!N239&lt;&gt;"",'Дивиденды по годам'!U239&lt;&gt;"",'Дивиденды по годам'!U239&lt;&gt;0),'Дивиденды по годам'!N239/'Дивиденды по годам'!U239-1,""),"")</f>
        <v/>
      </c>
      <c r="S239" t="str">
        <f>IFERROR(IF(AND('Дивиденды по годам'!L239&lt;&gt;"",'Дивиденды по годам'!I239&lt;&gt;"",'Дивиденды по годам'!J239&lt;&gt;"",'Дивиденды по годам'!K239&lt;&gt;"",('Дивиденды по годам'!I239-'Дивиденды по годам'!J239-'Дивиденды по годам'!K239)&lt;&gt;0),'Дивиденды по годам'!L239/('Дивиденды по годам'!I239-'Дивиденды по годам'!J239-'Дивиденды по годам'!K239),""),"")</f>
        <v/>
      </c>
      <c r="T239" t="str">
        <f>IFERROR(IF(AND('Дивиденды по годам'!Q239&lt;&gt;"",'Дивиденды по годам'!I239&lt;&gt;"",'Дивиденды по годам'!V239&lt;&gt;"",('Дивиденды по годам'!I239+'Дивиденды по годам'!V239)&lt;&gt;0),'Дивиденды по годам'!Q239/(('Дивиденды по годам'!I239+'Дивиденды по годам'!V239)/2),""),"")</f>
        <v/>
      </c>
      <c r="U239" t="str">
        <f>IFERROR(IF(AND('Дивиденды по годам'!J239&lt;&gt;"",'Дивиденды по годам'!K239&lt;&gt;"",'Дивиденды по годам'!M239&lt;&gt;"",'Дивиденды по годам'!M239&lt;&gt;0),('Дивиденды по годам'!J239+'Дивиденды по годам'!K239)/'Дивиденды по годам'!M239,""),"")</f>
        <v/>
      </c>
      <c r="V239" t="str">
        <f>IFERROR(IF(AND('Дивиденды по годам'!J239&lt;&gt;"",'Дивиденды по годам'!K239&lt;&gt;"",'Дивиденды по годам'!M239&lt;&gt;"",'Дивиденды по годам'!I239&lt;&gt;0),('Дивиденды по годам'!J239+'Дивиденды по годам'!K239)/'Дивиденды по годам'!I239,""),"")</f>
        <v/>
      </c>
      <c r="W239" t="str">
        <f>IFERROR('Дивиденды по годам'!I239,"")</f>
        <v/>
      </c>
      <c r="X239" cm="1">
        <f t="array" ref="X239">IFERROR(AVERAGE(_xlfn._xlws.FILTER(P$2:P$1073,($C$2:$C$1073=$C239)*($E$2:$E$1073=$E239)*(ROW(P$2:P$1073)&lt;&gt;ROW(P239))*(P$2:P$1073&lt;&gt;""))),"")</f>
        <v>26.104432848458512</v>
      </c>
      <c r="Y239" cm="1">
        <f t="array" ref="Y239">IFERROR(AVERAGE(_xlfn._xlws.FILTER(Q$2:Q$1073,($C$2:$C$1073=$C239)*($E$2:$E$1073=$E239)*(ROW(Q$2:Q$1073)&lt;&gt;ROW(Q239))*(Q$2:Q$1073&lt;&gt;""))),"")</f>
        <v>0.77770665398315908</v>
      </c>
      <c r="Z239" cm="1">
        <f t="array" ref="Z239">IFERROR(AVERAGE(_xlfn._xlws.FILTER(R$2:R$1073,($C$2:$C$1073=$C239)*($E$2:$E$1073=$E239)*(ROW(R$2:R$1073)&lt;&gt;ROW(R239))*(R$2:R$1073&lt;&gt;""))),"")</f>
        <v>-1.5857961955003351E-2</v>
      </c>
      <c r="AA239" cm="1">
        <f t="array" ref="AA239">IFERROR(AVERAGE(_xlfn._xlws.FILTER(S$2:S$1073,($C$2:$C$1073=$C239)*($E$2:$E$1073=$E239)*(ROW(S$2:S$1073)&lt;&gt;ROW(S239))*(S$2:S$1073&lt;&gt;""))),"")</f>
        <v>0.44715527647269881</v>
      </c>
      <c r="AB239" cm="1">
        <f t="array" ref="AB239">IFERROR(AVERAGE(_xlfn._xlws.FILTER(T$2:T$1073,($C$2:$C$1073=$C239)*($E$2:$E$1073=$E239)*(ROW(T$2:T$1073)&lt;&gt;ROW(T239))*(T$2:T$1073&lt;&gt;""))),"")</f>
        <v>1.9505350639917447E-2</v>
      </c>
      <c r="AC239" cm="1">
        <f t="array" ref="AC239">IFERROR(AVERAGE(_xlfn._xlws.FILTER(U$2:U$1073,($C$2:$C$1073=$C239)*($E$2:$E$1073=$E239)*(ROW(U$2:U$1073)&lt;&gt;ROW(U239))*(U$2:U$1073&lt;&gt;""))),"")</f>
        <v>0.65134515206701193</v>
      </c>
      <c r="AD239" cm="1">
        <f t="array" ref="AD239">IFERROR(AVERAGE(_xlfn._xlws.FILTER(V$2:V$1073,($C$2:$C$1073=$C239)*($E$2:$E$1073=$E239)*(ROW(V$2:V$1073)&lt;&gt;ROW(V239))*(V$2:V$1073&lt;&gt;""))),"")</f>
        <v>0.3781974892254244</v>
      </c>
      <c r="AE239">
        <f>IF('Дивиденды по годам'!M239&lt;0,1,0)</f>
        <v>0</v>
      </c>
    </row>
    <row r="240" spans="1:31" x14ac:dyDescent="0.2">
      <c r="A240" s="7" t="s">
        <v>2206</v>
      </c>
      <c r="B240" t="str">
        <f t="shared" si="33"/>
        <v>MRKV IV кв. 2011</v>
      </c>
      <c r="C240">
        <v>2011</v>
      </c>
      <c r="D240">
        <f>SUMIFS(Дивиденды!$C:$C,Дивиденды!$A:$A,A240,Дивиденды!$I:$I,C240)</f>
        <v>1.1199999999999999E-3</v>
      </c>
      <c r="E240">
        <v>2</v>
      </c>
      <c r="F240">
        <f t="shared" si="34"/>
        <v>1.1199999999999999E-3</v>
      </c>
      <c r="G240">
        <f t="shared" si="35"/>
        <v>1.1453416666666667E-2</v>
      </c>
      <c r="H240">
        <f t="shared" si="36"/>
        <v>1</v>
      </c>
      <c r="I240">
        <f t="shared" si="37"/>
        <v>0.75</v>
      </c>
      <c r="J240">
        <f t="shared" si="38"/>
        <v>1</v>
      </c>
      <c r="K240">
        <f t="shared" si="43"/>
        <v>-3.2563083397205907E-2</v>
      </c>
      <c r="L240">
        <f t="shared" si="39"/>
        <v>1</v>
      </c>
      <c r="M240">
        <f t="shared" si="40"/>
        <v>0.41666666666666669</v>
      </c>
      <c r="N240">
        <f t="shared" si="41"/>
        <v>0</v>
      </c>
      <c r="O240">
        <f t="shared" si="42"/>
        <v>0.41666666666666669</v>
      </c>
      <c r="P240" t="str">
        <f>IFERROR(LN('Дивиденды по годам'!I240),"")</f>
        <v/>
      </c>
      <c r="Q240" t="str">
        <f>IFERROR('Дивиденды по годам'!G240/'Дивиденды по годам'!I240, "")</f>
        <v/>
      </c>
      <c r="R240" t="str">
        <f>IFERROR(IF(AND('Дивиденды по годам'!N240&lt;&gt;"",'Дивиденды по годам'!U240&lt;&gt;"",'Дивиденды по годам'!U240&lt;&gt;0),'Дивиденды по годам'!N240/'Дивиденды по годам'!U240-1,""),"")</f>
        <v/>
      </c>
      <c r="S240" t="str">
        <f>IFERROR(IF(AND('Дивиденды по годам'!L240&lt;&gt;"",'Дивиденды по годам'!I240&lt;&gt;"",'Дивиденды по годам'!J240&lt;&gt;"",'Дивиденды по годам'!K240&lt;&gt;"",('Дивиденды по годам'!I240-'Дивиденды по годам'!J240-'Дивиденды по годам'!K240)&lt;&gt;0),'Дивиденды по годам'!L240/('Дивиденды по годам'!I240-'Дивиденды по годам'!J240-'Дивиденды по годам'!K240),""),"")</f>
        <v/>
      </c>
      <c r="T240" t="str">
        <f>IFERROR(IF(AND('Дивиденды по годам'!Q240&lt;&gt;"",'Дивиденды по годам'!I240&lt;&gt;"",'Дивиденды по годам'!V240&lt;&gt;"",('Дивиденды по годам'!I240+'Дивиденды по годам'!V240)&lt;&gt;0),'Дивиденды по годам'!Q240/(('Дивиденды по годам'!I240+'Дивиденды по годам'!V240)/2),""),"")</f>
        <v/>
      </c>
      <c r="U240" t="str">
        <f>IFERROR(IF(AND('Дивиденды по годам'!J240&lt;&gt;"",'Дивиденды по годам'!K240&lt;&gt;"",'Дивиденды по годам'!M240&lt;&gt;"",'Дивиденды по годам'!M240&lt;&gt;0),('Дивиденды по годам'!J240+'Дивиденды по годам'!K240)/'Дивиденды по годам'!M240,""),"")</f>
        <v/>
      </c>
      <c r="V240" t="str">
        <f>IFERROR(IF(AND('Дивиденды по годам'!J240&lt;&gt;"",'Дивиденды по годам'!K240&lt;&gt;"",'Дивиденды по годам'!M240&lt;&gt;"",'Дивиденды по годам'!I240&lt;&gt;0),('Дивиденды по годам'!J240+'Дивиденды по годам'!K240)/'Дивиденды по годам'!I240,""),"")</f>
        <v/>
      </c>
      <c r="W240" t="str">
        <f>IFERROR('Дивиденды по годам'!I240,"")</f>
        <v/>
      </c>
      <c r="X240" cm="1">
        <f t="array" ref="X240">IFERROR(AVERAGE(_xlfn._xlws.FILTER(P$2:P$1073,($C$2:$C$1073=$C240)*($E$2:$E$1073=$E240)*(ROW(P$2:P$1073)&lt;&gt;ROW(P240))*(P$2:P$1073&lt;&gt;""))),"")</f>
        <v>26.145009282501285</v>
      </c>
      <c r="Y240" cm="1">
        <f t="array" ref="Y240">IFERROR(AVERAGE(_xlfn._xlws.FILTER(Q$2:Q$1073,($C$2:$C$1073=$C240)*($E$2:$E$1073=$E240)*(ROW(Q$2:Q$1073)&lt;&gt;ROW(Q240))*(Q$2:Q$1073&lt;&gt;""))),"")</f>
        <v>0.76664474584196163</v>
      </c>
      <c r="Z240" cm="1">
        <f t="array" ref="Z240">IFERROR(AVERAGE(_xlfn._xlws.FILTER(R$2:R$1073,($C$2:$C$1073=$C240)*($E$2:$E$1073=$E240)*(ROW(R$2:R$1073)&lt;&gt;ROW(R240))*(R$2:R$1073&lt;&gt;""))),"")</f>
        <v>0.14348983045887875</v>
      </c>
      <c r="AA240" cm="1">
        <f t="array" ref="AA240">IFERROR(AVERAGE(_xlfn._xlws.FILTER(S$2:S$1073,($C$2:$C$1073=$C240)*($E$2:$E$1073=$E240)*(ROW(S$2:S$1073)&lt;&gt;ROW(S240))*(S$2:S$1073&lt;&gt;""))),"")</f>
        <v>0.39850050246333968</v>
      </c>
      <c r="AB240" cm="1">
        <f t="array" ref="AB240">IFERROR(AVERAGE(_xlfn._xlws.FILTER(T$2:T$1073,($C$2:$C$1073=$C240)*($E$2:$E$1073=$E240)*(ROW(T$2:T$1073)&lt;&gt;ROW(T240))*(T$2:T$1073&lt;&gt;""))),"")</f>
        <v>4.5214358774442007E-2</v>
      </c>
      <c r="AC240" cm="1">
        <f t="array" ref="AC240">IFERROR(AVERAGE(_xlfn._xlws.FILTER(U$2:U$1073,($C$2:$C$1073=$C240)*($E$2:$E$1073=$E240)*(ROW(U$2:U$1073)&lt;&gt;ROW(U240))*(U$2:U$1073&lt;&gt;""))),"")</f>
        <v>0.59470561642359621</v>
      </c>
      <c r="AD240" cm="1">
        <f t="array" ref="AD240">IFERROR(AVERAGE(_xlfn._xlws.FILTER(V$2:V$1073,($C$2:$C$1073=$C240)*($E$2:$E$1073=$E240)*(ROW(V$2:V$1073)&lt;&gt;ROW(V240))*(V$2:V$1073&lt;&gt;""))),"")</f>
        <v>0.35832233785091483</v>
      </c>
      <c r="AE240">
        <f>IF('Дивиденды по годам'!M240&lt;0,1,0)</f>
        <v>0</v>
      </c>
    </row>
    <row r="241" spans="1:31" x14ac:dyDescent="0.2">
      <c r="A241" s="7" t="s">
        <v>2206</v>
      </c>
      <c r="B241" t="str">
        <f t="shared" si="33"/>
        <v>MRKV IV кв. 2010</v>
      </c>
      <c r="C241">
        <v>2010</v>
      </c>
      <c r="D241">
        <f>SUMIFS(Дивиденды!$C:$C,Дивиденды!$A:$A,A241,Дивиденды!$I:$I,C241)</f>
        <v>0</v>
      </c>
      <c r="E241">
        <v>2</v>
      </c>
      <c r="F241">
        <f t="shared" si="34"/>
        <v>0</v>
      </c>
      <c r="G241">
        <f t="shared" si="35"/>
        <v>6.5618333333333336E-3</v>
      </c>
      <c r="H241">
        <f t="shared" si="36"/>
        <v>0</v>
      </c>
      <c r="I241">
        <f t="shared" si="37"/>
        <v>0.83333333333333337</v>
      </c>
      <c r="J241" t="str">
        <f t="shared" si="38"/>
        <v/>
      </c>
      <c r="K241" t="str">
        <f t="shared" si="43"/>
        <v/>
      </c>
      <c r="L241" t="str">
        <f t="shared" si="39"/>
        <v/>
      </c>
      <c r="M241" t="str">
        <f t="shared" si="40"/>
        <v/>
      </c>
      <c r="N241" t="str">
        <f t="shared" si="41"/>
        <v/>
      </c>
      <c r="O241" t="str">
        <f t="shared" si="42"/>
        <v/>
      </c>
      <c r="P241" t="str">
        <f>IFERROR(LN('Дивиденды по годам'!I241),"")</f>
        <v/>
      </c>
      <c r="Q241" t="str">
        <f>IFERROR('Дивиденды по годам'!G241/'Дивиденды по годам'!I241, "")</f>
        <v/>
      </c>
      <c r="R241" t="str">
        <f>IFERROR(IF(AND('Дивиденды по годам'!N241&lt;&gt;"",'Дивиденды по годам'!U241&lt;&gt;"",'Дивиденды по годам'!U241&lt;&gt;0),'Дивиденды по годам'!N241/'Дивиденды по годам'!U241-1,""),"")</f>
        <v/>
      </c>
      <c r="S241" t="str">
        <f>IFERROR(IF(AND('Дивиденды по годам'!L241&lt;&gt;"",'Дивиденды по годам'!I241&lt;&gt;"",'Дивиденды по годам'!J241&lt;&gt;"",'Дивиденды по годам'!K241&lt;&gt;"",('Дивиденды по годам'!I241-'Дивиденды по годам'!J241-'Дивиденды по годам'!K241)&lt;&gt;0),'Дивиденды по годам'!L241/('Дивиденды по годам'!I241-'Дивиденды по годам'!J241-'Дивиденды по годам'!K241),""),"")</f>
        <v/>
      </c>
      <c r="T241" t="str">
        <f>IFERROR(IF(AND('Дивиденды по годам'!Q241&lt;&gt;"",'Дивиденды по годам'!I241&lt;&gt;"",'Дивиденды по годам'!V241&lt;&gt;"",('Дивиденды по годам'!I241+'Дивиденды по годам'!V241)&lt;&gt;0),'Дивиденды по годам'!Q241/(('Дивиденды по годам'!I241+'Дивиденды по годам'!V241)/2),""),"")</f>
        <v/>
      </c>
      <c r="U241" t="str">
        <f>IFERROR(IF(AND('Дивиденды по годам'!J241&lt;&gt;"",'Дивиденды по годам'!K241&lt;&gt;"",'Дивиденды по годам'!M241&lt;&gt;"",'Дивиденды по годам'!M241&lt;&gt;0),('Дивиденды по годам'!J241+'Дивиденды по годам'!K241)/'Дивиденды по годам'!M241,""),"")</f>
        <v/>
      </c>
      <c r="V241" t="str">
        <f>IFERROR(IF(AND('Дивиденды по годам'!J241&lt;&gt;"",'Дивиденды по годам'!K241&lt;&gt;"",'Дивиденды по годам'!M241&lt;&gt;"",'Дивиденды по годам'!I241&lt;&gt;0),('Дивиденды по годам'!J241+'Дивиденды по годам'!K241)/'Дивиденды по годам'!I241,""),"")</f>
        <v/>
      </c>
      <c r="W241" t="str">
        <f>IFERROR('Дивиденды по годам'!I241,"")</f>
        <v/>
      </c>
      <c r="X241" cm="1">
        <f t="array" ref="X241">IFERROR(AVERAGE(_xlfn._xlws.FILTER(P$2:P$1073,($C$2:$C$1073=$C241)*($E$2:$E$1073=$E241)*(ROW(P$2:P$1073)&lt;&gt;ROW(P241))*(P$2:P$1073&lt;&gt;""))),"")</f>
        <v>24.730948088520865</v>
      </c>
      <c r="Y241" cm="1">
        <f t="array" ref="Y241">IFERROR(AVERAGE(_xlfn._xlws.FILTER(Q$2:Q$1073,($C$2:$C$1073=$C241)*($E$2:$E$1073=$E241)*(ROW(Q$2:Q$1073)&lt;&gt;ROW(Q241))*(Q$2:Q$1073&lt;&gt;""))),"")</f>
        <v>0.82035195639515091</v>
      </c>
      <c r="Z241" t="str" cm="1">
        <f t="array" ref="Z241">IFERROR(AVERAGE(_xlfn._xlws.FILTER(R$2:R$1073,($C$2:$C$1073=$C241)*($E$2:$E$1073=$E241)*(ROW(R$2:R$1073)&lt;&gt;ROW(R241))*(R$2:R$1073&lt;&gt;""))),"")</f>
        <v/>
      </c>
      <c r="AA241" t="str" cm="1">
        <f t="array" ref="AA241">IFERROR(AVERAGE(_xlfn._xlws.FILTER(S$2:S$1073,($C$2:$C$1073=$C241)*($E$2:$E$1073=$E241)*(ROW(S$2:S$1073)&lt;&gt;ROW(S241))*(S$2:S$1073&lt;&gt;""))),"")</f>
        <v/>
      </c>
      <c r="AB241" t="str" cm="1">
        <f t="array" ref="AB241">IFERROR(AVERAGE(_xlfn._xlws.FILTER(T$2:T$1073,($C$2:$C$1073=$C241)*($E$2:$E$1073=$E241)*(ROW(T$2:T$1073)&lt;&gt;ROW(T241))*(T$2:T$1073&lt;&gt;""))),"")</f>
        <v/>
      </c>
      <c r="AC241" cm="1">
        <f t="array" ref="AC241">IFERROR(AVERAGE(_xlfn._xlws.FILTER(U$2:U$1073,($C$2:$C$1073=$C241)*($E$2:$E$1073=$E241)*(ROW(U$2:U$1073)&lt;&gt;ROW(U241))*(U$2:U$1073&lt;&gt;""))),"")</f>
        <v>0.91314375247969903</v>
      </c>
      <c r="AD241" cm="1">
        <f t="array" ref="AD241">IFERROR(AVERAGE(_xlfn._xlws.FILTER(V$2:V$1073,($C$2:$C$1073=$C241)*($E$2:$E$1073=$E241)*(ROW(V$2:V$1073)&lt;&gt;ROW(V241))*(V$2:V$1073&lt;&gt;""))),"")</f>
        <v>0.47730012514539921</v>
      </c>
      <c r="AE241">
        <f>IF('Дивиденды по годам'!M241&lt;0,1,0)</f>
        <v>0</v>
      </c>
    </row>
    <row r="242" spans="1:31" x14ac:dyDescent="0.2">
      <c r="A242" s="7" t="s">
        <v>2208</v>
      </c>
      <c r="B242" t="str">
        <f t="shared" si="33"/>
        <v>MSNG IV кв. 2025</v>
      </c>
      <c r="C242">
        <v>2025</v>
      </c>
      <c r="D242">
        <f>SUMIFS(Дивиденды!$C:$C,Дивиденды!$A:$A,A242,Дивиденды!$I:$I,C242)</f>
        <v>0</v>
      </c>
      <c r="E242">
        <v>2</v>
      </c>
      <c r="F242">
        <f t="shared" si="34"/>
        <v>0</v>
      </c>
      <c r="G242">
        <f t="shared" si="35"/>
        <v>0</v>
      </c>
      <c r="H242">
        <f t="shared" si="36"/>
        <v>0</v>
      </c>
      <c r="I242">
        <f t="shared" si="37"/>
        <v>0</v>
      </c>
      <c r="J242">
        <f t="shared" si="38"/>
        <v>0</v>
      </c>
      <c r="K242">
        <f t="shared" si="43"/>
        <v>-0.58333333333333337</v>
      </c>
      <c r="L242">
        <f t="shared" si="39"/>
        <v>0</v>
      </c>
      <c r="M242">
        <f t="shared" si="40"/>
        <v>0</v>
      </c>
      <c r="N242">
        <f t="shared" si="41"/>
        <v>0</v>
      </c>
      <c r="O242">
        <f t="shared" si="42"/>
        <v>0.58333333333333337</v>
      </c>
      <c r="P242" t="str">
        <f>IFERROR(LN('Дивиденды по годам'!I242),"")</f>
        <v/>
      </c>
      <c r="Q242" t="str">
        <f>IFERROR('Дивиденды по годам'!G242/'Дивиденды по годам'!I242, "")</f>
        <v/>
      </c>
      <c r="R242" t="str">
        <f>IFERROR(IF(AND('Дивиденды по годам'!N242&lt;&gt;"",'Дивиденды по годам'!U242&lt;&gt;"",'Дивиденды по годам'!U242&lt;&gt;0),'Дивиденды по годам'!N242/'Дивиденды по годам'!U242-1,""),"")</f>
        <v/>
      </c>
      <c r="S242" t="str">
        <f>IFERROR(IF(AND('Дивиденды по годам'!L242&lt;&gt;"",'Дивиденды по годам'!I242&lt;&gt;"",'Дивиденды по годам'!J242&lt;&gt;"",'Дивиденды по годам'!K242&lt;&gt;"",('Дивиденды по годам'!I242-'Дивиденды по годам'!J242-'Дивиденды по годам'!K242)&lt;&gt;0),'Дивиденды по годам'!L242/('Дивиденды по годам'!I242-'Дивиденды по годам'!J242-'Дивиденды по годам'!K242),""),"")</f>
        <v/>
      </c>
      <c r="T242" t="str">
        <f>IFERROR(IF(AND('Дивиденды по годам'!Q242&lt;&gt;"",'Дивиденды по годам'!I242&lt;&gt;"",'Дивиденды по годам'!V242&lt;&gt;"",('Дивиденды по годам'!I242+'Дивиденды по годам'!V242)&lt;&gt;0),'Дивиденды по годам'!Q242/(('Дивиденды по годам'!I242+'Дивиденды по годам'!V242)/2),""),"")</f>
        <v/>
      </c>
      <c r="U242" t="str">
        <f>IFERROR(IF(AND('Дивиденды по годам'!J242&lt;&gt;"",'Дивиденды по годам'!K242&lt;&gt;"",'Дивиденды по годам'!M242&lt;&gt;"",'Дивиденды по годам'!M242&lt;&gt;0),('Дивиденды по годам'!J242+'Дивиденды по годам'!K242)/'Дивиденды по годам'!M242,""),"")</f>
        <v/>
      </c>
      <c r="V242" t="str">
        <f>IFERROR(IF(AND('Дивиденды по годам'!J242&lt;&gt;"",'Дивиденды по годам'!K242&lt;&gt;"",'Дивиденды по годам'!M242&lt;&gt;"",'Дивиденды по годам'!I242&lt;&gt;0),('Дивиденды по годам'!J242+'Дивиденды по годам'!K242)/'Дивиденды по годам'!I242,""),"")</f>
        <v/>
      </c>
      <c r="W242" t="str">
        <f>IFERROR('Дивиденды по годам'!I242,"")</f>
        <v/>
      </c>
      <c r="X242" cm="1">
        <f t="array" ref="X242">IFERROR(AVERAGE(_xlfn._xlws.FILTER(P$2:P$1073,($C$2:$C$1073=$C242)*($E$2:$E$1073=$E242)*(ROW(P$2:P$1073)&lt;&gt;ROW(P242))*(P$2:P$1073&lt;&gt;""))),"")</f>
        <v>26.57991857918098</v>
      </c>
      <c r="Y242" cm="1">
        <f t="array" ref="Y242">IFERROR(AVERAGE(_xlfn._xlws.FILTER(Q$2:Q$1073,($C$2:$C$1073=$C242)*($E$2:$E$1073=$E242)*(ROW(Q$2:Q$1073)&lt;&gt;ROW(Q242))*(Q$2:Q$1073&lt;&gt;""))),"")</f>
        <v>0.67759713674348565</v>
      </c>
      <c r="Z242" cm="1">
        <f t="array" ref="Z242">IFERROR(AVERAGE(_xlfn._xlws.FILTER(R$2:R$1073,($C$2:$C$1073=$C242)*($E$2:$E$1073=$E242)*(ROW(R$2:R$1073)&lt;&gt;ROW(R242))*(R$2:R$1073&lt;&gt;""))),"")</f>
        <v>0.17662623265859428</v>
      </c>
      <c r="AA242" cm="1">
        <f t="array" ref="AA242">IFERROR(AVERAGE(_xlfn._xlws.FILTER(S$2:S$1073,($C$2:$C$1073=$C242)*($E$2:$E$1073=$E242)*(ROW(S$2:S$1073)&lt;&gt;ROW(S242))*(S$2:S$1073&lt;&gt;""))),"")</f>
        <v>0.75614685785818758</v>
      </c>
      <c r="AB242" cm="1">
        <f t="array" ref="AB242">IFERROR(AVERAGE(_xlfn._xlws.FILTER(T$2:T$1073,($C$2:$C$1073=$C242)*($E$2:$E$1073=$E242)*(ROW(T$2:T$1073)&lt;&gt;ROW(T242))*(T$2:T$1073&lt;&gt;""))),"")</f>
        <v>0.10306085485751774</v>
      </c>
      <c r="AC242" cm="1">
        <f t="array" ref="AC242">IFERROR(AVERAGE(_xlfn._xlws.FILTER(U$2:U$1073,($C$2:$C$1073=$C242)*($E$2:$E$1073=$E242)*(ROW(U$2:U$1073)&lt;&gt;ROW(U242))*(U$2:U$1073&lt;&gt;""))),"")</f>
        <v>0.88935141782994176</v>
      </c>
      <c r="AD242" cm="1">
        <f t="array" ref="AD242">IFERROR(AVERAGE(_xlfn._xlws.FILTER(V$2:V$1073,($C$2:$C$1073=$C242)*($E$2:$E$1073=$E242)*(ROW(V$2:V$1073)&lt;&gt;ROW(V242))*(V$2:V$1073&lt;&gt;""))),"")</f>
        <v>0.43128750803252092</v>
      </c>
      <c r="AE242">
        <f>IF('Дивиденды по годам'!M242&lt;0,1,0)</f>
        <v>0</v>
      </c>
    </row>
    <row r="243" spans="1:31" x14ac:dyDescent="0.2">
      <c r="A243" s="7" t="s">
        <v>2208</v>
      </c>
      <c r="B243" t="str">
        <f t="shared" si="33"/>
        <v>MSNG IV кв. 2024</v>
      </c>
      <c r="C243">
        <v>2024</v>
      </c>
      <c r="D243">
        <f>SUMIFS(Дивиденды!$C:$C,Дивиденды!$A:$A,A243,Дивиденды!$I:$I,C243)</f>
        <v>0</v>
      </c>
      <c r="E243">
        <v>2</v>
      </c>
      <c r="F243">
        <f t="shared" si="34"/>
        <v>0</v>
      </c>
      <c r="G243">
        <f t="shared" si="35"/>
        <v>6.3399999999999998E-2</v>
      </c>
      <c r="H243">
        <f t="shared" si="36"/>
        <v>0</v>
      </c>
      <c r="I243">
        <f t="shared" si="37"/>
        <v>0.58333333333333337</v>
      </c>
      <c r="J243">
        <f t="shared" si="38"/>
        <v>-1</v>
      </c>
      <c r="K243">
        <f t="shared" si="43"/>
        <v>0.16949398677633751</v>
      </c>
      <c r="L243">
        <f t="shared" si="39"/>
        <v>0</v>
      </c>
      <c r="M243">
        <f t="shared" si="40"/>
        <v>0.58333333333333337</v>
      </c>
      <c r="N243">
        <f t="shared" si="41"/>
        <v>1</v>
      </c>
      <c r="O243">
        <f t="shared" si="42"/>
        <v>0</v>
      </c>
      <c r="P243" t="str">
        <f>IFERROR(LN('Дивиденды по годам'!I243),"")</f>
        <v/>
      </c>
      <c r="Q243" t="str">
        <f>IFERROR('Дивиденды по годам'!G243/'Дивиденды по годам'!I243, "")</f>
        <v/>
      </c>
      <c r="R243" t="str">
        <f>IFERROR(IF(AND('Дивиденды по годам'!N243&lt;&gt;"",'Дивиденды по годам'!U243&lt;&gt;"",'Дивиденды по годам'!U243&lt;&gt;0),'Дивиденды по годам'!N243/'Дивиденды по годам'!U243-1,""),"")</f>
        <v/>
      </c>
      <c r="S243" t="str">
        <f>IFERROR(IF(AND('Дивиденды по годам'!L243&lt;&gt;"",'Дивиденды по годам'!I243&lt;&gt;"",'Дивиденды по годам'!J243&lt;&gt;"",'Дивиденды по годам'!K243&lt;&gt;"",('Дивиденды по годам'!I243-'Дивиденды по годам'!J243-'Дивиденды по годам'!K243)&lt;&gt;0),'Дивиденды по годам'!L243/('Дивиденды по годам'!I243-'Дивиденды по годам'!J243-'Дивиденды по годам'!K243),""),"")</f>
        <v/>
      </c>
      <c r="T243" t="str">
        <f>IFERROR(IF(AND('Дивиденды по годам'!Q243&lt;&gt;"",'Дивиденды по годам'!I243&lt;&gt;"",'Дивиденды по годам'!V243&lt;&gt;"",('Дивиденды по годам'!I243+'Дивиденды по годам'!V243)&lt;&gt;0),'Дивиденды по годам'!Q243/(('Дивиденды по годам'!I243+'Дивиденды по годам'!V243)/2),""),"")</f>
        <v/>
      </c>
      <c r="U243" t="str">
        <f>IFERROR(IF(AND('Дивиденды по годам'!J243&lt;&gt;"",'Дивиденды по годам'!K243&lt;&gt;"",'Дивиденды по годам'!M243&lt;&gt;"",'Дивиденды по годам'!M243&lt;&gt;0),('Дивиденды по годам'!J243+'Дивиденды по годам'!K243)/'Дивиденды по годам'!M243,""),"")</f>
        <v/>
      </c>
      <c r="V243" t="str">
        <f>IFERROR(IF(AND('Дивиденды по годам'!J243&lt;&gt;"",'Дивиденды по годам'!K243&lt;&gt;"",'Дивиденды по годам'!M243&lt;&gt;"",'Дивиденды по годам'!I243&lt;&gt;0),('Дивиденды по годам'!J243+'Дивиденды по годам'!K243)/'Дивиденды по годам'!I243,""),"")</f>
        <v/>
      </c>
      <c r="W243" t="str">
        <f>IFERROR('Дивиденды по годам'!I243,"")</f>
        <v/>
      </c>
      <c r="X243" cm="1">
        <f t="array" ref="X243">IFERROR(AVERAGE(_xlfn._xlws.FILTER(P$2:P$1073,($C$2:$C$1073=$C243)*($E$2:$E$1073=$E243)*(ROW(P$2:P$1073)&lt;&gt;ROW(P243))*(P$2:P$1073&lt;&gt;""))),"")</f>
        <v>26.53052036495767</v>
      </c>
      <c r="Y243" cm="1">
        <f t="array" ref="Y243">IFERROR(AVERAGE(_xlfn._xlws.FILTER(Q$2:Q$1073,($C$2:$C$1073=$C243)*($E$2:$E$1073=$E243)*(ROW(Q$2:Q$1073)&lt;&gt;ROW(Q243))*(Q$2:Q$1073&lt;&gt;""))),"")</f>
        <v>0.68897542618517627</v>
      </c>
      <c r="Z243" cm="1">
        <f t="array" ref="Z243">IFERROR(AVERAGE(_xlfn._xlws.FILTER(R$2:R$1073,($C$2:$C$1073=$C243)*($E$2:$E$1073=$E243)*(ROW(R$2:R$1073)&lt;&gt;ROW(R243))*(R$2:R$1073&lt;&gt;""))),"")</f>
        <v>9.9336521219665186E-2</v>
      </c>
      <c r="AA243" cm="1">
        <f t="array" ref="AA243">IFERROR(AVERAGE(_xlfn._xlws.FILTER(S$2:S$1073,($C$2:$C$1073=$C243)*($E$2:$E$1073=$E243)*(ROW(S$2:S$1073)&lt;&gt;ROW(S243))*(S$2:S$1073&lt;&gt;""))),"")</f>
        <v>0.56302208811184973</v>
      </c>
      <c r="AB243" cm="1">
        <f t="array" ref="AB243">IFERROR(AVERAGE(_xlfn._xlws.FILTER(T$2:T$1073,($C$2:$C$1073=$C243)*($E$2:$E$1073=$E243)*(ROW(T$2:T$1073)&lt;&gt;ROW(T243))*(T$2:T$1073&lt;&gt;""))),"")</f>
        <v>5.7319411109732842E-2</v>
      </c>
      <c r="AC243" cm="1">
        <f t="array" ref="AC243">IFERROR(AVERAGE(_xlfn._xlws.FILTER(U$2:U$1073,($C$2:$C$1073=$C243)*($E$2:$E$1073=$E243)*(ROW(U$2:U$1073)&lt;&gt;ROW(U243))*(U$2:U$1073&lt;&gt;""))),"")</f>
        <v>0.93200166477437119</v>
      </c>
      <c r="AD243" cm="1">
        <f t="array" ref="AD243">IFERROR(AVERAGE(_xlfn._xlws.FILTER(V$2:V$1073,($C$2:$C$1073=$C243)*($E$2:$E$1073=$E243)*(ROW(V$2:V$1073)&lt;&gt;ROW(V243))*(V$2:V$1073&lt;&gt;""))),"")</f>
        <v>0.45156882650127617</v>
      </c>
      <c r="AE243">
        <f>IF('Дивиденды по годам'!M243&lt;0,1,0)</f>
        <v>0</v>
      </c>
    </row>
    <row r="244" spans="1:31" x14ac:dyDescent="0.2">
      <c r="A244" s="7" t="s">
        <v>2208</v>
      </c>
      <c r="B244" t="str">
        <f t="shared" si="33"/>
        <v>MSNG IV кв. 2023</v>
      </c>
      <c r="C244">
        <v>2023</v>
      </c>
      <c r="D244">
        <f>SUMIFS(Дивиденды!$C:$C,Дивиденды!$A:$A,A244,Дивиденды!$I:$I,C244)</f>
        <v>0.16</v>
      </c>
      <c r="E244">
        <v>2</v>
      </c>
      <c r="F244">
        <f t="shared" si="34"/>
        <v>0.16</v>
      </c>
      <c r="G244">
        <f t="shared" si="35"/>
        <v>5.2966666666666662E-2</v>
      </c>
      <c r="H244">
        <f t="shared" si="36"/>
        <v>1</v>
      </c>
      <c r="I244">
        <f t="shared" si="37"/>
        <v>0.5</v>
      </c>
      <c r="J244">
        <f t="shared" si="38"/>
        <v>-0.15789473684210525</v>
      </c>
      <c r="K244">
        <f t="shared" si="43"/>
        <v>0.13019113737249643</v>
      </c>
      <c r="L244">
        <f t="shared" si="39"/>
        <v>0</v>
      </c>
      <c r="M244">
        <f t="shared" si="40"/>
        <v>0.5</v>
      </c>
      <c r="N244">
        <f t="shared" si="41"/>
        <v>1</v>
      </c>
      <c r="O244">
        <f t="shared" si="42"/>
        <v>0.16666666666666666</v>
      </c>
      <c r="P244" t="str">
        <f>IFERROR(LN('Дивиденды по годам'!I244),"")</f>
        <v/>
      </c>
      <c r="Q244" t="str">
        <f>IFERROR('Дивиденды по годам'!G244/'Дивиденды по годам'!I244, "")</f>
        <v/>
      </c>
      <c r="R244" t="str">
        <f>IFERROR(IF(AND('Дивиденды по годам'!N244&lt;&gt;"",'Дивиденды по годам'!U244&lt;&gt;"",'Дивиденды по годам'!U244&lt;&gt;0),'Дивиденды по годам'!N244/'Дивиденды по годам'!U244-1,""),"")</f>
        <v/>
      </c>
      <c r="S244" t="str">
        <f>IFERROR(IF(AND('Дивиденды по годам'!L244&lt;&gt;"",'Дивиденды по годам'!I244&lt;&gt;"",'Дивиденды по годам'!J244&lt;&gt;"",'Дивиденды по годам'!K244&lt;&gt;"",('Дивиденды по годам'!I244-'Дивиденды по годам'!J244-'Дивиденды по годам'!K244)&lt;&gt;0),'Дивиденды по годам'!L244/('Дивиденды по годам'!I244-'Дивиденды по годам'!J244-'Дивиденды по годам'!K244),""),"")</f>
        <v/>
      </c>
      <c r="T244" t="str">
        <f>IFERROR(IF(AND('Дивиденды по годам'!Q244&lt;&gt;"",'Дивиденды по годам'!I244&lt;&gt;"",'Дивиденды по годам'!V244&lt;&gt;"",('Дивиденды по годам'!I244+'Дивиденды по годам'!V244)&lt;&gt;0),'Дивиденды по годам'!Q244/(('Дивиденды по годам'!I244+'Дивиденды по годам'!V244)/2),""),"")</f>
        <v/>
      </c>
      <c r="U244" t="str">
        <f>IFERROR(IF(AND('Дивиденды по годам'!J244&lt;&gt;"",'Дивиденды по годам'!K244&lt;&gt;"",'Дивиденды по годам'!M244&lt;&gt;"",'Дивиденды по годам'!M244&lt;&gt;0),('Дивиденды по годам'!J244+'Дивиденды по годам'!K244)/'Дивиденды по годам'!M244,""),"")</f>
        <v/>
      </c>
      <c r="V244" t="str">
        <f>IFERROR(IF(AND('Дивиденды по годам'!J244&lt;&gt;"",'Дивиденды по годам'!K244&lt;&gt;"",'Дивиденды по годам'!M244&lt;&gt;"",'Дивиденды по годам'!I244&lt;&gt;0),('Дивиденды по годам'!J244+'Дивиденды по годам'!K244)/'Дивиденды по годам'!I244,""),"")</f>
        <v/>
      </c>
      <c r="W244" t="str">
        <f>IFERROR('Дивиденды по годам'!I244,"")</f>
        <v/>
      </c>
      <c r="X244" cm="1">
        <f t="array" ref="X244">IFERROR(AVERAGE(_xlfn._xlws.FILTER(P$2:P$1073,($C$2:$C$1073=$C244)*($E$2:$E$1073=$E244)*(ROW(P$2:P$1073)&lt;&gt;ROW(P244))*(P$2:P$1073&lt;&gt;""))),"")</f>
        <v>26.412844757916616</v>
      </c>
      <c r="Y244" cm="1">
        <f t="array" ref="Y244">IFERROR(AVERAGE(_xlfn._xlws.FILTER(Q$2:Q$1073,($C$2:$C$1073=$C244)*($E$2:$E$1073=$E244)*(ROW(Q$2:Q$1073)&lt;&gt;ROW(Q244))*(Q$2:Q$1073&lt;&gt;""))),"")</f>
        <v>0.70895600705014628</v>
      </c>
      <c r="Z244" cm="1">
        <f t="array" ref="Z244">IFERROR(AVERAGE(_xlfn._xlws.FILTER(R$2:R$1073,($C$2:$C$1073=$C244)*($E$2:$E$1073=$E244)*(ROW(R$2:R$1073)&lt;&gt;ROW(R244))*(R$2:R$1073&lt;&gt;""))),"")</f>
        <v>0.13982106199642538</v>
      </c>
      <c r="AA244" cm="1">
        <f t="array" ref="AA244">IFERROR(AVERAGE(_xlfn._xlws.FILTER(S$2:S$1073,($C$2:$C$1073=$C244)*($E$2:$E$1073=$E244)*(ROW(S$2:S$1073)&lt;&gt;ROW(S244))*(S$2:S$1073&lt;&gt;""))),"")</f>
        <v>0.54058275260231825</v>
      </c>
      <c r="AB244" cm="1">
        <f t="array" ref="AB244">IFERROR(AVERAGE(_xlfn._xlws.FILTER(T$2:T$1073,($C$2:$C$1073=$C244)*($E$2:$E$1073=$E244)*(ROW(T$2:T$1073)&lt;&gt;ROW(T244))*(T$2:T$1073&lt;&gt;""))),"")</f>
        <v>7.5826325918363136E-2</v>
      </c>
      <c r="AC244" cm="1">
        <f t="array" ref="AC244">IFERROR(AVERAGE(_xlfn._xlws.FILTER(U$2:U$1073,($C$2:$C$1073=$C244)*($E$2:$E$1073=$E244)*(ROW(U$2:U$1073)&lt;&gt;ROW(U244))*(U$2:U$1073&lt;&gt;""))),"")</f>
        <v>0.82391328105138761</v>
      </c>
      <c r="AD244" cm="1">
        <f t="array" ref="AD244">IFERROR(AVERAGE(_xlfn._xlws.FILTER(V$2:V$1073,($C$2:$C$1073=$C244)*($E$2:$E$1073=$E244)*(ROW(V$2:V$1073)&lt;&gt;ROW(V244))*(V$2:V$1073&lt;&gt;""))),"")</f>
        <v>0.42475932480936313</v>
      </c>
      <c r="AE244">
        <f>IF('Дивиденды по годам'!M244&lt;0,1,0)</f>
        <v>0</v>
      </c>
    </row>
    <row r="245" spans="1:31" x14ac:dyDescent="0.2">
      <c r="A245" s="7" t="s">
        <v>2208</v>
      </c>
      <c r="B245" t="str">
        <f t="shared" si="33"/>
        <v>MSNG IV кв. 2022</v>
      </c>
      <c r="C245">
        <v>2022</v>
      </c>
      <c r="D245">
        <f>SUMIFS(Дивиденды!$C:$C,Дивиденды!$A:$A,A245,Дивиденды!$I:$I,C245)</f>
        <v>0.19</v>
      </c>
      <c r="E245">
        <v>2</v>
      </c>
      <c r="F245">
        <f t="shared" si="34"/>
        <v>0.19</v>
      </c>
      <c r="G245">
        <f t="shared" si="35"/>
        <v>4.8898333333333342E-2</v>
      </c>
      <c r="H245">
        <f t="shared" si="36"/>
        <v>1</v>
      </c>
      <c r="I245">
        <f t="shared" si="37"/>
        <v>0.58333333333333337</v>
      </c>
      <c r="J245">
        <f t="shared" si="38"/>
        <v>-0.13636363636363635</v>
      </c>
      <c r="K245">
        <f t="shared" si="43"/>
        <v>-0.15027822523010403</v>
      </c>
      <c r="L245">
        <f t="shared" si="39"/>
        <v>0</v>
      </c>
      <c r="M245">
        <f t="shared" si="40"/>
        <v>0.33333333333333331</v>
      </c>
      <c r="N245">
        <f t="shared" si="41"/>
        <v>1</v>
      </c>
      <c r="O245">
        <f t="shared" si="42"/>
        <v>0.41666666666666669</v>
      </c>
      <c r="P245" t="str">
        <f>IFERROR(LN('Дивиденды по годам'!I245),"")</f>
        <v/>
      </c>
      <c r="Q245" t="str">
        <f>IFERROR('Дивиденды по годам'!G245/'Дивиденды по годам'!I245, "")</f>
        <v/>
      </c>
      <c r="R245" t="str">
        <f>IFERROR(IF(AND('Дивиденды по годам'!N245&lt;&gt;"",'Дивиденды по годам'!U245&lt;&gt;"",'Дивиденды по годам'!U245&lt;&gt;0),'Дивиденды по годам'!N245/'Дивиденды по годам'!U245-1,""),"")</f>
        <v/>
      </c>
      <c r="S245" t="str">
        <f>IFERROR(IF(AND('Дивиденды по годам'!L245&lt;&gt;"",'Дивиденды по годам'!I245&lt;&gt;"",'Дивиденды по годам'!J245&lt;&gt;"",'Дивиденды по годам'!K245&lt;&gt;"",('Дивиденды по годам'!I245-'Дивиденды по годам'!J245-'Дивиденды по годам'!K245)&lt;&gt;0),'Дивиденды по годам'!L245/('Дивиденды по годам'!I245-'Дивиденды по годам'!J245-'Дивиденды по годам'!K245),""),"")</f>
        <v/>
      </c>
      <c r="T245" t="str">
        <f>IFERROR(IF(AND('Дивиденды по годам'!Q245&lt;&gt;"",'Дивиденды по годам'!I245&lt;&gt;"",'Дивиденды по годам'!V245&lt;&gt;"",('Дивиденды по годам'!I245+'Дивиденды по годам'!V245)&lt;&gt;0),'Дивиденды по годам'!Q245/(('Дивиденды по годам'!I245+'Дивиденды по годам'!V245)/2),""),"")</f>
        <v/>
      </c>
      <c r="U245" t="str">
        <f>IFERROR(IF(AND('Дивиденды по годам'!J245&lt;&gt;"",'Дивиденды по годам'!K245&lt;&gt;"",'Дивиденды по годам'!M245&lt;&gt;"",'Дивиденды по годам'!M245&lt;&gt;0),('Дивиденды по годам'!J245+'Дивиденды по годам'!K245)/'Дивиденды по годам'!M245,""),"")</f>
        <v/>
      </c>
      <c r="V245" t="str">
        <f>IFERROR(IF(AND('Дивиденды по годам'!J245&lt;&gt;"",'Дивиденды по годам'!K245&lt;&gt;"",'Дивиденды по годам'!M245&lt;&gt;"",'Дивиденды по годам'!I245&lt;&gt;0),('Дивиденды по годам'!J245+'Дивиденды по годам'!K245)/'Дивиденды по годам'!I245,""),"")</f>
        <v/>
      </c>
      <c r="W245" t="str">
        <f>IFERROR('Дивиденды по годам'!I245,"")</f>
        <v/>
      </c>
      <c r="X245" cm="1">
        <f t="array" ref="X245">IFERROR(AVERAGE(_xlfn._xlws.FILTER(P$2:P$1073,($C$2:$C$1073=$C245)*($E$2:$E$1073=$E245)*(ROW(P$2:P$1073)&lt;&gt;ROW(P245))*(P$2:P$1073&lt;&gt;""))),"")</f>
        <v>26.311482392509326</v>
      </c>
      <c r="Y245" cm="1">
        <f t="array" ref="Y245">IFERROR(AVERAGE(_xlfn._xlws.FILTER(Q$2:Q$1073,($C$2:$C$1073=$C245)*($E$2:$E$1073=$E245)*(ROW(Q$2:Q$1073)&lt;&gt;ROW(Q245))*(Q$2:Q$1073&lt;&gt;""))),"")</f>
        <v>0.70812809619198602</v>
      </c>
      <c r="Z245" cm="1">
        <f t="array" ref="Z245">IFERROR(AVERAGE(_xlfn._xlws.FILTER(R$2:R$1073,($C$2:$C$1073=$C245)*($E$2:$E$1073=$E245)*(ROW(R$2:R$1073)&lt;&gt;ROW(R245))*(R$2:R$1073&lt;&gt;""))),"")</f>
        <v>7.2941844461954591E-2</v>
      </c>
      <c r="AA245" cm="1">
        <f t="array" ref="AA245">IFERROR(AVERAGE(_xlfn._xlws.FILTER(S$2:S$1073,($C$2:$C$1073=$C245)*($E$2:$E$1073=$E245)*(ROW(S$2:S$1073)&lt;&gt;ROW(S245))*(S$2:S$1073&lt;&gt;""))),"")</f>
        <v>0.51495855714422678</v>
      </c>
      <c r="AB245" cm="1">
        <f t="array" ref="AB245">IFERROR(AVERAGE(_xlfn._xlws.FILTER(T$2:T$1073,($C$2:$C$1073=$C245)*($E$2:$E$1073=$E245)*(ROW(T$2:T$1073)&lt;&gt;ROW(T245))*(T$2:T$1073&lt;&gt;""))),"")</f>
        <v>1.2629583278270708E-2</v>
      </c>
      <c r="AC245" cm="1">
        <f t="array" ref="AC245">IFERROR(AVERAGE(_xlfn._xlws.FILTER(U$2:U$1073,($C$2:$C$1073=$C245)*($E$2:$E$1073=$E245)*(ROW(U$2:U$1073)&lt;&gt;ROW(U245))*(U$2:U$1073&lt;&gt;""))),"")</f>
        <v>0.90922972684965886</v>
      </c>
      <c r="AD245" cm="1">
        <f t="array" ref="AD245">IFERROR(AVERAGE(_xlfn._xlws.FILTER(V$2:V$1073,($C$2:$C$1073=$C245)*($E$2:$E$1073=$E245)*(ROW(V$2:V$1073)&lt;&gt;ROW(V245))*(V$2:V$1073&lt;&gt;""))),"")</f>
        <v>0.44171853457730947</v>
      </c>
      <c r="AE245">
        <f>IF('Дивиденды по годам'!M245&lt;0,1,0)</f>
        <v>0</v>
      </c>
    </row>
    <row r="246" spans="1:31" x14ac:dyDescent="0.2">
      <c r="A246" s="7" t="s">
        <v>2208</v>
      </c>
      <c r="B246" t="str">
        <f t="shared" si="33"/>
        <v>MSNG IV кв. 2021</v>
      </c>
      <c r="C246">
        <v>2021</v>
      </c>
      <c r="D246">
        <f>SUMIFS(Дивиденды!$C:$C,Дивиденды!$A:$A,A246,Дивиденды!$I:$I,C246)</f>
        <v>0.22</v>
      </c>
      <c r="E246">
        <v>2</v>
      </c>
      <c r="F246">
        <f t="shared" si="34"/>
        <v>0.22</v>
      </c>
      <c r="G246">
        <f t="shared" si="35"/>
        <v>6.3451916666666663E-2</v>
      </c>
      <c r="H246">
        <f t="shared" si="36"/>
        <v>1</v>
      </c>
      <c r="I246">
        <f t="shared" si="37"/>
        <v>0.75</v>
      </c>
      <c r="J246">
        <f t="shared" si="38"/>
        <v>0.22222222222222227</v>
      </c>
      <c r="K246">
        <f t="shared" si="43"/>
        <v>0.14535766540553713</v>
      </c>
      <c r="L246">
        <f t="shared" si="39"/>
        <v>1</v>
      </c>
      <c r="M246">
        <f t="shared" si="40"/>
        <v>0.58333333333333337</v>
      </c>
      <c r="N246">
        <f t="shared" si="41"/>
        <v>0</v>
      </c>
      <c r="O246">
        <f t="shared" si="42"/>
        <v>0.25</v>
      </c>
      <c r="P246">
        <f>IFERROR(LN('Дивиденды по годам'!I246),"")</f>
        <v>26.660955064621074</v>
      </c>
      <c r="Q246">
        <f>IFERROR('Дивиденды по годам'!G246/'Дивиденды по годам'!I246, "")</f>
        <v>0.65258614776630486</v>
      </c>
      <c r="R246">
        <f>IFERROR(IF(AND('Дивиденды по годам'!N246&lt;&gt;"",'Дивиденды по годам'!U246&lt;&gt;"",'Дивиденды по годам'!U246&lt;&gt;0),'Дивиденды по годам'!N246/'Дивиденды по годам'!U246-1,""),"")</f>
        <v>0.2445994649213965</v>
      </c>
      <c r="S246">
        <f>IFERROR(IF(AND('Дивиденды по годам'!L246&lt;&gt;"",'Дивиденды по годам'!I246&lt;&gt;"",'Дивиденды по годам'!J246&lt;&gt;"",'Дивиденды по годам'!K246&lt;&gt;"",('Дивиденды по годам'!I246-'Дивиденды по годам'!J246-'Дивиденды по годам'!K246)&lt;&gt;0),'Дивиденды по годам'!L246/('Дивиденды по годам'!I246-'Дивиденды по годам'!J246-'Дивиденды по годам'!K246),""),"")</f>
        <v>-0.11769378789988733</v>
      </c>
      <c r="T246">
        <f>IFERROR(IF(AND('Дивиденды по годам'!Q246&lt;&gt;"",'Дивиденды по годам'!I246&lt;&gt;"",'Дивиденды по годам'!V246&lt;&gt;"",('Дивиденды по годам'!I246+'Дивиденды по годам'!V246)&lt;&gt;0),'Дивиденды по годам'!Q246/(('Дивиденды по годам'!I246+'Дивиденды по годам'!V246)/2),""),"")</f>
        <v>7.3634086424637646E-3</v>
      </c>
      <c r="U246">
        <f>IFERROR(IF(AND('Дивиденды по годам'!J246&lt;&gt;"",'Дивиденды по годам'!K246&lt;&gt;"",'Дивиденды по годам'!M246&lt;&gt;"",'Дивиденды по годам'!M246&lt;&gt;0),('Дивиденды по годам'!J246+'Дивиденды по годам'!K246)/'Дивиденды по годам'!M246,""),"")</f>
        <v>0.19968730614880176</v>
      </c>
      <c r="V246">
        <f>IFERROR(IF(AND('Дивиденды по годам'!J246&lt;&gt;"",'Дивиденды по годам'!K246&lt;&gt;"",'Дивиденды по годам'!M246&lt;&gt;"",'Дивиденды по годам'!I246&lt;&gt;0),('Дивиденды по годам'!J246+'Дивиденды по годам'!K246)/'Дивиденды по годам'!I246,""),"")</f>
        <v>0.16644946155997234</v>
      </c>
      <c r="W246">
        <f>IFERROR('Дивиденды по годам'!I246,"")</f>
        <v>379058000000</v>
      </c>
      <c r="X246" cm="1">
        <f t="array" ref="X246">IFERROR(AVERAGE(_xlfn._xlws.FILTER(P$2:P$1073,($C$2:$C$1073=$C246)*($E$2:$E$1073=$E246)*(ROW(P$2:P$1073)&lt;&gt;ROW(P246))*(P$2:P$1073&lt;&gt;""))),"")</f>
        <v>25.853291772497993</v>
      </c>
      <c r="Y246" cm="1">
        <f t="array" ref="Y246">IFERROR(AVERAGE(_xlfn._xlws.FILTER(Q$2:Q$1073,($C$2:$C$1073=$C246)*($E$2:$E$1073=$E246)*(ROW(Q$2:Q$1073)&lt;&gt;ROW(Q246))*(Q$2:Q$1073&lt;&gt;""))),"")</f>
        <v>0.78170128403071282</v>
      </c>
      <c r="Z246" cm="1">
        <f t="array" ref="Z246">IFERROR(AVERAGE(_xlfn._xlws.FILTER(R$2:R$1073,($C$2:$C$1073=$C246)*($E$2:$E$1073=$E246)*(ROW(R$2:R$1073)&lt;&gt;ROW(R246))*(R$2:R$1073&lt;&gt;""))),"")</f>
        <v>0.1149432240053514</v>
      </c>
      <c r="AA246" cm="1">
        <f t="array" ref="AA246">IFERROR(AVERAGE(_xlfn._xlws.FILTER(S$2:S$1073,($C$2:$C$1073=$C246)*($E$2:$E$1073=$E246)*(ROW(S$2:S$1073)&lt;&gt;ROW(S246))*(S$2:S$1073&lt;&gt;""))),"")</f>
        <v>0.56307717393118883</v>
      </c>
      <c r="AB246" cm="1">
        <f t="array" ref="AB246">IFERROR(AVERAGE(_xlfn._xlws.FILTER(T$2:T$1073,($C$2:$C$1073=$C246)*($E$2:$E$1073=$E246)*(ROW(T$2:T$1073)&lt;&gt;ROW(T246))*(T$2:T$1073&lt;&gt;""))),"")</f>
        <v>3.9341794075405258E-2</v>
      </c>
      <c r="AC246" cm="1">
        <f t="array" ref="AC246">IFERROR(AVERAGE(_xlfn._xlws.FILTER(U$2:U$1073,($C$2:$C$1073=$C246)*($E$2:$E$1073=$E246)*(ROW(U$2:U$1073)&lt;&gt;ROW(U246))*(U$2:U$1073&lt;&gt;""))),"")</f>
        <v>0.76632610190596073</v>
      </c>
      <c r="AD246" cm="1">
        <f t="array" ref="AD246">IFERROR(AVERAGE(_xlfn._xlws.FILTER(V$2:V$1073,($C$2:$C$1073=$C246)*($E$2:$E$1073=$E246)*(ROW(V$2:V$1073)&lt;&gt;ROW(V246))*(V$2:V$1073&lt;&gt;""))),"")</f>
        <v>0.40416058540344507</v>
      </c>
      <c r="AE246">
        <f>IF('Дивиденды по годам'!M246&lt;0,1,0)</f>
        <v>0</v>
      </c>
    </row>
    <row r="247" spans="1:31" x14ac:dyDescent="0.2">
      <c r="A247" s="7" t="s">
        <v>2208</v>
      </c>
      <c r="B247" t="str">
        <f t="shared" si="33"/>
        <v>MSNG IV кв. 2020</v>
      </c>
      <c r="C247">
        <v>2020</v>
      </c>
      <c r="D247">
        <f>SUMIFS(Дивиденды!$C:$C,Дивиденды!$A:$A,A247,Дивиденды!$I:$I,C247)</f>
        <v>0.18</v>
      </c>
      <c r="E247">
        <v>2</v>
      </c>
      <c r="F247">
        <f t="shared" si="34"/>
        <v>0.18</v>
      </c>
      <c r="G247">
        <f t="shared" si="35"/>
        <v>5.4905916666666665E-2</v>
      </c>
      <c r="H247">
        <f t="shared" si="36"/>
        <v>1</v>
      </c>
      <c r="I247">
        <f t="shared" si="37"/>
        <v>0.75</v>
      </c>
      <c r="J247">
        <f t="shared" si="38"/>
        <v>0.5</v>
      </c>
      <c r="K247">
        <f t="shared" si="43"/>
        <v>-0.1272906983693792</v>
      </c>
      <c r="L247">
        <f t="shared" si="39"/>
        <v>1</v>
      </c>
      <c r="M247">
        <f t="shared" si="40"/>
        <v>0.5</v>
      </c>
      <c r="N247">
        <f t="shared" si="41"/>
        <v>0</v>
      </c>
      <c r="O247">
        <f t="shared" si="42"/>
        <v>0.5</v>
      </c>
      <c r="P247">
        <f>IFERROR(LN('Дивиденды по годам'!I247),"")</f>
        <v>26.732056909122395</v>
      </c>
      <c r="Q247">
        <f>IFERROR('Дивиденды по годам'!G247/'Дивиденды по годам'!I247, "")</f>
        <v>0.67595352231376127</v>
      </c>
      <c r="R247">
        <f>IFERROR(IF(AND('Дивиденды по годам'!N247&lt;&gt;"",'Дивиденды по годам'!U247&lt;&gt;"",'Дивиденды по годам'!U247&lt;&gt;0),'Дивиденды по годам'!N247/'Дивиденды по годам'!U247-1,""),"")</f>
        <v>-4.673379808933642E-2</v>
      </c>
      <c r="S247">
        <f>IFERROR(IF(AND('Дивиденды по годам'!L247&lt;&gt;"",'Дивиденды по годам'!I247&lt;&gt;"",'Дивиденды по годам'!J247&lt;&gt;"",'Дивиденды по годам'!K247&lt;&gt;"",('Дивиденды по годам'!I247-'Дивиденды по годам'!J247-'Дивиденды по годам'!K247)&lt;&gt;0),'Дивиденды по годам'!L247/('Дивиденды по годам'!I247-'Дивиденды по годам'!J247-'Дивиденды по годам'!K247),""),"")</f>
        <v>-0.11305341868031571</v>
      </c>
      <c r="T247">
        <f>IFERROR(IF(AND('Дивиденды по годам'!Q247&lt;&gt;"",'Дивиденды по годам'!I247&lt;&gt;"",'Дивиденды по годам'!V247&lt;&gt;"",('Дивиденды по годам'!I247+'Дивиденды по годам'!V247)&lt;&gt;0),'Дивиденды по годам'!Q247/(('Дивиденды по годам'!I247+'Дивиденды по годам'!V247)/2),""),"")</f>
        <v>1.9629803140768502E-2</v>
      </c>
      <c r="U247">
        <f>IFERROR(IF(AND('Дивиденды по годам'!J247&lt;&gt;"",'Дивиденды по годам'!K247&lt;&gt;"",'Дивиденды по годам'!M247&lt;&gt;"",'Дивиденды по годам'!M247&lt;&gt;0),('Дивиденды по годам'!J247+'Дивиденды по годам'!K247)/'Дивиденды по годам'!M247,""),"")</f>
        <v>0.23408764945071273</v>
      </c>
      <c r="V247">
        <f>IFERROR(IF(AND('Дивиденды по годам'!J247&lt;&gt;"",'Дивиденды по годам'!K247&lt;&gt;"",'Дивиденды по годам'!M247&lt;&gt;"",'Дивиденды по годам'!I247&lt;&gt;0),('Дивиденды по годам'!J247+'Дивиденды по годам'!K247)/'Дивиденды по годам'!I247,""),"")</f>
        <v>0.18968478418441687</v>
      </c>
      <c r="W247">
        <f>IFERROR('Дивиденды по годам'!I247,"")</f>
        <v>406991000000</v>
      </c>
      <c r="X247" cm="1">
        <f t="array" ref="X247">IFERROR(AVERAGE(_xlfn._xlws.FILTER(P$2:P$1073,($C$2:$C$1073=$C247)*($E$2:$E$1073=$E247)*(ROW(P$2:P$1073)&lt;&gt;ROW(P247))*(P$2:P$1073&lt;&gt;""))),"")</f>
        <v>26.1265473692401</v>
      </c>
      <c r="Y247" cm="1">
        <f t="array" ref="Y247">IFERROR(AVERAGE(_xlfn._xlws.FILTER(Q$2:Q$1073,($C$2:$C$1073=$C247)*($E$2:$E$1073=$E247)*(ROW(Q$2:Q$1073)&lt;&gt;ROW(Q247))*(Q$2:Q$1073&lt;&gt;""))),"")</f>
        <v>0.75072042874328293</v>
      </c>
      <c r="Z247" cm="1">
        <f t="array" ref="Z247">IFERROR(AVERAGE(_xlfn._xlws.FILTER(R$2:R$1073,($C$2:$C$1073=$C247)*($E$2:$E$1073=$E247)*(ROW(R$2:R$1073)&lt;&gt;ROW(R247))*(R$2:R$1073&lt;&gt;""))),"")</f>
        <v>-6.5647463524996272E-2</v>
      </c>
      <c r="AA247" cm="1">
        <f t="array" ref="AA247">IFERROR(AVERAGE(_xlfn._xlws.FILTER(S$2:S$1073,($C$2:$C$1073=$C247)*($E$2:$E$1073=$E247)*(ROW(S$2:S$1073)&lt;&gt;ROW(S247))*(S$2:S$1073&lt;&gt;""))),"")</f>
        <v>0.53426390856069617</v>
      </c>
      <c r="AB247" cm="1">
        <f t="array" ref="AB247">IFERROR(AVERAGE(_xlfn._xlws.FILTER(T$2:T$1073,($C$2:$C$1073=$C247)*($E$2:$E$1073=$E247)*(ROW(T$2:T$1073)&lt;&gt;ROW(T247))*(T$2:T$1073&lt;&gt;""))),"")</f>
        <v>4.457045675910918E-2</v>
      </c>
      <c r="AC247" cm="1">
        <f t="array" ref="AC247">IFERROR(AVERAGE(_xlfn._xlws.FILTER(U$2:U$1073,($C$2:$C$1073=$C247)*($E$2:$E$1073=$E247)*(ROW(U$2:U$1073)&lt;&gt;ROW(U247))*(U$2:U$1073&lt;&gt;""))),"")</f>
        <v>0.69502321648124576</v>
      </c>
      <c r="AD247" cm="1">
        <f t="array" ref="AD247">IFERROR(AVERAGE(_xlfn._xlws.FILTER(V$2:V$1073,($C$2:$C$1073=$C247)*($E$2:$E$1073=$E247)*(ROW(V$2:V$1073)&lt;&gt;ROW(V247))*(V$2:V$1073&lt;&gt;""))),"")</f>
        <v>0.38279039994117653</v>
      </c>
      <c r="AE247">
        <f>IF('Дивиденды по годам'!M247&lt;0,1,0)</f>
        <v>0</v>
      </c>
    </row>
    <row r="248" spans="1:31" x14ac:dyDescent="0.2">
      <c r="A248" s="7" t="s">
        <v>2208</v>
      </c>
      <c r="B248" t="str">
        <f t="shared" si="33"/>
        <v>MSNG IV кв. 2019</v>
      </c>
      <c r="C248">
        <v>2019</v>
      </c>
      <c r="D248">
        <f>SUMIFS(Дивиденды!$C:$C,Дивиденды!$A:$A,A248,Дивиденды!$I:$I,C248)</f>
        <v>0.12</v>
      </c>
      <c r="E248">
        <v>2</v>
      </c>
      <c r="F248">
        <f t="shared" si="34"/>
        <v>0.12</v>
      </c>
      <c r="G248">
        <f t="shared" si="35"/>
        <v>6.1308666666666657E-2</v>
      </c>
      <c r="H248">
        <f t="shared" si="36"/>
        <v>1</v>
      </c>
      <c r="I248">
        <f t="shared" si="37"/>
        <v>1</v>
      </c>
      <c r="J248">
        <f t="shared" si="38"/>
        <v>-0.42857142857142855</v>
      </c>
      <c r="K248">
        <f t="shared" si="43"/>
        <v>0.20780704338420666</v>
      </c>
      <c r="L248">
        <f t="shared" si="39"/>
        <v>0</v>
      </c>
      <c r="M248">
        <f t="shared" si="40"/>
        <v>0.5</v>
      </c>
      <c r="N248">
        <f t="shared" si="41"/>
        <v>1</v>
      </c>
      <c r="O248">
        <f t="shared" si="42"/>
        <v>0.41666666666666669</v>
      </c>
      <c r="P248">
        <f>IFERROR(LN('Дивиденды по годам'!I248),"")</f>
        <v>26.745940734360683</v>
      </c>
      <c r="Q248">
        <f>IFERROR('Дивиденды по годам'!G248/'Дивиденды по годам'!I248, "")</f>
        <v>0.65609756688580279</v>
      </c>
      <c r="R248">
        <f>IFERROR(IF(AND('Дивиденды по годам'!N248&lt;&gt;"",'Дивиденды по годам'!U248&lt;&gt;"",'Дивиденды по годам'!U248&lt;&gt;0),'Дивиденды по годам'!N248/'Дивиденды по годам'!U248-1,""),"")</f>
        <v>-4.572333685322072E-2</v>
      </c>
      <c r="S248">
        <f>IFERROR(IF(AND('Дивиденды по годам'!L248&lt;&gt;"",'Дивиденды по годам'!I248&lt;&gt;"",'Дивиденды по годам'!J248&lt;&gt;"",'Дивиденды по годам'!K248&lt;&gt;"",('Дивиденды по годам'!I248-'Дивиденды по годам'!J248-'Дивиденды по годам'!K248)&lt;&gt;0),'Дивиденды по годам'!L248/('Дивиденды по годам'!I248-'Дивиденды по годам'!J248-'Дивиденды по годам'!K248),""),"")</f>
        <v>-0.12726298054832286</v>
      </c>
      <c r="T248">
        <f>IFERROR(IF(AND('Дивиденды по годам'!Q248&lt;&gt;"",'Дивиденды по годам'!I248&lt;&gt;"",'Дивиденды по годам'!V248&lt;&gt;"",('Дивиденды по годам'!I248+'Дивиденды по годам'!V248)&lt;&gt;0),'Дивиденды по годам'!Q248/(('Дивиденды по годам'!I248+'Дивиденды по годам'!V248)/2),""),"")</f>
        <v>2.5913827547108689E-2</v>
      </c>
      <c r="U248">
        <f>IFERROR(IF(AND('Дивиденды по годам'!J248&lt;&gt;"",'Дивиденды по годам'!K248&lt;&gt;"",'Дивиденды по годам'!M248&lt;&gt;"",'Дивиденды по годам'!M248&lt;&gt;0),('Дивиденды по годам'!J248+'Дивиденды по годам'!K248)/'Дивиденды по годам'!M248,""),"")</f>
        <v>0.26414764895083476</v>
      </c>
      <c r="V248">
        <f>IFERROR(IF(AND('Дивиденды по годам'!J248&lt;&gt;"",'Дивиденды по годам'!K248&lt;&gt;"",'Дивиденды по годам'!M248&lt;&gt;"",'Дивиденды по годам'!I248&lt;&gt;0),('Дивиденды по годам'!J248+'Дивиденды по годам'!K248)/'Дивиденды по годам'!I248,""),"")</f>
        <v>0.20895316236996614</v>
      </c>
      <c r="W248">
        <f>IFERROR('Дивиденды по годам'!I248,"")</f>
        <v>412681000000</v>
      </c>
      <c r="X248" cm="1">
        <f t="array" ref="X248">IFERROR(AVERAGE(_xlfn._xlws.FILTER(P$2:P$1073,($C$2:$C$1073=$C248)*($E$2:$E$1073=$E248)*(ROW(P$2:P$1073)&lt;&gt;ROW(P248))*(P$2:P$1073&lt;&gt;""))),"")</f>
        <v>26.08232957718705</v>
      </c>
      <c r="Y248" cm="1">
        <f t="array" ref="Y248">IFERROR(AVERAGE(_xlfn._xlws.FILTER(Q$2:Q$1073,($C$2:$C$1073=$C248)*($E$2:$E$1073=$E248)*(ROW(Q$2:Q$1073)&lt;&gt;ROW(Q248))*(Q$2:Q$1073&lt;&gt;""))),"")</f>
        <v>0.74373654870411265</v>
      </c>
      <c r="Z248" cm="1">
        <f t="array" ref="Z248">IFERROR(AVERAGE(_xlfn._xlws.FILTER(R$2:R$1073,($C$2:$C$1073=$C248)*($E$2:$E$1073=$E248)*(ROW(R$2:R$1073)&lt;&gt;ROW(R248))*(R$2:R$1073&lt;&gt;""))),"")</f>
        <v>7.5816884654690553E-3</v>
      </c>
      <c r="AA248" cm="1">
        <f t="array" ref="AA248">IFERROR(AVERAGE(_xlfn._xlws.FILTER(S$2:S$1073,($C$2:$C$1073=$C248)*($E$2:$E$1073=$E248)*(ROW(S$2:S$1073)&lt;&gt;ROW(S248))*(S$2:S$1073&lt;&gt;""))),"")</f>
        <v>0.52413180277603633</v>
      </c>
      <c r="AB248" cm="1">
        <f t="array" ref="AB248">IFERROR(AVERAGE(_xlfn._xlws.FILTER(T$2:T$1073,($C$2:$C$1073=$C248)*($E$2:$E$1073=$E248)*(ROW(T$2:T$1073)&lt;&gt;ROW(T248))*(T$2:T$1073&lt;&gt;""))),"")</f>
        <v>5.4136998712200547E-2</v>
      </c>
      <c r="AC248" cm="1">
        <f t="array" ref="AC248">IFERROR(AVERAGE(_xlfn._xlws.FILTER(U$2:U$1073,($C$2:$C$1073=$C248)*($E$2:$E$1073=$E248)*(ROW(U$2:U$1073)&lt;&gt;ROW(U248))*(U$2:U$1073&lt;&gt;""))),"")</f>
        <v>0.69884637936204774</v>
      </c>
      <c r="AD248" cm="1">
        <f t="array" ref="AD248">IFERROR(AVERAGE(_xlfn._xlws.FILTER(V$2:V$1073,($C$2:$C$1073=$C248)*($E$2:$E$1073=$E248)*(ROW(V$2:V$1073)&lt;&gt;ROW(V248))*(V$2:V$1073&lt;&gt;""))),"")</f>
        <v>0.38439869993803799</v>
      </c>
      <c r="AE248">
        <f>IF('Дивиденды по годам'!M248&lt;0,1,0)</f>
        <v>0</v>
      </c>
    </row>
    <row r="249" spans="1:31" x14ac:dyDescent="0.2">
      <c r="A249" s="7" t="s">
        <v>2208</v>
      </c>
      <c r="B249" t="str">
        <f t="shared" si="33"/>
        <v>MSNG IV кв. 2018</v>
      </c>
      <c r="C249">
        <v>2018</v>
      </c>
      <c r="D249">
        <f>SUMIFS(Дивиденды!$C:$C,Дивиденды!$A:$A,A249,Дивиденды!$I:$I,C249)</f>
        <v>0.21</v>
      </c>
      <c r="E249">
        <v>2</v>
      </c>
      <c r="F249">
        <f t="shared" si="34"/>
        <v>0.21</v>
      </c>
      <c r="G249">
        <f t="shared" si="35"/>
        <v>6.307041666666667E-2</v>
      </c>
      <c r="H249">
        <f t="shared" si="36"/>
        <v>1</v>
      </c>
      <c r="I249">
        <f t="shared" si="37"/>
        <v>1</v>
      </c>
      <c r="J249">
        <f t="shared" si="38"/>
        <v>0.23529411764705868</v>
      </c>
      <c r="K249">
        <f t="shared" si="43"/>
        <v>0.17665051849366389</v>
      </c>
      <c r="L249">
        <f t="shared" si="39"/>
        <v>1</v>
      </c>
      <c r="M249">
        <f t="shared" si="40"/>
        <v>0.58333333333333337</v>
      </c>
      <c r="N249">
        <f t="shared" si="41"/>
        <v>0</v>
      </c>
      <c r="O249">
        <f t="shared" si="42"/>
        <v>0.25</v>
      </c>
      <c r="P249">
        <f>IFERROR(LN('Дивиденды по годам'!I249),"")</f>
        <v>26.516764083971836</v>
      </c>
      <c r="Q249">
        <f>IFERROR('Дивиденды по годам'!G249/'Дивиденды по годам'!I249, "")</f>
        <v>0.63899207396414548</v>
      </c>
      <c r="R249">
        <f>IFERROR(IF(AND('Дивиденды по годам'!N249&lt;&gt;"",'Дивиденды по годам'!U249&lt;&gt;"",'Дивиденды по годам'!U249&lt;&gt;0),'Дивиденды по годам'!N249/'Дивиденды по годам'!U249-1,""),"")</f>
        <v>1.4353041988003357E-2</v>
      </c>
      <c r="S249">
        <f>IFERROR(IF(AND('Дивиденды по годам'!L249&lt;&gt;"",'Дивиденды по годам'!I249&lt;&gt;"",'Дивиденды по годам'!J249&lt;&gt;"",'Дивиденды по годам'!K249&lt;&gt;"",('Дивиденды по годам'!I249-'Дивиденды по годам'!J249-'Дивиденды по годам'!K249)&lt;&gt;0),'Дивиденды по годам'!L249/('Дивиденды по годам'!I249-'Дивиденды по годам'!J249-'Дивиденды по годам'!K249),""),"")</f>
        <v>-0.15058099030058442</v>
      </c>
      <c r="T249">
        <f>IFERROR(IF(AND('Дивиденды по годам'!Q249&lt;&gt;"",'Дивиденды по годам'!I249&lt;&gt;"",'Дивиденды по годам'!V249&lt;&gt;"",('Дивиденды по годам'!I249+'Дивиденды по годам'!V249)&lt;&gt;0),'Дивиденды по годам'!Q249/(('Дивиденды по годам'!I249+'Дивиденды по годам'!V249)/2),""),"")</f>
        <v>6.4569551406774603E-2</v>
      </c>
      <c r="U249">
        <f>IFERROR(IF(AND('Дивиденды по годам'!J249&lt;&gt;"",'Дивиденды по годам'!K249&lt;&gt;"",'Дивиденды по годам'!M249&lt;&gt;"",'Дивиденды по годам'!M249&lt;&gt;0),('Дивиденды по годам'!J249+'Дивиденды по годам'!K249)/'Дивиденды по годам'!M249,""),"")</f>
        <v>0.18457406678771382</v>
      </c>
      <c r="V249">
        <f>IFERROR(IF(AND('Дивиденды по годам'!J249&lt;&gt;"",'Дивиденды по годам'!K249&lt;&gt;"",'Дивиденды по годам'!M249&lt;&gt;"",'Дивиденды по годам'!I249&lt;&gt;0),('Дивиденды по годам'!J249+'Дивиденды по годам'!K249)/'Дивиденды по годам'!I249,""),"")</f>
        <v>0.1558147117708184</v>
      </c>
      <c r="W249">
        <f>IFERROR('Дивиденды по годам'!I249,"")</f>
        <v>328159000000</v>
      </c>
      <c r="X249" cm="1">
        <f t="array" ref="X249">IFERROR(AVERAGE(_xlfn._xlws.FILTER(P$2:P$1073,($C$2:$C$1073=$C249)*($E$2:$E$1073=$E249)*(ROW(P$2:P$1073)&lt;&gt;ROW(P249))*(P$2:P$1073&lt;&gt;""))),"")</f>
        <v>26.043861674191362</v>
      </c>
      <c r="Y249" cm="1">
        <f t="array" ref="Y249">IFERROR(AVERAGE(_xlfn._xlws.FILTER(Q$2:Q$1073,($C$2:$C$1073=$C249)*($E$2:$E$1073=$E249)*(ROW(Q$2:Q$1073)&lt;&gt;ROW(Q249))*(Q$2:Q$1073&lt;&gt;""))),"")</f>
        <v>0.76269981617131088</v>
      </c>
      <c r="Z249" cm="1">
        <f t="array" ref="Z249">IFERROR(AVERAGE(_xlfn._xlws.FILTER(R$2:R$1073,($C$2:$C$1073=$C249)*($E$2:$E$1073=$E249)*(ROW(R$2:R$1073)&lt;&gt;ROW(R249))*(R$2:R$1073&lt;&gt;""))),"")</f>
        <v>5.318706187110947E-2</v>
      </c>
      <c r="AA249" cm="1">
        <f t="array" ref="AA249">IFERROR(AVERAGE(_xlfn._xlws.FILTER(S$2:S$1073,($C$2:$C$1073=$C249)*($E$2:$E$1073=$E249)*(ROW(S$2:S$1073)&lt;&gt;ROW(S249))*(S$2:S$1073&lt;&gt;""))),"")</f>
        <v>0.51565896824162549</v>
      </c>
      <c r="AB249" cm="1">
        <f t="array" ref="AB249">IFERROR(AVERAGE(_xlfn._xlws.FILTER(T$2:T$1073,($C$2:$C$1073=$C249)*($E$2:$E$1073=$E249)*(ROW(T$2:T$1073)&lt;&gt;ROW(T249))*(T$2:T$1073&lt;&gt;""))),"")</f>
        <v>6.8731631900040238E-2</v>
      </c>
      <c r="AC249" cm="1">
        <f t="array" ref="AC249">IFERROR(AVERAGE(_xlfn._xlws.FILTER(U$2:U$1073,($C$2:$C$1073=$C249)*($E$2:$E$1073=$E249)*(ROW(U$2:U$1073)&lt;&gt;ROW(U249))*(U$2:U$1073&lt;&gt;""))),"")</f>
        <v>0.66925068788760667</v>
      </c>
      <c r="AD249" cm="1">
        <f t="array" ref="AD249">IFERROR(AVERAGE(_xlfn._xlws.FILTER(V$2:V$1073,($C$2:$C$1073=$C249)*($E$2:$E$1073=$E249)*(ROW(V$2:V$1073)&lt;&gt;ROW(V249))*(V$2:V$1073&lt;&gt;""))),"")</f>
        <v>0.3771822995061766</v>
      </c>
      <c r="AE249">
        <f>IF('Дивиденды по годам'!M249&lt;0,1,0)</f>
        <v>0</v>
      </c>
    </row>
    <row r="250" spans="1:31" x14ac:dyDescent="0.2">
      <c r="A250" s="7" t="s">
        <v>2208</v>
      </c>
      <c r="B250" t="str">
        <f t="shared" si="33"/>
        <v>MSNG IV кв. 2017</v>
      </c>
      <c r="C250">
        <v>2017</v>
      </c>
      <c r="D250">
        <f>SUMIFS(Дивиденды!$C:$C,Дивиденды!$A:$A,A250,Дивиденды!$I:$I,C250)</f>
        <v>0.17</v>
      </c>
      <c r="E250">
        <v>2</v>
      </c>
      <c r="F250">
        <f t="shared" si="34"/>
        <v>0.17</v>
      </c>
      <c r="G250">
        <f t="shared" si="35"/>
        <v>5.7942166666666663E-2</v>
      </c>
      <c r="H250">
        <f t="shared" si="36"/>
        <v>1</v>
      </c>
      <c r="I250">
        <f t="shared" si="37"/>
        <v>1</v>
      </c>
      <c r="J250">
        <f t="shared" si="38"/>
        <v>1.0047169811320755</v>
      </c>
      <c r="K250">
        <f t="shared" si="43"/>
        <v>0.55802322251261061</v>
      </c>
      <c r="L250">
        <f t="shared" si="39"/>
        <v>1</v>
      </c>
      <c r="M250">
        <f t="shared" si="40"/>
        <v>0.75</v>
      </c>
      <c r="N250">
        <f t="shared" si="41"/>
        <v>0</v>
      </c>
      <c r="O250">
        <f t="shared" si="42"/>
        <v>0.25</v>
      </c>
      <c r="P250">
        <f>IFERROR(LN('Дивиденды по годам'!I250),"")</f>
        <v>26.536939548026858</v>
      </c>
      <c r="Q250">
        <f>IFERROR('Дивиденды по годам'!G250/'Дивиденды по годам'!I250, "")</f>
        <v>0.64505281516632973</v>
      </c>
      <c r="R250">
        <f>IFERROR(IF(AND('Дивиденды по годам'!N250&lt;&gt;"",'Дивиденды по годам'!U250&lt;&gt;"",'Дивиденды по годам'!U250&lt;&gt;0),'Дивиденды по годам'!N250/'Дивиденды по годам'!U250-1,""),"")</f>
        <v>2.8323262839879071E-2</v>
      </c>
      <c r="S250">
        <f>IFERROR(IF(AND('Дивиденды по годам'!L250&lt;&gt;"",'Дивиденды по годам'!I250&lt;&gt;"",'Дивиденды по годам'!J250&lt;&gt;"",'Дивиденды по годам'!K250&lt;&gt;"",('Дивиденды по годам'!I250-'Дивиденды по годам'!J250-'Дивиденды по годам'!K250)&lt;&gt;0),'Дивиденды по годам'!L250/('Дивиденды по годам'!I250-'Дивиденды по годам'!J250-'Дивиденды по годам'!K250),""),"")</f>
        <v>-0.20769508019462965</v>
      </c>
      <c r="T250">
        <f>IFERROR(IF(AND('Дивиденды по годам'!Q250&lt;&gt;"",'Дивиденды по годам'!I250&lt;&gt;"",'Дивиденды по годам'!V250&lt;&gt;"",('Дивиденды по годам'!I250+'Дивиденды по годам'!V250)&lt;&gt;0),'Дивиденды по годам'!Q250/(('Дивиденды по годам'!I250+'Дивиденды по годам'!V250)/2),""),"")</f>
        <v>7.3365566222614004E-2</v>
      </c>
      <c r="U250">
        <f>IFERROR(IF(AND('Дивиденды по годам'!J250&lt;&gt;"",'Дивиденды по годам'!K250&lt;&gt;"",'Дивиденды по годам'!M250&lt;&gt;"",'Дивиденды по годам'!M250&lt;&gt;0),('Дивиденды по годам'!J250+'Дивиденды по годам'!K250)/'Дивиденды по годам'!M250,""),"")</f>
        <v>0.25715969844416409</v>
      </c>
      <c r="V250">
        <f>IFERROR(IF(AND('Дивиденды по годам'!J250&lt;&gt;"",'Дивиденды по годам'!K250&lt;&gt;"",'Дивиденды по годам'!M250&lt;&gt;"",'Дивиденды по годам'!I250&lt;&gt;0),('Дивиденды по годам'!J250+'Дивиденды по годам'!K250)/'Дивиденды по годам'!I250,""),"")</f>
        <v>0.20455611070130536</v>
      </c>
      <c r="W250">
        <f>IFERROR('Дивиденды по годам'!I250,"")</f>
        <v>334847000000</v>
      </c>
      <c r="X250" cm="1">
        <f t="array" ref="X250">IFERROR(AVERAGE(_xlfn._xlws.FILTER(P$2:P$1073,($C$2:$C$1073=$C250)*($E$2:$E$1073=$E250)*(ROW(P$2:P$1073)&lt;&gt;ROW(P250))*(P$2:P$1073&lt;&gt;""))),"")</f>
        <v>26.009567834170586</v>
      </c>
      <c r="Y250" cm="1">
        <f t="array" ref="Y250">IFERROR(AVERAGE(_xlfn._xlws.FILTER(Q$2:Q$1073,($C$2:$C$1073=$C250)*($E$2:$E$1073=$E250)*(ROW(Q$2:Q$1073)&lt;&gt;ROW(Q250))*(Q$2:Q$1073&lt;&gt;""))),"")</f>
        <v>0.76970458653608398</v>
      </c>
      <c r="Z250" cm="1">
        <f t="array" ref="Z250">IFERROR(AVERAGE(_xlfn._xlws.FILTER(R$2:R$1073,($C$2:$C$1073=$C250)*($E$2:$E$1073=$E250)*(ROW(R$2:R$1073)&lt;&gt;ROW(R250))*(R$2:R$1073&lt;&gt;""))),"")</f>
        <v>4.7350318052255432E-2</v>
      </c>
      <c r="AA250" cm="1">
        <f t="array" ref="AA250">IFERROR(AVERAGE(_xlfn._xlws.FILTER(S$2:S$1073,($C$2:$C$1073=$C250)*($E$2:$E$1073=$E250)*(ROW(S$2:S$1073)&lt;&gt;ROW(S250))*(S$2:S$1073&lt;&gt;""))),"")</f>
        <v>0.4728183433121802</v>
      </c>
      <c r="AB250" cm="1">
        <f t="array" ref="AB250">IFERROR(AVERAGE(_xlfn._xlws.FILTER(T$2:T$1073,($C$2:$C$1073=$C250)*($E$2:$E$1073=$E250)*(ROW(T$2:T$1073)&lt;&gt;ROW(T250))*(T$2:T$1073&lt;&gt;""))),"")</f>
        <v>8.2253725954021209E-2</v>
      </c>
      <c r="AC250" cm="1">
        <f t="array" ref="AC250">IFERROR(AVERAGE(_xlfn._xlws.FILTER(U$2:U$1073,($C$2:$C$1073=$C250)*($E$2:$E$1073=$E250)*(ROW(U$2:U$1073)&lt;&gt;ROW(U250))*(U$2:U$1073&lt;&gt;""))),"")</f>
        <v>0.66247982696814878</v>
      </c>
      <c r="AD250" cm="1">
        <f t="array" ref="AD250">IFERROR(AVERAGE(_xlfn._xlws.FILTER(V$2:V$1073,($C$2:$C$1073=$C250)*($E$2:$E$1073=$E250)*(ROW(V$2:V$1073)&lt;&gt;ROW(V250))*(V$2:V$1073&lt;&gt;""))),"")</f>
        <v>0.37413578727740093</v>
      </c>
      <c r="AE250">
        <f>IF('Дивиденды по годам'!M250&lt;0,1,0)</f>
        <v>0</v>
      </c>
    </row>
    <row r="251" spans="1:31" x14ac:dyDescent="0.2">
      <c r="A251" s="7" t="s">
        <v>2208</v>
      </c>
      <c r="B251" t="str">
        <f t="shared" si="33"/>
        <v>MSNG IV кв. 2016</v>
      </c>
      <c r="C251">
        <v>2016</v>
      </c>
      <c r="D251">
        <f>SUMIFS(Дивиденды!$C:$C,Дивиденды!$A:$A,A251,Дивиденды!$I:$I,C251)</f>
        <v>8.48E-2</v>
      </c>
      <c r="E251">
        <v>2</v>
      </c>
      <c r="F251">
        <f t="shared" si="34"/>
        <v>8.48E-2</v>
      </c>
      <c r="G251">
        <f t="shared" si="35"/>
        <v>5.0328499999999998E-2</v>
      </c>
      <c r="H251">
        <f t="shared" si="36"/>
        <v>1</v>
      </c>
      <c r="I251">
        <f t="shared" si="37"/>
        <v>1</v>
      </c>
      <c r="J251">
        <f t="shared" si="38"/>
        <v>0.49559082892416223</v>
      </c>
      <c r="K251">
        <f t="shared" si="43"/>
        <v>1.3657708020621298</v>
      </c>
      <c r="L251">
        <f t="shared" si="39"/>
        <v>1</v>
      </c>
      <c r="M251">
        <f t="shared" si="40"/>
        <v>0.83333333333333337</v>
      </c>
      <c r="N251">
        <f t="shared" si="41"/>
        <v>0</v>
      </c>
      <c r="O251">
        <f t="shared" si="42"/>
        <v>0.16666666666666666</v>
      </c>
      <c r="P251">
        <f>IFERROR(LN('Дивиденды по годам'!I251),"")</f>
        <v>26.555951510642895</v>
      </c>
      <c r="Q251">
        <f>IFERROR('Дивиденды по годам'!G251/'Дивиденды по годам'!I251, "")</f>
        <v>0.65243470056318387</v>
      </c>
      <c r="R251">
        <f>IFERROR(IF(AND('Дивиденды по годам'!N251&lt;&gt;"",'Дивиденды по годам'!U251&lt;&gt;"",'Дивиденды по годам'!U251&lt;&gt;0),'Дивиденды по годам'!N251/'Дивиденды по годам'!U251-1,""),"")</f>
        <v>0.11388559443337631</v>
      </c>
      <c r="S251">
        <f>IFERROR(IF(AND('Дивиденды по годам'!L251&lt;&gt;"",'Дивиденды по годам'!I251&lt;&gt;"",'Дивиденды по годам'!J251&lt;&gt;"",'Дивиденды по годам'!K251&lt;&gt;"",('Дивиденды по годам'!I251-'Дивиденды по годам'!J251-'Дивиденды по годам'!K251)&lt;&gt;0),'Дивиденды по годам'!L251/('Дивиденды по годам'!I251-'Дивиденды по годам'!J251-'Дивиденды по годам'!K251),""),"")</f>
        <v>-0.31159216568269138</v>
      </c>
      <c r="T251">
        <f>IFERROR(IF(AND('Дивиденды по годам'!Q251&lt;&gt;"",'Дивиденды по годам'!I251&lt;&gt;"",'Дивиденды по годам'!V251&lt;&gt;"",('Дивиденды по годам'!I251+'Дивиденды по годам'!V251)&lt;&gt;0),'Дивиденды по годам'!Q251/(('Дивиденды по годам'!I251+'Дивиденды по годам'!V251)/2),""),"")</f>
        <v>4.0013041905309216E-2</v>
      </c>
      <c r="U251">
        <f>IFERROR(IF(AND('Дивиденды по годам'!J251&lt;&gt;"",'Дивиденды по годам'!K251&lt;&gt;"",'Дивиденды по годам'!M251&lt;&gt;"",'Дивиденды по годам'!M251&lt;&gt;0),('Дивиденды по годам'!J251+'Дивиденды по годам'!K251)/'Дивиденды по годам'!M251,""),"")</f>
        <v>0.390497610345797</v>
      </c>
      <c r="V251">
        <f>IFERROR(IF(AND('Дивиденды по годам'!J251&lt;&gt;"",'Дивиденды по годам'!K251&lt;&gt;"",'Дивиденды по годам'!M251&lt;&gt;"",'Дивиденды по годам'!I251&lt;&gt;0),('Дивиденды по годам'!J251+'Дивиденды по годам'!K251)/'Дивиденды по годам'!I251,""),"")</f>
        <v>0.28083299636069553</v>
      </c>
      <c r="W251">
        <f>IFERROR('Дивиденды по годам'!I251,"")</f>
        <v>341274000000</v>
      </c>
      <c r="X251" cm="1">
        <f t="array" ref="X251">IFERROR(AVERAGE(_xlfn._xlws.FILTER(P$2:P$1073,($C$2:$C$1073=$C251)*($E$2:$E$1073=$E251)*(ROW(P$2:P$1073)&lt;&gt;ROW(P251))*(P$2:P$1073&lt;&gt;""))),"")</f>
        <v>25.962176744148696</v>
      </c>
      <c r="Y251" cm="1">
        <f t="array" ref="Y251">IFERROR(AVERAGE(_xlfn._xlws.FILTER(Q$2:Q$1073,($C$2:$C$1073=$C251)*($E$2:$E$1073=$E251)*(ROW(Q$2:Q$1073)&lt;&gt;ROW(Q251))*(Q$2:Q$1073&lt;&gt;""))),"")</f>
        <v>0.72158448837272404</v>
      </c>
      <c r="Z251" cm="1">
        <f t="array" ref="Z251">IFERROR(AVERAGE(_xlfn._xlws.FILTER(R$2:R$1073,($C$2:$C$1073=$C251)*($E$2:$E$1073=$E251)*(ROW(R$2:R$1073)&lt;&gt;ROW(R251))*(R$2:R$1073&lt;&gt;""))),"")</f>
        <v>0.11420302100314508</v>
      </c>
      <c r="AA251" cm="1">
        <f t="array" ref="AA251">IFERROR(AVERAGE(_xlfn._xlws.FILTER(S$2:S$1073,($C$2:$C$1073=$C251)*($E$2:$E$1073=$E251)*(ROW(S$2:S$1073)&lt;&gt;ROW(S251))*(S$2:S$1073&lt;&gt;""))),"")</f>
        <v>0.47439107663844099</v>
      </c>
      <c r="AB251" cm="1">
        <f t="array" ref="AB251">IFERROR(AVERAGE(_xlfn._xlws.FILTER(T$2:T$1073,($C$2:$C$1073=$C251)*($E$2:$E$1073=$E251)*(ROW(T$2:T$1073)&lt;&gt;ROW(T251))*(T$2:T$1073&lt;&gt;""))),"")</f>
        <v>4.1037046764983008E-2</v>
      </c>
      <c r="AC251" cm="1">
        <f t="array" ref="AC251">IFERROR(AVERAGE(_xlfn._xlws.FILTER(U$2:U$1073,($C$2:$C$1073=$C251)*($E$2:$E$1073=$E251)*(ROW(U$2:U$1073)&lt;&gt;ROW(U251))*(U$2:U$1073&lt;&gt;""))),"")</f>
        <v>0.75424924677021332</v>
      </c>
      <c r="AD251" cm="1">
        <f t="array" ref="AD251">IFERROR(AVERAGE(_xlfn._xlws.FILTER(V$2:V$1073,($C$2:$C$1073=$C251)*($E$2:$E$1073=$E251)*(ROW(V$2:V$1073)&lt;&gt;ROW(V251))*(V$2:V$1073&lt;&gt;""))),"")</f>
        <v>0.40364765525573726</v>
      </c>
      <c r="AE251">
        <f>IF('Дивиденды по годам'!M251&lt;0,1,0)</f>
        <v>0</v>
      </c>
    </row>
    <row r="252" spans="1:31" x14ac:dyDescent="0.2">
      <c r="A252" s="7" t="s">
        <v>2208</v>
      </c>
      <c r="B252" t="str">
        <f t="shared" si="33"/>
        <v>MSNG IV кв. 2015</v>
      </c>
      <c r="C252">
        <v>2015</v>
      </c>
      <c r="D252">
        <f>SUMIFS(Дивиденды!$C:$C,Дивиденды!$A:$A,A252,Дивиденды!$I:$I,C252)</f>
        <v>5.67E-2</v>
      </c>
      <c r="E252">
        <v>2</v>
      </c>
      <c r="F252">
        <f t="shared" si="34"/>
        <v>5.67E-2</v>
      </c>
      <c r="G252">
        <f t="shared" si="35"/>
        <v>3.6715083333333336E-2</v>
      </c>
      <c r="H252">
        <f t="shared" si="36"/>
        <v>1</v>
      </c>
      <c r="I252">
        <f t="shared" si="37"/>
        <v>0.91666666666666663</v>
      </c>
      <c r="J252">
        <f t="shared" si="38"/>
        <v>4.67</v>
      </c>
      <c r="K252">
        <f t="shared" si="43"/>
        <v>3.7558097783256752</v>
      </c>
      <c r="L252">
        <f t="shared" si="39"/>
        <v>1</v>
      </c>
      <c r="M252">
        <f t="shared" si="40"/>
        <v>0.66666666666666663</v>
      </c>
      <c r="N252">
        <f t="shared" si="41"/>
        <v>0</v>
      </c>
      <c r="O252">
        <f t="shared" si="42"/>
        <v>0.33333333333333331</v>
      </c>
      <c r="P252">
        <f>IFERROR(LN('Дивиденды по годам'!I252),"")</f>
        <v>26.523591064809484</v>
      </c>
      <c r="Q252">
        <f>IFERROR('Дивиденды по годам'!G252/'Дивиденды по годам'!I252, "")</f>
        <v>0.69413783606279533</v>
      </c>
      <c r="R252">
        <f>IFERROR(IF(AND('Дивиденды по годам'!N252&lt;&gt;"",'Дивиденды по годам'!U252&lt;&gt;"",'Дивиденды по годам'!U252&lt;&gt;0),'Дивиденды по годам'!N252/'Дивиденды по годам'!U252-1,""),"")</f>
        <v>6.0279250706179788E-2</v>
      </c>
      <c r="S252" t="str">
        <f>IFERROR(IF(AND('Дивиденды по годам'!L252&lt;&gt;"",'Дивиденды по годам'!I252&lt;&gt;"",'Дивиденды по годам'!J252&lt;&gt;"",'Дивиденды по годам'!K252&lt;&gt;"",('Дивиденды по годам'!I252-'Дивиденды по годам'!J252-'Дивиденды по годам'!K252)&lt;&gt;0),'Дивиденды по годам'!L252/('Дивиденды по годам'!I252-'Дивиденды по годам'!J252-'Дивиденды по годам'!K252),""),"")</f>
        <v/>
      </c>
      <c r="T252">
        <f>IFERROR(IF(AND('Дивиденды по годам'!Q252&lt;&gt;"",'Дивиденды по годам'!I252&lt;&gt;"",'Дивиденды по годам'!V252&lt;&gt;"",('Дивиденды по годам'!I252+'Дивиденды по годам'!V252)&lt;&gt;0),'Дивиденды по годам'!Q252/(('Дивиденды по годам'!I252+'Дивиденды по годам'!V252)/2),""),"")</f>
        <v>-5.2411426752230726E-3</v>
      </c>
      <c r="U252">
        <f>IFERROR(IF(AND('Дивиденды по годам'!J252&lt;&gt;"",'Дивиденды по годам'!K252&lt;&gt;"",'Дивиденды по годам'!M252&lt;&gt;"",'Дивиденды по годам'!M252&lt;&gt;0),('Дивиденды по годам'!J252+'Дивиденды по годам'!K252)/'Дивиденды по годам'!M252,""),"")</f>
        <v>0.42497272166611322</v>
      </c>
      <c r="V252">
        <f>IFERROR(IF(AND('Дивиденды по годам'!J252&lt;&gt;"",'Дивиденды по годам'!K252&lt;&gt;"",'Дивиденды по годам'!M252&lt;&gt;"",'Дивиденды по годам'!I252&lt;&gt;0),('Дивиденды по годам'!J252+'Дивиденды по годам'!K252)/'Дивиденды по годам'!I252,""),"")</f>
        <v>0.29823218031094983</v>
      </c>
      <c r="W252">
        <f>IFERROR('Дивиденды по годам'!I252,"")</f>
        <v>330407000000</v>
      </c>
      <c r="X252" cm="1">
        <f t="array" ref="X252">IFERROR(AVERAGE(_xlfn._xlws.FILTER(P$2:P$1073,($C$2:$C$1073=$C252)*($E$2:$E$1073=$E252)*(ROW(P$2:P$1073)&lt;&gt;ROW(P252))*(P$2:P$1073&lt;&gt;""))),"")</f>
        <v>25.8695819122239</v>
      </c>
      <c r="Y252" cm="1">
        <f t="array" ref="Y252">IFERROR(AVERAGE(_xlfn._xlws.FILTER(Q$2:Q$1073,($C$2:$C$1073=$C252)*($E$2:$E$1073=$E252)*(ROW(Q$2:Q$1073)&lt;&gt;ROW(Q252))*(Q$2:Q$1073&lt;&gt;""))),"")</f>
        <v>0.78790751774325041</v>
      </c>
      <c r="Z252" cm="1">
        <f t="array" ref="Z252">IFERROR(AVERAGE(_xlfn._xlws.FILTER(R$2:R$1073,($C$2:$C$1073=$C252)*($E$2:$E$1073=$E252)*(ROW(R$2:R$1073)&lt;&gt;ROW(R252))*(R$2:R$1073&lt;&gt;""))),"")</f>
        <v>8.0429311532156011E-4</v>
      </c>
      <c r="AA252" cm="1">
        <f t="array" ref="AA252">IFERROR(AVERAGE(_xlfn._xlws.FILTER(S$2:S$1073,($C$2:$C$1073=$C252)*($E$2:$E$1073=$E252)*(ROW(S$2:S$1073)&lt;&gt;ROW(S252))*(S$2:S$1073&lt;&gt;""))),"")</f>
        <v>0.4889220310718525</v>
      </c>
      <c r="AB252" cm="1">
        <f t="array" ref="AB252">IFERROR(AVERAGE(_xlfn._xlws.FILTER(T$2:T$1073,($C$2:$C$1073=$C252)*($E$2:$E$1073=$E252)*(ROW(T$2:T$1073)&lt;&gt;ROW(T252))*(T$2:T$1073&lt;&gt;""))),"")</f>
        <v>-1.3181808679591888E-2</v>
      </c>
      <c r="AC252" cm="1">
        <f t="array" ref="AC252">IFERROR(AVERAGE(_xlfn._xlws.FILTER(U$2:U$1073,($C$2:$C$1073=$C252)*($E$2:$E$1073=$E252)*(ROW(U$2:U$1073)&lt;&gt;ROW(U252))*(U$2:U$1073&lt;&gt;""))),"")</f>
        <v>0.93937034816632181</v>
      </c>
      <c r="AD252" cm="1">
        <f t="array" ref="AD252">IFERROR(AVERAGE(_xlfn._xlws.FILTER(V$2:V$1073,($C$2:$C$1073=$C252)*($E$2:$E$1073=$E252)*(ROW(V$2:V$1073)&lt;&gt;ROW(V252))*(V$2:V$1073&lt;&gt;""))),"")</f>
        <v>0.45253813121893927</v>
      </c>
      <c r="AE252">
        <f>IF('Дивиденды по годам'!M252&lt;0,1,0)</f>
        <v>0</v>
      </c>
    </row>
    <row r="253" spans="1:31" x14ac:dyDescent="0.2">
      <c r="A253" s="7" t="s">
        <v>2208</v>
      </c>
      <c r="B253" t="str">
        <f t="shared" si="33"/>
        <v>MSNG IV кв. 2014</v>
      </c>
      <c r="C253">
        <v>2014</v>
      </c>
      <c r="D253">
        <f>SUMIFS(Дивиденды!$C:$C,Дивиденды!$A:$A,A253,Дивиденды!$I:$I,C253)</f>
        <v>0.01</v>
      </c>
      <c r="E253">
        <v>2</v>
      </c>
      <c r="F253">
        <f t="shared" si="34"/>
        <v>0.01</v>
      </c>
      <c r="G253">
        <f t="shared" si="35"/>
        <v>3.813458333333334E-2</v>
      </c>
      <c r="H253">
        <f t="shared" si="36"/>
        <v>1</v>
      </c>
      <c r="I253">
        <f t="shared" si="37"/>
        <v>1</v>
      </c>
      <c r="J253">
        <f t="shared" si="38"/>
        <v>-0.75</v>
      </c>
      <c r="K253">
        <f t="shared" si="43"/>
        <v>1.463603481683305</v>
      </c>
      <c r="L253">
        <f t="shared" si="39"/>
        <v>0</v>
      </c>
      <c r="M253">
        <f t="shared" si="40"/>
        <v>0.66666666666666663</v>
      </c>
      <c r="N253">
        <f t="shared" si="41"/>
        <v>1</v>
      </c>
      <c r="O253">
        <f t="shared" si="42"/>
        <v>0.25</v>
      </c>
      <c r="P253">
        <f>IFERROR(LN('Дивиденды по годам'!I253),"")</f>
        <v>26.575672318899532</v>
      </c>
      <c r="Q253">
        <f>IFERROR('Дивиденды по годам'!G253/'Дивиденды по годам'!I253, "")</f>
        <v>0.75641751251899758</v>
      </c>
      <c r="R253">
        <f>IFERROR(IF(AND('Дивиденды по годам'!N253&lt;&gt;"",'Дивиденды по годам'!U253&lt;&gt;"",'Дивиденды по годам'!U253&lt;&gt;0),'Дивиденды по годам'!N253/'Дивиденды по годам'!U253-1,""),"")</f>
        <v>3.0441137984080546E-2</v>
      </c>
      <c r="S253" t="str">
        <f>IFERROR(IF(AND('Дивиденды по годам'!L253&lt;&gt;"",'Дивиденды по годам'!I253&lt;&gt;"",'Дивиденды по годам'!J253&lt;&gt;"",'Дивиденды по годам'!K253&lt;&gt;"",('Дивиденды по годам'!I253-'Дивиденды по годам'!J253-'Дивиденды по годам'!K253)&lt;&gt;0),'Дивиденды по годам'!L253/('Дивиденды по годам'!I253-'Дивиденды по годам'!J253-'Дивиденды по годам'!K253),""),"")</f>
        <v/>
      </c>
      <c r="T253">
        <f>IFERROR(IF(AND('Дивиденды по годам'!Q253&lt;&gt;"",'Дивиденды по годам'!I253&lt;&gt;"",'Дивиденды по годам'!V253&lt;&gt;"",('Дивиденды по годам'!I253+'Дивиденды по годам'!V253)&lt;&gt;0),'Дивиденды по годам'!Q253/(('Дивиденды по годам'!I253+'Дивиденды по годам'!V253)/2),""),"")</f>
        <v>-7.976396851943228E-3</v>
      </c>
      <c r="U253">
        <f>IFERROR(IF(AND('Дивиденды по годам'!J253&lt;&gt;"",'Дивиденды по годам'!K253&lt;&gt;"",'Дивиденды по годам'!M253&lt;&gt;"",'Дивиденды по годам'!M253&lt;&gt;0),('Дивиденды по годам'!J253+'Дивиденды по годам'!K253)/'Дивиденды по годам'!M253,""),"")</f>
        <v>0.44012495086782927</v>
      </c>
      <c r="V253">
        <f>IFERROR(IF(AND('Дивиденды по годам'!J253&lt;&gt;"",'Дивиденды по годам'!K253&lt;&gt;"",'Дивиденды по годам'!M253&lt;&gt;"",'Дивиденды по годам'!I253&lt;&gt;0),('Дивиденды по годам'!J253+'Дивиденды по годам'!K253)/'Дивиденды по годам'!I253,""),"")</f>
        <v>0.30561580826900259</v>
      </c>
      <c r="W253">
        <f>IFERROR('Дивиденды по годам'!I253,"")</f>
        <v>348071000000</v>
      </c>
      <c r="X253" cm="1">
        <f t="array" ref="X253">IFERROR(AVERAGE(_xlfn._xlws.FILTER(P$2:P$1073,($C$2:$C$1073=$C253)*($E$2:$E$1073=$E253)*(ROW(P$2:P$1073)&lt;&gt;ROW(P253))*(P$2:P$1073&lt;&gt;""))),"")</f>
        <v>26.121031064093465</v>
      </c>
      <c r="Y253" cm="1">
        <f t="array" ref="Y253">IFERROR(AVERAGE(_xlfn._xlws.FILTER(Q$2:Q$1073,($C$2:$C$1073=$C253)*($E$2:$E$1073=$E253)*(ROW(Q$2:Q$1073)&lt;&gt;ROW(Q253))*(Q$2:Q$1073&lt;&gt;""))),"")</f>
        <v>0.77299008305119332</v>
      </c>
      <c r="Z253" cm="1">
        <f t="array" ref="Z253">IFERROR(AVERAGE(_xlfn._xlws.FILTER(R$2:R$1073,($C$2:$C$1073=$C253)*($E$2:$E$1073=$E253)*(ROW(R$2:R$1073)&lt;&gt;ROW(R253))*(R$2:R$1073&lt;&gt;""))),"")</f>
        <v>2.1852479722377322E-2</v>
      </c>
      <c r="AA253" cm="1">
        <f t="array" ref="AA253">IFERROR(AVERAGE(_xlfn._xlws.FILTER(S$2:S$1073,($C$2:$C$1073=$C253)*($E$2:$E$1073=$E253)*(ROW(S$2:S$1073)&lt;&gt;ROW(S253))*(S$2:S$1073&lt;&gt;""))),"")</f>
        <v>0.60466035791128681</v>
      </c>
      <c r="AB253" cm="1">
        <f t="array" ref="AB253">IFERROR(AVERAGE(_xlfn._xlws.FILTER(T$2:T$1073,($C$2:$C$1073=$C253)*($E$2:$E$1073=$E253)*(ROW(T$2:T$1073)&lt;&gt;ROW(T253))*(T$2:T$1073&lt;&gt;""))),"")</f>
        <v>2.1571085522018727E-2</v>
      </c>
      <c r="AC253" cm="1">
        <f t="array" ref="AC253">IFERROR(AVERAGE(_xlfn._xlws.FILTER(U$2:U$1073,($C$2:$C$1073=$C253)*($E$2:$E$1073=$E253)*(ROW(U$2:U$1073)&lt;&gt;ROW(U253))*(U$2:U$1073&lt;&gt;""))),"")</f>
        <v>0.78514724320707319</v>
      </c>
      <c r="AD253" cm="1">
        <f t="array" ref="AD253">IFERROR(AVERAGE(_xlfn._xlws.FILTER(V$2:V$1073,($C$2:$C$1073=$C253)*($E$2:$E$1073=$E253)*(ROW(V$2:V$1073)&lt;&gt;ROW(V253))*(V$2:V$1073&lt;&gt;""))),"")</f>
        <v>0.41335967893302267</v>
      </c>
      <c r="AE253">
        <f>IF('Дивиденды по годам'!M253&lt;0,1,0)</f>
        <v>0</v>
      </c>
    </row>
    <row r="254" spans="1:31" x14ac:dyDescent="0.2">
      <c r="A254" s="7" t="s">
        <v>2208</v>
      </c>
      <c r="B254" t="str">
        <f t="shared" si="33"/>
        <v>MSNG IV кв. 2013</v>
      </c>
      <c r="C254">
        <v>2013</v>
      </c>
      <c r="D254">
        <f>SUMIFS(Дивиденды!$C:$C,Дивиденды!$A:$A,A254,Дивиденды!$I:$I,C254)</f>
        <v>0.04</v>
      </c>
      <c r="E254">
        <v>2</v>
      </c>
      <c r="F254">
        <f t="shared" si="34"/>
        <v>0.04</v>
      </c>
      <c r="G254">
        <f t="shared" si="35"/>
        <v>4.3109750000000002E-2</v>
      </c>
      <c r="H254">
        <f t="shared" si="36"/>
        <v>1</v>
      </c>
      <c r="I254">
        <f t="shared" si="37"/>
        <v>0.75</v>
      </c>
      <c r="J254">
        <f t="shared" si="38"/>
        <v>0.33333333333333343</v>
      </c>
      <c r="K254">
        <f t="shared" si="43"/>
        <v>-1.4824923359101063E-2</v>
      </c>
      <c r="L254">
        <f t="shared" si="39"/>
        <v>1</v>
      </c>
      <c r="M254">
        <f t="shared" si="40"/>
        <v>0.41666666666666669</v>
      </c>
      <c r="N254">
        <f t="shared" si="41"/>
        <v>0</v>
      </c>
      <c r="O254">
        <f t="shared" si="42"/>
        <v>0.33333333333333331</v>
      </c>
      <c r="P254">
        <f>IFERROR(LN('Дивиденды по годам'!I254),"")</f>
        <v>26.54913614239263</v>
      </c>
      <c r="Q254">
        <f>IFERROR('Дивиденды по годам'!G254/'Дивиденды по годам'!I254, "")</f>
        <v>0.80767415239736129</v>
      </c>
      <c r="R254">
        <f>IFERROR(IF(AND('Дивиденды по годам'!N254&lt;&gt;"",'Дивиденды по годам'!U254&lt;&gt;"",'Дивиденды по годам'!U254&lt;&gt;0),'Дивиденды по годам'!N254/'Дивиденды по годам'!U254-1,""),"")</f>
        <v>-3.0291652613291253E-3</v>
      </c>
      <c r="S254" t="str">
        <f>IFERROR(IF(AND('Дивиденды по годам'!L254&lt;&gt;"",'Дивиденды по годам'!I254&lt;&gt;"",'Дивиденды по годам'!J254&lt;&gt;"",'Дивиденды по годам'!K254&lt;&gt;"",('Дивиденды по годам'!I254-'Дивиденды по годам'!J254-'Дивиденды по годам'!K254)&lt;&gt;0),'Дивиденды по годам'!L254/('Дивиденды по годам'!I254-'Дивиденды по годам'!J254-'Дивиденды по годам'!K254),""),"")</f>
        <v/>
      </c>
      <c r="T254">
        <f>IFERROR(IF(AND('Дивиденды по годам'!Q254&lt;&gt;"",'Дивиденды по годам'!I254&lt;&gt;"",'Дивиденды по годам'!V254&lt;&gt;"",('Дивиденды по годам'!I254+'Дивиденды по годам'!V254)&lt;&gt;0),'Дивиденды по годам'!Q254/(('Дивиденды по годам'!I254+'Дивиденды по годам'!V254)/2),""),"")</f>
        <v>2.4671171913631121E-2</v>
      </c>
      <c r="U254">
        <f>IFERROR(IF(AND('Дивиденды по годам'!J254&lt;&gt;"",'Дивиденды по годам'!K254&lt;&gt;"",'Дивиденды по годам'!M254&lt;&gt;"",'Дивиденды по годам'!M254&lt;&gt;0),('Дивиденды по годам'!J254+'Дивиденды по годам'!K254)/'Дивиденды по годам'!M254,""),"")</f>
        <v>0.30808920859977695</v>
      </c>
      <c r="V254">
        <f>IFERROR(IF(AND('Дивиденды по годам'!J254&lt;&gt;"",'Дивиденды по годам'!K254&lt;&gt;"",'Дивиденды по годам'!M254&lt;&gt;"",'Дивиденды по годам'!I254&lt;&gt;0),('Дивиденды по годам'!J254+'Дивиденды по годам'!K254)/'Дивиденды по годам'!I254,""),"")</f>
        <v>0.23552614498636992</v>
      </c>
      <c r="W254">
        <f>IFERROR('Дивиденды по годам'!I254,"")</f>
        <v>338956000000</v>
      </c>
      <c r="X254" cm="1">
        <f t="array" ref="X254">IFERROR(AVERAGE(_xlfn._xlws.FILTER(P$2:P$1073,($C$2:$C$1073=$C254)*($E$2:$E$1073=$E254)*(ROW(P$2:P$1073)&lt;&gt;ROW(P254))*(P$2:P$1073&lt;&gt;""))),"")</f>
        <v>26.063850017076323</v>
      </c>
      <c r="Y254" cm="1">
        <f t="array" ref="Y254">IFERROR(AVERAGE(_xlfn._xlws.FILTER(Q$2:Q$1073,($C$2:$C$1073=$C254)*($E$2:$E$1073=$E254)*(ROW(Q$2:Q$1073)&lt;&gt;ROW(Q254))*(Q$2:Q$1073&lt;&gt;""))),"")</f>
        <v>0.7803651973588499</v>
      </c>
      <c r="Z254" cm="1">
        <f t="array" ref="Z254">IFERROR(AVERAGE(_xlfn._xlws.FILTER(R$2:R$1073,($C$2:$C$1073=$C254)*($E$2:$E$1073=$E254)*(ROW(R$2:R$1073)&lt;&gt;ROW(R254))*(R$2:R$1073&lt;&gt;""))),"")</f>
        <v>0.10898667599524438</v>
      </c>
      <c r="AA254" cm="1">
        <f t="array" ref="AA254">IFERROR(AVERAGE(_xlfn._xlws.FILTER(S$2:S$1073,($C$2:$C$1073=$C254)*($E$2:$E$1073=$E254)*(ROW(S$2:S$1073)&lt;&gt;ROW(S254))*(S$2:S$1073&lt;&gt;""))),"")</f>
        <v>0.4636519590056305</v>
      </c>
      <c r="AB254" cm="1">
        <f t="array" ref="AB254">IFERROR(AVERAGE(_xlfn._xlws.FILTER(T$2:T$1073,($C$2:$C$1073=$C254)*($E$2:$E$1073=$E254)*(ROW(T$2:T$1073)&lt;&gt;ROW(T254))*(T$2:T$1073&lt;&gt;""))),"")</f>
        <v>-8.16652480062071E-3</v>
      </c>
      <c r="AC254" cm="1">
        <f t="array" ref="AC254">IFERROR(AVERAGE(_xlfn._xlws.FILTER(U$2:U$1073,($C$2:$C$1073=$C254)*($E$2:$E$1073=$E254)*(ROW(U$2:U$1073)&lt;&gt;ROW(U254))*(U$2:U$1073&lt;&gt;""))),"")</f>
        <v>0.71408355561327674</v>
      </c>
      <c r="AD254" cm="1">
        <f t="array" ref="AD254">IFERROR(AVERAGE(_xlfn._xlws.FILTER(V$2:V$1073,($C$2:$C$1073=$C254)*($E$2:$E$1073=$E254)*(ROW(V$2:V$1073)&lt;&gt;ROW(V254))*(V$2:V$1073&lt;&gt;""))),"")</f>
        <v>0.39176673023001574</v>
      </c>
      <c r="AE254">
        <f>IF('Дивиденды по годам'!M254&lt;0,1,0)</f>
        <v>0</v>
      </c>
    </row>
    <row r="255" spans="1:31" x14ac:dyDescent="0.2">
      <c r="A255" s="7" t="s">
        <v>2208</v>
      </c>
      <c r="B255" t="str">
        <f t="shared" si="33"/>
        <v>MSNG IV кв. 2012</v>
      </c>
      <c r="C255">
        <v>2012</v>
      </c>
      <c r="D255">
        <f>SUMIFS(Дивиденды!$C:$C,Дивиденды!$A:$A,A255,Дивиденды!$I:$I,C255)</f>
        <v>0.03</v>
      </c>
      <c r="E255">
        <v>2</v>
      </c>
      <c r="F255">
        <f t="shared" si="34"/>
        <v>0.03</v>
      </c>
      <c r="G255">
        <f t="shared" si="35"/>
        <v>3.466233333333333E-2</v>
      </c>
      <c r="H255">
        <f t="shared" si="36"/>
        <v>1</v>
      </c>
      <c r="I255">
        <f t="shared" si="37"/>
        <v>0.66666666666666663</v>
      </c>
      <c r="J255">
        <f t="shared" si="38"/>
        <v>0</v>
      </c>
      <c r="K255">
        <f t="shared" si="43"/>
        <v>0.74080204300683228</v>
      </c>
      <c r="L255">
        <f t="shared" si="39"/>
        <v>0</v>
      </c>
      <c r="M255">
        <f t="shared" si="40"/>
        <v>0.58333333333333337</v>
      </c>
      <c r="N255">
        <f t="shared" si="41"/>
        <v>0</v>
      </c>
      <c r="O255">
        <f t="shared" si="42"/>
        <v>0.16666666666666666</v>
      </c>
      <c r="P255">
        <f>IFERROR(LN('Дивиденды по годам'!I255),"")</f>
        <v>26.3132971370596</v>
      </c>
      <c r="Q255">
        <f>IFERROR('Дивиденды по годам'!G255/'Дивиденды по годам'!I255, "")</f>
        <v>0.71107849288872949</v>
      </c>
      <c r="R255">
        <f>IFERROR(IF(AND('Дивиденды по годам'!N255&lt;&gt;"",'Дивиденды по годам'!U255&lt;&gt;"",'Дивиденды по годам'!U255&lt;&gt;0),'Дивиденды по годам'!N255/'Дивиденды по годам'!U255-1,""),"")</f>
        <v>-2.4702238717966174E-2</v>
      </c>
      <c r="S255" t="str">
        <f>IFERROR(IF(AND('Дивиденды по годам'!L255&lt;&gt;"",'Дивиденды по годам'!I255&lt;&gt;"",'Дивиденды по годам'!J255&lt;&gt;"",'Дивиденды по годам'!K255&lt;&gt;"",('Дивиденды по годам'!I255-'Дивиденды по годам'!J255-'Дивиденды по годам'!K255)&lt;&gt;0),'Дивиденды по годам'!L255/('Дивиденды по годам'!I255-'Дивиденды по годам'!J255-'Дивиденды по годам'!K255),""),"")</f>
        <v/>
      </c>
      <c r="T255">
        <f>IFERROR(IF(AND('Дивиденды по годам'!Q255&lt;&gt;"",'Дивиденды по годам'!I255&lt;&gt;"",'Дивиденды по годам'!V255&lt;&gt;"",('Дивиденды по годам'!I255+'Дивиденды по годам'!V255)&lt;&gt;0),'Дивиденды по годам'!Q255/(('Дивиденды по годам'!I255+'Дивиденды по годам'!V255)/2),""),"")</f>
        <v>2.3826544566314261E-2</v>
      </c>
      <c r="U255">
        <f>IFERROR(IF(AND('Дивиденды по годам'!J255&lt;&gt;"",'Дивиденды по годам'!K255&lt;&gt;"",'Дивиденды по годам'!M255&lt;&gt;"",'Дивиденды по годам'!M255&lt;&gt;0),('Дивиденды по годам'!J255+'Дивиденды по годам'!K255)/'Дивиденды по годам'!M255,""),"")</f>
        <v>0.30202882763718414</v>
      </c>
      <c r="V255">
        <f>IFERROR(IF(AND('Дивиденды по годам'!J255&lt;&gt;"",'Дивиденды по годам'!K255&lt;&gt;"",'Дивиденды по годам'!M255&lt;&gt;"",'Дивиденды по годам'!I255&lt;&gt;0),('Дивиденды по годам'!J255+'Дивиденды по годам'!K255)/'Дивиденды по годам'!I255,""),"")</f>
        <v>0.23196784988645872</v>
      </c>
      <c r="W255">
        <f>IFERROR('Дивиденды по годам'!I255,"")</f>
        <v>267744000000</v>
      </c>
      <c r="X255" cm="1">
        <f t="array" ref="X255">IFERROR(AVERAGE(_xlfn._xlws.FILTER(P$2:P$1073,($C$2:$C$1073=$C255)*($E$2:$E$1073=$E255)*(ROW(P$2:P$1073)&lt;&gt;ROW(P255))*(P$2:P$1073&lt;&gt;""))),"")</f>
        <v>26.083546419598399</v>
      </c>
      <c r="Y255" cm="1">
        <f t="array" ref="Y255">IFERROR(AVERAGE(_xlfn._xlws.FILTER(Q$2:Q$1073,($C$2:$C$1073=$C255)*($E$2:$E$1073=$E255)*(ROW(Q$2:Q$1073)&lt;&gt;ROW(Q255))*(Q$2:Q$1073&lt;&gt;""))),"")</f>
        <v>0.78436947009260205</v>
      </c>
      <c r="Z255" cm="1">
        <f t="array" ref="Z255">IFERROR(AVERAGE(_xlfn._xlws.FILTER(R$2:R$1073,($C$2:$C$1073=$C255)*($E$2:$E$1073=$E255)*(ROW(R$2:R$1073)&lt;&gt;ROW(R255))*(R$2:R$1073&lt;&gt;""))),"")</f>
        <v>-1.4875264536896372E-2</v>
      </c>
      <c r="AA255" cm="1">
        <f t="array" ref="AA255">IFERROR(AVERAGE(_xlfn._xlws.FILTER(S$2:S$1073,($C$2:$C$1073=$C255)*($E$2:$E$1073=$E255)*(ROW(S$2:S$1073)&lt;&gt;ROW(S255))*(S$2:S$1073&lt;&gt;""))),"")</f>
        <v>0.44715527647269881</v>
      </c>
      <c r="AB255" cm="1">
        <f t="array" ref="AB255">IFERROR(AVERAGE(_xlfn._xlws.FILTER(T$2:T$1073,($C$2:$C$1073=$C255)*($E$2:$E$1073=$E255)*(ROW(T$2:T$1073)&lt;&gt;ROW(T255))*(T$2:T$1073&lt;&gt;""))),"")</f>
        <v>1.8965201399117844E-2</v>
      </c>
      <c r="AC255" cm="1">
        <f t="array" ref="AC255">IFERROR(AVERAGE(_xlfn._xlws.FILTER(U$2:U$1073,($C$2:$C$1073=$C255)*($E$2:$E$1073=$E255)*(ROW(U$2:U$1073)&lt;&gt;ROW(U255))*(U$2:U$1073&lt;&gt;""))),"")</f>
        <v>0.68627678450999463</v>
      </c>
      <c r="AD255" cm="1">
        <f t="array" ref="AD255">IFERROR(AVERAGE(_xlfn._xlws.FILTER(V$2:V$1073,($C$2:$C$1073=$C255)*($E$2:$E$1073=$E255)*(ROW(V$2:V$1073)&lt;&gt;ROW(V255))*(V$2:V$1073&lt;&gt;""))),"")</f>
        <v>0.39282045315932096</v>
      </c>
      <c r="AE255">
        <f>IF('Дивиденды по годам'!M255&lt;0,1,0)</f>
        <v>0</v>
      </c>
    </row>
    <row r="256" spans="1:31" x14ac:dyDescent="0.2">
      <c r="A256" s="7" t="s">
        <v>2208</v>
      </c>
      <c r="B256" t="str">
        <f t="shared" si="33"/>
        <v>MSNG IV кв. 2011</v>
      </c>
      <c r="C256">
        <v>2011</v>
      </c>
      <c r="D256">
        <f>SUMIFS(Дивиденды!$C:$C,Дивиденды!$A:$A,A256,Дивиденды!$I:$I,C256)</f>
        <v>0.03</v>
      </c>
      <c r="E256">
        <v>2</v>
      </c>
      <c r="F256">
        <f t="shared" si="34"/>
        <v>0.03</v>
      </c>
      <c r="G256">
        <f t="shared" si="35"/>
        <v>9.046750000000001E-3</v>
      </c>
      <c r="H256">
        <f t="shared" si="36"/>
        <v>1</v>
      </c>
      <c r="I256">
        <f t="shared" si="37"/>
        <v>0.75</v>
      </c>
      <c r="J256">
        <f t="shared" si="38"/>
        <v>0.49999999999999989</v>
      </c>
      <c r="K256">
        <f t="shared" si="43"/>
        <v>9.1035832694607577E-3</v>
      </c>
      <c r="L256">
        <f t="shared" si="39"/>
        <v>1</v>
      </c>
      <c r="M256">
        <f t="shared" si="40"/>
        <v>0.41666666666666669</v>
      </c>
      <c r="N256">
        <f t="shared" si="41"/>
        <v>0</v>
      </c>
      <c r="O256">
        <f t="shared" si="42"/>
        <v>0.41666666666666669</v>
      </c>
      <c r="P256">
        <f>IFERROR(LN('Дивиденды по годам'!I256),"")</f>
        <v>26.293215921301883</v>
      </c>
      <c r="Q256">
        <f>IFERROR('Дивиденды по годам'!G256/'Дивиденды по годам'!I256, "")</f>
        <v>0.70609821622507341</v>
      </c>
      <c r="R256" t="str">
        <f>IFERROR(IF(AND('Дивиденды по годам'!N256&lt;&gt;"",'Дивиденды по годам'!U256&lt;&gt;"",'Дивиденды по годам'!U256&lt;&gt;0),'Дивиденды по годам'!N256/'Дивиденды по годам'!U256-1,""),"")</f>
        <v/>
      </c>
      <c r="S256" t="str">
        <f>IFERROR(IF(AND('Дивиденды по годам'!L256&lt;&gt;"",'Дивиденды по годам'!I256&lt;&gt;"",'Дивиденды по годам'!J256&lt;&gt;"",'Дивиденды по годам'!K256&lt;&gt;"",('Дивиденды по годам'!I256-'Дивиденды по годам'!J256-'Дивиденды по годам'!K256)&lt;&gt;0),'Дивиденды по годам'!L256/('Дивиденды по годам'!I256-'Дивиденды по годам'!J256-'Дивиденды по годам'!K256),""),"")</f>
        <v/>
      </c>
      <c r="T256" t="str">
        <f>IFERROR(IF(AND('Дивиденды по годам'!Q256&lt;&gt;"",'Дивиденды по годам'!I256&lt;&gt;"",'Дивиденды по годам'!V256&lt;&gt;"",('Дивиденды по годам'!I256+'Дивиденды по годам'!V256)&lt;&gt;0),'Дивиденды по годам'!Q256/(('Дивиденды по годам'!I256+'Дивиденды по годам'!V256)/2),""),"")</f>
        <v/>
      </c>
      <c r="U256">
        <f>IFERROR(IF(AND('Дивиденды по годам'!J256&lt;&gt;"",'Дивиденды по годам'!K256&lt;&gt;"",'Дивиденды по годам'!M256&lt;&gt;"",'Дивиденды по годам'!M256&lt;&gt;0),('Дивиденды по годам'!J256+'Дивиденды по годам'!K256)/'Дивиденды по годам'!M256,""),"")</f>
        <v>0.31188853839116548</v>
      </c>
      <c r="V256">
        <f>IFERROR(IF(AND('Дивиденды по годам'!J256&lt;&gt;"",'Дивиденды по годам'!K256&lt;&gt;"",'Дивиденды по годам'!M256&lt;&gt;"",'Дивиденды по годам'!I256&lt;&gt;0),('Дивиденды по годам'!J256+'Дивиденды по годам'!K256)/'Дивиденды по годам'!I256,""),"")</f>
        <v>0.23774011988369834</v>
      </c>
      <c r="W256">
        <f>IFERROR('Дивиденды по годам'!I256,"")</f>
        <v>262421000000</v>
      </c>
      <c r="X256" cm="1">
        <f t="array" ref="X256">IFERROR(AVERAGE(_xlfn._xlws.FILTER(P$2:P$1073,($C$2:$C$1073=$C256)*($E$2:$E$1073=$E256)*(ROW(P$2:P$1073)&lt;&gt;ROW(P256))*(P$2:P$1073&lt;&gt;""))),"")</f>
        <v>26.128541878190109</v>
      </c>
      <c r="Y256" cm="1">
        <f t="array" ref="Y256">IFERROR(AVERAGE(_xlfn._xlws.FILTER(Q$2:Q$1073,($C$2:$C$1073=$C256)*($E$2:$E$1073=$E256)*(ROW(Q$2:Q$1073)&lt;&gt;ROW(Q256))*(Q$2:Q$1073&lt;&gt;""))),"")</f>
        <v>0.77337213802161597</v>
      </c>
      <c r="Z256" cm="1">
        <f t="array" ref="Z256">IFERROR(AVERAGE(_xlfn._xlws.FILTER(R$2:R$1073,($C$2:$C$1073=$C256)*($E$2:$E$1073=$E256)*(ROW(R$2:R$1073)&lt;&gt;ROW(R256))*(R$2:R$1073&lt;&gt;""))),"")</f>
        <v>0.14348983045887875</v>
      </c>
      <c r="AA256" cm="1">
        <f t="array" ref="AA256">IFERROR(AVERAGE(_xlfn._xlws.FILTER(S$2:S$1073,($C$2:$C$1073=$C256)*($E$2:$E$1073=$E256)*(ROW(S$2:S$1073)&lt;&gt;ROW(S256))*(S$2:S$1073&lt;&gt;""))),"")</f>
        <v>0.39850050246333968</v>
      </c>
      <c r="AB256" cm="1">
        <f t="array" ref="AB256">IFERROR(AVERAGE(_xlfn._xlws.FILTER(T$2:T$1073,($C$2:$C$1073=$C256)*($E$2:$E$1073=$E256)*(ROW(T$2:T$1073)&lt;&gt;ROW(T256))*(T$2:T$1073&lt;&gt;""))),"")</f>
        <v>4.5214358774442007E-2</v>
      </c>
      <c r="AC256" cm="1">
        <f t="array" ref="AC256">IFERROR(AVERAGE(_xlfn._xlws.FILTER(U$2:U$1073,($C$2:$C$1073=$C256)*($E$2:$E$1073=$E256)*(ROW(U$2:U$1073)&lt;&gt;ROW(U256))*(U$2:U$1073&lt;&gt;""))),"")</f>
        <v>0.62612973620497747</v>
      </c>
      <c r="AD256" cm="1">
        <f t="array" ref="AD256">IFERROR(AVERAGE(_xlfn._xlws.FILTER(V$2:V$1073,($C$2:$C$1073=$C256)*($E$2:$E$1073=$E256)*(ROW(V$2:V$1073)&lt;&gt;ROW(V256))*(V$2:V$1073&lt;&gt;""))),"")</f>
        <v>0.37172036206949444</v>
      </c>
      <c r="AE256">
        <f>IF('Дивиденды по годам'!M256&lt;0,1,0)</f>
        <v>0</v>
      </c>
    </row>
    <row r="257" spans="1:31" x14ac:dyDescent="0.2">
      <c r="A257" s="7" t="s">
        <v>2208</v>
      </c>
      <c r="B257" t="str">
        <f t="shared" si="33"/>
        <v>MSNG IV кв. 2010</v>
      </c>
      <c r="C257">
        <v>2010</v>
      </c>
      <c r="D257">
        <f>SUMIFS(Дивиденды!$C:$C,Дивиденды!$A:$A,A257,Дивиденды!$I:$I,C257)</f>
        <v>0.02</v>
      </c>
      <c r="E257">
        <v>2</v>
      </c>
      <c r="F257">
        <f t="shared" si="34"/>
        <v>0.02</v>
      </c>
      <c r="G257">
        <f t="shared" si="35"/>
        <v>4.8951666666666666E-3</v>
      </c>
      <c r="H257">
        <f t="shared" si="36"/>
        <v>1</v>
      </c>
      <c r="I257">
        <f t="shared" si="37"/>
        <v>0.75</v>
      </c>
      <c r="J257" t="str">
        <f t="shared" si="38"/>
        <v/>
      </c>
      <c r="K257" t="str">
        <f t="shared" si="43"/>
        <v/>
      </c>
      <c r="L257" t="str">
        <f t="shared" si="39"/>
        <v/>
      </c>
      <c r="M257" t="str">
        <f t="shared" si="40"/>
        <v/>
      </c>
      <c r="N257" t="str">
        <f t="shared" si="41"/>
        <v/>
      </c>
      <c r="O257" t="str">
        <f t="shared" si="42"/>
        <v/>
      </c>
      <c r="P257" t="str">
        <f>IFERROR(LN('Дивиденды по годам'!I257),"")</f>
        <v/>
      </c>
      <c r="Q257" t="str">
        <f>IFERROR('Дивиденды по годам'!G257/'Дивиденды по годам'!I257, "")</f>
        <v/>
      </c>
      <c r="R257" t="str">
        <f>IFERROR(IF(AND('Дивиденды по годам'!N257&lt;&gt;"",'Дивиденды по годам'!U257&lt;&gt;"",'Дивиденды по годам'!U257&lt;&gt;0),'Дивиденды по годам'!N257/'Дивиденды по годам'!U257-1,""),"")</f>
        <v/>
      </c>
      <c r="S257" t="str">
        <f>IFERROR(IF(AND('Дивиденды по годам'!L257&lt;&gt;"",'Дивиденды по годам'!I257&lt;&gt;"",'Дивиденды по годам'!J257&lt;&gt;"",'Дивиденды по годам'!K257&lt;&gt;"",('Дивиденды по годам'!I257-'Дивиденды по годам'!J257-'Дивиденды по годам'!K257)&lt;&gt;0),'Дивиденды по годам'!L257/('Дивиденды по годам'!I257-'Дивиденды по годам'!J257-'Дивиденды по годам'!K257),""),"")</f>
        <v/>
      </c>
      <c r="T257" t="str">
        <f>IFERROR(IF(AND('Дивиденды по годам'!Q257&lt;&gt;"",'Дивиденды по годам'!I257&lt;&gt;"",'Дивиденды по годам'!V257&lt;&gt;"",('Дивиденды по годам'!I257+'Дивиденды по годам'!V257)&lt;&gt;0),'Дивиденды по годам'!Q257/(('Дивиденды по годам'!I257+'Дивиденды по годам'!V257)/2),""),"")</f>
        <v/>
      </c>
      <c r="U257" t="str">
        <f>IFERROR(IF(AND('Дивиденды по годам'!J257&lt;&gt;"",'Дивиденды по годам'!K257&lt;&gt;"",'Дивиденды по годам'!M257&lt;&gt;"",'Дивиденды по годам'!M257&lt;&gt;0),('Дивиденды по годам'!J257+'Дивиденды по годам'!K257)/'Дивиденды по годам'!M257,""),"")</f>
        <v/>
      </c>
      <c r="V257" t="str">
        <f>IFERROR(IF(AND('Дивиденды по годам'!J257&lt;&gt;"",'Дивиденды по годам'!K257&lt;&gt;"",'Дивиденды по годам'!M257&lt;&gt;"",'Дивиденды по годам'!I257&lt;&gt;0),('Дивиденды по годам'!J257+'Дивиденды по годам'!K257)/'Дивиденды по годам'!I257,""),"")</f>
        <v/>
      </c>
      <c r="W257" t="str">
        <f>IFERROR('Дивиденды по годам'!I257,"")</f>
        <v/>
      </c>
      <c r="X257" cm="1">
        <f t="array" ref="X257">IFERROR(AVERAGE(_xlfn._xlws.FILTER(P$2:P$1073,($C$2:$C$1073=$C257)*($E$2:$E$1073=$E257)*(ROW(P$2:P$1073)&lt;&gt;ROW(P257))*(P$2:P$1073&lt;&gt;""))),"")</f>
        <v>24.730948088520865</v>
      </c>
      <c r="Y257" cm="1">
        <f t="array" ref="Y257">IFERROR(AVERAGE(_xlfn._xlws.FILTER(Q$2:Q$1073,($C$2:$C$1073=$C257)*($E$2:$E$1073=$E257)*(ROW(Q$2:Q$1073)&lt;&gt;ROW(Q257))*(Q$2:Q$1073&lt;&gt;""))),"")</f>
        <v>0.82035195639515091</v>
      </c>
      <c r="Z257" t="str" cm="1">
        <f t="array" ref="Z257">IFERROR(AVERAGE(_xlfn._xlws.FILTER(R$2:R$1073,($C$2:$C$1073=$C257)*($E$2:$E$1073=$E257)*(ROW(R$2:R$1073)&lt;&gt;ROW(R257))*(R$2:R$1073&lt;&gt;""))),"")</f>
        <v/>
      </c>
      <c r="AA257" t="str" cm="1">
        <f t="array" ref="AA257">IFERROR(AVERAGE(_xlfn._xlws.FILTER(S$2:S$1073,($C$2:$C$1073=$C257)*($E$2:$E$1073=$E257)*(ROW(S$2:S$1073)&lt;&gt;ROW(S257))*(S$2:S$1073&lt;&gt;""))),"")</f>
        <v/>
      </c>
      <c r="AB257" t="str" cm="1">
        <f t="array" ref="AB257">IFERROR(AVERAGE(_xlfn._xlws.FILTER(T$2:T$1073,($C$2:$C$1073=$C257)*($E$2:$E$1073=$E257)*(ROW(T$2:T$1073)&lt;&gt;ROW(T257))*(T$2:T$1073&lt;&gt;""))),"")</f>
        <v/>
      </c>
      <c r="AC257" cm="1">
        <f t="array" ref="AC257">IFERROR(AVERAGE(_xlfn._xlws.FILTER(U$2:U$1073,($C$2:$C$1073=$C257)*($E$2:$E$1073=$E257)*(ROW(U$2:U$1073)&lt;&gt;ROW(U257))*(U$2:U$1073&lt;&gt;""))),"")</f>
        <v>0.91314375247969903</v>
      </c>
      <c r="AD257" cm="1">
        <f t="array" ref="AD257">IFERROR(AVERAGE(_xlfn._xlws.FILTER(V$2:V$1073,($C$2:$C$1073=$C257)*($E$2:$E$1073=$E257)*(ROW(V$2:V$1073)&lt;&gt;ROW(V257))*(V$2:V$1073&lt;&gt;""))),"")</f>
        <v>0.47730012514539921</v>
      </c>
      <c r="AE257">
        <f>IF('Дивиденды по годам'!M257&lt;0,1,0)</f>
        <v>0</v>
      </c>
    </row>
    <row r="258" spans="1:31" x14ac:dyDescent="0.2">
      <c r="A258" s="7" t="s">
        <v>2210</v>
      </c>
      <c r="B258" t="str">
        <f t="shared" si="33"/>
        <v>MSRS IV кв. 2025</v>
      </c>
      <c r="C258">
        <v>2025</v>
      </c>
      <c r="D258">
        <f>SUMIFS(Дивиденды!$C:$C,Дивиденды!$A:$A,A258,Дивиденды!$I:$I,C258)</f>
        <v>0</v>
      </c>
      <c r="E258">
        <v>2</v>
      </c>
      <c r="F258">
        <f t="shared" si="34"/>
        <v>0</v>
      </c>
      <c r="G258">
        <f t="shared" si="35"/>
        <v>0</v>
      </c>
      <c r="H258">
        <f t="shared" si="36"/>
        <v>0</v>
      </c>
      <c r="I258">
        <f t="shared" si="37"/>
        <v>0</v>
      </c>
      <c r="J258">
        <f t="shared" si="38"/>
        <v>-1</v>
      </c>
      <c r="K258">
        <f t="shared" si="43"/>
        <v>-0.5</v>
      </c>
      <c r="L258">
        <f t="shared" si="39"/>
        <v>0</v>
      </c>
      <c r="M258">
        <f t="shared" si="40"/>
        <v>0</v>
      </c>
      <c r="N258">
        <f t="shared" si="41"/>
        <v>1</v>
      </c>
      <c r="O258">
        <f t="shared" si="42"/>
        <v>0.5</v>
      </c>
      <c r="P258">
        <f>IFERROR(LN('Дивиденды по годам'!I258),"")</f>
        <v>27.081764475516895</v>
      </c>
      <c r="Q258">
        <f>IFERROR('Дивиденды по годам'!G258/'Дивиденды по годам'!I258, "")</f>
        <v>0.86576644110575507</v>
      </c>
      <c r="R258">
        <f>IFERROR(IF(AND('Дивиденды по годам'!N258&lt;&gt;"",'Дивиденды по годам'!U258&lt;&gt;"",'Дивиденды по годам'!U258&lt;&gt;0),'Дивиденды по годам'!N258/'Дивиденды по годам'!U258-1,""),"")</f>
        <v>0.14446078670951201</v>
      </c>
      <c r="S258">
        <f>IFERROR(IF(AND('Дивиденды по годам'!L258&lt;&gt;"",'Дивиденды по годам'!I258&lt;&gt;"",'Дивиденды по годам'!J258&lt;&gt;"",'Дивиденды по годам'!K258&lt;&gt;"",('Дивиденды по годам'!I258-'Дивиденды по годам'!J258-'Дивиденды по годам'!K258)&lt;&gt;0),'Дивиденды по годам'!L258/('Дивиденды по годам'!I258-'Дивиденды по годам'!J258-'Дивиденды по годам'!K258),""),"")</f>
        <v>0.90540085387478686</v>
      </c>
      <c r="T258">
        <f>IFERROR(IF(AND('Дивиденды по годам'!Q258&lt;&gt;"",'Дивиденды по годам'!I258&lt;&gt;"",'Дивиденды по годам'!V258&lt;&gt;"",('Дивиденды по годам'!I258+'Дивиденды по годам'!V258)&lt;&gt;0),'Дивиденды по годам'!Q258/(('Дивиденды по годам'!I258+'Дивиденды по годам'!V258)/2),""),"")</f>
        <v>7.7528229436738372E-2</v>
      </c>
      <c r="U258">
        <f>IFERROR(IF(AND('Дивиденды по годам'!J258&lt;&gt;"",'Дивиденды по годам'!K258&lt;&gt;"",'Дивиденды по годам'!M258&lt;&gt;"",'Дивиденды по годам'!M258&lt;&gt;0),('Дивиденды по годам'!J258+'Дивиденды по годам'!K258)/'Дивиденды по годам'!M258,""),"")</f>
        <v>1.2427759101428866</v>
      </c>
      <c r="V258">
        <f>IFERROR(IF(AND('Дивиденды по годам'!J258&lt;&gt;"",'Дивиденды по годам'!K258&lt;&gt;"",'Дивиденды по годам'!M258&lt;&gt;"",'Дивиденды по годам'!I258&lt;&gt;0),('Дивиденды по годам'!J258+'Дивиденды по годам'!K258)/'Дивиденды по годам'!I258,""),"")</f>
        <v>0.55412397846903472</v>
      </c>
      <c r="W258">
        <f>IFERROR('Дивиденды по годам'!I258,"")</f>
        <v>577378851000</v>
      </c>
      <c r="X258" cm="1">
        <f t="array" ref="X258">IFERROR(AVERAGE(_xlfn._xlws.FILTER(P$2:P$1073,($C$2:$C$1073=$C258)*($E$2:$E$1073=$E258)*(ROW(P$2:P$1073)&lt;&gt;ROW(P258))*(P$2:P$1073&lt;&gt;""))),"")</f>
        <v>26.508226308275848</v>
      </c>
      <c r="Y258" cm="1">
        <f t="array" ref="Y258">IFERROR(AVERAGE(_xlfn._xlws.FILTER(Q$2:Q$1073,($C$2:$C$1073=$C258)*($E$2:$E$1073=$E258)*(ROW(Q$2:Q$1073)&lt;&gt;ROW(Q258))*(Q$2:Q$1073&lt;&gt;""))),"")</f>
        <v>0.6507158075488757</v>
      </c>
      <c r="Z258" cm="1">
        <f t="array" ref="Z258">IFERROR(AVERAGE(_xlfn._xlws.FILTER(R$2:R$1073,($C$2:$C$1073=$C258)*($E$2:$E$1073=$E258)*(ROW(R$2:R$1073)&lt;&gt;ROW(R258))*(R$2:R$1073&lt;&gt;""))),"")</f>
        <v>0.18122129636560605</v>
      </c>
      <c r="AA258" cm="1">
        <f t="array" ref="AA258">IFERROR(AVERAGE(_xlfn._xlws.FILTER(S$2:S$1073,($C$2:$C$1073=$C258)*($E$2:$E$1073=$E258)*(ROW(S$2:S$1073)&lt;&gt;ROW(S258))*(S$2:S$1073&lt;&gt;""))),"")</f>
        <v>0.731271191855421</v>
      </c>
      <c r="AB258" cm="1">
        <f t="array" ref="AB258">IFERROR(AVERAGE(_xlfn._xlws.FILTER(T$2:T$1073,($C$2:$C$1073=$C258)*($E$2:$E$1073=$E258)*(ROW(T$2:T$1073)&lt;&gt;ROW(T258))*(T$2:T$1073&lt;&gt;""))),"")</f>
        <v>0.10670837277477195</v>
      </c>
      <c r="AC258" cm="1">
        <f t="array" ref="AC258">IFERROR(AVERAGE(_xlfn._xlws.FILTER(U$2:U$1073,($C$2:$C$1073=$C258)*($E$2:$E$1073=$E258)*(ROW(U$2:U$1073)&lt;&gt;ROW(U258))*(U$2:U$1073&lt;&gt;""))),"")</f>
        <v>0.83886220464237826</v>
      </c>
      <c r="AD258" cm="1">
        <f t="array" ref="AD258">IFERROR(AVERAGE(_xlfn._xlws.FILTER(V$2:V$1073,($C$2:$C$1073=$C258)*($E$2:$E$1073=$E258)*(ROW(V$2:V$1073)&lt;&gt;ROW(V258))*(V$2:V$1073&lt;&gt;""))),"")</f>
        <v>0.41373944082730463</v>
      </c>
      <c r="AE258">
        <f>IF('Дивиденды по годам'!M258&lt;0,1,0)</f>
        <v>0</v>
      </c>
    </row>
    <row r="259" spans="1:31" x14ac:dyDescent="0.2">
      <c r="A259" s="7" t="s">
        <v>2210</v>
      </c>
      <c r="B259" t="str">
        <f t="shared" ref="B259:B322" si="44">A259&amp;" "&amp;
"IV"
&amp;" кв. "&amp;C259</f>
        <v>MSRS IV кв. 2024</v>
      </c>
      <c r="C259">
        <v>2024</v>
      </c>
      <c r="D259">
        <f>SUMIFS(Дивиденды!$C:$C,Дивиденды!$A:$A,A259,Дивиденды!$I:$I,C259)</f>
        <v>0.15</v>
      </c>
      <c r="E259">
        <v>2</v>
      </c>
      <c r="F259">
        <f t="shared" ref="F259:F322" si="45">D259</f>
        <v>0.15</v>
      </c>
      <c r="G259">
        <f t="shared" ref="G259:G322" si="46">AVERAGEIFS($D:$D,$E:$E,E259,$C:$C,C259,$A:$A,"&lt;&gt;"&amp;A259)</f>
        <v>5.0899999999999994E-2</v>
      </c>
      <c r="H259">
        <f t="shared" ref="H259:H322" si="47">IF(D259&gt;0,1,0)</f>
        <v>1</v>
      </c>
      <c r="I259">
        <f t="shared" ref="I259:I322" si="48">IFERROR((COUNTIFS($E:$E,E259,$C:$C,C259,$H:$H,1)-H259)/(COUNTIFS($E:$E,E259,$C:$C,C259)-1),0)</f>
        <v>0.5</v>
      </c>
      <c r="J259">
        <f t="shared" ref="J259:J322" si="49">IF(A260&lt;&gt;A259,"",IF(D259=D260,0,IF(AND(D260=0,D259&lt;&gt;0), 1,(D259-D260)/D260)))</f>
        <v>7.1428571428571286E-2</v>
      </c>
      <c r="K259">
        <f t="shared" si="43"/>
        <v>8.020827249062322E-2</v>
      </c>
      <c r="L259">
        <f t="shared" ref="L259:L322" si="50">IF(J259&lt;&gt;"",IF(J259&gt;0,1,0),"")</f>
        <v>1</v>
      </c>
      <c r="M259">
        <f t="shared" ref="M259:M322" si="51">IFERROR(AVERAGEIFS($L:$L,$E:$E,E259,$C:$C,C259,$A:$A,"&lt;&gt;"&amp;A259),"")</f>
        <v>0.5</v>
      </c>
      <c r="N259">
        <f t="shared" ref="N259:N322" si="52">IF(J259&lt;&gt;"",IF(J259&lt;0,1,0),"")</f>
        <v>0</v>
      </c>
      <c r="O259">
        <f t="shared" ref="O259:O322" si="53">IFERROR(AVERAGEIFS($N:$N,$E:$E,E259,$C:$C,C259,$A:$A,"&lt;&gt;"&amp;A259),"")</f>
        <v>8.3333333333333329E-2</v>
      </c>
      <c r="P259">
        <f>IFERROR(LN('Дивиденды по годам'!I259),"")</f>
        <v>26.938597519518439</v>
      </c>
      <c r="Q259">
        <f>IFERROR('Дивиденды по годам'!G259/'Дивиденды по годам'!I259, "")</f>
        <v>0.84821605620058338</v>
      </c>
      <c r="R259">
        <f>IFERROR(IF(AND('Дивиденды по годам'!N259&lt;&gt;"",'Дивиденды по годам'!U259&lt;&gt;"",'Дивиденды по годам'!U259&lt;&gt;0),'Дивиденды по годам'!N259/'Дивиденды по годам'!U259-1,""),"")</f>
        <v>8.5812354464640972E-2</v>
      </c>
      <c r="S259">
        <f>IFERROR(IF(AND('Дивиденды по годам'!L259&lt;&gt;"",'Дивиденды по годам'!I259&lt;&gt;"",'Дивиденды по годам'!J259&lt;&gt;"",'Дивиденды по годам'!K259&lt;&gt;"",('Дивиденды по годам'!I259-'Дивиденды по годам'!J259-'Дивиденды по годам'!K259)&lt;&gt;0),'Дивиденды по годам'!L259/('Дивиденды по годам'!I259-'Дивиденды по годам'!J259-'Дивиденды по годам'!K259),""),"")</f>
        <v>0.89088486741455519</v>
      </c>
      <c r="T259">
        <f>IFERROR(IF(AND('Дивиденды по годам'!Q259&lt;&gt;"",'Дивиденды по годам'!I259&lt;&gt;"",'Дивиденды по годам'!V259&lt;&gt;"",('Дивиденды по годам'!I259+'Дивиденды по годам'!V259)&lt;&gt;0),'Дивиденды по годам'!Q259/(('Дивиденды по годам'!I259+'Дивиденды по годам'!V259)/2),""),"")</f>
        <v>2.9530773694809206E-2</v>
      </c>
      <c r="U259">
        <f>IFERROR(IF(AND('Дивиденды по годам'!J259&lt;&gt;"",'Дивиденды по годам'!K259&lt;&gt;"",'Дивиденды по годам'!M259&lt;&gt;"",'Дивиденды по годам'!M259&lt;&gt;0),('Дивиденды по годам'!J259+'Дивиденды по годам'!K259)/'Дивиденды по годам'!M259,""),"")</f>
        <v>1.2418524829547664</v>
      </c>
      <c r="V259">
        <f>IFERROR(IF(AND('Дивиденды по годам'!J259&lt;&gt;"",'Дивиденды по годам'!K259&lt;&gt;"",'Дивиденды по годам'!M259&lt;&gt;"",'Дивиденды по годам'!I259&lt;&gt;0),('Дивиденды по годам'!J259+'Дивиденды по годам'!K259)/'Дивиденды по годам'!I259,""),"")</f>
        <v>0.55394032051475672</v>
      </c>
      <c r="W259">
        <f>IFERROR('Дивиденды по годам'!I259,"")</f>
        <v>500361923000</v>
      </c>
      <c r="X259" cm="1">
        <f t="array" ref="X259">IFERROR(AVERAGE(_xlfn._xlws.FILTER(P$2:P$1073,($C$2:$C$1073=$C259)*($E$2:$E$1073=$E259)*(ROW(P$2:P$1073)&lt;&gt;ROW(P259))*(P$2:P$1073&lt;&gt;""))),"")</f>
        <v>26.485178458895362</v>
      </c>
      <c r="Y259" cm="1">
        <f t="array" ref="Y259">IFERROR(AVERAGE(_xlfn._xlws.FILTER(Q$2:Q$1073,($C$2:$C$1073=$C259)*($E$2:$E$1073=$E259)*(ROW(Q$2:Q$1073)&lt;&gt;ROW(Q259))*(Q$2:Q$1073&lt;&gt;""))),"")</f>
        <v>0.67128202285013094</v>
      </c>
      <c r="Z259" cm="1">
        <f t="array" ref="Z259">IFERROR(AVERAGE(_xlfn._xlws.FILTER(R$2:R$1073,($C$2:$C$1073=$C259)*($E$2:$E$1073=$E259)*(ROW(R$2:R$1073)&lt;&gt;ROW(R259))*(R$2:R$1073&lt;&gt;""))),"")</f>
        <v>0.10083920641466787</v>
      </c>
      <c r="AA259" cm="1">
        <f t="array" ref="AA259">IFERROR(AVERAGE(_xlfn._xlws.FILTER(S$2:S$1073,($C$2:$C$1073=$C259)*($E$2:$E$1073=$E259)*(ROW(S$2:S$1073)&lt;&gt;ROW(S259))*(S$2:S$1073&lt;&gt;""))),"")</f>
        <v>0.52659289041154922</v>
      </c>
      <c r="AB259" cm="1">
        <f t="array" ref="AB259">IFERROR(AVERAGE(_xlfn._xlws.FILTER(T$2:T$1073,($C$2:$C$1073=$C259)*($E$2:$E$1073=$E259)*(ROW(T$2:T$1073)&lt;&gt;ROW(T259))*(T$2:T$1073&lt;&gt;""))),"")</f>
        <v>6.0407037489168806E-2</v>
      </c>
      <c r="AC259" cm="1">
        <f t="array" ref="AC259">IFERROR(AVERAGE(_xlfn._xlws.FILTER(U$2:U$1073,($C$2:$C$1073=$C259)*($E$2:$E$1073=$E259)*(ROW(U$2:U$1073)&lt;&gt;ROW(U259))*(U$2:U$1073&lt;&gt;""))),"")</f>
        <v>0.89757379608766064</v>
      </c>
      <c r="AD259" cm="1">
        <f t="array" ref="AD259">IFERROR(AVERAGE(_xlfn._xlws.FILTER(V$2:V$1073,($C$2:$C$1073=$C259)*($E$2:$E$1073=$E259)*(ROW(V$2:V$1073)&lt;&gt;ROW(V259))*(V$2:V$1073&lt;&gt;""))),"")</f>
        <v>0.44019421605533388</v>
      </c>
      <c r="AE259">
        <f>IF('Дивиденды по годам'!M259&lt;0,1,0)</f>
        <v>0</v>
      </c>
    </row>
    <row r="260" spans="1:31" x14ac:dyDescent="0.2">
      <c r="A260" s="7" t="s">
        <v>2210</v>
      </c>
      <c r="B260" t="str">
        <f t="shared" si="44"/>
        <v>MSRS IV кв. 2023</v>
      </c>
      <c r="C260">
        <v>2023</v>
      </c>
      <c r="D260">
        <f>SUMIFS(Дивиденды!$C:$C,Дивиденды!$A:$A,A260,Дивиденды!$I:$I,C260)</f>
        <v>0.14000000000000001</v>
      </c>
      <c r="E260">
        <v>2</v>
      </c>
      <c r="F260">
        <f t="shared" si="45"/>
        <v>0.14000000000000001</v>
      </c>
      <c r="G260">
        <f t="shared" si="46"/>
        <v>5.4633333333333332E-2</v>
      </c>
      <c r="H260">
        <f t="shared" si="47"/>
        <v>1</v>
      </c>
      <c r="I260">
        <f t="shared" si="48"/>
        <v>0.5</v>
      </c>
      <c r="J260">
        <f t="shared" si="49"/>
        <v>0.44329896907216504</v>
      </c>
      <c r="K260">
        <f t="shared" ref="K260:K323" si="54">IFERROR(AVERAGEIFS($J:$J,$E:$E,E260,$C:$C,C260,$A:$A,"&lt;&gt;"&amp;A260),"")</f>
        <v>8.0091661879640563E-2</v>
      </c>
      <c r="L260">
        <f t="shared" si="50"/>
        <v>1</v>
      </c>
      <c r="M260">
        <f t="shared" si="51"/>
        <v>0.41666666666666669</v>
      </c>
      <c r="N260">
        <f t="shared" si="52"/>
        <v>0</v>
      </c>
      <c r="O260">
        <f t="shared" si="53"/>
        <v>0.25</v>
      </c>
      <c r="P260">
        <f>IFERROR(LN('Дивиденды по годам'!I260),"")</f>
        <v>26.76010442228521</v>
      </c>
      <c r="Q260">
        <f>IFERROR('Дивиденды по годам'!G260/'Дивиденды по годам'!I260, "")</f>
        <v>0.8716278006895779</v>
      </c>
      <c r="R260">
        <f>IFERROR(IF(AND('Дивиденды по годам'!N260&lt;&gt;"",'Дивиденды по годам'!U260&lt;&gt;"",'Дивиденды по годам'!U260&lt;&gt;0),'Дивиденды по годам'!N260/'Дивиденды по годам'!U260-1,""),"")</f>
        <v>0.14847187202346435</v>
      </c>
      <c r="S260">
        <f>IFERROR(IF(AND('Дивиденды по годам'!L260&lt;&gt;"",'Дивиденды по годам'!I260&lt;&gt;"",'Дивиденды по годам'!J260&lt;&gt;"",'Дивиденды по годам'!K260&lt;&gt;"",('Дивиденды по годам'!I260-'Дивиденды по годам'!J260-'Дивиденды по годам'!K260)&lt;&gt;0),'Дивиденды по годам'!L260/('Дивиденды по годам'!I260-'Дивиденды по годам'!J260-'Дивиденды по годам'!K260),""),"")</f>
        <v>0.88739420671371727</v>
      </c>
      <c r="T260">
        <f>IFERROR(IF(AND('Дивиденды по годам'!Q260&lt;&gt;"",'Дивиденды по годам'!I260&lt;&gt;"",'Дивиденды по годам'!V260&lt;&gt;"",('Дивиденды по годам'!I260+'Дивиденды по годам'!V260)&lt;&gt;0),'Дивиденды по годам'!Q260/(('Дивиденды по годам'!I260+'Дивиденды по годам'!V260)/2),""),"")</f>
        <v>6.5146180233366602E-2</v>
      </c>
      <c r="U260">
        <f>IFERROR(IF(AND('Дивиденды по годам'!J260&lt;&gt;"",'Дивиденды по годам'!K260&lt;&gt;"",'Дивиденды по годам'!M260&lt;&gt;"",'Дивиденды по годам'!M260&lt;&gt;0),('Дивиденды по годам'!J260+'Дивиденды по годам'!K260)/'Дивиденды по годам'!M260,""),"")</f>
        <v>0.93537093478583977</v>
      </c>
      <c r="V260">
        <f>IFERROR(IF(AND('Дивиденды по годам'!J260&lt;&gt;"",'Дивиденды по годам'!K260&lt;&gt;"",'Дивиденды по годам'!M260&lt;&gt;"",'Дивиденды по годам'!I260&lt;&gt;0),('Дивиденды по годам'!J260+'Дивиденды по годам'!K260)/'Дивиденды по годам'!I260,""),"")</f>
        <v>0.48330318388776677</v>
      </c>
      <c r="W260">
        <f>IFERROR('Дивиденды по годам'!I260,"")</f>
        <v>418567675000</v>
      </c>
      <c r="X260" cm="1">
        <f t="array" ref="X260">IFERROR(AVERAGE(_xlfn._xlws.FILTER(P$2:P$1073,($C$2:$C$1073=$C260)*($E$2:$E$1073=$E260)*(ROW(P$2:P$1073)&lt;&gt;ROW(P260))*(P$2:P$1073&lt;&gt;""))),"")</f>
        <v>26.374260350764548</v>
      </c>
      <c r="Y260" cm="1">
        <f t="array" ref="Y260">IFERROR(AVERAGE(_xlfn._xlws.FILTER(Q$2:Q$1073,($C$2:$C$1073=$C260)*($E$2:$E$1073=$E260)*(ROW(Q$2:Q$1073)&lt;&gt;ROW(Q260))*(Q$2:Q$1073&lt;&gt;""))),"")</f>
        <v>0.69088136331243166</v>
      </c>
      <c r="Z260" cm="1">
        <f t="array" ref="Z260">IFERROR(AVERAGE(_xlfn._xlws.FILTER(R$2:R$1073,($C$2:$C$1073=$C260)*($E$2:$E$1073=$E260)*(ROW(R$2:R$1073)&lt;&gt;ROW(R260))*(R$2:R$1073&lt;&gt;""))),"")</f>
        <v>0.13885986088230995</v>
      </c>
      <c r="AA260" cm="1">
        <f t="array" ref="AA260">IFERROR(AVERAGE(_xlfn._xlws.FILTER(S$2:S$1073,($C$2:$C$1073=$C260)*($E$2:$E$1073=$E260)*(ROW(S$2:S$1073)&lt;&gt;ROW(S260))*(S$2:S$1073&lt;&gt;""))),"")</f>
        <v>0.50204814658994068</v>
      </c>
      <c r="AB260" cm="1">
        <f t="array" ref="AB260">IFERROR(AVERAGE(_xlfn._xlws.FILTER(T$2:T$1073,($C$2:$C$1073=$C260)*($E$2:$E$1073=$E260)*(ROW(T$2:T$1073)&lt;&gt;ROW(T260))*(T$2:T$1073&lt;&gt;""))),"")</f>
        <v>7.7013008772251645E-2</v>
      </c>
      <c r="AC260" cm="1">
        <f t="array" ref="AC260">IFERROR(AVERAGE(_xlfn._xlws.FILTER(U$2:U$1073,($C$2:$C$1073=$C260)*($E$2:$E$1073=$E260)*(ROW(U$2:U$1073)&lt;&gt;ROW(U260))*(U$2:U$1073&lt;&gt;""))),"")</f>
        <v>0.81152909730311507</v>
      </c>
      <c r="AD260" cm="1">
        <f t="array" ref="AD260">IFERROR(AVERAGE(_xlfn._xlws.FILTER(V$2:V$1073,($C$2:$C$1073=$C260)*($E$2:$E$1073=$E260)*(ROW(V$2:V$1073)&lt;&gt;ROW(V260))*(V$2:V$1073&lt;&gt;""))),"")</f>
        <v>0.41825445157842933</v>
      </c>
      <c r="AE260">
        <f>IF('Дивиденды по годам'!M260&lt;0,1,0)</f>
        <v>0</v>
      </c>
    </row>
    <row r="261" spans="1:31" x14ac:dyDescent="0.2">
      <c r="A261" s="7" t="s">
        <v>2210</v>
      </c>
      <c r="B261" t="str">
        <f t="shared" si="44"/>
        <v>MSRS IV кв. 2022</v>
      </c>
      <c r="C261">
        <v>2022</v>
      </c>
      <c r="D261">
        <f>SUMIFS(Дивиденды!$C:$C,Дивиденды!$A:$A,A261,Дивиденды!$I:$I,C261)</f>
        <v>9.7000000000000003E-2</v>
      </c>
      <c r="E261">
        <v>2</v>
      </c>
      <c r="F261">
        <f t="shared" si="45"/>
        <v>9.7000000000000003E-2</v>
      </c>
      <c r="G261">
        <f t="shared" si="46"/>
        <v>5.6648333333333335E-2</v>
      </c>
      <c r="H261">
        <f t="shared" si="47"/>
        <v>1</v>
      </c>
      <c r="I261">
        <f t="shared" si="48"/>
        <v>0.58333333333333337</v>
      </c>
      <c r="J261">
        <f t="shared" si="49"/>
        <v>2.1052631578947385E-2</v>
      </c>
      <c r="K261">
        <f t="shared" si="54"/>
        <v>-0.16339624755865267</v>
      </c>
      <c r="L261">
        <f t="shared" si="50"/>
        <v>1</v>
      </c>
      <c r="M261">
        <f t="shared" si="51"/>
        <v>0.25</v>
      </c>
      <c r="N261">
        <f t="shared" si="52"/>
        <v>0</v>
      </c>
      <c r="O261">
        <f t="shared" si="53"/>
        <v>0.5</v>
      </c>
      <c r="P261">
        <f>IFERROR(LN('Дивиденды по годам'!I261),"")</f>
        <v>26.685566031182468</v>
      </c>
      <c r="Q261">
        <f>IFERROR('Дивиденды по годам'!G261/'Дивиденды по годам'!I261, "")</f>
        <v>0.84437235188636217</v>
      </c>
      <c r="R261">
        <f>IFERROR(IF(AND('Дивиденды по годам'!N261&lt;&gt;"",'Дивиденды по годам'!U261&lt;&gt;"",'Дивиденды по годам'!U261&lt;&gt;0),'Дивиденды по годам'!N261/'Дивиденды по годам'!U261-1,""),"")</f>
        <v>8.0989937159533065E-2</v>
      </c>
      <c r="S261">
        <f>IFERROR(IF(AND('Дивиденды по годам'!L261&lt;&gt;"",'Дивиденды по годам'!I261&lt;&gt;"",'Дивиденды по годам'!J261&lt;&gt;"",'Дивиденды по годам'!K261&lt;&gt;"",('Дивиденды по годам'!I261-'Дивиденды по годам'!J261-'Дивиденды по годам'!K261)&lt;&gt;0),'Дивиденды по годам'!L261/('Дивиденды по годам'!I261-'Дивиденды по годам'!J261-'Дивиденды по годам'!K261),""),"")</f>
        <v>0.87205453585580606</v>
      </c>
      <c r="T261">
        <f>IFERROR(IF(AND('Дивиденды по годам'!Q261&lt;&gt;"",'Дивиденды по годам'!I261&lt;&gt;"",'Дивиденды по годам'!V261&lt;&gt;"",('Дивиденды по годам'!I261+'Дивиденды по годам'!V261)&lt;&gt;0),'Дивиденды по годам'!Q261/(('Дивиденды по годам'!I261+'Дивиденды по годам'!V261)/2),""),"")</f>
        <v>3.4897872798493788E-2</v>
      </c>
      <c r="U261">
        <f>IFERROR(IF(AND('Дивиденды по годам'!J261&lt;&gt;"",'Дивиденды по годам'!K261&lt;&gt;"",'Дивиденды по годам'!M261&lt;&gt;"",'Дивиденды по годам'!M261&lt;&gt;0),('Дивиденды по годам'!J261+'Дивиденды по годам'!K261)/'Дивиденды по годам'!M261,""),"")</f>
        <v>1.0410646557668031</v>
      </c>
      <c r="V261">
        <f>IFERROR(IF(AND('Дивиденды по годам'!J261&lt;&gt;"",'Дивиденды по годам'!K261&lt;&gt;"",'Дивиденды по годам'!M261&lt;&gt;"",'Дивиденды по годам'!I261&lt;&gt;0),('Дивиденды по годам'!J261+'Дивиденды по годам'!K261)/'Дивиденды по годам'!I261,""),"")</f>
        <v>0.51005961659538301</v>
      </c>
      <c r="W261">
        <f>IFERROR('Дивиденды по годам'!I261,"")</f>
        <v>388502729000</v>
      </c>
      <c r="X261" cm="1">
        <f t="array" ref="X261">IFERROR(AVERAGE(_xlfn._xlws.FILTER(P$2:P$1073,($C$2:$C$1073=$C261)*($E$2:$E$1073=$E261)*(ROW(P$2:P$1073)&lt;&gt;ROW(P261))*(P$2:P$1073&lt;&gt;""))),"")</f>
        <v>26.269917543767868</v>
      </c>
      <c r="Y261" cm="1">
        <f t="array" ref="Y261">IFERROR(AVERAGE(_xlfn._xlws.FILTER(Q$2:Q$1073,($C$2:$C$1073=$C261)*($E$2:$E$1073=$E261)*(ROW(Q$2:Q$1073)&lt;&gt;ROW(Q261))*(Q$2:Q$1073&lt;&gt;""))),"")</f>
        <v>0.69298984555927767</v>
      </c>
      <c r="Z261" cm="1">
        <f t="array" ref="Z261">IFERROR(AVERAGE(_xlfn._xlws.FILTER(R$2:R$1073,($C$2:$C$1073=$C261)*($E$2:$E$1073=$E261)*(ROW(R$2:R$1073)&lt;&gt;ROW(R261))*(R$2:R$1073&lt;&gt;""))),"")</f>
        <v>7.1792116933729097E-2</v>
      </c>
      <c r="AA261" cm="1">
        <f t="array" ref="AA261">IFERROR(AVERAGE(_xlfn._xlws.FILTER(S$2:S$1073,($C$2:$C$1073=$C261)*($E$2:$E$1073=$E261)*(ROW(S$2:S$1073)&lt;&gt;ROW(S261))*(S$2:S$1073&lt;&gt;""))),"")</f>
        <v>0.47528122617627361</v>
      </c>
      <c r="AB261" cm="1">
        <f t="array" ref="AB261">IFERROR(AVERAGE(_xlfn._xlws.FILTER(T$2:T$1073,($C$2:$C$1073=$C261)*($E$2:$E$1073=$E261)*(ROW(T$2:T$1073)&lt;&gt;ROW(T261))*(T$2:T$1073&lt;&gt;""))),"")</f>
        <v>9.4483990610959839E-3</v>
      </c>
      <c r="AC261" cm="1">
        <f t="array" ref="AC261">IFERROR(AVERAGE(_xlfn._xlws.FILTER(U$2:U$1073,($C$2:$C$1073=$C261)*($E$2:$E$1073=$E261)*(ROW(U$2:U$1073)&lt;&gt;ROW(U261))*(U$2:U$1073&lt;&gt;""))),"")</f>
        <v>0.89458140141442066</v>
      </c>
      <c r="AD261" cm="1">
        <f t="array" ref="AD261">IFERROR(AVERAGE(_xlfn._xlws.FILTER(V$2:V$1073,($C$2:$C$1073=$C261)*($E$2:$E$1073=$E261)*(ROW(V$2:V$1073)&lt;&gt;ROW(V261))*(V$2:V$1073&lt;&gt;""))),"")</f>
        <v>0.43412508101974567</v>
      </c>
      <c r="AE261">
        <f>IF('Дивиденды по годам'!M261&lt;0,1,0)</f>
        <v>0</v>
      </c>
    </row>
    <row r="262" spans="1:31" x14ac:dyDescent="0.2">
      <c r="A262" s="7" t="s">
        <v>2210</v>
      </c>
      <c r="B262" t="str">
        <f t="shared" si="44"/>
        <v>MSRS IV кв. 2021</v>
      </c>
      <c r="C262">
        <v>2021</v>
      </c>
      <c r="D262">
        <f>SUMIFS(Дивиденды!$C:$C,Дивиденды!$A:$A,A262,Дивиденды!$I:$I,C262)</f>
        <v>9.5000000000000001E-2</v>
      </c>
      <c r="E262">
        <v>2</v>
      </c>
      <c r="F262">
        <f t="shared" si="45"/>
        <v>9.5000000000000001E-2</v>
      </c>
      <c r="G262">
        <f t="shared" si="46"/>
        <v>7.3868583333333335E-2</v>
      </c>
      <c r="H262">
        <f t="shared" si="47"/>
        <v>1</v>
      </c>
      <c r="I262">
        <f t="shared" si="48"/>
        <v>0.75</v>
      </c>
      <c r="J262">
        <f t="shared" si="49"/>
        <v>0.92697768762677502</v>
      </c>
      <c r="K262">
        <f t="shared" si="54"/>
        <v>8.6628043288491066E-2</v>
      </c>
      <c r="L262">
        <f t="shared" si="50"/>
        <v>1</v>
      </c>
      <c r="M262">
        <f t="shared" si="51"/>
        <v>0.58333333333333337</v>
      </c>
      <c r="N262">
        <f t="shared" si="52"/>
        <v>0</v>
      </c>
      <c r="O262">
        <f t="shared" si="53"/>
        <v>0.25</v>
      </c>
      <c r="P262">
        <f>IFERROR(LN('Дивиденды по годам'!I262),"")</f>
        <v>26.669693498514317</v>
      </c>
      <c r="Q262">
        <f>IFERROR('Дивиденды по годам'!G262/'Дивиденды по годам'!I262, "")</f>
        <v>0.86740642062193629</v>
      </c>
      <c r="R262">
        <f>IFERROR(IF(AND('Дивиденды по годам'!N262&lt;&gt;"",'Дивиденды по годам'!U262&lt;&gt;"",'Дивиденды по годам'!U262&lt;&gt;0),'Дивиденды по годам'!N262/'Дивиденды по годам'!U262-1,""),"")</f>
        <v>0.1256320346821338</v>
      </c>
      <c r="S262">
        <f>IFERROR(IF(AND('Дивиденды по годам'!L262&lt;&gt;"",'Дивиденды по годам'!I262&lt;&gt;"",'Дивиденды по годам'!J262&lt;&gt;"",'Дивиденды по годам'!K262&lt;&gt;"",('Дивиденды по годам'!I262-'Дивиденды по годам'!J262-'Дивиденды по годам'!K262)&lt;&gt;0),'Дивиденды по годам'!L262/('Дивиденды по годам'!I262-'Дивиденды по годам'!J262-'Дивиденды по годам'!K262),""),"")</f>
        <v>0.86877779050774162</v>
      </c>
      <c r="T262">
        <f>IFERROR(IF(AND('Дивиденды по годам'!Q262&lt;&gt;"",'Дивиденды по годам'!I262&lt;&gt;"",'Дивиденды по годам'!V262&lt;&gt;"",('Дивиденды по годам'!I262+'Дивиденды по годам'!V262)&lt;&gt;0),'Дивиденды по годам'!Q262/(('Дивиденды по годам'!I262+'Дивиденды по годам'!V262)/2),""),"")</f>
        <v>2.8277405301103134E-2</v>
      </c>
      <c r="U262">
        <f>IFERROR(IF(AND('Дивиденды по годам'!J262&lt;&gt;"",'Дивиденды по годам'!K262&lt;&gt;"",'Дивиденды по годам'!M262&lt;&gt;"",'Дивиденды по годам'!M262&lt;&gt;0),('Дивиденды по годам'!J262+'Дивиденды по годам'!K262)/'Дивиденды по годам'!M262,""),"")</f>
        <v>1.0603730512102738</v>
      </c>
      <c r="V262">
        <f>IFERROR(IF(AND('Дивиденды по годам'!J262&lt;&gt;"",'Дивиденды по годам'!K262&lt;&gt;"",'Дивиденды по годам'!M262&lt;&gt;"",'Дивиденды по годам'!I262&lt;&gt;0),('Дивиденды по годам'!J262+'Дивиденды по годам'!K262)/'Дивиденды по годам'!I262,""),"")</f>
        <v>0.51465100001546082</v>
      </c>
      <c r="W262">
        <f>IFERROR('Дивиденды по годам'!I262,"")</f>
        <v>382384888000</v>
      </c>
      <c r="X262" cm="1">
        <f t="array" ref="X262">IFERROR(AVERAGE(_xlfn._xlws.FILTER(P$2:P$1073,($C$2:$C$1073=$C262)*($E$2:$E$1073=$E262)*(ROW(P$2:P$1073)&lt;&gt;ROW(P262))*(P$2:P$1073&lt;&gt;""))),"")</f>
        <v>25.852417929108675</v>
      </c>
      <c r="Y262" cm="1">
        <f t="array" ref="Y262">IFERROR(AVERAGE(_xlfn._xlws.FILTER(Q$2:Q$1073,($C$2:$C$1073=$C262)*($E$2:$E$1073=$E262)*(ROW(Q$2:Q$1073)&lt;&gt;ROW(Q262))*(Q$2:Q$1073&lt;&gt;""))),"")</f>
        <v>0.76021925674514967</v>
      </c>
      <c r="Z262" cm="1">
        <f t="array" ref="Z262">IFERROR(AVERAGE(_xlfn._xlws.FILTER(R$2:R$1073,($C$2:$C$1073=$C262)*($E$2:$E$1073=$E262)*(ROW(R$2:R$1073)&lt;&gt;ROW(R262))*(R$2:R$1073&lt;&gt;""))),"")</f>
        <v>0.12683996702927766</v>
      </c>
      <c r="AA262" cm="1">
        <f t="array" ref="AA262">IFERROR(AVERAGE(_xlfn._xlws.FILTER(S$2:S$1073,($C$2:$C$1073=$C262)*($E$2:$E$1073=$E262)*(ROW(S$2:S$1073)&lt;&gt;ROW(S262))*(S$2:S$1073&lt;&gt;""))),"")</f>
        <v>0.464430016090426</v>
      </c>
      <c r="AB262" cm="1">
        <f t="array" ref="AB262">IFERROR(AVERAGE(_xlfn._xlws.FILTER(T$2:T$1073,($C$2:$C$1073=$C262)*($E$2:$E$1073=$E262)*(ROW(T$2:T$1073)&lt;&gt;ROW(T262))*(T$2:T$1073&lt;&gt;""))),"")</f>
        <v>3.7250394409541324E-2</v>
      </c>
      <c r="AC262" cm="1">
        <f t="array" ref="AC262">IFERROR(AVERAGE(_xlfn._xlws.FILTER(U$2:U$1073,($C$2:$C$1073=$C262)*($E$2:$E$1073=$E262)*(ROW(U$2:U$1073)&lt;&gt;ROW(U262))*(U$2:U$1073&lt;&gt;""))),"")</f>
        <v>0.68025752739981349</v>
      </c>
      <c r="AD262" cm="1">
        <f t="array" ref="AD262">IFERROR(AVERAGE(_xlfn._xlws.FILTER(V$2:V$1073,($C$2:$C$1073=$C262)*($E$2:$E$1073=$E262)*(ROW(V$2:V$1073)&lt;&gt;ROW(V262))*(V$2:V$1073&lt;&gt;""))),"")</f>
        <v>0.36934043155789631</v>
      </c>
      <c r="AE262">
        <f>IF('Дивиденды по годам'!M262&lt;0,1,0)</f>
        <v>0</v>
      </c>
    </row>
    <row r="263" spans="1:31" x14ac:dyDescent="0.2">
      <c r="A263" s="7" t="s">
        <v>2210</v>
      </c>
      <c r="B263" t="str">
        <f t="shared" si="44"/>
        <v>MSRS IV кв. 2020</v>
      </c>
      <c r="C263">
        <v>2020</v>
      </c>
      <c r="D263">
        <f>SUMIFS(Дивиденды!$C:$C,Дивиденды!$A:$A,A263,Дивиденды!$I:$I,C263)</f>
        <v>4.9299999999999997E-2</v>
      </c>
      <c r="E263">
        <v>2</v>
      </c>
      <c r="F263">
        <f t="shared" si="45"/>
        <v>4.9299999999999997E-2</v>
      </c>
      <c r="G263">
        <f t="shared" si="46"/>
        <v>6.579758333333334E-2</v>
      </c>
      <c r="H263">
        <f t="shared" si="47"/>
        <v>1</v>
      </c>
      <c r="I263">
        <f t="shared" si="48"/>
        <v>0.75</v>
      </c>
      <c r="J263">
        <f t="shared" si="49"/>
        <v>-0.27393225331369669</v>
      </c>
      <c r="K263">
        <f t="shared" si="54"/>
        <v>-6.2796343926571158E-2</v>
      </c>
      <c r="L263">
        <f t="shared" si="50"/>
        <v>0</v>
      </c>
      <c r="M263">
        <f t="shared" si="51"/>
        <v>0.58333333333333337</v>
      </c>
      <c r="N263">
        <f t="shared" si="52"/>
        <v>1</v>
      </c>
      <c r="O263">
        <f t="shared" si="53"/>
        <v>0.41666666666666669</v>
      </c>
      <c r="P263">
        <f>IFERROR(LN('Дивиденды по годам'!I263),"")</f>
        <v>26.601751592327492</v>
      </c>
      <c r="Q263">
        <f>IFERROR('Дивиденды по годам'!G263/'Дивиденды по годам'!I263, "")</f>
        <v>0.8969074269407864</v>
      </c>
      <c r="R263">
        <f>IFERROR(IF(AND('Дивиденды по годам'!N263&lt;&gt;"",'Дивиденды по годам'!U263&lt;&gt;"",'Дивиденды по годам'!U263&lt;&gt;0),'Дивиденды по годам'!N263/'Дивиденды по годам'!U263-1,""),"")</f>
        <v>1.6272985545245255E-2</v>
      </c>
      <c r="S263">
        <f>IFERROR(IF(AND('Дивиденды по годам'!L263&lt;&gt;"",'Дивиденды по годам'!I263&lt;&gt;"",'Дивиденды по годам'!J263&lt;&gt;"",'Дивиденды по годам'!K263&lt;&gt;"",('Дивиденды по годам'!I263-'Дивиденды по годам'!J263-'Дивиденды по годам'!K263)&lt;&gt;0),'Дивиденды по годам'!L263/('Дивиденды по годам'!I263-'Дивиденды по годам'!J263-'Дивиденды по годам'!K263),""),"")</f>
        <v>0.86273226813526604</v>
      </c>
      <c r="T263">
        <f>IFERROR(IF(AND('Дивиденды по годам'!Q263&lt;&gt;"",'Дивиденды по годам'!I263&lt;&gt;"",'Дивиденды по годам'!V263&lt;&gt;"",('Дивиденды по годам'!I263+'Дивиденды по годам'!V263)&lt;&gt;0),'Дивиденды по годам'!Q263/(('Дивиденды по годам'!I263+'Дивиденды по годам'!V263)/2),""),"")</f>
        <v>1.3508436482839035E-2</v>
      </c>
      <c r="U263">
        <f>IFERROR(IF(AND('Дивиденды по годам'!J263&lt;&gt;"",'Дивиденды по годам'!K263&lt;&gt;"",'Дивиденды по годам'!M263&lt;&gt;"",'Дивиденды по годам'!M263&lt;&gt;0),('Дивиденды по годам'!J263+'Дивиденды по годам'!K263)/'Дивиденды по годам'!M263,""),"")</f>
        <v>1.0137250732308312</v>
      </c>
      <c r="V263">
        <f>IFERROR(IF(AND('Дивиденды по годам'!J263&lt;&gt;"",'Дивиденды по годам'!K263&lt;&gt;"",'Дивиденды по годам'!M263&lt;&gt;"",'Дивиденды по годам'!I263&lt;&gt;0),('Дивиденды по годам'!J263+'Дивиденды по годам'!K263)/'Дивиденды по годам'!I263,""),"")</f>
        <v>0.50340788159547778</v>
      </c>
      <c r="W263">
        <f>IFERROR('Дивиденды по годам'!I263,"")</f>
        <v>357267841000</v>
      </c>
      <c r="X263" cm="1">
        <f t="array" ref="X263">IFERROR(AVERAGE(_xlfn._xlws.FILTER(P$2:P$1073,($C$2:$C$1073=$C263)*($E$2:$E$1073=$E263)*(ROW(P$2:P$1073)&lt;&gt;ROW(P263))*(P$2:P$1073&lt;&gt;""))),"")</f>
        <v>26.137406145639677</v>
      </c>
      <c r="Y263" cm="1">
        <f t="array" ref="Y263">IFERROR(AVERAGE(_xlfn._xlws.FILTER(Q$2:Q$1073,($C$2:$C$1073=$C263)*($E$2:$E$1073=$E263)*(ROW(Q$2:Q$1073)&lt;&gt;ROW(Q263))*(Q$2:Q$1073&lt;&gt;""))),"")</f>
        <v>0.73230760335769751</v>
      </c>
      <c r="Z263" cm="1">
        <f t="array" ref="Z263">IFERROR(AVERAGE(_xlfn._xlws.FILTER(R$2:R$1073,($C$2:$C$1073=$C263)*($E$2:$E$1073=$E263)*(ROW(R$2:R$1073)&lt;&gt;ROW(R263))*(R$2:R$1073&lt;&gt;""))),"")</f>
        <v>-7.0898028827878087E-2</v>
      </c>
      <c r="AA263" cm="1">
        <f t="array" ref="AA263">IFERROR(AVERAGE(_xlfn._xlws.FILTER(S$2:S$1073,($C$2:$C$1073=$C263)*($E$2:$E$1073=$E263)*(ROW(S$2:S$1073)&lt;&gt;ROW(S263))*(S$2:S$1073&lt;&gt;""))),"")</f>
        <v>0.45294843465939771</v>
      </c>
      <c r="AB263" cm="1">
        <f t="array" ref="AB263">IFERROR(AVERAGE(_xlfn._xlws.FILTER(T$2:T$1073,($C$2:$C$1073=$C263)*($E$2:$E$1073=$E263)*(ROW(T$2:T$1073)&lt;&gt;ROW(T263))*(T$2:T$1073&lt;&gt;""))),"")</f>
        <v>4.5080570647269967E-2</v>
      </c>
      <c r="AC263" cm="1">
        <f t="array" ref="AC263">IFERROR(AVERAGE(_xlfn._xlws.FILTER(U$2:U$1073,($C$2:$C$1073=$C263)*($E$2:$E$1073=$E263)*(ROW(U$2:U$1073)&lt;&gt;ROW(U263))*(U$2:U$1073&lt;&gt;""))),"")</f>
        <v>0.63005343116623591</v>
      </c>
      <c r="AD263" cm="1">
        <f t="array" ref="AD263">IFERROR(AVERAGE(_xlfn._xlws.FILTER(V$2:V$1073,($C$2:$C$1073=$C263)*($E$2:$E$1073=$E263)*(ROW(V$2:V$1073)&lt;&gt;ROW(V263))*(V$2:V$1073&lt;&gt;""))),"")</f>
        <v>0.35664680849025476</v>
      </c>
      <c r="AE263">
        <f>IF('Дивиденды по годам'!M263&lt;0,1,0)</f>
        <v>0</v>
      </c>
    </row>
    <row r="264" spans="1:31" x14ac:dyDescent="0.2">
      <c r="A264" s="7" t="s">
        <v>2210</v>
      </c>
      <c r="B264" t="str">
        <f t="shared" si="44"/>
        <v>MSRS IV кв. 2019</v>
      </c>
      <c r="C264">
        <v>2019</v>
      </c>
      <c r="D264">
        <f>SUMIFS(Дивиденды!$C:$C,Дивиденды!$A:$A,A264,Дивиденды!$I:$I,C264)</f>
        <v>6.7900000000000002E-2</v>
      </c>
      <c r="E264">
        <v>2</v>
      </c>
      <c r="F264">
        <f t="shared" si="45"/>
        <v>6.7900000000000002E-2</v>
      </c>
      <c r="G264">
        <f t="shared" si="46"/>
        <v>6.5650333333333324E-2</v>
      </c>
      <c r="H264">
        <f t="shared" si="47"/>
        <v>1</v>
      </c>
      <c r="I264">
        <f t="shared" si="48"/>
        <v>1</v>
      </c>
      <c r="J264">
        <f t="shared" si="49"/>
        <v>0.15084745762711874</v>
      </c>
      <c r="K264">
        <f t="shared" si="54"/>
        <v>0.1595221362009944</v>
      </c>
      <c r="L264">
        <f t="shared" si="50"/>
        <v>1</v>
      </c>
      <c r="M264">
        <f t="shared" si="51"/>
        <v>0.41666666666666669</v>
      </c>
      <c r="N264">
        <f t="shared" si="52"/>
        <v>0</v>
      </c>
      <c r="O264">
        <f t="shared" si="53"/>
        <v>0.5</v>
      </c>
      <c r="P264">
        <f>IFERROR(LN('Дивиденды по годам'!I264),"")</f>
        <v>26.571757105353889</v>
      </c>
      <c r="Q264">
        <f>IFERROR('Дивиденды по годам'!G264/'Дивиденды по годам'!I264, "")</f>
        <v>0.90252989513810833</v>
      </c>
      <c r="R264">
        <f>IFERROR(IF(AND('Дивиденды по годам'!N264&lt;&gt;"",'Дивиденды по годам'!U264&lt;&gt;"",'Дивиденды по годам'!U264&lt;&gt;0),'Дивиденды по годам'!N264/'Дивиденды по годам'!U264-1,""),"")</f>
        <v>1.2404559864281461E-2</v>
      </c>
      <c r="S264">
        <f>IFERROR(IF(AND('Дивиденды по годам'!L264&lt;&gt;"",'Дивиденды по годам'!I264&lt;&gt;"",'Дивиденды по годам'!J264&lt;&gt;"",'Дивиденды по годам'!K264&lt;&gt;"",('Дивиденды по годам'!I264-'Дивиденды по годам'!J264-'Дивиденды по годам'!K264)&lt;&gt;0),'Дивиденды по годам'!L264/('Дивиденды по годам'!I264-'Дивиденды по годам'!J264-'Дивиденды по годам'!K264),""),"")</f>
        <v>0.8599849943016441</v>
      </c>
      <c r="T264">
        <f>IFERROR(IF(AND('Дивиденды по годам'!Q264&lt;&gt;"",'Дивиденды по годам'!I264&lt;&gt;"",'Дивиденды по годам'!V264&lt;&gt;"",('Дивиденды по годам'!I264+'Дивиденды по годам'!V264)&lt;&gt;0),'Дивиденды по годам'!Q264/(('Дивиденды по годам'!I264+'Дивиденды по годам'!V264)/2),""),"")</f>
        <v>2.3676097436131555E-2</v>
      </c>
      <c r="U264">
        <f>IFERROR(IF(AND('Дивиденды по годам'!J264&lt;&gt;"",'Дивиденды по годам'!K264&lt;&gt;"",'Дивиденды по годам'!M264&lt;&gt;"",'Дивиденды по годам'!M264&lt;&gt;0),('Дивиденды по годам'!J264+'Дивиденды по годам'!K264)/'Дивиденды по годам'!M264,""),"")</f>
        <v>0.99333302505770871</v>
      </c>
      <c r="V264">
        <f>IFERROR(IF(AND('Дивиденды по годам'!J264&lt;&gt;"",'Дивиденды по годам'!K264&lt;&gt;"",'Дивиденды по годам'!M264&lt;&gt;"",'Дивиденды по годам'!I264&lt;&gt;0),('Дивиденды по годам'!J264+'Дивиденды по годам'!K264)/'Дивиденды по годам'!I264,""),"")</f>
        <v>0.49832768161203311</v>
      </c>
      <c r="W264">
        <f>IFERROR('Дивиденды по годам'!I264,"")</f>
        <v>346710892000</v>
      </c>
      <c r="X264" cm="1">
        <f t="array" ref="X264">IFERROR(AVERAGE(_xlfn._xlws.FILTER(P$2:P$1073,($C$2:$C$1073=$C264)*($E$2:$E$1073=$E264)*(ROW(P$2:P$1073)&lt;&gt;ROW(P264))*(P$2:P$1073&lt;&gt;""))),"")</f>
        <v>26.096844879604276</v>
      </c>
      <c r="Y264" cm="1">
        <f t="array" ref="Y264">IFERROR(AVERAGE(_xlfn._xlws.FILTER(Q$2:Q$1073,($C$2:$C$1073=$C264)*($E$2:$E$1073=$E264)*(ROW(Q$2:Q$1073)&lt;&gt;ROW(Q264))*(Q$2:Q$1073&lt;&gt;""))),"")</f>
        <v>0.72320052134975388</v>
      </c>
      <c r="Z264" cm="1">
        <f t="array" ref="Z264">IFERROR(AVERAGE(_xlfn._xlws.FILTER(R$2:R$1073,($C$2:$C$1073=$C264)*($E$2:$E$1073=$E264)*(ROW(R$2:R$1073)&lt;&gt;ROW(R264))*(R$2:R$1073&lt;&gt;""))),"")</f>
        <v>2.7376970723438734E-3</v>
      </c>
      <c r="AA264" cm="1">
        <f t="array" ref="AA264">IFERROR(AVERAGE(_xlfn._xlws.FILTER(S$2:S$1073,($C$2:$C$1073=$C264)*($E$2:$E$1073=$E264)*(ROW(S$2:S$1073)&lt;&gt;ROW(S264))*(S$2:S$1073&lt;&gt;""))),"")</f>
        <v>0.44186113820520562</v>
      </c>
      <c r="AB264" cm="1">
        <f t="array" ref="AB264">IFERROR(AVERAGE(_xlfn._xlws.FILTER(T$2:T$1073,($C$2:$C$1073=$C264)*($E$2:$E$1073=$E264)*(ROW(T$2:T$1073)&lt;&gt;ROW(T264))*(T$2:T$1073&lt;&gt;""))),"")</f>
        <v>5.4323476221448647E-2</v>
      </c>
      <c r="AC264" cm="1">
        <f t="array" ref="AC264">IFERROR(AVERAGE(_xlfn._xlws.FILTER(U$2:U$1073,($C$2:$C$1073=$C264)*($E$2:$E$1073=$E264)*(ROW(U$2:U$1073)&lt;&gt;ROW(U264))*(U$2:U$1073&lt;&gt;""))),"")</f>
        <v>0.63808093135314159</v>
      </c>
      <c r="AD264" cm="1">
        <f t="array" ref="AD264">IFERROR(AVERAGE(_xlfn._xlws.FILTER(V$2:V$1073,($C$2:$C$1073=$C264)*($E$2:$E$1073=$E264)*(ROW(V$2:V$1073)&lt;&gt;ROW(V264))*(V$2:V$1073&lt;&gt;""))),"")</f>
        <v>0.36028415666786578</v>
      </c>
      <c r="AE264">
        <f>IF('Дивиденды по годам'!M264&lt;0,1,0)</f>
        <v>0</v>
      </c>
    </row>
    <row r="265" spans="1:31" x14ac:dyDescent="0.2">
      <c r="A265" s="7" t="s">
        <v>2210</v>
      </c>
      <c r="B265" t="str">
        <f t="shared" si="44"/>
        <v>MSRS IV кв. 2018</v>
      </c>
      <c r="C265">
        <v>2018</v>
      </c>
      <c r="D265">
        <f>SUMIFS(Дивиденды!$C:$C,Дивиденды!$A:$A,A265,Дивиденды!$I:$I,C265)</f>
        <v>5.8999999999999997E-2</v>
      </c>
      <c r="E265">
        <v>2</v>
      </c>
      <c r="F265">
        <f t="shared" si="45"/>
        <v>5.8999999999999997E-2</v>
      </c>
      <c r="G265">
        <f t="shared" si="46"/>
        <v>7.5653750000000006E-2</v>
      </c>
      <c r="H265">
        <f t="shared" si="47"/>
        <v>1</v>
      </c>
      <c r="I265">
        <f t="shared" si="48"/>
        <v>1</v>
      </c>
      <c r="J265">
        <f t="shared" si="49"/>
        <v>0.86708860759493644</v>
      </c>
      <c r="K265">
        <f t="shared" si="54"/>
        <v>0.12400097766467411</v>
      </c>
      <c r="L265">
        <f t="shared" si="50"/>
        <v>1</v>
      </c>
      <c r="M265">
        <f t="shared" si="51"/>
        <v>0.58333333333333337</v>
      </c>
      <c r="N265">
        <f t="shared" si="52"/>
        <v>0</v>
      </c>
      <c r="O265">
        <f t="shared" si="53"/>
        <v>0.25</v>
      </c>
      <c r="P265">
        <f>IFERROR(LN('Дивиденды по годам'!I265),"")</f>
        <v>26.546609120157978</v>
      </c>
      <c r="Q265">
        <f>IFERROR('Дивиденды по годам'!G265/'Дивиденды по годам'!I265, "")</f>
        <v>0.90278677822370301</v>
      </c>
      <c r="R265">
        <f>IFERROR(IF(AND('Дивиденды по годам'!N265&lt;&gt;"",'Дивиденды по годам'!U265&lt;&gt;"",'Дивиденды по годам'!U265&lt;&gt;0),'Дивиденды по годам'!N265/'Дивиденды по годам'!U265-1,""),"")</f>
        <v>5.9738092597592107E-2</v>
      </c>
      <c r="S265">
        <f>IFERROR(IF(AND('Дивиденды по годам'!L265&lt;&gt;"",'Дивиденды по годам'!I265&lt;&gt;"",'Дивиденды по годам'!J265&lt;&gt;"",'Дивиденды по годам'!K265&lt;&gt;"",('Дивиденды по годам'!I265-'Дивиденды по годам'!J265-'Дивиденды по годам'!K265)&lt;&gt;0),'Дивиденды по годам'!L265/('Дивиденды по годам'!I265-'Дивиденды по годам'!J265-'Дивиденды по годам'!K265),""),"")</f>
        <v>0.85791905538411928</v>
      </c>
      <c r="T265">
        <f>IFERROR(IF(AND('Дивиденды по годам'!Q265&lt;&gt;"",'Дивиденды по годам'!I265&lt;&gt;"",'Дивиденды по годам'!V265&lt;&gt;"",('Дивиденды по годам'!I265+'Дивиденды по годам'!V265)&lt;&gt;0),'Дивиденды по годам'!Q265/(('Дивиденды по годам'!I265+'Дивиденды по годам'!V265)/2),""),"")</f>
        <v>1.9453490970538889E-2</v>
      </c>
      <c r="U265">
        <f>IFERROR(IF(AND('Дивиденды по годам'!J265&lt;&gt;"",'Дивиденды по годам'!K265&lt;&gt;"",'Дивиденды по годам'!M265&lt;&gt;"",'Дивиденды по годам'!M265&lt;&gt;0),('Дивиденды по годам'!J265+'Дивиденды по годам'!K265)/'Дивиденды по годам'!M265,""),"")</f>
        <v>0.97251122944033663</v>
      </c>
      <c r="V265">
        <f>IFERROR(IF(AND('Дивиденды по годам'!J265&lt;&gt;"",'Дивиденды по годам'!K265&lt;&gt;"",'Дивиденды по годам'!M265&lt;&gt;"",'Дивиденды по годам'!I265&lt;&gt;0),('Дивиденды по годам'!J265+'Дивиденды по годам'!K265)/'Дивиденды по годам'!I265,""),"")</f>
        <v>0.49303203699188503</v>
      </c>
      <c r="W265">
        <f>IFERROR('Дивиденды по годам'!I265,"")</f>
        <v>338100532000</v>
      </c>
      <c r="X265" cm="1">
        <f t="array" ref="X265">IFERROR(AVERAGE(_xlfn._xlws.FILTER(P$2:P$1073,($C$2:$C$1073=$C265)*($E$2:$E$1073=$E265)*(ROW(P$2:P$1073)&lt;&gt;ROW(P265))*(P$2:P$1073&lt;&gt;""))),"")</f>
        <v>26.041374587842515</v>
      </c>
      <c r="Y265" cm="1">
        <f t="array" ref="Y265">IFERROR(AVERAGE(_xlfn._xlws.FILTER(Q$2:Q$1073,($C$2:$C$1073=$C265)*($E$2:$E$1073=$E265)*(ROW(Q$2:Q$1073)&lt;&gt;ROW(Q265))*(Q$2:Q$1073&lt;&gt;""))),"")</f>
        <v>0.74071692414968104</v>
      </c>
      <c r="Z265" cm="1">
        <f t="array" ref="Z265">IFERROR(AVERAGE(_xlfn._xlws.FILTER(R$2:R$1073,($C$2:$C$1073=$C265)*($E$2:$E$1073=$E265)*(ROW(R$2:R$1073)&lt;&gt;ROW(R265))*(R$2:R$1073&lt;&gt;""))),"")</f>
        <v>4.9404974320310407E-2</v>
      </c>
      <c r="AA265" cm="1">
        <f t="array" ref="AA265">IFERROR(AVERAGE(_xlfn._xlws.FILTER(S$2:S$1073,($C$2:$C$1073=$C265)*($E$2:$E$1073=$E265)*(ROW(S$2:S$1073)&lt;&gt;ROW(S265))*(S$2:S$1073&lt;&gt;""))),"")</f>
        <v>0.4316172977679002</v>
      </c>
      <c r="AB265" cm="1">
        <f t="array" ref="AB265">IFERROR(AVERAGE(_xlfn._xlws.FILTER(T$2:T$1073,($C$2:$C$1073=$C265)*($E$2:$E$1073=$E265)*(ROW(T$2:T$1073)&lt;&gt;ROW(T265))*(T$2:T$1073&lt;&gt;""))),"")</f>
        <v>7.2491303603059873E-2</v>
      </c>
      <c r="AC265" cm="1">
        <f t="array" ref="AC265">IFERROR(AVERAGE(_xlfn._xlws.FILTER(U$2:U$1073,($C$2:$C$1073=$C265)*($E$2:$E$1073=$E265)*(ROW(U$2:U$1073)&lt;&gt;ROW(U265))*(U$2:U$1073&lt;&gt;""))),"")</f>
        <v>0.6035892576665548</v>
      </c>
      <c r="AD265" cm="1">
        <f t="array" ref="AD265">IFERROR(AVERAGE(_xlfn._xlws.FILTER(V$2:V$1073,($C$2:$C$1073=$C265)*($E$2:$E$1073=$E265)*(ROW(V$2:V$1073)&lt;&gt;ROW(V265))*(V$2:V$1073&lt;&gt;""))),"")</f>
        <v>0.34908085573775433</v>
      </c>
      <c r="AE265">
        <f>IF('Дивиденды по годам'!M265&lt;0,1,0)</f>
        <v>0</v>
      </c>
    </row>
    <row r="266" spans="1:31" x14ac:dyDescent="0.2">
      <c r="A266" s="7" t="s">
        <v>2210</v>
      </c>
      <c r="B266" t="str">
        <f t="shared" si="44"/>
        <v>MSRS IV кв. 2017</v>
      </c>
      <c r="C266">
        <v>2017</v>
      </c>
      <c r="D266">
        <f>SUMIFS(Дивиденды!$C:$C,Дивиденды!$A:$A,A266,Дивиденды!$I:$I,C266)</f>
        <v>3.1600000000000003E-2</v>
      </c>
      <c r="E266">
        <v>2</v>
      </c>
      <c r="F266">
        <f t="shared" si="45"/>
        <v>3.1600000000000003E-2</v>
      </c>
      <c r="G266">
        <f t="shared" si="46"/>
        <v>6.9475500000000009E-2</v>
      </c>
      <c r="H266">
        <f t="shared" si="47"/>
        <v>1</v>
      </c>
      <c r="I266">
        <f t="shared" si="48"/>
        <v>1</v>
      </c>
      <c r="J266">
        <f t="shared" si="49"/>
        <v>1.2820512820512966E-2</v>
      </c>
      <c r="K266">
        <f t="shared" si="54"/>
        <v>0.64068126153857408</v>
      </c>
      <c r="L266">
        <f t="shared" si="50"/>
        <v>1</v>
      </c>
      <c r="M266">
        <f t="shared" si="51"/>
        <v>0.75</v>
      </c>
      <c r="N266">
        <f t="shared" si="52"/>
        <v>0</v>
      </c>
      <c r="O266">
        <f t="shared" si="53"/>
        <v>0.25</v>
      </c>
      <c r="P266">
        <f>IFERROR(LN('Дивиденды по годам'!I266),"")</f>
        <v>26.549421952805872</v>
      </c>
      <c r="Q266">
        <f>IFERROR('Дивиденды по годам'!G266/'Дивиденды по годам'!I266, "")</f>
        <v>0.90504163847403973</v>
      </c>
      <c r="R266">
        <f>IFERROR(IF(AND('Дивиденды по годам'!N266&lt;&gt;"",'Дивиденды по годам'!U266&lt;&gt;"",'Дивиденды по годам'!U266&lt;&gt;0),'Дивиденды по годам'!N266/'Дивиденды по годам'!U266-1,""),"")</f>
        <v>4.9811704568497595E-2</v>
      </c>
      <c r="S266">
        <f>IFERROR(IF(AND('Дивиденды по годам'!L266&lt;&gt;"",'Дивиденды по годам'!I266&lt;&gt;"",'Дивиденды по годам'!J266&lt;&gt;"",'Дивиденды по годам'!K266&lt;&gt;"",('Дивиденды по годам'!I266-'Дивиденды по годам'!J266-'Дивиденды по годам'!K266)&lt;&gt;0),'Дивиденды по годам'!L266/('Дивиденды по годам'!I266-'Дивиденды по годам'!J266-'Дивиденды по годам'!K266),""),"")</f>
        <v>0.85966860752545704</v>
      </c>
      <c r="T266">
        <f>IFERROR(IF(AND('Дивиденды по годам'!Q266&lt;&gt;"",'Дивиденды по годам'!I266&lt;&gt;"",'Дивиденды по годам'!V266&lt;&gt;"",('Дивиденды по годам'!I266+'Дивиденды по годам'!V266)&lt;&gt;0),'Дивиденды по годам'!Q266/(('Дивиденды по годам'!I266+'Дивиденды по годам'!V266)/2),""),"")</f>
        <v>9.0942091394830837E-3</v>
      </c>
      <c r="U266">
        <f>IFERROR(IF(AND('Дивиденды по годам'!J266&lt;&gt;"",'Дивиденды по годам'!K266&lt;&gt;"",'Дивиденды по годам'!M266&lt;&gt;"",'Дивиденды по годам'!M266&lt;&gt;0),('Дивиденды по годам'!J266+'Дивиденды по годам'!K266)/'Дивиденды по годам'!M266,""),"")</f>
        <v>0.95370991627048651</v>
      </c>
      <c r="V266">
        <f>IFERROR(IF(AND('Дивиденды по годам'!J266&lt;&gt;"",'Дивиденды по годам'!K266&lt;&gt;"",'Дивиденды по годам'!M266&lt;&gt;"",'Дивиденды по годам'!I266&lt;&gt;0),('Дивиденды по годам'!J266+'Дивиденды по годам'!K266)/'Дивиденды по годам'!I266,""),"")</f>
        <v>0.48815328638504368</v>
      </c>
      <c r="W266">
        <f>IFERROR('Дивиденды по годам'!I266,"")</f>
        <v>339052891000</v>
      </c>
      <c r="X266" cm="1">
        <f t="array" ref="X266">IFERROR(AVERAGE(_xlfn._xlws.FILTER(P$2:P$1073,($C$2:$C$1073=$C266)*($E$2:$E$1073=$E266)*(ROW(P$2:P$1073)&lt;&gt;ROW(P266))*(P$2:P$1073&lt;&gt;""))),"")</f>
        <v>26.008527633772335</v>
      </c>
      <c r="Y266" cm="1">
        <f t="array" ref="Y266">IFERROR(AVERAGE(_xlfn._xlws.FILTER(Q$2:Q$1073,($C$2:$C$1073=$C266)*($E$2:$E$1073=$E266)*(ROW(Q$2:Q$1073)&lt;&gt;ROW(Q266))*(Q$2:Q$1073&lt;&gt;""))),"")</f>
        <v>0.74803885126044145</v>
      </c>
      <c r="Z266" cm="1">
        <f t="array" ref="Z266">IFERROR(AVERAGE(_xlfn._xlws.FILTER(R$2:R$1073,($C$2:$C$1073=$C266)*($E$2:$E$1073=$E266)*(ROW(R$2:R$1073)&lt;&gt;ROW(R266))*(R$2:R$1073&lt;&gt;""))),"")</f>
        <v>4.5559614574870559E-2</v>
      </c>
      <c r="AA266" cm="1">
        <f t="array" ref="AA266">IFERROR(AVERAGE(_xlfn._xlws.FILTER(S$2:S$1073,($C$2:$C$1073=$C266)*($E$2:$E$1073=$E266)*(ROW(S$2:S$1073)&lt;&gt;ROW(S266))*(S$2:S$1073&lt;&gt;""))),"")</f>
        <v>0.38387136933550631</v>
      </c>
      <c r="AB266" cm="1">
        <f t="array" ref="AB266">IFERROR(AVERAGE(_xlfn._xlws.FILTER(T$2:T$1073,($C$2:$C$1073=$C266)*($E$2:$E$1073=$E266)*(ROW(T$2:T$1073)&lt;&gt;ROW(T266))*(T$2:T$1073&lt;&gt;""))),"")</f>
        <v>8.7609672377615466E-2</v>
      </c>
      <c r="AC266" cm="1">
        <f t="array" ref="AC266">IFERROR(AVERAGE(_xlfn._xlws.FILTER(U$2:U$1073,($C$2:$C$1073=$C266)*($E$2:$E$1073=$E266)*(ROW(U$2:U$1073)&lt;&gt;ROW(U266))*(U$2:U$1073&lt;&gt;""))),"")</f>
        <v>0.6044339754826219</v>
      </c>
      <c r="AD266" cm="1">
        <f t="array" ref="AD266">IFERROR(AVERAGE(_xlfn._xlws.FILTER(V$2:V$1073,($C$2:$C$1073=$C266)*($E$2:$E$1073=$E266)*(ROW(V$2:V$1073)&lt;&gt;ROW(V266))*(V$2:V$1073&lt;&gt;""))),"")</f>
        <v>0.350502689303756</v>
      </c>
      <c r="AE266">
        <f>IF('Дивиденды по годам'!M266&lt;0,1,0)</f>
        <v>0</v>
      </c>
    </row>
    <row r="267" spans="1:31" x14ac:dyDescent="0.2">
      <c r="A267" s="7" t="s">
        <v>2210</v>
      </c>
      <c r="B267" t="str">
        <f t="shared" si="44"/>
        <v>MSRS IV кв. 2016</v>
      </c>
      <c r="C267">
        <v>2016</v>
      </c>
      <c r="D267">
        <f>SUMIFS(Дивиденды!$C:$C,Дивиденды!$A:$A,A267,Дивиденды!$I:$I,C267)</f>
        <v>3.1199999999999999E-2</v>
      </c>
      <c r="E267">
        <v>2</v>
      </c>
      <c r="F267">
        <f t="shared" si="45"/>
        <v>3.1199999999999999E-2</v>
      </c>
      <c r="G267">
        <f t="shared" si="46"/>
        <v>5.4795166666666666E-2</v>
      </c>
      <c r="H267">
        <f t="shared" si="47"/>
        <v>1</v>
      </c>
      <c r="I267">
        <f t="shared" si="48"/>
        <v>1</v>
      </c>
      <c r="J267">
        <f t="shared" si="49"/>
        <v>-0.76</v>
      </c>
      <c r="K267">
        <f t="shared" si="54"/>
        <v>1.4704033711391433</v>
      </c>
      <c r="L267">
        <f t="shared" si="50"/>
        <v>0</v>
      </c>
      <c r="M267">
        <f t="shared" si="51"/>
        <v>0.91666666666666663</v>
      </c>
      <c r="N267">
        <f t="shared" si="52"/>
        <v>1</v>
      </c>
      <c r="O267">
        <f t="shared" si="53"/>
        <v>8.3333333333333329E-2</v>
      </c>
      <c r="P267">
        <f>IFERROR(LN('Дивиденды по годам'!I267),"")</f>
        <v>26.547836155704434</v>
      </c>
      <c r="Q267">
        <f>IFERROR('Дивиденды по годам'!G267/'Дивиденды по годам'!I267, "")</f>
        <v>0.89621560714380921</v>
      </c>
      <c r="R267">
        <f>IFERROR(IF(AND('Дивиденды по годам'!N267&lt;&gt;"",'Дивиденды по годам'!U267&lt;&gt;"",'Дивиденды по годам'!U267&lt;&gt;0),'Дивиденды по годам'!N267/'Дивиденды по годам'!U267-1,""),"")</f>
        <v>8.3094748266029805E-2</v>
      </c>
      <c r="S267">
        <f>IFERROR(IF(AND('Дивиденды по годам'!L267&lt;&gt;"",'Дивиденды по годам'!I267&lt;&gt;"",'Дивиденды по годам'!J267&lt;&gt;"",'Дивиденды по годам'!K267&lt;&gt;"",('Дивиденды по годам'!I267-'Дивиденды по годам'!J267-'Дивиденды по годам'!K267)&lt;&gt;0),'Дивиденды по годам'!L267/('Дивиденды по годам'!I267-'Дивиденды по годам'!J267-'Дивиденды по годам'!K267),""),"")</f>
        <v>0.75119907862881496</v>
      </c>
      <c r="T267">
        <f>IFERROR(IF(AND('Дивиденды по годам'!Q267&lt;&gt;"",'Дивиденды по годам'!I267&lt;&gt;"",'Дивиденды по годам'!V267&lt;&gt;"",('Дивиденды по годам'!I267+'Дивиденды по годам'!V267)&lt;&gt;0),'Дивиденды по годам'!Q267/(('Дивиденды по годам'!I267+'Дивиденды по годам'!V267)/2),""),"")</f>
        <v>2.8291571564999451E-2</v>
      </c>
      <c r="U267">
        <f>IFERROR(IF(AND('Дивиденды по годам'!J267&lt;&gt;"",'Дивиденды по годам'!K267&lt;&gt;"",'Дивиденды по годам'!M267&lt;&gt;"",'Дивиденды по годам'!M267&lt;&gt;0),('Дивиденды по годам'!J267+'Дивиденды по годам'!K267)/'Дивиденды по годам'!M267,""),"")</f>
        <v>0.96166566725821434</v>
      </c>
      <c r="V267">
        <f>IFERROR(IF(AND('Дивиденды по годам'!J267&lt;&gt;"",'Дивиденды по годам'!K267&lt;&gt;"",'Дивиденды по годам'!M267&lt;&gt;"",'Дивиденды по годам'!I267&lt;&gt;0),('Дивиденды по годам'!J267+'Дивиденды по годам'!K267)/'Дивиденды по годам'!I267,""),"")</f>
        <v>0.49022913705897581</v>
      </c>
      <c r="W267">
        <f>IFERROR('Дивиденды по годам'!I267,"")</f>
        <v>338515648000</v>
      </c>
      <c r="X267" cm="1">
        <f t="array" ref="X267">IFERROR(AVERAGE(_xlfn._xlws.FILTER(P$2:P$1073,($C$2:$C$1073=$C267)*($E$2:$E$1073=$E267)*(ROW(P$2:P$1073)&lt;&gt;ROW(P267))*(P$2:P$1073&lt;&gt;""))),"")</f>
        <v>25.962853023726904</v>
      </c>
      <c r="Y267" cm="1">
        <f t="array" ref="Y267">IFERROR(AVERAGE(_xlfn._xlws.FILTER(Q$2:Q$1073,($C$2:$C$1073=$C267)*($E$2:$E$1073=$E267)*(ROW(Q$2:Q$1073)&lt;&gt;ROW(Q267))*(Q$2:Q$1073&lt;&gt;""))),"")</f>
        <v>0.70126941282433863</v>
      </c>
      <c r="Z267" cm="1">
        <f t="array" ref="Z267">IFERROR(AVERAGE(_xlfn._xlws.FILTER(R$2:R$1073,($C$2:$C$1073=$C267)*($E$2:$E$1073=$E267)*(ROW(R$2:R$1073)&lt;&gt;ROW(R267))*(R$2:R$1073&lt;&gt;""))),"")</f>
        <v>0.11728210561987973</v>
      </c>
      <c r="AA267" cm="1">
        <f t="array" ref="AA267">IFERROR(AVERAGE(_xlfn._xlws.FILTER(S$2:S$1073,($C$2:$C$1073=$C267)*($E$2:$E$1073=$E267)*(ROW(S$2:S$1073)&lt;&gt;ROW(S267))*(S$2:S$1073&lt;&gt;""))),"")</f>
        <v>0.3777736907919404</v>
      </c>
      <c r="AB267" cm="1">
        <f t="array" ref="AB267">IFERROR(AVERAGE(_xlfn._xlws.FILTER(T$2:T$1073,($C$2:$C$1073=$C267)*($E$2:$E$1073=$E267)*(ROW(T$2:T$1073)&lt;&gt;ROW(T267))*(T$2:T$1073&lt;&gt;""))),"")</f>
        <v>4.2209193799013986E-2</v>
      </c>
      <c r="AC267" cm="1">
        <f t="array" ref="AC267">IFERROR(AVERAGE(_xlfn._xlws.FILTER(U$2:U$1073,($C$2:$C$1073=$C267)*($E$2:$E$1073=$E267)*(ROW(U$2:U$1073)&lt;&gt;ROW(U267))*(U$2:U$1073&lt;&gt;""))),"")</f>
        <v>0.70665190869417849</v>
      </c>
      <c r="AD267" cm="1">
        <f t="array" ref="AD267">IFERROR(AVERAGE(_xlfn._xlws.FILTER(V$2:V$1073,($C$2:$C$1073=$C267)*($E$2:$E$1073=$E267)*(ROW(V$2:V$1073)&lt;&gt;ROW(V267))*(V$2:V$1073&lt;&gt;""))),"")</f>
        <v>0.38619797686421387</v>
      </c>
      <c r="AE267">
        <f>IF('Дивиденды по годам'!M267&lt;0,1,0)</f>
        <v>0</v>
      </c>
    </row>
    <row r="268" spans="1:31" x14ac:dyDescent="0.2">
      <c r="A268" s="7" t="s">
        <v>2210</v>
      </c>
      <c r="B268" t="str">
        <f t="shared" si="44"/>
        <v>MSRS IV кв. 2015</v>
      </c>
      <c r="C268">
        <v>2015</v>
      </c>
      <c r="D268">
        <f>SUMIFS(Дивиденды!$C:$C,Дивиденды!$A:$A,A268,Дивиденды!$I:$I,C268)</f>
        <v>0.13</v>
      </c>
      <c r="E268">
        <v>2</v>
      </c>
      <c r="F268">
        <f t="shared" si="45"/>
        <v>0.13</v>
      </c>
      <c r="G268">
        <f t="shared" si="46"/>
        <v>3.0606750000000002E-2</v>
      </c>
      <c r="H268">
        <f t="shared" si="47"/>
        <v>1</v>
      </c>
      <c r="I268">
        <f t="shared" si="48"/>
        <v>0.91666666666666663</v>
      </c>
      <c r="J268">
        <f t="shared" si="49"/>
        <v>2.080568720379147</v>
      </c>
      <c r="K268">
        <f t="shared" si="54"/>
        <v>3.9715957182940795</v>
      </c>
      <c r="L268">
        <f t="shared" si="50"/>
        <v>1</v>
      </c>
      <c r="M268">
        <f t="shared" si="51"/>
        <v>0.66666666666666663</v>
      </c>
      <c r="N268">
        <f t="shared" si="52"/>
        <v>0</v>
      </c>
      <c r="O268">
        <f t="shared" si="53"/>
        <v>0.33333333333333331</v>
      </c>
      <c r="P268">
        <f>IFERROR(LN('Дивиденды по годам'!I268),"")</f>
        <v>26.508990466491269</v>
      </c>
      <c r="Q268">
        <f>IFERROR('Дивиденды по годам'!G268/'Дивиденды по годам'!I268, "")</f>
        <v>0.89034315302567191</v>
      </c>
      <c r="R268">
        <f>IFERROR(IF(AND('Дивиденды по годам'!N268&lt;&gt;"",'Дивиденды по годам'!U268&lt;&gt;"",'Дивиденды по годам'!U268&lt;&gt;0),'Дивиденды по годам'!N268/'Дивиденды по годам'!U268-1,""),"")</f>
        <v>3.3881169551069235E-2</v>
      </c>
      <c r="S268">
        <f>IFERROR(IF(AND('Дивиденды по годам'!L268&lt;&gt;"",'Дивиденды по годам'!I268&lt;&gt;"",'Дивиденды по годам'!J268&lt;&gt;"",'Дивиденды по годам'!K268&lt;&gt;"",('Дивиденды по годам'!I268-'Дивиденды по годам'!J268-'Дивиденды по годам'!K268)&lt;&gt;0),'Дивиденды по годам'!L268/('Дивиденды по годам'!I268-'Дивиденды по годам'!J268-'Дивиденды по годам'!K268),""),"")</f>
        <v>0.74629942835222074</v>
      </c>
      <c r="T268">
        <f>IFERROR(IF(AND('Дивиденды по годам'!Q268&lt;&gt;"",'Дивиденды по годам'!I268&lt;&gt;"",'Дивиденды по годам'!V268&lt;&gt;"",('Дивиденды по годам'!I268+'Дивиденды по годам'!V268)&lt;&gt;0),'Дивиденды по годам'!Q268/(('Дивиденды по годам'!I268+'Дивиденды по годам'!V268)/2),""),"")</f>
        <v>3.9706907606509835E-2</v>
      </c>
      <c r="U268">
        <f>IFERROR(IF(AND('Дивиденды по годам'!J268&lt;&gt;"",'Дивиденды по годам'!K268&lt;&gt;"",'Дивиденды по годам'!M268&lt;&gt;"",'Дивиденды по годам'!M268&lt;&gt;0),('Дивиденды по годам'!J268+'Дивиденды по годам'!K268)/'Дивиденды по годам'!M268,""),"")</f>
        <v>0.92408380519592825</v>
      </c>
      <c r="V268">
        <f>IFERROR(IF(AND('Дивиденды по годам'!J268&lt;&gt;"",'Дивиденды по годам'!K268&lt;&gt;"",'Дивиденды по годам'!M268&lt;&gt;"",'Дивиденды по годам'!I268&lt;&gt;0),('Дивиденды по годам'!J268+'Дивиденды по годам'!K268)/'Дивиденды по годам'!I268,""),"")</f>
        <v>0.48027211844955442</v>
      </c>
      <c r="W268">
        <f>IFERROR('Дивиденды по годам'!I268,"")</f>
        <v>325617907000</v>
      </c>
      <c r="X268" cm="1">
        <f t="array" ref="X268">IFERROR(AVERAGE(_xlfn._xlws.FILTER(P$2:P$1073,($C$2:$C$1073=$C268)*($E$2:$E$1073=$E268)*(ROW(P$2:P$1073)&lt;&gt;ROW(P268))*(P$2:P$1073&lt;&gt;""))),"")</f>
        <v>25.871041972055725</v>
      </c>
      <c r="Y268" cm="1">
        <f t="array" ref="Y268">IFERROR(AVERAGE(_xlfn._xlws.FILTER(Q$2:Q$1073,($C$2:$C$1073=$C268)*($E$2:$E$1073=$E268)*(ROW(Q$2:Q$1073)&lt;&gt;ROW(Q268))*(Q$2:Q$1073&lt;&gt;""))),"")</f>
        <v>0.76828698604696277</v>
      </c>
      <c r="Z268" cm="1">
        <f t="array" ref="Z268">IFERROR(AVERAGE(_xlfn._xlws.FILTER(R$2:R$1073,($C$2:$C$1073=$C268)*($E$2:$E$1073=$E268)*(ROW(R$2:R$1073)&lt;&gt;ROW(R268))*(R$2:R$1073&lt;&gt;""))),"")</f>
        <v>3.7374132436671769E-3</v>
      </c>
      <c r="AA268" cm="1">
        <f t="array" ref="AA268">IFERROR(AVERAGE(_xlfn._xlws.FILTER(S$2:S$1073,($C$2:$C$1073=$C268)*($E$2:$E$1073=$E268)*(ROW(S$2:S$1073)&lt;&gt;ROW(S268))*(S$2:S$1073&lt;&gt;""))),"")</f>
        <v>0.4521538314603713</v>
      </c>
      <c r="AB268" cm="1">
        <f t="array" ref="AB268">IFERROR(AVERAGE(_xlfn._xlws.FILTER(T$2:T$1073,($C$2:$C$1073=$C268)*($E$2:$E$1073=$E268)*(ROW(T$2:T$1073)&lt;&gt;ROW(T268))*(T$2:T$1073&lt;&gt;""))),"")</f>
        <v>-1.817603648867332E-2</v>
      </c>
      <c r="AC268" cm="1">
        <f t="array" ref="AC268">IFERROR(AVERAGE(_xlfn._xlws.FILTER(U$2:U$1073,($C$2:$C$1073=$C268)*($E$2:$E$1073=$E268)*(ROW(U$2:U$1073)&lt;&gt;ROW(U268))*(U$2:U$1073&lt;&gt;""))),"")</f>
        <v>0.8894592398133403</v>
      </c>
      <c r="AD268" cm="1">
        <f t="array" ref="AD268">IFERROR(AVERAGE(_xlfn._xlws.FILTER(V$2:V$1073,($C$2:$C$1073=$C268)*($E$2:$E$1073=$E268)*(ROW(V$2:V$1073)&lt;&gt;ROW(V268))*(V$2:V$1073&lt;&gt;""))),"")</f>
        <v>0.43433413740507881</v>
      </c>
      <c r="AE268">
        <f>IF('Дивиденды по годам'!M268&lt;0,1,0)</f>
        <v>0</v>
      </c>
    </row>
    <row r="269" spans="1:31" x14ac:dyDescent="0.2">
      <c r="A269" s="7" t="s">
        <v>2210</v>
      </c>
      <c r="B269" t="str">
        <f t="shared" si="44"/>
        <v>MSRS IV кв. 2014</v>
      </c>
      <c r="C269">
        <v>2014</v>
      </c>
      <c r="D269">
        <f>SUMIFS(Дивиденды!$C:$C,Дивиденды!$A:$A,A269,Дивиденды!$I:$I,C269)</f>
        <v>4.2200000000000001E-2</v>
      </c>
      <c r="E269">
        <v>2</v>
      </c>
      <c r="F269">
        <f t="shared" si="45"/>
        <v>4.2200000000000001E-2</v>
      </c>
      <c r="G269">
        <f t="shared" si="46"/>
        <v>3.5451250000000004E-2</v>
      </c>
      <c r="H269">
        <f t="shared" si="47"/>
        <v>1</v>
      </c>
      <c r="I269">
        <f t="shared" si="48"/>
        <v>1</v>
      </c>
      <c r="J269">
        <f t="shared" si="49"/>
        <v>-0.29431438127090298</v>
      </c>
      <c r="K269">
        <f t="shared" si="54"/>
        <v>1.4256296801225472</v>
      </c>
      <c r="L269">
        <f t="shared" si="50"/>
        <v>0</v>
      </c>
      <c r="M269">
        <f t="shared" si="51"/>
        <v>0.66666666666666663</v>
      </c>
      <c r="N269">
        <f t="shared" si="52"/>
        <v>1</v>
      </c>
      <c r="O269">
        <f t="shared" si="53"/>
        <v>0.25</v>
      </c>
      <c r="P269">
        <f>IFERROR(LN('Дивиденды по годам'!I269),"")</f>
        <v>26.461718259430786</v>
      </c>
      <c r="Q269">
        <f>IFERROR('Дивиденды по годам'!G269/'Дивиденды по годам'!I269, "")</f>
        <v>0.88114200068273452</v>
      </c>
      <c r="R269">
        <f>IFERROR(IF(AND('Дивиденды по годам'!N269&lt;&gt;"",'Дивиденды по годам'!U269&lt;&gt;"",'Дивиденды по годам'!U269&lt;&gt;0),'Дивиденды по годам'!N269/'Дивиденды по годам'!U269-1,""),"")</f>
        <v>-8.5722269774284321E-3</v>
      </c>
      <c r="S269">
        <f>IFERROR(IF(AND('Дивиденды по годам'!L269&lt;&gt;"",'Дивиденды по годам'!I269&lt;&gt;"",'Дивиденды по годам'!J269&lt;&gt;"",'Дивиденды по годам'!K269&lt;&gt;"",('Дивиденды по годам'!I269-'Дивиденды по годам'!J269-'Дивиденды по годам'!K269)&lt;&gt;0),'Дивиденды по годам'!L269/('Дивиденды по годам'!I269-'Дивиденды по годам'!J269-'Дивиденды по годам'!K269),""),"")</f>
        <v>0.72729925129256967</v>
      </c>
      <c r="T269">
        <f>IFERROR(IF(AND('Дивиденды по годам'!Q269&lt;&gt;"",'Дивиденды по годам'!I269&lt;&gt;"",'Дивиденды по годам'!V269&lt;&gt;"",('Дивиденды по годам'!I269+'Дивиденды по годам'!V269)&lt;&gt;0),'Дивиденды по годам'!Q269/(('Дивиденды по годам'!I269+'Дивиденды по годам'!V269)/2),""),"")</f>
        <v>2.7068398543860242E-2</v>
      </c>
      <c r="U269">
        <f>IFERROR(IF(AND('Дивиденды по годам'!J269&lt;&gt;"",'Дивиденды по годам'!K269&lt;&gt;"",'Дивиденды по годам'!M269&lt;&gt;"",'Дивиденды по годам'!M269&lt;&gt;0),('Дивиденды по годам'!J269+'Дивиденды по годам'!K269)/'Дивиденды по годам'!M269,""),"")</f>
        <v>0.95303933605838187</v>
      </c>
      <c r="V269">
        <f>IFERROR(IF(AND('Дивиденды по годам'!J269&lt;&gt;"",'Дивиденды по годам'!K269&lt;&gt;"",'Дивиденды по годам'!M269&lt;&gt;"",'Дивиденды по годам'!I269&lt;&gt;0),('Дивиденды по годам'!J269+'Дивиденды по годам'!K269)/'Дивиденды по годам'!I269,""),"")</f>
        <v>0.48797754272671384</v>
      </c>
      <c r="W269">
        <f>IFERROR('Дивиденды по годам'!I269,"")</f>
        <v>310583387000</v>
      </c>
      <c r="X269" cm="1">
        <f t="array" ref="X269">IFERROR(AVERAGE(_xlfn._xlws.FILTER(P$2:P$1073,($C$2:$C$1073=$C269)*($E$2:$E$1073=$E269)*(ROW(P$2:P$1073)&lt;&gt;ROW(P269))*(P$2:P$1073&lt;&gt;""))),"")</f>
        <v>26.132426470040336</v>
      </c>
      <c r="Y269" cm="1">
        <f t="array" ref="Y269">IFERROR(AVERAGE(_xlfn._xlws.FILTER(Q$2:Q$1073,($C$2:$C$1073=$C269)*($E$2:$E$1073=$E269)*(ROW(Q$2:Q$1073)&lt;&gt;ROW(Q269))*(Q$2:Q$1073&lt;&gt;""))),"")</f>
        <v>0.76051763423481966</v>
      </c>
      <c r="Z269" cm="1">
        <f t="array" ref="Z269">IFERROR(AVERAGE(_xlfn._xlws.FILTER(R$2:R$1073,($C$2:$C$1073=$C269)*($E$2:$E$1073=$E269)*(ROW(R$2:R$1073)&lt;&gt;ROW(R269))*(R$2:R$1073&lt;&gt;""))),"")</f>
        <v>2.6187298051433876E-2</v>
      </c>
      <c r="AA269" cm="1">
        <f t="array" ref="AA269">IFERROR(AVERAGE(_xlfn._xlws.FILTER(S$2:S$1073,($C$2:$C$1073=$C269)*($E$2:$E$1073=$E269)*(ROW(S$2:S$1073)&lt;&gt;ROW(S269))*(S$2:S$1073&lt;&gt;""))),"")</f>
        <v>0.58013257923503025</v>
      </c>
      <c r="AB269" cm="1">
        <f t="array" ref="AB269">IFERROR(AVERAGE(_xlfn._xlws.FILTER(T$2:T$1073,($C$2:$C$1073=$C269)*($E$2:$E$1073=$E269)*(ROW(T$2:T$1073)&lt;&gt;ROW(T269))*(T$2:T$1073&lt;&gt;""))),"")</f>
        <v>1.767721936692945E-2</v>
      </c>
      <c r="AC269" cm="1">
        <f t="array" ref="AC269">IFERROR(AVERAGE(_xlfn._xlws.FILTER(U$2:U$1073,($C$2:$C$1073=$C269)*($E$2:$E$1073=$E269)*(ROW(U$2:U$1073)&lt;&gt;ROW(U269))*(U$2:U$1073&lt;&gt;""))),"")</f>
        <v>0.73385580468801792</v>
      </c>
      <c r="AD269" cm="1">
        <f t="array" ref="AD269">IFERROR(AVERAGE(_xlfn._xlws.FILTER(V$2:V$1073,($C$2:$C$1073=$C269)*($E$2:$E$1073=$E269)*(ROW(V$2:V$1073)&lt;&gt;ROW(V269))*(V$2:V$1073&lt;&gt;""))),"")</f>
        <v>0.39512350548725161</v>
      </c>
      <c r="AE269">
        <f>IF('Дивиденды по годам'!M269&lt;0,1,0)</f>
        <v>0</v>
      </c>
    </row>
    <row r="270" spans="1:31" x14ac:dyDescent="0.2">
      <c r="A270" s="7" t="s">
        <v>2210</v>
      </c>
      <c r="B270" t="str">
        <f t="shared" si="44"/>
        <v>MSRS IV кв. 2013</v>
      </c>
      <c r="C270">
        <v>2013</v>
      </c>
      <c r="D270">
        <f>SUMIFS(Дивиденды!$C:$C,Дивиденды!$A:$A,A270,Дивиденды!$I:$I,C270)</f>
        <v>5.9799999999999999E-2</v>
      </c>
      <c r="E270">
        <v>2</v>
      </c>
      <c r="F270">
        <f t="shared" si="45"/>
        <v>5.9799999999999999E-2</v>
      </c>
      <c r="G270">
        <f t="shared" si="46"/>
        <v>4.1459749999999997E-2</v>
      </c>
      <c r="H270">
        <f t="shared" si="47"/>
        <v>1</v>
      </c>
      <c r="I270">
        <f t="shared" si="48"/>
        <v>0.75</v>
      </c>
      <c r="J270">
        <f t="shared" si="49"/>
        <v>-0.32199546485260772</v>
      </c>
      <c r="K270">
        <f t="shared" si="54"/>
        <v>3.9785809823060701E-2</v>
      </c>
      <c r="L270">
        <f t="shared" si="50"/>
        <v>0</v>
      </c>
      <c r="M270">
        <f t="shared" si="51"/>
        <v>0.5</v>
      </c>
      <c r="N270">
        <f t="shared" si="52"/>
        <v>1</v>
      </c>
      <c r="O270">
        <f t="shared" si="53"/>
        <v>0.25</v>
      </c>
      <c r="P270">
        <f>IFERROR(LN('Дивиденды по годам'!I270),"")</f>
        <v>26.380310771358577</v>
      </c>
      <c r="Q270">
        <f>IFERROR('Дивиденды по годам'!G270/'Дивиденды по годам'!I270, "")</f>
        <v>0.88450189016222325</v>
      </c>
      <c r="R270">
        <f>IFERROR(IF(AND('Дивиденды по годам'!N270&lt;&gt;"",'Дивиденды по годам'!U270&lt;&gt;"",'Дивиденды по годам'!U270&lt;&gt;0),'Дивиденды по годам'!N270/'Дивиденды по годам'!U270-1,""),"")</f>
        <v>3.032779054416479E-2</v>
      </c>
      <c r="S270" t="str">
        <f>IFERROR(IF(AND('Дивиденды по годам'!L270&lt;&gt;"",'Дивиденды по годам'!I270&lt;&gt;"",'Дивиденды по годам'!J270&lt;&gt;"",'Дивиденды по годам'!K270&lt;&gt;"",('Дивиденды по годам'!I270-'Дивиденды по годам'!J270-'Дивиденды по годам'!K270)&lt;&gt;0),'Дивиденды по годам'!L270/('Дивиденды по годам'!I270-'Дивиденды по годам'!J270-'Дивиденды по годам'!K270),""),"")</f>
        <v/>
      </c>
      <c r="T270">
        <f>IFERROR(IF(AND('Дивиденды по годам'!Q270&lt;&gt;"",'Дивиденды по годам'!I270&lt;&gt;"",'Дивиденды по годам'!V270&lt;&gt;"",('Дивиденды по годам'!I270+'Дивиденды по годам'!V270)&lt;&gt;0),'Дивиденды по годам'!Q270/(('Дивиденды по годам'!I270+'Дивиденды по годам'!V270)/2),""),"")</f>
        <v>7.0128053442467239E-2</v>
      </c>
      <c r="U270">
        <f>IFERROR(IF(AND('Дивиденды по годам'!J270&lt;&gt;"",'Дивиденды по годам'!K270&lt;&gt;"",'Дивиденды по годам'!M270&lt;&gt;"",'Дивиденды по годам'!M270&lt;&gt;0),('Дивиденды по годам'!J270+'Дивиденды по годам'!K270)/'Дивиденды по годам'!M270,""),"")</f>
        <v>0.86421220554848666</v>
      </c>
      <c r="V270">
        <f>IFERROR(IF(AND('Дивиденды по годам'!J270&lt;&gt;"",'Дивиденды по годам'!K270&lt;&gt;"",'Дивиденды по годам'!M270&lt;&gt;"",'Дивиденды по годам'!I270&lt;&gt;0),('Дивиденды по годам'!J270+'Дивиденды по годам'!K270)/'Дивиденды по годам'!I270,""),"")</f>
        <v>0.46358038155544584</v>
      </c>
      <c r="W270">
        <f>IFERROR('Дивиденды по годам'!I270,"")</f>
        <v>286301352000</v>
      </c>
      <c r="X270" cm="1">
        <f t="array" ref="X270">IFERROR(AVERAGE(_xlfn._xlws.FILTER(P$2:P$1073,($C$2:$C$1073=$C270)*($E$2:$E$1073=$E270)*(ROW(P$2:P$1073)&lt;&gt;ROW(P270))*(P$2:P$1073&lt;&gt;""))),"")</f>
        <v>26.080732554179729</v>
      </c>
      <c r="Y270" cm="1">
        <f t="array" ref="Y270">IFERROR(AVERAGE(_xlfn._xlws.FILTER(Q$2:Q$1073,($C$2:$C$1073=$C270)*($E$2:$E$1073=$E270)*(ROW(Q$2:Q$1073)&lt;&gt;ROW(Q270))*(Q$2:Q$1073&lt;&gt;""))),"")</f>
        <v>0.77268242358236372</v>
      </c>
      <c r="Z270" cm="1">
        <f t="array" ref="Z270">IFERROR(AVERAGE(_xlfn._xlws.FILTER(R$2:R$1073,($C$2:$C$1073=$C270)*($E$2:$E$1073=$E270)*(ROW(R$2:R$1073)&lt;&gt;ROW(R270))*(R$2:R$1073&lt;&gt;""))),"")</f>
        <v>0.10528034757241173</v>
      </c>
      <c r="AA270" cm="1">
        <f t="array" ref="AA270">IFERROR(AVERAGE(_xlfn._xlws.FILTER(S$2:S$1073,($C$2:$C$1073=$C270)*($E$2:$E$1073=$E270)*(ROW(S$2:S$1073)&lt;&gt;ROW(S270))*(S$2:S$1073&lt;&gt;""))),"")</f>
        <v>0.4636519590056305</v>
      </c>
      <c r="AB270" cm="1">
        <f t="array" ref="AB270">IFERROR(AVERAGE(_xlfn._xlws.FILTER(T$2:T$1073,($C$2:$C$1073=$C270)*($E$2:$E$1073=$E270)*(ROW(T$2:T$1073)&lt;&gt;ROW(T270))*(T$2:T$1073&lt;&gt;""))),"")</f>
        <v>-1.3217289414935836E-2</v>
      </c>
      <c r="AC270" cm="1">
        <f t="array" ref="AC270">IFERROR(AVERAGE(_xlfn._xlws.FILTER(U$2:U$1073,($C$2:$C$1073=$C270)*($E$2:$E$1073=$E270)*(ROW(U$2:U$1073)&lt;&gt;ROW(U270))*(U$2:U$1073&lt;&gt;""))),"")</f>
        <v>0.65847125591840583</v>
      </c>
      <c r="AD270" cm="1">
        <f t="array" ref="AD270">IFERROR(AVERAGE(_xlfn._xlws.FILTER(V$2:V$1073,($C$2:$C$1073=$C270)*($E$2:$E$1073=$E270)*(ROW(V$2:V$1073)&lt;&gt;ROW(V270))*(V$2:V$1073&lt;&gt;""))),"")</f>
        <v>0.36896130657310816</v>
      </c>
      <c r="AE270">
        <f>IF('Дивиденды по годам'!M270&lt;0,1,0)</f>
        <v>0</v>
      </c>
    </row>
    <row r="271" spans="1:31" x14ac:dyDescent="0.2">
      <c r="A271" s="7" t="s">
        <v>2210</v>
      </c>
      <c r="B271" t="str">
        <f t="shared" si="44"/>
        <v>MSRS IV кв. 2012</v>
      </c>
      <c r="C271">
        <v>2012</v>
      </c>
      <c r="D271">
        <f>SUMIFS(Дивиденды!$C:$C,Дивиденды!$A:$A,A271,Дивиденды!$I:$I,C271)</f>
        <v>8.8200000000000001E-2</v>
      </c>
      <c r="E271">
        <v>2</v>
      </c>
      <c r="F271">
        <f t="shared" si="45"/>
        <v>8.8200000000000001E-2</v>
      </c>
      <c r="G271">
        <f t="shared" si="46"/>
        <v>2.981233333333333E-2</v>
      </c>
      <c r="H271">
        <f t="shared" si="47"/>
        <v>1</v>
      </c>
      <c r="I271">
        <f t="shared" si="48"/>
        <v>0.66666666666666663</v>
      </c>
      <c r="J271">
        <f t="shared" si="49"/>
        <v>2.528</v>
      </c>
      <c r="K271">
        <f t="shared" si="54"/>
        <v>0.53013537634016561</v>
      </c>
      <c r="L271">
        <f t="shared" si="50"/>
        <v>1</v>
      </c>
      <c r="M271">
        <f t="shared" si="51"/>
        <v>0.5</v>
      </c>
      <c r="N271">
        <f t="shared" si="52"/>
        <v>0</v>
      </c>
      <c r="O271">
        <f t="shared" si="53"/>
        <v>0.16666666666666666</v>
      </c>
      <c r="P271">
        <f>IFERROR(LN('Дивиденды по годам'!I271),"")</f>
        <v>26.318187384052592</v>
      </c>
      <c r="Q271">
        <f>IFERROR('Дивиденды по годам'!G271/'Дивиденды по годам'!I271, "")</f>
        <v>0.84237736112128192</v>
      </c>
      <c r="R271">
        <f>IFERROR(IF(AND('Дивиденды по годам'!N271&lt;&gt;"",'Дивиденды по годам'!U271&lt;&gt;"",'Дивиденды по годам'!U271&lt;&gt;0),'Дивиденды по годам'!N271/'Дивиденды по годам'!U271-1,""),"")</f>
        <v>-3.1242097517528489E-2</v>
      </c>
      <c r="S271" t="str">
        <f>IFERROR(IF(AND('Дивиденды по годам'!L271&lt;&gt;"",'Дивиденды по годам'!I271&lt;&gt;"",'Дивиденды по годам'!J271&lt;&gt;"",'Дивиденды по годам'!K271&lt;&gt;"",('Дивиденды по годам'!I271-'Дивиденды по годам'!J271-'Дивиденды по годам'!K271)&lt;&gt;0),'Дивиденды по годам'!L271/('Дивиденды по годам'!I271-'Дивиденды по годам'!J271-'Дивиденды по годам'!K271),""),"")</f>
        <v/>
      </c>
      <c r="T271">
        <f>IFERROR(IF(AND('Дивиденды по годам'!Q271&lt;&gt;"",'Дивиденды по годам'!I271&lt;&gt;"",'Дивиденды по годам'!V271&lt;&gt;"",('Дивиденды по годам'!I271+'Дивиденды по годам'!V271)&lt;&gt;0),'Дивиденды по годам'!Q271/(('Дивиденды по годам'!I271+'Дивиденды по годам'!V271)/2),""),"")</f>
        <v>7.3078762939115263E-2</v>
      </c>
      <c r="U271">
        <f>IFERROR(IF(AND('Дивиденды по годам'!J271&lt;&gt;"",'Дивиденды по годам'!K271&lt;&gt;"",'Дивиденды по годам'!M271&lt;&gt;"",'Дивиденды по годам'!M271&lt;&gt;0),('Дивиденды по годам'!J271+'Дивиденды по годам'!K271)/'Дивиденды по годам'!M271,""),"")</f>
        <v>0.91370683648656381</v>
      </c>
      <c r="V271">
        <f>IFERROR(IF(AND('Дивиденды по годам'!J271&lt;&gt;"",'Дивиденды по годам'!K271&lt;&gt;"",'Дивиденды по годам'!M271&lt;&gt;"",'Дивиденды по годам'!I271&lt;&gt;0),('Дивиденды по годам'!J271+'Дивиденды по годам'!K271)/'Дивиденды по годам'!I271,""),"")</f>
        <v>0.47745392296558214</v>
      </c>
      <c r="W271">
        <f>IFERROR('Дивиденды по годам'!I271,"")</f>
        <v>269056541000</v>
      </c>
      <c r="X271" cm="1">
        <f t="array" ref="X271">IFERROR(AVERAGE(_xlfn._xlws.FILTER(P$2:P$1073,($C$2:$C$1073=$C271)*($E$2:$E$1073=$E271)*(ROW(P$2:P$1073)&lt;&gt;ROW(P271))*(P$2:P$1073&lt;&gt;""))),"")</f>
        <v>26.083057394899107</v>
      </c>
      <c r="Y271" cm="1">
        <f t="array" ref="Y271">IFERROR(AVERAGE(_xlfn._xlws.FILTER(Q$2:Q$1073,($C$2:$C$1073=$C271)*($E$2:$E$1073=$E271)*(ROW(Q$2:Q$1073)&lt;&gt;ROW(Q271))*(Q$2:Q$1073&lt;&gt;""))),"")</f>
        <v>0.77123958326934683</v>
      </c>
      <c r="Z271" cm="1">
        <f t="array" ref="Z271">IFERROR(AVERAGE(_xlfn._xlws.FILTER(R$2:R$1073,($C$2:$C$1073=$C271)*($E$2:$E$1073=$E271)*(ROW(R$2:R$1073)&lt;&gt;ROW(R271))*(R$2:R$1073&lt;&gt;""))),"")</f>
        <v>-1.4148613559167226E-2</v>
      </c>
      <c r="AA271" cm="1">
        <f t="array" ref="AA271">IFERROR(AVERAGE(_xlfn._xlws.FILTER(S$2:S$1073,($C$2:$C$1073=$C271)*($E$2:$E$1073=$E271)*(ROW(S$2:S$1073)&lt;&gt;ROW(S271))*(S$2:S$1073&lt;&gt;""))),"")</f>
        <v>0.44715527647269881</v>
      </c>
      <c r="AB271" cm="1">
        <f t="array" ref="AB271">IFERROR(AVERAGE(_xlfn._xlws.FILTER(T$2:T$1073,($C$2:$C$1073=$C271)*($E$2:$E$1073=$E271)*(ROW(T$2:T$1073)&lt;&gt;ROW(T271))*(T$2:T$1073&lt;&gt;""))),"")</f>
        <v>1.2808674102517719E-2</v>
      </c>
      <c r="AC271" cm="1">
        <f t="array" ref="AC271">IFERROR(AVERAGE(_xlfn._xlws.FILTER(U$2:U$1073,($C$2:$C$1073=$C271)*($E$2:$E$1073=$E271)*(ROW(U$2:U$1073)&lt;&gt;ROW(U271))*(U$2:U$1073&lt;&gt;""))),"")</f>
        <v>0.62510898362505674</v>
      </c>
      <c r="AD271" cm="1">
        <f t="array" ref="AD271">IFERROR(AVERAGE(_xlfn._xlws.FILTER(V$2:V$1073,($C$2:$C$1073=$C271)*($E$2:$E$1073=$E271)*(ROW(V$2:V$1073)&lt;&gt;ROW(V271))*(V$2:V$1073&lt;&gt;""))),"")</f>
        <v>0.3682718458514086</v>
      </c>
      <c r="AE271">
        <f>IF('Дивиденды по годам'!M271&lt;0,1,0)</f>
        <v>0</v>
      </c>
    </row>
    <row r="272" spans="1:31" x14ac:dyDescent="0.2">
      <c r="A272" s="7" t="s">
        <v>2210</v>
      </c>
      <c r="B272" t="str">
        <f t="shared" si="44"/>
        <v>MSRS IV кв. 2011</v>
      </c>
      <c r="C272">
        <v>2011</v>
      </c>
      <c r="D272">
        <f>SUMIFS(Дивиденды!$C:$C,Дивиденды!$A:$A,A272,Дивиденды!$I:$I,C272)</f>
        <v>2.5000000000000001E-2</v>
      </c>
      <c r="E272">
        <v>2</v>
      </c>
      <c r="F272">
        <f t="shared" si="45"/>
        <v>2.5000000000000001E-2</v>
      </c>
      <c r="G272">
        <f t="shared" si="46"/>
        <v>9.4634166666666669E-3</v>
      </c>
      <c r="H272">
        <f t="shared" si="47"/>
        <v>1</v>
      </c>
      <c r="I272">
        <f t="shared" si="48"/>
        <v>0.75</v>
      </c>
      <c r="J272">
        <f t="shared" si="49"/>
        <v>1.626016260162606E-2</v>
      </c>
      <c r="K272">
        <f t="shared" si="54"/>
        <v>4.9415236385991899E-2</v>
      </c>
      <c r="L272">
        <f t="shared" si="50"/>
        <v>1</v>
      </c>
      <c r="M272">
        <f t="shared" si="51"/>
        <v>0.41666666666666669</v>
      </c>
      <c r="N272">
        <f t="shared" si="52"/>
        <v>0</v>
      </c>
      <c r="O272">
        <f t="shared" si="53"/>
        <v>0.41666666666666669</v>
      </c>
      <c r="P272">
        <f>IFERROR(LN('Дивиденды по годам'!I272),"")</f>
        <v>26.242960419756972</v>
      </c>
      <c r="Q272">
        <f>IFERROR('Дивиденды по годам'!G272/'Дивиденды по годам'!I272, "")</f>
        <v>0.82439182290365665</v>
      </c>
      <c r="R272" t="str">
        <f>IFERROR(IF(AND('Дивиденды по годам'!N272&lt;&gt;"",'Дивиденды по годам'!U272&lt;&gt;"",'Дивиденды по годам'!U272&lt;&gt;0),'Дивиденды по годам'!N272/'Дивиденды по годам'!U272-1,""),"")</f>
        <v/>
      </c>
      <c r="S272" t="str">
        <f>IFERROR(IF(AND('Дивиденды по годам'!L272&lt;&gt;"",'Дивиденды по годам'!I272&lt;&gt;"",'Дивиденды по годам'!J272&lt;&gt;"",'Дивиденды по годам'!K272&lt;&gt;"",('Дивиденды по годам'!I272-'Дивиденды по годам'!J272-'Дивиденды по годам'!K272)&lt;&gt;0),'Дивиденды по годам'!L272/('Дивиденды по годам'!I272-'Дивиденды по годам'!J272-'Дивиденды по годам'!K272),""),"")</f>
        <v/>
      </c>
      <c r="T272" t="str">
        <f>IFERROR(IF(AND('Дивиденды по годам'!Q272&lt;&gt;"",'Дивиденды по годам'!I272&lt;&gt;"",'Дивиденды по годам'!V272&lt;&gt;"",('Дивиденды по годам'!I272+'Дивиденды по годам'!V272)&lt;&gt;0),'Дивиденды по годам'!Q272/(('Дивиденды по годам'!I272+'Дивиденды по годам'!V272)/2),""),"")</f>
        <v/>
      </c>
      <c r="U272">
        <f>IFERROR(IF(AND('Дивиденды по годам'!J272&lt;&gt;"",'Дивиденды по годам'!K272&lt;&gt;"",'Дивиденды по годам'!M272&lt;&gt;"",'Дивиденды по годам'!M272&lt;&gt;0),('Дивиденды по годам'!J272+'Дивиденды по годам'!K272)/'Дивиденды по годам'!M272,""),"")</f>
        <v>1.0303656482618109</v>
      </c>
      <c r="V272">
        <f>IFERROR(IF(AND('Дивиденды по годам'!J272&lt;&gt;"",'Дивиденды по годам'!K272&lt;&gt;"",'Дивиденды по годам'!M272&lt;&gt;"",'Дивиденды по годам'!I272&lt;&gt;0),('Дивиденды по годам'!J272+'Дивиденды по годам'!K272)/'Дивиденды по годам'!I272,""),"")</f>
        <v>0.50747787677746781</v>
      </c>
      <c r="W272">
        <f>IFERROR('Дивиденды по годам'!I272,"")</f>
        <v>249558806000</v>
      </c>
      <c r="X272" cm="1">
        <f t="array" ref="X272">IFERROR(AVERAGE(_xlfn._xlws.FILTER(P$2:P$1073,($C$2:$C$1073=$C272)*($E$2:$E$1073=$E272)*(ROW(P$2:P$1073)&lt;&gt;ROW(P272))*(P$2:P$1073&lt;&gt;""))),"")</f>
        <v>26.134125822806212</v>
      </c>
      <c r="Y272" cm="1">
        <f t="array" ref="Y272">IFERROR(AVERAGE(_xlfn._xlws.FILTER(Q$2:Q$1073,($C$2:$C$1073=$C272)*($E$2:$E$1073=$E272)*(ROW(Q$2:Q$1073)&lt;&gt;ROW(Q272))*(Q$2:Q$1073&lt;&gt;""))),"")</f>
        <v>0.76022840394621782</v>
      </c>
      <c r="Z272" cm="1">
        <f t="array" ref="Z272">IFERROR(AVERAGE(_xlfn._xlws.FILTER(R$2:R$1073,($C$2:$C$1073=$C272)*($E$2:$E$1073=$E272)*(ROW(R$2:R$1073)&lt;&gt;ROW(R272))*(R$2:R$1073&lt;&gt;""))),"")</f>
        <v>0.14348983045887875</v>
      </c>
      <c r="AA272" cm="1">
        <f t="array" ref="AA272">IFERROR(AVERAGE(_xlfn._xlws.FILTER(S$2:S$1073,($C$2:$C$1073=$C272)*($E$2:$E$1073=$E272)*(ROW(S$2:S$1073)&lt;&gt;ROW(S272))*(S$2:S$1073&lt;&gt;""))),"")</f>
        <v>0.39850050246333968</v>
      </c>
      <c r="AB272" cm="1">
        <f t="array" ref="AB272">IFERROR(AVERAGE(_xlfn._xlws.FILTER(T$2:T$1073,($C$2:$C$1073=$C272)*($E$2:$E$1073=$E272)*(ROW(T$2:T$1073)&lt;&gt;ROW(T272))*(T$2:T$1073&lt;&gt;""))),"")</f>
        <v>4.5214358774442007E-2</v>
      </c>
      <c r="AC272" cm="1">
        <f t="array" ref="AC272">IFERROR(AVERAGE(_xlfn._xlws.FILTER(U$2:U$1073,($C$2:$C$1073=$C272)*($E$2:$E$1073=$E272)*(ROW(U$2:U$1073)&lt;&gt;ROW(U272))*(U$2:U$1073&lt;&gt;""))),"")</f>
        <v>0.54629894621935027</v>
      </c>
      <c r="AD272" cm="1">
        <f t="array" ref="AD272">IFERROR(AVERAGE(_xlfn._xlws.FILTER(V$2:V$1073,($C$2:$C$1073=$C272)*($E$2:$E$1073=$E272)*(ROW(V$2:V$1073)&lt;&gt;ROW(V272))*(V$2:V$1073&lt;&gt;""))),"")</f>
        <v>0.34174950019240896</v>
      </c>
      <c r="AE272">
        <f>IF('Дивиденды по годам'!M272&lt;0,1,0)</f>
        <v>0</v>
      </c>
    </row>
    <row r="273" spans="1:31" x14ac:dyDescent="0.2">
      <c r="A273" s="7" t="s">
        <v>2210</v>
      </c>
      <c r="B273" t="str">
        <f t="shared" si="44"/>
        <v>MSRS IV кв. 2010</v>
      </c>
      <c r="C273">
        <v>2010</v>
      </c>
      <c r="D273">
        <f>SUMIFS(Дивиденды!$C:$C,Дивиденды!$A:$A,A273,Дивиденды!$I:$I,C273)</f>
        <v>2.46E-2</v>
      </c>
      <c r="E273">
        <v>2</v>
      </c>
      <c r="F273">
        <f t="shared" si="45"/>
        <v>2.46E-2</v>
      </c>
      <c r="G273">
        <f t="shared" si="46"/>
        <v>4.511833333333333E-3</v>
      </c>
      <c r="H273">
        <f t="shared" si="47"/>
        <v>1</v>
      </c>
      <c r="I273">
        <f t="shared" si="48"/>
        <v>0.75</v>
      </c>
      <c r="J273" t="str">
        <f t="shared" si="49"/>
        <v/>
      </c>
      <c r="K273" t="str">
        <f t="shared" si="54"/>
        <v/>
      </c>
      <c r="L273" t="str">
        <f t="shared" si="50"/>
        <v/>
      </c>
      <c r="M273" t="str">
        <f t="shared" si="51"/>
        <v/>
      </c>
      <c r="N273" t="str">
        <f t="shared" si="52"/>
        <v/>
      </c>
      <c r="O273" t="str">
        <f t="shared" si="53"/>
        <v/>
      </c>
      <c r="P273" t="str">
        <f>IFERROR(LN('Дивиденды по годам'!I273),"")</f>
        <v/>
      </c>
      <c r="Q273" t="str">
        <f>IFERROR('Дивиденды по годам'!G273/'Дивиденды по годам'!I273, "")</f>
        <v/>
      </c>
      <c r="R273" t="str">
        <f>IFERROR(IF(AND('Дивиденды по годам'!N273&lt;&gt;"",'Дивиденды по годам'!U273&lt;&gt;"",'Дивиденды по годам'!U273&lt;&gt;0),'Дивиденды по годам'!N273/'Дивиденды по годам'!U273-1,""),"")</f>
        <v/>
      </c>
      <c r="S273" t="str">
        <f>IFERROR(IF(AND('Дивиденды по годам'!L273&lt;&gt;"",'Дивиденды по годам'!I273&lt;&gt;"",'Дивиденды по годам'!J273&lt;&gt;"",'Дивиденды по годам'!K273&lt;&gt;"",('Дивиденды по годам'!I273-'Дивиденды по годам'!J273-'Дивиденды по годам'!K273)&lt;&gt;0),'Дивиденды по годам'!L273/('Дивиденды по годам'!I273-'Дивиденды по годам'!J273-'Дивиденды по годам'!K273),""),"")</f>
        <v/>
      </c>
      <c r="T273" t="str">
        <f>IFERROR(IF(AND('Дивиденды по годам'!Q273&lt;&gt;"",'Дивиденды по годам'!I273&lt;&gt;"",'Дивиденды по годам'!V273&lt;&gt;"",('Дивиденды по годам'!I273+'Дивиденды по годам'!V273)&lt;&gt;0),'Дивиденды по годам'!Q273/(('Дивиденды по годам'!I273+'Дивиденды по годам'!V273)/2),""),"")</f>
        <v/>
      </c>
      <c r="U273" t="str">
        <f>IFERROR(IF(AND('Дивиденды по годам'!J273&lt;&gt;"",'Дивиденды по годам'!K273&lt;&gt;"",'Дивиденды по годам'!M273&lt;&gt;"",'Дивиденды по годам'!M273&lt;&gt;0),('Дивиденды по годам'!J273+'Дивиденды по годам'!K273)/'Дивиденды по годам'!M273,""),"")</f>
        <v/>
      </c>
      <c r="V273" t="str">
        <f>IFERROR(IF(AND('Дивиденды по годам'!J273&lt;&gt;"",'Дивиденды по годам'!K273&lt;&gt;"",'Дивиденды по годам'!M273&lt;&gt;"",'Дивиденды по годам'!I273&lt;&gt;0),('Дивиденды по годам'!J273+'Дивиденды по годам'!K273)/'Дивиденды по годам'!I273,""),"")</f>
        <v/>
      </c>
      <c r="W273" t="str">
        <f>IFERROR('Дивиденды по годам'!I273,"")</f>
        <v/>
      </c>
      <c r="X273" cm="1">
        <f t="array" ref="X273">IFERROR(AVERAGE(_xlfn._xlws.FILTER(P$2:P$1073,($C$2:$C$1073=$C273)*($E$2:$E$1073=$E273)*(ROW(P$2:P$1073)&lt;&gt;ROW(P273))*(P$2:P$1073&lt;&gt;""))),"")</f>
        <v>24.730948088520865</v>
      </c>
      <c r="Y273" cm="1">
        <f t="array" ref="Y273">IFERROR(AVERAGE(_xlfn._xlws.FILTER(Q$2:Q$1073,($C$2:$C$1073=$C273)*($E$2:$E$1073=$E273)*(ROW(Q$2:Q$1073)&lt;&gt;ROW(Q273))*(Q$2:Q$1073&lt;&gt;""))),"")</f>
        <v>0.82035195639515091</v>
      </c>
      <c r="Z273" t="str" cm="1">
        <f t="array" ref="Z273">IFERROR(AVERAGE(_xlfn._xlws.FILTER(R$2:R$1073,($C$2:$C$1073=$C273)*($E$2:$E$1073=$E273)*(ROW(R$2:R$1073)&lt;&gt;ROW(R273))*(R$2:R$1073&lt;&gt;""))),"")</f>
        <v/>
      </c>
      <c r="AA273" t="str" cm="1">
        <f t="array" ref="AA273">IFERROR(AVERAGE(_xlfn._xlws.FILTER(S$2:S$1073,($C$2:$C$1073=$C273)*($E$2:$E$1073=$E273)*(ROW(S$2:S$1073)&lt;&gt;ROW(S273))*(S$2:S$1073&lt;&gt;""))),"")</f>
        <v/>
      </c>
      <c r="AB273" t="str" cm="1">
        <f t="array" ref="AB273">IFERROR(AVERAGE(_xlfn._xlws.FILTER(T$2:T$1073,($C$2:$C$1073=$C273)*($E$2:$E$1073=$E273)*(ROW(T$2:T$1073)&lt;&gt;ROW(T273))*(T$2:T$1073&lt;&gt;""))),"")</f>
        <v/>
      </c>
      <c r="AC273" cm="1">
        <f t="array" ref="AC273">IFERROR(AVERAGE(_xlfn._xlws.FILTER(U$2:U$1073,($C$2:$C$1073=$C273)*($E$2:$E$1073=$E273)*(ROW(U$2:U$1073)&lt;&gt;ROW(U273))*(U$2:U$1073&lt;&gt;""))),"")</f>
        <v>0.91314375247969903</v>
      </c>
      <c r="AD273" cm="1">
        <f t="array" ref="AD273">IFERROR(AVERAGE(_xlfn._xlws.FILTER(V$2:V$1073,($C$2:$C$1073=$C273)*($E$2:$E$1073=$E273)*(ROW(V$2:V$1073)&lt;&gt;ROW(V273))*(V$2:V$1073&lt;&gt;""))),"")</f>
        <v>0.47730012514539921</v>
      </c>
      <c r="AE273">
        <f>IF('Дивиденды по годам'!M273&lt;0,1,0)</f>
        <v>0</v>
      </c>
    </row>
    <row r="274" spans="1:31" x14ac:dyDescent="0.2">
      <c r="A274" s="7" t="s">
        <v>2212</v>
      </c>
      <c r="B274" t="str">
        <f t="shared" si="44"/>
        <v>OGKB IV кв. 2025</v>
      </c>
      <c r="C274">
        <v>2025</v>
      </c>
      <c r="D274">
        <f>SUMIFS(Дивиденды!$C:$C,Дивиденды!$A:$A,A274,Дивиденды!$I:$I,C274)</f>
        <v>0</v>
      </c>
      <c r="E274">
        <v>2</v>
      </c>
      <c r="F274">
        <f t="shared" si="45"/>
        <v>0</v>
      </c>
      <c r="G274">
        <f t="shared" si="46"/>
        <v>0</v>
      </c>
      <c r="H274">
        <f t="shared" si="47"/>
        <v>0</v>
      </c>
      <c r="I274">
        <f t="shared" si="48"/>
        <v>0</v>
      </c>
      <c r="J274">
        <f t="shared" si="49"/>
        <v>-1</v>
      </c>
      <c r="K274">
        <f t="shared" si="54"/>
        <v>-0.5</v>
      </c>
      <c r="L274">
        <f t="shared" si="50"/>
        <v>0</v>
      </c>
      <c r="M274">
        <f t="shared" si="51"/>
        <v>0</v>
      </c>
      <c r="N274">
        <f t="shared" si="52"/>
        <v>1</v>
      </c>
      <c r="O274">
        <f t="shared" si="53"/>
        <v>0.5</v>
      </c>
      <c r="P274" t="str">
        <f>IFERROR(LN('Дивиденды по годам'!I274),"")</f>
        <v/>
      </c>
      <c r="Q274" t="str">
        <f>IFERROR('Дивиденды по годам'!G274/'Дивиденды по годам'!I274, "")</f>
        <v/>
      </c>
      <c r="R274" t="str">
        <f>IFERROR(IF(AND('Дивиденды по годам'!N274&lt;&gt;"",'Дивиденды по годам'!U274&lt;&gt;"",'Дивиденды по годам'!U274&lt;&gt;0),'Дивиденды по годам'!N274/'Дивиденды по годам'!U274-1,""),"")</f>
        <v/>
      </c>
      <c r="S274" t="str">
        <f>IFERROR(IF(AND('Дивиденды по годам'!L274&lt;&gt;"",'Дивиденды по годам'!I274&lt;&gt;"",'Дивиденды по годам'!J274&lt;&gt;"",'Дивиденды по годам'!K274&lt;&gt;"",('Дивиденды по годам'!I274-'Дивиденды по годам'!J274-'Дивиденды по годам'!K274)&lt;&gt;0),'Дивиденды по годам'!L274/('Дивиденды по годам'!I274-'Дивиденды по годам'!J274-'Дивиденды по годам'!K274),""),"")</f>
        <v/>
      </c>
      <c r="T274" t="str">
        <f>IFERROR(IF(AND('Дивиденды по годам'!Q274&lt;&gt;"",'Дивиденды по годам'!I274&lt;&gt;"",'Дивиденды по годам'!V274&lt;&gt;"",('Дивиденды по годам'!I274+'Дивиденды по годам'!V274)&lt;&gt;0),'Дивиденды по годам'!Q274/(('Дивиденды по годам'!I274+'Дивиденды по годам'!V274)/2),""),"")</f>
        <v/>
      </c>
      <c r="U274" t="str">
        <f>IFERROR(IF(AND('Дивиденды по годам'!J274&lt;&gt;"",'Дивиденды по годам'!K274&lt;&gt;"",'Дивиденды по годам'!M274&lt;&gt;"",'Дивиденды по годам'!M274&lt;&gt;0),('Дивиденды по годам'!J274+'Дивиденды по годам'!K274)/'Дивиденды по годам'!M274,""),"")</f>
        <v/>
      </c>
      <c r="V274" t="str">
        <f>IFERROR(IF(AND('Дивиденды по годам'!J274&lt;&gt;"",'Дивиденды по годам'!K274&lt;&gt;"",'Дивиденды по годам'!M274&lt;&gt;"",'Дивиденды по годам'!I274&lt;&gt;0),('Дивиденды по годам'!J274+'Дивиденды по годам'!K274)/'Дивиденды по годам'!I274,""),"")</f>
        <v/>
      </c>
      <c r="W274" t="str">
        <f>IFERROR('Дивиденды по годам'!I274,"")</f>
        <v/>
      </c>
      <c r="X274" cm="1">
        <f t="array" ref="X274">IFERROR(AVERAGE(_xlfn._xlws.FILTER(P$2:P$1073,($C$2:$C$1073=$C274)*($E$2:$E$1073=$E274)*(ROW(P$2:P$1073)&lt;&gt;ROW(P274))*(P$2:P$1073&lt;&gt;""))),"")</f>
        <v>26.57991857918098</v>
      </c>
      <c r="Y274" cm="1">
        <f t="array" ref="Y274">IFERROR(AVERAGE(_xlfn._xlws.FILTER(Q$2:Q$1073,($C$2:$C$1073=$C274)*($E$2:$E$1073=$E274)*(ROW(Q$2:Q$1073)&lt;&gt;ROW(Q274))*(Q$2:Q$1073&lt;&gt;""))),"")</f>
        <v>0.67759713674348565</v>
      </c>
      <c r="Z274" cm="1">
        <f t="array" ref="Z274">IFERROR(AVERAGE(_xlfn._xlws.FILTER(R$2:R$1073,($C$2:$C$1073=$C274)*($E$2:$E$1073=$E274)*(ROW(R$2:R$1073)&lt;&gt;ROW(R274))*(R$2:R$1073&lt;&gt;""))),"")</f>
        <v>0.17662623265859428</v>
      </c>
      <c r="AA274" cm="1">
        <f t="array" ref="AA274">IFERROR(AVERAGE(_xlfn._xlws.FILTER(S$2:S$1073,($C$2:$C$1073=$C274)*($E$2:$E$1073=$E274)*(ROW(S$2:S$1073)&lt;&gt;ROW(S274))*(S$2:S$1073&lt;&gt;""))),"")</f>
        <v>0.75614685785818758</v>
      </c>
      <c r="AB274" cm="1">
        <f t="array" ref="AB274">IFERROR(AVERAGE(_xlfn._xlws.FILTER(T$2:T$1073,($C$2:$C$1073=$C274)*($E$2:$E$1073=$E274)*(ROW(T$2:T$1073)&lt;&gt;ROW(T274))*(T$2:T$1073&lt;&gt;""))),"")</f>
        <v>0.10306085485751774</v>
      </c>
      <c r="AC274" cm="1">
        <f t="array" ref="AC274">IFERROR(AVERAGE(_xlfn._xlws.FILTER(U$2:U$1073,($C$2:$C$1073=$C274)*($E$2:$E$1073=$E274)*(ROW(U$2:U$1073)&lt;&gt;ROW(U274))*(U$2:U$1073&lt;&gt;""))),"")</f>
        <v>0.88935141782994176</v>
      </c>
      <c r="AD274" cm="1">
        <f t="array" ref="AD274">IFERROR(AVERAGE(_xlfn._xlws.FILTER(V$2:V$1073,($C$2:$C$1073=$C274)*($E$2:$E$1073=$E274)*(ROW(V$2:V$1073)&lt;&gt;ROW(V274))*(V$2:V$1073&lt;&gt;""))),"")</f>
        <v>0.43128750803252092</v>
      </c>
      <c r="AE274">
        <f>IF('Дивиденды по годам'!M274&lt;0,1,0)</f>
        <v>0</v>
      </c>
    </row>
    <row r="275" spans="1:31" x14ac:dyDescent="0.2">
      <c r="A275" s="7" t="s">
        <v>2212</v>
      </c>
      <c r="B275" t="str">
        <f t="shared" si="44"/>
        <v>OGKB IV кв. 2024</v>
      </c>
      <c r="C275">
        <v>2024</v>
      </c>
      <c r="D275">
        <f>SUMIFS(Дивиденды!$C:$C,Дивиденды!$A:$A,A275,Дивиденды!$I:$I,C275)</f>
        <v>5.9799999999999999E-2</v>
      </c>
      <c r="E275">
        <v>2</v>
      </c>
      <c r="F275">
        <f t="shared" si="45"/>
        <v>5.9799999999999999E-2</v>
      </c>
      <c r="G275">
        <f t="shared" si="46"/>
        <v>5.8416666666666665E-2</v>
      </c>
      <c r="H275">
        <f t="shared" si="47"/>
        <v>1</v>
      </c>
      <c r="I275">
        <f t="shared" si="48"/>
        <v>0.5</v>
      </c>
      <c r="J275">
        <f t="shared" si="49"/>
        <v>1</v>
      </c>
      <c r="K275">
        <f t="shared" si="54"/>
        <v>2.8273201096708223E-3</v>
      </c>
      <c r="L275">
        <f t="shared" si="50"/>
        <v>1</v>
      </c>
      <c r="M275">
        <f t="shared" si="51"/>
        <v>0.5</v>
      </c>
      <c r="N275">
        <f t="shared" si="52"/>
        <v>0</v>
      </c>
      <c r="O275">
        <f t="shared" si="53"/>
        <v>8.3333333333333329E-2</v>
      </c>
      <c r="P275" t="str">
        <f>IFERROR(LN('Дивиденды по годам'!I275),"")</f>
        <v/>
      </c>
      <c r="Q275" t="str">
        <f>IFERROR('Дивиденды по годам'!G275/'Дивиденды по годам'!I275, "")</f>
        <v/>
      </c>
      <c r="R275" t="str">
        <f>IFERROR(IF(AND('Дивиденды по годам'!N275&lt;&gt;"",'Дивиденды по годам'!U275&lt;&gt;"",'Дивиденды по годам'!U275&lt;&gt;0),'Дивиденды по годам'!N275/'Дивиденды по годам'!U275-1,""),"")</f>
        <v/>
      </c>
      <c r="S275" t="str">
        <f>IFERROR(IF(AND('Дивиденды по годам'!L275&lt;&gt;"",'Дивиденды по годам'!I275&lt;&gt;"",'Дивиденды по годам'!J275&lt;&gt;"",'Дивиденды по годам'!K275&lt;&gt;"",('Дивиденды по годам'!I275-'Дивиденды по годам'!J275-'Дивиденды по годам'!K275)&lt;&gt;0),'Дивиденды по годам'!L275/('Дивиденды по годам'!I275-'Дивиденды по годам'!J275-'Дивиденды по годам'!K275),""),"")</f>
        <v/>
      </c>
      <c r="T275" t="str">
        <f>IFERROR(IF(AND('Дивиденды по годам'!Q275&lt;&gt;"",'Дивиденды по годам'!I275&lt;&gt;"",'Дивиденды по годам'!V275&lt;&gt;"",('Дивиденды по годам'!I275+'Дивиденды по годам'!V275)&lt;&gt;0),'Дивиденды по годам'!Q275/(('Дивиденды по годам'!I275+'Дивиденды по годам'!V275)/2),""),"")</f>
        <v/>
      </c>
      <c r="U275" t="str">
        <f>IFERROR(IF(AND('Дивиденды по годам'!J275&lt;&gt;"",'Дивиденды по годам'!K275&lt;&gt;"",'Дивиденды по годам'!M275&lt;&gt;"",'Дивиденды по годам'!M275&lt;&gt;0),('Дивиденды по годам'!J275+'Дивиденды по годам'!K275)/'Дивиденды по годам'!M275,""),"")</f>
        <v/>
      </c>
      <c r="V275" t="str">
        <f>IFERROR(IF(AND('Дивиденды по годам'!J275&lt;&gt;"",'Дивиденды по годам'!K275&lt;&gt;"",'Дивиденды по годам'!M275&lt;&gt;"",'Дивиденды по годам'!I275&lt;&gt;0),('Дивиденды по годам'!J275+'Дивиденды по годам'!K275)/'Дивиденды по годам'!I275,""),"")</f>
        <v/>
      </c>
      <c r="W275" t="str">
        <f>IFERROR('Дивиденды по годам'!I275,"")</f>
        <v/>
      </c>
      <c r="X275" cm="1">
        <f t="array" ref="X275">IFERROR(AVERAGE(_xlfn._xlws.FILTER(P$2:P$1073,($C$2:$C$1073=$C275)*($E$2:$E$1073=$E275)*(ROW(P$2:P$1073)&lt;&gt;ROW(P275))*(P$2:P$1073&lt;&gt;""))),"")</f>
        <v>26.53052036495767</v>
      </c>
      <c r="Y275" cm="1">
        <f t="array" ref="Y275">IFERROR(AVERAGE(_xlfn._xlws.FILTER(Q$2:Q$1073,($C$2:$C$1073=$C275)*($E$2:$E$1073=$E275)*(ROW(Q$2:Q$1073)&lt;&gt;ROW(Q275))*(Q$2:Q$1073&lt;&gt;""))),"")</f>
        <v>0.68897542618517627</v>
      </c>
      <c r="Z275" cm="1">
        <f t="array" ref="Z275">IFERROR(AVERAGE(_xlfn._xlws.FILTER(R$2:R$1073,($C$2:$C$1073=$C275)*($E$2:$E$1073=$E275)*(ROW(R$2:R$1073)&lt;&gt;ROW(R275))*(R$2:R$1073&lt;&gt;""))),"")</f>
        <v>9.9336521219665186E-2</v>
      </c>
      <c r="AA275" cm="1">
        <f t="array" ref="AA275">IFERROR(AVERAGE(_xlfn._xlws.FILTER(S$2:S$1073,($C$2:$C$1073=$C275)*($E$2:$E$1073=$E275)*(ROW(S$2:S$1073)&lt;&gt;ROW(S275))*(S$2:S$1073&lt;&gt;""))),"")</f>
        <v>0.56302208811184973</v>
      </c>
      <c r="AB275" cm="1">
        <f t="array" ref="AB275">IFERROR(AVERAGE(_xlfn._xlws.FILTER(T$2:T$1073,($C$2:$C$1073=$C275)*($E$2:$E$1073=$E275)*(ROW(T$2:T$1073)&lt;&gt;ROW(T275))*(T$2:T$1073&lt;&gt;""))),"")</f>
        <v>5.7319411109732842E-2</v>
      </c>
      <c r="AC275" cm="1">
        <f t="array" ref="AC275">IFERROR(AVERAGE(_xlfn._xlws.FILTER(U$2:U$1073,($C$2:$C$1073=$C275)*($E$2:$E$1073=$E275)*(ROW(U$2:U$1073)&lt;&gt;ROW(U275))*(U$2:U$1073&lt;&gt;""))),"")</f>
        <v>0.93200166477437119</v>
      </c>
      <c r="AD275" cm="1">
        <f t="array" ref="AD275">IFERROR(AVERAGE(_xlfn._xlws.FILTER(V$2:V$1073,($C$2:$C$1073=$C275)*($E$2:$E$1073=$E275)*(ROW(V$2:V$1073)&lt;&gt;ROW(V275))*(V$2:V$1073&lt;&gt;""))),"")</f>
        <v>0.45156882650127617</v>
      </c>
      <c r="AE275">
        <f>IF('Дивиденды по годам'!M275&lt;0,1,0)</f>
        <v>0</v>
      </c>
    </row>
    <row r="276" spans="1:31" x14ac:dyDescent="0.2">
      <c r="A276" s="7" t="s">
        <v>2212</v>
      </c>
      <c r="B276" t="str">
        <f t="shared" si="44"/>
        <v>OGKB IV кв. 2023</v>
      </c>
      <c r="C276">
        <v>2023</v>
      </c>
      <c r="D276">
        <f>SUMIFS(Дивиденды!$C:$C,Дивиденды!$A:$A,A276,Дивиденды!$I:$I,C276)</f>
        <v>0</v>
      </c>
      <c r="E276">
        <v>2</v>
      </c>
      <c r="F276">
        <f t="shared" si="45"/>
        <v>0</v>
      </c>
      <c r="G276">
        <f t="shared" si="46"/>
        <v>6.6299999999999998E-2</v>
      </c>
      <c r="H276">
        <f t="shared" si="47"/>
        <v>0</v>
      </c>
      <c r="I276">
        <f t="shared" si="48"/>
        <v>0.58333333333333337</v>
      </c>
      <c r="J276">
        <f t="shared" si="49"/>
        <v>-1</v>
      </c>
      <c r="K276">
        <f t="shared" si="54"/>
        <v>0.20036657596898766</v>
      </c>
      <c r="L276">
        <f t="shared" si="50"/>
        <v>0</v>
      </c>
      <c r="M276">
        <f t="shared" si="51"/>
        <v>0.5</v>
      </c>
      <c r="N276">
        <f t="shared" si="52"/>
        <v>1</v>
      </c>
      <c r="O276">
        <f t="shared" si="53"/>
        <v>0.16666666666666666</v>
      </c>
      <c r="P276" t="str">
        <f>IFERROR(LN('Дивиденды по годам'!I276),"")</f>
        <v/>
      </c>
      <c r="Q276" t="str">
        <f>IFERROR('Дивиденды по годам'!G276/'Дивиденды по годам'!I276, "")</f>
        <v/>
      </c>
      <c r="R276" t="str">
        <f>IFERROR(IF(AND('Дивиденды по годам'!N276&lt;&gt;"",'Дивиденды по годам'!U276&lt;&gt;"",'Дивиденды по годам'!U276&lt;&gt;0),'Дивиденды по годам'!N276/'Дивиденды по годам'!U276-1,""),"")</f>
        <v/>
      </c>
      <c r="S276" t="str">
        <f>IFERROR(IF(AND('Дивиденды по годам'!L276&lt;&gt;"",'Дивиденды по годам'!I276&lt;&gt;"",'Дивиденды по годам'!J276&lt;&gt;"",'Дивиденды по годам'!K276&lt;&gt;"",('Дивиденды по годам'!I276-'Дивиденды по годам'!J276-'Дивиденды по годам'!K276)&lt;&gt;0),'Дивиденды по годам'!L276/('Дивиденды по годам'!I276-'Дивиденды по годам'!J276-'Дивиденды по годам'!K276),""),"")</f>
        <v/>
      </c>
      <c r="T276" t="str">
        <f>IFERROR(IF(AND('Дивиденды по годам'!Q276&lt;&gt;"",'Дивиденды по годам'!I276&lt;&gt;"",'Дивиденды по годам'!V276&lt;&gt;"",('Дивиденды по годам'!I276+'Дивиденды по годам'!V276)&lt;&gt;0),'Дивиденды по годам'!Q276/(('Дивиденды по годам'!I276+'Дивиденды по годам'!V276)/2),""),"")</f>
        <v/>
      </c>
      <c r="U276" t="str">
        <f>IFERROR(IF(AND('Дивиденды по годам'!J276&lt;&gt;"",'Дивиденды по годам'!K276&lt;&gt;"",'Дивиденды по годам'!M276&lt;&gt;"",'Дивиденды по годам'!M276&lt;&gt;0),('Дивиденды по годам'!J276+'Дивиденды по годам'!K276)/'Дивиденды по годам'!M276,""),"")</f>
        <v/>
      </c>
      <c r="V276" t="str">
        <f>IFERROR(IF(AND('Дивиденды по годам'!J276&lt;&gt;"",'Дивиденды по годам'!K276&lt;&gt;"",'Дивиденды по годам'!M276&lt;&gt;"",'Дивиденды по годам'!I276&lt;&gt;0),('Дивиденды по годам'!J276+'Дивиденды по годам'!K276)/'Дивиденды по годам'!I276,""),"")</f>
        <v/>
      </c>
      <c r="W276" t="str">
        <f>IFERROR('Дивиденды по годам'!I276,"")</f>
        <v/>
      </c>
      <c r="X276" cm="1">
        <f t="array" ref="X276">IFERROR(AVERAGE(_xlfn._xlws.FILTER(P$2:P$1073,($C$2:$C$1073=$C276)*($E$2:$E$1073=$E276)*(ROW(P$2:P$1073)&lt;&gt;ROW(P276))*(P$2:P$1073&lt;&gt;""))),"")</f>
        <v>26.412844757916616</v>
      </c>
      <c r="Y276" cm="1">
        <f t="array" ref="Y276">IFERROR(AVERAGE(_xlfn._xlws.FILTER(Q$2:Q$1073,($C$2:$C$1073=$C276)*($E$2:$E$1073=$E276)*(ROW(Q$2:Q$1073)&lt;&gt;ROW(Q276))*(Q$2:Q$1073&lt;&gt;""))),"")</f>
        <v>0.70895600705014628</v>
      </c>
      <c r="Z276" cm="1">
        <f t="array" ref="Z276">IFERROR(AVERAGE(_xlfn._xlws.FILTER(R$2:R$1073,($C$2:$C$1073=$C276)*($E$2:$E$1073=$E276)*(ROW(R$2:R$1073)&lt;&gt;ROW(R276))*(R$2:R$1073&lt;&gt;""))),"")</f>
        <v>0.13982106199642538</v>
      </c>
      <c r="AA276" cm="1">
        <f t="array" ref="AA276">IFERROR(AVERAGE(_xlfn._xlws.FILTER(S$2:S$1073,($C$2:$C$1073=$C276)*($E$2:$E$1073=$E276)*(ROW(S$2:S$1073)&lt;&gt;ROW(S276))*(S$2:S$1073&lt;&gt;""))),"")</f>
        <v>0.54058275260231825</v>
      </c>
      <c r="AB276" cm="1">
        <f t="array" ref="AB276">IFERROR(AVERAGE(_xlfn._xlws.FILTER(T$2:T$1073,($C$2:$C$1073=$C276)*($E$2:$E$1073=$E276)*(ROW(T$2:T$1073)&lt;&gt;ROW(T276))*(T$2:T$1073&lt;&gt;""))),"")</f>
        <v>7.5826325918363136E-2</v>
      </c>
      <c r="AC276" cm="1">
        <f t="array" ref="AC276">IFERROR(AVERAGE(_xlfn._xlws.FILTER(U$2:U$1073,($C$2:$C$1073=$C276)*($E$2:$E$1073=$E276)*(ROW(U$2:U$1073)&lt;&gt;ROW(U276))*(U$2:U$1073&lt;&gt;""))),"")</f>
        <v>0.82391328105138761</v>
      </c>
      <c r="AD276" cm="1">
        <f t="array" ref="AD276">IFERROR(AVERAGE(_xlfn._xlws.FILTER(V$2:V$1073,($C$2:$C$1073=$C276)*($E$2:$E$1073=$E276)*(ROW(V$2:V$1073)&lt;&gt;ROW(V276))*(V$2:V$1073&lt;&gt;""))),"")</f>
        <v>0.42475932480936313</v>
      </c>
      <c r="AE276">
        <f>IF('Дивиденды по годам'!M276&lt;0,1,0)</f>
        <v>0</v>
      </c>
    </row>
    <row r="277" spans="1:31" x14ac:dyDescent="0.2">
      <c r="A277" s="7" t="s">
        <v>2212</v>
      </c>
      <c r="B277" t="str">
        <f t="shared" si="44"/>
        <v>OGKB IV кв. 2022</v>
      </c>
      <c r="C277">
        <v>2022</v>
      </c>
      <c r="D277">
        <f>SUMIFS(Дивиденды!$C:$C,Дивиденды!$A:$A,A277,Дивиденды!$I:$I,C277)</f>
        <v>5.8099999999999999E-2</v>
      </c>
      <c r="E277">
        <v>2</v>
      </c>
      <c r="F277">
        <f t="shared" si="45"/>
        <v>5.8099999999999999E-2</v>
      </c>
      <c r="G277">
        <f t="shared" si="46"/>
        <v>5.9889999999999999E-2</v>
      </c>
      <c r="H277">
        <f t="shared" si="47"/>
        <v>1</v>
      </c>
      <c r="I277">
        <f t="shared" si="48"/>
        <v>0.58333333333333337</v>
      </c>
      <c r="J277">
        <f t="shared" si="49"/>
        <v>-0.39855072463768121</v>
      </c>
      <c r="K277">
        <f t="shared" si="54"/>
        <v>-0.12842930120726695</v>
      </c>
      <c r="L277">
        <f t="shared" si="50"/>
        <v>0</v>
      </c>
      <c r="M277">
        <f t="shared" si="51"/>
        <v>0.33333333333333331</v>
      </c>
      <c r="N277">
        <f t="shared" si="52"/>
        <v>1</v>
      </c>
      <c r="O277">
        <f t="shared" si="53"/>
        <v>0.41666666666666669</v>
      </c>
      <c r="P277" t="str">
        <f>IFERROR(LN('Дивиденды по годам'!I277),"")</f>
        <v/>
      </c>
      <c r="Q277" t="str">
        <f>IFERROR('Дивиденды по годам'!G277/'Дивиденды по годам'!I277, "")</f>
        <v/>
      </c>
      <c r="R277" t="str">
        <f>IFERROR(IF(AND('Дивиденды по годам'!N277&lt;&gt;"",'Дивиденды по годам'!U277&lt;&gt;"",'Дивиденды по годам'!U277&lt;&gt;0),'Дивиденды по годам'!N277/'Дивиденды по годам'!U277-1,""),"")</f>
        <v/>
      </c>
      <c r="S277" t="str">
        <f>IFERROR(IF(AND('Дивиденды по годам'!L277&lt;&gt;"",'Дивиденды по годам'!I277&lt;&gt;"",'Дивиденды по годам'!J277&lt;&gt;"",'Дивиденды по годам'!K277&lt;&gt;"",('Дивиденды по годам'!I277-'Дивиденды по годам'!J277-'Дивиденды по годам'!K277)&lt;&gt;0),'Дивиденды по годам'!L277/('Дивиденды по годам'!I277-'Дивиденды по годам'!J277-'Дивиденды по годам'!K277),""),"")</f>
        <v/>
      </c>
      <c r="T277" t="str">
        <f>IFERROR(IF(AND('Дивиденды по годам'!Q277&lt;&gt;"",'Дивиденды по годам'!I277&lt;&gt;"",'Дивиденды по годам'!V277&lt;&gt;"",('Дивиденды по годам'!I277+'Дивиденды по годам'!V277)&lt;&gt;0),'Дивиденды по годам'!Q277/(('Дивиденды по годам'!I277+'Дивиденды по годам'!V277)/2),""),"")</f>
        <v/>
      </c>
      <c r="U277" t="str">
        <f>IFERROR(IF(AND('Дивиденды по годам'!J277&lt;&gt;"",'Дивиденды по годам'!K277&lt;&gt;"",'Дивиденды по годам'!M277&lt;&gt;"",'Дивиденды по годам'!M277&lt;&gt;0),('Дивиденды по годам'!J277+'Дивиденды по годам'!K277)/'Дивиденды по годам'!M277,""),"")</f>
        <v/>
      </c>
      <c r="V277" t="str">
        <f>IFERROR(IF(AND('Дивиденды по годам'!J277&lt;&gt;"",'Дивиденды по годам'!K277&lt;&gt;"",'Дивиденды по годам'!M277&lt;&gt;"",'Дивиденды по годам'!I277&lt;&gt;0),('Дивиденды по годам'!J277+'Дивиденды по годам'!K277)/'Дивиденды по годам'!I277,""),"")</f>
        <v/>
      </c>
      <c r="W277" t="str">
        <f>IFERROR('Дивиденды по годам'!I277,"")</f>
        <v/>
      </c>
      <c r="X277" cm="1">
        <f t="array" ref="X277">IFERROR(AVERAGE(_xlfn._xlws.FILTER(P$2:P$1073,($C$2:$C$1073=$C277)*($E$2:$E$1073=$E277)*(ROW(P$2:P$1073)&lt;&gt;ROW(P277))*(P$2:P$1073&lt;&gt;""))),"")</f>
        <v>26.311482392509326</v>
      </c>
      <c r="Y277" cm="1">
        <f t="array" ref="Y277">IFERROR(AVERAGE(_xlfn._xlws.FILTER(Q$2:Q$1073,($C$2:$C$1073=$C277)*($E$2:$E$1073=$E277)*(ROW(Q$2:Q$1073)&lt;&gt;ROW(Q277))*(Q$2:Q$1073&lt;&gt;""))),"")</f>
        <v>0.70812809619198602</v>
      </c>
      <c r="Z277" cm="1">
        <f t="array" ref="Z277">IFERROR(AVERAGE(_xlfn._xlws.FILTER(R$2:R$1073,($C$2:$C$1073=$C277)*($E$2:$E$1073=$E277)*(ROW(R$2:R$1073)&lt;&gt;ROW(R277))*(R$2:R$1073&lt;&gt;""))),"")</f>
        <v>7.2941844461954591E-2</v>
      </c>
      <c r="AA277" cm="1">
        <f t="array" ref="AA277">IFERROR(AVERAGE(_xlfn._xlws.FILTER(S$2:S$1073,($C$2:$C$1073=$C277)*($E$2:$E$1073=$E277)*(ROW(S$2:S$1073)&lt;&gt;ROW(S277))*(S$2:S$1073&lt;&gt;""))),"")</f>
        <v>0.51495855714422678</v>
      </c>
      <c r="AB277" cm="1">
        <f t="array" ref="AB277">IFERROR(AVERAGE(_xlfn._xlws.FILTER(T$2:T$1073,($C$2:$C$1073=$C277)*($E$2:$E$1073=$E277)*(ROW(T$2:T$1073)&lt;&gt;ROW(T277))*(T$2:T$1073&lt;&gt;""))),"")</f>
        <v>1.2629583278270708E-2</v>
      </c>
      <c r="AC277" cm="1">
        <f t="array" ref="AC277">IFERROR(AVERAGE(_xlfn._xlws.FILTER(U$2:U$1073,($C$2:$C$1073=$C277)*($E$2:$E$1073=$E277)*(ROW(U$2:U$1073)&lt;&gt;ROW(U277))*(U$2:U$1073&lt;&gt;""))),"")</f>
        <v>0.90922972684965886</v>
      </c>
      <c r="AD277" cm="1">
        <f t="array" ref="AD277">IFERROR(AVERAGE(_xlfn._xlws.FILTER(V$2:V$1073,($C$2:$C$1073=$C277)*($E$2:$E$1073=$E277)*(ROW(V$2:V$1073)&lt;&gt;ROW(V277))*(V$2:V$1073&lt;&gt;""))),"")</f>
        <v>0.44171853457730947</v>
      </c>
      <c r="AE277">
        <f>IF('Дивиденды по годам'!M277&lt;0,1,0)</f>
        <v>0</v>
      </c>
    </row>
    <row r="278" spans="1:31" x14ac:dyDescent="0.2">
      <c r="A278" s="7" t="s">
        <v>2212</v>
      </c>
      <c r="B278" t="str">
        <f t="shared" si="44"/>
        <v>OGKB IV кв. 2021</v>
      </c>
      <c r="C278">
        <v>2021</v>
      </c>
      <c r="D278">
        <f>SUMIFS(Дивиденды!$C:$C,Дивиденды!$A:$A,A278,Дивиденды!$I:$I,C278)</f>
        <v>9.6600000000000005E-2</v>
      </c>
      <c r="E278">
        <v>2</v>
      </c>
      <c r="F278">
        <f t="shared" si="45"/>
        <v>9.6600000000000005E-2</v>
      </c>
      <c r="G278">
        <f t="shared" si="46"/>
        <v>7.3735249999999988E-2</v>
      </c>
      <c r="H278">
        <f t="shared" si="47"/>
        <v>1</v>
      </c>
      <c r="I278">
        <f t="shared" si="48"/>
        <v>0.75</v>
      </c>
      <c r="J278">
        <f t="shared" si="49"/>
        <v>0.6100000000000001</v>
      </c>
      <c r="K278">
        <f t="shared" si="54"/>
        <v>0.11304285059072229</v>
      </c>
      <c r="L278">
        <f t="shared" si="50"/>
        <v>1</v>
      </c>
      <c r="M278">
        <f t="shared" si="51"/>
        <v>0.58333333333333337</v>
      </c>
      <c r="N278">
        <f t="shared" si="52"/>
        <v>0</v>
      </c>
      <c r="O278">
        <f t="shared" si="53"/>
        <v>0.25</v>
      </c>
      <c r="P278">
        <f>IFERROR(LN('Дивиденды по годам'!I278),"")</f>
        <v>26.071011259405772</v>
      </c>
      <c r="Q278">
        <f>IFERROR('Дивиденды по годам'!G278/'Дивиденды по годам'!I278, "")</f>
        <v>0.70309897493980034</v>
      </c>
      <c r="R278">
        <f>IFERROR(IF(AND('Дивиденды по годам'!N278&lt;&gt;"",'Дивиденды по годам'!U278&lt;&gt;"",'Дивиденды по годам'!U278&lt;&gt;0),'Дивиденды по годам'!N278/'Дивиденды по годам'!U278-1,""),"")</f>
        <v>0.17306752177119322</v>
      </c>
      <c r="S278">
        <f>IFERROR(IF(AND('Дивиденды по годам'!L278&lt;&gt;"",'Дивиденды по годам'!I278&lt;&gt;"",'Дивиденды по годам'!J278&lt;&gt;"",'Дивиденды по годам'!K278&lt;&gt;"",('Дивиденды по годам'!I278-'Дивиденды по годам'!J278-'Дивиденды по годам'!K278)&lt;&gt;0),'Дивиденды по годам'!L278/('Дивиденды по годам'!I278-'Дивиденды по годам'!J278-'Дивиденды по годам'!K278),""),"")</f>
        <v>0.53136642482982721</v>
      </c>
      <c r="T278">
        <f>IFERROR(IF(AND('Дивиденды по годам'!Q278&lt;&gt;"",'Дивиденды по годам'!I278&lt;&gt;"",'Дивиденды по годам'!V278&lt;&gt;"",('Дивиденды по годам'!I278+'Дивиденды по годам'!V278)&lt;&gt;0),'Дивиденды по годам'!Q278/(('Дивиденды по годам'!I278+'Дивиденды по годам'!V278)/2),""),"")</f>
        <v>2.0411215813514665E-2</v>
      </c>
      <c r="U278">
        <f>IFERROR(IF(AND('Дивиденды по годам'!J278&lt;&gt;"",'Дивиденды по годам'!K278&lt;&gt;"",'Дивиденды по годам'!M278&lt;&gt;"",'Дивиденды по годам'!M278&lt;&gt;0),('Дивиденды по годам'!J278+'Дивиденды по годам'!K278)/'Дивиденды по годам'!M278,""),"")</f>
        <v>0.47156783103168154</v>
      </c>
      <c r="V278">
        <f>IFERROR(IF(AND('Дивиденды по годам'!J278&lt;&gt;"",'Дивиденды по годам'!K278&lt;&gt;"",'Дивиденды по годам'!M278&lt;&gt;"",'Дивиденды по годам'!I278&lt;&gt;0),('Дивиденды по годам'!J278+'Дивиденды по годам'!K278)/'Дивиденды по годам'!I278,""),"")</f>
        <v>0.32045266353850399</v>
      </c>
      <c r="W278">
        <f>IFERROR('Дивиденды по годам'!I278,"")</f>
        <v>210134000000</v>
      </c>
      <c r="X278" cm="1">
        <f t="array" ref="X278">IFERROR(AVERAGE(_xlfn._xlws.FILTER(P$2:P$1073,($C$2:$C$1073=$C278)*($E$2:$E$1073=$E278)*(ROW(P$2:P$1073)&lt;&gt;ROW(P278))*(P$2:P$1073&lt;&gt;""))),"")</f>
        <v>25.912286153019522</v>
      </c>
      <c r="Y278" cm="1">
        <f t="array" ref="Y278">IFERROR(AVERAGE(_xlfn._xlws.FILTER(Q$2:Q$1073,($C$2:$C$1073=$C278)*($E$2:$E$1073=$E278)*(ROW(Q$2:Q$1073)&lt;&gt;ROW(Q278))*(Q$2:Q$1073&lt;&gt;""))),"")</f>
        <v>0.77665000131336326</v>
      </c>
      <c r="Z278" cm="1">
        <f t="array" ref="Z278">IFERROR(AVERAGE(_xlfn._xlws.FILTER(R$2:R$1073,($C$2:$C$1073=$C278)*($E$2:$E$1073=$E278)*(ROW(R$2:R$1073)&lt;&gt;ROW(R278))*(R$2:R$1073&lt;&gt;""))),"")</f>
        <v>0.12209641832037173</v>
      </c>
      <c r="AA278" cm="1">
        <f t="array" ref="AA278">IFERROR(AVERAGE(_xlfn._xlws.FILTER(S$2:S$1073,($C$2:$C$1073=$C278)*($E$2:$E$1073=$E278)*(ROW(S$2:S$1073)&lt;&gt;ROW(S278))*(S$2:S$1073&lt;&gt;""))),"")</f>
        <v>0.49817115265821743</v>
      </c>
      <c r="AB278" cm="1">
        <f t="array" ref="AB278">IFERROR(AVERAGE(_xlfn._xlws.FILTER(T$2:T$1073,($C$2:$C$1073=$C278)*($E$2:$E$1073=$E278)*(ROW(T$2:T$1073)&lt;&gt;ROW(T278))*(T$2:T$1073&lt;&gt;""))),"")</f>
        <v>3.8037013358300162E-2</v>
      </c>
      <c r="AC278" cm="1">
        <f t="array" ref="AC278">IFERROR(AVERAGE(_xlfn._xlws.FILTER(U$2:U$1073,($C$2:$C$1073=$C278)*($E$2:$E$1073=$E278)*(ROW(U$2:U$1073)&lt;&gt;ROW(U278))*(U$2:U$1073&lt;&gt;""))),"")</f>
        <v>0.7391380494176728</v>
      </c>
      <c r="AD278" cm="1">
        <f t="array" ref="AD278">IFERROR(AVERAGE(_xlfn._xlws.FILTER(V$2:V$1073,($C$2:$C$1073=$C278)*($E$2:$E$1073=$E278)*(ROW(V$2:V$1073)&lt;&gt;ROW(V278))*(V$2:V$1073&lt;&gt;""))),"")</f>
        <v>0.38876026520559198</v>
      </c>
      <c r="AE278">
        <f>IF('Дивиденды по годам'!M278&lt;0,1,0)</f>
        <v>0</v>
      </c>
    </row>
    <row r="279" spans="1:31" x14ac:dyDescent="0.2">
      <c r="A279" s="7" t="s">
        <v>2212</v>
      </c>
      <c r="B279" t="str">
        <f t="shared" si="44"/>
        <v>OGKB IV кв. 2020</v>
      </c>
      <c r="C279">
        <v>2020</v>
      </c>
      <c r="D279">
        <f>SUMIFS(Дивиденды!$C:$C,Дивиденды!$A:$A,A279,Дивиденды!$I:$I,C279)</f>
        <v>0.06</v>
      </c>
      <c r="E279">
        <v>2</v>
      </c>
      <c r="F279">
        <f t="shared" si="45"/>
        <v>0.06</v>
      </c>
      <c r="G279">
        <f t="shared" si="46"/>
        <v>6.490591666666666E-2</v>
      </c>
      <c r="H279">
        <f t="shared" si="47"/>
        <v>1</v>
      </c>
      <c r="I279">
        <f t="shared" si="48"/>
        <v>0.75</v>
      </c>
      <c r="J279">
        <f t="shared" si="49"/>
        <v>0.10294117647058826</v>
      </c>
      <c r="K279">
        <f t="shared" si="54"/>
        <v>-9.4202463075261575E-2</v>
      </c>
      <c r="L279">
        <f t="shared" si="50"/>
        <v>1</v>
      </c>
      <c r="M279">
        <f t="shared" si="51"/>
        <v>0.5</v>
      </c>
      <c r="N279">
        <f t="shared" si="52"/>
        <v>0</v>
      </c>
      <c r="O279">
        <f t="shared" si="53"/>
        <v>0.5</v>
      </c>
      <c r="P279">
        <f>IFERROR(LN('Дивиденды по годам'!I279),"")</f>
        <v>26.136834147221208</v>
      </c>
      <c r="Q279">
        <f>IFERROR('Дивиденды по годам'!G279/'Дивиденды по годам'!I279, "")</f>
        <v>0.7167058026743186</v>
      </c>
      <c r="R279">
        <f>IFERROR(IF(AND('Дивиденды по годам'!N279&lt;&gt;"",'Дивиденды по годам'!U279&lt;&gt;"",'Дивиденды по годам'!U279&lt;&gt;0),'Дивиденды по годам'!N279/'Дивиденды по годам'!U279-1,""),"")</f>
        <v>-0.10322561469471458</v>
      </c>
      <c r="S279">
        <f>IFERROR(IF(AND('Дивиденды по годам'!L279&lt;&gt;"",'Дивиденды по годам'!I279&lt;&gt;"",'Дивиденды по годам'!J279&lt;&gt;"",'Дивиденды по годам'!K279&lt;&gt;"",('Дивиденды по годам'!I279-'Дивиденды по годам'!J279-'Дивиденды по годам'!K279)&lt;&gt;0),'Дивиденды по годам'!L279/('Дивиденды по годам'!I279-'Дивиденды по годам'!J279-'Дивиденды по годам'!K279),""),"")</f>
        <v>0.53735697742749489</v>
      </c>
      <c r="T279">
        <f>IFERROR(IF(AND('Дивиденды по годам'!Q279&lt;&gt;"",'Дивиденды по годам'!I279&lt;&gt;"",'Дивиденды по годам'!V279&lt;&gt;"",('Дивиденды по годам'!I279+'Дивиденды по годам'!V279)&lt;&gt;0),'Дивиденды по годам'!Q279/(('Дивиденды по годам'!I279+'Дивиденды по годам'!V279)/2),""),"")</f>
        <v>5.8911829886262194E-2</v>
      </c>
      <c r="U279">
        <f>IFERROR(IF(AND('Дивиденды по годам'!J279&lt;&gt;"",'Дивиденды по годам'!K279&lt;&gt;"",'Дивиденды по годам'!M279&lt;&gt;"",'Дивиденды по годам'!M279&lt;&gt;0),('Дивиденды по годам'!J279+'Дивиденды по годам'!K279)/'Дивиденды по годам'!M279,""),"")</f>
        <v>0.55159874174703583</v>
      </c>
      <c r="V279">
        <f>IFERROR(IF(AND('Дивиденды по годам'!J279&lt;&gt;"",'Дивиденды по годам'!K279&lt;&gt;"",'Дивиденды по годам'!M279&lt;&gt;"",'Дивиденды по годам'!I279&lt;&gt;0),('Дивиденды по годам'!J279+'Дивиденды по годам'!K279)/'Дивиденды по годам'!I279,""),"")</f>
        <v>0.35550347322785175</v>
      </c>
      <c r="W279">
        <f>IFERROR('Дивиденды по годам'!I279,"")</f>
        <v>224431000000</v>
      </c>
      <c r="X279" cm="1">
        <f t="array" ref="X279">IFERROR(AVERAGE(_xlfn._xlws.FILTER(P$2:P$1073,($C$2:$C$1073=$C279)*($E$2:$E$1073=$E279)*(ROW(P$2:P$1073)&lt;&gt;ROW(P279))*(P$2:P$1073&lt;&gt;""))),"")</f>
        <v>26.176149266065199</v>
      </c>
      <c r="Y279" cm="1">
        <f t="array" ref="Y279">IFERROR(AVERAGE(_xlfn._xlws.FILTER(Q$2:Q$1073,($C$2:$C$1073=$C279)*($E$2:$E$1073=$E279)*(ROW(Q$2:Q$1073)&lt;&gt;ROW(Q279))*(Q$2:Q$1073&lt;&gt;""))),"")</f>
        <v>0.74732440537990319</v>
      </c>
      <c r="Z279" cm="1">
        <f t="array" ref="Z279">IFERROR(AVERAGE(_xlfn._xlws.FILTER(R$2:R$1073,($C$2:$C$1073=$C279)*($E$2:$E$1073=$E279)*(ROW(R$2:R$1073)&lt;&gt;ROW(R279))*(R$2:R$1073&lt;&gt;""))),"")</f>
        <v>-6.0939812141214765E-2</v>
      </c>
      <c r="AA279" cm="1">
        <f t="array" ref="AA279">IFERROR(AVERAGE(_xlfn._xlws.FILTER(S$2:S$1073,($C$2:$C$1073=$C279)*($E$2:$E$1073=$E279)*(ROW(S$2:S$1073)&lt;&gt;ROW(S279))*(S$2:S$1073&lt;&gt;""))),"")</f>
        <v>0.48006304221837864</v>
      </c>
      <c r="AB279" cm="1">
        <f t="array" ref="AB279">IFERROR(AVERAGE(_xlfn._xlws.FILTER(T$2:T$1073,($C$2:$C$1073=$C279)*($E$2:$E$1073=$E279)*(ROW(T$2:T$1073)&lt;&gt;ROW(T279))*(T$2:T$1073&lt;&gt;""))),"")</f>
        <v>4.1296954530318043E-2</v>
      </c>
      <c r="AC279" cm="1">
        <f t="array" ref="AC279">IFERROR(AVERAGE(_xlfn._xlws.FILTER(U$2:U$1073,($C$2:$C$1073=$C279)*($E$2:$E$1073=$E279)*(ROW(U$2:U$1073)&lt;&gt;ROW(U279))*(U$2:U$1073&lt;&gt;""))),"")</f>
        <v>0.6685639587898855</v>
      </c>
      <c r="AD279" cm="1">
        <f t="array" ref="AD279">IFERROR(AVERAGE(_xlfn._xlws.FILTER(V$2:V$1073,($C$2:$C$1073=$C279)*($E$2:$E$1073=$E279)*(ROW(V$2:V$1073)&lt;&gt;ROW(V279))*(V$2:V$1073&lt;&gt;""))),"")</f>
        <v>0.36897217585422365</v>
      </c>
      <c r="AE279">
        <f>IF('Дивиденды по годам'!M279&lt;0,1,0)</f>
        <v>0</v>
      </c>
    </row>
    <row r="280" spans="1:31" x14ac:dyDescent="0.2">
      <c r="A280" s="7" t="s">
        <v>2212</v>
      </c>
      <c r="B280" t="str">
        <f t="shared" si="44"/>
        <v>OGKB IV кв. 2019</v>
      </c>
      <c r="C280">
        <v>2019</v>
      </c>
      <c r="D280">
        <f>SUMIFS(Дивиденды!$C:$C,Дивиденды!$A:$A,A280,Дивиденды!$I:$I,C280)</f>
        <v>5.4399999999999997E-2</v>
      </c>
      <c r="E280">
        <v>2</v>
      </c>
      <c r="F280">
        <f t="shared" si="45"/>
        <v>5.4399999999999997E-2</v>
      </c>
      <c r="G280">
        <f t="shared" si="46"/>
        <v>6.6775333333333325E-2</v>
      </c>
      <c r="H280">
        <f t="shared" si="47"/>
        <v>1</v>
      </c>
      <c r="I280">
        <f t="shared" si="48"/>
        <v>1</v>
      </c>
      <c r="J280">
        <f t="shared" si="49"/>
        <v>0.47826086956521735</v>
      </c>
      <c r="K280">
        <f t="shared" si="54"/>
        <v>0.13223768520615284</v>
      </c>
      <c r="L280">
        <f t="shared" si="50"/>
        <v>1</v>
      </c>
      <c r="M280">
        <f t="shared" si="51"/>
        <v>0.41666666666666669</v>
      </c>
      <c r="N280">
        <f t="shared" si="52"/>
        <v>0</v>
      </c>
      <c r="O280">
        <f t="shared" si="53"/>
        <v>0.5</v>
      </c>
      <c r="P280">
        <f>IFERROR(LN('Дивиденды по годам'!I280),"")</f>
        <v>26.14337154054467</v>
      </c>
      <c r="Q280">
        <f>IFERROR('Дивиденды по годам'!G280/'Дивиденды по годам'!I280, "")</f>
        <v>0.71922904963634837</v>
      </c>
      <c r="R280">
        <f>IFERROR(IF(AND('Дивиденды по годам'!N280&lt;&gt;"",'Дивиденды по годам'!U280&lt;&gt;"",'Дивиденды по годам'!U280&lt;&gt;0),'Дивиденды по годам'!N280/'Дивиденды по годам'!U280-1,""),"")</f>
        <v>-6.0379690136919906E-2</v>
      </c>
      <c r="S280">
        <f>IFERROR(IF(AND('Дивиденды по годам'!L280&lt;&gt;"",'Дивиденды по годам'!I280&lt;&gt;"",'Дивиденды по годам'!J280&lt;&gt;"",'Дивиденды по годам'!K280&lt;&gt;"",('Дивиденды по годам'!I280-'Дивиденды по годам'!J280-'Дивиденды по годам'!K280)&lt;&gt;0),'Дивиденды по годам'!L280/('Дивиденды по годам'!I280-'Дивиденды по годам'!J280-'Дивиденды по годам'!K280),""),"")</f>
        <v>0.51276020998827732</v>
      </c>
      <c r="T280">
        <f>IFERROR(IF(AND('Дивиденды по годам'!Q280&lt;&gt;"",'Дивиденды по годам'!I280&lt;&gt;"",'Дивиденды по годам'!V280&lt;&gt;"",('Дивиденды по годам'!I280+'Дивиденды по годам'!V280)&lt;&gt;0),'Дивиденды по годам'!Q280/(('Дивиденды по годам'!I280+'Дивиденды по годам'!V280)/2),""),"")</f>
        <v>5.4748128786356681E-2</v>
      </c>
      <c r="U280">
        <f>IFERROR(IF(AND('Дивиденды по годам'!J280&lt;&gt;"",'Дивиденды по годам'!K280&lt;&gt;"",'Дивиденды по годам'!M280&lt;&gt;"",'Дивиденды по годам'!M280&lt;&gt;0),('Дивиденды по годам'!J280+'Дивиденды по годам'!K280)/'Дивиденды по годам'!M280,""),"")</f>
        <v>0.64483293408377684</v>
      </c>
      <c r="V280">
        <f>IFERROR(IF(AND('Дивиденды по годам'!J280&lt;&gt;"",'Дивиденды по годам'!K280&lt;&gt;"",'Дивиденды по годам'!M280&lt;&gt;"",'Дивиденды по годам'!I280&lt;&gt;0),('Дивиденды по годам'!J280+'Дивиденды по годам'!K280)/'Дивиденды по годам'!I280,""),"")</f>
        <v>0.39203551966994682</v>
      </c>
      <c r="W280">
        <f>IFERROR('Дивиденды по годам'!I280,"")</f>
        <v>225903000000</v>
      </c>
      <c r="X280" cm="1">
        <f t="array" ref="X280">IFERROR(AVERAGE(_xlfn._xlws.FILTER(P$2:P$1073,($C$2:$C$1073=$C280)*($E$2:$E$1073=$E280)*(ROW(P$2:P$1073)&lt;&gt;ROW(P280))*(P$2:P$1073&lt;&gt;""))),"")</f>
        <v>26.132543676671713</v>
      </c>
      <c r="Y280" cm="1">
        <f t="array" ref="Y280">IFERROR(AVERAGE(_xlfn._xlws.FILTER(Q$2:Q$1073,($C$2:$C$1073=$C280)*($E$2:$E$1073=$E280)*(ROW(Q$2:Q$1073)&lt;&gt;ROW(Q280))*(Q$2:Q$1073&lt;&gt;""))),"")</f>
        <v>0.73847559180823386</v>
      </c>
      <c r="Z280" cm="1">
        <f t="array" ref="Z280">IFERROR(AVERAGE(_xlfn._xlws.FILTER(R$2:R$1073,($C$2:$C$1073=$C280)*($E$2:$E$1073=$E280)*(ROW(R$2:R$1073)&lt;&gt;ROW(R280))*(R$2:R$1073&lt;&gt;""))),"")</f>
        <v>8.8030512391106541E-3</v>
      </c>
      <c r="AA280" cm="1">
        <f t="array" ref="AA280">IFERROR(AVERAGE(_xlfn._xlws.FILTER(S$2:S$1073,($C$2:$C$1073=$C280)*($E$2:$E$1073=$E280)*(ROW(S$2:S$1073)&lt;&gt;ROW(S280))*(S$2:S$1073&lt;&gt;""))),"")</f>
        <v>0.47079653689798623</v>
      </c>
      <c r="AB280" cm="1">
        <f t="array" ref="AB280">IFERROR(AVERAGE(_xlfn._xlws.FILTER(T$2:T$1073,($C$2:$C$1073=$C280)*($E$2:$E$1073=$E280)*(ROW(T$2:T$1073)&lt;&gt;ROW(T280))*(T$2:T$1073&lt;&gt;""))),"")</f>
        <v>5.173414027559655E-2</v>
      </c>
      <c r="AC280" cm="1">
        <f t="array" ref="AC280">IFERROR(AVERAGE(_xlfn._xlws.FILTER(U$2:U$1073,($C$2:$C$1073=$C280)*($E$2:$E$1073=$E280)*(ROW(U$2:U$1073)&lt;&gt;ROW(U280))*(U$2:U$1073&lt;&gt;""))),"")</f>
        <v>0.66712260560096937</v>
      </c>
      <c r="AD280" cm="1">
        <f t="array" ref="AD280">IFERROR(AVERAGE(_xlfn._xlws.FILTER(V$2:V$1073,($C$2:$C$1073=$C280)*($E$2:$E$1073=$E280)*(ROW(V$2:V$1073)&lt;&gt;ROW(V280))*(V$2:V$1073&lt;&gt;""))),"")</f>
        <v>0.3691418368297063</v>
      </c>
      <c r="AE280">
        <f>IF('Дивиденды по годам'!M280&lt;0,1,0)</f>
        <v>0</v>
      </c>
    </row>
    <row r="281" spans="1:31" x14ac:dyDescent="0.2">
      <c r="A281" s="7" t="s">
        <v>2212</v>
      </c>
      <c r="B281" t="str">
        <f t="shared" si="44"/>
        <v>OGKB IV кв. 2018</v>
      </c>
      <c r="C281">
        <v>2018</v>
      </c>
      <c r="D281">
        <f>SUMIFS(Дивиденды!$C:$C,Дивиденды!$A:$A,A281,Дивиденды!$I:$I,C281)</f>
        <v>3.6799999999999999E-2</v>
      </c>
      <c r="E281">
        <v>2</v>
      </c>
      <c r="F281">
        <f t="shared" si="45"/>
        <v>3.6799999999999999E-2</v>
      </c>
      <c r="G281">
        <f t="shared" si="46"/>
        <v>7.7503749999999996E-2</v>
      </c>
      <c r="H281">
        <f t="shared" si="47"/>
        <v>1</v>
      </c>
      <c r="I281">
        <f t="shared" si="48"/>
        <v>1</v>
      </c>
      <c r="J281">
        <f t="shared" si="49"/>
        <v>1.2576687116564418</v>
      </c>
      <c r="K281">
        <f t="shared" si="54"/>
        <v>9.1452635659548642E-2</v>
      </c>
      <c r="L281">
        <f t="shared" si="50"/>
        <v>1</v>
      </c>
      <c r="M281">
        <f t="shared" si="51"/>
        <v>0.58333333333333337</v>
      </c>
      <c r="N281">
        <f t="shared" si="52"/>
        <v>0</v>
      </c>
      <c r="O281">
        <f t="shared" si="53"/>
        <v>0.25</v>
      </c>
      <c r="P281">
        <f>IFERROR(LN('Дивиденды по годам'!I281),"")</f>
        <v>26.086347105481845</v>
      </c>
      <c r="Q281">
        <f>IFERROR('Дивиденды по годам'!G281/'Дивиденды по годам'!I281, "")</f>
        <v>0.82713095170141804</v>
      </c>
      <c r="R281">
        <f>IFERROR(IF(AND('Дивиденды по годам'!N281&lt;&gt;"",'Дивиденды по годам'!U281&lt;&gt;"",'Дивиденды по годам'!U281&lt;&gt;0),'Дивиденды по годам'!N281/'Дивиденды по годам'!U281-1,""),"")</f>
        <v>1.3583491984915375E-2</v>
      </c>
      <c r="S281">
        <f>IFERROR(IF(AND('Дивиденды по годам'!L281&lt;&gt;"",'Дивиденды по годам'!I281&lt;&gt;"",'Дивиденды по годам'!J281&lt;&gt;"",'Дивиденды по годам'!K281&lt;&gt;"",('Дивиденды по годам'!I281-'Дивиденды по годам'!J281-'Дивиденды по годам'!K281)&lt;&gt;0),'Дивиденды по годам'!L281/('Дивиденды по годам'!I281-'Дивиденды по годам'!J281-'Дивиденды по годам'!K281),""),"")</f>
        <v>0.4915882795546801</v>
      </c>
      <c r="T281">
        <f>IFERROR(IF(AND('Дивиденды по годам'!Q281&lt;&gt;"",'Дивиденды по годам'!I281&lt;&gt;"",'Дивиденды по годам'!V281&lt;&gt;"",('Дивиденды по годам'!I281+'Дивиденды по годам'!V281)&lt;&gt;0),'Дивиденды по годам'!Q281/(('Дивиденды по годам'!I281+'Дивиденды по годам'!V281)/2),""),"")</f>
        <v>3.8677355235805455E-2</v>
      </c>
      <c r="U281">
        <f>IFERROR(IF(AND('Дивиденды по годам'!J281&lt;&gt;"",'Дивиденды по годам'!K281&lt;&gt;"",'Дивиденды по годам'!M281&lt;&gt;"",'Дивиденды по годам'!M281&lt;&gt;0),('Дивиденды по годам'!J281+'Дивиденды по годам'!K281)/'Дивиденды по годам'!M281,""),"")</f>
        <v>0.67600409477011969</v>
      </c>
      <c r="V281">
        <f>IFERROR(IF(AND('Дивиденды по годам'!J281&lt;&gt;"",'Дивиденды по годам'!K281&lt;&gt;"",'Дивиденды по годам'!M281&lt;&gt;"",'Дивиденды по годам'!I281&lt;&gt;0),('Дивиденды по годам'!J281+'Дивиденды по годам'!K281)/'Дивиденды по годам'!I281,""),"")</f>
        <v>0.40334274652404134</v>
      </c>
      <c r="W281">
        <f>IFERROR('Дивиденды по годам'!I281,"")</f>
        <v>213381420000</v>
      </c>
      <c r="X281" cm="1">
        <f t="array" ref="X281">IFERROR(AVERAGE(_xlfn._xlws.FILTER(P$2:P$1073,($C$2:$C$1073=$C281)*($E$2:$E$1073=$E281)*(ROW(P$2:P$1073)&lt;&gt;ROW(P281))*(P$2:P$1073&lt;&gt;""))),"")</f>
        <v>26.079729755732199</v>
      </c>
      <c r="Y281" cm="1">
        <f t="array" ref="Y281">IFERROR(AVERAGE(_xlfn._xlws.FILTER(Q$2:Q$1073,($C$2:$C$1073=$C281)*($E$2:$E$1073=$E281)*(ROW(Q$2:Q$1073)&lt;&gt;ROW(Q281))*(Q$2:Q$1073&lt;&gt;""))),"")</f>
        <v>0.74702157635987143</v>
      </c>
      <c r="Z281" cm="1">
        <f t="array" ref="Z281">IFERROR(AVERAGE(_xlfn._xlws.FILTER(R$2:R$1073,($C$2:$C$1073=$C281)*($E$2:$E$1073=$E281)*(ROW(R$2:R$1073)&lt;&gt;ROW(R281))*(R$2:R$1073&lt;&gt;""))),"")</f>
        <v>5.3251191038033469E-2</v>
      </c>
      <c r="AA281" cm="1">
        <f t="array" ref="AA281">IFERROR(AVERAGE(_xlfn._xlws.FILTER(S$2:S$1073,($C$2:$C$1073=$C281)*($E$2:$E$1073=$E281)*(ROW(S$2:S$1073)&lt;&gt;ROW(S281))*(S$2:S$1073&lt;&gt;""))),"")</f>
        <v>0.46214486242035346</v>
      </c>
      <c r="AB281" cm="1">
        <f t="array" ref="AB281">IFERROR(AVERAGE(_xlfn._xlws.FILTER(T$2:T$1073,($C$2:$C$1073=$C281)*($E$2:$E$1073=$E281)*(ROW(T$2:T$1073)&lt;&gt;ROW(T281))*(T$2:T$1073&lt;&gt;""))),"")</f>
        <v>7.0889314914287654E-2</v>
      </c>
      <c r="AC281" cm="1">
        <f t="array" ref="AC281">IFERROR(AVERAGE(_xlfn._xlws.FILTER(U$2:U$1073,($C$2:$C$1073=$C281)*($E$2:$E$1073=$E281)*(ROW(U$2:U$1073)&lt;&gt;ROW(U281))*(U$2:U$1073&lt;&gt;""))),"")</f>
        <v>0.62829818555573957</v>
      </c>
      <c r="AD281" cm="1">
        <f t="array" ref="AD281">IFERROR(AVERAGE(_xlfn._xlws.FILTER(V$2:V$1073,($C$2:$C$1073=$C281)*($E$2:$E$1073=$E281)*(ROW(V$2:V$1073)&lt;&gt;ROW(V281))*(V$2:V$1073&lt;&gt;""))),"")</f>
        <v>0.35655496327674135</v>
      </c>
      <c r="AE281">
        <f>IF('Дивиденды по годам'!M281&lt;0,1,0)</f>
        <v>0</v>
      </c>
    </row>
    <row r="282" spans="1:31" x14ac:dyDescent="0.2">
      <c r="A282" s="7" t="s">
        <v>2212</v>
      </c>
      <c r="B282" t="str">
        <f t="shared" si="44"/>
        <v>OGKB IV кв. 2017</v>
      </c>
      <c r="C282">
        <v>2017</v>
      </c>
      <c r="D282">
        <f>SUMIFS(Дивиденды!$C:$C,Дивиденды!$A:$A,A282,Дивиденды!$I:$I,C282)</f>
        <v>1.6299999999999999E-2</v>
      </c>
      <c r="E282">
        <v>2</v>
      </c>
      <c r="F282">
        <f t="shared" si="45"/>
        <v>1.6299999999999999E-2</v>
      </c>
      <c r="G282">
        <f t="shared" si="46"/>
        <v>7.0750499999999994E-2</v>
      </c>
      <c r="H282">
        <f t="shared" si="47"/>
        <v>1</v>
      </c>
      <c r="I282">
        <f t="shared" si="48"/>
        <v>1</v>
      </c>
      <c r="J282">
        <f t="shared" si="49"/>
        <v>0.97503937961953213</v>
      </c>
      <c r="K282">
        <f t="shared" si="54"/>
        <v>0.56049635597198921</v>
      </c>
      <c r="L282">
        <f t="shared" si="50"/>
        <v>1</v>
      </c>
      <c r="M282">
        <f t="shared" si="51"/>
        <v>0.75</v>
      </c>
      <c r="N282">
        <f t="shared" si="52"/>
        <v>0</v>
      </c>
      <c r="O282">
        <f t="shared" si="53"/>
        <v>0.25</v>
      </c>
      <c r="P282">
        <f>IFERROR(LN('Дивиденды по годам'!I282),"")</f>
        <v>26.09882098411245</v>
      </c>
      <c r="Q282">
        <f>IFERROR('Дивиденды по годам'!G282/'Дивиденды по годам'!I282, "")</f>
        <v>0.85285321770015288</v>
      </c>
      <c r="R282">
        <f>IFERROR(IF(AND('Дивиденды по годам'!N282&lt;&gt;"",'Дивиденды по годам'!U282&lt;&gt;"",'Дивиденды по годам'!U282&lt;&gt;0),'Дивиденды по годам'!N282/'Дивиденды по годам'!U282-1,""),"")</f>
        <v>5.1412092256577058E-2</v>
      </c>
      <c r="S282">
        <f>IFERROR(IF(AND('Дивиденды по годам'!L282&lt;&gt;"",'Дивиденды по годам'!I282&lt;&gt;"",'Дивиденды по годам'!J282&lt;&gt;"",'Дивиденды по годам'!K282&lt;&gt;"",('Дивиденды по годам'!I282-'Дивиденды по годам'!J282-'Дивиденды по годам'!K282)&lt;&gt;0),'Дивиденды по годам'!L282/('Дивиденды по годам'!I282-'Дивиденды по годам'!J282-'Дивиденды по годам'!K282),""),"")</f>
        <v>0.46605295590794604</v>
      </c>
      <c r="T282">
        <f>IFERROR(IF(AND('Дивиденды по годам'!Q282&lt;&gt;"",'Дивиденды по годам'!I282&lt;&gt;"",'Дивиденды по годам'!V282&lt;&gt;"",('Дивиденды по годам'!I282+'Дивиденды по годам'!V282)&lt;&gt;0),'Дивиденды по годам'!Q282/(('Дивиденды по годам'!I282+'Дивиденды по годам'!V282)/2),""),"")</f>
        <v>3.3301256958263394E-2</v>
      </c>
      <c r="U282">
        <f>IFERROR(IF(AND('Дивиденды по годам'!J282&lt;&gt;"",'Дивиденды по годам'!K282&lt;&gt;"",'Дивиденды по годам'!M282&lt;&gt;"",'Дивиденды по годам'!M282&lt;&gt;0),('Дивиденды по годам'!J282+'Дивиденды по годам'!K282)/'Дивиденды по годам'!M282,""),"")</f>
        <v>0.78543215806341093</v>
      </c>
      <c r="V282">
        <f>IFERROR(IF(AND('Дивиденды по годам'!J282&lt;&gt;"",'Дивиденды по годам'!K282&lt;&gt;"",'Дивиденды по годам'!M282&lt;&gt;"",'Дивиденды по годам'!I282&lt;&gt;0),('Дивиденды по годам'!J282+'Дивиденды по годам'!K282)/'Дивиденды по годам'!I282,""),"")</f>
        <v>0.43991151078814372</v>
      </c>
      <c r="W282">
        <f>IFERROR('Дивиденды по годам'!I282,"")</f>
        <v>216059784000</v>
      </c>
      <c r="X282" cm="1">
        <f t="array" ref="X282">IFERROR(AVERAGE(_xlfn._xlws.FILTER(P$2:P$1073,($C$2:$C$1073=$C282)*($E$2:$E$1073=$E282)*(ROW(P$2:P$1073)&lt;&gt;ROW(P282))*(P$2:P$1073&lt;&gt;""))),"")</f>
        <v>26.046077714496789</v>
      </c>
      <c r="Y282" cm="1">
        <f t="array" ref="Y282">IFERROR(AVERAGE(_xlfn._xlws.FILTER(Q$2:Q$1073,($C$2:$C$1073=$C282)*($E$2:$E$1073=$E282)*(ROW(Q$2:Q$1073)&lt;&gt;ROW(Q282))*(Q$2:Q$1073&lt;&gt;""))),"")</f>
        <v>0.75238788632493214</v>
      </c>
      <c r="Z282" cm="1">
        <f t="array" ref="Z282">IFERROR(AVERAGE(_xlfn._xlws.FILTER(R$2:R$1073,($C$2:$C$1073=$C282)*($E$2:$E$1073=$E282)*(ROW(R$2:R$1073)&lt;&gt;ROW(R282))*(R$2:R$1073&lt;&gt;""))),"")</f>
        <v>4.5426248934197271E-2</v>
      </c>
      <c r="AA282" cm="1">
        <f t="array" ref="AA282">IFERROR(AVERAGE(_xlfn._xlws.FILTER(S$2:S$1073,($C$2:$C$1073=$C282)*($E$2:$E$1073=$E282)*(ROW(S$2:S$1073)&lt;&gt;ROW(S282))*(S$2:S$1073&lt;&gt;""))),"")</f>
        <v>0.41667267363696553</v>
      </c>
      <c r="AB282" cm="1">
        <f t="array" ref="AB282">IFERROR(AVERAGE(_xlfn._xlws.FILTER(T$2:T$1073,($C$2:$C$1073=$C282)*($E$2:$E$1073=$E282)*(ROW(T$2:T$1073)&lt;&gt;ROW(T282))*(T$2:T$1073&lt;&gt;""))),"")</f>
        <v>8.5592418392717098E-2</v>
      </c>
      <c r="AC282" cm="1">
        <f t="array" ref="AC282">IFERROR(AVERAGE(_xlfn._xlws.FILTER(U$2:U$1073,($C$2:$C$1073=$C282)*($E$2:$E$1073=$E282)*(ROW(U$2:U$1073)&lt;&gt;ROW(U282))*(U$2:U$1073&lt;&gt;""))),"")</f>
        <v>0.61845712199987812</v>
      </c>
      <c r="AD282" cm="1">
        <f t="array" ref="AD282">IFERROR(AVERAGE(_xlfn._xlws.FILTER(V$2:V$1073,($C$2:$C$1073=$C282)*($E$2:$E$1073=$E282)*(ROW(V$2:V$1073)&lt;&gt;ROW(V282))*(V$2:V$1073&lt;&gt;""))),"")</f>
        <v>0.35452283727016437</v>
      </c>
      <c r="AE282">
        <f>IF('Дивиденды по годам'!M282&lt;0,1,0)</f>
        <v>0</v>
      </c>
    </row>
    <row r="283" spans="1:31" x14ac:dyDescent="0.2">
      <c r="A283" s="7" t="s">
        <v>2212</v>
      </c>
      <c r="B283" t="str">
        <f t="shared" si="44"/>
        <v>OGKB IV кв. 2016</v>
      </c>
      <c r="C283">
        <v>2016</v>
      </c>
      <c r="D283">
        <f>SUMIFS(Дивиденды!$C:$C,Дивиденды!$A:$A,A283,Дивиденды!$I:$I,C283)</f>
        <v>8.2529999999999999E-3</v>
      </c>
      <c r="E283">
        <v>2</v>
      </c>
      <c r="F283">
        <f t="shared" si="45"/>
        <v>8.2529999999999999E-3</v>
      </c>
      <c r="G283">
        <f t="shared" si="46"/>
        <v>5.6707416666666656E-2</v>
      </c>
      <c r="H283">
        <f t="shared" si="47"/>
        <v>1</v>
      </c>
      <c r="I283">
        <f t="shared" si="48"/>
        <v>1</v>
      </c>
      <c r="J283">
        <f t="shared" si="49"/>
        <v>0.4545294324991187</v>
      </c>
      <c r="K283">
        <f t="shared" si="54"/>
        <v>1.3691925850975499</v>
      </c>
      <c r="L283">
        <f t="shared" si="50"/>
        <v>1</v>
      </c>
      <c r="M283">
        <f t="shared" si="51"/>
        <v>0.83333333333333337</v>
      </c>
      <c r="N283">
        <f t="shared" si="52"/>
        <v>0</v>
      </c>
      <c r="O283">
        <f t="shared" si="53"/>
        <v>0.16666666666666666</v>
      </c>
      <c r="P283">
        <f>IFERROR(LN('Дивиденды по годам'!I283),"")</f>
        <v>26.100431518164559</v>
      </c>
      <c r="Q283">
        <f>IFERROR('Дивиденды по годам'!G283/'Дивиденды по годам'!I283, "")</f>
        <v>0.85393864948711984</v>
      </c>
      <c r="R283">
        <f>IFERROR(IF(AND('Дивиденды по годам'!N283&lt;&gt;"",'Дивиденды по годам'!U283&lt;&gt;"",'Дивиденды по годам'!U283&lt;&gt;0),'Дивиденды по годам'!N283/'Дивиденды по годам'!U283-1,""),"")</f>
        <v>0.19748583874881986</v>
      </c>
      <c r="S283">
        <f>IFERROR(IF(AND('Дивиденды по годам'!L283&lt;&gt;"",'Дивиденды по годам'!I283&lt;&gt;"",'Дивиденды по годам'!J283&lt;&gt;"",'Дивиденды по годам'!K283&lt;&gt;"",('Дивиденды по годам'!I283-'Дивиденды по годам'!J283-'Дивиденды по годам'!K283)&lt;&gt;0),'Дивиденды по годам'!L283/('Дивиденды по годам'!I283-'Дивиденды по годам'!J283-'Дивиденды по годам'!K283),""),"")</f>
        <v>0.43833668870964509</v>
      </c>
      <c r="T283">
        <f>IFERROR(IF(AND('Дивиденды по годам'!Q283&lt;&gt;"",'Дивиденды по годам'!I283&lt;&gt;"",'Дивиденды по годам'!V283&lt;&gt;"",('Дивиденды по годам'!I283+'Дивиденды по годам'!V283)&lt;&gt;0),'Дивиденды по годам'!Q283/(('Дивиденды по годам'!I283+'Дивиденды по годам'!V283)/2),""),"")</f>
        <v>1.4139390795672257E-2</v>
      </c>
      <c r="U283">
        <f>IFERROR(IF(AND('Дивиденды по годам'!J283&lt;&gt;"",'Дивиденды по годам'!K283&lt;&gt;"",'Дивиденды по годам'!M283&lt;&gt;"",'Дивиденды по годам'!M283&lt;&gt;0),('Дивиденды по годам'!J283+'Дивиденды по годам'!K283)/'Дивиденды по годам'!M283,""),"")</f>
        <v>0.88523686111007061</v>
      </c>
      <c r="V283">
        <f>IFERROR(IF(AND('Дивиденды по годам'!J283&lt;&gt;"",'Дивиденды по годам'!K283&lt;&gt;"",'Дивиденды по годам'!M283&lt;&gt;"",'Дивиденды по годам'!I283&lt;&gt;0),('Дивиденды по годам'!J283+'Дивиденды по годам'!K283)/'Дивиденды по годам'!I283,""),"")</f>
        <v>0.46956267372621968</v>
      </c>
      <c r="W283">
        <f>IFERROR('Дивиденды по годам'!I283,"")</f>
        <v>216408036000</v>
      </c>
      <c r="X283" cm="1">
        <f t="array" ref="X283">IFERROR(AVERAGE(_xlfn._xlws.FILTER(P$2:P$1073,($C$2:$C$1073=$C283)*($E$2:$E$1073=$E283)*(ROW(P$2:P$1073)&lt;&gt;ROW(P283))*(P$2:P$1073&lt;&gt;""))),"")</f>
        <v>26.000136743521892</v>
      </c>
      <c r="Y283" cm="1">
        <f t="array" ref="Y283">IFERROR(AVERAGE(_xlfn._xlws.FILTER(Q$2:Q$1073,($C$2:$C$1073=$C283)*($E$2:$E$1073=$E283)*(ROW(Q$2:Q$1073)&lt;&gt;ROW(Q283))*(Q$2:Q$1073&lt;&gt;""))),"")</f>
        <v>0.70479249262906274</v>
      </c>
      <c r="Z283" cm="1">
        <f t="array" ref="Z283">IFERROR(AVERAGE(_xlfn._xlws.FILTER(R$2:R$1073,($C$2:$C$1073=$C283)*($E$2:$E$1073=$E283)*(ROW(R$2:R$1073)&lt;&gt;ROW(R283))*(R$2:R$1073&lt;&gt;""))),"")</f>
        <v>0.10584299657160072</v>
      </c>
      <c r="AA283" cm="1">
        <f t="array" ref="AA283">IFERROR(AVERAGE(_xlfn._xlws.FILTER(S$2:S$1073,($C$2:$C$1073=$C283)*($E$2:$E$1073=$E283)*(ROW(S$2:S$1073)&lt;&gt;ROW(S283))*(S$2:S$1073&lt;&gt;""))),"")</f>
        <v>0.40621572623913771</v>
      </c>
      <c r="AB283" cm="1">
        <f t="array" ref="AB283">IFERROR(AVERAGE(_xlfn._xlws.FILTER(T$2:T$1073,($C$2:$C$1073=$C283)*($E$2:$E$1073=$E283)*(ROW(T$2:T$1073)&lt;&gt;ROW(T283))*(T$2:T$1073&lt;&gt;""))),"")</f>
        <v>4.3624411875946699E-2</v>
      </c>
      <c r="AC283" cm="1">
        <f t="array" ref="AC283">IFERROR(AVERAGE(_xlfn._xlws.FILTER(U$2:U$1073,($C$2:$C$1073=$C283)*($E$2:$E$1073=$E283)*(ROW(U$2:U$1073)&lt;&gt;ROW(U283))*(U$2:U$1073&lt;&gt;""))),"")</f>
        <v>0.71302097587319047</v>
      </c>
      <c r="AD283" cm="1">
        <f t="array" ref="AD283">IFERROR(AVERAGE(_xlfn._xlws.FILTER(V$2:V$1073,($C$2:$C$1073=$C283)*($E$2:$E$1073=$E283)*(ROW(V$2:V$1073)&lt;&gt;ROW(V283))*(V$2:V$1073&lt;&gt;""))),"")</f>
        <v>0.38792018214194357</v>
      </c>
      <c r="AE283">
        <f>IF('Дивиденды по годам'!M283&lt;0,1,0)</f>
        <v>0</v>
      </c>
    </row>
    <row r="284" spans="1:31" x14ac:dyDescent="0.2">
      <c r="A284" s="7" t="s">
        <v>2212</v>
      </c>
      <c r="B284" t="str">
        <f t="shared" si="44"/>
        <v>OGKB IV кв. 2015</v>
      </c>
      <c r="C284">
        <v>2015</v>
      </c>
      <c r="D284">
        <f>SUMIFS(Дивиденды!$C:$C,Дивиденды!$A:$A,A284,Дивиденды!$I:$I,C284)</f>
        <v>5.6740000000000002E-3</v>
      </c>
      <c r="E284">
        <v>2</v>
      </c>
      <c r="F284">
        <f t="shared" si="45"/>
        <v>5.6740000000000002E-3</v>
      </c>
      <c r="G284">
        <f t="shared" si="46"/>
        <v>4.0967250000000004E-2</v>
      </c>
      <c r="H284">
        <f t="shared" si="47"/>
        <v>1</v>
      </c>
      <c r="I284">
        <f t="shared" si="48"/>
        <v>0.91666666666666663</v>
      </c>
      <c r="J284">
        <f t="shared" si="49"/>
        <v>-0.30311962662736425</v>
      </c>
      <c r="K284">
        <f t="shared" si="54"/>
        <v>4.170236413877956</v>
      </c>
      <c r="L284">
        <f t="shared" si="50"/>
        <v>0</v>
      </c>
      <c r="M284">
        <f t="shared" si="51"/>
        <v>0.75</v>
      </c>
      <c r="N284">
        <f t="shared" si="52"/>
        <v>1</v>
      </c>
      <c r="O284">
        <f t="shared" si="53"/>
        <v>0.25</v>
      </c>
      <c r="P284">
        <f>IFERROR(LN('Дивиденды по годам'!I284),"")</f>
        <v>26.095656026816172</v>
      </c>
      <c r="Q284">
        <f>IFERROR('Дивиденды по годам'!G284/'Дивиденды по годам'!I284, "")</f>
        <v>0.82830476200469738</v>
      </c>
      <c r="R284">
        <f>IFERROR(IF(AND('Дивиденды по годам'!N284&lt;&gt;"",'Дивиденды по годам'!U284&lt;&gt;"",'Дивиденды по годам'!U284&lt;&gt;0),'Дивиденды по годам'!N284/'Дивиденды по годам'!U284-1,""),"")</f>
        <v>-3.2790234761890691E-2</v>
      </c>
      <c r="S284">
        <f>IFERROR(IF(AND('Дивиденды по годам'!L284&lt;&gt;"",'Дивиденды по годам'!I284&lt;&gt;"",'Дивиденды по годам'!J284&lt;&gt;"",'Дивиденды по годам'!K284&lt;&gt;"",('Дивиденды по годам'!I284-'Дивиденды по годам'!J284-'Дивиденды по годам'!K284)&lt;&gt;0),'Дивиденды по годам'!L284/('Дивиденды по годам'!I284-'Дивиденды по годам'!J284-'Дивиденды по годам'!K284),""),"")</f>
        <v>0.42388885269130594</v>
      </c>
      <c r="T284">
        <f>IFERROR(IF(AND('Дивиденды по годам'!Q284&lt;&gt;"",'Дивиденды по годам'!I284&lt;&gt;"",'Дивиденды по годам'!V284&lt;&gt;"",('Дивиденды по годам'!I284+'Дивиденды по годам'!V284)&lt;&gt;0),'Дивиденды по годам'!Q284/(('Дивиденды по годам'!I284+'Дивиденды по годам'!V284)/2),""),"")</f>
        <v>1.3089725809901526E-2</v>
      </c>
      <c r="U284">
        <f>IFERROR(IF(AND('Дивиденды по годам'!J284&lt;&gt;"",'Дивиденды по годам'!K284&lt;&gt;"",'Дивиденды по годам'!M284&lt;&gt;"",'Дивиденды по годам'!M284&lt;&gt;0),('Дивиденды по годам'!J284+'Дивиденды по годам'!K284)/'Дивиденды по годам'!M284,""),"")</f>
        <v>0.86957516936779633</v>
      </c>
      <c r="V284">
        <f>IFERROR(IF(AND('Дивиденды по годам'!J284&lt;&gt;"",'Дивиденды по годам'!K284&lt;&gt;"",'Дивиденды по годам'!M284&lt;&gt;"",'Дивиденды по годам'!I284&lt;&gt;0),('Дивиденды по годам'!J284+'Дивиденды по годам'!K284)/'Дивиденды по годам'!I284,""),"")</f>
        <v>0.46511912632100605</v>
      </c>
      <c r="W284">
        <f>IFERROR('Дивиденды по годам'!I284,"")</f>
        <v>215377045000</v>
      </c>
      <c r="X284" cm="1">
        <f t="array" ref="X284">IFERROR(AVERAGE(_xlfn._xlws.FILTER(P$2:P$1073,($C$2:$C$1073=$C284)*($E$2:$E$1073=$E284)*(ROW(P$2:P$1073)&lt;&gt;ROW(P284))*(P$2:P$1073&lt;&gt;""))),"")</f>
        <v>25.912375416023234</v>
      </c>
      <c r="Y284" cm="1">
        <f t="array" ref="Y284">IFERROR(AVERAGE(_xlfn._xlws.FILTER(Q$2:Q$1073,($C$2:$C$1073=$C284)*($E$2:$E$1073=$E284)*(ROW(Q$2:Q$1073)&lt;&gt;ROW(Q284))*(Q$2:Q$1073&lt;&gt;""))),"")</f>
        <v>0.7744908251490602</v>
      </c>
      <c r="Z284" cm="1">
        <f t="array" ref="Z284">IFERROR(AVERAGE(_xlfn._xlws.FILTER(R$2:R$1073,($C$2:$C$1073=$C284)*($E$2:$E$1073=$E284)*(ROW(R$2:R$1073)&lt;&gt;ROW(R284))*(R$2:R$1073&lt;&gt;""))),"")</f>
        <v>1.114534705621828E-2</v>
      </c>
      <c r="AA284" cm="1">
        <f t="array" ref="AA284">IFERROR(AVERAGE(_xlfn._xlws.FILTER(S$2:S$1073,($C$2:$C$1073=$C284)*($E$2:$E$1073=$E284)*(ROW(S$2:S$1073)&lt;&gt;ROW(S284))*(S$2:S$1073&lt;&gt;""))),"")</f>
        <v>0.4982124851262163</v>
      </c>
      <c r="AB284" cm="1">
        <f t="array" ref="AB284">IFERROR(AVERAGE(_xlfn._xlws.FILTER(T$2:T$1073,($C$2:$C$1073=$C284)*($E$2:$E$1073=$E284)*(ROW(T$2:T$1073)&lt;&gt;ROW(T284))*(T$2:T$1073&lt;&gt;""))),"")</f>
        <v>-1.5218571844605733E-2</v>
      </c>
      <c r="AC284" cm="1">
        <f t="array" ref="AC284">IFERROR(AVERAGE(_xlfn._xlws.FILTER(U$2:U$1073,($C$2:$C$1073=$C284)*($E$2:$E$1073=$E284)*(ROW(U$2:U$1073)&lt;&gt;ROW(U284))*(U$2:U$1073&lt;&gt;""))),"")</f>
        <v>0.89491010339615362</v>
      </c>
      <c r="AD284" cm="1">
        <f t="array" ref="AD284">IFERROR(AVERAGE(_xlfn._xlws.FILTER(V$2:V$1073,($C$2:$C$1073=$C284)*($E$2:$E$1073=$E284)*(ROW(V$2:V$1073)&lt;&gt;ROW(V284))*(V$2:V$1073&lt;&gt;""))),"")</f>
        <v>0.43584943661793368</v>
      </c>
      <c r="AE284">
        <f>IF('Дивиденды по годам'!M284&lt;0,1,0)</f>
        <v>0</v>
      </c>
    </row>
    <row r="285" spans="1:31" x14ac:dyDescent="0.2">
      <c r="A285" s="7" t="s">
        <v>2212</v>
      </c>
      <c r="B285" t="str">
        <f t="shared" si="44"/>
        <v>OGKB IV кв. 2014</v>
      </c>
      <c r="C285">
        <v>2014</v>
      </c>
      <c r="D285">
        <f>SUMIFS(Дивиденды!$C:$C,Дивиденды!$A:$A,A285,Дивиденды!$I:$I,C285)</f>
        <v>8.1419999999999999E-3</v>
      </c>
      <c r="E285">
        <v>2</v>
      </c>
      <c r="F285">
        <f t="shared" si="45"/>
        <v>8.1419999999999999E-3</v>
      </c>
      <c r="G285">
        <f t="shared" si="46"/>
        <v>3.8289416666666666E-2</v>
      </c>
      <c r="H285">
        <f t="shared" si="47"/>
        <v>1</v>
      </c>
      <c r="I285">
        <f t="shared" si="48"/>
        <v>1</v>
      </c>
      <c r="J285">
        <f t="shared" si="49"/>
        <v>1</v>
      </c>
      <c r="K285">
        <f t="shared" si="54"/>
        <v>1.317770148349972</v>
      </c>
      <c r="L285">
        <f t="shared" si="50"/>
        <v>1</v>
      </c>
      <c r="M285">
        <f t="shared" si="51"/>
        <v>0.58333333333333337</v>
      </c>
      <c r="N285">
        <f t="shared" si="52"/>
        <v>0</v>
      </c>
      <c r="O285">
        <f t="shared" si="53"/>
        <v>0.33333333333333331</v>
      </c>
      <c r="P285">
        <f>IFERROR(LN('Дивиденды по годам'!I285),"")</f>
        <v>25.923778007724799</v>
      </c>
      <c r="Q285">
        <f>IFERROR('Дивиденды по годам'!G285/'Дивиденды по годам'!I285, "")</f>
        <v>0.78712071783950854</v>
      </c>
      <c r="R285" t="str">
        <f>IFERROR(IF(AND('Дивиденды по годам'!N285&lt;&gt;"",'Дивиденды по годам'!U285&lt;&gt;"",'Дивиденды по годам'!U285&lt;&gt;0),'Дивиденды по годам'!N285/'Дивиденды по годам'!U285-1,""),"")</f>
        <v/>
      </c>
      <c r="S285">
        <f>IFERROR(IF(AND('Дивиденды по годам'!L285&lt;&gt;"",'Дивиденды по годам'!I285&lt;&gt;"",'Дивиденды по годам'!J285&lt;&gt;"",'Дивиденды по годам'!K285&lt;&gt;"",('Дивиденды по годам'!I285-'Дивиденды по годам'!J285-'Дивиденды по годам'!K285)&lt;&gt;0),'Дивиденды по годам'!L285/('Дивиденды по годам'!I285-'Дивиденды по годам'!J285-'Дивиденды по годам'!K285),""),"")</f>
        <v>0.42568936388073114</v>
      </c>
      <c r="T285" t="str">
        <f>IFERROR(IF(AND('Дивиденды по годам'!Q285&lt;&gt;"",'Дивиденды по годам'!I285&lt;&gt;"",'Дивиденды по годам'!V285&lt;&gt;"",('Дивиденды по годам'!I285+'Дивиденды по годам'!V285)&lt;&gt;0),'Дивиденды по годам'!Q285/(('Дивиденды по годам'!I285+'Дивиденды по годам'!V285)/2),""),"")</f>
        <v/>
      </c>
      <c r="U285">
        <f>IFERROR(IF(AND('Дивиденды по годам'!J285&lt;&gt;"",'Дивиденды по годам'!K285&lt;&gt;"",'Дивиденды по годам'!M285&lt;&gt;"",'Дивиденды по годам'!M285&lt;&gt;0),('Дивиденды по годам'!J285+'Дивиденды по годам'!K285)/'Дивиденды по годам'!M285,""),"")</f>
        <v>0.62505160464263876</v>
      </c>
      <c r="V285">
        <f>IFERROR(IF(AND('Дивиденды по годам'!J285&lt;&gt;"",'Дивиденды по годам'!K285&lt;&gt;"",'Дивиденды по годам'!M285&lt;&gt;"",'Дивиденды по годам'!I285&lt;&gt;0),('Дивиденды по годам'!J285+'Дивиденды по годам'!K285)/'Дивиденды по годам'!I285,""),"")</f>
        <v>0.38463492658135767</v>
      </c>
      <c r="W285">
        <f>IFERROR('Дивиденды по годам'!I285,"")</f>
        <v>181365108000</v>
      </c>
      <c r="X285" cm="1">
        <f t="array" ref="X285">IFERROR(AVERAGE(_xlfn._xlws.FILTER(P$2:P$1073,($C$2:$C$1073=$C285)*($E$2:$E$1073=$E285)*(ROW(P$2:P$1073)&lt;&gt;ROW(P285))*(P$2:P$1073&lt;&gt;""))),"")</f>
        <v>26.186220495210939</v>
      </c>
      <c r="Y285" cm="1">
        <f t="array" ref="Y285">IFERROR(AVERAGE(_xlfn._xlws.FILTER(Q$2:Q$1073,($C$2:$C$1073=$C285)*($E$2:$E$1073=$E285)*(ROW(Q$2:Q$1073)&lt;&gt;ROW(Q285))*(Q$2:Q$1073&lt;&gt;""))),"")</f>
        <v>0.76991976251914218</v>
      </c>
      <c r="Z285" cm="1">
        <f t="array" ref="Z285">IFERROR(AVERAGE(_xlfn._xlws.FILTER(R$2:R$1073,($C$2:$C$1073=$C285)*($E$2:$E$1073=$E285)*(ROW(R$2:R$1073)&lt;&gt;ROW(R285))*(R$2:R$1073&lt;&gt;""))),"")</f>
        <v>2.2711345548547646E-2</v>
      </c>
      <c r="AA285" cm="1">
        <f t="array" ref="AA285">IFERROR(AVERAGE(_xlfn._xlws.FILTER(S$2:S$1073,($C$2:$C$1073=$C285)*($E$2:$E$1073=$E285)*(ROW(S$2:S$1073)&lt;&gt;ROW(S285))*(S$2:S$1073&lt;&gt;""))),"")</f>
        <v>0.64045455671739793</v>
      </c>
      <c r="AB285" cm="1">
        <f t="array" ref="AB285">IFERROR(AVERAGE(_xlfn._xlws.FILTER(T$2:T$1073,($C$2:$C$1073=$C285)*($E$2:$E$1073=$E285)*(ROW(T$2:T$1073)&lt;&gt;ROW(T285))*(T$2:T$1073&lt;&gt;""))),"")</f>
        <v>1.8616337284622531E-2</v>
      </c>
      <c r="AC285" cm="1">
        <f t="array" ref="AC285">IFERROR(AVERAGE(_xlfn._xlws.FILTER(U$2:U$1073,($C$2:$C$1073=$C285)*($E$2:$E$1073=$E285)*(ROW(U$2:U$1073)&lt;&gt;ROW(U285))*(U$2:U$1073&lt;&gt;""))),"")</f>
        <v>0.76665457782959223</v>
      </c>
      <c r="AD285" cm="1">
        <f t="array" ref="AD285">IFERROR(AVERAGE(_xlfn._xlws.FILTER(V$2:V$1073,($C$2:$C$1073=$C285)*($E$2:$E$1073=$E285)*(ROW(V$2:V$1073)&lt;&gt;ROW(V285))*(V$2:V$1073&lt;&gt;""))),"")</f>
        <v>0.40545776710178716</v>
      </c>
      <c r="AE285">
        <f>IF('Дивиденды по годам'!M285&lt;0,1,0)</f>
        <v>0</v>
      </c>
    </row>
    <row r="286" spans="1:31" x14ac:dyDescent="0.2">
      <c r="A286" s="7" t="s">
        <v>2212</v>
      </c>
      <c r="B286" t="str">
        <f t="shared" si="44"/>
        <v>OGKB IV кв. 2013</v>
      </c>
      <c r="C286">
        <v>2013</v>
      </c>
      <c r="D286">
        <f>SUMIFS(Дивиденды!$C:$C,Дивиденды!$A:$A,A286,Дивиденды!$I:$I,C286)</f>
        <v>0</v>
      </c>
      <c r="E286">
        <v>2</v>
      </c>
      <c r="F286">
        <f t="shared" si="45"/>
        <v>0</v>
      </c>
      <c r="G286">
        <f t="shared" si="46"/>
        <v>4.6443083333333329E-2</v>
      </c>
      <c r="H286">
        <f t="shared" si="47"/>
        <v>0</v>
      </c>
      <c r="I286">
        <f t="shared" si="48"/>
        <v>0.83333333333333337</v>
      </c>
      <c r="J286">
        <f t="shared" si="49"/>
        <v>0</v>
      </c>
      <c r="K286">
        <f t="shared" si="54"/>
        <v>1.2952854418676727E-2</v>
      </c>
      <c r="L286">
        <f t="shared" si="50"/>
        <v>0</v>
      </c>
      <c r="M286">
        <f t="shared" si="51"/>
        <v>0.5</v>
      </c>
      <c r="N286">
        <f t="shared" si="52"/>
        <v>0</v>
      </c>
      <c r="O286">
        <f t="shared" si="53"/>
        <v>0.33333333333333331</v>
      </c>
      <c r="P286" t="str">
        <f>IFERROR(LN('Дивиденды по годам'!I286),"")</f>
        <v/>
      </c>
      <c r="Q286" t="str">
        <f>IFERROR('Дивиденды по годам'!G286/'Дивиденды по годам'!I286, "")</f>
        <v/>
      </c>
      <c r="R286" t="str">
        <f>IFERROR(IF(AND('Дивиденды по годам'!N286&lt;&gt;"",'Дивиденды по годам'!U286&lt;&gt;"",'Дивиденды по годам'!U286&lt;&gt;0),'Дивиденды по годам'!N286/'Дивиденды по годам'!U286-1,""),"")</f>
        <v/>
      </c>
      <c r="S286" t="str">
        <f>IFERROR(IF(AND('Дивиденды по годам'!L286&lt;&gt;"",'Дивиденды по годам'!I286&lt;&gt;"",'Дивиденды по годам'!J286&lt;&gt;"",'Дивиденды по годам'!K286&lt;&gt;"",('Дивиденды по годам'!I286-'Дивиденды по годам'!J286-'Дивиденды по годам'!K286)&lt;&gt;0),'Дивиденды по годам'!L286/('Дивиденды по годам'!I286-'Дивиденды по годам'!J286-'Дивиденды по годам'!K286),""),"")</f>
        <v/>
      </c>
      <c r="T286" t="str">
        <f>IFERROR(IF(AND('Дивиденды по годам'!Q286&lt;&gt;"",'Дивиденды по годам'!I286&lt;&gt;"",'Дивиденды по годам'!V286&lt;&gt;"",('Дивиденды по годам'!I286+'Дивиденды по годам'!V286)&lt;&gt;0),'Дивиденды по годам'!Q286/(('Дивиденды по годам'!I286+'Дивиденды по годам'!V286)/2),""),"")</f>
        <v/>
      </c>
      <c r="U286" t="str">
        <f>IFERROR(IF(AND('Дивиденды по годам'!J286&lt;&gt;"",'Дивиденды по годам'!K286&lt;&gt;"",'Дивиденды по годам'!M286&lt;&gt;"",'Дивиденды по годам'!M286&lt;&gt;0),('Дивиденды по годам'!J286+'Дивиденды по годам'!K286)/'Дивиденды по годам'!M286,""),"")</f>
        <v/>
      </c>
      <c r="V286" t="str">
        <f>IFERROR(IF(AND('Дивиденды по годам'!J286&lt;&gt;"",'Дивиденды по годам'!K286&lt;&gt;"",'Дивиденды по годам'!M286&lt;&gt;"",'Дивиденды по годам'!I286&lt;&gt;0),('Дивиденды по годам'!J286+'Дивиденды по годам'!K286)/'Дивиденды по годам'!I286,""),"")</f>
        <v/>
      </c>
      <c r="W286" t="str">
        <f>IFERROR('Дивиденды по годам'!I286,"")</f>
        <v/>
      </c>
      <c r="X286" cm="1">
        <f t="array" ref="X286">IFERROR(AVERAGE(_xlfn._xlws.FILTER(P$2:P$1073,($C$2:$C$1073=$C286)*($E$2:$E$1073=$E286)*(ROW(P$2:P$1073)&lt;&gt;ROW(P286))*(P$2:P$1073&lt;&gt;""))),"")</f>
        <v>26.107966937559624</v>
      </c>
      <c r="Y286" cm="1">
        <f t="array" ref="Y286">IFERROR(AVERAGE(_xlfn._xlws.FILTER(Q$2:Q$1073,($C$2:$C$1073=$C286)*($E$2:$E$1073=$E286)*(ROW(Q$2:Q$1073)&lt;&gt;ROW(Q286))*(Q$2:Q$1073&lt;&gt;""))),"")</f>
        <v>0.78284782963507815</v>
      </c>
      <c r="Z286" cm="1">
        <f t="array" ref="Z286">IFERROR(AVERAGE(_xlfn._xlws.FILTER(R$2:R$1073,($C$2:$C$1073=$C286)*($E$2:$E$1073=$E286)*(ROW(R$2:R$1073)&lt;&gt;ROW(R286))*(R$2:R$1073&lt;&gt;""))),"")</f>
        <v>9.7785091869587032E-2</v>
      </c>
      <c r="AA286" cm="1">
        <f t="array" ref="AA286">IFERROR(AVERAGE(_xlfn._xlws.FILTER(S$2:S$1073,($C$2:$C$1073=$C286)*($E$2:$E$1073=$E286)*(ROW(S$2:S$1073)&lt;&gt;ROW(S286))*(S$2:S$1073&lt;&gt;""))),"")</f>
        <v>0.4636519590056305</v>
      </c>
      <c r="AB286" cm="1">
        <f t="array" ref="AB286">IFERROR(AVERAGE(_xlfn._xlws.FILTER(T$2:T$1073,($C$2:$C$1073=$C286)*($E$2:$E$1073=$E286)*(ROW(T$2:T$1073)&lt;&gt;ROW(T286))*(T$2:T$1073&lt;&gt;""))),"")</f>
        <v>-4.8827551291955292E-3</v>
      </c>
      <c r="AC286" cm="1">
        <f t="array" ref="AC286">IFERROR(AVERAGE(_xlfn._xlws.FILTER(U$2:U$1073,($C$2:$C$1073=$C286)*($E$2:$E$1073=$E286)*(ROW(U$2:U$1073)&lt;&gt;ROW(U286))*(U$2:U$1073&lt;&gt;""))),"")</f>
        <v>0.67717497861204956</v>
      </c>
      <c r="AD286" cm="1">
        <f t="array" ref="AD286">IFERROR(AVERAGE(_xlfn._xlws.FILTER(V$2:V$1073,($C$2:$C$1073=$C286)*($E$2:$E$1073=$E286)*(ROW(V$2:V$1073)&lt;&gt;ROW(V286))*(V$2:V$1073&lt;&gt;""))),"")</f>
        <v>0.37756304066241159</v>
      </c>
      <c r="AE286">
        <f>IF('Дивиденды по годам'!M286&lt;0,1,0)</f>
        <v>0</v>
      </c>
    </row>
    <row r="287" spans="1:31" x14ac:dyDescent="0.2">
      <c r="A287" s="7" t="s">
        <v>2212</v>
      </c>
      <c r="B287" t="str">
        <f t="shared" si="44"/>
        <v>OGKB IV кв. 2012</v>
      </c>
      <c r="C287">
        <v>2012</v>
      </c>
      <c r="D287">
        <f>SUMIFS(Дивиденды!$C:$C,Дивиденды!$A:$A,A287,Дивиденды!$I:$I,C287)</f>
        <v>0</v>
      </c>
      <c r="E287">
        <v>2</v>
      </c>
      <c r="F287">
        <f t="shared" si="45"/>
        <v>0</v>
      </c>
      <c r="G287">
        <f t="shared" si="46"/>
        <v>3.7162333333333332E-2</v>
      </c>
      <c r="H287">
        <f t="shared" si="47"/>
        <v>0</v>
      </c>
      <c r="I287">
        <f t="shared" si="48"/>
        <v>0.75</v>
      </c>
      <c r="J287">
        <f t="shared" si="49"/>
        <v>-1</v>
      </c>
      <c r="K287">
        <f t="shared" si="54"/>
        <v>0.82413537634016565</v>
      </c>
      <c r="L287">
        <f t="shared" si="50"/>
        <v>0</v>
      </c>
      <c r="M287">
        <f t="shared" si="51"/>
        <v>0.58333333333333337</v>
      </c>
      <c r="N287">
        <f t="shared" si="52"/>
        <v>1</v>
      </c>
      <c r="O287">
        <f t="shared" si="53"/>
        <v>8.3333333333333329E-2</v>
      </c>
      <c r="P287">
        <f>IFERROR(LN('Дивиденды по годам'!I287),"")</f>
        <v>25.731445251170221</v>
      </c>
      <c r="Q287">
        <f>IFERROR('Дивиденды по годам'!G287/'Дивиденды по годам'!I287, "")</f>
        <v>0.7625421609151033</v>
      </c>
      <c r="R287">
        <f>IFERROR(IF(AND('Дивиденды по годам'!N287&lt;&gt;"",'Дивиденды по годам'!U287&lt;&gt;"",'Дивиденды по годам'!U287&lt;&gt;0),'Дивиденды по годам'!N287/'Дивиденды по годам'!U287-1,""),"")</f>
        <v>-6.5041026157436344E-3</v>
      </c>
      <c r="S287" t="str">
        <f>IFERROR(IF(AND('Дивиденды по годам'!L287&lt;&gt;"",'Дивиденды по годам'!I287&lt;&gt;"",'Дивиденды по годам'!J287&lt;&gt;"",'Дивиденды по годам'!K287&lt;&gt;"",('Дивиденды по годам'!I287-'Дивиденды по годам'!J287-'Дивиденды по годам'!K287)&lt;&gt;0),'Дивиденды по годам'!L287/('Дивиденды по годам'!I287-'Дивиденды по годам'!J287-'Дивиденды по годам'!K287),""),"")</f>
        <v/>
      </c>
      <c r="T287" t="str">
        <f>IFERROR(IF(AND('Дивиденды по годам'!Q287&lt;&gt;"",'Дивиденды по годам'!I287&lt;&gt;"",'Дивиденды по годам'!V287&lt;&gt;"",('Дивиденды по годам'!I287+'Дивиденды по годам'!V287)&lt;&gt;0),'Дивиденды по годам'!Q287/(('Дивиденды по годам'!I287+'Дивиденды по годам'!V287)/2),""),"")</f>
        <v/>
      </c>
      <c r="U287">
        <f>IFERROR(IF(AND('Дивиденды по годам'!J287&lt;&gt;"",'Дивиденды по годам'!K287&lt;&gt;"",'Дивиденды по годам'!M287&lt;&gt;"",'Дивиденды по годам'!M287&lt;&gt;0),('Дивиденды по годам'!J287+'Дивиденды по годам'!K287)/'Дивиденды по годам'!M287,""),"")</f>
        <v>0.37599980916692499</v>
      </c>
      <c r="V287">
        <f>IFERROR(IF(AND('Дивиденды по годам'!J287&lt;&gt;"",'Дивиденды по годам'!K287&lt;&gt;"",'Дивиденды по годам'!M287&lt;&gt;"",'Дивиденды по годам'!I287&lt;&gt;0),('Дивиденды по годам'!J287+'Дивиденды по годам'!K287)/'Дивиденды по годам'!I287,""),"")</f>
        <v>0.27325571316362862</v>
      </c>
      <c r="W287">
        <f>IFERROR('Дивиденды по годам'!I287,"")</f>
        <v>149632070000</v>
      </c>
      <c r="X287" cm="1">
        <f t="array" ref="X287">IFERROR(AVERAGE(_xlfn._xlws.FILTER(P$2:P$1073,($C$2:$C$1073=$C287)*($E$2:$E$1073=$E287)*(ROW(P$2:P$1073)&lt;&gt;ROW(P287))*(P$2:P$1073&lt;&gt;""))),"")</f>
        <v>26.141731608187342</v>
      </c>
      <c r="Y287" cm="1">
        <f t="array" ref="Y287">IFERROR(AVERAGE(_xlfn._xlws.FILTER(Q$2:Q$1073,($C$2:$C$1073=$C287)*($E$2:$E$1073=$E287)*(ROW(Q$2:Q$1073)&lt;&gt;ROW(Q287))*(Q$2:Q$1073&lt;&gt;""))),"")</f>
        <v>0.77922310328996469</v>
      </c>
      <c r="Z287" cm="1">
        <f t="array" ref="Z287">IFERROR(AVERAGE(_xlfn._xlws.FILTER(R$2:R$1073,($C$2:$C$1073=$C287)*($E$2:$E$1073=$E287)*(ROW(R$2:R$1073)&lt;&gt;ROW(R287))*(R$2:R$1073&lt;&gt;""))),"")</f>
        <v>-1.6897279659365542E-2</v>
      </c>
      <c r="AA287" cm="1">
        <f t="array" ref="AA287">IFERROR(AVERAGE(_xlfn._xlws.FILTER(S$2:S$1073,($C$2:$C$1073=$C287)*($E$2:$E$1073=$E287)*(ROW(S$2:S$1073)&lt;&gt;ROW(S287))*(S$2:S$1073&lt;&gt;""))),"")</f>
        <v>0.44715527647269881</v>
      </c>
      <c r="AB287" cm="1">
        <f t="array" ref="AB287">IFERROR(AVERAGE(_xlfn._xlws.FILTER(T$2:T$1073,($C$2:$C$1073=$C287)*($E$2:$E$1073=$E287)*(ROW(T$2:T$1073)&lt;&gt;ROW(T287))*(T$2:T$1073&lt;&gt;""))),"")</f>
        <v>1.9505350639917447E-2</v>
      </c>
      <c r="AC287" cm="1">
        <f t="array" ref="AC287">IFERROR(AVERAGE(_xlfn._xlws.FILTER(U$2:U$1073,($C$2:$C$1073=$C287)*($E$2:$E$1073=$E287)*(ROW(U$2:U$1073)&lt;&gt;ROW(U287))*(U$2:U$1073&lt;&gt;""))),"")</f>
        <v>0.67887968635702056</v>
      </c>
      <c r="AD287" cm="1">
        <f t="array" ref="AD287">IFERROR(AVERAGE(_xlfn._xlws.FILTER(V$2:V$1073,($C$2:$C$1073=$C287)*($E$2:$E$1073=$E287)*(ROW(V$2:V$1073)&lt;&gt;ROW(V287))*(V$2:V$1073&lt;&gt;""))),"")</f>
        <v>0.38869166683160394</v>
      </c>
      <c r="AE287">
        <f>IF('Дивиденды по годам'!M287&lt;0,1,0)</f>
        <v>0</v>
      </c>
    </row>
    <row r="288" spans="1:31" x14ac:dyDescent="0.2">
      <c r="A288" s="7" t="s">
        <v>2212</v>
      </c>
      <c r="B288" t="str">
        <f t="shared" si="44"/>
        <v>OGKB IV кв. 2011</v>
      </c>
      <c r="C288">
        <v>2011</v>
      </c>
      <c r="D288">
        <f>SUMIFS(Дивиденды!$C:$C,Дивиденды!$A:$A,A288,Дивиденды!$I:$I,C288)</f>
        <v>9.990000000000001E-4</v>
      </c>
      <c r="E288">
        <v>2</v>
      </c>
      <c r="F288">
        <f t="shared" si="45"/>
        <v>9.990000000000001E-4</v>
      </c>
      <c r="G288">
        <f t="shared" si="46"/>
        <v>1.14635E-2</v>
      </c>
      <c r="H288">
        <f t="shared" si="47"/>
        <v>1</v>
      </c>
      <c r="I288">
        <f t="shared" si="48"/>
        <v>0.75</v>
      </c>
      <c r="J288">
        <f t="shared" si="49"/>
        <v>-0.7951189499589828</v>
      </c>
      <c r="K288">
        <f t="shared" si="54"/>
        <v>0.11703016243270931</v>
      </c>
      <c r="L288">
        <f t="shared" si="50"/>
        <v>0</v>
      </c>
      <c r="M288">
        <f t="shared" si="51"/>
        <v>0.5</v>
      </c>
      <c r="N288">
        <f t="shared" si="52"/>
        <v>1</v>
      </c>
      <c r="O288">
        <f t="shared" si="53"/>
        <v>0.33333333333333331</v>
      </c>
      <c r="P288">
        <f>IFERROR(LN('Дивиденды по годам'!I288),"")</f>
        <v>25.606088774463483</v>
      </c>
      <c r="Q288">
        <f>IFERROR('Дивиденды по годам'!G288/'Дивиденды по годам'!I288, "")</f>
        <v>0.80678103779849353</v>
      </c>
      <c r="R288" t="str">
        <f>IFERROR(IF(AND('Дивиденды по годам'!N288&lt;&gt;"",'Дивиденды по годам'!U288&lt;&gt;"",'Дивиденды по годам'!U288&lt;&gt;0),'Дивиденды по годам'!N288/'Дивиденды по годам'!U288-1,""),"")</f>
        <v/>
      </c>
      <c r="S288" t="str">
        <f>IFERROR(IF(AND('Дивиденды по годам'!L288&lt;&gt;"",'Дивиденды по годам'!I288&lt;&gt;"",'Дивиденды по годам'!J288&lt;&gt;"",'Дивиденды по годам'!K288&lt;&gt;"",('Дивиденды по годам'!I288-'Дивиденды по годам'!J288-'Дивиденды по годам'!K288)&lt;&gt;0),'Дивиденды по годам'!L288/('Дивиденды по годам'!I288-'Дивиденды по годам'!J288-'Дивиденды по годам'!K288),""),"")</f>
        <v/>
      </c>
      <c r="T288" t="str">
        <f>IFERROR(IF(AND('Дивиденды по годам'!Q288&lt;&gt;"",'Дивиденды по годам'!I288&lt;&gt;"",'Дивиденды по годам'!V288&lt;&gt;"",('Дивиденды по годам'!I288+'Дивиденды по годам'!V288)&lt;&gt;0),'Дивиденды по годам'!Q288/(('Дивиденды по годам'!I288+'Дивиденды по годам'!V288)/2),""),"")</f>
        <v/>
      </c>
      <c r="U288">
        <f>IFERROR(IF(AND('Дивиденды по годам'!J288&lt;&gt;"",'Дивиденды по годам'!K288&lt;&gt;"",'Дивиденды по годам'!M288&lt;&gt;"",'Дивиденды по годам'!M288&lt;&gt;0),('Дивиденды по годам'!J288+'Дивиденды по годам'!K288)/'Дивиденды по годам'!M288,""),"")</f>
        <v>0.60053176792975915</v>
      </c>
      <c r="V288">
        <f>IFERROR(IF(AND('Дивиденды по годам'!J288&lt;&gt;"",'Дивиденды по годам'!K288&lt;&gt;"",'Дивиденды по годам'!M288&lt;&gt;"",'Дивиденды по годам'!I288&lt;&gt;0),('Дивиденды по годам'!J288+'Дивиденды по годам'!K288)/'Дивиденды по годам'!I288,""),"")</f>
        <v>0.37520765283311397</v>
      </c>
      <c r="W288">
        <f>IFERROR('Дивиденды по годам'!I288,"")</f>
        <v>132002774000</v>
      </c>
      <c r="X288" cm="1">
        <f t="array" ref="X288">IFERROR(AVERAGE(_xlfn._xlws.FILTER(P$2:P$1073,($C$2:$C$1073=$C288)*($E$2:$E$1073=$E288)*(ROW(P$2:P$1073)&lt;&gt;ROW(P288))*(P$2:P$1073&lt;&gt;""))),"")</f>
        <v>26.204889338949933</v>
      </c>
      <c r="Y288" cm="1">
        <f t="array" ref="Y288">IFERROR(AVERAGE(_xlfn._xlws.FILTER(Q$2:Q$1073,($C$2:$C$1073=$C288)*($E$2:$E$1073=$E288)*(ROW(Q$2:Q$1073)&lt;&gt;ROW(Q288))*(Q$2:Q$1073&lt;&gt;""))),"")</f>
        <v>0.76218515784679153</v>
      </c>
      <c r="Z288" cm="1">
        <f t="array" ref="Z288">IFERROR(AVERAGE(_xlfn._xlws.FILTER(R$2:R$1073,($C$2:$C$1073=$C288)*($E$2:$E$1073=$E288)*(ROW(R$2:R$1073)&lt;&gt;ROW(R288))*(R$2:R$1073&lt;&gt;""))),"")</f>
        <v>0.14348983045887875</v>
      </c>
      <c r="AA288" cm="1">
        <f t="array" ref="AA288">IFERROR(AVERAGE(_xlfn._xlws.FILTER(S$2:S$1073,($C$2:$C$1073=$C288)*($E$2:$E$1073=$E288)*(ROW(S$2:S$1073)&lt;&gt;ROW(S288))*(S$2:S$1073&lt;&gt;""))),"")</f>
        <v>0.39850050246333968</v>
      </c>
      <c r="AB288" cm="1">
        <f t="array" ref="AB288">IFERROR(AVERAGE(_xlfn._xlws.FILTER(T$2:T$1073,($C$2:$C$1073=$C288)*($E$2:$E$1073=$E288)*(ROW(T$2:T$1073)&lt;&gt;ROW(T288))*(T$2:T$1073&lt;&gt;""))),"")</f>
        <v>4.5214358774442007E-2</v>
      </c>
      <c r="AC288" cm="1">
        <f t="array" ref="AC288">IFERROR(AVERAGE(_xlfn._xlws.FILTER(U$2:U$1073,($C$2:$C$1073=$C288)*($E$2:$E$1073=$E288)*(ROW(U$2:U$1073)&lt;&gt;ROW(U288))*(U$2:U$1073&lt;&gt;""))),"")</f>
        <v>0.5940582662562448</v>
      </c>
      <c r="AD288" cm="1">
        <f t="array" ref="AD288">IFERROR(AVERAGE(_xlfn._xlws.FILTER(V$2:V$1073,($C$2:$C$1073=$C288)*($E$2:$E$1073=$E288)*(ROW(V$2:V$1073)&lt;&gt;ROW(V288))*(V$2:V$1073&lt;&gt;""))),"")</f>
        <v>0.3564461917417816</v>
      </c>
      <c r="AE288">
        <f>IF('Дивиденды по годам'!M288&lt;0,1,0)</f>
        <v>0</v>
      </c>
    </row>
    <row r="289" spans="1:31" x14ac:dyDescent="0.2">
      <c r="A289" s="7" t="s">
        <v>2212</v>
      </c>
      <c r="B289" t="str">
        <f t="shared" si="44"/>
        <v>OGKB IV кв. 2010</v>
      </c>
      <c r="C289">
        <v>2010</v>
      </c>
      <c r="D289">
        <f>SUMIFS(Дивиденды!$C:$C,Дивиденды!$A:$A,A289,Дивиденды!$I:$I,C289)</f>
        <v>4.8760000000000001E-3</v>
      </c>
      <c r="E289">
        <v>2</v>
      </c>
      <c r="F289">
        <f t="shared" si="45"/>
        <v>4.8760000000000001E-3</v>
      </c>
      <c r="G289">
        <f t="shared" si="46"/>
        <v>6.1555000000000004E-3</v>
      </c>
      <c r="H289">
        <f t="shared" si="47"/>
        <v>1</v>
      </c>
      <c r="I289">
        <f t="shared" si="48"/>
        <v>0.75</v>
      </c>
      <c r="J289" t="str">
        <f t="shared" si="49"/>
        <v/>
      </c>
      <c r="K289" t="str">
        <f t="shared" si="54"/>
        <v/>
      </c>
      <c r="L289" t="str">
        <f t="shared" si="50"/>
        <v/>
      </c>
      <c r="M289" t="str">
        <f t="shared" si="51"/>
        <v/>
      </c>
      <c r="N289" t="str">
        <f t="shared" si="52"/>
        <v/>
      </c>
      <c r="O289" t="str">
        <f t="shared" si="53"/>
        <v/>
      </c>
      <c r="P289" t="str">
        <f>IFERROR(LN('Дивиденды по годам'!I289),"")</f>
        <v/>
      </c>
      <c r="Q289" t="str">
        <f>IFERROR('Дивиденды по годам'!G289/'Дивиденды по годам'!I289, "")</f>
        <v/>
      </c>
      <c r="R289" t="str">
        <f>IFERROR(IF(AND('Дивиденды по годам'!N289&lt;&gt;"",'Дивиденды по годам'!U289&lt;&gt;"",'Дивиденды по годам'!U289&lt;&gt;0),'Дивиденды по годам'!N289/'Дивиденды по годам'!U289-1,""),"")</f>
        <v/>
      </c>
      <c r="S289" t="str">
        <f>IFERROR(IF(AND('Дивиденды по годам'!L289&lt;&gt;"",'Дивиденды по годам'!I289&lt;&gt;"",'Дивиденды по годам'!J289&lt;&gt;"",'Дивиденды по годам'!K289&lt;&gt;"",('Дивиденды по годам'!I289-'Дивиденды по годам'!J289-'Дивиденды по годам'!K289)&lt;&gt;0),'Дивиденды по годам'!L289/('Дивиденды по годам'!I289-'Дивиденды по годам'!J289-'Дивиденды по годам'!K289),""),"")</f>
        <v/>
      </c>
      <c r="T289" t="str">
        <f>IFERROR(IF(AND('Дивиденды по годам'!Q289&lt;&gt;"",'Дивиденды по годам'!I289&lt;&gt;"",'Дивиденды по годам'!V289&lt;&gt;"",('Дивиденды по годам'!I289+'Дивиденды по годам'!V289)&lt;&gt;0),'Дивиденды по годам'!Q289/(('Дивиденды по годам'!I289+'Дивиденды по годам'!V289)/2),""),"")</f>
        <v/>
      </c>
      <c r="U289" t="str">
        <f>IFERROR(IF(AND('Дивиденды по годам'!J289&lt;&gt;"",'Дивиденды по годам'!K289&lt;&gt;"",'Дивиденды по годам'!M289&lt;&gt;"",'Дивиденды по годам'!M289&lt;&gt;0),('Дивиденды по годам'!J289+'Дивиденды по годам'!K289)/'Дивиденды по годам'!M289,""),"")</f>
        <v/>
      </c>
      <c r="V289" t="str">
        <f>IFERROR(IF(AND('Дивиденды по годам'!J289&lt;&gt;"",'Дивиденды по годам'!K289&lt;&gt;"",'Дивиденды по годам'!M289&lt;&gt;"",'Дивиденды по годам'!I289&lt;&gt;0),('Дивиденды по годам'!J289+'Дивиденды по годам'!K289)/'Дивиденды по годам'!I289,""),"")</f>
        <v/>
      </c>
      <c r="W289" t="str">
        <f>IFERROR('Дивиденды по годам'!I289,"")</f>
        <v/>
      </c>
      <c r="X289" cm="1">
        <f t="array" ref="X289">IFERROR(AVERAGE(_xlfn._xlws.FILTER(P$2:P$1073,($C$2:$C$1073=$C289)*($E$2:$E$1073=$E289)*(ROW(P$2:P$1073)&lt;&gt;ROW(P289))*(P$2:P$1073&lt;&gt;""))),"")</f>
        <v>24.730948088520865</v>
      </c>
      <c r="Y289" cm="1">
        <f t="array" ref="Y289">IFERROR(AVERAGE(_xlfn._xlws.FILTER(Q$2:Q$1073,($C$2:$C$1073=$C289)*($E$2:$E$1073=$E289)*(ROW(Q$2:Q$1073)&lt;&gt;ROW(Q289))*(Q$2:Q$1073&lt;&gt;""))),"")</f>
        <v>0.82035195639515091</v>
      </c>
      <c r="Z289" t="str" cm="1">
        <f t="array" ref="Z289">IFERROR(AVERAGE(_xlfn._xlws.FILTER(R$2:R$1073,($C$2:$C$1073=$C289)*($E$2:$E$1073=$E289)*(ROW(R$2:R$1073)&lt;&gt;ROW(R289))*(R$2:R$1073&lt;&gt;""))),"")</f>
        <v/>
      </c>
      <c r="AA289" t="str" cm="1">
        <f t="array" ref="AA289">IFERROR(AVERAGE(_xlfn._xlws.FILTER(S$2:S$1073,($C$2:$C$1073=$C289)*($E$2:$E$1073=$E289)*(ROW(S$2:S$1073)&lt;&gt;ROW(S289))*(S$2:S$1073&lt;&gt;""))),"")</f>
        <v/>
      </c>
      <c r="AB289" t="str" cm="1">
        <f t="array" ref="AB289">IFERROR(AVERAGE(_xlfn._xlws.FILTER(T$2:T$1073,($C$2:$C$1073=$C289)*($E$2:$E$1073=$E289)*(ROW(T$2:T$1073)&lt;&gt;ROW(T289))*(T$2:T$1073&lt;&gt;""))),"")</f>
        <v/>
      </c>
      <c r="AC289" cm="1">
        <f t="array" ref="AC289">IFERROR(AVERAGE(_xlfn._xlws.FILTER(U$2:U$1073,($C$2:$C$1073=$C289)*($E$2:$E$1073=$E289)*(ROW(U$2:U$1073)&lt;&gt;ROW(U289))*(U$2:U$1073&lt;&gt;""))),"")</f>
        <v>0.91314375247969903</v>
      </c>
      <c r="AD289" cm="1">
        <f t="array" ref="AD289">IFERROR(AVERAGE(_xlfn._xlws.FILTER(V$2:V$1073,($C$2:$C$1073=$C289)*($E$2:$E$1073=$E289)*(ROW(V$2:V$1073)&lt;&gt;ROW(V289))*(V$2:V$1073&lt;&gt;""))),"")</f>
        <v>0.47730012514539921</v>
      </c>
      <c r="AE289">
        <f>IF('Дивиденды по годам'!M289&lt;0,1,0)</f>
        <v>0</v>
      </c>
    </row>
    <row r="290" spans="1:31" x14ac:dyDescent="0.2">
      <c r="A290" s="7" t="s">
        <v>2214</v>
      </c>
      <c r="B290" t="str">
        <f t="shared" si="44"/>
        <v>TGKA IV кв. 2025</v>
      </c>
      <c r="C290">
        <v>2025</v>
      </c>
      <c r="D290">
        <f>SUMIFS(Дивиденды!$C:$C,Дивиденды!$A:$A,A290,Дивиденды!$I:$I,C290)</f>
        <v>0</v>
      </c>
      <c r="E290">
        <v>2</v>
      </c>
      <c r="F290">
        <f t="shared" si="45"/>
        <v>0</v>
      </c>
      <c r="G290">
        <f t="shared" si="46"/>
        <v>0</v>
      </c>
      <c r="H290">
        <f t="shared" si="47"/>
        <v>0</v>
      </c>
      <c r="I290">
        <f t="shared" si="48"/>
        <v>0</v>
      </c>
      <c r="J290">
        <f t="shared" si="49"/>
        <v>0</v>
      </c>
      <c r="K290">
        <f t="shared" si="54"/>
        <v>-0.58333333333333337</v>
      </c>
      <c r="L290">
        <f t="shared" si="50"/>
        <v>0</v>
      </c>
      <c r="M290">
        <f t="shared" si="51"/>
        <v>0</v>
      </c>
      <c r="N290">
        <f t="shared" si="52"/>
        <v>0</v>
      </c>
      <c r="O290">
        <f t="shared" si="53"/>
        <v>0.58333333333333337</v>
      </c>
      <c r="P290" t="str">
        <f>IFERROR(LN('Дивиденды по годам'!I290),"")</f>
        <v/>
      </c>
      <c r="Q290" t="str">
        <f>IFERROR('Дивиденды по годам'!G290/'Дивиденды по годам'!I290, "")</f>
        <v/>
      </c>
      <c r="R290" t="str">
        <f>IFERROR(IF(AND('Дивиденды по годам'!N290&lt;&gt;"",'Дивиденды по годам'!U290&lt;&gt;"",'Дивиденды по годам'!U290&lt;&gt;0),'Дивиденды по годам'!N290/'Дивиденды по годам'!U290-1,""),"")</f>
        <v/>
      </c>
      <c r="S290" t="str">
        <f>IFERROR(IF(AND('Дивиденды по годам'!L290&lt;&gt;"",'Дивиденды по годам'!I290&lt;&gt;"",'Дивиденды по годам'!J290&lt;&gt;"",'Дивиденды по годам'!K290&lt;&gt;"",('Дивиденды по годам'!I290-'Дивиденды по годам'!J290-'Дивиденды по годам'!K290)&lt;&gt;0),'Дивиденды по годам'!L290/('Дивиденды по годам'!I290-'Дивиденды по годам'!J290-'Дивиденды по годам'!K290),""),"")</f>
        <v/>
      </c>
      <c r="T290" t="str">
        <f>IFERROR(IF(AND('Дивиденды по годам'!Q290&lt;&gt;"",'Дивиденды по годам'!I290&lt;&gt;"",'Дивиденды по годам'!V290&lt;&gt;"",('Дивиденды по годам'!I290+'Дивиденды по годам'!V290)&lt;&gt;0),'Дивиденды по годам'!Q290/(('Дивиденды по годам'!I290+'Дивиденды по годам'!V290)/2),""),"")</f>
        <v/>
      </c>
      <c r="U290" t="str">
        <f>IFERROR(IF(AND('Дивиденды по годам'!J290&lt;&gt;"",'Дивиденды по годам'!K290&lt;&gt;"",'Дивиденды по годам'!M290&lt;&gt;"",'Дивиденды по годам'!M290&lt;&gt;0),('Дивиденды по годам'!J290+'Дивиденды по годам'!K290)/'Дивиденды по годам'!M290,""),"")</f>
        <v/>
      </c>
      <c r="V290" t="str">
        <f>IFERROR(IF(AND('Дивиденды по годам'!J290&lt;&gt;"",'Дивиденды по годам'!K290&lt;&gt;"",'Дивиденды по годам'!M290&lt;&gt;"",'Дивиденды по годам'!I290&lt;&gt;0),('Дивиденды по годам'!J290+'Дивиденды по годам'!K290)/'Дивиденды по годам'!I290,""),"")</f>
        <v/>
      </c>
      <c r="W290" t="str">
        <f>IFERROR('Дивиденды по годам'!I290,"")</f>
        <v/>
      </c>
      <c r="X290" cm="1">
        <f t="array" ref="X290">IFERROR(AVERAGE(_xlfn._xlws.FILTER(P$2:P$1073,($C$2:$C$1073=$C290)*($E$2:$E$1073=$E290)*(ROW(P$2:P$1073)&lt;&gt;ROW(P290))*(P$2:P$1073&lt;&gt;""))),"")</f>
        <v>26.57991857918098</v>
      </c>
      <c r="Y290" cm="1">
        <f t="array" ref="Y290">IFERROR(AVERAGE(_xlfn._xlws.FILTER(Q$2:Q$1073,($C$2:$C$1073=$C290)*($E$2:$E$1073=$E290)*(ROW(Q$2:Q$1073)&lt;&gt;ROW(Q290))*(Q$2:Q$1073&lt;&gt;""))),"")</f>
        <v>0.67759713674348565</v>
      </c>
      <c r="Z290" cm="1">
        <f t="array" ref="Z290">IFERROR(AVERAGE(_xlfn._xlws.FILTER(R$2:R$1073,($C$2:$C$1073=$C290)*($E$2:$E$1073=$E290)*(ROW(R$2:R$1073)&lt;&gt;ROW(R290))*(R$2:R$1073&lt;&gt;""))),"")</f>
        <v>0.17662623265859428</v>
      </c>
      <c r="AA290" cm="1">
        <f t="array" ref="AA290">IFERROR(AVERAGE(_xlfn._xlws.FILTER(S$2:S$1073,($C$2:$C$1073=$C290)*($E$2:$E$1073=$E290)*(ROW(S$2:S$1073)&lt;&gt;ROW(S290))*(S$2:S$1073&lt;&gt;""))),"")</f>
        <v>0.75614685785818758</v>
      </c>
      <c r="AB290" cm="1">
        <f t="array" ref="AB290">IFERROR(AVERAGE(_xlfn._xlws.FILTER(T$2:T$1073,($C$2:$C$1073=$C290)*($E$2:$E$1073=$E290)*(ROW(T$2:T$1073)&lt;&gt;ROW(T290))*(T$2:T$1073&lt;&gt;""))),"")</f>
        <v>0.10306085485751774</v>
      </c>
      <c r="AC290" cm="1">
        <f t="array" ref="AC290">IFERROR(AVERAGE(_xlfn._xlws.FILTER(U$2:U$1073,($C$2:$C$1073=$C290)*($E$2:$E$1073=$E290)*(ROW(U$2:U$1073)&lt;&gt;ROW(U290))*(U$2:U$1073&lt;&gt;""))),"")</f>
        <v>0.88935141782994176</v>
      </c>
      <c r="AD290" cm="1">
        <f t="array" ref="AD290">IFERROR(AVERAGE(_xlfn._xlws.FILTER(V$2:V$1073,($C$2:$C$1073=$C290)*($E$2:$E$1073=$E290)*(ROW(V$2:V$1073)&lt;&gt;ROW(V290))*(V$2:V$1073&lt;&gt;""))),"")</f>
        <v>0.43128750803252092</v>
      </c>
      <c r="AE290">
        <f>IF('Дивиденды по годам'!M290&lt;0,1,0)</f>
        <v>0</v>
      </c>
    </row>
    <row r="291" spans="1:31" x14ac:dyDescent="0.2">
      <c r="A291" s="7" t="s">
        <v>2214</v>
      </c>
      <c r="B291" t="str">
        <f t="shared" si="44"/>
        <v>TGKA IV кв. 2024</v>
      </c>
      <c r="C291">
        <v>2024</v>
      </c>
      <c r="D291">
        <f>SUMIFS(Дивиденды!$C:$C,Дивиденды!$A:$A,A291,Дивиденды!$I:$I,C291)</f>
        <v>0</v>
      </c>
      <c r="E291">
        <v>2</v>
      </c>
      <c r="F291">
        <f t="shared" si="45"/>
        <v>0</v>
      </c>
      <c r="G291">
        <f t="shared" si="46"/>
        <v>6.3399999999999998E-2</v>
      </c>
      <c r="H291">
        <f t="shared" si="47"/>
        <v>0</v>
      </c>
      <c r="I291">
        <f t="shared" si="48"/>
        <v>0.58333333333333337</v>
      </c>
      <c r="J291">
        <f t="shared" si="49"/>
        <v>0</v>
      </c>
      <c r="K291">
        <f t="shared" si="54"/>
        <v>8.6160653443004165E-2</v>
      </c>
      <c r="L291">
        <f t="shared" si="50"/>
        <v>0</v>
      </c>
      <c r="M291">
        <f t="shared" si="51"/>
        <v>0.58333333333333337</v>
      </c>
      <c r="N291">
        <f t="shared" si="52"/>
        <v>0</v>
      </c>
      <c r="O291">
        <f t="shared" si="53"/>
        <v>8.3333333333333329E-2</v>
      </c>
      <c r="P291" t="str">
        <f>IFERROR(LN('Дивиденды по годам'!I291),"")</f>
        <v/>
      </c>
      <c r="Q291" t="str">
        <f>IFERROR('Дивиденды по годам'!G291/'Дивиденды по годам'!I291, "")</f>
        <v/>
      </c>
      <c r="R291" t="str">
        <f>IFERROR(IF(AND('Дивиденды по годам'!N291&lt;&gt;"",'Дивиденды по годам'!U291&lt;&gt;"",'Дивиденды по годам'!U291&lt;&gt;0),'Дивиденды по годам'!N291/'Дивиденды по годам'!U291-1,""),"")</f>
        <v/>
      </c>
      <c r="S291" t="str">
        <f>IFERROR(IF(AND('Дивиденды по годам'!L291&lt;&gt;"",'Дивиденды по годам'!I291&lt;&gt;"",'Дивиденды по годам'!J291&lt;&gt;"",'Дивиденды по годам'!K291&lt;&gt;"",('Дивиденды по годам'!I291-'Дивиденды по годам'!J291-'Дивиденды по годам'!K291)&lt;&gt;0),'Дивиденды по годам'!L291/('Дивиденды по годам'!I291-'Дивиденды по годам'!J291-'Дивиденды по годам'!K291),""),"")</f>
        <v/>
      </c>
      <c r="T291" t="str">
        <f>IFERROR(IF(AND('Дивиденды по годам'!Q291&lt;&gt;"",'Дивиденды по годам'!I291&lt;&gt;"",'Дивиденды по годам'!V291&lt;&gt;"",('Дивиденды по годам'!I291+'Дивиденды по годам'!V291)&lt;&gt;0),'Дивиденды по годам'!Q291/(('Дивиденды по годам'!I291+'Дивиденды по годам'!V291)/2),""),"")</f>
        <v/>
      </c>
      <c r="U291" t="str">
        <f>IFERROR(IF(AND('Дивиденды по годам'!J291&lt;&gt;"",'Дивиденды по годам'!K291&lt;&gt;"",'Дивиденды по годам'!M291&lt;&gt;"",'Дивиденды по годам'!M291&lt;&gt;0),('Дивиденды по годам'!J291+'Дивиденды по годам'!K291)/'Дивиденды по годам'!M291,""),"")</f>
        <v/>
      </c>
      <c r="V291" t="str">
        <f>IFERROR(IF(AND('Дивиденды по годам'!J291&lt;&gt;"",'Дивиденды по годам'!K291&lt;&gt;"",'Дивиденды по годам'!M291&lt;&gt;"",'Дивиденды по годам'!I291&lt;&gt;0),('Дивиденды по годам'!J291+'Дивиденды по годам'!K291)/'Дивиденды по годам'!I291,""),"")</f>
        <v/>
      </c>
      <c r="W291" t="str">
        <f>IFERROR('Дивиденды по годам'!I291,"")</f>
        <v/>
      </c>
      <c r="X291" cm="1">
        <f t="array" ref="X291">IFERROR(AVERAGE(_xlfn._xlws.FILTER(P$2:P$1073,($C$2:$C$1073=$C291)*($E$2:$E$1073=$E291)*(ROW(P$2:P$1073)&lt;&gt;ROW(P291))*(P$2:P$1073&lt;&gt;""))),"")</f>
        <v>26.53052036495767</v>
      </c>
      <c r="Y291" cm="1">
        <f t="array" ref="Y291">IFERROR(AVERAGE(_xlfn._xlws.FILTER(Q$2:Q$1073,($C$2:$C$1073=$C291)*($E$2:$E$1073=$E291)*(ROW(Q$2:Q$1073)&lt;&gt;ROW(Q291))*(Q$2:Q$1073&lt;&gt;""))),"")</f>
        <v>0.68897542618517627</v>
      </c>
      <c r="Z291" cm="1">
        <f t="array" ref="Z291">IFERROR(AVERAGE(_xlfn._xlws.FILTER(R$2:R$1073,($C$2:$C$1073=$C291)*($E$2:$E$1073=$E291)*(ROW(R$2:R$1073)&lt;&gt;ROW(R291))*(R$2:R$1073&lt;&gt;""))),"")</f>
        <v>9.9336521219665186E-2</v>
      </c>
      <c r="AA291" cm="1">
        <f t="array" ref="AA291">IFERROR(AVERAGE(_xlfn._xlws.FILTER(S$2:S$1073,($C$2:$C$1073=$C291)*($E$2:$E$1073=$E291)*(ROW(S$2:S$1073)&lt;&gt;ROW(S291))*(S$2:S$1073&lt;&gt;""))),"")</f>
        <v>0.56302208811184973</v>
      </c>
      <c r="AB291" cm="1">
        <f t="array" ref="AB291">IFERROR(AVERAGE(_xlfn._xlws.FILTER(T$2:T$1073,($C$2:$C$1073=$C291)*($E$2:$E$1073=$E291)*(ROW(T$2:T$1073)&lt;&gt;ROW(T291))*(T$2:T$1073&lt;&gt;""))),"")</f>
        <v>5.7319411109732842E-2</v>
      </c>
      <c r="AC291" cm="1">
        <f t="array" ref="AC291">IFERROR(AVERAGE(_xlfn._xlws.FILTER(U$2:U$1073,($C$2:$C$1073=$C291)*($E$2:$E$1073=$E291)*(ROW(U$2:U$1073)&lt;&gt;ROW(U291))*(U$2:U$1073&lt;&gt;""))),"")</f>
        <v>0.93200166477437119</v>
      </c>
      <c r="AD291" cm="1">
        <f t="array" ref="AD291">IFERROR(AVERAGE(_xlfn._xlws.FILTER(V$2:V$1073,($C$2:$C$1073=$C291)*($E$2:$E$1073=$E291)*(ROW(V$2:V$1073)&lt;&gt;ROW(V291))*(V$2:V$1073&lt;&gt;""))),"")</f>
        <v>0.45156882650127617</v>
      </c>
      <c r="AE291">
        <f>IF('Дивиденды по годам'!M291&lt;0,1,0)</f>
        <v>0</v>
      </c>
    </row>
    <row r="292" spans="1:31" x14ac:dyDescent="0.2">
      <c r="A292" s="7" t="s">
        <v>2214</v>
      </c>
      <c r="B292" t="str">
        <f t="shared" si="44"/>
        <v>TGKA IV кв. 2023</v>
      </c>
      <c r="C292">
        <v>2023</v>
      </c>
      <c r="D292">
        <f>SUMIFS(Дивиденды!$C:$C,Дивиденды!$A:$A,A292,Дивиденды!$I:$I,C292)</f>
        <v>0</v>
      </c>
      <c r="E292">
        <v>2</v>
      </c>
      <c r="F292">
        <f t="shared" si="45"/>
        <v>0</v>
      </c>
      <c r="G292">
        <f t="shared" si="46"/>
        <v>6.6299999999999998E-2</v>
      </c>
      <c r="H292">
        <f t="shared" si="47"/>
        <v>0</v>
      </c>
      <c r="I292">
        <f t="shared" si="48"/>
        <v>0.58333333333333337</v>
      </c>
      <c r="J292">
        <f t="shared" si="49"/>
        <v>0</v>
      </c>
      <c r="K292">
        <f t="shared" si="54"/>
        <v>0.11703324263565433</v>
      </c>
      <c r="L292">
        <f t="shared" si="50"/>
        <v>0</v>
      </c>
      <c r="M292">
        <f t="shared" si="51"/>
        <v>0.5</v>
      </c>
      <c r="N292">
        <f t="shared" si="52"/>
        <v>0</v>
      </c>
      <c r="O292">
        <f t="shared" si="53"/>
        <v>0.25</v>
      </c>
      <c r="P292" t="str">
        <f>IFERROR(LN('Дивиденды по годам'!I292),"")</f>
        <v/>
      </c>
      <c r="Q292" t="str">
        <f>IFERROR('Дивиденды по годам'!G292/'Дивиденды по годам'!I292, "")</f>
        <v/>
      </c>
      <c r="R292" t="str">
        <f>IFERROR(IF(AND('Дивиденды по годам'!N292&lt;&gt;"",'Дивиденды по годам'!U292&lt;&gt;"",'Дивиденды по годам'!U292&lt;&gt;0),'Дивиденды по годам'!N292/'Дивиденды по годам'!U292-1,""),"")</f>
        <v/>
      </c>
      <c r="S292" t="str">
        <f>IFERROR(IF(AND('Дивиденды по годам'!L292&lt;&gt;"",'Дивиденды по годам'!I292&lt;&gt;"",'Дивиденды по годам'!J292&lt;&gt;"",'Дивиденды по годам'!K292&lt;&gt;"",('Дивиденды по годам'!I292-'Дивиденды по годам'!J292-'Дивиденды по годам'!K292)&lt;&gt;0),'Дивиденды по годам'!L292/('Дивиденды по годам'!I292-'Дивиденды по годам'!J292-'Дивиденды по годам'!K292),""),"")</f>
        <v/>
      </c>
      <c r="T292" t="str">
        <f>IFERROR(IF(AND('Дивиденды по годам'!Q292&lt;&gt;"",'Дивиденды по годам'!I292&lt;&gt;"",'Дивиденды по годам'!V292&lt;&gt;"",('Дивиденды по годам'!I292+'Дивиденды по годам'!V292)&lt;&gt;0),'Дивиденды по годам'!Q292/(('Дивиденды по годам'!I292+'Дивиденды по годам'!V292)/2),""),"")</f>
        <v/>
      </c>
      <c r="U292" t="str">
        <f>IFERROR(IF(AND('Дивиденды по годам'!J292&lt;&gt;"",'Дивиденды по годам'!K292&lt;&gt;"",'Дивиденды по годам'!M292&lt;&gt;"",'Дивиденды по годам'!M292&lt;&gt;0),('Дивиденды по годам'!J292+'Дивиденды по годам'!K292)/'Дивиденды по годам'!M292,""),"")</f>
        <v/>
      </c>
      <c r="V292" t="str">
        <f>IFERROR(IF(AND('Дивиденды по годам'!J292&lt;&gt;"",'Дивиденды по годам'!K292&lt;&gt;"",'Дивиденды по годам'!M292&lt;&gt;"",'Дивиденды по годам'!I292&lt;&gt;0),('Дивиденды по годам'!J292+'Дивиденды по годам'!K292)/'Дивиденды по годам'!I292,""),"")</f>
        <v/>
      </c>
      <c r="W292" t="str">
        <f>IFERROR('Дивиденды по годам'!I292,"")</f>
        <v/>
      </c>
      <c r="X292" cm="1">
        <f t="array" ref="X292">IFERROR(AVERAGE(_xlfn._xlws.FILTER(P$2:P$1073,($C$2:$C$1073=$C292)*($E$2:$E$1073=$E292)*(ROW(P$2:P$1073)&lt;&gt;ROW(P292))*(P$2:P$1073&lt;&gt;""))),"")</f>
        <v>26.412844757916616</v>
      </c>
      <c r="Y292" cm="1">
        <f t="array" ref="Y292">IFERROR(AVERAGE(_xlfn._xlws.FILTER(Q$2:Q$1073,($C$2:$C$1073=$C292)*($E$2:$E$1073=$E292)*(ROW(Q$2:Q$1073)&lt;&gt;ROW(Q292))*(Q$2:Q$1073&lt;&gt;""))),"")</f>
        <v>0.70895600705014628</v>
      </c>
      <c r="Z292" cm="1">
        <f t="array" ref="Z292">IFERROR(AVERAGE(_xlfn._xlws.FILTER(R$2:R$1073,($C$2:$C$1073=$C292)*($E$2:$E$1073=$E292)*(ROW(R$2:R$1073)&lt;&gt;ROW(R292))*(R$2:R$1073&lt;&gt;""))),"")</f>
        <v>0.13982106199642538</v>
      </c>
      <c r="AA292" cm="1">
        <f t="array" ref="AA292">IFERROR(AVERAGE(_xlfn._xlws.FILTER(S$2:S$1073,($C$2:$C$1073=$C292)*($E$2:$E$1073=$E292)*(ROW(S$2:S$1073)&lt;&gt;ROW(S292))*(S$2:S$1073&lt;&gt;""))),"")</f>
        <v>0.54058275260231825</v>
      </c>
      <c r="AB292" cm="1">
        <f t="array" ref="AB292">IFERROR(AVERAGE(_xlfn._xlws.FILTER(T$2:T$1073,($C$2:$C$1073=$C292)*($E$2:$E$1073=$E292)*(ROW(T$2:T$1073)&lt;&gt;ROW(T292))*(T$2:T$1073&lt;&gt;""))),"")</f>
        <v>7.5826325918363136E-2</v>
      </c>
      <c r="AC292" cm="1">
        <f t="array" ref="AC292">IFERROR(AVERAGE(_xlfn._xlws.FILTER(U$2:U$1073,($C$2:$C$1073=$C292)*($E$2:$E$1073=$E292)*(ROW(U$2:U$1073)&lt;&gt;ROW(U292))*(U$2:U$1073&lt;&gt;""))),"")</f>
        <v>0.82391328105138761</v>
      </c>
      <c r="AD292" cm="1">
        <f t="array" ref="AD292">IFERROR(AVERAGE(_xlfn._xlws.FILTER(V$2:V$1073,($C$2:$C$1073=$C292)*($E$2:$E$1073=$E292)*(ROW(V$2:V$1073)&lt;&gt;ROW(V292))*(V$2:V$1073&lt;&gt;""))),"")</f>
        <v>0.42475932480936313</v>
      </c>
      <c r="AE292">
        <f>IF('Дивиденды по годам'!M292&lt;0,1,0)</f>
        <v>0</v>
      </c>
    </row>
    <row r="293" spans="1:31" x14ac:dyDescent="0.2">
      <c r="A293" s="7" t="s">
        <v>2214</v>
      </c>
      <c r="B293" t="str">
        <f t="shared" si="44"/>
        <v>TGKA IV кв. 2022</v>
      </c>
      <c r="C293">
        <v>2022</v>
      </c>
      <c r="D293">
        <f>SUMIFS(Дивиденды!$C:$C,Дивиденды!$A:$A,A293,Дивиденды!$I:$I,C293)</f>
        <v>0</v>
      </c>
      <c r="E293">
        <v>2</v>
      </c>
      <c r="F293">
        <f t="shared" si="45"/>
        <v>0</v>
      </c>
      <c r="G293">
        <f t="shared" si="46"/>
        <v>6.4731666666666673E-2</v>
      </c>
      <c r="H293">
        <f t="shared" si="47"/>
        <v>0</v>
      </c>
      <c r="I293">
        <f t="shared" si="48"/>
        <v>0.66666666666666663</v>
      </c>
      <c r="J293">
        <f t="shared" si="49"/>
        <v>0</v>
      </c>
      <c r="K293">
        <f t="shared" si="54"/>
        <v>-0.16164186159374039</v>
      </c>
      <c r="L293">
        <f t="shared" si="50"/>
        <v>0</v>
      </c>
      <c r="M293">
        <f t="shared" si="51"/>
        <v>0.33333333333333331</v>
      </c>
      <c r="N293">
        <f t="shared" si="52"/>
        <v>0</v>
      </c>
      <c r="O293">
        <f t="shared" si="53"/>
        <v>0.5</v>
      </c>
      <c r="P293" t="str">
        <f>IFERROR(LN('Дивиденды по годам'!I293),"")</f>
        <v/>
      </c>
      <c r="Q293" t="str">
        <f>IFERROR('Дивиденды по годам'!G293/'Дивиденды по годам'!I293, "")</f>
        <v/>
      </c>
      <c r="R293" t="str">
        <f>IFERROR(IF(AND('Дивиденды по годам'!N293&lt;&gt;"",'Дивиденды по годам'!U293&lt;&gt;"",'Дивиденды по годам'!U293&lt;&gt;0),'Дивиденды по годам'!N293/'Дивиденды по годам'!U293-1,""),"")</f>
        <v/>
      </c>
      <c r="S293" t="str">
        <f>IFERROR(IF(AND('Дивиденды по годам'!L293&lt;&gt;"",'Дивиденды по годам'!I293&lt;&gt;"",'Дивиденды по годам'!J293&lt;&gt;"",'Дивиденды по годам'!K293&lt;&gt;"",('Дивиденды по годам'!I293-'Дивиденды по годам'!J293-'Дивиденды по годам'!K293)&lt;&gt;0),'Дивиденды по годам'!L293/('Дивиденды по годам'!I293-'Дивиденды по годам'!J293-'Дивиденды по годам'!K293),""),"")</f>
        <v/>
      </c>
      <c r="T293" t="str">
        <f>IFERROR(IF(AND('Дивиденды по годам'!Q293&lt;&gt;"",'Дивиденды по годам'!I293&lt;&gt;"",'Дивиденды по годам'!V293&lt;&gt;"",('Дивиденды по годам'!I293+'Дивиденды по годам'!V293)&lt;&gt;0),'Дивиденды по годам'!Q293/(('Дивиденды по годам'!I293+'Дивиденды по годам'!V293)/2),""),"")</f>
        <v/>
      </c>
      <c r="U293" t="str">
        <f>IFERROR(IF(AND('Дивиденды по годам'!J293&lt;&gt;"",'Дивиденды по годам'!K293&lt;&gt;"",'Дивиденды по годам'!M293&lt;&gt;"",'Дивиденды по годам'!M293&lt;&gt;0),('Дивиденды по годам'!J293+'Дивиденды по годам'!K293)/'Дивиденды по годам'!M293,""),"")</f>
        <v/>
      </c>
      <c r="V293" t="str">
        <f>IFERROR(IF(AND('Дивиденды по годам'!J293&lt;&gt;"",'Дивиденды по годам'!K293&lt;&gt;"",'Дивиденды по годам'!M293&lt;&gt;"",'Дивиденды по годам'!I293&lt;&gt;0),('Дивиденды по годам'!J293+'Дивиденды по годам'!K293)/'Дивиденды по годам'!I293,""),"")</f>
        <v/>
      </c>
      <c r="W293" t="str">
        <f>IFERROR('Дивиденды по годам'!I293,"")</f>
        <v/>
      </c>
      <c r="X293" cm="1">
        <f t="array" ref="X293">IFERROR(AVERAGE(_xlfn._xlws.FILTER(P$2:P$1073,($C$2:$C$1073=$C293)*($E$2:$E$1073=$E293)*(ROW(P$2:P$1073)&lt;&gt;ROW(P293))*(P$2:P$1073&lt;&gt;""))),"")</f>
        <v>26.311482392509326</v>
      </c>
      <c r="Y293" cm="1">
        <f t="array" ref="Y293">IFERROR(AVERAGE(_xlfn._xlws.FILTER(Q$2:Q$1073,($C$2:$C$1073=$C293)*($E$2:$E$1073=$E293)*(ROW(Q$2:Q$1073)&lt;&gt;ROW(Q293))*(Q$2:Q$1073&lt;&gt;""))),"")</f>
        <v>0.70812809619198602</v>
      </c>
      <c r="Z293" cm="1">
        <f t="array" ref="Z293">IFERROR(AVERAGE(_xlfn._xlws.FILTER(R$2:R$1073,($C$2:$C$1073=$C293)*($E$2:$E$1073=$E293)*(ROW(R$2:R$1073)&lt;&gt;ROW(R293))*(R$2:R$1073&lt;&gt;""))),"")</f>
        <v>7.2941844461954591E-2</v>
      </c>
      <c r="AA293" cm="1">
        <f t="array" ref="AA293">IFERROR(AVERAGE(_xlfn._xlws.FILTER(S$2:S$1073,($C$2:$C$1073=$C293)*($E$2:$E$1073=$E293)*(ROW(S$2:S$1073)&lt;&gt;ROW(S293))*(S$2:S$1073&lt;&gt;""))),"")</f>
        <v>0.51495855714422678</v>
      </c>
      <c r="AB293" cm="1">
        <f t="array" ref="AB293">IFERROR(AVERAGE(_xlfn._xlws.FILTER(T$2:T$1073,($C$2:$C$1073=$C293)*($E$2:$E$1073=$E293)*(ROW(T$2:T$1073)&lt;&gt;ROW(T293))*(T$2:T$1073&lt;&gt;""))),"")</f>
        <v>1.2629583278270708E-2</v>
      </c>
      <c r="AC293" cm="1">
        <f t="array" ref="AC293">IFERROR(AVERAGE(_xlfn._xlws.FILTER(U$2:U$1073,($C$2:$C$1073=$C293)*($E$2:$E$1073=$E293)*(ROW(U$2:U$1073)&lt;&gt;ROW(U293))*(U$2:U$1073&lt;&gt;""))),"")</f>
        <v>0.90922972684965886</v>
      </c>
      <c r="AD293" cm="1">
        <f t="array" ref="AD293">IFERROR(AVERAGE(_xlfn._xlws.FILTER(V$2:V$1073,($C$2:$C$1073=$C293)*($E$2:$E$1073=$E293)*(ROW(V$2:V$1073)&lt;&gt;ROW(V293))*(V$2:V$1073&lt;&gt;""))),"")</f>
        <v>0.44171853457730947</v>
      </c>
      <c r="AE293">
        <f>IF('Дивиденды по годам'!M293&lt;0,1,0)</f>
        <v>0</v>
      </c>
    </row>
    <row r="294" spans="1:31" x14ac:dyDescent="0.2">
      <c r="A294" s="7" t="s">
        <v>2214</v>
      </c>
      <c r="B294" t="str">
        <f t="shared" si="44"/>
        <v>TGKA IV кв. 2021</v>
      </c>
      <c r="C294">
        <v>2021</v>
      </c>
      <c r="D294">
        <f>SUMIFS(Дивиденды!$C:$C,Дивиденды!$A:$A,A294,Дивиденды!$I:$I,C294)</f>
        <v>0</v>
      </c>
      <c r="E294">
        <v>2</v>
      </c>
      <c r="F294">
        <f t="shared" si="45"/>
        <v>0</v>
      </c>
      <c r="G294">
        <f t="shared" si="46"/>
        <v>8.178524999999999E-2</v>
      </c>
      <c r="H294">
        <f t="shared" si="47"/>
        <v>0</v>
      </c>
      <c r="I294">
        <f t="shared" si="48"/>
        <v>0.83333333333333337</v>
      </c>
      <c r="J294">
        <f t="shared" si="49"/>
        <v>-1</v>
      </c>
      <c r="K294">
        <f t="shared" si="54"/>
        <v>0.24720951725738896</v>
      </c>
      <c r="L294">
        <f t="shared" si="50"/>
        <v>0</v>
      </c>
      <c r="M294">
        <f t="shared" si="51"/>
        <v>0.66666666666666663</v>
      </c>
      <c r="N294">
        <f t="shared" si="52"/>
        <v>1</v>
      </c>
      <c r="O294">
        <f t="shared" si="53"/>
        <v>0.16666666666666666</v>
      </c>
      <c r="P294">
        <f>IFERROR(LN('Дивиденды по годам'!I294),"")</f>
        <v>25.995305961041094</v>
      </c>
      <c r="Q294">
        <f>IFERROR('Дивиденды по годам'!G294/'Дивиденды по годам'!I294, "")</f>
        <v>0.79377146289005351</v>
      </c>
      <c r="R294">
        <f>IFERROR(IF(AND('Дивиденды по годам'!N294&lt;&gt;"",'Дивиденды по годам'!U294&lt;&gt;"",'Дивиденды по годам'!U294&lt;&gt;0),'Дивиденды по годам'!N294/'Дивиденды по годам'!U294-1,""),"")</f>
        <v>0.15064856168929786</v>
      </c>
      <c r="S294">
        <f>IFERROR(IF(AND('Дивиденды по годам'!L294&lt;&gt;"",'Дивиденды по годам'!I294&lt;&gt;"",'Дивиденды по годам'!J294&lt;&gt;"",'Дивиденды по годам'!K294&lt;&gt;"",('Дивиденды по годам'!I294-'Дивиденды по годам'!J294-'Дивиденды по годам'!K294)&lt;&gt;0),'Дивиденды по годам'!L294/('Дивиденды по годам'!I294-'Дивиденды по годам'!J294-'Дивиденды по годам'!K294),""),"")</f>
        <v>0.48611752064635666</v>
      </c>
      <c r="T294">
        <f>IFERROR(IF(AND('Дивиденды по годам'!Q294&lt;&gt;"",'Дивиденды по годам'!I294&lt;&gt;"",'Дивиденды по годам'!V294&lt;&gt;"",('Дивиденды по годам'!I294+'Дивиденды по годам'!V294)&lt;&gt;0),'Дивиденды по годам'!Q294/(('Дивиденды по годам'!I294+'Дивиденды по годам'!V294)/2),""),"")</f>
        <v>3.6898340248962658E-2</v>
      </c>
      <c r="U294">
        <f>IFERROR(IF(AND('Дивиденды по годам'!J294&lt;&gt;"",'Дивиденды по годам'!K294&lt;&gt;"",'Дивиденды по годам'!M294&lt;&gt;"",'Дивиденды по годам'!M294&lt;&gt;0),('Дивиденды по годам'!J294+'Дивиденды по годам'!K294)/'Дивиденды по годам'!M294,""),"")</f>
        <v>0.34184443082179045</v>
      </c>
      <c r="V294">
        <f>IFERROR(IF(AND('Дивиденды по годам'!J294&lt;&gt;"",'Дивиденды по годам'!K294&lt;&gt;"",'Дивиденды по годам'!M294&lt;&gt;"",'Дивиденды по годам'!I294&lt;&gt;0),('Дивиденды по годам'!J294+'Дивиденды по годам'!K294)/'Дивиденды по годам'!I294,""),"")</f>
        <v>0.25475712606448236</v>
      </c>
      <c r="W294">
        <f>IFERROR('Дивиденды по годам'!I294,"")</f>
        <v>194813000000</v>
      </c>
      <c r="X294" cm="1">
        <f t="array" ref="X294">IFERROR(AVERAGE(_xlfn._xlws.FILTER(P$2:P$1073,($C$2:$C$1073=$C294)*($E$2:$E$1073=$E294)*(ROW(P$2:P$1073)&lt;&gt;ROW(P294))*(P$2:P$1073&lt;&gt;""))),"")</f>
        <v>25.919856682855993</v>
      </c>
      <c r="Y294" cm="1">
        <f t="array" ref="Y294">IFERROR(AVERAGE(_xlfn._xlws.FILTER(Q$2:Q$1073,($C$2:$C$1073=$C294)*($E$2:$E$1073=$E294)*(ROW(Q$2:Q$1073)&lt;&gt;ROW(Q294))*(Q$2:Q$1073&lt;&gt;""))),"")</f>
        <v>0.76758275251833796</v>
      </c>
      <c r="Z294" cm="1">
        <f t="array" ref="Z294">IFERROR(AVERAGE(_xlfn._xlws.FILTER(R$2:R$1073,($C$2:$C$1073=$C294)*($E$2:$E$1073=$E294)*(ROW(R$2:R$1073)&lt;&gt;ROW(R294))*(R$2:R$1073&lt;&gt;""))),"")</f>
        <v>0.12433831432856127</v>
      </c>
      <c r="AA294" cm="1">
        <f t="array" ref="AA294">IFERROR(AVERAGE(_xlfn._xlws.FILTER(S$2:S$1073,($C$2:$C$1073=$C294)*($E$2:$E$1073=$E294)*(ROW(S$2:S$1073)&lt;&gt;ROW(S294))*(S$2:S$1073&lt;&gt;""))),"")</f>
        <v>0.50269604307656457</v>
      </c>
      <c r="AB294" cm="1">
        <f t="array" ref="AB294">IFERROR(AVERAGE(_xlfn._xlws.FILTER(T$2:T$1073,($C$2:$C$1073=$C294)*($E$2:$E$1073=$E294)*(ROW(T$2:T$1073)&lt;&gt;ROW(T294))*(T$2:T$1073&lt;&gt;""))),"")</f>
        <v>3.6388300914755367E-2</v>
      </c>
      <c r="AC294" cm="1">
        <f t="array" ref="AC294">IFERROR(AVERAGE(_xlfn._xlws.FILTER(U$2:U$1073,($C$2:$C$1073=$C294)*($E$2:$E$1073=$E294)*(ROW(U$2:U$1073)&lt;&gt;ROW(U294))*(U$2:U$1073&lt;&gt;""))),"")</f>
        <v>0.75211038943866182</v>
      </c>
      <c r="AD294" cm="1">
        <f t="array" ref="AD294">IFERROR(AVERAGE(_xlfn._xlws.FILTER(V$2:V$1073,($C$2:$C$1073=$C294)*($E$2:$E$1073=$E294)*(ROW(V$2:V$1073)&lt;&gt;ROW(V294))*(V$2:V$1073&lt;&gt;""))),"")</f>
        <v>0.39532981895299413</v>
      </c>
      <c r="AE294">
        <f>IF('Дивиденды по годам'!M294&lt;0,1,0)</f>
        <v>0</v>
      </c>
    </row>
    <row r="295" spans="1:31" x14ac:dyDescent="0.2">
      <c r="A295" s="7" t="s">
        <v>2214</v>
      </c>
      <c r="B295" t="str">
        <f t="shared" si="44"/>
        <v>TGKA IV кв. 2020</v>
      </c>
      <c r="C295">
        <v>2020</v>
      </c>
      <c r="D295">
        <f>SUMIFS(Дивиденды!$C:$C,Дивиденды!$A:$A,A295,Дивиденды!$I:$I,C295)</f>
        <v>1.0709999999999999E-3</v>
      </c>
      <c r="E295">
        <v>2</v>
      </c>
      <c r="F295">
        <f t="shared" si="45"/>
        <v>1.0709999999999999E-3</v>
      </c>
      <c r="G295">
        <f t="shared" si="46"/>
        <v>6.9816666666666652E-2</v>
      </c>
      <c r="H295">
        <f t="shared" si="47"/>
        <v>1</v>
      </c>
      <c r="I295">
        <f t="shared" si="48"/>
        <v>0.75</v>
      </c>
      <c r="J295">
        <f t="shared" si="49"/>
        <v>3.2786885245901599E-2</v>
      </c>
      <c r="K295">
        <f t="shared" si="54"/>
        <v>-8.8356272139871017E-2</v>
      </c>
      <c r="L295">
        <f t="shared" si="50"/>
        <v>1</v>
      </c>
      <c r="M295">
        <f t="shared" si="51"/>
        <v>0.5</v>
      </c>
      <c r="N295">
        <f t="shared" si="52"/>
        <v>0</v>
      </c>
      <c r="O295">
        <f t="shared" si="53"/>
        <v>0.5</v>
      </c>
      <c r="P295">
        <f>IFERROR(LN('Дивиденды по годам'!I295),"")</f>
        <v>25.974423459467452</v>
      </c>
      <c r="Q295">
        <f>IFERROR('Дивиденды по годам'!G295/'Дивиденды по годам'!I295, "")</f>
        <v>0.79216613291261984</v>
      </c>
      <c r="R295">
        <f>IFERROR(IF(AND('Дивиденды по годам'!N295&lt;&gt;"",'Дивиденды по годам'!U295&lt;&gt;"",'Дивиденды по годам'!U295&lt;&gt;0),'Дивиденды по годам'!N295/'Дивиденды по годам'!U295-1,""),"")</f>
        <v>-8.6027373957757169E-2</v>
      </c>
      <c r="S295">
        <f>IFERROR(IF(AND('Дивиденды по годам'!L295&lt;&gt;"",'Дивиденды по годам'!I295&lt;&gt;"",'Дивиденды по годам'!J295&lt;&gt;"",'Дивиденды по годам'!K295&lt;&gt;"",('Дивиденды по годам'!I295-'Дивиденды по годам'!J295-'Дивиденды по годам'!K295)&lt;&gt;0),'Дивиденды по годам'!L295/('Дивиденды по годам'!I295-'Дивиденды по годам'!J295-'Дивиденды по годам'!K295),""),"")</f>
        <v>0.48074238259042301</v>
      </c>
      <c r="T295">
        <f>IFERROR(IF(AND('Дивиденды по годам'!Q295&lt;&gt;"",'Дивиденды по годам'!I295&lt;&gt;"",'Дивиденды по годам'!V295&lt;&gt;"",('Дивиденды по годам'!I295+'Дивиденды по годам'!V295)&lt;&gt;0),'Дивиденды по годам'!Q295/(('Дивиденды по годам'!I295+'Дивиденды по годам'!V295)/2),""),"")</f>
        <v>4.4217489193537372E-2</v>
      </c>
      <c r="U295">
        <f>IFERROR(IF(AND('Дивиденды по годам'!J295&lt;&gt;"",'Дивиденды по годам'!K295&lt;&gt;"",'Дивиденды по годам'!M295&lt;&gt;"",'Дивиденды по годам'!M295&lt;&gt;0),('Дивиденды по годам'!J295+'Дивиденды по годам'!K295)/'Дивиденды по годам'!M295,""),"")</f>
        <v>0.37298320355790959</v>
      </c>
      <c r="V295">
        <f>IFERROR(IF(AND('Дивиденды по годам'!J295&lt;&gt;"",'Дивиденды по годам'!K295&lt;&gt;"",'Дивиденды по годам'!M295&lt;&gt;"",'Дивиденды по годам'!I295&lt;&gt;0),('Дивиденды по годам'!J295+'Дивиденды по годам'!K295)/'Дивиденды по годам'!I295,""),"")</f>
        <v>0.27165897047492754</v>
      </c>
      <c r="W295">
        <f>IFERROR('Дивиденды по годам'!I295,"")</f>
        <v>190787000000</v>
      </c>
      <c r="X295" cm="1">
        <f t="array" ref="X295">IFERROR(AVERAGE(_xlfn._xlws.FILTER(P$2:P$1073,($C$2:$C$1073=$C295)*($E$2:$E$1073=$E295)*(ROW(P$2:P$1073)&lt;&gt;ROW(P295))*(P$2:P$1073&lt;&gt;""))),"")</f>
        <v>26.189683490044683</v>
      </c>
      <c r="Y295" cm="1">
        <f t="array" ref="Y295">IFERROR(AVERAGE(_xlfn._xlws.FILTER(Q$2:Q$1073,($C$2:$C$1073=$C295)*($E$2:$E$1073=$E295)*(ROW(Q$2:Q$1073)&lt;&gt;ROW(Q295))*(Q$2:Q$1073&lt;&gt;""))),"")</f>
        <v>0.74103604452671146</v>
      </c>
      <c r="Z295" cm="1">
        <f t="array" ref="Z295">IFERROR(AVERAGE(_xlfn._xlws.FILTER(R$2:R$1073,($C$2:$C$1073=$C295)*($E$2:$E$1073=$E295)*(ROW(R$2:R$1073)&lt;&gt;ROW(R295))*(R$2:R$1073&lt;&gt;""))),"")</f>
        <v>-6.2372998869294545E-2</v>
      </c>
      <c r="AA295" cm="1">
        <f t="array" ref="AA295">IFERROR(AVERAGE(_xlfn._xlws.FILTER(S$2:S$1073,($C$2:$C$1073=$C295)*($E$2:$E$1073=$E295)*(ROW(S$2:S$1073)&lt;&gt;ROW(S295))*(S$2:S$1073&lt;&gt;""))),"")</f>
        <v>0.48478092512146792</v>
      </c>
      <c r="AB295" cm="1">
        <f t="array" ref="AB295">IFERROR(AVERAGE(_xlfn._xlws.FILTER(T$2:T$1073,($C$2:$C$1073=$C295)*($E$2:$E$1073=$E295)*(ROW(T$2:T$1073)&lt;&gt;ROW(T295))*(T$2:T$1073&lt;&gt;""))),"")</f>
        <v>4.2521482921378445E-2</v>
      </c>
      <c r="AC295" cm="1">
        <f t="array" ref="AC295">IFERROR(AVERAGE(_xlfn._xlws.FILTER(U$2:U$1073,($C$2:$C$1073=$C295)*($E$2:$E$1073=$E295)*(ROW(U$2:U$1073)&lt;&gt;ROW(U295))*(U$2:U$1073&lt;&gt;""))),"")</f>
        <v>0.68344858697231281</v>
      </c>
      <c r="AD295" cm="1">
        <f t="array" ref="AD295">IFERROR(AVERAGE(_xlfn._xlws.FILTER(V$2:V$1073,($C$2:$C$1073=$C295)*($E$2:$E$1073=$E295)*(ROW(V$2:V$1073)&lt;&gt;ROW(V295))*(V$2:V$1073&lt;&gt;""))),"")</f>
        <v>0.37595921775030067</v>
      </c>
      <c r="AE295">
        <f>IF('Дивиденды по годам'!M295&lt;0,1,0)</f>
        <v>0</v>
      </c>
    </row>
    <row r="296" spans="1:31" x14ac:dyDescent="0.2">
      <c r="A296" s="7" t="s">
        <v>2214</v>
      </c>
      <c r="B296" t="str">
        <f t="shared" si="44"/>
        <v>TGKA IV кв. 2019</v>
      </c>
      <c r="C296">
        <v>2019</v>
      </c>
      <c r="D296">
        <f>SUMIFS(Дивиденды!$C:$C,Дивиденды!$A:$A,A296,Дивиденды!$I:$I,C296)</f>
        <v>1.0369999999999999E-3</v>
      </c>
      <c r="E296">
        <v>2</v>
      </c>
      <c r="F296">
        <f t="shared" si="45"/>
        <v>1.0369999999999999E-3</v>
      </c>
      <c r="G296">
        <f t="shared" si="46"/>
        <v>7.1222250000000001E-2</v>
      </c>
      <c r="H296">
        <f t="shared" si="47"/>
        <v>1</v>
      </c>
      <c r="I296">
        <f t="shared" si="48"/>
        <v>1</v>
      </c>
      <c r="J296">
        <f t="shared" si="49"/>
        <v>0.60775193798449612</v>
      </c>
      <c r="K296">
        <f t="shared" si="54"/>
        <v>0.12144676283787963</v>
      </c>
      <c r="L296">
        <f t="shared" si="50"/>
        <v>1</v>
      </c>
      <c r="M296">
        <f t="shared" si="51"/>
        <v>0.41666666666666669</v>
      </c>
      <c r="N296">
        <f t="shared" si="52"/>
        <v>0</v>
      </c>
      <c r="O296">
        <f t="shared" si="53"/>
        <v>0.5</v>
      </c>
      <c r="P296">
        <f>IFERROR(LN('Дивиденды по годам'!I296),"")</f>
        <v>25.93003907271671</v>
      </c>
      <c r="Q296">
        <f>IFERROR('Дивиденды по годам'!G296/'Дивиденды по годам'!I296, "")</f>
        <v>0.81426405897301801</v>
      </c>
      <c r="R296">
        <f>IFERROR(IF(AND('Дивиденды по годам'!N296&lt;&gt;"",'Дивиденды по годам'!U296&lt;&gt;"",'Дивиденды по годам'!U296&lt;&gt;0),'Дивиденды по годам'!N296/'Дивиденды по годам'!U296-1,""),"")</f>
        <v>5.1922109718460341E-2</v>
      </c>
      <c r="S296">
        <f>IFERROR(IF(AND('Дивиденды по годам'!L296&lt;&gt;"",'Дивиденды по годам'!I296&lt;&gt;"",'Дивиденды по годам'!J296&lt;&gt;"",'Дивиденды по годам'!K296&lt;&gt;"",('Дивиденды по годам'!I296-'Дивиденды по годам'!J296-'Дивиденды по годам'!K296)&lt;&gt;0),'Дивиденды по годам'!L296/('Дивиденды по годам'!I296-'Дивиденды по годам'!J296-'Дивиденды по годам'!K296),""),"")</f>
        <v>0.52135966911614129</v>
      </c>
      <c r="T296">
        <f>IFERROR(IF(AND('Дивиденды по годам'!Q296&lt;&gt;"",'Дивиденды по годам'!I296&lt;&gt;"",'Дивиденды по годам'!V296&lt;&gt;"",('Дивиденды по годам'!I296+'Дивиденды по годам'!V296)&lt;&gt;0),'Дивиденды по годам'!Q296/(('Дивиденды по годам'!I296+'Дивиденды по годам'!V296)/2),""),"")</f>
        <v>4.5604230270295219E-2</v>
      </c>
      <c r="U296">
        <f>IFERROR(IF(AND('Дивиденды по годам'!J296&lt;&gt;"",'Дивиденды по годам'!K296&lt;&gt;"",'Дивиденды по годам'!M296&lt;&gt;"",'Дивиденды по годам'!M296&lt;&gt;0),('Дивиденды по годам'!J296+'Дивиденды по годам'!K296)/'Дивиденды по годам'!M296,""),"")</f>
        <v>0.38603839347167124</v>
      </c>
      <c r="V296">
        <f>IFERROR(IF(AND('Дивиденды по годам'!J296&lt;&gt;"",'Дивиденды по годам'!K296&lt;&gt;"",'Дивиденды по годам'!M296&lt;&gt;"",'Дивиденды по годам'!I296&lt;&gt;0),('Дивиденды по годам'!J296+'Дивиденды по годам'!K296)/'Дивиденды по годам'!I296,""),"")</f>
        <v>0.27851926417762779</v>
      </c>
      <c r="W296">
        <f>IFERROR('Дивиденды по годам'!I296,"")</f>
        <v>182504209000</v>
      </c>
      <c r="X296" cm="1">
        <f t="array" ref="X296">IFERROR(AVERAGE(_xlfn._xlws.FILTER(P$2:P$1073,($C$2:$C$1073=$C296)*($E$2:$E$1073=$E296)*(ROW(P$2:P$1073)&lt;&gt;ROW(P296))*(P$2:P$1073&lt;&gt;""))),"")</f>
        <v>26.150321382324041</v>
      </c>
      <c r="Y296" cm="1">
        <f t="array" ref="Y296">IFERROR(AVERAGE(_xlfn._xlws.FILTER(Q$2:Q$1073,($C$2:$C$1073=$C296)*($E$2:$E$1073=$E296)*(ROW(Q$2:Q$1073)&lt;&gt;ROW(Q296))*(Q$2:Q$1073&lt;&gt;""))),"")</f>
        <v>0.73055600769684481</v>
      </c>
      <c r="Z296" cm="1">
        <f t="array" ref="Z296">IFERROR(AVERAGE(_xlfn._xlws.FILTER(R$2:R$1073,($C$2:$C$1073=$C296)*($E$2:$E$1073=$E296)*(ROW(R$2:R$1073)&lt;&gt;ROW(R296))*(R$2:R$1073&lt;&gt;""))),"")</f>
        <v>-5.5543208217103312E-4</v>
      </c>
      <c r="AA296" cm="1">
        <f t="array" ref="AA296">IFERROR(AVERAGE(_xlfn._xlws.FILTER(S$2:S$1073,($C$2:$C$1073=$C296)*($E$2:$E$1073=$E296)*(ROW(S$2:S$1073)&lt;&gt;ROW(S296))*(S$2:S$1073&lt;&gt;""))),"")</f>
        <v>0.47007991530399756</v>
      </c>
      <c r="AB296" cm="1">
        <f t="array" ref="AB296">IFERROR(AVERAGE(_xlfn._xlws.FILTER(T$2:T$1073,($C$2:$C$1073=$C296)*($E$2:$E$1073=$E296)*(ROW(T$2:T$1073)&lt;&gt;ROW(T296))*(T$2:T$1073&lt;&gt;""))),"")</f>
        <v>5.2496131818601667E-2</v>
      </c>
      <c r="AC296" cm="1">
        <f t="array" ref="AC296">IFERROR(AVERAGE(_xlfn._xlws.FILTER(U$2:U$1073,($C$2:$C$1073=$C296)*($E$2:$E$1073=$E296)*(ROW(U$2:U$1073)&lt;&gt;ROW(U296))*(U$2:U$1073&lt;&gt;""))),"")</f>
        <v>0.68868881731864473</v>
      </c>
      <c r="AD296" cm="1">
        <f t="array" ref="AD296">IFERROR(AVERAGE(_xlfn._xlws.FILTER(V$2:V$1073,($C$2:$C$1073=$C296)*($E$2:$E$1073=$E296)*(ROW(V$2:V$1073)&lt;&gt;ROW(V296))*(V$2:V$1073&lt;&gt;""))),"")</f>
        <v>0.37860152478739956</v>
      </c>
      <c r="AE296">
        <f>IF('Дивиденды по годам'!M296&lt;0,1,0)</f>
        <v>0</v>
      </c>
    </row>
    <row r="297" spans="1:31" x14ac:dyDescent="0.2">
      <c r="A297" s="7" t="s">
        <v>2214</v>
      </c>
      <c r="B297" t="str">
        <f t="shared" si="44"/>
        <v>TGKA IV кв. 2018</v>
      </c>
      <c r="C297">
        <v>2018</v>
      </c>
      <c r="D297">
        <f>SUMIFS(Дивиденды!$C:$C,Дивиденды!$A:$A,A297,Дивиденды!$I:$I,C297)</f>
        <v>6.4499999999999996E-4</v>
      </c>
      <c r="E297">
        <v>2</v>
      </c>
      <c r="F297">
        <f t="shared" si="45"/>
        <v>6.4499999999999996E-4</v>
      </c>
      <c r="G297">
        <f t="shared" si="46"/>
        <v>8.0516666666666667E-2</v>
      </c>
      <c r="H297">
        <f t="shared" si="47"/>
        <v>1</v>
      </c>
      <c r="I297">
        <f t="shared" si="48"/>
        <v>1</v>
      </c>
      <c r="J297">
        <f t="shared" si="49"/>
        <v>0.31632653061224486</v>
      </c>
      <c r="K297">
        <f t="shared" si="54"/>
        <v>0.16989781741323173</v>
      </c>
      <c r="L297">
        <f t="shared" si="50"/>
        <v>1</v>
      </c>
      <c r="M297">
        <f t="shared" si="51"/>
        <v>0.58333333333333337</v>
      </c>
      <c r="N297">
        <f t="shared" si="52"/>
        <v>0</v>
      </c>
      <c r="O297">
        <f t="shared" si="53"/>
        <v>0.25</v>
      </c>
      <c r="P297">
        <f>IFERROR(LN('Дивиденды по годам'!I297),"")</f>
        <v>25.846704630844854</v>
      </c>
      <c r="Q297">
        <f>IFERROR('Дивиденды по годам'!G297/'Дивиденды по годам'!I297, "")</f>
        <v>0.82390480949664335</v>
      </c>
      <c r="R297">
        <f>IFERROR(IF(AND('Дивиденды по годам'!N297&lt;&gt;"",'Дивиденды по годам'!U297&lt;&gt;"",'Дивиденды по годам'!U297&lt;&gt;0),'Дивиденды по годам'!N297/'Дивиденды по годам'!U297-1,""),"")</f>
        <v>5.7903715948364853E-2</v>
      </c>
      <c r="S297">
        <f>IFERROR(IF(AND('Дивиденды по годам'!L297&lt;&gt;"",'Дивиденды по годам'!I297&lt;&gt;"",'Дивиденды по годам'!J297&lt;&gt;"",'Дивиденды по годам'!K297&lt;&gt;"",('Дивиденды по годам'!I297-'Дивиденды по годам'!J297-'Дивиденды по годам'!K297)&lt;&gt;0),'Дивиденды по годам'!L297/('Дивиденды по годам'!I297-'Дивиденды по годам'!J297-'Дивиденды по годам'!K297),""),"")</f>
        <v>0.49372686200408461</v>
      </c>
      <c r="T297">
        <f>IFERROR(IF(AND('Дивиденды по годам'!Q297&lt;&gt;"",'Дивиденды по годам'!I297&lt;&gt;"",'Дивиденды по годам'!V297&lt;&gt;"",('Дивиденды по годам'!I297+'Дивиденды по годам'!V297)&lt;&gt;0),'Дивиденды по годам'!Q297/(('Дивиденды по годам'!I297+'Дивиденды по годам'!V297)/2),""),"")</f>
        <v>6.2836405584518598E-2</v>
      </c>
      <c r="U297">
        <f>IFERROR(IF(AND('Дивиденды по годам'!J297&lt;&gt;"",'Дивиденды по годам'!K297&lt;&gt;"",'Дивиденды по годам'!M297&lt;&gt;"",'Дивиденды по годам'!M297&lt;&gt;0),('Дивиденды по годам'!J297+'Дивиденды по годам'!K297)/'Дивиденды по годам'!M297,""),"")</f>
        <v>0.34498855890815999</v>
      </c>
      <c r="V297">
        <f>IFERROR(IF(AND('Дивиденды по годам'!J297&lt;&gt;"",'Дивиденды по годам'!K297&lt;&gt;"",'Дивиденды по годам'!M297&lt;&gt;"",'Дивиденды по годам'!I297&lt;&gt;0),('Дивиденды по годам'!J297+'Дивиденды по годам'!K297)/'Дивиденды по годам'!I297,""),"")</f>
        <v>0.25649925170234622</v>
      </c>
      <c r="W297">
        <f>IFERROR('Дивиденды по годам'!I297,"")</f>
        <v>167911792000</v>
      </c>
      <c r="X297" cm="1">
        <f t="array" ref="X297">IFERROR(AVERAGE(_xlfn._xlws.FILTER(P$2:P$1073,($C$2:$C$1073=$C297)*($E$2:$E$1073=$E297)*(ROW(P$2:P$1073)&lt;&gt;ROW(P297))*(P$2:P$1073&lt;&gt;""))),"")</f>
        <v>26.099699961951945</v>
      </c>
      <c r="Y297" cm="1">
        <f t="array" ref="Y297">IFERROR(AVERAGE(_xlfn._xlws.FILTER(Q$2:Q$1073,($C$2:$C$1073=$C297)*($E$2:$E$1073=$E297)*(ROW(Q$2:Q$1073)&lt;&gt;ROW(Q297))*(Q$2:Q$1073&lt;&gt;""))),"")</f>
        <v>0.7472904215436027</v>
      </c>
      <c r="Z297" cm="1">
        <f t="array" ref="Z297">IFERROR(AVERAGE(_xlfn._xlws.FILTER(R$2:R$1073,($C$2:$C$1073=$C297)*($E$2:$E$1073=$E297)*(ROW(R$2:R$1073)&lt;&gt;ROW(R297))*(R$2:R$1073&lt;&gt;""))),"")</f>
        <v>4.9557839041079348E-2</v>
      </c>
      <c r="AA297" cm="1">
        <f t="array" ref="AA297">IFERROR(AVERAGE(_xlfn._xlws.FILTER(S$2:S$1073,($C$2:$C$1073=$C297)*($E$2:$E$1073=$E297)*(ROW(S$2:S$1073)&lt;&gt;ROW(S297))*(S$2:S$1073&lt;&gt;""))),"")</f>
        <v>0.46196664721623643</v>
      </c>
      <c r="AB297" cm="1">
        <f t="array" ref="AB297">IFERROR(AVERAGE(_xlfn._xlws.FILTER(T$2:T$1073,($C$2:$C$1073=$C297)*($E$2:$E$1073=$E297)*(ROW(T$2:T$1073)&lt;&gt;ROW(T297))*(T$2:T$1073&lt;&gt;""))),"")</f>
        <v>6.887606071856156E-2</v>
      </c>
      <c r="AC297" cm="1">
        <f t="array" ref="AC297">IFERROR(AVERAGE(_xlfn._xlws.FILTER(U$2:U$1073,($C$2:$C$1073=$C297)*($E$2:$E$1073=$E297)*(ROW(U$2:U$1073)&lt;&gt;ROW(U297))*(U$2:U$1073&lt;&gt;""))),"")</f>
        <v>0.65588281354423617</v>
      </c>
      <c r="AD297" cm="1">
        <f t="array" ref="AD297">IFERROR(AVERAGE(_xlfn._xlws.FILTER(V$2:V$1073,($C$2:$C$1073=$C297)*($E$2:$E$1073=$E297)*(ROW(V$2:V$1073)&lt;&gt;ROW(V297))*(V$2:V$1073&lt;&gt;""))),"")</f>
        <v>0.36879192117854931</v>
      </c>
      <c r="AE297">
        <f>IF('Дивиденды по годам'!M297&lt;0,1,0)</f>
        <v>0</v>
      </c>
    </row>
    <row r="298" spans="1:31" x14ac:dyDescent="0.2">
      <c r="A298" s="7" t="s">
        <v>2214</v>
      </c>
      <c r="B298" t="str">
        <f t="shared" si="44"/>
        <v>TGKA IV кв. 2017</v>
      </c>
      <c r="C298">
        <v>2017</v>
      </c>
      <c r="D298">
        <f>SUMIFS(Дивиденды!$C:$C,Дивиденды!$A:$A,A298,Дивиденды!$I:$I,C298)</f>
        <v>4.8999999999999998E-4</v>
      </c>
      <c r="E298">
        <v>2</v>
      </c>
      <c r="F298">
        <f t="shared" si="45"/>
        <v>4.8999999999999998E-4</v>
      </c>
      <c r="G298">
        <f t="shared" si="46"/>
        <v>7.2068000000000007E-2</v>
      </c>
      <c r="H298">
        <f t="shared" si="47"/>
        <v>1</v>
      </c>
      <c r="I298">
        <f t="shared" si="48"/>
        <v>1</v>
      </c>
      <c r="J298">
        <f t="shared" si="49"/>
        <v>0.4202898550724638</v>
      </c>
      <c r="K298">
        <f t="shared" si="54"/>
        <v>0.60672548301757823</v>
      </c>
      <c r="L298">
        <f t="shared" si="50"/>
        <v>1</v>
      </c>
      <c r="M298">
        <f t="shared" si="51"/>
        <v>0.75</v>
      </c>
      <c r="N298">
        <f t="shared" si="52"/>
        <v>0</v>
      </c>
      <c r="O298">
        <f t="shared" si="53"/>
        <v>0.25</v>
      </c>
      <c r="P298">
        <f>IFERROR(LN('Дивиденды по годам'!I298),"")</f>
        <v>25.821836932287169</v>
      </c>
      <c r="Q298">
        <f>IFERROR('Дивиденды по годам'!G298/'Дивиденды по годам'!I298, "")</f>
        <v>0.81454104036125352</v>
      </c>
      <c r="R298">
        <f>IFERROR(IF(AND('Дивиденды по годам'!N298&lt;&gt;"",'Дивиденды по годам'!U298&lt;&gt;"",'Дивиденды по годам'!U298&lt;&gt;0),'Дивиденды по годам'!N298/'Дивиденды по годам'!U298-1,""),"")</f>
        <v>0.10778908881257609</v>
      </c>
      <c r="S298">
        <f>IFERROR(IF(AND('Дивиденды по годам'!L298&lt;&gt;"",'Дивиденды по годам'!I298&lt;&gt;"",'Дивиденды по годам'!J298&lt;&gt;"",'Дивиденды по годам'!K298&lt;&gt;"",('Дивиденды по годам'!I298-'Дивиденды по годам'!J298-'Дивиденды по годам'!K298)&lt;&gt;0),'Дивиденды по годам'!L298/('Дивиденды по годам'!I298-'Дивиденды по годам'!J298-'Дивиденды по годам'!K298),""),"")</f>
        <v>0.46145425181766814</v>
      </c>
      <c r="T298">
        <f>IFERROR(IF(AND('Дивиденды по годам'!Q298&lt;&gt;"",'Дивиденды по годам'!I298&lt;&gt;"",'Дивиденды по годам'!V298&lt;&gt;"",('Дивиденды по годам'!I298+'Дивиденды по годам'!V298)&lt;&gt;0),'Дивиденды по годам'!Q298/(('Дивиденды по годам'!I298+'Дивиденды по годам'!V298)/2),""),"")</f>
        <v>4.9001927956450878E-2</v>
      </c>
      <c r="U298">
        <f>IFERROR(IF(AND('Дивиденды по годам'!J298&lt;&gt;"",'Дивиденды по годам'!K298&lt;&gt;"",'Дивиденды по годам'!M298&lt;&gt;"",'Дивиденды по годам'!M298&lt;&gt;0),('Дивиденды по годам'!J298+'Дивиденды по годам'!K298)/'Дивиденды по годам'!M298,""),"")</f>
        <v>0.40639509931882689</v>
      </c>
      <c r="V298">
        <f>IFERROR(IF(AND('Дивиденды по годам'!J298&lt;&gt;"",'Дивиденды по годам'!K298&lt;&gt;"",'Дивиденды по годам'!M298&lt;&gt;"",'Дивиденды по годам'!I298&lt;&gt;0),('Дивиденды по годам'!J298+'Дивиденды по годам'!K298)/'Дивиденды по годам'!I298,""),"")</f>
        <v>0.28896225499908257</v>
      </c>
      <c r="W298">
        <f>IFERROR('Дивиденды по годам'!I298,"")</f>
        <v>163787703000</v>
      </c>
      <c r="X298" cm="1">
        <f t="array" ref="X298">IFERROR(AVERAGE(_xlfn._xlws.FILTER(P$2:P$1073,($C$2:$C$1073=$C298)*($E$2:$E$1073=$E298)*(ROW(P$2:P$1073)&lt;&gt;ROW(P298))*(P$2:P$1073&lt;&gt;""))),"")</f>
        <v>26.069159718815566</v>
      </c>
      <c r="Y298" cm="1">
        <f t="array" ref="Y298">IFERROR(AVERAGE(_xlfn._xlws.FILTER(Q$2:Q$1073,($C$2:$C$1073=$C298)*($E$2:$E$1073=$E298)*(ROW(Q$2:Q$1073)&lt;&gt;ROW(Q298))*(Q$2:Q$1073&lt;&gt;""))),"")</f>
        <v>0.75558056776984028</v>
      </c>
      <c r="Z298" cm="1">
        <f t="array" ref="Z298">IFERROR(AVERAGE(_xlfn._xlws.FILTER(R$2:R$1073,($C$2:$C$1073=$C298)*($E$2:$E$1073=$E298)*(ROW(R$2:R$1073)&lt;&gt;ROW(R298))*(R$2:R$1073&lt;&gt;""))),"")</f>
        <v>4.0728165887864015E-2</v>
      </c>
      <c r="AA298" cm="1">
        <f t="array" ref="AA298">IFERROR(AVERAGE(_xlfn._xlws.FILTER(S$2:S$1073,($C$2:$C$1073=$C298)*($E$2:$E$1073=$E298)*(ROW(S$2:S$1073)&lt;&gt;ROW(S298))*(S$2:S$1073&lt;&gt;""))),"")</f>
        <v>0.41705589897782208</v>
      </c>
      <c r="AB298" cm="1">
        <f t="array" ref="AB298">IFERROR(AVERAGE(_xlfn._xlws.FILTER(T$2:T$1073,($C$2:$C$1073=$C298)*($E$2:$E$1073=$E298)*(ROW(T$2:T$1073)&lt;&gt;ROW(T298))*(T$2:T$1073&lt;&gt;""))),"")</f>
        <v>8.4284029142868144E-2</v>
      </c>
      <c r="AC298" cm="1">
        <f t="array" ref="AC298">IFERROR(AVERAGE(_xlfn._xlws.FILTER(U$2:U$1073,($C$2:$C$1073=$C298)*($E$2:$E$1073=$E298)*(ROW(U$2:U$1073)&lt;&gt;ROW(U298))*(U$2:U$1073&lt;&gt;""))),"")</f>
        <v>0.65004354356192684</v>
      </c>
      <c r="AD298" cm="1">
        <f t="array" ref="AD298">IFERROR(AVERAGE(_xlfn._xlws.FILTER(V$2:V$1073,($C$2:$C$1073=$C298)*($E$2:$E$1073=$E298)*(ROW(V$2:V$1073)&lt;&gt;ROW(V298))*(V$2:V$1073&lt;&gt;""))),"")</f>
        <v>0.36710194191925277</v>
      </c>
      <c r="AE298">
        <f>IF('Дивиденды по годам'!M298&lt;0,1,0)</f>
        <v>0</v>
      </c>
    </row>
    <row r="299" spans="1:31" x14ac:dyDescent="0.2">
      <c r="A299" s="7" t="s">
        <v>2214</v>
      </c>
      <c r="B299" t="str">
        <f t="shared" si="44"/>
        <v>TGKA IV кв. 2016</v>
      </c>
      <c r="C299">
        <v>2016</v>
      </c>
      <c r="D299">
        <f>SUMIFS(Дивиденды!$C:$C,Дивиденды!$A:$A,A299,Дивиденды!$I:$I,C299)</f>
        <v>3.4499999999999998E-4</v>
      </c>
      <c r="E299">
        <v>2</v>
      </c>
      <c r="F299">
        <f t="shared" si="45"/>
        <v>3.4499999999999998E-4</v>
      </c>
      <c r="G299">
        <f t="shared" si="46"/>
        <v>5.7366416666666663E-2</v>
      </c>
      <c r="H299">
        <f t="shared" si="47"/>
        <v>1</v>
      </c>
      <c r="I299">
        <f t="shared" si="48"/>
        <v>1</v>
      </c>
      <c r="J299">
        <f t="shared" si="49"/>
        <v>0.41975308641975301</v>
      </c>
      <c r="K299">
        <f t="shared" si="54"/>
        <v>1.3720906139374973</v>
      </c>
      <c r="L299">
        <f t="shared" si="50"/>
        <v>1</v>
      </c>
      <c r="M299">
        <f t="shared" si="51"/>
        <v>0.83333333333333337</v>
      </c>
      <c r="N299">
        <f t="shared" si="52"/>
        <v>0</v>
      </c>
      <c r="O299">
        <f t="shared" si="53"/>
        <v>0.16666666666666666</v>
      </c>
      <c r="P299">
        <f>IFERROR(LN('Дивиденды по годам'!I299),"")</f>
        <v>25.797007089051498</v>
      </c>
      <c r="Q299">
        <f>IFERROR('Дивиденды по годам'!G299/'Дивиденды по годам'!I299, "")</f>
        <v>0.82911654267270629</v>
      </c>
      <c r="R299" t="str">
        <f>IFERROR(IF(AND('Дивиденды по годам'!N299&lt;&gt;"",'Дивиденды по годам'!U299&lt;&gt;"",'Дивиденды по годам'!U299&lt;&gt;0),'Дивиденды по годам'!N299/'Дивиденды по годам'!U299-1,""),"")</f>
        <v/>
      </c>
      <c r="S299">
        <f>IFERROR(IF(AND('Дивиденды по годам'!L299&lt;&gt;"",'Дивиденды по годам'!I299&lt;&gt;"",'Дивиденды по годам'!J299&lt;&gt;"",'Дивиденды по годам'!K299&lt;&gt;"",('Дивиденды по годам'!I299-'Дивиденды по годам'!J299-'Дивиденды по годам'!K299)&lt;&gt;0),'Дивиденды по годам'!L299/('Дивиденды по годам'!I299-'Дивиденды по годам'!J299-'Дивиденды по годам'!K299),""),"")</f>
        <v>0.43155978360172664</v>
      </c>
      <c r="T299" t="str">
        <f>IFERROR(IF(AND('Дивиденды по годам'!Q299&lt;&gt;"",'Дивиденды по годам'!I299&lt;&gt;"",'Дивиденды по годам'!V299&lt;&gt;"",('Дивиденды по годам'!I299+'Дивиденды по годам'!V299)&lt;&gt;0),'Дивиденды по годам'!Q299/(('Дивиденды по годам'!I299+'Дивиденды по годам'!V299)/2),""),"")</f>
        <v/>
      </c>
      <c r="U299">
        <f>IFERROR(IF(AND('Дивиденды по годам'!J299&lt;&gt;"",'Дивиденды по годам'!K299&lt;&gt;"",'Дивиденды по годам'!M299&lt;&gt;"",'Дивиденды по годам'!M299&lt;&gt;0),('Дивиденды по годам'!J299+'Дивиденды по годам'!K299)/'Дивиденды по годам'!M299,""),"")</f>
        <v>0.45267620692604821</v>
      </c>
      <c r="V299">
        <f>IFERROR(IF(AND('Дивиденды по годам'!J299&lt;&gt;"",'Дивиденды по годам'!K299&lt;&gt;"",'Дивиденды по годам'!M299&lt;&gt;"",'Дивиденды по годам'!I299&lt;&gt;0),('Дивиденды по годам'!J299+'Дивиденды по годам'!K299)/'Дивиденды по годам'!I299,""),"")</f>
        <v>0.31161535156133574</v>
      </c>
      <c r="W299">
        <f>IFERROR('Дивиденды по годам'!I299,"")</f>
        <v>159770954000</v>
      </c>
      <c r="X299" cm="1">
        <f t="array" ref="X299">IFERROR(AVERAGE(_xlfn._xlws.FILTER(P$2:P$1073,($C$2:$C$1073=$C299)*($E$2:$E$1073=$E299)*(ROW(P$2:P$1073)&lt;&gt;ROW(P299))*(P$2:P$1073&lt;&gt;""))),"")</f>
        <v>26.025422112614649</v>
      </c>
      <c r="Y299" cm="1">
        <f t="array" ref="Y299">IFERROR(AVERAGE(_xlfn._xlws.FILTER(Q$2:Q$1073,($C$2:$C$1073=$C299)*($E$2:$E$1073=$E299)*(ROW(Q$2:Q$1073)&lt;&gt;ROW(Q299))*(Q$2:Q$1073&lt;&gt;""))),"")</f>
        <v>0.70686100153026388</v>
      </c>
      <c r="Z299" cm="1">
        <f t="array" ref="Z299">IFERROR(AVERAGE(_xlfn._xlws.FILTER(R$2:R$1073,($C$2:$C$1073=$C299)*($E$2:$E$1073=$E299)*(ROW(R$2:R$1073)&lt;&gt;ROW(R299))*(R$2:R$1073&lt;&gt;""))),"")</f>
        <v>0.11417416404225701</v>
      </c>
      <c r="AA299" cm="1">
        <f t="array" ref="AA299">IFERROR(AVERAGE(_xlfn._xlws.FILTER(S$2:S$1073,($C$2:$C$1073=$C299)*($E$2:$E$1073=$E299)*(ROW(S$2:S$1073)&lt;&gt;ROW(S299))*(S$2:S$1073&lt;&gt;""))),"")</f>
        <v>0.40683180852167578</v>
      </c>
      <c r="AB299" cm="1">
        <f t="array" ref="AB299">IFERROR(AVERAGE(_xlfn._xlws.FILTER(T$2:T$1073,($C$2:$C$1073=$C299)*($E$2:$E$1073=$E299)*(ROW(T$2:T$1073)&lt;&gt;ROW(T299))*(T$2:T$1073&lt;&gt;""))),"")</f>
        <v>4.0943955414103568E-2</v>
      </c>
      <c r="AC299" cm="1">
        <f t="array" ref="AC299">IFERROR(AVERAGE(_xlfn._xlws.FILTER(U$2:U$1073,($C$2:$C$1073=$C299)*($E$2:$E$1073=$E299)*(ROW(U$2:U$1073)&lt;&gt;ROW(U299))*(U$2:U$1073&lt;&gt;""))),"")</f>
        <v>0.74906769705519238</v>
      </c>
      <c r="AD299" cm="1">
        <f t="array" ref="AD299">IFERROR(AVERAGE(_xlfn._xlws.FILTER(V$2:V$1073,($C$2:$C$1073=$C299)*($E$2:$E$1073=$E299)*(ROW(V$2:V$1073)&lt;&gt;ROW(V299))*(V$2:V$1073&lt;&gt;""))),"")</f>
        <v>0.40108245898901723</v>
      </c>
      <c r="AE299">
        <f>IF('Дивиденды по годам'!M299&lt;0,1,0)</f>
        <v>0</v>
      </c>
    </row>
    <row r="300" spans="1:31" x14ac:dyDescent="0.2">
      <c r="A300" s="7" t="s">
        <v>2214</v>
      </c>
      <c r="B300" t="str">
        <f t="shared" si="44"/>
        <v>TGKA IV кв. 2015</v>
      </c>
      <c r="C300">
        <v>2015</v>
      </c>
      <c r="D300">
        <f>SUMIFS(Дивиденды!$C:$C,Дивиденды!$A:$A,A300,Дивиденды!$I:$I,C300)</f>
        <v>2.43E-4</v>
      </c>
      <c r="E300">
        <v>2</v>
      </c>
      <c r="F300">
        <f t="shared" si="45"/>
        <v>2.43E-4</v>
      </c>
      <c r="G300">
        <f t="shared" si="46"/>
        <v>4.1419833333333336E-2</v>
      </c>
      <c r="H300">
        <f t="shared" si="47"/>
        <v>1</v>
      </c>
      <c r="I300">
        <f t="shared" si="48"/>
        <v>0.91666666666666663</v>
      </c>
      <c r="J300">
        <f t="shared" si="49"/>
        <v>8.0000000000000016E-2</v>
      </c>
      <c r="K300">
        <f t="shared" si="54"/>
        <v>4.1383097783256755</v>
      </c>
      <c r="L300">
        <f t="shared" si="50"/>
        <v>1</v>
      </c>
      <c r="M300">
        <f t="shared" si="51"/>
        <v>0.66666666666666663</v>
      </c>
      <c r="N300">
        <f t="shared" si="52"/>
        <v>0</v>
      </c>
      <c r="O300">
        <f t="shared" si="53"/>
        <v>0.33333333333333331</v>
      </c>
      <c r="P300" t="str">
        <f>IFERROR(LN('Дивиденды по годам'!I300),"")</f>
        <v/>
      </c>
      <c r="Q300" t="str">
        <f>IFERROR('Дивиденды по годам'!G300/'Дивиденды по годам'!I300, "")</f>
        <v/>
      </c>
      <c r="R300" t="str">
        <f>IFERROR(IF(AND('Дивиденды по годам'!N300&lt;&gt;"",'Дивиденды по годам'!U300&lt;&gt;"",'Дивиденды по годам'!U300&lt;&gt;0),'Дивиденды по годам'!N300/'Дивиденды по годам'!U300-1,""),"")</f>
        <v/>
      </c>
      <c r="S300" t="str">
        <f>IFERROR(IF(AND('Дивиденды по годам'!L300&lt;&gt;"",'Дивиденды по годам'!I300&lt;&gt;"",'Дивиденды по годам'!J300&lt;&gt;"",'Дивиденды по годам'!K300&lt;&gt;"",('Дивиденды по годам'!I300-'Дивиденды по годам'!J300-'Дивиденды по годам'!K300)&lt;&gt;0),'Дивиденды по годам'!L300/('Дивиденды по годам'!I300-'Дивиденды по годам'!J300-'Дивиденды по годам'!K300),""),"")</f>
        <v/>
      </c>
      <c r="T300" t="str">
        <f>IFERROR(IF(AND('Дивиденды по годам'!Q300&lt;&gt;"",'Дивиденды по годам'!I300&lt;&gt;"",'Дивиденды по годам'!V300&lt;&gt;"",('Дивиденды по годам'!I300+'Дивиденды по годам'!V300)&lt;&gt;0),'Дивиденды по годам'!Q300/(('Дивиденды по годам'!I300+'Дивиденды по годам'!V300)/2),""),"")</f>
        <v/>
      </c>
      <c r="U300" t="str">
        <f>IFERROR(IF(AND('Дивиденды по годам'!J300&lt;&gt;"",'Дивиденды по годам'!K300&lt;&gt;"",'Дивиденды по годам'!M300&lt;&gt;"",'Дивиденды по годам'!M300&lt;&gt;0),('Дивиденды по годам'!J300+'Дивиденды по годам'!K300)/'Дивиденды по годам'!M300,""),"")</f>
        <v/>
      </c>
      <c r="V300" t="str">
        <f>IFERROR(IF(AND('Дивиденды по годам'!J300&lt;&gt;"",'Дивиденды по годам'!K300&lt;&gt;"",'Дивиденды по годам'!M300&lt;&gt;"",'Дивиденды по годам'!I300&lt;&gt;0),('Дивиденды по годам'!J300+'Дивиденды по годам'!K300)/'Дивиденды по годам'!I300,""),"")</f>
        <v/>
      </c>
      <c r="W300" t="str">
        <f>IFERROR('Дивиденды по годам'!I300,"")</f>
        <v/>
      </c>
      <c r="X300" cm="1">
        <f t="array" ref="X300">IFERROR(AVERAGE(_xlfn._xlws.FILTER(P$2:P$1073,($C$2:$C$1073=$C300)*($E$2:$E$1073=$E300)*(ROW(P$2:P$1073)&lt;&gt;ROW(P300))*(P$2:P$1073&lt;&gt;""))),"")</f>
        <v>25.929037289731681</v>
      </c>
      <c r="Y300" cm="1">
        <f t="array" ref="Y300">IFERROR(AVERAGE(_xlfn._xlws.FILTER(Q$2:Q$1073,($C$2:$C$1073=$C300)*($E$2:$E$1073=$E300)*(ROW(Q$2:Q$1073)&lt;&gt;ROW(Q300))*(Q$2:Q$1073&lt;&gt;""))),"")</f>
        <v>0.77938300122684545</v>
      </c>
      <c r="Z300" cm="1">
        <f t="array" ref="Z300">IFERROR(AVERAGE(_xlfn._xlws.FILTER(R$2:R$1073,($C$2:$C$1073=$C300)*($E$2:$E$1073=$E300)*(ROW(R$2:R$1073)&lt;&gt;ROW(R300))*(R$2:R$1073&lt;&gt;""))),"")</f>
        <v>6.7517888744073832E-3</v>
      </c>
      <c r="AA300" cm="1">
        <f t="array" ref="AA300">IFERROR(AVERAGE(_xlfn._xlws.FILTER(S$2:S$1073,($C$2:$C$1073=$C300)*($E$2:$E$1073=$E300)*(ROW(S$2:S$1073)&lt;&gt;ROW(S300))*(S$2:S$1073&lt;&gt;""))),"")</f>
        <v>0.4889220310718525</v>
      </c>
      <c r="AB300" cm="1">
        <f t="array" ref="AB300">IFERROR(AVERAGE(_xlfn._xlws.FILTER(T$2:T$1073,($C$2:$C$1073=$C300)*($E$2:$E$1073=$E300)*(ROW(T$2:T$1073)&lt;&gt;ROW(T300))*(T$2:T$1073&lt;&gt;""))),"")</f>
        <v>-1.2387742079155006E-2</v>
      </c>
      <c r="AC300" cm="1">
        <f t="array" ref="AC300">IFERROR(AVERAGE(_xlfn._xlws.FILTER(U$2:U$1073,($C$2:$C$1073=$C300)*($E$2:$E$1073=$E300)*(ROW(U$2:U$1073)&lt;&gt;ROW(U300))*(U$2:U$1073&lt;&gt;""))),"")</f>
        <v>0.89260692757539384</v>
      </c>
      <c r="AD300" cm="1">
        <f t="array" ref="AD300">IFERROR(AVERAGE(_xlfn._xlws.FILTER(V$2:V$1073,($C$2:$C$1073=$C300)*($E$2:$E$1073=$E300)*(ROW(V$2:V$1073)&lt;&gt;ROW(V300))*(V$2:V$1073&lt;&gt;""))),"")</f>
        <v>0.43851031750003117</v>
      </c>
      <c r="AE300">
        <f>IF('Дивиденды по годам'!M300&lt;0,1,0)</f>
        <v>0</v>
      </c>
    </row>
    <row r="301" spans="1:31" x14ac:dyDescent="0.2">
      <c r="A301" s="7" t="s">
        <v>2214</v>
      </c>
      <c r="B301" t="str">
        <f t="shared" si="44"/>
        <v>TGKA IV кв. 2014</v>
      </c>
      <c r="C301">
        <v>2014</v>
      </c>
      <c r="D301">
        <f>SUMIFS(Дивиденды!$C:$C,Дивиденды!$A:$A,A301,Дивиденды!$I:$I,C301)</f>
        <v>2.2499999999999999E-4</v>
      </c>
      <c r="E301">
        <v>2</v>
      </c>
      <c r="F301">
        <f t="shared" si="45"/>
        <v>2.2499999999999999E-4</v>
      </c>
      <c r="G301">
        <f t="shared" si="46"/>
        <v>3.8949166666666674E-2</v>
      </c>
      <c r="H301">
        <f t="shared" si="47"/>
        <v>1</v>
      </c>
      <c r="I301">
        <f t="shared" si="48"/>
        <v>1</v>
      </c>
      <c r="J301">
        <f t="shared" si="49"/>
        <v>0.3473053892215569</v>
      </c>
      <c r="K301">
        <f t="shared" si="54"/>
        <v>1.3721613659148424</v>
      </c>
      <c r="L301">
        <f t="shared" si="50"/>
        <v>1</v>
      </c>
      <c r="M301">
        <f t="shared" si="51"/>
        <v>0.58333333333333337</v>
      </c>
      <c r="N301">
        <f t="shared" si="52"/>
        <v>0</v>
      </c>
      <c r="O301">
        <f t="shared" si="53"/>
        <v>0.33333333333333331</v>
      </c>
      <c r="P301" t="str">
        <f>IFERROR(LN('Дивиденды по годам'!I301),"")</f>
        <v/>
      </c>
      <c r="Q301" t="str">
        <f>IFERROR('Дивиденды по годам'!G301/'Дивиденды по годам'!I301, "")</f>
        <v/>
      </c>
      <c r="R301" t="str">
        <f>IFERROR(IF(AND('Дивиденды по годам'!N301&lt;&gt;"",'Дивиденды по годам'!U301&lt;&gt;"",'Дивиденды по годам'!U301&lt;&gt;0),'Дивиденды по годам'!N301/'Дивиденды по годам'!U301-1,""),"")</f>
        <v/>
      </c>
      <c r="S301" t="str">
        <f>IFERROR(IF(AND('Дивиденды по годам'!L301&lt;&gt;"",'Дивиденды по годам'!I301&lt;&gt;"",'Дивиденды по годам'!J301&lt;&gt;"",'Дивиденды по годам'!K301&lt;&gt;"",('Дивиденды по годам'!I301-'Дивиденды по годам'!J301-'Дивиденды по годам'!K301)&lt;&gt;0),'Дивиденды по годам'!L301/('Дивиденды по годам'!I301-'Дивиденды по годам'!J301-'Дивиденды по годам'!K301),""),"")</f>
        <v/>
      </c>
      <c r="T301" t="str">
        <f>IFERROR(IF(AND('Дивиденды по годам'!Q301&lt;&gt;"",'Дивиденды по годам'!I301&lt;&gt;"",'Дивиденды по годам'!V301&lt;&gt;"",('Дивиденды по годам'!I301+'Дивиденды по годам'!V301)&lt;&gt;0),'Дивиденды по годам'!Q301/(('Дивиденды по годам'!I301+'Дивиденды по годам'!V301)/2),""),"")</f>
        <v/>
      </c>
      <c r="U301" t="str">
        <f>IFERROR(IF(AND('Дивиденды по годам'!J301&lt;&gt;"",'Дивиденды по годам'!K301&lt;&gt;"",'Дивиденды по годам'!M301&lt;&gt;"",'Дивиденды по годам'!M301&lt;&gt;0),('Дивиденды по годам'!J301+'Дивиденды по годам'!K301)/'Дивиденды по годам'!M301,""),"")</f>
        <v/>
      </c>
      <c r="V301" t="str">
        <f>IFERROR(IF(AND('Дивиденды по годам'!J301&lt;&gt;"",'Дивиденды по годам'!K301&lt;&gt;"",'Дивиденды по годам'!M301&lt;&gt;"",'Дивиденды по годам'!I301&lt;&gt;0),('Дивиденды по годам'!J301+'Дивиденды по годам'!K301)/'Дивиденды по годам'!I301,""),"")</f>
        <v/>
      </c>
      <c r="W301" t="str">
        <f>IFERROR('Дивиденды по годам'!I301,"")</f>
        <v/>
      </c>
      <c r="X301" cm="1">
        <f t="array" ref="X301">IFERROR(AVERAGE(_xlfn._xlws.FILTER(P$2:P$1073,($C$2:$C$1073=$C301)*($E$2:$E$1073=$E301)*(ROW(P$2:P$1073)&lt;&gt;ROW(P301))*(P$2:P$1073&lt;&gt;""))),"")</f>
        <v>26.162362087257655</v>
      </c>
      <c r="Y301" cm="1">
        <f t="array" ref="Y301">IFERROR(AVERAGE(_xlfn._xlws.FILTER(Q$2:Q$1073,($C$2:$C$1073=$C301)*($E$2:$E$1073=$E301)*(ROW(Q$2:Q$1073)&lt;&gt;ROW(Q301))*(Q$2:Q$1073&lt;&gt;""))),"")</f>
        <v>0.77148348573008463</v>
      </c>
      <c r="Z301" cm="1">
        <f t="array" ref="Z301">IFERROR(AVERAGE(_xlfn._xlws.FILTER(R$2:R$1073,($C$2:$C$1073=$C301)*($E$2:$E$1073=$E301)*(ROW(R$2:R$1073)&lt;&gt;ROW(R301))*(R$2:R$1073&lt;&gt;""))),"")</f>
        <v>2.2711345548547646E-2</v>
      </c>
      <c r="AA301" cm="1">
        <f t="array" ref="AA301">IFERROR(AVERAGE(_xlfn._xlws.FILTER(S$2:S$1073,($C$2:$C$1073=$C301)*($E$2:$E$1073=$E301)*(ROW(S$2:S$1073)&lt;&gt;ROW(S301))*(S$2:S$1073&lt;&gt;""))),"")</f>
        <v>0.60466035791128681</v>
      </c>
      <c r="AB301" cm="1">
        <f t="array" ref="AB301">IFERROR(AVERAGE(_xlfn._xlws.FILTER(T$2:T$1073,($C$2:$C$1073=$C301)*($E$2:$E$1073=$E301)*(ROW(T$2:T$1073)&lt;&gt;ROW(T301))*(T$2:T$1073&lt;&gt;""))),"")</f>
        <v>1.8616337284622531E-2</v>
      </c>
      <c r="AC301" cm="1">
        <f t="array" ref="AC301">IFERROR(AVERAGE(_xlfn._xlws.FILTER(U$2:U$1073,($C$2:$C$1073=$C301)*($E$2:$E$1073=$E301)*(ROW(U$2:U$1073)&lt;&gt;ROW(U301))*(U$2:U$1073&lt;&gt;""))),"")</f>
        <v>0.75378158026714182</v>
      </c>
      <c r="AD301" cm="1">
        <f t="array" ref="AD301">IFERROR(AVERAGE(_xlfn._xlws.FILTER(V$2:V$1073,($C$2:$C$1073=$C301)*($E$2:$E$1073=$E301)*(ROW(V$2:V$1073)&lt;&gt;ROW(V301))*(V$2:V$1073&lt;&gt;""))),"")</f>
        <v>0.40356478159992998</v>
      </c>
      <c r="AE301">
        <f>IF('Дивиденды по годам'!M301&lt;0,1,0)</f>
        <v>0</v>
      </c>
    </row>
    <row r="302" spans="1:31" x14ac:dyDescent="0.2">
      <c r="A302" s="7" t="s">
        <v>2214</v>
      </c>
      <c r="B302" t="str">
        <f t="shared" si="44"/>
        <v>TGKA IV кв. 2013</v>
      </c>
      <c r="C302">
        <v>2013</v>
      </c>
      <c r="D302">
        <f>SUMIFS(Дивиденды!$C:$C,Дивиденды!$A:$A,A302,Дивиденды!$I:$I,C302)</f>
        <v>1.6699999999999999E-4</v>
      </c>
      <c r="E302">
        <v>2</v>
      </c>
      <c r="F302">
        <f t="shared" si="45"/>
        <v>1.6699999999999999E-4</v>
      </c>
      <c r="G302">
        <f t="shared" si="46"/>
        <v>4.642916666666666E-2</v>
      </c>
      <c r="H302">
        <f t="shared" si="47"/>
        <v>1</v>
      </c>
      <c r="I302">
        <f t="shared" si="48"/>
        <v>0.75</v>
      </c>
      <c r="J302">
        <f t="shared" si="49"/>
        <v>0.36885245901639341</v>
      </c>
      <c r="K302">
        <f t="shared" si="54"/>
        <v>-1.7784850499356058E-2</v>
      </c>
      <c r="L302">
        <f t="shared" si="50"/>
        <v>1</v>
      </c>
      <c r="M302">
        <f t="shared" si="51"/>
        <v>0.41666666666666669</v>
      </c>
      <c r="N302">
        <f t="shared" si="52"/>
        <v>0</v>
      </c>
      <c r="O302">
        <f t="shared" si="53"/>
        <v>0.33333333333333331</v>
      </c>
      <c r="P302">
        <f>IFERROR(LN('Дивиденды по годам'!I302),"")</f>
        <v>25.737904891951128</v>
      </c>
      <c r="Q302">
        <f>IFERROR('Дивиденды по годам'!G302/'Дивиденды по годам'!I302, "")</f>
        <v>0.86445360986731579</v>
      </c>
      <c r="R302">
        <f>IFERROR(IF(AND('Дивиденды по годам'!N302&lt;&gt;"",'Дивиденды по годам'!U302&lt;&gt;"",'Дивиденды по годам'!U302&lt;&gt;0),'Дивиденды по годам'!N302/'Дивиденды по годам'!U302-1,""),"")</f>
        <v>-0.31470949863134123</v>
      </c>
      <c r="S302" t="str">
        <f>IFERROR(IF(AND('Дивиденды по годам'!L302&lt;&gt;"",'Дивиденды по годам'!I302&lt;&gt;"",'Дивиденды по годам'!J302&lt;&gt;"",'Дивиденды по годам'!K302&lt;&gt;"",('Дивиденды по годам'!I302-'Дивиденды по годам'!J302-'Дивиденды по годам'!K302)&lt;&gt;0),'Дивиденды по годам'!L302/('Дивиденды по годам'!I302-'Дивиденды по годам'!J302-'Дивиденды по годам'!K302),""),"")</f>
        <v/>
      </c>
      <c r="T302">
        <f>IFERROR(IF(AND('Дивиденды по годам'!Q302&lt;&gt;"",'Дивиденды по годам'!I302&lt;&gt;"",'Дивиденды по годам'!V302&lt;&gt;"",('Дивиденды по годам'!I302+'Дивиденды по годам'!V302)&lt;&gt;0),'Дивиденды по годам'!Q302/(('Дивиденды по годам'!I302+'Дивиденды по годам'!V302)/2),""),"")</f>
        <v>4.5337925781382335E-2</v>
      </c>
      <c r="U302">
        <f>IFERROR(IF(AND('Дивиденды по годам'!J302&lt;&gt;"",'Дивиденды по годам'!K302&lt;&gt;"",'Дивиденды по годам'!M302&lt;&gt;"",'Дивиденды по годам'!M302&lt;&gt;0),('Дивиденды по годам'!J302+'Дивиденды по годам'!K302)/'Дивиденды по годам'!M302,""),"")</f>
        <v>0.55075893622069039</v>
      </c>
      <c r="V302">
        <f>IFERROR(IF(AND('Дивиденды по годам'!J302&lt;&gt;"",'Дивиденды по годам'!K302&lt;&gt;"",'Дивиденды по годам'!M302&lt;&gt;"",'Дивиденды по годам'!I302&lt;&gt;0),('Дивиденды по годам'!J302+'Дивиденды по годам'!K302)/'Дивиденды по годам'!I302,""),"")</f>
        <v>0.35515444944842878</v>
      </c>
      <c r="W302">
        <f>IFERROR('Дивиденды по годам'!I302,"")</f>
        <v>150601768000</v>
      </c>
      <c r="X302" cm="1">
        <f t="array" ref="X302">IFERROR(AVERAGE(_xlfn._xlws.FILTER(P$2:P$1073,($C$2:$C$1073=$C302)*($E$2:$E$1073=$E302)*(ROW(P$2:P$1073)&lt;&gt;ROW(P302))*(P$2:P$1073&lt;&gt;""))),"")</f>
        <v>26.14497314212047</v>
      </c>
      <c r="Y302" cm="1">
        <f t="array" ref="Y302">IFERROR(AVERAGE(_xlfn._xlws.FILTER(Q$2:Q$1073,($C$2:$C$1073=$C302)*($E$2:$E$1073=$E302)*(ROW(Q$2:Q$1073)&lt;&gt;ROW(Q302))*(Q$2:Q$1073&lt;&gt;""))),"")</f>
        <v>0.77468725161185448</v>
      </c>
      <c r="Z302" cm="1">
        <f t="array" ref="Z302">IFERROR(AVERAGE(_xlfn._xlws.FILTER(R$2:R$1073,($C$2:$C$1073=$C302)*($E$2:$E$1073=$E302)*(ROW(R$2:R$1073)&lt;&gt;ROW(R302))*(R$2:R$1073&lt;&gt;""))),"")</f>
        <v>0.14361782414746796</v>
      </c>
      <c r="AA302" cm="1">
        <f t="array" ref="AA302">IFERROR(AVERAGE(_xlfn._xlws.FILTER(S$2:S$1073,($C$2:$C$1073=$C302)*($E$2:$E$1073=$E302)*(ROW(S$2:S$1073)&lt;&gt;ROW(S302))*(S$2:S$1073&lt;&gt;""))),"")</f>
        <v>0.4636519590056305</v>
      </c>
      <c r="AB302" cm="1">
        <f t="array" ref="AB302">IFERROR(AVERAGE(_xlfn._xlws.FILTER(T$2:T$1073,($C$2:$C$1073=$C302)*($E$2:$E$1073=$E302)*(ROW(T$2:T$1073)&lt;&gt;ROW(T302))*(T$2:T$1073&lt;&gt;""))),"")</f>
        <v>-1.0462830785926403E-2</v>
      </c>
      <c r="AC302" cm="1">
        <f t="array" ref="AC302">IFERROR(AVERAGE(_xlfn._xlws.FILTER(U$2:U$1073,($C$2:$C$1073=$C302)*($E$2:$E$1073=$E302)*(ROW(U$2:U$1073)&lt;&gt;ROW(U302))*(U$2:U$1073&lt;&gt;""))),"")</f>
        <v>0.68981658285118541</v>
      </c>
      <c r="AD302" cm="1">
        <f t="array" ref="AD302">IFERROR(AVERAGE(_xlfn._xlws.FILTER(V$2:V$1073,($C$2:$C$1073=$C302)*($E$2:$E$1073=$E302)*(ROW(V$2:V$1073)&lt;&gt;ROW(V302))*(V$2:V$1073&lt;&gt;""))),"")</f>
        <v>0.37980389978380985</v>
      </c>
      <c r="AE302">
        <f>IF('Дивиденды по годам'!M302&lt;0,1,0)</f>
        <v>0</v>
      </c>
    </row>
    <row r="303" spans="1:31" x14ac:dyDescent="0.2">
      <c r="A303" s="7" t="s">
        <v>2214</v>
      </c>
      <c r="B303" t="str">
        <f t="shared" si="44"/>
        <v>TGKA IV кв. 2012</v>
      </c>
      <c r="C303">
        <v>2012</v>
      </c>
      <c r="D303">
        <f>SUMIFS(Дивиденды!$C:$C,Дивиденды!$A:$A,A303,Дивиденды!$I:$I,C303)</f>
        <v>1.22E-4</v>
      </c>
      <c r="E303">
        <v>2</v>
      </c>
      <c r="F303">
        <f t="shared" si="45"/>
        <v>1.22E-4</v>
      </c>
      <c r="G303">
        <f t="shared" si="46"/>
        <v>3.715216666666666E-2</v>
      </c>
      <c r="H303">
        <f t="shared" si="47"/>
        <v>1</v>
      </c>
      <c r="I303">
        <f t="shared" si="48"/>
        <v>0.66666666666666663</v>
      </c>
      <c r="J303">
        <f t="shared" si="49"/>
        <v>1.489795918367347</v>
      </c>
      <c r="K303">
        <f t="shared" si="54"/>
        <v>0.61665238314288673</v>
      </c>
      <c r="L303">
        <f t="shared" si="50"/>
        <v>1</v>
      </c>
      <c r="M303">
        <f t="shared" si="51"/>
        <v>0.5</v>
      </c>
      <c r="N303">
        <f t="shared" si="52"/>
        <v>0</v>
      </c>
      <c r="O303">
        <f t="shared" si="53"/>
        <v>0.16666666666666666</v>
      </c>
      <c r="P303">
        <f>IFERROR(LN('Дивиденды по годам'!I303),"")</f>
        <v>25.720044814148427</v>
      </c>
      <c r="Q303">
        <f>IFERROR('Дивиденды по годам'!G303/'Дивиденды по годам'!I303, "")</f>
        <v>0.87238152614302122</v>
      </c>
      <c r="R303">
        <f>IFERROR(IF(AND('Дивиденды по годам'!N303&lt;&gt;"",'Дивиденды по годам'!U303&lt;&gt;"",'Дивиденды по годам'!U303&lt;&gt;0),'Дивиденды по годам'!N303/'Дивиденды по годам'!U303-1,""),"")</f>
        <v>3.7045258097024858E-2</v>
      </c>
      <c r="S303" t="str">
        <f>IFERROR(IF(AND('Дивиденды по годам'!L303&lt;&gt;"",'Дивиденды по годам'!I303&lt;&gt;"",'Дивиденды по годам'!J303&lt;&gt;"",'Дивиденды по годам'!K303&lt;&gt;"",('Дивиденды по годам'!I303-'Дивиденды по годам'!J303-'Дивиденды по годам'!K303)&lt;&gt;0),'Дивиденды по годам'!L303/('Дивиденды по годам'!I303-'Дивиденды по годам'!J303-'Дивиденды по годам'!K303),""),"")</f>
        <v/>
      </c>
      <c r="T303">
        <f>IFERROR(IF(AND('Дивиденды по годам'!Q303&lt;&gt;"",'Дивиденды по годам'!I303&lt;&gt;"",'Дивиденды по годам'!V303&lt;&gt;"",('Дивиденды по годам'!I303+'Дивиденды по годам'!V303)&lt;&gt;0),'Дивиденды по годам'!Q303/(('Дивиденды по годам'!I303+'Дивиденды по годам'!V303)/2),""),"")</f>
        <v>4.36682049089741E-2</v>
      </c>
      <c r="U303">
        <f>IFERROR(IF(AND('Дивиденды по годам'!J303&lt;&gt;"",'Дивиденды по годам'!K303&lt;&gt;"",'Дивиденды по годам'!M303&lt;&gt;"",'Дивиденды по годам'!M303&lt;&gt;0),('Дивиденды по годам'!J303+'Дивиденды по годам'!K303)/'Дивиденды по годам'!M303,""),"")</f>
        <v>0.62979945439750717</v>
      </c>
      <c r="V303">
        <f>IFERROR(IF(AND('Дивиденды по годам'!J303&lt;&gt;"",'Дивиденды по годам'!K303&lt;&gt;"",'Дивиденды по годам'!M303&lt;&gt;"",'Дивиденды по годам'!I303&lt;&gt;0),('Дивиденды по годам'!J303+'Дивиденды по годам'!K303)/'Дивиденды по годам'!I303,""),"")</f>
        <v>0.38642757714649439</v>
      </c>
      <c r="W303">
        <f>IFERROR('Дивиденды по годам'!I303,"")</f>
        <v>147935886000</v>
      </c>
      <c r="X303" cm="1">
        <f t="array" ref="X303">IFERROR(AVERAGE(_xlfn._xlws.FILTER(P$2:P$1073,($C$2:$C$1073=$C303)*($E$2:$E$1073=$E303)*(ROW(P$2:P$1073)&lt;&gt;ROW(P303))*(P$2:P$1073&lt;&gt;""))),"")</f>
        <v>26.142871651889521</v>
      </c>
      <c r="Y303" cm="1">
        <f t="array" ref="Y303">IFERROR(AVERAGE(_xlfn._xlws.FILTER(Q$2:Q$1073,($C$2:$C$1073=$C303)*($E$2:$E$1073=$E303)*(ROW(Q$2:Q$1073)&lt;&gt;ROW(Q303))*(Q$2:Q$1073&lt;&gt;""))),"")</f>
        <v>0.76823916676717285</v>
      </c>
      <c r="Z303" cm="1">
        <f t="array" ref="Z303">IFERROR(AVERAGE(_xlfn._xlws.FILTER(R$2:R$1073,($C$2:$C$1073=$C303)*($E$2:$E$1073=$E303)*(ROW(R$2:R$1073)&lt;&gt;ROW(R303))*(R$2:R$1073&lt;&gt;""))),"")</f>
        <v>-2.1736097516339821E-2</v>
      </c>
      <c r="AA303" cm="1">
        <f t="array" ref="AA303">IFERROR(AVERAGE(_xlfn._xlws.FILTER(S$2:S$1073,($C$2:$C$1073=$C303)*($E$2:$E$1073=$E303)*(ROW(S$2:S$1073)&lt;&gt;ROW(S303))*(S$2:S$1073&lt;&gt;""))),"")</f>
        <v>0.44715527647269881</v>
      </c>
      <c r="AB303" cm="1">
        <f t="array" ref="AB303">IFERROR(AVERAGE(_xlfn._xlws.FILTER(T$2:T$1073,($C$2:$C$1073=$C303)*($E$2:$E$1073=$E303)*(ROW(T$2:T$1073)&lt;&gt;ROW(T303))*(T$2:T$1073&lt;&gt;""))),"")</f>
        <v>1.6484993856285365E-2</v>
      </c>
      <c r="AC303" cm="1">
        <f t="array" ref="AC303">IFERROR(AVERAGE(_xlfn._xlws.FILTER(U$2:U$1073,($C$2:$C$1073=$C303)*($E$2:$E$1073=$E303)*(ROW(U$2:U$1073)&lt;&gt;ROW(U303))*(U$2:U$1073&lt;&gt;""))),"")</f>
        <v>0.65349972183396232</v>
      </c>
      <c r="AD303" cm="1">
        <f t="array" ref="AD303">IFERROR(AVERAGE(_xlfn._xlws.FILTER(V$2:V$1073,($C$2:$C$1073=$C303)*($E$2:$E$1073=$E303)*(ROW(V$2:V$1073)&lt;&gt;ROW(V303))*(V$2:V$1073&lt;&gt;""))),"")</f>
        <v>0.37737448043331739</v>
      </c>
      <c r="AE303">
        <f>IF('Дивиденды по годам'!M303&lt;0,1,0)</f>
        <v>0</v>
      </c>
    </row>
    <row r="304" spans="1:31" x14ac:dyDescent="0.2">
      <c r="A304" s="7" t="s">
        <v>2214</v>
      </c>
      <c r="B304" t="str">
        <f t="shared" si="44"/>
        <v>TGKA IV кв. 2011</v>
      </c>
      <c r="C304">
        <v>2011</v>
      </c>
      <c r="D304">
        <f>SUMIFS(Дивиденды!$C:$C,Дивиденды!$A:$A,A304,Дивиденды!$I:$I,C304)</f>
        <v>4.8999999999999998E-5</v>
      </c>
      <c r="E304">
        <v>2</v>
      </c>
      <c r="F304">
        <f t="shared" si="45"/>
        <v>4.8999999999999998E-5</v>
      </c>
      <c r="G304">
        <f t="shared" si="46"/>
        <v>1.1542666666666666E-2</v>
      </c>
      <c r="H304">
        <f t="shared" si="47"/>
        <v>1</v>
      </c>
      <c r="I304">
        <f t="shared" si="48"/>
        <v>0.75</v>
      </c>
      <c r="J304">
        <f t="shared" si="49"/>
        <v>4.2553191489361729E-2</v>
      </c>
      <c r="K304">
        <f t="shared" si="54"/>
        <v>4.7224150645347261E-2</v>
      </c>
      <c r="L304">
        <f t="shared" si="50"/>
        <v>1</v>
      </c>
      <c r="M304">
        <f t="shared" si="51"/>
        <v>0.41666666666666669</v>
      </c>
      <c r="N304">
        <f t="shared" si="52"/>
        <v>0</v>
      </c>
      <c r="O304">
        <f t="shared" si="53"/>
        <v>0.41666666666666669</v>
      </c>
      <c r="P304">
        <f>IFERROR(LN('Дивиденды по годам'!I304),"")</f>
        <v>25.650100122573726</v>
      </c>
      <c r="Q304">
        <f>IFERROR('Дивиденды по годам'!G304/'Дивиденды по годам'!I304, "")</f>
        <v>0.8746852366755089</v>
      </c>
      <c r="R304" t="str">
        <f>IFERROR(IF(AND('Дивиденды по годам'!N304&lt;&gt;"",'Дивиденды по годам'!U304&lt;&gt;"",'Дивиденды по годам'!U304&lt;&gt;0),'Дивиденды по годам'!N304/'Дивиденды по годам'!U304-1,""),"")</f>
        <v/>
      </c>
      <c r="S304" t="str">
        <f>IFERROR(IF(AND('Дивиденды по годам'!L304&lt;&gt;"",'Дивиденды по годам'!I304&lt;&gt;"",'Дивиденды по годам'!J304&lt;&gt;"",'Дивиденды по годам'!K304&lt;&gt;"",('Дивиденды по годам'!I304-'Дивиденды по годам'!J304-'Дивиденды по годам'!K304)&lt;&gt;0),'Дивиденды по годам'!L304/('Дивиденды по годам'!I304-'Дивиденды по годам'!J304-'Дивиденды по годам'!K304),""),"")</f>
        <v/>
      </c>
      <c r="T304" t="str">
        <f>IFERROR(IF(AND('Дивиденды по годам'!Q304&lt;&gt;"",'Дивиденды по годам'!I304&lt;&gt;"",'Дивиденды по годам'!V304&lt;&gt;"",('Дивиденды по годам'!I304+'Дивиденды по годам'!V304)&lt;&gt;0),'Дивиденды по годам'!Q304/(('Дивиденды по годам'!I304+'Дивиденды по годам'!V304)/2),""),"")</f>
        <v/>
      </c>
      <c r="U304">
        <f>IFERROR(IF(AND('Дивиденды по годам'!J304&lt;&gt;"",'Дивиденды по годам'!K304&lt;&gt;"",'Дивиденды по годам'!M304&lt;&gt;"",'Дивиденды по годам'!M304&lt;&gt;0),('Дивиденды по годам'!J304+'Дивиденды по годам'!K304)/'Дивиденды по годам'!M304,""),"")</f>
        <v>0.62847022205773284</v>
      </c>
      <c r="V304">
        <f>IFERROR(IF(AND('Дивиденды по годам'!J304&lt;&gt;"",'Дивиденды по годам'!K304&lt;&gt;"",'Дивиденды по годам'!M304&lt;&gt;"",'Дивиденды по годам'!I304&lt;&gt;0),('Дивиденды по годам'!J304+'Дивиденды по годам'!K304)/'Дивиденды по годам'!I304,""),"")</f>
        <v>0.38592675109748009</v>
      </c>
      <c r="W304">
        <f>IFERROR('Дивиденды по годам'!I304,"")</f>
        <v>137942135000</v>
      </c>
      <c r="X304" cm="1">
        <f t="array" ref="X304">IFERROR(AVERAGE(_xlfn._xlws.FILTER(P$2:P$1073,($C$2:$C$1073=$C304)*($E$2:$E$1073=$E304)*(ROW(P$2:P$1073)&lt;&gt;ROW(P304))*(P$2:P$1073&lt;&gt;""))),"")</f>
        <v>26.199999189159904</v>
      </c>
      <c r="Y304" cm="1">
        <f t="array" ref="Y304">IFERROR(AVERAGE(_xlfn._xlws.FILTER(Q$2:Q$1073,($C$2:$C$1073=$C304)*($E$2:$E$1073=$E304)*(ROW(Q$2:Q$1073)&lt;&gt;ROW(Q304))*(Q$2:Q$1073&lt;&gt;""))),"")</f>
        <v>0.75464024686045639</v>
      </c>
      <c r="Z304" cm="1">
        <f t="array" ref="Z304">IFERROR(AVERAGE(_xlfn._xlws.FILTER(R$2:R$1073,($C$2:$C$1073=$C304)*($E$2:$E$1073=$E304)*(ROW(R$2:R$1073)&lt;&gt;ROW(R304))*(R$2:R$1073&lt;&gt;""))),"")</f>
        <v>0.14348983045887875</v>
      </c>
      <c r="AA304" cm="1">
        <f t="array" ref="AA304">IFERROR(AVERAGE(_xlfn._xlws.FILTER(S$2:S$1073,($C$2:$C$1073=$C304)*($E$2:$E$1073=$E304)*(ROW(S$2:S$1073)&lt;&gt;ROW(S304))*(S$2:S$1073&lt;&gt;""))),"")</f>
        <v>0.39850050246333968</v>
      </c>
      <c r="AB304" cm="1">
        <f t="array" ref="AB304">IFERROR(AVERAGE(_xlfn._xlws.FILTER(T$2:T$1073,($C$2:$C$1073=$C304)*($E$2:$E$1073=$E304)*(ROW(T$2:T$1073)&lt;&gt;ROW(T304))*(T$2:T$1073&lt;&gt;""))),"")</f>
        <v>4.5214358774442007E-2</v>
      </c>
      <c r="AC304" cm="1">
        <f t="array" ref="AC304">IFERROR(AVERAGE(_xlfn._xlws.FILTER(U$2:U$1073,($C$2:$C$1073=$C304)*($E$2:$E$1073=$E304)*(ROW(U$2:U$1073)&lt;&gt;ROW(U304))*(U$2:U$1073&lt;&gt;""))),"")</f>
        <v>0.59095399357535883</v>
      </c>
      <c r="AD304" cm="1">
        <f t="array" ref="AD304">IFERROR(AVERAGE(_xlfn._xlws.FILTER(V$2:V$1073,($C$2:$C$1073=$C304)*($E$2:$E$1073=$E304)*(ROW(V$2:V$1073)&lt;&gt;ROW(V304))*(V$2:V$1073&lt;&gt;""))),"")</f>
        <v>0.3552551808235187</v>
      </c>
      <c r="AE304">
        <f>IF('Дивиденды по годам'!M304&lt;0,1,0)</f>
        <v>0</v>
      </c>
    </row>
    <row r="305" spans="1:31" x14ac:dyDescent="0.2">
      <c r="A305" s="7" t="s">
        <v>2214</v>
      </c>
      <c r="B305" t="str">
        <f t="shared" si="44"/>
        <v>TGKA IV кв. 2010</v>
      </c>
      <c r="C305">
        <v>2010</v>
      </c>
      <c r="D305">
        <f>SUMIFS(Дивиденды!$C:$C,Дивиденды!$A:$A,A305,Дивиденды!$I:$I,C305)</f>
        <v>4.6999999999999997E-5</v>
      </c>
      <c r="E305">
        <v>2</v>
      </c>
      <c r="F305">
        <f t="shared" si="45"/>
        <v>4.6999999999999997E-5</v>
      </c>
      <c r="G305">
        <f t="shared" si="46"/>
        <v>6.5579166666666668E-3</v>
      </c>
      <c r="H305">
        <f t="shared" si="47"/>
        <v>1</v>
      </c>
      <c r="I305">
        <f t="shared" si="48"/>
        <v>0.75</v>
      </c>
      <c r="J305" t="str">
        <f t="shared" si="49"/>
        <v/>
      </c>
      <c r="K305" t="str">
        <f t="shared" si="54"/>
        <v/>
      </c>
      <c r="L305" t="str">
        <f t="shared" si="50"/>
        <v/>
      </c>
      <c r="M305" t="str">
        <f t="shared" si="51"/>
        <v/>
      </c>
      <c r="N305" t="str">
        <f t="shared" si="52"/>
        <v/>
      </c>
      <c r="O305" t="str">
        <f t="shared" si="53"/>
        <v/>
      </c>
      <c r="P305" t="str">
        <f>IFERROR(LN('Дивиденды по годам'!I305),"")</f>
        <v/>
      </c>
      <c r="Q305" t="str">
        <f>IFERROR('Дивиденды по годам'!G305/'Дивиденды по годам'!I305, "")</f>
        <v/>
      </c>
      <c r="R305" t="str">
        <f>IFERROR(IF(AND('Дивиденды по годам'!N305&lt;&gt;"",'Дивиденды по годам'!U305&lt;&gt;"",'Дивиденды по годам'!U305&lt;&gt;0),'Дивиденды по годам'!N305/'Дивиденды по годам'!U305-1,""),"")</f>
        <v/>
      </c>
      <c r="S305" t="str">
        <f>IFERROR(IF(AND('Дивиденды по годам'!L305&lt;&gt;"",'Дивиденды по годам'!I305&lt;&gt;"",'Дивиденды по годам'!J305&lt;&gt;"",'Дивиденды по годам'!K305&lt;&gt;"",('Дивиденды по годам'!I305-'Дивиденды по годам'!J305-'Дивиденды по годам'!K305)&lt;&gt;0),'Дивиденды по годам'!L305/('Дивиденды по годам'!I305-'Дивиденды по годам'!J305-'Дивиденды по годам'!K305),""),"")</f>
        <v/>
      </c>
      <c r="T305" t="str">
        <f>IFERROR(IF(AND('Дивиденды по годам'!Q305&lt;&gt;"",'Дивиденды по годам'!I305&lt;&gt;"",'Дивиденды по годам'!V305&lt;&gt;"",('Дивиденды по годам'!I305+'Дивиденды по годам'!V305)&lt;&gt;0),'Дивиденды по годам'!Q305/(('Дивиденды по годам'!I305+'Дивиденды по годам'!V305)/2),""),"")</f>
        <v/>
      </c>
      <c r="U305" t="str">
        <f>IFERROR(IF(AND('Дивиденды по годам'!J305&lt;&gt;"",'Дивиденды по годам'!K305&lt;&gt;"",'Дивиденды по годам'!M305&lt;&gt;"",'Дивиденды по годам'!M305&lt;&gt;0),('Дивиденды по годам'!J305+'Дивиденды по годам'!K305)/'Дивиденды по годам'!M305,""),"")</f>
        <v/>
      </c>
      <c r="V305" t="str">
        <f>IFERROR(IF(AND('Дивиденды по годам'!J305&lt;&gt;"",'Дивиденды по годам'!K305&lt;&gt;"",'Дивиденды по годам'!M305&lt;&gt;"",'Дивиденды по годам'!I305&lt;&gt;0),('Дивиденды по годам'!J305+'Дивиденды по годам'!K305)/'Дивиденды по годам'!I305,""),"")</f>
        <v/>
      </c>
      <c r="W305" t="str">
        <f>IFERROR('Дивиденды по годам'!I305,"")</f>
        <v/>
      </c>
      <c r="X305" cm="1">
        <f t="array" ref="X305">IFERROR(AVERAGE(_xlfn._xlws.FILTER(P$2:P$1073,($C$2:$C$1073=$C305)*($E$2:$E$1073=$E305)*(ROW(P$2:P$1073)&lt;&gt;ROW(P305))*(P$2:P$1073&lt;&gt;""))),"")</f>
        <v>24.730948088520865</v>
      </c>
      <c r="Y305" cm="1">
        <f t="array" ref="Y305">IFERROR(AVERAGE(_xlfn._xlws.FILTER(Q$2:Q$1073,($C$2:$C$1073=$C305)*($E$2:$E$1073=$E305)*(ROW(Q$2:Q$1073)&lt;&gt;ROW(Q305))*(Q$2:Q$1073&lt;&gt;""))),"")</f>
        <v>0.82035195639515091</v>
      </c>
      <c r="Z305" t="str" cm="1">
        <f t="array" ref="Z305">IFERROR(AVERAGE(_xlfn._xlws.FILTER(R$2:R$1073,($C$2:$C$1073=$C305)*($E$2:$E$1073=$E305)*(ROW(R$2:R$1073)&lt;&gt;ROW(R305))*(R$2:R$1073&lt;&gt;""))),"")</f>
        <v/>
      </c>
      <c r="AA305" t="str" cm="1">
        <f t="array" ref="AA305">IFERROR(AVERAGE(_xlfn._xlws.FILTER(S$2:S$1073,($C$2:$C$1073=$C305)*($E$2:$E$1073=$E305)*(ROW(S$2:S$1073)&lt;&gt;ROW(S305))*(S$2:S$1073&lt;&gt;""))),"")</f>
        <v/>
      </c>
      <c r="AB305" t="str" cm="1">
        <f t="array" ref="AB305">IFERROR(AVERAGE(_xlfn._xlws.FILTER(T$2:T$1073,($C$2:$C$1073=$C305)*($E$2:$E$1073=$E305)*(ROW(T$2:T$1073)&lt;&gt;ROW(T305))*(T$2:T$1073&lt;&gt;""))),"")</f>
        <v/>
      </c>
      <c r="AC305" cm="1">
        <f t="array" ref="AC305">IFERROR(AVERAGE(_xlfn._xlws.FILTER(U$2:U$1073,($C$2:$C$1073=$C305)*($E$2:$E$1073=$E305)*(ROW(U$2:U$1073)&lt;&gt;ROW(U305))*(U$2:U$1073&lt;&gt;""))),"")</f>
        <v>0.91314375247969903</v>
      </c>
      <c r="AD305" cm="1">
        <f t="array" ref="AD305">IFERROR(AVERAGE(_xlfn._xlws.FILTER(V$2:V$1073,($C$2:$C$1073=$C305)*($E$2:$E$1073=$E305)*(ROW(V$2:V$1073)&lt;&gt;ROW(V305))*(V$2:V$1073&lt;&gt;""))),"")</f>
        <v>0.47730012514539921</v>
      </c>
      <c r="AE305">
        <f>IF('Дивиденды по годам'!M305&lt;0,1,0)</f>
        <v>0</v>
      </c>
    </row>
    <row r="306" spans="1:31" x14ac:dyDescent="0.2">
      <c r="A306" s="7" t="s">
        <v>2216</v>
      </c>
      <c r="B306" t="str">
        <f t="shared" si="44"/>
        <v>UPRO IV кв. 2025</v>
      </c>
      <c r="C306">
        <v>2025</v>
      </c>
      <c r="D306">
        <f>SUMIFS(Дивиденды!$C:$C,Дивиденды!$A:$A,A306,Дивиденды!$I:$I,C306)</f>
        <v>0</v>
      </c>
      <c r="E306">
        <v>2</v>
      </c>
      <c r="F306">
        <f t="shared" si="45"/>
        <v>0</v>
      </c>
      <c r="G306">
        <f t="shared" si="46"/>
        <v>0</v>
      </c>
      <c r="H306">
        <f t="shared" si="47"/>
        <v>0</v>
      </c>
      <c r="I306">
        <f t="shared" si="48"/>
        <v>0</v>
      </c>
      <c r="J306">
        <f t="shared" si="49"/>
        <v>0</v>
      </c>
      <c r="K306">
        <f t="shared" si="54"/>
        <v>-0.58333333333333337</v>
      </c>
      <c r="L306">
        <f t="shared" si="50"/>
        <v>0</v>
      </c>
      <c r="M306">
        <f t="shared" si="51"/>
        <v>0</v>
      </c>
      <c r="N306">
        <f t="shared" si="52"/>
        <v>0</v>
      </c>
      <c r="O306">
        <f t="shared" si="53"/>
        <v>0.58333333333333337</v>
      </c>
      <c r="P306">
        <f>IFERROR(LN('Дивиденды по годам'!I306),"")</f>
        <v>26.198810933754309</v>
      </c>
      <c r="Q306">
        <f>IFERROR('Дивиденды по годам'!G306/'Дивиденды по годам'!I306, "")</f>
        <v>0.44568453407372854</v>
      </c>
      <c r="R306">
        <f>IFERROR(IF(AND('Дивиденды по годам'!N306&lt;&gt;"",'Дивиденды по годам'!U306&lt;&gt;"",'Дивиденды по годам'!U306&lt;&gt;0),'Дивиденды по годам'!N306/'Дивиденды по годам'!U306-1,""),"")</f>
        <v>4.7197804503550378E-2</v>
      </c>
      <c r="S306" t="str">
        <f>IFERROR(IF(AND('Дивиденды по годам'!L306&lt;&gt;"",'Дивиденды по годам'!I306&lt;&gt;"",'Дивиденды по годам'!J306&lt;&gt;"",'Дивиденды по годам'!K306&lt;&gt;"",('Дивиденды по годам'!I306-'Дивиденды по годам'!J306-'Дивиденды по годам'!K306)&lt;&gt;0),'Дивиденды по годам'!L306/('Дивиденды по годам'!I306-'Дивиденды по годам'!J306-'Дивиденды по годам'!K306),""),"")</f>
        <v/>
      </c>
      <c r="T306">
        <f>IFERROR(IF(AND('Дивиденды по годам'!Q306&lt;&gt;"",'Дивиденды по годам'!I306&lt;&gt;"",'Дивиденды по годам'!V306&lt;&gt;"",('Дивиденды по годам'!I306+'Дивиденды по годам'!V306)&lt;&gt;0),'Дивиденды по годам'!Q306/(('Дивиденды по годам'!I306+'Дивиденды по годам'!V306)/2),""),"")</f>
        <v>0.1806963811869661</v>
      </c>
      <c r="U306">
        <f>IFERROR(IF(AND('Дивиденды по годам'!J306&lt;&gt;"",'Дивиденды по годам'!K306&lt;&gt;"",'Дивиденды по годам'!M306&lt;&gt;"",'Дивиденды по годам'!M306&lt;&gt;0),('Дивиденды по годам'!J306+'Дивиденды по годам'!K306)/'Дивиденды по годам'!M306,""),"")</f>
        <v>6.7278561398587552E-2</v>
      </c>
      <c r="V306">
        <f>IFERROR(IF(AND('Дивиденды по годам'!J306&lt;&gt;"",'Дивиденды по годам'!K306&lt;&gt;"",'Дивиденды по годам'!M306&lt;&gt;"",'Дивиденды по годам'!I306&lt;&gt;0),('Дивиденды по годам'!J306+'Дивиденды по годам'!K306)/'Дивиденды по годам'!I306,""),"")</f>
        <v>6.3037489772514596E-2</v>
      </c>
      <c r="W306">
        <f>IFERROR('Дивиденды по годам'!I306,"")</f>
        <v>238780590000</v>
      </c>
      <c r="X306" cm="1">
        <f t="array" ref="X306">IFERROR(AVERAGE(_xlfn._xlws.FILTER(P$2:P$1073,($C$2:$C$1073=$C306)*($E$2:$E$1073=$E306)*(ROW(P$2:P$1073)&lt;&gt;ROW(P306))*(P$2:P$1073&lt;&gt;""))),"")</f>
        <v>26.634362528527646</v>
      </c>
      <c r="Y306" cm="1">
        <f t="array" ref="Y306">IFERROR(AVERAGE(_xlfn._xlws.FILTER(Q$2:Q$1073,($C$2:$C$1073=$C306)*($E$2:$E$1073=$E306)*(ROW(Q$2:Q$1073)&lt;&gt;ROW(Q306))*(Q$2:Q$1073&lt;&gt;""))),"")</f>
        <v>0.71072750855345102</v>
      </c>
      <c r="Z306" cm="1">
        <f t="array" ref="Z306">IFERROR(AVERAGE(_xlfn._xlws.FILTER(R$2:R$1073,($C$2:$C$1073=$C306)*($E$2:$E$1073=$E306)*(ROW(R$2:R$1073)&lt;&gt;ROW(R306))*(R$2:R$1073&lt;&gt;""))),"")</f>
        <v>0.19511600810931484</v>
      </c>
      <c r="AA306" cm="1">
        <f t="array" ref="AA306">IFERROR(AVERAGE(_xlfn._xlws.FILTER(S$2:S$1073,($C$2:$C$1073=$C306)*($E$2:$E$1073=$E306)*(ROW(S$2:S$1073)&lt;&gt;ROW(S306))*(S$2:S$1073&lt;&gt;""))),"")</f>
        <v>0.75614685785818758</v>
      </c>
      <c r="AB306" cm="1">
        <f t="array" ref="AB306">IFERROR(AVERAGE(_xlfn._xlws.FILTER(T$2:T$1073,($C$2:$C$1073=$C306)*($E$2:$E$1073=$E306)*(ROW(T$2:T$1073)&lt;&gt;ROW(T306))*(T$2:T$1073&lt;&gt;""))),"")</f>
        <v>9.1970065381882266E-2</v>
      </c>
      <c r="AC306" cm="1">
        <f t="array" ref="AC306">IFERROR(AVERAGE(_xlfn._xlws.FILTER(U$2:U$1073,($C$2:$C$1073=$C306)*($E$2:$E$1073=$E306)*(ROW(U$2:U$1073)&lt;&gt;ROW(U306))*(U$2:U$1073&lt;&gt;""))),"")</f>
        <v>1.0067903973201353</v>
      </c>
      <c r="AD306" cm="1">
        <f t="array" ref="AD306">IFERROR(AVERAGE(_xlfn._xlws.FILTER(V$2:V$1073,($C$2:$C$1073=$C306)*($E$2:$E$1073=$E306)*(ROW(V$2:V$1073)&lt;&gt;ROW(V306))*(V$2:V$1073&lt;&gt;""))),"")</f>
        <v>0.48389465349823613</v>
      </c>
      <c r="AE306">
        <f>IF('Дивиденды по годам'!M306&lt;0,1,0)</f>
        <v>0</v>
      </c>
    </row>
    <row r="307" spans="1:31" x14ac:dyDescent="0.2">
      <c r="A307" s="7" t="s">
        <v>2216</v>
      </c>
      <c r="B307" t="str">
        <f t="shared" si="44"/>
        <v>UPRO IV кв. 2024</v>
      </c>
      <c r="C307">
        <v>2024</v>
      </c>
      <c r="D307">
        <f>SUMIFS(Дивиденды!$C:$C,Дивиденды!$A:$A,A307,Дивиденды!$I:$I,C307)</f>
        <v>0</v>
      </c>
      <c r="E307">
        <v>2</v>
      </c>
      <c r="F307">
        <f t="shared" si="45"/>
        <v>0</v>
      </c>
      <c r="G307">
        <f t="shared" si="46"/>
        <v>6.3399999999999998E-2</v>
      </c>
      <c r="H307">
        <f t="shared" si="47"/>
        <v>0</v>
      </c>
      <c r="I307">
        <f t="shared" si="48"/>
        <v>0.58333333333333337</v>
      </c>
      <c r="J307">
        <f t="shared" si="49"/>
        <v>0</v>
      </c>
      <c r="K307">
        <f t="shared" si="54"/>
        <v>8.6160653443004165E-2</v>
      </c>
      <c r="L307">
        <f t="shared" si="50"/>
        <v>0</v>
      </c>
      <c r="M307">
        <f t="shared" si="51"/>
        <v>0.58333333333333337</v>
      </c>
      <c r="N307">
        <f t="shared" si="52"/>
        <v>0</v>
      </c>
      <c r="O307">
        <f t="shared" si="53"/>
        <v>8.3333333333333329E-2</v>
      </c>
      <c r="P307">
        <f>IFERROR(LN('Дивиденды по годам'!I307),"")</f>
        <v>26.007230976245406</v>
      </c>
      <c r="Q307">
        <f>IFERROR('Дивиденды по годам'!G307/'Дивиденды по годам'!I307, "")</f>
        <v>0.44446095132968644</v>
      </c>
      <c r="R307">
        <f>IFERROR(IF(AND('Дивиденды по годам'!N307&lt;&gt;"",'Дивиденды по годам'!U307&lt;&gt;"",'Дивиденды по годам'!U307&lt;&gt;0),'Дивиденды по годам'!N307/'Дивиденды по годам'!U307-1,""),"")</f>
        <v>8.108234185081975E-2</v>
      </c>
      <c r="S307">
        <f>IFERROR(IF(AND('Дивиденды по годам'!L307&lt;&gt;"",'Дивиденды по годам'!I307&lt;&gt;"",'Дивиденды по годам'!J307&lt;&gt;"",'Дивиденды по годам'!K307&lt;&gt;"",('Дивиденды по годам'!I307-'Дивиденды по годам'!J307-'Дивиденды по годам'!K307)&lt;&gt;0),'Дивиденды по годам'!L307/('Дивиденды по годам'!I307-'Дивиденды по годам'!J307-'Дивиденды по годам'!K307),""),"")</f>
        <v>0.64282977475961078</v>
      </c>
      <c r="T307">
        <f>IFERROR(IF(AND('Дивиденды по годам'!Q307&lt;&gt;"",'Дивиденды по годам'!I307&lt;&gt;"",'Дивиденды по годам'!V307&lt;&gt;"",('Дивиденды по годам'!I307+'Дивиденды по годам'!V307)&lt;&gt;0),'Дивиденды по годам'!Q307/(('Дивиденды по годам'!I307+'Дивиденды по годам'!V307)/2),""),"")</f>
        <v>0.17571437472630685</v>
      </c>
      <c r="U307">
        <f>IFERROR(IF(AND('Дивиденды по годам'!J307&lt;&gt;"",'Дивиденды по годам'!K307&lt;&gt;"",'Дивиденды по годам'!M307&lt;&gt;"",'Дивиденды по годам'!M307&lt;&gt;0),('Дивиденды по годам'!J307+'Дивиденды по годам'!K307)/'Дивиденды по годам'!M307,""),"")</f>
        <v>7.0742006461012419E-2</v>
      </c>
      <c r="V307">
        <f>IFERROR(IF(AND('Дивиденды по годам'!J307&lt;&gt;"",'Дивиденды по годам'!K307&lt;&gt;"",'Дивиденды по годам'!M307&lt;&gt;"",'Дивиденды по годам'!I307&lt;&gt;0),('Дивиденды по годам'!J307+'Дивиденды по годам'!K307)/'Дивиденды по годам'!I307,""),"")</f>
        <v>6.606820880673861E-2</v>
      </c>
      <c r="W307">
        <f>IFERROR('Дивиденды по годам'!I307,"")</f>
        <v>197150055000</v>
      </c>
      <c r="X307" cm="1">
        <f t="array" ref="X307">IFERROR(AVERAGE(_xlfn._xlws.FILTER(P$2:P$1073,($C$2:$C$1073=$C307)*($E$2:$E$1073=$E307)*(ROW(P$2:P$1073)&lt;&gt;ROW(P307))*(P$2:P$1073&lt;&gt;""))),"")</f>
        <v>26.588663630370142</v>
      </c>
      <c r="Y307" cm="1">
        <f t="array" ref="Y307">IFERROR(AVERAGE(_xlfn._xlws.FILTER(Q$2:Q$1073,($C$2:$C$1073=$C307)*($E$2:$E$1073=$E307)*(ROW(Q$2:Q$1073)&lt;&gt;ROW(Q307))*(Q$2:Q$1073&lt;&gt;""))),"")</f>
        <v>0.71614370116911952</v>
      </c>
      <c r="Z307" cm="1">
        <f t="array" ref="Z307">IFERROR(AVERAGE(_xlfn._xlws.FILTER(R$2:R$1073,($C$2:$C$1073=$C307)*($E$2:$E$1073=$E307)*(ROW(R$2:R$1073)&lt;&gt;ROW(R307))*(R$2:R$1073&lt;&gt;""))),"")</f>
        <v>0.10136476337175912</v>
      </c>
      <c r="AA307" cm="1">
        <f t="array" ref="AA307">IFERROR(AVERAGE(_xlfn._xlws.FILTER(S$2:S$1073,($C$2:$C$1073=$C307)*($E$2:$E$1073=$E307)*(ROW(S$2:S$1073)&lt;&gt;ROW(S307))*(S$2:S$1073&lt;&gt;""))),"")</f>
        <v>0.55415456737320967</v>
      </c>
      <c r="AB307" cm="1">
        <f t="array" ref="AB307">IFERROR(AVERAGE(_xlfn._xlws.FILTER(T$2:T$1073,($C$2:$C$1073=$C307)*($E$2:$E$1073=$E307)*(ROW(T$2:T$1073)&lt;&gt;ROW(T307))*(T$2:T$1073&lt;&gt;""))),"")</f>
        <v>4.4164415152335733E-2</v>
      </c>
      <c r="AC307" cm="1">
        <f t="array" ref="AC307">IFERROR(AVERAGE(_xlfn._xlws.FILTER(U$2:U$1073,($C$2:$C$1073=$C307)*($E$2:$E$1073=$E307)*(ROW(U$2:U$1073)&lt;&gt;ROW(U307))*(U$2:U$1073&lt;&gt;""))),"")</f>
        <v>1.0276971823647445</v>
      </c>
      <c r="AD307" cm="1">
        <f t="array" ref="AD307">IFERROR(AVERAGE(_xlfn._xlws.FILTER(V$2:V$1073,($C$2:$C$1073=$C307)*($E$2:$E$1073=$E307)*(ROW(V$2:V$1073)&lt;&gt;ROW(V307))*(V$2:V$1073&lt;&gt;""))),"")</f>
        <v>0.49440222846733595</v>
      </c>
      <c r="AE307">
        <f>IF('Дивиденды по годам'!M307&lt;0,1,0)</f>
        <v>0</v>
      </c>
    </row>
    <row r="308" spans="1:31" x14ac:dyDescent="0.2">
      <c r="A308" s="7" t="s">
        <v>2216</v>
      </c>
      <c r="B308" t="str">
        <f t="shared" si="44"/>
        <v>UPRO IV кв. 2023</v>
      </c>
      <c r="C308">
        <v>2023</v>
      </c>
      <c r="D308">
        <f>SUMIFS(Дивиденды!$C:$C,Дивиденды!$A:$A,A308,Дивиденды!$I:$I,C308)</f>
        <v>0</v>
      </c>
      <c r="E308">
        <v>2</v>
      </c>
      <c r="F308">
        <f t="shared" si="45"/>
        <v>0</v>
      </c>
      <c r="G308">
        <f t="shared" si="46"/>
        <v>6.6299999999999998E-2</v>
      </c>
      <c r="H308">
        <f t="shared" si="47"/>
        <v>0</v>
      </c>
      <c r="I308">
        <f t="shared" si="48"/>
        <v>0.58333333333333337</v>
      </c>
      <c r="J308">
        <f t="shared" si="49"/>
        <v>0</v>
      </c>
      <c r="K308">
        <f t="shared" si="54"/>
        <v>0.11703324263565433</v>
      </c>
      <c r="L308">
        <f t="shared" si="50"/>
        <v>0</v>
      </c>
      <c r="M308">
        <f t="shared" si="51"/>
        <v>0.5</v>
      </c>
      <c r="N308">
        <f t="shared" si="52"/>
        <v>0</v>
      </c>
      <c r="O308">
        <f t="shared" si="53"/>
        <v>0.25</v>
      </c>
      <c r="P308">
        <f>IFERROR(LN('Дивиденды по годам'!I308),"")</f>
        <v>25.836769969048373</v>
      </c>
      <c r="Q308">
        <f>IFERROR('Дивиденды по годам'!G308/'Дивиденды по годам'!I308, "")</f>
        <v>0.57406526303602512</v>
      </c>
      <c r="R308">
        <f>IFERROR(IF(AND('Дивиденды по годам'!N308&lt;&gt;"",'Дивиденды по годам'!U308&lt;&gt;"",'Дивиденды по годам'!U308&lt;&gt;0),'Дивиденды по годам'!N308/'Дивиденды по годам'!U308-1,""),"")</f>
        <v>0.12129676150459212</v>
      </c>
      <c r="S308">
        <f>IFERROR(IF(AND('Дивиденды по годам'!L308&lt;&gt;"",'Дивиденды по годам'!I308&lt;&gt;"",'Дивиденды по годам'!J308&lt;&gt;"",'Дивиденды по годам'!K308&lt;&gt;"",('Дивиденды по годам'!I308-'Дивиденды по годам'!J308-'Дивиденды по годам'!K308)&lt;&gt;0),'Дивиденды по годам'!L308/('Дивиденды по годам'!I308-'Дивиденды по годам'!J308-'Дивиденды по годам'!K308),""),"")</f>
        <v>0.56679270422013284</v>
      </c>
      <c r="T308">
        <f>IFERROR(IF(AND('Дивиденды по годам'!Q308&lt;&gt;"",'Дивиденды по годам'!I308&lt;&gt;"",'Дивиденды по годам'!V308&lt;&gt;"",('Дивиденды по годам'!I308+'Дивиденды по годам'!V308)&lt;&gt;0),'Дивиденды по годам'!Q308/(('Дивиденды по годам'!I308+'Дивиденды по годам'!V308)/2),""),"")</f>
        <v>0.14102081098000849</v>
      </c>
      <c r="U308">
        <f>IFERROR(IF(AND('Дивиденды по годам'!J308&lt;&gt;"",'Дивиденды по годам'!K308&lt;&gt;"",'Дивиденды по годам'!M308&lt;&gt;"",'Дивиденды по годам'!M308&lt;&gt;0),('Дивиденды по годам'!J308+'Дивиденды по годам'!K308)/'Дивиденды по годам'!M308,""),"")</f>
        <v>9.0208196560221054E-2</v>
      </c>
      <c r="V308">
        <f>IFERROR(IF(AND('Дивиденды по годам'!J308&lt;&gt;"",'Дивиденды по годам'!K308&lt;&gt;"",'Дивиденды по годам'!M308&lt;&gt;"",'Дивиденды по годам'!I308&lt;&gt;0),('Дивиденды по годам'!J308+'Дивиденды по годам'!K308)/'Дивиденды по годам'!I308,""),"")</f>
        <v>8.2744008754329815E-2</v>
      </c>
      <c r="W308">
        <f>IFERROR('Дивиденды по годам'!I308,"")</f>
        <v>166251904000</v>
      </c>
      <c r="X308" cm="1">
        <f t="array" ref="X308">IFERROR(AVERAGE(_xlfn._xlws.FILTER(P$2:P$1073,($C$2:$C$1073=$C308)*($E$2:$E$1073=$E308)*(ROW(P$2:P$1073)&lt;&gt;ROW(P308))*(P$2:P$1073&lt;&gt;""))),"")</f>
        <v>26.476853067790866</v>
      </c>
      <c r="Y308" cm="1">
        <f t="array" ref="Y308">IFERROR(AVERAGE(_xlfn._xlws.FILTER(Q$2:Q$1073,($C$2:$C$1073=$C308)*($E$2:$E$1073=$E308)*(ROW(Q$2:Q$1073)&lt;&gt;ROW(Q308))*(Q$2:Q$1073&lt;&gt;""))),"")</f>
        <v>0.7239438674961598</v>
      </c>
      <c r="Z308" cm="1">
        <f t="array" ref="Z308">IFERROR(AVERAGE(_xlfn._xlws.FILTER(R$2:R$1073,($C$2:$C$1073=$C308)*($E$2:$E$1073=$E308)*(ROW(R$2:R$1073)&lt;&gt;ROW(R308))*(R$2:R$1073&lt;&gt;""))),"")</f>
        <v>0.14187931760662909</v>
      </c>
      <c r="AA308" cm="1">
        <f t="array" ref="AA308">IFERROR(AVERAGE(_xlfn._xlws.FILTER(S$2:S$1073,($C$2:$C$1073=$C308)*($E$2:$E$1073=$E308)*(ROW(S$2:S$1073)&lt;&gt;ROW(S308))*(S$2:S$1073&lt;&gt;""))),"")</f>
        <v>0.53767053575589452</v>
      </c>
      <c r="AB308" cm="1">
        <f t="array" ref="AB308">IFERROR(AVERAGE(_xlfn._xlws.FILTER(T$2:T$1073,($C$2:$C$1073=$C308)*($E$2:$E$1073=$E308)*(ROW(T$2:T$1073)&lt;&gt;ROW(T308))*(T$2:T$1073&lt;&gt;""))),"")</f>
        <v>6.8582494244846984E-2</v>
      </c>
      <c r="AC308" cm="1">
        <f t="array" ref="AC308">IFERROR(AVERAGE(_xlfn._xlws.FILTER(U$2:U$1073,($C$2:$C$1073=$C308)*($E$2:$E$1073=$E308)*(ROW(U$2:U$1073)&lt;&gt;ROW(U308))*(U$2:U$1073&lt;&gt;""))),"")</f>
        <v>0.90543606821707279</v>
      </c>
      <c r="AD308" cm="1">
        <f t="array" ref="AD308">IFERROR(AVERAGE(_xlfn._xlws.FILTER(V$2:V$1073,($C$2:$C$1073=$C308)*($E$2:$E$1073=$E308)*(ROW(V$2:V$1073)&lt;&gt;ROW(V308))*(V$2:V$1073&lt;&gt;""))),"")</f>
        <v>0.46276102659325574</v>
      </c>
      <c r="AE308">
        <f>IF('Дивиденды по годам'!M308&lt;0,1,0)</f>
        <v>0</v>
      </c>
    </row>
    <row r="309" spans="1:31" x14ac:dyDescent="0.2">
      <c r="A309" s="7" t="s">
        <v>2216</v>
      </c>
      <c r="B309" t="str">
        <f t="shared" si="44"/>
        <v>UPRO IV кв. 2022</v>
      </c>
      <c r="C309">
        <v>2022</v>
      </c>
      <c r="D309">
        <f>SUMIFS(Дивиденды!$C:$C,Дивиденды!$A:$A,A309,Дивиденды!$I:$I,C309)</f>
        <v>0</v>
      </c>
      <c r="E309">
        <v>2</v>
      </c>
      <c r="F309">
        <f t="shared" si="45"/>
        <v>0</v>
      </c>
      <c r="G309">
        <f t="shared" si="46"/>
        <v>6.4731666666666673E-2</v>
      </c>
      <c r="H309">
        <f t="shared" si="47"/>
        <v>0</v>
      </c>
      <c r="I309">
        <f t="shared" si="48"/>
        <v>0.66666666666666663</v>
      </c>
      <c r="J309">
        <f t="shared" si="49"/>
        <v>-1</v>
      </c>
      <c r="K309">
        <f t="shared" si="54"/>
        <v>-7.8308528260407059E-2</v>
      </c>
      <c r="L309">
        <f t="shared" si="50"/>
        <v>0</v>
      </c>
      <c r="M309">
        <f t="shared" si="51"/>
        <v>0.33333333333333331</v>
      </c>
      <c r="N309">
        <f t="shared" si="52"/>
        <v>1</v>
      </c>
      <c r="O309">
        <f t="shared" si="53"/>
        <v>0.41666666666666669</v>
      </c>
      <c r="P309">
        <f>IFERROR(LN('Дивиденды по годам'!I309),"")</f>
        <v>25.709380126893389</v>
      </c>
      <c r="Q309">
        <f>IFERROR('Дивиденды по годам'!G309/'Дивиденды по годам'!I309, "")</f>
        <v>0.69695042882706171</v>
      </c>
      <c r="R309">
        <f>IFERROR(IF(AND('Дивиденды по годам'!N309&lt;&gt;"",'Дивиденды по годам'!U309&lt;&gt;"",'Дивиденды по годам'!U309&lt;&gt;0),'Дивиденды по годам'!N309/'Дивиденды по годам'!U309-1,""),"")</f>
        <v>0.20049594394891135</v>
      </c>
      <c r="S309">
        <f>IFERROR(IF(AND('Дивиденды по годам'!L309&lt;&gt;"",'Дивиденды по годам'!I309&lt;&gt;"",'Дивиденды по годам'!J309&lt;&gt;"",'Дивиденды по годам'!K309&lt;&gt;"",('Дивиденды по годам'!I309-'Дивиденды по годам'!J309-'Дивиденды по годам'!K309)&lt;&gt;0),'Дивиденды по годам'!L309/('Дивиденды по годам'!I309-'Дивиденды по годам'!J309-'Дивиденды по годам'!K309),""),"")</f>
        <v>0.49641855632193027</v>
      </c>
      <c r="T309">
        <f>IFERROR(IF(AND('Дивиденды по годам'!Q309&lt;&gt;"",'Дивиденды по годам'!I309&lt;&gt;"",'Дивиденды по годам'!V309&lt;&gt;"",('Дивиденды по годам'!I309+'Дивиденды по годам'!V309)&lt;&gt;0),'Дивиденды по годам'!Q309/(('Дивиденды по годам'!I309+'Дивиденды по годам'!V309)/2),""),"")</f>
        <v>0.15534382569154809</v>
      </c>
      <c r="U309">
        <f>IFERROR(IF(AND('Дивиденды по годам'!J309&lt;&gt;"",'Дивиденды по годам'!K309&lt;&gt;"",'Дивиденды по годам'!M309&lt;&gt;"",'Дивиденды по годам'!M309&lt;&gt;0),('Дивиденды по годам'!J309+'Дивиденды по годам'!K309)/'Дивиденды по годам'!M309,""),"")</f>
        <v>0.12841292271382704</v>
      </c>
      <c r="V309">
        <f>IFERROR(IF(AND('Дивиденды по годам'!J309&lt;&gt;"",'Дивиденды по годам'!K309&lt;&gt;"",'Дивиденды по годам'!M309&lt;&gt;"",'Дивиденды по годам'!I309&lt;&gt;0),('Дивиденды по годам'!J309+'Дивиденды по годам'!K309)/'Дивиденды по годам'!I309,""),"")</f>
        <v>0.11379958535479606</v>
      </c>
      <c r="W309">
        <f>IFERROR('Дивиденды по годам'!I309,"")</f>
        <v>146366579000</v>
      </c>
      <c r="X309" cm="1">
        <f t="array" ref="X309">IFERROR(AVERAGE(_xlfn._xlws.FILTER(P$2:P$1073,($C$2:$C$1073=$C309)*($E$2:$E$1073=$E309)*(ROW(P$2:P$1073)&lt;&gt;ROW(P309))*(P$2:P$1073&lt;&gt;""))),"")</f>
        <v>26.378382644244432</v>
      </c>
      <c r="Y309" cm="1">
        <f t="array" ref="Y309">IFERROR(AVERAGE(_xlfn._xlws.FILTER(Q$2:Q$1073,($C$2:$C$1073=$C309)*($E$2:$E$1073=$E309)*(ROW(Q$2:Q$1073)&lt;&gt;ROW(Q309))*(Q$2:Q$1073&lt;&gt;""))),"")</f>
        <v>0.70937005923253316</v>
      </c>
      <c r="Z309" cm="1">
        <f t="array" ref="Z309">IFERROR(AVERAGE(_xlfn._xlws.FILTER(R$2:R$1073,($C$2:$C$1073=$C309)*($E$2:$E$1073=$E309)*(ROW(R$2:R$1073)&lt;&gt;ROW(R309))*(R$2:R$1073&lt;&gt;""))),"")</f>
        <v>5.4719830249532198E-2</v>
      </c>
      <c r="AA309" cm="1">
        <f t="array" ref="AA309">IFERROR(AVERAGE(_xlfn._xlws.FILTER(S$2:S$1073,($C$2:$C$1073=$C309)*($E$2:$E$1073=$E309)*(ROW(S$2:S$1073)&lt;&gt;ROW(S309))*(S$2:S$1073&lt;&gt;""))),"")</f>
        <v>0.51701855723559309</v>
      </c>
      <c r="AB309" cm="1">
        <f t="array" ref="AB309">IFERROR(AVERAGE(_xlfn._xlws.FILTER(T$2:T$1073,($C$2:$C$1073=$C309)*($E$2:$E$1073=$E309)*(ROW(T$2:T$1073)&lt;&gt;ROW(T309))*(T$2:T$1073&lt;&gt;""))),"")</f>
        <v>-7.7581656379117738E-3</v>
      </c>
      <c r="AC309" cm="1">
        <f t="array" ref="AC309">IFERROR(AVERAGE(_xlfn._xlws.FILTER(U$2:U$1073,($C$2:$C$1073=$C309)*($E$2:$E$1073=$E309)*(ROW(U$2:U$1073)&lt;&gt;ROW(U309))*(U$2:U$1073&lt;&gt;""))),"")</f>
        <v>0.99598714953141809</v>
      </c>
      <c r="AD309" cm="1">
        <f t="array" ref="AD309">IFERROR(AVERAGE(_xlfn._xlws.FILTER(V$2:V$1073,($C$2:$C$1073=$C309)*($E$2:$E$1073=$E309)*(ROW(V$2:V$1073)&lt;&gt;ROW(V309))*(V$2:V$1073&lt;&gt;""))),"")</f>
        <v>0.47815397337981097</v>
      </c>
      <c r="AE309">
        <f>IF('Дивиденды по годам'!M309&lt;0,1,0)</f>
        <v>0</v>
      </c>
    </row>
    <row r="310" spans="1:31" x14ac:dyDescent="0.2">
      <c r="A310" s="7" t="s">
        <v>2216</v>
      </c>
      <c r="B310" t="str">
        <f t="shared" si="44"/>
        <v>UPRO IV кв. 2021</v>
      </c>
      <c r="C310">
        <v>2021</v>
      </c>
      <c r="D310">
        <f>SUMIFS(Дивиденды!$C:$C,Дивиденды!$A:$A,A310,Дивиденды!$I:$I,C310)</f>
        <v>0.19</v>
      </c>
      <c r="E310">
        <v>2</v>
      </c>
      <c r="F310">
        <f t="shared" si="45"/>
        <v>0.19</v>
      </c>
      <c r="G310">
        <f t="shared" si="46"/>
        <v>6.5951916666666666E-2</v>
      </c>
      <c r="H310">
        <f t="shared" si="47"/>
        <v>1</v>
      </c>
      <c r="I310">
        <f t="shared" si="48"/>
        <v>0.75</v>
      </c>
      <c r="J310">
        <f t="shared" si="49"/>
        <v>-0.20833333333333329</v>
      </c>
      <c r="K310">
        <f t="shared" si="54"/>
        <v>0.18123729503516675</v>
      </c>
      <c r="L310">
        <f t="shared" si="50"/>
        <v>0</v>
      </c>
      <c r="M310">
        <f t="shared" si="51"/>
        <v>0.66666666666666663</v>
      </c>
      <c r="N310">
        <f t="shared" si="52"/>
        <v>1</v>
      </c>
      <c r="O310">
        <f t="shared" si="53"/>
        <v>0.16666666666666666</v>
      </c>
      <c r="P310">
        <f>IFERROR(LN('Дивиденды по годам'!I310),"")</f>
        <v>25.570976283877343</v>
      </c>
      <c r="Q310">
        <f>IFERROR('Дивиденды по годам'!G310/'Дивиденды по годам'!I310, "")</f>
        <v>0.88103504531282095</v>
      </c>
      <c r="R310">
        <f>IFERROR(IF(AND('Дивиденды по годам'!N310&lt;&gt;"",'Дивиденды по годам'!U310&lt;&gt;"",'Дивиденды по годам'!U310&lt;&gt;0),'Дивиденды по годам'!N310/'Дивиденды по годам'!U310-1,""),"")</f>
        <v>0.17011636820190845</v>
      </c>
      <c r="S310">
        <f>IFERROR(IF(AND('Дивиденды по годам'!L310&lt;&gt;"",'Дивиденды по годам'!I310&lt;&gt;"",'Дивиденды по годам'!J310&lt;&gt;"",'Дивиденды по годам'!K310&lt;&gt;"",('Дивиденды по годам'!I310-'Дивиденды по годам'!J310-'Дивиденды по годам'!K310)&lt;&gt;0),'Дивиденды по годам'!L310/('Дивиденды по годам'!I310-'Дивиденды по годам'!J310-'Дивиденды по годам'!K310),""),"")</f>
        <v>0.39688515379165223</v>
      </c>
      <c r="T310">
        <f>IFERROR(IF(AND('Дивиденды по годам'!Q310&lt;&gt;"",'Дивиденды по годам'!I310&lt;&gt;"",'Дивиденды по годам'!V310&lt;&gt;"",('Дивиденды по годам'!I310+'Дивиденды по годам'!V310)&lt;&gt;0),'Дивиденды по годам'!Q310/(('Дивиденды по годам'!I310+'Дивиденды по годам'!V310)/2),""),"")</f>
        <v>6.2674174068225189E-2</v>
      </c>
      <c r="U310">
        <f>IFERROR(IF(AND('Дивиденды по годам'!J310&lt;&gt;"",'Дивиденды по годам'!K310&lt;&gt;"",'Дивиденды по годам'!M310&lt;&gt;"",'Дивиденды по годам'!M310&lt;&gt;0),('Дивиденды по годам'!J310+'Дивиденды по годам'!K310)/'Дивиденды по годам'!M310,""),"")</f>
        <v>0.17298348931128674</v>
      </c>
      <c r="V310">
        <f>IFERROR(IF(AND('Дивиденды по годам'!J310&lt;&gt;"",'Дивиденды по годам'!K310&lt;&gt;"",'Дивиденды по годам'!M310&lt;&gt;"",'Дивиденды по годам'!I310&lt;&gt;0),('Дивиденды по годам'!J310+'Дивиденды по годам'!K310)/'Дивиденды по годам'!I310,""),"")</f>
        <v>0.14747308115381352</v>
      </c>
      <c r="W310">
        <f>IFERROR('Дивиденды по годам'!I310,"")</f>
        <v>127448256000</v>
      </c>
      <c r="X310" cm="1">
        <f t="array" ref="X310">IFERROR(AVERAGE(_xlfn._xlws.FILTER(P$2:P$1073,($C$2:$C$1073=$C310)*($E$2:$E$1073=$E310)*(ROW(P$2:P$1073)&lt;&gt;ROW(P310))*(P$2:P$1073&lt;&gt;""))),"")</f>
        <v>25.962289650572369</v>
      </c>
      <c r="Y310" cm="1">
        <f t="array" ref="Y310">IFERROR(AVERAGE(_xlfn._xlws.FILTER(Q$2:Q$1073,($C$2:$C$1073=$C310)*($E$2:$E$1073=$E310)*(ROW(Q$2:Q$1073)&lt;&gt;ROW(Q310))*(Q$2:Q$1073&lt;&gt;""))),"")</f>
        <v>0.75885639427606122</v>
      </c>
      <c r="Z310" cm="1">
        <f t="array" ref="Z310">IFERROR(AVERAGE(_xlfn._xlws.FILTER(R$2:R$1073,($C$2:$C$1073=$C310)*($E$2:$E$1073=$E310)*(ROW(R$2:R$1073)&lt;&gt;ROW(R310))*(R$2:R$1073&lt;&gt;""))),"")</f>
        <v>0.1223915336773002</v>
      </c>
      <c r="AA310" cm="1">
        <f t="array" ref="AA310">IFERROR(AVERAGE(_xlfn._xlws.FILTER(S$2:S$1073,($C$2:$C$1073=$C310)*($E$2:$E$1073=$E310)*(ROW(S$2:S$1073)&lt;&gt;ROW(S310))*(S$2:S$1073&lt;&gt;""))),"")</f>
        <v>0.51161927976203492</v>
      </c>
      <c r="AB310" cm="1">
        <f t="array" ref="AB310">IFERROR(AVERAGE(_xlfn._xlws.FILTER(T$2:T$1073,($C$2:$C$1073=$C310)*($E$2:$E$1073=$E310)*(ROW(T$2:T$1073)&lt;&gt;ROW(T310))*(T$2:T$1073&lt;&gt;""))),"")</f>
        <v>3.3810717532829118E-2</v>
      </c>
      <c r="AC310" cm="1">
        <f t="array" ref="AC310">IFERROR(AVERAGE(_xlfn._xlws.FILTER(U$2:U$1073,($C$2:$C$1073=$C310)*($E$2:$E$1073=$E310)*(ROW(U$2:U$1073)&lt;&gt;ROW(U310))*(U$2:U$1073&lt;&gt;""))),"")</f>
        <v>0.76899648358971218</v>
      </c>
      <c r="AD310" cm="1">
        <f t="array" ref="AD310">IFERROR(AVERAGE(_xlfn._xlws.FILTER(V$2:V$1073,($C$2:$C$1073=$C310)*($E$2:$E$1073=$E310)*(ROW(V$2:V$1073)&lt;&gt;ROW(V310))*(V$2:V$1073&lt;&gt;""))),"")</f>
        <v>0.40605822344406101</v>
      </c>
      <c r="AE310">
        <f>IF('Дивиденды по годам'!M310&lt;0,1,0)</f>
        <v>0</v>
      </c>
    </row>
    <row r="311" spans="1:31" x14ac:dyDescent="0.2">
      <c r="A311" s="7" t="s">
        <v>2216</v>
      </c>
      <c r="B311" t="str">
        <f t="shared" si="44"/>
        <v>UPRO IV кв. 2020</v>
      </c>
      <c r="C311">
        <v>2020</v>
      </c>
      <c r="D311">
        <f>SUMIFS(Дивиденды!$C:$C,Дивиденды!$A:$A,A311,Дивиденды!$I:$I,C311)</f>
        <v>0.24</v>
      </c>
      <c r="E311">
        <v>2</v>
      </c>
      <c r="F311">
        <f t="shared" si="45"/>
        <v>0.24</v>
      </c>
      <c r="G311">
        <f t="shared" si="46"/>
        <v>4.9905916666666661E-2</v>
      </c>
      <c r="H311">
        <f t="shared" si="47"/>
        <v>1</v>
      </c>
      <c r="I311">
        <f t="shared" si="48"/>
        <v>0.75</v>
      </c>
      <c r="J311">
        <f t="shared" si="49"/>
        <v>9.090909090909087E-2</v>
      </c>
      <c r="K311">
        <f t="shared" si="54"/>
        <v>-9.3199789278470113E-2</v>
      </c>
      <c r="L311">
        <f t="shared" si="50"/>
        <v>1</v>
      </c>
      <c r="M311">
        <f t="shared" si="51"/>
        <v>0.5</v>
      </c>
      <c r="N311">
        <f t="shared" si="52"/>
        <v>0</v>
      </c>
      <c r="O311">
        <f t="shared" si="53"/>
        <v>0.5</v>
      </c>
      <c r="P311">
        <f>IFERROR(LN('Дивиденды по годам'!I311),"")</f>
        <v>25.630545729724748</v>
      </c>
      <c r="Q311">
        <f>IFERROR('Дивиденды по годам'!G311/'Дивиденды по годам'!I311, "")</f>
        <v>0.90390045426009469</v>
      </c>
      <c r="R311">
        <f>IFERROR(IF(AND('Дивиденды по годам'!N311&lt;&gt;"",'Дивиденды по годам'!U311&lt;&gt;"",'Дивиденды по годам'!U311&lt;&gt;0),'Дивиденды по годам'!N311/'Дивиденды по годам'!U311-1,""),"")</f>
        <v>-6.1821361836010613E-2</v>
      </c>
      <c r="S311">
        <f>IFERROR(IF(AND('Дивиденды по годам'!L311&lt;&gt;"",'Дивиденды по годам'!I311&lt;&gt;"",'Дивиденды по годам'!J311&lt;&gt;"",'Дивиденды по годам'!K311&lt;&gt;"",('Дивиденды по годам'!I311-'Дивиденды по годам'!J311-'Дивиденды по годам'!K311)&lt;&gt;0),'Дивиденды по годам'!L311/('Дивиденды по годам'!I311-'Дивиденды по годам'!J311-'Дивиденды по годам'!K311),""),"")</f>
        <v>0.45535019735999271</v>
      </c>
      <c r="T311">
        <f>IFERROR(IF(AND('Дивиденды по годам'!Q311&lt;&gt;"",'Дивиденды по годам'!I311&lt;&gt;"",'Дивиденды по годам'!V311&lt;&gt;"",('Дивиденды по годам'!I311+'Дивиденды по годам'!V311)&lt;&gt;0),'Дивиденды по годам'!Q311/(('Дивиденды по годам'!I311+'Дивиденды по годам'!V311)/2),""),"")</f>
        <v>0.10115311257071639</v>
      </c>
      <c r="U311">
        <f>IFERROR(IF(AND('Дивиденды по годам'!J311&lt;&gt;"",'Дивиденды по годам'!K311&lt;&gt;"",'Дивиденды по годам'!M311&lt;&gt;"",'Дивиденды по годам'!M311&lt;&gt;0),('Дивиденды по годам'!J311+'Дивиденды по годам'!K311)/'Дивиденды по годам'!M311,""),"")</f>
        <v>0.12216673683027822</v>
      </c>
      <c r="V311">
        <f>IFERROR(IF(AND('Дивиденды по годам'!J311&lt;&gt;"",'Дивиденды по годам'!K311&lt;&gt;"",'Дивиденды по годам'!M311&lt;&gt;"",'Дивиденды по годам'!I311&lt;&gt;0),('Дивиденды по годам'!J311+'Дивиденды по годам'!K311)/'Дивиденды по годам'!I311,""),"")</f>
        <v>0.10886683130116277</v>
      </c>
      <c r="W311">
        <f>IFERROR('Дивиденды по годам'!I311,"")</f>
        <v>135270962000</v>
      </c>
      <c r="X311" cm="1">
        <f t="array" ref="X311">IFERROR(AVERAGE(_xlfn._xlws.FILTER(P$2:P$1073,($C$2:$C$1073=$C311)*($E$2:$E$1073=$E311)*(ROW(P$2:P$1073)&lt;&gt;ROW(P311))*(P$2:P$1073&lt;&gt;""))),"")</f>
        <v>26.218339967523239</v>
      </c>
      <c r="Y311" cm="1">
        <f t="array" ref="Y311">IFERROR(AVERAGE(_xlfn._xlws.FILTER(Q$2:Q$1073,($C$2:$C$1073=$C311)*($E$2:$E$1073=$E311)*(ROW(Q$2:Q$1073)&lt;&gt;ROW(Q311))*(Q$2:Q$1073&lt;&gt;""))),"")</f>
        <v>0.73172485108108853</v>
      </c>
      <c r="Z311" cm="1">
        <f t="array" ref="Z311">IFERROR(AVERAGE(_xlfn._xlws.FILTER(R$2:R$1073,($C$2:$C$1073=$C311)*($E$2:$E$1073=$E311)*(ROW(R$2:R$1073)&lt;&gt;ROW(R311))*(R$2:R$1073&lt;&gt;""))),"")</f>
        <v>-6.4390166546106756E-2</v>
      </c>
      <c r="AA311" cm="1">
        <f t="array" ref="AA311">IFERROR(AVERAGE(_xlfn._xlws.FILTER(S$2:S$1073,($C$2:$C$1073=$C311)*($E$2:$E$1073=$E311)*(ROW(S$2:S$1073)&lt;&gt;ROW(S311))*(S$2:S$1073&lt;&gt;""))),"")</f>
        <v>0.48689694055733712</v>
      </c>
      <c r="AB311" cm="1">
        <f t="array" ref="AB311">IFERROR(AVERAGE(_xlfn._xlws.FILTER(T$2:T$1073,($C$2:$C$1073=$C311)*($E$2:$E$1073=$E311)*(ROW(T$2:T$1073)&lt;&gt;ROW(T311))*(T$2:T$1073&lt;&gt;""))),"")</f>
        <v>3.7776847639946855E-2</v>
      </c>
      <c r="AC311" cm="1">
        <f t="array" ref="AC311">IFERROR(AVERAGE(_xlfn._xlws.FILTER(U$2:U$1073,($C$2:$C$1073=$C311)*($E$2:$E$1073=$E311)*(ROW(U$2:U$1073)&lt;&gt;ROW(U311))*(U$2:U$1073&lt;&gt;""))),"")</f>
        <v>0.70434995919961541</v>
      </c>
      <c r="AD311" cm="1">
        <f t="array" ref="AD311">IFERROR(AVERAGE(_xlfn._xlws.FILTER(V$2:V$1073,($C$2:$C$1073=$C311)*($E$2:$E$1073=$E311)*(ROW(V$2:V$1073)&lt;&gt;ROW(V311))*(V$2:V$1073&lt;&gt;""))),"")</f>
        <v>0.3895252293481144</v>
      </c>
      <c r="AE311">
        <f>IF('Дивиденды по годам'!M311&lt;0,1,0)</f>
        <v>0</v>
      </c>
    </row>
    <row r="312" spans="1:31" x14ac:dyDescent="0.2">
      <c r="A312" s="7" t="s">
        <v>2216</v>
      </c>
      <c r="B312" t="str">
        <f t="shared" si="44"/>
        <v>UPRO IV кв. 2019</v>
      </c>
      <c r="C312">
        <v>2019</v>
      </c>
      <c r="D312">
        <f>SUMIFS(Дивиденды!$C:$C,Дивиденды!$A:$A,A312,Дивиденды!$I:$I,C312)</f>
        <v>0.22</v>
      </c>
      <c r="E312">
        <v>2</v>
      </c>
      <c r="F312">
        <f t="shared" si="45"/>
        <v>0.22</v>
      </c>
      <c r="G312">
        <f t="shared" si="46"/>
        <v>5.2975333333333326E-2</v>
      </c>
      <c r="H312">
        <f t="shared" si="47"/>
        <v>1</v>
      </c>
      <c r="I312">
        <f t="shared" si="48"/>
        <v>1</v>
      </c>
      <c r="J312">
        <f t="shared" si="49"/>
        <v>0</v>
      </c>
      <c r="K312">
        <f t="shared" si="54"/>
        <v>0.17209275766992096</v>
      </c>
      <c r="L312">
        <f t="shared" si="50"/>
        <v>0</v>
      </c>
      <c r="M312">
        <f t="shared" si="51"/>
        <v>0.5</v>
      </c>
      <c r="N312">
        <f t="shared" si="52"/>
        <v>0</v>
      </c>
      <c r="O312">
        <f t="shared" si="53"/>
        <v>0.5</v>
      </c>
      <c r="P312">
        <f>IFERROR(LN('Дивиденды по годам'!I312),"")</f>
        <v>25.640238827410961</v>
      </c>
      <c r="Q312">
        <f>IFERROR('Дивиденды по годам'!G312/'Дивиденды по годам'!I312, "")</f>
        <v>0.88703683410258771</v>
      </c>
      <c r="R312">
        <f>IFERROR(IF(AND('Дивиденды по годам'!N312&lt;&gt;"",'Дивиденды по годам'!U312&lt;&gt;"",'Дивиденды по годам'!U312&lt;&gt;0),'Дивиденды по годам'!N312/'Дивиденды по годам'!U312-1,""),"")</f>
        <v>3.217791561228478E-2</v>
      </c>
      <c r="S312">
        <f>IFERROR(IF(AND('Дивиденды по годам'!L312&lt;&gt;"",'Дивиденды по годам'!I312&lt;&gt;"",'Дивиденды по годам'!J312&lt;&gt;"",'Дивиденды по годам'!K312&lt;&gt;"",('Дивиденды по годам'!I312-'Дивиденды по годам'!J312-'Дивиденды по годам'!K312)&lt;&gt;0),'Дивиденды по годам'!L312/('Дивиденды по годам'!I312-'Дивиденды по годам'!J312-'Дивиденды по годам'!K312),""),"")</f>
        <v>0.45704313029508775</v>
      </c>
      <c r="T312">
        <f>IFERROR(IF(AND('Дивиденды по годам'!Q312&lt;&gt;"",'Дивиденды по годам'!I312&lt;&gt;"",'Дивиденды по годам'!V312&lt;&gt;"",('Дивиденды по годам'!I312+'Дивиденды по годам'!V312)&lt;&gt;0),'Дивиденды по годам'!Q312/(('Дивиденды по годам'!I312+'Дивиденды по годам'!V312)/2),""),"")</f>
        <v>0.14092121350692557</v>
      </c>
      <c r="U312">
        <f>IFERROR(IF(AND('Дивиденды по годам'!J312&lt;&gt;"",'Дивиденды по годам'!K312&lt;&gt;"",'Дивиденды по годам'!M312&lt;&gt;"",'Дивиденды по годам'!M312&lt;&gt;0),('Дивиденды по годам'!J312+'Дивиденды по годам'!K312)/'Дивиденды по годам'!M312,""),"")</f>
        <v>0.13214732353235817</v>
      </c>
      <c r="V312">
        <f>IFERROR(IF(AND('Дивиденды по годам'!J312&lt;&gt;"",'Дивиденды по годам'!K312&lt;&gt;"",'Дивиденды по годам'!M312&lt;&gt;"",'Дивиденды по годам'!I312&lt;&gt;0),('Дивиденды по годам'!J312+'Дивиденды по годам'!K312)/'Дивиденды по годам'!I312,""),"")</f>
        <v>0.11672272749808893</v>
      </c>
      <c r="W312">
        <f>IFERROR('Дивиденды по годам'!I312,"")</f>
        <v>136588532000</v>
      </c>
      <c r="X312" cm="1">
        <f t="array" ref="X312">IFERROR(AVERAGE(_xlfn._xlws.FILTER(P$2:P$1073,($C$2:$C$1073=$C312)*($E$2:$E$1073=$E312)*(ROW(P$2:P$1073)&lt;&gt;ROW(P312))*(P$2:P$1073&lt;&gt;""))),"")</f>
        <v>26.174471402766187</v>
      </c>
      <c r="Y312" cm="1">
        <f t="array" ref="Y312">IFERROR(AVERAGE(_xlfn._xlws.FILTER(Q$2:Q$1073,($C$2:$C$1073=$C312)*($E$2:$E$1073=$E312)*(ROW(Q$2:Q$1073)&lt;&gt;ROW(Q312))*(Q$2:Q$1073&lt;&gt;""))),"")</f>
        <v>0.72449160976938065</v>
      </c>
      <c r="Z312" cm="1">
        <f t="array" ref="Z312">IFERROR(AVERAGE(_xlfn._xlws.FILTER(R$2:R$1073,($C$2:$C$1073=$C312)*($E$2:$E$1073=$E312)*(ROW(R$2:R$1073)&lt;&gt;ROW(R312))*(R$2:R$1073&lt;&gt;""))),"")</f>
        <v>1.0899174266769303E-3</v>
      </c>
      <c r="AA312" cm="1">
        <f t="array" ref="AA312">IFERROR(AVERAGE(_xlfn._xlws.FILTER(S$2:S$1073,($C$2:$C$1073=$C312)*($E$2:$E$1073=$E312)*(ROW(S$2:S$1073)&lt;&gt;ROW(S312))*(S$2:S$1073&lt;&gt;""))),"")</f>
        <v>0.47543962687241864</v>
      </c>
      <c r="AB312" cm="1">
        <f t="array" ref="AB312">IFERROR(AVERAGE(_xlfn._xlws.FILTER(T$2:T$1073,($C$2:$C$1073=$C312)*($E$2:$E$1073=$E312)*(ROW(T$2:T$1073)&lt;&gt;ROW(T312))*(T$2:T$1073&lt;&gt;""))),"")</f>
        <v>4.4553049882215812E-2</v>
      </c>
      <c r="AC312" cm="1">
        <f t="array" ref="AC312">IFERROR(AVERAGE(_xlfn._xlws.FILTER(U$2:U$1073,($C$2:$C$1073=$C312)*($E$2:$E$1073=$E312)*(ROW(U$2:U$1073)&lt;&gt;ROW(U312))*(U$2:U$1073&lt;&gt;""))),"")</f>
        <v>0.7098464064802541</v>
      </c>
      <c r="AD312" cm="1">
        <f t="array" ref="AD312">IFERROR(AVERAGE(_xlfn._xlws.FILTER(V$2:V$1073,($C$2:$C$1073=$C312)*($E$2:$E$1073=$E312)*(ROW(V$2:V$1073)&lt;&gt;ROW(V312))*(V$2:V$1073&lt;&gt;""))),"")</f>
        <v>0.39208456951069448</v>
      </c>
      <c r="AE312">
        <f>IF('Дивиденды по годам'!M312&lt;0,1,0)</f>
        <v>0</v>
      </c>
    </row>
    <row r="313" spans="1:31" x14ac:dyDescent="0.2">
      <c r="A313" s="7" t="s">
        <v>2216</v>
      </c>
      <c r="B313" t="str">
        <f t="shared" si="44"/>
        <v>UPRO IV кв. 2018</v>
      </c>
      <c r="C313">
        <v>2018</v>
      </c>
      <c r="D313">
        <f>SUMIFS(Дивиденды!$C:$C,Дивиденды!$A:$A,A313,Дивиденды!$I:$I,C313)</f>
        <v>0.22</v>
      </c>
      <c r="E313">
        <v>2</v>
      </c>
      <c r="F313">
        <f t="shared" si="45"/>
        <v>0.22</v>
      </c>
      <c r="G313">
        <f t="shared" si="46"/>
        <v>6.2237083333333332E-2</v>
      </c>
      <c r="H313">
        <f t="shared" si="47"/>
        <v>1</v>
      </c>
      <c r="I313">
        <f t="shared" si="48"/>
        <v>1</v>
      </c>
      <c r="J313">
        <f t="shared" si="49"/>
        <v>-7.2903497682258789E-2</v>
      </c>
      <c r="K313">
        <f t="shared" si="54"/>
        <v>0.20233365310444038</v>
      </c>
      <c r="L313">
        <f t="shared" si="50"/>
        <v>0</v>
      </c>
      <c r="M313">
        <f t="shared" si="51"/>
        <v>0.66666666666666663</v>
      </c>
      <c r="N313">
        <f t="shared" si="52"/>
        <v>1</v>
      </c>
      <c r="O313">
        <f t="shared" si="53"/>
        <v>0.16666666666666666</v>
      </c>
      <c r="P313">
        <f>IFERROR(LN('Дивиденды по годам'!I313),"")</f>
        <v>25.598657790060894</v>
      </c>
      <c r="Q313">
        <f>IFERROR('Дивиденды по годам'!G313/'Дивиденды по годам'!I313, "")</f>
        <v>0.86954017248199911</v>
      </c>
      <c r="R313">
        <f>IFERROR(IF(AND('Дивиденды по годам'!N313&lt;&gt;"",'Дивиденды по годам'!U313&lt;&gt;"",'Дивиденды по годам'!U313&lt;&gt;0),'Дивиденды по годам'!N313/'Дивиденды по годам'!U313-1,""),"")</f>
        <v>1.6406700220442438E-2</v>
      </c>
      <c r="S313">
        <f>IFERROR(IF(AND('Дивиденды по годам'!L313&lt;&gt;"",'Дивиденды по годам'!I313&lt;&gt;"",'Дивиденды по годам'!J313&lt;&gt;"",'Дивиденды по годам'!K313&lt;&gt;"",('Дивиденды по годам'!I313-'Дивиденды по годам'!J313-'Дивиденды по годам'!K313)&lt;&gt;0),'Дивиденды по годам'!L313/('Дивиденды по годам'!I313-'Дивиденды по годам'!J313-'Дивиденды по годам'!K313),""),"")</f>
        <v>0.43260856473224696</v>
      </c>
      <c r="T313">
        <f>IFERROR(IF(AND('Дивиденды по годам'!Q313&lt;&gt;"",'Дивиденды по годам'!I313&lt;&gt;"",'Дивиденды по годам'!V313&lt;&gt;"",('Дивиденды по годам'!I313+'Дивиденды по годам'!V313)&lt;&gt;0),'Дивиденды по годам'!Q313/(('Дивиденды по годам'!I313+'Дивиденды по годам'!V313)/2),""),"")</f>
        <v>0.1293150891621844</v>
      </c>
      <c r="U313">
        <f>IFERROR(IF(AND('Дивиденды по годам'!J313&lt;&gt;"",'Дивиденды по годам'!K313&lt;&gt;"",'Дивиденды по годам'!M313&lt;&gt;"",'Дивиденды по годам'!M313&lt;&gt;0),('Дивиденды по годам'!J313+'Дивиденды по годам'!K313)/'Дивиденды по годам'!M313,""),"")</f>
        <v>0.12725291854369372</v>
      </c>
      <c r="V313">
        <f>IFERROR(IF(AND('Дивиденды по годам'!J313&lt;&gt;"",'Дивиденды по годам'!K313&lt;&gt;"",'Дивиденды по годам'!M313&lt;&gt;"",'Дивиденды по годам'!I313&lt;&gt;0),('Дивиденды по годам'!J313+'Дивиденды по годам'!K313)/'Дивиденды по годам'!I313,""),"")</f>
        <v>0.11288763723769524</v>
      </c>
      <c r="W313">
        <f>IFERROR('Дивиденды по годам'!I313,"")</f>
        <v>131025499000</v>
      </c>
      <c r="X313" cm="1">
        <f t="array" ref="X313">IFERROR(AVERAGE(_xlfn._xlws.FILTER(P$2:P$1073,($C$2:$C$1073=$C313)*($E$2:$E$1073=$E313)*(ROW(P$2:P$1073)&lt;&gt;ROW(P313))*(P$2:P$1073&lt;&gt;""))),"")</f>
        <v>26.120370532017276</v>
      </c>
      <c r="Y313" cm="1">
        <f t="array" ref="Y313">IFERROR(AVERAGE(_xlfn._xlws.FILTER(Q$2:Q$1073,($C$2:$C$1073=$C313)*($E$2:$E$1073=$E313)*(ROW(Q$2:Q$1073)&lt;&gt;ROW(Q313))*(Q$2:Q$1073&lt;&gt;""))),"")</f>
        <v>0.74348747462815634</v>
      </c>
      <c r="Z313" cm="1">
        <f t="array" ref="Z313">IFERROR(AVERAGE(_xlfn._xlws.FILTER(R$2:R$1073,($C$2:$C$1073=$C313)*($E$2:$E$1073=$E313)*(ROW(R$2:R$1073)&lt;&gt;ROW(R313))*(R$2:R$1073&lt;&gt;""))),"")</f>
        <v>5.301592368507288E-2</v>
      </c>
      <c r="AA313" cm="1">
        <f t="array" ref="AA313">IFERROR(AVERAGE(_xlfn._xlws.FILTER(S$2:S$1073,($C$2:$C$1073=$C313)*($E$2:$E$1073=$E313)*(ROW(S$2:S$1073)&lt;&gt;ROW(S313))*(S$2:S$1073&lt;&gt;""))),"")</f>
        <v>0.46705983865555623</v>
      </c>
      <c r="AB313" cm="1">
        <f t="array" ref="AB313">IFERROR(AVERAGE(_xlfn._xlws.FILTER(T$2:T$1073,($C$2:$C$1073=$C313)*($E$2:$E$1073=$E313)*(ROW(T$2:T$1073)&lt;&gt;ROW(T313))*(T$2:T$1073&lt;&gt;""))),"")</f>
        <v>6.3336170420422749E-2</v>
      </c>
      <c r="AC313" cm="1">
        <f t="array" ref="AC313">IFERROR(AVERAGE(_xlfn._xlws.FILTER(U$2:U$1073,($C$2:$C$1073=$C313)*($E$2:$E$1073=$E313)*(ROW(U$2:U$1073)&lt;&gt;ROW(U313))*(U$2:U$1073&lt;&gt;""))),"")</f>
        <v>0.67402745024127508</v>
      </c>
      <c r="AD313" cm="1">
        <f t="array" ref="AD313">IFERROR(AVERAGE(_xlfn._xlws.FILTER(V$2:V$1073,($C$2:$C$1073=$C313)*($E$2:$E$1073=$E313)*(ROW(V$2:V$1073)&lt;&gt;ROW(V313))*(V$2:V$1073&lt;&gt;""))),"")</f>
        <v>0.38075955571727021</v>
      </c>
      <c r="AE313">
        <f>IF('Дивиденды по годам'!M313&lt;0,1,0)</f>
        <v>0</v>
      </c>
    </row>
    <row r="314" spans="1:31" x14ac:dyDescent="0.2">
      <c r="A314" s="7" t="s">
        <v>2216</v>
      </c>
      <c r="B314" t="str">
        <f t="shared" si="44"/>
        <v>UPRO IV кв. 2017</v>
      </c>
      <c r="C314">
        <v>2017</v>
      </c>
      <c r="D314">
        <f>SUMIFS(Дивиденды!$C:$C,Дивиденды!$A:$A,A314,Дивиденды!$I:$I,C314)</f>
        <v>0.23730000000000001</v>
      </c>
      <c r="E314">
        <v>2</v>
      </c>
      <c r="F314">
        <f t="shared" si="45"/>
        <v>0.23730000000000001</v>
      </c>
      <c r="G314">
        <f t="shared" si="46"/>
        <v>5.2333833333333329E-2</v>
      </c>
      <c r="H314">
        <f t="shared" si="47"/>
        <v>1</v>
      </c>
      <c r="I314">
        <f t="shared" si="48"/>
        <v>1</v>
      </c>
      <c r="J314">
        <f t="shared" si="49"/>
        <v>0.11043518951801595</v>
      </c>
      <c r="K314">
        <f t="shared" si="54"/>
        <v>0.63254670514711553</v>
      </c>
      <c r="L314">
        <f t="shared" si="50"/>
        <v>1</v>
      </c>
      <c r="M314">
        <f t="shared" si="51"/>
        <v>0.75</v>
      </c>
      <c r="N314">
        <f t="shared" si="52"/>
        <v>0</v>
      </c>
      <c r="O314">
        <f t="shared" si="53"/>
        <v>0.25</v>
      </c>
      <c r="P314">
        <f>IFERROR(LN('Дивиденды по годам'!I314),"")</f>
        <v>25.559704398293615</v>
      </c>
      <c r="Q314">
        <f>IFERROR('Дивиденды по годам'!G314/'Дивиденды по годам'!I314, "")</f>
        <v>0.8428323292842852</v>
      </c>
      <c r="R314">
        <f>IFERROR(IF(AND('Дивиденды по годам'!N314&lt;&gt;"",'Дивиденды по годам'!U314&lt;&gt;"",'Дивиденды по годам'!U314&lt;&gt;0),'Дивиденды по годам'!N314/'Дивиденды по годам'!U314-1,""),"")</f>
        <v>-1.935610055862258E-2</v>
      </c>
      <c r="S314">
        <f>IFERROR(IF(AND('Дивиденды по годам'!L314&lt;&gt;"",'Дивиденды по годам'!I314&lt;&gt;"",'Дивиденды по годам'!J314&lt;&gt;"",'Дивиденды по годам'!K314&lt;&gt;"",('Дивиденды по годам'!I314-'Дивиденды по годам'!J314-'Дивиденды по годам'!K314)&lt;&gt;0),'Дивиденды по годам'!L314/('Дивиденды по годам'!I314-'Дивиденды по годам'!J314-'Дивиденды по годам'!K314),""),"")</f>
        <v>0.41989409275723655</v>
      </c>
      <c r="T314">
        <f>IFERROR(IF(AND('Дивиденды по годам'!Q314&lt;&gt;"",'Дивиденды по годам'!I314&lt;&gt;"",'Дивиденды по годам'!V314&lt;&gt;"",('Дивиденды по годам'!I314+'Дивиденды по годам'!V314)&lt;&gt;0),'Дивиденды по годам'!Q314/(('Дивиденды по годам'!I314+'Дивиденды по годам'!V314)/2),""),"")</f>
        <v>0.28581130840784758</v>
      </c>
      <c r="U314">
        <f>IFERROR(IF(AND('Дивиденды по годам'!J314&lt;&gt;"",'Дивиденды по годам'!K314&lt;&gt;"",'Дивиденды по годам'!M314&lt;&gt;"",'Дивиденды по годам'!M314&lt;&gt;0),('Дивиденды по годам'!J314+'Дивиденды по годам'!K314)/'Дивиденды по годам'!M314,""),"")</f>
        <v>0.10984185249385775</v>
      </c>
      <c r="V314">
        <f>IFERROR(IF(AND('Дивиденды по годам'!J314&lt;&gt;"",'Дивиденды по годам'!K314&lt;&gt;"",'Дивиденды по годам'!M314&lt;&gt;"",'Дивиденды по годам'!I314&lt;&gt;0),('Дивиденды по годам'!J314+'Дивиденды по годам'!K314)/'Дивиденды по годам'!I314,""),"")</f>
        <v>9.8970724745186742E-2</v>
      </c>
      <c r="W314">
        <f>IFERROR('Дивиденды по годам'!I314,"")</f>
        <v>126019740000</v>
      </c>
      <c r="X314" cm="1">
        <f t="array" ref="X314">IFERROR(AVERAGE(_xlfn._xlws.FILTER(P$2:P$1073,($C$2:$C$1073=$C314)*($E$2:$E$1073=$E314)*(ROW(P$2:P$1073)&lt;&gt;ROW(P314))*(P$2:P$1073&lt;&gt;""))),"")</f>
        <v>26.091004096648362</v>
      </c>
      <c r="Y314" cm="1">
        <f t="array" ref="Y314">IFERROR(AVERAGE(_xlfn._xlws.FILTER(Q$2:Q$1073,($C$2:$C$1073=$C314)*($E$2:$E$1073=$E314)*(ROW(Q$2:Q$1073)&lt;&gt;ROW(Q314))*(Q$2:Q$1073&lt;&gt;""))),"")</f>
        <v>0.7532229603595878</v>
      </c>
      <c r="Z314" cm="1">
        <f t="array" ref="Z314">IFERROR(AVERAGE(_xlfn._xlws.FILTER(R$2:R$1073,($C$2:$C$1073=$C314)*($E$2:$E$1073=$E314)*(ROW(R$2:R$1073)&lt;&gt;ROW(R314))*(R$2:R$1073&lt;&gt;""))),"")</f>
        <v>5.1323598335463905E-2</v>
      </c>
      <c r="AA314" cm="1">
        <f t="array" ref="AA314">IFERROR(AVERAGE(_xlfn._xlws.FILTER(S$2:S$1073,($C$2:$C$1073=$C314)*($E$2:$E$1073=$E314)*(ROW(S$2:S$1073)&lt;&gt;ROW(S314))*(S$2:S$1073&lt;&gt;""))),"")</f>
        <v>0.4205192455661913</v>
      </c>
      <c r="AB314" cm="1">
        <f t="array" ref="AB314">IFERROR(AVERAGE(_xlfn._xlws.FILTER(T$2:T$1073,($C$2:$C$1073=$C314)*($E$2:$E$1073=$E314)*(ROW(T$2:T$1073)&lt;&gt;ROW(T314))*(T$2:T$1073&lt;&gt;""))),"")</f>
        <v>6.4549914105251752E-2</v>
      </c>
      <c r="AC314" cm="1">
        <f t="array" ref="AC314">IFERROR(AVERAGE(_xlfn._xlws.FILTER(U$2:U$1073,($C$2:$C$1073=$C314)*($E$2:$E$1073=$E314)*(ROW(U$2:U$1073)&lt;&gt;ROW(U314))*(U$2:U$1073&lt;&gt;""))),"")</f>
        <v>0.67475631413067427</v>
      </c>
      <c r="AD314" cm="1">
        <f t="array" ref="AD314">IFERROR(AVERAGE(_xlfn._xlws.FILTER(V$2:V$1073,($C$2:$C$1073=$C314)*($E$2:$E$1073=$E314)*(ROW(V$2:V$1073)&lt;&gt;ROW(V314))*(V$2:V$1073&lt;&gt;""))),"")</f>
        <v>0.38293456944041077</v>
      </c>
      <c r="AE314">
        <f>IF('Дивиденды по годам'!M314&lt;0,1,0)</f>
        <v>0</v>
      </c>
    </row>
    <row r="315" spans="1:31" x14ac:dyDescent="0.2">
      <c r="A315" s="7" t="s">
        <v>2216</v>
      </c>
      <c r="B315" t="str">
        <f t="shared" si="44"/>
        <v>UPRO IV кв. 2016</v>
      </c>
      <c r="C315">
        <v>2016</v>
      </c>
      <c r="D315">
        <f>SUMIFS(Дивиденды!$C:$C,Дивиденды!$A:$A,A315,Дивиденды!$I:$I,C315)</f>
        <v>0.2137</v>
      </c>
      <c r="E315">
        <v>2</v>
      </c>
      <c r="F315">
        <f t="shared" si="45"/>
        <v>0.2137</v>
      </c>
      <c r="G315">
        <f t="shared" si="46"/>
        <v>3.9586833333333328E-2</v>
      </c>
      <c r="H315">
        <f t="shared" si="47"/>
        <v>1</v>
      </c>
      <c r="I315">
        <f t="shared" si="48"/>
        <v>1</v>
      </c>
      <c r="J315">
        <f t="shared" si="49"/>
        <v>6.849999999999995E-2</v>
      </c>
      <c r="K315">
        <f t="shared" si="54"/>
        <v>1.4013617044724767</v>
      </c>
      <c r="L315">
        <f t="shared" si="50"/>
        <v>1</v>
      </c>
      <c r="M315">
        <f t="shared" si="51"/>
        <v>0.83333333333333337</v>
      </c>
      <c r="N315">
        <f t="shared" si="52"/>
        <v>0</v>
      </c>
      <c r="O315">
        <f t="shared" si="53"/>
        <v>0.16666666666666666</v>
      </c>
      <c r="P315">
        <f>IFERROR(LN('Дивиденды по годам'!I315),"")</f>
        <v>25.415886239453311</v>
      </c>
      <c r="Q315">
        <f>IFERROR('Дивиденды по годам'!G315/'Дивиденды по годам'!I315, "")</f>
        <v>0.88603896324930032</v>
      </c>
      <c r="R315">
        <f>IFERROR(IF(AND('Дивиденды по годам'!N315&lt;&gt;"",'Дивиденды по годам'!U315&lt;&gt;"",'Дивиденды по годам'!U315&lt;&gt;0),'Дивиденды по годам'!N315/'Дивиденды по годам'!U315-1,""),"")</f>
        <v>1.7291863898147408E-2</v>
      </c>
      <c r="S315">
        <f>IFERROR(IF(AND('Дивиденды по годам'!L315&lt;&gt;"",'Дивиденды по годам'!I315&lt;&gt;"",'Дивиденды по годам'!J315&lt;&gt;"",'Дивиденды по годам'!K315&lt;&gt;"",('Дивиденды по годам'!I315-'Дивиденды по годам'!J315-'Дивиденды по годам'!K315)&lt;&gt;0),'Дивиденды по годам'!L315/('Дивиденды по годам'!I315-'Дивиденды по годам'!J315-'Дивиденды по годам'!K315),""),"")</f>
        <v>0.29486173689528072</v>
      </c>
      <c r="T315">
        <f>IFERROR(IF(AND('Дивиденды по годам'!Q315&lt;&gt;"",'Дивиденды по годам'!I315&lt;&gt;"",'Дивиденды по годам'!V315&lt;&gt;"",('Дивиденды по годам'!I315+'Дивиденды по годам'!V315)&lt;&gt;0),'Дивиденды по годам'!Q315/(('Дивиденды по годам'!I315+'Дивиденды по годам'!V315)/2),""),"")</f>
        <v>4.3804344946322432E-2</v>
      </c>
      <c r="U315">
        <f>IFERROR(IF(AND('Дивиденды по годам'!J315&lt;&gt;"",'Дивиденды по годам'!K315&lt;&gt;"",'Дивиденды по годам'!M315&lt;&gt;"",'Дивиденды по годам'!M315&lt;&gt;0),('Дивиденды по годам'!J315+'Дивиденды по годам'!K315)/'Дивиденды по годам'!M315,""),"")</f>
        <v>0.1547574751296675</v>
      </c>
      <c r="V315">
        <f>IFERROR(IF(AND('Дивиденды по годам'!J315&lt;&gt;"",'Дивиденды по годам'!K315&lt;&gt;"",'Дивиденды по годам'!M315&lt;&gt;"",'Дивиденды по годам'!I315&lt;&gt;0),('Дивиденды по годам'!J315+'Дивиденды по годам'!K315)/'Дивиденды по годам'!I315,""),"")</f>
        <v>0.13401729667287049</v>
      </c>
      <c r="W315">
        <f>IFERROR('Дивиденды по годам'!I315,"")</f>
        <v>109138793000</v>
      </c>
      <c r="X315" cm="1">
        <f t="array" ref="X315">IFERROR(AVERAGE(_xlfn._xlws.FILTER(P$2:P$1073,($C$2:$C$1073=$C315)*($E$2:$E$1073=$E315)*(ROW(P$2:P$1073)&lt;&gt;ROW(P315))*(P$2:P$1073&lt;&gt;""))),"")</f>
        <v>26.057182183414497</v>
      </c>
      <c r="Y315" cm="1">
        <f t="array" ref="Y315">IFERROR(AVERAGE(_xlfn._xlws.FILTER(Q$2:Q$1073,($C$2:$C$1073=$C315)*($E$2:$E$1073=$E315)*(ROW(Q$2:Q$1073)&lt;&gt;ROW(Q315))*(Q$2:Q$1073&lt;&gt;""))),"")</f>
        <v>0.7021174664822144</v>
      </c>
      <c r="Z315" cm="1">
        <f t="array" ref="Z315">IFERROR(AVERAGE(_xlfn._xlws.FILTER(R$2:R$1073,($C$2:$C$1073=$C315)*($E$2:$E$1073=$E315)*(ROW(R$2:R$1073)&lt;&gt;ROW(R315))*(R$2:R$1073&lt;&gt;""))),"")</f>
        <v>0.12386239405666796</v>
      </c>
      <c r="AA315" cm="1">
        <f t="array" ref="AA315">IFERROR(AVERAGE(_xlfn._xlws.FILTER(S$2:S$1073,($C$2:$C$1073=$C315)*($E$2:$E$1073=$E315)*(ROW(S$2:S$1073)&lt;&gt;ROW(S315))*(S$2:S$1073&lt;&gt;""))),"")</f>
        <v>0.41925890367680724</v>
      </c>
      <c r="AB315" cm="1">
        <f t="array" ref="AB315">IFERROR(AVERAGE(_xlfn._xlws.FILTER(T$2:T$1073,($C$2:$C$1073=$C315)*($E$2:$E$1073=$E315)*(ROW(T$2:T$1073)&lt;&gt;ROW(T315))*(T$2:T$1073&lt;&gt;""))),"")</f>
        <v>4.0657916460881689E-2</v>
      </c>
      <c r="AC315" cm="1">
        <f t="array" ref="AC315">IFERROR(AVERAGE(_xlfn._xlws.FILTER(U$2:U$1073,($C$2:$C$1073=$C315)*($E$2:$E$1073=$E315)*(ROW(U$2:U$1073)&lt;&gt;ROW(U315))*(U$2:U$1073&lt;&gt;""))),"")</f>
        <v>0.77389425803822409</v>
      </c>
      <c r="AD315" cm="1">
        <f t="array" ref="AD315">IFERROR(AVERAGE(_xlfn._xlws.FILTER(V$2:V$1073,($C$2:$C$1073=$C315)*($E$2:$E$1073=$E315)*(ROW(V$2:V$1073)&lt;&gt;ROW(V315))*(V$2:V$1073&lt;&gt;""))),"")</f>
        <v>0.41588229689638934</v>
      </c>
      <c r="AE315">
        <f>IF('Дивиденды по годам'!M315&lt;0,1,0)</f>
        <v>0</v>
      </c>
    </row>
    <row r="316" spans="1:31" x14ac:dyDescent="0.2">
      <c r="A316" s="7" t="s">
        <v>2216</v>
      </c>
      <c r="B316" t="str">
        <f t="shared" si="44"/>
        <v>UPRO IV кв. 2015</v>
      </c>
      <c r="C316">
        <v>2015</v>
      </c>
      <c r="D316">
        <f>SUMIFS(Дивиденды!$C:$C,Дивиденды!$A:$A,A316,Дивиденды!$I:$I,C316)</f>
        <v>0.2</v>
      </c>
      <c r="E316">
        <v>2</v>
      </c>
      <c r="F316">
        <f t="shared" si="45"/>
        <v>0.2</v>
      </c>
      <c r="G316">
        <f t="shared" si="46"/>
        <v>2.4773416666666669E-2</v>
      </c>
      <c r="H316">
        <f t="shared" si="47"/>
        <v>1</v>
      </c>
      <c r="I316">
        <f t="shared" si="48"/>
        <v>0.91666666666666663</v>
      </c>
      <c r="J316">
        <f t="shared" si="49"/>
        <v>-0.28571428571428575</v>
      </c>
      <c r="K316">
        <f t="shared" si="54"/>
        <v>4.168785968801866</v>
      </c>
      <c r="L316">
        <f t="shared" si="50"/>
        <v>0</v>
      </c>
      <c r="M316">
        <f t="shared" si="51"/>
        <v>0.75</v>
      </c>
      <c r="N316">
        <f t="shared" si="52"/>
        <v>1</v>
      </c>
      <c r="O316">
        <f t="shared" si="53"/>
        <v>0.25</v>
      </c>
      <c r="P316">
        <f>IFERROR(LN('Дивиденды по годам'!I316),"")</f>
        <v>25.565602054122408</v>
      </c>
      <c r="Q316">
        <f>IFERROR('Дивиденды по годам'!G316/'Дивиденды по годам'!I316, "")</f>
        <v>0.8354258181528541</v>
      </c>
      <c r="R316">
        <f>IFERROR(IF(AND('Дивиденды по годам'!N316&lt;&gt;"",'Дивиденды по годам'!U316&lt;&gt;"",'Дивиденды по годам'!U316&lt;&gt;0),'Дивиденды по годам'!N316/'Дивиденды по годам'!U316-1,""),"")</f>
        <v>-1.2711290549818677E-2</v>
      </c>
      <c r="S316" t="str">
        <f>IFERROR(IF(AND('Дивиденды по годам'!L316&lt;&gt;"",'Дивиденды по годам'!I316&lt;&gt;"",'Дивиденды по годам'!J316&lt;&gt;"",'Дивиденды по годам'!K316&lt;&gt;"",('Дивиденды по годам'!I316-'Дивиденды по годам'!J316-'Дивиденды по годам'!K316)&lt;&gt;0),'Дивиденды по годам'!L316/('Дивиденды по годам'!I316-'Дивиденды по годам'!J316-'Дивиденды по годам'!K316),""),"")</f>
        <v/>
      </c>
      <c r="T316">
        <f>IFERROR(IF(AND('Дивиденды по годам'!Q316&lt;&gt;"",'Дивиденды по годам'!I316&lt;&gt;"",'Дивиденды по годам'!V316&lt;&gt;"",('Дивиденды по годам'!I316+'Дивиденды по годам'!V316)&lt;&gt;0),'Дивиденды по годам'!Q316/(('Дивиденды по годам'!I316+'Дивиденды по годам'!V316)/2),""),"")</f>
        <v>0.10838825565030938</v>
      </c>
      <c r="U316">
        <f>IFERROR(IF(AND('Дивиденды по годам'!J316&lt;&gt;"",'Дивиденды по годам'!K316&lt;&gt;"",'Дивиденды по годам'!M316&lt;&gt;"",'Дивиденды по годам'!M316&lt;&gt;0),('Дивиденды по годам'!J316+'Дивиденды по годам'!K316)/'Дивиденды по годам'!M316,""),"")</f>
        <v>0.15128398680073366</v>
      </c>
      <c r="V316">
        <f>IFERROR(IF(AND('Дивиденды по годам'!J316&lt;&gt;"",'Дивиденды по годам'!K316&lt;&gt;"",'Дивиденды по годам'!M316&lt;&gt;"",'Дивиденды по годам'!I316&lt;&gt;0),('Дивиденды по годам'!J316+'Дивиденды по годам'!K316)/'Дивиденды по годам'!I316,""),"")</f>
        <v>0.13140457831011088</v>
      </c>
      <c r="W316">
        <f>IFERROR('Дивиденды по годам'!I316,"")</f>
        <v>126765157000</v>
      </c>
      <c r="X316" cm="1">
        <f t="array" ref="X316">IFERROR(AVERAGE(_xlfn._xlws.FILTER(P$2:P$1073,($C$2:$C$1073=$C316)*($E$2:$E$1073=$E316)*(ROW(P$2:P$1073)&lt;&gt;ROW(P316))*(P$2:P$1073&lt;&gt;""))),"")</f>
        <v>25.965380813292608</v>
      </c>
      <c r="Y316" cm="1">
        <f t="array" ref="Y316">IFERROR(AVERAGE(_xlfn._xlws.FILTER(Q$2:Q$1073,($C$2:$C$1073=$C316)*($E$2:$E$1073=$E316)*(ROW(Q$2:Q$1073)&lt;&gt;ROW(Q316))*(Q$2:Q$1073&lt;&gt;""))),"")</f>
        <v>0.7737787195342446</v>
      </c>
      <c r="Z316" cm="1">
        <f t="array" ref="Z316">IFERROR(AVERAGE(_xlfn._xlws.FILTER(R$2:R$1073,($C$2:$C$1073=$C316)*($E$2:$E$1073=$E316)*(ROW(R$2:R$1073)&lt;&gt;ROW(R316))*(R$2:R$1073&lt;&gt;""))),"")</f>
        <v>8.9143532548769458E-3</v>
      </c>
      <c r="AA316" cm="1">
        <f t="array" ref="AA316">IFERROR(AVERAGE(_xlfn._xlws.FILTER(S$2:S$1073,($C$2:$C$1073=$C316)*($E$2:$E$1073=$E316)*(ROW(S$2:S$1073)&lt;&gt;ROW(S316))*(S$2:S$1073&lt;&gt;""))),"")</f>
        <v>0.4889220310718525</v>
      </c>
      <c r="AB316" cm="1">
        <f t="array" ref="AB316">IFERROR(AVERAGE(_xlfn._xlws.FILTER(T$2:T$1073,($C$2:$C$1073=$C316)*($E$2:$E$1073=$E316)*(ROW(T$2:T$1073)&lt;&gt;ROW(T316))*(T$2:T$1073&lt;&gt;""))),"")</f>
        <v>-2.5807297382428828E-2</v>
      </c>
      <c r="AC316" cm="1">
        <f t="array" ref="AC316">IFERROR(AVERAGE(_xlfn._xlws.FILTER(U$2:U$1073,($C$2:$C$1073=$C316)*($E$2:$E$1073=$E316)*(ROW(U$2:U$1073)&lt;&gt;ROW(U316))*(U$2:U$1073&lt;&gt;""))),"")</f>
        <v>0.96673922165285986</v>
      </c>
      <c r="AD316" cm="1">
        <f t="array" ref="AD316">IFERROR(AVERAGE(_xlfn._xlws.FILTER(V$2:V$1073,($C$2:$C$1073=$C316)*($E$2:$E$1073=$E316)*(ROW(V$2:V$1073)&lt;&gt;ROW(V316))*(V$2:V$1073&lt;&gt;""))),"")</f>
        <v>0.46922089141902318</v>
      </c>
      <c r="AE316">
        <f>IF('Дивиденды по годам'!M316&lt;0,1,0)</f>
        <v>0</v>
      </c>
    </row>
    <row r="317" spans="1:31" x14ac:dyDescent="0.2">
      <c r="A317" s="7" t="s">
        <v>2216</v>
      </c>
      <c r="B317" t="str">
        <f t="shared" si="44"/>
        <v>UPRO IV кв. 2014</v>
      </c>
      <c r="C317">
        <v>2014</v>
      </c>
      <c r="D317">
        <f>SUMIFS(Дивиденды!$C:$C,Дивиденды!$A:$A,A317,Дивиденды!$I:$I,C317)</f>
        <v>0.28000000000000003</v>
      </c>
      <c r="E317">
        <v>2</v>
      </c>
      <c r="F317">
        <f t="shared" si="45"/>
        <v>0.28000000000000003</v>
      </c>
      <c r="G317">
        <f t="shared" si="46"/>
        <v>1.5634583333333337E-2</v>
      </c>
      <c r="H317">
        <f t="shared" si="47"/>
        <v>1</v>
      </c>
      <c r="I317">
        <f t="shared" si="48"/>
        <v>1</v>
      </c>
      <c r="J317">
        <f t="shared" si="49"/>
        <v>-0.26179804903770088</v>
      </c>
      <c r="K317">
        <f t="shared" si="54"/>
        <v>1.4229199857697805</v>
      </c>
      <c r="L317">
        <f t="shared" si="50"/>
        <v>0</v>
      </c>
      <c r="M317">
        <f t="shared" si="51"/>
        <v>0.66666666666666663</v>
      </c>
      <c r="N317">
        <f t="shared" si="52"/>
        <v>1</v>
      </c>
      <c r="O317">
        <f t="shared" si="53"/>
        <v>0.25</v>
      </c>
      <c r="P317">
        <f>IFERROR(LN('Дивиденды по годам'!I317),"")</f>
        <v>25.572944940616178</v>
      </c>
      <c r="Q317">
        <f>IFERROR('Дивиденды по годам'!G317/'Дивиденды по годам'!I317, "")</f>
        <v>0.80655436100113387</v>
      </c>
      <c r="R317">
        <f>IFERROR(IF(AND('Дивиденды по годам'!N317&lt;&gt;"",'Дивиденды по годам'!U317&lt;&gt;"",'Дивиденды по годам'!U317&lt;&gt;0),'Дивиденды по годам'!N317/'Дивиденды по годам'!U317-1,""),"")</f>
        <v>-1.3802526574341334E-2</v>
      </c>
      <c r="S317" t="str">
        <f>IFERROR(IF(AND('Дивиденды по годам'!L317&lt;&gt;"",'Дивиденды по годам'!I317&lt;&gt;"",'Дивиденды по годам'!J317&lt;&gt;"",'Дивиденды по годам'!K317&lt;&gt;"",('Дивиденды по годам'!I317-'Дивиденды по годам'!J317-'Дивиденды по годам'!K317)&lt;&gt;0),'Дивиденды по годам'!L317/('Дивиденды по годам'!I317-'Дивиденды по годам'!J317-'Дивиденды по годам'!K317),""),"")</f>
        <v/>
      </c>
      <c r="T317">
        <f>IFERROR(IF(AND('Дивиденды по годам'!Q317&lt;&gt;"",'Дивиденды по годам'!I317&lt;&gt;"",'Дивиденды по годам'!V317&lt;&gt;"",('Дивиденды по годам'!I317+'Дивиденды по годам'!V317)&lt;&gt;0),'Дивиденды по годам'!Q317/(('Дивиденды по годам'!I317+'Дивиденды по годам'!V317)/2),""),"")</f>
        <v>0.13066662173088567</v>
      </c>
      <c r="U317">
        <f>IFERROR(IF(AND('Дивиденды по годам'!J317&lt;&gt;"",'Дивиденды по годам'!K317&lt;&gt;"",'Дивиденды по годам'!M317&lt;&gt;"",'Дивиденды по годам'!M317&lt;&gt;0),('Дивиденды по годам'!J317+'Дивиденды по годам'!K317)/'Дивиденды по годам'!M317,""),"")</f>
        <v>0.1202273902013701</v>
      </c>
      <c r="V317">
        <f>IFERROR(IF(AND('Дивиденды по годам'!J317&lt;&gt;"",'Дивиденды по годам'!K317&lt;&gt;"",'Дивиденды по годам'!M317&lt;&gt;"",'Дивиденды по годам'!I317&lt;&gt;0),('Дивиденды по годам'!J317+'Дивиденды по годам'!K317)/'Дивиденды по годам'!I317,""),"")</f>
        <v>0.10732409442314943</v>
      </c>
      <c r="W317">
        <f>IFERROR('Дивиденды по годам'!I317,"")</f>
        <v>127699405000</v>
      </c>
      <c r="X317" cm="1">
        <f t="array" ref="X317">IFERROR(AVERAGE(_xlfn._xlws.FILTER(P$2:P$1073,($C$2:$C$1073=$C317)*($E$2:$E$1073=$E317)*(ROW(P$2:P$1073)&lt;&gt;ROW(P317))*(P$2:P$1073&lt;&gt;""))),"")</f>
        <v>26.221303801921799</v>
      </c>
      <c r="Y317" cm="1">
        <f t="array" ref="Y317">IFERROR(AVERAGE(_xlfn._xlws.FILTER(Q$2:Q$1073,($C$2:$C$1073=$C317)*($E$2:$E$1073=$E317)*(ROW(Q$2:Q$1073)&lt;&gt;ROW(Q317))*(Q$2:Q$1073&lt;&gt;""))),"")</f>
        <v>0.76797639820297969</v>
      </c>
      <c r="Z317" cm="1">
        <f t="array" ref="Z317">IFERROR(AVERAGE(_xlfn._xlws.FILTER(R$2:R$1073,($C$2:$C$1073=$C317)*($E$2:$E$1073=$E317)*(ROW(R$2:R$1073)&lt;&gt;ROW(R317))*(R$2:R$1073&lt;&gt;""))),"")</f>
        <v>2.6768442451090866E-2</v>
      </c>
      <c r="AA317" cm="1">
        <f t="array" ref="AA317">IFERROR(AVERAGE(_xlfn._xlws.FILTER(S$2:S$1073,($C$2:$C$1073=$C317)*($E$2:$E$1073=$E317)*(ROW(S$2:S$1073)&lt;&gt;ROW(S317))*(S$2:S$1073&lt;&gt;""))),"")</f>
        <v>0.60466035791128681</v>
      </c>
      <c r="AB317" cm="1">
        <f t="array" ref="AB317">IFERROR(AVERAGE(_xlfn._xlws.FILTER(T$2:T$1073,($C$2:$C$1073=$C317)*($E$2:$E$1073=$E317)*(ROW(T$2:T$1073)&lt;&gt;ROW(T317))*(T$2:T$1073&lt;&gt;""))),"")</f>
        <v>6.166305679482181E-3</v>
      </c>
      <c r="AC317" cm="1">
        <f t="array" ref="AC317">IFERROR(AVERAGE(_xlfn._xlws.FILTER(U$2:U$1073,($C$2:$C$1073=$C317)*($E$2:$E$1073=$E317)*(ROW(U$2:U$1073)&lt;&gt;ROW(U317))*(U$2:U$1073&lt;&gt;""))),"")</f>
        <v>0.81713699927371908</v>
      </c>
      <c r="AD317" cm="1">
        <f t="array" ref="AD317">IFERROR(AVERAGE(_xlfn._xlws.FILTER(V$2:V$1073,($C$2:$C$1073=$C317)*($E$2:$E$1073=$E317)*(ROW(V$2:V$1073)&lt;&gt;ROW(V317))*(V$2:V$1073&lt;&gt;""))),"")</f>
        <v>0.43318885031760807</v>
      </c>
      <c r="AE317">
        <f>IF('Дивиденды по годам'!M317&lt;0,1,0)</f>
        <v>0</v>
      </c>
    </row>
    <row r="318" spans="1:31" x14ac:dyDescent="0.2">
      <c r="A318" s="7" t="s">
        <v>2216</v>
      </c>
      <c r="B318" t="str">
        <f t="shared" si="44"/>
        <v>UPRO IV кв. 2013</v>
      </c>
      <c r="C318">
        <v>2013</v>
      </c>
      <c r="D318">
        <f>SUMIFS(Дивиденды!$C:$C,Дивиденды!$A:$A,A318,Дивиденды!$I:$I,C318)</f>
        <v>0.37929999999999997</v>
      </c>
      <c r="E318">
        <v>2</v>
      </c>
      <c r="F318">
        <f t="shared" si="45"/>
        <v>0.37929999999999997</v>
      </c>
      <c r="G318">
        <f t="shared" si="46"/>
        <v>1.4834749999999999E-2</v>
      </c>
      <c r="H318">
        <f t="shared" si="47"/>
        <v>1</v>
      </c>
      <c r="I318">
        <f t="shared" si="48"/>
        <v>0.75</v>
      </c>
      <c r="J318">
        <f t="shared" si="49"/>
        <v>0.3079310344827586</v>
      </c>
      <c r="K318">
        <f t="shared" si="54"/>
        <v>-1.2708065121553156E-2</v>
      </c>
      <c r="L318">
        <f t="shared" si="50"/>
        <v>1</v>
      </c>
      <c r="M318">
        <f t="shared" si="51"/>
        <v>0.41666666666666669</v>
      </c>
      <c r="N318">
        <f t="shared" si="52"/>
        <v>0</v>
      </c>
      <c r="O318">
        <f t="shared" si="53"/>
        <v>0.33333333333333331</v>
      </c>
      <c r="P318">
        <f>IFERROR(LN('Дивиденды по годам'!I318),"")</f>
        <v>25.596503148976943</v>
      </c>
      <c r="Q318">
        <f>IFERROR('Дивиденды по годам'!G318/'Дивиденды по годам'!I318, "")</f>
        <v>0.69155503650698025</v>
      </c>
      <c r="R318" t="str">
        <f>IFERROR(IF(AND('Дивиденды по годам'!N318&lt;&gt;"",'Дивиденды по годам'!U318&lt;&gt;"",'Дивиденды по годам'!U318&lt;&gt;0),'Дивиденды по годам'!N318/'Дивиденды по годам'!U318-1,""),"")</f>
        <v/>
      </c>
      <c r="S318" t="str">
        <f>IFERROR(IF(AND('Дивиденды по годам'!L318&lt;&gt;"",'Дивиденды по годам'!I318&lt;&gt;"",'Дивиденды по годам'!J318&lt;&gt;"",'Дивиденды по годам'!K318&lt;&gt;"",('Дивиденды по годам'!I318-'Дивиденды по годам'!J318-'Дивиденды по годам'!K318)&lt;&gt;0),'Дивиденды по годам'!L318/('Дивиденды по годам'!I318-'Дивиденды по годам'!J318-'Дивиденды по годам'!K318),""),"")</f>
        <v/>
      </c>
      <c r="T318" t="str">
        <f>IFERROR(IF(AND('Дивиденды по годам'!Q318&lt;&gt;"",'Дивиденды по годам'!I318&lt;&gt;"",'Дивиденды по годам'!V318&lt;&gt;"",('Дивиденды по годам'!I318+'Дивиденды по годам'!V318)&lt;&gt;0),'Дивиденды по годам'!Q318/(('Дивиденды по годам'!I318+'Дивиденды по годам'!V318)/2),""),"")</f>
        <v/>
      </c>
      <c r="U318">
        <f>IFERROR(IF(AND('Дивиденды по годам'!J318&lt;&gt;"",'Дивиденды по годам'!K318&lt;&gt;"",'Дивиденды по годам'!M318&lt;&gt;"",'Дивиденды по годам'!M318&lt;&gt;0),('Дивиденды по годам'!J318+'Дивиденды по годам'!K318)/'Дивиденды по годам'!M318,""),"")</f>
        <v>9.5490459411750064E-2</v>
      </c>
      <c r="V318">
        <f>IFERROR(IF(AND('Дивиденды по годам'!J318&lt;&gt;"",'Дивиденды по годам'!K318&lt;&gt;"",'Дивиденды по годам'!M318&lt;&gt;"",'Дивиденды по годам'!I318&lt;&gt;0),('Дивиденды по годам'!J318+'Дивиденды по годам'!K318)/'Дивиденды по годам'!I318,""),"")</f>
        <v>8.7166856261829934E-2</v>
      </c>
      <c r="W318">
        <f>IFERROR('Дивиденды по годам'!I318,"")</f>
        <v>130743490000</v>
      </c>
      <c r="X318" cm="1">
        <f t="array" ref="X318">IFERROR(AVERAGE(_xlfn._xlws.FILTER(P$2:P$1073,($C$2:$C$1073=$C318)*($E$2:$E$1073=$E318)*(ROW(P$2:P$1073)&lt;&gt;ROW(P318))*(P$2:P$1073&lt;&gt;""))),"")</f>
        <v>26.159113316417894</v>
      </c>
      <c r="Y318" cm="1">
        <f t="array" ref="Y318">IFERROR(AVERAGE(_xlfn._xlws.FILTER(Q$2:Q$1073,($C$2:$C$1073=$C318)*($E$2:$E$1073=$E318)*(ROW(Q$2:Q$1073)&lt;&gt;ROW(Q318))*(Q$2:Q$1073&lt;&gt;""))),"")</f>
        <v>0.79197710894788798</v>
      </c>
      <c r="Z318" cm="1">
        <f t="array" ref="Z318">IFERROR(AVERAGE(_xlfn._xlws.FILTER(R$2:R$1073,($C$2:$C$1073=$C318)*($E$2:$E$1073=$E318)*(ROW(R$2:R$1073)&lt;&gt;ROW(R318))*(R$2:R$1073&lt;&gt;""))),"")</f>
        <v>9.7785091869587032E-2</v>
      </c>
      <c r="AA318" cm="1">
        <f t="array" ref="AA318">IFERROR(AVERAGE(_xlfn._xlws.FILTER(S$2:S$1073,($C$2:$C$1073=$C318)*($E$2:$E$1073=$E318)*(ROW(S$2:S$1073)&lt;&gt;ROW(S318))*(S$2:S$1073&lt;&gt;""))),"")</f>
        <v>0.4636519590056305</v>
      </c>
      <c r="AB318" cm="1">
        <f t="array" ref="AB318">IFERROR(AVERAGE(_xlfn._xlws.FILTER(T$2:T$1073,($C$2:$C$1073=$C318)*($E$2:$E$1073=$E318)*(ROW(T$2:T$1073)&lt;&gt;ROW(T318))*(T$2:T$1073&lt;&gt;""))),"")</f>
        <v>-4.8827551291955292E-3</v>
      </c>
      <c r="AC318" cm="1">
        <f t="array" ref="AC318">IFERROR(AVERAGE(_xlfn._xlws.FILTER(U$2:U$1073,($C$2:$C$1073=$C318)*($E$2:$E$1073=$E318)*(ROW(U$2:U$1073)&lt;&gt;ROW(U318))*(U$2:U$1073&lt;&gt;""))),"")</f>
        <v>0.7353434305320794</v>
      </c>
      <c r="AD318" cm="1">
        <f t="array" ref="AD318">IFERROR(AVERAGE(_xlfn._xlws.FILTER(V$2:V$1073,($C$2:$C$1073=$C318)*($E$2:$E$1073=$E318)*(ROW(V$2:V$1073)&lt;&gt;ROW(V318))*(V$2:V$1073&lt;&gt;""))),"")</f>
        <v>0.40660265910246973</v>
      </c>
      <c r="AE318">
        <f>IF('Дивиденды по годам'!M318&lt;0,1,0)</f>
        <v>0</v>
      </c>
    </row>
    <row r="319" spans="1:31" x14ac:dyDescent="0.2">
      <c r="A319" s="7" t="s">
        <v>2216</v>
      </c>
      <c r="B319" t="str">
        <f t="shared" si="44"/>
        <v>UPRO IV кв. 2012</v>
      </c>
      <c r="C319">
        <v>2012</v>
      </c>
      <c r="D319">
        <f>SUMIFS(Дивиденды!$C:$C,Дивиденды!$A:$A,A319,Дивиденды!$I:$I,C319)</f>
        <v>0.28999999999999998</v>
      </c>
      <c r="E319">
        <v>2</v>
      </c>
      <c r="F319">
        <f t="shared" si="45"/>
        <v>0.28999999999999998</v>
      </c>
      <c r="G319">
        <f t="shared" si="46"/>
        <v>1.2995666666666668E-2</v>
      </c>
      <c r="H319">
        <f t="shared" si="47"/>
        <v>1</v>
      </c>
      <c r="I319">
        <f t="shared" si="48"/>
        <v>0.66666666666666663</v>
      </c>
      <c r="J319">
        <f t="shared" si="49"/>
        <v>4.0086355785837648</v>
      </c>
      <c r="K319">
        <f t="shared" si="54"/>
        <v>0.40674907812485195</v>
      </c>
      <c r="L319">
        <f t="shared" si="50"/>
        <v>1</v>
      </c>
      <c r="M319">
        <f t="shared" si="51"/>
        <v>0.5</v>
      </c>
      <c r="N319">
        <f t="shared" si="52"/>
        <v>0</v>
      </c>
      <c r="O319">
        <f t="shared" si="53"/>
        <v>0.16666666666666666</v>
      </c>
      <c r="P319" t="str">
        <f>IFERROR(LN('Дивиденды по годам'!I319),"")</f>
        <v/>
      </c>
      <c r="Q319" t="str">
        <f>IFERROR('Дивиденды по годам'!G319/'Дивиденды по годам'!I319, "")</f>
        <v/>
      </c>
      <c r="R319" t="str">
        <f>IFERROR(IF(AND('Дивиденды по годам'!N319&lt;&gt;"",'Дивиденды по годам'!U319&lt;&gt;"",'Дивиденды по годам'!U319&lt;&gt;0),'Дивиденды по годам'!N319/'Дивиденды по годам'!U319-1,""),"")</f>
        <v/>
      </c>
      <c r="S319" t="str">
        <f>IFERROR(IF(AND('Дивиденды по годам'!L319&lt;&gt;"",'Дивиденды по годам'!I319&lt;&gt;"",'Дивиденды по годам'!J319&lt;&gt;"",'Дивиденды по годам'!K319&lt;&gt;"",('Дивиденды по годам'!I319-'Дивиденды по годам'!J319-'Дивиденды по годам'!K319)&lt;&gt;0),'Дивиденды по годам'!L319/('Дивиденды по годам'!I319-'Дивиденды по годам'!J319-'Дивиденды по годам'!K319),""),"")</f>
        <v/>
      </c>
      <c r="T319" t="str">
        <f>IFERROR(IF(AND('Дивиденды по годам'!Q319&lt;&gt;"",'Дивиденды по годам'!I319&lt;&gt;"",'Дивиденды по годам'!V319&lt;&gt;"",('Дивиденды по годам'!I319+'Дивиденды по годам'!V319)&lt;&gt;0),'Дивиденды по годам'!Q319/(('Дивиденды по годам'!I319+'Дивиденды по годам'!V319)/2),""),"")</f>
        <v/>
      </c>
      <c r="U319" t="str">
        <f>IFERROR(IF(AND('Дивиденды по годам'!J319&lt;&gt;"",'Дивиденды по годам'!K319&lt;&gt;"",'Дивиденды по годам'!M319&lt;&gt;"",'Дивиденды по годам'!M319&lt;&gt;0),('Дивиденды по годам'!J319+'Дивиденды по годам'!K319)/'Дивиденды по годам'!M319,""),"")</f>
        <v/>
      </c>
      <c r="V319" t="str">
        <f>IFERROR(IF(AND('Дивиденды по годам'!J319&lt;&gt;"",'Дивиденды по годам'!K319&lt;&gt;"",'Дивиденды по годам'!M319&lt;&gt;"",'Дивиденды по годам'!I319&lt;&gt;0),('Дивиденды по годам'!J319+'Дивиденды по годам'!K319)/'Дивиденды по годам'!I319,""),"")</f>
        <v/>
      </c>
      <c r="W319" t="str">
        <f>IFERROR('Дивиденды по годам'!I319,"")</f>
        <v/>
      </c>
      <c r="X319" cm="1">
        <f t="array" ref="X319">IFERROR(AVERAGE(_xlfn._xlws.FILTER(P$2:P$1073,($C$2:$C$1073=$C319)*($E$2:$E$1073=$E319)*(ROW(P$2:P$1073)&lt;&gt;ROW(P319))*(P$2:P$1073&lt;&gt;""))),"")</f>
        <v>26.104432848458512</v>
      </c>
      <c r="Y319" cm="1">
        <f t="array" ref="Y319">IFERROR(AVERAGE(_xlfn._xlws.FILTER(Q$2:Q$1073,($C$2:$C$1073=$C319)*($E$2:$E$1073=$E319)*(ROW(Q$2:Q$1073)&lt;&gt;ROW(Q319))*(Q$2:Q$1073&lt;&gt;""))),"")</f>
        <v>0.77770665398315908</v>
      </c>
      <c r="Z319" cm="1">
        <f t="array" ref="Z319">IFERROR(AVERAGE(_xlfn._xlws.FILTER(R$2:R$1073,($C$2:$C$1073=$C319)*($E$2:$E$1073=$E319)*(ROW(R$2:R$1073)&lt;&gt;ROW(R319))*(R$2:R$1073&lt;&gt;""))),"")</f>
        <v>-1.5857961955003351E-2</v>
      </c>
      <c r="AA319" cm="1">
        <f t="array" ref="AA319">IFERROR(AVERAGE(_xlfn._xlws.FILTER(S$2:S$1073,($C$2:$C$1073=$C319)*($E$2:$E$1073=$E319)*(ROW(S$2:S$1073)&lt;&gt;ROW(S319))*(S$2:S$1073&lt;&gt;""))),"")</f>
        <v>0.44715527647269881</v>
      </c>
      <c r="AB319" cm="1">
        <f t="array" ref="AB319">IFERROR(AVERAGE(_xlfn._xlws.FILTER(T$2:T$1073,($C$2:$C$1073=$C319)*($E$2:$E$1073=$E319)*(ROW(T$2:T$1073)&lt;&gt;ROW(T319))*(T$2:T$1073&lt;&gt;""))),"")</f>
        <v>1.9505350639917447E-2</v>
      </c>
      <c r="AC319" cm="1">
        <f t="array" ref="AC319">IFERROR(AVERAGE(_xlfn._xlws.FILTER(U$2:U$1073,($C$2:$C$1073=$C319)*($E$2:$E$1073=$E319)*(ROW(U$2:U$1073)&lt;&gt;ROW(U319))*(U$2:U$1073&lt;&gt;""))),"")</f>
        <v>0.65134515206701193</v>
      </c>
      <c r="AD319" cm="1">
        <f t="array" ref="AD319">IFERROR(AVERAGE(_xlfn._xlws.FILTER(V$2:V$1073,($C$2:$C$1073=$C319)*($E$2:$E$1073=$E319)*(ROW(V$2:V$1073)&lt;&gt;ROW(V319))*(V$2:V$1073&lt;&gt;""))),"")</f>
        <v>0.3781974892254244</v>
      </c>
      <c r="AE319">
        <f>IF('Дивиденды по годам'!M319&lt;0,1,0)</f>
        <v>0</v>
      </c>
    </row>
    <row r="320" spans="1:31" x14ac:dyDescent="0.2">
      <c r="A320" s="7" t="s">
        <v>2216</v>
      </c>
      <c r="B320" t="str">
        <f t="shared" si="44"/>
        <v>UPRO IV кв. 2011</v>
      </c>
      <c r="C320">
        <v>2011</v>
      </c>
      <c r="D320">
        <f>SUMIFS(Дивиденды!$C:$C,Дивиденды!$A:$A,A320,Дивиденды!$I:$I,C320)</f>
        <v>5.79E-2</v>
      </c>
      <c r="E320">
        <v>2</v>
      </c>
      <c r="F320">
        <f t="shared" si="45"/>
        <v>5.79E-2</v>
      </c>
      <c r="G320">
        <f t="shared" si="46"/>
        <v>6.7217499999999986E-3</v>
      </c>
      <c r="H320">
        <f t="shared" si="47"/>
        <v>1</v>
      </c>
      <c r="I320">
        <f t="shared" si="48"/>
        <v>0.75</v>
      </c>
      <c r="J320">
        <f t="shared" si="49"/>
        <v>1</v>
      </c>
      <c r="K320">
        <f t="shared" si="54"/>
        <v>-3.2563083397205927E-2</v>
      </c>
      <c r="L320">
        <f t="shared" si="50"/>
        <v>1</v>
      </c>
      <c r="M320">
        <f t="shared" si="51"/>
        <v>0.41666666666666669</v>
      </c>
      <c r="N320">
        <f t="shared" si="52"/>
        <v>0</v>
      </c>
      <c r="O320">
        <f t="shared" si="53"/>
        <v>0.41666666666666669</v>
      </c>
      <c r="P320" t="str">
        <f>IFERROR(LN('Дивиденды по годам'!I320),"")</f>
        <v/>
      </c>
      <c r="Q320" t="str">
        <f>IFERROR('Дивиденды по годам'!G320/'Дивиденды по годам'!I320, "")</f>
        <v/>
      </c>
      <c r="R320" t="str">
        <f>IFERROR(IF(AND('Дивиденды по годам'!N320&lt;&gt;"",'Дивиденды по годам'!U320&lt;&gt;"",'Дивиденды по годам'!U320&lt;&gt;0),'Дивиденды по годам'!N320/'Дивиденды по годам'!U320-1,""),"")</f>
        <v/>
      </c>
      <c r="S320" t="str">
        <f>IFERROR(IF(AND('Дивиденды по годам'!L320&lt;&gt;"",'Дивиденды по годам'!I320&lt;&gt;"",'Дивиденды по годам'!J320&lt;&gt;"",'Дивиденды по годам'!K320&lt;&gt;"",('Дивиденды по годам'!I320-'Дивиденды по годам'!J320-'Дивиденды по годам'!K320)&lt;&gt;0),'Дивиденды по годам'!L320/('Дивиденды по годам'!I320-'Дивиденды по годам'!J320-'Дивиденды по годам'!K320),""),"")</f>
        <v/>
      </c>
      <c r="T320" t="str">
        <f>IFERROR(IF(AND('Дивиденды по годам'!Q320&lt;&gt;"",'Дивиденды по годам'!I320&lt;&gt;"",'Дивиденды по годам'!V320&lt;&gt;"",('Дивиденды по годам'!I320+'Дивиденды по годам'!V320)&lt;&gt;0),'Дивиденды по годам'!Q320/(('Дивиденды по годам'!I320+'Дивиденды по годам'!V320)/2),""),"")</f>
        <v/>
      </c>
      <c r="U320" t="str">
        <f>IFERROR(IF(AND('Дивиденды по годам'!J320&lt;&gt;"",'Дивиденды по годам'!K320&lt;&gt;"",'Дивиденды по годам'!M320&lt;&gt;"",'Дивиденды по годам'!M320&lt;&gt;0),('Дивиденды по годам'!J320+'Дивиденды по годам'!K320)/'Дивиденды по годам'!M320,""),"")</f>
        <v/>
      </c>
      <c r="V320" t="str">
        <f>IFERROR(IF(AND('Дивиденды по годам'!J320&lt;&gt;"",'Дивиденды по годам'!K320&lt;&gt;"",'Дивиденды по годам'!M320&lt;&gt;"",'Дивиденды по годам'!I320&lt;&gt;0),('Дивиденды по годам'!J320+'Дивиденды по годам'!K320)/'Дивиденды по годам'!I320,""),"")</f>
        <v/>
      </c>
      <c r="W320" t="str">
        <f>IFERROR('Дивиденды по годам'!I320,"")</f>
        <v/>
      </c>
      <c r="X320" cm="1">
        <f t="array" ref="X320">IFERROR(AVERAGE(_xlfn._xlws.FILTER(P$2:P$1073,($C$2:$C$1073=$C320)*($E$2:$E$1073=$E320)*(ROW(P$2:P$1073)&lt;&gt;ROW(P320))*(P$2:P$1073&lt;&gt;""))),"")</f>
        <v>26.145009282501285</v>
      </c>
      <c r="Y320" cm="1">
        <f t="array" ref="Y320">IFERROR(AVERAGE(_xlfn._xlws.FILTER(Q$2:Q$1073,($C$2:$C$1073=$C320)*($E$2:$E$1073=$E320)*(ROW(Q$2:Q$1073)&lt;&gt;ROW(Q320))*(Q$2:Q$1073&lt;&gt;""))),"")</f>
        <v>0.76664474584196163</v>
      </c>
      <c r="Z320" cm="1">
        <f t="array" ref="Z320">IFERROR(AVERAGE(_xlfn._xlws.FILTER(R$2:R$1073,($C$2:$C$1073=$C320)*($E$2:$E$1073=$E320)*(ROW(R$2:R$1073)&lt;&gt;ROW(R320))*(R$2:R$1073&lt;&gt;""))),"")</f>
        <v>0.14348983045887875</v>
      </c>
      <c r="AA320" cm="1">
        <f t="array" ref="AA320">IFERROR(AVERAGE(_xlfn._xlws.FILTER(S$2:S$1073,($C$2:$C$1073=$C320)*($E$2:$E$1073=$E320)*(ROW(S$2:S$1073)&lt;&gt;ROW(S320))*(S$2:S$1073&lt;&gt;""))),"")</f>
        <v>0.39850050246333968</v>
      </c>
      <c r="AB320" cm="1">
        <f t="array" ref="AB320">IFERROR(AVERAGE(_xlfn._xlws.FILTER(T$2:T$1073,($C$2:$C$1073=$C320)*($E$2:$E$1073=$E320)*(ROW(T$2:T$1073)&lt;&gt;ROW(T320))*(T$2:T$1073&lt;&gt;""))),"")</f>
        <v>4.5214358774442007E-2</v>
      </c>
      <c r="AC320" cm="1">
        <f t="array" ref="AC320">IFERROR(AVERAGE(_xlfn._xlws.FILTER(U$2:U$1073,($C$2:$C$1073=$C320)*($E$2:$E$1073=$E320)*(ROW(U$2:U$1073)&lt;&gt;ROW(U320))*(U$2:U$1073&lt;&gt;""))),"")</f>
        <v>0.59470561642359621</v>
      </c>
      <c r="AD320" cm="1">
        <f t="array" ref="AD320">IFERROR(AVERAGE(_xlfn._xlws.FILTER(V$2:V$1073,($C$2:$C$1073=$C320)*($E$2:$E$1073=$E320)*(ROW(V$2:V$1073)&lt;&gt;ROW(V320))*(V$2:V$1073&lt;&gt;""))),"")</f>
        <v>0.35832233785091483</v>
      </c>
      <c r="AE320">
        <f>IF('Дивиденды по годам'!M320&lt;0,1,0)</f>
        <v>0</v>
      </c>
    </row>
    <row r="321" spans="1:31" x14ac:dyDescent="0.2">
      <c r="A321" s="7" t="s">
        <v>2216</v>
      </c>
      <c r="B321" t="str">
        <f t="shared" si="44"/>
        <v>UPRO IV кв. 2010</v>
      </c>
      <c r="C321">
        <v>2010</v>
      </c>
      <c r="D321">
        <f>SUMIFS(Дивиденды!$C:$C,Дивиденды!$A:$A,A321,Дивиденды!$I:$I,C321)</f>
        <v>0</v>
      </c>
      <c r="E321">
        <v>2</v>
      </c>
      <c r="F321">
        <f t="shared" si="45"/>
        <v>0</v>
      </c>
      <c r="G321">
        <f t="shared" si="46"/>
        <v>6.5618333333333336E-3</v>
      </c>
      <c r="H321">
        <f t="shared" si="47"/>
        <v>0</v>
      </c>
      <c r="I321">
        <f t="shared" si="48"/>
        <v>0.83333333333333337</v>
      </c>
      <c r="J321" t="str">
        <f t="shared" si="49"/>
        <v/>
      </c>
      <c r="K321" t="str">
        <f t="shared" si="54"/>
        <v/>
      </c>
      <c r="L321" t="str">
        <f t="shared" si="50"/>
        <v/>
      </c>
      <c r="M321" t="str">
        <f t="shared" si="51"/>
        <v/>
      </c>
      <c r="N321" t="str">
        <f t="shared" si="52"/>
        <v/>
      </c>
      <c r="O321" t="str">
        <f t="shared" si="53"/>
        <v/>
      </c>
      <c r="P321" t="str">
        <f>IFERROR(LN('Дивиденды по годам'!I321),"")</f>
        <v/>
      </c>
      <c r="Q321" t="str">
        <f>IFERROR('Дивиденды по годам'!G321/'Дивиденды по годам'!I321, "")</f>
        <v/>
      </c>
      <c r="R321" t="str">
        <f>IFERROR(IF(AND('Дивиденды по годам'!N321&lt;&gt;"",'Дивиденды по годам'!U321&lt;&gt;"",'Дивиденды по годам'!U321&lt;&gt;0),'Дивиденды по годам'!N321/'Дивиденды по годам'!U321-1,""),"")</f>
        <v/>
      </c>
      <c r="S321" t="str">
        <f>IFERROR(IF(AND('Дивиденды по годам'!L321&lt;&gt;"",'Дивиденды по годам'!I321&lt;&gt;"",'Дивиденды по годам'!J321&lt;&gt;"",'Дивиденды по годам'!K321&lt;&gt;"",('Дивиденды по годам'!I321-'Дивиденды по годам'!J321-'Дивиденды по годам'!K321)&lt;&gt;0),'Дивиденды по годам'!L321/('Дивиденды по годам'!I321-'Дивиденды по годам'!J321-'Дивиденды по годам'!K321),""),"")</f>
        <v/>
      </c>
      <c r="T321" t="str">
        <f>IFERROR(IF(AND('Дивиденды по годам'!Q321&lt;&gt;"",'Дивиденды по годам'!I321&lt;&gt;"",'Дивиденды по годам'!V321&lt;&gt;"",('Дивиденды по годам'!I321+'Дивиденды по годам'!V321)&lt;&gt;0),'Дивиденды по годам'!Q321/(('Дивиденды по годам'!I321+'Дивиденды по годам'!V321)/2),""),"")</f>
        <v/>
      </c>
      <c r="U321" t="str">
        <f>IFERROR(IF(AND('Дивиденды по годам'!J321&lt;&gt;"",'Дивиденды по годам'!K321&lt;&gt;"",'Дивиденды по годам'!M321&lt;&gt;"",'Дивиденды по годам'!M321&lt;&gt;0),('Дивиденды по годам'!J321+'Дивиденды по годам'!K321)/'Дивиденды по годам'!M321,""),"")</f>
        <v/>
      </c>
      <c r="V321" t="str">
        <f>IFERROR(IF(AND('Дивиденды по годам'!J321&lt;&gt;"",'Дивиденды по годам'!K321&lt;&gt;"",'Дивиденды по годам'!M321&lt;&gt;"",'Дивиденды по годам'!I321&lt;&gt;0),('Дивиденды по годам'!J321+'Дивиденды по годам'!K321)/'Дивиденды по годам'!I321,""),"")</f>
        <v/>
      </c>
      <c r="W321" t="str">
        <f>IFERROR('Дивиденды по годам'!I321,"")</f>
        <v/>
      </c>
      <c r="X321" cm="1">
        <f t="array" ref="X321">IFERROR(AVERAGE(_xlfn._xlws.FILTER(P$2:P$1073,($C$2:$C$1073=$C321)*($E$2:$E$1073=$E321)*(ROW(P$2:P$1073)&lt;&gt;ROW(P321))*(P$2:P$1073&lt;&gt;""))),"")</f>
        <v>24.730948088520865</v>
      </c>
      <c r="Y321" cm="1">
        <f t="array" ref="Y321">IFERROR(AVERAGE(_xlfn._xlws.FILTER(Q$2:Q$1073,($C$2:$C$1073=$C321)*($E$2:$E$1073=$E321)*(ROW(Q$2:Q$1073)&lt;&gt;ROW(Q321))*(Q$2:Q$1073&lt;&gt;""))),"")</f>
        <v>0.82035195639515091</v>
      </c>
      <c r="Z321" t="str" cm="1">
        <f t="array" ref="Z321">IFERROR(AVERAGE(_xlfn._xlws.FILTER(R$2:R$1073,($C$2:$C$1073=$C321)*($E$2:$E$1073=$E321)*(ROW(R$2:R$1073)&lt;&gt;ROW(R321))*(R$2:R$1073&lt;&gt;""))),"")</f>
        <v/>
      </c>
      <c r="AA321" t="str" cm="1">
        <f t="array" ref="AA321">IFERROR(AVERAGE(_xlfn._xlws.FILTER(S$2:S$1073,($C$2:$C$1073=$C321)*($E$2:$E$1073=$E321)*(ROW(S$2:S$1073)&lt;&gt;ROW(S321))*(S$2:S$1073&lt;&gt;""))),"")</f>
        <v/>
      </c>
      <c r="AB321" t="str" cm="1">
        <f t="array" ref="AB321">IFERROR(AVERAGE(_xlfn._xlws.FILTER(T$2:T$1073,($C$2:$C$1073=$C321)*($E$2:$E$1073=$E321)*(ROW(T$2:T$1073)&lt;&gt;ROW(T321))*(T$2:T$1073&lt;&gt;""))),"")</f>
        <v/>
      </c>
      <c r="AC321" cm="1">
        <f t="array" ref="AC321">IFERROR(AVERAGE(_xlfn._xlws.FILTER(U$2:U$1073,($C$2:$C$1073=$C321)*($E$2:$E$1073=$E321)*(ROW(U$2:U$1073)&lt;&gt;ROW(U321))*(U$2:U$1073&lt;&gt;""))),"")</f>
        <v>0.91314375247969903</v>
      </c>
      <c r="AD321" cm="1">
        <f t="array" ref="AD321">IFERROR(AVERAGE(_xlfn._xlws.FILTER(V$2:V$1073,($C$2:$C$1073=$C321)*($E$2:$E$1073=$E321)*(ROW(V$2:V$1073)&lt;&gt;ROW(V321))*(V$2:V$1073&lt;&gt;""))),"")</f>
        <v>0.47730012514539921</v>
      </c>
      <c r="AE321">
        <f>IF('Дивиденды по годам'!M321&lt;0,1,0)</f>
        <v>0</v>
      </c>
    </row>
    <row r="322" spans="1:31" x14ac:dyDescent="0.2">
      <c r="A322" s="7" t="s">
        <v>2218</v>
      </c>
      <c r="B322" t="str">
        <f t="shared" si="44"/>
        <v>ALRS IV кв. 2025</v>
      </c>
      <c r="C322">
        <v>2025</v>
      </c>
      <c r="D322">
        <f>SUMIFS(Дивиденды!$C:$C,Дивиденды!$A:$A,A322,Дивиденды!$I:$I,C322)</f>
        <v>0</v>
      </c>
      <c r="E322">
        <v>3</v>
      </c>
      <c r="F322">
        <f t="shared" si="45"/>
        <v>0</v>
      </c>
      <c r="G322">
        <f t="shared" si="46"/>
        <v>10.684999999999999</v>
      </c>
      <c r="H322">
        <f t="shared" si="47"/>
        <v>0</v>
      </c>
      <c r="I322">
        <f t="shared" si="48"/>
        <v>0.1</v>
      </c>
      <c r="J322">
        <f t="shared" si="49"/>
        <v>-1</v>
      </c>
      <c r="K322">
        <f t="shared" si="54"/>
        <v>-0.34741116251599569</v>
      </c>
      <c r="L322">
        <f t="shared" si="50"/>
        <v>0</v>
      </c>
      <c r="M322">
        <f t="shared" si="51"/>
        <v>0</v>
      </c>
      <c r="N322">
        <f t="shared" si="52"/>
        <v>1</v>
      </c>
      <c r="O322">
        <f t="shared" si="53"/>
        <v>0.4</v>
      </c>
      <c r="P322">
        <f>IFERROR(LN('Дивиденды по годам'!I322),"")</f>
        <v>27.273605898054665</v>
      </c>
      <c r="Q322">
        <f>IFERROR('Дивиденды по годам'!G322/'Дивиденды по годам'!I322, "")</f>
        <v>0.44396138857039924</v>
      </c>
      <c r="R322">
        <f>IFERROR(IF(AND('Дивиденды по годам'!N322&lt;&gt;"",'Дивиденды по годам'!U322&lt;&gt;"",'Дивиденды по годам'!U322&lt;&gt;0),'Дивиденды по годам'!N322/'Дивиденды по годам'!U322-1,""),"")</f>
        <v>-1.6639686782366492E-2</v>
      </c>
      <c r="S322">
        <f>IFERROR(IF(AND('Дивиденды по годам'!L322&lt;&gt;"",'Дивиденды по годам'!I322&lt;&gt;"",'Дивиденды по годам'!J322&lt;&gt;"",'Дивиденды по годам'!K322&lt;&gt;"",('Дивиденды по годам'!I322-'Дивиденды по годам'!J322-'Дивиденды по годам'!K322)&lt;&gt;0),'Дивиденды по годам'!L322/('Дивиденды по годам'!I322-'Дивиденды по годам'!J322-'Дивиденды по годам'!K322),""),"")</f>
        <v>0.94364590350959154</v>
      </c>
      <c r="T322">
        <f>IFERROR(IF(AND('Дивиденды по годам'!Q322&lt;&gt;"",'Дивиденды по годам'!I322&lt;&gt;"",'Дивиденды по годам'!V322&lt;&gt;"",('Дивиденды по годам'!I322+'Дивиденды по годам'!V322)&lt;&gt;0),'Дивиденды по годам'!Q322/(('Дивиденды по годам'!I322+'Дивиденды по годам'!V322)/2),""),"")</f>
        <v>5.3362607006096963E-2</v>
      </c>
      <c r="U322">
        <f>IFERROR(IF(AND('Дивиденды по годам'!J322&lt;&gt;"",'Дивиденды по годам'!K322&lt;&gt;"",'Дивиденды по годам'!M322&lt;&gt;"",'Дивиденды по годам'!M322&lt;&gt;0),('Дивиденды по годам'!J322+'Дивиденды по годам'!K322)/'Дивиденды по годам'!M322,""),"")</f>
        <v>0.7198375271075006</v>
      </c>
      <c r="V322">
        <f>IFERROR(IF(AND('Дивиденды по годам'!J322&lt;&gt;"",'Дивиденды по годам'!K322&lt;&gt;"",'Дивиденды по годам'!M322&lt;&gt;"",'Дивиденды по годам'!I322&lt;&gt;0),('Дивиденды по годам'!J322+'Дивиденды по годам'!K322)/'Дивиденды по годам'!I322,""),"")</f>
        <v>0.41854972679783037</v>
      </c>
      <c r="W322">
        <f>IFERROR('Дивиденды по годам'!I322,"")</f>
        <v>699482000000</v>
      </c>
      <c r="X322" cm="1">
        <f t="array" ref="X322">IFERROR(AVERAGE(_xlfn._xlws.FILTER(P$2:P$1073,($C$2:$C$1073=$C322)*($E$2:$E$1073=$E322)*(ROW(P$2:P$1073)&lt;&gt;ROW(P322))*(P$2:P$1073&lt;&gt;""))),"")</f>
        <v>27.562075600981228</v>
      </c>
      <c r="Y322" cm="1">
        <f t="array" ref="Y322">IFERROR(AVERAGE(_xlfn._xlws.FILTER(Q$2:Q$1073,($C$2:$C$1073=$C322)*($E$2:$E$1073=$E322)*(ROW(Q$2:Q$1073)&lt;&gt;ROW(Q322))*(Q$2:Q$1073&lt;&gt;""))),"")</f>
        <v>0.54129852910549947</v>
      </c>
      <c r="Z322" cm="1">
        <f t="array" ref="Z322">IFERROR(AVERAGE(_xlfn._xlws.FILTER(R$2:R$1073,($C$2:$C$1073=$C322)*($E$2:$E$1073=$E322)*(ROW(R$2:R$1073)&lt;&gt;ROW(R322))*(R$2:R$1073&lt;&gt;""))),"")</f>
        <v>-0.10470488613308263</v>
      </c>
      <c r="AA322" cm="1">
        <f t="array" ref="AA322">IFERROR(AVERAGE(_xlfn._xlws.FILTER(S$2:S$1073,($C$2:$C$1073=$C322)*($E$2:$E$1073=$E322)*(ROW(S$2:S$1073)&lt;&gt;ROW(S322))*(S$2:S$1073&lt;&gt;""))),"")</f>
        <v>0.99310632915342434</v>
      </c>
      <c r="AB322" cm="1">
        <f t="array" ref="AB322">IFERROR(AVERAGE(_xlfn._xlws.FILTER(T$2:T$1073,($C$2:$C$1073=$C322)*($E$2:$E$1073=$E322)*(ROW(T$2:T$1073)&lt;&gt;ROW(T322))*(T$2:T$1073&lt;&gt;""))),"")</f>
        <v>9.5936121881562732E-3</v>
      </c>
      <c r="AC322" cm="1">
        <f t="array" ref="AC322">IFERROR(AVERAGE(_xlfn._xlws.FILTER(U$2:U$1073,($C$2:$C$1073=$C322)*($E$2:$E$1073=$E322)*(ROW(U$2:U$1073)&lt;&gt;ROW(U322))*(U$2:U$1073&lt;&gt;""))),"")</f>
        <v>3.5393178177131261</v>
      </c>
      <c r="AD322" cm="1">
        <f t="array" ref="AD322">IFERROR(AVERAGE(_xlfn._xlws.FILTER(V$2:V$1073,($C$2:$C$1073=$C322)*($E$2:$E$1073=$E322)*(ROW(V$2:V$1073)&lt;&gt;ROW(V322))*(V$2:V$1073&lt;&gt;""))),"")</f>
        <v>0.5396617025344117</v>
      </c>
      <c r="AE322">
        <f>IF('Дивиденды по годам'!M322&lt;0,1,0)</f>
        <v>0</v>
      </c>
    </row>
    <row r="323" spans="1:31" x14ac:dyDescent="0.2">
      <c r="A323" s="7" t="s">
        <v>2218</v>
      </c>
      <c r="B323" t="str">
        <f t="shared" ref="B323:B386" si="55">A323&amp;" "&amp;
"IV"
&amp;" кв. "&amp;C323</f>
        <v>ALRS IV кв. 2024</v>
      </c>
      <c r="C323">
        <v>2024</v>
      </c>
      <c r="D323">
        <f>SUMIFS(Дивиденды!$C:$C,Дивиденды!$A:$A,A323,Дивиденды!$I:$I,C323)</f>
        <v>2.4900000000000002</v>
      </c>
      <c r="E323">
        <v>3</v>
      </c>
      <c r="F323">
        <f t="shared" ref="F323:F386" si="56">D323</f>
        <v>2.4900000000000002</v>
      </c>
      <c r="G323">
        <f t="shared" ref="G323:G386" si="57">AVERAGEIFS($D:$D,$E:$E,E323,$C:$C,C323,$A:$A,"&lt;&gt;"&amp;A323)</f>
        <v>32.809000000000005</v>
      </c>
      <c r="H323">
        <f t="shared" ref="H323:H386" si="58">IF(D323&gt;0,1,0)</f>
        <v>1</v>
      </c>
      <c r="I323">
        <f t="shared" ref="I323:I386" si="59">IFERROR((COUNTIFS($E:$E,E323,$C:$C,C323,$H:$H,1)-H323)/(COUNTIFS($E:$E,E323,$C:$C,C323)-1),0)</f>
        <v>0.4</v>
      </c>
      <c r="J323">
        <f t="shared" ref="J323:J386" si="60">IF(A324&lt;&gt;A323,"",IF(D323=D324,0,IF(AND(D324=0,D323&lt;&gt;0), 1,(D323-D324)/D324)))</f>
        <v>-0.56994818652849732</v>
      </c>
      <c r="K323">
        <f t="shared" si="54"/>
        <v>-0.14761965432614482</v>
      </c>
      <c r="L323">
        <f t="shared" ref="L323:L386" si="61">IF(J323&lt;&gt;"",IF(J323&gt;0,1,0),"")</f>
        <v>0</v>
      </c>
      <c r="M323">
        <f t="shared" ref="M323:M386" si="62">IFERROR(AVERAGEIFS($L:$L,$E:$E,E323,$C:$C,C323,$A:$A,"&lt;&gt;"&amp;A323),"")</f>
        <v>0.1</v>
      </c>
      <c r="N323">
        <f t="shared" ref="N323:N386" si="63">IF(J323&lt;&gt;"",IF(J323&lt;0,1,0),"")</f>
        <v>1</v>
      </c>
      <c r="O323">
        <f t="shared" ref="O323:O386" si="64">IFERROR(AVERAGEIFS($N:$N,$E:$E,E323,$C:$C,C323,$A:$A,"&lt;&gt;"&amp;A323),"")</f>
        <v>0.4</v>
      </c>
      <c r="P323">
        <f>IFERROR(LN('Дивиденды по годам'!I323),"")</f>
        <v>27.213587166144251</v>
      </c>
      <c r="Q323">
        <f>IFERROR('Дивиденды по годам'!G323/'Дивиденды по годам'!I323, "")</f>
        <v>0.45974177780139208</v>
      </c>
      <c r="R323">
        <f>IFERROR(IF(AND('Дивиденды по годам'!N323&lt;&gt;"",'Дивиденды по годам'!U323&lt;&gt;"",'Дивиденды по годам'!U323&lt;&gt;0),'Дивиденды по годам'!N323/'Дивиденды по годам'!U323-1,""),"")</f>
        <v>-0.25886094981817731</v>
      </c>
      <c r="S323">
        <f>IFERROR(IF(AND('Дивиденды по годам'!L323&lt;&gt;"",'Дивиденды по годам'!I323&lt;&gt;"",'Дивиденды по годам'!J323&lt;&gt;"",'Дивиденды по годам'!K323&lt;&gt;"",('Дивиденды по годам'!I323-'Дивиденды по годам'!J323-'Дивиденды по годам'!K323)&lt;&gt;0),'Дивиденды по годам'!L323/('Дивиденды по годам'!I323-'Дивиденды по годам'!J323-'Дивиденды по годам'!K323),""),"")</f>
        <v>0.94412296417158825</v>
      </c>
      <c r="T323">
        <f>IFERROR(IF(AND('Дивиденды по годам'!Q323&lt;&gt;"",'Дивиденды по годам'!I323&lt;&gt;"",'Дивиденды по годам'!V323&lt;&gt;"",('Дивиденды по годам'!I323+'Дивиденды по годам'!V323)&lt;&gt;0),'Дивиденды по годам'!Q323/(('Дивиденды по годам'!I323+'Дивиденды по годам'!V323)/2),""),"")</f>
        <v>3.0662316226843147E-2</v>
      </c>
      <c r="U323">
        <f>IFERROR(IF(AND('Дивиденды по годам'!J323&lt;&gt;"",'Дивиденды по годам'!K323&lt;&gt;"",'Дивиденды по годам'!M323&lt;&gt;"",'Дивиденды по годам'!M323&lt;&gt;0),('Дивиденды по годам'!J323+'Дивиденды по годам'!K323)/'Дивиденды по годам'!M323,""),"")</f>
        <v>0.78541711274877835</v>
      </c>
      <c r="V323">
        <f>IFERROR(IF(AND('Дивиденды по годам'!J323&lt;&gt;"",'Дивиденды по годам'!K323&lt;&gt;"",'Дивиденды по годам'!M323&lt;&gt;"",'Дивиденды по годам'!I323&lt;&gt;0),('Дивиденды по годам'!J323+'Дивиденды по годам'!K323)/'Дивиденды по годам'!I323,""),"")</f>
        <v>0.43990679104647545</v>
      </c>
      <c r="W323">
        <f>IFERROR('Дивиденды по годам'!I323,"")</f>
        <v>658735000000</v>
      </c>
      <c r="X323" cm="1">
        <f t="array" ref="X323">IFERROR(AVERAGE(_xlfn._xlws.FILTER(P$2:P$1073,($C$2:$C$1073=$C323)*($E$2:$E$1073=$E323)*(ROW(P$2:P$1073)&lt;&gt;ROW(P323))*(P$2:P$1073&lt;&gt;""))),"")</f>
        <v>27.289800368507837</v>
      </c>
      <c r="Y323" cm="1">
        <f t="array" ref="Y323">IFERROR(AVERAGE(_xlfn._xlws.FILTER(Q$2:Q$1073,($C$2:$C$1073=$C323)*($E$2:$E$1073=$E323)*(ROW(Q$2:Q$1073)&lt;&gt;ROW(Q323))*(Q$2:Q$1073&lt;&gt;""))),"")</f>
        <v>0.48217870338457802</v>
      </c>
      <c r="Z323" cm="1">
        <f t="array" ref="Z323">IFERROR(AVERAGE(_xlfn._xlws.FILTER(R$2:R$1073,($C$2:$C$1073=$C323)*($E$2:$E$1073=$E323)*(ROW(R$2:R$1073)&lt;&gt;ROW(R323))*(R$2:R$1073&lt;&gt;""))),"")</f>
        <v>5.3697204823108732E-2</v>
      </c>
      <c r="AA323" cm="1">
        <f t="array" ref="AA323">IFERROR(AVERAGE(_xlfn._xlws.FILTER(S$2:S$1073,($C$2:$C$1073=$C323)*($E$2:$E$1073=$E323)*(ROW(S$2:S$1073)&lt;&gt;ROW(S323))*(S$2:S$1073&lt;&gt;""))),"")</f>
        <v>1.195474461284209</v>
      </c>
      <c r="AB323" cm="1">
        <f t="array" ref="AB323">IFERROR(AVERAGE(_xlfn._xlws.FILTER(T$2:T$1073,($C$2:$C$1073=$C323)*($E$2:$E$1073=$E323)*(ROW(T$2:T$1073)&lt;&gt;ROW(T323))*(T$2:T$1073&lt;&gt;""))),"")</f>
        <v>4.7009519387159672E-2</v>
      </c>
      <c r="AC323" cm="1">
        <f t="array" ref="AC323">IFERROR(AVERAGE(_xlfn._xlws.FILTER(U$2:U$1073,($C$2:$C$1073=$C323)*($E$2:$E$1073=$E323)*(ROW(U$2:U$1073)&lt;&gt;ROW(U323))*(U$2:U$1073&lt;&gt;""))),"")</f>
        <v>2.7426779048023375</v>
      </c>
      <c r="AD323" cm="1">
        <f t="array" ref="AD323">IFERROR(AVERAGE(_xlfn._xlws.FILTER(V$2:V$1073,($C$2:$C$1073=$C323)*($E$2:$E$1073=$E323)*(ROW(V$2:V$1073)&lt;&gt;ROW(V323))*(V$2:V$1073&lt;&gt;""))),"")</f>
        <v>0.63680368805040888</v>
      </c>
      <c r="AE323">
        <f>IF('Дивиденды по годам'!M323&lt;0,1,0)</f>
        <v>0</v>
      </c>
    </row>
    <row r="324" spans="1:31" x14ac:dyDescent="0.2">
      <c r="A324" s="7" t="s">
        <v>2218</v>
      </c>
      <c r="B324" t="str">
        <f t="shared" si="55"/>
        <v>ALRS IV кв. 2023</v>
      </c>
      <c r="C324">
        <v>2023</v>
      </c>
      <c r="D324">
        <f>SUMIFS(Дивиденды!$C:$C,Дивиденды!$A:$A,A324,Дивиденды!$I:$I,C324)</f>
        <v>5.79</v>
      </c>
      <c r="E324">
        <v>3</v>
      </c>
      <c r="F324">
        <f t="shared" si="56"/>
        <v>5.79</v>
      </c>
      <c r="G324">
        <f t="shared" si="57"/>
        <v>24.664999999999999</v>
      </c>
      <c r="H324">
        <f t="shared" si="58"/>
        <v>1</v>
      </c>
      <c r="I324">
        <f t="shared" si="59"/>
        <v>0.5</v>
      </c>
      <c r="J324">
        <f t="shared" si="60"/>
        <v>1</v>
      </c>
      <c r="K324">
        <f t="shared" ref="K324:K387" si="65">IFERROR(AVERAGEIFS($J:$J,$E:$E,E324,$C:$C,C324,$A:$A,"&lt;&gt;"&amp;A324),"")</f>
        <v>0.33287037037037037</v>
      </c>
      <c r="L324">
        <f t="shared" si="61"/>
        <v>1</v>
      </c>
      <c r="M324">
        <f t="shared" si="62"/>
        <v>0.5</v>
      </c>
      <c r="N324">
        <f t="shared" si="63"/>
        <v>0</v>
      </c>
      <c r="O324">
        <f t="shared" si="64"/>
        <v>0.1</v>
      </c>
      <c r="P324">
        <f>IFERROR(LN('Дивиденды по годам'!I324),"")</f>
        <v>27.114541203424977</v>
      </c>
      <c r="Q324">
        <f>IFERROR('Дивиденды по годам'!G324/'Дивиденды по годам'!I324, "")</f>
        <v>0.47415175900116824</v>
      </c>
      <c r="R324">
        <f>IFERROR(IF(AND('Дивиденды по годам'!N324&lt;&gt;"",'Дивиденды по годам'!U324&lt;&gt;"",'Дивиденды по годам'!U324&lt;&gt;0),'Дивиденды по годам'!N324/'Дивиденды по годам'!U324-1,""),"")</f>
        <v>9.1822677439336031E-2</v>
      </c>
      <c r="S324">
        <f>IFERROR(IF(AND('Дивиденды по годам'!L324&lt;&gt;"",'Дивиденды по годам'!I324&lt;&gt;"",'Дивиденды по годам'!J324&lt;&gt;"",'Дивиденды по годам'!K324&lt;&gt;"",('Дивиденды по годам'!I324-'Дивиденды по годам'!J324-'Дивиденды по годам'!K324)&lt;&gt;0),'Дивиденды по годам'!L324/('Дивиденды по годам'!I324-'Дивиденды по годам'!J324-'Дивиденды по годам'!K324),""),"")</f>
        <v>0.94068229372621837</v>
      </c>
      <c r="T324">
        <f>IFERROR(IF(AND('Дивиденды по годам'!Q324&lt;&gt;"",'Дивиденды по годам'!I324&lt;&gt;"",'Дивиденды по годам'!V324&lt;&gt;"",('Дивиденды по годам'!I324+'Дивиденды по годам'!V324)&lt;&gt;0),'Дивиденды по годам'!Q324/(('Дивиденды по годам'!I324+'Дивиденды по годам'!V324)/2),""),"")</f>
        <v>0.15248511971358245</v>
      </c>
      <c r="U324">
        <f>IFERROR(IF(AND('Дивиденды по годам'!J324&lt;&gt;"",'Дивиденды по годам'!K324&lt;&gt;"",'Дивиденды по годам'!M324&lt;&gt;"",'Дивиденды по годам'!M324&lt;&gt;0),('Дивиденды по годам'!J324+'Дивиденды по годам'!K324)/'Дивиденды по годам'!M324,""),"")</f>
        <v>0.56240130519380194</v>
      </c>
      <c r="V324">
        <f>IFERROR(IF(AND('Дивиденды по годам'!J324&lt;&gt;"",'Дивиденды по годам'!K324&lt;&gt;"",'Дивиденды по годам'!M324&lt;&gt;"",'Дивиденды по годам'!I324&lt;&gt;0),('Дивиденды по годам'!J324+'Дивиденды по годам'!K324)/'Дивиденды по годам'!I324,""),"")</f>
        <v>0.35995957205376311</v>
      </c>
      <c r="W324">
        <f>IFERROR('Дивиденды по годам'!I324,"")</f>
        <v>596617000000</v>
      </c>
      <c r="X324" cm="1">
        <f t="array" ref="X324">IFERROR(AVERAGE(_xlfn._xlws.FILTER(P$2:P$1073,($C$2:$C$1073=$C324)*($E$2:$E$1073=$E324)*(ROW(P$2:P$1073)&lt;&gt;ROW(P324))*(P$2:P$1073&lt;&gt;""))),"")</f>
        <v>27.220481521309704</v>
      </c>
      <c r="Y324" cm="1">
        <f t="array" ref="Y324">IFERROR(AVERAGE(_xlfn._xlws.FILTER(Q$2:Q$1073,($C$2:$C$1073=$C324)*($E$2:$E$1073=$E324)*(ROW(Q$2:Q$1073)&lt;&gt;ROW(Q324))*(Q$2:Q$1073&lt;&gt;""))),"")</f>
        <v>0.453938942429847</v>
      </c>
      <c r="Z324" cm="1">
        <f t="array" ref="Z324">IFERROR(AVERAGE(_xlfn._xlws.FILTER(R$2:R$1073,($C$2:$C$1073=$C324)*($E$2:$E$1073=$E324)*(ROW(R$2:R$1073)&lt;&gt;ROW(R324))*(R$2:R$1073&lt;&gt;""))),"")</f>
        <v>0.13474072629181838</v>
      </c>
      <c r="AA324" cm="1">
        <f t="array" ref="AA324">IFERROR(AVERAGE(_xlfn._xlws.FILTER(S$2:S$1073,($C$2:$C$1073=$C324)*($E$2:$E$1073=$E324)*(ROW(S$2:S$1073)&lt;&gt;ROW(S324))*(S$2:S$1073&lt;&gt;""))),"")</f>
        <v>5.4365464570074393E-2</v>
      </c>
      <c r="AB324" cm="1">
        <f t="array" ref="AB324">IFERROR(AVERAGE(_xlfn._xlws.FILTER(T$2:T$1073,($C$2:$C$1073=$C324)*($E$2:$E$1073=$E324)*(ROW(T$2:T$1073)&lt;&gt;ROW(T324))*(T$2:T$1073&lt;&gt;""))),"")</f>
        <v>0.11498981251535767</v>
      </c>
      <c r="AC324" cm="1">
        <f t="array" ref="AC324">IFERROR(AVERAGE(_xlfn._xlws.FILTER(U$2:U$1073,($C$2:$C$1073=$C324)*($E$2:$E$1073=$E324)*(ROW(U$2:U$1073)&lt;&gt;ROW(U324))*(U$2:U$1073&lt;&gt;""))),"")</f>
        <v>-0.66945015613383352</v>
      </c>
      <c r="AD324" cm="1">
        <f t="array" ref="AD324">IFERROR(AVERAGE(_xlfn._xlws.FILTER(V$2:V$1073,($C$2:$C$1073=$C324)*($E$2:$E$1073=$E324)*(ROW(V$2:V$1073)&lt;&gt;ROW(V324))*(V$2:V$1073&lt;&gt;""))),"")</f>
        <v>0.62168231598100321</v>
      </c>
      <c r="AE324">
        <f>IF('Дивиденды по годам'!M324&lt;0,1,0)</f>
        <v>0</v>
      </c>
    </row>
    <row r="325" spans="1:31" x14ac:dyDescent="0.2">
      <c r="A325" s="7" t="s">
        <v>2218</v>
      </c>
      <c r="B325" t="str">
        <f t="shared" si="55"/>
        <v>ALRS IV кв. 2022</v>
      </c>
      <c r="C325">
        <v>2022</v>
      </c>
      <c r="D325">
        <f>SUMIFS(Дивиденды!$C:$C,Дивиденды!$A:$A,A325,Дивиденды!$I:$I,C325)</f>
        <v>0</v>
      </c>
      <c r="E325">
        <v>3</v>
      </c>
      <c r="F325">
        <f t="shared" si="56"/>
        <v>0</v>
      </c>
      <c r="G325">
        <f t="shared" si="57"/>
        <v>1.73</v>
      </c>
      <c r="H325">
        <f t="shared" si="58"/>
        <v>0</v>
      </c>
      <c r="I325">
        <f t="shared" si="59"/>
        <v>0.2</v>
      </c>
      <c r="J325">
        <f t="shared" si="60"/>
        <v>-1</v>
      </c>
      <c r="K325">
        <f t="shared" si="65"/>
        <v>-0.50242800677583288</v>
      </c>
      <c r="L325">
        <f t="shared" si="61"/>
        <v>0</v>
      </c>
      <c r="M325">
        <f t="shared" si="62"/>
        <v>0.1</v>
      </c>
      <c r="N325">
        <f t="shared" si="63"/>
        <v>1</v>
      </c>
      <c r="O325">
        <f t="shared" si="64"/>
        <v>0.7</v>
      </c>
      <c r="P325">
        <f>IFERROR(LN('Дивиденды по годам'!I325),"")</f>
        <v>26.978311215895918</v>
      </c>
      <c r="Q325">
        <f>IFERROR('Дивиденды по годам'!G325/'Дивиденды по годам'!I325, "")</f>
        <v>0.47624910445553775</v>
      </c>
      <c r="R325">
        <f>IFERROR(IF(AND('Дивиденды по годам'!N325&lt;&gt;"",'Дивиденды по годам'!U325&lt;&gt;"",'Дивиденды по годам'!U325&lt;&gt;0),'Дивиденды по годам'!N325/'Дивиденды по годам'!U325-1,""),"")</f>
        <v>-0.11013421525041867</v>
      </c>
      <c r="S325">
        <f>IFERROR(IF(AND('Дивиденды по годам'!L325&lt;&gt;"",'Дивиденды по годам'!I325&lt;&gt;"",'Дивиденды по годам'!J325&lt;&gt;"",'Дивиденды по годам'!K325&lt;&gt;"",('Дивиденды по годам'!I325-'Дивиденды по годам'!J325-'Дивиденды по годам'!K325)&lt;&gt;0),'Дивиденды по годам'!L325/('Дивиденды по годам'!I325-'Дивиденды по годам'!J325-'Дивиденды по годам'!K325),""),"")</f>
        <v>0.9293593096964563</v>
      </c>
      <c r="T325">
        <f>IFERROR(IF(AND('Дивиденды по годам'!Q325&lt;&gt;"",'Дивиденды по годам'!I325&lt;&gt;"",'Дивиденды по годам'!V325&lt;&gt;"",('Дивиденды по годам'!I325+'Дивиденды по годам'!V325)&lt;&gt;0),'Дивиденды по годам'!Q325/(('Дивиденды по годам'!I325+'Дивиденды по годам'!V325)/2),""),"")</f>
        <v>0.21281043149355497</v>
      </c>
      <c r="U325">
        <f>IFERROR(IF(AND('Дивиденды по годам'!J325&lt;&gt;"",'Дивиденды по годам'!K325&lt;&gt;"",'Дивиденды по годам'!M325&lt;&gt;"",'Дивиденды по годам'!M325&lt;&gt;0),('Дивиденды по годам'!J325+'Дивиденды по годам'!K325)/'Дивиденды по годам'!M325,""),"")</f>
        <v>0.61540275463630922</v>
      </c>
      <c r="V325">
        <f>IFERROR(IF(AND('Дивиденды по годам'!J325&lt;&gt;"",'Дивиденды по годам'!K325&lt;&gt;"",'Дивиденды по годам'!M325&lt;&gt;"",'Дивиденды по годам'!I325&lt;&gt;0),('Дивиденды по годам'!J325+'Дивиденды по годам'!K325)/'Дивиденды по годам'!I325,""),"")</f>
        <v>0.38095933219753647</v>
      </c>
      <c r="W325">
        <f>IFERROR('Дивиденды по годам'!I325,"")</f>
        <v>520633000000</v>
      </c>
      <c r="X325" cm="1">
        <f t="array" ref="X325">IFERROR(AVERAGE(_xlfn._xlws.FILTER(P$2:P$1073,($C$2:$C$1073=$C325)*($E$2:$E$1073=$E325)*(ROW(P$2:P$1073)&lt;&gt;ROW(P325))*(P$2:P$1073&lt;&gt;""))),"")</f>
        <v>27.093285597088141</v>
      </c>
      <c r="Y325" cm="1">
        <f t="array" ref="Y325">IFERROR(AVERAGE(_xlfn._xlws.FILTER(Q$2:Q$1073,($C$2:$C$1073=$C325)*($E$2:$E$1073=$E325)*(ROW(Q$2:Q$1073)&lt;&gt;ROW(Q325))*(Q$2:Q$1073&lt;&gt;""))),"")</f>
        <v>0.47134005954634067</v>
      </c>
      <c r="Z325" cm="1">
        <f t="array" ref="Z325">IFERROR(AVERAGE(_xlfn._xlws.FILTER(R$2:R$1073,($C$2:$C$1073=$C325)*($E$2:$E$1073=$E325)*(ROW(R$2:R$1073)&lt;&gt;ROW(R325))*(R$2:R$1073&lt;&gt;""))),"")</f>
        <v>-1.2847651936121297E-2</v>
      </c>
      <c r="AA325" cm="1">
        <f t="array" ref="AA325">IFERROR(AVERAGE(_xlfn._xlws.FILTER(S$2:S$1073,($C$2:$C$1073=$C325)*($E$2:$E$1073=$E325)*(ROW(S$2:S$1073)&lt;&gt;ROW(S325))*(S$2:S$1073&lt;&gt;""))),"")</f>
        <v>0.84406251266803911</v>
      </c>
      <c r="AB325" cm="1">
        <f t="array" ref="AB325">IFERROR(AVERAGE(_xlfn._xlws.FILTER(T$2:T$1073,($C$2:$C$1073=$C325)*($E$2:$E$1073=$E325)*(ROW(T$2:T$1073)&lt;&gt;ROW(T325))*(T$2:T$1073&lt;&gt;""))),"")</f>
        <v>0.15325564476595246</v>
      </c>
      <c r="AC325" cm="1">
        <f t="array" ref="AC325">IFERROR(AVERAGE(_xlfn._xlws.FILTER(U$2:U$1073,($C$2:$C$1073=$C325)*($E$2:$E$1073=$E325)*(ROW(U$2:U$1073)&lt;&gt;ROW(U325))*(U$2:U$1073&lt;&gt;""))),"")</f>
        <v>1.2071526269304862</v>
      </c>
      <c r="AD325" cm="1">
        <f t="array" ref="AD325">IFERROR(AVERAGE(_xlfn._xlws.FILTER(V$2:V$1073,($C$2:$C$1073=$C325)*($E$2:$E$1073=$E325)*(ROW(V$2:V$1073)&lt;&gt;ROW(V325))*(V$2:V$1073&lt;&gt;""))),"")</f>
        <v>0.58289185560660051</v>
      </c>
      <c r="AE325">
        <f>IF('Дивиденды по годам'!M325&lt;0,1,0)</f>
        <v>0</v>
      </c>
    </row>
    <row r="326" spans="1:31" x14ac:dyDescent="0.2">
      <c r="A326" s="7" t="s">
        <v>2218</v>
      </c>
      <c r="B326" t="str">
        <f t="shared" si="55"/>
        <v>ALRS IV кв. 2021</v>
      </c>
      <c r="C326">
        <v>2021</v>
      </c>
      <c r="D326">
        <f>SUMIFS(Дивиденды!$C:$C,Дивиденды!$A:$A,A326,Дивиденды!$I:$I,C326)</f>
        <v>8.7899999999999991</v>
      </c>
      <c r="E326">
        <v>3</v>
      </c>
      <c r="F326">
        <f t="shared" si="56"/>
        <v>8.7899999999999991</v>
      </c>
      <c r="G326">
        <f t="shared" si="57"/>
        <v>35.975999999999999</v>
      </c>
      <c r="H326">
        <f t="shared" si="58"/>
        <v>1</v>
      </c>
      <c r="I326">
        <f t="shared" si="59"/>
        <v>0.7</v>
      </c>
      <c r="J326">
        <f t="shared" si="60"/>
        <v>-7.8616352201257872E-2</v>
      </c>
      <c r="K326">
        <f t="shared" si="65"/>
        <v>0.73855796179092237</v>
      </c>
      <c r="L326">
        <f t="shared" si="61"/>
        <v>0</v>
      </c>
      <c r="M326">
        <f t="shared" si="62"/>
        <v>0.5</v>
      </c>
      <c r="N326">
        <f t="shared" si="63"/>
        <v>1</v>
      </c>
      <c r="O326">
        <f t="shared" si="64"/>
        <v>0.1</v>
      </c>
      <c r="P326">
        <f>IFERROR(LN('Дивиденды по годам'!I326),"")</f>
        <v>26.772381176656022</v>
      </c>
      <c r="Q326">
        <f>IFERROR('Дивиденды по годам'!G326/'Дивиденды по годам'!I326, "")</f>
        <v>0.54255931731400064</v>
      </c>
      <c r="R326">
        <f>IFERROR(IF(AND('Дивиденды по годам'!N326&lt;&gt;"",'Дивиденды по годам'!U326&lt;&gt;"",'Дивиденды по годам'!U326&lt;&gt;0),'Дивиденды по годам'!N326/'Дивиденды по годам'!U326-1,""),"")</f>
        <v>0.49899767026060582</v>
      </c>
      <c r="S326">
        <f>IFERROR(IF(AND('Дивиденды по годам'!L326&lt;&gt;"",'Дивиденды по годам'!I326&lt;&gt;"",'Дивиденды по годам'!J326&lt;&gt;"",'Дивиденды по годам'!K326&lt;&gt;"",('Дивиденды по годам'!I326-'Дивиденды по годам'!J326-'Дивиденды по годам'!K326)&lt;&gt;0),'Дивиденды по годам'!L326/('Дивиденды по годам'!I326-'Дивиденды по годам'!J326-'Дивиденды по годам'!K326),""),"")</f>
        <v>0.89892572226273948</v>
      </c>
      <c r="T326">
        <f>IFERROR(IF(AND('Дивиденды по годам'!Q326&lt;&gt;"",'Дивиденды по годам'!I326&lt;&gt;"",'Дивиденды по годам'!V326&lt;&gt;"",('Дивиденды по годам'!I326+'Дивиденды по годам'!V326)&lt;&gt;0),'Дивиденды по годам'!Q326/(('Дивиденды по годам'!I326+'Дивиденды по годам'!V326)/2),""),"")</f>
        <v>0.19375487999456836</v>
      </c>
      <c r="U326">
        <f>IFERROR(IF(AND('Дивиденды по годам'!J326&lt;&gt;"",'Дивиденды по годам'!K326&lt;&gt;"",'Дивиденды по годам'!M326&lt;&gt;"",'Дивиденды по годам'!M326&lt;&gt;0),('Дивиденды по годам'!J326+'Дивиденды по годам'!K326)/'Дивиденды по годам'!M326,""),"")</f>
        <v>0.89592794598633552</v>
      </c>
      <c r="V326">
        <f>IFERROR(IF(AND('Дивиденды по годам'!J326&lt;&gt;"",'Дивиденды по годам'!K326&lt;&gt;"",'Дивиденды по годам'!M326&lt;&gt;"",'Дивиденды по годам'!I326&lt;&gt;0),('Дивиденды по годам'!J326+'Дивиденды по годам'!K326)/'Дивиденды по годам'!I326,""),"")</f>
        <v>0.47255379503372369</v>
      </c>
      <c r="W326">
        <f>IFERROR('Дивиденды по годам'!I326,"")</f>
        <v>423738000000</v>
      </c>
      <c r="X326" cm="1">
        <f t="array" ref="X326">IFERROR(AVERAGE(_xlfn._xlws.FILTER(P$2:P$1073,($C$2:$C$1073=$C326)*($E$2:$E$1073=$E326)*(ROW(P$2:P$1073)&lt;&gt;ROW(P326))*(P$2:P$1073&lt;&gt;""))),"")</f>
        <v>27.006058084526369</v>
      </c>
      <c r="Y326" cm="1">
        <f t="array" ref="Y326">IFERROR(AVERAGE(_xlfn._xlws.FILTER(Q$2:Q$1073,($C$2:$C$1073=$C326)*($E$2:$E$1073=$E326)*(ROW(Q$2:Q$1073)&lt;&gt;ROW(Q326))*(Q$2:Q$1073&lt;&gt;""))),"")</f>
        <v>0.48221540136848839</v>
      </c>
      <c r="Z326" cm="1">
        <f t="array" ref="Z326">IFERROR(AVERAGE(_xlfn._xlws.FILTER(R$2:R$1073,($C$2:$C$1073=$C326)*($E$2:$E$1073=$E326)*(ROW(R$2:R$1073)&lt;&gt;ROW(R326))*(R$2:R$1073&lt;&gt;""))),"")</f>
        <v>0.70153155137727841</v>
      </c>
      <c r="AA326" cm="1">
        <f t="array" ref="AA326">IFERROR(AVERAGE(_xlfn._xlws.FILTER(S$2:S$1073,($C$2:$C$1073=$C326)*($E$2:$E$1073=$E326)*(ROW(S$2:S$1073)&lt;&gt;ROW(S326))*(S$2:S$1073&lt;&gt;""))),"")</f>
        <v>1.0490547205199809</v>
      </c>
      <c r="AB326" cm="1">
        <f t="array" ref="AB326">IFERROR(AVERAGE(_xlfn._xlws.FILTER(T$2:T$1073,($C$2:$C$1073=$C326)*($E$2:$E$1073=$E326)*(ROW(T$2:T$1073)&lt;&gt;ROW(T326))*(T$2:T$1073&lt;&gt;""))),"")</f>
        <v>0.29671780330944453</v>
      </c>
      <c r="AC326" cm="1">
        <f t="array" ref="AC326">IFERROR(AVERAGE(_xlfn._xlws.FILTER(U$2:U$1073,($C$2:$C$1073=$C326)*($E$2:$E$1073=$E326)*(ROW(U$2:U$1073)&lt;&gt;ROW(U326))*(U$2:U$1073&lt;&gt;""))),"")</f>
        <v>2.1633834337505071</v>
      </c>
      <c r="AD326" cm="1">
        <f t="array" ref="AD326">IFERROR(AVERAGE(_xlfn._xlws.FILTER(V$2:V$1073,($C$2:$C$1073=$C326)*($E$2:$E$1073=$E326)*(ROW(V$2:V$1073)&lt;&gt;ROW(V326))*(V$2:V$1073&lt;&gt;""))),"")</f>
        <v>0.68591518499445103</v>
      </c>
      <c r="AE326">
        <f>IF('Дивиденды по годам'!M326&lt;0,1,0)</f>
        <v>0</v>
      </c>
    </row>
    <row r="327" spans="1:31" x14ac:dyDescent="0.2">
      <c r="A327" s="7" t="s">
        <v>2218</v>
      </c>
      <c r="B327" t="str">
        <f t="shared" si="55"/>
        <v>ALRS IV кв. 2020</v>
      </c>
      <c r="C327">
        <v>2020</v>
      </c>
      <c r="D327">
        <f>SUMIFS(Дивиденды!$C:$C,Дивиденды!$A:$A,A327,Дивиденды!$I:$I,C327)</f>
        <v>9.5399999999999991</v>
      </c>
      <c r="E327">
        <v>3</v>
      </c>
      <c r="F327">
        <f t="shared" si="56"/>
        <v>9.5399999999999991</v>
      </c>
      <c r="G327">
        <f t="shared" si="57"/>
        <v>23.03</v>
      </c>
      <c r="H327">
        <f t="shared" si="58"/>
        <v>1</v>
      </c>
      <c r="I327">
        <f t="shared" si="59"/>
        <v>0.7</v>
      </c>
      <c r="J327">
        <f t="shared" si="60"/>
        <v>0.47449768160741879</v>
      </c>
      <c r="K327">
        <f t="shared" si="65"/>
        <v>0.61192978054924263</v>
      </c>
      <c r="L327">
        <f t="shared" si="61"/>
        <v>1</v>
      </c>
      <c r="M327">
        <f t="shared" si="62"/>
        <v>0.6</v>
      </c>
      <c r="N327">
        <f t="shared" si="63"/>
        <v>0</v>
      </c>
      <c r="O327">
        <f t="shared" si="64"/>
        <v>0.1</v>
      </c>
      <c r="P327">
        <f>IFERROR(LN('Дивиденды по годам'!I327),"")</f>
        <v>26.974950042805816</v>
      </c>
      <c r="Q327">
        <f>IFERROR('Дивиденды по годам'!G327/'Дивиденды по годам'!I327, "")</f>
        <v>0.43487972309910078</v>
      </c>
      <c r="R327">
        <f>IFERROR(IF(AND('Дивиденды по годам'!N327&lt;&gt;"",'Дивиденды по годам'!U327&lt;&gt;"",'Дивиденды по годам'!U327&lt;&gt;0),'Дивиденды по годам'!N327/'Дивиденды по годам'!U327-1,""),"")</f>
        <v>-4.8837049506991415E-2</v>
      </c>
      <c r="S327">
        <f>IFERROR(IF(AND('Дивиденды по годам'!L327&lt;&gt;"",'Дивиденды по годам'!I327&lt;&gt;"",'Дивиденды по годам'!J327&lt;&gt;"",'Дивиденды по годам'!K327&lt;&gt;"",('Дивиденды по годам'!I327-'Дивиденды по годам'!J327-'Дивиденды по годам'!K327)&lt;&gt;0),'Дивиденды по годам'!L327/('Дивиденды по годам'!I327-'Дивиденды по годам'!J327-'Дивиденды по годам'!K327),""),"")</f>
        <v>0.91137946384783119</v>
      </c>
      <c r="T327">
        <f>IFERROR(IF(AND('Дивиденды по годам'!Q327&lt;&gt;"",'Дивиденды по годам'!I327&lt;&gt;"",'Дивиденды по годам'!V327&lt;&gt;"",('Дивиденды по годам'!I327+'Дивиденды по годам'!V327)&lt;&gt;0),'Дивиденды по годам'!Q327/(('Дивиденды по годам'!I327+'Дивиденды по годам'!V327)/2),""),"")</f>
        <v>6.7956888630366794E-2</v>
      </c>
      <c r="U327">
        <f>IFERROR(IF(AND('Дивиденды по годам'!J327&lt;&gt;"",'Дивиденды по годам'!K327&lt;&gt;"",'Дивиденды по годам'!M327&lt;&gt;"",'Дивиденды по годам'!M327&lt;&gt;0),('Дивиденды по годам'!J327+'Дивиденды по годам'!K327)/'Дивиденды по годам'!M327,""),"")</f>
        <v>0.95751375087711355</v>
      </c>
      <c r="V327">
        <f>IFERROR(IF(AND('Дивиденды по годам'!J327&lt;&gt;"",'Дивиденды по годам'!K327&lt;&gt;"",'Дивиденды по годам'!M327&lt;&gt;"",'Дивиденды по годам'!I327&lt;&gt;0),('Дивиденды по годам'!J327+'Дивиденды по годам'!K327)/'Дивиденды по годам'!I327,""),"")</f>
        <v>0.48914790532024377</v>
      </c>
      <c r="W327">
        <f>IFERROR('Дивиденды по годам'!I327,"")</f>
        <v>518886000000</v>
      </c>
      <c r="X327" cm="1">
        <f t="array" ref="X327">IFERROR(AVERAGE(_xlfn._xlws.FILTER(P$2:P$1073,($C$2:$C$1073=$C327)*($E$2:$E$1073=$E327)*(ROW(P$2:P$1073)&lt;&gt;ROW(P327))*(P$2:P$1073&lt;&gt;""))),"")</f>
        <v>26.803046008142342</v>
      </c>
      <c r="Y327" cm="1">
        <f t="array" ref="Y327">IFERROR(AVERAGE(_xlfn._xlws.FILTER(Q$2:Q$1073,($C$2:$C$1073=$C327)*($E$2:$E$1073=$E327)*(ROW(Q$2:Q$1073)&lt;&gt;ROW(Q327))*(Q$2:Q$1073&lt;&gt;""))),"")</f>
        <v>0.51323960734305907</v>
      </c>
      <c r="Z327" cm="1">
        <f t="array" ref="Z327">IFERROR(AVERAGE(_xlfn._xlws.FILTER(R$2:R$1073,($C$2:$C$1073=$C327)*($E$2:$E$1073=$E327)*(ROW(R$2:R$1073)&lt;&gt;ROW(R327))*(R$2:R$1073&lt;&gt;""))),"")</f>
        <v>3.4835173391033036E-2</v>
      </c>
      <c r="AA327" cm="1">
        <f t="array" ref="AA327">IFERROR(AVERAGE(_xlfn._xlws.FILTER(S$2:S$1073,($C$2:$C$1073=$C327)*($E$2:$E$1073=$E327)*(ROW(S$2:S$1073)&lt;&gt;ROW(S327))*(S$2:S$1073&lt;&gt;""))),"")</f>
        <v>1.0539623331607262</v>
      </c>
      <c r="AB327" cm="1">
        <f t="array" ref="AB327">IFERROR(AVERAGE(_xlfn._xlws.FILTER(T$2:T$1073,($C$2:$C$1073=$C327)*($E$2:$E$1073=$E327)*(ROW(T$2:T$1073)&lt;&gt;ROW(T327))*(T$2:T$1073&lt;&gt;""))),"")</f>
        <v>9.6933002643762881E-2</v>
      </c>
      <c r="AC327" cm="1">
        <f t="array" ref="AC327">IFERROR(AVERAGE(_xlfn._xlws.FILTER(U$2:U$1073,($C$2:$C$1073=$C327)*($E$2:$E$1073=$E327)*(ROW(U$2:U$1073)&lt;&gt;ROW(U327))*(U$2:U$1073&lt;&gt;""))),"")</f>
        <v>1.7290700820034004</v>
      </c>
      <c r="AD327" cm="1">
        <f t="array" ref="AD327">IFERROR(AVERAGE(_xlfn._xlws.FILTER(V$2:V$1073,($C$2:$C$1073=$C327)*($E$2:$E$1073=$E327)*(ROW(V$2:V$1073)&lt;&gt;ROW(V327))*(V$2:V$1073&lt;&gt;""))),"")</f>
        <v>0.79169953452642905</v>
      </c>
      <c r="AE327">
        <f>IF('Дивиденды по годам'!M327&lt;0,1,0)</f>
        <v>0</v>
      </c>
    </row>
    <row r="328" spans="1:31" x14ac:dyDescent="0.2">
      <c r="A328" s="7" t="s">
        <v>2218</v>
      </c>
      <c r="B328" t="str">
        <f t="shared" si="55"/>
        <v>ALRS IV кв. 2019</v>
      </c>
      <c r="C328">
        <v>2019</v>
      </c>
      <c r="D328">
        <f>SUMIFS(Дивиденды!$C:$C,Дивиденды!$A:$A,A328,Дивиденды!$I:$I,C328)</f>
        <v>6.47</v>
      </c>
      <c r="E328">
        <v>3</v>
      </c>
      <c r="F328">
        <f t="shared" si="56"/>
        <v>6.47</v>
      </c>
      <c r="G328">
        <f t="shared" si="57"/>
        <v>18.944000000000003</v>
      </c>
      <c r="H328">
        <f t="shared" si="58"/>
        <v>1</v>
      </c>
      <c r="I328">
        <f t="shared" si="59"/>
        <v>0.7</v>
      </c>
      <c r="J328">
        <f t="shared" si="60"/>
        <v>-0.35557768924302785</v>
      </c>
      <c r="K328">
        <f t="shared" si="65"/>
        <v>0.28716436458450395</v>
      </c>
      <c r="L328">
        <f t="shared" si="61"/>
        <v>0</v>
      </c>
      <c r="M328">
        <f t="shared" si="62"/>
        <v>0.4</v>
      </c>
      <c r="N328">
        <f t="shared" si="63"/>
        <v>1</v>
      </c>
      <c r="O328">
        <f t="shared" si="64"/>
        <v>0.3</v>
      </c>
      <c r="P328">
        <f>IFERROR(LN('Дивиденды по годам'!I328),"")</f>
        <v>26.787278926643914</v>
      </c>
      <c r="Q328">
        <f>IFERROR('Дивиденды по годам'!G328/'Дивиденды по годам'!I328, "")</f>
        <v>0.52606847741677476</v>
      </c>
      <c r="R328">
        <f>IFERROR(IF(AND('Дивиденды по годам'!N328&lt;&gt;"",'Дивиденды по годам'!U328&lt;&gt;"",'Дивиденды по годам'!U328&lt;&gt;0),'Дивиденды по годам'!N328/'Дивиденды по годам'!U328-1,""),"")</f>
        <v>-0.20762241807602</v>
      </c>
      <c r="S328">
        <f>IFERROR(IF(AND('Дивиденды по годам'!L328&lt;&gt;"",'Дивиденды по годам'!I328&lt;&gt;"",'Дивиденды по годам'!J328&lt;&gt;"",'Дивиденды по годам'!K328&lt;&gt;"",('Дивиденды по годам'!I328-'Дивиденды по годам'!J328-'Дивиденды по годам'!K328)&lt;&gt;0),'Дивиденды по годам'!L328/('Дивиденды по годам'!I328-'Дивиденды по годам'!J328-'Дивиденды по годам'!K328),""),"")</f>
        <v>0.90853500074813165</v>
      </c>
      <c r="T328">
        <f>IFERROR(IF(AND('Дивиденды по годам'!Q328&lt;&gt;"",'Дивиденды по годам'!I328&lt;&gt;"",'Дивиденды по годам'!V328&lt;&gt;"",('Дивиденды по годам'!I328+'Дивиденды по годам'!V328)&lt;&gt;0),'Дивиденды по годам'!Q328/(('Дивиденды по годам'!I328+'Дивиденды по годам'!V328)/2),""),"")</f>
        <v>0.14912812466569197</v>
      </c>
      <c r="U328">
        <f>IFERROR(IF(AND('Дивиденды по годам'!J328&lt;&gt;"",'Дивиденды по годам'!K328&lt;&gt;"",'Дивиденды по годам'!M328&lt;&gt;"",'Дивиденды по годам'!M328&lt;&gt;0),('Дивиденды по годам'!J328+'Дивиденды по годам'!K328)/'Дивиденды по годам'!M328,""),"")</f>
        <v>0.6935259050424073</v>
      </c>
      <c r="V328">
        <f>IFERROR(IF(AND('Дивиденды по годам'!J328&lt;&gt;"",'Дивиденды по годам'!K328&lt;&gt;"",'Дивиденды по годам'!M328&lt;&gt;"",'Дивиденды по годам'!I328&lt;&gt;0),('Дивиденды по годам'!J328+'Дивиденды по годам'!K328)/'Дивиденды по годам'!I328,""),"")</f>
        <v>0.40951597077875274</v>
      </c>
      <c r="W328">
        <f>IFERROR('Дивиденды по годам'!I328,"")</f>
        <v>430098000000</v>
      </c>
      <c r="X328" cm="1">
        <f t="array" ref="X328">IFERROR(AVERAGE(_xlfn._xlws.FILTER(P$2:P$1073,($C$2:$C$1073=$C328)*($E$2:$E$1073=$E328)*(ROW(P$2:P$1073)&lt;&gt;ROW(P328))*(P$2:P$1073&lt;&gt;""))),"")</f>
        <v>26.70690121229228</v>
      </c>
      <c r="Y328" cm="1">
        <f t="array" ref="Y328">IFERROR(AVERAGE(_xlfn._xlws.FILTER(Q$2:Q$1073,($C$2:$C$1073=$C328)*($E$2:$E$1073=$E328)*(ROW(Q$2:Q$1073)&lt;&gt;ROW(Q328))*(Q$2:Q$1073&lt;&gt;""))),"")</f>
        <v>0.49818228945267184</v>
      </c>
      <c r="Z328" cm="1">
        <f t="array" ref="Z328">IFERROR(AVERAGE(_xlfn._xlws.FILTER(R$2:R$1073,($C$2:$C$1073=$C328)*($E$2:$E$1073=$E328)*(ROW(R$2:R$1073)&lt;&gt;ROW(R328))*(R$2:R$1073&lt;&gt;""))),"")</f>
        <v>6.3520806074780931E-2</v>
      </c>
      <c r="AA328" cm="1">
        <f t="array" ref="AA328">IFERROR(AVERAGE(_xlfn._xlws.FILTER(S$2:S$1073,($C$2:$C$1073=$C328)*($E$2:$E$1073=$E328)*(ROW(S$2:S$1073)&lt;&gt;ROW(S328))*(S$2:S$1073&lt;&gt;""))),"")</f>
        <v>0.90814531920807673</v>
      </c>
      <c r="AB328" cm="1">
        <f t="array" ref="AB328">IFERROR(AVERAGE(_xlfn._xlws.FILTER(T$2:T$1073,($C$2:$C$1073=$C328)*($E$2:$E$1073=$E328)*(ROW(T$2:T$1073)&lt;&gt;ROW(T328))*(T$2:T$1073&lt;&gt;""))),"")</f>
        <v>0.13688891238785963</v>
      </c>
      <c r="AC328" cm="1">
        <f t="array" ref="AC328">IFERROR(AVERAGE(_xlfn._xlws.FILTER(U$2:U$1073,($C$2:$C$1073=$C328)*($E$2:$E$1073=$E328)*(ROW(U$2:U$1073)&lt;&gt;ROW(U328))*(U$2:U$1073&lt;&gt;""))),"")</f>
        <v>1.645552742507191</v>
      </c>
      <c r="AD328" cm="1">
        <f t="array" ref="AD328">IFERROR(AVERAGE(_xlfn._xlws.FILTER(V$2:V$1073,($C$2:$C$1073=$C328)*($E$2:$E$1073=$E328)*(ROW(V$2:V$1073)&lt;&gt;ROW(V328))*(V$2:V$1073&lt;&gt;""))),"")</f>
        <v>0.699935355324806</v>
      </c>
      <c r="AE328">
        <f>IF('Дивиденды по годам'!M328&lt;0,1,0)</f>
        <v>0</v>
      </c>
    </row>
    <row r="329" spans="1:31" x14ac:dyDescent="0.2">
      <c r="A329" s="7" t="s">
        <v>2218</v>
      </c>
      <c r="B329" t="str">
        <f t="shared" si="55"/>
        <v>ALRS IV кв. 2018</v>
      </c>
      <c r="C329">
        <v>2018</v>
      </c>
      <c r="D329">
        <f>SUMIFS(Дивиденды!$C:$C,Дивиденды!$A:$A,A329,Дивиденды!$I:$I,C329)</f>
        <v>10.039999999999999</v>
      </c>
      <c r="E329">
        <v>3</v>
      </c>
      <c r="F329">
        <f t="shared" si="56"/>
        <v>10.039999999999999</v>
      </c>
      <c r="G329">
        <f t="shared" si="57"/>
        <v>21.690999999999995</v>
      </c>
      <c r="H329">
        <f t="shared" si="58"/>
        <v>1</v>
      </c>
      <c r="I329">
        <f t="shared" si="59"/>
        <v>0.4</v>
      </c>
      <c r="J329">
        <f t="shared" si="60"/>
        <v>0.91603053435114479</v>
      </c>
      <c r="K329">
        <f t="shared" si="65"/>
        <v>2.9253814800940824E-2</v>
      </c>
      <c r="L329">
        <f t="shared" si="61"/>
        <v>1</v>
      </c>
      <c r="M329">
        <f t="shared" si="62"/>
        <v>0.4</v>
      </c>
      <c r="N329">
        <f t="shared" si="63"/>
        <v>0</v>
      </c>
      <c r="O329">
        <f t="shared" si="64"/>
        <v>0.2</v>
      </c>
      <c r="P329">
        <f>IFERROR(LN('Дивиденды по годам'!I329),"")</f>
        <v>26.742326095645193</v>
      </c>
      <c r="Q329">
        <f>IFERROR('Дивиденды по годам'!G329/'Дивиденды по годам'!I329, "")</f>
        <v>0.57120031518122916</v>
      </c>
      <c r="R329">
        <f>IFERROR(IF(AND('Дивиденды по годам'!N329&lt;&gt;"",'Дивиденды по годам'!U329&lt;&gt;"",'Дивиденды по годам'!U329&lt;&gt;0),'Дивиденды по годам'!N329/'Дивиденды по годам'!U329-1,""),"")</f>
        <v>8.9593854048482413E-2</v>
      </c>
      <c r="S329">
        <f>IFERROR(IF(AND('Дивиденды по годам'!L329&lt;&gt;"",'Дивиденды по годам'!I329&lt;&gt;"",'Дивиденды по годам'!J329&lt;&gt;"",'Дивиденды по годам'!K329&lt;&gt;"",('Дивиденды по годам'!I329-'Дивиденды по годам'!J329-'Дивиденды по годам'!K329)&lt;&gt;0),'Дивиденды по годам'!L329/('Дивиденды по годам'!I329-'Дивиденды по годам'!J329-'Дивиденды по годам'!K329),""),"")</f>
        <v>0.90871122923373338</v>
      </c>
      <c r="T329">
        <f>IFERROR(IF(AND('Дивиденды по годам'!Q329&lt;&gt;"",'Дивиденды по годам'!I329&lt;&gt;"",'Дивиденды по годам'!V329&lt;&gt;"",('Дивиденды по годам'!I329+'Дивиденды по годам'!V329)&lt;&gt;0),'Дивиденды по годам'!Q329/(('Дивиденды по годам'!I329+'Дивиденды по годам'!V329)/2),""),"")</f>
        <v>0.2155111070320499</v>
      </c>
      <c r="U329">
        <f>IFERROR(IF(AND('Дивиденды по годам'!J329&lt;&gt;"",'Дивиденды по годам'!K329&lt;&gt;"",'Дивиденды по годам'!M329&lt;&gt;"",'Дивиденды по годам'!M329&lt;&gt;0),('Дивиденды по годам'!J329+'Дивиденды по годам'!K329)/'Дивиденды по годам'!M329,""),"")</f>
        <v>0.66086510459372239</v>
      </c>
      <c r="V329">
        <f>IFERROR(IF(AND('Дивиденды по годам'!J329&lt;&gt;"",'Дивиденды по годам'!K329&lt;&gt;"",'Дивиденды по годам'!M329&lt;&gt;"",'Дивиденды по годам'!I329&lt;&gt;0),('Дивиденды по годам'!J329+'Дивиденды по годам'!K329)/'Дивиденды по годам'!I329,""),"")</f>
        <v>0.39790414210393199</v>
      </c>
      <c r="W329">
        <f>IFERROR('Дивиденды по годам'!I329,"")</f>
        <v>411192000000</v>
      </c>
      <c r="X329" cm="1">
        <f t="array" ref="X329">IFERROR(AVERAGE(_xlfn._xlws.FILTER(P$2:P$1073,($C$2:$C$1073=$C329)*($E$2:$E$1073=$E329)*(ROW(P$2:P$1073)&lt;&gt;ROW(P329))*(P$2:P$1073&lt;&gt;""))),"")</f>
        <v>26.553366444012891</v>
      </c>
      <c r="Y329" cm="1">
        <f t="array" ref="Y329">IFERROR(AVERAGE(_xlfn._xlws.FILTER(Q$2:Q$1073,($C$2:$C$1073=$C329)*($E$2:$E$1073=$E329)*(ROW(Q$2:Q$1073)&lt;&gt;ROW(Q329))*(Q$2:Q$1073&lt;&gt;""))),"")</f>
        <v>0.51285129716833455</v>
      </c>
      <c r="Z329" cm="1">
        <f t="array" ref="Z329">IFERROR(AVERAGE(_xlfn._xlws.FILTER(R$2:R$1073,($C$2:$C$1073=$C329)*($E$2:$E$1073=$E329)*(ROW(R$2:R$1073)&lt;&gt;ROW(R329))*(R$2:R$1073&lt;&gt;""))),"")</f>
        <v>0.23033658192929612</v>
      </c>
      <c r="AA329" cm="1">
        <f t="array" ref="AA329">IFERROR(AVERAGE(_xlfn._xlws.FILTER(S$2:S$1073,($C$2:$C$1073=$C329)*($E$2:$E$1073=$E329)*(ROW(S$2:S$1073)&lt;&gt;ROW(S329))*(S$2:S$1073&lt;&gt;""))),"")</f>
        <v>0.92493593371088689</v>
      </c>
      <c r="AB329" cm="1">
        <f t="array" ref="AB329">IFERROR(AVERAGE(_xlfn._xlws.FILTER(T$2:T$1073,($C$2:$C$1073=$C329)*($E$2:$E$1073=$E329)*(ROW(T$2:T$1073)&lt;&gt;ROW(T329))*(T$2:T$1073&lt;&gt;""))),"")</f>
        <v>0.14921172899260929</v>
      </c>
      <c r="AC329" cm="1">
        <f t="array" ref="AC329">IFERROR(AVERAGE(_xlfn._xlws.FILTER(U$2:U$1073,($C$2:$C$1073=$C329)*($E$2:$E$1073=$E329)*(ROW(U$2:U$1073)&lt;&gt;ROW(U329))*(U$2:U$1073&lt;&gt;""))),"")</f>
        <v>2.5059889998724847</v>
      </c>
      <c r="AD329" cm="1">
        <f t="array" ref="AD329">IFERROR(AVERAGE(_xlfn._xlws.FILTER(V$2:V$1073,($C$2:$C$1073=$C329)*($E$2:$E$1073=$E329)*(ROW(V$2:V$1073)&lt;&gt;ROW(V329))*(V$2:V$1073&lt;&gt;""))),"")</f>
        <v>0.71752753327063568</v>
      </c>
      <c r="AE329">
        <f>IF('Дивиденды по годам'!M329&lt;0,1,0)</f>
        <v>0</v>
      </c>
    </row>
    <row r="330" spans="1:31" x14ac:dyDescent="0.2">
      <c r="A330" s="7" t="s">
        <v>2218</v>
      </c>
      <c r="B330" t="str">
        <f t="shared" si="55"/>
        <v>ALRS IV кв. 2017</v>
      </c>
      <c r="C330">
        <v>2017</v>
      </c>
      <c r="D330">
        <f>SUMIFS(Дивиденды!$C:$C,Дивиденды!$A:$A,A330,Дивиденды!$I:$I,C330)</f>
        <v>5.24</v>
      </c>
      <c r="E330">
        <v>3</v>
      </c>
      <c r="F330">
        <f t="shared" si="56"/>
        <v>5.24</v>
      </c>
      <c r="G330">
        <f t="shared" si="57"/>
        <v>15.54487631482508</v>
      </c>
      <c r="H330">
        <f t="shared" si="58"/>
        <v>1</v>
      </c>
      <c r="I330">
        <f t="shared" si="59"/>
        <v>0.6</v>
      </c>
      <c r="J330">
        <f t="shared" si="60"/>
        <v>-0.41321388577827545</v>
      </c>
      <c r="K330">
        <f t="shared" si="65"/>
        <v>0.15841441362043282</v>
      </c>
      <c r="L330">
        <f t="shared" si="61"/>
        <v>0</v>
      </c>
      <c r="M330">
        <f t="shared" si="62"/>
        <v>0.5</v>
      </c>
      <c r="N330">
        <f t="shared" si="63"/>
        <v>1</v>
      </c>
      <c r="O330">
        <f t="shared" si="64"/>
        <v>0.1</v>
      </c>
      <c r="P330">
        <f>IFERROR(LN('Дивиденды по годам'!I330),"")</f>
        <v>26.781877219331186</v>
      </c>
      <c r="Q330">
        <f>IFERROR('Дивиденды по годам'!G330/'Дивиденды по годам'!I330, "")</f>
        <v>0.55306102889095121</v>
      </c>
      <c r="R330">
        <f>IFERROR(IF(AND('Дивиденды по годам'!N330&lt;&gt;"",'Дивиденды по годам'!U330&lt;&gt;"",'Дивиденды по годам'!U330&lt;&gt;0),'Дивиденды по годам'!N330/'Дивиденды по годам'!U330-1,""),"")</f>
        <v>-0.14943391466145262</v>
      </c>
      <c r="S330">
        <f>IFERROR(IF(AND('Дивиденды по годам'!L330&lt;&gt;"",'Дивиденды по годам'!I330&lt;&gt;"",'Дивиденды по годам'!J330&lt;&gt;"",'Дивиденды по годам'!K330&lt;&gt;"",('Дивиденды по годам'!I330-'Дивиденды по годам'!J330-'Дивиденды по годам'!K330)&lt;&gt;0),'Дивиденды по годам'!L330/('Дивиденды по годам'!I330-'Дивиденды по годам'!J330-'Дивиденды по годам'!K330),""),"")</f>
        <v>0.91532044715126815</v>
      </c>
      <c r="T330">
        <f>IFERROR(IF(AND('Дивиденды по годам'!Q330&lt;&gt;"",'Дивиденды по годам'!I330&lt;&gt;"",'Дивиденды по годам'!V330&lt;&gt;"",('Дивиденды по годам'!I330+'Дивиденды по годам'!V330)&lt;&gt;0),'Дивиденды по годам'!Q330/(('Дивиденды по годам'!I330+'Дивиденды по годам'!V330)/2),""),"")</f>
        <v>0.17460618881837212</v>
      </c>
      <c r="U330">
        <f>IFERROR(IF(AND('Дивиденды по годам'!J330&lt;&gt;"",'Дивиденды по годам'!K330&lt;&gt;"",'Дивиденды по годам'!M330&lt;&gt;"",'Дивиденды по годам'!M330&lt;&gt;0),('Дивиденды по годам'!J330+'Дивиденды по годам'!K330)/'Дивиденды по годам'!M330,""),"")</f>
        <v>0.60526029412316551</v>
      </c>
      <c r="V330">
        <f>IFERROR(IF(AND('Дивиденды по годам'!J330&lt;&gt;"",'Дивиденды по годам'!K330&lt;&gt;"",'Дивиденды по годам'!M330&lt;&gt;"",'Дивиденды по годам'!I330&lt;&gt;0),('Дивиденды по годам'!J330+'Дивиденды по годам'!K330)/'Дивиденды по годам'!I330,""),"")</f>
        <v>0.37704806898857124</v>
      </c>
      <c r="W330">
        <f>IFERROR('Дивиденды по годам'!I330,"")</f>
        <v>427781000000</v>
      </c>
      <c r="X330" cm="1">
        <f t="array" ref="X330">IFERROR(AVERAGE(_xlfn._xlws.FILTER(P$2:P$1073,($C$2:$C$1073=$C330)*($E$2:$E$1073=$E330)*(ROW(P$2:P$1073)&lt;&gt;ROW(P330))*(P$2:P$1073&lt;&gt;""))),"")</f>
        <v>26.520156630826762</v>
      </c>
      <c r="Y330" cm="1">
        <f t="array" ref="Y330">IFERROR(AVERAGE(_xlfn._xlws.FILTER(Q$2:Q$1073,($C$2:$C$1073=$C330)*($E$2:$E$1073=$E330)*(ROW(Q$2:Q$1073)&lt;&gt;ROW(Q330))*(Q$2:Q$1073&lt;&gt;""))),"")</f>
        <v>0.53417089090535863</v>
      </c>
      <c r="Z330" cm="1">
        <f t="array" ref="Z330">IFERROR(AVERAGE(_xlfn._xlws.FILTER(R$2:R$1073,($C$2:$C$1073=$C330)*($E$2:$E$1073=$E330)*(ROW(R$2:R$1073)&lt;&gt;ROW(R330))*(R$2:R$1073&lt;&gt;""))),"")</f>
        <v>0.12521407386343203</v>
      </c>
      <c r="AA330" cm="1">
        <f t="array" ref="AA330">IFERROR(AVERAGE(_xlfn._xlws.FILTER(S$2:S$1073,($C$2:$C$1073=$C330)*($E$2:$E$1073=$E330)*(ROW(S$2:S$1073)&lt;&gt;ROW(S330))*(S$2:S$1073&lt;&gt;""))),"")</f>
        <v>1.0720925639597483</v>
      </c>
      <c r="AB330" cm="1">
        <f t="array" ref="AB330">IFERROR(AVERAGE(_xlfn._xlws.FILTER(T$2:T$1073,($C$2:$C$1073=$C330)*($E$2:$E$1073=$E330)*(ROW(T$2:T$1073)&lt;&gt;ROW(T330))*(T$2:T$1073&lt;&gt;""))),"")</f>
        <v>0.11626206433328408</v>
      </c>
      <c r="AC330" cm="1">
        <f t="array" ref="AC330">IFERROR(AVERAGE(_xlfn._xlws.FILTER(U$2:U$1073,($C$2:$C$1073=$C330)*($E$2:$E$1073=$E330)*(ROW(U$2:U$1073)&lt;&gt;ROW(U330))*(U$2:U$1073&lt;&gt;""))),"")</f>
        <v>2.1155340537928859</v>
      </c>
      <c r="AD330" cm="1">
        <f t="array" ref="AD330">IFERROR(AVERAGE(_xlfn._xlws.FILTER(V$2:V$1073,($C$2:$C$1073=$C330)*($E$2:$E$1073=$E330)*(ROW(V$2:V$1073)&lt;&gt;ROW(V330))*(V$2:V$1073&lt;&gt;""))),"")</f>
        <v>0.72421757728126701</v>
      </c>
      <c r="AE330">
        <f>IF('Дивиденды по годам'!M330&lt;0,1,0)</f>
        <v>0</v>
      </c>
    </row>
    <row r="331" spans="1:31" x14ac:dyDescent="0.2">
      <c r="A331" s="7" t="s">
        <v>2218</v>
      </c>
      <c r="B331" t="str">
        <f t="shared" si="55"/>
        <v>ALRS IV кв. 2016</v>
      </c>
      <c r="C331">
        <v>2016</v>
      </c>
      <c r="D331">
        <f>SUMIFS(Дивиденды!$C:$C,Дивиденды!$A:$A,A331,Дивиденды!$I:$I,C331)</f>
        <v>8.93</v>
      </c>
      <c r="E331">
        <v>3</v>
      </c>
      <c r="F331">
        <f t="shared" si="56"/>
        <v>8.93</v>
      </c>
      <c r="G331">
        <f t="shared" si="57"/>
        <v>11.202639712606382</v>
      </c>
      <c r="H331">
        <f t="shared" si="58"/>
        <v>1</v>
      </c>
      <c r="I331">
        <f t="shared" si="59"/>
        <v>0.6</v>
      </c>
      <c r="J331">
        <f t="shared" si="60"/>
        <v>3.2727272727272729</v>
      </c>
      <c r="K331">
        <f t="shared" si="65"/>
        <v>0.36040842876710394</v>
      </c>
      <c r="L331">
        <f t="shared" si="61"/>
        <v>1</v>
      </c>
      <c r="M331">
        <f t="shared" si="62"/>
        <v>0.6</v>
      </c>
      <c r="N331">
        <f t="shared" si="63"/>
        <v>0</v>
      </c>
      <c r="O331">
        <f t="shared" si="64"/>
        <v>0</v>
      </c>
      <c r="P331">
        <f>IFERROR(LN('Дивиденды по годам'!I331),"")</f>
        <v>26.881756391400319</v>
      </c>
      <c r="Q331">
        <f>IFERROR('Дивиденды по годам'!G331/'Дивиденды по годам'!I331, "")</f>
        <v>0.61109677310170629</v>
      </c>
      <c r="R331">
        <f>IFERROR(IF(AND('Дивиденды по годам'!N331&lt;&gt;"",'Дивиденды по годам'!U331&lt;&gt;"",'Дивиденды по годам'!U331&lt;&gt;0),'Дивиденды по годам'!N331/'Дивиденды по годам'!U331-1,""),"")</f>
        <v>0.4122766385776131</v>
      </c>
      <c r="S331">
        <f>IFERROR(IF(AND('Дивиденды по годам'!L331&lt;&gt;"",'Дивиденды по годам'!I331&lt;&gt;"",'Дивиденды по годам'!J331&lt;&gt;"",'Дивиденды по годам'!K331&lt;&gt;"",('Дивиденды по годам'!I331-'Дивиденды по годам'!J331-'Дивиденды по годам'!K331)&lt;&gt;0),'Дивиденды по годам'!L331/('Дивиденды по годам'!I331-'Дивиденды по годам'!J331-'Дивиденды по годам'!K331),""),"")</f>
        <v>0.91177180215589371</v>
      </c>
      <c r="T331">
        <f>IFERROR(IF(AND('Дивиденды по годам'!Q331&lt;&gt;"",'Дивиденды по годам'!I331&lt;&gt;"",'Дивиденды по годам'!V331&lt;&gt;"",('Дивиденды по годам'!I331+'Дивиденды по годам'!V331)&lt;&gt;0),'Дивиденды по годам'!Q331/(('Дивиденды по годам'!I331+'Дивиденды по годам'!V331)/2),""),"")</f>
        <v>0.29406055879239329</v>
      </c>
      <c r="U331">
        <f>IFERROR(IF(AND('Дивиденды по годам'!J331&lt;&gt;"",'Дивиденды по годам'!K331&lt;&gt;"",'Дивиденды по годам'!M331&lt;&gt;"",'Дивиденды по годам'!M331&lt;&gt;0),('Дивиденды по годам'!J331+'Дивиденды по годам'!K331)/'Дивиденды по годам'!M331,""),"")</f>
        <v>0.83956882126318244</v>
      </c>
      <c r="V331">
        <f>IFERROR(IF(AND('Дивиденды по годам'!J331&lt;&gt;"",'Дивиденды по годам'!K331&lt;&gt;"",'Дивиденды по годам'!M331&lt;&gt;"",'Дивиденды по годам'!I331&lt;&gt;0),('Дивиденды по годам'!J331+'Дивиденды по годам'!K331)/'Дивиденды по годам'!I331,""),"")</f>
        <v>0.45639435261066946</v>
      </c>
      <c r="W331">
        <f>IFERROR('Дивиденды по годам'!I331,"")</f>
        <v>472714000000</v>
      </c>
      <c r="X331" cm="1">
        <f t="array" ref="X331">IFERROR(AVERAGE(_xlfn._xlws.FILTER(P$2:P$1073,($C$2:$C$1073=$C331)*($E$2:$E$1073=$E331)*(ROW(P$2:P$1073)&lt;&gt;ROW(P331))*(P$2:P$1073&lt;&gt;""))),"")</f>
        <v>26.510863214490872</v>
      </c>
      <c r="Y331" cm="1">
        <f t="array" ref="Y331">IFERROR(AVERAGE(_xlfn._xlws.FILTER(Q$2:Q$1073,($C$2:$C$1073=$C331)*($E$2:$E$1073=$E331)*(ROW(Q$2:Q$1073)&lt;&gt;ROW(Q331))*(Q$2:Q$1073&lt;&gt;""))),"")</f>
        <v>0.49948442654261871</v>
      </c>
      <c r="Z331" cm="1">
        <f t="array" ref="Z331">IFERROR(AVERAGE(_xlfn._xlws.FILTER(R$2:R$1073,($C$2:$C$1073=$C331)*($E$2:$E$1073=$E331)*(ROW(R$2:R$1073)&lt;&gt;ROW(R331))*(R$2:R$1073&lt;&gt;""))),"")</f>
        <v>0.10694213313532533</v>
      </c>
      <c r="AA331" cm="1">
        <f t="array" ref="AA331">IFERROR(AVERAGE(_xlfn._xlws.FILTER(S$2:S$1073,($C$2:$C$1073=$C331)*($E$2:$E$1073=$E331)*(ROW(S$2:S$1073)&lt;&gt;ROW(S331))*(S$2:S$1073&lt;&gt;""))),"")</f>
        <v>0.23539527867540019</v>
      </c>
      <c r="AB331" cm="1">
        <f t="array" ref="AB331">IFERROR(AVERAGE(_xlfn._xlws.FILTER(T$2:T$1073,($C$2:$C$1073=$C331)*($E$2:$E$1073=$E331)*(ROW(T$2:T$1073)&lt;&gt;ROW(T331))*(T$2:T$1073&lt;&gt;""))),"")</f>
        <v>0.14865326179042423</v>
      </c>
      <c r="AC331" cm="1">
        <f t="array" ref="AC331">IFERROR(AVERAGE(_xlfn._xlws.FILTER(U$2:U$1073,($C$2:$C$1073=$C331)*($E$2:$E$1073=$E331)*(ROW(U$2:U$1073)&lt;&gt;ROW(U331))*(U$2:U$1073&lt;&gt;""))),"")</f>
        <v>8.8340155549419291E-2</v>
      </c>
      <c r="AD331" cm="1">
        <f t="array" ref="AD331">IFERROR(AVERAGE(_xlfn._xlws.FILTER(V$2:V$1073,($C$2:$C$1073=$C331)*($E$2:$E$1073=$E331)*(ROW(V$2:V$1073)&lt;&gt;ROW(V331))*(V$2:V$1073&lt;&gt;""))),"")</f>
        <v>0.77605962747792923</v>
      </c>
      <c r="AE331">
        <f>IF('Дивиденды по годам'!M331&lt;0,1,0)</f>
        <v>0</v>
      </c>
    </row>
    <row r="332" spans="1:31" x14ac:dyDescent="0.2">
      <c r="A332" s="7" t="s">
        <v>2218</v>
      </c>
      <c r="B332" t="str">
        <f t="shared" si="55"/>
        <v>ALRS IV кв. 2015</v>
      </c>
      <c r="C332">
        <v>2015</v>
      </c>
      <c r="D332">
        <f>SUMIFS(Дивиденды!$C:$C,Дивиденды!$A:$A,A332,Дивиденды!$I:$I,C332)</f>
        <v>2.09</v>
      </c>
      <c r="E332">
        <v>3</v>
      </c>
      <c r="F332">
        <f t="shared" si="56"/>
        <v>2.09</v>
      </c>
      <c r="G332">
        <f t="shared" si="57"/>
        <v>7.0150627742857141</v>
      </c>
      <c r="H332">
        <f t="shared" si="58"/>
        <v>1</v>
      </c>
      <c r="I332">
        <f t="shared" si="59"/>
        <v>0.5</v>
      </c>
      <c r="J332">
        <f t="shared" si="60"/>
        <v>0.42176870748299311</v>
      </c>
      <c r="K332">
        <f t="shared" si="65"/>
        <v>0.83871029984225376</v>
      </c>
      <c r="L332">
        <f t="shared" si="61"/>
        <v>1</v>
      </c>
      <c r="M332">
        <f t="shared" si="62"/>
        <v>0.4</v>
      </c>
      <c r="N332">
        <f t="shared" si="63"/>
        <v>0</v>
      </c>
      <c r="O332">
        <f t="shared" si="64"/>
        <v>0.1</v>
      </c>
      <c r="P332">
        <f>IFERROR(LN('Дивиденды по годам'!I332),"")</f>
        <v>26.798761282159607</v>
      </c>
      <c r="Q332">
        <f>IFERROR('Дивиденды по годам'!G332/'Дивиденды по годам'!I332, "")</f>
        <v>0.65269097721030189</v>
      </c>
      <c r="R332">
        <f>IFERROR(IF(AND('Дивиденды по годам'!N332&lt;&gt;"",'Дивиденды по годам'!U332&lt;&gt;"",'Дивиденды по годам'!U332&lt;&gt;0),'Дивиденды по годам'!N332/'Дивиденды по годам'!U332-1,""),"")</f>
        <v>8.3824501952606489E-2</v>
      </c>
      <c r="S332">
        <f>IFERROR(IF(AND('Дивиденды по годам'!L332&lt;&gt;"",'Дивиденды по годам'!I332&lt;&gt;"",'Дивиденды по годам'!J332&lt;&gt;"",'Дивиденды по годам'!K332&lt;&gt;"",('Дивиденды по годам'!I332-'Дивиденды по годам'!J332-'Дивиденды по годам'!K332)&lt;&gt;0),'Дивиденды по годам'!L332/('Дивиденды по годам'!I332-'Дивиденды по годам'!J332-'Дивиденды по годам'!K332),""),"")</f>
        <v>0.8505990692147738</v>
      </c>
      <c r="T332">
        <f>IFERROR(IF(AND('Дивиденды по годам'!Q332&lt;&gt;"",'Дивиденды по годам'!I332&lt;&gt;"",'Дивиденды по годам'!V332&lt;&gt;"",('Дивиденды по годам'!I332+'Дивиденды по годам'!V332)&lt;&gt;0),'Дивиденды по годам'!Q332/(('Дивиденды по годам'!I332+'Дивиденды по годам'!V332)/2),""),"")</f>
        <v>7.8201026582810446E-2</v>
      </c>
      <c r="U332">
        <f>IFERROR(IF(AND('Дивиденды по годам'!J332&lt;&gt;"",'Дивиденды по годам'!K332&lt;&gt;"",'Дивиденды по годам'!M332&lt;&gt;"",'Дивиденды по годам'!M332&lt;&gt;0),('Дивиденды по годам'!J332+'Дивиденды по годам'!K332)/'Дивиденды по годам'!M332,""),"")</f>
        <v>1.8720005281050929</v>
      </c>
      <c r="V332">
        <f>IFERROR(IF(AND('Дивиденды по годам'!J332&lt;&gt;"",'Дивиденды по годам'!K332&lt;&gt;"",'Дивиденды по годам'!M332&lt;&gt;"",'Дивиденды по годам'!I332&lt;&gt;0),('Дивиденды по годам'!J332+'Дивиденды по годам'!K332)/'Дивиденды по годам'!I332,""),"")</f>
        <v>0.65181064898348517</v>
      </c>
      <c r="W332">
        <f>IFERROR('Дивиденды по годам'!I332,"")</f>
        <v>435065000000</v>
      </c>
      <c r="X332" cm="1">
        <f t="array" ref="X332">IFERROR(AVERAGE(_xlfn._xlws.FILTER(P$2:P$1073,($C$2:$C$1073=$C332)*($E$2:$E$1073=$E332)*(ROW(P$2:P$1073)&lt;&gt;ROW(P332))*(P$2:P$1073&lt;&gt;""))),"")</f>
        <v>26.313886381411699</v>
      </c>
      <c r="Y332" cm="1">
        <f t="array" ref="Y332">IFERROR(AVERAGE(_xlfn._xlws.FILTER(Q$2:Q$1073,($C$2:$C$1073=$C332)*($E$2:$E$1073=$E332)*(ROW(Q$2:Q$1073)&lt;&gt;ROW(Q332))*(Q$2:Q$1073&lt;&gt;""))),"")</f>
        <v>0.4831987468902198</v>
      </c>
      <c r="Z332" cm="1">
        <f t="array" ref="Z332">IFERROR(AVERAGE(_xlfn._xlws.FILTER(R$2:R$1073,($C$2:$C$1073=$C332)*($E$2:$E$1073=$E332)*(ROW(R$2:R$1073)&lt;&gt;ROW(R332))*(R$2:R$1073&lt;&gt;""))),"")</f>
        <v>0.27192260954896202</v>
      </c>
      <c r="AA332" cm="1">
        <f t="array" ref="AA332">IFERROR(AVERAGE(_xlfn._xlws.FILTER(S$2:S$1073,($C$2:$C$1073=$C332)*($E$2:$E$1073=$E332)*(ROW(S$2:S$1073)&lt;&gt;ROW(S332))*(S$2:S$1073&lt;&gt;""))),"")</f>
        <v>0.98019359153171182</v>
      </c>
      <c r="AB332" cm="1">
        <f t="array" ref="AB332">IFERROR(AVERAGE(_xlfn._xlws.FILTER(T$2:T$1073,($C$2:$C$1073=$C332)*($E$2:$E$1073=$E332)*(ROW(T$2:T$1073)&lt;&gt;ROW(T332))*(T$2:T$1073&lt;&gt;""))),"")</f>
        <v>1.7165894388160199E-2</v>
      </c>
      <c r="AC332" cm="1">
        <f t="array" ref="AC332">IFERROR(AVERAGE(_xlfn._xlws.FILTER(U$2:U$1073,($C$2:$C$1073=$C332)*($E$2:$E$1073=$E332)*(ROW(U$2:U$1073)&lt;&gt;ROW(U332))*(U$2:U$1073&lt;&gt;""))),"")</f>
        <v>3.1088588020029024</v>
      </c>
      <c r="AD332" cm="1">
        <f t="array" ref="AD332">IFERROR(AVERAGE(_xlfn._xlws.FILTER(V$2:V$1073,($C$2:$C$1073=$C332)*($E$2:$E$1073=$E332)*(ROW(V$2:V$1073)&lt;&gt;ROW(V332))*(V$2:V$1073&lt;&gt;""))),"")</f>
        <v>0.80500544125726559</v>
      </c>
      <c r="AE332">
        <f>IF('Дивиденды по годам'!M332&lt;0,1,0)</f>
        <v>0</v>
      </c>
    </row>
    <row r="333" spans="1:31" x14ac:dyDescent="0.2">
      <c r="A333" s="7" t="s">
        <v>2218</v>
      </c>
      <c r="B333" t="str">
        <f t="shared" si="55"/>
        <v>ALRS IV кв. 2014</v>
      </c>
      <c r="C333">
        <v>2014</v>
      </c>
      <c r="D333">
        <f>SUMIFS(Дивиденды!$C:$C,Дивиденды!$A:$A,A333,Дивиденды!$I:$I,C333)</f>
        <v>1.47</v>
      </c>
      <c r="E333">
        <v>3</v>
      </c>
      <c r="F333">
        <f t="shared" si="56"/>
        <v>1.47</v>
      </c>
      <c r="G333">
        <f t="shared" si="57"/>
        <v>7.7090000000000005</v>
      </c>
      <c r="H333">
        <f t="shared" si="58"/>
        <v>1</v>
      </c>
      <c r="I333">
        <f t="shared" si="59"/>
        <v>0.4</v>
      </c>
      <c r="J333">
        <f t="shared" si="60"/>
        <v>0</v>
      </c>
      <c r="K333">
        <f t="shared" si="65"/>
        <v>1.0733185192796773</v>
      </c>
      <c r="L333">
        <f t="shared" si="61"/>
        <v>0</v>
      </c>
      <c r="M333">
        <f t="shared" si="62"/>
        <v>0.3</v>
      </c>
      <c r="N333">
        <f t="shared" si="63"/>
        <v>0</v>
      </c>
      <c r="O333">
        <f t="shared" si="64"/>
        <v>0.1</v>
      </c>
      <c r="P333">
        <f>IFERROR(LN('Дивиденды по годам'!I333),"")</f>
        <v>26.684912723311879</v>
      </c>
      <c r="Q333">
        <f>IFERROR('Дивиденды по годам'!G333/'Дивиденды по годам'!I333, "")</f>
        <v>0.69959742330308639</v>
      </c>
      <c r="R333">
        <f>IFERROR(IF(AND('Дивиденды по годам'!N333&lt;&gt;"",'Дивиденды по годам'!U333&lt;&gt;"",'Дивиденды по годам'!U333&lt;&gt;0),'Дивиденды по годам'!N333/'Дивиденды по годам'!U333-1,""),"")</f>
        <v>0.22939378653452414</v>
      </c>
      <c r="S333">
        <f>IFERROR(IF(AND('Дивиденды по годам'!L333&lt;&gt;"",'Дивиденды по годам'!I333&lt;&gt;"",'Дивиденды по годам'!J333&lt;&gt;"",'Дивиденды по годам'!K333&lt;&gt;"",('Дивиденды по годам'!I333-'Дивиденды по годам'!J333-'Дивиденды по годам'!K333)&lt;&gt;0),'Дивиденды по годам'!L333/('Дивиденды по годам'!I333-'Дивиденды по годам'!J333-'Дивиденды по годам'!K333),""),"")</f>
        <v>0.83213291148468371</v>
      </c>
      <c r="T333">
        <f>IFERROR(IF(AND('Дивиденды по годам'!Q333&lt;&gt;"",'Дивиденды по годам'!I333&lt;&gt;"",'Дивиденды по годам'!V333&lt;&gt;"",('Дивиденды по годам'!I333+'Дивиденды по годам'!V333)&lt;&gt;0),'Дивиденды по годам'!Q333/(('Дивиденды по годам'!I333+'Дивиденды по годам'!V333)/2),""),"")</f>
        <v>-4.5300893529981699E-2</v>
      </c>
      <c r="U333">
        <f>IFERROR(IF(AND('Дивиденды по годам'!J333&lt;&gt;"",'Дивиденды по годам'!K333&lt;&gt;"",'Дивиденды по годам'!M333&lt;&gt;"",'Дивиденды по годам'!M333&lt;&gt;0),('Дивиденды по годам'!J333+'Дивиденды по годам'!K333)/'Дивиденды по годам'!M333,""),"")</f>
        <v>1.8303395687229358</v>
      </c>
      <c r="V333">
        <f>IFERROR(IF(AND('Дивиденды по годам'!J333&lt;&gt;"",'Дивиденды по годам'!K333&lt;&gt;"",'Дивиденды по годам'!M333&lt;&gt;"",'Дивиденды по годам'!I333&lt;&gt;0),('Дивиденды по годам'!J333+'Дивиденды по годам'!K333)/'Дивиденды по годам'!I333,""),"")</f>
        <v>0.64668550337541109</v>
      </c>
      <c r="W333">
        <f>IFERROR('Дивиденды по годам'!I333,"")</f>
        <v>388249000000</v>
      </c>
      <c r="X333" cm="1">
        <f t="array" ref="X333">IFERROR(AVERAGE(_xlfn._xlws.FILTER(P$2:P$1073,($C$2:$C$1073=$C333)*($E$2:$E$1073=$E333)*(ROW(P$2:P$1073)&lt;&gt;ROW(P333))*(P$2:P$1073&lt;&gt;""))),"")</f>
        <v>26.255252077105766</v>
      </c>
      <c r="Y333" cm="1">
        <f t="array" ref="Y333">IFERROR(AVERAGE(_xlfn._xlws.FILTER(Q$2:Q$1073,($C$2:$C$1073=$C333)*($E$2:$E$1073=$E333)*(ROW(Q$2:Q$1073)&lt;&gt;ROW(Q333))*(Q$2:Q$1073&lt;&gt;""))),"")</f>
        <v>0.4955707338618614</v>
      </c>
      <c r="Z333" cm="1">
        <f t="array" ref="Z333">IFERROR(AVERAGE(_xlfn._xlws.FILTER(R$2:R$1073,($C$2:$C$1073=$C333)*($E$2:$E$1073=$E333)*(ROW(R$2:R$1073)&lt;&gt;ROW(R333))*(R$2:R$1073&lt;&gt;""))),"")</f>
        <v>5.8506627302245082E-2</v>
      </c>
      <c r="AA333" cm="1">
        <f t="array" ref="AA333">IFERROR(AVERAGE(_xlfn._xlws.FILTER(S$2:S$1073,($C$2:$C$1073=$C333)*($E$2:$E$1073=$E333)*(ROW(S$2:S$1073)&lt;&gt;ROW(S333))*(S$2:S$1073&lt;&gt;""))),"")</f>
        <v>0.79035076835269724</v>
      </c>
      <c r="AB333" cm="1">
        <f t="array" ref="AB333">IFERROR(AVERAGE(_xlfn._xlws.FILTER(T$2:T$1073,($C$2:$C$1073=$C333)*($E$2:$E$1073=$E333)*(ROW(T$2:T$1073)&lt;&gt;ROW(T333))*(T$2:T$1073&lt;&gt;""))),"")</f>
        <v>-8.1571496382753322E-2</v>
      </c>
      <c r="AC333" cm="1">
        <f t="array" ref="AC333">IFERROR(AVERAGE(_xlfn._xlws.FILTER(U$2:U$1073,($C$2:$C$1073=$C333)*($E$2:$E$1073=$E333)*(ROW(U$2:U$1073)&lt;&gt;ROW(U333))*(U$2:U$1073&lt;&gt;""))),"")</f>
        <v>1.6041632684905143</v>
      </c>
      <c r="AD333" cm="1">
        <f t="array" ref="AD333">IFERROR(AVERAGE(_xlfn._xlws.FILTER(V$2:V$1073,($C$2:$C$1073=$C333)*($E$2:$E$1073=$E333)*(ROW(V$2:V$1073)&lt;&gt;ROW(V333))*(V$2:V$1073&lt;&gt;""))),"")</f>
        <v>0.71896952465919184</v>
      </c>
      <c r="AE333">
        <f>IF('Дивиденды по годам'!M333&lt;0,1,0)</f>
        <v>0</v>
      </c>
    </row>
    <row r="334" spans="1:31" x14ac:dyDescent="0.2">
      <c r="A334" s="7" t="s">
        <v>2218</v>
      </c>
      <c r="B334" t="str">
        <f t="shared" si="55"/>
        <v>ALRS IV кв. 2013</v>
      </c>
      <c r="C334">
        <v>2013</v>
      </c>
      <c r="D334">
        <f>SUMIFS(Дивиденды!$C:$C,Дивиденды!$A:$A,A334,Дивиденды!$I:$I,C334)</f>
        <v>1.47</v>
      </c>
      <c r="E334">
        <v>3</v>
      </c>
      <c r="F334">
        <f t="shared" si="56"/>
        <v>1.47</v>
      </c>
      <c r="G334">
        <f t="shared" si="57"/>
        <v>1.0790000000000002</v>
      </c>
      <c r="H334">
        <f t="shared" si="58"/>
        <v>1</v>
      </c>
      <c r="I334">
        <f t="shared" si="59"/>
        <v>0.3</v>
      </c>
      <c r="J334">
        <f t="shared" si="60"/>
        <v>0.32432432432432418</v>
      </c>
      <c r="K334">
        <f t="shared" si="65"/>
        <v>-0.2362965428661731</v>
      </c>
      <c r="L334">
        <f t="shared" si="61"/>
        <v>1</v>
      </c>
      <c r="M334">
        <f t="shared" si="62"/>
        <v>0.1</v>
      </c>
      <c r="N334">
        <f t="shared" si="63"/>
        <v>0</v>
      </c>
      <c r="O334">
        <f t="shared" si="64"/>
        <v>0.4</v>
      </c>
      <c r="P334">
        <f>IFERROR(LN('Дивиденды по годам'!I334),"")</f>
        <v>26.595020180101525</v>
      </c>
      <c r="Q334">
        <f>IFERROR('Дивиденды по годам'!G334/'Дивиденды по годам'!I334, "")</f>
        <v>0.60663452353108593</v>
      </c>
      <c r="R334">
        <f>IFERROR(IF(AND('Дивиденды по годам'!N334&lt;&gt;"",'Дивиденды по годам'!U334&lt;&gt;"",'Дивиденды по годам'!U334&lt;&gt;0),'Дивиденды по годам'!N334/'Дивиденды по годам'!U334-1,""),"")</f>
        <v>0.11681468716861088</v>
      </c>
      <c r="S334" t="str">
        <f>IFERROR(IF(AND('Дивиденды по годам'!L334&lt;&gt;"",'Дивиденды по годам'!I334&lt;&gt;"",'Дивиденды по годам'!J334&lt;&gt;"",'Дивиденды по годам'!K334&lt;&gt;"",('Дивиденды по годам'!I334-'Дивиденды по годам'!J334-'Дивиденды по годам'!K334)&lt;&gt;0),'Дивиденды по годам'!L334/('Дивиденды по годам'!I334-'Дивиденды по годам'!J334-'Дивиденды по годам'!K334),""),"")</f>
        <v/>
      </c>
      <c r="T334">
        <f>IFERROR(IF(AND('Дивиденды по годам'!Q334&lt;&gt;"",'Дивиденды по годам'!I334&lt;&gt;"",'Дивиденды по годам'!V334&lt;&gt;"",('Дивиденды по годам'!I334+'Дивиденды по годам'!V334)&lt;&gt;0),'Дивиденды по годам'!Q334/(('Дивиденды по годам'!I334+'Дивиденды по годам'!V334)/2),""),"")</f>
        <v>9.6537190333242373E-2</v>
      </c>
      <c r="U334">
        <f>IFERROR(IF(AND('Дивиденды по годам'!J334&lt;&gt;"",'Дивиденды по годам'!K334&lt;&gt;"",'Дивиденды по годам'!M334&lt;&gt;"",'Дивиденды по годам'!M334&lt;&gt;0),('Дивиденды по годам'!J334+'Дивиденды по годам'!K334)/'Дивиденды по годам'!M334,""),"")</f>
        <v>1.2254407033694759</v>
      </c>
      <c r="V334">
        <f>IFERROR(IF(AND('Дивиденды по годам'!J334&lt;&gt;"",'Дивиденды по годам'!K334&lt;&gt;"",'Дивиденды по годам'!M334&lt;&gt;"",'Дивиденды по годам'!I334&lt;&gt;0),('Дивиденды по годам'!J334+'Дивиденды по годам'!K334)/'Дивиденды по годам'!I334,""),"")</f>
        <v>0.55065079986812104</v>
      </c>
      <c r="W334">
        <f>IFERROR('Дивиденды по годам'!I334,"")</f>
        <v>354871000000</v>
      </c>
      <c r="X334" cm="1">
        <f t="array" ref="X334">IFERROR(AVERAGE(_xlfn._xlws.FILTER(P$2:P$1073,($C$2:$C$1073=$C334)*($E$2:$E$1073=$E334)*(ROW(P$2:P$1073)&lt;&gt;ROW(P334))*(P$2:P$1073&lt;&gt;""))),"")</f>
        <v>26.419133733411808</v>
      </c>
      <c r="Y334" cm="1">
        <f t="array" ref="Y334">IFERROR(AVERAGE(_xlfn._xlws.FILTER(Q$2:Q$1073,($C$2:$C$1073=$C334)*($E$2:$E$1073=$E334)*(ROW(Q$2:Q$1073)&lt;&gt;ROW(Q334))*(Q$2:Q$1073&lt;&gt;""))),"")</f>
        <v>0.57356648433428548</v>
      </c>
      <c r="Z334" cm="1">
        <f t="array" ref="Z334">IFERROR(AVERAGE(_xlfn._xlws.FILTER(R$2:R$1073,($C$2:$C$1073=$C334)*($E$2:$E$1073=$E334)*(ROW(R$2:R$1073)&lt;&gt;ROW(R334))*(R$2:R$1073&lt;&gt;""))),"")</f>
        <v>-6.589414657521149E-2</v>
      </c>
      <c r="AA334" cm="1">
        <f t="array" ref="AA334">IFERROR(AVERAGE(_xlfn._xlws.FILTER(S$2:S$1073,($C$2:$C$1073=$C334)*($E$2:$E$1073=$E334)*(ROW(S$2:S$1073)&lt;&gt;ROW(S334))*(S$2:S$1073&lt;&gt;""))),"")</f>
        <v>1.1343753445927802</v>
      </c>
      <c r="AB334" cm="1">
        <f t="array" ref="AB334">IFERROR(AVERAGE(_xlfn._xlws.FILTER(T$2:T$1073,($C$2:$C$1073=$C334)*($E$2:$E$1073=$E334)*(ROW(T$2:T$1073)&lt;&gt;ROW(T334))*(T$2:T$1073&lt;&gt;""))),"")</f>
        <v>-4.7068949930795648E-2</v>
      </c>
      <c r="AC334" cm="1">
        <f t="array" ref="AC334">IFERROR(AVERAGE(_xlfn._xlws.FILTER(U$2:U$1073,($C$2:$C$1073=$C334)*($E$2:$E$1073=$E334)*(ROW(U$2:U$1073)&lt;&gt;ROW(U334))*(U$2:U$1073&lt;&gt;""))),"")</f>
        <v>3.3488707918452931</v>
      </c>
      <c r="AD334" cm="1">
        <f t="array" ref="AD334">IFERROR(AVERAGE(_xlfn._xlws.FILTER(V$2:V$1073,($C$2:$C$1073=$C334)*($E$2:$E$1073=$E334)*(ROW(V$2:V$1073)&lt;&gt;ROW(V334))*(V$2:V$1073&lt;&gt;""))),"")</f>
        <v>0.56512570815656327</v>
      </c>
      <c r="AE334">
        <f>IF('Дивиденды по годам'!M334&lt;0,1,0)</f>
        <v>0</v>
      </c>
    </row>
    <row r="335" spans="1:31" x14ac:dyDescent="0.2">
      <c r="A335" s="7" t="s">
        <v>2218</v>
      </c>
      <c r="B335" t="str">
        <f t="shared" si="55"/>
        <v>ALRS IV кв. 2012</v>
      </c>
      <c r="C335">
        <v>2012</v>
      </c>
      <c r="D335">
        <f>SUMIFS(Дивиденды!$C:$C,Дивиденды!$A:$A,A335,Дивиденды!$I:$I,C335)</f>
        <v>1.1100000000000001</v>
      </c>
      <c r="E335">
        <v>3</v>
      </c>
      <c r="F335">
        <f t="shared" si="56"/>
        <v>1.1100000000000001</v>
      </c>
      <c r="G335">
        <f t="shared" si="57"/>
        <v>2.02</v>
      </c>
      <c r="H335">
        <f t="shared" si="58"/>
        <v>1</v>
      </c>
      <c r="I335">
        <f t="shared" si="59"/>
        <v>0.5</v>
      </c>
      <c r="J335">
        <f t="shared" si="60"/>
        <v>9.9009900990099098E-2</v>
      </c>
      <c r="K335">
        <f t="shared" si="65"/>
        <v>-0.19390142629670673</v>
      </c>
      <c r="L335">
        <f t="shared" si="61"/>
        <v>1</v>
      </c>
      <c r="M335">
        <f t="shared" si="62"/>
        <v>0.2</v>
      </c>
      <c r="N335">
        <f t="shared" si="63"/>
        <v>0</v>
      </c>
      <c r="O335">
        <f t="shared" si="64"/>
        <v>0.6</v>
      </c>
      <c r="P335">
        <f>IFERROR(LN('Дивиденды по годам'!I335),"")</f>
        <v>26.442623059751611</v>
      </c>
      <c r="Q335">
        <f>IFERROR('Дивиденды по годам'!G335/'Дивиденды по годам'!I335, "")</f>
        <v>0.73757585105789458</v>
      </c>
      <c r="R335">
        <f>IFERROR(IF(AND('Дивиденды по годам'!N335&lt;&gt;"",'Дивиденды по годам'!U335&lt;&gt;"",'Дивиденды по годам'!U335&lt;&gt;0),'Дивиденды по годам'!N335/'Дивиденды по годам'!U335-1,""),"")</f>
        <v>9.5460749862050998E-2</v>
      </c>
      <c r="S335" t="str">
        <f>IFERROR(IF(AND('Дивиденды по годам'!L335&lt;&gt;"",'Дивиденды по годам'!I335&lt;&gt;"",'Дивиденды по годам'!J335&lt;&gt;"",'Дивиденды по годам'!K335&lt;&gt;"",('Дивиденды по годам'!I335-'Дивиденды по годам'!J335-'Дивиденды по годам'!K335)&lt;&gt;0),'Дивиденды по годам'!L335/('Дивиденды по годам'!I335-'Дивиденды по годам'!J335-'Дивиденды по годам'!K335),""),"")</f>
        <v/>
      </c>
      <c r="T335">
        <f>IFERROR(IF(AND('Дивиденды по годам'!Q335&lt;&gt;"",'Дивиденды по годам'!I335&lt;&gt;"",'Дивиденды по годам'!V335&lt;&gt;"",('Дивиденды по годам'!I335+'Дивиденды по годам'!V335)&lt;&gt;0),'Дивиденды по годам'!Q335/(('Дивиденды по годам'!I335+'Дивиденды по годам'!V335)/2),""),"")</f>
        <v>0.12327529491105479</v>
      </c>
      <c r="U335">
        <f>IFERROR(IF(AND('Дивиденды по годам'!J335&lt;&gt;"",'Дивиденды по годам'!K335&lt;&gt;"",'Дивиденды по годам'!M335&lt;&gt;"",'Дивиденды по годам'!M335&lt;&gt;0),('Дивиденды по годам'!J335+'Дивиденды по годам'!K335)/'Дивиденды по годам'!M335,""),"")</f>
        <v>1.2104549180625177</v>
      </c>
      <c r="V335">
        <f>IFERROR(IF(AND('Дивиденды по годам'!J335&lt;&gt;"",'Дивиденды по годам'!K335&lt;&gt;"",'Дивиденды по годам'!M335&lt;&gt;"",'Дивиденды по годам'!I335&lt;&gt;0),('Дивиденды по годам'!J335+'Дивиденды по годам'!K335)/'Дивиденды по годам'!I335,""),"")</f>
        <v>0.54760443570751105</v>
      </c>
      <c r="W335">
        <f>IFERROR('Дивиденды по годам'!I335,"")</f>
        <v>304709000000</v>
      </c>
      <c r="X335" cm="1">
        <f t="array" ref="X335">IFERROR(AVERAGE(_xlfn._xlws.FILTER(P$2:P$1073,($C$2:$C$1073=$C335)*($E$2:$E$1073=$E335)*(ROW(P$2:P$1073)&lt;&gt;ROW(P335))*(P$2:P$1073&lt;&gt;""))),"")</f>
        <v>26.743793042489862</v>
      </c>
      <c r="Y335" cm="1">
        <f t="array" ref="Y335">IFERROR(AVERAGE(_xlfn._xlws.FILTER(Q$2:Q$1073,($C$2:$C$1073=$C335)*($E$2:$E$1073=$E335)*(ROW(Q$2:Q$1073)&lt;&gt;ROW(Q335))*(Q$2:Q$1073&lt;&gt;""))),"")</f>
        <v>0.47290020418580936</v>
      </c>
      <c r="Z335" cm="1">
        <f t="array" ref="Z335">IFERROR(AVERAGE(_xlfn._xlws.FILTER(R$2:R$1073,($C$2:$C$1073=$C335)*($E$2:$E$1073=$E335)*(ROW(R$2:R$1073)&lt;&gt;ROW(R335))*(R$2:R$1073&lt;&gt;""))),"")</f>
        <v>-1.5592561508558875E-2</v>
      </c>
      <c r="AA335" t="str" cm="1">
        <f t="array" ref="AA335">IFERROR(AVERAGE(_xlfn._xlws.FILTER(S$2:S$1073,($C$2:$C$1073=$C335)*($E$2:$E$1073=$E335)*(ROW(S$2:S$1073)&lt;&gt;ROW(S335))*(S$2:S$1073&lt;&gt;""))),"")</f>
        <v/>
      </c>
      <c r="AB335" cm="1">
        <f t="array" ref="AB335">IFERROR(AVERAGE(_xlfn._xlws.FILTER(T$2:T$1073,($C$2:$C$1073=$C335)*($E$2:$E$1073=$E335)*(ROW(T$2:T$1073)&lt;&gt;ROW(T335))*(T$2:T$1073&lt;&gt;""))),"")</f>
        <v>3.9272515182356409E-2</v>
      </c>
      <c r="AC335" cm="1">
        <f t="array" ref="AC335">IFERROR(AVERAGE(_xlfn._xlws.FILTER(U$2:U$1073,($C$2:$C$1073=$C335)*($E$2:$E$1073=$E335)*(ROW(U$2:U$1073)&lt;&gt;ROW(U335))*(U$2:U$1073&lt;&gt;""))),"")</f>
        <v>1.3908846449471128</v>
      </c>
      <c r="AD335" cm="1">
        <f t="array" ref="AD335">IFERROR(AVERAGE(_xlfn._xlws.FILTER(V$2:V$1073,($C$2:$C$1073=$C335)*($E$2:$E$1073=$E335)*(ROW(V$2:V$1073)&lt;&gt;ROW(V335))*(V$2:V$1073&lt;&gt;""))),"")</f>
        <v>0.42482105487706079</v>
      </c>
      <c r="AE335">
        <f>IF('Дивиденды по годам'!M335&lt;0,1,0)</f>
        <v>0</v>
      </c>
    </row>
    <row r="336" spans="1:31" x14ac:dyDescent="0.2">
      <c r="A336" s="7" t="s">
        <v>2218</v>
      </c>
      <c r="B336" t="str">
        <f t="shared" si="55"/>
        <v>ALRS IV кв. 2011</v>
      </c>
      <c r="C336">
        <v>2011</v>
      </c>
      <c r="D336">
        <f>SUMIFS(Дивиденды!$C:$C,Дивиденды!$A:$A,A336,Дивиденды!$I:$I,C336)</f>
        <v>1.01</v>
      </c>
      <c r="E336">
        <v>3</v>
      </c>
      <c r="F336">
        <f t="shared" si="56"/>
        <v>1.01</v>
      </c>
      <c r="G336">
        <f t="shared" si="57"/>
        <v>3.6650000000000005</v>
      </c>
      <c r="H336">
        <f t="shared" si="58"/>
        <v>1</v>
      </c>
      <c r="I336">
        <f t="shared" si="59"/>
        <v>0.7</v>
      </c>
      <c r="J336">
        <f t="shared" si="60"/>
        <v>3.04</v>
      </c>
      <c r="K336">
        <f t="shared" si="65"/>
        <v>0.47730568048052613</v>
      </c>
      <c r="L336">
        <f t="shared" si="61"/>
        <v>1</v>
      </c>
      <c r="M336">
        <f t="shared" si="62"/>
        <v>0.5</v>
      </c>
      <c r="N336">
        <f t="shared" si="63"/>
        <v>0</v>
      </c>
      <c r="O336">
        <f t="shared" si="64"/>
        <v>0.3</v>
      </c>
      <c r="P336">
        <f>IFERROR(LN('Дивиденды по годам'!I336),"")</f>
        <v>26.20791338168576</v>
      </c>
      <c r="Q336">
        <f>IFERROR('Дивиденды по годам'!G336/'Дивиденды по годам'!I336, "")</f>
        <v>0.70356567786059332</v>
      </c>
      <c r="R336">
        <f>IFERROR(IF(AND('Дивиденды по годам'!N336&lt;&gt;"",'Дивиденды по годам'!U336&lt;&gt;"",'Дивиденды по годам'!U336&lt;&gt;0),'Дивиденды по годам'!N336/'Дивиденды по годам'!U336-1,""),"")</f>
        <v>0.21463216748681591</v>
      </c>
      <c r="S336" t="str">
        <f>IFERROR(IF(AND('Дивиденды по годам'!L336&lt;&gt;"",'Дивиденды по годам'!I336&lt;&gt;"",'Дивиденды по годам'!J336&lt;&gt;"",'Дивиденды по годам'!K336&lt;&gt;"",('Дивиденды по годам'!I336-'Дивиденды по годам'!J336-'Дивиденды по годам'!K336)&lt;&gt;0),'Дивиденды по годам'!L336/('Дивиденды по годам'!I336-'Дивиденды по годам'!J336-'Дивиденды по годам'!K336),""),"")</f>
        <v/>
      </c>
      <c r="T336">
        <f>IFERROR(IF(AND('Дивиденды по годам'!Q336&lt;&gt;"",'Дивиденды по годам'!I336&lt;&gt;"",'Дивиденды по годам'!V336&lt;&gt;"",('Дивиденды по годам'!I336+'Дивиденды по годам'!V336)&lt;&gt;0),'Дивиденды по годам'!Q336/(('Дивиденды по годам'!I336+'Дивиденды по годам'!V336)/2),""),"")</f>
        <v>0.11505618365484008</v>
      </c>
      <c r="U336">
        <f>IFERROR(IF(AND('Дивиденды по годам'!J336&lt;&gt;"",'Дивиденды по годам'!K336&lt;&gt;"",'Дивиденды по годам'!M336&lt;&gt;"",'Дивиденды по годам'!M336&lt;&gt;0),('Дивиденды по годам'!J336+'Дивиденды по годам'!K336)/'Дивиденды по годам'!M336,""),"")</f>
        <v>1.1305958601908097</v>
      </c>
      <c r="V336">
        <f>IFERROR(IF(AND('Дивиденды по годам'!J336&lt;&gt;"",'Дивиденды по годам'!K336&lt;&gt;"",'Дивиденды по годам'!M336&lt;&gt;"",'Дивиденды по годам'!I336&lt;&gt;0),('Дивиденды по годам'!J336+'Дивиденды по годам'!K336)/'Дивиденды по годам'!I336,""),"")</f>
        <v>0.53064773161136103</v>
      </c>
      <c r="W336">
        <f>IFERROR('Дивиденды по годам'!I336,"")</f>
        <v>240964000000</v>
      </c>
      <c r="X336" cm="1">
        <f t="array" ref="X336">IFERROR(AVERAGE(_xlfn._xlws.FILTER(P$2:P$1073,($C$2:$C$1073=$C336)*($E$2:$E$1073=$E336)*(ROW(P$2:P$1073)&lt;&gt;ROW(P336))*(P$2:P$1073&lt;&gt;""))),"")</f>
        <v>26.468115949705712</v>
      </c>
      <c r="Y336" cm="1">
        <f t="array" ref="Y336">IFERROR(AVERAGE(_xlfn._xlws.FILTER(Q$2:Q$1073,($C$2:$C$1073=$C336)*($E$2:$E$1073=$E336)*(ROW(Q$2:Q$1073)&lt;&gt;ROW(Q336))*(Q$2:Q$1073&lt;&gt;""))),"")</f>
        <v>0.55037250369989932</v>
      </c>
      <c r="Z336" t="str" cm="1">
        <f t="array" ref="Z336">IFERROR(AVERAGE(_xlfn._xlws.FILTER(R$2:R$1073,($C$2:$C$1073=$C336)*($E$2:$E$1073=$E336)*(ROW(R$2:R$1073)&lt;&gt;ROW(R336))*(R$2:R$1073&lt;&gt;""))),"")</f>
        <v/>
      </c>
      <c r="AA336" t="str" cm="1">
        <f t="array" ref="AA336">IFERROR(AVERAGE(_xlfn._xlws.FILTER(S$2:S$1073,($C$2:$C$1073=$C336)*($E$2:$E$1073=$E336)*(ROW(S$2:S$1073)&lt;&gt;ROW(S336))*(S$2:S$1073&lt;&gt;""))),"")</f>
        <v/>
      </c>
      <c r="AB336" t="str" cm="1">
        <f t="array" ref="AB336">IFERROR(AVERAGE(_xlfn._xlws.FILTER(T$2:T$1073,($C$2:$C$1073=$C336)*($E$2:$E$1073=$E336)*(ROW(T$2:T$1073)&lt;&gt;ROW(T336))*(T$2:T$1073&lt;&gt;""))),"")</f>
        <v/>
      </c>
      <c r="AC336" cm="1">
        <f t="array" ref="AC336">IFERROR(AVERAGE(_xlfn._xlws.FILTER(U$2:U$1073,($C$2:$C$1073=$C336)*($E$2:$E$1073=$E336)*(ROW(U$2:U$1073)&lt;&gt;ROW(U336))*(U$2:U$1073&lt;&gt;""))),"")</f>
        <v>1.1103221876334959</v>
      </c>
      <c r="AD336" cm="1">
        <f t="array" ref="AD336">IFERROR(AVERAGE(_xlfn._xlws.FILTER(V$2:V$1073,($C$2:$C$1073=$C336)*($E$2:$E$1073=$E336)*(ROW(V$2:V$1073)&lt;&gt;ROW(V336))*(V$2:V$1073&lt;&gt;""))),"")</f>
        <v>0.49631423055426255</v>
      </c>
      <c r="AE336">
        <f>IF('Дивиденды по годам'!M336&lt;0,1,0)</f>
        <v>0</v>
      </c>
    </row>
    <row r="337" spans="1:31" x14ac:dyDescent="0.2">
      <c r="A337" s="7" t="s">
        <v>2218</v>
      </c>
      <c r="B337" t="str">
        <f t="shared" si="55"/>
        <v>ALRS IV кв. 2010</v>
      </c>
      <c r="C337">
        <v>2010</v>
      </c>
      <c r="D337">
        <f>SUMIFS(Дивиденды!$C:$C,Дивиденды!$A:$A,A337,Дивиденды!$I:$I,C337)</f>
        <v>0.25</v>
      </c>
      <c r="E337">
        <v>3</v>
      </c>
      <c r="F337">
        <f t="shared" si="56"/>
        <v>0.25</v>
      </c>
      <c r="G337">
        <f t="shared" si="57"/>
        <v>3.0539999999999998</v>
      </c>
      <c r="H337">
        <f t="shared" si="58"/>
        <v>1</v>
      </c>
      <c r="I337">
        <f t="shared" si="59"/>
        <v>0.6</v>
      </c>
      <c r="J337" t="str">
        <f t="shared" si="60"/>
        <v/>
      </c>
      <c r="K337" t="str">
        <f t="shared" si="65"/>
        <v/>
      </c>
      <c r="L337" t="str">
        <f t="shared" si="61"/>
        <v/>
      </c>
      <c r="M337" t="str">
        <f t="shared" si="62"/>
        <v/>
      </c>
      <c r="N337" t="str">
        <f t="shared" si="63"/>
        <v/>
      </c>
      <c r="O337" t="str">
        <f t="shared" si="64"/>
        <v/>
      </c>
      <c r="P337">
        <f>IFERROR(LN('Дивиденды по годам'!I337),"")</f>
        <v>26.127864794831805</v>
      </c>
      <c r="Q337">
        <f>IFERROR('Дивиденды по годам'!G337/'Дивиденды по годам'!I337, "")</f>
        <v>0.75539390451698762</v>
      </c>
      <c r="R337" t="str">
        <f>IFERROR(IF(AND('Дивиденды по годам'!N337&lt;&gt;"",'Дивиденды по годам'!U337&lt;&gt;"",'Дивиденды по годам'!U337&lt;&gt;0),'Дивиденды по годам'!N337/'Дивиденды по годам'!U337-1,""),"")</f>
        <v/>
      </c>
      <c r="S337" t="str">
        <f>IFERROR(IF(AND('Дивиденды по годам'!L337&lt;&gt;"",'Дивиденды по годам'!I337&lt;&gt;"",'Дивиденды по годам'!J337&lt;&gt;"",'Дивиденды по годам'!K337&lt;&gt;"",('Дивиденды по годам'!I337-'Дивиденды по годам'!J337-'Дивиденды по годам'!K337)&lt;&gt;0),'Дивиденды по годам'!L337/('Дивиденды по годам'!I337-'Дивиденды по годам'!J337-'Дивиденды по годам'!K337),""),"")</f>
        <v/>
      </c>
      <c r="T337" t="str">
        <f>IFERROR(IF(AND('Дивиденды по годам'!Q337&lt;&gt;"",'Дивиденды по годам'!I337&lt;&gt;"",'Дивиденды по годам'!V337&lt;&gt;"",('Дивиденды по годам'!I337+'Дивиденды по годам'!V337)&lt;&gt;0),'Дивиденды по годам'!Q337/(('Дивиденды по годам'!I337+'Дивиденды по годам'!V337)/2),""),"")</f>
        <v/>
      </c>
      <c r="U337">
        <f>IFERROR(IF(AND('Дивиденды по годам'!J337&lt;&gt;"",'Дивиденды по годам'!K337&lt;&gt;"",'Дивиденды по годам'!M337&lt;&gt;"",'Дивиденды по годам'!M337&lt;&gt;0),('Дивиденды по годам'!J337+'Дивиденды по годам'!K337)/'Дивиденды по годам'!M337,""),"")</f>
        <v>1.4017600691070078</v>
      </c>
      <c r="V337">
        <f>IFERROR(IF(AND('Дивиденды по годам'!J337&lt;&gt;"",'Дивиденды по годам'!K337&lt;&gt;"",'Дивиденды по годам'!M337&lt;&gt;"",'Дивиденды по годам'!I337&lt;&gt;0),('Дивиденды по годам'!J337+'Дивиденды по годам'!K337)/'Дивиденды по годам'!I337,""),"")</f>
        <v>0.58363867695918215</v>
      </c>
      <c r="W337">
        <f>IFERROR('Дивиденды по годам'!I337,"")</f>
        <v>222427000000</v>
      </c>
      <c r="X337" t="str" cm="1">
        <f t="array" ref="X337">IFERROR(AVERAGE(_xlfn._xlws.FILTER(P$2:P$1073,($C$2:$C$1073=$C337)*($E$2:$E$1073=$E337)*(ROW(P$2:P$1073)&lt;&gt;ROW(P337))*(P$2:P$1073&lt;&gt;""))),"")</f>
        <v/>
      </c>
      <c r="Y337" t="str" cm="1">
        <f t="array" ref="Y337">IFERROR(AVERAGE(_xlfn._xlws.FILTER(Q$2:Q$1073,($C$2:$C$1073=$C337)*($E$2:$E$1073=$E337)*(ROW(Q$2:Q$1073)&lt;&gt;ROW(Q337))*(Q$2:Q$1073&lt;&gt;""))),"")</f>
        <v/>
      </c>
      <c r="Z337" t="str" cm="1">
        <f t="array" ref="Z337">IFERROR(AVERAGE(_xlfn._xlws.FILTER(R$2:R$1073,($C$2:$C$1073=$C337)*($E$2:$E$1073=$E337)*(ROW(R$2:R$1073)&lt;&gt;ROW(R337))*(R$2:R$1073&lt;&gt;""))),"")</f>
        <v/>
      </c>
      <c r="AA337" t="str" cm="1">
        <f t="array" ref="AA337">IFERROR(AVERAGE(_xlfn._xlws.FILTER(S$2:S$1073,($C$2:$C$1073=$C337)*($E$2:$E$1073=$E337)*(ROW(S$2:S$1073)&lt;&gt;ROW(S337))*(S$2:S$1073&lt;&gt;""))),"")</f>
        <v/>
      </c>
      <c r="AB337" t="str" cm="1">
        <f t="array" ref="AB337">IFERROR(AVERAGE(_xlfn._xlws.FILTER(T$2:T$1073,($C$2:$C$1073=$C337)*($E$2:$E$1073=$E337)*(ROW(T$2:T$1073)&lt;&gt;ROW(T337))*(T$2:T$1073&lt;&gt;""))),"")</f>
        <v/>
      </c>
      <c r="AC337" t="str" cm="1">
        <f t="array" ref="AC337">IFERROR(AVERAGE(_xlfn._xlws.FILTER(U$2:U$1073,($C$2:$C$1073=$C337)*($E$2:$E$1073=$E337)*(ROW(U$2:U$1073)&lt;&gt;ROW(U337))*(U$2:U$1073&lt;&gt;""))),"")</f>
        <v/>
      </c>
      <c r="AD337" t="str" cm="1">
        <f t="array" ref="AD337">IFERROR(AVERAGE(_xlfn._xlws.FILTER(V$2:V$1073,($C$2:$C$1073=$C337)*($E$2:$E$1073=$E337)*(ROW(V$2:V$1073)&lt;&gt;ROW(V337))*(V$2:V$1073&lt;&gt;""))),"")</f>
        <v/>
      </c>
      <c r="AE337">
        <f>IF('Дивиденды по годам'!M337&lt;0,1,0)</f>
        <v>0</v>
      </c>
    </row>
    <row r="338" spans="1:31" x14ac:dyDescent="0.2">
      <c r="A338" s="7" t="s">
        <v>2221</v>
      </c>
      <c r="B338" t="str">
        <f t="shared" si="55"/>
        <v>CHMF IV кв. 2025</v>
      </c>
      <c r="C338">
        <v>2025</v>
      </c>
      <c r="D338">
        <f>SUMIFS(Дивиденды!$C:$C,Дивиденды!$A:$A,A338,Дивиденды!$I:$I,C338)</f>
        <v>0</v>
      </c>
      <c r="E338">
        <v>3</v>
      </c>
      <c r="F338">
        <f t="shared" si="56"/>
        <v>0</v>
      </c>
      <c r="G338">
        <f t="shared" si="57"/>
        <v>10.684999999999999</v>
      </c>
      <c r="H338">
        <f t="shared" si="58"/>
        <v>0</v>
      </c>
      <c r="I338">
        <f t="shared" si="59"/>
        <v>0.1</v>
      </c>
      <c r="J338">
        <f t="shared" si="60"/>
        <v>-1</v>
      </c>
      <c r="K338">
        <f t="shared" si="65"/>
        <v>-0.34741116251599569</v>
      </c>
      <c r="L338">
        <f t="shared" si="61"/>
        <v>0</v>
      </c>
      <c r="M338">
        <f t="shared" si="62"/>
        <v>0</v>
      </c>
      <c r="N338">
        <f t="shared" si="63"/>
        <v>1</v>
      </c>
      <c r="O338">
        <f t="shared" si="64"/>
        <v>0.4</v>
      </c>
      <c r="P338">
        <f>IFERROR(LN('Дивиденды по годам'!I338),"")</f>
        <v>27.472290296590785</v>
      </c>
      <c r="Q338">
        <f>IFERROR('Дивиденды по годам'!G338/'Дивиденды по годам'!I338, "")</f>
        <v>0.67476260685914402</v>
      </c>
      <c r="R338">
        <f>IFERROR(IF(AND('Дивиденды по годам'!N338&lt;&gt;"",'Дивиденды по годам'!U338&lt;&gt;"",'Дивиденды по годам'!U338&lt;&gt;0),'Дивиденды по годам'!N338/'Дивиденды по годам'!U338-1,""),"")</f>
        <v>-0.14086039776856252</v>
      </c>
      <c r="S338">
        <f>IFERROR(IF(AND('Дивиденды по годам'!L338&lt;&gt;"",'Дивиденды по годам'!I338&lt;&gt;"",'Дивиденды по годам'!J338&lt;&gt;"",'Дивиденды по годам'!K338&lt;&gt;"",('Дивиденды по годам'!I338-'Дивиденды по годам'!J338-'Дивиденды по годам'!K338)&lt;&gt;0),'Дивиденды по годам'!L338/('Дивиденды по годам'!I338-'Дивиденды по годам'!J338-'Дивиденды по годам'!K338),""),"")</f>
        <v>0.83380496567336793</v>
      </c>
      <c r="T338">
        <f>IFERROR(IF(AND('Дивиденды по годам'!Q338&lt;&gt;"",'Дивиденды по годам'!I338&lt;&gt;"",'Дивиденды по годам'!V338&lt;&gt;"",('Дивиденды по годам'!I338+'Дивиденды по годам'!V338)&lt;&gt;0),'Дивиденды по годам'!Q338/(('Дивиденды по годам'!I338+'Дивиденды по годам'!V338)/2),""),"")</f>
        <v>3.7307158109067838E-2</v>
      </c>
      <c r="U338">
        <f>IFERROR(IF(AND('Дивиденды по годам'!J338&lt;&gt;"",'Дивиденды по годам'!K338&lt;&gt;"",'Дивиденды по годам'!M338&lt;&gt;"",'Дивиденды по годам'!M338&lt;&gt;0),('Дивиденды по годам'!J338+'Дивиденды по годам'!K338)/'Дивиденды по годам'!M338,""),"")</f>
        <v>0.61501929749179929</v>
      </c>
      <c r="V338">
        <f>IFERROR(IF(AND('Дивиденды по годам'!J338&lt;&gt;"",'Дивиденды по годам'!K338&lt;&gt;"",'Дивиденды по годам'!M338&lt;&gt;"",'Дивиденды по годам'!I338&lt;&gt;0),('Дивиденды по годам'!J338+'Дивиденды по годам'!K338)/'Дивиденды по годам'!I338,""),"")</f>
        <v>0.38081235217867249</v>
      </c>
      <c r="W338">
        <f>IFERROR('Дивиденды по годам'!I338,"")</f>
        <v>853226000000</v>
      </c>
      <c r="X338" cm="1">
        <f t="array" ref="X338">IFERROR(AVERAGE(_xlfn._xlws.FILTER(P$2:P$1073,($C$2:$C$1073=$C338)*($E$2:$E$1073=$E338)*(ROW(P$2:P$1073)&lt;&gt;ROW(P338))*(P$2:P$1073&lt;&gt;""))),"")</f>
        <v>27.533692115476065</v>
      </c>
      <c r="Y338" cm="1">
        <f t="array" ref="Y338">IFERROR(AVERAGE(_xlfn._xlws.FILTER(Q$2:Q$1073,($C$2:$C$1073=$C338)*($E$2:$E$1073=$E338)*(ROW(Q$2:Q$1073)&lt;&gt;ROW(Q338))*(Q$2:Q$1073&lt;&gt;""))),"")</f>
        <v>0.50832692649282163</v>
      </c>
      <c r="Z338" cm="1">
        <f t="array" ref="Z338">IFERROR(AVERAGE(_xlfn._xlws.FILTER(R$2:R$1073,($C$2:$C$1073=$C338)*($E$2:$E$1073=$E338)*(ROW(R$2:R$1073)&lt;&gt;ROW(R338))*(R$2:R$1073&lt;&gt;""))),"")</f>
        <v>-8.6959070277911762E-2</v>
      </c>
      <c r="AA338" cm="1">
        <f t="array" ref="AA338">IFERROR(AVERAGE(_xlfn._xlws.FILTER(S$2:S$1073,($C$2:$C$1073=$C338)*($E$2:$E$1073=$E338)*(ROW(S$2:S$1073)&lt;&gt;ROW(S338))*(S$2:S$1073&lt;&gt;""))),"")</f>
        <v>1.0087978917014562</v>
      </c>
      <c r="AB338" cm="1">
        <f t="array" ref="AB338">IFERROR(AVERAGE(_xlfn._xlws.FILTER(T$2:T$1073,($C$2:$C$1073=$C338)*($E$2:$E$1073=$E338)*(ROW(T$2:T$1073)&lt;&gt;ROW(T338))*(T$2:T$1073&lt;&gt;""))),"")</f>
        <v>1.1887247744874723E-2</v>
      </c>
      <c r="AC338" cm="1">
        <f t="array" ref="AC338">IFERROR(AVERAGE(_xlfn._xlws.FILTER(U$2:U$1073,($C$2:$C$1073=$C338)*($E$2:$E$1073=$E338)*(ROW(U$2:U$1073)&lt;&gt;ROW(U338))*(U$2:U$1073&lt;&gt;""))),"")</f>
        <v>3.5542918505153693</v>
      </c>
      <c r="AD338" cm="1">
        <f t="array" ref="AD338">IFERROR(AVERAGE(_xlfn._xlws.FILTER(V$2:V$1073,($C$2:$C$1073=$C338)*($E$2:$E$1073=$E338)*(ROW(V$2:V$1073)&lt;&gt;ROW(V338))*(V$2:V$1073&lt;&gt;""))),"")</f>
        <v>0.54505275605143422</v>
      </c>
      <c r="AE338">
        <f>IF('Дивиденды по годам'!M338&lt;0,1,0)</f>
        <v>0</v>
      </c>
    </row>
    <row r="339" spans="1:31" x14ac:dyDescent="0.2">
      <c r="A339" s="7" t="s">
        <v>2221</v>
      </c>
      <c r="B339" t="str">
        <f t="shared" si="55"/>
        <v>CHMF IV кв. 2024</v>
      </c>
      <c r="C339">
        <v>2024</v>
      </c>
      <c r="D339">
        <f>SUMIFS(Дивиденды!$C:$C,Дивиденды!$A:$A,A339,Дивиденды!$I:$I,C339)</f>
        <v>118.42</v>
      </c>
      <c r="E339">
        <v>3</v>
      </c>
      <c r="F339">
        <f t="shared" si="56"/>
        <v>118.42</v>
      </c>
      <c r="G339">
        <f t="shared" si="57"/>
        <v>21.216000000000001</v>
      </c>
      <c r="H339">
        <f t="shared" si="58"/>
        <v>1</v>
      </c>
      <c r="I339">
        <f t="shared" si="59"/>
        <v>0.4</v>
      </c>
      <c r="J339">
        <f t="shared" si="60"/>
        <v>-0.3816510887159939</v>
      </c>
      <c r="K339">
        <f t="shared" si="65"/>
        <v>-0.16644936410739519</v>
      </c>
      <c r="L339">
        <f t="shared" si="61"/>
        <v>0</v>
      </c>
      <c r="M339">
        <f t="shared" si="62"/>
        <v>0.1</v>
      </c>
      <c r="N339">
        <f t="shared" si="63"/>
        <v>1</v>
      </c>
      <c r="O339">
        <f t="shared" si="64"/>
        <v>0.4</v>
      </c>
      <c r="P339">
        <f>IFERROR(LN('Дивиденды по годам'!I339),"")</f>
        <v>27.482265854618198</v>
      </c>
      <c r="Q339">
        <f>IFERROR('Дивиденды по годам'!G339/'Дивиденды по годам'!I339, "")</f>
        <v>0.54339390563716961</v>
      </c>
      <c r="R339">
        <f>IFERROR(IF(AND('Дивиденды по годам'!N339&lt;&gt;"",'Дивиденды по годам'!U339&lt;&gt;"",'Дивиденды по годам'!U339&lt;&gt;0),'Дивиденды по годам'!N339/'Дивиденды по годам'!U339-1,""),"")</f>
        <v>0.13931491087635273</v>
      </c>
      <c r="S339">
        <f>IFERROR(IF(AND('Дивиденды по годам'!L339&lt;&gt;"",'Дивиденды по годам'!I339&lt;&gt;"",'Дивиденды по годам'!J339&lt;&gt;"",'Дивиденды по годам'!K339&lt;&gt;"",('Дивиденды по годам'!I339-'Дивиденды по годам'!J339-'Дивиденды по годам'!K339)&lt;&gt;0),'Дивиденды по годам'!L339/('Дивиденды по годам'!I339-'Дивиденды по годам'!J339-'Дивиденды по годам'!K339),""),"")</f>
        <v>0.82306998251846841</v>
      </c>
      <c r="T339">
        <f>IFERROR(IF(AND('Дивиденды по годам'!Q339&lt;&gt;"",'Дивиденды по годам'!I339&lt;&gt;"",'Дивиденды по годам'!V339&lt;&gt;"",('Дивиденды по годам'!I339+'Дивиденды по годам'!V339)&lt;&gt;0),'Дивиденды по годам'!Q339/(('Дивиденды по годам'!I339+'Дивиденды по годам'!V339)/2),""),"")</f>
        <v>0.16116644529997656</v>
      </c>
      <c r="U339">
        <f>IFERROR(IF(AND('Дивиденды по годам'!J339&lt;&gt;"",'Дивиденды по годам'!K339&lt;&gt;"",'Дивиденды по годам'!M339&lt;&gt;"",'Дивиденды по годам'!M339&lt;&gt;0),('Дивиденды по годам'!J339+'Дивиденды по годам'!K339)/'Дивиденды по годам'!M339,""),"")</f>
        <v>0.7356260724557121</v>
      </c>
      <c r="V339">
        <f>IFERROR(IF(AND('Дивиденды по годам'!J339&lt;&gt;"",'Дивиденды по годам'!K339&lt;&gt;"",'Дивиденды по годам'!M339&lt;&gt;"",'Дивиденды по годам'!I339&lt;&gt;0),('Дивиденды по годам'!J339+'Дивиденды по годам'!K339)/'Дивиденды по годам'!I339,""),"")</f>
        <v>0.42383903084313862</v>
      </c>
      <c r="W339">
        <f>IFERROR('Дивиденды по годам'!I339,"")</f>
        <v>861780000000</v>
      </c>
      <c r="X339" cm="1">
        <f t="array" ref="X339">IFERROR(AVERAGE(_xlfn._xlws.FILTER(P$2:P$1073,($C$2:$C$1073=$C339)*($E$2:$E$1073=$E339)*(ROW(P$2:P$1073)&lt;&gt;ROW(P339))*(P$2:P$1073&lt;&gt;""))),"")</f>
        <v>27.262932499660444</v>
      </c>
      <c r="Y339" cm="1">
        <f t="array" ref="Y339">IFERROR(AVERAGE(_xlfn._xlws.FILTER(Q$2:Q$1073,($C$2:$C$1073=$C339)*($E$2:$E$1073=$E339)*(ROW(Q$2:Q$1073)&lt;&gt;ROW(Q339))*(Q$2:Q$1073&lt;&gt;""))),"")</f>
        <v>0.47381349060100025</v>
      </c>
      <c r="Z339" cm="1">
        <f t="array" ref="Z339">IFERROR(AVERAGE(_xlfn._xlws.FILTER(R$2:R$1073,($C$2:$C$1073=$C339)*($E$2:$E$1073=$E339)*(ROW(R$2:R$1073)&lt;&gt;ROW(R339))*(R$2:R$1073&lt;&gt;""))),"")</f>
        <v>1.3879618753655731E-2</v>
      </c>
      <c r="AA339" cm="1">
        <f t="array" ref="AA339">IFERROR(AVERAGE(_xlfn._xlws.FILTER(S$2:S$1073,($C$2:$C$1073=$C339)*($E$2:$E$1073=$E339)*(ROW(S$2:S$1073)&lt;&gt;ROW(S339))*(S$2:S$1073&lt;&gt;""))),"")</f>
        <v>1.2075797594495212</v>
      </c>
      <c r="AB339" cm="1">
        <f t="array" ref="AB339">IFERROR(AVERAGE(_xlfn._xlws.FILTER(T$2:T$1073,($C$2:$C$1073=$C339)*($E$2:$E$1073=$E339)*(ROW(T$2:T$1073)&lt;&gt;ROW(T339))*(T$2:T$1073&lt;&gt;""))),"")</f>
        <v>3.3959106479846325E-2</v>
      </c>
      <c r="AC339" cm="1">
        <f t="array" ref="AC339">IFERROR(AVERAGE(_xlfn._xlws.FILTER(U$2:U$1073,($C$2:$C$1073=$C339)*($E$2:$E$1073=$E339)*(ROW(U$2:U$1073)&lt;&gt;ROW(U339))*(U$2:U$1073&lt;&gt;""))),"")</f>
        <v>2.7476570088316441</v>
      </c>
      <c r="AD339" cm="1">
        <f t="array" ref="AD339">IFERROR(AVERAGE(_xlfn._xlws.FILTER(V$2:V$1073,($C$2:$C$1073=$C339)*($E$2:$E$1073=$E339)*(ROW(V$2:V$1073)&lt;&gt;ROW(V339))*(V$2:V$1073&lt;&gt;""))),"")</f>
        <v>0.63841046407074264</v>
      </c>
      <c r="AE339">
        <f>IF('Дивиденды по годам'!M339&lt;0,1,0)</f>
        <v>0</v>
      </c>
    </row>
    <row r="340" spans="1:31" x14ac:dyDescent="0.2">
      <c r="A340" s="7" t="s">
        <v>2221</v>
      </c>
      <c r="B340" t="str">
        <f t="shared" si="55"/>
        <v>CHMF IV кв. 2023</v>
      </c>
      <c r="C340">
        <v>2023</v>
      </c>
      <c r="D340">
        <f>SUMIFS(Дивиденды!$C:$C,Дивиденды!$A:$A,A340,Дивиденды!$I:$I,C340)</f>
        <v>191.51</v>
      </c>
      <c r="E340">
        <v>3</v>
      </c>
      <c r="F340">
        <f t="shared" si="56"/>
        <v>191.51</v>
      </c>
      <c r="G340">
        <f t="shared" si="57"/>
        <v>6.093</v>
      </c>
      <c r="H340">
        <f t="shared" si="58"/>
        <v>1</v>
      </c>
      <c r="I340">
        <f t="shared" si="59"/>
        <v>0.5</v>
      </c>
      <c r="J340">
        <f t="shared" si="60"/>
        <v>1</v>
      </c>
      <c r="K340">
        <f t="shared" si="65"/>
        <v>0.33287037037037037</v>
      </c>
      <c r="L340">
        <f t="shared" si="61"/>
        <v>1</v>
      </c>
      <c r="M340">
        <f t="shared" si="62"/>
        <v>0.5</v>
      </c>
      <c r="N340">
        <f t="shared" si="63"/>
        <v>0</v>
      </c>
      <c r="O340">
        <f t="shared" si="64"/>
        <v>0.1</v>
      </c>
      <c r="P340">
        <f>IFERROR(LN('Дивиденды по годам'!I340),"")</f>
        <v>27.625118731075922</v>
      </c>
      <c r="Q340">
        <f>IFERROR('Дивиденды по годам'!G340/'Дивиденды по годам'!I340, "")</f>
        <v>0.38864819462537031</v>
      </c>
      <c r="R340">
        <f>IFERROR(IF(AND('Дивиденды по годам'!N340&lt;&gt;"",'Дивиденды по годам'!U340&lt;&gt;"",'Дивиденды по годам'!U340&lt;&gt;0),'Дивиденды по годам'!N340/'Дивиденды по годам'!U340-1,""),"")</f>
        <v>6.7555326240864355E-2</v>
      </c>
      <c r="S340">
        <f>IFERROR(IF(AND('Дивиденды по годам'!L340&lt;&gt;"",'Дивиденды по годам'!I340&lt;&gt;"",'Дивиденды по годам'!J340&lt;&gt;"",'Дивиденды по годам'!K340&lt;&gt;"",('Дивиденды по годам'!I340-'Дивиденды по годам'!J340-'Дивиденды по годам'!K340)&lt;&gt;0),'Дивиденды по годам'!L340/('Дивиденды по годам'!I340-'Дивиденды по годам'!J340-'Дивиденды по годам'!K340),""),"")</f>
        <v>0.85335468567742101</v>
      </c>
      <c r="T340">
        <f>IFERROR(IF(AND('Дивиденды по годам'!Q340&lt;&gt;"",'Дивиденды по годам'!I340&lt;&gt;"",'Дивиденды по годам'!V340&lt;&gt;"",('Дивиденды по годам'!I340+'Дивиденды по годам'!V340)&lt;&gt;0),'Дивиденды по годам'!Q340/(('Дивиденды по годам'!I340+'Дивиденды по годам'!V340)/2),""),"")</f>
        <v>0.22491951622726877</v>
      </c>
      <c r="U340">
        <f>IFERROR(IF(AND('Дивиденды по годам'!J340&lt;&gt;"",'Дивиденды по годам'!K340&lt;&gt;"",'Дивиденды по годам'!M340&lt;&gt;"",'Дивиденды по годам'!M340&lt;&gt;0),('Дивиденды по годам'!J340+'Дивиденды по годам'!K340)/'Дивиденды по годам'!M340,""),"")</f>
        <v>0.61953348495018146</v>
      </c>
      <c r="V340">
        <f>IFERROR(IF(AND('Дивиденды по годам'!J340&lt;&gt;"",'Дивиденды по годам'!K340&lt;&gt;"",'Дивиденды по годам'!M340&lt;&gt;"",'Дивиденды по годам'!I340&lt;&gt;0),('Дивиденды по годам'!J340+'Дивиденды по годам'!K340)/'Дивиденды по годам'!I340,""),"")</f>
        <v>0.38253823752785143</v>
      </c>
      <c r="W340">
        <f>IFERROR('Дивиденды по годам'!I340,"")</f>
        <v>994115000000</v>
      </c>
      <c r="X340" cm="1">
        <f t="array" ref="X340">IFERROR(AVERAGE(_xlfn._xlws.FILTER(P$2:P$1073,($C$2:$C$1073=$C340)*($E$2:$E$1073=$E340)*(ROW(P$2:P$1073)&lt;&gt;ROW(P340))*(P$2:P$1073&lt;&gt;""))),"")</f>
        <v>27.169423768544611</v>
      </c>
      <c r="Y340" cm="1">
        <f t="array" ref="Y340">IFERROR(AVERAGE(_xlfn._xlws.FILTER(Q$2:Q$1073,($C$2:$C$1073=$C340)*($E$2:$E$1073=$E340)*(ROW(Q$2:Q$1073)&lt;&gt;ROW(Q340))*(Q$2:Q$1073&lt;&gt;""))),"")</f>
        <v>0.46248929886742685</v>
      </c>
      <c r="Z340" cm="1">
        <f t="array" ref="Z340">IFERROR(AVERAGE(_xlfn._xlws.FILTER(R$2:R$1073,($C$2:$C$1073=$C340)*($E$2:$E$1073=$E340)*(ROW(R$2:R$1073)&lt;&gt;ROW(R340))*(R$2:R$1073&lt;&gt;""))),"")</f>
        <v>0.13716746141166553</v>
      </c>
      <c r="AA340" cm="1">
        <f t="array" ref="AA340">IFERROR(AVERAGE(_xlfn._xlws.FILTER(S$2:S$1073,($C$2:$C$1073=$C340)*($E$2:$E$1073=$E340)*(ROW(S$2:S$1073)&lt;&gt;ROW(S340))*(S$2:S$1073&lt;&gt;""))),"")</f>
        <v>6.3098225374954117E-2</v>
      </c>
      <c r="AB340" cm="1">
        <f t="array" ref="AB340">IFERROR(AVERAGE(_xlfn._xlws.FILTER(T$2:T$1073,($C$2:$C$1073=$C340)*($E$2:$E$1073=$E340)*(ROW(T$2:T$1073)&lt;&gt;ROW(T340))*(T$2:T$1073&lt;&gt;""))),"")</f>
        <v>0.10774637286398903</v>
      </c>
      <c r="AC340" cm="1">
        <f t="array" ref="AC340">IFERROR(AVERAGE(_xlfn._xlws.FILTER(U$2:U$1073,($C$2:$C$1073=$C340)*($E$2:$E$1073=$E340)*(ROW(U$2:U$1073)&lt;&gt;ROW(U340))*(U$2:U$1073&lt;&gt;""))),"")</f>
        <v>-0.67516337410947147</v>
      </c>
      <c r="AD340" cm="1">
        <f t="array" ref="AD340">IFERROR(AVERAGE(_xlfn._xlws.FILTER(V$2:V$1073,($C$2:$C$1073=$C340)*($E$2:$E$1073=$E340)*(ROW(V$2:V$1073)&lt;&gt;ROW(V340))*(V$2:V$1073&lt;&gt;""))),"")</f>
        <v>0.61942444943359443</v>
      </c>
      <c r="AE340">
        <f>IF('Дивиденды по годам'!M340&lt;0,1,0)</f>
        <v>0</v>
      </c>
    </row>
    <row r="341" spans="1:31" x14ac:dyDescent="0.2">
      <c r="A341" s="7" t="s">
        <v>2221</v>
      </c>
      <c r="B341" t="str">
        <f t="shared" si="55"/>
        <v>CHMF IV кв. 2022</v>
      </c>
      <c r="C341">
        <v>2022</v>
      </c>
      <c r="D341">
        <f>SUMIFS(Дивиденды!$C:$C,Дивиденды!$A:$A,A341,Дивиденды!$I:$I,C341)</f>
        <v>0</v>
      </c>
      <c r="E341">
        <v>3</v>
      </c>
      <c r="F341">
        <f t="shared" si="56"/>
        <v>0</v>
      </c>
      <c r="G341">
        <f t="shared" si="57"/>
        <v>1.73</v>
      </c>
      <c r="H341">
        <f t="shared" si="58"/>
        <v>0</v>
      </c>
      <c r="I341">
        <f t="shared" si="59"/>
        <v>0.2</v>
      </c>
      <c r="J341">
        <f t="shared" si="60"/>
        <v>-1</v>
      </c>
      <c r="K341">
        <f t="shared" si="65"/>
        <v>-0.50242800677583288</v>
      </c>
      <c r="L341">
        <f t="shared" si="61"/>
        <v>0</v>
      </c>
      <c r="M341">
        <f t="shared" si="62"/>
        <v>0.1</v>
      </c>
      <c r="N341">
        <f t="shared" si="63"/>
        <v>1</v>
      </c>
      <c r="O341">
        <f t="shared" si="64"/>
        <v>0.7</v>
      </c>
      <c r="P341">
        <f>IFERROR(LN('Дивиденды по годам'!I341),"")</f>
        <v>27.316084318143545</v>
      </c>
      <c r="Q341">
        <f>IFERROR('Дивиденды по годам'!G341/'Дивиденды по годам'!I341, "")</f>
        <v>0.47345769934300219</v>
      </c>
      <c r="R341">
        <f>IFERROR(IF(AND('Дивиденды по годам'!N341&lt;&gt;"",'Дивиденды по годам'!U341&lt;&gt;"",'Дивиденды по годам'!U341&lt;&gt;0),'Дивиденды по годам'!N341/'Дивиденды по годам'!U341-1,""),"")</f>
        <v>-0.20542291638670707</v>
      </c>
      <c r="S341">
        <f>IFERROR(IF(AND('Дивиденды по годам'!L341&lt;&gt;"",'Дивиденды по годам'!I341&lt;&gt;"",'Дивиденды по годам'!J341&lt;&gt;"",'Дивиденды по годам'!K341&lt;&gt;"",('Дивиденды по годам'!I341-'Дивиденды по годам'!J341-'Дивиденды по годам'!K341)&lt;&gt;0),'Дивиденды по годам'!L341/('Дивиденды по годам'!I341-'Дивиденды по годам'!J341-'Дивиденды по годам'!K341),""),"")</f>
        <v>0.76341713423788815</v>
      </c>
      <c r="T341">
        <f>IFERROR(IF(AND('Дивиденды по годам'!Q341&lt;&gt;"",'Дивиденды по годам'!I341&lt;&gt;"",'Дивиденды по годам'!V341&lt;&gt;"",('Дивиденды по годам'!I341+'Дивиденды по годам'!V341)&lt;&gt;0),'Дивиденды по годам'!Q341/(('Дивиденды по годам'!I341+'Дивиденды по годам'!V341)/2),""),"")</f>
        <v>0.1582693864543272</v>
      </c>
      <c r="U341">
        <f>IFERROR(IF(AND('Дивиденды по годам'!J341&lt;&gt;"",'Дивиденды по годам'!K341&lt;&gt;"",'Дивиденды по годам'!M341&lt;&gt;"",'Дивиденды по годам'!M341&lt;&gt;0),('Дивиденды по годам'!J341+'Дивиденды по годам'!K341)/'Дивиденды по годам'!M341,""),"")</f>
        <v>0.7041190631297034</v>
      </c>
      <c r="V341">
        <f>IFERROR(IF(AND('Дивиденды по годам'!J341&lt;&gt;"",'Дивиденды по годам'!K341&lt;&gt;"",'Дивиденды по годам'!M341&lt;&gt;"",'Дивиденды по годам'!I341&lt;&gt;0),('Дивиденды по годам'!J341+'Дивиденды по годам'!K341)/'Дивиденды по годам'!I341,""),"")</f>
        <v>0.4131865421636397</v>
      </c>
      <c r="W341">
        <f>IFERROR('Дивиденды по годам'!I341,"")</f>
        <v>729835000000</v>
      </c>
      <c r="X341" cm="1">
        <f t="array" ref="X341">IFERROR(AVERAGE(_xlfn._xlws.FILTER(P$2:P$1073,($C$2:$C$1073=$C341)*($E$2:$E$1073=$E341)*(ROW(P$2:P$1073)&lt;&gt;ROW(P341))*(P$2:P$1073&lt;&gt;""))),"")</f>
        <v>27.059508286863384</v>
      </c>
      <c r="Y341" cm="1">
        <f t="array" ref="Y341">IFERROR(AVERAGE(_xlfn._xlws.FILTER(Q$2:Q$1073,($C$2:$C$1073=$C341)*($E$2:$E$1073=$E341)*(ROW(Q$2:Q$1073)&lt;&gt;ROW(Q341))*(Q$2:Q$1073&lt;&gt;""))),"")</f>
        <v>0.47161920005759422</v>
      </c>
      <c r="Z341" cm="1">
        <f t="array" ref="Z341">IFERROR(AVERAGE(_xlfn._xlws.FILTER(R$2:R$1073,($C$2:$C$1073=$C341)*($E$2:$E$1073=$E341)*(ROW(R$2:R$1073)&lt;&gt;ROW(R341))*(R$2:R$1073&lt;&gt;""))),"")</f>
        <v>-3.3187818224924559E-3</v>
      </c>
      <c r="AA341" cm="1">
        <f t="array" ref="AA341">IFERROR(AVERAGE(_xlfn._xlws.FILTER(S$2:S$1073,($C$2:$C$1073=$C341)*($E$2:$E$1073=$E341)*(ROW(S$2:S$1073)&lt;&gt;ROW(S341))*(S$2:S$1073&lt;&gt;""))),"")</f>
        <v>0.86065673021389588</v>
      </c>
      <c r="AB341" cm="1">
        <f t="array" ref="AB341">IFERROR(AVERAGE(_xlfn._xlws.FILTER(T$2:T$1073,($C$2:$C$1073=$C341)*($E$2:$E$1073=$E341)*(ROW(T$2:T$1073)&lt;&gt;ROW(T341))*(T$2:T$1073&lt;&gt;""))),"")</f>
        <v>0.15870974926987524</v>
      </c>
      <c r="AC341" cm="1">
        <f t="array" ref="AC341">IFERROR(AVERAGE(_xlfn._xlws.FILTER(U$2:U$1073,($C$2:$C$1073=$C341)*($E$2:$E$1073=$E341)*(ROW(U$2:U$1073)&lt;&gt;ROW(U341))*(U$2:U$1073&lt;&gt;""))),"")</f>
        <v>1.1982809960811465</v>
      </c>
      <c r="AD341" cm="1">
        <f t="array" ref="AD341">IFERROR(AVERAGE(_xlfn._xlws.FILTER(V$2:V$1073,($C$2:$C$1073=$C341)*($E$2:$E$1073=$E341)*(ROW(V$2:V$1073)&lt;&gt;ROW(V341))*(V$2:V$1073&lt;&gt;""))),"")</f>
        <v>0.57966913460999014</v>
      </c>
      <c r="AE341">
        <f>IF('Дивиденды по годам'!M341&lt;0,1,0)</f>
        <v>0</v>
      </c>
    </row>
    <row r="342" spans="1:31" x14ac:dyDescent="0.2">
      <c r="A342" s="7" t="s">
        <v>2221</v>
      </c>
      <c r="B342" t="str">
        <f t="shared" si="55"/>
        <v>CHMF IV кв. 2021</v>
      </c>
      <c r="C342">
        <v>2021</v>
      </c>
      <c r="D342">
        <f>SUMIFS(Дивиденды!$C:$C,Дивиденды!$A:$A,A342,Дивиденды!$I:$I,C342)</f>
        <v>217.15</v>
      </c>
      <c r="E342">
        <v>3</v>
      </c>
      <c r="F342">
        <f t="shared" si="56"/>
        <v>217.15</v>
      </c>
      <c r="G342">
        <f t="shared" si="57"/>
        <v>15.14</v>
      </c>
      <c r="H342">
        <f t="shared" si="58"/>
        <v>1</v>
      </c>
      <c r="I342">
        <f t="shared" si="59"/>
        <v>0.7</v>
      </c>
      <c r="J342">
        <f t="shared" si="60"/>
        <v>0.86554982817869408</v>
      </c>
      <c r="K342">
        <f t="shared" si="65"/>
        <v>0.64414134375292709</v>
      </c>
      <c r="L342">
        <f t="shared" si="61"/>
        <v>1</v>
      </c>
      <c r="M342">
        <f t="shared" si="62"/>
        <v>0.4</v>
      </c>
      <c r="N342">
        <f t="shared" si="63"/>
        <v>0</v>
      </c>
      <c r="O342">
        <f t="shared" si="64"/>
        <v>0.2</v>
      </c>
      <c r="P342">
        <f>IFERROR(LN('Дивиденды по годам'!I342),"")</f>
        <v>27.183934571806915</v>
      </c>
      <c r="Q342">
        <f>IFERROR('Дивиденды по годам'!G342/'Дивиденды по годам'!I342, "")</f>
        <v>0.57175819104753112</v>
      </c>
      <c r="R342">
        <f>IFERROR(IF(AND('Дивиденды по годам'!N342&lt;&gt;"",'Дивиденды по годам'!U342&lt;&gt;"",'Дивиденды по годам'!U342&lt;&gt;0),'Дивиденды по годам'!N342/'Дивиденды по годам'!U342-1,""),"")</f>
        <v>0.76097188192210075</v>
      </c>
      <c r="S342">
        <f>IFERROR(IF(AND('Дивиденды по годам'!L342&lt;&gt;"",'Дивиденды по годам'!I342&lt;&gt;"",'Дивиденды по годам'!J342&lt;&gt;"",'Дивиденды по годам'!K342&lt;&gt;"",('Дивиденды по годам'!I342-'Дивиденды по годам'!J342-'Дивиденды по годам'!K342)&lt;&gt;0),'Дивиденды по годам'!L342/('Дивиденды по годам'!I342-'Дивиденды по годам'!J342-'Дивиденды по годам'!K342),""),"")</f>
        <v>0.87265383701591825</v>
      </c>
      <c r="T342">
        <f>IFERROR(IF(AND('Дивиденды по годам'!Q342&lt;&gt;"",'Дивиденды по годам'!I342&lt;&gt;"",'Дивиденды по годам'!V342&lt;&gt;"",('Дивиденды по годам'!I342+'Дивиденды по годам'!V342)&lt;&gt;0),'Дивиденды по годам'!Q342/(('Дивиденды по годам'!I342+'Дивиденды по годам'!V342)/2),""),"")</f>
        <v>0.512070265650172</v>
      </c>
      <c r="U342">
        <f>IFERROR(IF(AND('Дивиденды по годам'!J342&lt;&gt;"",'Дивиденды по годам'!K342&lt;&gt;"",'Дивиденды по годам'!M342&lt;&gt;"",'Дивиденды по годам'!M342&lt;&gt;0),('Дивиденды по годам'!J342+'Дивиденды по годам'!K342)/'Дивиденды по годам'!M342,""),"")</f>
        <v>1.0593965312425755</v>
      </c>
      <c r="V342">
        <f>IFERROR(IF(AND('Дивиденды по годам'!J342&lt;&gt;"",'Дивиденды по годам'!K342&lt;&gt;"",'Дивиденды по годам'!M342&lt;&gt;"",'Дивиденды по годам'!I342&lt;&gt;0),('Дивиденды по годам'!J342+'Дивиденды по годам'!K342)/'Дивиденды по годам'!I342,""),"")</f>
        <v>0.51442085832948781</v>
      </c>
      <c r="W342">
        <f>IFERROR('Дивиденды по годам'!I342,"")</f>
        <v>639488561904.00012</v>
      </c>
      <c r="X342" cm="1">
        <f t="array" ref="X342">IFERROR(AVERAGE(_xlfn._xlws.FILTER(P$2:P$1073,($C$2:$C$1073=$C342)*($E$2:$E$1073=$E342)*(ROW(P$2:P$1073)&lt;&gt;ROW(P342))*(P$2:P$1073&lt;&gt;""))),"")</f>
        <v>26.96490274501128</v>
      </c>
      <c r="Y342" cm="1">
        <f t="array" ref="Y342">IFERROR(AVERAGE(_xlfn._xlws.FILTER(Q$2:Q$1073,($C$2:$C$1073=$C342)*($E$2:$E$1073=$E342)*(ROW(Q$2:Q$1073)&lt;&gt;ROW(Q342))*(Q$2:Q$1073&lt;&gt;""))),"")</f>
        <v>0.47929551399513526</v>
      </c>
      <c r="Z342" cm="1">
        <f t="array" ref="Z342">IFERROR(AVERAGE(_xlfn._xlws.FILTER(R$2:R$1073,($C$2:$C$1073=$C342)*($E$2:$E$1073=$E342)*(ROW(R$2:R$1073)&lt;&gt;ROW(R342))*(R$2:R$1073&lt;&gt;""))),"")</f>
        <v>0.67533413021112909</v>
      </c>
      <c r="AA342" cm="1">
        <f t="array" ref="AA342">IFERROR(AVERAGE(_xlfn._xlws.FILTER(S$2:S$1073,($C$2:$C$1073=$C342)*($E$2:$E$1073=$E342)*(ROW(S$2:S$1073)&lt;&gt;ROW(S342))*(S$2:S$1073&lt;&gt;""))),"")</f>
        <v>1.0516819090446632</v>
      </c>
      <c r="AB342" cm="1">
        <f t="array" ref="AB342">IFERROR(AVERAGE(_xlfn._xlws.FILTER(T$2:T$1073,($C$2:$C$1073=$C342)*($E$2:$E$1073=$E342)*(ROW(T$2:T$1073)&lt;&gt;ROW(T342))*(T$2:T$1073&lt;&gt;""))),"")</f>
        <v>0.26488626474388416</v>
      </c>
      <c r="AC342" cm="1">
        <f t="array" ref="AC342">IFERROR(AVERAGE(_xlfn._xlws.FILTER(U$2:U$1073,($C$2:$C$1073=$C342)*($E$2:$E$1073=$E342)*(ROW(U$2:U$1073)&lt;&gt;ROW(U342))*(U$2:U$1073&lt;&gt;""))),"")</f>
        <v>2.1470365752248832</v>
      </c>
      <c r="AD342" cm="1">
        <f t="array" ref="AD342">IFERROR(AVERAGE(_xlfn._xlws.FILTER(V$2:V$1073,($C$2:$C$1073=$C342)*($E$2:$E$1073=$E342)*(ROW(V$2:V$1073)&lt;&gt;ROW(V342))*(V$2:V$1073&lt;&gt;""))),"")</f>
        <v>0.68172847866487474</v>
      </c>
      <c r="AE342">
        <f>IF('Дивиденды по годам'!M342&lt;0,1,0)</f>
        <v>0</v>
      </c>
    </row>
    <row r="343" spans="1:31" x14ac:dyDescent="0.2">
      <c r="A343" s="7" t="s">
        <v>2221</v>
      </c>
      <c r="B343" t="str">
        <f t="shared" si="55"/>
        <v>CHMF IV кв. 2020</v>
      </c>
      <c r="C343">
        <v>2020</v>
      </c>
      <c r="D343">
        <f>SUMIFS(Дивиденды!$C:$C,Дивиденды!$A:$A,A343,Дивиденды!$I:$I,C343)</f>
        <v>116.4</v>
      </c>
      <c r="E343">
        <v>3</v>
      </c>
      <c r="F343">
        <f t="shared" si="56"/>
        <v>116.4</v>
      </c>
      <c r="G343">
        <f t="shared" si="57"/>
        <v>12.343999999999999</v>
      </c>
      <c r="H343">
        <f t="shared" si="58"/>
        <v>1</v>
      </c>
      <c r="I343">
        <f t="shared" si="59"/>
        <v>0.7</v>
      </c>
      <c r="J343">
        <f t="shared" si="60"/>
        <v>4.4874007594062479E-3</v>
      </c>
      <c r="K343">
        <f t="shared" si="65"/>
        <v>0.65893080863404396</v>
      </c>
      <c r="L343">
        <f t="shared" si="61"/>
        <v>1</v>
      </c>
      <c r="M343">
        <f t="shared" si="62"/>
        <v>0.6</v>
      </c>
      <c r="N343">
        <f t="shared" si="63"/>
        <v>0</v>
      </c>
      <c r="O343">
        <f t="shared" si="64"/>
        <v>0.1</v>
      </c>
      <c r="P343">
        <f>IFERROR(LN('Дивиденды по годам'!I343),"")</f>
        <v>27.004992324914415</v>
      </c>
      <c r="Q343">
        <f>IFERROR('Дивиденды по годам'!G343/'Дивиденды по годам'!I343, "")</f>
        <v>0.64169821525148729</v>
      </c>
      <c r="R343">
        <f>IFERROR(IF(AND('Дивиденды по годам'!N343&lt;&gt;"",'Дивиденды по годам'!U343&lt;&gt;"",'Дивиденды по годам'!U343&lt;&gt;0),'Дивиденды по годам'!N343/'Дивиденды по годам'!U343-1,""),"")</f>
        <v>-7.598657665202968E-2</v>
      </c>
      <c r="S343">
        <f>IFERROR(IF(AND('Дивиденды по годам'!L343&lt;&gt;"",'Дивиденды по годам'!I343&lt;&gt;"",'Дивиденды по годам'!J343&lt;&gt;"",'Дивиденды по годам'!K343&lt;&gt;"",('Дивиденды по годам'!I343-'Дивиденды по годам'!J343-'Дивиденды по годам'!K343)&lt;&gt;0),'Дивиденды по годам'!L343/('Дивиденды по годам'!I343-'Дивиденды по годам'!J343-'Дивиденды по годам'!K343),""),"")</f>
        <v>0.83090379008746362</v>
      </c>
      <c r="T343">
        <f>IFERROR(IF(AND('Дивиденды по годам'!Q343&lt;&gt;"",'Дивиденды по годам'!I343&lt;&gt;"",'Дивиденды по годам'!V343&lt;&gt;"",('Дивиденды по годам'!I343+'Дивиденды по годам'!V343)&lt;&gt;0),'Дивиденды по годам'!Q343/(('Дивиденды по годам'!I343+'Дивиденды по годам'!V343)/2),""),"")</f>
        <v>0.13773698566540099</v>
      </c>
      <c r="U343">
        <f>IFERROR(IF(AND('Дивиденды по годам'!J343&lt;&gt;"",'Дивиденды по годам'!K343&lt;&gt;"",'Дивиденды по годам'!M343&lt;&gt;"",'Дивиденды по годам'!M343&lt;&gt;0),('Дивиденды по годам'!J343+'Дивиденды по годам'!K343)/'Дивиденды по годам'!M343,""),"")</f>
        <v>1.6953352769679297</v>
      </c>
      <c r="V343">
        <f>IFERROR(IF(AND('Дивиденды по годам'!J343&lt;&gt;"",'Дивиденды по годам'!K343&lt;&gt;"",'Дивиденды по годам'!M343&lt;&gt;"",'Дивиденды по годам'!I343&lt;&gt;0),('Дивиденды по годам'!J343+'Дивиденды по годам'!K343)/'Дивиденды по годам'!I343,""),"")</f>
        <v>0.62898864250946451</v>
      </c>
      <c r="W343">
        <f>IFERROR('Дивиденды по годам'!I343,"")</f>
        <v>534711039537.28253</v>
      </c>
      <c r="X343" cm="1">
        <f t="array" ref="X343">IFERROR(AVERAGE(_xlfn._xlws.FILTER(P$2:P$1073,($C$2:$C$1073=$C343)*($E$2:$E$1073=$E343)*(ROW(P$2:P$1073)&lt;&gt;ROW(P343))*(P$2:P$1073&lt;&gt;""))),"")</f>
        <v>26.800041779931483</v>
      </c>
      <c r="Y343" cm="1">
        <f t="array" ref="Y343">IFERROR(AVERAGE(_xlfn._xlws.FILTER(Q$2:Q$1073,($C$2:$C$1073=$C343)*($E$2:$E$1073=$E343)*(ROW(Q$2:Q$1073)&lt;&gt;ROW(Q343))*(Q$2:Q$1073&lt;&gt;""))),"")</f>
        <v>0.49255775812782038</v>
      </c>
      <c r="Z343" cm="1">
        <f t="array" ref="Z343">IFERROR(AVERAGE(_xlfn._xlws.FILTER(R$2:R$1073,($C$2:$C$1073=$C343)*($E$2:$E$1073=$E343)*(ROW(R$2:R$1073)&lt;&gt;ROW(R343))*(R$2:R$1073&lt;&gt;""))),"")</f>
        <v>3.755012610553686E-2</v>
      </c>
      <c r="AA343" cm="1">
        <f t="array" ref="AA343">IFERROR(AVERAGE(_xlfn._xlws.FILTER(S$2:S$1073,($C$2:$C$1073=$C343)*($E$2:$E$1073=$E343)*(ROW(S$2:S$1073)&lt;&gt;ROW(S343))*(S$2:S$1073&lt;&gt;""))),"")</f>
        <v>1.0620099005367629</v>
      </c>
      <c r="AB343" cm="1">
        <f t="array" ref="AB343">IFERROR(AVERAGE(_xlfn._xlws.FILTER(T$2:T$1073,($C$2:$C$1073=$C343)*($E$2:$E$1073=$E343)*(ROW(T$2:T$1073)&lt;&gt;ROW(T343))*(T$2:T$1073&lt;&gt;""))),"")</f>
        <v>8.9954992940259437E-2</v>
      </c>
      <c r="AC343" cm="1">
        <f t="array" ref="AC343">IFERROR(AVERAGE(_xlfn._xlws.FILTER(U$2:U$1073,($C$2:$C$1073=$C343)*($E$2:$E$1073=$E343)*(ROW(U$2:U$1073)&lt;&gt;ROW(U343))*(U$2:U$1073&lt;&gt;""))),"")</f>
        <v>1.6552879293943188</v>
      </c>
      <c r="AD343" cm="1">
        <f t="array" ref="AD343">IFERROR(AVERAGE(_xlfn._xlws.FILTER(V$2:V$1073,($C$2:$C$1073=$C343)*($E$2:$E$1073=$E343)*(ROW(V$2:V$1073)&lt;&gt;ROW(V343))*(V$2:V$1073&lt;&gt;""))),"")</f>
        <v>0.77771546080750698</v>
      </c>
      <c r="AE343">
        <f>IF('Дивиденды по годам'!M343&lt;0,1,0)</f>
        <v>0</v>
      </c>
    </row>
    <row r="344" spans="1:31" x14ac:dyDescent="0.2">
      <c r="A344" s="7" t="s">
        <v>2221</v>
      </c>
      <c r="B344" t="str">
        <f t="shared" si="55"/>
        <v>CHMF IV кв. 2019</v>
      </c>
      <c r="C344">
        <v>2019</v>
      </c>
      <c r="D344">
        <f>SUMIFS(Дивиденды!$C:$C,Дивиденды!$A:$A,A344,Дивиденды!$I:$I,C344)</f>
        <v>115.88000000000001</v>
      </c>
      <c r="E344">
        <v>3</v>
      </c>
      <c r="F344">
        <f t="shared" si="56"/>
        <v>115.88000000000001</v>
      </c>
      <c r="G344">
        <f t="shared" si="57"/>
        <v>8.0030000000000001</v>
      </c>
      <c r="H344">
        <f t="shared" si="58"/>
        <v>1</v>
      </c>
      <c r="I344">
        <f t="shared" si="59"/>
        <v>0.7</v>
      </c>
      <c r="J344">
        <f t="shared" si="60"/>
        <v>-0.27903938281590224</v>
      </c>
      <c r="K344">
        <f t="shared" si="65"/>
        <v>0.27951053394179137</v>
      </c>
      <c r="L344">
        <f t="shared" si="61"/>
        <v>0</v>
      </c>
      <c r="M344">
        <f t="shared" si="62"/>
        <v>0.4</v>
      </c>
      <c r="N344">
        <f t="shared" si="63"/>
        <v>1</v>
      </c>
      <c r="O344">
        <f t="shared" si="64"/>
        <v>0.3</v>
      </c>
      <c r="P344">
        <f>IFERROR(LN('Дивиденды по годам'!I344),"")</f>
        <v>26.999671946259443</v>
      </c>
      <c r="Q344">
        <f>IFERROR('Дивиденды по годам'!G344/'Дивиденды по годам'!I344, "")</f>
        <v>0.5679883240087571</v>
      </c>
      <c r="R344">
        <f>IFERROR(IF(AND('Дивиденды по годам'!N344&lt;&gt;"",'Дивиденды по годам'!U344&lt;&gt;"",'Дивиденды по годам'!U344&lt;&gt;0),'Дивиденды по годам'!N344/'Дивиденды по годам'!U344-1,""),"")</f>
        <v>-2.1779066485926979E-2</v>
      </c>
      <c r="S344">
        <f>IFERROR(IF(AND('Дивиденды по годам'!L344&lt;&gt;"",'Дивиденды по годам'!I344&lt;&gt;"",'Дивиденды по годам'!J344&lt;&gt;"",'Дивиденды по годам'!K344&lt;&gt;"",('Дивиденды по годам'!I344-'Дивиденды по годам'!J344-'Дивиденды по годам'!K344)&lt;&gt;0),'Дивиденды по годам'!L344/('Дивиденды по годам'!I344-'Дивиденды по годам'!J344-'Дивиденды по годам'!K344),""),"")</f>
        <v>0.71391604370327766</v>
      </c>
      <c r="T344">
        <f>IFERROR(IF(AND('Дивиденды по годам'!Q344&lt;&gt;"",'Дивиденды по годам'!I344&lt;&gt;"",'Дивиденды по годам'!V344&lt;&gt;"",('Дивиденды по годам'!I344+'Дивиденды по годам'!V344)&lt;&gt;0),'Дивиденды по годам'!Q344/(('Дивиденды по годам'!I344+'Дивиденды по годам'!V344)/2),""),"")</f>
        <v>0.25368360416329933</v>
      </c>
      <c r="U344">
        <f>IFERROR(IF(AND('Дивиденды по годам'!J344&lt;&gt;"",'Дивиденды по годам'!K344&lt;&gt;"",'Дивиденды по годам'!M344&lt;&gt;"",'Дивиденды по годам'!M344&lt;&gt;0),('Дивиденды по годам'!J344+'Дивиденды по годам'!K344)/'Дивиденды по годам'!M344,""),"")</f>
        <v>1.3640023001725128</v>
      </c>
      <c r="V344">
        <f>IFERROR(IF(AND('Дивиденды по годам'!J344&lt;&gt;"",'Дивиденды по годам'!K344&lt;&gt;"",'Дивиденды по годам'!M344&lt;&gt;"",'Дивиденды по годам'!I344&lt;&gt;0),('Дивиденды по годам'!J344+'Дивиденды по годам'!K344)/'Дивиденды по годам'!I344,""),"")</f>
        <v>0.5769885672585745</v>
      </c>
      <c r="W344">
        <f>IFERROR('Дивиденды по годам'!I344,"")</f>
        <v>531873728812.49963</v>
      </c>
      <c r="X344" cm="1">
        <f t="array" ref="X344">IFERROR(AVERAGE(_xlfn._xlws.FILTER(P$2:P$1073,($C$2:$C$1073=$C344)*($E$2:$E$1073=$E344)*(ROW(P$2:P$1073)&lt;&gt;ROW(P344))*(P$2:P$1073&lt;&gt;""))),"")</f>
        <v>26.685661910330726</v>
      </c>
      <c r="Y344" cm="1">
        <f t="array" ref="Y344">IFERROR(AVERAGE(_xlfn._xlws.FILTER(Q$2:Q$1073,($C$2:$C$1073=$C344)*($E$2:$E$1073=$E344)*(ROW(Q$2:Q$1073)&lt;&gt;ROW(Q344))*(Q$2:Q$1073&lt;&gt;""))),"")</f>
        <v>0.49399030479347361</v>
      </c>
      <c r="Z344" cm="1">
        <f t="array" ref="Z344">IFERROR(AVERAGE(_xlfn._xlws.FILTER(R$2:R$1073,($C$2:$C$1073=$C344)*($E$2:$E$1073=$E344)*(ROW(R$2:R$1073)&lt;&gt;ROW(R344))*(R$2:R$1073&lt;&gt;""))),"")</f>
        <v>4.4936470915771631E-2</v>
      </c>
      <c r="AA344" cm="1">
        <f t="array" ref="AA344">IFERROR(AVERAGE(_xlfn._xlws.FILTER(S$2:S$1073,($C$2:$C$1073=$C344)*($E$2:$E$1073=$E344)*(ROW(S$2:S$1073)&lt;&gt;ROW(S344))*(S$2:S$1073&lt;&gt;""))),"")</f>
        <v>0.92760721491256215</v>
      </c>
      <c r="AB344" cm="1">
        <f t="array" ref="AB344">IFERROR(AVERAGE(_xlfn._xlws.FILTER(T$2:T$1073,($C$2:$C$1073=$C344)*($E$2:$E$1073=$E344)*(ROW(T$2:T$1073)&lt;&gt;ROW(T344))*(T$2:T$1073&lt;&gt;""))),"")</f>
        <v>0.12643336443809888</v>
      </c>
      <c r="AC344" cm="1">
        <f t="array" ref="AC344">IFERROR(AVERAGE(_xlfn._xlws.FILTER(U$2:U$1073,($C$2:$C$1073=$C344)*($E$2:$E$1073=$E344)*(ROW(U$2:U$1073)&lt;&gt;ROW(U344))*(U$2:U$1073&lt;&gt;""))),"")</f>
        <v>1.5785051029941806</v>
      </c>
      <c r="AD344" cm="1">
        <f t="array" ref="AD344">IFERROR(AVERAGE(_xlfn._xlws.FILTER(V$2:V$1073,($C$2:$C$1073=$C344)*($E$2:$E$1073=$E344)*(ROW(V$2:V$1073)&lt;&gt;ROW(V344))*(V$2:V$1073&lt;&gt;""))),"")</f>
        <v>0.68318809567682381</v>
      </c>
      <c r="AE344">
        <f>IF('Дивиденды по годам'!M344&lt;0,1,0)</f>
        <v>0</v>
      </c>
    </row>
    <row r="345" spans="1:31" x14ac:dyDescent="0.2">
      <c r="A345" s="7" t="s">
        <v>2221</v>
      </c>
      <c r="B345" t="str">
        <f t="shared" si="55"/>
        <v>CHMF IV кв. 2018</v>
      </c>
      <c r="C345">
        <v>2018</v>
      </c>
      <c r="D345">
        <f>SUMIFS(Дивиденды!$C:$C,Дивиденды!$A:$A,A345,Дивиденды!$I:$I,C345)</f>
        <v>160.72999999999996</v>
      </c>
      <c r="E345">
        <v>3</v>
      </c>
      <c r="F345">
        <f t="shared" si="56"/>
        <v>160.72999999999996</v>
      </c>
      <c r="G345">
        <f t="shared" si="57"/>
        <v>6.6219999999999999</v>
      </c>
      <c r="H345">
        <f t="shared" si="58"/>
        <v>1</v>
      </c>
      <c r="I345">
        <f t="shared" si="59"/>
        <v>0.4</v>
      </c>
      <c r="J345">
        <f t="shared" si="60"/>
        <v>0.46051794638800514</v>
      </c>
      <c r="K345">
        <f t="shared" si="65"/>
        <v>7.4805073597254787E-2</v>
      </c>
      <c r="L345">
        <f t="shared" si="61"/>
        <v>1</v>
      </c>
      <c r="M345">
        <f t="shared" si="62"/>
        <v>0.4</v>
      </c>
      <c r="N345">
        <f t="shared" si="63"/>
        <v>0</v>
      </c>
      <c r="O345">
        <f t="shared" si="64"/>
        <v>0.2</v>
      </c>
      <c r="P345">
        <f>IFERROR(LN('Дивиденды по годам'!I345),"")</f>
        <v>26.63485656244978</v>
      </c>
      <c r="Q345">
        <f>IFERROR('Дивиденды по годам'!G345/'Дивиденды по годам'!I345, "")</f>
        <v>0.59056860742254003</v>
      </c>
      <c r="R345">
        <f>IFERROR(IF(AND('Дивиденды по годам'!N345&lt;&gt;"",'Дивиденды по годам'!U345&lt;&gt;"",'Дивиденды по годам'!U345&lt;&gt;0),'Дивиденды по годам'!N345/'Дивиденды по годам'!U345-1,""),"")</f>
        <v>0.17869465360613601</v>
      </c>
      <c r="S345">
        <f>IFERROR(IF(AND('Дивиденды по годам'!L345&lt;&gt;"",'Дивиденды по годам'!I345&lt;&gt;"",'Дивиденды по годам'!J345&lt;&gt;"",'Дивиденды по годам'!K345&lt;&gt;"",('Дивиденды по годам'!I345-'Дивиденды по годам'!J345-'Дивиденды по годам'!K345)&lt;&gt;0),'Дивиденды по годам'!L345/('Дивиденды по годам'!I345-'Дивиденды по годам'!J345-'Дивиденды по годам'!K345),""),"")</f>
        <v>0.78985758944077811</v>
      </c>
      <c r="T345">
        <f>IFERROR(IF(AND('Дивиденды по годам'!Q345&lt;&gt;"",'Дивиденды по годам'!I345&lt;&gt;"",'Дивиденды по годам'!V345&lt;&gt;"",('Дивиденды по годам'!I345+'Дивиденды по годам'!V345)&lt;&gt;0),'Дивиденды по годам'!Q345/(('Дивиденды по годам'!I345+'Дивиденды по годам'!V345)/2),""),"")</f>
        <v>0.32657809237108471</v>
      </c>
      <c r="U345">
        <f>IFERROR(IF(AND('Дивиденды по годам'!J345&lt;&gt;"",'Дивиденды по годам'!K345&lt;&gt;"",'Дивиденды по годам'!M345&lt;&gt;"",'Дивиденды по годам'!M345&lt;&gt;0),('Дивиденды по годам'!J345+'Дивиденды по годам'!K345)/'Дивиденды по годам'!M345,""),"")</f>
        <v>1.0402917679749915</v>
      </c>
      <c r="V345">
        <f>IFERROR(IF(AND('Дивиденды по годам'!J345&lt;&gt;"",'Дивиденды по годам'!K345&lt;&gt;"",'Дивиденды по годам'!M345&lt;&gt;"",'Дивиденды по годам'!I345&lt;&gt;0),('Дивиденды по годам'!J345+'Дивиденды по годам'!K345)/'Дивиденды по годам'!I345,""),"")</f>
        <v>0.50987402110997626</v>
      </c>
      <c r="W345">
        <f>IFERROR('Дивиденды по годам'!I345,"")</f>
        <v>369293132429.90027</v>
      </c>
      <c r="X345" cm="1">
        <f t="array" ref="X345">IFERROR(AVERAGE(_xlfn._xlws.FILTER(P$2:P$1073,($C$2:$C$1073=$C345)*($E$2:$E$1073=$E345)*(ROW(P$2:P$1073)&lt;&gt;ROW(P345))*(P$2:P$1073&lt;&gt;""))),"")</f>
        <v>26.564113397332431</v>
      </c>
      <c r="Y345" cm="1">
        <f t="array" ref="Y345">IFERROR(AVERAGE(_xlfn._xlws.FILTER(Q$2:Q$1073,($C$2:$C$1073=$C345)*($E$2:$E$1073=$E345)*(ROW(Q$2:Q$1073)&lt;&gt;ROW(Q345))*(Q$2:Q$1073&lt;&gt;""))),"")</f>
        <v>0.51091446794420337</v>
      </c>
      <c r="Z345" cm="1">
        <f t="array" ref="Z345">IFERROR(AVERAGE(_xlfn._xlws.FILTER(R$2:R$1073,($C$2:$C$1073=$C345)*($E$2:$E$1073=$E345)*(ROW(R$2:R$1073)&lt;&gt;ROW(R345))*(R$2:R$1073&lt;&gt;""))),"")</f>
        <v>0.22142650197353078</v>
      </c>
      <c r="AA345" cm="1">
        <f t="array" ref="AA345">IFERROR(AVERAGE(_xlfn._xlws.FILTER(S$2:S$1073,($C$2:$C$1073=$C345)*($E$2:$E$1073=$E345)*(ROW(S$2:S$1073)&lt;&gt;ROW(S345))*(S$2:S$1073&lt;&gt;""))),"")</f>
        <v>0.9368212976901823</v>
      </c>
      <c r="AB345" cm="1">
        <f t="array" ref="AB345">IFERROR(AVERAGE(_xlfn._xlws.FILTER(T$2:T$1073,($C$2:$C$1073=$C345)*($E$2:$E$1073=$E345)*(ROW(T$2:T$1073)&lt;&gt;ROW(T345))*(T$2:T$1073&lt;&gt;""))),"")</f>
        <v>0.13810503045870579</v>
      </c>
      <c r="AC345" cm="1">
        <f t="array" ref="AC345">IFERROR(AVERAGE(_xlfn._xlws.FILTER(U$2:U$1073,($C$2:$C$1073=$C345)*($E$2:$E$1073=$E345)*(ROW(U$2:U$1073)&lt;&gt;ROW(U345))*(U$2:U$1073&lt;&gt;""))),"")</f>
        <v>2.4680463335343581</v>
      </c>
      <c r="AD345" cm="1">
        <f t="array" ref="AD345">IFERROR(AVERAGE(_xlfn._xlws.FILTER(V$2:V$1073,($C$2:$C$1073=$C345)*($E$2:$E$1073=$E345)*(ROW(V$2:V$1073)&lt;&gt;ROW(V345))*(V$2:V$1073&lt;&gt;""))),"")</f>
        <v>0.70633054537003126</v>
      </c>
      <c r="AE345">
        <f>IF('Дивиденды по годам'!M345&lt;0,1,0)</f>
        <v>0</v>
      </c>
    </row>
    <row r="346" spans="1:31" x14ac:dyDescent="0.2">
      <c r="A346" s="7" t="s">
        <v>2221</v>
      </c>
      <c r="B346" t="str">
        <f t="shared" si="55"/>
        <v>CHMF IV кв. 2017</v>
      </c>
      <c r="C346">
        <v>2017</v>
      </c>
      <c r="D346">
        <f>SUMIFS(Дивиденды!$C:$C,Дивиденды!$A:$A,A346,Дивиденды!$I:$I,C346)</f>
        <v>110.05</v>
      </c>
      <c r="E346">
        <v>3</v>
      </c>
      <c r="F346">
        <f t="shared" si="56"/>
        <v>110.05</v>
      </c>
      <c r="G346">
        <f t="shared" si="57"/>
        <v>5.063876314825082</v>
      </c>
      <c r="H346">
        <f t="shared" si="58"/>
        <v>1</v>
      </c>
      <c r="I346">
        <f t="shared" si="59"/>
        <v>0.6</v>
      </c>
      <c r="J346">
        <f t="shared" si="60"/>
        <v>0.3653846153846152</v>
      </c>
      <c r="K346">
        <f t="shared" si="65"/>
        <v>8.0554563504143736E-2</v>
      </c>
      <c r="L346">
        <f t="shared" si="61"/>
        <v>1</v>
      </c>
      <c r="M346">
        <f t="shared" si="62"/>
        <v>0.4</v>
      </c>
      <c r="N346">
        <f t="shared" si="63"/>
        <v>0</v>
      </c>
      <c r="O346">
        <f t="shared" si="64"/>
        <v>0.2</v>
      </c>
      <c r="P346">
        <f>IFERROR(LN('Дивиденды по годам'!I346),"")</f>
        <v>26.764418565931873</v>
      </c>
      <c r="Q346">
        <f>IFERROR('Дивиденды по годам'!G346/'Дивиденды по годам'!I346, "")</f>
        <v>0.5133860452212512</v>
      </c>
      <c r="R346">
        <f>IFERROR(IF(AND('Дивиденды по годам'!N346&lt;&gt;"",'Дивиденды по годам'!U346&lt;&gt;"",'Дивиденды по годам'!U346&lt;&gt;0),'Дивиденды по годам'!N346/'Дивиденды по годам'!U346-1,""),"")</f>
        <v>0.15363388351137708</v>
      </c>
      <c r="S346">
        <f>IFERROR(IF(AND('Дивиденды по годам'!L346&lt;&gt;"",'Дивиденды по годам'!I346&lt;&gt;"",'Дивиденды по годам'!J346&lt;&gt;"",'Дивиденды по годам'!K346&lt;&gt;"",('Дивиденды по годам'!I346-'Дивиденды по годам'!J346-'Дивиденды по годам'!K346)&lt;&gt;0),'Дивиденды по годам'!L346/('Дивиденды по годам'!I346-'Дивиденды по годам'!J346-'Дивиденды по годам'!K346),""),"")</f>
        <v>0.64596821659799897</v>
      </c>
      <c r="T346">
        <f>IFERROR(IF(AND('Дивиденды по годам'!Q346&lt;&gt;"",'Дивиденды по годам'!I346&lt;&gt;"",'Дивиденды по годам'!V346&lt;&gt;"",('Дивиденды по годам'!I346+'Дивиденды по годам'!V346)&lt;&gt;0),'Дивиденды по годам'!Q346/(('Дивиденды по годам'!I346+'Дивиденды по годам'!V346)/2),""),"")</f>
        <v>0.18480823226536769</v>
      </c>
      <c r="U346">
        <f>IFERROR(IF(AND('Дивиденды по годам'!J346&lt;&gt;"",'Дивиденды по годам'!K346&lt;&gt;"",'Дивиденды по годам'!M346&lt;&gt;"",'Дивиденды по годам'!M346&lt;&gt;0),('Дивиденды по годам'!J346+'Дивиденды по годам'!K346)/'Дивиденды по годам'!M346,""),"")</f>
        <v>1.1215420835785757</v>
      </c>
      <c r="V346">
        <f>IFERROR(IF(AND('Дивиденды по годам'!J346&lt;&gt;"",'Дивиденды по годам'!K346&lt;&gt;"",'Дивиденды по годам'!M346&lt;&gt;"",'Дивиденды по годам'!I346&lt;&gt;0),('Дивиденды по годам'!J346+'Дивиденды по годам'!K346)/'Дивиденды по годам'!I346,""),"")</f>
        <v>0.52864474961853247</v>
      </c>
      <c r="W346">
        <f>IFERROR('Дивиденды по годам'!I346,"")</f>
        <v>420377336839.60376</v>
      </c>
      <c r="X346" cm="1">
        <f t="array" ref="X346">IFERROR(AVERAGE(_xlfn._xlws.FILTER(P$2:P$1073,($C$2:$C$1073=$C346)*($E$2:$E$1073=$E346)*(ROW(P$2:P$1073)&lt;&gt;ROW(P346))*(P$2:P$1073&lt;&gt;""))),"")</f>
        <v>26.521902496166696</v>
      </c>
      <c r="Y346" cm="1">
        <f t="array" ref="Y346">IFERROR(AVERAGE(_xlfn._xlws.FILTER(Q$2:Q$1073,($C$2:$C$1073=$C346)*($E$2:$E$1073=$E346)*(ROW(Q$2:Q$1073)&lt;&gt;ROW(Q346))*(Q$2:Q$1073&lt;&gt;""))),"")</f>
        <v>0.53813838927232871</v>
      </c>
      <c r="Z346" cm="1">
        <f t="array" ref="Z346">IFERROR(AVERAGE(_xlfn._xlws.FILTER(R$2:R$1073,($C$2:$C$1073=$C346)*($E$2:$E$1073=$E346)*(ROW(R$2:R$1073)&lt;&gt;ROW(R346))*(R$2:R$1073&lt;&gt;""))),"")</f>
        <v>9.490729404614906E-2</v>
      </c>
      <c r="AA346" cm="1">
        <f t="array" ref="AA346">IFERROR(AVERAGE(_xlfn._xlws.FILTER(S$2:S$1073,($C$2:$C$1073=$C346)*($E$2:$E$1073=$E346)*(ROW(S$2:S$1073)&lt;&gt;ROW(S346))*(S$2:S$1073&lt;&gt;""))),"")</f>
        <v>1.0990277870150751</v>
      </c>
      <c r="AB346" cm="1">
        <f t="array" ref="AB346">IFERROR(AVERAGE(_xlfn._xlws.FILTER(T$2:T$1073,($C$2:$C$1073=$C346)*($E$2:$E$1073=$E346)*(ROW(T$2:T$1073)&lt;&gt;ROW(T346))*(T$2:T$1073&lt;&gt;""))),"")</f>
        <v>0.11524185998858454</v>
      </c>
      <c r="AC346" cm="1">
        <f t="array" ref="AC346">IFERROR(AVERAGE(_xlfn._xlws.FILTER(U$2:U$1073,($C$2:$C$1073=$C346)*($E$2:$E$1073=$E346)*(ROW(U$2:U$1073)&lt;&gt;ROW(U346))*(U$2:U$1073&lt;&gt;""))),"")</f>
        <v>2.0639058748473453</v>
      </c>
      <c r="AD346" cm="1">
        <f t="array" ref="AD346">IFERROR(AVERAGE(_xlfn._xlws.FILTER(V$2:V$1073,($C$2:$C$1073=$C346)*($E$2:$E$1073=$E346)*(ROW(V$2:V$1073)&lt;&gt;ROW(V346))*(V$2:V$1073&lt;&gt;""))),"")</f>
        <v>0.70905790921827094</v>
      </c>
      <c r="AE346">
        <f>IF('Дивиденды по годам'!M346&lt;0,1,0)</f>
        <v>0</v>
      </c>
    </row>
    <row r="347" spans="1:31" x14ac:dyDescent="0.2">
      <c r="A347" s="7" t="s">
        <v>2221</v>
      </c>
      <c r="B347" t="str">
        <f t="shared" si="55"/>
        <v>CHMF IV кв. 2016</v>
      </c>
      <c r="C347">
        <v>2016</v>
      </c>
      <c r="D347">
        <f>SUMIFS(Дивиденды!$C:$C,Дивиденды!$A:$A,A347,Дивиденды!$I:$I,C347)</f>
        <v>80.600000000000009</v>
      </c>
      <c r="E347">
        <v>3</v>
      </c>
      <c r="F347">
        <f t="shared" si="56"/>
        <v>80.600000000000009</v>
      </c>
      <c r="G347">
        <f t="shared" si="57"/>
        <v>4.0356397126063834</v>
      </c>
      <c r="H347">
        <f t="shared" si="58"/>
        <v>1</v>
      </c>
      <c r="I347">
        <f t="shared" si="59"/>
        <v>0.6</v>
      </c>
      <c r="J347">
        <f t="shared" si="60"/>
        <v>0.36888586956521763</v>
      </c>
      <c r="K347">
        <f t="shared" si="65"/>
        <v>0.65079256908330951</v>
      </c>
      <c r="L347">
        <f t="shared" si="61"/>
        <v>1</v>
      </c>
      <c r="M347">
        <f t="shared" si="62"/>
        <v>0.6</v>
      </c>
      <c r="N347">
        <f t="shared" si="63"/>
        <v>0</v>
      </c>
      <c r="O347">
        <f t="shared" si="64"/>
        <v>0</v>
      </c>
      <c r="P347">
        <f>IFERROR(LN('Дивиденды по годам'!I347),"")</f>
        <v>26.797953005023718</v>
      </c>
      <c r="Q347">
        <f>IFERROR('Дивиденды по годам'!G347/'Дивиденды по годам'!I347, "")</f>
        <v>0.48357242017584445</v>
      </c>
      <c r="R347">
        <f>IFERROR(IF(AND('Дивиденды по годам'!N347&lt;&gt;"",'Дивиденды по годам'!U347&lt;&gt;"",'Дивиденды по годам'!U347&lt;&gt;0),'Дивиденды по годам'!N347/'Дивиденды по годам'!U347-1,""),"")</f>
        <v>1.2616261789647476E-2</v>
      </c>
      <c r="S347">
        <f>IFERROR(IF(AND('Дивиденды по годам'!L347&lt;&gt;"",'Дивиденды по годам'!I347&lt;&gt;"",'Дивиденды по годам'!J347&lt;&gt;"",'Дивиденды по годам'!K347&lt;&gt;"",('Дивиденды по годам'!I347-'Дивиденды по годам'!J347-'Дивиденды по годам'!K347)&lt;&gt;0),'Дивиденды по годам'!L347/('Дивиденды по годам'!I347-'Дивиденды по годам'!J347-'Дивиденды по годам'!K347),""),"")</f>
        <v>0.80565603419927645</v>
      </c>
      <c r="T347">
        <f>IFERROR(IF(AND('Дивиденды по годам'!Q347&lt;&gt;"",'Дивиденды по годам'!I347&lt;&gt;"",'Дивиденды по годам'!V347&lt;&gt;"",('Дивиденды по годам'!I347+'Дивиденды по годам'!V347)&lt;&gt;0),'Дивиденды по годам'!Q347/(('Дивиденды по годам'!I347+'Дивиденды по годам'!V347)/2),""),"")</f>
        <v>0.27360340340262868</v>
      </c>
      <c r="U347">
        <f>IFERROR(IF(AND('Дивиденды по годам'!J347&lt;&gt;"",'Дивиденды по годам'!K347&lt;&gt;"",'Дивиденды по годам'!M347&lt;&gt;"",'Дивиденды по годам'!M347&lt;&gt;0),('Дивиденды по годам'!J347+'Дивиденды по годам'!K347)/'Дивиденды по годам'!M347,""),"")</f>
        <v>1.1318645182505753</v>
      </c>
      <c r="V347">
        <f>IFERROR(IF(AND('Дивиденды по годам'!J347&lt;&gt;"",'Дивиденды по годам'!K347&lt;&gt;"",'Дивиденды по годам'!M347&lt;&gt;"",'Дивиденды по годам'!I347&lt;&gt;0),('Дивиденды по годам'!J347+'Дивиденды по годам'!K347)/'Дивиденды по годам'!I347,""),"")</f>
        <v>0.53092703995064017</v>
      </c>
      <c r="W347">
        <f>IFERROR('Дивиденды по годам'!I347,"")</f>
        <v>434713488986.16986</v>
      </c>
      <c r="X347" cm="1">
        <f t="array" ref="X347">IFERROR(AVERAGE(_xlfn._xlws.FILTER(P$2:P$1073,($C$2:$C$1073=$C347)*($E$2:$E$1073=$E347)*(ROW(P$2:P$1073)&lt;&gt;ROW(P347))*(P$2:P$1073&lt;&gt;""))),"")</f>
        <v>26.519243553128529</v>
      </c>
      <c r="Y347" cm="1">
        <f t="array" ref="Y347">IFERROR(AVERAGE(_xlfn._xlws.FILTER(Q$2:Q$1073,($C$2:$C$1073=$C347)*($E$2:$E$1073=$E347)*(ROW(Q$2:Q$1073)&lt;&gt;ROW(Q347))*(Q$2:Q$1073&lt;&gt;""))),"")</f>
        <v>0.51223686183520489</v>
      </c>
      <c r="Z347" cm="1">
        <f t="array" ref="Z347">IFERROR(AVERAGE(_xlfn._xlws.FILTER(R$2:R$1073,($C$2:$C$1073=$C347)*($E$2:$E$1073=$E347)*(ROW(R$2:R$1073)&lt;&gt;ROW(R347))*(R$2:R$1073&lt;&gt;""))),"")</f>
        <v>0.14690817081412189</v>
      </c>
      <c r="AA347" cm="1">
        <f t="array" ref="AA347">IFERROR(AVERAGE(_xlfn._xlws.FILTER(S$2:S$1073,($C$2:$C$1073=$C347)*($E$2:$E$1073=$E347)*(ROW(S$2:S$1073)&lt;&gt;ROW(S347))*(S$2:S$1073&lt;&gt;""))),"")</f>
        <v>0.24600685547106185</v>
      </c>
      <c r="AB347" cm="1">
        <f t="array" ref="AB347">IFERROR(AVERAGE(_xlfn._xlws.FILTER(T$2:T$1073,($C$2:$C$1073=$C347)*($E$2:$E$1073=$E347)*(ROW(T$2:T$1073)&lt;&gt;ROW(T347))*(T$2:T$1073&lt;&gt;""))),"")</f>
        <v>0.15069897732940069</v>
      </c>
      <c r="AC347" cm="1">
        <f t="array" ref="AC347">IFERROR(AVERAGE(_xlfn._xlws.FILTER(U$2:U$1073,($C$2:$C$1073=$C347)*($E$2:$E$1073=$E347)*(ROW(U$2:U$1073)&lt;&gt;ROW(U347))*(U$2:U$1073&lt;&gt;""))),"")</f>
        <v>5.9110585850680145E-2</v>
      </c>
      <c r="AD347" cm="1">
        <f t="array" ref="AD347">IFERROR(AVERAGE(_xlfn._xlws.FILTER(V$2:V$1073,($C$2:$C$1073=$C347)*($E$2:$E$1073=$E347)*(ROW(V$2:V$1073)&lt;&gt;ROW(V347))*(V$2:V$1073&lt;&gt;""))),"")</f>
        <v>0.76860635874393224</v>
      </c>
      <c r="AE347">
        <f>IF('Дивиденды по годам'!M347&lt;0,1,0)</f>
        <v>0</v>
      </c>
    </row>
    <row r="348" spans="1:31" x14ac:dyDescent="0.2">
      <c r="A348" s="7" t="s">
        <v>2221</v>
      </c>
      <c r="B348" t="str">
        <f t="shared" si="55"/>
        <v>CHMF IV кв. 2015</v>
      </c>
      <c r="C348">
        <v>2015</v>
      </c>
      <c r="D348">
        <f>SUMIFS(Дивиденды!$C:$C,Дивиденды!$A:$A,A348,Дивиденды!$I:$I,C348)</f>
        <v>58.879999999999995</v>
      </c>
      <c r="E348">
        <v>3</v>
      </c>
      <c r="F348">
        <f t="shared" si="56"/>
        <v>58.879999999999995</v>
      </c>
      <c r="G348">
        <f t="shared" si="57"/>
        <v>1.3360627742857143</v>
      </c>
      <c r="H348">
        <f t="shared" si="58"/>
        <v>1</v>
      </c>
      <c r="I348">
        <f t="shared" si="59"/>
        <v>0.5</v>
      </c>
      <c r="J348">
        <f t="shared" si="60"/>
        <v>-0.20086862106406095</v>
      </c>
      <c r="K348">
        <f t="shared" si="65"/>
        <v>0.90097403269695919</v>
      </c>
      <c r="L348">
        <f t="shared" si="61"/>
        <v>0</v>
      </c>
      <c r="M348">
        <f t="shared" si="62"/>
        <v>0.5</v>
      </c>
      <c r="N348">
        <f t="shared" si="63"/>
        <v>1</v>
      </c>
      <c r="O348">
        <f t="shared" si="64"/>
        <v>0</v>
      </c>
      <c r="P348">
        <f>IFERROR(LN('Дивиденды по годам'!I348),"")</f>
        <v>26.607539184015359</v>
      </c>
      <c r="Q348">
        <f>IFERROR('Дивиденды по годам'!G348/'Дивиденды по годам'!I348, "")</f>
        <v>0.44498664941701466</v>
      </c>
      <c r="R348">
        <f>IFERROR(IF(AND('Дивиденды по годам'!N348&lt;&gt;"",'Дивиденды по годам'!U348&lt;&gt;"",'Дивиденды по годам'!U348&lt;&gt;0),'Дивиденды по годам'!N348/'Дивиденды по годам'!U348-1,""),"")</f>
        <v>0.21820015695223716</v>
      </c>
      <c r="S348">
        <f>IFERROR(IF(AND('Дивиденды по годам'!L348&lt;&gt;"",'Дивиденды по годам'!I348&lt;&gt;"",'Дивиденды по годам'!J348&lt;&gt;"",'Дивиденды по годам'!K348&lt;&gt;"",('Дивиденды по годам'!I348-'Дивиденды по годам'!J348-'Дивиденды по годам'!K348)&lt;&gt;0),'Дивиденды по годам'!L348/('Дивиденды по годам'!I348-'Дивиденды по годам'!J348-'Дивиденды по годам'!K348),""),"")</f>
        <v>0.77526978068303298</v>
      </c>
      <c r="T348">
        <f>IFERROR(IF(AND('Дивиденды по годам'!Q348&lt;&gt;"",'Дивиденды по годам'!I348&lt;&gt;"",'Дивиденды по годам'!V348&lt;&gt;"",('Дивиденды по годам'!I348+'Дивиденды по годам'!V348)&lt;&gt;0),'Дивиденды по годам'!Q348/(('Дивиденды по годам'!I348+'Дивиденды по годам'!V348)/2),""),"")</f>
        <v>0.10561147045488327</v>
      </c>
      <c r="U348">
        <f>IFERROR(IF(AND('Дивиденды по годам'!J348&lt;&gt;"",'Дивиденды по годам'!K348&lt;&gt;"",'Дивиденды по годам'!M348&lt;&gt;"",'Дивиденды по годам'!M348&lt;&gt;0),('Дивиденды по годам'!J348+'Дивиденды по годам'!K348)/'Дивиденды по годам'!M348,""),"")</f>
        <v>1.5870305075298707</v>
      </c>
      <c r="V348">
        <f>IFERROR(IF(AND('Дивиденды по годам'!J348&lt;&gt;"",'Дивиденды по годам'!K348&lt;&gt;"",'Дивиденды по годам'!M348&lt;&gt;"",'Дивиденды по годам'!I348&lt;&gt;0),('Дивиденды по годам'!J348+'Дивиденды по годам'!K348)/'Дивиденды по годам'!I348,""),"")</f>
        <v>0.61345643312308196</v>
      </c>
      <c r="W348">
        <f>IFERROR('Дивиденды по годам'!I348,"")</f>
        <v>359341556507.76624</v>
      </c>
      <c r="X348" cm="1">
        <f t="array" ref="X348">IFERROR(AVERAGE(_xlfn._xlws.FILTER(P$2:P$1073,($C$2:$C$1073=$C348)*($E$2:$E$1073=$E348)*(ROW(P$2:P$1073)&lt;&gt;ROW(P348))*(P$2:P$1073&lt;&gt;""))),"")</f>
        <v>26.333008591226122</v>
      </c>
      <c r="Y348" cm="1">
        <f t="array" ref="Y348">IFERROR(AVERAGE(_xlfn._xlws.FILTER(Q$2:Q$1073,($C$2:$C$1073=$C348)*($E$2:$E$1073=$E348)*(ROW(Q$2:Q$1073)&lt;&gt;ROW(Q348))*(Q$2:Q$1073&lt;&gt;""))),"")</f>
        <v>0.50396917966954846</v>
      </c>
      <c r="Z348" cm="1">
        <f t="array" ref="Z348">IFERROR(AVERAGE(_xlfn._xlws.FILTER(R$2:R$1073,($C$2:$C$1073=$C348)*($E$2:$E$1073=$E348)*(ROW(R$2:R$1073)&lt;&gt;ROW(R348))*(R$2:R$1073&lt;&gt;""))),"")</f>
        <v>0.2569919812156698</v>
      </c>
      <c r="AA348" cm="1">
        <f t="array" ref="AA348">IFERROR(AVERAGE(_xlfn._xlws.FILTER(S$2:S$1073,($C$2:$C$1073=$C348)*($E$2:$E$1073=$E348)*(ROW(S$2:S$1073)&lt;&gt;ROW(S348))*(S$2:S$1073&lt;&gt;""))),"")</f>
        <v>0.98856351247968299</v>
      </c>
      <c r="AB348" cm="1">
        <f t="array" ref="AB348">IFERROR(AVERAGE(_xlfn._xlws.FILTER(T$2:T$1073,($C$2:$C$1073=$C348)*($E$2:$E$1073=$E348)*(ROW(T$2:T$1073)&lt;&gt;ROW(T348))*(T$2:T$1073&lt;&gt;""))),"")</f>
        <v>1.4120289513485436E-2</v>
      </c>
      <c r="AC348" cm="1">
        <f t="array" ref="AC348">IFERROR(AVERAGE(_xlfn._xlws.FILTER(U$2:U$1073,($C$2:$C$1073=$C348)*($E$2:$E$1073=$E348)*(ROW(U$2:U$1073)&lt;&gt;ROW(U348))*(U$2:U$1073&lt;&gt;""))),"")</f>
        <v>3.1373558040604248</v>
      </c>
      <c r="AD348" cm="1">
        <f t="array" ref="AD348">IFERROR(AVERAGE(_xlfn._xlws.FILTER(V$2:V$1073,($C$2:$C$1073=$C348)*($E$2:$E$1073=$E348)*(ROW(V$2:V$1073)&lt;&gt;ROW(V348))*(V$2:V$1073&lt;&gt;""))),"")</f>
        <v>0.80884086284330592</v>
      </c>
      <c r="AE348">
        <f>IF('Дивиденды по годам'!M348&lt;0,1,0)</f>
        <v>0</v>
      </c>
    </row>
    <row r="349" spans="1:31" x14ac:dyDescent="0.2">
      <c r="A349" s="7" t="s">
        <v>2221</v>
      </c>
      <c r="B349" t="str">
        <f t="shared" si="55"/>
        <v>CHMF IV кв. 2014</v>
      </c>
      <c r="C349">
        <v>2014</v>
      </c>
      <c r="D349">
        <f>SUMIFS(Дивиденды!$C:$C,Дивиденды!$A:$A,A349,Дивиденды!$I:$I,C349)</f>
        <v>73.680000000000007</v>
      </c>
      <c r="E349">
        <v>3</v>
      </c>
      <c r="F349">
        <f t="shared" si="56"/>
        <v>73.680000000000007</v>
      </c>
      <c r="G349">
        <f t="shared" si="57"/>
        <v>0.48799999999999999</v>
      </c>
      <c r="H349">
        <f t="shared" si="58"/>
        <v>1</v>
      </c>
      <c r="I349">
        <f t="shared" si="59"/>
        <v>0.4</v>
      </c>
      <c r="J349">
        <f t="shared" si="60"/>
        <v>7.8771084337349402</v>
      </c>
      <c r="K349">
        <f t="shared" si="65"/>
        <v>0.28560767590618336</v>
      </c>
      <c r="L349">
        <f t="shared" si="61"/>
        <v>1</v>
      </c>
      <c r="M349">
        <f t="shared" si="62"/>
        <v>0.2</v>
      </c>
      <c r="N349">
        <f t="shared" si="63"/>
        <v>0</v>
      </c>
      <c r="O349">
        <f t="shared" si="64"/>
        <v>0.1</v>
      </c>
      <c r="P349">
        <f>IFERROR(LN('Дивиденды по годам'!I349),"")</f>
        <v>26.403665635193953</v>
      </c>
      <c r="Q349">
        <f>IFERROR('Дивиденды по годам'!G349/'Дивиденды по годам'!I349, "")</f>
        <v>0.44126478257085727</v>
      </c>
      <c r="R349">
        <f>IFERROR(IF(AND('Дивиденды по годам'!N349&lt;&gt;"",'Дивиденды по годам'!U349&lt;&gt;"",'Дивиденды по годам'!U349&lt;&gt;0),'Дивиденды по годам'!N349/'Дивиденды по годам'!U349-1,""),"")</f>
        <v>-0.23343955141019124</v>
      </c>
      <c r="S349">
        <f>IFERROR(IF(AND('Дивиденды по годам'!L349&lt;&gt;"",'Дивиденды по годам'!I349&lt;&gt;"",'Дивиденды по годам'!J349&lt;&gt;"",'Дивиденды по годам'!K349&lt;&gt;"",('Дивиденды по годам'!I349-'Дивиденды по годам'!J349-'Дивиденды по годам'!K349)&lt;&gt;0),'Дивиденды по годам'!L349/('Дивиденды по годам'!I349-'Дивиденды по годам'!J349-'Дивиденды по годам'!K349),""),"")</f>
        <v>0.69219716990540858</v>
      </c>
      <c r="T349">
        <f>IFERROR(IF(AND('Дивиденды по годам'!Q349&lt;&gt;"",'Дивиденды по годам'!I349&lt;&gt;"",'Дивиденды по годам'!V349&lt;&gt;"",('Дивиденды по годам'!I349+'Дивиденды по годам'!V349)&lt;&gt;0),'Дивиденды по годам'!Q349/(('Дивиденды по годам'!I349+'Дивиденды по годам'!V349)/2),""),"")</f>
        <v>-8.3487143747977055E-2</v>
      </c>
      <c r="U349">
        <f>IFERROR(IF(AND('Дивиденды по годам'!J349&lt;&gt;"",'Дивиденды по годам'!K349&lt;&gt;"",'Дивиденды по годам'!M349&lt;&gt;"",'Дивиденды по годам'!M349&lt;&gt;0),('Дивиденды по годам'!J349+'Дивиденды по годам'!K349)/'Дивиденды по годам'!M349,""),"")</f>
        <v>1.6645171771792304</v>
      </c>
      <c r="V349">
        <f>IFERROR(IF(AND('Дивиденды по годам'!J349&lt;&gt;"",'Дивиденды по годам'!K349&lt;&gt;"",'Дивиденды по годам'!M349&lt;&gt;"",'Дивиденды по годам'!I349&lt;&gt;0),('Дивиденды по годам'!J349+'Дивиденды по годам'!K349)/'Дивиденды по годам'!I349,""),"")</f>
        <v>0.62469748419537607</v>
      </c>
      <c r="W349">
        <f>IFERROR('Дивиденды по годам'!I349,"")</f>
        <v>293066574006.69122</v>
      </c>
      <c r="X349" cm="1">
        <f t="array" ref="X349">IFERROR(AVERAGE(_xlfn._xlws.FILTER(P$2:P$1073,($C$2:$C$1073=$C349)*($E$2:$E$1073=$E349)*(ROW(P$2:P$1073)&lt;&gt;ROW(P349))*(P$2:P$1073&lt;&gt;""))),"")</f>
        <v>26.286501753563314</v>
      </c>
      <c r="Y349" cm="1">
        <f t="array" ref="Y349">IFERROR(AVERAGE(_xlfn._xlws.FILTER(Q$2:Q$1073,($C$2:$C$1073=$C349)*($E$2:$E$1073=$E349)*(ROW(Q$2:Q$1073)&lt;&gt;ROW(Q349))*(Q$2:Q$1073&lt;&gt;""))),"")</f>
        <v>0.52427436060988686</v>
      </c>
      <c r="Z349" cm="1">
        <f t="array" ref="Z349">IFERROR(AVERAGE(_xlfn._xlws.FILTER(R$2:R$1073,($C$2:$C$1073=$C349)*($E$2:$E$1073=$E349)*(ROW(R$2:R$1073)&lt;&gt;ROW(R349))*(R$2:R$1073&lt;&gt;""))),"")</f>
        <v>0.1163607945453345</v>
      </c>
      <c r="AA349" cm="1">
        <f t="array" ref="AA349">IFERROR(AVERAGE(_xlfn._xlws.FILTER(S$2:S$1073,($C$2:$C$1073=$C349)*($E$2:$E$1073=$E349)*(ROW(S$2:S$1073)&lt;&gt;ROW(S349))*(S$2:S$1073&lt;&gt;""))),"")</f>
        <v>0.8078427360501067</v>
      </c>
      <c r="AB349" cm="1">
        <f t="array" ref="AB349">IFERROR(AVERAGE(_xlfn._xlws.FILTER(T$2:T$1073,($C$2:$C$1073=$C349)*($E$2:$E$1073=$E349)*(ROW(T$2:T$1073)&lt;&gt;ROW(T349))*(T$2:T$1073&lt;&gt;""))),"")</f>
        <v>-7.67982151055039E-2</v>
      </c>
      <c r="AC349" cm="1">
        <f t="array" ref="AC349">IFERROR(AVERAGE(_xlfn._xlws.FILTER(U$2:U$1073,($C$2:$C$1073=$C349)*($E$2:$E$1073=$E349)*(ROW(U$2:U$1073)&lt;&gt;ROW(U349))*(U$2:U$1073&lt;&gt;""))),"")</f>
        <v>1.6225879786620372</v>
      </c>
      <c r="AD349" cm="1">
        <f t="array" ref="AD349">IFERROR(AVERAGE(_xlfn._xlws.FILTER(V$2:V$1073,($C$2:$C$1073=$C349)*($E$2:$E$1073=$E349)*(ROW(V$2:V$1073)&lt;&gt;ROW(V349))*(V$2:V$1073&lt;&gt;""))),"")</f>
        <v>0.72141263790141796</v>
      </c>
      <c r="AE349">
        <f>IF('Дивиденды по годам'!M349&lt;0,1,0)</f>
        <v>0</v>
      </c>
    </row>
    <row r="350" spans="1:31" x14ac:dyDescent="0.2">
      <c r="A350" s="7" t="s">
        <v>2221</v>
      </c>
      <c r="B350" t="str">
        <f t="shared" si="55"/>
        <v>CHMF IV кв. 2013</v>
      </c>
      <c r="C350">
        <v>2013</v>
      </c>
      <c r="D350">
        <f>SUMIFS(Дивиденды!$C:$C,Дивиденды!$A:$A,A350,Дивиденды!$I:$I,C350)</f>
        <v>8.3000000000000007</v>
      </c>
      <c r="E350">
        <v>3</v>
      </c>
      <c r="F350">
        <f t="shared" si="56"/>
        <v>8.3000000000000007</v>
      </c>
      <c r="G350">
        <f t="shared" si="57"/>
        <v>0.39600000000000002</v>
      </c>
      <c r="H350">
        <f t="shared" si="58"/>
        <v>1</v>
      </c>
      <c r="I350">
        <f t="shared" si="59"/>
        <v>0.3</v>
      </c>
      <c r="J350">
        <f t="shared" si="60"/>
        <v>-0.22138836772983109</v>
      </c>
      <c r="K350">
        <f t="shared" si="65"/>
        <v>-0.18172527366075755</v>
      </c>
      <c r="L350">
        <f t="shared" si="61"/>
        <v>0</v>
      </c>
      <c r="M350">
        <f t="shared" si="62"/>
        <v>0.2</v>
      </c>
      <c r="N350">
        <f t="shared" si="63"/>
        <v>1</v>
      </c>
      <c r="O350">
        <f t="shared" si="64"/>
        <v>0.3</v>
      </c>
      <c r="P350">
        <f>IFERROR(LN('Дивиденды по годам'!I350),"")</f>
        <v>26.861214631301745</v>
      </c>
      <c r="Q350">
        <f>IFERROR('Дивиденды по годам'!G350/'Дивиденды по годам'!I350, "")</f>
        <v>0.56793360711949525</v>
      </c>
      <c r="R350">
        <f>IFERROR(IF(AND('Дивиденды по годам'!N350&lt;&gt;"",'Дивиденды по годам'!U350&lt;&gt;"",'Дивиденды по годам'!U350&lt;&gt;0),'Дивиденды по годам'!N350/'Дивиденды по годам'!U350-1,""),"")</f>
        <v>-2.948908264252359E-2</v>
      </c>
      <c r="S350" t="str">
        <f>IFERROR(IF(AND('Дивиденды по годам'!L350&lt;&gt;"",'Дивиденды по годам'!I350&lt;&gt;"",'Дивиденды по годам'!J350&lt;&gt;"",'Дивиденды по годам'!K350&lt;&gt;"",('Дивиденды по годам'!I350-'Дивиденды по годам'!J350-'Дивиденды по годам'!K350)&lt;&gt;0),'Дивиденды по годам'!L350/('Дивиденды по годам'!I350-'Дивиденды по годам'!J350-'Дивиденды по годам'!K350),""),"")</f>
        <v/>
      </c>
      <c r="T350">
        <f>IFERROR(IF(AND('Дивиденды по годам'!Q350&lt;&gt;"",'Дивиденды по годам'!I350&lt;&gt;"",'Дивиденды по годам'!V350&lt;&gt;"",('Дивиденды по годам'!I350+'Дивиденды по годам'!V350)&lt;&gt;0),'Дивиденды по годам'!Q350/(('Дивиденды по годам'!I350+'Дивиденды по годам'!V350)/2),""),"")</f>
        <v>5.9775371840260112E-3</v>
      </c>
      <c r="U350">
        <f>IFERROR(IF(AND('Дивиденды по годам'!J350&lt;&gt;"",'Дивиденды по годам'!K350&lt;&gt;"",'Дивиденды по годам'!M350&lt;&gt;"",'Дивиденды по годам'!M350&lt;&gt;0),('Дивиденды по годам'!J350+'Дивиденды по годам'!K350)/'Дивиденды по годам'!M350,""),"")</f>
        <v>4.7013498103110303</v>
      </c>
      <c r="V350">
        <f>IFERROR(IF(AND('Дивиденды по годам'!J350&lt;&gt;"",'Дивиденды по годам'!K350&lt;&gt;"",'Дивиденды по годам'!M350&lt;&gt;"",'Дивиденды по годам'!I350&lt;&gt;0),('Дивиденды по годам'!J350+'Дивиденды по годам'!K350)/'Дивиденды по годам'!I350,""),"")</f>
        <v>0.82460293908093918</v>
      </c>
      <c r="W350">
        <f>IFERROR('Дивиденды по годам'!I350,"")</f>
        <v>463102677127.99994</v>
      </c>
      <c r="X350" cm="1">
        <f t="array" ref="X350">IFERROR(AVERAGE(_xlfn._xlws.FILTER(P$2:P$1073,($C$2:$C$1073=$C350)*($E$2:$E$1073=$E350)*(ROW(P$2:P$1073)&lt;&gt;ROW(P350))*(P$2:P$1073&lt;&gt;""))),"")</f>
        <v>26.385859427011784</v>
      </c>
      <c r="Y350" cm="1">
        <f t="array" ref="Y350">IFERROR(AVERAGE(_xlfn._xlws.FILTER(Q$2:Q$1073,($C$2:$C$1073=$C350)*($E$2:$E$1073=$E350)*(ROW(Q$2:Q$1073)&lt;&gt;ROW(Q350))*(Q$2:Q$1073&lt;&gt;""))),"")</f>
        <v>0.5784040988857343</v>
      </c>
      <c r="Z350" cm="1">
        <f t="array" ref="Z350">IFERROR(AVERAGE(_xlfn._xlws.FILTER(R$2:R$1073,($C$2:$C$1073=$C350)*($E$2:$E$1073=$E350)*(ROW(R$2:R$1073)&lt;&gt;ROW(R350))*(R$2:R$1073&lt;&gt;""))),"")</f>
        <v>-4.7606175348819682E-2</v>
      </c>
      <c r="AA350" cm="1">
        <f t="array" ref="AA350">IFERROR(AVERAGE(_xlfn._xlws.FILTER(S$2:S$1073,($C$2:$C$1073=$C350)*($E$2:$E$1073=$E350)*(ROW(S$2:S$1073)&lt;&gt;ROW(S350))*(S$2:S$1073&lt;&gt;""))),"")</f>
        <v>1.1343753445927802</v>
      </c>
      <c r="AB350" cm="1">
        <f t="array" ref="AB350">IFERROR(AVERAGE(_xlfn._xlws.FILTER(T$2:T$1073,($C$2:$C$1073=$C350)*($E$2:$E$1073=$E350)*(ROW(T$2:T$1073)&lt;&gt;ROW(T350))*(T$2:T$1073&lt;&gt;""))),"")</f>
        <v>-3.5748993287143607E-2</v>
      </c>
      <c r="AC350" cm="1">
        <f t="array" ref="AC350">IFERROR(AVERAGE(_xlfn._xlws.FILTER(U$2:U$1073,($C$2:$C$1073=$C350)*($E$2:$E$1073=$E350)*(ROW(U$2:U$1073)&lt;&gt;ROW(U350))*(U$2:U$1073&lt;&gt;""))),"")</f>
        <v>2.9143821534775984</v>
      </c>
      <c r="AD350" cm="1">
        <f t="array" ref="AD350">IFERROR(AVERAGE(_xlfn._xlws.FILTER(V$2:V$1073,($C$2:$C$1073=$C350)*($E$2:$E$1073=$E350)*(ROW(V$2:V$1073)&lt;&gt;ROW(V350))*(V$2:V$1073&lt;&gt;""))),"")</f>
        <v>0.53088169075496106</v>
      </c>
      <c r="AE350">
        <f>IF('Дивиденды по годам'!M350&lt;0,1,0)</f>
        <v>0</v>
      </c>
    </row>
    <row r="351" spans="1:31" x14ac:dyDescent="0.2">
      <c r="A351" s="7" t="s">
        <v>2221</v>
      </c>
      <c r="B351" t="str">
        <f t="shared" si="55"/>
        <v>CHMF IV кв. 2012</v>
      </c>
      <c r="C351">
        <v>2012</v>
      </c>
      <c r="D351">
        <f>SUMIFS(Дивиденды!$C:$C,Дивиденды!$A:$A,A351,Дивиденды!$I:$I,C351)</f>
        <v>10.66</v>
      </c>
      <c r="E351">
        <v>3</v>
      </c>
      <c r="F351">
        <f t="shared" si="56"/>
        <v>10.66</v>
      </c>
      <c r="G351">
        <f t="shared" si="57"/>
        <v>1.0649999999999999</v>
      </c>
      <c r="H351">
        <f t="shared" si="58"/>
        <v>1</v>
      </c>
      <c r="I351">
        <f t="shared" si="59"/>
        <v>0.5</v>
      </c>
      <c r="J351">
        <f t="shared" si="60"/>
        <v>-0.29822251481237655</v>
      </c>
      <c r="K351">
        <f t="shared" si="65"/>
        <v>-0.15417818471645917</v>
      </c>
      <c r="L351">
        <f t="shared" si="61"/>
        <v>0</v>
      </c>
      <c r="M351">
        <f t="shared" si="62"/>
        <v>0.3</v>
      </c>
      <c r="N351">
        <f t="shared" si="63"/>
        <v>1</v>
      </c>
      <c r="O351">
        <f t="shared" si="64"/>
        <v>0.5</v>
      </c>
      <c r="P351">
        <f>IFERROR(LN('Дивиденды по годам'!I351),"")</f>
        <v>26.913401992068579</v>
      </c>
      <c r="Q351">
        <f>IFERROR('Дивиденды по годам'!G351/'Дивиденды по годам'!I351, "")</f>
        <v>0.53877858041670657</v>
      </c>
      <c r="R351">
        <f>IFERROR(IF(AND('Дивиденды по годам'!N351&lt;&gt;"",'Дивиденды по годам'!U351&lt;&gt;"",'Дивиденды по годам'!U351&lt;&gt;0),'Дивиденды по годам'!N351/'Дивиденды по годам'!U351-1,""),"")</f>
        <v>-7.0255123521336338E-2</v>
      </c>
      <c r="S351" t="str">
        <f>IFERROR(IF(AND('Дивиденды по годам'!L351&lt;&gt;"",'Дивиденды по годам'!I351&lt;&gt;"",'Дивиденды по годам'!J351&lt;&gt;"",'Дивиденды по годам'!K351&lt;&gt;"",('Дивиденды по годам'!I351-'Дивиденды по годам'!J351-'Дивиденды по годам'!K351)&lt;&gt;0),'Дивиденды по годам'!L351/('Дивиденды по годам'!I351-'Дивиденды по годам'!J351-'Дивиденды по годам'!K351),""),"")</f>
        <v/>
      </c>
      <c r="T351">
        <f>IFERROR(IF(AND('Дивиденды по годам'!Q351&lt;&gt;"",'Дивиденды по годам'!I351&lt;&gt;"",'Дивиденды по годам'!V351&lt;&gt;"",('Дивиденды по годам'!I351+'Дивиденды по годам'!V351)&lt;&gt;0),'Дивиденды по годам'!Q351/(('Дивиденды по годам'!I351+'Дивиденды по годам'!V351)/2),""),"")</f>
        <v>4.7363458137667215E-2</v>
      </c>
      <c r="U351">
        <f>IFERROR(IF(AND('Дивиденды по годам'!J351&lt;&gt;"",'Дивиденды по годам'!K351&lt;&gt;"",'Дивиденды по годам'!M351&lt;&gt;"",'Дивиденды по годам'!M351&lt;&gt;0),('Дивиденды по годам'!J351+'Дивиденды по годам'!K351)/'Дивиденды по годам'!M351,""),"")</f>
        <v>1.1769488567467514</v>
      </c>
      <c r="V351">
        <f>IFERROR(IF(AND('Дивиденды по годам'!J351&lt;&gt;"",'Дивиденды по годам'!K351&lt;&gt;"",'Дивиденды по годам'!M351&lt;&gt;"",'Дивиденды по годам'!I351&lt;&gt;0),('Дивиденды по годам'!J351+'Дивиденды по годам'!K351)/'Дивиденды по годам'!I351,""),"")</f>
        <v>0.54064148227422881</v>
      </c>
      <c r="W351">
        <f>IFERROR('Дивиденды по годам'!I351,"")</f>
        <v>487912533482.73535</v>
      </c>
      <c r="X351" cm="1">
        <f t="array" ref="X351">IFERROR(AVERAGE(_xlfn._xlws.FILTER(P$2:P$1073,($C$2:$C$1073=$C351)*($E$2:$E$1073=$E351)*(ROW(P$2:P$1073)&lt;&gt;ROW(P351))*(P$2:P$1073&lt;&gt;""))),"")</f>
        <v>26.684945675950239</v>
      </c>
      <c r="Y351" cm="1">
        <f t="array" ref="Y351">IFERROR(AVERAGE(_xlfn._xlws.FILTER(Q$2:Q$1073,($C$2:$C$1073=$C351)*($E$2:$E$1073=$E351)*(ROW(Q$2:Q$1073)&lt;&gt;ROW(Q351))*(Q$2:Q$1073&lt;&gt;""))),"")</f>
        <v>0.49774986301595792</v>
      </c>
      <c r="Z351" cm="1">
        <f t="array" ref="Z351">IFERROR(AVERAGE(_xlfn._xlws.FILTER(R$2:R$1073,($C$2:$C$1073=$C351)*($E$2:$E$1073=$E351)*(ROW(R$2:R$1073)&lt;&gt;ROW(R351))*(R$2:R$1073&lt;&gt;""))),"")</f>
        <v>8.0811346890678881E-3</v>
      </c>
      <c r="AA351" t="str" cm="1">
        <f t="array" ref="AA351">IFERROR(AVERAGE(_xlfn._xlws.FILTER(S$2:S$1073,($C$2:$C$1073=$C351)*($E$2:$E$1073=$E351)*(ROW(S$2:S$1073)&lt;&gt;ROW(S351))*(S$2:S$1073&lt;&gt;""))),"")</f>
        <v/>
      </c>
      <c r="AB351" cm="1">
        <f t="array" ref="AB351">IFERROR(AVERAGE(_xlfn._xlws.FILTER(T$2:T$1073,($C$2:$C$1073=$C351)*($E$2:$E$1073=$E351)*(ROW(T$2:T$1073)&lt;&gt;ROW(T351))*(T$2:T$1073&lt;&gt;""))),"")</f>
        <v>5.0117063292840346E-2</v>
      </c>
      <c r="AC351" cm="1">
        <f t="array" ref="AC351">IFERROR(AVERAGE(_xlfn._xlws.FILTER(U$2:U$1073,($C$2:$C$1073=$C351)*($E$2:$E$1073=$E351)*(ROW(U$2:U$1073)&lt;&gt;ROW(U351))*(U$2:U$1073&lt;&gt;""))),"")</f>
        <v>1.3950729026115836</v>
      </c>
      <c r="AD351" cm="1">
        <f t="array" ref="AD351">IFERROR(AVERAGE(_xlfn._xlws.FILTER(V$2:V$1073,($C$2:$C$1073=$C351)*($E$2:$E$1073=$E351)*(ROW(V$2:V$1073)&lt;&gt;ROW(V351))*(V$2:V$1073&lt;&gt;""))),"")</f>
        <v>0.42569142405622107</v>
      </c>
      <c r="AE351">
        <f>IF('Дивиденды по годам'!M351&lt;0,1,0)</f>
        <v>0</v>
      </c>
    </row>
    <row r="352" spans="1:31" x14ac:dyDescent="0.2">
      <c r="A352" s="7" t="s">
        <v>2221</v>
      </c>
      <c r="B352" t="str">
        <f t="shared" si="55"/>
        <v>CHMF IV кв. 2011</v>
      </c>
      <c r="C352">
        <v>2011</v>
      </c>
      <c r="D352">
        <f>SUMIFS(Дивиденды!$C:$C,Дивиденды!$A:$A,A352,Дивиденды!$I:$I,C352)</f>
        <v>15.19</v>
      </c>
      <c r="E352">
        <v>3</v>
      </c>
      <c r="F352">
        <f t="shared" si="56"/>
        <v>15.19</v>
      </c>
      <c r="G352">
        <f t="shared" si="57"/>
        <v>2.2469999999999999</v>
      </c>
      <c r="H352">
        <f t="shared" si="58"/>
        <v>1</v>
      </c>
      <c r="I352">
        <f t="shared" si="59"/>
        <v>0.7</v>
      </c>
      <c r="J352">
        <f t="shared" si="60"/>
        <v>1.2637853949329361</v>
      </c>
      <c r="K352">
        <f t="shared" si="65"/>
        <v>0.65492714098723259</v>
      </c>
      <c r="L352">
        <f t="shared" si="61"/>
        <v>1</v>
      </c>
      <c r="M352">
        <f t="shared" si="62"/>
        <v>0.5</v>
      </c>
      <c r="N352">
        <f t="shared" si="63"/>
        <v>0</v>
      </c>
      <c r="O352">
        <f t="shared" si="64"/>
        <v>0.3</v>
      </c>
      <c r="P352">
        <f>IFERROR(LN('Дивиденды по годам'!I352),"")</f>
        <v>26.98969086445571</v>
      </c>
      <c r="Q352">
        <f>IFERROR('Дивиденды по годам'!G352/'Дивиденды по годам'!I352, "")</f>
        <v>0.41672144582815063</v>
      </c>
      <c r="R352" t="str">
        <f>IFERROR(IF(AND('Дивиденды по годам'!N352&lt;&gt;"",'Дивиденды по годам'!U352&lt;&gt;"",'Дивиденды по годам'!U352&lt;&gt;0),'Дивиденды по годам'!N352/'Дивиденды по годам'!U352-1,""),"")</f>
        <v/>
      </c>
      <c r="S352" t="str">
        <f>IFERROR(IF(AND('Дивиденды по годам'!L352&lt;&gt;"",'Дивиденды по годам'!I352&lt;&gt;"",'Дивиденды по годам'!J352&lt;&gt;"",'Дивиденды по годам'!K352&lt;&gt;"",('Дивиденды по годам'!I352-'Дивиденды по годам'!J352-'Дивиденды по годам'!K352)&lt;&gt;0),'Дивиденды по годам'!L352/('Дивиденды по годам'!I352-'Дивиденды по годам'!J352-'Дивиденды по годам'!K352),""),"")</f>
        <v/>
      </c>
      <c r="T352" t="str">
        <f>IFERROR(IF(AND('Дивиденды по годам'!Q352&lt;&gt;"",'Дивиденды по годам'!I352&lt;&gt;"",'Дивиденды по годам'!V352&lt;&gt;"",('Дивиденды по годам'!I352+'Дивиденды по годам'!V352)&lt;&gt;0),'Дивиденды по годам'!Q352/(('Дивиденды по годам'!I352+'Дивиденды по годам'!V352)/2),""),"")</f>
        <v/>
      </c>
      <c r="U352">
        <f>IFERROR(IF(AND('Дивиденды по годам'!J352&lt;&gt;"",'Дивиденды по годам'!K352&lt;&gt;"",'Дивиденды по годам'!M352&lt;&gt;"",'Дивиденды по годам'!M352&lt;&gt;0),('Дивиденды по годам'!J352+'Дивиденды по годам'!K352)/'Дивиденды по годам'!M352,""),"")</f>
        <v>1.5341690198679188</v>
      </c>
      <c r="V352">
        <f>IFERROR(IF(AND('Дивиденды по годам'!J352&lt;&gt;"",'Дивиденды по годам'!K352&lt;&gt;"",'Дивиденды по годам'!M352&lt;&gt;"",'Дивиденды по годам'!I352&lt;&gt;0),('Дивиденды по годам'!J352+'Дивиденды по годам'!K352)/'Дивиденды по годам'!I352,""),"")</f>
        <v>0.60539332926888989</v>
      </c>
      <c r="W352">
        <f>IFERROR('Дивиденды по годам'!I352,"")</f>
        <v>526591458852.70386</v>
      </c>
      <c r="X352" cm="1">
        <f t="array" ref="X352">IFERROR(AVERAGE(_xlfn._xlws.FILTER(P$2:P$1073,($C$2:$C$1073=$C352)*($E$2:$E$1073=$E352)*(ROW(P$2:P$1073)&lt;&gt;ROW(P352))*(P$2:P$1073&lt;&gt;""))),"")</f>
        <v>26.356433452167149</v>
      </c>
      <c r="Y352" cm="1">
        <f t="array" ref="Y352">IFERROR(AVERAGE(_xlfn._xlws.FILTER(Q$2:Q$1073,($C$2:$C$1073=$C352)*($E$2:$E$1073=$E352)*(ROW(Q$2:Q$1073)&lt;&gt;ROW(Q352))*(Q$2:Q$1073&lt;&gt;""))),"")</f>
        <v>0.59135025113310546</v>
      </c>
      <c r="Z352" cm="1">
        <f t="array" ref="Z352">IFERROR(AVERAGE(_xlfn._xlws.FILTER(R$2:R$1073,($C$2:$C$1073=$C352)*($E$2:$E$1073=$E352)*(ROW(R$2:R$1073)&lt;&gt;ROW(R352))*(R$2:R$1073&lt;&gt;""))),"")</f>
        <v>0.21463216748681591</v>
      </c>
      <c r="AA352" t="str" cm="1">
        <f t="array" ref="AA352">IFERROR(AVERAGE(_xlfn._xlws.FILTER(S$2:S$1073,($C$2:$C$1073=$C352)*($E$2:$E$1073=$E352)*(ROW(S$2:S$1073)&lt;&gt;ROW(S352))*(S$2:S$1073&lt;&gt;""))),"")</f>
        <v/>
      </c>
      <c r="AB352" cm="1">
        <f t="array" ref="AB352">IFERROR(AVERAGE(_xlfn._xlws.FILTER(T$2:T$1073,($C$2:$C$1073=$C352)*($E$2:$E$1073=$E352)*(ROW(T$2:T$1073)&lt;&gt;ROW(T352))*(T$2:T$1073&lt;&gt;""))),"")</f>
        <v>0.11505618365484008</v>
      </c>
      <c r="AC352" cm="1">
        <f t="array" ref="AC352">IFERROR(AVERAGE(_xlfn._xlws.FILTER(U$2:U$1073,($C$2:$C$1073=$C352)*($E$2:$E$1073=$E352)*(ROW(U$2:U$1073)&lt;&gt;ROW(U352))*(U$2:U$1073&lt;&gt;""))),"")</f>
        <v>1.0526688791081946</v>
      </c>
      <c r="AD352" cm="1">
        <f t="array" ref="AD352">IFERROR(AVERAGE(_xlfn._xlws.FILTER(V$2:V$1073,($C$2:$C$1073=$C352)*($E$2:$E$1073=$E352)*(ROW(V$2:V$1073)&lt;&gt;ROW(V352))*(V$2:V$1073&lt;&gt;""))),"")</f>
        <v>0.4856362880317584</v>
      </c>
      <c r="AE352">
        <f>IF('Дивиденды по годам'!M352&lt;0,1,0)</f>
        <v>0</v>
      </c>
    </row>
    <row r="353" spans="1:31" x14ac:dyDescent="0.2">
      <c r="A353" s="7" t="s">
        <v>2221</v>
      </c>
      <c r="B353" t="str">
        <f t="shared" si="55"/>
        <v>CHMF IV кв. 2010</v>
      </c>
      <c r="C353">
        <v>2010</v>
      </c>
      <c r="D353">
        <f>SUMIFS(Дивиденды!$C:$C,Дивиденды!$A:$A,A353,Дивиденды!$I:$I,C353)</f>
        <v>6.71</v>
      </c>
      <c r="E353">
        <v>3</v>
      </c>
      <c r="F353">
        <f t="shared" si="56"/>
        <v>6.71</v>
      </c>
      <c r="G353">
        <f t="shared" si="57"/>
        <v>2.4080000000000004</v>
      </c>
      <c r="H353">
        <f t="shared" si="58"/>
        <v>1</v>
      </c>
      <c r="I353">
        <f t="shared" si="59"/>
        <v>0.6</v>
      </c>
      <c r="J353" t="str">
        <f t="shared" si="60"/>
        <v/>
      </c>
      <c r="K353" t="str">
        <f t="shared" si="65"/>
        <v/>
      </c>
      <c r="L353" t="str">
        <f t="shared" si="61"/>
        <v/>
      </c>
      <c r="M353" t="str">
        <f t="shared" si="62"/>
        <v/>
      </c>
      <c r="N353" t="str">
        <f t="shared" si="63"/>
        <v/>
      </c>
      <c r="O353" t="str">
        <f t="shared" si="64"/>
        <v/>
      </c>
      <c r="P353" t="str">
        <f>IFERROR(LN('Дивиденды по годам'!I353),"")</f>
        <v/>
      </c>
      <c r="Q353" t="str">
        <f>IFERROR('Дивиденды по годам'!G353/'Дивиденды по годам'!I353, "")</f>
        <v/>
      </c>
      <c r="R353" t="str">
        <f>IFERROR(IF(AND('Дивиденды по годам'!N353&lt;&gt;"",'Дивиденды по годам'!U353&lt;&gt;"",'Дивиденды по годам'!U353&lt;&gt;0),'Дивиденды по годам'!N353/'Дивиденды по годам'!U353-1,""),"")</f>
        <v/>
      </c>
      <c r="S353" t="str">
        <f>IFERROR(IF(AND('Дивиденды по годам'!L353&lt;&gt;"",'Дивиденды по годам'!I353&lt;&gt;"",'Дивиденды по годам'!J353&lt;&gt;"",'Дивиденды по годам'!K353&lt;&gt;"",('Дивиденды по годам'!I353-'Дивиденды по годам'!J353-'Дивиденды по годам'!K353)&lt;&gt;0),'Дивиденды по годам'!L353/('Дивиденды по годам'!I353-'Дивиденды по годам'!J353-'Дивиденды по годам'!K353),""),"")</f>
        <v/>
      </c>
      <c r="T353" t="str">
        <f>IFERROR(IF(AND('Дивиденды по годам'!Q353&lt;&gt;"",'Дивиденды по годам'!I353&lt;&gt;"",'Дивиденды по годам'!V353&lt;&gt;"",('Дивиденды по годам'!I353+'Дивиденды по годам'!V353)&lt;&gt;0),'Дивиденды по годам'!Q353/(('Дивиденды по годам'!I353+'Дивиденды по годам'!V353)/2),""),"")</f>
        <v/>
      </c>
      <c r="U353" t="str">
        <f>IFERROR(IF(AND('Дивиденды по годам'!J353&lt;&gt;"",'Дивиденды по годам'!K353&lt;&gt;"",'Дивиденды по годам'!M353&lt;&gt;"",'Дивиденды по годам'!M353&lt;&gt;0),('Дивиденды по годам'!J353+'Дивиденды по годам'!K353)/'Дивиденды по годам'!M353,""),"")</f>
        <v/>
      </c>
      <c r="V353" t="str">
        <f>IFERROR(IF(AND('Дивиденды по годам'!J353&lt;&gt;"",'Дивиденды по годам'!K353&lt;&gt;"",'Дивиденды по годам'!M353&lt;&gt;"",'Дивиденды по годам'!I353&lt;&gt;0),('Дивиденды по годам'!J353+'Дивиденды по годам'!K353)/'Дивиденды по годам'!I353,""),"")</f>
        <v/>
      </c>
      <c r="W353" t="str">
        <f>IFERROR('Дивиденды по годам'!I353,"")</f>
        <v/>
      </c>
      <c r="X353" cm="1">
        <f t="array" ref="X353">IFERROR(AVERAGE(_xlfn._xlws.FILTER(P$2:P$1073,($C$2:$C$1073=$C353)*($E$2:$E$1073=$E353)*(ROW(P$2:P$1073)&lt;&gt;ROW(P353))*(P$2:P$1073&lt;&gt;""))),"")</f>
        <v>26.127864794831805</v>
      </c>
      <c r="Y353" cm="1">
        <f t="array" ref="Y353">IFERROR(AVERAGE(_xlfn._xlws.FILTER(Q$2:Q$1073,($C$2:$C$1073=$C353)*($E$2:$E$1073=$E353)*(ROW(Q$2:Q$1073)&lt;&gt;ROW(Q353))*(Q$2:Q$1073&lt;&gt;""))),"")</f>
        <v>0.75539390451698762</v>
      </c>
      <c r="Z353" t="str" cm="1">
        <f t="array" ref="Z353">IFERROR(AVERAGE(_xlfn._xlws.FILTER(R$2:R$1073,($C$2:$C$1073=$C353)*($E$2:$E$1073=$E353)*(ROW(R$2:R$1073)&lt;&gt;ROW(R353))*(R$2:R$1073&lt;&gt;""))),"")</f>
        <v/>
      </c>
      <c r="AA353" t="str" cm="1">
        <f t="array" ref="AA353">IFERROR(AVERAGE(_xlfn._xlws.FILTER(S$2:S$1073,($C$2:$C$1073=$C353)*($E$2:$E$1073=$E353)*(ROW(S$2:S$1073)&lt;&gt;ROW(S353))*(S$2:S$1073&lt;&gt;""))),"")</f>
        <v/>
      </c>
      <c r="AB353" t="str" cm="1">
        <f t="array" ref="AB353">IFERROR(AVERAGE(_xlfn._xlws.FILTER(T$2:T$1073,($C$2:$C$1073=$C353)*($E$2:$E$1073=$E353)*(ROW(T$2:T$1073)&lt;&gt;ROW(T353))*(T$2:T$1073&lt;&gt;""))),"")</f>
        <v/>
      </c>
      <c r="AC353" cm="1">
        <f t="array" ref="AC353">IFERROR(AVERAGE(_xlfn._xlws.FILTER(U$2:U$1073,($C$2:$C$1073=$C353)*($E$2:$E$1073=$E353)*(ROW(U$2:U$1073)&lt;&gt;ROW(U353))*(U$2:U$1073&lt;&gt;""))),"")</f>
        <v>1.4017600691070078</v>
      </c>
      <c r="AD353" cm="1">
        <f t="array" ref="AD353">IFERROR(AVERAGE(_xlfn._xlws.FILTER(V$2:V$1073,($C$2:$C$1073=$C353)*($E$2:$E$1073=$E353)*(ROW(V$2:V$1073)&lt;&gt;ROW(V353))*(V$2:V$1073&lt;&gt;""))),"")</f>
        <v>0.58363867695918215</v>
      </c>
      <c r="AE353">
        <f>IF('Дивиденды по годам'!M353&lt;0,1,0)</f>
        <v>0</v>
      </c>
    </row>
    <row r="354" spans="1:31" x14ac:dyDescent="0.2">
      <c r="A354" s="7" t="s">
        <v>2315</v>
      </c>
      <c r="B354" t="str">
        <f t="shared" si="55"/>
        <v>GMKN IV кв. 2025</v>
      </c>
      <c r="C354">
        <v>2025</v>
      </c>
      <c r="D354">
        <f>SUMIFS(Дивиденды!$C:$C,Дивиденды!$A:$A,A354,Дивиденды!$I:$I,C354)</f>
        <v>0</v>
      </c>
      <c r="E354">
        <v>3</v>
      </c>
      <c r="F354">
        <f t="shared" si="56"/>
        <v>0</v>
      </c>
      <c r="G354">
        <f t="shared" si="57"/>
        <v>10.684999999999999</v>
      </c>
      <c r="H354">
        <f t="shared" si="58"/>
        <v>0</v>
      </c>
      <c r="I354">
        <f t="shared" si="59"/>
        <v>0.1</v>
      </c>
      <c r="J354">
        <f t="shared" si="60"/>
        <v>0</v>
      </c>
      <c r="K354">
        <f t="shared" si="65"/>
        <v>-0.44741116251599566</v>
      </c>
      <c r="L354">
        <f t="shared" si="61"/>
        <v>0</v>
      </c>
      <c r="M354">
        <f t="shared" si="62"/>
        <v>0</v>
      </c>
      <c r="N354">
        <f t="shared" si="63"/>
        <v>0</v>
      </c>
      <c r="O354">
        <f t="shared" si="64"/>
        <v>0.5</v>
      </c>
      <c r="P354">
        <f>IFERROR(LN('Дивиденды по годам'!I354),"")</f>
        <v>28.587574214539469</v>
      </c>
      <c r="Q354">
        <f>IFERROR('Дивиденды по годам'!G354/'Дивиденды по годам'!I354, "")</f>
        <v>0.70677629895060146</v>
      </c>
      <c r="R354">
        <f>IFERROR(IF(AND('Дивиденды по годам'!N354&lt;&gt;"",'Дивиденды по годам'!U354&lt;&gt;"",'Дивиденды по годам'!U354&lt;&gt;0),'Дивиденды по годам'!N354/'Дивиденды по годам'!U354-1,""),"")</f>
        <v>-1.2650893565631316E-2</v>
      </c>
      <c r="S354">
        <f>IFERROR(IF(AND('Дивиденды по годам'!L354&lt;&gt;"",'Дивиденды по годам'!I354&lt;&gt;"",'Дивиденды по годам'!J354&lt;&gt;"",'Дивиденды по годам'!K354&lt;&gt;"",('Дивиденды по годам'!I354-'Дивиденды по годам'!J354-'Дивиденды по годам'!K354)&lt;&gt;0),'Дивиденды по годам'!L354/('Дивиденды по годам'!I354-'Дивиденды по годам'!J354-'Дивиденды по годам'!K354),""),"")</f>
        <v>1.1137225734473781</v>
      </c>
      <c r="T354">
        <f>IFERROR(IF(AND('Дивиденды по годам'!Q354&lt;&gt;"",'Дивиденды по годам'!I354&lt;&gt;"",'Дивиденды по годам'!V354&lt;&gt;"",('Дивиденды по годам'!I354+'Дивиденды по годам'!V354)&lt;&gt;0),'Дивиденды по годам'!Q354/(('Дивиденды по годам'!I354+'Дивиденды по годам'!V354)/2),""),"")</f>
        <v>8.663349379212576E-2</v>
      </c>
      <c r="U354">
        <f>IFERROR(IF(AND('Дивиденды по годам'!J354&lt;&gt;"",'Дивиденды по годам'!K354&lt;&gt;"",'Дивиденды по годам'!M354&lt;&gt;"",'Дивиденды по годам'!M354&lt;&gt;0),('Дивиденды по годам'!J354+'Дивиденды по годам'!K354)/'Дивиденды по годам'!M354,""),"")</f>
        <v>1.3247303830420227</v>
      </c>
      <c r="V354">
        <f>IFERROR(IF(AND('Дивиденды по годам'!J354&lt;&gt;"",'Дивиденды по годам'!K354&lt;&gt;"",'Дивиденды по годам'!M354&lt;&gt;"",'Дивиденды по годам'!I354&lt;&gt;0),('Дивиденды по годам'!J354+'Дивиденды по годам'!K354)/'Дивиденды по годам'!I354,""),"")</f>
        <v>0.56984259022267725</v>
      </c>
      <c r="W354">
        <f>IFERROR('Дивиденды по годам'!I354,"")</f>
        <v>2602709710361.7969</v>
      </c>
      <c r="X354" cm="1">
        <f t="array" ref="X354">IFERROR(AVERAGE(_xlfn._xlws.FILTER(P$2:P$1073,($C$2:$C$1073=$C354)*($E$2:$E$1073=$E354)*(ROW(P$2:P$1073)&lt;&gt;ROW(P354))*(P$2:P$1073&lt;&gt;""))),"")</f>
        <v>27.374365841483399</v>
      </c>
      <c r="Y354" cm="1">
        <f t="array" ref="Y354">IFERROR(AVERAGE(_xlfn._xlws.FILTER(Q$2:Q$1073,($C$2:$C$1073=$C354)*($E$2:$E$1073=$E354)*(ROW(Q$2:Q$1073)&lt;&gt;ROW(Q354))*(Q$2:Q$1073&lt;&gt;""))),"")</f>
        <v>0.50375354190832777</v>
      </c>
      <c r="Z354" cm="1">
        <f t="array" ref="Z354">IFERROR(AVERAGE(_xlfn._xlws.FILTER(R$2:R$1073,($C$2:$C$1073=$C354)*($E$2:$E$1073=$E354)*(ROW(R$2:R$1073)&lt;&gt;ROW(R354))*(R$2:R$1073&lt;&gt;""))),"")</f>
        <v>-0.10527471373547337</v>
      </c>
      <c r="AA354" cm="1">
        <f t="array" ref="AA354">IFERROR(AVERAGE(_xlfn._xlws.FILTER(S$2:S$1073,($C$2:$C$1073=$C354)*($E$2:$E$1073=$E354)*(ROW(S$2:S$1073)&lt;&gt;ROW(S354))*(S$2:S$1073&lt;&gt;""))),"")</f>
        <v>0.96880966201945473</v>
      </c>
      <c r="AB354" cm="1">
        <f t="array" ref="AB354">IFERROR(AVERAGE(_xlfn._xlws.FILTER(T$2:T$1073,($C$2:$C$1073=$C354)*($E$2:$E$1073=$E354)*(ROW(T$2:T$1073)&lt;&gt;ROW(T354))*(T$2:T$1073&lt;&gt;""))),"")</f>
        <v>4.8406283615807302E-3</v>
      </c>
      <c r="AC354" cm="1">
        <f t="array" ref="AC354">IFERROR(AVERAGE(_xlfn._xlws.FILTER(U$2:U$1073,($C$2:$C$1073=$C354)*($E$2:$E$1073=$E354)*(ROW(U$2:U$1073)&lt;&gt;ROW(U354))*(U$2:U$1073&lt;&gt;""))),"")</f>
        <v>3.4529045525796227</v>
      </c>
      <c r="AD354" cm="1">
        <f t="array" ref="AD354">IFERROR(AVERAGE(_xlfn._xlws.FILTER(V$2:V$1073,($C$2:$C$1073=$C354)*($E$2:$E$1073=$E354)*(ROW(V$2:V$1073)&lt;&gt;ROW(V354))*(V$2:V$1073&lt;&gt;""))),"")</f>
        <v>0.51804843633086217</v>
      </c>
      <c r="AE354">
        <f>IF('Дивиденды по годам'!M354&lt;0,1,0)</f>
        <v>0</v>
      </c>
    </row>
    <row r="355" spans="1:31" x14ac:dyDescent="0.2">
      <c r="A355" s="7" t="s">
        <v>2315</v>
      </c>
      <c r="B355" t="str">
        <f t="shared" si="55"/>
        <v>GMKN IV кв. 2024</v>
      </c>
      <c r="C355">
        <v>2024</v>
      </c>
      <c r="D355">
        <f>SUMIFS(Дивиденды!$C:$C,Дивиденды!$A:$A,A355,Дивиденды!$I:$I,C355)</f>
        <v>0</v>
      </c>
      <c r="E355">
        <v>3</v>
      </c>
      <c r="F355">
        <f t="shared" si="56"/>
        <v>0</v>
      </c>
      <c r="G355">
        <f t="shared" si="57"/>
        <v>33.058</v>
      </c>
      <c r="H355">
        <f t="shared" si="58"/>
        <v>0</v>
      </c>
      <c r="I355">
        <f t="shared" si="59"/>
        <v>0.5</v>
      </c>
      <c r="J355">
        <f t="shared" si="60"/>
        <v>0</v>
      </c>
      <c r="K355">
        <f t="shared" si="65"/>
        <v>-0.20461447297899457</v>
      </c>
      <c r="L355">
        <f t="shared" si="61"/>
        <v>0</v>
      </c>
      <c r="M355">
        <f t="shared" si="62"/>
        <v>0.1</v>
      </c>
      <c r="N355">
        <f t="shared" si="63"/>
        <v>0</v>
      </c>
      <c r="O355">
        <f t="shared" si="64"/>
        <v>0.5</v>
      </c>
      <c r="P355">
        <f>IFERROR(LN('Дивиденды по годам'!I355),"")</f>
        <v>28.394411893111407</v>
      </c>
      <c r="Q355">
        <f>IFERROR('Дивиденды по годам'!G355/'Дивиденды по годам'!I355, "")</f>
        <v>0.65865343116098407</v>
      </c>
      <c r="R355">
        <f>IFERROR(IF(AND('Дивиденды по годам'!N355&lt;&gt;"",'Дивиденды по годам'!U355&lt;&gt;"",'Дивиденды по годам'!U355&lt;&gt;0),'Дивиденды по годам'!N355/'Дивиденды по годам'!U355-1,""),"")</f>
        <v>-5.6942077997401919E-2</v>
      </c>
      <c r="S355">
        <f>IFERROR(IF(AND('Дивиденды по годам'!L355&lt;&gt;"",'Дивиденды по годам'!I355&lt;&gt;"",'Дивиденды по годам'!J355&lt;&gt;"",'Дивиденды по годам'!K355&lt;&gt;"",('Дивиденды по годам'!I355-'Дивиденды по годам'!J355-'Дивиденды по годам'!K355)&lt;&gt;0),'Дивиденды по годам'!L355/('Дивиденды по годам'!I355-'Дивиденды по годам'!J355-'Дивиденды по годам'!K355),""),"")</f>
        <v>1.560824996912437</v>
      </c>
      <c r="T355">
        <f>IFERROR(IF(AND('Дивиденды по годам'!Q355&lt;&gt;"",'Дивиденды по годам'!I355&lt;&gt;"",'Дивиденды по годам'!V355&lt;&gt;"",('Дивиденды по годам'!I355+'Дивиденды по годам'!V355)&lt;&gt;0),'Дивиденды по годам'!Q355/(('Дивиденды по годам'!I355+'Дивиденды по годам'!V355)/2),""),"")</f>
        <v>8.0807025787379264E-2</v>
      </c>
      <c r="U355">
        <f>IFERROR(IF(AND('Дивиденды по годам'!J355&lt;&gt;"",'Дивиденды по годам'!K355&lt;&gt;"",'Дивиденды по годам'!M355&lt;&gt;"",'Дивиденды по годам'!M355&lt;&gt;0),('Дивиденды по годам'!J355+'Дивиденды по годам'!K355)/'Дивиденды по годам'!M355,""),"")</f>
        <v>1.8615536618500679</v>
      </c>
      <c r="V355">
        <f>IFERROR(IF(AND('Дивиденды по годам'!J355&lt;&gt;"",'Дивиденды по годам'!K355&lt;&gt;"",'Дивиденды по годам'!M355&lt;&gt;"",'Дивиденды по годам'!I355&lt;&gt;0),('Дивиденды по годам'!J355+'Дивиденды по годам'!K355)/'Дивиденды по годам'!I355,""),"")</f>
        <v>0.65053949072075967</v>
      </c>
      <c r="W355">
        <f>IFERROR('Дивиденды по годам'!I355,"")</f>
        <v>2145538944897.5059</v>
      </c>
      <c r="X355" cm="1">
        <f t="array" ref="X355">IFERROR(AVERAGE(_xlfn._xlws.FILTER(P$2:P$1073,($C$2:$C$1073=$C355)*($E$2:$E$1073=$E355)*(ROW(P$2:P$1073)&lt;&gt;ROW(P355))*(P$2:P$1073&lt;&gt;""))),"")</f>
        <v>27.171717895811121</v>
      </c>
      <c r="Y355" cm="1">
        <f t="array" ref="Y355">IFERROR(AVERAGE(_xlfn._xlws.FILTER(Q$2:Q$1073,($C$2:$C$1073=$C355)*($E$2:$E$1073=$E355)*(ROW(Q$2:Q$1073)&lt;&gt;ROW(Q355))*(Q$2:Q$1073&lt;&gt;""))),"")</f>
        <v>0.46228753804861877</v>
      </c>
      <c r="Z355" cm="1">
        <f t="array" ref="Z355">IFERROR(AVERAGE(_xlfn._xlws.FILTER(R$2:R$1073,($C$2:$C$1073=$C355)*($E$2:$E$1073=$E355)*(ROW(R$2:R$1073)&lt;&gt;ROW(R355))*(R$2:R$1073&lt;&gt;""))),"")</f>
        <v>3.3505317641031193E-2</v>
      </c>
      <c r="AA355" cm="1">
        <f t="array" ref="AA355">IFERROR(AVERAGE(_xlfn._xlws.FILTER(S$2:S$1073,($C$2:$C$1073=$C355)*($E$2:$E$1073=$E355)*(ROW(S$2:S$1073)&lt;&gt;ROW(S355))*(S$2:S$1073&lt;&gt;""))),"")</f>
        <v>1.1338042580101244</v>
      </c>
      <c r="AB355" cm="1">
        <f t="array" ref="AB355">IFERROR(AVERAGE(_xlfn._xlws.FILTER(T$2:T$1073,($C$2:$C$1073=$C355)*($E$2:$E$1073=$E355)*(ROW(T$2:T$1073)&lt;&gt;ROW(T355))*(T$2:T$1073&lt;&gt;""))),"")</f>
        <v>4.1995048431106061E-2</v>
      </c>
      <c r="AC355" cm="1">
        <f t="array" ref="AC355">IFERROR(AVERAGE(_xlfn._xlws.FILTER(U$2:U$1073,($C$2:$C$1073=$C355)*($E$2:$E$1073=$E355)*(ROW(U$2:U$1073)&lt;&gt;ROW(U355))*(U$2:U$1073&lt;&gt;""))),"")</f>
        <v>2.635064249892209</v>
      </c>
      <c r="AD355" cm="1">
        <f t="array" ref="AD355">IFERROR(AVERAGE(_xlfn._xlws.FILTER(V$2:V$1073,($C$2:$C$1073=$C355)*($E$2:$E$1073=$E355)*(ROW(V$2:V$1073)&lt;&gt;ROW(V355))*(V$2:V$1073&lt;&gt;""))),"")</f>
        <v>0.61574041808298052</v>
      </c>
      <c r="AE355">
        <f>IF('Дивиденды по годам'!M355&lt;0,1,0)</f>
        <v>0</v>
      </c>
    </row>
    <row r="356" spans="1:31" x14ac:dyDescent="0.2">
      <c r="A356" s="7" t="s">
        <v>2315</v>
      </c>
      <c r="B356" t="str">
        <f t="shared" si="55"/>
        <v>GMKN IV кв. 2023</v>
      </c>
      <c r="C356">
        <v>2023</v>
      </c>
      <c r="D356">
        <f>SUMIFS(Дивиденды!$C:$C,Дивиденды!$A:$A,A356,Дивиденды!$I:$I,C356)</f>
        <v>0</v>
      </c>
      <c r="E356">
        <v>3</v>
      </c>
      <c r="F356">
        <f t="shared" si="56"/>
        <v>0</v>
      </c>
      <c r="G356">
        <f t="shared" si="57"/>
        <v>25.244</v>
      </c>
      <c r="H356">
        <f t="shared" si="58"/>
        <v>0</v>
      </c>
      <c r="I356">
        <f t="shared" si="59"/>
        <v>0.6</v>
      </c>
      <c r="J356">
        <f t="shared" si="60"/>
        <v>0</v>
      </c>
      <c r="K356">
        <f t="shared" si="65"/>
        <v>0.43287037037037035</v>
      </c>
      <c r="L356">
        <f t="shared" si="61"/>
        <v>0</v>
      </c>
      <c r="M356">
        <f t="shared" si="62"/>
        <v>0.6</v>
      </c>
      <c r="N356">
        <f t="shared" si="63"/>
        <v>0</v>
      </c>
      <c r="O356">
        <f t="shared" si="64"/>
        <v>0.1</v>
      </c>
      <c r="P356">
        <f>IFERROR(LN('Дивиденды по годам'!I356),"")</f>
        <v>28.331251745150347</v>
      </c>
      <c r="Q356">
        <f>IFERROR('Дивиденды по годам'!G356/'Дивиденды по годам'!I356, "")</f>
        <v>0.64380831212892276</v>
      </c>
      <c r="R356">
        <f>IFERROR(IF(AND('Дивиденды по годам'!N356&lt;&gt;"",'Дивиденды по годам'!U356&lt;&gt;"",'Дивиденды по годам'!U356&lt;&gt;0),'Дивиденды по годам'!N356/'Дивиденды по годам'!U356-1,""),"")</f>
        <v>7.1312308054158446E-2</v>
      </c>
      <c r="S356">
        <f>IFERROR(IF(AND('Дивиденды по годам'!L356&lt;&gt;"",'Дивиденды по годам'!I356&lt;&gt;"",'Дивиденды по годам'!J356&lt;&gt;"",'Дивиденды по годам'!K356&lt;&gt;"",('Дивиденды по годам'!I356-'Дивиденды по годам'!J356-'Дивиденды по годам'!K356)&lt;&gt;0),'Дивиденды по годам'!L356/('Дивиденды по годам'!I356-'Дивиденды по годам'!J356-'Дивиденды по годам'!K356),""),"")</f>
        <v>1.4909809084924293</v>
      </c>
      <c r="T356">
        <f>IFERROR(IF(AND('Дивиденды по годам'!Q356&lt;&gt;"",'Дивиденды по годам'!I356&lt;&gt;"",'Дивиденды по годам'!V356&lt;&gt;"",('Дивиденды по годам'!I356+'Дивиденды по годам'!V356)&lt;&gt;0),'Дивиденды по годам'!Q356/(('Дивиденды по годам'!I356+'Дивиденды по годам'!V356)/2),""),"")</f>
        <v>0.13004626724100526</v>
      </c>
      <c r="U356">
        <f>IFERROR(IF(AND('Дивиденды по годам'!J356&lt;&gt;"",'Дивиденды по годам'!K356&lt;&gt;"",'Дивиденды по годам'!M356&lt;&gt;"",'Дивиденды по годам'!M356&lt;&gt;0),('Дивиденды по годам'!J356+'Дивиденды по годам'!K356)/'Дивиденды по годам'!M356,""),"")</f>
        <v>2.1046741277156022</v>
      </c>
      <c r="V356">
        <f>IFERROR(IF(AND('Дивиденды по годам'!J356&lt;&gt;"",'Дивиденды по годам'!K356&lt;&gt;"",'Дивиденды по годам'!M356&lt;&gt;"",'Дивиденды по годам'!I356&lt;&gt;0),('Дивиденды по годам'!J356+'Дивиденды по годам'!K356)/'Дивиденды по годам'!I356,""),"")</f>
        <v>0.67790500424088207</v>
      </c>
      <c r="W356">
        <f>IFERROR('Дивиденды по годам'!I356,"")</f>
        <v>2014217191250.0007</v>
      </c>
      <c r="X356" cm="1">
        <f t="array" ref="X356">IFERROR(AVERAGE(_xlfn._xlws.FILTER(P$2:P$1073,($C$2:$C$1073=$C356)*($E$2:$E$1073=$E356)*(ROW(P$2:P$1073)&lt;&gt;ROW(P356))*(P$2:P$1073&lt;&gt;""))),"")</f>
        <v>27.098810467137174</v>
      </c>
      <c r="Y356" cm="1">
        <f t="array" ref="Y356">IFERROR(AVERAGE(_xlfn._xlws.FILTER(Q$2:Q$1073,($C$2:$C$1073=$C356)*($E$2:$E$1073=$E356)*(ROW(Q$2:Q$1073)&lt;&gt;ROW(Q356))*(Q$2:Q$1073&lt;&gt;""))),"")</f>
        <v>0.43697328711707162</v>
      </c>
      <c r="Z356" cm="1">
        <f t="array" ref="Z356">IFERROR(AVERAGE(_xlfn._xlws.FILTER(R$2:R$1073,($C$2:$C$1073=$C356)*($E$2:$E$1073=$E356)*(ROW(R$2:R$1073)&lt;&gt;ROW(R356))*(R$2:R$1073&lt;&gt;""))),"")</f>
        <v>0.13679176323033609</v>
      </c>
      <c r="AA356" cm="1">
        <f t="array" ref="AA356">IFERROR(AVERAGE(_xlfn._xlws.FILTER(S$2:S$1073,($C$2:$C$1073=$C356)*($E$2:$E$1073=$E356)*(ROW(S$2:S$1073)&lt;&gt;ROW(S356))*(S$2:S$1073&lt;&gt;""))),"")</f>
        <v>-6.6439690654670482E-4</v>
      </c>
      <c r="AB356" cm="1">
        <f t="array" ref="AB356">IFERROR(AVERAGE(_xlfn._xlws.FILTER(T$2:T$1073,($C$2:$C$1073=$C356)*($E$2:$E$1073=$E356)*(ROW(T$2:T$1073)&lt;&gt;ROW(T356))*(T$2:T$1073&lt;&gt;""))),"")</f>
        <v>0.11723369776261539</v>
      </c>
      <c r="AC356" cm="1">
        <f t="array" ref="AC356">IFERROR(AVERAGE(_xlfn._xlws.FILTER(U$2:U$1073,($C$2:$C$1073=$C356)*($E$2:$E$1073=$E356)*(ROW(U$2:U$1073)&lt;&gt;ROW(U356))*(U$2:U$1073&lt;&gt;""))),"")</f>
        <v>-0.8236774383860137</v>
      </c>
      <c r="AD356" cm="1">
        <f t="array" ref="AD356">IFERROR(AVERAGE(_xlfn._xlws.FILTER(V$2:V$1073,($C$2:$C$1073=$C356)*($E$2:$E$1073=$E356)*(ROW(V$2:V$1073)&lt;&gt;ROW(V356))*(V$2:V$1073&lt;&gt;""))),"")</f>
        <v>0.58988777276229121</v>
      </c>
      <c r="AE356">
        <f>IF('Дивиденды по годам'!M356&lt;0,1,0)</f>
        <v>0</v>
      </c>
    </row>
    <row r="357" spans="1:31" x14ac:dyDescent="0.2">
      <c r="A357" s="7" t="s">
        <v>2315</v>
      </c>
      <c r="B357" t="str">
        <f t="shared" si="55"/>
        <v>GMKN IV кв. 2022</v>
      </c>
      <c r="C357">
        <v>2022</v>
      </c>
      <c r="D357">
        <f>SUMIFS(Дивиденды!$C:$C,Дивиденды!$A:$A,A357,Дивиденды!$I:$I,C357)</f>
        <v>0</v>
      </c>
      <c r="E357">
        <v>3</v>
      </c>
      <c r="F357">
        <f t="shared" si="56"/>
        <v>0</v>
      </c>
      <c r="G357">
        <f t="shared" si="57"/>
        <v>1.73</v>
      </c>
      <c r="H357">
        <f t="shared" si="58"/>
        <v>0</v>
      </c>
      <c r="I357">
        <f t="shared" si="59"/>
        <v>0.2</v>
      </c>
      <c r="J357">
        <f t="shared" si="60"/>
        <v>0</v>
      </c>
      <c r="K357">
        <f t="shared" si="65"/>
        <v>-0.60242800677583286</v>
      </c>
      <c r="L357">
        <f t="shared" si="61"/>
        <v>0</v>
      </c>
      <c r="M357">
        <f t="shared" si="62"/>
        <v>0.1</v>
      </c>
      <c r="N357">
        <f t="shared" si="63"/>
        <v>0</v>
      </c>
      <c r="O357">
        <f t="shared" si="64"/>
        <v>0.8</v>
      </c>
      <c r="P357">
        <f>IFERROR(LN('Дивиденды по годам'!I357),"")</f>
        <v>28.194109688710178</v>
      </c>
      <c r="Q357">
        <f>IFERROR('Дивиденды по годам'!G357/'Дивиденды по годам'!I357, "")</f>
        <v>0.63050978871874397</v>
      </c>
      <c r="R357">
        <f>IFERROR(IF(AND('Дивиденды по годам'!N357&lt;&gt;"",'Дивиденды по годам'!U357&lt;&gt;"",'Дивиденды по годам'!U357&lt;&gt;0),'Дивиденды по годам'!N357/'Дивиденды по годам'!U357-1,""),"")</f>
        <v>-0.1276726521648478</v>
      </c>
      <c r="S357">
        <f>IFERROR(IF(AND('Дивиденды по годам'!L357&lt;&gt;"",'Дивиденды по годам'!I357&lt;&gt;"",'Дивиденды по годам'!J357&lt;&gt;"",'Дивиденды по годам'!K357&lt;&gt;"",('Дивиденды по годам'!I357-'Дивиденды по годам'!J357-'Дивиденды по годам'!K357)&lt;&gt;0),'Дивиденды по годам'!L357/('Дивиденды по годам'!I357-'Дивиденды по годам'!J357-'Дивиденды по годам'!K357),""),"")</f>
        <v>1.219563441111241</v>
      </c>
      <c r="T357">
        <f>IFERROR(IF(AND('Дивиденды по годам'!Q357&lt;&gt;"",'Дивиденды по годам'!I357&lt;&gt;"",'Дивиденды по годам'!V357&lt;&gt;"",('Дивиденды по годам'!I357+'Дивиденды по годам'!V357)&lt;&gt;0),'Дивиденды по годам'!Q357/(('Дивиденды по годам'!I357+'Дивиденды по годам'!V357)/2),""),"")</f>
        <v>0.22871134937663029</v>
      </c>
      <c r="U357">
        <f>IFERROR(IF(AND('Дивиденды по годам'!J357&lt;&gt;"",'Дивиденды по годам'!K357&lt;&gt;"",'Дивиденды по годам'!M357&lt;&gt;"",'Дивиденды по годам'!M357&lt;&gt;0),('Дивиденды по годам'!J357+'Дивиденды по годам'!K357)/'Дивиденды по годам'!M357,""),"")</f>
        <v>2.0109723357067812</v>
      </c>
      <c r="V357">
        <f>IFERROR(IF(AND('Дивиденды по годам'!J357&lt;&gt;"",'Дивиденды по годам'!K357&lt;&gt;"",'Дивиденды по годам'!M357&lt;&gt;"",'Дивиденды по годам'!I357&lt;&gt;0),('Дивиденды по годам'!J357+'Дивиденды по годам'!K357)/'Дивиденды по годам'!I357,""),"")</f>
        <v>0.66788137235898426</v>
      </c>
      <c r="W357">
        <f>IFERROR('Дивиденды по годам'!I357,"")</f>
        <v>1756087938412.4988</v>
      </c>
      <c r="X357" cm="1">
        <f t="array" ref="X357">IFERROR(AVERAGE(_xlfn._xlws.FILTER(P$2:P$1073,($C$2:$C$1073=$C357)*($E$2:$E$1073=$E357)*(ROW(P$2:P$1073)&lt;&gt;ROW(P357))*(P$2:P$1073&lt;&gt;""))),"")</f>
        <v>26.971705749806716</v>
      </c>
      <c r="Y357" cm="1">
        <f t="array" ref="Y357">IFERROR(AVERAGE(_xlfn._xlws.FILTER(Q$2:Q$1073,($C$2:$C$1073=$C357)*($E$2:$E$1073=$E357)*(ROW(Q$2:Q$1073)&lt;&gt;ROW(Q357))*(Q$2:Q$1073&lt;&gt;""))),"")</f>
        <v>0.45591399112002007</v>
      </c>
      <c r="Z357" cm="1">
        <f t="array" ref="Z357">IFERROR(AVERAGE(_xlfn._xlws.FILTER(R$2:R$1073,($C$2:$C$1073=$C357)*($E$2:$E$1073=$E357)*(ROW(R$2:R$1073)&lt;&gt;ROW(R357))*(R$2:R$1073&lt;&gt;""))),"")</f>
        <v>-1.1093808244678382E-2</v>
      </c>
      <c r="AA357" cm="1">
        <f t="array" ref="AA357">IFERROR(AVERAGE(_xlfn._xlws.FILTER(S$2:S$1073,($C$2:$C$1073=$C357)*($E$2:$E$1073=$E357)*(ROW(S$2:S$1073)&lt;&gt;ROW(S357))*(S$2:S$1073&lt;&gt;""))),"")</f>
        <v>0.8150420995265607</v>
      </c>
      <c r="AB357" cm="1">
        <f t="array" ref="AB357">IFERROR(AVERAGE(_xlfn._xlws.FILTER(T$2:T$1073,($C$2:$C$1073=$C357)*($E$2:$E$1073=$E357)*(ROW(T$2:T$1073)&lt;&gt;ROW(T357))*(T$2:T$1073&lt;&gt;""))),"")</f>
        <v>0.15166555297764495</v>
      </c>
      <c r="AC357" cm="1">
        <f t="array" ref="AC357">IFERROR(AVERAGE(_xlfn._xlws.FILTER(U$2:U$1073,($C$2:$C$1073=$C357)*($E$2:$E$1073=$E357)*(ROW(U$2:U$1073)&lt;&gt;ROW(U357))*(U$2:U$1073&lt;&gt;""))),"")</f>
        <v>1.0675956688234387</v>
      </c>
      <c r="AD357" cm="1">
        <f t="array" ref="AD357">IFERROR(AVERAGE(_xlfn._xlws.FILTER(V$2:V$1073,($C$2:$C$1073=$C357)*($E$2:$E$1073=$E357)*(ROW(V$2:V$1073)&lt;&gt;ROW(V357))*(V$2:V$1073&lt;&gt;""))),"")</f>
        <v>0.5541996515904557</v>
      </c>
      <c r="AE357">
        <f>IF('Дивиденды по годам'!M357&lt;0,1,0)</f>
        <v>0</v>
      </c>
    </row>
    <row r="358" spans="1:31" x14ac:dyDescent="0.2">
      <c r="A358" s="7" t="s">
        <v>2315</v>
      </c>
      <c r="B358" t="str">
        <f t="shared" si="55"/>
        <v>GMKN IV кв. 2021</v>
      </c>
      <c r="C358">
        <v>2021</v>
      </c>
      <c r="D358">
        <f>SUMIFS(Дивиденды!$C:$C,Дивиденды!$A:$A,A358,Дивиденды!$I:$I,C358)</f>
        <v>0</v>
      </c>
      <c r="E358">
        <v>3</v>
      </c>
      <c r="F358">
        <f t="shared" si="56"/>
        <v>0</v>
      </c>
      <c r="G358">
        <f t="shared" si="57"/>
        <v>36.855000000000004</v>
      </c>
      <c r="H358">
        <f t="shared" si="58"/>
        <v>0</v>
      </c>
      <c r="I358">
        <f t="shared" si="59"/>
        <v>0.8</v>
      </c>
      <c r="J358">
        <f t="shared" si="60"/>
        <v>0</v>
      </c>
      <c r="K358">
        <f t="shared" si="65"/>
        <v>0.73069632657079653</v>
      </c>
      <c r="L358">
        <f t="shared" si="61"/>
        <v>0</v>
      </c>
      <c r="M358">
        <f t="shared" si="62"/>
        <v>0.5</v>
      </c>
      <c r="N358">
        <f t="shared" si="63"/>
        <v>0</v>
      </c>
      <c r="O358">
        <f t="shared" si="64"/>
        <v>0.2</v>
      </c>
      <c r="P358">
        <f>IFERROR(LN('Дивиденды по годам'!I358),"")</f>
        <v>28.178527119507471</v>
      </c>
      <c r="Q358">
        <f>IFERROR('Дивиденды по годам'!G358/'Дивиденды по годам'!I358, "")</f>
        <v>0.5418818007254107</v>
      </c>
      <c r="R358">
        <f>IFERROR(IF(AND('Дивиденды по годам'!N358&lt;&gt;"",'Дивиденды по годам'!U358&lt;&gt;"",'Дивиденды по годам'!U358&lt;&gt;0),'Дивиденды по годам'!N358/'Дивиденды по годам'!U358-1,""),"")</f>
        <v>0.17189251945470607</v>
      </c>
      <c r="S358">
        <f>IFERROR(IF(AND('Дивиденды по годам'!L358&lt;&gt;"",'Дивиденды по годам'!I358&lt;&gt;"",'Дивиденды по годам'!J358&lt;&gt;"",'Дивиденды по годам'!K358&lt;&gt;"",('Дивиденды по годам'!I358-'Дивиденды по годам'!J358-'Дивиденды по годам'!K358)&lt;&gt;0),'Дивиденды по годам'!L358/('Дивиденды по годам'!I358-'Дивиденды по годам'!J358-'Дивиденды по годам'!K358),""),"")</f>
        <v>1.7092731829573946</v>
      </c>
      <c r="T358">
        <f>IFERROR(IF(AND('Дивиденды по годам'!Q358&lt;&gt;"",'Дивиденды по годам'!I358&lt;&gt;"",'Дивиденды по годам'!V358&lt;&gt;"",('Дивиденды по годам'!I358+'Дивиденды по годам'!V358)&lt;&gt;0),'Дивиденды по годам'!Q358/(('Дивиденды по годам'!I358+'Дивиденды по годам'!V358)/2),""),"")</f>
        <v>0.31898603074425064</v>
      </c>
      <c r="U358">
        <f>IFERROR(IF(AND('Дивиденды по годам'!J358&lt;&gt;"",'Дивиденды по годам'!K358&lt;&gt;"",'Дивиденды по годам'!M358&lt;&gt;"",'Дивиденды по годам'!M358&lt;&gt;0),('Дивиденды по годам'!J358+'Дивиденды по годам'!K358)/'Дивиденды по годам'!M358,""),"")</f>
        <v>3.8945279866332494</v>
      </c>
      <c r="V358">
        <f>IFERROR(IF(AND('Дивиденды по годам'!J358&lt;&gt;"",'Дивиденды по годам'!K358&lt;&gt;"",'Дивиденды по годам'!M358&lt;&gt;"",'Дивиденды по годам'!I358&lt;&gt;0),('Дивиденды по годам'!J358+'Дивиденды по годам'!K358)/'Дивиденды по годам'!I358,""),"")</f>
        <v>0.7956902069554086</v>
      </c>
      <c r="W358">
        <f>IFERROR('Дивиденды по годам'!I358,"")</f>
        <v>1728935676998.1821</v>
      </c>
      <c r="X358" cm="1">
        <f t="array" ref="X358">IFERROR(AVERAGE(_xlfn._xlws.FILTER(P$2:P$1073,($C$2:$C$1073=$C358)*($E$2:$E$1073=$E358)*(ROW(P$2:P$1073)&lt;&gt;ROW(P358))*(P$2:P$1073&lt;&gt;""))),"")</f>
        <v>26.865443490241223</v>
      </c>
      <c r="Y358" cm="1">
        <f t="array" ref="Y358">IFERROR(AVERAGE(_xlfn._xlws.FILTER(Q$2:Q$1073,($C$2:$C$1073=$C358)*($E$2:$E$1073=$E358)*(ROW(Q$2:Q$1073)&lt;&gt;ROW(Q358))*(Q$2:Q$1073&lt;&gt;""))),"")</f>
        <v>0.48228315302734731</v>
      </c>
      <c r="Z358" cm="1">
        <f t="array" ref="Z358">IFERROR(AVERAGE(_xlfn._xlws.FILTER(R$2:R$1073,($C$2:$C$1073=$C358)*($E$2:$E$1073=$E358)*(ROW(R$2:R$1073)&lt;&gt;ROW(R358))*(R$2:R$1073&lt;&gt;""))),"")</f>
        <v>0.73424206645786849</v>
      </c>
      <c r="AA358" cm="1">
        <f t="array" ref="AA358">IFERROR(AVERAGE(_xlfn._xlws.FILTER(S$2:S$1073,($C$2:$C$1073=$C358)*($E$2:$E$1073=$E358)*(ROW(S$2:S$1073)&lt;&gt;ROW(S358))*(S$2:S$1073&lt;&gt;""))),"")</f>
        <v>0.96801997445051546</v>
      </c>
      <c r="AB358" cm="1">
        <f t="array" ref="AB358">IFERROR(AVERAGE(_xlfn._xlws.FILTER(T$2:T$1073,($C$2:$C$1073=$C358)*($E$2:$E$1073=$E358)*(ROW(T$2:T$1073)&lt;&gt;ROW(T358))*(T$2:T$1073&lt;&gt;""))),"")</f>
        <v>0.2841946882344763</v>
      </c>
      <c r="AC358" cm="1">
        <f t="array" ref="AC358">IFERROR(AVERAGE(_xlfn._xlws.FILTER(U$2:U$1073,($C$2:$C$1073=$C358)*($E$2:$E$1073=$E358)*(ROW(U$2:U$1073)&lt;&gt;ROW(U358))*(U$2:U$1073&lt;&gt;""))),"")</f>
        <v>1.8635234296858154</v>
      </c>
      <c r="AD358" cm="1">
        <f t="array" ref="AD358">IFERROR(AVERAGE(_xlfn._xlws.FILTER(V$2:V$1073,($C$2:$C$1073=$C358)*($E$2:$E$1073=$E358)*(ROW(V$2:V$1073)&lt;&gt;ROW(V358))*(V$2:V$1073&lt;&gt;""))),"")</f>
        <v>0.65360154380228264</v>
      </c>
      <c r="AE358">
        <f>IF('Дивиденды по годам'!M358&lt;0,1,0)</f>
        <v>0</v>
      </c>
    </row>
    <row r="359" spans="1:31" x14ac:dyDescent="0.2">
      <c r="A359" s="7" t="s">
        <v>2315</v>
      </c>
      <c r="B359" t="str">
        <f t="shared" si="55"/>
        <v>GMKN IV кв. 2020</v>
      </c>
      <c r="C359">
        <v>2020</v>
      </c>
      <c r="D359">
        <f>SUMIFS(Дивиденды!$C:$C,Дивиденды!$A:$A,A359,Дивиденды!$I:$I,C359)</f>
        <v>0</v>
      </c>
      <c r="E359">
        <v>3</v>
      </c>
      <c r="F359">
        <f t="shared" si="56"/>
        <v>0</v>
      </c>
      <c r="G359">
        <f t="shared" si="57"/>
        <v>23.983999999999998</v>
      </c>
      <c r="H359">
        <f t="shared" si="58"/>
        <v>0</v>
      </c>
      <c r="I359">
        <f t="shared" si="59"/>
        <v>0.8</v>
      </c>
      <c r="J359">
        <f t="shared" si="60"/>
        <v>0</v>
      </c>
      <c r="K359">
        <f t="shared" si="65"/>
        <v>0.6593795487099845</v>
      </c>
      <c r="L359">
        <f t="shared" si="61"/>
        <v>0</v>
      </c>
      <c r="M359">
        <f t="shared" si="62"/>
        <v>0.7</v>
      </c>
      <c r="N359">
        <f t="shared" si="63"/>
        <v>0</v>
      </c>
      <c r="O359">
        <f t="shared" si="64"/>
        <v>0.1</v>
      </c>
      <c r="P359">
        <f>IFERROR(LN('Дивиденды по годам'!I359),"")</f>
        <v>28.03447652473346</v>
      </c>
      <c r="Q359">
        <f>IFERROR('Дивиденды по годам'!G359/'Дивиденды по годам'!I359, "")</f>
        <v>0.51975272867767797</v>
      </c>
      <c r="R359">
        <f>IFERROR(IF(AND('Дивиденды по годам'!N359&lt;&gt;"",'Дивиденды по годам'!U359&lt;&gt;"",'Дивиденды по годам'!U359&lt;&gt;0),'Дивиденды по годам'!N359/'Дивиденды по годам'!U359-1,""),"")</f>
        <v>0.28093220771441052</v>
      </c>
      <c r="S359">
        <f>IFERROR(IF(AND('Дивиденды по годам'!L359&lt;&gt;"",'Дивиденды по годам'!I359&lt;&gt;"",'Дивиденды по годам'!J359&lt;&gt;"",'Дивиденды по годам'!K359&lt;&gt;"",('Дивиденды по годам'!I359-'Дивиденды по годам'!J359-'Дивиденды по годам'!K359)&lt;&gt;0),'Дивиденды по годам'!L359/('Дивиденды по годам'!I359-'Дивиденды по годам'!J359-'Дивиденды по годам'!K359),""),"")</f>
        <v>1.7732620320855614</v>
      </c>
      <c r="T359">
        <f>IFERROR(IF(AND('Дивиденды по годам'!Q359&lt;&gt;"",'Дивиденды по годам'!I359&lt;&gt;"",'Дивиденды по годам'!V359&lt;&gt;"",('Дивиденды по годам'!I359+'Дивиденды по годам'!V359)&lt;&gt;0),'Дивиденды по годам'!Q359/(('Дивиденды по годам'!I359+'Дивиденды по годам'!V359)/2),""),"")</f>
        <v>0.19060783392140637</v>
      </c>
      <c r="U359">
        <f>IFERROR(IF(AND('Дивиденды по годам'!J359&lt;&gt;"",'Дивиденды по годам'!K359&lt;&gt;"",'Дивиденды по годам'!M359&lt;&gt;"",'Дивиденды по годам'!M359&lt;&gt;0),('Дивиденды по годам'!J359+'Дивиденды по годам'!K359)/'Дивиденды по годам'!M359,""),"")</f>
        <v>3.4290909090909087</v>
      </c>
      <c r="V359">
        <f>IFERROR(IF(AND('Дивиденды по годам'!J359&lt;&gt;"",'Дивиденды по годам'!K359&lt;&gt;"",'Дивиденды по годам'!M359&lt;&gt;"",'Дивиденды по годам'!I359&lt;&gt;0),('Дивиденды по годам'!J359+'Дивиденды по годам'!K359)/'Дивиденды по годам'!I359,""),"")</f>
        <v>0.77422003284072238</v>
      </c>
      <c r="W359">
        <f>IFERROR('Дивиденды по годам'!I359,"")</f>
        <v>1496988478185.3667</v>
      </c>
      <c r="X359" cm="1">
        <f t="array" ref="X359">IFERROR(AVERAGE(_xlfn._xlws.FILTER(P$2:P$1073,($C$2:$C$1073=$C359)*($E$2:$E$1073=$E359)*(ROW(P$2:P$1073)&lt;&gt;ROW(P359))*(P$2:P$1073&lt;&gt;""))),"")</f>
        <v>26.697093359949577</v>
      </c>
      <c r="Y359" cm="1">
        <f t="array" ref="Y359">IFERROR(AVERAGE(_xlfn._xlws.FILTER(Q$2:Q$1073,($C$2:$C$1073=$C359)*($E$2:$E$1073=$E359)*(ROW(Q$2:Q$1073)&lt;&gt;ROW(Q359))*(Q$2:Q$1073&lt;&gt;""))),"")</f>
        <v>0.50475230678520133</v>
      </c>
      <c r="Z359" cm="1">
        <f t="array" ref="Z359">IFERROR(AVERAGE(_xlfn._xlws.FILTER(R$2:R$1073,($C$2:$C$1073=$C359)*($E$2:$E$1073=$E359)*(ROW(R$2:R$1073)&lt;&gt;ROW(R359))*(R$2:R$1073&lt;&gt;""))),"")</f>
        <v>1.858247668892843E-3</v>
      </c>
      <c r="AA359" cm="1">
        <f t="array" ref="AA359">IFERROR(AVERAGE(_xlfn._xlws.FILTER(S$2:S$1073,($C$2:$C$1073=$C359)*($E$2:$E$1073=$E359)*(ROW(S$2:S$1073)&lt;&gt;ROW(S359))*(S$2:S$1073&lt;&gt;""))),"")</f>
        <v>0.96777407633695312</v>
      </c>
      <c r="AB359" cm="1">
        <f t="array" ref="AB359">IFERROR(AVERAGE(_xlfn._xlws.FILTER(T$2:T$1073,($C$2:$C$1073=$C359)*($E$2:$E$1073=$E359)*(ROW(T$2:T$1073)&lt;&gt;ROW(T359))*(T$2:T$1073&lt;&gt;""))),"")</f>
        <v>8.4667908114658921E-2</v>
      </c>
      <c r="AC359" cm="1">
        <f t="array" ref="AC359">IFERROR(AVERAGE(_xlfn._xlws.FILTER(U$2:U$1073,($C$2:$C$1073=$C359)*($E$2:$E$1073=$E359)*(ROW(U$2:U$1073)&lt;&gt;ROW(U359))*(U$2:U$1073&lt;&gt;""))),"")</f>
        <v>1.481912366182021</v>
      </c>
      <c r="AD359" cm="1">
        <f t="array" ref="AD359">IFERROR(AVERAGE(_xlfn._xlws.FILTER(V$2:V$1073,($C$2:$C$1073=$C359)*($E$2:$E$1073=$E359)*(ROW(V$2:V$1073)&lt;&gt;ROW(V359))*(V$2:V$1073&lt;&gt;""))),"")</f>
        <v>0.76319232177438123</v>
      </c>
      <c r="AE359">
        <f>IF('Дивиденды по годам'!M359&lt;0,1,0)</f>
        <v>0</v>
      </c>
    </row>
    <row r="360" spans="1:31" x14ac:dyDescent="0.2">
      <c r="A360" s="7" t="s">
        <v>2315</v>
      </c>
      <c r="B360" t="str">
        <f t="shared" si="55"/>
        <v>GMKN IV кв. 2019</v>
      </c>
      <c r="C360">
        <v>2019</v>
      </c>
      <c r="D360">
        <f>SUMIFS(Дивиденды!$C:$C,Дивиденды!$A:$A,A360,Дивиденды!$I:$I,C360)</f>
        <v>0</v>
      </c>
      <c r="E360">
        <v>3</v>
      </c>
      <c r="F360">
        <f t="shared" si="56"/>
        <v>0</v>
      </c>
      <c r="G360">
        <f t="shared" si="57"/>
        <v>19.591000000000001</v>
      </c>
      <c r="H360">
        <f t="shared" si="58"/>
        <v>0</v>
      </c>
      <c r="I360">
        <f t="shared" si="59"/>
        <v>0.8</v>
      </c>
      <c r="J360">
        <f t="shared" si="60"/>
        <v>0</v>
      </c>
      <c r="K360">
        <f t="shared" si="65"/>
        <v>0.25160659566020116</v>
      </c>
      <c r="L360">
        <f t="shared" si="61"/>
        <v>0</v>
      </c>
      <c r="M360">
        <f t="shared" si="62"/>
        <v>0.4</v>
      </c>
      <c r="N360">
        <f t="shared" si="63"/>
        <v>0</v>
      </c>
      <c r="O360">
        <f t="shared" si="64"/>
        <v>0.4</v>
      </c>
      <c r="P360">
        <f>IFERROR(LN('Дивиденды по годам'!I360),"")</f>
        <v>27.861938700340321</v>
      </c>
      <c r="Q360">
        <f>IFERROR('Дивиденды по годам'!G360/'Дивиденды по годам'!I360, "")</f>
        <v>0.61584677005237765</v>
      </c>
      <c r="R360">
        <f>IFERROR(IF(AND('Дивиденды по годам'!N360&lt;&gt;"",'Дивиденды по годам'!U360&lt;&gt;"",'Дивиденды по годам'!U360&lt;&gt;0),'Дивиденды по годам'!N360/'Дивиденды по годам'!U360-1,""),"")</f>
        <v>0.1958554401609709</v>
      </c>
      <c r="S360">
        <f>IFERROR(IF(AND('Дивиденды по годам'!L360&lt;&gt;"",'Дивиденды по годам'!I360&lt;&gt;"",'Дивиденды по годам'!J360&lt;&gt;"",'Дивиденды по годам'!K360&lt;&gt;"",('Дивиденды по годам'!I360-'Дивиденды по годам'!J360-'Дивиденды по годам'!K360)&lt;&gt;0),'Дивиденды по годам'!L360/('Дивиденды по годам'!I360-'Дивиденды по годам'!J360-'Дивиденды по годам'!K360),""),"")</f>
        <v>1.7382785164450669</v>
      </c>
      <c r="T360">
        <f>IFERROR(IF(AND('Дивиденды по годам'!Q360&lt;&gt;"",'Дивиденды по годам'!I360&lt;&gt;"",'Дивиденды по годам'!V360&lt;&gt;"",('Дивиденды по годам'!I360+'Дивиденды по годам'!V360)&lt;&gt;0),'Дивиденды по годам'!Q360/(('Дивиденды по годам'!I360+'Дивиденды по годам'!V360)/2),""),"")</f>
        <v>0.34791307740286848</v>
      </c>
      <c r="U360">
        <f>IFERROR(IF(AND('Дивиденды по годам'!J360&lt;&gt;"",'Дивиденды по годам'!K360&lt;&gt;"",'Дивиденды по годам'!M360&lt;&gt;"",'Дивиденды по годам'!M360&lt;&gt;0),('Дивиденды по годам'!J360+'Дивиденды по годам'!K360)/'Дивиденды по годам'!M360,""),"")</f>
        <v>3.5425705621646837</v>
      </c>
      <c r="V360">
        <f>IFERROR(IF(AND('Дивиденды по годам'!J360&lt;&gt;"",'Дивиденды по годам'!K360&lt;&gt;"",'Дивиденды по годам'!M360&lt;&gt;"",'Дивиденды по годам'!I360&lt;&gt;0),('Дивиденды по годам'!J360+'Дивиденды по годам'!K360)/'Дивиденды по годам'!I360,""),"")</f>
        <v>0.7798603265892986</v>
      </c>
      <c r="W360">
        <f>IFERROR('Дивиденды по годам'!I360,"")</f>
        <v>1259755411687.499</v>
      </c>
      <c r="X360" cm="1">
        <f t="array" ref="X360">IFERROR(AVERAGE(_xlfn._xlws.FILTER(P$2:P$1073,($C$2:$C$1073=$C360)*($E$2:$E$1073=$E360)*(ROW(P$2:P$1073)&lt;&gt;ROW(P360))*(P$2:P$1073&lt;&gt;""))),"")</f>
        <v>26.599435234922634</v>
      </c>
      <c r="Y360" cm="1">
        <f t="array" ref="Y360">IFERROR(AVERAGE(_xlfn._xlws.FILTER(Q$2:Q$1073,($C$2:$C$1073=$C360)*($E$2:$E$1073=$E360)*(ROW(Q$2:Q$1073)&lt;&gt;ROW(Q360))*(Q$2:Q$1073&lt;&gt;""))),"")</f>
        <v>0.48920446018911157</v>
      </c>
      <c r="Z360" cm="1">
        <f t="array" ref="Z360">IFERROR(AVERAGE(_xlfn._xlws.FILTER(R$2:R$1073,($C$2:$C$1073=$C360)*($E$2:$E$1073=$E360)*(ROW(R$2:R$1073)&lt;&gt;ROW(R360))*(R$2:R$1073&lt;&gt;""))),"")</f>
        <v>2.3173020251081845E-2</v>
      </c>
      <c r="AA360" cm="1">
        <f t="array" ref="AA360">IFERROR(AVERAGE(_xlfn._xlws.FILTER(S$2:S$1073,($C$2:$C$1073=$C360)*($E$2:$E$1073=$E360)*(ROW(S$2:S$1073)&lt;&gt;ROW(S360))*(S$2:S$1073&lt;&gt;""))),"")</f>
        <v>0.82517096763838327</v>
      </c>
      <c r="AB360" cm="1">
        <f t="array" ref="AB360">IFERROR(AVERAGE(_xlfn._xlws.FILTER(T$2:T$1073,($C$2:$C$1073=$C360)*($E$2:$E$1073=$E360)*(ROW(T$2:T$1073)&lt;&gt;ROW(T360))*(T$2:T$1073&lt;&gt;""))),"")</f>
        <v>0.11701041711414198</v>
      </c>
      <c r="AC360" cm="1">
        <f t="array" ref="AC360">IFERROR(AVERAGE(_xlfn._xlws.FILTER(U$2:U$1073,($C$2:$C$1073=$C360)*($E$2:$E$1073=$E360)*(ROW(U$2:U$1073)&lt;&gt;ROW(U360))*(U$2:U$1073&lt;&gt;""))),"")</f>
        <v>1.3606482767949633</v>
      </c>
      <c r="AD360" cm="1">
        <f t="array" ref="AD360">IFERROR(AVERAGE(_xlfn._xlws.FILTER(V$2:V$1073,($C$2:$C$1073=$C360)*($E$2:$E$1073=$E360)*(ROW(V$2:V$1073)&lt;&gt;ROW(V360))*(V$2:V$1073&lt;&gt;""))),"")</f>
        <v>0.66290091974375154</v>
      </c>
      <c r="AE360">
        <f>IF('Дивиденды по годам'!M360&lt;0,1,0)</f>
        <v>0</v>
      </c>
    </row>
    <row r="361" spans="1:31" x14ac:dyDescent="0.2">
      <c r="A361" s="7" t="s">
        <v>2315</v>
      </c>
      <c r="B361" t="str">
        <f t="shared" si="55"/>
        <v>GMKN IV кв. 2018</v>
      </c>
      <c r="C361">
        <v>2018</v>
      </c>
      <c r="D361">
        <f>SUMIFS(Дивиденды!$C:$C,Дивиденды!$A:$A,A361,Дивиденды!$I:$I,C361)</f>
        <v>0</v>
      </c>
      <c r="E361">
        <v>3</v>
      </c>
      <c r="F361">
        <f t="shared" si="56"/>
        <v>0</v>
      </c>
      <c r="G361">
        <f t="shared" si="57"/>
        <v>22.694999999999997</v>
      </c>
      <c r="H361">
        <f t="shared" si="58"/>
        <v>0</v>
      </c>
      <c r="I361">
        <f t="shared" si="59"/>
        <v>0.5</v>
      </c>
      <c r="J361">
        <f t="shared" si="60"/>
        <v>0</v>
      </c>
      <c r="K361">
        <f t="shared" si="65"/>
        <v>0.12085686823605531</v>
      </c>
      <c r="L361">
        <f t="shared" si="61"/>
        <v>0</v>
      </c>
      <c r="M361">
        <f t="shared" si="62"/>
        <v>0.5</v>
      </c>
      <c r="N361">
        <f t="shared" si="63"/>
        <v>0</v>
      </c>
      <c r="O361">
        <f t="shared" si="64"/>
        <v>0.2</v>
      </c>
      <c r="P361">
        <f>IFERROR(LN('Дивиденды по годам'!I361),"")</f>
        <v>27.588965804347399</v>
      </c>
      <c r="Q361">
        <f>IFERROR('Дивиденды по годам'!G361/'Дивиденды по годам'!I361, "")</f>
        <v>0.65136712346731362</v>
      </c>
      <c r="R361">
        <f>IFERROR(IF(AND('Дивиденды по годам'!N361&lt;&gt;"",'Дивиденды по годам'!U361&lt;&gt;"",'Дивиденды по годам'!U361&lt;&gt;0),'Дивиденды по годам'!N361/'Дивиденды по годам'!U361-1,""),"")</f>
        <v>0.37566497201721849</v>
      </c>
      <c r="S361">
        <f>IFERROR(IF(AND('Дивиденды по годам'!L361&lt;&gt;"",'Дивиденды по годам'!I361&lt;&gt;"",'Дивиденды по годам'!J361&lt;&gt;"",'Дивиденды по годам'!K361&lt;&gt;"",('Дивиденды по годам'!I361-'Дивиденды по годам'!J361-'Дивиденды по годам'!K361)&lt;&gt;0),'Дивиденды по годам'!L361/('Дивиденды по годам'!I361-'Дивиденды по годам'!J361-'Дивиденды по годам'!K361),""),"")</f>
        <v>2.1036567808810833</v>
      </c>
      <c r="T361">
        <f>IFERROR(IF(AND('Дивиденды по годам'!Q361&lt;&gt;"",'Дивиденды по годам'!I361&lt;&gt;"",'Дивиденды по годам'!V361&lt;&gt;"",('Дивиденды по годам'!I361+'Дивиденды по годам'!V361)&lt;&gt;0),'Дивиденды по годам'!Q361/(('Дивиденды по годам'!I361+'Дивиденды по годам'!V361)/2),""),"")</f>
        <v>0.19941052619913002</v>
      </c>
      <c r="U361">
        <f>IFERROR(IF(AND('Дивиденды по годам'!J361&lt;&gt;"",'Дивиденды по годам'!K361&lt;&gt;"",'Дивиденды по годам'!M361&lt;&gt;"",'Дивиденды по годам'!M361&lt;&gt;0),('Дивиденды по годам'!J361+'Дивиденды по годам'!K361)/'Дивиденды по годам'!M361,""),"")</f>
        <v>3.3913043478260869</v>
      </c>
      <c r="V361">
        <f>IFERROR(IF(AND('Дивиденды по годам'!J361&lt;&gt;"",'Дивиденды по годам'!K361&lt;&gt;"",'Дивиденды по годам'!M361&lt;&gt;"",'Дивиденды по годам'!I361&lt;&gt;0),('Дивиденды по годам'!J361+'Дивиденды по годам'!K361)/'Дивиденды по годам'!I361,""),"")</f>
        <v>0.7722772277227723</v>
      </c>
      <c r="W361">
        <f>IFERROR('Дивиденды по годам'!I361,"")</f>
        <v>958816745435.54797</v>
      </c>
      <c r="X361" cm="1">
        <f t="array" ref="X361">IFERROR(AVERAGE(_xlfn._xlws.FILTER(P$2:P$1073,($C$2:$C$1073=$C361)*($E$2:$E$1073=$E361)*(ROW(P$2:P$1073)&lt;&gt;ROW(P361))*(P$2:P$1073&lt;&gt;""))),"")</f>
        <v>26.468702473142674</v>
      </c>
      <c r="Y361" cm="1">
        <f t="array" ref="Y361">IFERROR(AVERAGE(_xlfn._xlws.FILTER(Q$2:Q$1073,($C$2:$C$1073=$C361)*($E$2:$E$1073=$E361)*(ROW(Q$2:Q$1073)&lt;&gt;ROW(Q361))*(Q$2:Q$1073&lt;&gt;""))),"")</f>
        <v>0.50483461633972604</v>
      </c>
      <c r="Z361" cm="1">
        <f t="array" ref="Z361">IFERROR(AVERAGE(_xlfn._xlws.FILTER(R$2:R$1073,($C$2:$C$1073=$C361)*($E$2:$E$1073=$E361)*(ROW(R$2:R$1073)&lt;&gt;ROW(R361))*(R$2:R$1073&lt;&gt;""))),"")</f>
        <v>0.20172947013242251</v>
      </c>
      <c r="AA361" cm="1">
        <f t="array" ref="AA361">IFERROR(AVERAGE(_xlfn._xlws.FILTER(S$2:S$1073,($C$2:$C$1073=$C361)*($E$2:$E$1073=$E361)*(ROW(S$2:S$1073)&lt;&gt;ROW(S361))*(S$2:S$1073&lt;&gt;""))),"")</f>
        <v>0.80544137854615183</v>
      </c>
      <c r="AB361" cm="1">
        <f t="array" ref="AB361">IFERROR(AVERAGE(_xlfn._xlws.FILTER(T$2:T$1073,($C$2:$C$1073=$C361)*($E$2:$E$1073=$E361)*(ROW(T$2:T$1073)&lt;&gt;ROW(T361))*(T$2:T$1073&lt;&gt;""))),"")</f>
        <v>0.15082178707590127</v>
      </c>
      <c r="AC361" cm="1">
        <f t="array" ref="AC361">IFERROR(AVERAGE(_xlfn._xlws.FILTER(U$2:U$1073,($C$2:$C$1073=$C361)*($E$2:$E$1073=$E361)*(ROW(U$2:U$1073)&lt;&gt;ROW(U361))*(U$2:U$1073&lt;&gt;""))),"")</f>
        <v>2.2329450755492486</v>
      </c>
      <c r="AD361" cm="1">
        <f t="array" ref="AD361">IFERROR(AVERAGE(_xlfn._xlws.FILTER(V$2:V$1073,($C$2:$C$1073=$C361)*($E$2:$E$1073=$E361)*(ROW(V$2:V$1073)&lt;&gt;ROW(V361))*(V$2:V$1073&lt;&gt;""))),"")</f>
        <v>0.68009022470875169</v>
      </c>
      <c r="AE361">
        <f>IF('Дивиденды по годам'!M361&lt;0,1,0)</f>
        <v>0</v>
      </c>
    </row>
    <row r="362" spans="1:31" x14ac:dyDescent="0.2">
      <c r="A362" s="7" t="s">
        <v>2315</v>
      </c>
      <c r="B362" t="str">
        <f t="shared" si="55"/>
        <v>GMKN IV кв. 2017</v>
      </c>
      <c r="C362">
        <v>2017</v>
      </c>
      <c r="D362">
        <f>SUMIFS(Дивиденды!$C:$C,Дивиденды!$A:$A,A362,Дивиденды!$I:$I,C362)</f>
        <v>0</v>
      </c>
      <c r="E362">
        <v>3</v>
      </c>
      <c r="F362">
        <f t="shared" si="56"/>
        <v>0</v>
      </c>
      <c r="G362">
        <f t="shared" si="57"/>
        <v>16.068876314825083</v>
      </c>
      <c r="H362">
        <f t="shared" si="58"/>
        <v>0</v>
      </c>
      <c r="I362">
        <f t="shared" si="59"/>
        <v>0.7</v>
      </c>
      <c r="J362">
        <f t="shared" si="60"/>
        <v>0</v>
      </c>
      <c r="K362">
        <f t="shared" si="65"/>
        <v>0.11709302504260524</v>
      </c>
      <c r="L362">
        <f t="shared" si="61"/>
        <v>0</v>
      </c>
      <c r="M362">
        <f t="shared" si="62"/>
        <v>0.5</v>
      </c>
      <c r="N362">
        <f t="shared" si="63"/>
        <v>0</v>
      </c>
      <c r="O362">
        <f t="shared" si="64"/>
        <v>0.2</v>
      </c>
      <c r="P362">
        <f>IFERROR(LN('Дивиденды по годам'!I362),"")</f>
        <v>27.600597229979872</v>
      </c>
      <c r="Q362">
        <f>IFERROR('Дивиденды по годам'!G362/'Дивиденды по годам'!I362, "")</f>
        <v>0.65885181845506458</v>
      </c>
      <c r="R362">
        <f>IFERROR(IF(AND('Дивиденды по годам'!N362&lt;&gt;"",'Дивиденды по годам'!U362&lt;&gt;"",'Дивиденды по годам'!U362&lt;&gt;0),'Дивиденды по годам'!N362/'Дивиденды по годам'!U362-1,""),"")</f>
        <v>-3.6967585577597717E-2</v>
      </c>
      <c r="S362">
        <f>IFERROR(IF(AND('Дивиденды по годам'!L362&lt;&gt;"",'Дивиденды по годам'!I362&lt;&gt;"",'Дивиденды по годам'!J362&lt;&gt;"",'Дивиденды по годам'!K362&lt;&gt;"",('Дивиденды по годам'!I362-'Дивиденды по годам'!J362-'Дивиденды по годам'!K362)&lt;&gt;0),'Дивиденды по годам'!L362/('Дивиденды по годам'!I362-'Дивиденды по годам'!J362-'Дивиденды по годам'!K362),""),"")</f>
        <v>1.6223701159295838</v>
      </c>
      <c r="T362">
        <f>IFERROR(IF(AND('Дивиденды по годам'!Q362&lt;&gt;"",'Дивиденды по годам'!I362&lt;&gt;"",'Дивиденды по годам'!V362&lt;&gt;"",('Дивиденды по годам'!I362+'Дивиденды по годам'!V362)&lt;&gt;0),'Дивиденды по годам'!Q362/(('Дивиденды по годам'!I362+'Дивиденды по годам'!V362)/2),""),"")</f>
        <v>0.11940710114228316</v>
      </c>
      <c r="U362">
        <f>IFERROR(IF(AND('Дивиденды по годам'!J362&lt;&gt;"",'Дивиденды по годам'!K362&lt;&gt;"",'Дивиденды по годам'!M362&lt;&gt;"",'Дивиденды по годам'!M362&lt;&gt;0),('Дивиденды по годам'!J362+'Дивиденды по годам'!K362)/'Дивиденды по годам'!M362,""),"")</f>
        <v>2.5712752254186344</v>
      </c>
      <c r="V362">
        <f>IFERROR(IF(AND('Дивиденды по годам'!J362&lt;&gt;"",'Дивиденды по годам'!K362&lt;&gt;"",'Дивиденды по годам'!M362&lt;&gt;"",'Дивиденды по годам'!I362&lt;&gt;0),('Дивиденды по годам'!J362+'Дивиденды по годам'!K362)/'Дивиденды по годам'!I362,""),"")</f>
        <v>0.71998797715659757</v>
      </c>
      <c r="W362">
        <f>IFERROR('Дивиденды по годам'!I362,"")</f>
        <v>970034262495.04907</v>
      </c>
      <c r="X362" cm="1">
        <f t="array" ref="X362">IFERROR(AVERAGE(_xlfn._xlws.FILTER(P$2:P$1073,($C$2:$C$1073=$C362)*($E$2:$E$1073=$E362)*(ROW(P$2:P$1073)&lt;&gt;ROW(P362))*(P$2:P$1073&lt;&gt;""))),"")</f>
        <v>26.438284629761892</v>
      </c>
      <c r="Y362" cm="1">
        <f t="array" ref="Y362">IFERROR(AVERAGE(_xlfn._xlws.FILTER(Q$2:Q$1073,($C$2:$C$1073=$C362)*($E$2:$E$1073=$E362)*(ROW(Q$2:Q$1073)&lt;&gt;ROW(Q362))*(Q$2:Q$1073&lt;&gt;""))),"")</f>
        <v>0.52359181194894744</v>
      </c>
      <c r="Z362" cm="1">
        <f t="array" ref="Z362">IFERROR(AVERAGE(_xlfn._xlws.FILTER(R$2:R$1073,($C$2:$C$1073=$C362)*($E$2:$E$1073=$E362)*(ROW(R$2:R$1073)&lt;&gt;ROW(R362))*(R$2:R$1073&lt;&gt;""))),"")</f>
        <v>0.11396744095504655</v>
      </c>
      <c r="AA362" cm="1">
        <f t="array" ref="AA362">IFERROR(AVERAGE(_xlfn._xlws.FILTER(S$2:S$1073,($C$2:$C$1073=$C362)*($E$2:$E$1073=$E362)*(ROW(S$2:S$1073)&lt;&gt;ROW(S362))*(S$2:S$1073&lt;&gt;""))),"")</f>
        <v>1.0013875970819166</v>
      </c>
      <c r="AB362" cm="1">
        <f t="array" ref="AB362">IFERROR(AVERAGE(_xlfn._xlws.FILTER(T$2:T$1073,($C$2:$C$1073=$C362)*($E$2:$E$1073=$E362)*(ROW(T$2:T$1073)&lt;&gt;ROW(T362))*(T$2:T$1073&lt;&gt;""))),"")</f>
        <v>0.12178197310089298</v>
      </c>
      <c r="AC362" cm="1">
        <f t="array" ref="AC362">IFERROR(AVERAGE(_xlfn._xlws.FILTER(U$2:U$1073,($C$2:$C$1073=$C362)*($E$2:$E$1073=$E362)*(ROW(U$2:U$1073)&lt;&gt;ROW(U362))*(U$2:U$1073&lt;&gt;""))),"")</f>
        <v>1.9189325606633392</v>
      </c>
      <c r="AD362" cm="1">
        <f t="array" ref="AD362">IFERROR(AVERAGE(_xlfn._xlws.FILTER(V$2:V$1073,($C$2:$C$1073=$C362)*($E$2:$E$1073=$E362)*(ROW(V$2:V$1073)&lt;&gt;ROW(V362))*(V$2:V$1073&lt;&gt;""))),"")</f>
        <v>0.6899235864644645</v>
      </c>
      <c r="AE362">
        <f>IF('Дивиденды по годам'!M362&lt;0,1,0)</f>
        <v>0</v>
      </c>
    </row>
    <row r="363" spans="1:31" x14ac:dyDescent="0.2">
      <c r="A363" s="7" t="s">
        <v>2315</v>
      </c>
      <c r="B363" t="str">
        <f t="shared" si="55"/>
        <v>GMKN IV кв. 2016</v>
      </c>
      <c r="C363">
        <v>2016</v>
      </c>
      <c r="D363">
        <f>SUMIFS(Дивиденды!$C:$C,Дивиденды!$A:$A,A363,Дивиденды!$I:$I,C363)</f>
        <v>0</v>
      </c>
      <c r="E363">
        <v>3</v>
      </c>
      <c r="F363">
        <f t="shared" si="56"/>
        <v>0</v>
      </c>
      <c r="G363">
        <f t="shared" si="57"/>
        <v>12.095639712606381</v>
      </c>
      <c r="H363">
        <f t="shared" si="58"/>
        <v>0</v>
      </c>
      <c r="I363">
        <f t="shared" si="59"/>
        <v>0.7</v>
      </c>
      <c r="J363">
        <f t="shared" si="60"/>
        <v>0</v>
      </c>
      <c r="K363">
        <f t="shared" si="65"/>
        <v>0.68768115603983127</v>
      </c>
      <c r="L363">
        <f t="shared" si="61"/>
        <v>0</v>
      </c>
      <c r="M363">
        <f t="shared" si="62"/>
        <v>0.7</v>
      </c>
      <c r="N363">
        <f t="shared" si="63"/>
        <v>0</v>
      </c>
      <c r="O363">
        <f t="shared" si="64"/>
        <v>0</v>
      </c>
      <c r="P363">
        <f>IFERROR(LN('Дивиденды по годам'!I363),"")</f>
        <v>27.729520557444104</v>
      </c>
      <c r="Q363">
        <f>IFERROR('Дивиденды по годам'!G363/'Дивиденды по годам'!I363, "")</f>
        <v>0.5472443337181746</v>
      </c>
      <c r="R363">
        <f>IFERROR(IF(AND('Дивиденды по годам'!N363&lt;&gt;"",'Дивиденды по годам'!U363&lt;&gt;"",'Дивиденды по годам'!U363&lt;&gt;0),'Дивиденды по годам'!N363/'Дивиденды по годам'!U363-1,""),"")</f>
        <v>5.8492346288474328E-2</v>
      </c>
      <c r="S363">
        <f>IFERROR(IF(AND('Дивиденды по годам'!L363&lt;&gt;"",'Дивиденды по годам'!I363&lt;&gt;"",'Дивиденды по годам'!J363&lt;&gt;"",'Дивиденды по годам'!K363&lt;&gt;"",('Дивиденды по годам'!I363-'Дивиденды по годам'!J363-'Дивиденды по годам'!K363)&lt;&gt;0),'Дивиденды по годам'!L363/('Дивиденды по годам'!I363-'Дивиденды по годам'!J363-'Дивиденды по годам'!K363),""),"")</f>
        <v>1.8839835728952761</v>
      </c>
      <c r="T363">
        <f>IFERROR(IF(AND('Дивиденды по годам'!Q363&lt;&gt;"",'Дивиденды по годам'!I363&lt;&gt;"",'Дивиденды по годам'!V363&lt;&gt;"",('Дивиденды по годам'!I363+'Дивиденды по годам'!V363)&lt;&gt;0),'Дивиденды по годам'!Q363/(('Дивиденды по годам'!I363+'Дивиденды по годам'!V363)/2),""),"")</f>
        <v>0.17655710543758946</v>
      </c>
      <c r="U363">
        <f>IFERROR(IF(AND('Дивиденды по годам'!J363&lt;&gt;"",'Дивиденды по годам'!K363&lt;&gt;"",'Дивиденды по годам'!M363&lt;&gt;"",'Дивиденды по годам'!M363&lt;&gt;0),('Дивиденды по годам'!J363+'Дивиденды по годам'!K363)/'Дивиденды по годам'!M363,""),"")</f>
        <v>3.2240759753593426</v>
      </c>
      <c r="V363">
        <f>IFERROR(IF(AND('Дивиденды по годам'!J363&lt;&gt;"",'Дивиденды по годам'!K363&lt;&gt;"",'Дивиденды по годам'!M363&lt;&gt;"",'Дивиденды по годам'!I363&lt;&gt;0),('Дивиденды по годам'!J363+'Дивиденды по годам'!K363)/'Дивиденды по годам'!I363,""),"")</f>
        <v>0.76326183387008562</v>
      </c>
      <c r="W363">
        <f>IFERROR('Дивиденды по годам'!I363,"")</f>
        <v>1103513788098.9353</v>
      </c>
      <c r="X363" cm="1">
        <f t="array" ref="X363">IFERROR(AVERAGE(_xlfn._xlws.FILTER(P$2:P$1073,($C$2:$C$1073=$C363)*($E$2:$E$1073=$E363)*(ROW(P$2:P$1073)&lt;&gt;ROW(P363))*(P$2:P$1073&lt;&gt;""))),"")</f>
        <v>26.426086797886491</v>
      </c>
      <c r="Y363" cm="1">
        <f t="array" ref="Y363">IFERROR(AVERAGE(_xlfn._xlws.FILTER(Q$2:Q$1073,($C$2:$C$1073=$C363)*($E$2:$E$1073=$E363)*(ROW(Q$2:Q$1073)&lt;&gt;ROW(Q363))*(Q$2:Q$1073&lt;&gt;""))),"")</f>
        <v>0.50586967048097198</v>
      </c>
      <c r="Z363" cm="1">
        <f t="array" ref="Z363">IFERROR(AVERAGE(_xlfn._xlws.FILTER(R$2:R$1073,($C$2:$C$1073=$C363)*($E$2:$E$1073=$E363)*(ROW(R$2:R$1073)&lt;&gt;ROW(R363))*(R$2:R$1073&lt;&gt;""))),"")</f>
        <v>0.14232056236423921</v>
      </c>
      <c r="AA363" cm="1">
        <f t="array" ref="AA363">IFERROR(AVERAGE(_xlfn._xlws.FILTER(S$2:S$1073,($C$2:$C$1073=$C363)*($E$2:$E$1073=$E363)*(ROW(S$2:S$1073)&lt;&gt;ROW(S363))*(S$2:S$1073&lt;&gt;""))),"")</f>
        <v>0.1381741016014619</v>
      </c>
      <c r="AB363" cm="1">
        <f t="array" ref="AB363">IFERROR(AVERAGE(_xlfn._xlws.FILTER(T$2:T$1073,($C$2:$C$1073=$C363)*($E$2:$E$1073=$E363)*(ROW(T$2:T$1073)&lt;&gt;ROW(T363))*(T$2:T$1073&lt;&gt;""))),"")</f>
        <v>0.1604036071259046</v>
      </c>
      <c r="AC363" cm="1">
        <f t="array" ref="AC363">IFERROR(AVERAGE(_xlfn._xlws.FILTER(U$2:U$1073,($C$2:$C$1073=$C363)*($E$2:$E$1073=$E363)*(ROW(U$2:U$1073)&lt;&gt;ROW(U363))*(U$2:U$1073&lt;&gt;""))),"")</f>
        <v>-0.15011055986019661</v>
      </c>
      <c r="AD363" cm="1">
        <f t="array" ref="AD363">IFERROR(AVERAGE(_xlfn._xlws.FILTER(V$2:V$1073,($C$2:$C$1073=$C363)*($E$2:$E$1073=$E363)*(ROW(V$2:V$1073)&lt;&gt;ROW(V363))*(V$2:V$1073&lt;&gt;""))),"")</f>
        <v>0.74537287935198759</v>
      </c>
      <c r="AE363">
        <f>IF('Дивиденды по годам'!M363&lt;0,1,0)</f>
        <v>0</v>
      </c>
    </row>
    <row r="364" spans="1:31" x14ac:dyDescent="0.2">
      <c r="A364" s="7" t="s">
        <v>2315</v>
      </c>
      <c r="B364" t="str">
        <f t="shared" si="55"/>
        <v>GMKN IV кв. 2015</v>
      </c>
      <c r="C364">
        <v>2015</v>
      </c>
      <c r="D364">
        <f>SUMIFS(Дивиденды!$C:$C,Дивиденды!$A:$A,A364,Дивиденды!$I:$I,C364)</f>
        <v>0</v>
      </c>
      <c r="E364">
        <v>3</v>
      </c>
      <c r="F364">
        <f t="shared" si="56"/>
        <v>0</v>
      </c>
      <c r="G364">
        <f t="shared" si="57"/>
        <v>7.2240627742857146</v>
      </c>
      <c r="H364">
        <f t="shared" si="58"/>
        <v>0</v>
      </c>
      <c r="I364">
        <f t="shared" si="59"/>
        <v>0.6</v>
      </c>
      <c r="J364">
        <f t="shared" si="60"/>
        <v>0</v>
      </c>
      <c r="K364">
        <f t="shared" si="65"/>
        <v>0.8808871705905531</v>
      </c>
      <c r="L364">
        <f t="shared" si="61"/>
        <v>0</v>
      </c>
      <c r="M364">
        <f t="shared" si="62"/>
        <v>0.5</v>
      </c>
      <c r="N364">
        <f t="shared" si="63"/>
        <v>0</v>
      </c>
      <c r="O364">
        <f t="shared" si="64"/>
        <v>0.1</v>
      </c>
      <c r="P364">
        <f>IFERROR(LN('Дивиденды по годам'!I364),"")</f>
        <v>27.431320583020767</v>
      </c>
      <c r="Q364">
        <f>IFERROR('Дивиденды по годам'!G364/'Дивиденды по годам'!I364, "")</f>
        <v>0.47804951013387176</v>
      </c>
      <c r="R364">
        <f>IFERROR(IF(AND('Дивиденды по годам'!N364&lt;&gt;"",'Дивиденды по годам'!U364&lt;&gt;"",'Дивиденды по годам'!U364&lt;&gt;0),'Дивиденды по годам'!N364/'Дивиденды по годам'!U364-1,""),"")</f>
        <v>0.2387938033550383</v>
      </c>
      <c r="S364">
        <f>IFERROR(IF(AND('Дивиденды по годам'!L364&lt;&gt;"",'Дивиденды по годам'!I364&lt;&gt;"",'Дивиденды по годам'!J364&lt;&gt;"",'Дивиденды по годам'!K364&lt;&gt;"",('Дивиденды по годам'!I364-'Дивиденды по годам'!J364-'Дивиденды по годам'!K364)&lt;&gt;0),'Дивиденды по годам'!L364/('Дивиденды по годам'!I364-'Дивиденды по годам'!J364-'Дивиденды по годам'!K364),""),"")</f>
        <v>2.8850066342326404</v>
      </c>
      <c r="T364">
        <f>IFERROR(IF(AND('Дивиденды по годам'!Q364&lt;&gt;"",'Дивиденды по годам'!I364&lt;&gt;"",'Дивиденды по годам'!V364&lt;&gt;"",('Дивиденды по годам'!I364+'Дивиденды по годам'!V364)&lt;&gt;0),'Дивиденды по годам'!Q364/(('Дивиденды по годам'!I364+'Дивиденды по годам'!V364)/2),""),"")</f>
        <v>0.15821352161869884</v>
      </c>
      <c r="U364">
        <f>IFERROR(IF(AND('Дивиденды по годам'!J364&lt;&gt;"",'Дивиденды по годам'!K364&lt;&gt;"",'Дивиденды по годам'!M364&lt;&gt;"",'Дивиденды по годам'!M364&lt;&gt;0),('Дивиденды по годам'!J364+'Дивиденды по годам'!K364)/'Дивиденды по годам'!M364,""),"")</f>
        <v>4.9137549756744798</v>
      </c>
      <c r="V364">
        <f>IFERROR(IF(AND('Дивиденды по годам'!J364&lt;&gt;"",'Дивиденды по годам'!K364&lt;&gt;"",'Дивиденды по годам'!M364&lt;&gt;"",'Дивиденды по годам'!I364&lt;&gt;0),('Дивиденды по годам'!J364+'Дивиденды по годам'!K364)/'Дивиденды по годам'!I364,""),"")</f>
        <v>0.83090269987285914</v>
      </c>
      <c r="W364">
        <f>IFERROR('Дивиденды по годам'!I364,"")</f>
        <v>818975972711.68835</v>
      </c>
      <c r="X364" cm="1">
        <f t="array" ref="X364">IFERROR(AVERAGE(_xlfn._xlws.FILTER(P$2:P$1073,($C$2:$C$1073=$C364)*($E$2:$E$1073=$E364)*(ROW(P$2:P$1073)&lt;&gt;ROW(P364))*(P$2:P$1073&lt;&gt;""))),"")</f>
        <v>26.250630451325584</v>
      </c>
      <c r="Y364" cm="1">
        <f t="array" ref="Y364">IFERROR(AVERAGE(_xlfn._xlws.FILTER(Q$2:Q$1073,($C$2:$C$1073=$C364)*($E$2:$E$1073=$E364)*(ROW(Q$2:Q$1073)&lt;&gt;ROW(Q364))*(Q$2:Q$1073&lt;&gt;""))),"")</f>
        <v>0.50066289359786276</v>
      </c>
      <c r="Z364" cm="1">
        <f t="array" ref="Z364">IFERROR(AVERAGE(_xlfn._xlws.FILTER(R$2:R$1073,($C$2:$C$1073=$C364)*($E$2:$E$1073=$E364)*(ROW(R$2:R$1073)&lt;&gt;ROW(R364))*(R$2:R$1073&lt;&gt;""))),"")</f>
        <v>0.25470379828202522</v>
      </c>
      <c r="AA364" cm="1">
        <f t="array" ref="AA364">IFERROR(AVERAGE(_xlfn._xlws.FILTER(S$2:S$1073,($C$2:$C$1073=$C364)*($E$2:$E$1073=$E364)*(ROW(S$2:S$1073)&lt;&gt;ROW(S364))*(S$2:S$1073&lt;&gt;""))),"")</f>
        <v>0.75414830652972653</v>
      </c>
      <c r="AB364" cm="1">
        <f t="array" ref="AB364">IFERROR(AVERAGE(_xlfn._xlws.FILTER(T$2:T$1073,($C$2:$C$1073=$C364)*($E$2:$E$1073=$E364)*(ROW(T$2:T$1073)&lt;&gt;ROW(T364))*(T$2:T$1073&lt;&gt;""))),"")</f>
        <v>8.275617161950367E-3</v>
      </c>
      <c r="AC364" cm="1">
        <f t="array" ref="AC364">IFERROR(AVERAGE(_xlfn._xlws.FILTER(U$2:U$1073,($C$2:$C$1073=$C364)*($E$2:$E$1073=$E364)*(ROW(U$2:U$1073)&lt;&gt;ROW(U364))*(U$2:U$1073&lt;&gt;""))),"")</f>
        <v>2.8046833572459642</v>
      </c>
      <c r="AD364" cm="1">
        <f t="array" ref="AD364">IFERROR(AVERAGE(_xlfn._xlws.FILTER(V$2:V$1073,($C$2:$C$1073=$C364)*($E$2:$E$1073=$E364)*(ROW(V$2:V$1073)&lt;&gt;ROW(V364))*(V$2:V$1073&lt;&gt;""))),"")</f>
        <v>0.78709623616832824</v>
      </c>
      <c r="AE364">
        <f>IF('Дивиденды по годам'!M364&lt;0,1,0)</f>
        <v>0</v>
      </c>
    </row>
    <row r="365" spans="1:31" x14ac:dyDescent="0.2">
      <c r="A365" s="7" t="s">
        <v>2315</v>
      </c>
      <c r="B365" t="str">
        <f t="shared" si="55"/>
        <v>GMKN IV кв. 2014</v>
      </c>
      <c r="C365">
        <v>2014</v>
      </c>
      <c r="D365">
        <f>SUMIFS(Дивиденды!$C:$C,Дивиденды!$A:$A,A365,Дивиденды!$I:$I,C365)</f>
        <v>0</v>
      </c>
      <c r="E365">
        <v>3</v>
      </c>
      <c r="F365">
        <f t="shared" si="56"/>
        <v>0</v>
      </c>
      <c r="G365">
        <f t="shared" si="57"/>
        <v>7.8559999999999999</v>
      </c>
      <c r="H365">
        <f t="shared" si="58"/>
        <v>0</v>
      </c>
      <c r="I365">
        <f t="shared" si="59"/>
        <v>0.5</v>
      </c>
      <c r="J365">
        <f t="shared" si="60"/>
        <v>0</v>
      </c>
      <c r="K365">
        <f t="shared" si="65"/>
        <v>1.0733185192796773</v>
      </c>
      <c r="L365">
        <f t="shared" si="61"/>
        <v>0</v>
      </c>
      <c r="M365">
        <f t="shared" si="62"/>
        <v>0.3</v>
      </c>
      <c r="N365">
        <f t="shared" si="63"/>
        <v>0</v>
      </c>
      <c r="O365">
        <f t="shared" si="64"/>
        <v>0.1</v>
      </c>
      <c r="P365">
        <f>IFERROR(LN('Дивиденды по годам'!I365),"")</f>
        <v>26.957039366535838</v>
      </c>
      <c r="Q365">
        <f>IFERROR('Дивиденды по годам'!G365/'Дивиденды по годам'!I365, "")</f>
        <v>0.53319644079397677</v>
      </c>
      <c r="R365">
        <f>IFERROR(IF(AND('Дивиденды по годам'!N365&lt;&gt;"",'Дивиденды по годам'!U365&lt;&gt;"",'Дивиденды по годам'!U365&lt;&gt;0),'Дивиденды по годам'!N365/'Дивиденды по годам'!U365-1,""),"")</f>
        <v>0.15367980833864148</v>
      </c>
      <c r="S365">
        <f>IFERROR(IF(AND('Дивиденды по годам'!L365&lt;&gt;"",'Дивиденды по годам'!I365&lt;&gt;"",'Дивиденды по годам'!J365&lt;&gt;"",'Дивиденды по годам'!K365&lt;&gt;"",('Дивиденды по годам'!I365-'Дивиденды по годам'!J365-'Дивиденды по годам'!K365)&lt;&gt;0),'Дивиденды по годам'!L365/('Дивиденды по годам'!I365-'Дивиденды по годам'!J365-'Дивиденды по годам'!K365),""),"")</f>
        <v>1.7306488629250991</v>
      </c>
      <c r="T365">
        <f>IFERROR(IF(AND('Дивиденды по годам'!Q365&lt;&gt;"",'Дивиденды по годам'!I365&lt;&gt;"",'Дивиденды по годам'!V365&lt;&gt;"",('Дивиденды по годам'!I365+'Дивиденды по годам'!V365)&lt;&gt;0),'Дивиденды по годам'!Q365/(('Дивиденды по годам'!I365+'Дивиденды по годам'!V365)/2),""),"")</f>
        <v>0.13991900036923396</v>
      </c>
      <c r="U365">
        <f>IFERROR(IF(AND('Дивиденды по годам'!J365&lt;&gt;"",'Дивиденды по годам'!K365&lt;&gt;"",'Дивиденды по годам'!M365&lt;&gt;"",'Дивиденды по годам'!M365&lt;&gt;0),('Дивиденды по годам'!J365+'Дивиденды по годам'!K365)/'Дивиденды по годам'!M365,""),"")</f>
        <v>1.7433757563112873</v>
      </c>
      <c r="V365">
        <f>IFERROR(IF(AND('Дивиденды по годам'!J365&lt;&gt;"",'Дивиденды по годам'!K365&lt;&gt;"",'Дивиденды по годам'!M365&lt;&gt;"",'Дивиденды по годам'!I365&lt;&gt;0),('Дивиденды по годам'!J365+'Дивиденды по годам'!K365)/'Дивиденды по годам'!I365,""),"")</f>
        <v>0.63548558825766222</v>
      </c>
      <c r="W365">
        <f>IFERROR('Дивиденды по годам'!I365,"")</f>
        <v>509675133487.07214</v>
      </c>
      <c r="X365" cm="1">
        <f t="array" ref="X365">IFERROR(AVERAGE(_xlfn._xlws.FILTER(P$2:P$1073,($C$2:$C$1073=$C365)*($E$2:$E$1073=$E365)*(ROW(P$2:P$1073)&lt;&gt;ROW(P365))*(P$2:P$1073&lt;&gt;""))),"")</f>
        <v>26.225015783414218</v>
      </c>
      <c r="Y365" cm="1">
        <f t="array" ref="Y365">IFERROR(AVERAGE(_xlfn._xlws.FILTER(Q$2:Q$1073,($C$2:$C$1073=$C365)*($E$2:$E$1073=$E365)*(ROW(Q$2:Q$1073)&lt;&gt;ROW(Q365))*(Q$2:Q$1073&lt;&gt;""))),"")</f>
        <v>0.51405973191842902</v>
      </c>
      <c r="Z365" cm="1">
        <f t="array" ref="Z365">IFERROR(AVERAGE(_xlfn._xlws.FILTER(R$2:R$1073,($C$2:$C$1073=$C365)*($E$2:$E$1073=$E365)*(ROW(R$2:R$1073)&lt;&gt;ROW(R365))*(R$2:R$1073&lt;&gt;""))),"")</f>
        <v>6.7970874576730414E-2</v>
      </c>
      <c r="AA365" cm="1">
        <f t="array" ref="AA365">IFERROR(AVERAGE(_xlfn._xlws.FILTER(S$2:S$1073,($C$2:$C$1073=$C365)*($E$2:$E$1073=$E365)*(ROW(S$2:S$1073)&lt;&gt;ROW(S365))*(S$2:S$1073&lt;&gt;""))),"")</f>
        <v>0.67803627442264525</v>
      </c>
      <c r="AB365" cm="1">
        <f t="array" ref="AB365">IFERROR(AVERAGE(_xlfn._xlws.FILTER(T$2:T$1073,($C$2:$C$1073=$C365)*($E$2:$E$1073=$E365)*(ROW(T$2:T$1073)&lt;&gt;ROW(T365))*(T$2:T$1073&lt;&gt;""))),"")</f>
        <v>-0.10472398312015528</v>
      </c>
      <c r="AC365" cm="1">
        <f t="array" ref="AC365">IFERROR(AVERAGE(_xlfn._xlws.FILTER(U$2:U$1073,($C$2:$C$1073=$C365)*($E$2:$E$1073=$E365)*(ROW(U$2:U$1073)&lt;&gt;ROW(U365))*(U$2:U$1073&lt;&gt;""))),"")</f>
        <v>1.613825914314031</v>
      </c>
      <c r="AD365" cm="1">
        <f t="array" ref="AD365">IFERROR(AVERAGE(_xlfn._xlws.FILTER(V$2:V$1073,($C$2:$C$1073=$C365)*($E$2:$E$1073=$E365)*(ROW(V$2:V$1073)&lt;&gt;ROW(V365))*(V$2:V$1073&lt;&gt;""))),"")</f>
        <v>0.72021395967227508</v>
      </c>
      <c r="AE365">
        <f>IF('Дивиденды по годам'!M365&lt;0,1,0)</f>
        <v>0</v>
      </c>
    </row>
    <row r="366" spans="1:31" x14ac:dyDescent="0.2">
      <c r="A366" s="7" t="s">
        <v>2315</v>
      </c>
      <c r="B366" t="str">
        <f t="shared" si="55"/>
        <v>GMKN IV кв. 2013</v>
      </c>
      <c r="C366">
        <v>2013</v>
      </c>
      <c r="D366">
        <f>SUMIFS(Дивиденды!$C:$C,Дивиденды!$A:$A,A366,Дивиденды!$I:$I,C366)</f>
        <v>0</v>
      </c>
      <c r="E366">
        <v>3</v>
      </c>
      <c r="F366">
        <f t="shared" si="56"/>
        <v>0</v>
      </c>
      <c r="G366">
        <f t="shared" si="57"/>
        <v>1.2260000000000002</v>
      </c>
      <c r="H366">
        <f t="shared" si="58"/>
        <v>0</v>
      </c>
      <c r="I366">
        <f t="shared" si="59"/>
        <v>0.4</v>
      </c>
      <c r="J366">
        <f t="shared" si="60"/>
        <v>0</v>
      </c>
      <c r="K366">
        <f t="shared" si="65"/>
        <v>-0.20386411043374064</v>
      </c>
      <c r="L366">
        <f t="shared" si="61"/>
        <v>0</v>
      </c>
      <c r="M366">
        <f t="shared" si="62"/>
        <v>0.2</v>
      </c>
      <c r="N366">
        <f t="shared" si="63"/>
        <v>0</v>
      </c>
      <c r="O366">
        <f t="shared" si="64"/>
        <v>0.4</v>
      </c>
      <c r="P366">
        <f>IFERROR(LN('Дивиденды по годам'!I366),"")</f>
        <v>27.117588403324554</v>
      </c>
      <c r="Q366">
        <f>IFERROR('Дивиденды по годам'!G366/'Дивиденды по годам'!I366, "")</f>
        <v>0.59751876896863843</v>
      </c>
      <c r="R366">
        <f>IFERROR(IF(AND('Дивиденды по годам'!N366&lt;&gt;"",'Дивиденды по годам'!U366&lt;&gt;"",'Дивиденды по годам'!U366&lt;&gt;0),'Дивиденды по годам'!N366/'Дивиденды по годам'!U366-1,""),"")</f>
        <v>-2.4084303689486219E-2</v>
      </c>
      <c r="S366" t="str">
        <f>IFERROR(IF(AND('Дивиденды по годам'!L366&lt;&gt;"",'Дивиденды по годам'!I366&lt;&gt;"",'Дивиденды по годам'!J366&lt;&gt;"",'Дивиденды по годам'!K366&lt;&gt;"",('Дивиденды по годам'!I366-'Дивиденды по годам'!J366-'Дивиденды по годам'!K366)&lt;&gt;0),'Дивиденды по годам'!L366/('Дивиденды по годам'!I366-'Дивиденды по годам'!J366-'Дивиденды по годам'!K366),""),"")</f>
        <v/>
      </c>
      <c r="T366">
        <f>IFERROR(IF(AND('Дивиденды по годам'!Q366&lt;&gt;"",'Дивиденды по годам'!I366&lt;&gt;"",'Дивиденды по годам'!V366&lt;&gt;"",('Дивиденды по годам'!I366+'Дивиденды по годам'!V366)&lt;&gt;0),'Дивиденды по годам'!Q366/(('Дивиденды по годам'!I366+'Дивиденды по годам'!V366)/2),""),"")</f>
        <v>3.9459781367717238E-2</v>
      </c>
      <c r="U366">
        <f>IFERROR(IF(AND('Дивиденды по годам'!J366&lt;&gt;"",'Дивиденды по годам'!K366&lt;&gt;"",'Дивиденды по годам'!M366&lt;&gt;"",'Дивиденды по годам'!M366&lt;&gt;0),('Дивиденды по годам'!J366+'Дивиденды по годам'!K366)/'Дивиденды по годам'!M366,""),"")</f>
        <v>0.92625641025641026</v>
      </c>
      <c r="V366">
        <f>IFERROR(IF(AND('Дивиденды по годам'!J366&lt;&gt;"",'Дивиденды по годам'!K366&lt;&gt;"",'Дивиденды по годам'!M366&lt;&gt;"",'Дивиденды по годам'!I366&lt;&gt;0),('Дивиденды по годам'!J366+'Дивиденды по годам'!K366)/'Дивиденды по годам'!I366,""),"")</f>
        <v>0.48085831425376713</v>
      </c>
      <c r="W366">
        <f>IFERROR('Дивиденды по годам'!I366,"")</f>
        <v>598437784000</v>
      </c>
      <c r="X366" cm="1">
        <f t="array" ref="X366">IFERROR(AVERAGE(_xlfn._xlws.FILTER(P$2:P$1073,($C$2:$C$1073=$C366)*($E$2:$E$1073=$E366)*(ROW(P$2:P$1073)&lt;&gt;ROW(P366))*(P$2:P$1073&lt;&gt;""))),"")</f>
        <v>26.353812705508933</v>
      </c>
      <c r="Y366" cm="1">
        <f t="array" ref="Y366">IFERROR(AVERAGE(_xlfn._xlws.FILTER(Q$2:Q$1073,($C$2:$C$1073=$C366)*($E$2:$E$1073=$E366)*(ROW(Q$2:Q$1073)&lt;&gt;ROW(Q366))*(Q$2:Q$1073&lt;&gt;""))),"")</f>
        <v>0.57470595365459143</v>
      </c>
      <c r="Z366" cm="1">
        <f t="array" ref="Z366">IFERROR(AVERAGE(_xlfn._xlws.FILTER(R$2:R$1073,($C$2:$C$1073=$C366)*($E$2:$E$1073=$E366)*(ROW(R$2:R$1073)&lt;&gt;ROW(R366))*(R$2:R$1073&lt;&gt;""))),"")</f>
        <v>-4.8281772717949353E-2</v>
      </c>
      <c r="AA366" cm="1">
        <f t="array" ref="AA366">IFERROR(AVERAGE(_xlfn._xlws.FILTER(S$2:S$1073,($C$2:$C$1073=$C366)*($E$2:$E$1073=$E366)*(ROW(S$2:S$1073)&lt;&gt;ROW(S366))*(S$2:S$1073&lt;&gt;""))),"")</f>
        <v>1.1343753445927802</v>
      </c>
      <c r="AB366" cm="1">
        <f t="array" ref="AB366">IFERROR(AVERAGE(_xlfn._xlws.FILTER(T$2:T$1073,($C$2:$C$1073=$C366)*($E$2:$E$1073=$E366)*(ROW(T$2:T$1073)&lt;&gt;ROW(T366))*(T$2:T$1073&lt;&gt;""))),"")</f>
        <v>-3.993427381010501E-2</v>
      </c>
      <c r="AC366" cm="1">
        <f t="array" ref="AC366">IFERROR(AVERAGE(_xlfn._xlws.FILTER(U$2:U$1073,($C$2:$C$1073=$C366)*($E$2:$E$1073=$E366)*(ROW(U$2:U$1073)&lt;&gt;ROW(U366))*(U$2:U$1073&lt;&gt;""))),"")</f>
        <v>3.3862688284844262</v>
      </c>
      <c r="AD366" cm="1">
        <f t="array" ref="AD366">IFERROR(AVERAGE(_xlfn._xlws.FILTER(V$2:V$1073,($C$2:$C$1073=$C366)*($E$2:$E$1073=$E366)*(ROW(V$2:V$1073)&lt;&gt;ROW(V366))*(V$2:V$1073&lt;&gt;""))),"")</f>
        <v>0.57384976885835759</v>
      </c>
      <c r="AE366">
        <f>IF('Дивиденды по годам'!M366&lt;0,1,0)</f>
        <v>0</v>
      </c>
    </row>
    <row r="367" spans="1:31" x14ac:dyDescent="0.2">
      <c r="A367" s="7" t="s">
        <v>2315</v>
      </c>
      <c r="B367" t="str">
        <f t="shared" si="55"/>
        <v>GMKN IV кв. 2012</v>
      </c>
      <c r="C367">
        <v>2012</v>
      </c>
      <c r="D367">
        <f>SUMIFS(Дивиденды!$C:$C,Дивиденды!$A:$A,A367,Дивиденды!$I:$I,C367)</f>
        <v>0</v>
      </c>
      <c r="E367">
        <v>3</v>
      </c>
      <c r="F367">
        <f t="shared" si="56"/>
        <v>0</v>
      </c>
      <c r="G367">
        <f t="shared" si="57"/>
        <v>2.1309999999999998</v>
      </c>
      <c r="H367">
        <f t="shared" si="58"/>
        <v>0</v>
      </c>
      <c r="I367">
        <f t="shared" si="59"/>
        <v>0.6</v>
      </c>
      <c r="J367">
        <f t="shared" si="60"/>
        <v>0</v>
      </c>
      <c r="K367">
        <f t="shared" si="65"/>
        <v>-0.18400043619769682</v>
      </c>
      <c r="L367">
        <f t="shared" si="61"/>
        <v>0</v>
      </c>
      <c r="M367">
        <f t="shared" si="62"/>
        <v>0.3</v>
      </c>
      <c r="N367">
        <f t="shared" si="63"/>
        <v>0</v>
      </c>
      <c r="O367">
        <f t="shared" si="64"/>
        <v>0.6</v>
      </c>
      <c r="P367">
        <f>IFERROR(LN('Дивиденды по годам'!I367),"")</f>
        <v>27.180107703412091</v>
      </c>
      <c r="Q367">
        <f>IFERROR('Дивиденды по годам'!G367/'Дивиденды по годам'!I367, "")</f>
        <v>3.5115203611670114E-3</v>
      </c>
      <c r="R367">
        <f>IFERROR(IF(AND('Дивиденды по годам'!N367&lt;&gt;"",'Дивиденды по годам'!U367&lt;&gt;"",'Дивиденды по годам'!U367&lt;&gt;0),'Дивиденды по годам'!N367/'Дивиденды по годам'!U367-1,""),"")</f>
        <v>-9.6577880444881026E-2</v>
      </c>
      <c r="S367" t="str">
        <f>IFERROR(IF(AND('Дивиденды по годам'!L367&lt;&gt;"",'Дивиденды по годам'!I367&lt;&gt;"",'Дивиденды по годам'!J367&lt;&gt;"",'Дивиденды по годам'!K367&lt;&gt;"",('Дивиденды по годам'!I367-'Дивиденды по годам'!J367-'Дивиденды по годам'!K367)&lt;&gt;0),'Дивиденды по годам'!L367/('Дивиденды по годам'!I367-'Дивиденды по годам'!J367-'Дивиденды по годам'!K367),""),"")</f>
        <v/>
      </c>
      <c r="T367">
        <f>IFERROR(IF(AND('Дивиденды по годам'!Q367&lt;&gt;"",'Дивиденды по годам'!I367&lt;&gt;"",'Дивиденды по годам'!V367&lt;&gt;"",('Дивиденды по годам'!I367+'Дивиденды по годам'!V367)&lt;&gt;0),'Дивиденды по годам'!Q367/(('Дивиденды по годам'!I367+'Дивиденды по годам'!V367)/2),""),"")</f>
        <v>0.11290709340421819</v>
      </c>
      <c r="U367">
        <f>IFERROR(IF(AND('Дивиденды по годам'!J367&lt;&gt;"",'Дивиденды по годам'!K367&lt;&gt;"",'Дивиденды по годам'!M367&lt;&gt;"",'Дивиденды по годам'!M367&lt;&gt;0),('Дивиденды по годам'!J367+'Дивиденды по годам'!K367)/'Дивиденды по годам'!M367,""),"")</f>
        <v>0.62089969976082637</v>
      </c>
      <c r="V367">
        <f>IFERROR(IF(AND('Дивиденды по годам'!J367&lt;&gt;"",'Дивиденды по годам'!K367&lt;&gt;"",'Дивиденды по годам'!M367&lt;&gt;"",'Дивиденды по годам'!I367&lt;&gt;0),('Дивиденды по годам'!J367+'Дивиденды по годам'!K367)/'Дивиденды по годам'!I367,""),"")</f>
        <v>0.38305868022089457</v>
      </c>
      <c r="W367">
        <f>IFERROR('Дивиденды по годам'!I367,"")</f>
        <v>637046000000</v>
      </c>
      <c r="X367" cm="1">
        <f t="array" ref="X367">IFERROR(AVERAGE(_xlfn._xlws.FILTER(P$2:P$1073,($C$2:$C$1073=$C367)*($E$2:$E$1073=$E367)*(ROW(P$2:P$1073)&lt;&gt;ROW(P367))*(P$2:P$1073&lt;&gt;""))),"")</f>
        <v>26.651607462032302</v>
      </c>
      <c r="Y367" cm="1">
        <f t="array" ref="Y367">IFERROR(AVERAGE(_xlfn._xlws.FILTER(Q$2:Q$1073,($C$2:$C$1073=$C367)*($E$2:$E$1073=$E367)*(ROW(Q$2:Q$1073)&lt;&gt;ROW(Q367))*(Q$2:Q$1073&lt;&gt;""))),"")</f>
        <v>0.56465824552290034</v>
      </c>
      <c r="Z367" cm="1">
        <f t="array" ref="Z367">IFERROR(AVERAGE(_xlfn._xlws.FILTER(R$2:R$1073,($C$2:$C$1073=$C367)*($E$2:$E$1073=$E367)*(ROW(R$2:R$1073)&lt;&gt;ROW(R367))*(R$2:R$1073&lt;&gt;""))),"")</f>
        <v>1.1841528535288557E-2</v>
      </c>
      <c r="AA367" t="str" cm="1">
        <f t="array" ref="AA367">IFERROR(AVERAGE(_xlfn._xlws.FILTER(S$2:S$1073,($C$2:$C$1073=$C367)*($E$2:$E$1073=$E367)*(ROW(S$2:S$1073)&lt;&gt;ROW(S367))*(S$2:S$1073&lt;&gt;""))),"")</f>
        <v/>
      </c>
      <c r="AB367" cm="1">
        <f t="array" ref="AB367">IFERROR(AVERAGE(_xlfn._xlws.FILTER(T$2:T$1073,($C$2:$C$1073=$C367)*($E$2:$E$1073=$E367)*(ROW(T$2:T$1073)&lt;&gt;ROW(T367))*(T$2:T$1073&lt;&gt;""))),"")</f>
        <v>4.0753686826190204E-2</v>
      </c>
      <c r="AC367" cm="1">
        <f t="array" ref="AC367">IFERROR(AVERAGE(_xlfn._xlws.FILTER(U$2:U$1073,($C$2:$C$1073=$C367)*($E$2:$E$1073=$E367)*(ROW(U$2:U$1073)&lt;&gt;ROW(U367))*(U$2:U$1073&lt;&gt;""))),"")</f>
        <v>1.4645790472348241</v>
      </c>
      <c r="AD367" cm="1">
        <f t="array" ref="AD367">IFERROR(AVERAGE(_xlfn._xlws.FILTER(V$2:V$1073,($C$2:$C$1073=$C367)*($E$2:$E$1073=$E367)*(ROW(V$2:V$1073)&lt;&gt;ROW(V367))*(V$2:V$1073&lt;&gt;""))),"")</f>
        <v>0.44538927431288777</v>
      </c>
      <c r="AE367">
        <f>IF('Дивиденды по годам'!M367&lt;0,1,0)</f>
        <v>0</v>
      </c>
    </row>
    <row r="368" spans="1:31" x14ac:dyDescent="0.2">
      <c r="A368" s="7" t="s">
        <v>2315</v>
      </c>
      <c r="B368" t="str">
        <f t="shared" si="55"/>
        <v>GMKN IV кв. 2011</v>
      </c>
      <c r="C368">
        <v>2011</v>
      </c>
      <c r="D368">
        <f>SUMIFS(Дивиденды!$C:$C,Дивиденды!$A:$A,A368,Дивиденды!$I:$I,C368)</f>
        <v>0</v>
      </c>
      <c r="E368">
        <v>3</v>
      </c>
      <c r="F368">
        <f t="shared" si="56"/>
        <v>0</v>
      </c>
      <c r="G368">
        <f t="shared" si="57"/>
        <v>3.7659999999999996</v>
      </c>
      <c r="H368">
        <f t="shared" si="58"/>
        <v>0</v>
      </c>
      <c r="I368">
        <f t="shared" si="59"/>
        <v>0.8</v>
      </c>
      <c r="J368">
        <f t="shared" si="60"/>
        <v>0</v>
      </c>
      <c r="K368">
        <f t="shared" si="65"/>
        <v>0.78130568048052607</v>
      </c>
      <c r="L368">
        <f t="shared" si="61"/>
        <v>0</v>
      </c>
      <c r="M368">
        <f t="shared" si="62"/>
        <v>0.6</v>
      </c>
      <c r="N368">
        <f t="shared" si="63"/>
        <v>0</v>
      </c>
      <c r="O368">
        <f t="shared" si="64"/>
        <v>0.3</v>
      </c>
      <c r="P368">
        <f>IFERROR(LN('Дивиденды по годам'!I368),"")</f>
        <v>27.044139959133268</v>
      </c>
      <c r="Q368">
        <f>IFERROR('Дивиденды по годам'!G368/'Дивиденды по годам'!I368, "")</f>
        <v>0.50682106598984766</v>
      </c>
      <c r="R368" t="str">
        <f>IFERROR(IF(AND('Дивиденды по годам'!N368&lt;&gt;"",'Дивиденды по годам'!U368&lt;&gt;"",'Дивиденды по годам'!U368&lt;&gt;0),'Дивиденды по годам'!N368/'Дивиденды по годам'!U368-1,""),"")</f>
        <v/>
      </c>
      <c r="S368" t="str">
        <f>IFERROR(IF(AND('Дивиденды по годам'!L368&lt;&gt;"",'Дивиденды по годам'!I368&lt;&gt;"",'Дивиденды по годам'!J368&lt;&gt;"",'Дивиденды по годам'!K368&lt;&gt;"",('Дивиденды по годам'!I368-'Дивиденды по годам'!J368-'Дивиденды по годам'!K368)&lt;&gt;0),'Дивиденды по годам'!L368/('Дивиденды по годам'!I368-'Дивиденды по годам'!J368-'Дивиденды по годам'!K368),""),"")</f>
        <v/>
      </c>
      <c r="T368" t="str">
        <f>IFERROR(IF(AND('Дивиденды по годам'!Q368&lt;&gt;"",'Дивиденды по годам'!I368&lt;&gt;"",'Дивиденды по годам'!V368&lt;&gt;"",('Дивиденды по годам'!I368+'Дивиденды по годам'!V368)&lt;&gt;0),'Дивиденды по годам'!Q368/(('Дивиденды по годам'!I368+'Дивиденды по годам'!V368)/2),""),"")</f>
        <v/>
      </c>
      <c r="U368">
        <f>IFERROR(IF(AND('Дивиденды по годам'!J368&lt;&gt;"",'Дивиденды по годам'!K368&lt;&gt;"",'Дивиденды по годам'!M368&lt;&gt;"",'Дивиденды по годам'!M368&lt;&gt;0),('Дивиденды по годам'!J368+'Дивиденды по годам'!K368)/'Дивиденды по годам'!M368,""),"")</f>
        <v>0.68526109427909465</v>
      </c>
      <c r="V368">
        <f>IFERROR(IF(AND('Дивиденды по годам'!J368&lt;&gt;"",'Дивиденды по годам'!K368&lt;&gt;"",'Дивиденды по годам'!M368&lt;&gt;"",'Дивиденды по годам'!I368&lt;&gt;0),('Дивиденды по годам'!J368+'Дивиденды по годам'!K368)/'Дивиденды по годам'!I368,""),"")</f>
        <v>0.40662013536379016</v>
      </c>
      <c r="W368">
        <f>IFERROR('Дивиденды по годам'!I368,"")</f>
        <v>556058843446.15393</v>
      </c>
      <c r="X368" cm="1">
        <f t="array" ref="X368">IFERROR(AVERAGE(_xlfn._xlws.FILTER(P$2:P$1073,($C$2:$C$1073=$C368)*($E$2:$E$1073=$E368)*(ROW(P$2:P$1073)&lt;&gt;ROW(P368))*(P$2:P$1073&lt;&gt;""))),"")</f>
        <v>26.348655010070356</v>
      </c>
      <c r="Y368" cm="1">
        <f t="array" ref="Y368">IFERROR(AVERAGE(_xlfn._xlws.FILTER(Q$2:Q$1073,($C$2:$C$1073=$C368)*($E$2:$E$1073=$E368)*(ROW(Q$2:Q$1073)&lt;&gt;ROW(Q368))*(Q$2:Q$1073&lt;&gt;""))),"")</f>
        <v>0.57847887682429155</v>
      </c>
      <c r="Z368" cm="1">
        <f t="array" ref="Z368">IFERROR(AVERAGE(_xlfn._xlws.FILTER(R$2:R$1073,($C$2:$C$1073=$C368)*($E$2:$E$1073=$E368)*(ROW(R$2:R$1073)&lt;&gt;ROW(R368))*(R$2:R$1073&lt;&gt;""))),"")</f>
        <v>0.21463216748681591</v>
      </c>
      <c r="AA368" t="str" cm="1">
        <f t="array" ref="AA368">IFERROR(AVERAGE(_xlfn._xlws.FILTER(S$2:S$1073,($C$2:$C$1073=$C368)*($E$2:$E$1073=$E368)*(ROW(S$2:S$1073)&lt;&gt;ROW(S368))*(S$2:S$1073&lt;&gt;""))),"")</f>
        <v/>
      </c>
      <c r="AB368" cm="1">
        <f t="array" ref="AB368">IFERROR(AVERAGE(_xlfn._xlws.FILTER(T$2:T$1073,($C$2:$C$1073=$C368)*($E$2:$E$1073=$E368)*(ROW(T$2:T$1073)&lt;&gt;ROW(T368))*(T$2:T$1073&lt;&gt;""))),"")</f>
        <v>0.11505618365484008</v>
      </c>
      <c r="AC368" cm="1">
        <f t="array" ref="AC368">IFERROR(AVERAGE(_xlfn._xlws.FILTER(U$2:U$1073,($C$2:$C$1073=$C368)*($E$2:$E$1073=$E368)*(ROW(U$2:U$1073)&lt;&gt;ROW(U368))*(U$2:U$1073&lt;&gt;""))),"")</f>
        <v>1.1739414399065982</v>
      </c>
      <c r="AD368" cm="1">
        <f t="array" ref="AD368">IFERROR(AVERAGE(_xlfn._xlws.FILTER(V$2:V$1073,($C$2:$C$1073=$C368)*($E$2:$E$1073=$E368)*(ROW(V$2:V$1073)&lt;&gt;ROW(V368))*(V$2:V$1073&lt;&gt;""))),"")</f>
        <v>0.51403245858962987</v>
      </c>
      <c r="AE368">
        <f>IF('Дивиденды по годам'!M368&lt;0,1,0)</f>
        <v>0</v>
      </c>
    </row>
    <row r="369" spans="1:31" x14ac:dyDescent="0.2">
      <c r="A369" s="7" t="s">
        <v>2315</v>
      </c>
      <c r="B369" t="str">
        <f t="shared" si="55"/>
        <v>GMKN IV кв. 2010</v>
      </c>
      <c r="C369">
        <v>2010</v>
      </c>
      <c r="D369">
        <f>SUMIFS(Дивиденды!$C:$C,Дивиденды!$A:$A,A369,Дивиденды!$I:$I,C369)</f>
        <v>0</v>
      </c>
      <c r="E369">
        <v>3</v>
      </c>
      <c r="F369">
        <f t="shared" si="56"/>
        <v>0</v>
      </c>
      <c r="G369">
        <f t="shared" si="57"/>
        <v>3.0789999999999997</v>
      </c>
      <c r="H369">
        <f t="shared" si="58"/>
        <v>0</v>
      </c>
      <c r="I369">
        <f t="shared" si="59"/>
        <v>0.7</v>
      </c>
      <c r="J369" t="str">
        <f t="shared" si="60"/>
        <v/>
      </c>
      <c r="K369" t="str">
        <f t="shared" si="65"/>
        <v/>
      </c>
      <c r="L369" t="str">
        <f t="shared" si="61"/>
        <v/>
      </c>
      <c r="M369" t="str">
        <f t="shared" si="62"/>
        <v/>
      </c>
      <c r="N369" t="str">
        <f t="shared" si="63"/>
        <v/>
      </c>
      <c r="O369" t="str">
        <f t="shared" si="64"/>
        <v/>
      </c>
      <c r="P369" t="str">
        <f>IFERROR(LN('Дивиденды по годам'!I369),"")</f>
        <v/>
      </c>
      <c r="Q369" t="str">
        <f>IFERROR('Дивиденды по годам'!G369/'Дивиденды по годам'!I369, "")</f>
        <v/>
      </c>
      <c r="R369" t="str">
        <f>IFERROR(IF(AND('Дивиденды по годам'!N369&lt;&gt;"",'Дивиденды по годам'!U369&lt;&gt;"",'Дивиденды по годам'!U369&lt;&gt;0),'Дивиденды по годам'!N369/'Дивиденды по годам'!U369-1,""),"")</f>
        <v/>
      </c>
      <c r="S369" t="str">
        <f>IFERROR(IF(AND('Дивиденды по годам'!L369&lt;&gt;"",'Дивиденды по годам'!I369&lt;&gt;"",'Дивиденды по годам'!J369&lt;&gt;"",'Дивиденды по годам'!K369&lt;&gt;"",('Дивиденды по годам'!I369-'Дивиденды по годам'!J369-'Дивиденды по годам'!K369)&lt;&gt;0),'Дивиденды по годам'!L369/('Дивиденды по годам'!I369-'Дивиденды по годам'!J369-'Дивиденды по годам'!K369),""),"")</f>
        <v/>
      </c>
      <c r="T369" t="str">
        <f>IFERROR(IF(AND('Дивиденды по годам'!Q369&lt;&gt;"",'Дивиденды по годам'!I369&lt;&gt;"",'Дивиденды по годам'!V369&lt;&gt;"",('Дивиденды по годам'!I369+'Дивиденды по годам'!V369)&lt;&gt;0),'Дивиденды по годам'!Q369/(('Дивиденды по годам'!I369+'Дивиденды по годам'!V369)/2),""),"")</f>
        <v/>
      </c>
      <c r="U369" t="str">
        <f>IFERROR(IF(AND('Дивиденды по годам'!J369&lt;&gt;"",'Дивиденды по годам'!K369&lt;&gt;"",'Дивиденды по годам'!M369&lt;&gt;"",'Дивиденды по годам'!M369&lt;&gt;0),('Дивиденды по годам'!J369+'Дивиденды по годам'!K369)/'Дивиденды по годам'!M369,""),"")</f>
        <v/>
      </c>
      <c r="V369" t="str">
        <f>IFERROR(IF(AND('Дивиденды по годам'!J369&lt;&gt;"",'Дивиденды по годам'!K369&lt;&gt;"",'Дивиденды по годам'!M369&lt;&gt;"",'Дивиденды по годам'!I369&lt;&gt;0),('Дивиденды по годам'!J369+'Дивиденды по годам'!K369)/'Дивиденды по годам'!I369,""),"")</f>
        <v/>
      </c>
      <c r="W369" t="str">
        <f>IFERROR('Дивиденды по годам'!I369,"")</f>
        <v/>
      </c>
      <c r="X369" cm="1">
        <f t="array" ref="X369">IFERROR(AVERAGE(_xlfn._xlws.FILTER(P$2:P$1073,($C$2:$C$1073=$C369)*($E$2:$E$1073=$E369)*(ROW(P$2:P$1073)&lt;&gt;ROW(P369))*(P$2:P$1073&lt;&gt;""))),"")</f>
        <v>26.127864794831805</v>
      </c>
      <c r="Y369" cm="1">
        <f t="array" ref="Y369">IFERROR(AVERAGE(_xlfn._xlws.FILTER(Q$2:Q$1073,($C$2:$C$1073=$C369)*($E$2:$E$1073=$E369)*(ROW(Q$2:Q$1073)&lt;&gt;ROW(Q369))*(Q$2:Q$1073&lt;&gt;""))),"")</f>
        <v>0.75539390451698762</v>
      </c>
      <c r="Z369" t="str" cm="1">
        <f t="array" ref="Z369">IFERROR(AVERAGE(_xlfn._xlws.FILTER(R$2:R$1073,($C$2:$C$1073=$C369)*($E$2:$E$1073=$E369)*(ROW(R$2:R$1073)&lt;&gt;ROW(R369))*(R$2:R$1073&lt;&gt;""))),"")</f>
        <v/>
      </c>
      <c r="AA369" t="str" cm="1">
        <f t="array" ref="AA369">IFERROR(AVERAGE(_xlfn._xlws.FILTER(S$2:S$1073,($C$2:$C$1073=$C369)*($E$2:$E$1073=$E369)*(ROW(S$2:S$1073)&lt;&gt;ROW(S369))*(S$2:S$1073&lt;&gt;""))),"")</f>
        <v/>
      </c>
      <c r="AB369" t="str" cm="1">
        <f t="array" ref="AB369">IFERROR(AVERAGE(_xlfn._xlws.FILTER(T$2:T$1073,($C$2:$C$1073=$C369)*($E$2:$E$1073=$E369)*(ROW(T$2:T$1073)&lt;&gt;ROW(T369))*(T$2:T$1073&lt;&gt;""))),"")</f>
        <v/>
      </c>
      <c r="AC369" cm="1">
        <f t="array" ref="AC369">IFERROR(AVERAGE(_xlfn._xlws.FILTER(U$2:U$1073,($C$2:$C$1073=$C369)*($E$2:$E$1073=$E369)*(ROW(U$2:U$1073)&lt;&gt;ROW(U369))*(U$2:U$1073&lt;&gt;""))),"")</f>
        <v>1.4017600691070078</v>
      </c>
      <c r="AD369" cm="1">
        <f t="array" ref="AD369">IFERROR(AVERAGE(_xlfn._xlws.FILTER(V$2:V$1073,($C$2:$C$1073=$C369)*($E$2:$E$1073=$E369)*(ROW(V$2:V$1073)&lt;&gt;ROW(V369))*(V$2:V$1073&lt;&gt;""))),"")</f>
        <v>0.58363867695918215</v>
      </c>
      <c r="AE369">
        <f>IF('Дивиденды по годам'!M369&lt;0,1,0)</f>
        <v>0</v>
      </c>
    </row>
    <row r="370" spans="1:31" x14ac:dyDescent="0.2">
      <c r="A370" s="7" t="s">
        <v>2224</v>
      </c>
      <c r="B370" t="str">
        <f t="shared" si="55"/>
        <v>MAGN IV кв. 2025</v>
      </c>
      <c r="C370">
        <v>2025</v>
      </c>
      <c r="D370">
        <f>SUMIFS(Дивиденды!$C:$C,Дивиденды!$A:$A,A370,Дивиденды!$I:$I,C370)</f>
        <v>0</v>
      </c>
      <c r="E370">
        <v>3</v>
      </c>
      <c r="F370">
        <f t="shared" si="56"/>
        <v>0</v>
      </c>
      <c r="G370">
        <f t="shared" si="57"/>
        <v>10.684999999999999</v>
      </c>
      <c r="H370">
        <f t="shared" si="58"/>
        <v>0</v>
      </c>
      <c r="I370">
        <f t="shared" si="59"/>
        <v>0.1</v>
      </c>
      <c r="J370">
        <f t="shared" si="60"/>
        <v>-1</v>
      </c>
      <c r="K370">
        <f t="shared" si="65"/>
        <v>-0.34741116251599569</v>
      </c>
      <c r="L370">
        <f t="shared" si="61"/>
        <v>0</v>
      </c>
      <c r="M370">
        <f t="shared" si="62"/>
        <v>0</v>
      </c>
      <c r="N370">
        <f t="shared" si="63"/>
        <v>1</v>
      </c>
      <c r="O370">
        <f t="shared" si="64"/>
        <v>0.4</v>
      </c>
      <c r="P370">
        <f>IFERROR(LN('Дивиденды по годам'!I370),"")</f>
        <v>27.500847508200767</v>
      </c>
      <c r="Q370">
        <f>IFERROR('Дивиденды по годам'!G370/'Дивиденды по годам'!I370, "")</f>
        <v>0.6034936208842715</v>
      </c>
      <c r="R370">
        <f>IFERROR(IF(AND('Дивиденды по годам'!N370&lt;&gt;"",'Дивиденды по годам'!U370&lt;&gt;"",'Дивиденды по годам'!U370&lt;&gt;0),'Дивиденды по годам'!N370/'Дивиденды по годам'!U370-1,""),"")</f>
        <v>-0.20638648944780902</v>
      </c>
      <c r="S370">
        <f>IFERROR(IF(AND('Дивиденды по годам'!L370&lt;&gt;"",'Дивиденды по годам'!I370&lt;&gt;"",'Дивиденды по годам'!J370&lt;&gt;"",'Дивиденды по годам'!K370&lt;&gt;"",('Дивиденды по годам'!I370-'Дивиденды по годам'!J370-'Дивиденды по годам'!K370)&lt;&gt;0),'Дивиденды по годам'!L370/('Дивиденды по годам'!I370-'Дивиденды по годам'!J370-'Дивиденды по годам'!K370),""),"")</f>
        <v>0.91100449964571495</v>
      </c>
      <c r="T370">
        <f>IFERROR(IF(AND('Дивиденды по годам'!Q370&lt;&gt;"",'Дивиденды по годам'!I370&lt;&gt;"",'Дивиденды по годам'!V370&lt;&gt;"",('Дивиденды по годам'!I370+'Дивиденды по годам'!V370)&lt;&gt;0),'Дивиденды по годам'!Q370/(('Дивиденды по годам'!I370+'Дивиденды по годам'!V370)/2),""),"")</f>
        <v>-1.6587395924000582E-2</v>
      </c>
      <c r="U370">
        <f>IFERROR(IF(AND('Дивиденды по годам'!J370&lt;&gt;"",'Дивиденды по годам'!K370&lt;&gt;"",'Дивиденды по годам'!M370&lt;&gt;"",'Дивиденды по годам'!M370&lt;&gt;0),('Дивиденды по годам'!J370+'Дивиденды по годам'!K370)/'Дивиденды по годам'!M370,""),"")</f>
        <v>0.32077313872478447</v>
      </c>
      <c r="V370">
        <f>IFERROR(IF(AND('Дивиденды по годам'!J370&lt;&gt;"",'Дивиденды по годам'!K370&lt;&gt;"",'Дивиденды по годам'!M370&lt;&gt;"",'Дивиденды по годам'!I370&lt;&gt;0),('Дивиденды по годам'!J370+'Дивиденды по годам'!K370)/'Дивиденды по годам'!I370,""),"")</f>
        <v>0.24286770325636176</v>
      </c>
      <c r="W370">
        <f>IFERROR('Дивиденды по годам'!I370,"")</f>
        <v>877943000000</v>
      </c>
      <c r="X370" cm="1">
        <f t="array" ref="X370">IFERROR(AVERAGE(_xlfn._xlws.FILTER(P$2:P$1073,($C$2:$C$1073=$C370)*($E$2:$E$1073=$E370)*(ROW(P$2:P$1073)&lt;&gt;ROW(P370))*(P$2:P$1073&lt;&gt;""))),"")</f>
        <v>27.529612513817501</v>
      </c>
      <c r="Y370" cm="1">
        <f t="array" ref="Y370">IFERROR(AVERAGE(_xlfn._xlws.FILTER(Q$2:Q$1073,($C$2:$C$1073=$C370)*($E$2:$E$1073=$E370)*(ROW(Q$2:Q$1073)&lt;&gt;ROW(Q370))*(Q$2:Q$1073&lt;&gt;""))),"")</f>
        <v>0.51850821020351767</v>
      </c>
      <c r="Z370" cm="1">
        <f t="array" ref="Z370">IFERROR(AVERAGE(_xlfn._xlws.FILTER(R$2:R$1073,($C$2:$C$1073=$C370)*($E$2:$E$1073=$E370)*(ROW(R$2:R$1073)&lt;&gt;ROW(R370))*(R$2:R$1073&lt;&gt;""))),"")</f>
        <v>-7.7598200038019413E-2</v>
      </c>
      <c r="AA370" cm="1">
        <f t="array" ref="AA370">IFERROR(AVERAGE(_xlfn._xlws.FILTER(S$2:S$1073,($C$2:$C$1073=$C370)*($E$2:$E$1073=$E370)*(ROW(S$2:S$1073)&lt;&gt;ROW(S370))*(S$2:S$1073&lt;&gt;""))),"")</f>
        <v>0.99776938684826377</v>
      </c>
      <c r="AB370" cm="1">
        <f t="array" ref="AB370">IFERROR(AVERAGE(_xlfn._xlws.FILTER(T$2:T$1073,($C$2:$C$1073=$C370)*($E$2:$E$1073=$E370)*(ROW(T$2:T$1073)&lt;&gt;ROW(T370))*(T$2:T$1073&lt;&gt;""))),"")</f>
        <v>1.9586469749598785E-2</v>
      </c>
      <c r="AC370" cm="1">
        <f t="array" ref="AC370">IFERROR(AVERAGE(_xlfn._xlws.FILTER(U$2:U$1073,($C$2:$C$1073=$C370)*($E$2:$E$1073=$E370)*(ROW(U$2:U$1073)&lt;&gt;ROW(U370))*(U$2:U$1073&lt;&gt;""))),"")</f>
        <v>3.5963270160535137</v>
      </c>
      <c r="AD370" cm="1">
        <f t="array" ref="AD370">IFERROR(AVERAGE(_xlfn._xlws.FILTER(V$2:V$1073,($C$2:$C$1073=$C370)*($E$2:$E$1073=$E370)*(ROW(V$2:V$1073)&lt;&gt;ROW(V370))*(V$2:V$1073&lt;&gt;""))),"")</f>
        <v>0.56475913446890724</v>
      </c>
      <c r="AE370">
        <f>IF('Дивиденды по годам'!M370&lt;0,1,0)</f>
        <v>0</v>
      </c>
    </row>
    <row r="371" spans="1:31" x14ac:dyDescent="0.2">
      <c r="A371" s="7" t="s">
        <v>2224</v>
      </c>
      <c r="B371" t="str">
        <f t="shared" si="55"/>
        <v>MAGN IV кв. 2024</v>
      </c>
      <c r="C371">
        <v>2024</v>
      </c>
      <c r="D371">
        <f>SUMIFS(Дивиденды!$C:$C,Дивиденды!$A:$A,A371,Дивиденды!$I:$I,C371)</f>
        <v>2.4900000000000002</v>
      </c>
      <c r="E371">
        <v>3</v>
      </c>
      <c r="F371">
        <f t="shared" si="56"/>
        <v>2.4900000000000002</v>
      </c>
      <c r="G371">
        <f t="shared" si="57"/>
        <v>32.809000000000005</v>
      </c>
      <c r="H371">
        <f t="shared" si="58"/>
        <v>1</v>
      </c>
      <c r="I371">
        <f t="shared" si="59"/>
        <v>0.4</v>
      </c>
      <c r="J371">
        <f t="shared" si="60"/>
        <v>-9.4545454545454474E-2</v>
      </c>
      <c r="K371">
        <f t="shared" si="65"/>
        <v>-0.19515992752444913</v>
      </c>
      <c r="L371">
        <f t="shared" si="61"/>
        <v>0</v>
      </c>
      <c r="M371">
        <f t="shared" si="62"/>
        <v>0.1</v>
      </c>
      <c r="N371">
        <f t="shared" si="63"/>
        <v>1</v>
      </c>
      <c r="O371">
        <f t="shared" si="64"/>
        <v>0.4</v>
      </c>
      <c r="P371">
        <f>IFERROR(LN('Дивиденды по годам'!I371),"")</f>
        <v>27.540194470047759</v>
      </c>
      <c r="Q371">
        <f>IFERROR('Дивиденды по годам'!G371/'Дивиденды по годам'!I371, "")</f>
        <v>0.59223194652509481</v>
      </c>
      <c r="R371">
        <f>IFERROR(IF(AND('Дивиденды по годам'!N371&lt;&gt;"",'Дивиденды по годам'!U371&lt;&gt;"",'Дивиденды по годам'!U371&lt;&gt;0),'Дивиденды по годам'!N371/'Дивиденды по годам'!U371-1,""),"")</f>
        <v>6.6492880441189062E-3</v>
      </c>
      <c r="S371">
        <f>IFERROR(IF(AND('Дивиденды по годам'!L371&lt;&gt;"",'Дивиденды по годам'!I371&lt;&gt;"",'Дивиденды по годам'!J371&lt;&gt;"",'Дивиденды по годам'!K371&lt;&gt;"",('Дивиденды по годам'!I371-'Дивиденды по годам'!J371-'Дивиденды по годам'!K371)&lt;&gt;0),'Дивиденды по годам'!L371/('Дивиденды по годам'!I371-'Дивиденды по годам'!J371-'Дивиденды по годам'!K371),""),"")</f>
        <v>0.8971995268275994</v>
      </c>
      <c r="T371">
        <f>IFERROR(IF(AND('Дивиденды по годам'!Q371&lt;&gt;"",'Дивиденды по годам'!I371&lt;&gt;"",'Дивиденды по годам'!V371&lt;&gt;"",('Дивиденды по годам'!I371+'Дивиденды по годам'!V371)&lt;&gt;0),'Дивиденды по годам'!Q371/(('Дивиденды по годам'!I371+'Дивиденды по годам'!V371)/2),""),"")</f>
        <v>8.7859152105192989E-2</v>
      </c>
      <c r="U371">
        <f>IFERROR(IF(AND('Дивиденды по годам'!J371&lt;&gt;"",'Дивиденды по годам'!K371&lt;&gt;"",'Дивиденды по годам'!M371&lt;&gt;"",'Дивиденды по годам'!M371&lt;&gt;0),('Дивиденды по годам'!J371+'Дивиденды по годам'!K371)/'Дивиденды по годам'!M371,""),"")</f>
        <v>0.32380416693243957</v>
      </c>
      <c r="V371">
        <f>IFERROR(IF(AND('Дивиденды по годам'!J371&lt;&gt;"",'Дивиденды по годам'!K371&lt;&gt;"",'Дивиденды по годам'!M371&lt;&gt;"",'Дивиденды по годам'!I371&lt;&gt;0),('Дивиденды по годам'!J371+'Дивиденды по годам'!K371)/'Дивиденды по годам'!I371,""),"")</f>
        <v>0.24460125977905683</v>
      </c>
      <c r="W371">
        <f>IFERROR('Дивиденды по годам'!I371,"")</f>
        <v>913176000000</v>
      </c>
      <c r="X371" cm="1">
        <f t="array" ref="X371">IFERROR(AVERAGE(_xlfn._xlws.FILTER(P$2:P$1073,($C$2:$C$1073=$C371)*($E$2:$E$1073=$E371)*(ROW(P$2:P$1073)&lt;&gt;ROW(P371))*(P$2:P$1073&lt;&gt;""))),"")</f>
        <v>27.257139638117486</v>
      </c>
      <c r="Y371" cm="1">
        <f t="array" ref="Y371">IFERROR(AVERAGE(_xlfn._xlws.FILTER(Q$2:Q$1073,($C$2:$C$1073=$C371)*($E$2:$E$1073=$E371)*(ROW(Q$2:Q$1073)&lt;&gt;ROW(Q371))*(Q$2:Q$1073&lt;&gt;""))),"")</f>
        <v>0.46892968651220779</v>
      </c>
      <c r="Z371" cm="1">
        <f t="array" ref="Z371">IFERROR(AVERAGE(_xlfn._xlws.FILTER(R$2:R$1073,($C$2:$C$1073=$C371)*($E$2:$E$1073=$E371)*(ROW(R$2:R$1073)&lt;&gt;ROW(R371))*(R$2:R$1073&lt;&gt;""))),"")</f>
        <v>2.7146181036879113E-2</v>
      </c>
      <c r="AA371" cm="1">
        <f t="array" ref="AA371">IFERROR(AVERAGE(_xlfn._xlws.FILTER(S$2:S$1073,($C$2:$C$1073=$C371)*($E$2:$E$1073=$E371)*(ROW(S$2:S$1073)&lt;&gt;ROW(S371))*(S$2:S$1073&lt;&gt;""))),"")</f>
        <v>1.2001668050186081</v>
      </c>
      <c r="AB371" cm="1">
        <f t="array" ref="AB371">IFERROR(AVERAGE(_xlfn._xlws.FILTER(T$2:T$1073,($C$2:$C$1073=$C371)*($E$2:$E$1073=$E371)*(ROW(T$2:T$1073)&lt;&gt;ROW(T371))*(T$2:T$1073&lt;&gt;""))),"")</f>
        <v>4.1289835799324694E-2</v>
      </c>
      <c r="AC371" cm="1">
        <f t="array" ref="AC371">IFERROR(AVERAGE(_xlfn._xlws.FILTER(U$2:U$1073,($C$2:$C$1073=$C371)*($E$2:$E$1073=$E371)*(ROW(U$2:U$1073)&lt;&gt;ROW(U371))*(U$2:U$1073&lt;&gt;""))),"")</f>
        <v>2.7888391993839718</v>
      </c>
      <c r="AD371" cm="1">
        <f t="array" ref="AD371">IFERROR(AVERAGE(_xlfn._xlws.FILTER(V$2:V$1073,($C$2:$C$1073=$C371)*($E$2:$E$1073=$E371)*(ROW(V$2:V$1073)&lt;&gt;ROW(V371))*(V$2:V$1073&lt;&gt;""))),"")</f>
        <v>0.65633424117715067</v>
      </c>
      <c r="AE371">
        <f>IF('Дивиденды по годам'!M371&lt;0,1,0)</f>
        <v>0</v>
      </c>
    </row>
    <row r="372" spans="1:31" x14ac:dyDescent="0.2">
      <c r="A372" s="7" t="s">
        <v>2224</v>
      </c>
      <c r="B372" t="str">
        <f t="shared" si="55"/>
        <v>MAGN IV кв. 2023</v>
      </c>
      <c r="C372">
        <v>2023</v>
      </c>
      <c r="D372">
        <f>SUMIFS(Дивиденды!$C:$C,Дивиденды!$A:$A,A372,Дивиденды!$I:$I,C372)</f>
        <v>2.75</v>
      </c>
      <c r="E372">
        <v>3</v>
      </c>
      <c r="F372">
        <f t="shared" si="56"/>
        <v>2.75</v>
      </c>
      <c r="G372">
        <f t="shared" si="57"/>
        <v>24.969000000000001</v>
      </c>
      <c r="H372">
        <f t="shared" si="58"/>
        <v>1</v>
      </c>
      <c r="I372">
        <f t="shared" si="59"/>
        <v>0.5</v>
      </c>
      <c r="J372">
        <f t="shared" si="60"/>
        <v>1</v>
      </c>
      <c r="K372">
        <f t="shared" si="65"/>
        <v>0.33287037037037037</v>
      </c>
      <c r="L372">
        <f t="shared" si="61"/>
        <v>1</v>
      </c>
      <c r="M372">
        <f t="shared" si="62"/>
        <v>0.5</v>
      </c>
      <c r="N372">
        <f t="shared" si="63"/>
        <v>0</v>
      </c>
      <c r="O372">
        <f t="shared" si="64"/>
        <v>0.1</v>
      </c>
      <c r="P372">
        <f>IFERROR(LN('Дивиденды по годам'!I372),"")</f>
        <v>27.527882574301476</v>
      </c>
      <c r="Q372">
        <f>IFERROR('Дивиденды по годам'!G372/'Дивиденды по годам'!I372, "")</f>
        <v>0.54070168358828474</v>
      </c>
      <c r="R372">
        <f>IFERROR(IF(AND('Дивиденды по годам'!N372&lt;&gt;"",'Дивиденды по годам'!U372&lt;&gt;"",'Дивиденды по годам'!U372&lt;&gt;0),'Дивиденды по годам'!N372/'Дивиденды по годам'!U372-1,""),"")</f>
        <v>9.0842320206568239E-2</v>
      </c>
      <c r="S372">
        <f>IFERROR(IF(AND('Дивиденды по годам'!L372&lt;&gt;"",'Дивиденды по годам'!I372&lt;&gt;"",'Дивиденды по годам'!J372&lt;&gt;"",'Дивиденды по годам'!K372&lt;&gt;"",('Дивиденды по годам'!I372-'Дивиденды по годам'!J372-'Дивиденды по годам'!K372)&lt;&gt;0),'Дивиденды по годам'!L372/('Дивиденды по годам'!I372-'Дивиденды по годам'!J372-'Дивиденды по годам'!K372),""),"")</f>
        <v>0.90120592363438456</v>
      </c>
      <c r="T372">
        <f>IFERROR(IF(AND('Дивиденды по годам'!Q372&lt;&gt;"",'Дивиденды по годам'!I372&lt;&gt;"",'Дивиденды по годам'!V372&lt;&gt;"",('Дивиденды по годам'!I372+'Дивиденды по годам'!V372)&lt;&gt;0),'Дивиденды по годам'!Q372/(('Дивиденды по годам'!I372+'Дивиденды по годам'!V372)/2),""),"")</f>
        <v>0.14436021263737303</v>
      </c>
      <c r="U372">
        <f>IFERROR(IF(AND('Дивиденды по годам'!J372&lt;&gt;"",'Дивиденды по годам'!K372&lt;&gt;"",'Дивиденды по годам'!M372&lt;&gt;"",'Дивиденды по годам'!M372&lt;&gt;0),('Дивиденды по годам'!J372+'Дивиденды по годам'!K372)/'Дивиденды по годам'!M372,""),"")</f>
        <v>0.35985189406445561</v>
      </c>
      <c r="V372">
        <f>IFERROR(IF(AND('Дивиденды по годам'!J372&lt;&gt;"",'Дивиденды по годам'!K372&lt;&gt;"",'Дивиденды по годам'!M372&lt;&gt;"",'Дивиденды по годам'!I372&lt;&gt;0),('Дивиденды по годам'!J372+'Дивиденды по годам'!K372)/'Дивиденды по годам'!I372,""),"")</f>
        <v>0.26462579905587791</v>
      </c>
      <c r="W372">
        <f>IFERROR('Дивиденды по годам'!I372,"")</f>
        <v>902002000000</v>
      </c>
      <c r="X372" cm="1">
        <f t="array" ref="X372">IFERROR(AVERAGE(_xlfn._xlws.FILTER(P$2:P$1073,($C$2:$C$1073=$C372)*($E$2:$E$1073=$E372)*(ROW(P$2:P$1073)&lt;&gt;ROW(P372))*(P$2:P$1073&lt;&gt;""))),"")</f>
        <v>27.179147384222055</v>
      </c>
      <c r="Y372" cm="1">
        <f t="array" ref="Y372">IFERROR(AVERAGE(_xlfn._xlws.FILTER(Q$2:Q$1073,($C$2:$C$1073=$C372)*($E$2:$E$1073=$E372)*(ROW(Q$2:Q$1073)&lt;&gt;ROW(Q372))*(Q$2:Q$1073&lt;&gt;""))),"")</f>
        <v>0.44728394997113535</v>
      </c>
      <c r="Z372" cm="1">
        <f t="array" ref="Z372">IFERROR(AVERAGE(_xlfn._xlws.FILTER(R$2:R$1073,($C$2:$C$1073=$C372)*($E$2:$E$1073=$E372)*(ROW(R$2:R$1073)&lt;&gt;ROW(R372))*(R$2:R$1073&lt;&gt;""))),"")</f>
        <v>0.13483876201509512</v>
      </c>
      <c r="AA372" cm="1">
        <f t="array" ref="AA372">IFERROR(AVERAGE(_xlfn._xlws.FILTER(S$2:S$1073,($C$2:$C$1073=$C372)*($E$2:$E$1073=$E372)*(ROW(S$2:S$1073)&lt;&gt;ROW(S372))*(S$2:S$1073&lt;&gt;""))),"")</f>
        <v>5.8313101579257717E-2</v>
      </c>
      <c r="AB372" cm="1">
        <f t="array" ref="AB372">IFERROR(AVERAGE(_xlfn._xlws.FILTER(T$2:T$1073,($C$2:$C$1073=$C372)*($E$2:$E$1073=$E372)*(ROW(T$2:T$1073)&lt;&gt;ROW(T372))*(T$2:T$1073&lt;&gt;""))),"")</f>
        <v>0.11580230322297862</v>
      </c>
      <c r="AC372" cm="1">
        <f t="array" ref="AC372">IFERROR(AVERAGE(_xlfn._xlws.FILTER(U$2:U$1073,($C$2:$C$1073=$C372)*($E$2:$E$1073=$E372)*(ROW(U$2:U$1073)&lt;&gt;ROW(U372))*(U$2:U$1073&lt;&gt;""))),"")</f>
        <v>-0.64919521502089883</v>
      </c>
      <c r="AD372" cm="1">
        <f t="array" ref="AD372">IFERROR(AVERAGE(_xlfn._xlws.FILTER(V$2:V$1073,($C$2:$C$1073=$C372)*($E$2:$E$1073=$E372)*(ROW(V$2:V$1073)&lt;&gt;ROW(V372))*(V$2:V$1073&lt;&gt;""))),"")</f>
        <v>0.63121569328079163</v>
      </c>
      <c r="AE372">
        <f>IF('Дивиденды по годам'!M372&lt;0,1,0)</f>
        <v>0</v>
      </c>
    </row>
    <row r="373" spans="1:31" x14ac:dyDescent="0.2">
      <c r="A373" s="7" t="s">
        <v>2224</v>
      </c>
      <c r="B373" t="str">
        <f t="shared" si="55"/>
        <v>MAGN IV кв. 2022</v>
      </c>
      <c r="C373">
        <v>2022</v>
      </c>
      <c r="D373">
        <f>SUMIFS(Дивиденды!$C:$C,Дивиденды!$A:$A,A373,Дивиденды!$I:$I,C373)</f>
        <v>0</v>
      </c>
      <c r="E373">
        <v>3</v>
      </c>
      <c r="F373">
        <f t="shared" si="56"/>
        <v>0</v>
      </c>
      <c r="G373">
        <f t="shared" si="57"/>
        <v>1.73</v>
      </c>
      <c r="H373">
        <f t="shared" si="58"/>
        <v>0</v>
      </c>
      <c r="I373">
        <f t="shared" si="59"/>
        <v>0.2</v>
      </c>
      <c r="J373">
        <f t="shared" si="60"/>
        <v>-1</v>
      </c>
      <c r="K373">
        <f t="shared" si="65"/>
        <v>-0.50242800677583288</v>
      </c>
      <c r="L373">
        <f t="shared" si="61"/>
        <v>0</v>
      </c>
      <c r="M373">
        <f t="shared" si="62"/>
        <v>0.1</v>
      </c>
      <c r="N373">
        <f t="shared" si="63"/>
        <v>1</v>
      </c>
      <c r="O373">
        <f t="shared" si="64"/>
        <v>0.7</v>
      </c>
      <c r="P373">
        <f>IFERROR(LN('Дивиденды по годам'!I373),"")</f>
        <v>27.326918291189383</v>
      </c>
      <c r="Q373">
        <f>IFERROR('Дивиденды по годам'!G373/'Дивиденды по годам'!I373, "")</f>
        <v>0.5547347804577214</v>
      </c>
      <c r="R373">
        <f>IFERROR(IF(AND('Дивиденды по годам'!N373&lt;&gt;"",'Дивиденды по годам'!U373&lt;&gt;"",'Дивиденды по годам'!U373&lt;&gt;0),'Дивиденды по годам'!N373/'Дивиденды по годам'!U373-1,""),"")</f>
        <v>-0.20079815090432296</v>
      </c>
      <c r="S373">
        <f>IFERROR(IF(AND('Дивиденды по годам'!L373&lt;&gt;"",'Дивиденды по годам'!I373&lt;&gt;"",'Дивиденды по годам'!J373&lt;&gt;"",'Дивиденды по годам'!K373&lt;&gt;"",('Дивиденды по годам'!I373-'Дивиденды по годам'!J373-'Дивиденды по годам'!K373)&lt;&gt;0),'Дивиденды по годам'!L373/('Дивиденды по годам'!I373-'Дивиденды по годам'!J373-'Дивиденды по годам'!K373),""),"")</f>
        <v>0.89397572810094239</v>
      </c>
      <c r="T373">
        <f>IFERROR(IF(AND('Дивиденды по годам'!Q373&lt;&gt;"",'Дивиденды по годам'!I373&lt;&gt;"",'Дивиденды по годам'!V373&lt;&gt;"",('Дивиденды по годам'!I373+'Дивиденды по годам'!V373)&lt;&gt;0),'Дивиденды по годам'!Q373/(('Дивиденды по годам'!I373+'Дивиденды по годам'!V373)/2),""),"")</f>
        <v>9.6757905083204851E-2</v>
      </c>
      <c r="U373">
        <f>IFERROR(IF(AND('Дивиденды по годам'!J373&lt;&gt;"",'Дивиденды по годам'!K373&lt;&gt;"",'Дивиденды по годам'!M373&lt;&gt;"",'Дивиденды по годам'!M373&lt;&gt;0),('Дивиденды по годам'!J373+'Дивиденды по годам'!K373)/'Дивиденды по годам'!M373,""),"")</f>
        <v>0.37791959419835125</v>
      </c>
      <c r="V373">
        <f>IFERROR(IF(AND('Дивиденды по годам'!J373&lt;&gt;"",'Дивиденды по годам'!K373&lt;&gt;"",'Дивиденды по годам'!M373&lt;&gt;"",'Дивиденды по годам'!I373&lt;&gt;0),('Дивиденды по годам'!J373+'Дивиденды по годам'!K373)/'Дивиденды по годам'!I373,""),"")</f>
        <v>0.27426824888009377</v>
      </c>
      <c r="W373">
        <f>IFERROR('Дивиденды по годам'!I373,"")</f>
        <v>737785000000</v>
      </c>
      <c r="X373" cm="1">
        <f t="array" ref="X373">IFERROR(AVERAGE(_xlfn._xlws.FILTER(P$2:P$1073,($C$2:$C$1073=$C373)*($E$2:$E$1073=$E373)*(ROW(P$2:P$1073)&lt;&gt;ROW(P373))*(P$2:P$1073&lt;&gt;""))),"")</f>
        <v>27.058424889558797</v>
      </c>
      <c r="Y373" cm="1">
        <f t="array" ref="Y373">IFERROR(AVERAGE(_xlfn._xlws.FILTER(Q$2:Q$1073,($C$2:$C$1073=$C373)*($E$2:$E$1073=$E373)*(ROW(Q$2:Q$1073)&lt;&gt;ROW(Q373))*(Q$2:Q$1073&lt;&gt;""))),"")</f>
        <v>0.46349149194612227</v>
      </c>
      <c r="Z373" cm="1">
        <f t="array" ref="Z373">IFERROR(AVERAGE(_xlfn._xlws.FILTER(R$2:R$1073,($C$2:$C$1073=$C373)*($E$2:$E$1073=$E373)*(ROW(R$2:R$1073)&lt;&gt;ROW(R373))*(R$2:R$1073&lt;&gt;""))),"")</f>
        <v>-3.7812583707308666E-3</v>
      </c>
      <c r="AA373" cm="1">
        <f t="array" ref="AA373">IFERROR(AVERAGE(_xlfn._xlws.FILTER(S$2:S$1073,($C$2:$C$1073=$C373)*($E$2:$E$1073=$E373)*(ROW(S$2:S$1073)&lt;&gt;ROW(S373))*(S$2:S$1073&lt;&gt;""))),"")</f>
        <v>0.84760087082759061</v>
      </c>
      <c r="AB373" cm="1">
        <f t="array" ref="AB373">IFERROR(AVERAGE(_xlfn._xlws.FILTER(T$2:T$1073,($C$2:$C$1073=$C373)*($E$2:$E$1073=$E373)*(ROW(T$2:T$1073)&lt;&gt;ROW(T373))*(T$2:T$1073&lt;&gt;""))),"")</f>
        <v>0.16486089740698745</v>
      </c>
      <c r="AC373" cm="1">
        <f t="array" ref="AC373">IFERROR(AVERAGE(_xlfn._xlws.FILTER(U$2:U$1073,($C$2:$C$1073=$C373)*($E$2:$E$1073=$E373)*(ROW(U$2:U$1073)&lt;&gt;ROW(U373))*(U$2:U$1073&lt;&gt;""))),"")</f>
        <v>1.2309009429742819</v>
      </c>
      <c r="AD373" cm="1">
        <f t="array" ref="AD373">IFERROR(AVERAGE(_xlfn._xlws.FILTER(V$2:V$1073,($C$2:$C$1073=$C373)*($E$2:$E$1073=$E373)*(ROW(V$2:V$1073)&lt;&gt;ROW(V373))*(V$2:V$1073&lt;&gt;""))),"")</f>
        <v>0.59356096393834479</v>
      </c>
      <c r="AE373">
        <f>IF('Дивиденды по годам'!M373&lt;0,1,0)</f>
        <v>0</v>
      </c>
    </row>
    <row r="374" spans="1:31" x14ac:dyDescent="0.2">
      <c r="A374" s="7" t="s">
        <v>2224</v>
      </c>
      <c r="B374" t="str">
        <f t="shared" si="55"/>
        <v>MAGN IV кв. 2021</v>
      </c>
      <c r="C374">
        <v>2021</v>
      </c>
      <c r="D374">
        <f>SUMIFS(Дивиденды!$C:$C,Дивиденды!$A:$A,A374,Дивиденды!$I:$I,C374)</f>
        <v>7.99</v>
      </c>
      <c r="E374">
        <v>3</v>
      </c>
      <c r="F374">
        <f t="shared" si="56"/>
        <v>7.99</v>
      </c>
      <c r="G374">
        <f t="shared" si="57"/>
        <v>36.055999999999997</v>
      </c>
      <c r="H374">
        <f t="shared" si="58"/>
        <v>1</v>
      </c>
      <c r="I374">
        <f t="shared" si="59"/>
        <v>0.7</v>
      </c>
      <c r="J374">
        <f t="shared" si="60"/>
        <v>1.0227848101265822</v>
      </c>
      <c r="K374">
        <f t="shared" si="65"/>
        <v>0.6284178455581384</v>
      </c>
      <c r="L374">
        <f t="shared" si="61"/>
        <v>1</v>
      </c>
      <c r="M374">
        <f t="shared" si="62"/>
        <v>0.4</v>
      </c>
      <c r="N374">
        <f t="shared" si="63"/>
        <v>0</v>
      </c>
      <c r="O374">
        <f t="shared" si="64"/>
        <v>0.2</v>
      </c>
      <c r="P374">
        <f>IFERROR(LN('Дивиденды по годам'!I374),"")</f>
        <v>27.297967570962207</v>
      </c>
      <c r="Q374">
        <f>IFERROR('Дивиденды по годам'!G374/'Дивиденды по годам'!I374, "")</f>
        <v>0.55151827071538861</v>
      </c>
      <c r="R374">
        <f>IFERROR(IF(AND('Дивиденды по годам'!N374&lt;&gt;"",'Дивиденды по годам'!U374&lt;&gt;"",'Дивиденды по годам'!U374&lt;&gt;0),'Дивиденды по годам'!N374/'Дивиденды по годам'!U374-1,""),"")</f>
        <v>0.89393561650178266</v>
      </c>
      <c r="S374">
        <f>IFERROR(IF(AND('Дивиденды по годам'!L374&lt;&gt;"",'Дивиденды по годам'!I374&lt;&gt;"",'Дивиденды по годам'!J374&lt;&gt;"",'Дивиденды по годам'!K374&lt;&gt;"",('Дивиденды по годам'!I374-'Дивиденды по годам'!J374-'Дивиденды по годам'!K374)&lt;&gt;0),'Дивиденды по годам'!L374/('Дивиденды по годам'!I374-'Дивиденды по годам'!J374-'Дивиденды по годам'!K374),""),"")</f>
        <v>1.7821484992101106</v>
      </c>
      <c r="T374">
        <f>IFERROR(IF(AND('Дивиденды по годам'!Q374&lt;&gt;"",'Дивиденды по годам'!I374&lt;&gt;"",'Дивиденды по годам'!V374&lt;&gt;"",('Дивиденды по годам'!I374+'Дивиденды по годам'!V374)&lt;&gt;0),'Дивиденды по годам'!Q374/(('Дивиденды по годам'!I374+'Дивиденды по годам'!V374)/2),""),"")</f>
        <v>0.36595245283395672</v>
      </c>
      <c r="U374">
        <f>IFERROR(IF(AND('Дивиденды по годам'!J374&lt;&gt;"",'Дивиденды по годам'!K374&lt;&gt;"",'Дивиденды по годам'!M374&lt;&gt;"",'Дивиденды по годам'!M374&lt;&gt;0),('Дивиденды по годам'!J374+'Дивиденды по годам'!K374)/'Дивиденды по годам'!M374,""),"")</f>
        <v>0.53475513428120058</v>
      </c>
      <c r="V374">
        <f>IFERROR(IF(AND('Дивиденды по годам'!J374&lt;&gt;"",'Дивиденды по годам'!K374&lt;&gt;"",'Дивиденды по годам'!M374&lt;&gt;"",'Дивиденды по годам'!I374&lt;&gt;0),('Дивиденды по годам'!J374+'Дивиденды по годам'!K374)/'Дивиденды по годам'!I374,""),"")</f>
        <v>0.34843026248069997</v>
      </c>
      <c r="W374">
        <f>IFERROR('Дивиденды по годам'!I374,"")</f>
        <v>716731815747.27283</v>
      </c>
      <c r="X374" cm="1">
        <f t="array" ref="X374">IFERROR(AVERAGE(_xlfn._xlws.FILTER(P$2:P$1073,($C$2:$C$1073=$C374)*($E$2:$E$1073=$E374)*(ROW(P$2:P$1073)&lt;&gt;ROW(P374))*(P$2:P$1073&lt;&gt;""))),"")</f>
        <v>26.953499445095748</v>
      </c>
      <c r="Y374" cm="1">
        <f t="array" ref="Y374">IFERROR(AVERAGE(_xlfn._xlws.FILTER(Q$2:Q$1073,($C$2:$C$1073=$C374)*($E$2:$E$1073=$E374)*(ROW(Q$2:Q$1073)&lt;&gt;ROW(Q374))*(Q$2:Q$1073&lt;&gt;""))),"")</f>
        <v>0.4813195060283495</v>
      </c>
      <c r="Z374" cm="1">
        <f t="array" ref="Z374">IFERROR(AVERAGE(_xlfn._xlws.FILTER(R$2:R$1073,($C$2:$C$1073=$C374)*($E$2:$E$1073=$E374)*(ROW(R$2:R$1073)&lt;&gt;ROW(R374))*(R$2:R$1073&lt;&gt;""))),"")</f>
        <v>0.66203775675316079</v>
      </c>
      <c r="AA374" cm="1">
        <f t="array" ref="AA374">IFERROR(AVERAGE(_xlfn._xlws.FILTER(S$2:S$1073,($C$2:$C$1073=$C374)*($E$2:$E$1073=$E374)*(ROW(S$2:S$1073)&lt;&gt;ROW(S374))*(S$2:S$1073&lt;&gt;""))),"")</f>
        <v>0.96073244282524395</v>
      </c>
      <c r="AB374" cm="1">
        <f t="array" ref="AB374">IFERROR(AVERAGE(_xlfn._xlws.FILTER(T$2:T$1073,($C$2:$C$1073=$C374)*($E$2:$E$1073=$E374)*(ROW(T$2:T$1073)&lt;&gt;ROW(T374))*(T$2:T$1073&lt;&gt;""))),"")</f>
        <v>0.27949804602550571</v>
      </c>
      <c r="AC374" cm="1">
        <f t="array" ref="AC374">IFERROR(AVERAGE(_xlfn._xlws.FILTER(U$2:U$1073,($C$2:$C$1073=$C374)*($E$2:$E$1073=$E374)*(ROW(U$2:U$1073)&lt;&gt;ROW(U374))*(U$2:U$1073&lt;&gt;""))),"")</f>
        <v>2.1995007149210202</v>
      </c>
      <c r="AD374" cm="1">
        <f t="array" ref="AD374">IFERROR(AVERAGE(_xlfn._xlws.FILTER(V$2:V$1073,($C$2:$C$1073=$C374)*($E$2:$E$1073=$E374)*(ROW(V$2:V$1073)&lt;&gt;ROW(V374))*(V$2:V$1073&lt;&gt;""))),"")</f>
        <v>0.69832753824975347</v>
      </c>
      <c r="AE374">
        <f>IF('Дивиденды по годам'!M374&lt;0,1,0)</f>
        <v>0</v>
      </c>
    </row>
    <row r="375" spans="1:31" x14ac:dyDescent="0.2">
      <c r="A375" s="7" t="s">
        <v>2224</v>
      </c>
      <c r="B375" t="str">
        <f t="shared" si="55"/>
        <v>MAGN IV кв. 2020</v>
      </c>
      <c r="C375">
        <v>2020</v>
      </c>
      <c r="D375">
        <f>SUMIFS(Дивиденды!$C:$C,Дивиденды!$A:$A,A375,Дивиденды!$I:$I,C375)</f>
        <v>3.95</v>
      </c>
      <c r="E375">
        <v>3</v>
      </c>
      <c r="F375">
        <f t="shared" si="56"/>
        <v>3.95</v>
      </c>
      <c r="G375">
        <f t="shared" si="57"/>
        <v>23.588999999999999</v>
      </c>
      <c r="H375">
        <f t="shared" si="58"/>
        <v>1</v>
      </c>
      <c r="I375">
        <f t="shared" si="59"/>
        <v>0.7</v>
      </c>
      <c r="J375">
        <f t="shared" si="60"/>
        <v>-0.26029962546816476</v>
      </c>
      <c r="K375">
        <f t="shared" si="65"/>
        <v>0.68540951125680105</v>
      </c>
      <c r="L375">
        <f t="shared" si="61"/>
        <v>0</v>
      </c>
      <c r="M375">
        <f t="shared" si="62"/>
        <v>0.7</v>
      </c>
      <c r="N375">
        <f t="shared" si="63"/>
        <v>1</v>
      </c>
      <c r="O375">
        <f t="shared" si="64"/>
        <v>0</v>
      </c>
      <c r="P375">
        <f>IFERROR(LN('Дивиденды по годам'!I375),"")</f>
        <v>27.01788879597138</v>
      </c>
      <c r="Q375">
        <f>IFERROR('Дивиденды по годам'!G375/'Дивиденды по годам'!I375, "")</f>
        <v>0.60611318739989328</v>
      </c>
      <c r="R375">
        <f>IFERROR(IF(AND('Дивиденды по годам'!N375&lt;&gt;"",'Дивиденды по годам'!U375&lt;&gt;"",'Дивиденды по годам'!U375&lt;&gt;0),'Дивиденды по годам'!N375/'Дивиденды по годам'!U375-1,""),"")</f>
        <v>-5.5362041482073687E-2</v>
      </c>
      <c r="S375">
        <f>IFERROR(IF(AND('Дивиденды по годам'!L375&lt;&gt;"",'Дивиденды по годам'!I375&lt;&gt;"",'Дивиденды по годам'!J375&lt;&gt;"",'Дивиденды по годам'!K375&lt;&gt;"",('Дивиденды по годам'!I375-'Дивиденды по годам'!J375-'Дивиденды по годам'!K375)&lt;&gt;0),'Дивиденды по годам'!L375/('Дивиденды по годам'!I375-'Дивиденды по годам'!J375-'Дивиденды по годам'!K375),""),"")</f>
        <v>2.0695500978048256</v>
      </c>
      <c r="T375">
        <f>IFERROR(IF(AND('Дивиденды по годам'!Q375&lt;&gt;"",'Дивиденды по годам'!I375&lt;&gt;"",'Дивиденды по годам'!V375&lt;&gt;"",('Дивиденды по годам'!I375+'Дивиденды по годам'!V375)&lt;&gt;0),'Дивиденды по годам'!Q375/(('Дивиденды по годам'!I375+'Дивиденды по годам'!V375)/2),""),"")</f>
        <v>8.1050813710317193E-2</v>
      </c>
      <c r="U375">
        <f>IFERROR(IF(AND('Дивиденды по годам'!J375&lt;&gt;"",'Дивиденды по годам'!K375&lt;&gt;"",'Дивиденды по годам'!M375&lt;&gt;"",'Дивиденды по годам'!M375&lt;&gt;0),('Дивиденды по годам'!J375+'Дивиденды по годам'!K375)/'Дивиденды по годам'!M375,""),"")</f>
        <v>0.62834166485546628</v>
      </c>
      <c r="V375">
        <f>IFERROR(IF(AND('Дивиденды по годам'!J375&lt;&gt;"",'Дивиденды по годам'!K375&lt;&gt;"",'Дивиденды по годам'!M375&lt;&gt;"",'Дивиденды по годам'!I375&lt;&gt;0),('Дивиденды по годам'!J375+'Дивиденды по годам'!K375)/'Дивиденды по годам'!I375,""),"")</f>
        <v>0.38587827015483184</v>
      </c>
      <c r="W375">
        <f>IFERROR('Дивиденды по годам'!I375,"")</f>
        <v>541651583046.69019</v>
      </c>
      <c r="X375" cm="1">
        <f t="array" ref="X375">IFERROR(AVERAGE(_xlfn._xlws.FILTER(P$2:P$1073,($C$2:$C$1073=$C375)*($E$2:$E$1073=$E375)*(ROW(P$2:P$1073)&lt;&gt;ROW(P375))*(P$2:P$1073&lt;&gt;""))),"")</f>
        <v>26.798752132825786</v>
      </c>
      <c r="Y375" cm="1">
        <f t="array" ref="Y375">IFERROR(AVERAGE(_xlfn._xlws.FILTER(Q$2:Q$1073,($C$2:$C$1073=$C375)*($E$2:$E$1073=$E375)*(ROW(Q$2:Q$1073)&lt;&gt;ROW(Q375))*(Q$2:Q$1073&lt;&gt;""))),"")</f>
        <v>0.49611626091297978</v>
      </c>
      <c r="Z375" cm="1">
        <f t="array" ref="Z375">IFERROR(AVERAGE(_xlfn._xlws.FILTER(R$2:R$1073,($C$2:$C$1073=$C375)*($E$2:$E$1073=$E375)*(ROW(R$2:R$1073)&lt;&gt;ROW(R375))*(R$2:R$1073&lt;&gt;""))),"")</f>
        <v>3.5487672588541262E-2</v>
      </c>
      <c r="AA375" cm="1">
        <f t="array" ref="AA375">IFERROR(AVERAGE(_xlfn._xlws.FILTER(S$2:S$1073,($C$2:$C$1073=$C375)*($E$2:$E$1073=$E375)*(ROW(S$2:S$1073)&lt;&gt;ROW(S375))*(S$2:S$1073&lt;&gt;""))),"")</f>
        <v>0.93814526976502677</v>
      </c>
      <c r="AB375" cm="1">
        <f t="array" ref="AB375">IFERROR(AVERAGE(_xlfn._xlws.FILTER(T$2:T$1073,($C$2:$C$1073=$C375)*($E$2:$E$1073=$E375)*(ROW(T$2:T$1073)&lt;&gt;ROW(T375))*(T$2:T$1073&lt;&gt;""))),"")</f>
        <v>9.5623610135767839E-2</v>
      </c>
      <c r="AC375" cm="1">
        <f t="array" ref="AC375">IFERROR(AVERAGE(_xlfn._xlws.FILTER(U$2:U$1073,($C$2:$C$1073=$C375)*($E$2:$E$1073=$E375)*(ROW(U$2:U$1073)&lt;&gt;ROW(U375))*(U$2:U$1073&lt;&gt;""))),"")</f>
        <v>1.7619872906055651</v>
      </c>
      <c r="AD375" cm="1">
        <f t="array" ref="AD375">IFERROR(AVERAGE(_xlfn._xlws.FILTER(V$2:V$1073,($C$2:$C$1073=$C375)*($E$2:$E$1073=$E375)*(ROW(V$2:V$1073)&lt;&gt;ROW(V375))*(V$2:V$1073&lt;&gt;""))),"")</f>
        <v>0.80202649804297033</v>
      </c>
      <c r="AE375">
        <f>IF('Дивиденды по годам'!M375&lt;0,1,0)</f>
        <v>0</v>
      </c>
    </row>
    <row r="376" spans="1:31" x14ac:dyDescent="0.2">
      <c r="A376" s="7" t="s">
        <v>2224</v>
      </c>
      <c r="B376" t="str">
        <f t="shared" si="55"/>
        <v>MAGN IV кв. 2019</v>
      </c>
      <c r="C376">
        <v>2019</v>
      </c>
      <c r="D376">
        <f>SUMIFS(Дивиденды!$C:$C,Дивиденды!$A:$A,A376,Дивиденды!$I:$I,C376)</f>
        <v>5.34</v>
      </c>
      <c r="E376">
        <v>3</v>
      </c>
      <c r="F376">
        <f t="shared" si="56"/>
        <v>5.34</v>
      </c>
      <c r="G376">
        <f t="shared" si="57"/>
        <v>19.057000000000002</v>
      </c>
      <c r="H376">
        <f t="shared" si="58"/>
        <v>1</v>
      </c>
      <c r="I376">
        <f t="shared" si="59"/>
        <v>0.7</v>
      </c>
      <c r="J376">
        <f t="shared" si="60"/>
        <v>-9.4915254237288207E-2</v>
      </c>
      <c r="K376">
        <f t="shared" si="65"/>
        <v>0.26109812108392993</v>
      </c>
      <c r="L376">
        <f t="shared" si="61"/>
        <v>0</v>
      </c>
      <c r="M376">
        <f t="shared" si="62"/>
        <v>0.4</v>
      </c>
      <c r="N376">
        <f t="shared" si="63"/>
        <v>1</v>
      </c>
      <c r="O376">
        <f t="shared" si="64"/>
        <v>0.3</v>
      </c>
      <c r="P376">
        <f>IFERROR(LN('Дивиденды по годам'!I376),"")</f>
        <v>27.007184401317094</v>
      </c>
      <c r="Q376">
        <f>IFERROR('Дивиденды по годам'!G376/'Дивиденды по годам'!I376, "")</f>
        <v>0.62530178657653301</v>
      </c>
      <c r="R376">
        <f>IFERROR(IF(AND('Дивиденды по годам'!N376&lt;&gt;"",'Дивиденды по годам'!U376&lt;&gt;"",'Дивиденды по годам'!U376&lt;&gt;0),'Дивиденды по годам'!N376/'Дивиденды по годам'!U376-1,""),"")</f>
        <v>-5.222463467422167E-2</v>
      </c>
      <c r="S376">
        <f>IFERROR(IF(AND('Дивиденды по годам'!L376&lt;&gt;"",'Дивиденды по годам'!I376&lt;&gt;"",'Дивиденды по годам'!J376&lt;&gt;"",'Дивиденды по годам'!K376&lt;&gt;"",('Дивиденды по годам'!I376-'Дивиденды по годам'!J376-'Дивиденды по годам'!K376)&lt;&gt;0),'Дивиденды по годам'!L376/('Дивиденды по годам'!I376-'Дивиденды по годам'!J376-'Дивиденды по годам'!K376),""),"")</f>
        <v>1.7394455517303857</v>
      </c>
      <c r="T376">
        <f>IFERROR(IF(AND('Дивиденды по годам'!Q376&lt;&gt;"",'Дивиденды по годам'!I376&lt;&gt;"",'Дивиденды по годам'!V376&lt;&gt;"",('Дивиденды по годам'!I376+'Дивиденды по годам'!V376)&lt;&gt;0),'Дивиденды по годам'!Q376/(('Дивиденды по годам'!I376+'Дивиденды по годам'!V376)/2),""),"")</f>
        <v>0.11199576835220526</v>
      </c>
      <c r="U376">
        <f>IFERROR(IF(AND('Дивиденды по годам'!J376&lt;&gt;"",'Дивиденды по годам'!K376&lt;&gt;"",'Дивиденды по годам'!M376&lt;&gt;"",'Дивиденды по годам'!M376&lt;&gt;0),('Дивиденды по годам'!J376+'Дивиденды по годам'!K376)/'Дивиденды по годам'!M376,""),"")</f>
        <v>0.50099655734734549</v>
      </c>
      <c r="V376">
        <f>IFERROR(IF(AND('Дивиденды по годам'!J376&lt;&gt;"",'Дивиденды по годам'!K376&lt;&gt;"",'Дивиденды по годам'!M376&lt;&gt;"",'Дивиденды по годам'!I376&lt;&gt;0),('Дивиденды по годам'!J376+'Дивиденды по годам'!K376)/'Дивиденды по годам'!I376,""),"")</f>
        <v>0.33377595364558182</v>
      </c>
      <c r="W376">
        <f>IFERROR('Дивиденды по годам'!I376,"")</f>
        <v>535884452624.99963</v>
      </c>
      <c r="X376" cm="1">
        <f t="array" ref="X376">IFERROR(AVERAGE(_xlfn._xlws.FILTER(P$2:P$1073,($C$2:$C$1073=$C376)*($E$2:$E$1073=$E376)*(ROW(P$2:P$1073)&lt;&gt;ROW(P376))*(P$2:P$1073&lt;&gt;""))),"")</f>
        <v>26.684910664824958</v>
      </c>
      <c r="Y376" cm="1">
        <f t="array" ref="Y376">IFERROR(AVERAGE(_xlfn._xlws.FILTER(Q$2:Q$1073,($C$2:$C$1073=$C376)*($E$2:$E$1073=$E376)*(ROW(Q$2:Q$1073)&lt;&gt;ROW(Q376))*(Q$2:Q$1073&lt;&gt;""))),"")</f>
        <v>0.48825895853669604</v>
      </c>
      <c r="Z376" cm="1">
        <f t="array" ref="Z376">IFERROR(AVERAGE(_xlfn._xlws.FILTER(R$2:R$1073,($C$2:$C$1073=$C376)*($E$2:$E$1073=$E376)*(ROW(R$2:R$1073)&lt;&gt;ROW(R376))*(R$2:R$1073&lt;&gt;""))),"")</f>
        <v>4.7981027734601098E-2</v>
      </c>
      <c r="AA376" cm="1">
        <f t="array" ref="AA376">IFERROR(AVERAGE(_xlfn._xlws.FILTER(S$2:S$1073,($C$2:$C$1073=$C376)*($E$2:$E$1073=$E376)*(ROW(S$2:S$1073)&lt;&gt;ROW(S376))*(S$2:S$1073&lt;&gt;""))),"")</f>
        <v>0.82505426410985139</v>
      </c>
      <c r="AB376" cm="1">
        <f t="array" ref="AB376">IFERROR(AVERAGE(_xlfn._xlws.FILTER(T$2:T$1073,($C$2:$C$1073=$C376)*($E$2:$E$1073=$E376)*(ROW(T$2:T$1073)&lt;&gt;ROW(T376))*(T$2:T$1073&lt;&gt;""))),"")</f>
        <v>0.14060214801920828</v>
      </c>
      <c r="AC376" cm="1">
        <f t="array" ref="AC376">IFERROR(AVERAGE(_xlfn._xlws.FILTER(U$2:U$1073,($C$2:$C$1073=$C376)*($E$2:$E$1073=$E376)*(ROW(U$2:U$1073)&lt;&gt;ROW(U376))*(U$2:U$1073&lt;&gt;""))),"")</f>
        <v>1.6648056772766975</v>
      </c>
      <c r="AD376" cm="1">
        <f t="array" ref="AD376">IFERROR(AVERAGE(_xlfn._xlws.FILTER(V$2:V$1073,($C$2:$C$1073=$C376)*($E$2:$E$1073=$E376)*(ROW(V$2:V$1073)&lt;&gt;ROW(V376))*(V$2:V$1073&lt;&gt;""))),"")</f>
        <v>0.70750935703812312</v>
      </c>
      <c r="AE376">
        <f>IF('Дивиденды по годам'!M376&lt;0,1,0)</f>
        <v>0</v>
      </c>
    </row>
    <row r="377" spans="1:31" x14ac:dyDescent="0.2">
      <c r="A377" s="7" t="s">
        <v>2224</v>
      </c>
      <c r="B377" t="str">
        <f t="shared" si="55"/>
        <v>MAGN IV кв. 2018</v>
      </c>
      <c r="C377">
        <v>2018</v>
      </c>
      <c r="D377">
        <f>SUMIFS(Дивиденды!$C:$C,Дивиденды!$A:$A,A377,Дивиденды!$I:$I,C377)</f>
        <v>5.9</v>
      </c>
      <c r="E377">
        <v>3</v>
      </c>
      <c r="F377">
        <f t="shared" si="56"/>
        <v>5.9</v>
      </c>
      <c r="G377">
        <f t="shared" si="57"/>
        <v>22.104999999999997</v>
      </c>
      <c r="H377">
        <f t="shared" si="58"/>
        <v>1</v>
      </c>
      <c r="I377">
        <f t="shared" si="59"/>
        <v>0.4</v>
      </c>
      <c r="J377">
        <f t="shared" si="60"/>
        <v>1.1146953405017923</v>
      </c>
      <c r="K377">
        <f t="shared" si="65"/>
        <v>9.3873341858760721E-3</v>
      </c>
      <c r="L377">
        <f t="shared" si="61"/>
        <v>1</v>
      </c>
      <c r="M377">
        <f t="shared" si="62"/>
        <v>0.4</v>
      </c>
      <c r="N377">
        <f t="shared" si="63"/>
        <v>0</v>
      </c>
      <c r="O377">
        <f t="shared" si="64"/>
        <v>0.2</v>
      </c>
      <c r="P377">
        <f>IFERROR(LN('Дивиденды по годам'!I377),"")</f>
        <v>26.83909595912484</v>
      </c>
      <c r="Q377">
        <f>IFERROR('Дивиденды по годам'!G377/'Дивиденды по годам'!I377, "")</f>
        <v>0.60652324774462174</v>
      </c>
      <c r="R377">
        <f>IFERROR(IF(AND('Дивиденды по годам'!N377&lt;&gt;"",'Дивиденды по годам'!U377&lt;&gt;"",'Дивиденды по годам'!U377&lt;&gt;0),'Дивиденды по годам'!N377/'Дивиденды по годам'!U377-1,""),"")</f>
        <v>0.17357518485362577</v>
      </c>
      <c r="S377">
        <f>IFERROR(IF(AND('Дивиденды по годам'!L377&lt;&gt;"",'Дивиденды по годам'!I377&lt;&gt;"",'Дивиденды по годам'!J377&lt;&gt;"",'Дивиденды по годам'!K377&lt;&gt;"",('Дивиденды по годам'!I377-'Дивиденды по годам'!J377-'Дивиденды по годам'!K377)&lt;&gt;0),'Дивиденды по годам'!L377/('Дивиденды по годам'!I377-'Дивиденды по годам'!J377-'Дивиденды по годам'!K377),""),"")</f>
        <v>1.9289279297264923</v>
      </c>
      <c r="T377">
        <f>IFERROR(IF(AND('Дивиденды по годам'!Q377&lt;&gt;"",'Дивиденды по годам'!I377&lt;&gt;"",'Дивиденды по годам'!V377&lt;&gt;"",('Дивиденды по годам'!I377+'Дивиденды по годам'!V377)&lt;&gt;0),'Дивиденды по годам'!Q377/(('Дивиденды по годам'!I377+'Дивиденды по годам'!V377)/2),""),"")</f>
        <v>0.18097208339630941</v>
      </c>
      <c r="U377">
        <f>IFERROR(IF(AND('Дивиденды по годам'!J377&lt;&gt;"",'Дивиденды по годам'!K377&lt;&gt;"",'Дивиденды по годам'!M377&lt;&gt;"",'Дивиденды по годам'!M377&lt;&gt;0),('Дивиденды по годам'!J377+'Дивиденды по годам'!K377)/'Дивиденды по годам'!M377,""),"")</f>
        <v>0.43841086045118793</v>
      </c>
      <c r="V377">
        <f>IFERROR(IF(AND('Дивиденды по годам'!J377&lt;&gt;"",'Дивиденды по годам'!K377&lt;&gt;"",'Дивиденды по годам'!M377&lt;&gt;"",'Дивиденды по годам'!I377&lt;&gt;0),('Дивиденды по годам'!J377+'Дивиденды по годам'!K377)/'Дивиденды по годам'!I377,""),"")</f>
        <v>0.30478834142956285</v>
      </c>
      <c r="W377">
        <f>IFERROR('Дивиденды по годам'!I377,"")</f>
        <v>452971913373.75409</v>
      </c>
      <c r="X377" cm="1">
        <f t="array" ref="X377">IFERROR(AVERAGE(_xlfn._xlws.FILTER(P$2:P$1073,($C$2:$C$1073=$C377)*($E$2:$E$1073=$E377)*(ROW(P$2:P$1073)&lt;&gt;ROW(P377))*(P$2:P$1073&lt;&gt;""))),"")</f>
        <v>26.543689457664925</v>
      </c>
      <c r="Y377" cm="1">
        <f t="array" ref="Y377">IFERROR(AVERAGE(_xlfn._xlws.FILTER(Q$2:Q$1073,($C$2:$C$1073=$C377)*($E$2:$E$1073=$E377)*(ROW(Q$2:Q$1073)&lt;&gt;ROW(Q377))*(Q$2:Q$1073&lt;&gt;""))),"")</f>
        <v>0.50931900391199525</v>
      </c>
      <c r="Z377" cm="1">
        <f t="array" ref="Z377">IFERROR(AVERAGE(_xlfn._xlws.FILTER(R$2:R$1073,($C$2:$C$1073=$C377)*($E$2:$E$1073=$E377)*(ROW(R$2:R$1073)&lt;&gt;ROW(R377))*(R$2:R$1073&lt;&gt;""))),"")</f>
        <v>0.22193844884878181</v>
      </c>
      <c r="AA377" cm="1">
        <f t="array" ref="AA377">IFERROR(AVERAGE(_xlfn._xlws.FILTER(S$2:S$1073,($C$2:$C$1073=$C377)*($E$2:$E$1073=$E377)*(ROW(S$2:S$1073)&lt;&gt;ROW(S377))*(S$2:S$1073&lt;&gt;""))),"")</f>
        <v>0.82291426366161091</v>
      </c>
      <c r="AB377" cm="1">
        <f t="array" ref="AB377">IFERROR(AVERAGE(_xlfn._xlws.FILTER(T$2:T$1073,($C$2:$C$1073=$C377)*($E$2:$E$1073=$E377)*(ROW(T$2:T$1073)&lt;&gt;ROW(T377))*(T$2:T$1073&lt;&gt;""))),"")</f>
        <v>0.15266563135618333</v>
      </c>
      <c r="AC377" cm="1">
        <f t="array" ref="AC377">IFERROR(AVERAGE(_xlfn._xlws.FILTER(U$2:U$1073,($C$2:$C$1073=$C377)*($E$2:$E$1073=$E377)*(ROW(U$2:U$1073)&lt;&gt;ROW(U377))*(U$2:U$1073&lt;&gt;""))),"")</f>
        <v>2.5282344242867385</v>
      </c>
      <c r="AD377" cm="1">
        <f t="array" ref="AD377">IFERROR(AVERAGE(_xlfn._xlws.FILTER(V$2:V$1073,($C$2:$C$1073=$C377)*($E$2:$E$1073=$E377)*(ROW(V$2:V$1073)&lt;&gt;ROW(V377))*(V$2:V$1073&lt;&gt;""))),"")</f>
        <v>0.7268391133380725</v>
      </c>
      <c r="AE377">
        <f>IF('Дивиденды по годам'!M377&lt;0,1,0)</f>
        <v>0</v>
      </c>
    </row>
    <row r="378" spans="1:31" x14ac:dyDescent="0.2">
      <c r="A378" s="7" t="s">
        <v>2224</v>
      </c>
      <c r="B378" t="str">
        <f t="shared" si="55"/>
        <v>MAGN IV кв. 2017</v>
      </c>
      <c r="C378">
        <v>2017</v>
      </c>
      <c r="D378">
        <f>SUMIFS(Дивиденды!$C:$C,Дивиденды!$A:$A,A378,Дивиденды!$I:$I,C378)</f>
        <v>2.79</v>
      </c>
      <c r="E378">
        <v>3</v>
      </c>
      <c r="F378">
        <f t="shared" si="56"/>
        <v>2.79</v>
      </c>
      <c r="G378">
        <f t="shared" si="57"/>
        <v>15.789876314825079</v>
      </c>
      <c r="H378">
        <f t="shared" si="58"/>
        <v>1</v>
      </c>
      <c r="I378">
        <f t="shared" si="59"/>
        <v>0.6</v>
      </c>
      <c r="J378">
        <f t="shared" si="60"/>
        <v>0.42346938775510207</v>
      </c>
      <c r="K378">
        <f t="shared" si="65"/>
        <v>7.4746086267095044E-2</v>
      </c>
      <c r="L378">
        <f t="shared" si="61"/>
        <v>1</v>
      </c>
      <c r="M378">
        <f t="shared" si="62"/>
        <v>0.4</v>
      </c>
      <c r="N378">
        <f t="shared" si="63"/>
        <v>0</v>
      </c>
      <c r="O378">
        <f t="shared" si="64"/>
        <v>0.2</v>
      </c>
      <c r="P378">
        <f>IFERROR(LN('Дивиденды по годам'!I378),"")</f>
        <v>26.858984449345737</v>
      </c>
      <c r="Q378">
        <f>IFERROR('Дивиденды по годам'!G378/'Дивиденды по годам'!I378, "")</f>
        <v>0.61509338717819273</v>
      </c>
      <c r="R378">
        <f>IFERROR(IF(AND('Дивиденды по годам'!N378&lt;&gt;"",'Дивиденды по годам'!U378&lt;&gt;"",'Дивиденды по годам'!U378&lt;&gt;0),'Дивиденды по годам'!N378/'Дивиденды по годам'!U378-1,""),"")</f>
        <v>0.16558937580284394</v>
      </c>
      <c r="S378">
        <f>IFERROR(IF(AND('Дивиденды по годам'!L378&lt;&gt;"",'Дивиденды по годам'!I378&lt;&gt;"",'Дивиденды по годам'!J378&lt;&gt;"",'Дивиденды по годам'!K378&lt;&gt;"",('Дивиденды по годам'!I378-'Дивиденды по годам'!J378-'Дивиденды по годам'!K378)&lt;&gt;0),'Дивиденды по годам'!L378/('Дивиденды по годам'!I378-'Дивиденды по годам'!J378-'Дивиденды по годам'!K378),""),"")</f>
        <v>1.6843732945242857</v>
      </c>
      <c r="T378">
        <f>IFERROR(IF(AND('Дивиденды по годам'!Q378&lt;&gt;"",'Дивиденды по годам'!I378&lt;&gt;"",'Дивиденды по годам'!V378&lt;&gt;"",('Дивиденды по годам'!I378+'Дивиденды по годам'!V378)&lt;&gt;0),'Дивиденды по годам'!Q378/(('Дивиденды по годам'!I378+'Дивиденды по годам'!V378)/2),""),"")</f>
        <v>0.15442012409871816</v>
      </c>
      <c r="U378">
        <f>IFERROR(IF(AND('Дивиденды по годам'!J378&lt;&gt;"",'Дивиденды по годам'!K378&lt;&gt;"",'Дивиденды по годам'!M378&lt;&gt;"",'Дивиденды по годам'!M378&lt;&gt;0),('Дивиденды по годам'!J378+'Дивиденды по годам'!K378)/'Дивиденды по годам'!M378,""),"")</f>
        <v>0.44151355284700744</v>
      </c>
      <c r="V378">
        <f>IFERROR(IF(AND('Дивиденды по годам'!J378&lt;&gt;"",'Дивиденды по годам'!K378&lt;&gt;"",'Дивиденды по годам'!M378&lt;&gt;"",'Дивиденды по годам'!I378&lt;&gt;0),('Дивиденды по годам'!J378+'Дивиденды по годам'!K378)/'Дивиденды по годам'!I378,""),"")</f>
        <v>0.30628470469459868</v>
      </c>
      <c r="W378">
        <f>IFERROR('Дивиденды по годам'!I378,"")</f>
        <v>462071024707.59058</v>
      </c>
      <c r="X378" cm="1">
        <f t="array" ref="X378">IFERROR(AVERAGE(_xlfn._xlws.FILTER(P$2:P$1073,($C$2:$C$1073=$C378)*($E$2:$E$1073=$E378)*(ROW(P$2:P$1073)&lt;&gt;ROW(P378))*(P$2:P$1073&lt;&gt;""))),"")</f>
        <v>26.512445907825303</v>
      </c>
      <c r="Y378" cm="1">
        <f t="array" ref="Y378">IFERROR(AVERAGE(_xlfn._xlws.FILTER(Q$2:Q$1073,($C$2:$C$1073=$C378)*($E$2:$E$1073=$E378)*(ROW(Q$2:Q$1073)&lt;&gt;ROW(Q378))*(Q$2:Q$1073&lt;&gt;""))),"")</f>
        <v>0.52796765507663457</v>
      </c>
      <c r="Z378" cm="1">
        <f t="array" ref="Z378">IFERROR(AVERAGE(_xlfn._xlws.FILTER(R$2:R$1073,($C$2:$C$1073=$C378)*($E$2:$E$1073=$E378)*(ROW(R$2:R$1073)&lt;&gt;ROW(R378))*(R$2:R$1073&lt;&gt;""))),"")</f>
        <v>9.3711744817002368E-2</v>
      </c>
      <c r="AA378" cm="1">
        <f t="array" ref="AA378">IFERROR(AVERAGE(_xlfn._xlws.FILTER(S$2:S$1073,($C$2:$C$1073=$C378)*($E$2:$E$1073=$E378)*(ROW(S$2:S$1073)&lt;&gt;ROW(S378))*(S$2:S$1073&lt;&gt;""))),"")</f>
        <v>0.99518727922244632</v>
      </c>
      <c r="AB378" cm="1">
        <f t="array" ref="AB378">IFERROR(AVERAGE(_xlfn._xlws.FILTER(T$2:T$1073,($C$2:$C$1073=$C378)*($E$2:$E$1073=$E378)*(ROW(T$2:T$1073)&lt;&gt;ROW(T378))*(T$2:T$1073&lt;&gt;""))),"")</f>
        <v>0.11828067080524947</v>
      </c>
      <c r="AC378" cm="1">
        <f t="array" ref="AC378">IFERROR(AVERAGE(_xlfn._xlws.FILTER(U$2:U$1073,($C$2:$C$1073=$C378)*($E$2:$E$1073=$E378)*(ROW(U$2:U$1073)&lt;&gt;ROW(U378))*(U$2:U$1073&lt;&gt;""))),"")</f>
        <v>2.1319087279205018</v>
      </c>
      <c r="AD378" cm="1">
        <f t="array" ref="AD378">IFERROR(AVERAGE(_xlfn._xlws.FILTER(V$2:V$1073,($C$2:$C$1073=$C378)*($E$2:$E$1073=$E378)*(ROW(V$2:V$1073)&lt;&gt;ROW(V378))*(V$2:V$1073&lt;&gt;""))),"")</f>
        <v>0.73129391371066432</v>
      </c>
      <c r="AE378">
        <f>IF('Дивиденды по годам'!M378&lt;0,1,0)</f>
        <v>0</v>
      </c>
    </row>
    <row r="379" spans="1:31" x14ac:dyDescent="0.2">
      <c r="A379" s="7" t="s">
        <v>2224</v>
      </c>
      <c r="B379" t="str">
        <f t="shared" si="55"/>
        <v>MAGN IV кв. 2016</v>
      </c>
      <c r="C379">
        <v>2016</v>
      </c>
      <c r="D379">
        <f>SUMIFS(Дивиденды!$C:$C,Дивиденды!$A:$A,A379,Дивиденды!$I:$I,C379)</f>
        <v>1.96</v>
      </c>
      <c r="E379">
        <v>3</v>
      </c>
      <c r="F379">
        <f t="shared" si="56"/>
        <v>1.96</v>
      </c>
      <c r="G379">
        <f t="shared" si="57"/>
        <v>11.899639712606383</v>
      </c>
      <c r="H379">
        <f t="shared" si="58"/>
        <v>1</v>
      </c>
      <c r="I379">
        <f t="shared" si="59"/>
        <v>0.6</v>
      </c>
      <c r="J379">
        <f t="shared" si="60"/>
        <v>1.2022471910112362</v>
      </c>
      <c r="K379">
        <f t="shared" si="65"/>
        <v>0.56745643693870762</v>
      </c>
      <c r="L379">
        <f t="shared" si="61"/>
        <v>1</v>
      </c>
      <c r="M379">
        <f t="shared" si="62"/>
        <v>0.6</v>
      </c>
      <c r="N379">
        <f t="shared" si="63"/>
        <v>0</v>
      </c>
      <c r="O379">
        <f t="shared" si="64"/>
        <v>0</v>
      </c>
      <c r="P379">
        <f>IFERROR(LN('Дивиденды по годам'!I379),"")</f>
        <v>26.800725650053192</v>
      </c>
      <c r="Q379">
        <f>IFERROR('Дивиденды по годам'!G379/'Дивиденды по годам'!I379, "")</f>
        <v>0.66835871404399327</v>
      </c>
      <c r="R379">
        <f>IFERROR(IF(AND('Дивиденды по годам'!N379&lt;&gt;"",'Дивиденды по годам'!U379&lt;&gt;"",'Дивиденды по годам'!U379&lt;&gt;0),'Дивиденды по годам'!N379/'Дивиденды по годам'!U379-1,""),"")</f>
        <v>5.5576571899679905E-2</v>
      </c>
      <c r="S379">
        <f>IFERROR(IF(AND('Дивиденды по годам'!L379&lt;&gt;"",'Дивиденды по годам'!I379&lt;&gt;"",'Дивиденды по годам'!J379&lt;&gt;"",'Дивиденды по годам'!K379&lt;&gt;"",('Дивиденды по годам'!I379-'Дивиденды по годам'!J379-'Дивиденды по годам'!K379)&lt;&gt;0),'Дивиденды по годам'!L379/('Дивиденды по годам'!I379-'Дивиденды по годам'!J379-'Дивиденды по годам'!K379),""),"")</f>
        <v>1.8473784759074505</v>
      </c>
      <c r="T379">
        <f>IFERROR(IF(AND('Дивиденды по годам'!Q379&lt;&gt;"",'Дивиденды по годам'!I379&lt;&gt;"",'Дивиденды по годам'!V379&lt;&gt;"",('Дивиденды по годам'!I379+'Дивиденды по годам'!V379)&lt;&gt;0),'Дивиденды по годам'!Q379/(('Дивиденды по годам'!I379+'Дивиденды по годам'!V379)/2),""),"")</f>
        <v>0.18325694544278229</v>
      </c>
      <c r="U379">
        <f>IFERROR(IF(AND('Дивиденды по годам'!J379&lt;&gt;"",'Дивиденды по годам'!K379&lt;&gt;"",'Дивиденды по годам'!M379&lt;&gt;"",'Дивиденды по годам'!M379&lt;&gt;0),('Дивиденды по годам'!J379+'Дивиденды по годам'!K379)/'Дивиденды по годам'!M379,""),"")</f>
        <v>0.37996179155168752</v>
      </c>
      <c r="V379">
        <f>IFERROR(IF(AND('Дивиденды по годам'!J379&lt;&gt;"",'Дивиденды по годам'!K379&lt;&gt;"",'Дивиденды по годам'!M379&lt;&gt;"",'Дивиденды по годам'!I379&lt;&gt;0),('Дивиденды по годам'!J379+'Дивиденды по годам'!K379)/'Дивиденды по годам'!I379,""),"")</f>
        <v>0.2753422550376865</v>
      </c>
      <c r="W379">
        <f>IFERROR('Дивиденды по годам'!I379,"")</f>
        <v>435920467669.14856</v>
      </c>
      <c r="X379" cm="1">
        <f t="array" ref="X379">IFERROR(AVERAGE(_xlfn._xlws.FILTER(P$2:P$1073,($C$2:$C$1073=$C379)*($E$2:$E$1073=$E379)*(ROW(P$2:P$1073)&lt;&gt;ROW(P379))*(P$2:P$1073&lt;&gt;""))),"")</f>
        <v>26.518966288625581</v>
      </c>
      <c r="Y379" cm="1">
        <f t="array" ref="Y379">IFERROR(AVERAGE(_xlfn._xlws.FILTER(Q$2:Q$1073,($C$2:$C$1073=$C379)*($E$2:$E$1073=$E379)*(ROW(Q$2:Q$1073)&lt;&gt;ROW(Q379))*(Q$2:Q$1073&lt;&gt;""))),"")</f>
        <v>0.49375823244839012</v>
      </c>
      <c r="Z379" cm="1">
        <f t="array" ref="Z379">IFERROR(AVERAGE(_xlfn._xlws.FILTER(R$2:R$1073,($C$2:$C$1073=$C379)*($E$2:$E$1073=$E379)*(ROW(R$2:R$1073)&lt;&gt;ROW(R379))*(R$2:R$1073&lt;&gt;""))),"")</f>
        <v>0.14261213980311865</v>
      </c>
      <c r="AA379" cm="1">
        <f t="array" ref="AA379">IFERROR(AVERAGE(_xlfn._xlws.FILTER(S$2:S$1073,($C$2:$C$1073=$C379)*($E$2:$E$1073=$E379)*(ROW(S$2:S$1073)&lt;&gt;ROW(S379))*(S$2:S$1073&lt;&gt;""))),"")</f>
        <v>0.14183461130024447</v>
      </c>
      <c r="AB379" cm="1">
        <f t="array" ref="AB379">IFERROR(AVERAGE(_xlfn._xlws.FILTER(T$2:T$1073,($C$2:$C$1073=$C379)*($E$2:$E$1073=$E379)*(ROW(T$2:T$1073)&lt;&gt;ROW(T379))*(T$2:T$1073&lt;&gt;""))),"")</f>
        <v>0.15973362312538533</v>
      </c>
      <c r="AC379" cm="1">
        <f t="array" ref="AC379">IFERROR(AVERAGE(_xlfn._xlws.FILTER(U$2:U$1073,($C$2:$C$1073=$C379)*($E$2:$E$1073=$E379)*(ROW(U$2:U$1073)&lt;&gt;ROW(U379))*(U$2:U$1073&lt;&gt;""))),"")</f>
        <v>0.13430085852056886</v>
      </c>
      <c r="AD379" cm="1">
        <f t="array" ref="AD379">IFERROR(AVERAGE(_xlfn._xlws.FILTER(V$2:V$1073,($C$2:$C$1073=$C379)*($E$2:$E$1073=$E379)*(ROW(V$2:V$1073)&lt;&gt;ROW(V379))*(V$2:V$1073&lt;&gt;""))),"")</f>
        <v>0.79416483723522757</v>
      </c>
      <c r="AE379">
        <f>IF('Дивиденды по годам'!M379&lt;0,1,0)</f>
        <v>0</v>
      </c>
    </row>
    <row r="380" spans="1:31" x14ac:dyDescent="0.2">
      <c r="A380" s="7" t="s">
        <v>2224</v>
      </c>
      <c r="B380" t="str">
        <f t="shared" si="55"/>
        <v>MAGN IV кв. 2015</v>
      </c>
      <c r="C380">
        <v>2015</v>
      </c>
      <c r="D380">
        <f>SUMIFS(Дивиденды!$C:$C,Дивиденды!$A:$A,A380,Дивиденды!$I:$I,C380)</f>
        <v>0.8899999999999999</v>
      </c>
      <c r="E380">
        <v>3</v>
      </c>
      <c r="F380">
        <f t="shared" si="56"/>
        <v>0.8899999999999999</v>
      </c>
      <c r="G380">
        <f t="shared" si="57"/>
        <v>7.1350627742857142</v>
      </c>
      <c r="H380">
        <f t="shared" si="58"/>
        <v>1</v>
      </c>
      <c r="I380">
        <f t="shared" si="59"/>
        <v>0.5</v>
      </c>
      <c r="J380">
        <f t="shared" si="60"/>
        <v>0.53448275862068961</v>
      </c>
      <c r="K380">
        <f t="shared" si="65"/>
        <v>0.82743889472848409</v>
      </c>
      <c r="L380">
        <f t="shared" si="61"/>
        <v>1</v>
      </c>
      <c r="M380">
        <f t="shared" si="62"/>
        <v>0.4</v>
      </c>
      <c r="N380">
        <f t="shared" si="63"/>
        <v>0</v>
      </c>
      <c r="O380">
        <f t="shared" si="64"/>
        <v>0.1</v>
      </c>
      <c r="P380">
        <f>IFERROR(LN('Дивиденды по годам'!I380),"")</f>
        <v>26.655822046317311</v>
      </c>
      <c r="Q380">
        <f>IFERROR('Дивиденды по годам'!G380/'Дивиденды по годам'!I380, "")</f>
        <v>0.61133668994640245</v>
      </c>
      <c r="R380">
        <f>IFERROR(IF(AND('Дивиденды по годам'!N380&lt;&gt;"",'Дивиденды по годам'!U380&lt;&gt;"",'Дивиденды по годам'!U380&lt;&gt;0),'Дивиденды по годам'!N380/'Дивиденды по годам'!U380-1,""),"")</f>
        <v>0.16029562745591708</v>
      </c>
      <c r="S380">
        <f>IFERROR(IF(AND('Дивиденды по годам'!L380&lt;&gt;"",'Дивиденды по годам'!I380&lt;&gt;"",'Дивиденды по годам'!J380&lt;&gt;"",'Дивиденды по годам'!K380&lt;&gt;"",('Дивиденды по годам'!I380-'Дивиденды по годам'!J380-'Дивиденды по годам'!K380)&lt;&gt;0),'Дивиденды по годам'!L380/('Дивиденды по годам'!I380-'Дивиденды по годам'!J380-'Дивиденды по годам'!K380),""),"")</f>
        <v>2.3409638554216872</v>
      </c>
      <c r="T380">
        <f>IFERROR(IF(AND('Дивиденды по годам'!Q380&lt;&gt;"",'Дивиденды по годам'!I380&lt;&gt;"",'Дивиденды по годам'!V380&lt;&gt;"",('Дивиденды по годам'!I380+'Дивиденды по годам'!V380)&lt;&gt;0),'Дивиденды по годам'!Q380/(('Дивиденды по годам'!I380+'Дивиденды по годам'!V380)/2),""),"")</f>
        <v>7.5656705204798363E-2</v>
      </c>
      <c r="U380">
        <f>IFERROR(IF(AND('Дивиденды по годам'!J380&lt;&gt;"",'Дивиденды по годам'!K380&lt;&gt;"",'Дивиденды по годам'!M380&lt;&gt;"",'Дивиденды по годам'!M380&lt;&gt;0),('Дивиденды по годам'!J380+'Дивиденды по годам'!K380)/'Дивиденды по годам'!M380,""),"")</f>
        <v>0.85451807228915666</v>
      </c>
      <c r="V380">
        <f>IFERROR(IF(AND('Дивиденды по годам'!J380&lt;&gt;"",'Дивиденды по годам'!K380&lt;&gt;"",'Дивиденды по годам'!M380&lt;&gt;"",'Дивиденды по годам'!I380&lt;&gt;0),('Дивиденды по годам'!J380+'Дивиденды по годам'!K380)/'Дивиденды по годам'!I380,""),"")</f>
        <v>0.46077635211953877</v>
      </c>
      <c r="W380">
        <f>IFERROR('Дивиденды по годам'!I380,"")</f>
        <v>377117273501.29871</v>
      </c>
      <c r="X380" cm="1">
        <f t="array" ref="X380">IFERROR(AVERAGE(_xlfn._xlws.FILTER(P$2:P$1073,($C$2:$C$1073=$C380)*($E$2:$E$1073=$E380)*(ROW(P$2:P$1073)&lt;&gt;ROW(P380))*(P$2:P$1073&lt;&gt;""))),"")</f>
        <v>26.328180304995932</v>
      </c>
      <c r="Y380" cm="1">
        <f t="array" ref="Y380">IFERROR(AVERAGE(_xlfn._xlws.FILTER(Q$2:Q$1073,($C$2:$C$1073=$C380)*($E$2:$E$1073=$E380)*(ROW(Q$2:Q$1073)&lt;&gt;ROW(Q380))*(Q$2:Q$1073&lt;&gt;""))),"")</f>
        <v>0.48733417561660974</v>
      </c>
      <c r="Z380" cm="1">
        <f t="array" ref="Z380">IFERROR(AVERAGE(_xlfn._xlws.FILTER(R$2:R$1073,($C$2:$C$1073=$C380)*($E$2:$E$1073=$E380)*(ROW(R$2:R$1073)&lt;&gt;ROW(R380))*(R$2:R$1073&lt;&gt;""))),"")</f>
        <v>0.26342581782637198</v>
      </c>
      <c r="AA380" cm="1">
        <f t="array" ref="AA380">IFERROR(AVERAGE(_xlfn._xlws.FILTER(S$2:S$1073,($C$2:$C$1073=$C380)*($E$2:$E$1073=$E380)*(ROW(S$2:S$1073)&lt;&gt;ROW(S380))*(S$2:S$1073&lt;&gt;""))),"")</f>
        <v>0.81459750417538801</v>
      </c>
      <c r="AB380" cm="1">
        <f t="array" ref="AB380">IFERROR(AVERAGE(_xlfn._xlws.FILTER(T$2:T$1073,($C$2:$C$1073=$C380)*($E$2:$E$1073=$E380)*(ROW(T$2:T$1073)&lt;&gt;ROW(T380))*(T$2:T$1073&lt;&gt;""))),"")</f>
        <v>1.7448596763494868E-2</v>
      </c>
      <c r="AC380" cm="1">
        <f t="array" ref="AC380">IFERROR(AVERAGE(_xlfn._xlws.FILTER(U$2:U$1073,($C$2:$C$1073=$C380)*($E$2:$E$1073=$E380)*(ROW(U$2:U$1073)&lt;&gt;ROW(U380))*(U$2:U$1073&lt;&gt;""))),"")</f>
        <v>3.2106070475844959</v>
      </c>
      <c r="AD380" cm="1">
        <f t="array" ref="AD380">IFERROR(AVERAGE(_xlfn._xlws.FILTER(V$2:V$1073,($C$2:$C$1073=$C380)*($E$2:$E$1073=$E380)*(ROW(V$2:V$1073)&lt;&gt;ROW(V380))*(V$2:V$1073&lt;&gt;""))),"")</f>
        <v>0.82410887094366014</v>
      </c>
      <c r="AE380">
        <f>IF('Дивиденды по годам'!M380&lt;0,1,0)</f>
        <v>0</v>
      </c>
    </row>
    <row r="381" spans="1:31" x14ac:dyDescent="0.2">
      <c r="A381" s="7" t="s">
        <v>2224</v>
      </c>
      <c r="B381" t="str">
        <f t="shared" si="55"/>
        <v>MAGN IV кв. 2014</v>
      </c>
      <c r="C381">
        <v>2014</v>
      </c>
      <c r="D381">
        <f>SUMIFS(Дивиденды!$C:$C,Дивиденды!$A:$A,A381,Дивиденды!$I:$I,C381)</f>
        <v>0.57999999999999996</v>
      </c>
      <c r="E381">
        <v>3</v>
      </c>
      <c r="F381">
        <f t="shared" si="56"/>
        <v>0.57999999999999996</v>
      </c>
      <c r="G381">
        <f t="shared" si="57"/>
        <v>7.798</v>
      </c>
      <c r="H381">
        <f t="shared" si="58"/>
        <v>1</v>
      </c>
      <c r="I381">
        <f t="shared" si="59"/>
        <v>0.4</v>
      </c>
      <c r="J381">
        <f t="shared" si="60"/>
        <v>1</v>
      </c>
      <c r="K381">
        <f t="shared" si="65"/>
        <v>0.97331851927967727</v>
      </c>
      <c r="L381">
        <f t="shared" si="61"/>
        <v>1</v>
      </c>
      <c r="M381">
        <f t="shared" si="62"/>
        <v>0.2</v>
      </c>
      <c r="N381">
        <f t="shared" si="63"/>
        <v>0</v>
      </c>
      <c r="O381">
        <f t="shared" si="64"/>
        <v>0.1</v>
      </c>
      <c r="P381">
        <f>IFERROR(LN('Дивиденды по годам'!I381),"")</f>
        <v>26.442098510624742</v>
      </c>
      <c r="Q381">
        <f>IFERROR('Дивиденды по годам'!G381/'Дивиденды по годам'!I381, "")</f>
        <v>0.6455390098001782</v>
      </c>
      <c r="R381">
        <f>IFERROR(IF(AND('Дивиденды по годам'!N381&lt;&gt;"",'Дивиденды по годам'!U381&lt;&gt;"",'Дивиденды по годам'!U381&lt;&gt;0),'Дивиденды по годам'!N381/'Дивиденды по годам'!U381-1,""),"")</f>
        <v>0.18329865751010943</v>
      </c>
      <c r="S381">
        <f>IFERROR(IF(AND('Дивиденды по годам'!L381&lt;&gt;"",'Дивиденды по годам'!I381&lt;&gt;"",'Дивиденды по годам'!J381&lt;&gt;"",'Дивиденды по годам'!K381&lt;&gt;"",('Дивиденды по годам'!I381-'Дивиденды по годам'!J381-'Дивиденды по годам'!K381)&lt;&gt;0),'Дивиденды по годам'!L381/('Дивиденды по годам'!I381-'Дивиденды по годам'!J381-'Дивиденды по годам'!K381),""),"")</f>
        <v>1.8919330289193308</v>
      </c>
      <c r="T381">
        <f>IFERROR(IF(AND('Дивиденды по годам'!Q381&lt;&gt;"",'Дивиденды по годам'!I381&lt;&gt;"",'Дивиденды по годам'!V381&lt;&gt;"",('Дивиденды по годам'!I381+'Дивиденды по годам'!V381)&lt;&gt;0),'Дивиденды по годам'!Q381/(('Дивиденды по годам'!I381+'Дивиденды по годам'!V381)/2),""),"")</f>
        <v>-4.8581681049014126E-3</v>
      </c>
      <c r="U381">
        <f>IFERROR(IF(AND('Дивиденды по годам'!J381&lt;&gt;"",'Дивиденды по годам'!K381&lt;&gt;"",'Дивиденды по годам'!M381&lt;&gt;"",'Дивиденды по годам'!M381&lt;&gt;0),('Дивиденды по годам'!J381+'Дивиденды по годам'!K381)/'Дивиденды по годам'!M381,""),"")</f>
        <v>0.99315068493150704</v>
      </c>
      <c r="V381">
        <f>IFERROR(IF(AND('Дивиденды по годам'!J381&lt;&gt;"",'Дивиденды по годам'!K381&lt;&gt;"",'Дивиденды по годам'!M381&lt;&gt;"",'Дивиденды по годам'!I381&lt;&gt;0),('Дивиденды по годам'!J381+'Дивиденды по годам'!K381)/'Дивиденды по годам'!I381,""),"")</f>
        <v>0.49828178694158082</v>
      </c>
      <c r="W381">
        <f>IFERROR('Дивиденды по годам'!I381,"")</f>
        <v>304549207073.38397</v>
      </c>
      <c r="X381" cm="1">
        <f t="array" ref="X381">IFERROR(AVERAGE(_xlfn._xlws.FILTER(P$2:P$1073,($C$2:$C$1073=$C381)*($E$2:$E$1073=$E381)*(ROW(P$2:P$1073)&lt;&gt;ROW(P381))*(P$2:P$1073&lt;&gt;""))),"")</f>
        <v>26.282231434071004</v>
      </c>
      <c r="Y381" cm="1">
        <f t="array" ref="Y381">IFERROR(AVERAGE(_xlfn._xlws.FILTER(Q$2:Q$1073,($C$2:$C$1073=$C381)*($E$2:$E$1073=$E381)*(ROW(Q$2:Q$1073)&lt;&gt;ROW(Q381))*(Q$2:Q$1073&lt;&gt;""))),"")</f>
        <v>0.50157722425107343</v>
      </c>
      <c r="Z381" cm="1">
        <f t="array" ref="Z381">IFERROR(AVERAGE(_xlfn._xlws.FILTER(R$2:R$1073,($C$2:$C$1073=$C381)*($E$2:$E$1073=$E381)*(ROW(R$2:R$1073)&lt;&gt;ROW(R381))*(R$2:R$1073&lt;&gt;""))),"")</f>
        <v>6.426851843029692E-2</v>
      </c>
      <c r="AA381" cm="1">
        <f t="array" ref="AA381">IFERROR(AVERAGE(_xlfn._xlws.FILTER(S$2:S$1073,($C$2:$C$1073=$C381)*($E$2:$E$1073=$E381)*(ROW(S$2:S$1073)&lt;&gt;ROW(S381))*(S$2:S$1073&lt;&gt;""))),"")</f>
        <v>0.65787575367336626</v>
      </c>
      <c r="AB381" cm="1">
        <f t="array" ref="AB381">IFERROR(AVERAGE(_xlfn._xlws.FILTER(T$2:T$1073,($C$2:$C$1073=$C381)*($E$2:$E$1073=$E381)*(ROW(T$2:T$1073)&lt;&gt;ROW(T381))*(T$2:T$1073&lt;&gt;""))),"")</f>
        <v>-8.6626837060888362E-2</v>
      </c>
      <c r="AC381" cm="1">
        <f t="array" ref="AC381">IFERROR(AVERAGE(_xlfn._xlws.FILTER(U$2:U$1073,($C$2:$C$1073=$C381)*($E$2:$E$1073=$E381)*(ROW(U$2:U$1073)&lt;&gt;ROW(U381))*(U$2:U$1073&lt;&gt;""))),"")</f>
        <v>1.6971842555784507</v>
      </c>
      <c r="AD381" cm="1">
        <f t="array" ref="AD381">IFERROR(AVERAGE(_xlfn._xlws.FILTER(V$2:V$1073,($C$2:$C$1073=$C381)*($E$2:$E$1073=$E381)*(ROW(V$2:V$1073)&lt;&gt;ROW(V381))*(V$2:V$1073&lt;&gt;""))),"")</f>
        <v>0.73545882648517302</v>
      </c>
      <c r="AE381">
        <f>IF('Дивиденды по годам'!M381&lt;0,1,0)</f>
        <v>0</v>
      </c>
    </row>
    <row r="382" spans="1:31" x14ac:dyDescent="0.2">
      <c r="A382" s="7" t="s">
        <v>2224</v>
      </c>
      <c r="B382" t="str">
        <f t="shared" si="55"/>
        <v>MAGN IV кв. 2013</v>
      </c>
      <c r="C382">
        <v>2013</v>
      </c>
      <c r="D382">
        <f>SUMIFS(Дивиденды!$C:$C,Дивиденды!$A:$A,A382,Дивиденды!$I:$I,C382)</f>
        <v>0</v>
      </c>
      <c r="E382">
        <v>3</v>
      </c>
      <c r="F382">
        <f t="shared" si="56"/>
        <v>0</v>
      </c>
      <c r="G382">
        <f t="shared" si="57"/>
        <v>1.2260000000000002</v>
      </c>
      <c r="H382">
        <f t="shared" si="58"/>
        <v>0</v>
      </c>
      <c r="I382">
        <f t="shared" si="59"/>
        <v>0.4</v>
      </c>
      <c r="J382">
        <f t="shared" si="60"/>
        <v>-1</v>
      </c>
      <c r="K382">
        <f t="shared" si="65"/>
        <v>-0.10386411043374064</v>
      </c>
      <c r="L382">
        <f t="shared" si="61"/>
        <v>0</v>
      </c>
      <c r="M382">
        <f t="shared" si="62"/>
        <v>0.2</v>
      </c>
      <c r="N382">
        <f t="shared" si="63"/>
        <v>1</v>
      </c>
      <c r="O382">
        <f t="shared" si="64"/>
        <v>0.3</v>
      </c>
      <c r="P382">
        <f>IFERROR(LN('Дивиденды по годам'!I382),"")</f>
        <v>26.708636856165832</v>
      </c>
      <c r="Q382">
        <f>IFERROR('Дивиденды по годам'!G382/'Дивиденды по годам'!I382, "")</f>
        <v>0.70940966370702019</v>
      </c>
      <c r="R382">
        <f>IFERROR(IF(AND('Дивиденды по годам'!N382&lt;&gt;"",'Дивиденды по годам'!U382&lt;&gt;"",'Дивиденды по годам'!U382&lt;&gt;0),'Дивиденды по годам'!N382/'Дивиденды по годам'!U382-1,""),"")</f>
        <v>-0.10141952843368918</v>
      </c>
      <c r="S382" t="str">
        <f>IFERROR(IF(AND('Дивиденды по годам'!L382&lt;&gt;"",'Дивиденды по годам'!I382&lt;&gt;"",'Дивиденды по годам'!J382&lt;&gt;"",'Дивиденды по годам'!K382&lt;&gt;"",('Дивиденды по годам'!I382-'Дивиденды по годам'!J382-'Дивиденды по годам'!K382)&lt;&gt;0),'Дивиденды по годам'!L382/('Дивиденды по годам'!I382-'Дивиденды по годам'!J382-'Дивиденды по годам'!K382),""),"")</f>
        <v/>
      </c>
      <c r="T382">
        <f>IFERROR(IF(AND('Дивиденды по годам'!Q382&lt;&gt;"",'Дивиденды по годам'!I382&lt;&gt;"",'Дивиденды по годам'!V382&lt;&gt;"",('Дивиденды по годам'!I382+'Дивиденды по годам'!V382)&lt;&gt;0),'Дивиденды по годам'!Q382/(('Дивиденды по годам'!I382+'Дивиденды по годам'!V382)/2),""),"")</f>
        <v>-0.17786951469452839</v>
      </c>
      <c r="U382">
        <f>IFERROR(IF(AND('Дивиденды по годам'!J382&lt;&gt;"",'Дивиденды по годам'!K382&lt;&gt;"",'Дивиденды по годам'!M382&lt;&gt;"",'Дивиденды по годам'!M382&lt;&gt;0),('Дивиденды по годам'!J382+'Дивиденды по годам'!K382)/'Дивиденды по годам'!M382,""),"")</f>
        <v>0.77066075214223362</v>
      </c>
      <c r="V382">
        <f>IFERROR(IF(AND('Дивиденды по годам'!J382&lt;&gt;"",'Дивиденды по годам'!K382&lt;&gt;"",'Дивиденды по годам'!M382&lt;&gt;"",'Дивиденды по годам'!I382&lt;&gt;0),('Дивиденды по годам'!J382+'Дивиденды по годам'!K382)/'Дивиденды по годам'!I382,""),"")</f>
        <v>0.4352390773951757</v>
      </c>
      <c r="W382">
        <f>IFERROR('Дивиденды по годам'!I382,"")</f>
        <v>397570000000</v>
      </c>
      <c r="X382" cm="1">
        <f t="array" ref="X382">IFERROR(AVERAGE(_xlfn._xlws.FILTER(P$2:P$1073,($C$2:$C$1073=$C382)*($E$2:$E$1073=$E382)*(ROW(P$2:P$1073)&lt;&gt;ROW(P382))*(P$2:P$1073&lt;&gt;""))),"")</f>
        <v>26.404931648903773</v>
      </c>
      <c r="Y382" cm="1">
        <f t="array" ref="Y382">IFERROR(AVERAGE(_xlfn._xlws.FILTER(Q$2:Q$1073,($C$2:$C$1073=$C382)*($E$2:$E$1073=$E382)*(ROW(Q$2:Q$1073)&lt;&gt;ROW(Q382))*(Q$2:Q$1073&lt;&gt;""))),"")</f>
        <v>0.56071959181229369</v>
      </c>
      <c r="Z382" cm="1">
        <f t="array" ref="Z382">IFERROR(AVERAGE(_xlfn._xlws.FILTER(R$2:R$1073,($C$2:$C$1073=$C382)*($E$2:$E$1073=$E382)*(ROW(R$2:R$1073)&lt;&gt;ROW(R382))*(R$2:R$1073&lt;&gt;""))),"")</f>
        <v>-3.8614869624923984E-2</v>
      </c>
      <c r="AA382" cm="1">
        <f t="array" ref="AA382">IFERROR(AVERAGE(_xlfn._xlws.FILTER(S$2:S$1073,($C$2:$C$1073=$C382)*($E$2:$E$1073=$E382)*(ROW(S$2:S$1073)&lt;&gt;ROW(S382))*(S$2:S$1073&lt;&gt;""))),"")</f>
        <v>1.1343753445927802</v>
      </c>
      <c r="AB382" cm="1">
        <f t="array" ref="AB382">IFERROR(AVERAGE(_xlfn._xlws.FILTER(T$2:T$1073,($C$2:$C$1073=$C382)*($E$2:$E$1073=$E382)*(ROW(T$2:T$1073)&lt;&gt;ROW(T382))*(T$2:T$1073&lt;&gt;""))),"")</f>
        <v>-1.2768111802324308E-2</v>
      </c>
      <c r="AC382" cm="1">
        <f t="array" ref="AC382">IFERROR(AVERAGE(_xlfn._xlws.FILTER(U$2:U$1073,($C$2:$C$1073=$C382)*($E$2:$E$1073=$E382)*(ROW(U$2:U$1073)&lt;&gt;ROW(U382))*(U$2:U$1073&lt;&gt;""))),"")</f>
        <v>3.4057182857486987</v>
      </c>
      <c r="AD382" cm="1">
        <f t="array" ref="AD382">IFERROR(AVERAGE(_xlfn._xlws.FILTER(V$2:V$1073,($C$2:$C$1073=$C382)*($E$2:$E$1073=$E382)*(ROW(V$2:V$1073)&lt;&gt;ROW(V382))*(V$2:V$1073&lt;&gt;""))),"")</f>
        <v>0.57955217346568144</v>
      </c>
      <c r="AE382">
        <f>IF('Дивиденды по годам'!M382&lt;0,1,0)</f>
        <v>0</v>
      </c>
    </row>
    <row r="383" spans="1:31" x14ac:dyDescent="0.2">
      <c r="A383" s="7" t="s">
        <v>2224</v>
      </c>
      <c r="B383" t="str">
        <f t="shared" si="55"/>
        <v>MAGN IV кв. 2012</v>
      </c>
      <c r="C383">
        <v>2012</v>
      </c>
      <c r="D383">
        <f>SUMIFS(Дивиденды!$C:$C,Дивиденды!$A:$A,A383,Дивиденды!$I:$I,C383)</f>
        <v>0.28000000000000003</v>
      </c>
      <c r="E383">
        <v>3</v>
      </c>
      <c r="F383">
        <f t="shared" si="56"/>
        <v>0.28000000000000003</v>
      </c>
      <c r="G383">
        <f t="shared" si="57"/>
        <v>2.1029999999999998</v>
      </c>
      <c r="H383">
        <f t="shared" si="58"/>
        <v>1</v>
      </c>
      <c r="I383">
        <f t="shared" si="59"/>
        <v>0.5</v>
      </c>
      <c r="J383">
        <f t="shared" si="60"/>
        <v>1</v>
      </c>
      <c r="K383">
        <f t="shared" si="65"/>
        <v>-0.28400043619769677</v>
      </c>
      <c r="L383">
        <f t="shared" si="61"/>
        <v>1</v>
      </c>
      <c r="M383">
        <f t="shared" si="62"/>
        <v>0.2</v>
      </c>
      <c r="N383">
        <f t="shared" si="63"/>
        <v>0</v>
      </c>
      <c r="O383">
        <f t="shared" si="64"/>
        <v>0.6</v>
      </c>
      <c r="P383">
        <f>IFERROR(LN('Дивиденды по годам'!I383),"")</f>
        <v>26.927494252356986</v>
      </c>
      <c r="Q383">
        <f>IFERROR('Дивиденды по годам'!G383/'Дивиденды по годам'!I383, "")</f>
        <v>0.72616235245141325</v>
      </c>
      <c r="R383">
        <f>IFERROR(IF(AND('Дивиденды по годам'!N383&lt;&gt;"",'Дивиденды по годам'!U383&lt;&gt;"",'Дивиденды по годам'!U383&lt;&gt;0),'Дивиденды по годам'!N383/'Дивиденды по годам'!U383-1,""),"")</f>
        <v>5.9447407192567248E-2</v>
      </c>
      <c r="S383" t="str">
        <f>IFERROR(IF(AND('Дивиденды по годам'!L383&lt;&gt;"",'Дивиденды по годам'!I383&lt;&gt;"",'Дивиденды по годам'!J383&lt;&gt;"",'Дивиденды по годам'!K383&lt;&gt;"",('Дивиденды по годам'!I383-'Дивиденды по годам'!J383-'Дивиденды по годам'!K383)&lt;&gt;0),'Дивиденды по годам'!L383/('Дивиденды по годам'!I383-'Дивиденды по годам'!J383-'Дивиденды по годам'!K383),""),"")</f>
        <v/>
      </c>
      <c r="T383">
        <f>IFERROR(IF(AND('Дивиденды по годам'!Q383&lt;&gt;"",'Дивиденды по годам'!I383&lt;&gt;"",'Дивиденды по годам'!V383&lt;&gt;"",('Дивиденды по годам'!I383+'Дивиденды по годам'!V383)&lt;&gt;0),'Дивиденды по годам'!Q383/(('Дивиденды по годам'!I383+'Дивиденды по годам'!V383)/2),""),"")</f>
        <v>-6.0475404109495944E-3</v>
      </c>
      <c r="U383">
        <f>IFERROR(IF(AND('Дивиденды по годам'!J383&lt;&gt;"",'Дивиденды по годам'!K383&lt;&gt;"",'Дивиденды по годам'!M383&lt;&gt;"",'Дивиденды по годам'!M383&lt;&gt;0),('Дивиденды по годам'!J383+'Дивиденды по годам'!K383)/'Дивиденды по годам'!M383,""),"")</f>
        <v>0.65914607977253825</v>
      </c>
      <c r="V383">
        <f>IFERROR(IF(AND('Дивиденды по годам'!J383&lt;&gt;"",'Дивиденды по годам'!K383&lt;&gt;"",'Дивиденды по годам'!M383&lt;&gt;"",'Дивиденды по годам'!I383&lt;&gt;0),('Дивиденды по годам'!J383+'Дивиденды по годам'!K383)/'Дивиденды по годам'!I383,""),"")</f>
        <v>0.39728031654868168</v>
      </c>
      <c r="W383">
        <f>IFERROR('Дивиденды по годам'!I383,"")</f>
        <v>494837000000</v>
      </c>
      <c r="X383" cm="1">
        <f t="array" ref="X383">IFERROR(AVERAGE(_xlfn._xlws.FILTER(P$2:P$1073,($C$2:$C$1073=$C383)*($E$2:$E$1073=$E383)*(ROW(P$2:P$1073)&lt;&gt;ROW(P383))*(P$2:P$1073&lt;&gt;""))),"")</f>
        <v>26.683184143414188</v>
      </c>
      <c r="Y383" cm="1">
        <f t="array" ref="Y383">IFERROR(AVERAGE(_xlfn._xlws.FILTER(Q$2:Q$1073,($C$2:$C$1073=$C383)*($E$2:$E$1073=$E383)*(ROW(Q$2:Q$1073)&lt;&gt;ROW(Q383))*(Q$2:Q$1073&lt;&gt;""))),"")</f>
        <v>0.47432689151161955</v>
      </c>
      <c r="Z383" cm="1">
        <f t="array" ref="Z383">IFERROR(AVERAGE(_xlfn._xlws.FILTER(R$2:R$1073,($C$2:$C$1073=$C383)*($E$2:$E$1073=$E383)*(ROW(R$2:R$1073)&lt;&gt;ROW(R383))*(R$2:R$1073&lt;&gt;""))),"")</f>
        <v>-1.0447798270061195E-2</v>
      </c>
      <c r="AA383" t="str" cm="1">
        <f t="array" ref="AA383">IFERROR(AVERAGE(_xlfn._xlws.FILTER(S$2:S$1073,($C$2:$C$1073=$C383)*($E$2:$E$1073=$E383)*(ROW(S$2:S$1073)&lt;&gt;ROW(S383))*(S$2:S$1073&lt;&gt;""))),"")</f>
        <v/>
      </c>
      <c r="AB383" cm="1">
        <f t="array" ref="AB383">IFERROR(AVERAGE(_xlfn._xlws.FILTER(T$2:T$1073,($C$2:$C$1073=$C383)*($E$2:$E$1073=$E383)*(ROW(T$2:T$1073)&lt;&gt;ROW(T383))*(T$2:T$1073&lt;&gt;""))),"")</f>
        <v>5.7747205942642751E-2</v>
      </c>
      <c r="AC383" cm="1">
        <f t="array" ref="AC383">IFERROR(AVERAGE(_xlfn._xlws.FILTER(U$2:U$1073,($C$2:$C$1073=$C383)*($E$2:$E$1073=$E383)*(ROW(U$2:U$1073)&lt;&gt;ROW(U383))*(U$2:U$1073&lt;&gt;""))),"")</f>
        <v>1.4597982497333604</v>
      </c>
      <c r="AD383" cm="1">
        <f t="array" ref="AD383">IFERROR(AVERAGE(_xlfn._xlws.FILTER(V$2:V$1073,($C$2:$C$1073=$C383)*($E$2:$E$1073=$E383)*(ROW(V$2:V$1073)&lt;&gt;ROW(V383))*(V$2:V$1073&lt;&gt;""))),"")</f>
        <v>0.4436115697719144</v>
      </c>
      <c r="AE383">
        <f>IF('Дивиденды по годам'!M383&lt;0,1,0)</f>
        <v>0</v>
      </c>
    </row>
    <row r="384" spans="1:31" x14ac:dyDescent="0.2">
      <c r="A384" s="7" t="s">
        <v>2224</v>
      </c>
      <c r="B384" t="str">
        <f t="shared" si="55"/>
        <v>MAGN IV кв. 2011</v>
      </c>
      <c r="C384">
        <v>2011</v>
      </c>
      <c r="D384">
        <f>SUMIFS(Дивиденды!$C:$C,Дивиденды!$A:$A,A384,Дивиденды!$I:$I,C384)</f>
        <v>0</v>
      </c>
      <c r="E384">
        <v>3</v>
      </c>
      <c r="F384">
        <f t="shared" si="56"/>
        <v>0</v>
      </c>
      <c r="G384">
        <f t="shared" si="57"/>
        <v>3.7659999999999996</v>
      </c>
      <c r="H384">
        <f t="shared" si="58"/>
        <v>0</v>
      </c>
      <c r="I384">
        <f t="shared" si="59"/>
        <v>0.8</v>
      </c>
      <c r="J384">
        <f t="shared" si="60"/>
        <v>-1</v>
      </c>
      <c r="K384">
        <f t="shared" si="65"/>
        <v>0.88130568048052604</v>
      </c>
      <c r="L384">
        <f t="shared" si="61"/>
        <v>0</v>
      </c>
      <c r="M384">
        <f t="shared" si="62"/>
        <v>0.6</v>
      </c>
      <c r="N384">
        <f t="shared" si="63"/>
        <v>1</v>
      </c>
      <c r="O384">
        <f t="shared" si="64"/>
        <v>0.2</v>
      </c>
      <c r="P384">
        <f>IFERROR(LN('Дивиденды по годам'!I384),"")</f>
        <v>26.895201630199104</v>
      </c>
      <c r="Q384">
        <f>IFERROR('Дивиденды по годам'!G384/'Дивиденды по годам'!I384, "")</f>
        <v>0.72365756366983747</v>
      </c>
      <c r="R384" t="str">
        <f>IFERROR(IF(AND('Дивиденды по годам'!N384&lt;&gt;"",'Дивиденды по годам'!U384&lt;&gt;"",'Дивиденды по годам'!U384&lt;&gt;0),'Дивиденды по годам'!N384/'Дивиденды по годам'!U384-1,""),"")</f>
        <v/>
      </c>
      <c r="S384" t="str">
        <f>IFERROR(IF(AND('Дивиденды по годам'!L384&lt;&gt;"",'Дивиденды по годам'!I384&lt;&gt;"",'Дивиденды по годам'!J384&lt;&gt;"",'Дивиденды по годам'!K384&lt;&gt;"",('Дивиденды по годам'!I384-'Дивиденды по годам'!J384-'Дивиденды по годам'!K384)&lt;&gt;0),'Дивиденды по годам'!L384/('Дивиденды по годам'!I384-'Дивиденды по годам'!J384-'Дивиденды по годам'!K384),""),"")</f>
        <v/>
      </c>
      <c r="T384" t="str">
        <f>IFERROR(IF(AND('Дивиденды по годам'!Q384&lt;&gt;"",'Дивиденды по годам'!I384&lt;&gt;"",'Дивиденды по годам'!V384&lt;&gt;"",('Дивиденды по годам'!I384+'Дивиденды по годам'!V384)&lt;&gt;0),'Дивиденды по годам'!Q384/(('Дивиденды по годам'!I384+'Дивиденды по годам'!V384)/2),""),"")</f>
        <v/>
      </c>
      <c r="U384">
        <f>IFERROR(IF(AND('Дивиденды по годам'!J384&lt;&gt;"",'Дивиденды по годам'!K384&lt;&gt;"",'Дивиденды по годам'!M384&lt;&gt;"",'Дивиденды по годам'!M384&lt;&gt;0),('Дивиденды по годам'!J384+'Дивиденды по годам'!K384)/'Дивиденды по годам'!M384,""),"")</f>
        <v>0.72470364098221851</v>
      </c>
      <c r="V384">
        <f>IFERROR(IF(AND('Дивиденды по годам'!J384&lt;&gt;"",'Дивиденды по годам'!K384&lt;&gt;"",'Дивиденды по годам'!M384&lt;&gt;"",'Дивиденды по годам'!I384&lt;&gt;0),('Дивиденды по годам'!J384+'Дивиденды по годам'!K384)/'Дивиденды по годам'!I384,""),"")</f>
        <v>0.42019024240564595</v>
      </c>
      <c r="W384">
        <f>IFERROR('Дивиденды по годам'!I384,"")</f>
        <v>479112672057.69232</v>
      </c>
      <c r="X384" cm="1">
        <f t="array" ref="X384">IFERROR(AVERAGE(_xlfn._xlws.FILTER(P$2:P$1073,($C$2:$C$1073=$C384)*($E$2:$E$1073=$E384)*(ROW(P$2:P$1073)&lt;&gt;ROW(P384))*(P$2:P$1073&lt;&gt;""))),"")</f>
        <v>26.369931914203807</v>
      </c>
      <c r="Y384" cm="1">
        <f t="array" ref="Y384">IFERROR(AVERAGE(_xlfn._xlws.FILTER(Q$2:Q$1073,($C$2:$C$1073=$C384)*($E$2:$E$1073=$E384)*(ROW(Q$2:Q$1073)&lt;&gt;ROW(Q384))*(Q$2:Q$1073&lt;&gt;""))),"")</f>
        <v>0.54750223429857869</v>
      </c>
      <c r="Z384" cm="1">
        <f t="array" ref="Z384">IFERROR(AVERAGE(_xlfn._xlws.FILTER(R$2:R$1073,($C$2:$C$1073=$C384)*($E$2:$E$1073=$E384)*(ROW(R$2:R$1073)&lt;&gt;ROW(R384))*(R$2:R$1073&lt;&gt;""))),"")</f>
        <v>0.21463216748681591</v>
      </c>
      <c r="AA384" t="str" cm="1">
        <f t="array" ref="AA384">IFERROR(AVERAGE(_xlfn._xlws.FILTER(S$2:S$1073,($C$2:$C$1073=$C384)*($E$2:$E$1073=$E384)*(ROW(S$2:S$1073)&lt;&gt;ROW(S384))*(S$2:S$1073&lt;&gt;""))),"")</f>
        <v/>
      </c>
      <c r="AB384" cm="1">
        <f t="array" ref="AB384">IFERROR(AVERAGE(_xlfn._xlws.FILTER(T$2:T$1073,($C$2:$C$1073=$C384)*($E$2:$E$1073=$E384)*(ROW(T$2:T$1073)&lt;&gt;ROW(T384))*(T$2:T$1073&lt;&gt;""))),"")</f>
        <v>0.11505618365484008</v>
      </c>
      <c r="AC384" cm="1">
        <f t="array" ref="AC384">IFERROR(AVERAGE(_xlfn._xlws.FILTER(U$2:U$1073,($C$2:$C$1073=$C384)*($E$2:$E$1073=$E384)*(ROW(U$2:U$1073)&lt;&gt;ROW(U384))*(U$2:U$1073&lt;&gt;""))),"")</f>
        <v>1.1683067903775808</v>
      </c>
      <c r="AD384" cm="1">
        <f t="array" ref="AD384">IFERROR(AVERAGE(_xlfn._xlws.FILTER(V$2:V$1073,($C$2:$C$1073=$C384)*($E$2:$E$1073=$E384)*(ROW(V$2:V$1073)&lt;&gt;ROW(V384))*(V$2:V$1073&lt;&gt;""))),"")</f>
        <v>0.51209387186936473</v>
      </c>
      <c r="AE384">
        <f>IF('Дивиденды по годам'!M384&lt;0,1,0)</f>
        <v>0</v>
      </c>
    </row>
    <row r="385" spans="1:31" x14ac:dyDescent="0.2">
      <c r="A385" s="7" t="s">
        <v>2224</v>
      </c>
      <c r="B385" t="str">
        <f t="shared" si="55"/>
        <v>MAGN IV кв. 2010</v>
      </c>
      <c r="C385">
        <v>2010</v>
      </c>
      <c r="D385">
        <f>SUMIFS(Дивиденды!$C:$C,Дивиденды!$A:$A,A385,Дивиденды!$I:$I,C385)</f>
        <v>0.33</v>
      </c>
      <c r="E385">
        <v>3</v>
      </c>
      <c r="F385">
        <f t="shared" si="56"/>
        <v>0.33</v>
      </c>
      <c r="G385">
        <f t="shared" si="57"/>
        <v>3.0460000000000003</v>
      </c>
      <c r="H385">
        <f t="shared" si="58"/>
        <v>1</v>
      </c>
      <c r="I385">
        <f t="shared" si="59"/>
        <v>0.6</v>
      </c>
      <c r="J385" t="str">
        <f t="shared" si="60"/>
        <v/>
      </c>
      <c r="K385" t="str">
        <f t="shared" si="65"/>
        <v/>
      </c>
      <c r="L385" t="str">
        <f t="shared" si="61"/>
        <v/>
      </c>
      <c r="M385" t="str">
        <f t="shared" si="62"/>
        <v/>
      </c>
      <c r="N385" t="str">
        <f t="shared" si="63"/>
        <v/>
      </c>
      <c r="O385" t="str">
        <f t="shared" si="64"/>
        <v/>
      </c>
      <c r="P385" t="str">
        <f>IFERROR(LN('Дивиденды по годам'!I385),"")</f>
        <v/>
      </c>
      <c r="Q385" t="str">
        <f>IFERROR('Дивиденды по годам'!G385/'Дивиденды по годам'!I385, "")</f>
        <v/>
      </c>
      <c r="R385" t="str">
        <f>IFERROR(IF(AND('Дивиденды по годам'!N385&lt;&gt;"",'Дивиденды по годам'!U385&lt;&gt;"",'Дивиденды по годам'!U385&lt;&gt;0),'Дивиденды по годам'!N385/'Дивиденды по годам'!U385-1,""),"")</f>
        <v/>
      </c>
      <c r="S385" t="str">
        <f>IFERROR(IF(AND('Дивиденды по годам'!L385&lt;&gt;"",'Дивиденды по годам'!I385&lt;&gt;"",'Дивиденды по годам'!J385&lt;&gt;"",'Дивиденды по годам'!K385&lt;&gt;"",('Дивиденды по годам'!I385-'Дивиденды по годам'!J385-'Дивиденды по годам'!K385)&lt;&gt;0),'Дивиденды по годам'!L385/('Дивиденды по годам'!I385-'Дивиденды по годам'!J385-'Дивиденды по годам'!K385),""),"")</f>
        <v/>
      </c>
      <c r="T385" t="str">
        <f>IFERROR(IF(AND('Дивиденды по годам'!Q385&lt;&gt;"",'Дивиденды по годам'!I385&lt;&gt;"",'Дивиденды по годам'!V385&lt;&gt;"",('Дивиденды по годам'!I385+'Дивиденды по годам'!V385)&lt;&gt;0),'Дивиденды по годам'!Q385/(('Дивиденды по годам'!I385+'Дивиденды по годам'!V385)/2),""),"")</f>
        <v/>
      </c>
      <c r="U385" t="str">
        <f>IFERROR(IF(AND('Дивиденды по годам'!J385&lt;&gt;"",'Дивиденды по годам'!K385&lt;&gt;"",'Дивиденды по годам'!M385&lt;&gt;"",'Дивиденды по годам'!M385&lt;&gt;0),('Дивиденды по годам'!J385+'Дивиденды по годам'!K385)/'Дивиденды по годам'!M385,""),"")</f>
        <v/>
      </c>
      <c r="V385" t="str">
        <f>IFERROR(IF(AND('Дивиденды по годам'!J385&lt;&gt;"",'Дивиденды по годам'!K385&lt;&gt;"",'Дивиденды по годам'!M385&lt;&gt;"",'Дивиденды по годам'!I385&lt;&gt;0),('Дивиденды по годам'!J385+'Дивиденды по годам'!K385)/'Дивиденды по годам'!I385,""),"")</f>
        <v/>
      </c>
      <c r="W385" t="str">
        <f>IFERROR('Дивиденды по годам'!I385,"")</f>
        <v/>
      </c>
      <c r="X385" cm="1">
        <f t="array" ref="X385">IFERROR(AVERAGE(_xlfn._xlws.FILTER(P$2:P$1073,($C$2:$C$1073=$C385)*($E$2:$E$1073=$E385)*(ROW(P$2:P$1073)&lt;&gt;ROW(P385))*(P$2:P$1073&lt;&gt;""))),"")</f>
        <v>26.127864794831805</v>
      </c>
      <c r="Y385" cm="1">
        <f t="array" ref="Y385">IFERROR(AVERAGE(_xlfn._xlws.FILTER(Q$2:Q$1073,($C$2:$C$1073=$C385)*($E$2:$E$1073=$E385)*(ROW(Q$2:Q$1073)&lt;&gt;ROW(Q385))*(Q$2:Q$1073&lt;&gt;""))),"")</f>
        <v>0.75539390451698762</v>
      </c>
      <c r="Z385" t="str" cm="1">
        <f t="array" ref="Z385">IFERROR(AVERAGE(_xlfn._xlws.FILTER(R$2:R$1073,($C$2:$C$1073=$C385)*($E$2:$E$1073=$E385)*(ROW(R$2:R$1073)&lt;&gt;ROW(R385))*(R$2:R$1073&lt;&gt;""))),"")</f>
        <v/>
      </c>
      <c r="AA385" t="str" cm="1">
        <f t="array" ref="AA385">IFERROR(AVERAGE(_xlfn._xlws.FILTER(S$2:S$1073,($C$2:$C$1073=$C385)*($E$2:$E$1073=$E385)*(ROW(S$2:S$1073)&lt;&gt;ROW(S385))*(S$2:S$1073&lt;&gt;""))),"")</f>
        <v/>
      </c>
      <c r="AB385" t="str" cm="1">
        <f t="array" ref="AB385">IFERROR(AVERAGE(_xlfn._xlws.FILTER(T$2:T$1073,($C$2:$C$1073=$C385)*($E$2:$E$1073=$E385)*(ROW(T$2:T$1073)&lt;&gt;ROW(T385))*(T$2:T$1073&lt;&gt;""))),"")</f>
        <v/>
      </c>
      <c r="AC385" cm="1">
        <f t="array" ref="AC385">IFERROR(AVERAGE(_xlfn._xlws.FILTER(U$2:U$1073,($C$2:$C$1073=$C385)*($E$2:$E$1073=$E385)*(ROW(U$2:U$1073)&lt;&gt;ROW(U385))*(U$2:U$1073&lt;&gt;""))),"")</f>
        <v>1.4017600691070078</v>
      </c>
      <c r="AD385" cm="1">
        <f t="array" ref="AD385">IFERROR(AVERAGE(_xlfn._xlws.FILTER(V$2:V$1073,($C$2:$C$1073=$C385)*($E$2:$E$1073=$E385)*(ROW(V$2:V$1073)&lt;&gt;ROW(V385))*(V$2:V$1073&lt;&gt;""))),"")</f>
        <v>0.58363867695918215</v>
      </c>
      <c r="AE385">
        <f>IF('Дивиденды по годам'!M385&lt;0,1,0)</f>
        <v>0</v>
      </c>
    </row>
    <row r="386" spans="1:31" x14ac:dyDescent="0.2">
      <c r="A386" s="7" t="s">
        <v>2226</v>
      </c>
      <c r="B386" t="str">
        <f t="shared" si="55"/>
        <v>MTLR IV кв. 2025</v>
      </c>
      <c r="C386">
        <v>2025</v>
      </c>
      <c r="D386">
        <f>SUMIFS(Дивиденды!$C:$C,Дивиденды!$A:$A,A386,Дивиденды!$I:$I,C386)</f>
        <v>0</v>
      </c>
      <c r="E386">
        <v>3</v>
      </c>
      <c r="F386">
        <f t="shared" si="56"/>
        <v>0</v>
      </c>
      <c r="G386">
        <f t="shared" si="57"/>
        <v>10.684999999999999</v>
      </c>
      <c r="H386">
        <f t="shared" si="58"/>
        <v>0</v>
      </c>
      <c r="I386">
        <f t="shared" si="59"/>
        <v>0.1</v>
      </c>
      <c r="J386">
        <f t="shared" si="60"/>
        <v>0</v>
      </c>
      <c r="K386">
        <f t="shared" si="65"/>
        <v>-0.44741116251599566</v>
      </c>
      <c r="L386">
        <f t="shared" si="61"/>
        <v>0</v>
      </c>
      <c r="M386">
        <f t="shared" si="62"/>
        <v>0</v>
      </c>
      <c r="N386">
        <f t="shared" si="63"/>
        <v>0</v>
      </c>
      <c r="O386">
        <f t="shared" si="64"/>
        <v>0.5</v>
      </c>
      <c r="P386" t="str">
        <f>IFERROR(LN('Дивиденды по годам'!I386),"")</f>
        <v/>
      </c>
      <c r="Q386" t="str">
        <f>IFERROR('Дивиденды по годам'!G386/'Дивиденды по годам'!I386, "")</f>
        <v/>
      </c>
      <c r="R386" t="str">
        <f>IFERROR(IF(AND('Дивиденды по годам'!N386&lt;&gt;"",'Дивиденды по годам'!U386&lt;&gt;"",'Дивиденды по годам'!U386&lt;&gt;0),'Дивиденды по годам'!N386/'Дивиденды по годам'!U386-1,""),"")</f>
        <v/>
      </c>
      <c r="S386" t="str">
        <f>IFERROR(IF(AND('Дивиденды по годам'!L386&lt;&gt;"",'Дивиденды по годам'!I386&lt;&gt;"",'Дивиденды по годам'!J386&lt;&gt;"",'Дивиденды по годам'!K386&lt;&gt;"",('Дивиденды по годам'!I386-'Дивиденды по годам'!J386-'Дивиденды по годам'!K386)&lt;&gt;0),'Дивиденды по годам'!L386/('Дивиденды по годам'!I386-'Дивиденды по годам'!J386-'Дивиденды по годам'!K386),""),"")</f>
        <v/>
      </c>
      <c r="T386" t="str">
        <f>IFERROR(IF(AND('Дивиденды по годам'!Q386&lt;&gt;"",'Дивиденды по годам'!I386&lt;&gt;"",'Дивиденды по годам'!V386&lt;&gt;"",('Дивиденды по годам'!I386+'Дивиденды по годам'!V386)&lt;&gt;0),'Дивиденды по годам'!Q386/(('Дивиденды по годам'!I386+'Дивиденды по годам'!V386)/2),""),"")</f>
        <v/>
      </c>
      <c r="U386" t="str">
        <f>IFERROR(IF(AND('Дивиденды по годам'!J386&lt;&gt;"",'Дивиденды по годам'!K386&lt;&gt;"",'Дивиденды по годам'!M386&lt;&gt;"",'Дивиденды по годам'!M386&lt;&gt;0),('Дивиденды по годам'!J386+'Дивиденды по годам'!K386)/'Дивиденды по годам'!M386,""),"")</f>
        <v/>
      </c>
      <c r="V386" t="str">
        <f>IFERROR(IF(AND('Дивиденды по годам'!J386&lt;&gt;"",'Дивиденды по годам'!K386&lt;&gt;"",'Дивиденды по годам'!M386&lt;&gt;"",'Дивиденды по годам'!I386&lt;&gt;0),('Дивиденды по годам'!J386+'Дивиденды по годам'!K386)/'Дивиденды по годам'!I386,""),"")</f>
        <v/>
      </c>
      <c r="W386" t="str">
        <f>IFERROR('Дивиденды по годам'!I386,"")</f>
        <v/>
      </c>
      <c r="X386" cm="1">
        <f t="array" ref="X386">IFERROR(AVERAGE(_xlfn._xlws.FILTER(P$2:P$1073,($C$2:$C$1073=$C386)*($E$2:$E$1073=$E386)*(ROW(P$2:P$1073)&lt;&gt;ROW(P386))*(P$2:P$1073&lt;&gt;""))),"")</f>
        <v>27.526016888115407</v>
      </c>
      <c r="Y386" cm="1">
        <f t="array" ref="Y386">IFERROR(AVERAGE(_xlfn._xlws.FILTER(Q$2:Q$1073,($C$2:$C$1073=$C386)*($E$2:$E$1073=$E386)*(ROW(Q$2:Q$1073)&lt;&gt;ROW(Q386))*(Q$2:Q$1073&lt;&gt;""))),"")</f>
        <v>0.52913138653861203</v>
      </c>
      <c r="Z386" cm="1">
        <f t="array" ref="Z386">IFERROR(AVERAGE(_xlfn._xlws.FILTER(R$2:R$1073,($C$2:$C$1073=$C386)*($E$2:$E$1073=$E386)*(ROW(R$2:R$1073)&lt;&gt;ROW(R386))*(R$2:R$1073&lt;&gt;""))),"")</f>
        <v>-9.3696736214243112E-2</v>
      </c>
      <c r="AA386" cm="1">
        <f t="array" ref="AA386">IFERROR(AVERAGE(_xlfn._xlws.FILTER(S$2:S$1073,($C$2:$C$1073=$C386)*($E$2:$E$1073=$E386)*(ROW(S$2:S$1073)&lt;&gt;ROW(S386))*(S$2:S$1073&lt;&gt;""))),"")</f>
        <v>0.98692377594794511</v>
      </c>
      <c r="AB386" cm="1">
        <f t="array" ref="AB386">IFERROR(AVERAGE(_xlfn._xlws.FILTER(T$2:T$1073,($C$2:$C$1073=$C386)*($E$2:$E$1073=$E386)*(ROW(T$2:T$1073)&lt;&gt;ROW(T386))*(T$2:T$1073&lt;&gt;""))),"")</f>
        <v>1.506473654039886E-2</v>
      </c>
      <c r="AC386" cm="1">
        <f t="array" ref="AC386">IFERROR(AVERAGE(_xlfn._xlws.FILTER(U$2:U$1073,($C$2:$C$1073=$C386)*($E$2:$E$1073=$E386)*(ROW(U$2:U$1073)&lt;&gt;ROW(U386))*(U$2:U$1073&lt;&gt;""))),"")</f>
        <v>3.186882781387423</v>
      </c>
      <c r="AD386" cm="1">
        <f t="array" ref="AD386">IFERROR(AVERAGE(_xlfn._xlws.FILTER(V$2:V$1073,($C$2:$C$1073=$C386)*($E$2:$E$1073=$E386)*(ROW(V$2:V$1073)&lt;&gt;ROW(V386))*(V$2:V$1073&lt;&gt;""))),"")</f>
        <v>0.52452270556733893</v>
      </c>
      <c r="AE386">
        <f>IF('Дивиденды по годам'!M386&lt;0,1,0)</f>
        <v>0</v>
      </c>
    </row>
    <row r="387" spans="1:31" x14ac:dyDescent="0.2">
      <c r="A387" s="7" t="s">
        <v>2226</v>
      </c>
      <c r="B387" t="str">
        <f t="shared" ref="B387:B450" si="66">A387&amp;" "&amp;
"IV"
&amp;" кв. "&amp;C387</f>
        <v>MTLR IV кв. 2024</v>
      </c>
      <c r="C387">
        <v>2024</v>
      </c>
      <c r="D387">
        <f>SUMIFS(Дивиденды!$C:$C,Дивиденды!$A:$A,A387,Дивиденды!$I:$I,C387)</f>
        <v>0</v>
      </c>
      <c r="E387">
        <v>3</v>
      </c>
      <c r="F387">
        <f t="shared" ref="F387:F450" si="67">D387</f>
        <v>0</v>
      </c>
      <c r="G387">
        <f t="shared" ref="G387:G450" si="68">AVERAGEIFS($D:$D,$E:$E,E387,$C:$C,C387,$A:$A,"&lt;&gt;"&amp;A387)</f>
        <v>33.058</v>
      </c>
      <c r="H387">
        <f t="shared" ref="H387:H450" si="69">IF(D387&gt;0,1,0)</f>
        <v>0</v>
      </c>
      <c r="I387">
        <f t="shared" ref="I387:I450" si="70">IFERROR((COUNTIFS($E:$E,E387,$C:$C,C387,$H:$H,1)-H387)/(COUNTIFS($E:$E,E387,$C:$C,C387)-1),0)</f>
        <v>0.5</v>
      </c>
      <c r="J387">
        <f t="shared" ref="J387:J450" si="71">IF(A388&lt;&gt;A387,"",IF(D387=D388,0,IF(AND(D388=0,D387&lt;&gt;0), 1,(D387-D388)/D388)))</f>
        <v>0</v>
      </c>
      <c r="K387">
        <f t="shared" si="65"/>
        <v>-0.20461447297899457</v>
      </c>
      <c r="L387">
        <f t="shared" ref="L387:L450" si="72">IF(J387&lt;&gt;"",IF(J387&gt;0,1,0),"")</f>
        <v>0</v>
      </c>
      <c r="M387">
        <f t="shared" ref="M387:M450" si="73">IFERROR(AVERAGEIFS($L:$L,$E:$E,E387,$C:$C,C387,$A:$A,"&lt;&gt;"&amp;A387),"")</f>
        <v>0.1</v>
      </c>
      <c r="N387">
        <f t="shared" ref="N387:N450" si="74">IF(J387&lt;&gt;"",IF(J387&lt;0,1,0),"")</f>
        <v>0</v>
      </c>
      <c r="O387">
        <f t="shared" ref="O387:O450" si="75">IFERROR(AVERAGEIFS($N:$N,$E:$E,E387,$C:$C,C387,$A:$A,"&lt;&gt;"&amp;A387),"")</f>
        <v>0.5</v>
      </c>
      <c r="P387">
        <f>IFERROR(LN('Дивиденды по годам'!I387),"")</f>
        <v>26.271454368549637</v>
      </c>
      <c r="Q387">
        <f>IFERROR('Дивиденды по годам'!G387/'Дивиденды по годам'!I387, "")</f>
        <v>0.42695465237642732</v>
      </c>
      <c r="R387">
        <f>IFERROR(IF(AND('Дивиденды по годам'!N387&lt;&gt;"",'Дивиденды по годам'!U387&lt;&gt;"",'Дивиденды по годам'!U387&lt;&gt;0),'Дивиденды по годам'!N387/'Дивиденды по годам'!U387-1,""),"")</f>
        <v>-4.535039567955379E-2</v>
      </c>
      <c r="S387">
        <f>IFERROR(IF(AND('Дивиденды по годам'!L387&lt;&gt;"",'Дивиденды по годам'!I387&lt;&gt;"",'Дивиденды по годам'!J387&lt;&gt;"",'Дивиденды по годам'!K387&lt;&gt;"",('Дивиденды по годам'!I387-'Дивиденды по годам'!J387-'Дивиденды по годам'!K387)&lt;&gt;0),'Дивиденды по годам'!L387/('Дивиденды по годам'!I387-'Дивиденды по годам'!J387-'Дивиденды по годам'!K387),""),"")</f>
        <v>1.4495192307692308</v>
      </c>
      <c r="T387">
        <f>IFERROR(IF(AND('Дивиденды по годам'!Q387&lt;&gt;"",'Дивиденды по годам'!I387&lt;&gt;"",'Дивиденды по годам'!V387&lt;&gt;"",('Дивиденды по годам'!I387+'Дивиденды по годам'!V387)&lt;&gt;0),'Дивиденды по годам'!Q387/(('Дивиденды по годам'!I387+'Дивиденды по годам'!V387)/2),""),"")</f>
        <v>-0.13722693463078006</v>
      </c>
      <c r="U387">
        <f>IFERROR(IF(AND('Дивиденды по годам'!J387&lt;&gt;"",'Дивиденды по годам'!K387&lt;&gt;"",'Дивиденды по годам'!M387&lt;&gt;"",'Дивиденды по годам'!M387&lt;&gt;0),('Дивиденды по годам'!J387+'Дивиденды по годам'!K387)/'Дивиденды по годам'!M387,""),"")</f>
        <v>-3.5718349358974359</v>
      </c>
      <c r="V387">
        <f>IFERROR(IF(AND('Дивиденды по годам'!J387&lt;&gt;"",'Дивиденды по годам'!K387&lt;&gt;"",'Дивиденды по годам'!M387&lt;&gt;"",'Дивиденды по годам'!I387&lt;&gt;0),('Дивиденды по годам'!J387+'Дивиденды по годам'!K387)/'Дивиденды по годам'!I387,""),"")</f>
        <v>1.3888274422444815</v>
      </c>
      <c r="W387">
        <f>IFERROR('Дивиденды по годам'!I387,"")</f>
        <v>256772000000</v>
      </c>
      <c r="X387" cm="1">
        <f t="array" ref="X387">IFERROR(AVERAGE(_xlfn._xlws.FILTER(P$2:P$1073,($C$2:$C$1073=$C387)*($E$2:$E$1073=$E387)*(ROW(P$2:P$1073)&lt;&gt;ROW(P387))*(P$2:P$1073&lt;&gt;""))),"")</f>
        <v>27.384013648267295</v>
      </c>
      <c r="Y387" cm="1">
        <f t="array" ref="Y387">IFERROR(AVERAGE(_xlfn._xlws.FILTER(Q$2:Q$1073,($C$2:$C$1073=$C387)*($E$2:$E$1073=$E387)*(ROW(Q$2:Q$1073)&lt;&gt;ROW(Q387))*(Q$2:Q$1073&lt;&gt;""))),"")</f>
        <v>0.48545741592707448</v>
      </c>
      <c r="Z387" cm="1">
        <f t="array" ref="Z387">IFERROR(AVERAGE(_xlfn._xlws.FILTER(R$2:R$1073,($C$2:$C$1073=$C387)*($E$2:$E$1073=$E387)*(ROW(R$2:R$1073)&lt;&gt;ROW(R387))*(R$2:R$1073&lt;&gt;""))),"")</f>
        <v>3.2346149409246384E-2</v>
      </c>
      <c r="AA387" cm="1">
        <f t="array" ref="AA387">IFERROR(AVERAGE(_xlfn._xlws.FILTER(S$2:S$1073,($C$2:$C$1073=$C387)*($E$2:$E$1073=$E387)*(ROW(S$2:S$1073)&lt;&gt;ROW(S387))*(S$2:S$1073&lt;&gt;""))),"")</f>
        <v>1.144934834624445</v>
      </c>
      <c r="AB387" cm="1">
        <f t="array" ref="AB387">IFERROR(AVERAGE(_xlfn._xlws.FILTER(T$2:T$1073,($C$2:$C$1073=$C387)*($E$2:$E$1073=$E387)*(ROW(T$2:T$1073)&lt;&gt;ROW(T387))*(T$2:T$1073&lt;&gt;""))),"")</f>
        <v>6.3798444472921989E-2</v>
      </c>
      <c r="AC387" cm="1">
        <f t="array" ref="AC387">IFERROR(AVERAGE(_xlfn._xlws.FILTER(U$2:U$1073,($C$2:$C$1073=$C387)*($E$2:$E$1073=$E387)*(ROW(U$2:U$1073)&lt;&gt;ROW(U387))*(U$2:U$1073&lt;&gt;""))),"")</f>
        <v>3.1784031096669594</v>
      </c>
      <c r="AD387" cm="1">
        <f t="array" ref="AD387">IFERROR(AVERAGE(_xlfn._xlws.FILTER(V$2:V$1073,($C$2:$C$1073=$C387)*($E$2:$E$1073=$E387)*(ROW(V$2:V$1073)&lt;&gt;ROW(V387))*(V$2:V$1073&lt;&gt;""))),"")</f>
        <v>0.54191162293060846</v>
      </c>
      <c r="AE387">
        <f>IF('Дивиденды по годам'!M387&lt;0,1,0)</f>
        <v>1</v>
      </c>
    </row>
    <row r="388" spans="1:31" x14ac:dyDescent="0.2">
      <c r="A388" s="7" t="s">
        <v>2226</v>
      </c>
      <c r="B388" t="str">
        <f t="shared" si="66"/>
        <v>MTLR IV кв. 2023</v>
      </c>
      <c r="C388">
        <v>2023</v>
      </c>
      <c r="D388">
        <f>SUMIFS(Дивиденды!$C:$C,Дивиденды!$A:$A,A388,Дивиденды!$I:$I,C388)</f>
        <v>0</v>
      </c>
      <c r="E388">
        <v>3</v>
      </c>
      <c r="F388">
        <f t="shared" si="67"/>
        <v>0</v>
      </c>
      <c r="G388">
        <f t="shared" si="68"/>
        <v>25.244</v>
      </c>
      <c r="H388">
        <f t="shared" si="69"/>
        <v>0</v>
      </c>
      <c r="I388">
        <f t="shared" si="70"/>
        <v>0.6</v>
      </c>
      <c r="J388">
        <f t="shared" si="71"/>
        <v>0</v>
      </c>
      <c r="K388">
        <f t="shared" ref="K388:K451" si="76">IFERROR(AVERAGEIFS($J:$J,$E:$E,E388,$C:$C,C388,$A:$A,"&lt;&gt;"&amp;A388),"")</f>
        <v>0.43287037037037035</v>
      </c>
      <c r="L388">
        <f t="shared" si="72"/>
        <v>0</v>
      </c>
      <c r="M388">
        <f t="shared" si="73"/>
        <v>0.6</v>
      </c>
      <c r="N388">
        <f t="shared" si="74"/>
        <v>0</v>
      </c>
      <c r="O388">
        <f t="shared" si="75"/>
        <v>0.1</v>
      </c>
      <c r="P388">
        <f>IFERROR(LN('Дивиденды по годам'!I388),"")</f>
        <v>26.328538351289815</v>
      </c>
      <c r="Q388">
        <f>IFERROR('Дивиденды по годам'!G388/'Дивиденды по годам'!I388, "")</f>
        <v>0.36137146136189746</v>
      </c>
      <c r="R388">
        <f>IFERROR(IF(AND('Дивиденды по годам'!N388&lt;&gt;"",'Дивиденды по годам'!U388&lt;&gt;"",'Дивиденды по годам'!U388&lt;&gt;0),'Дивиденды по годам'!N388/'Дивиденды по годам'!U388-1,""),"")</f>
        <v>-6.4880369546936323E-2</v>
      </c>
      <c r="S388">
        <f>IFERROR(IF(AND('Дивиденды по годам'!L388&lt;&gt;"",'Дивиденды по годам'!I388&lt;&gt;"",'Дивиденды по годам'!J388&lt;&gt;"",'Дивиденды по годам'!K388&lt;&gt;"",('Дивиденды по годам'!I388-'Дивиденды по годам'!J388-'Дивиденды по годам'!K388)&lt;&gt;0),'Дивиденды по годам'!L388/('Дивиденды по годам'!I388-'Дивиденды по годам'!J388-'Дивиденды по годам'!K388),""),"")</f>
        <v>1.7764202103035514</v>
      </c>
      <c r="T388">
        <f>IFERROR(IF(AND('Дивиденды по годам'!Q388&lt;&gt;"",'Дивиденды по годам'!I388&lt;&gt;"",'Дивиденды по годам'!V388&lt;&gt;"",('Дивиденды по годам'!I388+'Дивиденды по годам'!V388)&lt;&gt;0),'Дивиденды по годам'!Q388/(('Дивиденды по годам'!I388+'Дивиденды по годам'!V388)/2),""),"")</f>
        <v>9.2374978332053895E-2</v>
      </c>
      <c r="U388">
        <f>IFERROR(IF(AND('Дивиденды по годам'!J388&lt;&gt;"",'Дивиденды по годам'!K388&lt;&gt;"",'Дивиденды по годам'!M388&lt;&gt;"",'Дивиденды по годам'!M388&lt;&gt;0),('Дивиденды по годам'!J388+'Дивиденды по годам'!K388)/'Дивиденды по годам'!M388,""),"")</f>
        <v>-5.49467627802394</v>
      </c>
      <c r="V388">
        <f>IFERROR(IF(AND('Дивиденды по годам'!J388&lt;&gt;"",'Дивиденды по годам'!K388&lt;&gt;"",'Дивиденды по годам'!M388&lt;&gt;"",'Дивиденды по годам'!I388&lt;&gt;0),('Дивиденды по годам'!J388+'Дивиденды по годам'!K388)/'Дивиденды по годам'!I388,""),"")</f>
        <v>1.2224854334647755</v>
      </c>
      <c r="W388">
        <f>IFERROR('Дивиденды по годам'!I388,"")</f>
        <v>271856000000</v>
      </c>
      <c r="X388" cm="1">
        <f t="array" ref="X388">IFERROR(AVERAGE(_xlfn._xlws.FILTER(P$2:P$1073,($C$2:$C$1073=$C388)*($E$2:$E$1073=$E388)*(ROW(P$2:P$1073)&lt;&gt;ROW(P388))*(P$2:P$1073&lt;&gt;""))),"")</f>
        <v>27.299081806523226</v>
      </c>
      <c r="Y388" cm="1">
        <f t="array" ref="Y388">IFERROR(AVERAGE(_xlfn._xlws.FILTER(Q$2:Q$1073,($C$2:$C$1073=$C388)*($E$2:$E$1073=$E388)*(ROW(Q$2:Q$1073)&lt;&gt;ROW(Q388))*(Q$2:Q$1073&lt;&gt;""))),"")</f>
        <v>0.46521697219377411</v>
      </c>
      <c r="Z388" cm="1">
        <f t="array" ref="Z388">IFERROR(AVERAGE(_xlfn._xlws.FILTER(R$2:R$1073,($C$2:$C$1073=$C388)*($E$2:$E$1073=$E388)*(ROW(R$2:R$1073)&lt;&gt;ROW(R388))*(R$2:R$1073&lt;&gt;""))),"")</f>
        <v>0.15041103099044562</v>
      </c>
      <c r="AA388" cm="1">
        <f t="array" ref="AA388">IFERROR(AVERAGE(_xlfn._xlws.FILTER(S$2:S$1073,($C$2:$C$1073=$C388)*($E$2:$E$1073=$E388)*(ROW(S$2:S$1073)&lt;&gt;ROW(S388))*(S$2:S$1073&lt;&gt;""))),"")</f>
        <v>-2.9208327087658914E-2</v>
      </c>
      <c r="AB388" cm="1">
        <f t="array" ref="AB388">IFERROR(AVERAGE(_xlfn._xlws.FILTER(T$2:T$1073,($C$2:$C$1073=$C388)*($E$2:$E$1073=$E388)*(ROW(T$2:T$1073)&lt;&gt;ROW(T388))*(T$2:T$1073&lt;&gt;""))),"")</f>
        <v>0.12100082665351053</v>
      </c>
      <c r="AC388" cm="1">
        <f t="array" ref="AC388">IFERROR(AVERAGE(_xlfn._xlws.FILTER(U$2:U$1073,($C$2:$C$1073=$C388)*($E$2:$E$1073=$E388)*(ROW(U$2:U$1073)&lt;&gt;ROW(U388))*(U$2:U$1073&lt;&gt;""))),"")</f>
        <v>-6.3742397812059523E-2</v>
      </c>
      <c r="AD388" cm="1">
        <f t="array" ref="AD388">IFERROR(AVERAGE(_xlfn._xlws.FILTER(V$2:V$1073,($C$2:$C$1073=$C388)*($E$2:$E$1073=$E388)*(ROW(V$2:V$1073)&lt;&gt;ROW(V388))*(V$2:V$1073&lt;&gt;""))),"")</f>
        <v>0.535429729839902</v>
      </c>
      <c r="AE388">
        <f>IF('Дивиденды по годам'!M388&lt;0,1,0)</f>
        <v>1</v>
      </c>
    </row>
    <row r="389" spans="1:31" x14ac:dyDescent="0.2">
      <c r="A389" s="7" t="s">
        <v>2226</v>
      </c>
      <c r="B389" t="str">
        <f t="shared" si="66"/>
        <v>MTLR IV кв. 2022</v>
      </c>
      <c r="C389">
        <v>2022</v>
      </c>
      <c r="D389">
        <f>SUMIFS(Дивиденды!$C:$C,Дивиденды!$A:$A,A389,Дивиденды!$I:$I,C389)</f>
        <v>0</v>
      </c>
      <c r="E389">
        <v>3</v>
      </c>
      <c r="F389">
        <f t="shared" si="67"/>
        <v>0</v>
      </c>
      <c r="G389">
        <f t="shared" si="68"/>
        <v>1.73</v>
      </c>
      <c r="H389">
        <f t="shared" si="69"/>
        <v>0</v>
      </c>
      <c r="I389">
        <f t="shared" si="70"/>
        <v>0.2</v>
      </c>
      <c r="J389">
        <f t="shared" si="71"/>
        <v>0</v>
      </c>
      <c r="K389">
        <f t="shared" si="76"/>
        <v>-0.60242800677583286</v>
      </c>
      <c r="L389">
        <f t="shared" si="72"/>
        <v>0</v>
      </c>
      <c r="M389">
        <f t="shared" si="73"/>
        <v>0.1</v>
      </c>
      <c r="N389">
        <f t="shared" si="74"/>
        <v>0</v>
      </c>
      <c r="O389">
        <f t="shared" si="75"/>
        <v>0.8</v>
      </c>
      <c r="P389">
        <f>IFERROR(LN('Дивиденды по годам'!I389),"")</f>
        <v>26.257101866276042</v>
      </c>
      <c r="Q389">
        <f>IFERROR('Дивиденды по годам'!G389/'Дивиденды по годам'!I389, "")</f>
        <v>0.31308545985389924</v>
      </c>
      <c r="R389">
        <f>IFERROR(IF(AND('Дивиденды по годам'!N389&lt;&gt;"",'Дивиденды по годам'!U389&lt;&gt;"",'Дивиденды по годам'!U389&lt;&gt;0),'Дивиденды по годам'!N389/'Дивиденды по годам'!U389-1,""),"")</f>
        <v>7.9515213617393776E-2</v>
      </c>
      <c r="S389">
        <f>IFERROR(IF(AND('Дивиденды по годам'!L389&lt;&gt;"",'Дивиденды по годам'!I389&lt;&gt;"",'Дивиденды по годам'!J389&lt;&gt;"",'Дивиденды по годам'!K389&lt;&gt;"",('Дивиденды по годам'!I389-'Дивиденды по годам'!J389-'Дивиденды по годам'!K389)&lt;&gt;0),'Дивиденды по годам'!L389/('Дивиденды по годам'!I389-'Дивиденды по годам'!J389-'Дивиденды по годам'!K389),""),"")</f>
        <v>1.5775870453219218</v>
      </c>
      <c r="T389">
        <f>IFERROR(IF(AND('Дивиденды по годам'!Q389&lt;&gt;"",'Дивиденды по годам'!I389&lt;&gt;"",'Дивиденды по годам'!V389&lt;&gt;"",('Дивиденды по годам'!I389+'Дивиденды по годам'!V389)&lt;&gt;0),'Дивиденды по годам'!Q389/(('Дивиденды по годам'!I389+'Дивиденды по годам'!V389)/2),""),"")</f>
        <v>0.26565547658888439</v>
      </c>
      <c r="U389">
        <f>IFERROR(IF(AND('Дивиденды по годам'!J389&lt;&gt;"",'Дивиденды по годам'!K389&lt;&gt;"",'Дивиденды по годам'!M389&lt;&gt;"",'Дивиденды по годам'!M389&lt;&gt;0),('Дивиденды по годам'!J389+'Дивиденды по годам'!K389)/'Дивиденды по годам'!M389,""),"")</f>
        <v>-4.077137230110873</v>
      </c>
      <c r="V389">
        <f>IFERROR(IF(AND('Дивиденды по годам'!J389&lt;&gt;"",'Дивиденды по годам'!K389&lt;&gt;"",'Дивиденды по годам'!M389&lt;&gt;"",'Дивиденды по годам'!I389&lt;&gt;0),('Дивиденды по годам'!J389+'Дивиденды по годам'!K389)/'Дивиденды по годам'!I389,""),"")</f>
        <v>1.3249773816437718</v>
      </c>
      <c r="W389">
        <f>IFERROR('Дивиденды по годам'!I389,"")</f>
        <v>253113000000</v>
      </c>
      <c r="X389" cm="1">
        <f t="array" ref="X389">IFERROR(AVERAGE(_xlfn._xlws.FILTER(P$2:P$1073,($C$2:$C$1073=$C389)*($E$2:$E$1073=$E389)*(ROW(P$2:P$1073)&lt;&gt;ROW(P389))*(P$2:P$1073&lt;&gt;""))),"")</f>
        <v>27.165406532050127</v>
      </c>
      <c r="Y389" cm="1">
        <f t="array" ref="Y389">IFERROR(AVERAGE(_xlfn._xlws.FILTER(Q$2:Q$1073,($C$2:$C$1073=$C389)*($E$2:$E$1073=$E389)*(ROW(Q$2:Q$1073)&lt;&gt;ROW(Q389))*(Q$2:Q$1073&lt;&gt;""))),"")</f>
        <v>0.48765642400650455</v>
      </c>
      <c r="Z389" cm="1">
        <f t="array" ref="Z389">IFERROR(AVERAGE(_xlfn._xlws.FILTER(R$2:R$1073,($C$2:$C$1073=$C389)*($E$2:$E$1073=$E389)*(ROW(R$2:R$1073)&lt;&gt;ROW(R389))*(R$2:R$1073&lt;&gt;""))),"")</f>
        <v>-3.1812594822902537E-2</v>
      </c>
      <c r="AA389" cm="1">
        <f t="array" ref="AA389">IFERROR(AVERAGE(_xlfn._xlws.FILTER(S$2:S$1073,($C$2:$C$1073=$C389)*($E$2:$E$1073=$E389)*(ROW(S$2:S$1073)&lt;&gt;ROW(S389))*(S$2:S$1073&lt;&gt;""))),"")</f>
        <v>0.77923973910549271</v>
      </c>
      <c r="AB389" cm="1">
        <f t="array" ref="AB389">IFERROR(AVERAGE(_xlfn._xlws.FILTER(T$2:T$1073,($C$2:$C$1073=$C389)*($E$2:$E$1073=$E389)*(ROW(T$2:T$1073)&lt;&gt;ROW(T389))*(T$2:T$1073&lt;&gt;""))),"")</f>
        <v>0.14797114025641953</v>
      </c>
      <c r="AC389" cm="1">
        <f t="array" ref="AC389">IFERROR(AVERAGE(_xlfn._xlws.FILTER(U$2:U$1073,($C$2:$C$1073=$C389)*($E$2:$E$1073=$E389)*(ROW(U$2:U$1073)&lt;&gt;ROW(U389))*(U$2:U$1073&lt;&gt;""))),"")</f>
        <v>1.6764066254052044</v>
      </c>
      <c r="AD389" cm="1">
        <f t="array" ref="AD389">IFERROR(AVERAGE(_xlfn._xlws.FILTER(V$2:V$1073,($C$2:$C$1073=$C389)*($E$2:$E$1073=$E389)*(ROW(V$2:V$1073)&lt;&gt;ROW(V389))*(V$2:V$1073&lt;&gt;""))),"")</f>
        <v>0.48849005066197704</v>
      </c>
      <c r="AE389">
        <f>IF('Дивиденды по годам'!M389&lt;0,1,0)</f>
        <v>1</v>
      </c>
    </row>
    <row r="390" spans="1:31" x14ac:dyDescent="0.2">
      <c r="A390" s="7" t="s">
        <v>2226</v>
      </c>
      <c r="B390" t="str">
        <f t="shared" si="66"/>
        <v>MTLR IV кв. 2021</v>
      </c>
      <c r="C390">
        <v>2021</v>
      </c>
      <c r="D390">
        <f>SUMIFS(Дивиденды!$C:$C,Дивиденды!$A:$A,A390,Дивиденды!$I:$I,C390)</f>
        <v>0</v>
      </c>
      <c r="E390">
        <v>3</v>
      </c>
      <c r="F390">
        <f t="shared" si="67"/>
        <v>0</v>
      </c>
      <c r="G390">
        <f t="shared" si="68"/>
        <v>36.855000000000004</v>
      </c>
      <c r="H390">
        <f t="shared" si="69"/>
        <v>0</v>
      </c>
      <c r="I390">
        <f t="shared" si="70"/>
        <v>0.8</v>
      </c>
      <c r="J390">
        <f t="shared" si="71"/>
        <v>0</v>
      </c>
      <c r="K390">
        <f t="shared" si="76"/>
        <v>0.73069632657079653</v>
      </c>
      <c r="L390">
        <f t="shared" si="72"/>
        <v>0</v>
      </c>
      <c r="M390">
        <f t="shared" si="73"/>
        <v>0.5</v>
      </c>
      <c r="N390">
        <f t="shared" si="74"/>
        <v>0</v>
      </c>
      <c r="O390">
        <f t="shared" si="75"/>
        <v>0.2</v>
      </c>
      <c r="P390">
        <f>IFERROR(LN('Дивиденды по годам'!I390),"")</f>
        <v>26.193559768233413</v>
      </c>
      <c r="Q390">
        <f>IFERROR('Дивиденды по годам'!G390/'Дивиденды по годам'!I390, "")</f>
        <v>0.31789247673978022</v>
      </c>
      <c r="R390">
        <f>IFERROR(IF(AND('Дивиденды по годам'!N390&lt;&gt;"",'Дивиденды по годам'!U390&lt;&gt;"",'Дивиденды по годам'!U390&lt;&gt;0),'Дивиденды по годам'!N390/'Дивиденды по годам'!U390-1,""),"")</f>
        <v>0.5146654410933722</v>
      </c>
      <c r="S390">
        <f>IFERROR(IF(AND('Дивиденды по годам'!L390&lt;&gt;"",'Дивиденды по годам'!I390&lt;&gt;"",'Дивиденды по годам'!J390&lt;&gt;"",'Дивиденды по годам'!K390&lt;&gt;"",('Дивиденды по годам'!I390-'Дивиденды по годам'!J390-'Дивиденды по годам'!K390)&lt;&gt;0),'Дивиденды по годам'!L390/('Дивиденды по годам'!I390-'Дивиденды по годам'!J390-'Дивиденды по годам'!K390),""),"")</f>
        <v>1.3085050041418269</v>
      </c>
      <c r="T390">
        <f>IFERROR(IF(AND('Дивиденды по годам'!Q390&lt;&gt;"",'Дивиденды по годам'!I390&lt;&gt;"",'Дивиденды по годам'!V390&lt;&gt;"",('Дивиденды по годам'!I390+'Дивиденды по годам'!V390)&lt;&gt;0),'Дивиденды по годам'!Q390/(('Дивиденды по годам'!I390+'Дивиденды по годам'!V390)/2),""),"")</f>
        <v>0.38305399077358182</v>
      </c>
      <c r="U390">
        <f>IFERROR(IF(AND('Дивиденды по годам'!J390&lt;&gt;"",'Дивиденды по годам'!K390&lt;&gt;"",'Дивиденды по годам'!M390&lt;&gt;"",'Дивиденды по годам'!M390&lt;&gt;0),('Дивиденды по годам'!J390+'Дивиденды по годам'!K390)/'Дивиденды по годам'!M390,""),"")</f>
        <v>-2.6128002824590233</v>
      </c>
      <c r="V390">
        <f>IFERROR(IF(AND('Дивиденды по годам'!J390&lt;&gt;"",'Дивиденды по годам'!K390&lt;&gt;"",'Дивиденды по годам'!M390&lt;&gt;"",'Дивиденды по годам'!I390&lt;&gt;0),('Дивиденды по годам'!J390+'Дивиденды по годам'!K390)/'Дивиденды по годам'!I390,""),"")</f>
        <v>1.6200395739485538</v>
      </c>
      <c r="W390">
        <f>IFERROR('Дивиденды по годам'!I390,"")</f>
        <v>237530000000</v>
      </c>
      <c r="X390" cm="1">
        <f t="array" ref="X390">IFERROR(AVERAGE(_xlfn._xlws.FILTER(P$2:P$1073,($C$2:$C$1073=$C390)*($E$2:$E$1073=$E390)*(ROW(P$2:P$1073)&lt;&gt;ROW(P390))*(P$2:P$1073&lt;&gt;""))),"")</f>
        <v>27.063940225368629</v>
      </c>
      <c r="Y390" cm="1">
        <f t="array" ref="Y390">IFERROR(AVERAGE(_xlfn._xlws.FILTER(Q$2:Q$1073,($C$2:$C$1073=$C390)*($E$2:$E$1073=$E390)*(ROW(Q$2:Q$1073)&lt;&gt;ROW(Q390))*(Q$2:Q$1073&lt;&gt;""))),"")</f>
        <v>0.50468208542591042</v>
      </c>
      <c r="Z390" cm="1">
        <f t="array" ref="Z390">IFERROR(AVERAGE(_xlfn._xlws.FILTER(R$2:R$1073,($C$2:$C$1073=$C390)*($E$2:$E$1073=$E390)*(ROW(R$2:R$1073)&lt;&gt;ROW(R390))*(R$2:R$1073&lt;&gt;""))),"")</f>
        <v>0.69996477429400172</v>
      </c>
      <c r="AA390" cm="1">
        <f t="array" ref="AA390">IFERROR(AVERAGE(_xlfn._xlws.FILTER(S$2:S$1073,($C$2:$C$1073=$C390)*($E$2:$E$1073=$E390)*(ROW(S$2:S$1073)&lt;&gt;ROW(S390))*(S$2:S$1073&lt;&gt;""))),"")</f>
        <v>1.0080967923320723</v>
      </c>
      <c r="AB390" cm="1">
        <f t="array" ref="AB390">IFERROR(AVERAGE(_xlfn._xlws.FILTER(T$2:T$1073,($C$2:$C$1073=$C390)*($E$2:$E$1073=$E390)*(ROW(T$2:T$1073)&lt;&gt;ROW(T390))*(T$2:T$1073&lt;&gt;""))),"")</f>
        <v>0.27778789223154321</v>
      </c>
      <c r="AC390" cm="1">
        <f t="array" ref="AC390">IFERROR(AVERAGE(_xlfn._xlws.FILTER(U$2:U$1073,($C$2:$C$1073=$C390)*($E$2:$E$1073=$E390)*(ROW(U$2:U$1073)&lt;&gt;ROW(U390))*(U$2:U$1073&lt;&gt;""))),"")</f>
        <v>2.5142562565950426</v>
      </c>
      <c r="AD390" cm="1">
        <f t="array" ref="AD390">IFERROR(AVERAGE(_xlfn._xlws.FILTER(V$2:V$1073,($C$2:$C$1073=$C390)*($E$2:$E$1073=$E390)*(ROW(V$2:V$1073)&lt;&gt;ROW(V390))*(V$2:V$1073&lt;&gt;""))),"")</f>
        <v>0.57116660710296807</v>
      </c>
      <c r="AE390">
        <f>IF('Дивиденды по годам'!M390&lt;0,1,0)</f>
        <v>1</v>
      </c>
    </row>
    <row r="391" spans="1:31" x14ac:dyDescent="0.2">
      <c r="A391" s="7" t="s">
        <v>2226</v>
      </c>
      <c r="B391" t="str">
        <f t="shared" si="66"/>
        <v>MTLR IV кв. 2020</v>
      </c>
      <c r="C391">
        <v>2020</v>
      </c>
      <c r="D391">
        <f>SUMIFS(Дивиденды!$C:$C,Дивиденды!$A:$A,A391,Дивиденды!$I:$I,C391)</f>
        <v>0</v>
      </c>
      <c r="E391">
        <v>3</v>
      </c>
      <c r="F391">
        <f t="shared" si="67"/>
        <v>0</v>
      </c>
      <c r="G391">
        <f t="shared" si="68"/>
        <v>23.983999999999998</v>
      </c>
      <c r="H391">
        <f t="shared" si="69"/>
        <v>0</v>
      </c>
      <c r="I391">
        <f t="shared" si="70"/>
        <v>0.8</v>
      </c>
      <c r="J391">
        <f t="shared" si="71"/>
        <v>0</v>
      </c>
      <c r="K391">
        <f t="shared" si="76"/>
        <v>0.6593795487099845</v>
      </c>
      <c r="L391">
        <f t="shared" si="72"/>
        <v>0</v>
      </c>
      <c r="M391">
        <f t="shared" si="73"/>
        <v>0.7</v>
      </c>
      <c r="N391">
        <f t="shared" si="74"/>
        <v>0</v>
      </c>
      <c r="O391">
        <f t="shared" si="75"/>
        <v>0.1</v>
      </c>
      <c r="P391">
        <f>IFERROR(LN('Дивиденды по годам'!I391),"")</f>
        <v>25.99029891345468</v>
      </c>
      <c r="Q391">
        <f>IFERROR('Дивиденды по годам'!G391/'Дивиденды по годам'!I391, "")</f>
        <v>0.41965022699133303</v>
      </c>
      <c r="R391">
        <f>IFERROR(IF(AND('Дивиденды по годам'!N391&lt;&gt;"",'Дивиденды по годам'!U391&lt;&gt;"",'Дивиденды по годам'!U391&lt;&gt;0),'Дивиденды по годам'!N391/'Дивиденды по годам'!U391-1,""),"")</f>
        <v>-0.10491052612057306</v>
      </c>
      <c r="S391">
        <f>IFERROR(IF(AND('Дивиденды по годам'!L391&lt;&gt;"",'Дивиденды по годам'!I391&lt;&gt;"",'Дивиденды по годам'!J391&lt;&gt;"",'Дивиденды по годам'!K391&lt;&gt;"",('Дивиденды по годам'!I391-'Дивиденды по годам'!J391-'Дивиденды по годам'!K391)&lt;&gt;0),'Дивиденды по годам'!L391/('Дивиденды по годам'!I391-'Дивиденды по годам'!J391-'Дивиденды по годам'!K391),""),"")</f>
        <v>1.1843101213416511</v>
      </c>
      <c r="T391">
        <f>IFERROR(IF(AND('Дивиденды по годам'!Q391&lt;&gt;"",'Дивиденды по годам'!I391&lt;&gt;"",'Дивиденды по годам'!V391&lt;&gt;"",('Дивиденды по годам'!I391+'Дивиденды по годам'!V391)&lt;&gt;0),'Дивиденды по годам'!Q391/(('Дивиденды по годам'!I391+'Дивиденды по годам'!V391)/2),""),"")</f>
        <v>5.7510195617612499E-3</v>
      </c>
      <c r="U391">
        <f>IFERROR(IF(AND('Дивиденды по годам'!J391&lt;&gt;"",'Дивиденды по годам'!K391&lt;&gt;"",'Дивиденды по годам'!M391&lt;&gt;"",'Дивиденды по годам'!M391&lt;&gt;0),('Дивиденды по годам'!J391+'Дивиденды по годам'!K391)/'Дивиденды по годам'!M391,""),"")</f>
        <v>-1.8403310342435764</v>
      </c>
      <c r="V391">
        <f>IFERROR(IF(AND('Дивиденды по годам'!J391&lt;&gt;"",'Дивиденды по годам'!K391&lt;&gt;"",'Дивиденды по годам'!M391&lt;&gt;"",'Дивиденды по годам'!I391&lt;&gt;0),('Дивиденды по годам'!J391+'Дивиденды по годам'!K391)/'Дивиденды по годам'!I391,""),"")</f>
        <v>2.1900072224515066</v>
      </c>
      <c r="W391">
        <f>IFERROR('Дивиденды по годам'!I391,"")</f>
        <v>193840000000</v>
      </c>
      <c r="X391" cm="1">
        <f t="array" ref="X391">IFERROR(AVERAGE(_xlfn._xlws.FILTER(P$2:P$1073,($C$2:$C$1073=$C391)*($E$2:$E$1073=$E391)*(ROW(P$2:P$1073)&lt;&gt;ROW(P391))*(P$2:P$1073&lt;&gt;""))),"")</f>
        <v>26.901511121077455</v>
      </c>
      <c r="Y391" cm="1">
        <f t="array" ref="Y391">IFERROR(AVERAGE(_xlfn._xlws.FILTER(Q$2:Q$1073,($C$2:$C$1073=$C391)*($E$2:$E$1073=$E391)*(ROW(Q$2:Q$1073)&lt;&gt;ROW(Q391))*(Q$2:Q$1073&lt;&gt;""))),"")</f>
        <v>0.51476255695383588</v>
      </c>
      <c r="Z391" cm="1">
        <f t="array" ref="Z391">IFERROR(AVERAGE(_xlfn._xlws.FILTER(R$2:R$1073,($C$2:$C$1073=$C391)*($E$2:$E$1073=$E391)*(ROW(R$2:R$1073)&lt;&gt;ROW(R391))*(R$2:R$1073&lt;&gt;""))),"")</f>
        <v>4.0442521052391198E-2</v>
      </c>
      <c r="AA391" cm="1">
        <f t="array" ref="AA391">IFERROR(AVERAGE(_xlfn._xlws.FILTER(S$2:S$1073,($C$2:$C$1073=$C391)*($E$2:$E$1073=$E391)*(ROW(S$2:S$1073)&lt;&gt;ROW(S391))*(S$2:S$1073&lt;&gt;""))),"")</f>
        <v>1.0266692674113442</v>
      </c>
      <c r="AB391" cm="1">
        <f t="array" ref="AB391">IFERROR(AVERAGE(_xlfn._xlws.FILTER(T$2:T$1073,($C$2:$C$1073=$C391)*($E$2:$E$1073=$E391)*(ROW(T$2:T$1073)&lt;&gt;ROW(T391))*(T$2:T$1073&lt;&gt;""))),"")</f>
        <v>0.10315358955062341</v>
      </c>
      <c r="AC391" cm="1">
        <f t="array" ref="AC391">IFERROR(AVERAGE(_xlfn._xlws.FILTER(U$2:U$1073,($C$2:$C$1073=$C391)*($E$2:$E$1073=$E391)*(ROW(U$2:U$1073)&lt;&gt;ROW(U391))*(U$2:U$1073&lt;&gt;""))),"")</f>
        <v>2.0088545605154695</v>
      </c>
      <c r="AD391" cm="1">
        <f t="array" ref="AD391">IFERROR(AVERAGE(_xlfn._xlws.FILTER(V$2:V$1073,($C$2:$C$1073=$C391)*($E$2:$E$1073=$E391)*(ROW(V$2:V$1073)&lt;&gt;ROW(V391))*(V$2:V$1073&lt;&gt;""))),"")</f>
        <v>0.6216136028133028</v>
      </c>
      <c r="AE391">
        <f>IF('Дивиденды по годам'!M391&lt;0,1,0)</f>
        <v>1</v>
      </c>
    </row>
    <row r="392" spans="1:31" x14ac:dyDescent="0.2">
      <c r="A392" s="7" t="s">
        <v>2226</v>
      </c>
      <c r="B392" t="str">
        <f t="shared" si="66"/>
        <v>MTLR IV кв. 2019</v>
      </c>
      <c r="C392">
        <v>2019</v>
      </c>
      <c r="D392">
        <f>SUMIFS(Дивиденды!$C:$C,Дивиденды!$A:$A,A392,Дивиденды!$I:$I,C392)</f>
        <v>0</v>
      </c>
      <c r="E392">
        <v>3</v>
      </c>
      <c r="F392">
        <f t="shared" si="67"/>
        <v>0</v>
      </c>
      <c r="G392">
        <f t="shared" si="68"/>
        <v>19.591000000000001</v>
      </c>
      <c r="H392">
        <f t="shared" si="69"/>
        <v>0</v>
      </c>
      <c r="I392">
        <f t="shared" si="70"/>
        <v>0.8</v>
      </c>
      <c r="J392">
        <f t="shared" si="71"/>
        <v>0</v>
      </c>
      <c r="K392">
        <f t="shared" si="76"/>
        <v>0.25160659566020116</v>
      </c>
      <c r="L392">
        <f t="shared" si="72"/>
        <v>0</v>
      </c>
      <c r="M392">
        <f t="shared" si="73"/>
        <v>0.4</v>
      </c>
      <c r="N392">
        <f t="shared" si="74"/>
        <v>0</v>
      </c>
      <c r="O392">
        <f t="shared" si="75"/>
        <v>0.4</v>
      </c>
      <c r="P392">
        <f>IFERROR(LN('Дивиденды по годам'!I392),"")</f>
        <v>26.46788630599487</v>
      </c>
      <c r="Q392">
        <f>IFERROR('Дивиденды по годам'!G392/'Дивиденды по годам'!I392, "")</f>
        <v>0.63036431417097327</v>
      </c>
      <c r="R392">
        <f>IFERROR(IF(AND('Дивиденды по годам'!N392&lt;&gt;"",'Дивиденды по годам'!U392&lt;&gt;"",'Дивиденды по годам'!U392&lt;&gt;0),'Дивиденды по годам'!N392/'Дивиденды по годам'!U392-1,""),"")</f>
        <v>-5.1210273407257145E-2</v>
      </c>
      <c r="S392">
        <f>IFERROR(IF(AND('Дивиденды по годам'!L392&lt;&gt;"",'Дивиденды по годам'!I392&lt;&gt;"",'Дивиденды по годам'!J392&lt;&gt;"",'Дивиденды по годам'!K392&lt;&gt;"",('Дивиденды по годам'!I392-'Дивиденды по годам'!J392-'Дивиденды по годам'!K392)&lt;&gt;0),'Дивиденды по годам'!L392/('Дивиденды по годам'!I392-'Дивиденды по годам'!J392-'Дивиденды по годам'!K392),""),"")</f>
        <v>1.1719071734654127</v>
      </c>
      <c r="T392">
        <f>IFERROR(IF(AND('Дивиденды по годам'!Q392&lt;&gt;"",'Дивиденды по годам'!I392&lt;&gt;"",'Дивиденды по годам'!V392&lt;&gt;"",('Дивиденды по годам'!I392+'Дивиденды по годам'!V392)&lt;&gt;0),'Дивиденды по годам'!Q392/(('Дивиденды по годам'!I392+'Дивиденды по годам'!V392)/2),""),"")</f>
        <v>1.3600368177995016E-2</v>
      </c>
      <c r="U392">
        <f>IFERROR(IF(AND('Дивиденды по годам'!J392&lt;&gt;"",'Дивиденды по годам'!K392&lt;&gt;"",'Дивиденды по годам'!M392&lt;&gt;"",'Дивиденды по годам'!M392&lt;&gt;0),('Дивиденды по годам'!J392+'Дивиденды по годам'!K392)/'Дивиденды по годам'!M392,""),"")</f>
        <v>-2.3377954340167042</v>
      </c>
      <c r="V392">
        <f>IFERROR(IF(AND('Дивиденды по годам'!J392&lt;&gt;"",'Дивиденды по годам'!K392&lt;&gt;"",'Дивиденды по годам'!M392&lt;&gt;"",'Дивиденды по годам'!I392&lt;&gt;0),('Дивиденды по годам'!J392+'Дивиденды по годам'!K392)/'Дивиденды по годам'!I392,""),"")</f>
        <v>1.7474984400249596</v>
      </c>
      <c r="W392">
        <f>IFERROR('Дивиденды по годам'!I392,"")</f>
        <v>312505000000</v>
      </c>
      <c r="X392" cm="1">
        <f t="array" ref="X392">IFERROR(AVERAGE(_xlfn._xlws.FILTER(P$2:P$1073,($C$2:$C$1073=$C392)*($E$2:$E$1073=$E392)*(ROW(P$2:P$1073)&lt;&gt;ROW(P392))*(P$2:P$1073&lt;&gt;""))),"")</f>
        <v>26.738840474357183</v>
      </c>
      <c r="Y392" cm="1">
        <f t="array" ref="Y392">IFERROR(AVERAGE(_xlfn._xlws.FILTER(Q$2:Q$1073,($C$2:$C$1073=$C392)*($E$2:$E$1073=$E392)*(ROW(Q$2:Q$1073)&lt;&gt;ROW(Q392))*(Q$2:Q$1073&lt;&gt;""))),"")</f>
        <v>0.48775270577725199</v>
      </c>
      <c r="Z392" cm="1">
        <f t="array" ref="Z392">IFERROR(AVERAGE(_xlfn._xlws.FILTER(R$2:R$1073,($C$2:$C$1073=$C392)*($E$2:$E$1073=$E392)*(ROW(R$2:R$1073)&lt;&gt;ROW(R392))*(R$2:R$1073&lt;&gt;""))),"")</f>
        <v>4.7879591607904649E-2</v>
      </c>
      <c r="AA392" cm="1">
        <f t="array" ref="AA392">IFERROR(AVERAGE(_xlfn._xlws.FILTER(S$2:S$1073,($C$2:$C$1073=$C392)*($E$2:$E$1073=$E392)*(ROW(S$2:S$1073)&lt;&gt;ROW(S392))*(S$2:S$1073&lt;&gt;""))),"")</f>
        <v>0.88180810193634862</v>
      </c>
      <c r="AB392" cm="1">
        <f t="array" ref="AB392">IFERROR(AVERAGE(_xlfn._xlws.FILTER(T$2:T$1073,($C$2:$C$1073=$C392)*($E$2:$E$1073=$E392)*(ROW(T$2:T$1073)&lt;&gt;ROW(T392))*(T$2:T$1073&lt;&gt;""))),"")</f>
        <v>0.15044168803662933</v>
      </c>
      <c r="AC392" cm="1">
        <f t="array" ref="AC392">IFERROR(AVERAGE(_xlfn._xlws.FILTER(U$2:U$1073,($C$2:$C$1073=$C392)*($E$2:$E$1073=$E392)*(ROW(U$2:U$1073)&lt;&gt;ROW(U392))*(U$2:U$1073&lt;&gt;""))),"")</f>
        <v>1.9486848764131026</v>
      </c>
      <c r="AD392" cm="1">
        <f t="array" ref="AD392">IFERROR(AVERAGE(_xlfn._xlws.FILTER(V$2:V$1073,($C$2:$C$1073=$C392)*($E$2:$E$1073=$E392)*(ROW(V$2:V$1073)&lt;&gt;ROW(V392))*(V$2:V$1073&lt;&gt;""))),"")</f>
        <v>0.56613710840018538</v>
      </c>
      <c r="AE392">
        <f>IF('Дивиденды по годам'!M392&lt;0,1,0)</f>
        <v>1</v>
      </c>
    </row>
    <row r="393" spans="1:31" x14ac:dyDescent="0.2">
      <c r="A393" s="7" t="s">
        <v>2226</v>
      </c>
      <c r="B393" t="str">
        <f t="shared" si="66"/>
        <v>MTLR IV кв. 2018</v>
      </c>
      <c r="C393">
        <v>2018</v>
      </c>
      <c r="D393">
        <f>SUMIFS(Дивиденды!$C:$C,Дивиденды!$A:$A,A393,Дивиденды!$I:$I,C393)</f>
        <v>0</v>
      </c>
      <c r="E393">
        <v>3</v>
      </c>
      <c r="F393">
        <f t="shared" si="67"/>
        <v>0</v>
      </c>
      <c r="G393">
        <f t="shared" si="68"/>
        <v>22.694999999999997</v>
      </c>
      <c r="H393">
        <f t="shared" si="69"/>
        <v>0</v>
      </c>
      <c r="I393">
        <f t="shared" si="70"/>
        <v>0.5</v>
      </c>
      <c r="J393">
        <f t="shared" si="71"/>
        <v>0</v>
      </c>
      <c r="K393">
        <f t="shared" si="76"/>
        <v>0.12085686823605531</v>
      </c>
      <c r="L393">
        <f t="shared" si="72"/>
        <v>0</v>
      </c>
      <c r="M393">
        <f t="shared" si="73"/>
        <v>0.5</v>
      </c>
      <c r="N393">
        <f t="shared" si="74"/>
        <v>0</v>
      </c>
      <c r="O393">
        <f t="shared" si="75"/>
        <v>0.2</v>
      </c>
      <c r="P393">
        <f>IFERROR(LN('Дивиденды по годам'!I393),"")</f>
        <v>26.48413727858674</v>
      </c>
      <c r="Q393">
        <f>IFERROR('Дивиденды по годам'!G393/'Дивиденды по годам'!I393, "")</f>
        <v>0.59780873671782764</v>
      </c>
      <c r="R393">
        <f>IFERROR(IF(AND('Дивиденды по годам'!N393&lt;&gt;"",'Дивиденды по годам'!U393&lt;&gt;"",'Дивиденды по годам'!U393&lt;&gt;0),'Дивиденды по годам'!N393/'Дивиденды по годам'!U393-1,""),"")</f>
        <v>4.5003059044575133E-2</v>
      </c>
      <c r="S393">
        <f>IFERROR(IF(AND('Дивиденды по годам'!L393&lt;&gt;"",'Дивиденды по годам'!I393&lt;&gt;"",'Дивиденды по годам'!J393&lt;&gt;"",'Дивиденды по годам'!K393&lt;&gt;"",('Дивиденды по годам'!I393-'Дивиденды по годам'!J393-'Дивиденды по годам'!K393)&lt;&gt;0),'Дивиденды по годам'!L393/('Дивиденды по годам'!I393-'Дивиденды по годам'!J393-'Дивиденды по годам'!K393),""),"")</f>
        <v>1.175779926670812</v>
      </c>
      <c r="T393">
        <f>IFERROR(IF(AND('Дивиденды по годам'!Q393&lt;&gt;"",'Дивиденды по годам'!I393&lt;&gt;"",'Дивиденды по годам'!V393&lt;&gt;"",('Дивиденды по годам'!I393+'Дивиденды по годам'!V393)&lt;&gt;0),'Дивиденды по годам'!Q393/(('Дивиденды по годам'!I393+'Дивиденды по годам'!V393)/2),""),"")</f>
        <v>4.2515767520164838E-2</v>
      </c>
      <c r="U393">
        <f>IFERROR(IF(AND('Дивиденды по годам'!J393&lt;&gt;"",'Дивиденды по годам'!K393&lt;&gt;"",'Дивиденды по годам'!M393&lt;&gt;"",'Дивиденды по годам'!M393&lt;&gt;0),('Дивиденды по годам'!J393+'Дивиденды по годам'!K393)/'Дивиденды по годам'!M393,""),"")</f>
        <v>-2.3620575055211304</v>
      </c>
      <c r="V393">
        <f>IFERROR(IF(AND('Дивиденды по годам'!J393&lt;&gt;"",'Дивиденды по годам'!K393&lt;&gt;"",'Дивиденды по годам'!M393&lt;&gt;"",'Дивиденды по годам'!I393&lt;&gt;0),('Дивиденды по годам'!J393+'Дивиденды по годам'!K393)/'Дивиденды по годам'!I393,""),"")</f>
        <v>1.7341833923652106</v>
      </c>
      <c r="W393">
        <f>IFERROR('Дивиденды по годам'!I393,"")</f>
        <v>317625000000</v>
      </c>
      <c r="X393" cm="1">
        <f t="array" ref="X393">IFERROR(AVERAGE(_xlfn._xlws.FILTER(P$2:P$1073,($C$2:$C$1073=$C393)*($E$2:$E$1073=$E393)*(ROW(P$2:P$1073)&lt;&gt;ROW(P393))*(P$2:P$1073&lt;&gt;""))),"")</f>
        <v>26.579185325718736</v>
      </c>
      <c r="Y393" cm="1">
        <f t="array" ref="Y393">IFERROR(AVERAGE(_xlfn._xlws.FILTER(Q$2:Q$1073,($C$2:$C$1073=$C393)*($E$2:$E$1073=$E393)*(ROW(Q$2:Q$1073)&lt;&gt;ROW(Q393))*(Q$2:Q$1073&lt;&gt;""))),"")</f>
        <v>0.51019045501467464</v>
      </c>
      <c r="Z393" cm="1">
        <f t="array" ref="Z393">IFERROR(AVERAGE(_xlfn._xlws.FILTER(R$2:R$1073,($C$2:$C$1073=$C393)*($E$2:$E$1073=$E393)*(ROW(R$2:R$1073)&lt;&gt;ROW(R393))*(R$2:R$1073&lt;&gt;""))),"")</f>
        <v>0.23479566142968689</v>
      </c>
      <c r="AA393" cm="1">
        <f t="array" ref="AA393">IFERROR(AVERAGE(_xlfn._xlws.FILTER(S$2:S$1073,($C$2:$C$1073=$C393)*($E$2:$E$1073=$E393)*(ROW(S$2:S$1073)&lt;&gt;ROW(S393))*(S$2:S$1073&lt;&gt;""))),"")</f>
        <v>0.89822906396717905</v>
      </c>
      <c r="AB393" cm="1">
        <f t="array" ref="AB393">IFERROR(AVERAGE(_xlfn._xlws.FILTER(T$2:T$1073,($C$2:$C$1073=$C393)*($E$2:$E$1073=$E393)*(ROW(T$2:T$1073)&lt;&gt;ROW(T393))*(T$2:T$1073&lt;&gt;""))),"")</f>
        <v>0.16651126294379778</v>
      </c>
      <c r="AC393" cm="1">
        <f t="array" ref="AC393">IFERROR(AVERAGE(_xlfn._xlws.FILTER(U$2:U$1073,($C$2:$C$1073=$C393)*($E$2:$E$1073=$E393)*(ROW(U$2:U$1073)&lt;&gt;ROW(U393))*(U$2:U$1073&lt;&gt;""))),"")</f>
        <v>2.8082812608839705</v>
      </c>
      <c r="AD393" cm="1">
        <f t="array" ref="AD393">IFERROR(AVERAGE(_xlfn._xlws.FILTER(V$2:V$1073,($C$2:$C$1073=$C393)*($E$2:$E$1073=$E393)*(ROW(V$2:V$1073)&lt;&gt;ROW(V393))*(V$2:V$1073&lt;&gt;""))),"")</f>
        <v>0.58389960824450782</v>
      </c>
      <c r="AE393">
        <f>IF('Дивиденды по годам'!M393&lt;0,1,0)</f>
        <v>1</v>
      </c>
    </row>
    <row r="394" spans="1:31" x14ac:dyDescent="0.2">
      <c r="A394" s="7" t="s">
        <v>2226</v>
      </c>
      <c r="B394" t="str">
        <f t="shared" si="66"/>
        <v>MTLR IV кв. 2017</v>
      </c>
      <c r="C394">
        <v>2017</v>
      </c>
      <c r="D394">
        <f>SUMIFS(Дивиденды!$C:$C,Дивиденды!$A:$A,A394,Дивиденды!$I:$I,C394)</f>
        <v>0</v>
      </c>
      <c r="E394">
        <v>3</v>
      </c>
      <c r="F394">
        <f t="shared" si="67"/>
        <v>0</v>
      </c>
      <c r="G394">
        <f t="shared" si="68"/>
        <v>16.068876314825083</v>
      </c>
      <c r="H394">
        <f t="shared" si="69"/>
        <v>0</v>
      </c>
      <c r="I394">
        <f t="shared" si="70"/>
        <v>0.7</v>
      </c>
      <c r="J394">
        <f t="shared" si="71"/>
        <v>0</v>
      </c>
      <c r="K394">
        <f t="shared" si="76"/>
        <v>0.11709302504260524</v>
      </c>
      <c r="L394">
        <f t="shared" si="72"/>
        <v>0</v>
      </c>
      <c r="M394">
        <f t="shared" si="73"/>
        <v>0.5</v>
      </c>
      <c r="N394">
        <f t="shared" si="74"/>
        <v>0</v>
      </c>
      <c r="O394">
        <f t="shared" si="75"/>
        <v>0.2</v>
      </c>
      <c r="P394">
        <f>IFERROR(LN('Дивиденды по годам'!I394),"")</f>
        <v>26.488854979625124</v>
      </c>
      <c r="Q394">
        <f>IFERROR('Дивиденды по годам'!G394/'Дивиденды по годам'!I394, "")</f>
        <v>0.62005095150206657</v>
      </c>
      <c r="R394">
        <f>IFERROR(IF(AND('Дивиденды по годам'!N394&lt;&gt;"",'Дивиденды по годам'!U394&lt;&gt;"",'Дивиденды по годам'!U394&lt;&gt;0),'Дивиденды по годам'!N394/'Дивиденды по годам'!U394-1,""),"")</f>
        <v>8.37074153379056E-2</v>
      </c>
      <c r="S394">
        <f>IFERROR(IF(AND('Дивиденды по годам'!L394&lt;&gt;"",'Дивиденды по годам'!I394&lt;&gt;"",'Дивиденды по годам'!J394&lt;&gt;"",'Дивиденды по годам'!K394&lt;&gt;"",('Дивиденды по годам'!I394-'Дивиденды по годам'!J394-'Дивиденды по годам'!K394)&lt;&gt;0),'Дивиденды по годам'!L394/('Дивиденды по годам'!I394-'Дивиденды по годам'!J394-'Дивиденды по годам'!K394),""),"")</f>
        <v>1.1622476273178963</v>
      </c>
      <c r="T394">
        <f>IFERROR(IF(AND('Дивиденды по годам'!Q394&lt;&gt;"",'Дивиденды по годам'!I394&lt;&gt;"",'Дивиденды по годам'!V394&lt;&gt;"",('Дивиденды по годам'!I394+'Дивиденды по годам'!V394)&lt;&gt;0),'Дивиденды по годам'!Q394/(('Дивиденды по годам'!I394+'Дивиденды по годам'!V394)/2),""),"")</f>
        <v>3.9001414848462285E-2</v>
      </c>
      <c r="U394">
        <f>IFERROR(IF(AND('Дивиденды по годам'!J394&lt;&gt;"",'Дивиденды по годам'!K394&lt;&gt;"",'Дивиденды по годам'!M394&lt;&gt;"",'Дивиденды по годам'!M394&lt;&gt;0),('Дивиденды по годам'!J394+'Дивиденды по годам'!K394)/'Дивиденды по годам'!M394,""),"")</f>
        <v>-2.3071850180024822</v>
      </c>
      <c r="V394">
        <f>IFERROR(IF(AND('Дивиденды по годам'!J394&lt;&gt;"",'Дивиденды по годам'!K394&lt;&gt;"",'Дивиденды по годам'!M394&lt;&gt;"",'Дивиденды по годам'!I394&lt;&gt;0),('Дивиденды по годам'!J394+'Дивиденды по годам'!K394)/'Дивиденды по годам'!I394,""),"")</f>
        <v>1.7650026478486622</v>
      </c>
      <c r="W394">
        <f>IFERROR('Дивиденды по годам'!I394,"")</f>
        <v>319127000000</v>
      </c>
      <c r="X394" cm="1">
        <f t="array" ref="X394">IFERROR(AVERAGE(_xlfn._xlws.FILTER(P$2:P$1073,($C$2:$C$1073=$C394)*($E$2:$E$1073=$E394)*(ROW(P$2:P$1073)&lt;&gt;ROW(P394))*(P$2:P$1073&lt;&gt;""))),"")</f>
        <v>26.549458854797365</v>
      </c>
      <c r="Y394" cm="1">
        <f t="array" ref="Y394">IFERROR(AVERAGE(_xlfn._xlws.FILTER(Q$2:Q$1073,($C$2:$C$1073=$C394)*($E$2:$E$1073=$E394)*(ROW(Q$2:Q$1073)&lt;&gt;ROW(Q394))*(Q$2:Q$1073&lt;&gt;""))),"")</f>
        <v>0.52747189864424715</v>
      </c>
      <c r="Z394" cm="1">
        <f t="array" ref="Z394">IFERROR(AVERAGE(_xlfn._xlws.FILTER(R$2:R$1073,($C$2:$C$1073=$C394)*($E$2:$E$1073=$E394)*(ROW(R$2:R$1073)&lt;&gt;ROW(R394))*(R$2:R$1073&lt;&gt;""))),"")</f>
        <v>0.10189994086349621</v>
      </c>
      <c r="AA394" cm="1">
        <f t="array" ref="AA394">IFERROR(AVERAGE(_xlfn._xlws.FILTER(S$2:S$1073,($C$2:$C$1073=$C394)*($E$2:$E$1073=$E394)*(ROW(S$2:S$1073)&lt;&gt;ROW(S394))*(S$2:S$1073&lt;&gt;""))),"")</f>
        <v>1.0473998459430853</v>
      </c>
      <c r="AB394" cm="1">
        <f t="array" ref="AB394">IFERROR(AVERAGE(_xlfn._xlws.FILTER(T$2:T$1073,($C$2:$C$1073=$C394)*($E$2:$E$1073=$E394)*(ROW(T$2:T$1073)&lt;&gt;ROW(T394))*(T$2:T$1073&lt;&gt;""))),"")</f>
        <v>0.12982254173027505</v>
      </c>
      <c r="AC394" cm="1">
        <f t="array" ref="AC394">IFERROR(AVERAGE(_xlfn._xlws.FILTER(U$2:U$1073,($C$2:$C$1073=$C394)*($E$2:$E$1073=$E394)*(ROW(U$2:U$1073)&lt;&gt;ROW(U394))*(U$2:U$1073&lt;&gt;""))),"")</f>
        <v>2.4067785850054508</v>
      </c>
      <c r="AD394" cm="1">
        <f t="array" ref="AD394">IFERROR(AVERAGE(_xlfn._xlws.FILTER(V$2:V$1073,($C$2:$C$1073=$C394)*($E$2:$E$1073=$E394)*(ROW(V$2:V$1073)&lt;&gt;ROW(V394))*(V$2:V$1073&lt;&gt;""))),"")</f>
        <v>0.58542211939525801</v>
      </c>
      <c r="AE394">
        <f>IF('Дивиденды по годам'!M394&lt;0,1,0)</f>
        <v>1</v>
      </c>
    </row>
    <row r="395" spans="1:31" x14ac:dyDescent="0.2">
      <c r="A395" s="7" t="s">
        <v>2226</v>
      </c>
      <c r="B395" t="str">
        <f t="shared" si="66"/>
        <v>MTLR IV кв. 2016</v>
      </c>
      <c r="C395">
        <v>2016</v>
      </c>
      <c r="D395">
        <f>SUMIFS(Дивиденды!$C:$C,Дивиденды!$A:$A,A395,Дивиденды!$I:$I,C395)</f>
        <v>0</v>
      </c>
      <c r="E395">
        <v>3</v>
      </c>
      <c r="F395">
        <f t="shared" si="67"/>
        <v>0</v>
      </c>
      <c r="G395">
        <f t="shared" si="68"/>
        <v>12.095639712606381</v>
      </c>
      <c r="H395">
        <f t="shared" si="69"/>
        <v>0</v>
      </c>
      <c r="I395">
        <f t="shared" si="70"/>
        <v>0.7</v>
      </c>
      <c r="J395">
        <f t="shared" si="71"/>
        <v>0</v>
      </c>
      <c r="K395">
        <f t="shared" si="76"/>
        <v>0.68768115603983127</v>
      </c>
      <c r="L395">
        <f t="shared" si="72"/>
        <v>0</v>
      </c>
      <c r="M395">
        <f t="shared" si="73"/>
        <v>0.7</v>
      </c>
      <c r="N395">
        <f t="shared" si="74"/>
        <v>0</v>
      </c>
      <c r="O395">
        <f t="shared" si="75"/>
        <v>0</v>
      </c>
      <c r="P395">
        <f>IFERROR(LN('Дивиденды по годам'!I395),"")</f>
        <v>26.508520765931884</v>
      </c>
      <c r="Q395">
        <f>IFERROR('Дивиденды по годам'!G395/'Дивиденды по годам'!I395, "")</f>
        <v>0.6278801099964666</v>
      </c>
      <c r="R395">
        <f>IFERROR(IF(AND('Дивиденды по годам'!N395&lt;&gt;"",'Дивиденды по годам'!U395&lt;&gt;"",'Дивиденды по годам'!U395&lt;&gt;0),'Дивиденды по годам'!N395/'Дивиденды по годам'!U395-1,""),"")</f>
        <v>8.60467220952148E-2</v>
      </c>
      <c r="S395">
        <f>IFERROR(IF(AND('Дивиденды по годам'!L395&lt;&gt;"",'Дивиденды по годам'!I395&lt;&gt;"",'Дивиденды по годам'!J395&lt;&gt;"",'Дивиденды по годам'!K395&lt;&gt;"",('Дивиденды по годам'!I395-'Дивиденды по годам'!J395-'Дивиденды по годам'!K395)&lt;&gt;0),'Дивиденды по годам'!L395/('Дивиденды по годам'!I395-'Дивиденды по годам'!J395-'Дивиденды по годам'!K395),""),"")</f>
        <v>1.1657085847308661</v>
      </c>
      <c r="T395">
        <f>IFERROR(IF(AND('Дивиденды по годам'!Q395&lt;&gt;"",'Дивиденды по годам'!I395&lt;&gt;"",'Дивиденды по годам'!V395&lt;&gt;"",('Дивиденды по годам'!I395+'Дивиденды по годам'!V395)&lt;&gt;0),'Дивиденды по годам'!Q395/(('Дивиденды по годам'!I395+'Дивиденды по годам'!V395)/2),""),"")</f>
        <v>2.7737788317351696E-2</v>
      </c>
      <c r="U395">
        <f>IFERROR(IF(AND('Дивиденды по годам'!J395&lt;&gt;"",'Дивиденды по годам'!K395&lt;&gt;"",'Дивиденды по годам'!M395&lt;&gt;"",'Дивиденды по годам'!M395&lt;&gt;0),('Дивиденды по годам'!J395+'Дивиденды по годам'!K395)/'Дивиденды по годам'!M395,""),"")</f>
        <v>-2.2885212282452057</v>
      </c>
      <c r="V395">
        <f>IFERROR(IF(AND('Дивиденды по годам'!J395&lt;&gt;"",'Дивиденды по годам'!K395&lt;&gt;"",'Дивиденды по годам'!M395&lt;&gt;"",'Дивиденды по годам'!I395&lt;&gt;0),('Дивиденды по годам'!J395+'Дивиденды по годам'!K395)/'Дивиденды по годам'!I395,""),"")</f>
        <v>1.7760834498333153</v>
      </c>
      <c r="W395">
        <f>IFERROR('Дивиденды по годам'!I395,"")</f>
        <v>325465000000</v>
      </c>
      <c r="X395" cm="1">
        <f t="array" ref="X395">IFERROR(AVERAGE(_xlfn._xlws.FILTER(P$2:P$1073,($C$2:$C$1073=$C395)*($E$2:$E$1073=$E395)*(ROW(P$2:P$1073)&lt;&gt;ROW(P395))*(P$2:P$1073&lt;&gt;""))),"")</f>
        <v>26.548186777037717</v>
      </c>
      <c r="Y395" cm="1">
        <f t="array" ref="Y395">IFERROR(AVERAGE(_xlfn._xlws.FILTER(Q$2:Q$1073,($C$2:$C$1073=$C395)*($E$2:$E$1073=$E395)*(ROW(Q$2:Q$1073)&lt;&gt;ROW(Q395))*(Q$2:Q$1073&lt;&gt;""))),"")</f>
        <v>0.49780609285314281</v>
      </c>
      <c r="Z395" cm="1">
        <f t="array" ref="Z395">IFERROR(AVERAGE(_xlfn._xlws.FILTER(R$2:R$1073,($C$2:$C$1073=$C395)*($E$2:$E$1073=$E395)*(ROW(R$2:R$1073)&lt;&gt;ROW(R395))*(R$2:R$1073&lt;&gt;""))),"")</f>
        <v>0.13956512478356514</v>
      </c>
      <c r="AA395" cm="1">
        <f t="array" ref="AA395">IFERROR(AVERAGE(_xlfn._xlws.FILTER(S$2:S$1073,($C$2:$C$1073=$C395)*($E$2:$E$1073=$E395)*(ROW(S$2:S$1073)&lt;&gt;ROW(S395))*(S$2:S$1073&lt;&gt;""))),"")</f>
        <v>0.21000160041790289</v>
      </c>
      <c r="AB395" cm="1">
        <f t="array" ref="AB395">IFERROR(AVERAGE(_xlfn._xlws.FILTER(T$2:T$1073,($C$2:$C$1073=$C395)*($E$2:$E$1073=$E395)*(ROW(T$2:T$1073)&lt;&gt;ROW(T395))*(T$2:T$1073&lt;&gt;""))),"")</f>
        <v>0.17528553883792836</v>
      </c>
      <c r="AC395" cm="1">
        <f t="array" ref="AC395">IFERROR(AVERAGE(_xlfn._xlws.FILTER(U$2:U$1073,($C$2:$C$1073=$C395)*($E$2:$E$1073=$E395)*(ROW(U$2:U$1073)&lt;&gt;ROW(U395))*(U$2:U$1073&lt;&gt;""))),"")</f>
        <v>0.40114916050025817</v>
      </c>
      <c r="AD395" cm="1">
        <f t="array" ref="AD395">IFERROR(AVERAGE(_xlfn._xlws.FILTER(V$2:V$1073,($C$2:$C$1073=$C395)*($E$2:$E$1073=$E395)*(ROW(V$2:V$1073)&lt;&gt;ROW(V395))*(V$2:V$1073&lt;&gt;""))),"")</f>
        <v>0.64409071775566473</v>
      </c>
      <c r="AE395">
        <f>IF('Дивиденды по годам'!M395&lt;0,1,0)</f>
        <v>1</v>
      </c>
    </row>
    <row r="396" spans="1:31" x14ac:dyDescent="0.2">
      <c r="A396" s="7" t="s">
        <v>2226</v>
      </c>
      <c r="B396" t="str">
        <f t="shared" si="66"/>
        <v>MTLR IV кв. 2015</v>
      </c>
      <c r="C396">
        <v>2015</v>
      </c>
      <c r="D396">
        <f>SUMIFS(Дивиденды!$C:$C,Дивиденды!$A:$A,A396,Дивиденды!$I:$I,C396)</f>
        <v>0</v>
      </c>
      <c r="E396">
        <v>3</v>
      </c>
      <c r="F396">
        <f t="shared" si="67"/>
        <v>0</v>
      </c>
      <c r="G396">
        <f t="shared" si="68"/>
        <v>7.2240627742857146</v>
      </c>
      <c r="H396">
        <f t="shared" si="69"/>
        <v>0</v>
      </c>
      <c r="I396">
        <f t="shared" si="70"/>
        <v>0.6</v>
      </c>
      <c r="J396">
        <f t="shared" si="71"/>
        <v>0</v>
      </c>
      <c r="K396">
        <f t="shared" si="76"/>
        <v>0.8808871705905531</v>
      </c>
      <c r="L396">
        <f t="shared" si="72"/>
        <v>0</v>
      </c>
      <c r="M396">
        <f t="shared" si="73"/>
        <v>0.5</v>
      </c>
      <c r="N396">
        <f t="shared" si="74"/>
        <v>0</v>
      </c>
      <c r="O396">
        <f t="shared" si="75"/>
        <v>0.1</v>
      </c>
      <c r="P396">
        <f>IFERROR(LN('Дивиденды по годам'!I396),"")</f>
        <v>26.55828707816725</v>
      </c>
      <c r="Q396">
        <f>IFERROR('Дивиденды по годам'!G396/'Дивиденды по годам'!I396, "")</f>
        <v>0.63098996702448606</v>
      </c>
      <c r="R396">
        <f>IFERROR(IF(AND('Дивиденды по годам'!N396&lt;&gt;"",'Дивиденды по годам'!U396&lt;&gt;"",'Дивиденды по годам'!U396&lt;&gt;0),'Дивиденды по годам'!N396/'Дивиденды по годам'!U396-1,""),"")</f>
        <v>2.3535421009933666E-2</v>
      </c>
      <c r="S396" t="str">
        <f>IFERROR(IF(AND('Дивиденды по годам'!L396&lt;&gt;"",'Дивиденды по годам'!I396&lt;&gt;"",'Дивиденды по годам'!J396&lt;&gt;"",'Дивиденды по годам'!K396&lt;&gt;"",('Дивиденды по годам'!I396-'Дивиденды по годам'!J396-'Дивиденды по годам'!K396)&lt;&gt;0),'Дивиденды по годам'!L396/('Дивиденды по годам'!I396-'Дивиденды по годам'!J396-'Дивиденды по годам'!K396),""),"")</f>
        <v/>
      </c>
      <c r="T396">
        <f>IFERROR(IF(AND('Дивиденды по годам'!Q396&lt;&gt;"",'Дивиденды по годам'!I396&lt;&gt;"",'Дивиденды по годам'!V396&lt;&gt;"",('Дивиденды по годам'!I396+'Дивиденды по годам'!V396)&lt;&gt;0),'Дивиденды по годам'!Q396/(('Дивиденды по годам'!I396+'Дивиденды по годам'!V396)/2),""),"")</f>
        <v>-0.38004504225828106</v>
      </c>
      <c r="U396">
        <f>IFERROR(IF(AND('Дивиденды по годам'!J396&lt;&gt;"",'Дивиденды по годам'!K396&lt;&gt;"",'Дивиденды по годам'!M396&lt;&gt;"",'Дивиденды по годам'!M396&lt;&gt;0),('Дивиденды по годам'!J396+'Дивиденды по годам'!K396)/'Дивиденды по годам'!M396,""),"")</f>
        <v>-2.3063462845707914</v>
      </c>
      <c r="V396">
        <f>IFERROR(IF(AND('Дивиденды по годам'!J396&lt;&gt;"",'Дивиденды по годам'!K396&lt;&gt;"",'Дивиденды по годам'!M396&lt;&gt;"",'Дивиденды по годам'!I396&lt;&gt;0),('Дивиденды по годам'!J396+'Дивиденды по годам'!K396)/'Дивиденды по годам'!I396,""),"")</f>
        <v>1.7654938141677776</v>
      </c>
      <c r="W396">
        <f>IFERROR('Дивиденды по годам'!I396,"")</f>
        <v>342072000000</v>
      </c>
      <c r="X396" cm="1">
        <f t="array" ref="X396">IFERROR(AVERAGE(_xlfn._xlws.FILTER(P$2:P$1073,($C$2:$C$1073=$C396)*($E$2:$E$1073=$E396)*(ROW(P$2:P$1073)&lt;&gt;ROW(P396))*(P$2:P$1073&lt;&gt;""))),"")</f>
        <v>26.337933801810937</v>
      </c>
      <c r="Y396" cm="1">
        <f t="array" ref="Y396">IFERROR(AVERAGE(_xlfn._xlws.FILTER(Q$2:Q$1073,($C$2:$C$1073=$C396)*($E$2:$E$1073=$E396)*(ROW(Q$2:Q$1073)&lt;&gt;ROW(Q396))*(Q$2:Q$1073&lt;&gt;""))),"")</f>
        <v>0.48536884790880136</v>
      </c>
      <c r="Z396" cm="1">
        <f t="array" ref="Z396">IFERROR(AVERAGE(_xlfn._xlws.FILTER(R$2:R$1073,($C$2:$C$1073=$C396)*($E$2:$E$1073=$E396)*(ROW(R$2:R$1073)&lt;&gt;ROW(R396))*(R$2:R$1073&lt;&gt;""))),"")</f>
        <v>0.27862139632037014</v>
      </c>
      <c r="AA396" cm="1">
        <f t="array" ref="AA396">IFERROR(AVERAGE(_xlfn._xlws.FILTER(S$2:S$1073,($C$2:$C$1073=$C396)*($E$2:$E$1073=$E396)*(ROW(S$2:S$1073)&lt;&gt;ROW(S396))*(S$2:S$1073&lt;&gt;""))),"")</f>
        <v>0.96723413930001811</v>
      </c>
      <c r="AB396" cm="1">
        <f t="array" ref="AB396">IFERROR(AVERAGE(_xlfn._xlws.FILTER(T$2:T$1073,($C$2:$C$1073=$C396)*($E$2:$E$1073=$E396)*(ROW(T$2:T$1073)&lt;&gt;ROW(T396))*(T$2:T$1073&lt;&gt;""))),"")</f>
        <v>6.8082124259392585E-2</v>
      </c>
      <c r="AC396" cm="1">
        <f t="array" ref="AC396">IFERROR(AVERAGE(_xlfn._xlws.FILTER(U$2:U$1073,($C$2:$C$1073=$C396)*($E$2:$E$1073=$E396)*(ROW(U$2:U$1073)&lt;&gt;ROW(U396))*(U$2:U$1073&lt;&gt;""))),"")</f>
        <v>3.526693483270491</v>
      </c>
      <c r="AD396" cm="1">
        <f t="array" ref="AD396">IFERROR(AVERAGE(_xlfn._xlws.FILTER(V$2:V$1073,($C$2:$C$1073=$C396)*($E$2:$E$1073=$E396)*(ROW(V$2:V$1073)&lt;&gt;ROW(V396))*(V$2:V$1073&lt;&gt;""))),"")</f>
        <v>0.69363712473883643</v>
      </c>
      <c r="AE396">
        <f>IF('Дивиденды по годам'!M396&lt;0,1,0)</f>
        <v>1</v>
      </c>
    </row>
    <row r="397" spans="1:31" x14ac:dyDescent="0.2">
      <c r="A397" s="7" t="s">
        <v>2226</v>
      </c>
      <c r="B397" t="str">
        <f t="shared" si="66"/>
        <v>MTLR IV кв. 2014</v>
      </c>
      <c r="C397">
        <v>2014</v>
      </c>
      <c r="D397">
        <f>SUMIFS(Дивиденды!$C:$C,Дивиденды!$A:$A,A397,Дивиденды!$I:$I,C397)</f>
        <v>0</v>
      </c>
      <c r="E397">
        <v>3</v>
      </c>
      <c r="F397">
        <f t="shared" si="67"/>
        <v>0</v>
      </c>
      <c r="G397">
        <f t="shared" si="68"/>
        <v>7.8559999999999999</v>
      </c>
      <c r="H397">
        <f t="shared" si="69"/>
        <v>0</v>
      </c>
      <c r="I397">
        <f t="shared" si="70"/>
        <v>0.5</v>
      </c>
      <c r="J397">
        <f t="shared" si="71"/>
        <v>0</v>
      </c>
      <c r="K397">
        <f t="shared" si="76"/>
        <v>1.0733185192796773</v>
      </c>
      <c r="L397">
        <f t="shared" si="72"/>
        <v>0</v>
      </c>
      <c r="M397">
        <f t="shared" si="73"/>
        <v>0.3</v>
      </c>
      <c r="N397">
        <f t="shared" si="74"/>
        <v>0</v>
      </c>
      <c r="O397">
        <f t="shared" si="75"/>
        <v>0.1</v>
      </c>
      <c r="P397">
        <f>IFERROR(LN('Дивиденды по годам'!I397),"")</f>
        <v>26.284812591424561</v>
      </c>
      <c r="Q397">
        <f>IFERROR('Дивиденды по годам'!G397/'Дивиденды по годам'!I397, "")</f>
        <v>0.58753748050566845</v>
      </c>
      <c r="R397">
        <f>IFERROR(IF(AND('Дивиденды по годам'!N397&lt;&gt;"",'Дивиденды по годам'!U397&lt;&gt;"",'Дивиденды по годам'!U397&lt;&gt;0),'Дивиденды по годам'!N397/'Дивиденды по годам'!U397-1,""),"")</f>
        <v>-9.1416247402650752E-2</v>
      </c>
      <c r="S397" t="str">
        <f>IFERROR(IF(AND('Дивиденды по годам'!L397&lt;&gt;"",'Дивиденды по годам'!I397&lt;&gt;"",'Дивиденды по годам'!J397&lt;&gt;"",'Дивиденды по годам'!K397&lt;&gt;"",('Дивиденды по годам'!I397-'Дивиденды по годам'!J397-'Дивиденды по годам'!K397)&lt;&gt;0),'Дивиденды по годам'!L397/('Дивиденды по годам'!I397-'Дивиденды по годам'!J397-'Дивиденды по годам'!K397),""),"")</f>
        <v/>
      </c>
      <c r="T397">
        <f>IFERROR(IF(AND('Дивиденды по годам'!Q397&lt;&gt;"",'Дивиденды по годам'!I397&lt;&gt;"",'Дивиденды по годам'!V397&lt;&gt;"",('Дивиденды по годам'!I397+'Дивиденды по годам'!V397)&lt;&gt;0),'Дивиденды по годам'!Q397/(('Дивиденды по годам'!I397+'Дивиденды по годам'!V397)/2),""),"")</f>
        <v>-0.48210656188590856</v>
      </c>
      <c r="U397">
        <f>IFERROR(IF(AND('Дивиденды по годам'!J397&lt;&gt;"",'Дивиденды по годам'!K397&lt;&gt;"",'Дивиденды по годам'!M397&lt;&gt;"",'Дивиденды по годам'!M397&lt;&gt;0),('Дивиденды по годам'!J397+'Дивиденды по годам'!K397)/'Дивиденды по годам'!M397,""),"")</f>
        <v>-4.06360824088343</v>
      </c>
      <c r="V397">
        <f>IFERROR(IF(AND('Дивиденды по годам'!J397&lt;&gt;"",'Дивиденды по годам'!K397&lt;&gt;"",'Дивиденды по годам'!M397&lt;&gt;"",'Дивиденды по годам'!I397&lt;&gt;0),('Дивиденды по годам'!J397+'Дивиденды по годам'!K397)/'Дивиденды по годам'!I397,""),"")</f>
        <v>1.3264124918633973</v>
      </c>
      <c r="W397">
        <f>IFERROR('Дивиденды по годам'!I397,"")</f>
        <v>260225029425.36499</v>
      </c>
      <c r="X397" cm="1">
        <f t="array" ref="X397">IFERROR(AVERAGE(_xlfn._xlws.FILTER(P$2:P$1073,($C$2:$C$1073=$C397)*($E$2:$E$1073=$E397)*(ROW(P$2:P$1073)&lt;&gt;ROW(P397))*(P$2:P$1073&lt;&gt;""))),"")</f>
        <v>26.299707647315469</v>
      </c>
      <c r="Y397" cm="1">
        <f t="array" ref="Y397">IFERROR(AVERAGE(_xlfn._xlws.FILTER(Q$2:Q$1073,($C$2:$C$1073=$C397)*($E$2:$E$1073=$E397)*(ROW(Q$2:Q$1073)&lt;&gt;ROW(Q397))*(Q$2:Q$1073&lt;&gt;""))),"")</f>
        <v>0.50802183861713013</v>
      </c>
      <c r="Z397" cm="1">
        <f t="array" ref="Z397">IFERROR(AVERAGE(_xlfn._xlws.FILTER(R$2:R$1073,($C$2:$C$1073=$C397)*($E$2:$E$1073=$E397)*(ROW(R$2:R$1073)&lt;&gt;ROW(R397))*(R$2:R$1073&lt;&gt;""))),"")</f>
        <v>9.8607881544391943E-2</v>
      </c>
      <c r="AA397" cm="1">
        <f t="array" ref="AA397">IFERROR(AVERAGE(_xlfn._xlws.FILTER(S$2:S$1073,($C$2:$C$1073=$C397)*($E$2:$E$1073=$E397)*(ROW(S$2:S$1073)&lt;&gt;ROW(S397))*(S$2:S$1073&lt;&gt;""))),"")</f>
        <v>0.79499322870069589</v>
      </c>
      <c r="AB397" cm="1">
        <f t="array" ref="AB397">IFERROR(AVERAGE(_xlfn._xlws.FILTER(T$2:T$1073,($C$2:$C$1073=$C397)*($E$2:$E$1073=$E397)*(ROW(T$2:T$1073)&lt;&gt;ROW(T397))*(T$2:T$1073&lt;&gt;""))),"")</f>
        <v>-2.6970787838262466E-2</v>
      </c>
      <c r="AC397" cm="1">
        <f t="array" ref="AC397">IFERROR(AVERAGE(_xlfn._xlws.FILTER(U$2:U$1073,($C$2:$C$1073=$C397)*($E$2:$E$1073=$E397)*(ROW(U$2:U$1073)&lt;&gt;ROW(U397))*(U$2:U$1073&lt;&gt;""))),"")</f>
        <v>2.2590463584467773</v>
      </c>
      <c r="AD397" cm="1">
        <f t="array" ref="AD397">IFERROR(AVERAGE(_xlfn._xlws.FILTER(V$2:V$1073,($C$2:$C$1073=$C397)*($E$2:$E$1073=$E397)*(ROW(V$2:V$1073)&lt;&gt;ROW(V397))*(V$2:V$1073&lt;&gt;""))),"")</f>
        <v>0.6434443037160823</v>
      </c>
      <c r="AE397">
        <f>IF('Дивиденды по годам'!M397&lt;0,1,0)</f>
        <v>1</v>
      </c>
    </row>
    <row r="398" spans="1:31" x14ac:dyDescent="0.2">
      <c r="A398" s="7" t="s">
        <v>2226</v>
      </c>
      <c r="B398" t="str">
        <f t="shared" si="66"/>
        <v>MTLR IV кв. 2013</v>
      </c>
      <c r="C398">
        <v>2013</v>
      </c>
      <c r="D398">
        <f>SUMIFS(Дивиденды!$C:$C,Дивиденды!$A:$A,A398,Дивиденды!$I:$I,C398)</f>
        <v>0</v>
      </c>
      <c r="E398">
        <v>3</v>
      </c>
      <c r="F398">
        <f t="shared" si="67"/>
        <v>0</v>
      </c>
      <c r="G398">
        <f t="shared" si="68"/>
        <v>1.2260000000000002</v>
      </c>
      <c r="H398">
        <f t="shared" si="69"/>
        <v>0</v>
      </c>
      <c r="I398">
        <f t="shared" si="70"/>
        <v>0.4</v>
      </c>
      <c r="J398">
        <f t="shared" si="71"/>
        <v>0</v>
      </c>
      <c r="K398">
        <f t="shared" si="76"/>
        <v>-0.20386411043374064</v>
      </c>
      <c r="L398">
        <f t="shared" si="72"/>
        <v>0</v>
      </c>
      <c r="M398">
        <f t="shared" si="73"/>
        <v>0.2</v>
      </c>
      <c r="N398">
        <f t="shared" si="74"/>
        <v>0</v>
      </c>
      <c r="O398">
        <f t="shared" si="75"/>
        <v>0.4</v>
      </c>
      <c r="P398">
        <f>IFERROR(LN('Дивиденды по годам'!I398),"")</f>
        <v>26.811908878017842</v>
      </c>
      <c r="Q398">
        <f>IFERROR('Дивиденды по годам'!G398/'Дивиденды по годам'!I398, "")</f>
        <v>0.49414442578739687</v>
      </c>
      <c r="R398">
        <f>IFERROR(IF(AND('Дивиденды по годам'!N398&lt;&gt;"",'Дивиденды по годам'!U398&lt;&gt;"",'Дивиденды по годам'!U398&lt;&gt;0),'Дивиденды по годам'!N398/'Дивиденды по годам'!U398-1,""),"")</f>
        <v>-0.21972061047598335</v>
      </c>
      <c r="S398" t="str">
        <f>IFERROR(IF(AND('Дивиденды по годам'!L398&lt;&gt;"",'Дивиденды по годам'!I398&lt;&gt;"",'Дивиденды по годам'!J398&lt;&gt;"",'Дивиденды по годам'!K398&lt;&gt;"",('Дивиденды по годам'!I398-'Дивиденды по годам'!J398-'Дивиденды по годам'!K398)&lt;&gt;0),'Дивиденды по годам'!L398/('Дивиденды по годам'!I398-'Дивиденды по годам'!J398-'Дивиденды по годам'!K398),""),"")</f>
        <v/>
      </c>
      <c r="T398">
        <f>IFERROR(IF(AND('Дивиденды по годам'!Q398&lt;&gt;"",'Дивиденды по годам'!I398&lt;&gt;"",'Дивиденды по годам'!V398&lt;&gt;"",('Дивиденды по годам'!I398+'Дивиденды по годам'!V398)&lt;&gt;0),'Дивиденды по годам'!Q398/(('Дивиденды по годам'!I398+'Дивиденды по годам'!V398)/2),""),"")</f>
        <v>-0.18800176986502953</v>
      </c>
      <c r="U398">
        <f>IFERROR(IF(AND('Дивиденды по годам'!J398&lt;&gt;"",'Дивиденды по годам'!K398&lt;&gt;"",'Дивиденды по годам'!M398&lt;&gt;"",'Дивиденды по годам'!M398&lt;&gt;0),('Дивиденды по годам'!J398+'Дивиденды по годам'!K398)/'Дивиденды по годам'!M398,""),"")</f>
        <v>16.041351531127592</v>
      </c>
      <c r="V398">
        <f>IFERROR(IF(AND('Дивиденды по годам'!J398&lt;&gt;"",'Дивиденды по годам'!K398&lt;&gt;"",'Дивиденды по годам'!M398&lt;&gt;"",'Дивиденды по годам'!I398&lt;&gt;0),('Дивиденды по годам'!J398+'Дивиденды по годам'!K398)/'Дивиденды по годам'!I398,""),"")</f>
        <v>0.94131920826975457</v>
      </c>
      <c r="W398">
        <f>IFERROR('Дивиденды по годам'!I398,"")</f>
        <v>440822826639.99994</v>
      </c>
      <c r="X398" cm="1">
        <f t="array" ref="X398">IFERROR(AVERAGE(_xlfn._xlws.FILTER(P$2:P$1073,($C$2:$C$1073=$C398)*($E$2:$E$1073=$E398)*(ROW(P$2:P$1073)&lt;&gt;ROW(P398))*(P$2:P$1073&lt;&gt;""))),"")</f>
        <v>26.392022646172268</v>
      </c>
      <c r="Y398" cm="1">
        <f t="array" ref="Y398">IFERROR(AVERAGE(_xlfn._xlws.FILTER(Q$2:Q$1073,($C$2:$C$1073=$C398)*($E$2:$E$1073=$E398)*(ROW(Q$2:Q$1073)&lt;&gt;ROW(Q398))*(Q$2:Q$1073&lt;&gt;""))),"")</f>
        <v>0.58762774655224659</v>
      </c>
      <c r="Z398" cm="1">
        <f t="array" ref="Z398">IFERROR(AVERAGE(_xlfn._xlws.FILTER(R$2:R$1073,($C$2:$C$1073=$C398)*($E$2:$E$1073=$E398)*(ROW(R$2:R$1073)&lt;&gt;ROW(R398))*(R$2:R$1073&lt;&gt;""))),"")</f>
        <v>-2.3827234369637212E-2</v>
      </c>
      <c r="AA398" cm="1">
        <f t="array" ref="AA398">IFERROR(AVERAGE(_xlfn._xlws.FILTER(S$2:S$1073,($C$2:$C$1073=$C398)*($E$2:$E$1073=$E398)*(ROW(S$2:S$1073)&lt;&gt;ROW(S398))*(S$2:S$1073&lt;&gt;""))),"")</f>
        <v>1.1343753445927802</v>
      </c>
      <c r="AB398" cm="1">
        <f t="array" ref="AB398">IFERROR(AVERAGE(_xlfn._xlws.FILTER(T$2:T$1073,($C$2:$C$1073=$C398)*($E$2:$E$1073=$E398)*(ROW(T$2:T$1073)&lt;&gt;ROW(T398))*(T$2:T$1073&lt;&gt;""))),"")</f>
        <v>-1.1501579906011665E-2</v>
      </c>
      <c r="AC398" cm="1">
        <f t="array" ref="AC398">IFERROR(AVERAGE(_xlfn._xlws.FILTER(U$2:U$1073,($C$2:$C$1073=$C398)*($E$2:$E$1073=$E398)*(ROW(U$2:U$1073)&lt;&gt;ROW(U398))*(U$2:U$1073&lt;&gt;""))),"")</f>
        <v>1.4968819383755281</v>
      </c>
      <c r="AD398" cm="1">
        <f t="array" ref="AD398">IFERROR(AVERAGE(_xlfn._xlws.FILTER(V$2:V$1073,($C$2:$C$1073=$C398)*($E$2:$E$1073=$E398)*(ROW(V$2:V$1073)&lt;&gt;ROW(V398))*(V$2:V$1073&lt;&gt;""))),"")</f>
        <v>0.51629215710635912</v>
      </c>
      <c r="AE398">
        <f>IF('Дивиденды по годам'!M398&lt;0,1,0)</f>
        <v>0</v>
      </c>
    </row>
    <row r="399" spans="1:31" x14ac:dyDescent="0.2">
      <c r="A399" s="7" t="s">
        <v>2226</v>
      </c>
      <c r="B399" t="str">
        <f t="shared" si="66"/>
        <v>MTLR IV кв. 2012</v>
      </c>
      <c r="C399">
        <v>2012</v>
      </c>
      <c r="D399">
        <f>SUMIFS(Дивиденды!$C:$C,Дивиденды!$A:$A,A399,Дивиденды!$I:$I,C399)</f>
        <v>0</v>
      </c>
      <c r="E399">
        <v>3</v>
      </c>
      <c r="F399">
        <f t="shared" si="67"/>
        <v>0</v>
      </c>
      <c r="G399">
        <f t="shared" si="68"/>
        <v>2.1309999999999998</v>
      </c>
      <c r="H399">
        <f t="shared" si="69"/>
        <v>0</v>
      </c>
      <c r="I399">
        <f t="shared" si="70"/>
        <v>0.6</v>
      </c>
      <c r="J399">
        <f t="shared" si="71"/>
        <v>-1</v>
      </c>
      <c r="K399">
        <f t="shared" si="76"/>
        <v>-8.4000436197696815E-2</v>
      </c>
      <c r="L399">
        <f t="shared" si="72"/>
        <v>0</v>
      </c>
      <c r="M399">
        <f t="shared" si="73"/>
        <v>0.3</v>
      </c>
      <c r="N399">
        <f t="shared" si="74"/>
        <v>1</v>
      </c>
      <c r="O399">
        <f t="shared" si="75"/>
        <v>0.5</v>
      </c>
      <c r="P399">
        <f>IFERROR(LN('Дивиденды по годам'!I399),"")</f>
        <v>27.032581068268886</v>
      </c>
      <c r="Q399">
        <f>IFERROR('Дивиденды по годам'!G399/'Дивиденды по годам'!I399, "")</f>
        <v>0.44072932800302994</v>
      </c>
      <c r="R399">
        <f>IFERROR(IF(AND('Дивиденды по годам'!N399&lt;&gt;"",'Дивиденды по годам'!U399&lt;&gt;"",'Дивиденды по годам'!U399&lt;&gt;0),'Дивиденды по годам'!N399/'Дивиденды по годам'!U399-1,""),"")</f>
        <v>-5.0580135218022404E-2</v>
      </c>
      <c r="S399" t="str">
        <f>IFERROR(IF(AND('Дивиденды по годам'!L399&lt;&gt;"",'Дивиденды по годам'!I399&lt;&gt;"",'Дивиденды по годам'!J399&lt;&gt;"",'Дивиденды по годам'!K399&lt;&gt;"",('Дивиденды по годам'!I399-'Дивиденды по годам'!J399-'Дивиденды по годам'!K399)&lt;&gt;0),'Дивиденды по годам'!L399/('Дивиденды по годам'!I399-'Дивиденды по годам'!J399-'Дивиденды по годам'!K399),""),"")</f>
        <v/>
      </c>
      <c r="T399">
        <f>IFERROR(IF(AND('Дивиденды по годам'!Q399&lt;&gt;"",'Дивиденды по годам'!I399&lt;&gt;"",'Дивиденды по годам'!V399&lt;&gt;"",('Дивиденды по годам'!I399+'Дивиденды по годам'!V399)&lt;&gt;0),'Дивиденды по годам'!Q399/(('Дивиденды по годам'!I399+'Дивиденды по годам'!V399)/2),""),"")</f>
        <v>-9.2572057779097522E-2</v>
      </c>
      <c r="U399">
        <f>IFERROR(IF(AND('Дивиденды по годам'!J399&lt;&gt;"",'Дивиденды по годам'!K399&lt;&gt;"",'Дивиденды по годам'!M399&lt;&gt;"",'Дивиденды по годам'!M399&lt;&gt;0),('Дивиденды по годам'!J399+'Дивиденды по годам'!K399)/'Дивиденды по годам'!M399,""),"")</f>
        <v>3.99915754549099</v>
      </c>
      <c r="V399">
        <f>IFERROR(IF(AND('Дивиденды по годам'!J399&lt;&gt;"",'Дивиденды по годам'!K399&lt;&gt;"",'Дивиденды по годам'!M399&lt;&gt;"",'Дивиденды по годам'!I399&lt;&gt;0),('Дивиденды по годам'!J399+'Дивиденды по годам'!K399)/'Дивиденды по годам'!I399,""),"")</f>
        <v>0.79996629614084602</v>
      </c>
      <c r="W399">
        <f>IFERROR('Дивиденды по годам'!I399,"")</f>
        <v>549668424190.70776</v>
      </c>
      <c r="X399" cm="1">
        <f t="array" ref="X399">IFERROR(AVERAGE(_xlfn._xlws.FILTER(P$2:P$1073,($C$2:$C$1073=$C399)*($E$2:$E$1073=$E399)*(ROW(P$2:P$1073)&lt;&gt;ROW(P399))*(P$2:P$1073&lt;&gt;""))),"")</f>
        <v>26.670048291425204</v>
      </c>
      <c r="Y399" cm="1">
        <f t="array" ref="Y399">IFERROR(AVERAGE(_xlfn._xlws.FILTER(Q$2:Q$1073,($C$2:$C$1073=$C399)*($E$2:$E$1073=$E399)*(ROW(Q$2:Q$1073)&lt;&gt;ROW(Q399))*(Q$2:Q$1073&lt;&gt;""))),"")</f>
        <v>0.51000601956766745</v>
      </c>
      <c r="Z399" cm="1">
        <f t="array" ref="Z399">IFERROR(AVERAGE(_xlfn._xlws.FILTER(R$2:R$1073,($C$2:$C$1073=$C399)*($E$2:$E$1073=$E399)*(ROW(R$2:R$1073)&lt;&gt;ROW(R399))*(R$2:R$1073&lt;&gt;""))),"")</f>
        <v>5.2704220743087548E-3</v>
      </c>
      <c r="AA399" t="str" cm="1">
        <f t="array" ref="AA399">IFERROR(AVERAGE(_xlfn._xlws.FILTER(S$2:S$1073,($C$2:$C$1073=$C399)*($E$2:$E$1073=$E399)*(ROW(S$2:S$1073)&lt;&gt;ROW(S399))*(S$2:S$1073&lt;&gt;""))),"")</f>
        <v/>
      </c>
      <c r="AB399" cm="1">
        <f t="array" ref="AB399">IFERROR(AVERAGE(_xlfn._xlws.FILTER(T$2:T$1073,($C$2:$C$1073=$C399)*($E$2:$E$1073=$E399)*(ROW(T$2:T$1073)&lt;&gt;ROW(T399))*(T$2:T$1073&lt;&gt;""))),"")</f>
        <v>7.0107851280949596E-2</v>
      </c>
      <c r="AC399" cm="1">
        <f t="array" ref="AC399">IFERROR(AVERAGE(_xlfn._xlws.FILTER(U$2:U$1073,($C$2:$C$1073=$C399)*($E$2:$E$1073=$E399)*(ROW(U$2:U$1073)&lt;&gt;ROW(U399))*(U$2:U$1073&lt;&gt;""))),"")</f>
        <v>1.0422968165185538</v>
      </c>
      <c r="AD399" cm="1">
        <f t="array" ref="AD399">IFERROR(AVERAGE(_xlfn._xlws.FILTER(V$2:V$1073,($C$2:$C$1073=$C399)*($E$2:$E$1073=$E399)*(ROW(V$2:V$1073)&lt;&gt;ROW(V399))*(V$2:V$1073&lt;&gt;""))),"")</f>
        <v>0.39327582232289393</v>
      </c>
      <c r="AE399">
        <f>IF('Дивиденды по годам'!M399&lt;0,1,0)</f>
        <v>0</v>
      </c>
    </row>
    <row r="400" spans="1:31" x14ac:dyDescent="0.2">
      <c r="A400" s="7" t="s">
        <v>2226</v>
      </c>
      <c r="B400" t="str">
        <f t="shared" si="66"/>
        <v>MTLR IV кв. 2011</v>
      </c>
      <c r="C400">
        <v>2011</v>
      </c>
      <c r="D400">
        <f>SUMIFS(Дивиденды!$C:$C,Дивиденды!$A:$A,A400,Дивиденды!$I:$I,C400)</f>
        <v>8.06</v>
      </c>
      <c r="E400">
        <v>3</v>
      </c>
      <c r="F400">
        <f t="shared" si="67"/>
        <v>8.06</v>
      </c>
      <c r="G400">
        <f t="shared" si="68"/>
        <v>2.96</v>
      </c>
      <c r="H400">
        <f t="shared" si="69"/>
        <v>1</v>
      </c>
      <c r="I400">
        <f t="shared" si="70"/>
        <v>0.7</v>
      </c>
      <c r="J400">
        <f t="shared" si="71"/>
        <v>-7.6746849942726222E-2</v>
      </c>
      <c r="K400">
        <f t="shared" si="76"/>
        <v>0.78898036547479877</v>
      </c>
      <c r="L400">
        <f t="shared" si="72"/>
        <v>0</v>
      </c>
      <c r="M400">
        <f t="shared" si="73"/>
        <v>0.6</v>
      </c>
      <c r="N400">
        <f t="shared" si="74"/>
        <v>1</v>
      </c>
      <c r="O400">
        <f t="shared" si="75"/>
        <v>0.2</v>
      </c>
      <c r="P400">
        <f>IFERROR(LN('Дивиденды по годам'!I400),"")</f>
        <v>27.064771522237034</v>
      </c>
      <c r="Q400">
        <f>IFERROR('Дивиденды по годам'!G400/'Дивиденды по годам'!I400, "")</f>
        <v>0.36652937597316354</v>
      </c>
      <c r="R400" t="str">
        <f>IFERROR(IF(AND('Дивиденды по годам'!N400&lt;&gt;"",'Дивиденды по годам'!U400&lt;&gt;"",'Дивиденды по годам'!U400&lt;&gt;0),'Дивиденды по годам'!N400/'Дивиденды по годам'!U400-1,""),"")</f>
        <v/>
      </c>
      <c r="S400" t="str">
        <f>IFERROR(IF(AND('Дивиденды по годам'!L400&lt;&gt;"",'Дивиденды по годам'!I400&lt;&gt;"",'Дивиденды по годам'!J400&lt;&gt;"",'Дивиденды по годам'!K400&lt;&gt;"",('Дивиденды по годам'!I400-'Дивиденды по годам'!J400-'Дивиденды по годам'!K400)&lt;&gt;0),'Дивиденды по годам'!L400/('Дивиденды по годам'!I400-'Дивиденды по годам'!J400-'Дивиденды по годам'!K400),""),"")</f>
        <v/>
      </c>
      <c r="T400" t="str">
        <f>IFERROR(IF(AND('Дивиденды по годам'!Q400&lt;&gt;"",'Дивиденды по годам'!I400&lt;&gt;"",'Дивиденды по годам'!V400&lt;&gt;"",('Дивиденды по годам'!I400+'Дивиденды по годам'!V400)&lt;&gt;0),'Дивиденды по годам'!Q400/(('Дивиденды по годам'!I400+'Дивиденды по годам'!V400)/2),""),"")</f>
        <v/>
      </c>
      <c r="U400">
        <f>IFERROR(IF(AND('Дивиденды по годам'!J400&lt;&gt;"",'Дивиденды по годам'!K400&lt;&gt;"",'Дивиденды по годам'!M400&lt;&gt;"",'Дивиденды по годам'!M400&lt;&gt;0),('Дивиденды по годам'!J400+'Дивиденды по годам'!K400)/'Дивиденды по годам'!M400,""),"")</f>
        <v>2.5983343789361544</v>
      </c>
      <c r="V400">
        <f>IFERROR(IF(AND('Дивиденды по годам'!J400&lt;&gt;"",'Дивиденды по годам'!K400&lt;&gt;"",'Дивиденды по годам'!M400&lt;&gt;"",'Дивиденды по годам'!I400&lt;&gt;0),('Дивиденды по годам'!J400+'Дивиденды по годам'!K400)/'Дивиденды по годам'!I400,""),"")</f>
        <v>0.7220936425881439</v>
      </c>
      <c r="W400">
        <f>IFERROR('Дивиденды по годам'!I400,"")</f>
        <v>567650371061.61926</v>
      </c>
      <c r="X400" cm="1">
        <f t="array" ref="X400">IFERROR(AVERAGE(_xlfn._xlws.FILTER(P$2:P$1073,($C$2:$C$1073=$C400)*($E$2:$E$1073=$E400)*(ROW(P$2:P$1073)&lt;&gt;ROW(P400))*(P$2:P$1073&lt;&gt;""))),"")</f>
        <v>26.345707643912672</v>
      </c>
      <c r="Y400" cm="1">
        <f t="array" ref="Y400">IFERROR(AVERAGE(_xlfn._xlws.FILTER(Q$2:Q$1073,($C$2:$C$1073=$C400)*($E$2:$E$1073=$E400)*(ROW(Q$2:Q$1073)&lt;&gt;ROW(Q400))*(Q$2:Q$1073&lt;&gt;""))),"")</f>
        <v>0.59852054682667499</v>
      </c>
      <c r="Z400" cm="1">
        <f t="array" ref="Z400">IFERROR(AVERAGE(_xlfn._xlws.FILTER(R$2:R$1073,($C$2:$C$1073=$C400)*($E$2:$E$1073=$E400)*(ROW(R$2:R$1073)&lt;&gt;ROW(R400))*(R$2:R$1073&lt;&gt;""))),"")</f>
        <v>0.21463216748681591</v>
      </c>
      <c r="AA400" t="str" cm="1">
        <f t="array" ref="AA400">IFERROR(AVERAGE(_xlfn._xlws.FILTER(S$2:S$1073,($C$2:$C$1073=$C400)*($E$2:$E$1073=$E400)*(ROW(S$2:S$1073)&lt;&gt;ROW(S400))*(S$2:S$1073&lt;&gt;""))),"")</f>
        <v/>
      </c>
      <c r="AB400" cm="1">
        <f t="array" ref="AB400">IFERROR(AVERAGE(_xlfn._xlws.FILTER(T$2:T$1073,($C$2:$C$1073=$C400)*($E$2:$E$1073=$E400)*(ROW(T$2:T$1073)&lt;&gt;ROW(T400))*(T$2:T$1073&lt;&gt;""))),"")</f>
        <v>0.11505618365484008</v>
      </c>
      <c r="AC400" cm="1">
        <f t="array" ref="AC400">IFERROR(AVERAGE(_xlfn._xlws.FILTER(U$2:U$1073,($C$2:$C$1073=$C400)*($E$2:$E$1073=$E400)*(ROW(U$2:U$1073)&lt;&gt;ROW(U400))*(U$2:U$1073&lt;&gt;""))),"")</f>
        <v>0.90064525638416104</v>
      </c>
      <c r="AD400" cm="1">
        <f t="array" ref="AD400">IFERROR(AVERAGE(_xlfn._xlws.FILTER(V$2:V$1073,($C$2:$C$1073=$C400)*($E$2:$E$1073=$E400)*(ROW(V$2:V$1073)&lt;&gt;ROW(V400))*(V$2:V$1073&lt;&gt;""))),"")</f>
        <v>0.46896481470043644</v>
      </c>
      <c r="AE400">
        <f>IF('Дивиденды по годам'!M400&lt;0,1,0)</f>
        <v>0</v>
      </c>
    </row>
    <row r="401" spans="1:31" x14ac:dyDescent="0.2">
      <c r="A401" s="7" t="s">
        <v>2226</v>
      </c>
      <c r="B401" t="str">
        <f t="shared" si="66"/>
        <v>MTLR IV кв. 2010</v>
      </c>
      <c r="C401">
        <v>2010</v>
      </c>
      <c r="D401">
        <f>SUMIFS(Дивиденды!$C:$C,Дивиденды!$A:$A,A401,Дивиденды!$I:$I,C401)</f>
        <v>8.73</v>
      </c>
      <c r="E401">
        <v>3</v>
      </c>
      <c r="F401">
        <f t="shared" si="67"/>
        <v>8.73</v>
      </c>
      <c r="G401">
        <f t="shared" si="68"/>
        <v>2.2060000000000004</v>
      </c>
      <c r="H401">
        <f t="shared" si="69"/>
        <v>1</v>
      </c>
      <c r="I401">
        <f t="shared" si="70"/>
        <v>0.6</v>
      </c>
      <c r="J401" t="str">
        <f t="shared" si="71"/>
        <v/>
      </c>
      <c r="K401" t="str">
        <f t="shared" si="76"/>
        <v/>
      </c>
      <c r="L401" t="str">
        <f t="shared" si="72"/>
        <v/>
      </c>
      <c r="M401" t="str">
        <f t="shared" si="73"/>
        <v/>
      </c>
      <c r="N401" t="str">
        <f t="shared" si="74"/>
        <v/>
      </c>
      <c r="O401" t="str">
        <f t="shared" si="75"/>
        <v/>
      </c>
      <c r="P401" t="str">
        <f>IFERROR(LN('Дивиденды по годам'!I401),"")</f>
        <v/>
      </c>
      <c r="Q401" t="str">
        <f>IFERROR('Дивиденды по годам'!G401/'Дивиденды по годам'!I401, "")</f>
        <v/>
      </c>
      <c r="R401" t="str">
        <f>IFERROR(IF(AND('Дивиденды по годам'!N401&lt;&gt;"",'Дивиденды по годам'!U401&lt;&gt;"",'Дивиденды по годам'!U401&lt;&gt;0),'Дивиденды по годам'!N401/'Дивиденды по годам'!U401-1,""),"")</f>
        <v/>
      </c>
      <c r="S401" t="str">
        <f>IFERROR(IF(AND('Дивиденды по годам'!L401&lt;&gt;"",'Дивиденды по годам'!I401&lt;&gt;"",'Дивиденды по годам'!J401&lt;&gt;"",'Дивиденды по годам'!K401&lt;&gt;"",('Дивиденды по годам'!I401-'Дивиденды по годам'!J401-'Дивиденды по годам'!K401)&lt;&gt;0),'Дивиденды по годам'!L401/('Дивиденды по годам'!I401-'Дивиденды по годам'!J401-'Дивиденды по годам'!K401),""),"")</f>
        <v/>
      </c>
      <c r="T401" t="str">
        <f>IFERROR(IF(AND('Дивиденды по годам'!Q401&lt;&gt;"",'Дивиденды по годам'!I401&lt;&gt;"",'Дивиденды по годам'!V401&lt;&gt;"",('Дивиденды по годам'!I401+'Дивиденды по годам'!V401)&lt;&gt;0),'Дивиденды по годам'!Q401/(('Дивиденды по годам'!I401+'Дивиденды по годам'!V401)/2),""),"")</f>
        <v/>
      </c>
      <c r="U401" t="str">
        <f>IFERROR(IF(AND('Дивиденды по годам'!J401&lt;&gt;"",'Дивиденды по годам'!K401&lt;&gt;"",'Дивиденды по годам'!M401&lt;&gt;"",'Дивиденды по годам'!M401&lt;&gt;0),('Дивиденды по годам'!J401+'Дивиденды по годам'!K401)/'Дивиденды по годам'!M401,""),"")</f>
        <v/>
      </c>
      <c r="V401" t="str">
        <f>IFERROR(IF(AND('Дивиденды по годам'!J401&lt;&gt;"",'Дивиденды по годам'!K401&lt;&gt;"",'Дивиденды по годам'!M401&lt;&gt;"",'Дивиденды по годам'!I401&lt;&gt;0),('Дивиденды по годам'!J401+'Дивиденды по годам'!K401)/'Дивиденды по годам'!I401,""),"")</f>
        <v/>
      </c>
      <c r="W401" t="str">
        <f>IFERROR('Дивиденды по годам'!I401,"")</f>
        <v/>
      </c>
      <c r="X401" cm="1">
        <f t="array" ref="X401">IFERROR(AVERAGE(_xlfn._xlws.FILTER(P$2:P$1073,($C$2:$C$1073=$C401)*($E$2:$E$1073=$E401)*(ROW(P$2:P$1073)&lt;&gt;ROW(P401))*(P$2:P$1073&lt;&gt;""))),"")</f>
        <v>26.127864794831805</v>
      </c>
      <c r="Y401" cm="1">
        <f t="array" ref="Y401">IFERROR(AVERAGE(_xlfn._xlws.FILTER(Q$2:Q$1073,($C$2:$C$1073=$C401)*($E$2:$E$1073=$E401)*(ROW(Q$2:Q$1073)&lt;&gt;ROW(Q401))*(Q$2:Q$1073&lt;&gt;""))),"")</f>
        <v>0.75539390451698762</v>
      </c>
      <c r="Z401" t="str" cm="1">
        <f t="array" ref="Z401">IFERROR(AVERAGE(_xlfn._xlws.FILTER(R$2:R$1073,($C$2:$C$1073=$C401)*($E$2:$E$1073=$E401)*(ROW(R$2:R$1073)&lt;&gt;ROW(R401))*(R$2:R$1073&lt;&gt;""))),"")</f>
        <v/>
      </c>
      <c r="AA401" t="str" cm="1">
        <f t="array" ref="AA401">IFERROR(AVERAGE(_xlfn._xlws.FILTER(S$2:S$1073,($C$2:$C$1073=$C401)*($E$2:$E$1073=$E401)*(ROW(S$2:S$1073)&lt;&gt;ROW(S401))*(S$2:S$1073&lt;&gt;""))),"")</f>
        <v/>
      </c>
      <c r="AB401" t="str" cm="1">
        <f t="array" ref="AB401">IFERROR(AVERAGE(_xlfn._xlws.FILTER(T$2:T$1073,($C$2:$C$1073=$C401)*($E$2:$E$1073=$E401)*(ROW(T$2:T$1073)&lt;&gt;ROW(T401))*(T$2:T$1073&lt;&gt;""))),"")</f>
        <v/>
      </c>
      <c r="AC401" cm="1">
        <f t="array" ref="AC401">IFERROR(AVERAGE(_xlfn._xlws.FILTER(U$2:U$1073,($C$2:$C$1073=$C401)*($E$2:$E$1073=$E401)*(ROW(U$2:U$1073)&lt;&gt;ROW(U401))*(U$2:U$1073&lt;&gt;""))),"")</f>
        <v>1.4017600691070078</v>
      </c>
      <c r="AD401" cm="1">
        <f t="array" ref="AD401">IFERROR(AVERAGE(_xlfn._xlws.FILTER(V$2:V$1073,($C$2:$C$1073=$C401)*($E$2:$E$1073=$E401)*(ROW(V$2:V$1073)&lt;&gt;ROW(V401))*(V$2:V$1073&lt;&gt;""))),"")</f>
        <v>0.58363867695918215</v>
      </c>
      <c r="AE401">
        <f>IF('Дивиденды по годам'!M401&lt;0,1,0)</f>
        <v>0</v>
      </c>
    </row>
    <row r="402" spans="1:31" x14ac:dyDescent="0.2">
      <c r="A402" s="7" t="s">
        <v>2228</v>
      </c>
      <c r="B402" t="str">
        <f t="shared" si="66"/>
        <v>NLMK IV кв. 2025</v>
      </c>
      <c r="C402">
        <v>2025</v>
      </c>
      <c r="D402">
        <f>SUMIFS(Дивиденды!$C:$C,Дивиденды!$A:$A,A402,Дивиденды!$I:$I,C402)</f>
        <v>0</v>
      </c>
      <c r="E402">
        <v>3</v>
      </c>
      <c r="F402">
        <f t="shared" si="67"/>
        <v>0</v>
      </c>
      <c r="G402">
        <f t="shared" si="68"/>
        <v>10.684999999999999</v>
      </c>
      <c r="H402">
        <f t="shared" si="69"/>
        <v>0</v>
      </c>
      <c r="I402">
        <f t="shared" si="70"/>
        <v>0.1</v>
      </c>
      <c r="J402">
        <f t="shared" si="71"/>
        <v>0</v>
      </c>
      <c r="K402">
        <f t="shared" si="76"/>
        <v>-0.44741116251599566</v>
      </c>
      <c r="L402">
        <f t="shared" si="72"/>
        <v>0</v>
      </c>
      <c r="M402">
        <f t="shared" si="73"/>
        <v>0</v>
      </c>
      <c r="N402">
        <f t="shared" si="74"/>
        <v>0</v>
      </c>
      <c r="O402">
        <f t="shared" si="75"/>
        <v>0.5</v>
      </c>
      <c r="P402" t="str">
        <f>IFERROR(LN('Дивиденды по годам'!I402),"")</f>
        <v/>
      </c>
      <c r="Q402" t="str">
        <f>IFERROR('Дивиденды по годам'!G402/'Дивиденды по годам'!I402, "")</f>
        <v/>
      </c>
      <c r="R402" t="str">
        <f>IFERROR(IF(AND('Дивиденды по годам'!N402&lt;&gt;"",'Дивиденды по годам'!U402&lt;&gt;"",'Дивиденды по годам'!U402&lt;&gt;0),'Дивиденды по годам'!N402/'Дивиденды по годам'!U402-1,""),"")</f>
        <v/>
      </c>
      <c r="S402" t="str">
        <f>IFERROR(IF(AND('Дивиденды по годам'!L402&lt;&gt;"",'Дивиденды по годам'!I402&lt;&gt;"",'Дивиденды по годам'!J402&lt;&gt;"",'Дивиденды по годам'!K402&lt;&gt;"",('Дивиденды по годам'!I402-'Дивиденды по годам'!J402-'Дивиденды по годам'!K402)&lt;&gt;0),'Дивиденды по годам'!L402/('Дивиденды по годам'!I402-'Дивиденды по годам'!J402-'Дивиденды по годам'!K402),""),"")</f>
        <v/>
      </c>
      <c r="T402" t="str">
        <f>IFERROR(IF(AND('Дивиденды по годам'!Q402&lt;&gt;"",'Дивиденды по годам'!I402&lt;&gt;"",'Дивиденды по годам'!V402&lt;&gt;"",('Дивиденды по годам'!I402+'Дивиденды по годам'!V402)&lt;&gt;0),'Дивиденды по годам'!Q402/(('Дивиденды по годам'!I402+'Дивиденды по годам'!V402)/2),""),"")</f>
        <v/>
      </c>
      <c r="U402" t="str">
        <f>IFERROR(IF(AND('Дивиденды по годам'!J402&lt;&gt;"",'Дивиденды по годам'!K402&lt;&gt;"",'Дивиденды по годам'!M402&lt;&gt;"",'Дивиденды по годам'!M402&lt;&gt;0),('Дивиденды по годам'!J402+'Дивиденды по годам'!K402)/'Дивиденды по годам'!M402,""),"")</f>
        <v/>
      </c>
      <c r="V402" t="str">
        <f>IFERROR(IF(AND('Дивиденды по годам'!J402&lt;&gt;"",'Дивиденды по годам'!K402&lt;&gt;"",'Дивиденды по годам'!M402&lt;&gt;"",'Дивиденды по годам'!I402&lt;&gt;0),('Дивиденды по годам'!J402+'Дивиденды по годам'!K402)/'Дивиденды по годам'!I402,""),"")</f>
        <v/>
      </c>
      <c r="W402" t="str">
        <f>IFERROR('Дивиденды по годам'!I402,"")</f>
        <v/>
      </c>
      <c r="X402" cm="1">
        <f t="array" ref="X402">IFERROR(AVERAGE(_xlfn._xlws.FILTER(P$2:P$1073,($C$2:$C$1073=$C402)*($E$2:$E$1073=$E402)*(ROW(P$2:P$1073)&lt;&gt;ROW(P402))*(P$2:P$1073&lt;&gt;""))),"")</f>
        <v>27.526016888115407</v>
      </c>
      <c r="Y402" cm="1">
        <f t="array" ref="Y402">IFERROR(AVERAGE(_xlfn._xlws.FILTER(Q$2:Q$1073,($C$2:$C$1073=$C402)*($E$2:$E$1073=$E402)*(ROW(Q$2:Q$1073)&lt;&gt;ROW(Q402))*(Q$2:Q$1073&lt;&gt;""))),"")</f>
        <v>0.52913138653861203</v>
      </c>
      <c r="Z402" cm="1">
        <f t="array" ref="Z402">IFERROR(AVERAGE(_xlfn._xlws.FILTER(R$2:R$1073,($C$2:$C$1073=$C402)*($E$2:$E$1073=$E402)*(ROW(R$2:R$1073)&lt;&gt;ROW(R402))*(R$2:R$1073&lt;&gt;""))),"")</f>
        <v>-9.3696736214243112E-2</v>
      </c>
      <c r="AA402" cm="1">
        <f t="array" ref="AA402">IFERROR(AVERAGE(_xlfn._xlws.FILTER(S$2:S$1073,($C$2:$C$1073=$C402)*($E$2:$E$1073=$E402)*(ROW(S$2:S$1073)&lt;&gt;ROW(S402))*(S$2:S$1073&lt;&gt;""))),"")</f>
        <v>0.98692377594794511</v>
      </c>
      <c r="AB402" cm="1">
        <f t="array" ref="AB402">IFERROR(AVERAGE(_xlfn._xlws.FILTER(T$2:T$1073,($C$2:$C$1073=$C402)*($E$2:$E$1073=$E402)*(ROW(T$2:T$1073)&lt;&gt;ROW(T402))*(T$2:T$1073&lt;&gt;""))),"")</f>
        <v>1.506473654039886E-2</v>
      </c>
      <c r="AC402" cm="1">
        <f t="array" ref="AC402">IFERROR(AVERAGE(_xlfn._xlws.FILTER(U$2:U$1073,($C$2:$C$1073=$C402)*($E$2:$E$1073=$E402)*(ROW(U$2:U$1073)&lt;&gt;ROW(U402))*(U$2:U$1073&lt;&gt;""))),"")</f>
        <v>3.186882781387423</v>
      </c>
      <c r="AD402" cm="1">
        <f t="array" ref="AD402">IFERROR(AVERAGE(_xlfn._xlws.FILTER(V$2:V$1073,($C$2:$C$1073=$C402)*($E$2:$E$1073=$E402)*(ROW(V$2:V$1073)&lt;&gt;ROW(V402))*(V$2:V$1073&lt;&gt;""))),"")</f>
        <v>0.52452270556733893</v>
      </c>
      <c r="AE402">
        <f>IF('Дивиденды по годам'!M402&lt;0,1,0)</f>
        <v>0</v>
      </c>
    </row>
    <row r="403" spans="1:31" x14ac:dyDescent="0.2">
      <c r="A403" s="7" t="s">
        <v>2228</v>
      </c>
      <c r="B403" t="str">
        <f t="shared" si="66"/>
        <v>NLMK IV кв. 2024</v>
      </c>
      <c r="C403">
        <v>2024</v>
      </c>
      <c r="D403">
        <f>SUMIFS(Дивиденды!$C:$C,Дивиденды!$A:$A,A403,Дивиденды!$I:$I,C403)</f>
        <v>0</v>
      </c>
      <c r="E403">
        <v>3</v>
      </c>
      <c r="F403">
        <f t="shared" si="67"/>
        <v>0</v>
      </c>
      <c r="G403">
        <f t="shared" si="68"/>
        <v>33.058</v>
      </c>
      <c r="H403">
        <f t="shared" si="69"/>
        <v>0</v>
      </c>
      <c r="I403">
        <f t="shared" si="70"/>
        <v>0.5</v>
      </c>
      <c r="J403">
        <f t="shared" si="71"/>
        <v>-1</v>
      </c>
      <c r="K403">
        <f t="shared" si="76"/>
        <v>-0.10461447297899458</v>
      </c>
      <c r="L403">
        <f t="shared" si="72"/>
        <v>0</v>
      </c>
      <c r="M403">
        <f t="shared" si="73"/>
        <v>0.1</v>
      </c>
      <c r="N403">
        <f t="shared" si="74"/>
        <v>1</v>
      </c>
      <c r="O403">
        <f t="shared" si="75"/>
        <v>0.4</v>
      </c>
      <c r="P403">
        <f>IFERROR(LN('Дивиденды по годам'!I403),"")</f>
        <v>27.754008363927397</v>
      </c>
      <c r="Q403">
        <f>IFERROR('Дивиденды по годам'!G403/'Дивиденды по годам'!I403, "")</f>
        <v>0.49209192922263389</v>
      </c>
      <c r="R403">
        <f>IFERROR(IF(AND('Дивиденды по годам'!N403&lt;&gt;"",'Дивиденды по годам'!U403&lt;&gt;"",'Дивиденды по годам'!U403&lt;&gt;0),'Дивиденды по годам'!N403/'Дивиденды по годам'!U403-1,""),"")</f>
        <v>4.9449613524241043E-2</v>
      </c>
      <c r="S403">
        <f>IFERROR(IF(AND('Дивиденды по годам'!L403&lt;&gt;"",'Дивиденды по годам'!I403&lt;&gt;"",'Дивиденды по годам'!J403&lt;&gt;"",'Дивиденды по годам'!K403&lt;&gt;"",('Дивиденды по годам'!I403-'Дивиденды по годам'!J403-'Дивиденды по годам'!K403)&lt;&gt;0),'Дивиденды по годам'!L403/('Дивиденды по годам'!I403-'Дивиденды по годам'!J403-'Дивиденды по годам'!K403),""),"")</f>
        <v>0.95073571396176126</v>
      </c>
      <c r="T403">
        <f>IFERROR(IF(AND('Дивиденды по годам'!Q403&lt;&gt;"",'Дивиденды по годам'!I403&lt;&gt;"",'Дивиденды по годам'!V403&lt;&gt;"",('Дивиденды по годам'!I403+'Дивиденды по годам'!V403)&lt;&gt;0),'Дивиденды по годам'!Q403/(('Дивиденды по годам'!I403+'Дивиденды по годам'!V403)/2),""),"")</f>
        <v>0.10809528160374555</v>
      </c>
      <c r="U403">
        <f>IFERROR(IF(AND('Дивиденды по годам'!J403&lt;&gt;"",'Дивиденды по годам'!K403&lt;&gt;"",'Дивиденды по годам'!M403&lt;&gt;"",'Дивиденды по годам'!M403&lt;&gt;0),('Дивиденды по годам'!J403+'Дивиденды по годам'!K403)/'Дивиденды по годам'!M403,""),"")</f>
        <v>0.3150981552784991</v>
      </c>
      <c r="V403">
        <f>IFERROR(IF(AND('Дивиденды по годам'!J403&lt;&gt;"",'Дивиденды по годам'!K403&lt;&gt;"",'Дивиденды по годам'!M403&lt;&gt;"",'Дивиденды по годам'!I403&lt;&gt;0),('Дивиденды по годам'!J403+'Дивиденды по годам'!K403)/'Дивиденды по годам'!I403,""),"")</f>
        <v>0.23960048458266645</v>
      </c>
      <c r="W403">
        <f>IFERROR('Дивиденды по годам'!I403,"")</f>
        <v>1130870000000</v>
      </c>
      <c r="X403" cm="1">
        <f t="array" ref="X403">IFERROR(AVERAGE(_xlfn._xlws.FILTER(P$2:P$1073,($C$2:$C$1073=$C403)*($E$2:$E$1073=$E403)*(ROW(P$2:P$1073)&lt;&gt;ROW(P403))*(P$2:P$1073&lt;&gt;""))),"")</f>
        <v>27.235758248729518</v>
      </c>
      <c r="Y403" cm="1">
        <f t="array" ref="Y403">IFERROR(AVERAGE(_xlfn._xlws.FILTER(Q$2:Q$1073,($C$2:$C$1073=$C403)*($E$2:$E$1073=$E403)*(ROW(Q$2:Q$1073)&lt;&gt;ROW(Q403))*(Q$2:Q$1073&lt;&gt;""))),"")</f>
        <v>0.47894368824245381</v>
      </c>
      <c r="Z403" cm="1">
        <f t="array" ref="Z403">IFERROR(AVERAGE(_xlfn._xlws.FILTER(R$2:R$1073,($C$2:$C$1073=$C403)*($E$2:$E$1073=$E403)*(ROW(R$2:R$1073)&lt;&gt;ROW(R403))*(R$2:R$1073&lt;&gt;""))),"")</f>
        <v>2.2866148488866901E-2</v>
      </c>
      <c r="AA403" cm="1">
        <f t="array" ref="AA403">IFERROR(AVERAGE(_xlfn._xlws.FILTER(S$2:S$1073,($C$2:$C$1073=$C403)*($E$2:$E$1073=$E403)*(ROW(S$2:S$1073)&lt;&gt;ROW(S403))*(S$2:S$1073&lt;&gt;""))),"")</f>
        <v>1.1948131863051918</v>
      </c>
      <c r="AB403" cm="1">
        <f t="array" ref="AB403">IFERROR(AVERAGE(_xlfn._xlws.FILTER(T$2:T$1073,($C$2:$C$1073=$C403)*($E$2:$E$1073=$E403)*(ROW(T$2:T$1073)&lt;&gt;ROW(T403))*(T$2:T$1073&lt;&gt;""))),"")</f>
        <v>3.9266222849469422E-2</v>
      </c>
      <c r="AC403" cm="1">
        <f t="array" ref="AC403">IFERROR(AVERAGE(_xlfn._xlws.FILTER(U$2:U$1073,($C$2:$C$1073=$C403)*($E$2:$E$1073=$E403)*(ROW(U$2:U$1073)&lt;&gt;ROW(U403))*(U$2:U$1073&lt;&gt;""))),"")</f>
        <v>2.7897098005493652</v>
      </c>
      <c r="AD403" cm="1">
        <f t="array" ref="AD403">IFERROR(AVERAGE(_xlfn._xlws.FILTER(V$2:V$1073,($C$2:$C$1073=$C403)*($E$2:$E$1073=$E403)*(ROW(V$2:V$1073)&lt;&gt;ROW(V403))*(V$2:V$1073&lt;&gt;""))),"")</f>
        <v>0.65683431869678977</v>
      </c>
      <c r="AE403">
        <f>IF('Дивиденды по годам'!M403&lt;0,1,0)</f>
        <v>0</v>
      </c>
    </row>
    <row r="404" spans="1:31" x14ac:dyDescent="0.2">
      <c r="A404" s="7" t="s">
        <v>2228</v>
      </c>
      <c r="B404" t="str">
        <f t="shared" si="66"/>
        <v>NLMK IV кв. 2023</v>
      </c>
      <c r="C404">
        <v>2023</v>
      </c>
      <c r="D404">
        <f>SUMIFS(Дивиденды!$C:$C,Дивиденды!$A:$A,A404,Дивиденды!$I:$I,C404)</f>
        <v>25.43</v>
      </c>
      <c r="E404">
        <v>3</v>
      </c>
      <c r="F404">
        <f t="shared" si="67"/>
        <v>25.43</v>
      </c>
      <c r="G404">
        <f t="shared" si="68"/>
        <v>22.701000000000001</v>
      </c>
      <c r="H404">
        <f t="shared" si="69"/>
        <v>1</v>
      </c>
      <c r="I404">
        <f t="shared" si="70"/>
        <v>0.5</v>
      </c>
      <c r="J404">
        <f t="shared" si="71"/>
        <v>1</v>
      </c>
      <c r="K404">
        <f t="shared" si="76"/>
        <v>0.33287037037037037</v>
      </c>
      <c r="L404">
        <f t="shared" si="72"/>
        <v>1</v>
      </c>
      <c r="M404">
        <f t="shared" si="73"/>
        <v>0.5</v>
      </c>
      <c r="N404">
        <f t="shared" si="74"/>
        <v>0</v>
      </c>
      <c r="O404">
        <f t="shared" si="75"/>
        <v>0.1</v>
      </c>
      <c r="P404">
        <f>IFERROR(LN('Дивиденды по годам'!I404),"")</f>
        <v>27.747694202485942</v>
      </c>
      <c r="Q404">
        <f>IFERROR('Дивиденды по годам'!G404/'Дивиденды по годам'!I404, "")</f>
        <v>0.43182570531576364</v>
      </c>
      <c r="R404">
        <f>IFERROR(IF(AND('Дивиденды по годам'!N404&lt;&gt;"",'Дивиденды по годам'!U404&lt;&gt;"",'Дивиденды по годам'!U404&lt;&gt;0),'Дивиденды по годам'!N404/'Дивиденды по годам'!U404-1,""),"")</f>
        <v>3.6202450425888433E-2</v>
      </c>
      <c r="S404">
        <f>IFERROR(IF(AND('Дивиденды по годам'!L404&lt;&gt;"",'Дивиденды по годам'!I404&lt;&gt;"",'Дивиденды по годам'!J404&lt;&gt;"",'Дивиденды по годам'!K404&lt;&gt;"",('Дивиденды по годам'!I404-'Дивиденды по годам'!J404-'Дивиденды по годам'!K404)&lt;&gt;0),'Дивиденды по годам'!L404/('Дивиденды по годам'!I404-'Дивиденды по годам'!J404-'Дивиденды по годам'!K404),""),"")</f>
        <v>0.98186025566968305</v>
      </c>
      <c r="T404">
        <f>IFERROR(IF(AND('Дивиденды по годам'!Q404&lt;&gt;"",'Дивиденды по годам'!I404&lt;&gt;"",'Дивиденды по годам'!V404&lt;&gt;"",('Дивиденды по годам'!I404+'Дивиденды по годам'!V404)&lt;&gt;0),'Дивиденды по годам'!Q404/(('Дивиденды по годам'!I404+'Дивиденды по годам'!V404)/2),""),"")</f>
        <v>0.20186892639897105</v>
      </c>
      <c r="U404">
        <f>IFERROR(IF(AND('Дивиденды по годам'!J404&lt;&gt;"",'Дивиденды по годам'!K404&lt;&gt;"",'Дивиденды по годам'!M404&lt;&gt;"",'Дивиденды по годам'!M404&lt;&gt;0),('Дивиденды по годам'!J404+'Дивиденды по годам'!K404)/'Дивиденды по годам'!M404,""),"")</f>
        <v>0.3008662393543316</v>
      </c>
      <c r="V404">
        <f>IFERROR(IF(AND('Дивиденды по годам'!J404&lt;&gt;"",'Дивиденды по годам'!K404&lt;&gt;"",'Дивиденды по годам'!M404&lt;&gt;"",'Дивиденды по годам'!I404&lt;&gt;0),('Дивиденды по годам'!J404+'Дивиденды по годам'!K404)/'Дивиденды по годам'!I404,""),"")</f>
        <v>0.2312814571186525</v>
      </c>
      <c r="W404">
        <f>IFERROR('Дивиденды по годам'!I404,"")</f>
        <v>1123752000000</v>
      </c>
      <c r="X404" cm="1">
        <f t="array" ref="X404">IFERROR(AVERAGE(_xlfn._xlws.FILTER(P$2:P$1073,($C$2:$C$1073=$C404)*($E$2:$E$1073=$E404)*(ROW(P$2:P$1073)&lt;&gt;ROW(P404))*(P$2:P$1073&lt;&gt;""))),"")</f>
        <v>27.15716622140361</v>
      </c>
      <c r="Y404" cm="1">
        <f t="array" ref="Y404">IFERROR(AVERAGE(_xlfn._xlws.FILTER(Q$2:Q$1073,($C$2:$C$1073=$C404)*($E$2:$E$1073=$E404)*(ROW(Q$2:Q$1073)&lt;&gt;ROW(Q404))*(Q$2:Q$1073&lt;&gt;""))),"")</f>
        <v>0.45817154779838748</v>
      </c>
      <c r="Z404" cm="1">
        <f t="array" ref="Z404">IFERROR(AVERAGE(_xlfn._xlws.FILTER(R$2:R$1073,($C$2:$C$1073=$C404)*($E$2:$E$1073=$E404)*(ROW(R$2:R$1073)&lt;&gt;ROW(R404))*(R$2:R$1073&lt;&gt;""))),"")</f>
        <v>0.14030274899316311</v>
      </c>
      <c r="AA404" cm="1">
        <f t="array" ref="AA404">IFERROR(AVERAGE(_xlfn._xlws.FILTER(S$2:S$1073,($C$2:$C$1073=$C404)*($E$2:$E$1073=$E404)*(ROW(S$2:S$1073)&lt;&gt;ROW(S404))*(S$2:S$1073&lt;&gt;""))),"")</f>
        <v>5.024766837572793E-2</v>
      </c>
      <c r="AB404" cm="1">
        <f t="array" ref="AB404">IFERROR(AVERAGE(_xlfn._xlws.FILTER(T$2:T$1073,($C$2:$C$1073=$C404)*($E$2:$E$1073=$E404)*(ROW(T$2:T$1073)&lt;&gt;ROW(T404))*(T$2:T$1073&lt;&gt;""))),"")</f>
        <v>0.1100514318468188</v>
      </c>
      <c r="AC404" cm="1">
        <f t="array" ref="AC404">IFERROR(AVERAGE(_xlfn._xlws.FILTER(U$2:U$1073,($C$2:$C$1073=$C404)*($E$2:$E$1073=$E404)*(ROW(U$2:U$1073)&lt;&gt;ROW(U404))*(U$2:U$1073&lt;&gt;""))),"")</f>
        <v>-0.64329664954988641</v>
      </c>
      <c r="AD404" cm="1">
        <f t="array" ref="AD404">IFERROR(AVERAGE(_xlfn._xlws.FILTER(V$2:V$1073,($C$2:$C$1073=$C404)*($E$2:$E$1073=$E404)*(ROW(V$2:V$1073)&lt;&gt;ROW(V404))*(V$2:V$1073&lt;&gt;""))),"")</f>
        <v>0.63455012747451423</v>
      </c>
      <c r="AE404">
        <f>IF('Дивиденды по годам'!M404&lt;0,1,0)</f>
        <v>0</v>
      </c>
    </row>
    <row r="405" spans="1:31" x14ac:dyDescent="0.2">
      <c r="A405" s="7" t="s">
        <v>2228</v>
      </c>
      <c r="B405" t="str">
        <f t="shared" si="66"/>
        <v>NLMK IV кв. 2022</v>
      </c>
      <c r="C405">
        <v>2022</v>
      </c>
      <c r="D405">
        <f>SUMIFS(Дивиденды!$C:$C,Дивиденды!$A:$A,A405,Дивиденды!$I:$I,C405)</f>
        <v>0</v>
      </c>
      <c r="E405">
        <v>3</v>
      </c>
      <c r="F405">
        <f t="shared" si="67"/>
        <v>0</v>
      </c>
      <c r="G405">
        <f t="shared" si="68"/>
        <v>1.73</v>
      </c>
      <c r="H405">
        <f t="shared" si="69"/>
        <v>0</v>
      </c>
      <c r="I405">
        <f t="shared" si="70"/>
        <v>0.2</v>
      </c>
      <c r="J405">
        <f t="shared" si="71"/>
        <v>-1</v>
      </c>
      <c r="K405">
        <f t="shared" si="76"/>
        <v>-0.50242800677583288</v>
      </c>
      <c r="L405">
        <f t="shared" si="72"/>
        <v>0</v>
      </c>
      <c r="M405">
        <f t="shared" si="73"/>
        <v>0.1</v>
      </c>
      <c r="N405">
        <f t="shared" si="74"/>
        <v>1</v>
      </c>
      <c r="O405">
        <f t="shared" si="75"/>
        <v>0.7</v>
      </c>
      <c r="P405">
        <f>IFERROR(LN('Дивиденды по годам'!I405),"")</f>
        <v>27.580352889303327</v>
      </c>
      <c r="Q405">
        <f>IFERROR('Дивиденды по годам'!G405/'Дивиденды по годам'!I405, "")</f>
        <v>0.50140017715239105</v>
      </c>
      <c r="R405">
        <f>IFERROR(IF(AND('Дивиденды по годам'!N405&lt;&gt;"",'Дивиденды по годам'!U405&lt;&gt;"",'Дивиденды по годам'!U405&lt;&gt;0),'Дивиденды по годам'!N405/'Дивиденды по годам'!U405-1,""),"")</f>
        <v>-0.24609292361462121</v>
      </c>
      <c r="S405">
        <f>IFERROR(IF(AND('Дивиденды по годам'!L405&lt;&gt;"",'Дивиденды по годам'!I405&lt;&gt;"",'Дивиденды по годам'!J405&lt;&gt;"",'Дивиденды по годам'!K405&lt;&gt;"",('Дивиденды по годам'!I405-'Дивиденды по годам'!J405-'Дивиденды по годам'!K405)&lt;&gt;0),'Дивиденды по годам'!L405/('Дивиденды по годам'!I405-'Дивиденды по годам'!J405-'Дивиденды по годам'!K405),""),"")</f>
        <v>1.0202942045064531</v>
      </c>
      <c r="T405">
        <f>IFERROR(IF(AND('Дивиденды по годам'!Q405&lt;&gt;"",'Дивиденды по годам'!I405&lt;&gt;"",'Дивиденды по годам'!V405&lt;&gt;"",('Дивиденды по годам'!I405+'Дивиденды по годам'!V405)&lt;&gt;0),'Дивиденды по годам'!Q405/(('Дивиденды по годам'!I405+'Дивиденды по годам'!V405)/2),""),"")</f>
        <v>0.1801522623961441</v>
      </c>
      <c r="U405">
        <f>IFERROR(IF(AND('Дивиденды по годам'!J405&lt;&gt;"",'Дивиденды по годам'!K405&lt;&gt;"",'Дивиденды по годам'!M405&lt;&gt;"",'Дивиденды по годам'!M405&lt;&gt;0),('Дивиденды по годам'!J405+'Дивиденды по годам'!K405)/'Дивиденды по годам'!M405,""),"")</f>
        <v>0.51746629738121275</v>
      </c>
      <c r="V405">
        <f>IFERROR(IF(AND('Дивиденды по годам'!J405&lt;&gt;"",'Дивиденды по годам'!K405&lt;&gt;"",'Дивиденды по годам'!M405&lt;&gt;"",'Дивиденды по годам'!I405&lt;&gt;0),('Дивиденды по годам'!J405+'Дивиденды по годам'!K405)/'Дивиденды по годам'!I405,""),"")</f>
        <v>0.3410067810232339</v>
      </c>
      <c r="W405">
        <f>IFERROR('Дивиденды по годам'!I405,"")</f>
        <v>950594000000</v>
      </c>
      <c r="X405" cm="1">
        <f t="array" ref="X405">IFERROR(AVERAGE(_xlfn._xlws.FILTER(P$2:P$1073,($C$2:$C$1073=$C405)*($E$2:$E$1073=$E405)*(ROW(P$2:P$1073)&lt;&gt;ROW(P405))*(P$2:P$1073&lt;&gt;""))),"")</f>
        <v>27.033081429747405</v>
      </c>
      <c r="Y405" cm="1">
        <f t="array" ref="Y405">IFERROR(AVERAGE(_xlfn._xlws.FILTER(Q$2:Q$1073,($C$2:$C$1073=$C405)*($E$2:$E$1073=$E405)*(ROW(Q$2:Q$1073)&lt;&gt;ROW(Q405))*(Q$2:Q$1073&lt;&gt;""))),"")</f>
        <v>0.46882495227665533</v>
      </c>
      <c r="Z405" cm="1">
        <f t="array" ref="Z405">IFERROR(AVERAGE(_xlfn._xlws.FILTER(R$2:R$1073,($C$2:$C$1073=$C405)*($E$2:$E$1073=$E405)*(ROW(R$2:R$1073)&lt;&gt;ROW(R405))*(R$2:R$1073&lt;&gt;""))),"")</f>
        <v>7.4821890029895814E-4</v>
      </c>
      <c r="AA405" cm="1">
        <f t="array" ref="AA405">IFERROR(AVERAGE(_xlfn._xlws.FILTER(S$2:S$1073,($C$2:$C$1073=$C405)*($E$2:$E$1073=$E405)*(ROW(S$2:S$1073)&lt;&gt;ROW(S405))*(S$2:S$1073&lt;&gt;""))),"")</f>
        <v>0.83496902318703936</v>
      </c>
      <c r="AB405" cm="1">
        <f t="array" ref="AB405">IFERROR(AVERAGE(_xlfn._xlws.FILTER(T$2:T$1073,($C$2:$C$1073=$C405)*($E$2:$E$1073=$E405)*(ROW(T$2:T$1073)&lt;&gt;ROW(T405))*(T$2:T$1073&lt;&gt;""))),"")</f>
        <v>0.15652146167569353</v>
      </c>
      <c r="AC405" cm="1">
        <f t="array" ref="AC405">IFERROR(AVERAGE(_xlfn._xlws.FILTER(U$2:U$1073,($C$2:$C$1073=$C405)*($E$2:$E$1073=$E405)*(ROW(U$2:U$1073)&lt;&gt;ROW(U405))*(U$2:U$1073&lt;&gt;""))),"")</f>
        <v>1.2169462726559956</v>
      </c>
      <c r="AD405" cm="1">
        <f t="array" ref="AD405">IFERROR(AVERAGE(_xlfn._xlws.FILTER(V$2:V$1073,($C$2:$C$1073=$C405)*($E$2:$E$1073=$E405)*(ROW(V$2:V$1073)&lt;&gt;ROW(V405))*(V$2:V$1073&lt;&gt;""))),"")</f>
        <v>0.58688711072403077</v>
      </c>
      <c r="AE405">
        <f>IF('Дивиденды по годам'!M405&lt;0,1,0)</f>
        <v>0</v>
      </c>
    </row>
    <row r="406" spans="1:31" x14ac:dyDescent="0.2">
      <c r="A406" s="7" t="s">
        <v>2228</v>
      </c>
      <c r="B406" t="str">
        <f t="shared" si="66"/>
        <v>NLMK IV кв. 2021</v>
      </c>
      <c r="C406">
        <v>2021</v>
      </c>
      <c r="D406">
        <f>SUMIFS(Дивиденды!$C:$C,Дивиденды!$A:$A,A406,Дивиденды!$I:$I,C406)</f>
        <v>34.659999999999997</v>
      </c>
      <c r="E406">
        <v>3</v>
      </c>
      <c r="F406">
        <f t="shared" si="67"/>
        <v>34.659999999999997</v>
      </c>
      <c r="G406">
        <f t="shared" si="68"/>
        <v>33.388999999999996</v>
      </c>
      <c r="H406">
        <f t="shared" si="69"/>
        <v>1</v>
      </c>
      <c r="I406">
        <f t="shared" si="70"/>
        <v>0.7</v>
      </c>
      <c r="J406">
        <f t="shared" si="71"/>
        <v>0.60166358595194069</v>
      </c>
      <c r="K406">
        <f t="shared" si="76"/>
        <v>0.67052996797560249</v>
      </c>
      <c r="L406">
        <f t="shared" si="72"/>
        <v>1</v>
      </c>
      <c r="M406">
        <f t="shared" si="73"/>
        <v>0.4</v>
      </c>
      <c r="N406">
        <f t="shared" si="74"/>
        <v>0</v>
      </c>
      <c r="O406">
        <f t="shared" si="75"/>
        <v>0.2</v>
      </c>
      <c r="P406">
        <f>IFERROR(LN('Дивиденды по годам'!I406),"")</f>
        <v>27.522530598131667</v>
      </c>
      <c r="Q406">
        <f>IFERROR('Дивиденды по годам'!G406/'Дивиденды по годам'!I406, "")</f>
        <v>0.50851081325548886</v>
      </c>
      <c r="R406">
        <f>IFERROR(IF(AND('Дивиденды по годам'!N406&lt;&gt;"",'Дивиденды по годам'!U406&lt;&gt;"",'Дивиденды по годам'!U406&lt;&gt;0),'Дивиденды по годам'!N406/'Дивиденды по годам'!U406-1,""),"")</f>
        <v>0.78769111986397822</v>
      </c>
      <c r="S406">
        <f>IFERROR(IF(AND('Дивиденды по годам'!L406&lt;&gt;"",'Дивиденды по годам'!I406&lt;&gt;"",'Дивиденды по годам'!J406&lt;&gt;"",'Дивиденды по годам'!K406&lt;&gt;"",('Дивиденды по годам'!I406-'Дивиденды по годам'!J406-'Дивиденды по годам'!K406)&lt;&gt;0),'Дивиденды по годам'!L406/('Дивиденды по годам'!I406-'Дивиденды по годам'!J406-'Дивиденды по годам'!K406),""),"")</f>
        <v>2.0619372865569701</v>
      </c>
      <c r="T406">
        <f>IFERROR(IF(AND('Дивиденды по годам'!Q406&lt;&gt;"",'Дивиденды по годам'!I406&lt;&gt;"",'Дивиденды по годам'!V406&lt;&gt;"",('Дивиденды по годам'!I406+'Дивиденды по годам'!V406)&lt;&gt;0),'Дивиденды по годам'!Q406/(('Дивиденды по годам'!I406+'Дивиденды по годам'!V406)/2),""),"")</f>
        <v>0.46313083632378721</v>
      </c>
      <c r="U406">
        <f>IFERROR(IF(AND('Дивиденды по годам'!J406&lt;&gt;"",'Дивиденды по годам'!K406&lt;&gt;"",'Дивиденды по годам'!M406&lt;&gt;"",'Дивиденды по годам'!M406&lt;&gt;0),('Дивиденды по годам'!J406+'Дивиденды по годам'!K406)/'Дивиденды по годам'!M406,""),"")</f>
        <v>0.88776777398323492</v>
      </c>
      <c r="V406">
        <f>IFERROR(IF(AND('Дивиденды по годам'!J406&lt;&gt;"",'Дивиденды по годам'!K406&lt;&gt;"",'Дивиденды по годам'!M406&lt;&gt;"",'Дивиденды по годам'!I406&lt;&gt;0),('Дивиденды по годам'!J406+'Дивиденды по годам'!K406)/'Дивиденды по годам'!I406,""),"")</f>
        <v>0.47027382616561136</v>
      </c>
      <c r="W406">
        <f>IFERROR('Дивиденды по годам'!I406,"")</f>
        <v>897187402089.81836</v>
      </c>
      <c r="X406" cm="1">
        <f t="array" ref="X406">IFERROR(AVERAGE(_xlfn._xlws.FILTER(P$2:P$1073,($C$2:$C$1073=$C406)*($E$2:$E$1073=$E406)*(ROW(P$2:P$1073)&lt;&gt;ROW(P406))*(P$2:P$1073&lt;&gt;""))),"")</f>
        <v>26.931043142378805</v>
      </c>
      <c r="Y406" cm="1">
        <f t="array" ref="Y406">IFERROR(AVERAGE(_xlfn._xlws.FILTER(Q$2:Q$1073,($C$2:$C$1073=$C406)*($E$2:$E$1073=$E406)*(ROW(Q$2:Q$1073)&lt;&gt;ROW(Q406))*(Q$2:Q$1073&lt;&gt;""))),"")</f>
        <v>0.48562025177433954</v>
      </c>
      <c r="Z406" cm="1">
        <f t="array" ref="Z406">IFERROR(AVERAGE(_xlfn._xlws.FILTER(R$2:R$1073,($C$2:$C$1073=$C406)*($E$2:$E$1073=$E406)*(ROW(R$2:R$1073)&lt;&gt;ROW(R406))*(R$2:R$1073&lt;&gt;""))),"")</f>
        <v>0.6726622064169413</v>
      </c>
      <c r="AA406" cm="1">
        <f t="array" ref="AA406">IFERROR(AVERAGE(_xlfn._xlws.FILTER(S$2:S$1073,($C$2:$C$1073=$C406)*($E$2:$E$1073=$E406)*(ROW(S$2:S$1073)&lt;&gt;ROW(S406))*(S$2:S$1073&lt;&gt;""))),"")</f>
        <v>0.93275356409055799</v>
      </c>
      <c r="AB406" cm="1">
        <f t="array" ref="AB406">IFERROR(AVERAGE(_xlfn._xlws.FILTER(T$2:T$1073,($C$2:$C$1073=$C406)*($E$2:$E$1073=$E406)*(ROW(T$2:T$1073)&lt;&gt;ROW(T406))*(T$2:T$1073&lt;&gt;""))),"")</f>
        <v>0.26978020767652267</v>
      </c>
      <c r="AC406" cm="1">
        <f t="array" ref="AC406">IFERROR(AVERAGE(_xlfn._xlws.FILTER(U$2:U$1073,($C$2:$C$1073=$C406)*($E$2:$E$1073=$E406)*(ROW(U$2:U$1073)&lt;&gt;ROW(U406))*(U$2:U$1073&lt;&gt;""))),"")</f>
        <v>2.1641994509508171</v>
      </c>
      <c r="AD406" cm="1">
        <f t="array" ref="AD406">IFERROR(AVERAGE(_xlfn._xlws.FILTER(V$2:V$1073,($C$2:$C$1073=$C406)*($E$2:$E$1073=$E406)*(ROW(V$2:V$1073)&lt;&gt;ROW(V406))*(V$2:V$1073&lt;&gt;""))),"")</f>
        <v>0.68614318188126222</v>
      </c>
      <c r="AE406">
        <f>IF('Дивиденды по годам'!M406&lt;0,1,0)</f>
        <v>0</v>
      </c>
    </row>
    <row r="407" spans="1:31" x14ac:dyDescent="0.2">
      <c r="A407" s="7" t="s">
        <v>2228</v>
      </c>
      <c r="B407" t="str">
        <f t="shared" si="66"/>
        <v>NLMK IV кв. 2020</v>
      </c>
      <c r="C407">
        <v>2020</v>
      </c>
      <c r="D407">
        <f>SUMIFS(Дивиденды!$C:$C,Дивиденды!$A:$A,A407,Дивиденды!$I:$I,C407)</f>
        <v>21.64</v>
      </c>
      <c r="E407">
        <v>3</v>
      </c>
      <c r="F407">
        <f t="shared" si="67"/>
        <v>21.64</v>
      </c>
      <c r="G407">
        <f t="shared" si="68"/>
        <v>21.82</v>
      </c>
      <c r="H407">
        <f t="shared" si="69"/>
        <v>1</v>
      </c>
      <c r="I407">
        <f t="shared" si="70"/>
        <v>0.7</v>
      </c>
      <c r="J407">
        <f t="shared" si="71"/>
        <v>0.24654377880184339</v>
      </c>
      <c r="K407">
        <f t="shared" si="76"/>
        <v>0.63472517082980018</v>
      </c>
      <c r="L407">
        <f t="shared" si="72"/>
        <v>1</v>
      </c>
      <c r="M407">
        <f t="shared" si="73"/>
        <v>0.6</v>
      </c>
      <c r="N407">
        <f t="shared" si="74"/>
        <v>0</v>
      </c>
      <c r="O407">
        <f t="shared" si="75"/>
        <v>0.1</v>
      </c>
      <c r="P407">
        <f>IFERROR(LN('Дивиденды по годам'!I407),"")</f>
        <v>27.29274199919147</v>
      </c>
      <c r="Q407">
        <f>IFERROR('Дивиденды по годам'!G407/'Дивиденды по годам'!I407, "")</f>
        <v>0.57381869803285335</v>
      </c>
      <c r="R407">
        <f>IFERROR(IF(AND('Дивиденды по годам'!N407&lt;&gt;"",'Дивиденды по годам'!U407&lt;&gt;"",'Дивиденды по годам'!U407&lt;&gt;0),'Дивиденды по годам'!N407/'Дивиденды по годам'!U407-1,""),"")</f>
        <v>-2.1003798597783008E-2</v>
      </c>
      <c r="S407">
        <f>IFERROR(IF(AND('Дивиденды по годам'!L407&lt;&gt;"",'Дивиденды по годам'!I407&lt;&gt;"",'Дивиденды по годам'!J407&lt;&gt;"",'Дивиденды по годам'!K407&lt;&gt;"",('Дивиденды по годам'!I407-'Дивиденды по годам'!J407-'Дивиденды по годам'!K407)&lt;&gt;0),'Дивиденды по годам'!L407/('Дивиденды по годам'!I407-'Дивиденды по годам'!J407-'Дивиденды по годам'!K407),""),"")</f>
        <v>2.4553891584054002</v>
      </c>
      <c r="T407">
        <f>IFERROR(IF(AND('Дивиденды по годам'!Q407&lt;&gt;"",'Дивиденды по годам'!I407&lt;&gt;"",'Дивиденды по годам'!V407&lt;&gt;"",('Дивиденды по годам'!I407+'Дивиденды по годам'!V407)&lt;&gt;0),'Дивиденды по годам'!Q407/(('Дивиденды по годам'!I407+'Дивиденды по годам'!V407)/2),""),"")</f>
        <v>0.12856815198197014</v>
      </c>
      <c r="U407">
        <f>IFERROR(IF(AND('Дивиденды по годам'!J407&lt;&gt;"",'Дивиденды по годам'!K407&lt;&gt;"",'Дивиденды по годам'!M407&lt;&gt;"",'Дивиденды по годам'!M407&lt;&gt;0),('Дивиденды по годам'!J407+'Дивиденды по годам'!K407)/'Дивиденды по годам'!M407,""),"")</f>
        <v>1.08015186669479</v>
      </c>
      <c r="V407">
        <f>IFERROR(IF(AND('Дивиденды по годам'!J407&lt;&gt;"",'Дивиденды по годам'!K407&lt;&gt;"",'Дивиденды по годам'!M407&lt;&gt;"",'Дивиденды по годам'!I407&lt;&gt;0),('Дивиденды по годам'!J407+'Дивиденды по годам'!K407)/'Дивиденды по годам'!I407,""),"")</f>
        <v>0.51926586899209082</v>
      </c>
      <c r="W407">
        <f>IFERROR('Дивиденды по годам'!I407,"")</f>
        <v>712996250935.19202</v>
      </c>
      <c r="X407" cm="1">
        <f t="array" ref="X407">IFERROR(AVERAGE(_xlfn._xlws.FILTER(P$2:P$1073,($C$2:$C$1073=$C407)*($E$2:$E$1073=$E407)*(ROW(P$2:P$1073)&lt;&gt;ROW(P407))*(P$2:P$1073&lt;&gt;""))),"")</f>
        <v>26.771266812503779</v>
      </c>
      <c r="Y407" cm="1">
        <f t="array" ref="Y407">IFERROR(AVERAGE(_xlfn._xlws.FILTER(Q$2:Q$1073,($C$2:$C$1073=$C407)*($E$2:$E$1073=$E407)*(ROW(Q$2:Q$1073)&lt;&gt;ROW(Q407))*(Q$2:Q$1073&lt;&gt;""))),"")</f>
        <v>0.49934570984968374</v>
      </c>
      <c r="Z407" cm="1">
        <f t="array" ref="Z407">IFERROR(AVERAGE(_xlfn._xlws.FILTER(R$2:R$1073,($C$2:$C$1073=$C407)*($E$2:$E$1073=$E407)*(ROW(R$2:R$1073)&lt;&gt;ROW(R407))*(R$2:R$1073&lt;&gt;""))),"")</f>
        <v>3.2051848300112193E-2</v>
      </c>
      <c r="AA407" cm="1">
        <f t="array" ref="AA407">IFERROR(AVERAGE(_xlfn._xlws.FILTER(S$2:S$1073,($C$2:$C$1073=$C407)*($E$2:$E$1073=$E407)*(ROW(S$2:S$1073)&lt;&gt;ROW(S407))*(S$2:S$1073&lt;&gt;""))),"")</f>
        <v>0.8995613637049692</v>
      </c>
      <c r="AB407" cm="1">
        <f t="array" ref="AB407">IFERROR(AVERAGE(_xlfn._xlws.FILTER(T$2:T$1073,($C$2:$C$1073=$C407)*($E$2:$E$1073=$E407)*(ROW(T$2:T$1073)&lt;&gt;ROW(T407))*(T$2:T$1073&lt;&gt;""))),"")</f>
        <v>9.0871876308602537E-2</v>
      </c>
      <c r="AC407" cm="1">
        <f t="array" ref="AC407">IFERROR(AVERAGE(_xlfn._xlws.FILTER(U$2:U$1073,($C$2:$C$1073=$C407)*($E$2:$E$1073=$E407)*(ROW(U$2:U$1073)&lt;&gt;ROW(U407))*(U$2:U$1073&lt;&gt;""))),"")</f>
        <v>1.7168062704216329</v>
      </c>
      <c r="AD407" cm="1">
        <f t="array" ref="AD407">IFERROR(AVERAGE(_xlfn._xlws.FILTER(V$2:V$1073,($C$2:$C$1073=$C407)*($E$2:$E$1073=$E407)*(ROW(V$2:V$1073)&lt;&gt;ROW(V407))*(V$2:V$1073&lt;&gt;""))),"")</f>
        <v>0.78868773815924442</v>
      </c>
      <c r="AE407">
        <f>IF('Дивиденды по годам'!M407&lt;0,1,0)</f>
        <v>0</v>
      </c>
    </row>
    <row r="408" spans="1:31" x14ac:dyDescent="0.2">
      <c r="A408" s="7" t="s">
        <v>2228</v>
      </c>
      <c r="B408" t="str">
        <f t="shared" si="66"/>
        <v>NLMK IV кв. 2019</v>
      </c>
      <c r="C408">
        <v>2019</v>
      </c>
      <c r="D408">
        <f>SUMIFS(Дивиденды!$C:$C,Дивиденды!$A:$A,A408,Дивиденды!$I:$I,C408)</f>
        <v>17.36</v>
      </c>
      <c r="E408">
        <v>3</v>
      </c>
      <c r="F408">
        <f t="shared" si="67"/>
        <v>17.36</v>
      </c>
      <c r="G408">
        <f t="shared" si="68"/>
        <v>17.855000000000004</v>
      </c>
      <c r="H408">
        <f t="shared" si="69"/>
        <v>1</v>
      </c>
      <c r="I408">
        <f t="shared" si="70"/>
        <v>0.7</v>
      </c>
      <c r="J408">
        <f t="shared" si="71"/>
        <v>-0.23893029373081992</v>
      </c>
      <c r="K408">
        <f t="shared" si="76"/>
        <v>0.27549962503328318</v>
      </c>
      <c r="L408">
        <f t="shared" si="72"/>
        <v>0</v>
      </c>
      <c r="M408">
        <f t="shared" si="73"/>
        <v>0.4</v>
      </c>
      <c r="N408">
        <f t="shared" si="74"/>
        <v>1</v>
      </c>
      <c r="O408">
        <f t="shared" si="75"/>
        <v>0.3</v>
      </c>
      <c r="P408">
        <f>IFERROR(LN('Дивиденды по годам'!I408),"")</f>
        <v>27.242708743244915</v>
      </c>
      <c r="Q408">
        <f>IFERROR('Дивиденды по годам'!G408/'Дивиденды по годам'!I408, "")</f>
        <v>0.57602060282334988</v>
      </c>
      <c r="R408">
        <f>IFERROR(IF(AND('Дивиденды по годам'!N408&lt;&gt;"",'Дивиденды по годам'!U408&lt;&gt;"",'Дивиденды по годам'!U408&lt;&gt;0),'Дивиденды по годам'!N408/'Дивиденды по годам'!U408-1,""),"")</f>
        <v>-9.8495271790381422E-2</v>
      </c>
      <c r="S408">
        <f>IFERROR(IF(AND('Дивиденды по годам'!L408&lt;&gt;"",'Дивиденды по годам'!I408&lt;&gt;"",'Дивиденды по годам'!J408&lt;&gt;"",'Дивиденды по годам'!K408&lt;&gt;"",('Дивиденды по годам'!I408-'Дивиденды по годам'!J408-'Дивиденды по годам'!K408)&lt;&gt;0),'Дивиденды по годам'!L408/('Дивиденды по годам'!I408-'Дивиденды по годам'!J408-'Дивиденды по годам'!K408),""),"")</f>
        <v>1.9909197914915082</v>
      </c>
      <c r="T408">
        <f>IFERROR(IF(AND('Дивиденды по годам'!Q408&lt;&gt;"",'Дивиденды по годам'!I408&lt;&gt;"",'Дивиденды по годам'!V408&lt;&gt;"",('Дивиденды по годам'!I408+'Дивиденды по годам'!V408)&lt;&gt;0),'Дивиденды по годам'!Q408/(('Дивиденды по годам'!I408+'Дивиденды по годам'!V408)/2),""),"")</f>
        <v>0.13311341796971865</v>
      </c>
      <c r="U408">
        <f>IFERROR(IF(AND('Дивиденды по годам'!J408&lt;&gt;"",'Дивиденды по годам'!K408&lt;&gt;"",'Дивиденды по годам'!M408&lt;&gt;"",'Дивиденды по годам'!M408&lt;&gt;0),('Дивиденды по годам'!J408+'Дивиденды по годам'!K408)/'Дивиденды по годам'!M408,""),"")</f>
        <v>0.7629056667227172</v>
      </c>
      <c r="V408">
        <f>IFERROR(IF(AND('Дивиденды по годам'!J408&lt;&gt;"",'Дивиденды по годам'!K408&lt;&gt;"",'Дивиденды по годам'!M408&lt;&gt;"",'Дивиденды по годам'!I408&lt;&gt;0),('Дивиденды по годам'!J408+'Дивиденды по годам'!K408)/'Дивиденды по годам'!I408,""),"")</f>
        <v>0.43275467378863025</v>
      </c>
      <c r="W408">
        <f>IFERROR('Дивиденды по годам'!I408,"")</f>
        <v>678200458874.99951</v>
      </c>
      <c r="X408" cm="1">
        <f t="array" ref="X408">IFERROR(AVERAGE(_xlfn._xlws.FILTER(P$2:P$1073,($C$2:$C$1073=$C408)*($E$2:$E$1073=$E408)*(ROW(P$2:P$1073)&lt;&gt;ROW(P408))*(P$2:P$1073&lt;&gt;""))),"")</f>
        <v>26.661358230632182</v>
      </c>
      <c r="Y408" cm="1">
        <f t="array" ref="Y408">IFERROR(AVERAGE(_xlfn._xlws.FILTER(Q$2:Q$1073,($C$2:$C$1073=$C408)*($E$2:$E$1073=$E408)*(ROW(Q$2:Q$1073)&lt;&gt;ROW(Q408))*(Q$2:Q$1073&lt;&gt;""))),"")</f>
        <v>0.49318707691201435</v>
      </c>
      <c r="Z408" cm="1">
        <f t="array" ref="Z408">IFERROR(AVERAGE(_xlfn._xlws.FILTER(R$2:R$1073,($C$2:$C$1073=$C408)*($E$2:$E$1073=$E408)*(ROW(R$2:R$1073)&lt;&gt;ROW(R408))*(R$2:R$1073&lt;&gt;""))),"")</f>
        <v>5.2608091446217073E-2</v>
      </c>
      <c r="AA408" cm="1">
        <f t="array" ref="AA408">IFERROR(AVERAGE(_xlfn._xlws.FILTER(S$2:S$1073,($C$2:$C$1073=$C408)*($E$2:$E$1073=$E408)*(ROW(S$2:S$1073)&lt;&gt;ROW(S408))*(S$2:S$1073&lt;&gt;""))),"")</f>
        <v>0.79990684013373925</v>
      </c>
      <c r="AB408" cm="1">
        <f t="array" ref="AB408">IFERROR(AVERAGE(_xlfn._xlws.FILTER(T$2:T$1073,($C$2:$C$1073=$C408)*($E$2:$E$1073=$E408)*(ROW(T$2:T$1073)&lt;&gt;ROW(T408))*(T$2:T$1073&lt;&gt;""))),"")</f>
        <v>0.13849038305745695</v>
      </c>
      <c r="AC408" cm="1">
        <f t="array" ref="AC408">IFERROR(AVERAGE(_xlfn._xlws.FILTER(U$2:U$1073,($C$2:$C$1073=$C408)*($E$2:$E$1073=$E408)*(ROW(U$2:U$1073)&lt;&gt;ROW(U408))*(U$2:U$1073&lt;&gt;""))),"")</f>
        <v>1.6386147663391601</v>
      </c>
      <c r="AD408" cm="1">
        <f t="array" ref="AD408">IFERROR(AVERAGE(_xlfn._xlws.FILTER(V$2:V$1073,($C$2:$C$1073=$C408)*($E$2:$E$1073=$E408)*(ROW(V$2:V$1073)&lt;&gt;ROW(V408))*(V$2:V$1073&lt;&gt;""))),"")</f>
        <v>0.69761148502381831</v>
      </c>
      <c r="AE408">
        <f>IF('Дивиденды по годам'!M408&lt;0,1,0)</f>
        <v>0</v>
      </c>
    </row>
    <row r="409" spans="1:31" x14ac:dyDescent="0.2">
      <c r="A409" s="7" t="s">
        <v>2228</v>
      </c>
      <c r="B409" t="str">
        <f t="shared" si="66"/>
        <v>NLMK IV кв. 2018</v>
      </c>
      <c r="C409">
        <v>2018</v>
      </c>
      <c r="D409">
        <f>SUMIFS(Дивиденды!$C:$C,Дивиденды!$A:$A,A409,Дивиденды!$I:$I,C409)</f>
        <v>22.810000000000002</v>
      </c>
      <c r="E409">
        <v>3</v>
      </c>
      <c r="F409">
        <f t="shared" si="67"/>
        <v>22.810000000000002</v>
      </c>
      <c r="G409">
        <f t="shared" si="68"/>
        <v>20.413999999999994</v>
      </c>
      <c r="H409">
        <f t="shared" si="69"/>
        <v>1</v>
      </c>
      <c r="I409">
        <f t="shared" si="70"/>
        <v>0.4</v>
      </c>
      <c r="J409">
        <f t="shared" si="71"/>
        <v>0.62464387464387494</v>
      </c>
      <c r="K409">
        <f t="shared" si="76"/>
        <v>5.839248077166781E-2</v>
      </c>
      <c r="L409">
        <f t="shared" si="72"/>
        <v>1</v>
      </c>
      <c r="M409">
        <f t="shared" si="73"/>
        <v>0.4</v>
      </c>
      <c r="N409">
        <f t="shared" si="74"/>
        <v>0</v>
      </c>
      <c r="O409">
        <f t="shared" si="75"/>
        <v>0.2</v>
      </c>
      <c r="P409">
        <f>IFERROR(LN('Дивиденды по годам'!I409),"")</f>
        <v>27.161290083881763</v>
      </c>
      <c r="Q409">
        <f>IFERROR('Дивиденды по годам'!G409/'Дивиденды по годам'!I409, "")</f>
        <v>0.48250201126307318</v>
      </c>
      <c r="R409">
        <f>IFERROR(IF(AND('Дивиденды по годам'!N409&lt;&gt;"",'Дивиденды по годам'!U409&lt;&gt;"",'Дивиденды по годам'!U409&lt;&gt;0),'Дивиденды по годам'!N409/'Дивиденды по годам'!U409-1,""),"")</f>
        <v>0.29033387755255746</v>
      </c>
      <c r="S409">
        <f>IFERROR(IF(AND('Дивиденды по годам'!L409&lt;&gt;"",'Дивиденды по годам'!I409&lt;&gt;"",'Дивиденды по годам'!J409&lt;&gt;"",'Дивиденды по годам'!K409&lt;&gt;"",('Дивиденды по годам'!I409-'Дивиденды по годам'!J409-'Дивиденды по годам'!K409)&lt;&gt;0),'Дивиденды по годам'!L409/('Дивиденды по годам'!I409-'Дивиденды по годам'!J409-'Дивиденды по годам'!K409),""),"")</f>
        <v>2.1203291052451152</v>
      </c>
      <c r="T409">
        <f>IFERROR(IF(AND('Дивиденды по годам'!Q409&lt;&gt;"",'Дивиденды по годам'!I409&lt;&gt;"",'Дивиденды по годам'!V409&lt;&gt;"",('Дивиденды по годам'!I409+'Дивиденды по годам'!V409)&lt;&gt;0),'Дивиденды по годам'!Q409/(('Дивиденды по годам'!I409+'Дивиденды по годам'!V409)/2),""),"")</f>
        <v>0.22270657082417178</v>
      </c>
      <c r="U409">
        <f>IFERROR(IF(AND('Дивиденды по годам'!J409&lt;&gt;"",'Дивиденды по годам'!K409&lt;&gt;"",'Дивиденды по годам'!M409&lt;&gt;"",'Дивиденды по годам'!M409&lt;&gt;0),('Дивиденды по годам'!J409+'Дивиденды по годам'!K409)/'Дивиденды по годам'!M409,""),"")</f>
        <v>0.70449091532396302</v>
      </c>
      <c r="V409">
        <f>IFERROR(IF(AND('Дивиденды по годам'!J409&lt;&gt;"",'Дивиденды по годам'!K409&lt;&gt;"",'Дивиденды по годам'!M409&lt;&gt;"",'Дивиденды по годам'!I409&lt;&gt;0),('Дивиденды по годам'!J409+'Дивиденды по годам'!K409)/'Дивиденды по годам'!I409,""),"")</f>
        <v>0.41331456154465002</v>
      </c>
      <c r="W409">
        <f>IFERROR('Дивиденды по годам'!I409,"")</f>
        <v>625170396473.0896</v>
      </c>
      <c r="X409" cm="1">
        <f t="array" ref="X409">IFERROR(AVERAGE(_xlfn._xlws.FILTER(P$2:P$1073,($C$2:$C$1073=$C409)*($E$2:$E$1073=$E409)*(ROW(P$2:P$1073)&lt;&gt;ROW(P409))*(P$2:P$1073&lt;&gt;""))),"")</f>
        <v>26.511470045189231</v>
      </c>
      <c r="Y409" cm="1">
        <f t="array" ref="Y409">IFERROR(AVERAGE(_xlfn._xlws.FILTER(Q$2:Q$1073,($C$2:$C$1073=$C409)*($E$2:$E$1073=$E409)*(ROW(Q$2:Q$1073)&lt;&gt;ROW(Q409))*(Q$2:Q$1073&lt;&gt;""))),"")</f>
        <v>0.5217211275601501</v>
      </c>
      <c r="Z409" cm="1">
        <f t="array" ref="Z409">IFERROR(AVERAGE(_xlfn._xlws.FILTER(R$2:R$1073,($C$2:$C$1073=$C409)*($E$2:$E$1073=$E409)*(ROW(R$2:R$1073)&lt;&gt;ROW(R409))*(R$2:R$1073&lt;&gt;""))),"")</f>
        <v>0.21026257957888861</v>
      </c>
      <c r="AA409" cm="1">
        <f t="array" ref="AA409">IFERROR(AVERAGE(_xlfn._xlws.FILTER(S$2:S$1073,($C$2:$C$1073=$C409)*($E$2:$E$1073=$E409)*(ROW(S$2:S$1073)&lt;&gt;ROW(S409))*(S$2:S$1073&lt;&gt;""))),"")</f>
        <v>0.80377414610974862</v>
      </c>
      <c r="AB409" cm="1">
        <f t="array" ref="AB409">IFERROR(AVERAGE(_xlfn._xlws.FILTER(T$2:T$1073,($C$2:$C$1073=$C409)*($E$2:$E$1073=$E409)*(ROW(T$2:T$1073)&lt;&gt;ROW(T409))*(T$2:T$1073&lt;&gt;""))),"")</f>
        <v>0.14849218261339708</v>
      </c>
      <c r="AC409" cm="1">
        <f t="array" ref="AC409">IFERROR(AVERAGE(_xlfn._xlws.FILTER(U$2:U$1073,($C$2:$C$1073=$C409)*($E$2:$E$1073=$E409)*(ROW(U$2:U$1073)&lt;&gt;ROW(U409))*(U$2:U$1073&lt;&gt;""))),"")</f>
        <v>2.5016264187994612</v>
      </c>
      <c r="AD409" cm="1">
        <f t="array" ref="AD409">IFERROR(AVERAGE(_xlfn._xlws.FILTER(V$2:V$1073,($C$2:$C$1073=$C409)*($E$2:$E$1073=$E409)*(ROW(V$2:V$1073)&lt;&gt;ROW(V409))*(V$2:V$1073&lt;&gt;""))),"")</f>
        <v>0.71598649132656389</v>
      </c>
      <c r="AE409">
        <f>IF('Дивиденды по годам'!M409&lt;0,1,0)</f>
        <v>0</v>
      </c>
    </row>
    <row r="410" spans="1:31" x14ac:dyDescent="0.2">
      <c r="A410" s="7" t="s">
        <v>2228</v>
      </c>
      <c r="B410" t="str">
        <f t="shared" si="66"/>
        <v>NLMK IV кв. 2017</v>
      </c>
      <c r="C410">
        <v>2017</v>
      </c>
      <c r="D410">
        <f>SUMIFS(Дивиденды!$C:$C,Дивиденды!$A:$A,A410,Дивиденды!$I:$I,C410)</f>
        <v>14.04</v>
      </c>
      <c r="E410">
        <v>3</v>
      </c>
      <c r="F410">
        <f t="shared" si="67"/>
        <v>14.04</v>
      </c>
      <c r="G410">
        <f t="shared" si="68"/>
        <v>14.664876314825083</v>
      </c>
      <c r="H410">
        <f t="shared" si="69"/>
        <v>1</v>
      </c>
      <c r="I410">
        <f t="shared" si="70"/>
        <v>0.6</v>
      </c>
      <c r="J410">
        <f t="shared" si="71"/>
        <v>0.52277657266811295</v>
      </c>
      <c r="K410">
        <f t="shared" si="76"/>
        <v>6.4815367775793956E-2</v>
      </c>
      <c r="L410">
        <f t="shared" si="72"/>
        <v>1</v>
      </c>
      <c r="M410">
        <f t="shared" si="73"/>
        <v>0.4</v>
      </c>
      <c r="N410">
        <f t="shared" si="74"/>
        <v>0</v>
      </c>
      <c r="O410">
        <f t="shared" si="75"/>
        <v>0.2</v>
      </c>
      <c r="P410">
        <f>IFERROR(LN('Дивиденды по годам'!I410),"")</f>
        <v>27.18661989081243</v>
      </c>
      <c r="Q410">
        <f>IFERROR('Дивиденды по годам'!G410/'Дивиденды по годам'!I410, "")</f>
        <v>0.5046380502000728</v>
      </c>
      <c r="R410">
        <f>IFERROR(IF(AND('Дивиденды по годам'!N410&lt;&gt;"",'Дивиденды по годам'!U410&lt;&gt;"",'Дивиденды по годам'!U410&lt;&gt;0),'Дивиденды по годам'!N410/'Дивиденды по годам'!U410-1,""),"")</f>
        <v>0.14620496270882621</v>
      </c>
      <c r="S410">
        <f>IFERROR(IF(AND('Дивиденды по годам'!L410&lt;&gt;"",'Дивиденды по годам'!I410&lt;&gt;"",'Дивиденды по годам'!J410&lt;&gt;"",'Дивиденды по годам'!K410&lt;&gt;"",('Дивиденды по годам'!I410-'Дивиденды по годам'!J410-'Дивиденды по годам'!K410)&lt;&gt;0),'Дивиденды по годам'!L410/('Дивиденды по годам'!I410-'Дивиденды по годам'!J410-'Дивиденды по годам'!K410),""),"")</f>
        <v>1.809960878724044</v>
      </c>
      <c r="T410">
        <f>IFERROR(IF(AND('Дивиденды по годам'!Q410&lt;&gt;"",'Дивиденды по годам'!I410&lt;&gt;"",'Дивиденды по годам'!V410&lt;&gt;"",('Дивиденды по годам'!I410+'Дивиденды по годам'!V410)&lt;&gt;0),'Дивиденды по годам'!Q410/(('Дивиденды по годам'!I410+'Дивиденды по годам'!V410)/2),""),"")</f>
        <v>0.12753743213955465</v>
      </c>
      <c r="U410">
        <f>IFERROR(IF(AND('Дивиденды по годам'!J410&lt;&gt;"",'Дивиденды по годам'!K410&lt;&gt;"",'Дивиденды по годам'!M410&lt;&gt;"",'Дивиденды по годам'!M410&lt;&gt;0),('Дивиденды по годам'!J410+'Дивиденды по годам'!K410)/'Дивиденды по годам'!M410,""),"")</f>
        <v>0.65452904002407453</v>
      </c>
      <c r="V410">
        <f>IFERROR(IF(AND('Дивиденды по годам'!J410&lt;&gt;"",'Дивиденды по годам'!K410&lt;&gt;"",'Дивиденды по годам'!M410&lt;&gt;"",'Дивиденды по годам'!I410&lt;&gt;0),('Дивиденды по годам'!J410+'Дивиденды по годам'!K410)/'Дивиденды по годам'!I410,""),"")</f>
        <v>0.39559839941797009</v>
      </c>
      <c r="W410">
        <f>IFERROR('Дивиденды по годам'!I410,"")</f>
        <v>641208100414.52124</v>
      </c>
      <c r="X410" cm="1">
        <f t="array" ref="X410">IFERROR(AVERAGE(_xlfn._xlws.FILTER(P$2:P$1073,($C$2:$C$1073=$C410)*($E$2:$E$1073=$E410)*(ROW(P$2:P$1073)&lt;&gt;ROW(P410))*(P$2:P$1073&lt;&gt;""))),"")</f>
        <v>26.479682363678638</v>
      </c>
      <c r="Y410" cm="1">
        <f t="array" ref="Y410">IFERROR(AVERAGE(_xlfn._xlws.FILTER(Q$2:Q$1073,($C$2:$C$1073=$C410)*($E$2:$E$1073=$E410)*(ROW(Q$2:Q$1073)&lt;&gt;ROW(Q410))*(Q$2:Q$1073&lt;&gt;""))),"")</f>
        <v>0.53901318877444648</v>
      </c>
      <c r="Z410" cm="1">
        <f t="array" ref="Z410">IFERROR(AVERAGE(_xlfn._xlws.FILTER(R$2:R$1073,($C$2:$C$1073=$C410)*($E$2:$E$1073=$E410)*(ROW(R$2:R$1073)&lt;&gt;ROW(R410))*(R$2:R$1073&lt;&gt;""))),"")</f>
        <v>9.5650186126404149E-2</v>
      </c>
      <c r="AA410" cm="1">
        <f t="array" ref="AA410">IFERROR(AVERAGE(_xlfn._xlws.FILTER(S$2:S$1073,($C$2:$C$1073=$C410)*($E$2:$E$1073=$E410)*(ROW(S$2:S$1073)&lt;&gt;ROW(S410))*(S$2:S$1073&lt;&gt;""))),"")</f>
        <v>0.98262852080247054</v>
      </c>
      <c r="AB410" cm="1">
        <f t="array" ref="AB410">IFERROR(AVERAGE(_xlfn._xlws.FILTER(T$2:T$1073,($C$2:$C$1073=$C410)*($E$2:$E$1073=$E410)*(ROW(T$2:T$1073)&lt;&gt;ROW(T410))*(T$2:T$1073&lt;&gt;""))),"")</f>
        <v>0.12096894000116583</v>
      </c>
      <c r="AC410" cm="1">
        <f t="array" ref="AC410">IFERROR(AVERAGE(_xlfn._xlws.FILTER(U$2:U$1073,($C$2:$C$1073=$C410)*($E$2:$E$1073=$E410)*(ROW(U$2:U$1073)&lt;&gt;ROW(U410))*(U$2:U$1073&lt;&gt;""))),"")</f>
        <v>2.1106071792027956</v>
      </c>
      <c r="AD410" cm="1">
        <f t="array" ref="AD410">IFERROR(AVERAGE(_xlfn._xlws.FILTER(V$2:V$1073,($C$2:$C$1073=$C410)*($E$2:$E$1073=$E410)*(ROW(V$2:V$1073)&lt;&gt;ROW(V410))*(V$2:V$1073&lt;&gt;""))),"")</f>
        <v>0.72236254423832724</v>
      </c>
      <c r="AE410">
        <f>IF('Дивиденды по годам'!M410&lt;0,1,0)</f>
        <v>0</v>
      </c>
    </row>
    <row r="411" spans="1:31" x14ac:dyDescent="0.2">
      <c r="A411" s="7" t="s">
        <v>2228</v>
      </c>
      <c r="B411" t="str">
        <f t="shared" si="66"/>
        <v>NLMK IV кв. 2016</v>
      </c>
      <c r="C411">
        <v>2016</v>
      </c>
      <c r="D411">
        <f>SUMIFS(Дивиденды!$C:$C,Дивиденды!$A:$A,A411,Дивиденды!$I:$I,C411)</f>
        <v>9.2199999999999989</v>
      </c>
      <c r="E411">
        <v>3</v>
      </c>
      <c r="F411">
        <f t="shared" si="67"/>
        <v>9.2199999999999989</v>
      </c>
      <c r="G411">
        <f t="shared" si="68"/>
        <v>11.173639712606382</v>
      </c>
      <c r="H411">
        <f t="shared" si="69"/>
        <v>1</v>
      </c>
      <c r="I411">
        <f t="shared" si="70"/>
        <v>0.6</v>
      </c>
      <c r="J411">
        <f t="shared" si="71"/>
        <v>0.32661870503597118</v>
      </c>
      <c r="K411">
        <f t="shared" si="76"/>
        <v>0.65501928553623423</v>
      </c>
      <c r="L411">
        <f t="shared" si="72"/>
        <v>1</v>
      </c>
      <c r="M411">
        <f t="shared" si="73"/>
        <v>0.6</v>
      </c>
      <c r="N411">
        <f t="shared" si="74"/>
        <v>0</v>
      </c>
      <c r="O411">
        <f t="shared" si="75"/>
        <v>0</v>
      </c>
      <c r="P411">
        <f>IFERROR(LN('Дивиденды по годам'!I411),"")</f>
        <v>27.254963830797077</v>
      </c>
      <c r="Q411">
        <f>IFERROR('Дивиденды по годам'!G411/'Дивиденды по годам'!I411, "")</f>
        <v>0.52037816562326034</v>
      </c>
      <c r="R411">
        <f>IFERROR(IF(AND('Дивиденды по годам'!N411&lt;&gt;"",'Дивиденды по годам'!U411&lt;&gt;"",'Дивиденды по годам'!U411&lt;&gt;0),'Дивиденды по годам'!N411/'Дивиденды по годам'!U411-1,""),"")</f>
        <v>4.392225942161132E-2</v>
      </c>
      <c r="S411">
        <f>IFERROR(IF(AND('Дивиденды по годам'!L411&lt;&gt;"",'Дивиденды по годам'!I411&lt;&gt;"",'Дивиденды по годам'!J411&lt;&gt;"",'Дивиденды по годам'!K411&lt;&gt;"",('Дивиденды по годам'!I411-'Дивиденды по годам'!J411-'Дивиденды по годам'!K411)&lt;&gt;0),'Дивиденды по годам'!L411/('Дивиденды по годам'!I411-'Дивиденды по годам'!J411-'Дивиденды по годам'!K411),""),"")</f>
        <v>1.9077296063890476</v>
      </c>
      <c r="T411">
        <f>IFERROR(IF(AND('Дивиденды по годам'!Q411&lt;&gt;"",'Дивиденды по годам'!I411&lt;&gt;"",'Дивиденды по годам'!V411&lt;&gt;"",('Дивиденды по годам'!I411+'Дивиденды по годам'!V411)&lt;&gt;0),'Дивиденды по годам'!Q411/(('Дивиденды по годам'!I411+'Дивиденды по годам'!V411)/2),""),"")</f>
        <v>0.10211984851237979</v>
      </c>
      <c r="U411">
        <f>IFERROR(IF(AND('Дивиденды по годам'!J411&lt;&gt;"",'Дивиденды по годам'!K411&lt;&gt;"",'Дивиденды по годам'!M411&lt;&gt;"",'Дивиденды по годам'!M411&lt;&gt;0),('Дивиденды по годам'!J411+'Дивиденды по годам'!K411)/'Дивиденды по годам'!M411,""),"")</f>
        <v>0.62244089497369581</v>
      </c>
      <c r="V411">
        <f>IFERROR(IF(AND('Дивиденды по годам'!J411&lt;&gt;"",'Дивиденды по годам'!K411&lt;&gt;"",'Дивиденды по годам'!M411&lt;&gt;"",'Дивиденды по годам'!I411&lt;&gt;0),('Дивиденды по годам'!J411+'Дивиденды по годам'!K411)/'Дивиденды по годам'!I411,""),"")</f>
        <v>0.38364472746095774</v>
      </c>
      <c r="W411">
        <f>IFERROR('Дивиденды по годам'!I411,"")</f>
        <v>686563002063.93555</v>
      </c>
      <c r="X411" cm="1">
        <f t="array" ref="X411">IFERROR(AVERAGE(_xlfn._xlws.FILTER(P$2:P$1073,($C$2:$C$1073=$C411)*($E$2:$E$1073=$E411)*(ROW(P$2:P$1073)&lt;&gt;ROW(P411))*(P$2:P$1073&lt;&gt;""))),"")</f>
        <v>26.473542470551195</v>
      </c>
      <c r="Y411" cm="1">
        <f t="array" ref="Y411">IFERROR(AVERAGE(_xlfn._xlws.FILTER(Q$2:Q$1073,($C$2:$C$1073=$C411)*($E$2:$E$1073=$E411)*(ROW(Q$2:Q$1073)&lt;&gt;ROW(Q411))*(Q$2:Q$1073&lt;&gt;""))),"")</f>
        <v>0.50855628729046343</v>
      </c>
      <c r="Z411" cm="1">
        <f t="array" ref="Z411">IFERROR(AVERAGE(_xlfn._xlws.FILTER(R$2:R$1073,($C$2:$C$1073=$C411)*($E$2:$E$1073=$E411)*(ROW(R$2:R$1073)&lt;&gt;ROW(R411))*(R$2:R$1073&lt;&gt;""))),"")</f>
        <v>0.14377757105092551</v>
      </c>
      <c r="AA411" cm="1">
        <f t="array" ref="AA411">IFERROR(AVERAGE(_xlfn._xlws.FILTER(S$2:S$1073,($C$2:$C$1073=$C411)*($E$2:$E$1073=$E411)*(ROW(S$2:S$1073)&lt;&gt;ROW(S411))*(S$2:S$1073&lt;&gt;""))),"")</f>
        <v>0.13579949825208476</v>
      </c>
      <c r="AB411" cm="1">
        <f t="array" ref="AB411">IFERROR(AVERAGE(_xlfn._xlws.FILTER(T$2:T$1073,($C$2:$C$1073=$C411)*($E$2:$E$1073=$E411)*(ROW(T$2:T$1073)&lt;&gt;ROW(T411))*(T$2:T$1073&lt;&gt;""))),"")</f>
        <v>0.16784733281842557</v>
      </c>
      <c r="AC411" cm="1">
        <f t="array" ref="AC411">IFERROR(AVERAGE(_xlfn._xlws.FILTER(U$2:U$1073,($C$2:$C$1073=$C411)*($E$2:$E$1073=$E411)*(ROW(U$2:U$1073)&lt;&gt;ROW(U411))*(U$2:U$1073&lt;&gt;""))),"")</f>
        <v>0.11005294817836804</v>
      </c>
      <c r="AD411" cm="1">
        <f t="array" ref="AD411">IFERROR(AVERAGE(_xlfn._xlws.FILTER(V$2:V$1073,($C$2:$C$1073=$C411)*($E$2:$E$1073=$E411)*(ROW(V$2:V$1073)&lt;&gt;ROW(V411))*(V$2:V$1073&lt;&gt;""))),"")</f>
        <v>0.7833345899929004</v>
      </c>
      <c r="AE411">
        <f>IF('Дивиденды по годам'!M411&lt;0,1,0)</f>
        <v>0</v>
      </c>
    </row>
    <row r="412" spans="1:31" x14ac:dyDescent="0.2">
      <c r="A412" s="7" t="s">
        <v>2228</v>
      </c>
      <c r="B412" t="str">
        <f t="shared" si="66"/>
        <v>NLMK IV кв. 2015</v>
      </c>
      <c r="C412">
        <v>2015</v>
      </c>
      <c r="D412">
        <f>SUMIFS(Дивиденды!$C:$C,Дивиденды!$A:$A,A412,Дивиденды!$I:$I,C412)</f>
        <v>6.9499999999999993</v>
      </c>
      <c r="E412">
        <v>3</v>
      </c>
      <c r="F412">
        <f t="shared" si="67"/>
        <v>6.9499999999999993</v>
      </c>
      <c r="G412">
        <f t="shared" si="68"/>
        <v>6.5290627742857144</v>
      </c>
      <c r="H412">
        <f t="shared" si="69"/>
        <v>1</v>
      </c>
      <c r="I412">
        <f t="shared" si="70"/>
        <v>0.5</v>
      </c>
      <c r="J412">
        <f t="shared" si="71"/>
        <v>1.8483606557377048</v>
      </c>
      <c r="K412">
        <f t="shared" si="76"/>
        <v>0.69605110501678258</v>
      </c>
      <c r="L412">
        <f t="shared" si="72"/>
        <v>1</v>
      </c>
      <c r="M412">
        <f t="shared" si="73"/>
        <v>0.4</v>
      </c>
      <c r="N412">
        <f t="shared" si="74"/>
        <v>0</v>
      </c>
      <c r="O412">
        <f t="shared" si="75"/>
        <v>0.1</v>
      </c>
      <c r="P412">
        <f>IFERROR(LN('Дивиденды по годам'!I412),"")</f>
        <v>27.0264610801438</v>
      </c>
      <c r="Q412">
        <f>IFERROR('Дивиденды по годам'!G412/'Дивиденды по годам'!I412, "")</f>
        <v>0.49917034778124086</v>
      </c>
      <c r="R412">
        <f>IFERROR(IF(AND('Дивиденды по годам'!N412&lt;&gt;"",'Дивиденды по годам'!U412&lt;&gt;"",'Дивиденды по годам'!U412&lt;&gt;0),'Дивиденды по годам'!N412/'Дивиденды по годам'!U412-1,""),"")</f>
        <v>0.21728207218279572</v>
      </c>
      <c r="S412">
        <f>IFERROR(IF(AND('Дивиденды по годам'!L412&lt;&gt;"",'Дивиденды по годам'!I412&lt;&gt;"",'Дивиденды по годам'!J412&lt;&gt;"",'Дивиденды по годам'!K412&lt;&gt;"",('Дивиденды по годам'!I412-'Дивиденды по годам'!J412-'Дивиденды по годам'!K412)&lt;&gt;0),'Дивиденды по годам'!L412/('Дивиденды по годам'!I412-'Дивиденды по годам'!J412-'Дивиденды по годам'!K412),""),"")</f>
        <v>2.3129805165735635</v>
      </c>
      <c r="T412">
        <f>IFERROR(IF(AND('Дивиденды по годам'!Q412&lt;&gt;"",'Дивиденды по годам'!I412&lt;&gt;"",'Дивиденды по годам'!V412&lt;&gt;"",('Дивиденды по годам'!I412+'Дивиденды по годам'!V412)&lt;&gt;0),'Дивиденды по годам'!Q412/(('Дивиденды по годам'!I412+'Дивиденды по годам'!V412)/2),""),"")</f>
        <v>0.12489219245853601</v>
      </c>
      <c r="U412">
        <f>IFERROR(IF(AND('Дивиденды по годам'!J412&lt;&gt;"",'Дивиденды по годам'!K412&lt;&gt;"",'Дивиденды по годам'!M412&lt;&gt;"",'Дивиденды по годам'!M412&lt;&gt;0),('Дивиденды по годам'!J412+'Дивиденды по годам'!K412)/'Дивиденды по годам'!M412,""),"")</f>
        <v>0.73606866885960642</v>
      </c>
      <c r="V412">
        <f>IFERROR(IF(AND('Дивиденды по годам'!J412&lt;&gt;"",'Дивиденды по годам'!K412&lt;&gt;"",'Дивиденды по годам'!M412&lt;&gt;"",'Дивиденды по годам'!I412&lt;&gt;0),('Дивиденды по годам'!J412+'Дивиденды по годам'!K412)/'Дивиденды по годам'!I412,""),"")</f>
        <v>0.42398591833531402</v>
      </c>
      <c r="W412">
        <f>IFERROR('Дивиденды по годам'!I412,"")</f>
        <v>546314732705.45459</v>
      </c>
      <c r="X412" cm="1">
        <f t="array" ref="X412">IFERROR(AVERAGE(_xlfn._xlws.FILTER(P$2:P$1073,($C$2:$C$1073=$C412)*($E$2:$E$1073=$E412)*(ROW(P$2:P$1073)&lt;&gt;ROW(P412))*(P$2:P$1073&lt;&gt;""))),"")</f>
        <v>26.291116401613277</v>
      </c>
      <c r="Y412" cm="1">
        <f t="array" ref="Y412">IFERROR(AVERAGE(_xlfn._xlws.FILTER(Q$2:Q$1073,($C$2:$C$1073=$C412)*($E$2:$E$1073=$E412)*(ROW(Q$2:Q$1073)&lt;&gt;ROW(Q412))*(Q$2:Q$1073&lt;&gt;""))),"")</f>
        <v>0.49855080983312589</v>
      </c>
      <c r="Z412" cm="1">
        <f t="array" ref="Z412">IFERROR(AVERAGE(_xlfn._xlws.FILTER(R$2:R$1073,($C$2:$C$1073=$C412)*($E$2:$E$1073=$E412)*(ROW(R$2:R$1073)&lt;&gt;ROW(R412))*(R$2:R$1073&lt;&gt;""))),"")</f>
        <v>0.25709399063449656</v>
      </c>
      <c r="AA412" cm="1">
        <f t="array" ref="AA412">IFERROR(AVERAGE(_xlfn._xlws.FILTER(S$2:S$1073,($C$2:$C$1073=$C412)*($E$2:$E$1073=$E412)*(ROW(S$2:S$1073)&lt;&gt;ROW(S412))*(S$2:S$1073&lt;&gt;""))),"")</f>
        <v>0.81770676404740172</v>
      </c>
      <c r="AB412" cm="1">
        <f t="array" ref="AB412">IFERROR(AVERAGE(_xlfn._xlws.FILTER(T$2:T$1073,($C$2:$C$1073=$C412)*($E$2:$E$1073=$E412)*(ROW(T$2:T$1073)&lt;&gt;ROW(T412))*(T$2:T$1073&lt;&gt;""))),"")</f>
        <v>1.1977987068635128E-2</v>
      </c>
      <c r="AC412" cm="1">
        <f t="array" ref="AC412">IFERROR(AVERAGE(_xlfn._xlws.FILTER(U$2:U$1073,($C$2:$C$1073=$C412)*($E$2:$E$1073=$E412)*(ROW(U$2:U$1073)&lt;&gt;ROW(U412))*(U$2:U$1073&lt;&gt;""))),"")</f>
        <v>3.2224519879274509</v>
      </c>
      <c r="AD412" cm="1">
        <f t="array" ref="AD412">IFERROR(AVERAGE(_xlfn._xlws.FILTER(V$2:V$1073,($C$2:$C$1073=$C412)*($E$2:$E$1073=$E412)*(ROW(V$2:V$1073)&lt;&gt;ROW(V412))*(V$2:V$1073&lt;&gt;""))),"")</f>
        <v>0.82778791432208276</v>
      </c>
      <c r="AE412">
        <f>IF('Дивиденды по годам'!M412&lt;0,1,0)</f>
        <v>0</v>
      </c>
    </row>
    <row r="413" spans="1:31" x14ac:dyDescent="0.2">
      <c r="A413" s="7" t="s">
        <v>2228</v>
      </c>
      <c r="B413" t="str">
        <f t="shared" si="66"/>
        <v>NLMK IV кв. 2014</v>
      </c>
      <c r="C413">
        <v>2014</v>
      </c>
      <c r="D413">
        <f>SUMIFS(Дивиденды!$C:$C,Дивиденды!$A:$A,A413,Дивиденды!$I:$I,C413)</f>
        <v>2.44</v>
      </c>
      <c r="E413">
        <v>3</v>
      </c>
      <c r="F413">
        <f t="shared" si="67"/>
        <v>2.44</v>
      </c>
      <c r="G413">
        <f t="shared" si="68"/>
        <v>7.6120000000000001</v>
      </c>
      <c r="H413">
        <f t="shared" si="69"/>
        <v>1</v>
      </c>
      <c r="I413">
        <f t="shared" si="70"/>
        <v>0.4</v>
      </c>
      <c r="J413">
        <f t="shared" si="71"/>
        <v>2.6417910447761193</v>
      </c>
      <c r="K413">
        <f t="shared" si="76"/>
        <v>0.8091394148020653</v>
      </c>
      <c r="L413">
        <f t="shared" si="72"/>
        <v>1</v>
      </c>
      <c r="M413">
        <f t="shared" si="73"/>
        <v>0.2</v>
      </c>
      <c r="N413">
        <f t="shared" si="74"/>
        <v>0</v>
      </c>
      <c r="O413">
        <f t="shared" si="75"/>
        <v>0.1</v>
      </c>
      <c r="P413">
        <f>IFERROR(LN('Дивиденды по годам'!I413),"")</f>
        <v>26.723052867114149</v>
      </c>
      <c r="Q413">
        <f>IFERROR('Дивиденды по годам'!G413/'Дивиденды по годам'!I413, "")</f>
        <v>0.56379069778392865</v>
      </c>
      <c r="R413">
        <f>IFERROR(IF(AND('Дивиденды по годам'!N413&lt;&gt;"",'Дивиденды по годам'!U413&lt;&gt;"",'Дивиденды по годам'!U413&lt;&gt;0),'Дивиденды по годам'!N413/'Дивиденды по годам'!U413-1,""),"")</f>
        <v>0.15918712459201223</v>
      </c>
      <c r="S413">
        <f>IFERROR(IF(AND('Дивиденды по годам'!L413&lt;&gt;"",'Дивиденды по годам'!I413&lt;&gt;"",'Дивиденды по годам'!J413&lt;&gt;"",'Дивиденды по годам'!K413&lt;&gt;"",('Дивиденды по годам'!I413-'Дивиденды по годам'!J413-'Дивиденды по годам'!K413)&lt;&gt;0),'Дивиденды по годам'!L413/('Дивиденды по годам'!I413-'Дивиденды по годам'!J413-'Дивиденды по годам'!K413),""),"")</f>
        <v>1.937614978668057</v>
      </c>
      <c r="T413">
        <f>IFERROR(IF(AND('Дивиденды по годам'!Q413&lt;&gt;"",'Дивиденды по годам'!I413&lt;&gt;"",'Дивиденды по годам'!V413&lt;&gt;"",('Дивиденды по годам'!I413+'Дивиденды по годам'!V413)&lt;&gt;0),'Дивиденды по годам'!Q413/(('Дивиденды по годам'!I413+'Дивиденды по годам'!V413)/2),""),"")</f>
        <v>0.11467507678535686</v>
      </c>
      <c r="U413">
        <f>IFERROR(IF(AND('Дивиденды по годам'!J413&lt;&gt;"",'Дивиденды по годам'!K413&lt;&gt;"",'Дивиденды по годам'!M413&lt;&gt;"",'Дивиденды по годам'!M413&lt;&gt;0),('Дивиденды по годам'!J413+'Дивиденды по годам'!K413)/'Дивиденды по годам'!M413,""),"")</f>
        <v>0.64572225582136844</v>
      </c>
      <c r="V413">
        <f>IFERROR(IF(AND('Дивиденды по годам'!J413&lt;&gt;"",'Дивиденды по годам'!K413&lt;&gt;"",'Дивиденды по годам'!M413&lt;&gt;"",'Дивиденды по годам'!I413&lt;&gt;0),('Дивиденды по годам'!J413+'Дивиденды по годам'!K413)/'Дивиденды по годам'!I413,""),"")</f>
        <v>0.39236405385980094</v>
      </c>
      <c r="W413">
        <f>IFERROR('Дивиденды по годам'!I413,"")</f>
        <v>403342884478.59424</v>
      </c>
      <c r="X413" cm="1">
        <f t="array" ref="X413">IFERROR(AVERAGE(_xlfn._xlws.FILTER(P$2:P$1073,($C$2:$C$1073=$C413)*($E$2:$E$1073=$E413)*(ROW(P$2:P$1073)&lt;&gt;ROW(P413))*(P$2:P$1073&lt;&gt;""))),"")</f>
        <v>26.25101428334996</v>
      </c>
      <c r="Y413" cm="1">
        <f t="array" ref="Y413">IFERROR(AVERAGE(_xlfn._xlws.FILTER(Q$2:Q$1073,($C$2:$C$1073=$C413)*($E$2:$E$1073=$E413)*(ROW(Q$2:Q$1073)&lt;&gt;ROW(Q413))*(Q$2:Q$1073&lt;&gt;""))),"")</f>
        <v>0.51066037003065667</v>
      </c>
      <c r="Z413" cm="1">
        <f t="array" ref="Z413">IFERROR(AVERAGE(_xlfn._xlws.FILTER(R$2:R$1073,($C$2:$C$1073=$C413)*($E$2:$E$1073=$E413)*(ROW(R$2:R$1073)&lt;&gt;ROW(R413))*(R$2:R$1073&lt;&gt;""))),"")</f>
        <v>6.728246004505907E-2</v>
      </c>
      <c r="AA413" cm="1">
        <f t="array" ref="AA413">IFERROR(AVERAGE(_xlfn._xlws.FILTER(S$2:S$1073,($C$2:$C$1073=$C413)*($E$2:$E$1073=$E413)*(ROW(S$2:S$1073)&lt;&gt;ROW(S413))*(S$2:S$1073&lt;&gt;""))),"")</f>
        <v>0.65216550995477551</v>
      </c>
      <c r="AB413" cm="1">
        <f t="array" ref="AB413">IFERROR(AVERAGE(_xlfn._xlws.FILTER(T$2:T$1073,($C$2:$C$1073=$C413)*($E$2:$E$1073=$E413)*(ROW(T$2:T$1073)&lt;&gt;ROW(T413))*(T$2:T$1073&lt;&gt;""))),"")</f>
        <v>-0.10156849267217065</v>
      </c>
      <c r="AC413" cm="1">
        <f t="array" ref="AC413">IFERROR(AVERAGE(_xlfn._xlws.FILTER(U$2:U$1073,($C$2:$C$1073=$C413)*($E$2:$E$1073=$E413)*(ROW(U$2:U$1073)&lt;&gt;ROW(U413))*(U$2:U$1073&lt;&gt;""))),"")</f>
        <v>1.735787414368466</v>
      </c>
      <c r="AD413" cm="1">
        <f t="array" ref="AD413">IFERROR(AVERAGE(_xlfn._xlws.FILTER(V$2:V$1073,($C$2:$C$1073=$C413)*($E$2:$E$1073=$E413)*(ROW(V$2:V$1073)&lt;&gt;ROW(V413))*(V$2:V$1073&lt;&gt;""))),"")</f>
        <v>0.74722746349425972</v>
      </c>
      <c r="AE413">
        <f>IF('Дивиденды по годам'!M413&lt;0,1,0)</f>
        <v>0</v>
      </c>
    </row>
    <row r="414" spans="1:31" x14ac:dyDescent="0.2">
      <c r="A414" s="7" t="s">
        <v>2228</v>
      </c>
      <c r="B414" t="str">
        <f t="shared" si="66"/>
        <v>NLMK IV кв. 2013</v>
      </c>
      <c r="C414">
        <v>2013</v>
      </c>
      <c r="D414">
        <f>SUMIFS(Дивиденды!$C:$C,Дивиденды!$A:$A,A414,Дивиденды!$I:$I,C414)</f>
        <v>0.67</v>
      </c>
      <c r="E414">
        <v>3</v>
      </c>
      <c r="F414">
        <f t="shared" si="67"/>
        <v>0.67</v>
      </c>
      <c r="G414">
        <f t="shared" si="68"/>
        <v>1.1590000000000003</v>
      </c>
      <c r="H414">
        <f t="shared" si="69"/>
        <v>1</v>
      </c>
      <c r="I414">
        <f t="shared" si="70"/>
        <v>0.3</v>
      </c>
      <c r="J414">
        <f t="shared" si="71"/>
        <v>8.0645161290322648E-2</v>
      </c>
      <c r="K414">
        <f t="shared" si="76"/>
        <v>-0.21192862656277295</v>
      </c>
      <c r="L414">
        <f t="shared" si="72"/>
        <v>1</v>
      </c>
      <c r="M414">
        <f t="shared" si="73"/>
        <v>0.1</v>
      </c>
      <c r="N414">
        <f t="shared" si="74"/>
        <v>0</v>
      </c>
      <c r="O414">
        <f t="shared" si="75"/>
        <v>0.4</v>
      </c>
      <c r="P414">
        <f>IFERROR(LN('Дивиденды по годам'!I414),"")</f>
        <v>26.974930687661928</v>
      </c>
      <c r="Q414">
        <f>IFERROR('Дивиденды по годам'!G414/'Дивиденды по годам'!I414, "")</f>
        <v>0.61428065851551594</v>
      </c>
      <c r="R414">
        <f>IFERROR(IF(AND('Дивиденды по годам'!N414&lt;&gt;"",'Дивиденды по годам'!U414&lt;&gt;"",'Дивиденды по годам'!U414&lt;&gt;0),'Дивиденды по годам'!N414/'Дивиденды по годам'!U414-1,""),"")</f>
        <v>-7.9448258439366537E-2</v>
      </c>
      <c r="S414">
        <f>IFERROR(IF(AND('Дивиденды по годам'!L414&lt;&gt;"",'Дивиденды по годам'!I414&lt;&gt;"",'Дивиденды по годам'!J414&lt;&gt;"",'Дивиденды по годам'!K414&lt;&gt;"",('Дивиденды по годам'!I414-'Дивиденды по годам'!J414-'Дивиденды по годам'!K414)&lt;&gt;0),'Дивиденды по годам'!L414/('Дивиденды по годам'!I414-'Дивиденды по годам'!J414-'Дивиденды по годам'!K414),""),"")</f>
        <v>1.1343753445927802</v>
      </c>
      <c r="T414">
        <f>IFERROR(IF(AND('Дивиденды по годам'!Q414&lt;&gt;"",'Дивиденды по годам'!I414&lt;&gt;"",'Дивиденды по годам'!V414&lt;&gt;"",('Дивиденды по годам'!I414+'Дивиденды по годам'!V414)&lt;&gt;0),'Дивиденды по годам'!Q414/(('Дивиденды по годам'!I414+'Дивиденды по годам'!V414)/2),""),"")</f>
        <v>1.4343133896606181E-2</v>
      </c>
      <c r="U414">
        <f>IFERROR(IF(AND('Дивиденды по годам'!J414&lt;&gt;"",'Дивиденды по годам'!K414&lt;&gt;"",'Дивиденды по годам'!M414&lt;&gt;"",'Дивиденды по годам'!M414&lt;&gt;0),('Дивиденды по годам'!J414+'Дивиденды по годам'!K414)/'Дивиденды по годам'!M414,""),"")</f>
        <v>0.58485486202225268</v>
      </c>
      <c r="V414">
        <f>IFERROR(IF(AND('Дивиденды по годам'!J414&lt;&gt;"",'Дивиденды по годам'!K414&lt;&gt;"",'Дивиденды по годам'!M414&lt;&gt;"",'Дивиденды по годам'!I414&lt;&gt;0),('Дивиденды по годам'!J414+'Дивиденды по годам'!K414)/'Дивиденды по годам'!I414,""),"")</f>
        <v>0.36902739552818492</v>
      </c>
      <c r="W414">
        <f>IFERROR('Дивиденды по годам'!I414,"")</f>
        <v>518875956983.99994</v>
      </c>
      <c r="X414" cm="1">
        <f t="array" ref="X414">IFERROR(AVERAGE(_xlfn._xlws.FILTER(P$2:P$1073,($C$2:$C$1073=$C414)*($E$2:$E$1073=$E414)*(ROW(P$2:P$1073)&lt;&gt;ROW(P414))*(P$2:P$1073&lt;&gt;""))),"")</f>
        <v>26.371644919966759</v>
      </c>
      <c r="Y414" cm="1">
        <f t="array" ref="Y414">IFERROR(AVERAGE(_xlfn._xlws.FILTER(Q$2:Q$1073,($C$2:$C$1073=$C414)*($E$2:$E$1073=$E414)*(ROW(Q$2:Q$1073)&lt;&gt;ROW(Q414))*(Q$2:Q$1073&lt;&gt;""))),"")</f>
        <v>0.57261071746123171</v>
      </c>
      <c r="Z414" cm="1">
        <f t="array" ref="Z414">IFERROR(AVERAGE(_xlfn._xlws.FILTER(R$2:R$1073,($C$2:$C$1073=$C414)*($E$2:$E$1073=$E414)*(ROW(R$2:R$1073)&lt;&gt;ROW(R414))*(R$2:R$1073&lt;&gt;""))),"")</f>
        <v>-4.1361278374214314E-2</v>
      </c>
      <c r="AA414" t="str" cm="1">
        <f t="array" ref="AA414">IFERROR(AVERAGE(_xlfn._xlws.FILTER(S$2:S$1073,($C$2:$C$1073=$C414)*($E$2:$E$1073=$E414)*(ROW(S$2:S$1073)&lt;&gt;ROW(S414))*(S$2:S$1073&lt;&gt;""))),"")</f>
        <v/>
      </c>
      <c r="AB414" cm="1">
        <f t="array" ref="AB414">IFERROR(AVERAGE(_xlfn._xlws.FILTER(T$2:T$1073,($C$2:$C$1073=$C414)*($E$2:$E$1073=$E414)*(ROW(T$2:T$1073)&lt;&gt;ROW(T414))*(T$2:T$1073&lt;&gt;""))),"")</f>
        <v>-3.6794692876216131E-2</v>
      </c>
      <c r="AC414" cm="1">
        <f t="array" ref="AC414">IFERROR(AVERAGE(_xlfn._xlws.FILTER(U$2:U$1073,($C$2:$C$1073=$C414)*($E$2:$E$1073=$E414)*(ROW(U$2:U$1073)&lt;&gt;ROW(U414))*(U$2:U$1073&lt;&gt;""))),"")</f>
        <v>3.4289440220136957</v>
      </c>
      <c r="AD414" cm="1">
        <f t="array" ref="AD414">IFERROR(AVERAGE(_xlfn._xlws.FILTER(V$2:V$1073,($C$2:$C$1073=$C414)*($E$2:$E$1073=$E414)*(ROW(V$2:V$1073)&lt;&gt;ROW(V414))*(V$2:V$1073&lt;&gt;""))),"")</f>
        <v>0.58782863369905536</v>
      </c>
      <c r="AE414">
        <f>IF('Дивиденды по годам'!M414&lt;0,1,0)</f>
        <v>0</v>
      </c>
    </row>
    <row r="415" spans="1:31" x14ac:dyDescent="0.2">
      <c r="A415" s="7" t="s">
        <v>2228</v>
      </c>
      <c r="B415" t="str">
        <f t="shared" si="66"/>
        <v>NLMK IV кв. 2012</v>
      </c>
      <c r="C415">
        <v>2012</v>
      </c>
      <c r="D415">
        <f>SUMIFS(Дивиденды!$C:$C,Дивиденды!$A:$A,A415,Дивиденды!$I:$I,C415)</f>
        <v>0.62</v>
      </c>
      <c r="E415">
        <v>3</v>
      </c>
      <c r="F415">
        <f t="shared" si="67"/>
        <v>0.62</v>
      </c>
      <c r="G415">
        <f t="shared" si="68"/>
        <v>2.069</v>
      </c>
      <c r="H415">
        <f t="shared" si="69"/>
        <v>1</v>
      </c>
      <c r="I415">
        <f t="shared" si="70"/>
        <v>0.5</v>
      </c>
      <c r="J415">
        <f t="shared" si="71"/>
        <v>-0.69</v>
      </c>
      <c r="K415">
        <f t="shared" si="76"/>
        <v>-0.11500043619769681</v>
      </c>
      <c r="L415">
        <f t="shared" si="72"/>
        <v>0</v>
      </c>
      <c r="M415">
        <f t="shared" si="73"/>
        <v>0.3</v>
      </c>
      <c r="N415">
        <f t="shared" si="74"/>
        <v>1</v>
      </c>
      <c r="O415">
        <f t="shared" si="75"/>
        <v>0.5</v>
      </c>
      <c r="P415">
        <f>IFERROR(LN('Дивиденды по годам'!I415),"")</f>
        <v>26.72331769456666</v>
      </c>
      <c r="Q415">
        <f>IFERROR('Дивиденды по годам'!G415/'Дивиденды по годам'!I415, "")</f>
        <v>0.9049152572387249</v>
      </c>
      <c r="R415">
        <f>IFERROR(IF(AND('Дивиденды по годам'!N415&lt;&gt;"",'Дивиденды по годам'!U415&lt;&gt;"",'Дивиденды по годам'!U415&lt;&gt;0),'Дивиденды по годам'!N415/'Дивиденды по годам'!U415-1,""),"")</f>
        <v>9.5031943942386343E-2</v>
      </c>
      <c r="S415" t="str">
        <f>IFERROR(IF(AND('Дивиденды по годам'!L415&lt;&gt;"",'Дивиденды по годам'!I415&lt;&gt;"",'Дивиденды по годам'!J415&lt;&gt;"",'Дивиденды по годам'!K415&lt;&gt;"",('Дивиденды по годам'!I415-'Дивиденды по годам'!J415-'Дивиденды по годам'!K415)&lt;&gt;0),'Дивиденды по годам'!L415/('Дивиденды по годам'!I415-'Дивиденды по годам'!J415-'Дивиденды по годам'!K415),""),"")</f>
        <v/>
      </c>
      <c r="T415">
        <f>IFERROR(IF(AND('Дивиденды по годам'!Q415&lt;&gt;"",'Дивиденды по годам'!I415&lt;&gt;"",'Дивиденды по годам'!V415&lt;&gt;"",('Дивиденды по годам'!I415+'Дивиденды по годам'!V415)&lt;&gt;0),'Дивиденды по годам'!Q415/(('Дивиденды по годам'!I415+'Дивиденды по годам'!V415)/2),""),"")</f>
        <v>4.1635389642401384E-2</v>
      </c>
      <c r="U415">
        <f>IFERROR(IF(AND('Дивиденды по годам'!J415&lt;&gt;"",'Дивиденды по годам'!K415&lt;&gt;"",'Дивиденды по годам'!M415&lt;&gt;"",'Дивиденды по годам'!M415&lt;&gt;0),('Дивиденды по годам'!J415+'Дивиденды по годам'!K415)/'Дивиденды по годам'!M415,""),"")</f>
        <v>1</v>
      </c>
      <c r="V415">
        <f>IFERROR(IF(AND('Дивиденды по годам'!J415&lt;&gt;"",'Дивиденды по годам'!K415&lt;&gt;"",'Дивиденды по годам'!M415&lt;&gt;"",'Дивиденды по годам'!I415&lt;&gt;0),('Дивиденды по годам'!J415+'Дивиденды по годам'!K415)/'Дивиденды по годам'!I415,""),"")</f>
        <v>0.56722792272636635</v>
      </c>
      <c r="W415">
        <f>IFERROR('Дивиденды по годам'!I415,"")</f>
        <v>403449714892.36761</v>
      </c>
      <c r="X415" cm="1">
        <f t="array" ref="X415">IFERROR(AVERAGE(_xlfn._xlws.FILTER(P$2:P$1073,($C$2:$C$1073=$C415)*($E$2:$E$1073=$E415)*(ROW(P$2:P$1073)&lt;&gt;ROW(P415))*(P$2:P$1073&lt;&gt;""))),"")</f>
        <v>26.70870621313798</v>
      </c>
      <c r="Y415" cm="1">
        <f t="array" ref="Y415">IFERROR(AVERAGE(_xlfn._xlws.FILTER(Q$2:Q$1073,($C$2:$C$1073=$C415)*($E$2:$E$1073=$E415)*(ROW(Q$2:Q$1073)&lt;&gt;ROW(Q415))*(Q$2:Q$1073&lt;&gt;""))),"")</f>
        <v>0.45198277841320555</v>
      </c>
      <c r="Z415" cm="1">
        <f t="array" ref="Z415">IFERROR(AVERAGE(_xlfn._xlws.FILTER(R$2:R$1073,($C$2:$C$1073=$C415)*($E$2:$E$1073=$E415)*(ROW(R$2:R$1073)&lt;&gt;ROW(R415))*(R$2:R$1073&lt;&gt;""))),"")</f>
        <v>-1.5531303520035353E-2</v>
      </c>
      <c r="AA415" t="str" cm="1">
        <f t="array" ref="AA415">IFERROR(AVERAGE(_xlfn._xlws.FILTER(S$2:S$1073,($C$2:$C$1073=$C415)*($E$2:$E$1073=$E415)*(ROW(S$2:S$1073)&lt;&gt;ROW(S415))*(S$2:S$1073&lt;&gt;""))),"")</f>
        <v/>
      </c>
      <c r="AB415" cm="1">
        <f t="array" ref="AB415">IFERROR(AVERAGE(_xlfn._xlws.FILTER(T$2:T$1073,($C$2:$C$1073=$C415)*($E$2:$E$1073=$E415)*(ROW(T$2:T$1073)&lt;&gt;ROW(T415))*(T$2:T$1073&lt;&gt;""))),"")</f>
        <v>5.0935358792164036E-2</v>
      </c>
      <c r="AC415" cm="1">
        <f t="array" ref="AC415">IFERROR(AVERAGE(_xlfn._xlws.FILTER(U$2:U$1073,($C$2:$C$1073=$C415)*($E$2:$E$1073=$E415)*(ROW(U$2:U$1073)&lt;&gt;ROW(U415))*(U$2:U$1073&lt;&gt;""))),"")</f>
        <v>1.4171915097049275</v>
      </c>
      <c r="AD415" cm="1">
        <f t="array" ref="AD415">IFERROR(AVERAGE(_xlfn._xlws.FILTER(V$2:V$1073,($C$2:$C$1073=$C415)*($E$2:$E$1073=$E415)*(ROW(V$2:V$1073)&lt;&gt;ROW(V415))*(V$2:V$1073&lt;&gt;""))),"")</f>
        <v>0.42236811899970383</v>
      </c>
      <c r="AE415">
        <f>IF('Дивиденды по годам'!M415&lt;0,1,0)</f>
        <v>0</v>
      </c>
    </row>
    <row r="416" spans="1:31" x14ac:dyDescent="0.2">
      <c r="A416" s="7" t="s">
        <v>2228</v>
      </c>
      <c r="B416" t="str">
        <f t="shared" si="66"/>
        <v>NLMK IV кв. 2011</v>
      </c>
      <c r="C416">
        <v>2011</v>
      </c>
      <c r="D416">
        <f>SUMIFS(Дивиденды!$C:$C,Дивиденды!$A:$A,A416,Дивиденды!$I:$I,C416)</f>
        <v>2</v>
      </c>
      <c r="E416">
        <v>3</v>
      </c>
      <c r="F416">
        <f t="shared" si="67"/>
        <v>2</v>
      </c>
      <c r="G416">
        <f t="shared" si="68"/>
        <v>3.5660000000000003</v>
      </c>
      <c r="H416">
        <f t="shared" si="69"/>
        <v>1</v>
      </c>
      <c r="I416">
        <f t="shared" si="70"/>
        <v>0.7</v>
      </c>
      <c r="J416">
        <f t="shared" si="71"/>
        <v>9.8901098901098994E-2</v>
      </c>
      <c r="K416">
        <f t="shared" si="76"/>
        <v>0.77141557059041621</v>
      </c>
      <c r="L416">
        <f t="shared" si="72"/>
        <v>1</v>
      </c>
      <c r="M416">
        <f t="shared" si="73"/>
        <v>0.5</v>
      </c>
      <c r="N416">
        <f t="shared" si="74"/>
        <v>0</v>
      </c>
      <c r="O416">
        <f t="shared" si="75"/>
        <v>0.3</v>
      </c>
      <c r="P416">
        <f>IFERROR(LN('Дивиденды по годам'!I416),"")</f>
        <v>26.95257137488294</v>
      </c>
      <c r="Q416">
        <f>IFERROR('Дивиденды по годам'!G416/'Дивиденды по годам'!I416, "")</f>
        <v>0.6124888568094804</v>
      </c>
      <c r="R416" t="str">
        <f>IFERROR(IF(AND('Дивиденды по годам'!N416&lt;&gt;"",'Дивиденды по годам'!U416&lt;&gt;"",'Дивиденды по годам'!U416&lt;&gt;0),'Дивиденды по годам'!N416/'Дивиденды по годам'!U416-1,""),"")</f>
        <v/>
      </c>
      <c r="S416" t="str">
        <f>IFERROR(IF(AND('Дивиденды по годам'!L416&lt;&gt;"",'Дивиденды по годам'!I416&lt;&gt;"",'Дивиденды по годам'!J416&lt;&gt;"",'Дивиденды по годам'!K416&lt;&gt;"",('Дивиденды по годам'!I416-'Дивиденды по годам'!J416-'Дивиденды по годам'!K416)&lt;&gt;0),'Дивиденды по годам'!L416/('Дивиденды по годам'!I416-'Дивиденды по годам'!J416-'Дивиденды по годам'!K416),""),"")</f>
        <v/>
      </c>
      <c r="T416" t="str">
        <f>IFERROR(IF(AND('Дивиденды по годам'!Q416&lt;&gt;"",'Дивиденды по годам'!I416&lt;&gt;"",'Дивиденды по годам'!V416&lt;&gt;"",('Дивиденды по годам'!I416+'Дивиденды по годам'!V416)&lt;&gt;0),'Дивиденды по годам'!Q416/(('Дивиденды по годам'!I416+'Дивиденды по годам'!V416)/2),""),"")</f>
        <v/>
      </c>
      <c r="U416">
        <f>IFERROR(IF(AND('Дивиденды по годам'!J416&lt;&gt;"",'Дивиденды по годам'!K416&lt;&gt;"",'Дивиденды по годам'!M416&lt;&gt;"",'Дивиденды по годам'!M416&lt;&gt;0),('Дивиденды по годам'!J416+'Дивиденды по годам'!K416)/'Дивиденды по годам'!M416,""),"")</f>
        <v>0.70775863937249484</v>
      </c>
      <c r="V416">
        <f>IFERROR(IF(AND('Дивиденды по годам'!J416&lt;&gt;"",'Дивиденды по годам'!K416&lt;&gt;"",'Дивиденды по годам'!M416&lt;&gt;"",'Дивиденды по годам'!I416&lt;&gt;0),('Дивиденды по годам'!J416+'Дивиденды по годам'!K416)/'Дивиденды по годам'!I416,""),"")</f>
        <v>0.41443715935909792</v>
      </c>
      <c r="W416">
        <f>IFERROR('Дивиденды по годам'!I416,"")</f>
        <v>507402988986.18463</v>
      </c>
      <c r="X416" cm="1">
        <f t="array" ref="X416">IFERROR(AVERAGE(_xlfn._xlws.FILTER(P$2:P$1073,($C$2:$C$1073=$C416)*($E$2:$E$1073=$E416)*(ROW(P$2:P$1073)&lt;&gt;ROW(P416))*(P$2:P$1073&lt;&gt;""))),"")</f>
        <v>26.361736236391828</v>
      </c>
      <c r="Y416" cm="1">
        <f t="array" ref="Y416">IFERROR(AVERAGE(_xlfn._xlws.FILTER(Q$2:Q$1073,($C$2:$C$1073=$C416)*($E$2:$E$1073=$E416)*(ROW(Q$2:Q$1073)&lt;&gt;ROW(Q416))*(Q$2:Q$1073&lt;&gt;""))),"")</f>
        <v>0.5633834781357725</v>
      </c>
      <c r="Z416" cm="1">
        <f t="array" ref="Z416">IFERROR(AVERAGE(_xlfn._xlws.FILTER(R$2:R$1073,($C$2:$C$1073=$C416)*($E$2:$E$1073=$E416)*(ROW(R$2:R$1073)&lt;&gt;ROW(R416))*(R$2:R$1073&lt;&gt;""))),"")</f>
        <v>0.21463216748681591</v>
      </c>
      <c r="AA416" t="str" cm="1">
        <f t="array" ref="AA416">IFERROR(AVERAGE(_xlfn._xlws.FILTER(S$2:S$1073,($C$2:$C$1073=$C416)*($E$2:$E$1073=$E416)*(ROW(S$2:S$1073)&lt;&gt;ROW(S416))*(S$2:S$1073&lt;&gt;""))),"")</f>
        <v/>
      </c>
      <c r="AB416" cm="1">
        <f t="array" ref="AB416">IFERROR(AVERAGE(_xlfn._xlws.FILTER(T$2:T$1073,($C$2:$C$1073=$C416)*($E$2:$E$1073=$E416)*(ROW(T$2:T$1073)&lt;&gt;ROW(T416))*(T$2:T$1073&lt;&gt;""))),"")</f>
        <v>0.11505618365484008</v>
      </c>
      <c r="AC416" cm="1">
        <f t="array" ref="AC416">IFERROR(AVERAGE(_xlfn._xlws.FILTER(U$2:U$1073,($C$2:$C$1073=$C416)*($E$2:$E$1073=$E416)*(ROW(U$2:U$1073)&lt;&gt;ROW(U416))*(U$2:U$1073&lt;&gt;""))),"")</f>
        <v>1.1707275048932555</v>
      </c>
      <c r="AD416" cm="1">
        <f t="array" ref="AD416">IFERROR(AVERAGE(_xlfn._xlws.FILTER(V$2:V$1073,($C$2:$C$1073=$C416)*($E$2:$E$1073=$E416)*(ROW(V$2:V$1073)&lt;&gt;ROW(V416))*(V$2:V$1073&lt;&gt;""))),"")</f>
        <v>0.51291574087601444</v>
      </c>
      <c r="AE416">
        <f>IF('Дивиденды по годам'!M416&lt;0,1,0)</f>
        <v>0</v>
      </c>
    </row>
    <row r="417" spans="1:31" x14ac:dyDescent="0.2">
      <c r="A417" s="7" t="s">
        <v>2228</v>
      </c>
      <c r="B417" t="str">
        <f t="shared" si="66"/>
        <v>NLMK IV кв. 2010</v>
      </c>
      <c r="C417">
        <v>2010</v>
      </c>
      <c r="D417">
        <f>SUMIFS(Дивиденды!$C:$C,Дивиденды!$A:$A,A417,Дивиденды!$I:$I,C417)</f>
        <v>1.8199999999999998</v>
      </c>
      <c r="E417">
        <v>3</v>
      </c>
      <c r="F417">
        <f t="shared" si="67"/>
        <v>1.8199999999999998</v>
      </c>
      <c r="G417">
        <f t="shared" si="68"/>
        <v>2.8969999999999998</v>
      </c>
      <c r="H417">
        <f t="shared" si="69"/>
        <v>1</v>
      </c>
      <c r="I417">
        <f t="shared" si="70"/>
        <v>0.6</v>
      </c>
      <c r="J417" t="str">
        <f t="shared" si="71"/>
        <v/>
      </c>
      <c r="K417" t="str">
        <f t="shared" si="76"/>
        <v/>
      </c>
      <c r="L417" t="str">
        <f t="shared" si="72"/>
        <v/>
      </c>
      <c r="M417" t="str">
        <f t="shared" si="73"/>
        <v/>
      </c>
      <c r="N417" t="str">
        <f t="shared" si="74"/>
        <v/>
      </c>
      <c r="O417" t="str">
        <f t="shared" si="75"/>
        <v/>
      </c>
      <c r="P417" t="str">
        <f>IFERROR(LN('Дивиденды по годам'!I417),"")</f>
        <v/>
      </c>
      <c r="Q417" t="str">
        <f>IFERROR('Дивиденды по годам'!G417/'Дивиденды по годам'!I417, "")</f>
        <v/>
      </c>
      <c r="R417" t="str">
        <f>IFERROR(IF(AND('Дивиденды по годам'!N417&lt;&gt;"",'Дивиденды по годам'!U417&lt;&gt;"",'Дивиденды по годам'!U417&lt;&gt;0),'Дивиденды по годам'!N417/'Дивиденды по годам'!U417-1,""),"")</f>
        <v/>
      </c>
      <c r="S417" t="str">
        <f>IFERROR(IF(AND('Дивиденды по годам'!L417&lt;&gt;"",'Дивиденды по годам'!I417&lt;&gt;"",'Дивиденды по годам'!J417&lt;&gt;"",'Дивиденды по годам'!K417&lt;&gt;"",('Дивиденды по годам'!I417-'Дивиденды по годам'!J417-'Дивиденды по годам'!K417)&lt;&gt;0),'Дивиденды по годам'!L417/('Дивиденды по годам'!I417-'Дивиденды по годам'!J417-'Дивиденды по годам'!K417),""),"")</f>
        <v/>
      </c>
      <c r="T417" t="str">
        <f>IFERROR(IF(AND('Дивиденды по годам'!Q417&lt;&gt;"",'Дивиденды по годам'!I417&lt;&gt;"",'Дивиденды по годам'!V417&lt;&gt;"",('Дивиденды по годам'!I417+'Дивиденды по годам'!V417)&lt;&gt;0),'Дивиденды по годам'!Q417/(('Дивиденды по годам'!I417+'Дивиденды по годам'!V417)/2),""),"")</f>
        <v/>
      </c>
      <c r="U417" t="str">
        <f>IFERROR(IF(AND('Дивиденды по годам'!J417&lt;&gt;"",'Дивиденды по годам'!K417&lt;&gt;"",'Дивиденды по годам'!M417&lt;&gt;"",'Дивиденды по годам'!M417&lt;&gt;0),('Дивиденды по годам'!J417+'Дивиденды по годам'!K417)/'Дивиденды по годам'!M417,""),"")</f>
        <v/>
      </c>
      <c r="V417" t="str">
        <f>IFERROR(IF(AND('Дивиденды по годам'!J417&lt;&gt;"",'Дивиденды по годам'!K417&lt;&gt;"",'Дивиденды по годам'!M417&lt;&gt;"",'Дивиденды по годам'!I417&lt;&gt;0),('Дивиденды по годам'!J417+'Дивиденды по годам'!K417)/'Дивиденды по годам'!I417,""),"")</f>
        <v/>
      </c>
      <c r="W417" t="str">
        <f>IFERROR('Дивиденды по годам'!I417,"")</f>
        <v/>
      </c>
      <c r="X417" cm="1">
        <f t="array" ref="X417">IFERROR(AVERAGE(_xlfn._xlws.FILTER(P$2:P$1073,($C$2:$C$1073=$C417)*($E$2:$E$1073=$E417)*(ROW(P$2:P$1073)&lt;&gt;ROW(P417))*(P$2:P$1073&lt;&gt;""))),"")</f>
        <v>26.127864794831805</v>
      </c>
      <c r="Y417" cm="1">
        <f t="array" ref="Y417">IFERROR(AVERAGE(_xlfn._xlws.FILTER(Q$2:Q$1073,($C$2:$C$1073=$C417)*($E$2:$E$1073=$E417)*(ROW(Q$2:Q$1073)&lt;&gt;ROW(Q417))*(Q$2:Q$1073&lt;&gt;""))),"")</f>
        <v>0.75539390451698762</v>
      </c>
      <c r="Z417" t="str" cm="1">
        <f t="array" ref="Z417">IFERROR(AVERAGE(_xlfn._xlws.FILTER(R$2:R$1073,($C$2:$C$1073=$C417)*($E$2:$E$1073=$E417)*(ROW(R$2:R$1073)&lt;&gt;ROW(R417))*(R$2:R$1073&lt;&gt;""))),"")</f>
        <v/>
      </c>
      <c r="AA417" t="str" cm="1">
        <f t="array" ref="AA417">IFERROR(AVERAGE(_xlfn._xlws.FILTER(S$2:S$1073,($C$2:$C$1073=$C417)*($E$2:$E$1073=$E417)*(ROW(S$2:S$1073)&lt;&gt;ROW(S417))*(S$2:S$1073&lt;&gt;""))),"")</f>
        <v/>
      </c>
      <c r="AB417" t="str" cm="1">
        <f t="array" ref="AB417">IFERROR(AVERAGE(_xlfn._xlws.FILTER(T$2:T$1073,($C$2:$C$1073=$C417)*($E$2:$E$1073=$E417)*(ROW(T$2:T$1073)&lt;&gt;ROW(T417))*(T$2:T$1073&lt;&gt;""))),"")</f>
        <v/>
      </c>
      <c r="AC417" cm="1">
        <f t="array" ref="AC417">IFERROR(AVERAGE(_xlfn._xlws.FILTER(U$2:U$1073,($C$2:$C$1073=$C417)*($E$2:$E$1073=$E417)*(ROW(U$2:U$1073)&lt;&gt;ROW(U417))*(U$2:U$1073&lt;&gt;""))),"")</f>
        <v>1.4017600691070078</v>
      </c>
      <c r="AD417" cm="1">
        <f t="array" ref="AD417">IFERROR(AVERAGE(_xlfn._xlws.FILTER(V$2:V$1073,($C$2:$C$1073=$C417)*($E$2:$E$1073=$E417)*(ROW(V$2:V$1073)&lt;&gt;ROW(V417))*(V$2:V$1073&lt;&gt;""))),"")</f>
        <v>0.58363867695918215</v>
      </c>
      <c r="AE417">
        <f>IF('Дивиденды по годам'!M417&lt;0,1,0)</f>
        <v>0</v>
      </c>
    </row>
    <row r="418" spans="1:31" x14ac:dyDescent="0.2">
      <c r="A418" s="7" t="s">
        <v>2231</v>
      </c>
      <c r="B418" t="str">
        <f t="shared" si="66"/>
        <v>PLZL IV кв. 2025</v>
      </c>
      <c r="C418">
        <v>2025</v>
      </c>
      <c r="D418">
        <f>SUMIFS(Дивиденды!$C:$C,Дивиденды!$A:$A,A418,Дивиденды!$I:$I,C418)</f>
        <v>106.85</v>
      </c>
      <c r="E418">
        <v>3</v>
      </c>
      <c r="F418">
        <f t="shared" si="67"/>
        <v>106.85</v>
      </c>
      <c r="G418">
        <f t="shared" si="68"/>
        <v>0</v>
      </c>
      <c r="H418">
        <f t="shared" si="69"/>
        <v>1</v>
      </c>
      <c r="I418">
        <f t="shared" si="70"/>
        <v>0</v>
      </c>
      <c r="J418">
        <f t="shared" si="71"/>
        <v>-0.47411162515995675</v>
      </c>
      <c r="K418">
        <f t="shared" si="76"/>
        <v>-0.4</v>
      </c>
      <c r="L418">
        <f t="shared" si="72"/>
        <v>0</v>
      </c>
      <c r="M418">
        <f t="shared" si="73"/>
        <v>0</v>
      </c>
      <c r="N418">
        <f t="shared" si="74"/>
        <v>1</v>
      </c>
      <c r="O418">
        <f t="shared" si="75"/>
        <v>0.4</v>
      </c>
      <c r="P418">
        <f>IFERROR(LN('Дивиденды по годам'!I418),"")</f>
        <v>27.854491813724511</v>
      </c>
      <c r="Q418">
        <f>IFERROR('Дивиденды по годам'!G418/'Дивиденды по годам'!I418, "")</f>
        <v>0.55182744206095768</v>
      </c>
      <c r="R418">
        <f>IFERROR(IF(AND('Дивиденды по годам'!N418&lt;&gt;"",'Дивиденды по годам'!U418&lt;&gt;"",'Дивиденды по годам'!U418&lt;&gt;0),'Дивиденды по годам'!N418/'Дивиденды по годам'!U418-1,""),"")</f>
        <v>2.5915125624669022E-2</v>
      </c>
      <c r="S418">
        <f>IFERROR(IF(AND('Дивиденды по годам'!L418&lt;&gt;"",'Дивиденды по годам'!I418&lt;&gt;"",'Дивиденды по годам'!J418&lt;&gt;"",'Дивиденды по годам'!K418&lt;&gt;"",('Дивиденды по годам'!I418-'Дивиденды по годам'!J418-'Дивиденды по годам'!K418)&lt;&gt;0),'Дивиденды по годам'!L418/('Дивиденды по годам'!I418-'Дивиденды по годам'!J418-'Дивиденды по годам'!K418),""),"")</f>
        <v>2.781368716419228</v>
      </c>
      <c r="T418">
        <f>IFERROR(IF(AND('Дивиденды по годам'!Q418&lt;&gt;"",'Дивиденды по годам'!I418&lt;&gt;"",'Дивиденды по годам'!V418&lt;&gt;"",('Дивиденды по годам'!I418+'Дивиденды по годам'!V418)&lt;&gt;0),'Дивиденды по годам'!Q418/(('Дивиденды по годам'!I418+'Дивиденды по годам'!V418)/2),""),"")</f>
        <v>0.26153392742966752</v>
      </c>
      <c r="U418">
        <f>IFERROR(IF(AND('Дивиденды по годам'!J418&lt;&gt;"",'Дивиденды по годам'!K418&lt;&gt;"",'Дивиденды по годам'!M418&lt;&gt;"",'Дивиденды по годам'!M418&lt;&gt;0),('Дивиденды по годам'!J418+'Дивиденды по годам'!K418)/'Дивиденды по годам'!M418,""),"")</f>
        <v>3.5984613064920068</v>
      </c>
      <c r="V418">
        <f>IFERROR(IF(AND('Дивиденды по годам'!J418&lt;&gt;"",'Дивиденды по годам'!K418&lt;&gt;"",'Дивиденды по годам'!M418&lt;&gt;"",'Дивиденды по годам'!I418&lt;&gt;0),('Дивиденды по годам'!J418+'Дивиденды по годам'!K418)/'Дивиденды по годам'!I418,""),"")</f>
        <v>0.78253595423577404</v>
      </c>
      <c r="W418">
        <f>IFERROR('Дивиденды по годам'!I418,"")</f>
        <v>1250409000000</v>
      </c>
      <c r="X418" cm="1">
        <f t="array" ref="X418">IFERROR(AVERAGE(_xlfn._xlws.FILTER(P$2:P$1073,($C$2:$C$1073=$C418)*($E$2:$E$1073=$E418)*(ROW(P$2:P$1073)&lt;&gt;ROW(P418))*(P$2:P$1073&lt;&gt;""))),"")</f>
        <v>27.479091898742677</v>
      </c>
      <c r="Y418" cm="1">
        <f t="array" ref="Y418">IFERROR(AVERAGE(_xlfn._xlws.FILTER(Q$2:Q$1073,($C$2:$C$1073=$C418)*($E$2:$E$1073=$E418)*(ROW(Q$2:Q$1073)&lt;&gt;ROW(Q418))*(Q$2:Q$1073&lt;&gt;""))),"")</f>
        <v>0.52588909289256258</v>
      </c>
      <c r="Z418" cm="1">
        <f t="array" ref="Z418">IFERROR(AVERAGE(_xlfn._xlws.FILTER(R$2:R$1073,($C$2:$C$1073=$C418)*($E$2:$E$1073=$E418)*(ROW(R$2:R$1073)&lt;&gt;ROW(R418))*(R$2:R$1073&lt;&gt;""))),"")</f>
        <v>-0.11078414504837342</v>
      </c>
      <c r="AA418" cm="1">
        <f t="array" ref="AA418">IFERROR(AVERAGE(_xlfn._xlws.FILTER(S$2:S$1073,($C$2:$C$1073=$C418)*($E$2:$E$1073=$E418)*(ROW(S$2:S$1073)&lt;&gt;ROW(S418))*(S$2:S$1073&lt;&gt;""))),"")</f>
        <v>0.73057449873776192</v>
      </c>
      <c r="AB418" cm="1">
        <f t="array" ref="AB418">IFERROR(AVERAGE(_xlfn._xlws.FILTER(T$2:T$1073,($C$2:$C$1073=$C418)*($E$2:$E$1073=$E418)*(ROW(T$2:T$1073)&lt;&gt;ROW(T418))*(T$2:T$1073&lt;&gt;""))),"")</f>
        <v>-2.0145147872353806E-2</v>
      </c>
      <c r="AC418" cm="1">
        <f t="array" ref="AC418">IFERROR(AVERAGE(_xlfn._xlws.FILTER(U$2:U$1073,($C$2:$C$1073=$C418)*($E$2:$E$1073=$E418)*(ROW(U$2:U$1073)&lt;&gt;ROW(U418))*(U$2:U$1073&lt;&gt;""))),"")</f>
        <v>3.1280858492296248</v>
      </c>
      <c r="AD418" cm="1">
        <f t="array" ref="AD418">IFERROR(AVERAGE(_xlfn._xlws.FILTER(V$2:V$1073,($C$2:$C$1073=$C418)*($E$2:$E$1073=$E418)*(ROW(V$2:V$1073)&lt;&gt;ROW(V418))*(V$2:V$1073&lt;&gt;""))),"")</f>
        <v>0.48766367004327676</v>
      </c>
      <c r="AE418">
        <f>IF('Дивиденды по годам'!M418&lt;0,1,0)</f>
        <v>0</v>
      </c>
    </row>
    <row r="419" spans="1:31" x14ac:dyDescent="0.2">
      <c r="A419" s="7" t="s">
        <v>2231</v>
      </c>
      <c r="B419" t="str">
        <f t="shared" si="66"/>
        <v>PLZL IV кв. 2024</v>
      </c>
      <c r="C419">
        <v>2024</v>
      </c>
      <c r="D419">
        <f>SUMIFS(Дивиденды!$C:$C,Дивиденды!$A:$A,A419,Дивиденды!$I:$I,C419)</f>
        <v>203.18</v>
      </c>
      <c r="E419">
        <v>3</v>
      </c>
      <c r="F419">
        <f t="shared" si="67"/>
        <v>203.18</v>
      </c>
      <c r="G419">
        <f t="shared" si="68"/>
        <v>12.739999999999998</v>
      </c>
      <c r="H419">
        <f t="shared" si="69"/>
        <v>1</v>
      </c>
      <c r="I419">
        <f t="shared" si="70"/>
        <v>0.4</v>
      </c>
      <c r="J419">
        <f t="shared" si="71"/>
        <v>1</v>
      </c>
      <c r="K419">
        <f t="shared" si="76"/>
        <v>-0.30461447297899458</v>
      </c>
      <c r="L419">
        <f t="shared" si="72"/>
        <v>1</v>
      </c>
      <c r="M419">
        <f t="shared" si="73"/>
        <v>0</v>
      </c>
      <c r="N419">
        <f t="shared" si="74"/>
        <v>0</v>
      </c>
      <c r="O419">
        <f t="shared" si="75"/>
        <v>0.5</v>
      </c>
      <c r="P419">
        <f>IFERROR(LN('Дивиденды по годам'!I419),"")</f>
        <v>27.772429528214879</v>
      </c>
      <c r="Q419">
        <f>IFERROR('Дивиденды по годам'!G419/'Дивиденды по годам'!I419, "")</f>
        <v>0.45106802269304058</v>
      </c>
      <c r="R419">
        <f>IFERROR(IF(AND('Дивиденды по годам'!N419&lt;&gt;"",'Дивиденды по годам'!U419&lt;&gt;"",'Дивиденды по годам'!U419&lt;&gt;0),'Дивиденды по годам'!N419/'Дивиденды по годам'!U419-1,""),"")</f>
        <v>0.4794668733643237</v>
      </c>
      <c r="S419">
        <f>IFERROR(IF(AND('Дивиденды по годам'!L419&lt;&gt;"",'Дивиденды по годам'!I419&lt;&gt;"",'Дивиденды по годам'!J419&lt;&gt;"",'Дивиденды по годам'!K419&lt;&gt;"",('Дивиденды по годам'!I419-'Дивиденды по годам'!J419-'Дивиденды по годам'!K419)&lt;&gt;0),'Дивиденды по годам'!L419/('Дивиденды по годам'!I419-'Дивиденды по годам'!J419-'Дивиденды по годам'!K419),""),"")</f>
        <v>4.8244774239263082</v>
      </c>
      <c r="T419">
        <f>IFERROR(IF(AND('Дивиденды по годам'!Q419&lt;&gt;"",'Дивиденды по годам'!I419&lt;&gt;"",'Дивиденды по годам'!V419&lt;&gt;"",('Дивиденды по годам'!I419+'Дивиденды по годам'!V419)&lt;&gt;0),'Дивиденды по годам'!Q419/(('Дивиденды по годам'!I419+'Дивиденды по годам'!V419)/2),""),"")</f>
        <v>0.30789416005985809</v>
      </c>
      <c r="U419">
        <f>IFERROR(IF(AND('Дивиденды по годам'!J419&lt;&gt;"",'Дивиденды по годам'!K419&lt;&gt;"",'Дивиденды по годам'!M419&lt;&gt;"",'Дивиденды по годам'!M419&lt;&gt;0),('Дивиденды по годам'!J419+'Дивиденды по годам'!K419)/'Дивиденды по годам'!M419,""),"")</f>
        <v>8.0689682320985714</v>
      </c>
      <c r="V419">
        <f>IFERROR(IF(AND('Дивиденды по годам'!J419&lt;&gt;"",'Дивиденды по годам'!K419&lt;&gt;"",'Дивиденды по годам'!M419&lt;&gt;"",'Дивиденды по годам'!I419&lt;&gt;0),('Дивиденды по годам'!J419+'Дивиденды по годам'!K419)/'Дивиденды по годам'!I419,""),"")</f>
        <v>0.88973387331310583</v>
      </c>
      <c r="W419">
        <f>IFERROR('Дивиденды по годам'!I419,"")</f>
        <v>1151895000000</v>
      </c>
      <c r="X419" cm="1">
        <f t="array" ref="X419">IFERROR(AVERAGE(_xlfn._xlws.FILTER(P$2:P$1073,($C$2:$C$1073=$C419)*($E$2:$E$1073=$E419)*(ROW(P$2:P$1073)&lt;&gt;ROW(P419))*(P$2:P$1073&lt;&gt;""))),"")</f>
        <v>27.23391613230077</v>
      </c>
      <c r="Y419" cm="1">
        <f t="array" ref="Y419">IFERROR(AVERAGE(_xlfn._xlws.FILTER(Q$2:Q$1073,($C$2:$C$1073=$C419)*($E$2:$E$1073=$E419)*(ROW(Q$2:Q$1073)&lt;&gt;ROW(Q419))*(Q$2:Q$1073&lt;&gt;""))),"")</f>
        <v>0.48304607889541318</v>
      </c>
      <c r="Z419" cm="1">
        <f t="array" ref="Z419">IFERROR(AVERAGE(_xlfn._xlws.FILTER(R$2:R$1073,($C$2:$C$1073=$C419)*($E$2:$E$1073=$E419)*(ROW(R$2:R$1073)&lt;&gt;ROW(R419))*(R$2:R$1073&lt;&gt;""))),"")</f>
        <v>-2.0135577495141367E-2</v>
      </c>
      <c r="AA419" cm="1">
        <f t="array" ref="AA419">IFERROR(AVERAGE(_xlfn._xlws.FILTER(S$2:S$1073,($C$2:$C$1073=$C419)*($E$2:$E$1073=$E419)*(ROW(S$2:S$1073)&lt;&gt;ROW(S419))*(S$2:S$1073&lt;&gt;""))),"")</f>
        <v>0.8074390153087373</v>
      </c>
      <c r="AB419" cm="1">
        <f t="array" ref="AB419">IFERROR(AVERAGE(_xlfn._xlws.FILTER(T$2:T$1073,($C$2:$C$1073=$C419)*($E$2:$E$1073=$E419)*(ROW(T$2:T$1073)&lt;&gt;ROW(T419))*(T$2:T$1073&lt;&gt;""))),"")</f>
        <v>1.9286335003858172E-2</v>
      </c>
      <c r="AC419" cm="1">
        <f t="array" ref="AC419">IFERROR(AVERAGE(_xlfn._xlws.FILTER(U$2:U$1073,($C$2:$C$1073=$C419)*($E$2:$E$1073=$E419)*(ROW(U$2:U$1073)&lt;&gt;ROW(U419))*(U$2:U$1073&lt;&gt;""))),"")</f>
        <v>2.0143227928673584</v>
      </c>
      <c r="AD419" cm="1">
        <f t="array" ref="AD419">IFERROR(AVERAGE(_xlfn._xlws.FILTER(V$2:V$1073,($C$2:$C$1073=$C419)*($E$2:$E$1073=$E419)*(ROW(V$2:V$1073)&lt;&gt;ROW(V419))*(V$2:V$1073&lt;&gt;""))),"")</f>
        <v>0.59182097982374582</v>
      </c>
      <c r="AE419">
        <f>IF('Дивиденды по годам'!M419&lt;0,1,0)</f>
        <v>0</v>
      </c>
    </row>
    <row r="420" spans="1:31" x14ac:dyDescent="0.2">
      <c r="A420" s="7" t="s">
        <v>2231</v>
      </c>
      <c r="B420" t="str">
        <f t="shared" si="66"/>
        <v>PLZL IV кв. 2023</v>
      </c>
      <c r="C420">
        <v>2023</v>
      </c>
      <c r="D420">
        <f>SUMIFS(Дивиденды!$C:$C,Дивиденды!$A:$A,A420,Дивиденды!$I:$I,C420)</f>
        <v>0</v>
      </c>
      <c r="E420">
        <v>3</v>
      </c>
      <c r="F420">
        <f t="shared" si="67"/>
        <v>0</v>
      </c>
      <c r="G420">
        <f t="shared" si="68"/>
        <v>25.244</v>
      </c>
      <c r="H420">
        <f t="shared" si="69"/>
        <v>0</v>
      </c>
      <c r="I420">
        <f t="shared" si="70"/>
        <v>0.6</v>
      </c>
      <c r="J420">
        <f t="shared" si="71"/>
        <v>0</v>
      </c>
      <c r="K420">
        <f t="shared" si="76"/>
        <v>0.43287037037037035</v>
      </c>
      <c r="L420">
        <f t="shared" si="72"/>
        <v>0</v>
      </c>
      <c r="M420">
        <f t="shared" si="73"/>
        <v>0.6</v>
      </c>
      <c r="N420">
        <f t="shared" si="74"/>
        <v>0</v>
      </c>
      <c r="O420">
        <f t="shared" si="75"/>
        <v>0.1</v>
      </c>
      <c r="P420">
        <f>IFERROR(LN('Дивиденды по годам'!I420),"")</f>
        <v>27.448059354247171</v>
      </c>
      <c r="Q420">
        <f>IFERROR('Дивиденды по годам'!G420/'Дивиденды по годам'!I420, "")</f>
        <v>0.52760086455331412</v>
      </c>
      <c r="R420">
        <f>IFERROR(IF(AND('Дивиденды по годам'!N420&lt;&gt;"",'Дивиденды по годам'!U420&lt;&gt;"",'Дивиденды по годам'!U420&lt;&gt;0),'Дивиденды по годам'!N420/'Дивиденды по годам'!U420-1,""),"")</f>
        <v>0.59693879286013041</v>
      </c>
      <c r="S420">
        <f>IFERROR(IF(AND('Дивиденды по годам'!L420&lt;&gt;"",'Дивиденды по годам'!I420&lt;&gt;"",'Дивиденды по годам'!J420&lt;&gt;"",'Дивиденды по годам'!K420&lt;&gt;"",('Дивиденды по годам'!I420-'Дивиденды по годам'!J420-'Дивиденды по годам'!K420)&lt;&gt;0),'Дивиденды по годам'!L420/('Дивиденды по годам'!I420-'Дивиденды по годам'!J420-'Дивиденды по годам'!K420),""),"")</f>
        <v>-7.7096303155495409</v>
      </c>
      <c r="T420">
        <f>IFERROR(IF(AND('Дивиденды по годам'!Q420&lt;&gt;"",'Дивиденды по годам'!I420&lt;&gt;"",'Дивиденды по годам'!V420&lt;&gt;"",('Дивиденды по годам'!I420+'Дивиденды по годам'!V420)&lt;&gt;0),'Дивиденды по годам'!Q420/(('Дивиденды по годам'!I420+'Дивиденды по годам'!V420)/2),""),"")</f>
        <v>0.19763591467151956</v>
      </c>
      <c r="U420">
        <f>IFERROR(IF(AND('Дивиденды по годам'!J420&lt;&gt;"",'Дивиденды по годам'!K420&lt;&gt;"",'Дивиденды по годам'!M420&lt;&gt;"",'Дивиденды по годам'!M420&lt;&gt;0),('Дивиденды по годам'!J420+'Дивиденды по годам'!K420)/'Дивиденды по годам'!M420,""),"")</f>
        <v>-15.830116105135694</v>
      </c>
      <c r="V420">
        <f>IFERROR(IF(AND('Дивиденды по годам'!J420&lt;&gt;"",'Дивиденды по годам'!K420&lt;&gt;"",'Дивиденды по годам'!M420&lt;&gt;"",'Дивиденды по годам'!I420&lt;&gt;0),('Дивиденды по годам'!J420+'Дивиденды по годам'!K420)/'Дивиденды по годам'!I420,""),"")</f>
        <v>1.0674303554274736</v>
      </c>
      <c r="W420">
        <f>IFERROR('Дивиденды по годам'!I420,"")</f>
        <v>832800000000</v>
      </c>
      <c r="X420" cm="1">
        <f t="array" ref="X420">IFERROR(AVERAGE(_xlfn._xlws.FILTER(P$2:P$1073,($C$2:$C$1073=$C420)*($E$2:$E$1073=$E420)*(ROW(P$2:P$1073)&lt;&gt;ROW(P420))*(P$2:P$1073&lt;&gt;""))),"")</f>
        <v>27.187129706227488</v>
      </c>
      <c r="Y420" cm="1">
        <f t="array" ref="Y420">IFERROR(AVERAGE(_xlfn._xlws.FILTER(Q$2:Q$1073,($C$2:$C$1073=$C420)*($E$2:$E$1073=$E420)*(ROW(Q$2:Q$1073)&lt;&gt;ROW(Q420))*(Q$2:Q$1073&lt;&gt;""))),"")</f>
        <v>0.44859403187463237</v>
      </c>
      <c r="Z420" cm="1">
        <f t="array" ref="Z420">IFERROR(AVERAGE(_xlfn._xlws.FILTER(R$2:R$1073,($C$2:$C$1073=$C420)*($E$2:$E$1073=$E420)*(ROW(R$2:R$1073)&lt;&gt;ROW(R420))*(R$2:R$1073&lt;&gt;""))),"")</f>
        <v>8.4229114749738931E-2</v>
      </c>
      <c r="AA420" cm="1">
        <f t="array" ref="AA420">IFERROR(AVERAGE(_xlfn._xlws.FILTER(S$2:S$1073,($C$2:$C$1073=$C420)*($E$2:$E$1073=$E420)*(ROW(S$2:S$1073)&lt;&gt;ROW(S420))*(S$2:S$1073&lt;&gt;""))),"")</f>
        <v>0.91939672549765028</v>
      </c>
      <c r="AB420" cm="1">
        <f t="array" ref="AB420">IFERROR(AVERAGE(_xlfn._xlws.FILTER(T$2:T$1073,($C$2:$C$1073=$C420)*($E$2:$E$1073=$E420)*(ROW(T$2:T$1073)&lt;&gt;ROW(T420))*(T$2:T$1073&lt;&gt;""))),"")</f>
        <v>0.11047473301956397</v>
      </c>
      <c r="AC420" cm="1">
        <f t="array" ref="AC420">IFERROR(AVERAGE(_xlfn._xlws.FILTER(U$2:U$1073,($C$2:$C$1073=$C420)*($E$2:$E$1073=$E420)*(ROW(U$2:U$1073)&lt;&gt;ROW(U420))*(U$2:U$1073&lt;&gt;""))),"")</f>
        <v>0.96980158489911594</v>
      </c>
      <c r="AD420" cm="1">
        <f t="array" ref="AD420">IFERROR(AVERAGE(_xlfn._xlws.FILTER(V$2:V$1073,($C$2:$C$1073=$C420)*($E$2:$E$1073=$E420)*(ROW(V$2:V$1073)&lt;&gt;ROW(V420))*(V$2:V$1073&lt;&gt;""))),"")</f>
        <v>0.55093523764363206</v>
      </c>
      <c r="AE420">
        <f>IF('Дивиденды по годам'!M420&lt;0,1,0)</f>
        <v>1</v>
      </c>
    </row>
    <row r="421" spans="1:31" x14ac:dyDescent="0.2">
      <c r="A421" s="7" t="s">
        <v>2231</v>
      </c>
      <c r="B421" t="str">
        <f t="shared" si="66"/>
        <v>PLZL IV кв. 2022</v>
      </c>
      <c r="C421">
        <v>2022</v>
      </c>
      <c r="D421">
        <f>SUMIFS(Дивиденды!$C:$C,Дивиденды!$A:$A,A421,Дивиденды!$I:$I,C421)</f>
        <v>0</v>
      </c>
      <c r="E421">
        <v>3</v>
      </c>
      <c r="F421">
        <f t="shared" si="67"/>
        <v>0</v>
      </c>
      <c r="G421">
        <f t="shared" si="68"/>
        <v>1.73</v>
      </c>
      <c r="H421">
        <f t="shared" si="69"/>
        <v>0</v>
      </c>
      <c r="I421">
        <f t="shared" si="70"/>
        <v>0.2</v>
      </c>
      <c r="J421">
        <f t="shared" si="71"/>
        <v>-1</v>
      </c>
      <c r="K421">
        <f t="shared" si="76"/>
        <v>-0.50242800677583288</v>
      </c>
      <c r="L421">
        <f t="shared" si="72"/>
        <v>0</v>
      </c>
      <c r="M421">
        <f t="shared" si="73"/>
        <v>0.1</v>
      </c>
      <c r="N421">
        <f t="shared" si="74"/>
        <v>1</v>
      </c>
      <c r="O421">
        <f t="shared" si="75"/>
        <v>0.7</v>
      </c>
      <c r="P421">
        <f>IFERROR(LN('Дивиденды по годам'!I421),"")</f>
        <v>27.27321553305844</v>
      </c>
      <c r="Q421">
        <f>IFERROR('Дивиденды по годам'!G421/'Дивиденды по годам'!I421, "")</f>
        <v>0.580557458499533</v>
      </c>
      <c r="R421">
        <f>IFERROR(IF(AND('Дивиденды по годам'!N421&lt;&gt;"",'Дивиденды по годам'!U421&lt;&gt;"",'Дивиденды по годам'!U421&lt;&gt;0),'Дивиденды по годам'!N421/'Дивиденды по годам'!U421-1,""),"")</f>
        <v>-0.19472969346455704</v>
      </c>
      <c r="S421">
        <f>IFERROR(IF(AND('Дивиденды по годам'!L421&lt;&gt;"",'Дивиденды по годам'!I421&lt;&gt;"",'Дивиденды по годам'!J421&lt;&gt;"",'Дивиденды по годам'!K421&lt;&gt;"",('Дивиденды по годам'!I421-'Дивиденды по годам'!J421-'Дивиденды по годам'!K421)&lt;&gt;0),'Дивиденды по годам'!L421/('Дивиденды по годам'!I421-'Дивиденды по годам'!J421-'Дивиденды по годам'!K421),""),"")</f>
        <v>0.75523138752081165</v>
      </c>
      <c r="T421">
        <f>IFERROR(IF(AND('Дивиденды по годам'!Q421&lt;&gt;"",'Дивиденды по годам'!I421&lt;&gt;"",'Дивиденды по годам'!V421&lt;&gt;"",('Дивиденды по годам'!I421+'Дивиденды по годам'!V421)&lt;&gt;0),'Дивиденды по годам'!Q421/(('Дивиденды по годам'!I421+'Дивиденды по годам'!V421)/2),""),"")</f>
        <v>0.17282704933611259</v>
      </c>
      <c r="U421">
        <f>IFERROR(IF(AND('Дивиденды по годам'!J421&lt;&gt;"",'Дивиденды по годам'!K421&lt;&gt;"",'Дивиденды по годам'!M421&lt;&gt;"",'Дивиденды по годам'!M421&lt;&gt;0),('Дивиденды по годам'!J421+'Дивиденды по годам'!K421)/'Дивиденды по годам'!M421,""),"")</f>
        <v>0.87461024319752056</v>
      </c>
      <c r="V421">
        <f>IFERROR(IF(AND('Дивиденды по годам'!J421&lt;&gt;"",'Дивиденды по годам'!K421&lt;&gt;"",'Дивиденды по годам'!M421&lt;&gt;"",'Дивиденды по годам'!I421&lt;&gt;0),('Дивиденды по годам'!J421+'Дивиденды по годам'!K421)/'Дивиденды по годам'!I421,""),"")</f>
        <v>0.4665557794593605</v>
      </c>
      <c r="W421">
        <f>IFERROR('Дивиденды по годам'!I421,"")</f>
        <v>699209000000</v>
      </c>
      <c r="X421" cm="1">
        <f t="array" ref="X421">IFERROR(AVERAGE(_xlfn._xlws.FILTER(P$2:P$1073,($C$2:$C$1073=$C421)*($E$2:$E$1073=$E421)*(ROW(P$2:P$1073)&lt;&gt;ROW(P421))*(P$2:P$1073&lt;&gt;""))),"")</f>
        <v>27.063795165371893</v>
      </c>
      <c r="Y421" cm="1">
        <f t="array" ref="Y421">IFERROR(AVERAGE(_xlfn._xlws.FILTER(Q$2:Q$1073,($C$2:$C$1073=$C421)*($E$2:$E$1073=$E421)*(ROW(Q$2:Q$1073)&lt;&gt;ROW(Q421))*(Q$2:Q$1073&lt;&gt;""))),"")</f>
        <v>0.46090922414194113</v>
      </c>
      <c r="Z421" cm="1">
        <f t="array" ref="Z421">IFERROR(AVERAGE(_xlfn._xlws.FILTER(R$2:R$1073,($C$2:$C$1073=$C421)*($E$2:$E$1073=$E421)*(ROW(R$2:R$1073)&lt;&gt;ROW(R421))*(R$2:R$1073&lt;&gt;""))),"")</f>
        <v>-4.3881041147074583E-3</v>
      </c>
      <c r="AA421" cm="1">
        <f t="array" ref="AA421">IFERROR(AVERAGE(_xlfn._xlws.FILTER(S$2:S$1073,($C$2:$C$1073=$C421)*($E$2:$E$1073=$E421)*(ROW(S$2:S$1073)&lt;&gt;ROW(S421))*(S$2:S$1073&lt;&gt;""))),"")</f>
        <v>0.86147530488560364</v>
      </c>
      <c r="AB421" cm="1">
        <f t="array" ref="AB421">IFERROR(AVERAGE(_xlfn._xlws.FILTER(T$2:T$1073,($C$2:$C$1073=$C421)*($E$2:$E$1073=$E421)*(ROW(T$2:T$1073)&lt;&gt;ROW(T421))*(T$2:T$1073&lt;&gt;""))),"")</f>
        <v>0.15725398298169668</v>
      </c>
      <c r="AC421" cm="1">
        <f t="array" ref="AC421">IFERROR(AVERAGE(_xlfn._xlws.FILTER(U$2:U$1073,($C$2:$C$1073=$C421)*($E$2:$E$1073=$E421)*(ROW(U$2:U$1073)&lt;&gt;ROW(U421))*(U$2:U$1073&lt;&gt;""))),"")</f>
        <v>1.1812318780743649</v>
      </c>
      <c r="AD421" cm="1">
        <f t="array" ref="AD421">IFERROR(AVERAGE(_xlfn._xlws.FILTER(V$2:V$1073,($C$2:$C$1073=$C421)*($E$2:$E$1073=$E421)*(ROW(V$2:V$1073)&lt;&gt;ROW(V421))*(V$2:V$1073&lt;&gt;""))),"")</f>
        <v>0.57433221088041808</v>
      </c>
      <c r="AE421">
        <f>IF('Дивиденды по годам'!M421&lt;0,1,0)</f>
        <v>0</v>
      </c>
    </row>
    <row r="422" spans="1:31" x14ac:dyDescent="0.2">
      <c r="A422" s="7" t="s">
        <v>2231</v>
      </c>
      <c r="B422" t="str">
        <f t="shared" si="66"/>
        <v>PLZL IV кв. 2021</v>
      </c>
      <c r="C422">
        <v>2021</v>
      </c>
      <c r="D422">
        <f>SUMIFS(Дивиденды!$C:$C,Дивиденды!$A:$A,A422,Дивиденды!$I:$I,C422)</f>
        <v>26.75</v>
      </c>
      <c r="E422">
        <v>3</v>
      </c>
      <c r="F422">
        <f t="shared" si="67"/>
        <v>26.75</v>
      </c>
      <c r="G422">
        <f t="shared" si="68"/>
        <v>34.18</v>
      </c>
      <c r="H422">
        <f t="shared" si="69"/>
        <v>1</v>
      </c>
      <c r="I422">
        <f t="shared" si="70"/>
        <v>0.7</v>
      </c>
      <c r="J422">
        <f t="shared" si="71"/>
        <v>-0.57363723302518321</v>
      </c>
      <c r="K422">
        <f t="shared" si="76"/>
        <v>0.78806004987331479</v>
      </c>
      <c r="L422">
        <f t="shared" si="72"/>
        <v>0</v>
      </c>
      <c r="M422">
        <f t="shared" si="73"/>
        <v>0.5</v>
      </c>
      <c r="N422">
        <f t="shared" si="74"/>
        <v>1</v>
      </c>
      <c r="O422">
        <f t="shared" si="75"/>
        <v>0.1</v>
      </c>
      <c r="P422">
        <f>IFERROR(LN('Дивиденды по годам'!I422),"")</f>
        <v>27.112057468088935</v>
      </c>
      <c r="Q422">
        <f>IFERROR('Дивиденды по годам'!G422/'Дивиденды по годам'!I422, "")</f>
        <v>0.59786906208150392</v>
      </c>
      <c r="R422">
        <f>IFERROR(IF(AND('Дивиденды по годам'!N422&lt;&gt;"",'Дивиденды по годам'!U422&lt;&gt;"",'Дивиденды по годам'!U422&lt;&gt;0),'Дивиденды по годам'!N422/'Дивиденды по годам'!U422-1,""),"")</f>
        <v>2.6412897840841776E-3</v>
      </c>
      <c r="S422">
        <f>IFERROR(IF(AND('Дивиденды по годам'!L422&lt;&gt;"",'Дивиденды по годам'!I422&lt;&gt;"",'Дивиденды по годам'!J422&lt;&gt;"",'Дивиденды по годам'!K422&lt;&gt;"",('Дивиденды по годам'!I422-'Дивиденды по годам'!J422-'Дивиденды по годам'!K422)&lt;&gt;0),'Дивиденды по годам'!L422/('Дивиденды по годам'!I422-'Дивиденды по годам'!J422-'Дивиденды по годам'!K422),""),"")</f>
        <v>0.66471778381247648</v>
      </c>
      <c r="T422">
        <f>IFERROR(IF(AND('Дивиденды по годам'!Q422&lt;&gt;"",'Дивиденды по годам'!I422&lt;&gt;"",'Дивиденды по годам'!V422&lt;&gt;"",('Дивиденды по годам'!I422+'Дивиденды по годам'!V422)&lt;&gt;0),'Дивиденды по годам'!Q422/(('Дивиденды по годам'!I422+'Дивиденды по годам'!V422)/2),""),"")</f>
        <v>0.29527148694813293</v>
      </c>
      <c r="U422">
        <f>IFERROR(IF(AND('Дивиденды по годам'!J422&lt;&gt;"",'Дивиденды по годам'!K422&lt;&gt;"",'Дивиденды по годам'!M422&lt;&gt;"",'Дивиденды по годам'!M422&lt;&gt;0),('Дивиденды по годам'!J422+'Дивиденды по годам'!K422)/'Дивиденды по годам'!M422,""),"")</f>
        <v>1.2891821615675172</v>
      </c>
      <c r="V422">
        <f>IFERROR(IF(AND('Дивиденды по годам'!J422&lt;&gt;"",'Дивиденды по годам'!K422&lt;&gt;"",'Дивиденды по годам'!M422&lt;&gt;"",'Дивиденды по годам'!I422&lt;&gt;0),('Дивиденды по годам'!J422+'Дивиденды по годам'!K422)/'Дивиденды по годам'!I422,""),"")</f>
        <v>0.56316276756444317</v>
      </c>
      <c r="W422">
        <f>IFERROR('Дивиденды по годам'!I422,"")</f>
        <v>595137000000</v>
      </c>
      <c r="X422" cm="1">
        <f t="array" ref="X422">IFERROR(AVERAGE(_xlfn._xlws.FILTER(P$2:P$1073,($C$2:$C$1073=$C422)*($E$2:$E$1073=$E422)*(ROW(P$2:P$1073)&lt;&gt;ROW(P422))*(P$2:P$1073&lt;&gt;""))),"")</f>
        <v>26.972090455383075</v>
      </c>
      <c r="Y422" cm="1">
        <f t="array" ref="Y422">IFERROR(AVERAGE(_xlfn._xlws.FILTER(Q$2:Q$1073,($C$2:$C$1073=$C422)*($E$2:$E$1073=$E422)*(ROW(Q$2:Q$1073)&lt;&gt;ROW(Q422))*(Q$2:Q$1073&lt;&gt;""))),"")</f>
        <v>0.47668442689173807</v>
      </c>
      <c r="Z422" cm="1">
        <f t="array" ref="Z422">IFERROR(AVERAGE(_xlfn._xlws.FILTER(R$2:R$1073,($C$2:$C$1073=$C422)*($E$2:$E$1073=$E422)*(ROW(R$2:R$1073)&lt;&gt;ROW(R422))*(R$2:R$1073&lt;&gt;""))),"")</f>
        <v>0.75116718942493066</v>
      </c>
      <c r="AA422" cm="1">
        <f t="array" ref="AA422">IFERROR(AVERAGE(_xlfn._xlws.FILTER(S$2:S$1073,($C$2:$C$1073=$C422)*($E$2:$E$1073=$E422)*(ROW(S$2:S$1073)&lt;&gt;ROW(S422))*(S$2:S$1073&lt;&gt;""))),"")</f>
        <v>1.0724755143650073</v>
      </c>
      <c r="AB422" cm="1">
        <f t="array" ref="AB422">IFERROR(AVERAGE(_xlfn._xlws.FILTER(T$2:T$1073,($C$2:$C$1073=$C422)*($E$2:$E$1073=$E422)*(ROW(T$2:T$1073)&lt;&gt;ROW(T422))*(T$2:T$1073&lt;&gt;""))),"")</f>
        <v>0.28656614261408808</v>
      </c>
      <c r="AC422" cm="1">
        <f t="array" ref="AC422">IFERROR(AVERAGE(_xlfn._xlws.FILTER(U$2:U$1073,($C$2:$C$1073=$C422)*($E$2:$E$1073=$E422)*(ROW(U$2:U$1073)&lt;&gt;ROW(U422))*(U$2:U$1073&lt;&gt;""))),"")</f>
        <v>2.1240580121923887</v>
      </c>
      <c r="AD422" cm="1">
        <f t="array" ref="AD422">IFERROR(AVERAGE(_xlfn._xlws.FILTER(V$2:V$1073,($C$2:$C$1073=$C422)*($E$2:$E$1073=$E422)*(ROW(V$2:V$1073)&lt;&gt;ROW(V422))*(V$2:V$1073&lt;&gt;""))),"")</f>
        <v>0.67685428774137912</v>
      </c>
      <c r="AE422">
        <f>IF('Дивиденды по годам'!M422&lt;0,1,0)</f>
        <v>0</v>
      </c>
    </row>
    <row r="423" spans="1:31" x14ac:dyDescent="0.2">
      <c r="A423" s="7" t="s">
        <v>2231</v>
      </c>
      <c r="B423" t="str">
        <f t="shared" si="66"/>
        <v>PLZL IV кв. 2020</v>
      </c>
      <c r="C423">
        <v>2020</v>
      </c>
      <c r="D423">
        <f>SUMIFS(Дивиденды!$C:$C,Дивиденды!$A:$A,A423,Дивиденды!$I:$I,C423)</f>
        <v>62.739999999999995</v>
      </c>
      <c r="E423">
        <v>3</v>
      </c>
      <c r="F423">
        <f t="shared" si="67"/>
        <v>62.739999999999995</v>
      </c>
      <c r="G423">
        <f t="shared" si="68"/>
        <v>17.709999999999997</v>
      </c>
      <c r="H423">
        <f t="shared" si="69"/>
        <v>1</v>
      </c>
      <c r="I423">
        <f t="shared" si="70"/>
        <v>0.7</v>
      </c>
      <c r="J423">
        <f t="shared" si="71"/>
        <v>0.53849926434526707</v>
      </c>
      <c r="K423">
        <f t="shared" si="76"/>
        <v>0.60552962227545781</v>
      </c>
      <c r="L423">
        <f t="shared" si="72"/>
        <v>1</v>
      </c>
      <c r="M423">
        <f t="shared" si="73"/>
        <v>0.6</v>
      </c>
      <c r="N423">
        <f t="shared" si="74"/>
        <v>0</v>
      </c>
      <c r="O423">
        <f t="shared" si="75"/>
        <v>0.1</v>
      </c>
      <c r="P423">
        <f>IFERROR(LN('Дивиденды по годам'!I423),"")</f>
        <v>27.012753181442683</v>
      </c>
      <c r="Q423">
        <f>IFERROR('Дивиденды по годам'!G423/'Дивиденды по годам'!I423, "")</f>
        <v>0.56492854584626917</v>
      </c>
      <c r="R423">
        <f>IFERROR(IF(AND('Дивиденды по годам'!N423&lt;&gt;"",'Дивиденды по годам'!U423&lt;&gt;"",'Дивиденды по годам'!U423&lt;&gt;0),'Дивиденды по годам'!N423/'Дивиденды по годам'!U423-1,""),"")</f>
        <v>0.41300434512725026</v>
      </c>
      <c r="S423">
        <f>IFERROR(IF(AND('Дивиденды по годам'!L423&lt;&gt;"",'Дивиденды по годам'!I423&lt;&gt;"",'Дивиденды по годам'!J423&lt;&gt;"",'Дивиденды по годам'!K423&lt;&gt;"",('Дивиденды по годам'!I423-'Дивиденды по годам'!J423-'Дивиденды по годам'!K423)&lt;&gt;0),'Дивиденды по годам'!L423/('Дивиденды по годам'!I423-'Дивиденды по годам'!J423-'Дивиденды по годам'!K423),""),"")</f>
        <v>0.5169378943872468</v>
      </c>
      <c r="T423">
        <f>IFERROR(IF(AND('Дивиденды по годам'!Q423&lt;&gt;"",'Дивиденды по годам'!I423&lt;&gt;"",'Дивиденды по годам'!V423&lt;&gt;"",('Дивиденды по годам'!I423+'Дивиденды по годам'!V423)&lt;&gt;0),'Дивиденды по годам'!Q423/(('Дивиденды по годам'!I423+'Дивиденды по годам'!V423)/2),""),"")</f>
        <v>0.23261191418087043</v>
      </c>
      <c r="U423">
        <f>IFERROR(IF(AND('Дивиденды по годам'!J423&lt;&gt;"",'Дивиденды по годам'!K423&lt;&gt;"",'Дивиденды по годам'!M423&lt;&gt;"",'Дивиденды по годам'!M423&lt;&gt;0),('Дивиденды по годам'!J423+'Дивиденды по годам'!K423)/'Дивиденды по годам'!M423,""),"")</f>
        <v>1.9828240894497953</v>
      </c>
      <c r="V423">
        <f>IFERROR(IF(AND('Дивиденды по годам'!J423&lt;&gt;"",'Дивиденды по годам'!K423&lt;&gt;"",'Дивиденды по годам'!M423&lt;&gt;"",'Дивиденды по годам'!I423&lt;&gt;0),('Дивиденды по годам'!J423+'Дивиденды по годам'!K423)/'Дивиденды по годам'!I423,""),"")</f>
        <v>0.66474724287731712</v>
      </c>
      <c r="W423">
        <f>IFERROR('Дивиденды по годам'!I423,"")</f>
        <v>538877000000</v>
      </c>
      <c r="X423" cm="1">
        <f t="array" ref="X423">IFERROR(AVERAGE(_xlfn._xlws.FILTER(P$2:P$1073,($C$2:$C$1073=$C423)*($E$2:$E$1073=$E423)*(ROW(P$2:P$1073)&lt;&gt;ROW(P423))*(P$2:P$1073&lt;&gt;""))),"")</f>
        <v>26.799265694278652</v>
      </c>
      <c r="Y423" cm="1">
        <f t="array" ref="Y423">IFERROR(AVERAGE(_xlfn._xlws.FILTER(Q$2:Q$1073,($C$2:$C$1073=$C423)*($E$2:$E$1073=$E423)*(ROW(Q$2:Q$1073)&lt;&gt;ROW(Q423))*(Q$2:Q$1073&lt;&gt;""))),"")</f>
        <v>0.50023472506834221</v>
      </c>
      <c r="Z423" cm="1">
        <f t="array" ref="Z423">IFERROR(AVERAGE(_xlfn._xlws.FILTER(R$2:R$1073,($C$2:$C$1073=$C423)*($E$2:$E$1073=$E423)*(ROW(R$2:R$1073)&lt;&gt;ROW(R423))*(R$2:R$1073&lt;&gt;""))),"")</f>
        <v>-1.1348966072391132E-2</v>
      </c>
      <c r="AA423" cm="1">
        <f t="array" ref="AA423">IFERROR(AVERAGE(_xlfn._xlws.FILTER(S$2:S$1073,($C$2:$C$1073=$C423)*($E$2:$E$1073=$E423)*(ROW(S$2:S$1073)&lt;&gt;ROW(S423))*(S$2:S$1073&lt;&gt;""))),"")</f>
        <v>1.0934064901067848</v>
      </c>
      <c r="AB423" cm="1">
        <f t="array" ref="AB423">IFERROR(AVERAGE(_xlfn._xlws.FILTER(T$2:T$1073,($C$2:$C$1073=$C423)*($E$2:$E$1073=$E423)*(ROW(T$2:T$1073)&lt;&gt;ROW(T423))*(T$2:T$1073&lt;&gt;""))),"")</f>
        <v>8.0467500088712507E-2</v>
      </c>
      <c r="AC423" cm="1">
        <f t="array" ref="AC423">IFERROR(AVERAGE(_xlfn._xlws.FILTER(U$2:U$1073,($C$2:$C$1073=$C423)*($E$2:$E$1073=$E423)*(ROW(U$2:U$1073)&lt;&gt;ROW(U423))*(U$2:U$1073&lt;&gt;""))),"")</f>
        <v>1.6265390481461324</v>
      </c>
      <c r="AD423" cm="1">
        <f t="array" ref="AD423">IFERROR(AVERAGE(_xlfn._xlws.FILTER(V$2:V$1073,($C$2:$C$1073=$C423)*($E$2:$E$1073=$E423)*(ROW(V$2:V$1073)&lt;&gt;ROW(V423))*(V$2:V$1073&lt;&gt;""))),"")</f>
        <v>0.77413960077072175</v>
      </c>
      <c r="AE423">
        <f>IF('Дивиденды по годам'!M423&lt;0,1,0)</f>
        <v>0</v>
      </c>
    </row>
    <row r="424" spans="1:31" x14ac:dyDescent="0.2">
      <c r="A424" s="7" t="s">
        <v>2231</v>
      </c>
      <c r="B424" t="str">
        <f t="shared" si="66"/>
        <v>PLZL IV кв. 2019</v>
      </c>
      <c r="C424">
        <v>2019</v>
      </c>
      <c r="D424">
        <f>SUMIFS(Дивиденды!$C:$C,Дивиденды!$A:$A,A424,Дивиденды!$I:$I,C424)</f>
        <v>40.78</v>
      </c>
      <c r="E424">
        <v>3</v>
      </c>
      <c r="F424">
        <f t="shared" si="67"/>
        <v>40.78</v>
      </c>
      <c r="G424">
        <f t="shared" si="68"/>
        <v>15.513000000000002</v>
      </c>
      <c r="H424">
        <f t="shared" si="69"/>
        <v>1</v>
      </c>
      <c r="I424">
        <f t="shared" si="70"/>
        <v>0.7</v>
      </c>
      <c r="J424">
        <f t="shared" si="71"/>
        <v>0.48452857662904997</v>
      </c>
      <c r="K424">
        <f t="shared" si="76"/>
        <v>0.20315373799729616</v>
      </c>
      <c r="L424">
        <f t="shared" si="72"/>
        <v>1</v>
      </c>
      <c r="M424">
        <f t="shared" si="73"/>
        <v>0.3</v>
      </c>
      <c r="N424">
        <f t="shared" si="74"/>
        <v>0</v>
      </c>
      <c r="O424">
        <f t="shared" si="75"/>
        <v>0.4</v>
      </c>
      <c r="P424">
        <f>IFERROR(LN('Дивиденды по годам'!I424),"")</f>
        <v>26.968364342366602</v>
      </c>
      <c r="Q424">
        <f>IFERROR('Дивиденды по годам'!G424/'Дивиденды по годам'!I424, "")</f>
        <v>0.5620373244354776</v>
      </c>
      <c r="R424">
        <f>IFERROR(IF(AND('Дивиденды по годам'!N424&lt;&gt;"",'Дивиденды по годам'!U424&lt;&gt;"",'Дивиденды по годам'!U424&lt;&gt;0),'Дивиденды по годам'!N424/'Дивиденды по годам'!U424-1,""),"")</f>
        <v>0.39562081736079535</v>
      </c>
      <c r="S424">
        <f>IFERROR(IF(AND('Дивиденды по годам'!L424&lt;&gt;"",'Дивиденды по годам'!I424&lt;&gt;"",'Дивиденды по годам'!J424&lt;&gt;"",'Дивиденды по годам'!K424&lt;&gt;"",('Дивиденды по годам'!I424-'Дивиденды по годам'!J424-'Дивиденды по годам'!K424)&lt;&gt;0),'Дивиденды по годам'!L424/('Дивиденды по годам'!I424-'Дивиденды по годам'!J424-'Дивиденды по годам'!K424),""),"")</f>
        <v>0.36934000894960362</v>
      </c>
      <c r="T424">
        <f>IFERROR(IF(AND('Дивиденды по годам'!Q424&lt;&gt;"",'Дивиденды по годам'!I424&lt;&gt;"",'Дивиденды по годам'!V424&lt;&gt;"",('Дивиденды по годам'!I424+'Дивиденды по годам'!V424)&lt;&gt;0),'Дивиденды по годам'!Q424/(('Дивиденды по годам'!I424+'Дивиденды по годам'!V424)/2),""),"")</f>
        <v>0.26766892492487349</v>
      </c>
      <c r="U424">
        <f>IFERROR(IF(AND('Дивиденды по годам'!J424&lt;&gt;"",'Дивиденды по годам'!K424&lt;&gt;"",'Дивиденды по годам'!M424&lt;&gt;"",'Дивиденды по годам'!M424&lt;&gt;0),('Дивиденды по годам'!J424+'Дивиденды по годам'!K424)/'Дивиденды по годам'!M424,""),"")</f>
        <v>3.3522091167754411</v>
      </c>
      <c r="V424">
        <f>IFERROR(IF(AND('Дивиденды по годам'!J424&lt;&gt;"",'Дивиденды по годам'!K424&lt;&gt;"",'Дивиденды по годам'!M424&lt;&gt;"",'Дивиденды по годам'!I424&lt;&gt;0),('Дивиденды по годам'!J424+'Дивиденды по годам'!K424)/'Дивиденды по годам'!I424,""),"")</f>
        <v>0.7702316287731823</v>
      </c>
      <c r="W424">
        <f>IFERROR('Дивиденды по годам'!I424,"")</f>
        <v>515480000000</v>
      </c>
      <c r="X424" cm="1">
        <f t="array" ref="X424">IFERROR(AVERAGE(_xlfn._xlws.FILTER(P$2:P$1073,($C$2:$C$1073=$C424)*($E$2:$E$1073=$E424)*(ROW(P$2:P$1073)&lt;&gt;ROW(P424))*(P$2:P$1073&lt;&gt;""))),"")</f>
        <v>26.688792670720012</v>
      </c>
      <c r="Y424" cm="1">
        <f t="array" ref="Y424">IFERROR(AVERAGE(_xlfn._xlws.FILTER(Q$2:Q$1073,($C$2:$C$1073=$C424)*($E$2:$E$1073=$E424)*(ROW(Q$2:Q$1073)&lt;&gt;ROW(Q424))*(Q$2:Q$1073&lt;&gt;""))),"")</f>
        <v>0.49458540475080159</v>
      </c>
      <c r="Z424" cm="1">
        <f t="array" ref="Z424">IFERROR(AVERAGE(_xlfn._xlws.FILTER(R$2:R$1073,($C$2:$C$1073=$C424)*($E$2:$E$1073=$E424)*(ROW(R$2:R$1073)&lt;&gt;ROW(R424))*(R$2:R$1073&lt;&gt;""))),"")</f>
        <v>3.1964825310993985E-3</v>
      </c>
      <c r="AA424" cm="1">
        <f t="array" ref="AA424">IFERROR(AVERAGE(_xlfn._xlws.FILTER(S$2:S$1073,($C$2:$C$1073=$C424)*($E$2:$E$1073=$E424)*(ROW(S$2:S$1073)&lt;&gt;ROW(S424))*(S$2:S$1073&lt;&gt;""))),"")</f>
        <v>0.96206481838792968</v>
      </c>
      <c r="AB424" cm="1">
        <f t="array" ref="AB424">IFERROR(AVERAGE(_xlfn._xlws.FILTER(T$2:T$1073,($C$2:$C$1073=$C424)*($E$2:$E$1073=$E424)*(ROW(T$2:T$1073)&lt;&gt;ROW(T424))*(T$2:T$1073&lt;&gt;""))),"")</f>
        <v>0.12503483236194149</v>
      </c>
      <c r="AC424" cm="1">
        <f t="array" ref="AC424">IFERROR(AVERAGE(_xlfn._xlws.FILTER(U$2:U$1073,($C$2:$C$1073=$C424)*($E$2:$E$1073=$E424)*(ROW(U$2:U$1073)&lt;&gt;ROW(U424))*(U$2:U$1073&lt;&gt;""))),"")</f>
        <v>1.3796844213338875</v>
      </c>
      <c r="AD424" cm="1">
        <f t="array" ref="AD424">IFERROR(AVERAGE(_xlfn._xlws.FILTER(V$2:V$1073,($C$2:$C$1073=$C424)*($E$2:$E$1073=$E424)*(ROW(V$2:V$1073)&lt;&gt;ROW(V424))*(V$2:V$1073&lt;&gt;""))),"")</f>
        <v>0.66386378952536307</v>
      </c>
      <c r="AE424">
        <f>IF('Дивиденды по годам'!M424&lt;0,1,0)</f>
        <v>0</v>
      </c>
    </row>
    <row r="425" spans="1:31" x14ac:dyDescent="0.2">
      <c r="A425" s="7" t="s">
        <v>2231</v>
      </c>
      <c r="B425" t="str">
        <f t="shared" si="66"/>
        <v>PLZL IV кв. 2018</v>
      </c>
      <c r="C425">
        <v>2018</v>
      </c>
      <c r="D425">
        <f>SUMIFS(Дивиденды!$C:$C,Дивиденды!$A:$A,A425,Дивиденды!$I:$I,C425)</f>
        <v>27.47</v>
      </c>
      <c r="E425">
        <v>3</v>
      </c>
      <c r="F425">
        <f t="shared" si="67"/>
        <v>27.47</v>
      </c>
      <c r="G425">
        <f t="shared" si="68"/>
        <v>19.947999999999997</v>
      </c>
      <c r="H425">
        <f t="shared" si="69"/>
        <v>1</v>
      </c>
      <c r="I425">
        <f t="shared" si="70"/>
        <v>0.4</v>
      </c>
      <c r="J425">
        <f t="shared" si="71"/>
        <v>9.2680986475735805E-2</v>
      </c>
      <c r="K425">
        <f t="shared" si="76"/>
        <v>0.11158876958848171</v>
      </c>
      <c r="L425">
        <f t="shared" si="72"/>
        <v>1</v>
      </c>
      <c r="M425">
        <f t="shared" si="73"/>
        <v>0.4</v>
      </c>
      <c r="N425">
        <f t="shared" si="74"/>
        <v>0</v>
      </c>
      <c r="O425">
        <f t="shared" si="75"/>
        <v>0.2</v>
      </c>
      <c r="P425">
        <f>IFERROR(LN('Дивиденды по годам'!I425),"")</f>
        <v>26.759412120179281</v>
      </c>
      <c r="Q425">
        <f>IFERROR('Дивиденды по годам'!G425/'Дивиденды по годам'!I425, "")</f>
        <v>0.61790483840890509</v>
      </c>
      <c r="R425">
        <f>IFERROR(IF(AND('Дивиденды по годам'!N425&lt;&gt;"",'Дивиденды по годам'!U425&lt;&gt;"",'Дивиденды по годам'!U425&lt;&gt;0),'Дивиденды по годам'!N425/'Дивиденды по годам'!U425-1,""),"")</f>
        <v>0.16400614606710828</v>
      </c>
      <c r="S425">
        <f>IFERROR(IF(AND('Дивиденды по годам'!L425&lt;&gt;"",'Дивиденды по годам'!I425&lt;&gt;"",'Дивиденды по годам'!J425&lt;&gt;"",'Дивиденды по годам'!K425&lt;&gt;"",('Дивиденды по годам'!I425-'Дивиденды по годам'!J425-'Дивиденды по годам'!K425)&lt;&gt;0),'Дивиденды по годам'!L425/('Дивиденды по годам'!I425-'Дивиденды по годам'!J425-'Дивиденды по годам'!K425),""),"")</f>
        <v>-1.2428048310420146</v>
      </c>
      <c r="T425">
        <f>IFERROR(IF(AND('Дивиденды по годам'!Q425&lt;&gt;"",'Дивиденды по годам'!I425&lt;&gt;"",'Дивиденды по годам'!V425&lt;&gt;"",('Дивиденды по годам'!I425+'Дивиденды по годам'!V425)&lt;&gt;0),'Дивиденды по годам'!Q425/(('Дивиденды по годам'!I425+'Дивиденды по годам'!V425)/2),""),"")</f>
        <v>7.3697376488828889E-2</v>
      </c>
      <c r="U425">
        <f>IFERROR(IF(AND('Дивиденды по годам'!J425&lt;&gt;"",'Дивиденды по годам'!K425&lt;&gt;"",'Дивиденды по годам'!M425&lt;&gt;"",'Дивиденды по годам'!M425&lt;&gt;0),('Дивиденды по годам'!J425+'Дивиденды по годам'!K425)/'Дивиденды по годам'!M425,""),"")</f>
        <v>12.435628934858023</v>
      </c>
      <c r="V425">
        <f>IFERROR(IF(AND('Дивиденды по годам'!J425&lt;&gt;"",'Дивиденды по годам'!K425&lt;&gt;"",'Дивиденды по годам'!M425&lt;&gt;"",'Дивиденды по годам'!I425&lt;&gt;0),('Дивиденды по годам'!J425+'Дивиденды по годам'!K425)/'Дивиденды по годам'!I425,""),"")</f>
        <v>0.92557103170618582</v>
      </c>
      <c r="W425">
        <f>IFERROR('Дивиденды по годам'!I425,"")</f>
        <v>418278000000</v>
      </c>
      <c r="X425" cm="1">
        <f t="array" ref="X425">IFERROR(AVERAGE(_xlfn._xlws.FILTER(P$2:P$1073,($C$2:$C$1073=$C425)*($E$2:$E$1073=$E425)*(ROW(P$2:P$1073)&lt;&gt;ROW(P425))*(P$2:P$1073&lt;&gt;""))),"")</f>
        <v>26.551657841559482</v>
      </c>
      <c r="Y425" cm="1">
        <f t="array" ref="Y425">IFERROR(AVERAGE(_xlfn._xlws.FILTER(Q$2:Q$1073,($C$2:$C$1073=$C425)*($E$2:$E$1073=$E425)*(ROW(Q$2:Q$1073)&lt;&gt;ROW(Q425))*(Q$2:Q$1073&lt;&gt;""))),"")</f>
        <v>0.50818084484556691</v>
      </c>
      <c r="Z425" cm="1">
        <f t="array" ref="Z425">IFERROR(AVERAGE(_xlfn._xlws.FILTER(R$2:R$1073,($C$2:$C$1073=$C425)*($E$2:$E$1073=$E425)*(ROW(R$2:R$1073)&lt;&gt;ROW(R425))*(R$2:R$1073&lt;&gt;""))),"")</f>
        <v>0.22289535272743355</v>
      </c>
      <c r="AA425" cm="1">
        <f t="array" ref="AA425">IFERROR(AVERAGE(_xlfn._xlws.FILTER(S$2:S$1073,($C$2:$C$1073=$C425)*($E$2:$E$1073=$E425)*(ROW(S$2:S$1073)&lt;&gt;ROW(S425))*(S$2:S$1073&lt;&gt;""))),"")</f>
        <v>1.1400875397384618</v>
      </c>
      <c r="AB425" cm="1">
        <f t="array" ref="AB425">IFERROR(AVERAGE(_xlfn._xlws.FILTER(T$2:T$1073,($C$2:$C$1073=$C425)*($E$2:$E$1073=$E425)*(ROW(T$2:T$1073)&lt;&gt;ROW(T425))*(T$2:T$1073&lt;&gt;""))),"")</f>
        <v>0.16339310204693139</v>
      </c>
      <c r="AC425" cm="1">
        <f t="array" ref="AC425">IFERROR(AVERAGE(_xlfn._xlws.FILTER(U$2:U$1073,($C$2:$C$1073=$C425)*($E$2:$E$1073=$E425)*(ROW(U$2:U$1073)&lt;&gt;ROW(U425))*(U$2:U$1073&lt;&gt;""))),"")</f>
        <v>1.3285126168460555</v>
      </c>
      <c r="AD425" cm="1">
        <f t="array" ref="AD425">IFERROR(AVERAGE(_xlfn._xlws.FILTER(V$2:V$1073,($C$2:$C$1073=$C425)*($E$2:$E$1073=$E425)*(ROW(V$2:V$1073)&lt;&gt;ROW(V425))*(V$2:V$1073&lt;&gt;""))),"")</f>
        <v>0.66476084431041027</v>
      </c>
      <c r="AE425">
        <f>IF('Дивиденды по годам'!M425&lt;0,1,0)</f>
        <v>0</v>
      </c>
    </row>
    <row r="426" spans="1:31" x14ac:dyDescent="0.2">
      <c r="A426" s="7" t="s">
        <v>2231</v>
      </c>
      <c r="B426" t="str">
        <f t="shared" si="66"/>
        <v>PLZL IV кв. 2017</v>
      </c>
      <c r="C426">
        <v>2017</v>
      </c>
      <c r="D426">
        <f>SUMIFS(Дивиденды!$C:$C,Дивиденды!$A:$A,A426,Дивиденды!$I:$I,C426)</f>
        <v>25.14</v>
      </c>
      <c r="E426">
        <v>3</v>
      </c>
      <c r="F426">
        <f t="shared" si="67"/>
        <v>25.14</v>
      </c>
      <c r="G426">
        <f t="shared" si="68"/>
        <v>13.554876314825083</v>
      </c>
      <c r="H426">
        <f t="shared" si="69"/>
        <v>1</v>
      </c>
      <c r="I426">
        <f t="shared" si="70"/>
        <v>0.6</v>
      </c>
      <c r="J426">
        <f t="shared" si="71"/>
        <v>0.64960629921259849</v>
      </c>
      <c r="K426">
        <f t="shared" si="76"/>
        <v>5.2132395121345397E-2</v>
      </c>
      <c r="L426">
        <f t="shared" si="72"/>
        <v>1</v>
      </c>
      <c r="M426">
        <f t="shared" si="73"/>
        <v>0.4</v>
      </c>
      <c r="N426">
        <f t="shared" si="74"/>
        <v>0</v>
      </c>
      <c r="O426">
        <f t="shared" si="75"/>
        <v>0.2</v>
      </c>
      <c r="P426">
        <f>IFERROR(LN('Дивиденды по годам'!I426),"")</f>
        <v>26.652703226837914</v>
      </c>
      <c r="Q426">
        <f>IFERROR('Дивиденды по годам'!G426/'Дивиденды по годам'!I426, "")</f>
        <v>0.62121917170777108</v>
      </c>
      <c r="R426">
        <f>IFERROR(IF(AND('Дивиденды по годам'!N426&lt;&gt;"",'Дивиденды по годам'!U426&lt;&gt;"",'Дивиденды по годам'!U426&lt;&gt;0),'Дивиденды по годам'!N426/'Дивиденды по годам'!U426-1,""),"")</f>
        <v>-2.8196546281321289E-2</v>
      </c>
      <c r="S426">
        <f>IFERROR(IF(AND('Дивиденды по годам'!L426&lt;&gt;"",'Дивиденды по годам'!I426&lt;&gt;"",'Дивиденды по годам'!J426&lt;&gt;"",'Дивиденды по годам'!K426&lt;&gt;"",('Дивиденды по годам'!I426-'Дивиденды по годам'!J426-'Дивиденды по годам'!K426)&lt;&gt;0),'Дивиденды по годам'!L426/('Дивиденды по годам'!I426-'Дивиденды по годам'!J426-'Дивиденды по годам'!K426),""),"")</f>
        <v>2.1722560975609766</v>
      </c>
      <c r="T426">
        <f>IFERROR(IF(AND('Дивиденды по годам'!Q426&lt;&gt;"",'Дивиденды по годам'!I426&lt;&gt;"",'Дивиденды по годам'!V426&lt;&gt;"",('Дивиденды по годам'!I426+'Дивиденды по годам'!V426)&lt;&gt;0),'Дивиденды по годам'!Q426/(('Дивиденды по годам'!I426+'Дивиденды по годам'!V426)/2),""),"")</f>
        <v>0.20111820672348849</v>
      </c>
      <c r="U426">
        <f>IFERROR(IF(AND('Дивиденды по годам'!J426&lt;&gt;"",'Дивиденды по годам'!K426&lt;&gt;"",'Дивиденды по годам'!M426&lt;&gt;"",'Дивиденды по годам'!M426&lt;&gt;0),('Дивиденды по годам'!J426+'Дивиденды по годам'!K426)/'Дивиденды по годам'!M426,""),"")</f>
        <v>8.8277439024390247</v>
      </c>
      <c r="V426">
        <f>IFERROR(IF(AND('Дивиденды по годам'!J426&lt;&gt;"",'Дивиденды по годам'!K426&lt;&gt;"",'Дивиденды по годам'!M426&lt;&gt;"",'Дивиденды по годам'!I426&lt;&gt;0),('Дивиденды по годам'!J426+'Дивиденды по годам'!K426)/'Дивиденды по годам'!I426,""),"")</f>
        <v>0.89824724678144874</v>
      </c>
      <c r="W426">
        <f>IFERROR('Дивиденды по годам'!I426,"")</f>
        <v>375942945013.86121</v>
      </c>
      <c r="X426" cm="1">
        <f t="array" ref="X426">IFERROR(AVERAGE(_xlfn._xlws.FILTER(P$2:P$1073,($C$2:$C$1073=$C426)*($E$2:$E$1073=$E426)*(ROW(P$2:P$1073)&lt;&gt;ROW(P426))*(P$2:P$1073&lt;&gt;""))),"")</f>
        <v>26.53307403007609</v>
      </c>
      <c r="Y426" cm="1">
        <f t="array" ref="Y426">IFERROR(AVERAGE(_xlfn._xlws.FILTER(Q$2:Q$1073,($C$2:$C$1073=$C426)*($E$2:$E$1073=$E426)*(ROW(Q$2:Q$1073)&lt;&gt;ROW(Q426))*(Q$2:Q$1073&lt;&gt;""))),"")</f>
        <v>0.52735507662367664</v>
      </c>
      <c r="Z426" cm="1">
        <f t="array" ref="Z426">IFERROR(AVERAGE(_xlfn._xlws.FILTER(R$2:R$1073,($C$2:$C$1073=$C426)*($E$2:$E$1073=$E426)*(ROW(R$2:R$1073)&lt;&gt;ROW(R426))*(R$2:R$1073&lt;&gt;""))),"")</f>
        <v>0.1130903370254189</v>
      </c>
      <c r="AA426" cm="1">
        <f t="array" ref="AA426">IFERROR(AVERAGE(_xlfn._xlws.FILTER(S$2:S$1073,($C$2:$C$1073=$C426)*($E$2:$E$1073=$E426)*(ROW(S$2:S$1073)&lt;&gt;ROW(S426))*(S$2:S$1073&lt;&gt;""))),"")</f>
        <v>0.94639899891877732</v>
      </c>
      <c r="AB426" cm="1">
        <f t="array" ref="AB426">IFERROR(AVERAGE(_xlfn._xlws.FILTER(T$2:T$1073,($C$2:$C$1073=$C426)*($E$2:$E$1073=$E426)*(ROW(T$2:T$1073)&lt;&gt;ROW(T426))*(T$2:T$1073&lt;&gt;""))),"")</f>
        <v>0.11361086254277245</v>
      </c>
      <c r="AC426" cm="1">
        <f t="array" ref="AC426">IFERROR(AVERAGE(_xlfn._xlws.FILTER(U$2:U$1073,($C$2:$C$1073=$C426)*($E$2:$E$1073=$E426)*(ROW(U$2:U$1073)&lt;&gt;ROW(U426))*(U$2:U$1073&lt;&gt;""))),"")</f>
        <v>1.2932856929613004</v>
      </c>
      <c r="AD426" cm="1">
        <f t="array" ref="AD426">IFERROR(AVERAGE(_xlfn._xlws.FILTER(V$2:V$1073,($C$2:$C$1073=$C426)*($E$2:$E$1073=$E426)*(ROW(V$2:V$1073)&lt;&gt;ROW(V426))*(V$2:V$1073&lt;&gt;""))),"")</f>
        <v>0.67209765950197942</v>
      </c>
      <c r="AE426">
        <f>IF('Дивиденды по годам'!M426&lt;0,1,0)</f>
        <v>0</v>
      </c>
    </row>
    <row r="427" spans="1:31" x14ac:dyDescent="0.2">
      <c r="A427" s="7" t="s">
        <v>2231</v>
      </c>
      <c r="B427" t="str">
        <f t="shared" si="66"/>
        <v>PLZL IV кв. 2016</v>
      </c>
      <c r="C427">
        <v>2016</v>
      </c>
      <c r="D427">
        <f>SUMIFS(Дивиденды!$C:$C,Дивиденды!$A:$A,A427,Дивиденды!$I:$I,C427)</f>
        <v>15.24</v>
      </c>
      <c r="E427">
        <v>3</v>
      </c>
      <c r="F427">
        <f t="shared" si="67"/>
        <v>15.24</v>
      </c>
      <c r="G427">
        <f t="shared" si="68"/>
        <v>10.571639712606382</v>
      </c>
      <c r="H427">
        <f t="shared" si="69"/>
        <v>1</v>
      </c>
      <c r="I427">
        <f t="shared" si="70"/>
        <v>0.6</v>
      </c>
      <c r="J427">
        <f t="shared" si="71"/>
        <v>1</v>
      </c>
      <c r="K427">
        <f t="shared" si="76"/>
        <v>0.58768115603983129</v>
      </c>
      <c r="L427">
        <f t="shared" si="72"/>
        <v>1</v>
      </c>
      <c r="M427">
        <f t="shared" si="73"/>
        <v>0.6</v>
      </c>
      <c r="N427">
        <f t="shared" si="74"/>
        <v>0</v>
      </c>
      <c r="O427">
        <f t="shared" si="75"/>
        <v>0</v>
      </c>
      <c r="P427">
        <f>IFERROR(LN('Дивиденды по годам'!I427),"")</f>
        <v>26.563023382678033</v>
      </c>
      <c r="Q427">
        <f>IFERROR('Дивиденды по годам'!G427/'Дивиденды по годам'!I427, "")</f>
        <v>0.51847562962618132</v>
      </c>
      <c r="R427">
        <f>IFERROR(IF(AND('Дивиденды по годам'!N427&lt;&gt;"",'Дивиденды по годам'!U427&lt;&gt;"",'Дивиденды по годам'!U427&lt;&gt;0),'Дивиденды по годам'!N427/'Дивиденды по годам'!U427-1,""),"")</f>
        <v>0.21775897576867842</v>
      </c>
      <c r="S427">
        <f>IFERROR(IF(AND('Дивиденды по годам'!L427&lt;&gt;"",'Дивиденды по годам'!I427&lt;&gt;"",'Дивиденды по годам'!J427&lt;&gt;"",'Дивиденды по годам'!K427&lt;&gt;"",('Дивиденды по годам'!I427-'Дивиденды по годам'!J427-'Дивиденды по годам'!K427)&lt;&gt;0),'Дивиденды по годам'!L427/('Дивиденды по годам'!I427-'Дивиденды по годам'!J427-'Дивиденды по годам'!K427),""),"")</f>
        <v>-6.5798877790600505</v>
      </c>
      <c r="T427">
        <f>IFERROR(IF(AND('Дивиденды по годам'!Q427&lt;&gt;"",'Дивиденды по годам'!I427&lt;&gt;"",'Дивиденды по годам'!V427&lt;&gt;"",('Дивиденды по годам'!I427+'Дивиденды по годам'!V427)&lt;&gt;0),'Дивиденды по годам'!Q427/(('Дивиденды по годам'!I427+'Дивиденды по годам'!V427)/2),""),"")</f>
        <v>0.29491964411590665</v>
      </c>
      <c r="U427">
        <f>IFERROR(IF(AND('Дивиденды по годам'!J427&lt;&gt;"",'Дивиденды по годам'!K427&lt;&gt;"",'Дивиденды по годам'!M427&lt;&gt;"",'Дивиденды по годам'!M427&lt;&gt;0),('Дивиденды по годам'!J427+'Дивиденды по годам'!K427)/'Дивиденды по годам'!M427,""),"")</f>
        <v>-14.677265310995264</v>
      </c>
      <c r="V427">
        <f>IFERROR(IF(AND('Дивиденды по годам'!J427&lt;&gt;"",'Дивиденды по годам'!K427&lt;&gt;"",'Дивиденды по годам'!M427&lt;&gt;"",'Дивиденды по годам'!I427&lt;&gt;0),('Дивиденды по годам'!J427+'Дивиденды по годам'!K427)/'Дивиденды по годам'!I427,""),"")</f>
        <v>1.0731140310041432</v>
      </c>
      <c r="W427">
        <f>IFERROR('Дивиденды по годам'!I427,"")</f>
        <v>343696000000</v>
      </c>
      <c r="X427" cm="1">
        <f t="array" ref="X427">IFERROR(AVERAGE(_xlfn._xlws.FILTER(P$2:P$1073,($C$2:$C$1073=$C427)*($E$2:$E$1073=$E427)*(ROW(P$2:P$1073)&lt;&gt;ROW(P427))*(P$2:P$1073&lt;&gt;""))),"")</f>
        <v>26.542736515363099</v>
      </c>
      <c r="Y427" cm="1">
        <f t="array" ref="Y427">IFERROR(AVERAGE(_xlfn._xlws.FILTER(Q$2:Q$1073,($C$2:$C$1073=$C427)*($E$2:$E$1073=$E427)*(ROW(Q$2:Q$1073)&lt;&gt;ROW(Q427))*(Q$2:Q$1073&lt;&gt;""))),"")</f>
        <v>0.50874654089017135</v>
      </c>
      <c r="Z427" cm="1">
        <f t="array" ref="Z427">IFERROR(AVERAGE(_xlfn._xlws.FILTER(R$2:R$1073,($C$2:$C$1073=$C427)*($E$2:$E$1073=$E427)*(ROW(R$2:R$1073)&lt;&gt;ROW(R427))*(R$2:R$1073&lt;&gt;""))),"")</f>
        <v>0.12639389941621879</v>
      </c>
      <c r="AA427" cm="1">
        <f t="array" ref="AA427">IFERROR(AVERAGE(_xlfn._xlws.FILTER(S$2:S$1073,($C$2:$C$1073=$C427)*($E$2:$E$1073=$E427)*(ROW(S$2:S$1073)&lt;&gt;ROW(S427))*(S$2:S$1073&lt;&gt;""))),"")</f>
        <v>0.9845612367969947</v>
      </c>
      <c r="AB427" cm="1">
        <f t="array" ref="AB427">IFERROR(AVERAGE(_xlfn._xlws.FILTER(T$2:T$1073,($C$2:$C$1073=$C427)*($E$2:$E$1073=$E427)*(ROW(T$2:T$1073)&lt;&gt;ROW(T427))*(T$2:T$1073&lt;&gt;""))),"")</f>
        <v>0.14856735325807288</v>
      </c>
      <c r="AC427" cm="1">
        <f t="array" ref="AC427">IFERROR(AVERAGE(_xlfn._xlws.FILTER(U$2:U$1073,($C$2:$C$1073=$C427)*($E$2:$E$1073=$E427)*(ROW(U$2:U$1073)&lt;&gt;ROW(U427))*(U$2:U$1073&lt;&gt;""))),"")</f>
        <v>1.6400235687752638</v>
      </c>
      <c r="AD427" cm="1">
        <f t="array" ref="AD427">IFERROR(AVERAGE(_xlfn._xlws.FILTER(V$2:V$1073,($C$2:$C$1073=$C427)*($E$2:$E$1073=$E427)*(ROW(V$2:V$1073)&lt;&gt;ROW(V427))*(V$2:V$1073&lt;&gt;""))),"")</f>
        <v>0.71438765963858186</v>
      </c>
      <c r="AE427">
        <f>IF('Дивиденды по годам'!M427&lt;0,1,0)</f>
        <v>1</v>
      </c>
    </row>
    <row r="428" spans="1:31" x14ac:dyDescent="0.2">
      <c r="A428" s="7" t="s">
        <v>2231</v>
      </c>
      <c r="B428" t="str">
        <f t="shared" si="66"/>
        <v>PLZL IV кв. 2015</v>
      </c>
      <c r="C428">
        <v>2015</v>
      </c>
      <c r="D428">
        <f>SUMIFS(Дивиденды!$C:$C,Дивиденды!$A:$A,A428,Дивиденды!$I:$I,C428)</f>
        <v>0</v>
      </c>
      <c r="E428">
        <v>3</v>
      </c>
      <c r="F428">
        <f t="shared" si="67"/>
        <v>0</v>
      </c>
      <c r="G428">
        <f t="shared" si="68"/>
        <v>7.2240627742857146</v>
      </c>
      <c r="H428">
        <f t="shared" si="69"/>
        <v>0</v>
      </c>
      <c r="I428">
        <f t="shared" si="70"/>
        <v>0.6</v>
      </c>
      <c r="J428">
        <f t="shared" si="71"/>
        <v>0</v>
      </c>
      <c r="K428">
        <f t="shared" si="76"/>
        <v>0.8808871705905531</v>
      </c>
      <c r="L428">
        <f t="shared" si="72"/>
        <v>0</v>
      </c>
      <c r="M428">
        <f t="shared" si="73"/>
        <v>0.5</v>
      </c>
      <c r="N428">
        <f t="shared" si="74"/>
        <v>0</v>
      </c>
      <c r="O428">
        <f t="shared" si="75"/>
        <v>0.1</v>
      </c>
      <c r="P428">
        <f>IFERROR(LN('Дивиденды по годам'!I428),"")</f>
        <v>26.434787686991324</v>
      </c>
      <c r="Q428">
        <f>IFERROR('Дивиденды по годам'!G428/'Дивиденды по годам'!I428, "")</f>
        <v>0.40984602917341983</v>
      </c>
      <c r="R428">
        <f>IFERROR(IF(AND('Дивиденды по годам'!N428&lt;&gt;"",'Дивиденды по годам'!U428&lt;&gt;"",'Дивиденды по годам'!U428&lt;&gt;0),'Дивиденды по годам'!N428/'Дивиденды по годам'!U428-1,""),"")</f>
        <v>0.54489233970251583</v>
      </c>
      <c r="S428">
        <f>IFERROR(IF(AND('Дивиденды по годам'!L428&lt;&gt;"",'Дивиденды по годам'!I428&lt;&gt;"",'Дивиденды по годам'!J428&lt;&gt;"",'Дивиденды по годам'!K428&lt;&gt;"",('Дивиденды по годам'!I428-'Дивиденды по годам'!J428-'Дивиденды по годам'!K428)&lt;&gt;0),'Дивиденды по годам'!L428/('Дивиденды по годам'!I428-'Дивиденды по годам'!J428-'Дивиденды по годам'!K428),""),"")</f>
        <v>1.1225359616409167</v>
      </c>
      <c r="T428">
        <f>IFERROR(IF(AND('Дивиденды по годам'!Q428&lt;&gt;"",'Дивиденды по годам'!I428&lt;&gt;"",'Дивиденды по годам'!V428&lt;&gt;"",('Дивиденды по годам'!I428+'Дивиденды по годам'!V428)&lt;&gt;0),'Дивиденды по годам'!Q428/(('Дивиденды по годам'!I428+'Дивиденды по годам'!V428)/2),""),"")</f>
        <v>0.28036370080403633</v>
      </c>
      <c r="U428">
        <f>IFERROR(IF(AND('Дивиденды по годам'!J428&lt;&gt;"",'Дивиденды по годам'!K428&lt;&gt;"",'Дивиденды по годам'!M428&lt;&gt;"",'Дивиденды по годам'!M428&lt;&gt;0),('Дивиденды по годам'!J428+'Дивиденды по годам'!K428)/'Дивиденды по годам'!M428,""),"")</f>
        <v>1.6297282898241876</v>
      </c>
      <c r="V428">
        <f>IFERROR(IF(AND('Дивиденды по годам'!J428&lt;&gt;"",'Дивиденды по годам'!K428&lt;&gt;"",'Дивиденды по годам'!M428&lt;&gt;"",'Дивиденды по годам'!I428&lt;&gt;0),('Дивиденды по годам'!J428+'Дивиденды по годам'!K428)/'Дивиденды по годам'!I428,""),"")</f>
        <v>0.61973257698541329</v>
      </c>
      <c r="W428">
        <f>IFERROR('Дивиденды по годам'!I428,"")</f>
        <v>302330820529.87012</v>
      </c>
      <c r="X428" cm="1">
        <f t="array" ref="X428">IFERROR(AVERAGE(_xlfn._xlws.FILTER(P$2:P$1073,($C$2:$C$1073=$C428)*($E$2:$E$1073=$E428)*(ROW(P$2:P$1073)&lt;&gt;ROW(P428))*(P$2:P$1073&lt;&gt;""))),"")</f>
        <v>26.350283740928528</v>
      </c>
      <c r="Y428" cm="1">
        <f t="array" ref="Y428">IFERROR(AVERAGE(_xlfn._xlws.FILTER(Q$2:Q$1073,($C$2:$C$1073=$C428)*($E$2:$E$1073=$E428)*(ROW(Q$2:Q$1073)&lt;&gt;ROW(Q428))*(Q$2:Q$1073&lt;&gt;""))),"")</f>
        <v>0.5074832416939079</v>
      </c>
      <c r="Z428" cm="1">
        <f t="array" ref="Z428">IFERROR(AVERAGE(_xlfn._xlws.FILTER(R$2:R$1073,($C$2:$C$1073=$C428)*($E$2:$E$1073=$E428)*(ROW(R$2:R$1073)&lt;&gt;ROW(R428))*(R$2:R$1073&lt;&gt;""))),"")</f>
        <v>0.22069284979897213</v>
      </c>
      <c r="AA428" cm="1">
        <f t="array" ref="AA428">IFERROR(AVERAGE(_xlfn._xlws.FILTER(S$2:S$1073,($C$2:$C$1073=$C428)*($E$2:$E$1073=$E428)*(ROW(S$2:S$1073)&lt;&gt;ROW(S428))*(S$2:S$1073&lt;&gt;""))),"")</f>
        <v>0.94997838126214029</v>
      </c>
      <c r="AB428" cm="1">
        <f t="array" ref="AB428">IFERROR(AVERAGE(_xlfn._xlws.FILTER(T$2:T$1073,($C$2:$C$1073=$C428)*($E$2:$E$1073=$E428)*(ROW(T$2:T$1073)&lt;&gt;ROW(T428))*(T$2:T$1073&lt;&gt;""))),"")</f>
        <v>-5.2966249697537987E-3</v>
      </c>
      <c r="AC428" cm="1">
        <f t="array" ref="AC428">IFERROR(AVERAGE(_xlfn._xlws.FILTER(U$2:U$1073,($C$2:$C$1073=$C428)*($E$2:$E$1073=$E428)*(ROW(U$2:U$1073)&lt;&gt;ROW(U428))*(U$2:U$1073&lt;&gt;""))),"")</f>
        <v>3.1330860258309929</v>
      </c>
      <c r="AD428" cm="1">
        <f t="array" ref="AD428">IFERROR(AVERAGE(_xlfn._xlws.FILTER(V$2:V$1073,($C$2:$C$1073=$C428)*($E$2:$E$1073=$E428)*(ROW(V$2:V$1073)&lt;&gt;ROW(V428))*(V$2:V$1073&lt;&gt;""))),"")</f>
        <v>0.80821324845707276</v>
      </c>
      <c r="AE428">
        <f>IF('Дивиденды по годам'!M428&lt;0,1,0)</f>
        <v>0</v>
      </c>
    </row>
    <row r="429" spans="1:31" x14ac:dyDescent="0.2">
      <c r="A429" s="7" t="s">
        <v>2231</v>
      </c>
      <c r="B429" t="str">
        <f t="shared" si="66"/>
        <v>PLZL IV кв. 2014</v>
      </c>
      <c r="C429">
        <v>2014</v>
      </c>
      <c r="D429">
        <f>SUMIFS(Дивиденды!$C:$C,Дивиденды!$A:$A,A429,Дивиденды!$I:$I,C429)</f>
        <v>0</v>
      </c>
      <c r="E429">
        <v>3</v>
      </c>
      <c r="F429">
        <f t="shared" si="67"/>
        <v>0</v>
      </c>
      <c r="G429">
        <f t="shared" si="68"/>
        <v>7.8559999999999999</v>
      </c>
      <c r="H429">
        <f t="shared" si="69"/>
        <v>0</v>
      </c>
      <c r="I429">
        <f t="shared" si="70"/>
        <v>0.5</v>
      </c>
      <c r="J429">
        <f t="shared" si="71"/>
        <v>0</v>
      </c>
      <c r="K429">
        <f t="shared" si="76"/>
        <v>1.0733185192796773</v>
      </c>
      <c r="L429">
        <f t="shared" si="72"/>
        <v>0</v>
      </c>
      <c r="M429">
        <f t="shared" si="73"/>
        <v>0.3</v>
      </c>
      <c r="N429">
        <f t="shared" si="74"/>
        <v>0</v>
      </c>
      <c r="O429">
        <f t="shared" si="75"/>
        <v>0.1</v>
      </c>
      <c r="P429">
        <f>IFERROR(LN('Дивиденды по годам'!I429),"")</f>
        <v>25.952221995791938</v>
      </c>
      <c r="Q429">
        <f>IFERROR('Дивиденды по годам'!G429/'Дивиденды по годам'!I429, "")</f>
        <v>0.19734108849189863</v>
      </c>
      <c r="R429">
        <f>IFERROR(IF(AND('Дивиденды по годам'!N429&lt;&gt;"",'Дивиденды по годам'!U429&lt;&gt;"",'Дивиденды по годам'!U429&lt;&gt;0),'Дивиденды по годам'!N429/'Дивиденды по годам'!U429-1,""),"")</f>
        <v>0.17080413681093187</v>
      </c>
      <c r="S429">
        <f>IFERROR(IF(AND('Дивиденды по годам'!L429&lt;&gt;"",'Дивиденды по годам'!I429&lt;&gt;"",'Дивиденды по годам'!J429&lt;&gt;"",'Дивиденды по годам'!K429&lt;&gt;"",('Дивиденды по годам'!I429-'Дивиденды по годам'!J429-'Дивиденды по годам'!K429)&lt;&gt;0),'Дивиденды по годам'!L429/('Дивиденды по годам'!I429-'Дивиденды по годам'!J429-'Дивиденды по годам'!K429),""),"")</f>
        <v>0.77654320987654357</v>
      </c>
      <c r="T429">
        <f>IFERROR(IF(AND('Дивиденды по годам'!Q429&lt;&gt;"",'Дивиденды по годам'!I429&lt;&gt;"",'Дивиденды по годам'!V429&lt;&gt;"",('Дивиденды по годам'!I429+'Дивиденды по годам'!V429)&lt;&gt;0),'Дивиденды по годам'!Q429/(('Дивиденды по годам'!I429+'Дивиденды по годам'!V429)/2),""),"")</f>
        <v>-3.7425611559656721E-2</v>
      </c>
      <c r="U429">
        <f>IFERROR(IF(AND('Дивиденды по годам'!J429&lt;&gt;"",'Дивиденды по годам'!K429&lt;&gt;"",'Дивиденды по годам'!M429&lt;&gt;"",'Дивиденды по годам'!M429&lt;&gt;0),('Дивиденды по годам'!J429+'Дивиденды по годам'!K429)/'Дивиденды по годам'!M429,""),"")</f>
        <v>1.971604938271605</v>
      </c>
      <c r="V429">
        <f>IFERROR(IF(AND('Дивиденды по годам'!J429&lt;&gt;"",'Дивиденды по годам'!K429&lt;&gt;"",'Дивиденды по годам'!M429&lt;&gt;"",'Дивиденды по годам'!I429&lt;&gt;0),('Дивиденды по годам'!J429+'Дивиденды по годам'!K429)/'Дивиденды по годам'!I429,""),"")</f>
        <v>0.66348151225592022</v>
      </c>
      <c r="W429">
        <f>IFERROR('Дивиденды по годам'!I429,"")</f>
        <v>186597923234.22049</v>
      </c>
      <c r="X429" cm="1">
        <f t="array" ref="X429">IFERROR(AVERAGE(_xlfn._xlws.FILTER(P$2:P$1073,($C$2:$C$1073=$C429)*($E$2:$E$1073=$E429)*(ROW(P$2:P$1073)&lt;&gt;ROW(P429))*(P$2:P$1073&lt;&gt;""))),"")</f>
        <v>26.336662157941319</v>
      </c>
      <c r="Y429" cm="1">
        <f t="array" ref="Y429">IFERROR(AVERAGE(_xlfn._xlws.FILTER(Q$2:Q$1073,($C$2:$C$1073=$C429)*($E$2:$E$1073=$E429)*(ROW(Q$2:Q$1073)&lt;&gt;ROW(Q429))*(Q$2:Q$1073&lt;&gt;""))),"")</f>
        <v>0.55137699328532674</v>
      </c>
      <c r="Z429" cm="1">
        <f t="array" ref="Z429">IFERROR(AVERAGE(_xlfn._xlws.FILTER(R$2:R$1073,($C$2:$C$1073=$C429)*($E$2:$E$1073=$E429)*(ROW(R$2:R$1073)&lt;&gt;ROW(R429))*(R$2:R$1073&lt;&gt;""))),"")</f>
        <v>6.5830333517694115E-2</v>
      </c>
      <c r="AA429" cm="1">
        <f t="array" ref="AA429">IFERROR(AVERAGE(_xlfn._xlws.FILTER(S$2:S$1073,($C$2:$C$1073=$C429)*($E$2:$E$1073=$E429)*(ROW(S$2:S$1073)&lt;&gt;ROW(S429))*(S$2:S$1073&lt;&gt;""))),"")</f>
        <v>0.79729948105371473</v>
      </c>
      <c r="AB429" cm="1">
        <f t="array" ref="AB429">IFERROR(AVERAGE(_xlfn._xlws.FILTER(T$2:T$1073,($C$2:$C$1073=$C429)*($E$2:$E$1073=$E429)*(ROW(T$2:T$1073)&lt;&gt;ROW(T429))*(T$2:T$1073&lt;&gt;""))),"")</f>
        <v>-8.2555906629043954E-2</v>
      </c>
      <c r="AC429" cm="1">
        <f t="array" ref="AC429">IFERROR(AVERAGE(_xlfn._xlws.FILTER(U$2:U$1073,($C$2:$C$1073=$C429)*($E$2:$E$1073=$E429)*(ROW(U$2:U$1073)&lt;&gt;ROW(U429))*(U$2:U$1073&lt;&gt;""))),"")</f>
        <v>1.5884671163184398</v>
      </c>
      <c r="AD429" cm="1">
        <f t="array" ref="AD429">IFERROR(AVERAGE(_xlfn._xlws.FILTER(V$2:V$1073,($C$2:$C$1073=$C429)*($E$2:$E$1073=$E429)*(ROW(V$2:V$1073)&lt;&gt;ROW(V429))*(V$2:V$1073&lt;&gt;""))),"")</f>
        <v>0.71710330145024637</v>
      </c>
      <c r="AE429">
        <f>IF('Дивиденды по годам'!M429&lt;0,1,0)</f>
        <v>0</v>
      </c>
    </row>
    <row r="430" spans="1:31" x14ac:dyDescent="0.2">
      <c r="A430" s="7" t="s">
        <v>2231</v>
      </c>
      <c r="B430" t="str">
        <f t="shared" si="66"/>
        <v>PLZL IV кв. 2013</v>
      </c>
      <c r="C430">
        <v>2013</v>
      </c>
      <c r="D430">
        <f>SUMIFS(Дивиденды!$C:$C,Дивиденды!$A:$A,A430,Дивиденды!$I:$I,C430)</f>
        <v>0</v>
      </c>
      <c r="E430">
        <v>3</v>
      </c>
      <c r="F430">
        <f t="shared" si="67"/>
        <v>0</v>
      </c>
      <c r="G430">
        <f t="shared" si="68"/>
        <v>1.2260000000000002</v>
      </c>
      <c r="H430">
        <f t="shared" si="69"/>
        <v>0</v>
      </c>
      <c r="I430">
        <f t="shared" si="70"/>
        <v>0.4</v>
      </c>
      <c r="J430">
        <f t="shared" si="71"/>
        <v>-1</v>
      </c>
      <c r="K430">
        <f t="shared" si="76"/>
        <v>-0.10386411043374064</v>
      </c>
      <c r="L430">
        <f t="shared" si="72"/>
        <v>0</v>
      </c>
      <c r="M430">
        <f t="shared" si="73"/>
        <v>0.2</v>
      </c>
      <c r="N430">
        <f t="shared" si="74"/>
        <v>1</v>
      </c>
      <c r="O430">
        <f t="shared" si="75"/>
        <v>0.3</v>
      </c>
      <c r="P430">
        <f>IFERROR(LN('Дивиденды по годам'!I430),"")</f>
        <v>25.97236669845466</v>
      </c>
      <c r="Q430">
        <f>IFERROR('Дивиденды по годам'!G430/'Дивиденды по годам'!I430, "")</f>
        <v>0.25881456971033906</v>
      </c>
      <c r="R430">
        <f>IFERROR(IF(AND('Дивиденды по годам'!N430&lt;&gt;"",'Дивиденды по годам'!U430&lt;&gt;"",'Дивиденды по годам'!U430&lt;&gt;0),'Дивиденды по годам'!N430/'Дивиденды по годам'!U430-1,""),"")</f>
        <v>-0.11042039194978814</v>
      </c>
      <c r="S430" t="str">
        <f>IFERROR(IF(AND('Дивиденды по годам'!L430&lt;&gt;"",'Дивиденды по годам'!I430&lt;&gt;"",'Дивиденды по годам'!J430&lt;&gt;"",'Дивиденды по годам'!K430&lt;&gt;"",('Дивиденды по годам'!I430-'Дивиденды по годам'!J430-'Дивиденды по годам'!K430)&lt;&gt;0),'Дивиденды по годам'!L430/('Дивиденды по годам'!I430-'Дивиденды по годам'!J430-'Дивиденды по годам'!K430),""),"")</f>
        <v/>
      </c>
      <c r="T430">
        <f>IFERROR(IF(AND('Дивиденды по годам'!Q430&lt;&gt;"",'Дивиденды по годам'!I430&lt;&gt;"",'Дивиденды по годам'!V430&lt;&gt;"",('Дивиденды по годам'!I430+'Дивиденды по годам'!V430)&lt;&gt;0),'Дивиденды по годам'!Q430/(('Дивиденды по годам'!I430+'Дивиденды по годам'!V430)/2),""),"")</f>
        <v>-4.4645450396249122E-3</v>
      </c>
      <c r="U430">
        <f>IFERROR(IF(AND('Дивиденды по годам'!J430&lt;&gt;"",'Дивиденды по годам'!K430&lt;&gt;"",'Дивиденды по годам'!M430&lt;&gt;"",'Дивиденды по годам'!M430&lt;&gt;0),('Дивиденды по годам'!J430+'Дивиденды по годам'!K430)/'Дивиденды по годам'!M430,""),"")</f>
        <v>0.41076178691306248</v>
      </c>
      <c r="V430">
        <f>IFERROR(IF(AND('Дивиденды по годам'!J430&lt;&gt;"",'Дивиденды по годам'!K430&lt;&gt;"",'Дивиденды по годам'!M430&lt;&gt;"",'Дивиденды по годам'!I430&lt;&gt;0),('Дивиденды по годам'!J430+'Дивиденды по годам'!K430)/'Дивиденды по годам'!I430,""),"")</f>
        <v>0.29116310827490216</v>
      </c>
      <c r="W430">
        <f>IFERROR('Дивиденды по годам'!I430,"")</f>
        <v>190395000000</v>
      </c>
      <c r="X430" cm="1">
        <f t="array" ref="X430">IFERROR(AVERAGE(_xlfn._xlws.FILTER(P$2:P$1073,($C$2:$C$1073=$C430)*($E$2:$E$1073=$E430)*(ROW(P$2:P$1073)&lt;&gt;ROW(P430))*(P$2:P$1073&lt;&gt;""))),"")</f>
        <v>26.496965418617666</v>
      </c>
      <c r="Y430" cm="1">
        <f t="array" ref="Y430">IFERROR(AVERAGE(_xlfn._xlws.FILTER(Q$2:Q$1073,($C$2:$C$1073=$C430)*($E$2:$E$1073=$E430)*(ROW(Q$2:Q$1073)&lt;&gt;ROW(Q430))*(Q$2:Q$1073&lt;&gt;""))),"")</f>
        <v>0.61704397856187876</v>
      </c>
      <c r="Z430" cm="1">
        <f t="array" ref="Z430">IFERROR(AVERAGE(_xlfn._xlws.FILTER(R$2:R$1073,($C$2:$C$1073=$C430)*($E$2:$E$1073=$E430)*(ROW(R$2:R$1073)&lt;&gt;ROW(R430))*(R$2:R$1073&lt;&gt;""))),"")</f>
        <v>-3.7489761685411613E-2</v>
      </c>
      <c r="AA430" cm="1">
        <f t="array" ref="AA430">IFERROR(AVERAGE(_xlfn._xlws.FILTER(S$2:S$1073,($C$2:$C$1073=$C430)*($E$2:$E$1073=$E430)*(ROW(S$2:S$1073)&lt;&gt;ROW(S430))*(S$2:S$1073&lt;&gt;""))),"")</f>
        <v>1.1343753445927802</v>
      </c>
      <c r="AB430" cm="1">
        <f t="array" ref="AB430">IFERROR(AVERAGE(_xlfn._xlws.FILTER(T$2:T$1073,($C$2:$C$1073=$C430)*($E$2:$E$1073=$E430)*(ROW(T$2:T$1073)&lt;&gt;ROW(T430))*(T$2:T$1073&lt;&gt;""))),"")</f>
        <v>-3.4443733009187245E-2</v>
      </c>
      <c r="AC430" cm="1">
        <f t="array" ref="AC430">IFERROR(AVERAGE(_xlfn._xlws.FILTER(U$2:U$1073,($C$2:$C$1073=$C430)*($E$2:$E$1073=$E430)*(ROW(U$2:U$1073)&lt;&gt;ROW(U430))*(U$2:U$1073&lt;&gt;""))),"")</f>
        <v>3.4507056564023442</v>
      </c>
      <c r="AD430" cm="1">
        <f t="array" ref="AD430">IFERROR(AVERAGE(_xlfn._xlws.FILTER(V$2:V$1073,($C$2:$C$1073=$C430)*($E$2:$E$1073=$E430)*(ROW(V$2:V$1073)&lt;&gt;ROW(V430))*(V$2:V$1073&lt;&gt;""))),"")</f>
        <v>0.59756166960571577</v>
      </c>
      <c r="AE430">
        <f>IF('Дивиденды по годам'!M430&lt;0,1,0)</f>
        <v>0</v>
      </c>
    </row>
    <row r="431" spans="1:31" x14ac:dyDescent="0.2">
      <c r="A431" s="7" t="s">
        <v>2231</v>
      </c>
      <c r="B431" t="str">
        <f t="shared" si="66"/>
        <v>PLZL IV кв. 2012</v>
      </c>
      <c r="C431">
        <v>2012</v>
      </c>
      <c r="D431">
        <f>SUMIFS(Дивиденды!$C:$C,Дивиденды!$A:$A,A431,Дивиденды!$I:$I,C431)</f>
        <v>6.3</v>
      </c>
      <c r="E431">
        <v>3</v>
      </c>
      <c r="F431">
        <f t="shared" si="67"/>
        <v>6.3</v>
      </c>
      <c r="G431">
        <f t="shared" si="68"/>
        <v>1.5009999999999999</v>
      </c>
      <c r="H431">
        <f t="shared" si="69"/>
        <v>1</v>
      </c>
      <c r="I431">
        <f t="shared" si="70"/>
        <v>0.5</v>
      </c>
      <c r="J431">
        <f t="shared" si="71"/>
        <v>1.4045801526717556</v>
      </c>
      <c r="K431">
        <f t="shared" si="76"/>
        <v>-0.32445845146487234</v>
      </c>
      <c r="L431">
        <f t="shared" si="72"/>
        <v>1</v>
      </c>
      <c r="M431">
        <f t="shared" si="73"/>
        <v>0.2</v>
      </c>
      <c r="N431">
        <f t="shared" si="74"/>
        <v>0</v>
      </c>
      <c r="O431">
        <f t="shared" si="75"/>
        <v>0.6</v>
      </c>
      <c r="P431">
        <f>IFERROR(LN('Дивиденды по годам'!I431),"")</f>
        <v>25.865630901720561</v>
      </c>
      <c r="Q431">
        <f>IFERROR('Дивиденды по годам'!G431/'Дивиденды по годам'!I431, "")</f>
        <v>0.34613136979897147</v>
      </c>
      <c r="R431">
        <f>IFERROR(IF(AND('Дивиденды по годам'!N431&lt;&gt;"",'Дивиденды по годам'!U431&lt;&gt;"",'Дивиденды по годам'!U431&lt;&gt;0),'Дивиденды по годам'!N431/'Дивиденды по годам'!U431-1,""),"")</f>
        <v>0.17950856141512705</v>
      </c>
      <c r="S431" t="str">
        <f>IFERROR(IF(AND('Дивиденды по годам'!L431&lt;&gt;"",'Дивиденды по годам'!I431&lt;&gt;"",'Дивиденды по годам'!J431&lt;&gt;"",'Дивиденды по годам'!K431&lt;&gt;"",('Дивиденды по годам'!I431-'Дивиденды по годам'!J431-'Дивиденды по годам'!K431)&lt;&gt;0),'Дивиденды по годам'!L431/('Дивиденды по годам'!I431-'Дивиденды по годам'!J431-'Дивиденды по годам'!K431),""),"")</f>
        <v/>
      </c>
      <c r="T431">
        <f>IFERROR(IF(AND('Дивиденды по годам'!Q431&lt;&gt;"",'Дивиденды по годам'!I431&lt;&gt;"",'Дивиденды по годам'!V431&lt;&gt;"",('Дивиденды по годам'!I431+'Дивиденды по годам'!V431)&lt;&gt;0),'Дивиденды по годам'!Q431/(('Дивиденды по годам'!I431+'Дивиденды по годам'!V431)/2),""),"")</f>
        <v>0.18791256312169502</v>
      </c>
      <c r="U431">
        <f>IFERROR(IF(AND('Дивиденды по годам'!J431&lt;&gt;"",'Дивиденды по годам'!K431&lt;&gt;"",'Дивиденды по годам'!M431&lt;&gt;"",'Дивиденды по годам'!M431&lt;&gt;0),('Дивиденды по годам'!J431+'Дивиденды по годам'!K431)/'Дивиденды по годам'!M431,""),"")</f>
        <v>0.25845737483085252</v>
      </c>
      <c r="V431">
        <f>IFERROR(IF(AND('Дивиденды по годам'!J431&lt;&gt;"",'Дивиденды по годам'!K431&lt;&gt;"",'Дивиденды по годам'!M431&lt;&gt;"",'Дивиденды по годам'!I431&lt;&gt;0),('Дивиденды по годам'!J431+'Дивиденды по годам'!K431)/'Дивиденды по годам'!I431,""),"")</f>
        <v>0.20537634408602151</v>
      </c>
      <c r="W431">
        <f>IFERROR('Дивиденды по годам'!I431,"")</f>
        <v>171120000000</v>
      </c>
      <c r="X431" cm="1">
        <f t="array" ref="X431">IFERROR(AVERAGE(_xlfn._xlws.FILTER(P$2:P$1073,($C$2:$C$1073=$C431)*($E$2:$E$1073=$E431)*(ROW(P$2:P$1073)&lt;&gt;ROW(P431))*(P$2:P$1073&lt;&gt;""))),"")</f>
        <v>26.815917062243745</v>
      </c>
      <c r="Y431" cm="1">
        <f t="array" ref="Y431">IFERROR(AVERAGE(_xlfn._xlws.FILTER(Q$2:Q$1073,($C$2:$C$1073=$C431)*($E$2:$E$1073=$E431)*(ROW(Q$2:Q$1073)&lt;&gt;ROW(Q431))*(Q$2:Q$1073&lt;&gt;""))),"")</f>
        <v>0.52183076434317477</v>
      </c>
      <c r="Z431" cm="1">
        <f t="array" ref="Z431">IFERROR(AVERAGE(_xlfn._xlws.FILTER(R$2:R$1073,($C$2:$C$1073=$C431)*($E$2:$E$1073=$E431)*(ROW(R$2:R$1073)&lt;&gt;ROW(R431))*(R$2:R$1073&lt;&gt;""))),"")</f>
        <v>-2.7599391730426883E-2</v>
      </c>
      <c r="AA431" t="str" cm="1">
        <f t="array" ref="AA431">IFERROR(AVERAGE(_xlfn._xlws.FILTER(S$2:S$1073,($C$2:$C$1073=$C431)*($E$2:$E$1073=$E431)*(ROW(S$2:S$1073)&lt;&gt;ROW(S431))*(S$2:S$1073&lt;&gt;""))),"")</f>
        <v/>
      </c>
      <c r="AB431" cm="1">
        <f t="array" ref="AB431">IFERROR(AVERAGE(_xlfn._xlws.FILTER(T$2:T$1073,($C$2:$C$1073=$C431)*($E$2:$E$1073=$E431)*(ROW(T$2:T$1073)&lt;&gt;ROW(T431))*(T$2:T$1073&lt;&gt;""))),"")</f>
        <v>3.0038619723693517E-2</v>
      </c>
      <c r="AC431" cm="1">
        <f t="array" ref="AC431">IFERROR(AVERAGE(_xlfn._xlws.FILTER(U$2:U$1073,($C$2:$C$1073=$C431)*($E$2:$E$1073=$E431)*(ROW(U$2:U$1073)&lt;&gt;ROW(U431))*(U$2:U$1073&lt;&gt;""))),"")</f>
        <v>1.5098843378510709</v>
      </c>
      <c r="AD431" cm="1">
        <f t="array" ref="AD431">IFERROR(AVERAGE(_xlfn._xlws.FILTER(V$2:V$1073,($C$2:$C$1073=$C431)*($E$2:$E$1073=$E431)*(ROW(V$2:V$1073)&lt;&gt;ROW(V431))*(V$2:V$1073&lt;&gt;""))),"")</f>
        <v>0.46759956632974697</v>
      </c>
      <c r="AE431">
        <f>IF('Дивиденды по годам'!M431&lt;0,1,0)</f>
        <v>0</v>
      </c>
    </row>
    <row r="432" spans="1:31" x14ac:dyDescent="0.2">
      <c r="A432" s="7" t="s">
        <v>2231</v>
      </c>
      <c r="B432" t="str">
        <f t="shared" si="66"/>
        <v>PLZL IV кв. 2011</v>
      </c>
      <c r="C432">
        <v>2011</v>
      </c>
      <c r="D432">
        <f>SUMIFS(Дивиденды!$C:$C,Дивиденды!$A:$A,A432,Дивиденды!$I:$I,C432)</f>
        <v>2.62</v>
      </c>
      <c r="E432">
        <v>3</v>
      </c>
      <c r="F432">
        <f t="shared" si="67"/>
        <v>2.62</v>
      </c>
      <c r="G432">
        <f t="shared" si="68"/>
        <v>3.504</v>
      </c>
      <c r="H432">
        <f t="shared" si="69"/>
        <v>1</v>
      </c>
      <c r="I432">
        <f t="shared" si="70"/>
        <v>0.7</v>
      </c>
      <c r="J432">
        <f t="shared" si="71"/>
        <v>-0.78347107438016539</v>
      </c>
      <c r="K432">
        <f t="shared" si="76"/>
        <v>0.85965278791854272</v>
      </c>
      <c r="L432">
        <f t="shared" si="72"/>
        <v>0</v>
      </c>
      <c r="M432">
        <f t="shared" si="73"/>
        <v>0.6</v>
      </c>
      <c r="N432">
        <f t="shared" si="74"/>
        <v>1</v>
      </c>
      <c r="O432">
        <f t="shared" si="75"/>
        <v>0.2</v>
      </c>
      <c r="P432">
        <f>IFERROR(LN('Дивиденды по годам'!I432),"")</f>
        <v>25.543944058301285</v>
      </c>
      <c r="Q432">
        <f>IFERROR('Дивиденды по годам'!G432/'Дивиденды по годам'!I432, "")</f>
        <v>0.48741683773756456</v>
      </c>
      <c r="R432" t="str">
        <f>IFERROR(IF(AND('Дивиденды по годам'!N432&lt;&gt;"",'Дивиденды по годам'!U432&lt;&gt;"",'Дивиденды по годам'!U432&lt;&gt;0),'Дивиденды по годам'!N432/'Дивиденды по годам'!U432-1,""),"")</f>
        <v/>
      </c>
      <c r="S432" t="str">
        <f>IFERROR(IF(AND('Дивиденды по годам'!L432&lt;&gt;"",'Дивиденды по годам'!I432&lt;&gt;"",'Дивиденды по годам'!J432&lt;&gt;"",'Дивиденды по годам'!K432&lt;&gt;"",('Дивиденды по годам'!I432-'Дивиденды по годам'!J432-'Дивиденды по годам'!K432)&lt;&gt;0),'Дивиденды по годам'!L432/('Дивиденды по годам'!I432-'Дивиденды по годам'!J432-'Дивиденды по годам'!K432),""),"")</f>
        <v/>
      </c>
      <c r="T432" t="str">
        <f>IFERROR(IF(AND('Дивиденды по годам'!Q432&lt;&gt;"",'Дивиденды по годам'!I432&lt;&gt;"",'Дивиденды по годам'!V432&lt;&gt;"",('Дивиденды по годам'!I432+'Дивиденды по годам'!V432)&lt;&gt;0),'Дивиденды по годам'!Q432/(('Дивиденды по годам'!I432+'Дивиденды по годам'!V432)/2),""),"")</f>
        <v/>
      </c>
      <c r="U432">
        <f>IFERROR(IF(AND('Дивиденды по годам'!J432&lt;&gt;"",'Дивиденды по годам'!K432&lt;&gt;"",'Дивиденды по годам'!M432&lt;&gt;"",'Дивиденды по годам'!M432&lt;&gt;0),('Дивиденды по годам'!J432+'Дивиденды по годам'!K432)/'Дивиденды по годам'!M432,""),"")</f>
        <v>0.65921107807224644</v>
      </c>
      <c r="V432">
        <f>IFERROR(IF(AND('Дивиденды по годам'!J432&lt;&gt;"",'Дивиденды по годам'!K432&lt;&gt;"",'Дивиденды по годам'!M432&lt;&gt;"",'Дивиденды по годам'!I432&lt;&gt;0),('Дивиденды по годам'!J432+'Дивиденды по годам'!K432)/'Дивиденды по годам'!I432,""),"")</f>
        <v>0.44228635573597697</v>
      </c>
      <c r="W432">
        <f>IFERROR('Дивиденды по годам'!I432,"")</f>
        <v>124049195069.08847</v>
      </c>
      <c r="X432" cm="1">
        <f t="array" ref="X432">IFERROR(AVERAGE(_xlfn._xlws.FILTER(P$2:P$1073,($C$2:$C$1073=$C432)*($E$2:$E$1073=$E432)*(ROW(P$2:P$1073)&lt;&gt;ROW(P432))*(P$2:P$1073&lt;&gt;""))),"")</f>
        <v>26.562968710189207</v>
      </c>
      <c r="Y432" cm="1">
        <f t="array" ref="Y432">IFERROR(AVERAGE(_xlfn._xlws.FILTER(Q$2:Q$1073,($C$2:$C$1073=$C432)*($E$2:$E$1073=$E432)*(ROW(Q$2:Q$1073)&lt;&gt;ROW(Q432))*(Q$2:Q$1073&lt;&gt;""))),"")</f>
        <v>0.5812509094317605</v>
      </c>
      <c r="Z432" cm="1">
        <f t="array" ref="Z432">IFERROR(AVERAGE(_xlfn._xlws.FILTER(R$2:R$1073,($C$2:$C$1073=$C432)*($E$2:$E$1073=$E432)*(ROW(R$2:R$1073)&lt;&gt;ROW(R432))*(R$2:R$1073&lt;&gt;""))),"")</f>
        <v>0.21463216748681591</v>
      </c>
      <c r="AA432" t="str" cm="1">
        <f t="array" ref="AA432">IFERROR(AVERAGE(_xlfn._xlws.FILTER(S$2:S$1073,($C$2:$C$1073=$C432)*($E$2:$E$1073=$E432)*(ROW(S$2:S$1073)&lt;&gt;ROW(S432))*(S$2:S$1073&lt;&gt;""))),"")</f>
        <v/>
      </c>
      <c r="AB432" cm="1">
        <f t="array" ref="AB432">IFERROR(AVERAGE(_xlfn._xlws.FILTER(T$2:T$1073,($C$2:$C$1073=$C432)*($E$2:$E$1073=$E432)*(ROW(T$2:T$1073)&lt;&gt;ROW(T432))*(T$2:T$1073&lt;&gt;""))),"")</f>
        <v>0.11505618365484008</v>
      </c>
      <c r="AC432" cm="1">
        <f t="array" ref="AC432">IFERROR(AVERAGE(_xlfn._xlws.FILTER(U$2:U$1073,($C$2:$C$1073=$C432)*($E$2:$E$1073=$E432)*(ROW(U$2:U$1073)&lt;&gt;ROW(U432))*(U$2:U$1073&lt;&gt;""))),"")</f>
        <v>1.177662870793291</v>
      </c>
      <c r="AD432" cm="1">
        <f t="array" ref="AD432">IFERROR(AVERAGE(_xlfn._xlws.FILTER(V$2:V$1073,($C$2:$C$1073=$C432)*($E$2:$E$1073=$E432)*(ROW(V$2:V$1073)&lt;&gt;ROW(V432))*(V$2:V$1073&lt;&gt;""))),"")</f>
        <v>0.50893728425074591</v>
      </c>
      <c r="AE432">
        <f>IF('Дивиденды по годам'!M432&lt;0,1,0)</f>
        <v>0</v>
      </c>
    </row>
    <row r="433" spans="1:31" x14ac:dyDescent="0.2">
      <c r="A433" s="7" t="s">
        <v>2231</v>
      </c>
      <c r="B433" t="str">
        <f t="shared" si="66"/>
        <v>PLZL IV кв. 2010</v>
      </c>
      <c r="C433">
        <v>2010</v>
      </c>
      <c r="D433">
        <f>SUMIFS(Дивиденды!$C:$C,Дивиденды!$A:$A,A433,Дивиденды!$I:$I,C433)</f>
        <v>12.1</v>
      </c>
      <c r="E433">
        <v>3</v>
      </c>
      <c r="F433">
        <f t="shared" si="67"/>
        <v>12.1</v>
      </c>
      <c r="G433">
        <f t="shared" si="68"/>
        <v>1.8690000000000002</v>
      </c>
      <c r="H433">
        <f t="shared" si="69"/>
        <v>1</v>
      </c>
      <c r="I433">
        <f t="shared" si="70"/>
        <v>0.6</v>
      </c>
      <c r="J433" t="str">
        <f t="shared" si="71"/>
        <v/>
      </c>
      <c r="K433" t="str">
        <f t="shared" si="76"/>
        <v/>
      </c>
      <c r="L433" t="str">
        <f t="shared" si="72"/>
        <v/>
      </c>
      <c r="M433" t="str">
        <f t="shared" si="73"/>
        <v/>
      </c>
      <c r="N433" t="str">
        <f t="shared" si="74"/>
        <v/>
      </c>
      <c r="O433" t="str">
        <f t="shared" si="75"/>
        <v/>
      </c>
      <c r="P433" t="str">
        <f>IFERROR(LN('Дивиденды по годам'!I433),"")</f>
        <v/>
      </c>
      <c r="Q433" t="str">
        <f>IFERROR('Дивиденды по годам'!G433/'Дивиденды по годам'!I433, "")</f>
        <v/>
      </c>
      <c r="R433" t="str">
        <f>IFERROR(IF(AND('Дивиденды по годам'!N433&lt;&gt;"",'Дивиденды по годам'!U433&lt;&gt;"",'Дивиденды по годам'!U433&lt;&gt;0),'Дивиденды по годам'!N433/'Дивиденды по годам'!U433-1,""),"")</f>
        <v/>
      </c>
      <c r="S433" t="str">
        <f>IFERROR(IF(AND('Дивиденды по годам'!L433&lt;&gt;"",'Дивиденды по годам'!I433&lt;&gt;"",'Дивиденды по годам'!J433&lt;&gt;"",'Дивиденды по годам'!K433&lt;&gt;"",('Дивиденды по годам'!I433-'Дивиденды по годам'!J433-'Дивиденды по годам'!K433)&lt;&gt;0),'Дивиденды по годам'!L433/('Дивиденды по годам'!I433-'Дивиденды по годам'!J433-'Дивиденды по годам'!K433),""),"")</f>
        <v/>
      </c>
      <c r="T433" t="str">
        <f>IFERROR(IF(AND('Дивиденды по годам'!Q433&lt;&gt;"",'Дивиденды по годам'!I433&lt;&gt;"",'Дивиденды по годам'!V433&lt;&gt;"",('Дивиденды по годам'!I433+'Дивиденды по годам'!V433)&lt;&gt;0),'Дивиденды по годам'!Q433/(('Дивиденды по годам'!I433+'Дивиденды по годам'!V433)/2),""),"")</f>
        <v/>
      </c>
      <c r="U433" t="str">
        <f>IFERROR(IF(AND('Дивиденды по годам'!J433&lt;&gt;"",'Дивиденды по годам'!K433&lt;&gt;"",'Дивиденды по годам'!M433&lt;&gt;"",'Дивиденды по годам'!M433&lt;&gt;0),('Дивиденды по годам'!J433+'Дивиденды по годам'!K433)/'Дивиденды по годам'!M433,""),"")</f>
        <v/>
      </c>
      <c r="V433" t="str">
        <f>IFERROR(IF(AND('Дивиденды по годам'!J433&lt;&gt;"",'Дивиденды по годам'!K433&lt;&gt;"",'Дивиденды по годам'!M433&lt;&gt;"",'Дивиденды по годам'!I433&lt;&gt;0),('Дивиденды по годам'!J433+'Дивиденды по годам'!K433)/'Дивиденды по годам'!I433,""),"")</f>
        <v/>
      </c>
      <c r="W433" t="str">
        <f>IFERROR('Дивиденды по годам'!I433,"")</f>
        <v/>
      </c>
      <c r="X433" cm="1">
        <f t="array" ref="X433">IFERROR(AVERAGE(_xlfn._xlws.FILTER(P$2:P$1073,($C$2:$C$1073=$C433)*($E$2:$E$1073=$E433)*(ROW(P$2:P$1073)&lt;&gt;ROW(P433))*(P$2:P$1073&lt;&gt;""))),"")</f>
        <v>26.127864794831805</v>
      </c>
      <c r="Y433" cm="1">
        <f t="array" ref="Y433">IFERROR(AVERAGE(_xlfn._xlws.FILTER(Q$2:Q$1073,($C$2:$C$1073=$C433)*($E$2:$E$1073=$E433)*(ROW(Q$2:Q$1073)&lt;&gt;ROW(Q433))*(Q$2:Q$1073&lt;&gt;""))),"")</f>
        <v>0.75539390451698762</v>
      </c>
      <c r="Z433" t="str" cm="1">
        <f t="array" ref="Z433">IFERROR(AVERAGE(_xlfn._xlws.FILTER(R$2:R$1073,($C$2:$C$1073=$C433)*($E$2:$E$1073=$E433)*(ROW(R$2:R$1073)&lt;&gt;ROW(R433))*(R$2:R$1073&lt;&gt;""))),"")</f>
        <v/>
      </c>
      <c r="AA433" t="str" cm="1">
        <f t="array" ref="AA433">IFERROR(AVERAGE(_xlfn._xlws.FILTER(S$2:S$1073,($C$2:$C$1073=$C433)*($E$2:$E$1073=$E433)*(ROW(S$2:S$1073)&lt;&gt;ROW(S433))*(S$2:S$1073&lt;&gt;""))),"")</f>
        <v/>
      </c>
      <c r="AB433" t="str" cm="1">
        <f t="array" ref="AB433">IFERROR(AVERAGE(_xlfn._xlws.FILTER(T$2:T$1073,($C$2:$C$1073=$C433)*($E$2:$E$1073=$E433)*(ROW(T$2:T$1073)&lt;&gt;ROW(T433))*(T$2:T$1073&lt;&gt;""))),"")</f>
        <v/>
      </c>
      <c r="AC433" cm="1">
        <f t="array" ref="AC433">IFERROR(AVERAGE(_xlfn._xlws.FILTER(U$2:U$1073,($C$2:$C$1073=$C433)*($E$2:$E$1073=$E433)*(ROW(U$2:U$1073)&lt;&gt;ROW(U433))*(U$2:U$1073&lt;&gt;""))),"")</f>
        <v>1.4017600691070078</v>
      </c>
      <c r="AD433" cm="1">
        <f t="array" ref="AD433">IFERROR(AVERAGE(_xlfn._xlws.FILTER(V$2:V$1073,($C$2:$C$1073=$C433)*($E$2:$E$1073=$E433)*(ROW(V$2:V$1073)&lt;&gt;ROW(V433))*(V$2:V$1073&lt;&gt;""))),"")</f>
        <v>0.58363867695918215</v>
      </c>
      <c r="AE433">
        <f>IF('Дивиденды по годам'!M433&lt;0,1,0)</f>
        <v>0</v>
      </c>
    </row>
    <row r="434" spans="1:31" x14ac:dyDescent="0.2">
      <c r="A434" s="7" t="s">
        <v>2234</v>
      </c>
      <c r="B434" t="str">
        <f t="shared" si="66"/>
        <v>RASP IV кв. 2025</v>
      </c>
      <c r="C434">
        <v>2025</v>
      </c>
      <c r="D434">
        <f>SUMIFS(Дивиденды!$C:$C,Дивиденды!$A:$A,A434,Дивиденды!$I:$I,C434)</f>
        <v>0</v>
      </c>
      <c r="E434">
        <v>3</v>
      </c>
      <c r="F434">
        <f t="shared" si="67"/>
        <v>0</v>
      </c>
      <c r="G434">
        <f t="shared" si="68"/>
        <v>10.684999999999999</v>
      </c>
      <c r="H434">
        <f t="shared" si="69"/>
        <v>0</v>
      </c>
      <c r="I434">
        <f t="shared" si="70"/>
        <v>0.1</v>
      </c>
      <c r="J434">
        <f t="shared" si="71"/>
        <v>0</v>
      </c>
      <c r="K434">
        <f t="shared" si="76"/>
        <v>-0.44741116251599566</v>
      </c>
      <c r="L434">
        <f t="shared" si="72"/>
        <v>0</v>
      </c>
      <c r="M434">
        <f t="shared" si="73"/>
        <v>0</v>
      </c>
      <c r="N434">
        <f t="shared" si="74"/>
        <v>0</v>
      </c>
      <c r="O434">
        <f t="shared" si="75"/>
        <v>0.5</v>
      </c>
      <c r="P434">
        <f>IFERROR(LN('Дивиденды по годам'!I434),"")</f>
        <v>26.038509148084042</v>
      </c>
      <c r="Q434">
        <f>IFERROR('Дивиденды по годам'!G434/'Дивиденды по годам'!I434, "")</f>
        <v>0.58527436656277343</v>
      </c>
      <c r="R434">
        <f>IFERROR(IF(AND('Дивиденды по годам'!N434&lt;&gt;"",'Дивиденды по годам'!U434&lt;&gt;"",'Дивиденды по годам'!U434&lt;&gt;0),'Дивиденды по годам'!N434/'Дивиденды по годам'!U434-1,""),"")</f>
        <v>-0.26123395286263429</v>
      </c>
      <c r="S434">
        <f>IFERROR(IF(AND('Дивиденды по годам'!L434&lt;&gt;"",'Дивиденды по годам'!I434&lt;&gt;"",'Дивиденды по годам'!J434&lt;&gt;"",'Дивиденды по годам'!K434&lt;&gt;"",('Дивиденды по годам'!I434-'Дивиденды по годам'!J434-'Дивиденды по годам'!K434)&lt;&gt;0),'Дивиденды по годам'!L434/('Дивиденды по годам'!I434-'Дивиденды по годам'!J434-'Дивиденды по годам'!K434),""),"")</f>
        <v>0.96564943803877346</v>
      </c>
      <c r="T434">
        <f>IFERROR(IF(AND('Дивиденды по годам'!Q434&lt;&gt;"",'Дивиденды по годам'!I434&lt;&gt;"",'Дивиденды по годам'!V434&lt;&gt;"",('Дивиденды по годам'!I434+'Дивиденды по годам'!V434)&lt;&gt;0),'Дивиденды по годам'!Q434/(('Дивиденды по годам'!I434+'Дивиденды по годам'!V434)/2),""),"")</f>
        <v>-0.24550160124589299</v>
      </c>
      <c r="U434">
        <f>IFERROR(IF(AND('Дивиденды по годам'!J434&lt;&gt;"",'Дивиденды по годам'!K434&lt;&gt;"",'Дивиденды по годам'!M434&lt;&gt;"",'Дивиденды по годам'!M434&lt;&gt;0),('Дивиденды по годам'!J434+'Дивиденды по годам'!K434)/'Дивиденды по годам'!M434,""),"")</f>
        <v>0.47975120939875604</v>
      </c>
      <c r="V434">
        <f>IFERROR(IF(AND('Дивиденды по годам'!J434&lt;&gt;"",'Дивиденды по годам'!K434&lt;&gt;"",'Дивиденды по годам'!M434&lt;&gt;"",'Дивиденды по годам'!I434&lt;&gt;0),('Дивиденды по годам'!J434+'Дивиденды по годам'!K434)/'Дивиденды по годам'!I434,""),"")</f>
        <v>0.32421072295908837</v>
      </c>
      <c r="W434">
        <f>IFERROR('Дивиденды по годам'!I434,"")</f>
        <v>203414000000</v>
      </c>
      <c r="X434" cm="1">
        <f t="array" ref="X434">IFERROR(AVERAGE(_xlfn._xlws.FILTER(P$2:P$1073,($C$2:$C$1073=$C434)*($E$2:$E$1073=$E434)*(ROW(P$2:P$1073)&lt;&gt;ROW(P434))*(P$2:P$1073&lt;&gt;""))),"")</f>
        <v>27.738517993834176</v>
      </c>
      <c r="Y434" cm="1">
        <f t="array" ref="Y434">IFERROR(AVERAGE(_xlfn._xlws.FILTER(Q$2:Q$1073,($C$2:$C$1073=$C434)*($E$2:$E$1073=$E434)*(ROW(Q$2:Q$1073)&lt;&gt;ROW(Q434))*(Q$2:Q$1073&lt;&gt;""))),"")</f>
        <v>0.5211109608208746</v>
      </c>
      <c r="Z434" cm="1">
        <f t="array" ref="Z434">IFERROR(AVERAGE(_xlfn._xlws.FILTER(R$2:R$1073,($C$2:$C$1073=$C434)*($E$2:$E$1073=$E434)*(ROW(R$2:R$1073)&lt;&gt;ROW(R434))*(R$2:R$1073&lt;&gt;""))),"")</f>
        <v>-6.9762848121615803E-2</v>
      </c>
      <c r="AA434" cm="1">
        <f t="array" ref="AA434">IFERROR(AVERAGE(_xlfn._xlws.FILTER(S$2:S$1073,($C$2:$C$1073=$C434)*($E$2:$E$1073=$E434)*(ROW(S$2:S$1073)&lt;&gt;ROW(S434))*(S$2:S$1073&lt;&gt;""))),"")</f>
        <v>0.98996296707782683</v>
      </c>
      <c r="AB434" cm="1">
        <f t="array" ref="AB434">IFERROR(AVERAGE(_xlfn._xlws.FILTER(T$2:T$1073,($C$2:$C$1073=$C434)*($E$2:$E$1073=$E434)*(ROW(T$2:T$1073)&lt;&gt;ROW(T434))*(T$2:T$1073&lt;&gt;""))),"")</f>
        <v>5.2288499081297693E-2</v>
      </c>
      <c r="AC434" cm="1">
        <f t="array" ref="AC434">IFERROR(AVERAGE(_xlfn._xlws.FILTER(U$2:U$1073,($C$2:$C$1073=$C434)*($E$2:$E$1073=$E434)*(ROW(U$2:U$1073)&lt;&gt;ROW(U434))*(U$2:U$1073&lt;&gt;""))),"")</f>
        <v>3.5736158631000898</v>
      </c>
      <c r="AD434" cm="1">
        <f t="array" ref="AD434">IFERROR(AVERAGE(_xlfn._xlws.FILTER(V$2:V$1073,($C$2:$C$1073=$C434)*($E$2:$E$1073=$E434)*(ROW(V$2:V$1073)&lt;&gt;ROW(V434))*(V$2:V$1073&lt;&gt;""))),"")</f>
        <v>0.55313870308280333</v>
      </c>
      <c r="AE434">
        <f>IF('Дивиденды по годам'!M434&lt;0,1,0)</f>
        <v>0</v>
      </c>
    </row>
    <row r="435" spans="1:31" x14ac:dyDescent="0.2">
      <c r="A435" s="7" t="s">
        <v>2234</v>
      </c>
      <c r="B435" t="str">
        <f t="shared" si="66"/>
        <v>RASP IV кв. 2024</v>
      </c>
      <c r="C435">
        <v>2024</v>
      </c>
      <c r="D435">
        <f>SUMIFS(Дивиденды!$C:$C,Дивиденды!$A:$A,A435,Дивиденды!$I:$I,C435)</f>
        <v>0</v>
      </c>
      <c r="E435">
        <v>3</v>
      </c>
      <c r="F435">
        <f t="shared" si="67"/>
        <v>0</v>
      </c>
      <c r="G435">
        <f t="shared" si="68"/>
        <v>33.058</v>
      </c>
      <c r="H435">
        <f t="shared" si="69"/>
        <v>0</v>
      </c>
      <c r="I435">
        <f t="shared" si="70"/>
        <v>0.5</v>
      </c>
      <c r="J435">
        <f t="shared" si="71"/>
        <v>0</v>
      </c>
      <c r="K435">
        <f t="shared" si="76"/>
        <v>-0.20461447297899457</v>
      </c>
      <c r="L435">
        <f t="shared" si="72"/>
        <v>0</v>
      </c>
      <c r="M435">
        <f t="shared" si="73"/>
        <v>0.1</v>
      </c>
      <c r="N435">
        <f t="shared" si="74"/>
        <v>0</v>
      </c>
      <c r="O435">
        <f t="shared" si="75"/>
        <v>0.5</v>
      </c>
      <c r="P435">
        <f>IFERROR(LN('Дивиденды по годам'!I435),"")</f>
        <v>26.155771705307011</v>
      </c>
      <c r="Q435">
        <f>IFERROR('Дивиденды по годам'!G435/'Дивиденды по годам'!I435, "")</f>
        <v>0.51902834008097165</v>
      </c>
      <c r="R435">
        <f>IFERROR(IF(AND('Дивиденды по годам'!N435&lt;&gt;"",'Дивиденды по годам'!U435&lt;&gt;"",'Дивиденды по годам'!U435&lt;&gt;0),'Дивиденды по годам'!N435/'Дивиденды по годам'!U435-1,""),"")</f>
        <v>-0.14502584995316037</v>
      </c>
      <c r="S435">
        <f>IFERROR(IF(AND('Дивиденды по годам'!L435&lt;&gt;"",'Дивиденды по годам'!I435&lt;&gt;"",'Дивиденды по годам'!J435&lt;&gt;"",'Дивиденды по годам'!K435&lt;&gt;"",('Дивиденды по годам'!I435-'Дивиденды по годам'!J435-'Дивиденды по годам'!K435)&lt;&gt;0),'Дивиденды по годам'!L435/('Дивиденды по годам'!I435-'Дивиденды по годам'!J435-'Дивиденды по годам'!K435),""),"")</f>
        <v>1.6157530601383714</v>
      </c>
      <c r="T435">
        <f>IFERROR(IF(AND('Дивиденды по годам'!Q435&lt;&gt;"",'Дивиденды по годам'!I435&lt;&gt;"",'Дивиденды по годам'!V435&lt;&gt;"",('Дивиденды по годам'!I435+'Дивиденды по годам'!V435)&lt;&gt;0),'Дивиденды по годам'!Q435/(('Дивиденды по годам'!I435+'Дивиденды по годам'!V435)/2),""),"")</f>
        <v>-5.1680518455783149E-2</v>
      </c>
      <c r="U435">
        <f>IFERROR(IF(AND('Дивиденды по годам'!J435&lt;&gt;"",'Дивиденды по годам'!K435&lt;&gt;"",'Дивиденды по годам'!M435&lt;&gt;"",'Дивиденды по годам'!M435&lt;&gt;0),('Дивиденды по годам'!J435+'Дивиденды по годам'!K435)/'Дивиденды по годам'!M435,""),"")</f>
        <v>0.3145290047897818</v>
      </c>
      <c r="V435">
        <f>IFERROR(IF(AND('Дивиденды по годам'!J435&lt;&gt;"",'Дивиденды по годам'!K435&lt;&gt;"",'Дивиденды по годам'!M435&lt;&gt;"",'Дивиденды по годам'!I435&lt;&gt;0),('Дивиденды по годам'!J435+'Дивиденды по годам'!K435)/'Дивиденды по годам'!I435,""),"")</f>
        <v>0.23927125506072877</v>
      </c>
      <c r="W435">
        <f>IFERROR('Дивиденды по годам'!I435,"")</f>
        <v>228721674315.78937</v>
      </c>
      <c r="X435" cm="1">
        <f t="array" ref="X435">IFERROR(AVERAGE(_xlfn._xlws.FILTER(P$2:P$1073,($C$2:$C$1073=$C435)*($E$2:$E$1073=$E435)*(ROW(P$2:P$1073)&lt;&gt;ROW(P435))*(P$2:P$1073&lt;&gt;""))),"")</f>
        <v>27.39558191459156</v>
      </c>
      <c r="Y435" cm="1">
        <f t="array" ref="Y435">IFERROR(AVERAGE(_xlfn._xlws.FILTER(Q$2:Q$1073,($C$2:$C$1073=$C435)*($E$2:$E$1073=$E435)*(ROW(Q$2:Q$1073)&lt;&gt;ROW(Q435))*(Q$2:Q$1073&lt;&gt;""))),"")</f>
        <v>0.47625004715662006</v>
      </c>
      <c r="Z435" cm="1">
        <f t="array" ref="Z435">IFERROR(AVERAGE(_xlfn._xlws.FILTER(R$2:R$1073,($C$2:$C$1073=$C435)*($E$2:$E$1073=$E435)*(ROW(R$2:R$1073)&lt;&gt;ROW(R435))*(R$2:R$1073&lt;&gt;""))),"")</f>
        <v>4.231369483660704E-2</v>
      </c>
      <c r="AA435" cm="1">
        <f t="array" ref="AA435">IFERROR(AVERAGE(_xlfn._xlws.FILTER(S$2:S$1073,($C$2:$C$1073=$C435)*($E$2:$E$1073=$E435)*(ROW(S$2:S$1073)&lt;&gt;ROW(S435))*(S$2:S$1073&lt;&gt;""))),"")</f>
        <v>1.128311451687531</v>
      </c>
      <c r="AB435" cm="1">
        <f t="array" ref="AB435">IFERROR(AVERAGE(_xlfn._xlws.FILTER(T$2:T$1073,($C$2:$C$1073=$C435)*($E$2:$E$1073=$E435)*(ROW(T$2:T$1073)&lt;&gt;ROW(T435))*(T$2:T$1073&lt;&gt;""))),"")</f>
        <v>5.5243802855422297E-2</v>
      </c>
      <c r="AC435" cm="1">
        <f t="array" ref="AC435">IFERROR(AVERAGE(_xlfn._xlws.FILTER(U$2:U$1073,($C$2:$C$1073=$C435)*($E$2:$E$1073=$E435)*(ROW(U$2:U$1073)&lt;&gt;ROW(U435))*(U$2:U$1073&lt;&gt;""))),"")</f>
        <v>2.7897667155982377</v>
      </c>
      <c r="AD435" cm="1">
        <f t="array" ref="AD435">IFERROR(AVERAGE(_xlfn._xlws.FILTER(V$2:V$1073,($C$2:$C$1073=$C435)*($E$2:$E$1073=$E435)*(ROW(V$2:V$1073)&lt;&gt;ROW(V435))*(V$2:V$1073&lt;&gt;""))),"")</f>
        <v>0.65686724164898358</v>
      </c>
      <c r="AE435">
        <f>IF('Дивиденды по годам'!M435&lt;0,1,0)</f>
        <v>0</v>
      </c>
    </row>
    <row r="436" spans="1:31" x14ac:dyDescent="0.2">
      <c r="A436" s="7" t="s">
        <v>2234</v>
      </c>
      <c r="B436" t="str">
        <f t="shared" si="66"/>
        <v>RASP IV кв. 2023</v>
      </c>
      <c r="C436">
        <v>2023</v>
      </c>
      <c r="D436">
        <f>SUMIFS(Дивиденды!$C:$C,Дивиденды!$A:$A,A436,Дивиденды!$I:$I,C436)</f>
        <v>0</v>
      </c>
      <c r="E436">
        <v>3</v>
      </c>
      <c r="F436">
        <f t="shared" si="67"/>
        <v>0</v>
      </c>
      <c r="G436">
        <f t="shared" si="68"/>
        <v>25.244</v>
      </c>
      <c r="H436">
        <f t="shared" si="69"/>
        <v>0</v>
      </c>
      <c r="I436">
        <f t="shared" si="70"/>
        <v>0.6</v>
      </c>
      <c r="J436">
        <f t="shared" si="71"/>
        <v>0</v>
      </c>
      <c r="K436">
        <f t="shared" si="76"/>
        <v>0.43287037037037035</v>
      </c>
      <c r="L436">
        <f t="shared" si="72"/>
        <v>0</v>
      </c>
      <c r="M436">
        <f t="shared" si="73"/>
        <v>0.6</v>
      </c>
      <c r="N436">
        <f t="shared" si="74"/>
        <v>0</v>
      </c>
      <c r="O436">
        <f t="shared" si="75"/>
        <v>0.1</v>
      </c>
      <c r="P436">
        <f>IFERROR(LN('Дивиденды по годам'!I436),"")</f>
        <v>26.236253004503116</v>
      </c>
      <c r="Q436">
        <f>IFERROR('Дивиденды по годам'!G436/'Дивиденды по годам'!I436, "")</f>
        <v>0.52308752584424534</v>
      </c>
      <c r="R436">
        <f>IFERROR(IF(AND('Дивиденды по годам'!N436&lt;&gt;"",'Дивиденды по годам'!U436&lt;&gt;"",'Дивиденды по годам'!U436&lt;&gt;0),'Дивиденды по годам'!N436/'Дивиденды по годам'!U436-1,""),"")</f>
        <v>-2.4291766276355764E-2</v>
      </c>
      <c r="S436">
        <f>IFERROR(IF(AND('Дивиденды по годам'!L436&lt;&gt;"",'Дивиденды по годам'!I436&lt;&gt;"",'Дивиденды по годам'!J436&lt;&gt;"",'Дивиденды по годам'!K436&lt;&gt;"",('Дивиденды по годам'!I436-'Дивиденды по годам'!J436-'Дивиденды по годам'!K436)&lt;&gt;0),'Дивиденды по годам'!L436/('Дивиденды по годам'!I436-'Дивиденды по годам'!J436-'Дивиденды по годам'!K436),""),"")</f>
        <v>1.4025686448184234</v>
      </c>
      <c r="T436">
        <f>IFERROR(IF(AND('Дивиденды по годам'!Q436&lt;&gt;"",'Дивиденды по годам'!I436&lt;&gt;"",'Дивиденды по годам'!V436&lt;&gt;"",('Дивиденды по годам'!I436+'Дивиденды по годам'!V436)&lt;&gt;0),'Дивиденды по годам'!Q436/(('Дивиденды по годам'!I436+'Дивиденды по годам'!V436)/2),""),"")</f>
        <v>0.16345331283317965</v>
      </c>
      <c r="U436">
        <f>IFERROR(IF(AND('Дивиденды по годам'!J436&lt;&gt;"",'Дивиденды по годам'!K436&lt;&gt;"",'Дивиденды по годам'!M436&lt;&gt;"",'Дивиденды по годам'!M436&lt;&gt;0),('Дивиденды по годам'!J436+'Дивиденды по годам'!K436)/'Дивиденды по годам'!M436,""),"")</f>
        <v>0.28520814880425155</v>
      </c>
      <c r="V436">
        <f>IFERROR(IF(AND('Дивиденды по годам'!J436&lt;&gt;"",'Дивиденды по годам'!K436&lt;&gt;"",'Дивиденды по годам'!M436&lt;&gt;"",'Дивиденды по годам'!I436&lt;&gt;0),('Дивиденды по годам'!J436+'Дивиденды по годам'!K436)/'Дивиденды по годам'!I436,""),"")</f>
        <v>0.22191592005513441</v>
      </c>
      <c r="W436">
        <f>IFERROR('Дивиденды по годам'!I436,"")</f>
        <v>247890512680.55563</v>
      </c>
      <c r="X436" cm="1">
        <f t="array" ref="X436">IFERROR(AVERAGE(_xlfn._xlws.FILTER(P$2:P$1073,($C$2:$C$1073=$C436)*($E$2:$E$1073=$E436)*(ROW(P$2:P$1073)&lt;&gt;ROW(P436))*(P$2:P$1073&lt;&gt;""))),"")</f>
        <v>27.308310341201896</v>
      </c>
      <c r="Y436" cm="1">
        <f t="array" ref="Y436">IFERROR(AVERAGE(_xlfn._xlws.FILTER(Q$2:Q$1073,($C$2:$C$1073=$C436)*($E$2:$E$1073=$E436)*(ROW(Q$2:Q$1073)&lt;&gt;ROW(Q436))*(Q$2:Q$1073&lt;&gt;""))),"")</f>
        <v>0.44904536574553927</v>
      </c>
      <c r="Z436" cm="1">
        <f t="array" ref="Z436">IFERROR(AVERAGE(_xlfn._xlws.FILTER(R$2:R$1073,($C$2:$C$1073=$C436)*($E$2:$E$1073=$E436)*(ROW(R$2:R$1073)&lt;&gt;ROW(R436))*(R$2:R$1073&lt;&gt;""))),"")</f>
        <v>0.14635217066338754</v>
      </c>
      <c r="AA436" cm="1">
        <f t="array" ref="AA436">IFERROR(AVERAGE(_xlfn._xlws.FILTER(S$2:S$1073,($C$2:$C$1073=$C436)*($E$2:$E$1073=$E436)*(ROW(S$2:S$1073)&lt;&gt;ROW(S436))*(S$2:S$1073&lt;&gt;""))),"")</f>
        <v>8.1768294608538846E-3</v>
      </c>
      <c r="AB436" cm="1">
        <f t="array" ref="AB436">IFERROR(AVERAGE(_xlfn._xlws.FILTER(T$2:T$1073,($C$2:$C$1073=$C436)*($E$2:$E$1073=$E436)*(ROW(T$2:T$1073)&lt;&gt;ROW(T436))*(T$2:T$1073&lt;&gt;""))),"")</f>
        <v>0.11389299320339794</v>
      </c>
      <c r="AC436" cm="1">
        <f t="array" ref="AC436">IFERROR(AVERAGE(_xlfn._xlws.FILTER(U$2:U$1073,($C$2:$C$1073=$C436)*($E$2:$E$1073=$E436)*(ROW(U$2:U$1073)&lt;&gt;ROW(U436))*(U$2:U$1073&lt;&gt;""))),"")</f>
        <v>-0.64173084049487839</v>
      </c>
      <c r="AD436" cm="1">
        <f t="array" ref="AD436">IFERROR(AVERAGE(_xlfn._xlws.FILTER(V$2:V$1073,($C$2:$C$1073=$C436)*($E$2:$E$1073=$E436)*(ROW(V$2:V$1073)&lt;&gt;ROW(V436))*(V$2:V$1073&lt;&gt;""))),"")</f>
        <v>0.63548668118086604</v>
      </c>
      <c r="AE436">
        <f>IF('Дивиденды по годам'!M436&lt;0,1,0)</f>
        <v>0</v>
      </c>
    </row>
    <row r="437" spans="1:31" x14ac:dyDescent="0.2">
      <c r="A437" s="7" t="s">
        <v>2234</v>
      </c>
      <c r="B437" t="str">
        <f t="shared" si="66"/>
        <v>RASP IV кв. 2022</v>
      </c>
      <c r="C437">
        <v>2022</v>
      </c>
      <c r="D437">
        <f>SUMIFS(Дивиденды!$C:$C,Дивиденды!$A:$A,A437,Дивиденды!$I:$I,C437)</f>
        <v>0</v>
      </c>
      <c r="E437">
        <v>3</v>
      </c>
      <c r="F437">
        <f t="shared" si="67"/>
        <v>0</v>
      </c>
      <c r="G437">
        <f t="shared" si="68"/>
        <v>1.73</v>
      </c>
      <c r="H437">
        <f t="shared" si="69"/>
        <v>0</v>
      </c>
      <c r="I437">
        <f t="shared" si="70"/>
        <v>0.2</v>
      </c>
      <c r="J437">
        <f t="shared" si="71"/>
        <v>-1</v>
      </c>
      <c r="K437">
        <f t="shared" si="76"/>
        <v>-0.50242800677583288</v>
      </c>
      <c r="L437">
        <f t="shared" si="72"/>
        <v>0</v>
      </c>
      <c r="M437">
        <f t="shared" si="73"/>
        <v>0.1</v>
      </c>
      <c r="N437">
        <f t="shared" si="74"/>
        <v>1</v>
      </c>
      <c r="O437">
        <f t="shared" si="75"/>
        <v>0.7</v>
      </c>
      <c r="P437">
        <f>IFERROR(LN('Дивиденды по годам'!I437),"")</f>
        <v>26.079837087425371</v>
      </c>
      <c r="Q437">
        <f>IFERROR('Дивиденды по годам'!G437/'Дивиденды по годам'!I437, "")</f>
        <v>0.59890815671162489</v>
      </c>
      <c r="R437">
        <f>IFERROR(IF(AND('Дивиденды по годам'!N437&lt;&gt;"",'Дивиденды по годам'!U437&lt;&gt;"",'Дивиденды по годам'!U437&lt;&gt;0),'Дивиденды по годам'!N437/'Дивиденды по годам'!U437-1,""),"")</f>
        <v>0.25001561793176097</v>
      </c>
      <c r="S437">
        <f>IFERROR(IF(AND('Дивиденды по годам'!L437&lt;&gt;"",'Дивиденды по годам'!I437&lt;&gt;"",'Дивиденды по годам'!J437&lt;&gt;"",'Дивиденды по годам'!K437&lt;&gt;"",('Дивиденды по годам'!I437-'Дивиденды по годам'!J437-'Дивиденды по годам'!K437)&lt;&gt;0),'Дивиденды по годам'!L437/('Дивиденды по годам'!I437-'Дивиденды по годам'!J437-'Дивиденды по годам'!K437),""),"")</f>
        <v>1.1450189155107189</v>
      </c>
      <c r="T437">
        <f>IFERROR(IF(AND('Дивиденды по годам'!Q437&lt;&gt;"",'Дивиденды по годам'!I437&lt;&gt;"",'Дивиденды по годам'!V437&lt;&gt;"",('Дивиденды по годам'!I437+'Дивиденды по годам'!V437)&lt;&gt;0),'Дивиденды по годам'!Q437/(('Дивиденды по годам'!I437+'Дивиденды по годам'!V437)/2),""),"")</f>
        <v>0.2521562715003316</v>
      </c>
      <c r="U437">
        <f>IFERROR(IF(AND('Дивиденды по годам'!J437&lt;&gt;"",'Дивиденды по годам'!K437&lt;&gt;"",'Дивиденды по годам'!M437&lt;&gt;"",'Дивиденды по годам'!M437&lt;&gt;0),('Дивиденды по годам'!J437+'Дивиденды по годам'!K437)/'Дивиденды по годам'!M437,""),"")</f>
        <v>0.30895334174022704</v>
      </c>
      <c r="V437">
        <f>IFERROR(IF(AND('Дивиденды по годам'!J437&lt;&gt;"",'Дивиденды по годам'!K437&lt;&gt;"",'Дивиденды по годам'!M437&lt;&gt;"",'Дивиденды по годам'!I437&lt;&gt;0),('Дивиденды по годам'!J437+'Дивиденды по годам'!K437)/'Дивиденды по годам'!I437,""),"")</f>
        <v>0.23603082851637769</v>
      </c>
      <c r="W437">
        <f>IFERROR('Дивиденды по годам'!I437,"")</f>
        <v>211996814894.99985</v>
      </c>
      <c r="X437" cm="1">
        <f t="array" ref="X437">IFERROR(AVERAGE(_xlfn._xlws.FILTER(P$2:P$1073,($C$2:$C$1073=$C437)*($E$2:$E$1073=$E437)*(ROW(P$2:P$1073)&lt;&gt;ROW(P437))*(P$2:P$1073&lt;&gt;""))),"")</f>
        <v>27.183133009935197</v>
      </c>
      <c r="Y437" cm="1">
        <f t="array" ref="Y437">IFERROR(AVERAGE(_xlfn._xlws.FILTER(Q$2:Q$1073,($C$2:$C$1073=$C437)*($E$2:$E$1073=$E437)*(ROW(Q$2:Q$1073)&lt;&gt;ROW(Q437))*(Q$2:Q$1073&lt;&gt;""))),"")</f>
        <v>0.45907415432073195</v>
      </c>
      <c r="Z437" cm="1">
        <f t="array" ref="Z437">IFERROR(AVERAGE(_xlfn._xlws.FILTER(R$2:R$1073,($C$2:$C$1073=$C437)*($E$2:$E$1073=$E437)*(ROW(R$2:R$1073)&lt;&gt;ROW(R437))*(R$2:R$1073&lt;&gt;""))),"")</f>
        <v>-4.8862635254339259E-2</v>
      </c>
      <c r="AA437" cm="1">
        <f t="array" ref="AA437">IFERROR(AVERAGE(_xlfn._xlws.FILTER(S$2:S$1073,($C$2:$C$1073=$C437)*($E$2:$E$1073=$E437)*(ROW(S$2:S$1073)&lt;&gt;ROW(S437))*(S$2:S$1073&lt;&gt;""))),"")</f>
        <v>0.82249655208661299</v>
      </c>
      <c r="AB437" cm="1">
        <f t="array" ref="AB437">IFERROR(AVERAGE(_xlfn._xlws.FILTER(T$2:T$1073,($C$2:$C$1073=$C437)*($E$2:$E$1073=$E437)*(ROW(T$2:T$1073)&lt;&gt;ROW(T437))*(T$2:T$1073&lt;&gt;""))),"")</f>
        <v>0.14932106076527479</v>
      </c>
      <c r="AC437" cm="1">
        <f t="array" ref="AC437">IFERROR(AVERAGE(_xlfn._xlws.FILTER(U$2:U$1073,($C$2:$C$1073=$C437)*($E$2:$E$1073=$E437)*(ROW(U$2:U$1073)&lt;&gt;ROW(U437))*(U$2:U$1073&lt;&gt;""))),"")</f>
        <v>1.2377975682200941</v>
      </c>
      <c r="AD437" cm="1">
        <f t="array" ref="AD437">IFERROR(AVERAGE(_xlfn._xlws.FILTER(V$2:V$1073,($C$2:$C$1073=$C437)*($E$2:$E$1073=$E437)*(ROW(V$2:V$1073)&lt;&gt;ROW(V437))*(V$2:V$1073&lt;&gt;""))),"")</f>
        <v>0.59738470597471638</v>
      </c>
      <c r="AE437">
        <f>IF('Дивиденды по годам'!M437&lt;0,1,0)</f>
        <v>0</v>
      </c>
    </row>
    <row r="438" spans="1:31" x14ac:dyDescent="0.2">
      <c r="A438" s="7" t="s">
        <v>2234</v>
      </c>
      <c r="B438" t="str">
        <f t="shared" si="66"/>
        <v>RASP IV кв. 2021</v>
      </c>
      <c r="C438">
        <v>2021</v>
      </c>
      <c r="D438">
        <f>SUMIFS(Дивиденды!$C:$C,Дивиденды!$A:$A,A438,Дивиденды!$I:$I,C438)</f>
        <v>51</v>
      </c>
      <c r="E438">
        <v>3</v>
      </c>
      <c r="F438">
        <f t="shared" si="67"/>
        <v>51</v>
      </c>
      <c r="G438">
        <f t="shared" si="68"/>
        <v>31.755000000000003</v>
      </c>
      <c r="H438">
        <f t="shared" si="69"/>
        <v>1</v>
      </c>
      <c r="I438">
        <f t="shared" si="70"/>
        <v>0.7</v>
      </c>
      <c r="J438">
        <f t="shared" si="71"/>
        <v>5.0714285714285712</v>
      </c>
      <c r="K438">
        <f t="shared" si="76"/>
        <v>0.22355346942793944</v>
      </c>
      <c r="L438">
        <f t="shared" si="72"/>
        <v>1</v>
      </c>
      <c r="M438">
        <f t="shared" si="73"/>
        <v>0.4</v>
      </c>
      <c r="N438">
        <f t="shared" si="74"/>
        <v>0</v>
      </c>
      <c r="O438">
        <f t="shared" si="75"/>
        <v>0.2</v>
      </c>
      <c r="P438">
        <f>IFERROR(LN('Дивиденды по годам'!I438),"")</f>
        <v>26.071615482413364</v>
      </c>
      <c r="Q438">
        <f>IFERROR('Дивиденды по годам'!G438/'Дивиденды по годам'!I438, "")</f>
        <v>0.60912280701754384</v>
      </c>
      <c r="R438">
        <f>IFERROR(IF(AND('Дивиденды по годам'!N438&lt;&gt;"",'Дивиденды по годам'!U438&lt;&gt;"",'Дивиденды по годам'!U438&lt;&gt;0),'Дивиденды по годам'!N438/'Дивиденды по годам'!U438-1,""),"")</f>
        <v>2.4586488015542365</v>
      </c>
      <c r="S438">
        <f>IFERROR(IF(AND('Дивиденды по годам'!L438&lt;&gt;"",'Дивиденды по годам'!I438&lt;&gt;"",'Дивиденды по годам'!J438&lt;&gt;"",'Дивиденды по годам'!K438&lt;&gt;"",('Дивиденды по годам'!I438-'Дивиденды по годам'!J438-'Дивиденды по годам'!K438)&lt;&gt;0),'Дивиденды по годам'!L438/('Дивиденды по годам'!I438-'Дивиденды по годам'!J438-'Дивиденды по годам'!K438),""),"")</f>
        <v>1.3326432022084191</v>
      </c>
      <c r="T438">
        <f>IFERROR(IF(AND('Дивиденды по годам'!Q438&lt;&gt;"",'Дивиденды по годам'!I438&lt;&gt;"",'Дивиденды по годам'!V438&lt;&gt;"",('Дивиденды по годам'!I438+'Дивиденды по годам'!V438)&lt;&gt;0),'Дивиденды по годам'!Q438/(('Дивиденды по годам'!I438+'Дивиденды по годам'!V438)/2),""),"")</f>
        <v>0.31638871745582159</v>
      </c>
      <c r="U438">
        <f>IFERROR(IF(AND('Дивиденды по годам'!J438&lt;&gt;"",'Дивиденды по годам'!K438&lt;&gt;"",'Дивиденды по годам'!M438&lt;&gt;"",'Дивиденды по годам'!M438&lt;&gt;0),('Дивиденды по годам'!J438+'Дивиденды по годам'!K438)/'Дивиденды по годам'!M438,""),"")</f>
        <v>0.9668737060041408</v>
      </c>
      <c r="V438">
        <f>IFERROR(IF(AND('Дивиденды по годам'!J438&lt;&gt;"",'Дивиденды по годам'!K438&lt;&gt;"",'Дивиденды по годам'!M438&lt;&gt;"",'Дивиденды по годам'!I438&lt;&gt;0),('Дивиденды по годам'!J438+'Дивиденды по годам'!K438)/'Дивиденды по годам'!I438,""),"")</f>
        <v>0.491578947368421</v>
      </c>
      <c r="W438">
        <f>IFERROR('Дивиденды по годам'!I438,"")</f>
        <v>210261006163.63641</v>
      </c>
      <c r="X438" cm="1">
        <f t="array" ref="X438">IFERROR(AVERAGE(_xlfn._xlws.FILTER(P$2:P$1073,($C$2:$C$1073=$C438)*($E$2:$E$1073=$E438)*(ROW(P$2:P$1073)&lt;&gt;ROW(P438))*(P$2:P$1073&lt;&gt;""))),"")</f>
        <v>27.076134653950628</v>
      </c>
      <c r="Y438" cm="1">
        <f t="array" ref="Y438">IFERROR(AVERAGE(_xlfn._xlws.FILTER(Q$2:Q$1073,($C$2:$C$1073=$C438)*($E$2:$E$1073=$E438)*(ROW(Q$2:Q$1073)&lt;&gt;ROW(Q438))*(Q$2:Q$1073&lt;&gt;""))),"")</f>
        <v>0.47555905239813406</v>
      </c>
      <c r="Z438" cm="1">
        <f t="array" ref="Z438">IFERROR(AVERAGE(_xlfn._xlws.FILTER(R$2:R$1073,($C$2:$C$1073=$C438)*($E$2:$E$1073=$E438)*(ROW(R$2:R$1073)&lt;&gt;ROW(R438))*(R$2:R$1073&lt;&gt;""))),"")</f>
        <v>0.50556643824791536</v>
      </c>
      <c r="AA438" cm="1">
        <f t="array" ref="AA438">IFERROR(AVERAGE(_xlfn._xlws.FILTER(S$2:S$1073,($C$2:$C$1073=$C438)*($E$2:$E$1073=$E438)*(ROW(S$2:S$1073)&lt;&gt;ROW(S438))*(S$2:S$1073&lt;&gt;""))),"")</f>
        <v>1.0056829725254128</v>
      </c>
      <c r="AB438" cm="1">
        <f t="array" ref="AB438">IFERROR(AVERAGE(_xlfn._xlws.FILTER(T$2:T$1073,($C$2:$C$1073=$C438)*($E$2:$E$1073=$E438)*(ROW(T$2:T$1073)&lt;&gt;ROW(T438))*(T$2:T$1073&lt;&gt;""))),"")</f>
        <v>0.28445441956331918</v>
      </c>
      <c r="AC438" cm="1">
        <f t="array" ref="AC438">IFERROR(AVERAGE(_xlfn._xlws.FILTER(U$2:U$1073,($C$2:$C$1073=$C438)*($E$2:$E$1073=$E438)*(ROW(U$2:U$1073)&lt;&gt;ROW(U438))*(U$2:U$1073&lt;&gt;""))),"")</f>
        <v>2.1562888577487263</v>
      </c>
      <c r="AD438" cm="1">
        <f t="array" ref="AD438">IFERROR(AVERAGE(_xlfn._xlws.FILTER(V$2:V$1073,($C$2:$C$1073=$C438)*($E$2:$E$1073=$E438)*(ROW(V$2:V$1073)&lt;&gt;ROW(V438))*(V$2:V$1073&lt;&gt;""))),"")</f>
        <v>0.6840126697609813</v>
      </c>
      <c r="AE438">
        <f>IF('Дивиденды по годам'!M438&lt;0,1,0)</f>
        <v>0</v>
      </c>
    </row>
    <row r="439" spans="1:31" x14ac:dyDescent="0.2">
      <c r="A439" s="7" t="s">
        <v>2234</v>
      </c>
      <c r="B439" t="str">
        <f t="shared" si="66"/>
        <v>RASP IV кв. 2020</v>
      </c>
      <c r="C439">
        <v>2020</v>
      </c>
      <c r="D439">
        <f>SUMIFS(Дивиденды!$C:$C,Дивиденды!$A:$A,A439,Дивиденды!$I:$I,C439)</f>
        <v>8.4</v>
      </c>
      <c r="E439">
        <v>3</v>
      </c>
      <c r="F439">
        <f t="shared" si="67"/>
        <v>8.4</v>
      </c>
      <c r="G439">
        <f t="shared" si="68"/>
        <v>23.143999999999998</v>
      </c>
      <c r="H439">
        <f t="shared" si="69"/>
        <v>1</v>
      </c>
      <c r="I439">
        <f t="shared" si="70"/>
        <v>0.7</v>
      </c>
      <c r="J439">
        <f t="shared" si="71"/>
        <v>0.57598499061913699</v>
      </c>
      <c r="K439">
        <f t="shared" si="76"/>
        <v>0.60178104964807078</v>
      </c>
      <c r="L439">
        <f t="shared" si="72"/>
        <v>1</v>
      </c>
      <c r="M439">
        <f t="shared" si="73"/>
        <v>0.6</v>
      </c>
      <c r="N439">
        <f t="shared" si="74"/>
        <v>0</v>
      </c>
      <c r="O439">
        <f t="shared" si="75"/>
        <v>0.1</v>
      </c>
      <c r="P439">
        <f>IFERROR(LN('Дивиденды по годам'!I439),"")</f>
        <v>26.010550011149842</v>
      </c>
      <c r="Q439">
        <f>IFERROR('Дивиденды по годам'!G439/'Дивиденды по годам'!I439, "")</f>
        <v>0.6560672514619883</v>
      </c>
      <c r="R439">
        <f>IFERROR(IF(AND('Дивиденды по годам'!N439&lt;&gt;"",'Дивиденды по годам'!U439&lt;&gt;"",'Дивиденды по годам'!U439&lt;&gt;0),'Дивиденды по годам'!N439/'Дивиденды по годам'!U439-1,""),"")</f>
        <v>-0.30541965177727892</v>
      </c>
      <c r="S439">
        <f>IFERROR(IF(AND('Дивиденды по годам'!L439&lt;&gt;"",'Дивиденды по годам'!I439&lt;&gt;"",'Дивиденды по годам'!J439&lt;&gt;"",'Дивиденды по годам'!K439&lt;&gt;"",('Дивиденды по годам'!I439-'Дивиденды по годам'!J439-'Дивиденды по годам'!K439)&lt;&gt;0),'Дивиденды по годам'!L439/('Дивиденды по годам'!I439-'Дивиденды по годам'!J439-'Дивиденды по годам'!K439),""),"")</f>
        <v>1.4040968342644322</v>
      </c>
      <c r="T439">
        <f>IFERROR(IF(AND('Дивиденды по годам'!Q439&lt;&gt;"",'Дивиденды по годам'!I439&lt;&gt;"",'Дивиденды по годам'!V439&lt;&gt;"",('Дивиденды по годам'!I439+'Дивиденды по годам'!V439)&lt;&gt;0),'Дивиденды по годам'!Q439/(('Дивиденды по годам'!I439+'Дивиденды по годам'!V439)/2),""),"")</f>
        <v>8.4360917774422575E-2</v>
      </c>
      <c r="U439">
        <f>IFERROR(IF(AND('Дивиденды по годам'!J439&lt;&gt;"",'Дивиденды по годам'!K439&lt;&gt;"",'Дивиденды по годам'!M439&lt;&gt;"",'Дивиденды по годам'!M439&lt;&gt;0),('Дивиденды по годам'!J439+'Дивиденды по годам'!K439)/'Дивиденды по годам'!M439,""),"")</f>
        <v>1.5474860335195528</v>
      </c>
      <c r="V439">
        <f>IFERROR(IF(AND('Дивиденды по годам'!J439&lt;&gt;"",'Дивиденды по годам'!K439&lt;&gt;"",'Дивиденды по годам'!M439&lt;&gt;"",'Дивиденды по годам'!I439&lt;&gt;0),('Дивиденды по годам'!J439+'Дивиденды по годам'!K439)/'Дивиденды по годам'!I439,""),"")</f>
        <v>0.60745614035087725</v>
      </c>
      <c r="W439">
        <f>IFERROR('Дивиденды по годам'!I439,"")</f>
        <v>197805490018.11856</v>
      </c>
      <c r="X439" cm="1">
        <f t="array" ref="X439">IFERROR(AVERAGE(_xlfn._xlws.FILTER(P$2:P$1073,($C$2:$C$1073=$C439)*($E$2:$E$1073=$E439)*(ROW(P$2:P$1073)&lt;&gt;ROW(P439))*(P$2:P$1073&lt;&gt;""))),"")</f>
        <v>26.899486011307943</v>
      </c>
      <c r="Y439" cm="1">
        <f t="array" ref="Y439">IFERROR(AVERAGE(_xlfn._xlws.FILTER(Q$2:Q$1073,($C$2:$C$1073=$C439)*($E$2:$E$1073=$E439)*(ROW(Q$2:Q$1073)&lt;&gt;ROW(Q439))*(Q$2:Q$1073&lt;&gt;""))),"")</f>
        <v>0.49112085450677034</v>
      </c>
      <c r="Z439" cm="1">
        <f t="array" ref="Z439">IFERROR(AVERAGE(_xlfn._xlws.FILTER(R$2:R$1073,($C$2:$C$1073=$C439)*($E$2:$E$1073=$E439)*(ROW(R$2:R$1073)&lt;&gt;ROW(R439))*(R$2:R$1073&lt;&gt;""))),"")</f>
        <v>6.0493433618061788E-2</v>
      </c>
      <c r="AA439" cm="1">
        <f t="array" ref="AA439">IFERROR(AVERAGE(_xlfn._xlws.FILTER(S$2:S$1073,($C$2:$C$1073=$C439)*($E$2:$E$1073=$E439)*(ROW(S$2:S$1073)&lt;&gt;ROW(S439))*(S$2:S$1073&lt;&gt;""))),"")</f>
        <v>1.0046905961190662</v>
      </c>
      <c r="AB439" cm="1">
        <f t="array" ref="AB439">IFERROR(AVERAGE(_xlfn._xlws.FILTER(T$2:T$1073,($C$2:$C$1073=$C439)*($E$2:$E$1073=$E439)*(ROW(T$2:T$1073)&lt;&gt;ROW(T439))*(T$2:T$1073&lt;&gt;""))),"")</f>
        <v>9.5292599729357289E-2</v>
      </c>
      <c r="AC439" cm="1">
        <f t="array" ref="AC439">IFERROR(AVERAGE(_xlfn._xlws.FILTER(U$2:U$1073,($C$2:$C$1073=$C439)*($E$2:$E$1073=$E439)*(ROW(U$2:U$1073)&lt;&gt;ROW(U439))*(U$2:U$1073&lt;&gt;""))),"")</f>
        <v>1.6700728537391565</v>
      </c>
      <c r="AD439" cm="1">
        <f t="array" ref="AD439">IFERROR(AVERAGE(_xlfn._xlws.FILTER(V$2:V$1073,($C$2:$C$1073=$C439)*($E$2:$E$1073=$E439)*(ROW(V$2:V$1073)&lt;&gt;ROW(V439))*(V$2:V$1073&lt;&gt;""))),"")</f>
        <v>0.77986871102336575</v>
      </c>
      <c r="AE439">
        <f>IF('Дивиденды по годам'!M439&lt;0,1,0)</f>
        <v>0</v>
      </c>
    </row>
    <row r="440" spans="1:31" x14ac:dyDescent="0.2">
      <c r="A440" s="7" t="s">
        <v>2234</v>
      </c>
      <c r="B440" t="str">
        <f t="shared" si="66"/>
        <v>RASP IV кв. 2019</v>
      </c>
      <c r="C440">
        <v>2019</v>
      </c>
      <c r="D440">
        <f>SUMIFS(Дивиденды!$C:$C,Дивиденды!$A:$A,A440,Дивиденды!$I:$I,C440)</f>
        <v>5.33</v>
      </c>
      <c r="E440">
        <v>3</v>
      </c>
      <c r="F440">
        <f t="shared" si="67"/>
        <v>5.33</v>
      </c>
      <c r="G440">
        <f t="shared" si="68"/>
        <v>19.058</v>
      </c>
      <c r="H440">
        <f t="shared" si="69"/>
        <v>1</v>
      </c>
      <c r="I440">
        <f t="shared" si="70"/>
        <v>0.7</v>
      </c>
      <c r="J440">
        <f t="shared" si="71"/>
        <v>1</v>
      </c>
      <c r="K440">
        <f t="shared" si="76"/>
        <v>0.15160659566020115</v>
      </c>
      <c r="L440">
        <f t="shared" si="72"/>
        <v>1</v>
      </c>
      <c r="M440">
        <f t="shared" si="73"/>
        <v>0.3</v>
      </c>
      <c r="N440">
        <f t="shared" si="74"/>
        <v>0</v>
      </c>
      <c r="O440">
        <f t="shared" si="75"/>
        <v>0.4</v>
      </c>
      <c r="P440">
        <f>IFERROR(LN('Дивиденды по годам'!I440),"")</f>
        <v>25.382664714325671</v>
      </c>
      <c r="Q440">
        <f>IFERROR('Дивиденды по годам'!G440/'Дивиденды по годам'!I440, "")</f>
        <v>0.31801470588235298</v>
      </c>
      <c r="R440">
        <f>IFERROR(IF(AND('Дивиденды по годам'!N440&lt;&gt;"",'Дивиденды по годам'!U440&lt;&gt;"",'Дивиденды по годам'!U440&lt;&gt;0),'Дивиденды по годам'!N440/'Дивиденды по годам'!U440-1,""),"")</f>
        <v>-5.5453423893357501E-2</v>
      </c>
      <c r="S440">
        <f>IFERROR(IF(AND('Дивиденды по годам'!L440&lt;&gt;"",'Дивиденды по годам'!I440&lt;&gt;"",'Дивиденды по годам'!J440&lt;&gt;"",'Дивиденды по годам'!K440&lt;&gt;"",('Дивиденды по годам'!I440-'Дивиденды по годам'!J440-'Дивиденды по годам'!K440)&lt;&gt;0),'Дивиденды по годам'!L440/('Дивиденды по годам'!I440-'Дивиденды по годам'!J440-'Дивиденды по годам'!K440),""),"")</f>
        <v>1.194054500412882</v>
      </c>
      <c r="T440">
        <f>IFERROR(IF(AND('Дивиденды по годам'!Q440&lt;&gt;"",'Дивиденды по годам'!I440&lt;&gt;"",'Дивиденды по годам'!V440&lt;&gt;"",('Дивиденды по годам'!I440+'Дивиденды по годам'!V440)&lt;&gt;0),'Дивиденды по годам'!Q440/(('Дивиденды по годам'!I440+'Дивиденды по годам'!V440)/2),""),"")</f>
        <v>0.13210198014583921</v>
      </c>
      <c r="U440">
        <f>IFERROR(IF(AND('Дивиденды по годам'!J440&lt;&gt;"",'Дивиденды по годам'!K440&lt;&gt;"",'Дивиденды по годам'!M440&lt;&gt;"",'Дивиденды по годам'!M440&lt;&gt;0),('Дивиденды по годам'!J440+'Дивиденды по годам'!K440)/'Дивиденды по годам'!M440,""),"")</f>
        <v>0.34764657308009911</v>
      </c>
      <c r="V440">
        <f>IFERROR(IF(AND('Дивиденды по годам'!J440&lt;&gt;"",'Дивиденды по годам'!K440&lt;&gt;"",'Дивиденды по годам'!M440&lt;&gt;"",'Дивиденды по годам'!I440&lt;&gt;0),('Дивиденды по годам'!J440+'Дивиденды по годам'!K440)/'Дивиденды по годам'!I440,""),"")</f>
        <v>0.25796568627450983</v>
      </c>
      <c r="W440">
        <f>IFERROR('Дивиденды по годам'!I440,"")</f>
        <v>105572600999.99992</v>
      </c>
      <c r="X440" cm="1">
        <f t="array" ref="X440">IFERROR(AVERAGE(_xlfn._xlws.FILTER(P$2:P$1073,($C$2:$C$1073=$C440)*($E$2:$E$1073=$E440)*(ROW(P$2:P$1073)&lt;&gt;ROW(P440))*(P$2:P$1073&lt;&gt;""))),"")</f>
        <v>26.847362633524103</v>
      </c>
      <c r="Y440" cm="1">
        <f t="array" ref="Y440">IFERROR(AVERAGE(_xlfn._xlws.FILTER(Q$2:Q$1073,($C$2:$C$1073=$C440)*($E$2:$E$1073=$E440)*(ROW(Q$2:Q$1073)&lt;&gt;ROW(Q440))*(Q$2:Q$1073&lt;&gt;""))),"")</f>
        <v>0.51898766660611417</v>
      </c>
      <c r="Z440" cm="1">
        <f t="array" ref="Z440">IFERROR(AVERAGE(_xlfn._xlws.FILTER(R$2:R$1073,($C$2:$C$1073=$C440)*($E$2:$E$1073=$E440)*(ROW(R$2:R$1073)&lt;&gt;ROW(R440))*(R$2:R$1073&lt;&gt;""))),"")</f>
        <v>4.8303906656514684E-2</v>
      </c>
      <c r="AA440" cm="1">
        <f t="array" ref="AA440">IFERROR(AVERAGE(_xlfn._xlws.FILTER(S$2:S$1073,($C$2:$C$1073=$C440)*($E$2:$E$1073=$E440)*(ROW(S$2:S$1073)&lt;&gt;ROW(S440))*(S$2:S$1073&lt;&gt;""))),"")</f>
        <v>0.87959336924160181</v>
      </c>
      <c r="AB440" cm="1">
        <f t="array" ref="AB440">IFERROR(AVERAGE(_xlfn._xlws.FILTER(T$2:T$1073,($C$2:$C$1073=$C440)*($E$2:$E$1073=$E440)*(ROW(T$2:T$1073)&lt;&gt;ROW(T440))*(T$2:T$1073&lt;&gt;""))),"")</f>
        <v>0.13859152683984494</v>
      </c>
      <c r="AC440" cm="1">
        <f t="array" ref="AC440">IFERROR(AVERAGE(_xlfn._xlws.FILTER(U$2:U$1073,($C$2:$C$1073=$C440)*($E$2:$E$1073=$E440)*(ROW(U$2:U$1073)&lt;&gt;ROW(U440))*(U$2:U$1073&lt;&gt;""))),"")</f>
        <v>1.6801406757034218</v>
      </c>
      <c r="AD440" cm="1">
        <f t="array" ref="AD440">IFERROR(AVERAGE(_xlfn._xlws.FILTER(V$2:V$1073,($C$2:$C$1073=$C440)*($E$2:$E$1073=$E440)*(ROW(V$2:V$1073)&lt;&gt;ROW(V440))*(V$2:V$1073&lt;&gt;""))),"")</f>
        <v>0.71509038377523026</v>
      </c>
      <c r="AE440">
        <f>IF('Дивиденды по годам'!M440&lt;0,1,0)</f>
        <v>0</v>
      </c>
    </row>
    <row r="441" spans="1:31" x14ac:dyDescent="0.2">
      <c r="A441" s="7" t="s">
        <v>2234</v>
      </c>
      <c r="B441" t="str">
        <f t="shared" si="66"/>
        <v>RASP IV кв. 2018</v>
      </c>
      <c r="C441">
        <v>2018</v>
      </c>
      <c r="D441">
        <f>SUMIFS(Дивиденды!$C:$C,Дивиденды!$A:$A,A441,Дивиденды!$I:$I,C441)</f>
        <v>0</v>
      </c>
      <c r="E441">
        <v>3</v>
      </c>
      <c r="F441">
        <f t="shared" si="67"/>
        <v>0</v>
      </c>
      <c r="G441">
        <f t="shared" si="68"/>
        <v>22.694999999999997</v>
      </c>
      <c r="H441">
        <f t="shared" si="69"/>
        <v>0</v>
      </c>
      <c r="I441">
        <f t="shared" si="70"/>
        <v>0.5</v>
      </c>
      <c r="J441">
        <f t="shared" si="71"/>
        <v>0</v>
      </c>
      <c r="K441">
        <f t="shared" si="76"/>
        <v>0.12085686823605531</v>
      </c>
      <c r="L441">
        <f t="shared" si="72"/>
        <v>0</v>
      </c>
      <c r="M441">
        <f t="shared" si="73"/>
        <v>0.5</v>
      </c>
      <c r="N441">
        <f t="shared" si="74"/>
        <v>0</v>
      </c>
      <c r="O441">
        <f t="shared" si="75"/>
        <v>0.2</v>
      </c>
      <c r="P441">
        <f>IFERROR(LN('Дивиденды по годам'!I441),"")</f>
        <v>25.309647371206648</v>
      </c>
      <c r="Q441">
        <f>IFERROR('Дивиденды по годам'!G441/'Дивиденды по годам'!I441, "")</f>
        <v>0.36515054452274187</v>
      </c>
      <c r="R441">
        <f>IFERROR(IF(AND('Дивиденды по годам'!N441&lt;&gt;"",'Дивиденды по годам'!U441&lt;&gt;"",'Дивиденды по годам'!U441&lt;&gt;0),'Дивиденды по годам'!N441/'Дивиденды по годам'!U441-1,""),"")</f>
        <v>0.34766836268953294</v>
      </c>
      <c r="S441">
        <f>IFERROR(IF(AND('Дивиденды по годам'!L441&lt;&gt;"",'Дивиденды по годам'!I441&lt;&gt;"",'Дивиденды по годам'!J441&lt;&gt;"",'Дивиденды по годам'!K441&lt;&gt;"",('Дивиденды по годам'!I441-'Дивиденды по годам'!J441-'Дивиденды по годам'!K441)&lt;&gt;0),'Дивиденды по годам'!L441/('Дивиденды по годам'!I441-'Дивиденды по годам'!J441-'Дивиденды по годам'!K441),""),"")</f>
        <v>1.3319327731092439</v>
      </c>
      <c r="T441">
        <f>IFERROR(IF(AND('Дивиденды по годам'!Q441&lt;&gt;"",'Дивиденды по годам'!I441&lt;&gt;"",'Дивиденды по годам'!V441&lt;&gt;"",('Дивиденды по годам'!I441+'Дивиденды по годам'!V441)&lt;&gt;0),'Дивиденды по годам'!Q441/(('Дивиденды по годам'!I441+'Дивиденды по годам'!V441)/2),""),"")</f>
        <v>0.31934506484561809</v>
      </c>
      <c r="U441">
        <f>IFERROR(IF(AND('Дивиденды по годам'!J441&lt;&gt;"",'Дивиденды по годам'!K441&lt;&gt;"",'Дивиденды по годам'!M441&lt;&gt;"",'Дивиденды по годам'!M441&lt;&gt;0),('Дивиденды по годам'!J441+'Дивиденды по годам'!K441)/'Дивиденды по годам'!M441,""),"")</f>
        <v>0.63970588235294112</v>
      </c>
      <c r="V441">
        <f>IFERROR(IF(AND('Дивиденды по годам'!J441&lt;&gt;"",'Дивиденды по годам'!K441&lt;&gt;"",'Дивиденды по годам'!M441&lt;&gt;"",'Дивиденды по годам'!I441&lt;&gt;0),('Дивиденды по годам'!J441+'Дивиденды по годам'!K441)/'Дивиденды по годам'!I441,""),"")</f>
        <v>0.39013452914798208</v>
      </c>
      <c r="W441">
        <f>IFERROR('Дивиденды по годам'!I441,"")</f>
        <v>98138675472.093002</v>
      </c>
      <c r="X441" cm="1">
        <f t="array" ref="X441">IFERROR(AVERAGE(_xlfn._xlws.FILTER(P$2:P$1073,($C$2:$C$1073=$C441)*($E$2:$E$1073=$E441)*(ROW(P$2:P$1073)&lt;&gt;ROW(P441))*(P$2:P$1073&lt;&gt;""))),"")</f>
        <v>26.696634316456745</v>
      </c>
      <c r="Y441" cm="1">
        <f t="array" ref="Y441">IFERROR(AVERAGE(_xlfn._xlws.FILTER(Q$2:Q$1073,($C$2:$C$1073=$C441)*($E$2:$E$1073=$E441)*(ROW(Q$2:Q$1073)&lt;&gt;ROW(Q441))*(Q$2:Q$1073&lt;&gt;""))),"")</f>
        <v>0.53345627423418318</v>
      </c>
      <c r="Z441" cm="1">
        <f t="array" ref="Z441">IFERROR(AVERAGE(_xlfn._xlws.FILTER(R$2:R$1073,($C$2:$C$1073=$C441)*($E$2:$E$1073=$E441)*(ROW(R$2:R$1073)&lt;&gt;ROW(R441))*(R$2:R$1073&lt;&gt;""))),"")</f>
        <v>0.20452913106519111</v>
      </c>
      <c r="AA441" cm="1">
        <f t="array" ref="AA441">IFERROR(AVERAGE(_xlfn._xlws.FILTER(S$2:S$1073,($C$2:$C$1073=$C441)*($E$2:$E$1073=$E441)*(ROW(S$2:S$1073)&lt;&gt;ROW(S441))*(S$2:S$1073&lt;&gt;""))),"")</f>
        <v>0.88261377932333573</v>
      </c>
      <c r="AB441" cm="1">
        <f t="array" ref="AB441">IFERROR(AVERAGE(_xlfn._xlws.FILTER(T$2:T$1073,($C$2:$C$1073=$C441)*($E$2:$E$1073=$E441)*(ROW(T$2:T$1073)&lt;&gt;ROW(T441))*(T$2:T$1073&lt;&gt;""))),"")</f>
        <v>0.13882833321125249</v>
      </c>
      <c r="AC441" cm="1">
        <f t="array" ref="AC441">IFERROR(AVERAGE(_xlfn._xlws.FILTER(U$2:U$1073,($C$2:$C$1073=$C441)*($E$2:$E$1073=$E441)*(ROW(U$2:U$1073)&lt;&gt;ROW(U441))*(U$2:U$1073&lt;&gt;""))),"")</f>
        <v>2.508104922096563</v>
      </c>
      <c r="AD441" cm="1">
        <f t="array" ref="AD441">IFERROR(AVERAGE(_xlfn._xlws.FILTER(V$2:V$1073,($C$2:$C$1073=$C441)*($E$2:$E$1073=$E441)*(ROW(V$2:V$1073)&lt;&gt;ROW(V441))*(V$2:V$1073&lt;&gt;""))),"")</f>
        <v>0.71830449456623069</v>
      </c>
      <c r="AE441">
        <f>IF('Дивиденды по годам'!M441&lt;0,1,0)</f>
        <v>0</v>
      </c>
    </row>
    <row r="442" spans="1:31" x14ac:dyDescent="0.2">
      <c r="A442" s="7" t="s">
        <v>2234</v>
      </c>
      <c r="B442" t="str">
        <f t="shared" si="66"/>
        <v>RASP IV кв. 2017</v>
      </c>
      <c r="C442">
        <v>2017</v>
      </c>
      <c r="D442">
        <f>SUMIFS(Дивиденды!$C:$C,Дивиденды!$A:$A,A442,Дивиденды!$I:$I,C442)</f>
        <v>0</v>
      </c>
      <c r="E442">
        <v>3</v>
      </c>
      <c r="F442">
        <f t="shared" si="67"/>
        <v>0</v>
      </c>
      <c r="G442">
        <f t="shared" si="68"/>
        <v>16.068876314825083</v>
      </c>
      <c r="H442">
        <f t="shared" si="69"/>
        <v>0</v>
      </c>
      <c r="I442">
        <f t="shared" si="70"/>
        <v>0.7</v>
      </c>
      <c r="J442">
        <f t="shared" si="71"/>
        <v>0</v>
      </c>
      <c r="K442">
        <f t="shared" si="76"/>
        <v>0.11709302504260524</v>
      </c>
      <c r="L442">
        <f t="shared" si="72"/>
        <v>0</v>
      </c>
      <c r="M442">
        <f t="shared" si="73"/>
        <v>0.5</v>
      </c>
      <c r="N442">
        <f t="shared" si="74"/>
        <v>0</v>
      </c>
      <c r="O442">
        <f t="shared" si="75"/>
        <v>0.2</v>
      </c>
      <c r="P442">
        <f>IFERROR(LN('Дивиденды по годам'!I442),"")</f>
        <v>25.083249359058922</v>
      </c>
      <c r="Q442">
        <f>IFERROR('Дивиденды по годам'!G442/'Дивиденды по годам'!I442, "")</f>
        <v>0.5156482861400894</v>
      </c>
      <c r="R442">
        <f>IFERROR(IF(AND('Дивиденды по годам'!N442&lt;&gt;"",'Дивиденды по годам'!U442&lt;&gt;"",'Дивиденды по годам'!U442&lt;&gt;0),'Дивиденды по годам'!N442/'Дивиденды по годам'!U442-1,""),"")</f>
        <v>0.50367224060249072</v>
      </c>
      <c r="S442">
        <f>IFERROR(IF(AND('Дивиденды по годам'!L442&lt;&gt;"",'Дивиденды по годам'!I442&lt;&gt;"",'Дивиденды по годам'!J442&lt;&gt;"",'Дивиденды по годам'!K442&lt;&gt;"",('Дивиденды по годам'!I442-'Дивиденды по годам'!J442-'Дивиденды по годам'!K442)&lt;&gt;0),'Дивиденды по годам'!L442/('Дивиденды по годам'!I442-'Дивиденды по годам'!J442-'Дивиденды по годам'!K442),""),"")</f>
        <v>1.2371601208459213</v>
      </c>
      <c r="T442">
        <f>IFERROR(IF(AND('Дивиденды по годам'!Q442&lt;&gt;"",'Дивиденды по годам'!I442&lt;&gt;"",'Дивиденды по годам'!V442&lt;&gt;"",('Дивиденды по годам'!I442+'Дивиденды по годам'!V442)&lt;&gt;0),'Дивиденды по годам'!Q442/(('Дивиденды по годам'!I442+'Дивиденды по годам'!V442)/2),""),"")</f>
        <v>0.21774580814033706</v>
      </c>
      <c r="U442">
        <f>IFERROR(IF(AND('Дивиденды по годам'!J442&lt;&gt;"",'Дивиденды по годам'!K442&lt;&gt;"",'Дивиденды по годам'!M442&lt;&gt;"",'Дивиденды по годам'!M442&lt;&gt;0),('Дивиденды по годам'!J442+'Дивиденды по годам'!K442)/'Дивиденды по годам'!M442,""),"")</f>
        <v>1.0271903323262841</v>
      </c>
      <c r="V442">
        <f>IFERROR(IF(AND('Дивиденды по годам'!J442&lt;&gt;"",'Дивиденды по годам'!K442&lt;&gt;"",'Дивиденды по годам'!M442&lt;&gt;"",'Дивиденды по годам'!I442&lt;&gt;0),('Дивиденды по годам'!J442+'Дивиденды по годам'!K442)/'Дивиденды по годам'!I442,""),"")</f>
        <v>0.50670640834575253</v>
      </c>
      <c r="W442">
        <f>IFERROR('Дивиденды по годам'!I442,"")</f>
        <v>78255844921.452118</v>
      </c>
      <c r="X442" cm="1">
        <f t="array" ref="X442">IFERROR(AVERAGE(_xlfn._xlws.FILTER(P$2:P$1073,($C$2:$C$1073=$C442)*($E$2:$E$1073=$E442)*(ROW(P$2:P$1073)&lt;&gt;ROW(P442))*(P$2:P$1073&lt;&gt;""))),"")</f>
        <v>26.690019416853989</v>
      </c>
      <c r="Y442" cm="1">
        <f t="array" ref="Y442">IFERROR(AVERAGE(_xlfn._xlws.FILTER(Q$2:Q$1073,($C$2:$C$1073=$C442)*($E$2:$E$1073=$E442)*(ROW(Q$2:Q$1073)&lt;&gt;ROW(Q442))*(Q$2:Q$1073&lt;&gt;""))),"")</f>
        <v>0.53791216518044482</v>
      </c>
      <c r="Z442" cm="1">
        <f t="array" ref="Z442">IFERROR(AVERAGE(_xlfn._xlws.FILTER(R$2:R$1073,($C$2:$C$1073=$C442)*($E$2:$E$1073=$E442)*(ROW(R$2:R$1073)&lt;&gt;ROW(R442))*(R$2:R$1073&lt;&gt;""))),"")</f>
        <v>5.9903458337037696E-2</v>
      </c>
      <c r="AA442" cm="1">
        <f t="array" ref="AA442">IFERROR(AVERAGE(_xlfn._xlws.FILTER(S$2:S$1073,($C$2:$C$1073=$C442)*($E$2:$E$1073=$E442)*(ROW(S$2:S$1073)&lt;&gt;ROW(S442))*(S$2:S$1073&lt;&gt;""))),"")</f>
        <v>1.039908596590283</v>
      </c>
      <c r="AB442" cm="1">
        <f t="array" ref="AB442">IFERROR(AVERAGE(_xlfn._xlws.FILTER(T$2:T$1073,($C$2:$C$1073=$C442)*($E$2:$E$1073=$E442)*(ROW(T$2:T$1073)&lt;&gt;ROW(T442))*(T$2:T$1073&lt;&gt;""))),"")</f>
        <v>0.11194810240108759</v>
      </c>
      <c r="AC442" cm="1">
        <f t="array" ref="AC442">IFERROR(AVERAGE(_xlfn._xlws.FILTER(U$2:U$1073,($C$2:$C$1073=$C442)*($E$2:$E$1073=$E442)*(ROW(U$2:U$1073)&lt;&gt;ROW(U442))*(U$2:U$1073&lt;&gt;""))),"")</f>
        <v>2.0733410499725742</v>
      </c>
      <c r="AD442" cm="1">
        <f t="array" ref="AD442">IFERROR(AVERAGE(_xlfn._xlws.FILTER(V$2:V$1073,($C$2:$C$1073=$C442)*($E$2:$E$1073=$E442)*(ROW(V$2:V$1073)&lt;&gt;ROW(V442))*(V$2:V$1073&lt;&gt;""))),"")</f>
        <v>0.71125174334554908</v>
      </c>
      <c r="AE442">
        <f>IF('Дивиденды по годам'!M442&lt;0,1,0)</f>
        <v>0</v>
      </c>
    </row>
    <row r="443" spans="1:31" x14ac:dyDescent="0.2">
      <c r="A443" s="7" t="s">
        <v>2234</v>
      </c>
      <c r="B443" t="str">
        <f t="shared" si="66"/>
        <v>RASP IV кв. 2016</v>
      </c>
      <c r="C443">
        <v>2016</v>
      </c>
      <c r="D443">
        <f>SUMIFS(Дивиденды!$C:$C,Дивиденды!$A:$A,A443,Дивиденды!$I:$I,C443)</f>
        <v>0</v>
      </c>
      <c r="E443">
        <v>3</v>
      </c>
      <c r="F443">
        <f t="shared" si="67"/>
        <v>0</v>
      </c>
      <c r="G443">
        <f t="shared" si="68"/>
        <v>12.095639712606381</v>
      </c>
      <c r="H443">
        <f t="shared" si="69"/>
        <v>0</v>
      </c>
      <c r="I443">
        <f t="shared" si="70"/>
        <v>0.7</v>
      </c>
      <c r="J443">
        <f t="shared" si="71"/>
        <v>0</v>
      </c>
      <c r="K443">
        <f t="shared" si="76"/>
        <v>0.68768115603983127</v>
      </c>
      <c r="L443">
        <f t="shared" si="72"/>
        <v>0</v>
      </c>
      <c r="M443">
        <f t="shared" si="73"/>
        <v>0.7</v>
      </c>
      <c r="N443">
        <f t="shared" si="74"/>
        <v>0</v>
      </c>
      <c r="O443">
        <f t="shared" si="75"/>
        <v>0</v>
      </c>
      <c r="P443">
        <f>IFERROR(LN('Дивиденды по годам'!I443),"")</f>
        <v>25.251577513258013</v>
      </c>
      <c r="Q443">
        <f>IFERROR('Дивиденды по годам'!G443/'Дивиденды по годам'!I443, "")</f>
        <v>0.4583635047067342</v>
      </c>
      <c r="R443">
        <f>IFERROR(IF(AND('Дивиденды по годам'!N443&lt;&gt;"",'Дивиденды по годам'!U443&lt;&gt;"",'Дивиденды по годам'!U443&lt;&gt;0),'Дивиденды по годам'!N443/'Дивиденды по годам'!U443-1,""),"")</f>
        <v>0.31162449071745724</v>
      </c>
      <c r="S443">
        <f>IFERROR(IF(AND('Дивиденды по годам'!L443&lt;&gt;"",'Дивиденды по годам'!I443&lt;&gt;"",'Дивиденды по годам'!J443&lt;&gt;"",'Дивиденды по годам'!K443&lt;&gt;"",('Дивиденды по годам'!I443-'Дивиденды по годам'!J443-'Дивиденды по годам'!K443)&lt;&gt;0),'Дивиденды по годам'!L443/('Дивиденды по годам'!I443-'Дивиденды по годам'!J443-'Дивиденды по годам'!K443),""),"")</f>
        <v>1.5510835913312691</v>
      </c>
      <c r="T443">
        <f>IFERROR(IF(AND('Дивиденды по годам'!Q443&lt;&gt;"",'Дивиденды по годам'!I443&lt;&gt;"",'Дивиденды по годам'!V443&lt;&gt;"",('Дивиденды по годам'!I443+'Дивиденды по годам'!V443)&lt;&gt;0),'Дивиденды по годам'!Q443/(('Дивиденды по годам'!I443+'Дивиденды по годам'!V443)/2),""),"")</f>
        <v>0.16878522516712077</v>
      </c>
      <c r="U443">
        <f>IFERROR(IF(AND('Дивиденды по годам'!J443&lt;&gt;"",'Дивиденды по годам'!K443&lt;&gt;"",'Дивиденды по годам'!M443&lt;&gt;"",'Дивиденды по годам'!M443&lt;&gt;0),('Дивиденды по годам'!J443+'Дивиденды по годам'!K443)/'Дивиденды по годам'!M443,""),"")</f>
        <v>3.2755417956656347</v>
      </c>
      <c r="V443">
        <f>IFERROR(IF(AND('Дивиденды по годам'!J443&lt;&gt;"",'Дивиденды по годам'!K443&lt;&gt;"",'Дивиденды по годам'!M443&lt;&gt;"",'Дивиденды по годам'!I443&lt;&gt;0),('Дивиденды по годам'!J443+'Дивиденды по годам'!K443)/'Дивиденды по годам'!I443,""),"")</f>
        <v>0.76611151339608985</v>
      </c>
      <c r="W443">
        <f>IFERROR('Дивиденды по годам'!I443,"")</f>
        <v>92602086732.978653</v>
      </c>
      <c r="X443" cm="1">
        <f t="array" ref="X443">IFERROR(AVERAGE(_xlfn._xlws.FILTER(P$2:P$1073,($C$2:$C$1073=$C443)*($E$2:$E$1073=$E443)*(ROW(P$2:P$1073)&lt;&gt;ROW(P443))*(P$2:P$1073&lt;&gt;""))),"")</f>
        <v>26.673881102305103</v>
      </c>
      <c r="Y443" cm="1">
        <f t="array" ref="Y443">IFERROR(AVERAGE(_xlfn._xlws.FILTER(Q$2:Q$1073,($C$2:$C$1073=$C443)*($E$2:$E$1073=$E443)*(ROW(Q$2:Q$1073)&lt;&gt;ROW(Q443))*(Q$2:Q$1073&lt;&gt;""))),"")</f>
        <v>0.51475775338211605</v>
      </c>
      <c r="Z443" cm="1">
        <f t="array" ref="Z443">IFERROR(AVERAGE(_xlfn._xlws.FILTER(R$2:R$1073,($C$2:$C$1073=$C443)*($E$2:$E$1073=$E443)*(ROW(R$2:R$1073)&lt;&gt;ROW(R443))*(R$2:R$1073&lt;&gt;""))),"")</f>
        <v>0.1170073479213409</v>
      </c>
      <c r="AA443" cm="1">
        <f t="array" ref="AA443">IFERROR(AVERAGE(_xlfn._xlws.FILTER(S$2:S$1073,($C$2:$C$1073=$C443)*($E$2:$E$1073=$E443)*(ROW(S$2:S$1073)&lt;&gt;ROW(S443))*(S$2:S$1073&lt;&gt;""))),"")</f>
        <v>0.17146409975786267</v>
      </c>
      <c r="AB443" cm="1">
        <f t="array" ref="AB443">IFERROR(AVERAGE(_xlfn._xlws.FILTER(T$2:T$1073,($C$2:$C$1073=$C443)*($E$2:$E$1073=$E443)*(ROW(T$2:T$1073)&lt;&gt;ROW(T443))*(T$2:T$1073&lt;&gt;""))),"")</f>
        <v>0.1611807951529515</v>
      </c>
      <c r="AC443" cm="1">
        <f t="array" ref="AC443">IFERROR(AVERAGE(_xlfn._xlws.FILTER(U$2:U$1073,($C$2:$C$1073=$C443)*($E$2:$E$1073=$E443)*(ROW(U$2:U$1073)&lt;&gt;ROW(U443))*(U$2:U$1073&lt;&gt;""))),"")</f>
        <v>-0.15525714189082604</v>
      </c>
      <c r="AD443" cm="1">
        <f t="array" ref="AD443">IFERROR(AVERAGE(_xlfn._xlws.FILTER(V$2:V$1073,($C$2:$C$1073=$C443)*($E$2:$E$1073=$E443)*(ROW(V$2:V$1073)&lt;&gt;ROW(V443))*(V$2:V$1073&lt;&gt;""))),"")</f>
        <v>0.74508791139938713</v>
      </c>
      <c r="AE443">
        <f>IF('Дивиденды по годам'!M443&lt;0,1,0)</f>
        <v>0</v>
      </c>
    </row>
    <row r="444" spans="1:31" x14ac:dyDescent="0.2">
      <c r="A444" s="7" t="s">
        <v>2234</v>
      </c>
      <c r="B444" t="str">
        <f t="shared" si="66"/>
        <v>RASP IV кв. 2015</v>
      </c>
      <c r="C444">
        <v>2015</v>
      </c>
      <c r="D444">
        <f>SUMIFS(Дивиденды!$C:$C,Дивиденды!$A:$A,A444,Дивиденды!$I:$I,C444)</f>
        <v>0</v>
      </c>
      <c r="E444">
        <v>3</v>
      </c>
      <c r="F444">
        <f t="shared" si="67"/>
        <v>0</v>
      </c>
      <c r="G444">
        <f t="shared" si="68"/>
        <v>7.2240627742857146</v>
      </c>
      <c r="H444">
        <f t="shared" si="69"/>
        <v>0</v>
      </c>
      <c r="I444">
        <f t="shared" si="70"/>
        <v>0.6</v>
      </c>
      <c r="J444">
        <f t="shared" si="71"/>
        <v>0</v>
      </c>
      <c r="K444">
        <f t="shared" si="76"/>
        <v>0.8808871705905531</v>
      </c>
      <c r="L444">
        <f t="shared" si="72"/>
        <v>0</v>
      </c>
      <c r="M444">
        <f t="shared" si="73"/>
        <v>0.5</v>
      </c>
      <c r="N444">
        <f t="shared" si="74"/>
        <v>0</v>
      </c>
      <c r="O444">
        <f t="shared" si="75"/>
        <v>0.1</v>
      </c>
      <c r="P444">
        <f>IFERROR(LN('Дивиденды по годам'!I444),"")</f>
        <v>24.71944886439827</v>
      </c>
      <c r="Q444">
        <f>IFERROR('Дивиденды по годам'!G444/'Дивиденды по годам'!I444, "")</f>
        <v>0.56193693693693691</v>
      </c>
      <c r="R444">
        <f>IFERROR(IF(AND('Дивиденды по годам'!N444&lt;&gt;"",'Дивиденды по годам'!U444&lt;&gt;"",'Дивиденды по годам'!U444&lt;&gt;0),'Дивиденды по годам'!N444/'Дивиденды по годам'!U444-1,""),"")</f>
        <v>0.4932607852969968</v>
      </c>
      <c r="S444">
        <f>IFERROR(IF(AND('Дивиденды по годам'!L444&lt;&gt;"",'Дивиденды по годам'!I444&lt;&gt;"",'Дивиденды по годам'!J444&lt;&gt;"",'Дивиденды по годам'!K444&lt;&gt;"",('Дивиденды по годам'!I444-'Дивиденды по годам'!J444-'Дивиденды по годам'!K444)&lt;&gt;0),'Дивиденды по годам'!L444/('Дивиденды по годам'!I444-'Дивиденды по годам'!J444-'Дивиденды по годам'!K444),""),"")</f>
        <v>3.0980392156862755</v>
      </c>
      <c r="T444">
        <f>IFERROR(IF(AND('Дивиденды по годам'!Q444&lt;&gt;"",'Дивиденды по годам'!I444&lt;&gt;"",'Дивиденды по годам'!V444&lt;&gt;"",('Дивиденды по годам'!I444+'Дивиденды по годам'!V444)&lt;&gt;0),'Дивиденды по годам'!Q444/(('Дивиденды по годам'!I444+'Дивиденды по годам'!V444)/2),""),"")</f>
        <v>-0.16829033095142062</v>
      </c>
      <c r="U444">
        <f>IFERROR(IF(AND('Дивиденды по годам'!J444&lt;&gt;"",'Дивиденды по годам'!K444&lt;&gt;"",'Дивиденды по годам'!M444&lt;&gt;"",'Дивиденды по годам'!M444&lt;&gt;0),('Дивиденды по годам'!J444+'Дивиденды по годам'!K444)/'Дивиденды по годам'!M444,""),"")</f>
        <v>7.7058823529411766</v>
      </c>
      <c r="V444">
        <f>IFERROR(IF(AND('Дивиденды по годам'!J444&lt;&gt;"",'Дивиденды по годам'!K444&lt;&gt;"",'Дивиденды по годам'!M444&lt;&gt;"",'Дивиденды по годам'!I444&lt;&gt;0),('Дивиденды по годам'!J444+'Дивиденды по годам'!K444)/'Дивиденды по годам'!I444,""),"")</f>
        <v>0.8851351351351352</v>
      </c>
      <c r="W444">
        <f>IFERROR('Дивиденды по годам'!I444,"")</f>
        <v>54390147615.584419</v>
      </c>
      <c r="X444" cm="1">
        <f t="array" ref="X444">IFERROR(AVERAGE(_xlfn._xlws.FILTER(P$2:P$1073,($C$2:$C$1073=$C444)*($E$2:$E$1073=$E444)*(ROW(P$2:P$1073)&lt;&gt;ROW(P444))*(P$2:P$1073&lt;&gt;""))),"")</f>
        <v>26.521817623187832</v>
      </c>
      <c r="Y444" cm="1">
        <f t="array" ref="Y444">IFERROR(AVERAGE(_xlfn._xlws.FILTER(Q$2:Q$1073,($C$2:$C$1073=$C444)*($E$2:$E$1073=$E444)*(ROW(Q$2:Q$1073)&lt;&gt;ROW(Q444))*(Q$2:Q$1073&lt;&gt;""))),"")</f>
        <v>0.49227415091755622</v>
      </c>
      <c r="Z444" cm="1">
        <f t="array" ref="Z444">IFERROR(AVERAGE(_xlfn._xlws.FILTER(R$2:R$1073,($C$2:$C$1073=$C444)*($E$2:$E$1073=$E444)*(ROW(R$2:R$1073)&lt;&gt;ROW(R444))*(R$2:R$1073&lt;&gt;""))),"")</f>
        <v>0.22642968917736311</v>
      </c>
      <c r="AA444" cm="1">
        <f t="array" ref="AA444">IFERROR(AVERAGE(_xlfn._xlws.FILTER(S$2:S$1073,($C$2:$C$1073=$C444)*($E$2:$E$1073=$E444)*(ROW(S$2:S$1073)&lt;&gt;ROW(S444))*(S$2:S$1073&lt;&gt;""))),"")</f>
        <v>0.7304780197015448</v>
      </c>
      <c r="AB444" cm="1">
        <f t="array" ref="AB444">IFERROR(AVERAGE(_xlfn._xlws.FILTER(T$2:T$1073,($C$2:$C$1073=$C444)*($E$2:$E$1073=$E444)*(ROW(T$2:T$1073)&lt;&gt;ROW(T444))*(T$2:T$1073&lt;&gt;""))),"")</f>
        <v>4.4553823003074748E-2</v>
      </c>
      <c r="AC444" cm="1">
        <f t="array" ref="AC444">IFERROR(AVERAGE(_xlfn._xlws.FILTER(U$2:U$1073,($C$2:$C$1073=$C444)*($E$2:$E$1073=$E444)*(ROW(U$2:U$1073)&lt;&gt;ROW(U444))*(U$2:U$1073&lt;&gt;""))),"")</f>
        <v>2.525470619519294</v>
      </c>
      <c r="AD444" cm="1">
        <f t="array" ref="AD444">IFERROR(AVERAGE(_xlfn._xlws.FILTER(V$2:V$1073,($C$2:$C$1073=$C444)*($E$2:$E$1073=$E444)*(ROW(V$2:V$1073)&lt;&gt;ROW(V444))*(V$2:V$1073&lt;&gt;""))),"")</f>
        <v>0.78167299264210066</v>
      </c>
      <c r="AE444">
        <f>IF('Дивиденды по годам'!M444&lt;0,1,0)</f>
        <v>0</v>
      </c>
    </row>
    <row r="445" spans="1:31" x14ac:dyDescent="0.2">
      <c r="A445" s="7" t="s">
        <v>2234</v>
      </c>
      <c r="B445" t="str">
        <f t="shared" si="66"/>
        <v>RASP IV кв. 2014</v>
      </c>
      <c r="C445">
        <v>2014</v>
      </c>
      <c r="D445">
        <f>SUMIFS(Дивиденды!$C:$C,Дивиденды!$A:$A,A445,Дивиденды!$I:$I,C445)</f>
        <v>0</v>
      </c>
      <c r="E445">
        <v>3</v>
      </c>
      <c r="F445">
        <f t="shared" si="67"/>
        <v>0</v>
      </c>
      <c r="G445">
        <f t="shared" si="68"/>
        <v>7.8559999999999999</v>
      </c>
      <c r="H445">
        <f t="shared" si="69"/>
        <v>0</v>
      </c>
      <c r="I445">
        <f t="shared" si="70"/>
        <v>0.5</v>
      </c>
      <c r="J445">
        <f t="shared" si="71"/>
        <v>0</v>
      </c>
      <c r="K445">
        <f t="shared" si="76"/>
        <v>1.0733185192796773</v>
      </c>
      <c r="L445">
        <f t="shared" si="72"/>
        <v>0</v>
      </c>
      <c r="M445">
        <f t="shared" si="73"/>
        <v>0.3</v>
      </c>
      <c r="N445">
        <f t="shared" si="74"/>
        <v>0</v>
      </c>
      <c r="O445">
        <f t="shared" si="75"/>
        <v>0.1</v>
      </c>
      <c r="P445">
        <f>IFERROR(LN('Дивиденды по годам'!I445),"")</f>
        <v>24.342972059042022</v>
      </c>
      <c r="Q445">
        <f>IFERROR('Дивиденды по годам'!G445/'Дивиденды по годам'!I445, "")</f>
        <v>0.76337020148891832</v>
      </c>
      <c r="R445">
        <f>IFERROR(IF(AND('Дивиденды по годам'!N445&lt;&gt;"",'Дивиденды по годам'!U445&lt;&gt;"",'Дивиденды по годам'!U445&lt;&gt;0),'Дивиденды по годам'!N445/'Дивиденды по годам'!U445-1,""),"")</f>
        <v>-1.1106540387522457E-2</v>
      </c>
      <c r="S445">
        <f>IFERROR(IF(AND('Дивиденды по годам'!L445&lt;&gt;"",'Дивиденды по годам'!I445&lt;&gt;"",'Дивиденды по годам'!J445&lt;&gt;"",'Дивиденды по годам'!K445&lt;&gt;"",('Дивиденды по годам'!I445-'Дивиденды по годам'!J445-'Дивиденды по годам'!K445)&lt;&gt;0),'Дивиденды по годам'!L445/('Дивиденды по годам'!I445-'Дивиденды по годам'!J445-'Дивиденды по годам'!K445),""),"")</f>
        <v>1.5592442131098985</v>
      </c>
      <c r="T445">
        <f>IFERROR(IF(AND('Дивиденды по годам'!Q445&lt;&gt;"",'Дивиденды по годам'!I445&lt;&gt;"",'Дивиденды по годам'!V445&lt;&gt;"",('Дивиденды по годам'!I445+'Дивиденды по годам'!V445)&lt;&gt;0),'Дивиденды по годам'!Q445/(('Дивиденды по годам'!I445+'Дивиденды по годам'!V445)/2),""),"")</f>
        <v>-0.2629181118909007</v>
      </c>
      <c r="U445">
        <f>IFERROR(IF(AND('Дивиденды по годам'!J445&lt;&gt;"",'Дивиденды по годам'!K445&lt;&gt;"",'Дивиденды по годам'!M445&lt;&gt;"",'Дивиденды по годам'!M445&lt;&gt;0),('Дивиденды по годам'!J445+'Дивиденды по годам'!K445)/'Дивиденды по годам'!M445,""),"")</f>
        <v>2.3958959276656366</v>
      </c>
      <c r="V445">
        <f>IFERROR(IF(AND('Дивиденды по годам'!J445&lt;&gt;"",'Дивиденды по годам'!K445&lt;&gt;"",'Дивиденды по годам'!M445&lt;&gt;"",'Дивиденды по годам'!I445&lt;&gt;0),('Дивиденды по годам'!J445+'Дивиденды по годам'!K445)/'Дивиденды по годам'!I445,""),"")</f>
        <v>0.70552690032305931</v>
      </c>
      <c r="W445">
        <f>IFERROR('Дивиденды по годам'!I445,"")</f>
        <v>37326600480.684021</v>
      </c>
      <c r="X445" cm="1">
        <f t="array" ref="X445">IFERROR(AVERAGE(_xlfn._xlws.FILTER(P$2:P$1073,($C$2:$C$1073=$C445)*($E$2:$E$1073=$E445)*(ROW(P$2:P$1073)&lt;&gt;ROW(P445))*(P$2:P$1073&lt;&gt;""))),"")</f>
        <v>26.515467706469089</v>
      </c>
      <c r="Y445" cm="1">
        <f t="array" ref="Y445">IFERROR(AVERAGE(_xlfn._xlws.FILTER(Q$2:Q$1073,($C$2:$C$1073=$C445)*($E$2:$E$1073=$E445)*(ROW(Q$2:Q$1073)&lt;&gt;ROW(Q445))*(Q$2:Q$1073&lt;&gt;""))),"")</f>
        <v>0.48848486961899112</v>
      </c>
      <c r="Z445" cm="1">
        <f t="array" ref="Z445">IFERROR(AVERAGE(_xlfn._xlws.FILTER(R$2:R$1073,($C$2:$C$1073=$C445)*($E$2:$E$1073=$E445)*(ROW(R$2:R$1073)&lt;&gt;ROW(R445))*(R$2:R$1073&lt;&gt;""))),"")</f>
        <v>8.8569168167500906E-2</v>
      </c>
      <c r="AA445" cm="1">
        <f t="array" ref="AA445">IFERROR(AVERAGE(_xlfn._xlws.FILTER(S$2:S$1073,($C$2:$C$1073=$C445)*($E$2:$E$1073=$E445)*(ROW(S$2:S$1073)&lt;&gt;ROW(S445))*(S$2:S$1073&lt;&gt;""))),"")</f>
        <v>0.69946185564954544</v>
      </c>
      <c r="AB445" cm="1">
        <f t="array" ref="AB445">IFERROR(AVERAGE(_xlfn._xlws.FILTER(T$2:T$1073,($C$2:$C$1073=$C445)*($E$2:$E$1073=$E445)*(ROW(T$2:T$1073)&lt;&gt;ROW(T445))*(T$2:T$1073&lt;&gt;""))),"")</f>
        <v>-5.4369344087638452E-2</v>
      </c>
      <c r="AC445" cm="1">
        <f t="array" ref="AC445">IFERROR(AVERAGE(_xlfn._xlws.FILTER(U$2:U$1073,($C$2:$C$1073=$C445)*($E$2:$E$1073=$E445)*(ROW(U$2:U$1073)&lt;&gt;ROW(U445))*(U$2:U$1073&lt;&gt;""))),"")</f>
        <v>1.5413236730524364</v>
      </c>
      <c r="AD445" cm="1">
        <f t="array" ref="AD445">IFERROR(AVERAGE(_xlfn._xlws.FILTER(V$2:V$1073,($C$2:$C$1073=$C445)*($E$2:$E$1073=$E445)*(ROW(V$2:V$1073)&lt;&gt;ROW(V445))*(V$2:V$1073&lt;&gt;""))),"")</f>
        <v>0.71243159166500869</v>
      </c>
      <c r="AE445">
        <f>IF('Дивиденды по годам'!M445&lt;0,1,0)</f>
        <v>0</v>
      </c>
    </row>
    <row r="446" spans="1:31" x14ac:dyDescent="0.2">
      <c r="A446" s="7" t="s">
        <v>2234</v>
      </c>
      <c r="B446" t="str">
        <f t="shared" si="66"/>
        <v>RASP IV кв. 2013</v>
      </c>
      <c r="C446">
        <v>2013</v>
      </c>
      <c r="D446">
        <f>SUMIFS(Дивиденды!$C:$C,Дивиденды!$A:$A,A446,Дивиденды!$I:$I,C446)</f>
        <v>0</v>
      </c>
      <c r="E446">
        <v>3</v>
      </c>
      <c r="F446">
        <f t="shared" si="67"/>
        <v>0</v>
      </c>
      <c r="G446">
        <f t="shared" si="68"/>
        <v>1.2260000000000002</v>
      </c>
      <c r="H446">
        <f t="shared" si="69"/>
        <v>0</v>
      </c>
      <c r="I446">
        <f t="shared" si="70"/>
        <v>0.4</v>
      </c>
      <c r="J446">
        <f t="shared" si="71"/>
        <v>0</v>
      </c>
      <c r="K446">
        <f t="shared" si="76"/>
        <v>-0.20386411043374064</v>
      </c>
      <c r="L446">
        <f t="shared" si="72"/>
        <v>0</v>
      </c>
      <c r="M446">
        <f t="shared" si="73"/>
        <v>0.2</v>
      </c>
      <c r="N446">
        <f t="shared" si="74"/>
        <v>0</v>
      </c>
      <c r="O446">
        <f t="shared" si="75"/>
        <v>0.4</v>
      </c>
      <c r="P446">
        <f>IFERROR(LN('Дивиденды по годам'!I446),"")</f>
        <v>24.690899223367481</v>
      </c>
      <c r="Q446">
        <f>IFERROR('Дивиденды по годам'!G446/'Дивиденды по годам'!I446, "")</f>
        <v>0.82809242011136275</v>
      </c>
      <c r="R446">
        <f>IFERROR(IF(AND('Дивиденды по годам'!N446&lt;&gt;"",'Дивиденды по годам'!U446&lt;&gt;"",'Дивиденды по годам'!U446&lt;&gt;0),'Дивиденды по годам'!N446/'Дивиденды по годам'!U446-1,""),"")</f>
        <v>5.1378949613713587E-2</v>
      </c>
      <c r="S446" t="str">
        <f>IFERROR(IF(AND('Дивиденды по годам'!L446&lt;&gt;"",'Дивиденды по годам'!I446&lt;&gt;"",'Дивиденды по годам'!J446&lt;&gt;"",'Дивиденды по годам'!K446&lt;&gt;"",('Дивиденды по годам'!I446-'Дивиденды по годам'!J446-'Дивиденды по годам'!K446)&lt;&gt;0),'Дивиденды по годам'!L446/('Дивиденды по годам'!I446-'Дивиденды по годам'!J446-'Дивиденды по годам'!K446),""),"")</f>
        <v/>
      </c>
      <c r="T446">
        <f>IFERROR(IF(AND('Дивиденды по годам'!Q446&lt;&gt;"",'Дивиденды по годам'!I446&lt;&gt;"",'Дивиденды по годам'!V446&lt;&gt;"",('Дивиденды по годам'!I446+'Дивиденды по годам'!V446)&lt;&gt;0),'Дивиденды по годам'!Q446/(('Дивиденды по годам'!I446+'Дивиденды по годам'!V446)/2),""),"")</f>
        <v>-7.1230387021502709E-2</v>
      </c>
      <c r="U446">
        <f>IFERROR(IF(AND('Дивиденды по годам'!J446&lt;&gt;"",'Дивиденды по годам'!K446&lt;&gt;"",'Дивиденды по годам'!M446&lt;&gt;"",'Дивиденды по годам'!M446&lt;&gt;0),('Дивиденды по годам'!J446+'Дивиденды по годам'!K446)/'Дивиденды по годам'!M446,""),"")</f>
        <v>0.8721587286181669</v>
      </c>
      <c r="V446">
        <f>IFERROR(IF(AND('Дивиденды по годам'!J446&lt;&gt;"",'Дивиденды по годам'!K446&lt;&gt;"",'Дивиденды по годам'!M446&lt;&gt;"",'Дивиденды по годам'!I446&lt;&gt;0),('Дивиденды по годам'!J446+'Дивиденды по годам'!K446)/'Дивиденды по годам'!I446,""),"")</f>
        <v>0.46585725627116242</v>
      </c>
      <c r="W446">
        <f>IFERROR('Дивиденды по годам'!I446,"")</f>
        <v>52859285191.999992</v>
      </c>
      <c r="X446" cm="1">
        <f t="array" ref="X446">IFERROR(AVERAGE(_xlfn._xlws.FILTER(P$2:P$1073,($C$2:$C$1073=$C446)*($E$2:$E$1073=$E446)*(ROW(P$2:P$1073)&lt;&gt;ROW(P446))*(P$2:P$1073&lt;&gt;""))),"")</f>
        <v>26.657148853003566</v>
      </c>
      <c r="Y446" cm="1">
        <f t="array" ref="Y446">IFERROR(AVERAGE(_xlfn._xlws.FILTER(Q$2:Q$1073,($C$2:$C$1073=$C446)*($E$2:$E$1073=$E446)*(ROW(Q$2:Q$1073)&lt;&gt;ROW(Q446))*(Q$2:Q$1073&lt;&gt;""))),"")</f>
        <v>0.54588424726175078</v>
      </c>
      <c r="Z446" cm="1">
        <f t="array" ref="Z446">IFERROR(AVERAGE(_xlfn._xlws.FILTER(R$2:R$1073,($C$2:$C$1073=$C446)*($E$2:$E$1073=$E446)*(ROW(R$2:R$1073)&lt;&gt;ROW(R446))*(R$2:R$1073&lt;&gt;""))),"")</f>
        <v>-5.7714679380849329E-2</v>
      </c>
      <c r="AA446" cm="1">
        <f t="array" ref="AA446">IFERROR(AVERAGE(_xlfn._xlws.FILTER(S$2:S$1073,($C$2:$C$1073=$C446)*($E$2:$E$1073=$E446)*(ROW(S$2:S$1073)&lt;&gt;ROW(S446))*(S$2:S$1073&lt;&gt;""))),"")</f>
        <v>1.1343753445927802</v>
      </c>
      <c r="AB446" cm="1">
        <f t="array" ref="AB446">IFERROR(AVERAGE(_xlfn._xlws.FILTER(T$2:T$1073,($C$2:$C$1073=$C446)*($E$2:$E$1073=$E446)*(ROW(T$2:T$1073)&lt;&gt;ROW(T446))*(T$2:T$1073&lt;&gt;""))),"")</f>
        <v>-2.6098002761452514E-2</v>
      </c>
      <c r="AC446" cm="1">
        <f t="array" ref="AC446">IFERROR(AVERAGE(_xlfn._xlws.FILTER(U$2:U$1073,($C$2:$C$1073=$C446)*($E$2:$E$1073=$E446)*(ROW(U$2:U$1073)&lt;&gt;ROW(U446))*(U$2:U$1073&lt;&gt;""))),"")</f>
        <v>3.3930310386892062</v>
      </c>
      <c r="AD446" cm="1">
        <f t="array" ref="AD446">IFERROR(AVERAGE(_xlfn._xlws.FILTER(V$2:V$1073,($C$2:$C$1073=$C446)*($E$2:$E$1073=$E446)*(ROW(V$2:V$1073)&lt;&gt;ROW(V446))*(V$2:V$1073&lt;&gt;""))),"")</f>
        <v>0.57572490110618313</v>
      </c>
      <c r="AE446">
        <f>IF('Дивиденды по годам'!M446&lt;0,1,0)</f>
        <v>0</v>
      </c>
    </row>
    <row r="447" spans="1:31" x14ac:dyDescent="0.2">
      <c r="A447" s="7" t="s">
        <v>2234</v>
      </c>
      <c r="B447" t="str">
        <f t="shared" si="66"/>
        <v>RASP IV кв. 2012</v>
      </c>
      <c r="C447">
        <v>2012</v>
      </c>
      <c r="D447">
        <f>SUMIFS(Дивиденды!$C:$C,Дивиденды!$A:$A,A447,Дивиденды!$I:$I,C447)</f>
        <v>0</v>
      </c>
      <c r="E447">
        <v>3</v>
      </c>
      <c r="F447">
        <f t="shared" si="67"/>
        <v>0</v>
      </c>
      <c r="G447">
        <f t="shared" si="68"/>
        <v>2.1309999999999998</v>
      </c>
      <c r="H447">
        <f t="shared" si="69"/>
        <v>0</v>
      </c>
      <c r="I447">
        <f t="shared" si="70"/>
        <v>0.6</v>
      </c>
      <c r="J447">
        <f t="shared" si="71"/>
        <v>-1</v>
      </c>
      <c r="K447">
        <f t="shared" si="76"/>
        <v>-8.4000436197696815E-2</v>
      </c>
      <c r="L447">
        <f t="shared" si="72"/>
        <v>0</v>
      </c>
      <c r="M447">
        <f t="shared" si="73"/>
        <v>0.3</v>
      </c>
      <c r="N447">
        <f t="shared" si="74"/>
        <v>1</v>
      </c>
      <c r="O447">
        <f t="shared" si="75"/>
        <v>0.5</v>
      </c>
      <c r="P447">
        <f>IFERROR(LN('Дивиденды по годам'!I447),"")</f>
        <v>24.81776458289745</v>
      </c>
      <c r="Q447">
        <f>IFERROR('Дивиденды по годам'!G447/'Дивиденды по годам'!I447, "")</f>
        <v>0.77289698678837326</v>
      </c>
      <c r="R447">
        <f>IFERROR(IF(AND('Дивиденды по годам'!N447&lt;&gt;"",'Дивиденды по годам'!U447&lt;&gt;"",'Дивиденды по годам'!U447&lt;&gt;0),'Дивиденды по годам'!N447/'Дивиденды по годам'!U447-1,""),"")</f>
        <v>-0.225722703925753</v>
      </c>
      <c r="S447" t="str">
        <f>IFERROR(IF(AND('Дивиденды по годам'!L447&lt;&gt;"",'Дивиденды по годам'!I447&lt;&gt;"",'Дивиденды по годам'!J447&lt;&gt;"",'Дивиденды по годам'!K447&lt;&gt;"",('Дивиденды по годам'!I447-'Дивиденды по годам'!J447-'Дивиденды по годам'!K447)&lt;&gt;0),'Дивиденды по годам'!L447/('Дивиденды по годам'!I447-'Дивиденды по годам'!J447-'Дивиденды по годам'!K447),""),"")</f>
        <v/>
      </c>
      <c r="T447">
        <f>IFERROR(IF(AND('Дивиденды по годам'!Q447&lt;&gt;"",'Дивиденды по годам'!I447&lt;&gt;"",'Дивиденды по годам'!V447&lt;&gt;"",('Дивиденды по годам'!I447+'Дивиденды по годам'!V447)&lt;&gt;0),'Дивиденды по годам'!Q447/(('Дивиденды по годам'!I447+'Дивиденды по годам'!V447)/2),""),"")</f>
        <v>-1.6291299839439843E-2</v>
      </c>
      <c r="U447">
        <f>IFERROR(IF(AND('Дивиденды по годам'!J447&lt;&gt;"",'Дивиденды по годам'!K447&lt;&gt;"",'Дивиденды по годам'!M447&lt;&gt;"",'Дивиденды по годам'!M447&lt;&gt;0),('Дивиденды по годам'!J447+'Дивиденды по годам'!K447)/'Дивиденды по годам'!M447,""),"")</f>
        <v>0.76183488614724626</v>
      </c>
      <c r="V447">
        <f>IFERROR(IF(AND('Дивиденды по годам'!J447&lt;&gt;"",'Дивиденды по годам'!K447&lt;&gt;"",'Дивиденды по годам'!M447&lt;&gt;"",'Дивиденды по годам'!I447&lt;&gt;0),('Дивиденды по годам'!J447+'Дивиденды по годам'!K447)/'Дивиденды по годам'!I447,""),"")</f>
        <v>0.43240992225623098</v>
      </c>
      <c r="W447">
        <f>IFERROR('Дивиденды по годам'!I447,"")</f>
        <v>60009251736.951691</v>
      </c>
      <c r="X447" cm="1">
        <f t="array" ref="X447">IFERROR(AVERAGE(_xlfn._xlws.FILTER(P$2:P$1073,($C$2:$C$1073=$C447)*($E$2:$E$1073=$E447)*(ROW(P$2:P$1073)&lt;&gt;ROW(P447))*(P$2:P$1073&lt;&gt;""))),"")</f>
        <v>26.946900352096634</v>
      </c>
      <c r="Y447" cm="1">
        <f t="array" ref="Y447">IFERROR(AVERAGE(_xlfn._xlws.FILTER(Q$2:Q$1073,($C$2:$C$1073=$C447)*($E$2:$E$1073=$E447)*(ROW(Q$2:Q$1073)&lt;&gt;ROW(Q447))*(Q$2:Q$1073&lt;&gt;""))),"")</f>
        <v>0.46848506221949954</v>
      </c>
      <c r="Z447" cm="1">
        <f t="array" ref="Z447">IFERROR(AVERAGE(_xlfn._xlws.FILTER(R$2:R$1073,($C$2:$C$1073=$C447)*($E$2:$E$1073=$E447)*(ROW(R$2:R$1073)&lt;&gt;ROW(R447))*(R$2:R$1073&lt;&gt;""))),"")</f>
        <v>3.0290789032555981E-2</v>
      </c>
      <c r="AA447" t="str" cm="1">
        <f t="array" ref="AA447">IFERROR(AVERAGE(_xlfn._xlws.FILTER(S$2:S$1073,($C$2:$C$1073=$C447)*($E$2:$E$1073=$E447)*(ROW(S$2:S$1073)&lt;&gt;ROW(S447))*(S$2:S$1073&lt;&gt;""))),"")</f>
        <v/>
      </c>
      <c r="AB447" cm="1">
        <f t="array" ref="AB447">IFERROR(AVERAGE(_xlfn._xlws.FILTER(T$2:T$1073,($C$2:$C$1073=$C447)*($E$2:$E$1073=$E447)*(ROW(T$2:T$1073)&lt;&gt;ROW(T447))*(T$2:T$1073&lt;&gt;""))),"")</f>
        <v>5.921060014671279E-2</v>
      </c>
      <c r="AC447" cm="1">
        <f t="array" ref="AC447">IFERROR(AVERAGE(_xlfn._xlws.FILTER(U$2:U$1073,($C$2:$C$1073=$C447)*($E$2:$E$1073=$E447)*(ROW(U$2:U$1073)&lt;&gt;ROW(U447))*(U$2:U$1073&lt;&gt;""))),"")</f>
        <v>1.4469621489365216</v>
      </c>
      <c r="AD447" cm="1">
        <f t="array" ref="AD447">IFERROR(AVERAGE(_xlfn._xlws.FILTER(V$2:V$1073,($C$2:$C$1073=$C447)*($E$2:$E$1073=$E447)*(ROW(V$2:V$1073)&lt;&gt;ROW(V447))*(V$2:V$1073&lt;&gt;""))),"")</f>
        <v>0.43922036905847078</v>
      </c>
      <c r="AE447">
        <f>IF('Дивиденды по годам'!M447&lt;0,1,0)</f>
        <v>0</v>
      </c>
    </row>
    <row r="448" spans="1:31" x14ac:dyDescent="0.2">
      <c r="A448" s="7" t="s">
        <v>2234</v>
      </c>
      <c r="B448" t="str">
        <f t="shared" si="66"/>
        <v>RASP IV кв. 2011</v>
      </c>
      <c r="C448">
        <v>2011</v>
      </c>
      <c r="D448">
        <f>SUMIFS(Дивиденды!$C:$C,Дивиденды!$A:$A,A448,Дивиденды!$I:$I,C448)</f>
        <v>5</v>
      </c>
      <c r="E448">
        <v>3</v>
      </c>
      <c r="F448">
        <f t="shared" si="67"/>
        <v>5</v>
      </c>
      <c r="G448">
        <f t="shared" si="68"/>
        <v>3.2659999999999996</v>
      </c>
      <c r="H448">
        <f t="shared" si="69"/>
        <v>1</v>
      </c>
      <c r="I448">
        <f t="shared" si="70"/>
        <v>0.7</v>
      </c>
      <c r="J448">
        <f t="shared" si="71"/>
        <v>1</v>
      </c>
      <c r="K448">
        <f t="shared" si="76"/>
        <v>0.68130568048052598</v>
      </c>
      <c r="L448">
        <f t="shared" si="72"/>
        <v>1</v>
      </c>
      <c r="M448">
        <f t="shared" si="73"/>
        <v>0.5</v>
      </c>
      <c r="N448">
        <f t="shared" si="74"/>
        <v>0</v>
      </c>
      <c r="O448">
        <f t="shared" si="75"/>
        <v>0.3</v>
      </c>
      <c r="P448">
        <f>IFERROR(LN('Дивиденды по годам'!I448),"")</f>
        <v>24.786492238730631</v>
      </c>
      <c r="Q448">
        <f>IFERROR('Дивиденды по годам'!G448/'Дивиденды по годам'!I448, "")</f>
        <v>0.73897237989125053</v>
      </c>
      <c r="R448" t="str">
        <f>IFERROR(IF(AND('Дивиденды по годам'!N448&lt;&gt;"",'Дивиденды по годам'!U448&lt;&gt;"",'Дивиденды по годам'!U448&lt;&gt;0),'Дивиденды по годам'!N448/'Дивиденды по годам'!U448-1,""),"")</f>
        <v/>
      </c>
      <c r="S448" t="str">
        <f>IFERROR(IF(AND('Дивиденды по годам'!L448&lt;&gt;"",'Дивиденды по годам'!I448&lt;&gt;"",'Дивиденды по годам'!J448&lt;&gt;"",'Дивиденды по годам'!K448&lt;&gt;"",('Дивиденды по годам'!I448-'Дивиденды по годам'!J448-'Дивиденды по годам'!K448)&lt;&gt;0),'Дивиденды по годам'!L448/('Дивиденды по годам'!I448-'Дивиденды по годам'!J448-'Дивиденды по годам'!K448),""),"")</f>
        <v/>
      </c>
      <c r="T448" t="str">
        <f>IFERROR(IF(AND('Дивиденды по годам'!Q448&lt;&gt;"",'Дивиденды по годам'!I448&lt;&gt;"",'Дивиденды по годам'!V448&lt;&gt;"",('Дивиденды по годам'!I448+'Дивиденды по годам'!V448)&lt;&gt;0),'Дивиденды по годам'!Q448/(('Дивиденды по годам'!I448+'Дивиденды по годам'!V448)/2),""),"")</f>
        <v/>
      </c>
      <c r="U448">
        <f>IFERROR(IF(AND('Дивиденды по годам'!J448&lt;&gt;"",'Дивиденды по годам'!K448&lt;&gt;"",'Дивиденды по годам'!M448&lt;&gt;"",'Дивиденды по годам'!M448&lt;&gt;0),('Дивиденды по годам'!J448+'Дивиденды по годам'!K448)/'Дивиденды по годам'!M448,""),"")</f>
        <v>0.86281746192434494</v>
      </c>
      <c r="V448">
        <f>IFERROR(IF(AND('Дивиденды по годам'!J448&lt;&gt;"",'Дивиденды по годам'!K448&lt;&gt;"",'Дивиденды по годам'!M448&lt;&gt;"",'Дивиденды по годам'!I448&lt;&gt;0),('Дивиденды по годам'!J448+'Дивиденды по годам'!K448)/'Дивиденды по годам'!I448,""),"")</f>
        <v>0.46317874915829343</v>
      </c>
      <c r="W448">
        <f>IFERROR('Дивиденды по годам'!I448,"")</f>
        <v>58161661571.123077</v>
      </c>
      <c r="X448" cm="1">
        <f t="array" ref="X448">IFERROR(AVERAGE(_xlfn._xlws.FILTER(P$2:P$1073,($C$2:$C$1073=$C448)*($E$2:$E$1073=$E448)*(ROW(P$2:P$1073)&lt;&gt;ROW(P448))*(P$2:P$1073&lt;&gt;""))),"")</f>
        <v>26.671176112985016</v>
      </c>
      <c r="Y448" cm="1">
        <f t="array" ref="Y448">IFERROR(AVERAGE(_xlfn._xlws.FILTER(Q$2:Q$1073,($C$2:$C$1073=$C448)*($E$2:$E$1073=$E448)*(ROW(Q$2:Q$1073)&lt;&gt;ROW(Q448))*(Q$2:Q$1073&lt;&gt;""))),"")</f>
        <v>0.5453144034098053</v>
      </c>
      <c r="Z448" cm="1">
        <f t="array" ref="Z448">IFERROR(AVERAGE(_xlfn._xlws.FILTER(R$2:R$1073,($C$2:$C$1073=$C448)*($E$2:$E$1073=$E448)*(ROW(R$2:R$1073)&lt;&gt;ROW(R448))*(R$2:R$1073&lt;&gt;""))),"")</f>
        <v>0.21463216748681591</v>
      </c>
      <c r="AA448" t="str" cm="1">
        <f t="array" ref="AA448">IFERROR(AVERAGE(_xlfn._xlws.FILTER(S$2:S$1073,($C$2:$C$1073=$C448)*($E$2:$E$1073=$E448)*(ROW(S$2:S$1073)&lt;&gt;ROW(S448))*(S$2:S$1073&lt;&gt;""))),"")</f>
        <v/>
      </c>
      <c r="AB448" cm="1">
        <f t="array" ref="AB448">IFERROR(AVERAGE(_xlfn._xlws.FILTER(T$2:T$1073,($C$2:$C$1073=$C448)*($E$2:$E$1073=$E448)*(ROW(T$2:T$1073)&lt;&gt;ROW(T448))*(T$2:T$1073&lt;&gt;""))),"")</f>
        <v>0.11505618365484008</v>
      </c>
      <c r="AC448" cm="1">
        <f t="array" ref="AC448">IFERROR(AVERAGE(_xlfn._xlws.FILTER(U$2:U$1073,($C$2:$C$1073=$C448)*($E$2:$E$1073=$E448)*(ROW(U$2:U$1073)&lt;&gt;ROW(U448))*(U$2:U$1073&lt;&gt;""))),"")</f>
        <v>1.1485762445287053</v>
      </c>
      <c r="AD448" cm="1">
        <f t="array" ref="AD448">IFERROR(AVERAGE(_xlfn._xlws.FILTER(V$2:V$1073,($C$2:$C$1073=$C448)*($E$2:$E$1073=$E448)*(ROW(V$2:V$1073)&lt;&gt;ROW(V448))*(V$2:V$1073&lt;&gt;""))),"")</f>
        <v>0.50595265661898647</v>
      </c>
      <c r="AE448">
        <f>IF('Дивиденды по годам'!M448&lt;0,1,0)</f>
        <v>0</v>
      </c>
    </row>
    <row r="449" spans="1:31" x14ac:dyDescent="0.2">
      <c r="A449" s="7" t="s">
        <v>2234</v>
      </c>
      <c r="B449" t="str">
        <f t="shared" si="66"/>
        <v>RASP IV кв. 2010</v>
      </c>
      <c r="C449">
        <v>2010</v>
      </c>
      <c r="D449">
        <f>SUMIFS(Дивиденды!$C:$C,Дивиденды!$A:$A,A449,Дивиденды!$I:$I,C449)</f>
        <v>0</v>
      </c>
      <c r="E449">
        <v>3</v>
      </c>
      <c r="F449">
        <f t="shared" si="67"/>
        <v>0</v>
      </c>
      <c r="G449">
        <f t="shared" si="68"/>
        <v>3.0789999999999997</v>
      </c>
      <c r="H449">
        <f t="shared" si="69"/>
        <v>0</v>
      </c>
      <c r="I449">
        <f t="shared" si="70"/>
        <v>0.7</v>
      </c>
      <c r="J449" t="str">
        <f t="shared" si="71"/>
        <v/>
      </c>
      <c r="K449" t="str">
        <f t="shared" si="76"/>
        <v/>
      </c>
      <c r="L449" t="str">
        <f t="shared" si="72"/>
        <v/>
      </c>
      <c r="M449" t="str">
        <f t="shared" si="73"/>
        <v/>
      </c>
      <c r="N449" t="str">
        <f t="shared" si="74"/>
        <v/>
      </c>
      <c r="O449" t="str">
        <f t="shared" si="75"/>
        <v/>
      </c>
      <c r="P449" t="str">
        <f>IFERROR(LN('Дивиденды по годам'!I449),"")</f>
        <v/>
      </c>
      <c r="Q449" t="str">
        <f>IFERROR('Дивиденды по годам'!G449/'Дивиденды по годам'!I449, "")</f>
        <v/>
      </c>
      <c r="R449" t="str">
        <f>IFERROR(IF(AND('Дивиденды по годам'!N449&lt;&gt;"",'Дивиденды по годам'!U449&lt;&gt;"",'Дивиденды по годам'!U449&lt;&gt;0),'Дивиденды по годам'!N449/'Дивиденды по годам'!U449-1,""),"")</f>
        <v/>
      </c>
      <c r="S449" t="str">
        <f>IFERROR(IF(AND('Дивиденды по годам'!L449&lt;&gt;"",'Дивиденды по годам'!I449&lt;&gt;"",'Дивиденды по годам'!J449&lt;&gt;"",'Дивиденды по годам'!K449&lt;&gt;"",('Дивиденды по годам'!I449-'Дивиденды по годам'!J449-'Дивиденды по годам'!K449)&lt;&gt;0),'Дивиденды по годам'!L449/('Дивиденды по годам'!I449-'Дивиденды по годам'!J449-'Дивиденды по годам'!K449),""),"")</f>
        <v/>
      </c>
      <c r="T449" t="str">
        <f>IFERROR(IF(AND('Дивиденды по годам'!Q449&lt;&gt;"",'Дивиденды по годам'!I449&lt;&gt;"",'Дивиденды по годам'!V449&lt;&gt;"",('Дивиденды по годам'!I449+'Дивиденды по годам'!V449)&lt;&gt;0),'Дивиденды по годам'!Q449/(('Дивиденды по годам'!I449+'Дивиденды по годам'!V449)/2),""),"")</f>
        <v/>
      </c>
      <c r="U449" t="str">
        <f>IFERROR(IF(AND('Дивиденды по годам'!J449&lt;&gt;"",'Дивиденды по годам'!K449&lt;&gt;"",'Дивиденды по годам'!M449&lt;&gt;"",'Дивиденды по годам'!M449&lt;&gt;0),('Дивиденды по годам'!J449+'Дивиденды по годам'!K449)/'Дивиденды по годам'!M449,""),"")</f>
        <v/>
      </c>
      <c r="V449" t="str">
        <f>IFERROR(IF(AND('Дивиденды по годам'!J449&lt;&gt;"",'Дивиденды по годам'!K449&lt;&gt;"",'Дивиденды по годам'!M449&lt;&gt;"",'Дивиденды по годам'!I449&lt;&gt;0),('Дивиденды по годам'!J449+'Дивиденды по годам'!K449)/'Дивиденды по годам'!I449,""),"")</f>
        <v/>
      </c>
      <c r="W449" t="str">
        <f>IFERROR('Дивиденды по годам'!I449,"")</f>
        <v/>
      </c>
      <c r="X449" cm="1">
        <f t="array" ref="X449">IFERROR(AVERAGE(_xlfn._xlws.FILTER(P$2:P$1073,($C$2:$C$1073=$C449)*($E$2:$E$1073=$E449)*(ROW(P$2:P$1073)&lt;&gt;ROW(P449))*(P$2:P$1073&lt;&gt;""))),"")</f>
        <v>26.127864794831805</v>
      </c>
      <c r="Y449" cm="1">
        <f t="array" ref="Y449">IFERROR(AVERAGE(_xlfn._xlws.FILTER(Q$2:Q$1073,($C$2:$C$1073=$C449)*($E$2:$E$1073=$E449)*(ROW(Q$2:Q$1073)&lt;&gt;ROW(Q449))*(Q$2:Q$1073&lt;&gt;""))),"")</f>
        <v>0.75539390451698762</v>
      </c>
      <c r="Z449" t="str" cm="1">
        <f t="array" ref="Z449">IFERROR(AVERAGE(_xlfn._xlws.FILTER(R$2:R$1073,($C$2:$C$1073=$C449)*($E$2:$E$1073=$E449)*(ROW(R$2:R$1073)&lt;&gt;ROW(R449))*(R$2:R$1073&lt;&gt;""))),"")</f>
        <v/>
      </c>
      <c r="AA449" t="str" cm="1">
        <f t="array" ref="AA449">IFERROR(AVERAGE(_xlfn._xlws.FILTER(S$2:S$1073,($C$2:$C$1073=$C449)*($E$2:$E$1073=$E449)*(ROW(S$2:S$1073)&lt;&gt;ROW(S449))*(S$2:S$1073&lt;&gt;""))),"")</f>
        <v/>
      </c>
      <c r="AB449" t="str" cm="1">
        <f t="array" ref="AB449">IFERROR(AVERAGE(_xlfn._xlws.FILTER(T$2:T$1073,($C$2:$C$1073=$C449)*($E$2:$E$1073=$E449)*(ROW(T$2:T$1073)&lt;&gt;ROW(T449))*(T$2:T$1073&lt;&gt;""))),"")</f>
        <v/>
      </c>
      <c r="AC449" cm="1">
        <f t="array" ref="AC449">IFERROR(AVERAGE(_xlfn._xlws.FILTER(U$2:U$1073,($C$2:$C$1073=$C449)*($E$2:$E$1073=$E449)*(ROW(U$2:U$1073)&lt;&gt;ROW(U449))*(U$2:U$1073&lt;&gt;""))),"")</f>
        <v>1.4017600691070078</v>
      </c>
      <c r="AD449" cm="1">
        <f t="array" ref="AD449">IFERROR(AVERAGE(_xlfn._xlws.FILTER(V$2:V$1073,($C$2:$C$1073=$C449)*($E$2:$E$1073=$E449)*(ROW(V$2:V$1073)&lt;&gt;ROW(V449))*(V$2:V$1073&lt;&gt;""))),"")</f>
        <v>0.58363867695918215</v>
      </c>
      <c r="AE449">
        <f>IF('Дивиденды по годам'!M449&lt;0,1,0)</f>
        <v>0</v>
      </c>
    </row>
    <row r="450" spans="1:31" x14ac:dyDescent="0.2">
      <c r="A450" s="7" t="s">
        <v>2237</v>
      </c>
      <c r="B450" t="str">
        <f t="shared" si="66"/>
        <v>RUAL IV кв. 2025</v>
      </c>
      <c r="C450">
        <v>2025</v>
      </c>
      <c r="D450">
        <f>SUMIFS(Дивиденды!$C:$C,Дивиденды!$A:$A,A450,Дивиденды!$I:$I,C450)</f>
        <v>0</v>
      </c>
      <c r="E450">
        <v>3</v>
      </c>
      <c r="F450">
        <f t="shared" si="67"/>
        <v>0</v>
      </c>
      <c r="G450">
        <f t="shared" si="68"/>
        <v>10.684999999999999</v>
      </c>
      <c r="H450">
        <f t="shared" si="69"/>
        <v>0</v>
      </c>
      <c r="I450">
        <f t="shared" si="70"/>
        <v>0.1</v>
      </c>
      <c r="J450">
        <f t="shared" si="71"/>
        <v>0</v>
      </c>
      <c r="K450">
        <f t="shared" si="76"/>
        <v>-0.44741116251599566</v>
      </c>
      <c r="L450">
        <f t="shared" si="72"/>
        <v>0</v>
      </c>
      <c r="M450">
        <f t="shared" si="73"/>
        <v>0</v>
      </c>
      <c r="N450">
        <f t="shared" si="74"/>
        <v>0</v>
      </c>
      <c r="O450">
        <f t="shared" si="75"/>
        <v>0.5</v>
      </c>
      <c r="P450">
        <f>IFERROR(LN('Дивиденды по годам'!I450),"")</f>
        <v>28.366476176595089</v>
      </c>
      <c r="Q450">
        <f>IFERROR('Дивиденды по годам'!G450/'Дивиденды по годам'!I450, "")</f>
        <v>0.28061143039591319</v>
      </c>
      <c r="R450">
        <f>IFERROR(IF(AND('Дивиденды по годам'!N450&lt;&gt;"",'Дивиденды по годам'!U450&lt;&gt;"",'Дивиденды по годам'!U450&lt;&gt;0),'Дивиденды по годам'!N450/'Дивиденды по годам'!U450-1,""),"")</f>
        <v>0.10244476074875819</v>
      </c>
      <c r="S450">
        <f>IFERROR(IF(AND('Дивиденды по годам'!L450&lt;&gt;"",'Дивиденды по годам'!I450&lt;&gt;"",'Дивиденды по годам'!J450&lt;&gt;"",'Дивиденды по годам'!K450&lt;&gt;"",('Дивиденды по годам'!I450-'Дивиденды по годам'!J450-'Дивиденды по годам'!K450)&lt;&gt;0),'Дивиденды по годам'!L450/('Дивиденды по годам'!I450-'Дивиденды по годам'!J450-'Дивиденды по годам'!K450),""),"")</f>
        <v>0.27050997782705105</v>
      </c>
      <c r="T450">
        <f>IFERROR(IF(AND('Дивиденды по годам'!Q450&lt;&gt;"",'Дивиденды по годам'!I450&lt;&gt;"",'Дивиденды по годам'!V450&lt;&gt;"",('Дивиденды по годам'!I450+'Дивиденды по годам'!V450)&lt;&gt;0),'Дивиденды по годам'!Q450/(('Дивиденды по годам'!I450+'Дивиденды по годам'!V450)/2),""),"")</f>
        <v>-1.8293566091048718E-2</v>
      </c>
      <c r="U450">
        <f>IFERROR(IF(AND('Дивиденды по годам'!J450&lt;&gt;"",'Дивиденды по годам'!K450&lt;&gt;"",'Дивиденды по годам'!M450&lt;&gt;"",'Дивиденды по годам'!M450&lt;&gt;0),('Дивиденды по годам'!J450+'Дивиденды по годам'!K450)/'Дивиденды по годам'!M450,""),"")</f>
        <v>1.1367900392290635</v>
      </c>
      <c r="V450">
        <f>IFERROR(IF(AND('Дивиденды по годам'!J450&lt;&gt;"",'Дивиденды по годам'!K450&lt;&gt;"",'Дивиденды по годам'!M450&lt;&gt;"",'Дивиденды по годам'!I450&lt;&gt;0),('Дивиденды по годам'!J450+'Дивиденды по годам'!K450)/'Дивиденды по годам'!I450,""),"")</f>
        <v>0.53200830140485311</v>
      </c>
      <c r="W450">
        <f>IFERROR('Дивиденды по годам'!I450,"")</f>
        <v>2086431229294.3813</v>
      </c>
      <c r="X450" cm="1">
        <f t="array" ref="X450">IFERROR(AVERAGE(_xlfn._xlws.FILTER(P$2:P$1073,($C$2:$C$1073=$C450)*($E$2:$E$1073=$E450)*(ROW(P$2:P$1073)&lt;&gt;ROW(P450))*(P$2:P$1073&lt;&gt;""))),"")</f>
        <v>27.405951275475452</v>
      </c>
      <c r="Y450" cm="1">
        <f t="array" ref="Y450">IFERROR(AVERAGE(_xlfn._xlws.FILTER(Q$2:Q$1073,($C$2:$C$1073=$C450)*($E$2:$E$1073=$E450)*(ROW(Q$2:Q$1073)&lt;&gt;ROW(Q450))*(Q$2:Q$1073&lt;&gt;""))),"")</f>
        <v>0.56463423741614049</v>
      </c>
      <c r="Z450" cm="1">
        <f t="array" ref="Z450">IFERROR(AVERAGE(_xlfn._xlws.FILTER(R$2:R$1073,($C$2:$C$1073=$C450)*($E$2:$E$1073=$E450)*(ROW(R$2:R$1073)&lt;&gt;ROW(R450))*(R$2:R$1073&lt;&gt;""))),"")</f>
        <v>-0.12171695006610043</v>
      </c>
      <c r="AA450" cm="1">
        <f t="array" ref="AA450">IFERROR(AVERAGE(_xlfn._xlws.FILTER(S$2:S$1073,($C$2:$C$1073=$C450)*($E$2:$E$1073=$E450)*(ROW(S$2:S$1073)&lt;&gt;ROW(S450))*(S$2:S$1073&lt;&gt;""))),"")</f>
        <v>1.0892686042509301</v>
      </c>
      <c r="AB450" cm="1">
        <f t="array" ref="AB450">IFERROR(AVERAGE(_xlfn._xlws.FILTER(T$2:T$1073,($C$2:$C$1073=$C450)*($E$2:$E$1073=$E450)*(ROW(T$2:T$1073)&lt;&gt;ROW(T450))*(T$2:T$1073&lt;&gt;""))),"")</f>
        <v>1.9830208344891371E-2</v>
      </c>
      <c r="AC450" cm="1">
        <f t="array" ref="AC450">IFERROR(AVERAGE(_xlfn._xlws.FILTER(U$2:U$1073,($C$2:$C$1073=$C450)*($E$2:$E$1073=$E450)*(ROW(U$2:U$1073)&lt;&gt;ROW(U450))*(U$2:U$1073&lt;&gt;""))),"")</f>
        <v>3.479753173124331</v>
      </c>
      <c r="AD450" cm="1">
        <f t="array" ref="AD450">IFERROR(AVERAGE(_xlfn._xlws.FILTER(V$2:V$1073,($C$2:$C$1073=$C450)*($E$2:$E$1073=$E450)*(ROW(V$2:V$1073)&lt;&gt;ROW(V450))*(V$2:V$1073&lt;&gt;""))),"")</f>
        <v>0.52345333473340827</v>
      </c>
      <c r="AE450">
        <f>IF('Дивиденды по годам'!M450&lt;0,1,0)</f>
        <v>0</v>
      </c>
    </row>
    <row r="451" spans="1:31" x14ac:dyDescent="0.2">
      <c r="A451" s="7" t="s">
        <v>2237</v>
      </c>
      <c r="B451" t="str">
        <f t="shared" ref="B451:B514" si="77">A451&amp;" "&amp;
"IV"
&amp;" кв. "&amp;C451</f>
        <v>RUAL IV кв. 2024</v>
      </c>
      <c r="C451">
        <v>2024</v>
      </c>
      <c r="D451">
        <f>SUMIFS(Дивиденды!$C:$C,Дивиденды!$A:$A,A451,Дивиденды!$I:$I,C451)</f>
        <v>0</v>
      </c>
      <c r="E451">
        <v>3</v>
      </c>
      <c r="F451">
        <f t="shared" ref="F451:F514" si="78">D451</f>
        <v>0</v>
      </c>
      <c r="G451">
        <f t="shared" ref="G451:G514" si="79">AVERAGEIFS($D:$D,$E:$E,E451,$C:$C,C451,$A:$A,"&lt;&gt;"&amp;A451)</f>
        <v>33.058</v>
      </c>
      <c r="H451">
        <f t="shared" ref="H451:H514" si="80">IF(D451&gt;0,1,0)</f>
        <v>0</v>
      </c>
      <c r="I451">
        <f t="shared" ref="I451:I514" si="81">IFERROR((COUNTIFS($E:$E,E451,$C:$C,C451,$H:$H,1)-H451)/(COUNTIFS($E:$E,E451,$C:$C,C451)-1),0)</f>
        <v>0.5</v>
      </c>
      <c r="J451">
        <f t="shared" ref="J451:J514" si="82">IF(A452&lt;&gt;A451,"",IF(D451=D452,0,IF(AND(D452=0,D451&lt;&gt;0), 1,(D451-D452)/D452)))</f>
        <v>0</v>
      </c>
      <c r="K451">
        <f t="shared" si="76"/>
        <v>-0.20461447297899457</v>
      </c>
      <c r="L451">
        <f t="shared" ref="L451:L514" si="83">IF(J451&lt;&gt;"",IF(J451&gt;0,1,0),"")</f>
        <v>0</v>
      </c>
      <c r="M451">
        <f t="shared" ref="M451:M514" si="84">IFERROR(AVERAGEIFS($L:$L,$E:$E,E451,$C:$C,C451,$A:$A,"&lt;&gt;"&amp;A451),"")</f>
        <v>0.1</v>
      </c>
      <c r="N451">
        <f t="shared" ref="N451:N514" si="85">IF(J451&lt;&gt;"",IF(J451&lt;0,1,0),"")</f>
        <v>0</v>
      </c>
      <c r="O451">
        <f t="shared" ref="O451:O514" si="86">IFERROR(AVERAGEIFS($N:$N,$E:$E,E451,$C:$C,C451,$A:$A,"&lt;&gt;"&amp;A451),"")</f>
        <v>0.5</v>
      </c>
      <c r="P451">
        <f>IFERROR(LN('Дивиденды по годам'!I451),"")</f>
        <v>28.351690887575906</v>
      </c>
      <c r="Q451">
        <f>IFERROR('Дивиденды по годам'!G451/'Дивиденды по годам'!I451, "")</f>
        <v>0.27048331156254218</v>
      </c>
      <c r="R451">
        <f>IFERROR(IF(AND('Дивиденды по годам'!N451&lt;&gt;"",'Дивиденды по годам'!U451&lt;&gt;"",'Дивиденды по годам'!U451&lt;&gt;0),'Дивиденды по годам'!N451/'Дивиденды по годам'!U451-1,""),"")</f>
        <v>7.2418617855576128E-2</v>
      </c>
      <c r="S451">
        <f>IFERROR(IF(AND('Дивиденды по годам'!L451&lt;&gt;"",'Дивиденды по годам'!I451&lt;&gt;"",'Дивиденды по годам'!J451&lt;&gt;"",'Дивиденды по годам'!K451&lt;&gt;"",('Дивиденды по годам'!I451-'Дивиденды по годам'!J451-'Дивиденды по годам'!K451)&lt;&gt;0),'Дивиденды по годам'!L451/('Дивиденды по годам'!I451-'Дивиденды по годам'!J451-'Дивиденды по годам'!K451),""),"")</f>
        <v>0.32337731811697584</v>
      </c>
      <c r="T451">
        <f>IFERROR(IF(AND('Дивиденды по годам'!Q451&lt;&gt;"",'Дивиденды по годам'!I451&lt;&gt;"",'Дивиденды по годам'!V451&lt;&gt;"",('Дивиденды по годам'!I451+'Дивиденды по годам'!V451)&lt;&gt;0),'Дивиденды по годам'!Q451/(('Дивиденды по годам'!I451+'Дивиденды по годам'!V451)/2),""),"")</f>
        <v>3.8237284496520953E-2</v>
      </c>
      <c r="U451">
        <f>IFERROR(IF(AND('Дивиденды по годам'!J451&lt;&gt;"",'Дивиденды по годам'!K451&lt;&gt;"",'Дивиденды по годам'!M451&lt;&gt;"",'Дивиденды по годам'!M451&lt;&gt;0),('Дивиденды по годам'!J451+'Дивиденды по годам'!K451)/'Дивиденды по годам'!M451,""),"")</f>
        <v>0.97940442225392299</v>
      </c>
      <c r="V451">
        <f>IFERROR(IF(AND('Дивиденды по годам'!J451&lt;&gt;"",'Дивиденды по годам'!K451&lt;&gt;"",'Дивиденды по годам'!M451&lt;&gt;"",'Дивиденды по годам'!I451&lt;&gt;0),('Дивиденды по годам'!J451+'Дивиденды по годам'!K451)/'Дивиденды по годам'!I451,""),"")</f>
        <v>0.49479753164271884</v>
      </c>
      <c r="W451">
        <f>IFERROR('Дивиденды по годам'!I451,"")</f>
        <v>2055809672665.927</v>
      </c>
      <c r="X451" cm="1">
        <f t="array" ref="X451">IFERROR(AVERAGE(_xlfn._xlws.FILTER(P$2:P$1073,($C$2:$C$1073=$C451)*($E$2:$E$1073=$E451)*(ROW(P$2:P$1073)&lt;&gt;ROW(P451))*(P$2:P$1073&lt;&gt;""))),"")</f>
        <v>27.17598999636467</v>
      </c>
      <c r="Y451" cm="1">
        <f t="array" ref="Y451">IFERROR(AVERAGE(_xlfn._xlws.FILTER(Q$2:Q$1073,($C$2:$C$1073=$C451)*($E$2:$E$1073=$E451)*(ROW(Q$2:Q$1073)&lt;&gt;ROW(Q451))*(Q$2:Q$1073&lt;&gt;""))),"")</f>
        <v>0.5011045500084631</v>
      </c>
      <c r="Z451" cm="1">
        <f t="array" ref="Z451">IFERROR(AVERAGE(_xlfn._xlws.FILTER(R$2:R$1073,($C$2:$C$1073=$C451)*($E$2:$E$1073=$E451)*(ROW(R$2:R$1073)&lt;&gt;ROW(R451))*(R$2:R$1073&lt;&gt;""))),"")</f>
        <v>2.0569248055733392E-2</v>
      </c>
      <c r="AA451" cm="1">
        <f t="array" ref="AA451">IFERROR(AVERAGE(_xlfn._xlws.FILTER(S$2:S$1073,($C$2:$C$1073=$C451)*($E$2:$E$1073=$E451)*(ROW(S$2:S$1073)&lt;&gt;ROW(S451))*(S$2:S$1073&lt;&gt;""))),"")</f>
        <v>1.2575490258896704</v>
      </c>
      <c r="AB451" cm="1">
        <f t="array" ref="AB451">IFERROR(AVERAGE(_xlfn._xlws.FILTER(T$2:T$1073,($C$2:$C$1073=$C451)*($E$2:$E$1073=$E451)*(ROW(T$2:T$1073)&lt;&gt;ROW(T451))*(T$2:T$1073&lt;&gt;""))),"")</f>
        <v>4.6252022560191883E-2</v>
      </c>
      <c r="AC451" cm="1">
        <f t="array" ref="AC451">IFERROR(AVERAGE(_xlfn._xlws.FILTER(U$2:U$1073,($C$2:$C$1073=$C451)*($E$2:$E$1073=$E451)*(ROW(U$2:U$1073)&lt;&gt;ROW(U451))*(U$2:U$1073&lt;&gt;""))),"")</f>
        <v>2.7232791738518229</v>
      </c>
      <c r="AD451" cm="1">
        <f t="array" ref="AD451">IFERROR(AVERAGE(_xlfn._xlws.FILTER(V$2:V$1073,($C$2:$C$1073=$C451)*($E$2:$E$1073=$E451)*(ROW(V$2:V$1073)&lt;&gt;ROW(V451))*(V$2:V$1073&lt;&gt;""))),"")</f>
        <v>0.63131461399078459</v>
      </c>
      <c r="AE451">
        <f>IF('Дивиденды по годам'!M451&lt;0,1,0)</f>
        <v>0</v>
      </c>
    </row>
    <row r="452" spans="1:31" x14ac:dyDescent="0.2">
      <c r="A452" s="7" t="s">
        <v>2237</v>
      </c>
      <c r="B452" t="str">
        <f t="shared" si="77"/>
        <v>RUAL IV кв. 2023</v>
      </c>
      <c r="C452">
        <v>2023</v>
      </c>
      <c r="D452">
        <f>SUMIFS(Дивиденды!$C:$C,Дивиденды!$A:$A,A452,Дивиденды!$I:$I,C452)</f>
        <v>0</v>
      </c>
      <c r="E452">
        <v>3</v>
      </c>
      <c r="F452">
        <f t="shared" si="78"/>
        <v>0</v>
      </c>
      <c r="G452">
        <f t="shared" si="79"/>
        <v>25.244</v>
      </c>
      <c r="H452">
        <f t="shared" si="80"/>
        <v>0</v>
      </c>
      <c r="I452">
        <f t="shared" si="81"/>
        <v>0.6</v>
      </c>
      <c r="J452">
        <f t="shared" si="82"/>
        <v>-1</v>
      </c>
      <c r="K452">
        <f t="shared" ref="K452:K515" si="87">IFERROR(AVERAGEIFS($J:$J,$E:$E,E452,$C:$C,C452,$A:$A,"&lt;&gt;"&amp;A452),"")</f>
        <v>0.53287037037037033</v>
      </c>
      <c r="L452">
        <f t="shared" si="83"/>
        <v>0</v>
      </c>
      <c r="M452">
        <f t="shared" si="84"/>
        <v>0.6</v>
      </c>
      <c r="N452">
        <f t="shared" si="85"/>
        <v>1</v>
      </c>
      <c r="O452">
        <f t="shared" si="86"/>
        <v>0</v>
      </c>
      <c r="P452">
        <f>IFERROR(LN('Дивиденды по годам'!I452),"")</f>
        <v>28.237229963164445</v>
      </c>
      <c r="Q452">
        <f>IFERROR('Дивиденды по годам'!G452/'Дивиденды по годам'!I452, "")</f>
        <v>0.27049944092433842</v>
      </c>
      <c r="R452">
        <f>IFERROR(IF(AND('Дивиденды по годам'!N452&lt;&gt;"",'Дивиденды по годам'!U452&lt;&gt;"",'Дивиденды по годам'!U452&lt;&gt;0),'Дивиденды по годам'!N452/'Дивиденды по годам'!U452-1,""),"")</f>
        <v>9.6612994894941684E-2</v>
      </c>
      <c r="S452">
        <f>IFERROR(IF(AND('Дивиденды по годам'!L452&lt;&gt;"",'Дивиденды по годам'!I452&lt;&gt;"",'Дивиденды по годам'!J452&lt;&gt;"",'Дивиденды по годам'!K452&lt;&gt;"",('Дивиденды по годам'!I452-'Дивиденды по годам'!J452-'Дивиденды по годам'!K452)&lt;&gt;0),'Дивиденды по годам'!L452/('Дивиденды по годам'!I452-'Дивиденды по годам'!J452-'Дивиденды по годам'!K452),""),"")</f>
        <v>0.2725127087872185</v>
      </c>
      <c r="T452">
        <f>IFERROR(IF(AND('Дивиденды по годам'!Q452&lt;&gt;"",'Дивиденды по годам'!I452&lt;&gt;"",'Дивиденды по годам'!V452&lt;&gt;"",('Дивиденды по годам'!I452+'Дивиденды по годам'!V452)&lt;&gt;0),'Дивиденды по годам'!Q452/(('Дивиденды по годам'!I452+'Дивиденды по годам'!V452)/2),""),"")</f>
        <v>1.3724480754249481E-2</v>
      </c>
      <c r="U452">
        <f>IFERROR(IF(AND('Дивиденды по годам'!J452&lt;&gt;"",'Дивиденды по годам'!K452&lt;&gt;"",'Дивиденды по годам'!M452&lt;&gt;"",'Дивиденды по годам'!M452&lt;&gt;0),('Дивиденды по годам'!J452+'Дивиденды по годам'!K452)/'Дивиденды по годам'!M452,""),"")</f>
        <v>0.94843863471314438</v>
      </c>
      <c r="V452">
        <f>IFERROR(IF(AND('Дивиденды по годам'!J452&lt;&gt;"",'Дивиденды по годам'!K452&lt;&gt;"",'Дивиденды по годам'!M452&lt;&gt;"",'Дивиденды по годам'!I452&lt;&gt;0),('Дивиденды по годам'!J452+'Дивиденды по годам'!K452)/'Дивиденды по годам'!I452,""),"")</f>
        <v>0.48676854267610875</v>
      </c>
      <c r="W452">
        <f>IFERROR('Дивиденды по годам'!I452,"")</f>
        <v>1833467251611.1118</v>
      </c>
      <c r="X452" cm="1">
        <f t="array" ref="X452">IFERROR(AVERAGE(_xlfn._xlws.FILTER(P$2:P$1073,($C$2:$C$1073=$C452)*($E$2:$E$1073=$E452)*(ROW(P$2:P$1073)&lt;&gt;ROW(P452))*(P$2:P$1073&lt;&gt;""))),"")</f>
        <v>27.108212645335762</v>
      </c>
      <c r="Y452" cm="1">
        <f t="array" ref="Y452">IFERROR(AVERAGE(_xlfn._xlws.FILTER(Q$2:Q$1073,($C$2:$C$1073=$C452)*($E$2:$E$1073=$E452)*(ROW(Q$2:Q$1073)&lt;&gt;ROW(Q452))*(Q$2:Q$1073&lt;&gt;""))),"")</f>
        <v>0.47430417423752996</v>
      </c>
      <c r="Z452" cm="1">
        <f t="array" ref="Z452">IFERROR(AVERAGE(_xlfn._xlws.FILTER(R$2:R$1073,($C$2:$C$1073=$C452)*($E$2:$E$1073=$E452)*(ROW(R$2:R$1073)&lt;&gt;ROW(R452))*(R$2:R$1073&lt;&gt;""))),"")</f>
        <v>0.1342616945462578</v>
      </c>
      <c r="AA452" cm="1">
        <f t="array" ref="AA452">IFERROR(AVERAGE(_xlfn._xlws.FILTER(S$2:S$1073,($C$2:$C$1073=$C452)*($E$2:$E$1073=$E452)*(ROW(S$2:S$1073)&lt;&gt;ROW(S452))*(S$2:S$1073&lt;&gt;""))),"")</f>
        <v>0.12118242306397438</v>
      </c>
      <c r="AB452" cm="1">
        <f t="array" ref="AB452">IFERROR(AVERAGE(_xlfn._xlws.FILTER(T$2:T$1073,($C$2:$C$1073=$C452)*($E$2:$E$1073=$E452)*(ROW(T$2:T$1073)&lt;&gt;ROW(T452))*(T$2:T$1073&lt;&gt;""))),"")</f>
        <v>0.12886587641129094</v>
      </c>
      <c r="AC452" cm="1">
        <f t="array" ref="AC452">IFERROR(AVERAGE(_xlfn._xlws.FILTER(U$2:U$1073,($C$2:$C$1073=$C452)*($E$2:$E$1073=$E452)*(ROW(U$2:U$1073)&lt;&gt;ROW(U452))*(U$2:U$1073&lt;&gt;""))),"")</f>
        <v>-0.70805388908576783</v>
      </c>
      <c r="AD452" cm="1">
        <f t="array" ref="AD452">IFERROR(AVERAGE(_xlfn._xlws.FILTER(V$2:V$1073,($C$2:$C$1073=$C452)*($E$2:$E$1073=$E452)*(ROW(V$2:V$1073)&lt;&gt;ROW(V452))*(V$2:V$1073&lt;&gt;""))),"")</f>
        <v>0.60900141891876858</v>
      </c>
      <c r="AE452">
        <f>IF('Дивиденды по годам'!M452&lt;0,1,0)</f>
        <v>0</v>
      </c>
    </row>
    <row r="453" spans="1:31" x14ac:dyDescent="0.2">
      <c r="A453" s="7" t="s">
        <v>2237</v>
      </c>
      <c r="B453" t="str">
        <f t="shared" si="77"/>
        <v>RUAL IV кв. 2022</v>
      </c>
      <c r="C453">
        <v>2022</v>
      </c>
      <c r="D453">
        <f>SUMIFS(Дивиденды!$C:$C,Дивиденды!$A:$A,A453,Дивиденды!$I:$I,C453)</f>
        <v>0.02</v>
      </c>
      <c r="E453">
        <v>3</v>
      </c>
      <c r="F453">
        <f t="shared" si="78"/>
        <v>0.02</v>
      </c>
      <c r="G453">
        <f t="shared" si="79"/>
        <v>1.7280000000000002</v>
      </c>
      <c r="H453">
        <f t="shared" si="80"/>
        <v>1</v>
      </c>
      <c r="I453">
        <f t="shared" si="81"/>
        <v>0.1</v>
      </c>
      <c r="J453">
        <f t="shared" si="82"/>
        <v>1</v>
      </c>
      <c r="K453">
        <f t="shared" si="87"/>
        <v>-0.70242800677583284</v>
      </c>
      <c r="L453">
        <f t="shared" si="83"/>
        <v>1</v>
      </c>
      <c r="M453">
        <f t="shared" si="84"/>
        <v>0</v>
      </c>
      <c r="N453">
        <f t="shared" si="85"/>
        <v>0</v>
      </c>
      <c r="O453">
        <f t="shared" si="86"/>
        <v>0.8</v>
      </c>
      <c r="P453">
        <f>IFERROR(LN('Дивиденды по годам'!I453),"")</f>
        <v>28.147934826215039</v>
      </c>
      <c r="Q453">
        <f>IFERROR('Дивиденды по годам'!G453/'Дивиденды по годам'!I453, "")</f>
        <v>0.23665299825423247</v>
      </c>
      <c r="R453">
        <f>IFERROR(IF(AND('Дивиденды по годам'!N453&lt;&gt;"",'Дивиденды по годам'!U453&lt;&gt;"",'Дивиденды по годам'!U453&lt;&gt;0),'Дивиденды по годам'!N453/'Дивиденды по годам'!U453-1,""),"")</f>
        <v>7.5111590452883625E-2</v>
      </c>
      <c r="S453">
        <f>IFERROR(IF(AND('Дивиденды по годам'!L453&lt;&gt;"",'Дивиденды по годам'!I453&lt;&gt;"",'Дивиденды по годам'!J453&lt;&gt;"",'Дивиденды по годам'!K453&lt;&gt;"",('Дивиденды по годам'!I453-'Дивиденды по годам'!J453-'Дивиденды по годам'!K453)&lt;&gt;0),'Дивиденды по годам'!L453/('Дивиденды по годам'!I453-'Дивиденды по годам'!J453-'Дивиденды по годам'!K453),""),"")</f>
        <v>0.22101243194929715</v>
      </c>
      <c r="T453">
        <f>IFERROR(IF(AND('Дивиденды по годам'!Q453&lt;&gt;"",'Дивиденды по годам'!I453&lt;&gt;"",'Дивиденды по годам'!V453&lt;&gt;"",('Дивиденды по годам'!I453+'Дивиденды по годам'!V453)&lt;&gt;0),'Дивиденды по годам'!Q453/(('Дивиденды по годам'!I453+'Дивиденды по годам'!V453)/2),""),"")</f>
        <v>7.5835560649665831E-2</v>
      </c>
      <c r="U453">
        <f>IFERROR(IF(AND('Дивиденды по годам'!J453&lt;&gt;"",'Дивиденды по годам'!K453&lt;&gt;"",'Дивиденды по годам'!M453&lt;&gt;"",'Дивиденды по годам'!M453&lt;&gt;0),('Дивиденды по годам'!J453+'Дивиденды по годам'!K453)/'Дивиденды по годам'!M453,""),"")</f>
        <v>1.001381327699683</v>
      </c>
      <c r="V453">
        <f>IFERROR(IF(AND('Дивиденды по годам'!J453&lt;&gt;"",'Дивиденды по годам'!K453&lt;&gt;"",'Дивиденды по годам'!M453&lt;&gt;"",'Дивиденды по годам'!I453&lt;&gt;0),('Дивиденды по годам'!J453+'Дивиденды по годам'!K453)/'Дивиденды по годам'!I453,""),"")</f>
        <v>0.50034509358125934</v>
      </c>
      <c r="W453">
        <f>IFERROR('Дивиденды по годам'!I453,"")</f>
        <v>1676844427642.4988</v>
      </c>
      <c r="X453" cm="1">
        <f t="array" ref="X453">IFERROR(AVERAGE(_xlfn._xlws.FILTER(P$2:P$1073,($C$2:$C$1073=$C453)*($E$2:$E$1073=$E453)*(ROW(P$2:P$1073)&lt;&gt;ROW(P453))*(P$2:P$1073&lt;&gt;""))),"")</f>
        <v>26.976323236056231</v>
      </c>
      <c r="Y453" cm="1">
        <f t="array" ref="Y453">IFERROR(AVERAGE(_xlfn._xlws.FILTER(Q$2:Q$1073,($C$2:$C$1073=$C453)*($E$2:$E$1073=$E453)*(ROW(Q$2:Q$1073)&lt;&gt;ROW(Q453))*(Q$2:Q$1073&lt;&gt;""))),"")</f>
        <v>0.4952996701664712</v>
      </c>
      <c r="Z453" cm="1">
        <f t="array" ref="Z453">IFERROR(AVERAGE(_xlfn._xlws.FILTER(R$2:R$1073,($C$2:$C$1073=$C453)*($E$2:$E$1073=$E453)*(ROW(R$2:R$1073)&lt;&gt;ROW(R453))*(R$2:R$1073&lt;&gt;""))),"")</f>
        <v>-3.1372232506451526E-2</v>
      </c>
      <c r="AA453" cm="1">
        <f t="array" ref="AA453">IFERROR(AVERAGE(_xlfn._xlws.FILTER(S$2:S$1073,($C$2:$C$1073=$C453)*($E$2:$E$1073=$E453)*(ROW(S$2:S$1073)&lt;&gt;ROW(S453))*(S$2:S$1073&lt;&gt;""))),"")</f>
        <v>0.91489720044275502</v>
      </c>
      <c r="AB453" cm="1">
        <f t="array" ref="AB453">IFERROR(AVERAGE(_xlfn._xlws.FILTER(T$2:T$1073,($C$2:$C$1073=$C453)*($E$2:$E$1073=$E453)*(ROW(T$2:T$1073)&lt;&gt;ROW(T453))*(T$2:T$1073&lt;&gt;""))),"")</f>
        <v>0.16695313185034136</v>
      </c>
      <c r="AC453" cm="1">
        <f t="array" ref="AC453">IFERROR(AVERAGE(_xlfn._xlws.FILTER(U$2:U$1073,($C$2:$C$1073=$C453)*($E$2:$E$1073=$E453)*(ROW(U$2:U$1073)&lt;&gt;ROW(U453))*(U$2:U$1073&lt;&gt;""))),"")</f>
        <v>1.1685547696241485</v>
      </c>
      <c r="AD453" cm="1">
        <f t="array" ref="AD453">IFERROR(AVERAGE(_xlfn._xlws.FILTER(V$2:V$1073,($C$2:$C$1073=$C453)*($E$2:$E$1073=$E453)*(ROW(V$2:V$1073)&lt;&gt;ROW(V453))*(V$2:V$1073&lt;&gt;""))),"")</f>
        <v>0.57095327946822827</v>
      </c>
      <c r="AE453">
        <f>IF('Дивиденды по годам'!M453&lt;0,1,0)</f>
        <v>0</v>
      </c>
    </row>
    <row r="454" spans="1:31" x14ac:dyDescent="0.2">
      <c r="A454" s="7" t="s">
        <v>2237</v>
      </c>
      <c r="B454" t="str">
        <f t="shared" si="77"/>
        <v>RUAL IV кв. 2021</v>
      </c>
      <c r="C454">
        <v>2021</v>
      </c>
      <c r="D454">
        <f>SUMIFS(Дивиденды!$C:$C,Дивиденды!$A:$A,A454,Дивиденды!$I:$I,C454)</f>
        <v>0</v>
      </c>
      <c r="E454">
        <v>3</v>
      </c>
      <c r="F454">
        <f t="shared" si="78"/>
        <v>0</v>
      </c>
      <c r="G454">
        <f t="shared" si="79"/>
        <v>36.855000000000004</v>
      </c>
      <c r="H454">
        <f t="shared" si="80"/>
        <v>0</v>
      </c>
      <c r="I454">
        <f t="shared" si="81"/>
        <v>0.8</v>
      </c>
      <c r="J454">
        <f t="shared" si="82"/>
        <v>0</v>
      </c>
      <c r="K454">
        <f t="shared" si="87"/>
        <v>0.73069632657079653</v>
      </c>
      <c r="L454">
        <f t="shared" si="83"/>
        <v>0</v>
      </c>
      <c r="M454">
        <f t="shared" si="84"/>
        <v>0.5</v>
      </c>
      <c r="N454">
        <f t="shared" si="85"/>
        <v>0</v>
      </c>
      <c r="O454">
        <f t="shared" si="86"/>
        <v>0.2</v>
      </c>
      <c r="P454">
        <f>IFERROR(LN('Дивиденды по годам'!I454),"")</f>
        <v>28.064332687243319</v>
      </c>
      <c r="Q454">
        <f>IFERROR('Дивиденды по годам'!G454/'Дивиденды по годам'!I454, "")</f>
        <v>0.25590739500621834</v>
      </c>
      <c r="R454">
        <f>IFERROR(IF(AND('Дивиденды по годам'!N454&lt;&gt;"",'Дивиденды по годам'!U454&lt;&gt;"",'Дивиденды по годам'!U454&lt;&gt;0),'Дивиденды по годам'!N454/'Дивиденды по годам'!U454-1,""),"")</f>
        <v>0.42882027646800447</v>
      </c>
      <c r="S454">
        <f>IFERROR(IF(AND('Дивиденды по годам'!L454&lt;&gt;"",'Дивиденды по годам'!I454&lt;&gt;"",'Дивиденды по годам'!J454&lt;&gt;"",'Дивиденды по годам'!K454&lt;&gt;"",('Дивиденды по годам'!I454-'Дивиденды по годам'!J454-'Дивиденды по годам'!K454)&lt;&gt;0),'Дивиденды по годам'!L454/('Дивиденды по годам'!I454-'Дивиденды по годам'!J454-'Дивиденды по годам'!K454),""),"")</f>
        <v>0.11697073356138352</v>
      </c>
      <c r="T454">
        <f>IFERROR(IF(AND('Дивиденды по годам'!Q454&lt;&gt;"",'Дивиденды по годам'!I454&lt;&gt;"",'Дивиденды по годам'!V454&lt;&gt;"",('Дивиденды по годам'!I454+'Дивиденды по годам'!V454)&lt;&gt;0),'Дивиденды по годам'!Q454/(('Дивиденды по годам'!I454+'Дивиденды по годам'!V454)/2),""),"")</f>
        <v>0.17002433673547465</v>
      </c>
      <c r="U454">
        <f>IFERROR(IF(AND('Дивиденды по годам'!J454&lt;&gt;"",'Дивиденды по годам'!K454&lt;&gt;"",'Дивиденды по годам'!M454&lt;&gt;"",'Дивиденды по годам'!M454&lt;&gt;0),('Дивиденды по годам'!J454+'Дивиденды по годам'!K454)/'Дивиденды по годам'!M454,""),"")</f>
        <v>0.98650703154694031</v>
      </c>
      <c r="V454">
        <f>IFERROR(IF(AND('Дивиденды по годам'!J454&lt;&gt;"",'Дивиденды по годам'!K454&lt;&gt;"",'Дивиденды по годам'!M454&lt;&gt;"",'Дивиденды по годам'!I454&lt;&gt;0),('Дивиденды по годам'!J454+'Дивиденды по годам'!K454)/'Дивиденды по годам'!I454,""),"")</f>
        <v>0.49660384578589883</v>
      </c>
      <c r="W454">
        <f>IFERROR('Дивиденды по годам'!I454,"")</f>
        <v>1542356699949.8184</v>
      </c>
      <c r="X454" cm="1">
        <f t="array" ref="X454">IFERROR(AVERAGE(_xlfn._xlws.FILTER(P$2:P$1073,($C$2:$C$1073=$C454)*($E$2:$E$1073=$E454)*(ROW(P$2:P$1073)&lt;&gt;ROW(P454))*(P$2:P$1073&lt;&gt;""))),"")</f>
        <v>26.876862933467635</v>
      </c>
      <c r="Y454" cm="1">
        <f t="array" ref="Y454">IFERROR(AVERAGE(_xlfn._xlws.FILTER(Q$2:Q$1073,($C$2:$C$1073=$C454)*($E$2:$E$1073=$E454)*(ROW(Q$2:Q$1073)&lt;&gt;ROW(Q454))*(Q$2:Q$1073&lt;&gt;""))),"")</f>
        <v>0.51088059359926663</v>
      </c>
      <c r="Z454" cm="1">
        <f t="array" ref="Z454">IFERROR(AVERAGE(_xlfn._xlws.FILTER(R$2:R$1073,($C$2:$C$1073=$C454)*($E$2:$E$1073=$E454)*(ROW(R$2:R$1073)&lt;&gt;ROW(R454))*(R$2:R$1073&lt;&gt;""))),"")</f>
        <v>0.70854929075653861</v>
      </c>
      <c r="AA454" cm="1">
        <f t="array" ref="AA454">IFERROR(AVERAGE(_xlfn._xlws.FILTER(S$2:S$1073,($C$2:$C$1073=$C454)*($E$2:$E$1073=$E454)*(ROW(S$2:S$1073)&lt;&gt;ROW(S454))*(S$2:S$1073&lt;&gt;""))),"")</f>
        <v>1.1272502193901164</v>
      </c>
      <c r="AB454" cm="1">
        <f t="array" ref="AB454">IFERROR(AVERAGE(_xlfn._xlws.FILTER(T$2:T$1073,($C$2:$C$1073=$C454)*($E$2:$E$1073=$E454)*(ROW(T$2:T$1073)&lt;&gt;ROW(T454))*(T$2:T$1073&lt;&gt;""))),"")</f>
        <v>0.29909085763535387</v>
      </c>
      <c r="AC454" cm="1">
        <f t="array" ref="AC454">IFERROR(AVERAGE(_xlfn._xlws.FILTER(U$2:U$1073,($C$2:$C$1073=$C454)*($E$2:$E$1073=$E454)*(ROW(U$2:U$1073)&lt;&gt;ROW(U454))*(U$2:U$1073&lt;&gt;""))),"")</f>
        <v>2.1543255251944466</v>
      </c>
      <c r="AD454" cm="1">
        <f t="array" ref="AD454">IFERROR(AVERAGE(_xlfn._xlws.FILTER(V$2:V$1073,($C$2:$C$1073=$C454)*($E$2:$E$1073=$E454)*(ROW(V$2:V$1073)&lt;&gt;ROW(V454))*(V$2:V$1073&lt;&gt;""))),"")</f>
        <v>0.68351017991923357</v>
      </c>
      <c r="AE454">
        <f>IF('Дивиденды по годам'!M454&lt;0,1,0)</f>
        <v>0</v>
      </c>
    </row>
    <row r="455" spans="1:31" x14ac:dyDescent="0.2">
      <c r="A455" s="7" t="s">
        <v>2237</v>
      </c>
      <c r="B455" t="str">
        <f t="shared" si="77"/>
        <v>RUAL IV кв. 2020</v>
      </c>
      <c r="C455">
        <v>2020</v>
      </c>
      <c r="D455">
        <f>SUMIFS(Дивиденды!$C:$C,Дивиденды!$A:$A,A455,Дивиденды!$I:$I,C455)</f>
        <v>0</v>
      </c>
      <c r="E455">
        <v>3</v>
      </c>
      <c r="F455">
        <f t="shared" si="78"/>
        <v>0</v>
      </c>
      <c r="G455">
        <f t="shared" si="79"/>
        <v>23.983999999999998</v>
      </c>
      <c r="H455">
        <f t="shared" si="80"/>
        <v>0</v>
      </c>
      <c r="I455">
        <f t="shared" si="81"/>
        <v>0.8</v>
      </c>
      <c r="J455">
        <f t="shared" si="82"/>
        <v>0</v>
      </c>
      <c r="K455">
        <f t="shared" si="87"/>
        <v>0.6593795487099845</v>
      </c>
      <c r="L455">
        <f t="shared" si="83"/>
        <v>0</v>
      </c>
      <c r="M455">
        <f t="shared" si="84"/>
        <v>0.7</v>
      </c>
      <c r="N455">
        <f t="shared" si="85"/>
        <v>0</v>
      </c>
      <c r="O455">
        <f t="shared" si="86"/>
        <v>0.1</v>
      </c>
      <c r="P455">
        <f>IFERROR(LN('Дивиденды по годам'!I455),"")</f>
        <v>27.859258049806552</v>
      </c>
      <c r="Q455">
        <f>IFERROR('Дивиденды по годам'!G455/'Дивиденды по годам'!I455, "")</f>
        <v>0.27937622281044999</v>
      </c>
      <c r="R455">
        <f>IFERROR(IF(AND('Дивиденды по годам'!N455&lt;&gt;"",'Дивиденды по годам'!U455&lt;&gt;"",'Дивиденды по годам'!U455&lt;&gt;0),'Дивиденды по годам'!N455/'Дивиденды по годам'!U455-1,""),"")</f>
        <v>-1.4162584337711115E-2</v>
      </c>
      <c r="S455">
        <f>IFERROR(IF(AND('Дивиденды по годам'!L455&lt;&gt;"",'Дивиденды по годам'!I455&lt;&gt;"",'Дивиденды по годам'!J455&lt;&gt;"",'Дивиденды по годам'!K455&lt;&gt;"",('Дивиденды по годам'!I455-'Дивиденды по годам'!J455-'Дивиденды по годам'!K455)&lt;&gt;0),'Дивиденды по годам'!L455/('Дивиденды по годам'!I455-'Дивиденды по годам'!J455-'Дивиденды по годам'!K455),""),"")</f>
        <v>-0.32446889805899437</v>
      </c>
      <c r="T455">
        <f>IFERROR(IF(AND('Дивиденды по годам'!Q455&lt;&gt;"",'Дивиденды по годам'!I455&lt;&gt;"",'Дивиденды по годам'!V455&lt;&gt;"",('Дивиденды по годам'!I455+'Дивиденды по годам'!V455)&lt;&gt;0),'Дивиденды по годам'!Q455/(('Дивиденды по годам'!I455+'Дивиденды по годам'!V455)/2),""),"")</f>
        <v>4.5561863977396137E-2</v>
      </c>
      <c r="U455">
        <f>IFERROR(IF(AND('Дивиденды по годам'!J455&lt;&gt;"",'Дивиденды по годам'!K455&lt;&gt;"",'Дивиденды по годам'!M455&lt;&gt;"",'Дивиденды по годам'!M455&lt;&gt;0),('Дивиденды по годам'!J455+'Дивиденды по годам'!K455)/'Дивиденды по годам'!M455,""),"")</f>
        <v>1.6559682103010853</v>
      </c>
      <c r="V455">
        <f>IFERROR(IF(AND('Дивиденды по годам'!J455&lt;&gt;"",'Дивиденды по годам'!K455&lt;&gt;"",'Дивиденды по годам'!M455&lt;&gt;"",'Дивиденды по годам'!I455&lt;&gt;0),('Дивиденды по годам'!J455+'Дивиденды по годам'!K455)/'Дивиденды по годам'!I455,""),"")</f>
        <v>0.62348946944412476</v>
      </c>
      <c r="W455">
        <f>IFERROR('Дивиденды по годам'!I455,"")</f>
        <v>1256382969859.2341</v>
      </c>
      <c r="X455" cm="1">
        <f t="array" ref="X455">IFERROR(AVERAGE(_xlfn._xlws.FILTER(P$2:P$1073,($C$2:$C$1073=$C455)*($E$2:$E$1073=$E455)*(ROW(P$2:P$1073)&lt;&gt;ROW(P455))*(P$2:P$1073&lt;&gt;""))),"")</f>
        <v>26.714615207442268</v>
      </c>
      <c r="Y455" cm="1">
        <f t="array" ref="Y455">IFERROR(AVERAGE(_xlfn._xlws.FILTER(Q$2:Q$1073,($C$2:$C$1073=$C455)*($E$2:$E$1073=$E455)*(ROW(Q$2:Q$1073)&lt;&gt;ROW(Q455))*(Q$2:Q$1073&lt;&gt;""))),"")</f>
        <v>0.52878995737192414</v>
      </c>
      <c r="Z455" cm="1">
        <f t="array" ref="Z455">IFERROR(AVERAGE(_xlfn._xlws.FILTER(R$2:R$1073,($C$2:$C$1073=$C455)*($E$2:$E$1073=$E455)*(ROW(R$2:R$1073)&lt;&gt;ROW(R455))*(R$2:R$1073&lt;&gt;""))),"")</f>
        <v>3.1367726874105009E-2</v>
      </c>
      <c r="AA455" cm="1">
        <f t="array" ref="AA455">IFERROR(AVERAGE(_xlfn._xlws.FILTER(S$2:S$1073,($C$2:$C$1073=$C455)*($E$2:$E$1073=$E455)*(ROW(S$2:S$1073)&lt;&gt;ROW(S455))*(S$2:S$1073&lt;&gt;""))),"")</f>
        <v>1.1775471693514088</v>
      </c>
      <c r="AB455" cm="1">
        <f t="array" ref="AB455">IFERROR(AVERAGE(_xlfn._xlws.FILTER(T$2:T$1073,($C$2:$C$1073=$C455)*($E$2:$E$1073=$E455)*(ROW(T$2:T$1073)&lt;&gt;ROW(T455))*(T$2:T$1073&lt;&gt;""))),"")</f>
        <v>9.9172505109059922E-2</v>
      </c>
      <c r="AC455" cm="1">
        <f t="array" ref="AC455">IFERROR(AVERAGE(_xlfn._xlws.FILTER(U$2:U$1073,($C$2:$C$1073=$C455)*($E$2:$E$1073=$E455)*(ROW(U$2:U$1073)&lt;&gt;ROW(U455))*(U$2:U$1073&lt;&gt;""))),"")</f>
        <v>1.6592246360610035</v>
      </c>
      <c r="AD455" cm="1">
        <f t="array" ref="AD455">IFERROR(AVERAGE(_xlfn._xlws.FILTER(V$2:V$1073,($C$2:$C$1073=$C455)*($E$2:$E$1073=$E455)*(ROW(V$2:V$1073)&lt;&gt;ROW(V455))*(V$2:V$1073&lt;&gt;""))),"")</f>
        <v>0.77826537811404106</v>
      </c>
      <c r="AE455">
        <f>IF('Дивиденды по годам'!M455&lt;0,1,0)</f>
        <v>0</v>
      </c>
    </row>
    <row r="456" spans="1:31" x14ac:dyDescent="0.2">
      <c r="A456" s="7" t="s">
        <v>2237</v>
      </c>
      <c r="B456" t="str">
        <f t="shared" si="77"/>
        <v>RUAL IV кв. 2019</v>
      </c>
      <c r="C456">
        <v>2019</v>
      </c>
      <c r="D456">
        <f>SUMIFS(Дивиденды!$C:$C,Дивиденды!$A:$A,A456,Дивиденды!$I:$I,C456)</f>
        <v>0</v>
      </c>
      <c r="E456">
        <v>3</v>
      </c>
      <c r="F456">
        <f t="shared" si="78"/>
        <v>0</v>
      </c>
      <c r="G456">
        <f t="shared" si="79"/>
        <v>19.591000000000001</v>
      </c>
      <c r="H456">
        <f t="shared" si="80"/>
        <v>0</v>
      </c>
      <c r="I456">
        <f t="shared" si="81"/>
        <v>0.8</v>
      </c>
      <c r="J456">
        <f t="shared" si="82"/>
        <v>0</v>
      </c>
      <c r="K456">
        <f t="shared" si="87"/>
        <v>0.25160659566020116</v>
      </c>
      <c r="L456">
        <f t="shared" si="83"/>
        <v>0</v>
      </c>
      <c r="M456">
        <f t="shared" si="84"/>
        <v>0.4</v>
      </c>
      <c r="N456">
        <f t="shared" si="85"/>
        <v>0</v>
      </c>
      <c r="O456">
        <f t="shared" si="86"/>
        <v>0.4</v>
      </c>
      <c r="P456">
        <f>IFERROR(LN('Дивиденды по годам'!I456),"")</f>
        <v>27.772843122793432</v>
      </c>
      <c r="Q456">
        <f>IFERROR('Дивиденды по годам'!G456/'Дивиденды по годам'!I456, "")</f>
        <v>0.25255417087683846</v>
      </c>
      <c r="R456">
        <f>IFERROR(IF(AND('Дивиденды по годам'!N456&lt;&gt;"",'Дивиденды по годам'!U456&lt;&gt;"",'Дивиденды по годам'!U456&lt;&gt;0),'Дивиденды по годам'!N456/'Дивиденды по годам'!U456-1,""),"")</f>
        <v>-2.8003687549791434E-2</v>
      </c>
      <c r="S456">
        <f>IFERROR(IF(AND('Дивиденды по годам'!L456&lt;&gt;"",'Дивиденды по годам'!I456&lt;&gt;"",'Дивиденды по годам'!J456&lt;&gt;"",'Дивиденды по годам'!K456&lt;&gt;"",('Дивиденды по годам'!I456-'Дивиденды по годам'!J456-'Дивиденды по годам'!K456)&lt;&gt;0),'Дивиденды по годам'!L456/('Дивиденды по годам'!I456-'Дивиденды по годам'!J456-'Дивиденды по годам'!K456),""),"")</f>
        <v>-0.42715280865569877</v>
      </c>
      <c r="T456">
        <f>IFERROR(IF(AND('Дивиденды по годам'!Q456&lt;&gt;"",'Дивиденды по годам'!I456&lt;&gt;"",'Дивиденды по годам'!V456&lt;&gt;"",('Дивиденды по годам'!I456+'Дивиденды по годам'!V456)&lt;&gt;0),'Дивиденды по годам'!Q456/(('Дивиденды по годам'!I456+'Дивиденды по годам'!V456)/2),""),"")</f>
        <v>5.7923577331941666E-2</v>
      </c>
      <c r="U456">
        <f>IFERROR(IF(AND('Дивиденды по годам'!J456&lt;&gt;"",'Дивиденды по годам'!K456&lt;&gt;"",'Дивиденды по годам'!M456&lt;&gt;"",'Дивиденды по годам'!M456&lt;&gt;0),('Дивиденды по годам'!J456+'Дивиденды по годам'!K456)/'Дивиденды по годам'!M456,""),"")</f>
        <v>1.640284570920409</v>
      </c>
      <c r="V456">
        <f>IFERROR(IF(AND('Дивиденды по годам'!J456&lt;&gt;"",'Дивиденды по годам'!K456&lt;&gt;"",'Дивиденды по годам'!M456&lt;&gt;"",'Дивиденды по годам'!I456&lt;&gt;0),('Дивиденды по годам'!J456+'Дивиденды по годам'!K456)/'Дивиденды по годам'!I456,""),"")</f>
        <v>0.62125294712024248</v>
      </c>
      <c r="W456">
        <f>IFERROR('Дивиденды по годам'!I456,"")</f>
        <v>1152371516062.4993</v>
      </c>
      <c r="X456" cm="1">
        <f t="array" ref="X456">IFERROR(AVERAGE(_xlfn._xlws.FILTER(P$2:P$1073,($C$2:$C$1073=$C456)*($E$2:$E$1073=$E456)*(ROW(P$2:P$1073)&lt;&gt;ROW(P456))*(P$2:P$1073&lt;&gt;""))),"")</f>
        <v>26.608344792677325</v>
      </c>
      <c r="Y456" cm="1">
        <f t="array" ref="Y456">IFERROR(AVERAGE(_xlfn._xlws.FILTER(Q$2:Q$1073,($C$2:$C$1073=$C456)*($E$2:$E$1073=$E456)*(ROW(Q$2:Q$1073)&lt;&gt;ROW(Q456))*(Q$2:Q$1073&lt;&gt;""))),"")</f>
        <v>0.52553372010666555</v>
      </c>
      <c r="Z456" cm="1">
        <f t="array" ref="Z456">IFERROR(AVERAGE(_xlfn._xlws.FILTER(R$2:R$1073,($C$2:$C$1073=$C456)*($E$2:$E$1073=$E456)*(ROW(R$2:R$1073)&lt;&gt;ROW(R456))*(R$2:R$1073&lt;&gt;""))),"")</f>
        <v>4.5558933022158077E-2</v>
      </c>
      <c r="AA456" cm="1">
        <f t="array" ref="AA456">IFERROR(AVERAGE(_xlfn._xlws.FILTER(S$2:S$1073,($C$2:$C$1073=$C456)*($E$2:$E$1073=$E456)*(ROW(S$2:S$1073)&lt;&gt;ROW(S456))*(S$2:S$1073&lt;&gt;""))),"")</f>
        <v>1.0417141001484598</v>
      </c>
      <c r="AB456" cm="1">
        <f t="array" ref="AB456">IFERROR(AVERAGE(_xlfn._xlws.FILTER(T$2:T$1073,($C$2:$C$1073=$C456)*($E$2:$E$1073=$E456)*(ROW(T$2:T$1073)&lt;&gt;ROW(T456))*(T$2:T$1073&lt;&gt;""))),"")</f>
        <v>0.14600936712123466</v>
      </c>
      <c r="AC456" cm="1">
        <f t="array" ref="AC456">IFERROR(AVERAGE(_xlfn._xlws.FILTER(U$2:U$1073,($C$2:$C$1073=$C456)*($E$2:$E$1073=$E456)*(ROW(U$2:U$1073)&lt;&gt;ROW(U456))*(U$2:U$1073&lt;&gt;""))),"")</f>
        <v>1.5508768759193909</v>
      </c>
      <c r="AD456" cm="1">
        <f t="array" ref="AD456">IFERROR(AVERAGE(_xlfn._xlws.FILTER(V$2:V$1073,($C$2:$C$1073=$C456)*($E$2:$E$1073=$E456)*(ROW(V$2:V$1073)&lt;&gt;ROW(V456))*(V$2:V$1073&lt;&gt;""))),"")</f>
        <v>0.67876165769065699</v>
      </c>
      <c r="AE456">
        <f>IF('Дивиденды по годам'!M456&lt;0,1,0)</f>
        <v>0</v>
      </c>
    </row>
    <row r="457" spans="1:31" x14ac:dyDescent="0.2">
      <c r="A457" s="7" t="s">
        <v>2237</v>
      </c>
      <c r="B457" t="str">
        <f t="shared" si="77"/>
        <v>RUAL IV кв. 2018</v>
      </c>
      <c r="C457">
        <v>2018</v>
      </c>
      <c r="D457">
        <f>SUMIFS(Дивиденды!$C:$C,Дивиденды!$A:$A,A457,Дивиденды!$I:$I,C457)</f>
        <v>0</v>
      </c>
      <c r="E457">
        <v>3</v>
      </c>
      <c r="F457">
        <f t="shared" si="78"/>
        <v>0</v>
      </c>
      <c r="G457">
        <f t="shared" si="79"/>
        <v>22.694999999999997</v>
      </c>
      <c r="H457">
        <f t="shared" si="80"/>
        <v>0</v>
      </c>
      <c r="I457">
        <f t="shared" si="81"/>
        <v>0.5</v>
      </c>
      <c r="J457">
        <f t="shared" si="82"/>
        <v>-1</v>
      </c>
      <c r="K457">
        <f t="shared" si="87"/>
        <v>0.2208568682360553</v>
      </c>
      <c r="L457">
        <f t="shared" si="83"/>
        <v>0</v>
      </c>
      <c r="M457">
        <f t="shared" si="84"/>
        <v>0.5</v>
      </c>
      <c r="N457">
        <f t="shared" si="85"/>
        <v>1</v>
      </c>
      <c r="O457">
        <f t="shared" si="86"/>
        <v>0.1</v>
      </c>
      <c r="P457">
        <f>IFERROR(LN('Дивиденды по годам'!I457),"")</f>
        <v>27.62287391294867</v>
      </c>
      <c r="Q457">
        <f>IFERROR('Дивиденды по годам'!G457/'Дивиденды по годам'!I457, "")</f>
        <v>0.28021803891741143</v>
      </c>
      <c r="R457">
        <f>IFERROR(IF(AND('Дивиденды по годам'!N457&lt;&gt;"",'Дивиденды по годам'!U457&lt;&gt;"",'Дивиденды по годам'!U457&lt;&gt;0),'Дивиденды по годам'!N457/'Дивиденды по годам'!U457-1,""),"")</f>
        <v>0.11176894520601044</v>
      </c>
      <c r="S457">
        <f>IFERROR(IF(AND('Дивиденды по годам'!L457&lt;&gt;"",'Дивиденды по годам'!I457&lt;&gt;"",'Дивиденды по годам'!J457&lt;&gt;"",'Дивиденды по годам'!K457&lt;&gt;"",('Дивиденды по годам'!I457-'Дивиденды по годам'!J457-'Дивиденды по годам'!K457)&lt;&gt;0),'Дивиденды по годам'!L457/('Дивиденды по годам'!I457-'Дивиденды по годам'!J457-'Дивиденды по годам'!K457),""),"")</f>
        <v>-0.73756959109234022</v>
      </c>
      <c r="T457">
        <f>IFERROR(IF(AND('Дивиденды по годам'!Q457&lt;&gt;"",'Дивиденды по годам'!I457&lt;&gt;"",'Дивиденды по годам'!V457&lt;&gt;"",('Дивиденды по годам'!I457+'Дивиденды по годам'!V457)&lt;&gt;0),'Дивиденды по годам'!Q457/(('Дивиденды по годам'!I457+'Дивиденды по годам'!V457)/2),""),"")</f>
        <v>0.11168177920403603</v>
      </c>
      <c r="U457">
        <f>IFERROR(IF(AND('Дивиденды по годам'!J457&lt;&gt;"",'Дивиденды по годам'!K457&lt;&gt;"",'Дивиденды по годам'!M457&lt;&gt;"",'Дивиденды по годам'!M457&lt;&gt;0),('Дивиденды по годам'!J457+'Дивиденды по годам'!K457)/'Дивиденды по годам'!M457,""),"")</f>
        <v>2.0287963140717991</v>
      </c>
      <c r="V457">
        <f>IFERROR(IF(AND('Дивиденды по годам'!J457&lt;&gt;"",'Дивиденды по годам'!K457&lt;&gt;"",'Дивиденды по годам'!M457&lt;&gt;"",'Дивиденды по годам'!I457&lt;&gt;0),('Дивиденды по годам'!J457+'Дивиденды по годам'!K457)/'Дивиденды по годам'!I457,""),"")</f>
        <v>0.6698358369778793</v>
      </c>
      <c r="W457">
        <f>IFERROR('Дивиденды по годам'!I457,"")</f>
        <v>991885895530.56458</v>
      </c>
      <c r="X457" cm="1">
        <f t="array" ref="X457">IFERROR(AVERAGE(_xlfn._xlws.FILTER(P$2:P$1073,($C$2:$C$1073=$C457)*($E$2:$E$1073=$E457)*(ROW(P$2:P$1073)&lt;&gt;ROW(P457))*(P$2:P$1073&lt;&gt;""))),"")</f>
        <v>26.465311662282545</v>
      </c>
      <c r="Y457" cm="1">
        <f t="array" ref="Y457">IFERROR(AVERAGE(_xlfn._xlws.FILTER(Q$2:Q$1073,($C$2:$C$1073=$C457)*($E$2:$E$1073=$E457)*(ROW(Q$2:Q$1073)&lt;&gt;ROW(Q457))*(Q$2:Q$1073&lt;&gt;""))),"")</f>
        <v>0.54194952479471614</v>
      </c>
      <c r="Z457" cm="1">
        <f t="array" ref="Z457">IFERROR(AVERAGE(_xlfn._xlws.FILTER(R$2:R$1073,($C$2:$C$1073=$C457)*($E$2:$E$1073=$E457)*(ROW(R$2:R$1073)&lt;&gt;ROW(R457))*(R$2:R$1073&lt;&gt;""))),"")</f>
        <v>0.22811907281354332</v>
      </c>
      <c r="AA457" cm="1">
        <f t="array" ref="AA457">IFERROR(AVERAGE(_xlfn._xlws.FILTER(S$2:S$1073,($C$2:$C$1073=$C457)*($E$2:$E$1073=$E457)*(ROW(S$2:S$1073)&lt;&gt;ROW(S457))*(S$2:S$1073&lt;&gt;""))),"")</f>
        <v>1.0895640157434943</v>
      </c>
      <c r="AB457" cm="1">
        <f t="array" ref="AB457">IFERROR(AVERAGE(_xlfn._xlws.FILTER(T$2:T$1073,($C$2:$C$1073=$C457)*($E$2:$E$1073=$E457)*(ROW(T$2:T$1073)&lt;&gt;ROW(T457))*(T$2:T$1073&lt;&gt;""))),"")</f>
        <v>0.15959466177541068</v>
      </c>
      <c r="AC457" cm="1">
        <f t="array" ref="AC457">IFERROR(AVERAGE(_xlfn._xlws.FILTER(U$2:U$1073,($C$2:$C$1073=$C457)*($E$2:$E$1073=$E457)*(ROW(U$2:U$1073)&lt;&gt;ROW(U457))*(U$2:U$1073&lt;&gt;""))),"")</f>
        <v>2.3691958789246774</v>
      </c>
      <c r="AD457" cm="1">
        <f t="array" ref="AD457">IFERROR(AVERAGE(_xlfn._xlws.FILTER(V$2:V$1073,($C$2:$C$1073=$C457)*($E$2:$E$1073=$E457)*(ROW(V$2:V$1073)&lt;&gt;ROW(V457))*(V$2:V$1073&lt;&gt;""))),"")</f>
        <v>0.69033436378324098</v>
      </c>
      <c r="AE457">
        <f>IF('Дивиденды по годам'!M457&lt;0,1,0)</f>
        <v>0</v>
      </c>
    </row>
    <row r="458" spans="1:31" x14ac:dyDescent="0.2">
      <c r="A458" s="7" t="s">
        <v>2237</v>
      </c>
      <c r="B458" t="str">
        <f t="shared" si="77"/>
        <v>RUAL IV кв. 2017</v>
      </c>
      <c r="C458">
        <v>2017</v>
      </c>
      <c r="D458">
        <f>SUMIFS(Дивиденды!$C:$C,Дивиденды!$A:$A,A458,Дивиденды!$I:$I,C458)</f>
        <v>1.1487631482508245</v>
      </c>
      <c r="E458">
        <v>3</v>
      </c>
      <c r="F458">
        <f t="shared" si="78"/>
        <v>1.1487631482508245</v>
      </c>
      <c r="G458">
        <f t="shared" si="79"/>
        <v>15.953999999999999</v>
      </c>
      <c r="H458">
        <f t="shared" si="80"/>
        <v>1</v>
      </c>
      <c r="I458">
        <f t="shared" si="81"/>
        <v>0.6</v>
      </c>
      <c r="J458">
        <f t="shared" si="82"/>
        <v>3.8291876568514648E-2</v>
      </c>
      <c r="K458">
        <f t="shared" si="87"/>
        <v>0.11326383738575377</v>
      </c>
      <c r="L458">
        <f t="shared" si="83"/>
        <v>1</v>
      </c>
      <c r="M458">
        <f t="shared" si="84"/>
        <v>0.4</v>
      </c>
      <c r="N458">
        <f t="shared" si="85"/>
        <v>0</v>
      </c>
      <c r="O458">
        <f t="shared" si="86"/>
        <v>0.2</v>
      </c>
      <c r="P458">
        <f>IFERROR(LN('Дивиденды по годам'!I458),"")</f>
        <v>27.547451335485231</v>
      </c>
      <c r="Q458">
        <f>IFERROR('Дивиденды по годам'!G458/'Дивиденды по годам'!I458, "")</f>
        <v>0.27405857740585776</v>
      </c>
      <c r="R458">
        <f>IFERROR(IF(AND('Дивиденды по годам'!N458&lt;&gt;"",'Дивиденды по годам'!U458&lt;&gt;"",'Дивиденды по годам'!U458&lt;&gt;0),'Дивиденды по годам'!N458/'Дивиденды по годам'!U458-1,""),"")</f>
        <v>8.5982035041087812E-2</v>
      </c>
      <c r="S458">
        <f>IFERROR(IF(AND('Дивиденды по годам'!L458&lt;&gt;"",'Дивиденды по годам'!I458&lt;&gt;"",'Дивиденды по годам'!J458&lt;&gt;"",'Дивиденды по годам'!K458&lt;&gt;"",('Дивиденды по годам'!I458-'Дивиденды по годам'!J458-'Дивиденды по годам'!K458)&lt;&gt;0),'Дивиденды по годам'!L458/('Дивиденды по годам'!I458-'Дивиденды по годам'!J458-'Дивиденды по годам'!K458),""),"")</f>
        <v>-1.2466246624662465</v>
      </c>
      <c r="T458">
        <f>IFERROR(IF(AND('Дивиденды по годам'!Q458&lt;&gt;"",'Дивиденды по годам'!I458&lt;&gt;"",'Дивиденды по годам'!V458&lt;&gt;"",('Дивиденды по годам'!I458+'Дивиденды по годам'!V458)&lt;&gt;0),'Дивиденды по годам'!Q458/(('Дивиденды по годам'!I458+'Дивиденды по годам'!V458)/2),""),"")</f>
        <v>7.5449656882443261E-2</v>
      </c>
      <c r="U458">
        <f>IFERROR(IF(AND('Дивиденды по годам'!J458&lt;&gt;"",'Дивиденды по годам'!K458&lt;&gt;"",'Дивиденды по годам'!M458&lt;&gt;"",'Дивиденды по годам'!M458&lt;&gt;0),('Дивиденды по годам'!J458+'Дивиденды по годам'!K458)/'Дивиденды по годам'!M458,""),"")</f>
        <v>2.5495049504950495</v>
      </c>
      <c r="V458">
        <f>IFERROR(IF(AND('Дивиденды по годам'!J458&lt;&gt;"",'Дивиденды по годам'!K458&lt;&gt;"",'Дивиденды по годам'!M458&lt;&gt;"",'Дивиденды по годам'!I458&lt;&gt;0),('Дивиденды по годам'!J458+'Дивиденды по годам'!K458)/'Дивиденды по годам'!I458,""),"")</f>
        <v>0.71827057182705722</v>
      </c>
      <c r="W458">
        <f>IFERROR('Дивиденды по годам'!I458,"")</f>
        <v>919826898502.96997</v>
      </c>
      <c r="X458" cm="1">
        <f t="array" ref="X458">IFERROR(AVERAGE(_xlfn._xlws.FILTER(P$2:P$1073,($C$2:$C$1073=$C458)*($E$2:$E$1073=$E458)*(ROW(P$2:P$1073)&lt;&gt;ROW(P458))*(P$2:P$1073&lt;&gt;""))),"")</f>
        <v>26.443599219211357</v>
      </c>
      <c r="Y458" cm="1">
        <f t="array" ref="Y458">IFERROR(AVERAGE(_xlfn._xlws.FILTER(Q$2:Q$1073,($C$2:$C$1073=$C458)*($E$2:$E$1073=$E458)*(ROW(Q$2:Q$1073)&lt;&gt;ROW(Q458))*(Q$2:Q$1073&lt;&gt;""))),"")</f>
        <v>0.56207113605386794</v>
      </c>
      <c r="Z458" cm="1">
        <f t="array" ref="Z458">IFERROR(AVERAGE(_xlfn._xlws.FILTER(R$2:R$1073,($C$2:$C$1073=$C458)*($E$2:$E$1073=$E458)*(ROW(R$2:R$1073)&lt;&gt;ROW(R458))*(R$2:R$1073&lt;&gt;""))),"")</f>
        <v>0.10167247889317799</v>
      </c>
      <c r="AA458" cm="1">
        <f t="array" ref="AA458">IFERROR(AVERAGE(_xlfn._xlws.FILTER(S$2:S$1073,($C$2:$C$1073=$C458)*($E$2:$E$1073=$E458)*(ROW(S$2:S$1073)&lt;&gt;ROW(S458))*(S$2:S$1073&lt;&gt;""))),"")</f>
        <v>1.2882870749214996</v>
      </c>
      <c r="AB458" cm="1">
        <f t="array" ref="AB458">IFERROR(AVERAGE(_xlfn._xlws.FILTER(T$2:T$1073,($C$2:$C$1073=$C458)*($E$2:$E$1073=$E458)*(ROW(T$2:T$1073)&lt;&gt;ROW(T458))*(T$2:T$1073&lt;&gt;""))),"")</f>
        <v>0.12617771752687698</v>
      </c>
      <c r="AC458" cm="1">
        <f t="array" ref="AC458">IFERROR(AVERAGE(_xlfn._xlws.FILTER(U$2:U$1073,($C$2:$C$1073=$C458)*($E$2:$E$1073=$E458)*(ROW(U$2:U$1073)&lt;&gt;ROW(U458))*(U$2:U$1073&lt;&gt;""))),"")</f>
        <v>1.9211095881556979</v>
      </c>
      <c r="AD458" cm="1">
        <f t="array" ref="AD458">IFERROR(AVERAGE(_xlfn._xlws.FILTER(V$2:V$1073,($C$2:$C$1073=$C458)*($E$2:$E$1073=$E458)*(ROW(V$2:V$1073)&lt;&gt;ROW(V458))*(V$2:V$1073&lt;&gt;""))),"")</f>
        <v>0.6900953269974186</v>
      </c>
      <c r="AE458">
        <f>IF('Дивиденды по годам'!M458&lt;0,1,0)</f>
        <v>0</v>
      </c>
    </row>
    <row r="459" spans="1:31" x14ac:dyDescent="0.2">
      <c r="A459" s="7" t="s">
        <v>2237</v>
      </c>
      <c r="B459" t="str">
        <f t="shared" si="77"/>
        <v>RUAL IV кв. 2016</v>
      </c>
      <c r="C459">
        <v>2016</v>
      </c>
      <c r="D459">
        <f>SUMIFS(Дивиденды!$C:$C,Дивиденды!$A:$A,A459,Дивиденды!$I:$I,C459)</f>
        <v>1.106397126063829</v>
      </c>
      <c r="E459">
        <v>3</v>
      </c>
      <c r="F459">
        <f t="shared" si="78"/>
        <v>1.106397126063829</v>
      </c>
      <c r="G459">
        <f t="shared" si="79"/>
        <v>11.984999999999999</v>
      </c>
      <c r="H459">
        <f t="shared" si="80"/>
        <v>1</v>
      </c>
      <c r="I459">
        <f t="shared" si="81"/>
        <v>0.6</v>
      </c>
      <c r="J459">
        <f t="shared" si="82"/>
        <v>9.4762274124730442E-2</v>
      </c>
      <c r="K459">
        <f t="shared" si="87"/>
        <v>0.67820492862735826</v>
      </c>
      <c r="L459">
        <f t="shared" si="83"/>
        <v>1</v>
      </c>
      <c r="M459">
        <f t="shared" si="84"/>
        <v>0.6</v>
      </c>
      <c r="N459">
        <f t="shared" si="85"/>
        <v>0</v>
      </c>
      <c r="O459">
        <f t="shared" si="86"/>
        <v>0</v>
      </c>
      <c r="P459">
        <f>IFERROR(LN('Дивиденды по годам'!I459),"")</f>
        <v>27.599602452116251</v>
      </c>
      <c r="Q459">
        <f>IFERROR('Дивиденды по годам'!G459/'Дивиденды по годам'!I459, "")</f>
        <v>0.28127594796567951</v>
      </c>
      <c r="R459">
        <f>IFERROR(IF(AND('Дивиденды по годам'!N459&lt;&gt;"",'Дивиденды по годам'!U459&lt;&gt;"",'Дивиденды по годам'!U459&lt;&gt;0),'Дивиденды по годам'!N459/'Дивиденды по годам'!U459-1,""),"")</f>
        <v>6.8533680112581319E-3</v>
      </c>
      <c r="S459">
        <f>IFERROR(IF(AND('Дивиденды по годам'!L459&lt;&gt;"",'Дивиденды по годам'!I459&lt;&gt;"",'Дивиденды по годам'!J459&lt;&gt;"",'Дивиденды по годам'!K459&lt;&gt;"",('Дивиденды по годам'!I459-'Дивиденды по годам'!J459-'Дивиденды по годам'!K459)&lt;&gt;0),'Дивиденды по годам'!L459/('Дивиденды по годам'!I459-'Дивиденды по годам'!J459-'Дивиденды по годам'!K459),""),"")</f>
        <v>-1.9590785086389819</v>
      </c>
      <c r="T459">
        <f>IFERROR(IF(AND('Дивиденды по годам'!Q459&lt;&gt;"",'Дивиденды по годам'!I459&lt;&gt;"",'Дивиденды по годам'!V459&lt;&gt;"",('Дивиденды по годам'!I459+'Дивиденды по годам'!V459)&lt;&gt;0),'Дивиденды по годам'!Q459/(('Дивиденды по годам'!I459+'Дивиденды по годам'!V459)/2),""),"")</f>
        <v>9.0164301949214612E-2</v>
      </c>
      <c r="U459">
        <f>IFERROR(IF(AND('Дивиденды по годам'!J459&lt;&gt;"",'Дивиденды по годам'!K459&lt;&gt;"",'Дивиденды по годам'!M459&lt;&gt;"",'Дивиденды по годам'!M459&lt;&gt;0),('Дивиденды по годам'!J459+'Дивиденды по годам'!K459)/'Дивиденды по годам'!M459,""),"")</f>
        <v>3.3807214307365872</v>
      </c>
      <c r="V459">
        <f>IFERROR(IF(AND('Дивиденды по годам'!J459&lt;&gt;"",'Дивиденды по годам'!K459&lt;&gt;"",'Дивиденды по годам'!M459&lt;&gt;"",'Дивиденды по годам'!I459&lt;&gt;0),('Дивиденды по годам'!J459+'Дивиденды по годам'!K459)/'Дивиденды по годам'!I459,""),"")</f>
        <v>0.77172709659562688</v>
      </c>
      <c r="W459">
        <f>IFERROR('Дивиденды по годам'!I459,"")</f>
        <v>969069773689.36084</v>
      </c>
      <c r="X459" cm="1">
        <f t="array" ref="X459">IFERROR(AVERAGE(_xlfn._xlws.FILTER(P$2:P$1073,($C$2:$C$1073=$C459)*($E$2:$E$1073=$E459)*(ROW(P$2:P$1073)&lt;&gt;ROW(P459))*(P$2:P$1073&lt;&gt;""))),"")</f>
        <v>26.439078608419276</v>
      </c>
      <c r="Y459" cm="1">
        <f t="array" ref="Y459">IFERROR(AVERAGE(_xlfn._xlws.FILTER(Q$2:Q$1073,($C$2:$C$1073=$C459)*($E$2:$E$1073=$E459)*(ROW(Q$2:Q$1073)&lt;&gt;ROW(Q459))*(Q$2:Q$1073&lt;&gt;""))),"")</f>
        <v>0.53246650905622162</v>
      </c>
      <c r="Z459" cm="1">
        <f t="array" ref="Z459">IFERROR(AVERAGE(_xlfn._xlws.FILTER(R$2:R$1073,($C$2:$C$1073=$C459)*($E$2:$E$1073=$E459)*(ROW(R$2:R$1073)&lt;&gt;ROW(R459))*(R$2:R$1073&lt;&gt;""))),"")</f>
        <v>0.14748446019196082</v>
      </c>
      <c r="AA459" cm="1">
        <f t="array" ref="AA459">IFERROR(AVERAGE(_xlfn._xlws.FILTER(S$2:S$1073,($C$2:$C$1073=$C459)*($E$2:$E$1073=$E459)*(ROW(S$2:S$1073)&lt;&gt;ROW(S459))*(S$2:S$1073&lt;&gt;""))),"")</f>
        <v>0.5224803097548878</v>
      </c>
      <c r="AB459" cm="1">
        <f t="array" ref="AB459">IFERROR(AVERAGE(_xlfn._xlws.FILTER(T$2:T$1073,($C$2:$C$1073=$C459)*($E$2:$E$1073=$E459)*(ROW(T$2:T$1073)&lt;&gt;ROW(T459))*(T$2:T$1073&lt;&gt;""))),"")</f>
        <v>0.16904288747474211</v>
      </c>
      <c r="AC459" cm="1">
        <f t="array" ref="AC459">IFERROR(AVERAGE(_xlfn._xlws.FILTER(U$2:U$1073,($C$2:$C$1073=$C459)*($E$2:$E$1073=$E459)*(ROW(U$2:U$1073)&lt;&gt;ROW(U459))*(U$2:U$1073&lt;&gt;""))),"")</f>
        <v>-0.16577510539792123</v>
      </c>
      <c r="AD459" cm="1">
        <f t="array" ref="AD459">IFERROR(AVERAGE(_xlfn._xlws.FILTER(V$2:V$1073,($C$2:$C$1073=$C459)*($E$2:$E$1073=$E459)*(ROW(V$2:V$1073)&lt;&gt;ROW(V459))*(V$2:V$1073&lt;&gt;""))),"")</f>
        <v>0.74452635307943349</v>
      </c>
      <c r="AE459">
        <f>IF('Дивиденды по годам'!M459&lt;0,1,0)</f>
        <v>0</v>
      </c>
    </row>
    <row r="460" spans="1:31" x14ac:dyDescent="0.2">
      <c r="A460" s="7" t="s">
        <v>2237</v>
      </c>
      <c r="B460" t="str">
        <f t="shared" si="77"/>
        <v>RUAL IV кв. 2015</v>
      </c>
      <c r="C460">
        <v>2015</v>
      </c>
      <c r="D460">
        <f>SUMIFS(Дивиденды!$C:$C,Дивиденды!$A:$A,A460,Дивиденды!$I:$I,C460)</f>
        <v>1.0106277428571429</v>
      </c>
      <c r="E460">
        <v>3</v>
      </c>
      <c r="F460">
        <f t="shared" si="78"/>
        <v>1.0106277428571429</v>
      </c>
      <c r="G460">
        <f t="shared" si="79"/>
        <v>7.1230000000000002</v>
      </c>
      <c r="H460">
        <f t="shared" si="80"/>
        <v>1</v>
      </c>
      <c r="I460">
        <f t="shared" si="81"/>
        <v>0.5</v>
      </c>
      <c r="J460">
        <f t="shared" si="82"/>
        <v>1</v>
      </c>
      <c r="K460">
        <f t="shared" si="87"/>
        <v>0.78088717059055313</v>
      </c>
      <c r="L460">
        <f t="shared" si="83"/>
        <v>1</v>
      </c>
      <c r="M460">
        <f t="shared" si="84"/>
        <v>0.4</v>
      </c>
      <c r="N460">
        <f t="shared" si="85"/>
        <v>0</v>
      </c>
      <c r="O460">
        <f t="shared" si="86"/>
        <v>0.1</v>
      </c>
      <c r="P460">
        <f>IFERROR(LN('Дивиденды по годам'!I460),"")</f>
        <v>27.388380449237236</v>
      </c>
      <c r="Q460">
        <f>IFERROR('Дивиденды по годам'!G460/'Дивиденды по годам'!I460, "")</f>
        <v>0.30088219220860335</v>
      </c>
      <c r="R460">
        <f>IFERROR(IF(AND('Дивиденды по годам'!N460&lt;&gt;"",'Дивиденды по годам'!U460&lt;&gt;"",'Дивиденды по годам'!U460&lt;&gt;0),'Дивиденды по годам'!N460/'Дивиденды по годам'!U460-1,""),"")</f>
        <v>0.46585039188360389</v>
      </c>
      <c r="S460">
        <f>IFERROR(IF(AND('Дивиденды по годам'!L460&lt;&gt;"",'Дивиденды по годам'!I460&lt;&gt;"",'Дивиденды по годам'!J460&lt;&gt;"",'Дивиденды по годам'!K460&lt;&gt;"",('Дивиденды по годам'!I460-'Дивиденды по годам'!J460-'Дивиденды по годам'!K460)&lt;&gt;0),'Дивиденды по годам'!L460/('Дивиденды по годам'!I460-'Дивиденды по годам'!J460-'Дивиденды по годам'!K460),""),"")</f>
        <v>-5.3141624730409704</v>
      </c>
      <c r="T460">
        <f>IFERROR(IF(AND('Дивиденды по годам'!Q460&lt;&gt;"",'Дивиденды по годам'!I460&lt;&gt;"",'Дивиденды по годам'!V460&lt;&gt;"",('Дивиденды по годам'!I460+'Дивиденды по годам'!V460)&lt;&gt;0),'Дивиденды по годам'!Q460/(('Дивиденды по годам'!I460+'Дивиденды по годам'!V460)/2),""),"")</f>
        <v>5.0245162114360004E-2</v>
      </c>
      <c r="U460">
        <f>IFERROR(IF(AND('Дивиденды по годам'!J460&lt;&gt;"",'Дивиденды по годам'!K460&lt;&gt;"",'Дивиденды по годам'!M460&lt;&gt;"",'Дивиденды по годам'!M460&lt;&gt;0),('Дивиденды по годам'!J460+'Дивиденды по годам'!K460)/'Дивиденды по годам'!M460,""),"")</f>
        <v>8.2084831056793668</v>
      </c>
      <c r="V460">
        <f>IFERROR(IF(AND('Дивиденды по годам'!J460&lt;&gt;"",'Дивиденды по годам'!K460&lt;&gt;"",'Дивиденды по годам'!M460&lt;&gt;"",'Дивиденды по годам'!I460&lt;&gt;0),('Дивиденды по годам'!J460+'Дивиденды по годам'!K460)/'Дивиденды по годам'!I460,""),"")</f>
        <v>0.89140448122413918</v>
      </c>
      <c r="W460">
        <f>IFERROR('Дивиденды по годам'!I460,"")</f>
        <v>784553379288.31177</v>
      </c>
      <c r="X460" cm="1">
        <f t="array" ref="X460">IFERROR(AVERAGE(_xlfn._xlws.FILTER(P$2:P$1073,($C$2:$C$1073=$C460)*($E$2:$E$1073=$E460)*(ROW(P$2:P$1073)&lt;&gt;ROW(P460))*(P$2:P$1073&lt;&gt;""))),"")</f>
        <v>26.254924464703937</v>
      </c>
      <c r="Y460" cm="1">
        <f t="array" ref="Y460">IFERROR(AVERAGE(_xlfn._xlws.FILTER(Q$2:Q$1073,($C$2:$C$1073=$C460)*($E$2:$E$1073=$E460)*(ROW(Q$2:Q$1073)&lt;&gt;ROW(Q460))*(Q$2:Q$1073&lt;&gt;""))),"")</f>
        <v>0.51837962539038962</v>
      </c>
      <c r="Z460" cm="1">
        <f t="array" ref="Z460">IFERROR(AVERAGE(_xlfn._xlws.FILTER(R$2:R$1073,($C$2:$C$1073=$C460)*($E$2:$E$1073=$E460)*(ROW(R$2:R$1073)&lt;&gt;ROW(R460))*(R$2:R$1073&lt;&gt;""))),"")</f>
        <v>0.2294752884455179</v>
      </c>
      <c r="AA460" cm="1">
        <f t="array" ref="AA460">IFERROR(AVERAGE(_xlfn._xlws.FILTER(S$2:S$1073,($C$2:$C$1073=$C460)*($E$2:$E$1073=$E460)*(ROW(S$2:S$1073)&lt;&gt;ROW(S460))*(S$2:S$1073&lt;&gt;""))),"")</f>
        <v>1.6651670962267946</v>
      </c>
      <c r="AB460" cm="1">
        <f t="array" ref="AB460">IFERROR(AVERAGE(_xlfn._xlws.FILTER(T$2:T$1073,($C$2:$C$1073=$C460)*($E$2:$E$1073=$E460)*(ROW(T$2:T$1073)&lt;&gt;ROW(T460))*(T$2:T$1073&lt;&gt;""))),"")</f>
        <v>2.027210155132135E-2</v>
      </c>
      <c r="AC460" cm="1">
        <f t="array" ref="AC460">IFERROR(AVERAGE(_xlfn._xlws.FILTER(U$2:U$1073,($C$2:$C$1073=$C460)*($E$2:$E$1073=$E460)*(ROW(U$2:U$1073)&lt;&gt;ROW(U460))*(U$2:U$1073&lt;&gt;""))),"")</f>
        <v>2.475210544245475</v>
      </c>
      <c r="AD460" cm="1">
        <f t="array" ref="AD460">IFERROR(AVERAGE(_xlfn._xlws.FILTER(V$2:V$1073,($C$2:$C$1073=$C460)*($E$2:$E$1073=$E460)*(ROW(V$2:V$1073)&lt;&gt;ROW(V460))*(V$2:V$1073&lt;&gt;""))),"")</f>
        <v>0.78104605803320015</v>
      </c>
      <c r="AE460">
        <f>IF('Дивиденды по годам'!M460&lt;0,1,0)</f>
        <v>0</v>
      </c>
    </row>
    <row r="461" spans="1:31" x14ac:dyDescent="0.2">
      <c r="A461" s="7" t="s">
        <v>2237</v>
      </c>
      <c r="B461" t="str">
        <f t="shared" si="77"/>
        <v>RUAL IV кв. 2014</v>
      </c>
      <c r="C461">
        <v>2014</v>
      </c>
      <c r="D461">
        <f>SUMIFS(Дивиденды!$C:$C,Дивиденды!$A:$A,A461,Дивиденды!$I:$I,C461)</f>
        <v>0</v>
      </c>
      <c r="E461">
        <v>3</v>
      </c>
      <c r="F461">
        <f t="shared" si="78"/>
        <v>0</v>
      </c>
      <c r="G461">
        <f t="shared" si="79"/>
        <v>7.8559999999999999</v>
      </c>
      <c r="H461">
        <f t="shared" si="80"/>
        <v>0</v>
      </c>
      <c r="I461">
        <f t="shared" si="81"/>
        <v>0.5</v>
      </c>
      <c r="J461">
        <f t="shared" si="82"/>
        <v>0</v>
      </c>
      <c r="K461">
        <f t="shared" si="87"/>
        <v>1.0733185192796773</v>
      </c>
      <c r="L461">
        <f t="shared" si="83"/>
        <v>0</v>
      </c>
      <c r="M461">
        <f t="shared" si="84"/>
        <v>0.3</v>
      </c>
      <c r="N461">
        <f t="shared" si="85"/>
        <v>0</v>
      </c>
      <c r="O461">
        <f t="shared" si="86"/>
        <v>0.1</v>
      </c>
      <c r="P461">
        <f>IFERROR(LN('Дивиденды по годам'!I461),"")</f>
        <v>27.079164791086271</v>
      </c>
      <c r="Q461">
        <f>IFERROR('Дивиденды по годам'!G461/'Дивиденды по годам'!I461, "")</f>
        <v>0.26606986605640437</v>
      </c>
      <c r="R461" t="str">
        <f>IFERROR(IF(AND('Дивиденды по годам'!N461&lt;&gt;"",'Дивиденды по годам'!U461&lt;&gt;"",'Дивиденды по годам'!U461&lt;&gt;0),'Дивиденды по годам'!N461/'Дивиденды по годам'!U461-1,""),"")</f>
        <v/>
      </c>
      <c r="S461">
        <f>IFERROR(IF(AND('Дивиденды по годам'!L461&lt;&gt;"",'Дивиденды по годам'!I461&lt;&gt;"",'Дивиденды по годам'!J461&lt;&gt;"",'Дивиденды по годам'!K461&lt;&gt;"",('Дивиденды по годам'!I461-'Дивиденды по годам'!J461-'Дивиденды по годам'!K461)&lt;&gt;0),'Дивиденды по годам'!L461/('Дивиденды по годам'!I461-'Дивиденды по годам'!J461-'Дивиденды по годам'!K461),""),"")</f>
        <v>-3.4421099687080923</v>
      </c>
      <c r="T461" t="str">
        <f>IFERROR(IF(AND('Дивиденды по годам'!Q461&lt;&gt;"",'Дивиденды по годам'!I461&lt;&gt;"",'Дивиденды по годам'!V461&lt;&gt;"",('Дивиденды по годам'!I461+'Дивиденды по годам'!V461)&lt;&gt;0),'Дивиденды по годам'!Q461/(('Дивиденды по годам'!I461+'Дивиденды по годам'!V461)/2),""),"")</f>
        <v/>
      </c>
      <c r="U461">
        <f>IFERROR(IF(AND('Дивиденды по годам'!J461&lt;&gt;"",'Дивиденды по годам'!K461&lt;&gt;"",'Дивиденды по годам'!M461&lt;&gt;"",'Дивиденды по годам'!M461&lt;&gt;0),('Дивиденды по годам'!J461+'Дивиденды по годам'!K461)/'Дивиденды по годам'!M461,""),"")</f>
        <v>5.6414841305319632</v>
      </c>
      <c r="V461">
        <f>IFERROR(IF(AND('Дивиденды по годам'!J461&lt;&gt;"",'Дивиденды по годам'!K461&lt;&gt;"",'Дивиденды по годам'!M461&lt;&gt;"",'Дивиденды по годам'!I461&lt;&gt;0),('Дивиденды по годам'!J461+'Дивиденды по годам'!K461)/'Дивиденды по годам'!I461,""),"")</f>
        <v>0.84943124453119745</v>
      </c>
      <c r="W461">
        <f>IFERROR('Дивиденды по годам'!I461,"")</f>
        <v>575879797567.68054</v>
      </c>
      <c r="X461" cm="1">
        <f t="array" ref="X461">IFERROR(AVERAGE(_xlfn._xlws.FILTER(P$2:P$1073,($C$2:$C$1073=$C461)*($E$2:$E$1073=$E461)*(ROW(P$2:P$1073)&lt;&gt;ROW(P461))*(P$2:P$1073&lt;&gt;""))),"")</f>
        <v>26.211446291797504</v>
      </c>
      <c r="Y461" cm="1">
        <f t="array" ref="Y461">IFERROR(AVERAGE(_xlfn._xlws.FILTER(Q$2:Q$1073,($C$2:$C$1073=$C461)*($E$2:$E$1073=$E461)*(ROW(Q$2:Q$1073)&lt;&gt;ROW(Q461))*(Q$2:Q$1073&lt;&gt;""))),"")</f>
        <v>0.5437404624448261</v>
      </c>
      <c r="Z461" cm="1">
        <f t="array" ref="Z461">IFERROR(AVERAGE(_xlfn._xlws.FILTER(R$2:R$1073,($C$2:$C$1073=$C461)*($E$2:$E$1073=$E461)*(ROW(R$2:R$1073)&lt;&gt;ROW(R461))*(R$2:R$1073&lt;&gt;""))),"")</f>
        <v>7.749408943916497E-2</v>
      </c>
      <c r="AA461" cm="1">
        <f t="array" ref="AA461">IFERROR(AVERAGE(_xlfn._xlws.FILTER(S$2:S$1073,($C$2:$C$1073=$C461)*($E$2:$E$1073=$E461)*(ROW(S$2:S$1073)&lt;&gt;ROW(S461))*(S$2:S$1073&lt;&gt;""))),"")</f>
        <v>1.3246311283767944</v>
      </c>
      <c r="AB461" cm="1">
        <f t="array" ref="AB461">IFERROR(AVERAGE(_xlfn._xlws.FILTER(T$2:T$1073,($C$2:$C$1073=$C461)*($E$2:$E$1073=$E461)*(ROW(T$2:T$1073)&lt;&gt;ROW(T461))*(T$2:T$1073&lt;&gt;""))),"")</f>
        <v>-7.7541429399112044E-2</v>
      </c>
      <c r="AC461" cm="1">
        <f t="array" ref="AC461">IFERROR(AVERAGE(_xlfn._xlws.FILTER(U$2:U$1073,($C$2:$C$1073=$C461)*($E$2:$E$1073=$E461)*(ROW(U$2:U$1073)&lt;&gt;ROW(U461))*(U$2:U$1073&lt;&gt;""))),"")</f>
        <v>1.1807027616228445</v>
      </c>
      <c r="AD461" cm="1">
        <f t="array" ref="AD461">IFERROR(AVERAGE(_xlfn._xlws.FILTER(V$2:V$1073,($C$2:$C$1073=$C461)*($E$2:$E$1073=$E461)*(ROW(V$2:V$1073)&lt;&gt;ROW(V461))*(V$2:V$1073&lt;&gt;""))),"")</f>
        <v>0.69644222008632672</v>
      </c>
      <c r="AE461">
        <f>IF('Дивиденды по годам'!M461&lt;0,1,0)</f>
        <v>0</v>
      </c>
    </row>
    <row r="462" spans="1:31" x14ac:dyDescent="0.2">
      <c r="A462" s="7" t="s">
        <v>2237</v>
      </c>
      <c r="B462" t="str">
        <f t="shared" si="77"/>
        <v>RUAL IV кв. 2013</v>
      </c>
      <c r="C462">
        <v>2013</v>
      </c>
      <c r="D462">
        <f>SUMIFS(Дивиденды!$C:$C,Дивиденды!$A:$A,A462,Дивиденды!$I:$I,C462)</f>
        <v>0</v>
      </c>
      <c r="E462">
        <v>3</v>
      </c>
      <c r="F462">
        <f t="shared" si="78"/>
        <v>0</v>
      </c>
      <c r="G462">
        <f t="shared" si="79"/>
        <v>1.2260000000000002</v>
      </c>
      <c r="H462">
        <f t="shared" si="80"/>
        <v>0</v>
      </c>
      <c r="I462">
        <f t="shared" si="81"/>
        <v>0.4</v>
      </c>
      <c r="J462">
        <f t="shared" si="82"/>
        <v>0</v>
      </c>
      <c r="K462">
        <f t="shared" si="87"/>
        <v>-0.20386411043374064</v>
      </c>
      <c r="L462">
        <f t="shared" si="83"/>
        <v>0</v>
      </c>
      <c r="M462">
        <f t="shared" si="84"/>
        <v>0.2</v>
      </c>
      <c r="N462">
        <f t="shared" si="85"/>
        <v>0</v>
      </c>
      <c r="O462">
        <f t="shared" si="86"/>
        <v>0.4</v>
      </c>
      <c r="P462" t="str">
        <f>IFERROR(LN('Дивиденды по годам'!I462),"")</f>
        <v/>
      </c>
      <c r="Q462" t="str">
        <f>IFERROR('Дивиденды по годам'!G462/'Дивиденды по годам'!I462, "")</f>
        <v/>
      </c>
      <c r="R462" t="str">
        <f>IFERROR(IF(AND('Дивиденды по годам'!N462&lt;&gt;"",'Дивиденды по годам'!U462&lt;&gt;"",'Дивиденды по годам'!U462&lt;&gt;0),'Дивиденды по годам'!N462/'Дивиденды по годам'!U462-1,""),"")</f>
        <v/>
      </c>
      <c r="S462" t="str">
        <f>IFERROR(IF(AND('Дивиденды по годам'!L462&lt;&gt;"",'Дивиденды по годам'!I462&lt;&gt;"",'Дивиденды по годам'!J462&lt;&gt;"",'Дивиденды по годам'!K462&lt;&gt;"",('Дивиденды по годам'!I462-'Дивиденды по годам'!J462-'Дивиденды по годам'!K462)&lt;&gt;0),'Дивиденды по годам'!L462/('Дивиденды по годам'!I462-'Дивиденды по годам'!J462-'Дивиденды по годам'!K462),""),"")</f>
        <v/>
      </c>
      <c r="T462" t="str">
        <f>IFERROR(IF(AND('Дивиденды по годам'!Q462&lt;&gt;"",'Дивиденды по годам'!I462&lt;&gt;"",'Дивиденды по годам'!V462&lt;&gt;"",('Дивиденды по годам'!I462+'Дивиденды по годам'!V462)&lt;&gt;0),'Дивиденды по годам'!Q462/(('Дивиденды по годам'!I462+'Дивиденды по годам'!V462)/2),""),"")</f>
        <v/>
      </c>
      <c r="U462" t="str">
        <f>IFERROR(IF(AND('Дивиденды по годам'!J462&lt;&gt;"",'Дивиденды по годам'!K462&lt;&gt;"",'Дивиденды по годам'!M462&lt;&gt;"",'Дивиденды по годам'!M462&lt;&gt;0),('Дивиденды по годам'!J462+'Дивиденды по годам'!K462)/'Дивиденды по годам'!M462,""),"")</f>
        <v/>
      </c>
      <c r="V462" t="str">
        <f>IFERROR(IF(AND('Дивиденды по годам'!J462&lt;&gt;"",'Дивиденды по годам'!K462&lt;&gt;"",'Дивиденды по годам'!M462&lt;&gt;"",'Дивиденды по годам'!I462&lt;&gt;0),('Дивиденды по годам'!J462+'Дивиденды по годам'!K462)/'Дивиденды по годам'!I462,""),"")</f>
        <v/>
      </c>
      <c r="W462" t="str">
        <f>IFERROR('Дивиденды по годам'!I462,"")</f>
        <v/>
      </c>
      <c r="X462" cm="1">
        <f t="array" ref="X462">IFERROR(AVERAGE(_xlfn._xlws.FILTER(P$2:P$1073,($C$2:$C$1073=$C462)*($E$2:$E$1073=$E462)*(ROW(P$2:P$1073)&lt;&gt;ROW(P462))*(P$2:P$1073&lt;&gt;""))),"")</f>
        <v>26.438676671932889</v>
      </c>
      <c r="Y462" cm="1">
        <f t="array" ref="Y462">IFERROR(AVERAGE(_xlfn._xlws.FILTER(Q$2:Q$1073,($C$2:$C$1073=$C462)*($E$2:$E$1073=$E462)*(ROW(Q$2:Q$1073)&lt;&gt;ROW(Q462))*(Q$2:Q$1073&lt;&gt;""))),"")</f>
        <v>0.5772407109117077</v>
      </c>
      <c r="Z462" cm="1">
        <f t="array" ref="Z462">IFERROR(AVERAGE(_xlfn._xlws.FILTER(R$2:R$1073,($C$2:$C$1073=$C462)*($E$2:$E$1073=$E462)*(ROW(R$2:R$1073)&lt;&gt;ROW(R462))*(R$2:R$1073&lt;&gt;""))),"")</f>
        <v>-4.5593165048120117E-2</v>
      </c>
      <c r="AA462" cm="1">
        <f t="array" ref="AA462">IFERROR(AVERAGE(_xlfn._xlws.FILTER(S$2:S$1073,($C$2:$C$1073=$C462)*($E$2:$E$1073=$E462)*(ROW(S$2:S$1073)&lt;&gt;ROW(S462))*(S$2:S$1073&lt;&gt;""))),"")</f>
        <v>1.1343753445927802</v>
      </c>
      <c r="AB462" cm="1">
        <f t="array" ref="AB462">IFERROR(AVERAGE(_xlfn._xlws.FILTER(T$2:T$1073,($C$2:$C$1073=$C462)*($E$2:$E$1073=$E462)*(ROW(T$2:T$1073)&lt;&gt;ROW(T462))*(T$2:T$1073&lt;&gt;""))),"")</f>
        <v>-3.1112712123680317E-2</v>
      </c>
      <c r="AC462" cm="1">
        <f t="array" ref="AC462">IFERROR(AVERAGE(_xlfn._xlws.FILTER(U$2:U$1073,($C$2:$C$1073=$C462)*($E$2:$E$1073=$E462)*(ROW(U$2:U$1073)&lt;&gt;ROW(U462))*(U$2:U$1073&lt;&gt;""))),"")</f>
        <v>3.1129341153479797</v>
      </c>
      <c r="AD462" cm="1">
        <f t="array" ref="AD462">IFERROR(AVERAGE(_xlfn._xlws.FILTER(V$2:V$1073,($C$2:$C$1073=$C462)*($E$2:$E$1073=$E462)*(ROW(V$2:V$1073)&lt;&gt;ROW(V462))*(V$2:V$1073&lt;&gt;""))),"")</f>
        <v>0.56351738501340309</v>
      </c>
      <c r="AE462">
        <f>IF('Дивиденды по годам'!M462&lt;0,1,0)</f>
        <v>0</v>
      </c>
    </row>
    <row r="463" spans="1:31" x14ac:dyDescent="0.2">
      <c r="A463" s="7" t="s">
        <v>2237</v>
      </c>
      <c r="B463" t="str">
        <f t="shared" si="77"/>
        <v>RUAL IV кв. 2012</v>
      </c>
      <c r="C463">
        <v>2012</v>
      </c>
      <c r="D463">
        <f>SUMIFS(Дивиденды!$C:$C,Дивиденды!$A:$A,A463,Дивиденды!$I:$I,C463)</f>
        <v>0</v>
      </c>
      <c r="E463">
        <v>3</v>
      </c>
      <c r="F463">
        <f t="shared" si="78"/>
        <v>0</v>
      </c>
      <c r="G463">
        <f t="shared" si="79"/>
        <v>2.1309999999999998</v>
      </c>
      <c r="H463">
        <f t="shared" si="80"/>
        <v>0</v>
      </c>
      <c r="I463">
        <f t="shared" si="81"/>
        <v>0.6</v>
      </c>
      <c r="J463">
        <f t="shared" si="82"/>
        <v>0</v>
      </c>
      <c r="K463">
        <f t="shared" si="87"/>
        <v>-0.18400043619769682</v>
      </c>
      <c r="L463">
        <f t="shared" si="83"/>
        <v>0</v>
      </c>
      <c r="M463">
        <f t="shared" si="84"/>
        <v>0.3</v>
      </c>
      <c r="N463">
        <f t="shared" si="85"/>
        <v>0</v>
      </c>
      <c r="O463">
        <f t="shared" si="86"/>
        <v>0.6</v>
      </c>
      <c r="P463" t="str">
        <f>IFERROR(LN('Дивиденды по годам'!I463),"")</f>
        <v/>
      </c>
      <c r="Q463" t="str">
        <f>IFERROR('Дивиденды по годам'!G463/'Дивиденды по годам'!I463, "")</f>
        <v/>
      </c>
      <c r="R463" t="str">
        <f>IFERROR(IF(AND('Дивиденды по годам'!N463&lt;&gt;"",'Дивиденды по годам'!U463&lt;&gt;"",'Дивиденды по годам'!U463&lt;&gt;0),'Дивиденды по годам'!N463/'Дивиденды по годам'!U463-1,""),"")</f>
        <v/>
      </c>
      <c r="S463" t="str">
        <f>IFERROR(IF(AND('Дивиденды по годам'!L463&lt;&gt;"",'Дивиденды по годам'!I463&lt;&gt;"",'Дивиденды по годам'!J463&lt;&gt;"",'Дивиденды по годам'!K463&lt;&gt;"",('Дивиденды по годам'!I463-'Дивиденды по годам'!J463-'Дивиденды по годам'!K463)&lt;&gt;0),'Дивиденды по годам'!L463/('Дивиденды по годам'!I463-'Дивиденды по годам'!J463-'Дивиденды по годам'!K463),""),"")</f>
        <v/>
      </c>
      <c r="T463" t="str">
        <f>IFERROR(IF(AND('Дивиденды по годам'!Q463&lt;&gt;"",'Дивиденды по годам'!I463&lt;&gt;"",'Дивиденды по годам'!V463&lt;&gt;"",('Дивиденды по годам'!I463+'Дивиденды по годам'!V463)&lt;&gt;0),'Дивиденды по годам'!Q463/(('Дивиденды по годам'!I463+'Дивиденды по годам'!V463)/2),""),"")</f>
        <v/>
      </c>
      <c r="U463" t="str">
        <f>IFERROR(IF(AND('Дивиденды по годам'!J463&lt;&gt;"",'Дивиденды по годам'!K463&lt;&gt;"",'Дивиденды по годам'!M463&lt;&gt;"",'Дивиденды по годам'!M463&lt;&gt;0),('Дивиденды по годам'!J463+'Дивиденды по годам'!K463)/'Дивиденды по годам'!M463,""),"")</f>
        <v/>
      </c>
      <c r="V463" t="str">
        <f>IFERROR(IF(AND('Дивиденды по годам'!J463&lt;&gt;"",'Дивиденды по годам'!K463&lt;&gt;"",'Дивиденды по годам'!M463&lt;&gt;"",'Дивиденды по годам'!I463&lt;&gt;0),('Дивиденды по годам'!J463+'Дивиденды по годам'!K463)/'Дивиденды по годам'!I463,""),"")</f>
        <v/>
      </c>
      <c r="W463" t="str">
        <f>IFERROR('Дивиденды по годам'!I463,"")</f>
        <v/>
      </c>
      <c r="X463" cm="1">
        <f t="array" ref="X463">IFERROR(AVERAGE(_xlfn._xlws.FILTER(P$2:P$1073,($C$2:$C$1073=$C463)*($E$2:$E$1073=$E463)*(ROW(P$2:P$1073)&lt;&gt;ROW(P463))*(P$2:P$1073&lt;&gt;""))),"")</f>
        <v>26.7103297110745</v>
      </c>
      <c r="Y463" cm="1">
        <f t="array" ref="Y463">IFERROR(AVERAGE(_xlfn._xlws.FILTER(Q$2:Q$1073,($C$2:$C$1073=$C463)*($E$2:$E$1073=$E463)*(ROW(Q$2:Q$1073)&lt;&gt;ROW(Q463))*(Q$2:Q$1073&lt;&gt;""))),"")</f>
        <v>0.50230860939381883</v>
      </c>
      <c r="Z463" cm="1">
        <f t="array" ref="Z463">IFERROR(AVERAGE(_xlfn._xlws.FILTER(R$2:R$1073,($C$2:$C$1073=$C463)*($E$2:$E$1073=$E463)*(ROW(R$2:R$1073)&lt;&gt;ROW(R463))*(R$2:R$1073&lt;&gt;""))),"")</f>
        <v>-1.7108975872326404E-3</v>
      </c>
      <c r="AA463" t="str" cm="1">
        <f t="array" ref="AA463">IFERROR(AVERAGE(_xlfn._xlws.FILTER(S$2:S$1073,($C$2:$C$1073=$C463)*($E$2:$E$1073=$E463)*(ROW(S$2:S$1073)&lt;&gt;ROW(S463))*(S$2:S$1073&lt;&gt;""))),"")</f>
        <v/>
      </c>
      <c r="AB463" cm="1">
        <f t="array" ref="AB463">IFERROR(AVERAGE(_xlfn._xlws.FILTER(T$2:T$1073,($C$2:$C$1073=$C463)*($E$2:$E$1073=$E463)*(ROW(T$2:T$1073)&lt;&gt;ROW(T463))*(T$2:T$1073&lt;&gt;""))),"")</f>
        <v>4.9772862648443709E-2</v>
      </c>
      <c r="AC463" cm="1">
        <f t="array" ref="AC463">IFERROR(AVERAGE(_xlfn._xlws.FILTER(U$2:U$1073,($C$2:$C$1073=$C463)*($E$2:$E$1073=$E463)*(ROW(U$2:U$1073)&lt;&gt;ROW(U463))*(U$2:U$1073&lt;&gt;""))),"")</f>
        <v>1.370836897515491</v>
      </c>
      <c r="AD463" cm="1">
        <f t="array" ref="AD463">IFERROR(AVERAGE(_xlfn._xlws.FILTER(V$2:V$1073,($C$2:$C$1073=$C463)*($E$2:$E$1073=$E463)*(ROW(V$2:V$1073)&lt;&gt;ROW(V463))*(V$2:V$1073&lt;&gt;""))),"")</f>
        <v>0.4384636527471108</v>
      </c>
      <c r="AE463">
        <f>IF('Дивиденды по годам'!M463&lt;0,1,0)</f>
        <v>0</v>
      </c>
    </row>
    <row r="464" spans="1:31" x14ac:dyDescent="0.2">
      <c r="A464" s="7" t="s">
        <v>2237</v>
      </c>
      <c r="B464" t="str">
        <f t="shared" si="77"/>
        <v>RUAL IV кв. 2011</v>
      </c>
      <c r="C464">
        <v>2011</v>
      </c>
      <c r="D464">
        <f>SUMIFS(Дивиденды!$C:$C,Дивиденды!$A:$A,A464,Дивиденды!$I:$I,C464)</f>
        <v>0</v>
      </c>
      <c r="E464">
        <v>3</v>
      </c>
      <c r="F464">
        <f t="shared" si="78"/>
        <v>0</v>
      </c>
      <c r="G464">
        <f t="shared" si="79"/>
        <v>3.7659999999999996</v>
      </c>
      <c r="H464">
        <f t="shared" si="80"/>
        <v>0</v>
      </c>
      <c r="I464">
        <f t="shared" si="81"/>
        <v>0.8</v>
      </c>
      <c r="J464">
        <f t="shared" si="82"/>
        <v>0</v>
      </c>
      <c r="K464">
        <f t="shared" si="87"/>
        <v>0.78130568048052607</v>
      </c>
      <c r="L464">
        <f t="shared" si="83"/>
        <v>0</v>
      </c>
      <c r="M464">
        <f t="shared" si="84"/>
        <v>0.6</v>
      </c>
      <c r="N464">
        <f t="shared" si="85"/>
        <v>0</v>
      </c>
      <c r="O464">
        <f t="shared" si="86"/>
        <v>0.3</v>
      </c>
      <c r="P464" t="str">
        <f>IFERROR(LN('Дивиденды по годам'!I464),"")</f>
        <v/>
      </c>
      <c r="Q464" t="str">
        <f>IFERROR('Дивиденды по годам'!G464/'Дивиденды по годам'!I464, "")</f>
        <v/>
      </c>
      <c r="R464" t="str">
        <f>IFERROR(IF(AND('Дивиденды по годам'!N464&lt;&gt;"",'Дивиденды по годам'!U464&lt;&gt;"",'Дивиденды по годам'!U464&lt;&gt;0),'Дивиденды по годам'!N464/'Дивиденды по годам'!U464-1,""),"")</f>
        <v/>
      </c>
      <c r="S464" t="str">
        <f>IFERROR(IF(AND('Дивиденды по годам'!L464&lt;&gt;"",'Дивиденды по годам'!I464&lt;&gt;"",'Дивиденды по годам'!J464&lt;&gt;"",'Дивиденды по годам'!K464&lt;&gt;"",('Дивиденды по годам'!I464-'Дивиденды по годам'!J464-'Дивиденды по годам'!K464)&lt;&gt;0),'Дивиденды по годам'!L464/('Дивиденды по годам'!I464-'Дивиденды по годам'!J464-'Дивиденды по годам'!K464),""),"")</f>
        <v/>
      </c>
      <c r="T464" t="str">
        <f>IFERROR(IF(AND('Дивиденды по годам'!Q464&lt;&gt;"",'Дивиденды по годам'!I464&lt;&gt;"",'Дивиденды по годам'!V464&lt;&gt;"",('Дивиденды по годам'!I464+'Дивиденды по годам'!V464)&lt;&gt;0),'Дивиденды по годам'!Q464/(('Дивиденды по годам'!I464+'Дивиденды по годам'!V464)/2),""),"")</f>
        <v/>
      </c>
      <c r="U464" t="str">
        <f>IFERROR(IF(AND('Дивиденды по годам'!J464&lt;&gt;"",'Дивиденды по годам'!K464&lt;&gt;"",'Дивиденды по годам'!M464&lt;&gt;"",'Дивиденды по годам'!M464&lt;&gt;0),('Дивиденды по годам'!J464+'Дивиденды по годам'!K464)/'Дивиденды по годам'!M464,""),"")</f>
        <v/>
      </c>
      <c r="V464" t="str">
        <f>IFERROR(IF(AND('Дивиденды по годам'!J464&lt;&gt;"",'Дивиденды по годам'!K464&lt;&gt;"",'Дивиденды по годам'!M464&lt;&gt;"",'Дивиденды по годам'!I464&lt;&gt;0),('Дивиденды по годам'!J464+'Дивиденды по годам'!K464)/'Дивиденды по годам'!I464,""),"")</f>
        <v/>
      </c>
      <c r="W464" t="str">
        <f>IFERROR('Дивиденды по годам'!I464,"")</f>
        <v/>
      </c>
      <c r="X464" cm="1">
        <f t="array" ref="X464">IFERROR(AVERAGE(_xlfn._xlws.FILTER(P$2:P$1073,($C$2:$C$1073=$C464)*($E$2:$E$1073=$E464)*(ROW(P$2:P$1073)&lt;&gt;ROW(P464))*(P$2:P$1073&lt;&gt;""))),"")</f>
        <v>26.435590628703217</v>
      </c>
      <c r="Y464" cm="1">
        <f t="array" ref="Y464">IFERROR(AVERAGE(_xlfn._xlws.FILTER(Q$2:Q$1073,($C$2:$C$1073=$C464)*($E$2:$E$1073=$E464)*(ROW(Q$2:Q$1073)&lt;&gt;ROW(Q464))*(Q$2:Q$1073&lt;&gt;""))),"")</f>
        <v>0.56952165046998604</v>
      </c>
      <c r="Z464" cm="1">
        <f t="array" ref="Z464">IFERROR(AVERAGE(_xlfn._xlws.FILTER(R$2:R$1073,($C$2:$C$1073=$C464)*($E$2:$E$1073=$E464)*(ROW(R$2:R$1073)&lt;&gt;ROW(R464))*(R$2:R$1073&lt;&gt;""))),"")</f>
        <v>0.21463216748681591</v>
      </c>
      <c r="AA464" t="str" cm="1">
        <f t="array" ref="AA464">IFERROR(AVERAGE(_xlfn._xlws.FILTER(S$2:S$1073,($C$2:$C$1073=$C464)*($E$2:$E$1073=$E464)*(ROW(S$2:S$1073)&lt;&gt;ROW(S464))*(S$2:S$1073&lt;&gt;""))),"")</f>
        <v/>
      </c>
      <c r="AB464" cm="1">
        <f t="array" ref="AB464">IFERROR(AVERAGE(_xlfn._xlws.FILTER(T$2:T$1073,($C$2:$C$1073=$C464)*($E$2:$E$1073=$E464)*(ROW(T$2:T$1073)&lt;&gt;ROW(T464))*(T$2:T$1073&lt;&gt;""))),"")</f>
        <v>0.11505618365484008</v>
      </c>
      <c r="AC464" cm="1">
        <f t="array" ref="AC464">IFERROR(AVERAGE(_xlfn._xlws.FILTER(U$2:U$1073,($C$2:$C$1073=$C464)*($E$2:$E$1073=$E464)*(ROW(U$2:U$1073)&lt;&gt;ROW(U464))*(U$2:U$1073&lt;&gt;""))),"")</f>
        <v>1.1128563967031604</v>
      </c>
      <c r="AD464" cm="1">
        <f t="array" ref="AD464">IFERROR(AVERAGE(_xlfn._xlws.FILTER(V$2:V$1073,($C$2:$C$1073=$C464)*($E$2:$E$1073=$E464)*(ROW(V$2:V$1073)&lt;&gt;ROW(V464))*(V$2:V$1073&lt;&gt;""))),"")</f>
        <v>0.50060591818639988</v>
      </c>
      <c r="AE464">
        <f>IF('Дивиденды по годам'!M464&lt;0,1,0)</f>
        <v>0</v>
      </c>
    </row>
    <row r="465" spans="1:31" x14ac:dyDescent="0.2">
      <c r="A465" s="7" t="s">
        <v>2237</v>
      </c>
      <c r="B465" t="str">
        <f t="shared" si="77"/>
        <v>RUAL IV кв. 2010</v>
      </c>
      <c r="C465">
        <v>2010</v>
      </c>
      <c r="D465">
        <f>SUMIFS(Дивиденды!$C:$C,Дивиденды!$A:$A,A465,Дивиденды!$I:$I,C465)</f>
        <v>0</v>
      </c>
      <c r="E465">
        <v>3</v>
      </c>
      <c r="F465">
        <f t="shared" si="78"/>
        <v>0</v>
      </c>
      <c r="G465">
        <f t="shared" si="79"/>
        <v>3.0789999999999997</v>
      </c>
      <c r="H465">
        <f t="shared" si="80"/>
        <v>0</v>
      </c>
      <c r="I465">
        <f t="shared" si="81"/>
        <v>0.7</v>
      </c>
      <c r="J465" t="str">
        <f t="shared" si="82"/>
        <v/>
      </c>
      <c r="K465" t="str">
        <f t="shared" si="87"/>
        <v/>
      </c>
      <c r="L465" t="str">
        <f t="shared" si="83"/>
        <v/>
      </c>
      <c r="M465" t="str">
        <f t="shared" si="84"/>
        <v/>
      </c>
      <c r="N465" t="str">
        <f t="shared" si="85"/>
        <v/>
      </c>
      <c r="O465" t="str">
        <f t="shared" si="86"/>
        <v/>
      </c>
      <c r="P465" t="str">
        <f>IFERROR(LN('Дивиденды по годам'!I465),"")</f>
        <v/>
      </c>
      <c r="Q465" t="str">
        <f>IFERROR('Дивиденды по годам'!G465/'Дивиденды по годам'!I465, "")</f>
        <v/>
      </c>
      <c r="R465" t="str">
        <f>IFERROR(IF(AND('Дивиденды по годам'!N465&lt;&gt;"",'Дивиденды по годам'!U465&lt;&gt;"",'Дивиденды по годам'!U465&lt;&gt;0),'Дивиденды по годам'!N465/'Дивиденды по годам'!U465-1,""),"")</f>
        <v/>
      </c>
      <c r="S465" t="str">
        <f>IFERROR(IF(AND('Дивиденды по годам'!L465&lt;&gt;"",'Дивиденды по годам'!I465&lt;&gt;"",'Дивиденды по годам'!J465&lt;&gt;"",'Дивиденды по годам'!K465&lt;&gt;"",('Дивиденды по годам'!I465-'Дивиденды по годам'!J465-'Дивиденды по годам'!K465)&lt;&gt;0),'Дивиденды по годам'!L465/('Дивиденды по годам'!I465-'Дивиденды по годам'!J465-'Дивиденды по годам'!K465),""),"")</f>
        <v/>
      </c>
      <c r="T465" t="str">
        <f>IFERROR(IF(AND('Дивиденды по годам'!Q465&lt;&gt;"",'Дивиденды по годам'!I465&lt;&gt;"",'Дивиденды по годам'!V465&lt;&gt;"",('Дивиденды по годам'!I465+'Дивиденды по годам'!V465)&lt;&gt;0),'Дивиденды по годам'!Q465/(('Дивиденды по годам'!I465+'Дивиденды по годам'!V465)/2),""),"")</f>
        <v/>
      </c>
      <c r="U465" t="str">
        <f>IFERROR(IF(AND('Дивиденды по годам'!J465&lt;&gt;"",'Дивиденды по годам'!K465&lt;&gt;"",'Дивиденды по годам'!M465&lt;&gt;"",'Дивиденды по годам'!M465&lt;&gt;0),('Дивиденды по годам'!J465+'Дивиденды по годам'!K465)/'Дивиденды по годам'!M465,""),"")</f>
        <v/>
      </c>
      <c r="V465" t="str">
        <f>IFERROR(IF(AND('Дивиденды по годам'!J465&lt;&gt;"",'Дивиденды по годам'!K465&lt;&gt;"",'Дивиденды по годам'!M465&lt;&gt;"",'Дивиденды по годам'!I465&lt;&gt;0),('Дивиденды по годам'!J465+'Дивиденды по годам'!K465)/'Дивиденды по годам'!I465,""),"")</f>
        <v/>
      </c>
      <c r="W465" t="str">
        <f>IFERROR('Дивиденды по годам'!I465,"")</f>
        <v/>
      </c>
      <c r="X465" cm="1">
        <f t="array" ref="X465">IFERROR(AVERAGE(_xlfn._xlws.FILTER(P$2:P$1073,($C$2:$C$1073=$C465)*($E$2:$E$1073=$E465)*(ROW(P$2:P$1073)&lt;&gt;ROW(P465))*(P$2:P$1073&lt;&gt;""))),"")</f>
        <v>26.127864794831805</v>
      </c>
      <c r="Y465" cm="1">
        <f t="array" ref="Y465">IFERROR(AVERAGE(_xlfn._xlws.FILTER(Q$2:Q$1073,($C$2:$C$1073=$C465)*($E$2:$E$1073=$E465)*(ROW(Q$2:Q$1073)&lt;&gt;ROW(Q465))*(Q$2:Q$1073&lt;&gt;""))),"")</f>
        <v>0.75539390451698762</v>
      </c>
      <c r="Z465" t="str" cm="1">
        <f t="array" ref="Z465">IFERROR(AVERAGE(_xlfn._xlws.FILTER(R$2:R$1073,($C$2:$C$1073=$C465)*($E$2:$E$1073=$E465)*(ROW(R$2:R$1073)&lt;&gt;ROW(R465))*(R$2:R$1073&lt;&gt;""))),"")</f>
        <v/>
      </c>
      <c r="AA465" t="str" cm="1">
        <f t="array" ref="AA465">IFERROR(AVERAGE(_xlfn._xlws.FILTER(S$2:S$1073,($C$2:$C$1073=$C465)*($E$2:$E$1073=$E465)*(ROW(S$2:S$1073)&lt;&gt;ROW(S465))*(S$2:S$1073&lt;&gt;""))),"")</f>
        <v/>
      </c>
      <c r="AB465" t="str" cm="1">
        <f t="array" ref="AB465">IFERROR(AVERAGE(_xlfn._xlws.FILTER(T$2:T$1073,($C$2:$C$1073=$C465)*($E$2:$E$1073=$E465)*(ROW(T$2:T$1073)&lt;&gt;ROW(T465))*(T$2:T$1073&lt;&gt;""))),"")</f>
        <v/>
      </c>
      <c r="AC465" cm="1">
        <f t="array" ref="AC465">IFERROR(AVERAGE(_xlfn._xlws.FILTER(U$2:U$1073,($C$2:$C$1073=$C465)*($E$2:$E$1073=$E465)*(ROW(U$2:U$1073)&lt;&gt;ROW(U465))*(U$2:U$1073&lt;&gt;""))),"")</f>
        <v>1.4017600691070078</v>
      </c>
      <c r="AD465" cm="1">
        <f t="array" ref="AD465">IFERROR(AVERAGE(_xlfn._xlws.FILTER(V$2:V$1073,($C$2:$C$1073=$C465)*($E$2:$E$1073=$E465)*(ROW(V$2:V$1073)&lt;&gt;ROW(V465))*(V$2:V$1073&lt;&gt;""))),"")</f>
        <v>0.58363867695918215</v>
      </c>
      <c r="AE465">
        <f>IF('Дивиденды по годам'!M465&lt;0,1,0)</f>
        <v>0</v>
      </c>
    </row>
    <row r="466" spans="1:31" x14ac:dyDescent="0.2">
      <c r="A466" s="7" t="s">
        <v>2240</v>
      </c>
      <c r="B466" t="str">
        <f t="shared" si="77"/>
        <v>SELG IV кв. 2025</v>
      </c>
      <c r="C466">
        <v>2025</v>
      </c>
      <c r="D466">
        <f>SUMIFS(Дивиденды!$C:$C,Дивиденды!$A:$A,A466,Дивиденды!$I:$I,C466)</f>
        <v>0</v>
      </c>
      <c r="E466">
        <v>3</v>
      </c>
      <c r="F466">
        <f t="shared" si="78"/>
        <v>0</v>
      </c>
      <c r="G466">
        <f t="shared" si="79"/>
        <v>10.684999999999999</v>
      </c>
      <c r="H466">
        <f t="shared" si="80"/>
        <v>0</v>
      </c>
      <c r="I466">
        <f t="shared" si="81"/>
        <v>0.1</v>
      </c>
      <c r="J466">
        <f t="shared" si="82"/>
        <v>-1</v>
      </c>
      <c r="K466">
        <f t="shared" si="87"/>
        <v>-0.34741116251599569</v>
      </c>
      <c r="L466">
        <f t="shared" si="83"/>
        <v>0</v>
      </c>
      <c r="M466">
        <f t="shared" si="84"/>
        <v>0</v>
      </c>
      <c r="N466">
        <f t="shared" si="85"/>
        <v>1</v>
      </c>
      <c r="O466">
        <f t="shared" si="86"/>
        <v>0.4</v>
      </c>
      <c r="P466" t="str">
        <f>IFERROR(LN('Дивиденды по годам'!I466),"")</f>
        <v/>
      </c>
      <c r="Q466" t="str">
        <f>IFERROR('Дивиденды по годам'!G466/'Дивиденды по годам'!I466, "")</f>
        <v/>
      </c>
      <c r="R466" t="str">
        <f>IFERROR(IF(AND('Дивиденды по годам'!N466&lt;&gt;"",'Дивиденды по годам'!U466&lt;&gt;"",'Дивиденды по годам'!U466&lt;&gt;0),'Дивиденды по годам'!N466/'Дивиденды по годам'!U466-1,""),"")</f>
        <v/>
      </c>
      <c r="S466" t="str">
        <f>IFERROR(IF(AND('Дивиденды по годам'!L466&lt;&gt;"",'Дивиденды по годам'!I466&lt;&gt;"",'Дивиденды по годам'!J466&lt;&gt;"",'Дивиденды по годам'!K466&lt;&gt;"",('Дивиденды по годам'!I466-'Дивиденды по годам'!J466-'Дивиденды по годам'!K466)&lt;&gt;0),'Дивиденды по годам'!L466/('Дивиденды по годам'!I466-'Дивиденды по годам'!J466-'Дивиденды по годам'!K466),""),"")</f>
        <v/>
      </c>
      <c r="T466" t="str">
        <f>IFERROR(IF(AND('Дивиденды по годам'!Q466&lt;&gt;"",'Дивиденды по годам'!I466&lt;&gt;"",'Дивиденды по годам'!V466&lt;&gt;"",('Дивиденды по годам'!I466+'Дивиденды по годам'!V466)&lt;&gt;0),'Дивиденды по годам'!Q466/(('Дивиденды по годам'!I466+'Дивиденды по годам'!V466)/2),""),"")</f>
        <v/>
      </c>
      <c r="U466" t="str">
        <f>IFERROR(IF(AND('Дивиденды по годам'!J466&lt;&gt;"",'Дивиденды по годам'!K466&lt;&gt;"",'Дивиденды по годам'!M466&lt;&gt;"",'Дивиденды по годам'!M466&lt;&gt;0),('Дивиденды по годам'!J466+'Дивиденды по годам'!K466)/'Дивиденды по годам'!M466,""),"")</f>
        <v/>
      </c>
      <c r="V466" t="str">
        <f>IFERROR(IF(AND('Дивиденды по годам'!J466&lt;&gt;"",'Дивиденды по годам'!K466&lt;&gt;"",'Дивиденды по годам'!M466&lt;&gt;"",'Дивиденды по годам'!I466&lt;&gt;0),('Дивиденды по годам'!J466+'Дивиденды по годам'!K466)/'Дивиденды по годам'!I466,""),"")</f>
        <v/>
      </c>
      <c r="W466" t="str">
        <f>IFERROR('Дивиденды по годам'!I466,"")</f>
        <v/>
      </c>
      <c r="X466" cm="1">
        <f t="array" ref="X466">IFERROR(AVERAGE(_xlfn._xlws.FILTER(P$2:P$1073,($C$2:$C$1073=$C466)*($E$2:$E$1073=$E466)*(ROW(P$2:P$1073)&lt;&gt;ROW(P466))*(P$2:P$1073&lt;&gt;""))),"")</f>
        <v>27.526016888115407</v>
      </c>
      <c r="Y466" cm="1">
        <f t="array" ref="Y466">IFERROR(AVERAGE(_xlfn._xlws.FILTER(Q$2:Q$1073,($C$2:$C$1073=$C466)*($E$2:$E$1073=$E466)*(ROW(Q$2:Q$1073)&lt;&gt;ROW(Q466))*(Q$2:Q$1073&lt;&gt;""))),"")</f>
        <v>0.52913138653861203</v>
      </c>
      <c r="Z466" cm="1">
        <f t="array" ref="Z466">IFERROR(AVERAGE(_xlfn._xlws.FILTER(R$2:R$1073,($C$2:$C$1073=$C466)*($E$2:$E$1073=$E466)*(ROW(R$2:R$1073)&lt;&gt;ROW(R466))*(R$2:R$1073&lt;&gt;""))),"")</f>
        <v>-9.3696736214243112E-2</v>
      </c>
      <c r="AA466" cm="1">
        <f t="array" ref="AA466">IFERROR(AVERAGE(_xlfn._xlws.FILTER(S$2:S$1073,($C$2:$C$1073=$C466)*($E$2:$E$1073=$E466)*(ROW(S$2:S$1073)&lt;&gt;ROW(S466))*(S$2:S$1073&lt;&gt;""))),"")</f>
        <v>0.98692377594794511</v>
      </c>
      <c r="AB466" cm="1">
        <f t="array" ref="AB466">IFERROR(AVERAGE(_xlfn._xlws.FILTER(T$2:T$1073,($C$2:$C$1073=$C466)*($E$2:$E$1073=$E466)*(ROW(T$2:T$1073)&lt;&gt;ROW(T466))*(T$2:T$1073&lt;&gt;""))),"")</f>
        <v>1.506473654039886E-2</v>
      </c>
      <c r="AC466" cm="1">
        <f t="array" ref="AC466">IFERROR(AVERAGE(_xlfn._xlws.FILTER(U$2:U$1073,($C$2:$C$1073=$C466)*($E$2:$E$1073=$E466)*(ROW(U$2:U$1073)&lt;&gt;ROW(U466))*(U$2:U$1073&lt;&gt;""))),"")</f>
        <v>3.186882781387423</v>
      </c>
      <c r="AD466" cm="1">
        <f t="array" ref="AD466">IFERROR(AVERAGE(_xlfn._xlws.FILTER(V$2:V$1073,($C$2:$C$1073=$C466)*($E$2:$E$1073=$E466)*(ROW(V$2:V$1073)&lt;&gt;ROW(V466))*(V$2:V$1073&lt;&gt;""))),"")</f>
        <v>0.52452270556733893</v>
      </c>
      <c r="AE466">
        <f>IF('Дивиденды по годам'!M466&lt;0,1,0)</f>
        <v>0</v>
      </c>
    </row>
    <row r="467" spans="1:31" x14ac:dyDescent="0.2">
      <c r="A467" s="7" t="s">
        <v>2240</v>
      </c>
      <c r="B467" t="str">
        <f t="shared" si="77"/>
        <v>SELG IV кв. 2024</v>
      </c>
      <c r="C467">
        <v>2024</v>
      </c>
      <c r="D467">
        <f>SUMIFS(Дивиденды!$C:$C,Дивиденды!$A:$A,A467,Дивиденды!$I:$I,C467)</f>
        <v>4</v>
      </c>
      <c r="E467">
        <v>3</v>
      </c>
      <c r="F467">
        <f t="shared" si="78"/>
        <v>4</v>
      </c>
      <c r="G467">
        <f t="shared" si="79"/>
        <v>32.658000000000001</v>
      </c>
      <c r="H467">
        <f t="shared" si="80"/>
        <v>1</v>
      </c>
      <c r="I467">
        <f t="shared" si="81"/>
        <v>0.4</v>
      </c>
      <c r="J467">
        <f t="shared" si="82"/>
        <v>0</v>
      </c>
      <c r="K467">
        <f t="shared" si="87"/>
        <v>-0.20461447297899457</v>
      </c>
      <c r="L467">
        <f t="shared" si="83"/>
        <v>0</v>
      </c>
      <c r="M467">
        <f t="shared" si="84"/>
        <v>0.1</v>
      </c>
      <c r="N467">
        <f t="shared" si="85"/>
        <v>0</v>
      </c>
      <c r="O467">
        <f t="shared" si="86"/>
        <v>0.5</v>
      </c>
      <c r="P467">
        <f>IFERROR(LN('Дивиденды по годам'!I467),"")</f>
        <v>25.911606326596328</v>
      </c>
      <c r="Q467">
        <f>IFERROR('Дивиденды по годам'!G467/'Дивиденды по годам'!I467, "")</f>
        <v>0.52651252041555618</v>
      </c>
      <c r="R467">
        <f>IFERROR(IF(AND('Дивиденды по годам'!N467&lt;&gt;"",'Дивиденды по годам'!U467&lt;&gt;"",'Дивиденды по годам'!U467&lt;&gt;0),'Дивиденды по годам'!N467/'Дивиденды по годам'!U467-1,""),"")</f>
        <v>5.9222885417981264E-2</v>
      </c>
      <c r="S467">
        <f>IFERROR(IF(AND('Дивиденды по годам'!L467&lt;&gt;"",'Дивиденды по годам'!I467&lt;&gt;"",'Дивиденды по годам'!J467&lt;&gt;"",'Дивиденды по годам'!K467&lt;&gt;"",('Дивиденды по годам'!I467-'Дивиденды по годам'!J467-'Дивиденды по годам'!K467)&lt;&gt;0),'Дивиденды по годам'!L467/('Дивиденды по годам'!I467-'Дивиденды по годам'!J467-'Дивиденды по годам'!K467),""),"")</f>
        <v>-0.90195268225778169</v>
      </c>
      <c r="T467">
        <f>IFERROR(IF(AND('Дивиденды по годам'!Q467&lt;&gt;"",'Дивиденды по годам'!I467&lt;&gt;"",'Дивиденды по годам'!V467&lt;&gt;"",('Дивиденды по годам'!I467+'Дивиденды по годам'!V467)&lt;&gt;0),'Дивиденды по годам'!Q467/(('Дивиденды по годам'!I467+'Дивиденды по годам'!V467)/2),""),"")</f>
        <v>-8.1656667803458843E-2</v>
      </c>
      <c r="U467">
        <f>IFERROR(IF(AND('Дивиденды по годам'!J467&lt;&gt;"",'Дивиденды по годам'!K467&lt;&gt;"",'Дивиденды по годам'!M467&lt;&gt;"",'Дивиденды по годам'!M467&lt;&gt;0),('Дивиденды по годам'!J467+'Дивиденды по годам'!K467)/'Дивиденды по годам'!M467,""),"")</f>
        <v>7.294231945410667</v>
      </c>
      <c r="V467">
        <f>IFERROR(IF(AND('Дивиденды по годам'!J467&lt;&gt;"",'Дивиденды по годам'!K467&lt;&gt;"",'Дивиденды по годам'!M467&lt;&gt;"",'Дивиденды по годам'!I467&lt;&gt;0),('Дивиденды по годам'!J467+'Дивиденды по годам'!K467)/'Дивиденды по годам'!I467,""),"")</f>
        <v>0.87943428558767078</v>
      </c>
      <c r="W467">
        <f>IFERROR('Дивиденды по годам'!I467,"")</f>
        <v>179170970000</v>
      </c>
      <c r="X467" cm="1">
        <f t="array" ref="X467">IFERROR(AVERAGE(_xlfn._xlws.FILTER(P$2:P$1073,($C$2:$C$1073=$C467)*($E$2:$E$1073=$E467)*(ROW(P$2:P$1073)&lt;&gt;ROW(P467))*(P$2:P$1073&lt;&gt;""))),"")</f>
        <v>27.419998452462625</v>
      </c>
      <c r="Y467" cm="1">
        <f t="array" ref="Y467">IFERROR(AVERAGE(_xlfn._xlws.FILTER(Q$2:Q$1073,($C$2:$C$1073=$C467)*($E$2:$E$1073=$E467)*(ROW(Q$2:Q$1073)&lt;&gt;ROW(Q467))*(Q$2:Q$1073&lt;&gt;""))),"")</f>
        <v>0.47550162912316168</v>
      </c>
      <c r="Z467" cm="1">
        <f t="array" ref="Z467">IFERROR(AVERAGE(_xlfn._xlws.FILTER(R$2:R$1073,($C$2:$C$1073=$C467)*($E$2:$E$1073=$E467)*(ROW(R$2:R$1073)&lt;&gt;ROW(R467))*(R$2:R$1073&lt;&gt;""))),"")</f>
        <v>2.1888821299492878E-2</v>
      </c>
      <c r="AA467" cm="1">
        <f t="array" ref="AA467">IFERROR(AVERAGE(_xlfn._xlws.FILTER(S$2:S$1073,($C$2:$C$1073=$C467)*($E$2:$E$1073=$E467)*(ROW(S$2:S$1073)&lt;&gt;ROW(S467))*(S$2:S$1073&lt;&gt;""))),"")</f>
        <v>1.3800820259271462</v>
      </c>
      <c r="AB467" cm="1">
        <f t="array" ref="AB467">IFERROR(AVERAGE(_xlfn._xlws.FILTER(T$2:T$1073,($C$2:$C$1073=$C467)*($E$2:$E$1073=$E467)*(ROW(T$2:T$1073)&lt;&gt;ROW(T467))*(T$2:T$1073&lt;&gt;""))),"")</f>
        <v>5.8241417790189862E-2</v>
      </c>
      <c r="AC467" cm="1">
        <f t="array" ref="AC467">IFERROR(AVERAGE(_xlfn._xlws.FILTER(U$2:U$1073,($C$2:$C$1073=$C467)*($E$2:$E$1073=$E467)*(ROW(U$2:U$1073)&lt;&gt;ROW(U467))*(U$2:U$1073&lt;&gt;""))),"")</f>
        <v>2.0917964215361491</v>
      </c>
      <c r="AD467" cm="1">
        <f t="array" ref="AD467">IFERROR(AVERAGE(_xlfn._xlws.FILTER(V$2:V$1073,($C$2:$C$1073=$C467)*($E$2:$E$1073=$E467)*(ROW(V$2:V$1073)&lt;&gt;ROW(V467))*(V$2:V$1073&lt;&gt;""))),"")</f>
        <v>0.59285093859628935</v>
      </c>
      <c r="AE467">
        <f>IF('Дивиденды по годам'!M467&lt;0,1,0)</f>
        <v>0</v>
      </c>
    </row>
    <row r="468" spans="1:31" x14ac:dyDescent="0.2">
      <c r="A468" s="7" t="s">
        <v>2240</v>
      </c>
      <c r="B468" t="str">
        <f t="shared" si="77"/>
        <v>SELG IV кв. 2023</v>
      </c>
      <c r="C468">
        <v>2023</v>
      </c>
      <c r="D468">
        <f>SUMIFS(Дивиденды!$C:$C,Дивиденды!$A:$A,A468,Дивиденды!$I:$I,C468)</f>
        <v>4</v>
      </c>
      <c r="E468">
        <v>3</v>
      </c>
      <c r="F468">
        <f t="shared" si="78"/>
        <v>4</v>
      </c>
      <c r="G468">
        <f t="shared" si="79"/>
        <v>24.844000000000001</v>
      </c>
      <c r="H468">
        <f t="shared" si="80"/>
        <v>1</v>
      </c>
      <c r="I468">
        <f t="shared" si="81"/>
        <v>0.5</v>
      </c>
      <c r="J468">
        <f t="shared" si="82"/>
        <v>1</v>
      </c>
      <c r="K468">
        <f t="shared" si="87"/>
        <v>0.33287037037037037</v>
      </c>
      <c r="L468">
        <f t="shared" si="83"/>
        <v>1</v>
      </c>
      <c r="M468">
        <f t="shared" si="84"/>
        <v>0.5</v>
      </c>
      <c r="N468">
        <f t="shared" si="85"/>
        <v>0</v>
      </c>
      <c r="O468">
        <f t="shared" si="86"/>
        <v>0.1</v>
      </c>
      <c r="P468">
        <f>IFERROR(LN('Дивиденды по годам'!I468),"")</f>
        <v>25.62812501051458</v>
      </c>
      <c r="Q468">
        <f>IFERROR('Дивиденды по годам'!G468/'Дивиденды по годам'!I468, "")</f>
        <v>0.52800041617292759</v>
      </c>
      <c r="R468">
        <f>IFERROR(IF(AND('Дивиденды по годам'!N468&lt;&gt;"",'Дивиденды по годам'!U468&lt;&gt;"",'Дивиденды по годам'!U468&lt;&gt;0),'Дивиденды по годам'!N468/'Дивиденды по годам'!U468-1,""),"")</f>
        <v>0.61208345863964375</v>
      </c>
      <c r="S468">
        <f>IFERROR(IF(AND('Дивиденды по годам'!L468&lt;&gt;"",'Дивиденды по годам'!I468&lt;&gt;"",'Дивиденды по годам'!J468&lt;&gt;"",'Дивиденды по годам'!K468&lt;&gt;"",('Дивиденды по годам'!I468-'Дивиденды по годам'!J468-'Дивиденды по годам'!K468)&lt;&gt;0),'Дивиденды по годам'!L468/('Дивиденды по годам'!I468-'Дивиденды по годам'!J468-'Дивиденды по годам'!K468),""),"")</f>
        <v>-8.8302602439997283E-2</v>
      </c>
      <c r="T468">
        <f>IFERROR(IF(AND('Дивиденды по годам'!Q468&lt;&gt;"",'Дивиденды по годам'!I468&lt;&gt;"",'Дивиденды по годам'!V468&lt;&gt;"",('Дивиденды по годам'!I468+'Дивиденды по годам'!V468)&lt;&gt;0),'Дивиденды по годам'!Q468/(('Дивиденды по годам'!I468+'Дивиденды по годам'!V468)/2),""),"")</f>
        <v>-8.495653829914368E-2</v>
      </c>
      <c r="U468">
        <f>IFERROR(IF(AND('Дивиденды по годам'!J468&lt;&gt;"",'Дивиденды по годам'!K468&lt;&gt;"",'Дивиденды по годам'!M468&lt;&gt;"",'Дивиденды по годам'!M468&lt;&gt;0),('Дивиденды по годам'!J468+'Дивиденды по годам'!K468)/'Дивиденды по годам'!M468,""),"")</f>
        <v>4.2668558709263449</v>
      </c>
      <c r="V468">
        <f>IFERROR(IF(AND('Дивиденды по годам'!J468&lt;&gt;"",'Дивиденды по годам'!K468&lt;&gt;"",'Дивиденды по годам'!M468&lt;&gt;"",'Дивиденды по годам'!I468&lt;&gt;0),('Дивиденды по годам'!J468+'Дивиденды по годам'!K468)/'Дивиденды по годам'!I468,""),"")</f>
        <v>0.81013340320928162</v>
      </c>
      <c r="W468">
        <f>IFERROR('Дивиденды по годам'!I468,"")</f>
        <v>134943905000</v>
      </c>
      <c r="X468" cm="1">
        <f t="array" ref="X468">IFERROR(AVERAGE(_xlfn._xlws.FILTER(P$2:P$1073,($C$2:$C$1073=$C468)*($E$2:$E$1073=$E468)*(ROW(P$2:P$1073)&lt;&gt;ROW(P468))*(P$2:P$1073&lt;&gt;""))),"")</f>
        <v>27.369123140600749</v>
      </c>
      <c r="Y468" cm="1">
        <f t="array" ref="Y468">IFERROR(AVERAGE(_xlfn._xlws.FILTER(Q$2:Q$1073,($C$2:$C$1073=$C468)*($E$2:$E$1073=$E468)*(ROW(Q$2:Q$1073)&lt;&gt;ROW(Q468))*(Q$2:Q$1073&lt;&gt;""))),"")</f>
        <v>0.44855407671267111</v>
      </c>
      <c r="Z468" cm="1">
        <f t="array" ref="Z468">IFERROR(AVERAGE(_xlfn._xlws.FILTER(R$2:R$1073,($C$2:$C$1073=$C468)*($E$2:$E$1073=$E468)*(ROW(R$2:R$1073)&lt;&gt;ROW(R468))*(R$2:R$1073&lt;&gt;""))),"")</f>
        <v>8.27146481717876E-2</v>
      </c>
      <c r="AA468" cm="1">
        <f t="array" ref="AA468">IFERROR(AVERAGE(_xlfn._xlws.FILTER(S$2:S$1073,($C$2:$C$1073=$C468)*($E$2:$E$1073=$E468)*(ROW(S$2:S$1073)&lt;&gt;ROW(S468))*(S$2:S$1073&lt;&gt;""))),"")</f>
        <v>0.15726395418669595</v>
      </c>
      <c r="AB468" cm="1">
        <f t="array" ref="AB468">IFERROR(AVERAGE(_xlfn._xlws.FILTER(T$2:T$1073,($C$2:$C$1073=$C468)*($E$2:$E$1073=$E468)*(ROW(T$2:T$1073)&lt;&gt;ROW(T468))*(T$2:T$1073&lt;&gt;""))),"")</f>
        <v>0.13873397831663029</v>
      </c>
      <c r="AC468" cm="1">
        <f t="array" ref="AC468">IFERROR(AVERAGE(_xlfn._xlws.FILTER(U$2:U$1073,($C$2:$C$1073=$C468)*($E$2:$E$1073=$E468)*(ROW(U$2:U$1073)&lt;&gt;ROW(U468))*(U$2:U$1073&lt;&gt;""))),"")</f>
        <v>-1.0398956127070877</v>
      </c>
      <c r="AD468" cm="1">
        <f t="array" ref="AD468">IFERROR(AVERAGE(_xlfn._xlws.FILTER(V$2:V$1073,($C$2:$C$1073=$C468)*($E$2:$E$1073=$E468)*(ROW(V$2:V$1073)&lt;&gt;ROW(V468))*(V$2:V$1073&lt;&gt;""))),"")</f>
        <v>0.57666493286545129</v>
      </c>
      <c r="AE468">
        <f>IF('Дивиденды по годам'!M468&lt;0,1,0)</f>
        <v>0</v>
      </c>
    </row>
    <row r="469" spans="1:31" x14ac:dyDescent="0.2">
      <c r="A469" s="7" t="s">
        <v>2240</v>
      </c>
      <c r="B469" t="str">
        <f t="shared" si="77"/>
        <v>SELG IV кв. 2022</v>
      </c>
      <c r="C469">
        <v>2022</v>
      </c>
      <c r="D469">
        <f>SUMIFS(Дивиденды!$C:$C,Дивиденды!$A:$A,A469,Дивиденды!$I:$I,C469)</f>
        <v>0</v>
      </c>
      <c r="E469">
        <v>3</v>
      </c>
      <c r="F469">
        <f t="shared" si="78"/>
        <v>0</v>
      </c>
      <c r="G469">
        <f t="shared" si="79"/>
        <v>1.73</v>
      </c>
      <c r="H469">
        <f t="shared" si="80"/>
        <v>0</v>
      </c>
      <c r="I469">
        <f t="shared" si="81"/>
        <v>0.2</v>
      </c>
      <c r="J469">
        <f t="shared" si="82"/>
        <v>-1</v>
      </c>
      <c r="K469">
        <f t="shared" si="87"/>
        <v>-0.50242800677583288</v>
      </c>
      <c r="L469">
        <f t="shared" si="83"/>
        <v>0</v>
      </c>
      <c r="M469">
        <f t="shared" si="84"/>
        <v>0.1</v>
      </c>
      <c r="N469">
        <f t="shared" si="85"/>
        <v>1</v>
      </c>
      <c r="O469">
        <f t="shared" si="86"/>
        <v>0.7</v>
      </c>
      <c r="P469">
        <f>IFERROR(LN('Дивиденды по годам'!I469),"")</f>
        <v>25.636900999407139</v>
      </c>
      <c r="Q469">
        <f>IFERROR('Дивиденды по годам'!G469/'Дивиденды по годам'!I469, "")</f>
        <v>0.51127320475096105</v>
      </c>
      <c r="R469">
        <f>IFERROR(IF(AND('Дивиденды по годам'!N469&lt;&gt;"",'Дивиденды по годам'!U469&lt;&gt;"",'Дивиденды по годам'!U469&lt;&gt;0),'Дивиденды по годам'!N469/'Дивиденды по годам'!U469-1,""),"")</f>
        <v>-2.5099265053240116E-2</v>
      </c>
      <c r="S469">
        <f>IFERROR(IF(AND('Дивиденды по годам'!L469&lt;&gt;"",'Дивиденды по годам'!I469&lt;&gt;"",'Дивиденды по годам'!J469&lt;&gt;"",'Дивиденды по годам'!K469&lt;&gt;"",('Дивиденды по годам'!I469-'Дивиденды по годам'!J469-'Дивиденды по годам'!K469)&lt;&gt;0),'Дивиденды по годам'!L469/('Дивиденды по годам'!I469-'Дивиденды по годам'!J469-'Дивиденды по годам'!K469),""),"")</f>
        <v>0.25765474379777786</v>
      </c>
      <c r="T469">
        <f>IFERROR(IF(AND('Дивиденды по годам'!Q469&lt;&gt;"",'Дивиденды по годам'!I469&lt;&gt;"",'Дивиденды по годам'!V469&lt;&gt;"",('Дивиденды по годам'!I469+'Дивиденды по годам'!V469)&lt;&gt;0),'Дивиденды по годам'!Q469/(('Дивиденды по годам'!I469+'Дивиденды по годам'!V469)/2),""),"")</f>
        <v>3.7420969235527721E-2</v>
      </c>
      <c r="U469">
        <f>IFERROR(IF(AND('Дивиденды по годам'!J469&lt;&gt;"",'Дивиденды по годам'!K469&lt;&gt;"",'Дивиденды по годам'!M469&lt;&gt;"",'Дивиденды по годам'!M469&lt;&gt;0),('Дивиденды по годам'!J469+'Дивиденды по годам'!K469)/'Дивиденды по годам'!M469,""),"")</f>
        <v>2.5492656490359131</v>
      </c>
      <c r="V469">
        <f>IFERROR(IF(AND('Дивиденды по годам'!J469&lt;&gt;"",'Дивиденды по годам'!K469&lt;&gt;"",'Дивиденды по годам'!M469&lt;&gt;"",'Дивиденды по годам'!I469&lt;&gt;0),('Дивиденды по годам'!J469+'Дивиденды по годам'!K469)/'Дивиденды по годам'!I469,""),"")</f>
        <v>0.71825157683769603</v>
      </c>
      <c r="W469">
        <f>IFERROR('Дивиденды по годам'!I469,"")</f>
        <v>136133383000</v>
      </c>
      <c r="X469" cm="1">
        <f t="array" ref="X469">IFERROR(AVERAGE(_xlfn._xlws.FILTER(P$2:P$1073,($C$2:$C$1073=$C469)*($E$2:$E$1073=$E469)*(ROW(P$2:P$1073)&lt;&gt;ROW(P469))*(P$2:P$1073&lt;&gt;""))),"")</f>
        <v>27.22742661873702</v>
      </c>
      <c r="Y469" cm="1">
        <f t="array" ref="Y469">IFERROR(AVERAGE(_xlfn._xlws.FILTER(Q$2:Q$1073,($C$2:$C$1073=$C469)*($E$2:$E$1073=$E469)*(ROW(Q$2:Q$1073)&lt;&gt;ROW(Q469))*(Q$2:Q$1073&lt;&gt;""))),"")</f>
        <v>0.46783764951679829</v>
      </c>
      <c r="Z469" cm="1">
        <f t="array" ref="Z469">IFERROR(AVERAGE(_xlfn._xlws.FILTER(R$2:R$1073,($C$2:$C$1073=$C469)*($E$2:$E$1073=$E469)*(ROW(R$2:R$1073)&lt;&gt;ROW(R469))*(R$2:R$1073&lt;&gt;""))),"")</f>
        <v>-2.1351146955839152E-2</v>
      </c>
      <c r="AA469" cm="1">
        <f t="array" ref="AA469">IFERROR(AVERAGE(_xlfn._xlws.FILTER(S$2:S$1073,($C$2:$C$1073=$C469)*($E$2:$E$1073=$E469)*(ROW(S$2:S$1073)&lt;&gt;ROW(S469))*(S$2:S$1073&lt;&gt;""))),"")</f>
        <v>0.91123296925790709</v>
      </c>
      <c r="AB469" cm="1">
        <f t="array" ref="AB469">IFERROR(AVERAGE(_xlfn._xlws.FILTER(T$2:T$1073,($C$2:$C$1073=$C469)*($E$2:$E$1073=$E469)*(ROW(T$2:T$1073)&lt;&gt;ROW(T469))*(T$2:T$1073&lt;&gt;""))),"")</f>
        <v>0.17079459099175517</v>
      </c>
      <c r="AC469" cm="1">
        <f t="array" ref="AC469">IFERROR(AVERAGE(_xlfn._xlws.FILTER(U$2:U$1073,($C$2:$C$1073=$C469)*($E$2:$E$1073=$E469)*(ROW(U$2:U$1073)&lt;&gt;ROW(U469))*(U$2:U$1073&lt;&gt;""))),"")</f>
        <v>1.0137663374905255</v>
      </c>
      <c r="AD469" cm="1">
        <f t="array" ref="AD469">IFERROR(AVERAGE(_xlfn._xlws.FILTER(V$2:V$1073,($C$2:$C$1073=$C469)*($E$2:$E$1073=$E469)*(ROW(V$2:V$1073)&lt;&gt;ROW(V469))*(V$2:V$1073&lt;&gt;""))),"")</f>
        <v>0.54916263114258457</v>
      </c>
      <c r="AE469">
        <f>IF('Дивиденды по годам'!M469&lt;0,1,0)</f>
        <v>0</v>
      </c>
    </row>
    <row r="470" spans="1:31" x14ac:dyDescent="0.2">
      <c r="A470" s="7" t="s">
        <v>2240</v>
      </c>
      <c r="B470" t="str">
        <f t="shared" si="77"/>
        <v>SELG IV кв. 2021</v>
      </c>
      <c r="C470">
        <v>2021</v>
      </c>
      <c r="D470">
        <f>SUMIFS(Дивиденды!$C:$C,Дивиденды!$A:$A,A470,Дивиденды!$I:$I,C470)</f>
        <v>4.5</v>
      </c>
      <c r="E470">
        <v>3</v>
      </c>
      <c r="F470">
        <f t="shared" si="78"/>
        <v>4.5</v>
      </c>
      <c r="G470">
        <f t="shared" si="79"/>
        <v>36.405000000000001</v>
      </c>
      <c r="H470">
        <f t="shared" si="80"/>
        <v>1</v>
      </c>
      <c r="I470">
        <f t="shared" si="81"/>
        <v>0.7</v>
      </c>
      <c r="J470">
        <f t="shared" si="82"/>
        <v>0</v>
      </c>
      <c r="K470">
        <f t="shared" si="87"/>
        <v>0.73069632657079653</v>
      </c>
      <c r="L470">
        <f t="shared" si="83"/>
        <v>0</v>
      </c>
      <c r="M470">
        <f t="shared" si="84"/>
        <v>0.5</v>
      </c>
      <c r="N470">
        <f t="shared" si="85"/>
        <v>0</v>
      </c>
      <c r="O470">
        <f t="shared" si="86"/>
        <v>0.2</v>
      </c>
      <c r="P470">
        <f>IFERROR(LN('Дивиденды по годам'!I470),"")</f>
        <v>25.169486714750992</v>
      </c>
      <c r="Q470">
        <f>IFERROR('Дивиденды по годам'!G470/'Дивиденды по годам'!I470, "")</f>
        <v>0.54335478681177285</v>
      </c>
      <c r="R470">
        <f>IFERROR(IF(AND('Дивиденды по годам'!N470&lt;&gt;"",'Дивиденды по годам'!U470&lt;&gt;"",'Дивиденды по годам'!U470&lt;&gt;0),'Дивиденды по годам'!N470/'Дивиденды по годам'!U470-1,""),"")</f>
        <v>6.9091990706911188E-2</v>
      </c>
      <c r="S470">
        <f>IFERROR(IF(AND('Дивиденды по годам'!L470&lt;&gt;"",'Дивиденды по годам'!I470&lt;&gt;"",'Дивиденды по годам'!J470&lt;&gt;"",'Дивиденды по годам'!K470&lt;&gt;"",('Дивиденды по годам'!I470-'Дивиденды по годам'!J470-'Дивиденды по годам'!K470)&lt;&gt;0),'Дивиденды по годам'!L470/('Дивиденды по годам'!I470-'Дивиденды по годам'!J470-'Дивиденды по годам'!K470),""),"")</f>
        <v>0.35422848674110224</v>
      </c>
      <c r="T470">
        <f>IFERROR(IF(AND('Дивиденды по годам'!Q470&lt;&gt;"",'Дивиденды по годам'!I470&lt;&gt;"",'Дивиденды по годам'!V470&lt;&gt;"",('Дивиденды по годам'!I470+'Дивиденды по годам'!V470)&lt;&gt;0),'Дивиденды по годам'!Q470/(('Дивиденды по годам'!I470+'Дивиденды по годам'!V470)/2),""),"")</f>
        <v>0.12940029311787279</v>
      </c>
      <c r="U470">
        <f>IFERROR(IF(AND('Дивиденды по годам'!J470&lt;&gt;"",'Дивиденды по годам'!K470&lt;&gt;"",'Дивиденды по годам'!M470&lt;&gt;"",'Дивиденды по годам'!M470&lt;&gt;0),('Дивиденды по годам'!J470+'Дивиденды по годам'!K470)/'Дивиденды по годам'!M470,""),"")</f>
        <v>1.7085244770663082</v>
      </c>
      <c r="V470">
        <f>IFERROR(IF(AND('Дивиденды по годам'!J470&lt;&gt;"",'Дивиденды по годам'!K470&lt;&gt;"",'Дивиденды по годам'!M470&lt;&gt;"",'Дивиденды по годам'!I470&lt;&gt;0),('Дивиденды по годам'!J470+'Дивиденды по годам'!K470)/'Дивиденды по годам'!I470,""),"")</f>
        <v>0.63079528781547778</v>
      </c>
      <c r="W470">
        <f>IFERROR('Дивиденды по годам'!I470,"")</f>
        <v>85303960000</v>
      </c>
      <c r="X470" cm="1">
        <f t="array" ref="X470">IFERROR(AVERAGE(_xlfn._xlws.FILTER(P$2:P$1073,($C$2:$C$1073=$C470)*($E$2:$E$1073=$E470)*(ROW(P$2:P$1073)&lt;&gt;ROW(P470))*(P$2:P$1073&lt;&gt;""))),"")</f>
        <v>27.166347530716866</v>
      </c>
      <c r="Y470" cm="1">
        <f t="array" ref="Y470">IFERROR(AVERAGE(_xlfn._xlws.FILTER(Q$2:Q$1073,($C$2:$C$1073=$C470)*($E$2:$E$1073=$E470)*(ROW(Q$2:Q$1073)&lt;&gt;ROW(Q470))*(Q$2:Q$1073&lt;&gt;""))),"")</f>
        <v>0.48213585441871115</v>
      </c>
      <c r="Z470" cm="1">
        <f t="array" ref="Z470">IFERROR(AVERAGE(_xlfn._xlws.FILTER(R$2:R$1073,($C$2:$C$1073=$C470)*($E$2:$E$1073=$E470)*(ROW(R$2:R$1073)&lt;&gt;ROW(R470))*(R$2:R$1073&lt;&gt;""))),"")</f>
        <v>0.74452211933264789</v>
      </c>
      <c r="AA470" cm="1">
        <f t="array" ref="AA470">IFERROR(AVERAGE(_xlfn._xlws.FILTER(S$2:S$1073,($C$2:$C$1073=$C470)*($E$2:$E$1073=$E470)*(ROW(S$2:S$1073)&lt;&gt;ROW(S470))*(S$2:S$1073&lt;&gt;""))),"")</f>
        <v>1.1035244440721448</v>
      </c>
      <c r="AB470" cm="1">
        <f t="array" ref="AB470">IFERROR(AVERAGE(_xlfn._xlws.FILTER(T$2:T$1073,($C$2:$C$1073=$C470)*($E$2:$E$1073=$E470)*(ROW(T$2:T$1073)&lt;&gt;ROW(T470))*(T$2:T$1073&lt;&gt;""))),"")</f>
        <v>0.30315326199711412</v>
      </c>
      <c r="AC470" cm="1">
        <f t="array" ref="AC470">IFERROR(AVERAGE(_xlfn._xlws.FILTER(U$2:U$1073,($C$2:$C$1073=$C470)*($E$2:$E$1073=$E470)*(ROW(U$2:U$1073)&lt;&gt;ROW(U470))*(U$2:U$1073&lt;&gt;""))),"")</f>
        <v>2.0821237806425095</v>
      </c>
      <c r="AD470" cm="1">
        <f t="array" ref="AD470">IFERROR(AVERAGE(_xlfn._xlws.FILTER(V$2:V$1073,($C$2:$C$1073=$C470)*($E$2:$E$1073=$E470)*(ROW(V$2:V$1073)&lt;&gt;ROW(V470))*(V$2:V$1073&lt;&gt;""))),"")</f>
        <v>0.67009103571627571</v>
      </c>
      <c r="AE470">
        <f>IF('Дивиденды по годам'!M470&lt;0,1,0)</f>
        <v>0</v>
      </c>
    </row>
    <row r="471" spans="1:31" x14ac:dyDescent="0.2">
      <c r="A471" s="7" t="s">
        <v>2240</v>
      </c>
      <c r="B471" t="str">
        <f t="shared" si="77"/>
        <v>SELG IV кв. 2020</v>
      </c>
      <c r="C471">
        <v>2020</v>
      </c>
      <c r="D471">
        <f>SUMIFS(Дивиденды!$C:$C,Дивиденды!$A:$A,A471,Дивиденды!$I:$I,C471)</f>
        <v>4.5</v>
      </c>
      <c r="E471">
        <v>3</v>
      </c>
      <c r="F471">
        <f t="shared" si="78"/>
        <v>4.5</v>
      </c>
      <c r="G471">
        <f t="shared" si="79"/>
        <v>23.533999999999999</v>
      </c>
      <c r="H471">
        <f t="shared" si="80"/>
        <v>1</v>
      </c>
      <c r="I471">
        <f t="shared" si="81"/>
        <v>0.7</v>
      </c>
      <c r="J471">
        <f t="shared" si="82"/>
        <v>1.0454545454545452</v>
      </c>
      <c r="K471">
        <f t="shared" si="87"/>
        <v>0.55483409416453</v>
      </c>
      <c r="L471">
        <f t="shared" si="83"/>
        <v>1</v>
      </c>
      <c r="M471">
        <f t="shared" si="84"/>
        <v>0.6</v>
      </c>
      <c r="N471">
        <f t="shared" si="85"/>
        <v>0</v>
      </c>
      <c r="O471">
        <f t="shared" si="86"/>
        <v>0.1</v>
      </c>
      <c r="P471">
        <f>IFERROR(LN('Дивиденды по годам'!I471),"")</f>
        <v>25.046127274949715</v>
      </c>
      <c r="Q471">
        <f>IFERROR('Дивиденды по годам'!G471/'Дивиденды по годам'!I471, "")</f>
        <v>0.55427585328136864</v>
      </c>
      <c r="R471">
        <f>IFERROR(IF(AND('Дивиденды по годам'!N471&lt;&gt;"",'Дивиденды по годам'!U471&lt;&gt;"",'Дивиденды по годам'!U471&lt;&gt;0),'Дивиденды по годам'!N471/'Дивиденды по годам'!U471-1,""),"")</f>
        <v>0.50935088530056727</v>
      </c>
      <c r="S471">
        <f>IFERROR(IF(AND('Дивиденды по годам'!L471&lt;&gt;"",'Дивиденды по годам'!I471&lt;&gt;"",'Дивиденды по годам'!J471&lt;&gt;"",'Дивиденды по годам'!K471&lt;&gt;"",('Дивиденды по годам'!I471-'Дивиденды по годам'!J471-'Дивиденды по годам'!K471)&lt;&gt;0),'Дивиденды по годам'!L471/('Дивиденды по годам'!I471-'Дивиденды по годам'!J471-'Дивиденды по годам'!K471),""),"")</f>
        <v>0.13247243735927028</v>
      </c>
      <c r="T471">
        <f>IFERROR(IF(AND('Дивиденды по годам'!Q471&lt;&gt;"",'Дивиденды по годам'!I471&lt;&gt;"",'Дивиденды по годам'!V471&lt;&gt;"",('Дивиденды по годам'!I471+'Дивиденды по годам'!V471)&lt;&gt;0),'Дивиденды по годам'!Q471/(('Дивиденды по годам'!I471+'Дивиденды по годам'!V471)/2),""),"")</f>
        <v>6.5878602895758309E-5</v>
      </c>
      <c r="U471">
        <f>IFERROR(IF(AND('Дивиденды по годам'!J471&lt;&gt;"",'Дивиденды по годам'!K471&lt;&gt;"",'Дивиденды по годам'!M471&lt;&gt;"",'Дивиденды по годам'!M471&lt;&gt;0),('Дивиденды по годам'!J471+'Дивиденды по годам'!K471)/'Дивиденды по годам'!M471,""),"")</f>
        <v>2.2689412091531289</v>
      </c>
      <c r="V471">
        <f>IFERROR(IF(AND('Дивиденды по годам'!J471&lt;&gt;"",'Дивиденды по годам'!K471&lt;&gt;"",'Дивиденды по годам'!M471&lt;&gt;"",'Дивиденды по годам'!I471&lt;&gt;0),('Дивиденды по годам'!J471+'Дивиденды по годам'!K471)/'Дивиденды по годам'!I471,""),"")</f>
        <v>0.69409056146083548</v>
      </c>
      <c r="W471">
        <f>IFERROR('Дивиденды по годам'!I471,"")</f>
        <v>75404084000</v>
      </c>
      <c r="X471" cm="1">
        <f t="array" ref="X471">IFERROR(AVERAGE(_xlfn._xlws.FILTER(P$2:P$1073,($C$2:$C$1073=$C471)*($E$2:$E$1073=$E471)*(ROW(P$2:P$1073)&lt;&gt;ROW(P471))*(P$2:P$1073&lt;&gt;""))),"")</f>
        <v>26.995928284927952</v>
      </c>
      <c r="Y471" cm="1">
        <f t="array" ref="Y471">IFERROR(AVERAGE(_xlfn._xlws.FILTER(Q$2:Q$1073,($C$2:$C$1073=$C471)*($E$2:$E$1073=$E471)*(ROW(Q$2:Q$1073)&lt;&gt;ROW(Q471))*(Q$2:Q$1073&lt;&gt;""))),"")</f>
        <v>0.5012999943248323</v>
      </c>
      <c r="Z471" cm="1">
        <f t="array" ref="Z471">IFERROR(AVERAGE(_xlfn._xlws.FILTER(R$2:R$1073,($C$2:$C$1073=$C471)*($E$2:$E$1073=$E471)*(ROW(R$2:R$1073)&lt;&gt;ROW(R471))*(R$2:R$1073&lt;&gt;""))),"")</f>
        <v>-2.0983620089722831E-2</v>
      </c>
      <c r="AA471" cm="1">
        <f t="array" ref="AA471">IFERROR(AVERAGE(_xlfn._xlws.FILTER(S$2:S$1073,($C$2:$C$1073=$C471)*($E$2:$E$1073=$E471)*(ROW(S$2:S$1073)&lt;&gt;ROW(S471))*(S$2:S$1073&lt;&gt;""))),"")</f>
        <v>1.1318530358095824</v>
      </c>
      <c r="AB471" cm="1">
        <f t="array" ref="AB471">IFERROR(AVERAGE(_xlfn._xlws.FILTER(T$2:T$1073,($C$2:$C$1073=$C471)*($E$2:$E$1073=$E471)*(ROW(T$2:T$1073)&lt;&gt;ROW(T471))*(T$2:T$1073&lt;&gt;""))),"")</f>
        <v>0.10372210364650998</v>
      </c>
      <c r="AC471" cm="1">
        <f t="array" ref="AC471">IFERROR(AVERAGE(_xlfn._xlws.FILTER(U$2:U$1073,($C$2:$C$1073=$C471)*($E$2:$E$1073=$E471)*(ROW(U$2:U$1073)&lt;&gt;ROW(U471))*(U$2:U$1073&lt;&gt;""))),"")</f>
        <v>1.5979273361757991</v>
      </c>
      <c r="AD471" cm="1">
        <f t="array" ref="AD471">IFERROR(AVERAGE(_xlfn._xlws.FILTER(V$2:V$1073,($C$2:$C$1073=$C471)*($E$2:$E$1073=$E471)*(ROW(V$2:V$1073)&lt;&gt;ROW(V471))*(V$2:V$1073&lt;&gt;""))),"")</f>
        <v>0.77120526891237007</v>
      </c>
      <c r="AE471">
        <f>IF('Дивиденды по годам'!M471&lt;0,1,0)</f>
        <v>0</v>
      </c>
    </row>
    <row r="472" spans="1:31" x14ac:dyDescent="0.2">
      <c r="A472" s="7" t="s">
        <v>2240</v>
      </c>
      <c r="B472" t="str">
        <f t="shared" si="77"/>
        <v>SELG IV кв. 2019</v>
      </c>
      <c r="C472">
        <v>2019</v>
      </c>
      <c r="D472">
        <f>SUMIFS(Дивиденды!$C:$C,Дивиденды!$A:$A,A472,Дивиденды!$I:$I,C472)</f>
        <v>2.2000000000000002</v>
      </c>
      <c r="E472">
        <v>3</v>
      </c>
      <c r="F472">
        <f t="shared" si="78"/>
        <v>2.2000000000000002</v>
      </c>
      <c r="G472">
        <f t="shared" si="79"/>
        <v>19.371000000000002</v>
      </c>
      <c r="H472">
        <f t="shared" si="80"/>
        <v>1</v>
      </c>
      <c r="I472">
        <f t="shared" si="81"/>
        <v>0.7</v>
      </c>
      <c r="J472">
        <f t="shared" si="82"/>
        <v>1</v>
      </c>
      <c r="K472">
        <f t="shared" si="87"/>
        <v>0.15160659566020115</v>
      </c>
      <c r="L472">
        <f t="shared" si="83"/>
        <v>1</v>
      </c>
      <c r="M472">
        <f t="shared" si="84"/>
        <v>0.3</v>
      </c>
      <c r="N472">
        <f t="shared" si="85"/>
        <v>0</v>
      </c>
      <c r="O472">
        <f t="shared" si="86"/>
        <v>0.4</v>
      </c>
      <c r="P472">
        <f>IFERROR(LN('Дивиденды по годам'!I472),"")</f>
        <v>24.778335921903299</v>
      </c>
      <c r="Q472">
        <f>IFERROR('Дивиденды по годам'!G472/'Дивиденды по годам'!I472, "")</f>
        <v>0.50033600739798711</v>
      </c>
      <c r="R472">
        <f>IFERROR(IF(AND('Дивиденды по годам'!N472&lt;&gt;"",'Дивиденды по годам'!U472&lt;&gt;"",'Дивиденды по годам'!U472&lt;&gt;0),'Дивиденды по годам'!N472/'Дивиденды по годам'!U472-1,""),"")</f>
        <v>0.38888687873920613</v>
      </c>
      <c r="S472">
        <f>IFERROR(IF(AND('Дивиденды по годам'!L472&lt;&gt;"",'Дивиденды по годам'!I472&lt;&gt;"",'Дивиденды по годам'!J472&lt;&gt;"",'Дивиденды по годам'!K472&lt;&gt;"",('Дивиденды по годам'!I472-'Дивиденды по годам'!J472-'Дивиденды по годам'!K472)&lt;&gt;0),'Дивиденды по годам'!L472/('Дивиденды по годам'!I472-'Дивиденды по годам'!J472-'Дивиденды по годам'!K472),""),"")</f>
        <v>0.3177152140532099</v>
      </c>
      <c r="T472">
        <f>IFERROR(IF(AND('Дивиденды по годам'!Q472&lt;&gt;"",'Дивиденды по годам'!I472&lt;&gt;"",'Дивиденды по годам'!V472&lt;&gt;"",('Дивиденды по годам'!I472+'Дивиденды по годам'!V472)&lt;&gt;0),'Дивиденды по годам'!Q472/(('Дивиденды по годам'!I472+'Дивиденды по годам'!V472)/2),""),"")</f>
        <v>3.9052938946987296E-2</v>
      </c>
      <c r="U472">
        <f>IFERROR(IF(AND('Дивиденды по годам'!J472&lt;&gt;"",'Дивиденды по годам'!K472&lt;&gt;"",'Дивиденды по годам'!M472&lt;&gt;"",'Дивиденды по годам'!M472&lt;&gt;0),('Дивиденды по годам'!J472+'Дивиденды по годам'!K472)/'Дивиденды по годам'!M472,""),"")</f>
        <v>1.7115348278863745</v>
      </c>
      <c r="V472">
        <f>IFERROR(IF(AND('Дивиденды по годам'!J472&lt;&gt;"",'Дивиденды по годам'!K472&lt;&gt;"",'Дивиденды по годам'!M472&lt;&gt;"",'Дивиденды по годам'!I472&lt;&gt;0),('Дивиденды по годам'!J472+'Дивиденды по годам'!K472)/'Дивиденды по годам'!I472,""),"")</f>
        <v>0.6312051686064114</v>
      </c>
      <c r="W472">
        <f>IFERROR('Дивиденды по годам'!I472,"")</f>
        <v>57689206000</v>
      </c>
      <c r="X472" cm="1">
        <f t="array" ref="X472">IFERROR(AVERAGE(_xlfn._xlws.FILTER(P$2:P$1073,($C$2:$C$1073=$C472)*($E$2:$E$1073=$E472)*(ROW(P$2:P$1073)&lt;&gt;ROW(P472))*(P$2:P$1073&lt;&gt;""))),"")</f>
        <v>26.907795512766342</v>
      </c>
      <c r="Y472" cm="1">
        <f t="array" ref="Y472">IFERROR(AVERAGE(_xlfn._xlws.FILTER(Q$2:Q$1073,($C$2:$C$1073=$C472)*($E$2:$E$1073=$E472)*(ROW(Q$2:Q$1073)&lt;&gt;ROW(Q472))*(Q$2:Q$1073&lt;&gt;""))),"")</f>
        <v>0.50075553645455073</v>
      </c>
      <c r="Z472" cm="1">
        <f t="array" ref="Z472">IFERROR(AVERAGE(_xlfn._xlws.FILTER(R$2:R$1073,($C$2:$C$1073=$C472)*($E$2:$E$1073=$E472)*(ROW(R$2:R$1073)&lt;&gt;ROW(R472))*(R$2:R$1073&lt;&gt;""))),"")</f>
        <v>3.8698763932583204E-3</v>
      </c>
      <c r="AA472" cm="1">
        <f t="array" ref="AA472">IFERROR(AVERAGE(_xlfn._xlws.FILTER(S$2:S$1073,($C$2:$C$1073=$C472)*($E$2:$E$1073=$E472)*(ROW(S$2:S$1073)&lt;&gt;ROW(S472))*(S$2:S$1073&lt;&gt;""))),"")</f>
        <v>0.96722729787756889</v>
      </c>
      <c r="AB472" cm="1">
        <f t="array" ref="AB472">IFERROR(AVERAGE(_xlfn._xlws.FILTER(T$2:T$1073,($C$2:$C$1073=$C472)*($E$2:$E$1073=$E472)*(ROW(T$2:T$1073)&lt;&gt;ROW(T472))*(T$2:T$1073&lt;&gt;""))),"")</f>
        <v>0.1478964309597301</v>
      </c>
      <c r="AC472" cm="1">
        <f t="array" ref="AC472">IFERROR(AVERAGE(_xlfn._xlws.FILTER(U$2:U$1073,($C$2:$C$1073=$C472)*($E$2:$E$1073=$E472)*(ROW(U$2:U$1073)&lt;&gt;ROW(U472))*(U$2:U$1073&lt;&gt;""))),"")</f>
        <v>1.5437518502227945</v>
      </c>
      <c r="AD472" cm="1">
        <f t="array" ref="AD472">IFERROR(AVERAGE(_xlfn._xlws.FILTER(V$2:V$1073,($C$2:$C$1073=$C472)*($E$2:$E$1073=$E472)*(ROW(V$2:V$1073)&lt;&gt;ROW(V472))*(V$2:V$1073&lt;&gt;""))),"")</f>
        <v>0.67776643554204008</v>
      </c>
      <c r="AE472">
        <f>IF('Дивиденды по годам'!M472&lt;0,1,0)</f>
        <v>0</v>
      </c>
    </row>
    <row r="473" spans="1:31" x14ac:dyDescent="0.2">
      <c r="A473" s="7" t="s">
        <v>2240</v>
      </c>
      <c r="B473" t="str">
        <f t="shared" si="77"/>
        <v>SELG IV кв. 2018</v>
      </c>
      <c r="C473">
        <v>2018</v>
      </c>
      <c r="D473">
        <f>SUMIFS(Дивиденды!$C:$C,Дивиденды!$A:$A,A473,Дивиденды!$I:$I,C473)</f>
        <v>0</v>
      </c>
      <c r="E473">
        <v>3</v>
      </c>
      <c r="F473">
        <f t="shared" si="78"/>
        <v>0</v>
      </c>
      <c r="G473">
        <f t="shared" si="79"/>
        <v>22.694999999999997</v>
      </c>
      <c r="H473">
        <f t="shared" si="80"/>
        <v>0</v>
      </c>
      <c r="I473">
        <f t="shared" si="81"/>
        <v>0.5</v>
      </c>
      <c r="J473">
        <f t="shared" si="82"/>
        <v>0</v>
      </c>
      <c r="K473">
        <f t="shared" si="87"/>
        <v>0.12085686823605531</v>
      </c>
      <c r="L473">
        <f t="shared" si="83"/>
        <v>0</v>
      </c>
      <c r="M473">
        <f t="shared" si="84"/>
        <v>0.5</v>
      </c>
      <c r="N473">
        <f t="shared" si="85"/>
        <v>0</v>
      </c>
      <c r="O473">
        <f t="shared" si="86"/>
        <v>0.2</v>
      </c>
      <c r="P473">
        <f>IFERROR(LN('Дивиденды по годам'!I473),"")</f>
        <v>24.658730507002026</v>
      </c>
      <c r="Q473">
        <f>IFERROR('Дивиденды по годам'!G473/'Дивиденды по годам'!I473, "")</f>
        <v>0.52180301348052116</v>
      </c>
      <c r="R473">
        <f>IFERROR(IF(AND('Дивиденды по годам'!N473&lt;&gt;"",'Дивиденды по годам'!U473&lt;&gt;"",'Дивиденды по годам'!U473&lt;&gt;0),'Дивиденды по годам'!N473/'Дивиденды по годам'!U473-1,""),"")</f>
        <v>0.36548961785116951</v>
      </c>
      <c r="S473">
        <f>IFERROR(IF(AND('Дивиденды по годам'!L473&lt;&gt;"",'Дивиденды по годам'!I473&lt;&gt;"",'Дивиденды по годам'!J473&lt;&gt;"",'Дивиденды по годам'!K473&lt;&gt;"",('Дивиденды по годам'!I473-'Дивиденды по годам'!J473-'Дивиденды по годам'!K473)&lt;&gt;0),'Дивиденды по годам'!L473/('Дивиденды по годам'!I473-'Дивиденды по годам'!J473-'Дивиденды по годам'!K473),""),"")</f>
        <v>0.32166260713959655</v>
      </c>
      <c r="T473">
        <f>IFERROR(IF(AND('Дивиденды по годам'!Q473&lt;&gt;"",'Дивиденды по годам'!I473&lt;&gt;"",'Дивиденды по годам'!V473&lt;&gt;"",('Дивиденды по годам'!I473+'Дивиденды по годам'!V473)&lt;&gt;0),'Дивиденды по годам'!Q473/(('Дивиденды по годам'!I473+'Дивиденды по годам'!V473)/2),""),"")</f>
        <v>1.5240995568921317E-2</v>
      </c>
      <c r="U473">
        <f>IFERROR(IF(AND('Дивиденды по годам'!J473&lt;&gt;"",'Дивиденды по годам'!K473&lt;&gt;"",'Дивиденды по годам'!M473&lt;&gt;"",'Дивиденды по годам'!M473&lt;&gt;0),('Дивиденды по годам'!J473+'Дивиденды по годам'!K473)/'Дивиденды по годам'!M473,""),"")</f>
        <v>1.6224054232316978</v>
      </c>
      <c r="V473">
        <f>IFERROR(IF(AND('Дивиденды по годам'!J473&lt;&gt;"",'Дивиденды по годам'!K473&lt;&gt;"",'Дивиденды по годам'!M473&lt;&gt;"",'Дивиденды по годам'!I473&lt;&gt;0),('Дивиденды по годам'!J473+'Дивиденды по годам'!K473)/'Дивиденды по годам'!I473,""),"")</f>
        <v>0.61867070928809365</v>
      </c>
      <c r="W473">
        <f>IFERROR('Дивиденды по годам'!I473,"")</f>
        <v>51185929000</v>
      </c>
      <c r="X473" cm="1">
        <f t="array" ref="X473">IFERROR(AVERAGE(_xlfn._xlws.FILTER(P$2:P$1073,($C$2:$C$1073=$C473)*($E$2:$E$1073=$E473)*(ROW(P$2:P$1073)&lt;&gt;ROW(P473))*(P$2:P$1073&lt;&gt;""))),"")</f>
        <v>26.761726002877207</v>
      </c>
      <c r="Y473" cm="1">
        <f t="array" ref="Y473">IFERROR(AVERAGE(_xlfn._xlws.FILTER(Q$2:Q$1073,($C$2:$C$1073=$C473)*($E$2:$E$1073=$E473)*(ROW(Q$2:Q$1073)&lt;&gt;ROW(Q473))*(Q$2:Q$1073&lt;&gt;""))),"")</f>
        <v>0.51779102733840521</v>
      </c>
      <c r="Z473" cm="1">
        <f t="array" ref="Z473">IFERROR(AVERAGE(_xlfn._xlws.FILTER(R$2:R$1073,($C$2:$C$1073=$C473)*($E$2:$E$1073=$E473)*(ROW(R$2:R$1073)&lt;&gt;ROW(R473))*(R$2:R$1073&lt;&gt;""))),"")</f>
        <v>0.20274700554902741</v>
      </c>
      <c r="AA473" cm="1">
        <f t="array" ref="AA473">IFERROR(AVERAGE(_xlfn._xlws.FILTER(S$2:S$1073,($C$2:$C$1073=$C473)*($E$2:$E$1073=$E473)*(ROW(S$2:S$1073)&lt;&gt;ROW(S473))*(S$2:S$1073&lt;&gt;""))),"")</f>
        <v>0.9836407959203004</v>
      </c>
      <c r="AB473" cm="1">
        <f t="array" ref="AB473">IFERROR(AVERAGE(_xlfn._xlws.FILTER(T$2:T$1073,($C$2:$C$1073=$C473)*($E$2:$E$1073=$E473)*(ROW(T$2:T$1073)&lt;&gt;ROW(T473))*(T$2:T$1073&lt;&gt;""))),"")</f>
        <v>0.16923874013892218</v>
      </c>
      <c r="AC473" cm="1">
        <f t="array" ref="AC473">IFERROR(AVERAGE(_xlfn._xlws.FILTER(U$2:U$1073,($C$2:$C$1073=$C473)*($E$2:$E$1073=$E473)*(ROW(U$2:U$1073)&lt;&gt;ROW(U473))*(U$2:U$1073&lt;&gt;""))),"")</f>
        <v>2.4098349680086875</v>
      </c>
      <c r="AD473" cm="1">
        <f t="array" ref="AD473">IFERROR(AVERAGE(_xlfn._xlws.FILTER(V$2:V$1073,($C$2:$C$1073=$C473)*($E$2:$E$1073=$E473)*(ROW(V$2:V$1073)&lt;&gt;ROW(V473))*(V$2:V$1073&lt;&gt;""))),"")</f>
        <v>0.69545087655221949</v>
      </c>
      <c r="AE473">
        <f>IF('Дивиденды по годам'!M473&lt;0,1,0)</f>
        <v>0</v>
      </c>
    </row>
    <row r="474" spans="1:31" x14ac:dyDescent="0.2">
      <c r="A474" s="7" t="s">
        <v>2240</v>
      </c>
      <c r="B474" t="str">
        <f t="shared" si="77"/>
        <v>SELG IV кв. 2017</v>
      </c>
      <c r="C474">
        <v>2017</v>
      </c>
      <c r="D474">
        <f>SUMIFS(Дивиденды!$C:$C,Дивиденды!$A:$A,A474,Дивиденды!$I:$I,C474)</f>
        <v>0</v>
      </c>
      <c r="E474">
        <v>3</v>
      </c>
      <c r="F474">
        <f t="shared" si="78"/>
        <v>0</v>
      </c>
      <c r="G474">
        <f t="shared" si="79"/>
        <v>16.068876314825083</v>
      </c>
      <c r="H474">
        <f t="shared" si="80"/>
        <v>0</v>
      </c>
      <c r="I474">
        <f t="shared" si="81"/>
        <v>0.7</v>
      </c>
      <c r="J474">
        <f t="shared" si="82"/>
        <v>0</v>
      </c>
      <c r="K474">
        <f t="shared" si="87"/>
        <v>0.11709302504260524</v>
      </c>
      <c r="L474">
        <f t="shared" si="83"/>
        <v>0</v>
      </c>
      <c r="M474">
        <f t="shared" si="84"/>
        <v>0.5</v>
      </c>
      <c r="N474">
        <f t="shared" si="85"/>
        <v>0</v>
      </c>
      <c r="O474">
        <f t="shared" si="86"/>
        <v>0.2</v>
      </c>
      <c r="P474">
        <f>IFERROR(LN('Дивиденды по годам'!I474),"")</f>
        <v>24.518187471831709</v>
      </c>
      <c r="Q474">
        <f>IFERROR('Дивиденды по годам'!G474/'Дивиденды по годам'!I474, "")</f>
        <v>0.58014487815794624</v>
      </c>
      <c r="R474">
        <f>IFERROR(IF(AND('Дивиденды по годам'!N474&lt;&gt;"",'Дивиденды по годам'!U474&lt;&gt;"",'Дивиденды по годам'!U474&lt;&gt;0),'Дивиденды по годам'!N474/'Дивиденды по годам'!U474-1,""),"")</f>
        <v>3.3820428542279179E-2</v>
      </c>
      <c r="S474">
        <f>IFERROR(IF(AND('Дивиденды по годам'!L474&lt;&gt;"",'Дивиденды по годам'!I474&lt;&gt;"",'Дивиденды по годам'!J474&lt;&gt;"",'Дивиденды по годам'!K474&lt;&gt;"",('Дивиденды по годам'!I474-'Дивиденды по годам'!J474-'Дивиденды по годам'!K474)&lt;&gt;0),'Дивиденды по годам'!L474/('Дивиденды по годам'!I474-'Дивиденды по годам'!J474-'Дивиденды по годам'!K474),""),"")</f>
        <v>0.30716135310406445</v>
      </c>
      <c r="T474">
        <f>IFERROR(IF(AND('Дивиденды по годам'!Q474&lt;&gt;"",'Дивиденды по годам'!I474&lt;&gt;"",'Дивиденды по годам'!V474&lt;&gt;"",('Дивиденды по годам'!I474+'Дивиденды по годам'!V474)&lt;&gt;0),'Дивиденды по годам'!Q474/(('Дивиденды по годам'!I474+'Дивиденды по годам'!V474)/2),""),"")</f>
        <v>3.7747975952393584E-2</v>
      </c>
      <c r="U474">
        <f>IFERROR(IF(AND('Дивиденды по годам'!J474&lt;&gt;"",'Дивиденды по годам'!K474&lt;&gt;"",'Дивиденды по годам'!M474&lt;&gt;"",'Дивиденды по годам'!M474&lt;&gt;0),('Дивиденды по годам'!J474+'Дивиденды по годам'!K474)/'Дивиденды по годам'!M474,""),"")</f>
        <v>1.3363721838874678</v>
      </c>
      <c r="V474">
        <f>IFERROR(IF(AND('Дивиденды по годам'!J474&lt;&gt;"",'Дивиденды по годам'!K474&lt;&gt;"",'Дивиденды по годам'!M474&lt;&gt;"",'Дивиденды по годам'!I474&lt;&gt;0),('Дивиденды по годам'!J474+'Дивиденды по годам'!K474)/'Дивиденды по годам'!I474,""),"")</f>
        <v>0.57198600167542257</v>
      </c>
      <c r="W474">
        <f>IFERROR('Дивиденды по годам'!I474,"")</f>
        <v>44474751000</v>
      </c>
      <c r="X474" cm="1">
        <f t="array" ref="X474">IFERROR(AVERAGE(_xlfn._xlws.FILTER(P$2:P$1073,($C$2:$C$1073=$C474)*($E$2:$E$1073=$E474)*(ROW(P$2:P$1073)&lt;&gt;ROW(P474))*(P$2:P$1073&lt;&gt;""))),"")</f>
        <v>26.746525605576711</v>
      </c>
      <c r="Y474" cm="1">
        <f t="array" ref="Y474">IFERROR(AVERAGE(_xlfn._xlws.FILTER(Q$2:Q$1073,($C$2:$C$1073=$C474)*($E$2:$E$1073=$E474)*(ROW(Q$2:Q$1073)&lt;&gt;ROW(Q474))*(Q$2:Q$1073&lt;&gt;""))),"")</f>
        <v>0.53146250597865907</v>
      </c>
      <c r="Z474" cm="1">
        <f t="array" ref="Z474">IFERROR(AVERAGE(_xlfn._xlws.FILTER(R$2:R$1073,($C$2:$C$1073=$C474)*($E$2:$E$1073=$E474)*(ROW(R$2:R$1073)&lt;&gt;ROW(R474))*(R$2:R$1073&lt;&gt;""))),"")</f>
        <v>0.10688863954305886</v>
      </c>
      <c r="AA474" cm="1">
        <f t="array" ref="AA474">IFERROR(AVERAGE(_xlfn._xlws.FILTER(S$2:S$1073,($C$2:$C$1073=$C474)*($E$2:$E$1073=$E474)*(ROW(S$2:S$1073)&lt;&gt;ROW(S474))*(S$2:S$1073&lt;&gt;""))),"")</f>
        <v>1.1329084733644685</v>
      </c>
      <c r="AB474" cm="1">
        <f t="array" ref="AB474">IFERROR(AVERAGE(_xlfn._xlws.FILTER(T$2:T$1073,($C$2:$C$1073=$C474)*($E$2:$E$1073=$E474)*(ROW(T$2:T$1073)&lt;&gt;ROW(T474))*(T$2:T$1073&lt;&gt;""))),"")</f>
        <v>0.12994788561988196</v>
      </c>
      <c r="AC474" cm="1">
        <f t="array" ref="AC474">IFERROR(AVERAGE(_xlfn._xlws.FILTER(U$2:U$1073,($C$2:$C$1073=$C474)*($E$2:$E$1073=$E474)*(ROW(U$2:U$1073)&lt;&gt;ROW(U474))*(U$2:U$1073&lt;&gt;""))),"")</f>
        <v>2.042422864816456</v>
      </c>
      <c r="AD474" cm="1">
        <f t="array" ref="AD474">IFERROR(AVERAGE(_xlfn._xlws.FILTER(V$2:V$1073,($C$2:$C$1073=$C474)*($E$2:$E$1073=$E474)*(ROW(V$2:V$1073)&lt;&gt;ROW(V474))*(V$2:V$1073&lt;&gt;""))),"")</f>
        <v>0.70472378401258207</v>
      </c>
      <c r="AE474">
        <f>IF('Дивиденды по годам'!M474&lt;0,1,0)</f>
        <v>0</v>
      </c>
    </row>
    <row r="475" spans="1:31" x14ac:dyDescent="0.2">
      <c r="A475" s="7" t="s">
        <v>2240</v>
      </c>
      <c r="B475" t="str">
        <f t="shared" si="77"/>
        <v>SELG IV кв. 2016</v>
      </c>
      <c r="C475">
        <v>2016</v>
      </c>
      <c r="D475">
        <f>SUMIFS(Дивиденды!$C:$C,Дивиденды!$A:$A,A475,Дивиденды!$I:$I,C475)</f>
        <v>0</v>
      </c>
      <c r="E475">
        <v>3</v>
      </c>
      <c r="F475">
        <f t="shared" si="78"/>
        <v>0</v>
      </c>
      <c r="G475">
        <f t="shared" si="79"/>
        <v>12.095639712606381</v>
      </c>
      <c r="H475">
        <f t="shared" si="80"/>
        <v>0</v>
      </c>
      <c r="I475">
        <f t="shared" si="81"/>
        <v>0.7</v>
      </c>
      <c r="J475">
        <f t="shared" si="82"/>
        <v>0</v>
      </c>
      <c r="K475">
        <f t="shared" si="87"/>
        <v>0.68768115603983127</v>
      </c>
      <c r="L475">
        <f t="shared" si="83"/>
        <v>0</v>
      </c>
      <c r="M475">
        <f t="shared" si="84"/>
        <v>0.7</v>
      </c>
      <c r="N475">
        <f t="shared" si="85"/>
        <v>0</v>
      </c>
      <c r="O475">
        <f t="shared" si="86"/>
        <v>0</v>
      </c>
      <c r="P475">
        <f>IFERROR(LN('Дивиденды по годам'!I475),"")</f>
        <v>24.118803566281645</v>
      </c>
      <c r="Q475">
        <f>IFERROR('Дивиденды по годам'!G475/'Дивиденды по годам'!I475, "")</f>
        <v>0.40416336330135172</v>
      </c>
      <c r="R475">
        <f>IFERROR(IF(AND('Дивиденды по годам'!N475&lt;&gt;"",'Дивиденды по годам'!U475&lt;&gt;"",'Дивиденды по годам'!U475&lt;&gt;0),'Дивиденды по годам'!N475/'Дивиденды по годам'!U475-1,""),"")</f>
        <v>0.3910183244853811</v>
      </c>
      <c r="S475">
        <f>IFERROR(IF(AND('Дивиденды по годам'!L475&lt;&gt;"",'Дивиденды по годам'!I475&lt;&gt;"",'Дивиденды по годам'!J475&lt;&gt;"",'Дивиденды по годам'!K475&lt;&gt;"",('Дивиденды по годам'!I475-'Дивиденды по годам'!J475-'Дивиденды по годам'!K475)&lt;&gt;0),'Дивиденды по годам'!L475/('Дивиденды по годам'!I475-'Дивиденды по годам'!J475-'Дивиденды по годам'!K475),""),"")</f>
        <v>0.3541767006215269</v>
      </c>
      <c r="T475">
        <f>IFERROR(IF(AND('Дивиденды по годам'!Q475&lt;&gt;"",'Дивиденды по годам'!I475&lt;&gt;"",'Дивиденды по годам'!V475&lt;&gt;"",('Дивиденды по годам'!I475+'Дивиденды по годам'!V475)&lt;&gt;0),'Дивиденды по годам'!Q475/(('Дивиденды по годам'!I475+'Дивиденды по годам'!V475)/2),""),"")</f>
        <v>0.13160026836277255</v>
      </c>
      <c r="U475">
        <f>IFERROR(IF(AND('Дивиденды по годам'!J475&lt;&gt;"",'Дивиденды по годам'!K475&lt;&gt;"",'Дивиденды по годам'!M475&lt;&gt;"",'Дивиденды по годам'!M475&lt;&gt;0),('Дивиденды по годам'!J475+'Дивиденды по годам'!K475)/'Дивиденды по годам'!M475,""),"")</f>
        <v>1.5651401984803337</v>
      </c>
      <c r="V475">
        <f>IFERROR(IF(AND('Дивиденды по годам'!J475&lt;&gt;"",'Дивиденды по годам'!K475&lt;&gt;"",'Дивиденды по годам'!M475&lt;&gt;"",'Дивиденды по годам'!I475&lt;&gt;0),('Дивиденды по годам'!J475+'Дивиденды по годам'!K475)/'Дивиденды по годам'!I475,""),"")</f>
        <v>0.61015776034681057</v>
      </c>
      <c r="W475">
        <f>IFERROR('Дивиденды по годам'!I475,"")</f>
        <v>29830690000</v>
      </c>
      <c r="X475" cm="1">
        <f t="array" ref="X475">IFERROR(AVERAGE(_xlfn._xlws.FILTER(P$2:P$1073,($C$2:$C$1073=$C475)*($E$2:$E$1073=$E475)*(ROW(P$2:P$1073)&lt;&gt;ROW(P475))*(P$2:P$1073&lt;&gt;""))),"")</f>
        <v>26.787158497002736</v>
      </c>
      <c r="Y475" cm="1">
        <f t="array" ref="Y475">IFERROR(AVERAGE(_xlfn._xlws.FILTER(Q$2:Q$1073,($C$2:$C$1073=$C475)*($E$2:$E$1073=$E475)*(ROW(Q$2:Q$1073)&lt;&gt;ROW(Q475))*(Q$2:Q$1073&lt;&gt;""))),"")</f>
        <v>0.52017776752265432</v>
      </c>
      <c r="Z475" cm="1">
        <f t="array" ref="Z475">IFERROR(AVERAGE(_xlfn._xlws.FILTER(R$2:R$1073,($C$2:$C$1073=$C475)*($E$2:$E$1073=$E475)*(ROW(R$2:R$1073)&lt;&gt;ROW(R475))*(R$2:R$1073&lt;&gt;""))),"")</f>
        <v>0.10906796454454852</v>
      </c>
      <c r="AA475" cm="1">
        <f t="array" ref="AA475">IFERROR(AVERAGE(_xlfn._xlws.FILTER(S$2:S$1073,($C$2:$C$1073=$C475)*($E$2:$E$1073=$E475)*(ROW(S$2:S$1073)&lt;&gt;ROW(S475))*(S$2:S$1073&lt;&gt;""))),"")</f>
        <v>0.29115478882883689</v>
      </c>
      <c r="AB475" cm="1">
        <f t="array" ref="AB475">IFERROR(AVERAGE(_xlfn._xlws.FILTER(T$2:T$1073,($C$2:$C$1073=$C475)*($E$2:$E$1073=$E475)*(ROW(T$2:T$1073)&lt;&gt;ROW(T475))*(T$2:T$1073&lt;&gt;""))),"")</f>
        <v>0.16489929083338631</v>
      </c>
      <c r="AC475" cm="1">
        <f t="array" ref="AC475">IFERROR(AVERAGE(_xlfn._xlws.FILTER(U$2:U$1073,($C$2:$C$1073=$C475)*($E$2:$E$1073=$E475)*(ROW(U$2:U$1073)&lt;&gt;ROW(U475))*(U$2:U$1073&lt;&gt;""))),"")</f>
        <v>1.5783017827704082E-2</v>
      </c>
      <c r="AD475" cm="1">
        <f t="array" ref="AD475">IFERROR(AVERAGE(_xlfn._xlws.FILTER(V$2:V$1073,($C$2:$C$1073=$C475)*($E$2:$E$1073=$E475)*(ROW(V$2:V$1073)&lt;&gt;ROW(V475))*(V$2:V$1073&lt;&gt;""))),"")</f>
        <v>0.76068328670431506</v>
      </c>
      <c r="AE475">
        <f>IF('Дивиденды по годам'!M475&lt;0,1,0)</f>
        <v>0</v>
      </c>
    </row>
    <row r="476" spans="1:31" x14ac:dyDescent="0.2">
      <c r="A476" s="7" t="s">
        <v>2240</v>
      </c>
      <c r="B476" t="str">
        <f t="shared" si="77"/>
        <v>SELG IV кв. 2015</v>
      </c>
      <c r="C476">
        <v>2015</v>
      </c>
      <c r="D476">
        <f>SUMIFS(Дивиденды!$C:$C,Дивиденды!$A:$A,A476,Дивиденды!$I:$I,C476)</f>
        <v>0</v>
      </c>
      <c r="E476">
        <v>3</v>
      </c>
      <c r="F476">
        <f t="shared" si="78"/>
        <v>0</v>
      </c>
      <c r="G476">
        <f t="shared" si="79"/>
        <v>7.2240627742857146</v>
      </c>
      <c r="H476">
        <f t="shared" si="80"/>
        <v>0</v>
      </c>
      <c r="I476">
        <f t="shared" si="81"/>
        <v>0.6</v>
      </c>
      <c r="J476">
        <f t="shared" si="82"/>
        <v>0</v>
      </c>
      <c r="K476">
        <f t="shared" si="87"/>
        <v>0.8808871705905531</v>
      </c>
      <c r="L476">
        <f t="shared" si="83"/>
        <v>0</v>
      </c>
      <c r="M476">
        <f t="shared" si="84"/>
        <v>0.5</v>
      </c>
      <c r="N476">
        <f t="shared" si="85"/>
        <v>0</v>
      </c>
      <c r="O476">
        <f t="shared" si="86"/>
        <v>0.1</v>
      </c>
      <c r="P476">
        <f>IFERROR(LN('Дивиденды по годам'!I476),"")</f>
        <v>23.994337259004528</v>
      </c>
      <c r="Q476">
        <f>IFERROR('Дивиденды по годам'!G476/'Дивиденды по годам'!I476, "")</f>
        <v>0.41389302662593452</v>
      </c>
      <c r="R476" t="str">
        <f>IFERROR(IF(AND('Дивиденды по годам'!N476&lt;&gt;"",'Дивиденды по годам'!U476&lt;&gt;"",'Дивиденды по годам'!U476&lt;&gt;0),'Дивиденды по годам'!N476/'Дивиденды по годам'!U476-1,""),"")</f>
        <v/>
      </c>
      <c r="S476">
        <f>IFERROR(IF(AND('Дивиденды по годам'!L476&lt;&gt;"",'Дивиденды по годам'!I476&lt;&gt;"",'Дивиденды по годам'!J476&lt;&gt;"",'Дивиденды по годам'!K476&lt;&gt;"",('Дивиденды по годам'!I476-'Дивиденды по годам'!J476-'Дивиденды по годам'!K476)&lt;&gt;0),'Дивиденды по годам'!L476/('Дивиденды по годам'!I476-'Дивиденды по годам'!J476-'Дивиденды по годам'!K476),""),"")</f>
        <v>5.700842986913647E-2</v>
      </c>
      <c r="T476" t="str">
        <f>IFERROR(IF(AND('Дивиденды по годам'!Q476&lt;&gt;"",'Дивиденды по годам'!I476&lt;&gt;"",'Дивиденды по годам'!V476&lt;&gt;"",('Дивиденды по годам'!I476+'Дивиденды по годам'!V476)&lt;&gt;0),'Дивиденды по годам'!Q476/(('Дивиденды по годам'!I476+'Дивиденды по годам'!V476)/2),""),"")</f>
        <v/>
      </c>
      <c r="U476">
        <f>IFERROR(IF(AND('Дивиденды по годам'!J476&lt;&gt;"",'Дивиденды по годам'!K476&lt;&gt;"",'Дивиденды по годам'!M476&lt;&gt;"",'Дивиденды по годам'!M476&lt;&gt;0),('Дивиденды по годам'!J476+'Дивиденды по годам'!K476)/'Дивиденды по годам'!M476,""),"")</f>
        <v>2.5862473344354586</v>
      </c>
      <c r="V476">
        <f>IFERROR(IF(AND('Дивиденды по годам'!J476&lt;&gt;"",'Дивиденды по годам'!K476&lt;&gt;"",'Дивиденды по годам'!M476&lt;&gt;"",'Дивиденды по годам'!I476&lt;&gt;0),('Дивиденды по годам'!J476+'Дивиденды по годам'!K476)/'Дивиденды по годам'!I476,""),"")</f>
        <v>0.72115699037322023</v>
      </c>
      <c r="W476">
        <f>IFERROR('Дивиденды по годам'!I476,"")</f>
        <v>26339545000</v>
      </c>
      <c r="X476" cm="1">
        <f t="array" ref="X476">IFERROR(AVERAGE(_xlfn._xlws.FILTER(P$2:P$1073,($C$2:$C$1073=$C476)*($E$2:$E$1073=$E476)*(ROW(P$2:P$1073)&lt;&gt;ROW(P476))*(P$2:P$1073&lt;&gt;""))),"")</f>
        <v>26.594328783727207</v>
      </c>
      <c r="Y476" cm="1">
        <f t="array" ref="Y476">IFERROR(AVERAGE(_xlfn._xlws.FILTER(Q$2:Q$1073,($C$2:$C$1073=$C476)*($E$2:$E$1073=$E476)*(ROW(Q$2:Q$1073)&lt;&gt;ROW(Q476))*(Q$2:Q$1073&lt;&gt;""))),"")</f>
        <v>0.50707854194865654</v>
      </c>
      <c r="Z476" cm="1">
        <f t="array" ref="Z476">IFERROR(AVERAGE(_xlfn._xlws.FILTER(R$2:R$1073,($C$2:$C$1073=$C476)*($E$2:$E$1073=$E476)*(ROW(R$2:R$1073)&lt;&gt;ROW(R476))*(R$2:R$1073&lt;&gt;""))),"")</f>
        <v>0.25311279878932647</v>
      </c>
      <c r="AA476" cm="1">
        <f t="array" ref="AA476">IFERROR(AVERAGE(_xlfn._xlws.FILTER(S$2:S$1073,($C$2:$C$1073=$C476)*($E$2:$E$1073=$E476)*(ROW(S$2:S$1073)&lt;&gt;ROW(S476))*(S$2:S$1073&lt;&gt;""))),"")</f>
        <v>1.0683703292367825</v>
      </c>
      <c r="AB476" cm="1">
        <f t="array" ref="AB476">IFERROR(AVERAGE(_xlfn._xlws.FILTER(T$2:T$1073,($C$2:$C$1073=$C476)*($E$2:$E$1073=$E476)*(ROW(T$2:T$1073)&lt;&gt;ROW(T476))*(T$2:T$1073&lt;&gt;""))),"")</f>
        <v>2.326940760762522E-2</v>
      </c>
      <c r="AC476" cm="1">
        <f t="array" ref="AC476">IFERROR(AVERAGE(_xlfn._xlws.FILTER(U$2:U$1073,($C$2:$C$1073=$C476)*($E$2:$E$1073=$E476)*(ROW(U$2:U$1073)&lt;&gt;ROW(U476))*(U$2:U$1073&lt;&gt;""))),"")</f>
        <v>3.0374341213698659</v>
      </c>
      <c r="AD476" cm="1">
        <f t="array" ref="AD476">IFERROR(AVERAGE(_xlfn._xlws.FILTER(V$2:V$1073,($C$2:$C$1073=$C476)*($E$2:$E$1073=$E476)*(ROW(V$2:V$1073)&lt;&gt;ROW(V476))*(V$2:V$1073&lt;&gt;""))),"")</f>
        <v>0.79807080711829204</v>
      </c>
      <c r="AE476">
        <f>IF('Дивиденды по годам'!M476&lt;0,1,0)</f>
        <v>0</v>
      </c>
    </row>
    <row r="477" spans="1:31" x14ac:dyDescent="0.2">
      <c r="A477" s="7" t="s">
        <v>2240</v>
      </c>
      <c r="B477" t="str">
        <f t="shared" si="77"/>
        <v>SELG IV кв. 2014</v>
      </c>
      <c r="C477">
        <v>2014</v>
      </c>
      <c r="D477">
        <f>SUMIFS(Дивиденды!$C:$C,Дивиденды!$A:$A,A477,Дивиденды!$I:$I,C477)</f>
        <v>0</v>
      </c>
      <c r="E477">
        <v>3</v>
      </c>
      <c r="F477">
        <f t="shared" si="78"/>
        <v>0</v>
      </c>
      <c r="G477">
        <f t="shared" si="79"/>
        <v>7.8559999999999999</v>
      </c>
      <c r="H477">
        <f t="shared" si="80"/>
        <v>0</v>
      </c>
      <c r="I477">
        <f t="shared" si="81"/>
        <v>0.5</v>
      </c>
      <c r="J477">
        <f t="shared" si="82"/>
        <v>0</v>
      </c>
      <c r="K477">
        <f t="shared" si="87"/>
        <v>1.0733185192796773</v>
      </c>
      <c r="L477">
        <f t="shared" si="83"/>
        <v>0</v>
      </c>
      <c r="M477">
        <f t="shared" si="84"/>
        <v>0.3</v>
      </c>
      <c r="N477">
        <f t="shared" si="85"/>
        <v>0</v>
      </c>
      <c r="O477">
        <f t="shared" si="86"/>
        <v>0.1</v>
      </c>
      <c r="P477" t="str">
        <f>IFERROR(LN('Дивиденды по годам'!I477),"")</f>
        <v/>
      </c>
      <c r="Q477" t="str">
        <f>IFERROR('Дивиденды по годам'!G477/'Дивиденды по годам'!I477, "")</f>
        <v/>
      </c>
      <c r="R477" t="str">
        <f>IFERROR(IF(AND('Дивиденды по годам'!N477&lt;&gt;"",'Дивиденды по годам'!U477&lt;&gt;"",'Дивиденды по годам'!U477&lt;&gt;0),'Дивиденды по годам'!N477/'Дивиденды по годам'!U477-1,""),"")</f>
        <v/>
      </c>
      <c r="S477" t="str">
        <f>IFERROR(IF(AND('Дивиденды по годам'!L477&lt;&gt;"",'Дивиденды по годам'!I477&lt;&gt;"",'Дивиденды по годам'!J477&lt;&gt;"",'Дивиденды по годам'!K477&lt;&gt;"",('Дивиденды по годам'!I477-'Дивиденды по годам'!J477-'Дивиденды по годам'!K477)&lt;&gt;0),'Дивиденды по годам'!L477/('Дивиденды по годам'!I477-'Дивиденды по годам'!J477-'Дивиденды по годам'!K477),""),"")</f>
        <v/>
      </c>
      <c r="T477" t="str">
        <f>IFERROR(IF(AND('Дивиденды по годам'!Q477&lt;&gt;"",'Дивиденды по годам'!I477&lt;&gt;"",'Дивиденды по годам'!V477&lt;&gt;"",('Дивиденды по годам'!I477+'Дивиденды по годам'!V477)&lt;&gt;0),'Дивиденды по годам'!Q477/(('Дивиденды по годам'!I477+'Дивиденды по годам'!V477)/2),""),"")</f>
        <v/>
      </c>
      <c r="U477" t="str">
        <f>IFERROR(IF(AND('Дивиденды по годам'!J477&lt;&gt;"",'Дивиденды по годам'!K477&lt;&gt;"",'Дивиденды по годам'!M477&lt;&gt;"",'Дивиденды по годам'!M477&lt;&gt;0),('Дивиденды по годам'!J477+'Дивиденды по годам'!K477)/'Дивиденды по годам'!M477,""),"")</f>
        <v/>
      </c>
      <c r="V477" t="str">
        <f>IFERROR(IF(AND('Дивиденды по годам'!J477&lt;&gt;"",'Дивиденды по годам'!K477&lt;&gt;"",'Дивиденды по годам'!M477&lt;&gt;"",'Дивиденды по годам'!I477&lt;&gt;0),('Дивиденды по годам'!J477+'Дивиденды по годам'!K477)/'Дивиденды по годам'!I477,""),"")</f>
        <v/>
      </c>
      <c r="W477" t="str">
        <f>IFERROR('Дивиденды по годам'!I477,"")</f>
        <v/>
      </c>
      <c r="X477" cm="1">
        <f t="array" ref="X477">IFERROR(AVERAGE(_xlfn._xlws.FILTER(P$2:P$1073,($C$2:$C$1073=$C477)*($E$2:$E$1073=$E477)*(ROW(P$2:P$1073)&lt;&gt;ROW(P477))*(P$2:P$1073&lt;&gt;""))),"")</f>
        <v>26.29821814172638</v>
      </c>
      <c r="Y477" cm="1">
        <f t="array" ref="Y477">IFERROR(AVERAGE(_xlfn._xlws.FILTER(Q$2:Q$1073,($C$2:$C$1073=$C477)*($E$2:$E$1073=$E477)*(ROW(Q$2:Q$1073)&lt;&gt;ROW(Q477))*(Q$2:Q$1073&lt;&gt;""))),"")</f>
        <v>0.51597340280598392</v>
      </c>
      <c r="Z477" cm="1">
        <f t="array" ref="Z477">IFERROR(AVERAGE(_xlfn._xlws.FILTER(R$2:R$1073,($C$2:$C$1073=$C477)*($E$2:$E$1073=$E477)*(ROW(R$2:R$1073)&lt;&gt;ROW(R477))*(R$2:R$1073&lt;&gt;""))),"")</f>
        <v>7.749408943916497E-2</v>
      </c>
      <c r="AA477" cm="1">
        <f t="array" ref="AA477">IFERROR(AVERAGE(_xlfn._xlws.FILTER(S$2:S$1073,($C$2:$C$1073=$C477)*($E$2:$E$1073=$E477)*(ROW(S$2:S$1073)&lt;&gt;ROW(S477))*(S$2:S$1073&lt;&gt;""))),"")</f>
        <v>0.79499322870069589</v>
      </c>
      <c r="AB477" cm="1">
        <f t="array" ref="AB477">IFERROR(AVERAGE(_xlfn._xlws.FILTER(T$2:T$1073,($C$2:$C$1073=$C477)*($E$2:$E$1073=$E477)*(ROW(T$2:T$1073)&lt;&gt;ROW(T477))*(T$2:T$1073&lt;&gt;""))),"")</f>
        <v>-7.7541429399112044E-2</v>
      </c>
      <c r="AC477" cm="1">
        <f t="array" ref="AC477">IFERROR(AVERAGE(_xlfn._xlws.FILTER(U$2:U$1073,($C$2:$C$1073=$C477)*($E$2:$E$1073=$E477)*(ROW(U$2:U$1073)&lt;&gt;ROW(U477))*(U$2:U$1073&lt;&gt;""))),"")</f>
        <v>1.6267808985137564</v>
      </c>
      <c r="AD477" cm="1">
        <f t="array" ref="AD477">IFERROR(AVERAGE(_xlfn._xlws.FILTER(V$2:V$1073,($C$2:$C$1073=$C477)*($E$2:$E$1073=$E477)*(ROW(V$2:V$1073)&lt;&gt;ROW(V477))*(V$2:V$1073&lt;&gt;""))),"")</f>
        <v>0.71174112253081379</v>
      </c>
      <c r="AE477">
        <f>IF('Дивиденды по годам'!M477&lt;0,1,0)</f>
        <v>0</v>
      </c>
    </row>
    <row r="478" spans="1:31" x14ac:dyDescent="0.2">
      <c r="A478" s="7" t="s">
        <v>2240</v>
      </c>
      <c r="B478" t="str">
        <f t="shared" si="77"/>
        <v>SELG IV кв. 2013</v>
      </c>
      <c r="C478">
        <v>2013</v>
      </c>
      <c r="D478">
        <f>SUMIFS(Дивиденды!$C:$C,Дивиденды!$A:$A,A478,Дивиденды!$I:$I,C478)</f>
        <v>0</v>
      </c>
      <c r="E478">
        <v>3</v>
      </c>
      <c r="F478">
        <f t="shared" si="78"/>
        <v>0</v>
      </c>
      <c r="G478">
        <f t="shared" si="79"/>
        <v>1.2260000000000002</v>
      </c>
      <c r="H478">
        <f t="shared" si="80"/>
        <v>0</v>
      </c>
      <c r="I478">
        <f t="shared" si="81"/>
        <v>0.4</v>
      </c>
      <c r="J478">
        <f t="shared" si="82"/>
        <v>0</v>
      </c>
      <c r="K478">
        <f t="shared" si="87"/>
        <v>-0.20386411043374064</v>
      </c>
      <c r="L478">
        <f t="shared" si="83"/>
        <v>0</v>
      </c>
      <c r="M478">
        <f t="shared" si="84"/>
        <v>0.2</v>
      </c>
      <c r="N478">
        <f t="shared" si="85"/>
        <v>0</v>
      </c>
      <c r="O478">
        <f t="shared" si="86"/>
        <v>0.4</v>
      </c>
      <c r="P478" t="str">
        <f>IFERROR(LN('Дивиденды по годам'!I478),"")</f>
        <v/>
      </c>
      <c r="Q478" t="str">
        <f>IFERROR('Дивиденды по годам'!G478/'Дивиденды по годам'!I478, "")</f>
        <v/>
      </c>
      <c r="R478" t="str">
        <f>IFERROR(IF(AND('Дивиденды по годам'!N478&lt;&gt;"",'Дивиденды по годам'!U478&lt;&gt;"",'Дивиденды по годам'!U478&lt;&gt;0),'Дивиденды по годам'!N478/'Дивиденды по годам'!U478-1,""),"")</f>
        <v/>
      </c>
      <c r="S478" t="str">
        <f>IFERROR(IF(AND('Дивиденды по годам'!L478&lt;&gt;"",'Дивиденды по годам'!I478&lt;&gt;"",'Дивиденды по годам'!J478&lt;&gt;"",'Дивиденды по годам'!K478&lt;&gt;"",('Дивиденды по годам'!I478-'Дивиденды по годам'!J478-'Дивиденды по годам'!K478)&lt;&gt;0),'Дивиденды по годам'!L478/('Дивиденды по годам'!I478-'Дивиденды по годам'!J478-'Дивиденды по годам'!K478),""),"")</f>
        <v/>
      </c>
      <c r="T478" t="str">
        <f>IFERROR(IF(AND('Дивиденды по годам'!Q478&lt;&gt;"",'Дивиденды по годам'!I478&lt;&gt;"",'Дивиденды по годам'!V478&lt;&gt;"",('Дивиденды по годам'!I478+'Дивиденды по годам'!V478)&lt;&gt;0),'Дивиденды по годам'!Q478/(('Дивиденды по годам'!I478+'Дивиденды по годам'!V478)/2),""),"")</f>
        <v/>
      </c>
      <c r="U478" t="str">
        <f>IFERROR(IF(AND('Дивиденды по годам'!J478&lt;&gt;"",'Дивиденды по годам'!K478&lt;&gt;"",'Дивиденды по годам'!M478&lt;&gt;"",'Дивиденды по годам'!M478&lt;&gt;0),('Дивиденды по годам'!J478+'Дивиденды по годам'!K478)/'Дивиденды по годам'!M478,""),"")</f>
        <v/>
      </c>
      <c r="V478" t="str">
        <f>IFERROR(IF(AND('Дивиденды по годам'!J478&lt;&gt;"",'Дивиденды по годам'!K478&lt;&gt;"",'Дивиденды по годам'!M478&lt;&gt;"",'Дивиденды по годам'!I478&lt;&gt;0),('Дивиденды по годам'!J478+'Дивиденды по годам'!K478)/'Дивиденды по годам'!I478,""),"")</f>
        <v/>
      </c>
      <c r="W478" t="str">
        <f>IFERROR('Дивиденды по годам'!I478,"")</f>
        <v/>
      </c>
      <c r="X478" cm="1">
        <f t="array" ref="X478">IFERROR(AVERAGE(_xlfn._xlws.FILTER(P$2:P$1073,($C$2:$C$1073=$C478)*($E$2:$E$1073=$E478)*(ROW(P$2:P$1073)&lt;&gt;ROW(P478))*(P$2:P$1073&lt;&gt;""))),"")</f>
        <v>26.438676671932889</v>
      </c>
      <c r="Y478" cm="1">
        <f t="array" ref="Y478">IFERROR(AVERAGE(_xlfn._xlws.FILTER(Q$2:Q$1073,($C$2:$C$1073=$C478)*($E$2:$E$1073=$E478)*(ROW(Q$2:Q$1073)&lt;&gt;ROW(Q478))*(Q$2:Q$1073&lt;&gt;""))),"")</f>
        <v>0.5772407109117077</v>
      </c>
      <c r="Z478" cm="1">
        <f t="array" ref="Z478">IFERROR(AVERAGE(_xlfn._xlws.FILTER(R$2:R$1073,($C$2:$C$1073=$C478)*($E$2:$E$1073=$E478)*(ROW(R$2:R$1073)&lt;&gt;ROW(R478))*(R$2:R$1073&lt;&gt;""))),"")</f>
        <v>-4.5593165048120117E-2</v>
      </c>
      <c r="AA478" cm="1">
        <f t="array" ref="AA478">IFERROR(AVERAGE(_xlfn._xlws.FILTER(S$2:S$1073,($C$2:$C$1073=$C478)*($E$2:$E$1073=$E478)*(ROW(S$2:S$1073)&lt;&gt;ROW(S478))*(S$2:S$1073&lt;&gt;""))),"")</f>
        <v>1.1343753445927802</v>
      </c>
      <c r="AB478" cm="1">
        <f t="array" ref="AB478">IFERROR(AVERAGE(_xlfn._xlws.FILTER(T$2:T$1073,($C$2:$C$1073=$C478)*($E$2:$E$1073=$E478)*(ROW(T$2:T$1073)&lt;&gt;ROW(T478))*(T$2:T$1073&lt;&gt;""))),"")</f>
        <v>-3.1112712123680317E-2</v>
      </c>
      <c r="AC478" cm="1">
        <f t="array" ref="AC478">IFERROR(AVERAGE(_xlfn._xlws.FILTER(U$2:U$1073,($C$2:$C$1073=$C478)*($E$2:$E$1073=$E478)*(ROW(U$2:U$1073)&lt;&gt;ROW(U478))*(U$2:U$1073&lt;&gt;""))),"")</f>
        <v>3.1129341153479797</v>
      </c>
      <c r="AD478" cm="1">
        <f t="array" ref="AD478">IFERROR(AVERAGE(_xlfn._xlws.FILTER(V$2:V$1073,($C$2:$C$1073=$C478)*($E$2:$E$1073=$E478)*(ROW(V$2:V$1073)&lt;&gt;ROW(V478))*(V$2:V$1073&lt;&gt;""))),"")</f>
        <v>0.56351738501340309</v>
      </c>
      <c r="AE478">
        <f>IF('Дивиденды по годам'!M478&lt;0,1,0)</f>
        <v>0</v>
      </c>
    </row>
    <row r="479" spans="1:31" x14ac:dyDescent="0.2">
      <c r="A479" s="7" t="s">
        <v>2240</v>
      </c>
      <c r="B479" t="str">
        <f t="shared" si="77"/>
        <v>SELG IV кв. 2012</v>
      </c>
      <c r="C479">
        <v>2012</v>
      </c>
      <c r="D479">
        <f>SUMIFS(Дивиденды!$C:$C,Дивиденды!$A:$A,A479,Дивиденды!$I:$I,C479)</f>
        <v>0</v>
      </c>
      <c r="E479">
        <v>3</v>
      </c>
      <c r="F479">
        <f t="shared" si="78"/>
        <v>0</v>
      </c>
      <c r="G479">
        <f t="shared" si="79"/>
        <v>2.1309999999999998</v>
      </c>
      <c r="H479">
        <f t="shared" si="80"/>
        <v>0</v>
      </c>
      <c r="I479">
        <f t="shared" si="81"/>
        <v>0.6</v>
      </c>
      <c r="J479">
        <f t="shared" si="82"/>
        <v>-1</v>
      </c>
      <c r="K479">
        <f t="shared" si="87"/>
        <v>-8.4000436197696815E-2</v>
      </c>
      <c r="L479">
        <f t="shared" si="83"/>
        <v>0</v>
      </c>
      <c r="M479">
        <f t="shared" si="84"/>
        <v>0.3</v>
      </c>
      <c r="N479">
        <f t="shared" si="85"/>
        <v>1</v>
      </c>
      <c r="O479">
        <f t="shared" si="86"/>
        <v>0.5</v>
      </c>
      <c r="P479" t="str">
        <f>IFERROR(LN('Дивиденды по годам'!I479),"")</f>
        <v/>
      </c>
      <c r="Q479" t="str">
        <f>IFERROR('Дивиденды по годам'!G479/'Дивиденды по годам'!I479, "")</f>
        <v/>
      </c>
      <c r="R479" t="str">
        <f>IFERROR(IF(AND('Дивиденды по годам'!N479&lt;&gt;"",'Дивиденды по годам'!U479&lt;&gt;"",'Дивиденды по годам'!U479&lt;&gt;0),'Дивиденды по годам'!N479/'Дивиденды по годам'!U479-1,""),"")</f>
        <v/>
      </c>
      <c r="S479" t="str">
        <f>IFERROR(IF(AND('Дивиденды по годам'!L479&lt;&gt;"",'Дивиденды по годам'!I479&lt;&gt;"",'Дивиденды по годам'!J479&lt;&gt;"",'Дивиденды по годам'!K479&lt;&gt;"",('Дивиденды по годам'!I479-'Дивиденды по годам'!J479-'Дивиденды по годам'!K479)&lt;&gt;0),'Дивиденды по годам'!L479/('Дивиденды по годам'!I479-'Дивиденды по годам'!J479-'Дивиденды по годам'!K479),""),"")</f>
        <v/>
      </c>
      <c r="T479" t="str">
        <f>IFERROR(IF(AND('Дивиденды по годам'!Q479&lt;&gt;"",'Дивиденды по годам'!I479&lt;&gt;"",'Дивиденды по годам'!V479&lt;&gt;"",('Дивиденды по годам'!I479+'Дивиденды по годам'!V479)&lt;&gt;0),'Дивиденды по годам'!Q479/(('Дивиденды по годам'!I479+'Дивиденды по годам'!V479)/2),""),"")</f>
        <v/>
      </c>
      <c r="U479" t="str">
        <f>IFERROR(IF(AND('Дивиденды по годам'!J479&lt;&gt;"",'Дивиденды по годам'!K479&lt;&gt;"",'Дивиденды по годам'!M479&lt;&gt;"",'Дивиденды по годам'!M479&lt;&gt;0),('Дивиденды по годам'!J479+'Дивиденды по годам'!K479)/'Дивиденды по годам'!M479,""),"")</f>
        <v/>
      </c>
      <c r="V479" t="str">
        <f>IFERROR(IF(AND('Дивиденды по годам'!J479&lt;&gt;"",'Дивиденды по годам'!K479&lt;&gt;"",'Дивиденды по годам'!M479&lt;&gt;"",'Дивиденды по годам'!I479&lt;&gt;0),('Дивиденды по годам'!J479+'Дивиденды по годам'!K479)/'Дивиденды по годам'!I479,""),"")</f>
        <v/>
      </c>
      <c r="W479" t="str">
        <f>IFERROR('Дивиденды по годам'!I479,"")</f>
        <v/>
      </c>
      <c r="X479" cm="1">
        <f t="array" ref="X479">IFERROR(AVERAGE(_xlfn._xlws.FILTER(P$2:P$1073,($C$2:$C$1073=$C479)*($E$2:$E$1073=$E479)*(ROW(P$2:P$1073)&lt;&gt;ROW(P479))*(P$2:P$1073&lt;&gt;""))),"")</f>
        <v>26.7103297110745</v>
      </c>
      <c r="Y479" cm="1">
        <f t="array" ref="Y479">IFERROR(AVERAGE(_xlfn._xlws.FILTER(Q$2:Q$1073,($C$2:$C$1073=$C479)*($E$2:$E$1073=$E479)*(ROW(Q$2:Q$1073)&lt;&gt;ROW(Q479))*(Q$2:Q$1073&lt;&gt;""))),"")</f>
        <v>0.50230860939381883</v>
      </c>
      <c r="Z479" cm="1">
        <f t="array" ref="Z479">IFERROR(AVERAGE(_xlfn._xlws.FILTER(R$2:R$1073,($C$2:$C$1073=$C479)*($E$2:$E$1073=$E479)*(ROW(R$2:R$1073)&lt;&gt;ROW(R479))*(R$2:R$1073&lt;&gt;""))),"")</f>
        <v>-1.7108975872326404E-3</v>
      </c>
      <c r="AA479" t="str" cm="1">
        <f t="array" ref="AA479">IFERROR(AVERAGE(_xlfn._xlws.FILTER(S$2:S$1073,($C$2:$C$1073=$C479)*($E$2:$E$1073=$E479)*(ROW(S$2:S$1073)&lt;&gt;ROW(S479))*(S$2:S$1073&lt;&gt;""))),"")</f>
        <v/>
      </c>
      <c r="AB479" cm="1">
        <f t="array" ref="AB479">IFERROR(AVERAGE(_xlfn._xlws.FILTER(T$2:T$1073,($C$2:$C$1073=$C479)*($E$2:$E$1073=$E479)*(ROW(T$2:T$1073)&lt;&gt;ROW(T479))*(T$2:T$1073&lt;&gt;""))),"")</f>
        <v>4.9772862648443709E-2</v>
      </c>
      <c r="AC479" cm="1">
        <f t="array" ref="AC479">IFERROR(AVERAGE(_xlfn._xlws.FILTER(U$2:U$1073,($C$2:$C$1073=$C479)*($E$2:$E$1073=$E479)*(ROW(U$2:U$1073)&lt;&gt;ROW(U479))*(U$2:U$1073&lt;&gt;""))),"")</f>
        <v>1.370836897515491</v>
      </c>
      <c r="AD479" cm="1">
        <f t="array" ref="AD479">IFERROR(AVERAGE(_xlfn._xlws.FILTER(V$2:V$1073,($C$2:$C$1073=$C479)*($E$2:$E$1073=$E479)*(ROW(V$2:V$1073)&lt;&gt;ROW(V479))*(V$2:V$1073&lt;&gt;""))),"")</f>
        <v>0.4384636527471108</v>
      </c>
      <c r="AE479">
        <f>IF('Дивиденды по годам'!M479&lt;0,1,0)</f>
        <v>0</v>
      </c>
    </row>
    <row r="480" spans="1:31" x14ac:dyDescent="0.2">
      <c r="A480" s="7" t="s">
        <v>2240</v>
      </c>
      <c r="B480" t="str">
        <f t="shared" si="77"/>
        <v>SELG IV кв. 2011</v>
      </c>
      <c r="C480">
        <v>2011</v>
      </c>
      <c r="D480">
        <f>SUMIFS(Дивиденды!$C:$C,Дивиденды!$A:$A,A480,Дивиденды!$I:$I,C480)</f>
        <v>0.15</v>
      </c>
      <c r="E480">
        <v>3</v>
      </c>
      <c r="F480">
        <f t="shared" si="78"/>
        <v>0.15</v>
      </c>
      <c r="G480">
        <f t="shared" si="79"/>
        <v>3.7509999999999999</v>
      </c>
      <c r="H480">
        <f t="shared" si="80"/>
        <v>1</v>
      </c>
      <c r="I480">
        <f t="shared" si="81"/>
        <v>0.7</v>
      </c>
      <c r="J480">
        <f t="shared" si="82"/>
        <v>1</v>
      </c>
      <c r="K480">
        <f t="shared" si="87"/>
        <v>0.68130568048052598</v>
      </c>
      <c r="L480">
        <f t="shared" si="83"/>
        <v>1</v>
      </c>
      <c r="M480">
        <f t="shared" si="84"/>
        <v>0.5</v>
      </c>
      <c r="N480">
        <f t="shared" si="85"/>
        <v>0</v>
      </c>
      <c r="O480">
        <f t="shared" si="86"/>
        <v>0.3</v>
      </c>
      <c r="P480" t="str">
        <f>IFERROR(LN('Дивиденды по годам'!I480),"")</f>
        <v/>
      </c>
      <c r="Q480" t="str">
        <f>IFERROR('Дивиденды по годам'!G480/'Дивиденды по годам'!I480, "")</f>
        <v/>
      </c>
      <c r="R480" t="str">
        <f>IFERROR(IF(AND('Дивиденды по годам'!N480&lt;&gt;"",'Дивиденды по годам'!U480&lt;&gt;"",'Дивиденды по годам'!U480&lt;&gt;0),'Дивиденды по годам'!N480/'Дивиденды по годам'!U480-1,""),"")</f>
        <v/>
      </c>
      <c r="S480" t="str">
        <f>IFERROR(IF(AND('Дивиденды по годам'!L480&lt;&gt;"",'Дивиденды по годам'!I480&lt;&gt;"",'Дивиденды по годам'!J480&lt;&gt;"",'Дивиденды по годам'!K480&lt;&gt;"",('Дивиденды по годам'!I480-'Дивиденды по годам'!J480-'Дивиденды по годам'!K480)&lt;&gt;0),'Дивиденды по годам'!L480/('Дивиденды по годам'!I480-'Дивиденды по годам'!J480-'Дивиденды по годам'!K480),""),"")</f>
        <v/>
      </c>
      <c r="T480" t="str">
        <f>IFERROR(IF(AND('Дивиденды по годам'!Q480&lt;&gt;"",'Дивиденды по годам'!I480&lt;&gt;"",'Дивиденды по годам'!V480&lt;&gt;"",('Дивиденды по годам'!I480+'Дивиденды по годам'!V480)&lt;&gt;0),'Дивиденды по годам'!Q480/(('Дивиденды по годам'!I480+'Дивиденды по годам'!V480)/2),""),"")</f>
        <v/>
      </c>
      <c r="U480" t="str">
        <f>IFERROR(IF(AND('Дивиденды по годам'!J480&lt;&gt;"",'Дивиденды по годам'!K480&lt;&gt;"",'Дивиденды по годам'!M480&lt;&gt;"",'Дивиденды по годам'!M480&lt;&gt;0),('Дивиденды по годам'!J480+'Дивиденды по годам'!K480)/'Дивиденды по годам'!M480,""),"")</f>
        <v/>
      </c>
      <c r="V480" t="str">
        <f>IFERROR(IF(AND('Дивиденды по годам'!J480&lt;&gt;"",'Дивиденды по годам'!K480&lt;&gt;"",'Дивиденды по годам'!M480&lt;&gt;"",'Дивиденды по годам'!I480&lt;&gt;0),('Дивиденды по годам'!J480+'Дивиденды по годам'!K480)/'Дивиденды по годам'!I480,""),"")</f>
        <v/>
      </c>
      <c r="W480" t="str">
        <f>IFERROR('Дивиденды по годам'!I480,"")</f>
        <v/>
      </c>
      <c r="X480" cm="1">
        <f t="array" ref="X480">IFERROR(AVERAGE(_xlfn._xlws.FILTER(P$2:P$1073,($C$2:$C$1073=$C480)*($E$2:$E$1073=$E480)*(ROW(P$2:P$1073)&lt;&gt;ROW(P480))*(P$2:P$1073&lt;&gt;""))),"")</f>
        <v>26.435590628703217</v>
      </c>
      <c r="Y480" cm="1">
        <f t="array" ref="Y480">IFERROR(AVERAGE(_xlfn._xlws.FILTER(Q$2:Q$1073,($C$2:$C$1073=$C480)*($E$2:$E$1073=$E480)*(ROW(Q$2:Q$1073)&lt;&gt;ROW(Q480))*(Q$2:Q$1073&lt;&gt;""))),"")</f>
        <v>0.56952165046998604</v>
      </c>
      <c r="Z480" cm="1">
        <f t="array" ref="Z480">IFERROR(AVERAGE(_xlfn._xlws.FILTER(R$2:R$1073,($C$2:$C$1073=$C480)*($E$2:$E$1073=$E480)*(ROW(R$2:R$1073)&lt;&gt;ROW(R480))*(R$2:R$1073&lt;&gt;""))),"")</f>
        <v>0.21463216748681591</v>
      </c>
      <c r="AA480" t="str" cm="1">
        <f t="array" ref="AA480">IFERROR(AVERAGE(_xlfn._xlws.FILTER(S$2:S$1073,($C$2:$C$1073=$C480)*($E$2:$E$1073=$E480)*(ROW(S$2:S$1073)&lt;&gt;ROW(S480))*(S$2:S$1073&lt;&gt;""))),"")</f>
        <v/>
      </c>
      <c r="AB480" cm="1">
        <f t="array" ref="AB480">IFERROR(AVERAGE(_xlfn._xlws.FILTER(T$2:T$1073,($C$2:$C$1073=$C480)*($E$2:$E$1073=$E480)*(ROW(T$2:T$1073)&lt;&gt;ROW(T480))*(T$2:T$1073&lt;&gt;""))),"")</f>
        <v>0.11505618365484008</v>
      </c>
      <c r="AC480" cm="1">
        <f t="array" ref="AC480">IFERROR(AVERAGE(_xlfn._xlws.FILTER(U$2:U$1073,($C$2:$C$1073=$C480)*($E$2:$E$1073=$E480)*(ROW(U$2:U$1073)&lt;&gt;ROW(U480))*(U$2:U$1073&lt;&gt;""))),"")</f>
        <v>1.1128563967031604</v>
      </c>
      <c r="AD480" cm="1">
        <f t="array" ref="AD480">IFERROR(AVERAGE(_xlfn._xlws.FILTER(V$2:V$1073,($C$2:$C$1073=$C480)*($E$2:$E$1073=$E480)*(ROW(V$2:V$1073)&lt;&gt;ROW(V480))*(V$2:V$1073&lt;&gt;""))),"")</f>
        <v>0.50060591818639988</v>
      </c>
      <c r="AE480">
        <f>IF('Дивиденды по годам'!M480&lt;0,1,0)</f>
        <v>0</v>
      </c>
    </row>
    <row r="481" spans="1:31" x14ac:dyDescent="0.2">
      <c r="A481" s="7" t="s">
        <v>2240</v>
      </c>
      <c r="B481" t="str">
        <f t="shared" si="77"/>
        <v>SELG IV кв. 2010</v>
      </c>
      <c r="C481">
        <v>2010</v>
      </c>
      <c r="D481">
        <f>SUMIFS(Дивиденды!$C:$C,Дивиденды!$A:$A,A481,Дивиденды!$I:$I,C481)</f>
        <v>0</v>
      </c>
      <c r="E481">
        <v>3</v>
      </c>
      <c r="F481">
        <f t="shared" si="78"/>
        <v>0</v>
      </c>
      <c r="G481">
        <f t="shared" si="79"/>
        <v>3.0789999999999997</v>
      </c>
      <c r="H481">
        <f t="shared" si="80"/>
        <v>0</v>
      </c>
      <c r="I481">
        <f t="shared" si="81"/>
        <v>0.7</v>
      </c>
      <c r="J481" t="str">
        <f t="shared" si="82"/>
        <v/>
      </c>
      <c r="K481" t="str">
        <f t="shared" si="87"/>
        <v/>
      </c>
      <c r="L481" t="str">
        <f t="shared" si="83"/>
        <v/>
      </c>
      <c r="M481" t="str">
        <f t="shared" si="84"/>
        <v/>
      </c>
      <c r="N481" t="str">
        <f t="shared" si="85"/>
        <v/>
      </c>
      <c r="O481" t="str">
        <f t="shared" si="86"/>
        <v/>
      </c>
      <c r="P481" t="str">
        <f>IFERROR(LN('Дивиденды по годам'!I481),"")</f>
        <v/>
      </c>
      <c r="Q481" t="str">
        <f>IFERROR('Дивиденды по годам'!G481/'Дивиденды по годам'!I481, "")</f>
        <v/>
      </c>
      <c r="R481" t="str">
        <f>IFERROR(IF(AND('Дивиденды по годам'!N481&lt;&gt;"",'Дивиденды по годам'!U481&lt;&gt;"",'Дивиденды по годам'!U481&lt;&gt;0),'Дивиденды по годам'!N481/'Дивиденды по годам'!U481-1,""),"")</f>
        <v/>
      </c>
      <c r="S481" t="str">
        <f>IFERROR(IF(AND('Дивиденды по годам'!L481&lt;&gt;"",'Дивиденды по годам'!I481&lt;&gt;"",'Дивиденды по годам'!J481&lt;&gt;"",'Дивиденды по годам'!K481&lt;&gt;"",('Дивиденды по годам'!I481-'Дивиденды по годам'!J481-'Дивиденды по годам'!K481)&lt;&gt;0),'Дивиденды по годам'!L481/('Дивиденды по годам'!I481-'Дивиденды по годам'!J481-'Дивиденды по годам'!K481),""),"")</f>
        <v/>
      </c>
      <c r="T481" t="str">
        <f>IFERROR(IF(AND('Дивиденды по годам'!Q481&lt;&gt;"",'Дивиденды по годам'!I481&lt;&gt;"",'Дивиденды по годам'!V481&lt;&gt;"",('Дивиденды по годам'!I481+'Дивиденды по годам'!V481)&lt;&gt;0),'Дивиденды по годам'!Q481/(('Дивиденды по годам'!I481+'Дивиденды по годам'!V481)/2),""),"")</f>
        <v/>
      </c>
      <c r="U481" t="str">
        <f>IFERROR(IF(AND('Дивиденды по годам'!J481&lt;&gt;"",'Дивиденды по годам'!K481&lt;&gt;"",'Дивиденды по годам'!M481&lt;&gt;"",'Дивиденды по годам'!M481&lt;&gt;0),('Дивиденды по годам'!J481+'Дивиденды по годам'!K481)/'Дивиденды по годам'!M481,""),"")</f>
        <v/>
      </c>
      <c r="V481" t="str">
        <f>IFERROR(IF(AND('Дивиденды по годам'!J481&lt;&gt;"",'Дивиденды по годам'!K481&lt;&gt;"",'Дивиденды по годам'!M481&lt;&gt;"",'Дивиденды по годам'!I481&lt;&gt;0),('Дивиденды по годам'!J481+'Дивиденды по годам'!K481)/'Дивиденды по годам'!I481,""),"")</f>
        <v/>
      </c>
      <c r="W481" t="str">
        <f>IFERROR('Дивиденды по годам'!I481,"")</f>
        <v/>
      </c>
      <c r="X481" cm="1">
        <f t="array" ref="X481">IFERROR(AVERAGE(_xlfn._xlws.FILTER(P$2:P$1073,($C$2:$C$1073=$C481)*($E$2:$E$1073=$E481)*(ROW(P$2:P$1073)&lt;&gt;ROW(P481))*(P$2:P$1073&lt;&gt;""))),"")</f>
        <v>26.127864794831805</v>
      </c>
      <c r="Y481" cm="1">
        <f t="array" ref="Y481">IFERROR(AVERAGE(_xlfn._xlws.FILTER(Q$2:Q$1073,($C$2:$C$1073=$C481)*($E$2:$E$1073=$E481)*(ROW(Q$2:Q$1073)&lt;&gt;ROW(Q481))*(Q$2:Q$1073&lt;&gt;""))),"")</f>
        <v>0.75539390451698762</v>
      </c>
      <c r="Z481" t="str" cm="1">
        <f t="array" ref="Z481">IFERROR(AVERAGE(_xlfn._xlws.FILTER(R$2:R$1073,($C$2:$C$1073=$C481)*($E$2:$E$1073=$E481)*(ROW(R$2:R$1073)&lt;&gt;ROW(R481))*(R$2:R$1073&lt;&gt;""))),"")</f>
        <v/>
      </c>
      <c r="AA481" t="str" cm="1">
        <f t="array" ref="AA481">IFERROR(AVERAGE(_xlfn._xlws.FILTER(S$2:S$1073,($C$2:$C$1073=$C481)*($E$2:$E$1073=$E481)*(ROW(S$2:S$1073)&lt;&gt;ROW(S481))*(S$2:S$1073&lt;&gt;""))),"")</f>
        <v/>
      </c>
      <c r="AB481" t="str" cm="1">
        <f t="array" ref="AB481">IFERROR(AVERAGE(_xlfn._xlws.FILTER(T$2:T$1073,($C$2:$C$1073=$C481)*($E$2:$E$1073=$E481)*(ROW(T$2:T$1073)&lt;&gt;ROW(T481))*(T$2:T$1073&lt;&gt;""))),"")</f>
        <v/>
      </c>
      <c r="AC481" cm="1">
        <f t="array" ref="AC481">IFERROR(AVERAGE(_xlfn._xlws.FILTER(U$2:U$1073,($C$2:$C$1073=$C481)*($E$2:$E$1073=$E481)*(ROW(U$2:U$1073)&lt;&gt;ROW(U481))*(U$2:U$1073&lt;&gt;""))),"")</f>
        <v>1.4017600691070078</v>
      </c>
      <c r="AD481" cm="1">
        <f t="array" ref="AD481">IFERROR(AVERAGE(_xlfn._xlws.FILTER(V$2:V$1073,($C$2:$C$1073=$C481)*($E$2:$E$1073=$E481)*(ROW(V$2:V$1073)&lt;&gt;ROW(V481))*(V$2:V$1073&lt;&gt;""))),"")</f>
        <v>0.58363867695918215</v>
      </c>
      <c r="AE481">
        <f>IF('Дивиденды по годам'!M481&lt;0,1,0)</f>
        <v>0</v>
      </c>
    </row>
    <row r="482" spans="1:31" x14ac:dyDescent="0.2">
      <c r="A482" s="7" t="s">
        <v>2242</v>
      </c>
      <c r="B482" t="str">
        <f t="shared" si="77"/>
        <v>TRMK IV кв. 2025</v>
      </c>
      <c r="C482">
        <v>2025</v>
      </c>
      <c r="D482">
        <f>SUMIFS(Дивиденды!$C:$C,Дивиденды!$A:$A,A482,Дивиденды!$I:$I,C482)</f>
        <v>0</v>
      </c>
      <c r="E482">
        <v>3</v>
      </c>
      <c r="F482">
        <f t="shared" si="78"/>
        <v>0</v>
      </c>
      <c r="G482">
        <f t="shared" si="79"/>
        <v>10.684999999999999</v>
      </c>
      <c r="H482">
        <f t="shared" si="80"/>
        <v>0</v>
      </c>
      <c r="I482">
        <f t="shared" si="81"/>
        <v>0.1</v>
      </c>
      <c r="J482">
        <f t="shared" si="82"/>
        <v>0</v>
      </c>
      <c r="K482">
        <f t="shared" si="87"/>
        <v>-0.44741116251599566</v>
      </c>
      <c r="L482">
        <f t="shared" si="83"/>
        <v>0</v>
      </c>
      <c r="M482">
        <f t="shared" si="84"/>
        <v>0</v>
      </c>
      <c r="N482">
        <f t="shared" si="85"/>
        <v>0</v>
      </c>
      <c r="O482">
        <f t="shared" si="86"/>
        <v>0.5</v>
      </c>
      <c r="P482">
        <f>IFERROR(LN('Дивиденды по годам'!I482),"")</f>
        <v>27.114340049133929</v>
      </c>
      <c r="Q482">
        <f>IFERROR('Дивиденды по годам'!G482/'Дивиденды по годам'!I482, "")</f>
        <v>0.38634393802483502</v>
      </c>
      <c r="R482">
        <f>IFERROR(IF(AND('Дивиденды по годам'!N482&lt;&gt;"",'Дивиденды по годам'!U482&lt;&gt;"",'Дивиденды по годам'!U482&lt;&gt;0),'Дивиденды по годам'!N482/'Дивиденды по годам'!U482-1,""),"")</f>
        <v>-0.24016235566036848</v>
      </c>
      <c r="S482">
        <f>IFERROR(IF(AND('Дивиденды по годам'!L482&lt;&gt;"",'Дивиденды по годам'!I482&lt;&gt;"",'Дивиденды по годам'!J482&lt;&gt;"",'Дивиденды по годам'!K482&lt;&gt;"",('Дивиденды по годам'!I482-'Дивиденды по годам'!J482-'Дивиденды по годам'!K482)&lt;&gt;0),'Дивиденды по годам'!L482/('Дивиденды по годам'!I482-'Дивиденды по годам'!J482-'Дивиденды по годам'!K482),""),"")</f>
        <v>7.5684133022456745E-2</v>
      </c>
      <c r="T482">
        <f>IFERROR(IF(AND('Дивиденды по годам'!Q482&lt;&gt;"",'Дивиденды по годам'!I482&lt;&gt;"",'Дивиденды по годам'!V482&lt;&gt;"",('Дивиденды по годам'!I482+'Дивиденды по годам'!V482)&lt;&gt;0),'Дивиденды по годам'!Q482/(('Дивиденды по годам'!I482+'Дивиденды по годам'!V482)/2),""),"")</f>
        <v>-3.7936730752824936E-2</v>
      </c>
      <c r="U482">
        <f>IFERROR(IF(AND('Дивиденды по годам'!J482&lt;&gt;"",'Дивиденды по годам'!K482&lt;&gt;"",'Дивиденды по годам'!M482&lt;&gt;"",'Дивиденды по годам'!M482&lt;&gt;0),('Дивиденды по годам'!J482+'Дивиденды по годам'!K482)/'Дивиденды по годам'!M482,""),"")</f>
        <v>17.299699349613448</v>
      </c>
      <c r="V482">
        <f>IFERROR(IF(AND('Дивиденды по годам'!J482&lt;&gt;"",'Дивиденды по годам'!K482&lt;&gt;"",'Дивиденды по годам'!M482&lt;&gt;"",'Дивиденды по годам'!I482&lt;&gt;0),('Дивиденды по годам'!J482+'Дивиденды по годам'!K482)/'Дивиденды по годам'!I482,""),"")</f>
        <v>0.94535429348345423</v>
      </c>
      <c r="W482">
        <f>IFERROR('Дивиденды по годам'!I482,"")</f>
        <v>596497000000</v>
      </c>
      <c r="X482" cm="1">
        <f t="array" ref="X482">IFERROR(AVERAGE(_xlfn._xlws.FILTER(P$2:P$1073,($C$2:$C$1073=$C482)*($E$2:$E$1073=$E482)*(ROW(P$2:P$1073)&lt;&gt;ROW(P482))*(P$2:P$1073&lt;&gt;""))),"")</f>
        <v>27.584827865112764</v>
      </c>
      <c r="Y482" cm="1">
        <f t="array" ref="Y482">IFERROR(AVERAGE(_xlfn._xlws.FILTER(Q$2:Q$1073,($C$2:$C$1073=$C482)*($E$2:$E$1073=$E482)*(ROW(Q$2:Q$1073)&lt;&gt;ROW(Q482))*(Q$2:Q$1073&lt;&gt;""))),"")</f>
        <v>0.54952959346915153</v>
      </c>
      <c r="Z482" cm="1">
        <f t="array" ref="Z482">IFERROR(AVERAGE(_xlfn._xlws.FILTER(R$2:R$1073,($C$2:$C$1073=$C482)*($E$2:$E$1073=$E482)*(ROW(R$2:R$1073)&lt;&gt;ROW(R482))*(R$2:R$1073&lt;&gt;""))),"")</f>
        <v>-7.2773076293368058E-2</v>
      </c>
      <c r="AA482" cm="1">
        <f t="array" ref="AA482">IFERROR(AVERAGE(_xlfn._xlws.FILTER(S$2:S$1073,($C$2:$C$1073=$C482)*($E$2:$E$1073=$E482)*(ROW(S$2:S$1073)&lt;&gt;ROW(S482))*(S$2:S$1073&lt;&gt;""))),"")</f>
        <v>1.1171008677944434</v>
      </c>
      <c r="AB482" cm="1">
        <f t="array" ref="AB482">IFERROR(AVERAGE(_xlfn._xlws.FILTER(T$2:T$1073,($C$2:$C$1073=$C482)*($E$2:$E$1073=$E482)*(ROW(T$2:T$1073)&lt;&gt;ROW(T482))*(T$2:T$1073&lt;&gt;""))),"")</f>
        <v>2.2636374725145118E-2</v>
      </c>
      <c r="AC482" cm="1">
        <f t="array" ref="AC482">IFERROR(AVERAGE(_xlfn._xlws.FILTER(U$2:U$1073,($C$2:$C$1073=$C482)*($E$2:$E$1073=$E482)*(ROW(U$2:U$1073)&lt;&gt;ROW(U482))*(U$2:U$1073&lt;&gt;""))),"")</f>
        <v>1.1707661287837048</v>
      </c>
      <c r="AD482" cm="1">
        <f t="array" ref="AD482">IFERROR(AVERAGE(_xlfn._xlws.FILTER(V$2:V$1073,($C$2:$C$1073=$C482)*($E$2:$E$1073=$E482)*(ROW(V$2:V$1073)&lt;&gt;ROW(V482))*(V$2:V$1073&lt;&gt;""))),"")</f>
        <v>0.46440390729360814</v>
      </c>
      <c r="AE482">
        <f>IF('Дивиденды по годам'!M482&lt;0,1,0)</f>
        <v>0</v>
      </c>
    </row>
    <row r="483" spans="1:31" x14ac:dyDescent="0.2">
      <c r="A483" s="7" t="s">
        <v>2242</v>
      </c>
      <c r="B483" t="str">
        <f t="shared" si="77"/>
        <v>TRMK IV кв. 2024</v>
      </c>
      <c r="C483">
        <v>2024</v>
      </c>
      <c r="D483">
        <f>SUMIFS(Дивиденды!$C:$C,Дивиденды!$A:$A,A483,Дивиденды!$I:$I,C483)</f>
        <v>0</v>
      </c>
      <c r="E483">
        <v>3</v>
      </c>
      <c r="F483">
        <f t="shared" si="78"/>
        <v>0</v>
      </c>
      <c r="G483">
        <f t="shared" si="79"/>
        <v>33.058</v>
      </c>
      <c r="H483">
        <f t="shared" si="80"/>
        <v>0</v>
      </c>
      <c r="I483">
        <f t="shared" si="81"/>
        <v>0.5</v>
      </c>
      <c r="J483">
        <f t="shared" si="82"/>
        <v>-1</v>
      </c>
      <c r="K483">
        <f t="shared" si="87"/>
        <v>-0.10461447297899458</v>
      </c>
      <c r="L483">
        <f t="shared" si="83"/>
        <v>0</v>
      </c>
      <c r="M483">
        <f t="shared" si="84"/>
        <v>0.1</v>
      </c>
      <c r="N483">
        <f t="shared" si="85"/>
        <v>1</v>
      </c>
      <c r="O483">
        <f t="shared" si="86"/>
        <v>0.4</v>
      </c>
      <c r="P483">
        <f>IFERROR(LN('Дивиденды по годам'!I483),"")</f>
        <v>27.264170287129826</v>
      </c>
      <c r="Q483">
        <f>IFERROR('Дивиденды по годам'!G483/'Дивиденды по годам'!I483, "")</f>
        <v>0.34136897417136064</v>
      </c>
      <c r="R483">
        <f>IFERROR(IF(AND('Дивиденды по годам'!N483&lt;&gt;"",'Дивиденды по годам'!U483&lt;&gt;"",'Дивиденды по годам'!U483&lt;&gt;0),'Дивиденды по годам'!N483/'Дивиденды по годам'!U483-1,""),"")</f>
        <v>-2.2231817221390338E-2</v>
      </c>
      <c r="S483">
        <f>IFERROR(IF(AND('Дивиденды по годам'!L483&lt;&gt;"",'Дивиденды по годам'!I483&lt;&gt;"",'Дивиденды по годам'!J483&lt;&gt;"",'Дивиденды по годам'!K483&lt;&gt;"",('Дивиденды по годам'!I483-'Дивиденды по годам'!J483-'Дивиденды по годам'!K483)&lt;&gt;0),'Дивиденды по годам'!L483/('Дивиденды по годам'!I483-'Дивиденды по годам'!J483-'Дивиденды по годам'!K483),""),"")</f>
        <v>0.41174004192872116</v>
      </c>
      <c r="T483">
        <f>IFERROR(IF(AND('Дивиденды по годам'!Q483&lt;&gt;"",'Дивиденды по годам'!I483&lt;&gt;"",'Дивиденды по годам'!V483&lt;&gt;"",('Дивиденды по годам'!I483+'Дивиденды по годам'!V483)&lt;&gt;0),'Дивиденды по годам'!Q483/(('Дивиденды по годам'!I483+'Дивиденды по годам'!V483)/2),""),"")</f>
        <v>-4.3400034591054688E-2</v>
      </c>
      <c r="U483">
        <f>IFERROR(IF(AND('Дивиденды по годам'!J483&lt;&gt;"",'Дивиденды по годам'!K483&lt;&gt;"",'Дивиденды по годам'!M483&lt;&gt;"",'Дивиденды по годам'!M483&lt;&gt;0),('Дивиденды по годам'!J483+'Дивиденды по годам'!K483)/'Дивиденды по годам'!M483,""),"")</f>
        <v>11.105398322851153</v>
      </c>
      <c r="V483">
        <f>IFERROR(IF(AND('Дивиденды по годам'!J483&lt;&gt;"",'Дивиденды по годам'!K483&lt;&gt;"",'Дивиденды по годам'!M483&lt;&gt;"",'Дивиденды по годам'!I483&lt;&gt;0),('Дивиденды по годам'!J483+'Дивиденды по годам'!K483)/'Дивиденды по годам'!I483,""),"")</f>
        <v>0.91739222672976262</v>
      </c>
      <c r="W483">
        <f>IFERROR('Дивиденды по годам'!I483,"")</f>
        <v>692913000000</v>
      </c>
      <c r="X483" cm="1">
        <f t="array" ref="X483">IFERROR(AVERAGE(_xlfn._xlws.FILTER(P$2:P$1073,($C$2:$C$1073=$C483)*($E$2:$E$1073=$E483)*(ROW(P$2:P$1073)&lt;&gt;ROW(P483))*(P$2:P$1073&lt;&gt;""))),"")</f>
        <v>27.284742056409279</v>
      </c>
      <c r="Y483" cm="1">
        <f t="array" ref="Y483">IFERROR(AVERAGE(_xlfn._xlws.FILTER(Q$2:Q$1073,($C$2:$C$1073=$C483)*($E$2:$E$1073=$E483)*(ROW(Q$2:Q$1073)&lt;&gt;ROW(Q483))*(Q$2:Q$1073&lt;&gt;""))),"")</f>
        <v>0.49401598374758127</v>
      </c>
      <c r="Z483" cm="1">
        <f t="array" ref="Z483">IFERROR(AVERAGE(_xlfn._xlws.FILTER(R$2:R$1073,($C$2:$C$1073=$C483)*($E$2:$E$1073=$E483)*(ROW(R$2:R$1073)&lt;&gt;ROW(R483))*(R$2:R$1073&lt;&gt;""))),"")</f>
        <v>3.0034291563430036E-2</v>
      </c>
      <c r="AA483" cm="1">
        <f t="array" ref="AA483">IFERROR(AVERAGE(_xlfn._xlws.FILTER(S$2:S$1073,($C$2:$C$1073=$C483)*($E$2:$E$1073=$E483)*(ROW(S$2:S$1073)&lt;&gt;ROW(S483))*(S$2:S$1073&lt;&gt;""))),"")</f>
        <v>1.2487127535084959</v>
      </c>
      <c r="AB483" cm="1">
        <f t="array" ref="AB483">IFERROR(AVERAGE(_xlfn._xlws.FILTER(T$2:T$1073,($C$2:$C$1073=$C483)*($E$2:$E$1073=$E483)*(ROW(T$2:T$1073)&lt;&gt;ROW(T483))*(T$2:T$1073&lt;&gt;""))),"")</f>
        <v>5.4415754468949452E-2</v>
      </c>
      <c r="AC483" cm="1">
        <f t="array" ref="AC483">IFERROR(AVERAGE(_xlfn._xlws.FILTER(U$2:U$1073,($C$2:$C$1073=$C483)*($E$2:$E$1073=$E483)*(ROW(U$2:U$1073)&lt;&gt;ROW(U483))*(U$2:U$1073&lt;&gt;""))),"")</f>
        <v>1.7106797837921004</v>
      </c>
      <c r="AD483" cm="1">
        <f t="array" ref="AD483">IFERROR(AVERAGE(_xlfn._xlws.FILTER(V$2:V$1073,($C$2:$C$1073=$C483)*($E$2:$E$1073=$E483)*(ROW(V$2:V$1073)&lt;&gt;ROW(V483))*(V$2:V$1073&lt;&gt;""))),"")</f>
        <v>0.58905514448208018</v>
      </c>
      <c r="AE483">
        <f>IF('Дивиденды по годам'!M483&lt;0,1,0)</f>
        <v>0</v>
      </c>
    </row>
    <row r="484" spans="1:31" x14ac:dyDescent="0.2">
      <c r="A484" s="7" t="s">
        <v>2242</v>
      </c>
      <c r="B484" t="str">
        <f t="shared" si="77"/>
        <v>TRMK IV кв. 2023</v>
      </c>
      <c r="C484">
        <v>2023</v>
      </c>
      <c r="D484">
        <f>SUMIFS(Дивиденды!$C:$C,Дивиденды!$A:$A,A484,Дивиденды!$I:$I,C484)</f>
        <v>22.96</v>
      </c>
      <c r="E484">
        <v>3</v>
      </c>
      <c r="F484">
        <f t="shared" si="78"/>
        <v>22.96</v>
      </c>
      <c r="G484">
        <f t="shared" si="79"/>
        <v>22.948</v>
      </c>
      <c r="H484">
        <f t="shared" si="80"/>
        <v>1</v>
      </c>
      <c r="I484">
        <f t="shared" si="81"/>
        <v>0.5</v>
      </c>
      <c r="J484">
        <f t="shared" si="82"/>
        <v>0.32870370370370366</v>
      </c>
      <c r="K484">
        <f t="shared" si="87"/>
        <v>0.4</v>
      </c>
      <c r="L484">
        <f t="shared" si="83"/>
        <v>1</v>
      </c>
      <c r="M484">
        <f t="shared" si="84"/>
        <v>0.5</v>
      </c>
      <c r="N484">
        <f t="shared" si="85"/>
        <v>0</v>
      </c>
      <c r="O484">
        <f t="shared" si="86"/>
        <v>0.1</v>
      </c>
      <c r="P484">
        <f>IFERROR(LN('Дивиденды по годам'!I484),"")</f>
        <v>27.094662276364286</v>
      </c>
      <c r="Q484">
        <f>IFERROR('Дивиденды по годам'!G484/'Дивиденды по годам'!I484, "")</f>
        <v>0.32384581978340632</v>
      </c>
      <c r="R484">
        <f>IFERROR(IF(AND('Дивиденды по годам'!N484&lt;&gt;"",'Дивиденды по годам'!U484&lt;&gt;"",'Дивиденды по годам'!U484&lt;&gt;0),'Дивиденды по годам'!N484/'Дивиденды по годам'!U484-1,""),"")</f>
        <v>-0.13496825258071954</v>
      </c>
      <c r="S484">
        <f>IFERROR(IF(AND('Дивиденды по годам'!L484&lt;&gt;"",'Дивиденды по годам'!I484&lt;&gt;"",'Дивиденды по годам'!J484&lt;&gt;"",'Дивиденды по годам'!K484&lt;&gt;"",('Дивиденды по годам'!I484-'Дивиденды по годам'!J484-'Дивиденды по годам'!K484)&lt;&gt;0),'Дивиденды по годам'!L484/('Дивиденды по годам'!I484-'Дивиденды по годам'!J484-'Дивиденды по годам'!K484),""),"")</f>
        <v>0.66268422630717072</v>
      </c>
      <c r="T484">
        <f>IFERROR(IF(AND('Дивиденды по годам'!Q484&lt;&gt;"",'Дивиденды по годам'!I484&lt;&gt;"",'Дивиденды по годам'!V484&lt;&gt;"",('Дивиденды по годам'!I484+'Дивиденды по годам'!V484)&lt;&gt;0),'Дивиденды по годам'!Q484/(('Дивиденды по годам'!I484+'Дивиденды по годам'!V484)/2),""),"")</f>
        <v>6.6471054357099643E-2</v>
      </c>
      <c r="U484">
        <f>IFERROR(IF(AND('Дивиденды по годам'!J484&lt;&gt;"",'Дивиденды по годам'!K484&lt;&gt;"",'Дивиденды по годам'!M484&lt;&gt;"",'Дивиденды по годам'!M484&lt;&gt;0),('Дивиденды по годам'!J484+'Дивиденды по годам'!K484)/'Дивиденды по годам'!M484,""),"")</f>
        <v>5.7448624212929857</v>
      </c>
      <c r="V484">
        <f>IFERROR(IF(AND('Дивиденды по годам'!J484&lt;&gt;"",'Дивиденды по годам'!K484&lt;&gt;"",'Дивиденды по годам'!M484&lt;&gt;"",'Дивиденды по годам'!I484&lt;&gt;0),('Дивиденды по годам'!J484+'Дивиденды по годам'!K484)/'Дивиденды по годам'!I484,""),"")</f>
        <v>0.85173900703399363</v>
      </c>
      <c r="W484">
        <f>IFERROR('Дивиденды по годам'!I484,"")</f>
        <v>584874000000</v>
      </c>
      <c r="X484" cm="1">
        <f t="array" ref="X484">IFERROR(AVERAGE(_xlfn._xlws.FILTER(P$2:P$1073,($C$2:$C$1073=$C484)*($E$2:$E$1073=$E484)*(ROW(P$2:P$1073)&lt;&gt;ROW(P484))*(P$2:P$1073&lt;&gt;""))),"")</f>
        <v>27.22246941401578</v>
      </c>
      <c r="Y484" cm="1">
        <f t="array" ref="Y484">IFERROR(AVERAGE(_xlfn._xlws.FILTER(Q$2:Q$1073,($C$2:$C$1073=$C484)*($E$2:$E$1073=$E484)*(ROW(Q$2:Q$1073)&lt;&gt;ROW(Q484))*(Q$2:Q$1073&lt;&gt;""))),"")</f>
        <v>0.46896953635162325</v>
      </c>
      <c r="Z484" cm="1">
        <f t="array" ref="Z484">IFERROR(AVERAGE(_xlfn._xlws.FILTER(R$2:R$1073,($C$2:$C$1073=$C484)*($E$2:$E$1073=$E484)*(ROW(R$2:R$1073)&lt;&gt;ROW(R484))*(R$2:R$1073&lt;&gt;""))),"")</f>
        <v>0.15741981929382393</v>
      </c>
      <c r="AA484" cm="1">
        <f t="array" ref="AA484">IFERROR(AVERAGE(_xlfn._xlws.FILTER(S$2:S$1073,($C$2:$C$1073=$C484)*($E$2:$E$1073=$E484)*(ROW(S$2:S$1073)&lt;&gt;ROW(S484))*(S$2:S$1073&lt;&gt;""))),"")</f>
        <v>8.2165271311979149E-2</v>
      </c>
      <c r="AB484" cm="1">
        <f t="array" ref="AB484">IFERROR(AVERAGE(_xlfn._xlws.FILTER(T$2:T$1073,($C$2:$C$1073=$C484)*($E$2:$E$1073=$E484)*(ROW(T$2:T$1073)&lt;&gt;ROW(T484))*(T$2:T$1073&lt;&gt;""))),"")</f>
        <v>0.12359121905100594</v>
      </c>
      <c r="AC484" cm="1">
        <f t="array" ref="AC484">IFERROR(AVERAGE(_xlfn._xlws.FILTER(U$2:U$1073,($C$2:$C$1073=$C484)*($E$2:$E$1073=$E484)*(ROW(U$2:U$1073)&lt;&gt;ROW(U484))*(U$2:U$1073&lt;&gt;""))),"")</f>
        <v>-1.1876962677437519</v>
      </c>
      <c r="AD484" cm="1">
        <f t="array" ref="AD484">IFERROR(AVERAGE(_xlfn._xlws.FILTER(V$2:V$1073,($C$2:$C$1073=$C484)*($E$2:$E$1073=$E484)*(ROW(V$2:V$1073)&lt;&gt;ROW(V484))*(V$2:V$1073&lt;&gt;""))),"")</f>
        <v>0.57250437248298014</v>
      </c>
      <c r="AE484">
        <f>IF('Дивиденды по годам'!M484&lt;0,1,0)</f>
        <v>0</v>
      </c>
    </row>
    <row r="485" spans="1:31" x14ac:dyDescent="0.2">
      <c r="A485" s="7" t="s">
        <v>2242</v>
      </c>
      <c r="B485" t="str">
        <f t="shared" si="77"/>
        <v>TRMK IV кв. 2022</v>
      </c>
      <c r="C485">
        <v>2022</v>
      </c>
      <c r="D485">
        <f>SUMIFS(Дивиденды!$C:$C,Дивиденды!$A:$A,A485,Дивиденды!$I:$I,C485)</f>
        <v>17.28</v>
      </c>
      <c r="E485">
        <v>3</v>
      </c>
      <c r="F485">
        <f t="shared" si="78"/>
        <v>17.28</v>
      </c>
      <c r="G485">
        <f t="shared" si="79"/>
        <v>2E-3</v>
      </c>
      <c r="H485">
        <f t="shared" si="80"/>
        <v>1</v>
      </c>
      <c r="I485">
        <f t="shared" si="81"/>
        <v>0.1</v>
      </c>
      <c r="J485">
        <f t="shared" si="82"/>
        <v>-2.4280067758328611E-2</v>
      </c>
      <c r="K485">
        <f t="shared" si="87"/>
        <v>-0.6</v>
      </c>
      <c r="L485">
        <f t="shared" si="83"/>
        <v>0</v>
      </c>
      <c r="M485">
        <f t="shared" si="84"/>
        <v>0.1</v>
      </c>
      <c r="N485">
        <f t="shared" si="85"/>
        <v>1</v>
      </c>
      <c r="O485">
        <f t="shared" si="86"/>
        <v>0.7</v>
      </c>
      <c r="P485">
        <f>IFERROR(LN('Дивиденды по годам'!I485),"")</f>
        <v>27.12040047115293</v>
      </c>
      <c r="Q485">
        <f>IFERROR('Дивиденды по годам'!G485/'Дивиденды по годам'!I485, "")</f>
        <v>0.31282087172129713</v>
      </c>
      <c r="R485">
        <f>IFERROR(IF(AND('Дивиденды по годам'!N485&lt;&gt;"",'Дивиденды по годам'!U485&lt;&gt;"",'Дивиденды по годам'!U485&lt;&gt;0),'Дивиденды по годам'!N485/'Дивиденды по годам'!U485-1,""),"")</f>
        <v>0.46669666022504486</v>
      </c>
      <c r="S485">
        <f>IFERROR(IF(AND('Дивиденды по годам'!L485&lt;&gt;"",'Дивиденды по годам'!I485&lt;&gt;"",'Дивиденды по годам'!J485&lt;&gt;"",'Дивиденды по годам'!K485&lt;&gt;"",('Дивиденды по годам'!I485-'Дивиденды по годам'!J485-'Дивиденды по годам'!K485)&lt;&gt;0),'Дивиденды по годам'!L485/('Дивиденды по годам'!I485-'Дивиденды по годам'!J485-'Дивиденды по годам'!K485),""),"")</f>
        <v>0.58687009462334039</v>
      </c>
      <c r="T485">
        <f>IFERROR(IF(AND('Дивиденды по годам'!Q485&lt;&gt;"",'Дивиденды по годам'!I485&lt;&gt;"",'Дивиденды по годам'!V485&lt;&gt;"",('Дивиденды по годам'!I485+'Дивиденды по годам'!V485)&lt;&gt;0),'Дивиденды по годам'!Q485/(('Дивиденды по годам'!I485+'Дивиденды по годам'!V485)/2),""),"")</f>
        <v>6.4770217038696218E-2</v>
      </c>
      <c r="U485">
        <f>IFERROR(IF(AND('Дивиденды по годам'!J485&lt;&gt;"",'Дивиденды по годам'!K485&lt;&gt;"",'Дивиденды по годам'!M485&lt;&gt;"",'Дивиденды по годам'!M485&lt;&gt;0),('Дивиденды по годам'!J485+'Дивиденды по годам'!K485)/'Дивиденды по годам'!M485,""),"")</f>
        <v>7.8039756473263404</v>
      </c>
      <c r="V485">
        <f>IFERROR(IF(AND('Дивиденды по годам'!J485&lt;&gt;"",'Дивиденды по годам'!K485&lt;&gt;"",'Дивиденды по годам'!M485&lt;&gt;"",'Дивиденды по годам'!I485&lt;&gt;0),('Дивиденды по годам'!J485+'Дивиденды по годам'!K485)/'Дивиденды по годам'!I485,""),"")</f>
        <v>0.88641495160158834</v>
      </c>
      <c r="W485">
        <f>IFERROR('Дивиденды по годам'!I485,"")</f>
        <v>600123000000</v>
      </c>
      <c r="X485" cm="1">
        <f t="array" ref="X485">IFERROR(AVERAGE(_xlfn._xlws.FILTER(P$2:P$1073,($C$2:$C$1073=$C485)*($E$2:$E$1073=$E485)*(ROW(P$2:P$1073)&lt;&gt;ROW(P485))*(P$2:P$1073&lt;&gt;""))),"")</f>
        <v>27.07907667156244</v>
      </c>
      <c r="Y485" cm="1">
        <f t="array" ref="Y485">IFERROR(AVERAGE(_xlfn._xlws.FILTER(Q$2:Q$1073,($C$2:$C$1073=$C485)*($E$2:$E$1073=$E485)*(ROW(Q$2:Q$1073)&lt;&gt;ROW(Q485))*(Q$2:Q$1073&lt;&gt;""))),"")</f>
        <v>0.48768288281976468</v>
      </c>
      <c r="Z485" cm="1">
        <f t="array" ref="Z485">IFERROR(AVERAGE(_xlfn._xlws.FILTER(R$2:R$1073,($C$2:$C$1073=$C485)*($E$2:$E$1073=$E485)*(ROW(R$2:R$1073)&lt;&gt;ROW(R485))*(R$2:R$1073&lt;&gt;""))),"")</f>
        <v>-7.0530739483667643E-2</v>
      </c>
      <c r="AA485" cm="1">
        <f t="array" ref="AA485">IFERROR(AVERAGE(_xlfn._xlws.FILTER(S$2:S$1073,($C$2:$C$1073=$C485)*($E$2:$E$1073=$E485)*(ROW(S$2:S$1073)&lt;&gt;ROW(S485))*(S$2:S$1073&lt;&gt;""))),"")</f>
        <v>0.87831143417535085</v>
      </c>
      <c r="AB485" cm="1">
        <f t="array" ref="AB485">IFERROR(AVERAGE(_xlfn._xlws.FILTER(T$2:T$1073,($C$2:$C$1073=$C485)*($E$2:$E$1073=$E485)*(ROW(T$2:T$1073)&lt;&gt;ROW(T485))*(T$2:T$1073&lt;&gt;""))),"")</f>
        <v>0.16805966621143834</v>
      </c>
      <c r="AC485" cm="1">
        <f t="array" ref="AC485">IFERROR(AVERAGE(_xlfn._xlws.FILTER(U$2:U$1073,($C$2:$C$1073=$C485)*($E$2:$E$1073=$E485)*(ROW(U$2:U$1073)&lt;&gt;ROW(U485))*(U$2:U$1073&lt;&gt;""))),"")</f>
        <v>0.48829533766148286</v>
      </c>
      <c r="AD485" cm="1">
        <f t="array" ref="AD485">IFERROR(AVERAGE(_xlfn._xlws.FILTER(V$2:V$1073,($C$2:$C$1073=$C485)*($E$2:$E$1073=$E485)*(ROW(V$2:V$1073)&lt;&gt;ROW(V485))*(V$2:V$1073&lt;&gt;""))),"")</f>
        <v>0.53234629366619546</v>
      </c>
      <c r="AE485">
        <f>IF('Дивиденды по годам'!M485&lt;0,1,0)</f>
        <v>0</v>
      </c>
    </row>
    <row r="486" spans="1:31" x14ac:dyDescent="0.2">
      <c r="A486" s="7" t="s">
        <v>2242</v>
      </c>
      <c r="B486" t="str">
        <f t="shared" si="77"/>
        <v>TRMK IV кв. 2021</v>
      </c>
      <c r="C486">
        <v>2021</v>
      </c>
      <c r="D486">
        <f>SUMIFS(Дивиденды!$C:$C,Дивиденды!$A:$A,A486,Дивиденды!$I:$I,C486)</f>
        <v>17.71</v>
      </c>
      <c r="E486">
        <v>3</v>
      </c>
      <c r="F486">
        <f t="shared" si="78"/>
        <v>17.71</v>
      </c>
      <c r="G486">
        <f t="shared" si="79"/>
        <v>35.084000000000003</v>
      </c>
      <c r="H486">
        <f t="shared" si="80"/>
        <v>1</v>
      </c>
      <c r="I486">
        <f t="shared" si="81"/>
        <v>0.7</v>
      </c>
      <c r="J486">
        <f t="shared" si="82"/>
        <v>0.39779005524861888</v>
      </c>
      <c r="K486">
        <f t="shared" si="87"/>
        <v>0.69091732104593473</v>
      </c>
      <c r="L486">
        <f t="shared" si="83"/>
        <v>1</v>
      </c>
      <c r="M486">
        <f t="shared" si="84"/>
        <v>0.4</v>
      </c>
      <c r="N486">
        <f t="shared" si="85"/>
        <v>0</v>
      </c>
      <c r="O486">
        <f t="shared" si="86"/>
        <v>0.2</v>
      </c>
      <c r="P486">
        <f>IFERROR(LN('Дивиденды по годам'!I486),"")</f>
        <v>27.266568864125368</v>
      </c>
      <c r="Q486">
        <f>IFERROR('Дивиденды по годам'!G486/'Дивиденды по годам'!I486, "")</f>
        <v>0.32433841028424493</v>
      </c>
      <c r="R486">
        <f>IFERROR(IF(AND('Дивиденды по годам'!N486&lt;&gt;"",'Дивиденды по годам'!U486&lt;&gt;"",'Дивиденды по годам'!U486&lt;&gt;0),'Дивиденды по годам'!N486/'Дивиденды по годам'!U486-1,""),"")</f>
        <v>0.92695657642360785</v>
      </c>
      <c r="S486">
        <f>IFERROR(IF(AND('Дивиденды по годам'!L486&lt;&gt;"",'Дивиденды по годам'!I486&lt;&gt;"",'Дивиденды по годам'!J486&lt;&gt;"",'Дивиденды по годам'!K486&lt;&gt;"",('Дивиденды по годам'!I486-'Дивиденды по годам'!J486-'Дивиденды по годам'!K486)&lt;&gt;0),'Дивиденды по годам'!L486/('Дивиденды по годам'!I486-'Дивиденды по годам'!J486-'Дивиденды по годам'!K486),""),"")</f>
        <v>0.28746918899420854</v>
      </c>
      <c r="T486">
        <f>IFERROR(IF(AND('Дивиденды по годам'!Q486&lt;&gt;"",'Дивиденды по годам'!I486&lt;&gt;"",'Дивиденды по годам'!V486&lt;&gt;"",('Дивиденды по годам'!I486+'Дивиденды по годам'!V486)&lt;&gt;0),'Дивиденды по годам'!Q486/(('Дивиденды по годам'!I486+'Дивиденды по годам'!V486)/2),""),"")</f>
        <v>1.2899622511394697E-2</v>
      </c>
      <c r="U486">
        <f>IFERROR(IF(AND('Дивиденды по годам'!J486&lt;&gt;"",'Дивиденды по годам'!K486&lt;&gt;"",'Дивиденды по годам'!M486&lt;&gt;"",'Дивиденды по годам'!M486&lt;&gt;0),('Дивиденды по годам'!J486+'Дивиденды по годам'!K486)/'Дивиденды по годам'!M486,""),"")</f>
        <v>12.919099817638925</v>
      </c>
      <c r="V486">
        <f>IFERROR(IF(AND('Дивиденды по годам'!J486&lt;&gt;"",'Дивиденды по годам'!K486&lt;&gt;"",'Дивиденды по годам'!M486&lt;&gt;"",'Дивиденды по годам'!I486&lt;&gt;0),('Дивиденды по годам'!J486+'Дивиденды по годам'!K486)/'Дивиденды по годам'!I486,""),"")</f>
        <v>0.92815627353050845</v>
      </c>
      <c r="W486">
        <f>IFERROR('Дивиденды по годам'!I486,"")</f>
        <v>694577000000</v>
      </c>
      <c r="X486" cm="1">
        <f t="array" ref="X486">IFERROR(AVERAGE(_xlfn._xlws.FILTER(P$2:P$1073,($C$2:$C$1073=$C486)*($E$2:$E$1073=$E486)*(ROW(P$2:P$1073)&lt;&gt;ROW(P486))*(P$2:P$1073&lt;&gt;""))),"")</f>
        <v>26.956639315779427</v>
      </c>
      <c r="Y486" cm="1">
        <f t="array" ref="Y486">IFERROR(AVERAGE(_xlfn._xlws.FILTER(Q$2:Q$1073,($C$2:$C$1073=$C486)*($E$2:$E$1073=$E486)*(ROW(Q$2:Q$1073)&lt;&gt;ROW(Q486))*(Q$2:Q$1073&lt;&gt;""))),"")</f>
        <v>0.50403749207146398</v>
      </c>
      <c r="Z486" cm="1">
        <f t="array" ref="Z486">IFERROR(AVERAGE(_xlfn._xlws.FILTER(R$2:R$1073,($C$2:$C$1073=$C486)*($E$2:$E$1073=$E486)*(ROW(R$2:R$1073)&lt;&gt;ROW(R486))*(R$2:R$1073&lt;&gt;""))),"")</f>
        <v>0.65873566076097823</v>
      </c>
      <c r="AA486" cm="1">
        <f t="array" ref="AA486">IFERROR(AVERAGE(_xlfn._xlws.FILTER(S$2:S$1073,($C$2:$C$1073=$C486)*($E$2:$E$1073=$E486)*(ROW(S$2:S$1073)&lt;&gt;ROW(S486))*(S$2:S$1073&lt;&gt;""))),"")</f>
        <v>1.110200373846834</v>
      </c>
      <c r="AB486" cm="1">
        <f t="array" ref="AB486">IFERROR(AVERAGE(_xlfn._xlws.FILTER(T$2:T$1073,($C$2:$C$1073=$C486)*($E$2:$E$1073=$E486)*(ROW(T$2:T$1073)&lt;&gt;ROW(T486))*(T$2:T$1073&lt;&gt;""))),"")</f>
        <v>0.31480332905776187</v>
      </c>
      <c r="AC486" cm="1">
        <f t="array" ref="AC486">IFERROR(AVERAGE(_xlfn._xlws.FILTER(U$2:U$1073,($C$2:$C$1073=$C486)*($E$2:$E$1073=$E486)*(ROW(U$2:U$1073)&lt;&gt;ROW(U486))*(U$2:U$1073&lt;&gt;""))),"")</f>
        <v>0.96106624658524797</v>
      </c>
      <c r="AD486" cm="1">
        <f t="array" ref="AD486">IFERROR(AVERAGE(_xlfn._xlws.FILTER(V$2:V$1073,($C$2:$C$1073=$C486)*($E$2:$E$1073=$E486)*(ROW(V$2:V$1073)&lt;&gt;ROW(V486))*(V$2:V$1073&lt;&gt;""))),"")</f>
        <v>0.64035493714477254</v>
      </c>
      <c r="AE486">
        <f>IF('Дивиденды по годам'!M486&lt;0,1,0)</f>
        <v>0</v>
      </c>
    </row>
    <row r="487" spans="1:31" x14ac:dyDescent="0.2">
      <c r="A487" s="7" t="s">
        <v>2242</v>
      </c>
      <c r="B487" t="str">
        <f t="shared" si="77"/>
        <v>TRMK IV кв. 2020</v>
      </c>
      <c r="C487">
        <v>2020</v>
      </c>
      <c r="D487">
        <f>SUMIFS(Дивиденды!$C:$C,Дивиденды!$A:$A,A487,Дивиденды!$I:$I,C487)</f>
        <v>12.67</v>
      </c>
      <c r="E487">
        <v>3</v>
      </c>
      <c r="F487">
        <f t="shared" si="78"/>
        <v>12.67</v>
      </c>
      <c r="G487">
        <f t="shared" si="79"/>
        <v>22.716999999999999</v>
      </c>
      <c r="H487">
        <f t="shared" si="80"/>
        <v>1</v>
      </c>
      <c r="I487">
        <f t="shared" si="81"/>
        <v>0.7</v>
      </c>
      <c r="J487">
        <f t="shared" si="82"/>
        <v>3.9686274509803927</v>
      </c>
      <c r="K487">
        <f t="shared" si="87"/>
        <v>0.26251680361194529</v>
      </c>
      <c r="L487">
        <f t="shared" si="83"/>
        <v>1</v>
      </c>
      <c r="M487">
        <f t="shared" si="84"/>
        <v>0.6</v>
      </c>
      <c r="N487">
        <f t="shared" si="85"/>
        <v>0</v>
      </c>
      <c r="O487">
        <f t="shared" si="86"/>
        <v>0.1</v>
      </c>
      <c r="P487">
        <f>IFERROR(LN('Дивиденды по годам'!I487),"")</f>
        <v>26.761373005809212</v>
      </c>
      <c r="Q487">
        <f>IFERROR('Дивиденды по годам'!G487/'Дивиденды по годам'!I487, "")</f>
        <v>0.31671514367726955</v>
      </c>
      <c r="R487">
        <f>IFERROR(IF(AND('Дивиденды по годам'!N487&lt;&gt;"",'Дивиденды по годам'!U487&lt;&gt;"",'Дивиденды по годам'!U487&lt;&gt;0),'Дивиденды по годам'!N487/'Дивиденды по годам'!U487-1,""),"")</f>
        <v>-0.27809052526444822</v>
      </c>
      <c r="S487">
        <f>IFERROR(IF(AND('Дивиденды по годам'!L487&lt;&gt;"",'Дивиденды по годам'!I487&lt;&gt;"",'Дивиденды по годам'!J487&lt;&gt;"",'Дивиденды по годам'!K487&lt;&gt;"",('Дивиденды по годам'!I487-'Дивиденды по годам'!J487-'Дивиденды по годам'!K487)&lt;&gt;0),'Дивиденды по годам'!L487/('Дивиденды по годам'!I487-'Дивиденды по годам'!J487-'Дивиденды по годам'!K487),""),"")</f>
        <v>0.49716986393040374</v>
      </c>
      <c r="T487">
        <f>IFERROR(IF(AND('Дивиденды по годам'!Q487&lt;&gt;"",'Дивиденды по годам'!I487&lt;&gt;"",'Дивиденды по годам'!V487&lt;&gt;"",('Дивиденды по годам'!I487+'Дивиденды по годам'!V487)&lt;&gt;0),'Дивиденды по годам'!Q487/(('Дивиденды по годам'!I487+'Дивиденды по годам'!V487)/2),""),"")</f>
        <v>6.3014647061187812E-2</v>
      </c>
      <c r="U487">
        <f>IFERROR(IF(AND('Дивиденды по годам'!J487&lt;&gt;"",'Дивиденды по годам'!K487&lt;&gt;"",'Дивиденды по годам'!M487&lt;&gt;"",'Дивиденды по годам'!M487&lt;&gt;0),('Дивиденды по годам'!J487+'Дивиденды по годам'!K487)/'Дивиденды по годам'!M487,""),"")</f>
        <v>4.8428925942449252</v>
      </c>
      <c r="V487">
        <f>IFERROR(IF(AND('Дивиденды по годам'!J487&lt;&gt;"",'Дивиденды по годам'!K487&lt;&gt;"",'Дивиденды по годам'!M487&lt;&gt;"",'Дивиденды по годам'!I487&lt;&gt;0),('Дивиденды по годам'!J487+'Дивиденды по годам'!K487)/'Дивиденды по годам'!I487,""),"")</f>
        <v>0.82885189418252014</v>
      </c>
      <c r="W487">
        <f>IFERROR('Дивиденды по годам'!I487,"")</f>
        <v>419099000000</v>
      </c>
      <c r="X487" cm="1">
        <f t="array" ref="X487">IFERROR(AVERAGE(_xlfn._xlws.FILTER(P$2:P$1073,($C$2:$C$1073=$C487)*($E$2:$E$1073=$E487)*(ROW(P$2:P$1073)&lt;&gt;ROW(P487))*(P$2:P$1073&lt;&gt;""))),"")</f>
        <v>26.824403711842002</v>
      </c>
      <c r="Y487" cm="1">
        <f t="array" ref="Y487">IFERROR(AVERAGE(_xlfn._xlws.FILTER(Q$2:Q$1073,($C$2:$C$1073=$C487)*($E$2:$E$1073=$E487)*(ROW(Q$2:Q$1073)&lt;&gt;ROW(Q487))*(Q$2:Q$1073&lt;&gt;""))),"")</f>
        <v>0.52505606528524218</v>
      </c>
      <c r="Z487" cm="1">
        <f t="array" ref="Z487">IFERROR(AVERAGE(_xlfn._xlws.FILTER(R$2:R$1073,($C$2:$C$1073=$C487)*($E$2:$E$1073=$E487)*(ROW(R$2:R$1073)&lt;&gt;ROW(R487))*(R$2:R$1073&lt;&gt;""))),"")</f>
        <v>5.7760520966778715E-2</v>
      </c>
      <c r="AA487" cm="1">
        <f t="array" ref="AA487">IFERROR(AVERAGE(_xlfn._xlws.FILTER(S$2:S$1073,($C$2:$C$1073=$C487)*($E$2:$E$1073=$E487)*(ROW(S$2:S$1073)&lt;&gt;ROW(S487))*(S$2:S$1073&lt;&gt;""))),"")</f>
        <v>1.095383293152469</v>
      </c>
      <c r="AB487" cm="1">
        <f t="array" ref="AB487">IFERROR(AVERAGE(_xlfn._xlws.FILTER(T$2:T$1073,($C$2:$C$1073=$C487)*($E$2:$E$1073=$E487)*(ROW(T$2:T$1073)&lt;&gt;ROW(T487))*(T$2:T$1073&lt;&gt;""))),"")</f>
        <v>9.7427226800680763E-2</v>
      </c>
      <c r="AC487" cm="1">
        <f t="array" ref="AC487">IFERROR(AVERAGE(_xlfn._xlws.FILTER(U$2:U$1073,($C$2:$C$1073=$C487)*($E$2:$E$1073=$E487)*(ROW(U$2:U$1073)&lt;&gt;ROW(U487))*(U$2:U$1073&lt;&gt;""))),"")</f>
        <v>1.3405321976666194</v>
      </c>
      <c r="AD487" cm="1">
        <f t="array" ref="AD487">IFERROR(AVERAGE(_xlfn._xlws.FILTER(V$2:V$1073,($C$2:$C$1073=$C487)*($E$2:$E$1073=$E487)*(ROW(V$2:V$1073)&lt;&gt;ROW(V487))*(V$2:V$1073&lt;&gt;""))),"")</f>
        <v>0.7577291356402015</v>
      </c>
      <c r="AE487">
        <f>IF('Дивиденды по годам'!M487&lt;0,1,0)</f>
        <v>0</v>
      </c>
    </row>
    <row r="488" spans="1:31" x14ac:dyDescent="0.2">
      <c r="A488" s="7" t="s">
        <v>2242</v>
      </c>
      <c r="B488" t="str">
        <f t="shared" si="77"/>
        <v>TRMK IV кв. 2019</v>
      </c>
      <c r="C488">
        <v>2019</v>
      </c>
      <c r="D488">
        <f>SUMIFS(Дивиденды!$C:$C,Дивиденды!$A:$A,A488,Дивиденды!$I:$I,C488)</f>
        <v>2.5499999999999998</v>
      </c>
      <c r="E488">
        <v>3</v>
      </c>
      <c r="F488">
        <f t="shared" si="78"/>
        <v>2.5499999999999998</v>
      </c>
      <c r="G488">
        <f t="shared" si="79"/>
        <v>19.336000000000002</v>
      </c>
      <c r="H488">
        <f t="shared" si="80"/>
        <v>1</v>
      </c>
      <c r="I488">
        <f t="shared" si="81"/>
        <v>0.7</v>
      </c>
      <c r="J488">
        <f t="shared" si="82"/>
        <v>1</v>
      </c>
      <c r="K488">
        <f t="shared" si="87"/>
        <v>0.15160659566020115</v>
      </c>
      <c r="L488">
        <f t="shared" si="83"/>
        <v>1</v>
      </c>
      <c r="M488">
        <f t="shared" si="84"/>
        <v>0.3</v>
      </c>
      <c r="N488">
        <f t="shared" si="85"/>
        <v>0</v>
      </c>
      <c r="O488">
        <f t="shared" si="86"/>
        <v>0.4</v>
      </c>
      <c r="P488">
        <f>IFERROR(LN('Дивиденды по годам'!I488),"")</f>
        <v>26.58741392437711</v>
      </c>
      <c r="Q488">
        <f>IFERROR('Дивиденды по годам'!G488/'Дивиденды по годам'!I488, "")</f>
        <v>0.33335888830207111</v>
      </c>
      <c r="R488">
        <f>IFERROR(IF(AND('Дивиденды по годам'!N488&lt;&gt;"",'Дивиденды по годам'!U488&lt;&gt;"",'Дивиденды по годам'!U488&lt;&gt;0),'Дивиденды по годам'!N488/'Дивиденды по годам'!U488-1,""),"")</f>
        <v>-3.7988717712226894E-2</v>
      </c>
      <c r="S488">
        <f>IFERROR(IF(AND('Дивиденды по годам'!L488&lt;&gt;"",'Дивиденды по годам'!I488&lt;&gt;"",'Дивиденды по годам'!J488&lt;&gt;"",'Дивиденды по годам'!K488&lt;&gt;"",('Дивиденды по годам'!I488-'Дивиденды по годам'!J488-'Дивиденды по годам'!K488)&lt;&gt;0),'Дивиденды по годам'!L488/('Дивиденды по годам'!I488-'Дивиденды по годам'!J488-'Дивиденды по годам'!K488),""),"")</f>
        <v>0.27302920048511986</v>
      </c>
      <c r="T488">
        <f>IFERROR(IF(AND('Дивиденды по годам'!Q488&lt;&gt;"",'Дивиденды по годам'!I488&lt;&gt;"",'Дивиденды по годам'!V488&lt;&gt;"",('Дивиденды по годам'!I488+'Дивиденды по годам'!V488)&lt;&gt;0),'Дивиденды по годам'!Q488/(('Дивиденды по годам'!I488+'Дивиденды по годам'!V488)/2),""),"")</f>
        <v>1.1835466462867627E-2</v>
      </c>
      <c r="U488">
        <f>IFERROR(IF(AND('Дивиденды по годам'!J488&lt;&gt;"",'Дивиденды по годам'!K488&lt;&gt;"",'Дивиденды по годам'!M488&lt;&gt;"",'Дивиденды по годам'!M488&lt;&gt;0),('Дивиденды по годам'!J488+'Дивиденды по годам'!K488)/'Дивиденды по годам'!M488,""),"")</f>
        <v>5.5711726840190314</v>
      </c>
      <c r="V488">
        <f>IFERROR(IF(AND('Дивиденды по годам'!J488&lt;&gt;"",'Дивиденды по годам'!K488&lt;&gt;"",'Дивиденды по годам'!M488&lt;&gt;"",'Дивиденды по годам'!I488&lt;&gt;0),('Дивиденды по годам'!J488+'Дивиденды по годам'!K488)/'Дивиденды по годам'!I488,""),"")</f>
        <v>0.84782016116666947</v>
      </c>
      <c r="W488">
        <f>IFERROR('Дивиденды по годам'!I488,"")</f>
        <v>352182000000</v>
      </c>
      <c r="X488" cm="1">
        <f t="array" ref="X488">IFERROR(AVERAGE(_xlfn._xlws.FILTER(P$2:P$1073,($C$2:$C$1073=$C488)*($E$2:$E$1073=$E488)*(ROW(P$2:P$1073)&lt;&gt;ROW(P488))*(P$2:P$1073&lt;&gt;""))),"")</f>
        <v>26.726887712518959</v>
      </c>
      <c r="Y488" cm="1">
        <f t="array" ref="Y488">IFERROR(AVERAGE(_xlfn._xlws.FILTER(Q$2:Q$1073,($C$2:$C$1073=$C488)*($E$2:$E$1073=$E488)*(ROW(Q$2:Q$1073)&lt;&gt;ROW(Q488))*(Q$2:Q$1073&lt;&gt;""))),"")</f>
        <v>0.5174532483641423</v>
      </c>
      <c r="Z488" cm="1">
        <f t="array" ref="Z488">IFERROR(AVERAGE(_xlfn._xlws.FILTER(R$2:R$1073,($C$2:$C$1073=$C488)*($E$2:$E$1073=$E488)*(ROW(R$2:R$1073)&lt;&gt;ROW(R488))*(R$2:R$1073&lt;&gt;""))),"")</f>
        <v>4.6557436038401623E-2</v>
      </c>
      <c r="AA488" cm="1">
        <f t="array" ref="AA488">IFERROR(AVERAGE(_xlfn._xlws.FILTER(S$2:S$1073,($C$2:$C$1073=$C488)*($E$2:$E$1073=$E488)*(ROW(S$2:S$1073)&lt;&gt;ROW(S488))*(S$2:S$1073&lt;&gt;""))),"")</f>
        <v>0.97169589923437805</v>
      </c>
      <c r="AB488" cm="1">
        <f t="array" ref="AB488">IFERROR(AVERAGE(_xlfn._xlws.FILTER(T$2:T$1073,($C$2:$C$1073=$C488)*($E$2:$E$1073=$E488)*(ROW(T$2:T$1073)&lt;&gt;ROW(T488))*(T$2:T$1073&lt;&gt;""))),"")</f>
        <v>0.15061817820814208</v>
      </c>
      <c r="AC488" cm="1">
        <f t="array" ref="AC488">IFERROR(AVERAGE(_xlfn._xlws.FILTER(U$2:U$1073,($C$2:$C$1073=$C488)*($E$2:$E$1073=$E488)*(ROW(U$2:U$1073)&lt;&gt;ROW(U488))*(U$2:U$1073&lt;&gt;""))),"")</f>
        <v>1.1577880646095289</v>
      </c>
      <c r="AD488" cm="1">
        <f t="array" ref="AD488">IFERROR(AVERAGE(_xlfn._xlws.FILTER(V$2:V$1073,($C$2:$C$1073=$C488)*($E$2:$E$1073=$E488)*(ROW(V$2:V$1073)&lt;&gt;ROW(V488))*(V$2:V$1073&lt;&gt;""))),"")</f>
        <v>0.6561049362860143</v>
      </c>
      <c r="AE488">
        <f>IF('Дивиденды по годам'!M488&lt;0,1,0)</f>
        <v>0</v>
      </c>
    </row>
    <row r="489" spans="1:31" x14ac:dyDescent="0.2">
      <c r="A489" s="7" t="s">
        <v>2242</v>
      </c>
      <c r="B489" t="str">
        <f t="shared" si="77"/>
        <v>TRMK IV кв. 2018</v>
      </c>
      <c r="C489">
        <v>2018</v>
      </c>
      <c r="D489">
        <f>SUMIFS(Дивиденды!$C:$C,Дивиденды!$A:$A,A489,Дивиденды!$I:$I,C489)</f>
        <v>0</v>
      </c>
      <c r="E489">
        <v>3</v>
      </c>
      <c r="F489">
        <f t="shared" si="78"/>
        <v>0</v>
      </c>
      <c r="G489">
        <f t="shared" si="79"/>
        <v>22.694999999999997</v>
      </c>
      <c r="H489">
        <f t="shared" si="80"/>
        <v>0</v>
      </c>
      <c r="I489">
        <f t="shared" si="81"/>
        <v>0.5</v>
      </c>
      <c r="J489">
        <f t="shared" si="82"/>
        <v>-1</v>
      </c>
      <c r="K489">
        <f t="shared" si="87"/>
        <v>0.2208568682360553</v>
      </c>
      <c r="L489">
        <f t="shared" si="83"/>
        <v>0</v>
      </c>
      <c r="M489">
        <f t="shared" si="84"/>
        <v>0.5</v>
      </c>
      <c r="N489">
        <f t="shared" si="85"/>
        <v>1</v>
      </c>
      <c r="O489">
        <f t="shared" si="86"/>
        <v>0.1</v>
      </c>
      <c r="P489">
        <f>IFERROR(LN('Дивиденды по годам'!I489),"")</f>
        <v>26.474654840401769</v>
      </c>
      <c r="Q489">
        <f>IFERROR('Дивиденды по годам'!G489/'Дивиденды по годам'!I489, "")</f>
        <v>0.41466680973838849</v>
      </c>
      <c r="R489">
        <f>IFERROR(IF(AND('Дивиденды по годам'!N489&lt;&gt;"",'Дивиденды по годам'!U489&lt;&gt;"",'Дивиденды по годам'!U489&lt;&gt;0),'Дивиденды по годам'!N489/'Дивиденды по годам'!U489-1,""),"")</f>
        <v>0.25116100040502731</v>
      </c>
      <c r="S489">
        <f>IFERROR(IF(AND('Дивиденды по годам'!L489&lt;&gt;"",'Дивиденды по годам'!I489&lt;&gt;"",'Дивиденды по годам'!J489&lt;&gt;"",'Дивиденды по годам'!K489&lt;&gt;"",('Дивиденды по годам'!I489-'Дивиденды по годам'!J489-'Дивиденды по годам'!K489)&lt;&gt;0),'Дивиденды по годам'!L489/('Дивиденды по годам'!I489-'Дивиденды по годам'!J489-'Дивиденды по годам'!K489),""),"")</f>
        <v>1.4575870470301016</v>
      </c>
      <c r="T489">
        <f>IFERROR(IF(AND('Дивиденды по годам'!Q489&lt;&gt;"",'Дивиденды по годам'!I489&lt;&gt;"",'Дивиденды по годам'!V489&lt;&gt;"",('Дивиденды по годам'!I489+'Дивиденды по годам'!V489)&lt;&gt;0),'Дивиденды по годам'!Q489/(('Дивиденды по годам'!I489+'Дивиденды по годам'!V489)/2),""),"")</f>
        <v>-3.0966492172328515E-5</v>
      </c>
      <c r="U489">
        <f>IFERROR(IF(AND('Дивиденды по годам'!J489&lt;&gt;"",'Дивиденды по годам'!K489&lt;&gt;"",'Дивиденды по годам'!M489&lt;&gt;"",'Дивиденды по годам'!M489&lt;&gt;0),('Дивиденды по годам'!J489+'Дивиденды по годам'!K489)/'Дивиденды по годам'!M489,""),"")</f>
        <v>5.1209130581552929</v>
      </c>
      <c r="V489">
        <f>IFERROR(IF(AND('Дивиденды по годам'!J489&lt;&gt;"",'Дивиденды по годам'!K489&lt;&gt;"",'Дивиденды по годам'!M489&lt;&gt;"",'Дивиденды по годам'!I489&lt;&gt;0),('Дивиденды по годам'!J489+'Дивиденды по годам'!K489)/'Дивиденды по годам'!I489,""),"")</f>
        <v>0.83662568141404403</v>
      </c>
      <c r="W489">
        <f>IFERROR('Дивиденды по годам'!I489,"")</f>
        <v>314627375427.67871</v>
      </c>
      <c r="X489" cm="1">
        <f t="array" ref="X489">IFERROR(AVERAGE(_xlfn._xlws.FILTER(P$2:P$1073,($C$2:$C$1073=$C489)*($E$2:$E$1073=$E489)*(ROW(P$2:P$1073)&lt;&gt;ROW(P489))*(P$2:P$1073&lt;&gt;""))),"")</f>
        <v>26.580133569537235</v>
      </c>
      <c r="Y489" cm="1">
        <f t="array" ref="Y489">IFERROR(AVERAGE(_xlfn._xlws.FILTER(Q$2:Q$1073,($C$2:$C$1073=$C489)*($E$2:$E$1073=$E489)*(ROW(Q$2:Q$1073)&lt;&gt;ROW(Q489))*(Q$2:Q$1073&lt;&gt;""))),"")</f>
        <v>0.5285046477126184</v>
      </c>
      <c r="Z489" cm="1">
        <f t="array" ref="Z489">IFERROR(AVERAGE(_xlfn._xlws.FILTER(R$2:R$1073,($C$2:$C$1073=$C489)*($E$2:$E$1073=$E489)*(ROW(R$2:R$1073)&lt;&gt;ROW(R489))*(R$2:R$1073&lt;&gt;""))),"")</f>
        <v>0.21417986729364163</v>
      </c>
      <c r="AA489" cm="1">
        <f t="array" ref="AA489">IFERROR(AVERAGE(_xlfn._xlws.FILTER(S$2:S$1073,($C$2:$C$1073=$C489)*($E$2:$E$1073=$E489)*(ROW(S$2:S$1073)&lt;&gt;ROW(S489))*(S$2:S$1073&lt;&gt;""))),"")</f>
        <v>0.87004835193125007</v>
      </c>
      <c r="AB489" cm="1">
        <f t="array" ref="AB489">IFERROR(AVERAGE(_xlfn._xlws.FILTER(T$2:T$1073,($C$2:$C$1073=$C489)*($E$2:$E$1073=$E489)*(ROW(T$2:T$1073)&lt;&gt;ROW(T489))*(T$2:T$1073&lt;&gt;""))),"")</f>
        <v>0.17076593634503151</v>
      </c>
      <c r="AC489" cm="1">
        <f t="array" ref="AC489">IFERROR(AVERAGE(_xlfn._xlws.FILTER(U$2:U$1073,($C$2:$C$1073=$C489)*($E$2:$E$1073=$E489)*(ROW(U$2:U$1073)&lt;&gt;ROW(U489))*(U$2:U$1073&lt;&gt;""))),"")</f>
        <v>2.0599842045163284</v>
      </c>
      <c r="AD489" cm="1">
        <f t="array" ref="AD489">IFERROR(AVERAGE(_xlfn._xlws.FILTER(V$2:V$1073,($C$2:$C$1073=$C489)*($E$2:$E$1073=$E489)*(ROW(V$2:V$1073)&lt;&gt;ROW(V489))*(V$2:V$1073&lt;&gt;""))),"")</f>
        <v>0.67365537933962449</v>
      </c>
      <c r="AE489">
        <f>IF('Дивиденды по годам'!M489&lt;0,1,0)</f>
        <v>0</v>
      </c>
    </row>
    <row r="490" spans="1:31" x14ac:dyDescent="0.2">
      <c r="A490" s="7" t="s">
        <v>2242</v>
      </c>
      <c r="B490" t="str">
        <f t="shared" si="77"/>
        <v>TRMK IV кв. 2017</v>
      </c>
      <c r="C490">
        <v>2017</v>
      </c>
      <c r="D490">
        <f>SUMIFS(Дивиденды!$C:$C,Дивиденды!$A:$A,A490,Дивиденды!$I:$I,C490)</f>
        <v>2.2799999999999998</v>
      </c>
      <c r="E490">
        <v>3</v>
      </c>
      <c r="F490">
        <f t="shared" si="78"/>
        <v>2.2799999999999998</v>
      </c>
      <c r="G490">
        <f t="shared" si="79"/>
        <v>15.840876314825081</v>
      </c>
      <c r="H490">
        <f t="shared" si="80"/>
        <v>1</v>
      </c>
      <c r="I490">
        <f t="shared" si="81"/>
        <v>0.6</v>
      </c>
      <c r="J490">
        <f t="shared" si="82"/>
        <v>-0.41538461538461541</v>
      </c>
      <c r="K490">
        <f t="shared" si="87"/>
        <v>0.15863148658106679</v>
      </c>
      <c r="L490">
        <f t="shared" si="83"/>
        <v>0</v>
      </c>
      <c r="M490">
        <f t="shared" si="84"/>
        <v>0.5</v>
      </c>
      <c r="N490">
        <f t="shared" si="85"/>
        <v>1</v>
      </c>
      <c r="O490">
        <f t="shared" si="86"/>
        <v>0.1</v>
      </c>
      <c r="P490">
        <f>IFERROR(LN('Дивиденды по годам'!I490),"")</f>
        <v>26.500499799358817</v>
      </c>
      <c r="Q490">
        <f>IFERROR('Дивиденды по годам'!G490/'Дивиденды по годам'!I490, "")</f>
        <v>0.43861774308527479</v>
      </c>
      <c r="R490">
        <f>IFERROR(IF(AND('Дивиденды по годам'!N490&lt;&gt;"",'Дивиденды по годам'!U490&lt;&gt;"",'Дивиденды по годам'!U490&lt;&gt;0),'Дивиденды по годам'!N490/'Дивиденды по годам'!U490-1,""),"")</f>
        <v>0.14469452894642876</v>
      </c>
      <c r="S490">
        <f>IFERROR(IF(AND('Дивиденды по годам'!L490&lt;&gt;"",'Дивиденды по годам'!I490&lt;&gt;"",'Дивиденды по годам'!J490&lt;&gt;"",'Дивиденды по годам'!K490&lt;&gt;"",('Дивиденды по годам'!I490-'Дивиденды по годам'!J490-'Дивиденды по годам'!K490)&lt;&gt;0),'Дивиденды по годам'!L490/('Дивиденды по годам'!I490-'Дивиденды по годам'!J490-'Дивиденды по годам'!K490),""),"")</f>
        <v>1.3260525974589574</v>
      </c>
      <c r="T490">
        <f>IFERROR(IF(AND('Дивиденды по годам'!Q490&lt;&gt;"",'Дивиденды по годам'!I490&lt;&gt;"",'Дивиденды по годам'!V490&lt;&gt;"",('Дивиденды по годам'!I490+'Дивиденды по годам'!V490)&lt;&gt;0),'Дивиденды по годам'!Q490/(('Дивиденды по годам'!I490+'Дивиденды по годам'!V490)/2),""),"")</f>
        <v>5.38469113979254E-3</v>
      </c>
      <c r="U490">
        <f>IFERROR(IF(AND('Дивиденды по годам'!J490&lt;&gt;"",'Дивиденды по годам'!K490&lt;&gt;"",'Дивиденды по годам'!M490&lt;&gt;"",'Дивиденды по годам'!M490&lt;&gt;0),('Дивиденды по годам'!J490+'Дивиденды по годам'!K490)/'Дивиденды по годам'!M490,""),"")</f>
        <v>4.9328542849152255</v>
      </c>
      <c r="V490">
        <f>IFERROR(IF(AND('Дивиденды по годам'!J490&lt;&gt;"",'Дивиденды по годам'!K490&lt;&gt;"",'Дивиденды по годам'!M490&lt;&gt;"",'Дивиденды по годам'!I490&lt;&gt;0),('Дивиденды по годам'!J490+'Дивиденды по годам'!K490)/'Дивиденды по годам'!I490,""),"")</f>
        <v>0.8314470654466295</v>
      </c>
      <c r="W490">
        <f>IFERROR('Дивиденды по годам'!I490,"")</f>
        <v>322864897721.00842</v>
      </c>
      <c r="X490" cm="1">
        <f t="array" ref="X490">IFERROR(AVERAGE(_xlfn._xlws.FILTER(P$2:P$1073,($C$2:$C$1073=$C490)*($E$2:$E$1073=$E490)*(ROW(P$2:P$1073)&lt;&gt;ROW(P490))*(P$2:P$1073&lt;&gt;""))),"")</f>
        <v>26.548294372824</v>
      </c>
      <c r="Y490" cm="1">
        <f t="array" ref="Y490">IFERROR(AVERAGE(_xlfn._xlws.FILTER(Q$2:Q$1073,($C$2:$C$1073=$C490)*($E$2:$E$1073=$E490)*(ROW(Q$2:Q$1073)&lt;&gt;ROW(Q490))*(Q$2:Q$1073&lt;&gt;""))),"")</f>
        <v>0.54561521948592628</v>
      </c>
      <c r="Z490" cm="1">
        <f t="array" ref="Z490">IFERROR(AVERAGE(_xlfn._xlws.FILTER(R$2:R$1073,($C$2:$C$1073=$C490)*($E$2:$E$1073=$E490)*(ROW(R$2:R$1073)&lt;&gt;ROW(R490))*(R$2:R$1073&lt;&gt;""))),"")</f>
        <v>9.5801229502643886E-2</v>
      </c>
      <c r="AA490" cm="1">
        <f t="array" ref="AA490">IFERROR(AVERAGE(_xlfn._xlws.FILTER(S$2:S$1073,($C$2:$C$1073=$C490)*($E$2:$E$1073=$E490)*(ROW(S$2:S$1073)&lt;&gt;ROW(S490))*(S$2:S$1073&lt;&gt;""))),"")</f>
        <v>1.0310193489289792</v>
      </c>
      <c r="AB490" cm="1">
        <f t="array" ref="AB490">IFERROR(AVERAGE(_xlfn._xlws.FILTER(T$2:T$1073,($C$2:$C$1073=$C490)*($E$2:$E$1073=$E490)*(ROW(T$2:T$1073)&lt;&gt;ROW(T490))*(T$2:T$1073&lt;&gt;""))),"")</f>
        <v>0.13318421410114206</v>
      </c>
      <c r="AC490" cm="1">
        <f t="array" ref="AC490">IFERROR(AVERAGE(_xlfn._xlws.FILTER(U$2:U$1073,($C$2:$C$1073=$C490)*($E$2:$E$1073=$E490)*(ROW(U$2:U$1073)&lt;&gt;ROW(U490))*(U$2:U$1073&lt;&gt;""))),"")</f>
        <v>1.6827746547136804</v>
      </c>
      <c r="AD490" cm="1">
        <f t="array" ref="AD490">IFERROR(AVERAGE(_xlfn._xlws.FILTER(V$2:V$1073,($C$2:$C$1073=$C490)*($E$2:$E$1073=$E490)*(ROW(V$2:V$1073)&lt;&gt;ROW(V490))*(V$2:V$1073&lt;&gt;""))),"")</f>
        <v>0.67877767763546137</v>
      </c>
      <c r="AE490">
        <f>IF('Дивиденды по годам'!M490&lt;0,1,0)</f>
        <v>0</v>
      </c>
    </row>
    <row r="491" spans="1:31" x14ac:dyDescent="0.2">
      <c r="A491" s="7" t="s">
        <v>2242</v>
      </c>
      <c r="B491" t="str">
        <f t="shared" si="77"/>
        <v>TRMK IV кв. 2016</v>
      </c>
      <c r="C491">
        <v>2016</v>
      </c>
      <c r="D491">
        <f>SUMIFS(Дивиденды!$C:$C,Дивиденды!$A:$A,A491,Дивиденды!$I:$I,C491)</f>
        <v>3.9</v>
      </c>
      <c r="E491">
        <v>3</v>
      </c>
      <c r="F491">
        <f t="shared" si="78"/>
        <v>3.9</v>
      </c>
      <c r="G491">
        <f t="shared" si="79"/>
        <v>11.705639712606381</v>
      </c>
      <c r="H491">
        <f t="shared" si="80"/>
        <v>1</v>
      </c>
      <c r="I491">
        <f t="shared" si="81"/>
        <v>0.6</v>
      </c>
      <c r="J491">
        <f t="shared" si="82"/>
        <v>0.61157024793388426</v>
      </c>
      <c r="K491">
        <f t="shared" si="87"/>
        <v>0.62652413124644279</v>
      </c>
      <c r="L491">
        <f t="shared" si="83"/>
        <v>1</v>
      </c>
      <c r="M491">
        <f t="shared" si="84"/>
        <v>0.6</v>
      </c>
      <c r="N491">
        <f t="shared" si="85"/>
        <v>0</v>
      </c>
      <c r="O491">
        <f t="shared" si="86"/>
        <v>0</v>
      </c>
      <c r="P491">
        <f>IFERROR(LN('Дивиденды по годам'!I491),"")</f>
        <v>26.483941421324776</v>
      </c>
      <c r="Q491">
        <f>IFERROR('Дивиденды по годам'!G491/'Дивиденды по годам'!I491, "")</f>
        <v>0.48513207626850224</v>
      </c>
      <c r="R491">
        <f>IFERROR(IF(AND('Дивиденды по годам'!N491&lt;&gt;"",'Дивиденды по годам'!U491&lt;&gt;"",'Дивиденды по годам'!U491&lt;&gt;0),'Дивиденды по годам'!N491/'Дивиденды по годам'!U491-1,""),"")</f>
        <v>-0.11448798912414948</v>
      </c>
      <c r="S491">
        <f>IFERROR(IF(AND('Дивиденды по годам'!L491&lt;&gt;"",'Дивиденды по годам'!I491&lt;&gt;"",'Дивиденды по годам'!J491&lt;&gt;"",'Дивиденды по годам'!K491&lt;&gt;"",('Дивиденды по годам'!I491-'Дивиденды по годам'!J491-'Дивиденды по годам'!K491)&lt;&gt;0),'Дивиденды по годам'!L491/('Дивиденды по годам'!I491-'Дивиденды по годам'!J491-'Дивиденды по годам'!K491),""),"")</f>
        <v>1.3772025083783215</v>
      </c>
      <c r="T491">
        <f>IFERROR(IF(AND('Дивиденды по годам'!Q491&lt;&gt;"",'Дивиденды по годам'!I491&lt;&gt;"",'Дивиденды по годам'!V491&lt;&gt;"",('Дивиденды по годам'!I491+'Дивиденды по годам'!V491)&lt;&gt;0),'Дивиденды по годам'!Q491/(('Дивиденды по годам'!I491+'Дивиденды по годам'!V491)/2),""),"")</f>
        <v>3.7788087196495741E-2</v>
      </c>
      <c r="U491">
        <f>IFERROR(IF(AND('Дивиденды по годам'!J491&lt;&gt;"",'Дивиденды по годам'!K491&lt;&gt;"",'Дивиденды по годам'!M491&lt;&gt;"",'Дивиденды по годам'!M491&lt;&gt;0),('Дивиденды по годам'!J491+'Дивиденды по годам'!K491)/'Дивиденды по годам'!M491,""),"")</f>
        <v>4.2694414897168054</v>
      </c>
      <c r="V491">
        <f>IFERROR(IF(AND('Дивиденды по годам'!J491&lt;&gt;"",'Дивиденды по годам'!K491&lt;&gt;"",'Дивиденды по годам'!M491&lt;&gt;"",'Дивиденды по годам'!I491&lt;&gt;0),('Дивиденды по годам'!J491+'Дивиденды по годам'!K491)/'Дивиденды по годам'!I491,""),"")</f>
        <v>0.81022656728393749</v>
      </c>
      <c r="W491">
        <f>IFERROR('Дивиденды по годам'!I491,"")</f>
        <v>317562796928.82953</v>
      </c>
      <c r="X491" cm="1">
        <f t="array" ref="X491">IFERROR(AVERAGE(_xlfn._xlws.FILTER(P$2:P$1073,($C$2:$C$1073=$C491)*($E$2:$E$1073=$E491)*(ROW(P$2:P$1073)&lt;&gt;ROW(P491))*(P$2:P$1073&lt;&gt;""))),"")</f>
        <v>26.550644711498421</v>
      </c>
      <c r="Y491" cm="1">
        <f t="array" ref="Y491">IFERROR(AVERAGE(_xlfn._xlws.FILTER(Q$2:Q$1073,($C$2:$C$1073=$C491)*($E$2:$E$1073=$E491)*(ROW(Q$2:Q$1073)&lt;&gt;ROW(Q491))*(Q$2:Q$1073&lt;&gt;""))),"")</f>
        <v>0.51208089622593922</v>
      </c>
      <c r="Z491" cm="1">
        <f t="array" ref="Z491">IFERROR(AVERAGE(_xlfn._xlws.FILTER(R$2:R$1073,($C$2:$C$1073=$C491)*($E$2:$E$1073=$E491)*(ROW(R$2:R$1073)&lt;&gt;ROW(R491))*(R$2:R$1073&lt;&gt;""))),"")</f>
        <v>0.15961859590550159</v>
      </c>
      <c r="AA491" cm="1">
        <f t="array" ref="AA491">IFERROR(AVERAGE(_xlfn._xlws.FILTER(S$2:S$1073,($C$2:$C$1073=$C491)*($E$2:$E$1073=$E491)*(ROW(S$2:S$1073)&lt;&gt;ROW(S491))*(S$2:S$1073&lt;&gt;""))),"")</f>
        <v>0.18885220805315744</v>
      </c>
      <c r="AB491" cm="1">
        <f t="array" ref="AB491">IFERROR(AVERAGE(_xlfn._xlws.FILTER(T$2:T$1073,($C$2:$C$1073=$C491)*($E$2:$E$1073=$E491)*(ROW(T$2:T$1073)&lt;&gt;ROW(T491))*(T$2:T$1073&lt;&gt;""))),"")</f>
        <v>0.17428050895001398</v>
      </c>
      <c r="AC491" cm="1">
        <f t="array" ref="AC491">IFERROR(AVERAGE(_xlfn._xlws.FILTER(U$2:U$1073,($C$2:$C$1073=$C491)*($E$2:$E$1073=$E491)*(ROW(U$2:U$1073)&lt;&gt;ROW(U491))*(U$2:U$1073&lt;&gt;""))),"")</f>
        <v>-0.25464711129594308</v>
      </c>
      <c r="AD491" cm="1">
        <f t="array" ref="AD491">IFERROR(AVERAGE(_xlfn._xlws.FILTER(V$2:V$1073,($C$2:$C$1073=$C491)*($E$2:$E$1073=$E491)*(ROW(V$2:V$1073)&lt;&gt;ROW(V491))*(V$2:V$1073&lt;&gt;""))),"")</f>
        <v>0.74067640601060236</v>
      </c>
      <c r="AE491">
        <f>IF('Дивиденды по годам'!M491&lt;0,1,0)</f>
        <v>0</v>
      </c>
    </row>
    <row r="492" spans="1:31" x14ac:dyDescent="0.2">
      <c r="A492" s="7" t="s">
        <v>2242</v>
      </c>
      <c r="B492" t="str">
        <f t="shared" si="77"/>
        <v>TRMK IV кв. 2015</v>
      </c>
      <c r="C492">
        <v>2015</v>
      </c>
      <c r="D492">
        <f>SUMIFS(Дивиденды!$C:$C,Дивиденды!$A:$A,A492,Дивиденды!$I:$I,C492)</f>
        <v>2.42</v>
      </c>
      <c r="E492">
        <v>3</v>
      </c>
      <c r="F492">
        <f t="shared" si="78"/>
        <v>2.42</v>
      </c>
      <c r="G492">
        <f t="shared" si="79"/>
        <v>6.9820627742857138</v>
      </c>
      <c r="H492">
        <f t="shared" si="80"/>
        <v>1</v>
      </c>
      <c r="I492">
        <f t="shared" si="81"/>
        <v>0.5</v>
      </c>
      <c r="J492">
        <f t="shared" si="82"/>
        <v>5.2051282051282044</v>
      </c>
      <c r="K492">
        <f t="shared" si="87"/>
        <v>0.36037435007773266</v>
      </c>
      <c r="L492">
        <f t="shared" si="83"/>
        <v>1</v>
      </c>
      <c r="M492">
        <f t="shared" si="84"/>
        <v>0.4</v>
      </c>
      <c r="N492">
        <f t="shared" si="85"/>
        <v>0</v>
      </c>
      <c r="O492">
        <f t="shared" si="86"/>
        <v>0.1</v>
      </c>
      <c r="P492">
        <f>IFERROR(LN('Дивиденды по годам'!I492),"")</f>
        <v>26.322479582821146</v>
      </c>
      <c r="Q492">
        <f>IFERROR('Дивиденды по годам'!G492/'Дивиденды по годам'!I492, "")</f>
        <v>0.48089611965428752</v>
      </c>
      <c r="R492">
        <f>IFERROR(IF(AND('Дивиденды по годам'!N492&lt;&gt;"",'Дивиденды по годам'!U492&lt;&gt;"",'Дивиденды по годам'!U492&lt;&gt;0),'Дивиденды по годам'!N492/'Дивиденды по годам'!U492-1,""),"")</f>
        <v>8.5192888101620179E-2</v>
      </c>
      <c r="S492">
        <f>IFERROR(IF(AND('Дивиденды по годам'!L492&lt;&gt;"",'Дивиденды по годам'!I492&lt;&gt;"",'Дивиденды по годам'!J492&lt;&gt;"",'Дивиденды по годам'!K492&lt;&gt;"",('Дивиденды по годам'!I492-'Дивиденды по годам'!J492-'Дивиденды по годам'!K492)&lt;&gt;0),'Дивиденды по годам'!L492/('Дивиденды по годам'!I492-'Дивиденды по годам'!J492-'Дивиденды по годам'!K492),""),"")</f>
        <v>1.5441004027191227</v>
      </c>
      <c r="T492">
        <f>IFERROR(IF(AND('Дивиденды по годам'!Q492&lt;&gt;"",'Дивиденды по годам'!I492&lt;&gt;"",'Дивиденды по годам'!V492&lt;&gt;"",('Дивиденды по годам'!I492+'Дивиденды по годам'!V492)&lt;&gt;0),'Дивиденды по годам'!Q492/(('Дивиденды по годам'!I492+'Дивиденды по годам'!V492)/2),""),"")</f>
        <v>-9.2154329952169378E-2</v>
      </c>
      <c r="U492">
        <f>IFERROR(IF(AND('Дивиденды по годам'!J492&lt;&gt;"",'Дивиденды по годам'!K492&lt;&gt;"",'Дивиденды по годам'!M492&lt;&gt;"",'Дивиденды по годам'!M492&lt;&gt;0),('Дивиденды по годам'!J492+'Дивиденды по годам'!K492)/'Дивиденды по годам'!M492,""),"")</f>
        <v>5.1732209973665135</v>
      </c>
      <c r="V492">
        <f>IFERROR(IF(AND('Дивиденды по годам'!J492&lt;&gt;"",'Дивиденды по годам'!K492&lt;&gt;"",'Дивиденды по годам'!M492&lt;&gt;"",'Дивиденды по годам'!I492&lt;&gt;0),('Дивиденды по годам'!J492+'Дивиденды по годам'!K492)/'Дивиденды по годам'!I492,""),"")</f>
        <v>0.83801001123617669</v>
      </c>
      <c r="W492">
        <f>IFERROR('Дивиденды по годам'!I492,"")</f>
        <v>270213867114.03119</v>
      </c>
      <c r="X492" cm="1">
        <f t="array" ref="X492">IFERROR(AVERAGE(_xlfn._xlws.FILTER(P$2:P$1073,($C$2:$C$1073=$C492)*($E$2:$E$1073=$E492)*(ROW(P$2:P$1073)&lt;&gt;ROW(P492))*(P$2:P$1073&lt;&gt;""))),"")</f>
        <v>26.361514551345543</v>
      </c>
      <c r="Y492" cm="1">
        <f t="array" ref="Y492">IFERROR(AVERAGE(_xlfn._xlws.FILTER(Q$2:Q$1073,($C$2:$C$1073=$C492)*($E$2:$E$1073=$E492)*(ROW(Q$2:Q$1073)&lt;&gt;ROW(Q492))*(Q$2:Q$1073&lt;&gt;""))),"")</f>
        <v>0.50037823264582115</v>
      </c>
      <c r="Z492" cm="1">
        <f t="array" ref="Z492">IFERROR(AVERAGE(_xlfn._xlws.FILTER(R$2:R$1073,($C$2:$C$1073=$C492)*($E$2:$E$1073=$E492)*(ROW(R$2:R$1073)&lt;&gt;ROW(R492))*(R$2:R$1073&lt;&gt;""))),"")</f>
        <v>0.27177056664351606</v>
      </c>
      <c r="AA492" cm="1">
        <f t="array" ref="AA492">IFERROR(AVERAGE(_xlfn._xlws.FILTER(S$2:S$1073,($C$2:$C$1073=$C492)*($E$2:$E$1073=$E492)*(ROW(S$2:S$1073)&lt;&gt;ROW(S492))*(S$2:S$1073&lt;&gt;""))),"")</f>
        <v>0.9031378878090065</v>
      </c>
      <c r="AB492" cm="1">
        <f t="array" ref="AB492">IFERROR(AVERAGE(_xlfn._xlws.FILTER(T$2:T$1073,($C$2:$C$1073=$C492)*($E$2:$E$1073=$E492)*(ROW(T$2:T$1073)&lt;&gt;ROW(T492))*(T$2:T$1073&lt;&gt;""))),"")</f>
        <v>3.6094267336491286E-2</v>
      </c>
      <c r="AC492" cm="1">
        <f t="array" ref="AC492">IFERROR(AVERAGE(_xlfn._xlws.FILTER(U$2:U$1073,($C$2:$C$1073=$C492)*($E$2:$E$1073=$E492)*(ROW(U$2:U$1073)&lt;&gt;ROW(U492))*(U$2:U$1073&lt;&gt;""))),"")</f>
        <v>2.7787367550767605</v>
      </c>
      <c r="AD492" cm="1">
        <f t="array" ref="AD492">IFERROR(AVERAGE(_xlfn._xlws.FILTER(V$2:V$1073,($C$2:$C$1073=$C492)*($E$2:$E$1073=$E492)*(ROW(V$2:V$1073)&lt;&gt;ROW(V492))*(V$2:V$1073&lt;&gt;""))),"")</f>
        <v>0.78638550503199645</v>
      </c>
      <c r="AE492">
        <f>IF('Дивиденды по годам'!M492&lt;0,1,0)</f>
        <v>0</v>
      </c>
    </row>
    <row r="493" spans="1:31" x14ac:dyDescent="0.2">
      <c r="A493" s="7" t="s">
        <v>2242</v>
      </c>
      <c r="B493" t="str">
        <f t="shared" si="77"/>
        <v>TRMK IV кв. 2014</v>
      </c>
      <c r="C493">
        <v>2014</v>
      </c>
      <c r="D493">
        <f>SUMIFS(Дивиденды!$C:$C,Дивиденды!$A:$A,A493,Дивиденды!$I:$I,C493)</f>
        <v>0.39</v>
      </c>
      <c r="E493">
        <v>3</v>
      </c>
      <c r="F493">
        <f t="shared" si="78"/>
        <v>0.39</v>
      </c>
      <c r="G493">
        <f t="shared" si="79"/>
        <v>7.8170000000000002</v>
      </c>
      <c r="H493">
        <f t="shared" si="80"/>
        <v>1</v>
      </c>
      <c r="I493">
        <f t="shared" si="81"/>
        <v>0.4</v>
      </c>
      <c r="J493">
        <f t="shared" si="82"/>
        <v>-0.78571428571428581</v>
      </c>
      <c r="K493">
        <f t="shared" si="87"/>
        <v>1.151889947851106</v>
      </c>
      <c r="L493">
        <f t="shared" si="83"/>
        <v>0</v>
      </c>
      <c r="M493">
        <f t="shared" si="84"/>
        <v>0.3</v>
      </c>
      <c r="N493">
        <f t="shared" si="85"/>
        <v>1</v>
      </c>
      <c r="O493">
        <f t="shared" si="86"/>
        <v>0</v>
      </c>
      <c r="P493">
        <f>IFERROR(LN('Дивиденды по годам'!I493),"")</f>
        <v>26.112240877138454</v>
      </c>
      <c r="Q493">
        <f>IFERROR('Дивиденды по годам'!G493/'Дивиденды по годам'!I493, "")</f>
        <v>0.46202703726492139</v>
      </c>
      <c r="R493">
        <f>IFERROR(IF(AND('Дивиденды по годам'!N493&lt;&gt;"",'Дивиденды по годам'!U493&lt;&gt;"",'Дивиденды по годам'!U493&lt;&gt;0),'Дивиденды по годам'!N493/'Дивиденды по годам'!U493-1,""),"")</f>
        <v>0.13704563036663009</v>
      </c>
      <c r="S493">
        <f>IFERROR(IF(AND('Дивиденды по годам'!L493&lt;&gt;"",'Дивиденды по годам'!I493&lt;&gt;"",'Дивиденды по годам'!J493&lt;&gt;"",'Дивиденды по годам'!K493&lt;&gt;"",('Дивиденды по годам'!I493-'Дивиденды по годам'!J493-'Дивиденды по годам'!K493)&lt;&gt;0),'Дивиденды по годам'!L493/('Дивиденды по годам'!I493-'Дивиденды по годам'!J493-'Дивиденды по годам'!K493),""),"")</f>
        <v>1.1767346521253323</v>
      </c>
      <c r="T493">
        <f>IFERROR(IF(AND('Дивиденды по годам'!Q493&lt;&gt;"",'Дивиденды по годам'!I493&lt;&gt;"",'Дивиденды по годам'!V493&lt;&gt;"",('Дивиденды по годам'!I493+'Дивиденды по годам'!V493)&lt;&gt;0),'Дивиденды по годам'!Q493/(('Дивиденды по годам'!I493+'Дивиденды по годам'!V493)/2),""),"")</f>
        <v>-3.637045102727296E-2</v>
      </c>
      <c r="U493">
        <f>IFERROR(IF(AND('Дивиденды по годам'!J493&lt;&gt;"",'Дивиденды по годам'!K493&lt;&gt;"",'Дивиденды по годам'!M493&lt;&gt;"",'Дивиденды по годам'!M493&lt;&gt;0),('Дивиденды по годам'!J493+'Дивиденды по годам'!K493)/'Дивиденды по годам'!M493,""),"")</f>
        <v>3.4453267865854618</v>
      </c>
      <c r="V493">
        <f>IFERROR(IF(AND('Дивиденды по годам'!J493&lt;&gt;"",'Дивиденды по годам'!K493&lt;&gt;"",'Дивиденды по годам'!M493&lt;&gt;"",'Дивиденды по годам'!I493&lt;&gt;0),('Дивиденды по годам'!J493+'Дивиденды по годам'!K493)/'Дивиденды по годам'!I493,""),"")</f>
        <v>0.77504465970473269</v>
      </c>
      <c r="W493">
        <f>IFERROR('Дивиденды по годам'!I493,"")</f>
        <v>218978825995.91327</v>
      </c>
      <c r="X493" cm="1">
        <f t="array" ref="X493">IFERROR(AVERAGE(_xlfn._xlws.FILTER(P$2:P$1073,($C$2:$C$1073=$C493)*($E$2:$E$1073=$E493)*(ROW(P$2:P$1073)&lt;&gt;ROW(P493))*(P$2:P$1073&lt;&gt;""))),"")</f>
        <v>26.318882282236149</v>
      </c>
      <c r="Y493" cm="1">
        <f t="array" ref="Y493">IFERROR(AVERAGE(_xlfn._xlws.FILTER(Q$2:Q$1073,($C$2:$C$1073=$C493)*($E$2:$E$1073=$E493)*(ROW(Q$2:Q$1073)&lt;&gt;ROW(Q493))*(Q$2:Q$1073&lt;&gt;""))),"")</f>
        <v>0.52196744342165746</v>
      </c>
      <c r="Z493" cm="1">
        <f t="array" ref="Z493">IFERROR(AVERAGE(_xlfn._xlws.FILTER(R$2:R$1073,($C$2:$C$1073=$C493)*($E$2:$E$1073=$E493)*(ROW(R$2:R$1073)&lt;&gt;ROW(R493))*(R$2:R$1073&lt;&gt;""))),"")</f>
        <v>7.0050146823231838E-2</v>
      </c>
      <c r="AA493" cm="1">
        <f t="array" ref="AA493">IFERROR(AVERAGE(_xlfn._xlws.FILTER(S$2:S$1073,($C$2:$C$1073=$C493)*($E$2:$E$1073=$E493)*(ROW(S$2:S$1073)&lt;&gt;ROW(S493))*(S$2:S$1073&lt;&gt;""))),"")</f>
        <v>0.74727555077261631</v>
      </c>
      <c r="AB493" cm="1">
        <f t="array" ref="AB493">IFERROR(AVERAGE(_xlfn._xlws.FILTER(T$2:T$1073,($C$2:$C$1073=$C493)*($E$2:$E$1073=$E493)*(ROW(T$2:T$1073)&lt;&gt;ROW(T493))*(T$2:T$1073&lt;&gt;""))),"")</f>
        <v>-8.2687801695591923E-2</v>
      </c>
      <c r="AC493" cm="1">
        <f t="array" ref="AC493">IFERROR(AVERAGE(_xlfn._xlws.FILTER(U$2:U$1073,($C$2:$C$1073=$C493)*($E$2:$E$1073=$E493)*(ROW(U$2:U$1073)&lt;&gt;ROW(U493))*(U$2:U$1073&lt;&gt;""))),"")</f>
        <v>1.4247202442835669</v>
      </c>
      <c r="AD493" cm="1">
        <f t="array" ref="AD493">IFERROR(AVERAGE(_xlfn._xlws.FILTER(V$2:V$1073,($C$2:$C$1073=$C493)*($E$2:$E$1073=$E493)*(ROW(V$2:V$1073)&lt;&gt;ROW(V493))*(V$2:V$1073&lt;&gt;""))),"")</f>
        <v>0.70470739617815614</v>
      </c>
      <c r="AE493">
        <f>IF('Дивиденды по годам'!M493&lt;0,1,0)</f>
        <v>0</v>
      </c>
    </row>
    <row r="494" spans="1:31" x14ac:dyDescent="0.2">
      <c r="A494" s="7" t="s">
        <v>2242</v>
      </c>
      <c r="B494" t="str">
        <f t="shared" si="77"/>
        <v>TRMK IV кв. 2013</v>
      </c>
      <c r="C494">
        <v>2013</v>
      </c>
      <c r="D494">
        <f>SUMIFS(Дивиденды!$C:$C,Дивиденды!$A:$A,A494,Дивиденды!$I:$I,C494)</f>
        <v>1.82</v>
      </c>
      <c r="E494">
        <v>3</v>
      </c>
      <c r="F494">
        <f t="shared" si="78"/>
        <v>1.82</v>
      </c>
      <c r="G494">
        <f t="shared" si="79"/>
        <v>1.044</v>
      </c>
      <c r="H494">
        <f t="shared" si="80"/>
        <v>1</v>
      </c>
      <c r="I494">
        <f t="shared" si="81"/>
        <v>0.3</v>
      </c>
      <c r="J494">
        <f t="shared" si="82"/>
        <v>-0.22222222222222215</v>
      </c>
      <c r="K494">
        <f t="shared" si="87"/>
        <v>-0.18164188821151844</v>
      </c>
      <c r="L494">
        <f t="shared" si="83"/>
        <v>0</v>
      </c>
      <c r="M494">
        <f t="shared" si="84"/>
        <v>0.2</v>
      </c>
      <c r="N494">
        <f t="shared" si="85"/>
        <v>1</v>
      </c>
      <c r="O494">
        <f t="shared" si="86"/>
        <v>0.3</v>
      </c>
      <c r="P494">
        <f>IFERROR(LN('Дивиденды по годам'!I494),"")</f>
        <v>26.215524489000444</v>
      </c>
      <c r="Q494">
        <f>IFERROR('Дивиденды по годам'!G494/'Дивиденды по годам'!I494, "")</f>
        <v>0.51833776075451499</v>
      </c>
      <c r="R494">
        <f>IFERROR(IF(AND('Дивиденды по годам'!N494&lt;&gt;"",'Дивиденды по годам'!U494&lt;&gt;"",'Дивиденды по годам'!U494&lt;&gt;0),'Дивиденды по годам'!N494/'Дивиденды по годам'!U494-1,""),"")</f>
        <v>-1.3949946584568496E-2</v>
      </c>
      <c r="S494" t="str">
        <f>IFERROR(IF(AND('Дивиденды по годам'!L494&lt;&gt;"",'Дивиденды по годам'!I494&lt;&gt;"",'Дивиденды по годам'!J494&lt;&gt;"",'Дивиденды по годам'!K494&lt;&gt;"",('Дивиденды по годам'!I494-'Дивиденды по годам'!J494-'Дивиденды по годам'!K494)&lt;&gt;0),'Дивиденды по годам'!L494/('Дивиденды по годам'!I494-'Дивиденды по годам'!J494-'Дивиденды по годам'!K494),""),"")</f>
        <v/>
      </c>
      <c r="T494">
        <f>IFERROR(IF(AND('Дивиденды по годам'!Q494&lt;&gt;"",'Дивиденды по годам'!I494&lt;&gt;"",'Дивиденды по годам'!V494&lt;&gt;"",('Дивиденды по годам'!I494+'Дивиденды по годам'!V494)&lt;&gt;0),'Дивиденды по годам'!Q494/(('Дивиденды по годам'!I494+'Дивиденды по годам'!V494)/2),""),"")</f>
        <v>5.2341647259708957E-3</v>
      </c>
      <c r="U494">
        <f>IFERROR(IF(AND('Дивиденды по годам'!J494&lt;&gt;"",'Дивиденды по годам'!K494&lt;&gt;"",'Дивиденды по годам'!M494&lt;&gt;"",'Дивиденды по годам'!M494&lt;&gt;0),('Дивиденды по годам'!J494+'Дивиденды по годам'!K494)/'Дивиденды по годам'!M494,""),"")</f>
        <v>2.4835724533715924</v>
      </c>
      <c r="V494">
        <f>IFERROR(IF(AND('Дивиденды по годам'!J494&lt;&gt;"",'Дивиденды по годам'!K494&lt;&gt;"",'Дивиденды по годам'!M494&lt;&gt;"",'Дивиденды по годам'!I494&lt;&gt;0),('Дивиденды по годам'!J494+'Дивиденды по годам'!K494)/'Дивиденды по годам'!I494,""),"")</f>
        <v>0.71293836617862072</v>
      </c>
      <c r="W494">
        <f>IFERROR('Дивиденды по годам'!I494,"")</f>
        <v>242805000000</v>
      </c>
      <c r="X494" cm="1">
        <f t="array" ref="X494">IFERROR(AVERAGE(_xlfn._xlws.FILTER(P$2:P$1073,($C$2:$C$1073=$C494)*($E$2:$E$1073=$E494)*(ROW(P$2:P$1073)&lt;&gt;ROW(P494))*(P$2:P$1073&lt;&gt;""))),"")</f>
        <v>26.466570694799444</v>
      </c>
      <c r="Y494" cm="1">
        <f t="array" ref="Y494">IFERROR(AVERAGE(_xlfn._xlws.FILTER(Q$2:Q$1073,($C$2:$C$1073=$C494)*($E$2:$E$1073=$E494)*(ROW(Q$2:Q$1073)&lt;&gt;ROW(Q494))*(Q$2:Q$1073&lt;&gt;""))),"")</f>
        <v>0.58460357968135679</v>
      </c>
      <c r="Z494" cm="1">
        <f t="array" ref="Z494">IFERROR(AVERAGE(_xlfn._xlws.FILTER(R$2:R$1073,($C$2:$C$1073=$C494)*($E$2:$E$1073=$E494)*(ROW(R$2:R$1073)&lt;&gt;ROW(R494))*(R$2:R$1073&lt;&gt;""))),"")</f>
        <v>-4.9548567356064069E-2</v>
      </c>
      <c r="AA494" cm="1">
        <f t="array" ref="AA494">IFERROR(AVERAGE(_xlfn._xlws.FILTER(S$2:S$1073,($C$2:$C$1073=$C494)*($E$2:$E$1073=$E494)*(ROW(S$2:S$1073)&lt;&gt;ROW(S494))*(S$2:S$1073&lt;&gt;""))),"")</f>
        <v>1.1343753445927802</v>
      </c>
      <c r="AB494" cm="1">
        <f t="array" ref="AB494">IFERROR(AVERAGE(_xlfn._xlws.FILTER(T$2:T$1073,($C$2:$C$1073=$C494)*($E$2:$E$1073=$E494)*(ROW(T$2:T$1073)&lt;&gt;ROW(T494))*(T$2:T$1073&lt;&gt;""))),"")</f>
        <v>-3.5656071729886718E-2</v>
      </c>
      <c r="AC494" cm="1">
        <f t="array" ref="AC494">IFERROR(AVERAGE(_xlfn._xlws.FILTER(U$2:U$1073,($C$2:$C$1073=$C494)*($E$2:$E$1073=$E494)*(ROW(U$2:U$1073)&lt;&gt;ROW(U494))*(U$2:U$1073&lt;&gt;""))),"")</f>
        <v>3.191604323095028</v>
      </c>
      <c r="AD494" cm="1">
        <f t="array" ref="AD494">IFERROR(AVERAGE(_xlfn._xlws.FILTER(V$2:V$1073,($C$2:$C$1073=$C494)*($E$2:$E$1073=$E494)*(ROW(V$2:V$1073)&lt;&gt;ROW(V494))*(V$2:V$1073&lt;&gt;""))),"")</f>
        <v>0.54483976236775089</v>
      </c>
      <c r="AE494">
        <f>IF('Дивиденды по годам'!M494&lt;0,1,0)</f>
        <v>0</v>
      </c>
    </row>
    <row r="495" spans="1:31" x14ac:dyDescent="0.2">
      <c r="A495" s="7" t="s">
        <v>2242</v>
      </c>
      <c r="B495" t="str">
        <f t="shared" si="77"/>
        <v>TRMK IV кв. 2012</v>
      </c>
      <c r="C495">
        <v>2012</v>
      </c>
      <c r="D495">
        <f>SUMIFS(Дивиденды!$C:$C,Дивиденды!$A:$A,A495,Дивиденды!$I:$I,C495)</f>
        <v>2.34</v>
      </c>
      <c r="E495">
        <v>3</v>
      </c>
      <c r="F495">
        <f t="shared" si="78"/>
        <v>2.34</v>
      </c>
      <c r="G495">
        <f t="shared" si="79"/>
        <v>1.8969999999999998</v>
      </c>
      <c r="H495">
        <f t="shared" si="80"/>
        <v>1</v>
      </c>
      <c r="I495">
        <f t="shared" si="81"/>
        <v>0.5</v>
      </c>
      <c r="J495">
        <f t="shared" si="82"/>
        <v>-0.35537190082644637</v>
      </c>
      <c r="K495">
        <f t="shared" si="87"/>
        <v>-0.14846324611505218</v>
      </c>
      <c r="L495">
        <f t="shared" si="83"/>
        <v>0</v>
      </c>
      <c r="M495">
        <f t="shared" si="84"/>
        <v>0.3</v>
      </c>
      <c r="N495">
        <f t="shared" si="85"/>
        <v>1</v>
      </c>
      <c r="O495">
        <f t="shared" si="86"/>
        <v>0.5</v>
      </c>
      <c r="P495">
        <f>IFERROR(LN('Дивиденды по годам'!I495),"")</f>
        <v>28.490046144627723</v>
      </c>
      <c r="Q495">
        <f>IFERROR('Дивиденды по годам'!G495/'Дивиденды по годам'!I495, "")</f>
        <v>5.0076238428088685E-2</v>
      </c>
      <c r="R495" t="str">
        <f>IFERROR(IF(AND('Дивиденды по годам'!N495&lt;&gt;"",'Дивиденды по годам'!U495&lt;&gt;"",'Дивиденды по годам'!U495&lt;&gt;0),'Дивиденды по годам'!N495/'Дивиденды по годам'!U495-1,""),"")</f>
        <v/>
      </c>
      <c r="S495" t="str">
        <f>IFERROR(IF(AND('Дивиденды по годам'!L495&lt;&gt;"",'Дивиденды по годам'!I495&lt;&gt;"",'Дивиденды по годам'!J495&lt;&gt;"",'Дивиденды по годам'!K495&lt;&gt;"",('Дивиденды по годам'!I495-'Дивиденды по годам'!J495-'Дивиденды по годам'!K495)&lt;&gt;0),'Дивиденды по годам'!L495/('Дивиденды по годам'!I495-'Дивиденды по годам'!J495-'Дивиденды по годам'!K495),""),"")</f>
        <v/>
      </c>
      <c r="T495" t="str">
        <f>IFERROR(IF(AND('Дивиденды по годам'!Q495&lt;&gt;"",'Дивиденды по годам'!I495&lt;&gt;"",'Дивиденды по годам'!V495&lt;&gt;"",('Дивиденды по годам'!I495+'Дивиденды по годам'!V495)&lt;&gt;0),'Дивиденды по годам'!Q495/(('Дивиденды по годам'!I495+'Дивиденды по годам'!V495)/2),""),"")</f>
        <v/>
      </c>
      <c r="U495">
        <f>IFERROR(IF(AND('Дивиденды по годам'!J495&lt;&gt;"",'Дивиденды по годам'!K495&lt;&gt;"",'Дивиденды по годам'!M495&lt;&gt;"",'Дивиденды по годам'!M495&lt;&gt;0),('Дивиденды по годам'!J495+'Дивиденды по годам'!K495)/'Дивиденды по годам'!M495,""),"")</f>
        <v>2.6506327168276975</v>
      </c>
      <c r="V495">
        <f>IFERROR(IF(AND('Дивиденды по годам'!J495&lt;&gt;"",'Дивиденды по годам'!K495&lt;&gt;"",'Дивиденды по годам'!M495&lt;&gt;"",'Дивиденды по годам'!I495&lt;&gt;0),('Дивиденды по годам'!J495+'Дивиденды по годам'!K495)/'Дивиденды по годам'!I495,""),"")</f>
        <v>7.2607474763215871E-2</v>
      </c>
      <c r="W495">
        <f>IFERROR('Дивиденды по годам'!I495,"")</f>
        <v>2360857802658.9507</v>
      </c>
      <c r="X495" cm="1">
        <f t="array" ref="X495">IFERROR(AVERAGE(_xlfn._xlws.FILTER(P$2:P$1073,($C$2:$C$1073=$C495)*($E$2:$E$1073=$E495)*(ROW(P$2:P$1073)&lt;&gt;ROW(P495))*(P$2:P$1073&lt;&gt;""))),"")</f>
        <v>26.48786515688035</v>
      </c>
      <c r="Y495" cm="1">
        <f t="array" ref="Y495">IFERROR(AVERAGE(_xlfn._xlws.FILTER(Q$2:Q$1073,($C$2:$C$1073=$C495)*($E$2:$E$1073=$E495)*(ROW(Q$2:Q$1073)&lt;&gt;ROW(Q495))*(Q$2:Q$1073&lt;&gt;""))),"")</f>
        <v>0.55883765576453515</v>
      </c>
      <c r="Z495" cm="1">
        <f t="array" ref="Z495">IFERROR(AVERAGE(_xlfn._xlws.FILTER(R$2:R$1073,($C$2:$C$1073=$C495)*($E$2:$E$1073=$E495)*(ROW(R$2:R$1073)&lt;&gt;ROW(R495))*(R$2:R$1073&lt;&gt;""))),"")</f>
        <v>-1.7108975872326404E-3</v>
      </c>
      <c r="AA495" t="str" cm="1">
        <f t="array" ref="AA495">IFERROR(AVERAGE(_xlfn._xlws.FILTER(S$2:S$1073,($C$2:$C$1073=$C495)*($E$2:$E$1073=$E495)*(ROW(S$2:S$1073)&lt;&gt;ROW(S495))*(S$2:S$1073&lt;&gt;""))),"")</f>
        <v/>
      </c>
      <c r="AB495" cm="1">
        <f t="array" ref="AB495">IFERROR(AVERAGE(_xlfn._xlws.FILTER(T$2:T$1073,($C$2:$C$1073=$C495)*($E$2:$E$1073=$E495)*(ROW(T$2:T$1073)&lt;&gt;ROW(T495))*(T$2:T$1073&lt;&gt;""))),"")</f>
        <v>4.9772862648443709E-2</v>
      </c>
      <c r="AC495" cm="1">
        <f t="array" ref="AC495">IFERROR(AVERAGE(_xlfn._xlws.FILTER(U$2:U$1073,($C$2:$C$1073=$C495)*($E$2:$E$1073=$E495)*(ROW(U$2:U$1073)&lt;&gt;ROW(U495))*(U$2:U$1073&lt;&gt;""))),"")</f>
        <v>1.2108624201014653</v>
      </c>
      <c r="AD495" cm="1">
        <f t="array" ref="AD495">IFERROR(AVERAGE(_xlfn._xlws.FILTER(V$2:V$1073,($C$2:$C$1073=$C495)*($E$2:$E$1073=$E495)*(ROW(V$2:V$1073)&lt;&gt;ROW(V495))*(V$2:V$1073&lt;&gt;""))),"")</f>
        <v>0.48419567499509764</v>
      </c>
      <c r="AE495">
        <f>IF('Дивиденды по годам'!M495&lt;0,1,0)</f>
        <v>0</v>
      </c>
    </row>
    <row r="496" spans="1:31" x14ac:dyDescent="0.2">
      <c r="A496" s="7" t="s">
        <v>2242</v>
      </c>
      <c r="B496" t="str">
        <f t="shared" si="77"/>
        <v>TRMK IV кв. 2011</v>
      </c>
      <c r="C496">
        <v>2011</v>
      </c>
      <c r="D496">
        <f>SUMIFS(Дивиденды!$C:$C,Дивиденды!$A:$A,A496,Дивиденды!$I:$I,C496)</f>
        <v>3.6300000000000003</v>
      </c>
      <c r="E496">
        <v>3</v>
      </c>
      <c r="F496">
        <f t="shared" si="78"/>
        <v>3.6300000000000003</v>
      </c>
      <c r="G496">
        <f t="shared" si="79"/>
        <v>3.4029999999999996</v>
      </c>
      <c r="H496">
        <f t="shared" si="80"/>
        <v>1</v>
      </c>
      <c r="I496">
        <f t="shared" si="81"/>
        <v>0.7</v>
      </c>
      <c r="J496">
        <f t="shared" si="82"/>
        <v>3.270588235294118</v>
      </c>
      <c r="K496">
        <f t="shared" si="87"/>
        <v>0.45424685695111428</v>
      </c>
      <c r="L496">
        <f t="shared" si="83"/>
        <v>1</v>
      </c>
      <c r="M496">
        <f t="shared" si="84"/>
        <v>0.5</v>
      </c>
      <c r="N496">
        <f t="shared" si="85"/>
        <v>0</v>
      </c>
      <c r="O496">
        <f t="shared" si="86"/>
        <v>0.3</v>
      </c>
      <c r="P496" t="str">
        <f>IFERROR(LN('Дивиденды по годам'!I496),"")</f>
        <v/>
      </c>
      <c r="Q496" t="str">
        <f>IFERROR('Дивиденды по годам'!G496/'Дивиденды по годам'!I496, "")</f>
        <v/>
      </c>
      <c r="R496" t="str">
        <f>IFERROR(IF(AND('Дивиденды по годам'!N496&lt;&gt;"",'Дивиденды по годам'!U496&lt;&gt;"",'Дивиденды по годам'!U496&lt;&gt;0),'Дивиденды по годам'!N496/'Дивиденды по годам'!U496-1,""),"")</f>
        <v/>
      </c>
      <c r="S496" t="str">
        <f>IFERROR(IF(AND('Дивиденды по годам'!L496&lt;&gt;"",'Дивиденды по годам'!I496&lt;&gt;"",'Дивиденды по годам'!J496&lt;&gt;"",'Дивиденды по годам'!K496&lt;&gt;"",('Дивиденды по годам'!I496-'Дивиденды по годам'!J496-'Дивиденды по годам'!K496)&lt;&gt;0),'Дивиденды по годам'!L496/('Дивиденды по годам'!I496-'Дивиденды по годам'!J496-'Дивиденды по годам'!K496),""),"")</f>
        <v/>
      </c>
      <c r="T496" t="str">
        <f>IFERROR(IF(AND('Дивиденды по годам'!Q496&lt;&gt;"",'Дивиденды по годам'!I496&lt;&gt;"",'Дивиденды по годам'!V496&lt;&gt;"",('Дивиденды по годам'!I496+'Дивиденды по годам'!V496)&lt;&gt;0),'Дивиденды по годам'!Q496/(('Дивиденды по годам'!I496+'Дивиденды по годам'!V496)/2),""),"")</f>
        <v/>
      </c>
      <c r="U496" t="str">
        <f>IFERROR(IF(AND('Дивиденды по годам'!J496&lt;&gt;"",'Дивиденды по годам'!K496&lt;&gt;"",'Дивиденды по годам'!M496&lt;&gt;"",'Дивиденды по годам'!M496&lt;&gt;0),('Дивиденды по годам'!J496+'Дивиденды по годам'!K496)/'Дивиденды по годам'!M496,""),"")</f>
        <v/>
      </c>
      <c r="V496" t="str">
        <f>IFERROR(IF(AND('Дивиденды по годам'!J496&lt;&gt;"",'Дивиденды по годам'!K496&lt;&gt;"",'Дивиденды по годам'!M496&lt;&gt;"",'Дивиденды по годам'!I496&lt;&gt;0),('Дивиденды по годам'!J496+'Дивиденды по годам'!K496)/'Дивиденды по годам'!I496,""),"")</f>
        <v/>
      </c>
      <c r="W496" t="str">
        <f>IFERROR('Дивиденды по годам'!I496,"")</f>
        <v/>
      </c>
      <c r="X496" cm="1">
        <f t="array" ref="X496">IFERROR(AVERAGE(_xlfn._xlws.FILTER(P$2:P$1073,($C$2:$C$1073=$C496)*($E$2:$E$1073=$E496)*(ROW(P$2:P$1073)&lt;&gt;ROW(P496))*(P$2:P$1073&lt;&gt;""))),"")</f>
        <v>26.435590628703217</v>
      </c>
      <c r="Y496" cm="1">
        <f t="array" ref="Y496">IFERROR(AVERAGE(_xlfn._xlws.FILTER(Q$2:Q$1073,($C$2:$C$1073=$C496)*($E$2:$E$1073=$E496)*(ROW(Q$2:Q$1073)&lt;&gt;ROW(Q496))*(Q$2:Q$1073&lt;&gt;""))),"")</f>
        <v>0.56952165046998604</v>
      </c>
      <c r="Z496" cm="1">
        <f t="array" ref="Z496">IFERROR(AVERAGE(_xlfn._xlws.FILTER(R$2:R$1073,($C$2:$C$1073=$C496)*($E$2:$E$1073=$E496)*(ROW(R$2:R$1073)&lt;&gt;ROW(R496))*(R$2:R$1073&lt;&gt;""))),"")</f>
        <v>0.21463216748681591</v>
      </c>
      <c r="AA496" t="str" cm="1">
        <f t="array" ref="AA496">IFERROR(AVERAGE(_xlfn._xlws.FILTER(S$2:S$1073,($C$2:$C$1073=$C496)*($E$2:$E$1073=$E496)*(ROW(S$2:S$1073)&lt;&gt;ROW(S496))*(S$2:S$1073&lt;&gt;""))),"")</f>
        <v/>
      </c>
      <c r="AB496" cm="1">
        <f t="array" ref="AB496">IFERROR(AVERAGE(_xlfn._xlws.FILTER(T$2:T$1073,($C$2:$C$1073=$C496)*($E$2:$E$1073=$E496)*(ROW(T$2:T$1073)&lt;&gt;ROW(T496))*(T$2:T$1073&lt;&gt;""))),"")</f>
        <v>0.11505618365484008</v>
      </c>
      <c r="AC496" cm="1">
        <f t="array" ref="AC496">IFERROR(AVERAGE(_xlfn._xlws.FILTER(U$2:U$1073,($C$2:$C$1073=$C496)*($E$2:$E$1073=$E496)*(ROW(U$2:U$1073)&lt;&gt;ROW(U496))*(U$2:U$1073&lt;&gt;""))),"")</f>
        <v>1.1128563967031604</v>
      </c>
      <c r="AD496" cm="1">
        <f t="array" ref="AD496">IFERROR(AVERAGE(_xlfn._xlws.FILTER(V$2:V$1073,($C$2:$C$1073=$C496)*($E$2:$E$1073=$E496)*(ROW(V$2:V$1073)&lt;&gt;ROW(V496))*(V$2:V$1073&lt;&gt;""))),"")</f>
        <v>0.50060591818639988</v>
      </c>
      <c r="AE496">
        <f>IF('Дивиденды по годам'!M496&lt;0,1,0)</f>
        <v>0</v>
      </c>
    </row>
    <row r="497" spans="1:31" x14ac:dyDescent="0.2">
      <c r="A497" s="7" t="s">
        <v>2242</v>
      </c>
      <c r="B497" t="str">
        <f t="shared" si="77"/>
        <v>TRMK IV кв. 2010</v>
      </c>
      <c r="C497">
        <v>2010</v>
      </c>
      <c r="D497">
        <f>SUMIFS(Дивиденды!$C:$C,Дивиденды!$A:$A,A497,Дивиденды!$I:$I,C497)</f>
        <v>0.85</v>
      </c>
      <c r="E497">
        <v>3</v>
      </c>
      <c r="F497">
        <f t="shared" si="78"/>
        <v>0.85</v>
      </c>
      <c r="G497">
        <f t="shared" si="79"/>
        <v>2.9939999999999998</v>
      </c>
      <c r="H497">
        <f t="shared" si="80"/>
        <v>1</v>
      </c>
      <c r="I497">
        <f t="shared" si="81"/>
        <v>0.6</v>
      </c>
      <c r="J497" t="str">
        <f t="shared" si="82"/>
        <v/>
      </c>
      <c r="K497" t="str">
        <f t="shared" si="87"/>
        <v/>
      </c>
      <c r="L497" t="str">
        <f t="shared" si="83"/>
        <v/>
      </c>
      <c r="M497" t="str">
        <f t="shared" si="84"/>
        <v/>
      </c>
      <c r="N497" t="str">
        <f t="shared" si="85"/>
        <v/>
      </c>
      <c r="O497" t="str">
        <f t="shared" si="86"/>
        <v/>
      </c>
      <c r="P497" t="str">
        <f>IFERROR(LN('Дивиденды по годам'!I497),"")</f>
        <v/>
      </c>
      <c r="Q497" t="str">
        <f>IFERROR('Дивиденды по годам'!G497/'Дивиденды по годам'!I497, "")</f>
        <v/>
      </c>
      <c r="R497" t="str">
        <f>IFERROR(IF(AND('Дивиденды по годам'!N497&lt;&gt;"",'Дивиденды по годам'!U497&lt;&gt;"",'Дивиденды по годам'!U497&lt;&gt;0),'Дивиденды по годам'!N497/'Дивиденды по годам'!U497-1,""),"")</f>
        <v/>
      </c>
      <c r="S497" t="str">
        <f>IFERROR(IF(AND('Дивиденды по годам'!L497&lt;&gt;"",'Дивиденды по годам'!I497&lt;&gt;"",'Дивиденды по годам'!J497&lt;&gt;"",'Дивиденды по годам'!K497&lt;&gt;"",('Дивиденды по годам'!I497-'Дивиденды по годам'!J497-'Дивиденды по годам'!K497)&lt;&gt;0),'Дивиденды по годам'!L497/('Дивиденды по годам'!I497-'Дивиденды по годам'!J497-'Дивиденды по годам'!K497),""),"")</f>
        <v/>
      </c>
      <c r="T497" t="str">
        <f>IFERROR(IF(AND('Дивиденды по годам'!Q497&lt;&gt;"",'Дивиденды по годам'!I497&lt;&gt;"",'Дивиденды по годам'!V497&lt;&gt;"",('Дивиденды по годам'!I497+'Дивиденды по годам'!V497)&lt;&gt;0),'Дивиденды по годам'!Q497/(('Дивиденды по годам'!I497+'Дивиденды по годам'!V497)/2),""),"")</f>
        <v/>
      </c>
      <c r="U497" t="str">
        <f>IFERROR(IF(AND('Дивиденды по годам'!J497&lt;&gt;"",'Дивиденды по годам'!K497&lt;&gt;"",'Дивиденды по годам'!M497&lt;&gt;"",'Дивиденды по годам'!M497&lt;&gt;0),('Дивиденды по годам'!J497+'Дивиденды по годам'!K497)/'Дивиденды по годам'!M497,""),"")</f>
        <v/>
      </c>
      <c r="V497" t="str">
        <f>IFERROR(IF(AND('Дивиденды по годам'!J497&lt;&gt;"",'Дивиденды по годам'!K497&lt;&gt;"",'Дивиденды по годам'!M497&lt;&gt;"",'Дивиденды по годам'!I497&lt;&gt;0),('Дивиденды по годам'!J497+'Дивиденды по годам'!K497)/'Дивиденды по годам'!I497,""),"")</f>
        <v/>
      </c>
      <c r="W497" t="str">
        <f>IFERROR('Дивиденды по годам'!I497,"")</f>
        <v/>
      </c>
      <c r="X497" cm="1">
        <f t="array" ref="X497">IFERROR(AVERAGE(_xlfn._xlws.FILTER(P$2:P$1073,($C$2:$C$1073=$C497)*($E$2:$E$1073=$E497)*(ROW(P$2:P$1073)&lt;&gt;ROW(P497))*(P$2:P$1073&lt;&gt;""))),"")</f>
        <v>26.127864794831805</v>
      </c>
      <c r="Y497" cm="1">
        <f t="array" ref="Y497">IFERROR(AVERAGE(_xlfn._xlws.FILTER(Q$2:Q$1073,($C$2:$C$1073=$C497)*($E$2:$E$1073=$E497)*(ROW(Q$2:Q$1073)&lt;&gt;ROW(Q497))*(Q$2:Q$1073&lt;&gt;""))),"")</f>
        <v>0.75539390451698762</v>
      </c>
      <c r="Z497" t="str" cm="1">
        <f t="array" ref="Z497">IFERROR(AVERAGE(_xlfn._xlws.FILTER(R$2:R$1073,($C$2:$C$1073=$C497)*($E$2:$E$1073=$E497)*(ROW(R$2:R$1073)&lt;&gt;ROW(R497))*(R$2:R$1073&lt;&gt;""))),"")</f>
        <v/>
      </c>
      <c r="AA497" t="str" cm="1">
        <f t="array" ref="AA497">IFERROR(AVERAGE(_xlfn._xlws.FILTER(S$2:S$1073,($C$2:$C$1073=$C497)*($E$2:$E$1073=$E497)*(ROW(S$2:S$1073)&lt;&gt;ROW(S497))*(S$2:S$1073&lt;&gt;""))),"")</f>
        <v/>
      </c>
      <c r="AB497" t="str" cm="1">
        <f t="array" ref="AB497">IFERROR(AVERAGE(_xlfn._xlws.FILTER(T$2:T$1073,($C$2:$C$1073=$C497)*($E$2:$E$1073=$E497)*(ROW(T$2:T$1073)&lt;&gt;ROW(T497))*(T$2:T$1073&lt;&gt;""))),"")</f>
        <v/>
      </c>
      <c r="AC497" cm="1">
        <f t="array" ref="AC497">IFERROR(AVERAGE(_xlfn._xlws.FILTER(U$2:U$1073,($C$2:$C$1073=$C497)*($E$2:$E$1073=$E497)*(ROW(U$2:U$1073)&lt;&gt;ROW(U497))*(U$2:U$1073&lt;&gt;""))),"")</f>
        <v>1.4017600691070078</v>
      </c>
      <c r="AD497" cm="1">
        <f t="array" ref="AD497">IFERROR(AVERAGE(_xlfn._xlws.FILTER(V$2:V$1073,($C$2:$C$1073=$C497)*($E$2:$E$1073=$E497)*(ROW(V$2:V$1073)&lt;&gt;ROW(V497))*(V$2:V$1073&lt;&gt;""))),"")</f>
        <v>0.58363867695918215</v>
      </c>
      <c r="AE497">
        <f>IF('Дивиденды по годам'!M497&lt;0,1,0)</f>
        <v>0</v>
      </c>
    </row>
    <row r="498" spans="1:31" x14ac:dyDescent="0.2">
      <c r="A498" s="7" t="s">
        <v>2316</v>
      </c>
      <c r="B498" t="str">
        <f t="shared" si="77"/>
        <v>APTK IV кв. 2025</v>
      </c>
      <c r="C498">
        <v>2025</v>
      </c>
      <c r="D498">
        <f>SUMIFS(Дивиденды!$C:$C,Дивиденды!$A:$A,A498,Дивиденды!$I:$I,C498)</f>
        <v>0</v>
      </c>
      <c r="E498">
        <v>4</v>
      </c>
      <c r="F498">
        <f t="shared" si="78"/>
        <v>0</v>
      </c>
      <c r="G498">
        <f t="shared" si="79"/>
        <v>31.581428571428571</v>
      </c>
      <c r="H498">
        <f t="shared" si="80"/>
        <v>0</v>
      </c>
      <c r="I498">
        <f t="shared" si="81"/>
        <v>0.42857142857142855</v>
      </c>
      <c r="J498">
        <f t="shared" si="82"/>
        <v>0</v>
      </c>
      <c r="K498">
        <f t="shared" si="87"/>
        <v>-0.1825263432406963</v>
      </c>
      <c r="L498">
        <f t="shared" si="83"/>
        <v>0</v>
      </c>
      <c r="M498">
        <f t="shared" si="84"/>
        <v>0.14285714285714285</v>
      </c>
      <c r="N498">
        <f t="shared" si="85"/>
        <v>0</v>
      </c>
      <c r="O498">
        <f t="shared" si="86"/>
        <v>0.5</v>
      </c>
      <c r="P498" t="str">
        <f>IFERROR(LN('Дивиденды по годам'!I498),"")</f>
        <v/>
      </c>
      <c r="Q498" t="str">
        <f>IFERROR('Дивиденды по годам'!G498/'Дивиденды по годам'!I498, "")</f>
        <v/>
      </c>
      <c r="R498" t="str">
        <f>IFERROR(IF(AND('Дивиденды по годам'!N498&lt;&gt;"",'Дивиденды по годам'!U498&lt;&gt;"",'Дивиденды по годам'!U498&lt;&gt;0),'Дивиденды по годам'!N498/'Дивиденды по годам'!U498-1,""),"")</f>
        <v/>
      </c>
      <c r="S498" t="str">
        <f>IFERROR(IF(AND('Дивиденды по годам'!L498&lt;&gt;"",'Дивиденды по годам'!I498&lt;&gt;"",'Дивиденды по годам'!J498&lt;&gt;"",'Дивиденды по годам'!K498&lt;&gt;"",('Дивиденды по годам'!I498-'Дивиденды по годам'!J498-'Дивиденды по годам'!K498)&lt;&gt;0),'Дивиденды по годам'!L498/('Дивиденды по годам'!I498-'Дивиденды по годам'!J498-'Дивиденды по годам'!K498),""),"")</f>
        <v/>
      </c>
      <c r="T498" t="str">
        <f>IFERROR(IF(AND('Дивиденды по годам'!Q498&lt;&gt;"",'Дивиденды по годам'!I498&lt;&gt;"",'Дивиденды по годам'!V498&lt;&gt;"",('Дивиденды по годам'!I498+'Дивиденды по годам'!V498)&lt;&gt;0),'Дивиденды по годам'!Q498/(('Дивиденды по годам'!I498+'Дивиденды по годам'!V498)/2),""),"")</f>
        <v/>
      </c>
      <c r="U498" t="str">
        <f>IFERROR(IF(AND('Дивиденды по годам'!J498&lt;&gt;"",'Дивиденды по годам'!K498&lt;&gt;"",'Дивиденды по годам'!M498&lt;&gt;"",'Дивиденды по годам'!M498&lt;&gt;0),('Дивиденды по годам'!J498+'Дивиденды по годам'!K498)/'Дивиденды по годам'!M498,""),"")</f>
        <v/>
      </c>
      <c r="V498" t="str">
        <f>IFERROR(IF(AND('Дивиденды по годам'!J498&lt;&gt;"",'Дивиденды по годам'!K498&lt;&gt;"",'Дивиденды по годам'!M498&lt;&gt;"",'Дивиденды по годам'!I498&lt;&gt;0),('Дивиденды по годам'!J498+'Дивиденды по годам'!K498)/'Дивиденды по годам'!I498,""),"")</f>
        <v/>
      </c>
      <c r="W498" t="str">
        <f>IFERROR('Дивиденды по годам'!I498,"")</f>
        <v/>
      </c>
      <c r="X498" cm="1">
        <f t="array" ref="X498">IFERROR(AVERAGE(_xlfn._xlws.FILTER(P$2:P$1073,($C$2:$C$1073=$C498)*($E$2:$E$1073=$E498)*(ROW(P$2:P$1073)&lt;&gt;ROW(P498))*(P$2:P$1073&lt;&gt;""))),"")</f>
        <v>26.183512711155618</v>
      </c>
      <c r="Y498" cm="1">
        <f t="array" ref="Y498">IFERROR(AVERAGE(_xlfn._xlws.FILTER(Q$2:Q$1073,($C$2:$C$1073=$C498)*($E$2:$E$1073=$E498)*(ROW(Q$2:Q$1073)&lt;&gt;ROW(Q498))*(Q$2:Q$1073&lt;&gt;""))),"")</f>
        <v>0.42364014522274984</v>
      </c>
      <c r="Z498" cm="1">
        <f t="array" ref="Z498">IFERROR(AVERAGE(_xlfn._xlws.FILTER(R$2:R$1073,($C$2:$C$1073=$C498)*($E$2:$E$1073=$E498)*(ROW(R$2:R$1073)&lt;&gt;ROW(R498))*(R$2:R$1073&lt;&gt;""))),"")</f>
        <v>6.6096126428947105E-2</v>
      </c>
      <c r="AA498" cm="1">
        <f t="array" ref="AA498">IFERROR(AVERAGE(_xlfn._xlws.FILTER(S$2:S$1073,($C$2:$C$1073=$C498)*($E$2:$E$1073=$E498)*(ROW(S$2:S$1073)&lt;&gt;ROW(S498))*(S$2:S$1073&lt;&gt;""))),"")</f>
        <v>0.94174952343815033</v>
      </c>
      <c r="AB498" cm="1">
        <f t="array" ref="AB498">IFERROR(AVERAGE(_xlfn._xlws.FILTER(T$2:T$1073,($C$2:$C$1073=$C498)*($E$2:$E$1073=$E498)*(ROW(T$2:T$1073)&lt;&gt;ROW(T498))*(T$2:T$1073&lt;&gt;""))),"")</f>
        <v>1.3107153079830167E-2</v>
      </c>
      <c r="AC498" cm="1">
        <f t="array" ref="AC498">IFERROR(AVERAGE(_xlfn._xlws.FILTER(U$2:U$1073,($C$2:$C$1073=$C498)*($E$2:$E$1073=$E498)*(ROW(U$2:U$1073)&lt;&gt;ROW(U498))*(U$2:U$1073&lt;&gt;""))),"")</f>
        <v>6.2968354519658218</v>
      </c>
      <c r="AD498" cm="1">
        <f t="array" ref="AD498">IFERROR(AVERAGE(_xlfn._xlws.FILTER(V$2:V$1073,($C$2:$C$1073=$C498)*($E$2:$E$1073=$E498)*(ROW(V$2:V$1073)&lt;&gt;ROW(V498))*(V$2:V$1073&lt;&gt;""))),"")</f>
        <v>0.70931365831308468</v>
      </c>
      <c r="AE498">
        <f>IF('Дивиденды по годам'!M498&lt;0,1,0)</f>
        <v>0</v>
      </c>
    </row>
    <row r="499" spans="1:31" x14ac:dyDescent="0.2">
      <c r="A499" s="7" t="s">
        <v>2316</v>
      </c>
      <c r="B499" t="str">
        <f t="shared" si="77"/>
        <v>APTK IV кв. 2024</v>
      </c>
      <c r="C499">
        <v>2024</v>
      </c>
      <c r="D499">
        <f>SUMIFS(Дивиденды!$C:$C,Дивиденды!$A:$A,A499,Дивиденды!$I:$I,C499)</f>
        <v>0</v>
      </c>
      <c r="E499">
        <v>4</v>
      </c>
      <c r="F499">
        <f t="shared" si="78"/>
        <v>0</v>
      </c>
      <c r="G499">
        <f t="shared" si="79"/>
        <v>62.511428571428574</v>
      </c>
      <c r="H499">
        <f t="shared" si="80"/>
        <v>0</v>
      </c>
      <c r="I499">
        <f t="shared" si="81"/>
        <v>0.5714285714285714</v>
      </c>
      <c r="J499">
        <f t="shared" si="82"/>
        <v>0</v>
      </c>
      <c r="K499">
        <f t="shared" si="87"/>
        <v>0.21145574536348383</v>
      </c>
      <c r="L499">
        <f t="shared" si="83"/>
        <v>0</v>
      </c>
      <c r="M499">
        <f t="shared" si="84"/>
        <v>0.35714285714285715</v>
      </c>
      <c r="N499">
        <f t="shared" si="85"/>
        <v>0</v>
      </c>
      <c r="O499">
        <f t="shared" si="86"/>
        <v>0.2857142857142857</v>
      </c>
      <c r="P499">
        <f>IFERROR(LN('Дивиденды по годам'!I499),"")</f>
        <v>24.830625336246005</v>
      </c>
      <c r="Q499">
        <f>IFERROR('Дивиденды по годам'!G499/'Дивиденды по годам'!I499, "")</f>
        <v>2.5647353008916528E-2</v>
      </c>
      <c r="R499">
        <f>IFERROR(IF(AND('Дивиденды по годам'!N499&lt;&gt;"",'Дивиденды по годам'!U499&lt;&gt;"",'Дивиденды по годам'!U499&lt;&gt;0),'Дивиденды по годам'!N499/'Дивиденды по годам'!U499-1,""),"")</f>
        <v>0.29402595088927819</v>
      </c>
      <c r="S499">
        <f>IFERROR(IF(AND('Дивиденды по годам'!L499&lt;&gt;"",'Дивиденды по годам'!I499&lt;&gt;"",'Дивиденды по годам'!J499&lt;&gt;"",'Дивиденды по годам'!K499&lt;&gt;"",('Дивиденды по годам'!I499-'Дивиденды по годам'!J499-'Дивиденды по годам'!K499)&lt;&gt;0),'Дивиденды по годам'!L499/('Дивиденды по годам'!I499-'Дивиденды по годам'!J499-'Дивиденды по годам'!K499),""),"")</f>
        <v>7.3384452670544684</v>
      </c>
      <c r="T499">
        <f>IFERROR(IF(AND('Дивиденды по годам'!Q499&lt;&gt;"",'Дивиденды по годам'!I499&lt;&gt;"",'Дивиденды по годам'!V499&lt;&gt;"",('Дивиденды по годам'!I499+'Дивиденды по годам'!V499)&lt;&gt;0),'Дивиденды по годам'!Q499/(('Дивиденды по годам'!I499+'Дивиденды по годам'!V499)/2),""),"")</f>
        <v>4.6840461738184621E-3</v>
      </c>
      <c r="U499">
        <f>IFERROR(IF(AND('Дивиденды по годам'!J499&lt;&gt;"",'Дивиденды по годам'!K499&lt;&gt;"",'Дивиденды по годам'!M499&lt;&gt;"",'Дивиденды по годам'!M499&lt;&gt;0),('Дивиденды по годам'!J499+'Дивиденды по годам'!K499)/'Дивиденды по годам'!M499,""),"")</f>
        <v>-9.0362242199894229</v>
      </c>
      <c r="V499">
        <f>IFERROR(IF(AND('Дивиденды по годам'!J499&lt;&gt;"",'Дивиденды по годам'!K499&lt;&gt;"",'Дивиденды по годам'!M499&lt;&gt;"",'Дивиденды по годам'!I499&lt;&gt;0),('Дивиденды по годам'!J499+'Дивиденды по годам'!K499)/'Дивиденды по годам'!I499,""),"")</f>
        <v>1.1244365478893166</v>
      </c>
      <c r="W499">
        <f>IFERROR('Дивиденды по годам'!I499,"")</f>
        <v>60786000000</v>
      </c>
      <c r="X499" cm="1">
        <f t="array" ref="X499">IFERROR(AVERAGE(_xlfn._xlws.FILTER(P$2:P$1073,($C$2:$C$1073=$C499)*($E$2:$E$1073=$E499)*(ROW(P$2:P$1073)&lt;&gt;ROW(P499))*(P$2:P$1073&lt;&gt;""))),"")</f>
        <v>25.61724188367495</v>
      </c>
      <c r="Y499" cm="1">
        <f t="array" ref="Y499">IFERROR(AVERAGE(_xlfn._xlws.FILTER(Q$2:Q$1073,($C$2:$C$1073=$C499)*($E$2:$E$1073=$E499)*(ROW(Q$2:Q$1073)&lt;&gt;ROW(Q499))*(Q$2:Q$1073&lt;&gt;""))),"")</f>
        <v>0.27987277966365648</v>
      </c>
      <c r="Z499" cm="1">
        <f t="array" ref="Z499">IFERROR(AVERAGE(_xlfn._xlws.FILTER(R$2:R$1073,($C$2:$C$1073=$C499)*($E$2:$E$1073=$E499)*(ROW(R$2:R$1073)&lt;&gt;ROW(R499))*(R$2:R$1073&lt;&gt;""))),"")</f>
        <v>0.26342503791086413</v>
      </c>
      <c r="AA499" cm="1">
        <f t="array" ref="AA499">IFERROR(AVERAGE(_xlfn._xlws.FILTER(S$2:S$1073,($C$2:$C$1073=$C499)*($E$2:$E$1073=$E499)*(ROW(S$2:S$1073)&lt;&gt;ROW(S499))*(S$2:S$1073&lt;&gt;""))),"")</f>
        <v>0.73052606439314671</v>
      </c>
      <c r="AB499" cm="1">
        <f t="array" ref="AB499">IFERROR(AVERAGE(_xlfn._xlws.FILTER(T$2:T$1073,($C$2:$C$1073=$C499)*($E$2:$E$1073=$E499)*(ROW(T$2:T$1073)&lt;&gt;ROW(T499))*(T$2:T$1073&lt;&gt;""))),"")</f>
        <v>7.7832180725511346E-2</v>
      </c>
      <c r="AC499" cm="1">
        <f t="array" ref="AC499">IFERROR(AVERAGE(_xlfn._xlws.FILTER(U$2:U$1073,($C$2:$C$1073=$C499)*($E$2:$E$1073=$E499)*(ROW(U$2:U$1073)&lt;&gt;ROW(U499))*(U$2:U$1073&lt;&gt;""))),"")</f>
        <v>4.9212993773673217</v>
      </c>
      <c r="AD499" cm="1">
        <f t="array" ref="AD499">IFERROR(AVERAGE(_xlfn._xlws.FILTER(V$2:V$1073,($C$2:$C$1073=$C499)*($E$2:$E$1073=$E499)*(ROW(V$2:V$1073)&lt;&gt;ROW(V499))*(V$2:V$1073&lt;&gt;""))),"")</f>
        <v>0.67134090174950689</v>
      </c>
      <c r="AE499">
        <f>IF('Дивиденды по годам'!M499&lt;0,1,0)</f>
        <v>1</v>
      </c>
    </row>
    <row r="500" spans="1:31" x14ac:dyDescent="0.2">
      <c r="A500" s="7" t="s">
        <v>2316</v>
      </c>
      <c r="B500" t="str">
        <f t="shared" si="77"/>
        <v>APTK IV кв. 2023</v>
      </c>
      <c r="C500">
        <v>2023</v>
      </c>
      <c r="D500">
        <f>SUMIFS(Дивиденды!$C:$C,Дивиденды!$A:$A,A500,Дивиденды!$I:$I,C500)</f>
        <v>0</v>
      </c>
      <c r="E500">
        <v>4</v>
      </c>
      <c r="F500">
        <f t="shared" si="78"/>
        <v>0</v>
      </c>
      <c r="G500">
        <f t="shared" si="79"/>
        <v>90.740000000000009</v>
      </c>
      <c r="H500">
        <f t="shared" si="80"/>
        <v>0</v>
      </c>
      <c r="I500">
        <f t="shared" si="81"/>
        <v>0.5</v>
      </c>
      <c r="J500">
        <f t="shared" si="82"/>
        <v>0</v>
      </c>
      <c r="K500">
        <f t="shared" si="87"/>
        <v>0.29812745098039217</v>
      </c>
      <c r="L500">
        <f t="shared" si="83"/>
        <v>0</v>
      </c>
      <c r="M500">
        <f t="shared" si="84"/>
        <v>0.42857142857142855</v>
      </c>
      <c r="N500">
        <f t="shared" si="85"/>
        <v>0</v>
      </c>
      <c r="O500">
        <f t="shared" si="86"/>
        <v>0</v>
      </c>
      <c r="P500">
        <f>IFERROR(LN('Дивиденды по годам'!I500),"")</f>
        <v>24.697662521932617</v>
      </c>
      <c r="Q500">
        <f>IFERROR('Дивиденды по годам'!G500/'Дивиденды по годам'!I500, "")</f>
        <v>3.3898305084745763E-2</v>
      </c>
      <c r="R500">
        <f>IFERROR(IF(AND('Дивиденды по годам'!N500&lt;&gt;"",'Дивиденды по годам'!U500&lt;&gt;"",'Дивиденды по годам'!U500&lt;&gt;0),'Дивиденды по годам'!N500/'Дивиденды по годам'!U500-1,""),"")</f>
        <v>0.14073296301314175</v>
      </c>
      <c r="S500">
        <f>IFERROR(IF(AND('Дивиденды по годам'!L500&lt;&gt;"",'Дивиденды по годам'!I500&lt;&gt;"",'Дивиденды по годам'!J500&lt;&gt;"",'Дивиденды по годам'!K500&lt;&gt;"",('Дивиденды по годам'!I500-'Дивиденды по годам'!J500-'Дивиденды по годам'!K500)&lt;&gt;0),'Дивиденды по годам'!L500/('Дивиденды по годам'!I500-'Дивиденды по годам'!J500-'Дивиденды по годам'!K500),""),"")</f>
        <v>8.1649831649831643</v>
      </c>
      <c r="T500">
        <f>IFERROR(IF(AND('Дивиденды по годам'!Q500&lt;&gt;"",'Дивиденды по годам'!I500&lt;&gt;"",'Дивиденды по годам'!V500&lt;&gt;"",('Дивиденды по годам'!I500+'Дивиденды по годам'!V500)&lt;&gt;0),'Дивиденды по годам'!Q500/(('Дивиденды по годам'!I500+'Дивиденды по годам'!V500)/2),""),"")</f>
        <v>2.4784171176008923E-3</v>
      </c>
      <c r="U500">
        <f>IFERROR(IF(AND('Дивиденды по годам'!J500&lt;&gt;"",'Дивиденды по годам'!K500&lt;&gt;"",'Дивиденды по годам'!M500&lt;&gt;"",'Дивиденды по годам'!M500&lt;&gt;0),('Дивиденды по годам'!J500+'Дивиденды по годам'!K500)/'Дивиденды по годам'!M500,""),"")</f>
        <v>-8.790660225442835</v>
      </c>
      <c r="V500">
        <f>IFERROR(IF(AND('Дивиденды по годам'!J500&lt;&gt;"",'Дивиденды по годам'!K500&lt;&gt;"",'Дивиденды по годам'!M500&lt;&gt;"",'Дивиденды по годам'!I500&lt;&gt;0),('Дивиденды по годам'!J500+'Дивиденды по годам'!K500)/'Дивиденды по годам'!I500,""),"")</f>
        <v>1.128358825961141</v>
      </c>
      <c r="W500">
        <f>IFERROR('Дивиденды по годам'!I500,"")</f>
        <v>53218000000</v>
      </c>
      <c r="X500" cm="1">
        <f t="array" ref="X500">IFERROR(AVERAGE(_xlfn._xlws.FILTER(P$2:P$1073,($C$2:$C$1073=$C500)*($E$2:$E$1073=$E500)*(ROW(P$2:P$1073)&lt;&gt;ROW(P500))*(P$2:P$1073&lt;&gt;""))),"")</f>
        <v>25.414776185816301</v>
      </c>
      <c r="Y500" cm="1">
        <f t="array" ref="Y500">IFERROR(AVERAGE(_xlfn._xlws.FILTER(Q$2:Q$1073,($C$2:$C$1073=$C500)*($E$2:$E$1073=$E500)*(ROW(Q$2:Q$1073)&lt;&gt;ROW(Q500))*(Q$2:Q$1073&lt;&gt;""))),"")</f>
        <v>0.26585090636349934</v>
      </c>
      <c r="Z500" cm="1">
        <f t="array" ref="Z500">IFERROR(AVERAGE(_xlfn._xlws.FILTER(R$2:R$1073,($C$2:$C$1073=$C500)*($E$2:$E$1073=$E500)*(ROW(R$2:R$1073)&lt;&gt;ROW(R500))*(R$2:R$1073&lt;&gt;""))),"")</f>
        <v>0.25494491799710728</v>
      </c>
      <c r="AA500" cm="1">
        <f t="array" ref="AA500">IFERROR(AVERAGE(_xlfn._xlws.FILTER(S$2:S$1073,($C$2:$C$1073=$C500)*($E$2:$E$1073=$E500)*(ROW(S$2:S$1073)&lt;&gt;ROW(S500))*(S$2:S$1073&lt;&gt;""))),"")</f>
        <v>0.75178050401890262</v>
      </c>
      <c r="AB500" cm="1">
        <f t="array" ref="AB500">IFERROR(AVERAGE(_xlfn._xlws.FILTER(T$2:T$1073,($C$2:$C$1073=$C500)*($E$2:$E$1073=$E500)*(ROW(T$2:T$1073)&lt;&gt;ROW(T500))*(T$2:T$1073&lt;&gt;""))),"")</f>
        <v>0.11929779204557962</v>
      </c>
      <c r="AC500" cm="1">
        <f t="array" ref="AC500">IFERROR(AVERAGE(_xlfn._xlws.FILTER(U$2:U$1073,($C$2:$C$1073=$C500)*($E$2:$E$1073=$E500)*(ROW(U$2:U$1073)&lt;&gt;ROW(U500))*(U$2:U$1073&lt;&gt;""))),"")</f>
        <v>3.4002021974336509</v>
      </c>
      <c r="AD500" cm="1">
        <f t="array" ref="AD500">IFERROR(AVERAGE(_xlfn._xlws.FILTER(V$2:V$1073,($C$2:$C$1073=$C500)*($E$2:$E$1073=$E500)*(ROW(V$2:V$1073)&lt;&gt;ROW(V500))*(V$2:V$1073&lt;&gt;""))),"")</f>
        <v>0.66130827547282911</v>
      </c>
      <c r="AE500">
        <f>IF('Дивиденды по годам'!M500&lt;0,1,0)</f>
        <v>1</v>
      </c>
    </row>
    <row r="501" spans="1:31" x14ac:dyDescent="0.2">
      <c r="A501" s="7" t="s">
        <v>2316</v>
      </c>
      <c r="B501" t="str">
        <f t="shared" si="77"/>
        <v>APTK IV кв. 2022</v>
      </c>
      <c r="C501">
        <v>2022</v>
      </c>
      <c r="D501">
        <f>SUMIFS(Дивиденды!$C:$C,Дивиденды!$A:$A,A501,Дивиденды!$I:$I,C501)</f>
        <v>0</v>
      </c>
      <c r="E501">
        <v>4</v>
      </c>
      <c r="F501">
        <f t="shared" si="78"/>
        <v>0</v>
      </c>
      <c r="G501">
        <f t="shared" si="79"/>
        <v>80.180000000000021</v>
      </c>
      <c r="H501">
        <f t="shared" si="80"/>
        <v>0</v>
      </c>
      <c r="I501">
        <f t="shared" si="81"/>
        <v>0.2857142857142857</v>
      </c>
      <c r="J501">
        <f t="shared" si="82"/>
        <v>0</v>
      </c>
      <c r="K501">
        <f t="shared" si="87"/>
        <v>0.49583624512073399</v>
      </c>
      <c r="L501">
        <f t="shared" si="83"/>
        <v>0</v>
      </c>
      <c r="M501">
        <f t="shared" si="84"/>
        <v>0.2857142857142857</v>
      </c>
      <c r="N501">
        <f t="shared" si="85"/>
        <v>0</v>
      </c>
      <c r="O501">
        <f t="shared" si="86"/>
        <v>7.1428571428571425E-2</v>
      </c>
      <c r="P501">
        <f>IFERROR(LN('Дивиденды по годам'!I501),"")</f>
        <v>24.498735746141445</v>
      </c>
      <c r="Q501">
        <f>IFERROR('Дивиденды по годам'!G501/'Дивиденды по годам'!I501, "")</f>
        <v>4.7205282222935484E-2</v>
      </c>
      <c r="R501">
        <f>IFERROR(IF(AND('Дивиденды по годам'!N501&lt;&gt;"",'Дивиденды по годам'!U501&lt;&gt;"",'Дивиденды по годам'!U501&lt;&gt;0),'Дивиденды по годам'!N501/'Дивиденды по годам'!U501-1,""),"")</f>
        <v>0.338835479775077</v>
      </c>
      <c r="S501">
        <f>IFERROR(IF(AND('Дивиденды по годам'!L501&lt;&gt;"",'Дивиденды по годам'!I501&lt;&gt;"",'Дивиденды по годам'!J501&lt;&gt;"",'Дивиденды по годам'!K501&lt;&gt;"",('Дивиденды по годам'!I501-'Дивиденды по годам'!J501-'Дивиденды по годам'!K501)&lt;&gt;0),'Дивиденды по годам'!L501/('Дивиденды по годам'!I501-'Дивиденды по годам'!J501-'Дивиденды по годам'!K501),""),"")</f>
        <v>8.6914943243663512</v>
      </c>
      <c r="T501">
        <f>IFERROR(IF(AND('Дивиденды по годам'!Q501&lt;&gt;"",'Дивиденды по годам'!I501&lt;&gt;"",'Дивиденды по годам'!V501&lt;&gt;"",('Дивиденды по годам'!I501+'Дивиденды по годам'!V501)&lt;&gt;0),'Дивиденды по годам'!Q501/(('Дивиденды по годам'!I501+'Дивиденды по годам'!V501)/2),""),"")</f>
        <v>5.4758192242998684E-3</v>
      </c>
      <c r="U501">
        <f>IFERROR(IF(AND('Дивиденды по годам'!J501&lt;&gt;"",'Дивиденды по годам'!K501&lt;&gt;"",'Дивиденды по годам'!M501&lt;&gt;"",'Дивиденды по годам'!M501&lt;&gt;0),('Дивиденды по годам'!J501+'Дивиденды по годам'!K501)/'Дивиденды по годам'!M501,""),"")</f>
        <v>-7.7824599595708284</v>
      </c>
      <c r="V501">
        <f>IFERROR(IF(AND('Дивиденды по годам'!J501&lt;&gt;"",'Дивиденды по годам'!K501&lt;&gt;"",'Дивиденды по годам'!M501&lt;&gt;"",'Дивиденды по годам'!I501&lt;&gt;0),('Дивиденды по годам'!J501+'Дивиденды по годам'!K501)/'Дивиденды по годам'!I501,""),"")</f>
        <v>1.1474391306341418</v>
      </c>
      <c r="W501">
        <f>IFERROR('Дивиденды по годам'!I501,"")</f>
        <v>43618000000</v>
      </c>
      <c r="X501" cm="1">
        <f t="array" ref="X501">IFERROR(AVERAGE(_xlfn._xlws.FILTER(P$2:P$1073,($C$2:$C$1073=$C501)*($E$2:$E$1073=$E501)*(ROW(P$2:P$1073)&lt;&gt;ROW(P501))*(P$2:P$1073&lt;&gt;""))),"")</f>
        <v>25.331462844332169</v>
      </c>
      <c r="Y501" cm="1">
        <f t="array" ref="Y501">IFERROR(AVERAGE(_xlfn._xlws.FILTER(Q$2:Q$1073,($C$2:$C$1073=$C501)*($E$2:$E$1073=$E501)*(ROW(Q$2:Q$1073)&lt;&gt;ROW(Q501))*(Q$2:Q$1073&lt;&gt;""))),"")</f>
        <v>0.26502742042013294</v>
      </c>
      <c r="Z501" cm="1">
        <f t="array" ref="Z501">IFERROR(AVERAGE(_xlfn._xlws.FILTER(R$2:R$1073,($C$2:$C$1073=$C501)*($E$2:$E$1073=$E501)*(ROW(R$2:R$1073)&lt;&gt;ROW(R501))*(R$2:R$1073&lt;&gt;""))),"")</f>
        <v>0.19298049508099921</v>
      </c>
      <c r="AA501" cm="1">
        <f t="array" ref="AA501">IFERROR(AVERAGE(_xlfn._xlws.FILTER(S$2:S$1073,($C$2:$C$1073=$C501)*($E$2:$E$1073=$E501)*(ROW(S$2:S$1073)&lt;&gt;ROW(S501))*(S$2:S$1073&lt;&gt;""))),"")</f>
        <v>0.72421531890110702</v>
      </c>
      <c r="AB501" cm="1">
        <f t="array" ref="AB501">IFERROR(AVERAGE(_xlfn._xlws.FILTER(T$2:T$1073,($C$2:$C$1073=$C501)*($E$2:$E$1073=$E501)*(ROW(T$2:T$1073)&lt;&gt;ROW(T501))*(T$2:T$1073&lt;&gt;""))),"")</f>
        <v>0.10948435070732226</v>
      </c>
      <c r="AC501" cm="1">
        <f t="array" ref="AC501">IFERROR(AVERAGE(_xlfn._xlws.FILTER(U$2:U$1073,($C$2:$C$1073=$C501)*($E$2:$E$1073=$E501)*(ROW(U$2:U$1073)&lt;&gt;ROW(U501))*(U$2:U$1073&lt;&gt;""))),"")</f>
        <v>3.0031387999589643</v>
      </c>
      <c r="AD501" cm="1">
        <f t="array" ref="AD501">IFERROR(AVERAGE(_xlfn._xlws.FILTER(V$2:V$1073,($C$2:$C$1073=$C501)*($E$2:$E$1073=$E501)*(ROW(V$2:V$1073)&lt;&gt;ROW(V501))*(V$2:V$1073&lt;&gt;""))),"")</f>
        <v>0.68221591768357259</v>
      </c>
      <c r="AE501">
        <f>IF('Дивиденды по годам'!M501&lt;0,1,0)</f>
        <v>1</v>
      </c>
    </row>
    <row r="502" spans="1:31" x14ac:dyDescent="0.2">
      <c r="A502" s="7" t="s">
        <v>2316</v>
      </c>
      <c r="B502" t="str">
        <f t="shared" si="77"/>
        <v>APTK IV кв. 2021</v>
      </c>
      <c r="C502">
        <v>2021</v>
      </c>
      <c r="D502">
        <f>SUMIFS(Дивиденды!$C:$C,Дивиденды!$A:$A,A502,Дивиденды!$I:$I,C502)</f>
        <v>0</v>
      </c>
      <c r="E502">
        <v>4</v>
      </c>
      <c r="F502">
        <f t="shared" si="78"/>
        <v>0</v>
      </c>
      <c r="G502">
        <f t="shared" si="79"/>
        <v>31.931428571428572</v>
      </c>
      <c r="H502">
        <f t="shared" si="80"/>
        <v>0</v>
      </c>
      <c r="I502">
        <f t="shared" si="81"/>
        <v>0.2857142857142857</v>
      </c>
      <c r="J502">
        <f t="shared" si="82"/>
        <v>0</v>
      </c>
      <c r="K502">
        <f t="shared" si="87"/>
        <v>0.1975016604235505</v>
      </c>
      <c r="L502">
        <f t="shared" si="83"/>
        <v>0</v>
      </c>
      <c r="M502">
        <f t="shared" si="84"/>
        <v>0.21428571428571427</v>
      </c>
      <c r="N502">
        <f t="shared" si="85"/>
        <v>0</v>
      </c>
      <c r="O502">
        <f t="shared" si="86"/>
        <v>7.1428571428571425E-2</v>
      </c>
      <c r="P502">
        <f>IFERROR(LN('Дивиденды по годам'!I502),"")</f>
        <v>24.356394709289027</v>
      </c>
      <c r="Q502">
        <f>IFERROR('Дивиденды по годам'!G502/'Дивиденды по годам'!I502, "")</f>
        <v>5.4849197747878727E-2</v>
      </c>
      <c r="R502">
        <f>IFERROR(IF(AND('Дивиденды по годам'!N502&lt;&gt;"",'Дивиденды по годам'!U502&lt;&gt;"",'Дивиденды по годам'!U502&lt;&gt;0),'Дивиденды по годам'!N502/'Дивиденды по годам'!U502-1,""),"")</f>
        <v>0.12318231593959306</v>
      </c>
      <c r="S502">
        <f>IFERROR(IF(AND('Дивиденды по годам'!L502&lt;&gt;"",'Дивиденды по годам'!I502&lt;&gt;"",'Дивиденды по годам'!J502&lt;&gt;"",'Дивиденды по годам'!K502&lt;&gt;"",('Дивиденды по годам'!I502-'Дивиденды по годам'!J502-'Дивиденды по годам'!K502)&lt;&gt;0),'Дивиденды по годам'!L502/('Дивиденды по годам'!I502-'Дивиденды по годам'!J502-'Дивиденды по годам'!K502),""),"")</f>
        <v>8.433724075743914</v>
      </c>
      <c r="T502">
        <f>IFERROR(IF(AND('Дивиденды по годам'!Q502&lt;&gt;"",'Дивиденды по годам'!I502&lt;&gt;"",'Дивиденды по годам'!V502&lt;&gt;"",('Дивиденды по годам'!I502+'Дивиденды по годам'!V502)&lt;&gt;0),'Дивиденды по годам'!Q502/(('Дивиденды по годам'!I502+'Дивиденды по годам'!V502)/2),""),"")</f>
        <v>-2.0594196772130632E-2</v>
      </c>
      <c r="U502">
        <f>IFERROR(IF(AND('Дивиденды по годам'!J502&lt;&gt;"",'Дивиденды по годам'!K502&lt;&gt;"",'Дивиденды по годам'!M502&lt;&gt;"",'Дивиденды по годам'!M502&lt;&gt;0),('Дивиденды по годам'!J502+'Дивиденды по годам'!K502)/'Дивиденды по годам'!M502,""),"")</f>
        <v>-6.6854523594830173</v>
      </c>
      <c r="V502">
        <f>IFERROR(IF(AND('Дивиденды по годам'!J502&lt;&gt;"",'Дивиденды по годам'!K502&lt;&gt;"",'Дивиденды по годам'!M502&lt;&gt;"",'Дивиденды по годам'!I502&lt;&gt;0),('Дивиденды по годам'!J502+'Дивиденды по годам'!K502)/'Дивиденды по годам'!I502,""),"")</f>
        <v>1.1758874996695832</v>
      </c>
      <c r="W502">
        <f>IFERROR('Дивиденды по годам'!I502,"")</f>
        <v>37831000000</v>
      </c>
      <c r="X502" cm="1">
        <f t="array" ref="X502">IFERROR(AVERAGE(_xlfn._xlws.FILTER(P$2:P$1073,($C$2:$C$1073=$C502)*($E$2:$E$1073=$E502)*(ROW(P$2:P$1073)&lt;&gt;ROW(P502))*(P$2:P$1073&lt;&gt;""))),"")</f>
        <v>25.257268145138081</v>
      </c>
      <c r="Y502" cm="1">
        <f t="array" ref="Y502">IFERROR(AVERAGE(_xlfn._xlws.FILTER(Q$2:Q$1073,($C$2:$C$1073=$C502)*($E$2:$E$1073=$E502)*(ROW(Q$2:Q$1073)&lt;&gt;ROW(Q502))*(Q$2:Q$1073&lt;&gt;""))),"")</f>
        <v>0.25029345392328745</v>
      </c>
      <c r="Z502" cm="1">
        <f t="array" ref="Z502">IFERROR(AVERAGE(_xlfn._xlws.FILTER(R$2:R$1073,($C$2:$C$1073=$C502)*($E$2:$E$1073=$E502)*(ROW(R$2:R$1073)&lt;&gt;ROW(R502))*(R$2:R$1073&lt;&gt;""))),"")</f>
        <v>0.34191257257133278</v>
      </c>
      <c r="AA502" cm="1">
        <f t="array" ref="AA502">IFERROR(AVERAGE(_xlfn._xlws.FILTER(S$2:S$1073,($C$2:$C$1073=$C502)*($E$2:$E$1073=$E502)*(ROW(S$2:S$1073)&lt;&gt;ROW(S502))*(S$2:S$1073&lt;&gt;""))),"")</f>
        <v>0.72954364629859769</v>
      </c>
      <c r="AB502" cm="1">
        <f t="array" ref="AB502">IFERROR(AVERAGE(_xlfn._xlws.FILTER(T$2:T$1073,($C$2:$C$1073=$C502)*($E$2:$E$1073=$E502)*(ROW(T$2:T$1073)&lt;&gt;ROW(T502))*(T$2:T$1073&lt;&gt;""))),"")</f>
        <v>0.11776854648795437</v>
      </c>
      <c r="AC502" cm="1">
        <f t="array" ref="AC502">IFERROR(AVERAGE(_xlfn._xlws.FILTER(U$2:U$1073,($C$2:$C$1073=$C502)*($E$2:$E$1073=$E502)*(ROW(U$2:U$1073)&lt;&gt;ROW(U502))*(U$2:U$1073&lt;&gt;""))),"")</f>
        <v>18.905638712576447</v>
      </c>
      <c r="AD502" cm="1">
        <f t="array" ref="AD502">IFERROR(AVERAGE(_xlfn._xlws.FILTER(V$2:V$1073,($C$2:$C$1073=$C502)*($E$2:$E$1073=$E502)*(ROW(V$2:V$1073)&lt;&gt;ROW(V502))*(V$2:V$1073&lt;&gt;""))),"")</f>
        <v>0.73915578752350874</v>
      </c>
      <c r="AE502">
        <f>IF('Дивиденды по годам'!M502&lt;0,1,0)</f>
        <v>1</v>
      </c>
    </row>
    <row r="503" spans="1:31" x14ac:dyDescent="0.2">
      <c r="A503" s="7" t="s">
        <v>2316</v>
      </c>
      <c r="B503" t="str">
        <f t="shared" si="77"/>
        <v>APTK IV кв. 2020</v>
      </c>
      <c r="C503">
        <v>2020</v>
      </c>
      <c r="D503">
        <f>SUMIFS(Дивиденды!$C:$C,Дивиденды!$A:$A,A503,Дивиденды!$I:$I,C503)</f>
        <v>0</v>
      </c>
      <c r="E503">
        <v>4</v>
      </c>
      <c r="F503">
        <f t="shared" si="78"/>
        <v>0</v>
      </c>
      <c r="G503">
        <f t="shared" si="79"/>
        <v>43.293571428571433</v>
      </c>
      <c r="H503">
        <f t="shared" si="80"/>
        <v>0</v>
      </c>
      <c r="I503">
        <f t="shared" si="81"/>
        <v>0.2857142857142857</v>
      </c>
      <c r="J503">
        <f t="shared" si="82"/>
        <v>0</v>
      </c>
      <c r="K503">
        <f t="shared" si="87"/>
        <v>0.26831617204892738</v>
      </c>
      <c r="L503">
        <f t="shared" si="83"/>
        <v>0</v>
      </c>
      <c r="M503">
        <f t="shared" si="84"/>
        <v>0.2857142857142857</v>
      </c>
      <c r="N503">
        <f t="shared" si="85"/>
        <v>0</v>
      </c>
      <c r="O503">
        <f t="shared" si="86"/>
        <v>0</v>
      </c>
      <c r="P503">
        <f>IFERROR(LN('Дивиденды по годам'!I503),"")</f>
        <v>24.720144564275024</v>
      </c>
      <c r="Q503">
        <f>IFERROR('Дивиденды по годам'!G503/'Дивиденды по годам'!I503, "")</f>
        <v>3.7609318733005069E-2</v>
      </c>
      <c r="R503">
        <f>IFERROR(IF(AND('Дивиденды по годам'!N503&lt;&gt;"",'Дивиденды по годам'!U503&lt;&gt;"",'Дивиденды по годам'!U503&lt;&gt;0),'Дивиденды по годам'!N503/'Дивиденды по годам'!U503-1,""),"")</f>
        <v>-0.14727789962865645</v>
      </c>
      <c r="S503">
        <f>IFERROR(IF(AND('Дивиденды по годам'!L503&lt;&gt;"",'Дивиденды по годам'!I503&lt;&gt;"",'Дивиденды по годам'!J503&lt;&gt;"",'Дивиденды по годам'!K503&lt;&gt;"",('Дивиденды по годам'!I503-'Дивиденды по годам'!J503-'Дивиденды по годам'!K503)&lt;&gt;0),'Дивиденды по годам'!L503/('Дивиденды по годам'!I503-'Дивиденды по годам'!J503-'Дивиденды по годам'!K503),""),"")</f>
        <v>9.6718092566619909</v>
      </c>
      <c r="T503">
        <f>IFERROR(IF(AND('Дивиденды по годам'!Q503&lt;&gt;"",'Дивиденды по годам'!I503&lt;&gt;"",'Дивиденды по годам'!V503&lt;&gt;"",('Дивиденды по годам'!I503+'Дивиденды по годам'!V503)&lt;&gt;0),'Дивиденды по годам'!Q503/(('Дивиденды по годам'!I503+'Дивиденды по годам'!V503)/2),""),"")</f>
        <v>-2.2792022792022793E-2</v>
      </c>
      <c r="U503">
        <f>IFERROR(IF(AND('Дивиденды по годам'!J503&lt;&gt;"",'Дивиденды по годам'!K503&lt;&gt;"",'Дивиденды по годам'!M503&lt;&gt;"",'Дивиденды по годам'!M503&lt;&gt;0),('Дивиденды по годам'!J503+'Дивиденды по годам'!K503)/'Дивиденды по годам'!M503,""),"")</f>
        <v>-10.542075736325385</v>
      </c>
      <c r="V503">
        <f>IFERROR(IF(AND('Дивиденды по годам'!J503&lt;&gt;"",'Дивиденды по годам'!K503&lt;&gt;"",'Дивиденды по годам'!M503&lt;&gt;"",'Дивиденды по годам'!I503&lt;&gt;0),('Дивиденды по годам'!J503+'Дивиденды по годам'!K503)/'Дивиденды по годам'!I503,""),"")</f>
        <v>1.104799000514441</v>
      </c>
      <c r="W503">
        <f>IFERROR('Дивиденды по годам'!I503,"")</f>
        <v>54428000000</v>
      </c>
      <c r="X503" cm="1">
        <f t="array" ref="X503">IFERROR(AVERAGE(_xlfn._xlws.FILTER(P$2:P$1073,($C$2:$C$1073=$C503)*($E$2:$E$1073=$E503)*(ROW(P$2:P$1073)&lt;&gt;ROW(P503))*(P$2:P$1073&lt;&gt;""))),"")</f>
        <v>25.349262950876451</v>
      </c>
      <c r="Y503" cm="1">
        <f t="array" ref="Y503">IFERROR(AVERAGE(_xlfn._xlws.FILTER(Q$2:Q$1073,($C$2:$C$1073=$C503)*($E$2:$E$1073=$E503)*(ROW(Q$2:Q$1073)&lt;&gt;ROW(Q503))*(Q$2:Q$1073&lt;&gt;""))),"")</f>
        <v>0.28956229600461753</v>
      </c>
      <c r="Z503" cm="1">
        <f t="array" ref="Z503">IFERROR(AVERAGE(_xlfn._xlws.FILTER(R$2:R$1073,($C$2:$C$1073=$C503)*($E$2:$E$1073=$E503)*(ROW(R$2:R$1073)&lt;&gt;ROW(R503))*(R$2:R$1073&lt;&gt;""))),"")</f>
        <v>0.12734394935600307</v>
      </c>
      <c r="AA503" cm="1">
        <f t="array" ref="AA503">IFERROR(AVERAGE(_xlfn._xlws.FILTER(S$2:S$1073,($C$2:$C$1073=$C503)*($E$2:$E$1073=$E503)*(ROW(S$2:S$1073)&lt;&gt;ROW(S503))*(S$2:S$1073&lt;&gt;""))),"")</f>
        <v>0.72599668244151416</v>
      </c>
      <c r="AB503" cm="1">
        <f t="array" ref="AB503">IFERROR(AVERAGE(_xlfn._xlws.FILTER(T$2:T$1073,($C$2:$C$1073=$C503)*($E$2:$E$1073=$E503)*(ROW(T$2:T$1073)&lt;&gt;ROW(T503))*(T$2:T$1073&lt;&gt;""))),"")</f>
        <v>7.8766386966105079E-2</v>
      </c>
      <c r="AC503" cm="1">
        <f t="array" ref="AC503">IFERROR(AVERAGE(_xlfn._xlws.FILTER(U$2:U$1073,($C$2:$C$1073=$C503)*($E$2:$E$1073=$E503)*(ROW(U$2:U$1073)&lt;&gt;ROW(U503))*(U$2:U$1073&lt;&gt;""))),"")</f>
        <v>-10.259999442455559</v>
      </c>
      <c r="AD503" cm="1">
        <f t="array" ref="AD503">IFERROR(AVERAGE(_xlfn._xlws.FILTER(V$2:V$1073,($C$2:$C$1073=$C503)*($E$2:$E$1073=$E503)*(ROW(V$2:V$1073)&lt;&gt;ROW(V503))*(V$2:V$1073&lt;&gt;""))),"")</f>
        <v>0.73738243910971379</v>
      </c>
      <c r="AE503">
        <f>IF('Дивиденды по годам'!M503&lt;0,1,0)</f>
        <v>1</v>
      </c>
    </row>
    <row r="504" spans="1:31" x14ac:dyDescent="0.2">
      <c r="A504" s="7" t="s">
        <v>2316</v>
      </c>
      <c r="B504" t="str">
        <f t="shared" si="77"/>
        <v>APTK IV кв. 2019</v>
      </c>
      <c r="C504">
        <v>2019</v>
      </c>
      <c r="D504">
        <f>SUMIFS(Дивиденды!$C:$C,Дивиденды!$A:$A,A504,Дивиденды!$I:$I,C504)</f>
        <v>0</v>
      </c>
      <c r="E504">
        <v>4</v>
      </c>
      <c r="F504">
        <f t="shared" si="78"/>
        <v>0</v>
      </c>
      <c r="G504">
        <f t="shared" si="79"/>
        <v>24.398571428571426</v>
      </c>
      <c r="H504">
        <f t="shared" si="80"/>
        <v>0</v>
      </c>
      <c r="I504">
        <f t="shared" si="81"/>
        <v>0.21428571428571427</v>
      </c>
      <c r="J504">
        <f t="shared" si="82"/>
        <v>0</v>
      </c>
      <c r="K504">
        <f t="shared" si="87"/>
        <v>0.10876410731109194</v>
      </c>
      <c r="L504">
        <f t="shared" si="83"/>
        <v>0</v>
      </c>
      <c r="M504">
        <f t="shared" si="84"/>
        <v>0.21428571428571427</v>
      </c>
      <c r="N504">
        <f t="shared" si="85"/>
        <v>0</v>
      </c>
      <c r="O504">
        <f t="shared" si="86"/>
        <v>0</v>
      </c>
      <c r="P504">
        <f>IFERROR(LN('Дивиденды по годам'!I504),"")</f>
        <v>24.20819143413928</v>
      </c>
      <c r="Q504">
        <f>IFERROR('Дивиденды по годам'!G504/'Дивиденды по годам'!I504, "")</f>
        <v>4.9172286940527284E-2</v>
      </c>
      <c r="R504">
        <f>IFERROR(IF(AND('Дивиденды по годам'!N504&lt;&gt;"",'Дивиденды по годам'!U504&lt;&gt;"",'Дивиденды по годам'!U504&lt;&gt;0),'Дивиденды по годам'!N504/'Дивиденды по годам'!U504-1,""),"")</f>
        <v>3.1009313988894949E-2</v>
      </c>
      <c r="S504">
        <f>IFERROR(IF(AND('Дивиденды по годам'!L504&lt;&gt;"",'Дивиденды по годам'!I504&lt;&gt;"",'Дивиденды по годам'!J504&lt;&gt;"",'Дивиденды по годам'!K504&lt;&gt;"",('Дивиденды по годам'!I504-'Дивиденды по годам'!J504-'Дивиденды по годам'!K504)&lt;&gt;0),'Дивиденды по годам'!L504/('Дивиденды по годам'!I504-'Дивиденды по годам'!J504-'Дивиденды по годам'!K504),""),"")</f>
        <v>2.6116063847851927</v>
      </c>
      <c r="T504">
        <f>IFERROR(IF(AND('Дивиденды по годам'!Q504&lt;&gt;"",'Дивиденды по годам'!I504&lt;&gt;"",'Дивиденды по годам'!V504&lt;&gt;"",('Дивиденды по годам'!I504+'Дивиденды по годам'!V504)&lt;&gt;0),'Дивиденды по годам'!Q504/(('Дивиденды по годам'!I504+'Дивиденды по годам'!V504)/2),""),"")</f>
        <v>-0.27104791931312078</v>
      </c>
      <c r="U504">
        <f>IFERROR(IF(AND('Дивиденды по годам'!J504&lt;&gt;"",'Дивиденды по годам'!K504&lt;&gt;"",'Дивиденды по годам'!M504&lt;&gt;"",'Дивиденды по годам'!M504&lt;&gt;0),('Дивиденды по годам'!J504+'Дивиденды по годам'!K504)/'Дивиденды по годам'!M504,""),"")</f>
        <v>-2.3847851927322128</v>
      </c>
      <c r="V504">
        <f>IFERROR(IF(AND('Дивиденды по годам'!J504&lt;&gt;"",'Дивиденды по годам'!K504&lt;&gt;"",'Дивиденды по годам'!M504&lt;&gt;"",'Дивиденды по годам'!I504&lt;&gt;0),('Дивиденды по годам'!J504+'Дивиденды по годам'!K504)/'Дивиденды по годам'!I504,""),"")</f>
        <v>1.7221336603310853</v>
      </c>
      <c r="W504">
        <f>IFERROR('Дивиденды по годам'!I504,"")</f>
        <v>32620000000</v>
      </c>
      <c r="X504" cm="1">
        <f t="array" ref="X504">IFERROR(AVERAGE(_xlfn._xlws.FILTER(P$2:P$1073,($C$2:$C$1073=$C504)*($E$2:$E$1073=$E504)*(ROW(P$2:P$1073)&lt;&gt;ROW(P504))*(P$2:P$1073&lt;&gt;""))),"")</f>
        <v>25.229527428627208</v>
      </c>
      <c r="Y504" cm="1">
        <f t="array" ref="Y504">IFERROR(AVERAGE(_xlfn._xlws.FILTER(Q$2:Q$1073,($C$2:$C$1073=$C504)*($E$2:$E$1073=$E504)*(ROW(Q$2:Q$1073)&lt;&gt;ROW(Q504))*(Q$2:Q$1073&lt;&gt;""))),"")</f>
        <v>0.29851979645003002</v>
      </c>
      <c r="Z504" cm="1">
        <f t="array" ref="Z504">IFERROR(AVERAGE(_xlfn._xlws.FILTER(R$2:R$1073,($C$2:$C$1073=$C504)*($E$2:$E$1073=$E504)*(ROW(R$2:R$1073)&lt;&gt;ROW(R504))*(R$2:R$1073&lt;&gt;""))),"")</f>
        <v>0.47614578337257996</v>
      </c>
      <c r="AA504" cm="1">
        <f t="array" ref="AA504">IFERROR(AVERAGE(_xlfn._xlws.FILTER(S$2:S$1073,($C$2:$C$1073=$C504)*($E$2:$E$1073=$E504)*(ROW(S$2:S$1073)&lt;&gt;ROW(S504))*(S$2:S$1073&lt;&gt;""))),"")</f>
        <v>0.68275475192682933</v>
      </c>
      <c r="AB504" cm="1">
        <f t="array" ref="AB504">IFERROR(AVERAGE(_xlfn._xlws.FILTER(T$2:T$1073,($C$2:$C$1073=$C504)*($E$2:$E$1073=$E504)*(ROW(T$2:T$1073)&lt;&gt;ROW(T504))*(T$2:T$1073&lt;&gt;""))),"")</f>
        <v>0.10173401221460325</v>
      </c>
      <c r="AC504" cm="1">
        <f t="array" ref="AC504">IFERROR(AVERAGE(_xlfn._xlws.FILTER(U$2:U$1073,($C$2:$C$1073=$C504)*($E$2:$E$1073=$E504)*(ROW(U$2:U$1073)&lt;&gt;ROW(U504))*(U$2:U$1073&lt;&gt;""))),"")</f>
        <v>-2.6767631936199137</v>
      </c>
      <c r="AD504" cm="1">
        <f t="array" ref="AD504">IFERROR(AVERAGE(_xlfn._xlws.FILTER(V$2:V$1073,($C$2:$C$1073=$C504)*($E$2:$E$1073=$E504)*(ROW(V$2:V$1073)&lt;&gt;ROW(V504))*(V$2:V$1073&lt;&gt;""))),"")</f>
        <v>0.69979842151183602</v>
      </c>
      <c r="AE504">
        <f>IF('Дивиденды по годам'!M504&lt;0,1,0)</f>
        <v>1</v>
      </c>
    </row>
    <row r="505" spans="1:31" x14ac:dyDescent="0.2">
      <c r="A505" s="7" t="s">
        <v>2316</v>
      </c>
      <c r="B505" t="str">
        <f t="shared" si="77"/>
        <v>APTK IV кв. 2018</v>
      </c>
      <c r="C505">
        <v>2018</v>
      </c>
      <c r="D505">
        <f>SUMIFS(Дивиденды!$C:$C,Дивиденды!$A:$A,A505,Дивиденды!$I:$I,C505)</f>
        <v>0</v>
      </c>
      <c r="E505">
        <v>4</v>
      </c>
      <c r="F505">
        <f t="shared" si="78"/>
        <v>0</v>
      </c>
      <c r="G505">
        <f t="shared" si="79"/>
        <v>21.978571428571428</v>
      </c>
      <c r="H505">
        <f t="shared" si="80"/>
        <v>0</v>
      </c>
      <c r="I505">
        <f t="shared" si="81"/>
        <v>0.14285714285714285</v>
      </c>
      <c r="J505">
        <f t="shared" si="82"/>
        <v>0</v>
      </c>
      <c r="K505">
        <f t="shared" si="87"/>
        <v>-1.8223065562117002E-2</v>
      </c>
      <c r="L505">
        <f t="shared" si="83"/>
        <v>0</v>
      </c>
      <c r="M505">
        <f t="shared" si="84"/>
        <v>7.1428571428571425E-2</v>
      </c>
      <c r="N505">
        <f t="shared" si="85"/>
        <v>0</v>
      </c>
      <c r="O505">
        <f t="shared" si="86"/>
        <v>7.1428571428571425E-2</v>
      </c>
      <c r="P505">
        <f>IFERROR(LN('Дивиденды по годам'!I505),"")</f>
        <v>24.21122178586673</v>
      </c>
      <c r="Q505">
        <f>IFERROR('Дивиденды по годам'!G505/'Дивиденды по годам'!I505, "")</f>
        <v>3.2091445337571439E-2</v>
      </c>
      <c r="R505">
        <f>IFERROR(IF(AND('Дивиденды по годам'!N505&lt;&gt;"",'Дивиденды по годам'!U505&lt;&gt;"",'Дивиденды по годам'!U505&lt;&gt;0),'Дивиденды по годам'!N505/'Дивиденды по годам'!U505-1,""),"")</f>
        <v>-7.4378795100822792E-2</v>
      </c>
      <c r="S505">
        <f>IFERROR(IF(AND('Дивиденды по годам'!L505&lt;&gt;"",'Дивиденды по годам'!I505&lt;&gt;"",'Дивиденды по годам'!J505&lt;&gt;"",'Дивиденды по годам'!K505&lt;&gt;"",('Дивиденды по годам'!I505-'Дивиденды по годам'!J505-'Дивиденды по годам'!K505)&lt;&gt;0),'Дивиденды по годам'!L505/('Дивиденды по годам'!I505-'Дивиденды по годам'!J505-'Дивиденды по годам'!K505),""),"")</f>
        <v>1.430775918278635</v>
      </c>
      <c r="T505">
        <f>IFERROR(IF(AND('Дивиденды по годам'!Q505&lt;&gt;"",'Дивиденды по годам'!I505&lt;&gt;"",'Дивиденды по годам'!V505&lt;&gt;"",('Дивиденды по годам'!I505+'Дивиденды по годам'!V505)&lt;&gt;0),'Дивиденды по годам'!Q505/(('Дивиденды по годам'!I505+'Дивиденды по годам'!V505)/2),""),"")</f>
        <v>-0.63273117805804924</v>
      </c>
      <c r="U505">
        <f>IFERROR(IF(AND('Дивиденды по годам'!J505&lt;&gt;"",'Дивиденды по годам'!K505&lt;&gt;"",'Дивиденды по годам'!M505&lt;&gt;"",'Дивиденды по годам'!M505&lt;&gt;0),('Дивиденды по годам'!J505+'Дивиденды по годам'!K505)/'Дивиденды по годам'!M505,""),"")</f>
        <v>-1.8889100195609649</v>
      </c>
      <c r="V505">
        <f>IFERROR(IF(AND('Дивиденды по годам'!J505&lt;&gt;"",'Дивиденды по годам'!K505&lt;&gt;"",'Дивиденды по годам'!M505&lt;&gt;"",'Дивиденды по годам'!I505&lt;&gt;0),('Дивиденды по годам'!J505+'Дивиденды по годам'!K505)/'Дивиденды по годам'!I505,""),"")</f>
        <v>2.1249732571288855</v>
      </c>
      <c r="W505">
        <f>IFERROR('Дивиденды по годам'!I505,"")</f>
        <v>32719000000</v>
      </c>
      <c r="X505" cm="1">
        <f t="array" ref="X505">IFERROR(AVERAGE(_xlfn._xlws.FILTER(P$2:P$1073,($C$2:$C$1073=$C505)*($E$2:$E$1073=$E505)*(ROW(P$2:P$1073)&lt;&gt;ROW(P505))*(P$2:P$1073&lt;&gt;""))),"")</f>
        <v>25.024445524268103</v>
      </c>
      <c r="Y505" cm="1">
        <f t="array" ref="Y505">IFERROR(AVERAGE(_xlfn._xlws.FILTER(Q$2:Q$1073,($C$2:$C$1073=$C505)*($E$2:$E$1073=$E505)*(ROW(Q$2:Q$1073)&lt;&gt;ROW(Q505))*(Q$2:Q$1073&lt;&gt;""))),"")</f>
        <v>0.36366747676489114</v>
      </c>
      <c r="Z505" cm="1">
        <f t="array" ref="Z505">IFERROR(AVERAGE(_xlfn._xlws.FILTER(R$2:R$1073,($C$2:$C$1073=$C505)*($E$2:$E$1073=$E505)*(ROW(R$2:R$1073)&lt;&gt;ROW(R505))*(R$2:R$1073&lt;&gt;""))),"")</f>
        <v>7.8474469042437753E-2</v>
      </c>
      <c r="AA505" cm="1">
        <f t="array" ref="AA505">IFERROR(AVERAGE(_xlfn._xlws.FILTER(S$2:S$1073,($C$2:$C$1073=$C505)*($E$2:$E$1073=$E505)*(ROW(S$2:S$1073)&lt;&gt;ROW(S505))*(S$2:S$1073&lt;&gt;""))),"")</f>
        <v>0.51319326723697389</v>
      </c>
      <c r="AB505" cm="1">
        <f t="array" ref="AB505">IFERROR(AVERAGE(_xlfn._xlws.FILTER(T$2:T$1073,($C$2:$C$1073=$C505)*($E$2:$E$1073=$E505)*(ROW(T$2:T$1073)&lt;&gt;ROW(T505))*(T$2:T$1073&lt;&gt;""))),"")</f>
        <v>0.11378739220344815</v>
      </c>
      <c r="AC505" cm="1">
        <f t="array" ref="AC505">IFERROR(AVERAGE(_xlfn._xlws.FILTER(U$2:U$1073,($C$2:$C$1073=$C505)*($E$2:$E$1073=$E505)*(ROW(U$2:U$1073)&lt;&gt;ROW(U505))*(U$2:U$1073&lt;&gt;""))),"")</f>
        <v>1.5710632663184212</v>
      </c>
      <c r="AD505" cm="1">
        <f t="array" ref="AD505">IFERROR(AVERAGE(_xlfn._xlws.FILTER(V$2:V$1073,($C$2:$C$1073=$C505)*($E$2:$E$1073=$E505)*(ROW(V$2:V$1073)&lt;&gt;ROW(V505))*(V$2:V$1073&lt;&gt;""))),"")</f>
        <v>0.5981453932173314</v>
      </c>
      <c r="AE505">
        <f>IF('Дивиденды по годам'!M505&lt;0,1,0)</f>
        <v>1</v>
      </c>
    </row>
    <row r="506" spans="1:31" x14ac:dyDescent="0.2">
      <c r="A506" s="7" t="s">
        <v>2316</v>
      </c>
      <c r="B506" t="str">
        <f t="shared" si="77"/>
        <v>APTK IV кв. 2017</v>
      </c>
      <c r="C506">
        <v>2017</v>
      </c>
      <c r="D506">
        <f>SUMIFS(Дивиденды!$C:$C,Дивиденды!$A:$A,A506,Дивиденды!$I:$I,C506)</f>
        <v>0</v>
      </c>
      <c r="E506">
        <v>4</v>
      </c>
      <c r="F506">
        <f t="shared" si="78"/>
        <v>0</v>
      </c>
      <c r="G506">
        <f t="shared" si="79"/>
        <v>18.403571428571428</v>
      </c>
      <c r="H506">
        <f t="shared" si="80"/>
        <v>0</v>
      </c>
      <c r="I506">
        <f t="shared" si="81"/>
        <v>0.14285714285714285</v>
      </c>
      <c r="J506">
        <f t="shared" si="82"/>
        <v>0</v>
      </c>
      <c r="K506">
        <f t="shared" si="87"/>
        <v>-1.7352821773673279E-2</v>
      </c>
      <c r="L506">
        <f t="shared" si="83"/>
        <v>0</v>
      </c>
      <c r="M506">
        <f t="shared" si="84"/>
        <v>0</v>
      </c>
      <c r="N506">
        <f t="shared" si="85"/>
        <v>0</v>
      </c>
      <c r="O506">
        <f t="shared" si="86"/>
        <v>0.14285714285714285</v>
      </c>
      <c r="P506">
        <f>IFERROR(LN('Дивиденды по годам'!I506),"")</f>
        <v>24.40986769931629</v>
      </c>
      <c r="Q506">
        <f>IFERROR('Дивиденды по годам'!G506/'Дивиденды по годам'!I506, "")</f>
        <v>1.9569520659500364E-2</v>
      </c>
      <c r="R506">
        <f>IFERROR(IF(AND('Дивиденды по годам'!N506&lt;&gt;"",'Дивиденды по годам'!U506&lt;&gt;"",'Дивиденды по годам'!U506&lt;&gt;0),'Дивиденды по годам'!N506/'Дивиденды по годам'!U506-1,""),"")</f>
        <v>5.0188260386967665E-2</v>
      </c>
      <c r="S506">
        <f>IFERROR(IF(AND('Дивиденды по годам'!L506&lt;&gt;"",'Дивиденды по годам'!I506&lt;&gt;"",'Дивиденды по годам'!J506&lt;&gt;"",'Дивиденды по годам'!K506&lt;&gt;"",('Дивиденды по годам'!I506-'Дивиденды по годам'!J506-'Дивиденды по годам'!K506)&lt;&gt;0),'Дивиденды по годам'!L506/('Дивиденды по годам'!I506-'Дивиденды по годам'!J506-'Дивиденды по годам'!K506),""),"")</f>
        <v>2.1484295845997972</v>
      </c>
      <c r="T506">
        <f>IFERROR(IF(AND('Дивиденды по годам'!Q506&lt;&gt;"",'Дивиденды по годам'!I506&lt;&gt;"",'Дивиденды по годам'!V506&lt;&gt;"",('Дивиденды по годам'!I506+'Дивиденды по годам'!V506)&lt;&gt;0),'Дивиденды по годам'!Q506/(('Дивиденды по годам'!I506+'Дивиденды по годам'!V506)/2),""),"")</f>
        <v>-0.30935846560846558</v>
      </c>
      <c r="U506">
        <f>IFERROR(IF(AND('Дивиденды по годам'!J506&lt;&gt;"",'Дивиденды по годам'!K506&lt;&gt;"",'Дивиденды по годам'!M506&lt;&gt;"",'Дивиденды по годам'!M506&lt;&gt;0),('Дивиденды по годам'!J506+'Дивиденды по годам'!K506)/'Дивиденды по годам'!M506,""),"")</f>
        <v>-3.8881893182805038</v>
      </c>
      <c r="V506">
        <f>IFERROR(IF(AND('Дивиденды по годам'!J506&lt;&gt;"",'Дивиденды по годам'!K506&lt;&gt;"",'Дивиденды по годам'!M506&lt;&gt;"",'Дивиденды по годам'!I506&lt;&gt;0),('Дивиденды по годам'!J506+'Дивиденды по годам'!K506)/'Дивиденды по годам'!I506,""),"")</f>
        <v>1.3462376907464482</v>
      </c>
      <c r="W506">
        <f>IFERROR('Дивиденды по годам'!I506,"")</f>
        <v>39909000000</v>
      </c>
      <c r="X506" cm="1">
        <f t="array" ref="X506">IFERROR(AVERAGE(_xlfn._xlws.FILTER(P$2:P$1073,($C$2:$C$1073=$C506)*($E$2:$E$1073=$E506)*(ROW(P$2:P$1073)&lt;&gt;ROW(P506))*(P$2:P$1073&lt;&gt;""))),"")</f>
        <v>24.79001770980047</v>
      </c>
      <c r="Y506" cm="1">
        <f t="array" ref="Y506">IFERROR(AVERAGE(_xlfn._xlws.FILTER(Q$2:Q$1073,($C$2:$C$1073=$C506)*($E$2:$E$1073=$E506)*(ROW(Q$2:Q$1073)&lt;&gt;ROW(Q506))*(Q$2:Q$1073&lt;&gt;""))),"")</f>
        <v>0.39318587466176452</v>
      </c>
      <c r="Z506" cm="1">
        <f t="array" ref="Z506">IFERROR(AVERAGE(_xlfn._xlws.FILTER(R$2:R$1073,($C$2:$C$1073=$C506)*($E$2:$E$1073=$E506)*(ROW(R$2:R$1073)&lt;&gt;ROW(R506))*(R$2:R$1073&lt;&gt;""))),"")</f>
        <v>0.28359941642357761</v>
      </c>
      <c r="AA506" cm="1">
        <f t="array" ref="AA506">IFERROR(AVERAGE(_xlfn._xlws.FILTER(S$2:S$1073,($C$2:$C$1073=$C506)*($E$2:$E$1073=$E506)*(ROW(S$2:S$1073)&lt;&gt;ROW(S506))*(S$2:S$1073&lt;&gt;""))),"")</f>
        <v>0.36263241231029752</v>
      </c>
      <c r="AB506" cm="1">
        <f t="array" ref="AB506">IFERROR(AVERAGE(_xlfn._xlws.FILTER(T$2:T$1073,($C$2:$C$1073=$C506)*($E$2:$E$1073=$E506)*(ROW(T$2:T$1073)&lt;&gt;ROW(T506))*(T$2:T$1073&lt;&gt;""))),"")</f>
        <v>4.3534138711905326E-2</v>
      </c>
      <c r="AC506" cm="1">
        <f t="array" ref="AC506">IFERROR(AVERAGE(_xlfn._xlws.FILTER(U$2:U$1073,($C$2:$C$1073=$C506)*($E$2:$E$1073=$E506)*(ROW(U$2:U$1073)&lt;&gt;ROW(U506))*(U$2:U$1073&lt;&gt;""))),"")</f>
        <v>1.3786064226307015</v>
      </c>
      <c r="AD506" cm="1">
        <f t="array" ref="AD506">IFERROR(AVERAGE(_xlfn._xlws.FILTER(V$2:V$1073,($C$2:$C$1073=$C506)*($E$2:$E$1073=$E506)*(ROW(V$2:V$1073)&lt;&gt;ROW(V506))*(V$2:V$1073&lt;&gt;""))),"")</f>
        <v>0.55325931103743908</v>
      </c>
      <c r="AE506">
        <f>IF('Дивиденды по годам'!M506&lt;0,1,0)</f>
        <v>1</v>
      </c>
    </row>
    <row r="507" spans="1:31" x14ac:dyDescent="0.2">
      <c r="A507" s="7" t="s">
        <v>2316</v>
      </c>
      <c r="B507" t="str">
        <f t="shared" si="77"/>
        <v>APTK IV кв. 2016</v>
      </c>
      <c r="C507">
        <v>2016</v>
      </c>
      <c r="D507">
        <f>SUMIFS(Дивиденды!$C:$C,Дивиденды!$A:$A,A507,Дивиденды!$I:$I,C507)</f>
        <v>0</v>
      </c>
      <c r="E507">
        <v>4</v>
      </c>
      <c r="F507">
        <f t="shared" si="78"/>
        <v>0</v>
      </c>
      <c r="G507">
        <f t="shared" si="79"/>
        <v>20.421428571428571</v>
      </c>
      <c r="H507">
        <f t="shared" si="80"/>
        <v>0</v>
      </c>
      <c r="I507">
        <f t="shared" si="81"/>
        <v>0.14285714285714285</v>
      </c>
      <c r="J507">
        <f t="shared" si="82"/>
        <v>0</v>
      </c>
      <c r="K507">
        <f t="shared" si="87"/>
        <v>2.0593461763560781E-2</v>
      </c>
      <c r="L507">
        <f t="shared" si="83"/>
        <v>0</v>
      </c>
      <c r="M507">
        <f t="shared" si="84"/>
        <v>7.1428571428571425E-2</v>
      </c>
      <c r="N507">
        <f t="shared" si="85"/>
        <v>0</v>
      </c>
      <c r="O507">
        <f t="shared" si="86"/>
        <v>7.1428571428571425E-2</v>
      </c>
      <c r="P507">
        <f>IFERROR(LN('Дивиденды по годам'!I507),"")</f>
        <v>24.524647742272805</v>
      </c>
      <c r="Q507">
        <f>IFERROR('Дивиденды по годам'!G507/'Дивиденды по годам'!I507, "")</f>
        <v>2.2920715769720528E-2</v>
      </c>
      <c r="R507">
        <f>IFERROR(IF(AND('Дивиденды по годам'!N507&lt;&gt;"",'Дивиденды по годам'!U507&lt;&gt;"",'Дивиденды по годам'!U507&lt;&gt;0),'Дивиденды по годам'!N507/'Дивиденды по годам'!U507-1,""),"")</f>
        <v>0.4407964879272499</v>
      </c>
      <c r="S507">
        <f>IFERROR(IF(AND('Дивиденды по годам'!L507&lt;&gt;"",'Дивиденды по годам'!I507&lt;&gt;"",'Дивиденды по годам'!J507&lt;&gt;"",'Дивиденды по годам'!K507&lt;&gt;"",('Дивиденды по годам'!I507-'Дивиденды по годам'!J507-'Дивиденды по годам'!K507)&lt;&gt;0),'Дивиденды по годам'!L507/('Дивиденды по годам'!I507-'Дивиденды по годам'!J507-'Дивиденды по годам'!K507),""),"")</f>
        <v>31.242937853107346</v>
      </c>
      <c r="T507">
        <f>IFERROR(IF(AND('Дивиденды по годам'!Q507&lt;&gt;"",'Дивиденды по годам'!I507&lt;&gt;"",'Дивиденды по годам'!V507&lt;&gt;"",('Дивиденды по годам'!I507+'Дивиденды по годам'!V507)&lt;&gt;0),'Дивиденды по годам'!Q507/(('Дивиденды по годам'!I507+'Дивиденды по годам'!V507)/2),""),"")</f>
        <v>-0.25930601995088587</v>
      </c>
      <c r="U507">
        <f>IFERROR(IF(AND('Дивиденды по годам'!J507&lt;&gt;"",'Дивиденды по годам'!K507&lt;&gt;"",'Дивиденды по годам'!M507&lt;&gt;"",'Дивиденды по годам'!M507&lt;&gt;0),('Дивиденды по годам'!J507+'Дивиденды по годам'!K507)/'Дивиденды по годам'!M507,""),"")</f>
        <v>-85.299435028248581</v>
      </c>
      <c r="V507">
        <f>IFERROR(IF(AND('Дивиденды по годам'!J507&lt;&gt;"",'Дивиденды по годам'!K507&lt;&gt;"",'Дивиденды по годам'!M507&lt;&gt;"",'Дивиденды по годам'!I507&lt;&gt;0),('Дивиденды по годам'!J507+'Дивиденды по годам'!K507)/'Дивиденды по годам'!I507,""),"")</f>
        <v>1.0118624757053816</v>
      </c>
      <c r="W507">
        <f>IFERROR('Дивиденды по годам'!I507,"")</f>
        <v>44763000000</v>
      </c>
      <c r="X507" cm="1">
        <f t="array" ref="X507">IFERROR(AVERAGE(_xlfn._xlws.FILTER(P$2:P$1073,($C$2:$C$1073=$C507)*($E$2:$E$1073=$E507)*(ROW(P$2:P$1073)&lt;&gt;ROW(P507))*(P$2:P$1073&lt;&gt;""))),"")</f>
        <v>24.562975047376597</v>
      </c>
      <c r="Y507" cm="1">
        <f t="array" ref="Y507">IFERROR(AVERAGE(_xlfn._xlws.FILTER(Q$2:Q$1073,($C$2:$C$1073=$C507)*($E$2:$E$1073=$E507)*(ROW(Q$2:Q$1073)&lt;&gt;ROW(Q507))*(Q$2:Q$1073&lt;&gt;""))),"")</f>
        <v>0.34275240730492146</v>
      </c>
      <c r="Z507" cm="1">
        <f t="array" ref="Z507">IFERROR(AVERAGE(_xlfn._xlws.FILTER(R$2:R$1073,($C$2:$C$1073=$C507)*($E$2:$E$1073=$E507)*(ROW(R$2:R$1073)&lt;&gt;ROW(R507))*(R$2:R$1073&lt;&gt;""))),"")</f>
        <v>7.4565516278677357E-2</v>
      </c>
      <c r="AA507" cm="1">
        <f t="array" ref="AA507">IFERROR(AVERAGE(_xlfn._xlws.FILTER(S$2:S$1073,($C$2:$C$1073=$C507)*($E$2:$E$1073=$E507)*(ROW(S$2:S$1073)&lt;&gt;ROW(S507))*(S$2:S$1073&lt;&gt;""))),"")</f>
        <v>-3.8399248325095919E-2</v>
      </c>
      <c r="AB507" cm="1">
        <f t="array" ref="AB507">IFERROR(AVERAGE(_xlfn._xlws.FILTER(T$2:T$1073,($C$2:$C$1073=$C507)*($E$2:$E$1073=$E507)*(ROW(T$2:T$1073)&lt;&gt;ROW(T507))*(T$2:T$1073&lt;&gt;""))),"")</f>
        <v>5.9675184997266401E-2</v>
      </c>
      <c r="AC507" cm="1">
        <f t="array" ref="AC507">IFERROR(AVERAGE(_xlfn._xlws.FILTER(U$2:U$1073,($C$2:$C$1073=$C507)*($E$2:$E$1073=$E507)*(ROW(U$2:U$1073)&lt;&gt;ROW(U507))*(U$2:U$1073&lt;&gt;""))),"")</f>
        <v>1.2692241306447862</v>
      </c>
      <c r="AD507" cm="1">
        <f t="array" ref="AD507">IFERROR(AVERAGE(_xlfn._xlws.FILTER(V$2:V$1073,($C$2:$C$1073=$C507)*($E$2:$E$1073=$E507)*(ROW(V$2:V$1073)&lt;&gt;ROW(V507))*(V$2:V$1073&lt;&gt;""))),"")</f>
        <v>0.55563291627542599</v>
      </c>
      <c r="AE507">
        <f>IF('Дивиденды по годам'!M507&lt;0,1,0)</f>
        <v>1</v>
      </c>
    </row>
    <row r="508" spans="1:31" x14ac:dyDescent="0.2">
      <c r="A508" s="7" t="s">
        <v>2316</v>
      </c>
      <c r="B508" t="str">
        <f t="shared" si="77"/>
        <v>APTK IV кв. 2015</v>
      </c>
      <c r="C508">
        <v>2015</v>
      </c>
      <c r="D508">
        <f>SUMIFS(Дивиденды!$C:$C,Дивиденды!$A:$A,A508,Дивиденды!$I:$I,C508)</f>
        <v>0</v>
      </c>
      <c r="E508">
        <v>4</v>
      </c>
      <c r="F508">
        <f t="shared" si="78"/>
        <v>0</v>
      </c>
      <c r="G508">
        <f t="shared" si="79"/>
        <v>22.574999999999999</v>
      </c>
      <c r="H508">
        <f t="shared" si="80"/>
        <v>0</v>
      </c>
      <c r="I508">
        <f t="shared" si="81"/>
        <v>0.14285714285714285</v>
      </c>
      <c r="J508">
        <f t="shared" si="82"/>
        <v>0</v>
      </c>
      <c r="K508">
        <f t="shared" si="87"/>
        <v>6.1102189263868886E-2</v>
      </c>
      <c r="L508">
        <f t="shared" si="83"/>
        <v>0</v>
      </c>
      <c r="M508">
        <f t="shared" si="84"/>
        <v>7.1428571428571425E-2</v>
      </c>
      <c r="N508">
        <f t="shared" si="85"/>
        <v>0</v>
      </c>
      <c r="O508">
        <f t="shared" si="86"/>
        <v>7.1428571428571425E-2</v>
      </c>
      <c r="P508">
        <f>IFERROR(LN('Дивиденды по годам'!I508),"")</f>
        <v>24.030665228202643</v>
      </c>
      <c r="Q508">
        <f>IFERROR('Дивиденды по годам'!G508/'Дивиденды по годам'!I508, "")</f>
        <v>3.675770667057187E-2</v>
      </c>
      <c r="R508">
        <f>IFERROR(IF(AND('Дивиденды по годам'!N508&lt;&gt;"",'Дивиденды по годам'!U508&lt;&gt;"",'Дивиденды по годам'!U508&lt;&gt;0),'Дивиденды по годам'!N508/'Дивиденды по годам'!U508-1,""),"")</f>
        <v>0.67217240836872749</v>
      </c>
      <c r="S508">
        <f>IFERROR(IF(AND('Дивиденды по годам'!L508&lt;&gt;"",'Дивиденды по годам'!I508&lt;&gt;"",'Дивиденды по годам'!J508&lt;&gt;"",'Дивиденды по годам'!K508&lt;&gt;"",('Дивиденды по годам'!I508-'Дивиденды по годам'!J508-'Дивиденды по годам'!K508)&lt;&gt;0),'Дивиденды по годам'!L508/('Дивиденды по годам'!I508-'Дивиденды по годам'!J508-'Дивиденды по годам'!K508),""),"")</f>
        <v>-5.2197406340057633</v>
      </c>
      <c r="T508">
        <f>IFERROR(IF(AND('Дивиденды по годам'!Q508&lt;&gt;"",'Дивиденды по годам'!I508&lt;&gt;"",'Дивиденды по годам'!V508&lt;&gt;"",('Дивиденды по годам'!I508+'Дивиденды по годам'!V508)&lt;&gt;0),'Дивиденды по годам'!Q508/(('Дивиденды по годам'!I508+'Дивиденды по годам'!V508)/2),""),"")</f>
        <v>-3.8754510223172521E-2</v>
      </c>
      <c r="U508">
        <f>IFERROR(IF(AND('Дивиденды по годам'!J508&lt;&gt;"",'Дивиденды по годам'!K508&lt;&gt;"",'Дивиденды по годам'!M508&lt;&gt;"",'Дивиденды по годам'!M508&lt;&gt;0),('Дивиденды по годам'!J508+'Дивиденды по годам'!K508)/'Дивиденды по годам'!M508,""),"")</f>
        <v>18.678674351585013</v>
      </c>
      <c r="V508">
        <f>IFERROR(IF(AND('Дивиденды по годам'!J508&lt;&gt;"",'Дивиденды по годам'!K508&lt;&gt;"",'Дивиденды по годам'!M508&lt;&gt;"",'Дивиденды по годам'!I508&lt;&gt;0),('Дивиденды по годам'!J508+'Дивиденды по годам'!K508)/'Дивиденды по годам'!I508,""),"")</f>
        <v>0.94918356886578314</v>
      </c>
      <c r="W508">
        <f>IFERROR('Дивиденды по годам'!I508,"")</f>
        <v>27314000000</v>
      </c>
      <c r="X508" cm="1">
        <f t="array" ref="X508">IFERROR(AVERAGE(_xlfn._xlws.FILTER(P$2:P$1073,($C$2:$C$1073=$C508)*($E$2:$E$1073=$E508)*(ROW(P$2:P$1073)&lt;&gt;ROW(P508))*(P$2:P$1073&lt;&gt;""))),"")</f>
        <v>25.036254777597716</v>
      </c>
      <c r="Y508" cm="1">
        <f t="array" ref="Y508">IFERROR(AVERAGE(_xlfn._xlws.FILTER(Q$2:Q$1073,($C$2:$C$1073=$C508)*($E$2:$E$1073=$E508)*(ROW(Q$2:Q$1073)&lt;&gt;ROW(Q508))*(Q$2:Q$1073&lt;&gt;""))),"")</f>
        <v>0.38384485758310632</v>
      </c>
      <c r="Z508" cm="1">
        <f t="array" ref="Z508">IFERROR(AVERAGE(_xlfn._xlws.FILTER(R$2:R$1073,($C$2:$C$1073=$C508)*($E$2:$E$1073=$E508)*(ROW(R$2:R$1073)&lt;&gt;ROW(R508))*(R$2:R$1073&lt;&gt;""))),"")</f>
        <v>4.360503183131207E-2</v>
      </c>
      <c r="AA508" cm="1">
        <f t="array" ref="AA508">IFERROR(AVERAGE(_xlfn._xlws.FILTER(S$2:S$1073,($C$2:$C$1073=$C508)*($E$2:$E$1073=$E508)*(ROW(S$2:S$1073)&lt;&gt;ROW(S508))*(S$2:S$1073&lt;&gt;""))),"")</f>
        <v>0.93008870893751527</v>
      </c>
      <c r="AB508" cm="1">
        <f t="array" ref="AB508">IFERROR(AVERAGE(_xlfn._xlws.FILTER(T$2:T$1073,($C$2:$C$1073=$C508)*($E$2:$E$1073=$E508)*(ROW(T$2:T$1073)&lt;&gt;ROW(T508))*(T$2:T$1073&lt;&gt;""))),"")</f>
        <v>9.8294111665357897E-2</v>
      </c>
      <c r="AC508" cm="1">
        <f t="array" ref="AC508">IFERROR(AVERAGE(_xlfn._xlws.FILTER(U$2:U$1073,($C$2:$C$1073=$C508)*($E$2:$E$1073=$E508)*(ROW(U$2:U$1073)&lt;&gt;ROW(U508))*(U$2:U$1073&lt;&gt;""))),"")</f>
        <v>1.1323891595086397</v>
      </c>
      <c r="AD508" cm="1">
        <f t="array" ref="AD508">IFERROR(AVERAGE(_xlfn._xlws.FILTER(V$2:V$1073,($C$2:$C$1073=$C508)*($E$2:$E$1073=$E508)*(ROW(V$2:V$1073)&lt;&gt;ROW(V508))*(V$2:V$1073&lt;&gt;""))),"")</f>
        <v>0.52489244957627068</v>
      </c>
      <c r="AE508">
        <f>IF('Дивиденды по годам'!M508&lt;0,1,0)</f>
        <v>0</v>
      </c>
    </row>
    <row r="509" spans="1:31" x14ac:dyDescent="0.2">
      <c r="A509" s="7" t="s">
        <v>2316</v>
      </c>
      <c r="B509" t="str">
        <f t="shared" si="77"/>
        <v>APTK IV кв. 2014</v>
      </c>
      <c r="C509">
        <v>2014</v>
      </c>
      <c r="D509">
        <f>SUMIFS(Дивиденды!$C:$C,Дивиденды!$A:$A,A509,Дивиденды!$I:$I,C509)</f>
        <v>0</v>
      </c>
      <c r="E509">
        <v>4</v>
      </c>
      <c r="F509">
        <f t="shared" si="78"/>
        <v>0</v>
      </c>
      <c r="G509">
        <f t="shared" si="79"/>
        <v>25.924285714285713</v>
      </c>
      <c r="H509">
        <f t="shared" si="80"/>
        <v>0</v>
      </c>
      <c r="I509">
        <f t="shared" si="81"/>
        <v>7.1428571428571425E-2</v>
      </c>
      <c r="J509">
        <f t="shared" si="82"/>
        <v>0</v>
      </c>
      <c r="K509">
        <f t="shared" si="87"/>
        <v>4.887635107293415E-2</v>
      </c>
      <c r="L509">
        <f t="shared" si="83"/>
        <v>0</v>
      </c>
      <c r="M509">
        <f t="shared" si="84"/>
        <v>7.1428571428571425E-2</v>
      </c>
      <c r="N509">
        <f t="shared" si="85"/>
        <v>0</v>
      </c>
      <c r="O509">
        <f t="shared" si="86"/>
        <v>7.1428571428571425E-2</v>
      </c>
      <c r="P509">
        <f>IFERROR(LN('Дивиденды по годам'!I509),"")</f>
        <v>24.206043205600988</v>
      </c>
      <c r="Q509">
        <f>IFERROR('Дивиденды по годам'!G509/'Дивиденды по годам'!I509, "")</f>
        <v>4.8663594470046083E-2</v>
      </c>
      <c r="R509">
        <f>IFERROR(IF(AND('Дивиденды по годам'!N509&lt;&gt;"",'Дивиденды по годам'!U509&lt;&gt;"",'Дивиденды по годам'!U509&lt;&gt;0),'Дивиденды по годам'!N509/'Дивиденды по годам'!U509-1,""),"")</f>
        <v>0.60112501049450096</v>
      </c>
      <c r="S509">
        <f>IFERROR(IF(AND('Дивиденды по годам'!L509&lt;&gt;"",'Дивиденды по годам'!I509&lt;&gt;"",'Дивиденды по годам'!J509&lt;&gt;"",'Дивиденды по годам'!K509&lt;&gt;"",('Дивиденды по годам'!I509-'Дивиденды по годам'!J509-'Дивиденды по годам'!K509)&lt;&gt;0),'Дивиденды по годам'!L509/('Дивиденды по годам'!I509-'Дивиденды по годам'!J509-'Дивиденды по годам'!K509),""),"")</f>
        <v>-28.863636363636363</v>
      </c>
      <c r="T509">
        <f>IFERROR(IF(AND('Дивиденды по годам'!Q509&lt;&gt;"",'Дивиденды по годам'!I509&lt;&gt;"",'Дивиденды по годам'!V509&lt;&gt;"",('Дивиденды по годам'!I509+'Дивиденды по годам'!V509)&lt;&gt;0),'Дивиденды по годам'!Q509/(('Дивиденды по годам'!I509+'Дивиденды по годам'!V509)/2),""),"")</f>
        <v>2.3660173874766148E-3</v>
      </c>
      <c r="U509">
        <f>IFERROR(IF(AND('Дивиденды по годам'!J509&lt;&gt;"",'Дивиденды по годам'!K509&lt;&gt;"",'Дивиденды по годам'!M509&lt;&gt;"",'Дивиденды по годам'!M509&lt;&gt;0),('Дивиденды по годам'!J509+'Дивиденды по годам'!K509)/'Дивиденды по годам'!M509,""),"")</f>
        <v>133.50413223140495</v>
      </c>
      <c r="V509">
        <f>IFERROR(IF(AND('Дивиденды по годам'!J509&lt;&gt;"",'Дивиденды по годам'!K509&lt;&gt;"",'Дивиденды по годам'!M509&lt;&gt;"",'Дивиденды по годам'!I509&lt;&gt;0),('Дивиденды по годам'!J509+'Дивиденды по годам'!K509)/'Дивиденды по годам'!I509,""),"")</f>
        <v>0.99256528417818746</v>
      </c>
      <c r="W509">
        <f>IFERROR('Дивиденды по годам'!I509,"")</f>
        <v>32550000000</v>
      </c>
      <c r="X509" cm="1">
        <f t="array" ref="X509">IFERROR(AVERAGE(_xlfn._xlws.FILTER(P$2:P$1073,($C$2:$C$1073=$C509)*($E$2:$E$1073=$E509)*(ROW(P$2:P$1073)&lt;&gt;ROW(P509))*(P$2:P$1073&lt;&gt;""))),"")</f>
        <v>24.968453981916209</v>
      </c>
      <c r="Y509" cm="1">
        <f t="array" ref="Y509">IFERROR(AVERAGE(_xlfn._xlws.FILTER(Q$2:Q$1073,($C$2:$C$1073=$C509)*($E$2:$E$1073=$E509)*(ROW(Q$2:Q$1073)&lt;&gt;ROW(Q509))*(Q$2:Q$1073&lt;&gt;""))),"")</f>
        <v>0.37037815683354408</v>
      </c>
      <c r="Z509" cm="1">
        <f t="array" ref="Z509">IFERROR(AVERAGE(_xlfn._xlws.FILTER(R$2:R$1073,($C$2:$C$1073=$C509)*($E$2:$E$1073=$E509)*(ROW(R$2:R$1073)&lt;&gt;ROW(R509))*(R$2:R$1073&lt;&gt;""))),"")</f>
        <v>-8.6352075785101332E-2</v>
      </c>
      <c r="AA509" cm="1">
        <f t="array" ref="AA509">IFERROR(AVERAGE(_xlfn._xlws.FILTER(S$2:S$1073,($C$2:$C$1073=$C509)*($E$2:$E$1073=$E509)*(ROW(S$2:S$1073)&lt;&gt;ROW(S509))*(S$2:S$1073&lt;&gt;""))),"")</f>
        <v>0.94193423843942869</v>
      </c>
      <c r="AB509" cm="1">
        <f t="array" ref="AB509">IFERROR(AVERAGE(_xlfn._xlws.FILTER(T$2:T$1073,($C$2:$C$1073=$C509)*($E$2:$E$1073=$E509)*(ROW(T$2:T$1073)&lt;&gt;ROW(T509))*(T$2:T$1073&lt;&gt;""))),"")</f>
        <v>4.5822758525841965E-2</v>
      </c>
      <c r="AC509" cm="1">
        <f t="array" ref="AC509">IFERROR(AVERAGE(_xlfn._xlws.FILTER(U$2:U$1073,($C$2:$C$1073=$C509)*($E$2:$E$1073=$E509)*(ROW(U$2:U$1073)&lt;&gt;ROW(U509))*(U$2:U$1073&lt;&gt;""))),"")</f>
        <v>1.4243300201433804</v>
      </c>
      <c r="AD509" cm="1">
        <f t="array" ref="AD509">IFERROR(AVERAGE(_xlfn._xlws.FILTER(V$2:V$1073,($C$2:$C$1073=$C509)*($E$2:$E$1073=$E509)*(ROW(V$2:V$1073)&lt;&gt;ROW(V509))*(V$2:V$1073&lt;&gt;""))),"")</f>
        <v>0.56835815479451735</v>
      </c>
      <c r="AE509">
        <f>IF('Дивиденды по годам'!M509&lt;0,1,0)</f>
        <v>0</v>
      </c>
    </row>
    <row r="510" spans="1:31" x14ac:dyDescent="0.2">
      <c r="A510" s="7" t="s">
        <v>2316</v>
      </c>
      <c r="B510" t="str">
        <f t="shared" si="77"/>
        <v>APTK IV кв. 2013</v>
      </c>
      <c r="C510">
        <v>2013</v>
      </c>
      <c r="D510">
        <f>SUMIFS(Дивиденды!$C:$C,Дивиденды!$A:$A,A510,Дивиденды!$I:$I,C510)</f>
        <v>0</v>
      </c>
      <c r="E510">
        <v>4</v>
      </c>
      <c r="F510">
        <f t="shared" si="78"/>
        <v>0</v>
      </c>
      <c r="G510">
        <f t="shared" si="79"/>
        <v>13.409285714285716</v>
      </c>
      <c r="H510">
        <f t="shared" si="80"/>
        <v>0</v>
      </c>
      <c r="I510">
        <f t="shared" si="81"/>
        <v>0.14285714285714285</v>
      </c>
      <c r="J510">
        <f t="shared" si="82"/>
        <v>0</v>
      </c>
      <c r="K510">
        <f t="shared" si="87"/>
        <v>4.7291245939064024E-2</v>
      </c>
      <c r="L510">
        <f t="shared" si="83"/>
        <v>0</v>
      </c>
      <c r="M510">
        <f t="shared" si="84"/>
        <v>7.1428571428571425E-2</v>
      </c>
      <c r="N510">
        <f t="shared" si="85"/>
        <v>0</v>
      </c>
      <c r="O510">
        <f t="shared" si="86"/>
        <v>0</v>
      </c>
      <c r="P510">
        <f>IFERROR(LN('Дивиденды по годам'!I510),"")</f>
        <v>22.057740449336507</v>
      </c>
      <c r="Q510">
        <f>IFERROR('Дивиденды по годам'!G510/'Дивиденды по годам'!I510, "")</f>
        <v>0.26829910479199581</v>
      </c>
      <c r="R510">
        <f>IFERROR(IF(AND('Дивиденды по годам'!N510&lt;&gt;"",'Дивиденды по годам'!U510&lt;&gt;"",'Дивиденды по годам'!U510&lt;&gt;0),'Дивиденды по годам'!N510/'Дивиденды по годам'!U510-1,""),"")</f>
        <v>-0.20055037250822205</v>
      </c>
      <c r="S510" t="str">
        <f>IFERROR(IF(AND('Дивиденды по годам'!L510&lt;&gt;"",'Дивиденды по годам'!I510&lt;&gt;"",'Дивиденды по годам'!J510&lt;&gt;"",'Дивиденды по годам'!K510&lt;&gt;"",('Дивиденды по годам'!I510-'Дивиденды по годам'!J510-'Дивиденды по годам'!K510)&lt;&gt;0),'Дивиденды по годам'!L510/('Дивиденды по годам'!I510-'Дивиденды по годам'!J510-'Дивиденды по годам'!K510),""),"")</f>
        <v/>
      </c>
      <c r="T510">
        <f>IFERROR(IF(AND('Дивиденды по годам'!Q510&lt;&gt;"",'Дивиденды по годам'!I510&lt;&gt;"",'Дивиденды по годам'!V510&lt;&gt;"",('Дивиденды по годам'!I510+'Дивиденды по годам'!V510)&lt;&gt;0),'Дивиденды по годам'!Q510/(('Дивиденды по годам'!I510+'Дивиденды по годам'!V510)/2),""),"")</f>
        <v>-0.7722262759706594</v>
      </c>
      <c r="U510">
        <f>IFERROR(IF(AND('Дивиденды по годам'!J510&lt;&gt;"",'Дивиденды по годам'!K510&lt;&gt;"",'Дивиденды по годам'!M510&lt;&gt;"",'Дивиденды по годам'!M510&lt;&gt;0),('Дивиденды по годам'!J510+'Дивиденды по годам'!K510)/'Дивиденды по годам'!M510,""),"")</f>
        <v>-1.3570219966159052</v>
      </c>
      <c r="V510">
        <f>IFERROR(IF(AND('Дивиденды по годам'!J510&lt;&gt;"",'Дивиденды по годам'!K510&lt;&gt;"",'Дивиденды по годам'!M510&lt;&gt;"",'Дивиденды по годам'!I510&lt;&gt;0),('Дивиденды по годам'!J510+'Дивиденды по годам'!K510)/'Дивиденды по годам'!I510,""),"")</f>
        <v>3.8009478672985781</v>
      </c>
      <c r="W510">
        <f>IFERROR('Дивиденды по годам'!I510,"")</f>
        <v>3798000000</v>
      </c>
      <c r="X510" cm="1">
        <f t="array" ref="X510">IFERROR(AVERAGE(_xlfn._xlws.FILTER(P$2:P$1073,($C$2:$C$1073=$C510)*($E$2:$E$1073=$E510)*(ROW(P$2:P$1073)&lt;&gt;ROW(P510))*(P$2:P$1073&lt;&gt;""))),"")</f>
        <v>25.022497350650127</v>
      </c>
      <c r="Y510" cm="1">
        <f t="array" ref="Y510">IFERROR(AVERAGE(_xlfn._xlws.FILTER(Q$2:Q$1073,($C$2:$C$1073=$C510)*($E$2:$E$1073=$E510)*(ROW(Q$2:Q$1073)&lt;&gt;ROW(Q510))*(Q$2:Q$1073&lt;&gt;""))),"")</f>
        <v>0.37469193111821814</v>
      </c>
      <c r="Z510" cm="1">
        <f t="array" ref="Z510">IFERROR(AVERAGE(_xlfn._xlws.FILTER(R$2:R$1073,($C$2:$C$1073=$C510)*($E$2:$E$1073=$E510)*(ROW(R$2:R$1073)&lt;&gt;ROW(R510))*(R$2:R$1073&lt;&gt;""))),"")</f>
        <v>0.30060134639797365</v>
      </c>
      <c r="AA510" t="str" cm="1">
        <f t="array" ref="AA510">IFERROR(AVERAGE(_xlfn._xlws.FILTER(S$2:S$1073,($C$2:$C$1073=$C510)*($E$2:$E$1073=$E510)*(ROW(S$2:S$1073)&lt;&gt;ROW(S510))*(S$2:S$1073&lt;&gt;""))),"")</f>
        <v/>
      </c>
      <c r="AB510" cm="1">
        <f t="array" ref="AB510">IFERROR(AVERAGE(_xlfn._xlws.FILTER(T$2:T$1073,($C$2:$C$1073=$C510)*($E$2:$E$1073=$E510)*(ROW(T$2:T$1073)&lt;&gt;ROW(T510))*(T$2:T$1073&lt;&gt;""))),"")</f>
        <v>9.0873537813176308E-2</v>
      </c>
      <c r="AC510" cm="1">
        <f t="array" ref="AC510">IFERROR(AVERAGE(_xlfn._xlws.FILTER(U$2:U$1073,($C$2:$C$1073=$C510)*($E$2:$E$1073=$E510)*(ROW(U$2:U$1073)&lt;&gt;ROW(U510))*(U$2:U$1073&lt;&gt;""))),"")</f>
        <v>1.0465656946429822</v>
      </c>
      <c r="AD510" cm="1">
        <f t="array" ref="AD510">IFERROR(AVERAGE(_xlfn._xlws.FILTER(V$2:V$1073,($C$2:$C$1073=$C510)*($E$2:$E$1073=$E510)*(ROW(V$2:V$1073)&lt;&gt;ROW(V510))*(V$2:V$1073&lt;&gt;""))),"")</f>
        <v>0.50937728536601812</v>
      </c>
      <c r="AE510">
        <f>IF('Дивиденды по годам'!M510&lt;0,1,0)</f>
        <v>1</v>
      </c>
    </row>
    <row r="511" spans="1:31" x14ac:dyDescent="0.2">
      <c r="A511" s="7" t="s">
        <v>2316</v>
      </c>
      <c r="B511" t="str">
        <f t="shared" si="77"/>
        <v>APTK IV кв. 2012</v>
      </c>
      <c r="C511">
        <v>2012</v>
      </c>
      <c r="D511">
        <f>SUMIFS(Дивиденды!$C:$C,Дивиденды!$A:$A,A511,Дивиденды!$I:$I,C511)</f>
        <v>0</v>
      </c>
      <c r="E511">
        <v>4</v>
      </c>
      <c r="F511">
        <f t="shared" si="78"/>
        <v>0</v>
      </c>
      <c r="G511">
        <f t="shared" si="79"/>
        <v>9.5621428571428577</v>
      </c>
      <c r="H511">
        <f t="shared" si="80"/>
        <v>0</v>
      </c>
      <c r="I511">
        <f t="shared" si="81"/>
        <v>0.14285714285714285</v>
      </c>
      <c r="J511">
        <f t="shared" si="82"/>
        <v>0</v>
      </c>
      <c r="K511">
        <f t="shared" si="87"/>
        <v>0.25341100242975517</v>
      </c>
      <c r="L511">
        <f t="shared" si="83"/>
        <v>0</v>
      </c>
      <c r="M511">
        <f t="shared" si="84"/>
        <v>0.14285714285714285</v>
      </c>
      <c r="N511">
        <f t="shared" si="85"/>
        <v>0</v>
      </c>
      <c r="O511">
        <f t="shared" si="86"/>
        <v>0</v>
      </c>
      <c r="P511">
        <f>IFERROR(LN('Дивиденды по годам'!I511),"")</f>
        <v>23.825203269346719</v>
      </c>
      <c r="Q511">
        <f>IFERROR('Дивиденды по годам'!G511/'Дивиденды по годам'!I511, "")</f>
        <v>0.16973157681758913</v>
      </c>
      <c r="R511">
        <f>IFERROR(IF(AND('Дивиденды по годам'!N511&lt;&gt;"",'Дивиденды по годам'!U511&lt;&gt;"",'Дивиденды по годам'!U511&lt;&gt;0),'Дивиденды по годам'!N511/'Дивиденды по годам'!U511-1,""),"")</f>
        <v>-0.31003982587755863</v>
      </c>
      <c r="S511">
        <f>IFERROR(IF(AND('Дивиденды по годам'!L511&lt;&gt;"",'Дивиденды по годам'!I511&lt;&gt;"",'Дивиденды по годам'!J511&lt;&gt;"",'Дивиденды по годам'!K511&lt;&gt;"",('Дивиденды по годам'!I511-'Дивиденды по годам'!J511-'Дивиденды по годам'!K511)&lt;&gt;0),'Дивиденды по годам'!L511/('Дивиденды по годам'!I511-'Дивиденды по годам'!J511-'Дивиденды по годам'!K511),""),"")</f>
        <v>-1.7651061513336963</v>
      </c>
      <c r="T511">
        <f>IFERROR(IF(AND('Дивиденды по годам'!Q511&lt;&gt;"",'Дивиденды по годам'!I511&lt;&gt;"",'Дивиденды по годам'!V511&lt;&gt;"",('Дивиденды по годам'!I511+'Дивиденды по годам'!V511)&lt;&gt;0),'Дивиденды по годам'!Q511/(('Дивиденды по годам'!I511+'Дивиденды по годам'!V511)/2),""),"")</f>
        <v>4.7066291829146643E-2</v>
      </c>
      <c r="U511">
        <f>IFERROR(IF(AND('Дивиденды по годам'!J511&lt;&gt;"",'Дивиденды по годам'!K511&lt;&gt;"",'Дивиденды по годам'!M511&lt;&gt;"",'Дивиденды по годам'!M511&lt;&gt;0),('Дивиденды по годам'!J511+'Дивиденды по годам'!K511)/'Дивиденды по годам'!M511,""),"")</f>
        <v>5.0536200326619491</v>
      </c>
      <c r="V511">
        <f>IFERROR(IF(AND('Дивиденды по годам'!J511&lt;&gt;"",'Дивиденды по годам'!K511&lt;&gt;"",'Дивиденды по годам'!M511&lt;&gt;"",'Дивиденды по годам'!I511&lt;&gt;0),('Дивиденды по годам'!J511+'Дивиденды по годам'!K511)/'Дивиденды по годам'!I511,""),"")</f>
        <v>0.83480958589991461</v>
      </c>
      <c r="W511">
        <f>IFERROR('Дивиденды по годам'!I511,"")</f>
        <v>22241000000</v>
      </c>
      <c r="X511" cm="1">
        <f t="array" ref="X511">IFERROR(AVERAGE(_xlfn._xlws.FILTER(P$2:P$1073,($C$2:$C$1073=$C511)*($E$2:$E$1073=$E511)*(ROW(P$2:P$1073)&lt;&gt;ROW(P511))*(P$2:P$1073&lt;&gt;""))),"")</f>
        <v>24.329162316061005</v>
      </c>
      <c r="Y511" cm="1">
        <f t="array" ref="Y511">IFERROR(AVERAGE(_xlfn._xlws.FILTER(Q$2:Q$1073,($C$2:$C$1073=$C511)*($E$2:$E$1073=$E511)*(ROW(Q$2:Q$1073)&lt;&gt;ROW(Q511))*(Q$2:Q$1073&lt;&gt;""))),"")</f>
        <v>0.31013720881591</v>
      </c>
      <c r="Z511" cm="1">
        <f t="array" ref="Z511">IFERROR(AVERAGE(_xlfn._xlws.FILTER(R$2:R$1073,($C$2:$C$1073=$C511)*($E$2:$E$1073=$E511)*(ROW(R$2:R$1073)&lt;&gt;ROW(R511))*(R$2:R$1073&lt;&gt;""))),"")</f>
        <v>4.9357009628792803E-2</v>
      </c>
      <c r="AA511" t="str" cm="1">
        <f t="array" ref="AA511">IFERROR(AVERAGE(_xlfn._xlws.FILTER(S$2:S$1073,($C$2:$C$1073=$C511)*($E$2:$E$1073=$E511)*(ROW(S$2:S$1073)&lt;&gt;ROW(S511))*(S$2:S$1073&lt;&gt;""))),"")</f>
        <v/>
      </c>
      <c r="AB511" cm="1">
        <f t="array" ref="AB511">IFERROR(AVERAGE(_xlfn._xlws.FILTER(T$2:T$1073,($C$2:$C$1073=$C511)*($E$2:$E$1073=$E511)*(ROW(T$2:T$1073)&lt;&gt;ROW(T511))*(T$2:T$1073&lt;&gt;""))),"")</f>
        <v>7.3734000937965061E-2</v>
      </c>
      <c r="AC511" cm="1">
        <f t="array" ref="AC511">IFERROR(AVERAGE(_xlfn._xlws.FILTER(U$2:U$1073,($C$2:$C$1073=$C511)*($E$2:$E$1073=$E511)*(ROW(U$2:U$1073)&lt;&gt;ROW(U511))*(U$2:U$1073&lt;&gt;""))),"")</f>
        <v>-6.2173923699391702</v>
      </c>
      <c r="AD511" cm="1">
        <f t="array" ref="AD511">IFERROR(AVERAGE(_xlfn._xlws.FILTER(V$2:V$1073,($C$2:$C$1073=$C511)*($E$2:$E$1073=$E511)*(ROW(V$2:V$1073)&lt;&gt;ROW(V511))*(V$2:V$1073&lt;&gt;""))),"")</f>
        <v>0.64785758872648025</v>
      </c>
      <c r="AE511">
        <f>IF('Дивиденды по годам'!M511&lt;0,1,0)</f>
        <v>0</v>
      </c>
    </row>
    <row r="512" spans="1:31" x14ac:dyDescent="0.2">
      <c r="A512" s="7" t="s">
        <v>2316</v>
      </c>
      <c r="B512" t="str">
        <f t="shared" si="77"/>
        <v>APTK IV кв. 2011</v>
      </c>
      <c r="C512">
        <v>2011</v>
      </c>
      <c r="D512">
        <f>SUMIFS(Дивиденды!$C:$C,Дивиденды!$A:$A,A512,Дивиденды!$I:$I,C512)</f>
        <v>0</v>
      </c>
      <c r="E512">
        <v>4</v>
      </c>
      <c r="F512">
        <f t="shared" si="78"/>
        <v>0</v>
      </c>
      <c r="G512">
        <f t="shared" si="79"/>
        <v>1.6378571428571429</v>
      </c>
      <c r="H512">
        <f t="shared" si="80"/>
        <v>0</v>
      </c>
      <c r="I512">
        <f t="shared" si="81"/>
        <v>7.1428571428571425E-2</v>
      </c>
      <c r="J512">
        <f t="shared" si="82"/>
        <v>0</v>
      </c>
      <c r="K512">
        <f t="shared" si="87"/>
        <v>0.17786475320721892</v>
      </c>
      <c r="L512">
        <f t="shared" si="83"/>
        <v>0</v>
      </c>
      <c r="M512">
        <f t="shared" si="84"/>
        <v>7.1428571428571425E-2</v>
      </c>
      <c r="N512">
        <f t="shared" si="85"/>
        <v>0</v>
      </c>
      <c r="O512">
        <f t="shared" si="86"/>
        <v>0</v>
      </c>
      <c r="P512">
        <f>IFERROR(LN('Дивиденды по годам'!I512),"")</f>
        <v>23.808244488014598</v>
      </c>
      <c r="Q512">
        <f>IFERROR('Дивиденды по годам'!G512/'Дивиденды по годам'!I512, "")</f>
        <v>0.15068367860246032</v>
      </c>
      <c r="R512">
        <f>IFERROR(IF(AND('Дивиденды по годам'!N512&lt;&gt;"",'Дивиденды по годам'!U512&lt;&gt;"",'Дивиденды по годам'!U512&lt;&gt;0),'Дивиденды по годам'!N512/'Дивиденды по годам'!U512-1,""),"")</f>
        <v>5.9511017560386792E-2</v>
      </c>
      <c r="S512" t="str">
        <f>IFERROR(IF(AND('Дивиденды по годам'!L512&lt;&gt;"",'Дивиденды по годам'!I512&lt;&gt;"",'Дивиденды по годам'!J512&lt;&gt;"",'Дивиденды по годам'!K512&lt;&gt;"",('Дивиденды по годам'!I512-'Дивиденды по годам'!J512-'Дивиденды по годам'!K512)&lt;&gt;0),'Дивиденды по годам'!L512/('Дивиденды по годам'!I512-'Дивиденды по годам'!J512-'Дивиденды по годам'!K512),""),"")</f>
        <v/>
      </c>
      <c r="T512">
        <f>IFERROR(IF(AND('Дивиденды по годам'!Q512&lt;&gt;"",'Дивиденды по годам'!I512&lt;&gt;"",'Дивиденды по годам'!V512&lt;&gt;"",('Дивиденды по годам'!I512+'Дивиденды по годам'!V512)&lt;&gt;0),'Дивиденды по годам'!Q512/(('Дивиденды по годам'!I512+'Дивиденды по годам'!V512)/2),""),"")</f>
        <v>-1.4171101286470289E-2</v>
      </c>
      <c r="U512">
        <f>IFERROR(IF(AND('Дивиденды по годам'!J512&lt;&gt;"",'Дивиденды по годам'!K512&lt;&gt;"",'Дивиденды по годам'!M512&lt;&gt;"",'Дивиденды по годам'!M512&lt;&gt;0),('Дивиденды по годам'!J512+'Дивиденды по годам'!K512)/'Дивиденды по годам'!M512,""),"")</f>
        <v>4.2089090042877562</v>
      </c>
      <c r="V512">
        <f>IFERROR(IF(AND('Дивиденды по годам'!J512&lt;&gt;"",'Дивиденды по годам'!K512&lt;&gt;"",'Дивиденды по годам'!M512&lt;&gt;"",'Дивиденды по годам'!I512&lt;&gt;0),('Дивиденды по годам'!J512+'Дивиденды по годам'!K512)/'Дивиденды по годам'!I512,""),"")</f>
        <v>0.80802121918873193</v>
      </c>
      <c r="W512">
        <f>IFERROR('Дивиденды по годам'!I512,"")</f>
        <v>21867000000</v>
      </c>
      <c r="X512" cm="1">
        <f t="array" ref="X512">IFERROR(AVERAGE(_xlfn._xlws.FILTER(P$2:P$1073,($C$2:$C$1073=$C512)*($E$2:$E$1073=$E512)*(ROW(P$2:P$1073)&lt;&gt;ROW(P512))*(P$2:P$1073&lt;&gt;""))),"")</f>
        <v>24.273925263616949</v>
      </c>
      <c r="Y512" cm="1">
        <f t="array" ref="Y512">IFERROR(AVERAGE(_xlfn._xlws.FILTER(Q$2:Q$1073,($C$2:$C$1073=$C512)*($E$2:$E$1073=$E512)*(ROW(Q$2:Q$1073)&lt;&gt;ROW(Q512))*(Q$2:Q$1073&lt;&gt;""))),"")</f>
        <v>0.3323884866254283</v>
      </c>
      <c r="Z512" t="str" cm="1">
        <f t="array" ref="Z512">IFERROR(AVERAGE(_xlfn._xlws.FILTER(R$2:R$1073,($C$2:$C$1073=$C512)*($E$2:$E$1073=$E512)*(ROW(R$2:R$1073)&lt;&gt;ROW(R512))*(R$2:R$1073&lt;&gt;""))),"")</f>
        <v/>
      </c>
      <c r="AA512" t="str" cm="1">
        <f t="array" ref="AA512">IFERROR(AVERAGE(_xlfn._xlws.FILTER(S$2:S$1073,($C$2:$C$1073=$C512)*($E$2:$E$1073=$E512)*(ROW(S$2:S$1073)&lt;&gt;ROW(S512))*(S$2:S$1073&lt;&gt;""))),"")</f>
        <v/>
      </c>
      <c r="AB512" t="str" cm="1">
        <f t="array" ref="AB512">IFERROR(AVERAGE(_xlfn._xlws.FILTER(T$2:T$1073,($C$2:$C$1073=$C512)*($E$2:$E$1073=$E512)*(ROW(T$2:T$1073)&lt;&gt;ROW(T512))*(T$2:T$1073&lt;&gt;""))),"")</f>
        <v/>
      </c>
      <c r="AC512" cm="1">
        <f t="array" ref="AC512">IFERROR(AVERAGE(_xlfn._xlws.FILTER(U$2:U$1073,($C$2:$C$1073=$C512)*($E$2:$E$1073=$E512)*(ROW(U$2:U$1073)&lt;&gt;ROW(U512))*(U$2:U$1073&lt;&gt;""))),"")</f>
        <v>1.5109735866763803</v>
      </c>
      <c r="AD512" cm="1">
        <f t="array" ref="AD512">IFERROR(AVERAGE(_xlfn._xlws.FILTER(V$2:V$1073,($C$2:$C$1073=$C512)*($E$2:$E$1073=$E512)*(ROW(V$2:V$1073)&lt;&gt;ROW(V512))*(V$2:V$1073&lt;&gt;""))),"")</f>
        <v>0.56025011929361124</v>
      </c>
      <c r="AE512">
        <f>IF('Дивиденды по годам'!M512&lt;0,1,0)</f>
        <v>0</v>
      </c>
    </row>
    <row r="513" spans="1:31" x14ac:dyDescent="0.2">
      <c r="A513" s="7" t="s">
        <v>2316</v>
      </c>
      <c r="B513" t="str">
        <f t="shared" si="77"/>
        <v>APTK IV кв. 2010</v>
      </c>
      <c r="C513">
        <v>2010</v>
      </c>
      <c r="D513">
        <f>SUMIFS(Дивиденды!$C:$C,Дивиденды!$A:$A,A513,Дивиденды!$I:$I,C513)</f>
        <v>0</v>
      </c>
      <c r="E513">
        <v>4</v>
      </c>
      <c r="F513">
        <f t="shared" si="78"/>
        <v>0</v>
      </c>
      <c r="G513">
        <f t="shared" si="79"/>
        <v>0.46928571428571431</v>
      </c>
      <c r="H513">
        <f t="shared" si="80"/>
        <v>0</v>
      </c>
      <c r="I513">
        <f t="shared" si="81"/>
        <v>7.1428571428571425E-2</v>
      </c>
      <c r="J513" t="str">
        <f t="shared" si="82"/>
        <v/>
      </c>
      <c r="K513" t="str">
        <f t="shared" si="87"/>
        <v/>
      </c>
      <c r="L513" t="str">
        <f t="shared" si="83"/>
        <v/>
      </c>
      <c r="M513" t="str">
        <f t="shared" si="84"/>
        <v/>
      </c>
      <c r="N513" t="str">
        <f t="shared" si="85"/>
        <v/>
      </c>
      <c r="O513" t="str">
        <f t="shared" si="86"/>
        <v/>
      </c>
      <c r="P513">
        <f>IFERROR(LN('Дивиденды по годам'!I513),"")</f>
        <v>23.656010386255485</v>
      </c>
      <c r="Q513">
        <f>IFERROR('Дивиденды по годам'!G513/'Дивиденды по годам'!I513, "")</f>
        <v>0.15222241747474585</v>
      </c>
      <c r="R513" t="str">
        <f>IFERROR(IF(AND('Дивиденды по годам'!N513&lt;&gt;"",'Дивиденды по годам'!U513&lt;&gt;"",'Дивиденды по годам'!U513&lt;&gt;0),'Дивиденды по годам'!N513/'Дивиденды по годам'!U513-1,""),"")</f>
        <v/>
      </c>
      <c r="S513" t="str">
        <f>IFERROR(IF(AND('Дивиденды по годам'!L513&lt;&gt;"",'Дивиденды по годам'!I513&lt;&gt;"",'Дивиденды по годам'!J513&lt;&gt;"",'Дивиденды по годам'!K513&lt;&gt;"",('Дивиденды по годам'!I513-'Дивиденды по годам'!J513-'Дивиденды по годам'!K513)&lt;&gt;0),'Дивиденды по годам'!L513/('Дивиденды по годам'!I513-'Дивиденды по годам'!J513-'Дивиденды по годам'!K513),""),"")</f>
        <v/>
      </c>
      <c r="T513" t="str">
        <f>IFERROR(IF(AND('Дивиденды по годам'!Q513&lt;&gt;"",'Дивиденды по годам'!I513&lt;&gt;"",'Дивиденды по годам'!V513&lt;&gt;"",('Дивиденды по годам'!I513+'Дивиденды по годам'!V513)&lt;&gt;0),'Дивиденды по годам'!Q513/(('Дивиденды по годам'!I513+'Дивиденды по годам'!V513)/2),""),"")</f>
        <v/>
      </c>
      <c r="U513">
        <f>IFERROR(IF(AND('Дивиденды по годам'!J513&lt;&gt;"",'Дивиденды по годам'!K513&lt;&gt;"",'Дивиденды по годам'!M513&lt;&gt;"",'Дивиденды по годам'!M513&lt;&gt;0),('Дивиденды по годам'!J513+'Дивиденды по годам'!K513)/'Дивиденды по годам'!M513,""),"")</f>
        <v>2.8988498110700496</v>
      </c>
      <c r="V513">
        <f>IFERROR(IF(AND('Дивиденды по годам'!J513&lt;&gt;"",'Дивиденды по годам'!K513&lt;&gt;"",'Дивиденды по годам'!M513&lt;&gt;"",'Дивиденды по годам'!I513&lt;&gt;0),('Дивиденды по годам'!J513+'Дивиденды по годам'!K513)/'Дивиденды по годам'!I513,""),"")</f>
        <v>0.74351805997092513</v>
      </c>
      <c r="W513">
        <f>IFERROR('Дивиденды по годам'!I513,"")</f>
        <v>18779100000</v>
      </c>
      <c r="X513" t="str" cm="1">
        <f t="array" ref="X513">IFERROR(AVERAGE(_xlfn._xlws.FILTER(P$2:P$1073,($C$2:$C$1073=$C513)*($E$2:$E$1073=$E513)*(ROW(P$2:P$1073)&lt;&gt;ROW(P513))*(P$2:P$1073&lt;&gt;""))),"")</f>
        <v/>
      </c>
      <c r="Y513" t="str" cm="1">
        <f t="array" ref="Y513">IFERROR(AVERAGE(_xlfn._xlws.FILTER(Q$2:Q$1073,($C$2:$C$1073=$C513)*($E$2:$E$1073=$E513)*(ROW(Q$2:Q$1073)&lt;&gt;ROW(Q513))*(Q$2:Q$1073&lt;&gt;""))),"")</f>
        <v/>
      </c>
      <c r="Z513" t="str" cm="1">
        <f t="array" ref="Z513">IFERROR(AVERAGE(_xlfn._xlws.FILTER(R$2:R$1073,($C$2:$C$1073=$C513)*($E$2:$E$1073=$E513)*(ROW(R$2:R$1073)&lt;&gt;ROW(R513))*(R$2:R$1073&lt;&gt;""))),"")</f>
        <v/>
      </c>
      <c r="AA513" t="str" cm="1">
        <f t="array" ref="AA513">IFERROR(AVERAGE(_xlfn._xlws.FILTER(S$2:S$1073,($C$2:$C$1073=$C513)*($E$2:$E$1073=$E513)*(ROW(S$2:S$1073)&lt;&gt;ROW(S513))*(S$2:S$1073&lt;&gt;""))),"")</f>
        <v/>
      </c>
      <c r="AB513" t="str" cm="1">
        <f t="array" ref="AB513">IFERROR(AVERAGE(_xlfn._xlws.FILTER(T$2:T$1073,($C$2:$C$1073=$C513)*($E$2:$E$1073=$E513)*(ROW(T$2:T$1073)&lt;&gt;ROW(T513))*(T$2:T$1073&lt;&gt;""))),"")</f>
        <v/>
      </c>
      <c r="AC513" t="str" cm="1">
        <f t="array" ref="AC513">IFERROR(AVERAGE(_xlfn._xlws.FILTER(U$2:U$1073,($C$2:$C$1073=$C513)*($E$2:$E$1073=$E513)*(ROW(U$2:U$1073)&lt;&gt;ROW(U513))*(U$2:U$1073&lt;&gt;""))),"")</f>
        <v/>
      </c>
      <c r="AD513" t="str" cm="1">
        <f t="array" ref="AD513">IFERROR(AVERAGE(_xlfn._xlws.FILTER(V$2:V$1073,($C$2:$C$1073=$C513)*($E$2:$E$1073=$E513)*(ROW(V$2:V$1073)&lt;&gt;ROW(V513))*(V$2:V$1073&lt;&gt;""))),"")</f>
        <v/>
      </c>
      <c r="AE513">
        <f>IF('Дивиденды по годам'!M513&lt;0,1,0)</f>
        <v>0</v>
      </c>
    </row>
    <row r="514" spans="1:31" x14ac:dyDescent="0.2">
      <c r="A514" s="7" t="s">
        <v>2244</v>
      </c>
      <c r="B514" t="str">
        <f t="shared" si="77"/>
        <v>AQUA IV кв. 2025</v>
      </c>
      <c r="C514">
        <v>2025</v>
      </c>
      <c r="D514">
        <f>SUMIFS(Дивиденды!$C:$C,Дивиденды!$A:$A,A514,Дивиденды!$I:$I,C514)</f>
        <v>0</v>
      </c>
      <c r="E514">
        <v>4</v>
      </c>
      <c r="F514">
        <f t="shared" si="78"/>
        <v>0</v>
      </c>
      <c r="G514">
        <f t="shared" si="79"/>
        <v>31.581428571428571</v>
      </c>
      <c r="H514">
        <f t="shared" si="80"/>
        <v>0</v>
      </c>
      <c r="I514">
        <f t="shared" si="81"/>
        <v>0.42857142857142855</v>
      </c>
      <c r="J514">
        <f t="shared" si="82"/>
        <v>-1</v>
      </c>
      <c r="K514">
        <f t="shared" si="87"/>
        <v>-0.11109777181212485</v>
      </c>
      <c r="L514">
        <f t="shared" si="83"/>
        <v>0</v>
      </c>
      <c r="M514">
        <f t="shared" si="84"/>
        <v>0.14285714285714285</v>
      </c>
      <c r="N514">
        <f t="shared" si="85"/>
        <v>1</v>
      </c>
      <c r="O514">
        <f t="shared" si="86"/>
        <v>0.42857142857142855</v>
      </c>
      <c r="P514" t="str">
        <f>IFERROR(LN('Дивиденды по годам'!I514),"")</f>
        <v/>
      </c>
      <c r="Q514" t="str">
        <f>IFERROR('Дивиденды по годам'!G514/'Дивиденды по годам'!I514, "")</f>
        <v/>
      </c>
      <c r="R514" t="str">
        <f>IFERROR(IF(AND('Дивиденды по годам'!N514&lt;&gt;"",'Дивиденды по годам'!U514&lt;&gt;"",'Дивиденды по годам'!U514&lt;&gt;0),'Дивиденды по годам'!N514/'Дивиденды по годам'!U514-1,""),"")</f>
        <v/>
      </c>
      <c r="S514" t="str">
        <f>IFERROR(IF(AND('Дивиденды по годам'!L514&lt;&gt;"",'Дивиденды по годам'!I514&lt;&gt;"",'Дивиденды по годам'!J514&lt;&gt;"",'Дивиденды по годам'!K514&lt;&gt;"",('Дивиденды по годам'!I514-'Дивиденды по годам'!J514-'Дивиденды по годам'!K514)&lt;&gt;0),'Дивиденды по годам'!L514/('Дивиденды по годам'!I514-'Дивиденды по годам'!J514-'Дивиденды по годам'!K514),""),"")</f>
        <v/>
      </c>
      <c r="T514" t="str">
        <f>IFERROR(IF(AND('Дивиденды по годам'!Q514&lt;&gt;"",'Дивиденды по годам'!I514&lt;&gt;"",'Дивиденды по годам'!V514&lt;&gt;"",('Дивиденды по годам'!I514+'Дивиденды по годам'!V514)&lt;&gt;0),'Дивиденды по годам'!Q514/(('Дивиденды по годам'!I514+'Дивиденды по годам'!V514)/2),""),"")</f>
        <v/>
      </c>
      <c r="U514" t="str">
        <f>IFERROR(IF(AND('Дивиденды по годам'!J514&lt;&gt;"",'Дивиденды по годам'!K514&lt;&gt;"",'Дивиденды по годам'!M514&lt;&gt;"",'Дивиденды по годам'!M514&lt;&gt;0),('Дивиденды по годам'!J514+'Дивиденды по годам'!K514)/'Дивиденды по годам'!M514,""),"")</f>
        <v/>
      </c>
      <c r="V514" t="str">
        <f>IFERROR(IF(AND('Дивиденды по годам'!J514&lt;&gt;"",'Дивиденды по годам'!K514&lt;&gt;"",'Дивиденды по годам'!M514&lt;&gt;"",'Дивиденды по годам'!I514&lt;&gt;0),('Дивиденды по годам'!J514+'Дивиденды по годам'!K514)/'Дивиденды по годам'!I514,""),"")</f>
        <v/>
      </c>
      <c r="W514" t="str">
        <f>IFERROR('Дивиденды по годам'!I514,"")</f>
        <v/>
      </c>
      <c r="X514" cm="1">
        <f t="array" ref="X514">IFERROR(AVERAGE(_xlfn._xlws.FILTER(P$2:P$1073,($C$2:$C$1073=$C514)*($E$2:$E$1073=$E514)*(ROW(P$2:P$1073)&lt;&gt;ROW(P514))*(P$2:P$1073&lt;&gt;""))),"")</f>
        <v>26.183512711155618</v>
      </c>
      <c r="Y514" cm="1">
        <f t="array" ref="Y514">IFERROR(AVERAGE(_xlfn._xlws.FILTER(Q$2:Q$1073,($C$2:$C$1073=$C514)*($E$2:$E$1073=$E514)*(ROW(Q$2:Q$1073)&lt;&gt;ROW(Q514))*(Q$2:Q$1073&lt;&gt;""))),"")</f>
        <v>0.42364014522274984</v>
      </c>
      <c r="Z514" cm="1">
        <f t="array" ref="Z514">IFERROR(AVERAGE(_xlfn._xlws.FILTER(R$2:R$1073,($C$2:$C$1073=$C514)*($E$2:$E$1073=$E514)*(ROW(R$2:R$1073)&lt;&gt;ROW(R514))*(R$2:R$1073&lt;&gt;""))),"")</f>
        <v>6.6096126428947105E-2</v>
      </c>
      <c r="AA514" cm="1">
        <f t="array" ref="AA514">IFERROR(AVERAGE(_xlfn._xlws.FILTER(S$2:S$1073,($C$2:$C$1073=$C514)*($E$2:$E$1073=$E514)*(ROW(S$2:S$1073)&lt;&gt;ROW(S514))*(S$2:S$1073&lt;&gt;""))),"")</f>
        <v>0.94174952343815033</v>
      </c>
      <c r="AB514" cm="1">
        <f t="array" ref="AB514">IFERROR(AVERAGE(_xlfn._xlws.FILTER(T$2:T$1073,($C$2:$C$1073=$C514)*($E$2:$E$1073=$E514)*(ROW(T$2:T$1073)&lt;&gt;ROW(T514))*(T$2:T$1073&lt;&gt;""))),"")</f>
        <v>1.3107153079830167E-2</v>
      </c>
      <c r="AC514" cm="1">
        <f t="array" ref="AC514">IFERROR(AVERAGE(_xlfn._xlws.FILTER(U$2:U$1073,($C$2:$C$1073=$C514)*($E$2:$E$1073=$E514)*(ROW(U$2:U$1073)&lt;&gt;ROW(U514))*(U$2:U$1073&lt;&gt;""))),"")</f>
        <v>6.2968354519658218</v>
      </c>
      <c r="AD514" cm="1">
        <f t="array" ref="AD514">IFERROR(AVERAGE(_xlfn._xlws.FILTER(V$2:V$1073,($C$2:$C$1073=$C514)*($E$2:$E$1073=$E514)*(ROW(V$2:V$1073)&lt;&gt;ROW(V514))*(V$2:V$1073&lt;&gt;""))),"")</f>
        <v>0.70931365831308468</v>
      </c>
      <c r="AE514">
        <f>IF('Дивиденды по годам'!M514&lt;0,1,0)</f>
        <v>0</v>
      </c>
    </row>
    <row r="515" spans="1:31" x14ac:dyDescent="0.2">
      <c r="A515" s="7" t="s">
        <v>2244</v>
      </c>
      <c r="B515" t="str">
        <f t="shared" ref="B515:B578" si="88">A515&amp;" "&amp;
"IV"
&amp;" кв. "&amp;C515</f>
        <v>AQUA IV кв. 2024</v>
      </c>
      <c r="C515">
        <v>2024</v>
      </c>
      <c r="D515">
        <f>SUMIFS(Дивиденды!$C:$C,Дивиденды!$A:$A,A515,Дивиденды!$I:$I,C515)</f>
        <v>50</v>
      </c>
      <c r="E515">
        <v>4</v>
      </c>
      <c r="F515">
        <f t="shared" ref="F515:F578" si="89">D515</f>
        <v>50</v>
      </c>
      <c r="G515">
        <f t="shared" ref="G515:G578" si="90">AVERAGEIFS($D:$D,$E:$E,E515,$C:$C,C515,$A:$A,"&lt;&gt;"&amp;A515)</f>
        <v>58.940000000000005</v>
      </c>
      <c r="H515">
        <f t="shared" ref="H515:H578" si="91">IF(D515&gt;0,1,0)</f>
        <v>1</v>
      </c>
      <c r="I515">
        <f t="shared" ref="I515:I578" si="92">IFERROR((COUNTIFS($E:$E,E515,$C:$C,C515,$H:$H,1)-H515)/(COUNTIFS($E:$E,E515,$C:$C,C515)-1),0)</f>
        <v>0.5</v>
      </c>
      <c r="J515">
        <f t="shared" ref="J515:J578" si="93">IF(A516&lt;&gt;A515,"",IF(D515=D516,0,IF(AND(D516=0,D515&lt;&gt;0), 1,(D515-D516)/D516)))</f>
        <v>0.1111111111111111</v>
      </c>
      <c r="K515">
        <f t="shared" si="87"/>
        <v>0.20351923742697586</v>
      </c>
      <c r="L515">
        <f t="shared" ref="L515:L578" si="94">IF(J515&lt;&gt;"",IF(J515&gt;0,1,0),"")</f>
        <v>1</v>
      </c>
      <c r="M515">
        <f t="shared" ref="M515:M578" si="95">IFERROR(AVERAGEIFS($L:$L,$E:$E,E515,$C:$C,C515,$A:$A,"&lt;&gt;"&amp;A515),"")</f>
        <v>0.2857142857142857</v>
      </c>
      <c r="N515">
        <f t="shared" ref="N515:N578" si="96">IF(J515&lt;&gt;"",IF(J515&lt;0,1,0),"")</f>
        <v>0</v>
      </c>
      <c r="O515">
        <f t="shared" ref="O515:O578" si="97">IFERROR(AVERAGEIFS($N:$N,$E:$E,E515,$C:$C,C515,$A:$A,"&lt;&gt;"&amp;A515),"")</f>
        <v>0.2857142857142857</v>
      </c>
      <c r="P515">
        <f>IFERROR(LN('Дивиденды по годам'!I515),"")</f>
        <v>24.796769358908161</v>
      </c>
      <c r="Q515">
        <f>IFERROR('Дивиденды по годам'!G515/'Дивиденды по годам'!I515, "")</f>
        <v>0.29634146810486789</v>
      </c>
      <c r="R515">
        <f>IFERROR(IF(AND('Дивиденды по годам'!N515&lt;&gt;"",'Дивиденды по годам'!U515&lt;&gt;"",'Дивиденды по годам'!U515&lt;&gt;0),'Дивиденды по годам'!N515/'Дивиденды по годам'!U515-1,""),"")</f>
        <v>0.10763088637983342</v>
      </c>
      <c r="S515">
        <f>IFERROR(IF(AND('Дивиденды по годам'!L515&lt;&gt;"",'Дивиденды по годам'!I515&lt;&gt;"",'Дивиденды по годам'!J515&lt;&gt;"",'Дивиденды по годам'!K515&lt;&gt;"",('Дивиденды по годам'!I515-'Дивиденды по годам'!J515-'Дивиденды по годам'!K515)&lt;&gt;0),'Дивиденды по годам'!L515/('Дивиденды по годам'!I515-'Дивиденды по годам'!J515-'Дивиденды по годам'!K515),""),"")</f>
        <v>0.78818027060962714</v>
      </c>
      <c r="T515">
        <f>IFERROR(IF(AND('Дивиденды по годам'!Q515&lt;&gt;"",'Дивиденды по годам'!I515&lt;&gt;"",'Дивиденды по годам'!V515&lt;&gt;"",('Дивиденды по годам'!I515+'Дивиденды по годам'!V515)&lt;&gt;0),'Дивиденды по годам'!Q515/(('Дивиденды по годам'!I515+'Дивиденды по годам'!V515)/2),""),"")</f>
        <v>0.13434697755744152</v>
      </c>
      <c r="U515">
        <f>IFERROR(IF(AND('Дивиденды по годам'!J515&lt;&gt;"",'Дивиденды по годам'!K515&lt;&gt;"",'Дивиденды по годам'!M515&lt;&gt;"",'Дивиденды по годам'!M515&lt;&gt;0),('Дивиденды по годам'!J515+'Дивиденды по годам'!K515)/'Дивиденды по годам'!M515,""),"")</f>
        <v>0.37404322011454583</v>
      </c>
      <c r="V515">
        <f>IFERROR(IF(AND('Дивиденды по годам'!J515&lt;&gt;"",'Дивиденды по годам'!K515&lt;&gt;"",'Дивиденды по годам'!M515&lt;&gt;"",'Дивиденды по годам'!I515&lt;&gt;0),('Дивиденды по годам'!J515+'Дивиденды по годам'!K515)/'Дивиденды по годам'!I515,""),"")</f>
        <v>0.27222085494760789</v>
      </c>
      <c r="W515">
        <f>IFERROR('Дивиденды по годам'!I515,"")</f>
        <v>58762478000</v>
      </c>
      <c r="X515" cm="1">
        <f t="array" ref="X515">IFERROR(AVERAGE(_xlfn._xlws.FILTER(P$2:P$1073,($C$2:$C$1073=$C515)*($E$2:$E$1073=$E515)*(ROW(P$2:P$1073)&lt;&gt;ROW(P515))*(P$2:P$1073&lt;&gt;""))),"")</f>
        <v>25.619660167770512</v>
      </c>
      <c r="Y515" cm="1">
        <f t="array" ref="Y515">IFERROR(AVERAGE(_xlfn._xlws.FILTER(Q$2:Q$1073,($C$2:$C$1073=$C515)*($E$2:$E$1073=$E515)*(ROW(Q$2:Q$1073)&lt;&gt;ROW(Q515))*(Q$2:Q$1073&lt;&gt;""))),"")</f>
        <v>0.26053748572823132</v>
      </c>
      <c r="Z515" cm="1">
        <f t="array" ref="Z515">IFERROR(AVERAGE(_xlfn._xlws.FILTER(R$2:R$1073,($C$2:$C$1073=$C515)*($E$2:$E$1073=$E515)*(ROW(R$2:R$1073)&lt;&gt;ROW(R515))*(R$2:R$1073&lt;&gt;""))),"")</f>
        <v>0.2767389710901102</v>
      </c>
      <c r="AA515" cm="1">
        <f t="array" ref="AA515">IFERROR(AVERAGE(_xlfn._xlws.FILTER(S$2:S$1073,($C$2:$C$1073=$C515)*($E$2:$E$1073=$E515)*(ROW(S$2:S$1073)&lt;&gt;ROW(S515))*(S$2:S$1073&lt;&gt;""))),"")</f>
        <v>1.1984021355677783</v>
      </c>
      <c r="AB515" cm="1">
        <f t="array" ref="AB515">IFERROR(AVERAGE(_xlfn._xlws.FILTER(T$2:T$1073,($C$2:$C$1073=$C515)*($E$2:$E$1073=$E515)*(ROW(T$2:T$1073)&lt;&gt;ROW(T515))*(T$2:T$1073&lt;&gt;""))),"")</f>
        <v>6.8570542769538292E-2</v>
      </c>
      <c r="AC515" cm="1">
        <f t="array" ref="AC515">IFERROR(AVERAGE(_xlfn._xlws.FILTER(U$2:U$1073,($C$2:$C$1073=$C515)*($E$2:$E$1073=$E515)*(ROW(U$2:U$1073)&lt;&gt;ROW(U515))*(U$2:U$1073&lt;&gt;""))),"")</f>
        <v>4.2491374173598961</v>
      </c>
      <c r="AD515" cm="1">
        <f t="array" ref="AD515">IFERROR(AVERAGE(_xlfn._xlws.FILTER(V$2:V$1073,($C$2:$C$1073=$C515)*($E$2:$E$1073=$E515)*(ROW(V$2:V$1073)&lt;&gt;ROW(V515))*(V$2:V$1073&lt;&gt;""))),"")</f>
        <v>0.73221345124534321</v>
      </c>
      <c r="AE515">
        <f>IF('Дивиденды по годам'!M515&lt;0,1,0)</f>
        <v>0</v>
      </c>
    </row>
    <row r="516" spans="1:31" x14ac:dyDescent="0.2">
      <c r="A516" s="7" t="s">
        <v>2244</v>
      </c>
      <c r="B516" t="str">
        <f t="shared" si="88"/>
        <v>AQUA IV кв. 2023</v>
      </c>
      <c r="C516">
        <v>2023</v>
      </c>
      <c r="D516">
        <f>SUMIFS(Дивиденды!$C:$C,Дивиденды!$A:$A,A516,Дивиденды!$I:$I,C516)</f>
        <v>45</v>
      </c>
      <c r="E516">
        <v>4</v>
      </c>
      <c r="F516">
        <f t="shared" si="89"/>
        <v>45</v>
      </c>
      <c r="G516">
        <f t="shared" si="90"/>
        <v>87.525714285714301</v>
      </c>
      <c r="H516">
        <f t="shared" si="91"/>
        <v>1</v>
      </c>
      <c r="I516">
        <f t="shared" si="92"/>
        <v>0.42857142857142855</v>
      </c>
      <c r="J516">
        <f t="shared" si="93"/>
        <v>0.125</v>
      </c>
      <c r="K516">
        <f t="shared" ref="K516:K579" si="98">IFERROR(AVERAGEIFS($J:$J,$E:$E,E516,$C:$C,C516,$A:$A,"&lt;&gt;"&amp;A516),"")</f>
        <v>0.28919887955182072</v>
      </c>
      <c r="L516">
        <f t="shared" si="94"/>
        <v>1</v>
      </c>
      <c r="M516">
        <f t="shared" si="95"/>
        <v>0.35714285714285715</v>
      </c>
      <c r="N516">
        <f t="shared" si="96"/>
        <v>0</v>
      </c>
      <c r="O516">
        <f t="shared" si="97"/>
        <v>0</v>
      </c>
      <c r="P516">
        <f>IFERROR(LN('Дивиденды по годам'!I516),"")</f>
        <v>24.762551356576409</v>
      </c>
      <c r="Q516">
        <f>IFERROR('Дивиденды по годам'!G516/'Дивиденды по годам'!I516, "")</f>
        <v>0.20574391930258004</v>
      </c>
      <c r="R516">
        <f>IFERROR(IF(AND('Дивиденды по годам'!N516&lt;&gt;"",'Дивиденды по годам'!U516&lt;&gt;"",'Дивиденды по годам'!U516&lt;&gt;0),'Дивиденды по годам'!N516/'Дивиденды по годам'!U516-1,""),"")</f>
        <v>0.21187436345698996</v>
      </c>
      <c r="S516">
        <f>IFERROR(IF(AND('Дивиденды по годам'!L516&lt;&gt;"",'Дивиденды по годам'!I516&lt;&gt;"",'Дивиденды по годам'!J516&lt;&gt;"",'Дивиденды по годам'!K516&lt;&gt;"",('Дивиденды по годам'!I516-'Дивиденды по годам'!J516-'Дивиденды по годам'!K516)&lt;&gt;0),'Дивиденды по годам'!L516/('Дивиденды по годам'!I516-'Дивиденды по годам'!J516-'Дивиденды по годам'!K516),""),"")</f>
        <v>0.7630232021167358</v>
      </c>
      <c r="T516">
        <f>IFERROR(IF(AND('Дивиденды по годам'!Q516&lt;&gt;"",'Дивиденды по годам'!I516&lt;&gt;"",'Дивиденды по годам'!V516&lt;&gt;"",('Дивиденды по годам'!I516+'Дивиденды по годам'!V516)&lt;&gt;0),'Дивиденды по годам'!Q516/(('Дивиденды по годам'!I516+'Дивиденды по годам'!V516)/2),""),"")</f>
        <v>0.31191567451064972</v>
      </c>
      <c r="U516">
        <f>IFERROR(IF(AND('Дивиденды по годам'!J516&lt;&gt;"",'Дивиденды по годам'!K516&lt;&gt;"",'Дивиденды по годам'!M516&lt;&gt;"",'Дивиденды по годам'!M516&lt;&gt;0),('Дивиденды по годам'!J516+'Дивиденды по годам'!K516)/'Дивиденды по годам'!M516,""),"")</f>
        <v>0.43031739324152102</v>
      </c>
      <c r="V516">
        <f>IFERROR(IF(AND('Дивиденды по годам'!J516&lt;&gt;"",'Дивиденды по годам'!K516&lt;&gt;"",'Дивиденды по годам'!M516&lt;&gt;"",'Дивиденды по годам'!I516&lt;&gt;0),('Дивиденды по годам'!J516+'Дивиденды по годам'!K516)/'Дивиденды по годам'!I516,""),"")</f>
        <v>0.30085447836601842</v>
      </c>
      <c r="W516">
        <f>IFERROR('Дивиденды по годам'!I516,"")</f>
        <v>56785756000</v>
      </c>
      <c r="X516" cm="1">
        <f t="array" ref="X516">IFERROR(AVERAGE(_xlfn._xlws.FILTER(P$2:P$1073,($C$2:$C$1073=$C516)*($E$2:$E$1073=$E516)*(ROW(P$2:P$1073)&lt;&gt;ROW(P516))*(P$2:P$1073&lt;&gt;""))),"")</f>
        <v>25.41014126905603</v>
      </c>
      <c r="Y516" cm="1">
        <f t="array" ref="Y516">IFERROR(AVERAGE(_xlfn._xlws.FILTER(Q$2:Q$1073,($C$2:$C$1073=$C516)*($E$2:$E$1073=$E516)*(ROW(Q$2:Q$1073)&lt;&gt;ROW(Q516))*(Q$2:Q$1073&lt;&gt;""))),"")</f>
        <v>0.25357621963365401</v>
      </c>
      <c r="Z516" cm="1">
        <f t="array" ref="Z516">IFERROR(AVERAGE(_xlfn._xlws.FILTER(R$2:R$1073,($C$2:$C$1073=$C516)*($E$2:$E$1073=$E516)*(ROW(R$2:R$1073)&lt;&gt;ROW(R516))*(R$2:R$1073&lt;&gt;""))),"")</f>
        <v>0.24901646796011997</v>
      </c>
      <c r="AA516" cm="1">
        <f t="array" ref="AA516">IFERROR(AVERAGE(_xlfn._xlws.FILTER(S$2:S$1073,($C$2:$C$1073=$C516)*($E$2:$E$1073=$E516)*(ROW(S$2:S$1073)&lt;&gt;ROW(S516))*(S$2:S$1073&lt;&gt;""))),"")</f>
        <v>1.2804919299379331</v>
      </c>
      <c r="AB516" cm="1">
        <f t="array" ref="AB516">IFERROR(AVERAGE(_xlfn._xlws.FILTER(T$2:T$1073,($C$2:$C$1073=$C516)*($E$2:$E$1073=$E516)*(ROW(T$2:T$1073)&lt;&gt;ROW(T516))*(T$2:T$1073&lt;&gt;""))),"")</f>
        <v>9.3511353929492239E-2</v>
      </c>
      <c r="AC516" cm="1">
        <f t="array" ref="AC516">IFERROR(AVERAGE(_xlfn._xlws.FILTER(U$2:U$1073,($C$2:$C$1073=$C516)*($E$2:$E$1073=$E516)*(ROW(U$2:U$1073)&lt;&gt;ROW(U516))*(U$2:U$1073&lt;&gt;""))),"")</f>
        <v>2.7415609389561979</v>
      </c>
      <c r="AD516" cm="1">
        <f t="array" ref="AD516">IFERROR(AVERAGE(_xlfn._xlws.FILTER(V$2:V$1073,($C$2:$C$1073=$C516)*($E$2:$E$1073=$E516)*(ROW(V$2:V$1073)&lt;&gt;ROW(V516))*(V$2:V$1073&lt;&gt;""))),"")</f>
        <v>0.72041572887248062</v>
      </c>
      <c r="AE516">
        <f>IF('Дивиденды по годам'!M516&lt;0,1,0)</f>
        <v>0</v>
      </c>
    </row>
    <row r="517" spans="1:31" x14ac:dyDescent="0.2">
      <c r="A517" s="7" t="s">
        <v>2244</v>
      </c>
      <c r="B517" t="str">
        <f t="shared" si="88"/>
        <v>AQUA IV кв. 2022</v>
      </c>
      <c r="C517">
        <v>2022</v>
      </c>
      <c r="D517">
        <f>SUMIFS(Дивиденды!$C:$C,Дивиденды!$A:$A,A517,Дивиденды!$I:$I,C517)</f>
        <v>40</v>
      </c>
      <c r="E517">
        <v>4</v>
      </c>
      <c r="F517">
        <f t="shared" si="89"/>
        <v>40</v>
      </c>
      <c r="G517">
        <f t="shared" si="90"/>
        <v>77.32285714285716</v>
      </c>
      <c r="H517">
        <f t="shared" si="91"/>
        <v>1</v>
      </c>
      <c r="I517">
        <f t="shared" si="92"/>
        <v>0.21428571428571427</v>
      </c>
      <c r="J517">
        <f t="shared" si="93"/>
        <v>2.3333333333333335</v>
      </c>
      <c r="K517">
        <f t="shared" si="98"/>
        <v>0.3291695784540673</v>
      </c>
      <c r="L517">
        <f t="shared" si="94"/>
        <v>1</v>
      </c>
      <c r="M517">
        <f t="shared" si="95"/>
        <v>0.21428571428571427</v>
      </c>
      <c r="N517">
        <f t="shared" si="96"/>
        <v>0</v>
      </c>
      <c r="O517">
        <f t="shared" si="97"/>
        <v>7.1428571428571425E-2</v>
      </c>
      <c r="P517">
        <f>IFERROR(LN('Дивиденды по годам'!I517),"")</f>
        <v>24.470776774955219</v>
      </c>
      <c r="Q517">
        <f>IFERROR('Дивиденды по годам'!G517/'Дивиденды по годам'!I517, "")</f>
        <v>0.22724320538853646</v>
      </c>
      <c r="R517">
        <f>IFERROR(IF(AND('Дивиденды по годам'!N517&lt;&gt;"",'Дивиденды по годам'!U517&lt;&gt;"",'Дивиденды по годам'!U517&lt;&gt;0),'Дивиденды по годам'!N517/'Дивиденды по годам'!U517-1,""),"")</f>
        <v>0.47766893778200314</v>
      </c>
      <c r="S517">
        <f>IFERROR(IF(AND('Дивиденды по годам'!L517&lt;&gt;"",'Дивиденды по годам'!I517&lt;&gt;"",'Дивиденды по годам'!J517&lt;&gt;"",'Дивиденды по годам'!K517&lt;&gt;"",('Дивиденды по годам'!I517-'Дивиденды по годам'!J517-'Дивиденды по годам'!K517)&lt;&gt;0),'Дивиденды по годам'!L517/('Дивиденды по годам'!I517-'Дивиденды по годам'!J517-'Дивиденды по годам'!K517),""),"")</f>
        <v>0.68658393947716745</v>
      </c>
      <c r="T517">
        <f>IFERROR(IF(AND('Дивиденды по годам'!Q517&lt;&gt;"",'Дивиденды по годам'!I517&lt;&gt;"",'Дивиденды по годам'!V517&lt;&gt;"",('Дивиденды по годам'!I517+'Дивиденды по годам'!V517)&lt;&gt;0),'Дивиденды по годам'!Q517/(('Дивиденды по годам'!I517+'Дивиденды по годам'!V517)/2),""),"")</f>
        <v>0.33455722584314579</v>
      </c>
      <c r="U517">
        <f>IFERROR(IF(AND('Дивиденды по годам'!J517&lt;&gt;"",'Дивиденды по годам'!K517&lt;&gt;"",'Дивиденды по годам'!M517&lt;&gt;"",'Дивиденды по годам'!M517&lt;&gt;0),('Дивиденды по годам'!J517+'Дивиденды по годам'!K517)/'Дивиденды по годам'!M517,""),"")</f>
        <v>0.55513125151079945</v>
      </c>
      <c r="V517">
        <f>IFERROR(IF(AND('Дивиденды по годам'!J517&lt;&gt;"",'Дивиденды по годам'!K517&lt;&gt;"",'Дивиденды по годам'!M517&lt;&gt;"",'Дивиденды по годам'!I517&lt;&gt;0),('Дивиденды по годам'!J517+'Дивиденды по годам'!K517)/'Дивиденды по годам'!I517,""),"")</f>
        <v>0.35696745915915024</v>
      </c>
      <c r="W517">
        <f>IFERROR('Дивиденды по годам'!I517,"")</f>
        <v>42415376000</v>
      </c>
      <c r="X517" cm="1">
        <f t="array" ref="X517">IFERROR(AVERAGE(_xlfn._xlws.FILTER(P$2:P$1073,($C$2:$C$1073=$C517)*($E$2:$E$1073=$E517)*(ROW(P$2:P$1073)&lt;&gt;ROW(P517))*(P$2:P$1073&lt;&gt;""))),"")</f>
        <v>25.333792758597685</v>
      </c>
      <c r="Y517" cm="1">
        <f t="array" ref="Y517">IFERROR(AVERAGE(_xlfn._xlws.FILTER(Q$2:Q$1073,($C$2:$C$1073=$C517)*($E$2:$E$1073=$E517)*(ROW(Q$2:Q$1073)&lt;&gt;ROW(Q517))*(Q$2:Q$1073&lt;&gt;""))),"")</f>
        <v>0.25002426015633289</v>
      </c>
      <c r="Z517" cm="1">
        <f t="array" ref="Z517">IFERROR(AVERAGE(_xlfn._xlws.FILTER(R$2:R$1073,($C$2:$C$1073=$C517)*($E$2:$E$1073=$E517)*(ROW(R$2:R$1073)&lt;&gt;ROW(R517))*(R$2:R$1073&lt;&gt;""))),"")</f>
        <v>0.1803592716258241</v>
      </c>
      <c r="AA517" cm="1">
        <f t="array" ref="AA517">IFERROR(AVERAGE(_xlfn._xlws.FILTER(S$2:S$1073,($C$2:$C$1073=$C517)*($E$2:$E$1073=$E517)*(ROW(S$2:S$1073)&lt;&gt;ROW(S517))*(S$2:S$1073&lt;&gt;""))),"")</f>
        <v>1.3912911843085389</v>
      </c>
      <c r="AB517" cm="1">
        <f t="array" ref="AB517">IFERROR(AVERAGE(_xlfn._xlws.FILTER(T$2:T$1073,($C$2:$C$1073=$C517)*($E$2:$E$1073=$E517)*(ROW(T$2:T$1073)&lt;&gt;ROW(T517))*(T$2:T$1073&lt;&gt;""))),"")</f>
        <v>7.9567859196518098E-2</v>
      </c>
      <c r="AC517" cm="1">
        <f t="array" ref="AC517">IFERROR(AVERAGE(_xlfn._xlws.FILTER(U$2:U$1073,($C$2:$C$1073=$C517)*($E$2:$E$1073=$E517)*(ROW(U$2:U$1073)&lt;&gt;ROW(U517))*(U$2:U$1073&lt;&gt;""))),"")</f>
        <v>2.3083395323688278</v>
      </c>
      <c r="AD517" cm="1">
        <f t="array" ref="AD517">IFERROR(AVERAGE(_xlfn._xlws.FILTER(V$2:V$1073,($C$2:$C$1073=$C517)*($E$2:$E$1073=$E517)*(ROW(V$2:V$1073)&lt;&gt;ROW(V517))*(V$2:V$1073&lt;&gt;""))),"")</f>
        <v>0.74808855697315513</v>
      </c>
      <c r="AE517">
        <f>IF('Дивиденды по годам'!M517&lt;0,1,0)</f>
        <v>0</v>
      </c>
    </row>
    <row r="518" spans="1:31" x14ac:dyDescent="0.2">
      <c r="A518" s="7" t="s">
        <v>2244</v>
      </c>
      <c r="B518" t="str">
        <f t="shared" si="88"/>
        <v>AQUA IV кв. 2021</v>
      </c>
      <c r="C518">
        <v>2021</v>
      </c>
      <c r="D518">
        <f>SUMIFS(Дивиденды!$C:$C,Дивиденды!$A:$A,A518,Дивиденды!$I:$I,C518)</f>
        <v>12</v>
      </c>
      <c r="E518">
        <v>4</v>
      </c>
      <c r="F518">
        <f t="shared" si="89"/>
        <v>12</v>
      </c>
      <c r="G518">
        <f t="shared" si="90"/>
        <v>31.074285714285715</v>
      </c>
      <c r="H518">
        <f t="shared" si="91"/>
        <v>1</v>
      </c>
      <c r="I518">
        <f t="shared" si="92"/>
        <v>0.21428571428571427</v>
      </c>
      <c r="J518">
        <f t="shared" si="93"/>
        <v>0.2</v>
      </c>
      <c r="K518">
        <f t="shared" si="98"/>
        <v>0.18321594613783621</v>
      </c>
      <c r="L518">
        <f t="shared" si="94"/>
        <v>1</v>
      </c>
      <c r="M518">
        <f t="shared" si="95"/>
        <v>0.14285714285714285</v>
      </c>
      <c r="N518">
        <f t="shared" si="96"/>
        <v>0</v>
      </c>
      <c r="O518">
        <f t="shared" si="97"/>
        <v>7.1428571428571425E-2</v>
      </c>
      <c r="P518">
        <f>IFERROR(LN('Дивиденды по годам'!I518),"")</f>
        <v>24.08666380426477</v>
      </c>
      <c r="Q518">
        <f>IFERROR('Дивиденды по годам'!G518/'Дивиденды по годам'!I518, "")</f>
        <v>0.30365755302819086</v>
      </c>
      <c r="R518">
        <f>IFERROR(IF(AND('Дивиденды по годам'!N518&lt;&gt;"",'Дивиденды по годам'!U518&lt;&gt;"",'Дивиденды по годам'!U518&lt;&gt;0),'Дивиденды по годам'!N518/'Дивиденды по годам'!U518-1,""),"")</f>
        <v>0.90789807528073996</v>
      </c>
      <c r="S518">
        <f>IFERROR(IF(AND('Дивиденды по годам'!L518&lt;&gt;"",'Дивиденды по годам'!I518&lt;&gt;"",'Дивиденды по годам'!J518&lt;&gt;"",'Дивиденды по годам'!K518&lt;&gt;"",('Дивиденды по годам'!I518-'Дивиденды по годам'!J518-'Дивиденды по годам'!K518)&lt;&gt;0),'Дивиденды по годам'!L518/('Дивиденды по годам'!I518-'Дивиденды по годам'!J518-'Дивиденды по годам'!K518),""),"")</f>
        <v>0.53958548022963093</v>
      </c>
      <c r="T518">
        <f>IFERROR(IF(AND('Дивиденды по годам'!Q518&lt;&gt;"",'Дивиденды по годам'!I518&lt;&gt;"",'Дивиденды по годам'!V518&lt;&gt;"",('Дивиденды по годам'!I518+'Дивиденды по годам'!V518)&lt;&gt;0),'Дивиденды по годам'!Q518/(('Дивиденды по годам'!I518+'Дивиденды по годам'!V518)/2),""),"")</f>
        <v>0.34879658281069953</v>
      </c>
      <c r="U518">
        <f>IFERROR(IF(AND('Дивиденды по годам'!J518&lt;&gt;"",'Дивиденды по годам'!K518&lt;&gt;"",'Дивиденды по годам'!M518&lt;&gt;"",'Дивиденды по годам'!M518&lt;&gt;0),('Дивиденды по годам'!J518+'Дивиденды по годам'!K518)/'Дивиденды по годам'!M518,""),"")</f>
        <v>0.54417140574145684</v>
      </c>
      <c r="V518">
        <f>IFERROR(IF(AND('Дивиденды по годам'!J518&lt;&gt;"",'Дивиденды по годам'!K518&lt;&gt;"",'Дивиденды по годам'!M518&lt;&gt;"",'Дивиденды по годам'!I518&lt;&gt;0),('Дивиденды по годам'!J518+'Дивиденды по годам'!K518)/'Дивиденды по годам'!I518,""),"")</f>
        <v>0.35240349854824882</v>
      </c>
      <c r="W518">
        <f>IFERROR('Дивиденды по годам'!I518,"")</f>
        <v>28887182000</v>
      </c>
      <c r="X518" cm="1">
        <f t="array" ref="X518">IFERROR(AVERAGE(_xlfn._xlws.FILTER(P$2:P$1073,($C$2:$C$1073=$C518)*($E$2:$E$1073=$E518)*(ROW(P$2:P$1073)&lt;&gt;ROW(P518))*(P$2:P$1073&lt;&gt;""))),"")</f>
        <v>25.279745720556765</v>
      </c>
      <c r="Y518" cm="1">
        <f t="array" ref="Y518">IFERROR(AVERAGE(_xlfn._xlws.FILTER(Q$2:Q$1073,($C$2:$C$1073=$C518)*($E$2:$E$1073=$E518)*(ROW(Q$2:Q$1073)&lt;&gt;ROW(Q518))*(Q$2:Q$1073&lt;&gt;""))),"")</f>
        <v>0.22955942431659473</v>
      </c>
      <c r="Z518" cm="1">
        <f t="array" ref="Z518">IFERROR(AVERAGE(_xlfn._xlws.FILTER(R$2:R$1073,($C$2:$C$1073=$C518)*($E$2:$E$1073=$E518)*(ROW(R$2:R$1073)&lt;&gt;ROW(R518))*(R$2:R$1073&lt;&gt;""))),"")</f>
        <v>0.24382310265368939</v>
      </c>
      <c r="AA518" cm="1">
        <f t="array" ref="AA518">IFERROR(AVERAGE(_xlfn._xlws.FILTER(S$2:S$1073,($C$2:$C$1073=$C518)*($E$2:$E$1073=$E518)*(ROW(S$2:S$1073)&lt;&gt;ROW(S518))*(S$2:S$1073&lt;&gt;""))),"")</f>
        <v>1.3873885292581214</v>
      </c>
      <c r="AB518" cm="1">
        <f t="array" ref="AB518">IFERROR(AVERAGE(_xlfn._xlws.FILTER(T$2:T$1073,($C$2:$C$1073=$C518)*($E$2:$E$1073=$E518)*(ROW(T$2:T$1073)&lt;&gt;ROW(T518))*(T$2:T$1073&lt;&gt;""))),"")</f>
        <v>7.1594699040100601E-2</v>
      </c>
      <c r="AC518" cm="1">
        <f t="array" ref="AC518">IFERROR(AVERAGE(_xlfn._xlws.FILTER(U$2:U$1073,($C$2:$C$1073=$C518)*($E$2:$E$1073=$E518)*(ROW(U$2:U$1073)&lt;&gt;ROW(U518))*(U$2:U$1073&lt;&gt;""))),"")</f>
        <v>18.303170065474408</v>
      </c>
      <c r="AD518" cm="1">
        <f t="array" ref="AD518">IFERROR(AVERAGE(_xlfn._xlws.FILTER(V$2:V$1073,($C$2:$C$1073=$C518)*($E$2:$E$1073=$E518)*(ROW(V$2:V$1073)&lt;&gt;ROW(V518))*(V$2:V$1073&lt;&gt;""))),"")</f>
        <v>0.80777945428362008</v>
      </c>
      <c r="AE518">
        <f>IF('Дивиденды по годам'!M518&lt;0,1,0)</f>
        <v>0</v>
      </c>
    </row>
    <row r="519" spans="1:31" x14ac:dyDescent="0.2">
      <c r="A519" s="7" t="s">
        <v>2244</v>
      </c>
      <c r="B519" t="str">
        <f t="shared" si="88"/>
        <v>AQUA IV кв. 2020</v>
      </c>
      <c r="C519">
        <v>2020</v>
      </c>
      <c r="D519">
        <f>SUMIFS(Дивиденды!$C:$C,Дивиденды!$A:$A,A519,Дивиденды!$I:$I,C519)</f>
        <v>10</v>
      </c>
      <c r="E519">
        <v>4</v>
      </c>
      <c r="F519">
        <f t="shared" si="89"/>
        <v>10</v>
      </c>
      <c r="G519">
        <f t="shared" si="90"/>
        <v>42.579285714285717</v>
      </c>
      <c r="H519">
        <f t="shared" si="91"/>
        <v>1</v>
      </c>
      <c r="I519">
        <f t="shared" si="92"/>
        <v>0.21428571428571427</v>
      </c>
      <c r="J519">
        <f t="shared" si="93"/>
        <v>1</v>
      </c>
      <c r="K519">
        <f t="shared" si="98"/>
        <v>0.19688760062035593</v>
      </c>
      <c r="L519">
        <f t="shared" si="94"/>
        <v>1</v>
      </c>
      <c r="M519">
        <f t="shared" si="95"/>
        <v>0.21428571428571427</v>
      </c>
      <c r="N519">
        <f t="shared" si="96"/>
        <v>0</v>
      </c>
      <c r="O519">
        <f t="shared" si="97"/>
        <v>0</v>
      </c>
      <c r="P519">
        <f>IFERROR(LN('Дивиденды по годам'!I519),"")</f>
        <v>23.709625676132891</v>
      </c>
      <c r="Q519">
        <f>IFERROR('Дивиденды по годам'!G519/'Дивиденды по годам'!I519, "")</f>
        <v>0.32147957039435932</v>
      </c>
      <c r="R519">
        <f>IFERROR(IF(AND('Дивиденды по годам'!N519&lt;&gt;"",'Дивиденды по годам'!U519&lt;&gt;"",'Дивиденды по годам'!U519&lt;&gt;0),'Дивиденды по годам'!N519/'Дивиденды по годам'!U519-1,""),"")</f>
        <v>-5.2553890512055612E-2</v>
      </c>
      <c r="S519">
        <f>IFERROR(IF(AND('Дивиденды по годам'!L519&lt;&gt;"",'Дивиденды по годам'!I519&lt;&gt;"",'Дивиденды по годам'!J519&lt;&gt;"",'Дивиденды по годам'!K519&lt;&gt;"",('Дивиденды по годам'!I519-'Дивиденды по годам'!J519-'Дивиденды по годам'!K519)&lt;&gt;0),'Дивиденды по годам'!L519/('Дивиденды по годам'!I519-'Дивиденды по годам'!J519-'Дивиденды по годам'!K519),""),"")</f>
        <v>0.27278253267244257</v>
      </c>
      <c r="T519">
        <f>IFERROR(IF(AND('Дивиденды по годам'!Q519&lt;&gt;"",'Дивиденды по годам'!I519&lt;&gt;"",'Дивиденды по годам'!V519&lt;&gt;"",('Дивиденды по годам'!I519+'Дивиденды по годам'!V519)&lt;&gt;0),'Дивиденды по годам'!Q519/(('Дивиденды по годам'!I519+'Дивиденды по годам'!V519)/2),""),"")</f>
        <v>0.18391279119389375</v>
      </c>
      <c r="U519">
        <f>IFERROR(IF(AND('Дивиденды по годам'!J519&lt;&gt;"",'Дивиденды по годам'!K519&lt;&gt;"",'Дивиденды по годам'!M519&lt;&gt;"",'Дивиденды по годам'!M519&lt;&gt;0),('Дивиденды по годам'!J519+'Дивиденды по годам'!K519)/'Дивиденды по годам'!M519,""),"")</f>
        <v>0.68964334822054452</v>
      </c>
      <c r="V519">
        <f>IFERROR(IF(AND('Дивиденды по годам'!J519&lt;&gt;"",'Дивиденды по годам'!K519&lt;&gt;"",'Дивиденды по годам'!M519&lt;&gt;"",'Дивиденды по годам'!I519&lt;&gt;0),('Дивиденды по годам'!J519+'Дивиденды по годам'!K519)/'Дивиденды по годам'!I519,""),"")</f>
        <v>0.40815912360844997</v>
      </c>
      <c r="W519">
        <f>IFERROR('Дивиденды по годам'!I519,"")</f>
        <v>19813427000</v>
      </c>
      <c r="X519" cm="1">
        <f t="array" ref="X519">IFERROR(AVERAGE(_xlfn._xlws.FILTER(P$2:P$1073,($C$2:$C$1073=$C519)*($E$2:$E$1073=$E519)*(ROW(P$2:P$1073)&lt;&gt;ROW(P519))*(P$2:P$1073&lt;&gt;""))),"")</f>
        <v>25.475577811894219</v>
      </c>
      <c r="Y519" cm="1">
        <f t="array" ref="Y519">IFERROR(AVERAGE(_xlfn._xlws.FILTER(Q$2:Q$1073,($C$2:$C$1073=$C519)*($E$2:$E$1073=$E519)*(ROW(Q$2:Q$1073)&lt;&gt;ROW(Q519))*(Q$2:Q$1073&lt;&gt;""))),"")</f>
        <v>0.25407851454694824</v>
      </c>
      <c r="Z519" cm="1">
        <f t="array" ref="Z519">IFERROR(AVERAGE(_xlfn._xlws.FILTER(R$2:R$1073,($C$2:$C$1073=$C519)*($E$2:$E$1073=$E519)*(ROW(R$2:R$1073)&lt;&gt;ROW(R519))*(R$2:R$1073&lt;&gt;""))),"")</f>
        <v>0.11550344821642798</v>
      </c>
      <c r="AA519" cm="1">
        <f t="array" ref="AA519">IFERROR(AVERAGE(_xlfn._xlws.FILTER(S$2:S$1073,($C$2:$C$1073=$C519)*($E$2:$E$1073=$E519)*(ROW(S$2:S$1073)&lt;&gt;ROW(S519))*(S$2:S$1073&lt;&gt;""))),"")</f>
        <v>1.9008750229402078</v>
      </c>
      <c r="AB519" cm="1">
        <f t="array" ref="AB519">IFERROR(AVERAGE(_xlfn._xlws.FILTER(T$2:T$1073,($C$2:$C$1073=$C519)*($E$2:$E$1073=$E519)*(ROW(T$2:T$1073)&lt;&gt;ROW(T519))*(T$2:T$1073&lt;&gt;""))),"")</f>
        <v>5.2928285217865502E-2</v>
      </c>
      <c r="AC519" cm="1">
        <f t="array" ref="AC519">IFERROR(AVERAGE(_xlfn._xlws.FILTER(U$2:U$1073,($C$2:$C$1073=$C519)*($E$2:$E$1073=$E519)*(ROW(U$2:U$1073)&lt;&gt;ROW(U519))*(U$2:U$1073&lt;&gt;""))),"")</f>
        <v>-11.6639643280238</v>
      </c>
      <c r="AD519" cm="1">
        <f t="array" ref="AD519">IFERROR(AVERAGE(_xlfn._xlws.FILTER(V$2:V$1073,($C$2:$C$1073=$C519)*($E$2:$E$1073=$E519)*(ROW(V$2:V$1073)&lt;&gt;ROW(V519))*(V$2:V$1073&lt;&gt;""))),"")</f>
        <v>0.82446242372296263</v>
      </c>
      <c r="AE519">
        <f>IF('Дивиденды по годам'!M519&lt;0,1,0)</f>
        <v>0</v>
      </c>
    </row>
    <row r="520" spans="1:31" x14ac:dyDescent="0.2">
      <c r="A520" s="7" t="s">
        <v>2244</v>
      </c>
      <c r="B520" t="str">
        <f t="shared" si="88"/>
        <v>AQUA IV кв. 2019</v>
      </c>
      <c r="C520">
        <v>2019</v>
      </c>
      <c r="D520">
        <f>SUMIFS(Дивиденды!$C:$C,Дивиденды!$A:$A,A520,Дивиденды!$I:$I,C520)</f>
        <v>0</v>
      </c>
      <c r="E520">
        <v>4</v>
      </c>
      <c r="F520">
        <f t="shared" si="89"/>
        <v>0</v>
      </c>
      <c r="G520">
        <f t="shared" si="90"/>
        <v>24.398571428571426</v>
      </c>
      <c r="H520">
        <f t="shared" si="91"/>
        <v>0</v>
      </c>
      <c r="I520">
        <f t="shared" si="92"/>
        <v>0.21428571428571427</v>
      </c>
      <c r="J520">
        <f t="shared" si="93"/>
        <v>0</v>
      </c>
      <c r="K520">
        <f t="shared" si="98"/>
        <v>0.10876410731109194</v>
      </c>
      <c r="L520">
        <f t="shared" si="94"/>
        <v>0</v>
      </c>
      <c r="M520">
        <f t="shared" si="95"/>
        <v>0.21428571428571427</v>
      </c>
      <c r="N520">
        <f t="shared" si="96"/>
        <v>0</v>
      </c>
      <c r="O520">
        <f t="shared" si="97"/>
        <v>0</v>
      </c>
      <c r="P520">
        <f>IFERROR(LN('Дивиденды по годам'!I520),"")</f>
        <v>23.364858521260572</v>
      </c>
      <c r="Q520">
        <f>IFERROR('Дивиденды по годам'!G520/'Дивиденды по годам'!I520, "")</f>
        <v>0.34083946894811312</v>
      </c>
      <c r="R520">
        <f>IFERROR(IF(AND('Дивиденды по годам'!N520&lt;&gt;"",'Дивиденды по годам'!U520&lt;&gt;"",'Дивиденды по годам'!U520&lt;&gt;0),'Дивиденды по годам'!N520/'Дивиденды по годам'!U520-1,""),"")</f>
        <v>1.739562432354</v>
      </c>
      <c r="S520">
        <f>IFERROR(IF(AND('Дивиденды по годам'!L520&lt;&gt;"",'Дивиденды по годам'!I520&lt;&gt;"",'Дивиденды по годам'!J520&lt;&gt;"",'Дивиденды по годам'!K520&lt;&gt;"",('Дивиденды по годам'!I520-'Дивиденды по годам'!J520-'Дивиденды по годам'!K520)&lt;&gt;0),'Дивиденды по годам'!L520/('Дивиденды по годам'!I520-'Дивиденды по годам'!J520-'Дивиденды по годам'!K520),""),"")</f>
        <v>5.8182870821093031E-2</v>
      </c>
      <c r="T520">
        <f>IFERROR(IF(AND('Дивиденды по годам'!Q520&lt;&gt;"",'Дивиденды по годам'!I520&lt;&gt;"",'Дивиденды по годам'!V520&lt;&gt;"",('Дивиденды по годам'!I520+'Дивиденды по годам'!V520)&lt;&gt;0),'Дивиденды по годам'!Q520/(('Дивиденды по годам'!I520+'Дивиденды по годам'!V520)/2),""),"")</f>
        <v>0.26076029323476352</v>
      </c>
      <c r="U520">
        <f>IFERROR(IF(AND('Дивиденды по годам'!J520&lt;&gt;"",'Дивиденды по годам'!K520&lt;&gt;"",'Дивиденды по годам'!M520&lt;&gt;"",'Дивиденды по годам'!M520&lt;&gt;0),('Дивиденды по годам'!J520+'Дивиденды по годам'!K520)/'Дивиденды по годам'!M520,""),"")</f>
        <v>0.54838002215416548</v>
      </c>
      <c r="V520">
        <f>IFERROR(IF(AND('Дивиденды по годам'!J520&lt;&gt;"",'Дивиденды по годам'!K520&lt;&gt;"",'Дивиденды по годам'!M520&lt;&gt;"",'Дивиденды по годам'!I520&lt;&gt;0),('Дивиденды по годам'!J520+'Дивиденды по годам'!K520)/'Дивиденды по годам'!I520,""),"")</f>
        <v>0.35416371582425754</v>
      </c>
      <c r="W520">
        <f>IFERROR('Дивиденды по годам'!I520,"")</f>
        <v>14035540000</v>
      </c>
      <c r="X520" cm="1">
        <f t="array" ref="X520">IFERROR(AVERAGE(_xlfn._xlws.FILTER(P$2:P$1073,($C$2:$C$1073=$C520)*($E$2:$E$1073=$E520)*(ROW(P$2:P$1073)&lt;&gt;ROW(P520))*(P$2:P$1073&lt;&gt;""))),"")</f>
        <v>25.33494404273705</v>
      </c>
      <c r="Y520" cm="1">
        <f t="array" ref="Y520">IFERROR(AVERAGE(_xlfn._xlws.FILTER(Q$2:Q$1073,($C$2:$C$1073=$C520)*($E$2:$E$1073=$E520)*(ROW(Q$2:Q$1073)&lt;&gt;ROW(Q520))*(Q$2:Q$1073&lt;&gt;""))),"")</f>
        <v>0.26206139869908179</v>
      </c>
      <c r="Z520" cm="1">
        <f t="array" ref="Z520">IFERROR(AVERAGE(_xlfn._xlws.FILTER(R$2:R$1073,($C$2:$C$1073=$C520)*($E$2:$E$1073=$E520)*(ROW(R$2:R$1073)&lt;&gt;ROW(R520))*(R$2:R$1073&lt;&gt;""))),"")</f>
        <v>0.19138693031172915</v>
      </c>
      <c r="AA520" cm="1">
        <f t="array" ref="AA520">IFERROR(AVERAGE(_xlfn._xlws.FILTER(S$2:S$1073,($C$2:$C$1073=$C520)*($E$2:$E$1073=$E520)*(ROW(S$2:S$1073)&lt;&gt;ROW(S520))*(S$2:S$1073&lt;&gt;""))),"")</f>
        <v>1.0019326911723421</v>
      </c>
      <c r="AB520" cm="1">
        <f t="array" ref="AB520">IFERROR(AVERAGE(_xlfn._xlws.FILTER(T$2:T$1073,($C$2:$C$1073=$C520)*($E$2:$E$1073=$E520)*(ROW(T$2:T$1073)&lt;&gt;ROW(T520))*(T$2:T$1073&lt;&gt;""))),"")</f>
        <v>1.3099310123289215E-2</v>
      </c>
      <c r="AC520" cm="1">
        <f t="array" ref="AC520">IFERROR(AVERAGE(_xlfn._xlws.FILTER(U$2:U$1073,($C$2:$C$1073=$C520)*($E$2:$E$1073=$E520)*(ROW(U$2:U$1073)&lt;&gt;ROW(U520))*(U$2:U$1073&lt;&gt;""))),"")</f>
        <v>-3.0434088454807107</v>
      </c>
      <c r="AD520" cm="1">
        <f t="array" ref="AD520">IFERROR(AVERAGE(_xlfn._xlws.FILTER(V$2:V$1073,($C$2:$C$1073=$C520)*($E$2:$E$1073=$E520)*(ROW(V$2:V$1073)&lt;&gt;ROW(V520))*(V$2:V$1073&lt;&gt;""))),"")</f>
        <v>0.8707946645751895</v>
      </c>
      <c r="AE520">
        <f>IF('Дивиденды по годам'!M520&lt;0,1,0)</f>
        <v>0</v>
      </c>
    </row>
    <row r="521" spans="1:31" x14ac:dyDescent="0.2">
      <c r="A521" s="7" t="s">
        <v>2244</v>
      </c>
      <c r="B521" t="str">
        <f t="shared" si="88"/>
        <v>AQUA IV кв. 2018</v>
      </c>
      <c r="C521">
        <v>2018</v>
      </c>
      <c r="D521">
        <f>SUMIFS(Дивиденды!$C:$C,Дивиденды!$A:$A,A521,Дивиденды!$I:$I,C521)</f>
        <v>0</v>
      </c>
      <c r="E521">
        <v>4</v>
      </c>
      <c r="F521">
        <f t="shared" si="89"/>
        <v>0</v>
      </c>
      <c r="G521">
        <f t="shared" si="90"/>
        <v>21.978571428571428</v>
      </c>
      <c r="H521">
        <f t="shared" si="91"/>
        <v>0</v>
      </c>
      <c r="I521">
        <f t="shared" si="92"/>
        <v>0.14285714285714285</v>
      </c>
      <c r="J521">
        <f t="shared" si="93"/>
        <v>0</v>
      </c>
      <c r="K521">
        <f t="shared" si="98"/>
        <v>-1.8223065562117002E-2</v>
      </c>
      <c r="L521">
        <f t="shared" si="94"/>
        <v>0</v>
      </c>
      <c r="M521">
        <f t="shared" si="95"/>
        <v>7.1428571428571425E-2</v>
      </c>
      <c r="N521">
        <f t="shared" si="96"/>
        <v>0</v>
      </c>
      <c r="O521">
        <f t="shared" si="97"/>
        <v>7.1428571428571425E-2</v>
      </c>
      <c r="P521">
        <f>IFERROR(LN('Дивиденды по годам'!I521),"")</f>
        <v>23.116857864049948</v>
      </c>
      <c r="Q521">
        <f>IFERROR('Дивиденды по годам'!G521/'Дивиденды по годам'!I521, "")</f>
        <v>0.27983159687698977</v>
      </c>
      <c r="R521">
        <f>IFERROR(IF(AND('Дивиденды по годам'!N521&lt;&gt;"",'Дивиденды по годам'!U521&lt;&gt;"",'Дивиденды по годам'!U521&lt;&gt;0),'Дивиденды по годам'!N521/'Дивиденды по годам'!U521-1,""),"")</f>
        <v>-0.36051048100122518</v>
      </c>
      <c r="S521">
        <f>IFERROR(IF(AND('Дивиденды по годам'!L521&lt;&gt;"",'Дивиденды по годам'!I521&lt;&gt;"",'Дивиденды по годам'!J521&lt;&gt;"",'Дивиденды по годам'!K521&lt;&gt;"",('Дивиденды по годам'!I521-'Дивиденды по годам'!J521-'Дивиденды по годам'!K521)&lt;&gt;0),'Дивиденды по годам'!L521/('Дивиденды по годам'!I521-'Дивиденды по годам'!J521-'Дивиденды по годам'!K521),""),"")</f>
        <v>-0.58883690990985293</v>
      </c>
      <c r="T521">
        <f>IFERROR(IF(AND('Дивиденды по годам'!Q521&lt;&gt;"",'Дивиденды по годам'!I521&lt;&gt;"",'Дивиденды по годам'!V521&lt;&gt;"",('Дивиденды по годам'!I521+'Дивиденды по годам'!V521)&lt;&gt;0),'Дивиденды по годам'!Q521/(('Дивиденды по годам'!I521+'Дивиденды по годам'!V521)/2),""),"")</f>
        <v>0.27769792692644041</v>
      </c>
      <c r="U521">
        <f>IFERROR(IF(AND('Дивиденды по годам'!J521&lt;&gt;"",'Дивиденды по годам'!K521&lt;&gt;"",'Дивиденды по годам'!M521&lt;&gt;"",'Дивиденды по годам'!M521&lt;&gt;0),('Дивиденды по годам'!J521+'Дивиденды по годам'!K521)/'Дивиденды по годам'!M521,""),"")</f>
        <v>0.82459310188120516</v>
      </c>
      <c r="V521">
        <f>IFERROR(IF(AND('Дивиденды по годам'!J521&lt;&gt;"",'Дивиденды по годам'!K521&lt;&gt;"",'Дивиденды по годам'!M521&lt;&gt;"",'Дивиденды по годам'!I521&lt;&gt;0),('Дивиденды по годам'!J521+'Дивиденды по годам'!K521)/'Дивиденды по годам'!I521,""),"")</f>
        <v>0.45193259857829521</v>
      </c>
      <c r="W521">
        <f>IFERROR('Дивиденды по годам'!I521,"")</f>
        <v>10952766000</v>
      </c>
      <c r="X521" cm="1">
        <f t="array" ref="X521">IFERROR(AVERAGE(_xlfn._xlws.FILTER(P$2:P$1073,($C$2:$C$1073=$C521)*($E$2:$E$1073=$E521)*(ROW(P$2:P$1073)&lt;&gt;ROW(P521))*(P$2:P$1073&lt;&gt;""))),"")</f>
        <v>25.206839511237565</v>
      </c>
      <c r="Y521" cm="1">
        <f t="array" ref="Y521">IFERROR(AVERAGE(_xlfn._xlws.FILTER(Q$2:Q$1073,($C$2:$C$1073=$C521)*($E$2:$E$1073=$E521)*(ROW(Q$2:Q$1073)&lt;&gt;ROW(Q521))*(Q$2:Q$1073&lt;&gt;""))),"")</f>
        <v>0.32237745150832142</v>
      </c>
      <c r="Z521" cm="1">
        <f t="array" ref="Z521">IFERROR(AVERAGE(_xlfn._xlws.FILTER(R$2:R$1073,($C$2:$C$1073=$C521)*($E$2:$E$1073=$E521)*(ROW(R$2:R$1073)&lt;&gt;ROW(R521))*(R$2:R$1073&lt;&gt;""))),"")</f>
        <v>0.12616308335917148</v>
      </c>
      <c r="AA521" cm="1">
        <f t="array" ref="AA521">IFERROR(AVERAGE(_xlfn._xlws.FILTER(S$2:S$1073,($C$2:$C$1073=$C521)*($E$2:$E$1073=$E521)*(ROW(S$2:S$1073)&lt;&gt;ROW(S521))*(S$2:S$1073&lt;&gt;""))),"")</f>
        <v>0.84979540526838859</v>
      </c>
      <c r="AB521" cm="1">
        <f t="array" ref="AB521">IFERROR(AVERAGE(_xlfn._xlws.FILTER(T$2:T$1073,($C$2:$C$1073=$C521)*($E$2:$E$1073=$E521)*(ROW(T$2:T$1073)&lt;&gt;ROW(T521))*(T$2:T$1073&lt;&gt;""))),"")</f>
        <v>-3.7950791960633438E-2</v>
      </c>
      <c r="AC521" cm="1">
        <f t="array" ref="AC521">IFERROR(AVERAGE(_xlfn._xlws.FILTER(U$2:U$1073,($C$2:$C$1073=$C521)*($E$2:$E$1073=$E521)*(ROW(U$2:U$1073)&lt;&gt;ROW(U521))*(U$2:U$1073&lt;&gt;""))),"")</f>
        <v>1.1188127460780593</v>
      </c>
      <c r="AD521" cm="1">
        <f t="array" ref="AD521">IFERROR(AVERAGE(_xlfn._xlws.FILTER(V$2:V$1073,($C$2:$C$1073=$C521)*($E$2:$E$1073=$E521)*(ROW(V$2:V$1073)&lt;&gt;ROW(V521))*(V$2:V$1073&lt;&gt;""))),"")</f>
        <v>0.87698550297576316</v>
      </c>
      <c r="AE521">
        <f>IF('Дивиденды по годам'!M521&lt;0,1,0)</f>
        <v>0</v>
      </c>
    </row>
    <row r="522" spans="1:31" x14ac:dyDescent="0.2">
      <c r="A522" s="7" t="s">
        <v>2244</v>
      </c>
      <c r="B522" t="str">
        <f t="shared" si="88"/>
        <v>AQUA IV кв. 2017</v>
      </c>
      <c r="C522">
        <v>2017</v>
      </c>
      <c r="D522">
        <f>SUMIFS(Дивиденды!$C:$C,Дивиденды!$A:$A,A522,Дивиденды!$I:$I,C522)</f>
        <v>0</v>
      </c>
      <c r="E522">
        <v>4</v>
      </c>
      <c r="F522">
        <f t="shared" si="89"/>
        <v>0</v>
      </c>
      <c r="G522">
        <f t="shared" si="90"/>
        <v>18.403571428571428</v>
      </c>
      <c r="H522">
        <f t="shared" si="91"/>
        <v>0</v>
      </c>
      <c r="I522">
        <f t="shared" si="92"/>
        <v>0.14285714285714285</v>
      </c>
      <c r="J522">
        <f t="shared" si="93"/>
        <v>0</v>
      </c>
      <c r="K522">
        <f t="shared" si="98"/>
        <v>-1.7352821773673279E-2</v>
      </c>
      <c r="L522">
        <f t="shared" si="94"/>
        <v>0</v>
      </c>
      <c r="M522">
        <f t="shared" si="95"/>
        <v>0</v>
      </c>
      <c r="N522">
        <f t="shared" si="96"/>
        <v>0</v>
      </c>
      <c r="O522">
        <f t="shared" si="97"/>
        <v>0.14285714285714285</v>
      </c>
      <c r="P522">
        <f>IFERROR(LN('Дивиденды по годам'!I522),"")</f>
        <v>22.436477106167796</v>
      </c>
      <c r="Q522">
        <f>IFERROR('Дивиденды по годам'!G522/'Дивиденды по годам'!I522, "")</f>
        <v>0.3640544138949961</v>
      </c>
      <c r="R522">
        <f>IFERROR(IF(AND('Дивиденды по годам'!N522&lt;&gt;"",'Дивиденды по годам'!U522&lt;&gt;"",'Дивиденды по годам'!U522&lt;&gt;0),'Дивиденды по годам'!N522/'Дивиденды по годам'!U522-1,""),"")</f>
        <v>1.028693272707883</v>
      </c>
      <c r="S522">
        <f>IFERROR(IF(AND('Дивиденды по годам'!L522&lt;&gt;"",'Дивиденды по годам'!I522&lt;&gt;"",'Дивиденды по годам'!J522&lt;&gt;"",'Дивиденды по годам'!K522&lt;&gt;"",('Дивиденды по годам'!I522-'Дивиденды по годам'!J522-'Дивиденды по годам'!K522)&lt;&gt;0),'Дивиденды по годам'!L522/('Дивиденды по годам'!I522-'Дивиденды по годам'!J522-'Дивиденды по годам'!K522),""),"")</f>
        <v>-1.669059674749733</v>
      </c>
      <c r="T522">
        <f>IFERROR(IF(AND('Дивиденды по годам'!Q522&lt;&gt;"",'Дивиденды по годам'!I522&lt;&gt;"",'Дивиденды по годам'!V522&lt;&gt;"",('Дивиденды по годам'!I522+'Дивиденды по годам'!V522)&lt;&gt;0),'Дивиденды по годам'!Q522/(('Дивиденды по годам'!I522+'Дивиденды по годам'!V522)/2),""),"")</f>
        <v>6.5482425828602822E-2</v>
      </c>
      <c r="U522">
        <f>IFERROR(IF(AND('Дивиденды по годам'!J522&lt;&gt;"",'Дивиденды по годам'!K522&lt;&gt;"",'Дивиденды по годам'!M522&lt;&gt;"",'Дивиденды по годам'!M522&lt;&gt;0),('Дивиденды по годам'!J522+'Дивиденды по годам'!K522)/'Дивиденды по годам'!M522,""),"")</f>
        <v>0.57853868465568237</v>
      </c>
      <c r="V522">
        <f>IFERROR(IF(AND('Дивиденды по годам'!J522&lt;&gt;"",'Дивиденды по годам'!K522&lt;&gt;"",'Дивиденды по годам'!M522&lt;&gt;"",'Дивиденды по годам'!I522&lt;&gt;0),('Дивиденды по годам'!J522+'Дивиденды по годам'!K522)/'Дивиденды по годам'!I522,""),"")</f>
        <v>0.36650269662658008</v>
      </c>
      <c r="W522">
        <f>IFERROR('Дивиденды по годам'!I522,"")</f>
        <v>5546745000</v>
      </c>
      <c r="X522" cm="1">
        <f t="array" ref="X522">IFERROR(AVERAGE(_xlfn._xlws.FILTER(P$2:P$1073,($C$2:$C$1073=$C522)*($E$2:$E$1073=$E522)*(ROW(P$2:P$1073)&lt;&gt;ROW(P522))*(P$2:P$1073&lt;&gt;""))),"")</f>
        <v>25.118916141991885</v>
      </c>
      <c r="Y522" cm="1">
        <f t="array" ref="Y522">IFERROR(AVERAGE(_xlfn._xlws.FILTER(Q$2:Q$1073,($C$2:$C$1073=$C522)*($E$2:$E$1073=$E522)*(ROW(Q$2:Q$1073)&lt;&gt;ROW(Q522))*(Q$2:Q$1073&lt;&gt;""))),"")</f>
        <v>0.33577172578918196</v>
      </c>
      <c r="Z522" cm="1">
        <f t="array" ref="Z522">IFERROR(AVERAGE(_xlfn._xlws.FILTER(R$2:R$1073,($C$2:$C$1073=$C522)*($E$2:$E$1073=$E522)*(ROW(R$2:R$1073)&lt;&gt;ROW(R522))*(R$2:R$1073&lt;&gt;""))),"")</f>
        <v>3.8973163343348771E-2</v>
      </c>
      <c r="AA522" cm="1">
        <f t="array" ref="AA522">IFERROR(AVERAGE(_xlfn._xlws.FILTER(S$2:S$1073,($C$2:$C$1073=$C522)*($E$2:$E$1073=$E522)*(ROW(S$2:S$1073)&lt;&gt;ROW(S522))*(S$2:S$1073&lt;&gt;""))),"")</f>
        <v>0.99888062220188589</v>
      </c>
      <c r="AB522" cm="1">
        <f t="array" ref="AB522">IFERROR(AVERAGE(_xlfn._xlws.FILTER(T$2:T$1073,($C$2:$C$1073=$C522)*($E$2:$E$1073=$E522)*(ROW(T$2:T$1073)&lt;&gt;ROW(T522))*(T$2:T$1073&lt;&gt;""))),"")</f>
        <v>-5.0176084147361785E-2</v>
      </c>
      <c r="AC522" cm="1">
        <f t="array" ref="AC522">IFERROR(AVERAGE(_xlfn._xlws.FILTER(U$2:U$1073,($C$2:$C$1073=$C522)*($E$2:$E$1073=$E522)*(ROW(U$2:U$1073)&lt;&gt;ROW(U522))*(U$2:U$1073&lt;&gt;""))),"")</f>
        <v>0.6341517554746704</v>
      </c>
      <c r="AD522" cm="1">
        <f t="array" ref="AD522">IFERROR(AVERAGE(_xlfn._xlws.FILTER(V$2:V$1073,($C$2:$C$1073=$C522)*($E$2:$E$1073=$E522)*(ROW(V$2:V$1073)&lt;&gt;ROW(V522))*(V$2:V$1073&lt;&gt;""))),"")</f>
        <v>0.71654847672408373</v>
      </c>
      <c r="AE522">
        <f>IF('Дивиденды по годам'!M522&lt;0,1,0)</f>
        <v>0</v>
      </c>
    </row>
    <row r="523" spans="1:31" x14ac:dyDescent="0.2">
      <c r="A523" s="7" t="s">
        <v>2244</v>
      </c>
      <c r="B523" t="str">
        <f t="shared" si="88"/>
        <v>AQUA IV кв. 2016</v>
      </c>
      <c r="C523">
        <v>2016</v>
      </c>
      <c r="D523">
        <f>SUMIFS(Дивиденды!$C:$C,Дивиденды!$A:$A,A523,Дивиденды!$I:$I,C523)</f>
        <v>0</v>
      </c>
      <c r="E523">
        <v>4</v>
      </c>
      <c r="F523">
        <f t="shared" si="89"/>
        <v>0</v>
      </c>
      <c r="G523">
        <f t="shared" si="90"/>
        <v>20.421428571428571</v>
      </c>
      <c r="H523">
        <f t="shared" si="91"/>
        <v>0</v>
      </c>
      <c r="I523">
        <f t="shared" si="92"/>
        <v>0.14285714285714285</v>
      </c>
      <c r="J523">
        <f t="shared" si="93"/>
        <v>0</v>
      </c>
      <c r="K523">
        <f t="shared" si="98"/>
        <v>2.0593461763560781E-2</v>
      </c>
      <c r="L523">
        <f t="shared" si="94"/>
        <v>0</v>
      </c>
      <c r="M523">
        <f t="shared" si="95"/>
        <v>7.1428571428571425E-2</v>
      </c>
      <c r="N523">
        <f t="shared" si="96"/>
        <v>0</v>
      </c>
      <c r="O523">
        <f t="shared" si="97"/>
        <v>7.1428571428571425E-2</v>
      </c>
      <c r="P523">
        <f>IFERROR(LN('Дивиденды по годам'!I523),"")</f>
        <v>22.505807788414849</v>
      </c>
      <c r="Q523">
        <f>IFERROR('Дивиденды по годам'!G523/'Дивиденды по годам'!I523, "")</f>
        <v>0.28977674997716552</v>
      </c>
      <c r="R523" t="str">
        <f>IFERROR(IF(AND('Дивиденды по годам'!N523&lt;&gt;"",'Дивиденды по годам'!U523&lt;&gt;"",'Дивиденды по годам'!U523&lt;&gt;0),'Дивиденды по годам'!N523/'Дивиденды по годам'!U523-1,""),"")</f>
        <v/>
      </c>
      <c r="S523">
        <f>IFERROR(IF(AND('Дивиденды по годам'!L523&lt;&gt;"",'Дивиденды по годам'!I523&lt;&gt;"",'Дивиденды по годам'!J523&lt;&gt;"",'Дивиденды по годам'!K523&lt;&gt;"",('Дивиденды по годам'!I523-'Дивиденды по годам'!J523-'Дивиденды по годам'!K523)&lt;&gt;0),'Дивиденды по годам'!L523/('Дивиденды по годам'!I523-'Дивиденды по годам'!J523-'Дивиденды по годам'!K523),""),"")</f>
        <v>-2.6370074102367576</v>
      </c>
      <c r="T523" t="str">
        <f>IFERROR(IF(AND('Дивиденды по годам'!Q523&lt;&gt;"",'Дивиденды по годам'!I523&lt;&gt;"",'Дивиденды по годам'!V523&lt;&gt;"",('Дивиденды по годам'!I523+'Дивиденды по годам'!V523)&lt;&gt;0),'Дивиденды по годам'!Q523/(('Дивиденды по годам'!I523+'Дивиденды по годам'!V523)/2),""),"")</f>
        <v/>
      </c>
      <c r="U523">
        <f>IFERROR(IF(AND('Дивиденды по годам'!J523&lt;&gt;"",'Дивиденды по годам'!K523&lt;&gt;"",'Дивиденды по годам'!M523&lt;&gt;"",'Дивиденды по годам'!M523&lt;&gt;0),('Дивиденды по годам'!J523+'Дивиденды по годам'!K523)/'Дивиденды по годам'!M523,""),"")</f>
        <v>1.511887307613978</v>
      </c>
      <c r="V523">
        <f>IFERROR(IF(AND('Дивиденды по годам'!J523&lt;&gt;"",'Дивиденды по годам'!K523&lt;&gt;"",'Дивиденды по годам'!M523&lt;&gt;"",'Дивиденды по годам'!I523&lt;&gt;0),('Дивиденды по годам'!J523+'Дивиденды по годам'!K523)/'Дивиденды по годам'!I523,""),"")</f>
        <v>0.601892968299644</v>
      </c>
      <c r="W523">
        <f>IFERROR('Дивиденды по годам'!I523,"")</f>
        <v>5944949000</v>
      </c>
      <c r="X523" cm="1">
        <f t="array" ref="X523">IFERROR(AVERAGE(_xlfn._xlws.FILTER(P$2:P$1073,($C$2:$C$1073=$C523)*($E$2:$E$1073=$E523)*(ROW(P$2:P$1073)&lt;&gt;ROW(P523))*(P$2:P$1073&lt;&gt;""))),"")</f>
        <v>25.067685035841087</v>
      </c>
      <c r="Y523" cm="1">
        <f t="array" ref="Y523">IFERROR(AVERAGE(_xlfn._xlws.FILTER(Q$2:Q$1073,($C$2:$C$1073=$C523)*($E$2:$E$1073=$E523)*(ROW(Q$2:Q$1073)&lt;&gt;ROW(Q523))*(Q$2:Q$1073&lt;&gt;""))),"")</f>
        <v>0.27603839875306019</v>
      </c>
      <c r="Z523" cm="1">
        <f t="array" ref="Z523">IFERROR(AVERAGE(_xlfn._xlws.FILTER(R$2:R$1073,($C$2:$C$1073=$C523)*($E$2:$E$1073=$E523)*(ROW(R$2:R$1073)&lt;&gt;ROW(R523))*(R$2:R$1073&lt;&gt;""))),"")</f>
        <v>0.16612325919082049</v>
      </c>
      <c r="AA523" cm="1">
        <f t="array" ref="AA523">IFERROR(AVERAGE(_xlfn._xlws.FILTER(S$2:S$1073,($C$2:$C$1073=$C523)*($E$2:$E$1073=$E523)*(ROW(S$2:S$1073)&lt;&gt;ROW(S523))*(S$2:S$1073&lt;&gt;""))),"")</f>
        <v>8.4315870675109306</v>
      </c>
      <c r="AB523" cm="1">
        <f t="array" ref="AB523">IFERROR(AVERAGE(_xlfn._xlws.FILTER(T$2:T$1073,($C$2:$C$1073=$C523)*($E$2:$E$1073=$E523)*(ROW(T$2:T$1073)&lt;&gt;ROW(T523))*(T$2:T$1073&lt;&gt;""))),"")</f>
        <v>-2.007011623977166E-2</v>
      </c>
      <c r="AC523" cm="1">
        <f t="array" ref="AC523">IFERROR(AVERAGE(_xlfn._xlws.FILTER(U$2:U$1073,($C$2:$C$1073=$C523)*($E$2:$E$1073=$E523)*(ROW(U$2:U$1073)&lt;&gt;ROW(U523))*(U$2:U$1073&lt;&gt;""))),"")</f>
        <v>-20.433606453320852</v>
      </c>
      <c r="AD523" cm="1">
        <f t="array" ref="AD523">IFERROR(AVERAGE(_xlfn._xlws.FILTER(V$2:V$1073,($C$2:$C$1073=$C523)*($E$2:$E$1073=$E523)*(ROW(V$2:V$1073)&lt;&gt;ROW(V523))*(V$2:V$1073&lt;&gt;""))),"")</f>
        <v>0.6581252931268603</v>
      </c>
      <c r="AE523">
        <f>IF('Дивиденды по годам'!M523&lt;0,1,0)</f>
        <v>0</v>
      </c>
    </row>
    <row r="524" spans="1:31" x14ac:dyDescent="0.2">
      <c r="A524" s="7" t="s">
        <v>2244</v>
      </c>
      <c r="B524" t="str">
        <f t="shared" si="88"/>
        <v>AQUA IV кв. 2015</v>
      </c>
      <c r="C524">
        <v>2015</v>
      </c>
      <c r="D524">
        <f>SUMIFS(Дивиденды!$C:$C,Дивиденды!$A:$A,A524,Дивиденды!$I:$I,C524)</f>
        <v>0</v>
      </c>
      <c r="E524">
        <v>4</v>
      </c>
      <c r="F524">
        <f t="shared" si="89"/>
        <v>0</v>
      </c>
      <c r="G524">
        <f t="shared" si="90"/>
        <v>22.574999999999999</v>
      </c>
      <c r="H524">
        <f t="shared" si="91"/>
        <v>0</v>
      </c>
      <c r="I524">
        <f t="shared" si="92"/>
        <v>0.14285714285714285</v>
      </c>
      <c r="J524">
        <f t="shared" si="93"/>
        <v>0</v>
      </c>
      <c r="K524">
        <f t="shared" si="98"/>
        <v>6.1102189263868886E-2</v>
      </c>
      <c r="L524">
        <f t="shared" si="94"/>
        <v>0</v>
      </c>
      <c r="M524">
        <f t="shared" si="95"/>
        <v>7.1428571428571425E-2</v>
      </c>
      <c r="N524">
        <f t="shared" si="96"/>
        <v>0</v>
      </c>
      <c r="O524">
        <f t="shared" si="97"/>
        <v>7.1428571428571425E-2</v>
      </c>
      <c r="P524" t="str">
        <f>IFERROR(LN('Дивиденды по годам'!I524),"")</f>
        <v/>
      </c>
      <c r="Q524" t="str">
        <f>IFERROR('Дивиденды по годам'!G524/'Дивиденды по годам'!I524, "")</f>
        <v/>
      </c>
      <c r="R524" t="str">
        <f>IFERROR(IF(AND('Дивиденды по годам'!N524&lt;&gt;"",'Дивиденды по годам'!U524&lt;&gt;"",'Дивиденды по годам'!U524&lt;&gt;0),'Дивиденды по годам'!N524/'Дивиденды по годам'!U524-1,""),"")</f>
        <v/>
      </c>
      <c r="S524" t="str">
        <f>IFERROR(IF(AND('Дивиденды по годам'!L524&lt;&gt;"",'Дивиденды по годам'!I524&lt;&gt;"",'Дивиденды по годам'!J524&lt;&gt;"",'Дивиденды по годам'!K524&lt;&gt;"",('Дивиденды по годам'!I524-'Дивиденды по годам'!J524-'Дивиденды по годам'!K524)&lt;&gt;0),'Дивиденды по годам'!L524/('Дивиденды по годам'!I524-'Дивиденды по годам'!J524-'Дивиденды по годам'!K524),""),"")</f>
        <v/>
      </c>
      <c r="T524" t="str">
        <f>IFERROR(IF(AND('Дивиденды по годам'!Q524&lt;&gt;"",'Дивиденды по годам'!I524&lt;&gt;"",'Дивиденды по годам'!V524&lt;&gt;"",('Дивиденды по годам'!I524+'Дивиденды по годам'!V524)&lt;&gt;0),'Дивиденды по годам'!Q524/(('Дивиденды по годам'!I524+'Дивиденды по годам'!V524)/2),""),"")</f>
        <v/>
      </c>
      <c r="U524" t="str">
        <f>IFERROR(IF(AND('Дивиденды по годам'!J524&lt;&gt;"",'Дивиденды по годам'!K524&lt;&gt;"",'Дивиденды по годам'!M524&lt;&gt;"",'Дивиденды по годам'!M524&lt;&gt;0),('Дивиденды по годам'!J524+'Дивиденды по годам'!K524)/'Дивиденды по годам'!M524,""),"")</f>
        <v/>
      </c>
      <c r="V524" t="str">
        <f>IFERROR(IF(AND('Дивиденды по годам'!J524&lt;&gt;"",'Дивиденды по годам'!K524&lt;&gt;"",'Дивиденды по годам'!M524&lt;&gt;"",'Дивиденды по годам'!I524&lt;&gt;0),('Дивиденды по годам'!J524+'Дивиденды по годам'!K524)/'Дивиденды по годам'!I524,""),"")</f>
        <v/>
      </c>
      <c r="W524" t="str">
        <f>IFERROR('Дивиденды по годам'!I524,"")</f>
        <v/>
      </c>
      <c r="X524" cm="1">
        <f t="array" ref="X524">IFERROR(AVERAGE(_xlfn._xlws.FILTER(P$2:P$1073,($C$2:$C$1073=$C524)*($E$2:$E$1073=$E524)*(ROW(P$2:P$1073)&lt;&gt;ROW(P524))*(P$2:P$1073&lt;&gt;""))),"")</f>
        <v>24.784857390248948</v>
      </c>
      <c r="Y524" cm="1">
        <f t="array" ref="Y524">IFERROR(AVERAGE(_xlfn._xlws.FILTER(Q$2:Q$1073,($C$2:$C$1073=$C524)*($E$2:$E$1073=$E524)*(ROW(Q$2:Q$1073)&lt;&gt;ROW(Q524))*(Q$2:Q$1073&lt;&gt;""))),"")</f>
        <v>0.29707306985497267</v>
      </c>
      <c r="Z524" cm="1">
        <f t="array" ref="Z524">IFERROR(AVERAGE(_xlfn._xlws.FILTER(R$2:R$1073,($C$2:$C$1073=$C524)*($E$2:$E$1073=$E524)*(ROW(R$2:R$1073)&lt;&gt;ROW(R524))*(R$2:R$1073&lt;&gt;""))),"")</f>
        <v>0.20074687596566593</v>
      </c>
      <c r="AA524" cm="1">
        <f t="array" ref="AA524">IFERROR(AVERAGE(_xlfn._xlws.FILTER(S$2:S$1073,($C$2:$C$1073=$C524)*($E$2:$E$1073=$E524)*(ROW(S$2:S$1073)&lt;&gt;ROW(S524))*(S$2:S$1073&lt;&gt;""))),"")</f>
        <v>-0.60736862679830428</v>
      </c>
      <c r="AB524" cm="1">
        <f t="array" ref="AB524">IFERROR(AVERAGE(_xlfn._xlws.FILTER(T$2:T$1073,($C$2:$C$1073=$C524)*($E$2:$E$1073=$E524)*(ROW(T$2:T$1073)&lt;&gt;ROW(T524))*(T$2:T$1073&lt;&gt;""))),"")</f>
        <v>6.4031956193225284E-2</v>
      </c>
      <c r="AC524" cm="1">
        <f t="array" ref="AC524">IFERROR(AVERAGE(_xlfn._xlws.FILTER(U$2:U$1073,($C$2:$C$1073=$C524)*($E$2:$E$1073=$E524)*(ROW(U$2:U$1073)&lt;&gt;ROW(U524))*(U$2:U$1073&lt;&gt;""))),"")</f>
        <v>5.5189604575277329</v>
      </c>
      <c r="AD524" cm="1">
        <f t="array" ref="AD524">IFERROR(AVERAGE(_xlfn._xlws.FILTER(V$2:V$1073,($C$2:$C$1073=$C524)*($E$2:$E$1073=$E524)*(ROW(V$2:V$1073)&lt;&gt;ROW(V524))*(V$2:V$1073&lt;&gt;""))),"")</f>
        <v>0.63096522939864874</v>
      </c>
      <c r="AE524">
        <f>IF('Дивиденды по годам'!M524&lt;0,1,0)</f>
        <v>0</v>
      </c>
    </row>
    <row r="525" spans="1:31" x14ac:dyDescent="0.2">
      <c r="A525" s="7" t="s">
        <v>2244</v>
      </c>
      <c r="B525" t="str">
        <f t="shared" si="88"/>
        <v>AQUA IV кв. 2014</v>
      </c>
      <c r="C525">
        <v>2014</v>
      </c>
      <c r="D525">
        <f>SUMIFS(Дивиденды!$C:$C,Дивиденды!$A:$A,A525,Дивиденды!$I:$I,C525)</f>
        <v>0</v>
      </c>
      <c r="E525">
        <v>4</v>
      </c>
      <c r="F525">
        <f t="shared" si="89"/>
        <v>0</v>
      </c>
      <c r="G525">
        <f t="shared" si="90"/>
        <v>25.924285714285713</v>
      </c>
      <c r="H525">
        <f t="shared" si="91"/>
        <v>0</v>
      </c>
      <c r="I525">
        <f t="shared" si="92"/>
        <v>7.1428571428571425E-2</v>
      </c>
      <c r="J525">
        <f t="shared" si="93"/>
        <v>0</v>
      </c>
      <c r="K525">
        <f t="shared" si="98"/>
        <v>4.887635107293415E-2</v>
      </c>
      <c r="L525">
        <f t="shared" si="94"/>
        <v>0</v>
      </c>
      <c r="M525">
        <f t="shared" si="95"/>
        <v>7.1428571428571425E-2</v>
      </c>
      <c r="N525">
        <f t="shared" si="96"/>
        <v>0</v>
      </c>
      <c r="O525">
        <f t="shared" si="97"/>
        <v>7.1428571428571425E-2</v>
      </c>
      <c r="P525" t="str">
        <f>IFERROR(LN('Дивиденды по годам'!I525),"")</f>
        <v/>
      </c>
      <c r="Q525" t="str">
        <f>IFERROR('Дивиденды по годам'!G525/'Дивиденды по годам'!I525, "")</f>
        <v/>
      </c>
      <c r="R525" t="str">
        <f>IFERROR(IF(AND('Дивиденды по годам'!N525&lt;&gt;"",'Дивиденды по годам'!U525&lt;&gt;"",'Дивиденды по годам'!U525&lt;&gt;0),'Дивиденды по годам'!N525/'Дивиденды по годам'!U525-1,""),"")</f>
        <v/>
      </c>
      <c r="S525" t="str">
        <f>IFERROR(IF(AND('Дивиденды по годам'!L525&lt;&gt;"",'Дивиденды по годам'!I525&lt;&gt;"",'Дивиденды по годам'!J525&lt;&gt;"",'Дивиденды по годам'!K525&lt;&gt;"",('Дивиденды по годам'!I525-'Дивиденды по годам'!J525-'Дивиденды по годам'!K525)&lt;&gt;0),'Дивиденды по годам'!L525/('Дивиденды по годам'!I525-'Дивиденды по годам'!J525-'Дивиденды по годам'!K525),""),"")</f>
        <v/>
      </c>
      <c r="T525" t="str">
        <f>IFERROR(IF(AND('Дивиденды по годам'!Q525&lt;&gt;"",'Дивиденды по годам'!I525&lt;&gt;"",'Дивиденды по годам'!V525&lt;&gt;"",('Дивиденды по годам'!I525+'Дивиденды по годам'!V525)&lt;&gt;0),'Дивиденды по годам'!Q525/(('Дивиденды по годам'!I525+'Дивиденды по годам'!V525)/2),""),"")</f>
        <v/>
      </c>
      <c r="U525" t="str">
        <f>IFERROR(IF(AND('Дивиденды по годам'!J525&lt;&gt;"",'Дивиденды по годам'!K525&lt;&gt;"",'Дивиденды по годам'!M525&lt;&gt;"",'Дивиденды по годам'!M525&lt;&gt;0),('Дивиденды по годам'!J525+'Дивиденды по годам'!K525)/'Дивиденды по годам'!M525,""),"")</f>
        <v/>
      </c>
      <c r="V525" t="str">
        <f>IFERROR(IF(AND('Дивиденды по годам'!J525&lt;&gt;"",'Дивиденды по годам'!K525&lt;&gt;"",'Дивиденды по годам'!M525&lt;&gt;"",'Дивиденды по годам'!I525&lt;&gt;0),('Дивиденды по годам'!J525+'Дивиденды по годам'!K525)/'Дивиденды по годам'!I525,""),"")</f>
        <v/>
      </c>
      <c r="W525" t="str">
        <f>IFERROR('Дивиденды по годам'!I525,"")</f>
        <v/>
      </c>
      <c r="X525" cm="1">
        <f t="array" ref="X525">IFERROR(AVERAGE(_xlfn._xlws.FILTER(P$2:P$1073,($C$2:$C$1073=$C525)*($E$2:$E$1073=$E525)*(ROW(P$2:P$1073)&lt;&gt;ROW(P525))*(P$2:P$1073&lt;&gt;""))),"")</f>
        <v>24.777851287837404</v>
      </c>
      <c r="Y525" cm="1">
        <f t="array" ref="Y525">IFERROR(AVERAGE(_xlfn._xlws.FILTER(Q$2:Q$1073,($C$2:$C$1073=$C525)*($E$2:$E$1073=$E525)*(ROW(Q$2:Q$1073)&lt;&gt;ROW(Q525))*(Q$2:Q$1073&lt;&gt;""))),"")</f>
        <v>0.28994951624266957</v>
      </c>
      <c r="Z525" cm="1">
        <f t="array" ref="Z525">IFERROR(AVERAGE(_xlfn._xlws.FILTER(R$2:R$1073,($C$2:$C$1073=$C525)*($E$2:$E$1073=$E525)*(ROW(R$2:R$1073)&lt;&gt;ROW(R525))*(R$2:R$1073&lt;&gt;""))),"")</f>
        <v>8.5517195784799244E-2</v>
      </c>
      <c r="AA525" cm="1">
        <f t="array" ref="AA525">IFERROR(AVERAGE(_xlfn._xlws.FILTER(S$2:S$1073,($C$2:$C$1073=$C525)*($E$2:$E$1073=$E525)*(ROW(S$2:S$1073)&lt;&gt;ROW(S525))*(S$2:S$1073&lt;&gt;""))),"")</f>
        <v>-8.9932559622525012</v>
      </c>
      <c r="AB525" cm="1">
        <f t="array" ref="AB525">IFERROR(AVERAGE(_xlfn._xlws.FILTER(T$2:T$1073,($C$2:$C$1073=$C525)*($E$2:$E$1073=$E525)*(ROW(T$2:T$1073)&lt;&gt;ROW(T525))*(T$2:T$1073&lt;&gt;""))),"")</f>
        <v>3.4958573241250623E-2</v>
      </c>
      <c r="AC525" cm="1">
        <f t="array" ref="AC525">IFERROR(AVERAGE(_xlfn._xlws.FILTER(U$2:U$1073,($C$2:$C$1073=$C525)*($E$2:$E$1073=$E525)*(ROW(U$2:U$1073)&lt;&gt;ROW(U525))*(U$2:U$1073&lt;&gt;""))),"")</f>
        <v>34.444280572958768</v>
      </c>
      <c r="AD525" cm="1">
        <f t="array" ref="AD525">IFERROR(AVERAGE(_xlfn._xlws.FILTER(V$2:V$1073,($C$2:$C$1073=$C525)*($E$2:$E$1073=$E525)*(ROW(V$2:V$1073)&lt;&gt;ROW(V525))*(V$2:V$1073&lt;&gt;""))),"")</f>
        <v>0.67440993714043496</v>
      </c>
      <c r="AE525">
        <f>IF('Дивиденды по годам'!M525&lt;0,1,0)</f>
        <v>0</v>
      </c>
    </row>
    <row r="526" spans="1:31" x14ac:dyDescent="0.2">
      <c r="A526" s="7" t="s">
        <v>2244</v>
      </c>
      <c r="B526" t="str">
        <f t="shared" si="88"/>
        <v>AQUA IV кв. 2013</v>
      </c>
      <c r="C526">
        <v>2013</v>
      </c>
      <c r="D526">
        <f>SUMIFS(Дивиденды!$C:$C,Дивиденды!$A:$A,A526,Дивиденды!$I:$I,C526)</f>
        <v>0</v>
      </c>
      <c r="E526">
        <v>4</v>
      </c>
      <c r="F526">
        <f t="shared" si="89"/>
        <v>0</v>
      </c>
      <c r="G526">
        <f t="shared" si="90"/>
        <v>13.409285714285716</v>
      </c>
      <c r="H526">
        <f t="shared" si="91"/>
        <v>0</v>
      </c>
      <c r="I526">
        <f t="shared" si="92"/>
        <v>0.14285714285714285</v>
      </c>
      <c r="J526">
        <f t="shared" si="93"/>
        <v>0</v>
      </c>
      <c r="K526">
        <f t="shared" si="98"/>
        <v>4.7291245939064024E-2</v>
      </c>
      <c r="L526">
        <f t="shared" si="94"/>
        <v>0</v>
      </c>
      <c r="M526">
        <f t="shared" si="95"/>
        <v>7.1428571428571425E-2</v>
      </c>
      <c r="N526">
        <f t="shared" si="96"/>
        <v>0</v>
      </c>
      <c r="O526">
        <f t="shared" si="97"/>
        <v>0</v>
      </c>
      <c r="P526" t="str">
        <f>IFERROR(LN('Дивиденды по годам'!I526),"")</f>
        <v/>
      </c>
      <c r="Q526" t="str">
        <f>IFERROR('Дивиденды по годам'!G526/'Дивиденды по годам'!I526, "")</f>
        <v/>
      </c>
      <c r="R526" t="str">
        <f>IFERROR(IF(AND('Дивиденды по годам'!N526&lt;&gt;"",'Дивиденды по годам'!U526&lt;&gt;"",'Дивиденды по годам'!U526&lt;&gt;0),'Дивиденды по годам'!N526/'Дивиденды по годам'!U526-1,""),"")</f>
        <v/>
      </c>
      <c r="S526" t="str">
        <f>IFERROR(IF(AND('Дивиденды по годам'!L526&lt;&gt;"",'Дивиденды по годам'!I526&lt;&gt;"",'Дивиденды по годам'!J526&lt;&gt;"",'Дивиденды по годам'!K526&lt;&gt;"",('Дивиденды по годам'!I526-'Дивиденды по годам'!J526-'Дивиденды по годам'!K526)&lt;&gt;0),'Дивиденды по годам'!L526/('Дивиденды по годам'!I526-'Дивиденды по годам'!J526-'Дивиденды по годам'!K526),""),"")</f>
        <v/>
      </c>
      <c r="T526" t="str">
        <f>IFERROR(IF(AND('Дивиденды по годам'!Q526&lt;&gt;"",'Дивиденды по годам'!I526&lt;&gt;"",'Дивиденды по годам'!V526&lt;&gt;"",('Дивиденды по годам'!I526+'Дивиденды по годам'!V526)&lt;&gt;0),'Дивиденды по годам'!Q526/(('Дивиденды по годам'!I526+'Дивиденды по годам'!V526)/2),""),"")</f>
        <v/>
      </c>
      <c r="U526" t="str">
        <f>IFERROR(IF(AND('Дивиденды по годам'!J526&lt;&gt;"",'Дивиденды по годам'!K526&lt;&gt;"",'Дивиденды по годам'!M526&lt;&gt;"",'Дивиденды по годам'!M526&lt;&gt;0),('Дивиденды по годам'!J526+'Дивиденды по годам'!K526)/'Дивиденды по годам'!M526,""),"")</f>
        <v/>
      </c>
      <c r="V526" t="str">
        <f>IFERROR(IF(AND('Дивиденды по годам'!J526&lt;&gt;"",'Дивиденды по годам'!K526&lt;&gt;"",'Дивиденды по годам'!M526&lt;&gt;"",'Дивиденды по годам'!I526&lt;&gt;0),('Дивиденды по годам'!J526+'Дивиденды по годам'!K526)/'Дивиденды по годам'!I526,""),"")</f>
        <v/>
      </c>
      <c r="W526" t="str">
        <f>IFERROR('Дивиденды по годам'!I526,"")</f>
        <v/>
      </c>
      <c r="X526" cm="1">
        <f t="array" ref="X526">IFERROR(AVERAGE(_xlfn._xlws.FILTER(P$2:P$1073,($C$2:$C$1073=$C526)*($E$2:$E$1073=$E526)*(ROW(P$2:P$1073)&lt;&gt;ROW(P526))*(P$2:P$1073&lt;&gt;""))),"")</f>
        <v>24.281308125321722</v>
      </c>
      <c r="Y526" cm="1">
        <f t="array" ref="Y526">IFERROR(AVERAGE(_xlfn._xlws.FILTER(Q$2:Q$1073,($C$2:$C$1073=$C526)*($E$2:$E$1073=$E526)*(ROW(Q$2:Q$1073)&lt;&gt;ROW(Q526))*(Q$2:Q$1073&lt;&gt;""))),"")</f>
        <v>0.34809372453666254</v>
      </c>
      <c r="Z526" cm="1">
        <f t="array" ref="Z526">IFERROR(AVERAGE(_xlfn._xlws.FILTER(R$2:R$1073,($C$2:$C$1073=$C526)*($E$2:$E$1073=$E526)*(ROW(R$2:R$1073)&lt;&gt;ROW(R526))*(R$2:R$1073&lt;&gt;""))),"")</f>
        <v>0.17531341667142472</v>
      </c>
      <c r="AA526" t="str" cm="1">
        <f t="array" ref="AA526">IFERROR(AVERAGE(_xlfn._xlws.FILTER(S$2:S$1073,($C$2:$C$1073=$C526)*($E$2:$E$1073=$E526)*(ROW(S$2:S$1073)&lt;&gt;ROW(S526))*(S$2:S$1073&lt;&gt;""))),"")</f>
        <v/>
      </c>
      <c r="AB526" cm="1">
        <f t="array" ref="AB526">IFERROR(AVERAGE(_xlfn._xlws.FILTER(T$2:T$1073,($C$2:$C$1073=$C526)*($E$2:$E$1073=$E526)*(ROW(T$2:T$1073)&lt;&gt;ROW(T526))*(T$2:T$1073&lt;&gt;""))),"")</f>
        <v>-0.12490141563278262</v>
      </c>
      <c r="AC526" cm="1">
        <f t="array" ref="AC526">IFERROR(AVERAGE(_xlfn._xlws.FILTER(U$2:U$1073,($C$2:$C$1073=$C526)*($E$2:$E$1073=$E526)*(ROW(U$2:U$1073)&lt;&gt;ROW(U526))*(U$2:U$1073&lt;&gt;""))),"")</f>
        <v>0.44566877182826042</v>
      </c>
      <c r="AD526" cm="1">
        <f t="array" ref="AD526">IFERROR(AVERAGE(_xlfn._xlws.FILTER(V$2:V$1073,($C$2:$C$1073=$C526)*($E$2:$E$1073=$E526)*(ROW(V$2:V$1073)&lt;&gt;ROW(V526))*(V$2:V$1073&lt;&gt;""))),"")</f>
        <v>1.3322699308491581</v>
      </c>
      <c r="AE526">
        <f>IF('Дивиденды по годам'!M526&lt;0,1,0)</f>
        <v>0</v>
      </c>
    </row>
    <row r="527" spans="1:31" x14ac:dyDescent="0.2">
      <c r="A527" s="7" t="s">
        <v>2244</v>
      </c>
      <c r="B527" t="str">
        <f t="shared" si="88"/>
        <v>AQUA IV кв. 2012</v>
      </c>
      <c r="C527">
        <v>2012</v>
      </c>
      <c r="D527">
        <f>SUMIFS(Дивиденды!$C:$C,Дивиденды!$A:$A,A527,Дивиденды!$I:$I,C527)</f>
        <v>0</v>
      </c>
      <c r="E527">
        <v>4</v>
      </c>
      <c r="F527">
        <f t="shared" si="89"/>
        <v>0</v>
      </c>
      <c r="G527">
        <f t="shared" si="90"/>
        <v>9.5621428571428577</v>
      </c>
      <c r="H527">
        <f t="shared" si="91"/>
        <v>0</v>
      </c>
      <c r="I527">
        <f t="shared" si="92"/>
        <v>0.14285714285714285</v>
      </c>
      <c r="J527">
        <f t="shared" si="93"/>
        <v>0</v>
      </c>
      <c r="K527">
        <f t="shared" si="98"/>
        <v>0.25341100242975517</v>
      </c>
      <c r="L527">
        <f t="shared" si="94"/>
        <v>0</v>
      </c>
      <c r="M527">
        <f t="shared" si="95"/>
        <v>0.14285714285714285</v>
      </c>
      <c r="N527">
        <f t="shared" si="96"/>
        <v>0</v>
      </c>
      <c r="O527">
        <f t="shared" si="97"/>
        <v>0</v>
      </c>
      <c r="P527">
        <f>IFERROR(LN('Дивиденды по годам'!I527),"")</f>
        <v>22.469860910953415</v>
      </c>
      <c r="Q527">
        <f>IFERROR('Дивиденды по годам'!G527/'Дивиденды по годам'!I527, "")</f>
        <v>7.748992945474506E-2</v>
      </c>
      <c r="R527">
        <f>IFERROR(IF(AND('Дивиденды по годам'!N527&lt;&gt;"",'Дивиденды по годам'!U527&lt;&gt;"",'Дивиденды по годам'!U527&lt;&gt;0),'Дивиденды по годам'!N527/'Дивиденды по годам'!U527-1,""),"")</f>
        <v>-0.13737488553211008</v>
      </c>
      <c r="S527" t="str">
        <f>IFERROR(IF(AND('Дивиденды по годам'!L527&lt;&gt;"",'Дивиденды по годам'!I527&lt;&gt;"",'Дивиденды по годам'!J527&lt;&gt;"",'Дивиденды по годам'!K527&lt;&gt;"",('Дивиденды по годам'!I527-'Дивиденды по годам'!J527-'Дивиденды по годам'!K527)&lt;&gt;0),'Дивиденды по годам'!L527/('Дивиденды по годам'!I527-'Дивиденды по годам'!J527-'Дивиденды по годам'!K527),""),"")</f>
        <v/>
      </c>
      <c r="T527">
        <f>IFERROR(IF(AND('Дивиденды по годам'!Q527&lt;&gt;"",'Дивиденды по годам'!I527&lt;&gt;"",'Дивиденды по годам'!V527&lt;&gt;"",('Дивиденды по годам'!I527+'Дивиденды по годам'!V527)&lt;&gt;0),'Дивиденды по годам'!Q527/(('Дивиденды по годам'!I527+'Дивиденды по годам'!V527)/2),""),"")</f>
        <v>-1.6497402596983846E-2</v>
      </c>
      <c r="U527">
        <f>IFERROR(IF(AND('Дивиденды по годам'!J527&lt;&gt;"",'Дивиденды по годам'!K527&lt;&gt;"",'Дивиденды по годам'!M527&lt;&gt;"",'Дивиденды по годам'!M527&lt;&gt;0),('Дивиденды по годам'!J527+'Дивиденды по годам'!K527)/'Дивиденды по годам'!M527,""),"")</f>
        <v>-28.184932026317288</v>
      </c>
      <c r="V527">
        <f>IFERROR(IF(AND('Дивиденды по годам'!J527&lt;&gt;"",'Дивиденды по годам'!K527&lt;&gt;"",'Дивиденды по годам'!M527&lt;&gt;"",'Дивиденды по годам'!I527&lt;&gt;0),('Дивиденды по годам'!J527+'Дивиденды по годам'!K527)/'Дивиденды по годам'!I527,""),"")</f>
        <v>1.0367850837012178</v>
      </c>
      <c r="W527">
        <f>IFERROR('Дивиденды по годам'!I527,"")</f>
        <v>5735042000</v>
      </c>
      <c r="X527" cm="1">
        <f t="array" ref="X527">IFERROR(AVERAGE(_xlfn._xlws.FILTER(P$2:P$1073,($C$2:$C$1073=$C527)*($E$2:$E$1073=$E527)*(ROW(P$2:P$1073)&lt;&gt;ROW(P527))*(P$2:P$1073&lt;&gt;""))),"")</f>
        <v>24.66799790565933</v>
      </c>
      <c r="Y527" cm="1">
        <f t="array" ref="Y527">IFERROR(AVERAGE(_xlfn._xlws.FILTER(Q$2:Q$1073,($C$2:$C$1073=$C527)*($E$2:$E$1073=$E527)*(ROW(Q$2:Q$1073)&lt;&gt;ROW(Q527))*(Q$2:Q$1073&lt;&gt;""))),"")</f>
        <v>0.33319762065662101</v>
      </c>
      <c r="Z527" cm="1">
        <f t="array" ref="Z527">IFERROR(AVERAGE(_xlfn._xlws.FILTER(R$2:R$1073,($C$2:$C$1073=$C527)*($E$2:$E$1073=$E527)*(ROW(R$2:R$1073)&lt;&gt;ROW(R527))*(R$2:R$1073&lt;&gt;""))),"")</f>
        <v>6.1907745424306659E-3</v>
      </c>
      <c r="AA527" cm="1">
        <f t="array" ref="AA527">IFERROR(AVERAGE(_xlfn._xlws.FILTER(S$2:S$1073,($C$2:$C$1073=$C527)*($E$2:$E$1073=$E527)*(ROW(S$2:S$1073)&lt;&gt;ROW(S527))*(S$2:S$1073&lt;&gt;""))),"")</f>
        <v>-1.7651061513336963</v>
      </c>
      <c r="AB527" cm="1">
        <f t="array" ref="AB527">IFERROR(AVERAGE(_xlfn._xlws.FILTER(T$2:T$1073,($C$2:$C$1073=$C527)*($E$2:$E$1073=$E527)*(ROW(T$2:T$1073)&lt;&gt;ROW(T527))*(T$2:T$1073&lt;&gt;""))),"")</f>
        <v>8.9624924544497664E-2</v>
      </c>
      <c r="AC527" cm="1">
        <f t="array" ref="AC527">IFERROR(AVERAGE(_xlfn._xlws.FILTER(U$2:U$1073,($C$2:$C$1073=$C527)*($E$2:$E$1073=$E527)*(ROW(U$2:U$1073)&lt;&gt;ROW(U527))*(U$2:U$1073&lt;&gt;""))),"")</f>
        <v>2.0922456448056388</v>
      </c>
      <c r="AD527" cm="1">
        <f t="array" ref="AD527">IFERROR(AVERAGE(_xlfn._xlws.FILTER(V$2:V$1073,($C$2:$C$1073=$C527)*($E$2:$E$1073=$E527)*(ROW(V$2:V$1073)&lt;&gt;ROW(V527))*(V$2:V$1073&lt;&gt;""))),"")</f>
        <v>0.59736371427615453</v>
      </c>
      <c r="AE527">
        <f>IF('Дивиденды по годам'!M527&lt;0,1,0)</f>
        <v>1</v>
      </c>
    </row>
    <row r="528" spans="1:31" x14ac:dyDescent="0.2">
      <c r="A528" s="7" t="s">
        <v>2244</v>
      </c>
      <c r="B528" t="str">
        <f t="shared" si="88"/>
        <v>AQUA IV кв. 2011</v>
      </c>
      <c r="C528">
        <v>2011</v>
      </c>
      <c r="D528">
        <f>SUMIFS(Дивиденды!$C:$C,Дивиденды!$A:$A,A528,Дивиденды!$I:$I,C528)</f>
        <v>0</v>
      </c>
      <c r="E528">
        <v>4</v>
      </c>
      <c r="F528">
        <f t="shared" si="89"/>
        <v>0</v>
      </c>
      <c r="G528">
        <f t="shared" si="90"/>
        <v>1.6378571428571429</v>
      </c>
      <c r="H528">
        <f t="shared" si="91"/>
        <v>0</v>
      </c>
      <c r="I528">
        <f t="shared" si="92"/>
        <v>7.1428571428571425E-2</v>
      </c>
      <c r="J528">
        <f t="shared" si="93"/>
        <v>0</v>
      </c>
      <c r="K528">
        <f t="shared" si="98"/>
        <v>0.17786475320721892</v>
      </c>
      <c r="L528">
        <f t="shared" si="94"/>
        <v>0</v>
      </c>
      <c r="M528">
        <f t="shared" si="95"/>
        <v>7.1428571428571425E-2</v>
      </c>
      <c r="N528">
        <f t="shared" si="96"/>
        <v>0</v>
      </c>
      <c r="O528">
        <f t="shared" si="97"/>
        <v>0</v>
      </c>
      <c r="P528">
        <f>IFERROR(LN('Дивиденды по годам'!I528),"")</f>
        <v>22.620949562900432</v>
      </c>
      <c r="Q528">
        <f>IFERROR('Дивиденды по годам'!G528/'Дивиденды по годам'!I528, "")</f>
        <v>0.20899474786168079</v>
      </c>
      <c r="R528" t="str">
        <f>IFERROR(IF(AND('Дивиденды по годам'!N528&lt;&gt;"",'Дивиденды по годам'!U528&lt;&gt;"",'Дивиденды по годам'!U528&lt;&gt;0),'Дивиденды по годам'!N528/'Дивиденды по годам'!U528-1,""),"")</f>
        <v/>
      </c>
      <c r="S528" t="str">
        <f>IFERROR(IF(AND('Дивиденды по годам'!L528&lt;&gt;"",'Дивиденды по годам'!I528&lt;&gt;"",'Дивиденды по годам'!J528&lt;&gt;"",'Дивиденды по годам'!K528&lt;&gt;"",('Дивиденды по годам'!I528-'Дивиденды по годам'!J528-'Дивиденды по годам'!K528)&lt;&gt;0),'Дивиденды по годам'!L528/('Дивиденды по годам'!I528-'Дивиденды по годам'!J528-'Дивиденды по годам'!K528),""),"")</f>
        <v/>
      </c>
      <c r="T528" t="str">
        <f>IFERROR(IF(AND('Дивиденды по годам'!Q528&lt;&gt;"",'Дивиденды по годам'!I528&lt;&gt;"",'Дивиденды по годам'!V528&lt;&gt;"",('Дивиденды по годам'!I528+'Дивиденды по годам'!V528)&lt;&gt;0),'Дивиденды по годам'!Q528/(('Дивиденды по годам'!I528+'Дивиденды по годам'!V528)/2),""),"")</f>
        <v/>
      </c>
      <c r="U528" t="str">
        <f>IFERROR(IF(AND('Дивиденды по годам'!J528&lt;&gt;"",'Дивиденды по годам'!K528&lt;&gt;"",'Дивиденды по годам'!M528&lt;&gt;"",'Дивиденды по годам'!M528&lt;&gt;0),('Дивиденды по годам'!J528+'Дивиденды по годам'!K528)/'Дивиденды по годам'!M528,""),"")</f>
        <v/>
      </c>
      <c r="V528" t="str">
        <f>IFERROR(IF(AND('Дивиденды по годам'!J528&lt;&gt;"",'Дивиденды по годам'!K528&lt;&gt;"",'Дивиденды по годам'!M528&lt;&gt;"",'Дивиденды по годам'!I528&lt;&gt;0),('Дивиденды по годам'!J528+'Дивиденды по годам'!K528)/'Дивиденды по годам'!I528,""),"")</f>
        <v/>
      </c>
      <c r="W528">
        <f>IFERROR('Дивиденды по годам'!I528,"")</f>
        <v>6670426000</v>
      </c>
      <c r="X528" cm="1">
        <f t="array" ref="X528">IFERROR(AVERAGE(_xlfn._xlws.FILTER(P$2:P$1073,($C$2:$C$1073=$C528)*($E$2:$E$1073=$E528)*(ROW(P$2:P$1073)&lt;&gt;ROW(P528))*(P$2:P$1073&lt;&gt;""))),"")</f>
        <v>24.570748994895485</v>
      </c>
      <c r="Y528" cm="1">
        <f t="array" ref="Y528">IFERROR(AVERAGE(_xlfn._xlws.FILTER(Q$2:Q$1073,($C$2:$C$1073=$C528)*($E$2:$E$1073=$E528)*(ROW(Q$2:Q$1073)&lt;&gt;ROW(Q528))*(Q$2:Q$1073&lt;&gt;""))),"")</f>
        <v>0.3178107193106231</v>
      </c>
      <c r="Z528" cm="1">
        <f t="array" ref="Z528">IFERROR(AVERAGE(_xlfn._xlws.FILTER(R$2:R$1073,($C$2:$C$1073=$C528)*($E$2:$E$1073=$E528)*(ROW(R$2:R$1073)&lt;&gt;ROW(R528))*(R$2:R$1073&lt;&gt;""))),"")</f>
        <v>5.9511017560386792E-2</v>
      </c>
      <c r="AA528" t="str" cm="1">
        <f t="array" ref="AA528">IFERROR(AVERAGE(_xlfn._xlws.FILTER(S$2:S$1073,($C$2:$C$1073=$C528)*($E$2:$E$1073=$E528)*(ROW(S$2:S$1073)&lt;&gt;ROW(S528))*(S$2:S$1073&lt;&gt;""))),"")</f>
        <v/>
      </c>
      <c r="AB528" cm="1">
        <f t="array" ref="AB528">IFERROR(AVERAGE(_xlfn._xlws.FILTER(T$2:T$1073,($C$2:$C$1073=$C528)*($E$2:$E$1073=$E528)*(ROW(T$2:T$1073)&lt;&gt;ROW(T528))*(T$2:T$1073&lt;&gt;""))),"")</f>
        <v>-1.4171101286470289E-2</v>
      </c>
      <c r="AC528" cm="1">
        <f t="array" ref="AC528">IFERROR(AVERAGE(_xlfn._xlws.FILTER(U$2:U$1073,($C$2:$C$1073=$C528)*($E$2:$E$1073=$E528)*(ROW(U$2:U$1073)&lt;&gt;ROW(U528))*(U$2:U$1073&lt;&gt;""))),"")</f>
        <v>2.1854574410792247</v>
      </c>
      <c r="AD528" cm="1">
        <f t="array" ref="AD528">IFERROR(AVERAGE(_xlfn._xlws.FILTER(V$2:V$1073,($C$2:$C$1073=$C528)*($E$2:$E$1073=$E528)*(ROW(V$2:V$1073)&lt;&gt;ROW(V528))*(V$2:V$1073&lt;&gt;""))),"")</f>
        <v>0.62219289426739133</v>
      </c>
      <c r="AE528">
        <f>IF('Дивиденды по годам'!M528&lt;0,1,0)</f>
        <v>0</v>
      </c>
    </row>
    <row r="529" spans="1:31" x14ac:dyDescent="0.2">
      <c r="A529" s="7" t="s">
        <v>2244</v>
      </c>
      <c r="B529" t="str">
        <f t="shared" si="88"/>
        <v>AQUA IV кв. 2010</v>
      </c>
      <c r="C529">
        <v>2010</v>
      </c>
      <c r="D529">
        <f>SUMIFS(Дивиденды!$C:$C,Дивиденды!$A:$A,A529,Дивиденды!$I:$I,C529)</f>
        <v>0</v>
      </c>
      <c r="E529">
        <v>4</v>
      </c>
      <c r="F529">
        <f t="shared" si="89"/>
        <v>0</v>
      </c>
      <c r="G529">
        <f t="shared" si="90"/>
        <v>0.46928571428571431</v>
      </c>
      <c r="H529">
        <f t="shared" si="91"/>
        <v>0</v>
      </c>
      <c r="I529">
        <f t="shared" si="92"/>
        <v>7.1428571428571425E-2</v>
      </c>
      <c r="J529" t="str">
        <f t="shared" si="93"/>
        <v/>
      </c>
      <c r="K529" t="str">
        <f t="shared" si="98"/>
        <v/>
      </c>
      <c r="L529" t="str">
        <f t="shared" si="94"/>
        <v/>
      </c>
      <c r="M529" t="str">
        <f t="shared" si="95"/>
        <v/>
      </c>
      <c r="N529" t="str">
        <f t="shared" si="96"/>
        <v/>
      </c>
      <c r="O529" t="str">
        <f t="shared" si="97"/>
        <v/>
      </c>
      <c r="P529" t="str">
        <f>IFERROR(LN('Дивиденды по годам'!I529),"")</f>
        <v/>
      </c>
      <c r="Q529" t="str">
        <f>IFERROR('Дивиденды по годам'!G529/'Дивиденды по годам'!I529, "")</f>
        <v/>
      </c>
      <c r="R529" t="str">
        <f>IFERROR(IF(AND('Дивиденды по годам'!N529&lt;&gt;"",'Дивиденды по годам'!U529&lt;&gt;"",'Дивиденды по годам'!U529&lt;&gt;0),'Дивиденды по годам'!N529/'Дивиденды по годам'!U529-1,""),"")</f>
        <v/>
      </c>
      <c r="S529" t="str">
        <f>IFERROR(IF(AND('Дивиденды по годам'!L529&lt;&gt;"",'Дивиденды по годам'!I529&lt;&gt;"",'Дивиденды по годам'!J529&lt;&gt;"",'Дивиденды по годам'!K529&lt;&gt;"",('Дивиденды по годам'!I529-'Дивиденды по годам'!J529-'Дивиденды по годам'!K529)&lt;&gt;0),'Дивиденды по годам'!L529/('Дивиденды по годам'!I529-'Дивиденды по годам'!J529-'Дивиденды по годам'!K529),""),"")</f>
        <v/>
      </c>
      <c r="T529" t="str">
        <f>IFERROR(IF(AND('Дивиденды по годам'!Q529&lt;&gt;"",'Дивиденды по годам'!I529&lt;&gt;"",'Дивиденды по годам'!V529&lt;&gt;"",('Дивиденды по годам'!I529+'Дивиденды по годам'!V529)&lt;&gt;0),'Дивиденды по годам'!Q529/(('Дивиденды по годам'!I529+'Дивиденды по годам'!V529)/2),""),"")</f>
        <v/>
      </c>
      <c r="U529" t="str">
        <f>IFERROR(IF(AND('Дивиденды по годам'!J529&lt;&gt;"",'Дивиденды по годам'!K529&lt;&gt;"",'Дивиденды по годам'!M529&lt;&gt;"",'Дивиденды по годам'!M529&lt;&gt;0),('Дивиденды по годам'!J529+'Дивиденды по годам'!K529)/'Дивиденды по годам'!M529,""),"")</f>
        <v/>
      </c>
      <c r="V529" t="str">
        <f>IFERROR(IF(AND('Дивиденды по годам'!J529&lt;&gt;"",'Дивиденды по годам'!K529&lt;&gt;"",'Дивиденды по годам'!M529&lt;&gt;"",'Дивиденды по годам'!I529&lt;&gt;0),('Дивиденды по годам'!J529+'Дивиденды по годам'!K529)/'Дивиденды по годам'!I529,""),"")</f>
        <v/>
      </c>
      <c r="W529" t="str">
        <f>IFERROR('Дивиденды по годам'!I529,"")</f>
        <v/>
      </c>
      <c r="X529" cm="1">
        <f t="array" ref="X529">IFERROR(AVERAGE(_xlfn._xlws.FILTER(P$2:P$1073,($C$2:$C$1073=$C529)*($E$2:$E$1073=$E529)*(ROW(P$2:P$1073)&lt;&gt;ROW(P529))*(P$2:P$1073&lt;&gt;""))),"")</f>
        <v>23.656010386255485</v>
      </c>
      <c r="Y529" cm="1">
        <f t="array" ref="Y529">IFERROR(AVERAGE(_xlfn._xlws.FILTER(Q$2:Q$1073,($C$2:$C$1073=$C529)*($E$2:$E$1073=$E529)*(ROW(Q$2:Q$1073)&lt;&gt;ROW(Q529))*(Q$2:Q$1073&lt;&gt;""))),"")</f>
        <v>0.15222241747474585</v>
      </c>
      <c r="Z529" t="str" cm="1">
        <f t="array" ref="Z529">IFERROR(AVERAGE(_xlfn._xlws.FILTER(R$2:R$1073,($C$2:$C$1073=$C529)*($E$2:$E$1073=$E529)*(ROW(R$2:R$1073)&lt;&gt;ROW(R529))*(R$2:R$1073&lt;&gt;""))),"")</f>
        <v/>
      </c>
      <c r="AA529" t="str" cm="1">
        <f t="array" ref="AA529">IFERROR(AVERAGE(_xlfn._xlws.FILTER(S$2:S$1073,($C$2:$C$1073=$C529)*($E$2:$E$1073=$E529)*(ROW(S$2:S$1073)&lt;&gt;ROW(S529))*(S$2:S$1073&lt;&gt;""))),"")</f>
        <v/>
      </c>
      <c r="AB529" t="str" cm="1">
        <f t="array" ref="AB529">IFERROR(AVERAGE(_xlfn._xlws.FILTER(T$2:T$1073,($C$2:$C$1073=$C529)*($E$2:$E$1073=$E529)*(ROW(T$2:T$1073)&lt;&gt;ROW(T529))*(T$2:T$1073&lt;&gt;""))),"")</f>
        <v/>
      </c>
      <c r="AC529" cm="1">
        <f t="array" ref="AC529">IFERROR(AVERAGE(_xlfn._xlws.FILTER(U$2:U$1073,($C$2:$C$1073=$C529)*($E$2:$E$1073=$E529)*(ROW(U$2:U$1073)&lt;&gt;ROW(U529))*(U$2:U$1073&lt;&gt;""))),"")</f>
        <v>2.8988498110700496</v>
      </c>
      <c r="AD529" cm="1">
        <f t="array" ref="AD529">IFERROR(AVERAGE(_xlfn._xlws.FILTER(V$2:V$1073,($C$2:$C$1073=$C529)*($E$2:$E$1073=$E529)*(ROW(V$2:V$1073)&lt;&gt;ROW(V529))*(V$2:V$1073&lt;&gt;""))),"")</f>
        <v>0.74351805997092513</v>
      </c>
      <c r="AE529">
        <f>IF('Дивиденды по годам'!M529&lt;0,1,0)</f>
        <v>0</v>
      </c>
    </row>
    <row r="530" spans="1:31" x14ac:dyDescent="0.2">
      <c r="A530" s="7" t="s">
        <v>2247</v>
      </c>
      <c r="B530" t="str">
        <f t="shared" si="88"/>
        <v>BELU IV кв. 2025</v>
      </c>
      <c r="C530">
        <v>2025</v>
      </c>
      <c r="D530">
        <f>SUMIFS(Дивиденды!$C:$C,Дивиденды!$A:$A,A530,Дивиденды!$I:$I,C530)</f>
        <v>20</v>
      </c>
      <c r="E530">
        <v>4</v>
      </c>
      <c r="F530">
        <f t="shared" si="89"/>
        <v>20</v>
      </c>
      <c r="G530">
        <f t="shared" si="90"/>
        <v>30.15285714285714</v>
      </c>
      <c r="H530">
        <f t="shared" si="91"/>
        <v>1</v>
      </c>
      <c r="I530">
        <f t="shared" si="92"/>
        <v>0.35714285714285715</v>
      </c>
      <c r="J530">
        <f t="shared" si="93"/>
        <v>-0.46666666666666667</v>
      </c>
      <c r="K530">
        <f t="shared" si="98"/>
        <v>-0.14919300990736298</v>
      </c>
      <c r="L530">
        <f t="shared" si="94"/>
        <v>0</v>
      </c>
      <c r="M530">
        <f t="shared" si="95"/>
        <v>0.14285714285714285</v>
      </c>
      <c r="N530">
        <f t="shared" si="96"/>
        <v>1</v>
      </c>
      <c r="O530">
        <f t="shared" si="97"/>
        <v>0.42857142857142855</v>
      </c>
      <c r="P530" t="str">
        <f>IFERROR(LN('Дивиденды по годам'!I530),"")</f>
        <v/>
      </c>
      <c r="Q530" t="str">
        <f>IFERROR('Дивиденды по годам'!G530/'Дивиденды по годам'!I530, "")</f>
        <v/>
      </c>
      <c r="R530" t="str">
        <f>IFERROR(IF(AND('Дивиденды по годам'!N530&lt;&gt;"",'Дивиденды по годам'!U530&lt;&gt;"",'Дивиденды по годам'!U530&lt;&gt;0),'Дивиденды по годам'!N530/'Дивиденды по годам'!U530-1,""),"")</f>
        <v/>
      </c>
      <c r="S530" t="str">
        <f>IFERROR(IF(AND('Дивиденды по годам'!L530&lt;&gt;"",'Дивиденды по годам'!I530&lt;&gt;"",'Дивиденды по годам'!J530&lt;&gt;"",'Дивиденды по годам'!K530&lt;&gt;"",('Дивиденды по годам'!I530-'Дивиденды по годам'!J530-'Дивиденды по годам'!K530)&lt;&gt;0),'Дивиденды по годам'!L530/('Дивиденды по годам'!I530-'Дивиденды по годам'!J530-'Дивиденды по годам'!K530),""),"")</f>
        <v/>
      </c>
      <c r="T530" t="str">
        <f>IFERROR(IF(AND('Дивиденды по годам'!Q530&lt;&gt;"",'Дивиденды по годам'!I530&lt;&gt;"",'Дивиденды по годам'!V530&lt;&gt;"",('Дивиденды по годам'!I530+'Дивиденды по годам'!V530)&lt;&gt;0),'Дивиденды по годам'!Q530/(('Дивиденды по годам'!I530+'Дивиденды по годам'!V530)/2),""),"")</f>
        <v/>
      </c>
      <c r="U530" t="str">
        <f>IFERROR(IF(AND('Дивиденды по годам'!J530&lt;&gt;"",'Дивиденды по годам'!K530&lt;&gt;"",'Дивиденды по годам'!M530&lt;&gt;"",'Дивиденды по годам'!M530&lt;&gt;0),('Дивиденды по годам'!J530+'Дивиденды по годам'!K530)/'Дивиденды по годам'!M530,""),"")</f>
        <v/>
      </c>
      <c r="V530" t="str">
        <f>IFERROR(IF(AND('Дивиденды по годам'!J530&lt;&gt;"",'Дивиденды по годам'!K530&lt;&gt;"",'Дивиденды по годам'!M530&lt;&gt;"",'Дивиденды по годам'!I530&lt;&gt;0),('Дивиденды по годам'!J530+'Дивиденды по годам'!K530)/'Дивиденды по годам'!I530,""),"")</f>
        <v/>
      </c>
      <c r="W530" t="str">
        <f>IFERROR('Дивиденды по годам'!I530,"")</f>
        <v/>
      </c>
      <c r="X530" cm="1">
        <f t="array" ref="X530">IFERROR(AVERAGE(_xlfn._xlws.FILTER(P$2:P$1073,($C$2:$C$1073=$C530)*($E$2:$E$1073=$E530)*(ROW(P$2:P$1073)&lt;&gt;ROW(P530))*(P$2:P$1073&lt;&gt;""))),"")</f>
        <v>26.183512711155618</v>
      </c>
      <c r="Y530" cm="1">
        <f t="array" ref="Y530">IFERROR(AVERAGE(_xlfn._xlws.FILTER(Q$2:Q$1073,($C$2:$C$1073=$C530)*($E$2:$E$1073=$E530)*(ROW(Q$2:Q$1073)&lt;&gt;ROW(Q530))*(Q$2:Q$1073&lt;&gt;""))),"")</f>
        <v>0.42364014522274984</v>
      </c>
      <c r="Z530" cm="1">
        <f t="array" ref="Z530">IFERROR(AVERAGE(_xlfn._xlws.FILTER(R$2:R$1073,($C$2:$C$1073=$C530)*($E$2:$E$1073=$E530)*(ROW(R$2:R$1073)&lt;&gt;ROW(R530))*(R$2:R$1073&lt;&gt;""))),"")</f>
        <v>6.6096126428947105E-2</v>
      </c>
      <c r="AA530" cm="1">
        <f t="array" ref="AA530">IFERROR(AVERAGE(_xlfn._xlws.FILTER(S$2:S$1073,($C$2:$C$1073=$C530)*($E$2:$E$1073=$E530)*(ROW(S$2:S$1073)&lt;&gt;ROW(S530))*(S$2:S$1073&lt;&gt;""))),"")</f>
        <v>0.94174952343815033</v>
      </c>
      <c r="AB530" cm="1">
        <f t="array" ref="AB530">IFERROR(AVERAGE(_xlfn._xlws.FILTER(T$2:T$1073,($C$2:$C$1073=$C530)*($E$2:$E$1073=$E530)*(ROW(T$2:T$1073)&lt;&gt;ROW(T530))*(T$2:T$1073&lt;&gt;""))),"")</f>
        <v>1.3107153079830167E-2</v>
      </c>
      <c r="AC530" cm="1">
        <f t="array" ref="AC530">IFERROR(AVERAGE(_xlfn._xlws.FILTER(U$2:U$1073,($C$2:$C$1073=$C530)*($E$2:$E$1073=$E530)*(ROW(U$2:U$1073)&lt;&gt;ROW(U530))*(U$2:U$1073&lt;&gt;""))),"")</f>
        <v>6.2968354519658218</v>
      </c>
      <c r="AD530" cm="1">
        <f t="array" ref="AD530">IFERROR(AVERAGE(_xlfn._xlws.FILTER(V$2:V$1073,($C$2:$C$1073=$C530)*($E$2:$E$1073=$E530)*(ROW(V$2:V$1073)&lt;&gt;ROW(V530))*(V$2:V$1073&lt;&gt;""))),"")</f>
        <v>0.70931365831308468</v>
      </c>
      <c r="AE530">
        <f>IF('Дивиденды по годам'!M530&lt;0,1,0)</f>
        <v>0</v>
      </c>
    </row>
    <row r="531" spans="1:31" x14ac:dyDescent="0.2">
      <c r="A531" s="7" t="s">
        <v>2247</v>
      </c>
      <c r="B531" t="str">
        <f t="shared" si="88"/>
        <v>BELU IV кв. 2024</v>
      </c>
      <c r="C531">
        <v>2024</v>
      </c>
      <c r="D531">
        <f>SUMIFS(Дивиденды!$C:$C,Дивиденды!$A:$A,A531,Дивиденды!$I:$I,C531)</f>
        <v>37.5</v>
      </c>
      <c r="E531">
        <v>4</v>
      </c>
      <c r="F531">
        <f t="shared" si="89"/>
        <v>37.5</v>
      </c>
      <c r="G531">
        <f t="shared" si="90"/>
        <v>59.832857142857151</v>
      </c>
      <c r="H531">
        <f t="shared" si="91"/>
        <v>1</v>
      </c>
      <c r="I531">
        <f t="shared" si="92"/>
        <v>0.5</v>
      </c>
      <c r="J531">
        <f t="shared" si="93"/>
        <v>-0.94485294117647056</v>
      </c>
      <c r="K531">
        <f t="shared" si="98"/>
        <v>0.27894524116180314</v>
      </c>
      <c r="L531">
        <f t="shared" si="94"/>
        <v>0</v>
      </c>
      <c r="M531">
        <f t="shared" si="95"/>
        <v>0.35714285714285715</v>
      </c>
      <c r="N531">
        <f t="shared" si="96"/>
        <v>1</v>
      </c>
      <c r="O531">
        <f t="shared" si="97"/>
        <v>0.21428571428571427</v>
      </c>
      <c r="P531">
        <f>IFERROR(LN('Дивиденды по годам'!I531),"")</f>
        <v>25.534319471994664</v>
      </c>
      <c r="Q531">
        <f>IFERROR('Дивиденды по годам'!G531/'Дивиденды по годам'!I531, "")</f>
        <v>0.28646193666012809</v>
      </c>
      <c r="R531">
        <f>IFERROR(IF(AND('Дивиденды по годам'!N531&lt;&gt;"",'Дивиденды по годам'!U531&lt;&gt;"",'Дивиденды по годам'!U531&lt;&gt;0),'Дивиденды по годам'!N531/'Дивиденды по годам'!U531-1,""),"")</f>
        <v>0.15892136061871187</v>
      </c>
      <c r="S531">
        <f>IFERROR(IF(AND('Дивиденды по годам'!L531&lt;&gt;"",'Дивиденды по годам'!I531&lt;&gt;"",'Дивиденды по годам'!J531&lt;&gt;"",'Дивиденды по годам'!K531&lt;&gt;"",('Дивиденды по годам'!I531-'Дивиденды по годам'!J531-'Дивиденды по годам'!K531)&lt;&gt;0),'Дивиденды по годам'!L531/('Дивиденды по годам'!I531-'Дивиденды по годам'!J531-'Дивиденды по годам'!K531),""),"")</f>
        <v>0.34952402368638036</v>
      </c>
      <c r="T531">
        <f>IFERROR(IF(AND('Дивиденды по годам'!Q531&lt;&gt;"",'Дивиденды по годам'!I531&lt;&gt;"",'Дивиденды по годам'!V531&lt;&gt;"",('Дивиденды по годам'!I531+'Дивиденды по годам'!V531)&lt;&gt;0),'Дивиденды по годам'!Q531/(('Дивиденды по годам'!I531+'Дивиденды по годам'!V531)/2),""),"")</f>
        <v>4.1879464183838797E-2</v>
      </c>
      <c r="U531">
        <f>IFERROR(IF(AND('Дивиденды по годам'!J531&lt;&gt;"",'Дивиденды по годам'!K531&lt;&gt;"",'Дивиденды по годам'!M531&lt;&gt;"",'Дивиденды по годам'!M531&lt;&gt;0),('Дивиденды по годам'!J531+'Дивиденды по годам'!K531)/'Дивиденды по годам'!M531,""),"")</f>
        <v>3.6046398320965447</v>
      </c>
      <c r="V531">
        <f>IFERROR(IF(AND('Дивиденды по годам'!J531&lt;&gt;"",'Дивиденды по годам'!K531&lt;&gt;"",'Дивиденды по годам'!M531&lt;&gt;"",'Дивиденды по годам'!I531&lt;&gt;0),('Дивиденды по годам'!J531+'Дивиденды по годам'!K531)/'Дивиденды по годам'!I531,""),"")</f>
        <v>0.78282774843115388</v>
      </c>
      <c r="W531">
        <f>IFERROR('Дивиденды по годам'!I531,"")</f>
        <v>122861000000</v>
      </c>
      <c r="X531" cm="1">
        <f t="array" ref="X531">IFERROR(AVERAGE(_xlfn._xlws.FILTER(P$2:P$1073,($C$2:$C$1073=$C531)*($E$2:$E$1073=$E531)*(ROW(P$2:P$1073)&lt;&gt;ROW(P531))*(P$2:P$1073&lt;&gt;""))),"")</f>
        <v>25.566978016835758</v>
      </c>
      <c r="Y531" cm="1">
        <f t="array" ref="Y531">IFERROR(AVERAGE(_xlfn._xlws.FILTER(Q$2:Q$1073,($C$2:$C$1073=$C531)*($E$2:$E$1073=$E531)*(ROW(Q$2:Q$1073)&lt;&gt;ROW(Q531))*(Q$2:Q$1073&lt;&gt;""))),"")</f>
        <v>0.26124316654571278</v>
      </c>
      <c r="Z531" cm="1">
        <f t="array" ref="Z531">IFERROR(AVERAGE(_xlfn._xlws.FILTER(R$2:R$1073,($C$2:$C$1073=$C531)*($E$2:$E$1073=$E531)*(ROW(R$2:R$1073)&lt;&gt;ROW(R531))*(R$2:R$1073&lt;&gt;""))),"")</f>
        <v>0.2730753657873331</v>
      </c>
      <c r="AA531" cm="1">
        <f t="array" ref="AA531">IFERROR(AVERAGE(_xlfn._xlws.FILTER(S$2:S$1073,($C$2:$C$1073=$C531)*($E$2:$E$1073=$E531)*(ROW(S$2:S$1073)&lt;&gt;ROW(S531))*(S$2:S$1073&lt;&gt;""))),"")</f>
        <v>1.2297347246337242</v>
      </c>
      <c r="AB531" cm="1">
        <f t="array" ref="AB531">IFERROR(AVERAGE(_xlfn._xlws.FILTER(T$2:T$1073,($C$2:$C$1073=$C531)*($E$2:$E$1073=$E531)*(ROW(T$2:T$1073)&lt;&gt;ROW(T531))*(T$2:T$1073&lt;&gt;""))),"")</f>
        <v>7.5175365153367049E-2</v>
      </c>
      <c r="AC531" cm="1">
        <f t="array" ref="AC531">IFERROR(AVERAGE(_xlfn._xlws.FILTER(U$2:U$1073,($C$2:$C$1073=$C531)*($E$2:$E$1073=$E531)*(ROW(U$2:U$1073)&lt;&gt;ROW(U531))*(U$2:U$1073&lt;&gt;""))),"")</f>
        <v>4.0183805165040392</v>
      </c>
      <c r="AD531" cm="1">
        <f t="array" ref="AD531">IFERROR(AVERAGE(_xlfn._xlws.FILTER(V$2:V$1073,($C$2:$C$1073=$C531)*($E$2:$E$1073=$E531)*(ROW(V$2:V$1073)&lt;&gt;ROW(V531))*(V$2:V$1073&lt;&gt;""))),"")</f>
        <v>0.69574153028223262</v>
      </c>
      <c r="AE531">
        <f>IF('Дивиденды по годам'!M531&lt;0,1,0)</f>
        <v>0</v>
      </c>
    </row>
    <row r="532" spans="1:31" x14ac:dyDescent="0.2">
      <c r="A532" s="7" t="s">
        <v>2247</v>
      </c>
      <c r="B532" t="str">
        <f t="shared" si="88"/>
        <v>BELU IV кв. 2023</v>
      </c>
      <c r="C532">
        <v>2023</v>
      </c>
      <c r="D532">
        <f>SUMIFS(Дивиденды!$C:$C,Дивиденды!$A:$A,A532,Дивиденды!$I:$I,C532)</f>
        <v>680</v>
      </c>
      <c r="E532">
        <v>4</v>
      </c>
      <c r="F532">
        <f t="shared" si="89"/>
        <v>680</v>
      </c>
      <c r="G532">
        <f t="shared" si="90"/>
        <v>42.168571428571433</v>
      </c>
      <c r="H532">
        <f t="shared" si="91"/>
        <v>1</v>
      </c>
      <c r="I532">
        <f t="shared" si="92"/>
        <v>0.42857142857142855</v>
      </c>
      <c r="J532">
        <f t="shared" si="93"/>
        <v>8.7999999999999995E-2</v>
      </c>
      <c r="K532">
        <f t="shared" si="98"/>
        <v>0.29184173669467789</v>
      </c>
      <c r="L532">
        <f t="shared" si="94"/>
        <v>1</v>
      </c>
      <c r="M532">
        <f t="shared" si="95"/>
        <v>0.35714285714285715</v>
      </c>
      <c r="N532">
        <f t="shared" si="96"/>
        <v>0</v>
      </c>
      <c r="O532">
        <f t="shared" si="97"/>
        <v>0</v>
      </c>
      <c r="P532">
        <f>IFERROR(LN('Дивиденды по годам'!I532),"")</f>
        <v>25.290152470508893</v>
      </c>
      <c r="Q532">
        <f>IFERROR('Дивиденды по годам'!G532/'Дивиденды по годам'!I532, "")</f>
        <v>0.30819583558455593</v>
      </c>
      <c r="R532">
        <f>IFERROR(IF(AND('Дивиденды по годам'!N532&lt;&gt;"",'Дивиденды по годам'!U532&lt;&gt;"",'Дивиденды по годам'!U532&lt;&gt;0),'Дивиденды по годам'!N532/'Дивиденды по годам'!U532-1,""),"")</f>
        <v>0.20111800731637142</v>
      </c>
      <c r="S532">
        <f>IFERROR(IF(AND('Дивиденды по годам'!L532&lt;&gt;"",'Дивиденды по годам'!I532&lt;&gt;"",'Дивиденды по годам'!J532&lt;&gt;"",'Дивиденды по годам'!K532&lt;&gt;"",('Дивиденды по годам'!I532-'Дивиденды по годам'!J532-'Дивиденды по годам'!K532)&lt;&gt;0),'Дивиденды по годам'!L532/('Дивиденды по годам'!I532-'Дивиденды по годам'!J532-'Дивиденды по годам'!K532),""),"")</f>
        <v>0.74786630071060645</v>
      </c>
      <c r="T532">
        <f>IFERROR(IF(AND('Дивиденды по годам'!Q532&lt;&gt;"",'Дивиденды по годам'!I532&lt;&gt;"",'Дивиденды по годам'!V532&lt;&gt;"",('Дивиденды по годам'!I532+'Дивиденды по годам'!V532)&lt;&gt;0),'Дивиденды по годам'!Q532/(('Дивиденды по годам'!I532+'Дивиденды по годам'!V532)/2),""),"")</f>
        <v>8.5160758885433216E-2</v>
      </c>
      <c r="U532">
        <f>IFERROR(IF(AND('Дивиденды по годам'!J532&lt;&gt;"",'Дивиденды по годам'!K532&lt;&gt;"",'Дивиденды по годам'!M532&lt;&gt;"",'Дивиденды по годам'!M532&lt;&gt;0),('Дивиденды по годам'!J532+'Дивиденды по годам'!K532)/'Дивиденды по годам'!M532,""),"")</f>
        <v>2.6186036019099896</v>
      </c>
      <c r="V532">
        <f>IFERROR(IF(AND('Дивиденды по годам'!J532&lt;&gt;"",'Дивиденды по годам'!K532&lt;&gt;"",'Дивиденды по годам'!M532&lt;&gt;"",'Дивиденды по годам'!I532&lt;&gt;0),('Дивиденды по годам'!J532+'Дивиденды по годам'!K532)/'Дивиденды по годам'!I532,""),"")</f>
        <v>0.723650305473588</v>
      </c>
      <c r="W532">
        <f>IFERROR('Дивиденды по годам'!I532,"")</f>
        <v>96244000000</v>
      </c>
      <c r="X532" cm="1">
        <f t="array" ref="X532">IFERROR(AVERAGE(_xlfn._xlws.FILTER(P$2:P$1073,($C$2:$C$1073=$C532)*($E$2:$E$1073=$E532)*(ROW(P$2:P$1073)&lt;&gt;ROW(P532))*(P$2:P$1073&lt;&gt;""))),"")</f>
        <v>25.372455475203711</v>
      </c>
      <c r="Y532" cm="1">
        <f t="array" ref="Y532">IFERROR(AVERAGE(_xlfn._xlws.FILTER(Q$2:Q$1073,($C$2:$C$1073=$C532)*($E$2:$E$1073=$E532)*(ROW(Q$2:Q$1073)&lt;&gt;ROW(Q532))*(Q$2:Q$1073&lt;&gt;""))),"")</f>
        <v>0.24625822561351288</v>
      </c>
      <c r="Z532" cm="1">
        <f t="array" ref="Z532">IFERROR(AVERAGE(_xlfn._xlws.FILTER(R$2:R$1073,($C$2:$C$1073=$C532)*($E$2:$E$1073=$E532)*(ROW(R$2:R$1073)&lt;&gt;ROW(R532))*(R$2:R$1073&lt;&gt;""))),"")</f>
        <v>0.24991283097183814</v>
      </c>
      <c r="AA532" cm="1">
        <f t="array" ref="AA532">IFERROR(AVERAGE(_xlfn._xlws.FILTER(S$2:S$1073,($C$2:$C$1073=$C532)*($E$2:$E$1073=$E532)*(ROW(S$2:S$1073)&lt;&gt;ROW(S532))*(S$2:S$1073&lt;&gt;""))),"")</f>
        <v>1.2815745657526567</v>
      </c>
      <c r="AB532" cm="1">
        <f t="array" ref="AB532">IFERROR(AVERAGE(_xlfn._xlws.FILTER(T$2:T$1073,($C$2:$C$1073=$C532)*($E$2:$E$1073=$E532)*(ROW(T$2:T$1073)&lt;&gt;ROW(T532))*(T$2:T$1073&lt;&gt;""))),"")</f>
        <v>0.11240759689826026</v>
      </c>
      <c r="AC532" cm="1">
        <f t="array" ref="AC532">IFERROR(AVERAGE(_xlfn._xlws.FILTER(U$2:U$1073,($C$2:$C$1073=$C532)*($E$2:$E$1073=$E532)*(ROW(U$2:U$1073)&lt;&gt;ROW(U532))*(U$2:U$1073&lt;&gt;""))),"")</f>
        <v>2.5852547811941635</v>
      </c>
      <c r="AD532" cm="1">
        <f t="array" ref="AD532">IFERROR(AVERAGE(_xlfn._xlws.FILTER(V$2:V$1073,($C$2:$C$1073=$C532)*($E$2:$E$1073=$E532)*(ROW(V$2:V$1073)&lt;&gt;ROW(V532))*(V$2:V$1073&lt;&gt;""))),"")</f>
        <v>0.69021602693622552</v>
      </c>
      <c r="AE532">
        <f>IF('Дивиденды по годам'!M532&lt;0,1,0)</f>
        <v>0</v>
      </c>
    </row>
    <row r="533" spans="1:31" x14ac:dyDescent="0.2">
      <c r="A533" s="7" t="s">
        <v>2247</v>
      </c>
      <c r="B533" t="str">
        <f t="shared" si="88"/>
        <v>BELU IV кв. 2022</v>
      </c>
      <c r="C533">
        <v>2022</v>
      </c>
      <c r="D533">
        <f>SUMIFS(Дивиденды!$C:$C,Дивиденды!$A:$A,A533,Дивиденды!$I:$I,C533)</f>
        <v>625</v>
      </c>
      <c r="E533">
        <v>4</v>
      </c>
      <c r="F533">
        <f t="shared" si="89"/>
        <v>625</v>
      </c>
      <c r="G533">
        <f t="shared" si="90"/>
        <v>35.537142857142854</v>
      </c>
      <c r="H533">
        <f t="shared" si="91"/>
        <v>1</v>
      </c>
      <c r="I533">
        <f t="shared" si="92"/>
        <v>0.21428571428571427</v>
      </c>
      <c r="J533">
        <f t="shared" si="93"/>
        <v>4.208333333333333</v>
      </c>
      <c r="K533">
        <f t="shared" si="98"/>
        <v>0.19524100702549593</v>
      </c>
      <c r="L533">
        <f t="shared" si="94"/>
        <v>1</v>
      </c>
      <c r="M533">
        <f t="shared" si="95"/>
        <v>0.21428571428571427</v>
      </c>
      <c r="N533">
        <f t="shared" si="96"/>
        <v>0</v>
      </c>
      <c r="O533">
        <f t="shared" si="97"/>
        <v>7.1428571428571425E-2</v>
      </c>
      <c r="P533">
        <f>IFERROR(LN('Дивиденды по годам'!I533),"")</f>
        <v>25.257358837917344</v>
      </c>
      <c r="Q533">
        <f>IFERROR('Дивиденды по годам'!G533/'Дивиденды по годам'!I533, "")</f>
        <v>0.25868862667625808</v>
      </c>
      <c r="R533">
        <f>IFERROR(IF(AND('Дивиденды по годам'!N533&lt;&gt;"",'Дивиденды по годам'!U533&lt;&gt;"",'Дивиденды по годам'!U533&lt;&gt;0),'Дивиденды по годам'!N533/'Дивиденды по годам'!U533-1,""),"")</f>
        <v>0.29863752218530237</v>
      </c>
      <c r="S533">
        <f>IFERROR(IF(AND('Дивиденды по годам'!L533&lt;&gt;"",'Дивиденды по годам'!I533&lt;&gt;"",'Дивиденды по годам'!J533&lt;&gt;"",'Дивиденды по годам'!K533&lt;&gt;"",('Дивиденды по годам'!I533-'Дивиденды по годам'!J533-'Дивиденды по годам'!K533)&lt;&gt;0),'Дивиденды по годам'!L533/('Дивиденды по годам'!I533-'Дивиденды по годам'!J533-'Дивиденды по годам'!K533),""),"")</f>
        <v>0.92351018157469766</v>
      </c>
      <c r="T533">
        <f>IFERROR(IF(AND('Дивиденды по годам'!Q533&lt;&gt;"",'Дивиденды по годам'!I533&lt;&gt;"",'Дивиденды по годам'!V533&lt;&gt;"",('Дивиденды по годам'!I533+'Дивиденды по годам'!V533)&lt;&gt;0),'Дивиденды по годам'!Q533/(('Дивиденды по годам'!I533+'Дивиденды по годам'!V533)/2),""),"")</f>
        <v>9.837555643601277E-2</v>
      </c>
      <c r="U533">
        <f>IFERROR(IF(AND('Дивиденды по годам'!J533&lt;&gt;"",'Дивиденды по годам'!K533&lt;&gt;"",'Дивиденды по годам'!M533&lt;&gt;"",'Дивиденды по годам'!M533&lt;&gt;0),('Дивиденды по годам'!J533+'Дивиденды по годам'!K533)/'Дивиденды по годам'!M533,""),"")</f>
        <v>2.6684784749300881</v>
      </c>
      <c r="V533">
        <f>IFERROR(IF(AND('Дивиденды по годам'!J533&lt;&gt;"",'Дивиденды по годам'!K533&lt;&gt;"",'Дивиденды по годам'!M533&lt;&gt;"",'Дивиденды по годам'!I533&lt;&gt;0),('Дивиденды по годам'!J533+'Дивиденды по годам'!K533)/'Дивиденды по годам'!I533,""),"")</f>
        <v>0.72740742331354213</v>
      </c>
      <c r="W533">
        <f>IFERROR('Дивиденды по годам'!I533,"")</f>
        <v>93139000000</v>
      </c>
      <c r="X533" cm="1">
        <f t="array" ref="X533">IFERROR(AVERAGE(_xlfn._xlws.FILTER(P$2:P$1073,($C$2:$C$1073=$C533)*($E$2:$E$1073=$E533)*(ROW(P$2:P$1073)&lt;&gt;ROW(P533))*(P$2:P$1073&lt;&gt;""))),"")</f>
        <v>25.268244253350844</v>
      </c>
      <c r="Y533" cm="1">
        <f t="array" ref="Y533">IFERROR(AVERAGE(_xlfn._xlws.FILTER(Q$2:Q$1073,($C$2:$C$1073=$C533)*($E$2:$E$1073=$E533)*(ROW(Q$2:Q$1073)&lt;&gt;ROW(Q533))*(Q$2:Q$1073&lt;&gt;""))),"")</f>
        <v>0.24740380838235607</v>
      </c>
      <c r="Z533" cm="1">
        <f t="array" ref="Z533">IFERROR(AVERAGE(_xlfn._xlws.FILTER(R$2:R$1073,($C$2:$C$1073=$C533)*($E$2:$E$1073=$E533)*(ROW(R$2:R$1073)&lt;&gt;ROW(R533))*(R$2:R$1073&lt;&gt;""))),"")</f>
        <v>0.19663485486188781</v>
      </c>
      <c r="AA533" cm="1">
        <f t="array" ref="AA533">IFERROR(AVERAGE(_xlfn._xlws.FILTER(S$2:S$1073,($C$2:$C$1073=$C533)*($E$2:$E$1073=$E533)*(ROW(S$2:S$1073)&lt;&gt;ROW(S533))*(S$2:S$1073&lt;&gt;""))),"")</f>
        <v>1.3715473308004114</v>
      </c>
      <c r="AB533" cm="1">
        <f t="array" ref="AB533">IFERROR(AVERAGE(_xlfn._xlws.FILTER(T$2:T$1073,($C$2:$C$1073=$C533)*($E$2:$E$1073=$E533)*(ROW(T$2:T$1073)&lt;&gt;ROW(T533))*(T$2:T$1073&lt;&gt;""))),"")</f>
        <v>0.10103892005171201</v>
      </c>
      <c r="AC533" cm="1">
        <f t="array" ref="AC533">IFERROR(AVERAGE(_xlfn._xlws.FILTER(U$2:U$1073,($C$2:$C$1073=$C533)*($E$2:$E$1073=$E533)*(ROW(U$2:U$1073)&lt;&gt;ROW(U533))*(U$2:U$1073&lt;&gt;""))),"")</f>
        <v>2.1322272637505537</v>
      </c>
      <c r="AD533" cm="1">
        <f t="array" ref="AD533">IFERROR(AVERAGE(_xlfn._xlws.FILTER(V$2:V$1073,($C$2:$C$1073=$C533)*($E$2:$E$1073=$E533)*(ROW(V$2:V$1073)&lt;&gt;ROW(V533))*(V$2:V$1073&lt;&gt;""))),"")</f>
        <v>0.71721855996028916</v>
      </c>
      <c r="AE533">
        <f>IF('Дивиденды по годам'!M533&lt;0,1,0)</f>
        <v>0</v>
      </c>
    </row>
    <row r="534" spans="1:31" x14ac:dyDescent="0.2">
      <c r="A534" s="7" t="s">
        <v>2247</v>
      </c>
      <c r="B534" t="str">
        <f t="shared" si="88"/>
        <v>BELU IV кв. 2021</v>
      </c>
      <c r="C534">
        <v>2021</v>
      </c>
      <c r="D534">
        <f>SUMIFS(Дивиденды!$C:$C,Дивиденды!$A:$A,A534,Дивиденды!$I:$I,C534)</f>
        <v>120</v>
      </c>
      <c r="E534">
        <v>4</v>
      </c>
      <c r="F534">
        <f t="shared" si="89"/>
        <v>120</v>
      </c>
      <c r="G534">
        <f t="shared" si="90"/>
        <v>23.360000000000003</v>
      </c>
      <c r="H534">
        <f t="shared" si="91"/>
        <v>1</v>
      </c>
      <c r="I534">
        <f t="shared" si="92"/>
        <v>0.21428571428571427</v>
      </c>
      <c r="J534">
        <f t="shared" si="93"/>
        <v>0.2</v>
      </c>
      <c r="K534">
        <f t="shared" si="98"/>
        <v>0.18321594613783621</v>
      </c>
      <c r="L534">
        <f t="shared" si="94"/>
        <v>1</v>
      </c>
      <c r="M534">
        <f t="shared" si="95"/>
        <v>0.14285714285714285</v>
      </c>
      <c r="N534">
        <f t="shared" si="96"/>
        <v>0</v>
      </c>
      <c r="O534">
        <f t="shared" si="97"/>
        <v>7.1428571428571425E-2</v>
      </c>
      <c r="P534">
        <f>IFERROR(LN('Дивиденды по годам'!I534),"")</f>
        <v>25.086224324527478</v>
      </c>
      <c r="Q534">
        <f>IFERROR('Дивиденды по годам'!G534/'Дивиденды по годам'!I534, "")</f>
        <v>0.23398183184904892</v>
      </c>
      <c r="R534">
        <f>IFERROR(IF(AND('Дивиденды по годам'!N534&lt;&gt;"",'Дивиденды по годам'!U534&lt;&gt;"",'Дивиденды по годам'!U534&lt;&gt;0),'Дивиденды по годам'!N534/'Дивиденды по годам'!U534-1,""),"")</f>
        <v>0.18398849775643056</v>
      </c>
      <c r="S534">
        <f>IFERROR(IF(AND('Дивиденды по годам'!L534&lt;&gt;"",'Дивиденды по годам'!I534&lt;&gt;"",'Дивиденды по годам'!J534&lt;&gt;"",'Дивиденды по годам'!K534&lt;&gt;"",('Дивиденды по годам'!I534-'Дивиденды по годам'!J534-'Дивиденды по годам'!K534)&lt;&gt;0),'Дивиденды по годам'!L534/('Дивиденды по годам'!I534-'Дивиденды по годам'!J534-'Дивиденды по годам'!K534),""),"")</f>
        <v>0.67666002146909987</v>
      </c>
      <c r="T534">
        <f>IFERROR(IF(AND('Дивиденды по годам'!Q534&lt;&gt;"",'Дивиденды по годам'!I534&lt;&gt;"",'Дивиденды по годам'!V534&lt;&gt;"",('Дивиденды по годам'!I534+'Дивиденды по годам'!V534)&lt;&gt;0),'Дивиденды по годам'!Q534/(('Дивиденды по годам'!I534+'Дивиденды по годам'!V534)/2),""),"")</f>
        <v>5.4598328392679855E-2</v>
      </c>
      <c r="U534">
        <f>IFERROR(IF(AND('Дивиденды по годам'!J534&lt;&gt;"",'Дивиденды по годам'!K534&lt;&gt;"",'Дивиденды по годам'!M534&lt;&gt;"",'Дивиденды по годам'!M534&lt;&gt;0),('Дивиденды по годам'!J534+'Дивиденды по годам'!K534)/'Дивиденды по годам'!M534,""),"")</f>
        <v>2.0090860297500384</v>
      </c>
      <c r="V534">
        <f>IFERROR(IF(AND('Дивиденды по годам'!J534&lt;&gt;"",'Дивиденды по годам'!K534&lt;&gt;"",'Дивиденды по годам'!M534&lt;&gt;"",'Дивиденды по годам'!I534&lt;&gt;0),('Дивиденды по годам'!J534+'Дивиденды по годам'!K534)/'Дивиденды по годам'!I534,""),"")</f>
        <v>0.66767317713310148</v>
      </c>
      <c r="W534">
        <f>IFERROR('Дивиденды по годам'!I534,"")</f>
        <v>78489000000</v>
      </c>
      <c r="X534" cm="1">
        <f t="array" ref="X534">IFERROR(AVERAGE(_xlfn._xlws.FILTER(P$2:P$1073,($C$2:$C$1073=$C534)*($E$2:$E$1073=$E534)*(ROW(P$2:P$1073)&lt;&gt;ROW(P534))*(P$2:P$1073&lt;&gt;""))),"")</f>
        <v>25.196449010534874</v>
      </c>
      <c r="Y534" cm="1">
        <f t="array" ref="Y534">IFERROR(AVERAGE(_xlfn._xlws.FILTER(Q$2:Q$1073,($C$2:$C$1073=$C534)*($E$2:$E$1073=$E534)*(ROW(Q$2:Q$1073)&lt;&gt;ROW(Q534))*(Q$2:Q$1073&lt;&gt;""))),"")</f>
        <v>0.23536573441485661</v>
      </c>
      <c r="Z534" cm="1">
        <f t="array" ref="Z534">IFERROR(AVERAGE(_xlfn._xlws.FILTER(R$2:R$1073,($C$2:$C$1073=$C534)*($E$2:$E$1073=$E534)*(ROW(R$2:R$1073)&lt;&gt;ROW(R534))*(R$2:R$1073&lt;&gt;""))),"")</f>
        <v>0.3343117998442281</v>
      </c>
      <c r="AA534" cm="1">
        <f t="array" ref="AA534">IFERROR(AVERAGE(_xlfn._xlws.FILTER(S$2:S$1073,($C$2:$C$1073=$C534)*($E$2:$E$1073=$E534)*(ROW(S$2:S$1073)&lt;&gt;ROW(S534))*(S$2:S$1073&lt;&gt;""))),"")</f>
        <v>1.3759656508214988</v>
      </c>
      <c r="AB534" cm="1">
        <f t="array" ref="AB534">IFERROR(AVERAGE(_xlfn._xlws.FILTER(T$2:T$1073,($C$2:$C$1073=$C534)*($E$2:$E$1073=$E534)*(ROW(T$2:T$1073)&lt;&gt;ROW(T534))*(T$2:T$1073&lt;&gt;""))),"")</f>
        <v>0.10836948084235305</v>
      </c>
      <c r="AC534" cm="1">
        <f t="array" ref="AC534">IFERROR(AVERAGE(_xlfn._xlws.FILTER(U$2:U$1073,($C$2:$C$1073=$C534)*($E$2:$E$1073=$E534)*(ROW(U$2:U$1073)&lt;&gt;ROW(U534))*(U$2:U$1073&lt;&gt;""))),"")</f>
        <v>18.181093846807027</v>
      </c>
      <c r="AD534" cm="1">
        <f t="array" ref="AD534">IFERROR(AVERAGE(_xlfn._xlws.FILTER(V$2:V$1073,($C$2:$C$1073=$C534)*($E$2:$E$1073=$E534)*(ROW(V$2:V$1073)&lt;&gt;ROW(V534))*(V$2:V$1073&lt;&gt;""))),"")</f>
        <v>0.7815069810682157</v>
      </c>
      <c r="AE534">
        <f>IF('Дивиденды по годам'!M534&lt;0,1,0)</f>
        <v>0</v>
      </c>
    </row>
    <row r="535" spans="1:31" x14ac:dyDescent="0.2">
      <c r="A535" s="7" t="s">
        <v>2247</v>
      </c>
      <c r="B535" t="str">
        <f t="shared" si="88"/>
        <v>BELU IV кв. 2020</v>
      </c>
      <c r="C535">
        <v>2020</v>
      </c>
      <c r="D535">
        <f>SUMIFS(Дивиденды!$C:$C,Дивиденды!$A:$A,A535,Дивиденды!$I:$I,C535)</f>
        <v>100</v>
      </c>
      <c r="E535">
        <v>4</v>
      </c>
      <c r="F535">
        <f t="shared" si="89"/>
        <v>100</v>
      </c>
      <c r="G535">
        <f t="shared" si="90"/>
        <v>36.150714285714287</v>
      </c>
      <c r="H535">
        <f t="shared" si="91"/>
        <v>1</v>
      </c>
      <c r="I535">
        <f t="shared" si="92"/>
        <v>0.21428571428571427</v>
      </c>
      <c r="J535">
        <f t="shared" si="93"/>
        <v>2.125</v>
      </c>
      <c r="K535">
        <f t="shared" si="98"/>
        <v>0.11653045776321307</v>
      </c>
      <c r="L535">
        <f t="shared" si="94"/>
        <v>1</v>
      </c>
      <c r="M535">
        <f t="shared" si="95"/>
        <v>0.21428571428571427</v>
      </c>
      <c r="N535">
        <f t="shared" si="96"/>
        <v>0</v>
      </c>
      <c r="O535">
        <f t="shared" si="97"/>
        <v>0</v>
      </c>
      <c r="P535">
        <f>IFERROR(LN('Дивиденды по годам'!I535),"")</f>
        <v>24.874778072224853</v>
      </c>
      <c r="Q535">
        <f>IFERROR('Дивиденды по годам'!G535/'Дивиденды по годам'!I535, "")</f>
        <v>0.20273886352904139</v>
      </c>
      <c r="R535">
        <f>IFERROR(IF(AND('Дивиденды по годам'!N535&lt;&gt;"",'Дивиденды по годам'!U535&lt;&gt;"",'Дивиденды по годам'!U535&lt;&gt;0),'Дивиденды по годам'!N535/'Дивиденды по годам'!U535-1,""),"")</f>
        <v>0.19252364622979234</v>
      </c>
      <c r="S535">
        <f>IFERROR(IF(AND('Дивиденды по годам'!L535&lt;&gt;"",'Дивиденды по годам'!I535&lt;&gt;"",'Дивиденды по годам'!J535&lt;&gt;"",'Дивиденды по годам'!K535&lt;&gt;"",('Дивиденды по годам'!I535-'Дивиденды по годам'!J535-'Дивиденды по годам'!K535)&lt;&gt;0),'Дивиденды по годам'!L535/('Дивиденды по годам'!I535-'Дивиденды по годам'!J535-'Дивиденды по годам'!K535),""),"")</f>
        <v>0.7816662570656181</v>
      </c>
      <c r="T535">
        <f>IFERROR(IF(AND('Дивиденды по годам'!Q535&lt;&gt;"",'Дивиденды по годам'!I535&lt;&gt;"",'Дивиденды по годам'!V535&lt;&gt;"",('Дивиденды по годам'!I535+'Дивиденды по годам'!V535)&lt;&gt;0),'Дивиденды по годам'!Q535/(('Дивиденды по годам'!I535+'Дивиденды по годам'!V535)/2),""),"")</f>
        <v>4.065874105061261E-2</v>
      </c>
      <c r="U535">
        <f>IFERROR(IF(AND('Дивиденды по годам'!J535&lt;&gt;"",'Дивиденды по годам'!K535&lt;&gt;"",'Дивиденды по годам'!M535&lt;&gt;"",'Дивиденды по годам'!M535&lt;&gt;0),('Дивиденды по годам'!J535+'Дивиденды по годам'!K535)/'Дивиденды по годам'!M535,""),"")</f>
        <v>2.122634553944458</v>
      </c>
      <c r="V535">
        <f>IFERROR(IF(AND('Дивиденды по годам'!J535&lt;&gt;"",'Дивиденды по годам'!K535&lt;&gt;"",'Дивиденды по годам'!M535&lt;&gt;"",'Дивиденды по годам'!I535&lt;&gt;0),('Дивиденды по годам'!J535+'Дивиденды по годам'!K535)/'Дивиденды по годам'!I535,""),"")</f>
        <v>0.67975759483708487</v>
      </c>
      <c r="W535">
        <f>IFERROR('Дивиденды по годам'!I535,"")</f>
        <v>63530000000</v>
      </c>
      <c r="X535" cm="1">
        <f t="array" ref="X535">IFERROR(AVERAGE(_xlfn._xlws.FILTER(P$2:P$1073,($C$2:$C$1073=$C535)*($E$2:$E$1073=$E535)*(ROW(P$2:P$1073)&lt;&gt;ROW(P535))*(P$2:P$1073&lt;&gt;""))),"")</f>
        <v>25.329933762382723</v>
      </c>
      <c r="Y535" cm="1">
        <f t="array" ref="Y535">IFERROR(AVERAGE(_xlfn._xlws.FILTER(Q$2:Q$1073,($C$2:$C$1073=$C535)*($E$2:$E$1073=$E535)*(ROW(Q$2:Q$1073)&lt;&gt;ROW(Q535))*(Q$2:Q$1073&lt;&gt;""))),"")</f>
        <v>0.26892110290511295</v>
      </c>
      <c r="Z535" cm="1">
        <f t="array" ref="Z535">IFERROR(AVERAGE(_xlfn._xlws.FILTER(R$2:R$1073,($C$2:$C$1073=$C535)*($E$2:$E$1073=$E535)*(ROW(R$2:R$1073)&lt;&gt;ROW(R535))*(R$2:R$1073&lt;&gt;""))),"")</f>
        <v>8.4868756123696987E-2</v>
      </c>
      <c r="AA535" cm="1">
        <f t="array" ref="AA535">IFERROR(AVERAGE(_xlfn._xlws.FILTER(S$2:S$1073,($C$2:$C$1073=$C535)*($E$2:$E$1073=$E535)*(ROW(S$2:S$1073)&lt;&gt;ROW(S535))*(S$2:S$1073&lt;&gt;""))),"")</f>
        <v>1.8372645573910609</v>
      </c>
      <c r="AB535" cm="1">
        <f t="array" ref="AB535">IFERROR(AVERAGE(_xlfn._xlws.FILTER(T$2:T$1073,($C$2:$C$1073=$C535)*($E$2:$E$1073=$E535)*(ROW(T$2:T$1073)&lt;&gt;ROW(T535))*(T$2:T$1073&lt;&gt;""))),"")</f>
        <v>7.0835041485775657E-2</v>
      </c>
      <c r="AC535" cm="1">
        <f t="array" ref="AC535">IFERROR(AVERAGE(_xlfn._xlws.FILTER(U$2:U$1073,($C$2:$C$1073=$C535)*($E$2:$E$1073=$E535)*(ROW(U$2:U$1073)&lt;&gt;ROW(U535))*(U$2:U$1073&lt;&gt;""))),"")</f>
        <v>-11.84308822873929</v>
      </c>
      <c r="AD535" cm="1">
        <f t="array" ref="AD535">IFERROR(AVERAGE(_xlfn._xlws.FILTER(V$2:V$1073,($C$2:$C$1073=$C535)*($E$2:$E$1073=$E535)*(ROW(V$2:V$1073)&lt;&gt;ROW(V535))*(V$2:V$1073&lt;&gt;""))),"")</f>
        <v>0.79051261481938329</v>
      </c>
      <c r="AE535">
        <f>IF('Дивиденды по годам'!M535&lt;0,1,0)</f>
        <v>0</v>
      </c>
    </row>
    <row r="536" spans="1:31" x14ac:dyDescent="0.2">
      <c r="A536" s="7" t="s">
        <v>2247</v>
      </c>
      <c r="B536" t="str">
        <f t="shared" si="88"/>
        <v>BELU IV кв. 2019</v>
      </c>
      <c r="C536">
        <v>2019</v>
      </c>
      <c r="D536">
        <f>SUMIFS(Дивиденды!$C:$C,Дивиденды!$A:$A,A536,Дивиденды!$I:$I,C536)</f>
        <v>32</v>
      </c>
      <c r="E536">
        <v>4</v>
      </c>
      <c r="F536">
        <f t="shared" si="89"/>
        <v>32</v>
      </c>
      <c r="G536">
        <f t="shared" si="90"/>
        <v>22.112857142857141</v>
      </c>
      <c r="H536">
        <f t="shared" si="91"/>
        <v>1</v>
      </c>
      <c r="I536">
        <f t="shared" si="92"/>
        <v>0.14285714285714285</v>
      </c>
      <c r="J536">
        <f t="shared" si="93"/>
        <v>1</v>
      </c>
      <c r="K536">
        <f t="shared" si="98"/>
        <v>3.7335535882520525E-2</v>
      </c>
      <c r="L536">
        <f t="shared" si="94"/>
        <v>1</v>
      </c>
      <c r="M536">
        <f t="shared" si="95"/>
        <v>0.14285714285714285</v>
      </c>
      <c r="N536">
        <f t="shared" si="96"/>
        <v>0</v>
      </c>
      <c r="O536">
        <f t="shared" si="97"/>
        <v>0</v>
      </c>
      <c r="P536">
        <f>IFERROR(LN('Дивиденды по годам'!I536),"")</f>
        <v>24.773797826211858</v>
      </c>
      <c r="Q536">
        <f>IFERROR('Дивиденды по годам'!G536/'Дивиденды по годам'!I536, "")</f>
        <v>0.24178101274639549</v>
      </c>
      <c r="R536">
        <f>IFERROR(IF(AND('Дивиденды по годам'!N536&lt;&gt;"",'Дивиденды по годам'!U536&lt;&gt;"",'Дивиденды по годам'!U536&lt;&gt;0),'Дивиденды по годам'!N536/'Дивиденды по годам'!U536-1,""),"")</f>
        <v>0.22259335191541307</v>
      </c>
      <c r="S536">
        <f>IFERROR(IF(AND('Дивиденды по годам'!L536&lt;&gt;"",'Дивиденды по годам'!I536&lt;&gt;"",'Дивиденды по годам'!J536&lt;&gt;"",'Дивиденды по годам'!K536&lt;&gt;"",('Дивиденды по годам'!I536-'Дивиденды по годам'!J536-'Дивиденды по годам'!K536)&lt;&gt;0),'Дивиденды по годам'!L536/('Дивиденды по годам'!I536-'Дивиденды по годам'!J536-'Дивиденды по годам'!K536),""),"")</f>
        <v>0.70992861778066185</v>
      </c>
      <c r="T536">
        <f>IFERROR(IF(AND('Дивиденды по годам'!Q536&lt;&gt;"",'Дивиденды по годам'!I536&lt;&gt;"",'Дивиденды по годам'!V536&lt;&gt;"",('Дивиденды по годам'!I536+'Дивиденды по годам'!V536)&lt;&gt;0),'Дивиденды по годам'!Q536/(('Дивиденды по годам'!I536+'Дивиденды по годам'!V536)/2),""),"")</f>
        <v>2.7063778352754538E-2</v>
      </c>
      <c r="U536">
        <f>IFERROR(IF(AND('Дивиденды по годам'!J536&lt;&gt;"",'Дивиденды по годам'!K536&lt;&gt;"",'Дивиденды по годам'!M536&lt;&gt;"",'Дивиденды по годам'!M536&lt;&gt;0),('Дивиденды по годам'!J536+'Дивиденды по годам'!K536)/'Дивиденды по годам'!M536,""),"")</f>
        <v>1.8666699945090601</v>
      </c>
      <c r="V536">
        <f>IFERROR(IF(AND('Дивиденды по годам'!J536&lt;&gt;"",'Дивиденды по годам'!K536&lt;&gt;"",'Дивиденды по годам'!M536&lt;&gt;"",'Дивиденды по годам'!I536&lt;&gt;0),('Дивиденды по годам'!J536+'Дивиденды по годам'!K536)/'Дивиденды по годам'!I536,""),"")</f>
        <v>0.65116319565368808</v>
      </c>
      <c r="W536">
        <f>IFERROR('Дивиденды по годам'!I536,"")</f>
        <v>57428000000</v>
      </c>
      <c r="X536" cm="1">
        <f t="array" ref="X536">IFERROR(AVERAGE(_xlfn._xlws.FILTER(P$2:P$1073,($C$2:$C$1073=$C536)*($E$2:$E$1073=$E536)*(ROW(P$2:P$1073)&lt;&gt;ROW(P536))*(P$2:P$1073&lt;&gt;""))),"")</f>
        <v>25.15882662961814</v>
      </c>
      <c r="Y536" cm="1">
        <f t="array" ref="Y536">IFERROR(AVERAGE(_xlfn._xlws.FILTER(Q$2:Q$1073,($C$2:$C$1073=$C536)*($E$2:$E$1073=$E536)*(ROW(Q$2:Q$1073)&lt;&gt;ROW(Q536))*(Q$2:Q$1073&lt;&gt;""))),"")</f>
        <v>0.27444370572429649</v>
      </c>
      <c r="Z536" cm="1">
        <f t="array" ref="Z536">IFERROR(AVERAGE(_xlfn._xlws.FILTER(R$2:R$1073,($C$2:$C$1073=$C536)*($E$2:$E$1073=$E536)*(ROW(R$2:R$1073)&lt;&gt;ROW(R536))*(R$2:R$1073&lt;&gt;""))),"")</f>
        <v>0.44421511038482703</v>
      </c>
      <c r="AA536" cm="1">
        <f t="array" ref="AA536">IFERROR(AVERAGE(_xlfn._xlws.FILTER(S$2:S$1073,($C$2:$C$1073=$C536)*($E$2:$E$1073=$E536)*(ROW(S$2:S$1073)&lt;&gt;ROW(S536))*(S$2:S$1073&lt;&gt;""))),"")</f>
        <v>0.92046447280239574</v>
      </c>
      <c r="AB536" cm="1">
        <f t="array" ref="AB536">IFERROR(AVERAGE(_xlfn._xlws.FILTER(T$2:T$1073,($C$2:$C$1073=$C536)*($E$2:$E$1073=$E536)*(ROW(T$2:T$1073)&lt;&gt;ROW(T536))*(T$2:T$1073&lt;&gt;""))),"")</f>
        <v>5.2048729270290715E-2</v>
      </c>
      <c r="AC536" cm="1">
        <f t="array" ref="AC536">IFERROR(AVERAGE(_xlfn._xlws.FILTER(U$2:U$1073,($C$2:$C$1073=$C536)*($E$2:$E$1073=$E536)*(ROW(U$2:U$1073)&lt;&gt;ROW(U536))*(U$2:U$1073&lt;&gt;""))),"")</f>
        <v>-3.2081950920250732</v>
      </c>
      <c r="AD536" cm="1">
        <f t="array" ref="AD536">IFERROR(AVERAGE(_xlfn._xlws.FILTER(V$2:V$1073,($C$2:$C$1073=$C536)*($E$2:$E$1073=$E536)*(ROW(V$2:V$1073)&lt;&gt;ROW(V536))*(V$2:V$1073&lt;&gt;""))),"")</f>
        <v>0.83366972959651064</v>
      </c>
      <c r="AE536">
        <f>IF('Дивиденды по годам'!M536&lt;0,1,0)</f>
        <v>0</v>
      </c>
    </row>
    <row r="537" spans="1:31" x14ac:dyDescent="0.2">
      <c r="A537" s="7" t="s">
        <v>2247</v>
      </c>
      <c r="B537" t="str">
        <f t="shared" si="88"/>
        <v>BELU IV кв. 2018</v>
      </c>
      <c r="C537">
        <v>2018</v>
      </c>
      <c r="D537">
        <f>SUMIFS(Дивиденды!$C:$C,Дивиденды!$A:$A,A537,Дивиденды!$I:$I,C537)</f>
        <v>0</v>
      </c>
      <c r="E537">
        <v>4</v>
      </c>
      <c r="F537">
        <f t="shared" si="89"/>
        <v>0</v>
      </c>
      <c r="G537">
        <f t="shared" si="90"/>
        <v>21.978571428571428</v>
      </c>
      <c r="H537">
        <f t="shared" si="91"/>
        <v>0</v>
      </c>
      <c r="I537">
        <f t="shared" si="92"/>
        <v>0.14285714285714285</v>
      </c>
      <c r="J537">
        <f t="shared" si="93"/>
        <v>0</v>
      </c>
      <c r="K537">
        <f t="shared" si="98"/>
        <v>-1.8223065562117002E-2</v>
      </c>
      <c r="L537">
        <f t="shared" si="94"/>
        <v>0</v>
      </c>
      <c r="M537">
        <f t="shared" si="95"/>
        <v>7.1428571428571425E-2</v>
      </c>
      <c r="N537">
        <f t="shared" si="96"/>
        <v>0</v>
      </c>
      <c r="O537">
        <f t="shared" si="97"/>
        <v>7.1428571428571425E-2</v>
      </c>
      <c r="P537">
        <f>IFERROR(LN('Дивиденды по годам'!I537),"")</f>
        <v>24.604210886803696</v>
      </c>
      <c r="Q537">
        <f>IFERROR('Дивиденды по годам'!G537/'Дивиденды по годам'!I537, "")</f>
        <v>0.21854755518877655</v>
      </c>
      <c r="R537">
        <f>IFERROR(IF(AND('Дивиденды по годам'!N537&lt;&gt;"",'Дивиденды по годам'!U537&lt;&gt;"",'Дивиденды по годам'!U537&lt;&gt;0),'Дивиденды по годам'!N537/'Дивиденды по годам'!U537-1,""),"")</f>
        <v>0.16374018175481875</v>
      </c>
      <c r="S537">
        <f>IFERROR(IF(AND('Дивиденды по годам'!L537&lt;&gt;"",'Дивиденды по годам'!I537&lt;&gt;"",'Дивиденды по годам'!J537&lt;&gt;"",'Дивиденды по годам'!K537&lt;&gt;"",('Дивиденды по годам'!I537-'Дивиденды по годам'!J537-'Дивиденды по годам'!K537)&lt;&gt;0),'Дивиденды по годам'!L537/('Дивиденды по годам'!I537-'Дивиденды по годам'!J537-'Дивиденды по годам'!K537),""),"")</f>
        <v>0.66841321210253246</v>
      </c>
      <c r="T537">
        <f>IFERROR(IF(AND('Дивиденды по годам'!Q537&lt;&gt;"",'Дивиденды по годам'!I537&lt;&gt;"",'Дивиденды по годам'!V537&lt;&gt;"",('Дивиденды по годам'!I537+'Дивиденды по годам'!V537)&lt;&gt;0),'Дивиденды по годам'!Q537/(('Дивиденды по годам'!I537+'Дивиденды по годам'!V537)/2),""),"")</f>
        <v>2.0969094059129268E-2</v>
      </c>
      <c r="U537">
        <f>IFERROR(IF(AND('Дивиденды по годам'!J537&lt;&gt;"",'Дивиденды по годам'!K537&lt;&gt;"",'Дивиденды по годам'!M537&lt;&gt;"",'Дивиденды по годам'!M537&lt;&gt;0),('Дивиденды по годам'!J537+'Дивиденды по годам'!K537)/'Дивиденды по годам'!M537,""),"")</f>
        <v>1.4898546257769558</v>
      </c>
      <c r="V537">
        <f>IFERROR(IF(AND('Дивиденды по годам'!J537&lt;&gt;"",'Дивиденды по годам'!K537&lt;&gt;"",'Дивиденды по годам'!M537&lt;&gt;"",'Дивиденды по годам'!I537&lt;&gt;0),('Дивиденды по годам'!J537+'Дивиденды по годам'!K537)/'Дивиденды по годам'!I537,""),"")</f>
        <v>0.59837012585104188</v>
      </c>
      <c r="W537">
        <f>IFERROR('Дивиденды по годам'!I537,"")</f>
        <v>48470000000</v>
      </c>
      <c r="X537" cm="1">
        <f t="array" ref="X537">IFERROR(AVERAGE(_xlfn._xlws.FILTER(P$2:P$1073,($C$2:$C$1073=$C537)*($E$2:$E$1073=$E537)*(ROW(P$2:P$1073)&lt;&gt;ROW(P537))*(P$2:P$1073&lt;&gt;""))),"")</f>
        <v>24.958947340778607</v>
      </c>
      <c r="Y537" cm="1">
        <f t="array" ref="Y537">IFERROR(AVERAGE(_xlfn._xlws.FILTER(Q$2:Q$1073,($C$2:$C$1073=$C537)*($E$2:$E$1073=$E537)*(ROW(Q$2:Q$1073)&lt;&gt;ROW(Q537))*(Q$2:Q$1073&lt;&gt;""))),"")</f>
        <v>0.33259145845635696</v>
      </c>
      <c r="Z537" cm="1">
        <f t="array" ref="Z537">IFERROR(AVERAGE(_xlfn._xlws.FILTER(R$2:R$1073,($C$2:$C$1073=$C537)*($E$2:$E$1073=$E537)*(ROW(R$2:R$1073)&lt;&gt;ROW(R537))*(R$2:R$1073&lt;&gt;""))),"")</f>
        <v>3.8787972899830825E-2</v>
      </c>
      <c r="AA537" cm="1">
        <f t="array" ref="AA537">IFERROR(AVERAGE(_xlfn._xlws.FILTER(S$2:S$1073,($C$2:$C$1073=$C537)*($E$2:$E$1073=$E537)*(ROW(S$2:S$1073)&lt;&gt;ROW(S537))*(S$2:S$1073&lt;&gt;""))),"")</f>
        <v>0.64025371826632438</v>
      </c>
      <c r="AB537" cm="1">
        <f t="array" ref="AB537">IFERROR(AVERAGE(_xlfn._xlws.FILTER(T$2:T$1073,($C$2:$C$1073=$C537)*($E$2:$E$1073=$E537)*(ROW(T$2:T$1073)&lt;&gt;ROW(T537))*(T$2:T$1073&lt;&gt;""))),"")</f>
        <v>4.8373468505850782E-3</v>
      </c>
      <c r="AC537" cm="1">
        <f t="array" ref="AC537">IFERROR(AVERAGE(_xlfn._xlws.FILTER(U$2:U$1073,($C$2:$C$1073=$C537)*($E$2:$E$1073=$E537)*(ROW(U$2:U$1073)&lt;&gt;ROW(U537))*(U$2:U$1073&lt;&gt;""))),"")</f>
        <v>1.0079358254287676</v>
      </c>
      <c r="AD537" cm="1">
        <f t="array" ref="AD537">IFERROR(AVERAGE(_xlfn._xlws.FILTER(V$2:V$1073,($C$2:$C$1073=$C537)*($E$2:$E$1073=$E537)*(ROW(V$2:V$1073)&lt;&gt;ROW(V537))*(V$2:V$1073&lt;&gt;""))),"")</f>
        <v>0.8525792484303053</v>
      </c>
      <c r="AE537">
        <f>IF('Дивиденды по годам'!M537&lt;0,1,0)</f>
        <v>0</v>
      </c>
    </row>
    <row r="538" spans="1:31" x14ac:dyDescent="0.2">
      <c r="A538" s="7" t="s">
        <v>2247</v>
      </c>
      <c r="B538" t="str">
        <f t="shared" si="88"/>
        <v>BELU IV кв. 2017</v>
      </c>
      <c r="C538">
        <v>2017</v>
      </c>
      <c r="D538">
        <f>SUMIFS(Дивиденды!$C:$C,Дивиденды!$A:$A,A538,Дивиденды!$I:$I,C538)</f>
        <v>0</v>
      </c>
      <c r="E538">
        <v>4</v>
      </c>
      <c r="F538">
        <f t="shared" si="89"/>
        <v>0</v>
      </c>
      <c r="G538">
        <f t="shared" si="90"/>
        <v>18.403571428571428</v>
      </c>
      <c r="H538">
        <f t="shared" si="91"/>
        <v>0</v>
      </c>
      <c r="I538">
        <f t="shared" si="92"/>
        <v>0.14285714285714285</v>
      </c>
      <c r="J538">
        <f t="shared" si="93"/>
        <v>0</v>
      </c>
      <c r="K538">
        <f t="shared" si="98"/>
        <v>-1.7352821773673279E-2</v>
      </c>
      <c r="L538">
        <f t="shared" si="94"/>
        <v>0</v>
      </c>
      <c r="M538">
        <f t="shared" si="95"/>
        <v>0</v>
      </c>
      <c r="N538">
        <f t="shared" si="96"/>
        <v>0</v>
      </c>
      <c r="O538">
        <f t="shared" si="97"/>
        <v>0.14285714285714285</v>
      </c>
      <c r="P538">
        <f>IFERROR(LN('Дивиденды по годам'!I538),"")</f>
        <v>24.436715944994553</v>
      </c>
      <c r="Q538">
        <f>IFERROR('Дивиденды по годам'!G538/'Дивиденды по годам'!I538, "")</f>
        <v>0.15858031467252104</v>
      </c>
      <c r="R538">
        <f>IFERROR(IF(AND('Дивиденды по годам'!N538&lt;&gt;"",'Дивиденды по годам'!U538&lt;&gt;"",'Дивиденды по годам'!U538&lt;&gt;0),'Дивиденды по годам'!N538/'Дивиденды по годам'!U538-1,""),"")</f>
        <v>3.8993955936829749E-2</v>
      </c>
      <c r="S538">
        <f>IFERROR(IF(AND('Дивиденды по годам'!L538&lt;&gt;"",'Дивиденды по годам'!I538&lt;&gt;"",'Дивиденды по годам'!J538&lt;&gt;"",'Дивиденды по годам'!K538&lt;&gt;"",('Дивиденды по годам'!I538-'Дивиденды по годам'!J538-'Дивиденды по годам'!K538)&lt;&gt;0),'Дивиденды по годам'!L538/('Дивиденды по годам'!I538-'Дивиденды по годам'!J538-'Дивиденды по годам'!K538),""),"")</f>
        <v>0.62181201151789389</v>
      </c>
      <c r="T538">
        <f>IFERROR(IF(AND('Дивиденды по годам'!Q538&lt;&gt;"",'Дивиденды по годам'!I538&lt;&gt;"",'Дивиденды по годам'!V538&lt;&gt;"",('Дивиденды по годам'!I538+'Дивиденды по годам'!V538)&lt;&gt;0),'Дивиденды по годам'!Q538/(('Дивиденды по годам'!I538+'Дивиденды по годам'!V538)/2),""),"")</f>
        <v>1.6584797690788473E-2</v>
      </c>
      <c r="U538">
        <f>IFERROR(IF(AND('Дивиденды по годам'!J538&lt;&gt;"",'Дивиденды по годам'!K538&lt;&gt;"",'Дивиденды по годам'!M538&lt;&gt;"",'Дивиденды по годам'!M538&lt;&gt;0),('Дивиденды по годам'!J538+'Дивиденды по годам'!K538)/'Дивиденды по годам'!M538,""),"")</f>
        <v>1.1079288358700123</v>
      </c>
      <c r="V538">
        <f>IFERROR(IF(AND('Дивиденды по годам'!J538&lt;&gt;"",'Дивиденды по годам'!K538&lt;&gt;"",'Дивиденды по годам'!M538&lt;&gt;"",'Дивиденды по годам'!I538&lt;&gt;0),('Дивиденды по годам'!J538+'Дивиденды по годам'!K538)/'Дивиденды по годам'!I538,""),"")</f>
        <v>0.52560068301012319</v>
      </c>
      <c r="W538">
        <f>IFERROR('Дивиденды по годам'!I538,"")</f>
        <v>40995000000</v>
      </c>
      <c r="X538" cm="1">
        <f t="array" ref="X538">IFERROR(AVERAGE(_xlfn._xlws.FILTER(P$2:P$1073,($C$2:$C$1073=$C538)*($E$2:$E$1073=$E538)*(ROW(P$2:P$1073)&lt;&gt;ROW(P538))*(P$2:P$1073&lt;&gt;""))),"")</f>
        <v>24.785543002187424</v>
      </c>
      <c r="Y538" cm="1">
        <f t="array" ref="Y538">IFERROR(AVERAGE(_xlfn._xlws.FILTER(Q$2:Q$1073,($C$2:$C$1073=$C538)*($E$2:$E$1073=$E538)*(ROW(Q$2:Q$1073)&lt;&gt;ROW(Q538))*(Q$2:Q$1073&lt;&gt;""))),"")</f>
        <v>0.37001740899292779</v>
      </c>
      <c r="Z538" cm="1">
        <f t="array" ref="Z538">IFERROR(AVERAGE(_xlfn._xlws.FILTER(R$2:R$1073,($C$2:$C$1073=$C538)*($E$2:$E$1073=$E538)*(ROW(R$2:R$1073)&lt;&gt;ROW(R538))*(R$2:R$1073&lt;&gt;""))),"")</f>
        <v>0.28639799253611209</v>
      </c>
      <c r="AA538" cm="1">
        <f t="array" ref="AA538">IFERROR(AVERAGE(_xlfn._xlws.FILTER(S$2:S$1073,($C$2:$C$1073=$C538)*($E$2:$E$1073=$E538)*(ROW(S$2:S$1073)&lt;&gt;ROW(S538))*(S$2:S$1073&lt;&gt;""))),"")</f>
        <v>0.61706867449061475</v>
      </c>
      <c r="AB538" cm="1">
        <f t="array" ref="AB538">IFERROR(AVERAGE(_xlfn._xlws.FILTER(T$2:T$1073,($C$2:$C$1073=$C538)*($E$2:$E$1073=$E538)*(ROW(T$2:T$1073)&lt;&gt;ROW(T538))*(T$2:T$1073&lt;&gt;""))),"")</f>
        <v>-3.79516771129082E-2</v>
      </c>
      <c r="AC538" cm="1">
        <f t="array" ref="AC538">IFERROR(AVERAGE(_xlfn._xlws.FILTER(U$2:U$1073,($C$2:$C$1073=$C538)*($E$2:$E$1073=$E538)*(ROW(U$2:U$1073)&lt;&gt;ROW(U538))*(U$2:U$1073&lt;&gt;""))),"")</f>
        <v>0.54592006360561529</v>
      </c>
      <c r="AD538" cm="1">
        <f t="array" ref="AD538">IFERROR(AVERAGE(_xlfn._xlws.FILTER(V$2:V$1073,($C$2:$C$1073=$C538)*($E$2:$E$1073=$E538)*(ROW(V$2:V$1073)&lt;&gt;ROW(V538))*(V$2:V$1073&lt;&gt;""))),"")</f>
        <v>0.69003214566015991</v>
      </c>
      <c r="AE538">
        <f>IF('Дивиденды по годам'!M538&lt;0,1,0)</f>
        <v>0</v>
      </c>
    </row>
    <row r="539" spans="1:31" x14ac:dyDescent="0.2">
      <c r="A539" s="7" t="s">
        <v>2247</v>
      </c>
      <c r="B539" t="str">
        <f t="shared" si="88"/>
        <v>BELU IV кв. 2016</v>
      </c>
      <c r="C539">
        <v>2016</v>
      </c>
      <c r="D539">
        <f>SUMIFS(Дивиденды!$C:$C,Дивиденды!$A:$A,A539,Дивиденды!$I:$I,C539)</f>
        <v>0</v>
      </c>
      <c r="E539">
        <v>4</v>
      </c>
      <c r="F539">
        <f t="shared" si="89"/>
        <v>0</v>
      </c>
      <c r="G539">
        <f t="shared" si="90"/>
        <v>20.421428571428571</v>
      </c>
      <c r="H539">
        <f t="shared" si="91"/>
        <v>0</v>
      </c>
      <c r="I539">
        <f t="shared" si="92"/>
        <v>0.14285714285714285</v>
      </c>
      <c r="J539">
        <f t="shared" si="93"/>
        <v>0</v>
      </c>
      <c r="K539">
        <f t="shared" si="98"/>
        <v>2.0593461763560781E-2</v>
      </c>
      <c r="L539">
        <f t="shared" si="94"/>
        <v>0</v>
      </c>
      <c r="M539">
        <f t="shared" si="95"/>
        <v>7.1428571428571425E-2</v>
      </c>
      <c r="N539">
        <f t="shared" si="96"/>
        <v>0</v>
      </c>
      <c r="O539">
        <f t="shared" si="97"/>
        <v>7.1428571428571425E-2</v>
      </c>
      <c r="P539">
        <f>IFERROR(LN('Дивиденды по годам'!I539),"")</f>
        <v>24.360667769177638</v>
      </c>
      <c r="Q539">
        <f>IFERROR('Дивиденды по годам'!G539/'Дивиденды по годам'!I539, "")</f>
        <v>0.17316347748269417</v>
      </c>
      <c r="R539">
        <f>IFERROR(IF(AND('Дивиденды по годам'!N539&lt;&gt;"",'Дивиденды по годам'!U539&lt;&gt;"",'Дивиденды по годам'!U539&lt;&gt;0),'Дивиденды по годам'!N539/'Дивиденды по годам'!U539-1,""),"")</f>
        <v>0.16925030938578778</v>
      </c>
      <c r="S539">
        <f>IFERROR(IF(AND('Дивиденды по годам'!L539&lt;&gt;"",'Дивиденды по годам'!I539&lt;&gt;"",'Дивиденды по годам'!J539&lt;&gt;"",'Дивиденды по годам'!K539&lt;&gt;"",('Дивиденды по годам'!I539-'Дивиденды по годам'!J539-'Дивиденды по годам'!K539)&lt;&gt;0),'Дивиденды по годам'!L539/('Дивиденды по годам'!I539-'Дивиденды по годам'!J539-'Дивиденды по годам'!K539),""),"")</f>
        <v>0.59142548707140286</v>
      </c>
      <c r="T539">
        <f>IFERROR(IF(AND('Дивиденды по годам'!Q539&lt;&gt;"",'Дивиденды по годам'!I539&lt;&gt;"",'Дивиденды по годам'!V539&lt;&gt;"",('Дивиденды по годам'!I539+'Дивиденды по годам'!V539)&lt;&gt;0),'Дивиденды по годам'!Q539/(('Дивиденды по годам'!I539+'Дивиденды по годам'!V539)/2),""),"")</f>
        <v>7.4681584879015836E-3</v>
      </c>
      <c r="U539">
        <f>IFERROR(IF(AND('Дивиденды по годам'!J539&lt;&gt;"",'Дивиденды по годам'!K539&lt;&gt;"",'Дивиденды по годам'!M539&lt;&gt;"",'Дивиденды по годам'!M539&lt;&gt;0),('Дивиденды по годам'!J539+'Дивиденды по годам'!K539)/'Дивиденды по годам'!M539,""),"")</f>
        <v>0.95306636508507681</v>
      </c>
      <c r="V539">
        <f>IFERROR(IF(AND('Дивиденды по годам'!J539&lt;&gt;"",'Дивиденды по годам'!K539&lt;&gt;"",'Дивиденды по годам'!M539&lt;&gt;"",'Дивиденды по годам'!I539&lt;&gt;0),('Дивиденды по годам'!J539+'Дивиденды по годам'!K539)/'Дивиденды по годам'!I539,""),"")</f>
        <v>0.48798462874740084</v>
      </c>
      <c r="W539">
        <f>IFERROR('Дивиденды по годам'!I539,"")</f>
        <v>37993000000</v>
      </c>
      <c r="X539" cm="1">
        <f t="array" ref="X539">IFERROR(AVERAGE(_xlfn._xlws.FILTER(P$2:P$1073,($C$2:$C$1073=$C539)*($E$2:$E$1073=$E539)*(ROW(P$2:P$1073)&lt;&gt;ROW(P539))*(P$2:P$1073&lt;&gt;""))),"")</f>
        <v>24.603970040650388</v>
      </c>
      <c r="Y539" cm="1">
        <f t="array" ref="Y539">IFERROR(AVERAGE(_xlfn._xlws.FILTER(Q$2:Q$1073,($C$2:$C$1073=$C539)*($E$2:$E$1073=$E539)*(ROW(Q$2:Q$1073)&lt;&gt;ROW(Q539))*(Q$2:Q$1073&lt;&gt;""))),"")</f>
        <v>0.30519171687667801</v>
      </c>
      <c r="Z539" cm="1">
        <f t="array" ref="Z539">IFERROR(AVERAGE(_xlfn._xlws.FILTER(R$2:R$1073,($C$2:$C$1073=$C539)*($E$2:$E$1073=$E539)*(ROW(R$2:R$1073)&lt;&gt;ROW(R539))*(R$2:R$1073&lt;&gt;""))),"")</f>
        <v>0.1650809091258314</v>
      </c>
      <c r="AA539" cm="1">
        <f t="array" ref="AA539">IFERROR(AVERAGE(_xlfn._xlws.FILTER(S$2:S$1073,($C$2:$C$1073=$C539)*($E$2:$E$1073=$E539)*(ROW(S$2:S$1073)&lt;&gt;ROW(S539))*(S$2:S$1073&lt;&gt;""))),"")</f>
        <v>7.6244788431838897</v>
      </c>
      <c r="AB539" cm="1">
        <f t="array" ref="AB539">IFERROR(AVERAGE(_xlfn._xlws.FILTER(T$2:T$1073,($C$2:$C$1073=$C539)*($E$2:$E$1073=$E539)*(ROW(T$2:T$1073)&lt;&gt;ROW(T539))*(T$2:T$1073&lt;&gt;""))),"")</f>
        <v>-2.9249541148996083E-2</v>
      </c>
      <c r="AC539" cm="1">
        <f t="array" ref="AC539">IFERROR(AVERAGE(_xlfn._xlws.FILTER(U$2:U$1073,($C$2:$C$1073=$C539)*($E$2:$E$1073=$E539)*(ROW(U$2:U$1073)&lt;&gt;ROW(U539))*(U$2:U$1073&lt;&gt;""))),"")</f>
        <v>-20.293901217688628</v>
      </c>
      <c r="AD539" cm="1">
        <f t="array" ref="AD539">IFERROR(AVERAGE(_xlfn._xlws.FILTER(V$2:V$1073,($C$2:$C$1073=$C539)*($E$2:$E$1073=$E539)*(ROW(V$2:V$1073)&lt;&gt;ROW(V539))*(V$2:V$1073&lt;&gt;""))),"")</f>
        <v>0.68660237801492108</v>
      </c>
      <c r="AE539">
        <f>IF('Дивиденды по годам'!M539&lt;0,1,0)</f>
        <v>0</v>
      </c>
    </row>
    <row r="540" spans="1:31" x14ac:dyDescent="0.2">
      <c r="A540" s="7" t="s">
        <v>2247</v>
      </c>
      <c r="B540" t="str">
        <f t="shared" si="88"/>
        <v>BELU IV кв. 2015</v>
      </c>
      <c r="C540">
        <v>2015</v>
      </c>
      <c r="D540">
        <f>SUMIFS(Дивиденды!$C:$C,Дивиденды!$A:$A,A540,Дивиденды!$I:$I,C540)</f>
        <v>0</v>
      </c>
      <c r="E540">
        <v>4</v>
      </c>
      <c r="F540">
        <f t="shared" si="89"/>
        <v>0</v>
      </c>
      <c r="G540">
        <f t="shared" si="90"/>
        <v>22.574999999999999</v>
      </c>
      <c r="H540">
        <f t="shared" si="91"/>
        <v>0</v>
      </c>
      <c r="I540">
        <f t="shared" si="92"/>
        <v>0.14285714285714285</v>
      </c>
      <c r="J540">
        <f t="shared" si="93"/>
        <v>0</v>
      </c>
      <c r="K540">
        <f t="shared" si="98"/>
        <v>6.1102189263868886E-2</v>
      </c>
      <c r="L540">
        <f t="shared" si="94"/>
        <v>0</v>
      </c>
      <c r="M540">
        <f t="shared" si="95"/>
        <v>7.1428571428571425E-2</v>
      </c>
      <c r="N540">
        <f t="shared" si="96"/>
        <v>0</v>
      </c>
      <c r="O540">
        <f t="shared" si="97"/>
        <v>7.1428571428571425E-2</v>
      </c>
      <c r="P540">
        <f>IFERROR(LN('Дивиденды по годам'!I540),"")</f>
        <v>24.297099131738829</v>
      </c>
      <c r="Q540">
        <f>IFERROR('Дивиденды по годам'!G540/'Дивиденды по годам'!I540, "")</f>
        <v>0.18859563010125374</v>
      </c>
      <c r="R540">
        <f>IFERROR(IF(AND('Дивиденды по годам'!N540&lt;&gt;"",'Дивиденды по годам'!U540&lt;&gt;"",'Дивиденды по годам'!U540&lt;&gt;0),'Дивиденды по годам'!N540/'Дивиденды по годам'!U540-1,""),"")</f>
        <v>9.0295778148634653E-2</v>
      </c>
      <c r="S540">
        <f>IFERROR(IF(AND('Дивиденды по годам'!L540&lt;&gt;"",'Дивиденды по годам'!I540&lt;&gt;"",'Дивиденды по годам'!J540&lt;&gt;"",'Дивиденды по годам'!K540&lt;&gt;"",('Дивиденды по годам'!I540-'Дивиденды по годам'!J540-'Дивиденды по годам'!K540)&lt;&gt;0),'Дивиденды по годам'!L540/('Дивиденды по годам'!I540-'Дивиденды по годам'!J540-'Дивиденды по годам'!K540),""),"")</f>
        <v>0.58501635429105447</v>
      </c>
      <c r="T540">
        <f>IFERROR(IF(AND('Дивиденды по годам'!Q540&lt;&gt;"",'Дивиденды по годам'!I540&lt;&gt;"",'Дивиденды по годам'!V540&lt;&gt;"",('Дивиденды по годам'!I540+'Дивиденды по годам'!V540)&lt;&gt;0),'Дивиденды по годам'!Q540/(('Дивиденды по годам'!I540+'Дивиденды по годам'!V540)/2),""),"")</f>
        <v>6.8493150684931503E-3</v>
      </c>
      <c r="U540">
        <f>IFERROR(IF(AND('Дивиденды по годам'!J540&lt;&gt;"",'Дивиденды по годам'!K540&lt;&gt;"",'Дивиденды по годам'!M540&lt;&gt;"",'Дивиденды по годам'!M540&lt;&gt;0),('Дивиденды по годам'!J540+'Дивиденды по годам'!K540)/'Дивиденды по годам'!M540,""),"")</f>
        <v>0.85104615544364259</v>
      </c>
      <c r="V540">
        <f>IFERROR(IF(AND('Дивиденды по годам'!J540&lt;&gt;"",'Дивиденды по годам'!K540&lt;&gt;"",'Дивиденды по годам'!M540&lt;&gt;"",'Дивиденды по годам'!I540&lt;&gt;0),('Дивиденды по годам'!J540+'Дивиденды по годам'!K540)/'Дивиденды по годам'!I540,""),"")</f>
        <v>0.45976495666563821</v>
      </c>
      <c r="W540">
        <f>IFERROR('Дивиденды по годам'!I540,"")</f>
        <v>35653000000</v>
      </c>
      <c r="X540" cm="1">
        <f t="array" ref="X540">IFERROR(AVERAGE(_xlfn._xlws.FILTER(P$2:P$1073,($C$2:$C$1073=$C540)*($E$2:$E$1073=$E540)*(ROW(P$2:P$1073)&lt;&gt;ROW(P540))*(P$2:P$1073&lt;&gt;""))),"")</f>
        <v>24.947443476418986</v>
      </c>
      <c r="Y540" cm="1">
        <f t="array" ref="Y540">IFERROR(AVERAGE(_xlfn._xlws.FILTER(Q$2:Q$1073,($C$2:$C$1073=$C540)*($E$2:$E$1073=$E540)*(ROW(Q$2:Q$1073)&lt;&gt;ROW(Q540))*(Q$2:Q$1073&lt;&gt;""))),"")</f>
        <v>0.33323221643954565</v>
      </c>
      <c r="Z540" cm="1">
        <f t="array" ref="Z540">IFERROR(AVERAGE(_xlfn._xlws.FILTER(R$2:R$1073,($C$2:$C$1073=$C540)*($E$2:$E$1073=$E540)*(ROW(R$2:R$1073)&lt;&gt;ROW(R540))*(R$2:R$1073&lt;&gt;""))),"")</f>
        <v>0.23756390857134302</v>
      </c>
      <c r="AA540" cm="1">
        <f t="array" ref="AA540">IFERROR(AVERAGE(_xlfn._xlws.FILTER(S$2:S$1073,($C$2:$C$1073=$C540)*($E$2:$E$1073=$E540)*(ROW(S$2:S$1073)&lt;&gt;ROW(S540))*(S$2:S$1073&lt;&gt;""))),"")</f>
        <v>-1.0048302871614239</v>
      </c>
      <c r="AB540" cm="1">
        <f t="array" ref="AB540">IFERROR(AVERAGE(_xlfn._xlws.FILTER(T$2:T$1073,($C$2:$C$1073=$C540)*($E$2:$E$1073=$E540)*(ROW(T$2:T$1073)&lt;&gt;ROW(T540))*(T$2:T$1073&lt;&gt;""))),"")</f>
        <v>8.3092836568136E-2</v>
      </c>
      <c r="AC540" cm="1">
        <f t="array" ref="AC540">IFERROR(AVERAGE(_xlfn._xlws.FILTER(U$2:U$1073,($C$2:$C$1073=$C540)*($E$2:$E$1073=$E540)*(ROW(U$2:U$1073)&lt;&gt;ROW(U540))*(U$2:U$1073&lt;&gt;""))),"")</f>
        <v>7.0749318915557629</v>
      </c>
      <c r="AD540" cm="1">
        <f t="array" ref="AD540">IFERROR(AVERAGE(_xlfn._xlws.FILTER(V$2:V$1073,($C$2:$C$1073=$C540)*($E$2:$E$1073=$E540)*(ROW(V$2:V$1073)&lt;&gt;ROW(V540))*(V$2:V$1073&lt;&gt;""))),"")</f>
        <v>0.68803198697631895</v>
      </c>
      <c r="AE540">
        <f>IF('Дивиденды по годам'!M540&lt;0,1,0)</f>
        <v>0</v>
      </c>
    </row>
    <row r="541" spans="1:31" x14ac:dyDescent="0.2">
      <c r="A541" s="7" t="s">
        <v>2247</v>
      </c>
      <c r="B541" t="str">
        <f t="shared" si="88"/>
        <v>BELU IV кв. 2014</v>
      </c>
      <c r="C541">
        <v>2014</v>
      </c>
      <c r="D541">
        <f>SUMIFS(Дивиденды!$C:$C,Дивиденды!$A:$A,A541,Дивиденды!$I:$I,C541)</f>
        <v>0</v>
      </c>
      <c r="E541">
        <v>4</v>
      </c>
      <c r="F541">
        <f t="shared" si="89"/>
        <v>0</v>
      </c>
      <c r="G541">
        <f t="shared" si="90"/>
        <v>25.924285714285713</v>
      </c>
      <c r="H541">
        <f t="shared" si="91"/>
        <v>0</v>
      </c>
      <c r="I541">
        <f t="shared" si="92"/>
        <v>7.1428571428571425E-2</v>
      </c>
      <c r="J541">
        <f t="shared" si="93"/>
        <v>0</v>
      </c>
      <c r="K541">
        <f t="shared" si="98"/>
        <v>4.887635107293415E-2</v>
      </c>
      <c r="L541">
        <f t="shared" si="94"/>
        <v>0</v>
      </c>
      <c r="M541">
        <f t="shared" si="95"/>
        <v>7.1428571428571425E-2</v>
      </c>
      <c r="N541">
        <f t="shared" si="96"/>
        <v>0</v>
      </c>
      <c r="O541">
        <f t="shared" si="97"/>
        <v>7.1428571428571425E-2</v>
      </c>
      <c r="P541">
        <f>IFERROR(LN('Дивиденды по годам'!I541),"")</f>
        <v>24.270552924480462</v>
      </c>
      <c r="Q541">
        <f>IFERROR('Дивиденды по годам'!G541/'Дивиденды по годам'!I541, "")</f>
        <v>0.20222356634695698</v>
      </c>
      <c r="R541">
        <f>IFERROR(IF(AND('Дивиденды по годам'!N541&lt;&gt;"",'Дивиденды по годам'!U541&lt;&gt;"",'Дивиденды по годам'!U541&lt;&gt;0),'Дивиденды по годам'!N541/'Дивиденды по годам'!U541-1,""),"")</f>
        <v>-0.36845764004126114</v>
      </c>
      <c r="S541">
        <f>IFERROR(IF(AND('Дивиденды по годам'!L541&lt;&gt;"",'Дивиденды по годам'!I541&lt;&gt;"",'Дивиденды по годам'!J541&lt;&gt;"",'Дивиденды по годам'!K541&lt;&gt;"",('Дивиденды по годам'!I541-'Дивиденды по годам'!J541-'Дивиденды по годам'!K541)&lt;&gt;0),'Дивиденды по годам'!L541/('Дивиденды по годам'!I541-'Дивиденды по годам'!J541-'Дивиденды по годам'!K541),""),"")</f>
        <v>0.58122649394066028</v>
      </c>
      <c r="T541">
        <f>IFERROR(IF(AND('Дивиденды по годам'!Q541&lt;&gt;"",'Дивиденды по годам'!I541&lt;&gt;"",'Дивиденды по годам'!V541&lt;&gt;"",('Дивиденды по годам'!I541+'Дивиденды по годам'!V541)&lt;&gt;0),'Дивиденды по годам'!Q541/(('Дивиденды по годам'!I541+'Дивиденды по годам'!V541)/2),""),"")</f>
        <v>3.1593745018188145E-2</v>
      </c>
      <c r="U541">
        <f>IFERROR(IF(AND('Дивиденды по годам'!J541&lt;&gt;"",'Дивиденды по годам'!K541&lt;&gt;"",'Дивиденды по годам'!M541&lt;&gt;"",'Дивиденды по годам'!M541&lt;&gt;0),('Дивиденды по годам'!J541+'Дивиденды по годам'!K541)/'Дивиденды по годам'!M541,""),"")</f>
        <v>0.81357083159214372</v>
      </c>
      <c r="V541">
        <f>IFERROR(IF(AND('Дивиденды по годам'!J541&lt;&gt;"",'Дивиденды по годам'!K541&lt;&gt;"",'Дивиденды по годам'!M541&lt;&gt;"",'Дивиденды по годам'!I541&lt;&gt;0),('Дивиденды по годам'!J541+'Дивиденды по годам'!K541)/'Дивиденды по годам'!I541,""),"")</f>
        <v>0.44860163023128546</v>
      </c>
      <c r="W541">
        <f>IFERROR('Дивиденды по годам'!I541,"")</f>
        <v>34719000000</v>
      </c>
      <c r="X541" cm="1">
        <f t="array" ref="X541">IFERROR(AVERAGE(_xlfn._xlws.FILTER(P$2:P$1073,($C$2:$C$1073=$C541)*($E$2:$E$1073=$E541)*(ROW(P$2:P$1073)&lt;&gt;ROW(P541))*(P$2:P$1073&lt;&gt;""))),"")</f>
        <v>24.946950742289715</v>
      </c>
      <c r="Y541" cm="1">
        <f t="array" ref="Y541">IFERROR(AVERAGE(_xlfn._xlws.FILTER(Q$2:Q$1073,($C$2:$C$1073=$C541)*($E$2:$E$1073=$E541)*(ROW(Q$2:Q$1073)&lt;&gt;ROW(Q541))*(Q$2:Q$1073&lt;&gt;""))),"")</f>
        <v>0.31919149954124043</v>
      </c>
      <c r="Z541" cm="1">
        <f t="array" ref="Z541">IFERROR(AVERAGE(_xlfn._xlws.FILTER(R$2:R$1073,($C$2:$C$1073=$C541)*($E$2:$E$1073=$E541)*(ROW(R$2:R$1073)&lt;&gt;ROW(R541))*(R$2:R$1073&lt;&gt;""))),"")</f>
        <v>0.23684214106015269</v>
      </c>
      <c r="AA541" cm="1">
        <f t="array" ref="AA541">IFERROR(AVERAGE(_xlfn._xlws.FILTER(S$2:S$1073,($C$2:$C$1073=$C541)*($E$2:$E$1073=$E541)*(ROW(S$2:S$1073)&lt;&gt;ROW(S541))*(S$2:S$1073&lt;&gt;""))),"")</f>
        <v>-13.780497190349083</v>
      </c>
      <c r="AB541" cm="1">
        <f t="array" ref="AB541">IFERROR(AVERAGE(_xlfn._xlws.FILTER(T$2:T$1073,($C$2:$C$1073=$C541)*($E$2:$E$1073=$E541)*(ROW(T$2:T$1073)&lt;&gt;ROW(T541))*(T$2:T$1073&lt;&gt;""))),"")</f>
        <v>3.6080182648938114E-2</v>
      </c>
      <c r="AC541" cm="1">
        <f t="array" ref="AC541">IFERROR(AVERAGE(_xlfn._xlws.FILTER(U$2:U$1073,($C$2:$C$1073=$C541)*($E$2:$E$1073=$E541)*(ROW(U$2:U$1073)&lt;&gt;ROW(U541))*(U$2:U$1073&lt;&gt;""))),"")</f>
        <v>45.654517153414311</v>
      </c>
      <c r="AD541" cm="1">
        <f t="array" ref="AD541">IFERROR(AVERAGE(_xlfn._xlws.FILTER(V$2:V$1073,($C$2:$C$1073=$C541)*($E$2:$E$1073=$E541)*(ROW(V$2:V$1073)&lt;&gt;ROW(V541))*(V$2:V$1073&lt;&gt;""))),"")</f>
        <v>0.74967937277681795</v>
      </c>
      <c r="AE541">
        <f>IF('Дивиденды по годам'!M541&lt;0,1,0)</f>
        <v>0</v>
      </c>
    </row>
    <row r="542" spans="1:31" x14ac:dyDescent="0.2">
      <c r="A542" s="7" t="s">
        <v>2247</v>
      </c>
      <c r="B542" t="str">
        <f t="shared" si="88"/>
        <v>BELU IV кв. 2013</v>
      </c>
      <c r="C542">
        <v>2013</v>
      </c>
      <c r="D542">
        <f>SUMIFS(Дивиденды!$C:$C,Дивиденды!$A:$A,A542,Дивиденды!$I:$I,C542)</f>
        <v>0</v>
      </c>
      <c r="E542">
        <v>4</v>
      </c>
      <c r="F542">
        <f t="shared" si="89"/>
        <v>0</v>
      </c>
      <c r="G542">
        <f t="shared" si="90"/>
        <v>13.409285714285716</v>
      </c>
      <c r="H542">
        <f t="shared" si="91"/>
        <v>0</v>
      </c>
      <c r="I542">
        <f t="shared" si="92"/>
        <v>0.14285714285714285</v>
      </c>
      <c r="J542">
        <f t="shared" si="93"/>
        <v>0</v>
      </c>
      <c r="K542">
        <f t="shared" si="98"/>
        <v>4.7291245939064024E-2</v>
      </c>
      <c r="L542">
        <f t="shared" si="94"/>
        <v>0</v>
      </c>
      <c r="M542">
        <f t="shared" si="95"/>
        <v>7.1428571428571425E-2</v>
      </c>
      <c r="N542">
        <f t="shared" si="96"/>
        <v>0</v>
      </c>
      <c r="O542">
        <f t="shared" si="97"/>
        <v>0</v>
      </c>
      <c r="P542">
        <f>IFERROR(LN('Дивиденды по годам'!I542),"")</f>
        <v>24.257886272031275</v>
      </c>
      <c r="Q542">
        <f>IFERROR('Дивиденды по годам'!G542/'Дивиденды по годам'!I542, "")</f>
        <v>0.18455749372848726</v>
      </c>
      <c r="R542">
        <f>IFERROR(IF(AND('Дивиденды по годам'!N542&lt;&gt;"",'Дивиденды по годам'!U542&lt;&gt;"",'Дивиденды по годам'!U542&lt;&gt;0),'Дивиденды по годам'!N542/'Дивиденды по годам'!U542-1,""),"")</f>
        <v>0.67241201235411219</v>
      </c>
      <c r="S542" t="str">
        <f>IFERROR(IF(AND('Дивиденды по годам'!L542&lt;&gt;"",'Дивиденды по годам'!I542&lt;&gt;"",'Дивиденды по годам'!J542&lt;&gt;"",'Дивиденды по годам'!K542&lt;&gt;"",('Дивиденды по годам'!I542-'Дивиденды по годам'!J542-'Дивиденды по годам'!K542)&lt;&gt;0),'Дивиденды по годам'!L542/('Дивиденды по годам'!I542-'Дивиденды по годам'!J542-'Дивиденды по годам'!K542),""),"")</f>
        <v/>
      </c>
      <c r="T542">
        <f>IFERROR(IF(AND('Дивиденды по годам'!Q542&lt;&gt;"",'Дивиденды по годам'!I542&lt;&gt;"",'Дивиденды по годам'!V542&lt;&gt;"",('Дивиденды по годам'!I542+'Дивиденды по годам'!V542)&lt;&gt;0),'Дивиденды по годам'!Q542/(('Дивиденды по годам'!I542+'Дивиденды по годам'!V542)/2),""),"")</f>
        <v>4.7387385232042743E-2</v>
      </c>
      <c r="U542">
        <f>IFERROR(IF(AND('Дивиденды по годам'!J542&lt;&gt;"",'Дивиденды по годам'!K542&lt;&gt;"",'Дивиденды по годам'!M542&lt;&gt;"",'Дивиденды по годам'!M542&lt;&gt;0),('Дивиденды по годам'!J542+'Дивиденды по годам'!K542)/'Дивиденды по годам'!M542,""),"")</f>
        <v>0.86629647776144592</v>
      </c>
      <c r="V542">
        <f>IFERROR(IF(AND('Дивиденды по годам'!J542&lt;&gt;"",'Дивиденды по годам'!K542&lt;&gt;"",'Дивиденды по годам'!M542&lt;&gt;"",'Дивиденды по годам'!I542&lt;&gt;0),('Дивиденды по годам'!J542+'Дивиденды по годам'!K542)/'Дивиденды по годам'!I542,""),"")</f>
        <v>0.46417945277405054</v>
      </c>
      <c r="W542">
        <f>IFERROR('Дивиденды по годам'!I542,"")</f>
        <v>34282000000</v>
      </c>
      <c r="X542" cm="1">
        <f t="array" ref="X542">IFERROR(AVERAGE(_xlfn._xlws.FILTER(P$2:P$1073,($C$2:$C$1073=$C542)*($E$2:$E$1073=$E542)*(ROW(P$2:P$1073)&lt;&gt;ROW(P542))*(P$2:P$1073&lt;&gt;""))),"")</f>
        <v>24.289115409751872</v>
      </c>
      <c r="Y542" cm="1">
        <f t="array" ref="Y542">IFERROR(AVERAGE(_xlfn._xlws.FILTER(Q$2:Q$1073,($C$2:$C$1073=$C542)*($E$2:$E$1073=$E542)*(ROW(Q$2:Q$1073)&lt;&gt;ROW(Q542))*(Q$2:Q$1073&lt;&gt;""))),"")</f>
        <v>0.40260580147272096</v>
      </c>
      <c r="Z542" cm="1">
        <f t="array" ref="Z542">IFERROR(AVERAGE(_xlfn._xlws.FILTER(R$2:R$1073,($C$2:$C$1073=$C542)*($E$2:$E$1073=$E542)*(ROW(R$2:R$1073)&lt;&gt;ROW(R542))*(R$2:R$1073&lt;&gt;""))),"")</f>
        <v>9.6138847771955662E-3</v>
      </c>
      <c r="AA542" t="str" cm="1">
        <f t="array" ref="AA542">IFERROR(AVERAGE(_xlfn._xlws.FILTER(S$2:S$1073,($C$2:$C$1073=$C542)*($E$2:$E$1073=$E542)*(ROW(S$2:S$1073)&lt;&gt;ROW(S542))*(S$2:S$1073&lt;&gt;""))),"")</f>
        <v/>
      </c>
      <c r="AB542" cm="1">
        <f t="array" ref="AB542">IFERROR(AVERAGE(_xlfn._xlws.FILTER(T$2:T$1073,($C$2:$C$1073=$C542)*($E$2:$E$1073=$E542)*(ROW(T$2:T$1073)&lt;&gt;ROW(T542))*(T$2:T$1073&lt;&gt;""))),"")</f>
        <v>-0.18233101592105774</v>
      </c>
      <c r="AC542" cm="1">
        <f t="array" ref="AC542">IFERROR(AVERAGE(_xlfn._xlws.FILTER(U$2:U$1073,($C$2:$C$1073=$C542)*($E$2:$E$1073=$E542)*(ROW(U$2:U$1073)&lt;&gt;ROW(U542))*(U$2:U$1073&lt;&gt;""))),"")</f>
        <v>0.30545953651719859</v>
      </c>
      <c r="AD542" cm="1">
        <f t="array" ref="AD542">IFERROR(AVERAGE(_xlfn._xlws.FILTER(V$2:V$1073,($C$2:$C$1073=$C542)*($E$2:$E$1073=$E542)*(ROW(V$2:V$1073)&lt;&gt;ROW(V542))*(V$2:V$1073&lt;&gt;""))),"")</f>
        <v>1.6216334235408609</v>
      </c>
      <c r="AE542">
        <f>IF('Дивиденды по годам'!M542&lt;0,1,0)</f>
        <v>0</v>
      </c>
    </row>
    <row r="543" spans="1:31" x14ac:dyDescent="0.2">
      <c r="A543" s="7" t="s">
        <v>2247</v>
      </c>
      <c r="B543" t="str">
        <f t="shared" si="88"/>
        <v>BELU IV кв. 2012</v>
      </c>
      <c r="C543">
        <v>2012</v>
      </c>
      <c r="D543">
        <f>SUMIFS(Дивиденды!$C:$C,Дивиденды!$A:$A,A543,Дивиденды!$I:$I,C543)</f>
        <v>0</v>
      </c>
      <c r="E543">
        <v>4</v>
      </c>
      <c r="F543">
        <f t="shared" si="89"/>
        <v>0</v>
      </c>
      <c r="G543">
        <f t="shared" si="90"/>
        <v>9.5621428571428577</v>
      </c>
      <c r="H543">
        <f t="shared" si="91"/>
        <v>0</v>
      </c>
      <c r="I543">
        <f t="shared" si="92"/>
        <v>0.14285714285714285</v>
      </c>
      <c r="J543">
        <f t="shared" si="93"/>
        <v>0</v>
      </c>
      <c r="K543">
        <f t="shared" si="98"/>
        <v>0.25341100242975517</v>
      </c>
      <c r="L543">
        <f t="shared" si="94"/>
        <v>0</v>
      </c>
      <c r="M543">
        <f t="shared" si="95"/>
        <v>0.14285714285714285</v>
      </c>
      <c r="N543">
        <f t="shared" si="96"/>
        <v>0</v>
      </c>
      <c r="O543">
        <f t="shared" si="97"/>
        <v>0</v>
      </c>
      <c r="P543">
        <f>IFERROR(LN('Дивиденды по годам'!I543),"")</f>
        <v>24.149364134705507</v>
      </c>
      <c r="Q543">
        <f>IFERROR('Дивиденды по годам'!G543/'Дивиденды по годам'!I543, "")</f>
        <v>0.19327664617250792</v>
      </c>
      <c r="R543">
        <f>IFERROR(IF(AND('Дивиденды по годам'!N543&lt;&gt;"",'Дивиденды по годам'!U543&lt;&gt;"",'Дивиденды по годам'!U543&lt;&gt;0),'Дивиденды по годам'!N543/'Дивиденды по годам'!U543-1,""),"")</f>
        <v>5.7551932103410808E-2</v>
      </c>
      <c r="S543" t="str">
        <f>IFERROR(IF(AND('Дивиденды по годам'!L543&lt;&gt;"",'Дивиденды по годам'!I543&lt;&gt;"",'Дивиденды по годам'!J543&lt;&gt;"",'Дивиденды по годам'!K543&lt;&gt;"",('Дивиденды по годам'!I543-'Дивиденды по годам'!J543-'Дивиденды по годам'!K543)&lt;&gt;0),'Дивиденды по годам'!L543/('Дивиденды по годам'!I543-'Дивиденды по годам'!J543-'Дивиденды по годам'!K543),""),"")</f>
        <v/>
      </c>
      <c r="T543">
        <f>IFERROR(IF(AND('Дивиденды по годам'!Q543&lt;&gt;"",'Дивиденды по годам'!I543&lt;&gt;"",'Дивиденды по годам'!V543&lt;&gt;"",('Дивиденды по годам'!I543+'Дивиденды по годам'!V543)&lt;&gt;0),'Дивиденды по годам'!Q543/(('Дивиденды по годам'!I543+'Дивиденды по годам'!V543)/2),""),"")</f>
        <v>5.7854805159244814E-2</v>
      </c>
      <c r="U543">
        <f>IFERROR(IF(AND('Дивиденды по годам'!J543&lt;&gt;"",'Дивиденды по годам'!K543&lt;&gt;"",'Дивиденды по годам'!M543&lt;&gt;"",'Дивиденды по годам'!M543&lt;&gt;0),('Дивиденды по годам'!J543+'Дивиденды по годам'!K543)/'Дивиденды по годам'!M543,""),"")</f>
        <v>0.77050879926537175</v>
      </c>
      <c r="V543">
        <f>IFERROR(IF(AND('Дивиденды по годам'!J543&lt;&gt;"",'Дивиденды по годам'!K543&lt;&gt;"",'Дивиденды по годам'!M543&lt;&gt;"",'Дивиденды по годам'!I543&lt;&gt;0),('Дивиденды по годам'!J543+'Дивиденды по годам'!K543)/'Дивиденды по годам'!I543,""),"")</f>
        <v>0.43519060712100105</v>
      </c>
      <c r="W543">
        <f>IFERROR('Дивиденды по годам'!I543,"")</f>
        <v>30756406000</v>
      </c>
      <c r="X543" cm="1">
        <f t="array" ref="X543">IFERROR(AVERAGE(_xlfn._xlws.FILTER(P$2:P$1073,($C$2:$C$1073=$C543)*($E$2:$E$1073=$E543)*(ROW(P$2:P$1073)&lt;&gt;ROW(P543))*(P$2:P$1073&lt;&gt;""))),"")</f>
        <v>24.248122099721307</v>
      </c>
      <c r="Y543" cm="1">
        <f t="array" ref="Y543">IFERROR(AVERAGE(_xlfn._xlws.FILTER(Q$2:Q$1073,($C$2:$C$1073=$C543)*($E$2:$E$1073=$E543)*(ROW(Q$2:Q$1073)&lt;&gt;ROW(Q543))*(Q$2:Q$1073&lt;&gt;""))),"")</f>
        <v>0.30425094147718029</v>
      </c>
      <c r="Z543" cm="1">
        <f t="array" ref="Z543">IFERROR(AVERAGE(_xlfn._xlws.FILTER(R$2:R$1073,($C$2:$C$1073=$C543)*($E$2:$E$1073=$E543)*(ROW(R$2:R$1073)&lt;&gt;ROW(R543))*(R$2:R$1073&lt;&gt;""))),"")</f>
        <v>-4.2540929866449556E-2</v>
      </c>
      <c r="AA543" cm="1">
        <f t="array" ref="AA543">IFERROR(AVERAGE(_xlfn._xlws.FILTER(S$2:S$1073,($C$2:$C$1073=$C543)*($E$2:$E$1073=$E543)*(ROW(S$2:S$1073)&lt;&gt;ROW(S543))*(S$2:S$1073&lt;&gt;""))),"")</f>
        <v>-1.7651061513336963</v>
      </c>
      <c r="AB543" cm="1">
        <f t="array" ref="AB543">IFERROR(AVERAGE(_xlfn._xlws.FILTER(T$2:T$1073,($C$2:$C$1073=$C543)*($E$2:$E$1073=$E543)*(ROW(T$2:T$1073)&lt;&gt;ROW(T543))*(T$2:T$1073&lt;&gt;""))),"")</f>
        <v>7.1036872605440504E-2</v>
      </c>
      <c r="AC543" cm="1">
        <f t="array" ref="AC543">IFERROR(AVERAGE(_xlfn._xlws.FILTER(U$2:U$1073,($C$2:$C$1073=$C543)*($E$2:$E$1073=$E543)*(ROW(U$2:U$1073)&lt;&gt;ROW(U543))*(U$2:U$1073&lt;&gt;""))),"")</f>
        <v>-5.1466145615900256</v>
      </c>
      <c r="AD543" cm="1">
        <f t="array" ref="AD543">IFERROR(AVERAGE(_xlfn._xlws.FILTER(V$2:V$1073,($C$2:$C$1073=$C543)*($E$2:$E$1073=$E543)*(ROW(V$2:V$1073)&lt;&gt;ROW(V543))*(V$2:V$1073&lt;&gt;""))),"")</f>
        <v>0.74776233342120868</v>
      </c>
      <c r="AE543">
        <f>IF('Дивиденды по годам'!M543&lt;0,1,0)</f>
        <v>0</v>
      </c>
    </row>
    <row r="544" spans="1:31" x14ac:dyDescent="0.2">
      <c r="A544" s="7" t="s">
        <v>2247</v>
      </c>
      <c r="B544" t="str">
        <f t="shared" si="88"/>
        <v>BELU IV кв. 2011</v>
      </c>
      <c r="C544">
        <v>2011</v>
      </c>
      <c r="D544">
        <f>SUMIFS(Дивиденды!$C:$C,Дивиденды!$A:$A,A544,Дивиденды!$I:$I,C544)</f>
        <v>0</v>
      </c>
      <c r="E544">
        <v>4</v>
      </c>
      <c r="F544">
        <f t="shared" si="89"/>
        <v>0</v>
      </c>
      <c r="G544">
        <f t="shared" si="90"/>
        <v>1.6378571428571429</v>
      </c>
      <c r="H544">
        <f t="shared" si="91"/>
        <v>0</v>
      </c>
      <c r="I544">
        <f t="shared" si="92"/>
        <v>7.1428571428571425E-2</v>
      </c>
      <c r="J544">
        <f t="shared" si="93"/>
        <v>0</v>
      </c>
      <c r="K544">
        <f t="shared" si="98"/>
        <v>0.17786475320721892</v>
      </c>
      <c r="L544">
        <f t="shared" si="94"/>
        <v>0</v>
      </c>
      <c r="M544">
        <f t="shared" si="95"/>
        <v>7.1428571428571425E-2</v>
      </c>
      <c r="N544">
        <f t="shared" si="96"/>
        <v>0</v>
      </c>
      <c r="O544">
        <f t="shared" si="97"/>
        <v>0</v>
      </c>
      <c r="P544">
        <f>IFERROR(LN('Дивиденды по годам'!I544),"")</f>
        <v>24.058285986628619</v>
      </c>
      <c r="Q544">
        <f>IFERROR('Дивиденды по годам'!G544/'Дивиденды по годам'!I544, "")</f>
        <v>0.16478540560759591</v>
      </c>
      <c r="R544" t="str">
        <f>IFERROR(IF(AND('Дивиденды по годам'!N544&lt;&gt;"",'Дивиденды по годам'!U544&lt;&gt;"",'Дивиденды по годам'!U544&lt;&gt;0),'Дивиденды по годам'!N544/'Дивиденды по годам'!U544-1,""),"")</f>
        <v/>
      </c>
      <c r="S544" t="str">
        <f>IFERROR(IF(AND('Дивиденды по годам'!L544&lt;&gt;"",'Дивиденды по годам'!I544&lt;&gt;"",'Дивиденды по годам'!J544&lt;&gt;"",'Дивиденды по годам'!K544&lt;&gt;"",('Дивиденды по годам'!I544-'Дивиденды по годам'!J544-'Дивиденды по годам'!K544)&lt;&gt;0),'Дивиденды по годам'!L544/('Дивиденды по годам'!I544-'Дивиденды по годам'!J544-'Дивиденды по годам'!K544),""),"")</f>
        <v/>
      </c>
      <c r="T544" t="str">
        <f>IFERROR(IF(AND('Дивиденды по годам'!Q544&lt;&gt;"",'Дивиденды по годам'!I544&lt;&gt;"",'Дивиденды по годам'!V544&lt;&gt;"",('Дивиденды по годам'!I544+'Дивиденды по годам'!V544)&lt;&gt;0),'Дивиденды по годам'!Q544/(('Дивиденды по годам'!I544+'Дивиденды по годам'!V544)/2),""),"")</f>
        <v/>
      </c>
      <c r="U544">
        <f>IFERROR(IF(AND('Дивиденды по годам'!J544&lt;&gt;"",'Дивиденды по годам'!K544&lt;&gt;"",'Дивиденды по годам'!M544&lt;&gt;"",'Дивиденды по годам'!M544&lt;&gt;0),('Дивиденды по годам'!J544+'Дивиденды по годам'!K544)/'Дивиденды по годам'!M544,""),"")</f>
        <v>0.68220965550196011</v>
      </c>
      <c r="V544">
        <f>IFERROR(IF(AND('Дивиденды по годам'!J544&lt;&gt;"",'Дивиденды по годам'!K544&lt;&gt;"",'Дивиденды по годам'!M544&lt;&gt;"",'Дивиденды по годам'!I544&lt;&gt;0),('Дивиденды по годам'!J544+'Дивиденды по годам'!K544)/'Дивиденды по годам'!I544,""),"")</f>
        <v>0.40554377587280777</v>
      </c>
      <c r="W544">
        <f>IFERROR('Дивиденды по годам'!I544,"")</f>
        <v>28078949000</v>
      </c>
      <c r="X544" cm="1">
        <f t="array" ref="X544">IFERROR(AVERAGE(_xlfn._xlws.FILTER(P$2:P$1073,($C$2:$C$1073=$C544)*($E$2:$E$1073=$E544)*(ROW(P$2:P$1073)&lt;&gt;ROW(P544))*(P$2:P$1073&lt;&gt;""))),"")</f>
        <v>24.211414888963443</v>
      </c>
      <c r="Y544" cm="1">
        <f t="array" ref="Y544">IFERROR(AVERAGE(_xlfn._xlws.FILTER(Q$2:Q$1073,($C$2:$C$1073=$C544)*($E$2:$E$1073=$E544)*(ROW(Q$2:Q$1073)&lt;&gt;ROW(Q544))*(Q$2:Q$1073&lt;&gt;""))),"")</f>
        <v>0.32886305487414436</v>
      </c>
      <c r="Z544" cm="1">
        <f t="array" ref="Z544">IFERROR(AVERAGE(_xlfn._xlws.FILTER(R$2:R$1073,($C$2:$C$1073=$C544)*($E$2:$E$1073=$E544)*(ROW(R$2:R$1073)&lt;&gt;ROW(R544))*(R$2:R$1073&lt;&gt;""))),"")</f>
        <v>5.9511017560386792E-2</v>
      </c>
      <c r="AA544" t="str" cm="1">
        <f t="array" ref="AA544">IFERROR(AVERAGE(_xlfn._xlws.FILTER(S$2:S$1073,($C$2:$C$1073=$C544)*($E$2:$E$1073=$E544)*(ROW(S$2:S$1073)&lt;&gt;ROW(S544))*(S$2:S$1073&lt;&gt;""))),"")</f>
        <v/>
      </c>
      <c r="AB544" cm="1">
        <f t="array" ref="AB544">IFERROR(AVERAGE(_xlfn._xlws.FILTER(T$2:T$1073,($C$2:$C$1073=$C544)*($E$2:$E$1073=$E544)*(ROW(T$2:T$1073)&lt;&gt;ROW(T544))*(T$2:T$1073&lt;&gt;""))),"")</f>
        <v>-1.4171101286470289E-2</v>
      </c>
      <c r="AC544" cm="1">
        <f t="array" ref="AC544">IFERROR(AVERAGE(_xlfn._xlws.FILTER(U$2:U$1073,($C$2:$C$1073=$C544)*($E$2:$E$1073=$E544)*(ROW(U$2:U$1073)&lt;&gt;ROW(U544))*(U$2:U$1073&lt;&gt;""))),"")</f>
        <v>2.6865400362716461</v>
      </c>
      <c r="AD544" cm="1">
        <f t="array" ref="AD544">IFERROR(AVERAGE(_xlfn._xlws.FILTER(V$2:V$1073,($C$2:$C$1073=$C544)*($E$2:$E$1073=$E544)*(ROW(V$2:V$1073)&lt;&gt;ROW(V544))*(V$2:V$1073&lt;&gt;""))),"")</f>
        <v>0.69440926706558592</v>
      </c>
      <c r="AE544">
        <f>IF('Дивиденды по годам'!M544&lt;0,1,0)</f>
        <v>0</v>
      </c>
    </row>
    <row r="545" spans="1:31" x14ac:dyDescent="0.2">
      <c r="A545" s="7" t="s">
        <v>2247</v>
      </c>
      <c r="B545" t="str">
        <f t="shared" si="88"/>
        <v>BELU IV кв. 2010</v>
      </c>
      <c r="C545">
        <v>2010</v>
      </c>
      <c r="D545">
        <f>SUMIFS(Дивиденды!$C:$C,Дивиденды!$A:$A,A545,Дивиденды!$I:$I,C545)</f>
        <v>0</v>
      </c>
      <c r="E545">
        <v>4</v>
      </c>
      <c r="F545">
        <f t="shared" si="89"/>
        <v>0</v>
      </c>
      <c r="G545">
        <f t="shared" si="90"/>
        <v>0.46928571428571431</v>
      </c>
      <c r="H545">
        <f t="shared" si="91"/>
        <v>0</v>
      </c>
      <c r="I545">
        <f t="shared" si="92"/>
        <v>7.1428571428571425E-2</v>
      </c>
      <c r="J545" t="str">
        <f t="shared" si="93"/>
        <v/>
      </c>
      <c r="K545" t="str">
        <f t="shared" si="98"/>
        <v/>
      </c>
      <c r="L545" t="str">
        <f t="shared" si="94"/>
        <v/>
      </c>
      <c r="M545" t="str">
        <f t="shared" si="95"/>
        <v/>
      </c>
      <c r="N545" t="str">
        <f t="shared" si="96"/>
        <v/>
      </c>
      <c r="O545" t="str">
        <f t="shared" si="97"/>
        <v/>
      </c>
      <c r="P545" t="str">
        <f>IFERROR(LN('Дивиденды по годам'!I545),"")</f>
        <v/>
      </c>
      <c r="Q545" t="str">
        <f>IFERROR('Дивиденды по годам'!G545/'Дивиденды по годам'!I545, "")</f>
        <v/>
      </c>
      <c r="R545" t="str">
        <f>IFERROR(IF(AND('Дивиденды по годам'!N545&lt;&gt;"",'Дивиденды по годам'!U545&lt;&gt;"",'Дивиденды по годам'!U545&lt;&gt;0),'Дивиденды по годам'!N545/'Дивиденды по годам'!U545-1,""),"")</f>
        <v/>
      </c>
      <c r="S545" t="str">
        <f>IFERROR(IF(AND('Дивиденды по годам'!L545&lt;&gt;"",'Дивиденды по годам'!I545&lt;&gt;"",'Дивиденды по годам'!J545&lt;&gt;"",'Дивиденды по годам'!K545&lt;&gt;"",('Дивиденды по годам'!I545-'Дивиденды по годам'!J545-'Дивиденды по годам'!K545)&lt;&gt;0),'Дивиденды по годам'!L545/('Дивиденды по годам'!I545-'Дивиденды по годам'!J545-'Дивиденды по годам'!K545),""),"")</f>
        <v/>
      </c>
      <c r="T545" t="str">
        <f>IFERROR(IF(AND('Дивиденды по годам'!Q545&lt;&gt;"",'Дивиденды по годам'!I545&lt;&gt;"",'Дивиденды по годам'!V545&lt;&gt;"",('Дивиденды по годам'!I545+'Дивиденды по годам'!V545)&lt;&gt;0),'Дивиденды по годам'!Q545/(('Дивиденды по годам'!I545+'Дивиденды по годам'!V545)/2),""),"")</f>
        <v/>
      </c>
      <c r="U545" t="str">
        <f>IFERROR(IF(AND('Дивиденды по годам'!J545&lt;&gt;"",'Дивиденды по годам'!K545&lt;&gt;"",'Дивиденды по годам'!M545&lt;&gt;"",'Дивиденды по годам'!M545&lt;&gt;0),('Дивиденды по годам'!J545+'Дивиденды по годам'!K545)/'Дивиденды по годам'!M545,""),"")</f>
        <v/>
      </c>
      <c r="V545" t="str">
        <f>IFERROR(IF(AND('Дивиденды по годам'!J545&lt;&gt;"",'Дивиденды по годам'!K545&lt;&gt;"",'Дивиденды по годам'!M545&lt;&gt;"",'Дивиденды по годам'!I545&lt;&gt;0),('Дивиденды по годам'!J545+'Дивиденды по годам'!K545)/'Дивиденды по годам'!I545,""),"")</f>
        <v/>
      </c>
      <c r="W545" t="str">
        <f>IFERROR('Дивиденды по годам'!I545,"")</f>
        <v/>
      </c>
      <c r="X545" cm="1">
        <f t="array" ref="X545">IFERROR(AVERAGE(_xlfn._xlws.FILTER(P$2:P$1073,($C$2:$C$1073=$C545)*($E$2:$E$1073=$E545)*(ROW(P$2:P$1073)&lt;&gt;ROW(P545))*(P$2:P$1073&lt;&gt;""))),"")</f>
        <v>23.656010386255485</v>
      </c>
      <c r="Y545" cm="1">
        <f t="array" ref="Y545">IFERROR(AVERAGE(_xlfn._xlws.FILTER(Q$2:Q$1073,($C$2:$C$1073=$C545)*($E$2:$E$1073=$E545)*(ROW(Q$2:Q$1073)&lt;&gt;ROW(Q545))*(Q$2:Q$1073&lt;&gt;""))),"")</f>
        <v>0.15222241747474585</v>
      </c>
      <c r="Z545" t="str" cm="1">
        <f t="array" ref="Z545">IFERROR(AVERAGE(_xlfn._xlws.FILTER(R$2:R$1073,($C$2:$C$1073=$C545)*($E$2:$E$1073=$E545)*(ROW(R$2:R$1073)&lt;&gt;ROW(R545))*(R$2:R$1073&lt;&gt;""))),"")</f>
        <v/>
      </c>
      <c r="AA545" t="str" cm="1">
        <f t="array" ref="AA545">IFERROR(AVERAGE(_xlfn._xlws.FILTER(S$2:S$1073,($C$2:$C$1073=$C545)*($E$2:$E$1073=$E545)*(ROW(S$2:S$1073)&lt;&gt;ROW(S545))*(S$2:S$1073&lt;&gt;""))),"")</f>
        <v/>
      </c>
      <c r="AB545" t="str" cm="1">
        <f t="array" ref="AB545">IFERROR(AVERAGE(_xlfn._xlws.FILTER(T$2:T$1073,($C$2:$C$1073=$C545)*($E$2:$E$1073=$E545)*(ROW(T$2:T$1073)&lt;&gt;ROW(T545))*(T$2:T$1073&lt;&gt;""))),"")</f>
        <v/>
      </c>
      <c r="AC545" cm="1">
        <f t="array" ref="AC545">IFERROR(AVERAGE(_xlfn._xlws.FILTER(U$2:U$1073,($C$2:$C$1073=$C545)*($E$2:$E$1073=$E545)*(ROW(U$2:U$1073)&lt;&gt;ROW(U545))*(U$2:U$1073&lt;&gt;""))),"")</f>
        <v>2.8988498110700496</v>
      </c>
      <c r="AD545" cm="1">
        <f t="array" ref="AD545">IFERROR(AVERAGE(_xlfn._xlws.FILTER(V$2:V$1073,($C$2:$C$1073=$C545)*($E$2:$E$1073=$E545)*(ROW(V$2:V$1073)&lt;&gt;ROW(V545))*(V$2:V$1073&lt;&gt;""))),"")</f>
        <v>0.74351805997092513</v>
      </c>
      <c r="AE545">
        <f>IF('Дивиденды по годам'!M545&lt;0,1,0)</f>
        <v>0</v>
      </c>
    </row>
    <row r="546" spans="1:31" x14ac:dyDescent="0.2">
      <c r="A546" s="7" t="s">
        <v>2249</v>
      </c>
      <c r="B546" t="str">
        <f t="shared" si="88"/>
        <v>EUTR IV кв. 2025</v>
      </c>
      <c r="C546">
        <v>2025</v>
      </c>
      <c r="D546">
        <f>SUMIFS(Дивиденды!$C:$C,Дивиденды!$A:$A,A546,Дивиденды!$I:$I,C546)</f>
        <v>20.350000000000001</v>
      </c>
      <c r="E546">
        <v>4</v>
      </c>
      <c r="F546">
        <f t="shared" si="89"/>
        <v>20.350000000000001</v>
      </c>
      <c r="G546">
        <f t="shared" si="90"/>
        <v>30.127857142857145</v>
      </c>
      <c r="H546">
        <f t="shared" si="91"/>
        <v>1</v>
      </c>
      <c r="I546">
        <f t="shared" si="92"/>
        <v>0.35714285714285715</v>
      </c>
      <c r="J546">
        <f t="shared" si="93"/>
        <v>-0.25973081120407421</v>
      </c>
      <c r="K546">
        <f t="shared" si="98"/>
        <v>-0.16397414244040528</v>
      </c>
      <c r="L546">
        <f t="shared" si="94"/>
        <v>0</v>
      </c>
      <c r="M546">
        <f t="shared" si="95"/>
        <v>0.14285714285714285</v>
      </c>
      <c r="N546">
        <f t="shared" si="96"/>
        <v>1</v>
      </c>
      <c r="O546">
        <f t="shared" si="97"/>
        <v>0.42857142857142855</v>
      </c>
      <c r="P546" t="str">
        <f>IFERROR(LN('Дивиденды по годам'!I546),"")</f>
        <v/>
      </c>
      <c r="Q546" t="str">
        <f>IFERROR('Дивиденды по годам'!G546/'Дивиденды по годам'!I546, "")</f>
        <v/>
      </c>
      <c r="R546" t="str">
        <f>IFERROR(IF(AND('Дивиденды по годам'!N546&lt;&gt;"",'Дивиденды по годам'!U546&lt;&gt;"",'Дивиденды по годам'!U546&lt;&gt;0),'Дивиденды по годам'!N546/'Дивиденды по годам'!U546-1,""),"")</f>
        <v/>
      </c>
      <c r="S546" t="str">
        <f>IFERROR(IF(AND('Дивиденды по годам'!L546&lt;&gt;"",'Дивиденды по годам'!I546&lt;&gt;"",'Дивиденды по годам'!J546&lt;&gt;"",'Дивиденды по годам'!K546&lt;&gt;"",('Дивиденды по годам'!I546-'Дивиденды по годам'!J546-'Дивиденды по годам'!K546)&lt;&gt;0),'Дивиденды по годам'!L546/('Дивиденды по годам'!I546-'Дивиденды по годам'!J546-'Дивиденды по годам'!K546),""),"")</f>
        <v/>
      </c>
      <c r="T546" t="str">
        <f>IFERROR(IF(AND('Дивиденды по годам'!Q546&lt;&gt;"",'Дивиденды по годам'!I546&lt;&gt;"",'Дивиденды по годам'!V546&lt;&gt;"",('Дивиденды по годам'!I546+'Дивиденды по годам'!V546)&lt;&gt;0),'Дивиденды по годам'!Q546/(('Дивиденды по годам'!I546+'Дивиденды по годам'!V546)/2),""),"")</f>
        <v/>
      </c>
      <c r="U546" t="str">
        <f>IFERROR(IF(AND('Дивиденды по годам'!J546&lt;&gt;"",'Дивиденды по годам'!K546&lt;&gt;"",'Дивиденды по годам'!M546&lt;&gt;"",'Дивиденды по годам'!M546&lt;&gt;0),('Дивиденды по годам'!J546+'Дивиденды по годам'!K546)/'Дивиденды по годам'!M546,""),"")</f>
        <v/>
      </c>
      <c r="V546" t="str">
        <f>IFERROR(IF(AND('Дивиденды по годам'!J546&lt;&gt;"",'Дивиденды по годам'!K546&lt;&gt;"",'Дивиденды по годам'!M546&lt;&gt;"",'Дивиденды по годам'!I546&lt;&gt;0),('Дивиденды по годам'!J546+'Дивиденды по годам'!K546)/'Дивиденды по годам'!I546,""),"")</f>
        <v/>
      </c>
      <c r="W546" t="str">
        <f>IFERROR('Дивиденды по годам'!I546,"")</f>
        <v/>
      </c>
      <c r="X546" cm="1">
        <f t="array" ref="X546">IFERROR(AVERAGE(_xlfn._xlws.FILTER(P$2:P$1073,($C$2:$C$1073=$C546)*($E$2:$E$1073=$E546)*(ROW(P$2:P$1073)&lt;&gt;ROW(P546))*(P$2:P$1073&lt;&gt;""))),"")</f>
        <v>26.183512711155618</v>
      </c>
      <c r="Y546" cm="1">
        <f t="array" ref="Y546">IFERROR(AVERAGE(_xlfn._xlws.FILTER(Q$2:Q$1073,($C$2:$C$1073=$C546)*($E$2:$E$1073=$E546)*(ROW(Q$2:Q$1073)&lt;&gt;ROW(Q546))*(Q$2:Q$1073&lt;&gt;""))),"")</f>
        <v>0.42364014522274984</v>
      </c>
      <c r="Z546" cm="1">
        <f t="array" ref="Z546">IFERROR(AVERAGE(_xlfn._xlws.FILTER(R$2:R$1073,($C$2:$C$1073=$C546)*($E$2:$E$1073=$E546)*(ROW(R$2:R$1073)&lt;&gt;ROW(R546))*(R$2:R$1073&lt;&gt;""))),"")</f>
        <v>6.6096126428947105E-2</v>
      </c>
      <c r="AA546" cm="1">
        <f t="array" ref="AA546">IFERROR(AVERAGE(_xlfn._xlws.FILTER(S$2:S$1073,($C$2:$C$1073=$C546)*($E$2:$E$1073=$E546)*(ROW(S$2:S$1073)&lt;&gt;ROW(S546))*(S$2:S$1073&lt;&gt;""))),"")</f>
        <v>0.94174952343815033</v>
      </c>
      <c r="AB546" cm="1">
        <f t="array" ref="AB546">IFERROR(AVERAGE(_xlfn._xlws.FILTER(T$2:T$1073,($C$2:$C$1073=$C546)*($E$2:$E$1073=$E546)*(ROW(T$2:T$1073)&lt;&gt;ROW(T546))*(T$2:T$1073&lt;&gt;""))),"")</f>
        <v>1.3107153079830167E-2</v>
      </c>
      <c r="AC546" cm="1">
        <f t="array" ref="AC546">IFERROR(AVERAGE(_xlfn._xlws.FILTER(U$2:U$1073,($C$2:$C$1073=$C546)*($E$2:$E$1073=$E546)*(ROW(U$2:U$1073)&lt;&gt;ROW(U546))*(U$2:U$1073&lt;&gt;""))),"")</f>
        <v>6.2968354519658218</v>
      </c>
      <c r="AD546" cm="1">
        <f t="array" ref="AD546">IFERROR(AVERAGE(_xlfn._xlws.FILTER(V$2:V$1073,($C$2:$C$1073=$C546)*($E$2:$E$1073=$E546)*(ROW(V$2:V$1073)&lt;&gt;ROW(V546))*(V$2:V$1073&lt;&gt;""))),"")</f>
        <v>0.70931365831308468</v>
      </c>
      <c r="AE546">
        <f>IF('Дивиденды по годам'!M546&lt;0,1,0)</f>
        <v>0</v>
      </c>
    </row>
    <row r="547" spans="1:31" x14ac:dyDescent="0.2">
      <c r="A547" s="7" t="s">
        <v>2249</v>
      </c>
      <c r="B547" t="str">
        <f t="shared" si="88"/>
        <v>EUTR IV кв. 2024</v>
      </c>
      <c r="C547">
        <v>2024</v>
      </c>
      <c r="D547">
        <f>SUMIFS(Дивиденды!$C:$C,Дивиденды!$A:$A,A547,Дивиденды!$I:$I,C547)</f>
        <v>27.490000000000002</v>
      </c>
      <c r="E547">
        <v>4</v>
      </c>
      <c r="F547">
        <f t="shared" si="89"/>
        <v>27.490000000000002</v>
      </c>
      <c r="G547">
        <f t="shared" si="90"/>
        <v>60.547857142857147</v>
      </c>
      <c r="H547">
        <f t="shared" si="91"/>
        <v>1</v>
      </c>
      <c r="I547">
        <f t="shared" si="92"/>
        <v>0.5</v>
      </c>
      <c r="J547">
        <f t="shared" si="93"/>
        <v>7.3828125000000022E-2</v>
      </c>
      <c r="K547">
        <f t="shared" si="98"/>
        <v>0.20618230786348382</v>
      </c>
      <c r="L547">
        <f t="shared" si="94"/>
        <v>1</v>
      </c>
      <c r="M547">
        <f t="shared" si="95"/>
        <v>0.2857142857142857</v>
      </c>
      <c r="N547">
        <f t="shared" si="96"/>
        <v>0</v>
      </c>
      <c r="O547">
        <f t="shared" si="97"/>
        <v>0.2857142857142857</v>
      </c>
      <c r="P547">
        <f>IFERROR(LN('Дивиденды по годам'!I547),"")</f>
        <v>25.366439071958709</v>
      </c>
      <c r="Q547">
        <f>IFERROR('Дивиденды по годам'!G547/'Дивиденды по годам'!I547, "")</f>
        <v>0.2480764187649894</v>
      </c>
      <c r="R547">
        <f>IFERROR(IF(AND('Дивиденды по годам'!N547&lt;&gt;"",'Дивиденды по годам'!U547&lt;&gt;"",'Дивиденды по годам'!U547&lt;&gt;0),'Дивиденды по годам'!N547/'Дивиденды по годам'!U547-1,""),"")</f>
        <v>0.46884272535881388</v>
      </c>
      <c r="S547">
        <f>IFERROR(IF(AND('Дивиденды по годам'!L547&lt;&gt;"",'Дивиденды по годам'!I547&lt;&gt;"",'Дивиденды по годам'!J547&lt;&gt;"",'Дивиденды по годам'!K547&lt;&gt;"",('Дивиденды по годам'!I547-'Дивиденды по годам'!J547-'Дивиденды по годам'!K547)&lt;&gt;0),'Дивиденды по годам'!L547/('Дивиденды по годам'!I547-'Дивиденды по годам'!J547-'Дивиденды по годам'!K547),""),"")</f>
        <v>0.19580867252871367</v>
      </c>
      <c r="T547">
        <f>IFERROR(IF(AND('Дивиденды по годам'!Q547&lt;&gt;"",'Дивиденды по годам'!I547&lt;&gt;"",'Дивиденды по годам'!V547&lt;&gt;"",('Дивиденды по годам'!I547+'Дивиденды по годам'!V547)&lt;&gt;0),'Дивиденды по годам'!Q547/(('Дивиденды по годам'!I547+'Дивиденды по годам'!V547)/2),""),"")</f>
        <v>5.8649938029422581E-2</v>
      </c>
      <c r="U547">
        <f>IFERROR(IF(AND('Дивиденды по годам'!J547&lt;&gt;"",'Дивиденды по годам'!K547&lt;&gt;"",'Дивиденды по годам'!M547&lt;&gt;"",'Дивиденды по годам'!M547&lt;&gt;0),('Дивиденды по годам'!J547+'Дивиденды по годам'!K547)/'Дивиденды по годам'!M547,""),"")</f>
        <v>2.1818185995229911</v>
      </c>
      <c r="V547">
        <f>IFERROR(IF(AND('Дивиденды по годам'!J547&lt;&gt;"",'Дивиденды по годам'!K547&lt;&gt;"",'Дивиденды по годам'!M547&lt;&gt;"",'Дивиденды по годам'!I547&lt;&gt;0),('Дивиденды по годам'!J547+'Дивиденды по годам'!K547)/'Дивиденды по годам'!I547,""),"")</f>
        <v>0.68571432697328594</v>
      </c>
      <c r="W547">
        <f>IFERROR('Дивиденды по годам'!I547,"")</f>
        <v>103873440000</v>
      </c>
      <c r="X547" cm="1">
        <f t="array" ref="X547">IFERROR(AVERAGE(_xlfn._xlws.FILTER(P$2:P$1073,($C$2:$C$1073=$C547)*($E$2:$E$1073=$E547)*(ROW(P$2:P$1073)&lt;&gt;ROW(P547))*(P$2:P$1073&lt;&gt;""))),"")</f>
        <v>25.578969473981186</v>
      </c>
      <c r="Y547" cm="1">
        <f t="array" ref="Y547">IFERROR(AVERAGE(_xlfn._xlws.FILTER(Q$2:Q$1073,($C$2:$C$1073=$C547)*($E$2:$E$1073=$E547)*(ROW(Q$2:Q$1073)&lt;&gt;ROW(Q547))*(Q$2:Q$1073&lt;&gt;""))),"")</f>
        <v>0.26398498925250841</v>
      </c>
      <c r="Z547" cm="1">
        <f t="array" ref="Z547">IFERROR(AVERAGE(_xlfn._xlws.FILTER(R$2:R$1073,($C$2:$C$1073=$C547)*($E$2:$E$1073=$E547)*(ROW(R$2:R$1073)&lt;&gt;ROW(R547))*(R$2:R$1073&lt;&gt;""))),"")</f>
        <v>0.25093812544875438</v>
      </c>
      <c r="AA547" cm="1">
        <f t="array" ref="AA547">IFERROR(AVERAGE(_xlfn._xlws.FILTER(S$2:S$1073,($C$2:$C$1073=$C547)*($E$2:$E$1073=$E547)*(ROW(S$2:S$1073)&lt;&gt;ROW(S547))*(S$2:S$1073&lt;&gt;""))),"")</f>
        <v>1.2407143925735578</v>
      </c>
      <c r="AB547" cm="1">
        <f t="array" ref="AB547">IFERROR(AVERAGE(_xlfn._xlws.FILTER(T$2:T$1073,($C$2:$C$1073=$C547)*($E$2:$E$1073=$E547)*(ROW(T$2:T$1073)&lt;&gt;ROW(T547))*(T$2:T$1073&lt;&gt;""))),"")</f>
        <v>7.3977474164396789E-2</v>
      </c>
      <c r="AC547" cm="1">
        <f t="array" ref="AC547">IFERROR(AVERAGE(_xlfn._xlws.FILTER(U$2:U$1073,($C$2:$C$1073=$C547)*($E$2:$E$1073=$E547)*(ROW(U$2:U$1073)&lt;&gt;ROW(U547))*(U$2:U$1073&lt;&gt;""))),"")</f>
        <v>4.1200106045450067</v>
      </c>
      <c r="AD547" cm="1">
        <f t="array" ref="AD547">IFERROR(AVERAGE(_xlfn._xlws.FILTER(V$2:V$1073,($C$2:$C$1073=$C547)*($E$2:$E$1073=$E547)*(ROW(V$2:V$1073)&lt;&gt;ROW(V547))*(V$2:V$1073&lt;&gt;""))),"")</f>
        <v>0.70267820324350905</v>
      </c>
      <c r="AE547">
        <f>IF('Дивиденды по годам'!M547&lt;0,1,0)</f>
        <v>0</v>
      </c>
    </row>
    <row r="548" spans="1:31" x14ac:dyDescent="0.2">
      <c r="A548" s="7" t="s">
        <v>2249</v>
      </c>
      <c r="B548" t="str">
        <f t="shared" si="88"/>
        <v>EUTR IV кв. 2023</v>
      </c>
      <c r="C548">
        <v>2023</v>
      </c>
      <c r="D548">
        <f>SUMIFS(Дивиденды!$C:$C,Дивиденды!$A:$A,A548,Дивиденды!$I:$I,C548)</f>
        <v>25.6</v>
      </c>
      <c r="E548">
        <v>4</v>
      </c>
      <c r="F548">
        <f t="shared" si="89"/>
        <v>25.6</v>
      </c>
      <c r="G548">
        <f t="shared" si="90"/>
        <v>88.911428571428573</v>
      </c>
      <c r="H548">
        <f t="shared" si="91"/>
        <v>1</v>
      </c>
      <c r="I548">
        <f t="shared" si="92"/>
        <v>0.42857142857142855</v>
      </c>
      <c r="J548">
        <f t="shared" si="93"/>
        <v>1</v>
      </c>
      <c r="K548">
        <f t="shared" si="98"/>
        <v>0.22669887955182075</v>
      </c>
      <c r="L548">
        <f t="shared" si="94"/>
        <v>1</v>
      </c>
      <c r="M548">
        <f t="shared" si="95"/>
        <v>0.35714285714285715</v>
      </c>
      <c r="N548">
        <f t="shared" si="96"/>
        <v>0</v>
      </c>
      <c r="O548">
        <f t="shared" si="97"/>
        <v>0</v>
      </c>
      <c r="P548">
        <f>IFERROR(LN('Дивиденды по годам'!I548),"")</f>
        <v>25.165822900765445</v>
      </c>
      <c r="Q548">
        <f>IFERROR('Дивиденды по годам'!G548/'Дивиденды по годам'!I548, "")</f>
        <v>0.14256735757958566</v>
      </c>
      <c r="R548">
        <f>IFERROR(IF(AND('Дивиденды по годам'!N548&lt;&gt;"",'Дивиденды по годам'!U548&lt;&gt;"",'Дивиденды по годам'!U548&lt;&gt;0),'Дивиденды по годам'!N548/'Дивиденды по годам'!U548-1,""),"")</f>
        <v>1.0483167359025685</v>
      </c>
      <c r="S548">
        <f>IFERROR(IF(AND('Дивиденды по годам'!L548&lt;&gt;"",'Дивиденды по годам'!I548&lt;&gt;"",'Дивиденды по годам'!J548&lt;&gt;"",'Дивиденды по годам'!K548&lt;&gt;"",('Дивиденды по годам'!I548-'Дивиденды по годам'!J548-'Дивиденды по годам'!K548)&lt;&gt;0),'Дивиденды по годам'!L548/('Дивиденды по годам'!I548-'Дивиденды по годам'!J548-'Дивиденды по годам'!K548),""),"")</f>
        <v>0.20627008779575018</v>
      </c>
      <c r="T548">
        <f>IFERROR(IF(AND('Дивиденды по годам'!Q548&lt;&gt;"",'Дивиденды по годам'!I548&lt;&gt;"",'Дивиденды по годам'!V548&lt;&gt;"",('Дивиденды по годам'!I548+'Дивиденды по годам'!V548)&lt;&gt;0),'Дивиденды по годам'!Q548/(('Дивиденды по годам'!I548+'Дивиденды по годам'!V548)/2),""),"")</f>
        <v>7.5377729303730739E-2</v>
      </c>
      <c r="U548">
        <f>IFERROR(IF(AND('Дивиденды по годам'!J548&lt;&gt;"",'Дивиденды по годам'!K548&lt;&gt;"",'Дивиденды по годам'!M548&lt;&gt;"",'Дивиденды по годам'!M548&lt;&gt;0),('Дивиденды по годам'!J548+'Дивиденды по годам'!K548)/'Дивиденды по годам'!M548,""),"")</f>
        <v>2.0792710178956555</v>
      </c>
      <c r="V548">
        <f>IFERROR(IF(AND('Дивиденды по годам'!J548&lt;&gt;"",'Дивиденды по годам'!K548&lt;&gt;"",'Дивиденды по годам'!M548&lt;&gt;"",'Дивиденды по годам'!I548&lt;&gt;0),('Дивиденды по годам'!J548+'Дивиденды по годам'!K548)/'Дивиденды по годам'!I548,""),"")</f>
        <v>0.6752478121645199</v>
      </c>
      <c r="W548">
        <f>IFERROR('Дивиденды по годам'!I548,"")</f>
        <v>84991994000</v>
      </c>
      <c r="X548" cm="1">
        <f t="array" ref="X548">IFERROR(AVERAGE(_xlfn._xlws.FILTER(P$2:P$1073,($C$2:$C$1073=$C548)*($E$2:$E$1073=$E548)*(ROW(P$2:P$1073)&lt;&gt;ROW(P548))*(P$2:P$1073&lt;&gt;""))),"")</f>
        <v>25.381336158756817</v>
      </c>
      <c r="Y548" cm="1">
        <f t="array" ref="Y548">IFERROR(AVERAGE(_xlfn._xlws.FILTER(Q$2:Q$1073,($C$2:$C$1073=$C548)*($E$2:$E$1073=$E548)*(ROW(Q$2:Q$1073)&lt;&gt;ROW(Q548))*(Q$2:Q$1073&lt;&gt;""))),"")</f>
        <v>0.25808883118529652</v>
      </c>
      <c r="Z548" cm="1">
        <f t="array" ref="Z548">IFERROR(AVERAGE(_xlfn._xlws.FILTER(R$2:R$1073,($C$2:$C$1073=$C548)*($E$2:$E$1073=$E548)*(ROW(R$2:R$1073)&lt;&gt;ROW(R548))*(R$2:R$1073&lt;&gt;""))),"")</f>
        <v>0.17931293692298844</v>
      </c>
      <c r="AA548" cm="1">
        <f t="array" ref="AA548">IFERROR(AVERAGE(_xlfn._xlws.FILTER(S$2:S$1073,($C$2:$C$1073=$C548)*($E$2:$E$1073=$E548)*(ROW(S$2:S$1073)&lt;&gt;ROW(S548))*(S$2:S$1073&lt;&gt;""))),"")</f>
        <v>1.3202600095322894</v>
      </c>
      <c r="AB548" cm="1">
        <f t="array" ref="AB548">IFERROR(AVERAGE(_xlfn._xlws.FILTER(T$2:T$1073,($C$2:$C$1073=$C548)*($E$2:$E$1073=$E548)*(ROW(T$2:T$1073)&lt;&gt;ROW(T548))*(T$2:T$1073&lt;&gt;""))),"")</f>
        <v>0.11322284936340214</v>
      </c>
      <c r="AC548" cm="1">
        <f t="array" ref="AC548">IFERROR(AVERAGE(_xlfn._xlws.FILTER(U$2:U$1073,($C$2:$C$1073=$C548)*($E$2:$E$1073=$E548)*(ROW(U$2:U$1073)&lt;&gt;ROW(U548))*(U$2:U$1073&lt;&gt;""))),"")</f>
        <v>2.6237785371951881</v>
      </c>
      <c r="AD548" cm="1">
        <f t="array" ref="AD548">IFERROR(AVERAGE(_xlfn._xlws.FILTER(V$2:V$1073,($C$2:$C$1073=$C548)*($E$2:$E$1073=$E548)*(ROW(V$2:V$1073)&lt;&gt;ROW(V548))*(V$2:V$1073&lt;&gt;""))),"")</f>
        <v>0.69367334788687329</v>
      </c>
      <c r="AE548">
        <f>IF('Дивиденды по годам'!M548&lt;0,1,0)</f>
        <v>0</v>
      </c>
    </row>
    <row r="549" spans="1:31" x14ac:dyDescent="0.2">
      <c r="A549" s="7" t="s">
        <v>2249</v>
      </c>
      <c r="B549" t="str">
        <f t="shared" si="88"/>
        <v>EUTR IV кв. 2022</v>
      </c>
      <c r="C549">
        <v>2022</v>
      </c>
      <c r="D549">
        <f>SUMIFS(Дивиденды!$C:$C,Дивиденды!$A:$A,A549,Дивиденды!$I:$I,C549)</f>
        <v>0</v>
      </c>
      <c r="E549">
        <v>4</v>
      </c>
      <c r="F549">
        <f t="shared" si="89"/>
        <v>0</v>
      </c>
      <c r="G549">
        <f t="shared" si="90"/>
        <v>80.180000000000021</v>
      </c>
      <c r="H549">
        <f t="shared" si="91"/>
        <v>0</v>
      </c>
      <c r="I549">
        <f t="shared" si="92"/>
        <v>0.2857142857142857</v>
      </c>
      <c r="J549">
        <f t="shared" si="93"/>
        <v>0</v>
      </c>
      <c r="K549">
        <f t="shared" si="98"/>
        <v>0.49583624512073399</v>
      </c>
      <c r="L549">
        <f t="shared" si="94"/>
        <v>0</v>
      </c>
      <c r="M549">
        <f t="shared" si="95"/>
        <v>0.2857142857142857</v>
      </c>
      <c r="N549">
        <f t="shared" si="96"/>
        <v>0</v>
      </c>
      <c r="O549">
        <f t="shared" si="97"/>
        <v>7.1428571428571425E-2</v>
      </c>
      <c r="P549">
        <f>IFERROR(LN('Дивиденды по годам'!I549),"")</f>
        <v>24.672028846496573</v>
      </c>
      <c r="Q549">
        <f>IFERROR('Дивиденды по годам'!G549/'Дивиденды по годам'!I549, "")</f>
        <v>3.1388750624311242E-2</v>
      </c>
      <c r="R549">
        <f>IFERROR(IF(AND('Дивиденды по годам'!N549&lt;&gt;"",'Дивиденды по годам'!U549&lt;&gt;"",'Дивиденды по годам'!U549&lt;&gt;0),'Дивиденды по годам'!N549/'Дивиденды по годам'!U549-1,""),"")</f>
        <v>0.26484532223667112</v>
      </c>
      <c r="S549">
        <f>IFERROR(IF(AND('Дивиденды по годам'!L549&lt;&gt;"",'Дивиденды по годам'!I549&lt;&gt;"",'Дивиденды по годам'!J549&lt;&gt;"",'Дивиденды по годам'!K549&lt;&gt;"",('Дивиденды по годам'!I549-'Дивиденды по годам'!J549-'Дивиденды по годам'!K549)&lt;&gt;0),'Дивиденды по годам'!L549/('Дивиденды по годам'!I549-'Дивиденды по годам'!J549-'Дивиденды по годам'!K549),""),"")</f>
        <v>0.16058934175787523</v>
      </c>
      <c r="T549">
        <f>IFERROR(IF(AND('Дивиденды по годам'!Q549&lt;&gt;"",'Дивиденды по годам'!I549&lt;&gt;"",'Дивиденды по годам'!V549&lt;&gt;"",('Дивиденды по годам'!I549+'Дивиденды по годам'!V549)&lt;&gt;0),'Дивиденды по годам'!Q549/(('Дивиденды по годам'!I549+'Дивиденды по годам'!V549)/2),""),"")</f>
        <v>4.0868409029913275E-2</v>
      </c>
      <c r="U549">
        <f>IFERROR(IF(AND('Дивиденды по годам'!J549&lt;&gt;"",'Дивиденды по годам'!K549&lt;&gt;"",'Дивиденды по годам'!M549&lt;&gt;"",'Дивиденды по годам'!M549&lt;&gt;0),('Дивиденды по годам'!J549+'Дивиденды по годам'!K549)/'Дивиденды по годам'!M549,""),"")</f>
        <v>3.3425782883492672</v>
      </c>
      <c r="V549">
        <f>IFERROR(IF(AND('Дивиденды по годам'!J549&lt;&gt;"",'Дивиденды по годам'!K549&lt;&gt;"",'Дивиденды по годам'!M549&lt;&gt;"",'Дивиденды по годам'!I549&lt;&gt;0),('Дивиденды по годам'!J549+'Дивиденды по годам'!K549)/'Дивиденды по годам'!I549,""),"")</f>
        <v>0.76972207081611033</v>
      </c>
      <c r="W549">
        <f>IFERROR('Дивиденды по годам'!I549,"")</f>
        <v>51871163000</v>
      </c>
      <c r="X549" cm="1">
        <f t="array" ref="X549">IFERROR(AVERAGE(_xlfn._xlws.FILTER(P$2:P$1073,($C$2:$C$1073=$C549)*($E$2:$E$1073=$E549)*(ROW(P$2:P$1073)&lt;&gt;ROW(P549))*(P$2:P$1073&lt;&gt;""))),"")</f>
        <v>25.31702175263591</v>
      </c>
      <c r="Y549" cm="1">
        <f t="array" ref="Y549">IFERROR(AVERAGE(_xlfn._xlws.FILTER(Q$2:Q$1073,($C$2:$C$1073=$C549)*($E$2:$E$1073=$E549)*(ROW(Q$2:Q$1073)&lt;&gt;ROW(Q549))*(Q$2:Q$1073&lt;&gt;""))),"")</f>
        <v>0.2663454647200183</v>
      </c>
      <c r="Z549" cm="1">
        <f t="array" ref="Z549">IFERROR(AVERAGE(_xlfn._xlws.FILTER(R$2:R$1073,($C$2:$C$1073=$C549)*($E$2:$E$1073=$E549)*(ROW(R$2:R$1073)&lt;&gt;ROW(R549))*(R$2:R$1073&lt;&gt;""))),"")</f>
        <v>0.19970687303903609</v>
      </c>
      <c r="AA549" cm="1">
        <f t="array" ref="AA549">IFERROR(AVERAGE(_xlfn._xlws.FILTER(S$2:S$1073,($C$2:$C$1073=$C549)*($E$2:$E$1073=$E549)*(ROW(S$2:S$1073)&lt;&gt;ROW(S549))*(S$2:S$1073&lt;&gt;""))),"")</f>
        <v>1.4351240674518131</v>
      </c>
      <c r="AB549" cm="1">
        <f t="array" ref="AB549">IFERROR(AVERAGE(_xlfn._xlws.FILTER(T$2:T$1073,($C$2:$C$1073=$C549)*($E$2:$E$1073=$E549)*(ROW(T$2:T$1073)&lt;&gt;ROW(T549))*(T$2:T$1073&lt;&gt;""))),"")</f>
        <v>0.1062668425431756</v>
      </c>
      <c r="AC549" cm="1">
        <f t="array" ref="AC549">IFERROR(AVERAGE(_xlfn._xlws.FILTER(U$2:U$1073,($C$2:$C$1073=$C549)*($E$2:$E$1073=$E549)*(ROW(U$2:U$1073)&lt;&gt;ROW(U549))*(U$2:U$1073&lt;&gt;""))),"")</f>
        <v>2.0760522792989557</v>
      </c>
      <c r="AD549" cm="1">
        <f t="array" ref="AD549">IFERROR(AVERAGE(_xlfn._xlws.FILTER(V$2:V$1073,($C$2:$C$1073=$C549)*($E$2:$E$1073=$E549)*(ROW(V$2:V$1073)&lt;&gt;ROW(V549))*(V$2:V$1073&lt;&gt;""))),"")</f>
        <v>0.71369233933507514</v>
      </c>
      <c r="AE549">
        <f>IF('Дивиденды по годам'!M549&lt;0,1,0)</f>
        <v>0</v>
      </c>
    </row>
    <row r="550" spans="1:31" x14ac:dyDescent="0.2">
      <c r="A550" s="7" t="s">
        <v>2249</v>
      </c>
      <c r="B550" t="str">
        <f t="shared" si="88"/>
        <v>EUTR IV кв. 2021</v>
      </c>
      <c r="C550">
        <v>2021</v>
      </c>
      <c r="D550">
        <f>SUMIFS(Дивиденды!$C:$C,Дивиденды!$A:$A,A550,Дивиденды!$I:$I,C550)</f>
        <v>0</v>
      </c>
      <c r="E550">
        <v>4</v>
      </c>
      <c r="F550">
        <f t="shared" si="89"/>
        <v>0</v>
      </c>
      <c r="G550">
        <f t="shared" si="90"/>
        <v>31.931428571428572</v>
      </c>
      <c r="H550">
        <f t="shared" si="91"/>
        <v>0</v>
      </c>
      <c r="I550">
        <f t="shared" si="92"/>
        <v>0.2857142857142857</v>
      </c>
      <c r="J550">
        <f t="shared" si="93"/>
        <v>0</v>
      </c>
      <c r="K550">
        <f t="shared" si="98"/>
        <v>0.1975016604235505</v>
      </c>
      <c r="L550">
        <f t="shared" si="94"/>
        <v>0</v>
      </c>
      <c r="M550">
        <f t="shared" si="95"/>
        <v>0.21428571428571427</v>
      </c>
      <c r="N550">
        <f t="shared" si="96"/>
        <v>0</v>
      </c>
      <c r="O550">
        <f t="shared" si="97"/>
        <v>7.1428571428571425E-2</v>
      </c>
      <c r="P550">
        <f>IFERROR(LN('Дивиденды по годам'!I550),"")</f>
        <v>24.236250895743577</v>
      </c>
      <c r="Q550">
        <f>IFERROR('Дивиденды по годам'!G550/'Дивиденды по годам'!I550, "")</f>
        <v>2.3697203747842436E-3</v>
      </c>
      <c r="R550">
        <f>IFERROR(IF(AND('Дивиденды по годам'!N550&lt;&gt;"",'Дивиденды по годам'!U550&lt;&gt;"",'Дивиденды по годам'!U550&lt;&gt;0),'Дивиденды по годам'!N550/'Дивиденды по годам'!U550-1,""),"")</f>
        <v>0.36007332282610771</v>
      </c>
      <c r="S550">
        <f>IFERROR(IF(AND('Дивиденды по годам'!L550&lt;&gt;"",'Дивиденды по годам'!I550&lt;&gt;"",'Дивиденды по годам'!J550&lt;&gt;"",'Дивиденды по годам'!K550&lt;&gt;"",('Дивиденды по годам'!I550-'Дивиденды по годам'!J550-'Дивиденды по годам'!K550)&lt;&gt;0),'Дивиденды по годам'!L550/('Дивиденды по годам'!I550-'Дивиденды по годам'!J550-'Дивиденды по годам'!K550),""),"")</f>
        <v>0.97043895365051036</v>
      </c>
      <c r="T550">
        <f>IFERROR(IF(AND('Дивиденды по годам'!Q550&lt;&gt;"",'Дивиденды по годам'!I550&lt;&gt;"",'Дивиденды по годам'!V550&lt;&gt;"",('Дивиденды по годам'!I550+'Дивиденды по годам'!V550)&lt;&gt;0),'Дивиденды по годам'!Q550/(('Дивиденды по годам'!I550+'Дивиденды по годам'!V550)/2),""),"")</f>
        <v>1.8572392500597654E-2</v>
      </c>
      <c r="U550">
        <f>IFERROR(IF(AND('Дивиденды по годам'!J550&lt;&gt;"",'Дивиденды по годам'!K550&lt;&gt;"",'Дивиденды по годам'!M550&lt;&gt;"",'Дивиденды по годам'!M550&lt;&gt;0),('Дивиденды по годам'!J550+'Дивиденды по годам'!K550)/'Дивиденды по годам'!M550,""),"")</f>
        <v>186.11730715600424</v>
      </c>
      <c r="V550">
        <f>IFERROR(IF(AND('Дивиденды по годам'!J550&lt;&gt;"",'Дивиденды по годам'!K550&lt;&gt;"",'Дивиденды по годам'!M550&lt;&gt;"",'Дивиденды по годам'!I550&lt;&gt;0),('Дивиденды по годам'!J550+'Дивиденды по годам'!K550)/'Дивиденды по годам'!I550,""),"")</f>
        <v>0.99465575891830105</v>
      </c>
      <c r="W550">
        <f>IFERROR('Дивиденды по годам'!I550,"")</f>
        <v>33548262000</v>
      </c>
      <c r="X550" cm="1">
        <f t="array" ref="X550">IFERROR(AVERAGE(_xlfn._xlws.FILTER(P$2:P$1073,($C$2:$C$1073=$C550)*($E$2:$E$1073=$E550)*(ROW(P$2:P$1073)&lt;&gt;ROW(P550))*(P$2:P$1073&lt;&gt;""))),"")</f>
        <v>25.267280129600199</v>
      </c>
      <c r="Y550" cm="1">
        <f t="array" ref="Y550">IFERROR(AVERAGE(_xlfn._xlws.FILTER(Q$2:Q$1073,($C$2:$C$1073=$C550)*($E$2:$E$1073=$E550)*(ROW(Q$2:Q$1073)&lt;&gt;ROW(Q550))*(Q$2:Q$1073&lt;&gt;""))),"")</f>
        <v>0.25466674370437864</v>
      </c>
      <c r="Z550" cm="1">
        <f t="array" ref="Z550">IFERROR(AVERAGE(_xlfn._xlws.FILTER(R$2:R$1073,($C$2:$C$1073=$C550)*($E$2:$E$1073=$E550)*(ROW(R$2:R$1073)&lt;&gt;ROW(R550))*(R$2:R$1073&lt;&gt;""))),"")</f>
        <v>0.31230119671051843</v>
      </c>
      <c r="AA550" cm="1">
        <f t="array" ref="AA550">IFERROR(AVERAGE(_xlfn._xlws.FILTER(S$2:S$1073,($C$2:$C$1073=$C550)*($E$2:$E$1073=$E550)*(ROW(S$2:S$1073)&lt;&gt;ROW(S550))*(S$2:S$1073&lt;&gt;""))),"")</f>
        <v>1.3514840731397146</v>
      </c>
      <c r="AB550" cm="1">
        <f t="array" ref="AB550">IFERROR(AVERAGE(_xlfn._xlws.FILTER(T$2:T$1073,($C$2:$C$1073=$C550)*($E$2:$E$1073=$E550)*(ROW(T$2:T$1073)&lt;&gt;ROW(T550))*(T$2:T$1073&lt;&gt;""))),"")</f>
        <v>0.11287272282886333</v>
      </c>
      <c r="AC550" cm="1">
        <f t="array" ref="AC550">IFERROR(AVERAGE(_xlfn._xlws.FILTER(U$2:U$1073,($C$2:$C$1073=$C550)*($E$2:$E$1073=$E550)*(ROW(U$2:U$1073)&lt;&gt;ROW(U550))*(U$2:U$1073&lt;&gt;""))),"")</f>
        <v>2.8387420862858441</v>
      </c>
      <c r="AD550" cm="1">
        <f t="array" ref="AD550">IFERROR(AVERAGE(_xlfn._xlws.FILTER(V$2:V$1073,($C$2:$C$1073=$C550)*($E$2:$E$1073=$E550)*(ROW(V$2:V$1073)&lt;&gt;ROW(V550))*(V$2:V$1073&lt;&gt;""))),"")</f>
        <v>0.7542584325861158</v>
      </c>
      <c r="AE550">
        <f>IF('Дивиденды по годам'!M550&lt;0,1,0)</f>
        <v>0</v>
      </c>
    </row>
    <row r="551" spans="1:31" x14ac:dyDescent="0.2">
      <c r="A551" s="7" t="s">
        <v>2249</v>
      </c>
      <c r="B551" t="str">
        <f t="shared" si="88"/>
        <v>EUTR IV кв. 2020</v>
      </c>
      <c r="C551">
        <v>2020</v>
      </c>
      <c r="D551">
        <f>SUMIFS(Дивиденды!$C:$C,Дивиденды!$A:$A,A551,Дивиденды!$I:$I,C551)</f>
        <v>0</v>
      </c>
      <c r="E551">
        <v>4</v>
      </c>
      <c r="F551">
        <f t="shared" si="89"/>
        <v>0</v>
      </c>
      <c r="G551">
        <f t="shared" si="90"/>
        <v>43.293571428571433</v>
      </c>
      <c r="H551">
        <f t="shared" si="91"/>
        <v>0</v>
      </c>
      <c r="I551">
        <f t="shared" si="92"/>
        <v>0.2857142857142857</v>
      </c>
      <c r="J551">
        <f t="shared" si="93"/>
        <v>0</v>
      </c>
      <c r="K551">
        <f t="shared" si="98"/>
        <v>0.26831617204892738</v>
      </c>
      <c r="L551">
        <f t="shared" si="94"/>
        <v>0</v>
      </c>
      <c r="M551">
        <f t="shared" si="95"/>
        <v>0.2857142857142857</v>
      </c>
      <c r="N551">
        <f t="shared" si="96"/>
        <v>0</v>
      </c>
      <c r="O551">
        <f t="shared" si="97"/>
        <v>0</v>
      </c>
      <c r="P551">
        <f>IFERROR(LN('Дивиденды по годам'!I551),"")</f>
        <v>23.993249442995651</v>
      </c>
      <c r="Q551">
        <f>IFERROR('Дивиденды по годам'!G551/'Дивиденды по годам'!I551, "")</f>
        <v>2.5906745597681388E-3</v>
      </c>
      <c r="R551">
        <f>IFERROR(IF(AND('Дивиденды по годам'!N551&lt;&gt;"",'Дивиденды по годам'!U551&lt;&gt;"",'Дивиденды по годам'!U551&lt;&gt;0),'Дивиденды по годам'!N551/'Дивиденды по годам'!U551-1,""),"")</f>
        <v>6.1920418715565528E-2</v>
      </c>
      <c r="S551">
        <f>IFERROR(IF(AND('Дивиденды по годам'!L551&lt;&gt;"",'Дивиденды по годам'!I551&lt;&gt;"",'Дивиденды по годам'!J551&lt;&gt;"",'Дивиденды по годам'!K551&lt;&gt;"",('Дивиденды по годам'!I551-'Дивиденды по годам'!J551-'Дивиденды по годам'!K551)&lt;&gt;0),'Дивиденды по годам'!L551/('Дивиденды по годам'!I551-'Дивиденды по годам'!J551-'Дивиденды по годам'!K551),""),"")</f>
        <v>1.0140742589769873</v>
      </c>
      <c r="T551">
        <f>IFERROR(IF(AND('Дивиденды по годам'!Q551&lt;&gt;"",'Дивиденды по годам'!I551&lt;&gt;"",'Дивиденды по годам'!V551&lt;&gt;"",('Дивиденды по годам'!I551+'Дивиденды по годам'!V551)&lt;&gt;0),'Дивиденды по годам'!Q551/(('Дивиденды по годам'!I551+'Дивиденды по годам'!V551)/2),""),"")</f>
        <v>1.1207765991428283E-2</v>
      </c>
      <c r="U551">
        <f>IFERROR(IF(AND('Дивиденды по годам'!J551&lt;&gt;"",'Дивиденды по годам'!K551&lt;&gt;"",'Дивиденды по годам'!M551&lt;&gt;"",'Дивиденды по годам'!M551&lt;&gt;0),('Дивиденды по годам'!J551+'Дивиденды по годам'!K551)/'Дивиденды по годам'!M551,""),"")</f>
        <v>-70.869157190884124</v>
      </c>
      <c r="V551">
        <f>IFERROR(IF(AND('Дивиденды по годам'!J551&lt;&gt;"",'Дивиденды по годам'!K551&lt;&gt;"",'Дивиденды по годам'!M551&lt;&gt;"",'Дивиденды по годам'!I551&lt;&gt;0),('Дивиденды по годам'!J551+'Дивиденды по годам'!K551)/'Дивиденды по годам'!I551,""),"")</f>
        <v>1.0143124669053611</v>
      </c>
      <c r="W551">
        <f>IFERROR('Дивиденды по годам'!I551,"")</f>
        <v>26310908000</v>
      </c>
      <c r="X551" cm="1">
        <f t="array" ref="X551">IFERROR(AVERAGE(_xlfn._xlws.FILTER(P$2:P$1073,($C$2:$C$1073=$C551)*($E$2:$E$1073=$E551)*(ROW(P$2:P$1073)&lt;&gt;ROW(P551))*(P$2:P$1073&lt;&gt;""))),"")</f>
        <v>25.440124841036372</v>
      </c>
      <c r="Y551" cm="1">
        <f t="array" ref="Y551">IFERROR(AVERAGE(_xlfn._xlws.FILTER(Q$2:Q$1073,($C$2:$C$1073=$C551)*($E$2:$E$1073=$E551)*(ROW(Q$2:Q$1073)&lt;&gt;ROW(Q551))*(Q$2:Q$1073&lt;&gt;""))),"")</f>
        <v>0.29393962652627215</v>
      </c>
      <c r="Z551" cm="1">
        <f t="array" ref="Z551">IFERROR(AVERAGE(_xlfn._xlws.FILTER(R$2:R$1073,($C$2:$C$1073=$C551)*($E$2:$E$1073=$E551)*(ROW(R$2:R$1073)&lt;&gt;ROW(R551))*(R$2:R$1073&lt;&gt;""))),"")</f>
        <v>0.10119415956297534</v>
      </c>
      <c r="AA551" cm="1">
        <f t="array" ref="AA551">IFERROR(AVERAGE(_xlfn._xlws.FILTER(S$2:S$1073,($C$2:$C$1073=$C551)*($E$2:$E$1073=$E551)*(ROW(S$2:S$1073)&lt;&gt;ROW(S551))*(S$2:S$1073&lt;&gt;""))),"")</f>
        <v>1.8082135571521396</v>
      </c>
      <c r="AB551" cm="1">
        <f t="array" ref="AB551">IFERROR(AVERAGE(_xlfn._xlws.FILTER(T$2:T$1073,($C$2:$C$1073=$C551)*($E$2:$E$1073=$E551)*(ROW(T$2:T$1073)&lt;&gt;ROW(T551))*(T$2:T$1073&lt;&gt;""))),"")</f>
        <v>7.451641336817369E-2</v>
      </c>
      <c r="AC551" cm="1">
        <f t="array" ref="AC551">IFERROR(AVERAGE(_xlfn._xlws.FILTER(U$2:U$1073,($C$2:$C$1073=$C551)*($E$2:$E$1073=$E551)*(ROW(U$2:U$1073)&lt;&gt;ROW(U551))*(U$2:U$1073&lt;&gt;""))),"")</f>
        <v>-2.7191142606357164</v>
      </c>
      <c r="AD551" cm="1">
        <f t="array" ref="AD551">IFERROR(AVERAGE(_xlfn._xlws.FILTER(V$2:V$1073,($C$2:$C$1073=$C551)*($E$2:$E$1073=$E551)*(ROW(V$2:V$1073)&lt;&gt;ROW(V551))*(V$2:V$1073&lt;&gt;""))),"")</f>
        <v>0.74869325581084878</v>
      </c>
      <c r="AE551">
        <f>IF('Дивиденды по годам'!M551&lt;0,1,0)</f>
        <v>1</v>
      </c>
    </row>
    <row r="552" spans="1:31" x14ac:dyDescent="0.2">
      <c r="A552" s="7" t="s">
        <v>2249</v>
      </c>
      <c r="B552" t="str">
        <f t="shared" si="88"/>
        <v>EUTR IV кв. 2019</v>
      </c>
      <c r="C552">
        <v>2019</v>
      </c>
      <c r="D552">
        <f>SUMIFS(Дивиденды!$C:$C,Дивиденды!$A:$A,A552,Дивиденды!$I:$I,C552)</f>
        <v>0</v>
      </c>
      <c r="E552">
        <v>4</v>
      </c>
      <c r="F552">
        <f t="shared" si="89"/>
        <v>0</v>
      </c>
      <c r="G552">
        <f t="shared" si="90"/>
        <v>24.398571428571426</v>
      </c>
      <c r="H552">
        <f t="shared" si="91"/>
        <v>0</v>
      </c>
      <c r="I552">
        <f t="shared" si="92"/>
        <v>0.21428571428571427</v>
      </c>
      <c r="J552">
        <f t="shared" si="93"/>
        <v>0</v>
      </c>
      <c r="K552">
        <f t="shared" si="98"/>
        <v>0.10876410731109194</v>
      </c>
      <c r="L552">
        <f t="shared" si="94"/>
        <v>0</v>
      </c>
      <c r="M552">
        <f t="shared" si="95"/>
        <v>0.21428571428571427</v>
      </c>
      <c r="N552">
        <f t="shared" si="96"/>
        <v>0</v>
      </c>
      <c r="O552">
        <f t="shared" si="97"/>
        <v>0</v>
      </c>
      <c r="P552">
        <f>IFERROR(LN('Дивиденды по годам'!I552),"")</f>
        <v>23.915102701702541</v>
      </c>
      <c r="Q552">
        <f>IFERROR('Дивиденды по годам'!G552/'Дивиденды по годам'!I552, "")</f>
        <v>8.137070012870954E-5</v>
      </c>
      <c r="R552" t="str">
        <f>IFERROR(IF(AND('Дивиденды по годам'!N552&lt;&gt;"",'Дивиденды по годам'!U552&lt;&gt;"",'Дивиденды по годам'!U552&lt;&gt;0),'Дивиденды по годам'!N552/'Дивиденды по годам'!U552-1,""),"")</f>
        <v/>
      </c>
      <c r="S552">
        <f>IFERROR(IF(AND('Дивиденды по годам'!L552&lt;&gt;"",'Дивиденды по годам'!I552&lt;&gt;"",'Дивиденды по годам'!J552&lt;&gt;"",'Дивиденды по годам'!K552&lt;&gt;"",('Дивиденды по годам'!I552-'Дивиденды по годам'!J552-'Дивиденды по годам'!K552)&lt;&gt;0),'Дивиденды по годам'!L552/('Дивиденды по годам'!I552-'Дивиденды по годам'!J552-'Дивиденды по годам'!K552),""),"")</f>
        <v>1.008025718642533</v>
      </c>
      <c r="T552" t="str">
        <f>IFERROR(IF(AND('Дивиденды по годам'!Q552&lt;&gt;"",'Дивиденды по годам'!I552&lt;&gt;"",'Дивиденды по годам'!V552&lt;&gt;"",('Дивиденды по годам'!I552+'Дивиденды по годам'!V552)&lt;&gt;0),'Дивиденды по годам'!Q552/(('Дивиденды по годам'!I552+'Дивиденды по годам'!V552)/2),""),"")</f>
        <v/>
      </c>
      <c r="U552">
        <f>IFERROR(IF(AND('Дивиденды по годам'!J552&lt;&gt;"",'Дивиденды по годам'!K552&lt;&gt;"",'Дивиденды по годам'!M552&lt;&gt;"",'Дивиденды по годам'!M552&lt;&gt;0),('Дивиденды по годам'!J552+'Дивиденды по годам'!K552)/'Дивиденды по годам'!M552,""),"")</f>
        <v>-37.847259974226844</v>
      </c>
      <c r="V552">
        <f>IFERROR(IF(AND('Дивиденды по годам'!J552&lt;&gt;"",'Дивиденды по годам'!K552&lt;&gt;"",'Дивиденды по годам'!M552&lt;&gt;"",'Дивиденды по годам'!I552&lt;&gt;0),('Дивиденды по годам'!J552+'Дивиденды по годам'!K552)/'Дивиденды по годам'!I552,""),"")</f>
        <v>1.0271390600196448</v>
      </c>
      <c r="W552">
        <f>IFERROR('Дивиденды по годам'!I552,"")</f>
        <v>24333083000</v>
      </c>
      <c r="X552" cm="1">
        <f t="array" ref="X552">IFERROR(AVERAGE(_xlfn._xlws.FILTER(P$2:P$1073,($C$2:$C$1073=$C552)*($E$2:$E$1073=$E552)*(ROW(P$2:P$1073)&lt;&gt;ROW(P552))*(P$2:P$1073&lt;&gt;""))),"")</f>
        <v>25.266163520181806</v>
      </c>
      <c r="Y552" cm="1">
        <f t="array" ref="Y552">IFERROR(AVERAGE(_xlfn._xlws.FILTER(Q$2:Q$1073,($C$2:$C$1073=$C552)*($E$2:$E$1073=$E552)*(ROW(Q$2:Q$1073)&lt;&gt;ROW(Q552))*(Q$2:Q$1073&lt;&gt;""))),"")</f>
        <v>0.30465616098007986</v>
      </c>
      <c r="Z552" cm="1">
        <f t="array" ref="Z552">IFERROR(AVERAGE(_xlfn._xlws.FILTER(R$2:R$1073,($C$2:$C$1073=$C552)*($E$2:$E$1073=$E552)*(ROW(R$2:R$1073)&lt;&gt;ROW(R552))*(R$2:R$1073&lt;&gt;""))),"")</f>
        <v>0.41255485917491075</v>
      </c>
      <c r="AA552" cm="1">
        <f t="array" ref="AA552">IFERROR(AVERAGE(_xlfn._xlws.FILTER(S$2:S$1073,($C$2:$C$1073=$C552)*($E$2:$E$1073=$E552)*(ROW(S$2:S$1073)&lt;&gt;ROW(S552))*(S$2:S$1073&lt;&gt;""))),"")</f>
        <v>0.88320233519466185</v>
      </c>
      <c r="AB552" cm="1">
        <f t="array" ref="AB552">IFERROR(AVERAGE(_xlfn._xlws.FILTER(T$2:T$1073,($C$2:$C$1073=$C552)*($E$2:$E$1073=$E552)*(ROW(T$2:T$1073)&lt;&gt;ROW(T552))*(T$2:T$1073&lt;&gt;""))),"")</f>
        <v>4.8479450567785541E-2</v>
      </c>
      <c r="AC552" cm="1">
        <f t="array" ref="AC552">IFERROR(AVERAGE(_xlfn._xlws.FILTER(U$2:U$1073,($C$2:$C$1073=$C552)*($E$2:$E$1073=$E552)*(ROW(U$2:U$1073)&lt;&gt;ROW(U552))*(U$2:U$1073&lt;&gt;""))),"")</f>
        <v>1.7560461540669152</v>
      </c>
      <c r="AD552" cm="1">
        <f t="array" ref="AD552">IFERROR(AVERAGE(_xlfn._xlws.FILTER(V$2:V$1073,($C$2:$C$1073=$C552)*($E$2:$E$1073=$E552)*(ROW(V$2:V$1073)&lt;&gt;ROW(V552))*(V$2:V$1073&lt;&gt;""))),"")</f>
        <v>0.78667274655076602</v>
      </c>
      <c r="AE552">
        <f>IF('Дивиденды по годам'!M552&lt;0,1,0)</f>
        <v>1</v>
      </c>
    </row>
    <row r="553" spans="1:31" x14ac:dyDescent="0.2">
      <c r="A553" s="7" t="s">
        <v>2249</v>
      </c>
      <c r="B553" t="str">
        <f t="shared" si="88"/>
        <v>EUTR IV кв. 2018</v>
      </c>
      <c r="C553">
        <v>2018</v>
      </c>
      <c r="D553">
        <f>SUMIFS(Дивиденды!$C:$C,Дивиденды!$A:$A,A553,Дивиденды!$I:$I,C553)</f>
        <v>0</v>
      </c>
      <c r="E553">
        <v>4</v>
      </c>
      <c r="F553">
        <f t="shared" si="89"/>
        <v>0</v>
      </c>
      <c r="G553">
        <f t="shared" si="90"/>
        <v>21.978571428571428</v>
      </c>
      <c r="H553">
        <f t="shared" si="91"/>
        <v>0</v>
      </c>
      <c r="I553">
        <f t="shared" si="92"/>
        <v>0.14285714285714285</v>
      </c>
      <c r="J553">
        <f t="shared" si="93"/>
        <v>0</v>
      </c>
      <c r="K553">
        <f t="shared" si="98"/>
        <v>-1.8223065562117002E-2</v>
      </c>
      <c r="L553">
        <f t="shared" si="94"/>
        <v>0</v>
      </c>
      <c r="M553">
        <f t="shared" si="95"/>
        <v>7.1428571428571425E-2</v>
      </c>
      <c r="N553">
        <f t="shared" si="96"/>
        <v>0</v>
      </c>
      <c r="O553">
        <f t="shared" si="97"/>
        <v>7.1428571428571425E-2</v>
      </c>
      <c r="P553" t="str">
        <f>IFERROR(LN('Дивиденды по годам'!I553),"")</f>
        <v/>
      </c>
      <c r="Q553" t="str">
        <f>IFERROR('Дивиденды по годам'!G553/'Дивиденды по годам'!I553, "")</f>
        <v/>
      </c>
      <c r="R553" t="str">
        <f>IFERROR(IF(AND('Дивиденды по годам'!N553&lt;&gt;"",'Дивиденды по годам'!U553&lt;&gt;"",'Дивиденды по годам'!U553&lt;&gt;0),'Дивиденды по годам'!N553/'Дивиденды по годам'!U553-1,""),"")</f>
        <v/>
      </c>
      <c r="S553" t="str">
        <f>IFERROR(IF(AND('Дивиденды по годам'!L553&lt;&gt;"",'Дивиденды по годам'!I553&lt;&gt;"",'Дивиденды по годам'!J553&lt;&gt;"",'Дивиденды по годам'!K553&lt;&gt;"",('Дивиденды по годам'!I553-'Дивиденды по годам'!J553-'Дивиденды по годам'!K553)&lt;&gt;0),'Дивиденды по годам'!L553/('Дивиденды по годам'!I553-'Дивиденды по годам'!J553-'Дивиденды по годам'!K553),""),"")</f>
        <v/>
      </c>
      <c r="T553" t="str">
        <f>IFERROR(IF(AND('Дивиденды по годам'!Q553&lt;&gt;"",'Дивиденды по годам'!I553&lt;&gt;"",'Дивиденды по годам'!V553&lt;&gt;"",('Дивиденды по годам'!I553+'Дивиденды по годам'!V553)&lt;&gt;0),'Дивиденды по годам'!Q553/(('Дивиденды по годам'!I553+'Дивиденды по годам'!V553)/2),""),"")</f>
        <v/>
      </c>
      <c r="U553" t="str">
        <f>IFERROR(IF(AND('Дивиденды по годам'!J553&lt;&gt;"",'Дивиденды по годам'!K553&lt;&gt;"",'Дивиденды по годам'!M553&lt;&gt;"",'Дивиденды по годам'!M553&lt;&gt;0),('Дивиденды по годам'!J553+'Дивиденды по годам'!K553)/'Дивиденды по годам'!M553,""),"")</f>
        <v/>
      </c>
      <c r="V553" t="str">
        <f>IFERROR(IF(AND('Дивиденды по годам'!J553&lt;&gt;"",'Дивиденды по годам'!K553&lt;&gt;"",'Дивиденды по годам'!M553&lt;&gt;"",'Дивиденды по годам'!I553&lt;&gt;0),('Дивиденды по годам'!J553+'Дивиденды по годам'!K553)/'Дивиденды по годам'!I553,""),"")</f>
        <v/>
      </c>
      <c r="W553" t="str">
        <f>IFERROR('Дивиденды по годам'!I553,"")</f>
        <v/>
      </c>
      <c r="X553" cm="1">
        <f t="array" ref="X553">IFERROR(AVERAGE(_xlfn._xlws.FILTER(P$2:P$1073,($C$2:$C$1073=$C553)*($E$2:$E$1073=$E553)*(ROW(P$2:P$1073)&lt;&gt;ROW(P553))*(P$2:P$1073&lt;&gt;""))),"")</f>
        <v>24.908270704496481</v>
      </c>
      <c r="Y553" cm="1">
        <f t="array" ref="Y553">IFERROR(AVERAGE(_xlfn._xlws.FILTER(Q$2:Q$1073,($C$2:$C$1073=$C553)*($E$2:$E$1073=$E553)*(ROW(Q$2:Q$1073)&lt;&gt;ROW(Q553))*(Q$2:Q$1073&lt;&gt;""))),"")</f>
        <v>0.31629947227527405</v>
      </c>
      <c r="Z553" cm="1">
        <f t="array" ref="Z553">IFERROR(AVERAGE(_xlfn._xlws.FILTER(R$2:R$1073,($C$2:$C$1073=$C553)*($E$2:$E$1073=$E553)*(ROW(R$2:R$1073)&lt;&gt;ROW(R553))*(R$2:R$1073&lt;&gt;""))),"")</f>
        <v>5.6638288450543382E-2</v>
      </c>
      <c r="AA553" cm="1">
        <f t="array" ref="AA553">IFERROR(AVERAGE(_xlfn._xlws.FILTER(S$2:S$1073,($C$2:$C$1073=$C553)*($E$2:$E$1073=$E553)*(ROW(S$2:S$1073)&lt;&gt;ROW(S553))*(S$2:S$1073&lt;&gt;""))),"")</f>
        <v>0.64427650310006845</v>
      </c>
      <c r="AB553" cm="1">
        <f t="array" ref="AB553">IFERROR(AVERAGE(_xlfn._xlws.FILTER(T$2:T$1073,($C$2:$C$1073=$C553)*($E$2:$E$1073=$E553)*(ROW(T$2:T$1073)&lt;&gt;ROW(T553))*(T$2:T$1073&lt;&gt;""))),"")</f>
        <v>7.1418821660913928E-3</v>
      </c>
      <c r="AC553" cm="1">
        <f t="array" ref="AC553">IFERROR(AVERAGE(_xlfn._xlws.FILTER(U$2:U$1073,($C$2:$C$1073=$C553)*($E$2:$E$1073=$E553)*(ROW(U$2:U$1073)&lt;&gt;ROW(U553))*(U$2:U$1073&lt;&gt;""))),"")</f>
        <v>1.0767813683356515</v>
      </c>
      <c r="AD553" cm="1">
        <f t="array" ref="AD553">IFERROR(AVERAGE(_xlfn._xlws.FILTER(V$2:V$1073,($C$2:$C$1073=$C553)*($E$2:$E$1073=$E553)*(ROW(V$2:V$1073)&lt;&gt;ROW(V553))*(V$2:V$1073&lt;&gt;""))),"")</f>
        <v>0.81626365949041058</v>
      </c>
      <c r="AE553">
        <f>IF('Дивиденды по годам'!M553&lt;0,1,0)</f>
        <v>0</v>
      </c>
    </row>
    <row r="554" spans="1:31" x14ac:dyDescent="0.2">
      <c r="A554" s="7" t="s">
        <v>2249</v>
      </c>
      <c r="B554" t="str">
        <f t="shared" si="88"/>
        <v>EUTR IV кв. 2017</v>
      </c>
      <c r="C554">
        <v>2017</v>
      </c>
      <c r="D554">
        <f>SUMIFS(Дивиденды!$C:$C,Дивиденды!$A:$A,A554,Дивиденды!$I:$I,C554)</f>
        <v>0</v>
      </c>
      <c r="E554">
        <v>4</v>
      </c>
      <c r="F554">
        <f t="shared" si="89"/>
        <v>0</v>
      </c>
      <c r="G554">
        <f t="shared" si="90"/>
        <v>18.403571428571428</v>
      </c>
      <c r="H554">
        <f t="shared" si="91"/>
        <v>0</v>
      </c>
      <c r="I554">
        <f t="shared" si="92"/>
        <v>0.14285714285714285</v>
      </c>
      <c r="J554">
        <f t="shared" si="93"/>
        <v>0</v>
      </c>
      <c r="K554">
        <f t="shared" si="98"/>
        <v>-1.7352821773673279E-2</v>
      </c>
      <c r="L554">
        <f t="shared" si="94"/>
        <v>0</v>
      </c>
      <c r="M554">
        <f t="shared" si="95"/>
        <v>0</v>
      </c>
      <c r="N554">
        <f t="shared" si="96"/>
        <v>0</v>
      </c>
      <c r="O554">
        <f t="shared" si="97"/>
        <v>0.14285714285714285</v>
      </c>
      <c r="P554" t="str">
        <f>IFERROR(LN('Дивиденды по годам'!I554),"")</f>
        <v/>
      </c>
      <c r="Q554" t="str">
        <f>IFERROR('Дивиденды по годам'!G554/'Дивиденды по годам'!I554, "")</f>
        <v/>
      </c>
      <c r="R554" t="str">
        <f>IFERROR(IF(AND('Дивиденды по годам'!N554&lt;&gt;"",'Дивиденды по годам'!U554&lt;&gt;"",'Дивиденды по годам'!U554&lt;&gt;0),'Дивиденды по годам'!N554/'Дивиденды по годам'!U554-1,""),"")</f>
        <v/>
      </c>
      <c r="S554" t="str">
        <f>IFERROR(IF(AND('Дивиденды по годам'!L554&lt;&gt;"",'Дивиденды по годам'!I554&lt;&gt;"",'Дивиденды по годам'!J554&lt;&gt;"",'Дивиденды по годам'!K554&lt;&gt;"",('Дивиденды по годам'!I554-'Дивиденды по годам'!J554-'Дивиденды по годам'!K554)&lt;&gt;0),'Дивиденды по годам'!L554/('Дивиденды по годам'!I554-'Дивиденды по годам'!J554-'Дивиденды по годам'!K554),""),"")</f>
        <v/>
      </c>
      <c r="T554" t="str">
        <f>IFERROR(IF(AND('Дивиденды по годам'!Q554&lt;&gt;"",'Дивиденды по годам'!I554&lt;&gt;"",'Дивиденды по годам'!V554&lt;&gt;"",('Дивиденды по годам'!I554+'Дивиденды по годам'!V554)&lt;&gt;0),'Дивиденды по годам'!Q554/(('Дивиденды по годам'!I554+'Дивиденды по годам'!V554)/2),""),"")</f>
        <v/>
      </c>
      <c r="U554" t="str">
        <f>IFERROR(IF(AND('Дивиденды по годам'!J554&lt;&gt;"",'Дивиденды по годам'!K554&lt;&gt;"",'Дивиденды по годам'!M554&lt;&gt;"",'Дивиденды по годам'!M554&lt;&gt;0),('Дивиденды по годам'!J554+'Дивиденды по годам'!K554)/'Дивиденды по годам'!M554,""),"")</f>
        <v/>
      </c>
      <c r="V554" t="str">
        <f>IFERROR(IF(AND('Дивиденды по годам'!J554&lt;&gt;"",'Дивиденды по годам'!K554&lt;&gt;"",'Дивиденды по годам'!M554&lt;&gt;"",'Дивиденды по годам'!I554&lt;&gt;0),('Дивиденды по годам'!J554+'Дивиденды по годам'!K554)/'Дивиденды по годам'!I554,""),"")</f>
        <v/>
      </c>
      <c r="W554" t="str">
        <f>IFERROR('Дивиденды по годам'!I554,"")</f>
        <v/>
      </c>
      <c r="X554" cm="1">
        <f t="array" ref="X554">IFERROR(AVERAGE(_xlfn._xlws.FILTER(P$2:P$1073,($C$2:$C$1073=$C554)*($E$2:$E$1073=$E554)*(ROW(P$2:P$1073)&lt;&gt;ROW(P554))*(P$2:P$1073&lt;&gt;""))),"")</f>
        <v>24.73571056544559</v>
      </c>
      <c r="Y554" cm="1">
        <f t="array" ref="Y554">IFERROR(AVERAGE(_xlfn._xlws.FILTER(Q$2:Q$1073,($C$2:$C$1073=$C554)*($E$2:$E$1073=$E554)*(ROW(Q$2:Q$1073)&lt;&gt;ROW(Q554))*(Q$2:Q$1073&lt;&gt;""))),"")</f>
        <v>0.33981210980429821</v>
      </c>
      <c r="Z554" cm="1">
        <f t="array" ref="Z554">IFERROR(AVERAGE(_xlfn._xlws.FILTER(R$2:R$1073,($C$2:$C$1073=$C554)*($E$2:$E$1073=$E554)*(ROW(R$2:R$1073)&lt;&gt;ROW(R554))*(R$2:R$1073&lt;&gt;""))),"")</f>
        <v>0.23691718521625563</v>
      </c>
      <c r="AA554" cm="1">
        <f t="array" ref="AA554">IFERROR(AVERAGE(_xlfn._xlws.FILTER(S$2:S$1073,($C$2:$C$1073=$C554)*($E$2:$E$1073=$E554)*(ROW(S$2:S$1073)&lt;&gt;ROW(S554))*(S$2:S$1073&lt;&gt;""))),"")</f>
        <v>0.61774629406594017</v>
      </c>
      <c r="AB554" cm="1">
        <f t="array" ref="AB554">IFERROR(AVERAGE(_xlfn._xlws.FILTER(T$2:T$1073,($C$2:$C$1073=$C554)*($E$2:$E$1073=$E554)*(ROW(T$2:T$1073)&lt;&gt;ROW(T554))*(T$2:T$1073&lt;&gt;""))),"")</f>
        <v>-2.7044382152168867E-2</v>
      </c>
      <c r="AC554" cm="1">
        <f t="array" ref="AC554">IFERROR(AVERAGE(_xlfn._xlws.FILTER(U$2:U$1073,($C$2:$C$1073=$C554)*($E$2:$E$1073=$E554)*(ROW(U$2:U$1073)&lt;&gt;ROW(U554))*(U$2:U$1073&lt;&gt;""))),"")</f>
        <v>0.62620703107195774</v>
      </c>
      <c r="AD554" cm="1">
        <f t="array" ref="AD554">IFERROR(AVERAGE(_xlfn._xlws.FILTER(V$2:V$1073,($C$2:$C$1073=$C554)*($E$2:$E$1073=$E554)*(ROW(V$2:V$1073)&lt;&gt;ROW(V554))*(V$2:V$1073&lt;&gt;""))),"")</f>
        <v>0.66654193671015471</v>
      </c>
      <c r="AE554">
        <f>IF('Дивиденды по годам'!M554&lt;0,1,0)</f>
        <v>0</v>
      </c>
    </row>
    <row r="555" spans="1:31" x14ac:dyDescent="0.2">
      <c r="A555" s="7" t="s">
        <v>2249</v>
      </c>
      <c r="B555" t="str">
        <f t="shared" si="88"/>
        <v>EUTR IV кв. 2016</v>
      </c>
      <c r="C555">
        <v>2016</v>
      </c>
      <c r="D555">
        <f>SUMIFS(Дивиденды!$C:$C,Дивиденды!$A:$A,A555,Дивиденды!$I:$I,C555)</f>
        <v>0</v>
      </c>
      <c r="E555">
        <v>4</v>
      </c>
      <c r="F555">
        <f t="shared" si="89"/>
        <v>0</v>
      </c>
      <c r="G555">
        <f t="shared" si="90"/>
        <v>20.421428571428571</v>
      </c>
      <c r="H555">
        <f t="shared" si="91"/>
        <v>0</v>
      </c>
      <c r="I555">
        <f t="shared" si="92"/>
        <v>0.14285714285714285</v>
      </c>
      <c r="J555">
        <f t="shared" si="93"/>
        <v>0</v>
      </c>
      <c r="K555">
        <f t="shared" si="98"/>
        <v>2.0593461763560781E-2</v>
      </c>
      <c r="L555">
        <f t="shared" si="94"/>
        <v>0</v>
      </c>
      <c r="M555">
        <f t="shared" si="95"/>
        <v>7.1428571428571425E-2</v>
      </c>
      <c r="N555">
        <f t="shared" si="96"/>
        <v>0</v>
      </c>
      <c r="O555">
        <f t="shared" si="97"/>
        <v>7.1428571428571425E-2</v>
      </c>
      <c r="P555" t="str">
        <f>IFERROR(LN('Дивиденды по годам'!I555),"")</f>
        <v/>
      </c>
      <c r="Q555" t="str">
        <f>IFERROR('Дивиденды по годам'!G555/'Дивиденды по годам'!I555, "")</f>
        <v/>
      </c>
      <c r="R555" t="str">
        <f>IFERROR(IF(AND('Дивиденды по годам'!N555&lt;&gt;"",'Дивиденды по годам'!U555&lt;&gt;"",'Дивиденды по годам'!U555&lt;&gt;0),'Дивиденды по годам'!N555/'Дивиденды по годам'!U555-1,""),"")</f>
        <v/>
      </c>
      <c r="S555" t="str">
        <f>IFERROR(IF(AND('Дивиденды по годам'!L555&lt;&gt;"",'Дивиденды по годам'!I555&lt;&gt;"",'Дивиденды по годам'!J555&lt;&gt;"",'Дивиденды по годам'!K555&lt;&gt;"",('Дивиденды по годам'!I555-'Дивиденды по годам'!J555-'Дивиденды по годам'!K555)&lt;&gt;0),'Дивиденды по годам'!L555/('Дивиденды по годам'!I555-'Дивиденды по годам'!J555-'Дивиденды по годам'!K555),""),"")</f>
        <v/>
      </c>
      <c r="T555" t="str">
        <f>IFERROR(IF(AND('Дивиденды по годам'!Q555&lt;&gt;"",'Дивиденды по годам'!I555&lt;&gt;"",'Дивиденды по годам'!V555&lt;&gt;"",('Дивиденды по годам'!I555+'Дивиденды по годам'!V555)&lt;&gt;0),'Дивиденды по годам'!Q555/(('Дивиденды по годам'!I555+'Дивиденды по годам'!V555)/2),""),"")</f>
        <v/>
      </c>
      <c r="U555" t="str">
        <f>IFERROR(IF(AND('Дивиденды по годам'!J555&lt;&gt;"",'Дивиденды по годам'!K555&lt;&gt;"",'Дивиденды по годам'!M555&lt;&gt;"",'Дивиденды по годам'!M555&lt;&gt;0),('Дивиденды по годам'!J555+'Дивиденды по годам'!K555)/'Дивиденды по годам'!M555,""),"")</f>
        <v/>
      </c>
      <c r="V555" t="str">
        <f>IFERROR(IF(AND('Дивиденды по годам'!J555&lt;&gt;"",'Дивиденды по годам'!K555&lt;&gt;"",'Дивиденды по годам'!M555&lt;&gt;"",'Дивиденды по годам'!I555&lt;&gt;0),('Дивиденды по годам'!J555+'Дивиденды по годам'!K555)/'Дивиденды по годам'!I555,""),"")</f>
        <v/>
      </c>
      <c r="W555" t="str">
        <f>IFERROR('Дивиденды по годам'!I555,"")</f>
        <v/>
      </c>
      <c r="X555" cm="1">
        <f t="array" ref="X555">IFERROR(AVERAGE(_xlfn._xlws.FILTER(P$2:P$1073,($C$2:$C$1073=$C555)*($E$2:$E$1073=$E555)*(ROW(P$2:P$1073)&lt;&gt;ROW(P555))*(P$2:P$1073&lt;&gt;""))),"")</f>
        <v>24.55530958635584</v>
      </c>
      <c r="Y555" cm="1">
        <f t="array" ref="Y555">IFERROR(AVERAGE(_xlfn._xlws.FILTER(Q$2:Q$1073,($C$2:$C$1073=$C555)*($E$2:$E$1073=$E555)*(ROW(Q$2:Q$1073)&lt;&gt;ROW(Q555))*(Q$2:Q$1073&lt;&gt;""))),"")</f>
        <v>0.27878606899788128</v>
      </c>
      <c r="Z555" cm="1">
        <f t="array" ref="Z555">IFERROR(AVERAGE(_xlfn._xlws.FILTER(R$2:R$1073,($C$2:$C$1073=$C555)*($E$2:$E$1073=$E555)*(ROW(R$2:R$1073)&lt;&gt;ROW(R555))*(R$2:R$1073&lt;&gt;""))),"")</f>
        <v>0.16612325919082049</v>
      </c>
      <c r="AA555" cm="1">
        <f t="array" ref="AA555">IFERROR(AVERAGE(_xlfn._xlws.FILTER(S$2:S$1073,($C$2:$C$1073=$C555)*($E$2:$E$1073=$E555)*(ROW(S$2:S$1073)&lt;&gt;ROW(S555))*(S$2:S$1073&lt;&gt;""))),"")</f>
        <v>6.2178681719613929</v>
      </c>
      <c r="AB555" cm="1">
        <f t="array" ref="AB555">IFERROR(AVERAGE(_xlfn._xlws.FILTER(T$2:T$1073,($C$2:$C$1073=$C555)*($E$2:$E$1073=$E555)*(ROW(T$2:T$1073)&lt;&gt;ROW(T555))*(T$2:T$1073&lt;&gt;""))),"")</f>
        <v>-2.007011623977166E-2</v>
      </c>
      <c r="AC555" cm="1">
        <f t="array" ref="AC555">IFERROR(AVERAGE(_xlfn._xlws.FILTER(U$2:U$1073,($C$2:$C$1073=$C555)*($E$2:$E$1073=$E555)*(ROW(U$2:U$1073)&lt;&gt;ROW(U555))*(U$2:U$1073&lt;&gt;""))),"")</f>
        <v>-16.044507701133888</v>
      </c>
      <c r="AD555" cm="1">
        <f t="array" ref="AD555">IFERROR(AVERAGE(_xlfn._xlws.FILTER(V$2:V$1073,($C$2:$C$1073=$C555)*($E$2:$E$1073=$E555)*(ROW(V$2:V$1073)&lt;&gt;ROW(V555))*(V$2:V$1073&lt;&gt;""))),"")</f>
        <v>0.64687882816141706</v>
      </c>
      <c r="AE555">
        <f>IF('Дивиденды по годам'!M555&lt;0,1,0)</f>
        <v>0</v>
      </c>
    </row>
    <row r="556" spans="1:31" x14ac:dyDescent="0.2">
      <c r="A556" s="7" t="s">
        <v>2249</v>
      </c>
      <c r="B556" t="str">
        <f t="shared" si="88"/>
        <v>EUTR IV кв. 2015</v>
      </c>
      <c r="C556">
        <v>2015</v>
      </c>
      <c r="D556">
        <f>SUMIFS(Дивиденды!$C:$C,Дивиденды!$A:$A,A556,Дивиденды!$I:$I,C556)</f>
        <v>0</v>
      </c>
      <c r="E556">
        <v>4</v>
      </c>
      <c r="F556">
        <f t="shared" si="89"/>
        <v>0</v>
      </c>
      <c r="G556">
        <f t="shared" si="90"/>
        <v>22.574999999999999</v>
      </c>
      <c r="H556">
        <f t="shared" si="91"/>
        <v>0</v>
      </c>
      <c r="I556">
        <f t="shared" si="92"/>
        <v>0.14285714285714285</v>
      </c>
      <c r="J556">
        <f t="shared" si="93"/>
        <v>0</v>
      </c>
      <c r="K556">
        <f t="shared" si="98"/>
        <v>6.1102189263868886E-2</v>
      </c>
      <c r="L556">
        <f t="shared" si="94"/>
        <v>0</v>
      </c>
      <c r="M556">
        <f t="shared" si="95"/>
        <v>7.1428571428571425E-2</v>
      </c>
      <c r="N556">
        <f t="shared" si="96"/>
        <v>0</v>
      </c>
      <c r="O556">
        <f t="shared" si="97"/>
        <v>7.1428571428571425E-2</v>
      </c>
      <c r="P556" t="str">
        <f>IFERROR(LN('Дивиденды по годам'!I556),"")</f>
        <v/>
      </c>
      <c r="Q556" t="str">
        <f>IFERROR('Дивиденды по годам'!G556/'Дивиденды по годам'!I556, "")</f>
        <v/>
      </c>
      <c r="R556" t="str">
        <f>IFERROR(IF(AND('Дивиденды по годам'!N556&lt;&gt;"",'Дивиденды по годам'!U556&lt;&gt;"",'Дивиденды по годам'!U556&lt;&gt;0),'Дивиденды по годам'!N556/'Дивиденды по годам'!U556-1,""),"")</f>
        <v/>
      </c>
      <c r="S556" t="str">
        <f>IFERROR(IF(AND('Дивиденды по годам'!L556&lt;&gt;"",'Дивиденды по годам'!I556&lt;&gt;"",'Дивиденды по годам'!J556&lt;&gt;"",'Дивиденды по годам'!K556&lt;&gt;"",('Дивиденды по годам'!I556-'Дивиденды по годам'!J556-'Дивиденды по годам'!K556)&lt;&gt;0),'Дивиденды по годам'!L556/('Дивиденды по годам'!I556-'Дивиденды по годам'!J556-'Дивиденды по годам'!K556),""),"")</f>
        <v/>
      </c>
      <c r="T556" t="str">
        <f>IFERROR(IF(AND('Дивиденды по годам'!Q556&lt;&gt;"",'Дивиденды по годам'!I556&lt;&gt;"",'Дивиденды по годам'!V556&lt;&gt;"",('Дивиденды по годам'!I556+'Дивиденды по годам'!V556)&lt;&gt;0),'Дивиденды по годам'!Q556/(('Дивиденды по годам'!I556+'Дивиденды по годам'!V556)/2),""),"")</f>
        <v/>
      </c>
      <c r="U556" t="str">
        <f>IFERROR(IF(AND('Дивиденды по годам'!J556&lt;&gt;"",'Дивиденды по годам'!K556&lt;&gt;"",'Дивиденды по годам'!M556&lt;&gt;"",'Дивиденды по годам'!M556&lt;&gt;0),('Дивиденды по годам'!J556+'Дивиденды по годам'!K556)/'Дивиденды по годам'!M556,""),"")</f>
        <v/>
      </c>
      <c r="V556" t="str">
        <f>IFERROR(IF(AND('Дивиденды по годам'!J556&lt;&gt;"",'Дивиденды по годам'!K556&lt;&gt;"",'Дивиденды по годам'!M556&lt;&gt;"",'Дивиденды по годам'!I556&lt;&gt;0),('Дивиденды по годам'!J556+'Дивиденды по годам'!K556)/'Дивиденды по годам'!I556,""),"")</f>
        <v/>
      </c>
      <c r="W556" t="str">
        <f>IFERROR('Дивиденды по годам'!I556,"")</f>
        <v/>
      </c>
      <c r="X556" cm="1">
        <f t="array" ref="X556">IFERROR(AVERAGE(_xlfn._xlws.FILTER(P$2:P$1073,($C$2:$C$1073=$C556)*($E$2:$E$1073=$E556)*(ROW(P$2:P$1073)&lt;&gt;ROW(P556))*(P$2:P$1073&lt;&gt;""))),"")</f>
        <v>24.784857390248948</v>
      </c>
      <c r="Y556" cm="1">
        <f t="array" ref="Y556">IFERROR(AVERAGE(_xlfn._xlws.FILTER(Q$2:Q$1073,($C$2:$C$1073=$C556)*($E$2:$E$1073=$E556)*(ROW(Q$2:Q$1073)&lt;&gt;ROW(Q556))*(Q$2:Q$1073&lt;&gt;""))),"")</f>
        <v>0.29707306985497267</v>
      </c>
      <c r="Z556" cm="1">
        <f t="array" ref="Z556">IFERROR(AVERAGE(_xlfn._xlws.FILTER(R$2:R$1073,($C$2:$C$1073=$C556)*($E$2:$E$1073=$E556)*(ROW(R$2:R$1073)&lt;&gt;ROW(R556))*(R$2:R$1073&lt;&gt;""))),"")</f>
        <v>0.20074687596566593</v>
      </c>
      <c r="AA556" cm="1">
        <f t="array" ref="AA556">IFERROR(AVERAGE(_xlfn._xlws.FILTER(S$2:S$1073,($C$2:$C$1073=$C556)*($E$2:$E$1073=$E556)*(ROW(S$2:S$1073)&lt;&gt;ROW(S556))*(S$2:S$1073&lt;&gt;""))),"")</f>
        <v>-0.60736862679830428</v>
      </c>
      <c r="AB556" cm="1">
        <f t="array" ref="AB556">IFERROR(AVERAGE(_xlfn._xlws.FILTER(T$2:T$1073,($C$2:$C$1073=$C556)*($E$2:$E$1073=$E556)*(ROW(T$2:T$1073)&lt;&gt;ROW(T556))*(T$2:T$1073&lt;&gt;""))),"")</f>
        <v>6.4031956193225284E-2</v>
      </c>
      <c r="AC556" cm="1">
        <f t="array" ref="AC556">IFERROR(AVERAGE(_xlfn._xlws.FILTER(U$2:U$1073,($C$2:$C$1073=$C556)*($E$2:$E$1073=$E556)*(ROW(U$2:U$1073)&lt;&gt;ROW(U556))*(U$2:U$1073&lt;&gt;""))),"")</f>
        <v>5.5189604575277329</v>
      </c>
      <c r="AD556" cm="1">
        <f t="array" ref="AD556">IFERROR(AVERAGE(_xlfn._xlws.FILTER(V$2:V$1073,($C$2:$C$1073=$C556)*($E$2:$E$1073=$E556)*(ROW(V$2:V$1073)&lt;&gt;ROW(V556))*(V$2:V$1073&lt;&gt;""))),"")</f>
        <v>0.63096522939864874</v>
      </c>
      <c r="AE556">
        <f>IF('Дивиденды по годам'!M556&lt;0,1,0)</f>
        <v>0</v>
      </c>
    </row>
    <row r="557" spans="1:31" x14ac:dyDescent="0.2">
      <c r="A557" s="7" t="s">
        <v>2249</v>
      </c>
      <c r="B557" t="str">
        <f t="shared" si="88"/>
        <v>EUTR IV кв. 2014</v>
      </c>
      <c r="C557">
        <v>2014</v>
      </c>
      <c r="D557">
        <f>SUMIFS(Дивиденды!$C:$C,Дивиденды!$A:$A,A557,Дивиденды!$I:$I,C557)</f>
        <v>0</v>
      </c>
      <c r="E557">
        <v>4</v>
      </c>
      <c r="F557">
        <f t="shared" si="89"/>
        <v>0</v>
      </c>
      <c r="G557">
        <f t="shared" si="90"/>
        <v>25.924285714285713</v>
      </c>
      <c r="H557">
        <f t="shared" si="91"/>
        <v>0</v>
      </c>
      <c r="I557">
        <f t="shared" si="92"/>
        <v>7.1428571428571425E-2</v>
      </c>
      <c r="J557">
        <f t="shared" si="93"/>
        <v>0</v>
      </c>
      <c r="K557">
        <f t="shared" si="98"/>
        <v>4.887635107293415E-2</v>
      </c>
      <c r="L557">
        <f t="shared" si="94"/>
        <v>0</v>
      </c>
      <c r="M557">
        <f t="shared" si="95"/>
        <v>7.1428571428571425E-2</v>
      </c>
      <c r="N557">
        <f t="shared" si="96"/>
        <v>0</v>
      </c>
      <c r="O557">
        <f t="shared" si="97"/>
        <v>7.1428571428571425E-2</v>
      </c>
      <c r="P557" t="str">
        <f>IFERROR(LN('Дивиденды по годам'!I557),"")</f>
        <v/>
      </c>
      <c r="Q557" t="str">
        <f>IFERROR('Дивиденды по годам'!G557/'Дивиденды по годам'!I557, "")</f>
        <v/>
      </c>
      <c r="R557" t="str">
        <f>IFERROR(IF(AND('Дивиденды по годам'!N557&lt;&gt;"",'Дивиденды по годам'!U557&lt;&gt;"",'Дивиденды по годам'!U557&lt;&gt;0),'Дивиденды по годам'!N557/'Дивиденды по годам'!U557-1,""),"")</f>
        <v/>
      </c>
      <c r="S557" t="str">
        <f>IFERROR(IF(AND('Дивиденды по годам'!L557&lt;&gt;"",'Дивиденды по годам'!I557&lt;&gt;"",'Дивиденды по годам'!J557&lt;&gt;"",'Дивиденды по годам'!K557&lt;&gt;"",('Дивиденды по годам'!I557-'Дивиденды по годам'!J557-'Дивиденды по годам'!K557)&lt;&gt;0),'Дивиденды по годам'!L557/('Дивиденды по годам'!I557-'Дивиденды по годам'!J557-'Дивиденды по годам'!K557),""),"")</f>
        <v/>
      </c>
      <c r="T557" t="str">
        <f>IFERROR(IF(AND('Дивиденды по годам'!Q557&lt;&gt;"",'Дивиденды по годам'!I557&lt;&gt;"",'Дивиденды по годам'!V557&lt;&gt;"",('Дивиденды по годам'!I557+'Дивиденды по годам'!V557)&lt;&gt;0),'Дивиденды по годам'!Q557/(('Дивиденды по годам'!I557+'Дивиденды по годам'!V557)/2),""),"")</f>
        <v/>
      </c>
      <c r="U557" t="str">
        <f>IFERROR(IF(AND('Дивиденды по годам'!J557&lt;&gt;"",'Дивиденды по годам'!K557&lt;&gt;"",'Дивиденды по годам'!M557&lt;&gt;"",'Дивиденды по годам'!M557&lt;&gt;0),('Дивиденды по годам'!J557+'Дивиденды по годам'!K557)/'Дивиденды по годам'!M557,""),"")</f>
        <v/>
      </c>
      <c r="V557" t="str">
        <f>IFERROR(IF(AND('Дивиденды по годам'!J557&lt;&gt;"",'Дивиденды по годам'!K557&lt;&gt;"",'Дивиденды по годам'!M557&lt;&gt;"",'Дивиденды по годам'!I557&lt;&gt;0),('Дивиденды по годам'!J557+'Дивиденды по годам'!K557)/'Дивиденды по годам'!I557,""),"")</f>
        <v/>
      </c>
      <c r="W557" t="str">
        <f>IFERROR('Дивиденды по годам'!I557,"")</f>
        <v/>
      </c>
      <c r="X557" cm="1">
        <f t="array" ref="X557">IFERROR(AVERAGE(_xlfn._xlws.FILTER(P$2:P$1073,($C$2:$C$1073=$C557)*($E$2:$E$1073=$E557)*(ROW(P$2:P$1073)&lt;&gt;ROW(P557))*(P$2:P$1073&lt;&gt;""))),"")</f>
        <v>24.777851287837404</v>
      </c>
      <c r="Y557" cm="1">
        <f t="array" ref="Y557">IFERROR(AVERAGE(_xlfn._xlws.FILTER(Q$2:Q$1073,($C$2:$C$1073=$C557)*($E$2:$E$1073=$E557)*(ROW(Q$2:Q$1073)&lt;&gt;ROW(Q557))*(Q$2:Q$1073&lt;&gt;""))),"")</f>
        <v>0.28994951624266957</v>
      </c>
      <c r="Z557" cm="1">
        <f t="array" ref="Z557">IFERROR(AVERAGE(_xlfn._xlws.FILTER(R$2:R$1073,($C$2:$C$1073=$C557)*($E$2:$E$1073=$E557)*(ROW(R$2:R$1073)&lt;&gt;ROW(R557))*(R$2:R$1073&lt;&gt;""))),"")</f>
        <v>8.5517195784799244E-2</v>
      </c>
      <c r="AA557" cm="1">
        <f t="array" ref="AA557">IFERROR(AVERAGE(_xlfn._xlws.FILTER(S$2:S$1073,($C$2:$C$1073=$C557)*($E$2:$E$1073=$E557)*(ROW(S$2:S$1073)&lt;&gt;ROW(S557))*(S$2:S$1073&lt;&gt;""))),"")</f>
        <v>-8.9932559622525012</v>
      </c>
      <c r="AB557" cm="1">
        <f t="array" ref="AB557">IFERROR(AVERAGE(_xlfn._xlws.FILTER(T$2:T$1073,($C$2:$C$1073=$C557)*($E$2:$E$1073=$E557)*(ROW(T$2:T$1073)&lt;&gt;ROW(T557))*(T$2:T$1073&lt;&gt;""))),"")</f>
        <v>3.4958573241250623E-2</v>
      </c>
      <c r="AC557" cm="1">
        <f t="array" ref="AC557">IFERROR(AVERAGE(_xlfn._xlws.FILTER(U$2:U$1073,($C$2:$C$1073=$C557)*($E$2:$E$1073=$E557)*(ROW(U$2:U$1073)&lt;&gt;ROW(U557))*(U$2:U$1073&lt;&gt;""))),"")</f>
        <v>34.444280572958768</v>
      </c>
      <c r="AD557" cm="1">
        <f t="array" ref="AD557">IFERROR(AVERAGE(_xlfn._xlws.FILTER(V$2:V$1073,($C$2:$C$1073=$C557)*($E$2:$E$1073=$E557)*(ROW(V$2:V$1073)&lt;&gt;ROW(V557))*(V$2:V$1073&lt;&gt;""))),"")</f>
        <v>0.67440993714043496</v>
      </c>
      <c r="AE557">
        <f>IF('Дивиденды по годам'!M557&lt;0,1,0)</f>
        <v>0</v>
      </c>
    </row>
    <row r="558" spans="1:31" x14ac:dyDescent="0.2">
      <c r="A558" s="7" t="s">
        <v>2249</v>
      </c>
      <c r="B558" t="str">
        <f t="shared" si="88"/>
        <v>EUTR IV кв. 2013</v>
      </c>
      <c r="C558">
        <v>2013</v>
      </c>
      <c r="D558">
        <f>SUMIFS(Дивиденды!$C:$C,Дивиденды!$A:$A,A558,Дивиденды!$I:$I,C558)</f>
        <v>0</v>
      </c>
      <c r="E558">
        <v>4</v>
      </c>
      <c r="F558">
        <f t="shared" si="89"/>
        <v>0</v>
      </c>
      <c r="G558">
        <f t="shared" si="90"/>
        <v>13.409285714285716</v>
      </c>
      <c r="H558">
        <f t="shared" si="91"/>
        <v>0</v>
      </c>
      <c r="I558">
        <f t="shared" si="92"/>
        <v>0.14285714285714285</v>
      </c>
      <c r="J558">
        <f t="shared" si="93"/>
        <v>0</v>
      </c>
      <c r="K558">
        <f t="shared" si="98"/>
        <v>4.7291245939064024E-2</v>
      </c>
      <c r="L558">
        <f t="shared" si="94"/>
        <v>0</v>
      </c>
      <c r="M558">
        <f t="shared" si="95"/>
        <v>7.1428571428571425E-2</v>
      </c>
      <c r="N558">
        <f t="shared" si="96"/>
        <v>0</v>
      </c>
      <c r="O558">
        <f t="shared" si="97"/>
        <v>0</v>
      </c>
      <c r="P558" t="str">
        <f>IFERROR(LN('Дивиденды по годам'!I558),"")</f>
        <v/>
      </c>
      <c r="Q558" t="str">
        <f>IFERROR('Дивиденды по годам'!G558/'Дивиденды по годам'!I558, "")</f>
        <v/>
      </c>
      <c r="R558" t="str">
        <f>IFERROR(IF(AND('Дивиденды по годам'!N558&lt;&gt;"",'Дивиденды по годам'!U558&lt;&gt;"",'Дивиденды по годам'!U558&lt;&gt;0),'Дивиденды по годам'!N558/'Дивиденды по годам'!U558-1,""),"")</f>
        <v/>
      </c>
      <c r="S558" t="str">
        <f>IFERROR(IF(AND('Дивиденды по годам'!L558&lt;&gt;"",'Дивиденды по годам'!I558&lt;&gt;"",'Дивиденды по годам'!J558&lt;&gt;"",'Дивиденды по годам'!K558&lt;&gt;"",('Дивиденды по годам'!I558-'Дивиденды по годам'!J558-'Дивиденды по годам'!K558)&lt;&gt;0),'Дивиденды по годам'!L558/('Дивиденды по годам'!I558-'Дивиденды по годам'!J558-'Дивиденды по годам'!K558),""),"")</f>
        <v/>
      </c>
      <c r="T558" t="str">
        <f>IFERROR(IF(AND('Дивиденды по годам'!Q558&lt;&gt;"",'Дивиденды по годам'!I558&lt;&gt;"",'Дивиденды по годам'!V558&lt;&gt;"",('Дивиденды по годам'!I558+'Дивиденды по годам'!V558)&lt;&gt;0),'Дивиденды по годам'!Q558/(('Дивиденды по годам'!I558+'Дивиденды по годам'!V558)/2),""),"")</f>
        <v/>
      </c>
      <c r="U558" t="str">
        <f>IFERROR(IF(AND('Дивиденды по годам'!J558&lt;&gt;"",'Дивиденды по годам'!K558&lt;&gt;"",'Дивиденды по годам'!M558&lt;&gt;"",'Дивиденды по годам'!M558&lt;&gt;0),('Дивиденды по годам'!J558+'Дивиденды по годам'!K558)/'Дивиденды по годам'!M558,""),"")</f>
        <v/>
      </c>
      <c r="V558" t="str">
        <f>IFERROR(IF(AND('Дивиденды по годам'!J558&lt;&gt;"",'Дивиденды по годам'!K558&lt;&gt;"",'Дивиденды по годам'!M558&lt;&gt;"",'Дивиденды по годам'!I558&lt;&gt;0),('Дивиденды по годам'!J558+'Дивиденды по годам'!K558)/'Дивиденды по годам'!I558,""),"")</f>
        <v/>
      </c>
      <c r="W558" t="str">
        <f>IFERROR('Дивиденды по годам'!I558,"")</f>
        <v/>
      </c>
      <c r="X558" cm="1">
        <f t="array" ref="X558">IFERROR(AVERAGE(_xlfn._xlws.FILTER(P$2:P$1073,($C$2:$C$1073=$C558)*($E$2:$E$1073=$E558)*(ROW(P$2:P$1073)&lt;&gt;ROW(P558))*(P$2:P$1073&lt;&gt;""))),"")</f>
        <v>24.281308125321722</v>
      </c>
      <c r="Y558" cm="1">
        <f t="array" ref="Y558">IFERROR(AVERAGE(_xlfn._xlws.FILTER(Q$2:Q$1073,($C$2:$C$1073=$C558)*($E$2:$E$1073=$E558)*(ROW(Q$2:Q$1073)&lt;&gt;ROW(Q558))*(Q$2:Q$1073&lt;&gt;""))),"")</f>
        <v>0.34809372453666254</v>
      </c>
      <c r="Z558" cm="1">
        <f t="array" ref="Z558">IFERROR(AVERAGE(_xlfn._xlws.FILTER(R$2:R$1073,($C$2:$C$1073=$C558)*($E$2:$E$1073=$E558)*(ROW(R$2:R$1073)&lt;&gt;ROW(R558))*(R$2:R$1073&lt;&gt;""))),"")</f>
        <v>0.17531341667142472</v>
      </c>
      <c r="AA558" t="str" cm="1">
        <f t="array" ref="AA558">IFERROR(AVERAGE(_xlfn._xlws.FILTER(S$2:S$1073,($C$2:$C$1073=$C558)*($E$2:$E$1073=$E558)*(ROW(S$2:S$1073)&lt;&gt;ROW(S558))*(S$2:S$1073&lt;&gt;""))),"")</f>
        <v/>
      </c>
      <c r="AB558" cm="1">
        <f t="array" ref="AB558">IFERROR(AVERAGE(_xlfn._xlws.FILTER(T$2:T$1073,($C$2:$C$1073=$C558)*($E$2:$E$1073=$E558)*(ROW(T$2:T$1073)&lt;&gt;ROW(T558))*(T$2:T$1073&lt;&gt;""))),"")</f>
        <v>-0.12490141563278262</v>
      </c>
      <c r="AC558" cm="1">
        <f t="array" ref="AC558">IFERROR(AVERAGE(_xlfn._xlws.FILTER(U$2:U$1073,($C$2:$C$1073=$C558)*($E$2:$E$1073=$E558)*(ROW(U$2:U$1073)&lt;&gt;ROW(U558))*(U$2:U$1073&lt;&gt;""))),"")</f>
        <v>0.44566877182826042</v>
      </c>
      <c r="AD558" cm="1">
        <f t="array" ref="AD558">IFERROR(AVERAGE(_xlfn._xlws.FILTER(V$2:V$1073,($C$2:$C$1073=$C558)*($E$2:$E$1073=$E558)*(ROW(V$2:V$1073)&lt;&gt;ROW(V558))*(V$2:V$1073&lt;&gt;""))),"")</f>
        <v>1.3322699308491581</v>
      </c>
      <c r="AE558">
        <f>IF('Дивиденды по годам'!M558&lt;0,1,0)</f>
        <v>0</v>
      </c>
    </row>
    <row r="559" spans="1:31" x14ac:dyDescent="0.2">
      <c r="A559" s="7" t="s">
        <v>2249</v>
      </c>
      <c r="B559" t="str">
        <f t="shared" si="88"/>
        <v>EUTR IV кв. 2012</v>
      </c>
      <c r="C559">
        <v>2012</v>
      </c>
      <c r="D559">
        <f>SUMIFS(Дивиденды!$C:$C,Дивиденды!$A:$A,A559,Дивиденды!$I:$I,C559)</f>
        <v>0</v>
      </c>
      <c r="E559">
        <v>4</v>
      </c>
      <c r="F559">
        <f t="shared" si="89"/>
        <v>0</v>
      </c>
      <c r="G559">
        <f t="shared" si="90"/>
        <v>9.5621428571428577</v>
      </c>
      <c r="H559">
        <f t="shared" si="91"/>
        <v>0</v>
      </c>
      <c r="I559">
        <f t="shared" si="92"/>
        <v>0.14285714285714285</v>
      </c>
      <c r="J559">
        <f t="shared" si="93"/>
        <v>0</v>
      </c>
      <c r="K559">
        <f t="shared" si="98"/>
        <v>0.25341100242975517</v>
      </c>
      <c r="L559">
        <f t="shared" si="94"/>
        <v>0</v>
      </c>
      <c r="M559">
        <f t="shared" si="95"/>
        <v>0.14285714285714285</v>
      </c>
      <c r="N559">
        <f t="shared" si="96"/>
        <v>0</v>
      </c>
      <c r="O559">
        <f t="shared" si="97"/>
        <v>0</v>
      </c>
      <c r="P559" t="str">
        <f>IFERROR(LN('Дивиденды по годам'!I559),"")</f>
        <v/>
      </c>
      <c r="Q559" t="str">
        <f>IFERROR('Дивиденды по годам'!G559/'Дивиденды по годам'!I559, "")</f>
        <v/>
      </c>
      <c r="R559" t="str">
        <f>IFERROR(IF(AND('Дивиденды по годам'!N559&lt;&gt;"",'Дивиденды по годам'!U559&lt;&gt;"",'Дивиденды по годам'!U559&lt;&gt;0),'Дивиденды по годам'!N559/'Дивиденды по годам'!U559-1,""),"")</f>
        <v/>
      </c>
      <c r="S559" t="str">
        <f>IFERROR(IF(AND('Дивиденды по годам'!L559&lt;&gt;"",'Дивиденды по годам'!I559&lt;&gt;"",'Дивиденды по годам'!J559&lt;&gt;"",'Дивиденды по годам'!K559&lt;&gt;"",('Дивиденды по годам'!I559-'Дивиденды по годам'!J559-'Дивиденды по годам'!K559)&lt;&gt;0),'Дивиденды по годам'!L559/('Дивиденды по годам'!I559-'Дивиденды по годам'!J559-'Дивиденды по годам'!K559),""),"")</f>
        <v/>
      </c>
      <c r="T559" t="str">
        <f>IFERROR(IF(AND('Дивиденды по годам'!Q559&lt;&gt;"",'Дивиденды по годам'!I559&lt;&gt;"",'Дивиденды по годам'!V559&lt;&gt;"",('Дивиденды по годам'!I559+'Дивиденды по годам'!V559)&lt;&gt;0),'Дивиденды по годам'!Q559/(('Дивиденды по годам'!I559+'Дивиденды по годам'!V559)/2),""),"")</f>
        <v/>
      </c>
      <c r="U559" t="str">
        <f>IFERROR(IF(AND('Дивиденды по годам'!J559&lt;&gt;"",'Дивиденды по годам'!K559&lt;&gt;"",'Дивиденды по годам'!M559&lt;&gt;"",'Дивиденды по годам'!M559&lt;&gt;0),('Дивиденды по годам'!J559+'Дивиденды по годам'!K559)/'Дивиденды по годам'!M559,""),"")</f>
        <v/>
      </c>
      <c r="V559" t="str">
        <f>IFERROR(IF(AND('Дивиденды по годам'!J559&lt;&gt;"",'Дивиденды по годам'!K559&lt;&gt;"",'Дивиденды по годам'!M559&lt;&gt;"",'Дивиденды по годам'!I559&lt;&gt;0),('Дивиденды по годам'!J559+'Дивиденды по годам'!K559)/'Дивиденды по годам'!I559,""),"")</f>
        <v/>
      </c>
      <c r="W559" t="str">
        <f>IFERROR('Дивиденды по годам'!I559,"")</f>
        <v/>
      </c>
      <c r="X559" cm="1">
        <f t="array" ref="X559">IFERROR(AVERAGE(_xlfn._xlws.FILTER(P$2:P$1073,($C$2:$C$1073=$C559)*($E$2:$E$1073=$E559)*(ROW(P$2:P$1073)&lt;&gt;ROW(P559))*(P$2:P$1073&lt;&gt;""))),"")</f>
        <v>24.228370506718147</v>
      </c>
      <c r="Y559" cm="1">
        <f t="array" ref="Y559">IFERROR(AVERAGE(_xlfn._xlws.FILTER(Q$2:Q$1073,($C$2:$C$1073=$C559)*($E$2:$E$1073=$E559)*(ROW(Q$2:Q$1073)&lt;&gt;ROW(Q559))*(Q$2:Q$1073&lt;&gt;""))),"")</f>
        <v>0.2820560824162458</v>
      </c>
      <c r="Z559" cm="1">
        <f t="array" ref="Z559">IFERROR(AVERAGE(_xlfn._xlws.FILTER(R$2:R$1073,($C$2:$C$1073=$C559)*($E$2:$E$1073=$E559)*(ROW(R$2:R$1073)&lt;&gt;ROW(R559))*(R$2:R$1073&lt;&gt;""))),"")</f>
        <v>-2.2522357472477484E-2</v>
      </c>
      <c r="AA559" cm="1">
        <f t="array" ref="AA559">IFERROR(AVERAGE(_xlfn._xlws.FILTER(S$2:S$1073,($C$2:$C$1073=$C559)*($E$2:$E$1073=$E559)*(ROW(S$2:S$1073)&lt;&gt;ROW(S559))*(S$2:S$1073&lt;&gt;""))),"")</f>
        <v>-1.7651061513336963</v>
      </c>
      <c r="AB559" cm="1">
        <f t="array" ref="AB559">IFERROR(AVERAGE(_xlfn._xlws.FILTER(T$2:T$1073,($C$2:$C$1073=$C559)*($E$2:$E$1073=$E559)*(ROW(T$2:T$1073)&lt;&gt;ROW(T559))*(T$2:T$1073&lt;&gt;""))),"")</f>
        <v>6.8400459116201365E-2</v>
      </c>
      <c r="AC559" cm="1">
        <f t="array" ref="AC559">IFERROR(AVERAGE(_xlfn._xlws.FILTER(U$2:U$1073,($C$2:$C$1073=$C559)*($E$2:$E$1073=$E559)*(ROW(U$2:U$1073)&lt;&gt;ROW(U559))*(U$2:U$1073&lt;&gt;""))),"")</f>
        <v>-3.9631898894189463</v>
      </c>
      <c r="AD559" cm="1">
        <f t="array" ref="AD559">IFERROR(AVERAGE(_xlfn._xlws.FILTER(V$2:V$1073,($C$2:$C$1073=$C559)*($E$2:$E$1073=$E559)*(ROW(V$2:V$1073)&lt;&gt;ROW(V559))*(V$2:V$1073&lt;&gt;""))),"")</f>
        <v>0.68524798816116717</v>
      </c>
      <c r="AE559">
        <f>IF('Дивиденды по годам'!M559&lt;0,1,0)</f>
        <v>0</v>
      </c>
    </row>
    <row r="560" spans="1:31" x14ac:dyDescent="0.2">
      <c r="A560" s="7" t="s">
        <v>2249</v>
      </c>
      <c r="B560" t="str">
        <f t="shared" si="88"/>
        <v>EUTR IV кв. 2011</v>
      </c>
      <c r="C560">
        <v>2011</v>
      </c>
      <c r="D560">
        <f>SUMIFS(Дивиденды!$C:$C,Дивиденды!$A:$A,A560,Дивиденды!$I:$I,C560)</f>
        <v>0</v>
      </c>
      <c r="E560">
        <v>4</v>
      </c>
      <c r="F560">
        <f t="shared" si="89"/>
        <v>0</v>
      </c>
      <c r="G560">
        <f t="shared" si="90"/>
        <v>1.6378571428571429</v>
      </c>
      <c r="H560">
        <f t="shared" si="91"/>
        <v>0</v>
      </c>
      <c r="I560">
        <f t="shared" si="92"/>
        <v>7.1428571428571425E-2</v>
      </c>
      <c r="J560">
        <f t="shared" si="93"/>
        <v>0</v>
      </c>
      <c r="K560">
        <f t="shared" si="98"/>
        <v>0.17786475320721892</v>
      </c>
      <c r="L560">
        <f t="shared" si="94"/>
        <v>0</v>
      </c>
      <c r="M560">
        <f t="shared" si="95"/>
        <v>7.1428571428571425E-2</v>
      </c>
      <c r="N560">
        <f t="shared" si="96"/>
        <v>0</v>
      </c>
      <c r="O560">
        <f t="shared" si="97"/>
        <v>0</v>
      </c>
      <c r="P560" t="str">
        <f>IFERROR(LN('Дивиденды по годам'!I560),"")</f>
        <v/>
      </c>
      <c r="Q560" t="str">
        <f>IFERROR('Дивиденды по годам'!G560/'Дивиденды по годам'!I560, "")</f>
        <v/>
      </c>
      <c r="R560" t="str">
        <f>IFERROR(IF(AND('Дивиденды по годам'!N560&lt;&gt;"",'Дивиденды по годам'!U560&lt;&gt;"",'Дивиденды по годам'!U560&lt;&gt;0),'Дивиденды по годам'!N560/'Дивиденды по годам'!U560-1,""),"")</f>
        <v/>
      </c>
      <c r="S560" t="str">
        <f>IFERROR(IF(AND('Дивиденды по годам'!L560&lt;&gt;"",'Дивиденды по годам'!I560&lt;&gt;"",'Дивиденды по годам'!J560&lt;&gt;"",'Дивиденды по годам'!K560&lt;&gt;"",('Дивиденды по годам'!I560-'Дивиденды по годам'!J560-'Дивиденды по годам'!K560)&lt;&gt;0),'Дивиденды по годам'!L560/('Дивиденды по годам'!I560-'Дивиденды по годам'!J560-'Дивиденды по годам'!K560),""),"")</f>
        <v/>
      </c>
      <c r="T560" t="str">
        <f>IFERROR(IF(AND('Дивиденды по годам'!Q560&lt;&gt;"",'Дивиденды по годам'!I560&lt;&gt;"",'Дивиденды по годам'!V560&lt;&gt;"",('Дивиденды по годам'!I560+'Дивиденды по годам'!V560)&lt;&gt;0),'Дивиденды по годам'!Q560/(('Дивиденды по годам'!I560+'Дивиденды по годам'!V560)/2),""),"")</f>
        <v/>
      </c>
      <c r="U560" t="str">
        <f>IFERROR(IF(AND('Дивиденды по годам'!J560&lt;&gt;"",'Дивиденды по годам'!K560&lt;&gt;"",'Дивиденды по годам'!M560&lt;&gt;"",'Дивиденды по годам'!M560&lt;&gt;0),('Дивиденды по годам'!J560+'Дивиденды по годам'!K560)/'Дивиденды по годам'!M560,""),"")</f>
        <v/>
      </c>
      <c r="V560" t="str">
        <f>IFERROR(IF(AND('Дивиденды по годам'!J560&lt;&gt;"",'Дивиденды по годам'!K560&lt;&gt;"",'Дивиденды по годам'!M560&lt;&gt;"",'Дивиденды по годам'!I560&lt;&gt;0),('Дивиденды по годам'!J560+'Дивиденды по годам'!K560)/'Дивиденды по годам'!I560,""),"")</f>
        <v/>
      </c>
      <c r="W560" t="str">
        <f>IFERROR('Дивиденды по годам'!I560,"")</f>
        <v/>
      </c>
      <c r="X560" cm="1">
        <f t="array" ref="X560">IFERROR(AVERAGE(_xlfn._xlws.FILTER(P$2:P$1073,($C$2:$C$1073=$C560)*($E$2:$E$1073=$E560)*(ROW(P$2:P$1073)&lt;&gt;ROW(P560))*(P$2:P$1073&lt;&gt;""))),"")</f>
        <v>24.180789108496477</v>
      </c>
      <c r="Y560" cm="1">
        <f t="array" ref="Y560">IFERROR(AVERAGE(_xlfn._xlws.FILTER(Q$2:Q$1073,($C$2:$C$1073=$C560)*($E$2:$E$1073=$E560)*(ROW(Q$2:Q$1073)&lt;&gt;ROW(Q560))*(Q$2:Q$1073&lt;&gt;""))),"")</f>
        <v>0.29604752502083465</v>
      </c>
      <c r="Z560" cm="1">
        <f t="array" ref="Z560">IFERROR(AVERAGE(_xlfn._xlws.FILTER(R$2:R$1073,($C$2:$C$1073=$C560)*($E$2:$E$1073=$E560)*(ROW(R$2:R$1073)&lt;&gt;ROW(R560))*(R$2:R$1073&lt;&gt;""))),"")</f>
        <v>5.9511017560386792E-2</v>
      </c>
      <c r="AA560" t="str" cm="1">
        <f t="array" ref="AA560">IFERROR(AVERAGE(_xlfn._xlws.FILTER(S$2:S$1073,($C$2:$C$1073=$C560)*($E$2:$E$1073=$E560)*(ROW(S$2:S$1073)&lt;&gt;ROW(S560))*(S$2:S$1073&lt;&gt;""))),"")</f>
        <v/>
      </c>
      <c r="AB560" cm="1">
        <f t="array" ref="AB560">IFERROR(AVERAGE(_xlfn._xlws.FILTER(T$2:T$1073,($C$2:$C$1073=$C560)*($E$2:$E$1073=$E560)*(ROW(T$2:T$1073)&lt;&gt;ROW(T560))*(T$2:T$1073&lt;&gt;""))),"")</f>
        <v>-1.4171101286470289E-2</v>
      </c>
      <c r="AC560" cm="1">
        <f t="array" ref="AC560">IFERROR(AVERAGE(_xlfn._xlws.FILTER(U$2:U$1073,($C$2:$C$1073=$C560)*($E$2:$E$1073=$E560)*(ROW(U$2:U$1073)&lt;&gt;ROW(U560))*(U$2:U$1073&lt;&gt;""))),"")</f>
        <v>2.1854574410792247</v>
      </c>
      <c r="AD560" cm="1">
        <f t="array" ref="AD560">IFERROR(AVERAGE(_xlfn._xlws.FILTER(V$2:V$1073,($C$2:$C$1073=$C560)*($E$2:$E$1073=$E560)*(ROW(V$2:V$1073)&lt;&gt;ROW(V560))*(V$2:V$1073&lt;&gt;""))),"")</f>
        <v>0.62219289426739133</v>
      </c>
      <c r="AE560">
        <f>IF('Дивиденды по годам'!M560&lt;0,1,0)</f>
        <v>0</v>
      </c>
    </row>
    <row r="561" spans="1:31" x14ac:dyDescent="0.2">
      <c r="A561" s="7" t="s">
        <v>2249</v>
      </c>
      <c r="B561" t="str">
        <f t="shared" si="88"/>
        <v>EUTR IV кв. 2010</v>
      </c>
      <c r="C561">
        <v>2010</v>
      </c>
      <c r="D561">
        <f>SUMIFS(Дивиденды!$C:$C,Дивиденды!$A:$A,A561,Дивиденды!$I:$I,C561)</f>
        <v>0</v>
      </c>
      <c r="E561">
        <v>4</v>
      </c>
      <c r="F561">
        <f t="shared" si="89"/>
        <v>0</v>
      </c>
      <c r="G561">
        <f t="shared" si="90"/>
        <v>0.46928571428571431</v>
      </c>
      <c r="H561">
        <f t="shared" si="91"/>
        <v>0</v>
      </c>
      <c r="I561">
        <f t="shared" si="92"/>
        <v>7.1428571428571425E-2</v>
      </c>
      <c r="J561" t="str">
        <f t="shared" si="93"/>
        <v/>
      </c>
      <c r="K561" t="str">
        <f t="shared" si="98"/>
        <v/>
      </c>
      <c r="L561" t="str">
        <f t="shared" si="94"/>
        <v/>
      </c>
      <c r="M561" t="str">
        <f t="shared" si="95"/>
        <v/>
      </c>
      <c r="N561" t="str">
        <f t="shared" si="96"/>
        <v/>
      </c>
      <c r="O561" t="str">
        <f t="shared" si="97"/>
        <v/>
      </c>
      <c r="P561" t="str">
        <f>IFERROR(LN('Дивиденды по годам'!I561),"")</f>
        <v/>
      </c>
      <c r="Q561" t="str">
        <f>IFERROR('Дивиденды по годам'!G561/'Дивиденды по годам'!I561, "")</f>
        <v/>
      </c>
      <c r="R561" t="str">
        <f>IFERROR(IF(AND('Дивиденды по годам'!N561&lt;&gt;"",'Дивиденды по годам'!U561&lt;&gt;"",'Дивиденды по годам'!U561&lt;&gt;0),'Дивиденды по годам'!N561/'Дивиденды по годам'!U561-1,""),"")</f>
        <v/>
      </c>
      <c r="S561" t="str">
        <f>IFERROR(IF(AND('Дивиденды по годам'!L561&lt;&gt;"",'Дивиденды по годам'!I561&lt;&gt;"",'Дивиденды по годам'!J561&lt;&gt;"",'Дивиденды по годам'!K561&lt;&gt;"",('Дивиденды по годам'!I561-'Дивиденды по годам'!J561-'Дивиденды по годам'!K561)&lt;&gt;0),'Дивиденды по годам'!L561/('Дивиденды по годам'!I561-'Дивиденды по годам'!J561-'Дивиденды по годам'!K561),""),"")</f>
        <v/>
      </c>
      <c r="T561" t="str">
        <f>IFERROR(IF(AND('Дивиденды по годам'!Q561&lt;&gt;"",'Дивиденды по годам'!I561&lt;&gt;"",'Дивиденды по годам'!V561&lt;&gt;"",('Дивиденды по годам'!I561+'Дивиденды по годам'!V561)&lt;&gt;0),'Дивиденды по годам'!Q561/(('Дивиденды по годам'!I561+'Дивиденды по годам'!V561)/2),""),"")</f>
        <v/>
      </c>
      <c r="U561" t="str">
        <f>IFERROR(IF(AND('Дивиденды по годам'!J561&lt;&gt;"",'Дивиденды по годам'!K561&lt;&gt;"",'Дивиденды по годам'!M561&lt;&gt;"",'Дивиденды по годам'!M561&lt;&gt;0),('Дивиденды по годам'!J561+'Дивиденды по годам'!K561)/'Дивиденды по годам'!M561,""),"")</f>
        <v/>
      </c>
      <c r="V561" t="str">
        <f>IFERROR(IF(AND('Дивиденды по годам'!J561&lt;&gt;"",'Дивиденды по годам'!K561&lt;&gt;"",'Дивиденды по годам'!M561&lt;&gt;"",'Дивиденды по годам'!I561&lt;&gt;0),('Дивиденды по годам'!J561+'Дивиденды по годам'!K561)/'Дивиденды по годам'!I561,""),"")</f>
        <v/>
      </c>
      <c r="W561" t="str">
        <f>IFERROR('Дивиденды по годам'!I561,"")</f>
        <v/>
      </c>
      <c r="X561" cm="1">
        <f t="array" ref="X561">IFERROR(AVERAGE(_xlfn._xlws.FILTER(P$2:P$1073,($C$2:$C$1073=$C561)*($E$2:$E$1073=$E561)*(ROW(P$2:P$1073)&lt;&gt;ROW(P561))*(P$2:P$1073&lt;&gt;""))),"")</f>
        <v>23.656010386255485</v>
      </c>
      <c r="Y561" cm="1">
        <f t="array" ref="Y561">IFERROR(AVERAGE(_xlfn._xlws.FILTER(Q$2:Q$1073,($C$2:$C$1073=$C561)*($E$2:$E$1073=$E561)*(ROW(Q$2:Q$1073)&lt;&gt;ROW(Q561))*(Q$2:Q$1073&lt;&gt;""))),"")</f>
        <v>0.15222241747474585</v>
      </c>
      <c r="Z561" t="str" cm="1">
        <f t="array" ref="Z561">IFERROR(AVERAGE(_xlfn._xlws.FILTER(R$2:R$1073,($C$2:$C$1073=$C561)*($E$2:$E$1073=$E561)*(ROW(R$2:R$1073)&lt;&gt;ROW(R561))*(R$2:R$1073&lt;&gt;""))),"")</f>
        <v/>
      </c>
      <c r="AA561" t="str" cm="1">
        <f t="array" ref="AA561">IFERROR(AVERAGE(_xlfn._xlws.FILTER(S$2:S$1073,($C$2:$C$1073=$C561)*($E$2:$E$1073=$E561)*(ROW(S$2:S$1073)&lt;&gt;ROW(S561))*(S$2:S$1073&lt;&gt;""))),"")</f>
        <v/>
      </c>
      <c r="AB561" t="str" cm="1">
        <f t="array" ref="AB561">IFERROR(AVERAGE(_xlfn._xlws.FILTER(T$2:T$1073,($C$2:$C$1073=$C561)*($E$2:$E$1073=$E561)*(ROW(T$2:T$1073)&lt;&gt;ROW(T561))*(T$2:T$1073&lt;&gt;""))),"")</f>
        <v/>
      </c>
      <c r="AC561" cm="1">
        <f t="array" ref="AC561">IFERROR(AVERAGE(_xlfn._xlws.FILTER(U$2:U$1073,($C$2:$C$1073=$C561)*($E$2:$E$1073=$E561)*(ROW(U$2:U$1073)&lt;&gt;ROW(U561))*(U$2:U$1073&lt;&gt;""))),"")</f>
        <v>2.8988498110700496</v>
      </c>
      <c r="AD561" cm="1">
        <f t="array" ref="AD561">IFERROR(AVERAGE(_xlfn._xlws.FILTER(V$2:V$1073,($C$2:$C$1073=$C561)*($E$2:$E$1073=$E561)*(ROW(V$2:V$1073)&lt;&gt;ROW(V561))*(V$2:V$1073&lt;&gt;""))),"")</f>
        <v>0.74351805997092513</v>
      </c>
      <c r="AE561">
        <f>IF('Дивиденды по годам'!M561&lt;0,1,0)</f>
        <v>0</v>
      </c>
    </row>
    <row r="562" spans="1:31" x14ac:dyDescent="0.2">
      <c r="A562" s="7" t="s">
        <v>2317</v>
      </c>
      <c r="B562" t="str">
        <f t="shared" si="88"/>
        <v>FIXR IV кв. 2025</v>
      </c>
      <c r="C562">
        <v>2025</v>
      </c>
      <c r="D562">
        <f>SUMIFS(Дивиденды!$C:$C,Дивиденды!$A:$A,A562,Дивиденды!$I:$I,C562)</f>
        <v>0</v>
      </c>
      <c r="E562">
        <v>4</v>
      </c>
      <c r="F562">
        <f t="shared" si="89"/>
        <v>0</v>
      </c>
      <c r="G562">
        <f t="shared" si="90"/>
        <v>31.581428571428571</v>
      </c>
      <c r="H562">
        <f t="shared" si="91"/>
        <v>0</v>
      </c>
      <c r="I562">
        <f t="shared" si="92"/>
        <v>0.42857142857142855</v>
      </c>
      <c r="J562">
        <f t="shared" si="93"/>
        <v>0</v>
      </c>
      <c r="K562">
        <f t="shared" si="98"/>
        <v>-0.1825263432406963</v>
      </c>
      <c r="L562">
        <f t="shared" si="94"/>
        <v>0</v>
      </c>
      <c r="M562">
        <f t="shared" si="95"/>
        <v>0.14285714285714285</v>
      </c>
      <c r="N562">
        <f t="shared" si="96"/>
        <v>0</v>
      </c>
      <c r="O562">
        <f t="shared" si="97"/>
        <v>0.5</v>
      </c>
      <c r="P562">
        <f>IFERROR(LN('Дивиденды по годам'!I562),"")</f>
        <v>25.711348726572155</v>
      </c>
      <c r="Q562">
        <f>IFERROR('Дивиденды по годам'!G562/'Дивиденды по годам'!I562, "")</f>
        <v>0.25668405441341924</v>
      </c>
      <c r="R562">
        <f>IFERROR(IF(AND('Дивиденды по годам'!N562&lt;&gt;"",'Дивиденды по годам'!U562&lt;&gt;"",'Дивиденды по годам'!U562&lt;&gt;0),'Дивиденды по годам'!N562/'Дивиденды по годам'!U562-1,""),"")</f>
        <v>3.9909442493443192E-2</v>
      </c>
      <c r="S562">
        <f>IFERROR(IF(AND('Дивиденды по годам'!L562&lt;&gt;"",'Дивиденды по годам'!I562&lt;&gt;"",'Дивиденды по годам'!J562&lt;&gt;"",'Дивиденды по годам'!K562&lt;&gt;"",('Дивиденды по годам'!I562-'Дивиденды по годам'!J562-'Дивиденды по годам'!K562)&lt;&gt;0),'Дивиденды по годам'!L562/('Дивиденды по годам'!I562-'Дивиденды по годам'!J562-'Дивиденды по годам'!K562),""),"")</f>
        <v>0.99978122265283165</v>
      </c>
      <c r="T562">
        <f>IFERROR(IF(AND('Дивиденды по годам'!Q562&lt;&gt;"",'Дивиденды по годам'!I562&lt;&gt;"",'Дивиденды по годам'!V562&lt;&gt;"",('Дивиденды по годам'!I562+'Дивиденды по годам'!V562)&lt;&gt;0),'Дивиденды по годам'!Q562/(('Дивиденды по годам'!I562+'Дивиденды по годам'!V562)/2),""),"")</f>
        <v>0.11096014652583436</v>
      </c>
      <c r="U562">
        <f>IFERROR(IF(AND('Дивиденды по годам'!J562&lt;&gt;"",'Дивиденды по годам'!K562&lt;&gt;"",'Дивиденды по годам'!M562&lt;&gt;"",'Дивиденды по годам'!M562&lt;&gt;0),('Дивиденды по годам'!J562+'Дивиденды по годам'!K562)/'Дивиденды по годам'!M562,""),"")</f>
        <v>1.2917708463557944</v>
      </c>
      <c r="V562">
        <f>IFERROR(IF(AND('Дивиденды по годам'!J562&lt;&gt;"",'Дивиденды по годам'!K562&lt;&gt;"",'Дивиденды по годам'!M562&lt;&gt;"",'Дивиденды по годам'!I562&lt;&gt;0),('Дивиденды по годам'!J562+'Дивиденды по годам'!K562)/'Дивиденды по годам'!I562,""),"")</f>
        <v>0.56365619992499405</v>
      </c>
      <c r="W562">
        <f>IFERROR('Дивиденды по годам'!I562,"")</f>
        <v>146655000000</v>
      </c>
      <c r="X562" cm="1">
        <f t="array" ref="X562">IFERROR(AVERAGE(_xlfn._xlws.FILTER(P$2:P$1073,($C$2:$C$1073=$C562)*($E$2:$E$1073=$E562)*(ROW(P$2:P$1073)&lt;&gt;ROW(P562))*(P$2:P$1073&lt;&gt;""))),"")</f>
        <v>26.340900706016768</v>
      </c>
      <c r="Y562" cm="1">
        <f t="array" ref="Y562">IFERROR(AVERAGE(_xlfn._xlws.FILTER(Q$2:Q$1073,($C$2:$C$1073=$C562)*($E$2:$E$1073=$E562)*(ROW(Q$2:Q$1073)&lt;&gt;ROW(Q562))*(Q$2:Q$1073&lt;&gt;""))),"")</f>
        <v>0.47929217549252673</v>
      </c>
      <c r="Z562" cm="1">
        <f t="array" ref="Z562">IFERROR(AVERAGE(_xlfn._xlws.FILTER(R$2:R$1073,($C$2:$C$1073=$C562)*($E$2:$E$1073=$E562)*(ROW(R$2:R$1073)&lt;&gt;ROW(R562))*(R$2:R$1073&lt;&gt;""))),"")</f>
        <v>7.4825021074115081E-2</v>
      </c>
      <c r="AA562" cm="1">
        <f t="array" ref="AA562">IFERROR(AVERAGE(_xlfn._xlws.FILTER(S$2:S$1073,($C$2:$C$1073=$C562)*($E$2:$E$1073=$E562)*(ROW(S$2:S$1073)&lt;&gt;ROW(S562))*(S$2:S$1073&lt;&gt;""))),"")</f>
        <v>0.92240562369992318</v>
      </c>
      <c r="AB562" cm="1">
        <f t="array" ref="AB562">IFERROR(AVERAGE(_xlfn._xlws.FILTER(T$2:T$1073,($C$2:$C$1073=$C562)*($E$2:$E$1073=$E562)*(ROW(T$2:T$1073)&lt;&gt;ROW(T562))*(T$2:T$1073&lt;&gt;""))),"")</f>
        <v>-1.9510511402171232E-2</v>
      </c>
      <c r="AC562" cm="1">
        <f t="array" ref="AC562">IFERROR(AVERAGE(_xlfn._xlws.FILTER(U$2:U$1073,($C$2:$C$1073=$C562)*($E$2:$E$1073=$E562)*(ROW(U$2:U$1073)&lt;&gt;ROW(U562))*(U$2:U$1073&lt;&gt;""))),"")</f>
        <v>7.9651903205024972</v>
      </c>
      <c r="AD562" cm="1">
        <f t="array" ref="AD562">IFERROR(AVERAGE(_xlfn._xlws.FILTER(V$2:V$1073,($C$2:$C$1073=$C562)*($E$2:$E$1073=$E562)*(ROW(V$2:V$1073)&lt;&gt;ROW(V562))*(V$2:V$1073&lt;&gt;""))),"")</f>
        <v>0.75786614444244826</v>
      </c>
      <c r="AE562">
        <f>IF('Дивиденды по годам'!M562&lt;0,1,0)</f>
        <v>0</v>
      </c>
    </row>
    <row r="563" spans="1:31" x14ac:dyDescent="0.2">
      <c r="A563" s="7" t="s">
        <v>2317</v>
      </c>
      <c r="B563" t="str">
        <f t="shared" si="88"/>
        <v>FIXR IV кв. 2024</v>
      </c>
      <c r="C563">
        <v>2024</v>
      </c>
      <c r="D563">
        <f>SUMIFS(Дивиденды!$C:$C,Дивиденды!$A:$A,A563,Дивиденды!$I:$I,C563)</f>
        <v>0</v>
      </c>
      <c r="E563">
        <v>4</v>
      </c>
      <c r="F563">
        <f t="shared" si="89"/>
        <v>0</v>
      </c>
      <c r="G563">
        <f t="shared" si="90"/>
        <v>62.511428571428574</v>
      </c>
      <c r="H563">
        <f t="shared" si="91"/>
        <v>0</v>
      </c>
      <c r="I563">
        <f t="shared" si="92"/>
        <v>0.5714285714285714</v>
      </c>
      <c r="J563">
        <f t="shared" si="93"/>
        <v>0</v>
      </c>
      <c r="K563">
        <f t="shared" si="98"/>
        <v>0.21145574536348383</v>
      </c>
      <c r="L563">
        <f t="shared" si="94"/>
        <v>0</v>
      </c>
      <c r="M563">
        <f t="shared" si="95"/>
        <v>0.35714285714285715</v>
      </c>
      <c r="N563">
        <f t="shared" si="96"/>
        <v>0</v>
      </c>
      <c r="O563">
        <f t="shared" si="97"/>
        <v>0.2857142857142857</v>
      </c>
      <c r="P563">
        <f>IFERROR(LN('Дивиденды по годам'!I563),"")</f>
        <v>25.641113101275582</v>
      </c>
      <c r="Q563">
        <f>IFERROR('Дивиденды по годам'!G563/'Дивиденды по годам'!I563, "")</f>
        <v>0.22618281300289669</v>
      </c>
      <c r="R563">
        <f>IFERROR(IF(AND('Дивиденды по годам'!N563&lt;&gt;"",'Дивиденды по годам'!U563&lt;&gt;"",'Дивиденды по годам'!U563&lt;&gt;0),'Дивиденды по годам'!N563/'Дивиденды по годам'!U563-1,""),"")</f>
        <v>7.9053672074417936E-2</v>
      </c>
      <c r="S563">
        <f>IFERROR(IF(AND('Дивиденды по годам'!L563&lt;&gt;"",'Дивиденды по годам'!I563&lt;&gt;"",'Дивиденды по годам'!J563&lt;&gt;"",'Дивиденды по годам'!K563&lt;&gt;"",('Дивиденды по годам'!I563-'Дивиденды по годам'!J563-'Дивиденды по годам'!K563)&lt;&gt;0),'Дивиденды по годам'!L563/('Дивиденды по годам'!I563-'Дивиденды по годам'!J563-'Дивиденды по годам'!K563),""),"")</f>
        <v>1.0002460175902577</v>
      </c>
      <c r="T563">
        <f>IFERROR(IF(AND('Дивиденды по годам'!Q563&lt;&gt;"",'Дивиденды по годам'!I563&lt;&gt;"",'Дивиденды по годам'!V563&lt;&gt;"",('Дивиденды по годам'!I563+'Дивиденды по годам'!V563)&lt;&gt;0),'Дивиденды по годам'!Q563/(('Дивиденды по годам'!I563+'Дивиденды по годам'!V563)/2),""),"")</f>
        <v>0.16179932510731959</v>
      </c>
      <c r="U563">
        <f>IFERROR(IF(AND('Дивиденды по годам'!J563&lt;&gt;"",'Дивиденды по годам'!K563&lt;&gt;"",'Дивиденды по годам'!M563&lt;&gt;"",'Дивиденды по годам'!M563&lt;&gt;0),('Дивиденды по годам'!J563+'Дивиденды по годам'!K563)/'Дивиденды по годам'!M563,""),"")</f>
        <v>1.8027143940791766</v>
      </c>
      <c r="V563">
        <f>IFERROR(IF(AND('Дивиденды по годам'!J563&lt;&gt;"",'Дивиденды по годам'!K563&lt;&gt;"",'Дивиденды по годам'!M563&lt;&gt;"",'Дивиденды по годам'!I563&lt;&gt;0),('Дивиденды по годам'!J563+'Дивиденды по годам'!K563)/'Дивиденды по годам'!I563,""),"")</f>
        <v>0.64320303127834511</v>
      </c>
      <c r="W563">
        <f>IFERROR('Дивиденды по годам'!I563,"")</f>
        <v>136708000000</v>
      </c>
      <c r="X563" cm="1">
        <f t="array" ref="X563">IFERROR(AVERAGE(_xlfn._xlws.FILTER(P$2:P$1073,($C$2:$C$1073=$C563)*($E$2:$E$1073=$E563)*(ROW(P$2:P$1073)&lt;&gt;ROW(P563))*(P$2:P$1073&lt;&gt;""))),"")</f>
        <v>25.559349900458553</v>
      </c>
      <c r="Y563" cm="1">
        <f t="array" ref="Y563">IFERROR(AVERAGE(_xlfn._xlws.FILTER(Q$2:Q$1073,($C$2:$C$1073=$C563)*($E$2:$E$1073=$E563)*(ROW(Q$2:Q$1073)&lt;&gt;ROW(Q563))*(Q$2:Q$1073&lt;&gt;""))),"")</f>
        <v>0.26554881823551507</v>
      </c>
      <c r="Z563" cm="1">
        <f t="array" ref="Z563">IFERROR(AVERAGE(_xlfn._xlws.FILTER(R$2:R$1073,($C$2:$C$1073=$C563)*($E$2:$E$1073=$E563)*(ROW(R$2:R$1073)&lt;&gt;ROW(R563))*(R$2:R$1073&lt;&gt;""))),"")</f>
        <v>0.27878020068335413</v>
      </c>
      <c r="AA563" cm="1">
        <f t="array" ref="AA563">IFERROR(AVERAGE(_xlfn._xlws.FILTER(S$2:S$1073,($C$2:$C$1073=$C563)*($E$2:$E$1073=$E563)*(ROW(S$2:S$1073)&lt;&gt;ROW(S563))*(S$2:S$1073&lt;&gt;""))),"")</f>
        <v>1.1832545822120188</v>
      </c>
      <c r="AB563" cm="1">
        <f t="array" ref="AB563">IFERROR(AVERAGE(_xlfn._xlws.FILTER(T$2:T$1073,($C$2:$C$1073=$C563)*($E$2:$E$1073=$E563)*(ROW(T$2:T$1073)&lt;&gt;ROW(T563))*(T$2:T$1073&lt;&gt;""))),"")</f>
        <v>6.6609660801689854E-2</v>
      </c>
      <c r="AC563" cm="1">
        <f t="array" ref="AC563">IFERROR(AVERAGE(_xlfn._xlws.FILTER(U$2:U$1073,($C$2:$C$1073=$C563)*($E$2:$E$1073=$E563)*(ROW(U$2:U$1073)&lt;&gt;ROW(U563))*(U$2:U$1073&lt;&gt;""))),"")</f>
        <v>4.1470894763624226</v>
      </c>
      <c r="AD563" cm="1">
        <f t="array" ref="AD563">IFERROR(AVERAGE(_xlfn._xlws.FILTER(V$2:V$1073,($C$2:$C$1073=$C563)*($E$2:$E$1073=$E563)*(ROW(V$2:V$1073)&lt;&gt;ROW(V563))*(V$2:V$1073&lt;&gt;""))),"")</f>
        <v>0.70571472436457616</v>
      </c>
      <c r="AE563">
        <f>IF('Дивиденды по годам'!M563&lt;0,1,0)</f>
        <v>0</v>
      </c>
    </row>
    <row r="564" spans="1:31" x14ac:dyDescent="0.2">
      <c r="A564" s="7" t="s">
        <v>2317</v>
      </c>
      <c r="B564" t="str">
        <f t="shared" si="88"/>
        <v>FIXR IV кв. 2023</v>
      </c>
      <c r="C564">
        <v>2023</v>
      </c>
      <c r="D564">
        <f>SUMIFS(Дивиденды!$C:$C,Дивиденды!$A:$A,A564,Дивиденды!$I:$I,C564)</f>
        <v>0</v>
      </c>
      <c r="E564">
        <v>4</v>
      </c>
      <c r="F564">
        <f t="shared" si="89"/>
        <v>0</v>
      </c>
      <c r="G564">
        <f t="shared" si="90"/>
        <v>90.740000000000009</v>
      </c>
      <c r="H564">
        <f t="shared" si="91"/>
        <v>0</v>
      </c>
      <c r="I564">
        <f t="shared" si="92"/>
        <v>0.5</v>
      </c>
      <c r="J564">
        <f t="shared" si="93"/>
        <v>0</v>
      </c>
      <c r="K564">
        <f t="shared" si="98"/>
        <v>0.29812745098039217</v>
      </c>
      <c r="L564">
        <f t="shared" si="94"/>
        <v>0</v>
      </c>
      <c r="M564">
        <f t="shared" si="95"/>
        <v>0.42857142857142855</v>
      </c>
      <c r="N564">
        <f t="shared" si="96"/>
        <v>0</v>
      </c>
      <c r="O564">
        <f t="shared" si="97"/>
        <v>0</v>
      </c>
      <c r="P564">
        <f>IFERROR(LN('Дивиденды по годам'!I564),"")</f>
        <v>25.648386814716496</v>
      </c>
      <c r="Q564">
        <f>IFERROR('Дивиденды по годам'!G564/'Дивиденды по годам'!I564, "")</f>
        <v>0.21289558915370427</v>
      </c>
      <c r="R564">
        <f>IFERROR(IF(AND('Дивиденды по годам'!N564&lt;&gt;"",'Дивиденды по годам'!U564&lt;&gt;"",'Дивиденды по годам'!U564&lt;&gt;0),'Дивиденды по годам'!N564/'Дивиденды по годам'!U564-1,""),"")</f>
        <v>5.1220267680915033E-2</v>
      </c>
      <c r="S564">
        <f>IFERROR(IF(AND('Дивиденды по годам'!L564&lt;&gt;"",'Дивиденды по годам'!I564&lt;&gt;"",'Дивиденды по годам'!J564&lt;&gt;"",'Дивиденды по годам'!K564&lt;&gt;"",('Дивиденды по годам'!I564-'Дивиденды по годам'!J564-'Дивиденды по годам'!K564)&lt;&gt;0),'Дивиденды по годам'!L564/('Дивиденды по годам'!I564-'Дивиденды по годам'!J564-'Дивиденды по годам'!K564),""),"")</f>
        <v>1.0005052128783356</v>
      </c>
      <c r="T564">
        <f>IFERROR(IF(AND('Дивиденды по годам'!Q564&lt;&gt;"",'Дивиденды по годам'!I564&lt;&gt;"",'Дивиденды по годам'!V564&lt;&gt;"",('Дивиденды по годам'!I564+'Дивиденды по годам'!V564)&lt;&gt;0),'Дивиденды по годам'!Q564/(('Дивиденды по годам'!I564+'Дивиденды по годам'!V564)/2),""),"")</f>
        <v>0.2848220410637653</v>
      </c>
      <c r="U564">
        <f>IFERROR(IF(AND('Дивиденды по годам'!J564&lt;&gt;"",'Дивиденды по годам'!K564&lt;&gt;"",'Дивиденды по годам'!M564&lt;&gt;"",'Дивиденды по годам'!M564&lt;&gt;0),('Дивиденды по годам'!J564+'Дивиденды по годам'!K564)/'Дивиденды по годам'!M564,""),"")</f>
        <v>1.1082074128507784</v>
      </c>
      <c r="V564">
        <f>IFERROR(IF(AND('Дивиденды по годам'!J564&lt;&gt;"",'Дивиденды по годам'!K564&lt;&gt;"",'Дивиденды по годам'!M564&lt;&gt;"",'Дивиденды по годам'!I564&lt;&gt;0),('Дивиденды по годам'!J564+'Дивиденды по годам'!K564)/'Дивиденды по годам'!I564,""),"")</f>
        <v>0.52566336978780881</v>
      </c>
      <c r="W564">
        <f>IFERROR('Дивиденды по годам'!I564,"")</f>
        <v>137706000000</v>
      </c>
      <c r="X564" cm="1">
        <f t="array" ref="X564">IFERROR(AVERAGE(_xlfn._xlws.FILTER(P$2:P$1073,($C$2:$C$1073=$C564)*($E$2:$E$1073=$E564)*(ROW(P$2:P$1073)&lt;&gt;ROW(P564))*(P$2:P$1073&lt;&gt;""))),"")</f>
        <v>25.346867307760309</v>
      </c>
      <c r="Y564" cm="1">
        <f t="array" ref="Y564">IFERROR(AVERAGE(_xlfn._xlws.FILTER(Q$2:Q$1073,($C$2:$C$1073=$C564)*($E$2:$E$1073=$E564)*(ROW(Q$2:Q$1073)&lt;&gt;ROW(Q564))*(Q$2:Q$1073&lt;&gt;""))),"")</f>
        <v>0.25306538607285944</v>
      </c>
      <c r="Z564" cm="1">
        <f t="array" ref="Z564">IFERROR(AVERAGE(_xlfn._xlws.FILTER(R$2:R$1073,($C$2:$C$1073=$C564)*($E$2:$E$1073=$E564)*(ROW(R$2:R$1073)&lt;&gt;ROW(R564))*(R$2:R$1073&lt;&gt;""))),"")</f>
        <v>0.26240430927479291</v>
      </c>
      <c r="AA564" cm="1">
        <f t="array" ref="AA564">IFERROR(AVERAGE(_xlfn._xlws.FILTER(S$2:S$1073,($C$2:$C$1073=$C564)*($E$2:$E$1073=$E564)*(ROW(S$2:S$1073)&lt;&gt;ROW(S564))*(S$2:S$1073&lt;&gt;""))),"")</f>
        <v>1.2635289291692475</v>
      </c>
      <c r="AB564" cm="1">
        <f t="array" ref="AB564">IFERROR(AVERAGE(_xlfn._xlws.FILTER(T$2:T$1073,($C$2:$C$1073=$C564)*($E$2:$E$1073=$E564)*(ROW(T$2:T$1073)&lt;&gt;ROW(T564))*(T$2:T$1073&lt;&gt;""))),"")</f>
        <v>9.5769156716732584E-2</v>
      </c>
      <c r="AC564" cm="1">
        <f t="array" ref="AC564">IFERROR(AVERAGE(_xlfn._xlws.FILTER(U$2:U$1073,($C$2:$C$1073=$C564)*($E$2:$E$1073=$E564)*(ROW(U$2:U$1073)&lt;&gt;ROW(U564))*(U$2:U$1073&lt;&gt;""))),"")</f>
        <v>2.6931402232698218</v>
      </c>
      <c r="AD564" cm="1">
        <f t="array" ref="AD564">IFERROR(AVERAGE(_xlfn._xlws.FILTER(V$2:V$1073,($C$2:$C$1073=$C564)*($E$2:$E$1073=$E564)*(ROW(V$2:V$1073)&lt;&gt;ROW(V564))*(V$2:V$1073&lt;&gt;""))),"")</f>
        <v>0.70435795091378128</v>
      </c>
      <c r="AE564">
        <f>IF('Дивиденды по годам'!M564&lt;0,1,0)</f>
        <v>0</v>
      </c>
    </row>
    <row r="565" spans="1:31" x14ac:dyDescent="0.2">
      <c r="A565" s="7" t="s">
        <v>2317</v>
      </c>
      <c r="B565" t="str">
        <f t="shared" si="88"/>
        <v>FIXR IV кв. 2022</v>
      </c>
      <c r="C565">
        <v>2022</v>
      </c>
      <c r="D565">
        <f>SUMIFS(Дивиденды!$C:$C,Дивиденды!$A:$A,A565,Дивиденды!$I:$I,C565)</f>
        <v>0</v>
      </c>
      <c r="E565">
        <v>4</v>
      </c>
      <c r="F565">
        <f t="shared" si="89"/>
        <v>0</v>
      </c>
      <c r="G565">
        <f t="shared" si="90"/>
        <v>80.180000000000021</v>
      </c>
      <c r="H565">
        <f t="shared" si="91"/>
        <v>0</v>
      </c>
      <c r="I565">
        <f t="shared" si="92"/>
        <v>0.2857142857142857</v>
      </c>
      <c r="J565">
        <f t="shared" si="93"/>
        <v>0</v>
      </c>
      <c r="K565">
        <f t="shared" si="98"/>
        <v>0.49583624512073399</v>
      </c>
      <c r="L565">
        <f t="shared" si="94"/>
        <v>0</v>
      </c>
      <c r="M565">
        <f t="shared" si="95"/>
        <v>0.2857142857142857</v>
      </c>
      <c r="N565">
        <f t="shared" si="96"/>
        <v>0</v>
      </c>
      <c r="O565">
        <f t="shared" si="97"/>
        <v>7.1428571428571425E-2</v>
      </c>
      <c r="P565">
        <f>IFERROR(LN('Дивиденды по годам'!I565),"")</f>
        <v>25.450883717688029</v>
      </c>
      <c r="Q565">
        <f>IFERROR('Дивиденды по годам'!G565/'Дивиденды по годам'!I565, "")</f>
        <v>0.17422539946560969</v>
      </c>
      <c r="R565">
        <f>IFERROR(IF(AND('Дивиденды по годам'!N565&lt;&gt;"",'Дивиденды по годам'!U565&lt;&gt;"",'Дивиденды по годам'!U565&lt;&gt;0),'Дивиденды по годам'!N565/'Дивиденды по годам'!U565-1,""),"")</f>
        <v>0.20467039523067787</v>
      </c>
      <c r="S565">
        <f>IFERROR(IF(AND('Дивиденды по годам'!L565&lt;&gt;"",'Дивиденды по годам'!I565&lt;&gt;"",'Дивиденды по годам'!J565&lt;&gt;"",'Дивиденды по годам'!K565&lt;&gt;"",('Дивиденды по годам'!I565-'Дивиденды по годам'!J565-'Дивиденды по годам'!K565)&lt;&gt;0),'Дивиденды по годам'!L565/('Дивиденды по годам'!I565-'Дивиденды по годам'!J565-'Дивиденды по годам'!K565),""),"")</f>
        <v>0.99911162743021154</v>
      </c>
      <c r="T565">
        <f>IFERROR(IF(AND('Дивиденды по годам'!Q565&lt;&gt;"",'Дивиденды по годам'!I565&lt;&gt;"",'Дивиденды по годам'!V565&lt;&gt;"",('Дивиденды по годам'!I565+'Дивиденды по годам'!V565)&lt;&gt;0),'Дивиденды по годам'!Q565/(('Дивиденды по годам'!I565+'Дивиденды по годам'!V565)/2),""),"")</f>
        <v>0.21632189133894067</v>
      </c>
      <c r="U565">
        <f>IFERROR(IF(AND('Дивиденды по годам'!J565&lt;&gt;"",'Дивиденды по годам'!K565&lt;&gt;"",'Дивиденды по годам'!M565&lt;&gt;"",'Дивиденды по годам'!M565&lt;&gt;0),('Дивиденды по годам'!J565+'Дивиденды по годам'!K565)/'Дивиденды по годам'!M565,""),"")</f>
        <v>2.8618922335736494</v>
      </c>
      <c r="V565">
        <f>IFERROR(IF(AND('Дивиденды по годам'!J565&lt;&gt;"",'Дивиденды по годам'!K565&lt;&gt;"",'Дивиденды по годам'!M565&lt;&gt;"",'Дивиденды по годам'!I565&lt;&gt;0),('Дивиденды по годам'!J565+'Дивиденды по годам'!K565)/'Дивиденды по годам'!I565,""),"")</f>
        <v>0.74105957921186272</v>
      </c>
      <c r="W565">
        <f>IFERROR('Дивиденды по годам'!I565,"")</f>
        <v>113026000000</v>
      </c>
      <c r="X565" cm="1">
        <f t="array" ref="X565">IFERROR(AVERAGE(_xlfn._xlws.FILTER(P$2:P$1073,($C$2:$C$1073=$C565)*($E$2:$E$1073=$E565)*(ROW(P$2:P$1073)&lt;&gt;ROW(P565))*(P$2:P$1073&lt;&gt;""))),"")</f>
        <v>25.25211718003662</v>
      </c>
      <c r="Y565" cm="1">
        <f t="array" ref="Y565">IFERROR(AVERAGE(_xlfn._xlws.FILTER(Q$2:Q$1073,($C$2:$C$1073=$C565)*($E$2:$E$1073=$E565)*(ROW(Q$2:Q$1073)&lt;&gt;ROW(Q565))*(Q$2:Q$1073&lt;&gt;""))),"")</f>
        <v>0.25444241064991008</v>
      </c>
      <c r="Z565" cm="1">
        <f t="array" ref="Z565">IFERROR(AVERAGE(_xlfn._xlws.FILTER(R$2:R$1073,($C$2:$C$1073=$C565)*($E$2:$E$1073=$E565)*(ROW(R$2:R$1073)&lt;&gt;ROW(R565))*(R$2:R$1073&lt;&gt;""))),"")</f>
        <v>0.20517732094867186</v>
      </c>
      <c r="AA565" cm="1">
        <f t="array" ref="AA565">IFERROR(AVERAGE(_xlfn._xlws.FILTER(S$2:S$1073,($C$2:$C$1073=$C565)*($E$2:$E$1073=$E565)*(ROW(S$2:S$1073)&lt;&gt;ROW(S565))*(S$2:S$1073&lt;&gt;""))),"")</f>
        <v>1.3652472103124518</v>
      </c>
      <c r="AB565" cm="1">
        <f t="array" ref="AB565">IFERROR(AVERAGE(_xlfn._xlws.FILTER(T$2:T$1073,($C$2:$C$1073=$C565)*($E$2:$E$1073=$E565)*(ROW(T$2:T$1073)&lt;&gt;ROW(T565))*(T$2:T$1073&lt;&gt;""))),"")</f>
        <v>9.0316525969627651E-2</v>
      </c>
      <c r="AC565" cm="1">
        <f t="array" ref="AC565">IFERROR(AVERAGE(_xlfn._xlws.FILTER(U$2:U$1073,($C$2:$C$1073=$C565)*($E$2:$E$1073=$E565)*(ROW(U$2:U$1073)&lt;&gt;ROW(U565))*(U$2:U$1073&lt;&gt;""))),"")</f>
        <v>2.1161094505302569</v>
      </c>
      <c r="AD565" cm="1">
        <f t="array" ref="AD565">IFERROR(AVERAGE(_xlfn._xlws.FILTER(V$2:V$1073,($C$2:$C$1073=$C565)*($E$2:$E$1073=$E565)*(ROW(V$2:V$1073)&lt;&gt;ROW(V565))*(V$2:V$1073&lt;&gt;""))),"")</f>
        <v>0.71608088030209582</v>
      </c>
      <c r="AE565">
        <f>IF('Дивиденды по годам'!M565&lt;0,1,0)</f>
        <v>0</v>
      </c>
    </row>
    <row r="566" spans="1:31" x14ac:dyDescent="0.2">
      <c r="A566" s="7" t="s">
        <v>2317</v>
      </c>
      <c r="B566" t="str">
        <f t="shared" si="88"/>
        <v>FIXR IV кв. 2021</v>
      </c>
      <c r="C566">
        <v>2021</v>
      </c>
      <c r="D566">
        <f>SUMIFS(Дивиденды!$C:$C,Дивиденды!$A:$A,A566,Дивиденды!$I:$I,C566)</f>
        <v>0</v>
      </c>
      <c r="E566">
        <v>4</v>
      </c>
      <c r="F566">
        <f t="shared" si="89"/>
        <v>0</v>
      </c>
      <c r="G566">
        <f t="shared" si="90"/>
        <v>31.931428571428572</v>
      </c>
      <c r="H566">
        <f t="shared" si="91"/>
        <v>0</v>
      </c>
      <c r="I566">
        <f t="shared" si="92"/>
        <v>0.2857142857142857</v>
      </c>
      <c r="J566">
        <f t="shared" si="93"/>
        <v>0</v>
      </c>
      <c r="K566">
        <f t="shared" si="98"/>
        <v>0.1975016604235505</v>
      </c>
      <c r="L566">
        <f t="shared" si="94"/>
        <v>0</v>
      </c>
      <c r="M566">
        <f t="shared" si="95"/>
        <v>0.21428571428571427</v>
      </c>
      <c r="N566">
        <f t="shared" si="96"/>
        <v>0</v>
      </c>
      <c r="O566">
        <f t="shared" si="97"/>
        <v>7.1428571428571425E-2</v>
      </c>
      <c r="P566">
        <f>IFERROR(LN('Дивиденды по годам'!I566),"")</f>
        <v>25.165081450266563</v>
      </c>
      <c r="Q566">
        <f>IFERROR('Дивиденды по годам'!G566/'Дивиденды по годам'!I566, "")</f>
        <v>0.2136137244050913</v>
      </c>
      <c r="R566">
        <f>IFERROR(IF(AND('Дивиденды по годам'!N566&lt;&gt;"",'Дивиденды по годам'!U566&lt;&gt;"",'Дивиденды по годам'!U566&lt;&gt;0),'Дивиденды по годам'!N566/'Дивиденды по годам'!U566-1,""),"")</f>
        <v>0.21263923308025401</v>
      </c>
      <c r="S566">
        <f>IFERROR(IF(AND('Дивиденды по годам'!L566&lt;&gt;"",'Дивиденды по годам'!I566&lt;&gt;"",'Дивиденды по годам'!J566&lt;&gt;"",'Дивиденды по годам'!K566&lt;&gt;"",('Дивиденды по годам'!I566-'Дивиденды по годам'!J566-'Дивиденды по годам'!K566)&lt;&gt;0),'Дивиденды по годам'!L566/('Дивиденды по годам'!I566-'Дивиденды по годам'!J566-'Дивиденды по годам'!K566),""),"")</f>
        <v>0.98132598069933574</v>
      </c>
      <c r="T566">
        <f>IFERROR(IF(AND('Дивиденды по годам'!Q566&lt;&gt;"",'Дивиденды по годам'!I566&lt;&gt;"",'Дивиденды по годам'!V566&lt;&gt;"",('Дивиденды по годам'!I566+'Дивиденды по годам'!V566)&lt;&gt;0),'Дивиденды по годам'!Q566/(('Дивиденды по годам'!I566+'Дивиденды по годам'!V566)/2),""),"")</f>
        <v>0.25610048133336527</v>
      </c>
      <c r="U566">
        <f>IFERROR(IF(AND('Дивиденды по годам'!J566&lt;&gt;"",'Дивиденды по годам'!K566&lt;&gt;"",'Дивиденды по годам'!M566&lt;&gt;"",'Дивиденды по годам'!M566&lt;&gt;0),('Дивиденды по годам'!J566+'Дивиденды по годам'!K566)/'Дивиденды по годам'!M566,""),"")</f>
        <v>9.644065672390024</v>
      </c>
      <c r="V566">
        <f>IFERROR(IF(AND('Дивиденды по годам'!J566&lt;&gt;"",'Дивиденды по годам'!K566&lt;&gt;"",'Дивиденды по годам'!M566&lt;&gt;"",'Дивиденды по годам'!I566&lt;&gt;0),('Дивиденды по годам'!J566+'Дивиденды по годам'!K566)/'Дивиденды по годам'!I566,""),"")</f>
        <v>0.90605093666474346</v>
      </c>
      <c r="W566">
        <f>IFERROR('Дивиденды по годам'!I566,"")</f>
        <v>84929000000</v>
      </c>
      <c r="X566" cm="1">
        <f t="array" ref="X566">IFERROR(AVERAGE(_xlfn._xlws.FILTER(P$2:P$1073,($C$2:$C$1073=$C566)*($E$2:$E$1073=$E566)*(ROW(P$2:P$1073)&lt;&gt;ROW(P566))*(P$2:P$1073&lt;&gt;""))),"")</f>
        <v>25.189877583389954</v>
      </c>
      <c r="Y566" cm="1">
        <f t="array" ref="Y566">IFERROR(AVERAGE(_xlfn._xlws.FILTER(Q$2:Q$1073,($C$2:$C$1073=$C566)*($E$2:$E$1073=$E566)*(ROW(Q$2:Q$1073)&lt;&gt;ROW(Q566))*(Q$2:Q$1073&lt;&gt;""))),"")</f>
        <v>0.23706307670185303</v>
      </c>
      <c r="Z566" cm="1">
        <f t="array" ref="Z566">IFERROR(AVERAGE(_xlfn._xlws.FILTER(R$2:R$1073,($C$2:$C$1073=$C566)*($E$2:$E$1073=$E566)*(ROW(R$2:R$1073)&lt;&gt;ROW(R566))*(R$2:R$1073&lt;&gt;""))),"")</f>
        <v>0.33073045792875011</v>
      </c>
      <c r="AA566" cm="1">
        <f t="array" ref="AA566">IFERROR(AVERAGE(_xlfn._xlws.FILTER(S$2:S$1073,($C$2:$C$1073=$C566)*($E$2:$E$1073=$E566)*(ROW(S$2:S$1073)&lt;&gt;ROW(S566))*(S$2:S$1073&lt;&gt;""))),"")</f>
        <v>1.3505768208856459</v>
      </c>
      <c r="AB566" cm="1">
        <f t="array" ref="AB566">IFERROR(AVERAGE(_xlfn._xlws.FILTER(T$2:T$1073,($C$2:$C$1073=$C566)*($E$2:$E$1073=$E566)*(ROW(T$2:T$1073)&lt;&gt;ROW(T566))*(T$2:T$1073&lt;&gt;""))),"")</f>
        <v>8.3181711724767377E-2</v>
      </c>
      <c r="AC566" cm="1">
        <f t="array" ref="AC566">IFERROR(AVERAGE(_xlfn._xlws.FILTER(U$2:U$1073,($C$2:$C$1073=$C566)*($E$2:$E$1073=$E566)*(ROW(U$2:U$1073)&lt;&gt;ROW(U566))*(U$2:U$1073&lt;&gt;""))),"")</f>
        <v>17.544845543253693</v>
      </c>
      <c r="AD566" cm="1">
        <f t="array" ref="AD566">IFERROR(AVERAGE(_xlfn._xlws.FILTER(V$2:V$1073,($C$2:$C$1073=$C566)*($E$2:$E$1073=$E566)*(ROW(V$2:V$1073)&lt;&gt;ROW(V566))*(V$2:V$1073&lt;&gt;""))),"")</f>
        <v>0.76164216777391214</v>
      </c>
      <c r="AE566">
        <f>IF('Дивиденды по годам'!M566&lt;0,1,0)</f>
        <v>0</v>
      </c>
    </row>
    <row r="567" spans="1:31" x14ac:dyDescent="0.2">
      <c r="A567" s="7" t="s">
        <v>2317</v>
      </c>
      <c r="B567" t="str">
        <f t="shared" si="88"/>
        <v>FIXR IV кв. 2020</v>
      </c>
      <c r="C567">
        <v>2020</v>
      </c>
      <c r="D567">
        <f>SUMIFS(Дивиденды!$C:$C,Дивиденды!$A:$A,A567,Дивиденды!$I:$I,C567)</f>
        <v>0</v>
      </c>
      <c r="E567">
        <v>4</v>
      </c>
      <c r="F567">
        <f t="shared" si="89"/>
        <v>0</v>
      </c>
      <c r="G567">
        <f t="shared" si="90"/>
        <v>43.293571428571433</v>
      </c>
      <c r="H567">
        <f t="shared" si="91"/>
        <v>0</v>
      </c>
      <c r="I567">
        <f t="shared" si="92"/>
        <v>0.2857142857142857</v>
      </c>
      <c r="J567">
        <f t="shared" si="93"/>
        <v>0</v>
      </c>
      <c r="K567">
        <f t="shared" si="98"/>
        <v>0.26831617204892738</v>
      </c>
      <c r="L567">
        <f t="shared" si="94"/>
        <v>0</v>
      </c>
      <c r="M567">
        <f t="shared" si="95"/>
        <v>0.2857142857142857</v>
      </c>
      <c r="N567">
        <f t="shared" si="96"/>
        <v>0</v>
      </c>
      <c r="O567">
        <f t="shared" si="97"/>
        <v>0</v>
      </c>
      <c r="P567">
        <f>IFERROR(LN('Дивиденды по годам'!I567),"")</f>
        <v>25.13128911164597</v>
      </c>
      <c r="Q567">
        <f>IFERROR('Дивиденды по годам'!G567/'Дивиденды по годам'!I567, "")</f>
        <v>0.16208118674412655</v>
      </c>
      <c r="R567">
        <f>IFERROR(IF(AND('Дивиденды по годам'!N567&lt;&gt;"",'Дивиденды по годам'!U567&lt;&gt;"",'Дивиденды по годам'!U567&lt;&gt;0),'Дивиденды по годам'!N567/'Дивиденды по годам'!U567-1,""),"")</f>
        <v>0.33020016797312435</v>
      </c>
      <c r="S567">
        <f>IFERROR(IF(AND('Дивиденды по годам'!L567&lt;&gt;"",'Дивиденды по годам'!I567&lt;&gt;"",'Дивиденды по годам'!J567&lt;&gt;"",'Дивиденды по годам'!K567&lt;&gt;"",('Дивиденды по годам'!I567-'Дивиденды по годам'!J567-'Дивиденды по годам'!K567)&lt;&gt;0),'Дивиденды по годам'!L567/('Дивиденды по годам'!I567-'Дивиденды по годам'!J567-'Дивиденды по годам'!K567),""),"")</f>
        <v>1.0448877805486285</v>
      </c>
      <c r="T567">
        <f>IFERROR(IF(AND('Дивиденды по годам'!Q567&lt;&gt;"",'Дивиденды по годам'!I567&lt;&gt;"",'Дивиденды по годам'!V567&lt;&gt;"",('Дивиденды по годам'!I567+'Дивиденды по годам'!V567)&lt;&gt;0),'Дивиденды по годам'!Q567/(('Дивиденды по годам'!I567+'Дивиденды по годам'!V567)/2),""),"")</f>
        <v>0.25889943800776333</v>
      </c>
      <c r="U567">
        <f>IFERROR(IF(AND('Дивиденды по годам'!J567&lt;&gt;"",'Дивиденды по годам'!K567&lt;&gt;"",'Дивиденды по годам'!M567&lt;&gt;"",'Дивиденды по годам'!M567&lt;&gt;0),('Дивиденды по годам'!J567+'Дивиденды по годам'!K567)/'Дивиденды по годам'!M567,""),"")</f>
        <v>-23.75062344139651</v>
      </c>
      <c r="V567">
        <f>IFERROR(IF(AND('Дивиденды по годам'!J567&lt;&gt;"",'Дивиденды по годам'!K567&lt;&gt;"",'Дивиденды по годам'!M567&lt;&gt;"",'Дивиденды по годам'!I567&lt;&gt;0),('Дивиденды по годам'!J567+'Дивиденды по годам'!K567)/'Дивиденды по годам'!I567,""),"")</f>
        <v>1.0439548394168585</v>
      </c>
      <c r="W567">
        <f>IFERROR('Дивиденды по годам'!I567,"")</f>
        <v>82107000000</v>
      </c>
      <c r="X567" cm="1">
        <f t="array" ref="X567">IFERROR(AVERAGE(_xlfn._xlws.FILTER(P$2:P$1073,($C$2:$C$1073=$C567)*($E$2:$E$1073=$E567)*(ROW(P$2:P$1073)&lt;&gt;ROW(P567))*(P$2:P$1073&lt;&gt;""))),"")</f>
        <v>25.297869882455082</v>
      </c>
      <c r="Y567" cm="1">
        <f t="array" ref="Y567">IFERROR(AVERAGE(_xlfn._xlws.FILTER(Q$2:Q$1073,($C$2:$C$1073=$C567)*($E$2:$E$1073=$E567)*(ROW(Q$2:Q$1073)&lt;&gt;ROW(Q567))*(Q$2:Q$1073&lt;&gt;""))),"")</f>
        <v>0.27400331250322735</v>
      </c>
      <c r="Z567" cm="1">
        <f t="array" ref="Z567">IFERROR(AVERAGE(_xlfn._xlws.FILTER(R$2:R$1073,($C$2:$C$1073=$C567)*($E$2:$E$1073=$E567)*(ROW(R$2:R$1073)&lt;&gt;ROW(R567))*(R$2:R$1073&lt;&gt;""))),"")</f>
        <v>6.7659190905780486E-2</v>
      </c>
      <c r="AA567" cm="1">
        <f t="array" ref="AA567">IFERROR(AVERAGE(_xlfn._xlws.FILTER(S$2:S$1073,($C$2:$C$1073=$C567)*($E$2:$E$1073=$E567)*(ROW(S$2:S$1073)&lt;&gt;ROW(S567))*(S$2:S$1073&lt;&gt;""))),"")</f>
        <v>1.8043618669556845</v>
      </c>
      <c r="AB567" cm="1">
        <f t="array" ref="AB567">IFERROR(AVERAGE(_xlfn._xlws.FILTER(T$2:T$1073,($C$2:$C$1073=$C567)*($E$2:$E$1073=$E567)*(ROW(T$2:T$1073)&lt;&gt;ROW(T567))*(T$2:T$1073&lt;&gt;""))),"")</f>
        <v>4.3554954366131812E-2</v>
      </c>
      <c r="AC567" cm="1">
        <f t="array" ref="AC567">IFERROR(AVERAGE(_xlfn._xlws.FILTER(U$2:U$1073,($C$2:$C$1073=$C567)*($E$2:$E$1073=$E567)*(ROW(U$2:U$1073)&lt;&gt;ROW(U567))*(U$2:U$1073&lt;&gt;""))),"")</f>
        <v>-8.6089309793216682</v>
      </c>
      <c r="AD567" cm="1">
        <f t="array" ref="AD567">IFERROR(AVERAGE(_xlfn._xlws.FILTER(V$2:V$1073,($C$2:$C$1073=$C567)*($E$2:$E$1073=$E567)*(ROW(V$2:V$1073)&lt;&gt;ROW(V567))*(V$2:V$1073&lt;&gt;""))),"")</f>
        <v>0.74498795924691152</v>
      </c>
      <c r="AE567">
        <f>IF('Дивиденды по годам'!M567&lt;0,1,0)</f>
        <v>1</v>
      </c>
    </row>
    <row r="568" spans="1:31" x14ac:dyDescent="0.2">
      <c r="A568" s="7" t="s">
        <v>2317</v>
      </c>
      <c r="B568" t="str">
        <f t="shared" si="88"/>
        <v>FIXR IV кв. 2019</v>
      </c>
      <c r="C568">
        <v>2019</v>
      </c>
      <c r="D568">
        <f>SUMIFS(Дивиденды!$C:$C,Дивиденды!$A:$A,A568,Дивиденды!$I:$I,C568)</f>
        <v>0</v>
      </c>
      <c r="E568">
        <v>4</v>
      </c>
      <c r="F568">
        <f t="shared" si="89"/>
        <v>0</v>
      </c>
      <c r="G568">
        <f t="shared" si="90"/>
        <v>24.398571428571426</v>
      </c>
      <c r="H568">
        <f t="shared" si="91"/>
        <v>0</v>
      </c>
      <c r="I568">
        <f t="shared" si="92"/>
        <v>0.21428571428571427</v>
      </c>
      <c r="J568">
        <f t="shared" si="93"/>
        <v>0</v>
      </c>
      <c r="K568">
        <f t="shared" si="98"/>
        <v>0.10876410731109194</v>
      </c>
      <c r="L568">
        <f t="shared" si="94"/>
        <v>0</v>
      </c>
      <c r="M568">
        <f t="shared" si="95"/>
        <v>0.21428571428571427</v>
      </c>
      <c r="N568">
        <f t="shared" si="96"/>
        <v>0</v>
      </c>
      <c r="O568">
        <f t="shared" si="97"/>
        <v>0</v>
      </c>
      <c r="P568">
        <f>IFERROR(LN('Дивиденды по годам'!I568),"")</f>
        <v>24.70593368194389</v>
      </c>
      <c r="Q568">
        <f>IFERROR('Дивиденды по годам'!G568/'Дивиденды по годам'!I568, "")</f>
        <v>0.20279537830786434</v>
      </c>
      <c r="R568">
        <f>IFERROR(IF(AND('Дивиденды по годам'!N568&lt;&gt;"",'Дивиденды по годам'!U568&lt;&gt;"",'Дивиденды по годам'!U568&lt;&gt;0),'Дивиденды по годам'!N568/'Дивиденды по годам'!U568-1,""),"")</f>
        <v>0.31368204260640109</v>
      </c>
      <c r="S568">
        <f>IFERROR(IF(AND('Дивиденды по годам'!L568&lt;&gt;"",'Дивиденды по годам'!I568&lt;&gt;"",'Дивиденды по годам'!J568&lt;&gt;"",'Дивиденды по годам'!K568&lt;&gt;"",('Дивиденды по годам'!I568-'Дивиденды по годам'!J568-'Дивиденды по годам'!K568)&lt;&gt;0),'Дивиденды по годам'!L568/('Дивиденды по годам'!I568-'Дивиденды по годам'!J568-'Дивиденды по годам'!K568),""),"")</f>
        <v>0.9864664280101284</v>
      </c>
      <c r="T568">
        <f>IFERROR(IF(AND('Дивиденды по годам'!Q568&lt;&gt;"",'Дивиденды по годам'!I568&lt;&gt;"",'Дивиденды по годам'!V568&lt;&gt;"",('Дивиденды по годам'!I568+'Дивиденды по годам'!V568)&lt;&gt;0),'Дивиденды по годам'!Q568/(('Дивиденды по годам'!I568+'Дивиденды по годам'!V568)/2),""),"")</f>
        <v>0.2962288335694529</v>
      </c>
      <c r="U568">
        <f>IFERROR(IF(AND('Дивиденды по годам'!J568&lt;&gt;"",'Дивиденды по годам'!K568&lt;&gt;"",'Дивиденды по годам'!M568&lt;&gt;"",'Дивиденды по годам'!M568&lt;&gt;0),('Дивиденды по годам'!J568+'Дивиденды по годам'!K568)/'Дивиденды по годам'!M568,""),"")</f>
        <v>3.6852353095258885</v>
      </c>
      <c r="V568">
        <f>IFERROR(IF(AND('Дивиденды по годам'!J568&lt;&gt;"",'Дивиденды по годам'!K568&lt;&gt;"",'Дивиденды по годам'!M568&lt;&gt;"",'Дивиденды по годам'!I568&lt;&gt;0),('Дивиденды по годам'!J568+'Дивиденды по годам'!K568)/'Дивиденды по годам'!I568,""),"")</f>
        <v>0.78656354826686548</v>
      </c>
      <c r="W568">
        <f>IFERROR('Дивиденды по годам'!I568,"")</f>
        <v>53660000000</v>
      </c>
      <c r="X568" cm="1">
        <f t="array" ref="X568">IFERROR(AVERAGE(_xlfn._xlws.FILTER(P$2:P$1073,($C$2:$C$1073=$C568)*($E$2:$E$1073=$E568)*(ROW(P$2:P$1073)&lt;&gt;ROW(P568))*(P$2:P$1073&lt;&gt;""))),"")</f>
        <v>25.167309647651635</v>
      </c>
      <c r="Y568" cm="1">
        <f t="array" ref="Y568">IFERROR(AVERAGE(_xlfn._xlws.FILTER(Q$2:Q$1073,($C$2:$C$1073=$C568)*($E$2:$E$1073=$E568)*(ROW(Q$2:Q$1073)&lt;&gt;ROW(Q568))*(Q$2:Q$1073&lt;&gt;""))),"")</f>
        <v>0.27931691002911291</v>
      </c>
      <c r="Z568" cm="1">
        <f t="array" ref="Z568">IFERROR(AVERAGE(_xlfn._xlws.FILTER(R$2:R$1073,($C$2:$C$1073=$C568)*($E$2:$E$1073=$E568)*(ROW(R$2:R$1073)&lt;&gt;ROW(R568))*(R$2:R$1073&lt;&gt;""))),"")</f>
        <v>0.42903366193632902</v>
      </c>
      <c r="AA568" cm="1">
        <f t="array" ref="AA568">IFERROR(AVERAGE(_xlfn._xlws.FILTER(S$2:S$1073,($C$2:$C$1073=$C568)*($E$2:$E$1073=$E568)*(ROW(S$2:S$1073)&lt;&gt;ROW(S568))*(S$2:S$1073&lt;&gt;""))),"")</f>
        <v>0.88589724652371238</v>
      </c>
      <c r="AB568" cm="1">
        <f t="array" ref="AB568">IFERROR(AVERAGE(_xlfn._xlws.FILTER(T$2:T$1073,($C$2:$C$1073=$C568)*($E$2:$E$1073=$E568)*(ROW(T$2:T$1073)&lt;&gt;ROW(T568))*(T$2:T$1073&lt;&gt;""))),"")</f>
        <v>7.1878867341743195E-3</v>
      </c>
      <c r="AC568" cm="1">
        <f t="array" ref="AC568">IFERROR(AVERAGE(_xlfn._xlws.FILTER(U$2:U$1073,($C$2:$C$1073=$C568)*($E$2:$E$1073=$E568)*(ROW(U$2:U$1073)&lt;&gt;ROW(U568))*(U$2:U$1073&lt;&gt;""))),"")</f>
        <v>-3.4355157564021765</v>
      </c>
      <c r="AD568" cm="1">
        <f t="array" ref="AD568">IFERROR(AVERAGE(_xlfn._xlws.FILTER(V$2:V$1073,($C$2:$C$1073=$C568)*($E$2:$E$1073=$E568)*(ROW(V$2:V$1073)&lt;&gt;ROW(V568))*(V$2:V$1073&lt;&gt;""))),"")</f>
        <v>0.81674468551986346</v>
      </c>
      <c r="AE568">
        <f>IF('Дивиденды по годам'!M568&lt;0,1,0)</f>
        <v>0</v>
      </c>
    </row>
    <row r="569" spans="1:31" x14ac:dyDescent="0.2">
      <c r="A569" s="7" t="s">
        <v>2317</v>
      </c>
      <c r="B569" t="str">
        <f t="shared" si="88"/>
        <v>FIXR IV кв. 2018</v>
      </c>
      <c r="C569">
        <v>2018</v>
      </c>
      <c r="D569">
        <f>SUMIFS(Дивиденды!$C:$C,Дивиденды!$A:$A,A569,Дивиденды!$I:$I,C569)</f>
        <v>0</v>
      </c>
      <c r="E569">
        <v>4</v>
      </c>
      <c r="F569">
        <f t="shared" si="89"/>
        <v>0</v>
      </c>
      <c r="G569">
        <f t="shared" si="90"/>
        <v>21.978571428571428</v>
      </c>
      <c r="H569">
        <f t="shared" si="91"/>
        <v>0</v>
      </c>
      <c r="I569">
        <f t="shared" si="92"/>
        <v>0.14285714285714285</v>
      </c>
      <c r="J569">
        <f t="shared" si="93"/>
        <v>0</v>
      </c>
      <c r="K569">
        <f t="shared" si="98"/>
        <v>-1.8223065562117002E-2</v>
      </c>
      <c r="L569">
        <f t="shared" si="94"/>
        <v>0</v>
      </c>
      <c r="M569">
        <f t="shared" si="95"/>
        <v>7.1428571428571425E-2</v>
      </c>
      <c r="N569">
        <f t="shared" si="96"/>
        <v>0</v>
      </c>
      <c r="O569">
        <f t="shared" si="97"/>
        <v>7.1428571428571425E-2</v>
      </c>
      <c r="P569">
        <f>IFERROR(LN('Дивиденды по годам'!I569),"")</f>
        <v>24.286525377135696</v>
      </c>
      <c r="Q569">
        <f>IFERROR('Дивиденды по годам'!G569/'Дивиденды по годам'!I569, "")</f>
        <v>0.25817790124156698</v>
      </c>
      <c r="R569">
        <f>IFERROR(IF(AND('Дивиденды по годам'!N569&lt;&gt;"",'Дивиденды по годам'!U569&lt;&gt;"",'Дивиденды по годам'!U569&lt;&gt;0),'Дивиденды по годам'!N569/'Дивиденды по годам'!U569-1,""),"")</f>
        <v>0.34854684322769436</v>
      </c>
      <c r="S569">
        <f>IFERROR(IF(AND('Дивиденды по годам'!L569&lt;&gt;"",'Дивиденды по годам'!I569&lt;&gt;"",'Дивиденды по годам'!J569&lt;&gt;"",'Дивиденды по годам'!K569&lt;&gt;"",('Дивиденды по годам'!I569-'Дивиденды по годам'!J569-'Дивиденды по годам'!K569)&lt;&gt;0),'Дивиденды по годам'!L569/('Дивиденды по годам'!I569-'Дивиденды по годам'!J569-'Дивиденды по годам'!K569),""),"")</f>
        <v>0.98829039812646369</v>
      </c>
      <c r="T569">
        <f>IFERROR(IF(AND('Дивиденды по годам'!Q569&lt;&gt;"",'Дивиденды по годам'!I569&lt;&gt;"",'Дивиденды по годам'!V569&lt;&gt;"",('Дивиденды по годам'!I569+'Дивиденды по годам'!V569)&lt;&gt;0),'Дивиденды по годам'!Q569/(('Дивиденды по годам'!I569+'Дивиденды по годам'!V569)/2),""),"")</f>
        <v>0.27898163146795441</v>
      </c>
      <c r="U569">
        <f>IFERROR(IF(AND('Дивиденды по годам'!J569&lt;&gt;"",'Дивиденды по годам'!K569&lt;&gt;"",'Дивиденды по годам'!M569&lt;&gt;"",'Дивиденды по годам'!M569&lt;&gt;0),('Дивиденды по годам'!J569+'Дивиденды по годам'!K569)/'Дивиденды по годам'!M569,""),"")</f>
        <v>1.6651053864168619</v>
      </c>
      <c r="V569">
        <f>IFERROR(IF(AND('Дивиденды по годам'!J569&lt;&gt;"",'Дивиденды по годам'!K569&lt;&gt;"",'Дивиденды по годам'!M569&lt;&gt;"",'Дивиденды по годам'!I569&lt;&gt;0),('Дивиденды по годам'!J569+'Дивиденды по годам'!K569)/'Дивиденды по годам'!I569,""),"")</f>
        <v>0.62478031634446396</v>
      </c>
      <c r="W569">
        <f>IFERROR('Дивиденды по годам'!I569,"")</f>
        <v>35278000000</v>
      </c>
      <c r="X569" cm="1">
        <f t="array" ref="X569">IFERROR(AVERAGE(_xlfn._xlws.FILTER(P$2:P$1073,($C$2:$C$1073=$C569)*($E$2:$E$1073=$E569)*(ROW(P$2:P$1073)&lt;&gt;ROW(P569))*(P$2:P$1073&lt;&gt;""))),"")</f>
        <v>25.011894925723272</v>
      </c>
      <c r="Y569" cm="1">
        <f t="array" ref="Y569">IFERROR(AVERAGE(_xlfn._xlws.FILTER(Q$2:Q$1073,($C$2:$C$1073=$C569)*($E$2:$E$1073=$E569)*(ROW(Q$2:Q$1073)&lt;&gt;ROW(Q569))*(Q$2:Q$1073&lt;&gt;""))),"")</f>
        <v>0.32598640078089186</v>
      </c>
      <c r="Z569" cm="1">
        <f t="array" ref="Z569">IFERROR(AVERAGE(_xlfn._xlws.FILTER(R$2:R$1073,($C$2:$C$1073=$C569)*($E$2:$E$1073=$E569)*(ROW(R$2:R$1073)&lt;&gt;ROW(R569))*(R$2:R$1073&lt;&gt;""))),"")</f>
        <v>7.9868626543515564E-3</v>
      </c>
      <c r="AA569" cm="1">
        <f t="array" ref="AA569">IFERROR(AVERAGE(_xlfn._xlws.FILTER(S$2:S$1073,($C$2:$C$1073=$C569)*($E$2:$E$1073=$E569)*(ROW(S$2:S$1073)&lt;&gt;ROW(S569))*(S$2:S$1073&lt;&gt;""))),"")</f>
        <v>0.58694085392900253</v>
      </c>
      <c r="AB569" cm="1">
        <f t="array" ref="AB569">IFERROR(AVERAGE(_xlfn._xlws.FILTER(T$2:T$1073,($C$2:$C$1073=$C569)*($E$2:$E$1073=$E569)*(ROW(T$2:T$1073)&lt;&gt;ROW(T569))*(T$2:T$1073&lt;&gt;""))),"")</f>
        <v>-3.8164742717552443E-2</v>
      </c>
      <c r="AC569" cm="1">
        <f t="array" ref="AC569">IFERROR(AVERAGE(_xlfn._xlws.FILTER(U$2:U$1073,($C$2:$C$1073=$C569)*($E$2:$E$1073=$E569)*(ROW(U$2:U$1073)&lt;&gt;ROW(U569))*(U$2:U$1073&lt;&gt;""))),"")</f>
        <v>0.97872736532211657</v>
      </c>
      <c r="AD569" cm="1">
        <f t="array" ref="AD569">IFERROR(AVERAGE(_xlfn._xlws.FILTER(V$2:V$1073,($C$2:$C$1073=$C569)*($E$2:$E$1073=$E569)*(ROW(V$2:V$1073)&lt;&gt;ROW(V569))*(V$2:V$1073&lt;&gt;""))),"")</f>
        <v>0.84817755001473494</v>
      </c>
      <c r="AE569">
        <f>IF('Дивиденды по годам'!M569&lt;0,1,0)</f>
        <v>0</v>
      </c>
    </row>
    <row r="570" spans="1:31" x14ac:dyDescent="0.2">
      <c r="A570" s="7" t="s">
        <v>2317</v>
      </c>
      <c r="B570" t="str">
        <f t="shared" si="88"/>
        <v>FIXR IV кв. 2017</v>
      </c>
      <c r="C570">
        <v>2017</v>
      </c>
      <c r="D570">
        <f>SUMIFS(Дивиденды!$C:$C,Дивиденды!$A:$A,A570,Дивиденды!$I:$I,C570)</f>
        <v>0</v>
      </c>
      <c r="E570">
        <v>4</v>
      </c>
      <c r="F570">
        <f t="shared" si="89"/>
        <v>0</v>
      </c>
      <c r="G570">
        <f t="shared" si="90"/>
        <v>18.403571428571428</v>
      </c>
      <c r="H570">
        <f t="shared" si="91"/>
        <v>0</v>
      </c>
      <c r="I570">
        <f t="shared" si="92"/>
        <v>0.14285714285714285</v>
      </c>
      <c r="J570">
        <f t="shared" si="93"/>
        <v>0</v>
      </c>
      <c r="K570">
        <f t="shared" si="98"/>
        <v>-1.7352821773673279E-2</v>
      </c>
      <c r="L570">
        <f t="shared" si="94"/>
        <v>0</v>
      </c>
      <c r="M570">
        <f t="shared" si="95"/>
        <v>0</v>
      </c>
      <c r="N570">
        <f t="shared" si="96"/>
        <v>0</v>
      </c>
      <c r="O570">
        <f t="shared" si="97"/>
        <v>0.14285714285714285</v>
      </c>
      <c r="P570">
        <f>IFERROR(LN('Дивиденды по годам'!I570),"")</f>
        <v>24.129782380086166</v>
      </c>
      <c r="Q570">
        <f>IFERROR('Дивиденды по годам'!G570/'Дивиденды по годам'!I570, "")</f>
        <v>0.26458885941644561</v>
      </c>
      <c r="R570" t="str">
        <f>IFERROR(IF(AND('Дивиденды по годам'!N570&lt;&gt;"",'Дивиденды по годам'!U570&lt;&gt;"",'Дивиденды по годам'!U570&lt;&gt;0),'Дивиденды по годам'!N570/'Дивиденды по годам'!U570-1,""),"")</f>
        <v/>
      </c>
      <c r="S570">
        <f>IFERROR(IF(AND('Дивиденды по годам'!L570&lt;&gt;"",'Дивиденды по годам'!I570&lt;&gt;"",'Дивиденды по годам'!J570&lt;&gt;"",'Дивиденды по годам'!K570&lt;&gt;"",('Дивиденды по годам'!I570-'Дивиденды по годам'!J570-'Дивиденды по годам'!K570)&lt;&gt;0),'Дивиденды по годам'!L570/('Дивиденды по годам'!I570-'Дивиденды по годам'!J570-'Дивиденды по годам'!K570),""),"")</f>
        <v>0.98557065723328985</v>
      </c>
      <c r="T570" t="str">
        <f>IFERROR(IF(AND('Дивиденды по годам'!Q570&lt;&gt;"",'Дивиденды по годам'!I570&lt;&gt;"",'Дивиденды по годам'!V570&lt;&gt;"",('Дивиденды по годам'!I570+'Дивиденды по годам'!V570)&lt;&gt;0),'Дивиденды по годам'!Q570/(('Дивиденды по годам'!I570+'Дивиденды по годам'!V570)/2),""),"")</f>
        <v/>
      </c>
      <c r="U570">
        <f>IFERROR(IF(AND('Дивиденды по годам'!J570&lt;&gt;"",'Дивиденды по годам'!K570&lt;&gt;"",'Дивиденды по годам'!M570&lt;&gt;"",'Дивиденды по годам'!M570&lt;&gt;0),('Дивиденды по годам'!J570+'Дивиденды по годам'!K570)/'Дивиденды по годам'!M570,""),"")</f>
        <v>1.807670824799851</v>
      </c>
      <c r="V570">
        <f>IFERROR(IF(AND('Дивиденды по годам'!J570&lt;&gt;"",'Дивиденды по годам'!K570&lt;&gt;"",'Дивиденды по годам'!M570&lt;&gt;"",'Дивиденды по годам'!I570&lt;&gt;0),('Дивиденды по годам'!J570+'Дивиденды по годам'!K570)/'Дивиденды по годам'!I570,""),"")</f>
        <v>0.6438328912466843</v>
      </c>
      <c r="W570">
        <f>IFERROR('Дивиденды по годам'!I570,"")</f>
        <v>30160000000</v>
      </c>
      <c r="X570" cm="1">
        <f t="array" ref="X570">IFERROR(AVERAGE(_xlfn._xlws.FILTER(P$2:P$1073,($C$2:$C$1073=$C570)*($E$2:$E$1073=$E570)*(ROW(P$2:P$1073)&lt;&gt;ROW(P570))*(P$2:P$1073&lt;&gt;""))),"")</f>
        <v>24.836698596338824</v>
      </c>
      <c r="Y570" cm="1">
        <f t="array" ref="Y570">IFERROR(AVERAGE(_xlfn._xlws.FILTER(Q$2:Q$1073,($C$2:$C$1073=$C570)*($E$2:$E$1073=$E570)*(ROW(Q$2:Q$1073)&lt;&gt;ROW(Q570))*(Q$2:Q$1073&lt;&gt;""))),"")</f>
        <v>0.35234931820227372</v>
      </c>
      <c r="Z570" cm="1">
        <f t="array" ref="Z570">IFERROR(AVERAGE(_xlfn._xlws.FILTER(R$2:R$1073,($C$2:$C$1073=$C570)*($E$2:$E$1073=$E570)*(ROW(R$2:R$1073)&lt;&gt;ROW(R570))*(R$2:R$1073&lt;&gt;""))),"")</f>
        <v>0.23691718521625563</v>
      </c>
      <c r="AA570" cm="1">
        <f t="array" ref="AA570">IFERROR(AVERAGE(_xlfn._xlws.FILTER(S$2:S$1073,($C$2:$C$1073=$C570)*($E$2:$E$1073=$E570)*(ROW(S$2:S$1073)&lt;&gt;ROW(S570))*(S$2:S$1073&lt;&gt;""))),"")</f>
        <v>0.55644223353804878</v>
      </c>
      <c r="AB570" cm="1">
        <f t="array" ref="AB570">IFERROR(AVERAGE(_xlfn._xlws.FILTER(T$2:T$1073,($C$2:$C$1073=$C570)*($E$2:$E$1073=$E570)*(ROW(T$2:T$1073)&lt;&gt;ROW(T570))*(T$2:T$1073&lt;&gt;""))),"")</f>
        <v>-2.7044382152168867E-2</v>
      </c>
      <c r="AC570" cm="1">
        <f t="array" ref="AC570">IFERROR(AVERAGE(_xlfn._xlws.FILTER(U$2:U$1073,($C$2:$C$1073=$C570)*($E$2:$E$1073=$E570)*(ROW(U$2:U$1073)&lt;&gt;ROW(U570))*(U$2:U$1073&lt;&gt;""))),"")</f>
        <v>0.42929639878397569</v>
      </c>
      <c r="AD570" cm="1">
        <f t="array" ref="AD570">IFERROR(AVERAGE(_xlfn._xlws.FILTER(V$2:V$1073,($C$2:$C$1073=$C570)*($E$2:$E$1073=$E570)*(ROW(V$2:V$1073)&lt;&gt;ROW(V570))*(V$2:V$1073&lt;&gt;""))),"")</f>
        <v>0.67032677762073301</v>
      </c>
      <c r="AE570">
        <f>IF('Дивиденды по годам'!M570&lt;0,1,0)</f>
        <v>0</v>
      </c>
    </row>
    <row r="571" spans="1:31" x14ac:dyDescent="0.2">
      <c r="A571" s="7" t="s">
        <v>2317</v>
      </c>
      <c r="B571" t="str">
        <f t="shared" si="88"/>
        <v>FIXR IV кв. 2016</v>
      </c>
      <c r="C571">
        <v>2016</v>
      </c>
      <c r="D571">
        <f>SUMIFS(Дивиденды!$C:$C,Дивиденды!$A:$A,A571,Дивиденды!$I:$I,C571)</f>
        <v>0</v>
      </c>
      <c r="E571">
        <v>4</v>
      </c>
      <c r="F571">
        <f t="shared" si="89"/>
        <v>0</v>
      </c>
      <c r="G571">
        <f t="shared" si="90"/>
        <v>20.421428571428571</v>
      </c>
      <c r="H571">
        <f t="shared" si="91"/>
        <v>0</v>
      </c>
      <c r="I571">
        <f t="shared" si="92"/>
        <v>0.14285714285714285</v>
      </c>
      <c r="J571">
        <f t="shared" si="93"/>
        <v>0</v>
      </c>
      <c r="K571">
        <f t="shared" si="98"/>
        <v>2.0593461763560781E-2</v>
      </c>
      <c r="L571">
        <f t="shared" si="94"/>
        <v>0</v>
      </c>
      <c r="M571">
        <f t="shared" si="95"/>
        <v>7.1428571428571425E-2</v>
      </c>
      <c r="N571">
        <f t="shared" si="96"/>
        <v>0</v>
      </c>
      <c r="O571">
        <f t="shared" si="97"/>
        <v>7.1428571428571425E-2</v>
      </c>
      <c r="P571" t="str">
        <f>IFERROR(LN('Дивиденды по годам'!I571),"")</f>
        <v/>
      </c>
      <c r="Q571" t="str">
        <f>IFERROR('Дивиденды по годам'!G571/'Дивиденды по годам'!I571, "")</f>
        <v/>
      </c>
      <c r="R571" t="str">
        <f>IFERROR(IF(AND('Дивиденды по годам'!N571&lt;&gt;"",'Дивиденды по годам'!U571&lt;&gt;"",'Дивиденды по годам'!U571&lt;&gt;0),'Дивиденды по годам'!N571/'Дивиденды по годам'!U571-1,""),"")</f>
        <v/>
      </c>
      <c r="S571" t="str">
        <f>IFERROR(IF(AND('Дивиденды по годам'!L571&lt;&gt;"",'Дивиденды по годам'!I571&lt;&gt;"",'Дивиденды по годам'!J571&lt;&gt;"",'Дивиденды по годам'!K571&lt;&gt;"",('Дивиденды по годам'!I571-'Дивиденды по годам'!J571-'Дивиденды по годам'!K571)&lt;&gt;0),'Дивиденды по годам'!L571/('Дивиденды по годам'!I571-'Дивиденды по годам'!J571-'Дивиденды по годам'!K571),""),"")</f>
        <v/>
      </c>
      <c r="T571" t="str">
        <f>IFERROR(IF(AND('Дивиденды по годам'!Q571&lt;&gt;"",'Дивиденды по годам'!I571&lt;&gt;"",'Дивиденды по годам'!V571&lt;&gt;"",('Дивиденды по годам'!I571+'Дивиденды по годам'!V571)&lt;&gt;0),'Дивиденды по годам'!Q571/(('Дивиденды по годам'!I571+'Дивиденды по годам'!V571)/2),""),"")</f>
        <v/>
      </c>
      <c r="U571" t="str">
        <f>IFERROR(IF(AND('Дивиденды по годам'!J571&lt;&gt;"",'Дивиденды по годам'!K571&lt;&gt;"",'Дивиденды по годам'!M571&lt;&gt;"",'Дивиденды по годам'!M571&lt;&gt;0),('Дивиденды по годам'!J571+'Дивиденды по годам'!K571)/'Дивиденды по годам'!M571,""),"")</f>
        <v/>
      </c>
      <c r="V571" t="str">
        <f>IFERROR(IF(AND('Дивиденды по годам'!J571&lt;&gt;"",'Дивиденды по годам'!K571&lt;&gt;"",'Дивиденды по годам'!M571&lt;&gt;"",'Дивиденды по годам'!I571&lt;&gt;0),('Дивиденды по годам'!J571+'Дивиденды по годам'!K571)/'Дивиденды по годам'!I571,""),"")</f>
        <v/>
      </c>
      <c r="W571" t="str">
        <f>IFERROR('Дивиденды по годам'!I571,"")</f>
        <v/>
      </c>
      <c r="X571" cm="1">
        <f t="array" ref="X571">IFERROR(AVERAGE(_xlfn._xlws.FILTER(P$2:P$1073,($C$2:$C$1073=$C571)*($E$2:$E$1073=$E571)*(ROW(P$2:P$1073)&lt;&gt;ROW(P571))*(P$2:P$1073&lt;&gt;""))),"")</f>
        <v>24.55530958635584</v>
      </c>
      <c r="Y571" cm="1">
        <f t="array" ref="Y571">IFERROR(AVERAGE(_xlfn._xlws.FILTER(Q$2:Q$1073,($C$2:$C$1073=$C571)*($E$2:$E$1073=$E571)*(ROW(Q$2:Q$1073)&lt;&gt;ROW(Q571))*(Q$2:Q$1073&lt;&gt;""))),"")</f>
        <v>0.27878606899788128</v>
      </c>
      <c r="Z571" cm="1">
        <f t="array" ref="Z571">IFERROR(AVERAGE(_xlfn._xlws.FILTER(R$2:R$1073,($C$2:$C$1073=$C571)*($E$2:$E$1073=$E571)*(ROW(R$2:R$1073)&lt;&gt;ROW(R571))*(R$2:R$1073&lt;&gt;""))),"")</f>
        <v>0.16612325919082049</v>
      </c>
      <c r="AA571" cm="1">
        <f t="array" ref="AA571">IFERROR(AVERAGE(_xlfn._xlws.FILTER(S$2:S$1073,($C$2:$C$1073=$C571)*($E$2:$E$1073=$E571)*(ROW(S$2:S$1073)&lt;&gt;ROW(S571))*(S$2:S$1073&lt;&gt;""))),"")</f>
        <v>6.2178681719613929</v>
      </c>
      <c r="AB571" cm="1">
        <f t="array" ref="AB571">IFERROR(AVERAGE(_xlfn._xlws.FILTER(T$2:T$1073,($C$2:$C$1073=$C571)*($E$2:$E$1073=$E571)*(ROW(T$2:T$1073)&lt;&gt;ROW(T571))*(T$2:T$1073&lt;&gt;""))),"")</f>
        <v>-2.007011623977166E-2</v>
      </c>
      <c r="AC571" cm="1">
        <f t="array" ref="AC571">IFERROR(AVERAGE(_xlfn._xlws.FILTER(U$2:U$1073,($C$2:$C$1073=$C571)*($E$2:$E$1073=$E571)*(ROW(U$2:U$1073)&lt;&gt;ROW(U571))*(U$2:U$1073&lt;&gt;""))),"")</f>
        <v>-16.044507701133888</v>
      </c>
      <c r="AD571" cm="1">
        <f t="array" ref="AD571">IFERROR(AVERAGE(_xlfn._xlws.FILTER(V$2:V$1073,($C$2:$C$1073=$C571)*($E$2:$E$1073=$E571)*(ROW(V$2:V$1073)&lt;&gt;ROW(V571))*(V$2:V$1073&lt;&gt;""))),"")</f>
        <v>0.64687882816141706</v>
      </c>
      <c r="AE571">
        <f>IF('Дивиденды по годам'!M571&lt;0,1,0)</f>
        <v>0</v>
      </c>
    </row>
    <row r="572" spans="1:31" x14ac:dyDescent="0.2">
      <c r="A572" s="7" t="s">
        <v>2317</v>
      </c>
      <c r="B572" t="str">
        <f t="shared" si="88"/>
        <v>FIXR IV кв. 2015</v>
      </c>
      <c r="C572">
        <v>2015</v>
      </c>
      <c r="D572">
        <f>SUMIFS(Дивиденды!$C:$C,Дивиденды!$A:$A,A572,Дивиденды!$I:$I,C572)</f>
        <v>0</v>
      </c>
      <c r="E572">
        <v>4</v>
      </c>
      <c r="F572">
        <f t="shared" si="89"/>
        <v>0</v>
      </c>
      <c r="G572">
        <f t="shared" si="90"/>
        <v>22.574999999999999</v>
      </c>
      <c r="H572">
        <f t="shared" si="91"/>
        <v>0</v>
      </c>
      <c r="I572">
        <f t="shared" si="92"/>
        <v>0.14285714285714285</v>
      </c>
      <c r="J572">
        <f t="shared" si="93"/>
        <v>0</v>
      </c>
      <c r="K572">
        <f t="shared" si="98"/>
        <v>6.1102189263868886E-2</v>
      </c>
      <c r="L572">
        <f t="shared" si="94"/>
        <v>0</v>
      </c>
      <c r="M572">
        <f t="shared" si="95"/>
        <v>7.1428571428571425E-2</v>
      </c>
      <c r="N572">
        <f t="shared" si="96"/>
        <v>0</v>
      </c>
      <c r="O572">
        <f t="shared" si="97"/>
        <v>7.1428571428571425E-2</v>
      </c>
      <c r="P572" t="str">
        <f>IFERROR(LN('Дивиденды по годам'!I572),"")</f>
        <v/>
      </c>
      <c r="Q572" t="str">
        <f>IFERROR('Дивиденды по годам'!G572/'Дивиденды по годам'!I572, "")</f>
        <v/>
      </c>
      <c r="R572" t="str">
        <f>IFERROR(IF(AND('Дивиденды по годам'!N572&lt;&gt;"",'Дивиденды по годам'!U572&lt;&gt;"",'Дивиденды по годам'!U572&lt;&gt;0),'Дивиденды по годам'!N572/'Дивиденды по годам'!U572-1,""),"")</f>
        <v/>
      </c>
      <c r="S572" t="str">
        <f>IFERROR(IF(AND('Дивиденды по годам'!L572&lt;&gt;"",'Дивиденды по годам'!I572&lt;&gt;"",'Дивиденды по годам'!J572&lt;&gt;"",'Дивиденды по годам'!K572&lt;&gt;"",('Дивиденды по годам'!I572-'Дивиденды по годам'!J572-'Дивиденды по годам'!K572)&lt;&gt;0),'Дивиденды по годам'!L572/('Дивиденды по годам'!I572-'Дивиденды по годам'!J572-'Дивиденды по годам'!K572),""),"")</f>
        <v/>
      </c>
      <c r="T572" t="str">
        <f>IFERROR(IF(AND('Дивиденды по годам'!Q572&lt;&gt;"",'Дивиденды по годам'!I572&lt;&gt;"",'Дивиденды по годам'!V572&lt;&gt;"",('Дивиденды по годам'!I572+'Дивиденды по годам'!V572)&lt;&gt;0),'Дивиденды по годам'!Q572/(('Дивиденды по годам'!I572+'Дивиденды по годам'!V572)/2),""),"")</f>
        <v/>
      </c>
      <c r="U572" t="str">
        <f>IFERROR(IF(AND('Дивиденды по годам'!J572&lt;&gt;"",'Дивиденды по годам'!K572&lt;&gt;"",'Дивиденды по годам'!M572&lt;&gt;"",'Дивиденды по годам'!M572&lt;&gt;0),('Дивиденды по годам'!J572+'Дивиденды по годам'!K572)/'Дивиденды по годам'!M572,""),"")</f>
        <v/>
      </c>
      <c r="V572" t="str">
        <f>IFERROR(IF(AND('Дивиденды по годам'!J572&lt;&gt;"",'Дивиденды по годам'!K572&lt;&gt;"",'Дивиденды по годам'!M572&lt;&gt;"",'Дивиденды по годам'!I572&lt;&gt;0),('Дивиденды по годам'!J572+'Дивиденды по годам'!K572)/'Дивиденды по годам'!I572,""),"")</f>
        <v/>
      </c>
      <c r="W572" t="str">
        <f>IFERROR('Дивиденды по годам'!I572,"")</f>
        <v/>
      </c>
      <c r="X572" cm="1">
        <f t="array" ref="X572">IFERROR(AVERAGE(_xlfn._xlws.FILTER(P$2:P$1073,($C$2:$C$1073=$C572)*($E$2:$E$1073=$E572)*(ROW(P$2:P$1073)&lt;&gt;ROW(P572))*(P$2:P$1073&lt;&gt;""))),"")</f>
        <v>24.784857390248948</v>
      </c>
      <c r="Y572" cm="1">
        <f t="array" ref="Y572">IFERROR(AVERAGE(_xlfn._xlws.FILTER(Q$2:Q$1073,($C$2:$C$1073=$C572)*($E$2:$E$1073=$E572)*(ROW(Q$2:Q$1073)&lt;&gt;ROW(Q572))*(Q$2:Q$1073&lt;&gt;""))),"")</f>
        <v>0.29707306985497267</v>
      </c>
      <c r="Z572" cm="1">
        <f t="array" ref="Z572">IFERROR(AVERAGE(_xlfn._xlws.FILTER(R$2:R$1073,($C$2:$C$1073=$C572)*($E$2:$E$1073=$E572)*(ROW(R$2:R$1073)&lt;&gt;ROW(R572))*(R$2:R$1073&lt;&gt;""))),"")</f>
        <v>0.20074687596566593</v>
      </c>
      <c r="AA572" cm="1">
        <f t="array" ref="AA572">IFERROR(AVERAGE(_xlfn._xlws.FILTER(S$2:S$1073,($C$2:$C$1073=$C572)*($E$2:$E$1073=$E572)*(ROW(S$2:S$1073)&lt;&gt;ROW(S572))*(S$2:S$1073&lt;&gt;""))),"")</f>
        <v>-0.60736862679830428</v>
      </c>
      <c r="AB572" cm="1">
        <f t="array" ref="AB572">IFERROR(AVERAGE(_xlfn._xlws.FILTER(T$2:T$1073,($C$2:$C$1073=$C572)*($E$2:$E$1073=$E572)*(ROW(T$2:T$1073)&lt;&gt;ROW(T572))*(T$2:T$1073&lt;&gt;""))),"")</f>
        <v>6.4031956193225284E-2</v>
      </c>
      <c r="AC572" cm="1">
        <f t="array" ref="AC572">IFERROR(AVERAGE(_xlfn._xlws.FILTER(U$2:U$1073,($C$2:$C$1073=$C572)*($E$2:$E$1073=$E572)*(ROW(U$2:U$1073)&lt;&gt;ROW(U572))*(U$2:U$1073&lt;&gt;""))),"")</f>
        <v>5.5189604575277329</v>
      </c>
      <c r="AD572" cm="1">
        <f t="array" ref="AD572">IFERROR(AVERAGE(_xlfn._xlws.FILTER(V$2:V$1073,($C$2:$C$1073=$C572)*($E$2:$E$1073=$E572)*(ROW(V$2:V$1073)&lt;&gt;ROW(V572))*(V$2:V$1073&lt;&gt;""))),"")</f>
        <v>0.63096522939864874</v>
      </c>
      <c r="AE572">
        <f>IF('Дивиденды по годам'!M572&lt;0,1,0)</f>
        <v>0</v>
      </c>
    </row>
    <row r="573" spans="1:31" x14ac:dyDescent="0.2">
      <c r="A573" s="7" t="s">
        <v>2317</v>
      </c>
      <c r="B573" t="str">
        <f t="shared" si="88"/>
        <v>FIXR IV кв. 2014</v>
      </c>
      <c r="C573">
        <v>2014</v>
      </c>
      <c r="D573">
        <f>SUMIFS(Дивиденды!$C:$C,Дивиденды!$A:$A,A573,Дивиденды!$I:$I,C573)</f>
        <v>0</v>
      </c>
      <c r="E573">
        <v>4</v>
      </c>
      <c r="F573">
        <f t="shared" si="89"/>
        <v>0</v>
      </c>
      <c r="G573">
        <f t="shared" si="90"/>
        <v>25.924285714285713</v>
      </c>
      <c r="H573">
        <f t="shared" si="91"/>
        <v>0</v>
      </c>
      <c r="I573">
        <f t="shared" si="92"/>
        <v>7.1428571428571425E-2</v>
      </c>
      <c r="J573">
        <f t="shared" si="93"/>
        <v>0</v>
      </c>
      <c r="K573">
        <f t="shared" si="98"/>
        <v>4.887635107293415E-2</v>
      </c>
      <c r="L573">
        <f t="shared" si="94"/>
        <v>0</v>
      </c>
      <c r="M573">
        <f t="shared" si="95"/>
        <v>7.1428571428571425E-2</v>
      </c>
      <c r="N573">
        <f t="shared" si="96"/>
        <v>0</v>
      </c>
      <c r="O573">
        <f t="shared" si="97"/>
        <v>7.1428571428571425E-2</v>
      </c>
      <c r="P573" t="str">
        <f>IFERROR(LN('Дивиденды по годам'!I573),"")</f>
        <v/>
      </c>
      <c r="Q573" t="str">
        <f>IFERROR('Дивиденды по годам'!G573/'Дивиденды по годам'!I573, "")</f>
        <v/>
      </c>
      <c r="R573" t="str">
        <f>IFERROR(IF(AND('Дивиденды по годам'!N573&lt;&gt;"",'Дивиденды по годам'!U573&lt;&gt;"",'Дивиденды по годам'!U573&lt;&gt;0),'Дивиденды по годам'!N573/'Дивиденды по годам'!U573-1,""),"")</f>
        <v/>
      </c>
      <c r="S573" t="str">
        <f>IFERROR(IF(AND('Дивиденды по годам'!L573&lt;&gt;"",'Дивиденды по годам'!I573&lt;&gt;"",'Дивиденды по годам'!J573&lt;&gt;"",'Дивиденды по годам'!K573&lt;&gt;"",('Дивиденды по годам'!I573-'Дивиденды по годам'!J573-'Дивиденды по годам'!K573)&lt;&gt;0),'Дивиденды по годам'!L573/('Дивиденды по годам'!I573-'Дивиденды по годам'!J573-'Дивиденды по годам'!K573),""),"")</f>
        <v/>
      </c>
      <c r="T573" t="str">
        <f>IFERROR(IF(AND('Дивиденды по годам'!Q573&lt;&gt;"",'Дивиденды по годам'!I573&lt;&gt;"",'Дивиденды по годам'!V573&lt;&gt;"",('Дивиденды по годам'!I573+'Дивиденды по годам'!V573)&lt;&gt;0),'Дивиденды по годам'!Q573/(('Дивиденды по годам'!I573+'Дивиденды по годам'!V573)/2),""),"")</f>
        <v/>
      </c>
      <c r="U573" t="str">
        <f>IFERROR(IF(AND('Дивиденды по годам'!J573&lt;&gt;"",'Дивиденды по годам'!K573&lt;&gt;"",'Дивиденды по годам'!M573&lt;&gt;"",'Дивиденды по годам'!M573&lt;&gt;0),('Дивиденды по годам'!J573+'Дивиденды по годам'!K573)/'Дивиденды по годам'!M573,""),"")</f>
        <v/>
      </c>
      <c r="V573" t="str">
        <f>IFERROR(IF(AND('Дивиденды по годам'!J573&lt;&gt;"",'Дивиденды по годам'!K573&lt;&gt;"",'Дивиденды по годам'!M573&lt;&gt;"",'Дивиденды по годам'!I573&lt;&gt;0),('Дивиденды по годам'!J573+'Дивиденды по годам'!K573)/'Дивиденды по годам'!I573,""),"")</f>
        <v/>
      </c>
      <c r="W573" t="str">
        <f>IFERROR('Дивиденды по годам'!I573,"")</f>
        <v/>
      </c>
      <c r="X573" cm="1">
        <f t="array" ref="X573">IFERROR(AVERAGE(_xlfn._xlws.FILTER(P$2:P$1073,($C$2:$C$1073=$C573)*($E$2:$E$1073=$E573)*(ROW(P$2:P$1073)&lt;&gt;ROW(P573))*(P$2:P$1073&lt;&gt;""))),"")</f>
        <v>24.777851287837404</v>
      </c>
      <c r="Y573" cm="1">
        <f t="array" ref="Y573">IFERROR(AVERAGE(_xlfn._xlws.FILTER(Q$2:Q$1073,($C$2:$C$1073=$C573)*($E$2:$E$1073=$E573)*(ROW(Q$2:Q$1073)&lt;&gt;ROW(Q573))*(Q$2:Q$1073&lt;&gt;""))),"")</f>
        <v>0.28994951624266957</v>
      </c>
      <c r="Z573" cm="1">
        <f t="array" ref="Z573">IFERROR(AVERAGE(_xlfn._xlws.FILTER(R$2:R$1073,($C$2:$C$1073=$C573)*($E$2:$E$1073=$E573)*(ROW(R$2:R$1073)&lt;&gt;ROW(R573))*(R$2:R$1073&lt;&gt;""))),"")</f>
        <v>8.5517195784799244E-2</v>
      </c>
      <c r="AA573" cm="1">
        <f t="array" ref="AA573">IFERROR(AVERAGE(_xlfn._xlws.FILTER(S$2:S$1073,($C$2:$C$1073=$C573)*($E$2:$E$1073=$E573)*(ROW(S$2:S$1073)&lt;&gt;ROW(S573))*(S$2:S$1073&lt;&gt;""))),"")</f>
        <v>-8.9932559622525012</v>
      </c>
      <c r="AB573" cm="1">
        <f t="array" ref="AB573">IFERROR(AVERAGE(_xlfn._xlws.FILTER(T$2:T$1073,($C$2:$C$1073=$C573)*($E$2:$E$1073=$E573)*(ROW(T$2:T$1073)&lt;&gt;ROW(T573))*(T$2:T$1073&lt;&gt;""))),"")</f>
        <v>3.4958573241250623E-2</v>
      </c>
      <c r="AC573" cm="1">
        <f t="array" ref="AC573">IFERROR(AVERAGE(_xlfn._xlws.FILTER(U$2:U$1073,($C$2:$C$1073=$C573)*($E$2:$E$1073=$E573)*(ROW(U$2:U$1073)&lt;&gt;ROW(U573))*(U$2:U$1073&lt;&gt;""))),"")</f>
        <v>34.444280572958768</v>
      </c>
      <c r="AD573" cm="1">
        <f t="array" ref="AD573">IFERROR(AVERAGE(_xlfn._xlws.FILTER(V$2:V$1073,($C$2:$C$1073=$C573)*($E$2:$E$1073=$E573)*(ROW(V$2:V$1073)&lt;&gt;ROW(V573))*(V$2:V$1073&lt;&gt;""))),"")</f>
        <v>0.67440993714043496</v>
      </c>
      <c r="AE573">
        <f>IF('Дивиденды по годам'!M573&lt;0,1,0)</f>
        <v>0</v>
      </c>
    </row>
    <row r="574" spans="1:31" x14ac:dyDescent="0.2">
      <c r="A574" s="7" t="s">
        <v>2317</v>
      </c>
      <c r="B574" t="str">
        <f t="shared" si="88"/>
        <v>FIXR IV кв. 2013</v>
      </c>
      <c r="C574">
        <v>2013</v>
      </c>
      <c r="D574">
        <f>SUMIFS(Дивиденды!$C:$C,Дивиденды!$A:$A,A574,Дивиденды!$I:$I,C574)</f>
        <v>0</v>
      </c>
      <c r="E574">
        <v>4</v>
      </c>
      <c r="F574">
        <f t="shared" si="89"/>
        <v>0</v>
      </c>
      <c r="G574">
        <f t="shared" si="90"/>
        <v>13.409285714285716</v>
      </c>
      <c r="H574">
        <f t="shared" si="91"/>
        <v>0</v>
      </c>
      <c r="I574">
        <f t="shared" si="92"/>
        <v>0.14285714285714285</v>
      </c>
      <c r="J574">
        <f t="shared" si="93"/>
        <v>0</v>
      </c>
      <c r="K574">
        <f t="shared" si="98"/>
        <v>4.7291245939064024E-2</v>
      </c>
      <c r="L574">
        <f t="shared" si="94"/>
        <v>0</v>
      </c>
      <c r="M574">
        <f t="shared" si="95"/>
        <v>7.1428571428571425E-2</v>
      </c>
      <c r="N574">
        <f t="shared" si="96"/>
        <v>0</v>
      </c>
      <c r="O574">
        <f t="shared" si="97"/>
        <v>0</v>
      </c>
      <c r="P574" t="str">
        <f>IFERROR(LN('Дивиденды по годам'!I574),"")</f>
        <v/>
      </c>
      <c r="Q574" t="str">
        <f>IFERROR('Дивиденды по годам'!G574/'Дивиденды по годам'!I574, "")</f>
        <v/>
      </c>
      <c r="R574" t="str">
        <f>IFERROR(IF(AND('Дивиденды по годам'!N574&lt;&gt;"",'Дивиденды по годам'!U574&lt;&gt;"",'Дивиденды по годам'!U574&lt;&gt;0),'Дивиденды по годам'!N574/'Дивиденды по годам'!U574-1,""),"")</f>
        <v/>
      </c>
      <c r="S574" t="str">
        <f>IFERROR(IF(AND('Дивиденды по годам'!L574&lt;&gt;"",'Дивиденды по годам'!I574&lt;&gt;"",'Дивиденды по годам'!J574&lt;&gt;"",'Дивиденды по годам'!K574&lt;&gt;"",('Дивиденды по годам'!I574-'Дивиденды по годам'!J574-'Дивиденды по годам'!K574)&lt;&gt;0),'Дивиденды по годам'!L574/('Дивиденды по годам'!I574-'Дивиденды по годам'!J574-'Дивиденды по годам'!K574),""),"")</f>
        <v/>
      </c>
      <c r="T574" t="str">
        <f>IFERROR(IF(AND('Дивиденды по годам'!Q574&lt;&gt;"",'Дивиденды по годам'!I574&lt;&gt;"",'Дивиденды по годам'!V574&lt;&gt;"",('Дивиденды по годам'!I574+'Дивиденды по годам'!V574)&lt;&gt;0),'Дивиденды по годам'!Q574/(('Дивиденды по годам'!I574+'Дивиденды по годам'!V574)/2),""),"")</f>
        <v/>
      </c>
      <c r="U574" t="str">
        <f>IFERROR(IF(AND('Дивиденды по годам'!J574&lt;&gt;"",'Дивиденды по годам'!K574&lt;&gt;"",'Дивиденды по годам'!M574&lt;&gt;"",'Дивиденды по годам'!M574&lt;&gt;0),('Дивиденды по годам'!J574+'Дивиденды по годам'!K574)/'Дивиденды по годам'!M574,""),"")</f>
        <v/>
      </c>
      <c r="V574" t="str">
        <f>IFERROR(IF(AND('Дивиденды по годам'!J574&lt;&gt;"",'Дивиденды по годам'!K574&lt;&gt;"",'Дивиденды по годам'!M574&lt;&gt;"",'Дивиденды по годам'!I574&lt;&gt;0),('Дивиденды по годам'!J574+'Дивиденды по годам'!K574)/'Дивиденды по годам'!I574,""),"")</f>
        <v/>
      </c>
      <c r="W574" t="str">
        <f>IFERROR('Дивиденды по годам'!I574,"")</f>
        <v/>
      </c>
      <c r="X574" cm="1">
        <f t="array" ref="X574">IFERROR(AVERAGE(_xlfn._xlws.FILTER(P$2:P$1073,($C$2:$C$1073=$C574)*($E$2:$E$1073=$E574)*(ROW(P$2:P$1073)&lt;&gt;ROW(P574))*(P$2:P$1073&lt;&gt;""))),"")</f>
        <v>24.281308125321722</v>
      </c>
      <c r="Y574" cm="1">
        <f t="array" ref="Y574">IFERROR(AVERAGE(_xlfn._xlws.FILTER(Q$2:Q$1073,($C$2:$C$1073=$C574)*($E$2:$E$1073=$E574)*(ROW(Q$2:Q$1073)&lt;&gt;ROW(Q574))*(Q$2:Q$1073&lt;&gt;""))),"")</f>
        <v>0.34809372453666254</v>
      </c>
      <c r="Z574" cm="1">
        <f t="array" ref="Z574">IFERROR(AVERAGE(_xlfn._xlws.FILTER(R$2:R$1073,($C$2:$C$1073=$C574)*($E$2:$E$1073=$E574)*(ROW(R$2:R$1073)&lt;&gt;ROW(R574))*(R$2:R$1073&lt;&gt;""))),"")</f>
        <v>0.17531341667142472</v>
      </c>
      <c r="AA574" t="str" cm="1">
        <f t="array" ref="AA574">IFERROR(AVERAGE(_xlfn._xlws.FILTER(S$2:S$1073,($C$2:$C$1073=$C574)*($E$2:$E$1073=$E574)*(ROW(S$2:S$1073)&lt;&gt;ROW(S574))*(S$2:S$1073&lt;&gt;""))),"")</f>
        <v/>
      </c>
      <c r="AB574" cm="1">
        <f t="array" ref="AB574">IFERROR(AVERAGE(_xlfn._xlws.FILTER(T$2:T$1073,($C$2:$C$1073=$C574)*($E$2:$E$1073=$E574)*(ROW(T$2:T$1073)&lt;&gt;ROW(T574))*(T$2:T$1073&lt;&gt;""))),"")</f>
        <v>-0.12490141563278262</v>
      </c>
      <c r="AC574" cm="1">
        <f t="array" ref="AC574">IFERROR(AVERAGE(_xlfn._xlws.FILTER(U$2:U$1073,($C$2:$C$1073=$C574)*($E$2:$E$1073=$E574)*(ROW(U$2:U$1073)&lt;&gt;ROW(U574))*(U$2:U$1073&lt;&gt;""))),"")</f>
        <v>0.44566877182826042</v>
      </c>
      <c r="AD574" cm="1">
        <f t="array" ref="AD574">IFERROR(AVERAGE(_xlfn._xlws.FILTER(V$2:V$1073,($C$2:$C$1073=$C574)*($E$2:$E$1073=$E574)*(ROW(V$2:V$1073)&lt;&gt;ROW(V574))*(V$2:V$1073&lt;&gt;""))),"")</f>
        <v>1.3322699308491581</v>
      </c>
      <c r="AE574">
        <f>IF('Дивиденды по годам'!M574&lt;0,1,0)</f>
        <v>0</v>
      </c>
    </row>
    <row r="575" spans="1:31" x14ac:dyDescent="0.2">
      <c r="A575" s="7" t="s">
        <v>2317</v>
      </c>
      <c r="B575" t="str">
        <f t="shared" si="88"/>
        <v>FIXR IV кв. 2012</v>
      </c>
      <c r="C575">
        <v>2012</v>
      </c>
      <c r="D575">
        <f>SUMIFS(Дивиденды!$C:$C,Дивиденды!$A:$A,A575,Дивиденды!$I:$I,C575)</f>
        <v>0</v>
      </c>
      <c r="E575">
        <v>4</v>
      </c>
      <c r="F575">
        <f t="shared" si="89"/>
        <v>0</v>
      </c>
      <c r="G575">
        <f t="shared" si="90"/>
        <v>9.5621428571428577</v>
      </c>
      <c r="H575">
        <f t="shared" si="91"/>
        <v>0</v>
      </c>
      <c r="I575">
        <f t="shared" si="92"/>
        <v>0.14285714285714285</v>
      </c>
      <c r="J575">
        <f t="shared" si="93"/>
        <v>0</v>
      </c>
      <c r="K575">
        <f t="shared" si="98"/>
        <v>0.25341100242975517</v>
      </c>
      <c r="L575">
        <f t="shared" si="94"/>
        <v>0</v>
      </c>
      <c r="M575">
        <f t="shared" si="95"/>
        <v>0.14285714285714285</v>
      </c>
      <c r="N575">
        <f t="shared" si="96"/>
        <v>0</v>
      </c>
      <c r="O575">
        <f t="shared" si="97"/>
        <v>0</v>
      </c>
      <c r="P575" t="str">
        <f>IFERROR(LN('Дивиденды по годам'!I575),"")</f>
        <v/>
      </c>
      <c r="Q575" t="str">
        <f>IFERROR('Дивиденды по годам'!G575/'Дивиденды по годам'!I575, "")</f>
        <v/>
      </c>
      <c r="R575" t="str">
        <f>IFERROR(IF(AND('Дивиденды по годам'!N575&lt;&gt;"",'Дивиденды по годам'!U575&lt;&gt;"",'Дивиденды по годам'!U575&lt;&gt;0),'Дивиденды по годам'!N575/'Дивиденды по годам'!U575-1,""),"")</f>
        <v/>
      </c>
      <c r="S575" t="str">
        <f>IFERROR(IF(AND('Дивиденды по годам'!L575&lt;&gt;"",'Дивиденды по годам'!I575&lt;&gt;"",'Дивиденды по годам'!J575&lt;&gt;"",'Дивиденды по годам'!K575&lt;&gt;"",('Дивиденды по годам'!I575-'Дивиденды по годам'!J575-'Дивиденды по годам'!K575)&lt;&gt;0),'Дивиденды по годам'!L575/('Дивиденды по годам'!I575-'Дивиденды по годам'!J575-'Дивиденды по годам'!K575),""),"")</f>
        <v/>
      </c>
      <c r="T575" t="str">
        <f>IFERROR(IF(AND('Дивиденды по годам'!Q575&lt;&gt;"",'Дивиденды по годам'!I575&lt;&gt;"",'Дивиденды по годам'!V575&lt;&gt;"",('Дивиденды по годам'!I575+'Дивиденды по годам'!V575)&lt;&gt;0),'Дивиденды по годам'!Q575/(('Дивиденды по годам'!I575+'Дивиденды по годам'!V575)/2),""),"")</f>
        <v/>
      </c>
      <c r="U575" t="str">
        <f>IFERROR(IF(AND('Дивиденды по годам'!J575&lt;&gt;"",'Дивиденды по годам'!K575&lt;&gt;"",'Дивиденды по годам'!M575&lt;&gt;"",'Дивиденды по годам'!M575&lt;&gt;0),('Дивиденды по годам'!J575+'Дивиденды по годам'!K575)/'Дивиденды по годам'!M575,""),"")</f>
        <v/>
      </c>
      <c r="V575" t="str">
        <f>IFERROR(IF(AND('Дивиденды по годам'!J575&lt;&gt;"",'Дивиденды по годам'!K575&lt;&gt;"",'Дивиденды по годам'!M575&lt;&gt;"",'Дивиденды по годам'!I575&lt;&gt;0),('Дивиденды по годам'!J575+'Дивиденды по годам'!K575)/'Дивиденды по годам'!I575,""),"")</f>
        <v/>
      </c>
      <c r="W575" t="str">
        <f>IFERROR('Дивиденды по годам'!I575,"")</f>
        <v/>
      </c>
      <c r="X575" cm="1">
        <f t="array" ref="X575">IFERROR(AVERAGE(_xlfn._xlws.FILTER(P$2:P$1073,($C$2:$C$1073=$C575)*($E$2:$E$1073=$E575)*(ROW(P$2:P$1073)&lt;&gt;ROW(P575))*(P$2:P$1073&lt;&gt;""))),"")</f>
        <v>24.228370506718147</v>
      </c>
      <c r="Y575" cm="1">
        <f t="array" ref="Y575">IFERROR(AVERAGE(_xlfn._xlws.FILTER(Q$2:Q$1073,($C$2:$C$1073=$C575)*($E$2:$E$1073=$E575)*(ROW(Q$2:Q$1073)&lt;&gt;ROW(Q575))*(Q$2:Q$1073&lt;&gt;""))),"")</f>
        <v>0.2820560824162458</v>
      </c>
      <c r="Z575" cm="1">
        <f t="array" ref="Z575">IFERROR(AVERAGE(_xlfn._xlws.FILTER(R$2:R$1073,($C$2:$C$1073=$C575)*($E$2:$E$1073=$E575)*(ROW(R$2:R$1073)&lt;&gt;ROW(R575))*(R$2:R$1073&lt;&gt;""))),"")</f>
        <v>-2.2522357472477484E-2</v>
      </c>
      <c r="AA575" cm="1">
        <f t="array" ref="AA575">IFERROR(AVERAGE(_xlfn._xlws.FILTER(S$2:S$1073,($C$2:$C$1073=$C575)*($E$2:$E$1073=$E575)*(ROW(S$2:S$1073)&lt;&gt;ROW(S575))*(S$2:S$1073&lt;&gt;""))),"")</f>
        <v>-1.7651061513336963</v>
      </c>
      <c r="AB575" cm="1">
        <f t="array" ref="AB575">IFERROR(AVERAGE(_xlfn._xlws.FILTER(T$2:T$1073,($C$2:$C$1073=$C575)*($E$2:$E$1073=$E575)*(ROW(T$2:T$1073)&lt;&gt;ROW(T575))*(T$2:T$1073&lt;&gt;""))),"")</f>
        <v>6.8400459116201365E-2</v>
      </c>
      <c r="AC575" cm="1">
        <f t="array" ref="AC575">IFERROR(AVERAGE(_xlfn._xlws.FILTER(U$2:U$1073,($C$2:$C$1073=$C575)*($E$2:$E$1073=$E575)*(ROW(U$2:U$1073)&lt;&gt;ROW(U575))*(U$2:U$1073&lt;&gt;""))),"")</f>
        <v>-3.9631898894189463</v>
      </c>
      <c r="AD575" cm="1">
        <f t="array" ref="AD575">IFERROR(AVERAGE(_xlfn._xlws.FILTER(V$2:V$1073,($C$2:$C$1073=$C575)*($E$2:$E$1073=$E575)*(ROW(V$2:V$1073)&lt;&gt;ROW(V575))*(V$2:V$1073&lt;&gt;""))),"")</f>
        <v>0.68524798816116717</v>
      </c>
      <c r="AE575">
        <f>IF('Дивиденды по годам'!M575&lt;0,1,0)</f>
        <v>0</v>
      </c>
    </row>
    <row r="576" spans="1:31" x14ac:dyDescent="0.2">
      <c r="A576" s="7" t="s">
        <v>2317</v>
      </c>
      <c r="B576" t="str">
        <f t="shared" si="88"/>
        <v>FIXR IV кв. 2011</v>
      </c>
      <c r="C576">
        <v>2011</v>
      </c>
      <c r="D576">
        <f>SUMIFS(Дивиденды!$C:$C,Дивиденды!$A:$A,A576,Дивиденды!$I:$I,C576)</f>
        <v>0</v>
      </c>
      <c r="E576">
        <v>4</v>
      </c>
      <c r="F576">
        <f t="shared" si="89"/>
        <v>0</v>
      </c>
      <c r="G576">
        <f t="shared" si="90"/>
        <v>1.6378571428571429</v>
      </c>
      <c r="H576">
        <f t="shared" si="91"/>
        <v>0</v>
      </c>
      <c r="I576">
        <f t="shared" si="92"/>
        <v>7.1428571428571425E-2</v>
      </c>
      <c r="J576">
        <f t="shared" si="93"/>
        <v>0</v>
      </c>
      <c r="K576">
        <f t="shared" si="98"/>
        <v>0.17786475320721892</v>
      </c>
      <c r="L576">
        <f t="shared" si="94"/>
        <v>0</v>
      </c>
      <c r="M576">
        <f t="shared" si="95"/>
        <v>7.1428571428571425E-2</v>
      </c>
      <c r="N576">
        <f t="shared" si="96"/>
        <v>0</v>
      </c>
      <c r="O576">
        <f t="shared" si="97"/>
        <v>0</v>
      </c>
      <c r="P576" t="str">
        <f>IFERROR(LN('Дивиденды по годам'!I576),"")</f>
        <v/>
      </c>
      <c r="Q576" t="str">
        <f>IFERROR('Дивиденды по годам'!G576/'Дивиденды по годам'!I576, "")</f>
        <v/>
      </c>
      <c r="R576" t="str">
        <f>IFERROR(IF(AND('Дивиденды по годам'!N576&lt;&gt;"",'Дивиденды по годам'!U576&lt;&gt;"",'Дивиденды по годам'!U576&lt;&gt;0),'Дивиденды по годам'!N576/'Дивиденды по годам'!U576-1,""),"")</f>
        <v/>
      </c>
      <c r="S576" t="str">
        <f>IFERROR(IF(AND('Дивиденды по годам'!L576&lt;&gt;"",'Дивиденды по годам'!I576&lt;&gt;"",'Дивиденды по годам'!J576&lt;&gt;"",'Дивиденды по годам'!K576&lt;&gt;"",('Дивиденды по годам'!I576-'Дивиденды по годам'!J576-'Дивиденды по годам'!K576)&lt;&gt;0),'Дивиденды по годам'!L576/('Дивиденды по годам'!I576-'Дивиденды по годам'!J576-'Дивиденды по годам'!K576),""),"")</f>
        <v/>
      </c>
      <c r="T576" t="str">
        <f>IFERROR(IF(AND('Дивиденды по годам'!Q576&lt;&gt;"",'Дивиденды по годам'!I576&lt;&gt;"",'Дивиденды по годам'!V576&lt;&gt;"",('Дивиденды по годам'!I576+'Дивиденды по годам'!V576)&lt;&gt;0),'Дивиденды по годам'!Q576/(('Дивиденды по годам'!I576+'Дивиденды по годам'!V576)/2),""),"")</f>
        <v/>
      </c>
      <c r="U576" t="str">
        <f>IFERROR(IF(AND('Дивиденды по годам'!J576&lt;&gt;"",'Дивиденды по годам'!K576&lt;&gt;"",'Дивиденды по годам'!M576&lt;&gt;"",'Дивиденды по годам'!M576&lt;&gt;0),('Дивиденды по годам'!J576+'Дивиденды по годам'!K576)/'Дивиденды по годам'!M576,""),"")</f>
        <v/>
      </c>
      <c r="V576" t="str">
        <f>IFERROR(IF(AND('Дивиденды по годам'!J576&lt;&gt;"",'Дивиденды по годам'!K576&lt;&gt;"",'Дивиденды по годам'!M576&lt;&gt;"",'Дивиденды по годам'!I576&lt;&gt;0),('Дивиденды по годам'!J576+'Дивиденды по годам'!K576)/'Дивиденды по годам'!I576,""),"")</f>
        <v/>
      </c>
      <c r="W576" t="str">
        <f>IFERROR('Дивиденды по годам'!I576,"")</f>
        <v/>
      </c>
      <c r="X576" cm="1">
        <f t="array" ref="X576">IFERROR(AVERAGE(_xlfn._xlws.FILTER(P$2:P$1073,($C$2:$C$1073=$C576)*($E$2:$E$1073=$E576)*(ROW(P$2:P$1073)&lt;&gt;ROW(P576))*(P$2:P$1073&lt;&gt;""))),"")</f>
        <v>24.180789108496477</v>
      </c>
      <c r="Y576" cm="1">
        <f t="array" ref="Y576">IFERROR(AVERAGE(_xlfn._xlws.FILTER(Q$2:Q$1073,($C$2:$C$1073=$C576)*($E$2:$E$1073=$E576)*(ROW(Q$2:Q$1073)&lt;&gt;ROW(Q576))*(Q$2:Q$1073&lt;&gt;""))),"")</f>
        <v>0.29604752502083465</v>
      </c>
      <c r="Z576" cm="1">
        <f t="array" ref="Z576">IFERROR(AVERAGE(_xlfn._xlws.FILTER(R$2:R$1073,($C$2:$C$1073=$C576)*($E$2:$E$1073=$E576)*(ROW(R$2:R$1073)&lt;&gt;ROW(R576))*(R$2:R$1073&lt;&gt;""))),"")</f>
        <v>5.9511017560386792E-2</v>
      </c>
      <c r="AA576" t="str" cm="1">
        <f t="array" ref="AA576">IFERROR(AVERAGE(_xlfn._xlws.FILTER(S$2:S$1073,($C$2:$C$1073=$C576)*($E$2:$E$1073=$E576)*(ROW(S$2:S$1073)&lt;&gt;ROW(S576))*(S$2:S$1073&lt;&gt;""))),"")</f>
        <v/>
      </c>
      <c r="AB576" cm="1">
        <f t="array" ref="AB576">IFERROR(AVERAGE(_xlfn._xlws.FILTER(T$2:T$1073,($C$2:$C$1073=$C576)*($E$2:$E$1073=$E576)*(ROW(T$2:T$1073)&lt;&gt;ROW(T576))*(T$2:T$1073&lt;&gt;""))),"")</f>
        <v>-1.4171101286470289E-2</v>
      </c>
      <c r="AC576" cm="1">
        <f t="array" ref="AC576">IFERROR(AVERAGE(_xlfn._xlws.FILTER(U$2:U$1073,($C$2:$C$1073=$C576)*($E$2:$E$1073=$E576)*(ROW(U$2:U$1073)&lt;&gt;ROW(U576))*(U$2:U$1073&lt;&gt;""))),"")</f>
        <v>2.1854574410792247</v>
      </c>
      <c r="AD576" cm="1">
        <f t="array" ref="AD576">IFERROR(AVERAGE(_xlfn._xlws.FILTER(V$2:V$1073,($C$2:$C$1073=$C576)*($E$2:$E$1073=$E576)*(ROW(V$2:V$1073)&lt;&gt;ROW(V576))*(V$2:V$1073&lt;&gt;""))),"")</f>
        <v>0.62219289426739133</v>
      </c>
      <c r="AE576">
        <f>IF('Дивиденды по годам'!M576&lt;0,1,0)</f>
        <v>0</v>
      </c>
    </row>
    <row r="577" spans="1:31" x14ac:dyDescent="0.2">
      <c r="A577" s="7" t="s">
        <v>2317</v>
      </c>
      <c r="B577" t="str">
        <f t="shared" si="88"/>
        <v>FIXR IV кв. 2010</v>
      </c>
      <c r="C577">
        <v>2010</v>
      </c>
      <c r="D577">
        <f>SUMIFS(Дивиденды!$C:$C,Дивиденды!$A:$A,A577,Дивиденды!$I:$I,C577)</f>
        <v>0</v>
      </c>
      <c r="E577">
        <v>4</v>
      </c>
      <c r="F577">
        <f t="shared" si="89"/>
        <v>0</v>
      </c>
      <c r="G577">
        <f t="shared" si="90"/>
        <v>0.46928571428571431</v>
      </c>
      <c r="H577">
        <f t="shared" si="91"/>
        <v>0</v>
      </c>
      <c r="I577">
        <f t="shared" si="92"/>
        <v>7.1428571428571425E-2</v>
      </c>
      <c r="J577" t="str">
        <f t="shared" si="93"/>
        <v/>
      </c>
      <c r="K577" t="str">
        <f t="shared" si="98"/>
        <v/>
      </c>
      <c r="L577" t="str">
        <f t="shared" si="94"/>
        <v/>
      </c>
      <c r="M577" t="str">
        <f t="shared" si="95"/>
        <v/>
      </c>
      <c r="N577" t="str">
        <f t="shared" si="96"/>
        <v/>
      </c>
      <c r="O577" t="str">
        <f t="shared" si="97"/>
        <v/>
      </c>
      <c r="P577" t="str">
        <f>IFERROR(LN('Дивиденды по годам'!I577),"")</f>
        <v/>
      </c>
      <c r="Q577" t="str">
        <f>IFERROR('Дивиденды по годам'!G577/'Дивиденды по годам'!I577, "")</f>
        <v/>
      </c>
      <c r="R577" t="str">
        <f>IFERROR(IF(AND('Дивиденды по годам'!N577&lt;&gt;"",'Дивиденды по годам'!U577&lt;&gt;"",'Дивиденды по годам'!U577&lt;&gt;0),'Дивиденды по годам'!N577/'Дивиденды по годам'!U577-1,""),"")</f>
        <v/>
      </c>
      <c r="S577" t="str">
        <f>IFERROR(IF(AND('Дивиденды по годам'!L577&lt;&gt;"",'Дивиденды по годам'!I577&lt;&gt;"",'Дивиденды по годам'!J577&lt;&gt;"",'Дивиденды по годам'!K577&lt;&gt;"",('Дивиденды по годам'!I577-'Дивиденды по годам'!J577-'Дивиденды по годам'!K577)&lt;&gt;0),'Дивиденды по годам'!L577/('Дивиденды по годам'!I577-'Дивиденды по годам'!J577-'Дивиденды по годам'!K577),""),"")</f>
        <v/>
      </c>
      <c r="T577" t="str">
        <f>IFERROR(IF(AND('Дивиденды по годам'!Q577&lt;&gt;"",'Дивиденды по годам'!I577&lt;&gt;"",'Дивиденды по годам'!V577&lt;&gt;"",('Дивиденды по годам'!I577+'Дивиденды по годам'!V577)&lt;&gt;0),'Дивиденды по годам'!Q577/(('Дивиденды по годам'!I577+'Дивиденды по годам'!V577)/2),""),"")</f>
        <v/>
      </c>
      <c r="U577" t="str">
        <f>IFERROR(IF(AND('Дивиденды по годам'!J577&lt;&gt;"",'Дивиденды по годам'!K577&lt;&gt;"",'Дивиденды по годам'!M577&lt;&gt;"",'Дивиденды по годам'!M577&lt;&gt;0),('Дивиденды по годам'!J577+'Дивиденды по годам'!K577)/'Дивиденды по годам'!M577,""),"")</f>
        <v/>
      </c>
      <c r="V577" t="str">
        <f>IFERROR(IF(AND('Дивиденды по годам'!J577&lt;&gt;"",'Дивиденды по годам'!K577&lt;&gt;"",'Дивиденды по годам'!M577&lt;&gt;"",'Дивиденды по годам'!I577&lt;&gt;0),('Дивиденды по годам'!J577+'Дивиденды по годам'!K577)/'Дивиденды по годам'!I577,""),"")</f>
        <v/>
      </c>
      <c r="W577" t="str">
        <f>IFERROR('Дивиденды по годам'!I577,"")</f>
        <v/>
      </c>
      <c r="X577" cm="1">
        <f t="array" ref="X577">IFERROR(AVERAGE(_xlfn._xlws.FILTER(P$2:P$1073,($C$2:$C$1073=$C577)*($E$2:$E$1073=$E577)*(ROW(P$2:P$1073)&lt;&gt;ROW(P577))*(P$2:P$1073&lt;&gt;""))),"")</f>
        <v>23.656010386255485</v>
      </c>
      <c r="Y577" cm="1">
        <f t="array" ref="Y577">IFERROR(AVERAGE(_xlfn._xlws.FILTER(Q$2:Q$1073,($C$2:$C$1073=$C577)*($E$2:$E$1073=$E577)*(ROW(Q$2:Q$1073)&lt;&gt;ROW(Q577))*(Q$2:Q$1073&lt;&gt;""))),"")</f>
        <v>0.15222241747474585</v>
      </c>
      <c r="Z577" t="str" cm="1">
        <f t="array" ref="Z577">IFERROR(AVERAGE(_xlfn._xlws.FILTER(R$2:R$1073,($C$2:$C$1073=$C577)*($E$2:$E$1073=$E577)*(ROW(R$2:R$1073)&lt;&gt;ROW(R577))*(R$2:R$1073&lt;&gt;""))),"")</f>
        <v/>
      </c>
      <c r="AA577" t="str" cm="1">
        <f t="array" ref="AA577">IFERROR(AVERAGE(_xlfn._xlws.FILTER(S$2:S$1073,($C$2:$C$1073=$C577)*($E$2:$E$1073=$E577)*(ROW(S$2:S$1073)&lt;&gt;ROW(S577))*(S$2:S$1073&lt;&gt;""))),"")</f>
        <v/>
      </c>
      <c r="AB577" t="str" cm="1">
        <f t="array" ref="AB577">IFERROR(AVERAGE(_xlfn._xlws.FILTER(T$2:T$1073,($C$2:$C$1073=$C577)*($E$2:$E$1073=$E577)*(ROW(T$2:T$1073)&lt;&gt;ROW(T577))*(T$2:T$1073&lt;&gt;""))),"")</f>
        <v/>
      </c>
      <c r="AC577" cm="1">
        <f t="array" ref="AC577">IFERROR(AVERAGE(_xlfn._xlws.FILTER(U$2:U$1073,($C$2:$C$1073=$C577)*($E$2:$E$1073=$E577)*(ROW(U$2:U$1073)&lt;&gt;ROW(U577))*(U$2:U$1073&lt;&gt;""))),"")</f>
        <v>2.8988498110700496</v>
      </c>
      <c r="AD577" cm="1">
        <f t="array" ref="AD577">IFERROR(AVERAGE(_xlfn._xlws.FILTER(V$2:V$1073,($C$2:$C$1073=$C577)*($E$2:$E$1073=$E577)*(ROW(V$2:V$1073)&lt;&gt;ROW(V577))*(V$2:V$1073&lt;&gt;""))),"")</f>
        <v>0.74351805997092513</v>
      </c>
      <c r="AE577">
        <f>IF('Дивиденды по годам'!M577&lt;0,1,0)</f>
        <v>0</v>
      </c>
    </row>
    <row r="578" spans="1:31" x14ac:dyDescent="0.2">
      <c r="A578" s="7" t="s">
        <v>2252</v>
      </c>
      <c r="B578" t="str">
        <f t="shared" si="88"/>
        <v>HNFG IV кв. 2025</v>
      </c>
      <c r="C578">
        <v>2025</v>
      </c>
      <c r="D578">
        <f>SUMIFS(Дивиденды!$C:$C,Дивиденды!$A:$A,A578,Дивиденды!$I:$I,C578)</f>
        <v>32</v>
      </c>
      <c r="E578">
        <v>4</v>
      </c>
      <c r="F578">
        <f t="shared" si="89"/>
        <v>32</v>
      </c>
      <c r="G578">
        <f t="shared" si="90"/>
        <v>29.295714285714286</v>
      </c>
      <c r="H578">
        <f t="shared" si="91"/>
        <v>1</v>
      </c>
      <c r="I578">
        <f t="shared" si="92"/>
        <v>0.35714285714285715</v>
      </c>
      <c r="J578">
        <f t="shared" si="93"/>
        <v>-0.19232710752145377</v>
      </c>
      <c r="K578">
        <f t="shared" si="98"/>
        <v>-0.16878869270344959</v>
      </c>
      <c r="L578">
        <f t="shared" si="94"/>
        <v>0</v>
      </c>
      <c r="M578">
        <f t="shared" si="95"/>
        <v>0.14285714285714285</v>
      </c>
      <c r="N578">
        <f t="shared" si="96"/>
        <v>1</v>
      </c>
      <c r="O578">
        <f t="shared" si="97"/>
        <v>0.42857142857142855</v>
      </c>
      <c r="P578" t="str">
        <f>IFERROR(LN('Дивиденды по годам'!I578),"")</f>
        <v/>
      </c>
      <c r="Q578" t="str">
        <f>IFERROR('Дивиденды по годам'!G578/'Дивиденды по годам'!I578, "")</f>
        <v/>
      </c>
      <c r="R578" t="str">
        <f>IFERROR(IF(AND('Дивиденды по годам'!N578&lt;&gt;"",'Дивиденды по годам'!U578&lt;&gt;"",'Дивиденды по годам'!U578&lt;&gt;0),'Дивиденды по годам'!N578/'Дивиденды по годам'!U578-1,""),"")</f>
        <v/>
      </c>
      <c r="S578" t="str">
        <f>IFERROR(IF(AND('Дивиденды по годам'!L578&lt;&gt;"",'Дивиденды по годам'!I578&lt;&gt;"",'Дивиденды по годам'!J578&lt;&gt;"",'Дивиденды по годам'!K578&lt;&gt;"",('Дивиденды по годам'!I578-'Дивиденды по годам'!J578-'Дивиденды по годам'!K578)&lt;&gt;0),'Дивиденды по годам'!L578/('Дивиденды по годам'!I578-'Дивиденды по годам'!J578-'Дивиденды по годам'!K578),""),"")</f>
        <v/>
      </c>
      <c r="T578" t="str">
        <f>IFERROR(IF(AND('Дивиденды по годам'!Q578&lt;&gt;"",'Дивиденды по годам'!I578&lt;&gt;"",'Дивиденды по годам'!V578&lt;&gt;"",('Дивиденды по годам'!I578+'Дивиденды по годам'!V578)&lt;&gt;0),'Дивиденды по годам'!Q578/(('Дивиденды по годам'!I578+'Дивиденды по годам'!V578)/2),""),"")</f>
        <v/>
      </c>
      <c r="U578" t="str">
        <f>IFERROR(IF(AND('Дивиденды по годам'!J578&lt;&gt;"",'Дивиденды по годам'!K578&lt;&gt;"",'Дивиденды по годам'!M578&lt;&gt;"",'Дивиденды по годам'!M578&lt;&gt;0),('Дивиденды по годам'!J578+'Дивиденды по годам'!K578)/'Дивиденды по годам'!M578,""),"")</f>
        <v/>
      </c>
      <c r="V578" t="str">
        <f>IFERROR(IF(AND('Дивиденды по годам'!J578&lt;&gt;"",'Дивиденды по годам'!K578&lt;&gt;"",'Дивиденды по годам'!M578&lt;&gt;"",'Дивиденды по годам'!I578&lt;&gt;0),('Дивиденды по годам'!J578+'Дивиденды по годам'!K578)/'Дивиденды по годам'!I578,""),"")</f>
        <v/>
      </c>
      <c r="W578" t="str">
        <f>IFERROR('Дивиденды по годам'!I578,"")</f>
        <v/>
      </c>
      <c r="X578" cm="1">
        <f t="array" ref="X578">IFERROR(AVERAGE(_xlfn._xlws.FILTER(P$2:P$1073,($C$2:$C$1073=$C578)*($E$2:$E$1073=$E578)*(ROW(P$2:P$1073)&lt;&gt;ROW(P578))*(P$2:P$1073&lt;&gt;""))),"")</f>
        <v>26.183512711155618</v>
      </c>
      <c r="Y578" cm="1">
        <f t="array" ref="Y578">IFERROR(AVERAGE(_xlfn._xlws.FILTER(Q$2:Q$1073,($C$2:$C$1073=$C578)*($E$2:$E$1073=$E578)*(ROW(Q$2:Q$1073)&lt;&gt;ROW(Q578))*(Q$2:Q$1073&lt;&gt;""))),"")</f>
        <v>0.42364014522274984</v>
      </c>
      <c r="Z578" cm="1">
        <f t="array" ref="Z578">IFERROR(AVERAGE(_xlfn._xlws.FILTER(R$2:R$1073,($C$2:$C$1073=$C578)*($E$2:$E$1073=$E578)*(ROW(R$2:R$1073)&lt;&gt;ROW(R578))*(R$2:R$1073&lt;&gt;""))),"")</f>
        <v>6.6096126428947105E-2</v>
      </c>
      <c r="AA578" cm="1">
        <f t="array" ref="AA578">IFERROR(AVERAGE(_xlfn._xlws.FILTER(S$2:S$1073,($C$2:$C$1073=$C578)*($E$2:$E$1073=$E578)*(ROW(S$2:S$1073)&lt;&gt;ROW(S578))*(S$2:S$1073&lt;&gt;""))),"")</f>
        <v>0.94174952343815033</v>
      </c>
      <c r="AB578" cm="1">
        <f t="array" ref="AB578">IFERROR(AVERAGE(_xlfn._xlws.FILTER(T$2:T$1073,($C$2:$C$1073=$C578)*($E$2:$E$1073=$E578)*(ROW(T$2:T$1073)&lt;&gt;ROW(T578))*(T$2:T$1073&lt;&gt;""))),"")</f>
        <v>1.3107153079830167E-2</v>
      </c>
      <c r="AC578" cm="1">
        <f t="array" ref="AC578">IFERROR(AVERAGE(_xlfn._xlws.FILTER(U$2:U$1073,($C$2:$C$1073=$C578)*($E$2:$E$1073=$E578)*(ROW(U$2:U$1073)&lt;&gt;ROW(U578))*(U$2:U$1073&lt;&gt;""))),"")</f>
        <v>6.2968354519658218</v>
      </c>
      <c r="AD578" cm="1">
        <f t="array" ref="AD578">IFERROR(AVERAGE(_xlfn._xlws.FILTER(V$2:V$1073,($C$2:$C$1073=$C578)*($E$2:$E$1073=$E578)*(ROW(V$2:V$1073)&lt;&gt;ROW(V578))*(V$2:V$1073&lt;&gt;""))),"")</f>
        <v>0.70931365831308468</v>
      </c>
      <c r="AE578">
        <f>IF('Дивиденды по годам'!M578&lt;0,1,0)</f>
        <v>0</v>
      </c>
    </row>
    <row r="579" spans="1:31" x14ac:dyDescent="0.2">
      <c r="A579" s="7" t="s">
        <v>2252</v>
      </c>
      <c r="B579" t="str">
        <f t="shared" ref="B579:B642" si="99">A579&amp;" "&amp;
"IV"
&amp;" кв. "&amp;C579</f>
        <v>HNFG IV кв. 2024</v>
      </c>
      <c r="C579">
        <v>2024</v>
      </c>
      <c r="D579">
        <f>SUMIFS(Дивиденды!$C:$C,Дивиденды!$A:$A,A579,Дивиденды!$I:$I,C579)</f>
        <v>39.619999999999997</v>
      </c>
      <c r="E579">
        <v>4</v>
      </c>
      <c r="F579">
        <f t="shared" ref="F579:F642" si="100">D579</f>
        <v>39.619999999999997</v>
      </c>
      <c r="G579">
        <f t="shared" ref="G579:G642" si="101">AVERAGEIFS($D:$D,$E:$E,E579,$C:$C,C579,$A:$A,"&lt;&gt;"&amp;A579)</f>
        <v>59.681428571428569</v>
      </c>
      <c r="H579">
        <f t="shared" ref="H579:H642" si="102">IF(D579&gt;0,1,0)</f>
        <v>1</v>
      </c>
      <c r="I579">
        <f t="shared" ref="I579:I642" si="103">IFERROR((COUNTIFS($E:$E,E579,$C:$C,C579,$H:$H,1)-H579)/(COUNTIFS($E:$E,E579,$C:$C,C579)-1),0)</f>
        <v>0.5</v>
      </c>
      <c r="J579">
        <f t="shared" ref="J579:J642" si="104">IF(A580&lt;&gt;A579,"",IF(D579=D580,0,IF(AND(D580=0,D579&lt;&gt;0), 1,(D579-D580)/D580)))</f>
        <v>3.7279236276849632</v>
      </c>
      <c r="K579">
        <f t="shared" si="98"/>
        <v>-5.482451375687071E-2</v>
      </c>
      <c r="L579">
        <f t="shared" ref="L579:L642" si="105">IF(J579&lt;&gt;"",IF(J579&gt;0,1,0),"")</f>
        <v>1</v>
      </c>
      <c r="M579">
        <f t="shared" ref="M579:M642" si="106">IFERROR(AVERAGEIFS($L:$L,$E:$E,E579,$C:$C,C579,$A:$A,"&lt;&gt;"&amp;A579),"")</f>
        <v>0.2857142857142857</v>
      </c>
      <c r="N579">
        <f t="shared" ref="N579:N642" si="107">IF(J579&lt;&gt;"",IF(J579&lt;0,1,0),"")</f>
        <v>0</v>
      </c>
      <c r="O579">
        <f t="shared" ref="O579:O642" si="108">IFERROR(AVERAGEIFS($N:$N,$E:$E,E579,$C:$C,C579,$A:$A,"&lt;&gt;"&amp;A579),"")</f>
        <v>0.2857142857142857</v>
      </c>
      <c r="P579">
        <f>IFERROR(LN('Дивиденды по годам'!I579),"")</f>
        <v>23.839639368655511</v>
      </c>
      <c r="Q579">
        <f>IFERROR('Дивиденды по годам'!G579/'Дивиденды по годам'!I579, "")</f>
        <v>0.17827784667193927</v>
      </c>
      <c r="R579">
        <f>IFERROR(IF(AND('Дивиденды по годам'!N579&lt;&gt;"",'Дивиденды по годам'!U579&lt;&gt;"",'Дивиденды по годам'!U579&lt;&gt;0),'Дивиденды по годам'!N579/'Дивиденды по годам'!U579-1,""),"")</f>
        <v>0.24328508165740903</v>
      </c>
      <c r="S579">
        <f>IFERROR(IF(AND('Дивиденды по годам'!L579&lt;&gt;"",'Дивиденды по годам'!I579&lt;&gt;"",'Дивиденды по годам'!J579&lt;&gt;"",'Дивиденды по годам'!K579&lt;&gt;"",('Дивиденды по годам'!I579-'Дивиденды по годам'!J579-'Дивиденды по годам'!K579)&lt;&gt;0),'Дивиденды по годам'!L579/('Дивиденды по годам'!I579-'Дивиденды по годам'!J579-'Дивиденды по годам'!K579),""),"")</f>
        <v>0.49615714968319014</v>
      </c>
      <c r="T579">
        <f>IFERROR(IF(AND('Дивиденды по годам'!Q579&lt;&gt;"",'Дивиденды по годам'!I579&lt;&gt;"",'Дивиденды по годам'!V579&lt;&gt;"",('Дивиденды по годам'!I579+'Дивиденды по годам'!V579)&lt;&gt;0),'Дивиденды по годам'!Q579/(('Дивиденды по годам'!I579+'Дивиденды по годам'!V579)/2),""),"")</f>
        <v>0.14303385406590186</v>
      </c>
      <c r="U579">
        <f>IFERROR(IF(AND('Дивиденды по годам'!J579&lt;&gt;"",'Дивиденды по годам'!K579&lt;&gt;"",'Дивиденды по годам'!M579&lt;&gt;"",'Дивиденды по годам'!M579&lt;&gt;0),('Дивиденды по годам'!J579+'Дивиденды по годам'!K579)/'Дивиденды по годам'!M579,""),"")</f>
        <v>1.5261943007814895</v>
      </c>
      <c r="V579">
        <f>IFERROR(IF(AND('Дивиденды по годам'!J579&lt;&gt;"",'Дивиденды по годам'!K579&lt;&gt;"",'Дивиденды по годам'!M579&lt;&gt;"",'Дивиденды по годам'!I579&lt;&gt;0),('Дивиденды по годам'!J579+'Дивиденды по годам'!K579)/'Дивиденды по годам'!I579,""),"")</f>
        <v>0.60414763041360453</v>
      </c>
      <c r="W579">
        <f>IFERROR('Дивиденды по годам'!I579,"")</f>
        <v>22564402000</v>
      </c>
      <c r="X579" cm="1">
        <f t="array" ref="X579">IFERROR(AVERAGE(_xlfn._xlws.FILTER(P$2:P$1073,($C$2:$C$1073=$C579)*($E$2:$E$1073=$E579)*(ROW(P$2:P$1073)&lt;&gt;ROW(P579))*(P$2:P$1073&lt;&gt;""))),"")</f>
        <v>25.688026595645699</v>
      </c>
      <c r="Y579" cm="1">
        <f t="array" ref="Y579">IFERROR(AVERAGE(_xlfn._xlws.FILTER(Q$2:Q$1073,($C$2:$C$1073=$C579)*($E$2:$E$1073=$E579)*(ROW(Q$2:Q$1073)&lt;&gt;ROW(Q579))*(Q$2:Q$1073&lt;&gt;""))),"")</f>
        <v>0.26897060154486913</v>
      </c>
      <c r="Z579" cm="1">
        <f t="array" ref="Z579">IFERROR(AVERAGE(_xlfn._xlws.FILTER(R$2:R$1073,($C$2:$C$1073=$C579)*($E$2:$E$1073=$E579)*(ROW(R$2:R$1073)&lt;&gt;ROW(R579))*(R$2:R$1073&lt;&gt;""))),"")</f>
        <v>0.26704938571314046</v>
      </c>
      <c r="AA579" cm="1">
        <f t="array" ref="AA579">IFERROR(AVERAGE(_xlfn._xlws.FILTER(S$2:S$1073,($C$2:$C$1073=$C579)*($E$2:$E$1073=$E579)*(ROW(S$2:S$1073)&lt;&gt;ROW(S579))*(S$2:S$1073&lt;&gt;""))),"")</f>
        <v>1.2192609299196664</v>
      </c>
      <c r="AB579" cm="1">
        <f t="array" ref="AB579">IFERROR(AVERAGE(_xlfn._xlws.FILTER(T$2:T$1073,($C$2:$C$1073=$C579)*($E$2:$E$1073=$E579)*(ROW(T$2:T$1073)&lt;&gt;ROW(T579))*(T$2:T$1073&lt;&gt;""))),"")</f>
        <v>6.7950051590362562E-2</v>
      </c>
      <c r="AC579" cm="1">
        <f t="array" ref="AC579">IFERROR(AVERAGE(_xlfn._xlws.FILTER(U$2:U$1073,($C$2:$C$1073=$C579)*($E$2:$E$1073=$E579)*(ROW(U$2:U$1073)&lt;&gt;ROW(U579))*(U$2:U$1073&lt;&gt;""))),"")</f>
        <v>4.166840911597971</v>
      </c>
      <c r="AD579" cm="1">
        <f t="array" ref="AD579">IFERROR(AVERAGE(_xlfn._xlws.FILTER(V$2:V$1073,($C$2:$C$1073=$C579)*($E$2:$E$1073=$E579)*(ROW(V$2:V$1073)&lt;&gt;ROW(V579))*(V$2:V$1073&lt;&gt;""))),"")</f>
        <v>0.70850439585491476</v>
      </c>
      <c r="AE579">
        <f>IF('Дивиденды по годам'!M579&lt;0,1,0)</f>
        <v>0</v>
      </c>
    </row>
    <row r="580" spans="1:31" x14ac:dyDescent="0.2">
      <c r="A580" s="7" t="s">
        <v>2252</v>
      </c>
      <c r="B580" t="str">
        <f t="shared" si="99"/>
        <v>HNFG IV кв. 2023</v>
      </c>
      <c r="C580">
        <v>2023</v>
      </c>
      <c r="D580">
        <f>SUMIFS(Дивиденды!$C:$C,Дивиденды!$A:$A,A580,Дивиденды!$I:$I,C580)</f>
        <v>8.3800000000000008</v>
      </c>
      <c r="E580">
        <v>4</v>
      </c>
      <c r="F580">
        <f t="shared" si="100"/>
        <v>8.3800000000000008</v>
      </c>
      <c r="G580">
        <f t="shared" si="101"/>
        <v>90.141428571428577</v>
      </c>
      <c r="H580">
        <f t="shared" si="102"/>
        <v>1</v>
      </c>
      <c r="I580">
        <f t="shared" si="103"/>
        <v>0.42857142857142855</v>
      </c>
      <c r="J580">
        <f t="shared" si="104"/>
        <v>1</v>
      </c>
      <c r="K580">
        <f t="shared" ref="K580:K643" si="109">IFERROR(AVERAGEIFS($J:$J,$E:$E,E580,$C:$C,C580,$A:$A,"&lt;&gt;"&amp;A580),"")</f>
        <v>0.22669887955182075</v>
      </c>
      <c r="L580">
        <f t="shared" si="105"/>
        <v>1</v>
      </c>
      <c r="M580">
        <f t="shared" si="106"/>
        <v>0.35714285714285715</v>
      </c>
      <c r="N580">
        <f t="shared" si="107"/>
        <v>0</v>
      </c>
      <c r="O580">
        <f t="shared" si="108"/>
        <v>0</v>
      </c>
      <c r="P580">
        <f>IFERROR(LN('Дивиденды по годам'!I580),"")</f>
        <v>23.722901283201509</v>
      </c>
      <c r="Q580">
        <f>IFERROR('Дивиденды по годам'!G580/'Дивиденды по годам'!I580, "")</f>
        <v>0.14758367974525227</v>
      </c>
      <c r="R580">
        <f>IFERROR(IF(AND('Дивиденды по годам'!N580&lt;&gt;"",'Дивиденды по годам'!U580&lt;&gt;"",'Дивиденды по годам'!U580&lt;&gt;0),'Дивиденды по годам'!N580/'Дивиденды по годам'!U580-1,""),"")</f>
        <v>0.34823918580139357</v>
      </c>
      <c r="S580">
        <f>IFERROR(IF(AND('Дивиденды по годам'!L580&lt;&gt;"",'Дивиденды по годам'!I580&lt;&gt;"",'Дивиденды по годам'!J580&lt;&gt;"",'Дивиденды по годам'!K580&lt;&gt;"",('Дивиденды по годам'!I580-'Дивиденды по годам'!J580-'Дивиденды по годам'!K580)&lt;&gt;0),'Дивиденды по годам'!L580/('Дивиденды по годам'!I580-'Дивиденды по годам'!J580-'Дивиденды по годам'!K580),""),"")</f>
        <v>0.42466330602351871</v>
      </c>
      <c r="T580">
        <f>IFERROR(IF(AND('Дивиденды по годам'!Q580&lt;&gt;"",'Дивиденды по годам'!I580&lt;&gt;"",'Дивиденды по годам'!V580&lt;&gt;"",('Дивиденды по годам'!I580+'Дивиденды по годам'!V580)&lt;&gt;0),'Дивиденды по годам'!Q580/(('Дивиденды по годам'!I580+'Дивиденды по годам'!V580)/2),""),"")</f>
        <v>0.1363563721875625</v>
      </c>
      <c r="U580">
        <f>IFERROR(IF(AND('Дивиденды по годам'!J580&lt;&gt;"",'Дивиденды по годам'!K580&lt;&gt;"",'Дивиденды по годам'!M580&lt;&gt;"",'Дивиденды по годам'!M580&lt;&gt;0),('Дивиденды по годам'!J580+'Дивиденды по годам'!K580)/'Дивиденды по годам'!M580,""),"")</f>
        <v>1.5713525363498355</v>
      </c>
      <c r="V580">
        <f>IFERROR(IF(AND('Дивиденды по годам'!J580&lt;&gt;"",'Дивиденды по годам'!K580&lt;&gt;"",'Дивиденды по годам'!M580&lt;&gt;"",'Дивиденды по годам'!I580&lt;&gt;0),('Дивиденды по годам'!J580+'Дивиденды по годам'!K580)/'Дивиденды по годам'!I580,""),"")</f>
        <v>0.611099611638803</v>
      </c>
      <c r="W580">
        <f>IFERROR('Дивиденды по годам'!I580,"")</f>
        <v>20078216000</v>
      </c>
      <c r="X580" cm="1">
        <f t="array" ref="X580">IFERROR(AVERAGE(_xlfn._xlws.FILTER(P$2:P$1073,($C$2:$C$1073=$C580)*($E$2:$E$1073=$E580)*(ROW(P$2:P$1073)&lt;&gt;ROW(P580))*(P$2:P$1073&lt;&gt;""))),"")</f>
        <v>25.48440198858281</v>
      </c>
      <c r="Y580" cm="1">
        <f t="array" ref="Y580">IFERROR(AVERAGE(_xlfn._xlws.FILTER(Q$2:Q$1073,($C$2:$C$1073=$C580)*($E$2:$E$1073=$E580)*(ROW(Q$2:Q$1073)&lt;&gt;ROW(Q580))*(Q$2:Q$1073&lt;&gt;""))),"")</f>
        <v>0.25773052245917744</v>
      </c>
      <c r="Z580" cm="1">
        <f t="array" ref="Z580">IFERROR(AVERAGE(_xlfn._xlws.FILTER(R$2:R$1073,($C$2:$C$1073=$C580)*($E$2:$E$1073=$E580)*(ROW(R$2:R$1073)&lt;&gt;ROW(R580))*(R$2:R$1073&lt;&gt;""))),"")</f>
        <v>0.23765273276475299</v>
      </c>
      <c r="AA580" cm="1">
        <f t="array" ref="AA580">IFERROR(AVERAGE(_xlfn._xlws.FILTER(S$2:S$1073,($C$2:$C$1073=$C580)*($E$2:$E$1073=$E580)*(ROW(S$2:S$1073)&lt;&gt;ROW(S580))*(S$2:S$1073&lt;&gt;""))),"")</f>
        <v>1.3046604939445916</v>
      </c>
      <c r="AB580" cm="1">
        <f t="array" ref="AB580">IFERROR(AVERAGE(_xlfn._xlws.FILTER(T$2:T$1073,($C$2:$C$1073=$C580)*($E$2:$E$1073=$E580)*(ROW(T$2:T$1073)&lt;&gt;ROW(T580))*(T$2:T$1073&lt;&gt;""))),"")</f>
        <v>0.10814129578974951</v>
      </c>
      <c r="AC580" cm="1">
        <f t="array" ref="AC580">IFERROR(AVERAGE(_xlfn._xlws.FILTER(U$2:U$1073,($C$2:$C$1073=$C580)*($E$2:$E$1073=$E580)*(ROW(U$2:U$1073)&lt;&gt;ROW(U580))*(U$2:U$1073&lt;&gt;""))),"")</f>
        <v>2.6600584287341746</v>
      </c>
      <c r="AD580" cm="1">
        <f t="array" ref="AD580">IFERROR(AVERAGE(_xlfn._xlws.FILTER(V$2:V$1073,($C$2:$C$1073=$C580)*($E$2:$E$1073=$E580)*(ROW(V$2:V$1073)&lt;&gt;ROW(V580))*(V$2:V$1073&lt;&gt;""))),"")</f>
        <v>0.69825536221013884</v>
      </c>
      <c r="AE580">
        <f>IF('Дивиденды по годам'!M580&lt;0,1,0)</f>
        <v>0</v>
      </c>
    </row>
    <row r="581" spans="1:31" x14ac:dyDescent="0.2">
      <c r="A581" s="7" t="s">
        <v>2252</v>
      </c>
      <c r="B581" t="str">
        <f t="shared" si="99"/>
        <v>HNFG IV кв. 2022</v>
      </c>
      <c r="C581">
        <v>2022</v>
      </c>
      <c r="D581">
        <f>SUMIFS(Дивиденды!$C:$C,Дивиденды!$A:$A,A581,Дивиденды!$I:$I,C581)</f>
        <v>0</v>
      </c>
      <c r="E581">
        <v>4</v>
      </c>
      <c r="F581">
        <f t="shared" si="100"/>
        <v>0</v>
      </c>
      <c r="G581">
        <f t="shared" si="101"/>
        <v>80.180000000000021</v>
      </c>
      <c r="H581">
        <f t="shared" si="102"/>
        <v>0</v>
      </c>
      <c r="I581">
        <f t="shared" si="103"/>
        <v>0.2857142857142857</v>
      </c>
      <c r="J581">
        <f t="shared" si="104"/>
        <v>0</v>
      </c>
      <c r="K581">
        <f t="shared" si="109"/>
        <v>0.49583624512073399</v>
      </c>
      <c r="L581">
        <f t="shared" si="105"/>
        <v>0</v>
      </c>
      <c r="M581">
        <f t="shared" si="106"/>
        <v>0.2857142857142857</v>
      </c>
      <c r="N581">
        <f t="shared" si="107"/>
        <v>0</v>
      </c>
      <c r="O581">
        <f t="shared" si="108"/>
        <v>7.1428571428571425E-2</v>
      </c>
      <c r="P581">
        <f>IFERROR(LN('Дивиденды по годам'!I581),"")</f>
        <v>23.391784529936924</v>
      </c>
      <c r="Q581">
        <f>IFERROR('Дивиденды по годам'!G581/'Дивиденды по годам'!I581, "")</f>
        <v>0.15186077422938921</v>
      </c>
      <c r="R581">
        <f>IFERROR(IF(AND('Дивиденды по годам'!N581&lt;&gt;"",'Дивиденды по годам'!U581&lt;&gt;"",'Дивиденды по годам'!U581&lt;&gt;0),'Дивиденды по годам'!N581/'Дивиденды по годам'!U581-1,""),"")</f>
        <v>0.30569193551012641</v>
      </c>
      <c r="S581">
        <f>IFERROR(IF(AND('Дивиденды по годам'!L581&lt;&gt;"",'Дивиденды по годам'!I581&lt;&gt;"",'Дивиденды по годам'!J581&lt;&gt;"",'Дивиденды по годам'!K581&lt;&gt;"",('Дивиденды по годам'!I581-'Дивиденды по годам'!J581-'Дивиденды по годам'!K581)&lt;&gt;0),'Дивиденды по годам'!L581/('Дивиденды по годам'!I581-'Дивиденды по годам'!J581-'Дивиденды по годам'!K581),""),"")</f>
        <v>0.38152946177563013</v>
      </c>
      <c r="T581">
        <f>IFERROR(IF(AND('Дивиденды по годам'!Q581&lt;&gt;"",'Дивиденды по годам'!I581&lt;&gt;"",'Дивиденды по годам'!V581&lt;&gt;"",('Дивиденды по годам'!I581+'Дивиденды по годам'!V581)&lt;&gt;0),'Дивиденды по годам'!Q581/(('Дивиденды по годам'!I581+'Дивиденды по годам'!V581)/2),""),"")</f>
        <v>0.15228118047823699</v>
      </c>
      <c r="U581">
        <f>IFERROR(IF(AND('Дивиденды по годам'!J581&lt;&gt;"",'Дивиденды по годам'!K581&lt;&gt;"",'Дивиденды по годам'!M581&lt;&gt;"",'Дивиденды по годам'!M581&lt;&gt;0),('Дивиденды по годам'!J581+'Дивиденды по годам'!K581)/'Дивиденды по годам'!M581,""),"")</f>
        <v>3.8760872924966883</v>
      </c>
      <c r="V581">
        <f>IFERROR(IF(AND('Дивиденды по годам'!J581&lt;&gt;"",'Дивиденды по годам'!K581&lt;&gt;"",'Дивиденды по годам'!M581&lt;&gt;"",'Дивиденды по годам'!I581&lt;&gt;0),('Дивиденды по годам'!J581+'Дивиденды по годам'!K581)/'Дивиденды по годам'!I581,""),"")</f>
        <v>0.79491753530770504</v>
      </c>
      <c r="W581">
        <f>IFERROR('Дивиденды по годам'!I581,"")</f>
        <v>14418595000</v>
      </c>
      <c r="X581" cm="1">
        <f t="array" ref="X581">IFERROR(AVERAGE(_xlfn._xlws.FILTER(P$2:P$1073,($C$2:$C$1073=$C581)*($E$2:$E$1073=$E581)*(ROW(P$2:P$1073)&lt;&gt;ROW(P581))*(P$2:P$1073&lt;&gt;""))),"")</f>
        <v>25.423708779015879</v>
      </c>
      <c r="Y581" cm="1">
        <f t="array" ref="Y581">IFERROR(AVERAGE(_xlfn._xlws.FILTER(Q$2:Q$1073,($C$2:$C$1073=$C581)*($E$2:$E$1073=$E581)*(ROW(Q$2:Q$1073)&lt;&gt;ROW(Q581))*(Q$2:Q$1073&lt;&gt;""))),"")</f>
        <v>0.25630612941959513</v>
      </c>
      <c r="Z581" cm="1">
        <f t="array" ref="Z581">IFERROR(AVERAGE(_xlfn._xlws.FILTER(R$2:R$1073,($C$2:$C$1073=$C581)*($E$2:$E$1073=$E581)*(ROW(R$2:R$1073)&lt;&gt;ROW(R581))*(R$2:R$1073&lt;&gt;""))),"")</f>
        <v>0.19599354455963106</v>
      </c>
      <c r="AA581" cm="1">
        <f t="array" ref="AA581">IFERROR(AVERAGE(_xlfn._xlws.FILTER(S$2:S$1073,($C$2:$C$1073=$C581)*($E$2:$E$1073=$E581)*(ROW(S$2:S$1073)&lt;&gt;ROW(S581))*(S$2:S$1073&lt;&gt;""))),"")</f>
        <v>1.416712390783667</v>
      </c>
      <c r="AB581" cm="1">
        <f t="array" ref="AB581">IFERROR(AVERAGE(_xlfn._xlws.FILTER(T$2:T$1073,($C$2:$C$1073=$C581)*($E$2:$E$1073=$E581)*(ROW(T$2:T$1073)&lt;&gt;ROW(T581))*(T$2:T$1073&lt;&gt;""))),"")</f>
        <v>9.6138408775146178E-2</v>
      </c>
      <c r="AC581" cm="1">
        <f t="array" ref="AC581">IFERROR(AVERAGE(_xlfn._xlws.FILTER(U$2:U$1073,($C$2:$C$1073=$C581)*($E$2:$E$1073=$E581)*(ROW(U$2:U$1073)&lt;&gt;ROW(U581))*(U$2:U$1073&lt;&gt;""))),"")</f>
        <v>2.0315931956200033</v>
      </c>
      <c r="AD581" cm="1">
        <f t="array" ref="AD581">IFERROR(AVERAGE(_xlfn._xlws.FILTER(V$2:V$1073,($C$2:$C$1073=$C581)*($E$2:$E$1073=$E581)*(ROW(V$2:V$1073)&lt;&gt;ROW(V581))*(V$2:V$1073&lt;&gt;""))),"")</f>
        <v>0.711592717294109</v>
      </c>
      <c r="AE581">
        <f>IF('Дивиденды по годам'!M581&lt;0,1,0)</f>
        <v>0</v>
      </c>
    </row>
    <row r="582" spans="1:31" x14ac:dyDescent="0.2">
      <c r="A582" s="7" t="s">
        <v>2252</v>
      </c>
      <c r="B582" t="str">
        <f t="shared" si="99"/>
        <v>HNFG IV кв. 2021</v>
      </c>
      <c r="C582">
        <v>2021</v>
      </c>
      <c r="D582">
        <f>SUMIFS(Дивиденды!$C:$C,Дивиденды!$A:$A,A582,Дивиденды!$I:$I,C582)</f>
        <v>0</v>
      </c>
      <c r="E582">
        <v>4</v>
      </c>
      <c r="F582">
        <f t="shared" si="100"/>
        <v>0</v>
      </c>
      <c r="G582">
        <f t="shared" si="101"/>
        <v>31.931428571428572</v>
      </c>
      <c r="H582">
        <f t="shared" si="102"/>
        <v>0</v>
      </c>
      <c r="I582">
        <f t="shared" si="103"/>
        <v>0.2857142857142857</v>
      </c>
      <c r="J582">
        <f t="shared" si="104"/>
        <v>0</v>
      </c>
      <c r="K582">
        <f t="shared" si="109"/>
        <v>0.1975016604235505</v>
      </c>
      <c r="L582">
        <f t="shared" si="105"/>
        <v>0</v>
      </c>
      <c r="M582">
        <f t="shared" si="106"/>
        <v>0.21428571428571427</v>
      </c>
      <c r="N582">
        <f t="shared" si="107"/>
        <v>0</v>
      </c>
      <c r="O582">
        <f t="shared" si="108"/>
        <v>7.1428571428571425E-2</v>
      </c>
      <c r="P582">
        <f>IFERROR(LN('Дивиденды по годам'!I582),"")</f>
        <v>22.989137048058446</v>
      </c>
      <c r="Q582">
        <f>IFERROR('Дивиденды по годам'!G582/'Дивиденды по годам'!I582, "")</f>
        <v>0.10296405868384097</v>
      </c>
      <c r="R582" t="str">
        <f>IFERROR(IF(AND('Дивиденды по годам'!N582&lt;&gt;"",'Дивиденды по годам'!U582&lt;&gt;"",'Дивиденды по годам'!U582&lt;&gt;0),'Дивиденды по годам'!N582/'Дивиденды по годам'!U582-1,""),"")</f>
        <v/>
      </c>
      <c r="S582">
        <f>IFERROR(IF(AND('Дивиденды по годам'!L582&lt;&gt;"",'Дивиденды по годам'!I582&lt;&gt;"",'Дивиденды по годам'!J582&lt;&gt;"",'Дивиденды по годам'!K582&lt;&gt;"",('Дивиденды по годам'!I582-'Дивиденды по годам'!J582-'Дивиденды по годам'!K582)&lt;&gt;0),'Дивиденды по годам'!L582/('Дивиденды по годам'!I582-'Дивиденды по годам'!J582-'Дивиденды по годам'!K582),""),"")</f>
        <v>-1.0819092842110045</v>
      </c>
      <c r="T582" t="str">
        <f>IFERROR(IF(AND('Дивиденды по годам'!Q582&lt;&gt;"",'Дивиденды по годам'!I582&lt;&gt;"",'Дивиденды по годам'!V582&lt;&gt;"",('Дивиденды по годам'!I582+'Дивиденды по годам'!V582)&lt;&gt;0),'Дивиденды по годам'!Q582/(('Дивиденды по годам'!I582+'Дивиденды по годам'!V582)/2),""),"")</f>
        <v/>
      </c>
      <c r="U582">
        <f>IFERROR(IF(AND('Дивиденды по годам'!J582&lt;&gt;"",'Дивиденды по годам'!K582&lt;&gt;"",'Дивиденды по годам'!M582&lt;&gt;"",'Дивиденды по годам'!M582&lt;&gt;0),('Дивиденды по годам'!J582+'Дивиденды по годам'!K582)/'Дивиденды по годам'!M582,""),"")</f>
        <v>-10.520070673262575</v>
      </c>
      <c r="V582">
        <f>IFERROR(IF(AND('Дивиденды по годам'!J582&lt;&gt;"",'Дивиденды по годам'!K582&lt;&gt;"",'Дивиденды по годам'!M582&lt;&gt;"",'Дивиденды по годам'!I582&lt;&gt;0),('Дивиденды по годам'!J582+'Дивиденды по годам'!K582)/'Дивиденды по годам'!I582,""),"")</f>
        <v>1.1050412370160794</v>
      </c>
      <c r="W582">
        <f>IFERROR('Дивиденды по годам'!I582,"")</f>
        <v>9639519000</v>
      </c>
      <c r="X582" cm="1">
        <f t="array" ref="X582">IFERROR(AVERAGE(_xlfn._xlws.FILTER(P$2:P$1073,($C$2:$C$1073=$C582)*($E$2:$E$1073=$E582)*(ROW(P$2:P$1073)&lt;&gt;ROW(P582))*(P$2:P$1073&lt;&gt;""))),"")</f>
        <v>25.371206283573958</v>
      </c>
      <c r="Y582" cm="1">
        <f t="array" ref="Y582">IFERROR(AVERAGE(_xlfn._xlws.FILTER(Q$2:Q$1073,($C$2:$C$1073=$C582)*($E$2:$E$1073=$E582)*(ROW(Q$2:Q$1073)&lt;&gt;ROW(Q582))*(Q$2:Q$1073&lt;&gt;""))),"")</f>
        <v>0.24628388217862388</v>
      </c>
      <c r="Z582" cm="1">
        <f t="array" ref="Z582">IFERROR(AVERAGE(_xlfn._xlws.FILTER(R$2:R$1073,($C$2:$C$1073=$C582)*($E$2:$E$1073=$E582)*(ROW(R$2:R$1073)&lt;&gt;ROW(R582))*(R$2:R$1073&lt;&gt;""))),"")</f>
        <v>0.31760921072336168</v>
      </c>
      <c r="AA582" cm="1">
        <f t="array" ref="AA582">IFERROR(AVERAGE(_xlfn._xlws.FILTER(S$2:S$1073,($C$2:$C$1073=$C582)*($E$2:$E$1073=$E582)*(ROW(S$2:S$1073)&lt;&gt;ROW(S582))*(S$2:S$1073&lt;&gt;""))),"")</f>
        <v>1.5225130929615078</v>
      </c>
      <c r="AB582" cm="1">
        <f t="array" ref="AB582">IFERROR(AVERAGE(_xlfn._xlws.FILTER(T$2:T$1073,($C$2:$C$1073=$C582)*($E$2:$E$1073=$E582)*(ROW(T$2:T$1073)&lt;&gt;ROW(T582))*(T$2:T$1073&lt;&gt;""))),"")</f>
        <v>0.10239490834794492</v>
      </c>
      <c r="AC582" cm="1">
        <f t="array" ref="AC582">IFERROR(AVERAGE(_xlfn._xlws.FILTER(U$2:U$1073,($C$2:$C$1073=$C582)*($E$2:$E$1073=$E582)*(ROW(U$2:U$1073)&lt;&gt;ROW(U582))*(U$2:U$1073&lt;&gt;""))),"")</f>
        <v>19.225190238724743</v>
      </c>
      <c r="AD582" cm="1">
        <f t="array" ref="AD582">IFERROR(AVERAGE(_xlfn._xlws.FILTER(V$2:V$1073,($C$2:$C$1073=$C582)*($E$2:$E$1073=$E582)*(ROW(V$2:V$1073)&lt;&gt;ROW(V582))*(V$2:V$1073&lt;&gt;""))),"")</f>
        <v>0.74505964274463399</v>
      </c>
      <c r="AE582">
        <f>IF('Дивиденды по годам'!M582&lt;0,1,0)</f>
        <v>1</v>
      </c>
    </row>
    <row r="583" spans="1:31" x14ac:dyDescent="0.2">
      <c r="A583" s="7" t="s">
        <v>2252</v>
      </c>
      <c r="B583" t="str">
        <f t="shared" si="99"/>
        <v>HNFG IV кв. 2020</v>
      </c>
      <c r="C583">
        <v>2020</v>
      </c>
      <c r="D583">
        <f>SUMIFS(Дивиденды!$C:$C,Дивиденды!$A:$A,A583,Дивиденды!$I:$I,C583)</f>
        <v>0</v>
      </c>
      <c r="E583">
        <v>4</v>
      </c>
      <c r="F583">
        <f t="shared" si="100"/>
        <v>0</v>
      </c>
      <c r="G583">
        <f t="shared" si="101"/>
        <v>43.293571428571433</v>
      </c>
      <c r="H583">
        <f t="shared" si="102"/>
        <v>0</v>
      </c>
      <c r="I583">
        <f t="shared" si="103"/>
        <v>0.2857142857142857</v>
      </c>
      <c r="J583">
        <f t="shared" si="104"/>
        <v>0</v>
      </c>
      <c r="K583">
        <f t="shared" si="109"/>
        <v>0.26831617204892738</v>
      </c>
      <c r="L583">
        <f t="shared" si="105"/>
        <v>0</v>
      </c>
      <c r="M583">
        <f t="shared" si="106"/>
        <v>0.2857142857142857</v>
      </c>
      <c r="N583">
        <f t="shared" si="107"/>
        <v>0</v>
      </c>
      <c r="O583">
        <f t="shared" si="108"/>
        <v>0</v>
      </c>
      <c r="P583" t="str">
        <f>IFERROR(LN('Дивиденды по годам'!I583),"")</f>
        <v/>
      </c>
      <c r="Q583" t="str">
        <f>IFERROR('Дивиденды по годам'!G583/'Дивиденды по годам'!I583, "")</f>
        <v/>
      </c>
      <c r="R583" t="str">
        <f>IFERROR(IF(AND('Дивиденды по годам'!N583&lt;&gt;"",'Дивиденды по годам'!U583&lt;&gt;"",'Дивиденды по годам'!U583&lt;&gt;0),'Дивиденды по годам'!N583/'Дивиденды по годам'!U583-1,""),"")</f>
        <v/>
      </c>
      <c r="S583" t="str">
        <f>IFERROR(IF(AND('Дивиденды по годам'!L583&lt;&gt;"",'Дивиденды по годам'!I583&lt;&gt;"",'Дивиденды по годам'!J583&lt;&gt;"",'Дивиденды по годам'!K583&lt;&gt;"",('Дивиденды по годам'!I583-'Дивиденды по годам'!J583-'Дивиденды по годам'!K583)&lt;&gt;0),'Дивиденды по годам'!L583/('Дивиденды по годам'!I583-'Дивиденды по годам'!J583-'Дивиденды по годам'!K583),""),"")</f>
        <v/>
      </c>
      <c r="T583" t="str">
        <f>IFERROR(IF(AND('Дивиденды по годам'!Q583&lt;&gt;"",'Дивиденды по годам'!I583&lt;&gt;"",'Дивиденды по годам'!V583&lt;&gt;"",('Дивиденды по годам'!I583+'Дивиденды по годам'!V583)&lt;&gt;0),'Дивиденды по годам'!Q583/(('Дивиденды по годам'!I583+'Дивиденды по годам'!V583)/2),""),"")</f>
        <v/>
      </c>
      <c r="U583" t="str">
        <f>IFERROR(IF(AND('Дивиденды по годам'!J583&lt;&gt;"",'Дивиденды по годам'!K583&lt;&gt;"",'Дивиденды по годам'!M583&lt;&gt;"",'Дивиденды по годам'!M583&lt;&gt;0),('Дивиденды по годам'!J583+'Дивиденды по годам'!K583)/'Дивиденды по годам'!M583,""),"")</f>
        <v/>
      </c>
      <c r="V583" t="str">
        <f>IFERROR(IF(AND('Дивиденды по годам'!J583&lt;&gt;"",'Дивиденды по годам'!K583&lt;&gt;"",'Дивиденды по годам'!M583&lt;&gt;"",'Дивиденды по годам'!I583&lt;&gt;0),('Дивиденды по годам'!J583+'Дивиденды по годам'!K583)/'Дивиденды по годам'!I583,""),"")</f>
        <v/>
      </c>
      <c r="W583" t="str">
        <f>IFERROR('Дивиденды по годам'!I583,"")</f>
        <v/>
      </c>
      <c r="X583" cm="1">
        <f t="array" ref="X583">IFERROR(AVERAGE(_xlfn._xlws.FILTER(P$2:P$1073,($C$2:$C$1073=$C583)*($E$2:$E$1073=$E583)*(ROW(P$2:P$1073)&lt;&gt;ROW(P583))*(P$2:P$1073&lt;&gt;""))),"")</f>
        <v>25.279360907920736</v>
      </c>
      <c r="Y583" cm="1">
        <f t="array" ref="Y583">IFERROR(AVERAGE(_xlfn._xlws.FILTER(Q$2:Q$1073,($C$2:$C$1073=$C583)*($E$2:$E$1073=$E583)*(ROW(Q$2:Q$1073)&lt;&gt;ROW(Q583))*(Q$2:Q$1073&lt;&gt;""))),"")</f>
        <v>0.26156752075221612</v>
      </c>
      <c r="Z583" cm="1">
        <f t="array" ref="Z583">IFERROR(AVERAGE(_xlfn._xlws.FILTER(R$2:R$1073,($C$2:$C$1073=$C583)*($E$2:$E$1073=$E583)*(ROW(R$2:R$1073)&lt;&gt;ROW(R583))*(R$2:R$1073&lt;&gt;""))),"")</f>
        <v>9.6830410579929804E-2</v>
      </c>
      <c r="AA583" cm="1">
        <f t="array" ref="AA583">IFERROR(AVERAGE(_xlfn._xlws.FILTER(S$2:S$1073,($C$2:$C$1073=$C583)*($E$2:$E$1073=$E583)*(ROW(S$2:S$1073)&lt;&gt;ROW(S583))*(S$2:S$1073&lt;&gt;""))),"")</f>
        <v>1.7199758573549004</v>
      </c>
      <c r="AB583" cm="1">
        <f t="array" ref="AB583">IFERROR(AVERAGE(_xlfn._xlws.FILTER(T$2:T$1073,($C$2:$C$1073=$C583)*($E$2:$E$1073=$E583)*(ROW(T$2:T$1073)&lt;&gt;ROW(T583))*(T$2:T$1073&lt;&gt;""))),"")</f>
        <v>6.7482119215201988E-2</v>
      </c>
      <c r="AC583" cm="1">
        <f t="array" ref="AC583">IFERROR(AVERAGE(_xlfn._xlws.FILTER(U$2:U$1073,($C$2:$C$1073=$C583)*($E$2:$E$1073=$E583)*(ROW(U$2:U$1073)&lt;&gt;ROW(U583))*(U$2:U$1073&lt;&gt;""))),"")</f>
        <v>-10.291341252885539</v>
      </c>
      <c r="AD583" cm="1">
        <f t="array" ref="AD583">IFERROR(AVERAGE(_xlfn._xlws.FILTER(V$2:V$1073,($C$2:$C$1073=$C583)*($E$2:$E$1073=$E583)*(ROW(V$2:V$1073)&lt;&gt;ROW(V583))*(V$2:V$1073&lt;&gt;""))),"")</f>
        <v>0.77820650148801684</v>
      </c>
      <c r="AE583">
        <f>IF('Дивиденды по годам'!M583&lt;0,1,0)</f>
        <v>0</v>
      </c>
    </row>
    <row r="584" spans="1:31" x14ac:dyDescent="0.2">
      <c r="A584" s="7" t="s">
        <v>2252</v>
      </c>
      <c r="B584" t="str">
        <f t="shared" si="99"/>
        <v>HNFG IV кв. 2019</v>
      </c>
      <c r="C584">
        <v>2019</v>
      </c>
      <c r="D584">
        <f>SUMIFS(Дивиденды!$C:$C,Дивиденды!$A:$A,A584,Дивиденды!$I:$I,C584)</f>
        <v>0</v>
      </c>
      <c r="E584">
        <v>4</v>
      </c>
      <c r="F584">
        <f t="shared" si="100"/>
        <v>0</v>
      </c>
      <c r="G584">
        <f t="shared" si="101"/>
        <v>24.398571428571426</v>
      </c>
      <c r="H584">
        <f t="shared" si="102"/>
        <v>0</v>
      </c>
      <c r="I584">
        <f t="shared" si="103"/>
        <v>0.21428571428571427</v>
      </c>
      <c r="J584">
        <f t="shared" si="104"/>
        <v>0</v>
      </c>
      <c r="K584">
        <f t="shared" si="109"/>
        <v>0.10876410731109194</v>
      </c>
      <c r="L584">
        <f t="shared" si="105"/>
        <v>0</v>
      </c>
      <c r="M584">
        <f t="shared" si="106"/>
        <v>0.21428571428571427</v>
      </c>
      <c r="N584">
        <f t="shared" si="107"/>
        <v>0</v>
      </c>
      <c r="O584">
        <f t="shared" si="108"/>
        <v>0</v>
      </c>
      <c r="P584" t="str">
        <f>IFERROR(LN('Дивиденды по годам'!I584),"")</f>
        <v/>
      </c>
      <c r="Q584" t="str">
        <f>IFERROR('Дивиденды по годам'!G584/'Дивиденды по годам'!I584, "")</f>
        <v/>
      </c>
      <c r="R584" t="str">
        <f>IFERROR(IF(AND('Дивиденды по годам'!N584&lt;&gt;"",'Дивиденды по годам'!U584&lt;&gt;"",'Дивиденды по годам'!U584&lt;&gt;0),'Дивиденды по годам'!N584/'Дивиденды по годам'!U584-1,""),"")</f>
        <v/>
      </c>
      <c r="S584" t="str">
        <f>IFERROR(IF(AND('Дивиденды по годам'!L584&lt;&gt;"",'Дивиденды по годам'!I584&lt;&gt;"",'Дивиденды по годам'!J584&lt;&gt;"",'Дивиденды по годам'!K584&lt;&gt;"",('Дивиденды по годам'!I584-'Дивиденды по годам'!J584-'Дивиденды по годам'!K584)&lt;&gt;0),'Дивиденды по годам'!L584/('Дивиденды по годам'!I584-'Дивиденды по годам'!J584-'Дивиденды по годам'!K584),""),"")</f>
        <v/>
      </c>
      <c r="T584" t="str">
        <f>IFERROR(IF(AND('Дивиденды по годам'!Q584&lt;&gt;"",'Дивиденды по годам'!I584&lt;&gt;"",'Дивиденды по годам'!V584&lt;&gt;"",('Дивиденды по годам'!I584+'Дивиденды по годам'!V584)&lt;&gt;0),'Дивиденды по годам'!Q584/(('Дивиденды по годам'!I584+'Дивиденды по годам'!V584)/2),""),"")</f>
        <v/>
      </c>
      <c r="U584" t="str">
        <f>IFERROR(IF(AND('Дивиденды по годам'!J584&lt;&gt;"",'Дивиденды по годам'!K584&lt;&gt;"",'Дивиденды по годам'!M584&lt;&gt;"",'Дивиденды по годам'!M584&lt;&gt;0),('Дивиденды по годам'!J584+'Дивиденды по годам'!K584)/'Дивиденды по годам'!M584,""),"")</f>
        <v/>
      </c>
      <c r="V584" t="str">
        <f>IFERROR(IF(AND('Дивиденды по годам'!J584&lt;&gt;"",'Дивиденды по годам'!K584&lt;&gt;"",'Дивиденды по годам'!M584&lt;&gt;"",'Дивиденды по годам'!I584&lt;&gt;0),('Дивиденды по годам'!J584+'Дивиденды по годам'!K584)/'Дивиденды по годам'!I584,""),"")</f>
        <v/>
      </c>
      <c r="W584" t="str">
        <f>IFERROR('Дивиденды по годам'!I584,"")</f>
        <v/>
      </c>
      <c r="X584" cm="1">
        <f t="array" ref="X584">IFERROR(AVERAGE(_xlfn._xlws.FILTER(P$2:P$1073,($C$2:$C$1073=$C584)*($E$2:$E$1073=$E584)*(ROW(P$2:P$1073)&lt;&gt;ROW(P584))*(P$2:P$1073&lt;&gt;""))),"")</f>
        <v>25.116045651461882</v>
      </c>
      <c r="Y584" cm="1">
        <f t="array" ref="Y584">IFERROR(AVERAGE(_xlfn._xlws.FILTER(Q$2:Q$1073,($C$2:$C$1073=$C584)*($E$2:$E$1073=$E584)*(ROW(Q$2:Q$1073)&lt;&gt;ROW(Q584))*(Q$2:Q$1073&lt;&gt;""))),"")</f>
        <v>0.27081451761564085</v>
      </c>
      <c r="Z584" cm="1">
        <f t="array" ref="Z584">IFERROR(AVERAGE(_xlfn._xlws.FILTER(R$2:R$1073,($C$2:$C$1073=$C584)*($E$2:$E$1073=$E584)*(ROW(R$2:R$1073)&lt;&gt;ROW(R584))*(R$2:R$1073&lt;&gt;""))),"")</f>
        <v>0.41255485917491075</v>
      </c>
      <c r="AA584" cm="1">
        <f t="array" ref="AA584">IFERROR(AVERAGE(_xlfn._xlws.FILTER(S$2:S$1073,($C$2:$C$1073=$C584)*($E$2:$E$1073=$E584)*(ROW(S$2:S$1073)&lt;&gt;ROW(S584))*(S$2:S$1073&lt;&gt;""))),"")</f>
        <v>0.89707160002220321</v>
      </c>
      <c r="AB584" cm="1">
        <f t="array" ref="AB584">IFERROR(AVERAGE(_xlfn._xlws.FILTER(T$2:T$1073,($C$2:$C$1073=$C584)*($E$2:$E$1073=$E584)*(ROW(T$2:T$1073)&lt;&gt;ROW(T584))*(T$2:T$1073&lt;&gt;""))),"")</f>
        <v>4.8479450567785541E-2</v>
      </c>
      <c r="AC584" cm="1">
        <f t="array" ref="AC584">IFERROR(AVERAGE(_xlfn._xlws.FILTER(U$2:U$1073,($C$2:$C$1073=$C584)*($E$2:$E$1073=$E584)*(ROW(U$2:U$1073)&lt;&gt;ROW(U584))*(U$2:U$1073&lt;&gt;""))),"")</f>
        <v>-2.6443211935212805</v>
      </c>
      <c r="AD584" cm="1">
        <f t="array" ref="AD584">IFERROR(AVERAGE(_xlfn._xlws.FILTER(V$2:V$1073,($C$2:$C$1073=$C584)*($E$2:$E$1073=$E584)*(ROW(V$2:V$1073)&lt;&gt;ROW(V584))*(V$2:V$1073&lt;&gt;""))),"")</f>
        <v>0.81339122582508594</v>
      </c>
      <c r="AE584">
        <f>IF('Дивиденды по годам'!M584&lt;0,1,0)</f>
        <v>0</v>
      </c>
    </row>
    <row r="585" spans="1:31" x14ac:dyDescent="0.2">
      <c r="A585" s="7" t="s">
        <v>2252</v>
      </c>
      <c r="B585" t="str">
        <f t="shared" si="99"/>
        <v>HNFG IV кв. 2018</v>
      </c>
      <c r="C585">
        <v>2018</v>
      </c>
      <c r="D585">
        <f>SUMIFS(Дивиденды!$C:$C,Дивиденды!$A:$A,A585,Дивиденды!$I:$I,C585)</f>
        <v>0</v>
      </c>
      <c r="E585">
        <v>4</v>
      </c>
      <c r="F585">
        <f t="shared" si="100"/>
        <v>0</v>
      </c>
      <c r="G585">
        <f t="shared" si="101"/>
        <v>21.978571428571428</v>
      </c>
      <c r="H585">
        <f t="shared" si="102"/>
        <v>0</v>
      </c>
      <c r="I585">
        <f t="shared" si="103"/>
        <v>0.14285714285714285</v>
      </c>
      <c r="J585">
        <f t="shared" si="104"/>
        <v>0</v>
      </c>
      <c r="K585">
        <f t="shared" si="109"/>
        <v>-1.8223065562117002E-2</v>
      </c>
      <c r="L585">
        <f t="shared" si="105"/>
        <v>0</v>
      </c>
      <c r="M585">
        <f t="shared" si="106"/>
        <v>7.1428571428571425E-2</v>
      </c>
      <c r="N585">
        <f t="shared" si="107"/>
        <v>0</v>
      </c>
      <c r="O585">
        <f t="shared" si="108"/>
        <v>7.1428571428571425E-2</v>
      </c>
      <c r="P585" t="str">
        <f>IFERROR(LN('Дивиденды по годам'!I585),"")</f>
        <v/>
      </c>
      <c r="Q585" t="str">
        <f>IFERROR('Дивиденды по годам'!G585/'Дивиденды по годам'!I585, "")</f>
        <v/>
      </c>
      <c r="R585" t="str">
        <f>IFERROR(IF(AND('Дивиденды по годам'!N585&lt;&gt;"",'Дивиденды по годам'!U585&lt;&gt;"",'Дивиденды по годам'!U585&lt;&gt;0),'Дивиденды по годам'!N585/'Дивиденды по годам'!U585-1,""),"")</f>
        <v/>
      </c>
      <c r="S585" t="str">
        <f>IFERROR(IF(AND('Дивиденды по годам'!L585&lt;&gt;"",'Дивиденды по годам'!I585&lt;&gt;"",'Дивиденды по годам'!J585&lt;&gt;"",'Дивиденды по годам'!K585&lt;&gt;"",('Дивиденды по годам'!I585-'Дивиденды по годам'!J585-'Дивиденды по годам'!K585)&lt;&gt;0),'Дивиденды по годам'!L585/('Дивиденды по годам'!I585-'Дивиденды по годам'!J585-'Дивиденды по годам'!K585),""),"")</f>
        <v/>
      </c>
      <c r="T585" t="str">
        <f>IFERROR(IF(AND('Дивиденды по годам'!Q585&lt;&gt;"",'Дивиденды по годам'!I585&lt;&gt;"",'Дивиденды по годам'!V585&lt;&gt;"",('Дивиденды по годам'!I585+'Дивиденды по годам'!V585)&lt;&gt;0),'Дивиденды по годам'!Q585/(('Дивиденды по годам'!I585+'Дивиденды по годам'!V585)/2),""),"")</f>
        <v/>
      </c>
      <c r="U585" t="str">
        <f>IFERROR(IF(AND('Дивиденды по годам'!J585&lt;&gt;"",'Дивиденды по годам'!K585&lt;&gt;"",'Дивиденды по годам'!M585&lt;&gt;"",'Дивиденды по годам'!M585&lt;&gt;0),('Дивиденды по годам'!J585+'Дивиденды по годам'!K585)/'Дивиденды по годам'!M585,""),"")</f>
        <v/>
      </c>
      <c r="V585" t="str">
        <f>IFERROR(IF(AND('Дивиденды по годам'!J585&lt;&gt;"",'Дивиденды по годам'!K585&lt;&gt;"",'Дивиденды по годам'!M585&lt;&gt;"",'Дивиденды по годам'!I585&lt;&gt;0),('Дивиденды по годам'!J585+'Дивиденды по годам'!K585)/'Дивиденды по годам'!I585,""),"")</f>
        <v/>
      </c>
      <c r="W585" t="str">
        <f>IFERROR('Дивиденды по годам'!I585,"")</f>
        <v/>
      </c>
      <c r="X585" cm="1">
        <f t="array" ref="X585">IFERROR(AVERAGE(_xlfn._xlws.FILTER(P$2:P$1073,($C$2:$C$1073=$C585)*($E$2:$E$1073=$E585)*(ROW(P$2:P$1073)&lt;&gt;ROW(P585))*(P$2:P$1073&lt;&gt;""))),"")</f>
        <v>24.908270704496481</v>
      </c>
      <c r="Y585" cm="1">
        <f t="array" ref="Y585">IFERROR(AVERAGE(_xlfn._xlws.FILTER(Q$2:Q$1073,($C$2:$C$1073=$C585)*($E$2:$E$1073=$E585)*(ROW(Q$2:Q$1073)&lt;&gt;ROW(Q585))*(Q$2:Q$1073&lt;&gt;""))),"")</f>
        <v>0.31629947227527405</v>
      </c>
      <c r="Z585" cm="1">
        <f t="array" ref="Z585">IFERROR(AVERAGE(_xlfn._xlws.FILTER(R$2:R$1073,($C$2:$C$1073=$C585)*($E$2:$E$1073=$E585)*(ROW(R$2:R$1073)&lt;&gt;ROW(R585))*(R$2:R$1073&lt;&gt;""))),"")</f>
        <v>5.6638288450543382E-2</v>
      </c>
      <c r="AA585" cm="1">
        <f t="array" ref="AA585">IFERROR(AVERAGE(_xlfn._xlws.FILTER(S$2:S$1073,($C$2:$C$1073=$C585)*($E$2:$E$1073=$E585)*(ROW(S$2:S$1073)&lt;&gt;ROW(S585))*(S$2:S$1073&lt;&gt;""))),"")</f>
        <v>0.64427650310006845</v>
      </c>
      <c r="AB585" cm="1">
        <f t="array" ref="AB585">IFERROR(AVERAGE(_xlfn._xlws.FILTER(T$2:T$1073,($C$2:$C$1073=$C585)*($E$2:$E$1073=$E585)*(ROW(T$2:T$1073)&lt;&gt;ROW(T585))*(T$2:T$1073&lt;&gt;""))),"")</f>
        <v>7.1418821660913928E-3</v>
      </c>
      <c r="AC585" cm="1">
        <f t="array" ref="AC585">IFERROR(AVERAGE(_xlfn._xlws.FILTER(U$2:U$1073,($C$2:$C$1073=$C585)*($E$2:$E$1073=$E585)*(ROW(U$2:U$1073)&lt;&gt;ROW(U585))*(U$2:U$1073&lt;&gt;""))),"")</f>
        <v>1.0767813683356515</v>
      </c>
      <c r="AD585" cm="1">
        <f t="array" ref="AD585">IFERROR(AVERAGE(_xlfn._xlws.FILTER(V$2:V$1073,($C$2:$C$1073=$C585)*($E$2:$E$1073=$E585)*(ROW(V$2:V$1073)&lt;&gt;ROW(V585))*(V$2:V$1073&lt;&gt;""))),"")</f>
        <v>0.81626365949041058</v>
      </c>
      <c r="AE585">
        <f>IF('Дивиденды по годам'!M585&lt;0,1,0)</f>
        <v>0</v>
      </c>
    </row>
    <row r="586" spans="1:31" x14ac:dyDescent="0.2">
      <c r="A586" s="7" t="s">
        <v>2252</v>
      </c>
      <c r="B586" t="str">
        <f t="shared" si="99"/>
        <v>HNFG IV кв. 2017</v>
      </c>
      <c r="C586">
        <v>2017</v>
      </c>
      <c r="D586">
        <f>SUMIFS(Дивиденды!$C:$C,Дивиденды!$A:$A,A586,Дивиденды!$I:$I,C586)</f>
        <v>0</v>
      </c>
      <c r="E586">
        <v>4</v>
      </c>
      <c r="F586">
        <f t="shared" si="100"/>
        <v>0</v>
      </c>
      <c r="G586">
        <f t="shared" si="101"/>
        <v>18.403571428571428</v>
      </c>
      <c r="H586">
        <f t="shared" si="102"/>
        <v>0</v>
      </c>
      <c r="I586">
        <f t="shared" si="103"/>
        <v>0.14285714285714285</v>
      </c>
      <c r="J586">
        <f t="shared" si="104"/>
        <v>0</v>
      </c>
      <c r="K586">
        <f t="shared" si="109"/>
        <v>-1.7352821773673279E-2</v>
      </c>
      <c r="L586">
        <f t="shared" si="105"/>
        <v>0</v>
      </c>
      <c r="M586">
        <f t="shared" si="106"/>
        <v>0</v>
      </c>
      <c r="N586">
        <f t="shared" si="107"/>
        <v>0</v>
      </c>
      <c r="O586">
        <f t="shared" si="108"/>
        <v>0.14285714285714285</v>
      </c>
      <c r="P586" t="str">
        <f>IFERROR(LN('Дивиденды по годам'!I586),"")</f>
        <v/>
      </c>
      <c r="Q586" t="str">
        <f>IFERROR('Дивиденды по годам'!G586/'Дивиденды по годам'!I586, "")</f>
        <v/>
      </c>
      <c r="R586" t="str">
        <f>IFERROR(IF(AND('Дивиденды по годам'!N586&lt;&gt;"",'Дивиденды по годам'!U586&lt;&gt;"",'Дивиденды по годам'!U586&lt;&gt;0),'Дивиденды по годам'!N586/'Дивиденды по годам'!U586-1,""),"")</f>
        <v/>
      </c>
      <c r="S586" t="str">
        <f>IFERROR(IF(AND('Дивиденды по годам'!L586&lt;&gt;"",'Дивиденды по годам'!I586&lt;&gt;"",'Дивиденды по годам'!J586&lt;&gt;"",'Дивиденды по годам'!K586&lt;&gt;"",('Дивиденды по годам'!I586-'Дивиденды по годам'!J586-'Дивиденды по годам'!K586)&lt;&gt;0),'Дивиденды по годам'!L586/('Дивиденды по годам'!I586-'Дивиденды по годам'!J586-'Дивиденды по годам'!K586),""),"")</f>
        <v/>
      </c>
      <c r="T586" t="str">
        <f>IFERROR(IF(AND('Дивиденды по годам'!Q586&lt;&gt;"",'Дивиденды по годам'!I586&lt;&gt;"",'Дивиденды по годам'!V586&lt;&gt;"",('Дивиденды по годам'!I586+'Дивиденды по годам'!V586)&lt;&gt;0),'Дивиденды по годам'!Q586/(('Дивиденды по годам'!I586+'Дивиденды по годам'!V586)/2),""),"")</f>
        <v/>
      </c>
      <c r="U586" t="str">
        <f>IFERROR(IF(AND('Дивиденды по годам'!J586&lt;&gt;"",'Дивиденды по годам'!K586&lt;&gt;"",'Дивиденды по годам'!M586&lt;&gt;"",'Дивиденды по годам'!M586&lt;&gt;0),('Дивиденды по годам'!J586+'Дивиденды по годам'!K586)/'Дивиденды по годам'!M586,""),"")</f>
        <v/>
      </c>
      <c r="V586" t="str">
        <f>IFERROR(IF(AND('Дивиденды по годам'!J586&lt;&gt;"",'Дивиденды по годам'!K586&lt;&gt;"",'Дивиденды по годам'!M586&lt;&gt;"",'Дивиденды по годам'!I586&lt;&gt;0),('Дивиденды по годам'!J586+'Дивиденды по годам'!K586)/'Дивиденды по годам'!I586,""),"")</f>
        <v/>
      </c>
      <c r="W586" t="str">
        <f>IFERROR('Дивиденды по годам'!I586,"")</f>
        <v/>
      </c>
      <c r="X586" cm="1">
        <f t="array" ref="X586">IFERROR(AVERAGE(_xlfn._xlws.FILTER(P$2:P$1073,($C$2:$C$1073=$C586)*($E$2:$E$1073=$E586)*(ROW(P$2:P$1073)&lt;&gt;ROW(P586))*(P$2:P$1073&lt;&gt;""))),"")</f>
        <v>24.73571056544559</v>
      </c>
      <c r="Y586" cm="1">
        <f t="array" ref="Y586">IFERROR(AVERAGE(_xlfn._xlws.FILTER(Q$2:Q$1073,($C$2:$C$1073=$C586)*($E$2:$E$1073=$E586)*(ROW(Q$2:Q$1073)&lt;&gt;ROW(Q586))*(Q$2:Q$1073&lt;&gt;""))),"")</f>
        <v>0.33981210980429821</v>
      </c>
      <c r="Z586" cm="1">
        <f t="array" ref="Z586">IFERROR(AVERAGE(_xlfn._xlws.FILTER(R$2:R$1073,($C$2:$C$1073=$C586)*($E$2:$E$1073=$E586)*(ROW(R$2:R$1073)&lt;&gt;ROW(R586))*(R$2:R$1073&lt;&gt;""))),"")</f>
        <v>0.23691718521625563</v>
      </c>
      <c r="AA586" cm="1">
        <f t="array" ref="AA586">IFERROR(AVERAGE(_xlfn._xlws.FILTER(S$2:S$1073,($C$2:$C$1073=$C586)*($E$2:$E$1073=$E586)*(ROW(S$2:S$1073)&lt;&gt;ROW(S586))*(S$2:S$1073&lt;&gt;""))),"")</f>
        <v>0.61774629406594017</v>
      </c>
      <c r="AB586" cm="1">
        <f t="array" ref="AB586">IFERROR(AVERAGE(_xlfn._xlws.FILTER(T$2:T$1073,($C$2:$C$1073=$C586)*($E$2:$E$1073=$E586)*(ROW(T$2:T$1073)&lt;&gt;ROW(T586))*(T$2:T$1073&lt;&gt;""))),"")</f>
        <v>-2.7044382152168867E-2</v>
      </c>
      <c r="AC586" cm="1">
        <f t="array" ref="AC586">IFERROR(AVERAGE(_xlfn._xlws.FILTER(U$2:U$1073,($C$2:$C$1073=$C586)*($E$2:$E$1073=$E586)*(ROW(U$2:U$1073)&lt;&gt;ROW(U586))*(U$2:U$1073&lt;&gt;""))),"")</f>
        <v>0.62620703107195774</v>
      </c>
      <c r="AD586" cm="1">
        <f t="array" ref="AD586">IFERROR(AVERAGE(_xlfn._xlws.FILTER(V$2:V$1073,($C$2:$C$1073=$C586)*($E$2:$E$1073=$E586)*(ROW(V$2:V$1073)&lt;&gt;ROW(V586))*(V$2:V$1073&lt;&gt;""))),"")</f>
        <v>0.66654193671015471</v>
      </c>
      <c r="AE586">
        <f>IF('Дивиденды по годам'!M586&lt;0,1,0)</f>
        <v>0</v>
      </c>
    </row>
    <row r="587" spans="1:31" x14ac:dyDescent="0.2">
      <c r="A587" s="7" t="s">
        <v>2252</v>
      </c>
      <c r="B587" t="str">
        <f t="shared" si="99"/>
        <v>HNFG IV кв. 2016</v>
      </c>
      <c r="C587">
        <v>2016</v>
      </c>
      <c r="D587">
        <f>SUMIFS(Дивиденды!$C:$C,Дивиденды!$A:$A,A587,Дивиденды!$I:$I,C587)</f>
        <v>0</v>
      </c>
      <c r="E587">
        <v>4</v>
      </c>
      <c r="F587">
        <f t="shared" si="100"/>
        <v>0</v>
      </c>
      <c r="G587">
        <f t="shared" si="101"/>
        <v>20.421428571428571</v>
      </c>
      <c r="H587">
        <f t="shared" si="102"/>
        <v>0</v>
      </c>
      <c r="I587">
        <f t="shared" si="103"/>
        <v>0.14285714285714285</v>
      </c>
      <c r="J587">
        <f t="shared" si="104"/>
        <v>0</v>
      </c>
      <c r="K587">
        <f t="shared" si="109"/>
        <v>2.0593461763560781E-2</v>
      </c>
      <c r="L587">
        <f t="shared" si="105"/>
        <v>0</v>
      </c>
      <c r="M587">
        <f t="shared" si="106"/>
        <v>7.1428571428571425E-2</v>
      </c>
      <c r="N587">
        <f t="shared" si="107"/>
        <v>0</v>
      </c>
      <c r="O587">
        <f t="shared" si="108"/>
        <v>7.1428571428571425E-2</v>
      </c>
      <c r="P587" t="str">
        <f>IFERROR(LN('Дивиденды по годам'!I587),"")</f>
        <v/>
      </c>
      <c r="Q587" t="str">
        <f>IFERROR('Дивиденды по годам'!G587/'Дивиденды по годам'!I587, "")</f>
        <v/>
      </c>
      <c r="R587" t="str">
        <f>IFERROR(IF(AND('Дивиденды по годам'!N587&lt;&gt;"",'Дивиденды по годам'!U587&lt;&gt;"",'Дивиденды по годам'!U587&lt;&gt;0),'Дивиденды по годам'!N587/'Дивиденды по годам'!U587-1,""),"")</f>
        <v/>
      </c>
      <c r="S587" t="str">
        <f>IFERROR(IF(AND('Дивиденды по годам'!L587&lt;&gt;"",'Дивиденды по годам'!I587&lt;&gt;"",'Дивиденды по годам'!J587&lt;&gt;"",'Дивиденды по годам'!K587&lt;&gt;"",('Дивиденды по годам'!I587-'Дивиденды по годам'!J587-'Дивиденды по годам'!K587)&lt;&gt;0),'Дивиденды по годам'!L587/('Дивиденды по годам'!I587-'Дивиденды по годам'!J587-'Дивиденды по годам'!K587),""),"")</f>
        <v/>
      </c>
      <c r="T587" t="str">
        <f>IFERROR(IF(AND('Дивиденды по годам'!Q587&lt;&gt;"",'Дивиденды по годам'!I587&lt;&gt;"",'Дивиденды по годам'!V587&lt;&gt;"",('Дивиденды по годам'!I587+'Дивиденды по годам'!V587)&lt;&gt;0),'Дивиденды по годам'!Q587/(('Дивиденды по годам'!I587+'Дивиденды по годам'!V587)/2),""),"")</f>
        <v/>
      </c>
      <c r="U587" t="str">
        <f>IFERROR(IF(AND('Дивиденды по годам'!J587&lt;&gt;"",'Дивиденды по годам'!K587&lt;&gt;"",'Дивиденды по годам'!M587&lt;&gt;"",'Дивиденды по годам'!M587&lt;&gt;0),('Дивиденды по годам'!J587+'Дивиденды по годам'!K587)/'Дивиденды по годам'!M587,""),"")</f>
        <v/>
      </c>
      <c r="V587" t="str">
        <f>IFERROR(IF(AND('Дивиденды по годам'!J587&lt;&gt;"",'Дивиденды по годам'!K587&lt;&gt;"",'Дивиденды по годам'!M587&lt;&gt;"",'Дивиденды по годам'!I587&lt;&gt;0),('Дивиденды по годам'!J587+'Дивиденды по годам'!K587)/'Дивиденды по годам'!I587,""),"")</f>
        <v/>
      </c>
      <c r="W587" t="str">
        <f>IFERROR('Дивиденды по годам'!I587,"")</f>
        <v/>
      </c>
      <c r="X587" cm="1">
        <f t="array" ref="X587">IFERROR(AVERAGE(_xlfn._xlws.FILTER(P$2:P$1073,($C$2:$C$1073=$C587)*($E$2:$E$1073=$E587)*(ROW(P$2:P$1073)&lt;&gt;ROW(P587))*(P$2:P$1073&lt;&gt;""))),"")</f>
        <v>24.55530958635584</v>
      </c>
      <c r="Y587" cm="1">
        <f t="array" ref="Y587">IFERROR(AVERAGE(_xlfn._xlws.FILTER(Q$2:Q$1073,($C$2:$C$1073=$C587)*($E$2:$E$1073=$E587)*(ROW(Q$2:Q$1073)&lt;&gt;ROW(Q587))*(Q$2:Q$1073&lt;&gt;""))),"")</f>
        <v>0.27878606899788128</v>
      </c>
      <c r="Z587" cm="1">
        <f t="array" ref="Z587">IFERROR(AVERAGE(_xlfn._xlws.FILTER(R$2:R$1073,($C$2:$C$1073=$C587)*($E$2:$E$1073=$E587)*(ROW(R$2:R$1073)&lt;&gt;ROW(R587))*(R$2:R$1073&lt;&gt;""))),"")</f>
        <v>0.16612325919082049</v>
      </c>
      <c r="AA587" cm="1">
        <f t="array" ref="AA587">IFERROR(AVERAGE(_xlfn._xlws.FILTER(S$2:S$1073,($C$2:$C$1073=$C587)*($E$2:$E$1073=$E587)*(ROW(S$2:S$1073)&lt;&gt;ROW(S587))*(S$2:S$1073&lt;&gt;""))),"")</f>
        <v>6.2178681719613929</v>
      </c>
      <c r="AB587" cm="1">
        <f t="array" ref="AB587">IFERROR(AVERAGE(_xlfn._xlws.FILTER(T$2:T$1073,($C$2:$C$1073=$C587)*($E$2:$E$1073=$E587)*(ROW(T$2:T$1073)&lt;&gt;ROW(T587))*(T$2:T$1073&lt;&gt;""))),"")</f>
        <v>-2.007011623977166E-2</v>
      </c>
      <c r="AC587" cm="1">
        <f t="array" ref="AC587">IFERROR(AVERAGE(_xlfn._xlws.FILTER(U$2:U$1073,($C$2:$C$1073=$C587)*($E$2:$E$1073=$E587)*(ROW(U$2:U$1073)&lt;&gt;ROW(U587))*(U$2:U$1073&lt;&gt;""))),"")</f>
        <v>-16.044507701133888</v>
      </c>
      <c r="AD587" cm="1">
        <f t="array" ref="AD587">IFERROR(AVERAGE(_xlfn._xlws.FILTER(V$2:V$1073,($C$2:$C$1073=$C587)*($E$2:$E$1073=$E587)*(ROW(V$2:V$1073)&lt;&gt;ROW(V587))*(V$2:V$1073&lt;&gt;""))),"")</f>
        <v>0.64687882816141706</v>
      </c>
      <c r="AE587">
        <f>IF('Дивиденды по годам'!M587&lt;0,1,0)</f>
        <v>0</v>
      </c>
    </row>
    <row r="588" spans="1:31" x14ac:dyDescent="0.2">
      <c r="A588" s="7" t="s">
        <v>2252</v>
      </c>
      <c r="B588" t="str">
        <f t="shared" si="99"/>
        <v>HNFG IV кв. 2015</v>
      </c>
      <c r="C588">
        <v>2015</v>
      </c>
      <c r="D588">
        <f>SUMIFS(Дивиденды!$C:$C,Дивиденды!$A:$A,A588,Дивиденды!$I:$I,C588)</f>
        <v>0</v>
      </c>
      <c r="E588">
        <v>4</v>
      </c>
      <c r="F588">
        <f t="shared" si="100"/>
        <v>0</v>
      </c>
      <c r="G588">
        <f t="shared" si="101"/>
        <v>22.574999999999999</v>
      </c>
      <c r="H588">
        <f t="shared" si="102"/>
        <v>0</v>
      </c>
      <c r="I588">
        <f t="shared" si="103"/>
        <v>0.14285714285714285</v>
      </c>
      <c r="J588">
        <f t="shared" si="104"/>
        <v>0</v>
      </c>
      <c r="K588">
        <f t="shared" si="109"/>
        <v>6.1102189263868886E-2</v>
      </c>
      <c r="L588">
        <f t="shared" si="105"/>
        <v>0</v>
      </c>
      <c r="M588">
        <f t="shared" si="106"/>
        <v>7.1428571428571425E-2</v>
      </c>
      <c r="N588">
        <f t="shared" si="107"/>
        <v>0</v>
      </c>
      <c r="O588">
        <f t="shared" si="108"/>
        <v>7.1428571428571425E-2</v>
      </c>
      <c r="P588" t="str">
        <f>IFERROR(LN('Дивиденды по годам'!I588),"")</f>
        <v/>
      </c>
      <c r="Q588" t="str">
        <f>IFERROR('Дивиденды по годам'!G588/'Дивиденды по годам'!I588, "")</f>
        <v/>
      </c>
      <c r="R588" t="str">
        <f>IFERROR(IF(AND('Дивиденды по годам'!N588&lt;&gt;"",'Дивиденды по годам'!U588&lt;&gt;"",'Дивиденды по годам'!U588&lt;&gt;0),'Дивиденды по годам'!N588/'Дивиденды по годам'!U588-1,""),"")</f>
        <v/>
      </c>
      <c r="S588" t="str">
        <f>IFERROR(IF(AND('Дивиденды по годам'!L588&lt;&gt;"",'Дивиденды по годам'!I588&lt;&gt;"",'Дивиденды по годам'!J588&lt;&gt;"",'Дивиденды по годам'!K588&lt;&gt;"",('Дивиденды по годам'!I588-'Дивиденды по годам'!J588-'Дивиденды по годам'!K588)&lt;&gt;0),'Дивиденды по годам'!L588/('Дивиденды по годам'!I588-'Дивиденды по годам'!J588-'Дивиденды по годам'!K588),""),"")</f>
        <v/>
      </c>
      <c r="T588" t="str">
        <f>IFERROR(IF(AND('Дивиденды по годам'!Q588&lt;&gt;"",'Дивиденды по годам'!I588&lt;&gt;"",'Дивиденды по годам'!V588&lt;&gt;"",('Дивиденды по годам'!I588+'Дивиденды по годам'!V588)&lt;&gt;0),'Дивиденды по годам'!Q588/(('Дивиденды по годам'!I588+'Дивиденды по годам'!V588)/2),""),"")</f>
        <v/>
      </c>
      <c r="U588" t="str">
        <f>IFERROR(IF(AND('Дивиденды по годам'!J588&lt;&gt;"",'Дивиденды по годам'!K588&lt;&gt;"",'Дивиденды по годам'!M588&lt;&gt;"",'Дивиденды по годам'!M588&lt;&gt;0),('Дивиденды по годам'!J588+'Дивиденды по годам'!K588)/'Дивиденды по годам'!M588,""),"")</f>
        <v/>
      </c>
      <c r="V588" t="str">
        <f>IFERROR(IF(AND('Дивиденды по годам'!J588&lt;&gt;"",'Дивиденды по годам'!K588&lt;&gt;"",'Дивиденды по годам'!M588&lt;&gt;"",'Дивиденды по годам'!I588&lt;&gt;0),('Дивиденды по годам'!J588+'Дивиденды по годам'!K588)/'Дивиденды по годам'!I588,""),"")</f>
        <v/>
      </c>
      <c r="W588" t="str">
        <f>IFERROR('Дивиденды по годам'!I588,"")</f>
        <v/>
      </c>
      <c r="X588" cm="1">
        <f t="array" ref="X588">IFERROR(AVERAGE(_xlfn._xlws.FILTER(P$2:P$1073,($C$2:$C$1073=$C588)*($E$2:$E$1073=$E588)*(ROW(P$2:P$1073)&lt;&gt;ROW(P588))*(P$2:P$1073&lt;&gt;""))),"")</f>
        <v>24.784857390248948</v>
      </c>
      <c r="Y588" cm="1">
        <f t="array" ref="Y588">IFERROR(AVERAGE(_xlfn._xlws.FILTER(Q$2:Q$1073,($C$2:$C$1073=$C588)*($E$2:$E$1073=$E588)*(ROW(Q$2:Q$1073)&lt;&gt;ROW(Q588))*(Q$2:Q$1073&lt;&gt;""))),"")</f>
        <v>0.29707306985497267</v>
      </c>
      <c r="Z588" cm="1">
        <f t="array" ref="Z588">IFERROR(AVERAGE(_xlfn._xlws.FILTER(R$2:R$1073,($C$2:$C$1073=$C588)*($E$2:$E$1073=$E588)*(ROW(R$2:R$1073)&lt;&gt;ROW(R588))*(R$2:R$1073&lt;&gt;""))),"")</f>
        <v>0.20074687596566593</v>
      </c>
      <c r="AA588" cm="1">
        <f t="array" ref="AA588">IFERROR(AVERAGE(_xlfn._xlws.FILTER(S$2:S$1073,($C$2:$C$1073=$C588)*($E$2:$E$1073=$E588)*(ROW(S$2:S$1073)&lt;&gt;ROW(S588))*(S$2:S$1073&lt;&gt;""))),"")</f>
        <v>-0.60736862679830428</v>
      </c>
      <c r="AB588" cm="1">
        <f t="array" ref="AB588">IFERROR(AVERAGE(_xlfn._xlws.FILTER(T$2:T$1073,($C$2:$C$1073=$C588)*($E$2:$E$1073=$E588)*(ROW(T$2:T$1073)&lt;&gt;ROW(T588))*(T$2:T$1073&lt;&gt;""))),"")</f>
        <v>6.4031956193225284E-2</v>
      </c>
      <c r="AC588" cm="1">
        <f t="array" ref="AC588">IFERROR(AVERAGE(_xlfn._xlws.FILTER(U$2:U$1073,($C$2:$C$1073=$C588)*($E$2:$E$1073=$E588)*(ROW(U$2:U$1073)&lt;&gt;ROW(U588))*(U$2:U$1073&lt;&gt;""))),"")</f>
        <v>5.5189604575277329</v>
      </c>
      <c r="AD588" cm="1">
        <f t="array" ref="AD588">IFERROR(AVERAGE(_xlfn._xlws.FILTER(V$2:V$1073,($C$2:$C$1073=$C588)*($E$2:$E$1073=$E588)*(ROW(V$2:V$1073)&lt;&gt;ROW(V588))*(V$2:V$1073&lt;&gt;""))),"")</f>
        <v>0.63096522939864874</v>
      </c>
      <c r="AE588">
        <f>IF('Дивиденды по годам'!M588&lt;0,1,0)</f>
        <v>0</v>
      </c>
    </row>
    <row r="589" spans="1:31" x14ac:dyDescent="0.2">
      <c r="A589" s="7" t="s">
        <v>2252</v>
      </c>
      <c r="B589" t="str">
        <f t="shared" si="99"/>
        <v>HNFG IV кв. 2014</v>
      </c>
      <c r="C589">
        <v>2014</v>
      </c>
      <c r="D589">
        <f>SUMIFS(Дивиденды!$C:$C,Дивиденды!$A:$A,A589,Дивиденды!$I:$I,C589)</f>
        <v>0</v>
      </c>
      <c r="E589">
        <v>4</v>
      </c>
      <c r="F589">
        <f t="shared" si="100"/>
        <v>0</v>
      </c>
      <c r="G589">
        <f t="shared" si="101"/>
        <v>25.924285714285713</v>
      </c>
      <c r="H589">
        <f t="shared" si="102"/>
        <v>0</v>
      </c>
      <c r="I589">
        <f t="shared" si="103"/>
        <v>7.1428571428571425E-2</v>
      </c>
      <c r="J589">
        <f t="shared" si="104"/>
        <v>0</v>
      </c>
      <c r="K589">
        <f t="shared" si="109"/>
        <v>4.887635107293415E-2</v>
      </c>
      <c r="L589">
        <f t="shared" si="105"/>
        <v>0</v>
      </c>
      <c r="M589">
        <f t="shared" si="106"/>
        <v>7.1428571428571425E-2</v>
      </c>
      <c r="N589">
        <f t="shared" si="107"/>
        <v>0</v>
      </c>
      <c r="O589">
        <f t="shared" si="108"/>
        <v>7.1428571428571425E-2</v>
      </c>
      <c r="P589" t="str">
        <f>IFERROR(LN('Дивиденды по годам'!I589),"")</f>
        <v/>
      </c>
      <c r="Q589" t="str">
        <f>IFERROR('Дивиденды по годам'!G589/'Дивиденды по годам'!I589, "")</f>
        <v/>
      </c>
      <c r="R589" t="str">
        <f>IFERROR(IF(AND('Дивиденды по годам'!N589&lt;&gt;"",'Дивиденды по годам'!U589&lt;&gt;"",'Дивиденды по годам'!U589&lt;&gt;0),'Дивиденды по годам'!N589/'Дивиденды по годам'!U589-1,""),"")</f>
        <v/>
      </c>
      <c r="S589" t="str">
        <f>IFERROR(IF(AND('Дивиденды по годам'!L589&lt;&gt;"",'Дивиденды по годам'!I589&lt;&gt;"",'Дивиденды по годам'!J589&lt;&gt;"",'Дивиденды по годам'!K589&lt;&gt;"",('Дивиденды по годам'!I589-'Дивиденды по годам'!J589-'Дивиденды по годам'!K589)&lt;&gt;0),'Дивиденды по годам'!L589/('Дивиденды по годам'!I589-'Дивиденды по годам'!J589-'Дивиденды по годам'!K589),""),"")</f>
        <v/>
      </c>
      <c r="T589" t="str">
        <f>IFERROR(IF(AND('Дивиденды по годам'!Q589&lt;&gt;"",'Дивиденды по годам'!I589&lt;&gt;"",'Дивиденды по годам'!V589&lt;&gt;"",('Дивиденды по годам'!I589+'Дивиденды по годам'!V589)&lt;&gt;0),'Дивиденды по годам'!Q589/(('Дивиденды по годам'!I589+'Дивиденды по годам'!V589)/2),""),"")</f>
        <v/>
      </c>
      <c r="U589" t="str">
        <f>IFERROR(IF(AND('Дивиденды по годам'!J589&lt;&gt;"",'Дивиденды по годам'!K589&lt;&gt;"",'Дивиденды по годам'!M589&lt;&gt;"",'Дивиденды по годам'!M589&lt;&gt;0),('Дивиденды по годам'!J589+'Дивиденды по годам'!K589)/'Дивиденды по годам'!M589,""),"")</f>
        <v/>
      </c>
      <c r="V589" t="str">
        <f>IFERROR(IF(AND('Дивиденды по годам'!J589&lt;&gt;"",'Дивиденды по годам'!K589&lt;&gt;"",'Дивиденды по годам'!M589&lt;&gt;"",'Дивиденды по годам'!I589&lt;&gt;0),('Дивиденды по годам'!J589+'Дивиденды по годам'!K589)/'Дивиденды по годам'!I589,""),"")</f>
        <v/>
      </c>
      <c r="W589" t="str">
        <f>IFERROR('Дивиденды по годам'!I589,"")</f>
        <v/>
      </c>
      <c r="X589" cm="1">
        <f t="array" ref="X589">IFERROR(AVERAGE(_xlfn._xlws.FILTER(P$2:P$1073,($C$2:$C$1073=$C589)*($E$2:$E$1073=$E589)*(ROW(P$2:P$1073)&lt;&gt;ROW(P589))*(P$2:P$1073&lt;&gt;""))),"")</f>
        <v>24.777851287837404</v>
      </c>
      <c r="Y589" cm="1">
        <f t="array" ref="Y589">IFERROR(AVERAGE(_xlfn._xlws.FILTER(Q$2:Q$1073,($C$2:$C$1073=$C589)*($E$2:$E$1073=$E589)*(ROW(Q$2:Q$1073)&lt;&gt;ROW(Q589))*(Q$2:Q$1073&lt;&gt;""))),"")</f>
        <v>0.28994951624266957</v>
      </c>
      <c r="Z589" cm="1">
        <f t="array" ref="Z589">IFERROR(AVERAGE(_xlfn._xlws.FILTER(R$2:R$1073,($C$2:$C$1073=$C589)*($E$2:$E$1073=$E589)*(ROW(R$2:R$1073)&lt;&gt;ROW(R589))*(R$2:R$1073&lt;&gt;""))),"")</f>
        <v>8.5517195784799244E-2</v>
      </c>
      <c r="AA589" cm="1">
        <f t="array" ref="AA589">IFERROR(AVERAGE(_xlfn._xlws.FILTER(S$2:S$1073,($C$2:$C$1073=$C589)*($E$2:$E$1073=$E589)*(ROW(S$2:S$1073)&lt;&gt;ROW(S589))*(S$2:S$1073&lt;&gt;""))),"")</f>
        <v>-8.9932559622525012</v>
      </c>
      <c r="AB589" cm="1">
        <f t="array" ref="AB589">IFERROR(AVERAGE(_xlfn._xlws.FILTER(T$2:T$1073,($C$2:$C$1073=$C589)*($E$2:$E$1073=$E589)*(ROW(T$2:T$1073)&lt;&gt;ROW(T589))*(T$2:T$1073&lt;&gt;""))),"")</f>
        <v>3.4958573241250623E-2</v>
      </c>
      <c r="AC589" cm="1">
        <f t="array" ref="AC589">IFERROR(AVERAGE(_xlfn._xlws.FILTER(U$2:U$1073,($C$2:$C$1073=$C589)*($E$2:$E$1073=$E589)*(ROW(U$2:U$1073)&lt;&gt;ROW(U589))*(U$2:U$1073&lt;&gt;""))),"")</f>
        <v>34.444280572958768</v>
      </c>
      <c r="AD589" cm="1">
        <f t="array" ref="AD589">IFERROR(AVERAGE(_xlfn._xlws.FILTER(V$2:V$1073,($C$2:$C$1073=$C589)*($E$2:$E$1073=$E589)*(ROW(V$2:V$1073)&lt;&gt;ROW(V589))*(V$2:V$1073&lt;&gt;""))),"")</f>
        <v>0.67440993714043496</v>
      </c>
      <c r="AE589">
        <f>IF('Дивиденды по годам'!M589&lt;0,1,0)</f>
        <v>0</v>
      </c>
    </row>
    <row r="590" spans="1:31" x14ac:dyDescent="0.2">
      <c r="A590" s="7" t="s">
        <v>2252</v>
      </c>
      <c r="B590" t="str">
        <f t="shared" si="99"/>
        <v>HNFG IV кв. 2013</v>
      </c>
      <c r="C590">
        <v>2013</v>
      </c>
      <c r="D590">
        <f>SUMIFS(Дивиденды!$C:$C,Дивиденды!$A:$A,A590,Дивиденды!$I:$I,C590)</f>
        <v>0</v>
      </c>
      <c r="E590">
        <v>4</v>
      </c>
      <c r="F590">
        <f t="shared" si="100"/>
        <v>0</v>
      </c>
      <c r="G590">
        <f t="shared" si="101"/>
        <v>13.409285714285716</v>
      </c>
      <c r="H590">
        <f t="shared" si="102"/>
        <v>0</v>
      </c>
      <c r="I590">
        <f t="shared" si="103"/>
        <v>0.14285714285714285</v>
      </c>
      <c r="J590">
        <f t="shared" si="104"/>
        <v>0</v>
      </c>
      <c r="K590">
        <f t="shared" si="109"/>
        <v>4.7291245939064024E-2</v>
      </c>
      <c r="L590">
        <f t="shared" si="105"/>
        <v>0</v>
      </c>
      <c r="M590">
        <f t="shared" si="106"/>
        <v>7.1428571428571425E-2</v>
      </c>
      <c r="N590">
        <f t="shared" si="107"/>
        <v>0</v>
      </c>
      <c r="O590">
        <f t="shared" si="108"/>
        <v>0</v>
      </c>
      <c r="P590" t="str">
        <f>IFERROR(LN('Дивиденды по годам'!I590),"")</f>
        <v/>
      </c>
      <c r="Q590" t="str">
        <f>IFERROR('Дивиденды по годам'!G590/'Дивиденды по годам'!I590, "")</f>
        <v/>
      </c>
      <c r="R590" t="str">
        <f>IFERROR(IF(AND('Дивиденды по годам'!N590&lt;&gt;"",'Дивиденды по годам'!U590&lt;&gt;"",'Дивиденды по годам'!U590&lt;&gt;0),'Дивиденды по годам'!N590/'Дивиденды по годам'!U590-1,""),"")</f>
        <v/>
      </c>
      <c r="S590" t="str">
        <f>IFERROR(IF(AND('Дивиденды по годам'!L590&lt;&gt;"",'Дивиденды по годам'!I590&lt;&gt;"",'Дивиденды по годам'!J590&lt;&gt;"",'Дивиденды по годам'!K590&lt;&gt;"",('Дивиденды по годам'!I590-'Дивиденды по годам'!J590-'Дивиденды по годам'!K590)&lt;&gt;0),'Дивиденды по годам'!L590/('Дивиденды по годам'!I590-'Дивиденды по годам'!J590-'Дивиденды по годам'!K590),""),"")</f>
        <v/>
      </c>
      <c r="T590" t="str">
        <f>IFERROR(IF(AND('Дивиденды по годам'!Q590&lt;&gt;"",'Дивиденды по годам'!I590&lt;&gt;"",'Дивиденды по годам'!V590&lt;&gt;"",('Дивиденды по годам'!I590+'Дивиденды по годам'!V590)&lt;&gt;0),'Дивиденды по годам'!Q590/(('Дивиденды по годам'!I590+'Дивиденды по годам'!V590)/2),""),"")</f>
        <v/>
      </c>
      <c r="U590" t="str">
        <f>IFERROR(IF(AND('Дивиденды по годам'!J590&lt;&gt;"",'Дивиденды по годам'!K590&lt;&gt;"",'Дивиденды по годам'!M590&lt;&gt;"",'Дивиденды по годам'!M590&lt;&gt;0),('Дивиденды по годам'!J590+'Дивиденды по годам'!K590)/'Дивиденды по годам'!M590,""),"")</f>
        <v/>
      </c>
      <c r="V590" t="str">
        <f>IFERROR(IF(AND('Дивиденды по годам'!J590&lt;&gt;"",'Дивиденды по годам'!K590&lt;&gt;"",'Дивиденды по годам'!M590&lt;&gt;"",'Дивиденды по годам'!I590&lt;&gt;0),('Дивиденды по годам'!J590+'Дивиденды по годам'!K590)/'Дивиденды по годам'!I590,""),"")</f>
        <v/>
      </c>
      <c r="W590" t="str">
        <f>IFERROR('Дивиденды по годам'!I590,"")</f>
        <v/>
      </c>
      <c r="X590" cm="1">
        <f t="array" ref="X590">IFERROR(AVERAGE(_xlfn._xlws.FILTER(P$2:P$1073,($C$2:$C$1073=$C590)*($E$2:$E$1073=$E590)*(ROW(P$2:P$1073)&lt;&gt;ROW(P590))*(P$2:P$1073&lt;&gt;""))),"")</f>
        <v>24.281308125321722</v>
      </c>
      <c r="Y590" cm="1">
        <f t="array" ref="Y590">IFERROR(AVERAGE(_xlfn._xlws.FILTER(Q$2:Q$1073,($C$2:$C$1073=$C590)*($E$2:$E$1073=$E590)*(ROW(Q$2:Q$1073)&lt;&gt;ROW(Q590))*(Q$2:Q$1073&lt;&gt;""))),"")</f>
        <v>0.34809372453666254</v>
      </c>
      <c r="Z590" cm="1">
        <f t="array" ref="Z590">IFERROR(AVERAGE(_xlfn._xlws.FILTER(R$2:R$1073,($C$2:$C$1073=$C590)*($E$2:$E$1073=$E590)*(ROW(R$2:R$1073)&lt;&gt;ROW(R590))*(R$2:R$1073&lt;&gt;""))),"")</f>
        <v>0.17531341667142472</v>
      </c>
      <c r="AA590" t="str" cm="1">
        <f t="array" ref="AA590">IFERROR(AVERAGE(_xlfn._xlws.FILTER(S$2:S$1073,($C$2:$C$1073=$C590)*($E$2:$E$1073=$E590)*(ROW(S$2:S$1073)&lt;&gt;ROW(S590))*(S$2:S$1073&lt;&gt;""))),"")</f>
        <v/>
      </c>
      <c r="AB590" cm="1">
        <f t="array" ref="AB590">IFERROR(AVERAGE(_xlfn._xlws.FILTER(T$2:T$1073,($C$2:$C$1073=$C590)*($E$2:$E$1073=$E590)*(ROW(T$2:T$1073)&lt;&gt;ROW(T590))*(T$2:T$1073&lt;&gt;""))),"")</f>
        <v>-0.12490141563278262</v>
      </c>
      <c r="AC590" cm="1">
        <f t="array" ref="AC590">IFERROR(AVERAGE(_xlfn._xlws.FILTER(U$2:U$1073,($C$2:$C$1073=$C590)*($E$2:$E$1073=$E590)*(ROW(U$2:U$1073)&lt;&gt;ROW(U590))*(U$2:U$1073&lt;&gt;""))),"")</f>
        <v>0.44566877182826042</v>
      </c>
      <c r="AD590" cm="1">
        <f t="array" ref="AD590">IFERROR(AVERAGE(_xlfn._xlws.FILTER(V$2:V$1073,($C$2:$C$1073=$C590)*($E$2:$E$1073=$E590)*(ROW(V$2:V$1073)&lt;&gt;ROW(V590))*(V$2:V$1073&lt;&gt;""))),"")</f>
        <v>1.3322699308491581</v>
      </c>
      <c r="AE590">
        <f>IF('Дивиденды по годам'!M590&lt;0,1,0)</f>
        <v>0</v>
      </c>
    </row>
    <row r="591" spans="1:31" x14ac:dyDescent="0.2">
      <c r="A591" s="7" t="s">
        <v>2252</v>
      </c>
      <c r="B591" t="str">
        <f t="shared" si="99"/>
        <v>HNFG IV кв. 2012</v>
      </c>
      <c r="C591">
        <v>2012</v>
      </c>
      <c r="D591">
        <f>SUMIFS(Дивиденды!$C:$C,Дивиденды!$A:$A,A591,Дивиденды!$I:$I,C591)</f>
        <v>0</v>
      </c>
      <c r="E591">
        <v>4</v>
      </c>
      <c r="F591">
        <f t="shared" si="100"/>
        <v>0</v>
      </c>
      <c r="G591">
        <f t="shared" si="101"/>
        <v>9.5621428571428577</v>
      </c>
      <c r="H591">
        <f t="shared" si="102"/>
        <v>0</v>
      </c>
      <c r="I591">
        <f t="shared" si="103"/>
        <v>0.14285714285714285</v>
      </c>
      <c r="J591">
        <f t="shared" si="104"/>
        <v>0</v>
      </c>
      <c r="K591">
        <f t="shared" si="109"/>
        <v>0.25341100242975517</v>
      </c>
      <c r="L591">
        <f t="shared" si="105"/>
        <v>0</v>
      </c>
      <c r="M591">
        <f t="shared" si="106"/>
        <v>0.14285714285714285</v>
      </c>
      <c r="N591">
        <f t="shared" si="107"/>
        <v>0</v>
      </c>
      <c r="O591">
        <f t="shared" si="108"/>
        <v>0</v>
      </c>
      <c r="P591" t="str">
        <f>IFERROR(LN('Дивиденды по годам'!I591),"")</f>
        <v/>
      </c>
      <c r="Q591" t="str">
        <f>IFERROR('Дивиденды по годам'!G591/'Дивиденды по годам'!I591, "")</f>
        <v/>
      </c>
      <c r="R591" t="str">
        <f>IFERROR(IF(AND('Дивиденды по годам'!N591&lt;&gt;"",'Дивиденды по годам'!U591&lt;&gt;"",'Дивиденды по годам'!U591&lt;&gt;0),'Дивиденды по годам'!N591/'Дивиденды по годам'!U591-1,""),"")</f>
        <v/>
      </c>
      <c r="S591" t="str">
        <f>IFERROR(IF(AND('Дивиденды по годам'!L591&lt;&gt;"",'Дивиденды по годам'!I591&lt;&gt;"",'Дивиденды по годам'!J591&lt;&gt;"",'Дивиденды по годам'!K591&lt;&gt;"",('Дивиденды по годам'!I591-'Дивиденды по годам'!J591-'Дивиденды по годам'!K591)&lt;&gt;0),'Дивиденды по годам'!L591/('Дивиденды по годам'!I591-'Дивиденды по годам'!J591-'Дивиденды по годам'!K591),""),"")</f>
        <v/>
      </c>
      <c r="T591" t="str">
        <f>IFERROR(IF(AND('Дивиденды по годам'!Q591&lt;&gt;"",'Дивиденды по годам'!I591&lt;&gt;"",'Дивиденды по годам'!V591&lt;&gt;"",('Дивиденды по годам'!I591+'Дивиденды по годам'!V591)&lt;&gt;0),'Дивиденды по годам'!Q591/(('Дивиденды по годам'!I591+'Дивиденды по годам'!V591)/2),""),"")</f>
        <v/>
      </c>
      <c r="U591" t="str">
        <f>IFERROR(IF(AND('Дивиденды по годам'!J591&lt;&gt;"",'Дивиденды по годам'!K591&lt;&gt;"",'Дивиденды по годам'!M591&lt;&gt;"",'Дивиденды по годам'!M591&lt;&gt;0),('Дивиденды по годам'!J591+'Дивиденды по годам'!K591)/'Дивиденды по годам'!M591,""),"")</f>
        <v/>
      </c>
      <c r="V591" t="str">
        <f>IFERROR(IF(AND('Дивиденды по годам'!J591&lt;&gt;"",'Дивиденды по годам'!K591&lt;&gt;"",'Дивиденды по годам'!M591&lt;&gt;"",'Дивиденды по годам'!I591&lt;&gt;0),('Дивиденды по годам'!J591+'Дивиденды по годам'!K591)/'Дивиденды по годам'!I591,""),"")</f>
        <v/>
      </c>
      <c r="W591" t="str">
        <f>IFERROR('Дивиденды по годам'!I591,"")</f>
        <v/>
      </c>
      <c r="X591" cm="1">
        <f t="array" ref="X591">IFERROR(AVERAGE(_xlfn._xlws.FILTER(P$2:P$1073,($C$2:$C$1073=$C591)*($E$2:$E$1073=$E591)*(ROW(P$2:P$1073)&lt;&gt;ROW(P591))*(P$2:P$1073&lt;&gt;""))),"")</f>
        <v>24.228370506718147</v>
      </c>
      <c r="Y591" cm="1">
        <f t="array" ref="Y591">IFERROR(AVERAGE(_xlfn._xlws.FILTER(Q$2:Q$1073,($C$2:$C$1073=$C591)*($E$2:$E$1073=$E591)*(ROW(Q$2:Q$1073)&lt;&gt;ROW(Q591))*(Q$2:Q$1073&lt;&gt;""))),"")</f>
        <v>0.2820560824162458</v>
      </c>
      <c r="Z591" cm="1">
        <f t="array" ref="Z591">IFERROR(AVERAGE(_xlfn._xlws.FILTER(R$2:R$1073,($C$2:$C$1073=$C591)*($E$2:$E$1073=$E591)*(ROW(R$2:R$1073)&lt;&gt;ROW(R591))*(R$2:R$1073&lt;&gt;""))),"")</f>
        <v>-2.2522357472477484E-2</v>
      </c>
      <c r="AA591" cm="1">
        <f t="array" ref="AA591">IFERROR(AVERAGE(_xlfn._xlws.FILTER(S$2:S$1073,($C$2:$C$1073=$C591)*($E$2:$E$1073=$E591)*(ROW(S$2:S$1073)&lt;&gt;ROW(S591))*(S$2:S$1073&lt;&gt;""))),"")</f>
        <v>-1.7651061513336963</v>
      </c>
      <c r="AB591" cm="1">
        <f t="array" ref="AB591">IFERROR(AVERAGE(_xlfn._xlws.FILTER(T$2:T$1073,($C$2:$C$1073=$C591)*($E$2:$E$1073=$E591)*(ROW(T$2:T$1073)&lt;&gt;ROW(T591))*(T$2:T$1073&lt;&gt;""))),"")</f>
        <v>6.8400459116201365E-2</v>
      </c>
      <c r="AC591" cm="1">
        <f t="array" ref="AC591">IFERROR(AVERAGE(_xlfn._xlws.FILTER(U$2:U$1073,($C$2:$C$1073=$C591)*($E$2:$E$1073=$E591)*(ROW(U$2:U$1073)&lt;&gt;ROW(U591))*(U$2:U$1073&lt;&gt;""))),"")</f>
        <v>-3.9631898894189463</v>
      </c>
      <c r="AD591" cm="1">
        <f t="array" ref="AD591">IFERROR(AVERAGE(_xlfn._xlws.FILTER(V$2:V$1073,($C$2:$C$1073=$C591)*($E$2:$E$1073=$E591)*(ROW(V$2:V$1073)&lt;&gt;ROW(V591))*(V$2:V$1073&lt;&gt;""))),"")</f>
        <v>0.68524798816116717</v>
      </c>
      <c r="AE591">
        <f>IF('Дивиденды по годам'!M591&lt;0,1,0)</f>
        <v>0</v>
      </c>
    </row>
    <row r="592" spans="1:31" x14ac:dyDescent="0.2">
      <c r="A592" s="7" t="s">
        <v>2252</v>
      </c>
      <c r="B592" t="str">
        <f t="shared" si="99"/>
        <v>HNFG IV кв. 2011</v>
      </c>
      <c r="C592">
        <v>2011</v>
      </c>
      <c r="D592">
        <f>SUMIFS(Дивиденды!$C:$C,Дивиденды!$A:$A,A592,Дивиденды!$I:$I,C592)</f>
        <v>0</v>
      </c>
      <c r="E592">
        <v>4</v>
      </c>
      <c r="F592">
        <f t="shared" si="100"/>
        <v>0</v>
      </c>
      <c r="G592">
        <f t="shared" si="101"/>
        <v>1.6378571428571429</v>
      </c>
      <c r="H592">
        <f t="shared" si="102"/>
        <v>0</v>
      </c>
      <c r="I592">
        <f t="shared" si="103"/>
        <v>7.1428571428571425E-2</v>
      </c>
      <c r="J592">
        <f t="shared" si="104"/>
        <v>0</v>
      </c>
      <c r="K592">
        <f t="shared" si="109"/>
        <v>0.17786475320721892</v>
      </c>
      <c r="L592">
        <f t="shared" si="105"/>
        <v>0</v>
      </c>
      <c r="M592">
        <f t="shared" si="106"/>
        <v>7.1428571428571425E-2</v>
      </c>
      <c r="N592">
        <f t="shared" si="107"/>
        <v>0</v>
      </c>
      <c r="O592">
        <f t="shared" si="108"/>
        <v>0</v>
      </c>
      <c r="P592" t="str">
        <f>IFERROR(LN('Дивиденды по годам'!I592),"")</f>
        <v/>
      </c>
      <c r="Q592" t="str">
        <f>IFERROR('Дивиденды по годам'!G592/'Дивиденды по годам'!I592, "")</f>
        <v/>
      </c>
      <c r="R592" t="str">
        <f>IFERROR(IF(AND('Дивиденды по годам'!N592&lt;&gt;"",'Дивиденды по годам'!U592&lt;&gt;"",'Дивиденды по годам'!U592&lt;&gt;0),'Дивиденды по годам'!N592/'Дивиденды по годам'!U592-1,""),"")</f>
        <v/>
      </c>
      <c r="S592" t="str">
        <f>IFERROR(IF(AND('Дивиденды по годам'!L592&lt;&gt;"",'Дивиденды по годам'!I592&lt;&gt;"",'Дивиденды по годам'!J592&lt;&gt;"",'Дивиденды по годам'!K592&lt;&gt;"",('Дивиденды по годам'!I592-'Дивиденды по годам'!J592-'Дивиденды по годам'!K592)&lt;&gt;0),'Дивиденды по годам'!L592/('Дивиденды по годам'!I592-'Дивиденды по годам'!J592-'Дивиденды по годам'!K592),""),"")</f>
        <v/>
      </c>
      <c r="T592" t="str">
        <f>IFERROR(IF(AND('Дивиденды по годам'!Q592&lt;&gt;"",'Дивиденды по годам'!I592&lt;&gt;"",'Дивиденды по годам'!V592&lt;&gt;"",('Дивиденды по годам'!I592+'Дивиденды по годам'!V592)&lt;&gt;0),'Дивиденды по годам'!Q592/(('Дивиденды по годам'!I592+'Дивиденды по годам'!V592)/2),""),"")</f>
        <v/>
      </c>
      <c r="U592" t="str">
        <f>IFERROR(IF(AND('Дивиденды по годам'!J592&lt;&gt;"",'Дивиденды по годам'!K592&lt;&gt;"",'Дивиденды по годам'!M592&lt;&gt;"",'Дивиденды по годам'!M592&lt;&gt;0),('Дивиденды по годам'!J592+'Дивиденды по годам'!K592)/'Дивиденды по годам'!M592,""),"")</f>
        <v/>
      </c>
      <c r="V592" t="str">
        <f>IFERROR(IF(AND('Дивиденды по годам'!J592&lt;&gt;"",'Дивиденды по годам'!K592&lt;&gt;"",'Дивиденды по годам'!M592&lt;&gt;"",'Дивиденды по годам'!I592&lt;&gt;0),('Дивиденды по годам'!J592+'Дивиденды по годам'!K592)/'Дивиденды по годам'!I592,""),"")</f>
        <v/>
      </c>
      <c r="W592" t="str">
        <f>IFERROR('Дивиденды по годам'!I592,"")</f>
        <v/>
      </c>
      <c r="X592" cm="1">
        <f t="array" ref="X592">IFERROR(AVERAGE(_xlfn._xlws.FILTER(P$2:P$1073,($C$2:$C$1073=$C592)*($E$2:$E$1073=$E592)*(ROW(P$2:P$1073)&lt;&gt;ROW(P592))*(P$2:P$1073&lt;&gt;""))),"")</f>
        <v>24.180789108496477</v>
      </c>
      <c r="Y592" cm="1">
        <f t="array" ref="Y592">IFERROR(AVERAGE(_xlfn._xlws.FILTER(Q$2:Q$1073,($C$2:$C$1073=$C592)*($E$2:$E$1073=$E592)*(ROW(Q$2:Q$1073)&lt;&gt;ROW(Q592))*(Q$2:Q$1073&lt;&gt;""))),"")</f>
        <v>0.29604752502083465</v>
      </c>
      <c r="Z592" cm="1">
        <f t="array" ref="Z592">IFERROR(AVERAGE(_xlfn._xlws.FILTER(R$2:R$1073,($C$2:$C$1073=$C592)*($E$2:$E$1073=$E592)*(ROW(R$2:R$1073)&lt;&gt;ROW(R592))*(R$2:R$1073&lt;&gt;""))),"")</f>
        <v>5.9511017560386792E-2</v>
      </c>
      <c r="AA592" t="str" cm="1">
        <f t="array" ref="AA592">IFERROR(AVERAGE(_xlfn._xlws.FILTER(S$2:S$1073,($C$2:$C$1073=$C592)*($E$2:$E$1073=$E592)*(ROW(S$2:S$1073)&lt;&gt;ROW(S592))*(S$2:S$1073&lt;&gt;""))),"")</f>
        <v/>
      </c>
      <c r="AB592" cm="1">
        <f t="array" ref="AB592">IFERROR(AVERAGE(_xlfn._xlws.FILTER(T$2:T$1073,($C$2:$C$1073=$C592)*($E$2:$E$1073=$E592)*(ROW(T$2:T$1073)&lt;&gt;ROW(T592))*(T$2:T$1073&lt;&gt;""))),"")</f>
        <v>-1.4171101286470289E-2</v>
      </c>
      <c r="AC592" cm="1">
        <f t="array" ref="AC592">IFERROR(AVERAGE(_xlfn._xlws.FILTER(U$2:U$1073,($C$2:$C$1073=$C592)*($E$2:$E$1073=$E592)*(ROW(U$2:U$1073)&lt;&gt;ROW(U592))*(U$2:U$1073&lt;&gt;""))),"")</f>
        <v>2.1854574410792247</v>
      </c>
      <c r="AD592" cm="1">
        <f t="array" ref="AD592">IFERROR(AVERAGE(_xlfn._xlws.FILTER(V$2:V$1073,($C$2:$C$1073=$C592)*($E$2:$E$1073=$E592)*(ROW(V$2:V$1073)&lt;&gt;ROW(V592))*(V$2:V$1073&lt;&gt;""))),"")</f>
        <v>0.62219289426739133</v>
      </c>
      <c r="AE592">
        <f>IF('Дивиденды по годам'!M592&lt;0,1,0)</f>
        <v>0</v>
      </c>
    </row>
    <row r="593" spans="1:31" x14ac:dyDescent="0.2">
      <c r="A593" s="7" t="s">
        <v>2252</v>
      </c>
      <c r="B593" t="str">
        <f t="shared" si="99"/>
        <v>HNFG IV кв. 2010</v>
      </c>
      <c r="C593">
        <v>2010</v>
      </c>
      <c r="D593">
        <f>SUMIFS(Дивиденды!$C:$C,Дивиденды!$A:$A,A593,Дивиденды!$I:$I,C593)</f>
        <v>0</v>
      </c>
      <c r="E593">
        <v>4</v>
      </c>
      <c r="F593">
        <f t="shared" si="100"/>
        <v>0</v>
      </c>
      <c r="G593">
        <f t="shared" si="101"/>
        <v>0.46928571428571431</v>
      </c>
      <c r="H593">
        <f t="shared" si="102"/>
        <v>0</v>
      </c>
      <c r="I593">
        <f t="shared" si="103"/>
        <v>7.1428571428571425E-2</v>
      </c>
      <c r="J593" t="str">
        <f t="shared" si="104"/>
        <v/>
      </c>
      <c r="K593" t="str">
        <f t="shared" si="109"/>
        <v/>
      </c>
      <c r="L593" t="str">
        <f t="shared" si="105"/>
        <v/>
      </c>
      <c r="M593" t="str">
        <f t="shared" si="106"/>
        <v/>
      </c>
      <c r="N593" t="str">
        <f t="shared" si="107"/>
        <v/>
      </c>
      <c r="O593" t="str">
        <f t="shared" si="108"/>
        <v/>
      </c>
      <c r="P593" t="str">
        <f>IFERROR(LN('Дивиденды по годам'!I593),"")</f>
        <v/>
      </c>
      <c r="Q593" t="str">
        <f>IFERROR('Дивиденды по годам'!G593/'Дивиденды по годам'!I593, "")</f>
        <v/>
      </c>
      <c r="R593" t="str">
        <f>IFERROR(IF(AND('Дивиденды по годам'!N593&lt;&gt;"",'Дивиденды по годам'!U593&lt;&gt;"",'Дивиденды по годам'!U593&lt;&gt;0),'Дивиденды по годам'!N593/'Дивиденды по годам'!U593-1,""),"")</f>
        <v/>
      </c>
      <c r="S593" t="str">
        <f>IFERROR(IF(AND('Дивиденды по годам'!L593&lt;&gt;"",'Дивиденды по годам'!I593&lt;&gt;"",'Дивиденды по годам'!J593&lt;&gt;"",'Дивиденды по годам'!K593&lt;&gt;"",('Дивиденды по годам'!I593-'Дивиденды по годам'!J593-'Дивиденды по годам'!K593)&lt;&gt;0),'Дивиденды по годам'!L593/('Дивиденды по годам'!I593-'Дивиденды по годам'!J593-'Дивиденды по годам'!K593),""),"")</f>
        <v/>
      </c>
      <c r="T593" t="str">
        <f>IFERROR(IF(AND('Дивиденды по годам'!Q593&lt;&gt;"",'Дивиденды по годам'!I593&lt;&gt;"",'Дивиденды по годам'!V593&lt;&gt;"",('Дивиденды по годам'!I593+'Дивиденды по годам'!V593)&lt;&gt;0),'Дивиденды по годам'!Q593/(('Дивиденды по годам'!I593+'Дивиденды по годам'!V593)/2),""),"")</f>
        <v/>
      </c>
      <c r="U593" t="str">
        <f>IFERROR(IF(AND('Дивиденды по годам'!J593&lt;&gt;"",'Дивиденды по годам'!K593&lt;&gt;"",'Дивиденды по годам'!M593&lt;&gt;"",'Дивиденды по годам'!M593&lt;&gt;0),('Дивиденды по годам'!J593+'Дивиденды по годам'!K593)/'Дивиденды по годам'!M593,""),"")</f>
        <v/>
      </c>
      <c r="V593" t="str">
        <f>IFERROR(IF(AND('Дивиденды по годам'!J593&lt;&gt;"",'Дивиденды по годам'!K593&lt;&gt;"",'Дивиденды по годам'!M593&lt;&gt;"",'Дивиденды по годам'!I593&lt;&gt;0),('Дивиденды по годам'!J593+'Дивиденды по годам'!K593)/'Дивиденды по годам'!I593,""),"")</f>
        <v/>
      </c>
      <c r="W593" t="str">
        <f>IFERROR('Дивиденды по годам'!I593,"")</f>
        <v/>
      </c>
      <c r="X593" cm="1">
        <f t="array" ref="X593">IFERROR(AVERAGE(_xlfn._xlws.FILTER(P$2:P$1073,($C$2:$C$1073=$C593)*($E$2:$E$1073=$E593)*(ROW(P$2:P$1073)&lt;&gt;ROW(P593))*(P$2:P$1073&lt;&gt;""))),"")</f>
        <v>23.656010386255485</v>
      </c>
      <c r="Y593" cm="1">
        <f t="array" ref="Y593">IFERROR(AVERAGE(_xlfn._xlws.FILTER(Q$2:Q$1073,($C$2:$C$1073=$C593)*($E$2:$E$1073=$E593)*(ROW(Q$2:Q$1073)&lt;&gt;ROW(Q593))*(Q$2:Q$1073&lt;&gt;""))),"")</f>
        <v>0.15222241747474585</v>
      </c>
      <c r="Z593" t="str" cm="1">
        <f t="array" ref="Z593">IFERROR(AVERAGE(_xlfn._xlws.FILTER(R$2:R$1073,($C$2:$C$1073=$C593)*($E$2:$E$1073=$E593)*(ROW(R$2:R$1073)&lt;&gt;ROW(R593))*(R$2:R$1073&lt;&gt;""))),"")</f>
        <v/>
      </c>
      <c r="AA593" t="str" cm="1">
        <f t="array" ref="AA593">IFERROR(AVERAGE(_xlfn._xlws.FILTER(S$2:S$1073,($C$2:$C$1073=$C593)*($E$2:$E$1073=$E593)*(ROW(S$2:S$1073)&lt;&gt;ROW(S593))*(S$2:S$1073&lt;&gt;""))),"")</f>
        <v/>
      </c>
      <c r="AB593" t="str" cm="1">
        <f t="array" ref="AB593">IFERROR(AVERAGE(_xlfn._xlws.FILTER(T$2:T$1073,($C$2:$C$1073=$C593)*($E$2:$E$1073=$E593)*(ROW(T$2:T$1073)&lt;&gt;ROW(T593))*(T$2:T$1073&lt;&gt;""))),"")</f>
        <v/>
      </c>
      <c r="AC593" cm="1">
        <f t="array" ref="AC593">IFERROR(AVERAGE(_xlfn._xlws.FILTER(U$2:U$1073,($C$2:$C$1073=$C593)*($E$2:$E$1073=$E593)*(ROW(U$2:U$1073)&lt;&gt;ROW(U593))*(U$2:U$1073&lt;&gt;""))),"")</f>
        <v>2.8988498110700496</v>
      </c>
      <c r="AD593" cm="1">
        <f t="array" ref="AD593">IFERROR(AVERAGE(_xlfn._xlws.FILTER(V$2:V$1073,($C$2:$C$1073=$C593)*($E$2:$E$1073=$E593)*(ROW(V$2:V$1073)&lt;&gt;ROW(V593))*(V$2:V$1073&lt;&gt;""))),"")</f>
        <v>0.74351805997092513</v>
      </c>
      <c r="AE593">
        <f>IF('Дивиденды по годам'!M593&lt;0,1,0)</f>
        <v>0</v>
      </c>
    </row>
    <row r="594" spans="1:31" x14ac:dyDescent="0.2">
      <c r="A594" s="7" t="s">
        <v>2318</v>
      </c>
      <c r="B594" t="str">
        <f t="shared" si="99"/>
        <v>LENT IV кв. 2025</v>
      </c>
      <c r="C594">
        <v>2025</v>
      </c>
      <c r="D594">
        <f>SUMIFS(Дивиденды!$C:$C,Дивиденды!$A:$A,A594,Дивиденды!$I:$I,C594)</f>
        <v>0</v>
      </c>
      <c r="E594">
        <v>4</v>
      </c>
      <c r="F594">
        <f t="shared" si="100"/>
        <v>0</v>
      </c>
      <c r="G594">
        <f t="shared" si="101"/>
        <v>31.581428571428571</v>
      </c>
      <c r="H594">
        <f t="shared" si="102"/>
        <v>0</v>
      </c>
      <c r="I594">
        <f t="shared" si="103"/>
        <v>0.42857142857142855</v>
      </c>
      <c r="J594">
        <f t="shared" si="104"/>
        <v>0</v>
      </c>
      <c r="K594">
        <f t="shared" si="109"/>
        <v>-0.1825263432406963</v>
      </c>
      <c r="L594">
        <f t="shared" si="105"/>
        <v>0</v>
      </c>
      <c r="M594">
        <f t="shared" si="106"/>
        <v>0.14285714285714285</v>
      </c>
      <c r="N594">
        <f t="shared" si="107"/>
        <v>0</v>
      </c>
      <c r="O594">
        <f t="shared" si="108"/>
        <v>0.5</v>
      </c>
      <c r="P594" t="str">
        <f>IFERROR(LN('Дивиденды по годам'!I594),"")</f>
        <v/>
      </c>
      <c r="Q594" t="str">
        <f>IFERROR('Дивиденды по годам'!G594/'Дивиденды по годам'!I594, "")</f>
        <v/>
      </c>
      <c r="R594" t="str">
        <f>IFERROR(IF(AND('Дивиденды по годам'!N594&lt;&gt;"",'Дивиденды по годам'!U594&lt;&gt;"",'Дивиденды по годам'!U594&lt;&gt;0),'Дивиденды по годам'!N594/'Дивиденды по годам'!U594-1,""),"")</f>
        <v/>
      </c>
      <c r="S594" t="str">
        <f>IFERROR(IF(AND('Дивиденды по годам'!L594&lt;&gt;"",'Дивиденды по годам'!I594&lt;&gt;"",'Дивиденды по годам'!J594&lt;&gt;"",'Дивиденды по годам'!K594&lt;&gt;"",('Дивиденды по годам'!I594-'Дивиденды по годам'!J594-'Дивиденды по годам'!K594)&lt;&gt;0),'Дивиденды по годам'!L594/('Дивиденды по годам'!I594-'Дивиденды по годам'!J594-'Дивиденды по годам'!K594),""),"")</f>
        <v/>
      </c>
      <c r="T594" t="str">
        <f>IFERROR(IF(AND('Дивиденды по годам'!Q594&lt;&gt;"",'Дивиденды по годам'!I594&lt;&gt;"",'Дивиденды по годам'!V594&lt;&gt;"",('Дивиденды по годам'!I594+'Дивиденды по годам'!V594)&lt;&gt;0),'Дивиденды по годам'!Q594/(('Дивиденды по годам'!I594+'Дивиденды по годам'!V594)/2),""),"")</f>
        <v/>
      </c>
      <c r="U594" t="str">
        <f>IFERROR(IF(AND('Дивиденды по годам'!J594&lt;&gt;"",'Дивиденды по годам'!K594&lt;&gt;"",'Дивиденды по годам'!M594&lt;&gt;"",'Дивиденды по годам'!M594&lt;&gt;0),('Дивиденды по годам'!J594+'Дивиденды по годам'!K594)/'Дивиденды по годам'!M594,""),"")</f>
        <v/>
      </c>
      <c r="V594" t="str">
        <f>IFERROR(IF(AND('Дивиденды по годам'!J594&lt;&gt;"",'Дивиденды по годам'!K594&lt;&gt;"",'Дивиденды по годам'!M594&lt;&gt;"",'Дивиденды по годам'!I594&lt;&gt;0),('Дивиденды по годам'!J594+'Дивиденды по годам'!K594)/'Дивиденды по годам'!I594,""),"")</f>
        <v/>
      </c>
      <c r="W594" t="str">
        <f>IFERROR('Дивиденды по годам'!I594,"")</f>
        <v/>
      </c>
      <c r="X594" cm="1">
        <f t="array" ref="X594">IFERROR(AVERAGE(_xlfn._xlws.FILTER(P$2:P$1073,($C$2:$C$1073=$C594)*($E$2:$E$1073=$E594)*(ROW(P$2:P$1073)&lt;&gt;ROW(P594))*(P$2:P$1073&lt;&gt;""))),"")</f>
        <v>26.183512711155618</v>
      </c>
      <c r="Y594" cm="1">
        <f t="array" ref="Y594">IFERROR(AVERAGE(_xlfn._xlws.FILTER(Q$2:Q$1073,($C$2:$C$1073=$C594)*($E$2:$E$1073=$E594)*(ROW(Q$2:Q$1073)&lt;&gt;ROW(Q594))*(Q$2:Q$1073&lt;&gt;""))),"")</f>
        <v>0.42364014522274984</v>
      </c>
      <c r="Z594" cm="1">
        <f t="array" ref="Z594">IFERROR(AVERAGE(_xlfn._xlws.FILTER(R$2:R$1073,($C$2:$C$1073=$C594)*($E$2:$E$1073=$E594)*(ROW(R$2:R$1073)&lt;&gt;ROW(R594))*(R$2:R$1073&lt;&gt;""))),"")</f>
        <v>6.6096126428947105E-2</v>
      </c>
      <c r="AA594" cm="1">
        <f t="array" ref="AA594">IFERROR(AVERAGE(_xlfn._xlws.FILTER(S$2:S$1073,($C$2:$C$1073=$C594)*($E$2:$E$1073=$E594)*(ROW(S$2:S$1073)&lt;&gt;ROW(S594))*(S$2:S$1073&lt;&gt;""))),"")</f>
        <v>0.94174952343815033</v>
      </c>
      <c r="AB594" cm="1">
        <f t="array" ref="AB594">IFERROR(AVERAGE(_xlfn._xlws.FILTER(T$2:T$1073,($C$2:$C$1073=$C594)*($E$2:$E$1073=$E594)*(ROW(T$2:T$1073)&lt;&gt;ROW(T594))*(T$2:T$1073&lt;&gt;""))),"")</f>
        <v>1.3107153079830167E-2</v>
      </c>
      <c r="AC594" cm="1">
        <f t="array" ref="AC594">IFERROR(AVERAGE(_xlfn._xlws.FILTER(U$2:U$1073,($C$2:$C$1073=$C594)*($E$2:$E$1073=$E594)*(ROW(U$2:U$1073)&lt;&gt;ROW(U594))*(U$2:U$1073&lt;&gt;""))),"")</f>
        <v>6.2968354519658218</v>
      </c>
      <c r="AD594" cm="1">
        <f t="array" ref="AD594">IFERROR(AVERAGE(_xlfn._xlws.FILTER(V$2:V$1073,($C$2:$C$1073=$C594)*($E$2:$E$1073=$E594)*(ROW(V$2:V$1073)&lt;&gt;ROW(V594))*(V$2:V$1073&lt;&gt;""))),"")</f>
        <v>0.70931365831308468</v>
      </c>
      <c r="AE594">
        <f>IF('Дивиденды по годам'!M594&lt;0,1,0)</f>
        <v>0</v>
      </c>
    </row>
    <row r="595" spans="1:31" x14ac:dyDescent="0.2">
      <c r="A595" s="7" t="s">
        <v>2318</v>
      </c>
      <c r="B595" t="str">
        <f t="shared" si="99"/>
        <v>LENT IV кв. 2024</v>
      </c>
      <c r="C595">
        <v>2024</v>
      </c>
      <c r="D595">
        <f>SUMIFS(Дивиденды!$C:$C,Дивиденды!$A:$A,A595,Дивиденды!$I:$I,C595)</f>
        <v>0</v>
      </c>
      <c r="E595">
        <v>4</v>
      </c>
      <c r="F595">
        <f t="shared" si="100"/>
        <v>0</v>
      </c>
      <c r="G595">
        <f t="shared" si="101"/>
        <v>62.511428571428574</v>
      </c>
      <c r="H595">
        <f t="shared" si="102"/>
        <v>0</v>
      </c>
      <c r="I595">
        <f t="shared" si="103"/>
        <v>0.5714285714285714</v>
      </c>
      <c r="J595">
        <f t="shared" si="104"/>
        <v>0</v>
      </c>
      <c r="K595">
        <f t="shared" si="109"/>
        <v>0.21145574536348383</v>
      </c>
      <c r="L595">
        <f t="shared" si="105"/>
        <v>0</v>
      </c>
      <c r="M595">
        <f t="shared" si="106"/>
        <v>0.35714285714285715</v>
      </c>
      <c r="N595">
        <f t="shared" si="107"/>
        <v>0</v>
      </c>
      <c r="O595">
        <f t="shared" si="108"/>
        <v>0.2857142857142857</v>
      </c>
      <c r="P595">
        <f>IFERROR(LN('Дивиденды по годам'!I595),"")</f>
        <v>26.928628057670036</v>
      </c>
      <c r="Q595">
        <f>IFERROR('Дивиденды по годам'!G595/'Дивиденды по годам'!I595, "")</f>
        <v>0.35868002164811336</v>
      </c>
      <c r="R595">
        <f>IFERROR(IF(AND('Дивиденды по годам'!N595&lt;&gt;"",'Дивиденды по годам'!U595&lt;&gt;"",'Дивиденды по годам'!U595&lt;&gt;0),'Дивиденды по годам'!N595/'Дивиденды по годам'!U595-1,""),"")</f>
        <v>0.44223642123806206</v>
      </c>
      <c r="S595">
        <f>IFERROR(IF(AND('Дивиденды по годам'!L595&lt;&gt;"",'Дивиденды по годам'!I595&lt;&gt;"",'Дивиденды по годам'!J595&lt;&gt;"",'Дивиденды по годам'!K595&lt;&gt;"",('Дивиденды по годам'!I595-'Дивиденды по годам'!J595-'Дивиденды по годам'!K595)&lt;&gt;0),'Дивиденды по годам'!L595/('Дивиденды по годам'!I595-'Дивиденды по годам'!J595-'Дивиденды по годам'!K595),""),"")</f>
        <v>0.70042561710258044</v>
      </c>
      <c r="T595">
        <f>IFERROR(IF(AND('Дивиденды по годам'!Q595&lt;&gt;"",'Дивиденды по годам'!I595&lt;&gt;"",'Дивиденды по годам'!V595&lt;&gt;"",('Дивиденды по годам'!I595+'Дивиденды по годам'!V595)&lt;&gt;0),'Дивиденды по годам'!Q595/(('Дивиденды по годам'!I595+'Дивиденды по годам'!V595)/2),""),"")</f>
        <v>4.6917643314579059E-2</v>
      </c>
      <c r="U595">
        <f>IFERROR(IF(AND('Дивиденды по годам'!J595&lt;&gt;"",'Дивиденды по годам'!K595&lt;&gt;"",'Дивиденды по годам'!M595&lt;&gt;"",'Дивиденды по годам'!M595&lt;&gt;0),('Дивиденды по годам'!J595+'Дивиденды по годам'!K595)/'Дивиденды по годам'!M595,""),"")</f>
        <v>2.3250964346586294</v>
      </c>
      <c r="V595">
        <f>IFERROR(IF(AND('Дивиденды по годам'!J595&lt;&gt;"",'Дивиденды по годам'!K595&lt;&gt;"",'Дивиденды по годам'!M595&lt;&gt;"",'Дивиденды по годам'!I595&lt;&gt;0),('Дивиденды по годам'!J595+'Дивиденды по годам'!K595)/'Дивиденды по годам'!I595,""),"")</f>
        <v>0.69925684272592692</v>
      </c>
      <c r="W595">
        <f>IFERROR('Дивиденды по годам'!I595,"")</f>
        <v>495398367000</v>
      </c>
      <c r="X595" cm="1">
        <f t="array" ref="X595">IFERROR(AVERAGE(_xlfn._xlws.FILTER(P$2:P$1073,($C$2:$C$1073=$C595)*($E$2:$E$1073=$E595)*(ROW(P$2:P$1073)&lt;&gt;ROW(P595))*(P$2:P$1073&lt;&gt;""))),"")</f>
        <v>25.467384546430377</v>
      </c>
      <c r="Y595" cm="1">
        <f t="array" ref="Y595">IFERROR(AVERAGE(_xlfn._xlws.FILTER(Q$2:Q$1073,($C$2:$C$1073=$C595)*($E$2:$E$1073=$E595)*(ROW(Q$2:Q$1073)&lt;&gt;ROW(Q595))*(Q$2:Q$1073&lt;&gt;""))),"")</f>
        <v>0.25608473190371378</v>
      </c>
      <c r="Z595" cm="1">
        <f t="array" ref="Z595">IFERROR(AVERAGE(_xlfn._xlws.FILTER(R$2:R$1073,($C$2:$C$1073=$C595)*($E$2:$E$1073=$E595)*(ROW(R$2:R$1073)&lt;&gt;ROW(R595))*(R$2:R$1073&lt;&gt;""))),"")</f>
        <v>0.25283857574309382</v>
      </c>
      <c r="AA595" cm="1">
        <f t="array" ref="AA595">IFERROR(AVERAGE(_xlfn._xlws.FILTER(S$2:S$1073,($C$2:$C$1073=$C595)*($E$2:$E$1073=$E595)*(ROW(S$2:S$1073)&lt;&gt;ROW(S595))*(S$2:S$1073&lt;&gt;""))),"")</f>
        <v>1.2046703251039956</v>
      </c>
      <c r="AB595" cm="1">
        <f t="array" ref="AB595">IFERROR(AVERAGE(_xlfn._xlws.FILTER(T$2:T$1073,($C$2:$C$1073=$C595)*($E$2:$E$1073=$E595)*(ROW(T$2:T$1073)&lt;&gt;ROW(T595))*(T$2:T$1073&lt;&gt;""))),"")</f>
        <v>7.4815495215457037E-2</v>
      </c>
      <c r="AC595" cm="1">
        <f t="array" ref="AC595">IFERROR(AVERAGE(_xlfn._xlws.FILTER(U$2:U$1073,($C$2:$C$1073=$C595)*($E$2:$E$1073=$E595)*(ROW(U$2:U$1073)&lt;&gt;ROW(U595))*(U$2:U$1073&lt;&gt;""))),"")</f>
        <v>4.1097764734638895</v>
      </c>
      <c r="AD595" cm="1">
        <f t="array" ref="AD595">IFERROR(AVERAGE(_xlfn._xlws.FILTER(V$2:V$1073,($C$2:$C$1073=$C595)*($E$2:$E$1073=$E595)*(ROW(V$2:V$1073)&lt;&gt;ROW(V595))*(V$2:V$1073&lt;&gt;""))),"")</f>
        <v>0.70171088068974885</v>
      </c>
      <c r="AE595">
        <f>IF('Дивиденды по годам'!M595&lt;0,1,0)</f>
        <v>0</v>
      </c>
    </row>
    <row r="596" spans="1:31" x14ac:dyDescent="0.2">
      <c r="A596" s="7" t="s">
        <v>2318</v>
      </c>
      <c r="B596" t="str">
        <f t="shared" si="99"/>
        <v>LENT IV кв. 2023</v>
      </c>
      <c r="C596">
        <v>2023</v>
      </c>
      <c r="D596">
        <f>SUMIFS(Дивиденды!$C:$C,Дивиденды!$A:$A,A596,Дивиденды!$I:$I,C596)</f>
        <v>0</v>
      </c>
      <c r="E596">
        <v>4</v>
      </c>
      <c r="F596">
        <f t="shared" si="100"/>
        <v>0</v>
      </c>
      <c r="G596">
        <f t="shared" si="101"/>
        <v>90.740000000000009</v>
      </c>
      <c r="H596">
        <f t="shared" si="102"/>
        <v>0</v>
      </c>
      <c r="I596">
        <f t="shared" si="103"/>
        <v>0.5</v>
      </c>
      <c r="J596">
        <f t="shared" si="104"/>
        <v>0</v>
      </c>
      <c r="K596">
        <f t="shared" si="109"/>
        <v>0.29812745098039217</v>
      </c>
      <c r="L596">
        <f t="shared" si="105"/>
        <v>0</v>
      </c>
      <c r="M596">
        <f t="shared" si="106"/>
        <v>0.42857142857142855</v>
      </c>
      <c r="N596">
        <f t="shared" si="107"/>
        <v>0</v>
      </c>
      <c r="O596">
        <f t="shared" si="108"/>
        <v>0</v>
      </c>
      <c r="P596">
        <f>IFERROR(LN('Дивиденды по годам'!I596),"")</f>
        <v>26.859195531609103</v>
      </c>
      <c r="Q596">
        <f>IFERROR('Дивиденды по годам'!G596/'Дивиденды по годам'!I596, "")</f>
        <v>0.38491227562272357</v>
      </c>
      <c r="R596">
        <f>IFERROR(IF(AND('Дивиденды по годам'!N596&lt;&gt;"",'Дивиденды по годам'!U596&lt;&gt;"",'Дивиденды по годам'!U596&lt;&gt;0),'Дивиденды по годам'!N596/'Дивиденды по годам'!U596-1,""),"")</f>
        <v>0.14611525608265552</v>
      </c>
      <c r="S596">
        <f>IFERROR(IF(AND('Дивиденды по годам'!L596&lt;&gt;"",'Дивиденды по годам'!I596&lt;&gt;"",'Дивиденды по годам'!J596&lt;&gt;"",'Дивиденды по годам'!K596&lt;&gt;"",('Дивиденды по годам'!I596-'Дивиденды по годам'!J596-'Дивиденды по годам'!K596)&lt;&gt;0),'Дивиденды по годам'!L596/('Дивиденды по годам'!I596-'Дивиденды по годам'!J596-'Дивиденды по годам'!K596),""),"")</f>
        <v>0.64560171282980983</v>
      </c>
      <c r="T596">
        <f>IFERROR(IF(AND('Дивиденды по годам'!Q596&lt;&gt;"",'Дивиденды по годам'!I596&lt;&gt;"",'Дивиденды по годам'!V596&lt;&gt;"",('Дивиденды по годам'!I596+'Дивиденды по годам'!V596)&lt;&gt;0),'Дивиденды по годам'!Q596/(('Дивиденды по годам'!I596+'Дивиденды по годам'!V596)/2),""),"")</f>
        <v>-6.4944418615756495E-3</v>
      </c>
      <c r="U596">
        <f>IFERROR(IF(AND('Дивиденды по годам'!J596&lt;&gt;"",'Дивиденды по годам'!K596&lt;&gt;"",'Дивиденды по годам'!M596&lt;&gt;"",'Дивиденды по годам'!M596&lt;&gt;0),('Дивиденды по годам'!J596+'Дивиденды по годам'!K596)/'Дивиденды по годам'!M596,""),"")</f>
        <v>2.6435677510815161</v>
      </c>
      <c r="V596">
        <f>IFERROR(IF(AND('Дивиденды по годам'!J596&lt;&gt;"",'Дивиденды по годам'!K596&lt;&gt;"",'Дивиденды по годам'!M596&lt;&gt;"",'Дивиденды по годам'!I596&lt;&gt;0),('Дивиденды по годам'!J596+'Дивиденды по годам'!K596)/'Дивиденды по годам'!I596,""),"")</f>
        <v>0.72554373396702421</v>
      </c>
      <c r="W596">
        <f>IFERROR('Дивиденды по годам'!I596,"")</f>
        <v>462168570000</v>
      </c>
      <c r="X596" cm="1">
        <f t="array" ref="X596">IFERROR(AVERAGE(_xlfn._xlws.FILTER(P$2:P$1073,($C$2:$C$1073=$C596)*($E$2:$E$1073=$E596)*(ROW(P$2:P$1073)&lt;&gt;ROW(P596))*(P$2:P$1073&lt;&gt;""))),"")</f>
        <v>25.26038097083941</v>
      </c>
      <c r="Y596" cm="1">
        <f t="array" ref="Y596">IFERROR(AVERAGE(_xlfn._xlws.FILTER(Q$2:Q$1073,($C$2:$C$1073=$C596)*($E$2:$E$1073=$E596)*(ROW(Q$2:Q$1073)&lt;&gt;ROW(Q596))*(Q$2:Q$1073&lt;&gt;""))),"")</f>
        <v>0.24077847989650092</v>
      </c>
      <c r="Z596" cm="1">
        <f t="array" ref="Z596">IFERROR(AVERAGE(_xlfn._xlws.FILTER(R$2:R$1073,($C$2:$C$1073=$C596)*($E$2:$E$1073=$E596)*(ROW(R$2:R$1073)&lt;&gt;ROW(R596))*(R$2:R$1073&lt;&gt;""))),"")</f>
        <v>0.25449639357464782</v>
      </c>
      <c r="AA596" cm="1">
        <f t="array" ref="AA596">IFERROR(AVERAGE(_xlfn._xlws.FILTER(S$2:S$1073,($C$2:$C$1073=$C596)*($E$2:$E$1073=$E596)*(ROW(S$2:S$1073)&lt;&gt;ROW(S596))*(S$2:S$1073&lt;&gt;""))),"")</f>
        <v>1.2888791791727134</v>
      </c>
      <c r="AB596" cm="1">
        <f t="array" ref="AB596">IFERROR(AVERAGE(_xlfn._xlws.FILTER(T$2:T$1073,($C$2:$C$1073=$C596)*($E$2:$E$1073=$E596)*(ROW(T$2:T$1073)&lt;&gt;ROW(T596))*(T$2:T$1073&lt;&gt;""))),"")</f>
        <v>0.12004553029384435</v>
      </c>
      <c r="AC596" cm="1">
        <f t="array" ref="AC596">IFERROR(AVERAGE(_xlfn._xlws.FILTER(U$2:U$1073,($C$2:$C$1073=$C596)*($E$2:$E$1073=$E596)*(ROW(U$2:U$1073)&lt;&gt;ROW(U596))*(U$2:U$1073&lt;&gt;""))),"")</f>
        <v>2.5834716276819121</v>
      </c>
      <c r="AD596" cm="1">
        <f t="array" ref="AD596">IFERROR(AVERAGE(_xlfn._xlws.FILTER(V$2:V$1073,($C$2:$C$1073=$C596)*($E$2:$E$1073=$E596)*(ROW(V$2:V$1073)&lt;&gt;ROW(V596))*(V$2:V$1073&lt;&gt;""))),"")</f>
        <v>0.69008078204383738</v>
      </c>
      <c r="AE596">
        <f>IF('Дивиденды по годам'!M596&lt;0,1,0)</f>
        <v>0</v>
      </c>
    </row>
    <row r="597" spans="1:31" x14ac:dyDescent="0.2">
      <c r="A597" s="7" t="s">
        <v>2318</v>
      </c>
      <c r="B597" t="str">
        <f t="shared" si="99"/>
        <v>LENT IV кв. 2022</v>
      </c>
      <c r="C597">
        <v>2022</v>
      </c>
      <c r="D597">
        <f>SUMIFS(Дивиденды!$C:$C,Дивиденды!$A:$A,A597,Дивиденды!$I:$I,C597)</f>
        <v>0</v>
      </c>
      <c r="E597">
        <v>4</v>
      </c>
      <c r="F597">
        <f t="shared" si="100"/>
        <v>0</v>
      </c>
      <c r="G597">
        <f t="shared" si="101"/>
        <v>80.180000000000021</v>
      </c>
      <c r="H597">
        <f t="shared" si="102"/>
        <v>0</v>
      </c>
      <c r="I597">
        <f t="shared" si="103"/>
        <v>0.2857142857142857</v>
      </c>
      <c r="J597">
        <f t="shared" si="104"/>
        <v>0</v>
      </c>
      <c r="K597">
        <f t="shared" si="109"/>
        <v>0.49583624512073399</v>
      </c>
      <c r="L597">
        <f t="shared" si="105"/>
        <v>0</v>
      </c>
      <c r="M597">
        <f t="shared" si="106"/>
        <v>0.2857142857142857</v>
      </c>
      <c r="N597">
        <f t="shared" si="107"/>
        <v>0</v>
      </c>
      <c r="O597">
        <f t="shared" si="108"/>
        <v>7.1428571428571425E-2</v>
      </c>
      <c r="P597">
        <f>IFERROR(LN('Дивиденды по годам'!I597),"")</f>
        <v>26.574208854390839</v>
      </c>
      <c r="Q597">
        <f>IFERROR('Дивиденды по годам'!G597/'Дивиденды по годам'!I597, "")</f>
        <v>0.49189177574694642</v>
      </c>
      <c r="R597">
        <f>IFERROR(IF(AND('Дивиденды по годам'!N597&lt;&gt;"",'Дивиденды по годам'!U597&lt;&gt;"",'Дивиденды по годам'!U597&lt;&gt;0),'Дивиденды по годам'!N597/'Дивиденды по годам'!U597-1,""),"")</f>
        <v>0.11115644157686777</v>
      </c>
      <c r="S597">
        <f>IFERROR(IF(AND('Дивиденды по годам'!L597&lt;&gt;"",'Дивиденды по годам'!I597&lt;&gt;"",'Дивиденды по годам'!J597&lt;&gt;"",'Дивиденды по годам'!K597&lt;&gt;"",('Дивиденды по годам'!I597-'Дивиденды по годам'!J597-'Дивиденды по годам'!K597)&lt;&gt;0),'Дивиденды по годам'!L597/('Дивиденды по годам'!I597-'Дивиденды по годам'!J597-'Дивиденды по годам'!K597),""),"")</f>
        <v>0.65013582770325162</v>
      </c>
      <c r="T597">
        <f>IFERROR(IF(AND('Дивиденды по годам'!Q597&lt;&gt;"",'Дивиденды по годам'!I597&lt;&gt;"",'Дивиденды по годам'!V597&lt;&gt;"",('Дивиденды по годам'!I597+'Дивиденды по годам'!V597)&lt;&gt;0),'Дивиденды по годам'!Q597/(('Дивиденды по годам'!I597+'Дивиденды по годам'!V597)/2),""),"")</f>
        <v>1.0455030698675366E-2</v>
      </c>
      <c r="U597">
        <f>IFERROR(IF(AND('Дивиденды по годам'!J597&lt;&gt;"",'Дивиденды по годам'!K597&lt;&gt;"",'Дивиденды по годам'!M597&lt;&gt;"",'Дивиденды по годам'!M597&lt;&gt;0),('Дивиденды по годам'!J597+'Дивиденды по годам'!K597)/'Дивиденды по годам'!M597,""),"")</f>
        <v>1.6734555173069605</v>
      </c>
      <c r="V597">
        <f>IFERROR(IF(AND('Дивиденды по годам'!J597&lt;&gt;"",'Дивиденды по годам'!K597&lt;&gt;"",'Дивиденды по годам'!M597&lt;&gt;"",'Дивиденды по годам'!I597&lt;&gt;0),('Дивиденды по годам'!J597+'Дивиденды по годам'!K597)/'Дивиденды по годам'!I597,""),"")</f>
        <v>0.6259522578451856</v>
      </c>
      <c r="W597">
        <f>IFERROR('Дивиденды по годам'!I597,"")</f>
        <v>347561983000</v>
      </c>
      <c r="X597" cm="1">
        <f t="array" ref="X597">IFERROR(AVERAGE(_xlfn._xlws.FILTER(P$2:P$1073,($C$2:$C$1073=$C597)*($E$2:$E$1073=$E597)*(ROW(P$2:P$1073)&lt;&gt;ROW(P597))*(P$2:P$1073&lt;&gt;""))),"")</f>
        <v>25.158506751978052</v>
      </c>
      <c r="Y597" cm="1">
        <f t="array" ref="Y597">IFERROR(AVERAGE(_xlfn._xlws.FILTER(Q$2:Q$1073,($C$2:$C$1073=$C597)*($E$2:$E$1073=$E597)*(ROW(Q$2:Q$1073)&lt;&gt;ROW(Q597))*(Q$2:Q$1073&lt;&gt;""))),"")</f>
        <v>0.22797021262646536</v>
      </c>
      <c r="Z597" cm="1">
        <f t="array" ref="Z597">IFERROR(AVERAGE(_xlfn._xlws.FILTER(R$2:R$1073,($C$2:$C$1073=$C597)*($E$2:$E$1073=$E597)*(ROW(R$2:R$1073)&lt;&gt;ROW(R597))*(R$2:R$1073&lt;&gt;""))),"")</f>
        <v>0.21367858946265458</v>
      </c>
      <c r="AA597" cm="1">
        <f t="array" ref="AA597">IFERROR(AVERAGE(_xlfn._xlws.FILTER(S$2:S$1073,($C$2:$C$1073=$C597)*($E$2:$E$1073=$E597)*(ROW(S$2:S$1073)&lt;&gt;ROW(S597))*(S$2:S$1073&lt;&gt;""))),"")</f>
        <v>1.3943285269563652</v>
      </c>
      <c r="AB597" cm="1">
        <f t="array" ref="AB597">IFERROR(AVERAGE(_xlfn._xlws.FILTER(T$2:T$1073,($C$2:$C$1073=$C597)*($E$2:$E$1073=$E597)*(ROW(T$2:T$1073)&lt;&gt;ROW(T597))*(T$2:T$1073&lt;&gt;""))),"")</f>
        <v>0.10903169511874268</v>
      </c>
      <c r="AC597" cm="1">
        <f t="array" ref="AC597">IFERROR(AVERAGE(_xlfn._xlws.FILTER(U$2:U$1073,($C$2:$C$1073=$C597)*($E$2:$E$1073=$E597)*(ROW(U$2:U$1073)&lt;&gt;ROW(U597))*(U$2:U$1073&lt;&gt;""))),"")</f>
        <v>2.2151458435524809</v>
      </c>
      <c r="AD597" cm="1">
        <f t="array" ref="AD597">IFERROR(AVERAGE(_xlfn._xlws.FILTER(V$2:V$1073,($C$2:$C$1073=$C597)*($E$2:$E$1073=$E597)*(ROW(V$2:V$1073)&lt;&gt;ROW(V597))*(V$2:V$1073&lt;&gt;""))),"")</f>
        <v>0.72567315708265223</v>
      </c>
      <c r="AE597">
        <f>IF('Дивиденды по годам'!M597&lt;0,1,0)</f>
        <v>0</v>
      </c>
    </row>
    <row r="598" spans="1:31" x14ac:dyDescent="0.2">
      <c r="A598" s="7" t="s">
        <v>2318</v>
      </c>
      <c r="B598" t="str">
        <f t="shared" si="99"/>
        <v>LENT IV кв. 2021</v>
      </c>
      <c r="C598">
        <v>2021</v>
      </c>
      <c r="D598">
        <f>SUMIFS(Дивиденды!$C:$C,Дивиденды!$A:$A,A598,Дивиденды!$I:$I,C598)</f>
        <v>0</v>
      </c>
      <c r="E598">
        <v>4</v>
      </c>
      <c r="F598">
        <f t="shared" si="100"/>
        <v>0</v>
      </c>
      <c r="G598">
        <f t="shared" si="101"/>
        <v>31.931428571428572</v>
      </c>
      <c r="H598">
        <f t="shared" si="102"/>
        <v>0</v>
      </c>
      <c r="I598">
        <f t="shared" si="103"/>
        <v>0.2857142857142857</v>
      </c>
      <c r="J598">
        <f t="shared" si="104"/>
        <v>0</v>
      </c>
      <c r="K598">
        <f t="shared" si="109"/>
        <v>0.1975016604235505</v>
      </c>
      <c r="L598">
        <f t="shared" si="105"/>
        <v>0</v>
      </c>
      <c r="M598">
        <f t="shared" si="106"/>
        <v>0.21428571428571427</v>
      </c>
      <c r="N598">
        <f t="shared" si="107"/>
        <v>0</v>
      </c>
      <c r="O598">
        <f t="shared" si="108"/>
        <v>7.1428571428571425E-2</v>
      </c>
      <c r="P598">
        <f>IFERROR(LN('Дивиденды по годам'!I598),"")</f>
        <v>26.561835643122262</v>
      </c>
      <c r="Q598">
        <f>IFERROR('Дивиденды по годам'!G598/'Дивиденды по годам'!I598, "")</f>
        <v>0.49628807758485693</v>
      </c>
      <c r="R598">
        <f>IFERROR(IF(AND('Дивиденды по годам'!N598&lt;&gt;"",'Дивиденды по годам'!U598&lt;&gt;"",'Дивиденды по годам'!U598&lt;&gt;0),'Дивиденды по годам'!N598/'Дивиденды по годам'!U598-1,""),"")</f>
        <v>8.5506869403862762E-2</v>
      </c>
      <c r="S598">
        <f>IFERROR(IF(AND('Дивиденды по годам'!L598&lt;&gt;"",'Дивиденды по годам'!I598&lt;&gt;"",'Дивиденды по годам'!J598&lt;&gt;"",'Дивиденды по годам'!K598&lt;&gt;"",('Дивиденды по годам'!I598-'Дивиденды по годам'!J598-'Дивиденды по годам'!K598)&lt;&gt;0),'Дивиденды по годам'!L598/('Дивиденды по годам'!I598-'Дивиденды по годам'!J598-'Дивиденды по годам'!K598),""),"")</f>
        <v>0.75643824614340693</v>
      </c>
      <c r="T598">
        <f>IFERROR(IF(AND('Дивиденды по годам'!Q598&lt;&gt;"",'Дивиденды по годам'!I598&lt;&gt;"",'Дивиденды по годам'!V598&lt;&gt;"",('Дивиденды по годам'!I598+'Дивиденды по годам'!V598)&lt;&gt;0),'Дивиденды по годам'!Q598/(('Дивиденды по годам'!I598+'Дивиденды по годам'!V598)/2),""),"")</f>
        <v>4.0143343778439873E-2</v>
      </c>
      <c r="U598">
        <f>IFERROR(IF(AND('Дивиденды по годам'!J598&lt;&gt;"",'Дивиденды по годам'!K598&lt;&gt;"",'Дивиденды по годам'!M598&lt;&gt;"",'Дивиденды по годам'!M598&lt;&gt;0),('Дивиденды по годам'!J598+'Дивиденды по годам'!K598)/'Дивиденды по годам'!M598,""),"")</f>
        <v>2.2094713786267532</v>
      </c>
      <c r="V598">
        <f>IFERROR(IF(AND('Дивиденды по годам'!J598&lt;&gt;"",'Дивиденды по годам'!K598&lt;&gt;"",'Дивиденды по годам'!M598&lt;&gt;"",'Дивиденды по годам'!I598&lt;&gt;0),('Дивиденды по годам'!J598+'Дивиденды по годам'!K598)/'Дивиденды по годам'!I598,""),"")</f>
        <v>0.68842220975721147</v>
      </c>
      <c r="W598">
        <f>IFERROR('Дивиденды по годам'!I598,"")</f>
        <v>343288021000</v>
      </c>
      <c r="X598" cm="1">
        <f t="array" ref="X598">IFERROR(AVERAGE(_xlfn._xlws.FILTER(P$2:P$1073,($C$2:$C$1073=$C598)*($E$2:$E$1073=$E598)*(ROW(P$2:P$1073)&lt;&gt;ROW(P598))*(P$2:P$1073&lt;&gt;""))),"")</f>
        <v>25.073481400651975</v>
      </c>
      <c r="Y598" cm="1">
        <f t="array" ref="Y598">IFERROR(AVERAGE(_xlfn._xlws.FILTER(Q$2:Q$1073,($C$2:$C$1073=$C598)*($E$2:$E$1073=$E598)*(ROW(Q$2:Q$1073)&lt;&gt;ROW(Q598))*(Q$2:Q$1073&lt;&gt;""))),"")</f>
        <v>0.21350688060353926</v>
      </c>
      <c r="Z598" cm="1">
        <f t="array" ref="Z598">IFERROR(AVERAGE(_xlfn._xlws.FILTER(R$2:R$1073,($C$2:$C$1073=$C598)*($E$2:$E$1073=$E598)*(ROW(R$2:R$1073)&lt;&gt;ROW(R598))*(R$2:R$1073&lt;&gt;""))),"")</f>
        <v>0.34662200338829907</v>
      </c>
      <c r="AA598" cm="1">
        <f t="array" ref="AA598">IFERROR(AVERAGE(_xlfn._xlws.FILTER(S$2:S$1073,($C$2:$C$1073=$C598)*($E$2:$E$1073=$E598)*(ROW(S$2:S$1073)&lt;&gt;ROW(S598))*(S$2:S$1073&lt;&gt;""))),"")</f>
        <v>1.3693174654319733</v>
      </c>
      <c r="AB598" cm="1">
        <f t="array" ref="AB598">IFERROR(AVERAGE(_xlfn._xlws.FILTER(T$2:T$1073,($C$2:$C$1073=$C598)*($E$2:$E$1073=$E598)*(ROW(T$2:T$1073)&lt;&gt;ROW(T598))*(T$2:T$1073&lt;&gt;""))),"")</f>
        <v>0.11017635391913305</v>
      </c>
      <c r="AC598" cm="1">
        <f t="array" ref="AC598">IFERROR(AVERAGE(_xlfn._xlws.FILTER(U$2:U$1073,($C$2:$C$1073=$C598)*($E$2:$E$1073=$E598)*(ROW(U$2:U$1073)&lt;&gt;ROW(U598))*(U$2:U$1073&lt;&gt;""))),"")</f>
        <v>18.164395067733967</v>
      </c>
      <c r="AD598" cm="1">
        <f t="array" ref="AD598">IFERROR(AVERAGE(_xlfn._xlws.FILTER(V$2:V$1073,($C$2:$C$1073=$C598)*($E$2:$E$1073=$E598)*(ROW(V$2:V$1073)&lt;&gt;ROW(V598))*(V$2:V$1073&lt;&gt;""))),"")</f>
        <v>0.77977789501620653</v>
      </c>
      <c r="AE598">
        <f>IF('Дивиденды по годам'!M598&lt;0,1,0)</f>
        <v>0</v>
      </c>
    </row>
    <row r="599" spans="1:31" x14ac:dyDescent="0.2">
      <c r="A599" s="7" t="s">
        <v>2318</v>
      </c>
      <c r="B599" t="str">
        <f t="shared" si="99"/>
        <v>LENT IV кв. 2020</v>
      </c>
      <c r="C599">
        <v>2020</v>
      </c>
      <c r="D599">
        <f>SUMIFS(Дивиденды!$C:$C,Дивиденды!$A:$A,A599,Дивиденды!$I:$I,C599)</f>
        <v>0</v>
      </c>
      <c r="E599">
        <v>4</v>
      </c>
      <c r="F599">
        <f t="shared" si="100"/>
        <v>0</v>
      </c>
      <c r="G599">
        <f t="shared" si="101"/>
        <v>43.293571428571433</v>
      </c>
      <c r="H599">
        <f t="shared" si="102"/>
        <v>0</v>
      </c>
      <c r="I599">
        <f t="shared" si="103"/>
        <v>0.2857142857142857</v>
      </c>
      <c r="J599">
        <f t="shared" si="104"/>
        <v>0</v>
      </c>
      <c r="K599">
        <f t="shared" si="109"/>
        <v>0.26831617204892738</v>
      </c>
      <c r="L599">
        <f t="shared" si="105"/>
        <v>0</v>
      </c>
      <c r="M599">
        <f t="shared" si="106"/>
        <v>0.2857142857142857</v>
      </c>
      <c r="N599">
        <f t="shared" si="107"/>
        <v>0</v>
      </c>
      <c r="O599">
        <f t="shared" si="108"/>
        <v>0</v>
      </c>
      <c r="P599">
        <f>IFERROR(LN('Дивиденды по годам'!I599),"")</f>
        <v>26.352544504193375</v>
      </c>
      <c r="Q599">
        <f>IFERROR('Дивиденды по годам'!G599/'Дивиденды по годам'!I599, "")</f>
        <v>0.58859549407500544</v>
      </c>
      <c r="R599">
        <f>IFERROR(IF(AND('Дивиденды по годам'!N599&lt;&gt;"",'Дивиденды по годам'!U599&lt;&gt;"",'Дивиденды по годам'!U599&lt;&gt;0),'Дивиденды по годам'!N599/'Дивиденды по годам'!U599-1,""),"")</f>
        <v>6.7170809562725475E-2</v>
      </c>
      <c r="S599">
        <f>IFERROR(IF(AND('Дивиденды по годам'!L599&lt;&gt;"",'Дивиденды по годам'!I599&lt;&gt;"",'Дивиденды по годам'!J599&lt;&gt;"",'Дивиденды по годам'!K599&lt;&gt;"",('Дивиденды по годам'!I599-'Дивиденды по годам'!J599-'Дивиденды по годам'!K599)&lt;&gt;0),'Дивиденды по годам'!L599/('Дивиденды по годам'!I599-'Дивиденды по годам'!J599-'Дивиденды по годам'!K599),""),"")</f>
        <v>0.7237708335829417</v>
      </c>
      <c r="T599">
        <f>IFERROR(IF(AND('Дивиденды по годам'!Q599&lt;&gt;"",'Дивиденды по годам'!I599&lt;&gt;"",'Дивиденды по годам'!V599&lt;&gt;"",('Дивиденды по годам'!I599+'Дивиденды по годам'!V599)&lt;&gt;0),'Дивиденды по годам'!Q599/(('Дивиденды по годам'!I599+'Дивиденды по годам'!V599)/2),""),"")</f>
        <v>5.4778332154490531E-2</v>
      </c>
      <c r="U599">
        <f>IFERROR(IF(AND('Дивиденды по годам'!J599&lt;&gt;"",'Дивиденды по годам'!K599&lt;&gt;"",'Дивиденды по годам'!M599&lt;&gt;"",'Дивиденды по годам'!M599&lt;&gt;0),('Дивиденды по годам'!J599+'Дивиденды по годам'!K599)/'Дивиденды по годам'!M599,""),"")</f>
        <v>1.9472608921710135</v>
      </c>
      <c r="V599">
        <f>IFERROR(IF(AND('Дивиденды по годам'!J599&lt;&gt;"",'Дивиденды по годам'!K599&lt;&gt;"",'Дивиденды по годам'!M599&lt;&gt;"",'Дивиденды по годам'!I599&lt;&gt;0),('Дивиденды по годам'!J599+'Дивиденды по годам'!K599)/'Дивиденды по годам'!I599,""),"")</f>
        <v>0.66070190709741372</v>
      </c>
      <c r="W599">
        <f>IFERROR('Дивиденды по годам'!I599,"")</f>
        <v>278461182000</v>
      </c>
      <c r="X599" cm="1">
        <f t="array" ref="X599">IFERROR(AVERAGE(_xlfn._xlws.FILTER(P$2:P$1073,($C$2:$C$1073=$C599)*($E$2:$E$1073=$E599)*(ROW(P$2:P$1073)&lt;&gt;ROW(P599))*(P$2:P$1073&lt;&gt;""))),"")</f>
        <v>25.145212958386658</v>
      </c>
      <c r="Y599" cm="1">
        <f t="array" ref="Y599">IFERROR(AVERAGE(_xlfn._xlws.FILTER(Q$2:Q$1073,($C$2:$C$1073=$C599)*($E$2:$E$1073=$E599)*(ROW(Q$2:Q$1073)&lt;&gt;ROW(Q599))*(Q$2:Q$1073&lt;&gt;""))),"")</f>
        <v>0.2206890240868675</v>
      </c>
      <c r="Z599" cm="1">
        <f t="array" ref="Z599">IFERROR(AVERAGE(_xlfn._xlws.FILTER(R$2:R$1073,($C$2:$C$1073=$C599)*($E$2:$E$1073=$E599)*(ROW(R$2:R$1073)&lt;&gt;ROW(R599))*(R$2:R$1073&lt;&gt;""))),"")</f>
        <v>0.10053786070708035</v>
      </c>
      <c r="AA599" cm="1">
        <f t="array" ref="AA599">IFERROR(AVERAGE(_xlfn._xlws.FILTER(S$2:S$1073,($C$2:$C$1073=$C599)*($E$2:$E$1073=$E599)*(ROW(S$2:S$1073)&lt;&gt;ROW(S599))*(S$2:S$1073&lt;&gt;""))),"")</f>
        <v>1.8445014853263952</v>
      </c>
      <c r="AB599" cm="1">
        <f t="array" ref="AB599">IFERROR(AVERAGE(_xlfn._xlws.FILTER(T$2:T$1073,($C$2:$C$1073=$C599)*($E$2:$E$1073=$E599)*(ROW(T$2:T$1073)&lt;&gt;ROW(T599))*(T$2:T$1073&lt;&gt;""))),"")</f>
        <v>6.9070092597790914E-2</v>
      </c>
      <c r="AC599" cm="1">
        <f t="array" ref="AC599">IFERROR(AVERAGE(_xlfn._xlws.FILTER(U$2:U$1073,($C$2:$C$1073=$C599)*($E$2:$E$1073=$E599)*(ROW(U$2:U$1073)&lt;&gt;ROW(U599))*(U$2:U$1073&lt;&gt;""))),"")</f>
        <v>-11.821166521017609</v>
      </c>
      <c r="AD599" cm="1">
        <f t="array" ref="AD599">IFERROR(AVERAGE(_xlfn._xlws.FILTER(V$2:V$1073,($C$2:$C$1073=$C599)*($E$2:$E$1073=$E599)*(ROW(V$2:V$1073)&lt;&gt;ROW(V599))*(V$2:V$1073&lt;&gt;""))),"")</f>
        <v>0.79289457578684219</v>
      </c>
      <c r="AE599">
        <f>IF('Дивиденды по годам'!M599&lt;0,1,0)</f>
        <v>0</v>
      </c>
    </row>
    <row r="600" spans="1:31" x14ac:dyDescent="0.2">
      <c r="A600" s="7" t="s">
        <v>2318</v>
      </c>
      <c r="B600" t="str">
        <f t="shared" si="99"/>
        <v>LENT IV кв. 2019</v>
      </c>
      <c r="C600">
        <v>2019</v>
      </c>
      <c r="D600">
        <f>SUMIFS(Дивиденды!$C:$C,Дивиденды!$A:$A,A600,Дивиденды!$I:$I,C600)</f>
        <v>0</v>
      </c>
      <c r="E600">
        <v>4</v>
      </c>
      <c r="F600">
        <f t="shared" si="100"/>
        <v>0</v>
      </c>
      <c r="G600">
        <f t="shared" si="101"/>
        <v>24.398571428571426</v>
      </c>
      <c r="H600">
        <f t="shared" si="102"/>
        <v>0</v>
      </c>
      <c r="I600">
        <f t="shared" si="103"/>
        <v>0.21428571428571427</v>
      </c>
      <c r="J600">
        <f t="shared" si="104"/>
        <v>0</v>
      </c>
      <c r="K600">
        <f t="shared" si="109"/>
        <v>0.10876410731109194</v>
      </c>
      <c r="L600">
        <f t="shared" si="105"/>
        <v>0</v>
      </c>
      <c r="M600">
        <f t="shared" si="106"/>
        <v>0.21428571428571427</v>
      </c>
      <c r="N600">
        <f t="shared" si="107"/>
        <v>0</v>
      </c>
      <c r="O600">
        <f t="shared" si="108"/>
        <v>0</v>
      </c>
      <c r="P600">
        <f>IFERROR(LN('Дивиденды по годам'!I600),"")</f>
        <v>26.508475500439658</v>
      </c>
      <c r="Q600">
        <f>IFERROR('Дивиденды по годам'!G600/'Дивиденды по годам'!I600, "")</f>
        <v>0.50835182904197207</v>
      </c>
      <c r="R600">
        <f>IFERROR(IF(AND('Дивиденды по годам'!N600&lt;&gt;"",'Дивиденды по годам'!U600&lt;&gt;"",'Дивиденды по годам'!U600&lt;&gt;0),'Дивиденды по годам'!N600/'Дивиденды по годам'!U600-1,""),"")</f>
        <v>9.5217068401443061E-3</v>
      </c>
      <c r="S600">
        <f>IFERROR(IF(AND('Дивиденды по годам'!L600&lt;&gt;"",'Дивиденды по годам'!I600&lt;&gt;"",'Дивиденды по годам'!J600&lt;&gt;"",'Дивиденды по годам'!K600&lt;&gt;"",('Дивиденды по годам'!I600-'Дивиденды по годам'!J600-'Дивиденды по годам'!K600)&lt;&gt;0),'Дивиденды по годам'!L600/('Дивиденды по годам'!I600-'Дивиденды по годам'!J600-'Дивиденды по годам'!K600),""),"")</f>
        <v>0.6616532924537829</v>
      </c>
      <c r="T600">
        <f>IFERROR(IF(AND('Дивиденды по годам'!Q600&lt;&gt;"",'Дивиденды по годам'!I600&lt;&gt;"",'Дивиденды по годам'!V600&lt;&gt;"",('Дивиденды по годам'!I600+'Дивиденды по годам'!V600)&lt;&gt;0),'Дивиденды по годам'!Q600/(('Дивиденды по годам'!I600+'Дивиденды по годам'!V600)/2),""),"")</f>
        <v>-9.2536367571399176E-3</v>
      </c>
      <c r="U600">
        <f>IFERROR(IF(AND('Дивиденды по годам'!J600&lt;&gt;"",'Дивиденды по годам'!K600&lt;&gt;"",'Дивиденды по годам'!M600&lt;&gt;"",'Дивиденды по годам'!M600&lt;&gt;0),('Дивиденды по годам'!J600+'Дивиденды по годам'!K600)/'Дивиденды по годам'!M600,""),"")</f>
        <v>3.1643832804877006</v>
      </c>
      <c r="V600">
        <f>IFERROR(IF(AND('Дивиденды по годам'!J600&lt;&gt;"",'Дивиденды по годам'!K600&lt;&gt;"",'Дивиденды по годам'!M600&lt;&gt;"",'Дивиденды по годам'!I600&lt;&gt;0),('Дивиденды по годам'!J600+'Дивиденды по годам'!K600)/'Дивиденды по годам'!I600,""),"")</f>
        <v>0.75986840484027496</v>
      </c>
      <c r="W600">
        <f>IFERROR('Дивиденды по годам'!I600,"")</f>
        <v>325450268000</v>
      </c>
      <c r="X600" cm="1">
        <f t="array" ref="X600">IFERROR(AVERAGE(_xlfn._xlws.FILTER(P$2:P$1073,($C$2:$C$1073=$C600)*($E$2:$E$1073=$E600)*(ROW(P$2:P$1073)&lt;&gt;ROW(P600))*(P$2:P$1073&lt;&gt;""))),"")</f>
        <v>24.94199192033966</v>
      </c>
      <c r="Y600" cm="1">
        <f t="array" ref="Y600">IFERROR(AVERAGE(_xlfn._xlws.FILTER(Q$2:Q$1073,($C$2:$C$1073=$C600)*($E$2:$E$1073=$E600)*(ROW(Q$2:Q$1073)&lt;&gt;ROW(Q600))*(Q$2:Q$1073&lt;&gt;""))),"")</f>
        <v>0.24112235368734941</v>
      </c>
      <c r="Z600" cm="1">
        <f t="array" ref="Z600">IFERROR(AVERAGE(_xlfn._xlws.FILTER(R$2:R$1073,($C$2:$C$1073=$C600)*($E$2:$E$1073=$E600)*(ROW(R$2:R$1073)&lt;&gt;ROW(R600))*(R$2:R$1073&lt;&gt;""))),"")</f>
        <v>0.47972705123070508</v>
      </c>
      <c r="AA600" cm="1">
        <f t="array" ref="AA600">IFERROR(AVERAGE(_xlfn._xlws.FILTER(S$2:S$1073,($C$2:$C$1073=$C600)*($E$2:$E$1073=$E600)*(ROW(S$2:S$1073)&lt;&gt;ROW(S600))*(S$2:S$1073&lt;&gt;""))),"")</f>
        <v>0.92649888846825557</v>
      </c>
      <c r="AB600" cm="1">
        <f t="array" ref="AB600">IFERROR(AVERAGE(_xlfn._xlws.FILTER(T$2:T$1073,($C$2:$C$1073=$C600)*($E$2:$E$1073=$E600)*(ROW(T$2:T$1073)&lt;&gt;ROW(T600))*(T$2:T$1073&lt;&gt;""))),"")</f>
        <v>5.8101631788606452E-2</v>
      </c>
      <c r="AC600" cm="1">
        <f t="array" ref="AC600">IFERROR(AVERAGE(_xlfn._xlws.FILTER(U$2:U$1073,($C$2:$C$1073=$C600)*($E$2:$E$1073=$E600)*(ROW(U$2:U$1073)&lt;&gt;ROW(U600))*(U$2:U$1073&lt;&gt;""))),"")</f>
        <v>-3.370409252772403</v>
      </c>
      <c r="AD600" cm="1">
        <f t="array" ref="AD600">IFERROR(AVERAGE(_xlfn._xlws.FILTER(V$2:V$1073,($C$2:$C$1073=$C600)*($E$2:$E$1073=$E600)*(ROW(V$2:V$1073)&lt;&gt;ROW(V600))*(V$2:V$1073&lt;&gt;""))),"")</f>
        <v>0.8200815784481873</v>
      </c>
      <c r="AE600">
        <f>IF('Дивиденды по годам'!M600&lt;0,1,0)</f>
        <v>0</v>
      </c>
    </row>
    <row r="601" spans="1:31" x14ac:dyDescent="0.2">
      <c r="A601" s="7" t="s">
        <v>2318</v>
      </c>
      <c r="B601" t="str">
        <f t="shared" si="99"/>
        <v>LENT IV кв. 2018</v>
      </c>
      <c r="C601">
        <v>2018</v>
      </c>
      <c r="D601">
        <f>SUMIFS(Дивиденды!$C:$C,Дивиденды!$A:$A,A601,Дивиденды!$I:$I,C601)</f>
        <v>0</v>
      </c>
      <c r="E601">
        <v>4</v>
      </c>
      <c r="F601">
        <f t="shared" si="100"/>
        <v>0</v>
      </c>
      <c r="G601">
        <f t="shared" si="101"/>
        <v>21.978571428571428</v>
      </c>
      <c r="H601">
        <f t="shared" si="102"/>
        <v>0</v>
      </c>
      <c r="I601">
        <f t="shared" si="103"/>
        <v>0.14285714285714285</v>
      </c>
      <c r="J601">
        <f t="shared" si="104"/>
        <v>0</v>
      </c>
      <c r="K601">
        <f t="shared" si="109"/>
        <v>-1.8223065562117002E-2</v>
      </c>
      <c r="L601">
        <f t="shared" si="105"/>
        <v>0</v>
      </c>
      <c r="M601">
        <f t="shared" si="106"/>
        <v>7.1428571428571425E-2</v>
      </c>
      <c r="N601">
        <f t="shared" si="107"/>
        <v>0</v>
      </c>
      <c r="O601">
        <f t="shared" si="108"/>
        <v>7.1428571428571425E-2</v>
      </c>
      <c r="P601">
        <f>IFERROR(LN('Дивиденды по годам'!I601),"")</f>
        <v>26.352300296716514</v>
      </c>
      <c r="Q601">
        <f>IFERROR('Дивиденды по годам'!G601/'Дивиденды по годам'!I601, "")</f>
        <v>0.63587785416646048</v>
      </c>
      <c r="R601">
        <f>IFERROR(IF(AND('Дивиденды по годам'!N601&lt;&gt;"",'Дивиденды по годам'!U601&lt;&gt;"",'Дивиденды по годам'!U601&lt;&gt;0),'Дивиденды по годам'!N601/'Дивиденды по годам'!U601-1,""),"")</f>
        <v>0.132496113822276</v>
      </c>
      <c r="S601">
        <f>IFERROR(IF(AND('Дивиденды по годам'!L601&lt;&gt;"",'Дивиденды по годам'!I601&lt;&gt;"",'Дивиденды по годам'!J601&lt;&gt;"",'Дивиденды по годам'!K601&lt;&gt;"",('Дивиденды по годам'!I601-'Дивиденды по годам'!J601-'Дивиденды по годам'!K601)&lt;&gt;0),'Дивиденды по годам'!L601/('Дивиденды по годам'!I601-'Дивиденды по годам'!J601-'Дивиденды по годам'!K601),""),"")</f>
        <v>0.67036657677856071</v>
      </c>
      <c r="T601">
        <f>IFERROR(IF(AND('Дивиденды по годам'!Q601&lt;&gt;"",'Дивиденды по годам'!I601&lt;&gt;"",'Дивиденды по годам'!V601&lt;&gt;"",('Дивиденды по годам'!I601+'Дивиденды по годам'!V601)&lt;&gt;0),'Дивиденды по годам'!Q601/(('Дивиденды по годам'!I601+'Дивиденды по годам'!V601)/2),""),"")</f>
        <v>4.4920053286636938E-2</v>
      </c>
      <c r="U601">
        <f>IFERROR(IF(AND('Дивиденды по годам'!J601&lt;&gt;"",'Дивиденды по годам'!K601&lt;&gt;"",'Дивиденды по годам'!M601&lt;&gt;"",'Дивиденды по годам'!M601&lt;&gt;0),('Дивиденды по годам'!J601+'Дивиденды по годам'!K601)/'Дивиденды по годам'!M601,""),"")</f>
        <v>2.3642413409662395</v>
      </c>
      <c r="V601">
        <f>IFERROR(IF(AND('Дивиденды по годам'!J601&lt;&gt;"",'Дивиденды по годам'!K601&lt;&gt;"",'Дивиденды по годам'!M601&lt;&gt;"",'Дивиденды по годам'!I601&lt;&gt;0),('Дивиденды по годам'!J601+'Дивиденды по годам'!K601)/'Дивиденды по годам'!I601,""),"")</f>
        <v>0.70275616442166677</v>
      </c>
      <c r="W601">
        <f>IFERROR('Дивиденды по годам'!I601,"")</f>
        <v>278393188000</v>
      </c>
      <c r="X601" cm="1">
        <f t="array" ref="X601">IFERROR(AVERAGE(_xlfn._xlws.FILTER(P$2:P$1073,($C$2:$C$1073=$C601)*($E$2:$E$1073=$E601)*(ROW(P$2:P$1073)&lt;&gt;ROW(P601))*(P$2:P$1073&lt;&gt;""))),"")</f>
        <v>24.667599105793141</v>
      </c>
      <c r="Y601" cm="1">
        <f t="array" ref="Y601">IFERROR(AVERAGE(_xlfn._xlws.FILTER(Q$2:Q$1073,($C$2:$C$1073=$C601)*($E$2:$E$1073=$E601)*(ROW(Q$2:Q$1073)&lt;&gt;ROW(Q601))*(Q$2:Q$1073&lt;&gt;""))),"")</f>
        <v>0.26303640862674299</v>
      </c>
      <c r="Z601" cm="1">
        <f t="array" ref="Z601">IFERROR(AVERAGE(_xlfn._xlws.FILTER(R$2:R$1073,($C$2:$C$1073=$C601)*($E$2:$E$1073=$E601)*(ROW(R$2:R$1073)&lt;&gt;ROW(R601))*(R$2:R$1073&lt;&gt;""))),"")</f>
        <v>4.3995317555254619E-2</v>
      </c>
      <c r="AA601" cm="1">
        <f t="array" ref="AA601">IFERROR(AVERAGE(_xlfn._xlws.FILTER(S$2:S$1073,($C$2:$C$1073=$C601)*($E$2:$E$1073=$E601)*(ROW(S$2:S$1073)&lt;&gt;ROW(S601))*(S$2:S$1073&lt;&gt;""))),"")</f>
        <v>0.63992815748698628</v>
      </c>
      <c r="AB601" cm="1">
        <f t="array" ref="AB601">IFERROR(AVERAGE(_xlfn._xlws.FILTER(T$2:T$1073,($C$2:$C$1073=$C601)*($E$2:$E$1073=$E601)*(ROW(T$2:T$1073)&lt;&gt;ROW(T601))*(T$2:T$1073&lt;&gt;""))),"")</f>
        <v>8.4552031266713534E-4</v>
      </c>
      <c r="AC601" cm="1">
        <f t="array" ref="AC601">IFERROR(AVERAGE(_xlfn._xlws.FILTER(U$2:U$1073,($C$2:$C$1073=$C601)*($E$2:$E$1073=$E601)*(ROW(U$2:U$1073)&lt;&gt;ROW(U601))*(U$2:U$1073&lt;&gt;""))),"")</f>
        <v>0.86220470623055367</v>
      </c>
      <c r="AD601" cm="1">
        <f t="array" ref="AD601">IFERROR(AVERAGE(_xlfn._xlws.FILTER(V$2:V$1073,($C$2:$C$1073=$C601)*($E$2:$E$1073=$E601)*(ROW(V$2:V$1073)&lt;&gt;ROW(V601))*(V$2:V$1073&lt;&gt;""))),"")</f>
        <v>0.83518157533520121</v>
      </c>
      <c r="AE601">
        <f>IF('Дивиденды по годам'!M601&lt;0,1,0)</f>
        <v>0</v>
      </c>
    </row>
    <row r="602" spans="1:31" x14ac:dyDescent="0.2">
      <c r="A602" s="7" t="s">
        <v>2318</v>
      </c>
      <c r="B602" t="str">
        <f t="shared" si="99"/>
        <v>LENT IV кв. 2017</v>
      </c>
      <c r="C602">
        <v>2017</v>
      </c>
      <c r="D602">
        <f>SUMIFS(Дивиденды!$C:$C,Дивиденды!$A:$A,A602,Дивиденды!$I:$I,C602)</f>
        <v>0</v>
      </c>
      <c r="E602">
        <v>4</v>
      </c>
      <c r="F602">
        <f t="shared" si="100"/>
        <v>0</v>
      </c>
      <c r="G602">
        <f t="shared" si="101"/>
        <v>18.403571428571428</v>
      </c>
      <c r="H602">
        <f t="shared" si="102"/>
        <v>0</v>
      </c>
      <c r="I602">
        <f t="shared" si="103"/>
        <v>0.14285714285714285</v>
      </c>
      <c r="J602">
        <f t="shared" si="104"/>
        <v>0</v>
      </c>
      <c r="K602">
        <f t="shared" si="109"/>
        <v>-1.7352821773673279E-2</v>
      </c>
      <c r="L602">
        <f t="shared" si="105"/>
        <v>0</v>
      </c>
      <c r="M602">
        <f t="shared" si="106"/>
        <v>0</v>
      </c>
      <c r="N602">
        <f t="shared" si="107"/>
        <v>0</v>
      </c>
      <c r="O602">
        <f t="shared" si="108"/>
        <v>0.14285714285714285</v>
      </c>
      <c r="P602">
        <f>IFERROR(LN('Дивиденды по годам'!I602),"")</f>
        <v>26.231562841445946</v>
      </c>
      <c r="Q602">
        <f>IFERROR('Дивиденды по годам'!G602/'Дивиденды по годам'!I602, "")</f>
        <v>0.69026060927638211</v>
      </c>
      <c r="R602" t="str">
        <f>IFERROR(IF(AND('Дивиденды по годам'!N602&lt;&gt;"",'Дивиденды по годам'!U602&lt;&gt;"",'Дивиденды по годам'!U602&lt;&gt;0),'Дивиденды по годам'!N602/'Дивиденды по годам'!U602-1,""),"")</f>
        <v/>
      </c>
      <c r="S602">
        <f>IFERROR(IF(AND('Дивиденды по годам'!L602&lt;&gt;"",'Дивиденды по годам'!I602&lt;&gt;"",'Дивиденды по годам'!J602&lt;&gt;"",'Дивиденды по годам'!K602&lt;&gt;"",('Дивиденды по годам'!I602-'Дивиденды по годам'!J602-'Дивиденды по годам'!K602)&lt;&gt;0),'Дивиденды по годам'!L602/('Дивиденды по годам'!I602-'Дивиденды по годам'!J602-'Дивиденды по годам'!K602),""),"")</f>
        <v>0.61733013800384351</v>
      </c>
      <c r="T602" t="str">
        <f>IFERROR(IF(AND('Дивиденды по годам'!Q602&lt;&gt;"",'Дивиденды по годам'!I602&lt;&gt;"",'Дивиденды по годам'!V602&lt;&gt;"",('Дивиденды по годам'!I602+'Дивиденды по годам'!V602)&lt;&gt;0),'Дивиденды по годам'!Q602/(('Дивиденды по годам'!I602+'Дивиденды по годам'!V602)/2),""),"")</f>
        <v/>
      </c>
      <c r="U602">
        <f>IFERROR(IF(AND('Дивиденды по годам'!J602&lt;&gt;"",'Дивиденды по годам'!K602&lt;&gt;"",'Дивиденды по годам'!M602&lt;&gt;"",'Дивиденды по годам'!M602&lt;&gt;0),('Дивиденды по годам'!J602+'Дивиденды по годам'!K602)/'Дивиденды по годам'!M602,""),"")</f>
        <v>2.4369682449017844</v>
      </c>
      <c r="V602">
        <f>IFERROR(IF(AND('Дивиденды по годам'!J602&lt;&gt;"",'Дивиденды по годам'!K602&lt;&gt;"",'Дивиденды по годам'!M602&lt;&gt;"",'Дивиденды по годам'!I602&lt;&gt;0),('Дивиденды по годам'!J602+'Дивиденды по годам'!K602)/'Дивиденды по годам'!I602,""),"")</f>
        <v>0.70904590070526641</v>
      </c>
      <c r="W602">
        <f>IFERROR('Дивиденды по годам'!I602,"")</f>
        <v>246730588000</v>
      </c>
      <c r="X602" cm="1">
        <f t="array" ref="X602">IFERROR(AVERAGE(_xlfn._xlws.FILTER(P$2:P$1073,($C$2:$C$1073=$C602)*($E$2:$E$1073=$E602)*(ROW(P$2:P$1073)&lt;&gt;ROW(P602))*(P$2:P$1073&lt;&gt;""))),"")</f>
        <v>24.486401852778858</v>
      </c>
      <c r="Y602" cm="1">
        <f t="array" ref="Y602">IFERROR(AVERAGE(_xlfn._xlws.FILTER(Q$2:Q$1073,($C$2:$C$1073=$C602)*($E$2:$E$1073=$E602)*(ROW(Q$2:Q$1073)&lt;&gt;ROW(Q602))*(Q$2:Q$1073&lt;&gt;""))),"")</f>
        <v>0.28140402655895097</v>
      </c>
      <c r="Z602" cm="1">
        <f t="array" ref="Z602">IFERROR(AVERAGE(_xlfn._xlws.FILTER(R$2:R$1073,($C$2:$C$1073=$C602)*($E$2:$E$1073=$E602)*(ROW(R$2:R$1073)&lt;&gt;ROW(R602))*(R$2:R$1073&lt;&gt;""))),"")</f>
        <v>0.23691718521625563</v>
      </c>
      <c r="AA602" cm="1">
        <f t="array" ref="AA602">IFERROR(AVERAGE(_xlfn._xlws.FILTER(S$2:S$1073,($C$2:$C$1073=$C602)*($E$2:$E$1073=$E602)*(ROW(S$2:S$1073)&lt;&gt;ROW(S602))*(S$2:S$1073&lt;&gt;""))),"")</f>
        <v>0.61781565340962319</v>
      </c>
      <c r="AB602" cm="1">
        <f t="array" ref="AB602">IFERROR(AVERAGE(_xlfn._xlws.FILTER(T$2:T$1073,($C$2:$C$1073=$C602)*($E$2:$E$1073=$E602)*(ROW(T$2:T$1073)&lt;&gt;ROW(T602))*(T$2:T$1073&lt;&gt;""))),"")</f>
        <v>-2.7044382152168867E-2</v>
      </c>
      <c r="AC602" cm="1">
        <f t="array" ref="AC602">IFERROR(AVERAGE(_xlfn._xlws.FILTER(U$2:U$1073,($C$2:$C$1073=$C602)*($E$2:$E$1073=$E602)*(ROW(U$2:U$1073)&lt;&gt;ROW(U602))*(U$2:U$1073&lt;&gt;""))),"")</f>
        <v>0.32441349543365339</v>
      </c>
      <c r="AD602" cm="1">
        <f t="array" ref="AD602">IFERROR(AVERAGE(_xlfn._xlws.FILTER(V$2:V$1073,($C$2:$C$1073=$C602)*($E$2:$E$1073=$E602)*(ROW(V$2:V$1073)&lt;&gt;ROW(V602))*(V$2:V$1073&lt;&gt;""))),"")</f>
        <v>0.65945794271096936</v>
      </c>
      <c r="AE602">
        <f>IF('Дивиденды по годам'!M602&lt;0,1,0)</f>
        <v>0</v>
      </c>
    </row>
    <row r="603" spans="1:31" x14ac:dyDescent="0.2">
      <c r="A603" s="7" t="s">
        <v>2318</v>
      </c>
      <c r="B603" t="str">
        <f t="shared" si="99"/>
        <v>LENT IV кв. 2016</v>
      </c>
      <c r="C603">
        <v>2016</v>
      </c>
      <c r="D603">
        <f>SUMIFS(Дивиденды!$C:$C,Дивиденды!$A:$A,A603,Дивиденды!$I:$I,C603)</f>
        <v>0</v>
      </c>
      <c r="E603">
        <v>4</v>
      </c>
      <c r="F603">
        <f t="shared" si="100"/>
        <v>0</v>
      </c>
      <c r="G603">
        <f t="shared" si="101"/>
        <v>20.421428571428571</v>
      </c>
      <c r="H603">
        <f t="shared" si="102"/>
        <v>0</v>
      </c>
      <c r="I603">
        <f t="shared" si="103"/>
        <v>0.14285714285714285</v>
      </c>
      <c r="J603">
        <f t="shared" si="104"/>
        <v>0</v>
      </c>
      <c r="K603">
        <f t="shared" si="109"/>
        <v>2.0593461763560781E-2</v>
      </c>
      <c r="L603">
        <f t="shared" si="105"/>
        <v>0</v>
      </c>
      <c r="M603">
        <f t="shared" si="106"/>
        <v>7.1428571428571425E-2</v>
      </c>
      <c r="N603">
        <f t="shared" si="107"/>
        <v>0</v>
      </c>
      <c r="O603">
        <f t="shared" si="108"/>
        <v>7.1428571428571425E-2</v>
      </c>
      <c r="P603" t="str">
        <f>IFERROR(LN('Дивиденды по годам'!I603),"")</f>
        <v/>
      </c>
      <c r="Q603" t="str">
        <f>IFERROR('Дивиденды по годам'!G603/'Дивиденды по годам'!I603, "")</f>
        <v/>
      </c>
      <c r="R603" t="str">
        <f>IFERROR(IF(AND('Дивиденды по годам'!N603&lt;&gt;"",'Дивиденды по годам'!U603&lt;&gt;"",'Дивиденды по годам'!U603&lt;&gt;0),'Дивиденды по годам'!N603/'Дивиденды по годам'!U603-1,""),"")</f>
        <v/>
      </c>
      <c r="S603" t="str">
        <f>IFERROR(IF(AND('Дивиденды по годам'!L603&lt;&gt;"",'Дивиденды по годам'!I603&lt;&gt;"",'Дивиденды по годам'!J603&lt;&gt;"",'Дивиденды по годам'!K603&lt;&gt;"",('Дивиденды по годам'!I603-'Дивиденды по годам'!J603-'Дивиденды по годам'!K603)&lt;&gt;0),'Дивиденды по годам'!L603/('Дивиденды по годам'!I603-'Дивиденды по годам'!J603-'Дивиденды по годам'!K603),""),"")</f>
        <v/>
      </c>
      <c r="T603" t="str">
        <f>IFERROR(IF(AND('Дивиденды по годам'!Q603&lt;&gt;"",'Дивиденды по годам'!I603&lt;&gt;"",'Дивиденды по годам'!V603&lt;&gt;"",('Дивиденды по годам'!I603+'Дивиденды по годам'!V603)&lt;&gt;0),'Дивиденды по годам'!Q603/(('Дивиденды по годам'!I603+'Дивиденды по годам'!V603)/2),""),"")</f>
        <v/>
      </c>
      <c r="U603" t="str">
        <f>IFERROR(IF(AND('Дивиденды по годам'!J603&lt;&gt;"",'Дивиденды по годам'!K603&lt;&gt;"",'Дивиденды по годам'!M603&lt;&gt;"",'Дивиденды по годам'!M603&lt;&gt;0),('Дивиденды по годам'!J603+'Дивиденды по годам'!K603)/'Дивиденды по годам'!M603,""),"")</f>
        <v/>
      </c>
      <c r="V603" t="str">
        <f>IFERROR(IF(AND('Дивиденды по годам'!J603&lt;&gt;"",'Дивиденды по годам'!K603&lt;&gt;"",'Дивиденды по годам'!M603&lt;&gt;"",'Дивиденды по годам'!I603&lt;&gt;0),('Дивиденды по годам'!J603+'Дивиденды по годам'!K603)/'Дивиденды по годам'!I603,""),"")</f>
        <v/>
      </c>
      <c r="W603" t="str">
        <f>IFERROR('Дивиденды по годам'!I603,"")</f>
        <v/>
      </c>
      <c r="X603" cm="1">
        <f t="array" ref="X603">IFERROR(AVERAGE(_xlfn._xlws.FILTER(P$2:P$1073,($C$2:$C$1073=$C603)*($E$2:$E$1073=$E603)*(ROW(P$2:P$1073)&lt;&gt;ROW(P603))*(P$2:P$1073&lt;&gt;""))),"")</f>
        <v>24.55530958635584</v>
      </c>
      <c r="Y603" cm="1">
        <f t="array" ref="Y603">IFERROR(AVERAGE(_xlfn._xlws.FILTER(Q$2:Q$1073,($C$2:$C$1073=$C603)*($E$2:$E$1073=$E603)*(ROW(Q$2:Q$1073)&lt;&gt;ROW(Q603))*(Q$2:Q$1073&lt;&gt;""))),"")</f>
        <v>0.27878606899788128</v>
      </c>
      <c r="Z603" cm="1">
        <f t="array" ref="Z603">IFERROR(AVERAGE(_xlfn._xlws.FILTER(R$2:R$1073,($C$2:$C$1073=$C603)*($E$2:$E$1073=$E603)*(ROW(R$2:R$1073)&lt;&gt;ROW(R603))*(R$2:R$1073&lt;&gt;""))),"")</f>
        <v>0.16612325919082049</v>
      </c>
      <c r="AA603" cm="1">
        <f t="array" ref="AA603">IFERROR(AVERAGE(_xlfn._xlws.FILTER(S$2:S$1073,($C$2:$C$1073=$C603)*($E$2:$E$1073=$E603)*(ROW(S$2:S$1073)&lt;&gt;ROW(S603))*(S$2:S$1073&lt;&gt;""))),"")</f>
        <v>6.2178681719613929</v>
      </c>
      <c r="AB603" cm="1">
        <f t="array" ref="AB603">IFERROR(AVERAGE(_xlfn._xlws.FILTER(T$2:T$1073,($C$2:$C$1073=$C603)*($E$2:$E$1073=$E603)*(ROW(T$2:T$1073)&lt;&gt;ROW(T603))*(T$2:T$1073&lt;&gt;""))),"")</f>
        <v>-2.007011623977166E-2</v>
      </c>
      <c r="AC603" cm="1">
        <f t="array" ref="AC603">IFERROR(AVERAGE(_xlfn._xlws.FILTER(U$2:U$1073,($C$2:$C$1073=$C603)*($E$2:$E$1073=$E603)*(ROW(U$2:U$1073)&lt;&gt;ROW(U603))*(U$2:U$1073&lt;&gt;""))),"")</f>
        <v>-16.044507701133888</v>
      </c>
      <c r="AD603" cm="1">
        <f t="array" ref="AD603">IFERROR(AVERAGE(_xlfn._xlws.FILTER(V$2:V$1073,($C$2:$C$1073=$C603)*($E$2:$E$1073=$E603)*(ROW(V$2:V$1073)&lt;&gt;ROW(V603))*(V$2:V$1073&lt;&gt;""))),"")</f>
        <v>0.64687882816141706</v>
      </c>
      <c r="AE603">
        <f>IF('Дивиденды по годам'!M603&lt;0,1,0)</f>
        <v>0</v>
      </c>
    </row>
    <row r="604" spans="1:31" x14ac:dyDescent="0.2">
      <c r="A604" s="7" t="s">
        <v>2318</v>
      </c>
      <c r="B604" t="str">
        <f t="shared" si="99"/>
        <v>LENT IV кв. 2015</v>
      </c>
      <c r="C604">
        <v>2015</v>
      </c>
      <c r="D604">
        <f>SUMIFS(Дивиденды!$C:$C,Дивиденды!$A:$A,A604,Дивиденды!$I:$I,C604)</f>
        <v>0</v>
      </c>
      <c r="E604">
        <v>4</v>
      </c>
      <c r="F604">
        <f t="shared" si="100"/>
        <v>0</v>
      </c>
      <c r="G604">
        <f t="shared" si="101"/>
        <v>22.574999999999999</v>
      </c>
      <c r="H604">
        <f t="shared" si="102"/>
        <v>0</v>
      </c>
      <c r="I604">
        <f t="shared" si="103"/>
        <v>0.14285714285714285</v>
      </c>
      <c r="J604">
        <f t="shared" si="104"/>
        <v>0</v>
      </c>
      <c r="K604">
        <f t="shared" si="109"/>
        <v>6.1102189263868886E-2</v>
      </c>
      <c r="L604">
        <f t="shared" si="105"/>
        <v>0</v>
      </c>
      <c r="M604">
        <f t="shared" si="106"/>
        <v>7.1428571428571425E-2</v>
      </c>
      <c r="N604">
        <f t="shared" si="107"/>
        <v>0</v>
      </c>
      <c r="O604">
        <f t="shared" si="108"/>
        <v>7.1428571428571425E-2</v>
      </c>
      <c r="P604" t="str">
        <f>IFERROR(LN('Дивиденды по годам'!I604),"")</f>
        <v/>
      </c>
      <c r="Q604" t="str">
        <f>IFERROR('Дивиденды по годам'!G604/'Дивиденды по годам'!I604, "")</f>
        <v/>
      </c>
      <c r="R604" t="str">
        <f>IFERROR(IF(AND('Дивиденды по годам'!N604&lt;&gt;"",'Дивиденды по годам'!U604&lt;&gt;"",'Дивиденды по годам'!U604&lt;&gt;0),'Дивиденды по годам'!N604/'Дивиденды по годам'!U604-1,""),"")</f>
        <v/>
      </c>
      <c r="S604" t="str">
        <f>IFERROR(IF(AND('Дивиденды по годам'!L604&lt;&gt;"",'Дивиденды по годам'!I604&lt;&gt;"",'Дивиденды по годам'!J604&lt;&gt;"",'Дивиденды по годам'!K604&lt;&gt;"",('Дивиденды по годам'!I604-'Дивиденды по годам'!J604-'Дивиденды по годам'!K604)&lt;&gt;0),'Дивиденды по годам'!L604/('Дивиденды по годам'!I604-'Дивиденды по годам'!J604-'Дивиденды по годам'!K604),""),"")</f>
        <v/>
      </c>
      <c r="T604" t="str">
        <f>IFERROR(IF(AND('Дивиденды по годам'!Q604&lt;&gt;"",'Дивиденды по годам'!I604&lt;&gt;"",'Дивиденды по годам'!V604&lt;&gt;"",('Дивиденды по годам'!I604+'Дивиденды по годам'!V604)&lt;&gt;0),'Дивиденды по годам'!Q604/(('Дивиденды по годам'!I604+'Дивиденды по годам'!V604)/2),""),"")</f>
        <v/>
      </c>
      <c r="U604" t="str">
        <f>IFERROR(IF(AND('Дивиденды по годам'!J604&lt;&gt;"",'Дивиденды по годам'!K604&lt;&gt;"",'Дивиденды по годам'!M604&lt;&gt;"",'Дивиденды по годам'!M604&lt;&gt;0),('Дивиденды по годам'!J604+'Дивиденды по годам'!K604)/'Дивиденды по годам'!M604,""),"")</f>
        <v/>
      </c>
      <c r="V604" t="str">
        <f>IFERROR(IF(AND('Дивиденды по годам'!J604&lt;&gt;"",'Дивиденды по годам'!K604&lt;&gt;"",'Дивиденды по годам'!M604&lt;&gt;"",'Дивиденды по годам'!I604&lt;&gt;0),('Дивиденды по годам'!J604+'Дивиденды по годам'!K604)/'Дивиденды по годам'!I604,""),"")</f>
        <v/>
      </c>
      <c r="W604" t="str">
        <f>IFERROR('Дивиденды по годам'!I604,"")</f>
        <v/>
      </c>
      <c r="X604" cm="1">
        <f t="array" ref="X604">IFERROR(AVERAGE(_xlfn._xlws.FILTER(P$2:P$1073,($C$2:$C$1073=$C604)*($E$2:$E$1073=$E604)*(ROW(P$2:P$1073)&lt;&gt;ROW(P604))*(P$2:P$1073&lt;&gt;""))),"")</f>
        <v>24.784857390248948</v>
      </c>
      <c r="Y604" cm="1">
        <f t="array" ref="Y604">IFERROR(AVERAGE(_xlfn._xlws.FILTER(Q$2:Q$1073,($C$2:$C$1073=$C604)*($E$2:$E$1073=$E604)*(ROW(Q$2:Q$1073)&lt;&gt;ROW(Q604))*(Q$2:Q$1073&lt;&gt;""))),"")</f>
        <v>0.29707306985497267</v>
      </c>
      <c r="Z604" cm="1">
        <f t="array" ref="Z604">IFERROR(AVERAGE(_xlfn._xlws.FILTER(R$2:R$1073,($C$2:$C$1073=$C604)*($E$2:$E$1073=$E604)*(ROW(R$2:R$1073)&lt;&gt;ROW(R604))*(R$2:R$1073&lt;&gt;""))),"")</f>
        <v>0.20074687596566593</v>
      </c>
      <c r="AA604" cm="1">
        <f t="array" ref="AA604">IFERROR(AVERAGE(_xlfn._xlws.FILTER(S$2:S$1073,($C$2:$C$1073=$C604)*($E$2:$E$1073=$E604)*(ROW(S$2:S$1073)&lt;&gt;ROW(S604))*(S$2:S$1073&lt;&gt;""))),"")</f>
        <v>-0.60736862679830428</v>
      </c>
      <c r="AB604" cm="1">
        <f t="array" ref="AB604">IFERROR(AVERAGE(_xlfn._xlws.FILTER(T$2:T$1073,($C$2:$C$1073=$C604)*($E$2:$E$1073=$E604)*(ROW(T$2:T$1073)&lt;&gt;ROW(T604))*(T$2:T$1073&lt;&gt;""))),"")</f>
        <v>6.4031956193225284E-2</v>
      </c>
      <c r="AC604" cm="1">
        <f t="array" ref="AC604">IFERROR(AVERAGE(_xlfn._xlws.FILTER(U$2:U$1073,($C$2:$C$1073=$C604)*($E$2:$E$1073=$E604)*(ROW(U$2:U$1073)&lt;&gt;ROW(U604))*(U$2:U$1073&lt;&gt;""))),"")</f>
        <v>5.5189604575277329</v>
      </c>
      <c r="AD604" cm="1">
        <f t="array" ref="AD604">IFERROR(AVERAGE(_xlfn._xlws.FILTER(V$2:V$1073,($C$2:$C$1073=$C604)*($E$2:$E$1073=$E604)*(ROW(V$2:V$1073)&lt;&gt;ROW(V604))*(V$2:V$1073&lt;&gt;""))),"")</f>
        <v>0.63096522939864874</v>
      </c>
      <c r="AE604">
        <f>IF('Дивиденды по годам'!M604&lt;0,1,0)</f>
        <v>0</v>
      </c>
    </row>
    <row r="605" spans="1:31" x14ac:dyDescent="0.2">
      <c r="A605" s="7" t="s">
        <v>2318</v>
      </c>
      <c r="B605" t="str">
        <f t="shared" si="99"/>
        <v>LENT IV кв. 2014</v>
      </c>
      <c r="C605">
        <v>2014</v>
      </c>
      <c r="D605">
        <f>SUMIFS(Дивиденды!$C:$C,Дивиденды!$A:$A,A605,Дивиденды!$I:$I,C605)</f>
        <v>0</v>
      </c>
      <c r="E605">
        <v>4</v>
      </c>
      <c r="F605">
        <f t="shared" si="100"/>
        <v>0</v>
      </c>
      <c r="G605">
        <f t="shared" si="101"/>
        <v>25.924285714285713</v>
      </c>
      <c r="H605">
        <f t="shared" si="102"/>
        <v>0</v>
      </c>
      <c r="I605">
        <f t="shared" si="103"/>
        <v>7.1428571428571425E-2</v>
      </c>
      <c r="J605">
        <f t="shared" si="104"/>
        <v>0</v>
      </c>
      <c r="K605">
        <f t="shared" si="109"/>
        <v>4.887635107293415E-2</v>
      </c>
      <c r="L605">
        <f t="shared" si="105"/>
        <v>0</v>
      </c>
      <c r="M605">
        <f t="shared" si="106"/>
        <v>7.1428571428571425E-2</v>
      </c>
      <c r="N605">
        <f t="shared" si="107"/>
        <v>0</v>
      </c>
      <c r="O605">
        <f t="shared" si="108"/>
        <v>7.1428571428571425E-2</v>
      </c>
      <c r="P605" t="str">
        <f>IFERROR(LN('Дивиденды по годам'!I605),"")</f>
        <v/>
      </c>
      <c r="Q605" t="str">
        <f>IFERROR('Дивиденды по годам'!G605/'Дивиденды по годам'!I605, "")</f>
        <v/>
      </c>
      <c r="R605" t="str">
        <f>IFERROR(IF(AND('Дивиденды по годам'!N605&lt;&gt;"",'Дивиденды по годам'!U605&lt;&gt;"",'Дивиденды по годам'!U605&lt;&gt;0),'Дивиденды по годам'!N605/'Дивиденды по годам'!U605-1,""),"")</f>
        <v/>
      </c>
      <c r="S605" t="str">
        <f>IFERROR(IF(AND('Дивиденды по годам'!L605&lt;&gt;"",'Дивиденды по годам'!I605&lt;&gt;"",'Дивиденды по годам'!J605&lt;&gt;"",'Дивиденды по годам'!K605&lt;&gt;"",('Дивиденды по годам'!I605-'Дивиденды по годам'!J605-'Дивиденды по годам'!K605)&lt;&gt;0),'Дивиденды по годам'!L605/('Дивиденды по годам'!I605-'Дивиденды по годам'!J605-'Дивиденды по годам'!K605),""),"")</f>
        <v/>
      </c>
      <c r="T605" t="str">
        <f>IFERROR(IF(AND('Дивиденды по годам'!Q605&lt;&gt;"",'Дивиденды по годам'!I605&lt;&gt;"",'Дивиденды по годам'!V605&lt;&gt;"",('Дивиденды по годам'!I605+'Дивиденды по годам'!V605)&lt;&gt;0),'Дивиденды по годам'!Q605/(('Дивиденды по годам'!I605+'Дивиденды по годам'!V605)/2),""),"")</f>
        <v/>
      </c>
      <c r="U605" t="str">
        <f>IFERROR(IF(AND('Дивиденды по годам'!J605&lt;&gt;"",'Дивиденды по годам'!K605&lt;&gt;"",'Дивиденды по годам'!M605&lt;&gt;"",'Дивиденды по годам'!M605&lt;&gt;0),('Дивиденды по годам'!J605+'Дивиденды по годам'!K605)/'Дивиденды по годам'!M605,""),"")</f>
        <v/>
      </c>
      <c r="V605" t="str">
        <f>IFERROR(IF(AND('Дивиденды по годам'!J605&lt;&gt;"",'Дивиденды по годам'!K605&lt;&gt;"",'Дивиденды по годам'!M605&lt;&gt;"",'Дивиденды по годам'!I605&lt;&gt;0),('Дивиденды по годам'!J605+'Дивиденды по годам'!K605)/'Дивиденды по годам'!I605,""),"")</f>
        <v/>
      </c>
      <c r="W605" t="str">
        <f>IFERROR('Дивиденды по годам'!I605,"")</f>
        <v/>
      </c>
      <c r="X605" cm="1">
        <f t="array" ref="X605">IFERROR(AVERAGE(_xlfn._xlws.FILTER(P$2:P$1073,($C$2:$C$1073=$C605)*($E$2:$E$1073=$E605)*(ROW(P$2:P$1073)&lt;&gt;ROW(P605))*(P$2:P$1073&lt;&gt;""))),"")</f>
        <v>24.777851287837404</v>
      </c>
      <c r="Y605" cm="1">
        <f t="array" ref="Y605">IFERROR(AVERAGE(_xlfn._xlws.FILTER(Q$2:Q$1073,($C$2:$C$1073=$C605)*($E$2:$E$1073=$E605)*(ROW(Q$2:Q$1073)&lt;&gt;ROW(Q605))*(Q$2:Q$1073&lt;&gt;""))),"")</f>
        <v>0.28994951624266957</v>
      </c>
      <c r="Z605" cm="1">
        <f t="array" ref="Z605">IFERROR(AVERAGE(_xlfn._xlws.FILTER(R$2:R$1073,($C$2:$C$1073=$C605)*($E$2:$E$1073=$E605)*(ROW(R$2:R$1073)&lt;&gt;ROW(R605))*(R$2:R$1073&lt;&gt;""))),"")</f>
        <v>8.5517195784799244E-2</v>
      </c>
      <c r="AA605" cm="1">
        <f t="array" ref="AA605">IFERROR(AVERAGE(_xlfn._xlws.FILTER(S$2:S$1073,($C$2:$C$1073=$C605)*($E$2:$E$1073=$E605)*(ROW(S$2:S$1073)&lt;&gt;ROW(S605))*(S$2:S$1073&lt;&gt;""))),"")</f>
        <v>-8.9932559622525012</v>
      </c>
      <c r="AB605" cm="1">
        <f t="array" ref="AB605">IFERROR(AVERAGE(_xlfn._xlws.FILTER(T$2:T$1073,($C$2:$C$1073=$C605)*($E$2:$E$1073=$E605)*(ROW(T$2:T$1073)&lt;&gt;ROW(T605))*(T$2:T$1073&lt;&gt;""))),"")</f>
        <v>3.4958573241250623E-2</v>
      </c>
      <c r="AC605" cm="1">
        <f t="array" ref="AC605">IFERROR(AVERAGE(_xlfn._xlws.FILTER(U$2:U$1073,($C$2:$C$1073=$C605)*($E$2:$E$1073=$E605)*(ROW(U$2:U$1073)&lt;&gt;ROW(U605))*(U$2:U$1073&lt;&gt;""))),"")</f>
        <v>34.444280572958768</v>
      </c>
      <c r="AD605" cm="1">
        <f t="array" ref="AD605">IFERROR(AVERAGE(_xlfn._xlws.FILTER(V$2:V$1073,($C$2:$C$1073=$C605)*($E$2:$E$1073=$E605)*(ROW(V$2:V$1073)&lt;&gt;ROW(V605))*(V$2:V$1073&lt;&gt;""))),"")</f>
        <v>0.67440993714043496</v>
      </c>
      <c r="AE605">
        <f>IF('Дивиденды по годам'!M605&lt;0,1,0)</f>
        <v>0</v>
      </c>
    </row>
    <row r="606" spans="1:31" x14ac:dyDescent="0.2">
      <c r="A606" s="7" t="s">
        <v>2318</v>
      </c>
      <c r="B606" t="str">
        <f t="shared" si="99"/>
        <v>LENT IV кв. 2013</v>
      </c>
      <c r="C606">
        <v>2013</v>
      </c>
      <c r="D606">
        <f>SUMIFS(Дивиденды!$C:$C,Дивиденды!$A:$A,A606,Дивиденды!$I:$I,C606)</f>
        <v>0</v>
      </c>
      <c r="E606">
        <v>4</v>
      </c>
      <c r="F606">
        <f t="shared" si="100"/>
        <v>0</v>
      </c>
      <c r="G606">
        <f t="shared" si="101"/>
        <v>13.409285714285716</v>
      </c>
      <c r="H606">
        <f t="shared" si="102"/>
        <v>0</v>
      </c>
      <c r="I606">
        <f t="shared" si="103"/>
        <v>0.14285714285714285</v>
      </c>
      <c r="J606">
        <f t="shared" si="104"/>
        <v>0</v>
      </c>
      <c r="K606">
        <f t="shared" si="109"/>
        <v>4.7291245939064024E-2</v>
      </c>
      <c r="L606">
        <f t="shared" si="105"/>
        <v>0</v>
      </c>
      <c r="M606">
        <f t="shared" si="106"/>
        <v>7.1428571428571425E-2</v>
      </c>
      <c r="N606">
        <f t="shared" si="107"/>
        <v>0</v>
      </c>
      <c r="O606">
        <f t="shared" si="108"/>
        <v>0</v>
      </c>
      <c r="P606" t="str">
        <f>IFERROR(LN('Дивиденды по годам'!I606),"")</f>
        <v/>
      </c>
      <c r="Q606" t="str">
        <f>IFERROR('Дивиденды по годам'!G606/'Дивиденды по годам'!I606, "")</f>
        <v/>
      </c>
      <c r="R606" t="str">
        <f>IFERROR(IF(AND('Дивиденды по годам'!N606&lt;&gt;"",'Дивиденды по годам'!U606&lt;&gt;"",'Дивиденды по годам'!U606&lt;&gt;0),'Дивиденды по годам'!N606/'Дивиденды по годам'!U606-1,""),"")</f>
        <v/>
      </c>
      <c r="S606" t="str">
        <f>IFERROR(IF(AND('Дивиденды по годам'!L606&lt;&gt;"",'Дивиденды по годам'!I606&lt;&gt;"",'Дивиденды по годам'!J606&lt;&gt;"",'Дивиденды по годам'!K606&lt;&gt;"",('Дивиденды по годам'!I606-'Дивиденды по годам'!J606-'Дивиденды по годам'!K606)&lt;&gt;0),'Дивиденды по годам'!L606/('Дивиденды по годам'!I606-'Дивиденды по годам'!J606-'Дивиденды по годам'!K606),""),"")</f>
        <v/>
      </c>
      <c r="T606" t="str">
        <f>IFERROR(IF(AND('Дивиденды по годам'!Q606&lt;&gt;"",'Дивиденды по годам'!I606&lt;&gt;"",'Дивиденды по годам'!V606&lt;&gt;"",('Дивиденды по годам'!I606+'Дивиденды по годам'!V606)&lt;&gt;0),'Дивиденды по годам'!Q606/(('Дивиденды по годам'!I606+'Дивиденды по годам'!V606)/2),""),"")</f>
        <v/>
      </c>
      <c r="U606" t="str">
        <f>IFERROR(IF(AND('Дивиденды по годам'!J606&lt;&gt;"",'Дивиденды по годам'!K606&lt;&gt;"",'Дивиденды по годам'!M606&lt;&gt;"",'Дивиденды по годам'!M606&lt;&gt;0),('Дивиденды по годам'!J606+'Дивиденды по годам'!K606)/'Дивиденды по годам'!M606,""),"")</f>
        <v/>
      </c>
      <c r="V606" t="str">
        <f>IFERROR(IF(AND('Дивиденды по годам'!J606&lt;&gt;"",'Дивиденды по годам'!K606&lt;&gt;"",'Дивиденды по годам'!M606&lt;&gt;"",'Дивиденды по годам'!I606&lt;&gt;0),('Дивиденды по годам'!J606+'Дивиденды по годам'!K606)/'Дивиденды по годам'!I606,""),"")</f>
        <v/>
      </c>
      <c r="W606" t="str">
        <f>IFERROR('Дивиденды по годам'!I606,"")</f>
        <v/>
      </c>
      <c r="X606" cm="1">
        <f t="array" ref="X606">IFERROR(AVERAGE(_xlfn._xlws.FILTER(P$2:P$1073,($C$2:$C$1073=$C606)*($E$2:$E$1073=$E606)*(ROW(P$2:P$1073)&lt;&gt;ROW(P606))*(P$2:P$1073&lt;&gt;""))),"")</f>
        <v>24.281308125321722</v>
      </c>
      <c r="Y606" cm="1">
        <f t="array" ref="Y606">IFERROR(AVERAGE(_xlfn._xlws.FILTER(Q$2:Q$1073,($C$2:$C$1073=$C606)*($E$2:$E$1073=$E606)*(ROW(Q$2:Q$1073)&lt;&gt;ROW(Q606))*(Q$2:Q$1073&lt;&gt;""))),"")</f>
        <v>0.34809372453666254</v>
      </c>
      <c r="Z606" cm="1">
        <f t="array" ref="Z606">IFERROR(AVERAGE(_xlfn._xlws.FILTER(R$2:R$1073,($C$2:$C$1073=$C606)*($E$2:$E$1073=$E606)*(ROW(R$2:R$1073)&lt;&gt;ROW(R606))*(R$2:R$1073&lt;&gt;""))),"")</f>
        <v>0.17531341667142472</v>
      </c>
      <c r="AA606" t="str" cm="1">
        <f t="array" ref="AA606">IFERROR(AVERAGE(_xlfn._xlws.FILTER(S$2:S$1073,($C$2:$C$1073=$C606)*($E$2:$E$1073=$E606)*(ROW(S$2:S$1073)&lt;&gt;ROW(S606))*(S$2:S$1073&lt;&gt;""))),"")</f>
        <v/>
      </c>
      <c r="AB606" cm="1">
        <f t="array" ref="AB606">IFERROR(AVERAGE(_xlfn._xlws.FILTER(T$2:T$1073,($C$2:$C$1073=$C606)*($E$2:$E$1073=$E606)*(ROW(T$2:T$1073)&lt;&gt;ROW(T606))*(T$2:T$1073&lt;&gt;""))),"")</f>
        <v>-0.12490141563278262</v>
      </c>
      <c r="AC606" cm="1">
        <f t="array" ref="AC606">IFERROR(AVERAGE(_xlfn._xlws.FILTER(U$2:U$1073,($C$2:$C$1073=$C606)*($E$2:$E$1073=$E606)*(ROW(U$2:U$1073)&lt;&gt;ROW(U606))*(U$2:U$1073&lt;&gt;""))),"")</f>
        <v>0.44566877182826042</v>
      </c>
      <c r="AD606" cm="1">
        <f t="array" ref="AD606">IFERROR(AVERAGE(_xlfn._xlws.FILTER(V$2:V$1073,($C$2:$C$1073=$C606)*($E$2:$E$1073=$E606)*(ROW(V$2:V$1073)&lt;&gt;ROW(V606))*(V$2:V$1073&lt;&gt;""))),"")</f>
        <v>1.3322699308491581</v>
      </c>
      <c r="AE606">
        <f>IF('Дивиденды по годам'!M606&lt;0,1,0)</f>
        <v>0</v>
      </c>
    </row>
    <row r="607" spans="1:31" x14ac:dyDescent="0.2">
      <c r="A607" s="7" t="s">
        <v>2318</v>
      </c>
      <c r="B607" t="str">
        <f t="shared" si="99"/>
        <v>LENT IV кв. 2012</v>
      </c>
      <c r="C607">
        <v>2012</v>
      </c>
      <c r="D607">
        <f>SUMIFS(Дивиденды!$C:$C,Дивиденды!$A:$A,A607,Дивиденды!$I:$I,C607)</f>
        <v>0</v>
      </c>
      <c r="E607">
        <v>4</v>
      </c>
      <c r="F607">
        <f t="shared" si="100"/>
        <v>0</v>
      </c>
      <c r="G607">
        <f t="shared" si="101"/>
        <v>9.5621428571428577</v>
      </c>
      <c r="H607">
        <f t="shared" si="102"/>
        <v>0</v>
      </c>
      <c r="I607">
        <f t="shared" si="103"/>
        <v>0.14285714285714285</v>
      </c>
      <c r="J607">
        <f t="shared" si="104"/>
        <v>0</v>
      </c>
      <c r="K607">
        <f t="shared" si="109"/>
        <v>0.25341100242975517</v>
      </c>
      <c r="L607">
        <f t="shared" si="105"/>
        <v>0</v>
      </c>
      <c r="M607">
        <f t="shared" si="106"/>
        <v>0.14285714285714285</v>
      </c>
      <c r="N607">
        <f t="shared" si="107"/>
        <v>0</v>
      </c>
      <c r="O607">
        <f t="shared" si="108"/>
        <v>0</v>
      </c>
      <c r="P607" t="str">
        <f>IFERROR(LN('Дивиденды по годам'!I607),"")</f>
        <v/>
      </c>
      <c r="Q607" t="str">
        <f>IFERROR('Дивиденды по годам'!G607/'Дивиденды по годам'!I607, "")</f>
        <v/>
      </c>
      <c r="R607" t="str">
        <f>IFERROR(IF(AND('Дивиденды по годам'!N607&lt;&gt;"",'Дивиденды по годам'!U607&lt;&gt;"",'Дивиденды по годам'!U607&lt;&gt;0),'Дивиденды по годам'!N607/'Дивиденды по годам'!U607-1,""),"")</f>
        <v/>
      </c>
      <c r="S607" t="str">
        <f>IFERROR(IF(AND('Дивиденды по годам'!L607&lt;&gt;"",'Дивиденды по годам'!I607&lt;&gt;"",'Дивиденды по годам'!J607&lt;&gt;"",'Дивиденды по годам'!K607&lt;&gt;"",('Дивиденды по годам'!I607-'Дивиденды по годам'!J607-'Дивиденды по годам'!K607)&lt;&gt;0),'Дивиденды по годам'!L607/('Дивиденды по годам'!I607-'Дивиденды по годам'!J607-'Дивиденды по годам'!K607),""),"")</f>
        <v/>
      </c>
      <c r="T607" t="str">
        <f>IFERROR(IF(AND('Дивиденды по годам'!Q607&lt;&gt;"",'Дивиденды по годам'!I607&lt;&gt;"",'Дивиденды по годам'!V607&lt;&gt;"",('Дивиденды по годам'!I607+'Дивиденды по годам'!V607)&lt;&gt;0),'Дивиденды по годам'!Q607/(('Дивиденды по годам'!I607+'Дивиденды по годам'!V607)/2),""),"")</f>
        <v/>
      </c>
      <c r="U607" t="str">
        <f>IFERROR(IF(AND('Дивиденды по годам'!J607&lt;&gt;"",'Дивиденды по годам'!K607&lt;&gt;"",'Дивиденды по годам'!M607&lt;&gt;"",'Дивиденды по годам'!M607&lt;&gt;0),('Дивиденды по годам'!J607+'Дивиденды по годам'!K607)/'Дивиденды по годам'!M607,""),"")</f>
        <v/>
      </c>
      <c r="V607" t="str">
        <f>IFERROR(IF(AND('Дивиденды по годам'!J607&lt;&gt;"",'Дивиденды по годам'!K607&lt;&gt;"",'Дивиденды по годам'!M607&lt;&gt;"",'Дивиденды по годам'!I607&lt;&gt;0),('Дивиденды по годам'!J607+'Дивиденды по годам'!K607)/'Дивиденды по годам'!I607,""),"")</f>
        <v/>
      </c>
      <c r="W607" t="str">
        <f>IFERROR('Дивиденды по годам'!I607,"")</f>
        <v/>
      </c>
      <c r="X607" cm="1">
        <f t="array" ref="X607">IFERROR(AVERAGE(_xlfn._xlws.FILTER(P$2:P$1073,($C$2:$C$1073=$C607)*($E$2:$E$1073=$E607)*(ROW(P$2:P$1073)&lt;&gt;ROW(P607))*(P$2:P$1073&lt;&gt;""))),"")</f>
        <v>24.228370506718147</v>
      </c>
      <c r="Y607" cm="1">
        <f t="array" ref="Y607">IFERROR(AVERAGE(_xlfn._xlws.FILTER(Q$2:Q$1073,($C$2:$C$1073=$C607)*($E$2:$E$1073=$E607)*(ROW(Q$2:Q$1073)&lt;&gt;ROW(Q607))*(Q$2:Q$1073&lt;&gt;""))),"")</f>
        <v>0.2820560824162458</v>
      </c>
      <c r="Z607" cm="1">
        <f t="array" ref="Z607">IFERROR(AVERAGE(_xlfn._xlws.FILTER(R$2:R$1073,($C$2:$C$1073=$C607)*($E$2:$E$1073=$E607)*(ROW(R$2:R$1073)&lt;&gt;ROW(R607))*(R$2:R$1073&lt;&gt;""))),"")</f>
        <v>-2.2522357472477484E-2</v>
      </c>
      <c r="AA607" cm="1">
        <f t="array" ref="AA607">IFERROR(AVERAGE(_xlfn._xlws.FILTER(S$2:S$1073,($C$2:$C$1073=$C607)*($E$2:$E$1073=$E607)*(ROW(S$2:S$1073)&lt;&gt;ROW(S607))*(S$2:S$1073&lt;&gt;""))),"")</f>
        <v>-1.7651061513336963</v>
      </c>
      <c r="AB607" cm="1">
        <f t="array" ref="AB607">IFERROR(AVERAGE(_xlfn._xlws.FILTER(T$2:T$1073,($C$2:$C$1073=$C607)*($E$2:$E$1073=$E607)*(ROW(T$2:T$1073)&lt;&gt;ROW(T607))*(T$2:T$1073&lt;&gt;""))),"")</f>
        <v>6.8400459116201365E-2</v>
      </c>
      <c r="AC607" cm="1">
        <f t="array" ref="AC607">IFERROR(AVERAGE(_xlfn._xlws.FILTER(U$2:U$1073,($C$2:$C$1073=$C607)*($E$2:$E$1073=$E607)*(ROW(U$2:U$1073)&lt;&gt;ROW(U607))*(U$2:U$1073&lt;&gt;""))),"")</f>
        <v>-3.9631898894189463</v>
      </c>
      <c r="AD607" cm="1">
        <f t="array" ref="AD607">IFERROR(AVERAGE(_xlfn._xlws.FILTER(V$2:V$1073,($C$2:$C$1073=$C607)*($E$2:$E$1073=$E607)*(ROW(V$2:V$1073)&lt;&gt;ROW(V607))*(V$2:V$1073&lt;&gt;""))),"")</f>
        <v>0.68524798816116717</v>
      </c>
      <c r="AE607">
        <f>IF('Дивиденды по годам'!M607&lt;0,1,0)</f>
        <v>0</v>
      </c>
    </row>
    <row r="608" spans="1:31" x14ac:dyDescent="0.2">
      <c r="A608" s="7" t="s">
        <v>2318</v>
      </c>
      <c r="B608" t="str">
        <f t="shared" si="99"/>
        <v>LENT IV кв. 2011</v>
      </c>
      <c r="C608">
        <v>2011</v>
      </c>
      <c r="D608">
        <f>SUMIFS(Дивиденды!$C:$C,Дивиденды!$A:$A,A608,Дивиденды!$I:$I,C608)</f>
        <v>0</v>
      </c>
      <c r="E608">
        <v>4</v>
      </c>
      <c r="F608">
        <f t="shared" si="100"/>
        <v>0</v>
      </c>
      <c r="G608">
        <f t="shared" si="101"/>
        <v>1.6378571428571429</v>
      </c>
      <c r="H608">
        <f t="shared" si="102"/>
        <v>0</v>
      </c>
      <c r="I608">
        <f t="shared" si="103"/>
        <v>7.1428571428571425E-2</v>
      </c>
      <c r="J608">
        <f t="shared" si="104"/>
        <v>0</v>
      </c>
      <c r="K608">
        <f t="shared" si="109"/>
        <v>0.17786475320721892</v>
      </c>
      <c r="L608">
        <f t="shared" si="105"/>
        <v>0</v>
      </c>
      <c r="M608">
        <f t="shared" si="106"/>
        <v>7.1428571428571425E-2</v>
      </c>
      <c r="N608">
        <f t="shared" si="107"/>
        <v>0</v>
      </c>
      <c r="O608">
        <f t="shared" si="108"/>
        <v>0</v>
      </c>
      <c r="P608" t="str">
        <f>IFERROR(LN('Дивиденды по годам'!I608),"")</f>
        <v/>
      </c>
      <c r="Q608" t="str">
        <f>IFERROR('Дивиденды по годам'!G608/'Дивиденды по годам'!I608, "")</f>
        <v/>
      </c>
      <c r="R608" t="str">
        <f>IFERROR(IF(AND('Дивиденды по годам'!N608&lt;&gt;"",'Дивиденды по годам'!U608&lt;&gt;"",'Дивиденды по годам'!U608&lt;&gt;0),'Дивиденды по годам'!N608/'Дивиденды по годам'!U608-1,""),"")</f>
        <v/>
      </c>
      <c r="S608" t="str">
        <f>IFERROR(IF(AND('Дивиденды по годам'!L608&lt;&gt;"",'Дивиденды по годам'!I608&lt;&gt;"",'Дивиденды по годам'!J608&lt;&gt;"",'Дивиденды по годам'!K608&lt;&gt;"",('Дивиденды по годам'!I608-'Дивиденды по годам'!J608-'Дивиденды по годам'!K608)&lt;&gt;0),'Дивиденды по годам'!L608/('Дивиденды по годам'!I608-'Дивиденды по годам'!J608-'Дивиденды по годам'!K608),""),"")</f>
        <v/>
      </c>
      <c r="T608" t="str">
        <f>IFERROR(IF(AND('Дивиденды по годам'!Q608&lt;&gt;"",'Дивиденды по годам'!I608&lt;&gt;"",'Дивиденды по годам'!V608&lt;&gt;"",('Дивиденды по годам'!I608+'Дивиденды по годам'!V608)&lt;&gt;0),'Дивиденды по годам'!Q608/(('Дивиденды по годам'!I608+'Дивиденды по годам'!V608)/2),""),"")</f>
        <v/>
      </c>
      <c r="U608" t="str">
        <f>IFERROR(IF(AND('Дивиденды по годам'!J608&lt;&gt;"",'Дивиденды по годам'!K608&lt;&gt;"",'Дивиденды по годам'!M608&lt;&gt;"",'Дивиденды по годам'!M608&lt;&gt;0),('Дивиденды по годам'!J608+'Дивиденды по годам'!K608)/'Дивиденды по годам'!M608,""),"")</f>
        <v/>
      </c>
      <c r="V608" t="str">
        <f>IFERROR(IF(AND('Дивиденды по годам'!J608&lt;&gt;"",'Дивиденды по годам'!K608&lt;&gt;"",'Дивиденды по годам'!M608&lt;&gt;"",'Дивиденды по годам'!I608&lt;&gt;0),('Дивиденды по годам'!J608+'Дивиденды по годам'!K608)/'Дивиденды по годам'!I608,""),"")</f>
        <v/>
      </c>
      <c r="W608" t="str">
        <f>IFERROR('Дивиденды по годам'!I608,"")</f>
        <v/>
      </c>
      <c r="X608" cm="1">
        <f t="array" ref="X608">IFERROR(AVERAGE(_xlfn._xlws.FILTER(P$2:P$1073,($C$2:$C$1073=$C608)*($E$2:$E$1073=$E608)*(ROW(P$2:P$1073)&lt;&gt;ROW(P608))*(P$2:P$1073&lt;&gt;""))),"")</f>
        <v>24.180789108496477</v>
      </c>
      <c r="Y608" cm="1">
        <f t="array" ref="Y608">IFERROR(AVERAGE(_xlfn._xlws.FILTER(Q$2:Q$1073,($C$2:$C$1073=$C608)*($E$2:$E$1073=$E608)*(ROW(Q$2:Q$1073)&lt;&gt;ROW(Q608))*(Q$2:Q$1073&lt;&gt;""))),"")</f>
        <v>0.29604752502083465</v>
      </c>
      <c r="Z608" cm="1">
        <f t="array" ref="Z608">IFERROR(AVERAGE(_xlfn._xlws.FILTER(R$2:R$1073,($C$2:$C$1073=$C608)*($E$2:$E$1073=$E608)*(ROW(R$2:R$1073)&lt;&gt;ROW(R608))*(R$2:R$1073&lt;&gt;""))),"")</f>
        <v>5.9511017560386792E-2</v>
      </c>
      <c r="AA608" t="str" cm="1">
        <f t="array" ref="AA608">IFERROR(AVERAGE(_xlfn._xlws.FILTER(S$2:S$1073,($C$2:$C$1073=$C608)*($E$2:$E$1073=$E608)*(ROW(S$2:S$1073)&lt;&gt;ROW(S608))*(S$2:S$1073&lt;&gt;""))),"")</f>
        <v/>
      </c>
      <c r="AB608" cm="1">
        <f t="array" ref="AB608">IFERROR(AVERAGE(_xlfn._xlws.FILTER(T$2:T$1073,($C$2:$C$1073=$C608)*($E$2:$E$1073=$E608)*(ROW(T$2:T$1073)&lt;&gt;ROW(T608))*(T$2:T$1073&lt;&gt;""))),"")</f>
        <v>-1.4171101286470289E-2</v>
      </c>
      <c r="AC608" cm="1">
        <f t="array" ref="AC608">IFERROR(AVERAGE(_xlfn._xlws.FILTER(U$2:U$1073,($C$2:$C$1073=$C608)*($E$2:$E$1073=$E608)*(ROW(U$2:U$1073)&lt;&gt;ROW(U608))*(U$2:U$1073&lt;&gt;""))),"")</f>
        <v>2.1854574410792247</v>
      </c>
      <c r="AD608" cm="1">
        <f t="array" ref="AD608">IFERROR(AVERAGE(_xlfn._xlws.FILTER(V$2:V$1073,($C$2:$C$1073=$C608)*($E$2:$E$1073=$E608)*(ROW(V$2:V$1073)&lt;&gt;ROW(V608))*(V$2:V$1073&lt;&gt;""))),"")</f>
        <v>0.62219289426739133</v>
      </c>
      <c r="AE608">
        <f>IF('Дивиденды по годам'!M608&lt;0,1,0)</f>
        <v>0</v>
      </c>
    </row>
    <row r="609" spans="1:31" x14ac:dyDescent="0.2">
      <c r="A609" s="7" t="s">
        <v>2318</v>
      </c>
      <c r="B609" t="str">
        <f t="shared" si="99"/>
        <v>LENT IV кв. 2010</v>
      </c>
      <c r="C609">
        <v>2010</v>
      </c>
      <c r="D609">
        <f>SUMIFS(Дивиденды!$C:$C,Дивиденды!$A:$A,A609,Дивиденды!$I:$I,C609)</f>
        <v>0</v>
      </c>
      <c r="E609">
        <v>4</v>
      </c>
      <c r="F609">
        <f t="shared" si="100"/>
        <v>0</v>
      </c>
      <c r="G609">
        <f t="shared" si="101"/>
        <v>0.46928571428571431</v>
      </c>
      <c r="H609">
        <f t="shared" si="102"/>
        <v>0</v>
      </c>
      <c r="I609">
        <f t="shared" si="103"/>
        <v>7.1428571428571425E-2</v>
      </c>
      <c r="J609" t="str">
        <f t="shared" si="104"/>
        <v/>
      </c>
      <c r="K609" t="str">
        <f t="shared" si="109"/>
        <v/>
      </c>
      <c r="L609" t="str">
        <f t="shared" si="105"/>
        <v/>
      </c>
      <c r="M609" t="str">
        <f t="shared" si="106"/>
        <v/>
      </c>
      <c r="N609" t="str">
        <f t="shared" si="107"/>
        <v/>
      </c>
      <c r="O609" t="str">
        <f t="shared" si="108"/>
        <v/>
      </c>
      <c r="P609" t="str">
        <f>IFERROR(LN('Дивиденды по годам'!I609),"")</f>
        <v/>
      </c>
      <c r="Q609" t="str">
        <f>IFERROR('Дивиденды по годам'!G609/'Дивиденды по годам'!I609, "")</f>
        <v/>
      </c>
      <c r="R609" t="str">
        <f>IFERROR(IF(AND('Дивиденды по годам'!N609&lt;&gt;"",'Дивиденды по годам'!U609&lt;&gt;"",'Дивиденды по годам'!U609&lt;&gt;0),'Дивиденды по годам'!N609/'Дивиденды по годам'!U609-1,""),"")</f>
        <v/>
      </c>
      <c r="S609" t="str">
        <f>IFERROR(IF(AND('Дивиденды по годам'!L609&lt;&gt;"",'Дивиденды по годам'!I609&lt;&gt;"",'Дивиденды по годам'!J609&lt;&gt;"",'Дивиденды по годам'!K609&lt;&gt;"",('Дивиденды по годам'!I609-'Дивиденды по годам'!J609-'Дивиденды по годам'!K609)&lt;&gt;0),'Дивиденды по годам'!L609/('Дивиденды по годам'!I609-'Дивиденды по годам'!J609-'Дивиденды по годам'!K609),""),"")</f>
        <v/>
      </c>
      <c r="T609" t="str">
        <f>IFERROR(IF(AND('Дивиденды по годам'!Q609&lt;&gt;"",'Дивиденды по годам'!I609&lt;&gt;"",'Дивиденды по годам'!V609&lt;&gt;"",('Дивиденды по годам'!I609+'Дивиденды по годам'!V609)&lt;&gt;0),'Дивиденды по годам'!Q609/(('Дивиденды по годам'!I609+'Дивиденды по годам'!V609)/2),""),"")</f>
        <v/>
      </c>
      <c r="U609" t="str">
        <f>IFERROR(IF(AND('Дивиденды по годам'!J609&lt;&gt;"",'Дивиденды по годам'!K609&lt;&gt;"",'Дивиденды по годам'!M609&lt;&gt;"",'Дивиденды по годам'!M609&lt;&gt;0),('Дивиденды по годам'!J609+'Дивиденды по годам'!K609)/'Дивиденды по годам'!M609,""),"")</f>
        <v/>
      </c>
      <c r="V609" t="str">
        <f>IFERROR(IF(AND('Дивиденды по годам'!J609&lt;&gt;"",'Дивиденды по годам'!K609&lt;&gt;"",'Дивиденды по годам'!M609&lt;&gt;"",'Дивиденды по годам'!I609&lt;&gt;0),('Дивиденды по годам'!J609+'Дивиденды по годам'!K609)/'Дивиденды по годам'!I609,""),"")</f>
        <v/>
      </c>
      <c r="W609" t="str">
        <f>IFERROR('Дивиденды по годам'!I609,"")</f>
        <v/>
      </c>
      <c r="X609" cm="1">
        <f t="array" ref="X609">IFERROR(AVERAGE(_xlfn._xlws.FILTER(P$2:P$1073,($C$2:$C$1073=$C609)*($E$2:$E$1073=$E609)*(ROW(P$2:P$1073)&lt;&gt;ROW(P609))*(P$2:P$1073&lt;&gt;""))),"")</f>
        <v>23.656010386255485</v>
      </c>
      <c r="Y609" cm="1">
        <f t="array" ref="Y609">IFERROR(AVERAGE(_xlfn._xlws.FILTER(Q$2:Q$1073,($C$2:$C$1073=$C609)*($E$2:$E$1073=$E609)*(ROW(Q$2:Q$1073)&lt;&gt;ROW(Q609))*(Q$2:Q$1073&lt;&gt;""))),"")</f>
        <v>0.15222241747474585</v>
      </c>
      <c r="Z609" t="str" cm="1">
        <f t="array" ref="Z609">IFERROR(AVERAGE(_xlfn._xlws.FILTER(R$2:R$1073,($C$2:$C$1073=$C609)*($E$2:$E$1073=$E609)*(ROW(R$2:R$1073)&lt;&gt;ROW(R609))*(R$2:R$1073&lt;&gt;""))),"")</f>
        <v/>
      </c>
      <c r="AA609" t="str" cm="1">
        <f t="array" ref="AA609">IFERROR(AVERAGE(_xlfn._xlws.FILTER(S$2:S$1073,($C$2:$C$1073=$C609)*($E$2:$E$1073=$E609)*(ROW(S$2:S$1073)&lt;&gt;ROW(S609))*(S$2:S$1073&lt;&gt;""))),"")</f>
        <v/>
      </c>
      <c r="AB609" t="str" cm="1">
        <f t="array" ref="AB609">IFERROR(AVERAGE(_xlfn._xlws.FILTER(T$2:T$1073,($C$2:$C$1073=$C609)*($E$2:$E$1073=$E609)*(ROW(T$2:T$1073)&lt;&gt;ROW(T609))*(T$2:T$1073&lt;&gt;""))),"")</f>
        <v/>
      </c>
      <c r="AC609" cm="1">
        <f t="array" ref="AC609">IFERROR(AVERAGE(_xlfn._xlws.FILTER(U$2:U$1073,($C$2:$C$1073=$C609)*($E$2:$E$1073=$E609)*(ROW(U$2:U$1073)&lt;&gt;ROW(U609))*(U$2:U$1073&lt;&gt;""))),"")</f>
        <v>2.8988498110700496</v>
      </c>
      <c r="AD609" cm="1">
        <f t="array" ref="AD609">IFERROR(AVERAGE(_xlfn._xlws.FILTER(V$2:V$1073,($C$2:$C$1073=$C609)*($E$2:$E$1073=$E609)*(ROW(V$2:V$1073)&lt;&gt;ROW(V609))*(V$2:V$1073&lt;&gt;""))),"")</f>
        <v>0.74351805997092513</v>
      </c>
      <c r="AE609">
        <f>IF('Дивиденды по годам'!M609&lt;0,1,0)</f>
        <v>0</v>
      </c>
    </row>
    <row r="610" spans="1:31" x14ac:dyDescent="0.2">
      <c r="A610" s="7" t="s">
        <v>2255</v>
      </c>
      <c r="B610" t="str">
        <f t="shared" si="99"/>
        <v>MGNT IV кв. 2025</v>
      </c>
      <c r="C610">
        <v>2025</v>
      </c>
      <c r="D610">
        <f>SUMIFS(Дивиденды!$C:$C,Дивиденды!$A:$A,A610,Дивиденды!$I:$I,C610)</f>
        <v>0</v>
      </c>
      <c r="E610">
        <v>4</v>
      </c>
      <c r="F610">
        <f t="shared" si="100"/>
        <v>0</v>
      </c>
      <c r="G610">
        <f t="shared" si="101"/>
        <v>31.581428571428571</v>
      </c>
      <c r="H610">
        <f t="shared" si="102"/>
        <v>0</v>
      </c>
      <c r="I610">
        <f t="shared" si="103"/>
        <v>0.42857142857142855</v>
      </c>
      <c r="J610">
        <f t="shared" si="104"/>
        <v>0</v>
      </c>
      <c r="K610">
        <f t="shared" si="109"/>
        <v>-0.1825263432406963</v>
      </c>
      <c r="L610">
        <f t="shared" si="105"/>
        <v>0</v>
      </c>
      <c r="M610">
        <f t="shared" si="106"/>
        <v>0.14285714285714285</v>
      </c>
      <c r="N610">
        <f t="shared" si="107"/>
        <v>0</v>
      </c>
      <c r="O610">
        <f t="shared" si="108"/>
        <v>0.5</v>
      </c>
      <c r="P610" t="str">
        <f>IFERROR(LN('Дивиденды по годам'!I610),"")</f>
        <v/>
      </c>
      <c r="Q610" t="str">
        <f>IFERROR('Дивиденды по годам'!G610/'Дивиденды по годам'!I610, "")</f>
        <v/>
      </c>
      <c r="R610" t="str">
        <f>IFERROR(IF(AND('Дивиденды по годам'!N610&lt;&gt;"",'Дивиденды по годам'!U610&lt;&gt;"",'Дивиденды по годам'!U610&lt;&gt;0),'Дивиденды по годам'!N610/'Дивиденды по годам'!U610-1,""),"")</f>
        <v/>
      </c>
      <c r="S610" t="str">
        <f>IFERROR(IF(AND('Дивиденды по годам'!L610&lt;&gt;"",'Дивиденды по годам'!I610&lt;&gt;"",'Дивиденды по годам'!J610&lt;&gt;"",'Дивиденды по годам'!K610&lt;&gt;"",('Дивиденды по годам'!I610-'Дивиденды по годам'!J610-'Дивиденды по годам'!K610)&lt;&gt;0),'Дивиденды по годам'!L610/('Дивиденды по годам'!I610-'Дивиденды по годам'!J610-'Дивиденды по годам'!K610),""),"")</f>
        <v/>
      </c>
      <c r="T610" t="str">
        <f>IFERROR(IF(AND('Дивиденды по годам'!Q610&lt;&gt;"",'Дивиденды по годам'!I610&lt;&gt;"",'Дивиденды по годам'!V610&lt;&gt;"",('Дивиденды по годам'!I610+'Дивиденды по годам'!V610)&lt;&gt;0),'Дивиденды по годам'!Q610/(('Дивиденды по годам'!I610+'Дивиденды по годам'!V610)/2),""),"")</f>
        <v/>
      </c>
      <c r="U610" t="str">
        <f>IFERROR(IF(AND('Дивиденды по годам'!J610&lt;&gt;"",'Дивиденды по годам'!K610&lt;&gt;"",'Дивиденды по годам'!M610&lt;&gt;"",'Дивиденды по годам'!M610&lt;&gt;0),('Дивиденды по годам'!J610+'Дивиденды по годам'!K610)/'Дивиденды по годам'!M610,""),"")</f>
        <v/>
      </c>
      <c r="V610" t="str">
        <f>IFERROR(IF(AND('Дивиденды по годам'!J610&lt;&gt;"",'Дивиденды по годам'!K610&lt;&gt;"",'Дивиденды по годам'!M610&lt;&gt;"",'Дивиденды по годам'!I610&lt;&gt;0),('Дивиденды по годам'!J610+'Дивиденды по годам'!K610)/'Дивиденды по годам'!I610,""),"")</f>
        <v/>
      </c>
      <c r="W610" t="str">
        <f>IFERROR('Дивиденды по годам'!I610,"")</f>
        <v/>
      </c>
      <c r="X610" cm="1">
        <f t="array" ref="X610">IFERROR(AVERAGE(_xlfn._xlws.FILTER(P$2:P$1073,($C$2:$C$1073=$C610)*($E$2:$E$1073=$E610)*(ROW(P$2:P$1073)&lt;&gt;ROW(P610))*(P$2:P$1073&lt;&gt;""))),"")</f>
        <v>26.183512711155618</v>
      </c>
      <c r="Y610" cm="1">
        <f t="array" ref="Y610">IFERROR(AVERAGE(_xlfn._xlws.FILTER(Q$2:Q$1073,($C$2:$C$1073=$C610)*($E$2:$E$1073=$E610)*(ROW(Q$2:Q$1073)&lt;&gt;ROW(Q610))*(Q$2:Q$1073&lt;&gt;""))),"")</f>
        <v>0.42364014522274984</v>
      </c>
      <c r="Z610" cm="1">
        <f t="array" ref="Z610">IFERROR(AVERAGE(_xlfn._xlws.FILTER(R$2:R$1073,($C$2:$C$1073=$C610)*($E$2:$E$1073=$E610)*(ROW(R$2:R$1073)&lt;&gt;ROW(R610))*(R$2:R$1073&lt;&gt;""))),"")</f>
        <v>6.6096126428947105E-2</v>
      </c>
      <c r="AA610" cm="1">
        <f t="array" ref="AA610">IFERROR(AVERAGE(_xlfn._xlws.FILTER(S$2:S$1073,($C$2:$C$1073=$C610)*($E$2:$E$1073=$E610)*(ROW(S$2:S$1073)&lt;&gt;ROW(S610))*(S$2:S$1073&lt;&gt;""))),"")</f>
        <v>0.94174952343815033</v>
      </c>
      <c r="AB610" cm="1">
        <f t="array" ref="AB610">IFERROR(AVERAGE(_xlfn._xlws.FILTER(T$2:T$1073,($C$2:$C$1073=$C610)*($E$2:$E$1073=$E610)*(ROW(T$2:T$1073)&lt;&gt;ROW(T610))*(T$2:T$1073&lt;&gt;""))),"")</f>
        <v>1.3107153079830167E-2</v>
      </c>
      <c r="AC610" cm="1">
        <f t="array" ref="AC610">IFERROR(AVERAGE(_xlfn._xlws.FILTER(U$2:U$1073,($C$2:$C$1073=$C610)*($E$2:$E$1073=$E610)*(ROW(U$2:U$1073)&lt;&gt;ROW(U610))*(U$2:U$1073&lt;&gt;""))),"")</f>
        <v>6.2968354519658218</v>
      </c>
      <c r="AD610" cm="1">
        <f t="array" ref="AD610">IFERROR(AVERAGE(_xlfn._xlws.FILTER(V$2:V$1073,($C$2:$C$1073=$C610)*($E$2:$E$1073=$E610)*(ROW(V$2:V$1073)&lt;&gt;ROW(V610))*(V$2:V$1073&lt;&gt;""))),"")</f>
        <v>0.70931365831308468</v>
      </c>
      <c r="AE610">
        <f>IF('Дивиденды по годам'!M610&lt;0,1,0)</f>
        <v>0</v>
      </c>
    </row>
    <row r="611" spans="1:31" x14ac:dyDescent="0.2">
      <c r="A611" s="7" t="s">
        <v>2255</v>
      </c>
      <c r="B611" t="str">
        <f t="shared" si="99"/>
        <v>MGNT IV кв. 2024</v>
      </c>
      <c r="C611">
        <v>2024</v>
      </c>
      <c r="D611">
        <f>SUMIFS(Дивиденды!$C:$C,Дивиденды!$A:$A,A611,Дивиденды!$I:$I,C611)</f>
        <v>0</v>
      </c>
      <c r="E611">
        <v>4</v>
      </c>
      <c r="F611">
        <f t="shared" si="100"/>
        <v>0</v>
      </c>
      <c r="G611">
        <f t="shared" si="101"/>
        <v>62.511428571428574</v>
      </c>
      <c r="H611">
        <f t="shared" si="102"/>
        <v>0</v>
      </c>
      <c r="I611">
        <f t="shared" si="103"/>
        <v>0.5714285714285714</v>
      </c>
      <c r="J611">
        <f t="shared" si="104"/>
        <v>-1</v>
      </c>
      <c r="K611">
        <f t="shared" si="109"/>
        <v>0.28288431679205528</v>
      </c>
      <c r="L611">
        <f t="shared" si="105"/>
        <v>0</v>
      </c>
      <c r="M611">
        <f t="shared" si="106"/>
        <v>0.35714285714285715</v>
      </c>
      <c r="N611">
        <f t="shared" si="107"/>
        <v>1</v>
      </c>
      <c r="O611">
        <f t="shared" si="108"/>
        <v>0.21428571428571427</v>
      </c>
      <c r="P611">
        <f>IFERROR(LN('Дивиденды по годам'!I611),"")</f>
        <v>28.078212651034583</v>
      </c>
      <c r="Q611">
        <f>IFERROR('Дивиденды по годам'!G611/'Дивиденды по годам'!I611, "")</f>
        <v>0.28863889536010012</v>
      </c>
      <c r="R611">
        <f>IFERROR(IF(AND('Дивиденды по годам'!N611&lt;&gt;"",'Дивиденды по годам'!U611&lt;&gt;"",'Дивиденды по годам'!U611&lt;&gt;0),'Дивиденды по годам'!N611/'Дивиденды по годам'!U611-1,""),"")</f>
        <v>0.19599439196488544</v>
      </c>
      <c r="S611">
        <f>IFERROR(IF(AND('Дивиденды по годам'!L611&lt;&gt;"",'Дивиденды по годам'!I611&lt;&gt;"",'Дивиденды по годам'!J611&lt;&gt;"",'Дивиденды по годам'!K611&lt;&gt;"",('Дивиденды по годам'!I611-'Дивиденды по годам'!J611-'Дивиденды по годам'!K611)&lt;&gt;0),'Дивиденды по годам'!L611/('Дивиденды по годам'!I611-'Дивиденды по годам'!J611-'Дивиденды по годам'!K611),""),"")</f>
        <v>0.99278913512166522</v>
      </c>
      <c r="T611">
        <f>IFERROR(IF(AND('Дивиденды по годам'!Q611&lt;&gt;"",'Дивиденды по годам'!I611&lt;&gt;"",'Дивиденды по годам'!V611&lt;&gt;"",('Дивиденды по годам'!I611+'Дивиденды по годам'!V611)&lt;&gt;0),'Дивиденды по годам'!Q611/(('Дивиденды по годам'!I611+'Дивиденды по годам'!V611)/2),""),"")</f>
        <v>2.9620497495410559E-2</v>
      </c>
      <c r="U611">
        <f>IFERROR(IF(AND('Дивиденды по годам'!J611&lt;&gt;"",'Дивиденды по годам'!K611&lt;&gt;"",'Дивиденды по годам'!M611&lt;&gt;"",'Дивиденды по годам'!M611&lt;&gt;0),('Дивиденды по годам'!J611+'Дивиденды по годам'!K611)/'Дивиденды по годам'!M611,""),"")</f>
        <v>7.62546251214291</v>
      </c>
      <c r="V611">
        <f>IFERROR(IF(AND('Дивиденды по годам'!J611&lt;&gt;"",'Дивиденды по годам'!K611&lt;&gt;"",'Дивиденды по годам'!M611&lt;&gt;"",'Дивиденды по годам'!I611&lt;&gt;0),('Дивиденды по годам'!J611+'Дивиденды по годам'!K611)/'Дивиденды по годам'!I611,""),"")</f>
        <v>0.88406418802560416</v>
      </c>
      <c r="W611">
        <f>IFERROR('Дивиденды по годам'!I611,"")</f>
        <v>1563913815000</v>
      </c>
      <c r="X611" cm="1">
        <f t="array" ref="X611">IFERROR(AVERAGE(_xlfn._xlws.FILTER(P$2:P$1073,($C$2:$C$1073=$C611)*($E$2:$E$1073=$E611)*(ROW(P$2:P$1073)&lt;&gt;ROW(P611))*(P$2:P$1073&lt;&gt;""))),"")</f>
        <v>25.385271361190053</v>
      </c>
      <c r="Y611" cm="1">
        <f t="array" ref="Y611">IFERROR(AVERAGE(_xlfn._xlws.FILTER(Q$2:Q$1073,($C$2:$C$1073=$C611)*($E$2:$E$1073=$E611)*(ROW(Q$2:Q$1073)&lt;&gt;ROW(Q611))*(Q$2:Q$1073&lt;&gt;""))),"")</f>
        <v>0.26108766949571477</v>
      </c>
      <c r="Z611" cm="1">
        <f t="array" ref="Z611">IFERROR(AVERAGE(_xlfn._xlws.FILTER(R$2:R$1073,($C$2:$C$1073=$C611)*($E$2:$E$1073=$E611)*(ROW(R$2:R$1073)&lt;&gt;ROW(R611))*(R$2:R$1073&lt;&gt;""))),"")</f>
        <v>0.27042729211974931</v>
      </c>
      <c r="AA611" cm="1">
        <f t="array" ref="AA611">IFERROR(AVERAGE(_xlfn._xlws.FILTER(S$2:S$1073,($C$2:$C$1073=$C611)*($E$2:$E$1073=$E611)*(ROW(S$2:S$1073)&lt;&gt;ROW(S611))*(S$2:S$1073&lt;&gt;""))),"")</f>
        <v>1.1837872166740611</v>
      </c>
      <c r="AB611" cm="1">
        <f t="array" ref="AB611">IFERROR(AVERAGE(_xlfn._xlws.FILTER(T$2:T$1073,($C$2:$C$1073=$C611)*($E$2:$E$1073=$E611)*(ROW(T$2:T$1073)&lt;&gt;ROW(T611))*(T$2:T$1073&lt;&gt;""))),"")</f>
        <v>7.6051005631111918E-2</v>
      </c>
      <c r="AC611" cm="1">
        <f t="array" ref="AC611">IFERROR(AVERAGE(_xlfn._xlws.FILTER(U$2:U$1073,($C$2:$C$1073=$C611)*($E$2:$E$1073=$E611)*(ROW(U$2:U$1073)&lt;&gt;ROW(U611))*(U$2:U$1073&lt;&gt;""))),"")</f>
        <v>3.7311788965007269</v>
      </c>
      <c r="AD611" cm="1">
        <f t="array" ref="AD611">IFERROR(AVERAGE(_xlfn._xlws.FILTER(V$2:V$1073,($C$2:$C$1073=$C611)*($E$2:$E$1073=$E611)*(ROW(V$2:V$1073)&lt;&gt;ROW(V611))*(V$2:V$1073&lt;&gt;""))),"")</f>
        <v>0.68851035602548616</v>
      </c>
      <c r="AE611">
        <f>IF('Дивиденды по годам'!M611&lt;0,1,0)</f>
        <v>0</v>
      </c>
    </row>
    <row r="612" spans="1:31" x14ac:dyDescent="0.2">
      <c r="A612" s="7" t="s">
        <v>2255</v>
      </c>
      <c r="B612" t="str">
        <f t="shared" si="99"/>
        <v>MGNT IV кв. 2023</v>
      </c>
      <c r="C612">
        <v>2023</v>
      </c>
      <c r="D612">
        <f>SUMIFS(Дивиденды!$C:$C,Дивиденды!$A:$A,A612,Дивиденды!$I:$I,C612)</f>
        <v>412.13</v>
      </c>
      <c r="E612">
        <v>4</v>
      </c>
      <c r="F612">
        <f t="shared" si="100"/>
        <v>412.13</v>
      </c>
      <c r="G612">
        <f t="shared" si="101"/>
        <v>61.302142857142861</v>
      </c>
      <c r="H612">
        <f t="shared" si="102"/>
        <v>1</v>
      </c>
      <c r="I612">
        <f t="shared" si="103"/>
        <v>0.42857142857142855</v>
      </c>
      <c r="J612">
        <f t="shared" si="104"/>
        <v>0</v>
      </c>
      <c r="K612">
        <f t="shared" si="109"/>
        <v>0.29812745098039217</v>
      </c>
      <c r="L612">
        <f t="shared" si="105"/>
        <v>0</v>
      </c>
      <c r="M612">
        <f t="shared" si="106"/>
        <v>0.42857142857142855</v>
      </c>
      <c r="N612">
        <f t="shared" si="107"/>
        <v>0</v>
      </c>
      <c r="O612">
        <f t="shared" si="108"/>
        <v>0</v>
      </c>
      <c r="P612">
        <f>IFERROR(LN('Дивиденды по годам'!I612),"")</f>
        <v>27.988376115477038</v>
      </c>
      <c r="Q612">
        <f>IFERROR('Дивиденды по годам'!G612/'Дивиденды по годам'!I612, "")</f>
        <v>0.25676031951819195</v>
      </c>
      <c r="R612">
        <f>IFERROR(IF(AND('Дивиденды по годам'!N612&lt;&gt;"",'Дивиденды по годам'!U612&lt;&gt;"",'Дивиденды по годам'!U612&lt;&gt;0),'Дивиденды по годам'!N612/'Дивиденды по годам'!U612-1,""),"")</f>
        <v>8.1927144580525635E-2</v>
      </c>
      <c r="S612">
        <f>IFERROR(IF(AND('Дивиденды по годам'!L612&lt;&gt;"",'Дивиденды по годам'!I612&lt;&gt;"",'Дивиденды по годам'!J612&lt;&gt;"",'Дивиденды по годам'!K612&lt;&gt;"",('Дивиденды по годам'!I612-'Дивиденды по годам'!J612-'Дивиденды по годам'!K612)&lt;&gt;0),'Дивиденды по годам'!L612/('Дивиденды по годам'!I612-'Дивиденды по годам'!J612-'Дивиденды по годам'!K612),""),"")</f>
        <v>1.0296257969434357</v>
      </c>
      <c r="T612">
        <f>IFERROR(IF(AND('Дивиденды по годам'!Q612&lt;&gt;"",'Дивиденды по годам'!I612&lt;&gt;"",'Дивиденды по годам'!V612&lt;&gt;"",('Дивиденды по годам'!I612+'Дивиденды по годам'!V612)&lt;&gt;0),'Дивиденды по годам'!Q612/(('Дивиденды по годам'!I612+'Дивиденды по годам'!V612)/2),""),"")</f>
        <v>4.1533700142972266E-2</v>
      </c>
      <c r="U612">
        <f>IFERROR(IF(AND('Дивиденды по годам'!J612&lt;&gt;"",'Дивиденды по годам'!K612&lt;&gt;"",'Дивиденды по годам'!M612&lt;&gt;"",'Дивиденды по годам'!M612&lt;&gt;0),('Дивиденды по годам'!J612+'Дивиденды по годам'!K612)/'Дивиденды по годам'!M612,""),"")</f>
        <v>8.0210597285754766</v>
      </c>
      <c r="V612">
        <f>IFERROR(IF(AND('Дивиденды по годам'!J612&lt;&gt;"",'Дивиденды по годам'!K612&lt;&gt;"",'Дивиденды по годам'!M612&lt;&gt;"",'Дивиденды по годам'!I612&lt;&gt;0),('Дивиденды по годам'!J612+'Дивиденды по годам'!K612)/'Дивиденды по годам'!I612,""),"")</f>
        <v>0.88914827857392864</v>
      </c>
      <c r="W612">
        <f>IFERROR('Дивиденды по годам'!I612,"")</f>
        <v>1429543267000</v>
      </c>
      <c r="X612" cm="1">
        <f t="array" ref="X612">IFERROR(AVERAGE(_xlfn._xlws.FILTER(P$2:P$1073,($C$2:$C$1073=$C612)*($E$2:$E$1073=$E612)*(ROW(P$2:P$1073)&lt;&gt;ROW(P612))*(P$2:P$1073&lt;&gt;""))),"")</f>
        <v>25.179725214848844</v>
      </c>
      <c r="Y612" cm="1">
        <f t="array" ref="Y612">IFERROR(AVERAGE(_xlfn._xlws.FILTER(Q$2:Q$1073,($C$2:$C$1073=$C612)*($E$2:$E$1073=$E612)*(ROW(Q$2:Q$1073)&lt;&gt;ROW(Q612))*(Q$2:Q$1073&lt;&gt;""))),"")</f>
        <v>0.24993219104682463</v>
      </c>
      <c r="Z612" cm="1">
        <f t="array" ref="Z612">IFERROR(AVERAGE(_xlfn._xlws.FILTER(R$2:R$1073,($C$2:$C$1073=$C612)*($E$2:$E$1073=$E612)*(ROW(R$2:R$1073)&lt;&gt;ROW(R612))*(R$2:R$1073&lt;&gt;""))),"")</f>
        <v>0.25984540286649199</v>
      </c>
      <c r="AA612" cm="1">
        <f t="array" ref="AA612">IFERROR(AVERAGE(_xlfn._xlws.FILTER(S$2:S$1073,($C$2:$C$1073=$C612)*($E$2:$E$1073=$E612)*(ROW(S$2:S$1073)&lt;&gt;ROW(S612))*(S$2:S$1073&lt;&gt;""))),"")</f>
        <v>1.2614488874503118</v>
      </c>
      <c r="AB612" cm="1">
        <f t="array" ref="AB612">IFERROR(AVERAGE(_xlfn._xlws.FILTER(T$2:T$1073,($C$2:$C$1073=$C612)*($E$2:$E$1073=$E612)*(ROW(T$2:T$1073)&lt;&gt;ROW(T612))*(T$2:T$1073&lt;&gt;""))),"")</f>
        <v>0.11604318512679868</v>
      </c>
      <c r="AC612" cm="1">
        <f t="array" ref="AC612">IFERROR(AVERAGE(_xlfn._xlws.FILTER(U$2:U$1073,($C$2:$C$1073=$C612)*($E$2:$E$1073=$E612)*(ROW(U$2:U$1073)&lt;&gt;ROW(U612))*(U$2:U$1073&lt;&gt;""))),"")</f>
        <v>2.199365057860915</v>
      </c>
      <c r="AD612" cm="1">
        <f t="array" ref="AD612">IFERROR(AVERAGE(_xlfn._xlws.FILTER(V$2:V$1073,($C$2:$C$1073=$C612)*($E$2:$E$1073=$E612)*(ROW(V$2:V$1073)&lt;&gt;ROW(V612))*(V$2:V$1073&lt;&gt;""))),"")</f>
        <v>0.67839474314334414</v>
      </c>
      <c r="AE612">
        <f>IF('Дивиденды по годам'!M612&lt;0,1,0)</f>
        <v>0</v>
      </c>
    </row>
    <row r="613" spans="1:31" x14ac:dyDescent="0.2">
      <c r="A613" s="7" t="s">
        <v>2255</v>
      </c>
      <c r="B613" t="str">
        <f t="shared" si="99"/>
        <v>MGNT IV кв. 2022</v>
      </c>
      <c r="C613">
        <v>2022</v>
      </c>
      <c r="D613">
        <f>SUMIFS(Дивиденды!$C:$C,Дивиденды!$A:$A,A613,Дивиденды!$I:$I,C613)</f>
        <v>412.13</v>
      </c>
      <c r="E613">
        <v>4</v>
      </c>
      <c r="F613">
        <f t="shared" si="100"/>
        <v>412.13</v>
      </c>
      <c r="G613">
        <f t="shared" si="101"/>
        <v>50.742142857142859</v>
      </c>
      <c r="H613">
        <f t="shared" si="102"/>
        <v>1</v>
      </c>
      <c r="I613">
        <f t="shared" si="103"/>
        <v>0.21428571428571427</v>
      </c>
      <c r="J613">
        <f t="shared" si="104"/>
        <v>0.40004076502360969</v>
      </c>
      <c r="K613">
        <f t="shared" si="109"/>
        <v>0.46726190476190471</v>
      </c>
      <c r="L613">
        <f t="shared" si="105"/>
        <v>1</v>
      </c>
      <c r="M613">
        <f t="shared" si="106"/>
        <v>0.21428571428571427</v>
      </c>
      <c r="N613">
        <f t="shared" si="107"/>
        <v>0</v>
      </c>
      <c r="O613">
        <f t="shared" si="108"/>
        <v>7.1428571428571425E-2</v>
      </c>
      <c r="P613">
        <f>IFERROR(LN('Дивиденды по годам'!I613),"")</f>
        <v>27.964631002789595</v>
      </c>
      <c r="Q613">
        <f>IFERROR('Дивиденды по годам'!G613/'Дивиденды по годам'!I613, "")</f>
        <v>0.25913446937662765</v>
      </c>
      <c r="R613">
        <f>IFERROR(IF(AND('Дивиденды по годам'!N613&lt;&gt;"",'Дивиденды по годам'!U613&lt;&gt;"",'Дивиденды по годам'!U613&lt;&gt;0),'Дивиденды по годам'!N613/'Дивиденды по годам'!U613-1,""),"")</f>
        <v>0.26718554886902846</v>
      </c>
      <c r="S613">
        <f>IFERROR(IF(AND('Дивиденды по годам'!L613&lt;&gt;"",'Дивиденды по годам'!I613&lt;&gt;"",'Дивиденды по годам'!J613&lt;&gt;"",'Дивиденды по годам'!K613&lt;&gt;"",('Дивиденды по годам'!I613-'Дивиденды по годам'!J613-'Дивиденды по годам'!K613)&lt;&gt;0),'Дивиденды по годам'!L613/('Дивиденды по годам'!I613-'Дивиденды по годам'!J613-'Дивиденды по годам'!K613),""),"")</f>
        <v>0.63988246557430473</v>
      </c>
      <c r="T613">
        <f>IFERROR(IF(AND('Дивиденды по годам'!Q613&lt;&gt;"",'Дивиденды по годам'!I613&lt;&gt;"",'Дивиденды по годам'!V613&lt;&gt;"",('Дивиденды по годам'!I613+'Дивиденды по годам'!V613)&lt;&gt;0),'Дивиденды по годам'!Q613/(('Дивиденды по годам'!I613+'Дивиденды по годам'!V613)/2),""),"")</f>
        <v>2.1441671884325691E-2</v>
      </c>
      <c r="U613">
        <f>IFERROR(IF(AND('Дивиденды по годам'!J613&lt;&gt;"",'Дивиденды по годам'!K613&lt;&gt;"",'Дивиденды по годам'!M613&lt;&gt;"",'Дивиденды по годам'!M613&lt;&gt;0),('Дивиденды по годам'!J613+'Дивиденды по годам'!K613)/'Дивиденды по годам'!M613,""),"")</f>
        <v>5.7315215091833487</v>
      </c>
      <c r="V613">
        <f>IFERROR(IF(AND('Дивиденды по годам'!J613&lt;&gt;"",'Дивиденды по годам'!K613&lt;&gt;"",'Дивиденды по годам'!M613&lt;&gt;"",'Дивиденды по годам'!I613&lt;&gt;0),('Дивиденды по годам'!J613+'Дивиденды по годам'!K613)/'Дивиденды по годам'!I613,""),"")</f>
        <v>0.85144517496738747</v>
      </c>
      <c r="W613">
        <f>IFERROR('Дивиденды по годам'!I613,"")</f>
        <v>1395998440000</v>
      </c>
      <c r="X613" cm="1">
        <f t="array" ref="X613">IFERROR(AVERAGE(_xlfn._xlws.FILTER(P$2:P$1073,($C$2:$C$1073=$C613)*($E$2:$E$1073=$E613)*(ROW(P$2:P$1073)&lt;&gt;ROW(P613))*(P$2:P$1073&lt;&gt;""))),"")</f>
        <v>25.042638239611488</v>
      </c>
      <c r="Y613" cm="1">
        <f t="array" ref="Y613">IFERROR(AVERAGE(_xlfn._xlws.FILTER(Q$2:Q$1073,($C$2:$C$1073=$C613)*($E$2:$E$1073=$E613)*(ROW(Q$2:Q$1073)&lt;&gt;ROW(Q613))*(Q$2:Q$1073&lt;&gt;""))),"")</f>
        <v>0.24736665482399189</v>
      </c>
      <c r="Z613" cm="1">
        <f t="array" ref="Z613">IFERROR(AVERAGE(_xlfn._xlws.FILTER(R$2:R$1073,($C$2:$C$1073=$C613)*($E$2:$E$1073=$E613)*(ROW(R$2:R$1073)&lt;&gt;ROW(R613))*(R$2:R$1073&lt;&gt;""))),"")</f>
        <v>0.1994941251633672</v>
      </c>
      <c r="AA613" cm="1">
        <f t="array" ref="AA613">IFERROR(AVERAGE(_xlfn._xlws.FILTER(S$2:S$1073,($C$2:$C$1073=$C613)*($E$2:$E$1073=$E613)*(ROW(S$2:S$1073)&lt;&gt;ROW(S613))*(S$2:S$1073&lt;&gt;""))),"")</f>
        <v>1.395182973800444</v>
      </c>
      <c r="AB613" cm="1">
        <f t="array" ref="AB613">IFERROR(AVERAGE(_xlfn._xlws.FILTER(T$2:T$1073,($C$2:$C$1073=$C613)*($E$2:$E$1073=$E613)*(ROW(T$2:T$1073)&lt;&gt;ROW(T613))*(T$2:T$1073&lt;&gt;""))),"")</f>
        <v>0.10803290955641084</v>
      </c>
      <c r="AC613" cm="1">
        <f t="array" ref="AC613">IFERROR(AVERAGE(_xlfn._xlws.FILTER(U$2:U$1073,($C$2:$C$1073=$C613)*($E$2:$E$1073=$E613)*(ROW(U$2:U$1073)&lt;&gt;ROW(U613))*(U$2:U$1073&lt;&gt;""))),"")</f>
        <v>1.8769736775627817</v>
      </c>
      <c r="AD613" cm="1">
        <f t="array" ref="AD613">IFERROR(AVERAGE(_xlfn._xlws.FILTER(V$2:V$1073,($C$2:$C$1073=$C613)*($E$2:$E$1073=$E613)*(ROW(V$2:V$1073)&lt;&gt;ROW(V613))*(V$2:V$1073&lt;&gt;""))),"")</f>
        <v>0.70688208065580216</v>
      </c>
      <c r="AE613">
        <f>IF('Дивиденды по годам'!M613&lt;0,1,0)</f>
        <v>0</v>
      </c>
    </row>
    <row r="614" spans="1:31" x14ac:dyDescent="0.2">
      <c r="A614" s="7" t="s">
        <v>2255</v>
      </c>
      <c r="B614" t="str">
        <f t="shared" si="99"/>
        <v>MGNT IV кв. 2021</v>
      </c>
      <c r="C614">
        <v>2021</v>
      </c>
      <c r="D614">
        <f>SUMIFS(Дивиденды!$C:$C,Дивиденды!$A:$A,A614,Дивиденды!$I:$I,C614)</f>
        <v>294.37</v>
      </c>
      <c r="E614">
        <v>4</v>
      </c>
      <c r="F614">
        <f t="shared" si="100"/>
        <v>294.37</v>
      </c>
      <c r="G614">
        <f t="shared" si="101"/>
        <v>10.905000000000001</v>
      </c>
      <c r="H614">
        <f t="shared" si="102"/>
        <v>1</v>
      </c>
      <c r="I614">
        <f t="shared" si="103"/>
        <v>0.21428571428571427</v>
      </c>
      <c r="J614">
        <f t="shared" si="104"/>
        <v>-0.40000407647466468</v>
      </c>
      <c r="K614">
        <f t="shared" si="109"/>
        <v>0.22607338017174081</v>
      </c>
      <c r="L614">
        <f t="shared" si="105"/>
        <v>0</v>
      </c>
      <c r="M614">
        <f t="shared" si="106"/>
        <v>0.21428571428571427</v>
      </c>
      <c r="N614">
        <f t="shared" si="107"/>
        <v>1</v>
      </c>
      <c r="O614">
        <f t="shared" si="108"/>
        <v>0</v>
      </c>
      <c r="P614">
        <f>IFERROR(LN('Дивиденды по годам'!I614),"")</f>
        <v>27.821181560701671</v>
      </c>
      <c r="Q614">
        <f>IFERROR('Дивиденды по годам'!G614/'Дивиденды по годам'!I614, "")</f>
        <v>0.31196374955320261</v>
      </c>
      <c r="R614">
        <f>IFERROR(IF(AND('Дивиденды по годам'!N614&lt;&gt;"",'Дивиденды по годам'!U614&lt;&gt;"",'Дивиденды по годам'!U614&lt;&gt;0),'Дивиденды по годам'!N614/'Дивиденды по годам'!U614-1,""),"")</f>
        <v>0.19455914890601345</v>
      </c>
      <c r="S614">
        <f>IFERROR(IF(AND('Дивиденды по годам'!L614&lt;&gt;"",'Дивиденды по годам'!I614&lt;&gt;"",'Дивиденды по годам'!J614&lt;&gt;"",'Дивиденды по годам'!K614&lt;&gt;"",('Дивиденды по годам'!I614-'Дивиденды по годам'!J614-'Дивиденды по годам'!K614)&lt;&gt;0),'Дивиденды по годам'!L614/('Дивиденды по годам'!I614-'Дивиденды по годам'!J614-'Дивиденды по годам'!K614),""),"")</f>
        <v>0.58556898725117346</v>
      </c>
      <c r="T614">
        <f>IFERROR(IF(AND('Дивиденды по годам'!Q614&lt;&gt;"",'Дивиденды по годам'!I614&lt;&gt;"",'Дивиденды по годам'!V614&lt;&gt;"",('Дивиденды по годам'!I614+'Дивиденды по годам'!V614)&lt;&gt;0),'Дивиденды по годам'!Q614/(('Дивиденды по годам'!I614+'Дивиденды по годам'!V614)/2),""),"")</f>
        <v>4.4649212876442426E-2</v>
      </c>
      <c r="U614">
        <f>IFERROR(IF(AND('Дивиденды по годам'!J614&lt;&gt;"",'Дивиденды по годам'!K614&lt;&gt;"",'Дивиденды по годам'!M614&lt;&gt;"",'Дивиденды по годам'!M614&lt;&gt;0),('Дивиденды по годам'!J614+'Дивиденды по годам'!K614)/'Дивиденды по годам'!M614,""),"")</f>
        <v>5.7572278205225027</v>
      </c>
      <c r="V614">
        <f>IFERROR(IF(AND('Дивиденды по годам'!J614&lt;&gt;"",'Дивиденды по годам'!K614&lt;&gt;"",'Дивиденды по годам'!M614&lt;&gt;"",'Дивиденды по годам'!I614&lt;&gt;0),('Дивиденды по годам'!J614+'Дивиденды по годам'!K614)/'Дивиденды по годам'!I614,""),"")</f>
        <v>0.85201031746141798</v>
      </c>
      <c r="W614">
        <f>IFERROR('Дивиденды по годам'!I614,"")</f>
        <v>1209443631000</v>
      </c>
      <c r="X614" cm="1">
        <f t="array" ref="X614">IFERROR(AVERAGE(_xlfn._xlws.FILTER(P$2:P$1073,($C$2:$C$1073=$C614)*($E$2:$E$1073=$E614)*(ROW(P$2:P$1073)&lt;&gt;ROW(P614))*(P$2:P$1073&lt;&gt;""))),"")</f>
        <v>24.968535907520359</v>
      </c>
      <c r="Y614" cm="1">
        <f t="array" ref="Y614">IFERROR(AVERAGE(_xlfn._xlws.FILTER(Q$2:Q$1073,($C$2:$C$1073=$C614)*($E$2:$E$1073=$E614)*(ROW(Q$2:Q$1073)&lt;&gt;ROW(Q614))*(Q$2:Q$1073&lt;&gt;""))),"")</f>
        <v>0.22886724127284377</v>
      </c>
      <c r="Z614" cm="1">
        <f t="array" ref="Z614">IFERROR(AVERAGE(_xlfn._xlws.FILTER(R$2:R$1073,($C$2:$C$1073=$C614)*($E$2:$E$1073=$E614)*(ROW(R$2:R$1073)&lt;&gt;ROW(R614))*(R$2:R$1073&lt;&gt;""))),"")</f>
        <v>0.33299046845053021</v>
      </c>
      <c r="AA614" cm="1">
        <f t="array" ref="AA614">IFERROR(AVERAGE(_xlfn._xlws.FILTER(S$2:S$1073,($C$2:$C$1073=$C614)*($E$2:$E$1073=$E614)*(ROW(S$2:S$1073)&lt;&gt;ROW(S614))*(S$2:S$1073&lt;&gt;""))),"")</f>
        <v>1.3835565703396595</v>
      </c>
      <c r="AB614" cm="1">
        <f t="array" ref="AB614">IFERROR(AVERAGE(_xlfn._xlws.FILTER(T$2:T$1073,($C$2:$C$1073=$C614)*($E$2:$E$1073=$E614)*(ROW(T$2:T$1073)&lt;&gt;ROW(T614))*(T$2:T$1073&lt;&gt;""))),"")</f>
        <v>0.10961312028188273</v>
      </c>
      <c r="AC614" cm="1">
        <f t="array" ref="AC614">IFERROR(AVERAGE(_xlfn._xlws.FILTER(U$2:U$1073,($C$2:$C$1073=$C614)*($E$2:$E$1073=$E614)*(ROW(U$2:U$1073)&lt;&gt;ROW(U614))*(U$2:U$1073&lt;&gt;""))),"")</f>
        <v>17.868748697575985</v>
      </c>
      <c r="AD614" cm="1">
        <f t="array" ref="AD614">IFERROR(AVERAGE(_xlfn._xlws.FILTER(V$2:V$1073,($C$2:$C$1073=$C614)*($E$2:$E$1073=$E614)*(ROW(V$2:V$1073)&lt;&gt;ROW(V614))*(V$2:V$1073&lt;&gt;""))),"")</f>
        <v>0.7661455527075226</v>
      </c>
      <c r="AE614">
        <f>IF('Дивиденды по годам'!M614&lt;0,1,0)</f>
        <v>0</v>
      </c>
    </row>
    <row r="615" spans="1:31" x14ac:dyDescent="0.2">
      <c r="A615" s="7" t="s">
        <v>2255</v>
      </c>
      <c r="B615" t="str">
        <f t="shared" si="99"/>
        <v>MGNT IV кв. 2020</v>
      </c>
      <c r="C615">
        <v>2020</v>
      </c>
      <c r="D615">
        <f>SUMIFS(Дивиденды!$C:$C,Дивиденды!$A:$A,A615,Дивиденды!$I:$I,C615)</f>
        <v>490.62</v>
      </c>
      <c r="E615">
        <v>4</v>
      </c>
      <c r="F615">
        <f t="shared" si="100"/>
        <v>490.62</v>
      </c>
      <c r="G615">
        <f t="shared" si="101"/>
        <v>8.2492857142857137</v>
      </c>
      <c r="H615">
        <f t="shared" si="102"/>
        <v>1</v>
      </c>
      <c r="I615">
        <f t="shared" si="103"/>
        <v>0.21428571428571427</v>
      </c>
      <c r="J615">
        <f t="shared" si="104"/>
        <v>0.61287353298925018</v>
      </c>
      <c r="K615">
        <f t="shared" si="109"/>
        <v>0.22453949112112379</v>
      </c>
      <c r="L615">
        <f t="shared" si="105"/>
        <v>1</v>
      </c>
      <c r="M615">
        <f t="shared" si="106"/>
        <v>0.21428571428571427</v>
      </c>
      <c r="N615">
        <f t="shared" si="107"/>
        <v>0</v>
      </c>
      <c r="O615">
        <f t="shared" si="108"/>
        <v>0</v>
      </c>
      <c r="P615">
        <f>IFERROR(LN('Дивиденды по годам'!I615),"")</f>
        <v>27.574865711142095</v>
      </c>
      <c r="Q615">
        <f>IFERROR('Дивиденды по годам'!G615/'Дивиденды по годам'!I615, "")</f>
        <v>0.35595104535905175</v>
      </c>
      <c r="R615">
        <f>IFERROR(IF(AND('Дивиденды по годам'!N615&lt;&gt;"",'Дивиденды по годам'!U615&lt;&gt;"",'Дивиденды по годам'!U615&lt;&gt;0),'Дивиденды по годам'!N615/'Дивиденды по годам'!U615-1,""),"")</f>
        <v>0.13521679523679886</v>
      </c>
      <c r="S615">
        <f>IFERROR(IF(AND('Дивиденды по годам'!L615&lt;&gt;"",'Дивиденды по годам'!I615&lt;&gt;"",'Дивиденды по годам'!J615&lt;&gt;"",'Дивиденды по годам'!K615&lt;&gt;"",('Дивиденды по годам'!I615-'Дивиденды по годам'!J615-'Дивиденды по годам'!K615)&lt;&gt;0),'Дивиденды по годам'!L615/('Дивиденды по годам'!I615-'Дивиденды по годам'!J615-'Дивиденды по годам'!K615),""),"")</f>
        <v>0.59852316152289242</v>
      </c>
      <c r="T615">
        <f>IFERROR(IF(AND('Дивиденды по годам'!Q615&lt;&gt;"",'Дивиденды по годам'!I615&lt;&gt;"",'Дивиденды по годам'!V615&lt;&gt;"",('Дивиденды по годам'!I615+'Дивиденды по годам'!V615)&lt;&gt;0),'Дивиденды по годам'!Q615/(('Дивиденды по годам'!I615+'Дивиденды по годам'!V615)/2),""),"")</f>
        <v>3.4838301831092933E-2</v>
      </c>
      <c r="U615">
        <f>IFERROR(IF(AND('Дивиденды по годам'!J615&lt;&gt;"",'Дивиденды по годам'!K615&lt;&gt;"",'Дивиденды по годам'!M615&lt;&gt;"",'Дивиденды по годам'!M615&lt;&gt;0),('Дивиденды по годам'!J615+'Дивиденды по годам'!K615)/'Дивиденды по годам'!M615,""),"")</f>
        <v>4.1692152008068026</v>
      </c>
      <c r="V615">
        <f>IFERROR(IF(AND('Дивиденды по годам'!J615&lt;&gt;"",'Дивиденды по годам'!K615&lt;&gt;"",'Дивиденды по годам'!M615&lt;&gt;"",'Дивиденды по годам'!I615&lt;&gt;0),('Дивиденды по годам'!J615+'Дивиденды по годам'!K615)/'Дивиденды по годам'!I615,""),"")</f>
        <v>0.80654703641591052</v>
      </c>
      <c r="W615">
        <f>IFERROR('Дивиденды по годам'!I615,"")</f>
        <v>945392206000</v>
      </c>
      <c r="X615" cm="1">
        <f t="array" ref="X615">IFERROR(AVERAGE(_xlfn._xlws.FILTER(P$2:P$1073,($C$2:$C$1073=$C615)*($E$2:$E$1073=$E615)*(ROW(P$2:P$1073)&lt;&gt;ROW(P615))*(P$2:P$1073&lt;&gt;""))),"")</f>
        <v>24.992422807518068</v>
      </c>
      <c r="Y615" cm="1">
        <f t="array" ref="Y615">IFERROR(AVERAGE(_xlfn._xlws.FILTER(Q$2:Q$1073,($C$2:$C$1073=$C615)*($E$2:$E$1073=$E615)*(ROW(Q$2:Q$1073)&lt;&gt;ROW(Q615))*(Q$2:Q$1073&lt;&gt;""))),"")</f>
        <v>0.24976958017636172</v>
      </c>
      <c r="Z615" cm="1">
        <f t="array" ref="Z615">IFERROR(AVERAGE(_xlfn._xlws.FILTER(R$2:R$1073,($C$2:$C$1073=$C615)*($E$2:$E$1073=$E615)*(ROW(R$2:R$1073)&lt;&gt;ROW(R615))*(R$2:R$1073&lt;&gt;""))),"")</f>
        <v>9.2032112497821172E-2</v>
      </c>
      <c r="AA615" cm="1">
        <f t="array" ref="AA615">IFERROR(AVERAGE(_xlfn._xlws.FILTER(S$2:S$1073,($C$2:$C$1073=$C615)*($E$2:$E$1073=$E615)*(ROW(S$2:S$1073)&lt;&gt;ROW(S615))*(S$2:S$1073&lt;&gt;""))),"")</f>
        <v>1.8601574443339013</v>
      </c>
      <c r="AB615" cm="1">
        <f t="array" ref="AB615">IFERROR(AVERAGE(_xlfn._xlws.FILTER(T$2:T$1073,($C$2:$C$1073=$C615)*($E$2:$E$1073=$E615)*(ROW(T$2:T$1073)&lt;&gt;ROW(T615))*(T$2:T$1073&lt;&gt;""))),"")</f>
        <v>7.1562596388215619E-2</v>
      </c>
      <c r="AC615" cm="1">
        <f t="array" ref="AC615">IFERROR(AVERAGE(_xlfn._xlws.FILTER(U$2:U$1073,($C$2:$C$1073=$C615)*($E$2:$E$1073=$E615)*(ROW(U$2:U$1073)&lt;&gt;ROW(U615))*(U$2:U$1073&lt;&gt;""))),"")</f>
        <v>-12.098910809597083</v>
      </c>
      <c r="AD615" cm="1">
        <f t="array" ref="AD615">IFERROR(AVERAGE(_xlfn._xlws.FILTER(V$2:V$1073,($C$2:$C$1073=$C615)*($E$2:$E$1073=$E615)*(ROW(V$2:V$1073)&lt;&gt;ROW(V615))*(V$2:V$1073&lt;&gt;""))),"")</f>
        <v>0.77466393462203009</v>
      </c>
      <c r="AE615">
        <f>IF('Дивиденды по годам'!M615&lt;0,1,0)</f>
        <v>0</v>
      </c>
    </row>
    <row r="616" spans="1:31" x14ac:dyDescent="0.2">
      <c r="A616" s="7" t="s">
        <v>2255</v>
      </c>
      <c r="B616" t="str">
        <f t="shared" si="99"/>
        <v>MGNT IV кв. 2019</v>
      </c>
      <c r="C616">
        <v>2019</v>
      </c>
      <c r="D616">
        <f>SUMIFS(Дивиденды!$C:$C,Дивиденды!$A:$A,A616,Дивиденды!$I:$I,C616)</f>
        <v>304.19</v>
      </c>
      <c r="E616">
        <v>4</v>
      </c>
      <c r="F616">
        <f t="shared" si="100"/>
        <v>304.19</v>
      </c>
      <c r="G616">
        <f t="shared" si="101"/>
        <v>2.6707142857142858</v>
      </c>
      <c r="H616">
        <f t="shared" si="102"/>
        <v>1</v>
      </c>
      <c r="I616">
        <f t="shared" si="103"/>
        <v>0.14285714285714285</v>
      </c>
      <c r="J616">
        <f t="shared" si="104"/>
        <v>9.8632298790207664E-5</v>
      </c>
      <c r="K616">
        <f t="shared" si="109"/>
        <v>0.10875706214689264</v>
      </c>
      <c r="L616">
        <f t="shared" si="105"/>
        <v>1</v>
      </c>
      <c r="M616">
        <f t="shared" si="106"/>
        <v>0.14285714285714285</v>
      </c>
      <c r="N616">
        <f t="shared" si="107"/>
        <v>0</v>
      </c>
      <c r="O616">
        <f t="shared" si="108"/>
        <v>0</v>
      </c>
      <c r="P616">
        <f>IFERROR(LN('Дивиденды по годам'!I616),"")</f>
        <v>27.578347208933856</v>
      </c>
      <c r="Q616">
        <f>IFERROR('Дивиденды по годам'!G616/'Дивиденды по годам'!I616, "")</f>
        <v>0.37207753733726801</v>
      </c>
      <c r="R616">
        <f>IFERROR(IF(AND('Дивиденды по годам'!N616&lt;&gt;"",'Дивиденды по годам'!U616&lt;&gt;"",'Дивиденды по годам'!U616&lt;&gt;0),'Дивиденды по годам'!N616/'Дивиденды по годам'!U616-1,""),"")</f>
        <v>0.10645779424565438</v>
      </c>
      <c r="S616">
        <f>IFERROR(IF(AND('Дивиденды по годам'!L616&lt;&gt;"",'Дивиденды по годам'!I616&lt;&gt;"",'Дивиденды по годам'!J616&lt;&gt;"",'Дивиденды по годам'!K616&lt;&gt;"",('Дивиденды по годам'!I616-'Дивиденды по годам'!J616-'Дивиденды по годам'!K616)&lt;&gt;0),'Дивиденды по годам'!L616/('Дивиденды по годам'!I616-'Дивиденды по годам'!J616-'Дивиденды по годам'!K616),""),"")</f>
        <v>0.6151885189343671</v>
      </c>
      <c r="T616">
        <f>IFERROR(IF(AND('Дивиденды по годам'!Q616&lt;&gt;"",'Дивиденды по годам'!I616&lt;&gt;"",'Дивиденды по годам'!V616&lt;&gt;"",('Дивиденды по годам'!I616+'Дивиденды по годам'!V616)&lt;&gt;0),'Дивиденды по годам'!Q616/(('Дивиденды по годам'!I616+'Дивиденды по годам'!V616)/2),""),"")</f>
        <v>1.225964610955891E-2</v>
      </c>
      <c r="U616">
        <f>IFERROR(IF(AND('Дивиденды по годам'!J616&lt;&gt;"",'Дивиденды по годам'!K616&lt;&gt;"",'Дивиденды по годам'!M616&lt;&gt;"",'Дивиденды по годам'!M616&lt;&gt;0),('Дивиденды по годам'!J616+'Дивиденды по годам'!K616)/'Дивиденды по годам'!M616,""),"")</f>
        <v>4.0319586702395407</v>
      </c>
      <c r="V616">
        <f>IFERROR(IF(AND('Дивиденды по годам'!J616&lt;&gt;"",'Дивиденды по годам'!K616&lt;&gt;"",'Дивиденды по годам'!M616&lt;&gt;"",'Дивиденды по годам'!I616&lt;&gt;0),('Дивиденды по годам'!J616+'Дивиденды по годам'!K616)/'Дивиденды по годам'!I616,""),"")</f>
        <v>0.8012702278509779</v>
      </c>
      <c r="W616">
        <f>IFERROR('Дивиденды по годам'!I616,"")</f>
        <v>948689323000</v>
      </c>
      <c r="X616" cm="1">
        <f t="array" ref="X616">IFERROR(AVERAGE(_xlfn._xlws.FILTER(P$2:P$1073,($C$2:$C$1073=$C616)*($E$2:$E$1073=$E616)*(ROW(P$2:P$1073)&lt;&gt;ROW(P616))*(P$2:P$1073&lt;&gt;""))),"")</f>
        <v>24.808257956777886</v>
      </c>
      <c r="Y616" cm="1">
        <f t="array" ref="Y616">IFERROR(AVERAGE(_xlfn._xlws.FILTER(Q$2:Q$1073,($C$2:$C$1073=$C616)*($E$2:$E$1073=$E616)*(ROW(Q$2:Q$1073)&lt;&gt;ROW(Q616))*(Q$2:Q$1073&lt;&gt;""))),"")</f>
        <v>0.25815664015043743</v>
      </c>
      <c r="Z616" cm="1">
        <f t="array" ref="Z616">IFERROR(AVERAGE(_xlfn._xlws.FILTER(R$2:R$1073,($C$2:$C$1073=$C616)*($E$2:$E$1073=$E616)*(ROW(R$2:R$1073)&lt;&gt;ROW(R616))*(R$2:R$1073&lt;&gt;""))),"")</f>
        <v>0.46357103666312011</v>
      </c>
      <c r="AA616" cm="1">
        <f t="array" ref="AA616">IFERROR(AVERAGE(_xlfn._xlws.FILTER(S$2:S$1073,($C$2:$C$1073=$C616)*($E$2:$E$1073=$E616)*(ROW(S$2:S$1073)&lt;&gt;ROW(S616))*(S$2:S$1073&lt;&gt;""))),"")</f>
        <v>0.93230698515818256</v>
      </c>
      <c r="AB616" cm="1">
        <f t="array" ref="AB616">IFERROR(AVERAGE(_xlfn._xlws.FILTER(T$2:T$1073,($C$2:$C$1073=$C616)*($E$2:$E$1073=$E616)*(ROW(T$2:T$1073)&lt;&gt;ROW(T616))*(T$2:T$1073&lt;&gt;""))),"")</f>
        <v>5.4516084644156644E-2</v>
      </c>
      <c r="AC616" cm="1">
        <f t="array" ref="AC616">IFERROR(AVERAGE(_xlfn._xlws.FILTER(U$2:U$1073,($C$2:$C$1073=$C616)*($E$2:$E$1073=$E616)*(ROW(U$2:U$1073)&lt;&gt;ROW(U616))*(U$2:U$1073&lt;&gt;""))),"")</f>
        <v>-3.4788561764913828</v>
      </c>
      <c r="AD616" cm="1">
        <f t="array" ref="AD616">IFERROR(AVERAGE(_xlfn._xlws.FILTER(V$2:V$1073,($C$2:$C$1073=$C616)*($E$2:$E$1073=$E616)*(ROW(V$2:V$1073)&lt;&gt;ROW(V616))*(V$2:V$1073&lt;&gt;""))),"")</f>
        <v>0.81490635057184946</v>
      </c>
      <c r="AE616">
        <f>IF('Дивиденды по годам'!M616&lt;0,1,0)</f>
        <v>0</v>
      </c>
    </row>
    <row r="617" spans="1:31" x14ac:dyDescent="0.2">
      <c r="A617" s="7" t="s">
        <v>2255</v>
      </c>
      <c r="B617" t="str">
        <f t="shared" si="99"/>
        <v>MGNT IV кв. 2018</v>
      </c>
      <c r="C617">
        <v>2018</v>
      </c>
      <c r="D617">
        <f>SUMIFS(Дивиденды!$C:$C,Дивиденды!$A:$A,A617,Дивиденды!$I:$I,C617)</f>
        <v>304.15999999999997</v>
      </c>
      <c r="E617">
        <v>4</v>
      </c>
      <c r="F617">
        <f t="shared" si="100"/>
        <v>304.15999999999997</v>
      </c>
      <c r="G617">
        <f t="shared" si="101"/>
        <v>0.25285714285714284</v>
      </c>
      <c r="H617">
        <f t="shared" si="102"/>
        <v>1</v>
      </c>
      <c r="I617">
        <f t="shared" si="103"/>
        <v>7.1428571428571425E-2</v>
      </c>
      <c r="J617">
        <f t="shared" si="104"/>
        <v>0.21174455200987999</v>
      </c>
      <c r="K617">
        <f t="shared" si="109"/>
        <v>-3.3347676419965576E-2</v>
      </c>
      <c r="L617">
        <f t="shared" si="105"/>
        <v>1</v>
      </c>
      <c r="M617">
        <f t="shared" si="106"/>
        <v>0</v>
      </c>
      <c r="N617">
        <f t="shared" si="107"/>
        <v>0</v>
      </c>
      <c r="O617">
        <f t="shared" si="108"/>
        <v>7.1428571428571425E-2</v>
      </c>
      <c r="P617">
        <f>IFERROR(LN('Дивиденды по годам'!I617),"")</f>
        <v>27.13932418162933</v>
      </c>
      <c r="Q617">
        <f>IFERROR('Дивиденды по годам'!G617/'Дивиденды по годам'!I617, "")</f>
        <v>0.57282293659773131</v>
      </c>
      <c r="R617">
        <f>IFERROR(IF(AND('Дивиденды по годам'!N617&lt;&gt;"",'Дивиденды по годам'!U617&lt;&gt;"",'Дивиденды по годам'!U617&lt;&gt;0),'Дивиденды по годам'!N617/'Дивиденды по годам'!U617-1,""),"")</f>
        <v>8.2698751015428895E-2</v>
      </c>
      <c r="S617">
        <f>IFERROR(IF(AND('Дивиденды по годам'!L617&lt;&gt;"",'Дивиденды по годам'!I617&lt;&gt;"",'Дивиденды по годам'!J617&lt;&gt;"",'Дивиденды по годам'!K617&lt;&gt;"",('Дивиденды по годам'!I617-'Дивиденды по годам'!J617-'Дивиденды по годам'!K617)&lt;&gt;0),'Дивиденды по годам'!L617/('Дивиденды по годам'!I617-'Дивиденды по годам'!J617-'Дивиденды по годам'!K617),""),"")</f>
        <v>0.70309618240511385</v>
      </c>
      <c r="T617">
        <f>IFERROR(IF(AND('Дивиденды по годам'!Q617&lt;&gt;"",'Дивиденды по годам'!I617&lt;&gt;"",'Дивиденды по годам'!V617&lt;&gt;"",('Дивиденды по годам'!I617+'Дивиденды по годам'!V617)&lt;&gt;0),'Дивиденды по годам'!Q617/(('Дивиденды по годам'!I617+'Дивиденды по годам'!V617)/2),""),"")</f>
        <v>5.9181731491368066E-2</v>
      </c>
      <c r="U617">
        <f>IFERROR(IF(AND('Дивиденды по годам'!J617&lt;&gt;"",'Дивиденды по годам'!K617&lt;&gt;"",'Дивиденды по годам'!M617&lt;&gt;"",'Дивиденды по годам'!M617&lt;&gt;0),('Дивиденды по годам'!J617+'Дивиденды по годам'!K617)/'Дивиденды по годам'!M617,""),"")</f>
        <v>1.414442383630506</v>
      </c>
      <c r="V617">
        <f>IFERROR(IF(AND('Дивиденды по годам'!J617&lt;&gt;"",'Дивиденды по годам'!K617&lt;&gt;"",'Дивиденды по годам'!M617&lt;&gt;"",'Дивиденды по годам'!I617&lt;&gt;0),('Дивиденды по годам'!J617+'Дивиденды по годам'!K617)/'Дивиденды по годам'!I617,""),"")</f>
        <v>0.58582569342725932</v>
      </c>
      <c r="W617">
        <f>IFERROR('Дивиденды по годам'!I617,"")</f>
        <v>611587689000</v>
      </c>
      <c r="X617" cm="1">
        <f t="array" ref="X617">IFERROR(AVERAGE(_xlfn._xlws.FILTER(P$2:P$1073,($C$2:$C$1073=$C617)*($E$2:$E$1073=$E617)*(ROW(P$2:P$1073)&lt;&gt;ROW(P617))*(P$2:P$1073&lt;&gt;""))),"")</f>
        <v>24.536428458307672</v>
      </c>
      <c r="Y617" cm="1">
        <f t="array" ref="Y617">IFERROR(AVERAGE(_xlfn._xlws.FILTER(Q$2:Q$1073,($C$2:$C$1073=$C617)*($E$2:$E$1073=$E617)*(ROW(Q$2:Q$1073)&lt;&gt;ROW(Q617))*(Q$2:Q$1073&lt;&gt;""))),"")</f>
        <v>0.27354556155486448</v>
      </c>
      <c r="Z617" cm="1">
        <f t="array" ref="Z617">IFERROR(AVERAGE(_xlfn._xlws.FILTER(R$2:R$1073,($C$2:$C$1073=$C617)*($E$2:$E$1073=$E617)*(ROW(R$2:R$1073)&lt;&gt;ROW(R617))*(R$2:R$1073&lt;&gt;""))),"")</f>
        <v>5.2294878023062465E-2</v>
      </c>
      <c r="AA617" cm="1">
        <f t="array" ref="AA617">IFERROR(AVERAGE(_xlfn._xlws.FILTER(S$2:S$1073,($C$2:$C$1073=$C617)*($E$2:$E$1073=$E617)*(ROW(S$2:S$1073)&lt;&gt;ROW(S617))*(S$2:S$1073&lt;&gt;""))),"")</f>
        <v>0.63447322321589417</v>
      </c>
      <c r="AB617" cm="1">
        <f t="array" ref="AB617">IFERROR(AVERAGE(_xlfn._xlws.FILTER(T$2:T$1073,($C$2:$C$1073=$C617)*($E$2:$E$1073=$E617)*(ROW(T$2:T$1073)&lt;&gt;ROW(T617))*(T$2:T$1073&lt;&gt;""))),"")</f>
        <v>-1.5314260547880526E-3</v>
      </c>
      <c r="AC617" cm="1">
        <f t="array" ref="AC617">IFERROR(AVERAGE(_xlfn._xlws.FILTER(U$2:U$1073,($C$2:$C$1073=$C617)*($E$2:$E$1073=$E617)*(ROW(U$2:U$1073)&lt;&gt;ROW(U617))*(U$2:U$1073&lt;&gt;""))),"")</f>
        <v>1.0205045324531758</v>
      </c>
      <c r="AD617" cm="1">
        <f t="array" ref="AD617">IFERROR(AVERAGE(_xlfn._xlws.FILTER(V$2:V$1073,($C$2:$C$1073=$C617)*($E$2:$E$1073=$E617)*(ROW(V$2:V$1073)&lt;&gt;ROW(V617))*(V$2:V$1073&lt;&gt;""))),"")</f>
        <v>0.85466998716760234</v>
      </c>
      <c r="AE617">
        <f>IF('Дивиденды по годам'!M617&lt;0,1,0)</f>
        <v>0</v>
      </c>
    </row>
    <row r="618" spans="1:31" x14ac:dyDescent="0.2">
      <c r="A618" s="7" t="s">
        <v>2255</v>
      </c>
      <c r="B618" t="str">
        <f t="shared" si="99"/>
        <v>MGNT IV кв. 2017</v>
      </c>
      <c r="C618">
        <v>2017</v>
      </c>
      <c r="D618">
        <f>SUMIFS(Дивиденды!$C:$C,Дивиденды!$A:$A,A618,Дивиденды!$I:$I,C618)</f>
        <v>251.01</v>
      </c>
      <c r="E618">
        <v>4</v>
      </c>
      <c r="F618">
        <f t="shared" si="100"/>
        <v>251.01</v>
      </c>
      <c r="G618">
        <f t="shared" si="101"/>
        <v>0.47428571428571425</v>
      </c>
      <c r="H618">
        <f t="shared" si="102"/>
        <v>1</v>
      </c>
      <c r="I618">
        <f t="shared" si="103"/>
        <v>7.1428571428571425E-2</v>
      </c>
      <c r="J618">
        <f t="shared" si="104"/>
        <v>-9.7508359400280464E-2</v>
      </c>
      <c r="K618">
        <f t="shared" si="109"/>
        <v>-1.0387938959367531E-2</v>
      </c>
      <c r="L618">
        <f t="shared" si="105"/>
        <v>0</v>
      </c>
      <c r="M618">
        <f t="shared" si="106"/>
        <v>0</v>
      </c>
      <c r="N618">
        <f t="shared" si="107"/>
        <v>1</v>
      </c>
      <c r="O618">
        <f t="shared" si="108"/>
        <v>7.1428571428571425E-2</v>
      </c>
      <c r="P618">
        <f>IFERROR(LN('Дивиденды по годам'!I618),"")</f>
        <v>27.001481821349639</v>
      </c>
      <c r="Q618">
        <f>IFERROR('Дивиденды по годам'!G618/'Дивиденды по годам'!I618, "")</f>
        <v>0.62665978372127973</v>
      </c>
      <c r="R618">
        <f>IFERROR(IF(AND('Дивиденды по годам'!N618&lt;&gt;"",'Дивиденды по годам'!U618&lt;&gt;"",'Дивиденды по годам'!U618&lt;&gt;0),'Дивиденды по годам'!N618/'Дивиденды по годам'!U618-1,""),"")</f>
        <v>6.2695951212591305E-2</v>
      </c>
      <c r="S618">
        <f>IFERROR(IF(AND('Дивиденды по годам'!L618&lt;&gt;"",'Дивиденды по годам'!I618&lt;&gt;"",'Дивиденды по годам'!J618&lt;&gt;"",'Дивиденды по годам'!K618&lt;&gt;"",('Дивиденды по годам'!I618-'Дивиденды по годам'!J618-'Дивиденды по годам'!K618)&lt;&gt;0),'Дивиденды по годам'!L618/('Дивиденды по годам'!I618-'Дивиденды по годам'!J618-'Дивиденды по годам'!K618),""),"")</f>
        <v>0.98742805735419892</v>
      </c>
      <c r="T618">
        <f>IFERROR(IF(AND('Дивиденды по годам'!Q618&lt;&gt;"",'Дивиденды по годам'!I618&lt;&gt;"",'Дивиденды по годам'!V618&lt;&gt;"",('Дивиденды по годам'!I618+'Дивиденды по годам'!V618)&lt;&gt;0),'Дивиденды по годам'!Q618/(('Дивиденды по годам'!I618+'Дивиденды по годам'!V618)/2),""),"")</f>
        <v>6.8578648828670888E-2</v>
      </c>
      <c r="U618">
        <f>IFERROR(IF(AND('Дивиденды по годам'!J618&lt;&gt;"",'Дивиденды по годам'!K618&lt;&gt;"",'Дивиденды по годам'!M618&lt;&gt;"",'Дивиденды по годам'!M618&lt;&gt;0),('Дивиденды по годам'!J618+'Дивиденды по годам'!K618)/'Дивиденды по годам'!M618,""),"")</f>
        <v>1.0297346646378711</v>
      </c>
      <c r="V618">
        <f>IFERROR(IF(AND('Дивиденды по годам'!J618&lt;&gt;"",'Дивиденды по годам'!K618&lt;&gt;"",'Дивиденды по годам'!M618&lt;&gt;"",'Дивиденды по годам'!I618&lt;&gt;0),('Дивиденды по годам'!J618+'Дивиденды по годам'!K618)/'Дивиденды по годам'!I618,""),"")</f>
        <v>0.50732476642289992</v>
      </c>
      <c r="W618">
        <f>IFERROR('Дивиденды по годам'!I618,"")</f>
        <v>532837225466.69812</v>
      </c>
      <c r="X618" cm="1">
        <f t="array" ref="X618">IFERROR(AVERAGE(_xlfn._xlws.FILTER(P$2:P$1073,($C$2:$C$1073=$C618)*($E$2:$E$1073=$E618)*(ROW(P$2:P$1073)&lt;&gt;ROW(P618))*(P$2:P$1073&lt;&gt;""))),"")</f>
        <v>24.358082022794907</v>
      </c>
      <c r="Y618" cm="1">
        <f t="array" ref="Y618">IFERROR(AVERAGE(_xlfn._xlws.FILTER(Q$2:Q$1073,($C$2:$C$1073=$C618)*($E$2:$E$1073=$E618)*(ROW(Q$2:Q$1073)&lt;&gt;ROW(Q618))*(Q$2:Q$1073&lt;&gt;""))),"")</f>
        <v>0.29200416415146796</v>
      </c>
      <c r="Z618" cm="1">
        <f t="array" ref="Z618">IFERROR(AVERAGE(_xlfn._xlws.FILTER(R$2:R$1073,($C$2:$C$1073=$C618)*($E$2:$E$1073=$E618)*(ROW(R$2:R$1073)&lt;&gt;ROW(R618))*(R$2:R$1073&lt;&gt;""))),"")</f>
        <v>0.2804724937171717</v>
      </c>
      <c r="AA618" cm="1">
        <f t="array" ref="AA618">IFERROR(AVERAGE(_xlfn._xlws.FILTER(S$2:S$1073,($C$2:$C$1073=$C618)*($E$2:$E$1073=$E618)*(ROW(S$2:S$1073)&lt;&gt;ROW(S618))*(S$2:S$1073&lt;&gt;""))),"")</f>
        <v>0.55613266685123053</v>
      </c>
      <c r="AB618" cm="1">
        <f t="array" ref="AB618">IFERROR(AVERAGE(_xlfn._xlws.FILTER(T$2:T$1073,($C$2:$C$1073=$C618)*($E$2:$E$1073=$E618)*(ROW(T$2:T$1073)&lt;&gt;ROW(T618))*(T$2:T$1073&lt;&gt;""))),"")</f>
        <v>-5.0950139897378802E-2</v>
      </c>
      <c r="AC618" cm="1">
        <f t="array" ref="AC618">IFERROR(AVERAGE(_xlfn._xlws.FILTER(U$2:U$1073,($C$2:$C$1073=$C618)*($E$2:$E$1073=$E618)*(ROW(U$2:U$1073)&lt;&gt;ROW(U618))*(U$2:U$1073&lt;&gt;""))),"")</f>
        <v>0.5589524254776389</v>
      </c>
      <c r="AD618" cm="1">
        <f t="array" ref="AD618">IFERROR(AVERAGE(_xlfn._xlws.FILTER(V$2:V$1073,($C$2:$C$1073=$C618)*($E$2:$E$1073=$E618)*(ROW(V$2:V$1073)&lt;&gt;ROW(V618))*(V$2:V$1073&lt;&gt;""))),"")</f>
        <v>0.69307813175803046</v>
      </c>
      <c r="AE618">
        <f>IF('Дивиденды по годам'!M618&lt;0,1,0)</f>
        <v>0</v>
      </c>
    </row>
    <row r="619" spans="1:31" x14ac:dyDescent="0.2">
      <c r="A619" s="7" t="s">
        <v>2255</v>
      </c>
      <c r="B619" t="str">
        <f t="shared" si="99"/>
        <v>MGNT IV кв. 2016</v>
      </c>
      <c r="C619">
        <v>2016</v>
      </c>
      <c r="D619">
        <f>SUMIFS(Дивиденды!$C:$C,Дивиденды!$A:$A,A619,Дивиденды!$I:$I,C619)</f>
        <v>278.13</v>
      </c>
      <c r="E619">
        <v>4</v>
      </c>
      <c r="F619">
        <f t="shared" si="100"/>
        <v>278.13</v>
      </c>
      <c r="G619">
        <f t="shared" si="101"/>
        <v>0.55499999999999994</v>
      </c>
      <c r="H619">
        <f t="shared" si="102"/>
        <v>1</v>
      </c>
      <c r="I619">
        <f t="shared" si="103"/>
        <v>7.1428571428571425E-2</v>
      </c>
      <c r="J619">
        <f t="shared" si="104"/>
        <v>-0.10416465358971891</v>
      </c>
      <c r="K619">
        <f t="shared" si="109"/>
        <v>2.8033794162826416E-2</v>
      </c>
      <c r="L619">
        <f t="shared" si="105"/>
        <v>0</v>
      </c>
      <c r="M619">
        <f t="shared" si="106"/>
        <v>7.1428571428571425E-2</v>
      </c>
      <c r="N619">
        <f t="shared" si="107"/>
        <v>1</v>
      </c>
      <c r="O619">
        <f t="shared" si="108"/>
        <v>0</v>
      </c>
      <c r="P619">
        <f>IFERROR(LN('Дивиденды по годам'!I619),"")</f>
        <v>26.943647725728951</v>
      </c>
      <c r="Q619">
        <f>IFERROR('Дивиденды по годам'!G619/'Дивиденды по годам'!I619, "")</f>
        <v>0.63736095819989114</v>
      </c>
      <c r="R619">
        <f>IFERROR(IF(AND('Дивиденды по годам'!N619&lt;&gt;"",'Дивиденды по годам'!U619&lt;&gt;"",'Дивиденды по годам'!U619&lt;&gt;0),'Дивиденды по годам'!N619/'Дивиденды по годам'!U619-1,""),"")</f>
        <v>0.12558238380863695</v>
      </c>
      <c r="S619">
        <f>IFERROR(IF(AND('Дивиденды по годам'!L619&lt;&gt;"",'Дивиденды по годам'!I619&lt;&gt;"",'Дивиденды по годам'!J619&lt;&gt;"",'Дивиденды по годам'!K619&lt;&gt;"",('Дивиденды по годам'!I619-'Дивиденды по годам'!J619-'Дивиденды по годам'!K619)&lt;&gt;0),'Дивиденды по годам'!L619/('Дивиденды по годам'!I619-'Дивиденды по годам'!J619-'Дивиденды по годам'!K619),""),"")</f>
        <v>1.2791247674442345</v>
      </c>
      <c r="T619">
        <f>IFERROR(IF(AND('Дивиденды по годам'!Q619&lt;&gt;"",'Дивиденды по годам'!I619&lt;&gt;"",'Дивиденды по годам'!V619&lt;&gt;"",('Дивиденды по годам'!I619+'Дивиденды по годам'!V619)&lt;&gt;0),'Дивиденды по годам'!Q619/(('Дивиденды по годам'!I619+'Дивиденды по годам'!V619)/2),""),"")</f>
        <v>0.12918664581911113</v>
      </c>
      <c r="U619">
        <f>IFERROR(IF(AND('Дивиденды по годам'!J619&lt;&gt;"",'Дивиденды по годам'!K619&lt;&gt;"",'Дивиденды по годам'!M619&lt;&gt;"",'Дивиденды по годам'!M619&lt;&gt;0),('Дивиденды по годам'!J619+'Дивиденды по годам'!K619)/'Дивиденды по годам'!M619,""),"")</f>
        <v>1.3200861361188259</v>
      </c>
      <c r="V619">
        <f>IFERROR(IF(AND('Дивиденды по годам'!J619&lt;&gt;"",'Дивиденды по годам'!K619&lt;&gt;"",'Дивиденды по годам'!M619&lt;&gt;"",'Дивиденды по годам'!I619&lt;&gt;0),('Дивиденды по годам'!J619+'Дивиденды по годам'!K619)/'Дивиденды по годам'!I619,""),"")</f>
        <v>0.56898151993923041</v>
      </c>
      <c r="W619">
        <f>IFERROR('Дивиденды по годам'!I619,"")</f>
        <v>502895245407.03894</v>
      </c>
      <c r="X619" cm="1">
        <f t="array" ref="X619">IFERROR(AVERAGE(_xlfn._xlws.FILTER(P$2:P$1073,($C$2:$C$1073=$C619)*($E$2:$E$1073=$E619)*(ROW(P$2:P$1073)&lt;&gt;ROW(P619))*(P$2:P$1073&lt;&gt;""))),"")</f>
        <v>23.958225051512557</v>
      </c>
      <c r="Y619" cm="1">
        <f t="array" ref="Y619">IFERROR(AVERAGE(_xlfn._xlws.FILTER(Q$2:Q$1073,($C$2:$C$1073=$C619)*($E$2:$E$1073=$E619)*(ROW(Q$2:Q$1073)&lt;&gt;ROW(Q619))*(Q$2:Q$1073&lt;&gt;""))),"")</f>
        <v>0.18914234669737878</v>
      </c>
      <c r="Z619" cm="1">
        <f t="array" ref="Z619">IFERROR(AVERAGE(_xlfn._xlws.FILTER(R$2:R$1073,($C$2:$C$1073=$C619)*($E$2:$E$1073=$E619)*(ROW(R$2:R$1073)&lt;&gt;ROW(R619))*(R$2:R$1073&lt;&gt;""))),"")</f>
        <v>0.17963688431821501</v>
      </c>
      <c r="AA619" cm="1">
        <f t="array" ref="AA619">IFERROR(AVERAGE(_xlfn._xlws.FILTER(S$2:S$1073,($C$2:$C$1073=$C619)*($E$2:$E$1073=$E619)*(ROW(S$2:S$1073)&lt;&gt;ROW(S619))*(S$2:S$1073&lt;&gt;""))),"")</f>
        <v>7.4525540230906824</v>
      </c>
      <c r="AB619" cm="1">
        <f t="array" ref="AB619">IFERROR(AVERAGE(_xlfn._xlws.FILTER(T$2:T$1073,($C$2:$C$1073=$C619)*($E$2:$E$1073=$E619)*(ROW(T$2:T$1073)&lt;&gt;ROW(T619))*(T$2:T$1073&lt;&gt;""))),"")</f>
        <v>-6.9822370259399261E-2</v>
      </c>
      <c r="AC619" cm="1">
        <f t="array" ref="AC619">IFERROR(AVERAGE(_xlfn._xlws.FILTER(U$2:U$1073,($C$2:$C$1073=$C619)*($E$2:$E$1073=$E619)*(ROW(U$2:U$1073)&lt;&gt;ROW(U619))*(U$2:U$1073&lt;&gt;""))),"")</f>
        <v>-20.385656160447066</v>
      </c>
      <c r="AD619" cm="1">
        <f t="array" ref="AD619">IFERROR(AVERAGE(_xlfn._xlws.FILTER(V$2:V$1073,($C$2:$C$1073=$C619)*($E$2:$E$1073=$E619)*(ROW(V$2:V$1073)&lt;&gt;ROW(V619))*(V$2:V$1073&lt;&gt;""))),"")</f>
        <v>0.6663531552169637</v>
      </c>
      <c r="AE619">
        <f>IF('Дивиденды по годам'!M619&lt;0,1,0)</f>
        <v>0</v>
      </c>
    </row>
    <row r="620" spans="1:31" x14ac:dyDescent="0.2">
      <c r="A620" s="7" t="s">
        <v>2255</v>
      </c>
      <c r="B620" t="str">
        <f t="shared" si="99"/>
        <v>MGNT IV кв. 2015</v>
      </c>
      <c r="C620">
        <v>2015</v>
      </c>
      <c r="D620">
        <f>SUMIFS(Дивиденды!$C:$C,Дивиденды!$A:$A,A620,Дивиденды!$I:$I,C620)</f>
        <v>310.47000000000003</v>
      </c>
      <c r="E620">
        <v>4</v>
      </c>
      <c r="F620">
        <f t="shared" si="100"/>
        <v>310.47000000000003</v>
      </c>
      <c r="G620">
        <f t="shared" si="101"/>
        <v>0.39857142857142858</v>
      </c>
      <c r="H620">
        <f t="shared" si="102"/>
        <v>1</v>
      </c>
      <c r="I620">
        <f t="shared" si="103"/>
        <v>7.1428571428571425E-2</v>
      </c>
      <c r="J620">
        <f t="shared" si="104"/>
        <v>-0.14456935030583559</v>
      </c>
      <c r="K620">
        <f t="shared" si="109"/>
        <v>7.1428571428571425E-2</v>
      </c>
      <c r="L620">
        <f t="shared" si="105"/>
        <v>0</v>
      </c>
      <c r="M620">
        <f t="shared" si="106"/>
        <v>7.1428571428571425E-2</v>
      </c>
      <c r="N620">
        <f t="shared" si="107"/>
        <v>1</v>
      </c>
      <c r="O620">
        <f t="shared" si="108"/>
        <v>0</v>
      </c>
      <c r="P620">
        <f>IFERROR(LN('Дивиденды по годам'!I620),"")</f>
        <v>26.551273465221506</v>
      </c>
      <c r="Q620">
        <f>IFERROR('Дивиденды по годам'!G620/'Дивиденды по годам'!I620, "")</f>
        <v>0.6580914100596108</v>
      </c>
      <c r="R620">
        <f>IFERROR(IF(AND('Дивиденды по годам'!N620&lt;&gt;"",'Дивиденды по годам'!U620&lt;&gt;"",'Дивиденды по годам'!U620&lt;&gt;0),'Дивиденды по годам'!N620/'Дивиденды по годам'!U620-1,""),"")</f>
        <v>0.24003087098046971</v>
      </c>
      <c r="S620">
        <f>IFERROR(IF(AND('Дивиденды по годам'!L620&lt;&gt;"",'Дивиденды по годам'!I620&lt;&gt;"",'Дивиденды по годам'!J620&lt;&gt;"",'Дивиденды по годам'!K620&lt;&gt;"",('Дивиденды по годам'!I620-'Дивиденды по годам'!J620-'Дивиденды по годам'!K620)&lt;&gt;0),'Дивиденды по годам'!L620/('Дивиденды по годам'!I620-'Дивиденды по годам'!J620-'Дивиденды по годам'!K620),""),"")</f>
        <v>1.6302970949859232</v>
      </c>
      <c r="T620">
        <f>IFERROR(IF(AND('Дивиденды по годам'!Q620&lt;&gt;"",'Дивиденды по годам'!I620&lt;&gt;"",'Дивиденды по годам'!V620&lt;&gt;"",('Дивиденды по годам'!I620+'Дивиденды по годам'!V620)&lt;&gt;0),'Дивиденды по годам'!Q620/(('Дивиденды по годам'!I620+'Дивиденды по годам'!V620)/2),""),"")</f>
        <v>0.20562183763288047</v>
      </c>
      <c r="U620">
        <f>IFERROR(IF(AND('Дивиденды по годам'!J620&lt;&gt;"",'Дивиденды по годам'!K620&lt;&gt;"",'Дивиденды по годам'!M620&lt;&gt;"",'Дивиденды по годам'!M620&lt;&gt;0),('Дивиденды по годам'!J620+'Дивиденды по годам'!K620)/'Дивиденды по годам'!M620,""),"")</f>
        <v>1.447568474575224</v>
      </c>
      <c r="V620">
        <f>IFERROR(IF(AND('Дивиденды по годам'!J620&lt;&gt;"",'Дивиденды по годам'!K620&lt;&gt;"",'Дивиденды по годам'!M620&lt;&gt;"",'Дивиденды по годам'!I620&lt;&gt;0),('Дивиденды по годам'!J620+'Дивиденды по годам'!K620)/'Дивиденды по годам'!I620,""),"")</f>
        <v>0.59143124681177695</v>
      </c>
      <c r="W620">
        <f>IFERROR('Дивиденды по годам'!I620,"")</f>
        <v>339681233149.38702</v>
      </c>
      <c r="X620" cm="1">
        <f t="array" ref="X620">IFERROR(AVERAGE(_xlfn._xlws.FILTER(P$2:P$1073,($C$2:$C$1073=$C620)*($E$2:$E$1073=$E620)*(ROW(P$2:P$1073)&lt;&gt;ROW(P620))*(P$2:P$1073&lt;&gt;""))),"")</f>
        <v>24.196052031924761</v>
      </c>
      <c r="Y620" cm="1">
        <f t="array" ref="Y620">IFERROR(AVERAGE(_xlfn._xlws.FILTER(Q$2:Q$1073,($C$2:$C$1073=$C620)*($E$2:$E$1073=$E620)*(ROW(Q$2:Q$1073)&lt;&gt;ROW(Q620))*(Q$2:Q$1073&lt;&gt;""))),"")</f>
        <v>0.17673362312009333</v>
      </c>
      <c r="Z620" cm="1">
        <f t="array" ref="Z620">IFERROR(AVERAGE(_xlfn._xlws.FILTER(R$2:R$1073,($C$2:$C$1073=$C620)*($E$2:$E$1073=$E620)*(ROW(R$2:R$1073)&lt;&gt;ROW(R620))*(R$2:R$1073&lt;&gt;""))),"")</f>
        <v>0.18765221096073134</v>
      </c>
      <c r="AA620" cm="1">
        <f t="array" ref="AA620">IFERROR(AVERAGE(_xlfn._xlws.FILTER(S$2:S$1073,($C$2:$C$1073=$C620)*($E$2:$E$1073=$E620)*(ROW(S$2:S$1073)&lt;&gt;ROW(S620))*(S$2:S$1073&lt;&gt;""))),"")</f>
        <v>-1.3532572007263799</v>
      </c>
      <c r="AB620" cm="1">
        <f t="array" ref="AB620">IFERROR(AVERAGE(_xlfn._xlws.FILTER(T$2:T$1073,($C$2:$C$1073=$C620)*($E$2:$E$1073=$E620)*(ROW(T$2:T$1073)&lt;&gt;ROW(T620))*(T$2:T$1073&lt;&gt;""))),"")</f>
        <v>1.683532904667356E-2</v>
      </c>
      <c r="AC620" cm="1">
        <f t="array" ref="AC620">IFERROR(AVERAGE(_xlfn._xlws.FILTER(U$2:U$1073,($C$2:$C$1073=$C620)*($E$2:$E$1073=$E620)*(ROW(U$2:U$1073)&lt;&gt;ROW(U620))*(U$2:U$1073&lt;&gt;""))),"")</f>
        <v>6.8760911185119022</v>
      </c>
      <c r="AD620" cm="1">
        <f t="array" ref="AD620">IFERROR(AVERAGE(_xlfn._xlws.FILTER(V$2:V$1073,($C$2:$C$1073=$C620)*($E$2:$E$1073=$E620)*(ROW(V$2:V$1073)&lt;&gt;ROW(V620))*(V$2:V$1073&lt;&gt;""))),"")</f>
        <v>0.64414322359427267</v>
      </c>
      <c r="AE620">
        <f>IF('Дивиденды по годам'!M620&lt;0,1,0)</f>
        <v>0</v>
      </c>
    </row>
    <row r="621" spans="1:31" x14ac:dyDescent="0.2">
      <c r="A621" s="7" t="s">
        <v>2255</v>
      </c>
      <c r="B621" t="str">
        <f t="shared" si="99"/>
        <v>MGNT IV кв. 2014</v>
      </c>
      <c r="C621">
        <v>2014</v>
      </c>
      <c r="D621">
        <f>SUMIFS(Дивиденды!$C:$C,Дивиденды!$A:$A,A621,Дивиденды!$I:$I,C621)</f>
        <v>362.94</v>
      </c>
      <c r="E621">
        <v>4</v>
      </c>
      <c r="F621">
        <f t="shared" si="100"/>
        <v>362.94</v>
      </c>
      <c r="G621">
        <f t="shared" si="101"/>
        <v>0</v>
      </c>
      <c r="H621">
        <f t="shared" si="102"/>
        <v>1</v>
      </c>
      <c r="I621">
        <f t="shared" si="103"/>
        <v>0</v>
      </c>
      <c r="J621">
        <f t="shared" si="104"/>
        <v>1.6842689150210781</v>
      </c>
      <c r="K621">
        <f t="shared" si="109"/>
        <v>-7.1428571428571425E-2</v>
      </c>
      <c r="L621">
        <f t="shared" si="105"/>
        <v>1</v>
      </c>
      <c r="M621">
        <f t="shared" si="106"/>
        <v>0</v>
      </c>
      <c r="N621">
        <f t="shared" si="107"/>
        <v>0</v>
      </c>
      <c r="O621">
        <f t="shared" si="108"/>
        <v>7.1428571428571425E-2</v>
      </c>
      <c r="P621">
        <f>IFERROR(LN('Дивиденды по годам'!I621),"")</f>
        <v>26.193590482722112</v>
      </c>
      <c r="Q621">
        <f>IFERROR('Дивиденды по годам'!G621/'Дивиденды по годам'!I621, "")</f>
        <v>0.67573946170588506</v>
      </c>
      <c r="R621">
        <f>IFERROR(IF(AND('Дивиденды по годам'!N621&lt;&gt;"",'Дивиденды по годам'!U621&lt;&gt;"",'Дивиденды по годам'!U621&lt;&gt;0),'Дивиденды по годам'!N621/'Дивиденды по годам'!U621-1,""),"")</f>
        <v>0.32810095767348102</v>
      </c>
      <c r="S621">
        <f>IFERROR(IF(AND('Дивиденды по годам'!L621&lt;&gt;"",'Дивиденды по годам'!I621&lt;&gt;"",'Дивиденды по годам'!J621&lt;&gt;"",'Дивиденды по годам'!K621&lt;&gt;"",('Дивиденды по годам'!I621-'Дивиденды по годам'!J621-'Дивиденды по годам'!K621)&lt;&gt;0),'Дивиденды по годам'!L621/('Дивиденды по годам'!I621-'Дивиденды по годам'!J621-'Дивиденды по годам'!K621),""),"")</f>
        <v>1.3026419829381972</v>
      </c>
      <c r="T621">
        <f>IFERROR(IF(AND('Дивиденды по годам'!Q621&lt;&gt;"",'Дивиденды по годам'!I621&lt;&gt;"",'Дивиденды по годам'!V621&lt;&gt;"",('Дивиденды по годам'!I621+'Дивиденды по годам'!V621)&lt;&gt;0),'Дивиденды по годам'!Q621/(('Дивиденды по годам'!I621+'Дивиденды по годам'!V621)/2),""),"")</f>
        <v>0.19295976266618964</v>
      </c>
      <c r="U621">
        <f>IFERROR(IF(AND('Дивиденды по годам'!J621&lt;&gt;"",'Дивиденды по годам'!K621&lt;&gt;"",'Дивиденды по годам'!M621&lt;&gt;"",'Дивиденды по годам'!M621&lt;&gt;0),('Дивиденды по годам'!J621+'Дивиденды по годам'!K621)/'Дивиденды по годам'!M621,""),"")</f>
        <v>1.3999838647963931</v>
      </c>
      <c r="V621">
        <f>IFERROR(IF(AND('Дивиденды по годам'!J621&lt;&gt;"",'Дивиденды по годам'!K621&lt;&gt;"",'Дивиденды по годам'!M621&lt;&gt;"",'Дивиденды по годам'!I621&lt;&gt;0),('Дивиденды по годам'!J621+'Дивиденды по годам'!K621)/'Дивиденды по годам'!I621,""),"")</f>
        <v>0.5833305320638742</v>
      </c>
      <c r="W621">
        <f>IFERROR('Дивиденды по годам'!I621,"")</f>
        <v>237537295724.54218</v>
      </c>
      <c r="X621" cm="1">
        <f t="array" ref="X621">IFERROR(AVERAGE(_xlfn._xlws.FILTER(P$2:P$1073,($C$2:$C$1073=$C621)*($E$2:$E$1073=$E621)*(ROW(P$2:P$1073)&lt;&gt;ROW(P621))*(P$2:P$1073&lt;&gt;""))),"")</f>
        <v>24.305938222875834</v>
      </c>
      <c r="Y621" cm="1">
        <f t="array" ref="Y621">IFERROR(AVERAGE(_xlfn._xlws.FILTER(Q$2:Q$1073,($C$2:$C$1073=$C621)*($E$2:$E$1073=$E621)*(ROW(Q$2:Q$1073)&lt;&gt;ROW(Q621))*(Q$2:Q$1073&lt;&gt;""))),"")</f>
        <v>0.1613528677549311</v>
      </c>
      <c r="Z621" cm="1">
        <f t="array" ref="Z621">IFERROR(AVERAGE(_xlfn._xlws.FILTER(R$2:R$1073,($C$2:$C$1073=$C621)*($E$2:$E$1073=$E621)*(ROW(R$2:R$1073)&lt;&gt;ROW(R621))*(R$2:R$1073&lt;&gt;""))),"")</f>
        <v>4.6559418219053184E-3</v>
      </c>
      <c r="AA621" cm="1">
        <f t="array" ref="AA621">IFERROR(AVERAGE(_xlfn._xlws.FILTER(S$2:S$1073,($C$2:$C$1073=$C621)*($E$2:$E$1073=$E621)*(ROW(S$2:S$1073)&lt;&gt;ROW(S621))*(S$2:S$1073&lt;&gt;""))),"")</f>
        <v>-14.141204934847851</v>
      </c>
      <c r="AB621" cm="1">
        <f t="array" ref="AB621">IFERROR(AVERAGE(_xlfn._xlws.FILTER(T$2:T$1073,($C$2:$C$1073=$C621)*($E$2:$E$1073=$E621)*(ROW(T$2:T$1073)&lt;&gt;ROW(T621))*(T$2:T$1073&lt;&gt;""))),"")</f>
        <v>-1.7708489900395714E-2</v>
      </c>
      <c r="AC621" cm="1">
        <f t="array" ref="AC621">IFERROR(AVERAGE(_xlfn._xlws.FILTER(U$2:U$1073,($C$2:$C$1073=$C621)*($E$2:$E$1073=$E621)*(ROW(U$2:U$1073)&lt;&gt;ROW(U621))*(U$2:U$1073&lt;&gt;""))),"")</f>
        <v>45.459046142346232</v>
      </c>
      <c r="AD621" cm="1">
        <f t="array" ref="AD621">IFERROR(AVERAGE(_xlfn._xlws.FILTER(V$2:V$1073,($C$2:$C$1073=$C621)*($E$2:$E$1073=$E621)*(ROW(V$2:V$1073)&lt;&gt;ROW(V621))*(V$2:V$1073&lt;&gt;""))),"")</f>
        <v>0.70476973883262184</v>
      </c>
      <c r="AE621">
        <f>IF('Дивиденды по годам'!M621&lt;0,1,0)</f>
        <v>0</v>
      </c>
    </row>
    <row r="622" spans="1:31" x14ac:dyDescent="0.2">
      <c r="A622" s="7" t="s">
        <v>2255</v>
      </c>
      <c r="B622" t="str">
        <f t="shared" si="99"/>
        <v>MGNT IV кв. 2013</v>
      </c>
      <c r="C622">
        <v>2013</v>
      </c>
      <c r="D622">
        <f>SUMIFS(Дивиденды!$C:$C,Дивиденды!$A:$A,A622,Дивиденды!$I:$I,C622)</f>
        <v>135.21</v>
      </c>
      <c r="E622">
        <v>4</v>
      </c>
      <c r="F622">
        <f t="shared" si="100"/>
        <v>135.21</v>
      </c>
      <c r="G622">
        <f t="shared" si="101"/>
        <v>3.7514285714285718</v>
      </c>
      <c r="H622">
        <f t="shared" si="102"/>
        <v>1</v>
      </c>
      <c r="I622">
        <f t="shared" si="103"/>
        <v>7.1428571428571425E-2</v>
      </c>
      <c r="J622">
        <f t="shared" si="104"/>
        <v>0.66207744314689632</v>
      </c>
      <c r="K622">
        <f t="shared" si="109"/>
        <v>0</v>
      </c>
      <c r="L622">
        <f t="shared" si="105"/>
        <v>1</v>
      </c>
      <c r="M622">
        <f t="shared" si="106"/>
        <v>0</v>
      </c>
      <c r="N622">
        <f t="shared" si="107"/>
        <v>0</v>
      </c>
      <c r="O622">
        <f t="shared" si="108"/>
        <v>0</v>
      </c>
      <c r="P622">
        <f>IFERROR(LN('Дивиденды по годам'!I622),"")</f>
        <v>26.288135342744766</v>
      </c>
      <c r="Q622">
        <f>IFERROR('Дивиденды по годам'!G622/'Дивиденды по годам'!I622, "")</f>
        <v>0.7277121993594764</v>
      </c>
      <c r="R622">
        <f>IFERROR(IF(AND('Дивиденды по годам'!N622&lt;&gt;"",'Дивиденды по годам'!U622&lt;&gt;"",'Дивиденды по годам'!U622&lt;&gt;0),'Дивиденды по годам'!N622/'Дивиденды по годам'!U622-1,""),"")</f>
        <v>0.2939544152820428</v>
      </c>
      <c r="S622" t="str">
        <f>IFERROR(IF(AND('Дивиденды по годам'!L622&lt;&gt;"",'Дивиденды по годам'!I622&lt;&gt;"",'Дивиденды по годам'!J622&lt;&gt;"",'Дивиденды по годам'!K622&lt;&gt;"",('Дивиденды по годам'!I622-'Дивиденды по годам'!J622-'Дивиденды по годам'!K622)&lt;&gt;0),'Дивиденды по годам'!L622/('Дивиденды по годам'!I622-'Дивиденды по годам'!J622-'Дивиденды по годам'!K622),""),"")</f>
        <v/>
      </c>
      <c r="T622">
        <f>IFERROR(IF(AND('Дивиденды по годам'!Q622&lt;&gt;"",'Дивиденды по годам'!I622&lt;&gt;"",'Дивиденды по годам'!V622&lt;&gt;"",('Дивиденды по годам'!I622+'Дивиденды по годам'!V622)&lt;&gt;0),'Дивиденды по годам'!Q622/(('Дивиденды по годам'!I622+'Дивиденды по годам'!V622)/2),""),"")</f>
        <v>0.14641744742902063</v>
      </c>
      <c r="U622">
        <f>IFERROR(IF(AND('Дивиденды по годам'!J622&lt;&gt;"",'Дивиденды по годам'!K622&lt;&gt;"",'Дивиденды по годам'!M622&lt;&gt;"",'Дивиденды по годам'!M622&lt;&gt;0),('Дивиденды по годам'!J622+'Дивиденды по годам'!K622)/'Дивиденды по годам'!M622,""),"")</f>
        <v>1.1256820847966884</v>
      </c>
      <c r="V622">
        <f>IFERROR(IF(AND('Дивиденды по годам'!J622&lt;&gt;"",'Дивиденды по годам'!K622&lt;&gt;"",'Дивиденды по годам'!M622&lt;&gt;"",'Дивиденды по годам'!I622&lt;&gt;0),('Дивиденды по годам'!J622+'Дивиденды по годам'!K622)/'Дивиденды по годам'!I622,""),"")</f>
        <v>0.52956276615764708</v>
      </c>
      <c r="W622">
        <f>IFERROR('Дивиденды по годам'!I622,"")</f>
        <v>261091130607.99997</v>
      </c>
      <c r="X622" cm="1">
        <f t="array" ref="X622">IFERROR(AVERAGE(_xlfn._xlws.FILTER(P$2:P$1073,($C$2:$C$1073=$C622)*($E$2:$E$1073=$E622)*(ROW(P$2:P$1073)&lt;&gt;ROW(P622))*(P$2:P$1073&lt;&gt;""))),"")</f>
        <v>23.612365719514042</v>
      </c>
      <c r="Y622" cm="1">
        <f t="array" ref="Y622">IFERROR(AVERAGE(_xlfn._xlws.FILTER(Q$2:Q$1073,($C$2:$C$1073=$C622)*($E$2:$E$1073=$E622)*(ROW(Q$2:Q$1073)&lt;&gt;ROW(Q622))*(Q$2:Q$1073&lt;&gt;""))),"")</f>
        <v>0.22155423292905788</v>
      </c>
      <c r="Z622" cm="1">
        <f t="array" ref="Z622">IFERROR(AVERAGE(_xlfn._xlws.FILTER(R$2:R$1073,($C$2:$C$1073=$C622)*($E$2:$E$1073=$E622)*(ROW(R$2:R$1073)&lt;&gt;ROW(R622))*(R$2:R$1073&lt;&gt;""))),"")</f>
        <v>0.13576641713455204</v>
      </c>
      <c r="AA622" t="str" cm="1">
        <f t="array" ref="AA622">IFERROR(AVERAGE(_xlfn._xlws.FILTER(S$2:S$1073,($C$2:$C$1073=$C622)*($E$2:$E$1073=$E622)*(ROW(S$2:S$1073)&lt;&gt;ROW(S622))*(S$2:S$1073&lt;&gt;""))),"")</f>
        <v/>
      </c>
      <c r="AB622" cm="1">
        <f t="array" ref="AB622">IFERROR(AVERAGE(_xlfn._xlws.FILTER(T$2:T$1073,($C$2:$C$1073=$C622)*($E$2:$E$1073=$E622)*(ROW(T$2:T$1073)&lt;&gt;ROW(T622))*(T$2:T$1073&lt;&gt;""))),"")</f>
        <v>-0.21534103665338369</v>
      </c>
      <c r="AC622" cm="1">
        <f t="array" ref="AC622">IFERROR(AVERAGE(_xlfn._xlws.FILTER(U$2:U$1073,($C$2:$C$1073=$C622)*($E$2:$E$1073=$E622)*(ROW(U$2:U$1073)&lt;&gt;ROW(U622))*(U$2:U$1073&lt;&gt;""))),"")</f>
        <v>0.2189976675054511</v>
      </c>
      <c r="AD622" cm="1">
        <f t="array" ref="AD622">IFERROR(AVERAGE(_xlfn._xlws.FILTER(V$2:V$1073,($C$2:$C$1073=$C622)*($E$2:$E$1073=$E622)*(ROW(V$2:V$1073)&lt;&gt;ROW(V622))*(V$2:V$1073&lt;&gt;""))),"")</f>
        <v>1.5998389857463284</v>
      </c>
      <c r="AE622">
        <f>IF('Дивиденды по годам'!M622&lt;0,1,0)</f>
        <v>0</v>
      </c>
    </row>
    <row r="623" spans="1:31" x14ac:dyDescent="0.2">
      <c r="A623" s="7" t="s">
        <v>2255</v>
      </c>
      <c r="B623" t="str">
        <f t="shared" si="99"/>
        <v>MGNT IV кв. 2012</v>
      </c>
      <c r="C623">
        <v>2012</v>
      </c>
      <c r="D623">
        <f>SUMIFS(Дивиденды!$C:$C,Дивиденды!$A:$A,A623,Дивиденды!$I:$I,C623)</f>
        <v>81.349999999999994</v>
      </c>
      <c r="E623">
        <v>4</v>
      </c>
      <c r="F623">
        <f t="shared" si="100"/>
        <v>81.349999999999994</v>
      </c>
      <c r="G623">
        <f t="shared" si="101"/>
        <v>3.7514285714285718</v>
      </c>
      <c r="H623">
        <f t="shared" si="102"/>
        <v>1</v>
      </c>
      <c r="I623">
        <f t="shared" si="103"/>
        <v>7.1428571428571425E-2</v>
      </c>
      <c r="J623">
        <f t="shared" si="104"/>
        <v>2.5477540340165721</v>
      </c>
      <c r="K623">
        <f t="shared" si="109"/>
        <v>7.1428571428571425E-2</v>
      </c>
      <c r="L623">
        <f t="shared" si="105"/>
        <v>1</v>
      </c>
      <c r="M623">
        <f t="shared" si="106"/>
        <v>7.1428571428571425E-2</v>
      </c>
      <c r="N623">
        <f t="shared" si="107"/>
        <v>0</v>
      </c>
      <c r="O623">
        <f t="shared" si="108"/>
        <v>0</v>
      </c>
      <c r="P623">
        <f>IFERROR(LN('Дивиденды по годам'!I623),"")</f>
        <v>26.141763169972759</v>
      </c>
      <c r="Q623">
        <f>IFERROR('Дивиденды по годам'!G623/'Дивиденды по годам'!I623, "")</f>
        <v>0.71987430477098946</v>
      </c>
      <c r="R623">
        <f>IFERROR(IF(AND('Дивиденды по годам'!N623&lt;&gt;"",'Дивиденды по годам'!U623&lt;&gt;"",'Дивиденды по годам'!U623&lt;&gt;0),'Дивиденды по годам'!N623/'Дивиденды по годам'!U623-1,""),"")</f>
        <v>0.33452041133953569</v>
      </c>
      <c r="S623" t="str">
        <f>IFERROR(IF(AND('Дивиденды по годам'!L623&lt;&gt;"",'Дивиденды по годам'!I623&lt;&gt;"",'Дивиденды по годам'!J623&lt;&gt;"",'Дивиденды по годам'!K623&lt;&gt;"",('Дивиденды по годам'!I623-'Дивиденды по годам'!J623-'Дивиденды по годам'!K623)&lt;&gt;0),'Дивиденды по годам'!L623/('Дивиденды по годам'!I623-'Дивиденды по годам'!J623-'Дивиденды по годам'!K623),""),"")</f>
        <v/>
      </c>
      <c r="T623">
        <f>IFERROR(IF(AND('Дивиденды по годам'!Q623&lt;&gt;"",'Дивиденды по годам'!I623&lt;&gt;"",'Дивиденды по годам'!V623&lt;&gt;"",('Дивиденды по годам'!I623+'Дивиденды по годам'!V623)&lt;&gt;0),'Дивиденды по годам'!Q623/(('Дивиденды по годам'!I623+'Дивиденды по годам'!V623)/2),""),"")</f>
        <v>0.1301150723705958</v>
      </c>
      <c r="U623">
        <f>IFERROR(IF(AND('Дивиденды по годам'!J623&lt;&gt;"",'Дивиденды по годам'!K623&lt;&gt;"",'Дивиденды по годам'!M623&lt;&gt;"",'Дивиденды по годам'!M623&lt;&gt;0),('Дивиденды по годам'!J623+'Дивиденды по годам'!K623)/'Дивиденды по годам'!M623,""),"")</f>
        <v>1.2222682342167634</v>
      </c>
      <c r="V623">
        <f>IFERROR(IF(AND('Дивиденды по годам'!J623&lt;&gt;"",'Дивиденды по годам'!K623&lt;&gt;"",'Дивиденды по годам'!M623&lt;&gt;"",'Дивиденды по годам'!I623&lt;&gt;0),('Дивиденды по годам'!J623+'Дивиденды по годам'!K623)/'Дивиденды по годам'!I623,""),"")</f>
        <v>0.55000931723597746</v>
      </c>
      <c r="W623">
        <f>IFERROR('Дивиденды по годам'!I623,"")</f>
        <v>225539956295.36081</v>
      </c>
      <c r="X623" cm="1">
        <f t="array" ref="X623">IFERROR(AVERAGE(_xlfn._xlws.FILTER(P$2:P$1073,($C$2:$C$1073=$C623)*($E$2:$E$1073=$E623)*(ROW(P$2:P$1073)&lt;&gt;ROW(P623))*(P$2:P$1073&lt;&gt;""))),"")</f>
        <v>23.750022340904493</v>
      </c>
      <c r="Y623" cm="1">
        <f t="array" ref="Y623">IFERROR(AVERAGE(_xlfn._xlws.FILTER(Q$2:Q$1073,($C$2:$C$1073=$C623)*($E$2:$E$1073=$E623)*(ROW(Q$2:Q$1073)&lt;&gt;ROW(Q623))*(Q$2:Q$1073&lt;&gt;""))),"")</f>
        <v>0.17260152682755991</v>
      </c>
      <c r="Z623" cm="1">
        <f t="array" ref="Z623">IFERROR(AVERAGE(_xlfn._xlws.FILTER(R$2:R$1073,($C$2:$C$1073=$C623)*($E$2:$E$1073=$E623)*(ROW(R$2:R$1073)&lt;&gt;ROW(R623))*(R$2:R$1073&lt;&gt;""))),"")</f>
        <v>-0.11178304967548078</v>
      </c>
      <c r="AA623" cm="1">
        <f t="array" ref="AA623">IFERROR(AVERAGE(_xlfn._xlws.FILTER(S$2:S$1073,($C$2:$C$1073=$C623)*($E$2:$E$1073=$E623)*(ROW(S$2:S$1073)&lt;&gt;ROW(S623))*(S$2:S$1073&lt;&gt;""))),"")</f>
        <v>-1.7651061513336963</v>
      </c>
      <c r="AB623" cm="1">
        <f t="array" ref="AB623">IFERROR(AVERAGE(_xlfn._xlws.FILTER(T$2:T$1073,($C$2:$C$1073=$C623)*($E$2:$E$1073=$E623)*(ROW(T$2:T$1073)&lt;&gt;ROW(T623))*(T$2:T$1073&lt;&gt;""))),"")</f>
        <v>5.2971805802602759E-2</v>
      </c>
      <c r="AC623" cm="1">
        <f t="array" ref="AC623">IFERROR(AVERAGE(_xlfn._xlws.FILTER(U$2:U$1073,($C$2:$C$1073=$C623)*($E$2:$E$1073=$E623)*(ROW(U$2:U$1073)&lt;&gt;ROW(U623))*(U$2:U$1073&lt;&gt;""))),"")</f>
        <v>-5.2595544203278735</v>
      </c>
      <c r="AD623" cm="1">
        <f t="array" ref="AD623">IFERROR(AVERAGE(_xlfn._xlws.FILTER(V$2:V$1073,($C$2:$C$1073=$C623)*($E$2:$E$1073=$E623)*(ROW(V$2:V$1073)&lt;&gt;ROW(V623))*(V$2:V$1073&lt;&gt;""))),"")</f>
        <v>0.71905765589246451</v>
      </c>
      <c r="AE623">
        <f>IF('Дивиденды по годам'!M623&lt;0,1,0)</f>
        <v>0</v>
      </c>
    </row>
    <row r="624" spans="1:31" x14ac:dyDescent="0.2">
      <c r="A624" s="7" t="s">
        <v>2255</v>
      </c>
      <c r="B624" t="str">
        <f t="shared" si="99"/>
        <v>MGNT IV кв. 2011</v>
      </c>
      <c r="C624">
        <v>2011</v>
      </c>
      <c r="D624">
        <f>SUMIFS(Дивиденды!$C:$C,Дивиденды!$A:$A,A624,Дивиденды!$I:$I,C624)</f>
        <v>22.93</v>
      </c>
      <c r="E624">
        <v>4</v>
      </c>
      <c r="F624">
        <f t="shared" si="100"/>
        <v>22.93</v>
      </c>
      <c r="G624">
        <f t="shared" si="101"/>
        <v>0</v>
      </c>
      <c r="H624">
        <f t="shared" si="102"/>
        <v>1</v>
      </c>
      <c r="I624">
        <f t="shared" si="103"/>
        <v>0</v>
      </c>
      <c r="J624">
        <f t="shared" si="104"/>
        <v>2.4901065449010651</v>
      </c>
      <c r="K624">
        <f t="shared" si="109"/>
        <v>0</v>
      </c>
      <c r="L624">
        <f t="shared" si="105"/>
        <v>1</v>
      </c>
      <c r="M624">
        <f t="shared" si="106"/>
        <v>0</v>
      </c>
      <c r="N624">
        <f t="shared" si="107"/>
        <v>0</v>
      </c>
      <c r="O624">
        <f t="shared" si="108"/>
        <v>0</v>
      </c>
      <c r="P624">
        <f>IFERROR(LN('Дивиденды по годам'!I624),"")</f>
        <v>25.7994628402515</v>
      </c>
      <c r="Q624">
        <f>IFERROR('Дивиденды по годам'!G624/'Дивиденды по годам'!I624, "")</f>
        <v>0.70061022925682215</v>
      </c>
      <c r="R624" t="str">
        <f>IFERROR(IF(AND('Дивиденды по годам'!N624&lt;&gt;"",'Дивиденды по годам'!U624&lt;&gt;"",'Дивиденды по годам'!U624&lt;&gt;0),'Дивиденды по годам'!N624/'Дивиденды по годам'!U624-1,""),"")</f>
        <v/>
      </c>
      <c r="S624" t="str">
        <f>IFERROR(IF(AND('Дивиденды по годам'!L624&lt;&gt;"",'Дивиденды по годам'!I624&lt;&gt;"",'Дивиденды по годам'!J624&lt;&gt;"",'Дивиденды по годам'!K624&lt;&gt;"",('Дивиденды по годам'!I624-'Дивиденды по годам'!J624-'Дивиденды по годам'!K624)&lt;&gt;0),'Дивиденды по годам'!L624/('Дивиденды по годам'!I624-'Дивиденды по годам'!J624-'Дивиденды по годам'!K624),""),"")</f>
        <v/>
      </c>
      <c r="T624" t="str">
        <f>IFERROR(IF(AND('Дивиденды по годам'!Q624&lt;&gt;"",'Дивиденды по годам'!I624&lt;&gt;"",'Дивиденды по годам'!V624&lt;&gt;"",('Дивиденды по годам'!I624+'Дивиденды по годам'!V624)&lt;&gt;0),'Дивиденды по годам'!Q624/(('Дивиденды по годам'!I624+'Дивиденды по годам'!V624)/2),""),"")</f>
        <v/>
      </c>
      <c r="U624">
        <f>IFERROR(IF(AND('Дивиденды по годам'!J624&lt;&gt;"",'Дивиденды по годам'!K624&lt;&gt;"",'Дивиденды по годам'!M624&lt;&gt;"",'Дивиденды по годам'!M624&lt;&gt;0),('Дивиденды по годам'!J624+'Дивиденды по годам'!K624)/'Дивиденды по годам'!M624,""),"")</f>
        <v>1.2286069286381447</v>
      </c>
      <c r="V624">
        <f>IFERROR(IF(AND('Дивиденды по годам'!J624&lt;&gt;"",'Дивиденды по годам'!K624&lt;&gt;"",'Дивиденды по годам'!M624&lt;&gt;"",'Дивиденды по годам'!I624&lt;&gt;0),('Дивиденды по годам'!J624+'Дивиденды по годам'!K624)/'Дивиденды по годам'!I624,""),"")</f>
        <v>0.55128919902843565</v>
      </c>
      <c r="W624">
        <f>IFERROR('Дивиденды по годам'!I624,"")</f>
        <v>160163793873.08078</v>
      </c>
      <c r="X624" cm="1">
        <f t="array" ref="X624">IFERROR(AVERAGE(_xlfn._xlws.FILTER(P$2:P$1073,($C$2:$C$1073=$C624)*($E$2:$E$1073=$E624)*(ROW(P$2:P$1073)&lt;&gt;ROW(P624))*(P$2:P$1073&lt;&gt;""))),"")</f>
        <v>23.776120675557721</v>
      </c>
      <c r="Y624" cm="1">
        <f t="array" ref="Y624">IFERROR(AVERAGE(_xlfn._xlws.FILTER(Q$2:Q$1073,($C$2:$C$1073=$C624)*($E$2:$E$1073=$E624)*(ROW(Q$2:Q$1073)&lt;&gt;ROW(Q624))*(Q$2:Q$1073&lt;&gt;""))),"")</f>
        <v>0.19490684896183777</v>
      </c>
      <c r="Z624" cm="1">
        <f t="array" ref="Z624">IFERROR(AVERAGE(_xlfn._xlws.FILTER(R$2:R$1073,($C$2:$C$1073=$C624)*($E$2:$E$1073=$E624)*(ROW(R$2:R$1073)&lt;&gt;ROW(R624))*(R$2:R$1073&lt;&gt;""))),"")</f>
        <v>5.9511017560386792E-2</v>
      </c>
      <c r="AA624" t="str" cm="1">
        <f t="array" ref="AA624">IFERROR(AVERAGE(_xlfn._xlws.FILTER(S$2:S$1073,($C$2:$C$1073=$C624)*($E$2:$E$1073=$E624)*(ROW(S$2:S$1073)&lt;&gt;ROW(S624))*(S$2:S$1073&lt;&gt;""))),"")</f>
        <v/>
      </c>
      <c r="AB624" cm="1">
        <f t="array" ref="AB624">IFERROR(AVERAGE(_xlfn._xlws.FILTER(T$2:T$1073,($C$2:$C$1073=$C624)*($E$2:$E$1073=$E624)*(ROW(T$2:T$1073)&lt;&gt;ROW(T624))*(T$2:T$1073&lt;&gt;""))),"")</f>
        <v>-1.4171101286470289E-2</v>
      </c>
      <c r="AC624" cm="1">
        <f t="array" ref="AC624">IFERROR(AVERAGE(_xlfn._xlws.FILTER(U$2:U$1073,($C$2:$C$1073=$C624)*($E$2:$E$1073=$E624)*(ROW(U$2:U$1073)&lt;&gt;ROW(U624))*(U$2:U$1073&lt;&gt;""))),"")</f>
        <v>2.5044076118929177</v>
      </c>
      <c r="AD624" cm="1">
        <f t="array" ref="AD624">IFERROR(AVERAGE(_xlfn._xlws.FILTER(V$2:V$1073,($C$2:$C$1073=$C624)*($E$2:$E$1073=$E624)*(ROW(V$2:V$1073)&lt;&gt;ROW(V624))*(V$2:V$1073&lt;&gt;""))),"")</f>
        <v>0.64582745934704333</v>
      </c>
      <c r="AE624">
        <f>IF('Дивиденды по годам'!M624&lt;0,1,0)</f>
        <v>0</v>
      </c>
    </row>
    <row r="625" spans="1:31" x14ac:dyDescent="0.2">
      <c r="A625" s="7" t="s">
        <v>2255</v>
      </c>
      <c r="B625" t="str">
        <f t="shared" si="99"/>
        <v>MGNT IV кв. 2010</v>
      </c>
      <c r="C625">
        <v>2010</v>
      </c>
      <c r="D625">
        <f>SUMIFS(Дивиденды!$C:$C,Дивиденды!$A:$A,A625,Дивиденды!$I:$I,C625)</f>
        <v>6.57</v>
      </c>
      <c r="E625">
        <v>4</v>
      </c>
      <c r="F625">
        <f t="shared" si="100"/>
        <v>6.57</v>
      </c>
      <c r="G625">
        <f t="shared" si="101"/>
        <v>0</v>
      </c>
      <c r="H625">
        <f t="shared" si="102"/>
        <v>1</v>
      </c>
      <c r="I625">
        <f t="shared" si="103"/>
        <v>0</v>
      </c>
      <c r="J625" t="str">
        <f t="shared" si="104"/>
        <v/>
      </c>
      <c r="K625" t="str">
        <f t="shared" si="109"/>
        <v/>
      </c>
      <c r="L625" t="str">
        <f t="shared" si="105"/>
        <v/>
      </c>
      <c r="M625" t="str">
        <f t="shared" si="106"/>
        <v/>
      </c>
      <c r="N625" t="str">
        <f t="shared" si="107"/>
        <v/>
      </c>
      <c r="O625" t="str">
        <f t="shared" si="108"/>
        <v/>
      </c>
      <c r="P625" t="str">
        <f>IFERROR(LN('Дивиденды по годам'!I625),"")</f>
        <v/>
      </c>
      <c r="Q625" t="str">
        <f>IFERROR('Дивиденды по годам'!G625/'Дивиденды по годам'!I625, "")</f>
        <v/>
      </c>
      <c r="R625" t="str">
        <f>IFERROR(IF(AND('Дивиденды по годам'!N625&lt;&gt;"",'Дивиденды по годам'!U625&lt;&gt;"",'Дивиденды по годам'!U625&lt;&gt;0),'Дивиденды по годам'!N625/'Дивиденды по годам'!U625-1,""),"")</f>
        <v/>
      </c>
      <c r="S625" t="str">
        <f>IFERROR(IF(AND('Дивиденды по годам'!L625&lt;&gt;"",'Дивиденды по годам'!I625&lt;&gt;"",'Дивиденды по годам'!J625&lt;&gt;"",'Дивиденды по годам'!K625&lt;&gt;"",('Дивиденды по годам'!I625-'Дивиденды по годам'!J625-'Дивиденды по годам'!K625)&lt;&gt;0),'Дивиденды по годам'!L625/('Дивиденды по годам'!I625-'Дивиденды по годам'!J625-'Дивиденды по годам'!K625),""),"")</f>
        <v/>
      </c>
      <c r="T625" t="str">
        <f>IFERROR(IF(AND('Дивиденды по годам'!Q625&lt;&gt;"",'Дивиденды по годам'!I625&lt;&gt;"",'Дивиденды по годам'!V625&lt;&gt;"",('Дивиденды по годам'!I625+'Дивиденды по годам'!V625)&lt;&gt;0),'Дивиденды по годам'!Q625/(('Дивиденды по годам'!I625+'Дивиденды по годам'!V625)/2),""),"")</f>
        <v/>
      </c>
      <c r="U625" t="str">
        <f>IFERROR(IF(AND('Дивиденды по годам'!J625&lt;&gt;"",'Дивиденды по годам'!K625&lt;&gt;"",'Дивиденды по годам'!M625&lt;&gt;"",'Дивиденды по годам'!M625&lt;&gt;0),('Дивиденды по годам'!J625+'Дивиденды по годам'!K625)/'Дивиденды по годам'!M625,""),"")</f>
        <v/>
      </c>
      <c r="V625" t="str">
        <f>IFERROR(IF(AND('Дивиденды по годам'!J625&lt;&gt;"",'Дивиденды по годам'!K625&lt;&gt;"",'Дивиденды по годам'!M625&lt;&gt;"",'Дивиденды по годам'!I625&lt;&gt;0),('Дивиденды по годам'!J625+'Дивиденды по годам'!K625)/'Дивиденды по годам'!I625,""),"")</f>
        <v/>
      </c>
      <c r="W625" t="str">
        <f>IFERROR('Дивиденды по годам'!I625,"")</f>
        <v/>
      </c>
      <c r="X625" cm="1">
        <f t="array" ref="X625">IFERROR(AVERAGE(_xlfn._xlws.FILTER(P$2:P$1073,($C$2:$C$1073=$C625)*($E$2:$E$1073=$E625)*(ROW(P$2:P$1073)&lt;&gt;ROW(P625))*(P$2:P$1073&lt;&gt;""))),"")</f>
        <v>23.656010386255485</v>
      </c>
      <c r="Y625" cm="1">
        <f t="array" ref="Y625">IFERROR(AVERAGE(_xlfn._xlws.FILTER(Q$2:Q$1073,($C$2:$C$1073=$C625)*($E$2:$E$1073=$E625)*(ROW(Q$2:Q$1073)&lt;&gt;ROW(Q625))*(Q$2:Q$1073&lt;&gt;""))),"")</f>
        <v>0.15222241747474585</v>
      </c>
      <c r="Z625" t="str" cm="1">
        <f t="array" ref="Z625">IFERROR(AVERAGE(_xlfn._xlws.FILTER(R$2:R$1073,($C$2:$C$1073=$C625)*($E$2:$E$1073=$E625)*(ROW(R$2:R$1073)&lt;&gt;ROW(R625))*(R$2:R$1073&lt;&gt;""))),"")</f>
        <v/>
      </c>
      <c r="AA625" t="str" cm="1">
        <f t="array" ref="AA625">IFERROR(AVERAGE(_xlfn._xlws.FILTER(S$2:S$1073,($C$2:$C$1073=$C625)*($E$2:$E$1073=$E625)*(ROW(S$2:S$1073)&lt;&gt;ROW(S625))*(S$2:S$1073&lt;&gt;""))),"")</f>
        <v/>
      </c>
      <c r="AB625" t="str" cm="1">
        <f t="array" ref="AB625">IFERROR(AVERAGE(_xlfn._xlws.FILTER(T$2:T$1073,($C$2:$C$1073=$C625)*($E$2:$E$1073=$E625)*(ROW(T$2:T$1073)&lt;&gt;ROW(T625))*(T$2:T$1073&lt;&gt;""))),"")</f>
        <v/>
      </c>
      <c r="AC625" cm="1">
        <f t="array" ref="AC625">IFERROR(AVERAGE(_xlfn._xlws.FILTER(U$2:U$1073,($C$2:$C$1073=$C625)*($E$2:$E$1073=$E625)*(ROW(U$2:U$1073)&lt;&gt;ROW(U625))*(U$2:U$1073&lt;&gt;""))),"")</f>
        <v>2.8988498110700496</v>
      </c>
      <c r="AD625" cm="1">
        <f t="array" ref="AD625">IFERROR(AVERAGE(_xlfn._xlws.FILTER(V$2:V$1073,($C$2:$C$1073=$C625)*($E$2:$E$1073=$E625)*(ROW(V$2:V$1073)&lt;&gt;ROW(V625))*(V$2:V$1073&lt;&gt;""))),"")</f>
        <v>0.74351805997092513</v>
      </c>
      <c r="AE625">
        <f>IF('Дивиденды по годам'!M625&lt;0,1,0)</f>
        <v>0</v>
      </c>
    </row>
    <row r="626" spans="1:31" x14ac:dyDescent="0.2">
      <c r="A626" s="7" t="s">
        <v>2258</v>
      </c>
      <c r="B626" t="str">
        <f t="shared" si="99"/>
        <v>OZPH IV кв. 2025</v>
      </c>
      <c r="C626">
        <v>2025</v>
      </c>
      <c r="D626">
        <f>SUMIFS(Дивиденды!$C:$C,Дивиденды!$A:$A,A626,Дивиденды!$I:$I,C626)</f>
        <v>0.79</v>
      </c>
      <c r="E626">
        <v>4</v>
      </c>
      <c r="F626">
        <f t="shared" si="100"/>
        <v>0.79</v>
      </c>
      <c r="G626">
        <f t="shared" si="101"/>
        <v>31.525000000000002</v>
      </c>
      <c r="H626">
        <f t="shared" si="102"/>
        <v>1</v>
      </c>
      <c r="I626">
        <f t="shared" si="103"/>
        <v>0.35714285714285715</v>
      </c>
      <c r="J626">
        <f t="shared" si="104"/>
        <v>0.79545454545454553</v>
      </c>
      <c r="K626">
        <f t="shared" si="109"/>
        <v>-0.23934452505887813</v>
      </c>
      <c r="L626">
        <f t="shared" si="105"/>
        <v>1</v>
      </c>
      <c r="M626">
        <f t="shared" si="106"/>
        <v>7.1428571428571425E-2</v>
      </c>
      <c r="N626">
        <f t="shared" si="107"/>
        <v>0</v>
      </c>
      <c r="O626">
        <f t="shared" si="108"/>
        <v>0.5</v>
      </c>
      <c r="P626" t="str">
        <f>IFERROR(LN('Дивиденды по годам'!I626),"")</f>
        <v/>
      </c>
      <c r="Q626" t="str">
        <f>IFERROR('Дивиденды по годам'!G626/'Дивиденды по годам'!I626, "")</f>
        <v/>
      </c>
      <c r="R626" t="str">
        <f>IFERROR(IF(AND('Дивиденды по годам'!N626&lt;&gt;"",'Дивиденды по годам'!U626&lt;&gt;"",'Дивиденды по годам'!U626&lt;&gt;0),'Дивиденды по годам'!N626/'Дивиденды по годам'!U626-1,""),"")</f>
        <v/>
      </c>
      <c r="S626" t="str">
        <f>IFERROR(IF(AND('Дивиденды по годам'!L626&lt;&gt;"",'Дивиденды по годам'!I626&lt;&gt;"",'Дивиденды по годам'!J626&lt;&gt;"",'Дивиденды по годам'!K626&lt;&gt;"",('Дивиденды по годам'!I626-'Дивиденды по годам'!J626-'Дивиденды по годам'!K626)&lt;&gt;0),'Дивиденды по годам'!L626/('Дивиденды по годам'!I626-'Дивиденды по годам'!J626-'Дивиденды по годам'!K626),""),"")</f>
        <v/>
      </c>
      <c r="T626" t="str">
        <f>IFERROR(IF(AND('Дивиденды по годам'!Q626&lt;&gt;"",'Дивиденды по годам'!I626&lt;&gt;"",'Дивиденды по годам'!V626&lt;&gt;"",('Дивиденды по годам'!I626+'Дивиденды по годам'!V626)&lt;&gt;0),'Дивиденды по годам'!Q626/(('Дивиденды по годам'!I626+'Дивиденды по годам'!V626)/2),""),"")</f>
        <v/>
      </c>
      <c r="U626" t="str">
        <f>IFERROR(IF(AND('Дивиденды по годам'!J626&lt;&gt;"",'Дивиденды по годам'!K626&lt;&gt;"",'Дивиденды по годам'!M626&lt;&gt;"",'Дивиденды по годам'!M626&lt;&gt;0),('Дивиденды по годам'!J626+'Дивиденды по годам'!K626)/'Дивиденды по годам'!M626,""),"")</f>
        <v/>
      </c>
      <c r="V626" t="str">
        <f>IFERROR(IF(AND('Дивиденды по годам'!J626&lt;&gt;"",'Дивиденды по годам'!K626&lt;&gt;"",'Дивиденды по годам'!M626&lt;&gt;"",'Дивиденды по годам'!I626&lt;&gt;0),('Дивиденды по годам'!J626+'Дивиденды по годам'!K626)/'Дивиденды по годам'!I626,""),"")</f>
        <v/>
      </c>
      <c r="W626" t="str">
        <f>IFERROR('Дивиденды по годам'!I626,"")</f>
        <v/>
      </c>
      <c r="X626" cm="1">
        <f t="array" ref="X626">IFERROR(AVERAGE(_xlfn._xlws.FILTER(P$2:P$1073,($C$2:$C$1073=$C626)*($E$2:$E$1073=$E626)*(ROW(P$2:P$1073)&lt;&gt;ROW(P626))*(P$2:P$1073&lt;&gt;""))),"")</f>
        <v>26.183512711155618</v>
      </c>
      <c r="Y626" cm="1">
        <f t="array" ref="Y626">IFERROR(AVERAGE(_xlfn._xlws.FILTER(Q$2:Q$1073,($C$2:$C$1073=$C626)*($E$2:$E$1073=$E626)*(ROW(Q$2:Q$1073)&lt;&gt;ROW(Q626))*(Q$2:Q$1073&lt;&gt;""))),"")</f>
        <v>0.42364014522274984</v>
      </c>
      <c r="Z626" cm="1">
        <f t="array" ref="Z626">IFERROR(AVERAGE(_xlfn._xlws.FILTER(R$2:R$1073,($C$2:$C$1073=$C626)*($E$2:$E$1073=$E626)*(ROW(R$2:R$1073)&lt;&gt;ROW(R626))*(R$2:R$1073&lt;&gt;""))),"")</f>
        <v>6.6096126428947105E-2</v>
      </c>
      <c r="AA626" cm="1">
        <f t="array" ref="AA626">IFERROR(AVERAGE(_xlfn._xlws.FILTER(S$2:S$1073,($C$2:$C$1073=$C626)*($E$2:$E$1073=$E626)*(ROW(S$2:S$1073)&lt;&gt;ROW(S626))*(S$2:S$1073&lt;&gt;""))),"")</f>
        <v>0.94174952343815033</v>
      </c>
      <c r="AB626" cm="1">
        <f t="array" ref="AB626">IFERROR(AVERAGE(_xlfn._xlws.FILTER(T$2:T$1073,($C$2:$C$1073=$C626)*($E$2:$E$1073=$E626)*(ROW(T$2:T$1073)&lt;&gt;ROW(T626))*(T$2:T$1073&lt;&gt;""))),"")</f>
        <v>1.3107153079830167E-2</v>
      </c>
      <c r="AC626" cm="1">
        <f t="array" ref="AC626">IFERROR(AVERAGE(_xlfn._xlws.FILTER(U$2:U$1073,($C$2:$C$1073=$C626)*($E$2:$E$1073=$E626)*(ROW(U$2:U$1073)&lt;&gt;ROW(U626))*(U$2:U$1073&lt;&gt;""))),"")</f>
        <v>6.2968354519658218</v>
      </c>
      <c r="AD626" cm="1">
        <f t="array" ref="AD626">IFERROR(AVERAGE(_xlfn._xlws.FILTER(V$2:V$1073,($C$2:$C$1073=$C626)*($E$2:$E$1073=$E626)*(ROW(V$2:V$1073)&lt;&gt;ROW(V626))*(V$2:V$1073&lt;&gt;""))),"")</f>
        <v>0.70931365831308468</v>
      </c>
      <c r="AE626">
        <f>IF('Дивиденды по годам'!M626&lt;0,1,0)</f>
        <v>0</v>
      </c>
    </row>
    <row r="627" spans="1:31" x14ac:dyDescent="0.2">
      <c r="A627" s="7" t="s">
        <v>2258</v>
      </c>
      <c r="B627" t="str">
        <f t="shared" si="99"/>
        <v>OZPH IV кв. 2024</v>
      </c>
      <c r="C627">
        <v>2024</v>
      </c>
      <c r="D627">
        <f>SUMIFS(Дивиденды!$C:$C,Дивиденды!$A:$A,A627,Дивиденды!$I:$I,C627)</f>
        <v>0.44</v>
      </c>
      <c r="E627">
        <v>4</v>
      </c>
      <c r="F627">
        <f t="shared" si="100"/>
        <v>0.44</v>
      </c>
      <c r="G627">
        <f t="shared" si="101"/>
        <v>62.480000000000004</v>
      </c>
      <c r="H627">
        <f t="shared" si="102"/>
        <v>1</v>
      </c>
      <c r="I627">
        <f t="shared" si="103"/>
        <v>0.5</v>
      </c>
      <c r="J627">
        <f t="shared" si="104"/>
        <v>1</v>
      </c>
      <c r="K627">
        <f t="shared" si="109"/>
        <v>0.14002717393491237</v>
      </c>
      <c r="L627">
        <f t="shared" si="105"/>
        <v>1</v>
      </c>
      <c r="M627">
        <f t="shared" si="106"/>
        <v>0.2857142857142857</v>
      </c>
      <c r="N627">
        <f t="shared" si="107"/>
        <v>0</v>
      </c>
      <c r="O627">
        <f t="shared" si="108"/>
        <v>0.2857142857142857</v>
      </c>
      <c r="P627">
        <f>IFERROR(LN('Дивиденды по годам'!I627),"")</f>
        <v>24.626109218250644</v>
      </c>
      <c r="Q627">
        <f>IFERROR('Дивиденды по годам'!G627/'Дивиденды по годам'!I627, "")</f>
        <v>0.19799538660454544</v>
      </c>
      <c r="R627">
        <f>IFERROR(IF(AND('Дивиденды по годам'!N627&lt;&gt;"",'Дивиденды по годам'!U627&lt;&gt;"",'Дивиденды по годам'!U627&lt;&gt;0),'Дивиденды по годам'!N627/'Дивиденды по годам'!U627-1,""),"")</f>
        <v>0.2959576209201078</v>
      </c>
      <c r="S627">
        <f>IFERROR(IF(AND('Дивиденды по годам'!L627&lt;&gt;"",'Дивиденды по годам'!I627&lt;&gt;"",'Дивиденды по годам'!J627&lt;&gt;"",'Дивиденды по годам'!K627&lt;&gt;"",('Дивиденды по годам'!I627-'Дивиденды по годам'!J627-'Дивиденды по годам'!K627)&lt;&gt;0),'Дивиденды по годам'!L627/('Дивиденды по годам'!I627-'Дивиденды по годам'!J627-'Дивиденды по годам'!K627),""),"")</f>
        <v>0.88888896343906088</v>
      </c>
      <c r="T627">
        <f>IFERROR(IF(AND('Дивиденды по годам'!Q627&lt;&gt;"",'Дивиденды по годам'!I627&lt;&gt;"",'Дивиденды по годам'!V627&lt;&gt;"",('Дивиденды по годам'!I627+'Дивиденды по годам'!V627)&lt;&gt;0),'Дивиденды по годам'!Q627/(('Дивиденды по годам'!I627+'Дивиденды по годам'!V627)/2),""),"")</f>
        <v>0.11022114463855416</v>
      </c>
      <c r="U627">
        <f>IFERROR(IF(AND('Дивиденды по годам'!J627&lt;&gt;"",'Дивиденды по годам'!K627&lt;&gt;"",'Дивиденды по годам'!M627&lt;&gt;"",'Дивиденды по годам'!M627&lt;&gt;0),('Дивиденды по годам'!J627+'Дивиденды по годам'!K627)/'Дивиденды по годам'!M627,""),"")</f>
        <v>0.95535484456618047</v>
      </c>
      <c r="V627">
        <f>IFERROR(IF(AND('Дивиденды по годам'!J627&lt;&gt;"",'Дивиденды по годам'!K627&lt;&gt;"",'Дивиденды по годам'!M627&lt;&gt;"",'Дивиденды по годам'!I627&lt;&gt;0),('Дивиденды по годам'!J627+'Дивиденды по годам'!K627)/'Дивиденды по годам'!I627,""),"")</f>
        <v>0.48858387377669943</v>
      </c>
      <c r="W627">
        <f>IFERROR('Дивиденды по годам'!I627,"")</f>
        <v>49543119000</v>
      </c>
      <c r="X627" cm="1">
        <f t="array" ref="X627">IFERROR(AVERAGE(_xlfn._xlws.FILTER(P$2:P$1073,($C$2:$C$1073=$C627)*($E$2:$E$1073=$E627)*(ROW(P$2:P$1073)&lt;&gt;ROW(P627))*(P$2:P$1073&lt;&gt;""))),"")</f>
        <v>25.63185017781748</v>
      </c>
      <c r="Y627" cm="1">
        <f t="array" ref="Y627">IFERROR(AVERAGE(_xlfn._xlws.FILTER(Q$2:Q$1073,($C$2:$C$1073=$C627)*($E$2:$E$1073=$E627)*(ROW(Q$2:Q$1073)&lt;&gt;ROW(Q627))*(Q$2:Q$1073&lt;&gt;""))),"")</f>
        <v>0.2675622058353973</v>
      </c>
      <c r="Z627" cm="1">
        <f t="array" ref="Z627">IFERROR(AVERAGE(_xlfn._xlws.FILTER(R$2:R$1073,($C$2:$C$1073=$C627)*($E$2:$E$1073=$E627)*(ROW(R$2:R$1073)&lt;&gt;ROW(R627))*(R$2:R$1073&lt;&gt;""))),"")</f>
        <v>0.26328706148009057</v>
      </c>
      <c r="AA627" cm="1">
        <f t="array" ref="AA627">IFERROR(AVERAGE(_xlfn._xlws.FILTER(S$2:S$1073,($C$2:$C$1073=$C627)*($E$2:$E$1073=$E627)*(ROW(S$2:S$1073)&lt;&gt;ROW(S627))*(S$2:S$1073&lt;&gt;""))),"")</f>
        <v>1.1912086575085328</v>
      </c>
      <c r="AB627" cm="1">
        <f t="array" ref="AB627">IFERROR(AVERAGE(_xlfn._xlws.FILTER(T$2:T$1073,($C$2:$C$1073=$C627)*($E$2:$E$1073=$E627)*(ROW(T$2:T$1073)&lt;&gt;ROW(T627))*(T$2:T$1073&lt;&gt;""))),"")</f>
        <v>7.0293816549458807E-2</v>
      </c>
      <c r="AC627" cm="1">
        <f t="array" ref="AC627">IFERROR(AVERAGE(_xlfn._xlws.FILTER(U$2:U$1073,($C$2:$C$1073=$C627)*($E$2:$E$1073=$E627)*(ROW(U$2:U$1073)&lt;&gt;ROW(U627))*(U$2:U$1073&lt;&gt;""))),"")</f>
        <v>4.2076151584704933</v>
      </c>
      <c r="AD627" cm="1">
        <f t="array" ref="AD627">IFERROR(AVERAGE(_xlfn._xlws.FILTER(V$2:V$1073,($C$2:$C$1073=$C627)*($E$2:$E$1073=$E627)*(ROW(V$2:V$1073)&lt;&gt;ROW(V627))*(V$2:V$1073&lt;&gt;""))),"")</f>
        <v>0.716758949900408</v>
      </c>
      <c r="AE627">
        <f>IF('Дивиденды по годам'!M627&lt;0,1,0)</f>
        <v>0</v>
      </c>
    </row>
    <row r="628" spans="1:31" x14ac:dyDescent="0.2">
      <c r="A628" s="7" t="s">
        <v>2258</v>
      </c>
      <c r="B628" t="str">
        <f t="shared" si="99"/>
        <v>OZPH IV кв. 2023</v>
      </c>
      <c r="C628">
        <v>2023</v>
      </c>
      <c r="D628">
        <f>SUMIFS(Дивиденды!$C:$C,Дивиденды!$A:$A,A628,Дивиденды!$I:$I,C628)</f>
        <v>0</v>
      </c>
      <c r="E628">
        <v>4</v>
      </c>
      <c r="F628">
        <f t="shared" si="100"/>
        <v>0</v>
      </c>
      <c r="G628">
        <f t="shared" si="101"/>
        <v>90.740000000000009</v>
      </c>
      <c r="H628">
        <f t="shared" si="102"/>
        <v>0</v>
      </c>
      <c r="I628">
        <f t="shared" si="103"/>
        <v>0.5</v>
      </c>
      <c r="J628">
        <f t="shared" si="104"/>
        <v>0</v>
      </c>
      <c r="K628">
        <f t="shared" si="109"/>
        <v>0.29812745098039217</v>
      </c>
      <c r="L628">
        <f t="shared" si="105"/>
        <v>0</v>
      </c>
      <c r="M628">
        <f t="shared" si="106"/>
        <v>0.42857142857142855</v>
      </c>
      <c r="N628">
        <f t="shared" si="107"/>
        <v>0</v>
      </c>
      <c r="O628">
        <f t="shared" si="108"/>
        <v>0</v>
      </c>
      <c r="P628">
        <f>IFERROR(LN('Дивиденды по годам'!I628),"")</f>
        <v>24.25311904913962</v>
      </c>
      <c r="Q628">
        <f>IFERROR('Дивиденды по годам'!G628/'Дивиденды по годам'!I628, "")</f>
        <v>0.14431278515853899</v>
      </c>
      <c r="R628">
        <f>IFERROR(IF(AND('Дивиденды по годам'!N628&lt;&gt;"",'Дивиденды по годам'!U628&lt;&gt;"",'Дивиденды по годам'!U628&lt;&gt;0),'Дивиденды по годам'!N628/'Дивиденды по годам'!U628-1,""),"")</f>
        <v>4.0320905638754789E-2</v>
      </c>
      <c r="S628">
        <f>IFERROR(IF(AND('Дивиденды по годам'!L628&lt;&gt;"",'Дивиденды по годам'!I628&lt;&gt;"",'Дивиденды по годам'!J628&lt;&gt;"",'Дивиденды по годам'!K628&lt;&gt;"",('Дивиденды по годам'!I628-'Дивиденды по годам'!J628-'Дивиденды по годам'!K628)&lt;&gt;0),'Дивиденды по годам'!L628/('Дивиденды по годам'!I628-'Дивиденды по годам'!J628-'Дивиденды по годам'!K628),""),"")</f>
        <v>0.98516164893805014</v>
      </c>
      <c r="T628">
        <f>IFERROR(IF(AND('Дивиденды по годам'!Q628&lt;&gt;"",'Дивиденды по годам'!I628&lt;&gt;"",'Дивиденды по годам'!V628&lt;&gt;"",('Дивиденды по годам'!I628+'Дивиденды по годам'!V628)&lt;&gt;0),'Дивиденды по годам'!Q628/(('Дивиденды по годам'!I628+'Дивиденды по годам'!V628)/2),""),"")</f>
        <v>0.11736327472093018</v>
      </c>
      <c r="U628">
        <f>IFERROR(IF(AND('Дивиденды по годам'!J628&lt;&gt;"",'Дивиденды по годам'!K628&lt;&gt;"",'Дивиденды по годам'!M628&lt;&gt;"",'Дивиденды по годам'!M628&lt;&gt;0),('Дивиденды по годам'!J628+'Дивиденды по годам'!K628)/'Дивиденды по годам'!M628,""),"")</f>
        <v>0.99318539964674213</v>
      </c>
      <c r="V628">
        <f>IFERROR(IF(AND('Дивиденды по годам'!J628&lt;&gt;"",'Дивиденды по годам'!K628&lt;&gt;"",'Дивиденды по годам'!M628&lt;&gt;"",'Дивиденды по годам'!I628&lt;&gt;0),('Дивиденды по годам'!J628+'Дивиденды по годам'!K628)/'Дивиденды по годам'!I628,""),"")</f>
        <v>0.49829052521795875</v>
      </c>
      <c r="W628">
        <f>IFERROR('Дивиденды по годам'!I628,"")</f>
        <v>34118959000</v>
      </c>
      <c r="X628" cm="1">
        <f t="array" ref="X628">IFERROR(AVERAGE(_xlfn._xlws.FILTER(P$2:P$1073,($C$2:$C$1073=$C628)*($E$2:$E$1073=$E628)*(ROW(P$2:P$1073)&lt;&gt;ROW(P628))*(P$2:P$1073&lt;&gt;""))),"")</f>
        <v>25.4465292910158</v>
      </c>
      <c r="Y628" cm="1">
        <f t="array" ref="Y628">IFERROR(AVERAGE(_xlfn._xlws.FILTER(Q$2:Q$1073,($C$2:$C$1073=$C628)*($E$2:$E$1073=$E628)*(ROW(Q$2:Q$1073)&lt;&gt;ROW(Q628))*(Q$2:Q$1073&lt;&gt;""))),"")</f>
        <v>0.25796415778679982</v>
      </c>
      <c r="Z628" cm="1">
        <f t="array" ref="Z628">IFERROR(AVERAGE(_xlfn._xlws.FILTER(R$2:R$1073,($C$2:$C$1073=$C628)*($E$2:$E$1073=$E628)*(ROW(R$2:R$1073)&lt;&gt;ROW(R628))*(R$2:R$1073&lt;&gt;""))),"")</f>
        <v>0.26331258944497288</v>
      </c>
      <c r="AA628" cm="1">
        <f t="array" ref="AA628">IFERROR(AVERAGE(_xlfn._xlws.FILTER(S$2:S$1073,($C$2:$C$1073=$C628)*($E$2:$E$1073=$E628)*(ROW(S$2:S$1073)&lt;&gt;ROW(S628))*(S$2:S$1073&lt;&gt;""))),"")</f>
        <v>1.2646248980221251</v>
      </c>
      <c r="AB628" cm="1">
        <f t="array" ref="AB628">IFERROR(AVERAGE(_xlfn._xlws.FILTER(T$2:T$1073,($C$2:$C$1073=$C628)*($E$2:$E$1073=$E628)*(ROW(T$2:T$1073)&lt;&gt;ROW(T628))*(T$2:T$1073&lt;&gt;""))),"")</f>
        <v>0.10972405391196886</v>
      </c>
      <c r="AC628" cm="1">
        <f t="array" ref="AC628">IFERROR(AVERAGE(_xlfn._xlws.FILTER(U$2:U$1073,($C$2:$C$1073=$C628)*($E$2:$E$1073=$E628)*(ROW(U$2:U$1073)&lt;&gt;ROW(U628))*(U$2:U$1073&lt;&gt;""))),"")</f>
        <v>2.7013560813558244</v>
      </c>
      <c r="AD628" cm="1">
        <f t="array" ref="AD628">IFERROR(AVERAGE(_xlfn._xlws.FILTER(V$2:V$1073,($C$2:$C$1073=$C628)*($E$2:$E$1073=$E628)*(ROW(V$2:V$1073)&lt;&gt;ROW(V628))*(V$2:V$1073&lt;&gt;""))),"")</f>
        <v>0.70631315409734197</v>
      </c>
      <c r="AE628">
        <f>IF('Дивиденды по годам'!M628&lt;0,1,0)</f>
        <v>0</v>
      </c>
    </row>
    <row r="629" spans="1:31" x14ac:dyDescent="0.2">
      <c r="A629" s="7" t="s">
        <v>2258</v>
      </c>
      <c r="B629" t="str">
        <f t="shared" si="99"/>
        <v>OZPH IV кв. 2022</v>
      </c>
      <c r="C629">
        <v>2022</v>
      </c>
      <c r="D629">
        <f>SUMIFS(Дивиденды!$C:$C,Дивиденды!$A:$A,A629,Дивиденды!$I:$I,C629)</f>
        <v>0</v>
      </c>
      <c r="E629">
        <v>4</v>
      </c>
      <c r="F629">
        <f t="shared" si="100"/>
        <v>0</v>
      </c>
      <c r="G629">
        <f t="shared" si="101"/>
        <v>80.180000000000021</v>
      </c>
      <c r="H629">
        <f t="shared" si="102"/>
        <v>0</v>
      </c>
      <c r="I629">
        <f t="shared" si="103"/>
        <v>0.2857142857142857</v>
      </c>
      <c r="J629">
        <f t="shared" si="104"/>
        <v>0</v>
      </c>
      <c r="K629">
        <f t="shared" si="109"/>
        <v>0.49583624512073399</v>
      </c>
      <c r="L629">
        <f t="shared" si="105"/>
        <v>0</v>
      </c>
      <c r="M629">
        <f t="shared" si="106"/>
        <v>0.2857142857142857</v>
      </c>
      <c r="N629">
        <f t="shared" si="107"/>
        <v>0</v>
      </c>
      <c r="O629">
        <f t="shared" si="108"/>
        <v>7.1428571428571425E-2</v>
      </c>
      <c r="P629">
        <f>IFERROR(LN('Дивиденды по годам'!I629),"")</f>
        <v>24.252668054450368</v>
      </c>
      <c r="Q629">
        <f>IFERROR('Дивиденды по годам'!G629/'Дивиденды по годам'!I629, "")</f>
        <v>0.14983091948571375</v>
      </c>
      <c r="R629">
        <f>IFERROR(IF(AND('Дивиденды по годам'!N629&lt;&gt;"",'Дивиденды по годам'!U629&lt;&gt;"",'Дивиденды по годам'!U629&lt;&gt;0),'Дивиденды по годам'!N629/'Дивиденды по годам'!U629-1,""),"")</f>
        <v>7.4324217124486669E-2</v>
      </c>
      <c r="S629">
        <f>IFERROR(IF(AND('Дивиденды по годам'!L629&lt;&gt;"",'Дивиденды по годам'!I629&lt;&gt;"",'Дивиденды по годам'!J629&lt;&gt;"",'Дивиденды по годам'!K629&lt;&gt;"",('Дивиденды по годам'!I629-'Дивиденды по годам'!J629-'Дивиденды по годам'!K629)&lt;&gt;0),'Дивиденды по годам'!L629/('Дивиденды по годам'!I629-'Дивиденды по годам'!J629-'Дивиденды по годам'!K629),""),"")</f>
        <v>0.98266549893095945</v>
      </c>
      <c r="T629">
        <f>IFERROR(IF(AND('Дивиденды по годам'!Q629&lt;&gt;"",'Дивиденды по годам'!I629&lt;&gt;"",'Дивиденды по годам'!V629&lt;&gt;"",('Дивиденды по годам'!I629+'Дивиденды по годам'!V629)&lt;&gt;0),'Дивиденды по годам'!Q629/(('Дивиденды по годам'!I629+'Дивиденды по годам'!V629)/2),""),"")</f>
        <v>0.11452075722743955</v>
      </c>
      <c r="U629">
        <f>IFERROR(IF(AND('Дивиденды по годам'!J629&lt;&gt;"",'Дивиденды по годам'!K629&lt;&gt;"",'Дивиденды по годам'!M629&lt;&gt;"",'Дивиденды по годам'!M629&lt;&gt;0),('Дивиденды по годам'!J629+'Дивиденды по годам'!K629)/'Дивиденды по годам'!M629,""),"")</f>
        <v>1.3274348712425337</v>
      </c>
      <c r="V629">
        <f>IFERROR(IF(AND('Дивиденды по годам'!J629&lt;&gt;"",'Дивиденды по годам'!K629&lt;&gt;"",'Дивиденды по годам'!M629&lt;&gt;"",'Дивиденды по годам'!I629&lt;&gt;0),('Дивиденды по годам'!J629+'Дивиденды по годам'!K629)/'Дивиденды по годам'!I629,""),"")</f>
        <v>0.57034243477406699</v>
      </c>
      <c r="W629">
        <f>IFERROR('Дивиденды по годам'!I629,"")</f>
        <v>34103575000</v>
      </c>
      <c r="X629" cm="1">
        <f t="array" ref="X629">IFERROR(AVERAGE(_xlfn._xlws.FILTER(P$2:P$1073,($C$2:$C$1073=$C629)*($E$2:$E$1073=$E629)*(ROW(P$2:P$1073)&lt;&gt;ROW(P629))*(P$2:P$1073&lt;&gt;""))),"")</f>
        <v>25.351968485306426</v>
      </c>
      <c r="Y629" cm="1">
        <f t="array" ref="Y629">IFERROR(AVERAGE(_xlfn._xlws.FILTER(Q$2:Q$1073,($C$2:$C$1073=$C629)*($E$2:$E$1073=$E629)*(ROW(Q$2:Q$1073)&lt;&gt;ROW(Q629))*(Q$2:Q$1073&lt;&gt;""))),"")</f>
        <v>0.2564752839815681</v>
      </c>
      <c r="Z629" cm="1">
        <f t="array" ref="Z629">IFERROR(AVERAGE(_xlfn._xlws.FILTER(R$2:R$1073,($C$2:$C$1073=$C629)*($E$2:$E$1073=$E629)*(ROW(R$2:R$1073)&lt;&gt;ROW(R629))*(R$2:R$1073&lt;&gt;""))),"")</f>
        <v>0.21702697350378009</v>
      </c>
      <c r="AA629" cm="1">
        <f t="array" ref="AA629">IFERROR(AVERAGE(_xlfn._xlws.FILTER(S$2:S$1073,($C$2:$C$1073=$C629)*($E$2:$E$1073=$E629)*(ROW(S$2:S$1073)&lt;&gt;ROW(S629))*(S$2:S$1073&lt;&gt;""))),"")</f>
        <v>1.3666177210207229</v>
      </c>
      <c r="AB629" cm="1">
        <f t="array" ref="AB629">IFERROR(AVERAGE(_xlfn._xlws.FILTER(T$2:T$1073,($C$2:$C$1073=$C629)*($E$2:$E$1073=$E629)*(ROW(T$2:T$1073)&lt;&gt;ROW(T629))*(T$2:T$1073&lt;&gt;""))),"")</f>
        <v>9.9571174525218659E-2</v>
      </c>
      <c r="AC629" cm="1">
        <f t="array" ref="AC629">IFERROR(AVERAGE(_xlfn._xlws.FILTER(U$2:U$1073,($C$2:$C$1073=$C629)*($E$2:$E$1073=$E629)*(ROW(U$2:U$1073)&lt;&gt;ROW(U629))*(U$2:U$1073&lt;&gt;""))),"")</f>
        <v>2.2439808973911828</v>
      </c>
      <c r="AD629" cm="1">
        <f t="array" ref="AD629">IFERROR(AVERAGE(_xlfn._xlws.FILTER(V$2:V$1073,($C$2:$C$1073=$C629)*($E$2:$E$1073=$E629)*(ROW(V$2:V$1073)&lt;&gt;ROW(V629))*(V$2:V$1073&lt;&gt;""))),"")</f>
        <v>0.73030730900524554</v>
      </c>
      <c r="AE629">
        <f>IF('Дивиденды по годам'!M629&lt;0,1,0)</f>
        <v>0</v>
      </c>
    </row>
    <row r="630" spans="1:31" x14ac:dyDescent="0.2">
      <c r="A630" s="7" t="s">
        <v>2258</v>
      </c>
      <c r="B630" t="str">
        <f t="shared" si="99"/>
        <v>OZPH IV кв. 2021</v>
      </c>
      <c r="C630">
        <v>2021</v>
      </c>
      <c r="D630">
        <f>SUMIFS(Дивиденды!$C:$C,Дивиденды!$A:$A,A630,Дивиденды!$I:$I,C630)</f>
        <v>0</v>
      </c>
      <c r="E630">
        <v>4</v>
      </c>
      <c r="F630">
        <f t="shared" si="100"/>
        <v>0</v>
      </c>
      <c r="G630">
        <f t="shared" si="101"/>
        <v>31.931428571428572</v>
      </c>
      <c r="H630">
        <f t="shared" si="102"/>
        <v>0</v>
      </c>
      <c r="I630">
        <f t="shared" si="103"/>
        <v>0.2857142857142857</v>
      </c>
      <c r="J630">
        <f t="shared" si="104"/>
        <v>0</v>
      </c>
      <c r="K630">
        <f t="shared" si="109"/>
        <v>0.1975016604235505</v>
      </c>
      <c r="L630">
        <f t="shared" si="105"/>
        <v>0</v>
      </c>
      <c r="M630">
        <f t="shared" si="106"/>
        <v>0.21428571428571427</v>
      </c>
      <c r="N630">
        <f t="shared" si="107"/>
        <v>0</v>
      </c>
      <c r="O630">
        <f t="shared" si="108"/>
        <v>7.1428571428571425E-2</v>
      </c>
      <c r="P630">
        <f>IFERROR(LN('Дивиденды по годам'!I630),"")</f>
        <v>24.113871254619543</v>
      </c>
      <c r="Q630">
        <f>IFERROR('Дивиденды по годам'!G630/'Дивиденды по годам'!I630, "")</f>
        <v>0.16365282372764942</v>
      </c>
      <c r="R630" t="str">
        <f>IFERROR(IF(AND('Дивиденды по годам'!N630&lt;&gt;"",'Дивиденды по годам'!U630&lt;&gt;"",'Дивиденды по годам'!U630&lt;&gt;0),'Дивиденды по годам'!N630/'Дивиденды по годам'!U630-1,""),"")</f>
        <v/>
      </c>
      <c r="S630">
        <f>IFERROR(IF(AND('Дивиденды по годам'!L630&lt;&gt;"",'Дивиденды по годам'!I630&lt;&gt;"",'Дивиденды по годам'!J630&lt;&gt;"",'Дивиденды по годам'!K630&lt;&gt;"",('Дивиденды по годам'!I630-'Дивиденды по годам'!J630-'Дивиденды по годам'!K630)&lt;&gt;0),'Дивиденды по годам'!L630/('Дивиденды по годам'!I630-'Дивиденды по годам'!J630-'Дивиденды по годам'!K630),""),"")</f>
        <v>0.98015227735426413</v>
      </c>
      <c r="T630" t="str">
        <f>IFERROR(IF(AND('Дивиденды по годам'!Q630&lt;&gt;"",'Дивиденды по годам'!I630&lt;&gt;"",'Дивиденды по годам'!V630&lt;&gt;"",('Дивиденды по годам'!I630+'Дивиденды по годам'!V630)&lt;&gt;0),'Дивиденды по годам'!Q630/(('Дивиденды по годам'!I630+'Дивиденды по годам'!V630)/2),""),"")</f>
        <v/>
      </c>
      <c r="U630">
        <f>IFERROR(IF(AND('Дивиденды по годам'!J630&lt;&gt;"",'Дивиденды по годам'!K630&lt;&gt;"",'Дивиденды по годам'!M630&lt;&gt;"",'Дивиденды по годам'!M630&lt;&gt;0),('Дивиденды по годам'!J630+'Дивиденды по годам'!K630)/'Дивиденды по годам'!M630,""),"")</f>
        <v>1.3195203602471057</v>
      </c>
      <c r="V630">
        <f>IFERROR(IF(AND('Дивиденды по годам'!J630&lt;&gt;"",'Дивиденды по годам'!K630&lt;&gt;"",'Дивиденды по годам'!M630&lt;&gt;"",'Дивиденды по годам'!I630&lt;&gt;0),('Дивиденды по годам'!J630+'Дивиденды по годам'!K630)/'Дивиденды по годам'!I630,""),"")</f>
        <v>0.56887638619672776</v>
      </c>
      <c r="W630">
        <f>IFERROR('Дивиденды по годам'!I630,"")</f>
        <v>29683918000</v>
      </c>
      <c r="X630" cm="1">
        <f t="array" ref="X630">IFERROR(AVERAGE(_xlfn._xlws.FILTER(P$2:P$1073,($C$2:$C$1073=$C630)*($E$2:$E$1073=$E630)*(ROW(P$2:P$1073)&lt;&gt;ROW(P630))*(P$2:P$1073&lt;&gt;""))),"")</f>
        <v>25.277478433027202</v>
      </c>
      <c r="Y630" cm="1">
        <f t="array" ref="Y630">IFERROR(AVERAGE(_xlfn._xlws.FILTER(Q$2:Q$1073,($C$2:$C$1073=$C630)*($E$2:$E$1073=$E630)*(ROW(Q$2:Q$1073)&lt;&gt;ROW(Q630))*(Q$2:Q$1073&lt;&gt;""))),"")</f>
        <v>0.24122648509163988</v>
      </c>
      <c r="Z630" cm="1">
        <f t="array" ref="Z630">IFERROR(AVERAGE(_xlfn._xlws.FILTER(R$2:R$1073,($C$2:$C$1073=$C630)*($E$2:$E$1073=$E630)*(ROW(R$2:R$1073)&lt;&gt;ROW(R630))*(R$2:R$1073&lt;&gt;""))),"")</f>
        <v>0.31760921072336168</v>
      </c>
      <c r="AA630" cm="1">
        <f t="array" ref="AA630">IFERROR(AVERAGE(_xlfn._xlws.FILTER(S$2:S$1073,($C$2:$C$1073=$C630)*($E$2:$E$1073=$E630)*(ROW(S$2:S$1073)&lt;&gt;ROW(S630))*(S$2:S$1073&lt;&gt;""))),"")</f>
        <v>1.3506746294977354</v>
      </c>
      <c r="AB630" cm="1">
        <f t="array" ref="AB630">IFERROR(AVERAGE(_xlfn._xlws.FILTER(T$2:T$1073,($C$2:$C$1073=$C630)*($E$2:$E$1073=$E630)*(ROW(T$2:T$1073)&lt;&gt;ROW(T630))*(T$2:T$1073&lt;&gt;""))),"")</f>
        <v>0.10239490834794492</v>
      </c>
      <c r="AC630" cm="1">
        <f t="array" ref="AC630">IFERROR(AVERAGE(_xlfn._xlws.FILTER(U$2:U$1073,($C$2:$C$1073=$C630)*($E$2:$E$1073=$E630)*(ROW(U$2:U$1073)&lt;&gt;ROW(U630))*(U$2:U$1073&lt;&gt;""))),"")</f>
        <v>18.238557652598935</v>
      </c>
      <c r="AD630" cm="1">
        <f t="array" ref="AD630">IFERROR(AVERAGE(_xlfn._xlws.FILTER(V$2:V$1073,($C$2:$C$1073=$C630)*($E$2:$E$1073=$E630)*(ROW(V$2:V$1073)&lt;&gt;ROW(V630))*(V$2:V$1073&lt;&gt;""))),"")</f>
        <v>0.78974004697958022</v>
      </c>
      <c r="AE630">
        <f>IF('Дивиденды по годам'!M630&lt;0,1,0)</f>
        <v>0</v>
      </c>
    </row>
    <row r="631" spans="1:31" x14ac:dyDescent="0.2">
      <c r="A631" s="7" t="s">
        <v>2258</v>
      </c>
      <c r="B631" t="str">
        <f t="shared" si="99"/>
        <v>OZPH IV кв. 2020</v>
      </c>
      <c r="C631">
        <v>2020</v>
      </c>
      <c r="D631">
        <f>SUMIFS(Дивиденды!$C:$C,Дивиденды!$A:$A,A631,Дивиденды!$I:$I,C631)</f>
        <v>0</v>
      </c>
      <c r="E631">
        <v>4</v>
      </c>
      <c r="F631">
        <f t="shared" si="100"/>
        <v>0</v>
      </c>
      <c r="G631">
        <f t="shared" si="101"/>
        <v>43.293571428571433</v>
      </c>
      <c r="H631">
        <f t="shared" si="102"/>
        <v>0</v>
      </c>
      <c r="I631">
        <f t="shared" si="103"/>
        <v>0.2857142857142857</v>
      </c>
      <c r="J631">
        <f t="shared" si="104"/>
        <v>0</v>
      </c>
      <c r="K631">
        <f t="shared" si="109"/>
        <v>0.26831617204892738</v>
      </c>
      <c r="L631">
        <f t="shared" si="105"/>
        <v>0</v>
      </c>
      <c r="M631">
        <f t="shared" si="106"/>
        <v>0.2857142857142857</v>
      </c>
      <c r="N631">
        <f t="shared" si="107"/>
        <v>0</v>
      </c>
      <c r="O631">
        <f t="shared" si="108"/>
        <v>0</v>
      </c>
      <c r="P631" t="str">
        <f>IFERROR(LN('Дивиденды по годам'!I631),"")</f>
        <v/>
      </c>
      <c r="Q631" t="str">
        <f>IFERROR('Дивиденды по годам'!G631/'Дивиденды по годам'!I631, "")</f>
        <v/>
      </c>
      <c r="R631" t="str">
        <f>IFERROR(IF(AND('Дивиденды по годам'!N631&lt;&gt;"",'Дивиденды по годам'!U631&lt;&gt;"",'Дивиденды по годам'!U631&lt;&gt;0),'Дивиденды по годам'!N631/'Дивиденды по годам'!U631-1,""),"")</f>
        <v/>
      </c>
      <c r="S631" t="str">
        <f>IFERROR(IF(AND('Дивиденды по годам'!L631&lt;&gt;"",'Дивиденды по годам'!I631&lt;&gt;"",'Дивиденды по годам'!J631&lt;&gt;"",'Дивиденды по годам'!K631&lt;&gt;"",('Дивиденды по годам'!I631-'Дивиденды по годам'!J631-'Дивиденды по годам'!K631)&lt;&gt;0),'Дивиденды по годам'!L631/('Дивиденды по годам'!I631-'Дивиденды по годам'!J631-'Дивиденды по годам'!K631),""),"")</f>
        <v/>
      </c>
      <c r="T631" t="str">
        <f>IFERROR(IF(AND('Дивиденды по годам'!Q631&lt;&gt;"",'Дивиденды по годам'!I631&lt;&gt;"",'Дивиденды по годам'!V631&lt;&gt;"",('Дивиденды по годам'!I631+'Дивиденды по годам'!V631)&lt;&gt;0),'Дивиденды по годам'!Q631/(('Дивиденды по годам'!I631+'Дивиденды по годам'!V631)/2),""),"")</f>
        <v/>
      </c>
      <c r="U631" t="str">
        <f>IFERROR(IF(AND('Дивиденды по годам'!J631&lt;&gt;"",'Дивиденды по годам'!K631&lt;&gt;"",'Дивиденды по годам'!M631&lt;&gt;"",'Дивиденды по годам'!M631&lt;&gt;0),('Дивиденды по годам'!J631+'Дивиденды по годам'!K631)/'Дивиденды по годам'!M631,""),"")</f>
        <v/>
      </c>
      <c r="V631" t="str">
        <f>IFERROR(IF(AND('Дивиденды по годам'!J631&lt;&gt;"",'Дивиденды по годам'!K631&lt;&gt;"",'Дивиденды по годам'!M631&lt;&gt;"",'Дивиденды по годам'!I631&lt;&gt;0),('Дивиденды по годам'!J631+'Дивиденды по годам'!K631)/'Дивиденды по годам'!I631,""),"")</f>
        <v/>
      </c>
      <c r="W631" t="str">
        <f>IFERROR('Дивиденды по годам'!I631,"")</f>
        <v/>
      </c>
      <c r="X631" cm="1">
        <f t="array" ref="X631">IFERROR(AVERAGE(_xlfn._xlws.FILTER(P$2:P$1073,($C$2:$C$1073=$C631)*($E$2:$E$1073=$E631)*(ROW(P$2:P$1073)&lt;&gt;ROW(P631))*(P$2:P$1073&lt;&gt;""))),"")</f>
        <v>25.279360907920736</v>
      </c>
      <c r="Y631" cm="1">
        <f t="array" ref="Y631">IFERROR(AVERAGE(_xlfn._xlws.FILTER(Q$2:Q$1073,($C$2:$C$1073=$C631)*($E$2:$E$1073=$E631)*(ROW(Q$2:Q$1073)&lt;&gt;ROW(Q631))*(Q$2:Q$1073&lt;&gt;""))),"")</f>
        <v>0.26156752075221612</v>
      </c>
      <c r="Z631" cm="1">
        <f t="array" ref="Z631">IFERROR(AVERAGE(_xlfn._xlws.FILTER(R$2:R$1073,($C$2:$C$1073=$C631)*($E$2:$E$1073=$E631)*(ROW(R$2:R$1073)&lt;&gt;ROW(R631))*(R$2:R$1073&lt;&gt;""))),"")</f>
        <v>9.6830410579929804E-2</v>
      </c>
      <c r="AA631" cm="1">
        <f t="array" ref="AA631">IFERROR(AVERAGE(_xlfn._xlws.FILTER(S$2:S$1073,($C$2:$C$1073=$C631)*($E$2:$E$1073=$E631)*(ROW(S$2:S$1073)&lt;&gt;ROW(S631))*(S$2:S$1073&lt;&gt;""))),"")</f>
        <v>1.7199758573549004</v>
      </c>
      <c r="AB631" cm="1">
        <f t="array" ref="AB631">IFERROR(AVERAGE(_xlfn._xlws.FILTER(T$2:T$1073,($C$2:$C$1073=$C631)*($E$2:$E$1073=$E631)*(ROW(T$2:T$1073)&lt;&gt;ROW(T631))*(T$2:T$1073&lt;&gt;""))),"")</f>
        <v>6.7482119215201988E-2</v>
      </c>
      <c r="AC631" cm="1">
        <f t="array" ref="AC631">IFERROR(AVERAGE(_xlfn._xlws.FILTER(U$2:U$1073,($C$2:$C$1073=$C631)*($E$2:$E$1073=$E631)*(ROW(U$2:U$1073)&lt;&gt;ROW(U631))*(U$2:U$1073&lt;&gt;""))),"")</f>
        <v>-10.291341252885539</v>
      </c>
      <c r="AD631" cm="1">
        <f t="array" ref="AD631">IFERROR(AVERAGE(_xlfn._xlws.FILTER(V$2:V$1073,($C$2:$C$1073=$C631)*($E$2:$E$1073=$E631)*(ROW(V$2:V$1073)&lt;&gt;ROW(V631))*(V$2:V$1073&lt;&gt;""))),"")</f>
        <v>0.77820650148801684</v>
      </c>
      <c r="AE631">
        <f>IF('Дивиденды по годам'!M631&lt;0,1,0)</f>
        <v>0</v>
      </c>
    </row>
    <row r="632" spans="1:31" x14ac:dyDescent="0.2">
      <c r="A632" s="7" t="s">
        <v>2258</v>
      </c>
      <c r="B632" t="str">
        <f t="shared" si="99"/>
        <v>OZPH IV кв. 2019</v>
      </c>
      <c r="C632">
        <v>2019</v>
      </c>
      <c r="D632">
        <f>SUMIFS(Дивиденды!$C:$C,Дивиденды!$A:$A,A632,Дивиденды!$I:$I,C632)</f>
        <v>0</v>
      </c>
      <c r="E632">
        <v>4</v>
      </c>
      <c r="F632">
        <f t="shared" si="100"/>
        <v>0</v>
      </c>
      <c r="G632">
        <f t="shared" si="101"/>
        <v>24.398571428571426</v>
      </c>
      <c r="H632">
        <f t="shared" si="102"/>
        <v>0</v>
      </c>
      <c r="I632">
        <f t="shared" si="103"/>
        <v>0.21428571428571427</v>
      </c>
      <c r="J632">
        <f t="shared" si="104"/>
        <v>0</v>
      </c>
      <c r="K632">
        <f t="shared" si="109"/>
        <v>0.10876410731109194</v>
      </c>
      <c r="L632">
        <f t="shared" si="105"/>
        <v>0</v>
      </c>
      <c r="M632">
        <f t="shared" si="106"/>
        <v>0.21428571428571427</v>
      </c>
      <c r="N632">
        <f t="shared" si="107"/>
        <v>0</v>
      </c>
      <c r="O632">
        <f t="shared" si="108"/>
        <v>0</v>
      </c>
      <c r="P632" t="str">
        <f>IFERROR(LN('Дивиденды по годам'!I632),"")</f>
        <v/>
      </c>
      <c r="Q632" t="str">
        <f>IFERROR('Дивиденды по годам'!G632/'Дивиденды по годам'!I632, "")</f>
        <v/>
      </c>
      <c r="R632" t="str">
        <f>IFERROR(IF(AND('Дивиденды по годам'!N632&lt;&gt;"",'Дивиденды по годам'!U632&lt;&gt;"",'Дивиденды по годам'!U632&lt;&gt;0),'Дивиденды по годам'!N632/'Дивиденды по годам'!U632-1,""),"")</f>
        <v/>
      </c>
      <c r="S632" t="str">
        <f>IFERROR(IF(AND('Дивиденды по годам'!L632&lt;&gt;"",'Дивиденды по годам'!I632&lt;&gt;"",'Дивиденды по годам'!J632&lt;&gt;"",'Дивиденды по годам'!K632&lt;&gt;"",('Дивиденды по годам'!I632-'Дивиденды по годам'!J632-'Дивиденды по годам'!K632)&lt;&gt;0),'Дивиденды по годам'!L632/('Дивиденды по годам'!I632-'Дивиденды по годам'!J632-'Дивиденды по годам'!K632),""),"")</f>
        <v/>
      </c>
      <c r="T632" t="str">
        <f>IFERROR(IF(AND('Дивиденды по годам'!Q632&lt;&gt;"",'Дивиденды по годам'!I632&lt;&gt;"",'Дивиденды по годам'!V632&lt;&gt;"",('Дивиденды по годам'!I632+'Дивиденды по годам'!V632)&lt;&gt;0),'Дивиденды по годам'!Q632/(('Дивиденды по годам'!I632+'Дивиденды по годам'!V632)/2),""),"")</f>
        <v/>
      </c>
      <c r="U632" t="str">
        <f>IFERROR(IF(AND('Дивиденды по годам'!J632&lt;&gt;"",'Дивиденды по годам'!K632&lt;&gt;"",'Дивиденды по годам'!M632&lt;&gt;"",'Дивиденды по годам'!M632&lt;&gt;0),('Дивиденды по годам'!J632+'Дивиденды по годам'!K632)/'Дивиденды по годам'!M632,""),"")</f>
        <v/>
      </c>
      <c r="V632" t="str">
        <f>IFERROR(IF(AND('Дивиденды по годам'!J632&lt;&gt;"",'Дивиденды по годам'!K632&lt;&gt;"",'Дивиденды по годам'!M632&lt;&gt;"",'Дивиденды по годам'!I632&lt;&gt;0),('Дивиденды по годам'!J632+'Дивиденды по годам'!K632)/'Дивиденды по годам'!I632,""),"")</f>
        <v/>
      </c>
      <c r="W632" t="str">
        <f>IFERROR('Дивиденды по годам'!I632,"")</f>
        <v/>
      </c>
      <c r="X632" cm="1">
        <f t="array" ref="X632">IFERROR(AVERAGE(_xlfn._xlws.FILTER(P$2:P$1073,($C$2:$C$1073=$C632)*($E$2:$E$1073=$E632)*(ROW(P$2:P$1073)&lt;&gt;ROW(P632))*(P$2:P$1073&lt;&gt;""))),"")</f>
        <v>25.116045651461882</v>
      </c>
      <c r="Y632" cm="1">
        <f t="array" ref="Y632">IFERROR(AVERAGE(_xlfn._xlws.FILTER(Q$2:Q$1073,($C$2:$C$1073=$C632)*($E$2:$E$1073=$E632)*(ROW(Q$2:Q$1073)&lt;&gt;ROW(Q632))*(Q$2:Q$1073&lt;&gt;""))),"")</f>
        <v>0.27081451761564085</v>
      </c>
      <c r="Z632" cm="1">
        <f t="array" ref="Z632">IFERROR(AVERAGE(_xlfn._xlws.FILTER(R$2:R$1073,($C$2:$C$1073=$C632)*($E$2:$E$1073=$E632)*(ROW(R$2:R$1073)&lt;&gt;ROW(R632))*(R$2:R$1073&lt;&gt;""))),"")</f>
        <v>0.41255485917491075</v>
      </c>
      <c r="AA632" cm="1">
        <f t="array" ref="AA632">IFERROR(AVERAGE(_xlfn._xlws.FILTER(S$2:S$1073,($C$2:$C$1073=$C632)*($E$2:$E$1073=$E632)*(ROW(S$2:S$1073)&lt;&gt;ROW(S632))*(S$2:S$1073&lt;&gt;""))),"")</f>
        <v>0.89707160002220321</v>
      </c>
      <c r="AB632" cm="1">
        <f t="array" ref="AB632">IFERROR(AVERAGE(_xlfn._xlws.FILTER(T$2:T$1073,($C$2:$C$1073=$C632)*($E$2:$E$1073=$E632)*(ROW(T$2:T$1073)&lt;&gt;ROW(T632))*(T$2:T$1073&lt;&gt;""))),"")</f>
        <v>4.8479450567785541E-2</v>
      </c>
      <c r="AC632" cm="1">
        <f t="array" ref="AC632">IFERROR(AVERAGE(_xlfn._xlws.FILTER(U$2:U$1073,($C$2:$C$1073=$C632)*($E$2:$E$1073=$E632)*(ROW(U$2:U$1073)&lt;&gt;ROW(U632))*(U$2:U$1073&lt;&gt;""))),"")</f>
        <v>-2.6443211935212805</v>
      </c>
      <c r="AD632" cm="1">
        <f t="array" ref="AD632">IFERROR(AVERAGE(_xlfn._xlws.FILTER(V$2:V$1073,($C$2:$C$1073=$C632)*($E$2:$E$1073=$E632)*(ROW(V$2:V$1073)&lt;&gt;ROW(V632))*(V$2:V$1073&lt;&gt;""))),"")</f>
        <v>0.81339122582508594</v>
      </c>
      <c r="AE632">
        <f>IF('Дивиденды по годам'!M632&lt;0,1,0)</f>
        <v>0</v>
      </c>
    </row>
    <row r="633" spans="1:31" x14ac:dyDescent="0.2">
      <c r="A633" s="7" t="s">
        <v>2258</v>
      </c>
      <c r="B633" t="str">
        <f t="shared" si="99"/>
        <v>OZPH IV кв. 2018</v>
      </c>
      <c r="C633">
        <v>2018</v>
      </c>
      <c r="D633">
        <f>SUMIFS(Дивиденды!$C:$C,Дивиденды!$A:$A,A633,Дивиденды!$I:$I,C633)</f>
        <v>0</v>
      </c>
      <c r="E633">
        <v>4</v>
      </c>
      <c r="F633">
        <f t="shared" si="100"/>
        <v>0</v>
      </c>
      <c r="G633">
        <f t="shared" si="101"/>
        <v>21.978571428571428</v>
      </c>
      <c r="H633">
        <f t="shared" si="102"/>
        <v>0</v>
      </c>
      <c r="I633">
        <f t="shared" si="103"/>
        <v>0.14285714285714285</v>
      </c>
      <c r="J633">
        <f t="shared" si="104"/>
        <v>0</v>
      </c>
      <c r="K633">
        <f t="shared" si="109"/>
        <v>-1.8223065562117002E-2</v>
      </c>
      <c r="L633">
        <f t="shared" si="105"/>
        <v>0</v>
      </c>
      <c r="M633">
        <f t="shared" si="106"/>
        <v>7.1428571428571425E-2</v>
      </c>
      <c r="N633">
        <f t="shared" si="107"/>
        <v>0</v>
      </c>
      <c r="O633">
        <f t="shared" si="108"/>
        <v>7.1428571428571425E-2</v>
      </c>
      <c r="P633" t="str">
        <f>IFERROR(LN('Дивиденды по годам'!I633),"")</f>
        <v/>
      </c>
      <c r="Q633" t="str">
        <f>IFERROR('Дивиденды по годам'!G633/'Дивиденды по годам'!I633, "")</f>
        <v/>
      </c>
      <c r="R633" t="str">
        <f>IFERROR(IF(AND('Дивиденды по годам'!N633&lt;&gt;"",'Дивиденды по годам'!U633&lt;&gt;"",'Дивиденды по годам'!U633&lt;&gt;0),'Дивиденды по годам'!N633/'Дивиденды по годам'!U633-1,""),"")</f>
        <v/>
      </c>
      <c r="S633" t="str">
        <f>IFERROR(IF(AND('Дивиденды по годам'!L633&lt;&gt;"",'Дивиденды по годам'!I633&lt;&gt;"",'Дивиденды по годам'!J633&lt;&gt;"",'Дивиденды по годам'!K633&lt;&gt;"",('Дивиденды по годам'!I633-'Дивиденды по годам'!J633-'Дивиденды по годам'!K633)&lt;&gt;0),'Дивиденды по годам'!L633/('Дивиденды по годам'!I633-'Дивиденды по годам'!J633-'Дивиденды по годам'!K633),""),"")</f>
        <v/>
      </c>
      <c r="T633" t="str">
        <f>IFERROR(IF(AND('Дивиденды по годам'!Q633&lt;&gt;"",'Дивиденды по годам'!I633&lt;&gt;"",'Дивиденды по годам'!V633&lt;&gt;"",('Дивиденды по годам'!I633+'Дивиденды по годам'!V633)&lt;&gt;0),'Дивиденды по годам'!Q633/(('Дивиденды по годам'!I633+'Дивиденды по годам'!V633)/2),""),"")</f>
        <v/>
      </c>
      <c r="U633" t="str">
        <f>IFERROR(IF(AND('Дивиденды по годам'!J633&lt;&gt;"",'Дивиденды по годам'!K633&lt;&gt;"",'Дивиденды по годам'!M633&lt;&gt;"",'Дивиденды по годам'!M633&lt;&gt;0),('Дивиденды по годам'!J633+'Дивиденды по годам'!K633)/'Дивиденды по годам'!M633,""),"")</f>
        <v/>
      </c>
      <c r="V633" t="str">
        <f>IFERROR(IF(AND('Дивиденды по годам'!J633&lt;&gt;"",'Дивиденды по годам'!K633&lt;&gt;"",'Дивиденды по годам'!M633&lt;&gt;"",'Дивиденды по годам'!I633&lt;&gt;0),('Дивиденды по годам'!J633+'Дивиденды по годам'!K633)/'Дивиденды по годам'!I633,""),"")</f>
        <v/>
      </c>
      <c r="W633" t="str">
        <f>IFERROR('Дивиденды по годам'!I633,"")</f>
        <v/>
      </c>
      <c r="X633" cm="1">
        <f t="array" ref="X633">IFERROR(AVERAGE(_xlfn._xlws.FILTER(P$2:P$1073,($C$2:$C$1073=$C633)*($E$2:$E$1073=$E633)*(ROW(P$2:P$1073)&lt;&gt;ROW(P633))*(P$2:P$1073&lt;&gt;""))),"")</f>
        <v>24.908270704496481</v>
      </c>
      <c r="Y633" cm="1">
        <f t="array" ref="Y633">IFERROR(AVERAGE(_xlfn._xlws.FILTER(Q$2:Q$1073,($C$2:$C$1073=$C633)*($E$2:$E$1073=$E633)*(ROW(Q$2:Q$1073)&lt;&gt;ROW(Q633))*(Q$2:Q$1073&lt;&gt;""))),"")</f>
        <v>0.31629947227527405</v>
      </c>
      <c r="Z633" cm="1">
        <f t="array" ref="Z633">IFERROR(AVERAGE(_xlfn._xlws.FILTER(R$2:R$1073,($C$2:$C$1073=$C633)*($E$2:$E$1073=$E633)*(ROW(R$2:R$1073)&lt;&gt;ROW(R633))*(R$2:R$1073&lt;&gt;""))),"")</f>
        <v>5.6638288450543382E-2</v>
      </c>
      <c r="AA633" cm="1">
        <f t="array" ref="AA633">IFERROR(AVERAGE(_xlfn._xlws.FILTER(S$2:S$1073,($C$2:$C$1073=$C633)*($E$2:$E$1073=$E633)*(ROW(S$2:S$1073)&lt;&gt;ROW(S633))*(S$2:S$1073&lt;&gt;""))),"")</f>
        <v>0.64427650310006845</v>
      </c>
      <c r="AB633" cm="1">
        <f t="array" ref="AB633">IFERROR(AVERAGE(_xlfn._xlws.FILTER(T$2:T$1073,($C$2:$C$1073=$C633)*($E$2:$E$1073=$E633)*(ROW(T$2:T$1073)&lt;&gt;ROW(T633))*(T$2:T$1073&lt;&gt;""))),"")</f>
        <v>7.1418821660913928E-3</v>
      </c>
      <c r="AC633" cm="1">
        <f t="array" ref="AC633">IFERROR(AVERAGE(_xlfn._xlws.FILTER(U$2:U$1073,($C$2:$C$1073=$C633)*($E$2:$E$1073=$E633)*(ROW(U$2:U$1073)&lt;&gt;ROW(U633))*(U$2:U$1073&lt;&gt;""))),"")</f>
        <v>1.0767813683356515</v>
      </c>
      <c r="AD633" cm="1">
        <f t="array" ref="AD633">IFERROR(AVERAGE(_xlfn._xlws.FILTER(V$2:V$1073,($C$2:$C$1073=$C633)*($E$2:$E$1073=$E633)*(ROW(V$2:V$1073)&lt;&gt;ROW(V633))*(V$2:V$1073&lt;&gt;""))),"")</f>
        <v>0.81626365949041058</v>
      </c>
      <c r="AE633">
        <f>IF('Дивиденды по годам'!M633&lt;0,1,0)</f>
        <v>0</v>
      </c>
    </row>
    <row r="634" spans="1:31" x14ac:dyDescent="0.2">
      <c r="A634" s="7" t="s">
        <v>2258</v>
      </c>
      <c r="B634" t="str">
        <f t="shared" si="99"/>
        <v>OZPH IV кв. 2017</v>
      </c>
      <c r="C634">
        <v>2017</v>
      </c>
      <c r="D634">
        <f>SUMIFS(Дивиденды!$C:$C,Дивиденды!$A:$A,A634,Дивиденды!$I:$I,C634)</f>
        <v>0</v>
      </c>
      <c r="E634">
        <v>4</v>
      </c>
      <c r="F634">
        <f t="shared" si="100"/>
        <v>0</v>
      </c>
      <c r="G634">
        <f t="shared" si="101"/>
        <v>18.403571428571428</v>
      </c>
      <c r="H634">
        <f t="shared" si="102"/>
        <v>0</v>
      </c>
      <c r="I634">
        <f t="shared" si="103"/>
        <v>0.14285714285714285</v>
      </c>
      <c r="J634">
        <f t="shared" si="104"/>
        <v>0</v>
      </c>
      <c r="K634">
        <f t="shared" si="109"/>
        <v>-1.7352821773673279E-2</v>
      </c>
      <c r="L634">
        <f t="shared" si="105"/>
        <v>0</v>
      </c>
      <c r="M634">
        <f t="shared" si="106"/>
        <v>0</v>
      </c>
      <c r="N634">
        <f t="shared" si="107"/>
        <v>0</v>
      </c>
      <c r="O634">
        <f t="shared" si="108"/>
        <v>0.14285714285714285</v>
      </c>
      <c r="P634" t="str">
        <f>IFERROR(LN('Дивиденды по годам'!I634),"")</f>
        <v/>
      </c>
      <c r="Q634" t="str">
        <f>IFERROR('Дивиденды по годам'!G634/'Дивиденды по годам'!I634, "")</f>
        <v/>
      </c>
      <c r="R634" t="str">
        <f>IFERROR(IF(AND('Дивиденды по годам'!N634&lt;&gt;"",'Дивиденды по годам'!U634&lt;&gt;"",'Дивиденды по годам'!U634&lt;&gt;0),'Дивиденды по годам'!N634/'Дивиденды по годам'!U634-1,""),"")</f>
        <v/>
      </c>
      <c r="S634" t="str">
        <f>IFERROR(IF(AND('Дивиденды по годам'!L634&lt;&gt;"",'Дивиденды по годам'!I634&lt;&gt;"",'Дивиденды по годам'!J634&lt;&gt;"",'Дивиденды по годам'!K634&lt;&gt;"",('Дивиденды по годам'!I634-'Дивиденды по годам'!J634-'Дивиденды по годам'!K634)&lt;&gt;0),'Дивиденды по годам'!L634/('Дивиденды по годам'!I634-'Дивиденды по годам'!J634-'Дивиденды по годам'!K634),""),"")</f>
        <v/>
      </c>
      <c r="T634" t="str">
        <f>IFERROR(IF(AND('Дивиденды по годам'!Q634&lt;&gt;"",'Дивиденды по годам'!I634&lt;&gt;"",'Дивиденды по годам'!V634&lt;&gt;"",('Дивиденды по годам'!I634+'Дивиденды по годам'!V634)&lt;&gt;0),'Дивиденды по годам'!Q634/(('Дивиденды по годам'!I634+'Дивиденды по годам'!V634)/2),""),"")</f>
        <v/>
      </c>
      <c r="U634" t="str">
        <f>IFERROR(IF(AND('Дивиденды по годам'!J634&lt;&gt;"",'Дивиденды по годам'!K634&lt;&gt;"",'Дивиденды по годам'!M634&lt;&gt;"",'Дивиденды по годам'!M634&lt;&gt;0),('Дивиденды по годам'!J634+'Дивиденды по годам'!K634)/'Дивиденды по годам'!M634,""),"")</f>
        <v/>
      </c>
      <c r="V634" t="str">
        <f>IFERROR(IF(AND('Дивиденды по годам'!J634&lt;&gt;"",'Дивиденды по годам'!K634&lt;&gt;"",'Дивиденды по годам'!M634&lt;&gt;"",'Дивиденды по годам'!I634&lt;&gt;0),('Дивиденды по годам'!J634+'Дивиденды по годам'!K634)/'Дивиденды по годам'!I634,""),"")</f>
        <v/>
      </c>
      <c r="W634" t="str">
        <f>IFERROR('Дивиденды по годам'!I634,"")</f>
        <v/>
      </c>
      <c r="X634" cm="1">
        <f t="array" ref="X634">IFERROR(AVERAGE(_xlfn._xlws.FILTER(P$2:P$1073,($C$2:$C$1073=$C634)*($E$2:$E$1073=$E634)*(ROW(P$2:P$1073)&lt;&gt;ROW(P634))*(P$2:P$1073&lt;&gt;""))),"")</f>
        <v>24.73571056544559</v>
      </c>
      <c r="Y634" cm="1">
        <f t="array" ref="Y634">IFERROR(AVERAGE(_xlfn._xlws.FILTER(Q$2:Q$1073,($C$2:$C$1073=$C634)*($E$2:$E$1073=$E634)*(ROW(Q$2:Q$1073)&lt;&gt;ROW(Q634))*(Q$2:Q$1073&lt;&gt;""))),"")</f>
        <v>0.33981210980429821</v>
      </c>
      <c r="Z634" cm="1">
        <f t="array" ref="Z634">IFERROR(AVERAGE(_xlfn._xlws.FILTER(R$2:R$1073,($C$2:$C$1073=$C634)*($E$2:$E$1073=$E634)*(ROW(R$2:R$1073)&lt;&gt;ROW(R634))*(R$2:R$1073&lt;&gt;""))),"")</f>
        <v>0.23691718521625563</v>
      </c>
      <c r="AA634" cm="1">
        <f t="array" ref="AA634">IFERROR(AVERAGE(_xlfn._xlws.FILTER(S$2:S$1073,($C$2:$C$1073=$C634)*($E$2:$E$1073=$E634)*(ROW(S$2:S$1073)&lt;&gt;ROW(S634))*(S$2:S$1073&lt;&gt;""))),"")</f>
        <v>0.61774629406594017</v>
      </c>
      <c r="AB634" cm="1">
        <f t="array" ref="AB634">IFERROR(AVERAGE(_xlfn._xlws.FILTER(T$2:T$1073,($C$2:$C$1073=$C634)*($E$2:$E$1073=$E634)*(ROW(T$2:T$1073)&lt;&gt;ROW(T634))*(T$2:T$1073&lt;&gt;""))),"")</f>
        <v>-2.7044382152168867E-2</v>
      </c>
      <c r="AC634" cm="1">
        <f t="array" ref="AC634">IFERROR(AVERAGE(_xlfn._xlws.FILTER(U$2:U$1073,($C$2:$C$1073=$C634)*($E$2:$E$1073=$E634)*(ROW(U$2:U$1073)&lt;&gt;ROW(U634))*(U$2:U$1073&lt;&gt;""))),"")</f>
        <v>0.62620703107195774</v>
      </c>
      <c r="AD634" cm="1">
        <f t="array" ref="AD634">IFERROR(AVERAGE(_xlfn._xlws.FILTER(V$2:V$1073,($C$2:$C$1073=$C634)*($E$2:$E$1073=$E634)*(ROW(V$2:V$1073)&lt;&gt;ROW(V634))*(V$2:V$1073&lt;&gt;""))),"")</f>
        <v>0.66654193671015471</v>
      </c>
      <c r="AE634">
        <f>IF('Дивиденды по годам'!M634&lt;0,1,0)</f>
        <v>0</v>
      </c>
    </row>
    <row r="635" spans="1:31" x14ac:dyDescent="0.2">
      <c r="A635" s="7" t="s">
        <v>2258</v>
      </c>
      <c r="B635" t="str">
        <f t="shared" si="99"/>
        <v>OZPH IV кв. 2016</v>
      </c>
      <c r="C635">
        <v>2016</v>
      </c>
      <c r="D635">
        <f>SUMIFS(Дивиденды!$C:$C,Дивиденды!$A:$A,A635,Дивиденды!$I:$I,C635)</f>
        <v>0</v>
      </c>
      <c r="E635">
        <v>4</v>
      </c>
      <c r="F635">
        <f t="shared" si="100"/>
        <v>0</v>
      </c>
      <c r="G635">
        <f t="shared" si="101"/>
        <v>20.421428571428571</v>
      </c>
      <c r="H635">
        <f t="shared" si="102"/>
        <v>0</v>
      </c>
      <c r="I635">
        <f t="shared" si="103"/>
        <v>0.14285714285714285</v>
      </c>
      <c r="J635">
        <f t="shared" si="104"/>
        <v>0</v>
      </c>
      <c r="K635">
        <f t="shared" si="109"/>
        <v>2.0593461763560781E-2</v>
      </c>
      <c r="L635">
        <f t="shared" si="105"/>
        <v>0</v>
      </c>
      <c r="M635">
        <f t="shared" si="106"/>
        <v>7.1428571428571425E-2</v>
      </c>
      <c r="N635">
        <f t="shared" si="107"/>
        <v>0</v>
      </c>
      <c r="O635">
        <f t="shared" si="108"/>
        <v>7.1428571428571425E-2</v>
      </c>
      <c r="P635" t="str">
        <f>IFERROR(LN('Дивиденды по годам'!I635),"")</f>
        <v/>
      </c>
      <c r="Q635" t="str">
        <f>IFERROR('Дивиденды по годам'!G635/'Дивиденды по годам'!I635, "")</f>
        <v/>
      </c>
      <c r="R635" t="str">
        <f>IFERROR(IF(AND('Дивиденды по годам'!N635&lt;&gt;"",'Дивиденды по годам'!U635&lt;&gt;"",'Дивиденды по годам'!U635&lt;&gt;0),'Дивиденды по годам'!N635/'Дивиденды по годам'!U635-1,""),"")</f>
        <v/>
      </c>
      <c r="S635" t="str">
        <f>IFERROR(IF(AND('Дивиденды по годам'!L635&lt;&gt;"",'Дивиденды по годам'!I635&lt;&gt;"",'Дивиденды по годам'!J635&lt;&gt;"",'Дивиденды по годам'!K635&lt;&gt;"",('Дивиденды по годам'!I635-'Дивиденды по годам'!J635-'Дивиденды по годам'!K635)&lt;&gt;0),'Дивиденды по годам'!L635/('Дивиденды по годам'!I635-'Дивиденды по годам'!J635-'Дивиденды по годам'!K635),""),"")</f>
        <v/>
      </c>
      <c r="T635" t="str">
        <f>IFERROR(IF(AND('Дивиденды по годам'!Q635&lt;&gt;"",'Дивиденды по годам'!I635&lt;&gt;"",'Дивиденды по годам'!V635&lt;&gt;"",('Дивиденды по годам'!I635+'Дивиденды по годам'!V635)&lt;&gt;0),'Дивиденды по годам'!Q635/(('Дивиденды по годам'!I635+'Дивиденды по годам'!V635)/2),""),"")</f>
        <v/>
      </c>
      <c r="U635" t="str">
        <f>IFERROR(IF(AND('Дивиденды по годам'!J635&lt;&gt;"",'Дивиденды по годам'!K635&lt;&gt;"",'Дивиденды по годам'!M635&lt;&gt;"",'Дивиденды по годам'!M635&lt;&gt;0),('Дивиденды по годам'!J635+'Дивиденды по годам'!K635)/'Дивиденды по годам'!M635,""),"")</f>
        <v/>
      </c>
      <c r="V635" t="str">
        <f>IFERROR(IF(AND('Дивиденды по годам'!J635&lt;&gt;"",'Дивиденды по годам'!K635&lt;&gt;"",'Дивиденды по годам'!M635&lt;&gt;"",'Дивиденды по годам'!I635&lt;&gt;0),('Дивиденды по годам'!J635+'Дивиденды по годам'!K635)/'Дивиденды по годам'!I635,""),"")</f>
        <v/>
      </c>
      <c r="W635" t="str">
        <f>IFERROR('Дивиденды по годам'!I635,"")</f>
        <v/>
      </c>
      <c r="X635" cm="1">
        <f t="array" ref="X635">IFERROR(AVERAGE(_xlfn._xlws.FILTER(P$2:P$1073,($C$2:$C$1073=$C635)*($E$2:$E$1073=$E635)*(ROW(P$2:P$1073)&lt;&gt;ROW(P635))*(P$2:P$1073&lt;&gt;""))),"")</f>
        <v>24.55530958635584</v>
      </c>
      <c r="Y635" cm="1">
        <f t="array" ref="Y635">IFERROR(AVERAGE(_xlfn._xlws.FILTER(Q$2:Q$1073,($C$2:$C$1073=$C635)*($E$2:$E$1073=$E635)*(ROW(Q$2:Q$1073)&lt;&gt;ROW(Q635))*(Q$2:Q$1073&lt;&gt;""))),"")</f>
        <v>0.27878606899788128</v>
      </c>
      <c r="Z635" cm="1">
        <f t="array" ref="Z635">IFERROR(AVERAGE(_xlfn._xlws.FILTER(R$2:R$1073,($C$2:$C$1073=$C635)*($E$2:$E$1073=$E635)*(ROW(R$2:R$1073)&lt;&gt;ROW(R635))*(R$2:R$1073&lt;&gt;""))),"")</f>
        <v>0.16612325919082049</v>
      </c>
      <c r="AA635" cm="1">
        <f t="array" ref="AA635">IFERROR(AVERAGE(_xlfn._xlws.FILTER(S$2:S$1073,($C$2:$C$1073=$C635)*($E$2:$E$1073=$E635)*(ROW(S$2:S$1073)&lt;&gt;ROW(S635))*(S$2:S$1073&lt;&gt;""))),"")</f>
        <v>6.2178681719613929</v>
      </c>
      <c r="AB635" cm="1">
        <f t="array" ref="AB635">IFERROR(AVERAGE(_xlfn._xlws.FILTER(T$2:T$1073,($C$2:$C$1073=$C635)*($E$2:$E$1073=$E635)*(ROW(T$2:T$1073)&lt;&gt;ROW(T635))*(T$2:T$1073&lt;&gt;""))),"")</f>
        <v>-2.007011623977166E-2</v>
      </c>
      <c r="AC635" cm="1">
        <f t="array" ref="AC635">IFERROR(AVERAGE(_xlfn._xlws.FILTER(U$2:U$1073,($C$2:$C$1073=$C635)*($E$2:$E$1073=$E635)*(ROW(U$2:U$1073)&lt;&gt;ROW(U635))*(U$2:U$1073&lt;&gt;""))),"")</f>
        <v>-16.044507701133888</v>
      </c>
      <c r="AD635" cm="1">
        <f t="array" ref="AD635">IFERROR(AVERAGE(_xlfn._xlws.FILTER(V$2:V$1073,($C$2:$C$1073=$C635)*($E$2:$E$1073=$E635)*(ROW(V$2:V$1073)&lt;&gt;ROW(V635))*(V$2:V$1073&lt;&gt;""))),"")</f>
        <v>0.64687882816141706</v>
      </c>
      <c r="AE635">
        <f>IF('Дивиденды по годам'!M635&lt;0,1,0)</f>
        <v>0</v>
      </c>
    </row>
    <row r="636" spans="1:31" x14ac:dyDescent="0.2">
      <c r="A636" s="7" t="s">
        <v>2258</v>
      </c>
      <c r="B636" t="str">
        <f t="shared" si="99"/>
        <v>OZPH IV кв. 2015</v>
      </c>
      <c r="C636">
        <v>2015</v>
      </c>
      <c r="D636">
        <f>SUMIFS(Дивиденды!$C:$C,Дивиденды!$A:$A,A636,Дивиденды!$I:$I,C636)</f>
        <v>0</v>
      </c>
      <c r="E636">
        <v>4</v>
      </c>
      <c r="F636">
        <f t="shared" si="100"/>
        <v>0</v>
      </c>
      <c r="G636">
        <f t="shared" si="101"/>
        <v>22.574999999999999</v>
      </c>
      <c r="H636">
        <f t="shared" si="102"/>
        <v>0</v>
      </c>
      <c r="I636">
        <f t="shared" si="103"/>
        <v>0.14285714285714285</v>
      </c>
      <c r="J636">
        <f t="shared" si="104"/>
        <v>0</v>
      </c>
      <c r="K636">
        <f t="shared" si="109"/>
        <v>6.1102189263868886E-2</v>
      </c>
      <c r="L636">
        <f t="shared" si="105"/>
        <v>0</v>
      </c>
      <c r="M636">
        <f t="shared" si="106"/>
        <v>7.1428571428571425E-2</v>
      </c>
      <c r="N636">
        <f t="shared" si="107"/>
        <v>0</v>
      </c>
      <c r="O636">
        <f t="shared" si="108"/>
        <v>7.1428571428571425E-2</v>
      </c>
      <c r="P636" t="str">
        <f>IFERROR(LN('Дивиденды по годам'!I636),"")</f>
        <v/>
      </c>
      <c r="Q636" t="str">
        <f>IFERROR('Дивиденды по годам'!G636/'Дивиденды по годам'!I636, "")</f>
        <v/>
      </c>
      <c r="R636" t="str">
        <f>IFERROR(IF(AND('Дивиденды по годам'!N636&lt;&gt;"",'Дивиденды по годам'!U636&lt;&gt;"",'Дивиденды по годам'!U636&lt;&gt;0),'Дивиденды по годам'!N636/'Дивиденды по годам'!U636-1,""),"")</f>
        <v/>
      </c>
      <c r="S636" t="str">
        <f>IFERROR(IF(AND('Дивиденды по годам'!L636&lt;&gt;"",'Дивиденды по годам'!I636&lt;&gt;"",'Дивиденды по годам'!J636&lt;&gt;"",'Дивиденды по годам'!K636&lt;&gt;"",('Дивиденды по годам'!I636-'Дивиденды по годам'!J636-'Дивиденды по годам'!K636)&lt;&gt;0),'Дивиденды по годам'!L636/('Дивиденды по годам'!I636-'Дивиденды по годам'!J636-'Дивиденды по годам'!K636),""),"")</f>
        <v/>
      </c>
      <c r="T636" t="str">
        <f>IFERROR(IF(AND('Дивиденды по годам'!Q636&lt;&gt;"",'Дивиденды по годам'!I636&lt;&gt;"",'Дивиденды по годам'!V636&lt;&gt;"",('Дивиденды по годам'!I636+'Дивиденды по годам'!V636)&lt;&gt;0),'Дивиденды по годам'!Q636/(('Дивиденды по годам'!I636+'Дивиденды по годам'!V636)/2),""),"")</f>
        <v/>
      </c>
      <c r="U636" t="str">
        <f>IFERROR(IF(AND('Дивиденды по годам'!J636&lt;&gt;"",'Дивиденды по годам'!K636&lt;&gt;"",'Дивиденды по годам'!M636&lt;&gt;"",'Дивиденды по годам'!M636&lt;&gt;0),('Дивиденды по годам'!J636+'Дивиденды по годам'!K636)/'Дивиденды по годам'!M636,""),"")</f>
        <v/>
      </c>
      <c r="V636" t="str">
        <f>IFERROR(IF(AND('Дивиденды по годам'!J636&lt;&gt;"",'Дивиденды по годам'!K636&lt;&gt;"",'Дивиденды по годам'!M636&lt;&gt;"",'Дивиденды по годам'!I636&lt;&gt;0),('Дивиденды по годам'!J636+'Дивиденды по годам'!K636)/'Дивиденды по годам'!I636,""),"")</f>
        <v/>
      </c>
      <c r="W636" t="str">
        <f>IFERROR('Дивиденды по годам'!I636,"")</f>
        <v/>
      </c>
      <c r="X636" cm="1">
        <f t="array" ref="X636">IFERROR(AVERAGE(_xlfn._xlws.FILTER(P$2:P$1073,($C$2:$C$1073=$C636)*($E$2:$E$1073=$E636)*(ROW(P$2:P$1073)&lt;&gt;ROW(P636))*(P$2:P$1073&lt;&gt;""))),"")</f>
        <v>24.784857390248948</v>
      </c>
      <c r="Y636" cm="1">
        <f t="array" ref="Y636">IFERROR(AVERAGE(_xlfn._xlws.FILTER(Q$2:Q$1073,($C$2:$C$1073=$C636)*($E$2:$E$1073=$E636)*(ROW(Q$2:Q$1073)&lt;&gt;ROW(Q636))*(Q$2:Q$1073&lt;&gt;""))),"")</f>
        <v>0.29707306985497267</v>
      </c>
      <c r="Z636" cm="1">
        <f t="array" ref="Z636">IFERROR(AVERAGE(_xlfn._xlws.FILTER(R$2:R$1073,($C$2:$C$1073=$C636)*($E$2:$E$1073=$E636)*(ROW(R$2:R$1073)&lt;&gt;ROW(R636))*(R$2:R$1073&lt;&gt;""))),"")</f>
        <v>0.20074687596566593</v>
      </c>
      <c r="AA636" cm="1">
        <f t="array" ref="AA636">IFERROR(AVERAGE(_xlfn._xlws.FILTER(S$2:S$1073,($C$2:$C$1073=$C636)*($E$2:$E$1073=$E636)*(ROW(S$2:S$1073)&lt;&gt;ROW(S636))*(S$2:S$1073&lt;&gt;""))),"")</f>
        <v>-0.60736862679830428</v>
      </c>
      <c r="AB636" cm="1">
        <f t="array" ref="AB636">IFERROR(AVERAGE(_xlfn._xlws.FILTER(T$2:T$1073,($C$2:$C$1073=$C636)*($E$2:$E$1073=$E636)*(ROW(T$2:T$1073)&lt;&gt;ROW(T636))*(T$2:T$1073&lt;&gt;""))),"")</f>
        <v>6.4031956193225284E-2</v>
      </c>
      <c r="AC636" cm="1">
        <f t="array" ref="AC636">IFERROR(AVERAGE(_xlfn._xlws.FILTER(U$2:U$1073,($C$2:$C$1073=$C636)*($E$2:$E$1073=$E636)*(ROW(U$2:U$1073)&lt;&gt;ROW(U636))*(U$2:U$1073&lt;&gt;""))),"")</f>
        <v>5.5189604575277329</v>
      </c>
      <c r="AD636" cm="1">
        <f t="array" ref="AD636">IFERROR(AVERAGE(_xlfn._xlws.FILTER(V$2:V$1073,($C$2:$C$1073=$C636)*($E$2:$E$1073=$E636)*(ROW(V$2:V$1073)&lt;&gt;ROW(V636))*(V$2:V$1073&lt;&gt;""))),"")</f>
        <v>0.63096522939864874</v>
      </c>
      <c r="AE636">
        <f>IF('Дивиденды по годам'!M636&lt;0,1,0)</f>
        <v>0</v>
      </c>
    </row>
    <row r="637" spans="1:31" x14ac:dyDescent="0.2">
      <c r="A637" s="7" t="s">
        <v>2258</v>
      </c>
      <c r="B637" t="str">
        <f t="shared" si="99"/>
        <v>OZPH IV кв. 2014</v>
      </c>
      <c r="C637">
        <v>2014</v>
      </c>
      <c r="D637">
        <f>SUMIFS(Дивиденды!$C:$C,Дивиденды!$A:$A,A637,Дивиденды!$I:$I,C637)</f>
        <v>0</v>
      </c>
      <c r="E637">
        <v>4</v>
      </c>
      <c r="F637">
        <f t="shared" si="100"/>
        <v>0</v>
      </c>
      <c r="G637">
        <f t="shared" si="101"/>
        <v>25.924285714285713</v>
      </c>
      <c r="H637">
        <f t="shared" si="102"/>
        <v>0</v>
      </c>
      <c r="I637">
        <f t="shared" si="103"/>
        <v>7.1428571428571425E-2</v>
      </c>
      <c r="J637">
        <f t="shared" si="104"/>
        <v>0</v>
      </c>
      <c r="K637">
        <f t="shared" si="109"/>
        <v>4.887635107293415E-2</v>
      </c>
      <c r="L637">
        <f t="shared" si="105"/>
        <v>0</v>
      </c>
      <c r="M637">
        <f t="shared" si="106"/>
        <v>7.1428571428571425E-2</v>
      </c>
      <c r="N637">
        <f t="shared" si="107"/>
        <v>0</v>
      </c>
      <c r="O637">
        <f t="shared" si="108"/>
        <v>7.1428571428571425E-2</v>
      </c>
      <c r="P637" t="str">
        <f>IFERROR(LN('Дивиденды по годам'!I637),"")</f>
        <v/>
      </c>
      <c r="Q637" t="str">
        <f>IFERROR('Дивиденды по годам'!G637/'Дивиденды по годам'!I637, "")</f>
        <v/>
      </c>
      <c r="R637" t="str">
        <f>IFERROR(IF(AND('Дивиденды по годам'!N637&lt;&gt;"",'Дивиденды по годам'!U637&lt;&gt;"",'Дивиденды по годам'!U637&lt;&gt;0),'Дивиденды по годам'!N637/'Дивиденды по годам'!U637-1,""),"")</f>
        <v/>
      </c>
      <c r="S637" t="str">
        <f>IFERROR(IF(AND('Дивиденды по годам'!L637&lt;&gt;"",'Дивиденды по годам'!I637&lt;&gt;"",'Дивиденды по годам'!J637&lt;&gt;"",'Дивиденды по годам'!K637&lt;&gt;"",('Дивиденды по годам'!I637-'Дивиденды по годам'!J637-'Дивиденды по годам'!K637)&lt;&gt;0),'Дивиденды по годам'!L637/('Дивиденды по годам'!I637-'Дивиденды по годам'!J637-'Дивиденды по годам'!K637),""),"")</f>
        <v/>
      </c>
      <c r="T637" t="str">
        <f>IFERROR(IF(AND('Дивиденды по годам'!Q637&lt;&gt;"",'Дивиденды по годам'!I637&lt;&gt;"",'Дивиденды по годам'!V637&lt;&gt;"",('Дивиденды по годам'!I637+'Дивиденды по годам'!V637)&lt;&gt;0),'Дивиденды по годам'!Q637/(('Дивиденды по годам'!I637+'Дивиденды по годам'!V637)/2),""),"")</f>
        <v/>
      </c>
      <c r="U637" t="str">
        <f>IFERROR(IF(AND('Дивиденды по годам'!J637&lt;&gt;"",'Дивиденды по годам'!K637&lt;&gt;"",'Дивиденды по годам'!M637&lt;&gt;"",'Дивиденды по годам'!M637&lt;&gt;0),('Дивиденды по годам'!J637+'Дивиденды по годам'!K637)/'Дивиденды по годам'!M637,""),"")</f>
        <v/>
      </c>
      <c r="V637" t="str">
        <f>IFERROR(IF(AND('Дивиденды по годам'!J637&lt;&gt;"",'Дивиденды по годам'!K637&lt;&gt;"",'Дивиденды по годам'!M637&lt;&gt;"",'Дивиденды по годам'!I637&lt;&gt;0),('Дивиденды по годам'!J637+'Дивиденды по годам'!K637)/'Дивиденды по годам'!I637,""),"")</f>
        <v/>
      </c>
      <c r="W637" t="str">
        <f>IFERROR('Дивиденды по годам'!I637,"")</f>
        <v/>
      </c>
      <c r="X637" cm="1">
        <f t="array" ref="X637">IFERROR(AVERAGE(_xlfn._xlws.FILTER(P$2:P$1073,($C$2:$C$1073=$C637)*($E$2:$E$1073=$E637)*(ROW(P$2:P$1073)&lt;&gt;ROW(P637))*(P$2:P$1073&lt;&gt;""))),"")</f>
        <v>24.777851287837404</v>
      </c>
      <c r="Y637" cm="1">
        <f t="array" ref="Y637">IFERROR(AVERAGE(_xlfn._xlws.FILTER(Q$2:Q$1073,($C$2:$C$1073=$C637)*($E$2:$E$1073=$E637)*(ROW(Q$2:Q$1073)&lt;&gt;ROW(Q637))*(Q$2:Q$1073&lt;&gt;""))),"")</f>
        <v>0.28994951624266957</v>
      </c>
      <c r="Z637" cm="1">
        <f t="array" ref="Z637">IFERROR(AVERAGE(_xlfn._xlws.FILTER(R$2:R$1073,($C$2:$C$1073=$C637)*($E$2:$E$1073=$E637)*(ROW(R$2:R$1073)&lt;&gt;ROW(R637))*(R$2:R$1073&lt;&gt;""))),"")</f>
        <v>8.5517195784799244E-2</v>
      </c>
      <c r="AA637" cm="1">
        <f t="array" ref="AA637">IFERROR(AVERAGE(_xlfn._xlws.FILTER(S$2:S$1073,($C$2:$C$1073=$C637)*($E$2:$E$1073=$E637)*(ROW(S$2:S$1073)&lt;&gt;ROW(S637))*(S$2:S$1073&lt;&gt;""))),"")</f>
        <v>-8.9932559622525012</v>
      </c>
      <c r="AB637" cm="1">
        <f t="array" ref="AB637">IFERROR(AVERAGE(_xlfn._xlws.FILTER(T$2:T$1073,($C$2:$C$1073=$C637)*($E$2:$E$1073=$E637)*(ROW(T$2:T$1073)&lt;&gt;ROW(T637))*(T$2:T$1073&lt;&gt;""))),"")</f>
        <v>3.4958573241250623E-2</v>
      </c>
      <c r="AC637" cm="1">
        <f t="array" ref="AC637">IFERROR(AVERAGE(_xlfn._xlws.FILTER(U$2:U$1073,($C$2:$C$1073=$C637)*($E$2:$E$1073=$E637)*(ROW(U$2:U$1073)&lt;&gt;ROW(U637))*(U$2:U$1073&lt;&gt;""))),"")</f>
        <v>34.444280572958768</v>
      </c>
      <c r="AD637" cm="1">
        <f t="array" ref="AD637">IFERROR(AVERAGE(_xlfn._xlws.FILTER(V$2:V$1073,($C$2:$C$1073=$C637)*($E$2:$E$1073=$E637)*(ROW(V$2:V$1073)&lt;&gt;ROW(V637))*(V$2:V$1073&lt;&gt;""))),"")</f>
        <v>0.67440993714043496</v>
      </c>
      <c r="AE637">
        <f>IF('Дивиденды по годам'!M637&lt;0,1,0)</f>
        <v>0</v>
      </c>
    </row>
    <row r="638" spans="1:31" x14ac:dyDescent="0.2">
      <c r="A638" s="7" t="s">
        <v>2258</v>
      </c>
      <c r="B638" t="str">
        <f t="shared" si="99"/>
        <v>OZPH IV кв. 2013</v>
      </c>
      <c r="C638">
        <v>2013</v>
      </c>
      <c r="D638">
        <f>SUMIFS(Дивиденды!$C:$C,Дивиденды!$A:$A,A638,Дивиденды!$I:$I,C638)</f>
        <v>0</v>
      </c>
      <c r="E638">
        <v>4</v>
      </c>
      <c r="F638">
        <f t="shared" si="100"/>
        <v>0</v>
      </c>
      <c r="G638">
        <f t="shared" si="101"/>
        <v>13.409285714285716</v>
      </c>
      <c r="H638">
        <f t="shared" si="102"/>
        <v>0</v>
      </c>
      <c r="I638">
        <f t="shared" si="103"/>
        <v>0.14285714285714285</v>
      </c>
      <c r="J638">
        <f t="shared" si="104"/>
        <v>0</v>
      </c>
      <c r="K638">
        <f t="shared" si="109"/>
        <v>4.7291245939064024E-2</v>
      </c>
      <c r="L638">
        <f t="shared" si="105"/>
        <v>0</v>
      </c>
      <c r="M638">
        <f t="shared" si="106"/>
        <v>7.1428571428571425E-2</v>
      </c>
      <c r="N638">
        <f t="shared" si="107"/>
        <v>0</v>
      </c>
      <c r="O638">
        <f t="shared" si="108"/>
        <v>0</v>
      </c>
      <c r="P638" t="str">
        <f>IFERROR(LN('Дивиденды по годам'!I638),"")</f>
        <v/>
      </c>
      <c r="Q638" t="str">
        <f>IFERROR('Дивиденды по годам'!G638/'Дивиденды по годам'!I638, "")</f>
        <v/>
      </c>
      <c r="R638" t="str">
        <f>IFERROR(IF(AND('Дивиденды по годам'!N638&lt;&gt;"",'Дивиденды по годам'!U638&lt;&gt;"",'Дивиденды по годам'!U638&lt;&gt;0),'Дивиденды по годам'!N638/'Дивиденды по годам'!U638-1,""),"")</f>
        <v/>
      </c>
      <c r="S638" t="str">
        <f>IFERROR(IF(AND('Дивиденды по годам'!L638&lt;&gt;"",'Дивиденды по годам'!I638&lt;&gt;"",'Дивиденды по годам'!J638&lt;&gt;"",'Дивиденды по годам'!K638&lt;&gt;"",('Дивиденды по годам'!I638-'Дивиденды по годам'!J638-'Дивиденды по годам'!K638)&lt;&gt;0),'Дивиденды по годам'!L638/('Дивиденды по годам'!I638-'Дивиденды по годам'!J638-'Дивиденды по годам'!K638),""),"")</f>
        <v/>
      </c>
      <c r="T638" t="str">
        <f>IFERROR(IF(AND('Дивиденды по годам'!Q638&lt;&gt;"",'Дивиденды по годам'!I638&lt;&gt;"",'Дивиденды по годам'!V638&lt;&gt;"",('Дивиденды по годам'!I638+'Дивиденды по годам'!V638)&lt;&gt;0),'Дивиденды по годам'!Q638/(('Дивиденды по годам'!I638+'Дивиденды по годам'!V638)/2),""),"")</f>
        <v/>
      </c>
      <c r="U638" t="str">
        <f>IFERROR(IF(AND('Дивиденды по годам'!J638&lt;&gt;"",'Дивиденды по годам'!K638&lt;&gt;"",'Дивиденды по годам'!M638&lt;&gt;"",'Дивиденды по годам'!M638&lt;&gt;0),('Дивиденды по годам'!J638+'Дивиденды по годам'!K638)/'Дивиденды по годам'!M638,""),"")</f>
        <v/>
      </c>
      <c r="V638" t="str">
        <f>IFERROR(IF(AND('Дивиденды по годам'!J638&lt;&gt;"",'Дивиденды по годам'!K638&lt;&gt;"",'Дивиденды по годам'!M638&lt;&gt;"",'Дивиденды по годам'!I638&lt;&gt;0),('Дивиденды по годам'!J638+'Дивиденды по годам'!K638)/'Дивиденды по годам'!I638,""),"")</f>
        <v/>
      </c>
      <c r="W638" t="str">
        <f>IFERROR('Дивиденды по годам'!I638,"")</f>
        <v/>
      </c>
      <c r="X638" cm="1">
        <f t="array" ref="X638">IFERROR(AVERAGE(_xlfn._xlws.FILTER(P$2:P$1073,($C$2:$C$1073=$C638)*($E$2:$E$1073=$E638)*(ROW(P$2:P$1073)&lt;&gt;ROW(P638))*(P$2:P$1073&lt;&gt;""))),"")</f>
        <v>24.281308125321722</v>
      </c>
      <c r="Y638" cm="1">
        <f t="array" ref="Y638">IFERROR(AVERAGE(_xlfn._xlws.FILTER(Q$2:Q$1073,($C$2:$C$1073=$C638)*($E$2:$E$1073=$E638)*(ROW(Q$2:Q$1073)&lt;&gt;ROW(Q638))*(Q$2:Q$1073&lt;&gt;""))),"")</f>
        <v>0.34809372453666254</v>
      </c>
      <c r="Z638" cm="1">
        <f t="array" ref="Z638">IFERROR(AVERAGE(_xlfn._xlws.FILTER(R$2:R$1073,($C$2:$C$1073=$C638)*($E$2:$E$1073=$E638)*(ROW(R$2:R$1073)&lt;&gt;ROW(R638))*(R$2:R$1073&lt;&gt;""))),"")</f>
        <v>0.17531341667142472</v>
      </c>
      <c r="AA638" t="str" cm="1">
        <f t="array" ref="AA638">IFERROR(AVERAGE(_xlfn._xlws.FILTER(S$2:S$1073,($C$2:$C$1073=$C638)*($E$2:$E$1073=$E638)*(ROW(S$2:S$1073)&lt;&gt;ROW(S638))*(S$2:S$1073&lt;&gt;""))),"")</f>
        <v/>
      </c>
      <c r="AB638" cm="1">
        <f t="array" ref="AB638">IFERROR(AVERAGE(_xlfn._xlws.FILTER(T$2:T$1073,($C$2:$C$1073=$C638)*($E$2:$E$1073=$E638)*(ROW(T$2:T$1073)&lt;&gt;ROW(T638))*(T$2:T$1073&lt;&gt;""))),"")</f>
        <v>-0.12490141563278262</v>
      </c>
      <c r="AC638" cm="1">
        <f t="array" ref="AC638">IFERROR(AVERAGE(_xlfn._xlws.FILTER(U$2:U$1073,($C$2:$C$1073=$C638)*($E$2:$E$1073=$E638)*(ROW(U$2:U$1073)&lt;&gt;ROW(U638))*(U$2:U$1073&lt;&gt;""))),"")</f>
        <v>0.44566877182826042</v>
      </c>
      <c r="AD638" cm="1">
        <f t="array" ref="AD638">IFERROR(AVERAGE(_xlfn._xlws.FILTER(V$2:V$1073,($C$2:$C$1073=$C638)*($E$2:$E$1073=$E638)*(ROW(V$2:V$1073)&lt;&gt;ROW(V638))*(V$2:V$1073&lt;&gt;""))),"")</f>
        <v>1.3322699308491581</v>
      </c>
      <c r="AE638">
        <f>IF('Дивиденды по годам'!M638&lt;0,1,0)</f>
        <v>0</v>
      </c>
    </row>
    <row r="639" spans="1:31" x14ac:dyDescent="0.2">
      <c r="A639" s="7" t="s">
        <v>2258</v>
      </c>
      <c r="B639" t="str">
        <f t="shared" si="99"/>
        <v>OZPH IV кв. 2012</v>
      </c>
      <c r="C639">
        <v>2012</v>
      </c>
      <c r="D639">
        <f>SUMIFS(Дивиденды!$C:$C,Дивиденды!$A:$A,A639,Дивиденды!$I:$I,C639)</f>
        <v>0</v>
      </c>
      <c r="E639">
        <v>4</v>
      </c>
      <c r="F639">
        <f t="shared" si="100"/>
        <v>0</v>
      </c>
      <c r="G639">
        <f t="shared" si="101"/>
        <v>9.5621428571428577</v>
      </c>
      <c r="H639">
        <f t="shared" si="102"/>
        <v>0</v>
      </c>
      <c r="I639">
        <f t="shared" si="103"/>
        <v>0.14285714285714285</v>
      </c>
      <c r="J639">
        <f t="shared" si="104"/>
        <v>0</v>
      </c>
      <c r="K639">
        <f t="shared" si="109"/>
        <v>0.25341100242975517</v>
      </c>
      <c r="L639">
        <f t="shared" si="105"/>
        <v>0</v>
      </c>
      <c r="M639">
        <f t="shared" si="106"/>
        <v>0.14285714285714285</v>
      </c>
      <c r="N639">
        <f t="shared" si="107"/>
        <v>0</v>
      </c>
      <c r="O639">
        <f t="shared" si="108"/>
        <v>0</v>
      </c>
      <c r="P639" t="str">
        <f>IFERROR(LN('Дивиденды по годам'!I639),"")</f>
        <v/>
      </c>
      <c r="Q639" t="str">
        <f>IFERROR('Дивиденды по годам'!G639/'Дивиденды по годам'!I639, "")</f>
        <v/>
      </c>
      <c r="R639" t="str">
        <f>IFERROR(IF(AND('Дивиденды по годам'!N639&lt;&gt;"",'Дивиденды по годам'!U639&lt;&gt;"",'Дивиденды по годам'!U639&lt;&gt;0),'Дивиденды по годам'!N639/'Дивиденды по годам'!U639-1,""),"")</f>
        <v/>
      </c>
      <c r="S639" t="str">
        <f>IFERROR(IF(AND('Дивиденды по годам'!L639&lt;&gt;"",'Дивиденды по годам'!I639&lt;&gt;"",'Дивиденды по годам'!J639&lt;&gt;"",'Дивиденды по годам'!K639&lt;&gt;"",('Дивиденды по годам'!I639-'Дивиденды по годам'!J639-'Дивиденды по годам'!K639)&lt;&gt;0),'Дивиденды по годам'!L639/('Дивиденды по годам'!I639-'Дивиденды по годам'!J639-'Дивиденды по годам'!K639),""),"")</f>
        <v/>
      </c>
      <c r="T639" t="str">
        <f>IFERROR(IF(AND('Дивиденды по годам'!Q639&lt;&gt;"",'Дивиденды по годам'!I639&lt;&gt;"",'Дивиденды по годам'!V639&lt;&gt;"",('Дивиденды по годам'!I639+'Дивиденды по годам'!V639)&lt;&gt;0),'Дивиденды по годам'!Q639/(('Дивиденды по годам'!I639+'Дивиденды по годам'!V639)/2),""),"")</f>
        <v/>
      </c>
      <c r="U639" t="str">
        <f>IFERROR(IF(AND('Дивиденды по годам'!J639&lt;&gt;"",'Дивиденды по годам'!K639&lt;&gt;"",'Дивиденды по годам'!M639&lt;&gt;"",'Дивиденды по годам'!M639&lt;&gt;0),('Дивиденды по годам'!J639+'Дивиденды по годам'!K639)/'Дивиденды по годам'!M639,""),"")</f>
        <v/>
      </c>
      <c r="V639" t="str">
        <f>IFERROR(IF(AND('Дивиденды по годам'!J639&lt;&gt;"",'Дивиденды по годам'!K639&lt;&gt;"",'Дивиденды по годам'!M639&lt;&gt;"",'Дивиденды по годам'!I639&lt;&gt;0),('Дивиденды по годам'!J639+'Дивиденды по годам'!K639)/'Дивиденды по годам'!I639,""),"")</f>
        <v/>
      </c>
      <c r="W639" t="str">
        <f>IFERROR('Дивиденды по годам'!I639,"")</f>
        <v/>
      </c>
      <c r="X639" cm="1">
        <f t="array" ref="X639">IFERROR(AVERAGE(_xlfn._xlws.FILTER(P$2:P$1073,($C$2:$C$1073=$C639)*($E$2:$E$1073=$E639)*(ROW(P$2:P$1073)&lt;&gt;ROW(P639))*(P$2:P$1073&lt;&gt;""))),"")</f>
        <v>24.228370506718147</v>
      </c>
      <c r="Y639" cm="1">
        <f t="array" ref="Y639">IFERROR(AVERAGE(_xlfn._xlws.FILTER(Q$2:Q$1073,($C$2:$C$1073=$C639)*($E$2:$E$1073=$E639)*(ROW(Q$2:Q$1073)&lt;&gt;ROW(Q639))*(Q$2:Q$1073&lt;&gt;""))),"")</f>
        <v>0.2820560824162458</v>
      </c>
      <c r="Z639" cm="1">
        <f t="array" ref="Z639">IFERROR(AVERAGE(_xlfn._xlws.FILTER(R$2:R$1073,($C$2:$C$1073=$C639)*($E$2:$E$1073=$E639)*(ROW(R$2:R$1073)&lt;&gt;ROW(R639))*(R$2:R$1073&lt;&gt;""))),"")</f>
        <v>-2.2522357472477484E-2</v>
      </c>
      <c r="AA639" cm="1">
        <f t="array" ref="AA639">IFERROR(AVERAGE(_xlfn._xlws.FILTER(S$2:S$1073,($C$2:$C$1073=$C639)*($E$2:$E$1073=$E639)*(ROW(S$2:S$1073)&lt;&gt;ROW(S639))*(S$2:S$1073&lt;&gt;""))),"")</f>
        <v>-1.7651061513336963</v>
      </c>
      <c r="AB639" cm="1">
        <f t="array" ref="AB639">IFERROR(AVERAGE(_xlfn._xlws.FILTER(T$2:T$1073,($C$2:$C$1073=$C639)*($E$2:$E$1073=$E639)*(ROW(T$2:T$1073)&lt;&gt;ROW(T639))*(T$2:T$1073&lt;&gt;""))),"")</f>
        <v>6.8400459116201365E-2</v>
      </c>
      <c r="AC639" cm="1">
        <f t="array" ref="AC639">IFERROR(AVERAGE(_xlfn._xlws.FILTER(U$2:U$1073,($C$2:$C$1073=$C639)*($E$2:$E$1073=$E639)*(ROW(U$2:U$1073)&lt;&gt;ROW(U639))*(U$2:U$1073&lt;&gt;""))),"")</f>
        <v>-3.9631898894189463</v>
      </c>
      <c r="AD639" cm="1">
        <f t="array" ref="AD639">IFERROR(AVERAGE(_xlfn._xlws.FILTER(V$2:V$1073,($C$2:$C$1073=$C639)*($E$2:$E$1073=$E639)*(ROW(V$2:V$1073)&lt;&gt;ROW(V639))*(V$2:V$1073&lt;&gt;""))),"")</f>
        <v>0.68524798816116717</v>
      </c>
      <c r="AE639">
        <f>IF('Дивиденды по годам'!M639&lt;0,1,0)</f>
        <v>0</v>
      </c>
    </row>
    <row r="640" spans="1:31" x14ac:dyDescent="0.2">
      <c r="A640" s="7" t="s">
        <v>2258</v>
      </c>
      <c r="B640" t="str">
        <f t="shared" si="99"/>
        <v>OZPH IV кв. 2011</v>
      </c>
      <c r="C640">
        <v>2011</v>
      </c>
      <c r="D640">
        <f>SUMIFS(Дивиденды!$C:$C,Дивиденды!$A:$A,A640,Дивиденды!$I:$I,C640)</f>
        <v>0</v>
      </c>
      <c r="E640">
        <v>4</v>
      </c>
      <c r="F640">
        <f t="shared" si="100"/>
        <v>0</v>
      </c>
      <c r="G640">
        <f t="shared" si="101"/>
        <v>1.6378571428571429</v>
      </c>
      <c r="H640">
        <f t="shared" si="102"/>
        <v>0</v>
      </c>
      <c r="I640">
        <f t="shared" si="103"/>
        <v>7.1428571428571425E-2</v>
      </c>
      <c r="J640">
        <f t="shared" si="104"/>
        <v>0</v>
      </c>
      <c r="K640">
        <f t="shared" si="109"/>
        <v>0.17786475320721892</v>
      </c>
      <c r="L640">
        <f t="shared" si="105"/>
        <v>0</v>
      </c>
      <c r="M640">
        <f t="shared" si="106"/>
        <v>7.1428571428571425E-2</v>
      </c>
      <c r="N640">
        <f t="shared" si="107"/>
        <v>0</v>
      </c>
      <c r="O640">
        <f t="shared" si="108"/>
        <v>0</v>
      </c>
      <c r="P640" t="str">
        <f>IFERROR(LN('Дивиденды по годам'!I640),"")</f>
        <v/>
      </c>
      <c r="Q640" t="str">
        <f>IFERROR('Дивиденды по годам'!G640/'Дивиденды по годам'!I640, "")</f>
        <v/>
      </c>
      <c r="R640" t="str">
        <f>IFERROR(IF(AND('Дивиденды по годам'!N640&lt;&gt;"",'Дивиденды по годам'!U640&lt;&gt;"",'Дивиденды по годам'!U640&lt;&gt;0),'Дивиденды по годам'!N640/'Дивиденды по годам'!U640-1,""),"")</f>
        <v/>
      </c>
      <c r="S640" t="str">
        <f>IFERROR(IF(AND('Дивиденды по годам'!L640&lt;&gt;"",'Дивиденды по годам'!I640&lt;&gt;"",'Дивиденды по годам'!J640&lt;&gt;"",'Дивиденды по годам'!K640&lt;&gt;"",('Дивиденды по годам'!I640-'Дивиденды по годам'!J640-'Дивиденды по годам'!K640)&lt;&gt;0),'Дивиденды по годам'!L640/('Дивиденды по годам'!I640-'Дивиденды по годам'!J640-'Дивиденды по годам'!K640),""),"")</f>
        <v/>
      </c>
      <c r="T640" t="str">
        <f>IFERROR(IF(AND('Дивиденды по годам'!Q640&lt;&gt;"",'Дивиденды по годам'!I640&lt;&gt;"",'Дивиденды по годам'!V640&lt;&gt;"",('Дивиденды по годам'!I640+'Дивиденды по годам'!V640)&lt;&gt;0),'Дивиденды по годам'!Q640/(('Дивиденды по годам'!I640+'Дивиденды по годам'!V640)/2),""),"")</f>
        <v/>
      </c>
      <c r="U640" t="str">
        <f>IFERROR(IF(AND('Дивиденды по годам'!J640&lt;&gt;"",'Дивиденды по годам'!K640&lt;&gt;"",'Дивиденды по годам'!M640&lt;&gt;"",'Дивиденды по годам'!M640&lt;&gt;0),('Дивиденды по годам'!J640+'Дивиденды по годам'!K640)/'Дивиденды по годам'!M640,""),"")</f>
        <v/>
      </c>
      <c r="V640" t="str">
        <f>IFERROR(IF(AND('Дивиденды по годам'!J640&lt;&gt;"",'Дивиденды по годам'!K640&lt;&gt;"",'Дивиденды по годам'!M640&lt;&gt;"",'Дивиденды по годам'!I640&lt;&gt;0),('Дивиденды по годам'!J640+'Дивиденды по годам'!K640)/'Дивиденды по годам'!I640,""),"")</f>
        <v/>
      </c>
      <c r="W640" t="str">
        <f>IFERROR('Дивиденды по годам'!I640,"")</f>
        <v/>
      </c>
      <c r="X640" cm="1">
        <f t="array" ref="X640">IFERROR(AVERAGE(_xlfn._xlws.FILTER(P$2:P$1073,($C$2:$C$1073=$C640)*($E$2:$E$1073=$E640)*(ROW(P$2:P$1073)&lt;&gt;ROW(P640))*(P$2:P$1073&lt;&gt;""))),"")</f>
        <v>24.180789108496477</v>
      </c>
      <c r="Y640" cm="1">
        <f t="array" ref="Y640">IFERROR(AVERAGE(_xlfn._xlws.FILTER(Q$2:Q$1073,($C$2:$C$1073=$C640)*($E$2:$E$1073=$E640)*(ROW(Q$2:Q$1073)&lt;&gt;ROW(Q640))*(Q$2:Q$1073&lt;&gt;""))),"")</f>
        <v>0.29604752502083465</v>
      </c>
      <c r="Z640" cm="1">
        <f t="array" ref="Z640">IFERROR(AVERAGE(_xlfn._xlws.FILTER(R$2:R$1073,($C$2:$C$1073=$C640)*($E$2:$E$1073=$E640)*(ROW(R$2:R$1073)&lt;&gt;ROW(R640))*(R$2:R$1073&lt;&gt;""))),"")</f>
        <v>5.9511017560386792E-2</v>
      </c>
      <c r="AA640" t="str" cm="1">
        <f t="array" ref="AA640">IFERROR(AVERAGE(_xlfn._xlws.FILTER(S$2:S$1073,($C$2:$C$1073=$C640)*($E$2:$E$1073=$E640)*(ROW(S$2:S$1073)&lt;&gt;ROW(S640))*(S$2:S$1073&lt;&gt;""))),"")</f>
        <v/>
      </c>
      <c r="AB640" cm="1">
        <f t="array" ref="AB640">IFERROR(AVERAGE(_xlfn._xlws.FILTER(T$2:T$1073,($C$2:$C$1073=$C640)*($E$2:$E$1073=$E640)*(ROW(T$2:T$1073)&lt;&gt;ROW(T640))*(T$2:T$1073&lt;&gt;""))),"")</f>
        <v>-1.4171101286470289E-2</v>
      </c>
      <c r="AC640" cm="1">
        <f t="array" ref="AC640">IFERROR(AVERAGE(_xlfn._xlws.FILTER(U$2:U$1073,($C$2:$C$1073=$C640)*($E$2:$E$1073=$E640)*(ROW(U$2:U$1073)&lt;&gt;ROW(U640))*(U$2:U$1073&lt;&gt;""))),"")</f>
        <v>2.1854574410792247</v>
      </c>
      <c r="AD640" cm="1">
        <f t="array" ref="AD640">IFERROR(AVERAGE(_xlfn._xlws.FILTER(V$2:V$1073,($C$2:$C$1073=$C640)*($E$2:$E$1073=$E640)*(ROW(V$2:V$1073)&lt;&gt;ROW(V640))*(V$2:V$1073&lt;&gt;""))),"")</f>
        <v>0.62219289426739133</v>
      </c>
      <c r="AE640">
        <f>IF('Дивиденды по годам'!M640&lt;0,1,0)</f>
        <v>0</v>
      </c>
    </row>
    <row r="641" spans="1:31" x14ac:dyDescent="0.2">
      <c r="A641" s="7" t="s">
        <v>2258</v>
      </c>
      <c r="B641" t="str">
        <f t="shared" si="99"/>
        <v>OZPH IV кв. 2010</v>
      </c>
      <c r="C641">
        <v>2010</v>
      </c>
      <c r="D641">
        <f>SUMIFS(Дивиденды!$C:$C,Дивиденды!$A:$A,A641,Дивиденды!$I:$I,C641)</f>
        <v>0</v>
      </c>
      <c r="E641">
        <v>4</v>
      </c>
      <c r="F641">
        <f t="shared" si="100"/>
        <v>0</v>
      </c>
      <c r="G641">
        <f t="shared" si="101"/>
        <v>0.46928571428571431</v>
      </c>
      <c r="H641">
        <f t="shared" si="102"/>
        <v>0</v>
      </c>
      <c r="I641">
        <f t="shared" si="103"/>
        <v>7.1428571428571425E-2</v>
      </c>
      <c r="J641" t="str">
        <f t="shared" si="104"/>
        <v/>
      </c>
      <c r="K641" t="str">
        <f t="shared" si="109"/>
        <v/>
      </c>
      <c r="L641" t="str">
        <f t="shared" si="105"/>
        <v/>
      </c>
      <c r="M641" t="str">
        <f t="shared" si="106"/>
        <v/>
      </c>
      <c r="N641" t="str">
        <f t="shared" si="107"/>
        <v/>
      </c>
      <c r="O641" t="str">
        <f t="shared" si="108"/>
        <v/>
      </c>
      <c r="P641" t="str">
        <f>IFERROR(LN('Дивиденды по годам'!I641),"")</f>
        <v/>
      </c>
      <c r="Q641" t="str">
        <f>IFERROR('Дивиденды по годам'!G641/'Дивиденды по годам'!I641, "")</f>
        <v/>
      </c>
      <c r="R641" t="str">
        <f>IFERROR(IF(AND('Дивиденды по годам'!N641&lt;&gt;"",'Дивиденды по годам'!U641&lt;&gt;"",'Дивиденды по годам'!U641&lt;&gt;0),'Дивиденды по годам'!N641/'Дивиденды по годам'!U641-1,""),"")</f>
        <v/>
      </c>
      <c r="S641" t="str">
        <f>IFERROR(IF(AND('Дивиденды по годам'!L641&lt;&gt;"",'Дивиденды по годам'!I641&lt;&gt;"",'Дивиденды по годам'!J641&lt;&gt;"",'Дивиденды по годам'!K641&lt;&gt;"",('Дивиденды по годам'!I641-'Дивиденды по годам'!J641-'Дивиденды по годам'!K641)&lt;&gt;0),'Дивиденды по годам'!L641/('Дивиденды по годам'!I641-'Дивиденды по годам'!J641-'Дивиденды по годам'!K641),""),"")</f>
        <v/>
      </c>
      <c r="T641" t="str">
        <f>IFERROR(IF(AND('Дивиденды по годам'!Q641&lt;&gt;"",'Дивиденды по годам'!I641&lt;&gt;"",'Дивиденды по годам'!V641&lt;&gt;"",('Дивиденды по годам'!I641+'Дивиденды по годам'!V641)&lt;&gt;0),'Дивиденды по годам'!Q641/(('Дивиденды по годам'!I641+'Дивиденды по годам'!V641)/2),""),"")</f>
        <v/>
      </c>
      <c r="U641" t="str">
        <f>IFERROR(IF(AND('Дивиденды по годам'!J641&lt;&gt;"",'Дивиденды по годам'!K641&lt;&gt;"",'Дивиденды по годам'!M641&lt;&gt;"",'Дивиденды по годам'!M641&lt;&gt;0),('Дивиденды по годам'!J641+'Дивиденды по годам'!K641)/'Дивиденды по годам'!M641,""),"")</f>
        <v/>
      </c>
      <c r="V641" t="str">
        <f>IFERROR(IF(AND('Дивиденды по годам'!J641&lt;&gt;"",'Дивиденды по годам'!K641&lt;&gt;"",'Дивиденды по годам'!M641&lt;&gt;"",'Дивиденды по годам'!I641&lt;&gt;0),('Дивиденды по годам'!J641+'Дивиденды по годам'!K641)/'Дивиденды по годам'!I641,""),"")</f>
        <v/>
      </c>
      <c r="W641" t="str">
        <f>IFERROR('Дивиденды по годам'!I641,"")</f>
        <v/>
      </c>
      <c r="X641" cm="1">
        <f t="array" ref="X641">IFERROR(AVERAGE(_xlfn._xlws.FILTER(P$2:P$1073,($C$2:$C$1073=$C641)*($E$2:$E$1073=$E641)*(ROW(P$2:P$1073)&lt;&gt;ROW(P641))*(P$2:P$1073&lt;&gt;""))),"")</f>
        <v>23.656010386255485</v>
      </c>
      <c r="Y641" cm="1">
        <f t="array" ref="Y641">IFERROR(AVERAGE(_xlfn._xlws.FILTER(Q$2:Q$1073,($C$2:$C$1073=$C641)*($E$2:$E$1073=$E641)*(ROW(Q$2:Q$1073)&lt;&gt;ROW(Q641))*(Q$2:Q$1073&lt;&gt;""))),"")</f>
        <v>0.15222241747474585</v>
      </c>
      <c r="Z641" t="str" cm="1">
        <f t="array" ref="Z641">IFERROR(AVERAGE(_xlfn._xlws.FILTER(R$2:R$1073,($C$2:$C$1073=$C641)*($E$2:$E$1073=$E641)*(ROW(R$2:R$1073)&lt;&gt;ROW(R641))*(R$2:R$1073&lt;&gt;""))),"")</f>
        <v/>
      </c>
      <c r="AA641" t="str" cm="1">
        <f t="array" ref="AA641">IFERROR(AVERAGE(_xlfn._xlws.FILTER(S$2:S$1073,($C$2:$C$1073=$C641)*($E$2:$E$1073=$E641)*(ROW(S$2:S$1073)&lt;&gt;ROW(S641))*(S$2:S$1073&lt;&gt;""))),"")</f>
        <v/>
      </c>
      <c r="AB641" t="str" cm="1">
        <f t="array" ref="AB641">IFERROR(AVERAGE(_xlfn._xlws.FILTER(T$2:T$1073,($C$2:$C$1073=$C641)*($E$2:$E$1073=$E641)*(ROW(T$2:T$1073)&lt;&gt;ROW(T641))*(T$2:T$1073&lt;&gt;""))),"")</f>
        <v/>
      </c>
      <c r="AC641" cm="1">
        <f t="array" ref="AC641">IFERROR(AVERAGE(_xlfn._xlws.FILTER(U$2:U$1073,($C$2:$C$1073=$C641)*($E$2:$E$1073=$E641)*(ROW(U$2:U$1073)&lt;&gt;ROW(U641))*(U$2:U$1073&lt;&gt;""))),"")</f>
        <v>2.8988498110700496</v>
      </c>
      <c r="AD641" cm="1">
        <f t="array" ref="AD641">IFERROR(AVERAGE(_xlfn._xlws.FILTER(V$2:V$1073,($C$2:$C$1073=$C641)*($E$2:$E$1073=$E641)*(ROW(V$2:V$1073)&lt;&gt;ROW(V641))*(V$2:V$1073&lt;&gt;""))),"")</f>
        <v>0.74351805997092513</v>
      </c>
      <c r="AE641">
        <f>IF('Дивиденды по годам'!M641&lt;0,1,0)</f>
        <v>0</v>
      </c>
    </row>
    <row r="642" spans="1:31" x14ac:dyDescent="0.2">
      <c r="A642" s="7" t="s">
        <v>2319</v>
      </c>
      <c r="B642" t="str">
        <f t="shared" si="99"/>
        <v>PRMD IV кв. 2025</v>
      </c>
      <c r="C642">
        <v>2025</v>
      </c>
      <c r="D642">
        <f>SUMIFS(Дивиденды!$C:$C,Дивиденды!$A:$A,A642,Дивиденды!$I:$I,C642)</f>
        <v>0</v>
      </c>
      <c r="E642">
        <v>4</v>
      </c>
      <c r="F642">
        <f t="shared" si="100"/>
        <v>0</v>
      </c>
      <c r="G642">
        <f t="shared" si="101"/>
        <v>31.581428571428571</v>
      </c>
      <c r="H642">
        <f t="shared" si="102"/>
        <v>0</v>
      </c>
      <c r="I642">
        <f t="shared" si="103"/>
        <v>0.42857142857142855</v>
      </c>
      <c r="J642">
        <f t="shared" si="104"/>
        <v>0</v>
      </c>
      <c r="K642">
        <f t="shared" si="109"/>
        <v>-0.1825263432406963</v>
      </c>
      <c r="L642">
        <f t="shared" si="105"/>
        <v>0</v>
      </c>
      <c r="M642">
        <f t="shared" si="106"/>
        <v>0.14285714285714285</v>
      </c>
      <c r="N642">
        <f t="shared" si="107"/>
        <v>0</v>
      </c>
      <c r="O642">
        <f t="shared" si="108"/>
        <v>0.5</v>
      </c>
      <c r="P642" t="str">
        <f>IFERROR(LN('Дивиденды по годам'!I642),"")</f>
        <v/>
      </c>
      <c r="Q642" t="str">
        <f>IFERROR('Дивиденды по годам'!G642/'Дивиденды по годам'!I642, "")</f>
        <v/>
      </c>
      <c r="R642" t="str">
        <f>IFERROR(IF(AND('Дивиденды по годам'!N642&lt;&gt;"",'Дивиденды по годам'!U642&lt;&gt;"",'Дивиденды по годам'!U642&lt;&gt;0),'Дивиденды по годам'!N642/'Дивиденды по годам'!U642-1,""),"")</f>
        <v/>
      </c>
      <c r="S642" t="str">
        <f>IFERROR(IF(AND('Дивиденды по годам'!L642&lt;&gt;"",'Дивиденды по годам'!I642&lt;&gt;"",'Дивиденды по годам'!J642&lt;&gt;"",'Дивиденды по годам'!K642&lt;&gt;"",('Дивиденды по годам'!I642-'Дивиденды по годам'!J642-'Дивиденды по годам'!K642)&lt;&gt;0),'Дивиденды по годам'!L642/('Дивиденды по годам'!I642-'Дивиденды по годам'!J642-'Дивиденды по годам'!K642),""),"")</f>
        <v/>
      </c>
      <c r="T642" t="str">
        <f>IFERROR(IF(AND('Дивиденды по годам'!Q642&lt;&gt;"",'Дивиденды по годам'!I642&lt;&gt;"",'Дивиденды по годам'!V642&lt;&gt;"",('Дивиденды по годам'!I642+'Дивиденды по годам'!V642)&lt;&gt;0),'Дивиденды по годам'!Q642/(('Дивиденды по годам'!I642+'Дивиденды по годам'!V642)/2),""),"")</f>
        <v/>
      </c>
      <c r="U642" t="str">
        <f>IFERROR(IF(AND('Дивиденды по годам'!J642&lt;&gt;"",'Дивиденды по годам'!K642&lt;&gt;"",'Дивиденды по годам'!M642&lt;&gt;"",'Дивиденды по годам'!M642&lt;&gt;0),('Дивиденды по годам'!J642+'Дивиденды по годам'!K642)/'Дивиденды по годам'!M642,""),"")</f>
        <v/>
      </c>
      <c r="V642" t="str">
        <f>IFERROR(IF(AND('Дивиденды по годам'!J642&lt;&gt;"",'Дивиденды по годам'!K642&lt;&gt;"",'Дивиденды по годам'!M642&lt;&gt;"",'Дивиденды по годам'!I642&lt;&gt;0),('Дивиденды по годам'!J642+'Дивиденды по годам'!K642)/'Дивиденды по годам'!I642,""),"")</f>
        <v/>
      </c>
      <c r="W642" t="str">
        <f>IFERROR('Дивиденды по годам'!I642,"")</f>
        <v/>
      </c>
      <c r="X642" cm="1">
        <f t="array" ref="X642">IFERROR(AVERAGE(_xlfn._xlws.FILTER(P$2:P$1073,($C$2:$C$1073=$C642)*($E$2:$E$1073=$E642)*(ROW(P$2:P$1073)&lt;&gt;ROW(P642))*(P$2:P$1073&lt;&gt;""))),"")</f>
        <v>26.183512711155618</v>
      </c>
      <c r="Y642" cm="1">
        <f t="array" ref="Y642">IFERROR(AVERAGE(_xlfn._xlws.FILTER(Q$2:Q$1073,($C$2:$C$1073=$C642)*($E$2:$E$1073=$E642)*(ROW(Q$2:Q$1073)&lt;&gt;ROW(Q642))*(Q$2:Q$1073&lt;&gt;""))),"")</f>
        <v>0.42364014522274984</v>
      </c>
      <c r="Z642" cm="1">
        <f t="array" ref="Z642">IFERROR(AVERAGE(_xlfn._xlws.FILTER(R$2:R$1073,($C$2:$C$1073=$C642)*($E$2:$E$1073=$E642)*(ROW(R$2:R$1073)&lt;&gt;ROW(R642))*(R$2:R$1073&lt;&gt;""))),"")</f>
        <v>6.6096126428947105E-2</v>
      </c>
      <c r="AA642" cm="1">
        <f t="array" ref="AA642">IFERROR(AVERAGE(_xlfn._xlws.FILTER(S$2:S$1073,($C$2:$C$1073=$C642)*($E$2:$E$1073=$E642)*(ROW(S$2:S$1073)&lt;&gt;ROW(S642))*(S$2:S$1073&lt;&gt;""))),"")</f>
        <v>0.94174952343815033</v>
      </c>
      <c r="AB642" cm="1">
        <f t="array" ref="AB642">IFERROR(AVERAGE(_xlfn._xlws.FILTER(T$2:T$1073,($C$2:$C$1073=$C642)*($E$2:$E$1073=$E642)*(ROW(T$2:T$1073)&lt;&gt;ROW(T642))*(T$2:T$1073&lt;&gt;""))),"")</f>
        <v>1.3107153079830167E-2</v>
      </c>
      <c r="AC642" cm="1">
        <f t="array" ref="AC642">IFERROR(AVERAGE(_xlfn._xlws.FILTER(U$2:U$1073,($C$2:$C$1073=$C642)*($E$2:$E$1073=$E642)*(ROW(U$2:U$1073)&lt;&gt;ROW(U642))*(U$2:U$1073&lt;&gt;""))),"")</f>
        <v>6.2968354519658218</v>
      </c>
      <c r="AD642" cm="1">
        <f t="array" ref="AD642">IFERROR(AVERAGE(_xlfn._xlws.FILTER(V$2:V$1073,($C$2:$C$1073=$C642)*($E$2:$E$1073=$E642)*(ROW(V$2:V$1073)&lt;&gt;ROW(V642))*(V$2:V$1073&lt;&gt;""))),"")</f>
        <v>0.70931365831308468</v>
      </c>
      <c r="AE642">
        <f>IF('Дивиденды по годам'!M642&lt;0,1,0)</f>
        <v>0</v>
      </c>
    </row>
    <row r="643" spans="1:31" x14ac:dyDescent="0.2">
      <c r="A643" s="7" t="s">
        <v>2319</v>
      </c>
      <c r="B643" t="str">
        <f t="shared" ref="B643:B706" si="110">A643&amp;" "&amp;
"IV"
&amp;" кв. "&amp;C643</f>
        <v>PRMD IV кв. 2024</v>
      </c>
      <c r="C643">
        <v>2024</v>
      </c>
      <c r="D643">
        <f>SUMIFS(Дивиденды!$C:$C,Дивиденды!$A:$A,A643,Дивиденды!$I:$I,C643)</f>
        <v>0</v>
      </c>
      <c r="E643">
        <v>4</v>
      </c>
      <c r="F643">
        <f t="shared" ref="F643:F706" si="111">D643</f>
        <v>0</v>
      </c>
      <c r="G643">
        <f t="shared" ref="G643:G706" si="112">AVERAGEIFS($D:$D,$E:$E,E643,$C:$C,C643,$A:$A,"&lt;&gt;"&amp;A643)</f>
        <v>62.511428571428574</v>
      </c>
      <c r="H643">
        <f t="shared" ref="H643:H706" si="113">IF(D643&gt;0,1,0)</f>
        <v>0</v>
      </c>
      <c r="I643">
        <f t="shared" ref="I643:I706" si="114">IFERROR((COUNTIFS($E:$E,E643,$C:$C,C643,$H:$H,1)-H643)/(COUNTIFS($E:$E,E643,$C:$C,C643)-1),0)</f>
        <v>0.5714285714285714</v>
      </c>
      <c r="J643">
        <f t="shared" ref="J643:J706" si="115">IF(A644&lt;&gt;A643,"",IF(D643=D644,0,IF(AND(D644=0,D643&lt;&gt;0), 1,(D643-D644)/D644)))</f>
        <v>0</v>
      </c>
      <c r="K643">
        <f t="shared" si="109"/>
        <v>0.21145574536348383</v>
      </c>
      <c r="L643">
        <f t="shared" ref="L643:L706" si="116">IF(J643&lt;&gt;"",IF(J643&gt;0,1,0),"")</f>
        <v>0</v>
      </c>
      <c r="M643">
        <f t="shared" ref="M643:M706" si="117">IFERROR(AVERAGEIFS($L:$L,$E:$E,E643,$C:$C,C643,$A:$A,"&lt;&gt;"&amp;A643),"")</f>
        <v>0.35714285714285715</v>
      </c>
      <c r="N643">
        <f t="shared" ref="N643:N706" si="118">IF(J643&lt;&gt;"",IF(J643&lt;0,1,0),"")</f>
        <v>0</v>
      </c>
      <c r="O643">
        <f t="shared" ref="O643:O706" si="119">IFERROR(AVERAGEIFS($N:$N,$E:$E,E643,$C:$C,C643,$A:$A,"&lt;&gt;"&amp;A643),"")</f>
        <v>0.2857142857142857</v>
      </c>
      <c r="P643">
        <f>IFERROR(LN('Дивиденды по годам'!I643),"")</f>
        <v>24.695540990125256</v>
      </c>
      <c r="Q643">
        <f>IFERROR('Дивиденды по годам'!G643/'Дивиденды по годам'!I643, "")</f>
        <v>0.30327295910066537</v>
      </c>
      <c r="R643">
        <f>IFERROR(IF(AND('Дивиденды по годам'!N643&lt;&gt;"",'Дивиденды по годам'!U643&lt;&gt;"",'Дивиденды по годам'!U643&lt;&gt;0),'Дивиденды по годам'!N643/'Дивиденды по годам'!U643-1,""),"")</f>
        <v>0.35389974352401454</v>
      </c>
      <c r="S643">
        <f>IFERROR(IF(AND('Дивиденды по годам'!L643&lt;&gt;"",'Дивиденды по годам'!I643&lt;&gt;"",'Дивиденды по годам'!J643&lt;&gt;"",'Дивиденды по годам'!K643&lt;&gt;"",('Дивиденды по годам'!I643-'Дивиденды по годам'!J643-'Дивиденды по годам'!K643)&lt;&gt;0),'Дивиденды по годам'!L643/('Дивиденды по годам'!I643-'Дивиденды по годам'!J643-'Дивиденды по годам'!K643),""),"")</f>
        <v>0.79723652580125004</v>
      </c>
      <c r="T643">
        <f>IFERROR(IF(AND('Дивиденды по годам'!Q643&lt;&gt;"",'Дивиденды по годам'!I643&lt;&gt;"",'Дивиденды по годам'!V643&lt;&gt;"",('Дивиденды по годам'!I643+'Дивиденды по годам'!V643)&lt;&gt;0),'Дивиденды по годам'!Q643/(('Дивиденды по годам'!I643+'Дивиденды по годам'!V643)/2),""),"")</f>
        <v>6.5409843057219655E-2</v>
      </c>
      <c r="U643">
        <f>IFERROR(IF(AND('Дивиденды по годам'!J643&lt;&gt;"",'Дивиденды по годам'!K643&lt;&gt;"",'Дивиденды по годам'!M643&lt;&gt;"",'Дивиденды по годам'!M643&lt;&gt;0),('Дивиденды по годам'!J643+'Дивиденды по годам'!K643)/'Дивиденды по годам'!M643,""),"")</f>
        <v>1.7024892315618518</v>
      </c>
      <c r="V643">
        <f>IFERROR(IF(AND('Дивиденды по годам'!J643&lt;&gt;"",'Дивиденды по годам'!K643&lt;&gt;"",'Дивиденды по годам'!M643&lt;&gt;"",'Дивиденды по годам'!I643&lt;&gt;0),('Дивиденды по годам'!J643+'Дивиденды по годам'!K643)/'Дивиденды по годам'!I643,""),"")</f>
        <v>0.62997077349238162</v>
      </c>
      <c r="W643">
        <f>IFERROR('Дивиденды по годам'!I643,"")</f>
        <v>53105216000</v>
      </c>
      <c r="X643" cm="1">
        <f t="array" ref="X643">IFERROR(AVERAGE(_xlfn._xlws.FILTER(P$2:P$1073,($C$2:$C$1073=$C643)*($E$2:$E$1073=$E643)*(ROW(P$2:P$1073)&lt;&gt;ROW(P643))*(P$2:P$1073&lt;&gt;""))),"")</f>
        <v>25.626890765540718</v>
      </c>
      <c r="Y643" cm="1">
        <f t="array" ref="Y643">IFERROR(AVERAGE(_xlfn._xlws.FILTER(Q$2:Q$1073,($C$2:$C$1073=$C643)*($E$2:$E$1073=$E643)*(ROW(Q$2:Q$1073)&lt;&gt;ROW(Q643))*(Q$2:Q$1073&lt;&gt;""))),"")</f>
        <v>0.26004237922853157</v>
      </c>
      <c r="Z643" cm="1">
        <f t="array" ref="Z643">IFERROR(AVERAGE(_xlfn._xlws.FILTER(R$2:R$1073,($C$2:$C$1073=$C643)*($E$2:$E$1073=$E643)*(ROW(R$2:R$1073)&lt;&gt;ROW(R643))*(R$2:R$1073&lt;&gt;""))),"")</f>
        <v>0.25914833843695434</v>
      </c>
      <c r="AA643" cm="1">
        <f t="array" ref="AA643">IFERROR(AVERAGE(_xlfn._xlws.FILTER(S$2:S$1073,($C$2:$C$1073=$C643)*($E$2:$E$1073=$E643)*(ROW(S$2:S$1073)&lt;&gt;ROW(S643))*(S$2:S$1073&lt;&gt;""))),"")</f>
        <v>1.1977552601969479</v>
      </c>
      <c r="AB643" cm="1">
        <f t="array" ref="AB643">IFERROR(AVERAGE(_xlfn._xlws.FILTER(T$2:T$1073,($C$2:$C$1073=$C643)*($E$2:$E$1073=$E643)*(ROW(T$2:T$1073)&lt;&gt;ROW(T643))*(T$2:T$1073&lt;&gt;""))),"")</f>
        <v>7.3494623805268416E-2</v>
      </c>
      <c r="AC643" cm="1">
        <f t="array" ref="AC643">IFERROR(AVERAGE(_xlfn._xlws.FILTER(U$2:U$1073,($C$2:$C$1073=$C643)*($E$2:$E$1073=$E643)*(ROW(U$2:U$1073)&lt;&gt;ROW(U643))*(U$2:U$1073&lt;&gt;""))),"")</f>
        <v>4.1542484165422309</v>
      </c>
      <c r="AD643" cm="1">
        <f t="array" ref="AD643">IFERROR(AVERAGE(_xlfn._xlws.FILTER(V$2:V$1073,($C$2:$C$1073=$C643)*($E$2:$E$1073=$E643)*(ROW(V$2:V$1073)&lt;&gt;ROW(V643))*(V$2:V$1073&lt;&gt;""))),"")</f>
        <v>0.70665988563500204</v>
      </c>
      <c r="AE643">
        <f>IF('Дивиденды по годам'!M643&lt;0,1,0)</f>
        <v>0</v>
      </c>
    </row>
    <row r="644" spans="1:31" x14ac:dyDescent="0.2">
      <c r="A644" s="7" t="s">
        <v>2319</v>
      </c>
      <c r="B644" t="str">
        <f t="shared" si="110"/>
        <v>PRMD IV кв. 2023</v>
      </c>
      <c r="C644">
        <v>2023</v>
      </c>
      <c r="D644">
        <f>SUMIFS(Дивиденды!$C:$C,Дивиденды!$A:$A,A644,Дивиденды!$I:$I,C644)</f>
        <v>0</v>
      </c>
      <c r="E644">
        <v>4</v>
      </c>
      <c r="F644">
        <f t="shared" si="111"/>
        <v>0</v>
      </c>
      <c r="G644">
        <f t="shared" si="112"/>
        <v>90.740000000000009</v>
      </c>
      <c r="H644">
        <f t="shared" si="113"/>
        <v>0</v>
      </c>
      <c r="I644">
        <f t="shared" si="114"/>
        <v>0.5</v>
      </c>
      <c r="J644">
        <f t="shared" si="115"/>
        <v>0</v>
      </c>
      <c r="K644">
        <f t="shared" ref="K644:K707" si="120">IFERROR(AVERAGEIFS($J:$J,$E:$E,E644,$C:$C,C644,$A:$A,"&lt;&gt;"&amp;A644),"")</f>
        <v>0.29812745098039217</v>
      </c>
      <c r="L644">
        <f t="shared" si="116"/>
        <v>0</v>
      </c>
      <c r="M644">
        <f t="shared" si="117"/>
        <v>0.42857142857142855</v>
      </c>
      <c r="N644">
        <f t="shared" si="118"/>
        <v>0</v>
      </c>
      <c r="O644">
        <f t="shared" si="119"/>
        <v>0</v>
      </c>
      <c r="P644">
        <f>IFERROR(LN('Дивиденды по годам'!I644),"")</f>
        <v>24.273507569012637</v>
      </c>
      <c r="Q644">
        <f>IFERROR('Дивиденды по годам'!G644/'Дивиденды по годам'!I644, "")</f>
        <v>0.37489141120887315</v>
      </c>
      <c r="R644">
        <f>IFERROR(IF(AND('Дивиденды по годам'!N644&lt;&gt;"",'Дивиденды по годам'!U644&lt;&gt;"",'Дивиденды по годам'!U644&lt;&gt;0),'Дивиденды по годам'!N644/'Дивиденды по годам'!U644-1,""),"")</f>
        <v>0.13393905886809288</v>
      </c>
      <c r="S644">
        <f>IFERROR(IF(AND('Дивиденды по годам'!L644&lt;&gt;"",'Дивиденды по годам'!I644&lt;&gt;"",'Дивиденды по годам'!J644&lt;&gt;"",'Дивиденды по годам'!K644&lt;&gt;"",('Дивиденды по годам'!I644-'Дивиденды по годам'!J644-'Дивиденды по годам'!K644)&lt;&gt;0),'Дивиденды по годам'!L644/('Дивиденды по годам'!I644-'Дивиденды по годам'!J644-'Дивиденды по годам'!K644),""),"")</f>
        <v>0.98218152617309895</v>
      </c>
      <c r="T644">
        <f>IFERROR(IF(AND('Дивиденды по годам'!Q644&lt;&gt;"",'Дивиденды по годам'!I644&lt;&gt;"",'Дивиденды по годам'!V644&lt;&gt;"",('Дивиденды по годам'!I644+'Дивиденды по годам'!V644)&lt;&gt;0),'Дивиденды по годам'!Q644/(('Дивиденды по годам'!I644+'Дивиденды по годам'!V644)/2),""),"")</f>
        <v>9.3742893950839956E-2</v>
      </c>
      <c r="U644">
        <f>IFERROR(IF(AND('Дивиденды по годам'!J644&lt;&gt;"",'Дивиденды по годам'!K644&lt;&gt;"",'Дивиденды по годам'!M644&lt;&gt;"",'Дивиденды по годам'!M644&lt;&gt;0),('Дивиденды по годам'!J644+'Дивиденды по годам'!K644)/'Дивиденды по годам'!M644,""),"")</f>
        <v>1.6776488891270953</v>
      </c>
      <c r="V644">
        <f>IFERROR(IF(AND('Дивиденды по годам'!J644&lt;&gt;"",'Дивиденды по годам'!K644&lt;&gt;"",'Дивиденды по годам'!M644&lt;&gt;"",'Дивиденды по годам'!I644&lt;&gt;0),('Дивиденды по годам'!J644+'Дивиденды по годам'!K644)/'Дивиденды по годам'!I644,""),"")</f>
        <v>0.62653804086838405</v>
      </c>
      <c r="W644">
        <f>IFERROR('Дивиденды по годам'!I644,"")</f>
        <v>34821734000</v>
      </c>
      <c r="X644" cm="1">
        <f t="array" ref="X644">IFERROR(AVERAGE(_xlfn._xlws.FILTER(P$2:P$1073,($C$2:$C$1073=$C644)*($E$2:$E$1073=$E644)*(ROW(P$2:P$1073)&lt;&gt;ROW(P644))*(P$2:P$1073&lt;&gt;""))),"")</f>
        <v>25.445072968167729</v>
      </c>
      <c r="Y644" cm="1">
        <f t="array" ref="Y644">IFERROR(AVERAGE(_xlfn._xlws.FILTER(Q$2:Q$1073,($C$2:$C$1073=$C644)*($E$2:$E$1073=$E644)*(ROW(Q$2:Q$1073)&lt;&gt;ROW(Q644))*(Q$2:Q$1073&lt;&gt;""))),"")</f>
        <v>0.24149425592606169</v>
      </c>
      <c r="Z644" cm="1">
        <f t="array" ref="Z644">IFERROR(AVERAGE(_xlfn._xlws.FILTER(R$2:R$1073,($C$2:$C$1073=$C644)*($E$2:$E$1073=$E644)*(ROW(R$2:R$1073)&lt;&gt;ROW(R644))*(R$2:R$1073&lt;&gt;""))),"")</f>
        <v>0.25551107667586143</v>
      </c>
      <c r="AA644" cm="1">
        <f t="array" ref="AA644">IFERROR(AVERAGE(_xlfn._xlws.FILTER(S$2:S$1073,($C$2:$C$1073=$C644)*($E$2:$E$1073=$E644)*(ROW(S$2:S$1073)&lt;&gt;ROW(S644))*(S$2:S$1073&lt;&gt;""))),"")</f>
        <v>1.2648377639339075</v>
      </c>
      <c r="AB644" cm="1">
        <f t="array" ref="AB644">IFERROR(AVERAGE(_xlfn._xlws.FILTER(T$2:T$1073,($C$2:$C$1073=$C644)*($E$2:$E$1073=$E644)*(ROW(T$2:T$1073)&lt;&gt;ROW(T644))*(T$2:T$1073&lt;&gt;""))),"")</f>
        <v>0.11169241897614306</v>
      </c>
      <c r="AC644" cm="1">
        <f t="array" ref="AC644">IFERROR(AVERAGE(_xlfn._xlws.FILTER(U$2:U$1073,($C$2:$C$1073=$C644)*($E$2:$E$1073=$E644)*(ROW(U$2:U$1073)&lt;&gt;ROW(U644))*(U$2:U$1073&lt;&gt;""))),"")</f>
        <v>2.6524658321072279</v>
      </c>
      <c r="AD644" cm="1">
        <f t="array" ref="AD644">IFERROR(AVERAGE(_xlfn._xlws.FILTER(V$2:V$1073,($C$2:$C$1073=$C644)*($E$2:$E$1073=$E644)*(ROW(V$2:V$1073)&lt;&gt;ROW(V644))*(V$2:V$1073&lt;&gt;""))),"")</f>
        <v>0.69715261726516875</v>
      </c>
      <c r="AE644">
        <f>IF('Дивиденды по годам'!M644&lt;0,1,0)</f>
        <v>0</v>
      </c>
    </row>
    <row r="645" spans="1:31" x14ac:dyDescent="0.2">
      <c r="A645" s="7" t="s">
        <v>2319</v>
      </c>
      <c r="B645" t="str">
        <f t="shared" si="110"/>
        <v>PRMD IV кв. 2022</v>
      </c>
      <c r="C645">
        <v>2022</v>
      </c>
      <c r="D645">
        <f>SUMIFS(Дивиденды!$C:$C,Дивиденды!$A:$A,A645,Дивиденды!$I:$I,C645)</f>
        <v>0</v>
      </c>
      <c r="E645">
        <v>4</v>
      </c>
      <c r="F645">
        <f t="shared" si="111"/>
        <v>0</v>
      </c>
      <c r="G645">
        <f t="shared" si="112"/>
        <v>80.180000000000021</v>
      </c>
      <c r="H645">
        <f t="shared" si="113"/>
        <v>0</v>
      </c>
      <c r="I645">
        <f t="shared" si="114"/>
        <v>0.2857142857142857</v>
      </c>
      <c r="J645">
        <f t="shared" si="115"/>
        <v>0</v>
      </c>
      <c r="K645">
        <f t="shared" si="120"/>
        <v>0.49583624512073399</v>
      </c>
      <c r="L645">
        <f t="shared" si="116"/>
        <v>0</v>
      </c>
      <c r="M645">
        <f t="shared" si="117"/>
        <v>0.2857142857142857</v>
      </c>
      <c r="N645">
        <f t="shared" si="118"/>
        <v>0</v>
      </c>
      <c r="O645">
        <f t="shared" si="119"/>
        <v>7.1428571428571425E-2</v>
      </c>
      <c r="P645">
        <f>IFERROR(LN('Дивиденды по годам'!I645),"")</f>
        <v>24.073793834811479</v>
      </c>
      <c r="Q645">
        <f>IFERROR('Дивиденды по годам'!G645/'Дивиденды по годам'!I645, "")</f>
        <v>0.34462579442086444</v>
      </c>
      <c r="R645">
        <f>IFERROR(IF(AND('Дивиденды по годам'!N645&lt;&gt;"",'Дивиденды по годам'!U645&lt;&gt;"",'Дивиденды по годам'!U645&lt;&gt;0),'Дивиденды по годам'!N645/'Дивиденды по годам'!U645-1,""),"")</f>
        <v>-0.14673195842225106</v>
      </c>
      <c r="S645">
        <f>IFERROR(IF(AND('Дивиденды по годам'!L645&lt;&gt;"",'Дивиденды по годам'!I645&lt;&gt;"",'Дивиденды по годам'!J645&lt;&gt;"",'Дивиденды по годам'!K645&lt;&gt;"",('Дивиденды по годам'!I645-'Дивиденды по годам'!J645-'Дивиденды по годам'!K645)&lt;&gt;0),'Дивиденды по годам'!L645/('Дивиденды по годам'!I645-'Дивиденды по годам'!J645-'Дивиденды по годам'!K645),""),"")</f>
        <v>0.98593369593329938</v>
      </c>
      <c r="T645">
        <f>IFERROR(IF(AND('Дивиденды по годам'!Q645&lt;&gt;"",'Дивиденды по годам'!I645&lt;&gt;"",'Дивиденды по годам'!V645&lt;&gt;"",('Дивиденды по годам'!I645+'Дивиденды по годам'!V645)&lt;&gt;0),'Дивиденды по годам'!Q645/(('Дивиденды по годам'!I645+'Дивиденды по годам'!V645)/2),""),"")</f>
        <v>0.17841960110211214</v>
      </c>
      <c r="U645">
        <f>IFERROR(IF(AND('Дивиденды по годам'!J645&lt;&gt;"",'Дивиденды по годам'!K645&lt;&gt;"",'Дивиденды по годам'!M645&lt;&gt;"",'Дивиденды по годам'!M645&lt;&gt;0),('Дивиденды по годам'!J645+'Дивиденды по годам'!K645)/'Дивиденды по годам'!M645,""),"")</f>
        <v>1.1834543335514405</v>
      </c>
      <c r="V645">
        <f>IFERROR(IF(AND('Дивиденды по годам'!J645&lt;&gt;"",'Дивиденды по годам'!K645&lt;&gt;"",'Дивиденды по годам'!M645&lt;&gt;"",'Дивиденды по годам'!I645&lt;&gt;0),('Дивиденды по годам'!J645+'Дивиденды по годам'!K645)/'Дивиденды по годам'!I645,""),"")</f>
        <v>0.54201011459970583</v>
      </c>
      <c r="W645">
        <f>IFERROR('Дивиденды по годам'!I645,"")</f>
        <v>28517787000</v>
      </c>
      <c r="X645" cm="1">
        <f t="array" ref="X645">IFERROR(AVERAGE(_xlfn._xlws.FILTER(P$2:P$1073,($C$2:$C$1073=$C645)*($E$2:$E$1073=$E645)*(ROW(P$2:P$1073)&lt;&gt;ROW(P645))*(P$2:P$1073&lt;&gt;""))),"")</f>
        <v>25.366874670276331</v>
      </c>
      <c r="Y645" cm="1">
        <f t="array" ref="Y645">IFERROR(AVERAGE(_xlfn._xlws.FILTER(Q$2:Q$1073,($C$2:$C$1073=$C645)*($E$2:$E$1073=$E645)*(ROW(Q$2:Q$1073)&lt;&gt;ROW(Q645))*(Q$2:Q$1073&lt;&gt;""))),"")</f>
        <v>0.24024237773697221</v>
      </c>
      <c r="Z645" cm="1">
        <f t="array" ref="Z645">IFERROR(AVERAGE(_xlfn._xlws.FILTER(R$2:R$1073,($C$2:$C$1073=$C645)*($E$2:$E$1073=$E645)*(ROW(R$2:R$1073)&lt;&gt;ROW(R645))*(R$2:R$1073&lt;&gt;""))),"")</f>
        <v>0.23712298946257446</v>
      </c>
      <c r="AA645" cm="1">
        <f t="array" ref="AA645">IFERROR(AVERAGE(_xlfn._xlws.FILTER(S$2:S$1073,($C$2:$C$1073=$C645)*($E$2:$E$1073=$E645)*(ROW(S$2:S$1073)&lt;&gt;ROW(S645))*(S$2:S$1073&lt;&gt;""))),"")</f>
        <v>1.3663453712705278</v>
      </c>
      <c r="AB645" cm="1">
        <f t="array" ref="AB645">IFERROR(AVERAGE(_xlfn._xlws.FILTER(T$2:T$1073,($C$2:$C$1073=$C645)*($E$2:$E$1073=$E645)*(ROW(T$2:T$1073)&lt;&gt;ROW(T645))*(T$2:T$1073&lt;&gt;""))),"")</f>
        <v>9.3762188718430242E-2</v>
      </c>
      <c r="AC645" cm="1">
        <f t="array" ref="AC645">IFERROR(AVERAGE(_xlfn._xlws.FILTER(U$2:U$1073,($C$2:$C$1073=$C645)*($E$2:$E$1073=$E645)*(ROW(U$2:U$1073)&lt;&gt;ROW(U645))*(U$2:U$1073&lt;&gt;""))),"")</f>
        <v>2.2559792755321078</v>
      </c>
      <c r="AD645" cm="1">
        <f t="array" ref="AD645">IFERROR(AVERAGE(_xlfn._xlws.FILTER(V$2:V$1073,($C$2:$C$1073=$C645)*($E$2:$E$1073=$E645)*(ROW(V$2:V$1073)&lt;&gt;ROW(V645))*(V$2:V$1073&lt;&gt;""))),"")</f>
        <v>0.73266833568644218</v>
      </c>
      <c r="AE645">
        <f>IF('Дивиденды по годам'!M645&lt;0,1,0)</f>
        <v>0</v>
      </c>
    </row>
    <row r="646" spans="1:31" x14ac:dyDescent="0.2">
      <c r="A646" s="7" t="s">
        <v>2319</v>
      </c>
      <c r="B646" t="str">
        <f t="shared" si="110"/>
        <v>PRMD IV кв. 2021</v>
      </c>
      <c r="C646">
        <v>2021</v>
      </c>
      <c r="D646">
        <f>SUMIFS(Дивиденды!$C:$C,Дивиденды!$A:$A,A646,Дивиденды!$I:$I,C646)</f>
        <v>0</v>
      </c>
      <c r="E646">
        <v>4</v>
      </c>
      <c r="F646">
        <f t="shared" si="111"/>
        <v>0</v>
      </c>
      <c r="G646">
        <f t="shared" si="112"/>
        <v>31.931428571428572</v>
      </c>
      <c r="H646">
        <f t="shared" si="113"/>
        <v>0</v>
      </c>
      <c r="I646">
        <f t="shared" si="114"/>
        <v>0.2857142857142857</v>
      </c>
      <c r="J646">
        <f t="shared" si="115"/>
        <v>0</v>
      </c>
      <c r="K646">
        <f t="shared" si="120"/>
        <v>0.1975016604235505</v>
      </c>
      <c r="L646">
        <f t="shared" si="116"/>
        <v>0</v>
      </c>
      <c r="M646">
        <f t="shared" si="117"/>
        <v>0.21428571428571427</v>
      </c>
      <c r="N646">
        <f t="shared" si="118"/>
        <v>0</v>
      </c>
      <c r="O646">
        <f t="shared" si="119"/>
        <v>7.1428571428571425E-2</v>
      </c>
      <c r="P646">
        <f>IFERROR(LN('Дивиденды по годам'!I646),"")</f>
        <v>23.652269780146458</v>
      </c>
      <c r="Q646">
        <f>IFERROR('Дивиденды по годам'!G646/'Дивиденды по годам'!I646, "")</f>
        <v>0.26246703054884962</v>
      </c>
      <c r="R646" t="str">
        <f>IFERROR(IF(AND('Дивиденды по годам'!N646&lt;&gt;"",'Дивиденды по годам'!U646&lt;&gt;"",'Дивиденды по годам'!U646&lt;&gt;0),'Дивиденды по годам'!N646/'Дивиденды по годам'!U646-1,""),"")</f>
        <v/>
      </c>
      <c r="S646">
        <f>IFERROR(IF(AND('Дивиденды по годам'!L646&lt;&gt;"",'Дивиденды по годам'!I646&lt;&gt;"",'Дивиденды по годам'!J646&lt;&gt;"",'Дивиденды по годам'!K646&lt;&gt;"",('Дивиденды по годам'!I646-'Дивиденды по годам'!J646-'Дивиденды по годам'!K646)&lt;&gt;0),'Дивиденды по годам'!L646/('Дивиденды по годам'!I646-'Дивиденды по годам'!J646-'Дивиденды по годам'!K646),""),"")</f>
        <v>0.97898544955585565</v>
      </c>
      <c r="T646" t="str">
        <f>IFERROR(IF(AND('Дивиденды по годам'!Q646&lt;&gt;"",'Дивиденды по годам'!I646&lt;&gt;"",'Дивиденды по годам'!V646&lt;&gt;"",('Дивиденды по годам'!I646+'Дивиденды по годам'!V646)&lt;&gt;0),'Дивиденды по годам'!Q646/(('Дивиденды по годам'!I646+'Дивиденды по годам'!V646)/2),""),"")</f>
        <v/>
      </c>
      <c r="U646">
        <f>IFERROR(IF(AND('Дивиденды по годам'!J646&lt;&gt;"",'Дивиденды по годам'!K646&lt;&gt;"",'Дивиденды по годам'!M646&lt;&gt;"",'Дивиденды по годам'!M646&lt;&gt;0),('Дивиденды по годам'!J646+'Дивиденды по годам'!K646)/'Дивиденды по годам'!M646,""),"")</f>
        <v>0.96760500886206424</v>
      </c>
      <c r="V646">
        <f>IFERROR(IF(AND('Дивиденды по годам'!J646&lt;&gt;"",'Дивиденды по годам'!K646&lt;&gt;"",'Дивиденды по годам'!M646&lt;&gt;"",'Дивиденды по годам'!I646&lt;&gt;0),('Дивиденды по годам'!J646+'Дивиденды по годам'!K646)/'Дивиденды по годам'!I646,""),"")</f>
        <v>0.49176791302318573</v>
      </c>
      <c r="W646">
        <f>IFERROR('Дивиденды по годам'!I646,"")</f>
        <v>18708986000</v>
      </c>
      <c r="X646" cm="1">
        <f t="array" ref="X646">IFERROR(AVERAGE(_xlfn._xlws.FILTER(P$2:P$1073,($C$2:$C$1073=$C646)*($E$2:$E$1073=$E646)*(ROW(P$2:P$1073)&lt;&gt;ROW(P646))*(P$2:P$1073&lt;&gt;""))),"")</f>
        <v>25.315945222566626</v>
      </c>
      <c r="Y646" cm="1">
        <f t="array" ref="Y646">IFERROR(AVERAGE(_xlfn._xlws.FILTER(Q$2:Q$1073,($C$2:$C$1073=$C646)*($E$2:$E$1073=$E646)*(ROW(Q$2:Q$1073)&lt;&gt;ROW(Q646))*(Q$2:Q$1073&lt;&gt;""))),"")</f>
        <v>0.23299196785653983</v>
      </c>
      <c r="Z646" cm="1">
        <f t="array" ref="Z646">IFERROR(AVERAGE(_xlfn._xlws.FILTER(R$2:R$1073,($C$2:$C$1073=$C646)*($E$2:$E$1073=$E646)*(ROW(R$2:R$1073)&lt;&gt;ROW(R646))*(R$2:R$1073&lt;&gt;""))),"")</f>
        <v>0.31760921072336168</v>
      </c>
      <c r="AA646" cm="1">
        <f t="array" ref="AA646">IFERROR(AVERAGE(_xlfn._xlws.FILTER(S$2:S$1073,($C$2:$C$1073=$C646)*($E$2:$E$1073=$E646)*(ROW(S$2:S$1073)&lt;&gt;ROW(S646))*(S$2:S$1073&lt;&gt;""))),"")</f>
        <v>1.3507718651476026</v>
      </c>
      <c r="AB646" cm="1">
        <f t="array" ref="AB646">IFERROR(AVERAGE(_xlfn._xlws.FILTER(T$2:T$1073,($C$2:$C$1073=$C646)*($E$2:$E$1073=$E646)*(ROW(T$2:T$1073)&lt;&gt;ROW(T646))*(T$2:T$1073&lt;&gt;""))),"")</f>
        <v>0.10239490834794492</v>
      </c>
      <c r="AC646" cm="1">
        <f t="array" ref="AC646">IFERROR(AVERAGE(_xlfn._xlws.FILTER(U$2:U$1073,($C$2:$C$1073=$C646)*($E$2:$E$1073=$E646)*(ROW(U$2:U$1073)&lt;&gt;ROW(U646))*(U$2:U$1073&lt;&gt;""))),"")</f>
        <v>18.267883931881023</v>
      </c>
      <c r="AD646" cm="1">
        <f t="array" ref="AD646">IFERROR(AVERAGE(_xlfn._xlws.FILTER(V$2:V$1073,($C$2:$C$1073=$C646)*($E$2:$E$1073=$E646)*(ROW(V$2:V$1073)&lt;&gt;ROW(V646))*(V$2:V$1073&lt;&gt;""))),"")</f>
        <v>0.79616575307737536</v>
      </c>
      <c r="AE646">
        <f>IF('Дивиденды по годам'!M646&lt;0,1,0)</f>
        <v>0</v>
      </c>
    </row>
    <row r="647" spans="1:31" x14ac:dyDescent="0.2">
      <c r="A647" s="7" t="s">
        <v>2319</v>
      </c>
      <c r="B647" t="str">
        <f t="shared" si="110"/>
        <v>PRMD IV кв. 2020</v>
      </c>
      <c r="C647">
        <v>2020</v>
      </c>
      <c r="D647">
        <f>SUMIFS(Дивиденды!$C:$C,Дивиденды!$A:$A,A647,Дивиденды!$I:$I,C647)</f>
        <v>0</v>
      </c>
      <c r="E647">
        <v>4</v>
      </c>
      <c r="F647">
        <f t="shared" si="111"/>
        <v>0</v>
      </c>
      <c r="G647">
        <f t="shared" si="112"/>
        <v>43.293571428571433</v>
      </c>
      <c r="H647">
        <f t="shared" si="113"/>
        <v>0</v>
      </c>
      <c r="I647">
        <f t="shared" si="114"/>
        <v>0.2857142857142857</v>
      </c>
      <c r="J647">
        <f t="shared" si="115"/>
        <v>0</v>
      </c>
      <c r="K647">
        <f t="shared" si="120"/>
        <v>0.26831617204892738</v>
      </c>
      <c r="L647">
        <f t="shared" si="116"/>
        <v>0</v>
      </c>
      <c r="M647">
        <f t="shared" si="117"/>
        <v>0.2857142857142857</v>
      </c>
      <c r="N647">
        <f t="shared" si="118"/>
        <v>0</v>
      </c>
      <c r="O647">
        <f t="shared" si="119"/>
        <v>0</v>
      </c>
      <c r="P647" t="str">
        <f>IFERROR(LN('Дивиденды по годам'!I647),"")</f>
        <v/>
      </c>
      <c r="Q647" t="str">
        <f>IFERROR('Дивиденды по годам'!G647/'Дивиденды по годам'!I647, "")</f>
        <v/>
      </c>
      <c r="R647" t="str">
        <f>IFERROR(IF(AND('Дивиденды по годам'!N647&lt;&gt;"",'Дивиденды по годам'!U647&lt;&gt;"",'Дивиденды по годам'!U647&lt;&gt;0),'Дивиденды по годам'!N647/'Дивиденды по годам'!U647-1,""),"")</f>
        <v/>
      </c>
      <c r="S647" t="str">
        <f>IFERROR(IF(AND('Дивиденды по годам'!L647&lt;&gt;"",'Дивиденды по годам'!I647&lt;&gt;"",'Дивиденды по годам'!J647&lt;&gt;"",'Дивиденды по годам'!K647&lt;&gt;"",('Дивиденды по годам'!I647-'Дивиденды по годам'!J647-'Дивиденды по годам'!K647)&lt;&gt;0),'Дивиденды по годам'!L647/('Дивиденды по годам'!I647-'Дивиденды по годам'!J647-'Дивиденды по годам'!K647),""),"")</f>
        <v/>
      </c>
      <c r="T647" t="str">
        <f>IFERROR(IF(AND('Дивиденды по годам'!Q647&lt;&gt;"",'Дивиденды по годам'!I647&lt;&gt;"",'Дивиденды по годам'!V647&lt;&gt;"",('Дивиденды по годам'!I647+'Дивиденды по годам'!V647)&lt;&gt;0),'Дивиденды по годам'!Q647/(('Дивиденды по годам'!I647+'Дивиденды по годам'!V647)/2),""),"")</f>
        <v/>
      </c>
      <c r="U647" t="str">
        <f>IFERROR(IF(AND('Дивиденды по годам'!J647&lt;&gt;"",'Дивиденды по годам'!K647&lt;&gt;"",'Дивиденды по годам'!M647&lt;&gt;"",'Дивиденды по годам'!M647&lt;&gt;0),('Дивиденды по годам'!J647+'Дивиденды по годам'!K647)/'Дивиденды по годам'!M647,""),"")</f>
        <v/>
      </c>
      <c r="V647" t="str">
        <f>IFERROR(IF(AND('Дивиденды по годам'!J647&lt;&gt;"",'Дивиденды по годам'!K647&lt;&gt;"",'Дивиденды по годам'!M647&lt;&gt;"",'Дивиденды по годам'!I647&lt;&gt;0),('Дивиденды по годам'!J647+'Дивиденды по годам'!K647)/'Дивиденды по годам'!I647,""),"")</f>
        <v/>
      </c>
      <c r="W647" t="str">
        <f>IFERROR('Дивиденды по годам'!I647,"")</f>
        <v/>
      </c>
      <c r="X647" cm="1">
        <f t="array" ref="X647">IFERROR(AVERAGE(_xlfn._xlws.FILTER(P$2:P$1073,($C$2:$C$1073=$C647)*($E$2:$E$1073=$E647)*(ROW(P$2:P$1073)&lt;&gt;ROW(P647))*(P$2:P$1073&lt;&gt;""))),"")</f>
        <v>25.279360907920736</v>
      </c>
      <c r="Y647" cm="1">
        <f t="array" ref="Y647">IFERROR(AVERAGE(_xlfn._xlws.FILTER(Q$2:Q$1073,($C$2:$C$1073=$C647)*($E$2:$E$1073=$E647)*(ROW(Q$2:Q$1073)&lt;&gt;ROW(Q647))*(Q$2:Q$1073&lt;&gt;""))),"")</f>
        <v>0.26156752075221612</v>
      </c>
      <c r="Z647" cm="1">
        <f t="array" ref="Z647">IFERROR(AVERAGE(_xlfn._xlws.FILTER(R$2:R$1073,($C$2:$C$1073=$C647)*($E$2:$E$1073=$E647)*(ROW(R$2:R$1073)&lt;&gt;ROW(R647))*(R$2:R$1073&lt;&gt;""))),"")</f>
        <v>9.6830410579929804E-2</v>
      </c>
      <c r="AA647" cm="1">
        <f t="array" ref="AA647">IFERROR(AVERAGE(_xlfn._xlws.FILTER(S$2:S$1073,($C$2:$C$1073=$C647)*($E$2:$E$1073=$E647)*(ROW(S$2:S$1073)&lt;&gt;ROW(S647))*(S$2:S$1073&lt;&gt;""))),"")</f>
        <v>1.7199758573549004</v>
      </c>
      <c r="AB647" cm="1">
        <f t="array" ref="AB647">IFERROR(AVERAGE(_xlfn._xlws.FILTER(T$2:T$1073,($C$2:$C$1073=$C647)*($E$2:$E$1073=$E647)*(ROW(T$2:T$1073)&lt;&gt;ROW(T647))*(T$2:T$1073&lt;&gt;""))),"")</f>
        <v>6.7482119215201988E-2</v>
      </c>
      <c r="AC647" cm="1">
        <f t="array" ref="AC647">IFERROR(AVERAGE(_xlfn._xlws.FILTER(U$2:U$1073,($C$2:$C$1073=$C647)*($E$2:$E$1073=$E647)*(ROW(U$2:U$1073)&lt;&gt;ROW(U647))*(U$2:U$1073&lt;&gt;""))),"")</f>
        <v>-10.291341252885539</v>
      </c>
      <c r="AD647" cm="1">
        <f t="array" ref="AD647">IFERROR(AVERAGE(_xlfn._xlws.FILTER(V$2:V$1073,($C$2:$C$1073=$C647)*($E$2:$E$1073=$E647)*(ROW(V$2:V$1073)&lt;&gt;ROW(V647))*(V$2:V$1073&lt;&gt;""))),"")</f>
        <v>0.77820650148801684</v>
      </c>
      <c r="AE647">
        <f>IF('Дивиденды по годам'!M647&lt;0,1,0)</f>
        <v>0</v>
      </c>
    </row>
    <row r="648" spans="1:31" x14ac:dyDescent="0.2">
      <c r="A648" s="7" t="s">
        <v>2319</v>
      </c>
      <c r="B648" t="str">
        <f t="shared" si="110"/>
        <v>PRMD IV кв. 2019</v>
      </c>
      <c r="C648">
        <v>2019</v>
      </c>
      <c r="D648">
        <f>SUMIFS(Дивиденды!$C:$C,Дивиденды!$A:$A,A648,Дивиденды!$I:$I,C648)</f>
        <v>0</v>
      </c>
      <c r="E648">
        <v>4</v>
      </c>
      <c r="F648">
        <f t="shared" si="111"/>
        <v>0</v>
      </c>
      <c r="G648">
        <f t="shared" si="112"/>
        <v>24.398571428571426</v>
      </c>
      <c r="H648">
        <f t="shared" si="113"/>
        <v>0</v>
      </c>
      <c r="I648">
        <f t="shared" si="114"/>
        <v>0.21428571428571427</v>
      </c>
      <c r="J648">
        <f t="shared" si="115"/>
        <v>0</v>
      </c>
      <c r="K648">
        <f t="shared" si="120"/>
        <v>0.10876410731109194</v>
      </c>
      <c r="L648">
        <f t="shared" si="116"/>
        <v>0</v>
      </c>
      <c r="M648">
        <f t="shared" si="117"/>
        <v>0.21428571428571427</v>
      </c>
      <c r="N648">
        <f t="shared" si="118"/>
        <v>0</v>
      </c>
      <c r="O648">
        <f t="shared" si="119"/>
        <v>0</v>
      </c>
      <c r="P648" t="str">
        <f>IFERROR(LN('Дивиденды по годам'!I648),"")</f>
        <v/>
      </c>
      <c r="Q648" t="str">
        <f>IFERROR('Дивиденды по годам'!G648/'Дивиденды по годам'!I648, "")</f>
        <v/>
      </c>
      <c r="R648" t="str">
        <f>IFERROR(IF(AND('Дивиденды по годам'!N648&lt;&gt;"",'Дивиденды по годам'!U648&lt;&gt;"",'Дивиденды по годам'!U648&lt;&gt;0),'Дивиденды по годам'!N648/'Дивиденды по годам'!U648-1,""),"")</f>
        <v/>
      </c>
      <c r="S648" t="str">
        <f>IFERROR(IF(AND('Дивиденды по годам'!L648&lt;&gt;"",'Дивиденды по годам'!I648&lt;&gt;"",'Дивиденды по годам'!J648&lt;&gt;"",'Дивиденды по годам'!K648&lt;&gt;"",('Дивиденды по годам'!I648-'Дивиденды по годам'!J648-'Дивиденды по годам'!K648)&lt;&gt;0),'Дивиденды по годам'!L648/('Дивиденды по годам'!I648-'Дивиденды по годам'!J648-'Дивиденды по годам'!K648),""),"")</f>
        <v/>
      </c>
      <c r="T648" t="str">
        <f>IFERROR(IF(AND('Дивиденды по годам'!Q648&lt;&gt;"",'Дивиденды по годам'!I648&lt;&gt;"",'Дивиденды по годам'!V648&lt;&gt;"",('Дивиденды по годам'!I648+'Дивиденды по годам'!V648)&lt;&gt;0),'Дивиденды по годам'!Q648/(('Дивиденды по годам'!I648+'Дивиденды по годам'!V648)/2),""),"")</f>
        <v/>
      </c>
      <c r="U648" t="str">
        <f>IFERROR(IF(AND('Дивиденды по годам'!J648&lt;&gt;"",'Дивиденды по годам'!K648&lt;&gt;"",'Дивиденды по годам'!M648&lt;&gt;"",'Дивиденды по годам'!M648&lt;&gt;0),('Дивиденды по годам'!J648+'Дивиденды по годам'!K648)/'Дивиденды по годам'!M648,""),"")</f>
        <v/>
      </c>
      <c r="V648" t="str">
        <f>IFERROR(IF(AND('Дивиденды по годам'!J648&lt;&gt;"",'Дивиденды по годам'!K648&lt;&gt;"",'Дивиденды по годам'!M648&lt;&gt;"",'Дивиденды по годам'!I648&lt;&gt;0),('Дивиденды по годам'!J648+'Дивиденды по годам'!K648)/'Дивиденды по годам'!I648,""),"")</f>
        <v/>
      </c>
      <c r="W648" t="str">
        <f>IFERROR('Дивиденды по годам'!I648,"")</f>
        <v/>
      </c>
      <c r="X648" cm="1">
        <f t="array" ref="X648">IFERROR(AVERAGE(_xlfn._xlws.FILTER(P$2:P$1073,($C$2:$C$1073=$C648)*($E$2:$E$1073=$E648)*(ROW(P$2:P$1073)&lt;&gt;ROW(P648))*(P$2:P$1073&lt;&gt;""))),"")</f>
        <v>25.116045651461882</v>
      </c>
      <c r="Y648" cm="1">
        <f t="array" ref="Y648">IFERROR(AVERAGE(_xlfn._xlws.FILTER(Q$2:Q$1073,($C$2:$C$1073=$C648)*($E$2:$E$1073=$E648)*(ROW(Q$2:Q$1073)&lt;&gt;ROW(Q648))*(Q$2:Q$1073&lt;&gt;""))),"")</f>
        <v>0.27081451761564085</v>
      </c>
      <c r="Z648" cm="1">
        <f t="array" ref="Z648">IFERROR(AVERAGE(_xlfn._xlws.FILTER(R$2:R$1073,($C$2:$C$1073=$C648)*($E$2:$E$1073=$E648)*(ROW(R$2:R$1073)&lt;&gt;ROW(R648))*(R$2:R$1073&lt;&gt;""))),"")</f>
        <v>0.41255485917491075</v>
      </c>
      <c r="AA648" cm="1">
        <f t="array" ref="AA648">IFERROR(AVERAGE(_xlfn._xlws.FILTER(S$2:S$1073,($C$2:$C$1073=$C648)*($E$2:$E$1073=$E648)*(ROW(S$2:S$1073)&lt;&gt;ROW(S648))*(S$2:S$1073&lt;&gt;""))),"")</f>
        <v>0.89707160002220321</v>
      </c>
      <c r="AB648" cm="1">
        <f t="array" ref="AB648">IFERROR(AVERAGE(_xlfn._xlws.FILTER(T$2:T$1073,($C$2:$C$1073=$C648)*($E$2:$E$1073=$E648)*(ROW(T$2:T$1073)&lt;&gt;ROW(T648))*(T$2:T$1073&lt;&gt;""))),"")</f>
        <v>4.8479450567785541E-2</v>
      </c>
      <c r="AC648" cm="1">
        <f t="array" ref="AC648">IFERROR(AVERAGE(_xlfn._xlws.FILTER(U$2:U$1073,($C$2:$C$1073=$C648)*($E$2:$E$1073=$E648)*(ROW(U$2:U$1073)&lt;&gt;ROW(U648))*(U$2:U$1073&lt;&gt;""))),"")</f>
        <v>-2.6443211935212805</v>
      </c>
      <c r="AD648" cm="1">
        <f t="array" ref="AD648">IFERROR(AVERAGE(_xlfn._xlws.FILTER(V$2:V$1073,($C$2:$C$1073=$C648)*($E$2:$E$1073=$E648)*(ROW(V$2:V$1073)&lt;&gt;ROW(V648))*(V$2:V$1073&lt;&gt;""))),"")</f>
        <v>0.81339122582508594</v>
      </c>
      <c r="AE648">
        <f>IF('Дивиденды по годам'!M648&lt;0,1,0)</f>
        <v>0</v>
      </c>
    </row>
    <row r="649" spans="1:31" x14ac:dyDescent="0.2">
      <c r="A649" s="7" t="s">
        <v>2319</v>
      </c>
      <c r="B649" t="str">
        <f t="shared" si="110"/>
        <v>PRMD IV кв. 2018</v>
      </c>
      <c r="C649">
        <v>2018</v>
      </c>
      <c r="D649">
        <f>SUMIFS(Дивиденды!$C:$C,Дивиденды!$A:$A,A649,Дивиденды!$I:$I,C649)</f>
        <v>0</v>
      </c>
      <c r="E649">
        <v>4</v>
      </c>
      <c r="F649">
        <f t="shared" si="111"/>
        <v>0</v>
      </c>
      <c r="G649">
        <f t="shared" si="112"/>
        <v>21.978571428571428</v>
      </c>
      <c r="H649">
        <f t="shared" si="113"/>
        <v>0</v>
      </c>
      <c r="I649">
        <f t="shared" si="114"/>
        <v>0.14285714285714285</v>
      </c>
      <c r="J649">
        <f t="shared" si="115"/>
        <v>0</v>
      </c>
      <c r="K649">
        <f t="shared" si="120"/>
        <v>-1.8223065562117002E-2</v>
      </c>
      <c r="L649">
        <f t="shared" si="116"/>
        <v>0</v>
      </c>
      <c r="M649">
        <f t="shared" si="117"/>
        <v>7.1428571428571425E-2</v>
      </c>
      <c r="N649">
        <f t="shared" si="118"/>
        <v>0</v>
      </c>
      <c r="O649">
        <f t="shared" si="119"/>
        <v>7.1428571428571425E-2</v>
      </c>
      <c r="P649" t="str">
        <f>IFERROR(LN('Дивиденды по годам'!I649),"")</f>
        <v/>
      </c>
      <c r="Q649" t="str">
        <f>IFERROR('Дивиденды по годам'!G649/'Дивиденды по годам'!I649, "")</f>
        <v/>
      </c>
      <c r="R649" t="str">
        <f>IFERROR(IF(AND('Дивиденды по годам'!N649&lt;&gt;"",'Дивиденды по годам'!U649&lt;&gt;"",'Дивиденды по годам'!U649&lt;&gt;0),'Дивиденды по годам'!N649/'Дивиденды по годам'!U649-1,""),"")</f>
        <v/>
      </c>
      <c r="S649" t="str">
        <f>IFERROR(IF(AND('Дивиденды по годам'!L649&lt;&gt;"",'Дивиденды по годам'!I649&lt;&gt;"",'Дивиденды по годам'!J649&lt;&gt;"",'Дивиденды по годам'!K649&lt;&gt;"",('Дивиденды по годам'!I649-'Дивиденды по годам'!J649-'Дивиденды по годам'!K649)&lt;&gt;0),'Дивиденды по годам'!L649/('Дивиденды по годам'!I649-'Дивиденды по годам'!J649-'Дивиденды по годам'!K649),""),"")</f>
        <v/>
      </c>
      <c r="T649" t="str">
        <f>IFERROR(IF(AND('Дивиденды по годам'!Q649&lt;&gt;"",'Дивиденды по годам'!I649&lt;&gt;"",'Дивиденды по годам'!V649&lt;&gt;"",('Дивиденды по годам'!I649+'Дивиденды по годам'!V649)&lt;&gt;0),'Дивиденды по годам'!Q649/(('Дивиденды по годам'!I649+'Дивиденды по годам'!V649)/2),""),"")</f>
        <v/>
      </c>
      <c r="U649" t="str">
        <f>IFERROR(IF(AND('Дивиденды по годам'!J649&lt;&gt;"",'Дивиденды по годам'!K649&lt;&gt;"",'Дивиденды по годам'!M649&lt;&gt;"",'Дивиденды по годам'!M649&lt;&gt;0),('Дивиденды по годам'!J649+'Дивиденды по годам'!K649)/'Дивиденды по годам'!M649,""),"")</f>
        <v/>
      </c>
      <c r="V649" t="str">
        <f>IFERROR(IF(AND('Дивиденды по годам'!J649&lt;&gt;"",'Дивиденды по годам'!K649&lt;&gt;"",'Дивиденды по годам'!M649&lt;&gt;"",'Дивиденды по годам'!I649&lt;&gt;0),('Дивиденды по годам'!J649+'Дивиденды по годам'!K649)/'Дивиденды по годам'!I649,""),"")</f>
        <v/>
      </c>
      <c r="W649" t="str">
        <f>IFERROR('Дивиденды по годам'!I649,"")</f>
        <v/>
      </c>
      <c r="X649" cm="1">
        <f t="array" ref="X649">IFERROR(AVERAGE(_xlfn._xlws.FILTER(P$2:P$1073,($C$2:$C$1073=$C649)*($E$2:$E$1073=$E649)*(ROW(P$2:P$1073)&lt;&gt;ROW(P649))*(P$2:P$1073&lt;&gt;""))),"")</f>
        <v>24.908270704496481</v>
      </c>
      <c r="Y649" cm="1">
        <f t="array" ref="Y649">IFERROR(AVERAGE(_xlfn._xlws.FILTER(Q$2:Q$1073,($C$2:$C$1073=$C649)*($E$2:$E$1073=$E649)*(ROW(Q$2:Q$1073)&lt;&gt;ROW(Q649))*(Q$2:Q$1073&lt;&gt;""))),"")</f>
        <v>0.31629947227527405</v>
      </c>
      <c r="Z649" cm="1">
        <f t="array" ref="Z649">IFERROR(AVERAGE(_xlfn._xlws.FILTER(R$2:R$1073,($C$2:$C$1073=$C649)*($E$2:$E$1073=$E649)*(ROW(R$2:R$1073)&lt;&gt;ROW(R649))*(R$2:R$1073&lt;&gt;""))),"")</f>
        <v>5.6638288450543382E-2</v>
      </c>
      <c r="AA649" cm="1">
        <f t="array" ref="AA649">IFERROR(AVERAGE(_xlfn._xlws.FILTER(S$2:S$1073,($C$2:$C$1073=$C649)*($E$2:$E$1073=$E649)*(ROW(S$2:S$1073)&lt;&gt;ROW(S649))*(S$2:S$1073&lt;&gt;""))),"")</f>
        <v>0.64427650310006845</v>
      </c>
      <c r="AB649" cm="1">
        <f t="array" ref="AB649">IFERROR(AVERAGE(_xlfn._xlws.FILTER(T$2:T$1073,($C$2:$C$1073=$C649)*($E$2:$E$1073=$E649)*(ROW(T$2:T$1073)&lt;&gt;ROW(T649))*(T$2:T$1073&lt;&gt;""))),"")</f>
        <v>7.1418821660913928E-3</v>
      </c>
      <c r="AC649" cm="1">
        <f t="array" ref="AC649">IFERROR(AVERAGE(_xlfn._xlws.FILTER(U$2:U$1073,($C$2:$C$1073=$C649)*($E$2:$E$1073=$E649)*(ROW(U$2:U$1073)&lt;&gt;ROW(U649))*(U$2:U$1073&lt;&gt;""))),"")</f>
        <v>1.0767813683356515</v>
      </c>
      <c r="AD649" cm="1">
        <f t="array" ref="AD649">IFERROR(AVERAGE(_xlfn._xlws.FILTER(V$2:V$1073,($C$2:$C$1073=$C649)*($E$2:$E$1073=$E649)*(ROW(V$2:V$1073)&lt;&gt;ROW(V649))*(V$2:V$1073&lt;&gt;""))),"")</f>
        <v>0.81626365949041058</v>
      </c>
      <c r="AE649">
        <f>IF('Дивиденды по годам'!M649&lt;0,1,0)</f>
        <v>0</v>
      </c>
    </row>
    <row r="650" spans="1:31" x14ac:dyDescent="0.2">
      <c r="A650" s="7" t="s">
        <v>2319</v>
      </c>
      <c r="B650" t="str">
        <f t="shared" si="110"/>
        <v>PRMD IV кв. 2017</v>
      </c>
      <c r="C650">
        <v>2017</v>
      </c>
      <c r="D650">
        <f>SUMIFS(Дивиденды!$C:$C,Дивиденды!$A:$A,A650,Дивиденды!$I:$I,C650)</f>
        <v>0</v>
      </c>
      <c r="E650">
        <v>4</v>
      </c>
      <c r="F650">
        <f t="shared" si="111"/>
        <v>0</v>
      </c>
      <c r="G650">
        <f t="shared" si="112"/>
        <v>18.403571428571428</v>
      </c>
      <c r="H650">
        <f t="shared" si="113"/>
        <v>0</v>
      </c>
      <c r="I650">
        <f t="shared" si="114"/>
        <v>0.14285714285714285</v>
      </c>
      <c r="J650">
        <f t="shared" si="115"/>
        <v>0</v>
      </c>
      <c r="K650">
        <f t="shared" si="120"/>
        <v>-1.7352821773673279E-2</v>
      </c>
      <c r="L650">
        <f t="shared" si="116"/>
        <v>0</v>
      </c>
      <c r="M650">
        <f t="shared" si="117"/>
        <v>0</v>
      </c>
      <c r="N650">
        <f t="shared" si="118"/>
        <v>0</v>
      </c>
      <c r="O650">
        <f t="shared" si="119"/>
        <v>0.14285714285714285</v>
      </c>
      <c r="P650" t="str">
        <f>IFERROR(LN('Дивиденды по годам'!I650),"")</f>
        <v/>
      </c>
      <c r="Q650" t="str">
        <f>IFERROR('Дивиденды по годам'!G650/'Дивиденды по годам'!I650, "")</f>
        <v/>
      </c>
      <c r="R650" t="str">
        <f>IFERROR(IF(AND('Дивиденды по годам'!N650&lt;&gt;"",'Дивиденды по годам'!U650&lt;&gt;"",'Дивиденды по годам'!U650&lt;&gt;0),'Дивиденды по годам'!N650/'Дивиденды по годам'!U650-1,""),"")</f>
        <v/>
      </c>
      <c r="S650" t="str">
        <f>IFERROR(IF(AND('Дивиденды по годам'!L650&lt;&gt;"",'Дивиденды по годам'!I650&lt;&gt;"",'Дивиденды по годам'!J650&lt;&gt;"",'Дивиденды по годам'!K650&lt;&gt;"",('Дивиденды по годам'!I650-'Дивиденды по годам'!J650-'Дивиденды по годам'!K650)&lt;&gt;0),'Дивиденды по годам'!L650/('Дивиденды по годам'!I650-'Дивиденды по годам'!J650-'Дивиденды по годам'!K650),""),"")</f>
        <v/>
      </c>
      <c r="T650" t="str">
        <f>IFERROR(IF(AND('Дивиденды по годам'!Q650&lt;&gt;"",'Дивиденды по годам'!I650&lt;&gt;"",'Дивиденды по годам'!V650&lt;&gt;"",('Дивиденды по годам'!I650+'Дивиденды по годам'!V650)&lt;&gt;0),'Дивиденды по годам'!Q650/(('Дивиденды по годам'!I650+'Дивиденды по годам'!V650)/2),""),"")</f>
        <v/>
      </c>
      <c r="U650" t="str">
        <f>IFERROR(IF(AND('Дивиденды по годам'!J650&lt;&gt;"",'Дивиденды по годам'!K650&lt;&gt;"",'Дивиденды по годам'!M650&lt;&gt;"",'Дивиденды по годам'!M650&lt;&gt;0),('Дивиденды по годам'!J650+'Дивиденды по годам'!K650)/'Дивиденды по годам'!M650,""),"")</f>
        <v/>
      </c>
      <c r="V650" t="str">
        <f>IFERROR(IF(AND('Дивиденды по годам'!J650&lt;&gt;"",'Дивиденды по годам'!K650&lt;&gt;"",'Дивиденды по годам'!M650&lt;&gt;"",'Дивиденды по годам'!I650&lt;&gt;0),('Дивиденды по годам'!J650+'Дивиденды по годам'!K650)/'Дивиденды по годам'!I650,""),"")</f>
        <v/>
      </c>
      <c r="W650" t="str">
        <f>IFERROR('Дивиденды по годам'!I650,"")</f>
        <v/>
      </c>
      <c r="X650" cm="1">
        <f t="array" ref="X650">IFERROR(AVERAGE(_xlfn._xlws.FILTER(P$2:P$1073,($C$2:$C$1073=$C650)*($E$2:$E$1073=$E650)*(ROW(P$2:P$1073)&lt;&gt;ROW(P650))*(P$2:P$1073&lt;&gt;""))),"")</f>
        <v>24.73571056544559</v>
      </c>
      <c r="Y650" cm="1">
        <f t="array" ref="Y650">IFERROR(AVERAGE(_xlfn._xlws.FILTER(Q$2:Q$1073,($C$2:$C$1073=$C650)*($E$2:$E$1073=$E650)*(ROW(Q$2:Q$1073)&lt;&gt;ROW(Q650))*(Q$2:Q$1073&lt;&gt;""))),"")</f>
        <v>0.33981210980429821</v>
      </c>
      <c r="Z650" cm="1">
        <f t="array" ref="Z650">IFERROR(AVERAGE(_xlfn._xlws.FILTER(R$2:R$1073,($C$2:$C$1073=$C650)*($E$2:$E$1073=$E650)*(ROW(R$2:R$1073)&lt;&gt;ROW(R650))*(R$2:R$1073&lt;&gt;""))),"")</f>
        <v>0.23691718521625563</v>
      </c>
      <c r="AA650" cm="1">
        <f t="array" ref="AA650">IFERROR(AVERAGE(_xlfn._xlws.FILTER(S$2:S$1073,($C$2:$C$1073=$C650)*($E$2:$E$1073=$E650)*(ROW(S$2:S$1073)&lt;&gt;ROW(S650))*(S$2:S$1073&lt;&gt;""))),"")</f>
        <v>0.61774629406594017</v>
      </c>
      <c r="AB650" cm="1">
        <f t="array" ref="AB650">IFERROR(AVERAGE(_xlfn._xlws.FILTER(T$2:T$1073,($C$2:$C$1073=$C650)*($E$2:$E$1073=$E650)*(ROW(T$2:T$1073)&lt;&gt;ROW(T650))*(T$2:T$1073&lt;&gt;""))),"")</f>
        <v>-2.7044382152168867E-2</v>
      </c>
      <c r="AC650" cm="1">
        <f t="array" ref="AC650">IFERROR(AVERAGE(_xlfn._xlws.FILTER(U$2:U$1073,($C$2:$C$1073=$C650)*($E$2:$E$1073=$E650)*(ROW(U$2:U$1073)&lt;&gt;ROW(U650))*(U$2:U$1073&lt;&gt;""))),"")</f>
        <v>0.62620703107195774</v>
      </c>
      <c r="AD650" cm="1">
        <f t="array" ref="AD650">IFERROR(AVERAGE(_xlfn._xlws.FILTER(V$2:V$1073,($C$2:$C$1073=$C650)*($E$2:$E$1073=$E650)*(ROW(V$2:V$1073)&lt;&gt;ROW(V650))*(V$2:V$1073&lt;&gt;""))),"")</f>
        <v>0.66654193671015471</v>
      </c>
      <c r="AE650">
        <f>IF('Дивиденды по годам'!M650&lt;0,1,0)</f>
        <v>0</v>
      </c>
    </row>
    <row r="651" spans="1:31" x14ac:dyDescent="0.2">
      <c r="A651" s="7" t="s">
        <v>2319</v>
      </c>
      <c r="B651" t="str">
        <f t="shared" si="110"/>
        <v>PRMD IV кв. 2016</v>
      </c>
      <c r="C651">
        <v>2016</v>
      </c>
      <c r="D651">
        <f>SUMIFS(Дивиденды!$C:$C,Дивиденды!$A:$A,A651,Дивиденды!$I:$I,C651)</f>
        <v>0</v>
      </c>
      <c r="E651">
        <v>4</v>
      </c>
      <c r="F651">
        <f t="shared" si="111"/>
        <v>0</v>
      </c>
      <c r="G651">
        <f t="shared" si="112"/>
        <v>20.421428571428571</v>
      </c>
      <c r="H651">
        <f t="shared" si="113"/>
        <v>0</v>
      </c>
      <c r="I651">
        <f t="shared" si="114"/>
        <v>0.14285714285714285</v>
      </c>
      <c r="J651">
        <f t="shared" si="115"/>
        <v>0</v>
      </c>
      <c r="K651">
        <f t="shared" si="120"/>
        <v>2.0593461763560781E-2</v>
      </c>
      <c r="L651">
        <f t="shared" si="116"/>
        <v>0</v>
      </c>
      <c r="M651">
        <f t="shared" si="117"/>
        <v>7.1428571428571425E-2</v>
      </c>
      <c r="N651">
        <f t="shared" si="118"/>
        <v>0</v>
      </c>
      <c r="O651">
        <f t="shared" si="119"/>
        <v>7.1428571428571425E-2</v>
      </c>
      <c r="P651" t="str">
        <f>IFERROR(LN('Дивиденды по годам'!I651),"")</f>
        <v/>
      </c>
      <c r="Q651" t="str">
        <f>IFERROR('Дивиденды по годам'!G651/'Дивиденды по годам'!I651, "")</f>
        <v/>
      </c>
      <c r="R651" t="str">
        <f>IFERROR(IF(AND('Дивиденды по годам'!N651&lt;&gt;"",'Дивиденды по годам'!U651&lt;&gt;"",'Дивиденды по годам'!U651&lt;&gt;0),'Дивиденды по годам'!N651/'Дивиденды по годам'!U651-1,""),"")</f>
        <v/>
      </c>
      <c r="S651" t="str">
        <f>IFERROR(IF(AND('Дивиденды по годам'!L651&lt;&gt;"",'Дивиденды по годам'!I651&lt;&gt;"",'Дивиденды по годам'!J651&lt;&gt;"",'Дивиденды по годам'!K651&lt;&gt;"",('Дивиденды по годам'!I651-'Дивиденды по годам'!J651-'Дивиденды по годам'!K651)&lt;&gt;0),'Дивиденды по годам'!L651/('Дивиденды по годам'!I651-'Дивиденды по годам'!J651-'Дивиденды по годам'!K651),""),"")</f>
        <v/>
      </c>
      <c r="T651" t="str">
        <f>IFERROR(IF(AND('Дивиденды по годам'!Q651&lt;&gt;"",'Дивиденды по годам'!I651&lt;&gt;"",'Дивиденды по годам'!V651&lt;&gt;"",('Дивиденды по годам'!I651+'Дивиденды по годам'!V651)&lt;&gt;0),'Дивиденды по годам'!Q651/(('Дивиденды по годам'!I651+'Дивиденды по годам'!V651)/2),""),"")</f>
        <v/>
      </c>
      <c r="U651" t="str">
        <f>IFERROR(IF(AND('Дивиденды по годам'!J651&lt;&gt;"",'Дивиденды по годам'!K651&lt;&gt;"",'Дивиденды по годам'!M651&lt;&gt;"",'Дивиденды по годам'!M651&lt;&gt;0),('Дивиденды по годам'!J651+'Дивиденды по годам'!K651)/'Дивиденды по годам'!M651,""),"")</f>
        <v/>
      </c>
      <c r="V651" t="str">
        <f>IFERROR(IF(AND('Дивиденды по годам'!J651&lt;&gt;"",'Дивиденды по годам'!K651&lt;&gt;"",'Дивиденды по годам'!M651&lt;&gt;"",'Дивиденды по годам'!I651&lt;&gt;0),('Дивиденды по годам'!J651+'Дивиденды по годам'!K651)/'Дивиденды по годам'!I651,""),"")</f>
        <v/>
      </c>
      <c r="W651" t="str">
        <f>IFERROR('Дивиденды по годам'!I651,"")</f>
        <v/>
      </c>
      <c r="X651" cm="1">
        <f t="array" ref="X651">IFERROR(AVERAGE(_xlfn._xlws.FILTER(P$2:P$1073,($C$2:$C$1073=$C651)*($E$2:$E$1073=$E651)*(ROW(P$2:P$1073)&lt;&gt;ROW(P651))*(P$2:P$1073&lt;&gt;""))),"")</f>
        <v>24.55530958635584</v>
      </c>
      <c r="Y651" cm="1">
        <f t="array" ref="Y651">IFERROR(AVERAGE(_xlfn._xlws.FILTER(Q$2:Q$1073,($C$2:$C$1073=$C651)*($E$2:$E$1073=$E651)*(ROW(Q$2:Q$1073)&lt;&gt;ROW(Q651))*(Q$2:Q$1073&lt;&gt;""))),"")</f>
        <v>0.27878606899788128</v>
      </c>
      <c r="Z651" cm="1">
        <f t="array" ref="Z651">IFERROR(AVERAGE(_xlfn._xlws.FILTER(R$2:R$1073,($C$2:$C$1073=$C651)*($E$2:$E$1073=$E651)*(ROW(R$2:R$1073)&lt;&gt;ROW(R651))*(R$2:R$1073&lt;&gt;""))),"")</f>
        <v>0.16612325919082049</v>
      </c>
      <c r="AA651" cm="1">
        <f t="array" ref="AA651">IFERROR(AVERAGE(_xlfn._xlws.FILTER(S$2:S$1073,($C$2:$C$1073=$C651)*($E$2:$E$1073=$E651)*(ROW(S$2:S$1073)&lt;&gt;ROW(S651))*(S$2:S$1073&lt;&gt;""))),"")</f>
        <v>6.2178681719613929</v>
      </c>
      <c r="AB651" cm="1">
        <f t="array" ref="AB651">IFERROR(AVERAGE(_xlfn._xlws.FILTER(T$2:T$1073,($C$2:$C$1073=$C651)*($E$2:$E$1073=$E651)*(ROW(T$2:T$1073)&lt;&gt;ROW(T651))*(T$2:T$1073&lt;&gt;""))),"")</f>
        <v>-2.007011623977166E-2</v>
      </c>
      <c r="AC651" cm="1">
        <f t="array" ref="AC651">IFERROR(AVERAGE(_xlfn._xlws.FILTER(U$2:U$1073,($C$2:$C$1073=$C651)*($E$2:$E$1073=$E651)*(ROW(U$2:U$1073)&lt;&gt;ROW(U651))*(U$2:U$1073&lt;&gt;""))),"")</f>
        <v>-16.044507701133888</v>
      </c>
      <c r="AD651" cm="1">
        <f t="array" ref="AD651">IFERROR(AVERAGE(_xlfn._xlws.FILTER(V$2:V$1073,($C$2:$C$1073=$C651)*($E$2:$E$1073=$E651)*(ROW(V$2:V$1073)&lt;&gt;ROW(V651))*(V$2:V$1073&lt;&gt;""))),"")</f>
        <v>0.64687882816141706</v>
      </c>
      <c r="AE651">
        <f>IF('Дивиденды по годам'!M651&lt;0,1,0)</f>
        <v>0</v>
      </c>
    </row>
    <row r="652" spans="1:31" x14ac:dyDescent="0.2">
      <c r="A652" s="7" t="s">
        <v>2319</v>
      </c>
      <c r="B652" t="str">
        <f t="shared" si="110"/>
        <v>PRMD IV кв. 2015</v>
      </c>
      <c r="C652">
        <v>2015</v>
      </c>
      <c r="D652">
        <f>SUMIFS(Дивиденды!$C:$C,Дивиденды!$A:$A,A652,Дивиденды!$I:$I,C652)</f>
        <v>0</v>
      </c>
      <c r="E652">
        <v>4</v>
      </c>
      <c r="F652">
        <f t="shared" si="111"/>
        <v>0</v>
      </c>
      <c r="G652">
        <f t="shared" si="112"/>
        <v>22.574999999999999</v>
      </c>
      <c r="H652">
        <f t="shared" si="113"/>
        <v>0</v>
      </c>
      <c r="I652">
        <f t="shared" si="114"/>
        <v>0.14285714285714285</v>
      </c>
      <c r="J652">
        <f t="shared" si="115"/>
        <v>0</v>
      </c>
      <c r="K652">
        <f t="shared" si="120"/>
        <v>6.1102189263868886E-2</v>
      </c>
      <c r="L652">
        <f t="shared" si="116"/>
        <v>0</v>
      </c>
      <c r="M652">
        <f t="shared" si="117"/>
        <v>7.1428571428571425E-2</v>
      </c>
      <c r="N652">
        <f t="shared" si="118"/>
        <v>0</v>
      </c>
      <c r="O652">
        <f t="shared" si="119"/>
        <v>7.1428571428571425E-2</v>
      </c>
      <c r="P652" t="str">
        <f>IFERROR(LN('Дивиденды по годам'!I652),"")</f>
        <v/>
      </c>
      <c r="Q652" t="str">
        <f>IFERROR('Дивиденды по годам'!G652/'Дивиденды по годам'!I652, "")</f>
        <v/>
      </c>
      <c r="R652" t="str">
        <f>IFERROR(IF(AND('Дивиденды по годам'!N652&lt;&gt;"",'Дивиденды по годам'!U652&lt;&gt;"",'Дивиденды по годам'!U652&lt;&gt;0),'Дивиденды по годам'!N652/'Дивиденды по годам'!U652-1,""),"")</f>
        <v/>
      </c>
      <c r="S652" t="str">
        <f>IFERROR(IF(AND('Дивиденды по годам'!L652&lt;&gt;"",'Дивиденды по годам'!I652&lt;&gt;"",'Дивиденды по годам'!J652&lt;&gt;"",'Дивиденды по годам'!K652&lt;&gt;"",('Дивиденды по годам'!I652-'Дивиденды по годам'!J652-'Дивиденды по годам'!K652)&lt;&gt;0),'Дивиденды по годам'!L652/('Дивиденды по годам'!I652-'Дивиденды по годам'!J652-'Дивиденды по годам'!K652),""),"")</f>
        <v/>
      </c>
      <c r="T652" t="str">
        <f>IFERROR(IF(AND('Дивиденды по годам'!Q652&lt;&gt;"",'Дивиденды по годам'!I652&lt;&gt;"",'Дивиденды по годам'!V652&lt;&gt;"",('Дивиденды по годам'!I652+'Дивиденды по годам'!V652)&lt;&gt;0),'Дивиденды по годам'!Q652/(('Дивиденды по годам'!I652+'Дивиденды по годам'!V652)/2),""),"")</f>
        <v/>
      </c>
      <c r="U652" t="str">
        <f>IFERROR(IF(AND('Дивиденды по годам'!J652&lt;&gt;"",'Дивиденды по годам'!K652&lt;&gt;"",'Дивиденды по годам'!M652&lt;&gt;"",'Дивиденды по годам'!M652&lt;&gt;0),('Дивиденды по годам'!J652+'Дивиденды по годам'!K652)/'Дивиденды по годам'!M652,""),"")</f>
        <v/>
      </c>
      <c r="V652" t="str">
        <f>IFERROR(IF(AND('Дивиденды по годам'!J652&lt;&gt;"",'Дивиденды по годам'!K652&lt;&gt;"",'Дивиденды по годам'!M652&lt;&gt;"",'Дивиденды по годам'!I652&lt;&gt;0),('Дивиденды по годам'!J652+'Дивиденды по годам'!K652)/'Дивиденды по годам'!I652,""),"")</f>
        <v/>
      </c>
      <c r="W652" t="str">
        <f>IFERROR('Дивиденды по годам'!I652,"")</f>
        <v/>
      </c>
      <c r="X652" cm="1">
        <f t="array" ref="X652">IFERROR(AVERAGE(_xlfn._xlws.FILTER(P$2:P$1073,($C$2:$C$1073=$C652)*($E$2:$E$1073=$E652)*(ROW(P$2:P$1073)&lt;&gt;ROW(P652))*(P$2:P$1073&lt;&gt;""))),"")</f>
        <v>24.784857390248948</v>
      </c>
      <c r="Y652" cm="1">
        <f t="array" ref="Y652">IFERROR(AVERAGE(_xlfn._xlws.FILTER(Q$2:Q$1073,($C$2:$C$1073=$C652)*($E$2:$E$1073=$E652)*(ROW(Q$2:Q$1073)&lt;&gt;ROW(Q652))*(Q$2:Q$1073&lt;&gt;""))),"")</f>
        <v>0.29707306985497267</v>
      </c>
      <c r="Z652" cm="1">
        <f t="array" ref="Z652">IFERROR(AVERAGE(_xlfn._xlws.FILTER(R$2:R$1073,($C$2:$C$1073=$C652)*($E$2:$E$1073=$E652)*(ROW(R$2:R$1073)&lt;&gt;ROW(R652))*(R$2:R$1073&lt;&gt;""))),"")</f>
        <v>0.20074687596566593</v>
      </c>
      <c r="AA652" cm="1">
        <f t="array" ref="AA652">IFERROR(AVERAGE(_xlfn._xlws.FILTER(S$2:S$1073,($C$2:$C$1073=$C652)*($E$2:$E$1073=$E652)*(ROW(S$2:S$1073)&lt;&gt;ROW(S652))*(S$2:S$1073&lt;&gt;""))),"")</f>
        <v>-0.60736862679830428</v>
      </c>
      <c r="AB652" cm="1">
        <f t="array" ref="AB652">IFERROR(AVERAGE(_xlfn._xlws.FILTER(T$2:T$1073,($C$2:$C$1073=$C652)*($E$2:$E$1073=$E652)*(ROW(T$2:T$1073)&lt;&gt;ROW(T652))*(T$2:T$1073&lt;&gt;""))),"")</f>
        <v>6.4031956193225284E-2</v>
      </c>
      <c r="AC652" cm="1">
        <f t="array" ref="AC652">IFERROR(AVERAGE(_xlfn._xlws.FILTER(U$2:U$1073,($C$2:$C$1073=$C652)*($E$2:$E$1073=$E652)*(ROW(U$2:U$1073)&lt;&gt;ROW(U652))*(U$2:U$1073&lt;&gt;""))),"")</f>
        <v>5.5189604575277329</v>
      </c>
      <c r="AD652" cm="1">
        <f t="array" ref="AD652">IFERROR(AVERAGE(_xlfn._xlws.FILTER(V$2:V$1073,($C$2:$C$1073=$C652)*($E$2:$E$1073=$E652)*(ROW(V$2:V$1073)&lt;&gt;ROW(V652))*(V$2:V$1073&lt;&gt;""))),"")</f>
        <v>0.63096522939864874</v>
      </c>
      <c r="AE652">
        <f>IF('Дивиденды по годам'!M652&lt;0,1,0)</f>
        <v>0</v>
      </c>
    </row>
    <row r="653" spans="1:31" x14ac:dyDescent="0.2">
      <c r="A653" s="7" t="s">
        <v>2319</v>
      </c>
      <c r="B653" t="str">
        <f t="shared" si="110"/>
        <v>PRMD IV кв. 2014</v>
      </c>
      <c r="C653">
        <v>2014</v>
      </c>
      <c r="D653">
        <f>SUMIFS(Дивиденды!$C:$C,Дивиденды!$A:$A,A653,Дивиденды!$I:$I,C653)</f>
        <v>0</v>
      </c>
      <c r="E653">
        <v>4</v>
      </c>
      <c r="F653">
        <f t="shared" si="111"/>
        <v>0</v>
      </c>
      <c r="G653">
        <f t="shared" si="112"/>
        <v>25.924285714285713</v>
      </c>
      <c r="H653">
        <f t="shared" si="113"/>
        <v>0</v>
      </c>
      <c r="I653">
        <f t="shared" si="114"/>
        <v>7.1428571428571425E-2</v>
      </c>
      <c r="J653">
        <f t="shared" si="115"/>
        <v>0</v>
      </c>
      <c r="K653">
        <f t="shared" si="120"/>
        <v>4.887635107293415E-2</v>
      </c>
      <c r="L653">
        <f t="shared" si="116"/>
        <v>0</v>
      </c>
      <c r="M653">
        <f t="shared" si="117"/>
        <v>7.1428571428571425E-2</v>
      </c>
      <c r="N653">
        <f t="shared" si="118"/>
        <v>0</v>
      </c>
      <c r="O653">
        <f t="shared" si="119"/>
        <v>7.1428571428571425E-2</v>
      </c>
      <c r="P653" t="str">
        <f>IFERROR(LN('Дивиденды по годам'!I653),"")</f>
        <v/>
      </c>
      <c r="Q653" t="str">
        <f>IFERROR('Дивиденды по годам'!G653/'Дивиденды по годам'!I653, "")</f>
        <v/>
      </c>
      <c r="R653" t="str">
        <f>IFERROR(IF(AND('Дивиденды по годам'!N653&lt;&gt;"",'Дивиденды по годам'!U653&lt;&gt;"",'Дивиденды по годам'!U653&lt;&gt;0),'Дивиденды по годам'!N653/'Дивиденды по годам'!U653-1,""),"")</f>
        <v/>
      </c>
      <c r="S653" t="str">
        <f>IFERROR(IF(AND('Дивиденды по годам'!L653&lt;&gt;"",'Дивиденды по годам'!I653&lt;&gt;"",'Дивиденды по годам'!J653&lt;&gt;"",'Дивиденды по годам'!K653&lt;&gt;"",('Дивиденды по годам'!I653-'Дивиденды по годам'!J653-'Дивиденды по годам'!K653)&lt;&gt;0),'Дивиденды по годам'!L653/('Дивиденды по годам'!I653-'Дивиденды по годам'!J653-'Дивиденды по годам'!K653),""),"")</f>
        <v/>
      </c>
      <c r="T653" t="str">
        <f>IFERROR(IF(AND('Дивиденды по годам'!Q653&lt;&gt;"",'Дивиденды по годам'!I653&lt;&gt;"",'Дивиденды по годам'!V653&lt;&gt;"",('Дивиденды по годам'!I653+'Дивиденды по годам'!V653)&lt;&gt;0),'Дивиденды по годам'!Q653/(('Дивиденды по годам'!I653+'Дивиденды по годам'!V653)/2),""),"")</f>
        <v/>
      </c>
      <c r="U653" t="str">
        <f>IFERROR(IF(AND('Дивиденды по годам'!J653&lt;&gt;"",'Дивиденды по годам'!K653&lt;&gt;"",'Дивиденды по годам'!M653&lt;&gt;"",'Дивиденды по годам'!M653&lt;&gt;0),('Дивиденды по годам'!J653+'Дивиденды по годам'!K653)/'Дивиденды по годам'!M653,""),"")</f>
        <v/>
      </c>
      <c r="V653" t="str">
        <f>IFERROR(IF(AND('Дивиденды по годам'!J653&lt;&gt;"",'Дивиденды по годам'!K653&lt;&gt;"",'Дивиденды по годам'!M653&lt;&gt;"",'Дивиденды по годам'!I653&lt;&gt;0),('Дивиденды по годам'!J653+'Дивиденды по годам'!K653)/'Дивиденды по годам'!I653,""),"")</f>
        <v/>
      </c>
      <c r="W653" t="str">
        <f>IFERROR('Дивиденды по годам'!I653,"")</f>
        <v/>
      </c>
      <c r="X653" cm="1">
        <f t="array" ref="X653">IFERROR(AVERAGE(_xlfn._xlws.FILTER(P$2:P$1073,($C$2:$C$1073=$C653)*($E$2:$E$1073=$E653)*(ROW(P$2:P$1073)&lt;&gt;ROW(P653))*(P$2:P$1073&lt;&gt;""))),"")</f>
        <v>24.777851287837404</v>
      </c>
      <c r="Y653" cm="1">
        <f t="array" ref="Y653">IFERROR(AVERAGE(_xlfn._xlws.FILTER(Q$2:Q$1073,($C$2:$C$1073=$C653)*($E$2:$E$1073=$E653)*(ROW(Q$2:Q$1073)&lt;&gt;ROW(Q653))*(Q$2:Q$1073&lt;&gt;""))),"")</f>
        <v>0.28994951624266957</v>
      </c>
      <c r="Z653" cm="1">
        <f t="array" ref="Z653">IFERROR(AVERAGE(_xlfn._xlws.FILTER(R$2:R$1073,($C$2:$C$1073=$C653)*($E$2:$E$1073=$E653)*(ROW(R$2:R$1073)&lt;&gt;ROW(R653))*(R$2:R$1073&lt;&gt;""))),"")</f>
        <v>8.5517195784799244E-2</v>
      </c>
      <c r="AA653" cm="1">
        <f t="array" ref="AA653">IFERROR(AVERAGE(_xlfn._xlws.FILTER(S$2:S$1073,($C$2:$C$1073=$C653)*($E$2:$E$1073=$E653)*(ROW(S$2:S$1073)&lt;&gt;ROW(S653))*(S$2:S$1073&lt;&gt;""))),"")</f>
        <v>-8.9932559622525012</v>
      </c>
      <c r="AB653" cm="1">
        <f t="array" ref="AB653">IFERROR(AVERAGE(_xlfn._xlws.FILTER(T$2:T$1073,($C$2:$C$1073=$C653)*($E$2:$E$1073=$E653)*(ROW(T$2:T$1073)&lt;&gt;ROW(T653))*(T$2:T$1073&lt;&gt;""))),"")</f>
        <v>3.4958573241250623E-2</v>
      </c>
      <c r="AC653" cm="1">
        <f t="array" ref="AC653">IFERROR(AVERAGE(_xlfn._xlws.FILTER(U$2:U$1073,($C$2:$C$1073=$C653)*($E$2:$E$1073=$E653)*(ROW(U$2:U$1073)&lt;&gt;ROW(U653))*(U$2:U$1073&lt;&gt;""))),"")</f>
        <v>34.444280572958768</v>
      </c>
      <c r="AD653" cm="1">
        <f t="array" ref="AD653">IFERROR(AVERAGE(_xlfn._xlws.FILTER(V$2:V$1073,($C$2:$C$1073=$C653)*($E$2:$E$1073=$E653)*(ROW(V$2:V$1073)&lt;&gt;ROW(V653))*(V$2:V$1073&lt;&gt;""))),"")</f>
        <v>0.67440993714043496</v>
      </c>
      <c r="AE653">
        <f>IF('Дивиденды по годам'!M653&lt;0,1,0)</f>
        <v>0</v>
      </c>
    </row>
    <row r="654" spans="1:31" x14ac:dyDescent="0.2">
      <c r="A654" s="7" t="s">
        <v>2319</v>
      </c>
      <c r="B654" t="str">
        <f t="shared" si="110"/>
        <v>PRMD IV кв. 2013</v>
      </c>
      <c r="C654">
        <v>2013</v>
      </c>
      <c r="D654">
        <f>SUMIFS(Дивиденды!$C:$C,Дивиденды!$A:$A,A654,Дивиденды!$I:$I,C654)</f>
        <v>0</v>
      </c>
      <c r="E654">
        <v>4</v>
      </c>
      <c r="F654">
        <f t="shared" si="111"/>
        <v>0</v>
      </c>
      <c r="G654">
        <f t="shared" si="112"/>
        <v>13.409285714285716</v>
      </c>
      <c r="H654">
        <f t="shared" si="113"/>
        <v>0</v>
      </c>
      <c r="I654">
        <f t="shared" si="114"/>
        <v>0.14285714285714285</v>
      </c>
      <c r="J654">
        <f t="shared" si="115"/>
        <v>0</v>
      </c>
      <c r="K654">
        <f t="shared" si="120"/>
        <v>4.7291245939064024E-2</v>
      </c>
      <c r="L654">
        <f t="shared" si="116"/>
        <v>0</v>
      </c>
      <c r="M654">
        <f t="shared" si="117"/>
        <v>7.1428571428571425E-2</v>
      </c>
      <c r="N654">
        <f t="shared" si="118"/>
        <v>0</v>
      </c>
      <c r="O654">
        <f t="shared" si="119"/>
        <v>0</v>
      </c>
      <c r="P654" t="str">
        <f>IFERROR(LN('Дивиденды по годам'!I654),"")</f>
        <v/>
      </c>
      <c r="Q654" t="str">
        <f>IFERROR('Дивиденды по годам'!G654/'Дивиденды по годам'!I654, "")</f>
        <v/>
      </c>
      <c r="R654" t="str">
        <f>IFERROR(IF(AND('Дивиденды по годам'!N654&lt;&gt;"",'Дивиденды по годам'!U654&lt;&gt;"",'Дивиденды по годам'!U654&lt;&gt;0),'Дивиденды по годам'!N654/'Дивиденды по годам'!U654-1,""),"")</f>
        <v/>
      </c>
      <c r="S654" t="str">
        <f>IFERROR(IF(AND('Дивиденды по годам'!L654&lt;&gt;"",'Дивиденды по годам'!I654&lt;&gt;"",'Дивиденды по годам'!J654&lt;&gt;"",'Дивиденды по годам'!K654&lt;&gt;"",('Дивиденды по годам'!I654-'Дивиденды по годам'!J654-'Дивиденды по годам'!K654)&lt;&gt;0),'Дивиденды по годам'!L654/('Дивиденды по годам'!I654-'Дивиденды по годам'!J654-'Дивиденды по годам'!K654),""),"")</f>
        <v/>
      </c>
      <c r="T654" t="str">
        <f>IFERROR(IF(AND('Дивиденды по годам'!Q654&lt;&gt;"",'Дивиденды по годам'!I654&lt;&gt;"",'Дивиденды по годам'!V654&lt;&gt;"",('Дивиденды по годам'!I654+'Дивиденды по годам'!V654)&lt;&gt;0),'Дивиденды по годам'!Q654/(('Дивиденды по годам'!I654+'Дивиденды по годам'!V654)/2),""),"")</f>
        <v/>
      </c>
      <c r="U654" t="str">
        <f>IFERROR(IF(AND('Дивиденды по годам'!J654&lt;&gt;"",'Дивиденды по годам'!K654&lt;&gt;"",'Дивиденды по годам'!M654&lt;&gt;"",'Дивиденды по годам'!M654&lt;&gt;0),('Дивиденды по годам'!J654+'Дивиденды по годам'!K654)/'Дивиденды по годам'!M654,""),"")</f>
        <v/>
      </c>
      <c r="V654" t="str">
        <f>IFERROR(IF(AND('Дивиденды по годам'!J654&lt;&gt;"",'Дивиденды по годам'!K654&lt;&gt;"",'Дивиденды по годам'!M654&lt;&gt;"",'Дивиденды по годам'!I654&lt;&gt;0),('Дивиденды по годам'!J654+'Дивиденды по годам'!K654)/'Дивиденды по годам'!I654,""),"")</f>
        <v/>
      </c>
      <c r="W654" t="str">
        <f>IFERROR('Дивиденды по годам'!I654,"")</f>
        <v/>
      </c>
      <c r="X654" cm="1">
        <f t="array" ref="X654">IFERROR(AVERAGE(_xlfn._xlws.FILTER(P$2:P$1073,($C$2:$C$1073=$C654)*($E$2:$E$1073=$E654)*(ROW(P$2:P$1073)&lt;&gt;ROW(P654))*(P$2:P$1073&lt;&gt;""))),"")</f>
        <v>24.281308125321722</v>
      </c>
      <c r="Y654" cm="1">
        <f t="array" ref="Y654">IFERROR(AVERAGE(_xlfn._xlws.FILTER(Q$2:Q$1073,($C$2:$C$1073=$C654)*($E$2:$E$1073=$E654)*(ROW(Q$2:Q$1073)&lt;&gt;ROW(Q654))*(Q$2:Q$1073&lt;&gt;""))),"")</f>
        <v>0.34809372453666254</v>
      </c>
      <c r="Z654" cm="1">
        <f t="array" ref="Z654">IFERROR(AVERAGE(_xlfn._xlws.FILTER(R$2:R$1073,($C$2:$C$1073=$C654)*($E$2:$E$1073=$E654)*(ROW(R$2:R$1073)&lt;&gt;ROW(R654))*(R$2:R$1073&lt;&gt;""))),"")</f>
        <v>0.17531341667142472</v>
      </c>
      <c r="AA654" t="str" cm="1">
        <f t="array" ref="AA654">IFERROR(AVERAGE(_xlfn._xlws.FILTER(S$2:S$1073,($C$2:$C$1073=$C654)*($E$2:$E$1073=$E654)*(ROW(S$2:S$1073)&lt;&gt;ROW(S654))*(S$2:S$1073&lt;&gt;""))),"")</f>
        <v/>
      </c>
      <c r="AB654" cm="1">
        <f t="array" ref="AB654">IFERROR(AVERAGE(_xlfn._xlws.FILTER(T$2:T$1073,($C$2:$C$1073=$C654)*($E$2:$E$1073=$E654)*(ROW(T$2:T$1073)&lt;&gt;ROW(T654))*(T$2:T$1073&lt;&gt;""))),"")</f>
        <v>-0.12490141563278262</v>
      </c>
      <c r="AC654" cm="1">
        <f t="array" ref="AC654">IFERROR(AVERAGE(_xlfn._xlws.FILTER(U$2:U$1073,($C$2:$C$1073=$C654)*($E$2:$E$1073=$E654)*(ROW(U$2:U$1073)&lt;&gt;ROW(U654))*(U$2:U$1073&lt;&gt;""))),"")</f>
        <v>0.44566877182826042</v>
      </c>
      <c r="AD654" cm="1">
        <f t="array" ref="AD654">IFERROR(AVERAGE(_xlfn._xlws.FILTER(V$2:V$1073,($C$2:$C$1073=$C654)*($E$2:$E$1073=$E654)*(ROW(V$2:V$1073)&lt;&gt;ROW(V654))*(V$2:V$1073&lt;&gt;""))),"")</f>
        <v>1.3322699308491581</v>
      </c>
      <c r="AE654">
        <f>IF('Дивиденды по годам'!M654&lt;0,1,0)</f>
        <v>0</v>
      </c>
    </row>
    <row r="655" spans="1:31" x14ac:dyDescent="0.2">
      <c r="A655" s="7" t="s">
        <v>2319</v>
      </c>
      <c r="B655" t="str">
        <f t="shared" si="110"/>
        <v>PRMD IV кв. 2012</v>
      </c>
      <c r="C655">
        <v>2012</v>
      </c>
      <c r="D655">
        <f>SUMIFS(Дивиденды!$C:$C,Дивиденды!$A:$A,A655,Дивиденды!$I:$I,C655)</f>
        <v>0</v>
      </c>
      <c r="E655">
        <v>4</v>
      </c>
      <c r="F655">
        <f t="shared" si="111"/>
        <v>0</v>
      </c>
      <c r="G655">
        <f t="shared" si="112"/>
        <v>9.5621428571428577</v>
      </c>
      <c r="H655">
        <f t="shared" si="113"/>
        <v>0</v>
      </c>
      <c r="I655">
        <f t="shared" si="114"/>
        <v>0.14285714285714285</v>
      </c>
      <c r="J655">
        <f t="shared" si="115"/>
        <v>0</v>
      </c>
      <c r="K655">
        <f t="shared" si="120"/>
        <v>0.25341100242975517</v>
      </c>
      <c r="L655">
        <f t="shared" si="116"/>
        <v>0</v>
      </c>
      <c r="M655">
        <f t="shared" si="117"/>
        <v>0.14285714285714285</v>
      </c>
      <c r="N655">
        <f t="shared" si="118"/>
        <v>0</v>
      </c>
      <c r="O655">
        <f t="shared" si="119"/>
        <v>0</v>
      </c>
      <c r="P655" t="str">
        <f>IFERROR(LN('Дивиденды по годам'!I655),"")</f>
        <v/>
      </c>
      <c r="Q655" t="str">
        <f>IFERROR('Дивиденды по годам'!G655/'Дивиденды по годам'!I655, "")</f>
        <v/>
      </c>
      <c r="R655" t="str">
        <f>IFERROR(IF(AND('Дивиденды по годам'!N655&lt;&gt;"",'Дивиденды по годам'!U655&lt;&gt;"",'Дивиденды по годам'!U655&lt;&gt;0),'Дивиденды по годам'!N655/'Дивиденды по годам'!U655-1,""),"")</f>
        <v/>
      </c>
      <c r="S655" t="str">
        <f>IFERROR(IF(AND('Дивиденды по годам'!L655&lt;&gt;"",'Дивиденды по годам'!I655&lt;&gt;"",'Дивиденды по годам'!J655&lt;&gt;"",'Дивиденды по годам'!K655&lt;&gt;"",('Дивиденды по годам'!I655-'Дивиденды по годам'!J655-'Дивиденды по годам'!K655)&lt;&gt;0),'Дивиденды по годам'!L655/('Дивиденды по годам'!I655-'Дивиденды по годам'!J655-'Дивиденды по годам'!K655),""),"")</f>
        <v/>
      </c>
      <c r="T655" t="str">
        <f>IFERROR(IF(AND('Дивиденды по годам'!Q655&lt;&gt;"",'Дивиденды по годам'!I655&lt;&gt;"",'Дивиденды по годам'!V655&lt;&gt;"",('Дивиденды по годам'!I655+'Дивиденды по годам'!V655)&lt;&gt;0),'Дивиденды по годам'!Q655/(('Дивиденды по годам'!I655+'Дивиденды по годам'!V655)/2),""),"")</f>
        <v/>
      </c>
      <c r="U655" t="str">
        <f>IFERROR(IF(AND('Дивиденды по годам'!J655&lt;&gt;"",'Дивиденды по годам'!K655&lt;&gt;"",'Дивиденды по годам'!M655&lt;&gt;"",'Дивиденды по годам'!M655&lt;&gt;0),('Дивиденды по годам'!J655+'Дивиденды по годам'!K655)/'Дивиденды по годам'!M655,""),"")</f>
        <v/>
      </c>
      <c r="V655" t="str">
        <f>IFERROR(IF(AND('Дивиденды по годам'!J655&lt;&gt;"",'Дивиденды по годам'!K655&lt;&gt;"",'Дивиденды по годам'!M655&lt;&gt;"",'Дивиденды по годам'!I655&lt;&gt;0),('Дивиденды по годам'!J655+'Дивиденды по годам'!K655)/'Дивиденды по годам'!I655,""),"")</f>
        <v/>
      </c>
      <c r="W655" t="str">
        <f>IFERROR('Дивиденды по годам'!I655,"")</f>
        <v/>
      </c>
      <c r="X655" cm="1">
        <f t="array" ref="X655">IFERROR(AVERAGE(_xlfn._xlws.FILTER(P$2:P$1073,($C$2:$C$1073=$C655)*($E$2:$E$1073=$E655)*(ROW(P$2:P$1073)&lt;&gt;ROW(P655))*(P$2:P$1073&lt;&gt;""))),"")</f>
        <v>24.228370506718147</v>
      </c>
      <c r="Y655" cm="1">
        <f t="array" ref="Y655">IFERROR(AVERAGE(_xlfn._xlws.FILTER(Q$2:Q$1073,($C$2:$C$1073=$C655)*($E$2:$E$1073=$E655)*(ROW(Q$2:Q$1073)&lt;&gt;ROW(Q655))*(Q$2:Q$1073&lt;&gt;""))),"")</f>
        <v>0.2820560824162458</v>
      </c>
      <c r="Z655" cm="1">
        <f t="array" ref="Z655">IFERROR(AVERAGE(_xlfn._xlws.FILTER(R$2:R$1073,($C$2:$C$1073=$C655)*($E$2:$E$1073=$E655)*(ROW(R$2:R$1073)&lt;&gt;ROW(R655))*(R$2:R$1073&lt;&gt;""))),"")</f>
        <v>-2.2522357472477484E-2</v>
      </c>
      <c r="AA655" cm="1">
        <f t="array" ref="AA655">IFERROR(AVERAGE(_xlfn._xlws.FILTER(S$2:S$1073,($C$2:$C$1073=$C655)*($E$2:$E$1073=$E655)*(ROW(S$2:S$1073)&lt;&gt;ROW(S655))*(S$2:S$1073&lt;&gt;""))),"")</f>
        <v>-1.7651061513336963</v>
      </c>
      <c r="AB655" cm="1">
        <f t="array" ref="AB655">IFERROR(AVERAGE(_xlfn._xlws.FILTER(T$2:T$1073,($C$2:$C$1073=$C655)*($E$2:$E$1073=$E655)*(ROW(T$2:T$1073)&lt;&gt;ROW(T655))*(T$2:T$1073&lt;&gt;""))),"")</f>
        <v>6.8400459116201365E-2</v>
      </c>
      <c r="AC655" cm="1">
        <f t="array" ref="AC655">IFERROR(AVERAGE(_xlfn._xlws.FILTER(U$2:U$1073,($C$2:$C$1073=$C655)*($E$2:$E$1073=$E655)*(ROW(U$2:U$1073)&lt;&gt;ROW(U655))*(U$2:U$1073&lt;&gt;""))),"")</f>
        <v>-3.9631898894189463</v>
      </c>
      <c r="AD655" cm="1">
        <f t="array" ref="AD655">IFERROR(AVERAGE(_xlfn._xlws.FILTER(V$2:V$1073,($C$2:$C$1073=$C655)*($E$2:$E$1073=$E655)*(ROW(V$2:V$1073)&lt;&gt;ROW(V655))*(V$2:V$1073&lt;&gt;""))),"")</f>
        <v>0.68524798816116717</v>
      </c>
      <c r="AE655">
        <f>IF('Дивиденды по годам'!M655&lt;0,1,0)</f>
        <v>0</v>
      </c>
    </row>
    <row r="656" spans="1:31" x14ac:dyDescent="0.2">
      <c r="A656" s="7" t="s">
        <v>2319</v>
      </c>
      <c r="B656" t="str">
        <f t="shared" si="110"/>
        <v>PRMD IV кв. 2011</v>
      </c>
      <c r="C656">
        <v>2011</v>
      </c>
      <c r="D656">
        <f>SUMIFS(Дивиденды!$C:$C,Дивиденды!$A:$A,A656,Дивиденды!$I:$I,C656)</f>
        <v>0</v>
      </c>
      <c r="E656">
        <v>4</v>
      </c>
      <c r="F656">
        <f t="shared" si="111"/>
        <v>0</v>
      </c>
      <c r="G656">
        <f t="shared" si="112"/>
        <v>1.6378571428571429</v>
      </c>
      <c r="H656">
        <f t="shared" si="113"/>
        <v>0</v>
      </c>
      <c r="I656">
        <f t="shared" si="114"/>
        <v>7.1428571428571425E-2</v>
      </c>
      <c r="J656">
        <f t="shared" si="115"/>
        <v>0</v>
      </c>
      <c r="K656">
        <f t="shared" si="120"/>
        <v>0.17786475320721892</v>
      </c>
      <c r="L656">
        <f t="shared" si="116"/>
        <v>0</v>
      </c>
      <c r="M656">
        <f t="shared" si="117"/>
        <v>7.1428571428571425E-2</v>
      </c>
      <c r="N656">
        <f t="shared" si="118"/>
        <v>0</v>
      </c>
      <c r="O656">
        <f t="shared" si="119"/>
        <v>0</v>
      </c>
      <c r="P656" t="str">
        <f>IFERROR(LN('Дивиденды по годам'!I656),"")</f>
        <v/>
      </c>
      <c r="Q656" t="str">
        <f>IFERROR('Дивиденды по годам'!G656/'Дивиденды по годам'!I656, "")</f>
        <v/>
      </c>
      <c r="R656" t="str">
        <f>IFERROR(IF(AND('Дивиденды по годам'!N656&lt;&gt;"",'Дивиденды по годам'!U656&lt;&gt;"",'Дивиденды по годам'!U656&lt;&gt;0),'Дивиденды по годам'!N656/'Дивиденды по годам'!U656-1,""),"")</f>
        <v/>
      </c>
      <c r="S656" t="str">
        <f>IFERROR(IF(AND('Дивиденды по годам'!L656&lt;&gt;"",'Дивиденды по годам'!I656&lt;&gt;"",'Дивиденды по годам'!J656&lt;&gt;"",'Дивиденды по годам'!K656&lt;&gt;"",('Дивиденды по годам'!I656-'Дивиденды по годам'!J656-'Дивиденды по годам'!K656)&lt;&gt;0),'Дивиденды по годам'!L656/('Дивиденды по годам'!I656-'Дивиденды по годам'!J656-'Дивиденды по годам'!K656),""),"")</f>
        <v/>
      </c>
      <c r="T656" t="str">
        <f>IFERROR(IF(AND('Дивиденды по годам'!Q656&lt;&gt;"",'Дивиденды по годам'!I656&lt;&gt;"",'Дивиденды по годам'!V656&lt;&gt;"",('Дивиденды по годам'!I656+'Дивиденды по годам'!V656)&lt;&gt;0),'Дивиденды по годам'!Q656/(('Дивиденды по годам'!I656+'Дивиденды по годам'!V656)/2),""),"")</f>
        <v/>
      </c>
      <c r="U656" t="str">
        <f>IFERROR(IF(AND('Дивиденды по годам'!J656&lt;&gt;"",'Дивиденды по годам'!K656&lt;&gt;"",'Дивиденды по годам'!M656&lt;&gt;"",'Дивиденды по годам'!M656&lt;&gt;0),('Дивиденды по годам'!J656+'Дивиденды по годам'!K656)/'Дивиденды по годам'!M656,""),"")</f>
        <v/>
      </c>
      <c r="V656" t="str">
        <f>IFERROR(IF(AND('Дивиденды по годам'!J656&lt;&gt;"",'Дивиденды по годам'!K656&lt;&gt;"",'Дивиденды по годам'!M656&lt;&gt;"",'Дивиденды по годам'!I656&lt;&gt;0),('Дивиденды по годам'!J656+'Дивиденды по годам'!K656)/'Дивиденды по годам'!I656,""),"")</f>
        <v/>
      </c>
      <c r="W656" t="str">
        <f>IFERROR('Дивиденды по годам'!I656,"")</f>
        <v/>
      </c>
      <c r="X656" cm="1">
        <f t="array" ref="X656">IFERROR(AVERAGE(_xlfn._xlws.FILTER(P$2:P$1073,($C$2:$C$1073=$C656)*($E$2:$E$1073=$E656)*(ROW(P$2:P$1073)&lt;&gt;ROW(P656))*(P$2:P$1073&lt;&gt;""))),"")</f>
        <v>24.180789108496477</v>
      </c>
      <c r="Y656" cm="1">
        <f t="array" ref="Y656">IFERROR(AVERAGE(_xlfn._xlws.FILTER(Q$2:Q$1073,($C$2:$C$1073=$C656)*($E$2:$E$1073=$E656)*(ROW(Q$2:Q$1073)&lt;&gt;ROW(Q656))*(Q$2:Q$1073&lt;&gt;""))),"")</f>
        <v>0.29604752502083465</v>
      </c>
      <c r="Z656" cm="1">
        <f t="array" ref="Z656">IFERROR(AVERAGE(_xlfn._xlws.FILTER(R$2:R$1073,($C$2:$C$1073=$C656)*($E$2:$E$1073=$E656)*(ROW(R$2:R$1073)&lt;&gt;ROW(R656))*(R$2:R$1073&lt;&gt;""))),"")</f>
        <v>5.9511017560386792E-2</v>
      </c>
      <c r="AA656" t="str" cm="1">
        <f t="array" ref="AA656">IFERROR(AVERAGE(_xlfn._xlws.FILTER(S$2:S$1073,($C$2:$C$1073=$C656)*($E$2:$E$1073=$E656)*(ROW(S$2:S$1073)&lt;&gt;ROW(S656))*(S$2:S$1073&lt;&gt;""))),"")</f>
        <v/>
      </c>
      <c r="AB656" cm="1">
        <f t="array" ref="AB656">IFERROR(AVERAGE(_xlfn._xlws.FILTER(T$2:T$1073,($C$2:$C$1073=$C656)*($E$2:$E$1073=$E656)*(ROW(T$2:T$1073)&lt;&gt;ROW(T656))*(T$2:T$1073&lt;&gt;""))),"")</f>
        <v>-1.4171101286470289E-2</v>
      </c>
      <c r="AC656" cm="1">
        <f t="array" ref="AC656">IFERROR(AVERAGE(_xlfn._xlws.FILTER(U$2:U$1073,($C$2:$C$1073=$C656)*($E$2:$E$1073=$E656)*(ROW(U$2:U$1073)&lt;&gt;ROW(U656))*(U$2:U$1073&lt;&gt;""))),"")</f>
        <v>2.1854574410792247</v>
      </c>
      <c r="AD656" cm="1">
        <f t="array" ref="AD656">IFERROR(AVERAGE(_xlfn._xlws.FILTER(V$2:V$1073,($C$2:$C$1073=$C656)*($E$2:$E$1073=$E656)*(ROW(V$2:V$1073)&lt;&gt;ROW(V656))*(V$2:V$1073&lt;&gt;""))),"")</f>
        <v>0.62219289426739133</v>
      </c>
      <c r="AE656">
        <f>IF('Дивиденды по годам'!M656&lt;0,1,0)</f>
        <v>0</v>
      </c>
    </row>
    <row r="657" spans="1:31" x14ac:dyDescent="0.2">
      <c r="A657" s="7" t="s">
        <v>2319</v>
      </c>
      <c r="B657" t="str">
        <f t="shared" si="110"/>
        <v>PRMD IV кв. 2010</v>
      </c>
      <c r="C657">
        <v>2010</v>
      </c>
      <c r="D657">
        <f>SUMIFS(Дивиденды!$C:$C,Дивиденды!$A:$A,A657,Дивиденды!$I:$I,C657)</f>
        <v>0</v>
      </c>
      <c r="E657">
        <v>4</v>
      </c>
      <c r="F657">
        <f t="shared" si="111"/>
        <v>0</v>
      </c>
      <c r="G657">
        <f t="shared" si="112"/>
        <v>0.46928571428571431</v>
      </c>
      <c r="H657">
        <f t="shared" si="113"/>
        <v>0</v>
      </c>
      <c r="I657">
        <f t="shared" si="114"/>
        <v>7.1428571428571425E-2</v>
      </c>
      <c r="J657" t="str">
        <f t="shared" si="115"/>
        <v/>
      </c>
      <c r="K657" t="str">
        <f t="shared" si="120"/>
        <v/>
      </c>
      <c r="L657" t="str">
        <f t="shared" si="116"/>
        <v/>
      </c>
      <c r="M657" t="str">
        <f t="shared" si="117"/>
        <v/>
      </c>
      <c r="N657" t="str">
        <f t="shared" si="118"/>
        <v/>
      </c>
      <c r="O657" t="str">
        <f t="shared" si="119"/>
        <v/>
      </c>
      <c r="P657" t="str">
        <f>IFERROR(LN('Дивиденды по годам'!I657),"")</f>
        <v/>
      </c>
      <c r="Q657" t="str">
        <f>IFERROR('Дивиденды по годам'!G657/'Дивиденды по годам'!I657, "")</f>
        <v/>
      </c>
      <c r="R657" t="str">
        <f>IFERROR(IF(AND('Дивиденды по годам'!N657&lt;&gt;"",'Дивиденды по годам'!U657&lt;&gt;"",'Дивиденды по годам'!U657&lt;&gt;0),'Дивиденды по годам'!N657/'Дивиденды по годам'!U657-1,""),"")</f>
        <v/>
      </c>
      <c r="S657" t="str">
        <f>IFERROR(IF(AND('Дивиденды по годам'!L657&lt;&gt;"",'Дивиденды по годам'!I657&lt;&gt;"",'Дивиденды по годам'!J657&lt;&gt;"",'Дивиденды по годам'!K657&lt;&gt;"",('Дивиденды по годам'!I657-'Дивиденды по годам'!J657-'Дивиденды по годам'!K657)&lt;&gt;0),'Дивиденды по годам'!L657/('Дивиденды по годам'!I657-'Дивиденды по годам'!J657-'Дивиденды по годам'!K657),""),"")</f>
        <v/>
      </c>
      <c r="T657" t="str">
        <f>IFERROR(IF(AND('Дивиденды по годам'!Q657&lt;&gt;"",'Дивиденды по годам'!I657&lt;&gt;"",'Дивиденды по годам'!V657&lt;&gt;"",('Дивиденды по годам'!I657+'Дивиденды по годам'!V657)&lt;&gt;0),'Дивиденды по годам'!Q657/(('Дивиденды по годам'!I657+'Дивиденды по годам'!V657)/2),""),"")</f>
        <v/>
      </c>
      <c r="U657" t="str">
        <f>IFERROR(IF(AND('Дивиденды по годам'!J657&lt;&gt;"",'Дивиденды по годам'!K657&lt;&gt;"",'Дивиденды по годам'!M657&lt;&gt;"",'Дивиденды по годам'!M657&lt;&gt;0),('Дивиденды по годам'!J657+'Дивиденды по годам'!K657)/'Дивиденды по годам'!M657,""),"")</f>
        <v/>
      </c>
      <c r="V657" t="str">
        <f>IFERROR(IF(AND('Дивиденды по годам'!J657&lt;&gt;"",'Дивиденды по годам'!K657&lt;&gt;"",'Дивиденды по годам'!M657&lt;&gt;"",'Дивиденды по годам'!I657&lt;&gt;0),('Дивиденды по годам'!J657+'Дивиденды по годам'!K657)/'Дивиденды по годам'!I657,""),"")</f>
        <v/>
      </c>
      <c r="W657" t="str">
        <f>IFERROR('Дивиденды по годам'!I657,"")</f>
        <v/>
      </c>
      <c r="X657" cm="1">
        <f t="array" ref="X657">IFERROR(AVERAGE(_xlfn._xlws.FILTER(P$2:P$1073,($C$2:$C$1073=$C657)*($E$2:$E$1073=$E657)*(ROW(P$2:P$1073)&lt;&gt;ROW(P657))*(P$2:P$1073&lt;&gt;""))),"")</f>
        <v>23.656010386255485</v>
      </c>
      <c r="Y657" cm="1">
        <f t="array" ref="Y657">IFERROR(AVERAGE(_xlfn._xlws.FILTER(Q$2:Q$1073,($C$2:$C$1073=$C657)*($E$2:$E$1073=$E657)*(ROW(Q$2:Q$1073)&lt;&gt;ROW(Q657))*(Q$2:Q$1073&lt;&gt;""))),"")</f>
        <v>0.15222241747474585</v>
      </c>
      <c r="Z657" t="str" cm="1">
        <f t="array" ref="Z657">IFERROR(AVERAGE(_xlfn._xlws.FILTER(R$2:R$1073,($C$2:$C$1073=$C657)*($E$2:$E$1073=$E657)*(ROW(R$2:R$1073)&lt;&gt;ROW(R657))*(R$2:R$1073&lt;&gt;""))),"")</f>
        <v/>
      </c>
      <c r="AA657" t="str" cm="1">
        <f t="array" ref="AA657">IFERROR(AVERAGE(_xlfn._xlws.FILTER(S$2:S$1073,($C$2:$C$1073=$C657)*($E$2:$E$1073=$E657)*(ROW(S$2:S$1073)&lt;&gt;ROW(S657))*(S$2:S$1073&lt;&gt;""))),"")</f>
        <v/>
      </c>
      <c r="AB657" t="str" cm="1">
        <f t="array" ref="AB657">IFERROR(AVERAGE(_xlfn._xlws.FILTER(T$2:T$1073,($C$2:$C$1073=$C657)*($E$2:$E$1073=$E657)*(ROW(T$2:T$1073)&lt;&gt;ROW(T657))*(T$2:T$1073&lt;&gt;""))),"")</f>
        <v/>
      </c>
      <c r="AC657" cm="1">
        <f t="array" ref="AC657">IFERROR(AVERAGE(_xlfn._xlws.FILTER(U$2:U$1073,($C$2:$C$1073=$C657)*($E$2:$E$1073=$E657)*(ROW(U$2:U$1073)&lt;&gt;ROW(U657))*(U$2:U$1073&lt;&gt;""))),"")</f>
        <v>2.8988498110700496</v>
      </c>
      <c r="AD657" cm="1">
        <f t="array" ref="AD657">IFERROR(AVERAGE(_xlfn._xlws.FILTER(V$2:V$1073,($C$2:$C$1073=$C657)*($E$2:$E$1073=$E657)*(ROW(V$2:V$1073)&lt;&gt;ROW(V657))*(V$2:V$1073&lt;&gt;""))),"")</f>
        <v>0.74351805997092513</v>
      </c>
      <c r="AE657">
        <f>IF('Дивиденды по годам'!M657&lt;0,1,0)</f>
        <v>0</v>
      </c>
    </row>
    <row r="658" spans="1:31" x14ac:dyDescent="0.2">
      <c r="A658" s="8" t="s">
        <v>2320</v>
      </c>
      <c r="B658" t="str">
        <f t="shared" si="110"/>
        <v>RAGR IV кв. 2025</v>
      </c>
      <c r="C658" s="8">
        <v>2025</v>
      </c>
      <c r="D658">
        <f>SUMIFS(Дивиденды!$C:$C,Дивиденды!$A:$A,A658,Дивиденды!$I:$I,C658)</f>
        <v>0</v>
      </c>
      <c r="E658">
        <v>4</v>
      </c>
      <c r="F658">
        <f t="shared" si="111"/>
        <v>0</v>
      </c>
      <c r="G658">
        <f t="shared" si="112"/>
        <v>31.581428571428571</v>
      </c>
      <c r="H658">
        <f t="shared" si="113"/>
        <v>0</v>
      </c>
      <c r="I658">
        <f t="shared" si="114"/>
        <v>0.42857142857142855</v>
      </c>
      <c r="J658">
        <f t="shared" si="115"/>
        <v>0</v>
      </c>
      <c r="K658">
        <f t="shared" si="120"/>
        <v>-0.1825263432406963</v>
      </c>
      <c r="L658">
        <f t="shared" si="116"/>
        <v>0</v>
      </c>
      <c r="M658">
        <f t="shared" si="117"/>
        <v>0.14285714285714285</v>
      </c>
      <c r="N658">
        <f t="shared" si="118"/>
        <v>0</v>
      </c>
      <c r="O658">
        <f t="shared" si="119"/>
        <v>0.5</v>
      </c>
      <c r="P658">
        <f>IFERROR(LN('Дивиденды по годам'!I658),"")</f>
        <v>27.035302172323565</v>
      </c>
      <c r="Q658">
        <f>IFERROR('Дивиденды по годам'!G658/'Дивиденды по годам'!I658, "")</f>
        <v>0.38216761295177176</v>
      </c>
      <c r="R658">
        <f>IFERROR(IF(AND('Дивиденды по годам'!N658&lt;&gt;"",'Дивиденды по годам'!U658&lt;&gt;"",'Дивиденды по годам'!U658&lt;&gt;0),'Дивиденды по годам'!N658/'Дивиденды по годам'!U658-1,""),"")</f>
        <v>0.16572400152697453</v>
      </c>
      <c r="S658">
        <f>IFERROR(IF(AND('Дивиденды по годам'!L658&lt;&gt;"",'Дивиденды по годам'!I658&lt;&gt;"",'Дивиденды по годам'!J658&lt;&gt;"",'Дивиденды по годам'!K658&lt;&gt;"",('Дивиденды по годам'!I658-'Дивиденды по годам'!J658-'Дивиденды по годам'!K658)&lt;&gt;0),'Дивиденды по годам'!L658/('Дивиденды по годам'!I658-'Дивиденды по годам'!J658-'Дивиденды по годам'!K658),""),"")</f>
        <v>0.89689299090093288</v>
      </c>
      <c r="T658">
        <f>IFERROR(IF(AND('Дивиденды по годам'!Q658&lt;&gt;"",'Дивиденды по годам'!I658&lt;&gt;"",'Дивиденды по годам'!V658&lt;&gt;"",('Дивиденды по годам'!I658+'Дивиденды по годам'!V658)&lt;&gt;0),'Дивиденды по годам'!Q658/(('Дивиденды по годам'!I658+'Дивиденды по годам'!V658)/2),""),"")</f>
        <v>3.839991857233762E-2</v>
      </c>
      <c r="U658">
        <f>IFERROR(IF(AND('Дивиденды по годам'!J658&lt;&gt;"",'Дивиденды по годам'!K658&lt;&gt;"",'Дивиденды по годам'!M658&lt;&gt;"",'Дивиденды по годам'!M658&lt;&gt;0),('Дивиденды по годам'!J658+'Дивиденды по годам'!K658)/'Дивиденды по годам'!M658,""),"")</f>
        <v>1.1167869237645813</v>
      </c>
      <c r="V658">
        <f>IFERROR(IF(AND('Дивиденды по годам'!J658&lt;&gt;"",'Дивиденды по годам'!K658&lt;&gt;"",'Дивиденды по годам'!M658&lt;&gt;"",'Дивиденды по годам'!I658&lt;&gt;0),('Дивиденды по годам'!J658+'Дивиденды по годам'!K658)/'Дивиденды по годам'!I658,""),"")</f>
        <v>0.52758589503115472</v>
      </c>
      <c r="W658">
        <f>IFERROR('Дивиденды по годам'!I658,"")</f>
        <v>551166166000</v>
      </c>
      <c r="X658" cm="1">
        <f t="array" ref="X658">IFERROR(AVERAGE(_xlfn._xlws.FILTER(P$2:P$1073,($C$2:$C$1073=$C658)*($E$2:$E$1073=$E658)*(ROW(P$2:P$1073)&lt;&gt;ROW(P658))*(P$2:P$1073&lt;&gt;""))),"")</f>
        <v>25.8995828907663</v>
      </c>
      <c r="Y658" cm="1">
        <f t="array" ref="Y658">IFERROR(AVERAGE(_xlfn._xlws.FILTER(Q$2:Q$1073,($C$2:$C$1073=$C658)*($E$2:$E$1073=$E658)*(ROW(Q$2:Q$1073)&lt;&gt;ROW(Q658))*(Q$2:Q$1073&lt;&gt;""))),"")</f>
        <v>0.43746432264640916</v>
      </c>
      <c r="Z658" cm="1">
        <f t="array" ref="Z658">IFERROR(AVERAGE(_xlfn._xlws.FILTER(R$2:R$1073,($C$2:$C$1073=$C658)*($E$2:$E$1073=$E658)*(ROW(R$2:R$1073)&lt;&gt;ROW(R658))*(R$2:R$1073&lt;&gt;""))),"")</f>
        <v>3.288683472960463E-2</v>
      </c>
      <c r="AA658" cm="1">
        <f t="array" ref="AA658">IFERROR(AVERAGE(_xlfn._xlws.FILTER(S$2:S$1073,($C$2:$C$1073=$C658)*($E$2:$E$1073=$E658)*(ROW(S$2:S$1073)&lt;&gt;ROW(S658))*(S$2:S$1073&lt;&gt;""))),"")</f>
        <v>0.95670170095055607</v>
      </c>
      <c r="AB658" cm="1">
        <f t="array" ref="AB658">IFERROR(AVERAGE(_xlfn._xlws.FILTER(T$2:T$1073,($C$2:$C$1073=$C658)*($E$2:$E$1073=$E658)*(ROW(T$2:T$1073)&lt;&gt;ROW(T658))*(T$2:T$1073&lt;&gt;""))),"")</f>
        <v>4.6762312489943463E-3</v>
      </c>
      <c r="AC658" cm="1">
        <f t="array" ref="AC658">IFERROR(AVERAGE(_xlfn._xlws.FILTER(U$2:U$1073,($C$2:$C$1073=$C658)*($E$2:$E$1073=$E658)*(ROW(U$2:U$1073)&lt;&gt;ROW(U658))*(U$2:U$1073&lt;&gt;""))),"")</f>
        <v>8.0235182946995689</v>
      </c>
      <c r="AD658" cm="1">
        <f t="array" ref="AD658">IFERROR(AVERAGE(_xlfn._xlws.FILTER(V$2:V$1073,($C$2:$C$1073=$C658)*($E$2:$E$1073=$E658)*(ROW(V$2:V$1073)&lt;&gt;ROW(V658))*(V$2:V$1073&lt;&gt;""))),"")</f>
        <v>0.76988957940706138</v>
      </c>
      <c r="AE658">
        <f>IF('Дивиденды по годам'!M658&lt;0,1,0)</f>
        <v>0</v>
      </c>
    </row>
    <row r="659" spans="1:31" x14ac:dyDescent="0.2">
      <c r="A659" s="8" t="s">
        <v>2320</v>
      </c>
      <c r="B659" t="str">
        <f t="shared" si="110"/>
        <v>RAGR IV кв. 2024</v>
      </c>
      <c r="C659" s="8">
        <v>2024</v>
      </c>
      <c r="D659">
        <f>SUMIFS(Дивиденды!$C:$C,Дивиденды!$A:$A,A659,Дивиденды!$I:$I,C659)</f>
        <v>0</v>
      </c>
      <c r="E659">
        <v>4</v>
      </c>
      <c r="F659">
        <f t="shared" si="111"/>
        <v>0</v>
      </c>
      <c r="G659">
        <f t="shared" si="112"/>
        <v>62.511428571428574</v>
      </c>
      <c r="H659">
        <f t="shared" si="113"/>
        <v>0</v>
      </c>
      <c r="I659">
        <f t="shared" si="114"/>
        <v>0.5714285714285714</v>
      </c>
      <c r="J659">
        <f t="shared" si="115"/>
        <v>0</v>
      </c>
      <c r="K659">
        <f t="shared" si="120"/>
        <v>0.21145574536348383</v>
      </c>
      <c r="L659">
        <f t="shared" si="116"/>
        <v>0</v>
      </c>
      <c r="M659">
        <f t="shared" si="117"/>
        <v>0.35714285714285715</v>
      </c>
      <c r="N659">
        <f t="shared" si="118"/>
        <v>0</v>
      </c>
      <c r="O659">
        <f t="shared" si="119"/>
        <v>0.2857142857142857</v>
      </c>
      <c r="P659">
        <f>IFERROR(LN('Дивиденды по годам'!I659),"")</f>
        <v>26.914082625283072</v>
      </c>
      <c r="Q659">
        <f>IFERROR('Дивиденды по годам'!G659/'Дивиденды по годам'!I659, "")</f>
        <v>0.34954307013767782</v>
      </c>
      <c r="R659">
        <f>IFERROR(IF(AND('Дивиденды по годам'!N659&lt;&gt;"",'Дивиденды по годам'!U659&lt;&gt;"",'Дивиденды по годам'!U659&lt;&gt;0),'Дивиденды по годам'!N659/'Дивиденды по годам'!U659-1,""),"")</f>
        <v>0.37069946469971349</v>
      </c>
      <c r="S659">
        <f>IFERROR(IF(AND('Дивиденды по годам'!L659&lt;&gt;"",'Дивиденды по годам'!I659&lt;&gt;"",'Дивиденды по годам'!J659&lt;&gt;"",'Дивиденды по годам'!K659&lt;&gt;"",('Дивиденды по годам'!I659-'Дивиденды по годам'!J659-'Дивиденды по годам'!K659)&lt;&gt;0),'Дивиденды по годам'!L659/('Дивиденды по годам'!I659-'Дивиденды по годам'!J659-'Дивиденды по годам'!K659),""),"")</f>
        <v>0.90434027409505491</v>
      </c>
      <c r="T659">
        <f>IFERROR(IF(AND('Дивиденды по годам'!Q659&lt;&gt;"",'Дивиденды по годам'!I659&lt;&gt;"",'Дивиденды по годам'!V659&lt;&gt;"",('Дивиденды по годам'!I659+'Дивиденды по годам'!V659)&lt;&gt;0),'Дивиденды по годам'!Q659/(('Дивиденды по годам'!I659+'Дивиденды по годам'!V659)/2),""),"")</f>
        <v>7.7358323804260179E-2</v>
      </c>
      <c r="U659">
        <f>IFERROR(IF(AND('Дивиденды по годам'!J659&lt;&gt;"",'Дивиденды по годам'!K659&lt;&gt;"",'Дивиденды по годам'!M659&lt;&gt;"",'Дивиденды по годам'!M659&lt;&gt;0),('Дивиденды по годам'!J659+'Дивиденды по годам'!K659)/'Дивиденды по годам'!M659,""),"")</f>
        <v>1.1496229993904559</v>
      </c>
      <c r="V659">
        <f>IFERROR(IF(AND('Дивиденды по годам'!J659&lt;&gt;"",'Дивиденды по годам'!K659&lt;&gt;"",'Дивиденды по годам'!M659&lt;&gt;"",'Дивиденды по годам'!I659&lt;&gt;0),('Дивиденды по годам'!J659+'Дивиденды по годам'!K659)/'Дивиденды по годам'!I659,""),"")</f>
        <v>0.53480214889608146</v>
      </c>
      <c r="W659">
        <f>IFERROR('Дивиденды по годам'!I659,"")</f>
        <v>488244736000</v>
      </c>
      <c r="X659" cm="1">
        <f t="array" ref="X659">IFERROR(AVERAGE(_xlfn._xlws.FILTER(P$2:P$1073,($C$2:$C$1073=$C659)*($E$2:$E$1073=$E659)*(ROW(P$2:P$1073)&lt;&gt;ROW(P659))*(P$2:P$1073&lt;&gt;""))),"")</f>
        <v>25.468423505886591</v>
      </c>
      <c r="Y659" cm="1">
        <f t="array" ref="Y659">IFERROR(AVERAGE(_xlfn._xlws.FILTER(Q$2:Q$1073,($C$2:$C$1073=$C659)*($E$2:$E$1073=$E659)*(ROW(Q$2:Q$1073)&lt;&gt;ROW(Q659))*(Q$2:Q$1073&lt;&gt;""))),"")</f>
        <v>0.25673737129731633</v>
      </c>
      <c r="Z659" cm="1">
        <f t="array" ref="Z659">IFERROR(AVERAGE(_xlfn._xlws.FILTER(R$2:R$1073,($C$2:$C$1073=$C659)*($E$2:$E$1073=$E659)*(ROW(R$2:R$1073)&lt;&gt;ROW(R659))*(R$2:R$1073&lt;&gt;""))),"")</f>
        <v>0.25794835835297586</v>
      </c>
      <c r="AA659" cm="1">
        <f t="array" ref="AA659">IFERROR(AVERAGE(_xlfn._xlws.FILTER(S$2:S$1073,($C$2:$C$1073=$C659)*($E$2:$E$1073=$E659)*(ROW(S$2:S$1073)&lt;&gt;ROW(S659))*(S$2:S$1073&lt;&gt;""))),"")</f>
        <v>1.190104992461676</v>
      </c>
      <c r="AB659" cm="1">
        <f t="array" ref="AB659">IFERROR(AVERAGE(_xlfn._xlws.FILTER(T$2:T$1073,($C$2:$C$1073=$C659)*($E$2:$E$1073=$E659)*(ROW(T$2:T$1073)&lt;&gt;ROW(T659))*(T$2:T$1073&lt;&gt;""))),"")</f>
        <v>7.2641160894765508E-2</v>
      </c>
      <c r="AC659" cm="1">
        <f t="array" ref="AC659">IFERROR(AVERAGE(_xlfn._xlws.FILTER(U$2:U$1073,($C$2:$C$1073=$C659)*($E$2:$E$1073=$E659)*(ROW(U$2:U$1073)&lt;&gt;ROW(U659))*(U$2:U$1073&lt;&gt;""))),"")</f>
        <v>4.193738861697331</v>
      </c>
      <c r="AD659" cm="1">
        <f t="array" ref="AD659">IFERROR(AVERAGE(_xlfn._xlws.FILTER(V$2:V$1073,($C$2:$C$1073=$C659)*($E$2:$E$1073=$E659)*(ROW(V$2:V$1073)&lt;&gt;ROW(V659))*(V$2:V$1073&lt;&gt;""))),"")</f>
        <v>0.71345764453473781</v>
      </c>
      <c r="AE659">
        <f>IF('Дивиденды по годам'!M659&lt;0,1,0)</f>
        <v>0</v>
      </c>
    </row>
    <row r="660" spans="1:31" x14ac:dyDescent="0.2">
      <c r="A660" s="8" t="s">
        <v>2320</v>
      </c>
      <c r="B660" t="str">
        <f t="shared" si="110"/>
        <v>RAGR IV кв. 2023</v>
      </c>
      <c r="C660" s="8">
        <v>2023</v>
      </c>
      <c r="D660">
        <f>SUMIFS(Дивиденды!$C:$C,Дивиденды!$A:$A,A660,Дивиденды!$I:$I,C660)</f>
        <v>0</v>
      </c>
      <c r="E660">
        <v>4</v>
      </c>
      <c r="F660">
        <f t="shared" si="111"/>
        <v>0</v>
      </c>
      <c r="G660">
        <f t="shared" si="112"/>
        <v>90.740000000000009</v>
      </c>
      <c r="H660">
        <f t="shared" si="113"/>
        <v>0</v>
      </c>
      <c r="I660">
        <f t="shared" si="114"/>
        <v>0.5</v>
      </c>
      <c r="J660">
        <f t="shared" si="115"/>
        <v>0</v>
      </c>
      <c r="K660">
        <f t="shared" si="120"/>
        <v>0.29812745098039217</v>
      </c>
      <c r="L660">
        <f t="shared" si="116"/>
        <v>0</v>
      </c>
      <c r="M660">
        <f t="shared" si="117"/>
        <v>0.42857142857142855</v>
      </c>
      <c r="N660">
        <f t="shared" si="118"/>
        <v>0</v>
      </c>
      <c r="O660">
        <f t="shared" si="119"/>
        <v>0</v>
      </c>
      <c r="P660">
        <f>IFERROR(LN('Дивиденды по годам'!I660),"")</f>
        <v>26.516701426405966</v>
      </c>
      <c r="Q660">
        <f>IFERROR('Дивиденды по годам'!G660/'Дивиденды по годам'!I660, "")</f>
        <v>0.38584241573721878</v>
      </c>
      <c r="R660">
        <f>IFERROR(IF(AND('Дивиденды по годам'!N660&lt;&gt;"",'Дивиденды по годам'!U660&lt;&gt;"",'Дивиденды по годам'!U660&lt;&gt;0),'Дивиденды по годам'!N660/'Дивиденды по годам'!U660-1,""),"")</f>
        <v>4.7087426287949041E-2</v>
      </c>
      <c r="S660">
        <f>IFERROR(IF(AND('Дивиденды по годам'!L660&lt;&gt;"",'Дивиденды по годам'!I660&lt;&gt;"",'Дивиденды по годам'!J660&lt;&gt;"",'Дивиденды по годам'!K660&lt;&gt;"",('Дивиденды по годам'!I660-'Дивиденды по годам'!J660-'Дивиденды по годам'!K660)&lt;&gt;0),'Дивиденды по годам'!L660/('Дивиденды по годам'!I660-'Дивиденды по годам'!J660-'Дивиденды по годам'!K660),""),"")</f>
        <v>0.98436574309561886</v>
      </c>
      <c r="T660">
        <f>IFERROR(IF(AND('Дивиденды по годам'!Q660&lt;&gt;"",'Дивиденды по годам'!I660&lt;&gt;"",'Дивиденды по годам'!V660&lt;&gt;"",('Дивиденды по годам'!I660+'Дивиденды по годам'!V660)&lt;&gt;0),'Дивиденды по годам'!Q660/(('Дивиденды по годам'!I660+'Дивиденды по годам'!V660)/2),""),"")</f>
        <v>0.10739112230307903</v>
      </c>
      <c r="U660">
        <f>IFERROR(IF(AND('Дивиденды по годам'!J660&lt;&gt;"",'Дивиденды по годам'!K660&lt;&gt;"",'Дивиденды по годам'!M660&lt;&gt;"",'Дивиденды по годам'!M660&lt;&gt;0),('Дивиденды по годам'!J660+'Дивиденды по годам'!K660)/'Дивиденды по годам'!M660,""),"")</f>
        <v>1.1696758240020211</v>
      </c>
      <c r="V660">
        <f>IFERROR(IF(AND('Дивиденды по годам'!J660&lt;&gt;"",'Дивиденды по годам'!K660&lt;&gt;"",'Дивиденды по годам'!M660&lt;&gt;"",'Дивиденды по годам'!I660&lt;&gt;0),('Дивиденды по годам'!J660+'Дивиденды по годам'!K660)/'Дивиденды по годам'!I660,""),"")</f>
        <v>0.53910165337258764</v>
      </c>
      <c r="W660">
        <f>IFERROR('Дивиденды по годам'!I660,"")</f>
        <v>328138439000</v>
      </c>
      <c r="X660" cm="1">
        <f t="array" ref="X660">IFERROR(AVERAGE(_xlfn._xlws.FILTER(P$2:P$1073,($C$2:$C$1073=$C660)*($E$2:$E$1073=$E660)*(ROW(P$2:P$1073)&lt;&gt;ROW(P660))*(P$2:P$1073&lt;&gt;""))),"")</f>
        <v>25.284844835496777</v>
      </c>
      <c r="Y660" cm="1">
        <f t="array" ref="Y660">IFERROR(AVERAGE(_xlfn._xlws.FILTER(Q$2:Q$1073,($C$2:$C$1073=$C660)*($E$2:$E$1073=$E660)*(ROW(Q$2:Q$1073)&lt;&gt;ROW(Q660))*(Q$2:Q$1073&lt;&gt;""))),"")</f>
        <v>0.24071204131689414</v>
      </c>
      <c r="Z660" cm="1">
        <f t="array" ref="Z660">IFERROR(AVERAGE(_xlfn._xlws.FILTER(R$2:R$1073,($C$2:$C$1073=$C660)*($E$2:$E$1073=$E660)*(ROW(R$2:R$1073)&lt;&gt;ROW(R660))*(R$2:R$1073&lt;&gt;""))),"")</f>
        <v>0.26274871272420669</v>
      </c>
      <c r="AA660" cm="1">
        <f t="array" ref="AA660">IFERROR(AVERAGE(_xlfn._xlws.FILTER(S$2:S$1073,($C$2:$C$1073=$C660)*($E$2:$E$1073=$E660)*(ROW(S$2:S$1073)&lt;&gt;ROW(S660))*(S$2:S$1073&lt;&gt;""))),"")</f>
        <v>1.2646817484394415</v>
      </c>
      <c r="AB660" cm="1">
        <f t="array" ref="AB660">IFERROR(AVERAGE(_xlfn._xlws.FILTER(T$2:T$1073,($C$2:$C$1073=$C660)*($E$2:$E$1073=$E660)*(ROW(T$2:T$1073)&lt;&gt;ROW(T660))*(T$2:T$1073&lt;&gt;""))),"")</f>
        <v>0.11055506661345645</v>
      </c>
      <c r="AC660" cm="1">
        <f t="array" ref="AC660">IFERROR(AVERAGE(_xlfn._xlws.FILTER(U$2:U$1073,($C$2:$C$1073=$C660)*($E$2:$E$1073=$E660)*(ROW(U$2:U$1073)&lt;&gt;ROW(U660))*(U$2:U$1073&lt;&gt;""))),"")</f>
        <v>2.6887496224733041</v>
      </c>
      <c r="AD660" cm="1">
        <f t="array" ref="AD660">IFERROR(AVERAGE(_xlfn._xlws.FILTER(V$2:V$1073,($C$2:$C$1073=$C660)*($E$2:$E$1073=$E660)*(ROW(V$2:V$1073)&lt;&gt;ROW(V660))*(V$2:V$1073&lt;&gt;""))),"")</f>
        <v>0.70339807351486849</v>
      </c>
      <c r="AE660">
        <f>IF('Дивиденды по годам'!M660&lt;0,1,0)</f>
        <v>0</v>
      </c>
    </row>
    <row r="661" spans="1:31" x14ac:dyDescent="0.2">
      <c r="A661" s="8" t="s">
        <v>2320</v>
      </c>
      <c r="B661" t="str">
        <f t="shared" si="110"/>
        <v>RAGR IV кв. 2022</v>
      </c>
      <c r="C661" s="8">
        <v>2022</v>
      </c>
      <c r="D661">
        <f>SUMIFS(Дивиденды!$C:$C,Дивиденды!$A:$A,A661,Дивиденды!$I:$I,C661)</f>
        <v>0</v>
      </c>
      <c r="E661">
        <v>4</v>
      </c>
      <c r="F661">
        <f t="shared" si="111"/>
        <v>0</v>
      </c>
      <c r="G661">
        <f t="shared" si="112"/>
        <v>80.180000000000021</v>
      </c>
      <c r="H661">
        <f t="shared" si="113"/>
        <v>0</v>
      </c>
      <c r="I661">
        <f t="shared" si="114"/>
        <v>0.2857142857142857</v>
      </c>
      <c r="J661">
        <f t="shared" si="115"/>
        <v>-1</v>
      </c>
      <c r="K661">
        <f t="shared" si="120"/>
        <v>0.56726481654930538</v>
      </c>
      <c r="L661">
        <f t="shared" si="116"/>
        <v>0</v>
      </c>
      <c r="M661">
        <f t="shared" si="117"/>
        <v>0.2857142857142857</v>
      </c>
      <c r="N661">
        <f t="shared" si="118"/>
        <v>1</v>
      </c>
      <c r="O661">
        <f t="shared" si="119"/>
        <v>0</v>
      </c>
      <c r="P661">
        <f>IFERROR(LN('Дивиденды по годам'!I661),"")</f>
        <v>26.765379737906734</v>
      </c>
      <c r="Q661">
        <f>IFERROR('Дивиденды по годам'!G661/'Дивиденды по годам'!I661, "")</f>
        <v>0.28296316417230294</v>
      </c>
      <c r="R661">
        <f>IFERROR(IF(AND('Дивиденды по годам'!N661&lt;&gt;"",'Дивиденды по годам'!U661&lt;&gt;"",'Дивиденды по годам'!U661&lt;&gt;0),'Дивиденды по годам'!N661/'Дивиденды по годам'!U661-1,""),"")</f>
        <v>8.3738091774261392E-2</v>
      </c>
      <c r="S661">
        <f>IFERROR(IF(AND('Дивиденды по годам'!L661&lt;&gt;"",'Дивиденды по годам'!I661&lt;&gt;"",'Дивиденды по годам'!J661&lt;&gt;"",'Дивиденды по годам'!K661&lt;&gt;"",('Дивиденды по годам'!I661-'Дивиденды по годам'!J661-'Дивиденды по годам'!K661)&lt;&gt;0),'Дивиденды по годам'!L661/('Дивиденды по годам'!I661-'Дивиденды по годам'!J661-'Дивиденды по годам'!K661),""),"")</f>
        <v>0.97869263117587002</v>
      </c>
      <c r="T661">
        <f>IFERROR(IF(AND('Дивиденды по годам'!Q661&lt;&gt;"",'Дивиденды по годам'!I661&lt;&gt;"",'Дивиденды по годам'!V661&lt;&gt;"",('Дивиденды по годам'!I661+'Дивиденды по годам'!V661)&lt;&gt;0),'Дивиденды по годам'!Q661/(('Дивиденды по годам'!I661+'Дивиденды по годам'!V661)/2),""),"")</f>
        <v>3.4653056956186722E-3</v>
      </c>
      <c r="U661">
        <f>IFERROR(IF(AND('Дивиденды по годам'!J661&lt;&gt;"",'Дивиденды по годам'!K661&lt;&gt;"",'Дивиденды по годам'!M661&lt;&gt;"",'Дивиденды по годам'!M661&lt;&gt;0),('Дивиденды по годам'!J661+'Дивиденды по годам'!K661)/'Дивиденды по годам'!M661,""),"")</f>
        <v>2.78997890948366</v>
      </c>
      <c r="V661">
        <f>IFERROR(IF(AND('Дивиденды по годам'!J661&lt;&gt;"",'Дивиденды по годам'!K661&lt;&gt;"",'Дивиденды по годам'!M661&lt;&gt;"",'Дивиденды по годам'!I661&lt;&gt;0),('Дивиденды по годам'!J661+'Дивиденды по годам'!K661)/'Дивиденды по годам'!I661,""),"")</f>
        <v>0.73614628896807288</v>
      </c>
      <c r="W661">
        <f>IFERROR('Дивиденды по годам'!I661,"")</f>
        <v>420781586000</v>
      </c>
      <c r="X661" cm="1">
        <f t="array" ref="X661">IFERROR(AVERAGE(_xlfn._xlws.FILTER(P$2:P$1073,($C$2:$C$1073=$C661)*($E$2:$E$1073=$E661)*(ROW(P$2:P$1073)&lt;&gt;ROW(P661))*(P$2:P$1073&lt;&gt;""))),"")</f>
        <v>25.142575845018396</v>
      </c>
      <c r="Y661" cm="1">
        <f t="array" ref="Y661">IFERROR(AVERAGE(_xlfn._xlws.FILTER(Q$2:Q$1073,($C$2:$C$1073=$C661)*($E$2:$E$1073=$E661)*(ROW(Q$2:Q$1073)&lt;&gt;ROW(Q661))*(Q$2:Q$1073&lt;&gt;""))),"")</f>
        <v>0.24538093025768568</v>
      </c>
      <c r="Z661" cm="1">
        <f t="array" ref="Z661">IFERROR(AVERAGE(_xlfn._xlws.FILTER(R$2:R$1073,($C$2:$C$1073=$C661)*($E$2:$E$1073=$E661)*(ROW(R$2:R$1073)&lt;&gt;ROW(R661))*(R$2:R$1073&lt;&gt;""))),"")</f>
        <v>0.21617116671743697</v>
      </c>
      <c r="AA661" cm="1">
        <f t="array" ref="AA661">IFERROR(AVERAGE(_xlfn._xlws.FILTER(S$2:S$1073,($C$2:$C$1073=$C661)*($E$2:$E$1073=$E661)*(ROW(S$2:S$1073)&lt;&gt;ROW(S661))*(S$2:S$1073&lt;&gt;""))),"")</f>
        <v>1.3669487933336468</v>
      </c>
      <c r="AB661" cm="1">
        <f t="array" ref="AB661">IFERROR(AVERAGE(_xlfn._xlws.FILTER(T$2:T$1073,($C$2:$C$1073=$C661)*($E$2:$E$1073=$E661)*(ROW(T$2:T$1073)&lt;&gt;ROW(T661))*(T$2:T$1073&lt;&gt;""))),"")</f>
        <v>0.1096671246644751</v>
      </c>
      <c r="AC661" cm="1">
        <f t="array" ref="AC661">IFERROR(AVERAGE(_xlfn._xlws.FILTER(U$2:U$1073,($C$2:$C$1073=$C661)*($E$2:$E$1073=$E661)*(ROW(U$2:U$1073)&lt;&gt;ROW(U661))*(U$2:U$1073&lt;&gt;""))),"")</f>
        <v>2.1221022275377557</v>
      </c>
      <c r="AD661" cm="1">
        <f t="array" ref="AD661">IFERROR(AVERAGE(_xlfn._xlws.FILTER(V$2:V$1073,($C$2:$C$1073=$C661)*($E$2:$E$1073=$E661)*(ROW(V$2:V$1073)&lt;&gt;ROW(V661))*(V$2:V$1073&lt;&gt;""))),"")</f>
        <v>0.71649032115574496</v>
      </c>
      <c r="AE661">
        <f>IF('Дивиденды по годам'!M661&lt;0,1,0)</f>
        <v>0</v>
      </c>
    </row>
    <row r="662" spans="1:31" x14ac:dyDescent="0.2">
      <c r="A662" s="8" t="s">
        <v>2320</v>
      </c>
      <c r="B662" t="str">
        <f t="shared" si="110"/>
        <v>RAGR IV кв. 2021</v>
      </c>
      <c r="C662" s="8">
        <v>2021</v>
      </c>
      <c r="D662">
        <f>SUMIFS(Дивиденды!$C:$C,Дивиденды!$A:$A,A662,Дивиденды!$I:$I,C662)</f>
        <v>20.67</v>
      </c>
      <c r="E662">
        <v>4</v>
      </c>
      <c r="F662">
        <f t="shared" si="111"/>
        <v>20.67</v>
      </c>
      <c r="G662">
        <f t="shared" si="112"/>
        <v>30.455000000000002</v>
      </c>
      <c r="H662">
        <f t="shared" si="113"/>
        <v>1</v>
      </c>
      <c r="I662">
        <f t="shared" si="114"/>
        <v>0.21428571428571427</v>
      </c>
      <c r="J662">
        <f t="shared" si="115"/>
        <v>2.7650273224043715</v>
      </c>
      <c r="K662">
        <f t="shared" si="120"/>
        <v>-2.9117676176145958E-7</v>
      </c>
      <c r="L662">
        <f t="shared" si="116"/>
        <v>1</v>
      </c>
      <c r="M662">
        <f t="shared" si="117"/>
        <v>0.14285714285714285</v>
      </c>
      <c r="N662">
        <f t="shared" si="118"/>
        <v>0</v>
      </c>
      <c r="O662">
        <f t="shared" si="119"/>
        <v>7.1428571428571425E-2</v>
      </c>
      <c r="P662">
        <f>IFERROR(LN('Дивиденды по годам'!I662),"")</f>
        <v>26.511291667264612</v>
      </c>
      <c r="Q662">
        <f>IFERROR('Дивиденды по годам'!G662/'Дивиденды по годам'!I662, "")</f>
        <v>0.35867271787931765</v>
      </c>
      <c r="R662">
        <f>IFERROR(IF(AND('Дивиденды по годам'!N662&lt;&gt;"",'Дивиденды по годам'!U662&lt;&gt;"",'Дивиденды по годам'!U662&lt;&gt;0),'Дивиденды по годам'!N662/'Дивиденды по годам'!U662-1,""),"")</f>
        <v>0.40078925615577754</v>
      </c>
      <c r="S662">
        <f>IFERROR(IF(AND('Дивиденды по годам'!L662&lt;&gt;"",'Дивиденды по годам'!I662&lt;&gt;"",'Дивиденды по годам'!J662&lt;&gt;"",'Дивиденды по годам'!K662&lt;&gt;"",('Дивиденды по годам'!I662-'Дивиденды по годам'!J662-'Дивиденды по годам'!K662)&lt;&gt;0),'Дивиденды по годам'!L662/('Дивиденды по годам'!I662-'Дивиденды по годам'!J662-'Дивиденды по годам'!K662),""),"")</f>
        <v>0.97857892942401015</v>
      </c>
      <c r="T662">
        <f>IFERROR(IF(AND('Дивиденды по годам'!Q662&lt;&gt;"",'Дивиденды по годам'!I662&lt;&gt;"",'Дивиденды по годам'!V662&lt;&gt;"",('Дивиденды по годам'!I662+'Дивиденды по годам'!V662)&lt;&gt;0),'Дивиденды по годам'!Q662/(('Дивиденды по годам'!I662+'Дивиденды по годам'!V662)/2),""),"")</f>
        <v>0.11426331509691964</v>
      </c>
      <c r="U662">
        <f>IFERROR(IF(AND('Дивиденды по годам'!J662&lt;&gt;"",'Дивиденды по годам'!K662&lt;&gt;"",'Дивиденды по годам'!M662&lt;&gt;"",'Дивиденды по годам'!M662&lt;&gt;0),('Дивиденды по годам'!J662+'Дивиденды по годам'!K662)/'Дивиденды по годам'!M662,""),"")</f>
        <v>1.9845553269458884</v>
      </c>
      <c r="V662">
        <f>IFERROR(IF(AND('Дивиденды по годам'!J662&lt;&gt;"",'Дивиденды по годам'!K662&lt;&gt;"",'Дивиденды по годам'!M662&lt;&gt;"",'Дивиденды по годам'!I662&lt;&gt;0),('Дивиденды по годам'!J662+'Дивиденды по годам'!K662)/'Дивиденды по годам'!I662,""),"")</f>
        <v>0.66494171142630298</v>
      </c>
      <c r="W662">
        <f>IFERROR('Дивиденды по годам'!I662,"")</f>
        <v>326368082000</v>
      </c>
      <c r="X662" cm="1">
        <f t="array" ref="X662">IFERROR(AVERAGE(_xlfn._xlws.FILTER(P$2:P$1073,($C$2:$C$1073=$C662)*($E$2:$E$1073=$E662)*(ROW(P$2:P$1073)&lt;&gt;ROW(P662))*(P$2:P$1073&lt;&gt;""))),"")</f>
        <v>25.077693398640111</v>
      </c>
      <c r="Y662" cm="1">
        <f t="array" ref="Y662">IFERROR(AVERAGE(_xlfn._xlws.FILTER(Q$2:Q$1073,($C$2:$C$1073=$C662)*($E$2:$E$1073=$E662)*(ROW(Q$2:Q$1073)&lt;&gt;ROW(Q662))*(Q$2:Q$1073&lt;&gt;""))),"")</f>
        <v>0.2249748272456675</v>
      </c>
      <c r="Z662" cm="1">
        <f t="array" ref="Z662">IFERROR(AVERAGE(_xlfn._xlws.FILTER(R$2:R$1073,($C$2:$C$1073=$C662)*($E$2:$E$1073=$E662)*(ROW(R$2:R$1073)&lt;&gt;ROW(R662))*(R$2:R$1073&lt;&gt;""))),"")</f>
        <v>0.30721170504430972</v>
      </c>
      <c r="AA662" cm="1">
        <f t="array" ref="AA662">IFERROR(AVERAGE(_xlfn._xlws.FILTER(S$2:S$1073,($C$2:$C$1073=$C662)*($E$2:$E$1073=$E662)*(ROW(S$2:S$1073)&lt;&gt;ROW(S662))*(S$2:S$1073&lt;&gt;""))),"")</f>
        <v>1.3508057418252566</v>
      </c>
      <c r="AB662" cm="1">
        <f t="array" ref="AB662">IFERROR(AVERAGE(_xlfn._xlws.FILTER(T$2:T$1073,($C$2:$C$1073=$C662)*($E$2:$E$1073=$E662)*(ROW(T$2:T$1073)&lt;&gt;ROW(T662))*(T$2:T$1073&lt;&gt;""))),"")</f>
        <v>0.10091135750432308</v>
      </c>
      <c r="AC662" cm="1">
        <f t="array" ref="AC662">IFERROR(AVERAGE(_xlfn._xlws.FILTER(U$2:U$1073,($C$2:$C$1073=$C662)*($E$2:$E$1073=$E662)*(ROW(U$2:U$1073)&lt;&gt;ROW(U662))*(U$2:U$1073&lt;&gt;""))),"")</f>
        <v>18.183138072040702</v>
      </c>
      <c r="AD662" cm="1">
        <f t="array" ref="AD662">IFERROR(AVERAGE(_xlfn._xlws.FILTER(V$2:V$1073,($C$2:$C$1073=$C662)*($E$2:$E$1073=$E662)*(ROW(V$2:V$1073)&lt;&gt;ROW(V662))*(V$2:V$1073&lt;&gt;""))),"")</f>
        <v>0.78173460321044885</v>
      </c>
      <c r="AE662">
        <f>IF('Дивиденды по годам'!M662&lt;0,1,0)</f>
        <v>0</v>
      </c>
    </row>
    <row r="663" spans="1:31" x14ac:dyDescent="0.2">
      <c r="A663" s="8" t="s">
        <v>2320</v>
      </c>
      <c r="B663" t="str">
        <f t="shared" si="110"/>
        <v>RAGR IV кв. 2020</v>
      </c>
      <c r="C663" s="8">
        <v>2020</v>
      </c>
      <c r="D663">
        <f>SUMIFS(Дивиденды!$C:$C,Дивиденды!$A:$A,A663,Дивиденды!$I:$I,C663)</f>
        <v>5.49</v>
      </c>
      <c r="E663">
        <v>4</v>
      </c>
      <c r="F663">
        <f t="shared" si="111"/>
        <v>5.49</v>
      </c>
      <c r="G663">
        <f t="shared" si="112"/>
        <v>42.901428571428575</v>
      </c>
      <c r="H663">
        <f t="shared" si="113"/>
        <v>1</v>
      </c>
      <c r="I663">
        <f t="shared" si="114"/>
        <v>0.21428571428571427</v>
      </c>
      <c r="J663">
        <f t="shared" si="115"/>
        <v>1.855287569573294E-2</v>
      </c>
      <c r="K663">
        <f t="shared" si="120"/>
        <v>0.26699096664208927</v>
      </c>
      <c r="L663">
        <f t="shared" si="116"/>
        <v>1</v>
      </c>
      <c r="M663">
        <f t="shared" si="117"/>
        <v>0.21428571428571427</v>
      </c>
      <c r="N663">
        <f t="shared" si="118"/>
        <v>0</v>
      </c>
      <c r="O663">
        <f t="shared" si="119"/>
        <v>0</v>
      </c>
      <c r="P663">
        <f>IFERROR(LN('Дивиденды по годам'!I663),"")</f>
        <v>26.221602383584724</v>
      </c>
      <c r="Q663">
        <f>IFERROR('Дивиденды по годам'!G663/'Дивиденды по годам'!I663, "")</f>
        <v>0.34966898552285419</v>
      </c>
      <c r="R663">
        <f>IFERROR(IF(AND('Дивиденды по годам'!N663&lt;&gt;"",'Дивиденды по годам'!U663&lt;&gt;"",'Дивиденды по годам'!U663&lt;&gt;0),'Дивиденды по годам'!N663/'Дивиденды по годам'!U663-1,""),"")</f>
        <v>0.14343442151437436</v>
      </c>
      <c r="S663">
        <f>IFERROR(IF(AND('Дивиденды по годам'!L663&lt;&gt;"",'Дивиденды по годам'!I663&lt;&gt;"",'Дивиденды по годам'!J663&lt;&gt;"",'Дивиденды по годам'!K663&lt;&gt;"",('Дивиденды по годам'!I663-'Дивиденды по годам'!J663-'Дивиденды по годам'!K663)&lt;&gt;0),'Дивиденды по годам'!L663/('Дивиденды по годам'!I663-'Дивиденды по годам'!J663-'Дивиденды по годам'!K663),""),"")</f>
        <v>0.97121437651252918</v>
      </c>
      <c r="T663">
        <f>IFERROR(IF(AND('Дивиденды по годам'!Q663&lt;&gt;"",'Дивиденды по годам'!I663&lt;&gt;"",'Дивиденды по годам'!V663&lt;&gt;"",('Дивиденды по годам'!I663+'Дивиденды по годам'!V663)&lt;&gt;0),'Дивиденды по годам'!Q663/(('Дивиденды по годам'!I663+'Дивиденды по годам'!V663)/2),""),"")</f>
        <v>7.2173559156140987E-2</v>
      </c>
      <c r="U663">
        <f>IFERROR(IF(AND('Дивиденды по годам'!J663&lt;&gt;"",'Дивиденды по годам'!K663&lt;&gt;"",'Дивиденды по годам'!M663&lt;&gt;"",'Дивиденды по годам'!M663&lt;&gt;0),('Дивиденды по годам'!J663+'Дивиденды по годам'!K663)/'Дивиденды по годам'!M663,""),"")</f>
        <v>1.9337293654969887</v>
      </c>
      <c r="V663">
        <f>IFERROR(IF(AND('Дивиденды по годам'!J663&lt;&gt;"",'Дивиденды по годам'!K663&lt;&gt;"",'Дивиденды по годам'!M663&lt;&gt;"",'Дивиденды по годам'!I663&lt;&gt;0),('Дивиденды по годам'!J663+'Дивиденды по годам'!K663)/'Дивиденды по годам'!I663,""),"")</f>
        <v>0.6591369293429713</v>
      </c>
      <c r="W663">
        <f>IFERROR('Дивиденды по годам'!I663,"")</f>
        <v>244285237000</v>
      </c>
      <c r="X663" cm="1">
        <f t="array" ref="X663">IFERROR(AVERAGE(_xlfn._xlws.FILTER(P$2:P$1073,($C$2:$C$1073=$C663)*($E$2:$E$1073=$E663)*(ROW(P$2:P$1073)&lt;&gt;ROW(P663))*(P$2:P$1073&lt;&gt;""))),"")</f>
        <v>25.161580723462738</v>
      </c>
      <c r="Y663" cm="1">
        <f t="array" ref="Y663">IFERROR(AVERAGE(_xlfn._xlws.FILTER(Q$2:Q$1073,($C$2:$C$1073=$C663)*($E$2:$E$1073=$E663)*(ROW(Q$2:Q$1073)&lt;&gt;ROW(Q663))*(Q$2:Q$1073&lt;&gt;""))),"")</f>
        <v>0.25055483765588638</v>
      </c>
      <c r="Z663" cm="1">
        <f t="array" ref="Z663">IFERROR(AVERAGE(_xlfn._xlws.FILTER(R$2:R$1073,($C$2:$C$1073=$C663)*($E$2:$E$1073=$E663)*(ROW(R$2:R$1073)&lt;&gt;ROW(R663))*(R$2:R$1073&lt;&gt;""))),"")</f>
        <v>9.1004909213124235E-2</v>
      </c>
      <c r="AA663" cm="1">
        <f t="array" ref="AA663">IFERROR(AVERAGE(_xlfn._xlws.FILTER(S$2:S$1073,($C$2:$C$1073=$C663)*($E$2:$E$1073=$E663)*(ROW(S$2:S$1073)&lt;&gt;ROW(S663))*(S$2:S$1073&lt;&gt;""))),"")</f>
        <v>1.8135710424601967</v>
      </c>
      <c r="AB663" cm="1">
        <f t="array" ref="AB663">IFERROR(AVERAGE(_xlfn._xlws.FILTER(T$2:T$1073,($C$2:$C$1073=$C663)*($E$2:$E$1073=$E663)*(ROW(T$2:T$1073)&lt;&gt;ROW(T663))*(T$2:T$1073&lt;&gt;""))),"")</f>
        <v>6.6895689222584612E-2</v>
      </c>
      <c r="AC663" cm="1">
        <f t="array" ref="AC663">IFERROR(AVERAGE(_xlfn._xlws.FILTER(U$2:U$1073,($C$2:$C$1073=$C663)*($E$2:$E$1073=$E663)*(ROW(U$2:U$1073)&lt;&gt;ROW(U663))*(U$2:U$1073&lt;&gt;""))),"")</f>
        <v>-11.819475080183356</v>
      </c>
      <c r="AD663" cm="1">
        <f t="array" ref="AD663">IFERROR(AVERAGE(_xlfn._xlws.FILTER(V$2:V$1073,($C$2:$C$1073=$C663)*($E$2:$E$1073=$E663)*(ROW(V$2:V$1073)&lt;&gt;ROW(V663))*(V$2:V$1073&lt;&gt;""))),"")</f>
        <v>0.79309019800614744</v>
      </c>
      <c r="AE663">
        <f>IF('Дивиденды по годам'!M663&lt;0,1,0)</f>
        <v>0</v>
      </c>
    </row>
    <row r="664" spans="1:31" x14ac:dyDescent="0.2">
      <c r="A664" s="8" t="s">
        <v>2320</v>
      </c>
      <c r="B664" t="str">
        <f t="shared" si="110"/>
        <v>RAGR IV кв. 2019</v>
      </c>
      <c r="C664" s="8">
        <v>2019</v>
      </c>
      <c r="D664">
        <f>SUMIFS(Дивиденды!$C:$C,Дивиденды!$A:$A,A664,Дивиденды!$I:$I,C664)</f>
        <v>5.39</v>
      </c>
      <c r="E664">
        <v>4</v>
      </c>
      <c r="F664">
        <f t="shared" si="111"/>
        <v>5.39</v>
      </c>
      <c r="G664">
        <f t="shared" si="112"/>
        <v>24.013571428571428</v>
      </c>
      <c r="H664">
        <f t="shared" si="113"/>
        <v>1</v>
      </c>
      <c r="I664">
        <f t="shared" si="114"/>
        <v>0.14285714285714285</v>
      </c>
      <c r="J664">
        <f t="shared" si="115"/>
        <v>0.52259887005649708</v>
      </c>
      <c r="K664">
        <f t="shared" si="120"/>
        <v>7.1435616592770729E-2</v>
      </c>
      <c r="L664">
        <f t="shared" si="116"/>
        <v>1</v>
      </c>
      <c r="M664">
        <f t="shared" si="117"/>
        <v>0.14285714285714285</v>
      </c>
      <c r="N664">
        <f t="shared" si="118"/>
        <v>0</v>
      </c>
      <c r="O664">
        <f t="shared" si="119"/>
        <v>0</v>
      </c>
      <c r="P664">
        <f>IFERROR(LN('Дивиденды по годам'!I664),"")</f>
        <v>26.092697244376769</v>
      </c>
      <c r="Q664">
        <f>IFERROR('Дивиденды по годам'!G664/'Дивиденды по годам'!I664, "")</f>
        <v>0.36569370376508864</v>
      </c>
      <c r="R664" t="str">
        <f>IFERROR(IF(AND('Дивиденды по годам'!N664&lt;&gt;"",'Дивиденды по годам'!U664&lt;&gt;"",'Дивиденды по годам'!U664&lt;&gt;0),'Дивиденды по годам'!N664/'Дивиденды по годам'!U664-1,""),"")</f>
        <v/>
      </c>
      <c r="S664">
        <f>IFERROR(IF(AND('Дивиденды по годам'!L664&lt;&gt;"",'Дивиденды по годам'!I664&lt;&gt;"",'Дивиденды по годам'!J664&lt;&gt;"",'Дивиденды по годам'!K664&lt;&gt;"",('Дивиденды по годам'!I664-'Дивиденды по годам'!J664-'Дивиденды по годам'!K664)&lt;&gt;0),'Дивиденды по годам'!L664/('Дивиденды по годам'!I664-'Дивиденды по годам'!J664-'Дивиденды по годам'!K664),""),"")</f>
        <v>0.9687076340152474</v>
      </c>
      <c r="T664" t="str">
        <f>IFERROR(IF(AND('Дивиденды по годам'!Q664&lt;&gt;"",'Дивиденды по годам'!I664&lt;&gt;"",'Дивиденды по годам'!V664&lt;&gt;"",('Дивиденды по годам'!I664+'Дивиденды по годам'!V664)&lt;&gt;0),'Дивиденды по годам'!Q664/(('Дивиденды по годам'!I664+'Дивиденды по годам'!V664)/2),""),"")</f>
        <v/>
      </c>
      <c r="U664">
        <f>IFERROR(IF(AND('Дивиденды по годам'!J664&lt;&gt;"",'Дивиденды по годам'!K664&lt;&gt;"",'Дивиденды по годам'!M664&lt;&gt;"",'Дивиденды по годам'!M664&lt;&gt;0),('Дивиденды по годам'!J664+'Дивиденды по годам'!K664)/'Дивиденды по годам'!M664,""),"")</f>
        <v>1.7285348589087115</v>
      </c>
      <c r="V664">
        <f>IFERROR(IF(AND('Дивиденды по годам'!J664&lt;&gt;"",'Дивиденды по годам'!K664&lt;&gt;"",'Дивиденды по годам'!M664&lt;&gt;"",'Дивиденды по годам'!I664&lt;&gt;0),('Дивиденды по годам'!J664+'Дивиденды по годам'!K664)/'Дивиденды по годам'!I664,""),"")</f>
        <v>0.63350294142844343</v>
      </c>
      <c r="W664">
        <f>IFERROR('Дивиденды по годам'!I664,"")</f>
        <v>214740733000</v>
      </c>
      <c r="X664" cm="1">
        <f t="array" ref="X664">IFERROR(AVERAGE(_xlfn._xlws.FILTER(P$2:P$1073,($C$2:$C$1073=$C664)*($E$2:$E$1073=$E664)*(ROW(P$2:P$1073)&lt;&gt;ROW(P664))*(P$2:P$1073&lt;&gt;""))),"")</f>
        <v>24.99396420234752</v>
      </c>
      <c r="Y664" cm="1">
        <f t="array" ref="Y664">IFERROR(AVERAGE(_xlfn._xlws.FILTER(Q$2:Q$1073,($C$2:$C$1073=$C664)*($E$2:$E$1073=$E664)*(ROW(Q$2:Q$1073)&lt;&gt;ROW(Q664))*(Q$2:Q$1073&lt;&gt;""))),"")</f>
        <v>0.25895461934695985</v>
      </c>
      <c r="Z664" cm="1">
        <f t="array" ref="Z664">IFERROR(AVERAGE(_xlfn._xlws.FILTER(R$2:R$1073,($C$2:$C$1073=$C664)*($E$2:$E$1073=$E664)*(ROW(R$2:R$1073)&lt;&gt;ROW(R664))*(R$2:R$1073&lt;&gt;""))),"")</f>
        <v>0.41255485917491075</v>
      </c>
      <c r="AA664" cm="1">
        <f t="array" ref="AA664">IFERROR(AVERAGE(_xlfn._xlws.FILTER(S$2:S$1073,($C$2:$C$1073=$C664)*($E$2:$E$1073=$E664)*(ROW(S$2:S$1073)&lt;&gt;ROW(S664))*(S$2:S$1073&lt;&gt;""))),"")</f>
        <v>0.88811709577307252</v>
      </c>
      <c r="AB664" cm="1">
        <f t="array" ref="AB664">IFERROR(AVERAGE(_xlfn._xlws.FILTER(T$2:T$1073,($C$2:$C$1073=$C664)*($E$2:$E$1073=$E664)*(ROW(T$2:T$1073)&lt;&gt;ROW(T664))*(T$2:T$1073&lt;&gt;""))),"")</f>
        <v>4.8479450567785541E-2</v>
      </c>
      <c r="AC664" cm="1">
        <f t="array" ref="AC664">IFERROR(AVERAGE(_xlfn._xlws.FILTER(U$2:U$1073,($C$2:$C$1073=$C664)*($E$2:$E$1073=$E664)*(ROW(U$2:U$1073)&lt;&gt;ROW(U664))*(U$2:U$1073&lt;&gt;""))),"")</f>
        <v>-3.1909282000750294</v>
      </c>
      <c r="AD664" cm="1">
        <f t="array" ref="AD664">IFERROR(AVERAGE(_xlfn._xlws.FILTER(V$2:V$1073,($C$2:$C$1073=$C664)*($E$2:$E$1073=$E664)*(ROW(V$2:V$1073)&lt;&gt;ROW(V664))*(V$2:V$1073&lt;&gt;""))),"")</f>
        <v>0.83587726137466623</v>
      </c>
      <c r="AE664">
        <f>IF('Дивиденды по годам'!M664&lt;0,1,0)</f>
        <v>0</v>
      </c>
    </row>
    <row r="665" spans="1:31" x14ac:dyDescent="0.2">
      <c r="A665" s="8" t="s">
        <v>2320</v>
      </c>
      <c r="B665" t="str">
        <f t="shared" si="110"/>
        <v>RAGR IV кв. 2018</v>
      </c>
      <c r="C665" s="8">
        <v>2018</v>
      </c>
      <c r="D665">
        <f>SUMIFS(Дивиденды!$C:$C,Дивиденды!$A:$A,A665,Дивиденды!$I:$I,C665)</f>
        <v>3.54</v>
      </c>
      <c r="E665">
        <v>4</v>
      </c>
      <c r="F665">
        <f t="shared" si="111"/>
        <v>3.54</v>
      </c>
      <c r="G665">
        <f t="shared" si="112"/>
        <v>21.725714285714282</v>
      </c>
      <c r="H665">
        <f t="shared" si="113"/>
        <v>1</v>
      </c>
      <c r="I665">
        <f t="shared" si="114"/>
        <v>7.1428571428571425E-2</v>
      </c>
      <c r="J665">
        <f t="shared" si="115"/>
        <v>-0.46686746987951805</v>
      </c>
      <c r="K665">
        <f t="shared" si="120"/>
        <v>1.512461085784857E-2</v>
      </c>
      <c r="L665">
        <f t="shared" si="116"/>
        <v>0</v>
      </c>
      <c r="M665">
        <f t="shared" si="117"/>
        <v>7.1428571428571425E-2</v>
      </c>
      <c r="N665">
        <f t="shared" si="118"/>
        <v>1</v>
      </c>
      <c r="O665">
        <f t="shared" si="119"/>
        <v>0</v>
      </c>
      <c r="P665" t="str">
        <f>IFERROR(LN('Дивиденды по годам'!I665),"")</f>
        <v/>
      </c>
      <c r="Q665" t="str">
        <f>IFERROR('Дивиденды по годам'!G665/'Дивиденды по годам'!I665, "")</f>
        <v/>
      </c>
      <c r="R665" t="str">
        <f>IFERROR(IF(AND('Дивиденды по годам'!N665&lt;&gt;"",'Дивиденды по годам'!U665&lt;&gt;"",'Дивиденды по годам'!U665&lt;&gt;0),'Дивиденды по годам'!N665/'Дивиденды по годам'!U665-1,""),"")</f>
        <v/>
      </c>
      <c r="S665" t="str">
        <f>IFERROR(IF(AND('Дивиденды по годам'!L665&lt;&gt;"",'Дивиденды по годам'!I665&lt;&gt;"",'Дивиденды по годам'!J665&lt;&gt;"",'Дивиденды по годам'!K665&lt;&gt;"",('Дивиденды по годам'!I665-'Дивиденды по годам'!J665-'Дивиденды по годам'!K665)&lt;&gt;0),'Дивиденды по годам'!L665/('Дивиденды по годам'!I665-'Дивиденды по годам'!J665-'Дивиденды по годам'!K665),""),"")</f>
        <v/>
      </c>
      <c r="T665" t="str">
        <f>IFERROR(IF(AND('Дивиденды по годам'!Q665&lt;&gt;"",'Дивиденды по годам'!I665&lt;&gt;"",'Дивиденды по годам'!V665&lt;&gt;"",('Дивиденды по годам'!I665+'Дивиденды по годам'!V665)&lt;&gt;0),'Дивиденды по годам'!Q665/(('Дивиденды по годам'!I665+'Дивиденды по годам'!V665)/2),""),"")</f>
        <v/>
      </c>
      <c r="U665" t="str">
        <f>IFERROR(IF(AND('Дивиденды по годам'!J665&lt;&gt;"",'Дивиденды по годам'!K665&lt;&gt;"",'Дивиденды по годам'!M665&lt;&gt;"",'Дивиденды по годам'!M665&lt;&gt;0),('Дивиденды по годам'!J665+'Дивиденды по годам'!K665)/'Дивиденды по годам'!M665,""),"")</f>
        <v/>
      </c>
      <c r="V665" t="str">
        <f>IFERROR(IF(AND('Дивиденды по годам'!J665&lt;&gt;"",'Дивиденды по годам'!K665&lt;&gt;"",'Дивиденды по годам'!M665&lt;&gt;"",'Дивиденды по годам'!I665&lt;&gt;0),('Дивиденды по годам'!J665+'Дивиденды по годам'!K665)/'Дивиденды по годам'!I665,""),"")</f>
        <v/>
      </c>
      <c r="W665" t="str">
        <f>IFERROR('Дивиденды по годам'!I665,"")</f>
        <v/>
      </c>
      <c r="X665" cm="1">
        <f t="array" ref="X665">IFERROR(AVERAGE(_xlfn._xlws.FILTER(P$2:P$1073,($C$2:$C$1073=$C665)*($E$2:$E$1073=$E665)*(ROW(P$2:P$1073)&lt;&gt;ROW(P665))*(P$2:P$1073&lt;&gt;""))),"")</f>
        <v>24.908270704496481</v>
      </c>
      <c r="Y665" cm="1">
        <f t="array" ref="Y665">IFERROR(AVERAGE(_xlfn._xlws.FILTER(Q$2:Q$1073,($C$2:$C$1073=$C665)*($E$2:$E$1073=$E665)*(ROW(Q$2:Q$1073)&lt;&gt;ROW(Q665))*(Q$2:Q$1073&lt;&gt;""))),"")</f>
        <v>0.31629947227527405</v>
      </c>
      <c r="Z665" cm="1">
        <f t="array" ref="Z665">IFERROR(AVERAGE(_xlfn._xlws.FILTER(R$2:R$1073,($C$2:$C$1073=$C665)*($E$2:$E$1073=$E665)*(ROW(R$2:R$1073)&lt;&gt;ROW(R665))*(R$2:R$1073&lt;&gt;""))),"")</f>
        <v>5.6638288450543382E-2</v>
      </c>
      <c r="AA665" cm="1">
        <f t="array" ref="AA665">IFERROR(AVERAGE(_xlfn._xlws.FILTER(S$2:S$1073,($C$2:$C$1073=$C665)*($E$2:$E$1073=$E665)*(ROW(S$2:S$1073)&lt;&gt;ROW(S665))*(S$2:S$1073&lt;&gt;""))),"")</f>
        <v>0.64427650310006845</v>
      </c>
      <c r="AB665" cm="1">
        <f t="array" ref="AB665">IFERROR(AVERAGE(_xlfn._xlws.FILTER(T$2:T$1073,($C$2:$C$1073=$C665)*($E$2:$E$1073=$E665)*(ROW(T$2:T$1073)&lt;&gt;ROW(T665))*(T$2:T$1073&lt;&gt;""))),"")</f>
        <v>7.1418821660913928E-3</v>
      </c>
      <c r="AC665" cm="1">
        <f t="array" ref="AC665">IFERROR(AVERAGE(_xlfn._xlws.FILTER(U$2:U$1073,($C$2:$C$1073=$C665)*($E$2:$E$1073=$E665)*(ROW(U$2:U$1073)&lt;&gt;ROW(U665))*(U$2:U$1073&lt;&gt;""))),"")</f>
        <v>1.0767813683356515</v>
      </c>
      <c r="AD665" cm="1">
        <f t="array" ref="AD665">IFERROR(AVERAGE(_xlfn._xlws.FILTER(V$2:V$1073,($C$2:$C$1073=$C665)*($E$2:$E$1073=$E665)*(ROW(V$2:V$1073)&lt;&gt;ROW(V665))*(V$2:V$1073&lt;&gt;""))),"")</f>
        <v>0.81626365949041058</v>
      </c>
      <c r="AE665">
        <f>IF('Дивиденды по годам'!M665&lt;0,1,0)</f>
        <v>0</v>
      </c>
    </row>
    <row r="666" spans="1:31" x14ac:dyDescent="0.2">
      <c r="A666" s="8" t="s">
        <v>2320</v>
      </c>
      <c r="B666" t="str">
        <f t="shared" si="110"/>
        <v>RAGR IV кв. 2017</v>
      </c>
      <c r="C666" s="8">
        <v>2017</v>
      </c>
      <c r="D666">
        <f>SUMIFS(Дивиденды!$C:$C,Дивиденды!$A:$A,A666,Дивиденды!$I:$I,C666)</f>
        <v>6.64</v>
      </c>
      <c r="E666">
        <v>4</v>
      </c>
      <c r="F666">
        <f t="shared" si="111"/>
        <v>6.64</v>
      </c>
      <c r="G666">
        <f t="shared" si="112"/>
        <v>17.929285714285715</v>
      </c>
      <c r="H666">
        <f t="shared" si="113"/>
        <v>1</v>
      </c>
      <c r="I666">
        <f t="shared" si="114"/>
        <v>7.1428571428571425E-2</v>
      </c>
      <c r="J666">
        <f t="shared" si="115"/>
        <v>-0.14543114543114544</v>
      </c>
      <c r="K666">
        <f t="shared" si="120"/>
        <v>-6.9648828143057473E-3</v>
      </c>
      <c r="L666">
        <f t="shared" si="116"/>
        <v>0</v>
      </c>
      <c r="M666">
        <f t="shared" si="117"/>
        <v>0</v>
      </c>
      <c r="N666">
        <f t="shared" si="118"/>
        <v>1</v>
      </c>
      <c r="O666">
        <f t="shared" si="119"/>
        <v>7.1428571428571425E-2</v>
      </c>
      <c r="P666" t="str">
        <f>IFERROR(LN('Дивиденды по годам'!I666),"")</f>
        <v/>
      </c>
      <c r="Q666" t="str">
        <f>IFERROR('Дивиденды по годам'!G666/'Дивиденды по годам'!I666, "")</f>
        <v/>
      </c>
      <c r="R666" t="str">
        <f>IFERROR(IF(AND('Дивиденды по годам'!N666&lt;&gt;"",'Дивиденды по годам'!U666&lt;&gt;"",'Дивиденды по годам'!U666&lt;&gt;0),'Дивиденды по годам'!N666/'Дивиденды по годам'!U666-1,""),"")</f>
        <v/>
      </c>
      <c r="S666" t="str">
        <f>IFERROR(IF(AND('Дивиденды по годам'!L666&lt;&gt;"",'Дивиденды по годам'!I666&lt;&gt;"",'Дивиденды по годам'!J666&lt;&gt;"",'Дивиденды по годам'!K666&lt;&gt;"",('Дивиденды по годам'!I666-'Дивиденды по годам'!J666-'Дивиденды по годам'!K666)&lt;&gt;0),'Дивиденды по годам'!L666/('Дивиденды по годам'!I666-'Дивиденды по годам'!J666-'Дивиденды по годам'!K666),""),"")</f>
        <v/>
      </c>
      <c r="T666" t="str">
        <f>IFERROR(IF(AND('Дивиденды по годам'!Q666&lt;&gt;"",'Дивиденды по годам'!I666&lt;&gt;"",'Дивиденды по годам'!V666&lt;&gt;"",('Дивиденды по годам'!I666+'Дивиденды по годам'!V666)&lt;&gt;0),'Дивиденды по годам'!Q666/(('Дивиденды по годам'!I666+'Дивиденды по годам'!V666)/2),""),"")</f>
        <v/>
      </c>
      <c r="U666" t="str">
        <f>IFERROR(IF(AND('Дивиденды по годам'!J666&lt;&gt;"",'Дивиденды по годам'!K666&lt;&gt;"",'Дивиденды по годам'!M666&lt;&gt;"",'Дивиденды по годам'!M666&lt;&gt;0),('Дивиденды по годам'!J666+'Дивиденды по годам'!K666)/'Дивиденды по годам'!M666,""),"")</f>
        <v/>
      </c>
      <c r="V666" t="str">
        <f>IFERROR(IF(AND('Дивиденды по годам'!J666&lt;&gt;"",'Дивиденды по годам'!K666&lt;&gt;"",'Дивиденды по годам'!M666&lt;&gt;"",'Дивиденды по годам'!I666&lt;&gt;0),('Дивиденды по годам'!J666+'Дивиденды по годам'!K666)/'Дивиденды по годам'!I666,""),"")</f>
        <v/>
      </c>
      <c r="W666" t="str">
        <f>IFERROR('Дивиденды по годам'!I666,"")</f>
        <v/>
      </c>
      <c r="X666" cm="1">
        <f t="array" ref="X666">IFERROR(AVERAGE(_xlfn._xlws.FILTER(P$2:P$1073,($C$2:$C$1073=$C666)*($E$2:$E$1073=$E666)*(ROW(P$2:P$1073)&lt;&gt;ROW(P666))*(P$2:P$1073&lt;&gt;""))),"")</f>
        <v>24.73571056544559</v>
      </c>
      <c r="Y666" cm="1">
        <f t="array" ref="Y666">IFERROR(AVERAGE(_xlfn._xlws.FILTER(Q$2:Q$1073,($C$2:$C$1073=$C666)*($E$2:$E$1073=$E666)*(ROW(Q$2:Q$1073)&lt;&gt;ROW(Q666))*(Q$2:Q$1073&lt;&gt;""))),"")</f>
        <v>0.33981210980429821</v>
      </c>
      <c r="Z666" cm="1">
        <f t="array" ref="Z666">IFERROR(AVERAGE(_xlfn._xlws.FILTER(R$2:R$1073,($C$2:$C$1073=$C666)*($E$2:$E$1073=$E666)*(ROW(R$2:R$1073)&lt;&gt;ROW(R666))*(R$2:R$1073&lt;&gt;""))),"")</f>
        <v>0.23691718521625563</v>
      </c>
      <c r="AA666" cm="1">
        <f t="array" ref="AA666">IFERROR(AVERAGE(_xlfn._xlws.FILTER(S$2:S$1073,($C$2:$C$1073=$C666)*($E$2:$E$1073=$E666)*(ROW(S$2:S$1073)&lt;&gt;ROW(S666))*(S$2:S$1073&lt;&gt;""))),"")</f>
        <v>0.61774629406594017</v>
      </c>
      <c r="AB666" cm="1">
        <f t="array" ref="AB666">IFERROR(AVERAGE(_xlfn._xlws.FILTER(T$2:T$1073,($C$2:$C$1073=$C666)*($E$2:$E$1073=$E666)*(ROW(T$2:T$1073)&lt;&gt;ROW(T666))*(T$2:T$1073&lt;&gt;""))),"")</f>
        <v>-2.7044382152168867E-2</v>
      </c>
      <c r="AC666" cm="1">
        <f t="array" ref="AC666">IFERROR(AVERAGE(_xlfn._xlws.FILTER(U$2:U$1073,($C$2:$C$1073=$C666)*($E$2:$E$1073=$E666)*(ROW(U$2:U$1073)&lt;&gt;ROW(U666))*(U$2:U$1073&lt;&gt;""))),"")</f>
        <v>0.62620703107195774</v>
      </c>
      <c r="AD666" cm="1">
        <f t="array" ref="AD666">IFERROR(AVERAGE(_xlfn._xlws.FILTER(V$2:V$1073,($C$2:$C$1073=$C666)*($E$2:$E$1073=$E666)*(ROW(V$2:V$1073)&lt;&gt;ROW(V666))*(V$2:V$1073&lt;&gt;""))),"")</f>
        <v>0.66654193671015471</v>
      </c>
      <c r="AE666">
        <f>IF('Дивиденды по годам'!M666&lt;0,1,0)</f>
        <v>0</v>
      </c>
    </row>
    <row r="667" spans="1:31" x14ac:dyDescent="0.2">
      <c r="A667" s="8" t="s">
        <v>2320</v>
      </c>
      <c r="B667" t="str">
        <f t="shared" si="110"/>
        <v>RAGR IV кв. 2016</v>
      </c>
      <c r="C667" s="8">
        <v>2016</v>
      </c>
      <c r="D667">
        <f>SUMIFS(Дивиденды!$C:$C,Дивиденды!$A:$A,A667,Дивиденды!$I:$I,C667)</f>
        <v>7.77</v>
      </c>
      <c r="E667">
        <v>4</v>
      </c>
      <c r="F667">
        <f t="shared" si="111"/>
        <v>7.77</v>
      </c>
      <c r="G667">
        <f t="shared" si="112"/>
        <v>19.866428571428571</v>
      </c>
      <c r="H667">
        <f t="shared" si="113"/>
        <v>1</v>
      </c>
      <c r="I667">
        <f t="shared" si="114"/>
        <v>7.1428571428571425E-2</v>
      </c>
      <c r="J667">
        <f t="shared" si="115"/>
        <v>0.39247311827956982</v>
      </c>
      <c r="K667">
        <f t="shared" si="120"/>
        <v>-7.4403323992656362E-3</v>
      </c>
      <c r="L667">
        <f t="shared" si="116"/>
        <v>1</v>
      </c>
      <c r="M667">
        <f t="shared" si="117"/>
        <v>0</v>
      </c>
      <c r="N667">
        <f t="shared" si="118"/>
        <v>0</v>
      </c>
      <c r="O667">
        <f t="shared" si="119"/>
        <v>7.1428571428571425E-2</v>
      </c>
      <c r="P667" t="str">
        <f>IFERROR(LN('Дивиденды по годам'!I667),"")</f>
        <v/>
      </c>
      <c r="Q667" t="str">
        <f>IFERROR('Дивиденды по годам'!G667/'Дивиденды по годам'!I667, "")</f>
        <v/>
      </c>
      <c r="R667" t="str">
        <f>IFERROR(IF(AND('Дивиденды по годам'!N667&lt;&gt;"",'Дивиденды по годам'!U667&lt;&gt;"",'Дивиденды по годам'!U667&lt;&gt;0),'Дивиденды по годам'!N667/'Дивиденды по годам'!U667-1,""),"")</f>
        <v/>
      </c>
      <c r="S667" t="str">
        <f>IFERROR(IF(AND('Дивиденды по годам'!L667&lt;&gt;"",'Дивиденды по годам'!I667&lt;&gt;"",'Дивиденды по годам'!J667&lt;&gt;"",'Дивиденды по годам'!K667&lt;&gt;"",('Дивиденды по годам'!I667-'Дивиденды по годам'!J667-'Дивиденды по годам'!K667)&lt;&gt;0),'Дивиденды по годам'!L667/('Дивиденды по годам'!I667-'Дивиденды по годам'!J667-'Дивиденды по годам'!K667),""),"")</f>
        <v/>
      </c>
      <c r="T667" t="str">
        <f>IFERROR(IF(AND('Дивиденды по годам'!Q667&lt;&gt;"",'Дивиденды по годам'!I667&lt;&gt;"",'Дивиденды по годам'!V667&lt;&gt;"",('Дивиденды по годам'!I667+'Дивиденды по годам'!V667)&lt;&gt;0),'Дивиденды по годам'!Q667/(('Дивиденды по годам'!I667+'Дивиденды по годам'!V667)/2),""),"")</f>
        <v/>
      </c>
      <c r="U667" t="str">
        <f>IFERROR(IF(AND('Дивиденды по годам'!J667&lt;&gt;"",'Дивиденды по годам'!K667&lt;&gt;"",'Дивиденды по годам'!M667&lt;&gt;"",'Дивиденды по годам'!M667&lt;&gt;0),('Дивиденды по годам'!J667+'Дивиденды по годам'!K667)/'Дивиденды по годам'!M667,""),"")</f>
        <v/>
      </c>
      <c r="V667" t="str">
        <f>IFERROR(IF(AND('Дивиденды по годам'!J667&lt;&gt;"",'Дивиденды по годам'!K667&lt;&gt;"",'Дивиденды по годам'!M667&lt;&gt;"",'Дивиденды по годам'!I667&lt;&gt;0),('Дивиденды по годам'!J667+'Дивиденды по годам'!K667)/'Дивиденды по годам'!I667,""),"")</f>
        <v/>
      </c>
      <c r="W667" t="str">
        <f>IFERROR('Дивиденды по годам'!I667,"")</f>
        <v/>
      </c>
      <c r="X667" cm="1">
        <f t="array" ref="X667">IFERROR(AVERAGE(_xlfn._xlws.FILTER(P$2:P$1073,($C$2:$C$1073=$C667)*($E$2:$E$1073=$E667)*(ROW(P$2:P$1073)&lt;&gt;ROW(P667))*(P$2:P$1073&lt;&gt;""))),"")</f>
        <v>24.55530958635584</v>
      </c>
      <c r="Y667" cm="1">
        <f t="array" ref="Y667">IFERROR(AVERAGE(_xlfn._xlws.FILTER(Q$2:Q$1073,($C$2:$C$1073=$C667)*($E$2:$E$1073=$E667)*(ROW(Q$2:Q$1073)&lt;&gt;ROW(Q667))*(Q$2:Q$1073&lt;&gt;""))),"")</f>
        <v>0.27878606899788128</v>
      </c>
      <c r="Z667" cm="1">
        <f t="array" ref="Z667">IFERROR(AVERAGE(_xlfn._xlws.FILTER(R$2:R$1073,($C$2:$C$1073=$C667)*($E$2:$E$1073=$E667)*(ROW(R$2:R$1073)&lt;&gt;ROW(R667))*(R$2:R$1073&lt;&gt;""))),"")</f>
        <v>0.16612325919082049</v>
      </c>
      <c r="AA667" cm="1">
        <f t="array" ref="AA667">IFERROR(AVERAGE(_xlfn._xlws.FILTER(S$2:S$1073,($C$2:$C$1073=$C667)*($E$2:$E$1073=$E667)*(ROW(S$2:S$1073)&lt;&gt;ROW(S667))*(S$2:S$1073&lt;&gt;""))),"")</f>
        <v>6.2178681719613929</v>
      </c>
      <c r="AB667" cm="1">
        <f t="array" ref="AB667">IFERROR(AVERAGE(_xlfn._xlws.FILTER(T$2:T$1073,($C$2:$C$1073=$C667)*($E$2:$E$1073=$E667)*(ROW(T$2:T$1073)&lt;&gt;ROW(T667))*(T$2:T$1073&lt;&gt;""))),"")</f>
        <v>-2.007011623977166E-2</v>
      </c>
      <c r="AC667" cm="1">
        <f t="array" ref="AC667">IFERROR(AVERAGE(_xlfn._xlws.FILTER(U$2:U$1073,($C$2:$C$1073=$C667)*($E$2:$E$1073=$E667)*(ROW(U$2:U$1073)&lt;&gt;ROW(U667))*(U$2:U$1073&lt;&gt;""))),"")</f>
        <v>-16.044507701133888</v>
      </c>
      <c r="AD667" cm="1">
        <f t="array" ref="AD667">IFERROR(AVERAGE(_xlfn._xlws.FILTER(V$2:V$1073,($C$2:$C$1073=$C667)*($E$2:$E$1073=$E667)*(ROW(V$2:V$1073)&lt;&gt;ROW(V667))*(V$2:V$1073&lt;&gt;""))),"")</f>
        <v>0.64687882816141706</v>
      </c>
      <c r="AE667">
        <f>IF('Дивиденды по годам'!M667&lt;0,1,0)</f>
        <v>0</v>
      </c>
    </row>
    <row r="668" spans="1:31" x14ac:dyDescent="0.2">
      <c r="A668" s="8" t="s">
        <v>2320</v>
      </c>
      <c r="B668" t="str">
        <f t="shared" si="110"/>
        <v>RAGR IV кв. 2015</v>
      </c>
      <c r="C668" s="8">
        <v>2015</v>
      </c>
      <c r="D668">
        <f>SUMIFS(Дивиденды!$C:$C,Дивиденды!$A:$A,A668,Дивиденды!$I:$I,C668)</f>
        <v>5.58</v>
      </c>
      <c r="E668">
        <v>4</v>
      </c>
      <c r="F668">
        <f t="shared" si="111"/>
        <v>5.58</v>
      </c>
      <c r="G668">
        <f t="shared" si="112"/>
        <v>22.176428571428573</v>
      </c>
      <c r="H668">
        <f t="shared" si="113"/>
        <v>1</v>
      </c>
      <c r="I668">
        <f t="shared" si="114"/>
        <v>7.1428571428571425E-2</v>
      </c>
      <c r="J668">
        <f t="shared" si="115"/>
        <v>1</v>
      </c>
      <c r="K668">
        <f t="shared" si="120"/>
        <v>-1.0326382164702542E-2</v>
      </c>
      <c r="L668">
        <f t="shared" si="116"/>
        <v>1</v>
      </c>
      <c r="M668">
        <f t="shared" si="117"/>
        <v>0</v>
      </c>
      <c r="N668">
        <f t="shared" si="118"/>
        <v>0</v>
      </c>
      <c r="O668">
        <f t="shared" si="119"/>
        <v>7.1428571428571425E-2</v>
      </c>
      <c r="P668" t="str">
        <f>IFERROR(LN('Дивиденды по годам'!I668),"")</f>
        <v/>
      </c>
      <c r="Q668" t="str">
        <f>IFERROR('Дивиденды по годам'!G668/'Дивиденды по годам'!I668, "")</f>
        <v/>
      </c>
      <c r="R668" t="str">
        <f>IFERROR(IF(AND('Дивиденды по годам'!N668&lt;&gt;"",'Дивиденды по годам'!U668&lt;&gt;"",'Дивиденды по годам'!U668&lt;&gt;0),'Дивиденды по годам'!N668/'Дивиденды по годам'!U668-1,""),"")</f>
        <v/>
      </c>
      <c r="S668" t="str">
        <f>IFERROR(IF(AND('Дивиденды по годам'!L668&lt;&gt;"",'Дивиденды по годам'!I668&lt;&gt;"",'Дивиденды по годам'!J668&lt;&gt;"",'Дивиденды по годам'!K668&lt;&gt;"",('Дивиденды по годам'!I668-'Дивиденды по годам'!J668-'Дивиденды по годам'!K668)&lt;&gt;0),'Дивиденды по годам'!L668/('Дивиденды по годам'!I668-'Дивиденды по годам'!J668-'Дивиденды по годам'!K668),""),"")</f>
        <v/>
      </c>
      <c r="T668" t="str">
        <f>IFERROR(IF(AND('Дивиденды по годам'!Q668&lt;&gt;"",'Дивиденды по годам'!I668&lt;&gt;"",'Дивиденды по годам'!V668&lt;&gt;"",('Дивиденды по годам'!I668+'Дивиденды по годам'!V668)&lt;&gt;0),'Дивиденды по годам'!Q668/(('Дивиденды по годам'!I668+'Дивиденды по годам'!V668)/2),""),"")</f>
        <v/>
      </c>
      <c r="U668" t="str">
        <f>IFERROR(IF(AND('Дивиденды по годам'!J668&lt;&gt;"",'Дивиденды по годам'!K668&lt;&gt;"",'Дивиденды по годам'!M668&lt;&gt;"",'Дивиденды по годам'!M668&lt;&gt;0),('Дивиденды по годам'!J668+'Дивиденды по годам'!K668)/'Дивиденды по годам'!M668,""),"")</f>
        <v/>
      </c>
      <c r="V668" t="str">
        <f>IFERROR(IF(AND('Дивиденды по годам'!J668&lt;&gt;"",'Дивиденды по годам'!K668&lt;&gt;"",'Дивиденды по годам'!M668&lt;&gt;"",'Дивиденды по годам'!I668&lt;&gt;0),('Дивиденды по годам'!J668+'Дивиденды по годам'!K668)/'Дивиденды по годам'!I668,""),"")</f>
        <v/>
      </c>
      <c r="W668" t="str">
        <f>IFERROR('Дивиденды по годам'!I668,"")</f>
        <v/>
      </c>
      <c r="X668" cm="1">
        <f t="array" ref="X668">IFERROR(AVERAGE(_xlfn._xlws.FILTER(P$2:P$1073,($C$2:$C$1073=$C668)*($E$2:$E$1073=$E668)*(ROW(P$2:P$1073)&lt;&gt;ROW(P668))*(P$2:P$1073&lt;&gt;""))),"")</f>
        <v>24.784857390248948</v>
      </c>
      <c r="Y668" cm="1">
        <f t="array" ref="Y668">IFERROR(AVERAGE(_xlfn._xlws.FILTER(Q$2:Q$1073,($C$2:$C$1073=$C668)*($E$2:$E$1073=$E668)*(ROW(Q$2:Q$1073)&lt;&gt;ROW(Q668))*(Q$2:Q$1073&lt;&gt;""))),"")</f>
        <v>0.29707306985497267</v>
      </c>
      <c r="Z668" cm="1">
        <f t="array" ref="Z668">IFERROR(AVERAGE(_xlfn._xlws.FILTER(R$2:R$1073,($C$2:$C$1073=$C668)*($E$2:$E$1073=$E668)*(ROW(R$2:R$1073)&lt;&gt;ROW(R668))*(R$2:R$1073&lt;&gt;""))),"")</f>
        <v>0.20074687596566593</v>
      </c>
      <c r="AA668" cm="1">
        <f t="array" ref="AA668">IFERROR(AVERAGE(_xlfn._xlws.FILTER(S$2:S$1073,($C$2:$C$1073=$C668)*($E$2:$E$1073=$E668)*(ROW(S$2:S$1073)&lt;&gt;ROW(S668))*(S$2:S$1073&lt;&gt;""))),"")</f>
        <v>-0.60736862679830428</v>
      </c>
      <c r="AB668" cm="1">
        <f t="array" ref="AB668">IFERROR(AVERAGE(_xlfn._xlws.FILTER(T$2:T$1073,($C$2:$C$1073=$C668)*($E$2:$E$1073=$E668)*(ROW(T$2:T$1073)&lt;&gt;ROW(T668))*(T$2:T$1073&lt;&gt;""))),"")</f>
        <v>6.4031956193225284E-2</v>
      </c>
      <c r="AC668" cm="1">
        <f t="array" ref="AC668">IFERROR(AVERAGE(_xlfn._xlws.FILTER(U$2:U$1073,($C$2:$C$1073=$C668)*($E$2:$E$1073=$E668)*(ROW(U$2:U$1073)&lt;&gt;ROW(U668))*(U$2:U$1073&lt;&gt;""))),"")</f>
        <v>5.5189604575277329</v>
      </c>
      <c r="AD668" cm="1">
        <f t="array" ref="AD668">IFERROR(AVERAGE(_xlfn._xlws.FILTER(V$2:V$1073,($C$2:$C$1073=$C668)*($E$2:$E$1073=$E668)*(ROW(V$2:V$1073)&lt;&gt;ROW(V668))*(V$2:V$1073&lt;&gt;""))),"")</f>
        <v>0.63096522939864874</v>
      </c>
      <c r="AE668">
        <f>IF('Дивиденды по годам'!M668&lt;0,1,0)</f>
        <v>0</v>
      </c>
    </row>
    <row r="669" spans="1:31" x14ac:dyDescent="0.2">
      <c r="A669" s="8" t="s">
        <v>2320</v>
      </c>
      <c r="B669" t="str">
        <f t="shared" si="110"/>
        <v>RAGR IV кв. 2014</v>
      </c>
      <c r="C669" s="8">
        <v>2014</v>
      </c>
      <c r="D669">
        <f>SUMIFS(Дивиденды!$C:$C,Дивиденды!$A:$A,A669,Дивиденды!$I:$I,C669)</f>
        <v>0</v>
      </c>
      <c r="E669">
        <v>4</v>
      </c>
      <c r="F669">
        <f t="shared" si="111"/>
        <v>0</v>
      </c>
      <c r="G669">
        <f t="shared" si="112"/>
        <v>25.924285714285713</v>
      </c>
      <c r="H669">
        <f t="shared" si="113"/>
        <v>0</v>
      </c>
      <c r="I669">
        <f t="shared" si="114"/>
        <v>7.1428571428571425E-2</v>
      </c>
      <c r="J669">
        <f t="shared" si="115"/>
        <v>0</v>
      </c>
      <c r="K669">
        <f t="shared" si="120"/>
        <v>4.887635107293415E-2</v>
      </c>
      <c r="L669">
        <f t="shared" si="116"/>
        <v>0</v>
      </c>
      <c r="M669">
        <f t="shared" si="117"/>
        <v>7.1428571428571425E-2</v>
      </c>
      <c r="N669">
        <f t="shared" si="118"/>
        <v>0</v>
      </c>
      <c r="O669">
        <f t="shared" si="119"/>
        <v>7.1428571428571425E-2</v>
      </c>
      <c r="P669" t="str">
        <f>IFERROR(LN('Дивиденды по годам'!I669),"")</f>
        <v/>
      </c>
      <c r="Q669" t="str">
        <f>IFERROR('Дивиденды по годам'!G669/'Дивиденды по годам'!I669, "")</f>
        <v/>
      </c>
      <c r="R669" t="str">
        <f>IFERROR(IF(AND('Дивиденды по годам'!N669&lt;&gt;"",'Дивиденды по годам'!U669&lt;&gt;"",'Дивиденды по годам'!U669&lt;&gt;0),'Дивиденды по годам'!N669/'Дивиденды по годам'!U669-1,""),"")</f>
        <v/>
      </c>
      <c r="S669" t="str">
        <f>IFERROR(IF(AND('Дивиденды по годам'!L669&lt;&gt;"",'Дивиденды по годам'!I669&lt;&gt;"",'Дивиденды по годам'!J669&lt;&gt;"",'Дивиденды по годам'!K669&lt;&gt;"",('Дивиденды по годам'!I669-'Дивиденды по годам'!J669-'Дивиденды по годам'!K669)&lt;&gt;0),'Дивиденды по годам'!L669/('Дивиденды по годам'!I669-'Дивиденды по годам'!J669-'Дивиденды по годам'!K669),""),"")</f>
        <v/>
      </c>
      <c r="T669" t="str">
        <f>IFERROR(IF(AND('Дивиденды по годам'!Q669&lt;&gt;"",'Дивиденды по годам'!I669&lt;&gt;"",'Дивиденды по годам'!V669&lt;&gt;"",('Дивиденды по годам'!I669+'Дивиденды по годам'!V669)&lt;&gt;0),'Дивиденды по годам'!Q669/(('Дивиденды по годам'!I669+'Дивиденды по годам'!V669)/2),""),"")</f>
        <v/>
      </c>
      <c r="U669" t="str">
        <f>IFERROR(IF(AND('Дивиденды по годам'!J669&lt;&gt;"",'Дивиденды по годам'!K669&lt;&gt;"",'Дивиденды по годам'!M669&lt;&gt;"",'Дивиденды по годам'!M669&lt;&gt;0),('Дивиденды по годам'!J669+'Дивиденды по годам'!K669)/'Дивиденды по годам'!M669,""),"")</f>
        <v/>
      </c>
      <c r="V669" t="str">
        <f>IFERROR(IF(AND('Дивиденды по годам'!J669&lt;&gt;"",'Дивиденды по годам'!K669&lt;&gt;"",'Дивиденды по годам'!M669&lt;&gt;"",'Дивиденды по годам'!I669&lt;&gt;0),('Дивиденды по годам'!J669+'Дивиденды по годам'!K669)/'Дивиденды по годам'!I669,""),"")</f>
        <v/>
      </c>
      <c r="W669" t="str">
        <f>IFERROR('Дивиденды по годам'!I669,"")</f>
        <v/>
      </c>
      <c r="X669" cm="1">
        <f t="array" ref="X669">IFERROR(AVERAGE(_xlfn._xlws.FILTER(P$2:P$1073,($C$2:$C$1073=$C669)*($E$2:$E$1073=$E669)*(ROW(P$2:P$1073)&lt;&gt;ROW(P669))*(P$2:P$1073&lt;&gt;""))),"")</f>
        <v>24.777851287837404</v>
      </c>
      <c r="Y669" cm="1">
        <f t="array" ref="Y669">IFERROR(AVERAGE(_xlfn._xlws.FILTER(Q$2:Q$1073,($C$2:$C$1073=$C669)*($E$2:$E$1073=$E669)*(ROW(Q$2:Q$1073)&lt;&gt;ROW(Q669))*(Q$2:Q$1073&lt;&gt;""))),"")</f>
        <v>0.28994951624266957</v>
      </c>
      <c r="Z669" cm="1">
        <f t="array" ref="Z669">IFERROR(AVERAGE(_xlfn._xlws.FILTER(R$2:R$1073,($C$2:$C$1073=$C669)*($E$2:$E$1073=$E669)*(ROW(R$2:R$1073)&lt;&gt;ROW(R669))*(R$2:R$1073&lt;&gt;""))),"")</f>
        <v>8.5517195784799244E-2</v>
      </c>
      <c r="AA669" cm="1">
        <f t="array" ref="AA669">IFERROR(AVERAGE(_xlfn._xlws.FILTER(S$2:S$1073,($C$2:$C$1073=$C669)*($E$2:$E$1073=$E669)*(ROW(S$2:S$1073)&lt;&gt;ROW(S669))*(S$2:S$1073&lt;&gt;""))),"")</f>
        <v>-8.9932559622525012</v>
      </c>
      <c r="AB669" cm="1">
        <f t="array" ref="AB669">IFERROR(AVERAGE(_xlfn._xlws.FILTER(T$2:T$1073,($C$2:$C$1073=$C669)*($E$2:$E$1073=$E669)*(ROW(T$2:T$1073)&lt;&gt;ROW(T669))*(T$2:T$1073&lt;&gt;""))),"")</f>
        <v>3.4958573241250623E-2</v>
      </c>
      <c r="AC669" cm="1">
        <f t="array" ref="AC669">IFERROR(AVERAGE(_xlfn._xlws.FILTER(U$2:U$1073,($C$2:$C$1073=$C669)*($E$2:$E$1073=$E669)*(ROW(U$2:U$1073)&lt;&gt;ROW(U669))*(U$2:U$1073&lt;&gt;""))),"")</f>
        <v>34.444280572958768</v>
      </c>
      <c r="AD669" cm="1">
        <f t="array" ref="AD669">IFERROR(AVERAGE(_xlfn._xlws.FILTER(V$2:V$1073,($C$2:$C$1073=$C669)*($E$2:$E$1073=$E669)*(ROW(V$2:V$1073)&lt;&gt;ROW(V669))*(V$2:V$1073&lt;&gt;""))),"")</f>
        <v>0.67440993714043496</v>
      </c>
      <c r="AE669">
        <f>IF('Дивиденды по годам'!M669&lt;0,1,0)</f>
        <v>0</v>
      </c>
    </row>
    <row r="670" spans="1:31" x14ac:dyDescent="0.2">
      <c r="A670" s="8" t="s">
        <v>2320</v>
      </c>
      <c r="B670" t="str">
        <f t="shared" si="110"/>
        <v>RAGR IV кв. 2013</v>
      </c>
      <c r="C670" s="8">
        <v>2013</v>
      </c>
      <c r="D670">
        <f>SUMIFS(Дивиденды!$C:$C,Дивиденды!$A:$A,A670,Дивиденды!$I:$I,C670)</f>
        <v>0</v>
      </c>
      <c r="E670">
        <v>4</v>
      </c>
      <c r="F670">
        <f t="shared" si="111"/>
        <v>0</v>
      </c>
      <c r="G670">
        <f t="shared" si="112"/>
        <v>13.409285714285716</v>
      </c>
      <c r="H670">
        <f t="shared" si="113"/>
        <v>0</v>
      </c>
      <c r="I670">
        <f t="shared" si="114"/>
        <v>0.14285714285714285</v>
      </c>
      <c r="J670">
        <f t="shared" si="115"/>
        <v>0</v>
      </c>
      <c r="K670">
        <f t="shared" si="120"/>
        <v>4.7291245939064024E-2</v>
      </c>
      <c r="L670">
        <f t="shared" si="116"/>
        <v>0</v>
      </c>
      <c r="M670">
        <f t="shared" si="117"/>
        <v>7.1428571428571425E-2</v>
      </c>
      <c r="N670">
        <f t="shared" si="118"/>
        <v>0</v>
      </c>
      <c r="O670">
        <f t="shared" si="119"/>
        <v>0</v>
      </c>
      <c r="P670" t="str">
        <f>IFERROR(LN('Дивиденды по годам'!I670),"")</f>
        <v/>
      </c>
      <c r="Q670" t="str">
        <f>IFERROR('Дивиденды по годам'!G670/'Дивиденды по годам'!I670, "")</f>
        <v/>
      </c>
      <c r="R670" t="str">
        <f>IFERROR(IF(AND('Дивиденды по годам'!N670&lt;&gt;"",'Дивиденды по годам'!U670&lt;&gt;"",'Дивиденды по годам'!U670&lt;&gt;0),'Дивиденды по годам'!N670/'Дивиденды по годам'!U670-1,""),"")</f>
        <v/>
      </c>
      <c r="S670" t="str">
        <f>IFERROR(IF(AND('Дивиденды по годам'!L670&lt;&gt;"",'Дивиденды по годам'!I670&lt;&gt;"",'Дивиденды по годам'!J670&lt;&gt;"",'Дивиденды по годам'!K670&lt;&gt;"",('Дивиденды по годам'!I670-'Дивиденды по годам'!J670-'Дивиденды по годам'!K670)&lt;&gt;0),'Дивиденды по годам'!L670/('Дивиденды по годам'!I670-'Дивиденды по годам'!J670-'Дивиденды по годам'!K670),""),"")</f>
        <v/>
      </c>
      <c r="T670" t="str">
        <f>IFERROR(IF(AND('Дивиденды по годам'!Q670&lt;&gt;"",'Дивиденды по годам'!I670&lt;&gt;"",'Дивиденды по годам'!V670&lt;&gt;"",('Дивиденды по годам'!I670+'Дивиденды по годам'!V670)&lt;&gt;0),'Дивиденды по годам'!Q670/(('Дивиденды по годам'!I670+'Дивиденды по годам'!V670)/2),""),"")</f>
        <v/>
      </c>
      <c r="U670" t="str">
        <f>IFERROR(IF(AND('Дивиденды по годам'!J670&lt;&gt;"",'Дивиденды по годам'!K670&lt;&gt;"",'Дивиденды по годам'!M670&lt;&gt;"",'Дивиденды по годам'!M670&lt;&gt;0),('Дивиденды по годам'!J670+'Дивиденды по годам'!K670)/'Дивиденды по годам'!M670,""),"")</f>
        <v/>
      </c>
      <c r="V670" t="str">
        <f>IFERROR(IF(AND('Дивиденды по годам'!J670&lt;&gt;"",'Дивиденды по годам'!K670&lt;&gt;"",'Дивиденды по годам'!M670&lt;&gt;"",'Дивиденды по годам'!I670&lt;&gt;0),('Дивиденды по годам'!J670+'Дивиденды по годам'!K670)/'Дивиденды по годам'!I670,""),"")</f>
        <v/>
      </c>
      <c r="W670" t="str">
        <f>IFERROR('Дивиденды по годам'!I670,"")</f>
        <v/>
      </c>
      <c r="X670" cm="1">
        <f t="array" ref="X670">IFERROR(AVERAGE(_xlfn._xlws.FILTER(P$2:P$1073,($C$2:$C$1073=$C670)*($E$2:$E$1073=$E670)*(ROW(P$2:P$1073)&lt;&gt;ROW(P670))*(P$2:P$1073&lt;&gt;""))),"")</f>
        <v>24.281308125321722</v>
      </c>
      <c r="Y670" cm="1">
        <f t="array" ref="Y670">IFERROR(AVERAGE(_xlfn._xlws.FILTER(Q$2:Q$1073,($C$2:$C$1073=$C670)*($E$2:$E$1073=$E670)*(ROW(Q$2:Q$1073)&lt;&gt;ROW(Q670))*(Q$2:Q$1073&lt;&gt;""))),"")</f>
        <v>0.34809372453666254</v>
      </c>
      <c r="Z670" cm="1">
        <f t="array" ref="Z670">IFERROR(AVERAGE(_xlfn._xlws.FILTER(R$2:R$1073,($C$2:$C$1073=$C670)*($E$2:$E$1073=$E670)*(ROW(R$2:R$1073)&lt;&gt;ROW(R670))*(R$2:R$1073&lt;&gt;""))),"")</f>
        <v>0.17531341667142472</v>
      </c>
      <c r="AA670" t="str" cm="1">
        <f t="array" ref="AA670">IFERROR(AVERAGE(_xlfn._xlws.FILTER(S$2:S$1073,($C$2:$C$1073=$C670)*($E$2:$E$1073=$E670)*(ROW(S$2:S$1073)&lt;&gt;ROW(S670))*(S$2:S$1073&lt;&gt;""))),"")</f>
        <v/>
      </c>
      <c r="AB670" cm="1">
        <f t="array" ref="AB670">IFERROR(AVERAGE(_xlfn._xlws.FILTER(T$2:T$1073,($C$2:$C$1073=$C670)*($E$2:$E$1073=$E670)*(ROW(T$2:T$1073)&lt;&gt;ROW(T670))*(T$2:T$1073&lt;&gt;""))),"")</f>
        <v>-0.12490141563278262</v>
      </c>
      <c r="AC670" cm="1">
        <f t="array" ref="AC670">IFERROR(AVERAGE(_xlfn._xlws.FILTER(U$2:U$1073,($C$2:$C$1073=$C670)*($E$2:$E$1073=$E670)*(ROW(U$2:U$1073)&lt;&gt;ROW(U670))*(U$2:U$1073&lt;&gt;""))),"")</f>
        <v>0.44566877182826042</v>
      </c>
      <c r="AD670" cm="1">
        <f t="array" ref="AD670">IFERROR(AVERAGE(_xlfn._xlws.FILTER(V$2:V$1073,($C$2:$C$1073=$C670)*($E$2:$E$1073=$E670)*(ROW(V$2:V$1073)&lt;&gt;ROW(V670))*(V$2:V$1073&lt;&gt;""))),"")</f>
        <v>1.3322699308491581</v>
      </c>
      <c r="AE670">
        <f>IF('Дивиденды по годам'!M670&lt;0,1,0)</f>
        <v>0</v>
      </c>
    </row>
    <row r="671" spans="1:31" x14ac:dyDescent="0.2">
      <c r="A671" s="8" t="s">
        <v>2320</v>
      </c>
      <c r="B671" t="str">
        <f t="shared" si="110"/>
        <v>RAGR IV кв. 2012</v>
      </c>
      <c r="C671" s="8">
        <v>2012</v>
      </c>
      <c r="D671">
        <f>SUMIFS(Дивиденды!$C:$C,Дивиденды!$A:$A,A671,Дивиденды!$I:$I,C671)</f>
        <v>0</v>
      </c>
      <c r="E671">
        <v>4</v>
      </c>
      <c r="F671">
        <f t="shared" si="111"/>
        <v>0</v>
      </c>
      <c r="G671">
        <f t="shared" si="112"/>
        <v>9.5621428571428577</v>
      </c>
      <c r="H671">
        <f t="shared" si="113"/>
        <v>0</v>
      </c>
      <c r="I671">
        <f t="shared" si="114"/>
        <v>0.14285714285714285</v>
      </c>
      <c r="J671">
        <f t="shared" si="115"/>
        <v>0</v>
      </c>
      <c r="K671">
        <f t="shared" si="120"/>
        <v>0.25341100242975517</v>
      </c>
      <c r="L671">
        <f t="shared" si="116"/>
        <v>0</v>
      </c>
      <c r="M671">
        <f t="shared" si="117"/>
        <v>0.14285714285714285</v>
      </c>
      <c r="N671">
        <f t="shared" si="118"/>
        <v>0</v>
      </c>
      <c r="O671">
        <f t="shared" si="119"/>
        <v>0</v>
      </c>
      <c r="P671" t="str">
        <f>IFERROR(LN('Дивиденды по годам'!I671),"")</f>
        <v/>
      </c>
      <c r="Q671" t="str">
        <f>IFERROR('Дивиденды по годам'!G671/'Дивиденды по годам'!I671, "")</f>
        <v/>
      </c>
      <c r="R671" t="str">
        <f>IFERROR(IF(AND('Дивиденды по годам'!N671&lt;&gt;"",'Дивиденды по годам'!U671&lt;&gt;"",'Дивиденды по годам'!U671&lt;&gt;0),'Дивиденды по годам'!N671/'Дивиденды по годам'!U671-1,""),"")</f>
        <v/>
      </c>
      <c r="S671" t="str">
        <f>IFERROR(IF(AND('Дивиденды по годам'!L671&lt;&gt;"",'Дивиденды по годам'!I671&lt;&gt;"",'Дивиденды по годам'!J671&lt;&gt;"",'Дивиденды по годам'!K671&lt;&gt;"",('Дивиденды по годам'!I671-'Дивиденды по годам'!J671-'Дивиденды по годам'!K671)&lt;&gt;0),'Дивиденды по годам'!L671/('Дивиденды по годам'!I671-'Дивиденды по годам'!J671-'Дивиденды по годам'!K671),""),"")</f>
        <v/>
      </c>
      <c r="T671" t="str">
        <f>IFERROR(IF(AND('Дивиденды по годам'!Q671&lt;&gt;"",'Дивиденды по годам'!I671&lt;&gt;"",'Дивиденды по годам'!V671&lt;&gt;"",('Дивиденды по годам'!I671+'Дивиденды по годам'!V671)&lt;&gt;0),'Дивиденды по годам'!Q671/(('Дивиденды по годам'!I671+'Дивиденды по годам'!V671)/2),""),"")</f>
        <v/>
      </c>
      <c r="U671" t="str">
        <f>IFERROR(IF(AND('Дивиденды по годам'!J671&lt;&gt;"",'Дивиденды по годам'!K671&lt;&gt;"",'Дивиденды по годам'!M671&lt;&gt;"",'Дивиденды по годам'!M671&lt;&gt;0),('Дивиденды по годам'!J671+'Дивиденды по годам'!K671)/'Дивиденды по годам'!M671,""),"")</f>
        <v/>
      </c>
      <c r="V671" t="str">
        <f>IFERROR(IF(AND('Дивиденды по годам'!J671&lt;&gt;"",'Дивиденды по годам'!K671&lt;&gt;"",'Дивиденды по годам'!M671&lt;&gt;"",'Дивиденды по годам'!I671&lt;&gt;0),('Дивиденды по годам'!J671+'Дивиденды по годам'!K671)/'Дивиденды по годам'!I671,""),"")</f>
        <v/>
      </c>
      <c r="W671" t="str">
        <f>IFERROR('Дивиденды по годам'!I671,"")</f>
        <v/>
      </c>
      <c r="X671" cm="1">
        <f t="array" ref="X671">IFERROR(AVERAGE(_xlfn._xlws.FILTER(P$2:P$1073,($C$2:$C$1073=$C671)*($E$2:$E$1073=$E671)*(ROW(P$2:P$1073)&lt;&gt;ROW(P671))*(P$2:P$1073&lt;&gt;""))),"")</f>
        <v>24.228370506718147</v>
      </c>
      <c r="Y671" cm="1">
        <f t="array" ref="Y671">IFERROR(AVERAGE(_xlfn._xlws.FILTER(Q$2:Q$1073,($C$2:$C$1073=$C671)*($E$2:$E$1073=$E671)*(ROW(Q$2:Q$1073)&lt;&gt;ROW(Q671))*(Q$2:Q$1073&lt;&gt;""))),"")</f>
        <v>0.2820560824162458</v>
      </c>
      <c r="Z671" cm="1">
        <f t="array" ref="Z671">IFERROR(AVERAGE(_xlfn._xlws.FILTER(R$2:R$1073,($C$2:$C$1073=$C671)*($E$2:$E$1073=$E671)*(ROW(R$2:R$1073)&lt;&gt;ROW(R671))*(R$2:R$1073&lt;&gt;""))),"")</f>
        <v>-2.2522357472477484E-2</v>
      </c>
      <c r="AA671" cm="1">
        <f t="array" ref="AA671">IFERROR(AVERAGE(_xlfn._xlws.FILTER(S$2:S$1073,($C$2:$C$1073=$C671)*($E$2:$E$1073=$E671)*(ROW(S$2:S$1073)&lt;&gt;ROW(S671))*(S$2:S$1073&lt;&gt;""))),"")</f>
        <v>-1.7651061513336963</v>
      </c>
      <c r="AB671" cm="1">
        <f t="array" ref="AB671">IFERROR(AVERAGE(_xlfn._xlws.FILTER(T$2:T$1073,($C$2:$C$1073=$C671)*($E$2:$E$1073=$E671)*(ROW(T$2:T$1073)&lt;&gt;ROW(T671))*(T$2:T$1073&lt;&gt;""))),"")</f>
        <v>6.8400459116201365E-2</v>
      </c>
      <c r="AC671" cm="1">
        <f t="array" ref="AC671">IFERROR(AVERAGE(_xlfn._xlws.FILTER(U$2:U$1073,($C$2:$C$1073=$C671)*($E$2:$E$1073=$E671)*(ROW(U$2:U$1073)&lt;&gt;ROW(U671))*(U$2:U$1073&lt;&gt;""))),"")</f>
        <v>-3.9631898894189463</v>
      </c>
      <c r="AD671" cm="1">
        <f t="array" ref="AD671">IFERROR(AVERAGE(_xlfn._xlws.FILTER(V$2:V$1073,($C$2:$C$1073=$C671)*($E$2:$E$1073=$E671)*(ROW(V$2:V$1073)&lt;&gt;ROW(V671))*(V$2:V$1073&lt;&gt;""))),"")</f>
        <v>0.68524798816116717</v>
      </c>
      <c r="AE671">
        <f>IF('Дивиденды по годам'!M671&lt;0,1,0)</f>
        <v>0</v>
      </c>
    </row>
    <row r="672" spans="1:31" x14ac:dyDescent="0.2">
      <c r="A672" s="8" t="s">
        <v>2320</v>
      </c>
      <c r="B672" t="str">
        <f t="shared" si="110"/>
        <v>RAGR IV кв. 2011</v>
      </c>
      <c r="C672" s="8">
        <v>2011</v>
      </c>
      <c r="D672">
        <f>SUMIFS(Дивиденды!$C:$C,Дивиденды!$A:$A,A672,Дивиденды!$I:$I,C672)</f>
        <v>0</v>
      </c>
      <c r="E672">
        <v>4</v>
      </c>
      <c r="F672">
        <f t="shared" si="111"/>
        <v>0</v>
      </c>
      <c r="G672">
        <f t="shared" si="112"/>
        <v>1.6378571428571429</v>
      </c>
      <c r="H672">
        <f t="shared" si="113"/>
        <v>0</v>
      </c>
      <c r="I672">
        <f t="shared" si="114"/>
        <v>7.1428571428571425E-2</v>
      </c>
      <c r="J672">
        <f t="shared" si="115"/>
        <v>0</v>
      </c>
      <c r="K672">
        <f t="shared" si="120"/>
        <v>0.17786475320721892</v>
      </c>
      <c r="L672">
        <f t="shared" si="116"/>
        <v>0</v>
      </c>
      <c r="M672">
        <f t="shared" si="117"/>
        <v>7.1428571428571425E-2</v>
      </c>
      <c r="N672">
        <f t="shared" si="118"/>
        <v>0</v>
      </c>
      <c r="O672">
        <f t="shared" si="119"/>
        <v>0</v>
      </c>
      <c r="P672" t="str">
        <f>IFERROR(LN('Дивиденды по годам'!I672),"")</f>
        <v/>
      </c>
      <c r="Q672" t="str">
        <f>IFERROR('Дивиденды по годам'!G672/'Дивиденды по годам'!I672, "")</f>
        <v/>
      </c>
      <c r="R672" t="str">
        <f>IFERROR(IF(AND('Дивиденды по годам'!N672&lt;&gt;"",'Дивиденды по годам'!U672&lt;&gt;"",'Дивиденды по годам'!U672&lt;&gt;0),'Дивиденды по годам'!N672/'Дивиденды по годам'!U672-1,""),"")</f>
        <v/>
      </c>
      <c r="S672" t="str">
        <f>IFERROR(IF(AND('Дивиденды по годам'!L672&lt;&gt;"",'Дивиденды по годам'!I672&lt;&gt;"",'Дивиденды по годам'!J672&lt;&gt;"",'Дивиденды по годам'!K672&lt;&gt;"",('Дивиденды по годам'!I672-'Дивиденды по годам'!J672-'Дивиденды по годам'!K672)&lt;&gt;0),'Дивиденды по годам'!L672/('Дивиденды по годам'!I672-'Дивиденды по годам'!J672-'Дивиденды по годам'!K672),""),"")</f>
        <v/>
      </c>
      <c r="T672" t="str">
        <f>IFERROR(IF(AND('Дивиденды по годам'!Q672&lt;&gt;"",'Дивиденды по годам'!I672&lt;&gt;"",'Дивиденды по годам'!V672&lt;&gt;"",('Дивиденды по годам'!I672+'Дивиденды по годам'!V672)&lt;&gt;0),'Дивиденды по годам'!Q672/(('Дивиденды по годам'!I672+'Дивиденды по годам'!V672)/2),""),"")</f>
        <v/>
      </c>
      <c r="U672" t="str">
        <f>IFERROR(IF(AND('Дивиденды по годам'!J672&lt;&gt;"",'Дивиденды по годам'!K672&lt;&gt;"",'Дивиденды по годам'!M672&lt;&gt;"",'Дивиденды по годам'!M672&lt;&gt;0),('Дивиденды по годам'!J672+'Дивиденды по годам'!K672)/'Дивиденды по годам'!M672,""),"")</f>
        <v/>
      </c>
      <c r="V672" t="str">
        <f>IFERROR(IF(AND('Дивиденды по годам'!J672&lt;&gt;"",'Дивиденды по годам'!K672&lt;&gt;"",'Дивиденды по годам'!M672&lt;&gt;"",'Дивиденды по годам'!I672&lt;&gt;0),('Дивиденды по годам'!J672+'Дивиденды по годам'!K672)/'Дивиденды по годам'!I672,""),"")</f>
        <v/>
      </c>
      <c r="W672" t="str">
        <f>IFERROR('Дивиденды по годам'!I672,"")</f>
        <v/>
      </c>
      <c r="X672" cm="1">
        <f t="array" ref="X672">IFERROR(AVERAGE(_xlfn._xlws.FILTER(P$2:P$1073,($C$2:$C$1073=$C672)*($E$2:$E$1073=$E672)*(ROW(P$2:P$1073)&lt;&gt;ROW(P672))*(P$2:P$1073&lt;&gt;""))),"")</f>
        <v>24.180789108496477</v>
      </c>
      <c r="Y672" cm="1">
        <f t="array" ref="Y672">IFERROR(AVERAGE(_xlfn._xlws.FILTER(Q$2:Q$1073,($C$2:$C$1073=$C672)*($E$2:$E$1073=$E672)*(ROW(Q$2:Q$1073)&lt;&gt;ROW(Q672))*(Q$2:Q$1073&lt;&gt;""))),"")</f>
        <v>0.29604752502083465</v>
      </c>
      <c r="Z672" cm="1">
        <f t="array" ref="Z672">IFERROR(AVERAGE(_xlfn._xlws.FILTER(R$2:R$1073,($C$2:$C$1073=$C672)*($E$2:$E$1073=$E672)*(ROW(R$2:R$1073)&lt;&gt;ROW(R672))*(R$2:R$1073&lt;&gt;""))),"")</f>
        <v>5.9511017560386792E-2</v>
      </c>
      <c r="AA672" t="str" cm="1">
        <f t="array" ref="AA672">IFERROR(AVERAGE(_xlfn._xlws.FILTER(S$2:S$1073,($C$2:$C$1073=$C672)*($E$2:$E$1073=$E672)*(ROW(S$2:S$1073)&lt;&gt;ROW(S672))*(S$2:S$1073&lt;&gt;""))),"")</f>
        <v/>
      </c>
      <c r="AB672" cm="1">
        <f t="array" ref="AB672">IFERROR(AVERAGE(_xlfn._xlws.FILTER(T$2:T$1073,($C$2:$C$1073=$C672)*($E$2:$E$1073=$E672)*(ROW(T$2:T$1073)&lt;&gt;ROW(T672))*(T$2:T$1073&lt;&gt;""))),"")</f>
        <v>-1.4171101286470289E-2</v>
      </c>
      <c r="AC672" cm="1">
        <f t="array" ref="AC672">IFERROR(AVERAGE(_xlfn._xlws.FILTER(U$2:U$1073,($C$2:$C$1073=$C672)*($E$2:$E$1073=$E672)*(ROW(U$2:U$1073)&lt;&gt;ROW(U672))*(U$2:U$1073&lt;&gt;""))),"")</f>
        <v>2.1854574410792247</v>
      </c>
      <c r="AD672" cm="1">
        <f t="array" ref="AD672">IFERROR(AVERAGE(_xlfn._xlws.FILTER(V$2:V$1073,($C$2:$C$1073=$C672)*($E$2:$E$1073=$E672)*(ROW(V$2:V$1073)&lt;&gt;ROW(V672))*(V$2:V$1073&lt;&gt;""))),"")</f>
        <v>0.62219289426739133</v>
      </c>
      <c r="AE672">
        <f>IF('Дивиденды по годам'!M672&lt;0,1,0)</f>
        <v>0</v>
      </c>
    </row>
    <row r="673" spans="1:31" x14ac:dyDescent="0.2">
      <c r="A673" s="8" t="s">
        <v>2320</v>
      </c>
      <c r="B673" t="str">
        <f t="shared" si="110"/>
        <v>RAGR IV кв. 2010</v>
      </c>
      <c r="C673" s="8">
        <v>2010</v>
      </c>
      <c r="D673">
        <f>SUMIFS(Дивиденды!$C:$C,Дивиденды!$A:$A,A673,Дивиденды!$I:$I,C673)</f>
        <v>0</v>
      </c>
      <c r="E673">
        <v>4</v>
      </c>
      <c r="F673">
        <f t="shared" si="111"/>
        <v>0</v>
      </c>
      <c r="G673">
        <f t="shared" si="112"/>
        <v>0.46928571428571431</v>
      </c>
      <c r="H673">
        <f t="shared" si="113"/>
        <v>0</v>
      </c>
      <c r="I673">
        <f t="shared" si="114"/>
        <v>7.1428571428571425E-2</v>
      </c>
      <c r="J673" t="str">
        <f t="shared" si="115"/>
        <v/>
      </c>
      <c r="K673" t="str">
        <f t="shared" si="120"/>
        <v/>
      </c>
      <c r="L673" t="str">
        <f t="shared" si="116"/>
        <v/>
      </c>
      <c r="M673" t="str">
        <f t="shared" si="117"/>
        <v/>
      </c>
      <c r="N673" t="str">
        <f t="shared" si="118"/>
        <v/>
      </c>
      <c r="O673" t="str">
        <f t="shared" si="119"/>
        <v/>
      </c>
      <c r="P673" t="str">
        <f>IFERROR(LN('Дивиденды по годам'!I673),"")</f>
        <v/>
      </c>
      <c r="Q673" t="str">
        <f>IFERROR('Дивиденды по годам'!G673/'Дивиденды по годам'!I673, "")</f>
        <v/>
      </c>
      <c r="R673" t="str">
        <f>IFERROR(IF(AND('Дивиденды по годам'!N673&lt;&gt;"",'Дивиденды по годам'!U673&lt;&gt;"",'Дивиденды по годам'!U673&lt;&gt;0),'Дивиденды по годам'!N673/'Дивиденды по годам'!U673-1,""),"")</f>
        <v/>
      </c>
      <c r="S673" t="str">
        <f>IFERROR(IF(AND('Дивиденды по годам'!L673&lt;&gt;"",'Дивиденды по годам'!I673&lt;&gt;"",'Дивиденды по годам'!J673&lt;&gt;"",'Дивиденды по годам'!K673&lt;&gt;"",('Дивиденды по годам'!I673-'Дивиденды по годам'!J673-'Дивиденды по годам'!K673)&lt;&gt;0),'Дивиденды по годам'!L673/('Дивиденды по годам'!I673-'Дивиденды по годам'!J673-'Дивиденды по годам'!K673),""),"")</f>
        <v/>
      </c>
      <c r="T673" t="str">
        <f>IFERROR(IF(AND('Дивиденды по годам'!Q673&lt;&gt;"",'Дивиденды по годам'!I673&lt;&gt;"",'Дивиденды по годам'!V673&lt;&gt;"",('Дивиденды по годам'!I673+'Дивиденды по годам'!V673)&lt;&gt;0),'Дивиденды по годам'!Q673/(('Дивиденды по годам'!I673+'Дивиденды по годам'!V673)/2),""),"")</f>
        <v/>
      </c>
      <c r="U673" t="str">
        <f>IFERROR(IF(AND('Дивиденды по годам'!J673&lt;&gt;"",'Дивиденды по годам'!K673&lt;&gt;"",'Дивиденды по годам'!M673&lt;&gt;"",'Дивиденды по годам'!M673&lt;&gt;0),('Дивиденды по годам'!J673+'Дивиденды по годам'!K673)/'Дивиденды по годам'!M673,""),"")</f>
        <v/>
      </c>
      <c r="V673" t="str">
        <f>IFERROR(IF(AND('Дивиденды по годам'!J673&lt;&gt;"",'Дивиденды по годам'!K673&lt;&gt;"",'Дивиденды по годам'!M673&lt;&gt;"",'Дивиденды по годам'!I673&lt;&gt;0),('Дивиденды по годам'!J673+'Дивиденды по годам'!K673)/'Дивиденды по годам'!I673,""),"")</f>
        <v/>
      </c>
      <c r="W673" t="str">
        <f>IFERROR('Дивиденды по годам'!I673,"")</f>
        <v/>
      </c>
      <c r="X673" cm="1">
        <f t="array" ref="X673">IFERROR(AVERAGE(_xlfn._xlws.FILTER(P$2:P$1073,($C$2:$C$1073=$C673)*($E$2:$E$1073=$E673)*(ROW(P$2:P$1073)&lt;&gt;ROW(P673))*(P$2:P$1073&lt;&gt;""))),"")</f>
        <v>23.656010386255485</v>
      </c>
      <c r="Y673" cm="1">
        <f t="array" ref="Y673">IFERROR(AVERAGE(_xlfn._xlws.FILTER(Q$2:Q$1073,($C$2:$C$1073=$C673)*($E$2:$E$1073=$E673)*(ROW(Q$2:Q$1073)&lt;&gt;ROW(Q673))*(Q$2:Q$1073&lt;&gt;""))),"")</f>
        <v>0.15222241747474585</v>
      </c>
      <c r="Z673" t="str" cm="1">
        <f t="array" ref="Z673">IFERROR(AVERAGE(_xlfn._xlws.FILTER(R$2:R$1073,($C$2:$C$1073=$C673)*($E$2:$E$1073=$E673)*(ROW(R$2:R$1073)&lt;&gt;ROW(R673))*(R$2:R$1073&lt;&gt;""))),"")</f>
        <v/>
      </c>
      <c r="AA673" t="str" cm="1">
        <f t="array" ref="AA673">IFERROR(AVERAGE(_xlfn._xlws.FILTER(S$2:S$1073,($C$2:$C$1073=$C673)*($E$2:$E$1073=$E673)*(ROW(S$2:S$1073)&lt;&gt;ROW(S673))*(S$2:S$1073&lt;&gt;""))),"")</f>
        <v/>
      </c>
      <c r="AB673" t="str" cm="1">
        <f t="array" ref="AB673">IFERROR(AVERAGE(_xlfn._xlws.FILTER(T$2:T$1073,($C$2:$C$1073=$C673)*($E$2:$E$1073=$E673)*(ROW(T$2:T$1073)&lt;&gt;ROW(T673))*(T$2:T$1073&lt;&gt;""))),"")</f>
        <v/>
      </c>
      <c r="AC673" cm="1">
        <f t="array" ref="AC673">IFERROR(AVERAGE(_xlfn._xlws.FILTER(U$2:U$1073,($C$2:$C$1073=$C673)*($E$2:$E$1073=$E673)*(ROW(U$2:U$1073)&lt;&gt;ROW(U673))*(U$2:U$1073&lt;&gt;""))),"")</f>
        <v>2.8988498110700496</v>
      </c>
      <c r="AD673" cm="1">
        <f t="array" ref="AD673">IFERROR(AVERAGE(_xlfn._xlws.FILTER(V$2:V$1073,($C$2:$C$1073=$C673)*($E$2:$E$1073=$E673)*(ROW(V$2:V$1073)&lt;&gt;ROW(V673))*(V$2:V$1073&lt;&gt;""))),"")</f>
        <v>0.74351805997092513</v>
      </c>
      <c r="AE673">
        <f>IF('Дивиденды по годам'!M673&lt;0,1,0)</f>
        <v>0</v>
      </c>
    </row>
    <row r="674" spans="1:31" x14ac:dyDescent="0.2">
      <c r="A674" s="7" t="s">
        <v>2261</v>
      </c>
      <c r="B674" t="str">
        <f t="shared" si="110"/>
        <v>SVAV IV кв. 2025</v>
      </c>
      <c r="C674">
        <v>2025</v>
      </c>
      <c r="D674">
        <f>SUMIFS(Дивиденды!$C:$C,Дивиденды!$A:$A,A674,Дивиденды!$I:$I,C674)</f>
        <v>0</v>
      </c>
      <c r="E674">
        <v>4</v>
      </c>
      <c r="F674">
        <f t="shared" si="111"/>
        <v>0</v>
      </c>
      <c r="G674">
        <f t="shared" si="112"/>
        <v>31.581428571428571</v>
      </c>
      <c r="H674">
        <f t="shared" si="113"/>
        <v>0</v>
      </c>
      <c r="I674">
        <f t="shared" si="114"/>
        <v>0.42857142857142855</v>
      </c>
      <c r="J674">
        <f t="shared" si="115"/>
        <v>-1</v>
      </c>
      <c r="K674">
        <f t="shared" si="120"/>
        <v>-0.11109777181212487</v>
      </c>
      <c r="L674">
        <f t="shared" si="116"/>
        <v>0</v>
      </c>
      <c r="M674">
        <f t="shared" si="117"/>
        <v>0.14285714285714285</v>
      </c>
      <c r="N674">
        <f t="shared" si="118"/>
        <v>1</v>
      </c>
      <c r="O674">
        <f t="shared" si="119"/>
        <v>0.42857142857142855</v>
      </c>
      <c r="P674" t="str">
        <f>IFERROR(LN('Дивиденды по годам'!I674),"")</f>
        <v/>
      </c>
      <c r="Q674" t="str">
        <f>IFERROR('Дивиденды по годам'!G674/'Дивиденды по годам'!I674, "")</f>
        <v/>
      </c>
      <c r="R674" t="str">
        <f>IFERROR(IF(AND('Дивиденды по годам'!N674&lt;&gt;"",'Дивиденды по годам'!U674&lt;&gt;"",'Дивиденды по годам'!U674&lt;&gt;0),'Дивиденды по годам'!N674/'Дивиденды по годам'!U674-1,""),"")</f>
        <v/>
      </c>
      <c r="S674" t="str">
        <f>IFERROR(IF(AND('Дивиденды по годам'!L674&lt;&gt;"",'Дивиденды по годам'!I674&lt;&gt;"",'Дивиденды по годам'!J674&lt;&gt;"",'Дивиденды по годам'!K674&lt;&gt;"",('Дивиденды по годам'!I674-'Дивиденды по годам'!J674-'Дивиденды по годам'!K674)&lt;&gt;0),'Дивиденды по годам'!L674/('Дивиденды по годам'!I674-'Дивиденды по годам'!J674-'Дивиденды по годам'!K674),""),"")</f>
        <v/>
      </c>
      <c r="T674" t="str">
        <f>IFERROR(IF(AND('Дивиденды по годам'!Q674&lt;&gt;"",'Дивиденды по годам'!I674&lt;&gt;"",'Дивиденды по годам'!V674&lt;&gt;"",('Дивиденды по годам'!I674+'Дивиденды по годам'!V674)&lt;&gt;0),'Дивиденды по годам'!Q674/(('Дивиденды по годам'!I674+'Дивиденды по годам'!V674)/2),""),"")</f>
        <v/>
      </c>
      <c r="U674" t="str">
        <f>IFERROR(IF(AND('Дивиденды по годам'!J674&lt;&gt;"",'Дивиденды по годам'!K674&lt;&gt;"",'Дивиденды по годам'!M674&lt;&gt;"",'Дивиденды по годам'!M674&lt;&gt;0),('Дивиденды по годам'!J674+'Дивиденды по годам'!K674)/'Дивиденды по годам'!M674,""),"")</f>
        <v/>
      </c>
      <c r="V674" t="str">
        <f>IFERROR(IF(AND('Дивиденды по годам'!J674&lt;&gt;"",'Дивиденды по годам'!K674&lt;&gt;"",'Дивиденды по годам'!M674&lt;&gt;"",'Дивиденды по годам'!I674&lt;&gt;0),('Дивиденды по годам'!J674+'Дивиденды по годам'!K674)/'Дивиденды по годам'!I674,""),"")</f>
        <v/>
      </c>
      <c r="W674" t="str">
        <f>IFERROR('Дивиденды по годам'!I674,"")</f>
        <v/>
      </c>
      <c r="X674" cm="1">
        <f t="array" ref="X674">IFERROR(AVERAGE(_xlfn._xlws.FILTER(P$2:P$1073,($C$2:$C$1073=$C674)*($E$2:$E$1073=$E674)*(ROW(P$2:P$1073)&lt;&gt;ROW(P674))*(P$2:P$1073&lt;&gt;""))),"")</f>
        <v>26.183512711155618</v>
      </c>
      <c r="Y674" cm="1">
        <f t="array" ref="Y674">IFERROR(AVERAGE(_xlfn._xlws.FILTER(Q$2:Q$1073,($C$2:$C$1073=$C674)*($E$2:$E$1073=$E674)*(ROW(Q$2:Q$1073)&lt;&gt;ROW(Q674))*(Q$2:Q$1073&lt;&gt;""))),"")</f>
        <v>0.42364014522274984</v>
      </c>
      <c r="Z674" cm="1">
        <f t="array" ref="Z674">IFERROR(AVERAGE(_xlfn._xlws.FILTER(R$2:R$1073,($C$2:$C$1073=$C674)*($E$2:$E$1073=$E674)*(ROW(R$2:R$1073)&lt;&gt;ROW(R674))*(R$2:R$1073&lt;&gt;""))),"")</f>
        <v>6.6096126428947105E-2</v>
      </c>
      <c r="AA674" cm="1">
        <f t="array" ref="AA674">IFERROR(AVERAGE(_xlfn._xlws.FILTER(S$2:S$1073,($C$2:$C$1073=$C674)*($E$2:$E$1073=$E674)*(ROW(S$2:S$1073)&lt;&gt;ROW(S674))*(S$2:S$1073&lt;&gt;""))),"")</f>
        <v>0.94174952343815033</v>
      </c>
      <c r="AB674" cm="1">
        <f t="array" ref="AB674">IFERROR(AVERAGE(_xlfn._xlws.FILTER(T$2:T$1073,($C$2:$C$1073=$C674)*($E$2:$E$1073=$E674)*(ROW(T$2:T$1073)&lt;&gt;ROW(T674))*(T$2:T$1073&lt;&gt;""))),"")</f>
        <v>1.3107153079830167E-2</v>
      </c>
      <c r="AC674" cm="1">
        <f t="array" ref="AC674">IFERROR(AVERAGE(_xlfn._xlws.FILTER(U$2:U$1073,($C$2:$C$1073=$C674)*($E$2:$E$1073=$E674)*(ROW(U$2:U$1073)&lt;&gt;ROW(U674))*(U$2:U$1073&lt;&gt;""))),"")</f>
        <v>6.2968354519658218</v>
      </c>
      <c r="AD674" cm="1">
        <f t="array" ref="AD674">IFERROR(AVERAGE(_xlfn._xlws.FILTER(V$2:V$1073,($C$2:$C$1073=$C674)*($E$2:$E$1073=$E674)*(ROW(V$2:V$1073)&lt;&gt;ROW(V674))*(V$2:V$1073&lt;&gt;""))),"")</f>
        <v>0.70931365831308468</v>
      </c>
      <c r="AE674">
        <f>IF('Дивиденды по годам'!M674&lt;0,1,0)</f>
        <v>0</v>
      </c>
    </row>
    <row r="675" spans="1:31" x14ac:dyDescent="0.2">
      <c r="A675" s="7" t="s">
        <v>2261</v>
      </c>
      <c r="B675" t="str">
        <f t="shared" si="110"/>
        <v>SVAV IV кв. 2024</v>
      </c>
      <c r="C675">
        <v>2024</v>
      </c>
      <c r="D675">
        <f>SUMIFS(Дивиденды!$C:$C,Дивиденды!$A:$A,A675,Дивиденды!$I:$I,C675)</f>
        <v>70</v>
      </c>
      <c r="E675">
        <v>4</v>
      </c>
      <c r="F675">
        <f t="shared" si="111"/>
        <v>70</v>
      </c>
      <c r="G675">
        <f t="shared" si="112"/>
        <v>57.511428571428574</v>
      </c>
      <c r="H675">
        <f t="shared" si="113"/>
        <v>1</v>
      </c>
      <c r="I675">
        <f t="shared" si="114"/>
        <v>0.5</v>
      </c>
      <c r="J675">
        <f t="shared" si="115"/>
        <v>-0.21348314606741572</v>
      </c>
      <c r="K675">
        <f t="shared" si="120"/>
        <v>0.22670454151115635</v>
      </c>
      <c r="L675">
        <f t="shared" si="116"/>
        <v>0</v>
      </c>
      <c r="M675">
        <f t="shared" si="117"/>
        <v>0.35714285714285715</v>
      </c>
      <c r="N675">
        <f t="shared" si="118"/>
        <v>1</v>
      </c>
      <c r="O675">
        <f t="shared" si="119"/>
        <v>0.21428571428571427</v>
      </c>
      <c r="P675">
        <f>IFERROR(LN('Дивиденды по годам'!I675),"")</f>
        <v>25.083034081405199</v>
      </c>
      <c r="Q675">
        <f>IFERROR('Дивиденды по годам'!G675/'Дивиденды по годам'!I675, "")</f>
        <v>0.27216605529211774</v>
      </c>
      <c r="R675">
        <f>IFERROR(IF(AND('Дивиденды по годам'!N675&lt;&gt;"",'Дивиденды по годам'!U675&lt;&gt;"",'Дивиденды по годам'!U675&lt;&gt;0),'Дивиденды по годам'!N675/'Дивиденды по годам'!U675-1,""),"")</f>
        <v>0.11510651484402534</v>
      </c>
      <c r="S675">
        <f>IFERROR(IF(AND('Дивиденды по годам'!L675&lt;&gt;"",'Дивиденды по годам'!I675&lt;&gt;"",'Дивиденды по годам'!J675&lt;&gt;"",'Дивиденды по годам'!K675&lt;&gt;"",('Дивиденды по годам'!I675-'Дивиденды по годам'!J675-'Дивиденды по годам'!K675)&lt;&gt;0),'Дивиденды по годам'!L675/('Дивиденды по годам'!I675-'Дивиденды по годам'!J675-'Дивиденды по годам'!K675),""),"")</f>
        <v>0.36833053355731543</v>
      </c>
      <c r="T675">
        <f>IFERROR(IF(AND('Дивиденды по годам'!Q675&lt;&gt;"",'Дивиденды по годам'!I675&lt;&gt;"",'Дивиденды по годам'!V675&lt;&gt;"",('Дивиденды по годам'!I675+'Дивиденды по годам'!V675)&lt;&gt;0),'Дивиденды по годам'!Q675/(('Дивиденды по годам'!I675+'Дивиденды по годам'!V675)/2),""),"")</f>
        <v>5.0157877057440375E-2</v>
      </c>
      <c r="U675">
        <f>IFERROR(IF(AND('Дивиденды по годам'!J675&lt;&gt;"",'Дивиденды по годам'!K675&lt;&gt;"",'Дивиденды по годам'!M675&lt;&gt;"",'Дивиденды по годам'!M675&lt;&gt;0),('Дивиденды по годам'!J675+'Дивиденды по годам'!K675)/'Дивиденды по годам'!M675,""),"")</f>
        <v>2.1293096552275816</v>
      </c>
      <c r="V675">
        <f>IFERROR(IF(AND('Дивиденды по годам'!J675&lt;&gt;"",'Дивиденды по годам'!K675&lt;&gt;"",'Дивиденды по годам'!M675&lt;&gt;"",'Дивиденды по годам'!I675&lt;&gt;0),('Дивиденды по годам'!J675+'Дивиденды по годам'!K675)/'Дивиденды по годам'!I675,""),"")</f>
        <v>0.68044070092920406</v>
      </c>
      <c r="W675">
        <f>IFERROR('Дивиденды по годам'!I675,"")</f>
        <v>78239000000</v>
      </c>
      <c r="X675" cm="1">
        <f t="array" ref="X675">IFERROR(AVERAGE(_xlfn._xlws.FILTER(P$2:P$1073,($C$2:$C$1073=$C675)*($E$2:$E$1073=$E675)*(ROW(P$2:P$1073)&lt;&gt;ROW(P675))*(P$2:P$1073&lt;&gt;""))),"")</f>
        <v>25.59921268759215</v>
      </c>
      <c r="Y675" cm="1">
        <f t="array" ref="Y675">IFERROR(AVERAGE(_xlfn._xlws.FILTER(Q$2:Q$1073,($C$2:$C$1073=$C675)*($E$2:$E$1073=$E675)*(ROW(Q$2:Q$1073)&lt;&gt;ROW(Q675))*(Q$2:Q$1073&lt;&gt;""))),"")</f>
        <v>0.2622643009291421</v>
      </c>
      <c r="Z675" cm="1">
        <f t="array" ref="Z675">IFERROR(AVERAGE(_xlfn._xlws.FILTER(R$2:R$1073,($C$2:$C$1073=$C675)*($E$2:$E$1073=$E675)*(ROW(R$2:R$1073)&lt;&gt;ROW(R675))*(R$2:R$1073&lt;&gt;""))),"")</f>
        <v>0.27620499762838213</v>
      </c>
      <c r="AA675" cm="1">
        <f t="array" ref="AA675">IFERROR(AVERAGE(_xlfn._xlws.FILTER(S$2:S$1073,($C$2:$C$1073=$C675)*($E$2:$E$1073=$E675)*(ROW(S$2:S$1073)&lt;&gt;ROW(S675))*(S$2:S$1073&lt;&gt;""))),"")</f>
        <v>1.2283914025000862</v>
      </c>
      <c r="AB675" cm="1">
        <f t="array" ref="AB675">IFERROR(AVERAGE(_xlfn._xlws.FILTER(T$2:T$1073,($C$2:$C$1073=$C675)*($E$2:$E$1073=$E675)*(ROW(T$2:T$1073)&lt;&gt;ROW(T675))*(T$2:T$1073&lt;&gt;""))),"")</f>
        <v>7.4584049948109785E-2</v>
      </c>
      <c r="AC675" cm="1">
        <f t="array" ref="AC675">IFERROR(AVERAGE(_xlfn._xlws.FILTER(U$2:U$1073,($C$2:$C$1073=$C675)*($E$2:$E$1073=$E675)*(ROW(U$2:U$1073)&lt;&gt;ROW(U675))*(U$2:U$1073&lt;&gt;""))),"")</f>
        <v>4.1237612434232505</v>
      </c>
      <c r="AD675" cm="1">
        <f t="array" ref="AD675">IFERROR(AVERAGE(_xlfn._xlws.FILTER(V$2:V$1073,($C$2:$C$1073=$C675)*($E$2:$E$1073=$E675)*(ROW(V$2:V$1073)&lt;&gt;ROW(V675))*(V$2:V$1073&lt;&gt;""))),"")</f>
        <v>0.70305489081808614</v>
      </c>
      <c r="AE675">
        <f>IF('Дивиденды по годам'!M675&lt;0,1,0)</f>
        <v>0</v>
      </c>
    </row>
    <row r="676" spans="1:31" x14ac:dyDescent="0.2">
      <c r="A676" s="7" t="s">
        <v>2261</v>
      </c>
      <c r="B676" t="str">
        <f t="shared" si="110"/>
        <v>SVAV IV кв. 2023</v>
      </c>
      <c r="C676">
        <v>2023</v>
      </c>
      <c r="D676">
        <f>SUMIFS(Дивиденды!$C:$C,Дивиденды!$A:$A,A676,Дивиденды!$I:$I,C676)</f>
        <v>89</v>
      </c>
      <c r="E676">
        <v>4</v>
      </c>
      <c r="F676">
        <f t="shared" si="111"/>
        <v>89</v>
      </c>
      <c r="G676">
        <f t="shared" si="112"/>
        <v>84.382857142857148</v>
      </c>
      <c r="H676">
        <f t="shared" si="113"/>
        <v>1</v>
      </c>
      <c r="I676">
        <f t="shared" si="114"/>
        <v>0.42857142857142855</v>
      </c>
      <c r="J676">
        <f t="shared" si="115"/>
        <v>0.96078431372549022</v>
      </c>
      <c r="K676">
        <f t="shared" si="120"/>
        <v>0.22950000000000001</v>
      </c>
      <c r="L676">
        <f t="shared" si="116"/>
        <v>1</v>
      </c>
      <c r="M676">
        <f t="shared" si="117"/>
        <v>0.35714285714285715</v>
      </c>
      <c r="N676">
        <f t="shared" si="118"/>
        <v>0</v>
      </c>
      <c r="O676">
        <f t="shared" si="119"/>
        <v>0</v>
      </c>
      <c r="P676">
        <f>IFERROR(LN('Дивиденды по годам'!I676),"")</f>
        <v>24.980451776674339</v>
      </c>
      <c r="Q676">
        <f>IFERROR('Дивиденды по годам'!G676/'Дивиденды по годам'!I676, "")</f>
        <v>0.25701377972270611</v>
      </c>
      <c r="R676" t="str">
        <f>IFERROR(IF(AND('Дивиденды по годам'!N676&lt;&gt;"",'Дивиденды по годам'!U676&lt;&gt;"",'Дивиденды по годам'!U676&lt;&gt;0),'Дивиденды по годам'!N676/'Дивиденды по годам'!U676-1,""),"")</f>
        <v/>
      </c>
      <c r="S676">
        <f>IFERROR(IF(AND('Дивиденды по годам'!L676&lt;&gt;"",'Дивиденды по годам'!I676&lt;&gt;"",'Дивиденды по годам'!J676&lt;&gt;"",'Дивиденды по годам'!K676&lt;&gt;"",('Дивиденды по годам'!I676-'Дивиденды по годам'!J676-'Дивиденды по годам'!K676)&lt;&gt;0),'Дивиденды по годам'!L676/('Дивиденды по годам'!I676-'Дивиденды по годам'!J676-'Дивиденды по годам'!K676),""),"")</f>
        <v>0.34414856050849568</v>
      </c>
      <c r="T676" t="str">
        <f>IFERROR(IF(AND('Дивиденды по годам'!Q676&lt;&gt;"",'Дивиденды по годам'!I676&lt;&gt;"",'Дивиденды по годам'!V676&lt;&gt;"",('Дивиденды по годам'!I676+'Дивиденды по годам'!V676)&lt;&gt;0),'Дивиденды по годам'!Q676/(('Дивиденды по годам'!I676+'Дивиденды по годам'!V676)/2),""),"")</f>
        <v/>
      </c>
      <c r="U676">
        <f>IFERROR(IF(AND('Дивиденды по годам'!J676&lt;&gt;"",'Дивиденды по годам'!K676&lt;&gt;"",'Дивиденды по годам'!M676&lt;&gt;"",'Дивиденды по годам'!M676&lt;&gt;0),('Дивиденды по годам'!J676+'Дивиденды по годам'!K676)/'Дивиденды по годам'!M676,""),"")</f>
        <v>1.9334468862947114</v>
      </c>
      <c r="V676">
        <f>IFERROR(IF(AND('Дивиденды по годам'!J676&lt;&gt;"",'Дивиденды по годам'!K676&lt;&gt;"",'Дивиденды по годам'!M676&lt;&gt;"",'Дивиденды по годам'!I676&lt;&gt;0),('Дивиденды по годам'!J676+'Дивиденды по годам'!K676)/'Дивиденды по годам'!I676,""),"")</f>
        <v>0.65910410559261301</v>
      </c>
      <c r="W676">
        <f>IFERROR('Дивиденды по годам'!I676,"")</f>
        <v>70611000000</v>
      </c>
      <c r="X676" cm="1">
        <f t="array" ref="X676">IFERROR(AVERAGE(_xlfn._xlws.FILTER(P$2:P$1073,($C$2:$C$1073=$C676)*($E$2:$E$1073=$E676)*(ROW(P$2:P$1073)&lt;&gt;ROW(P676))*(P$2:P$1073&lt;&gt;""))),"")</f>
        <v>25.394576953334752</v>
      </c>
      <c r="Y676" cm="1">
        <f t="array" ref="Y676">IFERROR(AVERAGE(_xlfn._xlws.FILTER(Q$2:Q$1073,($C$2:$C$1073=$C676)*($E$2:$E$1073=$E676)*(ROW(Q$2:Q$1073)&lt;&gt;ROW(Q676))*(Q$2:Q$1073&lt;&gt;""))),"")</f>
        <v>0.24991408674650217</v>
      </c>
      <c r="Z676" cm="1">
        <f t="array" ref="Z676">IFERROR(AVERAGE(_xlfn._xlws.FILTER(R$2:R$1073,($C$2:$C$1073=$C676)*($E$2:$E$1073=$E676)*(ROW(R$2:R$1073)&lt;&gt;ROW(R676))*(R$2:R$1073&lt;&gt;""))),"")</f>
        <v>0.24615938299834073</v>
      </c>
      <c r="AA676" cm="1">
        <f t="array" ref="AA676">IFERROR(AVERAGE(_xlfn._xlws.FILTER(S$2:S$1073,($C$2:$C$1073=$C676)*($E$2:$E$1073=$E676)*(ROW(S$2:S$1073)&lt;&gt;ROW(S676))*(S$2:S$1073&lt;&gt;""))),"")</f>
        <v>1.3104115471956646</v>
      </c>
      <c r="AB676" cm="1">
        <f t="array" ref="AB676">IFERROR(AVERAGE(_xlfn._xlws.FILTER(T$2:T$1073,($C$2:$C$1073=$C676)*($E$2:$E$1073=$E676)*(ROW(T$2:T$1073)&lt;&gt;ROW(T676))*(T$2:T$1073&lt;&gt;""))),"")</f>
        <v>0.11031168628188895</v>
      </c>
      <c r="AC676" cm="1">
        <f t="array" ref="AC676">IFERROR(AVERAGE(_xlfn._xlws.FILTER(U$2:U$1073,($C$2:$C$1073=$C676)*($E$2:$E$1073=$E676)*(ROW(U$2:U$1073)&lt;&gt;ROW(U676))*(U$2:U$1073&lt;&gt;""))),"")</f>
        <v>2.6341945465952548</v>
      </c>
      <c r="AD676" cm="1">
        <f t="array" ref="AD676">IFERROR(AVERAGE(_xlfn._xlws.FILTER(V$2:V$1073,($C$2:$C$1073=$C676)*($E$2:$E$1073=$E676)*(ROW(V$2:V$1073)&lt;&gt;ROW(V676))*(V$2:V$1073&lt;&gt;""))),"")</f>
        <v>0.69482646978486673</v>
      </c>
      <c r="AE676">
        <f>IF('Дивиденды по годам'!M676&lt;0,1,0)</f>
        <v>0</v>
      </c>
    </row>
    <row r="677" spans="1:31" x14ac:dyDescent="0.2">
      <c r="A677" s="7" t="s">
        <v>2261</v>
      </c>
      <c r="B677" t="str">
        <f t="shared" si="110"/>
        <v>SVAV IV кв. 2022</v>
      </c>
      <c r="C677">
        <v>2022</v>
      </c>
      <c r="D677">
        <f>SUMIFS(Дивиденды!$C:$C,Дивиденды!$A:$A,A677,Дивиденды!$I:$I,C677)</f>
        <v>45.39</v>
      </c>
      <c r="E677">
        <v>4</v>
      </c>
      <c r="F677">
        <f t="shared" si="111"/>
        <v>45.39</v>
      </c>
      <c r="G677">
        <f t="shared" si="112"/>
        <v>76.937857142857155</v>
      </c>
      <c r="H677">
        <f t="shared" si="113"/>
        <v>1</v>
      </c>
      <c r="I677">
        <f t="shared" si="114"/>
        <v>0.21428571428571427</v>
      </c>
      <c r="J677">
        <f t="shared" si="115"/>
        <v>1</v>
      </c>
      <c r="K677">
        <f t="shared" si="120"/>
        <v>0.42440767369216253</v>
      </c>
      <c r="L677">
        <f t="shared" si="116"/>
        <v>1</v>
      </c>
      <c r="M677">
        <f t="shared" si="117"/>
        <v>0.21428571428571427</v>
      </c>
      <c r="N677">
        <f t="shared" si="118"/>
        <v>0</v>
      </c>
      <c r="O677">
        <f t="shared" si="119"/>
        <v>7.1428571428571425E-2</v>
      </c>
      <c r="P677" t="str">
        <f>IFERROR(LN('Дивиденды по годам'!I677),"")</f>
        <v/>
      </c>
      <c r="Q677" t="str">
        <f>IFERROR('Дивиденды по годам'!G677/'Дивиденды по годам'!I677, "")</f>
        <v/>
      </c>
      <c r="R677" t="str">
        <f>IFERROR(IF(AND('Дивиденды по годам'!N677&lt;&gt;"",'Дивиденды по годам'!U677&lt;&gt;"",'Дивиденды по годам'!U677&lt;&gt;0),'Дивиденды по годам'!N677/'Дивиденды по годам'!U677-1,""),"")</f>
        <v/>
      </c>
      <c r="S677" t="str">
        <f>IFERROR(IF(AND('Дивиденды по годам'!L677&lt;&gt;"",'Дивиденды по годам'!I677&lt;&gt;"",'Дивиденды по годам'!J677&lt;&gt;"",'Дивиденды по годам'!K677&lt;&gt;"",('Дивиденды по годам'!I677-'Дивиденды по годам'!J677-'Дивиденды по годам'!K677)&lt;&gt;0),'Дивиденды по годам'!L677/('Дивиденды по годам'!I677-'Дивиденды по годам'!J677-'Дивиденды по годам'!K677),""),"")</f>
        <v/>
      </c>
      <c r="T677" t="str">
        <f>IFERROR(IF(AND('Дивиденды по годам'!Q677&lt;&gt;"",'Дивиденды по годам'!I677&lt;&gt;"",'Дивиденды по годам'!V677&lt;&gt;"",('Дивиденды по годам'!I677+'Дивиденды по годам'!V677)&lt;&gt;0),'Дивиденды по годам'!Q677/(('Дивиденды по годам'!I677+'Дивиденды по годам'!V677)/2),""),"")</f>
        <v/>
      </c>
      <c r="U677" t="str">
        <f>IFERROR(IF(AND('Дивиденды по годам'!J677&lt;&gt;"",'Дивиденды по годам'!K677&lt;&gt;"",'Дивиденды по годам'!M677&lt;&gt;"",'Дивиденды по годам'!M677&lt;&gt;0),('Дивиденды по годам'!J677+'Дивиденды по годам'!K677)/'Дивиденды по годам'!M677,""),"")</f>
        <v/>
      </c>
      <c r="V677" t="str">
        <f>IFERROR(IF(AND('Дивиденды по годам'!J677&lt;&gt;"",'Дивиденды по годам'!K677&lt;&gt;"",'Дивиденды по годам'!M677&lt;&gt;"",'Дивиденды по годам'!I677&lt;&gt;0),('Дивиденды по годам'!J677+'Дивиденды по годам'!K677)/'Дивиденды по годам'!I677,""),"")</f>
        <v/>
      </c>
      <c r="W677" t="str">
        <f>IFERROR('Дивиденды по годам'!I677,"")</f>
        <v/>
      </c>
      <c r="X677" cm="1">
        <f t="array" ref="X677">IFERROR(AVERAGE(_xlfn._xlws.FILTER(P$2:P$1073,($C$2:$C$1073=$C677)*($E$2:$E$1073=$E677)*(ROW(P$2:P$1073)&lt;&gt;ROW(P677))*(P$2:P$1073&lt;&gt;""))),"")</f>
        <v>25.267406913702111</v>
      </c>
      <c r="Y677" cm="1">
        <f t="array" ref="Y677">IFERROR(AVERAGE(_xlfn._xlws.FILTER(Q$2:Q$1073,($C$2:$C$1073=$C677)*($E$2:$E$1073=$E677)*(ROW(Q$2:Q$1073)&lt;&gt;ROW(Q677))*(Q$2:Q$1073&lt;&gt;""))),"")</f>
        <v>0.24827187132804085</v>
      </c>
      <c r="Z677" cm="1">
        <f t="array" ref="Z677">IFERROR(AVERAGE(_xlfn._xlws.FILTER(R$2:R$1073,($C$2:$C$1073=$C677)*($E$2:$E$1073=$E677)*(ROW(R$2:R$1073)&lt;&gt;ROW(R677))*(R$2:R$1073&lt;&gt;""))),"")</f>
        <v>0.20513507713883902</v>
      </c>
      <c r="AA677" cm="1">
        <f t="array" ref="AA677">IFERROR(AVERAGE(_xlfn._xlws.FILTER(S$2:S$1073,($C$2:$C$1073=$C677)*($E$2:$E$1073=$E677)*(ROW(S$2:S$1073)&lt;&gt;ROW(S677))*(S$2:S$1073&lt;&gt;""))),"")</f>
        <v>1.3370829347061257</v>
      </c>
      <c r="AB677" cm="1">
        <f t="array" ref="AB677">IFERROR(AVERAGE(_xlfn._xlws.FILTER(T$2:T$1073,($C$2:$C$1073=$C677)*($E$2:$E$1073=$E677)*(ROW(T$2:T$1073)&lt;&gt;ROW(T677))*(T$2:T$1073&lt;&gt;""))),"")</f>
        <v>0.10081697308373706</v>
      </c>
      <c r="AC677" cm="1">
        <f t="array" ref="AC677">IFERROR(AVERAGE(_xlfn._xlws.FILTER(U$2:U$1073,($C$2:$C$1073=$C677)*($E$2:$E$1073=$E677)*(ROW(U$2:U$1073)&lt;&gt;ROW(U677))*(U$2:U$1073&lt;&gt;""))),"")</f>
        <v>2.1734773569182102</v>
      </c>
      <c r="AD677" cm="1">
        <f t="array" ref="AD677">IFERROR(AVERAGE(_xlfn._xlws.FILTER(V$2:V$1073,($C$2:$C$1073=$C677)*($E$2:$E$1073=$E677)*(ROW(V$2:V$1073)&lt;&gt;ROW(V677))*(V$2:V$1073&lt;&gt;""))),"")</f>
        <v>0.71800231867977016</v>
      </c>
      <c r="AE677">
        <f>IF('Дивиденды по годам'!M677&lt;0,1,0)</f>
        <v>0</v>
      </c>
    </row>
    <row r="678" spans="1:31" x14ac:dyDescent="0.2">
      <c r="A678" s="7" t="s">
        <v>2261</v>
      </c>
      <c r="B678" t="str">
        <f t="shared" si="110"/>
        <v>SVAV IV кв. 2021</v>
      </c>
      <c r="C678">
        <v>2021</v>
      </c>
      <c r="D678">
        <f>SUMIFS(Дивиденды!$C:$C,Дивиденды!$A:$A,A678,Дивиденды!$I:$I,C678)</f>
        <v>0</v>
      </c>
      <c r="E678">
        <v>4</v>
      </c>
      <c r="F678">
        <f t="shared" si="111"/>
        <v>0</v>
      </c>
      <c r="G678">
        <f t="shared" si="112"/>
        <v>31.931428571428572</v>
      </c>
      <c r="H678">
        <f t="shared" si="113"/>
        <v>0</v>
      </c>
      <c r="I678">
        <f t="shared" si="114"/>
        <v>0.2857142857142857</v>
      </c>
      <c r="J678">
        <f t="shared" si="115"/>
        <v>0</v>
      </c>
      <c r="K678">
        <f t="shared" si="120"/>
        <v>0.1975016604235505</v>
      </c>
      <c r="L678">
        <f t="shared" si="116"/>
        <v>0</v>
      </c>
      <c r="M678">
        <f t="shared" si="117"/>
        <v>0.21428571428571427</v>
      </c>
      <c r="N678">
        <f t="shared" si="118"/>
        <v>0</v>
      </c>
      <c r="O678">
        <f t="shared" si="119"/>
        <v>7.1428571428571425E-2</v>
      </c>
      <c r="P678">
        <f>IFERROR(LN('Дивиденды по годам'!I678),"")</f>
        <v>25.003287431164708</v>
      </c>
      <c r="Q678">
        <f>IFERROR('Дивиденды по годам'!G678/'Дивиденды по годам'!I678, "")</f>
        <v>0.28976218820076965</v>
      </c>
      <c r="R678">
        <f>IFERROR(IF(AND('Дивиденды по годам'!N678&lt;&gt;"",'Дивиденды по годам'!U678&lt;&gt;"",'Дивиденды по годам'!U678&lt;&gt;0),'Дивиденды по годам'!N678/'Дивиденды по годам'!U678-1,""),"")</f>
        <v>0.38984617716147607</v>
      </c>
      <c r="S678">
        <f>IFERROR(IF(AND('Дивиденды по годам'!L678&lt;&gt;"",'Дивиденды по годам'!I678&lt;&gt;"",'Дивиденды по годам'!J678&lt;&gt;"",'Дивиденды по годам'!K678&lt;&gt;"",('Дивиденды по годам'!I678-'Дивиденды по годам'!J678-'Дивиденды по годам'!K678)&lt;&gt;0),'Дивиденды по годам'!L678/('Дивиденды по годам'!I678-'Дивиденды по годам'!J678-'Дивиденды по годам'!K678),""),"")</f>
        <v>0.45250631085467002</v>
      </c>
      <c r="T678">
        <f>IFERROR(IF(AND('Дивиденды по годам'!Q678&lt;&gt;"",'Дивиденды по годам'!I678&lt;&gt;"",'Дивиденды по годам'!V678&lt;&gt;"",('Дивиденды по годам'!I678+'Дивиденды по годам'!V678)&lt;&gt;0),'Дивиденды по годам'!Q678/(('Дивиденды по годам'!I678+'Дивиденды по годам'!V678)/2),""),"")</f>
        <v>6.5024715114490705E-2</v>
      </c>
      <c r="U678">
        <f>IFERROR(IF(AND('Дивиденды по годам'!J678&lt;&gt;"",'Дивиденды по годам'!K678&lt;&gt;"",'Дивиденды по годам'!M678&lt;&gt;"",'Дивиденды по годам'!M678&lt;&gt;0),('Дивиденды по годам'!J678+'Дивиденды по годам'!K678)/'Дивиденды по годам'!M678,""),"")</f>
        <v>1.6051929318427696</v>
      </c>
      <c r="V678">
        <f>IFERROR(IF(AND('Дивиденды по годам'!J678&lt;&gt;"",'Дивиденды по годам'!K678&lt;&gt;"",'Дивиденды по годам'!M678&lt;&gt;"",'Дивиденды по годам'!I678&lt;&gt;0),('Дивиденды по годам'!J678+'Дивиденды по годам'!K678)/'Дивиденды по годам'!I678,""),"")</f>
        <v>0.61615126934470255</v>
      </c>
      <c r="W678">
        <f>IFERROR('Дивиденды по годам'!I678,"")</f>
        <v>72242000000</v>
      </c>
      <c r="X678" cm="1">
        <f t="array" ref="X678">IFERROR(AVERAGE(_xlfn._xlws.FILTER(P$2:P$1073,($C$2:$C$1073=$C678)*($E$2:$E$1073=$E678)*(ROW(P$2:P$1073)&lt;&gt;ROW(P678))*(P$2:P$1073&lt;&gt;""))),"")</f>
        <v>25.203360418315103</v>
      </c>
      <c r="Y678" cm="1">
        <f t="array" ref="Y678">IFERROR(AVERAGE(_xlfn._xlws.FILTER(Q$2:Q$1073,($C$2:$C$1073=$C678)*($E$2:$E$1073=$E678)*(ROW(Q$2:Q$1073)&lt;&gt;ROW(Q678))*(Q$2:Q$1073&lt;&gt;""))),"")</f>
        <v>0.23071737138554649</v>
      </c>
      <c r="Z678" cm="1">
        <f t="array" ref="Z678">IFERROR(AVERAGE(_xlfn._xlws.FILTER(R$2:R$1073,($C$2:$C$1073=$C678)*($E$2:$E$1073=$E678)*(ROW(R$2:R$1073)&lt;&gt;ROW(R678))*(R$2:R$1073&lt;&gt;""))),"")</f>
        <v>0.30857958991859741</v>
      </c>
      <c r="AA678" cm="1">
        <f t="array" ref="AA678">IFERROR(AVERAGE(_xlfn._xlws.FILTER(S$2:S$1073,($C$2:$C$1073=$C678)*($E$2:$E$1073=$E678)*(ROW(S$2:S$1073)&lt;&gt;ROW(S678))*(S$2:S$1073&lt;&gt;""))),"")</f>
        <v>1.3946451267060347</v>
      </c>
      <c r="AB678" cm="1">
        <f t="array" ref="AB678">IFERROR(AVERAGE(_xlfn._xlws.FILTER(T$2:T$1073,($C$2:$C$1073=$C678)*($E$2:$E$1073=$E678)*(ROW(T$2:T$1073)&lt;&gt;ROW(T678))*(T$2:T$1073&lt;&gt;""))),"")</f>
        <v>0.1070661825021267</v>
      </c>
      <c r="AC678" cm="1">
        <f t="array" ref="AC678">IFERROR(AVERAGE(_xlfn._xlws.FILTER(U$2:U$1073,($C$2:$C$1073=$C678)*($E$2:$E$1073=$E678)*(ROW(U$2:U$1073)&lt;&gt;ROW(U678))*(U$2:U$1073&lt;&gt;""))),"")</f>
        <v>18.214751604965965</v>
      </c>
      <c r="AD678" cm="1">
        <f t="array" ref="AD678">IFERROR(AVERAGE(_xlfn._xlws.FILTER(V$2:V$1073,($C$2:$C$1073=$C678)*($E$2:$E$1073=$E678)*(ROW(V$2:V$1073)&lt;&gt;ROW(V678))*(V$2:V$1073&lt;&gt;""))),"")</f>
        <v>0.78580047338391557</v>
      </c>
      <c r="AE678">
        <f>IF('Дивиденды по годам'!M678&lt;0,1,0)</f>
        <v>0</v>
      </c>
    </row>
    <row r="679" spans="1:31" x14ac:dyDescent="0.2">
      <c r="A679" s="7" t="s">
        <v>2261</v>
      </c>
      <c r="B679" t="str">
        <f t="shared" si="110"/>
        <v>SVAV IV кв. 2020</v>
      </c>
      <c r="C679">
        <v>2020</v>
      </c>
      <c r="D679">
        <f>SUMIFS(Дивиденды!$C:$C,Дивиденды!$A:$A,A679,Дивиденды!$I:$I,C679)</f>
        <v>0</v>
      </c>
      <c r="E679">
        <v>4</v>
      </c>
      <c r="F679">
        <f t="shared" si="111"/>
        <v>0</v>
      </c>
      <c r="G679">
        <f t="shared" si="112"/>
        <v>43.293571428571433</v>
      </c>
      <c r="H679">
        <f t="shared" si="113"/>
        <v>0</v>
      </c>
      <c r="I679">
        <f t="shared" si="114"/>
        <v>0.2857142857142857</v>
      </c>
      <c r="J679">
        <f t="shared" si="115"/>
        <v>0</v>
      </c>
      <c r="K679">
        <f t="shared" si="120"/>
        <v>0.26831617204892738</v>
      </c>
      <c r="L679">
        <f t="shared" si="116"/>
        <v>0</v>
      </c>
      <c r="M679">
        <f t="shared" si="117"/>
        <v>0.2857142857142857</v>
      </c>
      <c r="N679">
        <f t="shared" si="118"/>
        <v>0</v>
      </c>
      <c r="O679">
        <f t="shared" si="119"/>
        <v>0</v>
      </c>
      <c r="P679">
        <f>IFERROR(LN('Дивиденды по годам'!I679),"")</f>
        <v>24.936148705092045</v>
      </c>
      <c r="Q679">
        <f>IFERROR('Дивиденды по годам'!G679/'Дивиденды по годам'!I679, "")</f>
        <v>0.33339254785273348</v>
      </c>
      <c r="R679">
        <f>IFERROR(IF(AND('Дивиденды по годам'!N679&lt;&gt;"",'Дивиденды по годам'!U679&lt;&gt;"",'Дивиденды по годам'!U679&lt;&gt;0),'Дивиденды по годам'!N679/'Дивиденды по годам'!U679-1,""),"")</f>
        <v>0.14083922612769939</v>
      </c>
      <c r="S679">
        <f>IFERROR(IF(AND('Дивиденды по годам'!L679&lt;&gt;"",'Дивиденды по годам'!I679&lt;&gt;"",'Дивиденды по годам'!J679&lt;&gt;"",'Дивиденды по годам'!K679&lt;&gt;"",('Дивиденды по годам'!I679-'Дивиденды по годам'!J679-'Дивиденды по годам'!K679)&lt;&gt;0),'Дивиденды по годам'!L679/('Дивиденды по годам'!I679-'Дивиденды по годам'!J679-'Дивиденды по годам'!K679),""),"")</f>
        <v>0.40105425865007333</v>
      </c>
      <c r="T679">
        <f>IFERROR(IF(AND('Дивиденды по годам'!Q679&lt;&gt;"",'Дивиденды по годам'!I679&lt;&gt;"",'Дивиденды по годам'!V679&lt;&gt;"",('Дивиденды по годам'!I679+'Дивиденды по годам'!V679)&lt;&gt;0),'Дивиденды по годам'!Q679/(('Дивиденды по годам'!I679+'Дивиденды по годам'!V679)/2),""),"")</f>
        <v>-2.6337833656581818E-2</v>
      </c>
      <c r="U679">
        <f>IFERROR(IF(AND('Дивиденды по годам'!J679&lt;&gt;"",'Дивиденды по годам'!K679&lt;&gt;"",'Дивиденды по годам'!M679&lt;&gt;"",'Дивиденды по годам'!M679&lt;&gt;0),('Дивиденды по годам'!J679+'Дивиденды по годам'!K679)/'Дивиденды по годам'!M679,""),"")</f>
        <v>1.6773017319963537</v>
      </c>
      <c r="V679">
        <f>IFERROR(IF(AND('Дивиденды по годам'!J679&lt;&gt;"",'Дивиденды по годам'!K679&lt;&gt;"",'Дивиденды по годам'!M679&lt;&gt;"",'Дивиденды по годам'!I679&lt;&gt;0),('Дивиденды по годам'!J679+'Дивиденды по годам'!K679)/'Дивиденды по годам'!I679,""),"")</f>
        <v>0.6264896152536602</v>
      </c>
      <c r="W679">
        <f>IFERROR('Дивиденды по годам'!I679,"")</f>
        <v>67551000000</v>
      </c>
      <c r="X679" cm="1">
        <f t="array" ref="X679">IFERROR(AVERAGE(_xlfn._xlws.FILTER(P$2:P$1073,($C$2:$C$1073=$C679)*($E$2:$E$1073=$E679)*(ROW(P$2:P$1073)&lt;&gt;ROW(P679))*(P$2:P$1073&lt;&gt;""))),"")</f>
        <v>25.322262433274322</v>
      </c>
      <c r="Y679" cm="1">
        <f t="array" ref="Y679">IFERROR(AVERAGE(_xlfn._xlws.FILTER(Q$2:Q$1073,($C$2:$C$1073=$C679)*($E$2:$E$1073=$E679)*(ROW(Q$2:Q$1073)&lt;&gt;ROW(Q679))*(Q$2:Q$1073&lt;&gt;""))),"")</f>
        <v>0.2525893923646515</v>
      </c>
      <c r="Z679" cm="1">
        <f t="array" ref="Z679">IFERROR(AVERAGE(_xlfn._xlws.FILTER(R$2:R$1073,($C$2:$C$1073=$C679)*($E$2:$E$1073=$E679)*(ROW(R$2:R$1073)&lt;&gt;ROW(R679))*(R$2:R$1073&lt;&gt;""))),"")</f>
        <v>9.1329308636458606E-2</v>
      </c>
      <c r="AA679" cm="1">
        <f t="array" ref="AA679">IFERROR(AVERAGE(_xlfn._xlws.FILTER(S$2:S$1073,($C$2:$C$1073=$C679)*($E$2:$E$1073=$E679)*(ROW(S$2:S$1073)&lt;&gt;ROW(S679))*(S$2:S$1073&lt;&gt;""))),"")</f>
        <v>1.8848410571930037</v>
      </c>
      <c r="AB679" cm="1">
        <f t="array" ref="AB679">IFERROR(AVERAGE(_xlfn._xlws.FILTER(T$2:T$1073,($C$2:$C$1073=$C679)*($E$2:$E$1073=$E679)*(ROW(T$2:T$1073)&lt;&gt;ROW(T679))*(T$2:T$1073&lt;&gt;""))),"")</f>
        <v>7.9209613324174963E-2</v>
      </c>
      <c r="AC679" cm="1">
        <f t="array" ref="AC679">IFERROR(AVERAGE(_xlfn._xlws.FILTER(U$2:U$1073,($C$2:$C$1073=$C679)*($E$2:$E$1073=$E679)*(ROW(U$2:U$1073)&lt;&gt;ROW(U679))*(U$2:U$1073&lt;&gt;""))),"")</f>
        <v>-11.787421625995776</v>
      </c>
      <c r="AD679" cm="1">
        <f t="array" ref="AD679">IFERROR(AVERAGE(_xlfn._xlws.FILTER(V$2:V$1073,($C$2:$C$1073=$C679)*($E$2:$E$1073=$E679)*(ROW(V$2:V$1073)&lt;&gt;ROW(V679))*(V$2:V$1073&lt;&gt;""))),"")</f>
        <v>0.79717111226731141</v>
      </c>
      <c r="AE679">
        <f>IF('Дивиденды по годам'!M679&lt;0,1,0)</f>
        <v>0</v>
      </c>
    </row>
    <row r="680" spans="1:31" x14ac:dyDescent="0.2">
      <c r="A680" s="7" t="s">
        <v>2261</v>
      </c>
      <c r="B680" t="str">
        <f t="shared" si="110"/>
        <v>SVAV IV кв. 2019</v>
      </c>
      <c r="C680">
        <v>2019</v>
      </c>
      <c r="D680">
        <f>SUMIFS(Дивиденды!$C:$C,Дивиденды!$A:$A,A680,Дивиденды!$I:$I,C680)</f>
        <v>0</v>
      </c>
      <c r="E680">
        <v>4</v>
      </c>
      <c r="F680">
        <f t="shared" si="111"/>
        <v>0</v>
      </c>
      <c r="G680">
        <f t="shared" si="112"/>
        <v>24.398571428571426</v>
      </c>
      <c r="H680">
        <f t="shared" si="113"/>
        <v>0</v>
      </c>
      <c r="I680">
        <f t="shared" si="114"/>
        <v>0.21428571428571427</v>
      </c>
      <c r="J680">
        <f t="shared" si="115"/>
        <v>0</v>
      </c>
      <c r="K680">
        <f t="shared" si="120"/>
        <v>0.10876410731109194</v>
      </c>
      <c r="L680">
        <f t="shared" si="116"/>
        <v>0</v>
      </c>
      <c r="M680">
        <f t="shared" si="117"/>
        <v>0.21428571428571427</v>
      </c>
      <c r="N680">
        <f t="shared" si="118"/>
        <v>0</v>
      </c>
      <c r="O680">
        <f t="shared" si="119"/>
        <v>0</v>
      </c>
      <c r="P680">
        <f>IFERROR(LN('Дивиденды по годам'!I680),"")</f>
        <v>24.897006744148527</v>
      </c>
      <c r="Q680">
        <f>IFERROR('Дивиденды по годам'!G680/'Дивиденды по годам'!I680, "")</f>
        <v>0.35653807075340987</v>
      </c>
      <c r="R680">
        <f>IFERROR(IF(AND('Дивиденды по годам'!N680&lt;&gt;"",'Дивиденды по годам'!U680&lt;&gt;"",'Дивиденды по годам'!U680&lt;&gt;0),'Дивиденды по годам'!N680/'Дивиденды по годам'!U680-1,""),"")</f>
        <v>0.46505737227386712</v>
      </c>
      <c r="S680">
        <f>IFERROR(IF(AND('Дивиденды по годам'!L680&lt;&gt;"",'Дивиденды по годам'!I680&lt;&gt;"",'Дивиденды по годам'!J680&lt;&gt;"",'Дивиденды по годам'!K680&lt;&gt;"",('Дивиденды по годам'!I680-'Дивиденды по годам'!J680-'Дивиденды по годам'!K680)&lt;&gt;0),'Дивиденды по годам'!L680/('Дивиденды по годам'!I680-'Дивиденды по годам'!J680-'Дивиденды по годам'!K680),""),"")</f>
        <v>0.4538849347568209</v>
      </c>
      <c r="T680">
        <f>IFERROR(IF(AND('Дивиденды по годам'!Q680&lt;&gt;"",'Дивиденды по годам'!I680&lt;&gt;"",'Дивиденды по годам'!V680&lt;&gt;"",('Дивиденды по годам'!I680+'Дивиденды по годам'!V680)&lt;&gt;0),'Дивиденды по годам'!Q680/(('Дивиденды по годам'!I680+'Дивиденды по годам'!V680)/2),""),"")</f>
        <v>2.3345158778229645E-2</v>
      </c>
      <c r="U680">
        <f>IFERROR(IF(AND('Дивиденды по годам'!J680&lt;&gt;"",'Дивиденды по годам'!K680&lt;&gt;"",'Дивиденды по годам'!M680&lt;&gt;"",'Дивиденды по годам'!M680&lt;&gt;0),('Дивиденды по годам'!J680+'Дивиденды по годам'!K680)/'Дивиденды по годам'!M680,""),"")</f>
        <v>1.4079922894424675</v>
      </c>
      <c r="V680">
        <f>IFERROR(IF(AND('Дивиденды по годам'!J680&lt;&gt;"",'Дивиденды по годам'!K680&lt;&gt;"",'Дивиденды по годам'!M680&lt;&gt;"",'Дивиденды по годам'!I680&lt;&gt;0),('Дивиденды по годам'!J680+'Дивиденды по годам'!K680)/'Дивиденды по годам'!I680,""),"")</f>
        <v>0.58471627821053607</v>
      </c>
      <c r="W680">
        <f>IFERROR('Дивиденды по годам'!I680,"")</f>
        <v>64958000000</v>
      </c>
      <c r="X680" cm="1">
        <f t="array" ref="X680">IFERROR(AVERAGE(_xlfn._xlws.FILTER(P$2:P$1073,($C$2:$C$1073=$C680)*($E$2:$E$1073=$E680)*(ROW(P$2:P$1073)&lt;&gt;ROW(P680))*(P$2:P$1073&lt;&gt;""))),"")</f>
        <v>25.143425514876053</v>
      </c>
      <c r="Y680" cm="1">
        <f t="array" ref="Y680">IFERROR(AVERAGE(_xlfn._xlws.FILTER(Q$2:Q$1073,($C$2:$C$1073=$C680)*($E$2:$E$1073=$E680)*(ROW(Q$2:Q$1073)&lt;&gt;ROW(Q680))*(Q$2:Q$1073&lt;&gt;""))),"")</f>
        <v>0.26009907347341971</v>
      </c>
      <c r="Z680" cm="1">
        <f t="array" ref="Z680">IFERROR(AVERAGE(_xlfn._xlws.FILTER(R$2:R$1073,($C$2:$C$1073=$C680)*($E$2:$E$1073=$E680)*(ROW(R$2:R$1073)&lt;&gt;ROW(R680))*(R$2:R$1073&lt;&gt;""))),"")</f>
        <v>0.40380444032508467</v>
      </c>
      <c r="AA680" cm="1">
        <f t="array" ref="AA680">IFERROR(AVERAGE(_xlfn._xlws.FILTER(S$2:S$1073,($C$2:$C$1073=$C680)*($E$2:$E$1073=$E680)*(ROW(S$2:S$1073)&lt;&gt;ROW(S680))*(S$2:S$1073&lt;&gt;""))),"")</f>
        <v>0.95246993318037587</v>
      </c>
      <c r="AB680" cm="1">
        <f t="array" ref="AB680">IFERROR(AVERAGE(_xlfn._xlws.FILTER(T$2:T$1073,($C$2:$C$1073=$C680)*($E$2:$E$1073=$E680)*(ROW(T$2:T$1073)&lt;&gt;ROW(T680))*(T$2:T$1073&lt;&gt;""))),"")</f>
        <v>5.2668499199378195E-2</v>
      </c>
      <c r="AC680" cm="1">
        <f t="array" ref="AC680">IFERROR(AVERAGE(_xlfn._xlws.FILTER(U$2:U$1073,($C$2:$C$1073=$C680)*($E$2:$E$1073=$E680)*(ROW(U$2:U$1073)&lt;&gt;ROW(U680))*(U$2:U$1073&lt;&gt;""))),"")</f>
        <v>-3.1508603788917489</v>
      </c>
      <c r="AD680" cm="1">
        <f t="array" ref="AD680">IFERROR(AVERAGE(_xlfn._xlws.FILTER(V$2:V$1073,($C$2:$C$1073=$C680)*($E$2:$E$1073=$E680)*(ROW(V$2:V$1073)&lt;&gt;ROW(V680))*(V$2:V$1073&lt;&gt;""))),"")</f>
        <v>0.84197559427690472</v>
      </c>
      <c r="AE680">
        <f>IF('Дивиденды по годам'!M680&lt;0,1,0)</f>
        <v>0</v>
      </c>
    </row>
    <row r="681" spans="1:31" x14ac:dyDescent="0.2">
      <c r="A681" s="7" t="s">
        <v>2261</v>
      </c>
      <c r="B681" t="str">
        <f t="shared" si="110"/>
        <v>SVAV IV кв. 2018</v>
      </c>
      <c r="C681">
        <v>2018</v>
      </c>
      <c r="D681">
        <f>SUMIFS(Дивиденды!$C:$C,Дивиденды!$A:$A,A681,Дивиденды!$I:$I,C681)</f>
        <v>0</v>
      </c>
      <c r="E681">
        <v>4</v>
      </c>
      <c r="F681">
        <f t="shared" si="111"/>
        <v>0</v>
      </c>
      <c r="G681">
        <f t="shared" si="112"/>
        <v>21.978571428571428</v>
      </c>
      <c r="H681">
        <f t="shared" si="113"/>
        <v>0</v>
      </c>
      <c r="I681">
        <f t="shared" si="114"/>
        <v>0.14285714285714285</v>
      </c>
      <c r="J681">
        <f t="shared" si="115"/>
        <v>0</v>
      </c>
      <c r="K681">
        <f t="shared" si="120"/>
        <v>-1.8223065562117002E-2</v>
      </c>
      <c r="L681">
        <f t="shared" si="116"/>
        <v>0</v>
      </c>
      <c r="M681">
        <f t="shared" si="117"/>
        <v>7.1428571428571425E-2</v>
      </c>
      <c r="N681">
        <f t="shared" si="118"/>
        <v>0</v>
      </c>
      <c r="O681">
        <f t="shared" si="119"/>
        <v>7.1428571428571425E-2</v>
      </c>
      <c r="P681">
        <f>IFERROR(LN('Дивиденды по годам'!I681),"")</f>
        <v>24.647454539273429</v>
      </c>
      <c r="Q681">
        <f>IFERROR('Дивиденды по годам'!G681/'Дивиденды по годам'!I681, "")</f>
        <v>0.21674701651782186</v>
      </c>
      <c r="R681">
        <f>IFERROR(IF(AND('Дивиденды по годам'!N681&lt;&gt;"",'Дивиденды по годам'!U681&lt;&gt;"",'Дивиденды по годам'!U681&lt;&gt;0),'Дивиденды по годам'!N681/'Дивиденды по годам'!U681-1,""),"")</f>
        <v>0.10387540543563367</v>
      </c>
      <c r="S681">
        <f>IFERROR(IF(AND('Дивиденды по годам'!L681&lt;&gt;"",'Дивиденды по годам'!I681&lt;&gt;"",'Дивиденды по годам'!J681&lt;&gt;"",'Дивиденды по годам'!K681&lt;&gt;"",('Дивиденды по годам'!I681-'Дивиденды по годам'!J681-'Дивиденды по годам'!K681)&lt;&gt;0),'Дивиденды по годам'!L681/('Дивиденды по годам'!I681-'Дивиденды по годам'!J681-'Дивиденды по годам'!K681),""),"")</f>
        <v>0.63783014391902582</v>
      </c>
      <c r="T681">
        <f>IFERROR(IF(AND('Дивиденды по годам'!Q681&lt;&gt;"",'Дивиденды по годам'!I681&lt;&gt;"",'Дивиденды по годам'!V681&lt;&gt;"",('Дивиденды по годам'!I681+'Дивиденды по годам'!V681)&lt;&gt;0),'Дивиденды по годам'!Q681/(('Дивиденды по годам'!I681+'Дивиденды по годам'!V681)/2),""),"")</f>
        <v>9.7391598915989158E-4</v>
      </c>
      <c r="U681">
        <f>IFERROR(IF(AND('Дивиденды по годам'!J681&lt;&gt;"",'Дивиденды по годам'!K681&lt;&gt;"",'Дивиденды по годам'!M681&lt;&gt;"",'Дивиденды по годам'!M681&lt;&gt;0),('Дивиденды по годам'!J681+'Дивиденды по годам'!K681)/'Дивиденды по годам'!M681,""),"")</f>
        <v>1.6681427592387579</v>
      </c>
      <c r="V681">
        <f>IFERROR(IF(AND('Дивиденды по годам'!J681&lt;&gt;"",'Дивиденды по годам'!K681&lt;&gt;"",'Дивиденды по годам'!M681&lt;&gt;"",'Дивиденды по годам'!I681&lt;&gt;0),('Дивиденды по годам'!J681+'Дивиденды по годам'!K681)/'Дивиденды по годам'!I681,""),"")</f>
        <v>0.62520746068126132</v>
      </c>
      <c r="W681">
        <f>IFERROR('Дивиденды по годам'!I681,"")</f>
        <v>50612000000</v>
      </c>
      <c r="X681" cm="1">
        <f t="array" ref="X681">IFERROR(AVERAGE(_xlfn._xlws.FILTER(P$2:P$1073,($C$2:$C$1073=$C681)*($E$2:$E$1073=$E681)*(ROW(P$2:P$1073)&lt;&gt;ROW(P681))*(P$2:P$1073&lt;&gt;""))),"")</f>
        <v>24.951740065366987</v>
      </c>
      <c r="Y681" cm="1">
        <f t="array" ref="Y681">IFERROR(AVERAGE(_xlfn._xlws.FILTER(Q$2:Q$1073,($C$2:$C$1073=$C681)*($E$2:$E$1073=$E681)*(ROW(Q$2:Q$1073)&lt;&gt;ROW(Q681))*(Q$2:Q$1073&lt;&gt;""))),"")</f>
        <v>0.3328915482348494</v>
      </c>
      <c r="Z681" cm="1">
        <f t="array" ref="Z681">IFERROR(AVERAGE(_xlfn._xlws.FILTER(R$2:R$1073,($C$2:$C$1073=$C681)*($E$2:$E$1073=$E681)*(ROW(R$2:R$1073)&lt;&gt;ROW(R681))*(R$2:R$1073&lt;&gt;""))),"")</f>
        <v>4.8765435619695006E-2</v>
      </c>
      <c r="AA681" cm="1">
        <f t="array" ref="AA681">IFERROR(AVERAGE(_xlfn._xlws.FILTER(S$2:S$1073,($C$2:$C$1073=$C681)*($E$2:$E$1073=$E681)*(ROW(S$2:S$1073)&lt;&gt;ROW(S681))*(S$2:S$1073&lt;&gt;""))),"")</f>
        <v>0.64535089629690878</v>
      </c>
      <c r="AB681" cm="1">
        <f t="array" ref="AB681">IFERROR(AVERAGE(_xlfn._xlws.FILTER(T$2:T$1073,($C$2:$C$1073=$C681)*($E$2:$E$1073=$E681)*(ROW(T$2:T$1073)&lt;&gt;ROW(T681))*(T$2:T$1073&lt;&gt;""))),"")</f>
        <v>8.1698765289133102E-3</v>
      </c>
      <c r="AC681" cm="1">
        <f t="array" ref="AC681">IFERROR(AVERAGE(_xlfn._xlws.FILTER(U$2:U$1073,($C$2:$C$1073=$C681)*($E$2:$E$1073=$E681)*(ROW(U$2:U$1073)&lt;&gt;ROW(U681))*(U$2:U$1073&lt;&gt;""))),"")</f>
        <v>0.9782211365184672</v>
      </c>
      <c r="AD681" cm="1">
        <f t="array" ref="AD681">IFERROR(AVERAGE(_xlfn._xlws.FILTER(V$2:V$1073,($C$2:$C$1073=$C681)*($E$2:$E$1073=$E681)*(ROW(V$2:V$1073)&lt;&gt;ROW(V681))*(V$2:V$1073&lt;&gt;""))),"")</f>
        <v>0.84810635929193534</v>
      </c>
      <c r="AE681">
        <f>IF('Дивиденды по годам'!M681&lt;0,1,0)</f>
        <v>0</v>
      </c>
    </row>
    <row r="682" spans="1:31" x14ac:dyDescent="0.2">
      <c r="A682" s="7" t="s">
        <v>2261</v>
      </c>
      <c r="B682" t="str">
        <f t="shared" si="110"/>
        <v>SVAV IV кв. 2017</v>
      </c>
      <c r="C682">
        <v>2017</v>
      </c>
      <c r="D682">
        <f>SUMIFS(Дивиденды!$C:$C,Дивиденды!$A:$A,A682,Дивиденды!$I:$I,C682)</f>
        <v>0</v>
      </c>
      <c r="E682">
        <v>4</v>
      </c>
      <c r="F682">
        <f t="shared" si="111"/>
        <v>0</v>
      </c>
      <c r="G682">
        <f t="shared" si="112"/>
        <v>18.403571428571428</v>
      </c>
      <c r="H682">
        <f t="shared" si="113"/>
        <v>0</v>
      </c>
      <c r="I682">
        <f t="shared" si="114"/>
        <v>0.14285714285714285</v>
      </c>
      <c r="J682">
        <f t="shared" si="115"/>
        <v>0</v>
      </c>
      <c r="K682">
        <f t="shared" si="120"/>
        <v>-1.7352821773673279E-2</v>
      </c>
      <c r="L682">
        <f t="shared" si="116"/>
        <v>0</v>
      </c>
      <c r="M682">
        <f t="shared" si="117"/>
        <v>0</v>
      </c>
      <c r="N682">
        <f t="shared" si="118"/>
        <v>0</v>
      </c>
      <c r="O682">
        <f t="shared" si="119"/>
        <v>0.14285714285714285</v>
      </c>
      <c r="P682">
        <f>IFERROR(LN('Дивиденды по годам'!I682),"")</f>
        <v>24.504086164758704</v>
      </c>
      <c r="Q682">
        <f>IFERROR('Дивиденды по годам'!G682/'Дивиденды по годам'!I682, "")</f>
        <v>0.25497126698896289</v>
      </c>
      <c r="R682">
        <f>IFERROR(IF(AND('Дивиденды по годам'!N682&lt;&gt;"",'Дивиденды по годам'!U682&lt;&gt;"",'Дивиденды по годам'!U682&lt;&gt;0),'Дивиденды по годам'!N682/'Дивиденды по годам'!U682-1,""),"")</f>
        <v>4.0144858370063652E-3</v>
      </c>
      <c r="S682">
        <f>IFERROR(IF(AND('Дивиденды по годам'!L682&lt;&gt;"",'Дивиденды по годам'!I682&lt;&gt;"",'Дивиденды по годам'!J682&lt;&gt;"",'Дивиденды по годам'!K682&lt;&gt;"",('Дивиденды по годам'!I682-'Дивиденды по годам'!J682-'Дивиденды по годам'!K682)&lt;&gt;0),'Дивиденды по годам'!L682/('Дивиденды по годам'!I682-'Дивиденды по годам'!J682-'Дивиденды по годам'!K682),""),"")</f>
        <v>0.63271328450229225</v>
      </c>
      <c r="T682">
        <f>IFERROR(IF(AND('Дивиденды по годам'!Q682&lt;&gt;"",'Дивиденды по годам'!I682&lt;&gt;"",'Дивиденды по годам'!V682&lt;&gt;"",('Дивиденды по годам'!I682+'Дивиденды по годам'!V682)&lt;&gt;0),'Дивиденды по годам'!Q682/(('Дивиденды по годам'!I682+'Дивиденды по годам'!V682)/2),""),"")</f>
        <v>2.3490682499559108E-2</v>
      </c>
      <c r="U682">
        <f>IFERROR(IF(AND('Дивиденды по годам'!J682&lt;&gt;"",'Дивиденды по годам'!K682&lt;&gt;"",'Дивиденды по годам'!M682&lt;&gt;"",'Дивиденды по годам'!M682&lt;&gt;0),('Дивиденды по годам'!J682+'Дивиденды по годам'!K682)/'Дивиденды по годам'!M682,""),"")</f>
        <v>1.3107972809190072</v>
      </c>
      <c r="V682">
        <f>IFERROR(IF(AND('Дивиденды по годам'!J682&lt;&gt;"",'Дивиденды по годам'!K682&lt;&gt;"",'Дивиденды по годам'!M682&lt;&gt;"",'Дивиденды по годам'!I682&lt;&gt;0),('Дивиденды по годам'!J682+'Дивиденды по годам'!K682)/'Дивиденды по годам'!I682,""),"")</f>
        <v>0.56724892821308037</v>
      </c>
      <c r="W682">
        <f>IFERROR('Дивиденды по годам'!I682,"")</f>
        <v>43852000000</v>
      </c>
      <c r="X682" cm="1">
        <f t="array" ref="X682">IFERROR(AVERAGE(_xlfn._xlws.FILTER(P$2:P$1073,($C$2:$C$1073=$C682)*($E$2:$E$1073=$E682)*(ROW(P$2:P$1073)&lt;&gt;ROW(P682))*(P$2:P$1073&lt;&gt;""))),"")</f>
        <v>24.774314632226734</v>
      </c>
      <c r="Y682" cm="1">
        <f t="array" ref="Y682">IFERROR(AVERAGE(_xlfn._xlws.FILTER(Q$2:Q$1073,($C$2:$C$1073=$C682)*($E$2:$E$1073=$E682)*(ROW(Q$2:Q$1073)&lt;&gt;ROW(Q682))*(Q$2:Q$1073&lt;&gt;""))),"")</f>
        <v>0.35395225027352079</v>
      </c>
      <c r="Z682" cm="1">
        <f t="array" ref="Z682">IFERROR(AVERAGE(_xlfn._xlws.FILTER(R$2:R$1073,($C$2:$C$1073=$C682)*($E$2:$E$1073=$E682)*(ROW(R$2:R$1073)&lt;&gt;ROW(R682))*(R$2:R$1073&lt;&gt;""))),"")</f>
        <v>0.29514286006106794</v>
      </c>
      <c r="AA682" cm="1">
        <f t="array" ref="AA682">IFERROR(AVERAGE(_xlfn._xlws.FILTER(S$2:S$1073,($C$2:$C$1073=$C682)*($E$2:$E$1073=$E682)*(ROW(S$2:S$1073)&lt;&gt;ROW(S682))*(S$2:S$1073&lt;&gt;""))),"")</f>
        <v>0.61525179565988164</v>
      </c>
      <c r="AB682" cm="1">
        <f t="array" ref="AB682">IFERROR(AVERAGE(_xlfn._xlws.FILTER(T$2:T$1073,($C$2:$C$1073=$C682)*($E$2:$E$1073=$E682)*(ROW(T$2:T$1073)&lt;&gt;ROW(T682))*(T$2:T$1073&lt;&gt;""))),"")</f>
        <v>-3.9678148315100858E-2</v>
      </c>
      <c r="AC682" cm="1">
        <f t="array" ref="AC682">IFERROR(AVERAGE(_xlfn._xlws.FILTER(U$2:U$1073,($C$2:$C$1073=$C682)*($E$2:$E$1073=$E682)*(ROW(U$2:U$1073)&lt;&gt;ROW(U682))*(U$2:U$1073&lt;&gt;""))),"")</f>
        <v>0.5121086560974496</v>
      </c>
      <c r="AD682" cm="1">
        <f t="array" ref="AD682">IFERROR(AVERAGE(_xlfn._xlws.FILTER(V$2:V$1073,($C$2:$C$1073=$C682)*($E$2:$E$1073=$E682)*(ROW(V$2:V$1073)&lt;&gt;ROW(V682))*(V$2:V$1073&lt;&gt;""))),"")</f>
        <v>0.68309077145966712</v>
      </c>
      <c r="AE682">
        <f>IF('Дивиденды по годам'!M682&lt;0,1,0)</f>
        <v>0</v>
      </c>
    </row>
    <row r="683" spans="1:31" x14ac:dyDescent="0.2">
      <c r="A683" s="7" t="s">
        <v>2261</v>
      </c>
      <c r="B683" t="str">
        <f t="shared" si="110"/>
        <v>SVAV IV кв. 2016</v>
      </c>
      <c r="C683">
        <v>2016</v>
      </c>
      <c r="D683">
        <f>SUMIFS(Дивиденды!$C:$C,Дивиденды!$A:$A,A683,Дивиденды!$I:$I,C683)</f>
        <v>0</v>
      </c>
      <c r="E683">
        <v>4</v>
      </c>
      <c r="F683">
        <f t="shared" si="111"/>
        <v>0</v>
      </c>
      <c r="G683">
        <f t="shared" si="112"/>
        <v>20.421428571428571</v>
      </c>
      <c r="H683">
        <f t="shared" si="113"/>
        <v>0</v>
      </c>
      <c r="I683">
        <f t="shared" si="114"/>
        <v>0.14285714285714285</v>
      </c>
      <c r="J683">
        <f t="shared" si="115"/>
        <v>0</v>
      </c>
      <c r="K683">
        <f t="shared" si="120"/>
        <v>2.0593461763560781E-2</v>
      </c>
      <c r="L683">
        <f t="shared" si="116"/>
        <v>0</v>
      </c>
      <c r="M683">
        <f t="shared" si="117"/>
        <v>7.1428571428571425E-2</v>
      </c>
      <c r="N683">
        <f t="shared" si="118"/>
        <v>0</v>
      </c>
      <c r="O683">
        <f t="shared" si="119"/>
        <v>7.1428571428571425E-2</v>
      </c>
      <c r="P683">
        <f>IFERROR(LN('Дивиденды по годам'!I683),"")</f>
        <v>24.441776906184948</v>
      </c>
      <c r="Q683">
        <f>IFERROR('Дивиденды по годам'!G683/'Дивиденды по годам'!I683, "")</f>
        <v>0.27070844355993495</v>
      </c>
      <c r="R683">
        <f>IFERROR(IF(AND('Дивиденды по годам'!N683&lt;&gt;"",'Дивиденды по годам'!U683&lt;&gt;"",'Дивиденды по годам'!U683&lt;&gt;0),'Дивиденды по годам'!N683/'Дивиденды по годам'!U683-1,""),"")</f>
        <v>-7.1136144358392661E-2</v>
      </c>
      <c r="S683">
        <f>IFERROR(IF(AND('Дивиденды по годам'!L683&lt;&gt;"",'Дивиденды по годам'!I683&lt;&gt;"",'Дивиденды по годам'!J683&lt;&gt;"",'Дивиденды по годам'!K683&lt;&gt;"",('Дивиденды по годам'!I683-'Дивиденды по годам'!J683-'Дивиденды по годам'!K683)&lt;&gt;0),'Дивиденды по годам'!L683/('Дивиденды по годам'!I683-'Дивиденды по годам'!J683-'Дивиденды по годам'!K683),""),"")</f>
        <v>0.61286016242073649</v>
      </c>
      <c r="T683">
        <f>IFERROR(IF(AND('Дивиденды по годам'!Q683&lt;&gt;"",'Дивиденды по годам'!I683&lt;&gt;"",'Дивиденды по годам'!V683&lt;&gt;"",('Дивиденды по годам'!I683+'Дивиденды по годам'!V683)&lt;&gt;0),'Дивиденды по годам'!Q683/(('Дивиденды по годам'!I683+'Дивиденды по годам'!V683)/2),""),"")</f>
        <v>4.237075068478649E-2</v>
      </c>
      <c r="U683">
        <f>IFERROR(IF(AND('Дивиденды по годам'!J683&lt;&gt;"",'Дивиденды по годам'!K683&lt;&gt;"",'Дивиденды по годам'!M683&lt;&gt;"",'Дивиденды по годам'!M683&lt;&gt;0),('Дивиденды по годам'!J683+'Дивиденды по годам'!K683)/'Дивиденды по годам'!M683,""),"")</f>
        <v>1.2918567137612638</v>
      </c>
      <c r="V683">
        <f>IFERROR(IF(AND('Дивиденды по годам'!J683&lt;&gt;"",'Дивиденды по годам'!K683&lt;&gt;"",'Дивиденды по годам'!M683&lt;&gt;"",'Дивиденды по годам'!I683&lt;&gt;0),('Дивиденды по годам'!J683+'Дивиденды по годам'!K683)/'Дивиденды по годам'!I683,""),"")</f>
        <v>0.56367254811542844</v>
      </c>
      <c r="W683">
        <f>IFERROR('Дивиденды по годам'!I683,"")</f>
        <v>41203000000</v>
      </c>
      <c r="X683" cm="1">
        <f t="array" ref="X683">IFERROR(AVERAGE(_xlfn._xlws.FILTER(P$2:P$1073,($C$2:$C$1073=$C683)*($E$2:$E$1073=$E683)*(ROW(P$2:P$1073)&lt;&gt;ROW(P683))*(P$2:P$1073&lt;&gt;""))),"")</f>
        <v>24.583692756398559</v>
      </c>
      <c r="Y683" cm="1">
        <f t="array" ref="Y683">IFERROR(AVERAGE(_xlfn._xlws.FILTER(Q$2:Q$1073,($C$2:$C$1073=$C683)*($E$2:$E$1073=$E683)*(ROW(Q$2:Q$1073)&lt;&gt;ROW(Q683))*(Q$2:Q$1073&lt;&gt;""))),"")</f>
        <v>0.28080547535736783</v>
      </c>
      <c r="Z683" cm="1">
        <f t="array" ref="Z683">IFERROR(AVERAGE(_xlfn._xlws.FILTER(R$2:R$1073,($C$2:$C$1073=$C683)*($E$2:$E$1073=$E683)*(ROW(R$2:R$1073)&lt;&gt;ROW(R683))*(R$2:R$1073&lt;&gt;""))),"")</f>
        <v>0.24520972704055821</v>
      </c>
      <c r="AA683" cm="1">
        <f t="array" ref="AA683">IFERROR(AVERAGE(_xlfn._xlws.FILTER(S$2:S$1073,($C$2:$C$1073=$C683)*($E$2:$E$1073=$E683)*(ROW(S$2:S$1073)&lt;&gt;ROW(S683))*(S$2:S$1073&lt;&gt;""))),"")</f>
        <v>7.6191201743465564</v>
      </c>
      <c r="AB683" cm="1">
        <f t="array" ref="AB683">IFERROR(AVERAGE(_xlfn._xlws.FILTER(T$2:T$1073,($C$2:$C$1073=$C683)*($E$2:$E$1073=$E683)*(ROW(T$2:T$1073)&lt;&gt;ROW(T683))*(T$2:T$1073&lt;&gt;""))),"")</f>
        <v>-4.088373854795771E-2</v>
      </c>
      <c r="AC683" cm="1">
        <f t="array" ref="AC683">IFERROR(AVERAGE(_xlfn._xlws.FILTER(U$2:U$1073,($C$2:$C$1073=$C683)*($E$2:$E$1073=$E683)*(ROW(U$2:U$1073)&lt;&gt;ROW(U683))*(U$2:U$1073&lt;&gt;""))),"")</f>
        <v>-20.378598804857674</v>
      </c>
      <c r="AD683" cm="1">
        <f t="array" ref="AD683">IFERROR(AVERAGE(_xlfn._xlws.FILTER(V$2:V$1073,($C$2:$C$1073=$C683)*($E$2:$E$1073=$E683)*(ROW(V$2:V$1073)&lt;&gt;ROW(V683))*(V$2:V$1073&lt;&gt;""))),"")</f>
        <v>0.66768039817291414</v>
      </c>
      <c r="AE683">
        <f>IF('Дивиденды по годам'!M683&lt;0,1,0)</f>
        <v>0</v>
      </c>
    </row>
    <row r="684" spans="1:31" x14ac:dyDescent="0.2">
      <c r="A684" s="7" t="s">
        <v>2261</v>
      </c>
      <c r="B684" t="str">
        <f t="shared" si="110"/>
        <v>SVAV IV кв. 2015</v>
      </c>
      <c r="C684">
        <v>2015</v>
      </c>
      <c r="D684">
        <f>SUMIFS(Дивиденды!$C:$C,Дивиденды!$A:$A,A684,Дивиденды!$I:$I,C684)</f>
        <v>0</v>
      </c>
      <c r="E684">
        <v>4</v>
      </c>
      <c r="F684">
        <f t="shared" si="111"/>
        <v>0</v>
      </c>
      <c r="G684">
        <f t="shared" si="112"/>
        <v>22.574999999999999</v>
      </c>
      <c r="H684">
        <f t="shared" si="113"/>
        <v>0</v>
      </c>
      <c r="I684">
        <f t="shared" si="114"/>
        <v>0.14285714285714285</v>
      </c>
      <c r="J684">
        <f t="shared" si="115"/>
        <v>0</v>
      </c>
      <c r="K684">
        <f t="shared" si="120"/>
        <v>6.1102189263868886E-2</v>
      </c>
      <c r="L684">
        <f t="shared" si="116"/>
        <v>0</v>
      </c>
      <c r="M684">
        <f t="shared" si="117"/>
        <v>7.1428571428571425E-2</v>
      </c>
      <c r="N684">
        <f t="shared" si="118"/>
        <v>0</v>
      </c>
      <c r="O684">
        <f t="shared" si="119"/>
        <v>7.1428571428571425E-2</v>
      </c>
      <c r="P684">
        <f>IFERROR(LN('Дивиденды по годам'!I684),"")</f>
        <v>24.260391735832812</v>
      </c>
      <c r="Q684">
        <f>IFERROR('Дивиденды по годам'!G684/'Дивиденды по годам'!I684, "")</f>
        <v>0.30484753258845437</v>
      </c>
      <c r="R684">
        <f>IFERROR(IF(AND('Дивиденды по годам'!N684&lt;&gt;"",'Дивиденды по годам'!U684&lt;&gt;"",'Дивиденды по годам'!U684&lt;&gt;0),'Дивиденды по годам'!N684/'Дивиденды по годам'!U684-1,""),"")</f>
        <v>-0.19951155363516815</v>
      </c>
      <c r="S684">
        <f>IFERROR(IF(AND('Дивиденды по годам'!L684&lt;&gt;"",'Дивиденды по годам'!I684&lt;&gt;"",'Дивиденды по годам'!J684&lt;&gt;"",'Дивиденды по годам'!K684&lt;&gt;"",('Дивиденды по годам'!I684-'Дивиденды по годам'!J684-'Дивиденды по годам'!K684)&lt;&gt;0),'Дивиденды по годам'!L684/('Дивиденды по годам'!I684-'Дивиденды по годам'!J684-'Дивиденды по годам'!K684),""),"")</f>
        <v>0.57495267753556822</v>
      </c>
      <c r="T684">
        <f>IFERROR(IF(AND('Дивиденды по годам'!Q684&lt;&gt;"",'Дивиденды по годам'!I684&lt;&gt;"",'Дивиденды по годам'!V684&lt;&gt;"",('Дивиденды по годам'!I684+'Дивиденды по годам'!V684)&lt;&gt;0),'Дивиденды по годам'!Q684/(('Дивиденды по годам'!I684+'Дивиденды по годам'!V684)/2),""),"")</f>
        <v>8.2411182294700056E-2</v>
      </c>
      <c r="U684">
        <f>IFERROR(IF(AND('Дивиденды по годам'!J684&lt;&gt;"",'Дивиденды по годам'!K684&lt;&gt;"",'Дивиденды по годам'!M684&lt;&gt;"",'Дивиденды по годам'!M684&lt;&gt;0),('Дивиденды по годам'!J684+'Дивиденды по годам'!K684)/'Дивиденды по годам'!M684,""),"")</f>
        <v>1.0985528485070526</v>
      </c>
      <c r="V684">
        <f>IFERROR(IF(AND('Дивиденды по годам'!J684&lt;&gt;"",'Дивиденды по годам'!K684&lt;&gt;"",'Дивиденды по годам'!M684&lt;&gt;"",'Дивиденды по годам'!I684&lt;&gt;0),('Дивиденды по годам'!J684+'Дивиденды по годам'!K684)/'Дивиденды по годам'!I684,""),"")</f>
        <v>0.52348114525139666</v>
      </c>
      <c r="W684">
        <f>IFERROR('Дивиденды по годам'!I684,"")</f>
        <v>34368000000</v>
      </c>
      <c r="X684" cm="1">
        <f t="array" ref="X684">IFERROR(AVERAGE(_xlfn._xlws.FILTER(P$2:P$1073,($C$2:$C$1073=$C684)*($E$2:$E$1073=$E684)*(ROW(P$2:P$1073)&lt;&gt;ROW(P684))*(P$2:P$1073&lt;&gt;""))),"")</f>
        <v>24.959679275054327</v>
      </c>
      <c r="Y684" cm="1">
        <f t="array" ref="Y684">IFERROR(AVERAGE(_xlfn._xlws.FILTER(Q$2:Q$1073,($C$2:$C$1073=$C684)*($E$2:$E$1073=$E684)*(ROW(Q$2:Q$1073)&lt;&gt;ROW(Q684))*(Q$2:Q$1073&lt;&gt;""))),"")</f>
        <v>0.29448158227714544</v>
      </c>
      <c r="Z684" cm="1">
        <f t="array" ref="Z684">IFERROR(AVERAGE(_xlfn._xlws.FILTER(R$2:R$1073,($C$2:$C$1073=$C684)*($E$2:$E$1073=$E684)*(ROW(R$2:R$1073)&lt;&gt;ROW(R684))*(R$2:R$1073&lt;&gt;""))),"")</f>
        <v>0.33416635249927729</v>
      </c>
      <c r="AA684" cm="1">
        <f t="array" ref="AA684">IFERROR(AVERAGE(_xlfn._xlws.FILTER(S$2:S$1073,($C$2:$C$1073=$C684)*($E$2:$E$1073=$E684)*(ROW(S$2:S$1073)&lt;&gt;ROW(S684))*(S$2:S$1073&lt;&gt;""))),"")</f>
        <v>-1.0014757282429285</v>
      </c>
      <c r="AB684" cm="1">
        <f t="array" ref="AB684">IFERROR(AVERAGE(_xlfn._xlws.FILTER(T$2:T$1073,($C$2:$C$1073=$C684)*($E$2:$E$1073=$E684)*(ROW(T$2:T$1073)&lt;&gt;ROW(T684))*(T$2:T$1073&lt;&gt;""))),"")</f>
        <v>5.7905547492733696E-2</v>
      </c>
      <c r="AC684" cm="1">
        <f t="array" ref="AC684">IFERROR(AVERAGE(_xlfn._xlws.FILTER(U$2:U$1073,($C$2:$C$1073=$C684)*($E$2:$E$1073=$E684)*(ROW(U$2:U$1073)&lt;&gt;ROW(U684))*(U$2:U$1073&lt;&gt;""))),"")</f>
        <v>6.9924296605346266</v>
      </c>
      <c r="AD684" cm="1">
        <f t="array" ref="AD684">IFERROR(AVERAGE(_xlfn._xlws.FILTER(V$2:V$1073,($C$2:$C$1073=$C684)*($E$2:$E$1073=$E684)*(ROW(V$2:V$1073)&lt;&gt;ROW(V684))*(V$2:V$1073&lt;&gt;""))),"")</f>
        <v>0.66679325744773277</v>
      </c>
      <c r="AE684">
        <f>IF('Дивиденды по годам'!M684&lt;0,1,0)</f>
        <v>0</v>
      </c>
    </row>
    <row r="685" spans="1:31" x14ac:dyDescent="0.2">
      <c r="A685" s="7" t="s">
        <v>2261</v>
      </c>
      <c r="B685" t="str">
        <f t="shared" si="110"/>
        <v>SVAV IV кв. 2014</v>
      </c>
      <c r="C685">
        <v>2014</v>
      </c>
      <c r="D685">
        <f>SUMIFS(Дивиденды!$C:$C,Дивиденды!$A:$A,A685,Дивиденды!$I:$I,C685)</f>
        <v>0</v>
      </c>
      <c r="E685">
        <v>4</v>
      </c>
      <c r="F685">
        <f t="shared" si="111"/>
        <v>0</v>
      </c>
      <c r="G685">
        <f t="shared" si="112"/>
        <v>25.924285714285713</v>
      </c>
      <c r="H685">
        <f t="shared" si="113"/>
        <v>0</v>
      </c>
      <c r="I685">
        <f t="shared" si="114"/>
        <v>7.1428571428571425E-2</v>
      </c>
      <c r="J685">
        <f t="shared" si="115"/>
        <v>-1</v>
      </c>
      <c r="K685">
        <f t="shared" si="120"/>
        <v>0.12030492250150558</v>
      </c>
      <c r="L685">
        <f t="shared" si="116"/>
        <v>0</v>
      </c>
      <c r="M685">
        <f t="shared" si="117"/>
        <v>7.1428571428571425E-2</v>
      </c>
      <c r="N685">
        <f t="shared" si="118"/>
        <v>1</v>
      </c>
      <c r="O685">
        <f t="shared" si="119"/>
        <v>0</v>
      </c>
      <c r="P685">
        <f>IFERROR(LN('Дивиденды по годам'!I685),"")</f>
        <v>24.441218538546053</v>
      </c>
      <c r="Q685">
        <f>IFERROR('Дивиденды по годам'!G685/'Дивиденды по годам'!I685, "")</f>
        <v>0.2331714424477902</v>
      </c>
      <c r="R685">
        <f>IFERROR(IF(AND('Дивиденды по годам'!N685&lt;&gt;"",'Дивиденды по годам'!U685&lt;&gt;"",'Дивиденды по годам'!U685&lt;&gt;0),'Дивиденды по годам'!N685/'Дивиденды по годам'!U685-1,""),"")</f>
        <v>-0.21869954498752386</v>
      </c>
      <c r="S685" t="str">
        <f>IFERROR(IF(AND('Дивиденды по годам'!L685&lt;&gt;"",'Дивиденды по годам'!I685&lt;&gt;"",'Дивиденды по годам'!J685&lt;&gt;"",'Дивиденды по годам'!K685&lt;&gt;"",('Дивиденды по годам'!I685-'Дивиденды по годам'!J685-'Дивиденды по годам'!K685)&lt;&gt;0),'Дивиденды по годам'!L685/('Дивиденды по годам'!I685-'Дивиденды по годам'!J685-'Дивиденды по годам'!K685),""),"")</f>
        <v/>
      </c>
      <c r="T685">
        <f>IFERROR(IF(AND('Дивиденды по годам'!Q685&lt;&gt;"",'Дивиденды по годам'!I685&lt;&gt;"",'Дивиденды по годам'!V685&lt;&gt;"",('Дивиденды по годам'!I685+'Дивиденды по годам'!V685)&lt;&gt;0),'Дивиденды по годам'!Q685/(('Дивиденды по годам'!I685+'Дивиденды по годам'!V685)/2),""),"")</f>
        <v>-8.7085232106851901E-2</v>
      </c>
      <c r="U685">
        <f>IFERROR(IF(AND('Дивиденды по годам'!J685&lt;&gt;"",'Дивиденды по годам'!K685&lt;&gt;"",'Дивиденды по годам'!M685&lt;&gt;"",'Дивиденды по годам'!M685&lt;&gt;0),('Дивиденды по годам'!J685+'Дивиденды по годам'!K685)/'Дивиденды по годам'!M685,""),"")</f>
        <v>2.0594353640416045</v>
      </c>
      <c r="V685">
        <f>IFERROR(IF(AND('Дивиденды по годам'!J685&lt;&gt;"",'Дивиденды по годам'!K685&lt;&gt;"",'Дивиденды по годам'!M685&lt;&gt;"",'Дивиденды по годам'!I685&lt;&gt;0),('Дивиденды по годам'!J685+'Дивиденды по годам'!K685)/'Дивиденды по годам'!I685,""),"")</f>
        <v>0.67314230208839243</v>
      </c>
      <c r="W685">
        <f>IFERROR('Дивиденды по годам'!I685,"")</f>
        <v>41180000000</v>
      </c>
      <c r="X685" cm="1">
        <f t="array" ref="X685">IFERROR(AVERAGE(_xlfn._xlws.FILTER(P$2:P$1073,($C$2:$C$1073=$C685)*($E$2:$E$1073=$E685)*(ROW(P$2:P$1073)&lt;&gt;ROW(P685))*(P$2:P$1073&lt;&gt;""))),"")</f>
        <v>24.890062204267853</v>
      </c>
      <c r="Y685" cm="1">
        <f t="array" ref="Y685">IFERROR(AVERAGE(_xlfn._xlws.FILTER(Q$2:Q$1073,($C$2:$C$1073=$C685)*($E$2:$E$1073=$E685)*(ROW(Q$2:Q$1073)&lt;&gt;ROW(Q685))*(Q$2:Q$1073&lt;&gt;""))),"")</f>
        <v>0.30887554084096269</v>
      </c>
      <c r="Z685" cm="1">
        <f t="array" ref="Z685">IFERROR(AVERAGE(_xlfn._xlws.FILTER(R$2:R$1073,($C$2:$C$1073=$C685)*($E$2:$E$1073=$E685)*(ROW(R$2:R$1073)&lt;&gt;ROW(R685))*(R$2:R$1073&lt;&gt;""))),"")</f>
        <v>0.18692277604224028</v>
      </c>
      <c r="AA685" cm="1">
        <f t="array" ref="AA685">IFERROR(AVERAGE(_xlfn._xlws.FILTER(S$2:S$1073,($C$2:$C$1073=$C685)*($E$2:$E$1073=$E685)*(ROW(S$2:S$1073)&lt;&gt;ROW(S685))*(S$2:S$1073&lt;&gt;""))),"")</f>
        <v>-8.9932559622525012</v>
      </c>
      <c r="AB685" cm="1">
        <f t="array" ref="AB685">IFERROR(AVERAGE(_xlfn._xlws.FILTER(T$2:T$1073,($C$2:$C$1073=$C685)*($E$2:$E$1073=$E685)*(ROW(T$2:T$1073)&lt;&gt;ROW(T685))*(T$2:T$1073&lt;&gt;""))),"")</f>
        <v>7.5639841690618131E-2</v>
      </c>
      <c r="AC685" cm="1">
        <f t="array" ref="AC685">IFERROR(AVERAGE(_xlfn._xlws.FILTER(U$2:U$1073,($C$2:$C$1073=$C685)*($E$2:$E$1073=$E685)*(ROW(U$2:U$1073)&lt;&gt;ROW(U685))*(U$2:U$1073&lt;&gt;""))),"")</f>
        <v>45.239228975931155</v>
      </c>
      <c r="AD685" cm="1">
        <f t="array" ref="AD685">IFERROR(AVERAGE(_xlfn._xlws.FILTER(V$2:V$1073,($C$2:$C$1073=$C685)*($E$2:$E$1073=$E685)*(ROW(V$2:V$1073)&lt;&gt;ROW(V685))*(V$2:V$1073&lt;&gt;""))),"")</f>
        <v>0.67483248215778247</v>
      </c>
      <c r="AE685">
        <f>IF('Дивиденды по годам'!M685&lt;0,1,0)</f>
        <v>0</v>
      </c>
    </row>
    <row r="686" spans="1:31" x14ac:dyDescent="0.2">
      <c r="A686" s="7" t="s">
        <v>2261</v>
      </c>
      <c r="B686" t="str">
        <f t="shared" si="110"/>
        <v>SVAV IV кв. 2013</v>
      </c>
      <c r="C686">
        <v>2013</v>
      </c>
      <c r="D686">
        <f>SUMIFS(Дивиденды!$C:$C,Дивиденды!$A:$A,A686,Дивиденды!$I:$I,C686)</f>
        <v>52.52</v>
      </c>
      <c r="E686">
        <v>4</v>
      </c>
      <c r="F686">
        <f t="shared" si="111"/>
        <v>52.52</v>
      </c>
      <c r="G686">
        <f t="shared" si="112"/>
        <v>9.6578571428571429</v>
      </c>
      <c r="H686">
        <f t="shared" si="113"/>
        <v>1</v>
      </c>
      <c r="I686">
        <f t="shared" si="114"/>
        <v>7.1428571428571425E-2</v>
      </c>
      <c r="J686">
        <f t="shared" si="115"/>
        <v>0</v>
      </c>
      <c r="K686">
        <f t="shared" si="120"/>
        <v>4.7291245939064024E-2</v>
      </c>
      <c r="L686">
        <f t="shared" si="116"/>
        <v>0</v>
      </c>
      <c r="M686">
        <f t="shared" si="117"/>
        <v>7.1428571428571425E-2</v>
      </c>
      <c r="N686">
        <f t="shared" si="118"/>
        <v>0</v>
      </c>
      <c r="O686">
        <f t="shared" si="119"/>
        <v>0</v>
      </c>
      <c r="P686">
        <f>IFERROR(LN('Дивиденды по годам'!I686),"")</f>
        <v>24.52147043717434</v>
      </c>
      <c r="Q686">
        <f>IFERROR('Дивиденды по годам'!G686/'Дивиденды по годам'!I686, "")</f>
        <v>0.21180610026669058</v>
      </c>
      <c r="R686">
        <f>IFERROR(IF(AND('Дивиденды по годам'!N686&lt;&gt;"",'Дивиденды по годам'!U686&lt;&gt;"",'Дивиденды по годам'!U686&lt;&gt;0),'Дивиденды по годам'!N686/'Дивиденды по годам'!U686-1,""),"")</f>
        <v>-6.4562388442234053E-2</v>
      </c>
      <c r="S686" t="str">
        <f>IFERROR(IF(AND('Дивиденды по годам'!L686&lt;&gt;"",'Дивиденды по годам'!I686&lt;&gt;"",'Дивиденды по годам'!J686&lt;&gt;"",'Дивиденды по годам'!K686&lt;&gt;"",('Дивиденды по годам'!I686-'Дивиденды по годам'!J686-'Дивиденды по годам'!K686)&lt;&gt;0),'Дивиденды по годам'!L686/('Дивиденды по годам'!I686-'Дивиденды по годам'!J686-'Дивиденды по годам'!K686),""),"")</f>
        <v/>
      </c>
      <c r="T686">
        <f>IFERROR(IF(AND('Дивиденды по годам'!Q686&lt;&gt;"",'Дивиденды по годам'!I686&lt;&gt;"",'Дивиденды по годам'!V686&lt;&gt;"",('Дивиденды по годам'!I686+'Дивиденды по годам'!V686)&lt;&gt;0),'Дивиденды по годам'!Q686/(('Дивиденды по годам'!I686+'Дивиденды по годам'!V686)/2),""),"")</f>
        <v>7.8815780778465544E-2</v>
      </c>
      <c r="U686">
        <f>IFERROR(IF(AND('Дивиденды по годам'!J686&lt;&gt;"",'Дивиденды по годам'!K686&lt;&gt;"",'Дивиденды по годам'!M686&lt;&gt;"",'Дивиденды по годам'!M686&lt;&gt;0),('Дивиденды по годам'!J686+'Дивиденды по годам'!K686)/'Дивиденды по годам'!M686,""),"")</f>
        <v>1.1477185213708125</v>
      </c>
      <c r="V686">
        <f>IFERROR(IF(AND('Дивиденды по годам'!J686&lt;&gt;"",'Дивиденды по годам'!K686&lt;&gt;"",'Дивиденды по годам'!M686&lt;&gt;"",'Дивиденды по годам'!I686&lt;&gt;0),('Дивиденды по годам'!J686+'Дивиденды по годам'!K686)/'Дивиденды по годам'!I686,""),"")</f>
        <v>0.53438963716635668</v>
      </c>
      <c r="W686">
        <f>IFERROR('Дивиденды по годам'!I686,"")</f>
        <v>44621000000</v>
      </c>
      <c r="X686" cm="1">
        <f t="array" ref="X686">IFERROR(AVERAGE(_xlfn._xlws.FILTER(P$2:P$1073,($C$2:$C$1073=$C686)*($E$2:$E$1073=$E686)*(ROW(P$2:P$1073)&lt;&gt;ROW(P686))*(P$2:P$1073&lt;&gt;""))),"")</f>
        <v>24.201254021370847</v>
      </c>
      <c r="Y686" cm="1">
        <f t="array" ref="Y686">IFERROR(AVERAGE(_xlfn._xlws.FILTER(Q$2:Q$1073,($C$2:$C$1073=$C686)*($E$2:$E$1073=$E686)*(ROW(Q$2:Q$1073)&lt;&gt;ROW(Q686))*(Q$2:Q$1073&lt;&gt;""))),"")</f>
        <v>0.39352293262665317</v>
      </c>
      <c r="Z686" cm="1">
        <f t="array" ref="Z686">IFERROR(AVERAGE(_xlfn._xlws.FILTER(R$2:R$1073,($C$2:$C$1073=$C686)*($E$2:$E$1073=$E686)*(ROW(R$2:R$1073)&lt;&gt;ROW(R686))*(R$2:R$1073&lt;&gt;""))),"")</f>
        <v>0.25527201837597763</v>
      </c>
      <c r="AA686" t="str" cm="1">
        <f t="array" ref="AA686">IFERROR(AVERAGE(_xlfn._xlws.FILTER(S$2:S$1073,($C$2:$C$1073=$C686)*($E$2:$E$1073=$E686)*(ROW(S$2:S$1073)&lt;&gt;ROW(S686))*(S$2:S$1073&lt;&gt;""))),"")</f>
        <v/>
      </c>
      <c r="AB686" cm="1">
        <f t="array" ref="AB686">IFERROR(AVERAGE(_xlfn._xlws.FILTER(T$2:T$1073,($C$2:$C$1073=$C686)*($E$2:$E$1073=$E686)*(ROW(T$2:T$1073)&lt;&gt;ROW(T686))*(T$2:T$1073&lt;&gt;""))),"")</f>
        <v>-0.19280714776986532</v>
      </c>
      <c r="AC686" cm="1">
        <f t="array" ref="AC686">IFERROR(AVERAGE(_xlfn._xlws.FILTER(U$2:U$1073,($C$2:$C$1073=$C686)*($E$2:$E$1073=$E686)*(ROW(U$2:U$1073)&lt;&gt;ROW(U686))*(U$2:U$1073&lt;&gt;""))),"")</f>
        <v>0.21165218864740973</v>
      </c>
      <c r="AD686" cm="1">
        <f t="array" ref="AD686">IFERROR(AVERAGE(_xlfn._xlws.FILTER(V$2:V$1073,($C$2:$C$1073=$C686)*($E$2:$E$1073=$E686)*(ROW(V$2:V$1073)&lt;&gt;ROW(V686))*(V$2:V$1073&lt;&gt;""))),"")</f>
        <v>1.5982300287434252</v>
      </c>
      <c r="AE686">
        <f>IF('Дивиденды по годам'!M686&lt;0,1,0)</f>
        <v>0</v>
      </c>
    </row>
    <row r="687" spans="1:31" x14ac:dyDescent="0.2">
      <c r="A687" s="7" t="s">
        <v>2261</v>
      </c>
      <c r="B687" t="str">
        <f t="shared" si="110"/>
        <v>SVAV IV кв. 2012</v>
      </c>
      <c r="C687">
        <v>2012</v>
      </c>
      <c r="D687">
        <f>SUMIFS(Дивиденды!$C:$C,Дивиденды!$A:$A,A687,Дивиденды!$I:$I,C687)</f>
        <v>52.52</v>
      </c>
      <c r="E687">
        <v>4</v>
      </c>
      <c r="F687">
        <f t="shared" si="111"/>
        <v>52.52</v>
      </c>
      <c r="G687">
        <f t="shared" si="112"/>
        <v>5.8107142857142851</v>
      </c>
      <c r="H687">
        <f t="shared" si="113"/>
        <v>1</v>
      </c>
      <c r="I687">
        <f t="shared" si="114"/>
        <v>7.1428571428571425E-2</v>
      </c>
      <c r="J687">
        <f t="shared" si="115"/>
        <v>1</v>
      </c>
      <c r="K687">
        <f t="shared" si="120"/>
        <v>0.18198243100118372</v>
      </c>
      <c r="L687">
        <f t="shared" si="116"/>
        <v>1</v>
      </c>
      <c r="M687">
        <f t="shared" si="117"/>
        <v>7.1428571428571425E-2</v>
      </c>
      <c r="N687">
        <f t="shared" si="118"/>
        <v>0</v>
      </c>
      <c r="O687">
        <f t="shared" si="119"/>
        <v>0</v>
      </c>
      <c r="P687">
        <f>IFERROR(LN('Дивиденды по годам'!I687),"")</f>
        <v>24.555661048612336</v>
      </c>
      <c r="Q687">
        <f>IFERROR('Дивиденды по годам'!G687/'Дивиденды по годам'!I687, "")</f>
        <v>0.24990795486539752</v>
      </c>
      <c r="R687">
        <f>IFERROR(IF(AND('Дивиденды по годам'!N687&lt;&gt;"",'Дивиденды по годам'!U687&lt;&gt;"",'Дивиденды по годам'!U687&lt;&gt;0),'Дивиденды по годам'!N687/'Дивиденды по годам'!U687-1,""),"")</f>
        <v>-5.7269419395665211E-2</v>
      </c>
      <c r="S687" t="str">
        <f>IFERROR(IF(AND('Дивиденды по годам'!L687&lt;&gt;"",'Дивиденды по годам'!I687&lt;&gt;"",'Дивиденды по годам'!J687&lt;&gt;"",'Дивиденды по годам'!K687&lt;&gt;"",('Дивиденды по годам'!I687-'Дивиденды по годам'!J687-'Дивиденды по годам'!K687)&lt;&gt;0),'Дивиденды по годам'!L687/('Дивиденды по годам'!I687-'Дивиденды по годам'!J687-'Дивиденды по годам'!K687),""),"")</f>
        <v/>
      </c>
      <c r="T687">
        <f>IFERROR(IF(AND('Дивиденды по годам'!Q687&lt;&gt;"",'Дивиденды по годам'!I687&lt;&gt;"",'Дивиденды по годам'!V687&lt;&gt;"",('Дивиденды по годам'!I687+'Дивиденды по годам'!V687)&lt;&gt;0),'Дивиденды по годам'!Q687/(('Дивиденды по годам'!I687+'Дивиденды по годам'!V687)/2),""),"")</f>
        <v>0.12346352881900344</v>
      </c>
      <c r="U687">
        <f>IFERROR(IF(AND('Дивиденды по годам'!J687&lt;&gt;"",'Дивиденды по годам'!K687&lt;&gt;"",'Дивиденды по годам'!M687&lt;&gt;"",'Дивиденды по годам'!M687&lt;&gt;0),('Дивиденды по годам'!J687+'Дивиденды по годам'!K687)/'Дивиденды по годам'!M687,""),"")</f>
        <v>1.3225855130784707</v>
      </c>
      <c r="V687">
        <f>IFERROR(IF(AND('Дивиденды по годам'!J687&lt;&gt;"",'Дивиденды по годам'!K687&lt;&gt;"",'Дивиденды по годам'!M687&lt;&gt;"",'Дивиденды по годам'!I687&lt;&gt;0),('Дивиденды по годам'!J687+'Дивиденды по годам'!K687)/'Дивиденды по годам'!I687,""),"")</f>
        <v>0.56944534684772485</v>
      </c>
      <c r="W687">
        <f>IFERROR('Дивиденды по годам'!I687,"")</f>
        <v>46173000000</v>
      </c>
      <c r="X687" cm="1">
        <f t="array" ref="X687">IFERROR(AVERAGE(_xlfn._xlws.FILTER(P$2:P$1073,($C$2:$C$1073=$C687)*($E$2:$E$1073=$E687)*(ROW(P$2:P$1073)&lt;&gt;ROW(P687))*(P$2:P$1073&lt;&gt;""))),"")</f>
        <v>24.1465478712446</v>
      </c>
      <c r="Y687" cm="1">
        <f t="array" ref="Y687">IFERROR(AVERAGE(_xlfn._xlws.FILTER(Q$2:Q$1073,($C$2:$C$1073=$C687)*($E$2:$E$1073=$E687)*(ROW(Q$2:Q$1073)&lt;&gt;ROW(Q687))*(Q$2:Q$1073&lt;&gt;""))),"")</f>
        <v>0.2900931143039579</v>
      </c>
      <c r="Z687" cm="1">
        <f t="array" ref="Z687">IFERROR(AVERAGE(_xlfn._xlws.FILTER(R$2:R$1073,($C$2:$C$1073=$C687)*($E$2:$E$1073=$E687)*(ROW(R$2:R$1073)&lt;&gt;ROW(R687))*(R$2:R$1073&lt;&gt;""))),"")</f>
        <v>-1.3835591991680551E-2</v>
      </c>
      <c r="AA687" cm="1">
        <f t="array" ref="AA687">IFERROR(AVERAGE(_xlfn._xlws.FILTER(S$2:S$1073,($C$2:$C$1073=$C687)*($E$2:$E$1073=$E687)*(ROW(S$2:S$1073)&lt;&gt;ROW(S687))*(S$2:S$1073&lt;&gt;""))),"")</f>
        <v>-1.7651061513336963</v>
      </c>
      <c r="AB687" cm="1">
        <f t="array" ref="AB687">IFERROR(AVERAGE(_xlfn._xlws.FILTER(T$2:T$1073,($C$2:$C$1073=$C687)*($E$2:$E$1073=$E687)*(ROW(T$2:T$1073)&lt;&gt;ROW(T687))*(T$2:T$1073&lt;&gt;""))),"")</f>
        <v>5.463469169050085E-2</v>
      </c>
      <c r="AC687" cm="1">
        <f t="array" ref="AC687">IFERROR(AVERAGE(_xlfn._xlws.FILTER(U$2:U$1073,($C$2:$C$1073=$C687)*($E$2:$E$1073=$E687)*(ROW(U$2:U$1073)&lt;&gt;ROW(U687))*(U$2:U$1073&lt;&gt;""))),"")</f>
        <v>-5.2846337400433008</v>
      </c>
      <c r="AD687" cm="1">
        <f t="array" ref="AD687">IFERROR(AVERAGE(_xlfn._xlws.FILTER(V$2:V$1073,($C$2:$C$1073=$C687)*($E$2:$E$1073=$E687)*(ROW(V$2:V$1073)&lt;&gt;ROW(V687))*(V$2:V$1073&lt;&gt;""))),"")</f>
        <v>0.71419864848952774</v>
      </c>
      <c r="AE687">
        <f>IF('Дивиденды по годам'!M687&lt;0,1,0)</f>
        <v>0</v>
      </c>
    </row>
    <row r="688" spans="1:31" x14ac:dyDescent="0.2">
      <c r="A688" s="7" t="s">
        <v>2261</v>
      </c>
      <c r="B688" t="str">
        <f t="shared" si="110"/>
        <v>SVAV IV кв. 2011</v>
      </c>
      <c r="C688">
        <v>2011</v>
      </c>
      <c r="D688">
        <f>SUMIFS(Дивиденды!$C:$C,Дивиденды!$A:$A,A688,Дивиденды!$I:$I,C688)</f>
        <v>0</v>
      </c>
      <c r="E688">
        <v>4</v>
      </c>
      <c r="F688">
        <f t="shared" si="111"/>
        <v>0</v>
      </c>
      <c r="G688">
        <f t="shared" si="112"/>
        <v>1.6378571428571429</v>
      </c>
      <c r="H688">
        <f t="shared" si="113"/>
        <v>0</v>
      </c>
      <c r="I688">
        <f t="shared" si="114"/>
        <v>7.1428571428571425E-2</v>
      </c>
      <c r="J688">
        <f t="shared" si="115"/>
        <v>0</v>
      </c>
      <c r="K688">
        <f t="shared" si="120"/>
        <v>0.17786475320721892</v>
      </c>
      <c r="L688">
        <f t="shared" si="116"/>
        <v>0</v>
      </c>
      <c r="M688">
        <f t="shared" si="117"/>
        <v>7.1428571428571425E-2</v>
      </c>
      <c r="N688">
        <f t="shared" si="118"/>
        <v>0</v>
      </c>
      <c r="O688">
        <f t="shared" si="119"/>
        <v>0</v>
      </c>
      <c r="P688">
        <f>IFERROR(LN('Дивиденды по годам'!I688),"")</f>
        <v>24.617002664687238</v>
      </c>
      <c r="Q688">
        <f>IFERROR('Дивиденды по годам'!G688/'Дивиденды по годам'!I688, "")</f>
        <v>0.25516356377561411</v>
      </c>
      <c r="R688" t="str">
        <f>IFERROR(IF(AND('Дивиденды по годам'!N688&lt;&gt;"",'Дивиденды по годам'!U688&lt;&gt;"",'Дивиденды по годам'!U688&lt;&gt;0),'Дивиденды по годам'!N688/'Дивиденды по годам'!U688-1,""),"")</f>
        <v/>
      </c>
      <c r="S688" t="str">
        <f>IFERROR(IF(AND('Дивиденды по годам'!L688&lt;&gt;"",'Дивиденды по годам'!I688&lt;&gt;"",'Дивиденды по годам'!J688&lt;&gt;"",'Дивиденды по годам'!K688&lt;&gt;"",('Дивиденды по годам'!I688-'Дивиденды по годам'!J688-'Дивиденды по годам'!K688)&lt;&gt;0),'Дивиденды по годам'!L688/('Дивиденды по годам'!I688-'Дивиденды по годам'!J688-'Дивиденды по годам'!K688),""),"")</f>
        <v/>
      </c>
      <c r="T688" t="str">
        <f>IFERROR(IF(AND('Дивиденды по годам'!Q688&lt;&gt;"",'Дивиденды по годам'!I688&lt;&gt;"",'Дивиденды по годам'!V688&lt;&gt;"",('Дивиденды по годам'!I688+'Дивиденды по годам'!V688)&lt;&gt;0),'Дивиденды по годам'!Q688/(('Дивиденды по годам'!I688+'Дивиденды по годам'!V688)/2),""),"")</f>
        <v/>
      </c>
      <c r="U688">
        <f>IFERROR(IF(AND('Дивиденды по годам'!J688&lt;&gt;"",'Дивиденды по годам'!K688&lt;&gt;"",'Дивиденды по годам'!M688&lt;&gt;"",'Дивиденды по годам'!M688&lt;&gt;0),('Дивиденды по годам'!J688+'Дивиденды по годам'!K688)/'Дивиденды по годам'!M688,""),"")</f>
        <v>2.6221041758890364</v>
      </c>
      <c r="V688">
        <f>IFERROR(IF(AND('Дивиденды по годам'!J688&lt;&gt;"",'Дивиденды по годам'!K688&lt;&gt;"",'Дивиденды по годам'!M688&lt;&gt;"",'Дивиденды по годам'!I688&lt;&gt;0),('Дивиденды по годам'!J688+'Дивиденды по годам'!K688)/'Дивиденды по годам'!I688,""),"")</f>
        <v>0.72391738297959018</v>
      </c>
      <c r="W688">
        <f>IFERROR('Дивиденды по годам'!I688,"")</f>
        <v>49094000000</v>
      </c>
      <c r="X688" cm="1">
        <f t="array" ref="X688">IFERROR(AVERAGE(_xlfn._xlws.FILTER(P$2:P$1073,($C$2:$C$1073=$C688)*($E$2:$E$1073=$E688)*(ROW(P$2:P$1073)&lt;&gt;ROW(P688))*(P$2:P$1073&lt;&gt;""))),"")</f>
        <v>24.071735719448789</v>
      </c>
      <c r="Y688" cm="1">
        <f t="array" ref="Y688">IFERROR(AVERAGE(_xlfn._xlws.FILTER(Q$2:Q$1073,($C$2:$C$1073=$C688)*($E$2:$E$1073=$E688)*(ROW(Q$2:Q$1073)&lt;&gt;ROW(Q688))*(Q$2:Q$1073&lt;&gt;""))),"")</f>
        <v>0.30626851533213978</v>
      </c>
      <c r="Z688" cm="1">
        <f t="array" ref="Z688">IFERROR(AVERAGE(_xlfn._xlws.FILTER(R$2:R$1073,($C$2:$C$1073=$C688)*($E$2:$E$1073=$E688)*(ROW(R$2:R$1073)&lt;&gt;ROW(R688))*(R$2:R$1073&lt;&gt;""))),"")</f>
        <v>5.9511017560386792E-2</v>
      </c>
      <c r="AA688" t="str" cm="1">
        <f t="array" ref="AA688">IFERROR(AVERAGE(_xlfn._xlws.FILTER(S$2:S$1073,($C$2:$C$1073=$C688)*($E$2:$E$1073=$E688)*(ROW(S$2:S$1073)&lt;&gt;ROW(S688))*(S$2:S$1073&lt;&gt;""))),"")</f>
        <v/>
      </c>
      <c r="AB688" cm="1">
        <f t="array" ref="AB688">IFERROR(AVERAGE(_xlfn._xlws.FILTER(T$2:T$1073,($C$2:$C$1073=$C688)*($E$2:$E$1073=$E688)*(ROW(T$2:T$1073)&lt;&gt;ROW(T688))*(T$2:T$1073&lt;&gt;""))),"")</f>
        <v>-1.4171101286470289E-2</v>
      </c>
      <c r="AC688" cm="1">
        <f t="array" ref="AC688">IFERROR(AVERAGE(_xlfn._xlws.FILTER(U$2:U$1073,($C$2:$C$1073=$C688)*($E$2:$E$1073=$E688)*(ROW(U$2:U$1073)&lt;&gt;ROW(U688))*(U$2:U$1073&lt;&gt;""))),"")</f>
        <v>2.0399085294759538</v>
      </c>
      <c r="AD688" cm="1">
        <f t="array" ref="AD688">IFERROR(AVERAGE(_xlfn._xlws.FILTER(V$2:V$1073,($C$2:$C$1073=$C688)*($E$2:$E$1073=$E688)*(ROW(V$2:V$1073)&lt;&gt;ROW(V688))*(V$2:V$1073&lt;&gt;""))),"")</f>
        <v>0.58828473136332515</v>
      </c>
      <c r="AE688">
        <f>IF('Дивиденды по годам'!M688&lt;0,1,0)</f>
        <v>0</v>
      </c>
    </row>
    <row r="689" spans="1:31" x14ac:dyDescent="0.2">
      <c r="A689" s="7" t="s">
        <v>2261</v>
      </c>
      <c r="B689" t="str">
        <f t="shared" si="110"/>
        <v>SVAV IV кв. 2010</v>
      </c>
      <c r="C689">
        <v>2010</v>
      </c>
      <c r="D689">
        <f>SUMIFS(Дивиденды!$C:$C,Дивиденды!$A:$A,A689,Дивиденды!$I:$I,C689)</f>
        <v>0</v>
      </c>
      <c r="E689">
        <v>4</v>
      </c>
      <c r="F689">
        <f t="shared" si="111"/>
        <v>0</v>
      </c>
      <c r="G689">
        <f t="shared" si="112"/>
        <v>0.46928571428571431</v>
      </c>
      <c r="H689">
        <f t="shared" si="113"/>
        <v>0</v>
      </c>
      <c r="I689">
        <f t="shared" si="114"/>
        <v>7.1428571428571425E-2</v>
      </c>
      <c r="J689" t="str">
        <f t="shared" si="115"/>
        <v/>
      </c>
      <c r="K689" t="str">
        <f t="shared" si="120"/>
        <v/>
      </c>
      <c r="L689" t="str">
        <f t="shared" si="116"/>
        <v/>
      </c>
      <c r="M689" t="str">
        <f t="shared" si="117"/>
        <v/>
      </c>
      <c r="N689" t="str">
        <f t="shared" si="118"/>
        <v/>
      </c>
      <c r="O689" t="str">
        <f t="shared" si="119"/>
        <v/>
      </c>
      <c r="P689" t="str">
        <f>IFERROR(LN('Дивиденды по годам'!I689),"")</f>
        <v/>
      </c>
      <c r="Q689" t="str">
        <f>IFERROR('Дивиденды по годам'!G689/'Дивиденды по годам'!I689, "")</f>
        <v/>
      </c>
      <c r="R689" t="str">
        <f>IFERROR(IF(AND('Дивиденды по годам'!N689&lt;&gt;"",'Дивиденды по годам'!U689&lt;&gt;"",'Дивиденды по годам'!U689&lt;&gt;0),'Дивиденды по годам'!N689/'Дивиденды по годам'!U689-1,""),"")</f>
        <v/>
      </c>
      <c r="S689" t="str">
        <f>IFERROR(IF(AND('Дивиденды по годам'!L689&lt;&gt;"",'Дивиденды по годам'!I689&lt;&gt;"",'Дивиденды по годам'!J689&lt;&gt;"",'Дивиденды по годам'!K689&lt;&gt;"",('Дивиденды по годам'!I689-'Дивиденды по годам'!J689-'Дивиденды по годам'!K689)&lt;&gt;0),'Дивиденды по годам'!L689/('Дивиденды по годам'!I689-'Дивиденды по годам'!J689-'Дивиденды по годам'!K689),""),"")</f>
        <v/>
      </c>
      <c r="T689" t="str">
        <f>IFERROR(IF(AND('Дивиденды по годам'!Q689&lt;&gt;"",'Дивиденды по годам'!I689&lt;&gt;"",'Дивиденды по годам'!V689&lt;&gt;"",('Дивиденды по годам'!I689+'Дивиденды по годам'!V689)&lt;&gt;0),'Дивиденды по годам'!Q689/(('Дивиденды по годам'!I689+'Дивиденды по годам'!V689)/2),""),"")</f>
        <v/>
      </c>
      <c r="U689" t="str">
        <f>IFERROR(IF(AND('Дивиденды по годам'!J689&lt;&gt;"",'Дивиденды по годам'!K689&lt;&gt;"",'Дивиденды по годам'!M689&lt;&gt;"",'Дивиденды по годам'!M689&lt;&gt;0),('Дивиденды по годам'!J689+'Дивиденды по годам'!K689)/'Дивиденды по годам'!M689,""),"")</f>
        <v/>
      </c>
      <c r="V689" t="str">
        <f>IFERROR(IF(AND('Дивиденды по годам'!J689&lt;&gt;"",'Дивиденды по годам'!K689&lt;&gt;"",'Дивиденды по годам'!M689&lt;&gt;"",'Дивиденды по годам'!I689&lt;&gt;0),('Дивиденды по годам'!J689+'Дивиденды по годам'!K689)/'Дивиденды по годам'!I689,""),"")</f>
        <v/>
      </c>
      <c r="W689" t="str">
        <f>IFERROR('Дивиденды по годам'!I689,"")</f>
        <v/>
      </c>
      <c r="X689" cm="1">
        <f t="array" ref="X689">IFERROR(AVERAGE(_xlfn._xlws.FILTER(P$2:P$1073,($C$2:$C$1073=$C689)*($E$2:$E$1073=$E689)*(ROW(P$2:P$1073)&lt;&gt;ROW(P689))*(P$2:P$1073&lt;&gt;""))),"")</f>
        <v>23.656010386255485</v>
      </c>
      <c r="Y689" cm="1">
        <f t="array" ref="Y689">IFERROR(AVERAGE(_xlfn._xlws.FILTER(Q$2:Q$1073,($C$2:$C$1073=$C689)*($E$2:$E$1073=$E689)*(ROW(Q$2:Q$1073)&lt;&gt;ROW(Q689))*(Q$2:Q$1073&lt;&gt;""))),"")</f>
        <v>0.15222241747474585</v>
      </c>
      <c r="Z689" t="str" cm="1">
        <f t="array" ref="Z689">IFERROR(AVERAGE(_xlfn._xlws.FILTER(R$2:R$1073,($C$2:$C$1073=$C689)*($E$2:$E$1073=$E689)*(ROW(R$2:R$1073)&lt;&gt;ROW(R689))*(R$2:R$1073&lt;&gt;""))),"")</f>
        <v/>
      </c>
      <c r="AA689" t="str" cm="1">
        <f t="array" ref="AA689">IFERROR(AVERAGE(_xlfn._xlws.FILTER(S$2:S$1073,($C$2:$C$1073=$C689)*($E$2:$E$1073=$E689)*(ROW(S$2:S$1073)&lt;&gt;ROW(S689))*(S$2:S$1073&lt;&gt;""))),"")</f>
        <v/>
      </c>
      <c r="AB689" t="str" cm="1">
        <f t="array" ref="AB689">IFERROR(AVERAGE(_xlfn._xlws.FILTER(T$2:T$1073,($C$2:$C$1073=$C689)*($E$2:$E$1073=$E689)*(ROW(T$2:T$1073)&lt;&gt;ROW(T689))*(T$2:T$1073&lt;&gt;""))),"")</f>
        <v/>
      </c>
      <c r="AC689" cm="1">
        <f t="array" ref="AC689">IFERROR(AVERAGE(_xlfn._xlws.FILTER(U$2:U$1073,($C$2:$C$1073=$C689)*($E$2:$E$1073=$E689)*(ROW(U$2:U$1073)&lt;&gt;ROW(U689))*(U$2:U$1073&lt;&gt;""))),"")</f>
        <v>2.8988498110700496</v>
      </c>
      <c r="AD689" cm="1">
        <f t="array" ref="AD689">IFERROR(AVERAGE(_xlfn._xlws.FILTER(V$2:V$1073,($C$2:$C$1073=$C689)*($E$2:$E$1073=$E689)*(ROW(V$2:V$1073)&lt;&gt;ROW(V689))*(V$2:V$1073&lt;&gt;""))),"")</f>
        <v>0.74351805997092513</v>
      </c>
      <c r="AE689">
        <f>IF('Дивиденды по годам'!M689&lt;0,1,0)</f>
        <v>0</v>
      </c>
    </row>
    <row r="690" spans="1:31" x14ac:dyDescent="0.2">
      <c r="A690" s="7" t="s">
        <v>2264</v>
      </c>
      <c r="B690" t="str">
        <f t="shared" si="110"/>
        <v>VSEH IV кв. 2025</v>
      </c>
      <c r="C690">
        <v>2025</v>
      </c>
      <c r="D690">
        <f>SUMIFS(Дивиденды!$C:$C,Дивиденды!$A:$A,A690,Дивиденды!$I:$I,C690)</f>
        <v>1</v>
      </c>
      <c r="E690">
        <v>4</v>
      </c>
      <c r="F690">
        <f t="shared" si="111"/>
        <v>1</v>
      </c>
      <c r="G690">
        <f t="shared" si="112"/>
        <v>31.509999999999998</v>
      </c>
      <c r="H690">
        <f t="shared" si="113"/>
        <v>1</v>
      </c>
      <c r="I690">
        <f t="shared" si="114"/>
        <v>0.35714285714285715</v>
      </c>
      <c r="J690">
        <f t="shared" si="115"/>
        <v>1</v>
      </c>
      <c r="K690">
        <f t="shared" si="120"/>
        <v>-0.25395491466926773</v>
      </c>
      <c r="L690">
        <f t="shared" si="116"/>
        <v>1</v>
      </c>
      <c r="M690">
        <f t="shared" si="117"/>
        <v>7.1428571428571425E-2</v>
      </c>
      <c r="N690">
        <f t="shared" si="118"/>
        <v>0</v>
      </c>
      <c r="O690">
        <f t="shared" si="119"/>
        <v>0.5</v>
      </c>
      <c r="P690" t="str">
        <f>IFERROR(LN('Дивиденды по годам'!I690),"")</f>
        <v/>
      </c>
      <c r="Q690" t="str">
        <f>IFERROR('Дивиденды по годам'!G690/'Дивиденды по годам'!I690, "")</f>
        <v/>
      </c>
      <c r="R690" t="str">
        <f>IFERROR(IF(AND('Дивиденды по годам'!N690&lt;&gt;"",'Дивиденды по годам'!U690&lt;&gt;"",'Дивиденды по годам'!U690&lt;&gt;0),'Дивиденды по годам'!N690/'Дивиденды по годам'!U690-1,""),"")</f>
        <v/>
      </c>
      <c r="S690" t="str">
        <f>IFERROR(IF(AND('Дивиденды по годам'!L690&lt;&gt;"",'Дивиденды по годам'!I690&lt;&gt;"",'Дивиденды по годам'!J690&lt;&gt;"",'Дивиденды по годам'!K690&lt;&gt;"",('Дивиденды по годам'!I690-'Дивиденды по годам'!J690-'Дивиденды по годам'!K690)&lt;&gt;0),'Дивиденды по годам'!L690/('Дивиденды по годам'!I690-'Дивиденды по годам'!J690-'Дивиденды по годам'!K690),""),"")</f>
        <v/>
      </c>
      <c r="T690" t="str">
        <f>IFERROR(IF(AND('Дивиденды по годам'!Q690&lt;&gt;"",'Дивиденды по годам'!I690&lt;&gt;"",'Дивиденды по годам'!V690&lt;&gt;"",('Дивиденды по годам'!I690+'Дивиденды по годам'!V690)&lt;&gt;0),'Дивиденды по годам'!Q690/(('Дивиденды по годам'!I690+'Дивиденды по годам'!V690)/2),""),"")</f>
        <v/>
      </c>
      <c r="U690" t="str">
        <f>IFERROR(IF(AND('Дивиденды по годам'!J690&lt;&gt;"",'Дивиденды по годам'!K690&lt;&gt;"",'Дивиденды по годам'!M690&lt;&gt;"",'Дивиденды по годам'!M690&lt;&gt;0),('Дивиденды по годам'!J690+'Дивиденды по годам'!K690)/'Дивиденды по годам'!M690,""),"")</f>
        <v/>
      </c>
      <c r="V690" t="str">
        <f>IFERROR(IF(AND('Дивиденды по годам'!J690&lt;&gt;"",'Дивиденды по годам'!K690&lt;&gt;"",'Дивиденды по годам'!M690&lt;&gt;"",'Дивиденды по годам'!I690&lt;&gt;0),('Дивиденды по годам'!J690+'Дивиденды по годам'!K690)/'Дивиденды по годам'!I690,""),"")</f>
        <v/>
      </c>
      <c r="W690" t="str">
        <f>IFERROR('Дивиденды по годам'!I690,"")</f>
        <v/>
      </c>
      <c r="X690" cm="1">
        <f t="array" ref="X690">IFERROR(AVERAGE(_xlfn._xlws.FILTER(P$2:P$1073,($C$2:$C$1073=$C690)*($E$2:$E$1073=$E690)*(ROW(P$2:P$1073)&lt;&gt;ROW(P690))*(P$2:P$1073&lt;&gt;""))),"")</f>
        <v>26.183512711155618</v>
      </c>
      <c r="Y690" cm="1">
        <f t="array" ref="Y690">IFERROR(AVERAGE(_xlfn._xlws.FILTER(Q$2:Q$1073,($C$2:$C$1073=$C690)*($E$2:$E$1073=$E690)*(ROW(Q$2:Q$1073)&lt;&gt;ROW(Q690))*(Q$2:Q$1073&lt;&gt;""))),"")</f>
        <v>0.42364014522274984</v>
      </c>
      <c r="Z690" cm="1">
        <f t="array" ref="Z690">IFERROR(AVERAGE(_xlfn._xlws.FILTER(R$2:R$1073,($C$2:$C$1073=$C690)*($E$2:$E$1073=$E690)*(ROW(R$2:R$1073)&lt;&gt;ROW(R690))*(R$2:R$1073&lt;&gt;""))),"")</f>
        <v>6.6096126428947105E-2</v>
      </c>
      <c r="AA690" cm="1">
        <f t="array" ref="AA690">IFERROR(AVERAGE(_xlfn._xlws.FILTER(S$2:S$1073,($C$2:$C$1073=$C690)*($E$2:$E$1073=$E690)*(ROW(S$2:S$1073)&lt;&gt;ROW(S690))*(S$2:S$1073&lt;&gt;""))),"")</f>
        <v>0.94174952343815033</v>
      </c>
      <c r="AB690" cm="1">
        <f t="array" ref="AB690">IFERROR(AVERAGE(_xlfn._xlws.FILTER(T$2:T$1073,($C$2:$C$1073=$C690)*($E$2:$E$1073=$E690)*(ROW(T$2:T$1073)&lt;&gt;ROW(T690))*(T$2:T$1073&lt;&gt;""))),"")</f>
        <v>1.3107153079830167E-2</v>
      </c>
      <c r="AC690" cm="1">
        <f t="array" ref="AC690">IFERROR(AVERAGE(_xlfn._xlws.FILTER(U$2:U$1073,($C$2:$C$1073=$C690)*($E$2:$E$1073=$E690)*(ROW(U$2:U$1073)&lt;&gt;ROW(U690))*(U$2:U$1073&lt;&gt;""))),"")</f>
        <v>6.2968354519658218</v>
      </c>
      <c r="AD690" cm="1">
        <f t="array" ref="AD690">IFERROR(AVERAGE(_xlfn._xlws.FILTER(V$2:V$1073,($C$2:$C$1073=$C690)*($E$2:$E$1073=$E690)*(ROW(V$2:V$1073)&lt;&gt;ROW(V690))*(V$2:V$1073&lt;&gt;""))),"")</f>
        <v>0.70931365831308468</v>
      </c>
      <c r="AE690">
        <f>IF('Дивиденды по годам'!M690&lt;0,1,0)</f>
        <v>0</v>
      </c>
    </row>
    <row r="691" spans="1:31" x14ac:dyDescent="0.2">
      <c r="A691" s="7" t="s">
        <v>2264</v>
      </c>
      <c r="B691" t="str">
        <f t="shared" si="110"/>
        <v>VSEH IV кв. 2024</v>
      </c>
      <c r="C691">
        <v>2024</v>
      </c>
      <c r="D691">
        <f>SUMIFS(Дивиденды!$C:$C,Дивиденды!$A:$A,A691,Дивиденды!$I:$I,C691)</f>
        <v>0</v>
      </c>
      <c r="E691">
        <v>4</v>
      </c>
      <c r="F691">
        <f t="shared" si="111"/>
        <v>0</v>
      </c>
      <c r="G691">
        <f t="shared" si="112"/>
        <v>62.511428571428574</v>
      </c>
      <c r="H691">
        <f t="shared" si="113"/>
        <v>0</v>
      </c>
      <c r="I691">
        <f t="shared" si="114"/>
        <v>0.5714285714285714</v>
      </c>
      <c r="J691">
        <f t="shared" si="115"/>
        <v>0</v>
      </c>
      <c r="K691">
        <f t="shared" si="120"/>
        <v>0.21145574536348383</v>
      </c>
      <c r="L691">
        <f t="shared" si="116"/>
        <v>0</v>
      </c>
      <c r="M691">
        <f t="shared" si="117"/>
        <v>0.35714285714285715</v>
      </c>
      <c r="N691">
        <f t="shared" si="118"/>
        <v>0</v>
      </c>
      <c r="O691">
        <f t="shared" si="119"/>
        <v>0.2857142857142857</v>
      </c>
      <c r="P691">
        <f>IFERROR(LN('Дивиденды по годам'!I691),"")</f>
        <v>25.08436958156404</v>
      </c>
      <c r="Q691">
        <f>IFERROR('Дивиденды по годам'!G691/'Дивиденды по годам'!I691, "")</f>
        <v>4.483698583104944E-2</v>
      </c>
      <c r="R691">
        <f>IFERROR(IF(AND('Дивиденды по годам'!N691&lt;&gt;"",'Дивиденды по годам'!U691&lt;&gt;"",'Дивиденды по годам'!U691&lt;&gt;0),'Дивиденды по годам'!N691/'Дивиденды по годам'!U691-1,""),"")</f>
        <v>0.28107777246364374</v>
      </c>
      <c r="S691">
        <f>IFERROR(IF(AND('Дивиденды по годам'!L691&lt;&gt;"",'Дивиденды по годам'!I691&lt;&gt;"",'Дивиденды по годам'!J691&lt;&gt;"",'Дивиденды по годам'!K691&lt;&gt;"",('Дивиденды по годам'!I691-'Дивиденды по годам'!J691-'Дивиденды по годам'!K691)&lt;&gt;0),'Дивиденды по годам'!L691/('Дивиденды по годам'!I691-'Дивиденды по годам'!J691-'Дивиденды по годам'!K691),""),"")</f>
        <v>0.99765688007959108</v>
      </c>
      <c r="T691">
        <f>IFERROR(IF(AND('Дивиденды по годам'!Q691&lt;&gt;"",'Дивиденды по годам'!I691&lt;&gt;"",'Дивиденды по годам'!V691&lt;&gt;"",('Дивиденды по годам'!I691+'Дивиденды по годам'!V691)&lt;&gt;0),'Дивиденды по годам'!Q691/(('Дивиденды по годам'!I691+'Дивиденды по годам'!V691)/2),""),"")</f>
        <v>1.045952092052542E-2</v>
      </c>
      <c r="U691">
        <f>IFERROR(IF(AND('Дивиденды по годам'!J691&lt;&gt;"",'Дивиденды по годам'!K691&lt;&gt;"",'Дивиденды по годам'!M691&lt;&gt;"",'Дивиденды по годам'!M691&lt;&gt;0),('Дивиденды по годам'!J691+'Дивиденды по годам'!K691)/'Дивиденды по годам'!M691,""),"")</f>
        <v>35.713670277102047</v>
      </c>
      <c r="V691">
        <f>IFERROR(IF(AND('Дивиденды по годам'!J691&lt;&gt;"",'Дивиденды по годам'!K691&lt;&gt;"",'Дивиденды по годам'!M691&lt;&gt;"",'Дивиденды по годам'!I691&lt;&gt;0),('Дивиденды по годам'!J691+'Дивиденды по годам'!K691)/'Дивиденды по годам'!I691,""),"")</f>
        <v>0.97276218933023184</v>
      </c>
      <c r="W691">
        <f>IFERROR('Дивиденды по годам'!I691,"")</f>
        <v>78343558000</v>
      </c>
      <c r="X691" cm="1">
        <f t="array" ref="X691">IFERROR(AVERAGE(_xlfn._xlws.FILTER(P$2:P$1073,($C$2:$C$1073=$C691)*($E$2:$E$1073=$E691)*(ROW(P$2:P$1073)&lt;&gt;ROW(P691))*(P$2:P$1073&lt;&gt;""))),"")</f>
        <v>25.599117294723662</v>
      </c>
      <c r="Y691" cm="1">
        <f t="array" ref="Y691">IFERROR(AVERAGE(_xlfn._xlws.FILTER(Q$2:Q$1073,($C$2:$C$1073=$C691)*($E$2:$E$1073=$E691)*(ROW(Q$2:Q$1073)&lt;&gt;ROW(Q691))*(Q$2:Q$1073&lt;&gt;""))),"")</f>
        <v>0.27850209160493267</v>
      </c>
      <c r="Z691" cm="1">
        <f t="array" ref="Z691">IFERROR(AVERAGE(_xlfn._xlws.FILTER(R$2:R$1073,($C$2:$C$1073=$C691)*($E$2:$E$1073=$E691)*(ROW(R$2:R$1073)&lt;&gt;ROW(R691))*(R$2:R$1073&lt;&gt;""))),"")</f>
        <v>0.26434990779840939</v>
      </c>
      <c r="AA691" cm="1">
        <f t="array" ref="AA691">IFERROR(AVERAGE(_xlfn._xlws.FILTER(S$2:S$1073,($C$2:$C$1073=$C691)*($E$2:$E$1073=$E691)*(ROW(S$2:S$1073)&lt;&gt;ROW(S691))*(S$2:S$1073&lt;&gt;""))),"")</f>
        <v>1.1834395206056378</v>
      </c>
      <c r="AB691" cm="1">
        <f t="array" ref="AB691">IFERROR(AVERAGE(_xlfn._xlws.FILTER(T$2:T$1073,($C$2:$C$1073=$C691)*($E$2:$E$1073=$E691)*(ROW(T$2:T$1073)&lt;&gt;ROW(T691))*(T$2:T$1073&lt;&gt;""))),"")</f>
        <v>7.7419646815032286E-2</v>
      </c>
      <c r="AC691" cm="1">
        <f t="array" ref="AC691">IFERROR(AVERAGE(_xlfn._xlws.FILTER(U$2:U$1073,($C$2:$C$1073=$C691)*($E$2:$E$1073=$E691)*(ROW(U$2:U$1073)&lt;&gt;ROW(U691))*(U$2:U$1073&lt;&gt;""))),"")</f>
        <v>1.7248783418607887</v>
      </c>
      <c r="AD691" cm="1">
        <f t="array" ref="AD691">IFERROR(AVERAGE(_xlfn._xlws.FILTER(V$2:V$1073,($C$2:$C$1073=$C691)*($E$2:$E$1073=$E691)*(ROW(V$2:V$1073)&lt;&gt;ROW(V691))*(V$2:V$1073&lt;&gt;""))),"")</f>
        <v>0.68217478450372704</v>
      </c>
      <c r="AE691">
        <f>IF('Дивиденды по годам'!M691&lt;0,1,0)</f>
        <v>0</v>
      </c>
    </row>
    <row r="692" spans="1:31" x14ac:dyDescent="0.2">
      <c r="A692" s="7" t="s">
        <v>2264</v>
      </c>
      <c r="B692" t="str">
        <f t="shared" si="110"/>
        <v>VSEH IV кв. 2023</v>
      </c>
      <c r="C692">
        <v>2023</v>
      </c>
      <c r="D692">
        <f>SUMIFS(Дивиденды!$C:$C,Дивиденды!$A:$A,A692,Дивиденды!$I:$I,C692)</f>
        <v>0</v>
      </c>
      <c r="E692">
        <v>4</v>
      </c>
      <c r="F692">
        <f t="shared" si="111"/>
        <v>0</v>
      </c>
      <c r="G692">
        <f t="shared" si="112"/>
        <v>90.740000000000009</v>
      </c>
      <c r="H692">
        <f t="shared" si="113"/>
        <v>0</v>
      </c>
      <c r="I692">
        <f t="shared" si="114"/>
        <v>0.5</v>
      </c>
      <c r="J692">
        <f t="shared" si="115"/>
        <v>0</v>
      </c>
      <c r="K692">
        <f t="shared" si="120"/>
        <v>0.29812745098039217</v>
      </c>
      <c r="L692">
        <f t="shared" si="116"/>
        <v>0</v>
      </c>
      <c r="M692">
        <f t="shared" si="117"/>
        <v>0.42857142857142855</v>
      </c>
      <c r="N692">
        <f t="shared" si="118"/>
        <v>0</v>
      </c>
      <c r="O692">
        <f t="shared" si="119"/>
        <v>0</v>
      </c>
      <c r="P692">
        <f>IFERROR(LN('Дивиденды по годам'!I692),"")</f>
        <v>24.629777965347373</v>
      </c>
      <c r="Q692">
        <f>IFERROR('Дивиденды по годам'!G692/'Дивиденды по годам'!I692, "")</f>
        <v>5.0566740647913548E-2</v>
      </c>
      <c r="R692" t="str">
        <f>IFERROR(IF(AND('Дивиденды по годам'!N692&lt;&gt;"",'Дивиденды по годам'!U692&lt;&gt;"",'Дивиденды по годам'!U692&lt;&gt;0),'Дивиденды по годам'!N692/'Дивиденды по годам'!U692-1,""),"")</f>
        <v/>
      </c>
      <c r="S692">
        <f>IFERROR(IF(AND('Дивиденды по годам'!L692&lt;&gt;"",'Дивиденды по годам'!I692&lt;&gt;"",'Дивиденды по годам'!J692&lt;&gt;"",'Дивиденды по годам'!K692&lt;&gt;"",('Дивиденды по годам'!I692-'Дивиденды по годам'!J692-'Дивиденды по годам'!K692)&lt;&gt;0),'Дивиденды по годам'!L692/('Дивиденды по годам'!I692-'Дивиденды по годам'!J692-'Дивиденды по годам'!K692),""),"")</f>
        <v>1</v>
      </c>
      <c r="T692" t="str">
        <f>IFERROR(IF(AND('Дивиденды по годам'!Q692&lt;&gt;"",'Дивиденды по годам'!I692&lt;&gt;"",'Дивиденды по годам'!V692&lt;&gt;"",('Дивиденды по годам'!I692+'Дивиденды по годам'!V692)&lt;&gt;0),'Дивиденды по годам'!Q692/(('Дивиденды по годам'!I692+'Дивиденды по годам'!V692)/2),""),"")</f>
        <v/>
      </c>
      <c r="U692">
        <f>IFERROR(IF(AND('Дивиденды по годам'!J692&lt;&gt;"",'Дивиденды по годам'!K692&lt;&gt;"",'Дивиденды по годам'!M692&lt;&gt;"",'Дивиденды по годам'!M692&lt;&gt;0),('Дивиденды по годам'!J692+'Дивиденды по годам'!K692)/'Дивиденды по годам'!M692,""),"")</f>
        <v>14.884493000151737</v>
      </c>
      <c r="V692">
        <f>IFERROR(IF(AND('Дивиденды по годам'!J692&lt;&gt;"",'Дивиденды по годам'!K692&lt;&gt;"",'Дивиденды по годам'!M692&lt;&gt;"",'Дивиденды по годам'!I692&lt;&gt;0),('Дивиденды по годам'!J692+'Дивиденды по годам'!K692)/'Дивиденды по годам'!I692,""),"")</f>
        <v>0.93704551980409778</v>
      </c>
      <c r="W692">
        <f>IFERROR('Дивиденды по годам'!I692,"")</f>
        <v>49725214000</v>
      </c>
      <c r="X692" cm="1">
        <f t="array" ref="X692">IFERROR(AVERAGE(_xlfn._xlws.FILTER(P$2:P$1073,($C$2:$C$1073=$C692)*($E$2:$E$1073=$E692)*(ROW(P$2:P$1073)&lt;&gt;ROW(P692))*(P$2:P$1073&lt;&gt;""))),"")</f>
        <v>25.419625082715246</v>
      </c>
      <c r="Y692" cm="1">
        <f t="array" ref="Y692">IFERROR(AVERAGE(_xlfn._xlws.FILTER(Q$2:Q$1073,($C$2:$C$1073=$C692)*($E$2:$E$1073=$E692)*(ROW(Q$2:Q$1073)&lt;&gt;ROW(Q692))*(Q$2:Q$1073&lt;&gt;""))),"")</f>
        <v>0.26466030382327305</v>
      </c>
      <c r="Z692" cm="1">
        <f t="array" ref="Z692">IFERROR(AVERAGE(_xlfn._xlws.FILTER(R$2:R$1073,($C$2:$C$1073=$C692)*($E$2:$E$1073=$E692)*(ROW(R$2:R$1073)&lt;&gt;ROW(R692))*(R$2:R$1073&lt;&gt;""))),"")</f>
        <v>0.24615938299834073</v>
      </c>
      <c r="AA692" cm="1">
        <f t="array" ref="AA692">IFERROR(AVERAGE(_xlfn._xlws.FILTER(S$2:S$1073,($C$2:$C$1073=$C692)*($E$2:$E$1073=$E692)*(ROW(S$2:S$1073)&lt;&gt;ROW(S692))*(S$2:S$1073&lt;&gt;""))),"")</f>
        <v>1.2635650158034142</v>
      </c>
      <c r="AB692" cm="1">
        <f t="array" ref="AB692">IFERROR(AVERAGE(_xlfn._xlws.FILTER(T$2:T$1073,($C$2:$C$1073=$C692)*($E$2:$E$1073=$E692)*(ROW(T$2:T$1073)&lt;&gt;ROW(T692))*(T$2:T$1073&lt;&gt;""))),"")</f>
        <v>0.11031168628188895</v>
      </c>
      <c r="AC692" cm="1">
        <f t="array" ref="AC692">IFERROR(AVERAGE(_xlfn._xlws.FILTER(U$2:U$1073,($C$2:$C$1073=$C692)*($E$2:$E$1073=$E692)*(ROW(U$2:U$1073)&lt;&gt;ROW(U692))*(U$2:U$1073&lt;&gt;""))),"")</f>
        <v>1.7091198241768961</v>
      </c>
      <c r="AD692" cm="1">
        <f t="array" ref="AD692">IFERROR(AVERAGE(_xlfn._xlws.FILTER(V$2:V$1073,($C$2:$C$1073=$C692)*($E$2:$E$1073=$E692)*(ROW(V$2:V$1073)&lt;&gt;ROW(V692))*(V$2:V$1073&lt;&gt;""))),"")</f>
        <v>0.67497351162690344</v>
      </c>
      <c r="AE692">
        <f>IF('Дивиденды по годам'!M692&lt;0,1,0)</f>
        <v>0</v>
      </c>
    </row>
    <row r="693" spans="1:31" x14ac:dyDescent="0.2">
      <c r="A693" s="7" t="s">
        <v>2264</v>
      </c>
      <c r="B693" t="str">
        <f t="shared" si="110"/>
        <v>VSEH IV кв. 2022</v>
      </c>
      <c r="C693">
        <v>2022</v>
      </c>
      <c r="D693">
        <f>SUMIFS(Дивиденды!$C:$C,Дивиденды!$A:$A,A693,Дивиденды!$I:$I,C693)</f>
        <v>0</v>
      </c>
      <c r="E693">
        <v>4</v>
      </c>
      <c r="F693">
        <f t="shared" si="111"/>
        <v>0</v>
      </c>
      <c r="G693">
        <f t="shared" si="112"/>
        <v>80.180000000000021</v>
      </c>
      <c r="H693">
        <f t="shared" si="113"/>
        <v>0</v>
      </c>
      <c r="I693">
        <f t="shared" si="114"/>
        <v>0.2857142857142857</v>
      </c>
      <c r="J693">
        <f t="shared" si="115"/>
        <v>0</v>
      </c>
      <c r="K693">
        <f t="shared" si="120"/>
        <v>0.49583624512073399</v>
      </c>
      <c r="L693">
        <f t="shared" si="116"/>
        <v>0</v>
      </c>
      <c r="M693">
        <f t="shared" si="117"/>
        <v>0.2857142857142857</v>
      </c>
      <c r="N693">
        <f t="shared" si="118"/>
        <v>0</v>
      </c>
      <c r="O693">
        <f t="shared" si="119"/>
        <v>7.1428571428571425E-2</v>
      </c>
      <c r="P693" t="str">
        <f>IFERROR(LN('Дивиденды по годам'!I693),"")</f>
        <v/>
      </c>
      <c r="Q693" t="str">
        <f>IFERROR('Дивиденды по годам'!G693/'Дивиденды по годам'!I693, "")</f>
        <v/>
      </c>
      <c r="R693" t="str">
        <f>IFERROR(IF(AND('Дивиденды по годам'!N693&lt;&gt;"",'Дивиденды по годам'!U693&lt;&gt;"",'Дивиденды по годам'!U693&lt;&gt;0),'Дивиденды по годам'!N693/'Дивиденды по годам'!U693-1,""),"")</f>
        <v/>
      </c>
      <c r="S693" t="str">
        <f>IFERROR(IF(AND('Дивиденды по годам'!L693&lt;&gt;"",'Дивиденды по годам'!I693&lt;&gt;"",'Дивиденды по годам'!J693&lt;&gt;"",'Дивиденды по годам'!K693&lt;&gt;"",('Дивиденды по годам'!I693-'Дивиденды по годам'!J693-'Дивиденды по годам'!K693)&lt;&gt;0),'Дивиденды по годам'!L693/('Дивиденды по годам'!I693-'Дивиденды по годам'!J693-'Дивиденды по годам'!K693),""),"")</f>
        <v/>
      </c>
      <c r="T693" t="str">
        <f>IFERROR(IF(AND('Дивиденды по годам'!Q693&lt;&gt;"",'Дивиденды по годам'!I693&lt;&gt;"",'Дивиденды по годам'!V693&lt;&gt;"",('Дивиденды по годам'!I693+'Дивиденды по годам'!V693)&lt;&gt;0),'Дивиденды по годам'!Q693/(('Дивиденды по годам'!I693+'Дивиденды по годам'!V693)/2),""),"")</f>
        <v/>
      </c>
      <c r="U693" t="str">
        <f>IFERROR(IF(AND('Дивиденды по годам'!J693&lt;&gt;"",'Дивиденды по годам'!K693&lt;&gt;"",'Дивиденды по годам'!M693&lt;&gt;"",'Дивиденды по годам'!M693&lt;&gt;0),('Дивиденды по годам'!J693+'Дивиденды по годам'!K693)/'Дивиденды по годам'!M693,""),"")</f>
        <v/>
      </c>
      <c r="V693" t="str">
        <f>IFERROR(IF(AND('Дивиденды по годам'!J693&lt;&gt;"",'Дивиденды по годам'!K693&lt;&gt;"",'Дивиденды по годам'!M693&lt;&gt;"",'Дивиденды по годам'!I693&lt;&gt;0),('Дивиденды по годам'!J693+'Дивиденды по годам'!K693)/'Дивиденды по годам'!I693,""),"")</f>
        <v/>
      </c>
      <c r="W693" t="str">
        <f>IFERROR('Дивиденды по годам'!I693,"")</f>
        <v/>
      </c>
      <c r="X693" cm="1">
        <f t="array" ref="X693">IFERROR(AVERAGE(_xlfn._xlws.FILTER(P$2:P$1073,($C$2:$C$1073=$C693)*($E$2:$E$1073=$E693)*(ROW(P$2:P$1073)&lt;&gt;ROW(P693))*(P$2:P$1073&lt;&gt;""))),"")</f>
        <v>25.267406913702111</v>
      </c>
      <c r="Y693" cm="1">
        <f t="array" ref="Y693">IFERROR(AVERAGE(_xlfn._xlws.FILTER(Q$2:Q$1073,($C$2:$C$1073=$C693)*($E$2:$E$1073=$E693)*(ROW(Q$2:Q$1073)&lt;&gt;ROW(Q693))*(Q$2:Q$1073&lt;&gt;""))),"")</f>
        <v>0.24827187132804085</v>
      </c>
      <c r="Z693" cm="1">
        <f t="array" ref="Z693">IFERROR(AVERAGE(_xlfn._xlws.FILTER(R$2:R$1073,($C$2:$C$1073=$C693)*($E$2:$E$1073=$E693)*(ROW(R$2:R$1073)&lt;&gt;ROW(R693))*(R$2:R$1073&lt;&gt;""))),"")</f>
        <v>0.20513507713883902</v>
      </c>
      <c r="AA693" cm="1">
        <f t="array" ref="AA693">IFERROR(AVERAGE(_xlfn._xlws.FILTER(S$2:S$1073,($C$2:$C$1073=$C693)*($E$2:$E$1073=$E693)*(ROW(S$2:S$1073)&lt;&gt;ROW(S693))*(S$2:S$1073&lt;&gt;""))),"")</f>
        <v>1.3370829347061257</v>
      </c>
      <c r="AB693" cm="1">
        <f t="array" ref="AB693">IFERROR(AVERAGE(_xlfn._xlws.FILTER(T$2:T$1073,($C$2:$C$1073=$C693)*($E$2:$E$1073=$E693)*(ROW(T$2:T$1073)&lt;&gt;ROW(T693))*(T$2:T$1073&lt;&gt;""))),"")</f>
        <v>0.10081697308373706</v>
      </c>
      <c r="AC693" cm="1">
        <f t="array" ref="AC693">IFERROR(AVERAGE(_xlfn._xlws.FILTER(U$2:U$1073,($C$2:$C$1073=$C693)*($E$2:$E$1073=$E693)*(ROW(U$2:U$1073)&lt;&gt;ROW(U693))*(U$2:U$1073&lt;&gt;""))),"")</f>
        <v>2.1734773569182102</v>
      </c>
      <c r="AD693" cm="1">
        <f t="array" ref="AD693">IFERROR(AVERAGE(_xlfn._xlws.FILTER(V$2:V$1073,($C$2:$C$1073=$C693)*($E$2:$E$1073=$E693)*(ROW(V$2:V$1073)&lt;&gt;ROW(V693))*(V$2:V$1073&lt;&gt;""))),"")</f>
        <v>0.71800231867977016</v>
      </c>
      <c r="AE693">
        <f>IF('Дивиденды по годам'!M693&lt;0,1,0)</f>
        <v>0</v>
      </c>
    </row>
    <row r="694" spans="1:31" x14ac:dyDescent="0.2">
      <c r="A694" s="7" t="s">
        <v>2264</v>
      </c>
      <c r="B694" t="str">
        <f t="shared" si="110"/>
        <v>VSEH IV кв. 2021</v>
      </c>
      <c r="C694">
        <v>2021</v>
      </c>
      <c r="D694">
        <f>SUMIFS(Дивиденды!$C:$C,Дивиденды!$A:$A,A694,Дивиденды!$I:$I,C694)</f>
        <v>0</v>
      </c>
      <c r="E694">
        <v>4</v>
      </c>
      <c r="F694">
        <f t="shared" si="111"/>
        <v>0</v>
      </c>
      <c r="G694">
        <f t="shared" si="112"/>
        <v>31.931428571428572</v>
      </c>
      <c r="H694">
        <f t="shared" si="113"/>
        <v>0</v>
      </c>
      <c r="I694">
        <f t="shared" si="114"/>
        <v>0.2857142857142857</v>
      </c>
      <c r="J694">
        <f t="shared" si="115"/>
        <v>0</v>
      </c>
      <c r="K694">
        <f t="shared" si="120"/>
        <v>0.1975016604235505</v>
      </c>
      <c r="L694">
        <f t="shared" si="116"/>
        <v>0</v>
      </c>
      <c r="M694">
        <f t="shared" si="117"/>
        <v>0.21428571428571427</v>
      </c>
      <c r="N694">
        <f t="shared" si="118"/>
        <v>0</v>
      </c>
      <c r="O694">
        <f t="shared" si="119"/>
        <v>7.1428571428571425E-2</v>
      </c>
      <c r="P694" t="str">
        <f>IFERROR(LN('Дивиденды по годам'!I694),"")</f>
        <v/>
      </c>
      <c r="Q694" t="str">
        <f>IFERROR('Дивиденды по годам'!G694/'Дивиденды по годам'!I694, "")</f>
        <v/>
      </c>
      <c r="R694" t="str">
        <f>IFERROR(IF(AND('Дивиденды по годам'!N694&lt;&gt;"",'Дивиденды по годам'!U694&lt;&gt;"",'Дивиденды по годам'!U694&lt;&gt;0),'Дивиденды по годам'!N694/'Дивиденды по годам'!U694-1,""),"")</f>
        <v/>
      </c>
      <c r="S694" t="str">
        <f>IFERROR(IF(AND('Дивиденды по годам'!L694&lt;&gt;"",'Дивиденды по годам'!I694&lt;&gt;"",'Дивиденды по годам'!J694&lt;&gt;"",'Дивиденды по годам'!K694&lt;&gt;"",('Дивиденды по годам'!I694-'Дивиденды по годам'!J694-'Дивиденды по годам'!K694)&lt;&gt;0),'Дивиденды по годам'!L694/('Дивиденды по годам'!I694-'Дивиденды по годам'!J694-'Дивиденды по годам'!K694),""),"")</f>
        <v/>
      </c>
      <c r="T694" t="str">
        <f>IFERROR(IF(AND('Дивиденды по годам'!Q694&lt;&gt;"",'Дивиденды по годам'!I694&lt;&gt;"",'Дивиденды по годам'!V694&lt;&gt;"",('Дивиденды по годам'!I694+'Дивиденды по годам'!V694)&lt;&gt;0),'Дивиденды по годам'!Q694/(('Дивиденды по годам'!I694+'Дивиденды по годам'!V694)/2),""),"")</f>
        <v/>
      </c>
      <c r="U694" t="str">
        <f>IFERROR(IF(AND('Дивиденды по годам'!J694&lt;&gt;"",'Дивиденды по годам'!K694&lt;&gt;"",'Дивиденды по годам'!M694&lt;&gt;"",'Дивиденды по годам'!M694&lt;&gt;0),('Дивиденды по годам'!J694+'Дивиденды по годам'!K694)/'Дивиденды по годам'!M694,""),"")</f>
        <v/>
      </c>
      <c r="V694" t="str">
        <f>IFERROR(IF(AND('Дивиденды по годам'!J694&lt;&gt;"",'Дивиденды по годам'!K694&lt;&gt;"",'Дивиденды по годам'!M694&lt;&gt;"",'Дивиденды по годам'!I694&lt;&gt;0),('Дивиденды по годам'!J694+'Дивиденды по годам'!K694)/'Дивиденды по годам'!I694,""),"")</f>
        <v/>
      </c>
      <c r="W694" t="str">
        <f>IFERROR('Дивиденды по годам'!I694,"")</f>
        <v/>
      </c>
      <c r="X694" cm="1">
        <f t="array" ref="X694">IFERROR(AVERAGE(_xlfn._xlws.FILTER(P$2:P$1073,($C$2:$C$1073=$C694)*($E$2:$E$1073=$E694)*(ROW(P$2:P$1073)&lt;&gt;ROW(P694))*(P$2:P$1073&lt;&gt;""))),"")</f>
        <v>25.187970188534305</v>
      </c>
      <c r="Y694" cm="1">
        <f t="array" ref="Y694">IFERROR(AVERAGE(_xlfn._xlws.FILTER(Q$2:Q$1073,($C$2:$C$1073=$C694)*($E$2:$E$1073=$E694)*(ROW(Q$2:Q$1073)&lt;&gt;ROW(Q694))*(Q$2:Q$1073&lt;&gt;""))),"")</f>
        <v>0.2352592803713329</v>
      </c>
      <c r="Z694" cm="1">
        <f t="array" ref="Z694">IFERROR(AVERAGE(_xlfn._xlws.FILTER(R$2:R$1073,($C$2:$C$1073=$C694)*($E$2:$E$1073=$E694)*(ROW(R$2:R$1073)&lt;&gt;ROW(R694))*(R$2:R$1073&lt;&gt;""))),"")</f>
        <v>0.31760921072336168</v>
      </c>
      <c r="AA694" cm="1">
        <f t="array" ref="AA694">IFERROR(AVERAGE(_xlfn._xlws.FILTER(S$2:S$1073,($C$2:$C$1073=$C694)*($E$2:$E$1073=$E694)*(ROW(S$2:S$1073)&lt;&gt;ROW(S694))*(S$2:S$1073&lt;&gt;""))),"")</f>
        <v>1.3221729101020838</v>
      </c>
      <c r="AB694" cm="1">
        <f t="array" ref="AB694">IFERROR(AVERAGE(_xlfn._xlws.FILTER(T$2:T$1073,($C$2:$C$1073=$C694)*($E$2:$E$1073=$E694)*(ROW(T$2:T$1073)&lt;&gt;ROW(T694))*(T$2:T$1073&lt;&gt;""))),"")</f>
        <v>0.10239490834794492</v>
      </c>
      <c r="AC694" cm="1">
        <f t="array" ref="AC694">IFERROR(AVERAGE(_xlfn._xlws.FILTER(U$2:U$1073,($C$2:$C$1073=$C694)*($E$2:$E$1073=$E694)*(ROW(U$2:U$1073)&lt;&gt;ROW(U694))*(U$2:U$1073&lt;&gt;""))),"")</f>
        <v>16.93709324549495</v>
      </c>
      <c r="AD694" cm="1">
        <f t="array" ref="AD694">IFERROR(AVERAGE(_xlfn._xlws.FILTER(V$2:V$1073,($C$2:$C$1073=$C694)*($E$2:$E$1073=$E694)*(ROW(V$2:V$1073)&lt;&gt;ROW(V694))*(V$2:V$1073&lt;&gt;""))),"")</f>
        <v>0.77275053461166843</v>
      </c>
      <c r="AE694">
        <f>IF('Дивиденды по годам'!M694&lt;0,1,0)</f>
        <v>0</v>
      </c>
    </row>
    <row r="695" spans="1:31" x14ac:dyDescent="0.2">
      <c r="A695" s="7" t="s">
        <v>2264</v>
      </c>
      <c r="B695" t="str">
        <f t="shared" si="110"/>
        <v>VSEH IV кв. 2020</v>
      </c>
      <c r="C695">
        <v>2020</v>
      </c>
      <c r="D695">
        <f>SUMIFS(Дивиденды!$C:$C,Дивиденды!$A:$A,A695,Дивиденды!$I:$I,C695)</f>
        <v>0</v>
      </c>
      <c r="E695">
        <v>4</v>
      </c>
      <c r="F695">
        <f t="shared" si="111"/>
        <v>0</v>
      </c>
      <c r="G695">
        <f t="shared" si="112"/>
        <v>43.293571428571433</v>
      </c>
      <c r="H695">
        <f t="shared" si="113"/>
        <v>0</v>
      </c>
      <c r="I695">
        <f t="shared" si="114"/>
        <v>0.2857142857142857</v>
      </c>
      <c r="J695">
        <f t="shared" si="115"/>
        <v>0</v>
      </c>
      <c r="K695">
        <f t="shared" si="120"/>
        <v>0.26831617204892738</v>
      </c>
      <c r="L695">
        <f t="shared" si="116"/>
        <v>0</v>
      </c>
      <c r="M695">
        <f t="shared" si="117"/>
        <v>0.2857142857142857</v>
      </c>
      <c r="N695">
        <f t="shared" si="118"/>
        <v>0</v>
      </c>
      <c r="O695">
        <f t="shared" si="119"/>
        <v>0</v>
      </c>
      <c r="P695" t="str">
        <f>IFERROR(LN('Дивиденды по годам'!I695),"")</f>
        <v/>
      </c>
      <c r="Q695" t="str">
        <f>IFERROR('Дивиденды по годам'!G695/'Дивиденды по годам'!I695, "")</f>
        <v/>
      </c>
      <c r="R695" t="str">
        <f>IFERROR(IF(AND('Дивиденды по годам'!N695&lt;&gt;"",'Дивиденды по годам'!U695&lt;&gt;"",'Дивиденды по годам'!U695&lt;&gt;0),'Дивиденды по годам'!N695/'Дивиденды по годам'!U695-1,""),"")</f>
        <v/>
      </c>
      <c r="S695" t="str">
        <f>IFERROR(IF(AND('Дивиденды по годам'!L695&lt;&gt;"",'Дивиденды по годам'!I695&lt;&gt;"",'Дивиденды по годам'!J695&lt;&gt;"",'Дивиденды по годам'!K695&lt;&gt;"",('Дивиденды по годам'!I695-'Дивиденды по годам'!J695-'Дивиденды по годам'!K695)&lt;&gt;0),'Дивиденды по годам'!L695/('Дивиденды по годам'!I695-'Дивиденды по годам'!J695-'Дивиденды по годам'!K695),""),"")</f>
        <v/>
      </c>
      <c r="T695" t="str">
        <f>IFERROR(IF(AND('Дивиденды по годам'!Q695&lt;&gt;"",'Дивиденды по годам'!I695&lt;&gt;"",'Дивиденды по годам'!V695&lt;&gt;"",('Дивиденды по годам'!I695+'Дивиденды по годам'!V695)&lt;&gt;0),'Дивиденды по годам'!Q695/(('Дивиденды по годам'!I695+'Дивиденды по годам'!V695)/2),""),"")</f>
        <v/>
      </c>
      <c r="U695" t="str">
        <f>IFERROR(IF(AND('Дивиденды по годам'!J695&lt;&gt;"",'Дивиденды по годам'!K695&lt;&gt;"",'Дивиденды по годам'!M695&lt;&gt;"",'Дивиденды по годам'!M695&lt;&gt;0),('Дивиденды по годам'!J695+'Дивиденды по годам'!K695)/'Дивиденды по годам'!M695,""),"")</f>
        <v/>
      </c>
      <c r="V695" t="str">
        <f>IFERROR(IF(AND('Дивиденды по годам'!J695&lt;&gt;"",'Дивиденды по годам'!K695&lt;&gt;"",'Дивиденды по годам'!M695&lt;&gt;"",'Дивиденды по годам'!I695&lt;&gt;0),('Дивиденды по годам'!J695+'Дивиденды по годам'!K695)/'Дивиденды по годам'!I695,""),"")</f>
        <v/>
      </c>
      <c r="W695" t="str">
        <f>IFERROR('Дивиденды по годам'!I695,"")</f>
        <v/>
      </c>
      <c r="X695" cm="1">
        <f t="array" ref="X695">IFERROR(AVERAGE(_xlfn._xlws.FILTER(P$2:P$1073,($C$2:$C$1073=$C695)*($E$2:$E$1073=$E695)*(ROW(P$2:P$1073)&lt;&gt;ROW(P695))*(P$2:P$1073&lt;&gt;""))),"")</f>
        <v>25.279360907920736</v>
      </c>
      <c r="Y695" cm="1">
        <f t="array" ref="Y695">IFERROR(AVERAGE(_xlfn._xlws.FILTER(Q$2:Q$1073,($C$2:$C$1073=$C695)*($E$2:$E$1073=$E695)*(ROW(Q$2:Q$1073)&lt;&gt;ROW(Q695))*(Q$2:Q$1073&lt;&gt;""))),"")</f>
        <v>0.26156752075221612</v>
      </c>
      <c r="Z695" cm="1">
        <f t="array" ref="Z695">IFERROR(AVERAGE(_xlfn._xlws.FILTER(R$2:R$1073,($C$2:$C$1073=$C695)*($E$2:$E$1073=$E695)*(ROW(R$2:R$1073)&lt;&gt;ROW(R695))*(R$2:R$1073&lt;&gt;""))),"")</f>
        <v>9.6830410579929804E-2</v>
      </c>
      <c r="AA695" cm="1">
        <f t="array" ref="AA695">IFERROR(AVERAGE(_xlfn._xlws.FILTER(S$2:S$1073,($C$2:$C$1073=$C695)*($E$2:$E$1073=$E695)*(ROW(S$2:S$1073)&lt;&gt;ROW(S695))*(S$2:S$1073&lt;&gt;""))),"")</f>
        <v>1.7199758573549004</v>
      </c>
      <c r="AB695" cm="1">
        <f t="array" ref="AB695">IFERROR(AVERAGE(_xlfn._xlws.FILTER(T$2:T$1073,($C$2:$C$1073=$C695)*($E$2:$E$1073=$E695)*(ROW(T$2:T$1073)&lt;&gt;ROW(T695))*(T$2:T$1073&lt;&gt;""))),"")</f>
        <v>6.7482119215201988E-2</v>
      </c>
      <c r="AC695" cm="1">
        <f t="array" ref="AC695">IFERROR(AVERAGE(_xlfn._xlws.FILTER(U$2:U$1073,($C$2:$C$1073=$C695)*($E$2:$E$1073=$E695)*(ROW(U$2:U$1073)&lt;&gt;ROW(U695))*(U$2:U$1073&lt;&gt;""))),"")</f>
        <v>-10.291341252885539</v>
      </c>
      <c r="AD695" cm="1">
        <f t="array" ref="AD695">IFERROR(AVERAGE(_xlfn._xlws.FILTER(V$2:V$1073,($C$2:$C$1073=$C695)*($E$2:$E$1073=$E695)*(ROW(V$2:V$1073)&lt;&gt;ROW(V695))*(V$2:V$1073&lt;&gt;""))),"")</f>
        <v>0.77820650148801684</v>
      </c>
      <c r="AE695">
        <f>IF('Дивиденды по годам'!M695&lt;0,1,0)</f>
        <v>0</v>
      </c>
    </row>
    <row r="696" spans="1:31" x14ac:dyDescent="0.2">
      <c r="A696" s="7" t="s">
        <v>2264</v>
      </c>
      <c r="B696" t="str">
        <f t="shared" si="110"/>
        <v>VSEH IV кв. 2019</v>
      </c>
      <c r="C696">
        <v>2019</v>
      </c>
      <c r="D696">
        <f>SUMIFS(Дивиденды!$C:$C,Дивиденды!$A:$A,A696,Дивиденды!$I:$I,C696)</f>
        <v>0</v>
      </c>
      <c r="E696">
        <v>4</v>
      </c>
      <c r="F696">
        <f t="shared" si="111"/>
        <v>0</v>
      </c>
      <c r="G696">
        <f t="shared" si="112"/>
        <v>24.398571428571426</v>
      </c>
      <c r="H696">
        <f t="shared" si="113"/>
        <v>0</v>
      </c>
      <c r="I696">
        <f t="shared" si="114"/>
        <v>0.21428571428571427</v>
      </c>
      <c r="J696">
        <f t="shared" si="115"/>
        <v>0</v>
      </c>
      <c r="K696">
        <f t="shared" si="120"/>
        <v>0.10876410731109194</v>
      </c>
      <c r="L696">
        <f t="shared" si="116"/>
        <v>0</v>
      </c>
      <c r="M696">
        <f t="shared" si="117"/>
        <v>0.21428571428571427</v>
      </c>
      <c r="N696">
        <f t="shared" si="118"/>
        <v>0</v>
      </c>
      <c r="O696">
        <f t="shared" si="119"/>
        <v>0</v>
      </c>
      <c r="P696" t="str">
        <f>IFERROR(LN('Дивиденды по годам'!I696),"")</f>
        <v/>
      </c>
      <c r="Q696" t="str">
        <f>IFERROR('Дивиденды по годам'!G696/'Дивиденды по годам'!I696, "")</f>
        <v/>
      </c>
      <c r="R696" t="str">
        <f>IFERROR(IF(AND('Дивиденды по годам'!N696&lt;&gt;"",'Дивиденды по годам'!U696&lt;&gt;"",'Дивиденды по годам'!U696&lt;&gt;0),'Дивиденды по годам'!N696/'Дивиденды по годам'!U696-1,""),"")</f>
        <v/>
      </c>
      <c r="S696" t="str">
        <f>IFERROR(IF(AND('Дивиденды по годам'!L696&lt;&gt;"",'Дивиденды по годам'!I696&lt;&gt;"",'Дивиденды по годам'!J696&lt;&gt;"",'Дивиденды по годам'!K696&lt;&gt;"",('Дивиденды по годам'!I696-'Дивиденды по годам'!J696-'Дивиденды по годам'!K696)&lt;&gt;0),'Дивиденды по годам'!L696/('Дивиденды по годам'!I696-'Дивиденды по годам'!J696-'Дивиденды по годам'!K696),""),"")</f>
        <v/>
      </c>
      <c r="T696" t="str">
        <f>IFERROR(IF(AND('Дивиденды по годам'!Q696&lt;&gt;"",'Дивиденды по годам'!I696&lt;&gt;"",'Дивиденды по годам'!V696&lt;&gt;"",('Дивиденды по годам'!I696+'Дивиденды по годам'!V696)&lt;&gt;0),'Дивиденды по годам'!Q696/(('Дивиденды по годам'!I696+'Дивиденды по годам'!V696)/2),""),"")</f>
        <v/>
      </c>
      <c r="U696" t="str">
        <f>IFERROR(IF(AND('Дивиденды по годам'!J696&lt;&gt;"",'Дивиденды по годам'!K696&lt;&gt;"",'Дивиденды по годам'!M696&lt;&gt;"",'Дивиденды по годам'!M696&lt;&gt;0),('Дивиденды по годам'!J696+'Дивиденды по годам'!K696)/'Дивиденды по годам'!M696,""),"")</f>
        <v/>
      </c>
      <c r="V696" t="str">
        <f>IFERROR(IF(AND('Дивиденды по годам'!J696&lt;&gt;"",'Дивиденды по годам'!K696&lt;&gt;"",'Дивиденды по годам'!M696&lt;&gt;"",'Дивиденды по годам'!I696&lt;&gt;0),('Дивиденды по годам'!J696+'Дивиденды по годам'!K696)/'Дивиденды по годам'!I696,""),"")</f>
        <v/>
      </c>
      <c r="W696" t="str">
        <f>IFERROR('Дивиденды по годам'!I696,"")</f>
        <v/>
      </c>
      <c r="X696" cm="1">
        <f t="array" ref="X696">IFERROR(AVERAGE(_xlfn._xlws.FILTER(P$2:P$1073,($C$2:$C$1073=$C696)*($E$2:$E$1073=$E696)*(ROW(P$2:P$1073)&lt;&gt;ROW(P696))*(P$2:P$1073&lt;&gt;""))),"")</f>
        <v>25.116045651461882</v>
      </c>
      <c r="Y696" cm="1">
        <f t="array" ref="Y696">IFERROR(AVERAGE(_xlfn._xlws.FILTER(Q$2:Q$1073,($C$2:$C$1073=$C696)*($E$2:$E$1073=$E696)*(ROW(Q$2:Q$1073)&lt;&gt;ROW(Q696))*(Q$2:Q$1073&lt;&gt;""))),"")</f>
        <v>0.27081451761564085</v>
      </c>
      <c r="Z696" cm="1">
        <f t="array" ref="Z696">IFERROR(AVERAGE(_xlfn._xlws.FILTER(R$2:R$1073,($C$2:$C$1073=$C696)*($E$2:$E$1073=$E696)*(ROW(R$2:R$1073)&lt;&gt;ROW(R696))*(R$2:R$1073&lt;&gt;""))),"")</f>
        <v>0.41255485917491075</v>
      </c>
      <c r="AA696" cm="1">
        <f t="array" ref="AA696">IFERROR(AVERAGE(_xlfn._xlws.FILTER(S$2:S$1073,($C$2:$C$1073=$C696)*($E$2:$E$1073=$E696)*(ROW(S$2:S$1073)&lt;&gt;ROW(S696))*(S$2:S$1073&lt;&gt;""))),"")</f>
        <v>0.89707160002220321</v>
      </c>
      <c r="AB696" cm="1">
        <f t="array" ref="AB696">IFERROR(AVERAGE(_xlfn._xlws.FILTER(T$2:T$1073,($C$2:$C$1073=$C696)*($E$2:$E$1073=$E696)*(ROW(T$2:T$1073)&lt;&gt;ROW(T696))*(T$2:T$1073&lt;&gt;""))),"")</f>
        <v>4.8479450567785541E-2</v>
      </c>
      <c r="AC696" cm="1">
        <f t="array" ref="AC696">IFERROR(AVERAGE(_xlfn._xlws.FILTER(U$2:U$1073,($C$2:$C$1073=$C696)*($E$2:$E$1073=$E696)*(ROW(U$2:U$1073)&lt;&gt;ROW(U696))*(U$2:U$1073&lt;&gt;""))),"")</f>
        <v>-2.6443211935212805</v>
      </c>
      <c r="AD696" cm="1">
        <f t="array" ref="AD696">IFERROR(AVERAGE(_xlfn._xlws.FILTER(V$2:V$1073,($C$2:$C$1073=$C696)*($E$2:$E$1073=$E696)*(ROW(V$2:V$1073)&lt;&gt;ROW(V696))*(V$2:V$1073&lt;&gt;""))),"")</f>
        <v>0.81339122582508594</v>
      </c>
      <c r="AE696">
        <f>IF('Дивиденды по годам'!M696&lt;0,1,0)</f>
        <v>0</v>
      </c>
    </row>
    <row r="697" spans="1:31" x14ac:dyDescent="0.2">
      <c r="A697" s="7" t="s">
        <v>2264</v>
      </c>
      <c r="B697" t="str">
        <f t="shared" si="110"/>
        <v>VSEH IV кв. 2018</v>
      </c>
      <c r="C697">
        <v>2018</v>
      </c>
      <c r="D697">
        <f>SUMIFS(Дивиденды!$C:$C,Дивиденды!$A:$A,A697,Дивиденды!$I:$I,C697)</f>
        <v>0</v>
      </c>
      <c r="E697">
        <v>4</v>
      </c>
      <c r="F697">
        <f t="shared" si="111"/>
        <v>0</v>
      </c>
      <c r="G697">
        <f t="shared" si="112"/>
        <v>21.978571428571428</v>
      </c>
      <c r="H697">
        <f t="shared" si="113"/>
        <v>0</v>
      </c>
      <c r="I697">
        <f t="shared" si="114"/>
        <v>0.14285714285714285</v>
      </c>
      <c r="J697">
        <f t="shared" si="115"/>
        <v>0</v>
      </c>
      <c r="K697">
        <f t="shared" si="120"/>
        <v>-1.8223065562117002E-2</v>
      </c>
      <c r="L697">
        <f t="shared" si="116"/>
        <v>0</v>
      </c>
      <c r="M697">
        <f t="shared" si="117"/>
        <v>7.1428571428571425E-2</v>
      </c>
      <c r="N697">
        <f t="shared" si="118"/>
        <v>0</v>
      </c>
      <c r="O697">
        <f t="shared" si="119"/>
        <v>7.1428571428571425E-2</v>
      </c>
      <c r="P697" t="str">
        <f>IFERROR(LN('Дивиденды по годам'!I697),"")</f>
        <v/>
      </c>
      <c r="Q697" t="str">
        <f>IFERROR('Дивиденды по годам'!G697/'Дивиденды по годам'!I697, "")</f>
        <v/>
      </c>
      <c r="R697" t="str">
        <f>IFERROR(IF(AND('Дивиденды по годам'!N697&lt;&gt;"",'Дивиденды по годам'!U697&lt;&gt;"",'Дивиденды по годам'!U697&lt;&gt;0),'Дивиденды по годам'!N697/'Дивиденды по годам'!U697-1,""),"")</f>
        <v/>
      </c>
      <c r="S697" t="str">
        <f>IFERROR(IF(AND('Дивиденды по годам'!L697&lt;&gt;"",'Дивиденды по годам'!I697&lt;&gt;"",'Дивиденды по годам'!J697&lt;&gt;"",'Дивиденды по годам'!K697&lt;&gt;"",('Дивиденды по годам'!I697-'Дивиденды по годам'!J697-'Дивиденды по годам'!K697)&lt;&gt;0),'Дивиденды по годам'!L697/('Дивиденды по годам'!I697-'Дивиденды по годам'!J697-'Дивиденды по годам'!K697),""),"")</f>
        <v/>
      </c>
      <c r="T697" t="str">
        <f>IFERROR(IF(AND('Дивиденды по годам'!Q697&lt;&gt;"",'Дивиденды по годам'!I697&lt;&gt;"",'Дивиденды по годам'!V697&lt;&gt;"",('Дивиденды по годам'!I697+'Дивиденды по годам'!V697)&lt;&gt;0),'Дивиденды по годам'!Q697/(('Дивиденды по годам'!I697+'Дивиденды по годам'!V697)/2),""),"")</f>
        <v/>
      </c>
      <c r="U697" t="str">
        <f>IFERROR(IF(AND('Дивиденды по годам'!J697&lt;&gt;"",'Дивиденды по годам'!K697&lt;&gt;"",'Дивиденды по годам'!M697&lt;&gt;"",'Дивиденды по годам'!M697&lt;&gt;0),('Дивиденды по годам'!J697+'Дивиденды по годам'!K697)/'Дивиденды по годам'!M697,""),"")</f>
        <v/>
      </c>
      <c r="V697" t="str">
        <f>IFERROR(IF(AND('Дивиденды по годам'!J697&lt;&gt;"",'Дивиденды по годам'!K697&lt;&gt;"",'Дивиденды по годам'!M697&lt;&gt;"",'Дивиденды по годам'!I697&lt;&gt;0),('Дивиденды по годам'!J697+'Дивиденды по годам'!K697)/'Дивиденды по годам'!I697,""),"")</f>
        <v/>
      </c>
      <c r="W697" t="str">
        <f>IFERROR('Дивиденды по годам'!I697,"")</f>
        <v/>
      </c>
      <c r="X697" cm="1">
        <f t="array" ref="X697">IFERROR(AVERAGE(_xlfn._xlws.FILTER(P$2:P$1073,($C$2:$C$1073=$C697)*($E$2:$E$1073=$E697)*(ROW(P$2:P$1073)&lt;&gt;ROW(P697))*(P$2:P$1073&lt;&gt;""))),"")</f>
        <v>24.908270704496481</v>
      </c>
      <c r="Y697" cm="1">
        <f t="array" ref="Y697">IFERROR(AVERAGE(_xlfn._xlws.FILTER(Q$2:Q$1073,($C$2:$C$1073=$C697)*($E$2:$E$1073=$E697)*(ROW(Q$2:Q$1073)&lt;&gt;ROW(Q697))*(Q$2:Q$1073&lt;&gt;""))),"")</f>
        <v>0.31629947227527405</v>
      </c>
      <c r="Z697" cm="1">
        <f t="array" ref="Z697">IFERROR(AVERAGE(_xlfn._xlws.FILTER(R$2:R$1073,($C$2:$C$1073=$C697)*($E$2:$E$1073=$E697)*(ROW(R$2:R$1073)&lt;&gt;ROW(R697))*(R$2:R$1073&lt;&gt;""))),"")</f>
        <v>5.6638288450543382E-2</v>
      </c>
      <c r="AA697" cm="1">
        <f t="array" ref="AA697">IFERROR(AVERAGE(_xlfn._xlws.FILTER(S$2:S$1073,($C$2:$C$1073=$C697)*($E$2:$E$1073=$E697)*(ROW(S$2:S$1073)&lt;&gt;ROW(S697))*(S$2:S$1073&lt;&gt;""))),"")</f>
        <v>0.64427650310006845</v>
      </c>
      <c r="AB697" cm="1">
        <f t="array" ref="AB697">IFERROR(AVERAGE(_xlfn._xlws.FILTER(T$2:T$1073,($C$2:$C$1073=$C697)*($E$2:$E$1073=$E697)*(ROW(T$2:T$1073)&lt;&gt;ROW(T697))*(T$2:T$1073&lt;&gt;""))),"")</f>
        <v>7.1418821660913928E-3</v>
      </c>
      <c r="AC697" cm="1">
        <f t="array" ref="AC697">IFERROR(AVERAGE(_xlfn._xlws.FILTER(U$2:U$1073,($C$2:$C$1073=$C697)*($E$2:$E$1073=$E697)*(ROW(U$2:U$1073)&lt;&gt;ROW(U697))*(U$2:U$1073&lt;&gt;""))),"")</f>
        <v>1.0767813683356515</v>
      </c>
      <c r="AD697" cm="1">
        <f t="array" ref="AD697">IFERROR(AVERAGE(_xlfn._xlws.FILTER(V$2:V$1073,($C$2:$C$1073=$C697)*($E$2:$E$1073=$E697)*(ROW(V$2:V$1073)&lt;&gt;ROW(V697))*(V$2:V$1073&lt;&gt;""))),"")</f>
        <v>0.81626365949041058</v>
      </c>
      <c r="AE697">
        <f>IF('Дивиденды по годам'!M697&lt;0,1,0)</f>
        <v>0</v>
      </c>
    </row>
    <row r="698" spans="1:31" x14ac:dyDescent="0.2">
      <c r="A698" s="7" t="s">
        <v>2264</v>
      </c>
      <c r="B698" t="str">
        <f t="shared" si="110"/>
        <v>VSEH IV кв. 2017</v>
      </c>
      <c r="C698">
        <v>2017</v>
      </c>
      <c r="D698">
        <f>SUMIFS(Дивиденды!$C:$C,Дивиденды!$A:$A,A698,Дивиденды!$I:$I,C698)</f>
        <v>0</v>
      </c>
      <c r="E698">
        <v>4</v>
      </c>
      <c r="F698">
        <f t="shared" si="111"/>
        <v>0</v>
      </c>
      <c r="G698">
        <f t="shared" si="112"/>
        <v>18.403571428571428</v>
      </c>
      <c r="H698">
        <f t="shared" si="113"/>
        <v>0</v>
      </c>
      <c r="I698">
        <f t="shared" si="114"/>
        <v>0.14285714285714285</v>
      </c>
      <c r="J698">
        <f t="shared" si="115"/>
        <v>0</v>
      </c>
      <c r="K698">
        <f t="shared" si="120"/>
        <v>-1.7352821773673279E-2</v>
      </c>
      <c r="L698">
        <f t="shared" si="116"/>
        <v>0</v>
      </c>
      <c r="M698">
        <f t="shared" si="117"/>
        <v>0</v>
      </c>
      <c r="N698">
        <f t="shared" si="118"/>
        <v>0</v>
      </c>
      <c r="O698">
        <f t="shared" si="119"/>
        <v>0.14285714285714285</v>
      </c>
      <c r="P698" t="str">
        <f>IFERROR(LN('Дивиденды по годам'!I698),"")</f>
        <v/>
      </c>
      <c r="Q698" t="str">
        <f>IFERROR('Дивиденды по годам'!G698/'Дивиденды по годам'!I698, "")</f>
        <v/>
      </c>
      <c r="R698" t="str">
        <f>IFERROR(IF(AND('Дивиденды по годам'!N698&lt;&gt;"",'Дивиденды по годам'!U698&lt;&gt;"",'Дивиденды по годам'!U698&lt;&gt;0),'Дивиденды по годам'!N698/'Дивиденды по годам'!U698-1,""),"")</f>
        <v/>
      </c>
      <c r="S698" t="str">
        <f>IFERROR(IF(AND('Дивиденды по годам'!L698&lt;&gt;"",'Дивиденды по годам'!I698&lt;&gt;"",'Дивиденды по годам'!J698&lt;&gt;"",'Дивиденды по годам'!K698&lt;&gt;"",('Дивиденды по годам'!I698-'Дивиденды по годам'!J698-'Дивиденды по годам'!K698)&lt;&gt;0),'Дивиденды по годам'!L698/('Дивиденды по годам'!I698-'Дивиденды по годам'!J698-'Дивиденды по годам'!K698),""),"")</f>
        <v/>
      </c>
      <c r="T698" t="str">
        <f>IFERROR(IF(AND('Дивиденды по годам'!Q698&lt;&gt;"",'Дивиденды по годам'!I698&lt;&gt;"",'Дивиденды по годам'!V698&lt;&gt;"",('Дивиденды по годам'!I698+'Дивиденды по годам'!V698)&lt;&gt;0),'Дивиденды по годам'!Q698/(('Дивиденды по годам'!I698+'Дивиденды по годам'!V698)/2),""),"")</f>
        <v/>
      </c>
      <c r="U698" t="str">
        <f>IFERROR(IF(AND('Дивиденды по годам'!J698&lt;&gt;"",'Дивиденды по годам'!K698&lt;&gt;"",'Дивиденды по годам'!M698&lt;&gt;"",'Дивиденды по годам'!M698&lt;&gt;0),('Дивиденды по годам'!J698+'Дивиденды по годам'!K698)/'Дивиденды по годам'!M698,""),"")</f>
        <v/>
      </c>
      <c r="V698" t="str">
        <f>IFERROR(IF(AND('Дивиденды по годам'!J698&lt;&gt;"",'Дивиденды по годам'!K698&lt;&gt;"",'Дивиденды по годам'!M698&lt;&gt;"",'Дивиденды по годам'!I698&lt;&gt;0),('Дивиденды по годам'!J698+'Дивиденды по годам'!K698)/'Дивиденды по годам'!I698,""),"")</f>
        <v/>
      </c>
      <c r="W698" t="str">
        <f>IFERROR('Дивиденды по годам'!I698,"")</f>
        <v/>
      </c>
      <c r="X698" cm="1">
        <f t="array" ref="X698">IFERROR(AVERAGE(_xlfn._xlws.FILTER(P$2:P$1073,($C$2:$C$1073=$C698)*($E$2:$E$1073=$E698)*(ROW(P$2:P$1073)&lt;&gt;ROW(P698))*(P$2:P$1073&lt;&gt;""))),"")</f>
        <v>24.73571056544559</v>
      </c>
      <c r="Y698" cm="1">
        <f t="array" ref="Y698">IFERROR(AVERAGE(_xlfn._xlws.FILTER(Q$2:Q$1073,($C$2:$C$1073=$C698)*($E$2:$E$1073=$E698)*(ROW(Q$2:Q$1073)&lt;&gt;ROW(Q698))*(Q$2:Q$1073&lt;&gt;""))),"")</f>
        <v>0.33981210980429821</v>
      </c>
      <c r="Z698" cm="1">
        <f t="array" ref="Z698">IFERROR(AVERAGE(_xlfn._xlws.FILTER(R$2:R$1073,($C$2:$C$1073=$C698)*($E$2:$E$1073=$E698)*(ROW(R$2:R$1073)&lt;&gt;ROW(R698))*(R$2:R$1073&lt;&gt;""))),"")</f>
        <v>0.23691718521625563</v>
      </c>
      <c r="AA698" cm="1">
        <f t="array" ref="AA698">IFERROR(AVERAGE(_xlfn._xlws.FILTER(S$2:S$1073,($C$2:$C$1073=$C698)*($E$2:$E$1073=$E698)*(ROW(S$2:S$1073)&lt;&gt;ROW(S698))*(S$2:S$1073&lt;&gt;""))),"")</f>
        <v>0.61774629406594017</v>
      </c>
      <c r="AB698" cm="1">
        <f t="array" ref="AB698">IFERROR(AVERAGE(_xlfn._xlws.FILTER(T$2:T$1073,($C$2:$C$1073=$C698)*($E$2:$E$1073=$E698)*(ROW(T$2:T$1073)&lt;&gt;ROW(T698))*(T$2:T$1073&lt;&gt;""))),"")</f>
        <v>-2.7044382152168867E-2</v>
      </c>
      <c r="AC698" cm="1">
        <f t="array" ref="AC698">IFERROR(AVERAGE(_xlfn._xlws.FILTER(U$2:U$1073,($C$2:$C$1073=$C698)*($E$2:$E$1073=$E698)*(ROW(U$2:U$1073)&lt;&gt;ROW(U698))*(U$2:U$1073&lt;&gt;""))),"")</f>
        <v>0.62620703107195774</v>
      </c>
      <c r="AD698" cm="1">
        <f t="array" ref="AD698">IFERROR(AVERAGE(_xlfn._xlws.FILTER(V$2:V$1073,($C$2:$C$1073=$C698)*($E$2:$E$1073=$E698)*(ROW(V$2:V$1073)&lt;&gt;ROW(V698))*(V$2:V$1073&lt;&gt;""))),"")</f>
        <v>0.66654193671015471</v>
      </c>
      <c r="AE698">
        <f>IF('Дивиденды по годам'!M698&lt;0,1,0)</f>
        <v>0</v>
      </c>
    </row>
    <row r="699" spans="1:31" x14ac:dyDescent="0.2">
      <c r="A699" s="7" t="s">
        <v>2264</v>
      </c>
      <c r="B699" t="str">
        <f t="shared" si="110"/>
        <v>VSEH IV кв. 2016</v>
      </c>
      <c r="C699">
        <v>2016</v>
      </c>
      <c r="D699">
        <f>SUMIFS(Дивиденды!$C:$C,Дивиденды!$A:$A,A699,Дивиденды!$I:$I,C699)</f>
        <v>0</v>
      </c>
      <c r="E699">
        <v>4</v>
      </c>
      <c r="F699">
        <f t="shared" si="111"/>
        <v>0</v>
      </c>
      <c r="G699">
        <f t="shared" si="112"/>
        <v>20.421428571428571</v>
      </c>
      <c r="H699">
        <f t="shared" si="113"/>
        <v>0</v>
      </c>
      <c r="I699">
        <f t="shared" si="114"/>
        <v>0.14285714285714285</v>
      </c>
      <c r="J699">
        <f t="shared" si="115"/>
        <v>0</v>
      </c>
      <c r="K699">
        <f t="shared" si="120"/>
        <v>2.0593461763560781E-2</v>
      </c>
      <c r="L699">
        <f t="shared" si="116"/>
        <v>0</v>
      </c>
      <c r="M699">
        <f t="shared" si="117"/>
        <v>7.1428571428571425E-2</v>
      </c>
      <c r="N699">
        <f t="shared" si="118"/>
        <v>0</v>
      </c>
      <c r="O699">
        <f t="shared" si="119"/>
        <v>7.1428571428571425E-2</v>
      </c>
      <c r="P699" t="str">
        <f>IFERROR(LN('Дивиденды по годам'!I699),"")</f>
        <v/>
      </c>
      <c r="Q699" t="str">
        <f>IFERROR('Дивиденды по годам'!G699/'Дивиденды по годам'!I699, "")</f>
        <v/>
      </c>
      <c r="R699" t="str">
        <f>IFERROR(IF(AND('Дивиденды по годам'!N699&lt;&gt;"",'Дивиденды по годам'!U699&lt;&gt;"",'Дивиденды по годам'!U699&lt;&gt;0),'Дивиденды по годам'!N699/'Дивиденды по годам'!U699-1,""),"")</f>
        <v/>
      </c>
      <c r="S699" t="str">
        <f>IFERROR(IF(AND('Дивиденды по годам'!L699&lt;&gt;"",'Дивиденды по годам'!I699&lt;&gt;"",'Дивиденды по годам'!J699&lt;&gt;"",'Дивиденды по годам'!K699&lt;&gt;"",('Дивиденды по годам'!I699-'Дивиденды по годам'!J699-'Дивиденды по годам'!K699)&lt;&gt;0),'Дивиденды по годам'!L699/('Дивиденды по годам'!I699-'Дивиденды по годам'!J699-'Дивиденды по годам'!K699),""),"")</f>
        <v/>
      </c>
      <c r="T699" t="str">
        <f>IFERROR(IF(AND('Дивиденды по годам'!Q699&lt;&gt;"",'Дивиденды по годам'!I699&lt;&gt;"",'Дивиденды по годам'!V699&lt;&gt;"",('Дивиденды по годам'!I699+'Дивиденды по годам'!V699)&lt;&gt;0),'Дивиденды по годам'!Q699/(('Дивиденды по годам'!I699+'Дивиденды по годам'!V699)/2),""),"")</f>
        <v/>
      </c>
      <c r="U699" t="str">
        <f>IFERROR(IF(AND('Дивиденды по годам'!J699&lt;&gt;"",'Дивиденды по годам'!K699&lt;&gt;"",'Дивиденды по годам'!M699&lt;&gt;"",'Дивиденды по годам'!M699&lt;&gt;0),('Дивиденды по годам'!J699+'Дивиденды по годам'!K699)/'Дивиденды по годам'!M699,""),"")</f>
        <v/>
      </c>
      <c r="V699" t="str">
        <f>IFERROR(IF(AND('Дивиденды по годам'!J699&lt;&gt;"",'Дивиденды по годам'!K699&lt;&gt;"",'Дивиденды по годам'!M699&lt;&gt;"",'Дивиденды по годам'!I699&lt;&gt;0),('Дивиденды по годам'!J699+'Дивиденды по годам'!K699)/'Дивиденды по годам'!I699,""),"")</f>
        <v/>
      </c>
      <c r="W699" t="str">
        <f>IFERROR('Дивиденды по годам'!I699,"")</f>
        <v/>
      </c>
      <c r="X699" cm="1">
        <f t="array" ref="X699">IFERROR(AVERAGE(_xlfn._xlws.FILTER(P$2:P$1073,($C$2:$C$1073=$C699)*($E$2:$E$1073=$E699)*(ROW(P$2:P$1073)&lt;&gt;ROW(P699))*(P$2:P$1073&lt;&gt;""))),"")</f>
        <v>24.55530958635584</v>
      </c>
      <c r="Y699" cm="1">
        <f t="array" ref="Y699">IFERROR(AVERAGE(_xlfn._xlws.FILTER(Q$2:Q$1073,($C$2:$C$1073=$C699)*($E$2:$E$1073=$E699)*(ROW(Q$2:Q$1073)&lt;&gt;ROW(Q699))*(Q$2:Q$1073&lt;&gt;""))),"")</f>
        <v>0.27878606899788128</v>
      </c>
      <c r="Z699" cm="1">
        <f t="array" ref="Z699">IFERROR(AVERAGE(_xlfn._xlws.FILTER(R$2:R$1073,($C$2:$C$1073=$C699)*($E$2:$E$1073=$E699)*(ROW(R$2:R$1073)&lt;&gt;ROW(R699))*(R$2:R$1073&lt;&gt;""))),"")</f>
        <v>0.16612325919082049</v>
      </c>
      <c r="AA699" cm="1">
        <f t="array" ref="AA699">IFERROR(AVERAGE(_xlfn._xlws.FILTER(S$2:S$1073,($C$2:$C$1073=$C699)*($E$2:$E$1073=$E699)*(ROW(S$2:S$1073)&lt;&gt;ROW(S699))*(S$2:S$1073&lt;&gt;""))),"")</f>
        <v>6.2178681719613929</v>
      </c>
      <c r="AB699" cm="1">
        <f t="array" ref="AB699">IFERROR(AVERAGE(_xlfn._xlws.FILTER(T$2:T$1073,($C$2:$C$1073=$C699)*($E$2:$E$1073=$E699)*(ROW(T$2:T$1073)&lt;&gt;ROW(T699))*(T$2:T$1073&lt;&gt;""))),"")</f>
        <v>-2.007011623977166E-2</v>
      </c>
      <c r="AC699" cm="1">
        <f t="array" ref="AC699">IFERROR(AVERAGE(_xlfn._xlws.FILTER(U$2:U$1073,($C$2:$C$1073=$C699)*($E$2:$E$1073=$E699)*(ROW(U$2:U$1073)&lt;&gt;ROW(U699))*(U$2:U$1073&lt;&gt;""))),"")</f>
        <v>-16.044507701133888</v>
      </c>
      <c r="AD699" cm="1">
        <f t="array" ref="AD699">IFERROR(AVERAGE(_xlfn._xlws.FILTER(V$2:V$1073,($C$2:$C$1073=$C699)*($E$2:$E$1073=$E699)*(ROW(V$2:V$1073)&lt;&gt;ROW(V699))*(V$2:V$1073&lt;&gt;""))),"")</f>
        <v>0.64687882816141706</v>
      </c>
      <c r="AE699">
        <f>IF('Дивиденды по годам'!M699&lt;0,1,0)</f>
        <v>0</v>
      </c>
    </row>
    <row r="700" spans="1:31" x14ac:dyDescent="0.2">
      <c r="A700" s="7" t="s">
        <v>2264</v>
      </c>
      <c r="B700" t="str">
        <f t="shared" si="110"/>
        <v>VSEH IV кв. 2015</v>
      </c>
      <c r="C700">
        <v>2015</v>
      </c>
      <c r="D700">
        <f>SUMIFS(Дивиденды!$C:$C,Дивиденды!$A:$A,A700,Дивиденды!$I:$I,C700)</f>
        <v>0</v>
      </c>
      <c r="E700">
        <v>4</v>
      </c>
      <c r="F700">
        <f t="shared" si="111"/>
        <v>0</v>
      </c>
      <c r="G700">
        <f t="shared" si="112"/>
        <v>22.574999999999999</v>
      </c>
      <c r="H700">
        <f t="shared" si="113"/>
        <v>0</v>
      </c>
      <c r="I700">
        <f t="shared" si="114"/>
        <v>0.14285714285714285</v>
      </c>
      <c r="J700">
        <f t="shared" si="115"/>
        <v>0</v>
      </c>
      <c r="K700">
        <f t="shared" si="120"/>
        <v>6.1102189263868886E-2</v>
      </c>
      <c r="L700">
        <f t="shared" si="116"/>
        <v>0</v>
      </c>
      <c r="M700">
        <f t="shared" si="117"/>
        <v>7.1428571428571425E-2</v>
      </c>
      <c r="N700">
        <f t="shared" si="118"/>
        <v>0</v>
      </c>
      <c r="O700">
        <f t="shared" si="119"/>
        <v>7.1428571428571425E-2</v>
      </c>
      <c r="P700" t="str">
        <f>IFERROR(LN('Дивиденды по годам'!I700),"")</f>
        <v/>
      </c>
      <c r="Q700" t="str">
        <f>IFERROR('Дивиденды по годам'!G700/'Дивиденды по годам'!I700, "")</f>
        <v/>
      </c>
      <c r="R700" t="str">
        <f>IFERROR(IF(AND('Дивиденды по годам'!N700&lt;&gt;"",'Дивиденды по годам'!U700&lt;&gt;"",'Дивиденды по годам'!U700&lt;&gt;0),'Дивиденды по годам'!N700/'Дивиденды по годам'!U700-1,""),"")</f>
        <v/>
      </c>
      <c r="S700" t="str">
        <f>IFERROR(IF(AND('Дивиденды по годам'!L700&lt;&gt;"",'Дивиденды по годам'!I700&lt;&gt;"",'Дивиденды по годам'!J700&lt;&gt;"",'Дивиденды по годам'!K700&lt;&gt;"",('Дивиденды по годам'!I700-'Дивиденды по годам'!J700-'Дивиденды по годам'!K700)&lt;&gt;0),'Дивиденды по годам'!L700/('Дивиденды по годам'!I700-'Дивиденды по годам'!J700-'Дивиденды по годам'!K700),""),"")</f>
        <v/>
      </c>
      <c r="T700" t="str">
        <f>IFERROR(IF(AND('Дивиденды по годам'!Q700&lt;&gt;"",'Дивиденды по годам'!I700&lt;&gt;"",'Дивиденды по годам'!V700&lt;&gt;"",('Дивиденды по годам'!I700+'Дивиденды по годам'!V700)&lt;&gt;0),'Дивиденды по годам'!Q700/(('Дивиденды по годам'!I700+'Дивиденды по годам'!V700)/2),""),"")</f>
        <v/>
      </c>
      <c r="U700" t="str">
        <f>IFERROR(IF(AND('Дивиденды по годам'!J700&lt;&gt;"",'Дивиденды по годам'!K700&lt;&gt;"",'Дивиденды по годам'!M700&lt;&gt;"",'Дивиденды по годам'!M700&lt;&gt;0),('Дивиденды по годам'!J700+'Дивиденды по годам'!K700)/'Дивиденды по годам'!M700,""),"")</f>
        <v/>
      </c>
      <c r="V700" t="str">
        <f>IFERROR(IF(AND('Дивиденды по годам'!J700&lt;&gt;"",'Дивиденды по годам'!K700&lt;&gt;"",'Дивиденды по годам'!M700&lt;&gt;"",'Дивиденды по годам'!I700&lt;&gt;0),('Дивиденды по годам'!J700+'Дивиденды по годам'!K700)/'Дивиденды по годам'!I700,""),"")</f>
        <v/>
      </c>
      <c r="W700" t="str">
        <f>IFERROR('Дивиденды по годам'!I700,"")</f>
        <v/>
      </c>
      <c r="X700" cm="1">
        <f t="array" ref="X700">IFERROR(AVERAGE(_xlfn._xlws.FILTER(P$2:P$1073,($C$2:$C$1073=$C700)*($E$2:$E$1073=$E700)*(ROW(P$2:P$1073)&lt;&gt;ROW(P700))*(P$2:P$1073&lt;&gt;""))),"")</f>
        <v>24.784857390248948</v>
      </c>
      <c r="Y700" cm="1">
        <f t="array" ref="Y700">IFERROR(AVERAGE(_xlfn._xlws.FILTER(Q$2:Q$1073,($C$2:$C$1073=$C700)*($E$2:$E$1073=$E700)*(ROW(Q$2:Q$1073)&lt;&gt;ROW(Q700))*(Q$2:Q$1073&lt;&gt;""))),"")</f>
        <v>0.29707306985497267</v>
      </c>
      <c r="Z700" cm="1">
        <f t="array" ref="Z700">IFERROR(AVERAGE(_xlfn._xlws.FILTER(R$2:R$1073,($C$2:$C$1073=$C700)*($E$2:$E$1073=$E700)*(ROW(R$2:R$1073)&lt;&gt;ROW(R700))*(R$2:R$1073&lt;&gt;""))),"")</f>
        <v>0.20074687596566593</v>
      </c>
      <c r="AA700" cm="1">
        <f t="array" ref="AA700">IFERROR(AVERAGE(_xlfn._xlws.FILTER(S$2:S$1073,($C$2:$C$1073=$C700)*($E$2:$E$1073=$E700)*(ROW(S$2:S$1073)&lt;&gt;ROW(S700))*(S$2:S$1073&lt;&gt;""))),"")</f>
        <v>-0.60736862679830428</v>
      </c>
      <c r="AB700" cm="1">
        <f t="array" ref="AB700">IFERROR(AVERAGE(_xlfn._xlws.FILTER(T$2:T$1073,($C$2:$C$1073=$C700)*($E$2:$E$1073=$E700)*(ROW(T$2:T$1073)&lt;&gt;ROW(T700))*(T$2:T$1073&lt;&gt;""))),"")</f>
        <v>6.4031956193225284E-2</v>
      </c>
      <c r="AC700" cm="1">
        <f t="array" ref="AC700">IFERROR(AVERAGE(_xlfn._xlws.FILTER(U$2:U$1073,($C$2:$C$1073=$C700)*($E$2:$E$1073=$E700)*(ROW(U$2:U$1073)&lt;&gt;ROW(U700))*(U$2:U$1073&lt;&gt;""))),"")</f>
        <v>5.5189604575277329</v>
      </c>
      <c r="AD700" cm="1">
        <f t="array" ref="AD700">IFERROR(AVERAGE(_xlfn._xlws.FILTER(V$2:V$1073,($C$2:$C$1073=$C700)*($E$2:$E$1073=$E700)*(ROW(V$2:V$1073)&lt;&gt;ROW(V700))*(V$2:V$1073&lt;&gt;""))),"")</f>
        <v>0.63096522939864874</v>
      </c>
      <c r="AE700">
        <f>IF('Дивиденды по годам'!M700&lt;0,1,0)</f>
        <v>0</v>
      </c>
    </row>
    <row r="701" spans="1:31" x14ac:dyDescent="0.2">
      <c r="A701" s="7" t="s">
        <v>2264</v>
      </c>
      <c r="B701" t="str">
        <f t="shared" si="110"/>
        <v>VSEH IV кв. 2014</v>
      </c>
      <c r="C701">
        <v>2014</v>
      </c>
      <c r="D701">
        <f>SUMIFS(Дивиденды!$C:$C,Дивиденды!$A:$A,A701,Дивиденды!$I:$I,C701)</f>
        <v>0</v>
      </c>
      <c r="E701">
        <v>4</v>
      </c>
      <c r="F701">
        <f t="shared" si="111"/>
        <v>0</v>
      </c>
      <c r="G701">
        <f t="shared" si="112"/>
        <v>25.924285714285713</v>
      </c>
      <c r="H701">
        <f t="shared" si="113"/>
        <v>0</v>
      </c>
      <c r="I701">
        <f t="shared" si="114"/>
        <v>7.1428571428571425E-2</v>
      </c>
      <c r="J701">
        <f t="shared" si="115"/>
        <v>0</v>
      </c>
      <c r="K701">
        <f t="shared" si="120"/>
        <v>4.887635107293415E-2</v>
      </c>
      <c r="L701">
        <f t="shared" si="116"/>
        <v>0</v>
      </c>
      <c r="M701">
        <f t="shared" si="117"/>
        <v>7.1428571428571425E-2</v>
      </c>
      <c r="N701">
        <f t="shared" si="118"/>
        <v>0</v>
      </c>
      <c r="O701">
        <f t="shared" si="119"/>
        <v>7.1428571428571425E-2</v>
      </c>
      <c r="P701" t="str">
        <f>IFERROR(LN('Дивиденды по годам'!I701),"")</f>
        <v/>
      </c>
      <c r="Q701" t="str">
        <f>IFERROR('Дивиденды по годам'!G701/'Дивиденды по годам'!I701, "")</f>
        <v/>
      </c>
      <c r="R701" t="str">
        <f>IFERROR(IF(AND('Дивиденды по годам'!N701&lt;&gt;"",'Дивиденды по годам'!U701&lt;&gt;"",'Дивиденды по годам'!U701&lt;&gt;0),'Дивиденды по годам'!N701/'Дивиденды по годам'!U701-1,""),"")</f>
        <v/>
      </c>
      <c r="S701" t="str">
        <f>IFERROR(IF(AND('Дивиденды по годам'!L701&lt;&gt;"",'Дивиденды по годам'!I701&lt;&gt;"",'Дивиденды по годам'!J701&lt;&gt;"",'Дивиденды по годам'!K701&lt;&gt;"",('Дивиденды по годам'!I701-'Дивиденды по годам'!J701-'Дивиденды по годам'!K701)&lt;&gt;0),'Дивиденды по годам'!L701/('Дивиденды по годам'!I701-'Дивиденды по годам'!J701-'Дивиденды по годам'!K701),""),"")</f>
        <v/>
      </c>
      <c r="T701" t="str">
        <f>IFERROR(IF(AND('Дивиденды по годам'!Q701&lt;&gt;"",'Дивиденды по годам'!I701&lt;&gt;"",'Дивиденды по годам'!V701&lt;&gt;"",('Дивиденды по годам'!I701+'Дивиденды по годам'!V701)&lt;&gt;0),'Дивиденды по годам'!Q701/(('Дивиденды по годам'!I701+'Дивиденды по годам'!V701)/2),""),"")</f>
        <v/>
      </c>
      <c r="U701" t="str">
        <f>IFERROR(IF(AND('Дивиденды по годам'!J701&lt;&gt;"",'Дивиденды по годам'!K701&lt;&gt;"",'Дивиденды по годам'!M701&lt;&gt;"",'Дивиденды по годам'!M701&lt;&gt;0),('Дивиденды по годам'!J701+'Дивиденды по годам'!K701)/'Дивиденды по годам'!M701,""),"")</f>
        <v/>
      </c>
      <c r="V701" t="str">
        <f>IFERROR(IF(AND('Дивиденды по годам'!J701&lt;&gt;"",'Дивиденды по годам'!K701&lt;&gt;"",'Дивиденды по годам'!M701&lt;&gt;"",'Дивиденды по годам'!I701&lt;&gt;0),('Дивиденды по годам'!J701+'Дивиденды по годам'!K701)/'Дивиденды по годам'!I701,""),"")</f>
        <v/>
      </c>
      <c r="W701" t="str">
        <f>IFERROR('Дивиденды по годам'!I701,"")</f>
        <v/>
      </c>
      <c r="X701" cm="1">
        <f t="array" ref="X701">IFERROR(AVERAGE(_xlfn._xlws.FILTER(P$2:P$1073,($C$2:$C$1073=$C701)*($E$2:$E$1073=$E701)*(ROW(P$2:P$1073)&lt;&gt;ROW(P701))*(P$2:P$1073&lt;&gt;""))),"")</f>
        <v>24.777851287837404</v>
      </c>
      <c r="Y701" cm="1">
        <f t="array" ref="Y701">IFERROR(AVERAGE(_xlfn._xlws.FILTER(Q$2:Q$1073,($C$2:$C$1073=$C701)*($E$2:$E$1073=$E701)*(ROW(Q$2:Q$1073)&lt;&gt;ROW(Q701))*(Q$2:Q$1073&lt;&gt;""))),"")</f>
        <v>0.28994951624266957</v>
      </c>
      <c r="Z701" cm="1">
        <f t="array" ref="Z701">IFERROR(AVERAGE(_xlfn._xlws.FILTER(R$2:R$1073,($C$2:$C$1073=$C701)*($E$2:$E$1073=$E701)*(ROW(R$2:R$1073)&lt;&gt;ROW(R701))*(R$2:R$1073&lt;&gt;""))),"")</f>
        <v>8.5517195784799244E-2</v>
      </c>
      <c r="AA701" cm="1">
        <f t="array" ref="AA701">IFERROR(AVERAGE(_xlfn._xlws.FILTER(S$2:S$1073,($C$2:$C$1073=$C701)*($E$2:$E$1073=$E701)*(ROW(S$2:S$1073)&lt;&gt;ROW(S701))*(S$2:S$1073&lt;&gt;""))),"")</f>
        <v>-8.9932559622525012</v>
      </c>
      <c r="AB701" cm="1">
        <f t="array" ref="AB701">IFERROR(AVERAGE(_xlfn._xlws.FILTER(T$2:T$1073,($C$2:$C$1073=$C701)*($E$2:$E$1073=$E701)*(ROW(T$2:T$1073)&lt;&gt;ROW(T701))*(T$2:T$1073&lt;&gt;""))),"")</f>
        <v>3.4958573241250623E-2</v>
      </c>
      <c r="AC701" cm="1">
        <f t="array" ref="AC701">IFERROR(AVERAGE(_xlfn._xlws.FILTER(U$2:U$1073,($C$2:$C$1073=$C701)*($E$2:$E$1073=$E701)*(ROW(U$2:U$1073)&lt;&gt;ROW(U701))*(U$2:U$1073&lt;&gt;""))),"")</f>
        <v>34.444280572958768</v>
      </c>
      <c r="AD701" cm="1">
        <f t="array" ref="AD701">IFERROR(AVERAGE(_xlfn._xlws.FILTER(V$2:V$1073,($C$2:$C$1073=$C701)*($E$2:$E$1073=$E701)*(ROW(V$2:V$1073)&lt;&gt;ROW(V701))*(V$2:V$1073&lt;&gt;""))),"")</f>
        <v>0.67440993714043496</v>
      </c>
      <c r="AE701">
        <f>IF('Дивиденды по годам'!M701&lt;0,1,0)</f>
        <v>0</v>
      </c>
    </row>
    <row r="702" spans="1:31" x14ac:dyDescent="0.2">
      <c r="A702" s="7" t="s">
        <v>2264</v>
      </c>
      <c r="B702" t="str">
        <f t="shared" si="110"/>
        <v>VSEH IV кв. 2013</v>
      </c>
      <c r="C702">
        <v>2013</v>
      </c>
      <c r="D702">
        <f>SUMIFS(Дивиденды!$C:$C,Дивиденды!$A:$A,A702,Дивиденды!$I:$I,C702)</f>
        <v>0</v>
      </c>
      <c r="E702">
        <v>4</v>
      </c>
      <c r="F702">
        <f t="shared" si="111"/>
        <v>0</v>
      </c>
      <c r="G702">
        <f t="shared" si="112"/>
        <v>13.409285714285716</v>
      </c>
      <c r="H702">
        <f t="shared" si="113"/>
        <v>0</v>
      </c>
      <c r="I702">
        <f t="shared" si="114"/>
        <v>0.14285714285714285</v>
      </c>
      <c r="J702">
        <f t="shared" si="115"/>
        <v>0</v>
      </c>
      <c r="K702">
        <f t="shared" si="120"/>
        <v>4.7291245939064024E-2</v>
      </c>
      <c r="L702">
        <f t="shared" si="116"/>
        <v>0</v>
      </c>
      <c r="M702">
        <f t="shared" si="117"/>
        <v>7.1428571428571425E-2</v>
      </c>
      <c r="N702">
        <f t="shared" si="118"/>
        <v>0</v>
      </c>
      <c r="O702">
        <f t="shared" si="119"/>
        <v>0</v>
      </c>
      <c r="P702" t="str">
        <f>IFERROR(LN('Дивиденды по годам'!I702),"")</f>
        <v/>
      </c>
      <c r="Q702" t="str">
        <f>IFERROR('Дивиденды по годам'!G702/'Дивиденды по годам'!I702, "")</f>
        <v/>
      </c>
      <c r="R702" t="str">
        <f>IFERROR(IF(AND('Дивиденды по годам'!N702&lt;&gt;"",'Дивиденды по годам'!U702&lt;&gt;"",'Дивиденды по годам'!U702&lt;&gt;0),'Дивиденды по годам'!N702/'Дивиденды по годам'!U702-1,""),"")</f>
        <v/>
      </c>
      <c r="S702" t="str">
        <f>IFERROR(IF(AND('Дивиденды по годам'!L702&lt;&gt;"",'Дивиденды по годам'!I702&lt;&gt;"",'Дивиденды по годам'!J702&lt;&gt;"",'Дивиденды по годам'!K702&lt;&gt;"",('Дивиденды по годам'!I702-'Дивиденды по годам'!J702-'Дивиденды по годам'!K702)&lt;&gt;0),'Дивиденды по годам'!L702/('Дивиденды по годам'!I702-'Дивиденды по годам'!J702-'Дивиденды по годам'!K702),""),"")</f>
        <v/>
      </c>
      <c r="T702" t="str">
        <f>IFERROR(IF(AND('Дивиденды по годам'!Q702&lt;&gt;"",'Дивиденды по годам'!I702&lt;&gt;"",'Дивиденды по годам'!V702&lt;&gt;"",('Дивиденды по годам'!I702+'Дивиденды по годам'!V702)&lt;&gt;0),'Дивиденды по годам'!Q702/(('Дивиденды по годам'!I702+'Дивиденды по годам'!V702)/2),""),"")</f>
        <v/>
      </c>
      <c r="U702" t="str">
        <f>IFERROR(IF(AND('Дивиденды по годам'!J702&lt;&gt;"",'Дивиденды по годам'!K702&lt;&gt;"",'Дивиденды по годам'!M702&lt;&gt;"",'Дивиденды по годам'!M702&lt;&gt;0),('Дивиденды по годам'!J702+'Дивиденды по годам'!K702)/'Дивиденды по годам'!M702,""),"")</f>
        <v/>
      </c>
      <c r="V702" t="str">
        <f>IFERROR(IF(AND('Дивиденды по годам'!J702&lt;&gt;"",'Дивиденды по годам'!K702&lt;&gt;"",'Дивиденды по годам'!M702&lt;&gt;"",'Дивиденды по годам'!I702&lt;&gt;0),('Дивиденды по годам'!J702+'Дивиденды по годам'!K702)/'Дивиденды по годам'!I702,""),"")</f>
        <v/>
      </c>
      <c r="W702" t="str">
        <f>IFERROR('Дивиденды по годам'!I702,"")</f>
        <v/>
      </c>
      <c r="X702" cm="1">
        <f t="array" ref="X702">IFERROR(AVERAGE(_xlfn._xlws.FILTER(P$2:P$1073,($C$2:$C$1073=$C702)*($E$2:$E$1073=$E702)*(ROW(P$2:P$1073)&lt;&gt;ROW(P702))*(P$2:P$1073&lt;&gt;""))),"")</f>
        <v>24.281308125321722</v>
      </c>
      <c r="Y702" cm="1">
        <f t="array" ref="Y702">IFERROR(AVERAGE(_xlfn._xlws.FILTER(Q$2:Q$1073,($C$2:$C$1073=$C702)*($E$2:$E$1073=$E702)*(ROW(Q$2:Q$1073)&lt;&gt;ROW(Q702))*(Q$2:Q$1073&lt;&gt;""))),"")</f>
        <v>0.34809372453666254</v>
      </c>
      <c r="Z702" cm="1">
        <f t="array" ref="Z702">IFERROR(AVERAGE(_xlfn._xlws.FILTER(R$2:R$1073,($C$2:$C$1073=$C702)*($E$2:$E$1073=$E702)*(ROW(R$2:R$1073)&lt;&gt;ROW(R702))*(R$2:R$1073&lt;&gt;""))),"")</f>
        <v>0.17531341667142472</v>
      </c>
      <c r="AA702" t="str" cm="1">
        <f t="array" ref="AA702">IFERROR(AVERAGE(_xlfn._xlws.FILTER(S$2:S$1073,($C$2:$C$1073=$C702)*($E$2:$E$1073=$E702)*(ROW(S$2:S$1073)&lt;&gt;ROW(S702))*(S$2:S$1073&lt;&gt;""))),"")</f>
        <v/>
      </c>
      <c r="AB702" cm="1">
        <f t="array" ref="AB702">IFERROR(AVERAGE(_xlfn._xlws.FILTER(T$2:T$1073,($C$2:$C$1073=$C702)*($E$2:$E$1073=$E702)*(ROW(T$2:T$1073)&lt;&gt;ROW(T702))*(T$2:T$1073&lt;&gt;""))),"")</f>
        <v>-0.12490141563278262</v>
      </c>
      <c r="AC702" cm="1">
        <f t="array" ref="AC702">IFERROR(AVERAGE(_xlfn._xlws.FILTER(U$2:U$1073,($C$2:$C$1073=$C702)*($E$2:$E$1073=$E702)*(ROW(U$2:U$1073)&lt;&gt;ROW(U702))*(U$2:U$1073&lt;&gt;""))),"")</f>
        <v>0.44566877182826042</v>
      </c>
      <c r="AD702" cm="1">
        <f t="array" ref="AD702">IFERROR(AVERAGE(_xlfn._xlws.FILTER(V$2:V$1073,($C$2:$C$1073=$C702)*($E$2:$E$1073=$E702)*(ROW(V$2:V$1073)&lt;&gt;ROW(V702))*(V$2:V$1073&lt;&gt;""))),"")</f>
        <v>1.3322699308491581</v>
      </c>
      <c r="AE702">
        <f>IF('Дивиденды по годам'!M702&lt;0,1,0)</f>
        <v>0</v>
      </c>
    </row>
    <row r="703" spans="1:31" x14ac:dyDescent="0.2">
      <c r="A703" s="7" t="s">
        <v>2264</v>
      </c>
      <c r="B703" t="str">
        <f t="shared" si="110"/>
        <v>VSEH IV кв. 2012</v>
      </c>
      <c r="C703">
        <v>2012</v>
      </c>
      <c r="D703">
        <f>SUMIFS(Дивиденды!$C:$C,Дивиденды!$A:$A,A703,Дивиденды!$I:$I,C703)</f>
        <v>0</v>
      </c>
      <c r="E703">
        <v>4</v>
      </c>
      <c r="F703">
        <f t="shared" si="111"/>
        <v>0</v>
      </c>
      <c r="G703">
        <f t="shared" si="112"/>
        <v>9.5621428571428577</v>
      </c>
      <c r="H703">
        <f t="shared" si="113"/>
        <v>0</v>
      </c>
      <c r="I703">
        <f t="shared" si="114"/>
        <v>0.14285714285714285</v>
      </c>
      <c r="J703">
        <f t="shared" si="115"/>
        <v>0</v>
      </c>
      <c r="K703">
        <f t="shared" si="120"/>
        <v>0.25341100242975517</v>
      </c>
      <c r="L703">
        <f t="shared" si="116"/>
        <v>0</v>
      </c>
      <c r="M703">
        <f t="shared" si="117"/>
        <v>0.14285714285714285</v>
      </c>
      <c r="N703">
        <f t="shared" si="118"/>
        <v>0</v>
      </c>
      <c r="O703">
        <f t="shared" si="119"/>
        <v>0</v>
      </c>
      <c r="P703" t="str">
        <f>IFERROR(LN('Дивиденды по годам'!I703),"")</f>
        <v/>
      </c>
      <c r="Q703" t="str">
        <f>IFERROR('Дивиденды по годам'!G703/'Дивиденды по годам'!I703, "")</f>
        <v/>
      </c>
      <c r="R703" t="str">
        <f>IFERROR(IF(AND('Дивиденды по годам'!N703&lt;&gt;"",'Дивиденды по годам'!U703&lt;&gt;"",'Дивиденды по годам'!U703&lt;&gt;0),'Дивиденды по годам'!N703/'Дивиденды по годам'!U703-1,""),"")</f>
        <v/>
      </c>
      <c r="S703" t="str">
        <f>IFERROR(IF(AND('Дивиденды по годам'!L703&lt;&gt;"",'Дивиденды по годам'!I703&lt;&gt;"",'Дивиденды по годам'!J703&lt;&gt;"",'Дивиденды по годам'!K703&lt;&gt;"",('Дивиденды по годам'!I703-'Дивиденды по годам'!J703-'Дивиденды по годам'!K703)&lt;&gt;0),'Дивиденды по годам'!L703/('Дивиденды по годам'!I703-'Дивиденды по годам'!J703-'Дивиденды по годам'!K703),""),"")</f>
        <v/>
      </c>
      <c r="T703" t="str">
        <f>IFERROR(IF(AND('Дивиденды по годам'!Q703&lt;&gt;"",'Дивиденды по годам'!I703&lt;&gt;"",'Дивиденды по годам'!V703&lt;&gt;"",('Дивиденды по годам'!I703+'Дивиденды по годам'!V703)&lt;&gt;0),'Дивиденды по годам'!Q703/(('Дивиденды по годам'!I703+'Дивиденды по годам'!V703)/2),""),"")</f>
        <v/>
      </c>
      <c r="U703" t="str">
        <f>IFERROR(IF(AND('Дивиденды по годам'!J703&lt;&gt;"",'Дивиденды по годам'!K703&lt;&gt;"",'Дивиденды по годам'!M703&lt;&gt;"",'Дивиденды по годам'!M703&lt;&gt;0),('Дивиденды по годам'!J703+'Дивиденды по годам'!K703)/'Дивиденды по годам'!M703,""),"")</f>
        <v/>
      </c>
      <c r="V703" t="str">
        <f>IFERROR(IF(AND('Дивиденды по годам'!J703&lt;&gt;"",'Дивиденды по годам'!K703&lt;&gt;"",'Дивиденды по годам'!M703&lt;&gt;"",'Дивиденды по годам'!I703&lt;&gt;0),('Дивиденды по годам'!J703+'Дивиденды по годам'!K703)/'Дивиденды по годам'!I703,""),"")</f>
        <v/>
      </c>
      <c r="W703" t="str">
        <f>IFERROR('Дивиденды по годам'!I703,"")</f>
        <v/>
      </c>
      <c r="X703" cm="1">
        <f t="array" ref="X703">IFERROR(AVERAGE(_xlfn._xlws.FILTER(P$2:P$1073,($C$2:$C$1073=$C703)*($E$2:$E$1073=$E703)*(ROW(P$2:P$1073)&lt;&gt;ROW(P703))*(P$2:P$1073&lt;&gt;""))),"")</f>
        <v>24.228370506718147</v>
      </c>
      <c r="Y703" cm="1">
        <f t="array" ref="Y703">IFERROR(AVERAGE(_xlfn._xlws.FILTER(Q$2:Q$1073,($C$2:$C$1073=$C703)*($E$2:$E$1073=$E703)*(ROW(Q$2:Q$1073)&lt;&gt;ROW(Q703))*(Q$2:Q$1073&lt;&gt;""))),"")</f>
        <v>0.2820560824162458</v>
      </c>
      <c r="Z703" cm="1">
        <f t="array" ref="Z703">IFERROR(AVERAGE(_xlfn._xlws.FILTER(R$2:R$1073,($C$2:$C$1073=$C703)*($E$2:$E$1073=$E703)*(ROW(R$2:R$1073)&lt;&gt;ROW(R703))*(R$2:R$1073&lt;&gt;""))),"")</f>
        <v>-2.2522357472477484E-2</v>
      </c>
      <c r="AA703" cm="1">
        <f t="array" ref="AA703">IFERROR(AVERAGE(_xlfn._xlws.FILTER(S$2:S$1073,($C$2:$C$1073=$C703)*($E$2:$E$1073=$E703)*(ROW(S$2:S$1073)&lt;&gt;ROW(S703))*(S$2:S$1073&lt;&gt;""))),"")</f>
        <v>-1.7651061513336963</v>
      </c>
      <c r="AB703" cm="1">
        <f t="array" ref="AB703">IFERROR(AVERAGE(_xlfn._xlws.FILTER(T$2:T$1073,($C$2:$C$1073=$C703)*($E$2:$E$1073=$E703)*(ROW(T$2:T$1073)&lt;&gt;ROW(T703))*(T$2:T$1073&lt;&gt;""))),"")</f>
        <v>6.8400459116201365E-2</v>
      </c>
      <c r="AC703" cm="1">
        <f t="array" ref="AC703">IFERROR(AVERAGE(_xlfn._xlws.FILTER(U$2:U$1073,($C$2:$C$1073=$C703)*($E$2:$E$1073=$E703)*(ROW(U$2:U$1073)&lt;&gt;ROW(U703))*(U$2:U$1073&lt;&gt;""))),"")</f>
        <v>-3.9631898894189463</v>
      </c>
      <c r="AD703" cm="1">
        <f t="array" ref="AD703">IFERROR(AVERAGE(_xlfn._xlws.FILTER(V$2:V$1073,($C$2:$C$1073=$C703)*($E$2:$E$1073=$E703)*(ROW(V$2:V$1073)&lt;&gt;ROW(V703))*(V$2:V$1073&lt;&gt;""))),"")</f>
        <v>0.68524798816116717</v>
      </c>
      <c r="AE703">
        <f>IF('Дивиденды по годам'!M703&lt;0,1,0)</f>
        <v>0</v>
      </c>
    </row>
    <row r="704" spans="1:31" x14ac:dyDescent="0.2">
      <c r="A704" s="7" t="s">
        <v>2264</v>
      </c>
      <c r="B704" t="str">
        <f t="shared" si="110"/>
        <v>VSEH IV кв. 2011</v>
      </c>
      <c r="C704">
        <v>2011</v>
      </c>
      <c r="D704">
        <f>SUMIFS(Дивиденды!$C:$C,Дивиденды!$A:$A,A704,Дивиденды!$I:$I,C704)</f>
        <v>0</v>
      </c>
      <c r="E704">
        <v>4</v>
      </c>
      <c r="F704">
        <f t="shared" si="111"/>
        <v>0</v>
      </c>
      <c r="G704">
        <f t="shared" si="112"/>
        <v>1.6378571428571429</v>
      </c>
      <c r="H704">
        <f t="shared" si="113"/>
        <v>0</v>
      </c>
      <c r="I704">
        <f t="shared" si="114"/>
        <v>7.1428571428571425E-2</v>
      </c>
      <c r="J704">
        <f t="shared" si="115"/>
        <v>0</v>
      </c>
      <c r="K704">
        <f t="shared" si="120"/>
        <v>0.17786475320721892</v>
      </c>
      <c r="L704">
        <f t="shared" si="116"/>
        <v>0</v>
      </c>
      <c r="M704">
        <f t="shared" si="117"/>
        <v>7.1428571428571425E-2</v>
      </c>
      <c r="N704">
        <f t="shared" si="118"/>
        <v>0</v>
      </c>
      <c r="O704">
        <f t="shared" si="119"/>
        <v>0</v>
      </c>
      <c r="P704" t="str">
        <f>IFERROR(LN('Дивиденды по годам'!I704),"")</f>
        <v/>
      </c>
      <c r="Q704" t="str">
        <f>IFERROR('Дивиденды по годам'!G704/'Дивиденды по годам'!I704, "")</f>
        <v/>
      </c>
      <c r="R704" t="str">
        <f>IFERROR(IF(AND('Дивиденды по годам'!N704&lt;&gt;"",'Дивиденды по годам'!U704&lt;&gt;"",'Дивиденды по годам'!U704&lt;&gt;0),'Дивиденды по годам'!N704/'Дивиденды по годам'!U704-1,""),"")</f>
        <v/>
      </c>
      <c r="S704" t="str">
        <f>IFERROR(IF(AND('Дивиденды по годам'!L704&lt;&gt;"",'Дивиденды по годам'!I704&lt;&gt;"",'Дивиденды по годам'!J704&lt;&gt;"",'Дивиденды по годам'!K704&lt;&gt;"",('Дивиденды по годам'!I704-'Дивиденды по годам'!J704-'Дивиденды по годам'!K704)&lt;&gt;0),'Дивиденды по годам'!L704/('Дивиденды по годам'!I704-'Дивиденды по годам'!J704-'Дивиденды по годам'!K704),""),"")</f>
        <v/>
      </c>
      <c r="T704" t="str">
        <f>IFERROR(IF(AND('Дивиденды по годам'!Q704&lt;&gt;"",'Дивиденды по годам'!I704&lt;&gt;"",'Дивиденды по годам'!V704&lt;&gt;"",('Дивиденды по годам'!I704+'Дивиденды по годам'!V704)&lt;&gt;0),'Дивиденды по годам'!Q704/(('Дивиденды по годам'!I704+'Дивиденды по годам'!V704)/2),""),"")</f>
        <v/>
      </c>
      <c r="U704" t="str">
        <f>IFERROR(IF(AND('Дивиденды по годам'!J704&lt;&gt;"",'Дивиденды по годам'!K704&lt;&gt;"",'Дивиденды по годам'!M704&lt;&gt;"",'Дивиденды по годам'!M704&lt;&gt;0),('Дивиденды по годам'!J704+'Дивиденды по годам'!K704)/'Дивиденды по годам'!M704,""),"")</f>
        <v/>
      </c>
      <c r="V704" t="str">
        <f>IFERROR(IF(AND('Дивиденды по годам'!J704&lt;&gt;"",'Дивиденды по годам'!K704&lt;&gt;"",'Дивиденды по годам'!M704&lt;&gt;"",'Дивиденды по годам'!I704&lt;&gt;0),('Дивиденды по годам'!J704+'Дивиденды по годам'!K704)/'Дивиденды по годам'!I704,""),"")</f>
        <v/>
      </c>
      <c r="W704" t="str">
        <f>IFERROR('Дивиденды по годам'!I704,"")</f>
        <v/>
      </c>
      <c r="X704" cm="1">
        <f t="array" ref="X704">IFERROR(AVERAGE(_xlfn._xlws.FILTER(P$2:P$1073,($C$2:$C$1073=$C704)*($E$2:$E$1073=$E704)*(ROW(P$2:P$1073)&lt;&gt;ROW(P704))*(P$2:P$1073&lt;&gt;""))),"")</f>
        <v>24.180789108496477</v>
      </c>
      <c r="Y704" cm="1">
        <f t="array" ref="Y704">IFERROR(AVERAGE(_xlfn._xlws.FILTER(Q$2:Q$1073,($C$2:$C$1073=$C704)*($E$2:$E$1073=$E704)*(ROW(Q$2:Q$1073)&lt;&gt;ROW(Q704))*(Q$2:Q$1073&lt;&gt;""))),"")</f>
        <v>0.29604752502083465</v>
      </c>
      <c r="Z704" cm="1">
        <f t="array" ref="Z704">IFERROR(AVERAGE(_xlfn._xlws.FILTER(R$2:R$1073,($C$2:$C$1073=$C704)*($E$2:$E$1073=$E704)*(ROW(R$2:R$1073)&lt;&gt;ROW(R704))*(R$2:R$1073&lt;&gt;""))),"")</f>
        <v>5.9511017560386792E-2</v>
      </c>
      <c r="AA704" t="str" cm="1">
        <f t="array" ref="AA704">IFERROR(AVERAGE(_xlfn._xlws.FILTER(S$2:S$1073,($C$2:$C$1073=$C704)*($E$2:$E$1073=$E704)*(ROW(S$2:S$1073)&lt;&gt;ROW(S704))*(S$2:S$1073&lt;&gt;""))),"")</f>
        <v/>
      </c>
      <c r="AB704" cm="1">
        <f t="array" ref="AB704">IFERROR(AVERAGE(_xlfn._xlws.FILTER(T$2:T$1073,($C$2:$C$1073=$C704)*($E$2:$E$1073=$E704)*(ROW(T$2:T$1073)&lt;&gt;ROW(T704))*(T$2:T$1073&lt;&gt;""))),"")</f>
        <v>-1.4171101286470289E-2</v>
      </c>
      <c r="AC704" cm="1">
        <f t="array" ref="AC704">IFERROR(AVERAGE(_xlfn._xlws.FILTER(U$2:U$1073,($C$2:$C$1073=$C704)*($E$2:$E$1073=$E704)*(ROW(U$2:U$1073)&lt;&gt;ROW(U704))*(U$2:U$1073&lt;&gt;""))),"")</f>
        <v>2.1854574410792247</v>
      </c>
      <c r="AD704" cm="1">
        <f t="array" ref="AD704">IFERROR(AVERAGE(_xlfn._xlws.FILTER(V$2:V$1073,($C$2:$C$1073=$C704)*($E$2:$E$1073=$E704)*(ROW(V$2:V$1073)&lt;&gt;ROW(V704))*(V$2:V$1073&lt;&gt;""))),"")</f>
        <v>0.62219289426739133</v>
      </c>
      <c r="AE704">
        <f>IF('Дивиденды по годам'!M704&lt;0,1,0)</f>
        <v>0</v>
      </c>
    </row>
    <row r="705" spans="1:31" x14ac:dyDescent="0.2">
      <c r="A705" s="7" t="s">
        <v>2264</v>
      </c>
      <c r="B705" t="str">
        <f t="shared" si="110"/>
        <v>VSEH IV кв. 2010</v>
      </c>
      <c r="C705">
        <v>2010</v>
      </c>
      <c r="D705">
        <f>SUMIFS(Дивиденды!$C:$C,Дивиденды!$A:$A,A705,Дивиденды!$I:$I,C705)</f>
        <v>0</v>
      </c>
      <c r="E705">
        <v>4</v>
      </c>
      <c r="F705">
        <f t="shared" si="111"/>
        <v>0</v>
      </c>
      <c r="G705">
        <f t="shared" si="112"/>
        <v>0.46928571428571431</v>
      </c>
      <c r="H705">
        <f t="shared" si="113"/>
        <v>0</v>
      </c>
      <c r="I705">
        <f t="shared" si="114"/>
        <v>7.1428571428571425E-2</v>
      </c>
      <c r="J705" t="str">
        <f t="shared" si="115"/>
        <v/>
      </c>
      <c r="K705" t="str">
        <f t="shared" si="120"/>
        <v/>
      </c>
      <c r="L705" t="str">
        <f t="shared" si="116"/>
        <v/>
      </c>
      <c r="M705" t="str">
        <f t="shared" si="117"/>
        <v/>
      </c>
      <c r="N705" t="str">
        <f t="shared" si="118"/>
        <v/>
      </c>
      <c r="O705" t="str">
        <f t="shared" si="119"/>
        <v/>
      </c>
      <c r="P705" t="str">
        <f>IFERROR(LN('Дивиденды по годам'!I705),"")</f>
        <v/>
      </c>
      <c r="Q705" t="str">
        <f>IFERROR('Дивиденды по годам'!G705/'Дивиденды по годам'!I705, "")</f>
        <v/>
      </c>
      <c r="R705" t="str">
        <f>IFERROR(IF(AND('Дивиденды по годам'!N705&lt;&gt;"",'Дивиденды по годам'!U705&lt;&gt;"",'Дивиденды по годам'!U705&lt;&gt;0),'Дивиденды по годам'!N705/'Дивиденды по годам'!U705-1,""),"")</f>
        <v/>
      </c>
      <c r="S705" t="str">
        <f>IFERROR(IF(AND('Дивиденды по годам'!L705&lt;&gt;"",'Дивиденды по годам'!I705&lt;&gt;"",'Дивиденды по годам'!J705&lt;&gt;"",'Дивиденды по годам'!K705&lt;&gt;"",('Дивиденды по годам'!I705-'Дивиденды по годам'!J705-'Дивиденды по годам'!K705)&lt;&gt;0),'Дивиденды по годам'!L705/('Дивиденды по годам'!I705-'Дивиденды по годам'!J705-'Дивиденды по годам'!K705),""),"")</f>
        <v/>
      </c>
      <c r="T705" t="str">
        <f>IFERROR(IF(AND('Дивиденды по годам'!Q705&lt;&gt;"",'Дивиденды по годам'!I705&lt;&gt;"",'Дивиденды по годам'!V705&lt;&gt;"",('Дивиденды по годам'!I705+'Дивиденды по годам'!V705)&lt;&gt;0),'Дивиденды по годам'!Q705/(('Дивиденды по годам'!I705+'Дивиденды по годам'!V705)/2),""),"")</f>
        <v/>
      </c>
      <c r="U705" t="str">
        <f>IFERROR(IF(AND('Дивиденды по годам'!J705&lt;&gt;"",'Дивиденды по годам'!K705&lt;&gt;"",'Дивиденды по годам'!M705&lt;&gt;"",'Дивиденды по годам'!M705&lt;&gt;0),('Дивиденды по годам'!J705+'Дивиденды по годам'!K705)/'Дивиденды по годам'!M705,""),"")</f>
        <v/>
      </c>
      <c r="V705" t="str">
        <f>IFERROR(IF(AND('Дивиденды по годам'!J705&lt;&gt;"",'Дивиденды по годам'!K705&lt;&gt;"",'Дивиденды по годам'!M705&lt;&gt;"",'Дивиденды по годам'!I705&lt;&gt;0),('Дивиденды по годам'!J705+'Дивиденды по годам'!K705)/'Дивиденды по годам'!I705,""),"")</f>
        <v/>
      </c>
      <c r="W705" t="str">
        <f>IFERROR('Дивиденды по годам'!I705,"")</f>
        <v/>
      </c>
      <c r="X705" cm="1">
        <f t="array" ref="X705">IFERROR(AVERAGE(_xlfn._xlws.FILTER(P$2:P$1073,($C$2:$C$1073=$C705)*($E$2:$E$1073=$E705)*(ROW(P$2:P$1073)&lt;&gt;ROW(P705))*(P$2:P$1073&lt;&gt;""))),"")</f>
        <v>23.656010386255485</v>
      </c>
      <c r="Y705" cm="1">
        <f t="array" ref="Y705">IFERROR(AVERAGE(_xlfn._xlws.FILTER(Q$2:Q$1073,($C$2:$C$1073=$C705)*($E$2:$E$1073=$E705)*(ROW(Q$2:Q$1073)&lt;&gt;ROW(Q705))*(Q$2:Q$1073&lt;&gt;""))),"")</f>
        <v>0.15222241747474585</v>
      </c>
      <c r="Z705" t="str" cm="1">
        <f t="array" ref="Z705">IFERROR(AVERAGE(_xlfn._xlws.FILTER(R$2:R$1073,($C$2:$C$1073=$C705)*($E$2:$E$1073=$E705)*(ROW(R$2:R$1073)&lt;&gt;ROW(R705))*(R$2:R$1073&lt;&gt;""))),"")</f>
        <v/>
      </c>
      <c r="AA705" t="str" cm="1">
        <f t="array" ref="AA705">IFERROR(AVERAGE(_xlfn._xlws.FILTER(S$2:S$1073,($C$2:$C$1073=$C705)*($E$2:$E$1073=$E705)*(ROW(S$2:S$1073)&lt;&gt;ROW(S705))*(S$2:S$1073&lt;&gt;""))),"")</f>
        <v/>
      </c>
      <c r="AB705" t="str" cm="1">
        <f t="array" ref="AB705">IFERROR(AVERAGE(_xlfn._xlws.FILTER(T$2:T$1073,($C$2:$C$1073=$C705)*($E$2:$E$1073=$E705)*(ROW(T$2:T$1073)&lt;&gt;ROW(T705))*(T$2:T$1073&lt;&gt;""))),"")</f>
        <v/>
      </c>
      <c r="AC705" cm="1">
        <f t="array" ref="AC705">IFERROR(AVERAGE(_xlfn._xlws.FILTER(U$2:U$1073,($C$2:$C$1073=$C705)*($E$2:$E$1073=$E705)*(ROW(U$2:U$1073)&lt;&gt;ROW(U705))*(U$2:U$1073&lt;&gt;""))),"")</f>
        <v>2.8988498110700496</v>
      </c>
      <c r="AD705" cm="1">
        <f t="array" ref="AD705">IFERROR(AVERAGE(_xlfn._xlws.FILTER(V$2:V$1073,($C$2:$C$1073=$C705)*($E$2:$E$1073=$E705)*(ROW(V$2:V$1073)&lt;&gt;ROW(V705))*(V$2:V$1073&lt;&gt;""))),"")</f>
        <v>0.74351805997092513</v>
      </c>
      <c r="AE705">
        <f>IF('Дивиденды по годам'!M705&lt;0,1,0)</f>
        <v>0</v>
      </c>
    </row>
    <row r="706" spans="1:31" x14ac:dyDescent="0.2">
      <c r="A706" s="7" t="s">
        <v>2266</v>
      </c>
      <c r="B706" t="str">
        <f t="shared" si="110"/>
        <v>WUSH IV кв. 2025</v>
      </c>
      <c r="C706">
        <v>2025</v>
      </c>
      <c r="D706">
        <f>SUMIFS(Дивиденды!$C:$C,Дивиденды!$A:$A,A706,Дивиденды!$I:$I,C706)</f>
        <v>0</v>
      </c>
      <c r="E706">
        <v>4</v>
      </c>
      <c r="F706">
        <f t="shared" si="111"/>
        <v>0</v>
      </c>
      <c r="G706">
        <f t="shared" si="112"/>
        <v>31.581428571428571</v>
      </c>
      <c r="H706">
        <f t="shared" si="113"/>
        <v>0</v>
      </c>
      <c r="I706">
        <f t="shared" si="114"/>
        <v>0.42857142857142855</v>
      </c>
      <c r="J706">
        <f t="shared" si="115"/>
        <v>-1</v>
      </c>
      <c r="K706">
        <f t="shared" si="120"/>
        <v>-0.11109777181212487</v>
      </c>
      <c r="L706">
        <f t="shared" si="116"/>
        <v>0</v>
      </c>
      <c r="M706">
        <f t="shared" si="117"/>
        <v>0.14285714285714285</v>
      </c>
      <c r="N706">
        <f t="shared" si="118"/>
        <v>1</v>
      </c>
      <c r="O706">
        <f t="shared" si="119"/>
        <v>0.42857142857142855</v>
      </c>
      <c r="P706">
        <f>IFERROR(LN('Дивиденды по годам'!I706),"")</f>
        <v>23.701202503790306</v>
      </c>
      <c r="Q706">
        <f>IFERROR('Дивиденды по годам'!G706/'Дивиденды по годам'!I706, "")</f>
        <v>0.78900426502740639</v>
      </c>
      <c r="R706">
        <f>IFERROR(IF(AND('Дивиденды по годам'!N706&lt;&gt;"",'Дивиденды по годам'!U706&lt;&gt;"",'Дивиденды по годам'!U706&lt;&gt;0),'Дивиденды по годам'!N706/'Дивиденды по годам'!U706-1,""),"")</f>
        <v>-0.12906320972971697</v>
      </c>
      <c r="S706">
        <f>IFERROR(IF(AND('Дивиденды по годам'!L706&lt;&gt;"",'Дивиденды по годам'!I706&lt;&gt;"",'Дивиденды по годам'!J706&lt;&gt;"",'Дивиденды по годам'!K706&lt;&gt;"",('Дивиденды по годам'!I706-'Дивиденды по годам'!J706-'Дивиденды по годам'!K706)&lt;&gt;0),'Дивиденды по годам'!L706/('Дивиденды по годам'!I706-'Дивиденды по годам'!J706-'Дивиденды по годам'!K706),""),"")</f>
        <v>0.29537366814860505</v>
      </c>
      <c r="T706">
        <f>IFERROR(IF(AND('Дивиденды по годам'!Q706&lt;&gt;"",'Дивиденды по годам'!I706&lt;&gt;"",'Дивиденды по годам'!V706&lt;&gt;"",('Дивиденды по годам'!I706+'Дивиденды по годам'!V706)&lt;&gt;0),'Дивиденды по годам'!Q706/(('Дивиденды по годам'!I706+'Дивиденды по годам'!V706)/2),""),"")</f>
        <v>-0.14107974378321711</v>
      </c>
      <c r="U706">
        <f>IFERROR(IF(AND('Дивиденды по годам'!J706&lt;&gt;"",'Дивиденды по годам'!K706&lt;&gt;"",'Дивиденды по годам'!M706&lt;&gt;"",'Дивиденды по годам'!M706&lt;&gt;0),('Дивиденды по годам'!J706+'Дивиденды по годам'!K706)/'Дивиденды по годам'!M706,""),"")</f>
        <v>3.9102242251313388</v>
      </c>
      <c r="V706">
        <f>IFERROR(IF(AND('Дивиденды по годам'!J706&lt;&gt;"",'Дивиденды по годам'!K706&lt;&gt;"",'Дивиденды по годам'!M706&lt;&gt;"",'Дивиденды по годам'!I706&lt;&gt;0),('Дивиденды по годам'!J706+'Дивиденды по годам'!K706)/'Дивиденды по годам'!I706,""),"")</f>
        <v>0.79634331261659397</v>
      </c>
      <c r="W706">
        <f>IFERROR('Дивиденды по годам'!I706,"")</f>
        <v>19647236000</v>
      </c>
      <c r="X706" cm="1">
        <f t="array" ref="X706">IFERROR(AVERAGE(_xlfn._xlws.FILTER(P$2:P$1073,($C$2:$C$1073=$C706)*($E$2:$E$1073=$E706)*(ROW(P$2:P$1073)&lt;&gt;ROW(P706))*(P$2:P$1073&lt;&gt;""))),"")</f>
        <v>27.010949446944053</v>
      </c>
      <c r="Y706" cm="1">
        <f t="array" ref="Y706">IFERROR(AVERAGE(_xlfn._xlws.FILTER(Q$2:Q$1073,($C$2:$C$1073=$C706)*($E$2:$E$1073=$E706)*(ROW(Q$2:Q$1073)&lt;&gt;ROW(Q706))*(Q$2:Q$1073&lt;&gt;""))),"")</f>
        <v>0.30185210528786427</v>
      </c>
      <c r="Z706" cm="1">
        <f t="array" ref="Z706">IFERROR(AVERAGE(_xlfn._xlws.FILTER(R$2:R$1073,($C$2:$C$1073=$C706)*($E$2:$E$1073=$E706)*(ROW(R$2:R$1073)&lt;&gt;ROW(R706))*(R$2:R$1073&lt;&gt;""))),"")</f>
        <v>0.13114923848183513</v>
      </c>
      <c r="AA706" cm="1">
        <f t="array" ref="AA706">IFERROR(AVERAGE(_xlfn._xlws.FILTER(S$2:S$1073,($C$2:$C$1073=$C706)*($E$2:$E$1073=$E706)*(ROW(S$2:S$1073)&lt;&gt;ROW(S706))*(S$2:S$1073&lt;&gt;""))),"")</f>
        <v>1.1572081418679987</v>
      </c>
      <c r="AB706" cm="1">
        <f t="array" ref="AB706">IFERROR(AVERAGE(_xlfn._xlws.FILTER(T$2:T$1073,($C$2:$C$1073=$C706)*($E$2:$E$1073=$E706)*(ROW(T$2:T$1073)&lt;&gt;ROW(T706))*(T$2:T$1073&lt;&gt;""))),"")</f>
        <v>6.4502785367512597E-2</v>
      </c>
      <c r="AC706" cm="1">
        <f t="array" ref="AC706">IFERROR(AVERAGE(_xlfn._xlws.FILTER(U$2:U$1073,($C$2:$C$1073=$C706)*($E$2:$E$1073=$E706)*(ROW(U$2:U$1073)&lt;&gt;ROW(U706))*(U$2:U$1073&lt;&gt;""))),"")</f>
        <v>7.0923725275773153</v>
      </c>
      <c r="AD706" cm="1">
        <f t="array" ref="AD706">IFERROR(AVERAGE(_xlfn._xlws.FILTER(V$2:V$1073,($C$2:$C$1073=$C706)*($E$2:$E$1073=$E706)*(ROW(V$2:V$1073)&lt;&gt;ROW(V706))*(V$2:V$1073&lt;&gt;""))),"")</f>
        <v>0.68030377354524829</v>
      </c>
      <c r="AE706">
        <f>IF('Дивиденды по годам'!M706&lt;0,1,0)</f>
        <v>0</v>
      </c>
    </row>
    <row r="707" spans="1:31" x14ac:dyDescent="0.2">
      <c r="A707" s="7" t="s">
        <v>2266</v>
      </c>
      <c r="B707" t="str">
        <f t="shared" ref="B707:B770" si="121">A707&amp;" "&amp;
"IV"
&amp;" кв. "&amp;C707</f>
        <v>WUSH IV кв. 2024</v>
      </c>
      <c r="C707">
        <v>2024</v>
      </c>
      <c r="D707">
        <f>SUMIFS(Дивиденды!$C:$C,Дивиденды!$A:$A,A707,Дивиденды!$I:$I,C707)</f>
        <v>2.11</v>
      </c>
      <c r="E707">
        <v>4</v>
      </c>
      <c r="F707">
        <f t="shared" ref="F707:F770" si="122">D707</f>
        <v>2.11</v>
      </c>
      <c r="G707">
        <f t="shared" ref="G707:G770" si="123">AVERAGEIFS($D:$D,$E:$E,E707,$C:$C,C707,$A:$A,"&lt;&gt;"&amp;A707)</f>
        <v>62.36071428571428</v>
      </c>
      <c r="H707">
        <f t="shared" ref="H707:H770" si="124">IF(D707&gt;0,1,0)</f>
        <v>1</v>
      </c>
      <c r="I707">
        <f t="shared" ref="I707:I770" si="125">IFERROR((COUNTIFS($E:$E,E707,$C:$C,C707,$H:$H,1)-H707)/(COUNTIFS($E:$E,E707,$C:$C,C707)-1),0)</f>
        <v>0.5</v>
      </c>
      <c r="J707">
        <f t="shared" ref="J707:J770" si="126">IF(A708&lt;&gt;A707,"",IF(D707=D708,0,IF(AND(D708=0,D707&lt;&gt;0), 1,(D707-D708)/D708)))</f>
        <v>-0.79414634146341467</v>
      </c>
      <c r="K707">
        <f t="shared" si="120"/>
        <v>0.268180484039442</v>
      </c>
      <c r="L707">
        <f t="shared" ref="L707:L770" si="127">IF(J707&lt;&gt;"",IF(J707&gt;0,1,0),"")</f>
        <v>0</v>
      </c>
      <c r="M707">
        <f t="shared" ref="M707:M770" si="128">IFERROR(AVERAGEIFS($L:$L,$E:$E,E707,$C:$C,C707,$A:$A,"&lt;&gt;"&amp;A707),"")</f>
        <v>0.35714285714285715</v>
      </c>
      <c r="N707">
        <f t="shared" ref="N707:N770" si="129">IF(J707&lt;&gt;"",IF(J707&lt;0,1,0),"")</f>
        <v>1</v>
      </c>
      <c r="O707">
        <f t="shared" ref="O707:O770" si="130">IFERROR(AVERAGEIFS($N:$N,$E:$E,E707,$C:$C,C707,$A:$A,"&lt;&gt;"&amp;A707),"")</f>
        <v>0.21428571428571427</v>
      </c>
      <c r="P707">
        <f>IFERROR(LN('Дивиденды по годам'!I707),"")</f>
        <v>23.81063975125463</v>
      </c>
      <c r="Q707">
        <f>IFERROR('Дивиденды по годам'!G707/'Дивиденды по годам'!I707, "")</f>
        <v>0.63905264003094975</v>
      </c>
      <c r="R707">
        <f>IFERROR(IF(AND('Дивиденды по годам'!N707&lt;&gt;"",'Дивиденды по годам'!U707&lt;&gt;"",'Дивиденды по годам'!U707&lt;&gt;0),'Дивиденды по годам'!N707/'Дивиденды по годам'!U707-1,""),"")</f>
        <v>0.33296192462829222</v>
      </c>
      <c r="S707">
        <f>IFERROR(IF(AND('Дивиденды по годам'!L707&lt;&gt;"",'Дивиденды по годам'!I707&lt;&gt;"",'Дивиденды по годам'!J707&lt;&gt;"",'Дивиденды по годам'!K707&lt;&gt;"",('Дивиденды по годам'!I707-'Дивиденды по годам'!J707-'Дивиденды по годам'!K707)&lt;&gt;0),'Дивиденды по годам'!L707/('Дивиденды по годам'!I707-'Дивиденды по годам'!J707-'Дивиденды по годам'!K707),""),"")</f>
        <v>0.57298328079532101</v>
      </c>
      <c r="T707">
        <f>IFERROR(IF(AND('Дивиденды по годам'!Q707&lt;&gt;"",'Дивиденды по годам'!I707&lt;&gt;"",'Дивиденды по годам'!V707&lt;&gt;"",('Дивиденды по годам'!I707+'Дивиденды по годам'!V707)&lt;&gt;0),'Дивиденды по годам'!Q707/(('Дивиденды по годам'!I707+'Дивиденды по годам'!V707)/2),""),"")</f>
        <v>9.9177774648534361E-2</v>
      </c>
      <c r="U707">
        <f>IFERROR(IF(AND('Дивиденды по годам'!J707&lt;&gt;"",'Дивиденды по годам'!K707&lt;&gt;"",'Дивиденды по годам'!M707&lt;&gt;"",'Дивиденды по годам'!M707&lt;&gt;0),('Дивиденды по годам'!J707+'Дивиденды по годам'!K707)/'Дивиденды по годам'!M707,""),"")</f>
        <v>2.0112537493951925</v>
      </c>
      <c r="V707">
        <f>IFERROR(IF(AND('Дивиденды по годам'!J707&lt;&gt;"",'Дивиденды по годам'!K707&lt;&gt;"",'Дивиденды по годам'!M707&lt;&gt;"",'Дивиденды по годам'!I707&lt;&gt;0),('Дивиденды по годам'!J707+'Дивиденды по годам'!K707)/'Дивиденды по годам'!I707,""),"")</f>
        <v>0.66791241017106273</v>
      </c>
      <c r="W707">
        <f>IFERROR('Дивиденды по годам'!I707,"")</f>
        <v>21919440000</v>
      </c>
      <c r="X707" cm="1">
        <f t="array" ref="X707">IFERROR(AVERAGE(_xlfn._xlws.FILTER(P$2:P$1073,($C$2:$C$1073=$C707)*($E$2:$E$1073=$E707)*(ROW(P$2:P$1073)&lt;&gt;ROW(P707))*(P$2:P$1073&lt;&gt;""))),"")</f>
        <v>25.690097996888618</v>
      </c>
      <c r="Y707" cm="1">
        <f t="array" ref="Y707">IFERROR(AVERAGE(_xlfn._xlws.FILTER(Q$2:Q$1073,($C$2:$C$1073=$C707)*($E$2:$E$1073=$E707)*(ROW(Q$2:Q$1073)&lt;&gt;ROW(Q707))*(Q$2:Q$1073&lt;&gt;""))),"")</f>
        <v>0.23605811630493981</v>
      </c>
      <c r="Z707" cm="1">
        <f t="array" ref="Z707">IFERROR(AVERAGE(_xlfn._xlws.FILTER(R$2:R$1073,($C$2:$C$1073=$C707)*($E$2:$E$1073=$E707)*(ROW(R$2:R$1073)&lt;&gt;ROW(R707))*(R$2:R$1073&lt;&gt;""))),"")</f>
        <v>0.26064389692950596</v>
      </c>
      <c r="AA707" cm="1">
        <f t="array" ref="AA707">IFERROR(AVERAGE(_xlfn._xlws.FILTER(S$2:S$1073,($C$2:$C$1073=$C707)*($E$2:$E$1073=$E707)*(ROW(S$2:S$1073)&lt;&gt;ROW(S707))*(S$2:S$1073&lt;&gt;""))),"")</f>
        <v>1.2137733491259426</v>
      </c>
      <c r="AB707" cm="1">
        <f t="array" ref="AB707">IFERROR(AVERAGE(_xlfn._xlws.FILTER(T$2:T$1073,($C$2:$C$1073=$C707)*($E$2:$E$1073=$E707)*(ROW(T$2:T$1073)&lt;&gt;ROW(T707))*(T$2:T$1073&lt;&gt;""))),"")</f>
        <v>7.1082628691603075E-2</v>
      </c>
      <c r="AC707" cm="1">
        <f t="array" ref="AC707">IFERROR(AVERAGE(_xlfn._xlws.FILTER(U$2:U$1073,($C$2:$C$1073=$C707)*($E$2:$E$1073=$E707)*(ROW(U$2:U$1073)&lt;&gt;ROW(U707))*(U$2:U$1073&lt;&gt;""))),"")</f>
        <v>4.1321938081255638</v>
      </c>
      <c r="AD707" cm="1">
        <f t="array" ref="AD707">IFERROR(AVERAGE(_xlfn._xlws.FILTER(V$2:V$1073,($C$2:$C$1073=$C707)*($E$2:$E$1073=$E707)*(ROW(V$2:V$1073)&lt;&gt;ROW(V707))*(V$2:V$1073&lt;&gt;""))),"")</f>
        <v>0.70394976872938197</v>
      </c>
      <c r="AE707">
        <f>IF('Дивиденды по годам'!M707&lt;0,1,0)</f>
        <v>0</v>
      </c>
    </row>
    <row r="708" spans="1:31" x14ac:dyDescent="0.2">
      <c r="A708" s="7" t="s">
        <v>2266</v>
      </c>
      <c r="B708" t="str">
        <f t="shared" si="121"/>
        <v>WUSH IV кв. 2023</v>
      </c>
      <c r="C708">
        <v>2023</v>
      </c>
      <c r="D708">
        <f>SUMIFS(Дивиденды!$C:$C,Дивиденды!$A:$A,A708,Дивиденды!$I:$I,C708)</f>
        <v>10.25</v>
      </c>
      <c r="E708">
        <v>4</v>
      </c>
      <c r="F708">
        <f t="shared" si="122"/>
        <v>10.25</v>
      </c>
      <c r="G708">
        <f t="shared" si="123"/>
        <v>90.007857142857148</v>
      </c>
      <c r="H708">
        <f t="shared" si="124"/>
        <v>1</v>
      </c>
      <c r="I708">
        <f t="shared" si="125"/>
        <v>0.42857142857142855</v>
      </c>
      <c r="J708">
        <f t="shared" si="126"/>
        <v>1</v>
      </c>
      <c r="K708">
        <f t="shared" ref="K708:K771" si="131">IFERROR(AVERAGEIFS($J:$J,$E:$E,E708,$C:$C,C708,$A:$A,"&lt;&gt;"&amp;A708),"")</f>
        <v>0.22669887955182075</v>
      </c>
      <c r="L708">
        <f t="shared" si="127"/>
        <v>1</v>
      </c>
      <c r="M708">
        <f t="shared" si="128"/>
        <v>0.35714285714285715</v>
      </c>
      <c r="N708">
        <f t="shared" si="129"/>
        <v>0</v>
      </c>
      <c r="O708">
        <f t="shared" si="130"/>
        <v>0</v>
      </c>
      <c r="P708">
        <f>IFERROR(LN('Дивиденды по годам'!I708),"")</f>
        <v>23.62099049588776</v>
      </c>
      <c r="Q708">
        <f>IFERROR('Дивиденды по годам'!G708/'Дивиденды по годам'!I708, "")</f>
        <v>0.62149034569322847</v>
      </c>
      <c r="R708">
        <f>IFERROR(IF(AND('Дивиденды по годам'!N708&lt;&gt;"",'Дивиденды по годам'!U708&lt;&gt;"",'Дивиденды по годам'!U708&lt;&gt;0),'Дивиденды по годам'!N708/'Дивиденды по годам'!U708-1,""),"")</f>
        <v>0.54165273757475907</v>
      </c>
      <c r="S708">
        <f>IFERROR(IF(AND('Дивиденды по годам'!L708&lt;&gt;"",'Дивиденды по годам'!I708&lt;&gt;"",'Дивиденды по годам'!J708&lt;&gt;"",'Дивиденды по годам'!K708&lt;&gt;"",('Дивиденды по годам'!I708-'Дивиденды по годам'!J708-'Дивиденды по годам'!K708)&lt;&gt;0),'Дивиденды по годам'!L708/('Дивиденды по годам'!I708-'Дивиденды по годам'!J708-'Дивиденды по годам'!K708),""),"")</f>
        <v>0.42209402342291141</v>
      </c>
      <c r="T708">
        <f>IFERROR(IF(AND('Дивиденды по годам'!Q708&lt;&gt;"",'Дивиденды по годам'!I708&lt;&gt;"",'Дивиденды по годам'!V708&lt;&gt;"",('Дивиденды по годам'!I708+'Дивиденды по годам'!V708)&lt;&gt;0),'Дивиденды по годам'!Q708/(('Дивиденды по годам'!I708+'Дивиденды по годам'!V708)/2),""),"")</f>
        <v>0.13126677592247382</v>
      </c>
      <c r="U708">
        <f>IFERROR(IF(AND('Дивиденды по годам'!J708&lt;&gt;"",'Дивиденды по годам'!K708&lt;&gt;"",'Дивиденды по годам'!M708&lt;&gt;"",'Дивиденды по годам'!M708&lt;&gt;0),('Дивиденды по годам'!J708+'Дивиденды по годам'!K708)/'Дивиденды по годам'!M708,""),"")</f>
        <v>2.1630192980243557</v>
      </c>
      <c r="V708">
        <f>IFERROR(IF(AND('Дивиденды по годам'!J708&lt;&gt;"",'Дивиденды по годам'!K708&lt;&gt;"",'Дивиденды по годам'!M708&lt;&gt;"",'Дивиденды по годам'!I708&lt;&gt;0),('Дивиденды по годам'!J708+'Дивиденды по годам'!K708)/'Дивиденды по годам'!I708,""),"")</f>
        <v>0.68384638037946621</v>
      </c>
      <c r="W708">
        <f>IFERROR('Дивиденды по годам'!I708,"")</f>
        <v>18132840000</v>
      </c>
      <c r="X708" cm="1">
        <f t="array" ref="X708">IFERROR(AVERAGE(_xlfn._xlws.FILTER(P$2:P$1073,($C$2:$C$1073=$C708)*($E$2:$E$1073=$E708)*(ROW(P$2:P$1073)&lt;&gt;ROW(P708))*(P$2:P$1073&lt;&gt;""))),"")</f>
        <v>25.49168133053379</v>
      </c>
      <c r="Y708" cm="1">
        <f t="array" ref="Y708">IFERROR(AVERAGE(_xlfn._xlws.FILTER(Q$2:Q$1073,($C$2:$C$1073=$C708)*($E$2:$E$1073=$E708)*(ROW(Q$2:Q$1073)&lt;&gt;ROW(Q708))*(Q$2:Q$1073&lt;&gt;""))),"")</f>
        <v>0.2238800463200363</v>
      </c>
      <c r="Z708" cm="1">
        <f t="array" ref="Z708">IFERROR(AVERAGE(_xlfn._xlws.FILTER(R$2:R$1073,($C$2:$C$1073=$C708)*($E$2:$E$1073=$E708)*(ROW(R$2:R$1073)&lt;&gt;ROW(R708))*(R$2:R$1073&lt;&gt;""))),"")</f>
        <v>0.2215349367836392</v>
      </c>
      <c r="AA708" cm="1">
        <f t="array" ref="AA708">IFERROR(AVERAGE(_xlfn._xlws.FILTER(S$2:S$1073,($C$2:$C$1073=$C708)*($E$2:$E$1073=$E708)*(ROW(S$2:S$1073)&lt;&gt;ROW(S708))*(S$2:S$1073&lt;&gt;""))),"")</f>
        <v>1.3048440141303492</v>
      </c>
      <c r="AB708" cm="1">
        <f t="array" ref="AB708">IFERROR(AVERAGE(_xlfn._xlws.FILTER(T$2:T$1073,($C$2:$C$1073=$C708)*($E$2:$E$1073=$E708)*(ROW(T$2:T$1073)&lt;&gt;ROW(T708))*(T$2:T$1073&lt;&gt;""))),"")</f>
        <v>0.10856542881184023</v>
      </c>
      <c r="AC708" cm="1">
        <f t="array" ref="AC708">IFERROR(AVERAGE(_xlfn._xlws.FILTER(U$2:U$1073,($C$2:$C$1073=$C708)*($E$2:$E$1073=$E708)*(ROW(U$2:U$1073)&lt;&gt;ROW(U708))*(U$2:U$1073&lt;&gt;""))),"")</f>
        <v>2.6177965171859947</v>
      </c>
      <c r="AD708" cm="1">
        <f t="array" ref="AD708">IFERROR(AVERAGE(_xlfn._xlws.FILTER(V$2:V$1073,($C$2:$C$1073=$C708)*($E$2:$E$1073=$E708)*(ROW(V$2:V$1073)&lt;&gt;ROW(V708))*(V$2:V$1073&lt;&gt;""))),"")</f>
        <v>0.69305916444294868</v>
      </c>
      <c r="AE708">
        <f>IF('Дивиденды по годам'!M708&lt;0,1,0)</f>
        <v>0</v>
      </c>
    </row>
    <row r="709" spans="1:31" x14ac:dyDescent="0.2">
      <c r="A709" s="7" t="s">
        <v>2266</v>
      </c>
      <c r="B709" t="str">
        <f t="shared" si="121"/>
        <v>WUSH IV кв. 2022</v>
      </c>
      <c r="C709">
        <v>2022</v>
      </c>
      <c r="D709">
        <f>SUMIFS(Дивиденды!$C:$C,Дивиденды!$A:$A,A709,Дивиденды!$I:$I,C709)</f>
        <v>0</v>
      </c>
      <c r="E709">
        <v>4</v>
      </c>
      <c r="F709">
        <f t="shared" si="122"/>
        <v>0</v>
      </c>
      <c r="G709">
        <f t="shared" si="123"/>
        <v>80.180000000000021</v>
      </c>
      <c r="H709">
        <f t="shared" si="124"/>
        <v>0</v>
      </c>
      <c r="I709">
        <f t="shared" si="125"/>
        <v>0.2857142857142857</v>
      </c>
      <c r="J709">
        <f t="shared" si="126"/>
        <v>0</v>
      </c>
      <c r="K709">
        <f t="shared" si="131"/>
        <v>0.49583624512073399</v>
      </c>
      <c r="L709">
        <f t="shared" si="127"/>
        <v>0</v>
      </c>
      <c r="M709">
        <f t="shared" si="128"/>
        <v>0.2857142857142857</v>
      </c>
      <c r="N709">
        <f t="shared" si="129"/>
        <v>0</v>
      </c>
      <c r="O709">
        <f t="shared" si="130"/>
        <v>7.1428571428571425E-2</v>
      </c>
      <c r="P709">
        <f>IFERROR(LN('Дивиденды по годам'!I709),"")</f>
        <v>23.1593108825132</v>
      </c>
      <c r="Q709">
        <f>IFERROR('Дивиденды по годам'!G709/'Дивиденды по годам'!I709, "")</f>
        <v>0.57785409295176526</v>
      </c>
      <c r="R709" t="str">
        <f>IFERROR(IF(AND('Дивиденды по годам'!N709&lt;&gt;"",'Дивиденды по годам'!U709&lt;&gt;"",'Дивиденды по годам'!U709&lt;&gt;0),'Дивиденды по годам'!N709/'Дивиденды по годам'!U709-1,""),"")</f>
        <v/>
      </c>
      <c r="S709">
        <f>IFERROR(IF(AND('Дивиденды по годам'!L709&lt;&gt;"",'Дивиденды по годам'!I709&lt;&gt;"",'Дивиденды по годам'!J709&lt;&gt;"",'Дивиденды по годам'!K709&lt;&gt;"",('Дивиденды по годам'!I709-'Дивиденды по годам'!J709-'Дивиденды по годам'!K709)&lt;&gt;0),'Дивиденды по годам'!L709/('Дивиденды по годам'!I709-'Дивиденды по годам'!J709-'Дивиденды по годам'!K709),""),"")</f>
        <v>0.33296858772183302</v>
      </c>
      <c r="T709" t="str">
        <f>IFERROR(IF(AND('Дивиденды по годам'!Q709&lt;&gt;"",'Дивиденды по годам'!I709&lt;&gt;"",'Дивиденды по годам'!V709&lt;&gt;"",('Дивиденды по годам'!I709+'Дивиденды по годам'!V709)&lt;&gt;0),'Дивиденды по годам'!Q709/(('Дивиденды по годам'!I709+'Дивиденды по годам'!V709)/2),""),"")</f>
        <v/>
      </c>
      <c r="U709">
        <f>IFERROR(IF(AND('Дивиденды по годам'!J709&lt;&gt;"",'Дивиденды по годам'!K709&lt;&gt;"",'Дивиденды по годам'!M709&lt;&gt;"",'Дивиденды по годам'!M709&lt;&gt;0),('Дивиденды по годам'!J709+'Дивиденды по годам'!K709)/'Дивиденды по годам'!M709,""),"")</f>
        <v>1.3469726833057207</v>
      </c>
      <c r="V709">
        <f>IFERROR(IF(AND('Дивиденды по годам'!J709&lt;&gt;"",'Дивиденды по годам'!K709&lt;&gt;"",'Дивиденды по годам'!M709&lt;&gt;"",'Дивиденды по годам'!I709&lt;&gt;0),('Дивиденды по годам'!J709+'Дивиденды по годам'!K709)/'Дивиденды по годам'!I709,""),"")</f>
        <v>0.57391919935280378</v>
      </c>
      <c r="W709">
        <f>IFERROR('Дивиденды по годам'!I709,"")</f>
        <v>11427755000</v>
      </c>
      <c r="X709" cm="1">
        <f t="array" ref="X709">IFERROR(AVERAGE(_xlfn._xlws.FILTER(P$2:P$1073,($C$2:$C$1073=$C709)*($E$2:$E$1073=$E709)*(ROW(P$2:P$1073)&lt;&gt;ROW(P709))*(P$2:P$1073&lt;&gt;""))),"")</f>
        <v>25.443081582967853</v>
      </c>
      <c r="Y709" cm="1">
        <f t="array" ref="Y709">IFERROR(AVERAGE(_xlfn._xlws.FILTER(Q$2:Q$1073,($C$2:$C$1073=$C709)*($E$2:$E$1073=$E709)*(ROW(Q$2:Q$1073)&lt;&gt;ROW(Q709))*(Q$2:Q$1073&lt;&gt;""))),"")</f>
        <v>0.22080668619273047</v>
      </c>
      <c r="Z709" cm="1">
        <f t="array" ref="Z709">IFERROR(AVERAGE(_xlfn._xlws.FILTER(R$2:R$1073,($C$2:$C$1073=$C709)*($E$2:$E$1073=$E709)*(ROW(R$2:R$1073)&lt;&gt;ROW(R709))*(R$2:R$1073&lt;&gt;""))),"")</f>
        <v>0.20513507713883902</v>
      </c>
      <c r="AA709" cm="1">
        <f t="array" ref="AA709">IFERROR(AVERAGE(_xlfn._xlws.FILTER(S$2:S$1073,($C$2:$C$1073=$C709)*($E$2:$E$1073=$E709)*(ROW(S$2:S$1073)&lt;&gt;ROW(S709))*(S$2:S$1073&lt;&gt;""))),"")</f>
        <v>1.4207591302881502</v>
      </c>
      <c r="AB709" cm="1">
        <f t="array" ref="AB709">IFERROR(AVERAGE(_xlfn._xlws.FILTER(T$2:T$1073,($C$2:$C$1073=$C709)*($E$2:$E$1073=$E709)*(ROW(T$2:T$1073)&lt;&gt;ROW(T709))*(T$2:T$1073&lt;&gt;""))),"")</f>
        <v>0.10081697308373706</v>
      </c>
      <c r="AC709" cm="1">
        <f t="array" ref="AC709">IFERROR(AVERAGE(_xlfn._xlws.FILTER(U$2:U$1073,($C$2:$C$1073=$C709)*($E$2:$E$1073=$E709)*(ROW(U$2:U$1073)&lt;&gt;ROW(U709))*(U$2:U$1073&lt;&gt;""))),"")</f>
        <v>2.2423527463859174</v>
      </c>
      <c r="AD709" cm="1">
        <f t="array" ref="AD709">IFERROR(AVERAGE(_xlfn._xlws.FILTER(V$2:V$1073,($C$2:$C$1073=$C709)*($E$2:$E$1073=$E709)*(ROW(V$2:V$1073)&lt;&gt;ROW(V709))*(V$2:V$1073&lt;&gt;""))),"")</f>
        <v>0.73000924529035072</v>
      </c>
      <c r="AE709">
        <f>IF('Дивиденды по годам'!M709&lt;0,1,0)</f>
        <v>0</v>
      </c>
    </row>
    <row r="710" spans="1:31" x14ac:dyDescent="0.2">
      <c r="A710" s="7" t="s">
        <v>2266</v>
      </c>
      <c r="B710" t="str">
        <f t="shared" si="121"/>
        <v>WUSH IV кв. 2021</v>
      </c>
      <c r="C710">
        <v>2021</v>
      </c>
      <c r="D710">
        <f>SUMIFS(Дивиденды!$C:$C,Дивиденды!$A:$A,A710,Дивиденды!$I:$I,C710)</f>
        <v>0</v>
      </c>
      <c r="E710">
        <v>4</v>
      </c>
      <c r="F710">
        <f t="shared" si="122"/>
        <v>0</v>
      </c>
      <c r="G710">
        <f t="shared" si="123"/>
        <v>31.931428571428572</v>
      </c>
      <c r="H710">
        <f t="shared" si="124"/>
        <v>0</v>
      </c>
      <c r="I710">
        <f t="shared" si="125"/>
        <v>0.2857142857142857</v>
      </c>
      <c r="J710">
        <f t="shared" si="126"/>
        <v>0</v>
      </c>
      <c r="K710">
        <f t="shared" si="131"/>
        <v>0.1975016604235505</v>
      </c>
      <c r="L710">
        <f t="shared" si="127"/>
        <v>0</v>
      </c>
      <c r="M710">
        <f t="shared" si="128"/>
        <v>0.21428571428571427</v>
      </c>
      <c r="N710">
        <f t="shared" si="129"/>
        <v>0</v>
      </c>
      <c r="O710">
        <f t="shared" si="130"/>
        <v>7.1428571428571425E-2</v>
      </c>
      <c r="P710" t="str">
        <f>IFERROR(LN('Дивиденды по годам'!I710),"")</f>
        <v/>
      </c>
      <c r="Q710" t="str">
        <f>IFERROR('Дивиденды по годам'!G710/'Дивиденды по годам'!I710, "")</f>
        <v/>
      </c>
      <c r="R710" t="str">
        <f>IFERROR(IF(AND('Дивиденды по годам'!N710&lt;&gt;"",'Дивиденды по годам'!U710&lt;&gt;"",'Дивиденды по годам'!U710&lt;&gt;0),'Дивиденды по годам'!N710/'Дивиденды по годам'!U710-1,""),"")</f>
        <v/>
      </c>
      <c r="S710" t="str">
        <f>IFERROR(IF(AND('Дивиденды по годам'!L710&lt;&gt;"",'Дивиденды по годам'!I710&lt;&gt;"",'Дивиденды по годам'!J710&lt;&gt;"",'Дивиденды по годам'!K710&lt;&gt;"",('Дивиденды по годам'!I710-'Дивиденды по годам'!J710-'Дивиденды по годам'!K710)&lt;&gt;0),'Дивиденды по годам'!L710/('Дивиденды по годам'!I710-'Дивиденды по годам'!J710-'Дивиденды по годам'!K710),""),"")</f>
        <v/>
      </c>
      <c r="T710" t="str">
        <f>IFERROR(IF(AND('Дивиденды по годам'!Q710&lt;&gt;"",'Дивиденды по годам'!I710&lt;&gt;"",'Дивиденды по годам'!V710&lt;&gt;"",('Дивиденды по годам'!I710+'Дивиденды по годам'!V710)&lt;&gt;0),'Дивиденды по годам'!Q710/(('Дивиденды по годам'!I710+'Дивиденды по годам'!V710)/2),""),"")</f>
        <v/>
      </c>
      <c r="U710" t="str">
        <f>IFERROR(IF(AND('Дивиденды по годам'!J710&lt;&gt;"",'Дивиденды по годам'!K710&lt;&gt;"",'Дивиденды по годам'!M710&lt;&gt;"",'Дивиденды по годам'!M710&lt;&gt;0),('Дивиденды по годам'!J710+'Дивиденды по годам'!K710)/'Дивиденды по годам'!M710,""),"")</f>
        <v/>
      </c>
      <c r="V710" t="str">
        <f>IFERROR(IF(AND('Дивиденды по годам'!J710&lt;&gt;"",'Дивиденды по годам'!K710&lt;&gt;"",'Дивиденды по годам'!M710&lt;&gt;"",'Дивиденды по годам'!I710&lt;&gt;0),('Дивиденды по годам'!J710+'Дивиденды по годам'!K710)/'Дивиденды по годам'!I710,""),"")</f>
        <v/>
      </c>
      <c r="W710" t="str">
        <f>IFERROR('Дивиденды по годам'!I710,"")</f>
        <v/>
      </c>
      <c r="X710" cm="1">
        <f t="array" ref="X710">IFERROR(AVERAGE(_xlfn._xlws.FILTER(P$2:P$1073,($C$2:$C$1073=$C710)*($E$2:$E$1073=$E710)*(ROW(P$2:P$1073)&lt;&gt;ROW(P710))*(P$2:P$1073&lt;&gt;""))),"")</f>
        <v>25.187970188534305</v>
      </c>
      <c r="Y710" cm="1">
        <f t="array" ref="Y710">IFERROR(AVERAGE(_xlfn._xlws.FILTER(Q$2:Q$1073,($C$2:$C$1073=$C710)*($E$2:$E$1073=$E710)*(ROW(Q$2:Q$1073)&lt;&gt;ROW(Q710))*(Q$2:Q$1073&lt;&gt;""))),"")</f>
        <v>0.2352592803713329</v>
      </c>
      <c r="Z710" cm="1">
        <f t="array" ref="Z710">IFERROR(AVERAGE(_xlfn._xlws.FILTER(R$2:R$1073,($C$2:$C$1073=$C710)*($E$2:$E$1073=$E710)*(ROW(R$2:R$1073)&lt;&gt;ROW(R710))*(R$2:R$1073&lt;&gt;""))),"")</f>
        <v>0.31760921072336168</v>
      </c>
      <c r="AA710" cm="1">
        <f t="array" ref="AA710">IFERROR(AVERAGE(_xlfn._xlws.FILTER(S$2:S$1073,($C$2:$C$1073=$C710)*($E$2:$E$1073=$E710)*(ROW(S$2:S$1073)&lt;&gt;ROW(S710))*(S$2:S$1073&lt;&gt;""))),"")</f>
        <v>1.3221729101020838</v>
      </c>
      <c r="AB710" cm="1">
        <f t="array" ref="AB710">IFERROR(AVERAGE(_xlfn._xlws.FILTER(T$2:T$1073,($C$2:$C$1073=$C710)*($E$2:$E$1073=$E710)*(ROW(T$2:T$1073)&lt;&gt;ROW(T710))*(T$2:T$1073&lt;&gt;""))),"")</f>
        <v>0.10239490834794492</v>
      </c>
      <c r="AC710" cm="1">
        <f t="array" ref="AC710">IFERROR(AVERAGE(_xlfn._xlws.FILTER(U$2:U$1073,($C$2:$C$1073=$C710)*($E$2:$E$1073=$E710)*(ROW(U$2:U$1073)&lt;&gt;ROW(U710))*(U$2:U$1073&lt;&gt;""))),"")</f>
        <v>16.93709324549495</v>
      </c>
      <c r="AD710" cm="1">
        <f t="array" ref="AD710">IFERROR(AVERAGE(_xlfn._xlws.FILTER(V$2:V$1073,($C$2:$C$1073=$C710)*($E$2:$E$1073=$E710)*(ROW(V$2:V$1073)&lt;&gt;ROW(V710))*(V$2:V$1073&lt;&gt;""))),"")</f>
        <v>0.77275053461166843</v>
      </c>
      <c r="AE710">
        <f>IF('Дивиденды по годам'!M710&lt;0,1,0)</f>
        <v>0</v>
      </c>
    </row>
    <row r="711" spans="1:31" x14ac:dyDescent="0.2">
      <c r="A711" s="7" t="s">
        <v>2266</v>
      </c>
      <c r="B711" t="str">
        <f t="shared" si="121"/>
        <v>WUSH IV кв. 2020</v>
      </c>
      <c r="C711">
        <v>2020</v>
      </c>
      <c r="D711">
        <f>SUMIFS(Дивиденды!$C:$C,Дивиденды!$A:$A,A711,Дивиденды!$I:$I,C711)</f>
        <v>0</v>
      </c>
      <c r="E711">
        <v>4</v>
      </c>
      <c r="F711">
        <f t="shared" si="122"/>
        <v>0</v>
      </c>
      <c r="G711">
        <f t="shared" si="123"/>
        <v>43.293571428571433</v>
      </c>
      <c r="H711">
        <f t="shared" si="124"/>
        <v>0</v>
      </c>
      <c r="I711">
        <f t="shared" si="125"/>
        <v>0.2857142857142857</v>
      </c>
      <c r="J711">
        <f t="shared" si="126"/>
        <v>0</v>
      </c>
      <c r="K711">
        <f t="shared" si="131"/>
        <v>0.26831617204892738</v>
      </c>
      <c r="L711">
        <f t="shared" si="127"/>
        <v>0</v>
      </c>
      <c r="M711">
        <f t="shared" si="128"/>
        <v>0.2857142857142857</v>
      </c>
      <c r="N711">
        <f t="shared" si="129"/>
        <v>0</v>
      </c>
      <c r="O711">
        <f t="shared" si="130"/>
        <v>0</v>
      </c>
      <c r="P711" t="str">
        <f>IFERROR(LN('Дивиденды по годам'!I711),"")</f>
        <v/>
      </c>
      <c r="Q711" t="str">
        <f>IFERROR('Дивиденды по годам'!G711/'Дивиденды по годам'!I711, "")</f>
        <v/>
      </c>
      <c r="R711" t="str">
        <f>IFERROR(IF(AND('Дивиденды по годам'!N711&lt;&gt;"",'Дивиденды по годам'!U711&lt;&gt;"",'Дивиденды по годам'!U711&lt;&gt;0),'Дивиденды по годам'!N711/'Дивиденды по годам'!U711-1,""),"")</f>
        <v/>
      </c>
      <c r="S711" t="str">
        <f>IFERROR(IF(AND('Дивиденды по годам'!L711&lt;&gt;"",'Дивиденды по годам'!I711&lt;&gt;"",'Дивиденды по годам'!J711&lt;&gt;"",'Дивиденды по годам'!K711&lt;&gt;"",('Дивиденды по годам'!I711-'Дивиденды по годам'!J711-'Дивиденды по годам'!K711)&lt;&gt;0),'Дивиденды по годам'!L711/('Дивиденды по годам'!I711-'Дивиденды по годам'!J711-'Дивиденды по годам'!K711),""),"")</f>
        <v/>
      </c>
      <c r="T711" t="str">
        <f>IFERROR(IF(AND('Дивиденды по годам'!Q711&lt;&gt;"",'Дивиденды по годам'!I711&lt;&gt;"",'Дивиденды по годам'!V711&lt;&gt;"",('Дивиденды по годам'!I711+'Дивиденды по годам'!V711)&lt;&gt;0),'Дивиденды по годам'!Q711/(('Дивиденды по годам'!I711+'Дивиденды по годам'!V711)/2),""),"")</f>
        <v/>
      </c>
      <c r="U711" t="str">
        <f>IFERROR(IF(AND('Дивиденды по годам'!J711&lt;&gt;"",'Дивиденды по годам'!K711&lt;&gt;"",'Дивиденды по годам'!M711&lt;&gt;"",'Дивиденды по годам'!M711&lt;&gt;0),('Дивиденды по годам'!J711+'Дивиденды по годам'!K711)/'Дивиденды по годам'!M711,""),"")</f>
        <v/>
      </c>
      <c r="V711" t="str">
        <f>IFERROR(IF(AND('Дивиденды по годам'!J711&lt;&gt;"",'Дивиденды по годам'!K711&lt;&gt;"",'Дивиденды по годам'!M711&lt;&gt;"",'Дивиденды по годам'!I711&lt;&gt;0),('Дивиденды по годам'!J711+'Дивиденды по годам'!K711)/'Дивиденды по годам'!I711,""),"")</f>
        <v/>
      </c>
      <c r="W711" t="str">
        <f>IFERROR('Дивиденды по годам'!I711,"")</f>
        <v/>
      </c>
      <c r="X711" cm="1">
        <f t="array" ref="X711">IFERROR(AVERAGE(_xlfn._xlws.FILTER(P$2:P$1073,($C$2:$C$1073=$C711)*($E$2:$E$1073=$E711)*(ROW(P$2:P$1073)&lt;&gt;ROW(P711))*(P$2:P$1073&lt;&gt;""))),"")</f>
        <v>25.279360907920736</v>
      </c>
      <c r="Y711" cm="1">
        <f t="array" ref="Y711">IFERROR(AVERAGE(_xlfn._xlws.FILTER(Q$2:Q$1073,($C$2:$C$1073=$C711)*($E$2:$E$1073=$E711)*(ROW(Q$2:Q$1073)&lt;&gt;ROW(Q711))*(Q$2:Q$1073&lt;&gt;""))),"")</f>
        <v>0.26156752075221612</v>
      </c>
      <c r="Z711" cm="1">
        <f t="array" ref="Z711">IFERROR(AVERAGE(_xlfn._xlws.FILTER(R$2:R$1073,($C$2:$C$1073=$C711)*($E$2:$E$1073=$E711)*(ROW(R$2:R$1073)&lt;&gt;ROW(R711))*(R$2:R$1073&lt;&gt;""))),"")</f>
        <v>9.6830410579929804E-2</v>
      </c>
      <c r="AA711" cm="1">
        <f t="array" ref="AA711">IFERROR(AVERAGE(_xlfn._xlws.FILTER(S$2:S$1073,($C$2:$C$1073=$C711)*($E$2:$E$1073=$E711)*(ROW(S$2:S$1073)&lt;&gt;ROW(S711))*(S$2:S$1073&lt;&gt;""))),"")</f>
        <v>1.7199758573549004</v>
      </c>
      <c r="AB711" cm="1">
        <f t="array" ref="AB711">IFERROR(AVERAGE(_xlfn._xlws.FILTER(T$2:T$1073,($C$2:$C$1073=$C711)*($E$2:$E$1073=$E711)*(ROW(T$2:T$1073)&lt;&gt;ROW(T711))*(T$2:T$1073&lt;&gt;""))),"")</f>
        <v>6.7482119215201988E-2</v>
      </c>
      <c r="AC711" cm="1">
        <f t="array" ref="AC711">IFERROR(AVERAGE(_xlfn._xlws.FILTER(U$2:U$1073,($C$2:$C$1073=$C711)*($E$2:$E$1073=$E711)*(ROW(U$2:U$1073)&lt;&gt;ROW(U711))*(U$2:U$1073&lt;&gt;""))),"")</f>
        <v>-10.291341252885539</v>
      </c>
      <c r="AD711" cm="1">
        <f t="array" ref="AD711">IFERROR(AVERAGE(_xlfn._xlws.FILTER(V$2:V$1073,($C$2:$C$1073=$C711)*($E$2:$E$1073=$E711)*(ROW(V$2:V$1073)&lt;&gt;ROW(V711))*(V$2:V$1073&lt;&gt;""))),"")</f>
        <v>0.77820650148801684</v>
      </c>
      <c r="AE711">
        <f>IF('Дивиденды по годам'!M711&lt;0,1,0)</f>
        <v>0</v>
      </c>
    </row>
    <row r="712" spans="1:31" x14ac:dyDescent="0.2">
      <c r="A712" s="7" t="s">
        <v>2266</v>
      </c>
      <c r="B712" t="str">
        <f t="shared" si="121"/>
        <v>WUSH IV кв. 2019</v>
      </c>
      <c r="C712">
        <v>2019</v>
      </c>
      <c r="D712">
        <f>SUMIFS(Дивиденды!$C:$C,Дивиденды!$A:$A,A712,Дивиденды!$I:$I,C712)</f>
        <v>0</v>
      </c>
      <c r="E712">
        <v>4</v>
      </c>
      <c r="F712">
        <f t="shared" si="122"/>
        <v>0</v>
      </c>
      <c r="G712">
        <f t="shared" si="123"/>
        <v>24.398571428571426</v>
      </c>
      <c r="H712">
        <f t="shared" si="124"/>
        <v>0</v>
      </c>
      <c r="I712">
        <f t="shared" si="125"/>
        <v>0.21428571428571427</v>
      </c>
      <c r="J712">
        <f t="shared" si="126"/>
        <v>0</v>
      </c>
      <c r="K712">
        <f t="shared" si="131"/>
        <v>0.10876410731109194</v>
      </c>
      <c r="L712">
        <f t="shared" si="127"/>
        <v>0</v>
      </c>
      <c r="M712">
        <f t="shared" si="128"/>
        <v>0.21428571428571427</v>
      </c>
      <c r="N712">
        <f t="shared" si="129"/>
        <v>0</v>
      </c>
      <c r="O712">
        <f t="shared" si="130"/>
        <v>0</v>
      </c>
      <c r="P712" t="str">
        <f>IFERROR(LN('Дивиденды по годам'!I712),"")</f>
        <v/>
      </c>
      <c r="Q712" t="str">
        <f>IFERROR('Дивиденды по годам'!G712/'Дивиденды по годам'!I712, "")</f>
        <v/>
      </c>
      <c r="R712" t="str">
        <f>IFERROR(IF(AND('Дивиденды по годам'!N712&lt;&gt;"",'Дивиденды по годам'!U712&lt;&gt;"",'Дивиденды по годам'!U712&lt;&gt;0),'Дивиденды по годам'!N712/'Дивиденды по годам'!U712-1,""),"")</f>
        <v/>
      </c>
      <c r="S712" t="str">
        <f>IFERROR(IF(AND('Дивиденды по годам'!L712&lt;&gt;"",'Дивиденды по годам'!I712&lt;&gt;"",'Дивиденды по годам'!J712&lt;&gt;"",'Дивиденды по годам'!K712&lt;&gt;"",('Дивиденды по годам'!I712-'Дивиденды по годам'!J712-'Дивиденды по годам'!K712)&lt;&gt;0),'Дивиденды по годам'!L712/('Дивиденды по годам'!I712-'Дивиденды по годам'!J712-'Дивиденды по годам'!K712),""),"")</f>
        <v/>
      </c>
      <c r="T712" t="str">
        <f>IFERROR(IF(AND('Дивиденды по годам'!Q712&lt;&gt;"",'Дивиденды по годам'!I712&lt;&gt;"",'Дивиденды по годам'!V712&lt;&gt;"",('Дивиденды по годам'!I712+'Дивиденды по годам'!V712)&lt;&gt;0),'Дивиденды по годам'!Q712/(('Дивиденды по годам'!I712+'Дивиденды по годам'!V712)/2),""),"")</f>
        <v/>
      </c>
      <c r="U712" t="str">
        <f>IFERROR(IF(AND('Дивиденды по годам'!J712&lt;&gt;"",'Дивиденды по годам'!K712&lt;&gt;"",'Дивиденды по годам'!M712&lt;&gt;"",'Дивиденды по годам'!M712&lt;&gt;0),('Дивиденды по годам'!J712+'Дивиденды по годам'!K712)/'Дивиденды по годам'!M712,""),"")</f>
        <v/>
      </c>
      <c r="V712" t="str">
        <f>IFERROR(IF(AND('Дивиденды по годам'!J712&lt;&gt;"",'Дивиденды по годам'!K712&lt;&gt;"",'Дивиденды по годам'!M712&lt;&gt;"",'Дивиденды по годам'!I712&lt;&gt;0),('Дивиденды по годам'!J712+'Дивиденды по годам'!K712)/'Дивиденды по годам'!I712,""),"")</f>
        <v/>
      </c>
      <c r="W712" t="str">
        <f>IFERROR('Дивиденды по годам'!I712,"")</f>
        <v/>
      </c>
      <c r="X712" cm="1">
        <f t="array" ref="X712">IFERROR(AVERAGE(_xlfn._xlws.FILTER(P$2:P$1073,($C$2:$C$1073=$C712)*($E$2:$E$1073=$E712)*(ROW(P$2:P$1073)&lt;&gt;ROW(P712))*(P$2:P$1073&lt;&gt;""))),"")</f>
        <v>25.116045651461882</v>
      </c>
      <c r="Y712" cm="1">
        <f t="array" ref="Y712">IFERROR(AVERAGE(_xlfn._xlws.FILTER(Q$2:Q$1073,($C$2:$C$1073=$C712)*($E$2:$E$1073=$E712)*(ROW(Q$2:Q$1073)&lt;&gt;ROW(Q712))*(Q$2:Q$1073&lt;&gt;""))),"")</f>
        <v>0.27081451761564085</v>
      </c>
      <c r="Z712" cm="1">
        <f t="array" ref="Z712">IFERROR(AVERAGE(_xlfn._xlws.FILTER(R$2:R$1073,($C$2:$C$1073=$C712)*($E$2:$E$1073=$E712)*(ROW(R$2:R$1073)&lt;&gt;ROW(R712))*(R$2:R$1073&lt;&gt;""))),"")</f>
        <v>0.41255485917491075</v>
      </c>
      <c r="AA712" cm="1">
        <f t="array" ref="AA712">IFERROR(AVERAGE(_xlfn._xlws.FILTER(S$2:S$1073,($C$2:$C$1073=$C712)*($E$2:$E$1073=$E712)*(ROW(S$2:S$1073)&lt;&gt;ROW(S712))*(S$2:S$1073&lt;&gt;""))),"")</f>
        <v>0.89707160002220321</v>
      </c>
      <c r="AB712" cm="1">
        <f t="array" ref="AB712">IFERROR(AVERAGE(_xlfn._xlws.FILTER(T$2:T$1073,($C$2:$C$1073=$C712)*($E$2:$E$1073=$E712)*(ROW(T$2:T$1073)&lt;&gt;ROW(T712))*(T$2:T$1073&lt;&gt;""))),"")</f>
        <v>4.8479450567785541E-2</v>
      </c>
      <c r="AC712" cm="1">
        <f t="array" ref="AC712">IFERROR(AVERAGE(_xlfn._xlws.FILTER(U$2:U$1073,($C$2:$C$1073=$C712)*($E$2:$E$1073=$E712)*(ROW(U$2:U$1073)&lt;&gt;ROW(U712))*(U$2:U$1073&lt;&gt;""))),"")</f>
        <v>-2.6443211935212805</v>
      </c>
      <c r="AD712" cm="1">
        <f t="array" ref="AD712">IFERROR(AVERAGE(_xlfn._xlws.FILTER(V$2:V$1073,($C$2:$C$1073=$C712)*($E$2:$E$1073=$E712)*(ROW(V$2:V$1073)&lt;&gt;ROW(V712))*(V$2:V$1073&lt;&gt;""))),"")</f>
        <v>0.81339122582508594</v>
      </c>
      <c r="AE712">
        <f>IF('Дивиденды по годам'!M712&lt;0,1,0)</f>
        <v>0</v>
      </c>
    </row>
    <row r="713" spans="1:31" x14ac:dyDescent="0.2">
      <c r="A713" s="7" t="s">
        <v>2266</v>
      </c>
      <c r="B713" t="str">
        <f t="shared" si="121"/>
        <v>WUSH IV кв. 2018</v>
      </c>
      <c r="C713">
        <v>2018</v>
      </c>
      <c r="D713">
        <f>SUMIFS(Дивиденды!$C:$C,Дивиденды!$A:$A,A713,Дивиденды!$I:$I,C713)</f>
        <v>0</v>
      </c>
      <c r="E713">
        <v>4</v>
      </c>
      <c r="F713">
        <f t="shared" si="122"/>
        <v>0</v>
      </c>
      <c r="G713">
        <f t="shared" si="123"/>
        <v>21.978571428571428</v>
      </c>
      <c r="H713">
        <f t="shared" si="124"/>
        <v>0</v>
      </c>
      <c r="I713">
        <f t="shared" si="125"/>
        <v>0.14285714285714285</v>
      </c>
      <c r="J713">
        <f t="shared" si="126"/>
        <v>0</v>
      </c>
      <c r="K713">
        <f t="shared" si="131"/>
        <v>-1.8223065562117002E-2</v>
      </c>
      <c r="L713">
        <f t="shared" si="127"/>
        <v>0</v>
      </c>
      <c r="M713">
        <f t="shared" si="128"/>
        <v>7.1428571428571425E-2</v>
      </c>
      <c r="N713">
        <f t="shared" si="129"/>
        <v>0</v>
      </c>
      <c r="O713">
        <f t="shared" si="130"/>
        <v>7.1428571428571425E-2</v>
      </c>
      <c r="P713" t="str">
        <f>IFERROR(LN('Дивиденды по годам'!I713),"")</f>
        <v/>
      </c>
      <c r="Q713" t="str">
        <f>IFERROR('Дивиденды по годам'!G713/'Дивиденды по годам'!I713, "")</f>
        <v/>
      </c>
      <c r="R713" t="str">
        <f>IFERROR(IF(AND('Дивиденды по годам'!N713&lt;&gt;"",'Дивиденды по годам'!U713&lt;&gt;"",'Дивиденды по годам'!U713&lt;&gt;0),'Дивиденды по годам'!N713/'Дивиденды по годам'!U713-1,""),"")</f>
        <v/>
      </c>
      <c r="S713" t="str">
        <f>IFERROR(IF(AND('Дивиденды по годам'!L713&lt;&gt;"",'Дивиденды по годам'!I713&lt;&gt;"",'Дивиденды по годам'!J713&lt;&gt;"",'Дивиденды по годам'!K713&lt;&gt;"",('Дивиденды по годам'!I713-'Дивиденды по годам'!J713-'Дивиденды по годам'!K713)&lt;&gt;0),'Дивиденды по годам'!L713/('Дивиденды по годам'!I713-'Дивиденды по годам'!J713-'Дивиденды по годам'!K713),""),"")</f>
        <v/>
      </c>
      <c r="T713" t="str">
        <f>IFERROR(IF(AND('Дивиденды по годам'!Q713&lt;&gt;"",'Дивиденды по годам'!I713&lt;&gt;"",'Дивиденды по годам'!V713&lt;&gt;"",('Дивиденды по годам'!I713+'Дивиденды по годам'!V713)&lt;&gt;0),'Дивиденды по годам'!Q713/(('Дивиденды по годам'!I713+'Дивиденды по годам'!V713)/2),""),"")</f>
        <v/>
      </c>
      <c r="U713" t="str">
        <f>IFERROR(IF(AND('Дивиденды по годам'!J713&lt;&gt;"",'Дивиденды по годам'!K713&lt;&gt;"",'Дивиденды по годам'!M713&lt;&gt;"",'Дивиденды по годам'!M713&lt;&gt;0),('Дивиденды по годам'!J713+'Дивиденды по годам'!K713)/'Дивиденды по годам'!M713,""),"")</f>
        <v/>
      </c>
      <c r="V713" t="str">
        <f>IFERROR(IF(AND('Дивиденды по годам'!J713&lt;&gt;"",'Дивиденды по годам'!K713&lt;&gt;"",'Дивиденды по годам'!M713&lt;&gt;"",'Дивиденды по годам'!I713&lt;&gt;0),('Дивиденды по годам'!J713+'Дивиденды по годам'!K713)/'Дивиденды по годам'!I713,""),"")</f>
        <v/>
      </c>
      <c r="W713" t="str">
        <f>IFERROR('Дивиденды по годам'!I713,"")</f>
        <v/>
      </c>
      <c r="X713" cm="1">
        <f t="array" ref="X713">IFERROR(AVERAGE(_xlfn._xlws.FILTER(P$2:P$1073,($C$2:$C$1073=$C713)*($E$2:$E$1073=$E713)*(ROW(P$2:P$1073)&lt;&gt;ROW(P713))*(P$2:P$1073&lt;&gt;""))),"")</f>
        <v>24.908270704496481</v>
      </c>
      <c r="Y713" cm="1">
        <f t="array" ref="Y713">IFERROR(AVERAGE(_xlfn._xlws.FILTER(Q$2:Q$1073,($C$2:$C$1073=$C713)*($E$2:$E$1073=$E713)*(ROW(Q$2:Q$1073)&lt;&gt;ROW(Q713))*(Q$2:Q$1073&lt;&gt;""))),"")</f>
        <v>0.31629947227527405</v>
      </c>
      <c r="Z713" cm="1">
        <f t="array" ref="Z713">IFERROR(AVERAGE(_xlfn._xlws.FILTER(R$2:R$1073,($C$2:$C$1073=$C713)*($E$2:$E$1073=$E713)*(ROW(R$2:R$1073)&lt;&gt;ROW(R713))*(R$2:R$1073&lt;&gt;""))),"")</f>
        <v>5.6638288450543382E-2</v>
      </c>
      <c r="AA713" cm="1">
        <f t="array" ref="AA713">IFERROR(AVERAGE(_xlfn._xlws.FILTER(S$2:S$1073,($C$2:$C$1073=$C713)*($E$2:$E$1073=$E713)*(ROW(S$2:S$1073)&lt;&gt;ROW(S713))*(S$2:S$1073&lt;&gt;""))),"")</f>
        <v>0.64427650310006845</v>
      </c>
      <c r="AB713" cm="1">
        <f t="array" ref="AB713">IFERROR(AVERAGE(_xlfn._xlws.FILTER(T$2:T$1073,($C$2:$C$1073=$C713)*($E$2:$E$1073=$E713)*(ROW(T$2:T$1073)&lt;&gt;ROW(T713))*(T$2:T$1073&lt;&gt;""))),"")</f>
        <v>7.1418821660913928E-3</v>
      </c>
      <c r="AC713" cm="1">
        <f t="array" ref="AC713">IFERROR(AVERAGE(_xlfn._xlws.FILTER(U$2:U$1073,($C$2:$C$1073=$C713)*($E$2:$E$1073=$E713)*(ROW(U$2:U$1073)&lt;&gt;ROW(U713))*(U$2:U$1073&lt;&gt;""))),"")</f>
        <v>1.0767813683356515</v>
      </c>
      <c r="AD713" cm="1">
        <f t="array" ref="AD713">IFERROR(AVERAGE(_xlfn._xlws.FILTER(V$2:V$1073,($C$2:$C$1073=$C713)*($E$2:$E$1073=$E713)*(ROW(V$2:V$1073)&lt;&gt;ROW(V713))*(V$2:V$1073&lt;&gt;""))),"")</f>
        <v>0.81626365949041058</v>
      </c>
      <c r="AE713">
        <f>IF('Дивиденды по годам'!M713&lt;0,1,0)</f>
        <v>0</v>
      </c>
    </row>
    <row r="714" spans="1:31" x14ac:dyDescent="0.2">
      <c r="A714" s="7" t="s">
        <v>2266</v>
      </c>
      <c r="B714" t="str">
        <f t="shared" si="121"/>
        <v>WUSH IV кв. 2017</v>
      </c>
      <c r="C714">
        <v>2017</v>
      </c>
      <c r="D714">
        <f>SUMIFS(Дивиденды!$C:$C,Дивиденды!$A:$A,A714,Дивиденды!$I:$I,C714)</f>
        <v>0</v>
      </c>
      <c r="E714">
        <v>4</v>
      </c>
      <c r="F714">
        <f t="shared" si="122"/>
        <v>0</v>
      </c>
      <c r="G714">
        <f t="shared" si="123"/>
        <v>18.403571428571428</v>
      </c>
      <c r="H714">
        <f t="shared" si="124"/>
        <v>0</v>
      </c>
      <c r="I714">
        <f t="shared" si="125"/>
        <v>0.14285714285714285</v>
      </c>
      <c r="J714">
        <f t="shared" si="126"/>
        <v>0</v>
      </c>
      <c r="K714">
        <f t="shared" si="131"/>
        <v>-1.7352821773673279E-2</v>
      </c>
      <c r="L714">
        <f t="shared" si="127"/>
        <v>0</v>
      </c>
      <c r="M714">
        <f t="shared" si="128"/>
        <v>0</v>
      </c>
      <c r="N714">
        <f t="shared" si="129"/>
        <v>0</v>
      </c>
      <c r="O714">
        <f t="shared" si="130"/>
        <v>0.14285714285714285</v>
      </c>
      <c r="P714" t="str">
        <f>IFERROR(LN('Дивиденды по годам'!I714),"")</f>
        <v/>
      </c>
      <c r="Q714" t="str">
        <f>IFERROR('Дивиденды по годам'!G714/'Дивиденды по годам'!I714, "")</f>
        <v/>
      </c>
      <c r="R714" t="str">
        <f>IFERROR(IF(AND('Дивиденды по годам'!N714&lt;&gt;"",'Дивиденды по годам'!U714&lt;&gt;"",'Дивиденды по годам'!U714&lt;&gt;0),'Дивиденды по годам'!N714/'Дивиденды по годам'!U714-1,""),"")</f>
        <v/>
      </c>
      <c r="S714" t="str">
        <f>IFERROR(IF(AND('Дивиденды по годам'!L714&lt;&gt;"",'Дивиденды по годам'!I714&lt;&gt;"",'Дивиденды по годам'!J714&lt;&gt;"",'Дивиденды по годам'!K714&lt;&gt;"",('Дивиденды по годам'!I714-'Дивиденды по годам'!J714-'Дивиденды по годам'!K714)&lt;&gt;0),'Дивиденды по годам'!L714/('Дивиденды по годам'!I714-'Дивиденды по годам'!J714-'Дивиденды по годам'!K714),""),"")</f>
        <v/>
      </c>
      <c r="T714" t="str">
        <f>IFERROR(IF(AND('Дивиденды по годам'!Q714&lt;&gt;"",'Дивиденды по годам'!I714&lt;&gt;"",'Дивиденды по годам'!V714&lt;&gt;"",('Дивиденды по годам'!I714+'Дивиденды по годам'!V714)&lt;&gt;0),'Дивиденды по годам'!Q714/(('Дивиденды по годам'!I714+'Дивиденды по годам'!V714)/2),""),"")</f>
        <v/>
      </c>
      <c r="U714" t="str">
        <f>IFERROR(IF(AND('Дивиденды по годам'!J714&lt;&gt;"",'Дивиденды по годам'!K714&lt;&gt;"",'Дивиденды по годам'!M714&lt;&gt;"",'Дивиденды по годам'!M714&lt;&gt;0),('Дивиденды по годам'!J714+'Дивиденды по годам'!K714)/'Дивиденды по годам'!M714,""),"")</f>
        <v/>
      </c>
      <c r="V714" t="str">
        <f>IFERROR(IF(AND('Дивиденды по годам'!J714&lt;&gt;"",'Дивиденды по годам'!K714&lt;&gt;"",'Дивиденды по годам'!M714&lt;&gt;"",'Дивиденды по годам'!I714&lt;&gt;0),('Дивиденды по годам'!J714+'Дивиденды по годам'!K714)/'Дивиденды по годам'!I714,""),"")</f>
        <v/>
      </c>
      <c r="W714" t="str">
        <f>IFERROR('Дивиденды по годам'!I714,"")</f>
        <v/>
      </c>
      <c r="X714" cm="1">
        <f t="array" ref="X714">IFERROR(AVERAGE(_xlfn._xlws.FILTER(P$2:P$1073,($C$2:$C$1073=$C714)*($E$2:$E$1073=$E714)*(ROW(P$2:P$1073)&lt;&gt;ROW(P714))*(P$2:P$1073&lt;&gt;""))),"")</f>
        <v>24.73571056544559</v>
      </c>
      <c r="Y714" cm="1">
        <f t="array" ref="Y714">IFERROR(AVERAGE(_xlfn._xlws.FILTER(Q$2:Q$1073,($C$2:$C$1073=$C714)*($E$2:$E$1073=$E714)*(ROW(Q$2:Q$1073)&lt;&gt;ROW(Q714))*(Q$2:Q$1073&lt;&gt;""))),"")</f>
        <v>0.33981210980429821</v>
      </c>
      <c r="Z714" cm="1">
        <f t="array" ref="Z714">IFERROR(AVERAGE(_xlfn._xlws.FILTER(R$2:R$1073,($C$2:$C$1073=$C714)*($E$2:$E$1073=$E714)*(ROW(R$2:R$1073)&lt;&gt;ROW(R714))*(R$2:R$1073&lt;&gt;""))),"")</f>
        <v>0.23691718521625563</v>
      </c>
      <c r="AA714" cm="1">
        <f t="array" ref="AA714">IFERROR(AVERAGE(_xlfn._xlws.FILTER(S$2:S$1073,($C$2:$C$1073=$C714)*($E$2:$E$1073=$E714)*(ROW(S$2:S$1073)&lt;&gt;ROW(S714))*(S$2:S$1073&lt;&gt;""))),"")</f>
        <v>0.61774629406594017</v>
      </c>
      <c r="AB714" cm="1">
        <f t="array" ref="AB714">IFERROR(AVERAGE(_xlfn._xlws.FILTER(T$2:T$1073,($C$2:$C$1073=$C714)*($E$2:$E$1073=$E714)*(ROW(T$2:T$1073)&lt;&gt;ROW(T714))*(T$2:T$1073&lt;&gt;""))),"")</f>
        <v>-2.7044382152168867E-2</v>
      </c>
      <c r="AC714" cm="1">
        <f t="array" ref="AC714">IFERROR(AVERAGE(_xlfn._xlws.FILTER(U$2:U$1073,($C$2:$C$1073=$C714)*($E$2:$E$1073=$E714)*(ROW(U$2:U$1073)&lt;&gt;ROW(U714))*(U$2:U$1073&lt;&gt;""))),"")</f>
        <v>0.62620703107195774</v>
      </c>
      <c r="AD714" cm="1">
        <f t="array" ref="AD714">IFERROR(AVERAGE(_xlfn._xlws.FILTER(V$2:V$1073,($C$2:$C$1073=$C714)*($E$2:$E$1073=$E714)*(ROW(V$2:V$1073)&lt;&gt;ROW(V714))*(V$2:V$1073&lt;&gt;""))),"")</f>
        <v>0.66654193671015471</v>
      </c>
      <c r="AE714">
        <f>IF('Дивиденды по годам'!M714&lt;0,1,0)</f>
        <v>0</v>
      </c>
    </row>
    <row r="715" spans="1:31" x14ac:dyDescent="0.2">
      <c r="A715" s="7" t="s">
        <v>2266</v>
      </c>
      <c r="B715" t="str">
        <f t="shared" si="121"/>
        <v>WUSH IV кв. 2016</v>
      </c>
      <c r="C715">
        <v>2016</v>
      </c>
      <c r="D715">
        <f>SUMIFS(Дивиденды!$C:$C,Дивиденды!$A:$A,A715,Дивиденды!$I:$I,C715)</f>
        <v>0</v>
      </c>
      <c r="E715">
        <v>4</v>
      </c>
      <c r="F715">
        <f t="shared" si="122"/>
        <v>0</v>
      </c>
      <c r="G715">
        <f t="shared" si="123"/>
        <v>20.421428571428571</v>
      </c>
      <c r="H715">
        <f t="shared" si="124"/>
        <v>0</v>
      </c>
      <c r="I715">
        <f t="shared" si="125"/>
        <v>0.14285714285714285</v>
      </c>
      <c r="J715">
        <f t="shared" si="126"/>
        <v>0</v>
      </c>
      <c r="K715">
        <f t="shared" si="131"/>
        <v>2.0593461763560781E-2</v>
      </c>
      <c r="L715">
        <f t="shared" si="127"/>
        <v>0</v>
      </c>
      <c r="M715">
        <f t="shared" si="128"/>
        <v>7.1428571428571425E-2</v>
      </c>
      <c r="N715">
        <f t="shared" si="129"/>
        <v>0</v>
      </c>
      <c r="O715">
        <f t="shared" si="130"/>
        <v>7.1428571428571425E-2</v>
      </c>
      <c r="P715" t="str">
        <f>IFERROR(LN('Дивиденды по годам'!I715),"")</f>
        <v/>
      </c>
      <c r="Q715" t="str">
        <f>IFERROR('Дивиденды по годам'!G715/'Дивиденды по годам'!I715, "")</f>
        <v/>
      </c>
      <c r="R715" t="str">
        <f>IFERROR(IF(AND('Дивиденды по годам'!N715&lt;&gt;"",'Дивиденды по годам'!U715&lt;&gt;"",'Дивиденды по годам'!U715&lt;&gt;0),'Дивиденды по годам'!N715/'Дивиденды по годам'!U715-1,""),"")</f>
        <v/>
      </c>
      <c r="S715" t="str">
        <f>IFERROR(IF(AND('Дивиденды по годам'!L715&lt;&gt;"",'Дивиденды по годам'!I715&lt;&gt;"",'Дивиденды по годам'!J715&lt;&gt;"",'Дивиденды по годам'!K715&lt;&gt;"",('Дивиденды по годам'!I715-'Дивиденды по годам'!J715-'Дивиденды по годам'!K715)&lt;&gt;0),'Дивиденды по годам'!L715/('Дивиденды по годам'!I715-'Дивиденды по годам'!J715-'Дивиденды по годам'!K715),""),"")</f>
        <v/>
      </c>
      <c r="T715" t="str">
        <f>IFERROR(IF(AND('Дивиденды по годам'!Q715&lt;&gt;"",'Дивиденды по годам'!I715&lt;&gt;"",'Дивиденды по годам'!V715&lt;&gt;"",('Дивиденды по годам'!I715+'Дивиденды по годам'!V715)&lt;&gt;0),'Дивиденды по годам'!Q715/(('Дивиденды по годам'!I715+'Дивиденды по годам'!V715)/2),""),"")</f>
        <v/>
      </c>
      <c r="U715" t="str">
        <f>IFERROR(IF(AND('Дивиденды по годам'!J715&lt;&gt;"",'Дивиденды по годам'!K715&lt;&gt;"",'Дивиденды по годам'!M715&lt;&gt;"",'Дивиденды по годам'!M715&lt;&gt;0),('Дивиденды по годам'!J715+'Дивиденды по годам'!K715)/'Дивиденды по годам'!M715,""),"")</f>
        <v/>
      </c>
      <c r="V715" t="str">
        <f>IFERROR(IF(AND('Дивиденды по годам'!J715&lt;&gt;"",'Дивиденды по годам'!K715&lt;&gt;"",'Дивиденды по годам'!M715&lt;&gt;"",'Дивиденды по годам'!I715&lt;&gt;0),('Дивиденды по годам'!J715+'Дивиденды по годам'!K715)/'Дивиденды по годам'!I715,""),"")</f>
        <v/>
      </c>
      <c r="W715" t="str">
        <f>IFERROR('Дивиденды по годам'!I715,"")</f>
        <v/>
      </c>
      <c r="X715" cm="1">
        <f t="array" ref="X715">IFERROR(AVERAGE(_xlfn._xlws.FILTER(P$2:P$1073,($C$2:$C$1073=$C715)*($E$2:$E$1073=$E715)*(ROW(P$2:P$1073)&lt;&gt;ROW(P715))*(P$2:P$1073&lt;&gt;""))),"")</f>
        <v>24.55530958635584</v>
      </c>
      <c r="Y715" cm="1">
        <f t="array" ref="Y715">IFERROR(AVERAGE(_xlfn._xlws.FILTER(Q$2:Q$1073,($C$2:$C$1073=$C715)*($E$2:$E$1073=$E715)*(ROW(Q$2:Q$1073)&lt;&gt;ROW(Q715))*(Q$2:Q$1073&lt;&gt;""))),"")</f>
        <v>0.27878606899788128</v>
      </c>
      <c r="Z715" cm="1">
        <f t="array" ref="Z715">IFERROR(AVERAGE(_xlfn._xlws.FILTER(R$2:R$1073,($C$2:$C$1073=$C715)*($E$2:$E$1073=$E715)*(ROW(R$2:R$1073)&lt;&gt;ROW(R715))*(R$2:R$1073&lt;&gt;""))),"")</f>
        <v>0.16612325919082049</v>
      </c>
      <c r="AA715" cm="1">
        <f t="array" ref="AA715">IFERROR(AVERAGE(_xlfn._xlws.FILTER(S$2:S$1073,($C$2:$C$1073=$C715)*($E$2:$E$1073=$E715)*(ROW(S$2:S$1073)&lt;&gt;ROW(S715))*(S$2:S$1073&lt;&gt;""))),"")</f>
        <v>6.2178681719613929</v>
      </c>
      <c r="AB715" cm="1">
        <f t="array" ref="AB715">IFERROR(AVERAGE(_xlfn._xlws.FILTER(T$2:T$1073,($C$2:$C$1073=$C715)*($E$2:$E$1073=$E715)*(ROW(T$2:T$1073)&lt;&gt;ROW(T715))*(T$2:T$1073&lt;&gt;""))),"")</f>
        <v>-2.007011623977166E-2</v>
      </c>
      <c r="AC715" cm="1">
        <f t="array" ref="AC715">IFERROR(AVERAGE(_xlfn._xlws.FILTER(U$2:U$1073,($C$2:$C$1073=$C715)*($E$2:$E$1073=$E715)*(ROW(U$2:U$1073)&lt;&gt;ROW(U715))*(U$2:U$1073&lt;&gt;""))),"")</f>
        <v>-16.044507701133888</v>
      </c>
      <c r="AD715" cm="1">
        <f t="array" ref="AD715">IFERROR(AVERAGE(_xlfn._xlws.FILTER(V$2:V$1073,($C$2:$C$1073=$C715)*($E$2:$E$1073=$E715)*(ROW(V$2:V$1073)&lt;&gt;ROW(V715))*(V$2:V$1073&lt;&gt;""))),"")</f>
        <v>0.64687882816141706</v>
      </c>
      <c r="AE715">
        <f>IF('Дивиденды по годам'!M715&lt;0,1,0)</f>
        <v>0</v>
      </c>
    </row>
    <row r="716" spans="1:31" x14ac:dyDescent="0.2">
      <c r="A716" s="7" t="s">
        <v>2266</v>
      </c>
      <c r="B716" t="str">
        <f t="shared" si="121"/>
        <v>WUSH IV кв. 2015</v>
      </c>
      <c r="C716">
        <v>2015</v>
      </c>
      <c r="D716">
        <f>SUMIFS(Дивиденды!$C:$C,Дивиденды!$A:$A,A716,Дивиденды!$I:$I,C716)</f>
        <v>0</v>
      </c>
      <c r="E716">
        <v>4</v>
      </c>
      <c r="F716">
        <f t="shared" si="122"/>
        <v>0</v>
      </c>
      <c r="G716">
        <f t="shared" si="123"/>
        <v>22.574999999999999</v>
      </c>
      <c r="H716">
        <f t="shared" si="124"/>
        <v>0</v>
      </c>
      <c r="I716">
        <f t="shared" si="125"/>
        <v>0.14285714285714285</v>
      </c>
      <c r="J716">
        <f t="shared" si="126"/>
        <v>0</v>
      </c>
      <c r="K716">
        <f t="shared" si="131"/>
        <v>6.1102189263868886E-2</v>
      </c>
      <c r="L716">
        <f t="shared" si="127"/>
        <v>0</v>
      </c>
      <c r="M716">
        <f t="shared" si="128"/>
        <v>7.1428571428571425E-2</v>
      </c>
      <c r="N716">
        <f t="shared" si="129"/>
        <v>0</v>
      </c>
      <c r="O716">
        <f t="shared" si="130"/>
        <v>7.1428571428571425E-2</v>
      </c>
      <c r="P716" t="str">
        <f>IFERROR(LN('Дивиденды по годам'!I716),"")</f>
        <v/>
      </c>
      <c r="Q716" t="str">
        <f>IFERROR('Дивиденды по годам'!G716/'Дивиденды по годам'!I716, "")</f>
        <v/>
      </c>
      <c r="R716" t="str">
        <f>IFERROR(IF(AND('Дивиденды по годам'!N716&lt;&gt;"",'Дивиденды по годам'!U716&lt;&gt;"",'Дивиденды по годам'!U716&lt;&gt;0),'Дивиденды по годам'!N716/'Дивиденды по годам'!U716-1,""),"")</f>
        <v/>
      </c>
      <c r="S716" t="str">
        <f>IFERROR(IF(AND('Дивиденды по годам'!L716&lt;&gt;"",'Дивиденды по годам'!I716&lt;&gt;"",'Дивиденды по годам'!J716&lt;&gt;"",'Дивиденды по годам'!K716&lt;&gt;"",('Дивиденды по годам'!I716-'Дивиденды по годам'!J716-'Дивиденды по годам'!K716)&lt;&gt;0),'Дивиденды по годам'!L716/('Дивиденды по годам'!I716-'Дивиденды по годам'!J716-'Дивиденды по годам'!K716),""),"")</f>
        <v/>
      </c>
      <c r="T716" t="str">
        <f>IFERROR(IF(AND('Дивиденды по годам'!Q716&lt;&gt;"",'Дивиденды по годам'!I716&lt;&gt;"",'Дивиденды по годам'!V716&lt;&gt;"",('Дивиденды по годам'!I716+'Дивиденды по годам'!V716)&lt;&gt;0),'Дивиденды по годам'!Q716/(('Дивиденды по годам'!I716+'Дивиденды по годам'!V716)/2),""),"")</f>
        <v/>
      </c>
      <c r="U716" t="str">
        <f>IFERROR(IF(AND('Дивиденды по годам'!J716&lt;&gt;"",'Дивиденды по годам'!K716&lt;&gt;"",'Дивиденды по годам'!M716&lt;&gt;"",'Дивиденды по годам'!M716&lt;&gt;0),('Дивиденды по годам'!J716+'Дивиденды по годам'!K716)/'Дивиденды по годам'!M716,""),"")</f>
        <v/>
      </c>
      <c r="V716" t="str">
        <f>IFERROR(IF(AND('Дивиденды по годам'!J716&lt;&gt;"",'Дивиденды по годам'!K716&lt;&gt;"",'Дивиденды по годам'!M716&lt;&gt;"",'Дивиденды по годам'!I716&lt;&gt;0),('Дивиденды по годам'!J716+'Дивиденды по годам'!K716)/'Дивиденды по годам'!I716,""),"")</f>
        <v/>
      </c>
      <c r="W716" t="str">
        <f>IFERROR('Дивиденды по годам'!I716,"")</f>
        <v/>
      </c>
      <c r="X716" cm="1">
        <f t="array" ref="X716">IFERROR(AVERAGE(_xlfn._xlws.FILTER(P$2:P$1073,($C$2:$C$1073=$C716)*($E$2:$E$1073=$E716)*(ROW(P$2:P$1073)&lt;&gt;ROW(P716))*(P$2:P$1073&lt;&gt;""))),"")</f>
        <v>24.784857390248948</v>
      </c>
      <c r="Y716" cm="1">
        <f t="array" ref="Y716">IFERROR(AVERAGE(_xlfn._xlws.FILTER(Q$2:Q$1073,($C$2:$C$1073=$C716)*($E$2:$E$1073=$E716)*(ROW(Q$2:Q$1073)&lt;&gt;ROW(Q716))*(Q$2:Q$1073&lt;&gt;""))),"")</f>
        <v>0.29707306985497267</v>
      </c>
      <c r="Z716" cm="1">
        <f t="array" ref="Z716">IFERROR(AVERAGE(_xlfn._xlws.FILTER(R$2:R$1073,($C$2:$C$1073=$C716)*($E$2:$E$1073=$E716)*(ROW(R$2:R$1073)&lt;&gt;ROW(R716))*(R$2:R$1073&lt;&gt;""))),"")</f>
        <v>0.20074687596566593</v>
      </c>
      <c r="AA716" cm="1">
        <f t="array" ref="AA716">IFERROR(AVERAGE(_xlfn._xlws.FILTER(S$2:S$1073,($C$2:$C$1073=$C716)*($E$2:$E$1073=$E716)*(ROW(S$2:S$1073)&lt;&gt;ROW(S716))*(S$2:S$1073&lt;&gt;""))),"")</f>
        <v>-0.60736862679830428</v>
      </c>
      <c r="AB716" cm="1">
        <f t="array" ref="AB716">IFERROR(AVERAGE(_xlfn._xlws.FILTER(T$2:T$1073,($C$2:$C$1073=$C716)*($E$2:$E$1073=$E716)*(ROW(T$2:T$1073)&lt;&gt;ROW(T716))*(T$2:T$1073&lt;&gt;""))),"")</f>
        <v>6.4031956193225284E-2</v>
      </c>
      <c r="AC716" cm="1">
        <f t="array" ref="AC716">IFERROR(AVERAGE(_xlfn._xlws.FILTER(U$2:U$1073,($C$2:$C$1073=$C716)*($E$2:$E$1073=$E716)*(ROW(U$2:U$1073)&lt;&gt;ROW(U716))*(U$2:U$1073&lt;&gt;""))),"")</f>
        <v>5.5189604575277329</v>
      </c>
      <c r="AD716" cm="1">
        <f t="array" ref="AD716">IFERROR(AVERAGE(_xlfn._xlws.FILTER(V$2:V$1073,($C$2:$C$1073=$C716)*($E$2:$E$1073=$E716)*(ROW(V$2:V$1073)&lt;&gt;ROW(V716))*(V$2:V$1073&lt;&gt;""))),"")</f>
        <v>0.63096522939864874</v>
      </c>
      <c r="AE716">
        <f>IF('Дивиденды по годам'!M716&lt;0,1,0)</f>
        <v>0</v>
      </c>
    </row>
    <row r="717" spans="1:31" x14ac:dyDescent="0.2">
      <c r="A717" s="7" t="s">
        <v>2266</v>
      </c>
      <c r="B717" t="str">
        <f t="shared" si="121"/>
        <v>WUSH IV кв. 2014</v>
      </c>
      <c r="C717">
        <v>2014</v>
      </c>
      <c r="D717">
        <f>SUMIFS(Дивиденды!$C:$C,Дивиденды!$A:$A,A717,Дивиденды!$I:$I,C717)</f>
        <v>0</v>
      </c>
      <c r="E717">
        <v>4</v>
      </c>
      <c r="F717">
        <f t="shared" si="122"/>
        <v>0</v>
      </c>
      <c r="G717">
        <f t="shared" si="123"/>
        <v>25.924285714285713</v>
      </c>
      <c r="H717">
        <f t="shared" si="124"/>
        <v>0</v>
      </c>
      <c r="I717">
        <f t="shared" si="125"/>
        <v>7.1428571428571425E-2</v>
      </c>
      <c r="J717">
        <f t="shared" si="126"/>
        <v>0</v>
      </c>
      <c r="K717">
        <f t="shared" si="131"/>
        <v>4.887635107293415E-2</v>
      </c>
      <c r="L717">
        <f t="shared" si="127"/>
        <v>0</v>
      </c>
      <c r="M717">
        <f t="shared" si="128"/>
        <v>7.1428571428571425E-2</v>
      </c>
      <c r="N717">
        <f t="shared" si="129"/>
        <v>0</v>
      </c>
      <c r="O717">
        <f t="shared" si="130"/>
        <v>7.1428571428571425E-2</v>
      </c>
      <c r="P717" t="str">
        <f>IFERROR(LN('Дивиденды по годам'!I717),"")</f>
        <v/>
      </c>
      <c r="Q717" t="str">
        <f>IFERROR('Дивиденды по годам'!G717/'Дивиденды по годам'!I717, "")</f>
        <v/>
      </c>
      <c r="R717" t="str">
        <f>IFERROR(IF(AND('Дивиденды по годам'!N717&lt;&gt;"",'Дивиденды по годам'!U717&lt;&gt;"",'Дивиденды по годам'!U717&lt;&gt;0),'Дивиденды по годам'!N717/'Дивиденды по годам'!U717-1,""),"")</f>
        <v/>
      </c>
      <c r="S717" t="str">
        <f>IFERROR(IF(AND('Дивиденды по годам'!L717&lt;&gt;"",'Дивиденды по годам'!I717&lt;&gt;"",'Дивиденды по годам'!J717&lt;&gt;"",'Дивиденды по годам'!K717&lt;&gt;"",('Дивиденды по годам'!I717-'Дивиденды по годам'!J717-'Дивиденды по годам'!K717)&lt;&gt;0),'Дивиденды по годам'!L717/('Дивиденды по годам'!I717-'Дивиденды по годам'!J717-'Дивиденды по годам'!K717),""),"")</f>
        <v/>
      </c>
      <c r="T717" t="str">
        <f>IFERROR(IF(AND('Дивиденды по годам'!Q717&lt;&gt;"",'Дивиденды по годам'!I717&lt;&gt;"",'Дивиденды по годам'!V717&lt;&gt;"",('Дивиденды по годам'!I717+'Дивиденды по годам'!V717)&lt;&gt;0),'Дивиденды по годам'!Q717/(('Дивиденды по годам'!I717+'Дивиденды по годам'!V717)/2),""),"")</f>
        <v/>
      </c>
      <c r="U717" t="str">
        <f>IFERROR(IF(AND('Дивиденды по годам'!J717&lt;&gt;"",'Дивиденды по годам'!K717&lt;&gt;"",'Дивиденды по годам'!M717&lt;&gt;"",'Дивиденды по годам'!M717&lt;&gt;0),('Дивиденды по годам'!J717+'Дивиденды по годам'!K717)/'Дивиденды по годам'!M717,""),"")</f>
        <v/>
      </c>
      <c r="V717" t="str">
        <f>IFERROR(IF(AND('Дивиденды по годам'!J717&lt;&gt;"",'Дивиденды по годам'!K717&lt;&gt;"",'Дивиденды по годам'!M717&lt;&gt;"",'Дивиденды по годам'!I717&lt;&gt;0),('Дивиденды по годам'!J717+'Дивиденды по годам'!K717)/'Дивиденды по годам'!I717,""),"")</f>
        <v/>
      </c>
      <c r="W717" t="str">
        <f>IFERROR('Дивиденды по годам'!I717,"")</f>
        <v/>
      </c>
      <c r="X717" cm="1">
        <f t="array" ref="X717">IFERROR(AVERAGE(_xlfn._xlws.FILTER(P$2:P$1073,($C$2:$C$1073=$C717)*($E$2:$E$1073=$E717)*(ROW(P$2:P$1073)&lt;&gt;ROW(P717))*(P$2:P$1073&lt;&gt;""))),"")</f>
        <v>24.777851287837404</v>
      </c>
      <c r="Y717" cm="1">
        <f t="array" ref="Y717">IFERROR(AVERAGE(_xlfn._xlws.FILTER(Q$2:Q$1073,($C$2:$C$1073=$C717)*($E$2:$E$1073=$E717)*(ROW(Q$2:Q$1073)&lt;&gt;ROW(Q717))*(Q$2:Q$1073&lt;&gt;""))),"")</f>
        <v>0.28994951624266957</v>
      </c>
      <c r="Z717" cm="1">
        <f t="array" ref="Z717">IFERROR(AVERAGE(_xlfn._xlws.FILTER(R$2:R$1073,($C$2:$C$1073=$C717)*($E$2:$E$1073=$E717)*(ROW(R$2:R$1073)&lt;&gt;ROW(R717))*(R$2:R$1073&lt;&gt;""))),"")</f>
        <v>8.5517195784799244E-2</v>
      </c>
      <c r="AA717" cm="1">
        <f t="array" ref="AA717">IFERROR(AVERAGE(_xlfn._xlws.FILTER(S$2:S$1073,($C$2:$C$1073=$C717)*($E$2:$E$1073=$E717)*(ROW(S$2:S$1073)&lt;&gt;ROW(S717))*(S$2:S$1073&lt;&gt;""))),"")</f>
        <v>-8.9932559622525012</v>
      </c>
      <c r="AB717" cm="1">
        <f t="array" ref="AB717">IFERROR(AVERAGE(_xlfn._xlws.FILTER(T$2:T$1073,($C$2:$C$1073=$C717)*($E$2:$E$1073=$E717)*(ROW(T$2:T$1073)&lt;&gt;ROW(T717))*(T$2:T$1073&lt;&gt;""))),"")</f>
        <v>3.4958573241250623E-2</v>
      </c>
      <c r="AC717" cm="1">
        <f t="array" ref="AC717">IFERROR(AVERAGE(_xlfn._xlws.FILTER(U$2:U$1073,($C$2:$C$1073=$C717)*($E$2:$E$1073=$E717)*(ROW(U$2:U$1073)&lt;&gt;ROW(U717))*(U$2:U$1073&lt;&gt;""))),"")</f>
        <v>34.444280572958768</v>
      </c>
      <c r="AD717" cm="1">
        <f t="array" ref="AD717">IFERROR(AVERAGE(_xlfn._xlws.FILTER(V$2:V$1073,($C$2:$C$1073=$C717)*($E$2:$E$1073=$E717)*(ROW(V$2:V$1073)&lt;&gt;ROW(V717))*(V$2:V$1073&lt;&gt;""))),"")</f>
        <v>0.67440993714043496</v>
      </c>
      <c r="AE717">
        <f>IF('Дивиденды по годам'!M717&lt;0,1,0)</f>
        <v>0</v>
      </c>
    </row>
    <row r="718" spans="1:31" x14ac:dyDescent="0.2">
      <c r="A718" s="7" t="s">
        <v>2266</v>
      </c>
      <c r="B718" t="str">
        <f t="shared" si="121"/>
        <v>WUSH IV кв. 2013</v>
      </c>
      <c r="C718">
        <v>2013</v>
      </c>
      <c r="D718">
        <f>SUMIFS(Дивиденды!$C:$C,Дивиденды!$A:$A,A718,Дивиденды!$I:$I,C718)</f>
        <v>0</v>
      </c>
      <c r="E718">
        <v>4</v>
      </c>
      <c r="F718">
        <f t="shared" si="122"/>
        <v>0</v>
      </c>
      <c r="G718">
        <f t="shared" si="123"/>
        <v>13.409285714285716</v>
      </c>
      <c r="H718">
        <f t="shared" si="124"/>
        <v>0</v>
      </c>
      <c r="I718">
        <f t="shared" si="125"/>
        <v>0.14285714285714285</v>
      </c>
      <c r="J718">
        <f t="shared" si="126"/>
        <v>0</v>
      </c>
      <c r="K718">
        <f t="shared" si="131"/>
        <v>4.7291245939064024E-2</v>
      </c>
      <c r="L718">
        <f t="shared" si="127"/>
        <v>0</v>
      </c>
      <c r="M718">
        <f t="shared" si="128"/>
        <v>7.1428571428571425E-2</v>
      </c>
      <c r="N718">
        <f t="shared" si="129"/>
        <v>0</v>
      </c>
      <c r="O718">
        <f t="shared" si="130"/>
        <v>0</v>
      </c>
      <c r="P718" t="str">
        <f>IFERROR(LN('Дивиденды по годам'!I718),"")</f>
        <v/>
      </c>
      <c r="Q718" t="str">
        <f>IFERROR('Дивиденды по годам'!G718/'Дивиденды по годам'!I718, "")</f>
        <v/>
      </c>
      <c r="R718" t="str">
        <f>IFERROR(IF(AND('Дивиденды по годам'!N718&lt;&gt;"",'Дивиденды по годам'!U718&lt;&gt;"",'Дивиденды по годам'!U718&lt;&gt;0),'Дивиденды по годам'!N718/'Дивиденды по годам'!U718-1,""),"")</f>
        <v/>
      </c>
      <c r="S718" t="str">
        <f>IFERROR(IF(AND('Дивиденды по годам'!L718&lt;&gt;"",'Дивиденды по годам'!I718&lt;&gt;"",'Дивиденды по годам'!J718&lt;&gt;"",'Дивиденды по годам'!K718&lt;&gt;"",('Дивиденды по годам'!I718-'Дивиденды по годам'!J718-'Дивиденды по годам'!K718)&lt;&gt;0),'Дивиденды по годам'!L718/('Дивиденды по годам'!I718-'Дивиденды по годам'!J718-'Дивиденды по годам'!K718),""),"")</f>
        <v/>
      </c>
      <c r="T718" t="str">
        <f>IFERROR(IF(AND('Дивиденды по годам'!Q718&lt;&gt;"",'Дивиденды по годам'!I718&lt;&gt;"",'Дивиденды по годам'!V718&lt;&gt;"",('Дивиденды по годам'!I718+'Дивиденды по годам'!V718)&lt;&gt;0),'Дивиденды по годам'!Q718/(('Дивиденды по годам'!I718+'Дивиденды по годам'!V718)/2),""),"")</f>
        <v/>
      </c>
      <c r="U718" t="str">
        <f>IFERROR(IF(AND('Дивиденды по годам'!J718&lt;&gt;"",'Дивиденды по годам'!K718&lt;&gt;"",'Дивиденды по годам'!M718&lt;&gt;"",'Дивиденды по годам'!M718&lt;&gt;0),('Дивиденды по годам'!J718+'Дивиденды по годам'!K718)/'Дивиденды по годам'!M718,""),"")</f>
        <v/>
      </c>
      <c r="V718" t="str">
        <f>IFERROR(IF(AND('Дивиденды по годам'!J718&lt;&gt;"",'Дивиденды по годам'!K718&lt;&gt;"",'Дивиденды по годам'!M718&lt;&gt;"",'Дивиденды по годам'!I718&lt;&gt;0),('Дивиденды по годам'!J718+'Дивиденды по годам'!K718)/'Дивиденды по годам'!I718,""),"")</f>
        <v/>
      </c>
      <c r="W718" t="str">
        <f>IFERROR('Дивиденды по годам'!I718,"")</f>
        <v/>
      </c>
      <c r="X718" cm="1">
        <f t="array" ref="X718">IFERROR(AVERAGE(_xlfn._xlws.FILTER(P$2:P$1073,($C$2:$C$1073=$C718)*($E$2:$E$1073=$E718)*(ROW(P$2:P$1073)&lt;&gt;ROW(P718))*(P$2:P$1073&lt;&gt;""))),"")</f>
        <v>24.281308125321722</v>
      </c>
      <c r="Y718" cm="1">
        <f t="array" ref="Y718">IFERROR(AVERAGE(_xlfn._xlws.FILTER(Q$2:Q$1073,($C$2:$C$1073=$C718)*($E$2:$E$1073=$E718)*(ROW(Q$2:Q$1073)&lt;&gt;ROW(Q718))*(Q$2:Q$1073&lt;&gt;""))),"")</f>
        <v>0.34809372453666254</v>
      </c>
      <c r="Z718" cm="1">
        <f t="array" ref="Z718">IFERROR(AVERAGE(_xlfn._xlws.FILTER(R$2:R$1073,($C$2:$C$1073=$C718)*($E$2:$E$1073=$E718)*(ROW(R$2:R$1073)&lt;&gt;ROW(R718))*(R$2:R$1073&lt;&gt;""))),"")</f>
        <v>0.17531341667142472</v>
      </c>
      <c r="AA718" t="str" cm="1">
        <f t="array" ref="AA718">IFERROR(AVERAGE(_xlfn._xlws.FILTER(S$2:S$1073,($C$2:$C$1073=$C718)*($E$2:$E$1073=$E718)*(ROW(S$2:S$1073)&lt;&gt;ROW(S718))*(S$2:S$1073&lt;&gt;""))),"")</f>
        <v/>
      </c>
      <c r="AB718" cm="1">
        <f t="array" ref="AB718">IFERROR(AVERAGE(_xlfn._xlws.FILTER(T$2:T$1073,($C$2:$C$1073=$C718)*($E$2:$E$1073=$E718)*(ROW(T$2:T$1073)&lt;&gt;ROW(T718))*(T$2:T$1073&lt;&gt;""))),"")</f>
        <v>-0.12490141563278262</v>
      </c>
      <c r="AC718" cm="1">
        <f t="array" ref="AC718">IFERROR(AVERAGE(_xlfn._xlws.FILTER(U$2:U$1073,($C$2:$C$1073=$C718)*($E$2:$E$1073=$E718)*(ROW(U$2:U$1073)&lt;&gt;ROW(U718))*(U$2:U$1073&lt;&gt;""))),"")</f>
        <v>0.44566877182826042</v>
      </c>
      <c r="AD718" cm="1">
        <f t="array" ref="AD718">IFERROR(AVERAGE(_xlfn._xlws.FILTER(V$2:V$1073,($C$2:$C$1073=$C718)*($E$2:$E$1073=$E718)*(ROW(V$2:V$1073)&lt;&gt;ROW(V718))*(V$2:V$1073&lt;&gt;""))),"")</f>
        <v>1.3322699308491581</v>
      </c>
      <c r="AE718">
        <f>IF('Дивиденды по годам'!M718&lt;0,1,0)</f>
        <v>0</v>
      </c>
    </row>
    <row r="719" spans="1:31" x14ac:dyDescent="0.2">
      <c r="A719" s="7" t="s">
        <v>2266</v>
      </c>
      <c r="B719" t="str">
        <f t="shared" si="121"/>
        <v>WUSH IV кв. 2012</v>
      </c>
      <c r="C719">
        <v>2012</v>
      </c>
      <c r="D719">
        <f>SUMIFS(Дивиденды!$C:$C,Дивиденды!$A:$A,A719,Дивиденды!$I:$I,C719)</f>
        <v>0</v>
      </c>
      <c r="E719">
        <v>4</v>
      </c>
      <c r="F719">
        <f t="shared" si="122"/>
        <v>0</v>
      </c>
      <c r="G719">
        <f t="shared" si="123"/>
        <v>9.5621428571428577</v>
      </c>
      <c r="H719">
        <f t="shared" si="124"/>
        <v>0</v>
      </c>
      <c r="I719">
        <f t="shared" si="125"/>
        <v>0.14285714285714285</v>
      </c>
      <c r="J719">
        <f t="shared" si="126"/>
        <v>0</v>
      </c>
      <c r="K719">
        <f t="shared" si="131"/>
        <v>0.25341100242975517</v>
      </c>
      <c r="L719">
        <f t="shared" si="127"/>
        <v>0</v>
      </c>
      <c r="M719">
        <f t="shared" si="128"/>
        <v>0.14285714285714285</v>
      </c>
      <c r="N719">
        <f t="shared" si="129"/>
        <v>0</v>
      </c>
      <c r="O719">
        <f t="shared" si="130"/>
        <v>0</v>
      </c>
      <c r="P719" t="str">
        <f>IFERROR(LN('Дивиденды по годам'!I719),"")</f>
        <v/>
      </c>
      <c r="Q719" t="str">
        <f>IFERROR('Дивиденды по годам'!G719/'Дивиденды по годам'!I719, "")</f>
        <v/>
      </c>
      <c r="R719" t="str">
        <f>IFERROR(IF(AND('Дивиденды по годам'!N719&lt;&gt;"",'Дивиденды по годам'!U719&lt;&gt;"",'Дивиденды по годам'!U719&lt;&gt;0),'Дивиденды по годам'!N719/'Дивиденды по годам'!U719-1,""),"")</f>
        <v/>
      </c>
      <c r="S719" t="str">
        <f>IFERROR(IF(AND('Дивиденды по годам'!L719&lt;&gt;"",'Дивиденды по годам'!I719&lt;&gt;"",'Дивиденды по годам'!J719&lt;&gt;"",'Дивиденды по годам'!K719&lt;&gt;"",('Дивиденды по годам'!I719-'Дивиденды по годам'!J719-'Дивиденды по годам'!K719)&lt;&gt;0),'Дивиденды по годам'!L719/('Дивиденды по годам'!I719-'Дивиденды по годам'!J719-'Дивиденды по годам'!K719),""),"")</f>
        <v/>
      </c>
      <c r="T719" t="str">
        <f>IFERROR(IF(AND('Дивиденды по годам'!Q719&lt;&gt;"",'Дивиденды по годам'!I719&lt;&gt;"",'Дивиденды по годам'!V719&lt;&gt;"",('Дивиденды по годам'!I719+'Дивиденды по годам'!V719)&lt;&gt;0),'Дивиденды по годам'!Q719/(('Дивиденды по годам'!I719+'Дивиденды по годам'!V719)/2),""),"")</f>
        <v/>
      </c>
      <c r="U719" t="str">
        <f>IFERROR(IF(AND('Дивиденды по годам'!J719&lt;&gt;"",'Дивиденды по годам'!K719&lt;&gt;"",'Дивиденды по годам'!M719&lt;&gt;"",'Дивиденды по годам'!M719&lt;&gt;0),('Дивиденды по годам'!J719+'Дивиденды по годам'!K719)/'Дивиденды по годам'!M719,""),"")</f>
        <v/>
      </c>
      <c r="V719" t="str">
        <f>IFERROR(IF(AND('Дивиденды по годам'!J719&lt;&gt;"",'Дивиденды по годам'!K719&lt;&gt;"",'Дивиденды по годам'!M719&lt;&gt;"",'Дивиденды по годам'!I719&lt;&gt;0),('Дивиденды по годам'!J719+'Дивиденды по годам'!K719)/'Дивиденды по годам'!I719,""),"")</f>
        <v/>
      </c>
      <c r="W719" t="str">
        <f>IFERROR('Дивиденды по годам'!I719,"")</f>
        <v/>
      </c>
      <c r="X719" cm="1">
        <f t="array" ref="X719">IFERROR(AVERAGE(_xlfn._xlws.FILTER(P$2:P$1073,($C$2:$C$1073=$C719)*($E$2:$E$1073=$E719)*(ROW(P$2:P$1073)&lt;&gt;ROW(P719))*(P$2:P$1073&lt;&gt;""))),"")</f>
        <v>24.228370506718147</v>
      </c>
      <c r="Y719" cm="1">
        <f t="array" ref="Y719">IFERROR(AVERAGE(_xlfn._xlws.FILTER(Q$2:Q$1073,($C$2:$C$1073=$C719)*($E$2:$E$1073=$E719)*(ROW(Q$2:Q$1073)&lt;&gt;ROW(Q719))*(Q$2:Q$1073&lt;&gt;""))),"")</f>
        <v>0.2820560824162458</v>
      </c>
      <c r="Z719" cm="1">
        <f t="array" ref="Z719">IFERROR(AVERAGE(_xlfn._xlws.FILTER(R$2:R$1073,($C$2:$C$1073=$C719)*($E$2:$E$1073=$E719)*(ROW(R$2:R$1073)&lt;&gt;ROW(R719))*(R$2:R$1073&lt;&gt;""))),"")</f>
        <v>-2.2522357472477484E-2</v>
      </c>
      <c r="AA719" cm="1">
        <f t="array" ref="AA719">IFERROR(AVERAGE(_xlfn._xlws.FILTER(S$2:S$1073,($C$2:$C$1073=$C719)*($E$2:$E$1073=$E719)*(ROW(S$2:S$1073)&lt;&gt;ROW(S719))*(S$2:S$1073&lt;&gt;""))),"")</f>
        <v>-1.7651061513336963</v>
      </c>
      <c r="AB719" cm="1">
        <f t="array" ref="AB719">IFERROR(AVERAGE(_xlfn._xlws.FILTER(T$2:T$1073,($C$2:$C$1073=$C719)*($E$2:$E$1073=$E719)*(ROW(T$2:T$1073)&lt;&gt;ROW(T719))*(T$2:T$1073&lt;&gt;""))),"")</f>
        <v>6.8400459116201365E-2</v>
      </c>
      <c r="AC719" cm="1">
        <f t="array" ref="AC719">IFERROR(AVERAGE(_xlfn._xlws.FILTER(U$2:U$1073,($C$2:$C$1073=$C719)*($E$2:$E$1073=$E719)*(ROW(U$2:U$1073)&lt;&gt;ROW(U719))*(U$2:U$1073&lt;&gt;""))),"")</f>
        <v>-3.9631898894189463</v>
      </c>
      <c r="AD719" cm="1">
        <f t="array" ref="AD719">IFERROR(AVERAGE(_xlfn._xlws.FILTER(V$2:V$1073,($C$2:$C$1073=$C719)*($E$2:$E$1073=$E719)*(ROW(V$2:V$1073)&lt;&gt;ROW(V719))*(V$2:V$1073&lt;&gt;""))),"")</f>
        <v>0.68524798816116717</v>
      </c>
      <c r="AE719">
        <f>IF('Дивиденды по годам'!M719&lt;0,1,0)</f>
        <v>0</v>
      </c>
    </row>
    <row r="720" spans="1:31" x14ac:dyDescent="0.2">
      <c r="A720" s="7" t="s">
        <v>2266</v>
      </c>
      <c r="B720" t="str">
        <f t="shared" si="121"/>
        <v>WUSH IV кв. 2011</v>
      </c>
      <c r="C720">
        <v>2011</v>
      </c>
      <c r="D720">
        <f>SUMIFS(Дивиденды!$C:$C,Дивиденды!$A:$A,A720,Дивиденды!$I:$I,C720)</f>
        <v>0</v>
      </c>
      <c r="E720">
        <v>4</v>
      </c>
      <c r="F720">
        <f t="shared" si="122"/>
        <v>0</v>
      </c>
      <c r="G720">
        <f t="shared" si="123"/>
        <v>1.6378571428571429</v>
      </c>
      <c r="H720">
        <f t="shared" si="124"/>
        <v>0</v>
      </c>
      <c r="I720">
        <f t="shared" si="125"/>
        <v>7.1428571428571425E-2</v>
      </c>
      <c r="J720">
        <f t="shared" si="126"/>
        <v>0</v>
      </c>
      <c r="K720">
        <f t="shared" si="131"/>
        <v>0.17786475320721892</v>
      </c>
      <c r="L720">
        <f t="shared" si="127"/>
        <v>0</v>
      </c>
      <c r="M720">
        <f t="shared" si="128"/>
        <v>7.1428571428571425E-2</v>
      </c>
      <c r="N720">
        <f t="shared" si="129"/>
        <v>0</v>
      </c>
      <c r="O720">
        <f t="shared" si="130"/>
        <v>0</v>
      </c>
      <c r="P720" t="str">
        <f>IFERROR(LN('Дивиденды по годам'!I720),"")</f>
        <v/>
      </c>
      <c r="Q720" t="str">
        <f>IFERROR('Дивиденды по годам'!G720/'Дивиденды по годам'!I720, "")</f>
        <v/>
      </c>
      <c r="R720" t="str">
        <f>IFERROR(IF(AND('Дивиденды по годам'!N720&lt;&gt;"",'Дивиденды по годам'!U720&lt;&gt;"",'Дивиденды по годам'!U720&lt;&gt;0),'Дивиденды по годам'!N720/'Дивиденды по годам'!U720-1,""),"")</f>
        <v/>
      </c>
      <c r="S720" t="str">
        <f>IFERROR(IF(AND('Дивиденды по годам'!L720&lt;&gt;"",'Дивиденды по годам'!I720&lt;&gt;"",'Дивиденды по годам'!J720&lt;&gt;"",'Дивиденды по годам'!K720&lt;&gt;"",('Дивиденды по годам'!I720-'Дивиденды по годам'!J720-'Дивиденды по годам'!K720)&lt;&gt;0),'Дивиденды по годам'!L720/('Дивиденды по годам'!I720-'Дивиденды по годам'!J720-'Дивиденды по годам'!K720),""),"")</f>
        <v/>
      </c>
      <c r="T720" t="str">
        <f>IFERROR(IF(AND('Дивиденды по годам'!Q720&lt;&gt;"",'Дивиденды по годам'!I720&lt;&gt;"",'Дивиденды по годам'!V720&lt;&gt;"",('Дивиденды по годам'!I720+'Дивиденды по годам'!V720)&lt;&gt;0),'Дивиденды по годам'!Q720/(('Дивиденды по годам'!I720+'Дивиденды по годам'!V720)/2),""),"")</f>
        <v/>
      </c>
      <c r="U720" t="str">
        <f>IFERROR(IF(AND('Дивиденды по годам'!J720&lt;&gt;"",'Дивиденды по годам'!K720&lt;&gt;"",'Дивиденды по годам'!M720&lt;&gt;"",'Дивиденды по годам'!M720&lt;&gt;0),('Дивиденды по годам'!J720+'Дивиденды по годам'!K720)/'Дивиденды по годам'!M720,""),"")</f>
        <v/>
      </c>
      <c r="V720" t="str">
        <f>IFERROR(IF(AND('Дивиденды по годам'!J720&lt;&gt;"",'Дивиденды по годам'!K720&lt;&gt;"",'Дивиденды по годам'!M720&lt;&gt;"",'Дивиденды по годам'!I720&lt;&gt;0),('Дивиденды по годам'!J720+'Дивиденды по годам'!K720)/'Дивиденды по годам'!I720,""),"")</f>
        <v/>
      </c>
      <c r="W720" t="str">
        <f>IFERROR('Дивиденды по годам'!I720,"")</f>
        <v/>
      </c>
      <c r="X720" cm="1">
        <f t="array" ref="X720">IFERROR(AVERAGE(_xlfn._xlws.FILTER(P$2:P$1073,($C$2:$C$1073=$C720)*($E$2:$E$1073=$E720)*(ROW(P$2:P$1073)&lt;&gt;ROW(P720))*(P$2:P$1073&lt;&gt;""))),"")</f>
        <v>24.180789108496477</v>
      </c>
      <c r="Y720" cm="1">
        <f t="array" ref="Y720">IFERROR(AVERAGE(_xlfn._xlws.FILTER(Q$2:Q$1073,($C$2:$C$1073=$C720)*($E$2:$E$1073=$E720)*(ROW(Q$2:Q$1073)&lt;&gt;ROW(Q720))*(Q$2:Q$1073&lt;&gt;""))),"")</f>
        <v>0.29604752502083465</v>
      </c>
      <c r="Z720" cm="1">
        <f t="array" ref="Z720">IFERROR(AVERAGE(_xlfn._xlws.FILTER(R$2:R$1073,($C$2:$C$1073=$C720)*($E$2:$E$1073=$E720)*(ROW(R$2:R$1073)&lt;&gt;ROW(R720))*(R$2:R$1073&lt;&gt;""))),"")</f>
        <v>5.9511017560386792E-2</v>
      </c>
      <c r="AA720" t="str" cm="1">
        <f t="array" ref="AA720">IFERROR(AVERAGE(_xlfn._xlws.FILTER(S$2:S$1073,($C$2:$C$1073=$C720)*($E$2:$E$1073=$E720)*(ROW(S$2:S$1073)&lt;&gt;ROW(S720))*(S$2:S$1073&lt;&gt;""))),"")</f>
        <v/>
      </c>
      <c r="AB720" cm="1">
        <f t="array" ref="AB720">IFERROR(AVERAGE(_xlfn._xlws.FILTER(T$2:T$1073,($C$2:$C$1073=$C720)*($E$2:$E$1073=$E720)*(ROW(T$2:T$1073)&lt;&gt;ROW(T720))*(T$2:T$1073&lt;&gt;""))),"")</f>
        <v>-1.4171101286470289E-2</v>
      </c>
      <c r="AC720" cm="1">
        <f t="array" ref="AC720">IFERROR(AVERAGE(_xlfn._xlws.FILTER(U$2:U$1073,($C$2:$C$1073=$C720)*($E$2:$E$1073=$E720)*(ROW(U$2:U$1073)&lt;&gt;ROW(U720))*(U$2:U$1073&lt;&gt;""))),"")</f>
        <v>2.1854574410792247</v>
      </c>
      <c r="AD720" cm="1">
        <f t="array" ref="AD720">IFERROR(AVERAGE(_xlfn._xlws.FILTER(V$2:V$1073,($C$2:$C$1073=$C720)*($E$2:$E$1073=$E720)*(ROW(V$2:V$1073)&lt;&gt;ROW(V720))*(V$2:V$1073&lt;&gt;""))),"")</f>
        <v>0.62219289426739133</v>
      </c>
      <c r="AE720">
        <f>IF('Дивиденды по годам'!M720&lt;0,1,0)</f>
        <v>0</v>
      </c>
    </row>
    <row r="721" spans="1:31" x14ac:dyDescent="0.2">
      <c r="A721" s="7" t="s">
        <v>2266</v>
      </c>
      <c r="B721" t="str">
        <f t="shared" si="121"/>
        <v>WUSH IV кв. 2010</v>
      </c>
      <c r="C721">
        <v>2010</v>
      </c>
      <c r="D721">
        <f>SUMIFS(Дивиденды!$C:$C,Дивиденды!$A:$A,A721,Дивиденды!$I:$I,C721)</f>
        <v>0</v>
      </c>
      <c r="E721">
        <v>4</v>
      </c>
      <c r="F721">
        <f t="shared" si="122"/>
        <v>0</v>
      </c>
      <c r="G721">
        <f t="shared" si="123"/>
        <v>0.46928571428571431</v>
      </c>
      <c r="H721">
        <f t="shared" si="124"/>
        <v>0</v>
      </c>
      <c r="I721">
        <f t="shared" si="125"/>
        <v>7.1428571428571425E-2</v>
      </c>
      <c r="J721" t="str">
        <f t="shared" si="126"/>
        <v/>
      </c>
      <c r="K721" t="str">
        <f t="shared" si="131"/>
        <v/>
      </c>
      <c r="L721" t="str">
        <f t="shared" si="127"/>
        <v/>
      </c>
      <c r="M721" t="str">
        <f t="shared" si="128"/>
        <v/>
      </c>
      <c r="N721" t="str">
        <f t="shared" si="129"/>
        <v/>
      </c>
      <c r="O721" t="str">
        <f t="shared" si="130"/>
        <v/>
      </c>
      <c r="P721" t="str">
        <f>IFERROR(LN('Дивиденды по годам'!I721),"")</f>
        <v/>
      </c>
      <c r="Q721" t="str">
        <f>IFERROR('Дивиденды по годам'!G721/'Дивиденды по годам'!I721, "")</f>
        <v/>
      </c>
      <c r="R721" t="str">
        <f>IFERROR(IF(AND('Дивиденды по годам'!N721&lt;&gt;"",'Дивиденды по годам'!U721&lt;&gt;"",'Дивиденды по годам'!U721&lt;&gt;0),'Дивиденды по годам'!N721/'Дивиденды по годам'!U721-1,""),"")</f>
        <v/>
      </c>
      <c r="S721" t="str">
        <f>IFERROR(IF(AND('Дивиденды по годам'!L721&lt;&gt;"",'Дивиденды по годам'!I721&lt;&gt;"",'Дивиденды по годам'!J721&lt;&gt;"",'Дивиденды по годам'!K721&lt;&gt;"",('Дивиденды по годам'!I721-'Дивиденды по годам'!J721-'Дивиденды по годам'!K721)&lt;&gt;0),'Дивиденды по годам'!L721/('Дивиденды по годам'!I721-'Дивиденды по годам'!J721-'Дивиденды по годам'!K721),""),"")</f>
        <v/>
      </c>
      <c r="T721" t="str">
        <f>IFERROR(IF(AND('Дивиденды по годам'!Q721&lt;&gt;"",'Дивиденды по годам'!I721&lt;&gt;"",'Дивиденды по годам'!V721&lt;&gt;"",('Дивиденды по годам'!I721+'Дивиденды по годам'!V721)&lt;&gt;0),'Дивиденды по годам'!Q721/(('Дивиденды по годам'!I721+'Дивиденды по годам'!V721)/2),""),"")</f>
        <v/>
      </c>
      <c r="U721" t="str">
        <f>IFERROR(IF(AND('Дивиденды по годам'!J721&lt;&gt;"",'Дивиденды по годам'!K721&lt;&gt;"",'Дивиденды по годам'!M721&lt;&gt;"",'Дивиденды по годам'!M721&lt;&gt;0),('Дивиденды по годам'!J721+'Дивиденды по годам'!K721)/'Дивиденды по годам'!M721,""),"")</f>
        <v/>
      </c>
      <c r="V721" t="str">
        <f>IFERROR(IF(AND('Дивиденды по годам'!J721&lt;&gt;"",'Дивиденды по годам'!K721&lt;&gt;"",'Дивиденды по годам'!M721&lt;&gt;"",'Дивиденды по годам'!I721&lt;&gt;0),('Дивиденды по годам'!J721+'Дивиденды по годам'!K721)/'Дивиденды по годам'!I721,""),"")</f>
        <v/>
      </c>
      <c r="W721" t="str">
        <f>IFERROR('Дивиденды по годам'!I721,"")</f>
        <v/>
      </c>
      <c r="X721" cm="1">
        <f t="array" ref="X721">IFERROR(AVERAGE(_xlfn._xlws.FILTER(P$2:P$1073,($C$2:$C$1073=$C721)*($E$2:$E$1073=$E721)*(ROW(P$2:P$1073)&lt;&gt;ROW(P721))*(P$2:P$1073&lt;&gt;""))),"")</f>
        <v>23.656010386255485</v>
      </c>
      <c r="Y721" cm="1">
        <f t="array" ref="Y721">IFERROR(AVERAGE(_xlfn._xlws.FILTER(Q$2:Q$1073,($C$2:$C$1073=$C721)*($E$2:$E$1073=$E721)*(ROW(Q$2:Q$1073)&lt;&gt;ROW(Q721))*(Q$2:Q$1073&lt;&gt;""))),"")</f>
        <v>0.15222241747474585</v>
      </c>
      <c r="Z721" t="str" cm="1">
        <f t="array" ref="Z721">IFERROR(AVERAGE(_xlfn._xlws.FILTER(R$2:R$1073,($C$2:$C$1073=$C721)*($E$2:$E$1073=$E721)*(ROW(R$2:R$1073)&lt;&gt;ROW(R721))*(R$2:R$1073&lt;&gt;""))),"")</f>
        <v/>
      </c>
      <c r="AA721" t="str" cm="1">
        <f t="array" ref="AA721">IFERROR(AVERAGE(_xlfn._xlws.FILTER(S$2:S$1073,($C$2:$C$1073=$C721)*($E$2:$E$1073=$E721)*(ROW(S$2:S$1073)&lt;&gt;ROW(S721))*(S$2:S$1073&lt;&gt;""))),"")</f>
        <v/>
      </c>
      <c r="AB721" t="str" cm="1">
        <f t="array" ref="AB721">IFERROR(AVERAGE(_xlfn._xlws.FILTER(T$2:T$1073,($C$2:$C$1073=$C721)*($E$2:$E$1073=$E721)*(ROW(T$2:T$1073)&lt;&gt;ROW(T721))*(T$2:T$1073&lt;&gt;""))),"")</f>
        <v/>
      </c>
      <c r="AC721" cm="1">
        <f t="array" ref="AC721">IFERROR(AVERAGE(_xlfn._xlws.FILTER(U$2:U$1073,($C$2:$C$1073=$C721)*($E$2:$E$1073=$E721)*(ROW(U$2:U$1073)&lt;&gt;ROW(U721))*(U$2:U$1073&lt;&gt;""))),"")</f>
        <v>2.8988498110700496</v>
      </c>
      <c r="AD721" cm="1">
        <f t="array" ref="AD721">IFERROR(AVERAGE(_xlfn._xlws.FILTER(V$2:V$1073,($C$2:$C$1073=$C721)*($E$2:$E$1073=$E721)*(ROW(V$2:V$1073)&lt;&gt;ROW(V721))*(V$2:V$1073&lt;&gt;""))),"")</f>
        <v>0.74351805997092513</v>
      </c>
      <c r="AE721">
        <f>IF('Дивиденды по годам'!M721&lt;0,1,0)</f>
        <v>0</v>
      </c>
    </row>
    <row r="722" spans="1:31" x14ac:dyDescent="0.2">
      <c r="A722" s="7" t="s">
        <v>2268</v>
      </c>
      <c r="B722" t="str">
        <f t="shared" si="121"/>
        <v>X5 IV кв. 2025</v>
      </c>
      <c r="C722">
        <v>2025</v>
      </c>
      <c r="D722">
        <f>SUMIFS(Дивиденды!$C:$C,Дивиденды!$A:$A,A722,Дивиденды!$I:$I,C722)</f>
        <v>368</v>
      </c>
      <c r="E722">
        <v>4</v>
      </c>
      <c r="F722">
        <f t="shared" si="122"/>
        <v>368</v>
      </c>
      <c r="G722">
        <f t="shared" si="123"/>
        <v>5.2957142857142854</v>
      </c>
      <c r="H722">
        <f t="shared" si="124"/>
        <v>1</v>
      </c>
      <c r="I722">
        <f t="shared" si="125"/>
        <v>0.35714285714285715</v>
      </c>
      <c r="J722">
        <f t="shared" si="126"/>
        <v>-0.43209876543209874</v>
      </c>
      <c r="K722">
        <f t="shared" si="131"/>
        <v>-0.15166214570983211</v>
      </c>
      <c r="L722">
        <f t="shared" si="127"/>
        <v>0</v>
      </c>
      <c r="M722">
        <f t="shared" si="128"/>
        <v>0.14285714285714285</v>
      </c>
      <c r="N722">
        <f t="shared" si="129"/>
        <v>1</v>
      </c>
      <c r="O722">
        <f t="shared" si="130"/>
        <v>0.42857142857142855</v>
      </c>
      <c r="P722">
        <f>IFERROR(LN('Дивиденды по годам'!I722),"")</f>
        <v>28.286197441936437</v>
      </c>
      <c r="Q722">
        <f>IFERROR('Дивиденды по годам'!G722/'Дивиденды по годам'!I722, "")</f>
        <v>0.26670464849840197</v>
      </c>
      <c r="R722">
        <f>IFERROR(IF(AND('Дивиденды по годам'!N722&lt;&gt;"",'Дивиденды по годам'!U722&lt;&gt;"",'Дивиденды по годам'!U722&lt;&gt;0),'Дивиденды по годам'!N722/'Дивиденды по годам'!U722-1,""),"")</f>
        <v>0.18781427142508766</v>
      </c>
      <c r="S722">
        <f>IFERROR(IF(AND('Дивиденды по годам'!L722&lt;&gt;"",'Дивиденды по годам'!I722&lt;&gt;"",'Дивиденды по годам'!J722&lt;&gt;"",'Дивиденды по годам'!K722&lt;&gt;"",('Дивиденды по годам'!I722-'Дивиденды по годам'!J722-'Дивиденды по годам'!K722)&lt;&gt;0),'Дивиденды по годам'!L722/('Дивиденды по годам'!I722-'Дивиденды по годам'!J722-'Дивиденды по годам'!K722),""),"")</f>
        <v>1.5749502120502317</v>
      </c>
      <c r="T722">
        <f>IFERROR(IF(AND('Дивиденды по годам'!Q722&lt;&gt;"",'Дивиденды по годам'!I722&lt;&gt;"",'Дивиденды по годам'!V722&lt;&gt;"",('Дивиденды по годам'!I722+'Дивиденды по годам'!V722)&lt;&gt;0),'Дивиденды по годам'!Q722/(('Дивиденды по годам'!I722+'Дивиденды по годам'!V722)/2),""),"")</f>
        <v>4.4148291004365792E-2</v>
      </c>
      <c r="U722">
        <f>IFERROR(IF(AND('Дивиденды по годам'!J722&lt;&gt;"",'Дивиденды по годам'!K722&lt;&gt;"",'Дивиденды по годам'!M722&lt;&gt;"",'Дивиденды по годам'!M722&lt;&gt;0),('Дивиденды по годам'!J722+'Дивиденды по годам'!K722)/'Дивиденды по годам'!M722,""),"")</f>
        <v>18.868559812611572</v>
      </c>
      <c r="V722">
        <f>IFERROR(IF(AND('Дивиденды по годам'!J722&lt;&gt;"",'Дивиденды по годам'!K722&lt;&gt;"",'Дивиденды по годам'!M722&lt;&gt;"",'Дивиденды по годам'!I722&lt;&gt;0),('Дивиденды по годам'!J722+'Дивиденды по годам'!K722)/'Дивиденды по годам'!I722,""),"")</f>
        <v>0.94966922567959611</v>
      </c>
      <c r="W722">
        <f>IFERROR('Дивиденды по годам'!I722,"")</f>
        <v>1925482000000</v>
      </c>
      <c r="X722" cm="1">
        <f t="array" ref="X722">IFERROR(AVERAGE(_xlfn._xlws.FILTER(P$2:P$1073,($C$2:$C$1073=$C722)*($E$2:$E$1073=$E722)*(ROW(P$2:P$1073)&lt;&gt;ROW(P722))*(P$2:P$1073&lt;&gt;""))),"")</f>
        <v>25.482617800895344</v>
      </c>
      <c r="Y722" cm="1">
        <f t="array" ref="Y722">IFERROR(AVERAGE(_xlfn._xlws.FILTER(Q$2:Q$1073,($C$2:$C$1073=$C722)*($E$2:$E$1073=$E722)*(ROW(Q$2:Q$1073)&lt;&gt;ROW(Q722))*(Q$2:Q$1073&lt;&gt;""))),"")</f>
        <v>0.47595197746419915</v>
      </c>
      <c r="Z722" cm="1">
        <f t="array" ref="Z722">IFERROR(AVERAGE(_xlfn._xlws.FILTER(R$2:R$1073,($C$2:$C$1073=$C722)*($E$2:$E$1073=$E722)*(ROW(R$2:R$1073)&lt;&gt;ROW(R722))*(R$2:R$1073&lt;&gt;""))),"")</f>
        <v>2.5523411430233584E-2</v>
      </c>
      <c r="AA722" cm="1">
        <f t="array" ref="AA722">IFERROR(AVERAGE(_xlfn._xlws.FILTER(S$2:S$1073,($C$2:$C$1073=$C722)*($E$2:$E$1073=$E722)*(ROW(S$2:S$1073)&lt;&gt;ROW(S722))*(S$2:S$1073&lt;&gt;""))),"")</f>
        <v>0.73068262723412314</v>
      </c>
      <c r="AB722" cm="1">
        <f t="array" ref="AB722">IFERROR(AVERAGE(_xlfn._xlws.FILTER(T$2:T$1073,($C$2:$C$1073=$C722)*($E$2:$E$1073=$E722)*(ROW(T$2:T$1073)&lt;&gt;ROW(T722))*(T$2:T$1073&lt;&gt;""))),"")</f>
        <v>2.7601071049849582E-3</v>
      </c>
      <c r="AC722" cm="1">
        <f t="array" ref="AC722">IFERROR(AVERAGE(_xlfn._xlws.FILTER(U$2:U$1073,($C$2:$C$1073=$C722)*($E$2:$E$1073=$E722)*(ROW(U$2:U$1073)&lt;&gt;ROW(U722))*(U$2:U$1073&lt;&gt;""))),"")</f>
        <v>2.1062606650839046</v>
      </c>
      <c r="AD722" cm="1">
        <f t="array" ref="AD722">IFERROR(AVERAGE(_xlfn._xlws.FILTER(V$2:V$1073,($C$2:$C$1073=$C722)*($E$2:$E$1073=$E722)*(ROW(V$2:V$1073)&lt;&gt;ROW(V722))*(V$2:V$1073&lt;&gt;""))),"")</f>
        <v>0.62919513585758091</v>
      </c>
      <c r="AE722">
        <f>IF('Дивиденды по годам'!M722&lt;0,1,0)</f>
        <v>0</v>
      </c>
    </row>
    <row r="723" spans="1:31" x14ac:dyDescent="0.2">
      <c r="A723" s="7" t="s">
        <v>2268</v>
      </c>
      <c r="B723" t="str">
        <f t="shared" si="121"/>
        <v>X5 IV кв. 2024</v>
      </c>
      <c r="C723">
        <v>2024</v>
      </c>
      <c r="D723">
        <f>SUMIFS(Дивиденды!$C:$C,Дивиденды!$A:$A,A723,Дивиденды!$I:$I,C723)</f>
        <v>648</v>
      </c>
      <c r="E723">
        <v>4</v>
      </c>
      <c r="F723">
        <f t="shared" si="122"/>
        <v>648</v>
      </c>
      <c r="G723">
        <f t="shared" si="123"/>
        <v>16.225714285714286</v>
      </c>
      <c r="H723">
        <f t="shared" si="124"/>
        <v>1</v>
      </c>
      <c r="I723">
        <f t="shared" si="125"/>
        <v>0.5</v>
      </c>
      <c r="J723">
        <f t="shared" si="126"/>
        <v>1</v>
      </c>
      <c r="K723">
        <f t="shared" si="131"/>
        <v>0.1400271739349124</v>
      </c>
      <c r="L723">
        <f t="shared" si="127"/>
        <v>1</v>
      </c>
      <c r="M723">
        <f t="shared" si="128"/>
        <v>0.2857142857142857</v>
      </c>
      <c r="N723">
        <f t="shared" si="129"/>
        <v>0</v>
      </c>
      <c r="O723">
        <f t="shared" si="130"/>
        <v>0.2857142857142857</v>
      </c>
      <c r="P723">
        <f>IFERROR(LN('Дивиденды по годам'!I723),"")</f>
        <v>28.242489042069224</v>
      </c>
      <c r="Q723">
        <f>IFERROR('Дивиденды по годам'!G723/'Дивиденды по годам'!I723, "")</f>
        <v>0.22869241808114979</v>
      </c>
      <c r="R723">
        <f>IFERROR(IF(AND('Дивиденды по годам'!N723&lt;&gt;"",'Дивиденды по годам'!U723&lt;&gt;"",'Дивиденды по годам'!U723&lt;&gt;0),'Дивиденды по годам'!N723/'Дивиденды по годам'!U723-1,""),"")</f>
        <v>0.24228295038016645</v>
      </c>
      <c r="S723">
        <f>IFERROR(IF(AND('Дивиденды по годам'!L723&lt;&gt;"",'Дивиденды по годам'!I723&lt;&gt;"",'Дивиденды по годам'!J723&lt;&gt;"",'Дивиденды по годам'!K723&lt;&gt;"",('Дивиденды по годам'!I723-'Дивиденды по годам'!J723-'Дивиденды по годам'!K723)&lt;&gt;0),'Дивиденды по годам'!L723/('Дивиденды по годам'!I723-'Дивиденды по годам'!J723-'Дивиденды по годам'!K723),""),"")</f>
        <v>1.1747975574140448</v>
      </c>
      <c r="T723">
        <f>IFERROR(IF(AND('Дивиденды по годам'!Q723&lt;&gt;"",'Дивиденды по годам'!I723&lt;&gt;"",'Дивиденды по годам'!V723&lt;&gt;"",('Дивиденды по годам'!I723+'Дивиденды по годам'!V723)&lt;&gt;0),'Дивиденды по годам'!Q723/(('Дивиденды по годам'!I723+'Дивиденды по годам'!V723)/2),""),"")</f>
        <v>6.0618346276711005E-2</v>
      </c>
      <c r="U723">
        <f>IFERROR(IF(AND('Дивиденды по годам'!J723&lt;&gt;"",'Дивиденды по годам'!K723&lt;&gt;"",'Дивиденды по годам'!M723&lt;&gt;"",'Дивиденды по годам'!M723&lt;&gt;0),('Дивиденды по годам'!J723+'Дивиденды по годам'!K723)/'Дивиденды по годам'!M723,""),"")</f>
        <v>5.7965212325029132</v>
      </c>
      <c r="V723">
        <f>IFERROR(IF(AND('Дивиденды по годам'!J723&lt;&gt;"",'Дивиденды по годам'!K723&lt;&gt;"",'Дивиденды по годам'!M723&lt;&gt;"",'Дивиденды по годам'!I723&lt;&gt;0),('Дивиденды по годам'!J723+'Дивиденды по годам'!K723)/'Дивиденды по годам'!I723,""),"")</f>
        <v>0.85286590510190519</v>
      </c>
      <c r="W723">
        <f>IFERROR('Дивиденды по годам'!I723,"")</f>
        <v>1843135000000</v>
      </c>
      <c r="X723" cm="1">
        <f t="array" ref="X723">IFERROR(AVERAGE(_xlfn._xlws.FILTER(P$2:P$1073,($C$2:$C$1073=$C723)*($E$2:$E$1073=$E723)*(ROW(P$2:P$1073)&lt;&gt;ROW(P723))*(P$2:P$1073&lt;&gt;""))),"")</f>
        <v>25.373537333259005</v>
      </c>
      <c r="Y723" cm="1">
        <f t="array" ref="Y723">IFERROR(AVERAGE(_xlfn._xlws.FILTER(Q$2:Q$1073,($C$2:$C$1073=$C723)*($E$2:$E$1073=$E723)*(ROW(Q$2:Q$1073)&lt;&gt;ROW(Q723))*(Q$2:Q$1073&lt;&gt;""))),"")</f>
        <v>0.26536956072992551</v>
      </c>
      <c r="Z723" cm="1">
        <f t="array" ref="Z723">IFERROR(AVERAGE(_xlfn._xlws.FILTER(R$2:R$1073,($C$2:$C$1073=$C723)*($E$2:$E$1073=$E723)*(ROW(R$2:R$1073)&lt;&gt;ROW(R723))*(R$2:R$1073&lt;&gt;""))),"")</f>
        <v>0.2671209665186578</v>
      </c>
      <c r="AA723" cm="1">
        <f t="array" ref="AA723">IFERROR(AVERAGE(_xlfn._xlws.FILTER(S$2:S$1073,($C$2:$C$1073=$C723)*($E$2:$E$1073=$E723)*(ROW(S$2:S$1073)&lt;&gt;ROW(S723))*(S$2:S$1073&lt;&gt;""))),"")</f>
        <v>1.1707866150817483</v>
      </c>
      <c r="AB723" cm="1">
        <f t="array" ref="AB723">IFERROR(AVERAGE(_xlfn._xlws.FILTER(T$2:T$1073,($C$2:$C$1073=$C723)*($E$2:$E$1073=$E723)*(ROW(T$2:T$1073)&lt;&gt;ROW(T723))*(T$2:T$1073&lt;&gt;""))),"")</f>
        <v>7.3836873575304746E-2</v>
      </c>
      <c r="AC723" cm="1">
        <f t="array" ref="AC723">IFERROR(AVERAGE(_xlfn._xlws.FILTER(U$2:U$1073,($C$2:$C$1073=$C723)*($E$2:$E$1073=$E723)*(ROW(U$2:U$1073)&lt;&gt;ROW(U723))*(U$2:U$1073&lt;&gt;""))),"")</f>
        <v>3.8618175593321555</v>
      </c>
      <c r="AD723" cm="1">
        <f t="array" ref="AD723">IFERROR(AVERAGE(_xlfn._xlws.FILTER(V$2:V$1073,($C$2:$C$1073=$C723)*($E$2:$E$1073=$E723)*(ROW(V$2:V$1073)&lt;&gt;ROW(V723))*(V$2:V$1073&lt;&gt;""))),"")</f>
        <v>0.69073880480575034</v>
      </c>
      <c r="AE723">
        <f>IF('Дивиденды по годам'!M723&lt;0,1,0)</f>
        <v>0</v>
      </c>
    </row>
    <row r="724" spans="1:31" x14ac:dyDescent="0.2">
      <c r="A724" s="7" t="s">
        <v>2268</v>
      </c>
      <c r="B724" t="str">
        <f t="shared" si="121"/>
        <v>X5 IV кв. 2023</v>
      </c>
      <c r="C724">
        <v>2023</v>
      </c>
      <c r="D724">
        <f>SUMIFS(Дивиденды!$C:$C,Дивиденды!$A:$A,A724,Дивиденды!$I:$I,C724)</f>
        <v>0</v>
      </c>
      <c r="E724">
        <v>4</v>
      </c>
      <c r="F724">
        <f t="shared" si="122"/>
        <v>0</v>
      </c>
      <c r="G724">
        <f t="shared" si="123"/>
        <v>90.740000000000009</v>
      </c>
      <c r="H724">
        <f t="shared" si="124"/>
        <v>0</v>
      </c>
      <c r="I724">
        <f t="shared" si="125"/>
        <v>0.5</v>
      </c>
      <c r="J724">
        <f t="shared" si="126"/>
        <v>0</v>
      </c>
      <c r="K724">
        <f t="shared" si="131"/>
        <v>0.29812745098039217</v>
      </c>
      <c r="L724">
        <f t="shared" si="127"/>
        <v>0</v>
      </c>
      <c r="M724">
        <f t="shared" si="128"/>
        <v>0.42857142857142855</v>
      </c>
      <c r="N724">
        <f t="shared" si="129"/>
        <v>0</v>
      </c>
      <c r="O724">
        <f t="shared" si="130"/>
        <v>0</v>
      </c>
      <c r="P724">
        <f>IFERROR(LN('Дивиденды по годам'!I724),"")</f>
        <v>28.094931846105609</v>
      </c>
      <c r="Q724">
        <f>IFERROR('Дивиденды по годам'!G724/'Дивиденды по годам'!I724, "")</f>
        <v>0.22913623441391803</v>
      </c>
      <c r="R724">
        <f>IFERROR(IF(AND('Дивиденды по годам'!N724&lt;&gt;"",'Дивиденды по годам'!U724&lt;&gt;"",'Дивиденды по годам'!U724&lt;&gt;0),'Дивиденды по годам'!N724/'Дивиденды по годам'!U724-1,""),"")</f>
        <v>0.20752792677431264</v>
      </c>
      <c r="S724">
        <f>IFERROR(IF(AND('Дивиденды по годам'!L724&lt;&gt;"",'Дивиденды по годам'!I724&lt;&gt;"",'Дивиденды по годам'!J724&lt;&gt;"",'Дивиденды по годам'!K724&lt;&gt;"",('Дивиденды по годам'!I724-'Дивиденды по годам'!J724-'Дивиденды по годам'!K724)&lt;&gt;0),'Дивиденды по годам'!L724/('Дивиденды по годам'!I724-'Дивиденды по годам'!J724-'Дивиденды по годам'!K724),""),"")</f>
        <v>0.98941993482826929</v>
      </c>
      <c r="T724">
        <f>IFERROR(IF(AND('Дивиденды по годам'!Q724&lt;&gt;"",'Дивиденды по годам'!I724&lt;&gt;"",'Дивиденды по годам'!V724&lt;&gt;"",('Дивиденды по годам'!I724+'Дивиденды по годам'!V724)&lt;&gt;0),'Дивиденды по годам'!Q724/(('Дивиденды по годам'!I724+'Дивиденды по годам'!V724)/2),""),"")</f>
        <v>5.3137603417094462E-2</v>
      </c>
      <c r="U724">
        <f>IFERROR(IF(AND('Дивиденды по годам'!J724&lt;&gt;"",'Дивиденды по годам'!K724&lt;&gt;"",'Дивиденды по годам'!M724&lt;&gt;"",'Дивиденды по годам'!M724&lt;&gt;0),('Дивиденды по годам'!J724+'Дивиденды по годам'!K724)/'Дивиденды по годам'!M724,""),"")</f>
        <v>6.3089820249196844</v>
      </c>
      <c r="V724">
        <f>IFERROR(IF(AND('Дивиденды по годам'!J724&lt;&gt;"",'Дивиденды по годам'!K724&lt;&gt;"",'Дивиденды по годам'!M724&lt;&gt;"",'Дивиденды по годам'!I724&lt;&gt;0),('Дивиденды по годам'!J724+'Дивиденды по годам'!K724)/'Дивиденды по годам'!I724,""),"")</f>
        <v>0.86318204141280697</v>
      </c>
      <c r="W724">
        <f>IFERROR('Дивиденды по годам'!I724,"")</f>
        <v>1590281000000</v>
      </c>
      <c r="X724" cm="1">
        <f t="array" ref="X724">IFERROR(AVERAGE(_xlfn._xlws.FILTER(P$2:P$1073,($C$2:$C$1073=$C724)*($E$2:$E$1073=$E724)*(ROW(P$2:P$1073)&lt;&gt;ROW(P724))*(P$2:P$1073&lt;&gt;""))),"")</f>
        <v>25.172114091232515</v>
      </c>
      <c r="Y724" cm="1">
        <f t="array" ref="Y724">IFERROR(AVERAGE(_xlfn._xlws.FILTER(Q$2:Q$1073,($C$2:$C$1073=$C724)*($E$2:$E$1073=$E724)*(ROW(Q$2:Q$1073)&lt;&gt;ROW(Q724))*(Q$2:Q$1073&lt;&gt;""))),"")</f>
        <v>0.2519053399828442</v>
      </c>
      <c r="Z724" cm="1">
        <f t="array" ref="Z724">IFERROR(AVERAGE(_xlfn._xlws.FILTER(R$2:R$1073,($C$2:$C$1073=$C724)*($E$2:$E$1073=$E724)*(ROW(R$2:R$1073)&lt;&gt;ROW(R724))*(R$2:R$1073&lt;&gt;""))),"")</f>
        <v>0.24937867101700972</v>
      </c>
      <c r="AA724" cm="1">
        <f t="array" ref="AA724">IFERROR(AVERAGE(_xlfn._xlws.FILTER(S$2:S$1073,($C$2:$C$1073=$C724)*($E$2:$E$1073=$E724)*(ROW(S$2:S$1073)&lt;&gt;ROW(S724))*(S$2:S$1073&lt;&gt;""))),"")</f>
        <v>1.2643207347442522</v>
      </c>
      <c r="AB724" cm="1">
        <f t="array" ref="AB724">IFERROR(AVERAGE(_xlfn._xlws.FILTER(T$2:T$1073,($C$2:$C$1073=$C724)*($E$2:$E$1073=$E724)*(ROW(T$2:T$1073)&lt;&gt;ROW(T724))*(T$2:T$1073&lt;&gt;""))),"")</f>
        <v>0.1150761931872885</v>
      </c>
      <c r="AC724" cm="1">
        <f t="array" ref="AC724">IFERROR(AVERAGE(_xlfn._xlws.FILTER(U$2:U$1073,($C$2:$C$1073=$C724)*($E$2:$E$1073=$E724)*(ROW(U$2:U$1073)&lt;&gt;ROW(U724))*(U$2:U$1073&lt;&gt;""))),"")</f>
        <v>2.3216563224077569</v>
      </c>
      <c r="AD724" cm="1">
        <f t="array" ref="AD724">IFERROR(AVERAGE(_xlfn._xlws.FILTER(V$2:V$1073,($C$2:$C$1073=$C724)*($E$2:$E$1073=$E724)*(ROW(V$2:V$1073)&lt;&gt;ROW(V724))*(V$2:V$1073&lt;&gt;""))),"")</f>
        <v>0.68024947436913852</v>
      </c>
      <c r="AE724">
        <f>IF('Дивиденды по годам'!M724&lt;0,1,0)</f>
        <v>0</v>
      </c>
    </row>
    <row r="725" spans="1:31" x14ac:dyDescent="0.2">
      <c r="A725" s="7" t="s">
        <v>2268</v>
      </c>
      <c r="B725" t="str">
        <f t="shared" si="121"/>
        <v>X5 IV кв. 2022</v>
      </c>
      <c r="C725">
        <v>2022</v>
      </c>
      <c r="D725">
        <f>SUMIFS(Дивиденды!$C:$C,Дивиденды!$A:$A,A725,Дивиденды!$I:$I,C725)</f>
        <v>0</v>
      </c>
      <c r="E725">
        <v>4</v>
      </c>
      <c r="F725">
        <f t="shared" si="122"/>
        <v>0</v>
      </c>
      <c r="G725">
        <f t="shared" si="123"/>
        <v>80.180000000000021</v>
      </c>
      <c r="H725">
        <f t="shared" si="124"/>
        <v>0</v>
      </c>
      <c r="I725">
        <f t="shared" si="125"/>
        <v>0.2857142857142857</v>
      </c>
      <c r="J725">
        <f t="shared" si="126"/>
        <v>0</v>
      </c>
      <c r="K725">
        <f t="shared" si="131"/>
        <v>0.49583624512073399</v>
      </c>
      <c r="L725">
        <f t="shared" si="127"/>
        <v>0</v>
      </c>
      <c r="M725">
        <f t="shared" si="128"/>
        <v>0.2857142857142857</v>
      </c>
      <c r="N725">
        <f t="shared" si="129"/>
        <v>0</v>
      </c>
      <c r="O725">
        <f t="shared" si="130"/>
        <v>7.1428571428571425E-2</v>
      </c>
      <c r="P725">
        <f>IFERROR(LN('Дивиденды по годам'!I725),"")</f>
        <v>27.944729058129713</v>
      </c>
      <c r="Q725">
        <f>IFERROR('Дивиденды по годам'!G725/'Дивиденды по годам'!I725, "")</f>
        <v>0.23062207250327002</v>
      </c>
      <c r="R725">
        <f>IFERROR(IF(AND('Дивиденды по годам'!N725&lt;&gt;"",'Дивиденды по годам'!U725&lt;&gt;"",'Дивиденды по годам'!U725&lt;&gt;0),'Дивиденды по годам'!N725/'Дивиденды по годам'!U725-1,""),"")</f>
        <v>0.18159899202381702</v>
      </c>
      <c r="S725">
        <f>IFERROR(IF(AND('Дивиденды по годам'!L725&lt;&gt;"",'Дивиденды по годам'!I725&lt;&gt;"",'Дивиденды по годам'!J725&lt;&gt;"",'Дивиденды по годам'!K725&lt;&gt;"",('Дивиденды по годам'!I725-'Дивиденды по годам'!J725-'Дивиденды по годам'!K725)&lt;&gt;0),'Дивиденды по годам'!L725/('Дивиденды по годам'!I725-'Дивиденды по годам'!J725-'Дивиденды по годам'!K725),""),"")</f>
        <v>0.96898056775818286</v>
      </c>
      <c r="T725">
        <f>IFERROR(IF(AND('Дивиденды по годам'!Q725&lt;&gt;"",'Дивиденды по годам'!I725&lt;&gt;"",'Дивиденды по годам'!V725&lt;&gt;"",('Дивиденды по годам'!I725+'Дивиденды по годам'!V725)&lt;&gt;0),'Дивиденды по годам'!Q725/(('Дивиденды по годам'!I725+'Дивиденды по годам'!V725)/2),""),"")</f>
        <v>3.3621228046124087E-2</v>
      </c>
      <c r="U725">
        <f>IFERROR(IF(AND('Дивиденды по годам'!J725&lt;&gt;"",'Дивиденды по годам'!K725&lt;&gt;"",'Дивиденды по годам'!M725&lt;&gt;"",'Дивиденды по годам'!M725&lt;&gt;0),('Дивиденды по годам'!J725+'Дивиденды по годам'!K725)/'Дивиденды по годам'!M725,""),"")</f>
        <v>8.6806802345734031</v>
      </c>
      <c r="V725">
        <f>IFERROR(IF(AND('Дивиденды по годам'!J725&lt;&gt;"",'Дивиденды по годам'!K725&lt;&gt;"",'Дивиденды по годам'!M725&lt;&gt;"",'Дивиденды по годам'!I725&lt;&gt;0),('Дивиденды по годам'!J725+'Дивиденды по годам'!K725)/'Дивиденды по годам'!I725,""),"")</f>
        <v>0.89670147388727717</v>
      </c>
      <c r="W725">
        <f>IFERROR('Дивиденды по годам'!I725,"")</f>
        <v>1368490000000</v>
      </c>
      <c r="X725" cm="1">
        <f t="array" ref="X725">IFERROR(AVERAGE(_xlfn._xlws.FILTER(P$2:P$1073,($C$2:$C$1073=$C725)*($E$2:$E$1073=$E725)*(ROW(P$2:P$1073)&lt;&gt;ROW(P725))*(P$2:P$1073&lt;&gt;""))),"")</f>
        <v>25.044296734999808</v>
      </c>
      <c r="Y725" cm="1">
        <f t="array" ref="Y725">IFERROR(AVERAGE(_xlfn._xlws.FILTER(Q$2:Q$1073,($C$2:$C$1073=$C725)*($E$2:$E$1073=$E725)*(ROW(Q$2:Q$1073)&lt;&gt;ROW(Q725))*(Q$2:Q$1073&lt;&gt;""))),"")</f>
        <v>0.24974268789677176</v>
      </c>
      <c r="Z725" cm="1">
        <f t="array" ref="Z725">IFERROR(AVERAGE(_xlfn._xlws.FILTER(R$2:R$1073,($C$2:$C$1073=$C725)*($E$2:$E$1073=$E725)*(ROW(R$2:R$1073)&lt;&gt;ROW(R725))*(R$2:R$1073&lt;&gt;""))),"")</f>
        <v>0.20727472124020466</v>
      </c>
      <c r="AA725" cm="1">
        <f t="array" ref="AA725">IFERROR(AVERAGE(_xlfn._xlws.FILTER(S$2:S$1073,($C$2:$C$1073=$C725)*($E$2:$E$1073=$E725)*(ROW(S$2:S$1073)&lt;&gt;ROW(S725))*(S$2:S$1073&lt;&gt;""))),"")</f>
        <v>1.3677581319517875</v>
      </c>
      <c r="AB725" cm="1">
        <f t="array" ref="AB725">IFERROR(AVERAGE(_xlfn._xlws.FILTER(T$2:T$1073,($C$2:$C$1073=$C725)*($E$2:$E$1073=$E725)*(ROW(T$2:T$1073)&lt;&gt;ROW(T725))*(T$2:T$1073&lt;&gt;""))),"")</f>
        <v>0.10692567717806552</v>
      </c>
      <c r="AC725" cm="1">
        <f t="array" ref="AC725">IFERROR(AVERAGE(_xlfn._xlws.FILTER(U$2:U$1073,($C$2:$C$1073=$C725)*($E$2:$E$1073=$E725)*(ROW(U$2:U$1073)&lt;&gt;ROW(U725))*(U$2:U$1073&lt;&gt;""))),"")</f>
        <v>1.631210450446944</v>
      </c>
      <c r="AD725" cm="1">
        <f t="array" ref="AD725">IFERROR(AVERAGE(_xlfn._xlws.FILTER(V$2:V$1073,($C$2:$C$1073=$C725)*($E$2:$E$1073=$E725)*(ROW(V$2:V$1073)&lt;&gt;ROW(V725))*(V$2:V$1073&lt;&gt;""))),"")</f>
        <v>0.70311072241247796</v>
      </c>
      <c r="AE725">
        <f>IF('Дивиденды по годам'!M725&lt;0,1,0)</f>
        <v>0</v>
      </c>
    </row>
    <row r="726" spans="1:31" x14ac:dyDescent="0.2">
      <c r="A726" s="7" t="s">
        <v>2268</v>
      </c>
      <c r="B726" t="str">
        <f t="shared" si="121"/>
        <v>X5 IV кв. 2021</v>
      </c>
      <c r="C726">
        <v>2021</v>
      </c>
      <c r="D726">
        <f>SUMIFS(Дивиденды!$C:$C,Дивиденды!$A:$A,A726,Дивиденды!$I:$I,C726)</f>
        <v>0</v>
      </c>
      <c r="E726">
        <v>4</v>
      </c>
      <c r="F726">
        <f t="shared" si="122"/>
        <v>0</v>
      </c>
      <c r="G726">
        <f t="shared" si="123"/>
        <v>31.931428571428572</v>
      </c>
      <c r="H726">
        <f t="shared" si="124"/>
        <v>0</v>
      </c>
      <c r="I726">
        <f t="shared" si="125"/>
        <v>0.2857142857142857</v>
      </c>
      <c r="J726">
        <f t="shared" si="126"/>
        <v>0</v>
      </c>
      <c r="K726">
        <f t="shared" si="131"/>
        <v>0.1975016604235505</v>
      </c>
      <c r="L726">
        <f t="shared" si="127"/>
        <v>0</v>
      </c>
      <c r="M726">
        <f t="shared" si="128"/>
        <v>0.21428571428571427</v>
      </c>
      <c r="N726">
        <f t="shared" si="129"/>
        <v>0</v>
      </c>
      <c r="O726">
        <f t="shared" si="130"/>
        <v>7.1428571428571425E-2</v>
      </c>
      <c r="P726">
        <f>IFERROR(LN('Дивиденды по годам'!I726),"")</f>
        <v>27.860122881776878</v>
      </c>
      <c r="Q726">
        <f>IFERROR('Дивиденды по годам'!G726/'Дивиденды по годам'!I726, "")</f>
        <v>0.26412797124384679</v>
      </c>
      <c r="R726" t="str">
        <f>IFERROR(IF(AND('Дивиденды по годам'!N726&lt;&gt;"",'Дивиденды по годам'!U726&lt;&gt;"",'Дивиденды по годам'!U726&lt;&gt;0),'Дивиденды по годам'!N726/'Дивиденды по годам'!U726-1,""),"")</f>
        <v/>
      </c>
      <c r="S726">
        <f>IFERROR(IF(AND('Дивиденды по годам'!L726&lt;&gt;"",'Дивиденды по годам'!I726&lt;&gt;"",'Дивиденды по годам'!J726&lt;&gt;"",'Дивиденды по годам'!K726&lt;&gt;"",('Дивиденды по годам'!I726-'Дивиденды по годам'!J726-'Дивиденды по годам'!K726)&lt;&gt;0),'Дивиденды по годам'!L726/('Дивиденды по годам'!I726-'Дивиденды по годам'!J726-'Дивиденды по годам'!K726),""),"")</f>
        <v>1.9361924031622202</v>
      </c>
      <c r="T726" t="str">
        <f>IFERROR(IF(AND('Дивиденды по годам'!Q726&lt;&gt;"",'Дивиденды по годам'!I726&lt;&gt;"",'Дивиденды по годам'!V726&lt;&gt;"",('Дивиденды по годам'!I726+'Дивиденды по годам'!V726)&lt;&gt;0),'Дивиденды по годам'!Q726/(('Дивиденды по годам'!I726+'Дивиденды по годам'!V726)/2),""),"")</f>
        <v/>
      </c>
      <c r="U726">
        <f>IFERROR(IF(AND('Дивиденды по годам'!J726&lt;&gt;"",'Дивиденды по годам'!K726&lt;&gt;"",'Дивиденды по годам'!M726&lt;&gt;"",'Дивиденды по годам'!M726&lt;&gt;0),('Дивиденды по годам'!J726+'Дивиденды по годам'!K726)/'Дивиденды по годам'!M726,""),"")</f>
        <v>25.229532133247115</v>
      </c>
      <c r="V726">
        <f>IFERROR(IF(AND('Дивиденды по годам'!J726&lt;&gt;"",'Дивиденды по годам'!K726&lt;&gt;"",'Дивиденды по годам'!M726&lt;&gt;"",'Дивиденды по годам'!I726&lt;&gt;0),('Дивиденды по годам'!J726+'Дивиденды по годам'!K726)/'Дивиденды по годам'!I726,""),"")</f>
        <v>0.96187503479208247</v>
      </c>
      <c r="W726">
        <f>IFERROR('Дивиденды по годам'!I726,"")</f>
        <v>1257470000000</v>
      </c>
      <c r="X726" cm="1">
        <f t="array" ref="X726">IFERROR(AVERAGE(_xlfn._xlws.FILTER(P$2:P$1073,($C$2:$C$1073=$C726)*($E$2:$E$1073=$E726)*(ROW(P$2:P$1073)&lt;&gt;ROW(P726))*(P$2:P$1073&lt;&gt;""))),"")</f>
        <v>24.965290797430757</v>
      </c>
      <c r="Y726" cm="1">
        <f t="array" ref="Y726">IFERROR(AVERAGE(_xlfn._xlws.FILTER(Q$2:Q$1073,($C$2:$C$1073=$C726)*($E$2:$E$1073=$E726)*(ROW(Q$2:Q$1073)&lt;&gt;ROW(Q726))*(Q$2:Q$1073&lt;&gt;""))),"")</f>
        <v>0.23285355613195671</v>
      </c>
      <c r="Z726" cm="1">
        <f t="array" ref="Z726">IFERROR(AVERAGE(_xlfn._xlws.FILTER(R$2:R$1073,($C$2:$C$1073=$C726)*($E$2:$E$1073=$E726)*(ROW(R$2:R$1073)&lt;&gt;ROW(R726))*(R$2:R$1073&lt;&gt;""))),"")</f>
        <v>0.31760921072336168</v>
      </c>
      <c r="AA726" cm="1">
        <f t="array" ref="AA726">IFERROR(AVERAGE(_xlfn._xlws.FILTER(S$2:S$1073,($C$2:$C$1073=$C726)*($E$2:$E$1073=$E726)*(ROW(S$2:S$1073)&lt;&gt;ROW(S726))*(S$2:S$1073&lt;&gt;""))),"")</f>
        <v>1.271004619013739</v>
      </c>
      <c r="AB726" cm="1">
        <f t="array" ref="AB726">IFERROR(AVERAGE(_xlfn._xlws.FILTER(T$2:T$1073,($C$2:$C$1073=$C726)*($E$2:$E$1073=$E726)*(ROW(T$2:T$1073)&lt;&gt;ROW(T726))*(T$2:T$1073&lt;&gt;""))),"")</f>
        <v>0.10239490834794492</v>
      </c>
      <c r="AC726" cm="1">
        <f t="array" ref="AC726">IFERROR(AVERAGE(_xlfn._xlws.FILTER(U$2:U$1073,($C$2:$C$1073=$C726)*($E$2:$E$1073=$E726)*(ROW(U$2:U$1073)&lt;&gt;ROW(U726))*(U$2:U$1073&lt;&gt;""))),"")</f>
        <v>16.2460566715156</v>
      </c>
      <c r="AD726" cm="1">
        <f t="array" ref="AD726">IFERROR(AVERAGE(_xlfn._xlws.FILTER(V$2:V$1073,($C$2:$C$1073=$C726)*($E$2:$E$1073=$E726)*(ROW(V$2:V$1073)&lt;&gt;ROW(V726))*(V$2:V$1073&lt;&gt;""))),"")</f>
        <v>0.75699015959663385</v>
      </c>
      <c r="AE726">
        <f>IF('Дивиденды по годам'!M726&lt;0,1,0)</f>
        <v>0</v>
      </c>
    </row>
    <row r="727" spans="1:31" x14ac:dyDescent="0.2">
      <c r="A727" s="7" t="s">
        <v>2268</v>
      </c>
      <c r="B727" t="str">
        <f t="shared" si="121"/>
        <v>X5 IV кв. 2020</v>
      </c>
      <c r="C727">
        <v>2020</v>
      </c>
      <c r="D727">
        <f>SUMIFS(Дивиденды!$C:$C,Дивиденды!$A:$A,A727,Дивиденды!$I:$I,C727)</f>
        <v>0</v>
      </c>
      <c r="E727">
        <v>4</v>
      </c>
      <c r="F727">
        <f t="shared" si="122"/>
        <v>0</v>
      </c>
      <c r="G727">
        <f t="shared" si="123"/>
        <v>43.293571428571433</v>
      </c>
      <c r="H727">
        <f t="shared" si="124"/>
        <v>0</v>
      </c>
      <c r="I727">
        <f t="shared" si="125"/>
        <v>0.2857142857142857</v>
      </c>
      <c r="J727">
        <f t="shared" si="126"/>
        <v>0</v>
      </c>
      <c r="K727">
        <f t="shared" si="131"/>
        <v>0.26831617204892738</v>
      </c>
      <c r="L727">
        <f t="shared" si="127"/>
        <v>0</v>
      </c>
      <c r="M727">
        <f t="shared" si="128"/>
        <v>0.2857142857142857</v>
      </c>
      <c r="N727">
        <f t="shared" si="129"/>
        <v>0</v>
      </c>
      <c r="O727">
        <f t="shared" si="130"/>
        <v>0</v>
      </c>
      <c r="P727" t="str">
        <f>IFERROR(LN('Дивиденды по годам'!I727),"")</f>
        <v/>
      </c>
      <c r="Q727" t="str">
        <f>IFERROR('Дивиденды по годам'!G727/'Дивиденды по годам'!I727, "")</f>
        <v/>
      </c>
      <c r="R727" t="str">
        <f>IFERROR(IF(AND('Дивиденды по годам'!N727&lt;&gt;"",'Дивиденды по годам'!U727&lt;&gt;"",'Дивиденды по годам'!U727&lt;&gt;0),'Дивиденды по годам'!N727/'Дивиденды по годам'!U727-1,""),"")</f>
        <v/>
      </c>
      <c r="S727" t="str">
        <f>IFERROR(IF(AND('Дивиденды по годам'!L727&lt;&gt;"",'Дивиденды по годам'!I727&lt;&gt;"",'Дивиденды по годам'!J727&lt;&gt;"",'Дивиденды по годам'!K727&lt;&gt;"",('Дивиденды по годам'!I727-'Дивиденды по годам'!J727-'Дивиденды по годам'!K727)&lt;&gt;0),'Дивиденды по годам'!L727/('Дивиденды по годам'!I727-'Дивиденды по годам'!J727-'Дивиденды по годам'!K727),""),"")</f>
        <v/>
      </c>
      <c r="T727" t="str">
        <f>IFERROR(IF(AND('Дивиденды по годам'!Q727&lt;&gt;"",'Дивиденды по годам'!I727&lt;&gt;"",'Дивиденды по годам'!V727&lt;&gt;"",('Дивиденды по годам'!I727+'Дивиденды по годам'!V727)&lt;&gt;0),'Дивиденды по годам'!Q727/(('Дивиденды по годам'!I727+'Дивиденды по годам'!V727)/2),""),"")</f>
        <v/>
      </c>
      <c r="U727" t="str">
        <f>IFERROR(IF(AND('Дивиденды по годам'!J727&lt;&gt;"",'Дивиденды по годам'!K727&lt;&gt;"",'Дивиденды по годам'!M727&lt;&gt;"",'Дивиденды по годам'!M727&lt;&gt;0),('Дивиденды по годам'!J727+'Дивиденды по годам'!K727)/'Дивиденды по годам'!M727,""),"")</f>
        <v/>
      </c>
      <c r="V727" t="str">
        <f>IFERROR(IF(AND('Дивиденды по годам'!J727&lt;&gt;"",'Дивиденды по годам'!K727&lt;&gt;"",'Дивиденды по годам'!M727&lt;&gt;"",'Дивиденды по годам'!I727&lt;&gt;0),('Дивиденды по годам'!J727+'Дивиденды по годам'!K727)/'Дивиденды по годам'!I727,""),"")</f>
        <v/>
      </c>
      <c r="W727" t="str">
        <f>IFERROR('Дивиденды по годам'!I727,"")</f>
        <v/>
      </c>
      <c r="X727" cm="1">
        <f t="array" ref="X727">IFERROR(AVERAGE(_xlfn._xlws.FILTER(P$2:P$1073,($C$2:$C$1073=$C727)*($E$2:$E$1073=$E727)*(ROW(P$2:P$1073)&lt;&gt;ROW(P727))*(P$2:P$1073&lt;&gt;""))),"")</f>
        <v>25.279360907920736</v>
      </c>
      <c r="Y727" cm="1">
        <f t="array" ref="Y727">IFERROR(AVERAGE(_xlfn._xlws.FILTER(Q$2:Q$1073,($C$2:$C$1073=$C727)*($E$2:$E$1073=$E727)*(ROW(Q$2:Q$1073)&lt;&gt;ROW(Q727))*(Q$2:Q$1073&lt;&gt;""))),"")</f>
        <v>0.26156752075221612</v>
      </c>
      <c r="Z727" cm="1">
        <f t="array" ref="Z727">IFERROR(AVERAGE(_xlfn._xlws.FILTER(R$2:R$1073,($C$2:$C$1073=$C727)*($E$2:$E$1073=$E727)*(ROW(R$2:R$1073)&lt;&gt;ROW(R727))*(R$2:R$1073&lt;&gt;""))),"")</f>
        <v>9.6830410579929804E-2</v>
      </c>
      <c r="AA727" cm="1">
        <f t="array" ref="AA727">IFERROR(AVERAGE(_xlfn._xlws.FILTER(S$2:S$1073,($C$2:$C$1073=$C727)*($E$2:$E$1073=$E727)*(ROW(S$2:S$1073)&lt;&gt;ROW(S727))*(S$2:S$1073&lt;&gt;""))),"")</f>
        <v>1.7199758573549004</v>
      </c>
      <c r="AB727" cm="1">
        <f t="array" ref="AB727">IFERROR(AVERAGE(_xlfn._xlws.FILTER(T$2:T$1073,($C$2:$C$1073=$C727)*($E$2:$E$1073=$E727)*(ROW(T$2:T$1073)&lt;&gt;ROW(T727))*(T$2:T$1073&lt;&gt;""))),"")</f>
        <v>6.7482119215201988E-2</v>
      </c>
      <c r="AC727" cm="1">
        <f t="array" ref="AC727">IFERROR(AVERAGE(_xlfn._xlws.FILTER(U$2:U$1073,($C$2:$C$1073=$C727)*($E$2:$E$1073=$E727)*(ROW(U$2:U$1073)&lt;&gt;ROW(U727))*(U$2:U$1073&lt;&gt;""))),"")</f>
        <v>-10.291341252885539</v>
      </c>
      <c r="AD727" cm="1">
        <f t="array" ref="AD727">IFERROR(AVERAGE(_xlfn._xlws.FILTER(V$2:V$1073,($C$2:$C$1073=$C727)*($E$2:$E$1073=$E727)*(ROW(V$2:V$1073)&lt;&gt;ROW(V727))*(V$2:V$1073&lt;&gt;""))),"")</f>
        <v>0.77820650148801684</v>
      </c>
      <c r="AE727">
        <f>IF('Дивиденды по годам'!M727&lt;0,1,0)</f>
        <v>0</v>
      </c>
    </row>
    <row r="728" spans="1:31" x14ac:dyDescent="0.2">
      <c r="A728" s="7" t="s">
        <v>2268</v>
      </c>
      <c r="B728" t="str">
        <f t="shared" si="121"/>
        <v>X5 IV кв. 2019</v>
      </c>
      <c r="C728">
        <v>2019</v>
      </c>
      <c r="D728">
        <f>SUMIFS(Дивиденды!$C:$C,Дивиденды!$A:$A,A728,Дивиденды!$I:$I,C728)</f>
        <v>0</v>
      </c>
      <c r="E728">
        <v>4</v>
      </c>
      <c r="F728">
        <f t="shared" si="122"/>
        <v>0</v>
      </c>
      <c r="G728">
        <f t="shared" si="123"/>
        <v>24.398571428571426</v>
      </c>
      <c r="H728">
        <f t="shared" si="124"/>
        <v>0</v>
      </c>
      <c r="I728">
        <f t="shared" si="125"/>
        <v>0.21428571428571427</v>
      </c>
      <c r="J728">
        <f t="shared" si="126"/>
        <v>0</v>
      </c>
      <c r="K728">
        <f t="shared" si="131"/>
        <v>0.10876410731109194</v>
      </c>
      <c r="L728">
        <f t="shared" si="127"/>
        <v>0</v>
      </c>
      <c r="M728">
        <f t="shared" si="128"/>
        <v>0.21428571428571427</v>
      </c>
      <c r="N728">
        <f t="shared" si="129"/>
        <v>0</v>
      </c>
      <c r="O728">
        <f t="shared" si="130"/>
        <v>0</v>
      </c>
      <c r="P728" t="str">
        <f>IFERROR(LN('Дивиденды по годам'!I728),"")</f>
        <v/>
      </c>
      <c r="Q728" t="str">
        <f>IFERROR('Дивиденды по годам'!G728/'Дивиденды по годам'!I728, "")</f>
        <v/>
      </c>
      <c r="R728" t="str">
        <f>IFERROR(IF(AND('Дивиденды по годам'!N728&lt;&gt;"",'Дивиденды по годам'!U728&lt;&gt;"",'Дивиденды по годам'!U728&lt;&gt;0),'Дивиденды по годам'!N728/'Дивиденды по годам'!U728-1,""),"")</f>
        <v/>
      </c>
      <c r="S728" t="str">
        <f>IFERROR(IF(AND('Дивиденды по годам'!L728&lt;&gt;"",'Дивиденды по годам'!I728&lt;&gt;"",'Дивиденды по годам'!J728&lt;&gt;"",'Дивиденды по годам'!K728&lt;&gt;"",('Дивиденды по годам'!I728-'Дивиденды по годам'!J728-'Дивиденды по годам'!K728)&lt;&gt;0),'Дивиденды по годам'!L728/('Дивиденды по годам'!I728-'Дивиденды по годам'!J728-'Дивиденды по годам'!K728),""),"")</f>
        <v/>
      </c>
      <c r="T728" t="str">
        <f>IFERROR(IF(AND('Дивиденды по годам'!Q728&lt;&gt;"",'Дивиденды по годам'!I728&lt;&gt;"",'Дивиденды по годам'!V728&lt;&gt;"",('Дивиденды по годам'!I728+'Дивиденды по годам'!V728)&lt;&gt;0),'Дивиденды по годам'!Q728/(('Дивиденды по годам'!I728+'Дивиденды по годам'!V728)/2),""),"")</f>
        <v/>
      </c>
      <c r="U728" t="str">
        <f>IFERROR(IF(AND('Дивиденды по годам'!J728&lt;&gt;"",'Дивиденды по годам'!K728&lt;&gt;"",'Дивиденды по годам'!M728&lt;&gt;"",'Дивиденды по годам'!M728&lt;&gt;0),('Дивиденды по годам'!J728+'Дивиденды по годам'!K728)/'Дивиденды по годам'!M728,""),"")</f>
        <v/>
      </c>
      <c r="V728" t="str">
        <f>IFERROR(IF(AND('Дивиденды по годам'!J728&lt;&gt;"",'Дивиденды по годам'!K728&lt;&gt;"",'Дивиденды по годам'!M728&lt;&gt;"",'Дивиденды по годам'!I728&lt;&gt;0),('Дивиденды по годам'!J728+'Дивиденды по годам'!K728)/'Дивиденды по годам'!I728,""),"")</f>
        <v/>
      </c>
      <c r="W728" t="str">
        <f>IFERROR('Дивиденды по годам'!I728,"")</f>
        <v/>
      </c>
      <c r="X728" cm="1">
        <f t="array" ref="X728">IFERROR(AVERAGE(_xlfn._xlws.FILTER(P$2:P$1073,($C$2:$C$1073=$C728)*($E$2:$E$1073=$E728)*(ROW(P$2:P$1073)&lt;&gt;ROW(P728))*(P$2:P$1073&lt;&gt;""))),"")</f>
        <v>25.116045651461882</v>
      </c>
      <c r="Y728" cm="1">
        <f t="array" ref="Y728">IFERROR(AVERAGE(_xlfn._xlws.FILTER(Q$2:Q$1073,($C$2:$C$1073=$C728)*($E$2:$E$1073=$E728)*(ROW(Q$2:Q$1073)&lt;&gt;ROW(Q728))*(Q$2:Q$1073&lt;&gt;""))),"")</f>
        <v>0.27081451761564085</v>
      </c>
      <c r="Z728" cm="1">
        <f t="array" ref="Z728">IFERROR(AVERAGE(_xlfn._xlws.FILTER(R$2:R$1073,($C$2:$C$1073=$C728)*($E$2:$E$1073=$E728)*(ROW(R$2:R$1073)&lt;&gt;ROW(R728))*(R$2:R$1073&lt;&gt;""))),"")</f>
        <v>0.41255485917491075</v>
      </c>
      <c r="AA728" cm="1">
        <f t="array" ref="AA728">IFERROR(AVERAGE(_xlfn._xlws.FILTER(S$2:S$1073,($C$2:$C$1073=$C728)*($E$2:$E$1073=$E728)*(ROW(S$2:S$1073)&lt;&gt;ROW(S728))*(S$2:S$1073&lt;&gt;""))),"")</f>
        <v>0.89707160002220321</v>
      </c>
      <c r="AB728" cm="1">
        <f t="array" ref="AB728">IFERROR(AVERAGE(_xlfn._xlws.FILTER(T$2:T$1073,($C$2:$C$1073=$C728)*($E$2:$E$1073=$E728)*(ROW(T$2:T$1073)&lt;&gt;ROW(T728))*(T$2:T$1073&lt;&gt;""))),"")</f>
        <v>4.8479450567785541E-2</v>
      </c>
      <c r="AC728" cm="1">
        <f t="array" ref="AC728">IFERROR(AVERAGE(_xlfn._xlws.FILTER(U$2:U$1073,($C$2:$C$1073=$C728)*($E$2:$E$1073=$E728)*(ROW(U$2:U$1073)&lt;&gt;ROW(U728))*(U$2:U$1073&lt;&gt;""))),"")</f>
        <v>-2.6443211935212805</v>
      </c>
      <c r="AD728" cm="1">
        <f t="array" ref="AD728">IFERROR(AVERAGE(_xlfn._xlws.FILTER(V$2:V$1073,($C$2:$C$1073=$C728)*($E$2:$E$1073=$E728)*(ROW(V$2:V$1073)&lt;&gt;ROW(V728))*(V$2:V$1073&lt;&gt;""))),"")</f>
        <v>0.81339122582508594</v>
      </c>
      <c r="AE728">
        <f>IF('Дивиденды по годам'!M728&lt;0,1,0)</f>
        <v>0</v>
      </c>
    </row>
    <row r="729" spans="1:31" x14ac:dyDescent="0.2">
      <c r="A729" s="7" t="s">
        <v>2268</v>
      </c>
      <c r="B729" t="str">
        <f t="shared" si="121"/>
        <v>X5 IV кв. 2018</v>
      </c>
      <c r="C729">
        <v>2018</v>
      </c>
      <c r="D729">
        <f>SUMIFS(Дивиденды!$C:$C,Дивиденды!$A:$A,A729,Дивиденды!$I:$I,C729)</f>
        <v>0</v>
      </c>
      <c r="E729">
        <v>4</v>
      </c>
      <c r="F729">
        <f t="shared" si="122"/>
        <v>0</v>
      </c>
      <c r="G729">
        <f t="shared" si="123"/>
        <v>21.978571428571428</v>
      </c>
      <c r="H729">
        <f t="shared" si="124"/>
        <v>0</v>
      </c>
      <c r="I729">
        <f t="shared" si="125"/>
        <v>0.14285714285714285</v>
      </c>
      <c r="J729">
        <f t="shared" si="126"/>
        <v>0</v>
      </c>
      <c r="K729">
        <f t="shared" si="131"/>
        <v>-1.8223065562117002E-2</v>
      </c>
      <c r="L729">
        <f t="shared" si="127"/>
        <v>0</v>
      </c>
      <c r="M729">
        <f t="shared" si="128"/>
        <v>7.1428571428571425E-2</v>
      </c>
      <c r="N729">
        <f t="shared" si="129"/>
        <v>0</v>
      </c>
      <c r="O729">
        <f t="shared" si="130"/>
        <v>7.1428571428571425E-2</v>
      </c>
      <c r="P729" t="str">
        <f>IFERROR(LN('Дивиденды по годам'!I729),"")</f>
        <v/>
      </c>
      <c r="Q729" t="str">
        <f>IFERROR('Дивиденды по годам'!G729/'Дивиденды по годам'!I729, "")</f>
        <v/>
      </c>
      <c r="R729" t="str">
        <f>IFERROR(IF(AND('Дивиденды по годам'!N729&lt;&gt;"",'Дивиденды по годам'!U729&lt;&gt;"",'Дивиденды по годам'!U729&lt;&gt;0),'Дивиденды по годам'!N729/'Дивиденды по годам'!U729-1,""),"")</f>
        <v/>
      </c>
      <c r="S729" t="str">
        <f>IFERROR(IF(AND('Дивиденды по годам'!L729&lt;&gt;"",'Дивиденды по годам'!I729&lt;&gt;"",'Дивиденды по годам'!J729&lt;&gt;"",'Дивиденды по годам'!K729&lt;&gt;"",('Дивиденды по годам'!I729-'Дивиденды по годам'!J729-'Дивиденды по годам'!K729)&lt;&gt;0),'Дивиденды по годам'!L729/('Дивиденды по годам'!I729-'Дивиденды по годам'!J729-'Дивиденды по годам'!K729),""),"")</f>
        <v/>
      </c>
      <c r="T729" t="str">
        <f>IFERROR(IF(AND('Дивиденды по годам'!Q729&lt;&gt;"",'Дивиденды по годам'!I729&lt;&gt;"",'Дивиденды по годам'!V729&lt;&gt;"",('Дивиденды по годам'!I729+'Дивиденды по годам'!V729)&lt;&gt;0),'Дивиденды по годам'!Q729/(('Дивиденды по годам'!I729+'Дивиденды по годам'!V729)/2),""),"")</f>
        <v/>
      </c>
      <c r="U729" t="str">
        <f>IFERROR(IF(AND('Дивиденды по годам'!J729&lt;&gt;"",'Дивиденды по годам'!K729&lt;&gt;"",'Дивиденды по годам'!M729&lt;&gt;"",'Дивиденды по годам'!M729&lt;&gt;0),('Дивиденды по годам'!J729+'Дивиденды по годам'!K729)/'Дивиденды по годам'!M729,""),"")</f>
        <v/>
      </c>
      <c r="V729" t="str">
        <f>IFERROR(IF(AND('Дивиденды по годам'!J729&lt;&gt;"",'Дивиденды по годам'!K729&lt;&gt;"",'Дивиденды по годам'!M729&lt;&gt;"",'Дивиденды по годам'!I729&lt;&gt;0),('Дивиденды по годам'!J729+'Дивиденды по годам'!K729)/'Дивиденды по годам'!I729,""),"")</f>
        <v/>
      </c>
      <c r="W729" t="str">
        <f>IFERROR('Дивиденды по годам'!I729,"")</f>
        <v/>
      </c>
      <c r="X729" cm="1">
        <f t="array" ref="X729">IFERROR(AVERAGE(_xlfn._xlws.FILTER(P$2:P$1073,($C$2:$C$1073=$C729)*($E$2:$E$1073=$E729)*(ROW(P$2:P$1073)&lt;&gt;ROW(P729))*(P$2:P$1073&lt;&gt;""))),"")</f>
        <v>24.908270704496481</v>
      </c>
      <c r="Y729" cm="1">
        <f t="array" ref="Y729">IFERROR(AVERAGE(_xlfn._xlws.FILTER(Q$2:Q$1073,($C$2:$C$1073=$C729)*($E$2:$E$1073=$E729)*(ROW(Q$2:Q$1073)&lt;&gt;ROW(Q729))*(Q$2:Q$1073&lt;&gt;""))),"")</f>
        <v>0.31629947227527405</v>
      </c>
      <c r="Z729" cm="1">
        <f t="array" ref="Z729">IFERROR(AVERAGE(_xlfn._xlws.FILTER(R$2:R$1073,($C$2:$C$1073=$C729)*($E$2:$E$1073=$E729)*(ROW(R$2:R$1073)&lt;&gt;ROW(R729))*(R$2:R$1073&lt;&gt;""))),"")</f>
        <v>5.6638288450543382E-2</v>
      </c>
      <c r="AA729" cm="1">
        <f t="array" ref="AA729">IFERROR(AVERAGE(_xlfn._xlws.FILTER(S$2:S$1073,($C$2:$C$1073=$C729)*($E$2:$E$1073=$E729)*(ROW(S$2:S$1073)&lt;&gt;ROW(S729))*(S$2:S$1073&lt;&gt;""))),"")</f>
        <v>0.64427650310006845</v>
      </c>
      <c r="AB729" cm="1">
        <f t="array" ref="AB729">IFERROR(AVERAGE(_xlfn._xlws.FILTER(T$2:T$1073,($C$2:$C$1073=$C729)*($E$2:$E$1073=$E729)*(ROW(T$2:T$1073)&lt;&gt;ROW(T729))*(T$2:T$1073&lt;&gt;""))),"")</f>
        <v>7.1418821660913928E-3</v>
      </c>
      <c r="AC729" cm="1">
        <f t="array" ref="AC729">IFERROR(AVERAGE(_xlfn._xlws.FILTER(U$2:U$1073,($C$2:$C$1073=$C729)*($E$2:$E$1073=$E729)*(ROW(U$2:U$1073)&lt;&gt;ROW(U729))*(U$2:U$1073&lt;&gt;""))),"")</f>
        <v>1.0767813683356515</v>
      </c>
      <c r="AD729" cm="1">
        <f t="array" ref="AD729">IFERROR(AVERAGE(_xlfn._xlws.FILTER(V$2:V$1073,($C$2:$C$1073=$C729)*($E$2:$E$1073=$E729)*(ROW(V$2:V$1073)&lt;&gt;ROW(V729))*(V$2:V$1073&lt;&gt;""))),"")</f>
        <v>0.81626365949041058</v>
      </c>
      <c r="AE729">
        <f>IF('Дивиденды по годам'!M729&lt;0,1,0)</f>
        <v>0</v>
      </c>
    </row>
    <row r="730" spans="1:31" x14ac:dyDescent="0.2">
      <c r="A730" s="7" t="s">
        <v>2268</v>
      </c>
      <c r="B730" t="str">
        <f t="shared" si="121"/>
        <v>X5 IV кв. 2017</v>
      </c>
      <c r="C730">
        <v>2017</v>
      </c>
      <c r="D730">
        <f>SUMIFS(Дивиденды!$C:$C,Дивиденды!$A:$A,A730,Дивиденды!$I:$I,C730)</f>
        <v>0</v>
      </c>
      <c r="E730">
        <v>4</v>
      </c>
      <c r="F730">
        <f t="shared" si="122"/>
        <v>0</v>
      </c>
      <c r="G730">
        <f t="shared" si="123"/>
        <v>18.403571428571428</v>
      </c>
      <c r="H730">
        <f t="shared" si="124"/>
        <v>0</v>
      </c>
      <c r="I730">
        <f t="shared" si="125"/>
        <v>0.14285714285714285</v>
      </c>
      <c r="J730">
        <f t="shared" si="126"/>
        <v>0</v>
      </c>
      <c r="K730">
        <f t="shared" si="131"/>
        <v>-1.7352821773673279E-2</v>
      </c>
      <c r="L730">
        <f t="shared" si="127"/>
        <v>0</v>
      </c>
      <c r="M730">
        <f t="shared" si="128"/>
        <v>0</v>
      </c>
      <c r="N730">
        <f t="shared" si="129"/>
        <v>0</v>
      </c>
      <c r="O730">
        <f t="shared" si="130"/>
        <v>0.14285714285714285</v>
      </c>
      <c r="P730" t="str">
        <f>IFERROR(LN('Дивиденды по годам'!I730),"")</f>
        <v/>
      </c>
      <c r="Q730" t="str">
        <f>IFERROR('Дивиденды по годам'!G730/'Дивиденды по годам'!I730, "")</f>
        <v/>
      </c>
      <c r="R730" t="str">
        <f>IFERROR(IF(AND('Дивиденды по годам'!N730&lt;&gt;"",'Дивиденды по годам'!U730&lt;&gt;"",'Дивиденды по годам'!U730&lt;&gt;0),'Дивиденды по годам'!N730/'Дивиденды по годам'!U730-1,""),"")</f>
        <v/>
      </c>
      <c r="S730" t="str">
        <f>IFERROR(IF(AND('Дивиденды по годам'!L730&lt;&gt;"",'Дивиденды по годам'!I730&lt;&gt;"",'Дивиденды по годам'!J730&lt;&gt;"",'Дивиденды по годам'!K730&lt;&gt;"",('Дивиденды по годам'!I730-'Дивиденды по годам'!J730-'Дивиденды по годам'!K730)&lt;&gt;0),'Дивиденды по годам'!L730/('Дивиденды по годам'!I730-'Дивиденды по годам'!J730-'Дивиденды по годам'!K730),""),"")</f>
        <v/>
      </c>
      <c r="T730" t="str">
        <f>IFERROR(IF(AND('Дивиденды по годам'!Q730&lt;&gt;"",'Дивиденды по годам'!I730&lt;&gt;"",'Дивиденды по годам'!V730&lt;&gt;"",('Дивиденды по годам'!I730+'Дивиденды по годам'!V730)&lt;&gt;0),'Дивиденды по годам'!Q730/(('Дивиденды по годам'!I730+'Дивиденды по годам'!V730)/2),""),"")</f>
        <v/>
      </c>
      <c r="U730" t="str">
        <f>IFERROR(IF(AND('Дивиденды по годам'!J730&lt;&gt;"",'Дивиденды по годам'!K730&lt;&gt;"",'Дивиденды по годам'!M730&lt;&gt;"",'Дивиденды по годам'!M730&lt;&gt;0),('Дивиденды по годам'!J730+'Дивиденды по годам'!K730)/'Дивиденды по годам'!M730,""),"")</f>
        <v/>
      </c>
      <c r="V730" t="str">
        <f>IFERROR(IF(AND('Дивиденды по годам'!J730&lt;&gt;"",'Дивиденды по годам'!K730&lt;&gt;"",'Дивиденды по годам'!M730&lt;&gt;"",'Дивиденды по годам'!I730&lt;&gt;0),('Дивиденды по годам'!J730+'Дивиденды по годам'!K730)/'Дивиденды по годам'!I730,""),"")</f>
        <v/>
      </c>
      <c r="W730" t="str">
        <f>IFERROR('Дивиденды по годам'!I730,"")</f>
        <v/>
      </c>
      <c r="X730" cm="1">
        <f t="array" ref="X730">IFERROR(AVERAGE(_xlfn._xlws.FILTER(P$2:P$1073,($C$2:$C$1073=$C730)*($E$2:$E$1073=$E730)*(ROW(P$2:P$1073)&lt;&gt;ROW(P730))*(P$2:P$1073&lt;&gt;""))),"")</f>
        <v>24.73571056544559</v>
      </c>
      <c r="Y730" cm="1">
        <f t="array" ref="Y730">IFERROR(AVERAGE(_xlfn._xlws.FILTER(Q$2:Q$1073,($C$2:$C$1073=$C730)*($E$2:$E$1073=$E730)*(ROW(Q$2:Q$1073)&lt;&gt;ROW(Q730))*(Q$2:Q$1073&lt;&gt;""))),"")</f>
        <v>0.33981210980429821</v>
      </c>
      <c r="Z730" cm="1">
        <f t="array" ref="Z730">IFERROR(AVERAGE(_xlfn._xlws.FILTER(R$2:R$1073,($C$2:$C$1073=$C730)*($E$2:$E$1073=$E730)*(ROW(R$2:R$1073)&lt;&gt;ROW(R730))*(R$2:R$1073&lt;&gt;""))),"")</f>
        <v>0.23691718521625563</v>
      </c>
      <c r="AA730" cm="1">
        <f t="array" ref="AA730">IFERROR(AVERAGE(_xlfn._xlws.FILTER(S$2:S$1073,($C$2:$C$1073=$C730)*($E$2:$E$1073=$E730)*(ROW(S$2:S$1073)&lt;&gt;ROW(S730))*(S$2:S$1073&lt;&gt;""))),"")</f>
        <v>0.61774629406594017</v>
      </c>
      <c r="AB730" cm="1">
        <f t="array" ref="AB730">IFERROR(AVERAGE(_xlfn._xlws.FILTER(T$2:T$1073,($C$2:$C$1073=$C730)*($E$2:$E$1073=$E730)*(ROW(T$2:T$1073)&lt;&gt;ROW(T730))*(T$2:T$1073&lt;&gt;""))),"")</f>
        <v>-2.7044382152168867E-2</v>
      </c>
      <c r="AC730" cm="1">
        <f t="array" ref="AC730">IFERROR(AVERAGE(_xlfn._xlws.FILTER(U$2:U$1073,($C$2:$C$1073=$C730)*($E$2:$E$1073=$E730)*(ROW(U$2:U$1073)&lt;&gt;ROW(U730))*(U$2:U$1073&lt;&gt;""))),"")</f>
        <v>0.62620703107195774</v>
      </c>
      <c r="AD730" cm="1">
        <f t="array" ref="AD730">IFERROR(AVERAGE(_xlfn._xlws.FILTER(V$2:V$1073,($C$2:$C$1073=$C730)*($E$2:$E$1073=$E730)*(ROW(V$2:V$1073)&lt;&gt;ROW(V730))*(V$2:V$1073&lt;&gt;""))),"")</f>
        <v>0.66654193671015471</v>
      </c>
      <c r="AE730">
        <f>IF('Дивиденды по годам'!M730&lt;0,1,0)</f>
        <v>0</v>
      </c>
    </row>
    <row r="731" spans="1:31" x14ac:dyDescent="0.2">
      <c r="A731" s="7" t="s">
        <v>2268</v>
      </c>
      <c r="B731" t="str">
        <f t="shared" si="121"/>
        <v>X5 IV кв. 2016</v>
      </c>
      <c r="C731">
        <v>2016</v>
      </c>
      <c r="D731">
        <f>SUMIFS(Дивиденды!$C:$C,Дивиденды!$A:$A,A731,Дивиденды!$I:$I,C731)</f>
        <v>0</v>
      </c>
      <c r="E731">
        <v>4</v>
      </c>
      <c r="F731">
        <f t="shared" si="122"/>
        <v>0</v>
      </c>
      <c r="G731">
        <f t="shared" si="123"/>
        <v>20.421428571428571</v>
      </c>
      <c r="H731">
        <f t="shared" si="124"/>
        <v>0</v>
      </c>
      <c r="I731">
        <f t="shared" si="125"/>
        <v>0.14285714285714285</v>
      </c>
      <c r="J731">
        <f t="shared" si="126"/>
        <v>0</v>
      </c>
      <c r="K731">
        <f t="shared" si="131"/>
        <v>2.0593461763560781E-2</v>
      </c>
      <c r="L731">
        <f t="shared" si="127"/>
        <v>0</v>
      </c>
      <c r="M731">
        <f t="shared" si="128"/>
        <v>7.1428571428571425E-2</v>
      </c>
      <c r="N731">
        <f t="shared" si="129"/>
        <v>0</v>
      </c>
      <c r="O731">
        <f t="shared" si="130"/>
        <v>7.1428571428571425E-2</v>
      </c>
      <c r="P731" t="str">
        <f>IFERROR(LN('Дивиденды по годам'!I731),"")</f>
        <v/>
      </c>
      <c r="Q731" t="str">
        <f>IFERROR('Дивиденды по годам'!G731/'Дивиденды по годам'!I731, "")</f>
        <v/>
      </c>
      <c r="R731" t="str">
        <f>IFERROR(IF(AND('Дивиденды по годам'!N731&lt;&gt;"",'Дивиденды по годам'!U731&lt;&gt;"",'Дивиденды по годам'!U731&lt;&gt;0),'Дивиденды по годам'!N731/'Дивиденды по годам'!U731-1,""),"")</f>
        <v/>
      </c>
      <c r="S731" t="str">
        <f>IFERROR(IF(AND('Дивиденды по годам'!L731&lt;&gt;"",'Дивиденды по годам'!I731&lt;&gt;"",'Дивиденды по годам'!J731&lt;&gt;"",'Дивиденды по годам'!K731&lt;&gt;"",('Дивиденды по годам'!I731-'Дивиденды по годам'!J731-'Дивиденды по годам'!K731)&lt;&gt;0),'Дивиденды по годам'!L731/('Дивиденды по годам'!I731-'Дивиденды по годам'!J731-'Дивиденды по годам'!K731),""),"")</f>
        <v/>
      </c>
      <c r="T731" t="str">
        <f>IFERROR(IF(AND('Дивиденды по годам'!Q731&lt;&gt;"",'Дивиденды по годам'!I731&lt;&gt;"",'Дивиденды по годам'!V731&lt;&gt;"",('Дивиденды по годам'!I731+'Дивиденды по годам'!V731)&lt;&gt;0),'Дивиденды по годам'!Q731/(('Дивиденды по годам'!I731+'Дивиденды по годам'!V731)/2),""),"")</f>
        <v/>
      </c>
      <c r="U731" t="str">
        <f>IFERROR(IF(AND('Дивиденды по годам'!J731&lt;&gt;"",'Дивиденды по годам'!K731&lt;&gt;"",'Дивиденды по годам'!M731&lt;&gt;"",'Дивиденды по годам'!M731&lt;&gt;0),('Дивиденды по годам'!J731+'Дивиденды по годам'!K731)/'Дивиденды по годам'!M731,""),"")</f>
        <v/>
      </c>
      <c r="V731" t="str">
        <f>IFERROR(IF(AND('Дивиденды по годам'!J731&lt;&gt;"",'Дивиденды по годам'!K731&lt;&gt;"",'Дивиденды по годам'!M731&lt;&gt;"",'Дивиденды по годам'!I731&lt;&gt;0),('Дивиденды по годам'!J731+'Дивиденды по годам'!K731)/'Дивиденды по годам'!I731,""),"")</f>
        <v/>
      </c>
      <c r="W731" t="str">
        <f>IFERROR('Дивиденды по годам'!I731,"")</f>
        <v/>
      </c>
      <c r="X731" cm="1">
        <f t="array" ref="X731">IFERROR(AVERAGE(_xlfn._xlws.FILTER(P$2:P$1073,($C$2:$C$1073=$C731)*($E$2:$E$1073=$E731)*(ROW(P$2:P$1073)&lt;&gt;ROW(P731))*(P$2:P$1073&lt;&gt;""))),"")</f>
        <v>24.55530958635584</v>
      </c>
      <c r="Y731" cm="1">
        <f t="array" ref="Y731">IFERROR(AVERAGE(_xlfn._xlws.FILTER(Q$2:Q$1073,($C$2:$C$1073=$C731)*($E$2:$E$1073=$E731)*(ROW(Q$2:Q$1073)&lt;&gt;ROW(Q731))*(Q$2:Q$1073&lt;&gt;""))),"")</f>
        <v>0.27878606899788128</v>
      </c>
      <c r="Z731" cm="1">
        <f t="array" ref="Z731">IFERROR(AVERAGE(_xlfn._xlws.FILTER(R$2:R$1073,($C$2:$C$1073=$C731)*($E$2:$E$1073=$E731)*(ROW(R$2:R$1073)&lt;&gt;ROW(R731))*(R$2:R$1073&lt;&gt;""))),"")</f>
        <v>0.16612325919082049</v>
      </c>
      <c r="AA731" cm="1">
        <f t="array" ref="AA731">IFERROR(AVERAGE(_xlfn._xlws.FILTER(S$2:S$1073,($C$2:$C$1073=$C731)*($E$2:$E$1073=$E731)*(ROW(S$2:S$1073)&lt;&gt;ROW(S731))*(S$2:S$1073&lt;&gt;""))),"")</f>
        <v>6.2178681719613929</v>
      </c>
      <c r="AB731" cm="1">
        <f t="array" ref="AB731">IFERROR(AVERAGE(_xlfn._xlws.FILTER(T$2:T$1073,($C$2:$C$1073=$C731)*($E$2:$E$1073=$E731)*(ROW(T$2:T$1073)&lt;&gt;ROW(T731))*(T$2:T$1073&lt;&gt;""))),"")</f>
        <v>-2.007011623977166E-2</v>
      </c>
      <c r="AC731" cm="1">
        <f t="array" ref="AC731">IFERROR(AVERAGE(_xlfn._xlws.FILTER(U$2:U$1073,($C$2:$C$1073=$C731)*($E$2:$E$1073=$E731)*(ROW(U$2:U$1073)&lt;&gt;ROW(U731))*(U$2:U$1073&lt;&gt;""))),"")</f>
        <v>-16.044507701133888</v>
      </c>
      <c r="AD731" cm="1">
        <f t="array" ref="AD731">IFERROR(AVERAGE(_xlfn._xlws.FILTER(V$2:V$1073,($C$2:$C$1073=$C731)*($E$2:$E$1073=$E731)*(ROW(V$2:V$1073)&lt;&gt;ROW(V731))*(V$2:V$1073&lt;&gt;""))),"")</f>
        <v>0.64687882816141706</v>
      </c>
      <c r="AE731">
        <f>IF('Дивиденды по годам'!M731&lt;0,1,0)</f>
        <v>0</v>
      </c>
    </row>
    <row r="732" spans="1:31" x14ac:dyDescent="0.2">
      <c r="A732" s="7" t="s">
        <v>2268</v>
      </c>
      <c r="B732" t="str">
        <f t="shared" si="121"/>
        <v>X5 IV кв. 2015</v>
      </c>
      <c r="C732">
        <v>2015</v>
      </c>
      <c r="D732">
        <f>SUMIFS(Дивиденды!$C:$C,Дивиденды!$A:$A,A732,Дивиденды!$I:$I,C732)</f>
        <v>0</v>
      </c>
      <c r="E732">
        <v>4</v>
      </c>
      <c r="F732">
        <f t="shared" si="122"/>
        <v>0</v>
      </c>
      <c r="G732">
        <f t="shared" si="123"/>
        <v>22.574999999999999</v>
      </c>
      <c r="H732">
        <f t="shared" si="124"/>
        <v>0</v>
      </c>
      <c r="I732">
        <f t="shared" si="125"/>
        <v>0.14285714285714285</v>
      </c>
      <c r="J732">
        <f t="shared" si="126"/>
        <v>0</v>
      </c>
      <c r="K732">
        <f t="shared" si="131"/>
        <v>6.1102189263868886E-2</v>
      </c>
      <c r="L732">
        <f t="shared" si="127"/>
        <v>0</v>
      </c>
      <c r="M732">
        <f t="shared" si="128"/>
        <v>7.1428571428571425E-2</v>
      </c>
      <c r="N732">
        <f t="shared" si="129"/>
        <v>0</v>
      </c>
      <c r="O732">
        <f t="shared" si="130"/>
        <v>7.1428571428571425E-2</v>
      </c>
      <c r="P732" t="str">
        <f>IFERROR(LN('Дивиденды по годам'!I732),"")</f>
        <v/>
      </c>
      <c r="Q732" t="str">
        <f>IFERROR('Дивиденды по годам'!G732/'Дивиденды по годам'!I732, "")</f>
        <v/>
      </c>
      <c r="R732" t="str">
        <f>IFERROR(IF(AND('Дивиденды по годам'!N732&lt;&gt;"",'Дивиденды по годам'!U732&lt;&gt;"",'Дивиденды по годам'!U732&lt;&gt;0),'Дивиденды по годам'!N732/'Дивиденды по годам'!U732-1,""),"")</f>
        <v/>
      </c>
      <c r="S732" t="str">
        <f>IFERROR(IF(AND('Дивиденды по годам'!L732&lt;&gt;"",'Дивиденды по годам'!I732&lt;&gt;"",'Дивиденды по годам'!J732&lt;&gt;"",'Дивиденды по годам'!K732&lt;&gt;"",('Дивиденды по годам'!I732-'Дивиденды по годам'!J732-'Дивиденды по годам'!K732)&lt;&gt;0),'Дивиденды по годам'!L732/('Дивиденды по годам'!I732-'Дивиденды по годам'!J732-'Дивиденды по годам'!K732),""),"")</f>
        <v/>
      </c>
      <c r="T732" t="str">
        <f>IFERROR(IF(AND('Дивиденды по годам'!Q732&lt;&gt;"",'Дивиденды по годам'!I732&lt;&gt;"",'Дивиденды по годам'!V732&lt;&gt;"",('Дивиденды по годам'!I732+'Дивиденды по годам'!V732)&lt;&gt;0),'Дивиденды по годам'!Q732/(('Дивиденды по годам'!I732+'Дивиденды по годам'!V732)/2),""),"")</f>
        <v/>
      </c>
      <c r="U732" t="str">
        <f>IFERROR(IF(AND('Дивиденды по годам'!J732&lt;&gt;"",'Дивиденды по годам'!K732&lt;&gt;"",'Дивиденды по годам'!M732&lt;&gt;"",'Дивиденды по годам'!M732&lt;&gt;0),('Дивиденды по годам'!J732+'Дивиденды по годам'!K732)/'Дивиденды по годам'!M732,""),"")</f>
        <v/>
      </c>
      <c r="V732" t="str">
        <f>IFERROR(IF(AND('Дивиденды по годам'!J732&lt;&gt;"",'Дивиденды по годам'!K732&lt;&gt;"",'Дивиденды по годам'!M732&lt;&gt;"",'Дивиденды по годам'!I732&lt;&gt;0),('Дивиденды по годам'!J732+'Дивиденды по годам'!K732)/'Дивиденды по годам'!I732,""),"")</f>
        <v/>
      </c>
      <c r="W732" t="str">
        <f>IFERROR('Дивиденды по годам'!I732,"")</f>
        <v/>
      </c>
      <c r="X732" cm="1">
        <f t="array" ref="X732">IFERROR(AVERAGE(_xlfn._xlws.FILTER(P$2:P$1073,($C$2:$C$1073=$C732)*($E$2:$E$1073=$E732)*(ROW(P$2:P$1073)&lt;&gt;ROW(P732))*(P$2:P$1073&lt;&gt;""))),"")</f>
        <v>24.784857390248948</v>
      </c>
      <c r="Y732" cm="1">
        <f t="array" ref="Y732">IFERROR(AVERAGE(_xlfn._xlws.FILTER(Q$2:Q$1073,($C$2:$C$1073=$C732)*($E$2:$E$1073=$E732)*(ROW(Q$2:Q$1073)&lt;&gt;ROW(Q732))*(Q$2:Q$1073&lt;&gt;""))),"")</f>
        <v>0.29707306985497267</v>
      </c>
      <c r="Z732" cm="1">
        <f t="array" ref="Z732">IFERROR(AVERAGE(_xlfn._xlws.FILTER(R$2:R$1073,($C$2:$C$1073=$C732)*($E$2:$E$1073=$E732)*(ROW(R$2:R$1073)&lt;&gt;ROW(R732))*(R$2:R$1073&lt;&gt;""))),"")</f>
        <v>0.20074687596566593</v>
      </c>
      <c r="AA732" cm="1">
        <f t="array" ref="AA732">IFERROR(AVERAGE(_xlfn._xlws.FILTER(S$2:S$1073,($C$2:$C$1073=$C732)*($E$2:$E$1073=$E732)*(ROW(S$2:S$1073)&lt;&gt;ROW(S732))*(S$2:S$1073&lt;&gt;""))),"")</f>
        <v>-0.60736862679830428</v>
      </c>
      <c r="AB732" cm="1">
        <f t="array" ref="AB732">IFERROR(AVERAGE(_xlfn._xlws.FILTER(T$2:T$1073,($C$2:$C$1073=$C732)*($E$2:$E$1073=$E732)*(ROW(T$2:T$1073)&lt;&gt;ROW(T732))*(T$2:T$1073&lt;&gt;""))),"")</f>
        <v>6.4031956193225284E-2</v>
      </c>
      <c r="AC732" cm="1">
        <f t="array" ref="AC732">IFERROR(AVERAGE(_xlfn._xlws.FILTER(U$2:U$1073,($C$2:$C$1073=$C732)*($E$2:$E$1073=$E732)*(ROW(U$2:U$1073)&lt;&gt;ROW(U732))*(U$2:U$1073&lt;&gt;""))),"")</f>
        <v>5.5189604575277329</v>
      </c>
      <c r="AD732" cm="1">
        <f t="array" ref="AD732">IFERROR(AVERAGE(_xlfn._xlws.FILTER(V$2:V$1073,($C$2:$C$1073=$C732)*($E$2:$E$1073=$E732)*(ROW(V$2:V$1073)&lt;&gt;ROW(V732))*(V$2:V$1073&lt;&gt;""))),"")</f>
        <v>0.63096522939864874</v>
      </c>
      <c r="AE732">
        <f>IF('Дивиденды по годам'!M732&lt;0,1,0)</f>
        <v>0</v>
      </c>
    </row>
    <row r="733" spans="1:31" x14ac:dyDescent="0.2">
      <c r="A733" s="7" t="s">
        <v>2268</v>
      </c>
      <c r="B733" t="str">
        <f t="shared" si="121"/>
        <v>X5 IV кв. 2014</v>
      </c>
      <c r="C733">
        <v>2014</v>
      </c>
      <c r="D733">
        <f>SUMIFS(Дивиденды!$C:$C,Дивиденды!$A:$A,A733,Дивиденды!$I:$I,C733)</f>
        <v>0</v>
      </c>
      <c r="E733">
        <v>4</v>
      </c>
      <c r="F733">
        <f t="shared" si="122"/>
        <v>0</v>
      </c>
      <c r="G733">
        <f t="shared" si="123"/>
        <v>25.924285714285713</v>
      </c>
      <c r="H733">
        <f t="shared" si="124"/>
        <v>0</v>
      </c>
      <c r="I733">
        <f t="shared" si="125"/>
        <v>7.1428571428571425E-2</v>
      </c>
      <c r="J733">
        <f t="shared" si="126"/>
        <v>0</v>
      </c>
      <c r="K733">
        <f t="shared" si="131"/>
        <v>4.887635107293415E-2</v>
      </c>
      <c r="L733">
        <f t="shared" si="127"/>
        <v>0</v>
      </c>
      <c r="M733">
        <f t="shared" si="128"/>
        <v>7.1428571428571425E-2</v>
      </c>
      <c r="N733">
        <f t="shared" si="129"/>
        <v>0</v>
      </c>
      <c r="O733">
        <f t="shared" si="130"/>
        <v>7.1428571428571425E-2</v>
      </c>
      <c r="P733" t="str">
        <f>IFERROR(LN('Дивиденды по годам'!I733),"")</f>
        <v/>
      </c>
      <c r="Q733" t="str">
        <f>IFERROR('Дивиденды по годам'!G733/'Дивиденды по годам'!I733, "")</f>
        <v/>
      </c>
      <c r="R733" t="str">
        <f>IFERROR(IF(AND('Дивиденды по годам'!N733&lt;&gt;"",'Дивиденды по годам'!U733&lt;&gt;"",'Дивиденды по годам'!U733&lt;&gt;0),'Дивиденды по годам'!N733/'Дивиденды по годам'!U733-1,""),"")</f>
        <v/>
      </c>
      <c r="S733" t="str">
        <f>IFERROR(IF(AND('Дивиденды по годам'!L733&lt;&gt;"",'Дивиденды по годам'!I733&lt;&gt;"",'Дивиденды по годам'!J733&lt;&gt;"",'Дивиденды по годам'!K733&lt;&gt;"",('Дивиденды по годам'!I733-'Дивиденды по годам'!J733-'Дивиденды по годам'!K733)&lt;&gt;0),'Дивиденды по годам'!L733/('Дивиденды по годам'!I733-'Дивиденды по годам'!J733-'Дивиденды по годам'!K733),""),"")</f>
        <v/>
      </c>
      <c r="T733" t="str">
        <f>IFERROR(IF(AND('Дивиденды по годам'!Q733&lt;&gt;"",'Дивиденды по годам'!I733&lt;&gt;"",'Дивиденды по годам'!V733&lt;&gt;"",('Дивиденды по годам'!I733+'Дивиденды по годам'!V733)&lt;&gt;0),'Дивиденды по годам'!Q733/(('Дивиденды по годам'!I733+'Дивиденды по годам'!V733)/2),""),"")</f>
        <v/>
      </c>
      <c r="U733" t="str">
        <f>IFERROR(IF(AND('Дивиденды по годам'!J733&lt;&gt;"",'Дивиденды по годам'!K733&lt;&gt;"",'Дивиденды по годам'!M733&lt;&gt;"",'Дивиденды по годам'!M733&lt;&gt;0),('Дивиденды по годам'!J733+'Дивиденды по годам'!K733)/'Дивиденды по годам'!M733,""),"")</f>
        <v/>
      </c>
      <c r="V733" t="str">
        <f>IFERROR(IF(AND('Дивиденды по годам'!J733&lt;&gt;"",'Дивиденды по годам'!K733&lt;&gt;"",'Дивиденды по годам'!M733&lt;&gt;"",'Дивиденды по годам'!I733&lt;&gt;0),('Дивиденды по годам'!J733+'Дивиденды по годам'!K733)/'Дивиденды по годам'!I733,""),"")</f>
        <v/>
      </c>
      <c r="W733" t="str">
        <f>IFERROR('Дивиденды по годам'!I733,"")</f>
        <v/>
      </c>
      <c r="X733" cm="1">
        <f t="array" ref="X733">IFERROR(AVERAGE(_xlfn._xlws.FILTER(P$2:P$1073,($C$2:$C$1073=$C733)*($E$2:$E$1073=$E733)*(ROW(P$2:P$1073)&lt;&gt;ROW(P733))*(P$2:P$1073&lt;&gt;""))),"")</f>
        <v>24.777851287837404</v>
      </c>
      <c r="Y733" cm="1">
        <f t="array" ref="Y733">IFERROR(AVERAGE(_xlfn._xlws.FILTER(Q$2:Q$1073,($C$2:$C$1073=$C733)*($E$2:$E$1073=$E733)*(ROW(Q$2:Q$1073)&lt;&gt;ROW(Q733))*(Q$2:Q$1073&lt;&gt;""))),"")</f>
        <v>0.28994951624266957</v>
      </c>
      <c r="Z733" cm="1">
        <f t="array" ref="Z733">IFERROR(AVERAGE(_xlfn._xlws.FILTER(R$2:R$1073,($C$2:$C$1073=$C733)*($E$2:$E$1073=$E733)*(ROW(R$2:R$1073)&lt;&gt;ROW(R733))*(R$2:R$1073&lt;&gt;""))),"")</f>
        <v>8.5517195784799244E-2</v>
      </c>
      <c r="AA733" cm="1">
        <f t="array" ref="AA733">IFERROR(AVERAGE(_xlfn._xlws.FILTER(S$2:S$1073,($C$2:$C$1073=$C733)*($E$2:$E$1073=$E733)*(ROW(S$2:S$1073)&lt;&gt;ROW(S733))*(S$2:S$1073&lt;&gt;""))),"")</f>
        <v>-8.9932559622525012</v>
      </c>
      <c r="AB733" cm="1">
        <f t="array" ref="AB733">IFERROR(AVERAGE(_xlfn._xlws.FILTER(T$2:T$1073,($C$2:$C$1073=$C733)*($E$2:$E$1073=$E733)*(ROW(T$2:T$1073)&lt;&gt;ROW(T733))*(T$2:T$1073&lt;&gt;""))),"")</f>
        <v>3.4958573241250623E-2</v>
      </c>
      <c r="AC733" cm="1">
        <f t="array" ref="AC733">IFERROR(AVERAGE(_xlfn._xlws.FILTER(U$2:U$1073,($C$2:$C$1073=$C733)*($E$2:$E$1073=$E733)*(ROW(U$2:U$1073)&lt;&gt;ROW(U733))*(U$2:U$1073&lt;&gt;""))),"")</f>
        <v>34.444280572958768</v>
      </c>
      <c r="AD733" cm="1">
        <f t="array" ref="AD733">IFERROR(AVERAGE(_xlfn._xlws.FILTER(V$2:V$1073,($C$2:$C$1073=$C733)*($E$2:$E$1073=$E733)*(ROW(V$2:V$1073)&lt;&gt;ROW(V733))*(V$2:V$1073&lt;&gt;""))),"")</f>
        <v>0.67440993714043496</v>
      </c>
      <c r="AE733">
        <f>IF('Дивиденды по годам'!M733&lt;0,1,0)</f>
        <v>0</v>
      </c>
    </row>
    <row r="734" spans="1:31" x14ac:dyDescent="0.2">
      <c r="A734" s="7" t="s">
        <v>2268</v>
      </c>
      <c r="B734" t="str">
        <f t="shared" si="121"/>
        <v>X5 IV кв. 2013</v>
      </c>
      <c r="C734">
        <v>2013</v>
      </c>
      <c r="D734">
        <f>SUMIFS(Дивиденды!$C:$C,Дивиденды!$A:$A,A734,Дивиденды!$I:$I,C734)</f>
        <v>0</v>
      </c>
      <c r="E734">
        <v>4</v>
      </c>
      <c r="F734">
        <f t="shared" si="122"/>
        <v>0</v>
      </c>
      <c r="G734">
        <f t="shared" si="123"/>
        <v>13.409285714285716</v>
      </c>
      <c r="H734">
        <f t="shared" si="124"/>
        <v>0</v>
      </c>
      <c r="I734">
        <f t="shared" si="125"/>
        <v>0.14285714285714285</v>
      </c>
      <c r="J734">
        <f t="shared" si="126"/>
        <v>0</v>
      </c>
      <c r="K734">
        <f t="shared" si="131"/>
        <v>4.7291245939064024E-2</v>
      </c>
      <c r="L734">
        <f t="shared" si="127"/>
        <v>0</v>
      </c>
      <c r="M734">
        <f t="shared" si="128"/>
        <v>7.1428571428571425E-2</v>
      </c>
      <c r="N734">
        <f t="shared" si="129"/>
        <v>0</v>
      </c>
      <c r="O734">
        <f t="shared" si="130"/>
        <v>0</v>
      </c>
      <c r="P734" t="str">
        <f>IFERROR(LN('Дивиденды по годам'!I734),"")</f>
        <v/>
      </c>
      <c r="Q734" t="str">
        <f>IFERROR('Дивиденды по годам'!G734/'Дивиденды по годам'!I734, "")</f>
        <v/>
      </c>
      <c r="R734" t="str">
        <f>IFERROR(IF(AND('Дивиденды по годам'!N734&lt;&gt;"",'Дивиденды по годам'!U734&lt;&gt;"",'Дивиденды по годам'!U734&lt;&gt;0),'Дивиденды по годам'!N734/'Дивиденды по годам'!U734-1,""),"")</f>
        <v/>
      </c>
      <c r="S734" t="str">
        <f>IFERROR(IF(AND('Дивиденды по годам'!L734&lt;&gt;"",'Дивиденды по годам'!I734&lt;&gt;"",'Дивиденды по годам'!J734&lt;&gt;"",'Дивиденды по годам'!K734&lt;&gt;"",('Дивиденды по годам'!I734-'Дивиденды по годам'!J734-'Дивиденды по годам'!K734)&lt;&gt;0),'Дивиденды по годам'!L734/('Дивиденды по годам'!I734-'Дивиденды по годам'!J734-'Дивиденды по годам'!K734),""),"")</f>
        <v/>
      </c>
      <c r="T734" t="str">
        <f>IFERROR(IF(AND('Дивиденды по годам'!Q734&lt;&gt;"",'Дивиденды по годам'!I734&lt;&gt;"",'Дивиденды по годам'!V734&lt;&gt;"",('Дивиденды по годам'!I734+'Дивиденды по годам'!V734)&lt;&gt;0),'Дивиденды по годам'!Q734/(('Дивиденды по годам'!I734+'Дивиденды по годам'!V734)/2),""),"")</f>
        <v/>
      </c>
      <c r="U734" t="str">
        <f>IFERROR(IF(AND('Дивиденды по годам'!J734&lt;&gt;"",'Дивиденды по годам'!K734&lt;&gt;"",'Дивиденды по годам'!M734&lt;&gt;"",'Дивиденды по годам'!M734&lt;&gt;0),('Дивиденды по годам'!J734+'Дивиденды по годам'!K734)/'Дивиденды по годам'!M734,""),"")</f>
        <v/>
      </c>
      <c r="V734" t="str">
        <f>IFERROR(IF(AND('Дивиденды по годам'!J734&lt;&gt;"",'Дивиденды по годам'!K734&lt;&gt;"",'Дивиденды по годам'!M734&lt;&gt;"",'Дивиденды по годам'!I734&lt;&gt;0),('Дивиденды по годам'!J734+'Дивиденды по годам'!K734)/'Дивиденды по годам'!I734,""),"")</f>
        <v/>
      </c>
      <c r="W734" t="str">
        <f>IFERROR('Дивиденды по годам'!I734,"")</f>
        <v/>
      </c>
      <c r="X734" cm="1">
        <f t="array" ref="X734">IFERROR(AVERAGE(_xlfn._xlws.FILTER(P$2:P$1073,($C$2:$C$1073=$C734)*($E$2:$E$1073=$E734)*(ROW(P$2:P$1073)&lt;&gt;ROW(P734))*(P$2:P$1073&lt;&gt;""))),"")</f>
        <v>24.281308125321722</v>
      </c>
      <c r="Y734" cm="1">
        <f t="array" ref="Y734">IFERROR(AVERAGE(_xlfn._xlws.FILTER(Q$2:Q$1073,($C$2:$C$1073=$C734)*($E$2:$E$1073=$E734)*(ROW(Q$2:Q$1073)&lt;&gt;ROW(Q734))*(Q$2:Q$1073&lt;&gt;""))),"")</f>
        <v>0.34809372453666254</v>
      </c>
      <c r="Z734" cm="1">
        <f t="array" ref="Z734">IFERROR(AVERAGE(_xlfn._xlws.FILTER(R$2:R$1073,($C$2:$C$1073=$C734)*($E$2:$E$1073=$E734)*(ROW(R$2:R$1073)&lt;&gt;ROW(R734))*(R$2:R$1073&lt;&gt;""))),"")</f>
        <v>0.17531341667142472</v>
      </c>
      <c r="AA734" t="str" cm="1">
        <f t="array" ref="AA734">IFERROR(AVERAGE(_xlfn._xlws.FILTER(S$2:S$1073,($C$2:$C$1073=$C734)*($E$2:$E$1073=$E734)*(ROW(S$2:S$1073)&lt;&gt;ROW(S734))*(S$2:S$1073&lt;&gt;""))),"")</f>
        <v/>
      </c>
      <c r="AB734" cm="1">
        <f t="array" ref="AB734">IFERROR(AVERAGE(_xlfn._xlws.FILTER(T$2:T$1073,($C$2:$C$1073=$C734)*($E$2:$E$1073=$E734)*(ROW(T$2:T$1073)&lt;&gt;ROW(T734))*(T$2:T$1073&lt;&gt;""))),"")</f>
        <v>-0.12490141563278262</v>
      </c>
      <c r="AC734" cm="1">
        <f t="array" ref="AC734">IFERROR(AVERAGE(_xlfn._xlws.FILTER(U$2:U$1073,($C$2:$C$1073=$C734)*($E$2:$E$1073=$E734)*(ROW(U$2:U$1073)&lt;&gt;ROW(U734))*(U$2:U$1073&lt;&gt;""))),"")</f>
        <v>0.44566877182826042</v>
      </c>
      <c r="AD734" cm="1">
        <f t="array" ref="AD734">IFERROR(AVERAGE(_xlfn._xlws.FILTER(V$2:V$1073,($C$2:$C$1073=$C734)*($E$2:$E$1073=$E734)*(ROW(V$2:V$1073)&lt;&gt;ROW(V734))*(V$2:V$1073&lt;&gt;""))),"")</f>
        <v>1.3322699308491581</v>
      </c>
      <c r="AE734">
        <f>IF('Дивиденды по годам'!M734&lt;0,1,0)</f>
        <v>0</v>
      </c>
    </row>
    <row r="735" spans="1:31" x14ac:dyDescent="0.2">
      <c r="A735" s="7" t="s">
        <v>2268</v>
      </c>
      <c r="B735" t="str">
        <f t="shared" si="121"/>
        <v>X5 IV кв. 2012</v>
      </c>
      <c r="C735">
        <v>2012</v>
      </c>
      <c r="D735">
        <f>SUMIFS(Дивиденды!$C:$C,Дивиденды!$A:$A,A735,Дивиденды!$I:$I,C735)</f>
        <v>0</v>
      </c>
      <c r="E735">
        <v>4</v>
      </c>
      <c r="F735">
        <f t="shared" si="122"/>
        <v>0</v>
      </c>
      <c r="G735">
        <f t="shared" si="123"/>
        <v>9.5621428571428577</v>
      </c>
      <c r="H735">
        <f t="shared" si="124"/>
        <v>0</v>
      </c>
      <c r="I735">
        <f t="shared" si="125"/>
        <v>0.14285714285714285</v>
      </c>
      <c r="J735">
        <f t="shared" si="126"/>
        <v>0</v>
      </c>
      <c r="K735">
        <f t="shared" si="131"/>
        <v>0.25341100242975517</v>
      </c>
      <c r="L735">
        <f t="shared" si="127"/>
        <v>0</v>
      </c>
      <c r="M735">
        <f t="shared" si="128"/>
        <v>0.14285714285714285</v>
      </c>
      <c r="N735">
        <f t="shared" si="129"/>
        <v>0</v>
      </c>
      <c r="O735">
        <f t="shared" si="130"/>
        <v>0</v>
      </c>
      <c r="P735" t="str">
        <f>IFERROR(LN('Дивиденды по годам'!I735),"")</f>
        <v/>
      </c>
      <c r="Q735" t="str">
        <f>IFERROR('Дивиденды по годам'!G735/'Дивиденды по годам'!I735, "")</f>
        <v/>
      </c>
      <c r="R735" t="str">
        <f>IFERROR(IF(AND('Дивиденды по годам'!N735&lt;&gt;"",'Дивиденды по годам'!U735&lt;&gt;"",'Дивиденды по годам'!U735&lt;&gt;0),'Дивиденды по годам'!N735/'Дивиденды по годам'!U735-1,""),"")</f>
        <v/>
      </c>
      <c r="S735" t="str">
        <f>IFERROR(IF(AND('Дивиденды по годам'!L735&lt;&gt;"",'Дивиденды по годам'!I735&lt;&gt;"",'Дивиденды по годам'!J735&lt;&gt;"",'Дивиденды по годам'!K735&lt;&gt;"",('Дивиденды по годам'!I735-'Дивиденды по годам'!J735-'Дивиденды по годам'!K735)&lt;&gt;0),'Дивиденды по годам'!L735/('Дивиденды по годам'!I735-'Дивиденды по годам'!J735-'Дивиденды по годам'!K735),""),"")</f>
        <v/>
      </c>
      <c r="T735" t="str">
        <f>IFERROR(IF(AND('Дивиденды по годам'!Q735&lt;&gt;"",'Дивиденды по годам'!I735&lt;&gt;"",'Дивиденды по годам'!V735&lt;&gt;"",('Дивиденды по годам'!I735+'Дивиденды по годам'!V735)&lt;&gt;0),'Дивиденды по годам'!Q735/(('Дивиденды по годам'!I735+'Дивиденды по годам'!V735)/2),""),"")</f>
        <v/>
      </c>
      <c r="U735" t="str">
        <f>IFERROR(IF(AND('Дивиденды по годам'!J735&lt;&gt;"",'Дивиденды по годам'!K735&lt;&gt;"",'Дивиденды по годам'!M735&lt;&gt;"",'Дивиденды по годам'!M735&lt;&gt;0),('Дивиденды по годам'!J735+'Дивиденды по годам'!K735)/'Дивиденды по годам'!M735,""),"")</f>
        <v/>
      </c>
      <c r="V735" t="str">
        <f>IFERROR(IF(AND('Дивиденды по годам'!J735&lt;&gt;"",'Дивиденды по годам'!K735&lt;&gt;"",'Дивиденды по годам'!M735&lt;&gt;"",'Дивиденды по годам'!I735&lt;&gt;0),('Дивиденды по годам'!J735+'Дивиденды по годам'!K735)/'Дивиденды по годам'!I735,""),"")</f>
        <v/>
      </c>
      <c r="W735" t="str">
        <f>IFERROR('Дивиденды по годам'!I735,"")</f>
        <v/>
      </c>
      <c r="X735" cm="1">
        <f t="array" ref="X735">IFERROR(AVERAGE(_xlfn._xlws.FILTER(P$2:P$1073,($C$2:$C$1073=$C735)*($E$2:$E$1073=$E735)*(ROW(P$2:P$1073)&lt;&gt;ROW(P735))*(P$2:P$1073&lt;&gt;""))),"")</f>
        <v>24.228370506718147</v>
      </c>
      <c r="Y735" cm="1">
        <f t="array" ref="Y735">IFERROR(AVERAGE(_xlfn._xlws.FILTER(Q$2:Q$1073,($C$2:$C$1073=$C735)*($E$2:$E$1073=$E735)*(ROW(Q$2:Q$1073)&lt;&gt;ROW(Q735))*(Q$2:Q$1073&lt;&gt;""))),"")</f>
        <v>0.2820560824162458</v>
      </c>
      <c r="Z735" cm="1">
        <f t="array" ref="Z735">IFERROR(AVERAGE(_xlfn._xlws.FILTER(R$2:R$1073,($C$2:$C$1073=$C735)*($E$2:$E$1073=$E735)*(ROW(R$2:R$1073)&lt;&gt;ROW(R735))*(R$2:R$1073&lt;&gt;""))),"")</f>
        <v>-2.2522357472477484E-2</v>
      </c>
      <c r="AA735" cm="1">
        <f t="array" ref="AA735">IFERROR(AVERAGE(_xlfn._xlws.FILTER(S$2:S$1073,($C$2:$C$1073=$C735)*($E$2:$E$1073=$E735)*(ROW(S$2:S$1073)&lt;&gt;ROW(S735))*(S$2:S$1073&lt;&gt;""))),"")</f>
        <v>-1.7651061513336963</v>
      </c>
      <c r="AB735" cm="1">
        <f t="array" ref="AB735">IFERROR(AVERAGE(_xlfn._xlws.FILTER(T$2:T$1073,($C$2:$C$1073=$C735)*($E$2:$E$1073=$E735)*(ROW(T$2:T$1073)&lt;&gt;ROW(T735))*(T$2:T$1073&lt;&gt;""))),"")</f>
        <v>6.8400459116201365E-2</v>
      </c>
      <c r="AC735" cm="1">
        <f t="array" ref="AC735">IFERROR(AVERAGE(_xlfn._xlws.FILTER(U$2:U$1073,($C$2:$C$1073=$C735)*($E$2:$E$1073=$E735)*(ROW(U$2:U$1073)&lt;&gt;ROW(U735))*(U$2:U$1073&lt;&gt;""))),"")</f>
        <v>-3.9631898894189463</v>
      </c>
      <c r="AD735" cm="1">
        <f t="array" ref="AD735">IFERROR(AVERAGE(_xlfn._xlws.FILTER(V$2:V$1073,($C$2:$C$1073=$C735)*($E$2:$E$1073=$E735)*(ROW(V$2:V$1073)&lt;&gt;ROW(V735))*(V$2:V$1073&lt;&gt;""))),"")</f>
        <v>0.68524798816116717</v>
      </c>
      <c r="AE735">
        <f>IF('Дивиденды по годам'!M735&lt;0,1,0)</f>
        <v>0</v>
      </c>
    </row>
    <row r="736" spans="1:31" x14ac:dyDescent="0.2">
      <c r="A736" s="7" t="s">
        <v>2268</v>
      </c>
      <c r="B736" t="str">
        <f t="shared" si="121"/>
        <v>X5 IV кв. 2011</v>
      </c>
      <c r="C736">
        <v>2011</v>
      </c>
      <c r="D736">
        <f>SUMIFS(Дивиденды!$C:$C,Дивиденды!$A:$A,A736,Дивиденды!$I:$I,C736)</f>
        <v>0</v>
      </c>
      <c r="E736">
        <v>4</v>
      </c>
      <c r="F736">
        <f t="shared" si="122"/>
        <v>0</v>
      </c>
      <c r="G736">
        <f t="shared" si="123"/>
        <v>1.6378571428571429</v>
      </c>
      <c r="H736">
        <f t="shared" si="124"/>
        <v>0</v>
      </c>
      <c r="I736">
        <f t="shared" si="125"/>
        <v>7.1428571428571425E-2</v>
      </c>
      <c r="J736">
        <f t="shared" si="126"/>
        <v>0</v>
      </c>
      <c r="K736">
        <f t="shared" si="131"/>
        <v>0.17786475320721892</v>
      </c>
      <c r="L736">
        <f t="shared" si="127"/>
        <v>0</v>
      </c>
      <c r="M736">
        <f t="shared" si="128"/>
        <v>7.1428571428571425E-2</v>
      </c>
      <c r="N736">
        <f t="shared" si="129"/>
        <v>0</v>
      </c>
      <c r="O736">
        <f t="shared" si="130"/>
        <v>0</v>
      </c>
      <c r="P736" t="str">
        <f>IFERROR(LN('Дивиденды по годам'!I736),"")</f>
        <v/>
      </c>
      <c r="Q736" t="str">
        <f>IFERROR('Дивиденды по годам'!G736/'Дивиденды по годам'!I736, "")</f>
        <v/>
      </c>
      <c r="R736" t="str">
        <f>IFERROR(IF(AND('Дивиденды по годам'!N736&lt;&gt;"",'Дивиденды по годам'!U736&lt;&gt;"",'Дивиденды по годам'!U736&lt;&gt;0),'Дивиденды по годам'!N736/'Дивиденды по годам'!U736-1,""),"")</f>
        <v/>
      </c>
      <c r="S736" t="str">
        <f>IFERROR(IF(AND('Дивиденды по годам'!L736&lt;&gt;"",'Дивиденды по годам'!I736&lt;&gt;"",'Дивиденды по годам'!J736&lt;&gt;"",'Дивиденды по годам'!K736&lt;&gt;"",('Дивиденды по годам'!I736-'Дивиденды по годам'!J736-'Дивиденды по годам'!K736)&lt;&gt;0),'Дивиденды по годам'!L736/('Дивиденды по годам'!I736-'Дивиденды по годам'!J736-'Дивиденды по годам'!K736),""),"")</f>
        <v/>
      </c>
      <c r="T736" t="str">
        <f>IFERROR(IF(AND('Дивиденды по годам'!Q736&lt;&gt;"",'Дивиденды по годам'!I736&lt;&gt;"",'Дивиденды по годам'!V736&lt;&gt;"",('Дивиденды по годам'!I736+'Дивиденды по годам'!V736)&lt;&gt;0),'Дивиденды по годам'!Q736/(('Дивиденды по годам'!I736+'Дивиденды по годам'!V736)/2),""),"")</f>
        <v/>
      </c>
      <c r="U736" t="str">
        <f>IFERROR(IF(AND('Дивиденды по годам'!J736&lt;&gt;"",'Дивиденды по годам'!K736&lt;&gt;"",'Дивиденды по годам'!M736&lt;&gt;"",'Дивиденды по годам'!M736&lt;&gt;0),('Дивиденды по годам'!J736+'Дивиденды по годам'!K736)/'Дивиденды по годам'!M736,""),"")</f>
        <v/>
      </c>
      <c r="V736" t="str">
        <f>IFERROR(IF(AND('Дивиденды по годам'!J736&lt;&gt;"",'Дивиденды по годам'!K736&lt;&gt;"",'Дивиденды по годам'!M736&lt;&gt;"",'Дивиденды по годам'!I736&lt;&gt;0),('Дивиденды по годам'!J736+'Дивиденды по годам'!K736)/'Дивиденды по годам'!I736,""),"")</f>
        <v/>
      </c>
      <c r="W736" t="str">
        <f>IFERROR('Дивиденды по годам'!I736,"")</f>
        <v/>
      </c>
      <c r="X736" cm="1">
        <f t="array" ref="X736">IFERROR(AVERAGE(_xlfn._xlws.FILTER(P$2:P$1073,($C$2:$C$1073=$C736)*($E$2:$E$1073=$E736)*(ROW(P$2:P$1073)&lt;&gt;ROW(P736))*(P$2:P$1073&lt;&gt;""))),"")</f>
        <v>24.180789108496477</v>
      </c>
      <c r="Y736" cm="1">
        <f t="array" ref="Y736">IFERROR(AVERAGE(_xlfn._xlws.FILTER(Q$2:Q$1073,($C$2:$C$1073=$C736)*($E$2:$E$1073=$E736)*(ROW(Q$2:Q$1073)&lt;&gt;ROW(Q736))*(Q$2:Q$1073&lt;&gt;""))),"")</f>
        <v>0.29604752502083465</v>
      </c>
      <c r="Z736" cm="1">
        <f t="array" ref="Z736">IFERROR(AVERAGE(_xlfn._xlws.FILTER(R$2:R$1073,($C$2:$C$1073=$C736)*($E$2:$E$1073=$E736)*(ROW(R$2:R$1073)&lt;&gt;ROW(R736))*(R$2:R$1073&lt;&gt;""))),"")</f>
        <v>5.9511017560386792E-2</v>
      </c>
      <c r="AA736" t="str" cm="1">
        <f t="array" ref="AA736">IFERROR(AVERAGE(_xlfn._xlws.FILTER(S$2:S$1073,($C$2:$C$1073=$C736)*($E$2:$E$1073=$E736)*(ROW(S$2:S$1073)&lt;&gt;ROW(S736))*(S$2:S$1073&lt;&gt;""))),"")</f>
        <v/>
      </c>
      <c r="AB736" cm="1">
        <f t="array" ref="AB736">IFERROR(AVERAGE(_xlfn._xlws.FILTER(T$2:T$1073,($C$2:$C$1073=$C736)*($E$2:$E$1073=$E736)*(ROW(T$2:T$1073)&lt;&gt;ROW(T736))*(T$2:T$1073&lt;&gt;""))),"")</f>
        <v>-1.4171101286470289E-2</v>
      </c>
      <c r="AC736" cm="1">
        <f t="array" ref="AC736">IFERROR(AVERAGE(_xlfn._xlws.FILTER(U$2:U$1073,($C$2:$C$1073=$C736)*($E$2:$E$1073=$E736)*(ROW(U$2:U$1073)&lt;&gt;ROW(U736))*(U$2:U$1073&lt;&gt;""))),"")</f>
        <v>2.1854574410792247</v>
      </c>
      <c r="AD736" cm="1">
        <f t="array" ref="AD736">IFERROR(AVERAGE(_xlfn._xlws.FILTER(V$2:V$1073,($C$2:$C$1073=$C736)*($E$2:$E$1073=$E736)*(ROW(V$2:V$1073)&lt;&gt;ROW(V736))*(V$2:V$1073&lt;&gt;""))),"")</f>
        <v>0.62219289426739133</v>
      </c>
      <c r="AE736">
        <f>IF('Дивиденды по годам'!M736&lt;0,1,0)</f>
        <v>0</v>
      </c>
    </row>
    <row r="737" spans="1:31" x14ac:dyDescent="0.2">
      <c r="A737" s="7" t="s">
        <v>2268</v>
      </c>
      <c r="B737" t="str">
        <f t="shared" si="121"/>
        <v>X5 IV кв. 2010</v>
      </c>
      <c r="C737">
        <v>2010</v>
      </c>
      <c r="D737">
        <f>SUMIFS(Дивиденды!$C:$C,Дивиденды!$A:$A,A737,Дивиденды!$I:$I,C737)</f>
        <v>0</v>
      </c>
      <c r="E737">
        <v>4</v>
      </c>
      <c r="F737">
        <f t="shared" si="122"/>
        <v>0</v>
      </c>
      <c r="G737">
        <f t="shared" si="123"/>
        <v>0.46928571428571431</v>
      </c>
      <c r="H737">
        <f t="shared" si="124"/>
        <v>0</v>
      </c>
      <c r="I737">
        <f t="shared" si="125"/>
        <v>7.1428571428571425E-2</v>
      </c>
      <c r="J737" t="str">
        <f t="shared" si="126"/>
        <v/>
      </c>
      <c r="K737" t="str">
        <f t="shared" si="131"/>
        <v/>
      </c>
      <c r="L737" t="str">
        <f t="shared" si="127"/>
        <v/>
      </c>
      <c r="M737" t="str">
        <f t="shared" si="128"/>
        <v/>
      </c>
      <c r="N737" t="str">
        <f t="shared" si="129"/>
        <v/>
      </c>
      <c r="O737" t="str">
        <f t="shared" si="130"/>
        <v/>
      </c>
      <c r="P737" t="str">
        <f>IFERROR(LN('Дивиденды по годам'!I737),"")</f>
        <v/>
      </c>
      <c r="Q737" t="str">
        <f>IFERROR('Дивиденды по годам'!G737/'Дивиденды по годам'!I737, "")</f>
        <v/>
      </c>
      <c r="R737" t="str">
        <f>IFERROR(IF(AND('Дивиденды по годам'!N737&lt;&gt;"",'Дивиденды по годам'!U737&lt;&gt;"",'Дивиденды по годам'!U737&lt;&gt;0),'Дивиденды по годам'!N737/'Дивиденды по годам'!U737-1,""),"")</f>
        <v/>
      </c>
      <c r="S737" t="str">
        <f>IFERROR(IF(AND('Дивиденды по годам'!L737&lt;&gt;"",'Дивиденды по годам'!I737&lt;&gt;"",'Дивиденды по годам'!J737&lt;&gt;"",'Дивиденды по годам'!K737&lt;&gt;"",('Дивиденды по годам'!I737-'Дивиденды по годам'!J737-'Дивиденды по годам'!K737)&lt;&gt;0),'Дивиденды по годам'!L737/('Дивиденды по годам'!I737-'Дивиденды по годам'!J737-'Дивиденды по годам'!K737),""),"")</f>
        <v/>
      </c>
      <c r="T737" t="str">
        <f>IFERROR(IF(AND('Дивиденды по годам'!Q737&lt;&gt;"",'Дивиденды по годам'!I737&lt;&gt;"",'Дивиденды по годам'!V737&lt;&gt;"",('Дивиденды по годам'!I737+'Дивиденды по годам'!V737)&lt;&gt;0),'Дивиденды по годам'!Q737/(('Дивиденды по годам'!I737+'Дивиденды по годам'!V737)/2),""),"")</f>
        <v/>
      </c>
      <c r="U737" t="str">
        <f>IFERROR(IF(AND('Дивиденды по годам'!J737&lt;&gt;"",'Дивиденды по годам'!K737&lt;&gt;"",'Дивиденды по годам'!M737&lt;&gt;"",'Дивиденды по годам'!M737&lt;&gt;0),('Дивиденды по годам'!J737+'Дивиденды по годам'!K737)/'Дивиденды по годам'!M737,""),"")</f>
        <v/>
      </c>
      <c r="V737" t="str">
        <f>IFERROR(IF(AND('Дивиденды по годам'!J737&lt;&gt;"",'Дивиденды по годам'!K737&lt;&gt;"",'Дивиденды по годам'!M737&lt;&gt;"",'Дивиденды по годам'!I737&lt;&gt;0),('Дивиденды по годам'!J737+'Дивиденды по годам'!K737)/'Дивиденды по годам'!I737,""),"")</f>
        <v/>
      </c>
      <c r="W737" t="str">
        <f>IFERROR('Дивиденды по годам'!I737,"")</f>
        <v/>
      </c>
      <c r="X737" cm="1">
        <f t="array" ref="X737">IFERROR(AVERAGE(_xlfn._xlws.FILTER(P$2:P$1073,($C$2:$C$1073=$C737)*($E$2:$E$1073=$E737)*(ROW(P$2:P$1073)&lt;&gt;ROW(P737))*(P$2:P$1073&lt;&gt;""))),"")</f>
        <v>23.656010386255485</v>
      </c>
      <c r="Y737" cm="1">
        <f t="array" ref="Y737">IFERROR(AVERAGE(_xlfn._xlws.FILTER(Q$2:Q$1073,($C$2:$C$1073=$C737)*($E$2:$E$1073=$E737)*(ROW(Q$2:Q$1073)&lt;&gt;ROW(Q737))*(Q$2:Q$1073&lt;&gt;""))),"")</f>
        <v>0.15222241747474585</v>
      </c>
      <c r="Z737" t="str" cm="1">
        <f t="array" ref="Z737">IFERROR(AVERAGE(_xlfn._xlws.FILTER(R$2:R$1073,($C$2:$C$1073=$C737)*($E$2:$E$1073=$E737)*(ROW(R$2:R$1073)&lt;&gt;ROW(R737))*(R$2:R$1073&lt;&gt;""))),"")</f>
        <v/>
      </c>
      <c r="AA737" t="str" cm="1">
        <f t="array" ref="AA737">IFERROR(AVERAGE(_xlfn._xlws.FILTER(S$2:S$1073,($C$2:$C$1073=$C737)*($E$2:$E$1073=$E737)*(ROW(S$2:S$1073)&lt;&gt;ROW(S737))*(S$2:S$1073&lt;&gt;""))),"")</f>
        <v/>
      </c>
      <c r="AB737" t="str" cm="1">
        <f t="array" ref="AB737">IFERROR(AVERAGE(_xlfn._xlws.FILTER(T$2:T$1073,($C$2:$C$1073=$C737)*($E$2:$E$1073=$E737)*(ROW(T$2:T$1073)&lt;&gt;ROW(T737))*(T$2:T$1073&lt;&gt;""))),"")</f>
        <v/>
      </c>
      <c r="AC737" cm="1">
        <f t="array" ref="AC737">IFERROR(AVERAGE(_xlfn._xlws.FILTER(U$2:U$1073,($C$2:$C$1073=$C737)*($E$2:$E$1073=$E737)*(ROW(U$2:U$1073)&lt;&gt;ROW(U737))*(U$2:U$1073&lt;&gt;""))),"")</f>
        <v>2.8988498110700496</v>
      </c>
      <c r="AD737" cm="1">
        <f t="array" ref="AD737">IFERROR(AVERAGE(_xlfn._xlws.FILTER(V$2:V$1073,($C$2:$C$1073=$C737)*($E$2:$E$1073=$E737)*(ROW(V$2:V$1073)&lt;&gt;ROW(V737))*(V$2:V$1073&lt;&gt;""))),"")</f>
        <v>0.74351805997092513</v>
      </c>
      <c r="AE737">
        <f>IF('Дивиденды по годам'!M737&lt;0,1,0)</f>
        <v>0</v>
      </c>
    </row>
    <row r="738" spans="1:31" x14ac:dyDescent="0.2">
      <c r="A738" s="7" t="s">
        <v>2270</v>
      </c>
      <c r="B738" t="str">
        <f t="shared" si="121"/>
        <v>ASTR IV кв. 2025</v>
      </c>
      <c r="C738">
        <v>2025</v>
      </c>
      <c r="D738">
        <f>SUMIFS(Дивиденды!$C:$C,Дивиденды!$A:$A,A738,Дивиденды!$I:$I,C738)</f>
        <v>0</v>
      </c>
      <c r="E738">
        <v>5</v>
      </c>
      <c r="F738">
        <f t="shared" si="122"/>
        <v>0</v>
      </c>
      <c r="G738">
        <f t="shared" si="123"/>
        <v>51.49636363636364</v>
      </c>
      <c r="H738">
        <f t="shared" si="124"/>
        <v>0</v>
      </c>
      <c r="I738">
        <f t="shared" si="125"/>
        <v>0.54545454545454541</v>
      </c>
      <c r="J738">
        <f t="shared" si="126"/>
        <v>-1</v>
      </c>
      <c r="K738">
        <f t="shared" si="131"/>
        <v>6.7751176543258809E-2</v>
      </c>
      <c r="L738">
        <f t="shared" si="127"/>
        <v>0</v>
      </c>
      <c r="M738">
        <f t="shared" si="128"/>
        <v>0.36363636363636365</v>
      </c>
      <c r="N738">
        <f t="shared" si="129"/>
        <v>1</v>
      </c>
      <c r="O738">
        <f t="shared" si="130"/>
        <v>0.45454545454545453</v>
      </c>
      <c r="P738" t="str">
        <f>IFERROR(LN('Дивиденды по годам'!I738),"")</f>
        <v/>
      </c>
      <c r="Q738" t="str">
        <f>IFERROR('Дивиденды по годам'!G738/'Дивиденды по годам'!I738, "")</f>
        <v/>
      </c>
      <c r="R738" t="str">
        <f>IFERROR(IF(AND('Дивиденды по годам'!N738&lt;&gt;"",'Дивиденды по годам'!U738&lt;&gt;"",'Дивиденды по годам'!U738&lt;&gt;0),'Дивиденды по годам'!N738/'Дивиденды по годам'!U738-1,""),"")</f>
        <v/>
      </c>
      <c r="S738" t="str">
        <f>IFERROR(IF(AND('Дивиденды по годам'!L738&lt;&gt;"",'Дивиденды по годам'!I738&lt;&gt;"",'Дивиденды по годам'!J738&lt;&gt;"",'Дивиденды по годам'!K738&lt;&gt;"",('Дивиденды по годам'!I738-'Дивиденды по годам'!J738-'Дивиденды по годам'!K738)&lt;&gt;0),'Дивиденды по годам'!L738/('Дивиденды по годам'!I738-'Дивиденды по годам'!J738-'Дивиденды по годам'!K738),""),"")</f>
        <v/>
      </c>
      <c r="T738" t="str">
        <f>IFERROR(IF(AND('Дивиденды по годам'!Q738&lt;&gt;"",'Дивиденды по годам'!I738&lt;&gt;"",'Дивиденды по годам'!V738&lt;&gt;"",('Дивиденды по годам'!I738+'Дивиденды по годам'!V738)&lt;&gt;0),'Дивиденды по годам'!Q738/(('Дивиденды по годам'!I738+'Дивиденды по годам'!V738)/2),""),"")</f>
        <v/>
      </c>
      <c r="U738" t="str">
        <f>IFERROR(IF(AND('Дивиденды по годам'!J738&lt;&gt;"",'Дивиденды по годам'!K738&lt;&gt;"",'Дивиденды по годам'!M738&lt;&gt;"",'Дивиденды по годам'!M738&lt;&gt;0),('Дивиденды по годам'!J738+'Дивиденды по годам'!K738)/'Дивиденды по годам'!M738,""),"")</f>
        <v/>
      </c>
      <c r="V738" t="str">
        <f>IFERROR(IF(AND('Дивиденды по годам'!J738&lt;&gt;"",'Дивиденды по годам'!K738&lt;&gt;"",'Дивиденды по годам'!M738&lt;&gt;"",'Дивиденды по годам'!I738&lt;&gt;0),('Дивиденды по годам'!J738+'Дивиденды по годам'!K738)/'Дивиденды по годам'!I738,""),"")</f>
        <v/>
      </c>
      <c r="W738" t="str">
        <f>IFERROR('Дивиденды по годам'!I738,"")</f>
        <v/>
      </c>
      <c r="X738" cm="1">
        <f t="array" ref="X738">IFERROR(AVERAGE(_xlfn._xlws.FILTER(P$2:P$1073,($C$2:$C$1073=$C738)*($E$2:$E$1073=$E738)*(ROW(P$2:P$1073)&lt;&gt;ROW(P738))*(P$2:P$1073&lt;&gt;""))),"")</f>
        <v>26.521286940703849</v>
      </c>
      <c r="Y738" cm="1">
        <f t="array" ref="Y738">IFERROR(AVERAGE(_xlfn._xlws.FILTER(Q$2:Q$1073,($C$2:$C$1073=$C738)*($E$2:$E$1073=$E738)*(ROW(Q$2:Q$1073)&lt;&gt;ROW(Q738))*(Q$2:Q$1073&lt;&gt;""))),"")</f>
        <v>0.19369353703050501</v>
      </c>
      <c r="Z738" cm="1">
        <f t="array" ref="Z738">IFERROR(AVERAGE(_xlfn._xlws.FILTER(R$2:R$1073,($C$2:$C$1073=$C738)*($E$2:$E$1073=$E738)*(ROW(R$2:R$1073)&lt;&gt;ROW(R738))*(R$2:R$1073&lt;&gt;""))),"")</f>
        <v>0.14131329588399896</v>
      </c>
      <c r="AA738" cm="1">
        <f t="array" ref="AA738">IFERROR(AVERAGE(_xlfn._xlws.FILTER(S$2:S$1073,($C$2:$C$1073=$C738)*($E$2:$E$1073=$E738)*(ROW(S$2:S$1073)&lt;&gt;ROW(S738))*(S$2:S$1073&lt;&gt;""))),"")</f>
        <v>0.69198231878475358</v>
      </c>
      <c r="AB738" cm="1">
        <f t="array" ref="AB738">IFERROR(AVERAGE(_xlfn._xlws.FILTER(T$2:T$1073,($C$2:$C$1073=$C738)*($E$2:$E$1073=$E738)*(ROW(T$2:T$1073)&lt;&gt;ROW(T738))*(T$2:T$1073&lt;&gt;""))),"")</f>
        <v>0.12648274488223432</v>
      </c>
      <c r="AC738" cm="1">
        <f t="array" ref="AC738">IFERROR(AVERAGE(_xlfn._xlws.FILTER(U$2:U$1073,($C$2:$C$1073=$C738)*($E$2:$E$1073=$E738)*(ROW(U$2:U$1073)&lt;&gt;ROW(U738))*(U$2:U$1073&lt;&gt;""))),"")</f>
        <v>14.735041078316815</v>
      </c>
      <c r="AD738" cm="1">
        <f t="array" ref="AD738">IFERROR(AVERAGE(_xlfn._xlws.FILTER(V$2:V$1073,($C$2:$C$1073=$C738)*($E$2:$E$1073=$E738)*(ROW(V$2:V$1073)&lt;&gt;ROW(V738))*(V$2:V$1073&lt;&gt;""))),"")</f>
        <v>0.73030007244080331</v>
      </c>
      <c r="AE738">
        <f>IF('Дивиденды по годам'!M738&lt;0,1,0)</f>
        <v>0</v>
      </c>
    </row>
    <row r="739" spans="1:31" x14ac:dyDescent="0.2">
      <c r="A739" s="7" t="s">
        <v>2270</v>
      </c>
      <c r="B739" t="str">
        <f t="shared" si="121"/>
        <v>ASTR IV кв. 2024</v>
      </c>
      <c r="C739">
        <v>2024</v>
      </c>
      <c r="D739">
        <f>SUMIFS(Дивиденды!$C:$C,Дивиденды!$A:$A,A739,Дивиденды!$I:$I,C739)</f>
        <v>13.68</v>
      </c>
      <c r="E739">
        <v>5</v>
      </c>
      <c r="F739">
        <f t="shared" si="122"/>
        <v>13.68</v>
      </c>
      <c r="G739">
        <f t="shared" si="123"/>
        <v>100.92090909090911</v>
      </c>
      <c r="H739">
        <f t="shared" si="124"/>
        <v>1</v>
      </c>
      <c r="I739">
        <f t="shared" si="125"/>
        <v>0.54545454545454541</v>
      </c>
      <c r="J739">
        <f t="shared" si="126"/>
        <v>1</v>
      </c>
      <c r="K739">
        <f t="shared" si="131"/>
        <v>0.13435847293427927</v>
      </c>
      <c r="L739">
        <f t="shared" si="127"/>
        <v>1</v>
      </c>
      <c r="M739">
        <f t="shared" si="128"/>
        <v>0.27272727272727271</v>
      </c>
      <c r="N739">
        <f t="shared" si="129"/>
        <v>0</v>
      </c>
      <c r="O739">
        <f t="shared" si="130"/>
        <v>0.18181818181818182</v>
      </c>
      <c r="P739">
        <f>IFERROR(LN('Дивиденды по годам'!I739),"")</f>
        <v>23.676725324507618</v>
      </c>
      <c r="Q739">
        <f>IFERROR('Дивиденды по годам'!G739/'Дивиденды по годам'!I739, "")</f>
        <v>5.2991928663246951E-2</v>
      </c>
      <c r="R739">
        <f>IFERROR(IF(AND('Дивиденды по годам'!N739&lt;&gt;"",'Дивиденды по годам'!U739&lt;&gt;"",'Дивиденды по годам'!U739&lt;&gt;0),'Дивиденды по годам'!N739/'Дивиденды по годам'!U739-1,""),"")</f>
        <v>0.80347222804531393</v>
      </c>
      <c r="S739">
        <f>IFERROR(IF(AND('Дивиденды по годам'!L739&lt;&gt;"",'Дивиденды по годам'!I739&lt;&gt;"",'Дивиденды по годам'!J739&lt;&gt;"",'Дивиденды по годам'!K739&lt;&gt;"",('Дивиденды по годам'!I739-'Дивиденды по годам'!J739-'Дивиденды по годам'!K739)&lt;&gt;0),'Дивиденды по годам'!L739/('Дивиденды по годам'!I739-'Дивиденды по годам'!J739-'Дивиденды по годам'!K739),""),"")</f>
        <v>0.91453979257825779</v>
      </c>
      <c r="T739">
        <f>IFERROR(IF(AND('Дивиденды по годам'!Q739&lt;&gt;"",'Дивиденды по годам'!I739&lt;&gt;"",'Дивиденды по годам'!V739&lt;&gt;"",('Дивиденды по годам'!I739+'Дивиденды по годам'!V739)&lt;&gt;0),'Дивиденды по годам'!Q739/(('Дивиденды по годам'!I739+'Дивиденды по годам'!V739)/2),""),"")</f>
        <v>0.38327335787847538</v>
      </c>
      <c r="U739">
        <f>IFERROR(IF(AND('Дивиденды по годам'!J739&lt;&gt;"",'Дивиденды по годам'!K739&lt;&gt;"",'Дивиденды по годам'!M739&lt;&gt;"",'Дивиденды по годам'!M739&lt;&gt;0),('Дивиденды по годам'!J739+'Дивиденды по годам'!K739)/'Дивиденды по годам'!M739,""),"")</f>
        <v>1.3482278515896515</v>
      </c>
      <c r="V739">
        <f>IFERROR(IF(AND('Дивиденды по годам'!J739&lt;&gt;"",'Дивиденды по годам'!K739&lt;&gt;"",'Дивиденды по годам'!M739&lt;&gt;"",'Дивиденды по годам'!I739&lt;&gt;0),('Дивиденды по годам'!J739+'Дивиденды по годам'!K739)/'Дивиденды по годам'!I739,""),"")</f>
        <v>0.57414694688888812</v>
      </c>
      <c r="W739">
        <f>IFERROR('Дивиденды по годам'!I739,"")</f>
        <v>19172165000</v>
      </c>
      <c r="X739" cm="1">
        <f t="array" ref="X739">IFERROR(AVERAGE(_xlfn._xlws.FILTER(P$2:P$1073,($C$2:$C$1073=$C739)*($E$2:$E$1073=$E739)*(ROW(P$2:P$1073)&lt;&gt;ROW(P739))*(P$2:P$1073&lt;&gt;""))),"")</f>
        <v>25.521185190668135</v>
      </c>
      <c r="Y739" cm="1">
        <f t="array" ref="Y739">IFERROR(AVERAGE(_xlfn._xlws.FILTER(Q$2:Q$1073,($C$2:$C$1073=$C739)*($E$2:$E$1073=$E739)*(ROW(Q$2:Q$1073)&lt;&gt;ROW(Q739))*(Q$2:Q$1073&lt;&gt;""))),"")</f>
        <v>0.14379876063702485</v>
      </c>
      <c r="Z739" cm="1">
        <f t="array" ref="Z739">IFERROR(AVERAGE(_xlfn._xlws.FILTER(R$2:R$1073,($C$2:$C$1073=$C739)*($E$2:$E$1073=$E739)*(ROW(R$2:R$1073)&lt;&gt;ROW(R739))*(R$2:R$1073&lt;&gt;""))),"")</f>
        <v>0.19681088718891468</v>
      </c>
      <c r="AA739" cm="1">
        <f t="array" ref="AA739">IFERROR(AVERAGE(_xlfn._xlws.FILTER(S$2:S$1073,($C$2:$C$1073=$C739)*($E$2:$E$1073=$E739)*(ROW(S$2:S$1073)&lt;&gt;ROW(S739))*(S$2:S$1073&lt;&gt;""))),"")</f>
        <v>-0.33225246704931272</v>
      </c>
      <c r="AB739" cm="1">
        <f t="array" ref="AB739">IFERROR(AVERAGE(_xlfn._xlws.FILTER(T$2:T$1073,($C$2:$C$1073=$C739)*($E$2:$E$1073=$E739)*(ROW(T$2:T$1073)&lt;&gt;ROW(T739))*(T$2:T$1073&lt;&gt;""))),"")</f>
        <v>0.17568029461732607</v>
      </c>
      <c r="AC739" cm="1">
        <f t="array" ref="AC739">IFERROR(AVERAGE(_xlfn._xlws.FILTER(U$2:U$1073,($C$2:$C$1073=$C739)*($E$2:$E$1073=$E739)*(ROW(U$2:U$1073)&lt;&gt;ROW(U739))*(U$2:U$1073&lt;&gt;""))),"")</f>
        <v>-12.429641908946193</v>
      </c>
      <c r="AD739" cm="1">
        <f t="array" ref="AD739">IFERROR(AVERAGE(_xlfn._xlws.FILTER(V$2:V$1073,($C$2:$C$1073=$C739)*($E$2:$E$1073=$E739)*(ROW(V$2:V$1073)&lt;&gt;ROW(V739))*(V$2:V$1073&lt;&gt;""))),"")</f>
        <v>0.70698251559690362</v>
      </c>
      <c r="AE739">
        <f>IF('Дивиденды по годам'!M739&lt;0,1,0)</f>
        <v>0</v>
      </c>
    </row>
    <row r="740" spans="1:31" x14ac:dyDescent="0.2">
      <c r="A740" s="7" t="s">
        <v>2270</v>
      </c>
      <c r="B740" t="str">
        <f t="shared" si="121"/>
        <v>ASTR IV кв. 2023</v>
      </c>
      <c r="C740">
        <v>2023</v>
      </c>
      <c r="D740">
        <f>SUMIFS(Дивиденды!$C:$C,Дивиденды!$A:$A,A740,Дивиденды!$I:$I,C740)</f>
        <v>0</v>
      </c>
      <c r="E740">
        <v>5</v>
      </c>
      <c r="F740">
        <f t="shared" si="122"/>
        <v>0</v>
      </c>
      <c r="G740">
        <f t="shared" si="123"/>
        <v>17.214545454545455</v>
      </c>
      <c r="H740">
        <f t="shared" si="124"/>
        <v>0</v>
      </c>
      <c r="I740">
        <f t="shared" si="125"/>
        <v>0.27272727272727271</v>
      </c>
      <c r="J740">
        <f t="shared" si="126"/>
        <v>0</v>
      </c>
      <c r="K740">
        <f t="shared" si="131"/>
        <v>0.2713254911425303</v>
      </c>
      <c r="L740">
        <f t="shared" si="127"/>
        <v>0</v>
      </c>
      <c r="M740">
        <f t="shared" si="128"/>
        <v>0.27272727272727271</v>
      </c>
      <c r="N740">
        <f t="shared" si="129"/>
        <v>0</v>
      </c>
      <c r="O740">
        <f t="shared" si="130"/>
        <v>0</v>
      </c>
      <c r="P740">
        <f>IFERROR(LN('Дивиденды по годам'!I740),"")</f>
        <v>23.236891049342091</v>
      </c>
      <c r="Q740">
        <f>IFERROR('Дивиденды по годам'!G740/'Дивиденды по годам'!I740, "")</f>
        <v>3.789339573957707E-2</v>
      </c>
      <c r="R740">
        <f>IFERROR(IF(AND('Дивиденды по годам'!N740&lt;&gt;"",'Дивиденды по годам'!U740&lt;&gt;"",'Дивиденды по годам'!U740&lt;&gt;0),'Дивиденды по годам'!N740/'Дивиденды по годам'!U740-1,""),"")</f>
        <v>0.76841171843199652</v>
      </c>
      <c r="S740">
        <f>IFERROR(IF(AND('Дивиденды по годам'!L740&lt;&gt;"",'Дивиденды по годам'!I740&lt;&gt;"",'Дивиденды по годам'!J740&lt;&gt;"",'Дивиденды по годам'!K740&lt;&gt;"",('Дивиденды по годам'!I740-'Дивиденды по годам'!J740-'Дивиденды по годам'!K740)&lt;&gt;0),'Дивиденды по годам'!L740/('Дивиденды по годам'!I740-'Дивиденды по годам'!J740-'Дивиденды по годам'!K740),""),"")</f>
        <v>0.88702329025864146</v>
      </c>
      <c r="T740">
        <f>IFERROR(IF(AND('Дивиденды по годам'!Q740&lt;&gt;"",'Дивиденды по годам'!I740&lt;&gt;"",'Дивиденды по годам'!V740&lt;&gt;"",('Дивиденды по годам'!I740+'Дивиденды по годам'!V740)&lt;&gt;0),'Дивиденды по годам'!Q740/(('Дивиденды по годам'!I740+'Дивиденды по годам'!V740)/2),""),"")</f>
        <v>0.39440788528717502</v>
      </c>
      <c r="U740">
        <f>IFERROR(IF(AND('Дивиденды по годам'!J740&lt;&gt;"",'Дивиденды по годам'!K740&lt;&gt;"",'Дивиденды по годам'!M740&lt;&gt;"",'Дивиденды по годам'!M740&lt;&gt;0),('Дивиденды по годам'!J740+'Дивиденды по годам'!K740)/'Дивиденды по годам'!M740,""),"")</f>
        <v>1.5952450701431276</v>
      </c>
      <c r="V740">
        <f>IFERROR(IF(AND('Дивиденды по годам'!J740&lt;&gt;"",'Дивиденды по годам'!K740&lt;&gt;"",'Дивиденды по годам'!M740&lt;&gt;"",'Дивиденды по годам'!I740&lt;&gt;0),('Дивиденды по годам'!J740+'Дивиденды по годам'!K740)/'Дивиденды по годам'!I740,""),"")</f>
        <v>0.61467993466033244</v>
      </c>
      <c r="W740">
        <f>IFERROR('Дивиденды по годам'!I740,"")</f>
        <v>12349619000</v>
      </c>
      <c r="X740" cm="1">
        <f t="array" ref="X740">IFERROR(AVERAGE(_xlfn._xlws.FILTER(P$2:P$1073,($C$2:$C$1073=$C740)*($E$2:$E$1073=$E740)*(ROW(P$2:P$1073)&lt;&gt;ROW(P740))*(P$2:P$1073&lt;&gt;""))),"")</f>
        <v>25.10893659925787</v>
      </c>
      <c r="Y740" cm="1">
        <f t="array" ref="Y740">IFERROR(AVERAGE(_xlfn._xlws.FILTER(Q$2:Q$1073,($C$2:$C$1073=$C740)*($E$2:$E$1073=$E740)*(ROW(Q$2:Q$1073)&lt;&gt;ROW(Q740))*(Q$2:Q$1073&lt;&gt;""))),"")</f>
        <v>0.12676103131687905</v>
      </c>
      <c r="Z740" cm="1">
        <f t="array" ref="Z740">IFERROR(AVERAGE(_xlfn._xlws.FILTER(R$2:R$1073,($C$2:$C$1073=$C740)*($E$2:$E$1073=$E740)*(ROW(R$2:R$1073)&lt;&gt;ROW(R740))*(R$2:R$1073&lt;&gt;""))),"")</f>
        <v>0.34754518396780243</v>
      </c>
      <c r="AA740" cm="1">
        <f t="array" ref="AA740">IFERROR(AVERAGE(_xlfn._xlws.FILTER(S$2:S$1073,($C$2:$C$1073=$C740)*($E$2:$E$1073=$E740)*(ROW(S$2:S$1073)&lt;&gt;ROW(S740))*(S$2:S$1073&lt;&gt;""))),"")</f>
        <v>0.67764098635019121</v>
      </c>
      <c r="AB740" cm="1">
        <f t="array" ref="AB740">IFERROR(AVERAGE(_xlfn._xlws.FILTER(T$2:T$1073,($C$2:$C$1073=$C740)*($E$2:$E$1073=$E740)*(ROW(T$2:T$1073)&lt;&gt;ROW(T740))*(T$2:T$1073&lt;&gt;""))),"")</f>
        <v>0.10769223634800298</v>
      </c>
      <c r="AC740" cm="1">
        <f t="array" ref="AC740">IFERROR(AVERAGE(_xlfn._xlws.FILTER(U$2:U$1073,($C$2:$C$1073=$C740)*($E$2:$E$1073=$E740)*(ROW(U$2:U$1073)&lt;&gt;ROW(U740))*(U$2:U$1073&lt;&gt;""))),"")</f>
        <v>95.801317448647481</v>
      </c>
      <c r="AD740" cm="1">
        <f t="array" ref="AD740">IFERROR(AVERAGE(_xlfn._xlws.FILTER(V$2:V$1073,($C$2:$C$1073=$C740)*($E$2:$E$1073=$E740)*(ROW(V$2:V$1073)&lt;&gt;ROW(V740))*(V$2:V$1073&lt;&gt;""))),"")</f>
        <v>0.63573554446403979</v>
      </c>
      <c r="AE740">
        <f>IF('Дивиденды по годам'!M740&lt;0,1,0)</f>
        <v>0</v>
      </c>
    </row>
    <row r="741" spans="1:31" x14ac:dyDescent="0.2">
      <c r="A741" s="7" t="s">
        <v>2270</v>
      </c>
      <c r="B741" t="str">
        <f t="shared" si="121"/>
        <v>ASTR IV кв. 2022</v>
      </c>
      <c r="C741">
        <v>2022</v>
      </c>
      <c r="D741">
        <f>SUMIFS(Дивиденды!$C:$C,Дивиденды!$A:$A,A741,Дивиденды!$I:$I,C741)</f>
        <v>0</v>
      </c>
      <c r="E741">
        <v>5</v>
      </c>
      <c r="F741">
        <f t="shared" si="122"/>
        <v>0</v>
      </c>
      <c r="G741">
        <f t="shared" si="123"/>
        <v>7.1127272727272723</v>
      </c>
      <c r="H741">
        <f t="shared" si="124"/>
        <v>0</v>
      </c>
      <c r="I741">
        <f t="shared" si="125"/>
        <v>0.27272727272727271</v>
      </c>
      <c r="J741">
        <f t="shared" si="126"/>
        <v>0</v>
      </c>
      <c r="K741">
        <f t="shared" si="131"/>
        <v>8.7952066899435327E-2</v>
      </c>
      <c r="L741">
        <f t="shared" si="127"/>
        <v>0</v>
      </c>
      <c r="M741">
        <f t="shared" si="128"/>
        <v>0.18181818181818182</v>
      </c>
      <c r="N741">
        <f t="shared" si="129"/>
        <v>0</v>
      </c>
      <c r="O741">
        <f t="shared" si="130"/>
        <v>9.0909090909090912E-2</v>
      </c>
      <c r="P741">
        <f>IFERROR(LN('Дивиденды по годам'!I741),"")</f>
        <v>22.531543296586293</v>
      </c>
      <c r="Q741">
        <f>IFERROR('Дивиденды по годам'!G741/'Дивиденды по годам'!I741, "")</f>
        <v>3.5755814287079642E-2</v>
      </c>
      <c r="R741">
        <f>IFERROR(IF(AND('Дивиденды по годам'!N741&lt;&gt;"",'Дивиденды по годам'!U741&lt;&gt;"",'Дивиденды по годам'!U741&lt;&gt;0),'Дивиденды по годам'!N741/'Дивиденды по годам'!U741-1,""),"")</f>
        <v>1.4986964602724906</v>
      </c>
      <c r="S741">
        <f>IFERROR(IF(AND('Дивиденды по годам'!L741&lt;&gt;"",'Дивиденды по годам'!I741&lt;&gt;"",'Дивиденды по годам'!J741&lt;&gt;"",'Дивиденды по годам'!K741&lt;&gt;"",('Дивиденды по годам'!I741-'Дивиденды по годам'!J741-'Дивиденды по годам'!K741)&lt;&gt;0),'Дивиденды по годам'!L741/('Дивиденды по годам'!I741-'Дивиденды по годам'!J741-'Дивиденды по годам'!K741),""),"")</f>
        <v>0.99316380480748589</v>
      </c>
      <c r="T741">
        <f>IFERROR(IF(AND('Дивиденды по годам'!Q741&lt;&gt;"",'Дивиденды по годам'!I741&lt;&gt;"",'Дивиденды по годам'!V741&lt;&gt;"",('Дивиденды по годам'!I741+'Дивиденды по годам'!V741)&lt;&gt;0),'Дивиденды по годам'!Q741/(('Дивиденды по годам'!I741+'Дивиденды по годам'!V741)/2),""),"")</f>
        <v>0.7455283476276815</v>
      </c>
      <c r="U741">
        <f>IFERROR(IF(AND('Дивиденды по годам'!J741&lt;&gt;"",'Дивиденды по годам'!K741&lt;&gt;"",'Дивиденды по годам'!M741&lt;&gt;"",'Дивиденды по годам'!M741&lt;&gt;0),('Дивиденды по годам'!J741+'Дивиденды по годам'!K741)/'Дивиденды по годам'!M741,""),"")</f>
        <v>3.1700318976867683</v>
      </c>
      <c r="V741">
        <f>IFERROR(IF(AND('Дивиденды по годам'!J741&lt;&gt;"",'Дивиденды по годам'!K741&lt;&gt;"",'Дивиденды по годам'!M741&lt;&gt;"",'Дивиденды по годам'!I741&lt;&gt;0),('Дивиденды по годам'!J741+'Дивиденды по годам'!K741)/'Дивиденды по годам'!I741,""),"")</f>
        <v>0.76019368087934114</v>
      </c>
      <c r="W741">
        <f>IFERROR('Дивиденды по годам'!I741,"")</f>
        <v>6099931000</v>
      </c>
      <c r="X741" cm="1">
        <f t="array" ref="X741">IFERROR(AVERAGE(_xlfn._xlws.FILTER(P$2:P$1073,($C$2:$C$1073=$C741)*($E$2:$E$1073=$E741)*(ROW(P$2:P$1073)&lt;&gt;ROW(P741))*(P$2:P$1073&lt;&gt;""))),"")</f>
        <v>25.608835289331786</v>
      </c>
      <c r="Y741" cm="1">
        <f t="array" ref="Y741">IFERROR(AVERAGE(_xlfn._xlws.FILTER(Q$2:Q$1073,($C$2:$C$1073=$C741)*($E$2:$E$1073=$E741)*(ROW(Q$2:Q$1073)&lt;&gt;ROW(Q741))*(Q$2:Q$1073&lt;&gt;""))),"")</f>
        <v>0.11997211555710209</v>
      </c>
      <c r="Z741" cm="1">
        <f t="array" ref="Z741">IFERROR(AVERAGE(_xlfn._xlws.FILTER(R$2:R$1073,($C$2:$C$1073=$C741)*($E$2:$E$1073=$E741)*(ROW(R$2:R$1073)&lt;&gt;ROW(R741))*(R$2:R$1073&lt;&gt;""))),"")</f>
        <v>0.26861590220329534</v>
      </c>
      <c r="AA741" cm="1">
        <f t="array" ref="AA741">IFERROR(AVERAGE(_xlfn._xlws.FILTER(S$2:S$1073,($C$2:$C$1073=$C741)*($E$2:$E$1073=$E741)*(ROW(S$2:S$1073)&lt;&gt;ROW(S741))*(S$2:S$1073&lt;&gt;""))),"")</f>
        <v>0.73528799331077488</v>
      </c>
      <c r="AB741" cm="1">
        <f t="array" ref="AB741">IFERROR(AVERAGE(_xlfn._xlws.FILTER(T$2:T$1073,($C$2:$C$1073=$C741)*($E$2:$E$1073=$E741)*(ROW(T$2:T$1073)&lt;&gt;ROW(T741))*(T$2:T$1073&lt;&gt;""))),"")</f>
        <v>0.21635328224569136</v>
      </c>
      <c r="AC741" cm="1">
        <f t="array" ref="AC741">IFERROR(AVERAGE(_xlfn._xlws.FILTER(U$2:U$1073,($C$2:$C$1073=$C741)*($E$2:$E$1073=$E741)*(ROW(U$2:U$1073)&lt;&gt;ROW(U741))*(U$2:U$1073&lt;&gt;""))),"")</f>
        <v>-73.642036269557352</v>
      </c>
      <c r="AD741" cm="1">
        <f t="array" ref="AD741">IFERROR(AVERAGE(_xlfn._xlws.FILTER(V$2:V$1073,($C$2:$C$1073=$C741)*($E$2:$E$1073=$E741)*(ROW(V$2:V$1073)&lt;&gt;ROW(V741))*(V$2:V$1073&lt;&gt;""))),"")</f>
        <v>0.71143655310040765</v>
      </c>
      <c r="AE741">
        <f>IF('Дивиденды по годам'!M741&lt;0,1,0)</f>
        <v>0</v>
      </c>
    </row>
    <row r="742" spans="1:31" x14ac:dyDescent="0.2">
      <c r="A742" s="7" t="s">
        <v>2270</v>
      </c>
      <c r="B742" t="str">
        <f t="shared" si="121"/>
        <v>ASTR IV кв. 2021</v>
      </c>
      <c r="C742">
        <v>2021</v>
      </c>
      <c r="D742">
        <f>SUMIFS(Дивиденды!$C:$C,Дивиденды!$A:$A,A742,Дивиденды!$I:$I,C742)</f>
        <v>0</v>
      </c>
      <c r="E742">
        <v>5</v>
      </c>
      <c r="F742">
        <f t="shared" si="122"/>
        <v>0</v>
      </c>
      <c r="G742">
        <f t="shared" si="123"/>
        <v>4.450909090909092</v>
      </c>
      <c r="H742">
        <f t="shared" si="124"/>
        <v>0</v>
      </c>
      <c r="I742">
        <f t="shared" si="125"/>
        <v>0.18181818181818182</v>
      </c>
      <c r="J742">
        <f t="shared" si="126"/>
        <v>0</v>
      </c>
      <c r="K742">
        <f t="shared" si="131"/>
        <v>1.4983788220808552E-2</v>
      </c>
      <c r="L742">
        <f t="shared" si="127"/>
        <v>0</v>
      </c>
      <c r="M742">
        <f t="shared" si="128"/>
        <v>9.0909090909090912E-2</v>
      </c>
      <c r="N742">
        <f t="shared" si="129"/>
        <v>0</v>
      </c>
      <c r="O742">
        <f t="shared" si="130"/>
        <v>9.0909090909090912E-2</v>
      </c>
      <c r="P742">
        <f>IFERROR(LN('Дивиденды по годам'!I742),"")</f>
        <v>21.487190628730765</v>
      </c>
      <c r="Q742">
        <f>IFERROR('Дивиденды по годам'!G742/'Дивиденды по годам'!I742, "")</f>
        <v>3.7844863126168957E-2</v>
      </c>
      <c r="R742" t="str">
        <f>IFERROR(IF(AND('Дивиденды по годам'!N742&lt;&gt;"",'Дивиденды по годам'!U742&lt;&gt;"",'Дивиденды по годам'!U742&lt;&gt;0),'Дивиденды по годам'!N742/'Дивиденды по годам'!U742-1,""),"")</f>
        <v/>
      </c>
      <c r="S742">
        <f>IFERROR(IF(AND('Дивиденды по годам'!L742&lt;&gt;"",'Дивиденды по годам'!I742&lt;&gt;"",'Дивиденды по годам'!J742&lt;&gt;"",'Дивиденды по годам'!K742&lt;&gt;"",('Дивиденды по годам'!I742-'Дивиденды по годам'!J742-'Дивиденды по годам'!K742)&lt;&gt;0),'Дивиденды по годам'!L742/('Дивиденды по годам'!I742-'Дивиденды по годам'!J742-'Дивиденды по годам'!K742),""),"")</f>
        <v>0.69412075634895842</v>
      </c>
      <c r="T742" t="str">
        <f>IFERROR(IF(AND('Дивиденды по годам'!Q742&lt;&gt;"",'Дивиденды по годам'!I742&lt;&gt;"",'Дивиденды по годам'!V742&lt;&gt;"",('Дивиденды по годам'!I742+'Дивиденды по годам'!V742)&lt;&gt;0),'Дивиденды по годам'!Q742/(('Дивиденды по годам'!I742+'Дивиденды по годам'!V742)/2),""),"")</f>
        <v/>
      </c>
      <c r="U742">
        <f>IFERROR(IF(AND('Дивиденды по годам'!J742&lt;&gt;"",'Дивиденды по годам'!K742&lt;&gt;"",'Дивиденды по годам'!M742&lt;&gt;"",'Дивиденды по годам'!M742&lt;&gt;0),('Дивиденды по годам'!J742+'Дивиденды по годам'!K742)/'Дивиденды по годам'!M742,""),"")</f>
        <v>16.192322785773207</v>
      </c>
      <c r="V742">
        <f>IFERROR(IF(AND('Дивиденды по годам'!J742&lt;&gt;"",'Дивиденды по годам'!K742&lt;&gt;"",'Дивиденды по годам'!M742&lt;&gt;"",'Дивиденды по годам'!I742&lt;&gt;0),('Дивиденды по годам'!J742+'Дивиденды по годам'!K742)/'Дивиденды по годам'!I742,""),"")</f>
        <v>0.94183450296620141</v>
      </c>
      <c r="W742">
        <f>IFERROR('Дивиденды по годам'!I742,"")</f>
        <v>2146685000</v>
      </c>
      <c r="X742" cm="1">
        <f t="array" ref="X742">IFERROR(AVERAGE(_xlfn._xlws.FILTER(P$2:P$1073,($C$2:$C$1073=$C742)*($E$2:$E$1073=$E742)*(ROW(P$2:P$1073)&lt;&gt;ROW(P742))*(P$2:P$1073&lt;&gt;""))),"")</f>
        <v>25.646115541316668</v>
      </c>
      <c r="Y742" cm="1">
        <f t="array" ref="Y742">IFERROR(AVERAGE(_xlfn._xlws.FILTER(Q$2:Q$1073,($C$2:$C$1073=$C742)*($E$2:$E$1073=$E742)*(ROW(Q$2:Q$1073)&lt;&gt;ROW(Q742))*(Q$2:Q$1073&lt;&gt;""))),"")</f>
        <v>0.23471824665344648</v>
      </c>
      <c r="Z742" cm="1">
        <f t="array" ref="Z742">IFERROR(AVERAGE(_xlfn._xlws.FILTER(R$2:R$1073,($C$2:$C$1073=$C742)*($E$2:$E$1073=$E742)*(ROW(R$2:R$1073)&lt;&gt;ROW(R742))*(R$2:R$1073&lt;&gt;""))),"")</f>
        <v>9.4863731161179049E-2</v>
      </c>
      <c r="AA742" cm="1">
        <f t="array" ref="AA742">IFERROR(AVERAGE(_xlfn._xlws.FILTER(S$2:S$1073,($C$2:$C$1073=$C742)*($E$2:$E$1073=$E742)*(ROW(S$2:S$1073)&lt;&gt;ROW(S742))*(S$2:S$1073&lt;&gt;""))),"")</f>
        <v>2.1390961811000282</v>
      </c>
      <c r="AB742" cm="1">
        <f t="array" ref="AB742">IFERROR(AVERAGE(_xlfn._xlws.FILTER(T$2:T$1073,($C$2:$C$1073=$C742)*($E$2:$E$1073=$E742)*(ROW(T$2:T$1073)&lt;&gt;ROW(T742))*(T$2:T$1073&lt;&gt;""))),"")</f>
        <v>9.1596142313276091E-2</v>
      </c>
      <c r="AC742" cm="1">
        <f t="array" ref="AC742">IFERROR(AVERAGE(_xlfn._xlws.FILTER(U$2:U$1073,($C$2:$C$1073=$C742)*($E$2:$E$1073=$E742)*(ROW(U$2:U$1073)&lt;&gt;ROW(U742))*(U$2:U$1073&lt;&gt;""))),"")</f>
        <v>23.077977871518577</v>
      </c>
      <c r="AD742" cm="1">
        <f t="array" ref="AD742">IFERROR(AVERAGE(_xlfn._xlws.FILTER(V$2:V$1073,($C$2:$C$1073=$C742)*($E$2:$E$1073=$E742)*(ROW(V$2:V$1073)&lt;&gt;ROW(V742))*(V$2:V$1073&lt;&gt;""))),"")</f>
        <v>0.83841888876114812</v>
      </c>
      <c r="AE742">
        <f>IF('Дивиденды по годам'!M742&lt;0,1,0)</f>
        <v>0</v>
      </c>
    </row>
    <row r="743" spans="1:31" x14ac:dyDescent="0.2">
      <c r="A743" s="7" t="s">
        <v>2270</v>
      </c>
      <c r="B743" t="str">
        <f t="shared" si="121"/>
        <v>ASTR IV кв. 2020</v>
      </c>
      <c r="C743">
        <v>2020</v>
      </c>
      <c r="D743">
        <f>SUMIFS(Дивиденды!$C:$C,Дивиденды!$A:$A,A743,Дивиденды!$I:$I,C743)</f>
        <v>0</v>
      </c>
      <c r="E743">
        <v>5</v>
      </c>
      <c r="F743">
        <f t="shared" si="122"/>
        <v>0</v>
      </c>
      <c r="G743">
        <f t="shared" si="123"/>
        <v>3.6763636363636363</v>
      </c>
      <c r="H743">
        <f t="shared" si="124"/>
        <v>0</v>
      </c>
      <c r="I743">
        <f t="shared" si="125"/>
        <v>0.18181818181818182</v>
      </c>
      <c r="J743">
        <f t="shared" si="126"/>
        <v>0</v>
      </c>
      <c r="K743">
        <f t="shared" si="131"/>
        <v>-1.5101604278074872E-2</v>
      </c>
      <c r="L743">
        <f t="shared" si="127"/>
        <v>0</v>
      </c>
      <c r="M743">
        <f t="shared" si="128"/>
        <v>0</v>
      </c>
      <c r="N743">
        <f t="shared" si="129"/>
        <v>0</v>
      </c>
      <c r="O743">
        <f t="shared" si="130"/>
        <v>9.0909090909090912E-2</v>
      </c>
      <c r="P743" t="str">
        <f>IFERROR(LN('Дивиденды по годам'!I743),"")</f>
        <v/>
      </c>
      <c r="Q743" t="str">
        <f>IFERROR('Дивиденды по годам'!G743/'Дивиденды по годам'!I743, "")</f>
        <v/>
      </c>
      <c r="R743" t="str">
        <f>IFERROR(IF(AND('Дивиденды по годам'!N743&lt;&gt;"",'Дивиденды по годам'!U743&lt;&gt;"",'Дивиденды по годам'!U743&lt;&gt;0),'Дивиденды по годам'!N743/'Дивиденды по годам'!U743-1,""),"")</f>
        <v/>
      </c>
      <c r="S743" t="str">
        <f>IFERROR(IF(AND('Дивиденды по годам'!L743&lt;&gt;"",'Дивиденды по годам'!I743&lt;&gt;"",'Дивиденды по годам'!J743&lt;&gt;"",'Дивиденды по годам'!K743&lt;&gt;"",('Дивиденды по годам'!I743-'Дивиденды по годам'!J743-'Дивиденды по годам'!K743)&lt;&gt;0),'Дивиденды по годам'!L743/('Дивиденды по годам'!I743-'Дивиденды по годам'!J743-'Дивиденды по годам'!K743),""),"")</f>
        <v/>
      </c>
      <c r="T743" t="str">
        <f>IFERROR(IF(AND('Дивиденды по годам'!Q743&lt;&gt;"",'Дивиденды по годам'!I743&lt;&gt;"",'Дивиденды по годам'!V743&lt;&gt;"",('Дивиденды по годам'!I743+'Дивиденды по годам'!V743)&lt;&gt;0),'Дивиденды по годам'!Q743/(('Дивиденды по годам'!I743+'Дивиденды по годам'!V743)/2),""),"")</f>
        <v/>
      </c>
      <c r="U743" t="str">
        <f>IFERROR(IF(AND('Дивиденды по годам'!J743&lt;&gt;"",'Дивиденды по годам'!K743&lt;&gt;"",'Дивиденды по годам'!M743&lt;&gt;"",'Дивиденды по годам'!M743&lt;&gt;0),('Дивиденды по годам'!J743+'Дивиденды по годам'!K743)/'Дивиденды по годам'!M743,""),"")</f>
        <v/>
      </c>
      <c r="V743" t="str">
        <f>IFERROR(IF(AND('Дивиденды по годам'!J743&lt;&gt;"",'Дивиденды по годам'!K743&lt;&gt;"",'Дивиденды по годам'!M743&lt;&gt;"",'Дивиденды по годам'!I743&lt;&gt;0),('Дивиденды по годам'!J743+'Дивиденды по годам'!K743)/'Дивиденды по годам'!I743,""),"")</f>
        <v/>
      </c>
      <c r="W743" t="str">
        <f>IFERROR('Дивиденды по годам'!I743,"")</f>
        <v/>
      </c>
      <c r="X743" cm="1">
        <f t="array" ref="X743">IFERROR(AVERAGE(_xlfn._xlws.FILTER(P$2:P$1073,($C$2:$C$1073=$C743)*($E$2:$E$1073=$E743)*(ROW(P$2:P$1073)&lt;&gt;ROW(P743))*(P$2:P$1073&lt;&gt;""))),"")</f>
        <v>25.49408392578281</v>
      </c>
      <c r="Y743" cm="1">
        <f t="array" ref="Y743">IFERROR(AVERAGE(_xlfn._xlws.FILTER(Q$2:Q$1073,($C$2:$C$1073=$C743)*($E$2:$E$1073=$E743)*(ROW(Q$2:Q$1073)&lt;&gt;ROW(Q743))*(Q$2:Q$1073&lt;&gt;""))),"")</f>
        <v>0.23831030393306155</v>
      </c>
      <c r="Z743" cm="1">
        <f t="array" ref="Z743">IFERROR(AVERAGE(_xlfn._xlws.FILTER(R$2:R$1073,($C$2:$C$1073=$C743)*($E$2:$E$1073=$E743)*(ROW(R$2:R$1073)&lt;&gt;ROW(R743))*(R$2:R$1073&lt;&gt;""))),"")</f>
        <v>0.42097945466997094</v>
      </c>
      <c r="AA743" cm="1">
        <f t="array" ref="AA743">IFERROR(AVERAGE(_xlfn._xlws.FILTER(S$2:S$1073,($C$2:$C$1073=$C743)*($E$2:$E$1073=$E743)*(ROW(S$2:S$1073)&lt;&gt;ROW(S743))*(S$2:S$1073&lt;&gt;""))),"")</f>
        <v>1.383012856761217</v>
      </c>
      <c r="AB743" cm="1">
        <f t="array" ref="AB743">IFERROR(AVERAGE(_xlfn._xlws.FILTER(T$2:T$1073,($C$2:$C$1073=$C743)*($E$2:$E$1073=$E743)*(ROW(T$2:T$1073)&lt;&gt;ROW(T743))*(T$2:T$1073&lt;&gt;""))),"")</f>
        <v>0.12042080749921591</v>
      </c>
      <c r="AC743" cm="1">
        <f t="array" ref="AC743">IFERROR(AVERAGE(_xlfn._xlws.FILTER(U$2:U$1073,($C$2:$C$1073=$C743)*($E$2:$E$1073=$E743)*(ROW(U$2:U$1073)&lt;&gt;ROW(U743))*(U$2:U$1073&lt;&gt;""))),"")</f>
        <v>9.6677963358881698</v>
      </c>
      <c r="AD743" cm="1">
        <f t="array" ref="AD743">IFERROR(AVERAGE(_xlfn._xlws.FILTER(V$2:V$1073,($C$2:$C$1073=$C743)*($E$2:$E$1073=$E743)*(ROW(V$2:V$1073)&lt;&gt;ROW(V743))*(V$2:V$1073&lt;&gt;""))),"")</f>
        <v>0.80624783688388657</v>
      </c>
      <c r="AE743">
        <f>IF('Дивиденды по годам'!M743&lt;0,1,0)</f>
        <v>0</v>
      </c>
    </row>
    <row r="744" spans="1:31" x14ac:dyDescent="0.2">
      <c r="A744" s="7" t="s">
        <v>2270</v>
      </c>
      <c r="B744" t="str">
        <f t="shared" si="121"/>
        <v>ASTR IV кв. 2019</v>
      </c>
      <c r="C744">
        <v>2019</v>
      </c>
      <c r="D744">
        <f>SUMIFS(Дивиденды!$C:$C,Дивиденды!$A:$A,A744,Дивиденды!$I:$I,C744)</f>
        <v>0</v>
      </c>
      <c r="E744">
        <v>5</v>
      </c>
      <c r="F744">
        <f t="shared" si="122"/>
        <v>0</v>
      </c>
      <c r="G744">
        <f t="shared" si="123"/>
        <v>4.3181818181818183</v>
      </c>
      <c r="H744">
        <f t="shared" si="124"/>
        <v>0</v>
      </c>
      <c r="I744">
        <f t="shared" si="125"/>
        <v>0.18181818181818182</v>
      </c>
      <c r="J744">
        <f t="shared" si="126"/>
        <v>0</v>
      </c>
      <c r="K744">
        <f t="shared" si="131"/>
        <v>8.0199694017231649E-2</v>
      </c>
      <c r="L744">
        <f t="shared" si="127"/>
        <v>0</v>
      </c>
      <c r="M744">
        <f t="shared" si="128"/>
        <v>9.0909090909090912E-2</v>
      </c>
      <c r="N744">
        <f t="shared" si="129"/>
        <v>0</v>
      </c>
      <c r="O744">
        <f t="shared" si="130"/>
        <v>0</v>
      </c>
      <c r="P744" t="str">
        <f>IFERROR(LN('Дивиденды по годам'!I744),"")</f>
        <v/>
      </c>
      <c r="Q744" t="str">
        <f>IFERROR('Дивиденды по годам'!G744/'Дивиденды по годам'!I744, "")</f>
        <v/>
      </c>
      <c r="R744" t="str">
        <f>IFERROR(IF(AND('Дивиденды по годам'!N744&lt;&gt;"",'Дивиденды по годам'!U744&lt;&gt;"",'Дивиденды по годам'!U744&lt;&gt;0),'Дивиденды по годам'!N744/'Дивиденды по годам'!U744-1,""),"")</f>
        <v/>
      </c>
      <c r="S744" t="str">
        <f>IFERROR(IF(AND('Дивиденды по годам'!L744&lt;&gt;"",'Дивиденды по годам'!I744&lt;&gt;"",'Дивиденды по годам'!J744&lt;&gt;"",'Дивиденды по годам'!K744&lt;&gt;"",('Дивиденды по годам'!I744-'Дивиденды по годам'!J744-'Дивиденды по годам'!K744)&lt;&gt;0),'Дивиденды по годам'!L744/('Дивиденды по годам'!I744-'Дивиденды по годам'!J744-'Дивиденды по годам'!K744),""),"")</f>
        <v/>
      </c>
      <c r="T744" t="str">
        <f>IFERROR(IF(AND('Дивиденды по годам'!Q744&lt;&gt;"",'Дивиденды по годам'!I744&lt;&gt;"",'Дивиденды по годам'!V744&lt;&gt;"",('Дивиденды по годам'!I744+'Дивиденды по годам'!V744)&lt;&gt;0),'Дивиденды по годам'!Q744/(('Дивиденды по годам'!I744+'Дивиденды по годам'!V744)/2),""),"")</f>
        <v/>
      </c>
      <c r="U744" t="str">
        <f>IFERROR(IF(AND('Дивиденды по годам'!J744&lt;&gt;"",'Дивиденды по годам'!K744&lt;&gt;"",'Дивиденды по годам'!M744&lt;&gt;"",'Дивиденды по годам'!M744&lt;&gt;0),('Дивиденды по годам'!J744+'Дивиденды по годам'!K744)/'Дивиденды по годам'!M744,""),"")</f>
        <v/>
      </c>
      <c r="V744" t="str">
        <f>IFERROR(IF(AND('Дивиденды по годам'!J744&lt;&gt;"",'Дивиденды по годам'!K744&lt;&gt;"",'Дивиденды по годам'!M744&lt;&gt;"",'Дивиденды по годам'!I744&lt;&gt;0),('Дивиденды по годам'!J744+'Дивиденды по годам'!K744)/'Дивиденды по годам'!I744,""),"")</f>
        <v/>
      </c>
      <c r="W744" t="str">
        <f>IFERROR('Дивиденды по годам'!I744,"")</f>
        <v/>
      </c>
      <c r="X744" cm="1">
        <f t="array" ref="X744">IFERROR(AVERAGE(_xlfn._xlws.FILTER(P$2:P$1073,($C$2:$C$1073=$C744)*($E$2:$E$1073=$E744)*(ROW(P$2:P$1073)&lt;&gt;ROW(P744))*(P$2:P$1073&lt;&gt;""))),"")</f>
        <v>25.699366278152379</v>
      </c>
      <c r="Y744" cm="1">
        <f t="array" ref="Y744">IFERROR(AVERAGE(_xlfn._xlws.FILTER(Q$2:Q$1073,($C$2:$C$1073=$C744)*($E$2:$E$1073=$E744)*(ROW(Q$2:Q$1073)&lt;&gt;ROW(Q744))*(Q$2:Q$1073&lt;&gt;""))),"")</f>
        <v>0.31619951047208333</v>
      </c>
      <c r="Z744" cm="1">
        <f t="array" ref="Z744">IFERROR(AVERAGE(_xlfn._xlws.FILTER(R$2:R$1073,($C$2:$C$1073=$C744)*($E$2:$E$1073=$E744)*(ROW(R$2:R$1073)&lt;&gt;ROW(R744))*(R$2:R$1073&lt;&gt;""))),"")</f>
        <v>0.12795723906733225</v>
      </c>
      <c r="AA744" cm="1">
        <f t="array" ref="AA744">IFERROR(AVERAGE(_xlfn._xlws.FILTER(S$2:S$1073,($C$2:$C$1073=$C744)*($E$2:$E$1073=$E744)*(ROW(S$2:S$1073)&lt;&gt;ROW(S744))*(S$2:S$1073&lt;&gt;""))),"")</f>
        <v>1.4981608959410444</v>
      </c>
      <c r="AB744" cm="1">
        <f t="array" ref="AB744">IFERROR(AVERAGE(_xlfn._xlws.FILTER(T$2:T$1073,($C$2:$C$1073=$C744)*($E$2:$E$1073=$E744)*(ROW(T$2:T$1073)&lt;&gt;ROW(T744))*(T$2:T$1073&lt;&gt;""))),"")</f>
        <v>4.0595347592911959E-2</v>
      </c>
      <c r="AC744" cm="1">
        <f t="array" ref="AC744">IFERROR(AVERAGE(_xlfn._xlws.FILTER(U$2:U$1073,($C$2:$C$1073=$C744)*($E$2:$E$1073=$E744)*(ROW(U$2:U$1073)&lt;&gt;ROW(U744))*(U$2:U$1073&lt;&gt;""))),"")</f>
        <v>9.1460847128214748</v>
      </c>
      <c r="AD744" cm="1">
        <f t="array" ref="AD744">IFERROR(AVERAGE(_xlfn._xlws.FILTER(V$2:V$1073,($C$2:$C$1073=$C744)*($E$2:$E$1073=$E744)*(ROW(V$2:V$1073)&lt;&gt;ROW(V744))*(V$2:V$1073&lt;&gt;""))),"")</f>
        <v>0.79889661521769517</v>
      </c>
      <c r="AE744">
        <f>IF('Дивиденды по годам'!M744&lt;0,1,0)</f>
        <v>0</v>
      </c>
    </row>
    <row r="745" spans="1:31" x14ac:dyDescent="0.2">
      <c r="A745" s="7" t="s">
        <v>2270</v>
      </c>
      <c r="B745" t="str">
        <f t="shared" si="121"/>
        <v>ASTR IV кв. 2018</v>
      </c>
      <c r="C745">
        <v>2018</v>
      </c>
      <c r="D745">
        <f>SUMIFS(Дивиденды!$C:$C,Дивиденды!$A:$A,A745,Дивиденды!$I:$I,C745)</f>
        <v>0</v>
      </c>
      <c r="E745">
        <v>5</v>
      </c>
      <c r="F745">
        <f t="shared" si="122"/>
        <v>0</v>
      </c>
      <c r="G745">
        <f t="shared" si="123"/>
        <v>2.5072727272727273</v>
      </c>
      <c r="H745">
        <f t="shared" si="124"/>
        <v>0</v>
      </c>
      <c r="I745">
        <f t="shared" si="125"/>
        <v>0.18181818181818182</v>
      </c>
      <c r="J745">
        <f t="shared" si="126"/>
        <v>0</v>
      </c>
      <c r="K745">
        <f t="shared" si="131"/>
        <v>-3.1077604801900294E-2</v>
      </c>
      <c r="L745">
        <f t="shared" si="127"/>
        <v>0</v>
      </c>
      <c r="M745">
        <f t="shared" si="128"/>
        <v>0</v>
      </c>
      <c r="N745">
        <f t="shared" si="129"/>
        <v>0</v>
      </c>
      <c r="O745">
        <f t="shared" si="130"/>
        <v>0.18181818181818182</v>
      </c>
      <c r="P745" t="str">
        <f>IFERROR(LN('Дивиденды по годам'!I745),"")</f>
        <v/>
      </c>
      <c r="Q745" t="str">
        <f>IFERROR('Дивиденды по годам'!G745/'Дивиденды по годам'!I745, "")</f>
        <v/>
      </c>
      <c r="R745" t="str">
        <f>IFERROR(IF(AND('Дивиденды по годам'!N745&lt;&gt;"",'Дивиденды по годам'!U745&lt;&gt;"",'Дивиденды по годам'!U745&lt;&gt;0),'Дивиденды по годам'!N745/'Дивиденды по годам'!U745-1,""),"")</f>
        <v/>
      </c>
      <c r="S745" t="str">
        <f>IFERROR(IF(AND('Дивиденды по годам'!L745&lt;&gt;"",'Дивиденды по годам'!I745&lt;&gt;"",'Дивиденды по годам'!J745&lt;&gt;"",'Дивиденды по годам'!K745&lt;&gt;"",('Дивиденды по годам'!I745-'Дивиденды по годам'!J745-'Дивиденды по годам'!K745)&lt;&gt;0),'Дивиденды по годам'!L745/('Дивиденды по годам'!I745-'Дивиденды по годам'!J745-'Дивиденды по годам'!K745),""),"")</f>
        <v/>
      </c>
      <c r="T745" t="str">
        <f>IFERROR(IF(AND('Дивиденды по годам'!Q745&lt;&gt;"",'Дивиденды по годам'!I745&lt;&gt;"",'Дивиденды по годам'!V745&lt;&gt;"",('Дивиденды по годам'!I745+'Дивиденды по годам'!V745)&lt;&gt;0),'Дивиденды по годам'!Q745/(('Дивиденды по годам'!I745+'Дивиденды по годам'!V745)/2),""),"")</f>
        <v/>
      </c>
      <c r="U745" t="str">
        <f>IFERROR(IF(AND('Дивиденды по годам'!J745&lt;&gt;"",'Дивиденды по годам'!K745&lt;&gt;"",'Дивиденды по годам'!M745&lt;&gt;"",'Дивиденды по годам'!M745&lt;&gt;0),('Дивиденды по годам'!J745+'Дивиденды по годам'!K745)/'Дивиденды по годам'!M745,""),"")</f>
        <v/>
      </c>
      <c r="V745" t="str">
        <f>IFERROR(IF(AND('Дивиденды по годам'!J745&lt;&gt;"",'Дивиденды по годам'!K745&lt;&gt;"",'Дивиденды по годам'!M745&lt;&gt;"",'Дивиденды по годам'!I745&lt;&gt;0),('Дивиденды по годам'!J745+'Дивиденды по годам'!K745)/'Дивиденды по годам'!I745,""),"")</f>
        <v/>
      </c>
      <c r="W745" t="str">
        <f>IFERROR('Дивиденды по годам'!I745,"")</f>
        <v/>
      </c>
      <c r="X745" cm="1">
        <f t="array" ref="X745">IFERROR(AVERAGE(_xlfn._xlws.FILTER(P$2:P$1073,($C$2:$C$1073=$C745)*($E$2:$E$1073=$E745)*(ROW(P$2:P$1073)&lt;&gt;ROW(P745))*(P$2:P$1073&lt;&gt;""))),"")</f>
        <v>25.637034616478129</v>
      </c>
      <c r="Y745" cm="1">
        <f t="array" ref="Y745">IFERROR(AVERAGE(_xlfn._xlws.FILTER(Q$2:Q$1073,($C$2:$C$1073=$C745)*($E$2:$E$1073=$E745)*(ROW(Q$2:Q$1073)&lt;&gt;ROW(Q745))*(Q$2:Q$1073&lt;&gt;""))),"")</f>
        <v>0.32011777323711499</v>
      </c>
      <c r="Z745" cm="1">
        <f t="array" ref="Z745">IFERROR(AVERAGE(_xlfn._xlws.FILTER(R$2:R$1073,($C$2:$C$1073=$C745)*($E$2:$E$1073=$E745)*(ROW(R$2:R$1073)&lt;&gt;ROW(R745))*(R$2:R$1073&lt;&gt;""))),"")</f>
        <v>6.6616637147635549E-2</v>
      </c>
      <c r="AA745" cm="1">
        <f t="array" ref="AA745">IFERROR(AVERAGE(_xlfn._xlws.FILTER(S$2:S$1073,($C$2:$C$1073=$C745)*($E$2:$E$1073=$E745)*(ROW(S$2:S$1073)&lt;&gt;ROW(S745))*(S$2:S$1073&lt;&gt;""))),"")</f>
        <v>1.205409029032207</v>
      </c>
      <c r="AB745" cm="1">
        <f t="array" ref="AB745">IFERROR(AVERAGE(_xlfn._xlws.FILTER(T$2:T$1073,($C$2:$C$1073=$C745)*($E$2:$E$1073=$E745)*(ROW(T$2:T$1073)&lt;&gt;ROW(T745))*(T$2:T$1073&lt;&gt;""))),"")</f>
        <v>1.7776057117292479E-2</v>
      </c>
      <c r="AC745" cm="1">
        <f t="array" ref="AC745">IFERROR(AVERAGE(_xlfn._xlws.FILTER(U$2:U$1073,($C$2:$C$1073=$C745)*($E$2:$E$1073=$E745)*(ROW(U$2:U$1073)&lt;&gt;ROW(U745))*(U$2:U$1073&lt;&gt;""))),"")</f>
        <v>5.4697894468760913</v>
      </c>
      <c r="AD745" cm="1">
        <f t="array" ref="AD745">IFERROR(AVERAGE(_xlfn._xlws.FILTER(V$2:V$1073,($C$2:$C$1073=$C745)*($E$2:$E$1073=$E745)*(ROW(V$2:V$1073)&lt;&gt;ROW(V745))*(V$2:V$1073&lt;&gt;""))),"")</f>
        <v>0.7760719948431295</v>
      </c>
      <c r="AE745">
        <f>IF('Дивиденды по годам'!M745&lt;0,1,0)</f>
        <v>0</v>
      </c>
    </row>
    <row r="746" spans="1:31" x14ac:dyDescent="0.2">
      <c r="A746" s="7" t="s">
        <v>2270</v>
      </c>
      <c r="B746" t="str">
        <f t="shared" si="121"/>
        <v>ASTR IV кв. 2017</v>
      </c>
      <c r="C746">
        <v>2017</v>
      </c>
      <c r="D746">
        <f>SUMIFS(Дивиденды!$C:$C,Дивиденды!$A:$A,A746,Дивиденды!$I:$I,C746)</f>
        <v>0</v>
      </c>
      <c r="E746">
        <v>5</v>
      </c>
      <c r="F746">
        <f t="shared" si="122"/>
        <v>0</v>
      </c>
      <c r="G746">
        <f t="shared" si="123"/>
        <v>3.5318181818181813</v>
      </c>
      <c r="H746">
        <f t="shared" si="124"/>
        <v>0</v>
      </c>
      <c r="I746">
        <f t="shared" si="125"/>
        <v>0.18181818181818182</v>
      </c>
      <c r="J746">
        <f t="shared" si="126"/>
        <v>0</v>
      </c>
      <c r="K746">
        <f t="shared" si="131"/>
        <v>1.4727433992836941E-2</v>
      </c>
      <c r="L746">
        <f t="shared" si="127"/>
        <v>0</v>
      </c>
      <c r="M746">
        <f t="shared" si="128"/>
        <v>9.0909090909090912E-2</v>
      </c>
      <c r="N746">
        <f t="shared" si="129"/>
        <v>0</v>
      </c>
      <c r="O746">
        <f t="shared" si="130"/>
        <v>9.0909090909090912E-2</v>
      </c>
      <c r="P746" t="str">
        <f>IFERROR(LN('Дивиденды по годам'!I746),"")</f>
        <v/>
      </c>
      <c r="Q746" t="str">
        <f>IFERROR('Дивиденды по годам'!G746/'Дивиденды по годам'!I746, "")</f>
        <v/>
      </c>
      <c r="R746" t="str">
        <f>IFERROR(IF(AND('Дивиденды по годам'!N746&lt;&gt;"",'Дивиденды по годам'!U746&lt;&gt;"",'Дивиденды по годам'!U746&lt;&gt;0),'Дивиденды по годам'!N746/'Дивиденды по годам'!U746-1,""),"")</f>
        <v/>
      </c>
      <c r="S746" t="str">
        <f>IFERROR(IF(AND('Дивиденды по годам'!L746&lt;&gt;"",'Дивиденды по годам'!I746&lt;&gt;"",'Дивиденды по годам'!J746&lt;&gt;"",'Дивиденды по годам'!K746&lt;&gt;"",('Дивиденды по годам'!I746-'Дивиденды по годам'!J746-'Дивиденды по годам'!K746)&lt;&gt;0),'Дивиденды по годам'!L746/('Дивиденды по годам'!I746-'Дивиденды по годам'!J746-'Дивиденды по годам'!K746),""),"")</f>
        <v/>
      </c>
      <c r="T746" t="str">
        <f>IFERROR(IF(AND('Дивиденды по годам'!Q746&lt;&gt;"",'Дивиденды по годам'!I746&lt;&gt;"",'Дивиденды по годам'!V746&lt;&gt;"",('Дивиденды по годам'!I746+'Дивиденды по годам'!V746)&lt;&gt;0),'Дивиденды по годам'!Q746/(('Дивиденды по годам'!I746+'Дивиденды по годам'!V746)/2),""),"")</f>
        <v/>
      </c>
      <c r="U746" t="str">
        <f>IFERROR(IF(AND('Дивиденды по годам'!J746&lt;&gt;"",'Дивиденды по годам'!K746&lt;&gt;"",'Дивиденды по годам'!M746&lt;&gt;"",'Дивиденды по годам'!M746&lt;&gt;0),('Дивиденды по годам'!J746+'Дивиденды по годам'!K746)/'Дивиденды по годам'!M746,""),"")</f>
        <v/>
      </c>
      <c r="V746" t="str">
        <f>IFERROR(IF(AND('Дивиденды по годам'!J746&lt;&gt;"",'Дивиденды по годам'!K746&lt;&gt;"",'Дивиденды по годам'!M746&lt;&gt;"",'Дивиденды по годам'!I746&lt;&gt;0),('Дивиденды по годам'!J746+'Дивиденды по годам'!K746)/'Дивиденды по годам'!I746,""),"")</f>
        <v/>
      </c>
      <c r="W746" t="str">
        <f>IFERROR('Дивиденды по годам'!I746,"")</f>
        <v/>
      </c>
      <c r="X746" cm="1">
        <f t="array" ref="X746">IFERROR(AVERAGE(_xlfn._xlws.FILTER(P$2:P$1073,($C$2:$C$1073=$C746)*($E$2:$E$1073=$E746)*(ROW(P$2:P$1073)&lt;&gt;ROW(P746))*(P$2:P$1073&lt;&gt;""))),"")</f>
        <v>27.043369572715513</v>
      </c>
      <c r="Y746" cm="1">
        <f t="array" ref="Y746">IFERROR(AVERAGE(_xlfn._xlws.FILTER(Q$2:Q$1073,($C$2:$C$1073=$C746)*($E$2:$E$1073=$E746)*(ROW(Q$2:Q$1073)&lt;&gt;ROW(Q746))*(Q$2:Q$1073&lt;&gt;""))),"")</f>
        <v>0.54965488260857309</v>
      </c>
      <c r="Z746" cm="1">
        <f t="array" ref="Z746">IFERROR(AVERAGE(_xlfn._xlws.FILTER(R$2:R$1073,($C$2:$C$1073=$C746)*($E$2:$E$1073=$E746)*(ROW(R$2:R$1073)&lt;&gt;ROW(R746))*(R$2:R$1073&lt;&gt;""))),"")</f>
        <v>2.1535666839189949E-2</v>
      </c>
      <c r="AA746" cm="1">
        <f t="array" ref="AA746">IFERROR(AVERAGE(_xlfn._xlws.FILTER(S$2:S$1073,($C$2:$C$1073=$C746)*($E$2:$E$1073=$E746)*(ROW(S$2:S$1073)&lt;&gt;ROW(S746))*(S$2:S$1073&lt;&gt;""))),"")</f>
        <v>1.232616052553424</v>
      </c>
      <c r="AB746" cm="1">
        <f t="array" ref="AB746">IFERROR(AVERAGE(_xlfn._xlws.FILTER(T$2:T$1073,($C$2:$C$1073=$C746)*($E$2:$E$1073=$E746)*(ROW(T$2:T$1073)&lt;&gt;ROW(T746))*(T$2:T$1073&lt;&gt;""))),"")</f>
        <v>6.4245501476224237E-2</v>
      </c>
      <c r="AC746" cm="1">
        <f t="array" ref="AC746">IFERROR(AVERAGE(_xlfn._xlws.FILTER(U$2:U$1073,($C$2:$C$1073=$C746)*($E$2:$E$1073=$E746)*(ROW(U$2:U$1073)&lt;&gt;ROW(U746))*(U$2:U$1073&lt;&gt;""))),"")</f>
        <v>2.3417046689252397</v>
      </c>
      <c r="AD746" cm="1">
        <f t="array" ref="AD746">IFERROR(AVERAGE(_xlfn._xlws.FILTER(V$2:V$1073,($C$2:$C$1073=$C746)*($E$2:$E$1073=$E746)*(ROW(V$2:V$1073)&lt;&gt;ROW(V746))*(V$2:V$1073&lt;&gt;""))),"")</f>
        <v>0.66475018615672188</v>
      </c>
      <c r="AE746">
        <f>IF('Дивиденды по годам'!M746&lt;0,1,0)</f>
        <v>0</v>
      </c>
    </row>
    <row r="747" spans="1:31" x14ac:dyDescent="0.2">
      <c r="A747" s="7" t="s">
        <v>2270</v>
      </c>
      <c r="B747" t="str">
        <f t="shared" si="121"/>
        <v>ASTR IV кв. 2016</v>
      </c>
      <c r="C747">
        <v>2016</v>
      </c>
      <c r="D747">
        <f>SUMIFS(Дивиденды!$C:$C,Дивиденды!$A:$A,A747,Дивиденды!$I:$I,C747)</f>
        <v>0</v>
      </c>
      <c r="E747">
        <v>5</v>
      </c>
      <c r="F747">
        <f t="shared" si="122"/>
        <v>0</v>
      </c>
      <c r="G747">
        <f t="shared" si="123"/>
        <v>2.9981818181818181</v>
      </c>
      <c r="H747">
        <f t="shared" si="124"/>
        <v>0</v>
      </c>
      <c r="I747">
        <f t="shared" si="125"/>
        <v>0.18181818181818182</v>
      </c>
      <c r="J747">
        <f t="shared" si="126"/>
        <v>0</v>
      </c>
      <c r="K747">
        <f t="shared" si="131"/>
        <v>2.8790101611202514E-2</v>
      </c>
      <c r="L747">
        <f t="shared" si="127"/>
        <v>0</v>
      </c>
      <c r="M747">
        <f t="shared" si="128"/>
        <v>9.0909090909090912E-2</v>
      </c>
      <c r="N747">
        <f t="shared" si="129"/>
        <v>0</v>
      </c>
      <c r="O747">
        <f t="shared" si="130"/>
        <v>9.0909090909090912E-2</v>
      </c>
      <c r="P747" t="str">
        <f>IFERROR(LN('Дивиденды по годам'!I747),"")</f>
        <v/>
      </c>
      <c r="Q747" t="str">
        <f>IFERROR('Дивиденды по годам'!G747/'Дивиденды по годам'!I747, "")</f>
        <v/>
      </c>
      <c r="R747" t="str">
        <f>IFERROR(IF(AND('Дивиденды по годам'!N747&lt;&gt;"",'Дивиденды по годам'!U747&lt;&gt;"",'Дивиденды по годам'!U747&lt;&gt;0),'Дивиденды по годам'!N747/'Дивиденды по годам'!U747-1,""),"")</f>
        <v/>
      </c>
      <c r="S747" t="str">
        <f>IFERROR(IF(AND('Дивиденды по годам'!L747&lt;&gt;"",'Дивиденды по годам'!I747&lt;&gt;"",'Дивиденды по годам'!J747&lt;&gt;"",'Дивиденды по годам'!K747&lt;&gt;"",('Дивиденды по годам'!I747-'Дивиденды по годам'!J747-'Дивиденды по годам'!K747)&lt;&gt;0),'Дивиденды по годам'!L747/('Дивиденды по годам'!I747-'Дивиденды по годам'!J747-'Дивиденды по годам'!K747),""),"")</f>
        <v/>
      </c>
      <c r="T747" t="str">
        <f>IFERROR(IF(AND('Дивиденды по годам'!Q747&lt;&gt;"",'Дивиденды по годам'!I747&lt;&gt;"",'Дивиденды по годам'!V747&lt;&gt;"",('Дивиденды по годам'!I747+'Дивиденды по годам'!V747)&lt;&gt;0),'Дивиденды по годам'!Q747/(('Дивиденды по годам'!I747+'Дивиденды по годам'!V747)/2),""),"")</f>
        <v/>
      </c>
      <c r="U747" t="str">
        <f>IFERROR(IF(AND('Дивиденды по годам'!J747&lt;&gt;"",'Дивиденды по годам'!K747&lt;&gt;"",'Дивиденды по годам'!M747&lt;&gt;"",'Дивиденды по годам'!M747&lt;&gt;0),('Дивиденды по годам'!J747+'Дивиденды по годам'!K747)/'Дивиденды по годам'!M747,""),"")</f>
        <v/>
      </c>
      <c r="V747" t="str">
        <f>IFERROR(IF(AND('Дивиденды по годам'!J747&lt;&gt;"",'Дивиденды по годам'!K747&lt;&gt;"",'Дивиденды по годам'!M747&lt;&gt;"",'Дивиденды по годам'!I747&lt;&gt;0),('Дивиденды по годам'!J747+'Дивиденды по годам'!K747)/'Дивиденды по годам'!I747,""),"")</f>
        <v/>
      </c>
      <c r="W747" t="str">
        <f>IFERROR('Дивиденды по годам'!I747,"")</f>
        <v/>
      </c>
      <c r="X747" cm="1">
        <f t="array" ref="X747">IFERROR(AVERAGE(_xlfn._xlws.FILTER(P$2:P$1073,($C$2:$C$1073=$C747)*($E$2:$E$1073=$E747)*(ROW(P$2:P$1073)&lt;&gt;ROW(P747))*(P$2:P$1073&lt;&gt;""))),"")</f>
        <v>27.033270353256157</v>
      </c>
      <c r="Y747" cm="1">
        <f t="array" ref="Y747">IFERROR(AVERAGE(_xlfn._xlws.FILTER(Q$2:Q$1073,($C$2:$C$1073=$C747)*($E$2:$E$1073=$E747)*(ROW(Q$2:Q$1073)&lt;&gt;ROW(Q747))*(Q$2:Q$1073&lt;&gt;""))),"")</f>
        <v>0.55978642376097965</v>
      </c>
      <c r="Z747" cm="1">
        <f t="array" ref="Z747">IFERROR(AVERAGE(_xlfn._xlws.FILTER(R$2:R$1073,($C$2:$C$1073=$C747)*($E$2:$E$1073=$E747)*(ROW(R$2:R$1073)&lt;&gt;ROW(R747))*(R$2:R$1073&lt;&gt;""))),"")</f>
        <v>5.3242460909894707E-3</v>
      </c>
      <c r="AA747" cm="1">
        <f t="array" ref="AA747">IFERROR(AVERAGE(_xlfn._xlws.FILTER(S$2:S$1073,($C$2:$C$1073=$C747)*($E$2:$E$1073=$E747)*(ROW(S$2:S$1073)&lt;&gt;ROW(S747))*(S$2:S$1073&lt;&gt;""))),"")</f>
        <v>1.1315702315112175</v>
      </c>
      <c r="AB747" cm="1">
        <f t="array" ref="AB747">IFERROR(AVERAGE(_xlfn._xlws.FILTER(T$2:T$1073,($C$2:$C$1073=$C747)*($E$2:$E$1073=$E747)*(ROW(T$2:T$1073)&lt;&gt;ROW(T747))*(T$2:T$1073&lt;&gt;""))),"")</f>
        <v>5.4869409864042928E-2</v>
      </c>
      <c r="AC747" cm="1">
        <f t="array" ref="AC747">IFERROR(AVERAGE(_xlfn._xlws.FILTER(U$2:U$1073,($C$2:$C$1073=$C747)*($E$2:$E$1073=$E747)*(ROW(U$2:U$1073)&lt;&gt;ROW(U747))*(U$2:U$1073&lt;&gt;""))),"")</f>
        <v>2.0086781177717459</v>
      </c>
      <c r="AD747" cm="1">
        <f t="array" ref="AD747">IFERROR(AVERAGE(_xlfn._xlws.FILTER(V$2:V$1073,($C$2:$C$1073=$C747)*($E$2:$E$1073=$E747)*(ROW(V$2:V$1073)&lt;&gt;ROW(V747))*(V$2:V$1073&lt;&gt;""))),"")</f>
        <v>0.64409028041831262</v>
      </c>
      <c r="AE747">
        <f>IF('Дивиденды по годам'!M747&lt;0,1,0)</f>
        <v>0</v>
      </c>
    </row>
    <row r="748" spans="1:31" x14ac:dyDescent="0.2">
      <c r="A748" s="7" t="s">
        <v>2270</v>
      </c>
      <c r="B748" t="str">
        <f t="shared" si="121"/>
        <v>ASTR IV кв. 2015</v>
      </c>
      <c r="C748">
        <v>2015</v>
      </c>
      <c r="D748">
        <f>SUMIFS(Дивиденды!$C:$C,Дивиденды!$A:$A,A748,Дивиденды!$I:$I,C748)</f>
        <v>0</v>
      </c>
      <c r="E748">
        <v>5</v>
      </c>
      <c r="F748">
        <f t="shared" si="122"/>
        <v>0</v>
      </c>
      <c r="G748">
        <f t="shared" si="123"/>
        <v>2.3218181818181818</v>
      </c>
      <c r="H748">
        <f t="shared" si="124"/>
        <v>0</v>
      </c>
      <c r="I748">
        <f t="shared" si="125"/>
        <v>0.18181818181818182</v>
      </c>
      <c r="J748">
        <f t="shared" si="126"/>
        <v>0</v>
      </c>
      <c r="K748">
        <f t="shared" si="131"/>
        <v>4.855464114120716E-2</v>
      </c>
      <c r="L748">
        <f t="shared" si="127"/>
        <v>0</v>
      </c>
      <c r="M748">
        <f t="shared" si="128"/>
        <v>9.0909090909090912E-2</v>
      </c>
      <c r="N748">
        <f t="shared" si="129"/>
        <v>0</v>
      </c>
      <c r="O748">
        <f t="shared" si="130"/>
        <v>9.0909090909090912E-2</v>
      </c>
      <c r="P748" t="str">
        <f>IFERROR(LN('Дивиденды по годам'!I748),"")</f>
        <v/>
      </c>
      <c r="Q748" t="str">
        <f>IFERROR('Дивиденды по годам'!G748/'Дивиденды по годам'!I748, "")</f>
        <v/>
      </c>
      <c r="R748" t="str">
        <f>IFERROR(IF(AND('Дивиденды по годам'!N748&lt;&gt;"",'Дивиденды по годам'!U748&lt;&gt;"",'Дивиденды по годам'!U748&lt;&gt;0),'Дивиденды по годам'!N748/'Дивиденды по годам'!U748-1,""),"")</f>
        <v/>
      </c>
      <c r="S748" t="str">
        <f>IFERROR(IF(AND('Дивиденды по годам'!L748&lt;&gt;"",'Дивиденды по годам'!I748&lt;&gt;"",'Дивиденды по годам'!J748&lt;&gt;"",'Дивиденды по годам'!K748&lt;&gt;"",('Дивиденды по годам'!I748-'Дивиденды по годам'!J748-'Дивиденды по годам'!K748)&lt;&gt;0),'Дивиденды по годам'!L748/('Дивиденды по годам'!I748-'Дивиденды по годам'!J748-'Дивиденды по годам'!K748),""),"")</f>
        <v/>
      </c>
      <c r="T748" t="str">
        <f>IFERROR(IF(AND('Дивиденды по годам'!Q748&lt;&gt;"",'Дивиденды по годам'!I748&lt;&gt;"",'Дивиденды по годам'!V748&lt;&gt;"",('Дивиденды по годам'!I748+'Дивиденды по годам'!V748)&lt;&gt;0),'Дивиденды по годам'!Q748/(('Дивиденды по годам'!I748+'Дивиденды по годам'!V748)/2),""),"")</f>
        <v/>
      </c>
      <c r="U748" t="str">
        <f>IFERROR(IF(AND('Дивиденды по годам'!J748&lt;&gt;"",'Дивиденды по годам'!K748&lt;&gt;"",'Дивиденды по годам'!M748&lt;&gt;"",'Дивиденды по годам'!M748&lt;&gt;0),('Дивиденды по годам'!J748+'Дивиденды по годам'!K748)/'Дивиденды по годам'!M748,""),"")</f>
        <v/>
      </c>
      <c r="V748" t="str">
        <f>IFERROR(IF(AND('Дивиденды по годам'!J748&lt;&gt;"",'Дивиденды по годам'!K748&lt;&gt;"",'Дивиденды по годам'!M748&lt;&gt;"",'Дивиденды по годам'!I748&lt;&gt;0),('Дивиденды по годам'!J748+'Дивиденды по годам'!K748)/'Дивиденды по годам'!I748,""),"")</f>
        <v/>
      </c>
      <c r="W748" t="str">
        <f>IFERROR('Дивиденды по годам'!I748,"")</f>
        <v/>
      </c>
      <c r="X748" cm="1">
        <f t="array" ref="X748">IFERROR(AVERAGE(_xlfn._xlws.FILTER(P$2:P$1073,($C$2:$C$1073=$C748)*($E$2:$E$1073=$E748)*(ROW(P$2:P$1073)&lt;&gt;ROW(P748))*(P$2:P$1073&lt;&gt;""))),"")</f>
        <v>27.120501452642756</v>
      </c>
      <c r="Y748" cm="1">
        <f t="array" ref="Y748">IFERROR(AVERAGE(_xlfn._xlws.FILTER(Q$2:Q$1073,($C$2:$C$1073=$C748)*($E$2:$E$1073=$E748)*(ROW(Q$2:Q$1073)&lt;&gt;ROW(Q748))*(Q$2:Q$1073&lt;&gt;""))),"")</f>
        <v>0.53878421833606405</v>
      </c>
      <c r="Z748" cm="1">
        <f t="array" ref="Z748">IFERROR(AVERAGE(_xlfn._xlws.FILTER(R$2:R$1073,($C$2:$C$1073=$C748)*($E$2:$E$1073=$E748)*(ROW(R$2:R$1073)&lt;&gt;ROW(R748))*(R$2:R$1073&lt;&gt;""))),"")</f>
        <v>2.2276174497294132E-2</v>
      </c>
      <c r="AA748" cm="1">
        <f t="array" ref="AA748">IFERROR(AVERAGE(_xlfn._xlws.FILTER(S$2:S$1073,($C$2:$C$1073=$C748)*($E$2:$E$1073=$E748)*(ROW(S$2:S$1073)&lt;&gt;ROW(S748))*(S$2:S$1073&lt;&gt;""))),"")</f>
        <v>1.2586396116380416</v>
      </c>
      <c r="AB748" cm="1">
        <f t="array" ref="AB748">IFERROR(AVERAGE(_xlfn._xlws.FILTER(T$2:T$1073,($C$2:$C$1073=$C748)*($E$2:$E$1073=$E748)*(ROW(T$2:T$1073)&lt;&gt;ROW(T748))*(T$2:T$1073&lt;&gt;""))),"")</f>
        <v>5.0636797509896803E-2</v>
      </c>
      <c r="AC748" cm="1">
        <f t="array" ref="AC748">IFERROR(AVERAGE(_xlfn._xlws.FILTER(U$2:U$1073,($C$2:$C$1073=$C748)*($E$2:$E$1073=$E748)*(ROW(U$2:U$1073)&lt;&gt;ROW(U748))*(U$2:U$1073&lt;&gt;""))),"")</f>
        <v>2.0444165107764372</v>
      </c>
      <c r="AD748" cm="1">
        <f t="array" ref="AD748">IFERROR(AVERAGE(_xlfn._xlws.FILTER(V$2:V$1073,($C$2:$C$1073=$C748)*($E$2:$E$1073=$E748)*(ROW(V$2:V$1073)&lt;&gt;ROW(V748))*(V$2:V$1073&lt;&gt;""))),"")</f>
        <v>0.64472959627967386</v>
      </c>
      <c r="AE748">
        <f>IF('Дивиденды по годам'!M748&lt;0,1,0)</f>
        <v>0</v>
      </c>
    </row>
    <row r="749" spans="1:31" x14ac:dyDescent="0.2">
      <c r="A749" s="7" t="s">
        <v>2270</v>
      </c>
      <c r="B749" t="str">
        <f t="shared" si="121"/>
        <v>ASTR IV кв. 2014</v>
      </c>
      <c r="C749">
        <v>2014</v>
      </c>
      <c r="D749">
        <f>SUMIFS(Дивиденды!$C:$C,Дивиденды!$A:$A,A749,Дивиденды!$I:$I,C749)</f>
        <v>0</v>
      </c>
      <c r="E749">
        <v>5</v>
      </c>
      <c r="F749">
        <f t="shared" si="122"/>
        <v>0</v>
      </c>
      <c r="G749">
        <f t="shared" si="123"/>
        <v>2.6454545454545451</v>
      </c>
      <c r="H749">
        <f t="shared" si="124"/>
        <v>0</v>
      </c>
      <c r="I749">
        <f t="shared" si="125"/>
        <v>0.18181818181818182</v>
      </c>
      <c r="J749">
        <f t="shared" si="126"/>
        <v>0</v>
      </c>
      <c r="K749">
        <f t="shared" si="131"/>
        <v>1.3814271370946419E-2</v>
      </c>
      <c r="L749">
        <f t="shared" si="127"/>
        <v>0</v>
      </c>
      <c r="M749">
        <f t="shared" si="128"/>
        <v>0.18181818181818182</v>
      </c>
      <c r="N749">
        <f t="shared" si="129"/>
        <v>0</v>
      </c>
      <c r="O749">
        <f t="shared" si="130"/>
        <v>0</v>
      </c>
      <c r="P749" t="str">
        <f>IFERROR(LN('Дивиденды по годам'!I749),"")</f>
        <v/>
      </c>
      <c r="Q749" t="str">
        <f>IFERROR('Дивиденды по годам'!G749/'Дивиденды по годам'!I749, "")</f>
        <v/>
      </c>
      <c r="R749" t="str">
        <f>IFERROR(IF(AND('Дивиденды по годам'!N749&lt;&gt;"",'Дивиденды по годам'!U749&lt;&gt;"",'Дивиденды по годам'!U749&lt;&gt;0),'Дивиденды по годам'!N749/'Дивиденды по годам'!U749-1,""),"")</f>
        <v/>
      </c>
      <c r="S749" t="str">
        <f>IFERROR(IF(AND('Дивиденды по годам'!L749&lt;&gt;"",'Дивиденды по годам'!I749&lt;&gt;"",'Дивиденды по годам'!J749&lt;&gt;"",'Дивиденды по годам'!K749&lt;&gt;"",('Дивиденды по годам'!I749-'Дивиденды по годам'!J749-'Дивиденды по годам'!K749)&lt;&gt;0),'Дивиденды по годам'!L749/('Дивиденды по годам'!I749-'Дивиденды по годам'!J749-'Дивиденды по годам'!K749),""),"")</f>
        <v/>
      </c>
      <c r="T749" t="str">
        <f>IFERROR(IF(AND('Дивиденды по годам'!Q749&lt;&gt;"",'Дивиденды по годам'!I749&lt;&gt;"",'Дивиденды по годам'!V749&lt;&gt;"",('Дивиденды по годам'!I749+'Дивиденды по годам'!V749)&lt;&gt;0),'Дивиденды по годам'!Q749/(('Дивиденды по годам'!I749+'Дивиденды по годам'!V749)/2),""),"")</f>
        <v/>
      </c>
      <c r="U749" t="str">
        <f>IFERROR(IF(AND('Дивиденды по годам'!J749&lt;&gt;"",'Дивиденды по годам'!K749&lt;&gt;"",'Дивиденды по годам'!M749&lt;&gt;"",'Дивиденды по годам'!M749&lt;&gt;0),('Дивиденды по годам'!J749+'Дивиденды по годам'!K749)/'Дивиденды по годам'!M749,""),"")</f>
        <v/>
      </c>
      <c r="V749" t="str">
        <f>IFERROR(IF(AND('Дивиденды по годам'!J749&lt;&gt;"",'Дивиденды по годам'!K749&lt;&gt;"",'Дивиденды по годам'!M749&lt;&gt;"",'Дивиденды по годам'!I749&lt;&gt;0),('Дивиденды по годам'!J749+'Дивиденды по годам'!K749)/'Дивиденды по годам'!I749,""),"")</f>
        <v/>
      </c>
      <c r="W749" t="str">
        <f>IFERROR('Дивиденды по годам'!I749,"")</f>
        <v/>
      </c>
      <c r="X749" cm="1">
        <f t="array" ref="X749">IFERROR(AVERAGE(_xlfn._xlws.FILTER(P$2:P$1073,($C$2:$C$1073=$C749)*($E$2:$E$1073=$E749)*(ROW(P$2:P$1073)&lt;&gt;ROW(P749))*(P$2:P$1073&lt;&gt;""))),"")</f>
        <v>27.082830809151307</v>
      </c>
      <c r="Y749" cm="1">
        <f t="array" ref="Y749">IFERROR(AVERAGE(_xlfn._xlws.FILTER(Q$2:Q$1073,($C$2:$C$1073=$C749)*($E$2:$E$1073=$E749)*(ROW(Q$2:Q$1073)&lt;&gt;ROW(Q749))*(Q$2:Q$1073&lt;&gt;""))),"")</f>
        <v>0.5450738024161359</v>
      </c>
      <c r="Z749" cm="1">
        <f t="array" ref="Z749">IFERROR(AVERAGE(_xlfn._xlws.FILTER(R$2:R$1073,($C$2:$C$1073=$C749)*($E$2:$E$1073=$E749)*(ROW(R$2:R$1073)&lt;&gt;ROW(R749))*(R$2:R$1073&lt;&gt;""))),"")</f>
        <v>2.9557764869601155E-2</v>
      </c>
      <c r="AA749" cm="1">
        <f t="array" ref="AA749">IFERROR(AVERAGE(_xlfn._xlws.FILTER(S$2:S$1073,($C$2:$C$1073=$C749)*($E$2:$E$1073=$E749)*(ROW(S$2:S$1073)&lt;&gt;ROW(S749))*(S$2:S$1073&lt;&gt;""))),"")</f>
        <v>1.1443286994996271</v>
      </c>
      <c r="AB749" cm="1">
        <f t="array" ref="AB749">IFERROR(AVERAGE(_xlfn._xlws.FILTER(T$2:T$1073,($C$2:$C$1073=$C749)*($E$2:$E$1073=$E749)*(ROW(T$2:T$1073)&lt;&gt;ROW(T749))*(T$2:T$1073&lt;&gt;""))),"")</f>
        <v>5.9751382409195454E-2</v>
      </c>
      <c r="AC749" cm="1">
        <f t="array" ref="AC749">IFERROR(AVERAGE(_xlfn._xlws.FILTER(U$2:U$1073,($C$2:$C$1073=$C749)*($E$2:$E$1073=$E749)*(ROW(U$2:U$1073)&lt;&gt;ROW(U749))*(U$2:U$1073&lt;&gt;""))),"")</f>
        <v>1.8184271482015117</v>
      </c>
      <c r="AD749" cm="1">
        <f t="array" ref="AD749">IFERROR(AVERAGE(_xlfn._xlws.FILTER(V$2:V$1073,($C$2:$C$1073=$C749)*($E$2:$E$1073=$E749)*(ROW(V$2:V$1073)&lt;&gt;ROW(V749))*(V$2:V$1073&lt;&gt;""))),"")</f>
        <v>0.62943537689886697</v>
      </c>
      <c r="AE749">
        <f>IF('Дивиденды по годам'!M749&lt;0,1,0)</f>
        <v>0</v>
      </c>
    </row>
    <row r="750" spans="1:31" x14ac:dyDescent="0.2">
      <c r="A750" s="7" t="s">
        <v>2270</v>
      </c>
      <c r="B750" t="str">
        <f t="shared" si="121"/>
        <v>ASTR IV кв. 2013</v>
      </c>
      <c r="C750">
        <v>2013</v>
      </c>
      <c r="D750">
        <f>SUMIFS(Дивиденды!$C:$C,Дивиденды!$A:$A,A750,Дивиденды!$I:$I,C750)</f>
        <v>0</v>
      </c>
      <c r="E750">
        <v>5</v>
      </c>
      <c r="F750">
        <f t="shared" si="122"/>
        <v>0</v>
      </c>
      <c r="G750">
        <f t="shared" si="123"/>
        <v>2.4490909090909092</v>
      </c>
      <c r="H750">
        <f t="shared" si="124"/>
        <v>0</v>
      </c>
      <c r="I750">
        <f t="shared" si="125"/>
        <v>0.18181818181818182</v>
      </c>
      <c r="J750">
        <f t="shared" si="126"/>
        <v>0</v>
      </c>
      <c r="K750">
        <f t="shared" si="131"/>
        <v>8.2745033991384775E-2</v>
      </c>
      <c r="L750">
        <f t="shared" si="127"/>
        <v>0</v>
      </c>
      <c r="M750">
        <f t="shared" si="128"/>
        <v>0.18181818181818182</v>
      </c>
      <c r="N750">
        <f t="shared" si="129"/>
        <v>0</v>
      </c>
      <c r="O750">
        <f t="shared" si="130"/>
        <v>0</v>
      </c>
      <c r="P750" t="str">
        <f>IFERROR(LN('Дивиденды по годам'!I750),"")</f>
        <v/>
      </c>
      <c r="Q750" t="str">
        <f>IFERROR('Дивиденды по годам'!G750/'Дивиденды по годам'!I750, "")</f>
        <v/>
      </c>
      <c r="R750" t="str">
        <f>IFERROR(IF(AND('Дивиденды по годам'!N750&lt;&gt;"",'Дивиденды по годам'!U750&lt;&gt;"",'Дивиденды по годам'!U750&lt;&gt;0),'Дивиденды по годам'!N750/'Дивиденды по годам'!U750-1,""),"")</f>
        <v/>
      </c>
      <c r="S750" t="str">
        <f>IFERROR(IF(AND('Дивиденды по годам'!L750&lt;&gt;"",'Дивиденды по годам'!I750&lt;&gt;"",'Дивиденды по годам'!J750&lt;&gt;"",'Дивиденды по годам'!K750&lt;&gt;"",('Дивиденды по годам'!I750-'Дивиденды по годам'!J750-'Дивиденды по годам'!K750)&lt;&gt;0),'Дивиденды по годам'!L750/('Дивиденды по годам'!I750-'Дивиденды по годам'!J750-'Дивиденды по годам'!K750),""),"")</f>
        <v/>
      </c>
      <c r="T750" t="str">
        <f>IFERROR(IF(AND('Дивиденды по годам'!Q750&lt;&gt;"",'Дивиденды по годам'!I750&lt;&gt;"",'Дивиденды по годам'!V750&lt;&gt;"",('Дивиденды по годам'!I750+'Дивиденды по годам'!V750)&lt;&gt;0),'Дивиденды по годам'!Q750/(('Дивиденды по годам'!I750+'Дивиденды по годам'!V750)/2),""),"")</f>
        <v/>
      </c>
      <c r="U750" t="str">
        <f>IFERROR(IF(AND('Дивиденды по годам'!J750&lt;&gt;"",'Дивиденды по годам'!K750&lt;&gt;"",'Дивиденды по годам'!M750&lt;&gt;"",'Дивиденды по годам'!M750&lt;&gt;0),('Дивиденды по годам'!J750+'Дивиденды по годам'!K750)/'Дивиденды по годам'!M750,""),"")</f>
        <v/>
      </c>
      <c r="V750" t="str">
        <f>IFERROR(IF(AND('Дивиденды по годам'!J750&lt;&gt;"",'Дивиденды по годам'!K750&lt;&gt;"",'Дивиденды по годам'!M750&lt;&gt;"",'Дивиденды по годам'!I750&lt;&gt;0),('Дивиденды по годам'!J750+'Дивиденды по годам'!K750)/'Дивиденды по годам'!I750,""),"")</f>
        <v/>
      </c>
      <c r="W750" t="str">
        <f>IFERROR('Дивиденды по годам'!I750,"")</f>
        <v/>
      </c>
      <c r="X750" cm="1">
        <f t="array" ref="X750">IFERROR(AVERAGE(_xlfn._xlws.FILTER(P$2:P$1073,($C$2:$C$1073=$C750)*($E$2:$E$1073=$E750)*(ROW(P$2:P$1073)&lt;&gt;ROW(P750))*(P$2:P$1073&lt;&gt;""))),"")</f>
        <v>26.980715693689852</v>
      </c>
      <c r="Y750" cm="1">
        <f t="array" ref="Y750">IFERROR(AVERAGE(_xlfn._xlws.FILTER(Q$2:Q$1073,($C$2:$C$1073=$C750)*($E$2:$E$1073=$E750)*(ROW(Q$2:Q$1073)&lt;&gt;ROW(Q750))*(Q$2:Q$1073&lt;&gt;""))),"")</f>
        <v>0.57737124989859567</v>
      </c>
      <c r="Z750" cm="1">
        <f t="array" ref="Z750">IFERROR(AVERAGE(_xlfn._xlws.FILTER(R$2:R$1073,($C$2:$C$1073=$C750)*($E$2:$E$1073=$E750)*(ROW(R$2:R$1073)&lt;&gt;ROW(R750))*(R$2:R$1073&lt;&gt;""))),"")</f>
        <v>-3.1761213433143809E-2</v>
      </c>
      <c r="AA750" t="str" cm="1">
        <f t="array" ref="AA750">IFERROR(AVERAGE(_xlfn._xlws.FILTER(S$2:S$1073,($C$2:$C$1073=$C750)*($E$2:$E$1073=$E750)*(ROW(S$2:S$1073)&lt;&gt;ROW(S750))*(S$2:S$1073&lt;&gt;""))),"")</f>
        <v/>
      </c>
      <c r="AB750" cm="1">
        <f t="array" ref="AB750">IFERROR(AVERAGE(_xlfn._xlws.FILTER(T$2:T$1073,($C$2:$C$1073=$C750)*($E$2:$E$1073=$E750)*(ROW(T$2:T$1073)&lt;&gt;ROW(T750))*(T$2:T$1073&lt;&gt;""))),"")</f>
        <v>0.10442686382361807</v>
      </c>
      <c r="AC750" cm="1">
        <f t="array" ref="AC750">IFERROR(AVERAGE(_xlfn._xlws.FILTER(U$2:U$1073,($C$2:$C$1073=$C750)*($E$2:$E$1073=$E750)*(ROW(U$2:U$1073)&lt;&gt;ROW(U750))*(U$2:U$1073&lt;&gt;""))),"")</f>
        <v>1.9310921377733694</v>
      </c>
      <c r="AD750" cm="1">
        <f t="array" ref="AD750">IFERROR(AVERAGE(_xlfn._xlws.FILTER(V$2:V$1073,($C$2:$C$1073=$C750)*($E$2:$E$1073=$E750)*(ROW(V$2:V$1073)&lt;&gt;ROW(V750))*(V$2:V$1073&lt;&gt;""))),"")</f>
        <v>0.65823029186247406</v>
      </c>
      <c r="AE750">
        <f>IF('Дивиденды по годам'!M750&lt;0,1,0)</f>
        <v>0</v>
      </c>
    </row>
    <row r="751" spans="1:31" x14ac:dyDescent="0.2">
      <c r="A751" s="7" t="s">
        <v>2270</v>
      </c>
      <c r="B751" t="str">
        <f t="shared" si="121"/>
        <v>ASTR IV кв. 2012</v>
      </c>
      <c r="C751">
        <v>2012</v>
      </c>
      <c r="D751">
        <f>SUMIFS(Дивиденды!$C:$C,Дивиденды!$A:$A,A751,Дивиденды!$I:$I,C751)</f>
        <v>0</v>
      </c>
      <c r="E751">
        <v>5</v>
      </c>
      <c r="F751">
        <f t="shared" si="122"/>
        <v>0</v>
      </c>
      <c r="G751">
        <f t="shared" si="123"/>
        <v>1.5490909090909091</v>
      </c>
      <c r="H751">
        <f t="shared" si="124"/>
        <v>0</v>
      </c>
      <c r="I751">
        <f t="shared" si="125"/>
        <v>0.18181818181818182</v>
      </c>
      <c r="J751">
        <f t="shared" si="126"/>
        <v>0</v>
      </c>
      <c r="K751">
        <f t="shared" si="131"/>
        <v>-4.4393542728732291E-2</v>
      </c>
      <c r="L751">
        <f t="shared" si="127"/>
        <v>0</v>
      </c>
      <c r="M751">
        <f t="shared" si="128"/>
        <v>0</v>
      </c>
      <c r="N751">
        <f t="shared" si="129"/>
        <v>0</v>
      </c>
      <c r="O751">
        <f t="shared" si="130"/>
        <v>0.18181818181818182</v>
      </c>
      <c r="P751" t="str">
        <f>IFERROR(LN('Дивиденды по годам'!I751),"")</f>
        <v/>
      </c>
      <c r="Q751" t="str">
        <f>IFERROR('Дивиденды по годам'!G751/'Дивиденды по годам'!I751, "")</f>
        <v/>
      </c>
      <c r="R751" t="str">
        <f>IFERROR(IF(AND('Дивиденды по годам'!N751&lt;&gt;"",'Дивиденды по годам'!U751&lt;&gt;"",'Дивиденды по годам'!U751&lt;&gt;0),'Дивиденды по годам'!N751/'Дивиденды по годам'!U751-1,""),"")</f>
        <v/>
      </c>
      <c r="S751" t="str">
        <f>IFERROR(IF(AND('Дивиденды по годам'!L751&lt;&gt;"",'Дивиденды по годам'!I751&lt;&gt;"",'Дивиденды по годам'!J751&lt;&gt;"",'Дивиденды по годам'!K751&lt;&gt;"",('Дивиденды по годам'!I751-'Дивиденды по годам'!J751-'Дивиденды по годам'!K751)&lt;&gt;0),'Дивиденды по годам'!L751/('Дивиденды по годам'!I751-'Дивиденды по годам'!J751-'Дивиденды по годам'!K751),""),"")</f>
        <v/>
      </c>
      <c r="T751" t="str">
        <f>IFERROR(IF(AND('Дивиденды по годам'!Q751&lt;&gt;"",'Дивиденды по годам'!I751&lt;&gt;"",'Дивиденды по годам'!V751&lt;&gt;"",('Дивиденды по годам'!I751+'Дивиденды по годам'!V751)&lt;&gt;0),'Дивиденды по годам'!Q751/(('Дивиденды по годам'!I751+'Дивиденды по годам'!V751)/2),""),"")</f>
        <v/>
      </c>
      <c r="U751" t="str">
        <f>IFERROR(IF(AND('Дивиденды по годам'!J751&lt;&gt;"",'Дивиденды по годам'!K751&lt;&gt;"",'Дивиденды по годам'!M751&lt;&gt;"",'Дивиденды по годам'!M751&lt;&gt;0),('Дивиденды по годам'!J751+'Дивиденды по годам'!K751)/'Дивиденды по годам'!M751,""),"")</f>
        <v/>
      </c>
      <c r="V751" t="str">
        <f>IFERROR(IF(AND('Дивиденды по годам'!J751&lt;&gt;"",'Дивиденды по годам'!K751&lt;&gt;"",'Дивиденды по годам'!M751&lt;&gt;"",'Дивиденды по годам'!I751&lt;&gt;0),('Дивиденды по годам'!J751+'Дивиденды по годам'!K751)/'Дивиденды по годам'!I751,""),"")</f>
        <v/>
      </c>
      <c r="W751" t="str">
        <f>IFERROR('Дивиденды по годам'!I751,"")</f>
        <v/>
      </c>
      <c r="X751" cm="1">
        <f t="array" ref="X751">IFERROR(AVERAGE(_xlfn._xlws.FILTER(P$2:P$1073,($C$2:$C$1073=$C751)*($E$2:$E$1073=$E751)*(ROW(P$2:P$1073)&lt;&gt;ROW(P751))*(P$2:P$1073&lt;&gt;""))),"")</f>
        <v>26.976167524823197</v>
      </c>
      <c r="Y751" cm="1">
        <f t="array" ref="Y751">IFERROR(AVERAGE(_xlfn._xlws.FILTER(Q$2:Q$1073,($C$2:$C$1073=$C751)*($E$2:$E$1073=$E751)*(ROW(Q$2:Q$1073)&lt;&gt;ROW(Q751))*(Q$2:Q$1073&lt;&gt;""))),"")</f>
        <v>0.63141065735920243</v>
      </c>
      <c r="Z751" cm="1">
        <f t="array" ref="Z751">IFERROR(AVERAGE(_xlfn._xlws.FILTER(R$2:R$1073,($C$2:$C$1073=$C751)*($E$2:$E$1073=$E751)*(ROW(R$2:R$1073)&lt;&gt;ROW(R751))*(R$2:R$1073&lt;&gt;""))),"")</f>
        <v>8.5252436531932485E-2</v>
      </c>
      <c r="AA751" t="str" cm="1">
        <f t="array" ref="AA751">IFERROR(AVERAGE(_xlfn._xlws.FILTER(S$2:S$1073,($C$2:$C$1073=$C751)*($E$2:$E$1073=$E751)*(ROW(S$2:S$1073)&lt;&gt;ROW(S751))*(S$2:S$1073&lt;&gt;""))),"")</f>
        <v/>
      </c>
      <c r="AB751" cm="1">
        <f t="array" ref="AB751">IFERROR(AVERAGE(_xlfn._xlws.FILTER(T$2:T$1073,($C$2:$C$1073=$C751)*($E$2:$E$1073=$E751)*(ROW(T$2:T$1073)&lt;&gt;ROW(T751))*(T$2:T$1073&lt;&gt;""))),"")</f>
        <v>6.4593053680603474E-2</v>
      </c>
      <c r="AC751" cm="1">
        <f t="array" ref="AC751">IFERROR(AVERAGE(_xlfn._xlws.FILTER(U$2:U$1073,($C$2:$C$1073=$C751)*($E$2:$E$1073=$E751)*(ROW(U$2:U$1073)&lt;&gt;ROW(U751))*(U$2:U$1073&lt;&gt;""))),"")</f>
        <v>2.1186181543330798</v>
      </c>
      <c r="AD751" cm="1">
        <f t="array" ref="AD751">IFERROR(AVERAGE(_xlfn._xlws.FILTER(V$2:V$1073,($C$2:$C$1073=$C751)*($E$2:$E$1073=$E751)*(ROW(V$2:V$1073)&lt;&gt;ROW(V751))*(V$2:V$1073&lt;&gt;""))),"")</f>
        <v>0.6515550916449</v>
      </c>
      <c r="AE751">
        <f>IF('Дивиденды по годам'!M751&lt;0,1,0)</f>
        <v>0</v>
      </c>
    </row>
    <row r="752" spans="1:31" x14ac:dyDescent="0.2">
      <c r="A752" s="7" t="s">
        <v>2270</v>
      </c>
      <c r="B752" t="str">
        <f t="shared" si="121"/>
        <v>ASTR IV кв. 2011</v>
      </c>
      <c r="C752">
        <v>2011</v>
      </c>
      <c r="D752">
        <f>SUMIFS(Дивиденды!$C:$C,Дивиденды!$A:$A,A752,Дивиденды!$I:$I,C752)</f>
        <v>0</v>
      </c>
      <c r="E752">
        <v>5</v>
      </c>
      <c r="F752">
        <f t="shared" si="122"/>
        <v>0</v>
      </c>
      <c r="G752">
        <f t="shared" si="123"/>
        <v>1.7645454545454546</v>
      </c>
      <c r="H752">
        <f t="shared" si="124"/>
        <v>0</v>
      </c>
      <c r="I752">
        <f t="shared" si="125"/>
        <v>0.18181818181818182</v>
      </c>
      <c r="J752">
        <f t="shared" si="126"/>
        <v>0</v>
      </c>
      <c r="K752">
        <f t="shared" si="131"/>
        <v>0.29508419260826407</v>
      </c>
      <c r="L752">
        <f t="shared" si="127"/>
        <v>0</v>
      </c>
      <c r="M752">
        <f t="shared" si="128"/>
        <v>0.18181818181818182</v>
      </c>
      <c r="N752">
        <f t="shared" si="129"/>
        <v>0</v>
      </c>
      <c r="O752">
        <f t="shared" si="130"/>
        <v>0</v>
      </c>
      <c r="P752" t="str">
        <f>IFERROR(LN('Дивиденды по годам'!I752),"")</f>
        <v/>
      </c>
      <c r="Q752" t="str">
        <f>IFERROR('Дивиденды по годам'!G752/'Дивиденды по годам'!I752, "")</f>
        <v/>
      </c>
      <c r="R752" t="str">
        <f>IFERROR(IF(AND('Дивиденды по годам'!N752&lt;&gt;"",'Дивиденды по годам'!U752&lt;&gt;"",'Дивиденды по годам'!U752&lt;&gt;0),'Дивиденды по годам'!N752/'Дивиденды по годам'!U752-1,""),"")</f>
        <v/>
      </c>
      <c r="S752" t="str">
        <f>IFERROR(IF(AND('Дивиденды по годам'!L752&lt;&gt;"",'Дивиденды по годам'!I752&lt;&gt;"",'Дивиденды по годам'!J752&lt;&gt;"",'Дивиденды по годам'!K752&lt;&gt;"",('Дивиденды по годам'!I752-'Дивиденды по годам'!J752-'Дивиденды по годам'!K752)&lt;&gt;0),'Дивиденды по годам'!L752/('Дивиденды по годам'!I752-'Дивиденды по годам'!J752-'Дивиденды по годам'!K752),""),"")</f>
        <v/>
      </c>
      <c r="T752" t="str">
        <f>IFERROR(IF(AND('Дивиденды по годам'!Q752&lt;&gt;"",'Дивиденды по годам'!I752&lt;&gt;"",'Дивиденды по годам'!V752&lt;&gt;"",('Дивиденды по годам'!I752+'Дивиденды по годам'!V752)&lt;&gt;0),'Дивиденды по годам'!Q752/(('Дивиденды по годам'!I752+'Дивиденды по годам'!V752)/2),""),"")</f>
        <v/>
      </c>
      <c r="U752" t="str">
        <f>IFERROR(IF(AND('Дивиденды по годам'!J752&lt;&gt;"",'Дивиденды по годам'!K752&lt;&gt;"",'Дивиденды по годам'!M752&lt;&gt;"",'Дивиденды по годам'!M752&lt;&gt;0),('Дивиденды по годам'!J752+'Дивиденды по годам'!K752)/'Дивиденды по годам'!M752,""),"")</f>
        <v/>
      </c>
      <c r="V752" t="str">
        <f>IFERROR(IF(AND('Дивиденды по годам'!J752&lt;&gt;"",'Дивиденды по годам'!K752&lt;&gt;"",'Дивиденды по годам'!M752&lt;&gt;"",'Дивиденды по годам'!I752&lt;&gt;0),('Дивиденды по годам'!J752+'Дивиденды по годам'!K752)/'Дивиденды по годам'!I752,""),"")</f>
        <v/>
      </c>
      <c r="W752" t="str">
        <f>IFERROR('Дивиденды по годам'!I752,"")</f>
        <v/>
      </c>
      <c r="X752" cm="1">
        <f t="array" ref="X752">IFERROR(AVERAGE(_xlfn._xlws.FILTER(P$2:P$1073,($C$2:$C$1073=$C752)*($E$2:$E$1073=$E752)*(ROW(P$2:P$1073)&lt;&gt;ROW(P752))*(P$2:P$1073&lt;&gt;""))),"")</f>
        <v>26.959846755112331</v>
      </c>
      <c r="Y752" cm="1">
        <f t="array" ref="Y752">IFERROR(AVERAGE(_xlfn._xlws.FILTER(Q$2:Q$1073,($C$2:$C$1073=$C752)*($E$2:$E$1073=$E752)*(ROW(Q$2:Q$1073)&lt;&gt;ROW(Q752))*(Q$2:Q$1073&lt;&gt;""))),"")</f>
        <v>0.64168629722093962</v>
      </c>
      <c r="Z752" t="str" cm="1">
        <f t="array" ref="Z752">IFERROR(AVERAGE(_xlfn._xlws.FILTER(R$2:R$1073,($C$2:$C$1073=$C752)*($E$2:$E$1073=$E752)*(ROW(R$2:R$1073)&lt;&gt;ROW(R752))*(R$2:R$1073&lt;&gt;""))),"")</f>
        <v/>
      </c>
      <c r="AA752" t="str" cm="1">
        <f t="array" ref="AA752">IFERROR(AVERAGE(_xlfn._xlws.FILTER(S$2:S$1073,($C$2:$C$1073=$C752)*($E$2:$E$1073=$E752)*(ROW(S$2:S$1073)&lt;&gt;ROW(S752))*(S$2:S$1073&lt;&gt;""))),"")</f>
        <v/>
      </c>
      <c r="AB752" t="str" cm="1">
        <f t="array" ref="AB752">IFERROR(AVERAGE(_xlfn._xlws.FILTER(T$2:T$1073,($C$2:$C$1073=$C752)*($E$2:$E$1073=$E752)*(ROW(T$2:T$1073)&lt;&gt;ROW(T752))*(T$2:T$1073&lt;&gt;""))),"")</f>
        <v/>
      </c>
      <c r="AC752" cm="1">
        <f t="array" ref="AC752">IFERROR(AVERAGE(_xlfn._xlws.FILTER(U$2:U$1073,($C$2:$C$1073=$C752)*($E$2:$E$1073=$E752)*(ROW(U$2:U$1073)&lt;&gt;ROW(U752))*(U$2:U$1073&lt;&gt;""))),"")</f>
        <v>0.9076461410986616</v>
      </c>
      <c r="AD752" cm="1">
        <f t="array" ref="AD752">IFERROR(AVERAGE(_xlfn._xlws.FILTER(V$2:V$1073,($C$2:$C$1073=$C752)*($E$2:$E$1073=$E752)*(ROW(V$2:V$1073)&lt;&gt;ROW(V752))*(V$2:V$1073&lt;&gt;""))),"")</f>
        <v>0.47579376570118254</v>
      </c>
      <c r="AE752">
        <f>IF('Дивиденды по годам'!M752&lt;0,1,0)</f>
        <v>0</v>
      </c>
    </row>
    <row r="753" spans="1:31" x14ac:dyDescent="0.2">
      <c r="A753" s="7" t="s">
        <v>2270</v>
      </c>
      <c r="B753" t="str">
        <f t="shared" si="121"/>
        <v>ASTR IV кв. 2010</v>
      </c>
      <c r="C753">
        <v>2010</v>
      </c>
      <c r="D753">
        <f>SUMIFS(Дивиденды!$C:$C,Дивиденды!$A:$A,A753,Дивиденды!$I:$I,C753)</f>
        <v>0</v>
      </c>
      <c r="E753">
        <v>5</v>
      </c>
      <c r="F753">
        <f t="shared" si="122"/>
        <v>0</v>
      </c>
      <c r="G753">
        <f t="shared" si="123"/>
        <v>1.4227272727272726</v>
      </c>
      <c r="H753">
        <f t="shared" si="124"/>
        <v>0</v>
      </c>
      <c r="I753">
        <f t="shared" si="125"/>
        <v>0.18181818181818182</v>
      </c>
      <c r="J753" t="str">
        <f t="shared" si="126"/>
        <v/>
      </c>
      <c r="K753" t="str">
        <f t="shared" si="131"/>
        <v/>
      </c>
      <c r="L753" t="str">
        <f t="shared" si="127"/>
        <v/>
      </c>
      <c r="M753" t="str">
        <f t="shared" si="128"/>
        <v/>
      </c>
      <c r="N753" t="str">
        <f t="shared" si="129"/>
        <v/>
      </c>
      <c r="O753" t="str">
        <f t="shared" si="130"/>
        <v/>
      </c>
      <c r="P753" t="str">
        <f>IFERROR(LN('Дивиденды по годам'!I753),"")</f>
        <v/>
      </c>
      <c r="Q753" t="str">
        <f>IFERROR('Дивиденды по годам'!G753/'Дивиденды по годам'!I753, "")</f>
        <v/>
      </c>
      <c r="R753" t="str">
        <f>IFERROR(IF(AND('Дивиденды по годам'!N753&lt;&gt;"",'Дивиденды по годам'!U753&lt;&gt;"",'Дивиденды по годам'!U753&lt;&gt;0),'Дивиденды по годам'!N753/'Дивиденды по годам'!U753-1,""),"")</f>
        <v/>
      </c>
      <c r="S753" t="str">
        <f>IFERROR(IF(AND('Дивиденды по годам'!L753&lt;&gt;"",'Дивиденды по годам'!I753&lt;&gt;"",'Дивиденды по годам'!J753&lt;&gt;"",'Дивиденды по годам'!K753&lt;&gt;"",('Дивиденды по годам'!I753-'Дивиденды по годам'!J753-'Дивиденды по годам'!K753)&lt;&gt;0),'Дивиденды по годам'!L753/('Дивиденды по годам'!I753-'Дивиденды по годам'!J753-'Дивиденды по годам'!K753),""),"")</f>
        <v/>
      </c>
      <c r="T753" t="str">
        <f>IFERROR(IF(AND('Дивиденды по годам'!Q753&lt;&gt;"",'Дивиденды по годам'!I753&lt;&gt;"",'Дивиденды по годам'!V753&lt;&gt;"",('Дивиденды по годам'!I753+'Дивиденды по годам'!V753)&lt;&gt;0),'Дивиденды по годам'!Q753/(('Дивиденды по годам'!I753+'Дивиденды по годам'!V753)/2),""),"")</f>
        <v/>
      </c>
      <c r="U753" t="str">
        <f>IFERROR(IF(AND('Дивиденды по годам'!J753&lt;&gt;"",'Дивиденды по годам'!K753&lt;&gt;"",'Дивиденды по годам'!M753&lt;&gt;"",'Дивиденды по годам'!M753&lt;&gt;0),('Дивиденды по годам'!J753+'Дивиденды по годам'!K753)/'Дивиденды по годам'!M753,""),"")</f>
        <v/>
      </c>
      <c r="V753" t="str">
        <f>IFERROR(IF(AND('Дивиденды по годам'!J753&lt;&gt;"",'Дивиденды по годам'!K753&lt;&gt;"",'Дивиденды по годам'!M753&lt;&gt;"",'Дивиденды по годам'!I753&lt;&gt;0),('Дивиденды по годам'!J753+'Дивиденды по годам'!K753)/'Дивиденды по годам'!I753,""),"")</f>
        <v/>
      </c>
      <c r="W753" t="str">
        <f>IFERROR('Дивиденды по годам'!I753,"")</f>
        <v/>
      </c>
      <c r="X753" t="str" cm="1">
        <f t="array" ref="X753">IFERROR(AVERAGE(_xlfn._xlws.FILTER(P$2:P$1073,($C$2:$C$1073=$C753)*($E$2:$E$1073=$E753)*(ROW(P$2:P$1073)&lt;&gt;ROW(P753))*(P$2:P$1073&lt;&gt;""))),"")</f>
        <v/>
      </c>
      <c r="Y753" t="str" cm="1">
        <f t="array" ref="Y753">IFERROR(AVERAGE(_xlfn._xlws.FILTER(Q$2:Q$1073,($C$2:$C$1073=$C753)*($E$2:$E$1073=$E753)*(ROW(Q$2:Q$1073)&lt;&gt;ROW(Q753))*(Q$2:Q$1073&lt;&gt;""))),"")</f>
        <v/>
      </c>
      <c r="Z753" t="str" cm="1">
        <f t="array" ref="Z753">IFERROR(AVERAGE(_xlfn._xlws.FILTER(R$2:R$1073,($C$2:$C$1073=$C753)*($E$2:$E$1073=$E753)*(ROW(R$2:R$1073)&lt;&gt;ROW(R753))*(R$2:R$1073&lt;&gt;""))),"")</f>
        <v/>
      </c>
      <c r="AA753" t="str" cm="1">
        <f t="array" ref="AA753">IFERROR(AVERAGE(_xlfn._xlws.FILTER(S$2:S$1073,($C$2:$C$1073=$C753)*($E$2:$E$1073=$E753)*(ROW(S$2:S$1073)&lt;&gt;ROW(S753))*(S$2:S$1073&lt;&gt;""))),"")</f>
        <v/>
      </c>
      <c r="AB753" t="str" cm="1">
        <f t="array" ref="AB753">IFERROR(AVERAGE(_xlfn._xlws.FILTER(T$2:T$1073,($C$2:$C$1073=$C753)*($E$2:$E$1073=$E753)*(ROW(T$2:T$1073)&lt;&gt;ROW(T753))*(T$2:T$1073&lt;&gt;""))),"")</f>
        <v/>
      </c>
      <c r="AC753" t="str" cm="1">
        <f t="array" ref="AC753">IFERROR(AVERAGE(_xlfn._xlws.FILTER(U$2:U$1073,($C$2:$C$1073=$C753)*($E$2:$E$1073=$E753)*(ROW(U$2:U$1073)&lt;&gt;ROW(U753))*(U$2:U$1073&lt;&gt;""))),"")</f>
        <v/>
      </c>
      <c r="AD753" t="str" cm="1">
        <f t="array" ref="AD753">IFERROR(AVERAGE(_xlfn._xlws.FILTER(V$2:V$1073,($C$2:$C$1073=$C753)*($E$2:$E$1073=$E753)*(ROW(V$2:V$1073)&lt;&gt;ROW(V753))*(V$2:V$1073&lt;&gt;""))),"")</f>
        <v/>
      </c>
      <c r="AE753">
        <f>IF('Дивиденды по годам'!M753&lt;0,1,0)</f>
        <v>0</v>
      </c>
    </row>
    <row r="754" spans="1:31" x14ac:dyDescent="0.2">
      <c r="A754" s="7" t="s">
        <v>2273</v>
      </c>
      <c r="B754" t="str">
        <f t="shared" si="121"/>
        <v>BAZA IV кв. 2025</v>
      </c>
      <c r="C754">
        <v>2025</v>
      </c>
      <c r="D754">
        <f>SUMIFS(Дивиденды!$C:$C,Дивиденды!$A:$A,A754,Дивиденды!$I:$I,C754)</f>
        <v>3.34</v>
      </c>
      <c r="E754">
        <v>5</v>
      </c>
      <c r="F754">
        <f t="shared" si="122"/>
        <v>3.34</v>
      </c>
      <c r="G754">
        <f t="shared" si="123"/>
        <v>51.192727272727275</v>
      </c>
      <c r="H754">
        <f t="shared" si="124"/>
        <v>1</v>
      </c>
      <c r="I754">
        <f t="shared" si="125"/>
        <v>0.45454545454545453</v>
      </c>
      <c r="J754">
        <f t="shared" si="126"/>
        <v>1</v>
      </c>
      <c r="K754">
        <f t="shared" si="131"/>
        <v>-0.114067005274923</v>
      </c>
      <c r="L754">
        <f t="shared" si="127"/>
        <v>1</v>
      </c>
      <c r="M754">
        <f t="shared" si="128"/>
        <v>0.27272727272727271</v>
      </c>
      <c r="N754">
        <f t="shared" si="129"/>
        <v>0</v>
      </c>
      <c r="O754">
        <f t="shared" si="130"/>
        <v>0.54545454545454541</v>
      </c>
      <c r="P754">
        <f>IFERROR(LN('Дивиденды по годам'!I754),"")</f>
        <v>22.716539963582342</v>
      </c>
      <c r="Q754">
        <f>IFERROR('Дивиденды по годам'!G754/'Дивиденды по годам'!I754, "")</f>
        <v>5.1597072017603322E-2</v>
      </c>
      <c r="R754" t="str">
        <f>IFERROR(IF(AND('Дивиденды по годам'!N754&lt;&gt;"",'Дивиденды по годам'!U754&lt;&gt;"",'Дивиденды по годам'!U754&lt;&gt;0),'Дивиденды по годам'!N754/'Дивиденды по годам'!U754-1,""),"")</f>
        <v/>
      </c>
      <c r="S754">
        <f>IFERROR(IF(AND('Дивиденды по годам'!L754&lt;&gt;"",'Дивиденды по годам'!I754&lt;&gt;"",'Дивиденды по годам'!J754&lt;&gt;"",'Дивиденды по годам'!K754&lt;&gt;"",('Дивиденды по годам'!I754-'Дивиденды по годам'!J754-'Дивиденды по годам'!K754)&lt;&gt;0),'Дивиденды по годам'!L754/('Дивиденды по годам'!I754-'Дивиденды по годам'!J754-'Дивиденды по годам'!K754),""),"")</f>
        <v>0.8706669359299174</v>
      </c>
      <c r="T754" t="str">
        <f>IFERROR(IF(AND('Дивиденды по годам'!Q754&lt;&gt;"",'Дивиденды по годам'!I754&lt;&gt;"",'Дивиденды по годам'!V754&lt;&gt;"",('Дивиденды по годам'!I754+'Дивиденды по годам'!V754)&lt;&gt;0),'Дивиденды по годам'!Q754/(('Дивиденды по годам'!I754+'Дивиденды по годам'!V754)/2),""),"")</f>
        <v/>
      </c>
      <c r="U754">
        <f>IFERROR(IF(AND('Дивиденды по годам'!J754&lt;&gt;"",'Дивиденды по годам'!K754&lt;&gt;"",'Дивиденды по годам'!M754&lt;&gt;"",'Дивиденды по годам'!M754&lt;&gt;0),('Дивиденды по годам'!J754+'Дивиденды по годам'!K754)/'Дивиденды по годам'!M754,""),"")</f>
        <v>0.32575873892314688</v>
      </c>
      <c r="V754">
        <f>IFERROR(IF(AND('Дивиденды по годам'!J754&lt;&gt;"",'Дивиденды по годам'!K754&lt;&gt;"",'Дивиденды по годам'!M754&lt;&gt;"",'Дивиденды по годам'!I754&lt;&gt;0),('Дивиденды по годам'!J754+'Дивиденды по годам'!K754)/'Дивиденды по годам'!I754,""),"")</f>
        <v>0.24571494749319608</v>
      </c>
      <c r="W754">
        <f>IFERROR('Дивиденды по годам'!I754,"")</f>
        <v>7339525000</v>
      </c>
      <c r="X754" cm="1">
        <f t="array" ref="X754">IFERROR(AVERAGE(_xlfn._xlws.FILTER(P$2:P$1073,($C$2:$C$1073=$C754)*($E$2:$E$1073=$E754)*(ROW(P$2:P$1073)&lt;&gt;ROW(P754))*(P$2:P$1073&lt;&gt;""))),"")</f>
        <v>27.15541143689077</v>
      </c>
      <c r="Y754" cm="1">
        <f t="array" ref="Y754">IFERROR(AVERAGE(_xlfn._xlws.FILTER(Q$2:Q$1073,($C$2:$C$1073=$C754)*($E$2:$E$1073=$E754)*(ROW(Q$2:Q$1073)&lt;&gt;ROW(Q754))*(Q$2:Q$1073&lt;&gt;""))),"")</f>
        <v>0.21737628119932198</v>
      </c>
      <c r="Z754" cm="1">
        <f t="array" ref="Z754">IFERROR(AVERAGE(_xlfn._xlws.FILTER(R$2:R$1073,($C$2:$C$1073=$C754)*($E$2:$E$1073=$E754)*(ROW(R$2:R$1073)&lt;&gt;ROW(R754))*(R$2:R$1073&lt;&gt;""))),"")</f>
        <v>0.14131329588399896</v>
      </c>
      <c r="AA754" cm="1">
        <f t="array" ref="AA754">IFERROR(AVERAGE(_xlfn._xlws.FILTER(S$2:S$1073,($C$2:$C$1073=$C754)*($E$2:$E$1073=$E754)*(ROW(S$2:S$1073)&lt;&gt;ROW(S754))*(S$2:S$1073&lt;&gt;""))),"")</f>
        <v>0.6562453953557208</v>
      </c>
      <c r="AB754" cm="1">
        <f t="array" ref="AB754">IFERROR(AVERAGE(_xlfn._xlws.FILTER(T$2:T$1073,($C$2:$C$1073=$C754)*($E$2:$E$1073=$E754)*(ROW(T$2:T$1073)&lt;&gt;ROW(T754))*(T$2:T$1073&lt;&gt;""))),"")</f>
        <v>0.12648274488223432</v>
      </c>
      <c r="AC754" cm="1">
        <f t="array" ref="AC754">IFERROR(AVERAGE(_xlfn._xlws.FILTER(U$2:U$1073,($C$2:$C$1073=$C754)*($E$2:$E$1073=$E754)*(ROW(U$2:U$1073)&lt;&gt;ROW(U754))*(U$2:U$1073&lt;&gt;""))),"")</f>
        <v>17.136588134882427</v>
      </c>
      <c r="AD754" cm="1">
        <f t="array" ref="AD754">IFERROR(AVERAGE(_xlfn._xlws.FILTER(V$2:V$1073,($C$2:$C$1073=$C754)*($E$2:$E$1073=$E754)*(ROW(V$2:V$1073)&lt;&gt;ROW(V754))*(V$2:V$1073&lt;&gt;""))),"")</f>
        <v>0.81106425993207132</v>
      </c>
      <c r="AE754">
        <f>IF('Дивиденды по годам'!M754&lt;0,1,0)</f>
        <v>0</v>
      </c>
    </row>
    <row r="755" spans="1:31" x14ac:dyDescent="0.2">
      <c r="A755" s="7" t="s">
        <v>2273</v>
      </c>
      <c r="B755" t="str">
        <f t="shared" si="121"/>
        <v>BAZA IV кв. 2024</v>
      </c>
      <c r="C755">
        <v>2024</v>
      </c>
      <c r="D755">
        <f>SUMIFS(Дивиденды!$C:$C,Дивиденды!$A:$A,A755,Дивиденды!$I:$I,C755)</f>
        <v>0</v>
      </c>
      <c r="E755">
        <v>5</v>
      </c>
      <c r="F755">
        <f t="shared" si="122"/>
        <v>0</v>
      </c>
      <c r="G755">
        <f t="shared" si="123"/>
        <v>102.16454545454545</v>
      </c>
      <c r="H755">
        <f t="shared" si="124"/>
        <v>0</v>
      </c>
      <c r="I755">
        <f t="shared" si="125"/>
        <v>0.63636363636363635</v>
      </c>
      <c r="J755">
        <f t="shared" si="126"/>
        <v>0</v>
      </c>
      <c r="K755">
        <f t="shared" si="131"/>
        <v>0.22526756384337021</v>
      </c>
      <c r="L755">
        <f t="shared" si="127"/>
        <v>0</v>
      </c>
      <c r="M755">
        <f t="shared" si="128"/>
        <v>0.36363636363636365</v>
      </c>
      <c r="N755">
        <f t="shared" si="129"/>
        <v>0</v>
      </c>
      <c r="O755">
        <f t="shared" si="130"/>
        <v>0.18181818181818182</v>
      </c>
      <c r="P755" t="str">
        <f>IFERROR(LN('Дивиденды по годам'!I755),"")</f>
        <v/>
      </c>
      <c r="Q755" t="str">
        <f>IFERROR('Дивиденды по годам'!G755/'Дивиденды по годам'!I755, "")</f>
        <v/>
      </c>
      <c r="R755" t="str">
        <f>IFERROR(IF(AND('Дивиденды по годам'!N755&lt;&gt;"",'Дивиденды по годам'!U755&lt;&gt;"",'Дивиденды по годам'!U755&lt;&gt;0),'Дивиденды по годам'!N755/'Дивиденды по годам'!U755-1,""),"")</f>
        <v/>
      </c>
      <c r="S755" t="str">
        <f>IFERROR(IF(AND('Дивиденды по годам'!L755&lt;&gt;"",'Дивиденды по годам'!I755&lt;&gt;"",'Дивиденды по годам'!J755&lt;&gt;"",'Дивиденды по годам'!K755&lt;&gt;"",('Дивиденды по годам'!I755-'Дивиденды по годам'!J755-'Дивиденды по годам'!K755)&lt;&gt;0),'Дивиденды по годам'!L755/('Дивиденды по годам'!I755-'Дивиденды по годам'!J755-'Дивиденды по годам'!K755),""),"")</f>
        <v/>
      </c>
      <c r="T755" t="str">
        <f>IFERROR(IF(AND('Дивиденды по годам'!Q755&lt;&gt;"",'Дивиденды по годам'!I755&lt;&gt;"",'Дивиденды по годам'!V755&lt;&gt;"",('Дивиденды по годам'!I755+'Дивиденды по годам'!V755)&lt;&gt;0),'Дивиденды по годам'!Q755/(('Дивиденды по годам'!I755+'Дивиденды по годам'!V755)/2),""),"")</f>
        <v/>
      </c>
      <c r="U755" t="str">
        <f>IFERROR(IF(AND('Дивиденды по годам'!J755&lt;&gt;"",'Дивиденды по годам'!K755&lt;&gt;"",'Дивиденды по годам'!M755&lt;&gt;"",'Дивиденды по годам'!M755&lt;&gt;0),('Дивиденды по годам'!J755+'Дивиденды по годам'!K755)/'Дивиденды по годам'!M755,""),"")</f>
        <v/>
      </c>
      <c r="V755" t="str">
        <f>IFERROR(IF(AND('Дивиденды по годам'!J755&lt;&gt;"",'Дивиденды по годам'!K755&lt;&gt;"",'Дивиденды по годам'!M755&lt;&gt;"",'Дивиденды по годам'!I755&lt;&gt;0),('Дивиденды по годам'!J755+'Дивиденды по годам'!K755)/'Дивиденды по годам'!I755,""),"")</f>
        <v/>
      </c>
      <c r="W755" t="str">
        <f>IFERROR('Дивиденды по годам'!I755,"")</f>
        <v/>
      </c>
      <c r="X755" cm="1">
        <f t="array" ref="X755">IFERROR(AVERAGE(_xlfn._xlws.FILTER(P$2:P$1073,($C$2:$C$1073=$C755)*($E$2:$E$1073=$E755)*(ROW(P$2:P$1073)&lt;&gt;ROW(P755))*(P$2:P$1073&lt;&gt;""))),"")</f>
        <v>25.336739204052083</v>
      </c>
      <c r="Y755" cm="1">
        <f t="array" ref="Y755">IFERROR(AVERAGE(_xlfn._xlws.FILTER(Q$2:Q$1073,($C$2:$C$1073=$C755)*($E$2:$E$1073=$E755)*(ROW(Q$2:Q$1073)&lt;&gt;ROW(Q755))*(Q$2:Q$1073&lt;&gt;""))),"")</f>
        <v>0.13471807743964709</v>
      </c>
      <c r="Z755" cm="1">
        <f t="array" ref="Z755">IFERROR(AVERAGE(_xlfn._xlws.FILTER(R$2:R$1073,($C$2:$C$1073=$C755)*($E$2:$E$1073=$E755)*(ROW(R$2:R$1073)&lt;&gt;ROW(R755))*(R$2:R$1073&lt;&gt;""))),"")</f>
        <v>0.2642177028396257</v>
      </c>
      <c r="AA755" cm="1">
        <f t="array" ref="AA755">IFERROR(AVERAGE(_xlfn._xlws.FILTER(S$2:S$1073,($C$2:$C$1073=$C755)*($E$2:$E$1073=$E755)*(ROW(S$2:S$1073)&lt;&gt;ROW(S755))*(S$2:S$1073&lt;&gt;""))),"")</f>
        <v>-0.20757324108655567</v>
      </c>
      <c r="AB755" cm="1">
        <f t="array" ref="AB755">IFERROR(AVERAGE(_xlfn._xlws.FILTER(T$2:T$1073,($C$2:$C$1073=$C755)*($E$2:$E$1073=$E755)*(ROW(T$2:T$1073)&lt;&gt;ROW(T755))*(T$2:T$1073&lt;&gt;""))),"")</f>
        <v>0.19874619053523157</v>
      </c>
      <c r="AC755" cm="1">
        <f t="array" ref="AC755">IFERROR(AVERAGE(_xlfn._xlws.FILTER(U$2:U$1073,($C$2:$C$1073=$C755)*($E$2:$E$1073=$E755)*(ROW(U$2:U$1073)&lt;&gt;ROW(U755))*(U$2:U$1073&lt;&gt;""))),"")</f>
        <v>-11.051854932892608</v>
      </c>
      <c r="AD755" cm="1">
        <f t="array" ref="AD755">IFERROR(AVERAGE(_xlfn._xlws.FILTER(V$2:V$1073,($C$2:$C$1073=$C755)*($E$2:$E$1073=$E755)*(ROW(V$2:V$1073)&lt;&gt;ROW(V755))*(V$2:V$1073&lt;&gt;""))),"")</f>
        <v>0.6936989587261021</v>
      </c>
      <c r="AE755">
        <f>IF('Дивиденды по годам'!M755&lt;0,1,0)</f>
        <v>0</v>
      </c>
    </row>
    <row r="756" spans="1:31" x14ac:dyDescent="0.2">
      <c r="A756" s="7" t="s">
        <v>2273</v>
      </c>
      <c r="B756" t="str">
        <f t="shared" si="121"/>
        <v>BAZA IV кв. 2023</v>
      </c>
      <c r="C756">
        <v>2023</v>
      </c>
      <c r="D756">
        <f>SUMIFS(Дивиденды!$C:$C,Дивиденды!$A:$A,A756,Дивиденды!$I:$I,C756)</f>
        <v>0</v>
      </c>
      <c r="E756">
        <v>5</v>
      </c>
      <c r="F756">
        <f t="shared" si="122"/>
        <v>0</v>
      </c>
      <c r="G756">
        <f t="shared" si="123"/>
        <v>17.214545454545455</v>
      </c>
      <c r="H756">
        <f t="shared" si="124"/>
        <v>0</v>
      </c>
      <c r="I756">
        <f t="shared" si="125"/>
        <v>0.27272727272727271</v>
      </c>
      <c r="J756">
        <f t="shared" si="126"/>
        <v>0</v>
      </c>
      <c r="K756">
        <f t="shared" si="131"/>
        <v>0.2713254911425303</v>
      </c>
      <c r="L756">
        <f t="shared" si="127"/>
        <v>0</v>
      </c>
      <c r="M756">
        <f t="shared" si="128"/>
        <v>0.27272727272727271</v>
      </c>
      <c r="N756">
        <f t="shared" si="129"/>
        <v>0</v>
      </c>
      <c r="O756">
        <f t="shared" si="130"/>
        <v>0</v>
      </c>
      <c r="P756" t="str">
        <f>IFERROR(LN('Дивиденды по годам'!I756),"")</f>
        <v/>
      </c>
      <c r="Q756" t="str">
        <f>IFERROR('Дивиденды по годам'!G756/'Дивиденды по годам'!I756, "")</f>
        <v/>
      </c>
      <c r="R756" t="str">
        <f>IFERROR(IF(AND('Дивиденды по годам'!N756&lt;&gt;"",'Дивиденды по годам'!U756&lt;&gt;"",'Дивиденды по годам'!U756&lt;&gt;0),'Дивиденды по годам'!N756/'Дивиденды по годам'!U756-1,""),"")</f>
        <v/>
      </c>
      <c r="S756" t="str">
        <f>IFERROR(IF(AND('Дивиденды по годам'!L756&lt;&gt;"",'Дивиденды по годам'!I756&lt;&gt;"",'Дивиденды по годам'!J756&lt;&gt;"",'Дивиденды по годам'!K756&lt;&gt;"",('Дивиденды по годам'!I756-'Дивиденды по годам'!J756-'Дивиденды по годам'!K756)&lt;&gt;0),'Дивиденды по годам'!L756/('Дивиденды по годам'!I756-'Дивиденды по годам'!J756-'Дивиденды по годам'!K756),""),"")</f>
        <v/>
      </c>
      <c r="T756" t="str">
        <f>IFERROR(IF(AND('Дивиденды по годам'!Q756&lt;&gt;"",'Дивиденды по годам'!I756&lt;&gt;"",'Дивиденды по годам'!V756&lt;&gt;"",('Дивиденды по годам'!I756+'Дивиденды по годам'!V756)&lt;&gt;0),'Дивиденды по годам'!Q756/(('Дивиденды по годам'!I756+'Дивиденды по годам'!V756)/2),""),"")</f>
        <v/>
      </c>
      <c r="U756" t="str">
        <f>IFERROR(IF(AND('Дивиденды по годам'!J756&lt;&gt;"",'Дивиденды по годам'!K756&lt;&gt;"",'Дивиденды по годам'!M756&lt;&gt;"",'Дивиденды по годам'!M756&lt;&gt;0),('Дивиденды по годам'!J756+'Дивиденды по годам'!K756)/'Дивиденды по годам'!M756,""),"")</f>
        <v/>
      </c>
      <c r="V756" t="str">
        <f>IFERROR(IF(AND('Дивиденды по годам'!J756&lt;&gt;"",'Дивиденды по годам'!K756&lt;&gt;"",'Дивиденды по годам'!M756&lt;&gt;"",'Дивиденды по годам'!I756&lt;&gt;0),('Дивиденды по годам'!J756+'Дивиденды по годам'!K756)/'Дивиденды по годам'!I756,""),"")</f>
        <v/>
      </c>
      <c r="W756" t="str">
        <f>IFERROR('Дивиденды по годам'!I756,"")</f>
        <v/>
      </c>
      <c r="X756" cm="1">
        <f t="array" ref="X756">IFERROR(AVERAGE(_xlfn._xlws.FILTER(P$2:P$1073,($C$2:$C$1073=$C756)*($E$2:$E$1073=$E756)*(ROW(P$2:P$1073)&lt;&gt;ROW(P756))*(P$2:P$1073&lt;&gt;""))),"")</f>
        <v>24.900931538156115</v>
      </c>
      <c r="Y756" cm="1">
        <f t="array" ref="Y756">IFERROR(AVERAGE(_xlfn._xlws.FILTER(Q$2:Q$1073,($C$2:$C$1073=$C756)*($E$2:$E$1073=$E756)*(ROW(Q$2:Q$1073)&lt;&gt;ROW(Q756))*(Q$2:Q$1073&lt;&gt;""))),"")</f>
        <v>0.11688684958606771</v>
      </c>
      <c r="Z756" cm="1">
        <f t="array" ref="Z756">IFERROR(AVERAGE(_xlfn._xlws.FILTER(R$2:R$1073,($C$2:$C$1073=$C756)*($E$2:$E$1073=$E756)*(ROW(R$2:R$1073)&lt;&gt;ROW(R756))*(R$2:R$1073&lt;&gt;""))),"")</f>
        <v>0.43171849086064124</v>
      </c>
      <c r="AA756" cm="1">
        <f t="array" ref="AA756">IFERROR(AVERAGE(_xlfn._xlws.FILTER(S$2:S$1073,($C$2:$C$1073=$C756)*($E$2:$E$1073=$E756)*(ROW(S$2:S$1073)&lt;&gt;ROW(S756))*(S$2:S$1073&lt;&gt;""))),"")</f>
        <v>0.7038137743387477</v>
      </c>
      <c r="AB756" cm="1">
        <f t="array" ref="AB756">IFERROR(AVERAGE(_xlfn._xlws.FILTER(T$2:T$1073,($C$2:$C$1073=$C756)*($E$2:$E$1073=$E756)*(ROW(T$2:T$1073)&lt;&gt;ROW(T756))*(T$2:T$1073&lt;&gt;""))),"")</f>
        <v>0.16503536613583741</v>
      </c>
      <c r="AC756" cm="1">
        <f t="array" ref="AC756">IFERROR(AVERAGE(_xlfn._xlws.FILTER(U$2:U$1073,($C$2:$C$1073=$C756)*($E$2:$E$1073=$E756)*(ROW(U$2:U$1073)&lt;&gt;ROW(U756))*(U$2:U$1073&lt;&gt;""))),"")</f>
        <v>85.333976073258114</v>
      </c>
      <c r="AD756" cm="1">
        <f t="array" ref="AD756">IFERROR(AVERAGE(_xlfn._xlws.FILTER(V$2:V$1073,($C$2:$C$1073=$C756)*($E$2:$E$1073=$E756)*(ROW(V$2:V$1073)&lt;&gt;ROW(V756))*(V$2:V$1073&lt;&gt;""))),"")</f>
        <v>0.63339603226362784</v>
      </c>
      <c r="AE756">
        <f>IF('Дивиденды по годам'!M756&lt;0,1,0)</f>
        <v>0</v>
      </c>
    </row>
    <row r="757" spans="1:31" x14ac:dyDescent="0.2">
      <c r="A757" s="7" t="s">
        <v>2273</v>
      </c>
      <c r="B757" t="str">
        <f t="shared" si="121"/>
        <v>BAZA IV кв. 2022</v>
      </c>
      <c r="C757">
        <v>2022</v>
      </c>
      <c r="D757">
        <f>SUMIFS(Дивиденды!$C:$C,Дивиденды!$A:$A,A757,Дивиденды!$I:$I,C757)</f>
        <v>0</v>
      </c>
      <c r="E757">
        <v>5</v>
      </c>
      <c r="F757">
        <f t="shared" si="122"/>
        <v>0</v>
      </c>
      <c r="G757">
        <f t="shared" si="123"/>
        <v>7.1127272727272723</v>
      </c>
      <c r="H757">
        <f t="shared" si="124"/>
        <v>0</v>
      </c>
      <c r="I757">
        <f t="shared" si="125"/>
        <v>0.27272727272727271</v>
      </c>
      <c r="J757">
        <f t="shared" si="126"/>
        <v>0</v>
      </c>
      <c r="K757">
        <f t="shared" si="131"/>
        <v>8.7952066899435327E-2</v>
      </c>
      <c r="L757">
        <f t="shared" si="127"/>
        <v>0</v>
      </c>
      <c r="M757">
        <f t="shared" si="128"/>
        <v>0.18181818181818182</v>
      </c>
      <c r="N757">
        <f t="shared" si="129"/>
        <v>0</v>
      </c>
      <c r="O757">
        <f t="shared" si="130"/>
        <v>9.0909090909090912E-2</v>
      </c>
      <c r="P757" t="str">
        <f>IFERROR(LN('Дивиденды по годам'!I757),"")</f>
        <v/>
      </c>
      <c r="Q757" t="str">
        <f>IFERROR('Дивиденды по годам'!G757/'Дивиденды по годам'!I757, "")</f>
        <v/>
      </c>
      <c r="R757" t="str">
        <f>IFERROR(IF(AND('Дивиденды по годам'!N757&lt;&gt;"",'Дивиденды по годам'!U757&lt;&gt;"",'Дивиденды по годам'!U757&lt;&gt;0),'Дивиденды по годам'!N757/'Дивиденды по годам'!U757-1,""),"")</f>
        <v/>
      </c>
      <c r="S757" t="str">
        <f>IFERROR(IF(AND('Дивиденды по годам'!L757&lt;&gt;"",'Дивиденды по годам'!I757&lt;&gt;"",'Дивиденды по годам'!J757&lt;&gt;"",'Дивиденды по годам'!K757&lt;&gt;"",('Дивиденды по годам'!I757-'Дивиденды по годам'!J757-'Дивиденды по годам'!K757)&lt;&gt;0),'Дивиденды по годам'!L757/('Дивиденды по годам'!I757-'Дивиденды по годам'!J757-'Дивиденды по годам'!K757),""),"")</f>
        <v/>
      </c>
      <c r="T757" t="str">
        <f>IFERROR(IF(AND('Дивиденды по годам'!Q757&lt;&gt;"",'Дивиденды по годам'!I757&lt;&gt;"",'Дивиденды по годам'!V757&lt;&gt;"",('Дивиденды по годам'!I757+'Дивиденды по годам'!V757)&lt;&gt;0),'Дивиденды по годам'!Q757/(('Дивиденды по годам'!I757+'Дивиденды по годам'!V757)/2),""),"")</f>
        <v/>
      </c>
      <c r="U757" t="str">
        <f>IFERROR(IF(AND('Дивиденды по годам'!J757&lt;&gt;"",'Дивиденды по годам'!K757&lt;&gt;"",'Дивиденды по годам'!M757&lt;&gt;"",'Дивиденды по годам'!M757&lt;&gt;0),('Дивиденды по годам'!J757+'Дивиденды по годам'!K757)/'Дивиденды по годам'!M757,""),"")</f>
        <v/>
      </c>
      <c r="V757" t="str">
        <f>IFERROR(IF(AND('Дивиденды по годам'!J757&lt;&gt;"",'Дивиденды по годам'!K757&lt;&gt;"",'Дивиденды по годам'!M757&lt;&gt;"",'Дивиденды по годам'!I757&lt;&gt;0),('Дивиденды по годам'!J757+'Дивиденды по годам'!K757)/'Дивиденды по годам'!I757,""),"")</f>
        <v/>
      </c>
      <c r="W757" t="str">
        <f>IFERROR('Дивиденды по годам'!I757,"")</f>
        <v/>
      </c>
      <c r="X757" cm="1">
        <f t="array" ref="X757">IFERROR(AVERAGE(_xlfn._xlws.FILTER(P$2:P$1073,($C$2:$C$1073=$C757)*($E$2:$E$1073=$E757)*(ROW(P$2:P$1073)&lt;&gt;ROW(P757))*(P$2:P$1073&lt;&gt;""))),"")</f>
        <v>24.993376890782685</v>
      </c>
      <c r="Y757" cm="1">
        <f t="array" ref="Y757">IFERROR(AVERAGE(_xlfn._xlws.FILTER(Q$2:Q$1073,($C$2:$C$1073=$C757)*($E$2:$E$1073=$E757)*(ROW(Q$2:Q$1073)&lt;&gt;ROW(Q757))*(Q$2:Q$1073&lt;&gt;""))),"")</f>
        <v>0.10312885530309761</v>
      </c>
      <c r="Z757" cm="1">
        <f t="array" ref="Z757">IFERROR(AVERAGE(_xlfn._xlws.FILTER(R$2:R$1073,($C$2:$C$1073=$C757)*($E$2:$E$1073=$E757)*(ROW(R$2:R$1073)&lt;&gt;ROW(R757))*(R$2:R$1073&lt;&gt;""))),"")</f>
        <v>0.57613604172059418</v>
      </c>
      <c r="AA757" cm="1">
        <f t="array" ref="AA757">IFERROR(AVERAGE(_xlfn._xlws.FILTER(S$2:S$1073,($C$2:$C$1073=$C757)*($E$2:$E$1073=$E757)*(ROW(S$2:S$1073)&lt;&gt;ROW(S757))*(S$2:S$1073&lt;&gt;""))),"")</f>
        <v>0.79975694618495274</v>
      </c>
      <c r="AB757" cm="1">
        <f t="array" ref="AB757">IFERROR(AVERAGE(_xlfn._xlws.FILTER(T$2:T$1073,($C$2:$C$1073=$C757)*($E$2:$E$1073=$E757)*(ROW(T$2:T$1073)&lt;&gt;ROW(T757))*(T$2:T$1073&lt;&gt;""))),"")</f>
        <v>0.34864704859118889</v>
      </c>
      <c r="AC757" cm="1">
        <f t="array" ref="AC757">IFERROR(AVERAGE(_xlfn._xlws.FILTER(U$2:U$1073,($C$2:$C$1073=$C757)*($E$2:$E$1073=$E757)*(ROW(U$2:U$1073)&lt;&gt;ROW(U757))*(U$2:U$1073&lt;&gt;""))),"")</f>
        <v>-58.279622636108527</v>
      </c>
      <c r="AD757" cm="1">
        <f t="array" ref="AD757">IFERROR(AVERAGE(_xlfn._xlws.FILTER(V$2:V$1073,($C$2:$C$1073=$C757)*($E$2:$E$1073=$E757)*(ROW(V$2:V$1073)&lt;&gt;ROW(V757))*(V$2:V$1073&lt;&gt;""))),"")</f>
        <v>0.72118797865619422</v>
      </c>
      <c r="AE757">
        <f>IF('Дивиденды по годам'!M757&lt;0,1,0)</f>
        <v>0</v>
      </c>
    </row>
    <row r="758" spans="1:31" x14ac:dyDescent="0.2">
      <c r="A758" s="7" t="s">
        <v>2273</v>
      </c>
      <c r="B758" t="str">
        <f t="shared" si="121"/>
        <v>BAZA IV кв. 2021</v>
      </c>
      <c r="C758">
        <v>2021</v>
      </c>
      <c r="D758">
        <f>SUMIFS(Дивиденды!$C:$C,Дивиденды!$A:$A,A758,Дивиденды!$I:$I,C758)</f>
        <v>0</v>
      </c>
      <c r="E758">
        <v>5</v>
      </c>
      <c r="F758">
        <f t="shared" si="122"/>
        <v>0</v>
      </c>
      <c r="G758">
        <f t="shared" si="123"/>
        <v>4.450909090909092</v>
      </c>
      <c r="H758">
        <f t="shared" si="124"/>
        <v>0</v>
      </c>
      <c r="I758">
        <f t="shared" si="125"/>
        <v>0.18181818181818182</v>
      </c>
      <c r="J758">
        <f t="shared" si="126"/>
        <v>0</v>
      </c>
      <c r="K758">
        <f t="shared" si="131"/>
        <v>1.4983788220808552E-2</v>
      </c>
      <c r="L758">
        <f t="shared" si="127"/>
        <v>0</v>
      </c>
      <c r="M758">
        <f t="shared" si="128"/>
        <v>9.0909090909090912E-2</v>
      </c>
      <c r="N758">
        <f t="shared" si="129"/>
        <v>0</v>
      </c>
      <c r="O758">
        <f t="shared" si="130"/>
        <v>9.0909090909090912E-2</v>
      </c>
      <c r="P758" t="str">
        <f>IFERROR(LN('Дивиденды по годам'!I758),"")</f>
        <v/>
      </c>
      <c r="Q758" t="str">
        <f>IFERROR('Дивиденды по годам'!G758/'Дивиденды по годам'!I758, "")</f>
        <v/>
      </c>
      <c r="R758" t="str">
        <f>IFERROR(IF(AND('Дивиденды по годам'!N758&lt;&gt;"",'Дивиденды по годам'!U758&lt;&gt;"",'Дивиденды по годам'!U758&lt;&gt;0),'Дивиденды по годам'!N758/'Дивиденды по годам'!U758-1,""),"")</f>
        <v/>
      </c>
      <c r="S758" t="str">
        <f>IFERROR(IF(AND('Дивиденды по годам'!L758&lt;&gt;"",'Дивиденды по годам'!I758&lt;&gt;"",'Дивиденды по годам'!J758&lt;&gt;"",'Дивиденды по годам'!K758&lt;&gt;"",('Дивиденды по годам'!I758-'Дивиденды по годам'!J758-'Дивиденды по годам'!K758)&lt;&gt;0),'Дивиденды по годам'!L758/('Дивиденды по годам'!I758-'Дивиденды по годам'!J758-'Дивиденды по годам'!K758),""),"")</f>
        <v/>
      </c>
      <c r="T758" t="str">
        <f>IFERROR(IF(AND('Дивиденды по годам'!Q758&lt;&gt;"",'Дивиденды по годам'!I758&lt;&gt;"",'Дивиденды по годам'!V758&lt;&gt;"",('Дивиденды по годам'!I758+'Дивиденды по годам'!V758)&lt;&gt;0),'Дивиденды по годам'!Q758/(('Дивиденды по годам'!I758+'Дивиденды по годам'!V758)/2),""),"")</f>
        <v/>
      </c>
      <c r="U758" t="str">
        <f>IFERROR(IF(AND('Дивиденды по годам'!J758&lt;&gt;"",'Дивиденды по годам'!K758&lt;&gt;"",'Дивиденды по годам'!M758&lt;&gt;"",'Дивиденды по годам'!M758&lt;&gt;0),('Дивиденды по годам'!J758+'Дивиденды по годам'!K758)/'Дивиденды по годам'!M758,""),"")</f>
        <v/>
      </c>
      <c r="V758" t="str">
        <f>IFERROR(IF(AND('Дивиденды по годам'!J758&lt;&gt;"",'Дивиденды по годам'!K758&lt;&gt;"",'Дивиденды по годам'!M758&lt;&gt;"",'Дивиденды по годам'!I758&lt;&gt;0),('Дивиденды по годам'!J758+'Дивиденды по годам'!K758)/'Дивиденды по годам'!I758,""),"")</f>
        <v/>
      </c>
      <c r="W758" t="str">
        <f>IFERROR('Дивиденды по годам'!I758,"")</f>
        <v/>
      </c>
      <c r="X758" cm="1">
        <f t="array" ref="X758">IFERROR(AVERAGE(_xlfn._xlws.FILTER(P$2:P$1073,($C$2:$C$1073=$C758)*($E$2:$E$1073=$E758)*(ROW(P$2:P$1073)&lt;&gt;ROW(P758))*(P$2:P$1073&lt;&gt;""))),"")</f>
        <v>24.814330558799487</v>
      </c>
      <c r="Y758" cm="1">
        <f t="array" ref="Y758">IFERROR(AVERAGE(_xlfn._xlws.FILTER(Q$2:Q$1073,($C$2:$C$1073=$C758)*($E$2:$E$1073=$E758)*(ROW(Q$2:Q$1073)&lt;&gt;ROW(Q758))*(Q$2:Q$1073&lt;&gt;""))),"")</f>
        <v>0.19534356994799099</v>
      </c>
      <c r="Z758" cm="1">
        <f t="array" ref="Z758">IFERROR(AVERAGE(_xlfn._xlws.FILTER(R$2:R$1073,($C$2:$C$1073=$C758)*($E$2:$E$1073=$E758)*(ROW(R$2:R$1073)&lt;&gt;ROW(R758))*(R$2:R$1073&lt;&gt;""))),"")</f>
        <v>9.4863731161179049E-2</v>
      </c>
      <c r="AA758" cm="1">
        <f t="array" ref="AA758">IFERROR(AVERAGE(_xlfn._xlws.FILTER(S$2:S$1073,($C$2:$C$1073=$C758)*($E$2:$E$1073=$E758)*(ROW(S$2:S$1073)&lt;&gt;ROW(S758))*(S$2:S$1073&lt;&gt;""))),"")</f>
        <v>1.8501010961498143</v>
      </c>
      <c r="AB758" cm="1">
        <f t="array" ref="AB758">IFERROR(AVERAGE(_xlfn._xlws.FILTER(T$2:T$1073,($C$2:$C$1073=$C758)*($E$2:$E$1073=$E758)*(ROW(T$2:T$1073)&lt;&gt;ROW(T758))*(T$2:T$1073&lt;&gt;""))),"")</f>
        <v>9.1596142313276091E-2</v>
      </c>
      <c r="AC758" cm="1">
        <f t="array" ref="AC758">IFERROR(AVERAGE(_xlfn._xlws.FILTER(U$2:U$1073,($C$2:$C$1073=$C758)*($E$2:$E$1073=$E758)*(ROW(U$2:U$1073)&lt;&gt;ROW(U758))*(U$2:U$1073&lt;&gt;""))),"")</f>
        <v>21.700846854369502</v>
      </c>
      <c r="AD758" cm="1">
        <f t="array" ref="AD758">IFERROR(AVERAGE(_xlfn._xlws.FILTER(V$2:V$1073,($C$2:$C$1073=$C758)*($E$2:$E$1073=$E758)*(ROW(V$2:V$1073)&lt;&gt;ROW(V758))*(V$2:V$1073&lt;&gt;""))),"")</f>
        <v>0.85910201160215871</v>
      </c>
      <c r="AE758">
        <f>IF('Дивиденды по годам'!M758&lt;0,1,0)</f>
        <v>0</v>
      </c>
    </row>
    <row r="759" spans="1:31" x14ac:dyDescent="0.2">
      <c r="A759" s="7" t="s">
        <v>2273</v>
      </c>
      <c r="B759" t="str">
        <f t="shared" si="121"/>
        <v>BAZA IV кв. 2020</v>
      </c>
      <c r="C759">
        <v>2020</v>
      </c>
      <c r="D759">
        <f>SUMIFS(Дивиденды!$C:$C,Дивиденды!$A:$A,A759,Дивиденды!$I:$I,C759)</f>
        <v>0</v>
      </c>
      <c r="E759">
        <v>5</v>
      </c>
      <c r="F759">
        <f t="shared" si="122"/>
        <v>0</v>
      </c>
      <c r="G759">
        <f t="shared" si="123"/>
        <v>3.6763636363636363</v>
      </c>
      <c r="H759">
        <f t="shared" si="124"/>
        <v>0</v>
      </c>
      <c r="I759">
        <f t="shared" si="125"/>
        <v>0.18181818181818182</v>
      </c>
      <c r="J759">
        <f t="shared" si="126"/>
        <v>0</v>
      </c>
      <c r="K759">
        <f t="shared" si="131"/>
        <v>-1.5101604278074872E-2</v>
      </c>
      <c r="L759">
        <f t="shared" si="127"/>
        <v>0</v>
      </c>
      <c r="M759">
        <f t="shared" si="128"/>
        <v>0</v>
      </c>
      <c r="N759">
        <f t="shared" si="129"/>
        <v>0</v>
      </c>
      <c r="O759">
        <f t="shared" si="130"/>
        <v>9.0909090909090912E-2</v>
      </c>
      <c r="P759" t="str">
        <f>IFERROR(LN('Дивиденды по годам'!I759),"")</f>
        <v/>
      </c>
      <c r="Q759" t="str">
        <f>IFERROR('Дивиденды по годам'!G759/'Дивиденды по годам'!I759, "")</f>
        <v/>
      </c>
      <c r="R759" t="str">
        <f>IFERROR(IF(AND('Дивиденды по годам'!N759&lt;&gt;"",'Дивиденды по годам'!U759&lt;&gt;"",'Дивиденды по годам'!U759&lt;&gt;0),'Дивиденды по годам'!N759/'Дивиденды по годам'!U759-1,""),"")</f>
        <v/>
      </c>
      <c r="S759" t="str">
        <f>IFERROR(IF(AND('Дивиденды по годам'!L759&lt;&gt;"",'Дивиденды по годам'!I759&lt;&gt;"",'Дивиденды по годам'!J759&lt;&gt;"",'Дивиденды по годам'!K759&lt;&gt;"",('Дивиденды по годам'!I759-'Дивиденды по годам'!J759-'Дивиденды по годам'!K759)&lt;&gt;0),'Дивиденды по годам'!L759/('Дивиденды по годам'!I759-'Дивиденды по годам'!J759-'Дивиденды по годам'!K759),""),"")</f>
        <v/>
      </c>
      <c r="T759" t="str">
        <f>IFERROR(IF(AND('Дивиденды по годам'!Q759&lt;&gt;"",'Дивиденды по годам'!I759&lt;&gt;"",'Дивиденды по годам'!V759&lt;&gt;"",('Дивиденды по годам'!I759+'Дивиденды по годам'!V759)&lt;&gt;0),'Дивиденды по годам'!Q759/(('Дивиденды по годам'!I759+'Дивиденды по годам'!V759)/2),""),"")</f>
        <v/>
      </c>
      <c r="U759" t="str">
        <f>IFERROR(IF(AND('Дивиденды по годам'!J759&lt;&gt;"",'Дивиденды по годам'!K759&lt;&gt;"",'Дивиденды по годам'!M759&lt;&gt;"",'Дивиденды по годам'!M759&lt;&gt;0),('Дивиденды по годам'!J759+'Дивиденды по годам'!K759)/'Дивиденды по годам'!M759,""),"")</f>
        <v/>
      </c>
      <c r="V759" t="str">
        <f>IFERROR(IF(AND('Дивиденды по годам'!J759&lt;&gt;"",'Дивиденды по годам'!K759&lt;&gt;"",'Дивиденды по годам'!M759&lt;&gt;"",'Дивиденды по годам'!I759&lt;&gt;0),('Дивиденды по годам'!J759+'Дивиденды по годам'!K759)/'Дивиденды по годам'!I759,""),"")</f>
        <v/>
      </c>
      <c r="W759" t="str">
        <f>IFERROR('Дивиденды по годам'!I759,"")</f>
        <v/>
      </c>
      <c r="X759" cm="1">
        <f t="array" ref="X759">IFERROR(AVERAGE(_xlfn._xlws.FILTER(P$2:P$1073,($C$2:$C$1073=$C759)*($E$2:$E$1073=$E759)*(ROW(P$2:P$1073)&lt;&gt;ROW(P759))*(P$2:P$1073&lt;&gt;""))),"")</f>
        <v>25.49408392578281</v>
      </c>
      <c r="Y759" cm="1">
        <f t="array" ref="Y759">IFERROR(AVERAGE(_xlfn._xlws.FILTER(Q$2:Q$1073,($C$2:$C$1073=$C759)*($E$2:$E$1073=$E759)*(ROW(Q$2:Q$1073)&lt;&gt;ROW(Q759))*(Q$2:Q$1073&lt;&gt;""))),"")</f>
        <v>0.23831030393306155</v>
      </c>
      <c r="Z759" cm="1">
        <f t="array" ref="Z759">IFERROR(AVERAGE(_xlfn._xlws.FILTER(R$2:R$1073,($C$2:$C$1073=$C759)*($E$2:$E$1073=$E759)*(ROW(R$2:R$1073)&lt;&gt;ROW(R759))*(R$2:R$1073&lt;&gt;""))),"")</f>
        <v>0.42097945466997094</v>
      </c>
      <c r="AA759" cm="1">
        <f t="array" ref="AA759">IFERROR(AVERAGE(_xlfn._xlws.FILTER(S$2:S$1073,($C$2:$C$1073=$C759)*($E$2:$E$1073=$E759)*(ROW(S$2:S$1073)&lt;&gt;ROW(S759))*(S$2:S$1073&lt;&gt;""))),"")</f>
        <v>1.383012856761217</v>
      </c>
      <c r="AB759" cm="1">
        <f t="array" ref="AB759">IFERROR(AVERAGE(_xlfn._xlws.FILTER(T$2:T$1073,($C$2:$C$1073=$C759)*($E$2:$E$1073=$E759)*(ROW(T$2:T$1073)&lt;&gt;ROW(T759))*(T$2:T$1073&lt;&gt;""))),"")</f>
        <v>0.12042080749921591</v>
      </c>
      <c r="AC759" cm="1">
        <f t="array" ref="AC759">IFERROR(AVERAGE(_xlfn._xlws.FILTER(U$2:U$1073,($C$2:$C$1073=$C759)*($E$2:$E$1073=$E759)*(ROW(U$2:U$1073)&lt;&gt;ROW(U759))*(U$2:U$1073&lt;&gt;""))),"")</f>
        <v>9.6677963358881698</v>
      </c>
      <c r="AD759" cm="1">
        <f t="array" ref="AD759">IFERROR(AVERAGE(_xlfn._xlws.FILTER(V$2:V$1073,($C$2:$C$1073=$C759)*($E$2:$E$1073=$E759)*(ROW(V$2:V$1073)&lt;&gt;ROW(V759))*(V$2:V$1073&lt;&gt;""))),"")</f>
        <v>0.80624783688388657</v>
      </c>
      <c r="AE759">
        <f>IF('Дивиденды по годам'!M759&lt;0,1,0)</f>
        <v>0</v>
      </c>
    </row>
    <row r="760" spans="1:31" x14ac:dyDescent="0.2">
      <c r="A760" s="7" t="s">
        <v>2273</v>
      </c>
      <c r="B760" t="str">
        <f t="shared" si="121"/>
        <v>BAZA IV кв. 2019</v>
      </c>
      <c r="C760">
        <v>2019</v>
      </c>
      <c r="D760">
        <f>SUMIFS(Дивиденды!$C:$C,Дивиденды!$A:$A,A760,Дивиденды!$I:$I,C760)</f>
        <v>0</v>
      </c>
      <c r="E760">
        <v>5</v>
      </c>
      <c r="F760">
        <f t="shared" si="122"/>
        <v>0</v>
      </c>
      <c r="G760">
        <f t="shared" si="123"/>
        <v>4.3181818181818183</v>
      </c>
      <c r="H760">
        <f t="shared" si="124"/>
        <v>0</v>
      </c>
      <c r="I760">
        <f t="shared" si="125"/>
        <v>0.18181818181818182</v>
      </c>
      <c r="J760">
        <f t="shared" si="126"/>
        <v>0</v>
      </c>
      <c r="K760">
        <f t="shared" si="131"/>
        <v>8.0199694017231649E-2</v>
      </c>
      <c r="L760">
        <f t="shared" si="127"/>
        <v>0</v>
      </c>
      <c r="M760">
        <f t="shared" si="128"/>
        <v>9.0909090909090912E-2</v>
      </c>
      <c r="N760">
        <f t="shared" si="129"/>
        <v>0</v>
      </c>
      <c r="O760">
        <f t="shared" si="130"/>
        <v>0</v>
      </c>
      <c r="P760" t="str">
        <f>IFERROR(LN('Дивиденды по годам'!I760),"")</f>
        <v/>
      </c>
      <c r="Q760" t="str">
        <f>IFERROR('Дивиденды по годам'!G760/'Дивиденды по годам'!I760, "")</f>
        <v/>
      </c>
      <c r="R760" t="str">
        <f>IFERROR(IF(AND('Дивиденды по годам'!N760&lt;&gt;"",'Дивиденды по годам'!U760&lt;&gt;"",'Дивиденды по годам'!U760&lt;&gt;0),'Дивиденды по годам'!N760/'Дивиденды по годам'!U760-1,""),"")</f>
        <v/>
      </c>
      <c r="S760" t="str">
        <f>IFERROR(IF(AND('Дивиденды по годам'!L760&lt;&gt;"",'Дивиденды по годам'!I760&lt;&gt;"",'Дивиденды по годам'!J760&lt;&gt;"",'Дивиденды по годам'!K760&lt;&gt;"",('Дивиденды по годам'!I760-'Дивиденды по годам'!J760-'Дивиденды по годам'!K760)&lt;&gt;0),'Дивиденды по годам'!L760/('Дивиденды по годам'!I760-'Дивиденды по годам'!J760-'Дивиденды по годам'!K760),""),"")</f>
        <v/>
      </c>
      <c r="T760" t="str">
        <f>IFERROR(IF(AND('Дивиденды по годам'!Q760&lt;&gt;"",'Дивиденды по годам'!I760&lt;&gt;"",'Дивиденды по годам'!V760&lt;&gt;"",('Дивиденды по годам'!I760+'Дивиденды по годам'!V760)&lt;&gt;0),'Дивиденды по годам'!Q760/(('Дивиденды по годам'!I760+'Дивиденды по годам'!V760)/2),""),"")</f>
        <v/>
      </c>
      <c r="U760" t="str">
        <f>IFERROR(IF(AND('Дивиденды по годам'!J760&lt;&gt;"",'Дивиденды по годам'!K760&lt;&gt;"",'Дивиденды по годам'!M760&lt;&gt;"",'Дивиденды по годам'!M760&lt;&gt;0),('Дивиденды по годам'!J760+'Дивиденды по годам'!K760)/'Дивиденды по годам'!M760,""),"")</f>
        <v/>
      </c>
      <c r="V760" t="str">
        <f>IFERROR(IF(AND('Дивиденды по годам'!J760&lt;&gt;"",'Дивиденды по годам'!K760&lt;&gt;"",'Дивиденды по годам'!M760&lt;&gt;"",'Дивиденды по годам'!I760&lt;&gt;0),('Дивиденды по годам'!J760+'Дивиденды по годам'!K760)/'Дивиденды по годам'!I760,""),"")</f>
        <v/>
      </c>
      <c r="W760" t="str">
        <f>IFERROR('Дивиденды по годам'!I760,"")</f>
        <v/>
      </c>
      <c r="X760" cm="1">
        <f t="array" ref="X760">IFERROR(AVERAGE(_xlfn._xlws.FILTER(P$2:P$1073,($C$2:$C$1073=$C760)*($E$2:$E$1073=$E760)*(ROW(P$2:P$1073)&lt;&gt;ROW(P760))*(P$2:P$1073&lt;&gt;""))),"")</f>
        <v>25.699366278152379</v>
      </c>
      <c r="Y760" cm="1">
        <f t="array" ref="Y760">IFERROR(AVERAGE(_xlfn._xlws.FILTER(Q$2:Q$1073,($C$2:$C$1073=$C760)*($E$2:$E$1073=$E760)*(ROW(Q$2:Q$1073)&lt;&gt;ROW(Q760))*(Q$2:Q$1073&lt;&gt;""))),"")</f>
        <v>0.31619951047208333</v>
      </c>
      <c r="Z760" cm="1">
        <f t="array" ref="Z760">IFERROR(AVERAGE(_xlfn._xlws.FILTER(R$2:R$1073,($C$2:$C$1073=$C760)*($E$2:$E$1073=$E760)*(ROW(R$2:R$1073)&lt;&gt;ROW(R760))*(R$2:R$1073&lt;&gt;""))),"")</f>
        <v>0.12795723906733225</v>
      </c>
      <c r="AA760" cm="1">
        <f t="array" ref="AA760">IFERROR(AVERAGE(_xlfn._xlws.FILTER(S$2:S$1073,($C$2:$C$1073=$C760)*($E$2:$E$1073=$E760)*(ROW(S$2:S$1073)&lt;&gt;ROW(S760))*(S$2:S$1073&lt;&gt;""))),"")</f>
        <v>1.4981608959410444</v>
      </c>
      <c r="AB760" cm="1">
        <f t="array" ref="AB760">IFERROR(AVERAGE(_xlfn._xlws.FILTER(T$2:T$1073,($C$2:$C$1073=$C760)*($E$2:$E$1073=$E760)*(ROW(T$2:T$1073)&lt;&gt;ROW(T760))*(T$2:T$1073&lt;&gt;""))),"")</f>
        <v>4.0595347592911959E-2</v>
      </c>
      <c r="AC760" cm="1">
        <f t="array" ref="AC760">IFERROR(AVERAGE(_xlfn._xlws.FILTER(U$2:U$1073,($C$2:$C$1073=$C760)*($E$2:$E$1073=$E760)*(ROW(U$2:U$1073)&lt;&gt;ROW(U760))*(U$2:U$1073&lt;&gt;""))),"")</f>
        <v>9.1460847128214748</v>
      </c>
      <c r="AD760" cm="1">
        <f t="array" ref="AD760">IFERROR(AVERAGE(_xlfn._xlws.FILTER(V$2:V$1073,($C$2:$C$1073=$C760)*($E$2:$E$1073=$E760)*(ROW(V$2:V$1073)&lt;&gt;ROW(V760))*(V$2:V$1073&lt;&gt;""))),"")</f>
        <v>0.79889661521769517</v>
      </c>
      <c r="AE760">
        <f>IF('Дивиденды по годам'!M760&lt;0,1,0)</f>
        <v>0</v>
      </c>
    </row>
    <row r="761" spans="1:31" x14ac:dyDescent="0.2">
      <c r="A761" s="7" t="s">
        <v>2273</v>
      </c>
      <c r="B761" t="str">
        <f t="shared" si="121"/>
        <v>BAZA IV кв. 2018</v>
      </c>
      <c r="C761">
        <v>2018</v>
      </c>
      <c r="D761">
        <f>SUMIFS(Дивиденды!$C:$C,Дивиденды!$A:$A,A761,Дивиденды!$I:$I,C761)</f>
        <v>0</v>
      </c>
      <c r="E761">
        <v>5</v>
      </c>
      <c r="F761">
        <f t="shared" si="122"/>
        <v>0</v>
      </c>
      <c r="G761">
        <f t="shared" si="123"/>
        <v>2.5072727272727273</v>
      </c>
      <c r="H761">
        <f t="shared" si="124"/>
        <v>0</v>
      </c>
      <c r="I761">
        <f t="shared" si="125"/>
        <v>0.18181818181818182</v>
      </c>
      <c r="J761">
        <f t="shared" si="126"/>
        <v>0</v>
      </c>
      <c r="K761">
        <f t="shared" si="131"/>
        <v>-3.1077604801900294E-2</v>
      </c>
      <c r="L761">
        <f t="shared" si="127"/>
        <v>0</v>
      </c>
      <c r="M761">
        <f t="shared" si="128"/>
        <v>0</v>
      </c>
      <c r="N761">
        <f t="shared" si="129"/>
        <v>0</v>
      </c>
      <c r="O761">
        <f t="shared" si="130"/>
        <v>0.18181818181818182</v>
      </c>
      <c r="P761" t="str">
        <f>IFERROR(LN('Дивиденды по годам'!I761),"")</f>
        <v/>
      </c>
      <c r="Q761" t="str">
        <f>IFERROR('Дивиденды по годам'!G761/'Дивиденды по годам'!I761, "")</f>
        <v/>
      </c>
      <c r="R761" t="str">
        <f>IFERROR(IF(AND('Дивиденды по годам'!N761&lt;&gt;"",'Дивиденды по годам'!U761&lt;&gt;"",'Дивиденды по годам'!U761&lt;&gt;0),'Дивиденды по годам'!N761/'Дивиденды по годам'!U761-1,""),"")</f>
        <v/>
      </c>
      <c r="S761" t="str">
        <f>IFERROR(IF(AND('Дивиденды по годам'!L761&lt;&gt;"",'Дивиденды по годам'!I761&lt;&gt;"",'Дивиденды по годам'!J761&lt;&gt;"",'Дивиденды по годам'!K761&lt;&gt;"",('Дивиденды по годам'!I761-'Дивиденды по годам'!J761-'Дивиденды по годам'!K761)&lt;&gt;0),'Дивиденды по годам'!L761/('Дивиденды по годам'!I761-'Дивиденды по годам'!J761-'Дивиденды по годам'!K761),""),"")</f>
        <v/>
      </c>
      <c r="T761" t="str">
        <f>IFERROR(IF(AND('Дивиденды по годам'!Q761&lt;&gt;"",'Дивиденды по годам'!I761&lt;&gt;"",'Дивиденды по годам'!V761&lt;&gt;"",('Дивиденды по годам'!I761+'Дивиденды по годам'!V761)&lt;&gt;0),'Дивиденды по годам'!Q761/(('Дивиденды по годам'!I761+'Дивиденды по годам'!V761)/2),""),"")</f>
        <v/>
      </c>
      <c r="U761" t="str">
        <f>IFERROR(IF(AND('Дивиденды по годам'!J761&lt;&gt;"",'Дивиденды по годам'!K761&lt;&gt;"",'Дивиденды по годам'!M761&lt;&gt;"",'Дивиденды по годам'!M761&lt;&gt;0),('Дивиденды по годам'!J761+'Дивиденды по годам'!K761)/'Дивиденды по годам'!M761,""),"")</f>
        <v/>
      </c>
      <c r="V761" t="str">
        <f>IFERROR(IF(AND('Дивиденды по годам'!J761&lt;&gt;"",'Дивиденды по годам'!K761&lt;&gt;"",'Дивиденды по годам'!M761&lt;&gt;"",'Дивиденды по годам'!I761&lt;&gt;0),('Дивиденды по годам'!J761+'Дивиденды по годам'!K761)/'Дивиденды по годам'!I761,""),"")</f>
        <v/>
      </c>
      <c r="W761" t="str">
        <f>IFERROR('Дивиденды по годам'!I761,"")</f>
        <v/>
      </c>
      <c r="X761" cm="1">
        <f t="array" ref="X761">IFERROR(AVERAGE(_xlfn._xlws.FILTER(P$2:P$1073,($C$2:$C$1073=$C761)*($E$2:$E$1073=$E761)*(ROW(P$2:P$1073)&lt;&gt;ROW(P761))*(P$2:P$1073&lt;&gt;""))),"")</f>
        <v>25.637034616478129</v>
      </c>
      <c r="Y761" cm="1">
        <f t="array" ref="Y761">IFERROR(AVERAGE(_xlfn._xlws.FILTER(Q$2:Q$1073,($C$2:$C$1073=$C761)*($E$2:$E$1073=$E761)*(ROW(Q$2:Q$1073)&lt;&gt;ROW(Q761))*(Q$2:Q$1073&lt;&gt;""))),"")</f>
        <v>0.32011777323711499</v>
      </c>
      <c r="Z761" cm="1">
        <f t="array" ref="Z761">IFERROR(AVERAGE(_xlfn._xlws.FILTER(R$2:R$1073,($C$2:$C$1073=$C761)*($E$2:$E$1073=$E761)*(ROW(R$2:R$1073)&lt;&gt;ROW(R761))*(R$2:R$1073&lt;&gt;""))),"")</f>
        <v>6.6616637147635549E-2</v>
      </c>
      <c r="AA761" cm="1">
        <f t="array" ref="AA761">IFERROR(AVERAGE(_xlfn._xlws.FILTER(S$2:S$1073,($C$2:$C$1073=$C761)*($E$2:$E$1073=$E761)*(ROW(S$2:S$1073)&lt;&gt;ROW(S761))*(S$2:S$1073&lt;&gt;""))),"")</f>
        <v>1.205409029032207</v>
      </c>
      <c r="AB761" cm="1">
        <f t="array" ref="AB761">IFERROR(AVERAGE(_xlfn._xlws.FILTER(T$2:T$1073,($C$2:$C$1073=$C761)*($E$2:$E$1073=$E761)*(ROW(T$2:T$1073)&lt;&gt;ROW(T761))*(T$2:T$1073&lt;&gt;""))),"")</f>
        <v>1.7776057117292479E-2</v>
      </c>
      <c r="AC761" cm="1">
        <f t="array" ref="AC761">IFERROR(AVERAGE(_xlfn._xlws.FILTER(U$2:U$1073,($C$2:$C$1073=$C761)*($E$2:$E$1073=$E761)*(ROW(U$2:U$1073)&lt;&gt;ROW(U761))*(U$2:U$1073&lt;&gt;""))),"")</f>
        <v>5.4697894468760913</v>
      </c>
      <c r="AD761" cm="1">
        <f t="array" ref="AD761">IFERROR(AVERAGE(_xlfn._xlws.FILTER(V$2:V$1073,($C$2:$C$1073=$C761)*($E$2:$E$1073=$E761)*(ROW(V$2:V$1073)&lt;&gt;ROW(V761))*(V$2:V$1073&lt;&gt;""))),"")</f>
        <v>0.7760719948431295</v>
      </c>
      <c r="AE761">
        <f>IF('Дивиденды по годам'!M761&lt;0,1,0)</f>
        <v>0</v>
      </c>
    </row>
    <row r="762" spans="1:31" x14ac:dyDescent="0.2">
      <c r="A762" s="7" t="s">
        <v>2273</v>
      </c>
      <c r="B762" t="str">
        <f t="shared" si="121"/>
        <v>BAZA IV кв. 2017</v>
      </c>
      <c r="C762">
        <v>2017</v>
      </c>
      <c r="D762">
        <f>SUMIFS(Дивиденды!$C:$C,Дивиденды!$A:$A,A762,Дивиденды!$I:$I,C762)</f>
        <v>0</v>
      </c>
      <c r="E762">
        <v>5</v>
      </c>
      <c r="F762">
        <f t="shared" si="122"/>
        <v>0</v>
      </c>
      <c r="G762">
        <f t="shared" si="123"/>
        <v>3.5318181818181813</v>
      </c>
      <c r="H762">
        <f t="shared" si="124"/>
        <v>0</v>
      </c>
      <c r="I762">
        <f t="shared" si="125"/>
        <v>0.18181818181818182</v>
      </c>
      <c r="J762">
        <f t="shared" si="126"/>
        <v>0</v>
      </c>
      <c r="K762">
        <f t="shared" si="131"/>
        <v>1.4727433992836941E-2</v>
      </c>
      <c r="L762">
        <f t="shared" si="127"/>
        <v>0</v>
      </c>
      <c r="M762">
        <f t="shared" si="128"/>
        <v>9.0909090909090912E-2</v>
      </c>
      <c r="N762">
        <f t="shared" si="129"/>
        <v>0</v>
      </c>
      <c r="O762">
        <f t="shared" si="130"/>
        <v>9.0909090909090912E-2</v>
      </c>
      <c r="P762" t="str">
        <f>IFERROR(LN('Дивиденды по годам'!I762),"")</f>
        <v/>
      </c>
      <c r="Q762" t="str">
        <f>IFERROR('Дивиденды по годам'!G762/'Дивиденды по годам'!I762, "")</f>
        <v/>
      </c>
      <c r="R762" t="str">
        <f>IFERROR(IF(AND('Дивиденды по годам'!N762&lt;&gt;"",'Дивиденды по годам'!U762&lt;&gt;"",'Дивиденды по годам'!U762&lt;&gt;0),'Дивиденды по годам'!N762/'Дивиденды по годам'!U762-1,""),"")</f>
        <v/>
      </c>
      <c r="S762" t="str">
        <f>IFERROR(IF(AND('Дивиденды по годам'!L762&lt;&gt;"",'Дивиденды по годам'!I762&lt;&gt;"",'Дивиденды по годам'!J762&lt;&gt;"",'Дивиденды по годам'!K762&lt;&gt;"",('Дивиденды по годам'!I762-'Дивиденды по годам'!J762-'Дивиденды по годам'!K762)&lt;&gt;0),'Дивиденды по годам'!L762/('Дивиденды по годам'!I762-'Дивиденды по годам'!J762-'Дивиденды по годам'!K762),""),"")</f>
        <v/>
      </c>
      <c r="T762" t="str">
        <f>IFERROR(IF(AND('Дивиденды по годам'!Q762&lt;&gt;"",'Дивиденды по годам'!I762&lt;&gt;"",'Дивиденды по годам'!V762&lt;&gt;"",('Дивиденды по годам'!I762+'Дивиденды по годам'!V762)&lt;&gt;0),'Дивиденды по годам'!Q762/(('Дивиденды по годам'!I762+'Дивиденды по годам'!V762)/2),""),"")</f>
        <v/>
      </c>
      <c r="U762" t="str">
        <f>IFERROR(IF(AND('Дивиденды по годам'!J762&lt;&gt;"",'Дивиденды по годам'!K762&lt;&gt;"",'Дивиденды по годам'!M762&lt;&gt;"",'Дивиденды по годам'!M762&lt;&gt;0),('Дивиденды по годам'!J762+'Дивиденды по годам'!K762)/'Дивиденды по годам'!M762,""),"")</f>
        <v/>
      </c>
      <c r="V762" t="str">
        <f>IFERROR(IF(AND('Дивиденды по годам'!J762&lt;&gt;"",'Дивиденды по годам'!K762&lt;&gt;"",'Дивиденды по годам'!M762&lt;&gt;"",'Дивиденды по годам'!I762&lt;&gt;0),('Дивиденды по годам'!J762+'Дивиденды по годам'!K762)/'Дивиденды по годам'!I762,""),"")</f>
        <v/>
      </c>
      <c r="W762" t="str">
        <f>IFERROR('Дивиденды по годам'!I762,"")</f>
        <v/>
      </c>
      <c r="X762" cm="1">
        <f t="array" ref="X762">IFERROR(AVERAGE(_xlfn._xlws.FILTER(P$2:P$1073,($C$2:$C$1073=$C762)*($E$2:$E$1073=$E762)*(ROW(P$2:P$1073)&lt;&gt;ROW(P762))*(P$2:P$1073&lt;&gt;""))),"")</f>
        <v>27.043369572715513</v>
      </c>
      <c r="Y762" cm="1">
        <f t="array" ref="Y762">IFERROR(AVERAGE(_xlfn._xlws.FILTER(Q$2:Q$1073,($C$2:$C$1073=$C762)*($E$2:$E$1073=$E762)*(ROW(Q$2:Q$1073)&lt;&gt;ROW(Q762))*(Q$2:Q$1073&lt;&gt;""))),"")</f>
        <v>0.54965488260857309</v>
      </c>
      <c r="Z762" cm="1">
        <f t="array" ref="Z762">IFERROR(AVERAGE(_xlfn._xlws.FILTER(R$2:R$1073,($C$2:$C$1073=$C762)*($E$2:$E$1073=$E762)*(ROW(R$2:R$1073)&lt;&gt;ROW(R762))*(R$2:R$1073&lt;&gt;""))),"")</f>
        <v>2.1535666839189949E-2</v>
      </c>
      <c r="AA762" cm="1">
        <f t="array" ref="AA762">IFERROR(AVERAGE(_xlfn._xlws.FILTER(S$2:S$1073,($C$2:$C$1073=$C762)*($E$2:$E$1073=$E762)*(ROW(S$2:S$1073)&lt;&gt;ROW(S762))*(S$2:S$1073&lt;&gt;""))),"")</f>
        <v>1.232616052553424</v>
      </c>
      <c r="AB762" cm="1">
        <f t="array" ref="AB762">IFERROR(AVERAGE(_xlfn._xlws.FILTER(T$2:T$1073,($C$2:$C$1073=$C762)*($E$2:$E$1073=$E762)*(ROW(T$2:T$1073)&lt;&gt;ROW(T762))*(T$2:T$1073&lt;&gt;""))),"")</f>
        <v>6.4245501476224237E-2</v>
      </c>
      <c r="AC762" cm="1">
        <f t="array" ref="AC762">IFERROR(AVERAGE(_xlfn._xlws.FILTER(U$2:U$1073,($C$2:$C$1073=$C762)*($E$2:$E$1073=$E762)*(ROW(U$2:U$1073)&lt;&gt;ROW(U762))*(U$2:U$1073&lt;&gt;""))),"")</f>
        <v>2.3417046689252397</v>
      </c>
      <c r="AD762" cm="1">
        <f t="array" ref="AD762">IFERROR(AVERAGE(_xlfn._xlws.FILTER(V$2:V$1073,($C$2:$C$1073=$C762)*($E$2:$E$1073=$E762)*(ROW(V$2:V$1073)&lt;&gt;ROW(V762))*(V$2:V$1073&lt;&gt;""))),"")</f>
        <v>0.66475018615672188</v>
      </c>
      <c r="AE762">
        <f>IF('Дивиденды по годам'!M762&lt;0,1,0)</f>
        <v>0</v>
      </c>
    </row>
    <row r="763" spans="1:31" x14ac:dyDescent="0.2">
      <c r="A763" s="7" t="s">
        <v>2273</v>
      </c>
      <c r="B763" t="str">
        <f t="shared" si="121"/>
        <v>BAZA IV кв. 2016</v>
      </c>
      <c r="C763">
        <v>2016</v>
      </c>
      <c r="D763">
        <f>SUMIFS(Дивиденды!$C:$C,Дивиденды!$A:$A,A763,Дивиденды!$I:$I,C763)</f>
        <v>0</v>
      </c>
      <c r="E763">
        <v>5</v>
      </c>
      <c r="F763">
        <f t="shared" si="122"/>
        <v>0</v>
      </c>
      <c r="G763">
        <f t="shared" si="123"/>
        <v>2.9981818181818181</v>
      </c>
      <c r="H763">
        <f t="shared" si="124"/>
        <v>0</v>
      </c>
      <c r="I763">
        <f t="shared" si="125"/>
        <v>0.18181818181818182</v>
      </c>
      <c r="J763">
        <f t="shared" si="126"/>
        <v>0</v>
      </c>
      <c r="K763">
        <f t="shared" si="131"/>
        <v>2.8790101611202514E-2</v>
      </c>
      <c r="L763">
        <f t="shared" si="127"/>
        <v>0</v>
      </c>
      <c r="M763">
        <f t="shared" si="128"/>
        <v>9.0909090909090912E-2</v>
      </c>
      <c r="N763">
        <f t="shared" si="129"/>
        <v>0</v>
      </c>
      <c r="O763">
        <f t="shared" si="130"/>
        <v>9.0909090909090912E-2</v>
      </c>
      <c r="P763" t="str">
        <f>IFERROR(LN('Дивиденды по годам'!I763),"")</f>
        <v/>
      </c>
      <c r="Q763" t="str">
        <f>IFERROR('Дивиденды по годам'!G763/'Дивиденды по годам'!I763, "")</f>
        <v/>
      </c>
      <c r="R763" t="str">
        <f>IFERROR(IF(AND('Дивиденды по годам'!N763&lt;&gt;"",'Дивиденды по годам'!U763&lt;&gt;"",'Дивиденды по годам'!U763&lt;&gt;0),'Дивиденды по годам'!N763/'Дивиденды по годам'!U763-1,""),"")</f>
        <v/>
      </c>
      <c r="S763" t="str">
        <f>IFERROR(IF(AND('Дивиденды по годам'!L763&lt;&gt;"",'Дивиденды по годам'!I763&lt;&gt;"",'Дивиденды по годам'!J763&lt;&gt;"",'Дивиденды по годам'!K763&lt;&gt;"",('Дивиденды по годам'!I763-'Дивиденды по годам'!J763-'Дивиденды по годам'!K763)&lt;&gt;0),'Дивиденды по годам'!L763/('Дивиденды по годам'!I763-'Дивиденды по годам'!J763-'Дивиденды по годам'!K763),""),"")</f>
        <v/>
      </c>
      <c r="T763" t="str">
        <f>IFERROR(IF(AND('Дивиденды по годам'!Q763&lt;&gt;"",'Дивиденды по годам'!I763&lt;&gt;"",'Дивиденды по годам'!V763&lt;&gt;"",('Дивиденды по годам'!I763+'Дивиденды по годам'!V763)&lt;&gt;0),'Дивиденды по годам'!Q763/(('Дивиденды по годам'!I763+'Дивиденды по годам'!V763)/2),""),"")</f>
        <v/>
      </c>
      <c r="U763" t="str">
        <f>IFERROR(IF(AND('Дивиденды по годам'!J763&lt;&gt;"",'Дивиденды по годам'!K763&lt;&gt;"",'Дивиденды по годам'!M763&lt;&gt;"",'Дивиденды по годам'!M763&lt;&gt;0),('Дивиденды по годам'!J763+'Дивиденды по годам'!K763)/'Дивиденды по годам'!M763,""),"")</f>
        <v/>
      </c>
      <c r="V763" t="str">
        <f>IFERROR(IF(AND('Дивиденды по годам'!J763&lt;&gt;"",'Дивиденды по годам'!K763&lt;&gt;"",'Дивиденды по годам'!M763&lt;&gt;"",'Дивиденды по годам'!I763&lt;&gt;0),('Дивиденды по годам'!J763+'Дивиденды по годам'!K763)/'Дивиденды по годам'!I763,""),"")</f>
        <v/>
      </c>
      <c r="W763" t="str">
        <f>IFERROR('Дивиденды по годам'!I763,"")</f>
        <v/>
      </c>
      <c r="X763" cm="1">
        <f t="array" ref="X763">IFERROR(AVERAGE(_xlfn._xlws.FILTER(P$2:P$1073,($C$2:$C$1073=$C763)*($E$2:$E$1073=$E763)*(ROW(P$2:P$1073)&lt;&gt;ROW(P763))*(P$2:P$1073&lt;&gt;""))),"")</f>
        <v>27.033270353256157</v>
      </c>
      <c r="Y763" cm="1">
        <f t="array" ref="Y763">IFERROR(AVERAGE(_xlfn._xlws.FILTER(Q$2:Q$1073,($C$2:$C$1073=$C763)*($E$2:$E$1073=$E763)*(ROW(Q$2:Q$1073)&lt;&gt;ROW(Q763))*(Q$2:Q$1073&lt;&gt;""))),"")</f>
        <v>0.55978642376097965</v>
      </c>
      <c r="Z763" cm="1">
        <f t="array" ref="Z763">IFERROR(AVERAGE(_xlfn._xlws.FILTER(R$2:R$1073,($C$2:$C$1073=$C763)*($E$2:$E$1073=$E763)*(ROW(R$2:R$1073)&lt;&gt;ROW(R763))*(R$2:R$1073&lt;&gt;""))),"")</f>
        <v>5.3242460909894707E-3</v>
      </c>
      <c r="AA763" cm="1">
        <f t="array" ref="AA763">IFERROR(AVERAGE(_xlfn._xlws.FILTER(S$2:S$1073,($C$2:$C$1073=$C763)*($E$2:$E$1073=$E763)*(ROW(S$2:S$1073)&lt;&gt;ROW(S763))*(S$2:S$1073&lt;&gt;""))),"")</f>
        <v>1.1315702315112175</v>
      </c>
      <c r="AB763" cm="1">
        <f t="array" ref="AB763">IFERROR(AVERAGE(_xlfn._xlws.FILTER(T$2:T$1073,($C$2:$C$1073=$C763)*($E$2:$E$1073=$E763)*(ROW(T$2:T$1073)&lt;&gt;ROW(T763))*(T$2:T$1073&lt;&gt;""))),"")</f>
        <v>5.4869409864042928E-2</v>
      </c>
      <c r="AC763" cm="1">
        <f t="array" ref="AC763">IFERROR(AVERAGE(_xlfn._xlws.FILTER(U$2:U$1073,($C$2:$C$1073=$C763)*($E$2:$E$1073=$E763)*(ROW(U$2:U$1073)&lt;&gt;ROW(U763))*(U$2:U$1073&lt;&gt;""))),"")</f>
        <v>2.0086781177717459</v>
      </c>
      <c r="AD763" cm="1">
        <f t="array" ref="AD763">IFERROR(AVERAGE(_xlfn._xlws.FILTER(V$2:V$1073,($C$2:$C$1073=$C763)*($E$2:$E$1073=$E763)*(ROW(V$2:V$1073)&lt;&gt;ROW(V763))*(V$2:V$1073&lt;&gt;""))),"")</f>
        <v>0.64409028041831262</v>
      </c>
      <c r="AE763">
        <f>IF('Дивиденды по годам'!M763&lt;0,1,0)</f>
        <v>0</v>
      </c>
    </row>
    <row r="764" spans="1:31" x14ac:dyDescent="0.2">
      <c r="A764" s="7" t="s">
        <v>2273</v>
      </c>
      <c r="B764" t="str">
        <f t="shared" si="121"/>
        <v>BAZA IV кв. 2015</v>
      </c>
      <c r="C764">
        <v>2015</v>
      </c>
      <c r="D764">
        <f>SUMIFS(Дивиденды!$C:$C,Дивиденды!$A:$A,A764,Дивиденды!$I:$I,C764)</f>
        <v>0</v>
      </c>
      <c r="E764">
        <v>5</v>
      </c>
      <c r="F764">
        <f t="shared" si="122"/>
        <v>0</v>
      </c>
      <c r="G764">
        <f t="shared" si="123"/>
        <v>2.3218181818181818</v>
      </c>
      <c r="H764">
        <f t="shared" si="124"/>
        <v>0</v>
      </c>
      <c r="I764">
        <f t="shared" si="125"/>
        <v>0.18181818181818182</v>
      </c>
      <c r="J764">
        <f t="shared" si="126"/>
        <v>0</v>
      </c>
      <c r="K764">
        <f t="shared" si="131"/>
        <v>4.855464114120716E-2</v>
      </c>
      <c r="L764">
        <f t="shared" si="127"/>
        <v>0</v>
      </c>
      <c r="M764">
        <f t="shared" si="128"/>
        <v>9.0909090909090912E-2</v>
      </c>
      <c r="N764">
        <f t="shared" si="129"/>
        <v>0</v>
      </c>
      <c r="O764">
        <f t="shared" si="130"/>
        <v>9.0909090909090912E-2</v>
      </c>
      <c r="P764" t="str">
        <f>IFERROR(LN('Дивиденды по годам'!I764),"")</f>
        <v/>
      </c>
      <c r="Q764" t="str">
        <f>IFERROR('Дивиденды по годам'!G764/'Дивиденды по годам'!I764, "")</f>
        <v/>
      </c>
      <c r="R764" t="str">
        <f>IFERROR(IF(AND('Дивиденды по годам'!N764&lt;&gt;"",'Дивиденды по годам'!U764&lt;&gt;"",'Дивиденды по годам'!U764&lt;&gt;0),'Дивиденды по годам'!N764/'Дивиденды по годам'!U764-1,""),"")</f>
        <v/>
      </c>
      <c r="S764" t="str">
        <f>IFERROR(IF(AND('Дивиденды по годам'!L764&lt;&gt;"",'Дивиденды по годам'!I764&lt;&gt;"",'Дивиденды по годам'!J764&lt;&gt;"",'Дивиденды по годам'!K764&lt;&gt;"",('Дивиденды по годам'!I764-'Дивиденды по годам'!J764-'Дивиденды по годам'!K764)&lt;&gt;0),'Дивиденды по годам'!L764/('Дивиденды по годам'!I764-'Дивиденды по годам'!J764-'Дивиденды по годам'!K764),""),"")</f>
        <v/>
      </c>
      <c r="T764" t="str">
        <f>IFERROR(IF(AND('Дивиденды по годам'!Q764&lt;&gt;"",'Дивиденды по годам'!I764&lt;&gt;"",'Дивиденды по годам'!V764&lt;&gt;"",('Дивиденды по годам'!I764+'Дивиденды по годам'!V764)&lt;&gt;0),'Дивиденды по годам'!Q764/(('Дивиденды по годам'!I764+'Дивиденды по годам'!V764)/2),""),"")</f>
        <v/>
      </c>
      <c r="U764" t="str">
        <f>IFERROR(IF(AND('Дивиденды по годам'!J764&lt;&gt;"",'Дивиденды по годам'!K764&lt;&gt;"",'Дивиденды по годам'!M764&lt;&gt;"",'Дивиденды по годам'!M764&lt;&gt;0),('Дивиденды по годам'!J764+'Дивиденды по годам'!K764)/'Дивиденды по годам'!M764,""),"")</f>
        <v/>
      </c>
      <c r="V764" t="str">
        <f>IFERROR(IF(AND('Дивиденды по годам'!J764&lt;&gt;"",'Дивиденды по годам'!K764&lt;&gt;"",'Дивиденды по годам'!M764&lt;&gt;"",'Дивиденды по годам'!I764&lt;&gt;0),('Дивиденды по годам'!J764+'Дивиденды по годам'!K764)/'Дивиденды по годам'!I764,""),"")</f>
        <v/>
      </c>
      <c r="W764" t="str">
        <f>IFERROR('Дивиденды по годам'!I764,"")</f>
        <v/>
      </c>
      <c r="X764" cm="1">
        <f t="array" ref="X764">IFERROR(AVERAGE(_xlfn._xlws.FILTER(P$2:P$1073,($C$2:$C$1073=$C764)*($E$2:$E$1073=$E764)*(ROW(P$2:P$1073)&lt;&gt;ROW(P764))*(P$2:P$1073&lt;&gt;""))),"")</f>
        <v>27.120501452642756</v>
      </c>
      <c r="Y764" cm="1">
        <f t="array" ref="Y764">IFERROR(AVERAGE(_xlfn._xlws.FILTER(Q$2:Q$1073,($C$2:$C$1073=$C764)*($E$2:$E$1073=$E764)*(ROW(Q$2:Q$1073)&lt;&gt;ROW(Q764))*(Q$2:Q$1073&lt;&gt;""))),"")</f>
        <v>0.53878421833606405</v>
      </c>
      <c r="Z764" cm="1">
        <f t="array" ref="Z764">IFERROR(AVERAGE(_xlfn._xlws.FILTER(R$2:R$1073,($C$2:$C$1073=$C764)*($E$2:$E$1073=$E764)*(ROW(R$2:R$1073)&lt;&gt;ROW(R764))*(R$2:R$1073&lt;&gt;""))),"")</f>
        <v>2.2276174497294132E-2</v>
      </c>
      <c r="AA764" cm="1">
        <f t="array" ref="AA764">IFERROR(AVERAGE(_xlfn._xlws.FILTER(S$2:S$1073,($C$2:$C$1073=$C764)*($E$2:$E$1073=$E764)*(ROW(S$2:S$1073)&lt;&gt;ROW(S764))*(S$2:S$1073&lt;&gt;""))),"")</f>
        <v>1.2586396116380416</v>
      </c>
      <c r="AB764" cm="1">
        <f t="array" ref="AB764">IFERROR(AVERAGE(_xlfn._xlws.FILTER(T$2:T$1073,($C$2:$C$1073=$C764)*($E$2:$E$1073=$E764)*(ROW(T$2:T$1073)&lt;&gt;ROW(T764))*(T$2:T$1073&lt;&gt;""))),"")</f>
        <v>5.0636797509896803E-2</v>
      </c>
      <c r="AC764" cm="1">
        <f t="array" ref="AC764">IFERROR(AVERAGE(_xlfn._xlws.FILTER(U$2:U$1073,($C$2:$C$1073=$C764)*($E$2:$E$1073=$E764)*(ROW(U$2:U$1073)&lt;&gt;ROW(U764))*(U$2:U$1073&lt;&gt;""))),"")</f>
        <v>2.0444165107764372</v>
      </c>
      <c r="AD764" cm="1">
        <f t="array" ref="AD764">IFERROR(AVERAGE(_xlfn._xlws.FILTER(V$2:V$1073,($C$2:$C$1073=$C764)*($E$2:$E$1073=$E764)*(ROW(V$2:V$1073)&lt;&gt;ROW(V764))*(V$2:V$1073&lt;&gt;""))),"")</f>
        <v>0.64472959627967386</v>
      </c>
      <c r="AE764">
        <f>IF('Дивиденды по годам'!M764&lt;0,1,0)</f>
        <v>0</v>
      </c>
    </row>
    <row r="765" spans="1:31" x14ac:dyDescent="0.2">
      <c r="A765" s="7" t="s">
        <v>2273</v>
      </c>
      <c r="B765" t="str">
        <f t="shared" si="121"/>
        <v>BAZA IV кв. 2014</v>
      </c>
      <c r="C765">
        <v>2014</v>
      </c>
      <c r="D765">
        <f>SUMIFS(Дивиденды!$C:$C,Дивиденды!$A:$A,A765,Дивиденды!$I:$I,C765)</f>
        <v>0</v>
      </c>
      <c r="E765">
        <v>5</v>
      </c>
      <c r="F765">
        <f t="shared" si="122"/>
        <v>0</v>
      </c>
      <c r="G765">
        <f t="shared" si="123"/>
        <v>2.6454545454545451</v>
      </c>
      <c r="H765">
        <f t="shared" si="124"/>
        <v>0</v>
      </c>
      <c r="I765">
        <f t="shared" si="125"/>
        <v>0.18181818181818182</v>
      </c>
      <c r="J765">
        <f t="shared" si="126"/>
        <v>0</v>
      </c>
      <c r="K765">
        <f t="shared" si="131"/>
        <v>1.3814271370946419E-2</v>
      </c>
      <c r="L765">
        <f t="shared" si="127"/>
        <v>0</v>
      </c>
      <c r="M765">
        <f t="shared" si="128"/>
        <v>0.18181818181818182</v>
      </c>
      <c r="N765">
        <f t="shared" si="129"/>
        <v>0</v>
      </c>
      <c r="O765">
        <f t="shared" si="130"/>
        <v>0</v>
      </c>
      <c r="P765" t="str">
        <f>IFERROR(LN('Дивиденды по годам'!I765),"")</f>
        <v/>
      </c>
      <c r="Q765" t="str">
        <f>IFERROR('Дивиденды по годам'!G765/'Дивиденды по годам'!I765, "")</f>
        <v/>
      </c>
      <c r="R765" t="str">
        <f>IFERROR(IF(AND('Дивиденды по годам'!N765&lt;&gt;"",'Дивиденды по годам'!U765&lt;&gt;"",'Дивиденды по годам'!U765&lt;&gt;0),'Дивиденды по годам'!N765/'Дивиденды по годам'!U765-1,""),"")</f>
        <v/>
      </c>
      <c r="S765" t="str">
        <f>IFERROR(IF(AND('Дивиденды по годам'!L765&lt;&gt;"",'Дивиденды по годам'!I765&lt;&gt;"",'Дивиденды по годам'!J765&lt;&gt;"",'Дивиденды по годам'!K765&lt;&gt;"",('Дивиденды по годам'!I765-'Дивиденды по годам'!J765-'Дивиденды по годам'!K765)&lt;&gt;0),'Дивиденды по годам'!L765/('Дивиденды по годам'!I765-'Дивиденды по годам'!J765-'Дивиденды по годам'!K765),""),"")</f>
        <v/>
      </c>
      <c r="T765" t="str">
        <f>IFERROR(IF(AND('Дивиденды по годам'!Q765&lt;&gt;"",'Дивиденды по годам'!I765&lt;&gt;"",'Дивиденды по годам'!V765&lt;&gt;"",('Дивиденды по годам'!I765+'Дивиденды по годам'!V765)&lt;&gt;0),'Дивиденды по годам'!Q765/(('Дивиденды по годам'!I765+'Дивиденды по годам'!V765)/2),""),"")</f>
        <v/>
      </c>
      <c r="U765" t="str">
        <f>IFERROR(IF(AND('Дивиденды по годам'!J765&lt;&gt;"",'Дивиденды по годам'!K765&lt;&gt;"",'Дивиденды по годам'!M765&lt;&gt;"",'Дивиденды по годам'!M765&lt;&gt;0),('Дивиденды по годам'!J765+'Дивиденды по годам'!K765)/'Дивиденды по годам'!M765,""),"")</f>
        <v/>
      </c>
      <c r="V765" t="str">
        <f>IFERROR(IF(AND('Дивиденды по годам'!J765&lt;&gt;"",'Дивиденды по годам'!K765&lt;&gt;"",'Дивиденды по годам'!M765&lt;&gt;"",'Дивиденды по годам'!I765&lt;&gt;0),('Дивиденды по годам'!J765+'Дивиденды по годам'!K765)/'Дивиденды по годам'!I765,""),"")</f>
        <v/>
      </c>
      <c r="W765" t="str">
        <f>IFERROR('Дивиденды по годам'!I765,"")</f>
        <v/>
      </c>
      <c r="X765" cm="1">
        <f t="array" ref="X765">IFERROR(AVERAGE(_xlfn._xlws.FILTER(P$2:P$1073,($C$2:$C$1073=$C765)*($E$2:$E$1073=$E765)*(ROW(P$2:P$1073)&lt;&gt;ROW(P765))*(P$2:P$1073&lt;&gt;""))),"")</f>
        <v>27.082830809151307</v>
      </c>
      <c r="Y765" cm="1">
        <f t="array" ref="Y765">IFERROR(AVERAGE(_xlfn._xlws.FILTER(Q$2:Q$1073,($C$2:$C$1073=$C765)*($E$2:$E$1073=$E765)*(ROW(Q$2:Q$1073)&lt;&gt;ROW(Q765))*(Q$2:Q$1073&lt;&gt;""))),"")</f>
        <v>0.5450738024161359</v>
      </c>
      <c r="Z765" cm="1">
        <f t="array" ref="Z765">IFERROR(AVERAGE(_xlfn._xlws.FILTER(R$2:R$1073,($C$2:$C$1073=$C765)*($E$2:$E$1073=$E765)*(ROW(R$2:R$1073)&lt;&gt;ROW(R765))*(R$2:R$1073&lt;&gt;""))),"")</f>
        <v>2.9557764869601155E-2</v>
      </c>
      <c r="AA765" cm="1">
        <f t="array" ref="AA765">IFERROR(AVERAGE(_xlfn._xlws.FILTER(S$2:S$1073,($C$2:$C$1073=$C765)*($E$2:$E$1073=$E765)*(ROW(S$2:S$1073)&lt;&gt;ROW(S765))*(S$2:S$1073&lt;&gt;""))),"")</f>
        <v>1.1443286994996271</v>
      </c>
      <c r="AB765" cm="1">
        <f t="array" ref="AB765">IFERROR(AVERAGE(_xlfn._xlws.FILTER(T$2:T$1073,($C$2:$C$1073=$C765)*($E$2:$E$1073=$E765)*(ROW(T$2:T$1073)&lt;&gt;ROW(T765))*(T$2:T$1073&lt;&gt;""))),"")</f>
        <v>5.9751382409195454E-2</v>
      </c>
      <c r="AC765" cm="1">
        <f t="array" ref="AC765">IFERROR(AVERAGE(_xlfn._xlws.FILTER(U$2:U$1073,($C$2:$C$1073=$C765)*($E$2:$E$1073=$E765)*(ROW(U$2:U$1073)&lt;&gt;ROW(U765))*(U$2:U$1073&lt;&gt;""))),"")</f>
        <v>1.8184271482015117</v>
      </c>
      <c r="AD765" cm="1">
        <f t="array" ref="AD765">IFERROR(AVERAGE(_xlfn._xlws.FILTER(V$2:V$1073,($C$2:$C$1073=$C765)*($E$2:$E$1073=$E765)*(ROW(V$2:V$1073)&lt;&gt;ROW(V765))*(V$2:V$1073&lt;&gt;""))),"")</f>
        <v>0.62943537689886697</v>
      </c>
      <c r="AE765">
        <f>IF('Дивиденды по годам'!M765&lt;0,1,0)</f>
        <v>0</v>
      </c>
    </row>
    <row r="766" spans="1:31" x14ac:dyDescent="0.2">
      <c r="A766" s="7" t="s">
        <v>2273</v>
      </c>
      <c r="B766" t="str">
        <f t="shared" si="121"/>
        <v>BAZA IV кв. 2013</v>
      </c>
      <c r="C766">
        <v>2013</v>
      </c>
      <c r="D766">
        <f>SUMIFS(Дивиденды!$C:$C,Дивиденды!$A:$A,A766,Дивиденды!$I:$I,C766)</f>
        <v>0</v>
      </c>
      <c r="E766">
        <v>5</v>
      </c>
      <c r="F766">
        <f t="shared" si="122"/>
        <v>0</v>
      </c>
      <c r="G766">
        <f t="shared" si="123"/>
        <v>2.4490909090909092</v>
      </c>
      <c r="H766">
        <f t="shared" si="124"/>
        <v>0</v>
      </c>
      <c r="I766">
        <f t="shared" si="125"/>
        <v>0.18181818181818182</v>
      </c>
      <c r="J766">
        <f t="shared" si="126"/>
        <v>0</v>
      </c>
      <c r="K766">
        <f t="shared" si="131"/>
        <v>8.2745033991384775E-2</v>
      </c>
      <c r="L766">
        <f t="shared" si="127"/>
        <v>0</v>
      </c>
      <c r="M766">
        <f t="shared" si="128"/>
        <v>0.18181818181818182</v>
      </c>
      <c r="N766">
        <f t="shared" si="129"/>
        <v>0</v>
      </c>
      <c r="O766">
        <f t="shared" si="130"/>
        <v>0</v>
      </c>
      <c r="P766" t="str">
        <f>IFERROR(LN('Дивиденды по годам'!I766),"")</f>
        <v/>
      </c>
      <c r="Q766" t="str">
        <f>IFERROR('Дивиденды по годам'!G766/'Дивиденды по годам'!I766, "")</f>
        <v/>
      </c>
      <c r="R766" t="str">
        <f>IFERROR(IF(AND('Дивиденды по годам'!N766&lt;&gt;"",'Дивиденды по годам'!U766&lt;&gt;"",'Дивиденды по годам'!U766&lt;&gt;0),'Дивиденды по годам'!N766/'Дивиденды по годам'!U766-1,""),"")</f>
        <v/>
      </c>
      <c r="S766" t="str">
        <f>IFERROR(IF(AND('Дивиденды по годам'!L766&lt;&gt;"",'Дивиденды по годам'!I766&lt;&gt;"",'Дивиденды по годам'!J766&lt;&gt;"",'Дивиденды по годам'!K766&lt;&gt;"",('Дивиденды по годам'!I766-'Дивиденды по годам'!J766-'Дивиденды по годам'!K766)&lt;&gt;0),'Дивиденды по годам'!L766/('Дивиденды по годам'!I766-'Дивиденды по годам'!J766-'Дивиденды по годам'!K766),""),"")</f>
        <v/>
      </c>
      <c r="T766" t="str">
        <f>IFERROR(IF(AND('Дивиденды по годам'!Q766&lt;&gt;"",'Дивиденды по годам'!I766&lt;&gt;"",'Дивиденды по годам'!V766&lt;&gt;"",('Дивиденды по годам'!I766+'Дивиденды по годам'!V766)&lt;&gt;0),'Дивиденды по годам'!Q766/(('Дивиденды по годам'!I766+'Дивиденды по годам'!V766)/2),""),"")</f>
        <v/>
      </c>
      <c r="U766" t="str">
        <f>IFERROR(IF(AND('Дивиденды по годам'!J766&lt;&gt;"",'Дивиденды по годам'!K766&lt;&gt;"",'Дивиденды по годам'!M766&lt;&gt;"",'Дивиденды по годам'!M766&lt;&gt;0),('Дивиденды по годам'!J766+'Дивиденды по годам'!K766)/'Дивиденды по годам'!M766,""),"")</f>
        <v/>
      </c>
      <c r="V766" t="str">
        <f>IFERROR(IF(AND('Дивиденды по годам'!J766&lt;&gt;"",'Дивиденды по годам'!K766&lt;&gt;"",'Дивиденды по годам'!M766&lt;&gt;"",'Дивиденды по годам'!I766&lt;&gt;0),('Дивиденды по годам'!J766+'Дивиденды по годам'!K766)/'Дивиденды по годам'!I766,""),"")</f>
        <v/>
      </c>
      <c r="W766" t="str">
        <f>IFERROR('Дивиденды по годам'!I766,"")</f>
        <v/>
      </c>
      <c r="X766" cm="1">
        <f t="array" ref="X766">IFERROR(AVERAGE(_xlfn._xlws.FILTER(P$2:P$1073,($C$2:$C$1073=$C766)*($E$2:$E$1073=$E766)*(ROW(P$2:P$1073)&lt;&gt;ROW(P766))*(P$2:P$1073&lt;&gt;""))),"")</f>
        <v>26.980715693689852</v>
      </c>
      <c r="Y766" cm="1">
        <f t="array" ref="Y766">IFERROR(AVERAGE(_xlfn._xlws.FILTER(Q$2:Q$1073,($C$2:$C$1073=$C766)*($E$2:$E$1073=$E766)*(ROW(Q$2:Q$1073)&lt;&gt;ROW(Q766))*(Q$2:Q$1073&lt;&gt;""))),"")</f>
        <v>0.57737124989859567</v>
      </c>
      <c r="Z766" cm="1">
        <f t="array" ref="Z766">IFERROR(AVERAGE(_xlfn._xlws.FILTER(R$2:R$1073,($C$2:$C$1073=$C766)*($E$2:$E$1073=$E766)*(ROW(R$2:R$1073)&lt;&gt;ROW(R766))*(R$2:R$1073&lt;&gt;""))),"")</f>
        <v>-3.1761213433143809E-2</v>
      </c>
      <c r="AA766" t="str" cm="1">
        <f t="array" ref="AA766">IFERROR(AVERAGE(_xlfn._xlws.FILTER(S$2:S$1073,($C$2:$C$1073=$C766)*($E$2:$E$1073=$E766)*(ROW(S$2:S$1073)&lt;&gt;ROW(S766))*(S$2:S$1073&lt;&gt;""))),"")</f>
        <v/>
      </c>
      <c r="AB766" cm="1">
        <f t="array" ref="AB766">IFERROR(AVERAGE(_xlfn._xlws.FILTER(T$2:T$1073,($C$2:$C$1073=$C766)*($E$2:$E$1073=$E766)*(ROW(T$2:T$1073)&lt;&gt;ROW(T766))*(T$2:T$1073&lt;&gt;""))),"")</f>
        <v>0.10442686382361807</v>
      </c>
      <c r="AC766" cm="1">
        <f t="array" ref="AC766">IFERROR(AVERAGE(_xlfn._xlws.FILTER(U$2:U$1073,($C$2:$C$1073=$C766)*($E$2:$E$1073=$E766)*(ROW(U$2:U$1073)&lt;&gt;ROW(U766))*(U$2:U$1073&lt;&gt;""))),"")</f>
        <v>1.9310921377733694</v>
      </c>
      <c r="AD766" cm="1">
        <f t="array" ref="AD766">IFERROR(AVERAGE(_xlfn._xlws.FILTER(V$2:V$1073,($C$2:$C$1073=$C766)*($E$2:$E$1073=$E766)*(ROW(V$2:V$1073)&lt;&gt;ROW(V766))*(V$2:V$1073&lt;&gt;""))),"")</f>
        <v>0.65823029186247406</v>
      </c>
      <c r="AE766">
        <f>IF('Дивиденды по годам'!M766&lt;0,1,0)</f>
        <v>0</v>
      </c>
    </row>
    <row r="767" spans="1:31" x14ac:dyDescent="0.2">
      <c r="A767" s="7" t="s">
        <v>2273</v>
      </c>
      <c r="B767" t="str">
        <f t="shared" si="121"/>
        <v>BAZA IV кв. 2012</v>
      </c>
      <c r="C767">
        <v>2012</v>
      </c>
      <c r="D767">
        <f>SUMIFS(Дивиденды!$C:$C,Дивиденды!$A:$A,A767,Дивиденды!$I:$I,C767)</f>
        <v>0</v>
      </c>
      <c r="E767">
        <v>5</v>
      </c>
      <c r="F767">
        <f t="shared" si="122"/>
        <v>0</v>
      </c>
      <c r="G767">
        <f t="shared" si="123"/>
        <v>1.5490909090909091</v>
      </c>
      <c r="H767">
        <f t="shared" si="124"/>
        <v>0</v>
      </c>
      <c r="I767">
        <f t="shared" si="125"/>
        <v>0.18181818181818182</v>
      </c>
      <c r="J767">
        <f t="shared" si="126"/>
        <v>0</v>
      </c>
      <c r="K767">
        <f t="shared" si="131"/>
        <v>-4.4393542728732291E-2</v>
      </c>
      <c r="L767">
        <f t="shared" si="127"/>
        <v>0</v>
      </c>
      <c r="M767">
        <f t="shared" si="128"/>
        <v>0</v>
      </c>
      <c r="N767">
        <f t="shared" si="129"/>
        <v>0</v>
      </c>
      <c r="O767">
        <f t="shared" si="130"/>
        <v>0.18181818181818182</v>
      </c>
      <c r="P767" t="str">
        <f>IFERROR(LN('Дивиденды по годам'!I767),"")</f>
        <v/>
      </c>
      <c r="Q767" t="str">
        <f>IFERROR('Дивиденды по годам'!G767/'Дивиденды по годам'!I767, "")</f>
        <v/>
      </c>
      <c r="R767" t="str">
        <f>IFERROR(IF(AND('Дивиденды по годам'!N767&lt;&gt;"",'Дивиденды по годам'!U767&lt;&gt;"",'Дивиденды по годам'!U767&lt;&gt;0),'Дивиденды по годам'!N767/'Дивиденды по годам'!U767-1,""),"")</f>
        <v/>
      </c>
      <c r="S767" t="str">
        <f>IFERROR(IF(AND('Дивиденды по годам'!L767&lt;&gt;"",'Дивиденды по годам'!I767&lt;&gt;"",'Дивиденды по годам'!J767&lt;&gt;"",'Дивиденды по годам'!K767&lt;&gt;"",('Дивиденды по годам'!I767-'Дивиденды по годам'!J767-'Дивиденды по годам'!K767)&lt;&gt;0),'Дивиденды по годам'!L767/('Дивиденды по годам'!I767-'Дивиденды по годам'!J767-'Дивиденды по годам'!K767),""),"")</f>
        <v/>
      </c>
      <c r="T767" t="str">
        <f>IFERROR(IF(AND('Дивиденды по годам'!Q767&lt;&gt;"",'Дивиденды по годам'!I767&lt;&gt;"",'Дивиденды по годам'!V767&lt;&gt;"",('Дивиденды по годам'!I767+'Дивиденды по годам'!V767)&lt;&gt;0),'Дивиденды по годам'!Q767/(('Дивиденды по годам'!I767+'Дивиденды по годам'!V767)/2),""),"")</f>
        <v/>
      </c>
      <c r="U767" t="str">
        <f>IFERROR(IF(AND('Дивиденды по годам'!J767&lt;&gt;"",'Дивиденды по годам'!K767&lt;&gt;"",'Дивиденды по годам'!M767&lt;&gt;"",'Дивиденды по годам'!M767&lt;&gt;0),('Дивиденды по годам'!J767+'Дивиденды по годам'!K767)/'Дивиденды по годам'!M767,""),"")</f>
        <v/>
      </c>
      <c r="V767" t="str">
        <f>IFERROR(IF(AND('Дивиденды по годам'!J767&lt;&gt;"",'Дивиденды по годам'!K767&lt;&gt;"",'Дивиденды по годам'!M767&lt;&gt;"",'Дивиденды по годам'!I767&lt;&gt;0),('Дивиденды по годам'!J767+'Дивиденды по годам'!K767)/'Дивиденды по годам'!I767,""),"")</f>
        <v/>
      </c>
      <c r="W767" t="str">
        <f>IFERROR('Дивиденды по годам'!I767,"")</f>
        <v/>
      </c>
      <c r="X767" cm="1">
        <f t="array" ref="X767">IFERROR(AVERAGE(_xlfn._xlws.FILTER(P$2:P$1073,($C$2:$C$1073=$C767)*($E$2:$E$1073=$E767)*(ROW(P$2:P$1073)&lt;&gt;ROW(P767))*(P$2:P$1073&lt;&gt;""))),"")</f>
        <v>26.976167524823197</v>
      </c>
      <c r="Y767" cm="1">
        <f t="array" ref="Y767">IFERROR(AVERAGE(_xlfn._xlws.FILTER(Q$2:Q$1073,($C$2:$C$1073=$C767)*($E$2:$E$1073=$E767)*(ROW(Q$2:Q$1073)&lt;&gt;ROW(Q767))*(Q$2:Q$1073&lt;&gt;""))),"")</f>
        <v>0.63141065735920243</v>
      </c>
      <c r="Z767" cm="1">
        <f t="array" ref="Z767">IFERROR(AVERAGE(_xlfn._xlws.FILTER(R$2:R$1073,($C$2:$C$1073=$C767)*($E$2:$E$1073=$E767)*(ROW(R$2:R$1073)&lt;&gt;ROW(R767))*(R$2:R$1073&lt;&gt;""))),"")</f>
        <v>8.5252436531932485E-2</v>
      </c>
      <c r="AA767" t="str" cm="1">
        <f t="array" ref="AA767">IFERROR(AVERAGE(_xlfn._xlws.FILTER(S$2:S$1073,($C$2:$C$1073=$C767)*($E$2:$E$1073=$E767)*(ROW(S$2:S$1073)&lt;&gt;ROW(S767))*(S$2:S$1073&lt;&gt;""))),"")</f>
        <v/>
      </c>
      <c r="AB767" cm="1">
        <f t="array" ref="AB767">IFERROR(AVERAGE(_xlfn._xlws.FILTER(T$2:T$1073,($C$2:$C$1073=$C767)*($E$2:$E$1073=$E767)*(ROW(T$2:T$1073)&lt;&gt;ROW(T767))*(T$2:T$1073&lt;&gt;""))),"")</f>
        <v>6.4593053680603474E-2</v>
      </c>
      <c r="AC767" cm="1">
        <f t="array" ref="AC767">IFERROR(AVERAGE(_xlfn._xlws.FILTER(U$2:U$1073,($C$2:$C$1073=$C767)*($E$2:$E$1073=$E767)*(ROW(U$2:U$1073)&lt;&gt;ROW(U767))*(U$2:U$1073&lt;&gt;""))),"")</f>
        <v>2.1186181543330798</v>
      </c>
      <c r="AD767" cm="1">
        <f t="array" ref="AD767">IFERROR(AVERAGE(_xlfn._xlws.FILTER(V$2:V$1073,($C$2:$C$1073=$C767)*($E$2:$E$1073=$E767)*(ROW(V$2:V$1073)&lt;&gt;ROW(V767))*(V$2:V$1073&lt;&gt;""))),"")</f>
        <v>0.6515550916449</v>
      </c>
      <c r="AE767">
        <f>IF('Дивиденды по годам'!M767&lt;0,1,0)</f>
        <v>0</v>
      </c>
    </row>
    <row r="768" spans="1:31" x14ac:dyDescent="0.2">
      <c r="A768" s="7" t="s">
        <v>2273</v>
      </c>
      <c r="B768" t="str">
        <f t="shared" si="121"/>
        <v>BAZA IV кв. 2011</v>
      </c>
      <c r="C768">
        <v>2011</v>
      </c>
      <c r="D768">
        <f>SUMIFS(Дивиденды!$C:$C,Дивиденды!$A:$A,A768,Дивиденды!$I:$I,C768)</f>
        <v>0</v>
      </c>
      <c r="E768">
        <v>5</v>
      </c>
      <c r="F768">
        <f t="shared" si="122"/>
        <v>0</v>
      </c>
      <c r="G768">
        <f t="shared" si="123"/>
        <v>1.7645454545454546</v>
      </c>
      <c r="H768">
        <f t="shared" si="124"/>
        <v>0</v>
      </c>
      <c r="I768">
        <f t="shared" si="125"/>
        <v>0.18181818181818182</v>
      </c>
      <c r="J768">
        <f t="shared" si="126"/>
        <v>0</v>
      </c>
      <c r="K768">
        <f t="shared" si="131"/>
        <v>0.29508419260826407</v>
      </c>
      <c r="L768">
        <f t="shared" si="127"/>
        <v>0</v>
      </c>
      <c r="M768">
        <f t="shared" si="128"/>
        <v>0.18181818181818182</v>
      </c>
      <c r="N768">
        <f t="shared" si="129"/>
        <v>0</v>
      </c>
      <c r="O768">
        <f t="shared" si="130"/>
        <v>0</v>
      </c>
      <c r="P768" t="str">
        <f>IFERROR(LN('Дивиденды по годам'!I768),"")</f>
        <v/>
      </c>
      <c r="Q768" t="str">
        <f>IFERROR('Дивиденды по годам'!G768/'Дивиденды по годам'!I768, "")</f>
        <v/>
      </c>
      <c r="R768" t="str">
        <f>IFERROR(IF(AND('Дивиденды по годам'!N768&lt;&gt;"",'Дивиденды по годам'!U768&lt;&gt;"",'Дивиденды по годам'!U768&lt;&gt;0),'Дивиденды по годам'!N768/'Дивиденды по годам'!U768-1,""),"")</f>
        <v/>
      </c>
      <c r="S768" t="str">
        <f>IFERROR(IF(AND('Дивиденды по годам'!L768&lt;&gt;"",'Дивиденды по годам'!I768&lt;&gt;"",'Дивиденды по годам'!J768&lt;&gt;"",'Дивиденды по годам'!K768&lt;&gt;"",('Дивиденды по годам'!I768-'Дивиденды по годам'!J768-'Дивиденды по годам'!K768)&lt;&gt;0),'Дивиденды по годам'!L768/('Дивиденды по годам'!I768-'Дивиденды по годам'!J768-'Дивиденды по годам'!K768),""),"")</f>
        <v/>
      </c>
      <c r="T768" t="str">
        <f>IFERROR(IF(AND('Дивиденды по годам'!Q768&lt;&gt;"",'Дивиденды по годам'!I768&lt;&gt;"",'Дивиденды по годам'!V768&lt;&gt;"",('Дивиденды по годам'!I768+'Дивиденды по годам'!V768)&lt;&gt;0),'Дивиденды по годам'!Q768/(('Дивиденды по годам'!I768+'Дивиденды по годам'!V768)/2),""),"")</f>
        <v/>
      </c>
      <c r="U768" t="str">
        <f>IFERROR(IF(AND('Дивиденды по годам'!J768&lt;&gt;"",'Дивиденды по годам'!K768&lt;&gt;"",'Дивиденды по годам'!M768&lt;&gt;"",'Дивиденды по годам'!M768&lt;&gt;0),('Дивиденды по годам'!J768+'Дивиденды по годам'!K768)/'Дивиденды по годам'!M768,""),"")</f>
        <v/>
      </c>
      <c r="V768" t="str">
        <f>IFERROR(IF(AND('Дивиденды по годам'!J768&lt;&gt;"",'Дивиденды по годам'!K768&lt;&gt;"",'Дивиденды по годам'!M768&lt;&gt;"",'Дивиденды по годам'!I768&lt;&gt;0),('Дивиденды по годам'!J768+'Дивиденды по годам'!K768)/'Дивиденды по годам'!I768,""),"")</f>
        <v/>
      </c>
      <c r="W768" t="str">
        <f>IFERROR('Дивиденды по годам'!I768,"")</f>
        <v/>
      </c>
      <c r="X768" cm="1">
        <f t="array" ref="X768">IFERROR(AVERAGE(_xlfn._xlws.FILTER(P$2:P$1073,($C$2:$C$1073=$C768)*($E$2:$E$1073=$E768)*(ROW(P$2:P$1073)&lt;&gt;ROW(P768))*(P$2:P$1073&lt;&gt;""))),"")</f>
        <v>26.959846755112331</v>
      </c>
      <c r="Y768" cm="1">
        <f t="array" ref="Y768">IFERROR(AVERAGE(_xlfn._xlws.FILTER(Q$2:Q$1073,($C$2:$C$1073=$C768)*($E$2:$E$1073=$E768)*(ROW(Q$2:Q$1073)&lt;&gt;ROW(Q768))*(Q$2:Q$1073&lt;&gt;""))),"")</f>
        <v>0.64168629722093962</v>
      </c>
      <c r="Z768" t="str" cm="1">
        <f t="array" ref="Z768">IFERROR(AVERAGE(_xlfn._xlws.FILTER(R$2:R$1073,($C$2:$C$1073=$C768)*($E$2:$E$1073=$E768)*(ROW(R$2:R$1073)&lt;&gt;ROW(R768))*(R$2:R$1073&lt;&gt;""))),"")</f>
        <v/>
      </c>
      <c r="AA768" t="str" cm="1">
        <f t="array" ref="AA768">IFERROR(AVERAGE(_xlfn._xlws.FILTER(S$2:S$1073,($C$2:$C$1073=$C768)*($E$2:$E$1073=$E768)*(ROW(S$2:S$1073)&lt;&gt;ROW(S768))*(S$2:S$1073&lt;&gt;""))),"")</f>
        <v/>
      </c>
      <c r="AB768" t="str" cm="1">
        <f t="array" ref="AB768">IFERROR(AVERAGE(_xlfn._xlws.FILTER(T$2:T$1073,($C$2:$C$1073=$C768)*($E$2:$E$1073=$E768)*(ROW(T$2:T$1073)&lt;&gt;ROW(T768))*(T$2:T$1073&lt;&gt;""))),"")</f>
        <v/>
      </c>
      <c r="AC768" cm="1">
        <f t="array" ref="AC768">IFERROR(AVERAGE(_xlfn._xlws.FILTER(U$2:U$1073,($C$2:$C$1073=$C768)*($E$2:$E$1073=$E768)*(ROW(U$2:U$1073)&lt;&gt;ROW(U768))*(U$2:U$1073&lt;&gt;""))),"")</f>
        <v>0.9076461410986616</v>
      </c>
      <c r="AD768" cm="1">
        <f t="array" ref="AD768">IFERROR(AVERAGE(_xlfn._xlws.FILTER(V$2:V$1073,($C$2:$C$1073=$C768)*($E$2:$E$1073=$E768)*(ROW(V$2:V$1073)&lt;&gt;ROW(V768))*(V$2:V$1073&lt;&gt;""))),"")</f>
        <v>0.47579376570118254</v>
      </c>
      <c r="AE768">
        <f>IF('Дивиденды по годам'!M768&lt;0,1,0)</f>
        <v>0</v>
      </c>
    </row>
    <row r="769" spans="1:31" x14ac:dyDescent="0.2">
      <c r="A769" s="7" t="s">
        <v>2273</v>
      </c>
      <c r="B769" t="str">
        <f t="shared" si="121"/>
        <v>BAZA IV кв. 2010</v>
      </c>
      <c r="C769">
        <v>2010</v>
      </c>
      <c r="D769">
        <f>SUMIFS(Дивиденды!$C:$C,Дивиденды!$A:$A,A769,Дивиденды!$I:$I,C769)</f>
        <v>0</v>
      </c>
      <c r="E769">
        <v>5</v>
      </c>
      <c r="F769">
        <f t="shared" si="122"/>
        <v>0</v>
      </c>
      <c r="G769">
        <f t="shared" si="123"/>
        <v>1.4227272727272726</v>
      </c>
      <c r="H769">
        <f t="shared" si="124"/>
        <v>0</v>
      </c>
      <c r="I769">
        <f t="shared" si="125"/>
        <v>0.18181818181818182</v>
      </c>
      <c r="J769" t="str">
        <f t="shared" si="126"/>
        <v/>
      </c>
      <c r="K769" t="str">
        <f t="shared" si="131"/>
        <v/>
      </c>
      <c r="L769" t="str">
        <f t="shared" si="127"/>
        <v/>
      </c>
      <c r="M769" t="str">
        <f t="shared" si="128"/>
        <v/>
      </c>
      <c r="N769" t="str">
        <f t="shared" si="129"/>
        <v/>
      </c>
      <c r="O769" t="str">
        <f t="shared" si="130"/>
        <v/>
      </c>
      <c r="P769" t="str">
        <f>IFERROR(LN('Дивиденды по годам'!I769),"")</f>
        <v/>
      </c>
      <c r="Q769" t="str">
        <f>IFERROR('Дивиденды по годам'!G769/'Дивиденды по годам'!I769, "")</f>
        <v/>
      </c>
      <c r="R769" t="str">
        <f>IFERROR(IF(AND('Дивиденды по годам'!N769&lt;&gt;"",'Дивиденды по годам'!U769&lt;&gt;"",'Дивиденды по годам'!U769&lt;&gt;0),'Дивиденды по годам'!N769/'Дивиденды по годам'!U769-1,""),"")</f>
        <v/>
      </c>
      <c r="S769" t="str">
        <f>IFERROR(IF(AND('Дивиденды по годам'!L769&lt;&gt;"",'Дивиденды по годам'!I769&lt;&gt;"",'Дивиденды по годам'!J769&lt;&gt;"",'Дивиденды по годам'!K769&lt;&gt;"",('Дивиденды по годам'!I769-'Дивиденды по годам'!J769-'Дивиденды по годам'!K769)&lt;&gt;0),'Дивиденды по годам'!L769/('Дивиденды по годам'!I769-'Дивиденды по годам'!J769-'Дивиденды по годам'!K769),""),"")</f>
        <v/>
      </c>
      <c r="T769" t="str">
        <f>IFERROR(IF(AND('Дивиденды по годам'!Q769&lt;&gt;"",'Дивиденды по годам'!I769&lt;&gt;"",'Дивиденды по годам'!V769&lt;&gt;"",('Дивиденды по годам'!I769+'Дивиденды по годам'!V769)&lt;&gt;0),'Дивиденды по годам'!Q769/(('Дивиденды по годам'!I769+'Дивиденды по годам'!V769)/2),""),"")</f>
        <v/>
      </c>
      <c r="U769" t="str">
        <f>IFERROR(IF(AND('Дивиденды по годам'!J769&lt;&gt;"",'Дивиденды по годам'!K769&lt;&gt;"",'Дивиденды по годам'!M769&lt;&gt;"",'Дивиденды по годам'!M769&lt;&gt;0),('Дивиденды по годам'!J769+'Дивиденды по годам'!K769)/'Дивиденды по годам'!M769,""),"")</f>
        <v/>
      </c>
      <c r="V769" t="str">
        <f>IFERROR(IF(AND('Дивиденды по годам'!J769&lt;&gt;"",'Дивиденды по годам'!K769&lt;&gt;"",'Дивиденды по годам'!M769&lt;&gt;"",'Дивиденды по годам'!I769&lt;&gt;0),('Дивиденды по годам'!J769+'Дивиденды по годам'!K769)/'Дивиденды по годам'!I769,""),"")</f>
        <v/>
      </c>
      <c r="W769" t="str">
        <f>IFERROR('Дивиденды по годам'!I769,"")</f>
        <v/>
      </c>
      <c r="X769" t="str" cm="1">
        <f t="array" ref="X769">IFERROR(AVERAGE(_xlfn._xlws.FILTER(P$2:P$1073,($C$2:$C$1073=$C769)*($E$2:$E$1073=$E769)*(ROW(P$2:P$1073)&lt;&gt;ROW(P769))*(P$2:P$1073&lt;&gt;""))),"")</f>
        <v/>
      </c>
      <c r="Y769" t="str" cm="1">
        <f t="array" ref="Y769">IFERROR(AVERAGE(_xlfn._xlws.FILTER(Q$2:Q$1073,($C$2:$C$1073=$C769)*($E$2:$E$1073=$E769)*(ROW(Q$2:Q$1073)&lt;&gt;ROW(Q769))*(Q$2:Q$1073&lt;&gt;""))),"")</f>
        <v/>
      </c>
      <c r="Z769" t="str" cm="1">
        <f t="array" ref="Z769">IFERROR(AVERAGE(_xlfn._xlws.FILTER(R$2:R$1073,($C$2:$C$1073=$C769)*($E$2:$E$1073=$E769)*(ROW(R$2:R$1073)&lt;&gt;ROW(R769))*(R$2:R$1073&lt;&gt;""))),"")</f>
        <v/>
      </c>
      <c r="AA769" t="str" cm="1">
        <f t="array" ref="AA769">IFERROR(AVERAGE(_xlfn._xlws.FILTER(S$2:S$1073,($C$2:$C$1073=$C769)*($E$2:$E$1073=$E769)*(ROW(S$2:S$1073)&lt;&gt;ROW(S769))*(S$2:S$1073&lt;&gt;""))),"")</f>
        <v/>
      </c>
      <c r="AB769" t="str" cm="1">
        <f t="array" ref="AB769">IFERROR(AVERAGE(_xlfn._xlws.FILTER(T$2:T$1073,($C$2:$C$1073=$C769)*($E$2:$E$1073=$E769)*(ROW(T$2:T$1073)&lt;&gt;ROW(T769))*(T$2:T$1073&lt;&gt;""))),"")</f>
        <v/>
      </c>
      <c r="AC769" t="str" cm="1">
        <f t="array" ref="AC769">IFERROR(AVERAGE(_xlfn._xlws.FILTER(U$2:U$1073,($C$2:$C$1073=$C769)*($E$2:$E$1073=$E769)*(ROW(U$2:U$1073)&lt;&gt;ROW(U769))*(U$2:U$1073&lt;&gt;""))),"")</f>
        <v/>
      </c>
      <c r="AD769" t="str" cm="1">
        <f t="array" ref="AD769">IFERROR(AVERAGE(_xlfn._xlws.FILTER(V$2:V$1073,($C$2:$C$1073=$C769)*($E$2:$E$1073=$E769)*(ROW(V$2:V$1073)&lt;&gt;ROW(V769))*(V$2:V$1073&lt;&gt;""))),"")</f>
        <v/>
      </c>
      <c r="AE769">
        <f>IF('Дивиденды по годам'!M769&lt;0,1,0)</f>
        <v>0</v>
      </c>
    </row>
    <row r="770" spans="1:31" x14ac:dyDescent="0.2">
      <c r="A770" s="7" t="s">
        <v>2275</v>
      </c>
      <c r="B770" t="str">
        <f t="shared" si="121"/>
        <v>CNRU IV кв. 2025</v>
      </c>
      <c r="C770">
        <v>2025</v>
      </c>
      <c r="D770">
        <f>SUMIFS(Дивиденды!$C:$C,Дивиденды!$A:$A,A770,Дивиденды!$I:$I,C770)</f>
        <v>104</v>
      </c>
      <c r="E770">
        <v>5</v>
      </c>
      <c r="F770">
        <f t="shared" si="122"/>
        <v>104</v>
      </c>
      <c r="G770">
        <f t="shared" si="123"/>
        <v>42.041818181818186</v>
      </c>
      <c r="H770">
        <f t="shared" si="124"/>
        <v>1</v>
      </c>
      <c r="I770">
        <f t="shared" si="125"/>
        <v>0.45454545454545453</v>
      </c>
      <c r="J770">
        <f t="shared" si="126"/>
        <v>1</v>
      </c>
      <c r="K770">
        <f t="shared" si="131"/>
        <v>-0.114067005274923</v>
      </c>
      <c r="L770">
        <f t="shared" si="127"/>
        <v>1</v>
      </c>
      <c r="M770">
        <f t="shared" si="128"/>
        <v>0.27272727272727271</v>
      </c>
      <c r="N770">
        <f t="shared" si="129"/>
        <v>0</v>
      </c>
      <c r="O770">
        <f t="shared" si="130"/>
        <v>0.54545454545454541</v>
      </c>
      <c r="P770" t="str">
        <f>IFERROR(LN('Дивиденды по годам'!I770),"")</f>
        <v/>
      </c>
      <c r="Q770" t="str">
        <f>IFERROR('Дивиденды по годам'!G770/'Дивиденды по годам'!I770, "")</f>
        <v/>
      </c>
      <c r="R770" t="str">
        <f>IFERROR(IF(AND('Дивиденды по годам'!N770&lt;&gt;"",'Дивиденды по годам'!U770&lt;&gt;"",'Дивиденды по годам'!U770&lt;&gt;0),'Дивиденды по годам'!N770/'Дивиденды по годам'!U770-1,""),"")</f>
        <v/>
      </c>
      <c r="S770" t="str">
        <f>IFERROR(IF(AND('Дивиденды по годам'!L770&lt;&gt;"",'Дивиденды по годам'!I770&lt;&gt;"",'Дивиденды по годам'!J770&lt;&gt;"",'Дивиденды по годам'!K770&lt;&gt;"",('Дивиденды по годам'!I770-'Дивиденды по годам'!J770-'Дивиденды по годам'!K770)&lt;&gt;0),'Дивиденды по годам'!L770/('Дивиденды по годам'!I770-'Дивиденды по годам'!J770-'Дивиденды по годам'!K770),""),"")</f>
        <v/>
      </c>
      <c r="T770" t="str">
        <f>IFERROR(IF(AND('Дивиденды по годам'!Q770&lt;&gt;"",'Дивиденды по годам'!I770&lt;&gt;"",'Дивиденды по годам'!V770&lt;&gt;"",('Дивиденды по годам'!I770+'Дивиденды по годам'!V770)&lt;&gt;0),'Дивиденды по годам'!Q770/(('Дивиденды по годам'!I770+'Дивиденды по годам'!V770)/2),""),"")</f>
        <v/>
      </c>
      <c r="U770" t="str">
        <f>IFERROR(IF(AND('Дивиденды по годам'!J770&lt;&gt;"",'Дивиденды по годам'!K770&lt;&gt;"",'Дивиденды по годам'!M770&lt;&gt;"",'Дивиденды по годам'!M770&lt;&gt;0),('Дивиденды по годам'!J770+'Дивиденды по годам'!K770)/'Дивиденды по годам'!M770,""),"")</f>
        <v/>
      </c>
      <c r="V770" t="str">
        <f>IFERROR(IF(AND('Дивиденды по годам'!J770&lt;&gt;"",'Дивиденды по годам'!K770&lt;&gt;"",'Дивиденды по годам'!M770&lt;&gt;"",'Дивиденды по годам'!I770&lt;&gt;0),('Дивиденды по годам'!J770+'Дивиденды по годам'!K770)/'Дивиденды по годам'!I770,""),"")</f>
        <v/>
      </c>
      <c r="W770" t="str">
        <f>IFERROR('Дивиденды по годам'!I770,"")</f>
        <v/>
      </c>
      <c r="X770" cm="1">
        <f t="array" ref="X770">IFERROR(AVERAGE(_xlfn._xlws.FILTER(P$2:P$1073,($C$2:$C$1073=$C770)*($E$2:$E$1073=$E770)*(ROW(P$2:P$1073)&lt;&gt;ROW(P770))*(P$2:P$1073&lt;&gt;""))),"")</f>
        <v>26.521286940703849</v>
      </c>
      <c r="Y770" cm="1">
        <f t="array" ref="Y770">IFERROR(AVERAGE(_xlfn._xlws.FILTER(Q$2:Q$1073,($C$2:$C$1073=$C770)*($E$2:$E$1073=$E770)*(ROW(Q$2:Q$1073)&lt;&gt;ROW(Q770))*(Q$2:Q$1073&lt;&gt;""))),"")</f>
        <v>0.19369353703050501</v>
      </c>
      <c r="Z770" cm="1">
        <f t="array" ref="Z770">IFERROR(AVERAGE(_xlfn._xlws.FILTER(R$2:R$1073,($C$2:$C$1073=$C770)*($E$2:$E$1073=$E770)*(ROW(R$2:R$1073)&lt;&gt;ROW(R770))*(R$2:R$1073&lt;&gt;""))),"")</f>
        <v>0.14131329588399896</v>
      </c>
      <c r="AA770" cm="1">
        <f t="array" ref="AA770">IFERROR(AVERAGE(_xlfn._xlws.FILTER(S$2:S$1073,($C$2:$C$1073=$C770)*($E$2:$E$1073=$E770)*(ROW(S$2:S$1073)&lt;&gt;ROW(S770))*(S$2:S$1073&lt;&gt;""))),"")</f>
        <v>0.69198231878475358</v>
      </c>
      <c r="AB770" cm="1">
        <f t="array" ref="AB770">IFERROR(AVERAGE(_xlfn._xlws.FILTER(T$2:T$1073,($C$2:$C$1073=$C770)*($E$2:$E$1073=$E770)*(ROW(T$2:T$1073)&lt;&gt;ROW(T770))*(T$2:T$1073&lt;&gt;""))),"")</f>
        <v>0.12648274488223432</v>
      </c>
      <c r="AC770" cm="1">
        <f t="array" ref="AC770">IFERROR(AVERAGE(_xlfn._xlws.FILTER(U$2:U$1073,($C$2:$C$1073=$C770)*($E$2:$E$1073=$E770)*(ROW(U$2:U$1073)&lt;&gt;ROW(U770))*(U$2:U$1073&lt;&gt;""))),"")</f>
        <v>14.735041078316815</v>
      </c>
      <c r="AD770" cm="1">
        <f t="array" ref="AD770">IFERROR(AVERAGE(_xlfn._xlws.FILTER(V$2:V$1073,($C$2:$C$1073=$C770)*($E$2:$E$1073=$E770)*(ROW(V$2:V$1073)&lt;&gt;ROW(V770))*(V$2:V$1073&lt;&gt;""))),"")</f>
        <v>0.73030007244080331</v>
      </c>
      <c r="AE770">
        <f>IF('Дивиденды по годам'!M770&lt;0,1,0)</f>
        <v>0</v>
      </c>
    </row>
    <row r="771" spans="1:31" x14ac:dyDescent="0.2">
      <c r="A771" s="7" t="s">
        <v>2275</v>
      </c>
      <c r="B771" t="str">
        <f t="shared" ref="B771:B834" si="132">A771&amp;" "&amp;
"IV"
&amp;" кв. "&amp;C771</f>
        <v>CNRU IV кв. 2024</v>
      </c>
      <c r="C771">
        <v>2024</v>
      </c>
      <c r="D771">
        <f>SUMIFS(Дивиденды!$C:$C,Дивиденды!$A:$A,A771,Дивиденды!$I:$I,C771)</f>
        <v>0</v>
      </c>
      <c r="E771">
        <v>5</v>
      </c>
      <c r="F771">
        <f t="shared" ref="F771:F834" si="133">D771</f>
        <v>0</v>
      </c>
      <c r="G771">
        <f t="shared" ref="G771:G834" si="134">AVERAGEIFS($D:$D,$E:$E,E771,$C:$C,C771,$A:$A,"&lt;&gt;"&amp;A771)</f>
        <v>102.16454545454545</v>
      </c>
      <c r="H771">
        <f t="shared" ref="H771:H834" si="135">IF(D771&gt;0,1,0)</f>
        <v>0</v>
      </c>
      <c r="I771">
        <f t="shared" ref="I771:I834" si="136">IFERROR((COUNTIFS($E:$E,E771,$C:$C,C771,$H:$H,1)-H771)/(COUNTIFS($E:$E,E771,$C:$C,C771)-1),0)</f>
        <v>0.63636363636363635</v>
      </c>
      <c r="J771">
        <f t="shared" ref="J771:J834" si="137">IF(A772&lt;&gt;A771,"",IF(D771=D772,0,IF(AND(D772=0,D771&lt;&gt;0), 1,(D771-D772)/D772)))</f>
        <v>0</v>
      </c>
      <c r="K771">
        <f t="shared" si="131"/>
        <v>0.22526756384337021</v>
      </c>
      <c r="L771">
        <f t="shared" ref="L771:L834" si="138">IF(J771&lt;&gt;"",IF(J771&gt;0,1,0),"")</f>
        <v>0</v>
      </c>
      <c r="M771">
        <f t="shared" ref="M771:M834" si="139">IFERROR(AVERAGEIFS($L:$L,$E:$E,E771,$C:$C,C771,$A:$A,"&lt;&gt;"&amp;A771),"")</f>
        <v>0.36363636363636365</v>
      </c>
      <c r="N771">
        <f t="shared" ref="N771:N834" si="140">IF(J771&lt;&gt;"",IF(J771&lt;0,1,0),"")</f>
        <v>0</v>
      </c>
      <c r="O771">
        <f t="shared" ref="O771:O834" si="141">IFERROR(AVERAGEIFS($N:$N,$E:$E,E771,$C:$C,C771,$A:$A,"&lt;&gt;"&amp;A771),"")</f>
        <v>0.18181818181818182</v>
      </c>
      <c r="P771">
        <f>IFERROR(LN('Дивиденды по годам'!I771),"")</f>
        <v>23.291670755535105</v>
      </c>
      <c r="Q771">
        <f>IFERROR('Дивиденды по годам'!G771/'Дивиденды по годам'!I771, "")</f>
        <v>6.5159064775776156E-3</v>
      </c>
      <c r="R771">
        <f>IFERROR(IF(AND('Дивиденды по годам'!N771&lt;&gt;"",'Дивиденды по годам'!U771&lt;&gt;"",'Дивиденды по годам'!U771&lt;&gt;0),'Дивиденды по годам'!N771/'Дивиденды по годам'!U771-1,""),"")</f>
        <v>0.12237490277417673</v>
      </c>
      <c r="S771">
        <f>IFERROR(IF(AND('Дивиденды по годам'!L771&lt;&gt;"",'Дивиденды по годам'!I771&lt;&gt;"",'Дивиденды по годам'!J771&lt;&gt;"",'Дивиденды по годам'!K771&lt;&gt;"",('Дивиденды по годам'!I771-'Дивиденды по годам'!J771-'Дивиденды по годам'!K771)&lt;&gt;0),'Дивиденды по годам'!L771/('Дивиденды по годам'!I771-'Дивиденды по годам'!J771-'Дивиденды по годам'!K771),""),"")</f>
        <v>5.5050454590868221E-2</v>
      </c>
      <c r="T771">
        <f>IFERROR(IF(AND('Дивиденды по годам'!Q771&lt;&gt;"",'Дивиденды по годам'!I771&lt;&gt;"",'Дивиденды по годам'!V771&lt;&gt;"",('Дивиденды по годам'!I771+'Дивиденды по годам'!V771)&lt;&gt;0),'Дивиденды по годам'!Q771/(('Дивиденды по годам'!I771+'Дивиденды по годам'!V771)/2),""),"")</f>
        <v>0.21114872102489396</v>
      </c>
      <c r="U771">
        <f>IFERROR(IF(AND('Дивиденды по годам'!J771&lt;&gt;"",'Дивиденды по годам'!K771&lt;&gt;"",'Дивиденды по годам'!M771&lt;&gt;"",'Дивиденды по годам'!M771&lt;&gt;0),('Дивиденды по годам'!J771+'Дивиденды по годам'!K771)/'Дивиденды по годам'!M771,""),"")</f>
        <v>0.30332700569487459</v>
      </c>
      <c r="V771">
        <f>IFERROR(IF(AND('Дивиденды по годам'!J771&lt;&gt;"",'Дивиденды по годам'!K771&lt;&gt;"",'Дивиденды по годам'!M771&lt;&gt;"",'Дивиденды по годам'!I771&lt;&gt;0),('Дивиденды по годам'!J771+'Дивиденды по годам'!K771)/'Дивиденды по годам'!I771,""),"")</f>
        <v>0.2327328478344193</v>
      </c>
      <c r="W771">
        <f>IFERROR('Дивиденды по годам'!I771,"")</f>
        <v>13045000000</v>
      </c>
      <c r="X771" cm="1">
        <f t="array" ref="X771">IFERROR(AVERAGE(_xlfn._xlws.FILTER(P$2:P$1073,($C$2:$C$1073=$C771)*($E$2:$E$1073=$E771)*(ROW(P$2:P$1073)&lt;&gt;ROW(P771))*(P$2:P$1073&lt;&gt;""))),"")</f>
        <v>25.563969031665081</v>
      </c>
      <c r="Y771" cm="1">
        <f t="array" ref="Y771">IFERROR(AVERAGE(_xlfn._xlws.FILTER(Q$2:Q$1073,($C$2:$C$1073=$C771)*($E$2:$E$1073=$E771)*(ROW(Q$2:Q$1073)&lt;&gt;ROW(Q771))*(Q$2:Q$1073&lt;&gt;""))),"")</f>
        <v>0.14896276310209922</v>
      </c>
      <c r="Z771" cm="1">
        <f t="array" ref="Z771">IFERROR(AVERAGE(_xlfn._xlws.FILTER(R$2:R$1073,($C$2:$C$1073=$C771)*($E$2:$E$1073=$E771)*(ROW(R$2:R$1073)&lt;&gt;ROW(R771))*(R$2:R$1073&lt;&gt;""))),"")</f>
        <v>0.28194805284780683</v>
      </c>
      <c r="AA771" cm="1">
        <f t="array" ref="AA771">IFERROR(AVERAGE(_xlfn._xlws.FILTER(S$2:S$1073,($C$2:$C$1073=$C771)*($E$2:$E$1073=$E771)*(ROW(S$2:S$1073)&lt;&gt;ROW(S771))*(S$2:S$1073&lt;&gt;""))),"")</f>
        <v>-0.23675365171738058</v>
      </c>
      <c r="AB771" cm="1">
        <f t="array" ref="AB771">IFERROR(AVERAGE(_xlfn._xlws.FILTER(T$2:T$1073,($C$2:$C$1073=$C771)*($E$2:$E$1073=$E771)*(ROW(T$2:T$1073)&lt;&gt;ROW(T771))*(T$2:T$1073&lt;&gt;""))),"")</f>
        <v>0.19719587422402376</v>
      </c>
      <c r="AC771" cm="1">
        <f t="array" ref="AC771">IFERROR(AVERAGE(_xlfn._xlws.FILTER(U$2:U$1073,($C$2:$C$1073=$C771)*($E$2:$E$1073=$E771)*(ROW(U$2:U$1073)&lt;&gt;ROW(U771))*(U$2:U$1073&lt;&gt;""))),"")</f>
        <v>-12.313541814957885</v>
      </c>
      <c r="AD771" cm="1">
        <f t="array" ref="AD771">IFERROR(AVERAGE(_xlfn._xlws.FILTER(V$2:V$1073,($C$2:$C$1073=$C771)*($E$2:$E$1073=$E771)*(ROW(V$2:V$1073)&lt;&gt;ROW(V771))*(V$2:V$1073&lt;&gt;""))),"")</f>
        <v>0.74491741549184465</v>
      </c>
      <c r="AE771">
        <f>IF('Дивиденды по годам'!M771&lt;0,1,0)</f>
        <v>0</v>
      </c>
    </row>
    <row r="772" spans="1:31" x14ac:dyDescent="0.2">
      <c r="A772" s="7" t="s">
        <v>2275</v>
      </c>
      <c r="B772" t="str">
        <f t="shared" si="132"/>
        <v>CNRU IV кв. 2023</v>
      </c>
      <c r="C772">
        <v>2023</v>
      </c>
      <c r="D772">
        <f>SUMIFS(Дивиденды!$C:$C,Дивиденды!$A:$A,A772,Дивиденды!$I:$I,C772)</f>
        <v>0</v>
      </c>
      <c r="E772">
        <v>5</v>
      </c>
      <c r="F772">
        <f t="shared" si="133"/>
        <v>0</v>
      </c>
      <c r="G772">
        <f t="shared" si="134"/>
        <v>17.214545454545455</v>
      </c>
      <c r="H772">
        <f t="shared" si="135"/>
        <v>0</v>
      </c>
      <c r="I772">
        <f t="shared" si="136"/>
        <v>0.27272727272727271</v>
      </c>
      <c r="J772">
        <f t="shared" si="137"/>
        <v>0</v>
      </c>
      <c r="K772">
        <f t="shared" ref="K772:K835" si="142">IFERROR(AVERAGEIFS($J:$J,$E:$E,E772,$C:$C,C772,$A:$A,"&lt;&gt;"&amp;A772),"")</f>
        <v>0.2713254911425303</v>
      </c>
      <c r="L772">
        <f t="shared" si="138"/>
        <v>0</v>
      </c>
      <c r="M772">
        <f t="shared" si="139"/>
        <v>0.27272727272727271</v>
      </c>
      <c r="N772">
        <f t="shared" si="140"/>
        <v>0</v>
      </c>
      <c r="O772">
        <f t="shared" si="141"/>
        <v>0</v>
      </c>
      <c r="P772">
        <f>IFERROR(LN('Дивиденды по годам'!I772),"")</f>
        <v>23.054827038176974</v>
      </c>
      <c r="Q772">
        <f>IFERROR('Дивиденды по годам'!G772/'Дивиденды по годам'!I772, "")</f>
        <v>7.0915096172527682E-3</v>
      </c>
      <c r="R772" t="str">
        <f>IFERROR(IF(AND('Дивиденды по годам'!N772&lt;&gt;"",'Дивиденды по годам'!U772&lt;&gt;"",'Дивиденды по годам'!U772&lt;&gt;0),'Дивиденды по годам'!N772/'Дивиденды по годам'!U772-1,""),"")</f>
        <v/>
      </c>
      <c r="S772">
        <f>IFERROR(IF(AND('Дивиденды по годам'!L772&lt;&gt;"",'Дивиденды по годам'!I772&lt;&gt;"",'Дивиденды по годам'!J772&lt;&gt;"",'Дивиденды по годам'!K772&lt;&gt;"",('Дивиденды по годам'!I772-'Дивиденды по годам'!J772-'Дивиденды по годам'!K772)&lt;&gt;0),'Дивиденды по годам'!L772/('Дивиденды по годам'!I772-'Дивиденды по годам'!J772-'Дивиденды по годам'!K772),""),"")</f>
        <v>-0.16055749128919861</v>
      </c>
      <c r="T772" t="str">
        <f>IFERROR(IF(AND('Дивиденды по годам'!Q772&lt;&gt;"",'Дивиденды по годам'!I772&lt;&gt;"",'Дивиденды по годам'!V772&lt;&gt;"",('Дивиденды по годам'!I772+'Дивиденды по годам'!V772)&lt;&gt;0),'Дивиденды по годам'!Q772/(('Дивиденды по годам'!I772+'Дивиденды по годам'!V772)/2),""),"")</f>
        <v/>
      </c>
      <c r="U772">
        <f>IFERROR(IF(AND('Дивиденды по годам'!J772&lt;&gt;"",'Дивиденды по годам'!K772&lt;&gt;"",'Дивиденды по годам'!M772&lt;&gt;"",'Дивиденды по годам'!M772&lt;&gt;0),('Дивиденды по годам'!J772+'Дивиденды по годам'!K772)/'Дивиденды по годам'!M772,""),"")</f>
        <v>0.43470383275261326</v>
      </c>
      <c r="V772">
        <f>IFERROR(IF(AND('Дивиденды по годам'!J772&lt;&gt;"",'Дивиденды по годам'!K772&lt;&gt;"",'Дивиденды по годам'!M772&lt;&gt;"",'Дивиденды по годам'!I772&lt;&gt;0),('Дивиденды по годам'!J772+'Дивиденды по годам'!K772)/'Дивиденды по годам'!I772,""),"")</f>
        <v>0.30299203419467652</v>
      </c>
      <c r="W772">
        <f>IFERROR('Дивиденды по годам'!I772,"")</f>
        <v>10294000000</v>
      </c>
      <c r="X772" cm="1">
        <f t="array" ref="X772">IFERROR(AVERAGE(_xlfn._xlws.FILTER(P$2:P$1073,($C$2:$C$1073=$C772)*($E$2:$E$1073=$E772)*(ROW(P$2:P$1073)&lt;&gt;ROW(P772))*(P$2:P$1073&lt;&gt;""))),"")</f>
        <v>25.131694600653507</v>
      </c>
      <c r="Y772" cm="1">
        <f t="array" ref="Y772">IFERROR(AVERAGE(_xlfn._xlws.FILTER(Q$2:Q$1073,($C$2:$C$1073=$C772)*($E$2:$E$1073=$E772)*(ROW(Q$2:Q$1073)&lt;&gt;ROW(Q772))*(Q$2:Q$1073&lt;&gt;""))),"")</f>
        <v>0.13061126708216958</v>
      </c>
      <c r="Z772" cm="1">
        <f t="array" ref="Z772">IFERROR(AVERAGE(_xlfn._xlws.FILTER(R$2:R$1073,($C$2:$C$1073=$C772)*($E$2:$E$1073=$E772)*(ROW(R$2:R$1073)&lt;&gt;ROW(R772))*(R$2:R$1073&lt;&gt;""))),"")</f>
        <v>0.43171849086064124</v>
      </c>
      <c r="AA772" cm="1">
        <f t="array" ref="AA772">IFERROR(AVERAGE(_xlfn._xlws.FILTER(S$2:S$1073,($C$2:$C$1073=$C772)*($E$2:$E$1073=$E772)*(ROW(S$2:S$1073)&lt;&gt;ROW(S772))*(S$2:S$1073&lt;&gt;""))),"")</f>
        <v>0.82729538371416855</v>
      </c>
      <c r="AB772" cm="1">
        <f t="array" ref="AB772">IFERROR(AVERAGE(_xlfn._xlws.FILTER(T$2:T$1073,($C$2:$C$1073=$C772)*($E$2:$E$1073=$E772)*(ROW(T$2:T$1073)&lt;&gt;ROW(T772))*(T$2:T$1073&lt;&gt;""))),"")</f>
        <v>0.16503536613583741</v>
      </c>
      <c r="AC772" cm="1">
        <f t="array" ref="AC772">IFERROR(AVERAGE(_xlfn._xlws.FILTER(U$2:U$1073,($C$2:$C$1073=$C772)*($E$2:$E$1073=$E772)*(ROW(U$2:U$1073)&lt;&gt;ROW(U772))*(U$2:U$1073&lt;&gt;""))),"")</f>
        <v>95.94638510332129</v>
      </c>
      <c r="AD772" cm="1">
        <f t="array" ref="AD772">IFERROR(AVERAGE(_xlfn._xlws.FILTER(V$2:V$1073,($C$2:$C$1073=$C772)*($E$2:$E$1073=$E772)*(ROW(V$2:V$1073)&lt;&gt;ROW(V772))*(V$2:V$1073&lt;&gt;""))),"")</f>
        <v>0.67469653202224678</v>
      </c>
      <c r="AE772">
        <f>IF('Дивиденды по годам'!M772&lt;0,1,0)</f>
        <v>0</v>
      </c>
    </row>
    <row r="773" spans="1:31" x14ac:dyDescent="0.2">
      <c r="A773" s="7" t="s">
        <v>2275</v>
      </c>
      <c r="B773" t="str">
        <f t="shared" si="132"/>
        <v>CNRU IV кв. 2022</v>
      </c>
      <c r="C773">
        <v>2022</v>
      </c>
      <c r="D773">
        <f>SUMIFS(Дивиденды!$C:$C,Дивиденды!$A:$A,A773,Дивиденды!$I:$I,C773)</f>
        <v>0</v>
      </c>
      <c r="E773">
        <v>5</v>
      </c>
      <c r="F773">
        <f t="shared" si="133"/>
        <v>0</v>
      </c>
      <c r="G773">
        <f t="shared" si="134"/>
        <v>7.1127272727272723</v>
      </c>
      <c r="H773">
        <f t="shared" si="135"/>
        <v>0</v>
      </c>
      <c r="I773">
        <f t="shared" si="136"/>
        <v>0.27272727272727271</v>
      </c>
      <c r="J773">
        <f t="shared" si="137"/>
        <v>0</v>
      </c>
      <c r="K773">
        <f t="shared" si="142"/>
        <v>8.7952066899435327E-2</v>
      </c>
      <c r="L773">
        <f t="shared" si="138"/>
        <v>0</v>
      </c>
      <c r="M773">
        <f t="shared" si="139"/>
        <v>0.18181818181818182</v>
      </c>
      <c r="N773">
        <f t="shared" si="140"/>
        <v>0</v>
      </c>
      <c r="O773">
        <f t="shared" si="141"/>
        <v>9.0909090909090912E-2</v>
      </c>
      <c r="P773" t="str">
        <f>IFERROR(LN('Дивиденды по годам'!I773),"")</f>
        <v/>
      </c>
      <c r="Q773" t="str">
        <f>IFERROR('Дивиденды по годам'!G773/'Дивиденды по годам'!I773, "")</f>
        <v/>
      </c>
      <c r="R773" t="str">
        <f>IFERROR(IF(AND('Дивиденды по годам'!N773&lt;&gt;"",'Дивиденды по годам'!U773&lt;&gt;"",'Дивиденды по годам'!U773&lt;&gt;0),'Дивиденды по годам'!N773/'Дивиденды по годам'!U773-1,""),"")</f>
        <v/>
      </c>
      <c r="S773" t="str">
        <f>IFERROR(IF(AND('Дивиденды по годам'!L773&lt;&gt;"",'Дивиденды по годам'!I773&lt;&gt;"",'Дивиденды по годам'!J773&lt;&gt;"",'Дивиденды по годам'!K773&lt;&gt;"",('Дивиденды по годам'!I773-'Дивиденды по годам'!J773-'Дивиденды по годам'!K773)&lt;&gt;0),'Дивиденды по годам'!L773/('Дивиденды по годам'!I773-'Дивиденды по годам'!J773-'Дивиденды по годам'!K773),""),"")</f>
        <v/>
      </c>
      <c r="T773" t="str">
        <f>IFERROR(IF(AND('Дивиденды по годам'!Q773&lt;&gt;"",'Дивиденды по годам'!I773&lt;&gt;"",'Дивиденды по годам'!V773&lt;&gt;"",('Дивиденды по годам'!I773+'Дивиденды по годам'!V773)&lt;&gt;0),'Дивиденды по годам'!Q773/(('Дивиденды по годам'!I773+'Дивиденды по годам'!V773)/2),""),"")</f>
        <v/>
      </c>
      <c r="U773" t="str">
        <f>IFERROR(IF(AND('Дивиденды по годам'!J773&lt;&gt;"",'Дивиденды по годам'!K773&lt;&gt;"",'Дивиденды по годам'!M773&lt;&gt;"",'Дивиденды по годам'!M773&lt;&gt;0),('Дивиденды по годам'!J773+'Дивиденды по годам'!K773)/'Дивиденды по годам'!M773,""),"")</f>
        <v/>
      </c>
      <c r="V773" t="str">
        <f>IFERROR(IF(AND('Дивиденды по годам'!J773&lt;&gt;"",'Дивиденды по годам'!K773&lt;&gt;"",'Дивиденды по годам'!M773&lt;&gt;"",'Дивиденды по годам'!I773&lt;&gt;0),('Дивиденды по годам'!J773+'Дивиденды по годам'!K773)/'Дивиденды по годам'!I773,""),"")</f>
        <v/>
      </c>
      <c r="W773" t="str">
        <f>IFERROR('Дивиденды по годам'!I773,"")</f>
        <v/>
      </c>
      <c r="X773" cm="1">
        <f t="array" ref="X773">IFERROR(AVERAGE(_xlfn._xlws.FILTER(P$2:P$1073,($C$2:$C$1073=$C773)*($E$2:$E$1073=$E773)*(ROW(P$2:P$1073)&lt;&gt;ROW(P773))*(P$2:P$1073&lt;&gt;""))),"")</f>
        <v>24.993376890782685</v>
      </c>
      <c r="Y773" cm="1">
        <f t="array" ref="Y773">IFERROR(AVERAGE(_xlfn._xlws.FILTER(Q$2:Q$1073,($C$2:$C$1073=$C773)*($E$2:$E$1073=$E773)*(ROW(Q$2:Q$1073)&lt;&gt;ROW(Q773))*(Q$2:Q$1073&lt;&gt;""))),"")</f>
        <v>0.10312885530309761</v>
      </c>
      <c r="Z773" cm="1">
        <f t="array" ref="Z773">IFERROR(AVERAGE(_xlfn._xlws.FILTER(R$2:R$1073,($C$2:$C$1073=$C773)*($E$2:$E$1073=$E773)*(ROW(R$2:R$1073)&lt;&gt;ROW(R773))*(R$2:R$1073&lt;&gt;""))),"")</f>
        <v>0.57613604172059418</v>
      </c>
      <c r="AA773" cm="1">
        <f t="array" ref="AA773">IFERROR(AVERAGE(_xlfn._xlws.FILTER(S$2:S$1073,($C$2:$C$1073=$C773)*($E$2:$E$1073=$E773)*(ROW(S$2:S$1073)&lt;&gt;ROW(S773))*(S$2:S$1073&lt;&gt;""))),"")</f>
        <v>0.79975694618495274</v>
      </c>
      <c r="AB773" cm="1">
        <f t="array" ref="AB773">IFERROR(AVERAGE(_xlfn._xlws.FILTER(T$2:T$1073,($C$2:$C$1073=$C773)*($E$2:$E$1073=$E773)*(ROW(T$2:T$1073)&lt;&gt;ROW(T773))*(T$2:T$1073&lt;&gt;""))),"")</f>
        <v>0.34864704859118889</v>
      </c>
      <c r="AC773" cm="1">
        <f t="array" ref="AC773">IFERROR(AVERAGE(_xlfn._xlws.FILTER(U$2:U$1073,($C$2:$C$1073=$C773)*($E$2:$E$1073=$E773)*(ROW(U$2:U$1073)&lt;&gt;ROW(U773))*(U$2:U$1073&lt;&gt;""))),"")</f>
        <v>-58.279622636108527</v>
      </c>
      <c r="AD773" cm="1">
        <f t="array" ref="AD773">IFERROR(AVERAGE(_xlfn._xlws.FILTER(V$2:V$1073,($C$2:$C$1073=$C773)*($E$2:$E$1073=$E773)*(ROW(V$2:V$1073)&lt;&gt;ROW(V773))*(V$2:V$1073&lt;&gt;""))),"")</f>
        <v>0.72118797865619422</v>
      </c>
      <c r="AE773">
        <f>IF('Дивиденды по годам'!M773&lt;0,1,0)</f>
        <v>0</v>
      </c>
    </row>
    <row r="774" spans="1:31" x14ac:dyDescent="0.2">
      <c r="A774" s="7" t="s">
        <v>2275</v>
      </c>
      <c r="B774" t="str">
        <f t="shared" si="132"/>
        <v>CNRU IV кв. 2021</v>
      </c>
      <c r="C774">
        <v>2021</v>
      </c>
      <c r="D774">
        <f>SUMIFS(Дивиденды!$C:$C,Дивиденды!$A:$A,A774,Дивиденды!$I:$I,C774)</f>
        <v>0</v>
      </c>
      <c r="E774">
        <v>5</v>
      </c>
      <c r="F774">
        <f t="shared" si="133"/>
        <v>0</v>
      </c>
      <c r="G774">
        <f t="shared" si="134"/>
        <v>4.450909090909092</v>
      </c>
      <c r="H774">
        <f t="shared" si="135"/>
        <v>0</v>
      </c>
      <c r="I774">
        <f t="shared" si="136"/>
        <v>0.18181818181818182</v>
      </c>
      <c r="J774">
        <f t="shared" si="137"/>
        <v>0</v>
      </c>
      <c r="K774">
        <f t="shared" si="142"/>
        <v>1.4983788220808552E-2</v>
      </c>
      <c r="L774">
        <f t="shared" si="138"/>
        <v>0</v>
      </c>
      <c r="M774">
        <f t="shared" si="139"/>
        <v>9.0909090909090912E-2</v>
      </c>
      <c r="N774">
        <f t="shared" si="140"/>
        <v>0</v>
      </c>
      <c r="O774">
        <f t="shared" si="141"/>
        <v>9.0909090909090912E-2</v>
      </c>
      <c r="P774" t="str">
        <f>IFERROR(LN('Дивиденды по годам'!I774),"")</f>
        <v/>
      </c>
      <c r="Q774" t="str">
        <f>IFERROR('Дивиденды по годам'!G774/'Дивиденды по годам'!I774, "")</f>
        <v/>
      </c>
      <c r="R774" t="str">
        <f>IFERROR(IF(AND('Дивиденды по годам'!N774&lt;&gt;"",'Дивиденды по годам'!U774&lt;&gt;"",'Дивиденды по годам'!U774&lt;&gt;0),'Дивиденды по годам'!N774/'Дивиденды по годам'!U774-1,""),"")</f>
        <v/>
      </c>
      <c r="S774" t="str">
        <f>IFERROR(IF(AND('Дивиденды по годам'!L774&lt;&gt;"",'Дивиденды по годам'!I774&lt;&gt;"",'Дивиденды по годам'!J774&lt;&gt;"",'Дивиденды по годам'!K774&lt;&gt;"",('Дивиденды по годам'!I774-'Дивиденды по годам'!J774-'Дивиденды по годам'!K774)&lt;&gt;0),'Дивиденды по годам'!L774/('Дивиденды по годам'!I774-'Дивиденды по годам'!J774-'Дивиденды по годам'!K774),""),"")</f>
        <v/>
      </c>
      <c r="T774" t="str">
        <f>IFERROR(IF(AND('Дивиденды по годам'!Q774&lt;&gt;"",'Дивиденды по годам'!I774&lt;&gt;"",'Дивиденды по годам'!V774&lt;&gt;"",('Дивиденды по годам'!I774+'Дивиденды по годам'!V774)&lt;&gt;0),'Дивиденды по годам'!Q774/(('Дивиденды по годам'!I774+'Дивиденды по годам'!V774)/2),""),"")</f>
        <v/>
      </c>
      <c r="U774" t="str">
        <f>IFERROR(IF(AND('Дивиденды по годам'!J774&lt;&gt;"",'Дивиденды по годам'!K774&lt;&gt;"",'Дивиденды по годам'!M774&lt;&gt;"",'Дивиденды по годам'!M774&lt;&gt;0),('Дивиденды по годам'!J774+'Дивиденды по годам'!K774)/'Дивиденды по годам'!M774,""),"")</f>
        <v/>
      </c>
      <c r="V774" t="str">
        <f>IFERROR(IF(AND('Дивиденды по годам'!J774&lt;&gt;"",'Дивиденды по годам'!K774&lt;&gt;"",'Дивиденды по годам'!M774&lt;&gt;"",'Дивиденды по годам'!I774&lt;&gt;0),('Дивиденды по годам'!J774+'Дивиденды по годам'!K774)/'Дивиденды по годам'!I774,""),"")</f>
        <v/>
      </c>
      <c r="W774" t="str">
        <f>IFERROR('Дивиденды по годам'!I774,"")</f>
        <v/>
      </c>
      <c r="X774" cm="1">
        <f t="array" ref="X774">IFERROR(AVERAGE(_xlfn._xlws.FILTER(P$2:P$1073,($C$2:$C$1073=$C774)*($E$2:$E$1073=$E774)*(ROW(P$2:P$1073)&lt;&gt;ROW(P774))*(P$2:P$1073&lt;&gt;""))),"")</f>
        <v>24.814330558799487</v>
      </c>
      <c r="Y774" cm="1">
        <f t="array" ref="Y774">IFERROR(AVERAGE(_xlfn._xlws.FILTER(Q$2:Q$1073,($C$2:$C$1073=$C774)*($E$2:$E$1073=$E774)*(ROW(Q$2:Q$1073)&lt;&gt;ROW(Q774))*(Q$2:Q$1073&lt;&gt;""))),"")</f>
        <v>0.19534356994799099</v>
      </c>
      <c r="Z774" cm="1">
        <f t="array" ref="Z774">IFERROR(AVERAGE(_xlfn._xlws.FILTER(R$2:R$1073,($C$2:$C$1073=$C774)*($E$2:$E$1073=$E774)*(ROW(R$2:R$1073)&lt;&gt;ROW(R774))*(R$2:R$1073&lt;&gt;""))),"")</f>
        <v>9.4863731161179049E-2</v>
      </c>
      <c r="AA774" cm="1">
        <f t="array" ref="AA774">IFERROR(AVERAGE(_xlfn._xlws.FILTER(S$2:S$1073,($C$2:$C$1073=$C774)*($E$2:$E$1073=$E774)*(ROW(S$2:S$1073)&lt;&gt;ROW(S774))*(S$2:S$1073&lt;&gt;""))),"")</f>
        <v>1.8501010961498143</v>
      </c>
      <c r="AB774" cm="1">
        <f t="array" ref="AB774">IFERROR(AVERAGE(_xlfn._xlws.FILTER(T$2:T$1073,($C$2:$C$1073=$C774)*($E$2:$E$1073=$E774)*(ROW(T$2:T$1073)&lt;&gt;ROW(T774))*(T$2:T$1073&lt;&gt;""))),"")</f>
        <v>9.1596142313276091E-2</v>
      </c>
      <c r="AC774" cm="1">
        <f t="array" ref="AC774">IFERROR(AVERAGE(_xlfn._xlws.FILTER(U$2:U$1073,($C$2:$C$1073=$C774)*($E$2:$E$1073=$E774)*(ROW(U$2:U$1073)&lt;&gt;ROW(U774))*(U$2:U$1073&lt;&gt;""))),"")</f>
        <v>21.700846854369502</v>
      </c>
      <c r="AD774" cm="1">
        <f t="array" ref="AD774">IFERROR(AVERAGE(_xlfn._xlws.FILTER(V$2:V$1073,($C$2:$C$1073=$C774)*($E$2:$E$1073=$E774)*(ROW(V$2:V$1073)&lt;&gt;ROW(V774))*(V$2:V$1073&lt;&gt;""))),"")</f>
        <v>0.85910201160215871</v>
      </c>
      <c r="AE774">
        <f>IF('Дивиденды по годам'!M774&lt;0,1,0)</f>
        <v>0</v>
      </c>
    </row>
    <row r="775" spans="1:31" x14ac:dyDescent="0.2">
      <c r="A775" s="7" t="s">
        <v>2275</v>
      </c>
      <c r="B775" t="str">
        <f t="shared" si="132"/>
        <v>CNRU IV кв. 2020</v>
      </c>
      <c r="C775">
        <v>2020</v>
      </c>
      <c r="D775">
        <f>SUMIFS(Дивиденды!$C:$C,Дивиденды!$A:$A,A775,Дивиденды!$I:$I,C775)</f>
        <v>0</v>
      </c>
      <c r="E775">
        <v>5</v>
      </c>
      <c r="F775">
        <f t="shared" si="133"/>
        <v>0</v>
      </c>
      <c r="G775">
        <f t="shared" si="134"/>
        <v>3.6763636363636363</v>
      </c>
      <c r="H775">
        <f t="shared" si="135"/>
        <v>0</v>
      </c>
      <c r="I775">
        <f t="shared" si="136"/>
        <v>0.18181818181818182</v>
      </c>
      <c r="J775">
        <f t="shared" si="137"/>
        <v>0</v>
      </c>
      <c r="K775">
        <f t="shared" si="142"/>
        <v>-1.5101604278074872E-2</v>
      </c>
      <c r="L775">
        <f t="shared" si="138"/>
        <v>0</v>
      </c>
      <c r="M775">
        <f t="shared" si="139"/>
        <v>0</v>
      </c>
      <c r="N775">
        <f t="shared" si="140"/>
        <v>0</v>
      </c>
      <c r="O775">
        <f t="shared" si="141"/>
        <v>9.0909090909090912E-2</v>
      </c>
      <c r="P775" t="str">
        <f>IFERROR(LN('Дивиденды по годам'!I775),"")</f>
        <v/>
      </c>
      <c r="Q775" t="str">
        <f>IFERROR('Дивиденды по годам'!G775/'Дивиденды по годам'!I775, "")</f>
        <v/>
      </c>
      <c r="R775" t="str">
        <f>IFERROR(IF(AND('Дивиденды по годам'!N775&lt;&gt;"",'Дивиденды по годам'!U775&lt;&gt;"",'Дивиденды по годам'!U775&lt;&gt;0),'Дивиденды по годам'!N775/'Дивиденды по годам'!U775-1,""),"")</f>
        <v/>
      </c>
      <c r="S775" t="str">
        <f>IFERROR(IF(AND('Дивиденды по годам'!L775&lt;&gt;"",'Дивиденды по годам'!I775&lt;&gt;"",'Дивиденды по годам'!J775&lt;&gt;"",'Дивиденды по годам'!K775&lt;&gt;"",('Дивиденды по годам'!I775-'Дивиденды по годам'!J775-'Дивиденды по годам'!K775)&lt;&gt;0),'Дивиденды по годам'!L775/('Дивиденды по годам'!I775-'Дивиденды по годам'!J775-'Дивиденды по годам'!K775),""),"")</f>
        <v/>
      </c>
      <c r="T775" t="str">
        <f>IFERROR(IF(AND('Дивиденды по годам'!Q775&lt;&gt;"",'Дивиденды по годам'!I775&lt;&gt;"",'Дивиденды по годам'!V775&lt;&gt;"",('Дивиденды по годам'!I775+'Дивиденды по годам'!V775)&lt;&gt;0),'Дивиденды по годам'!Q775/(('Дивиденды по годам'!I775+'Дивиденды по годам'!V775)/2),""),"")</f>
        <v/>
      </c>
      <c r="U775" t="str">
        <f>IFERROR(IF(AND('Дивиденды по годам'!J775&lt;&gt;"",'Дивиденды по годам'!K775&lt;&gt;"",'Дивиденды по годам'!M775&lt;&gt;"",'Дивиденды по годам'!M775&lt;&gt;0),('Дивиденды по годам'!J775+'Дивиденды по годам'!K775)/'Дивиденды по годам'!M775,""),"")</f>
        <v/>
      </c>
      <c r="V775" t="str">
        <f>IFERROR(IF(AND('Дивиденды по годам'!J775&lt;&gt;"",'Дивиденды по годам'!K775&lt;&gt;"",'Дивиденды по годам'!M775&lt;&gt;"",'Дивиденды по годам'!I775&lt;&gt;0),('Дивиденды по годам'!J775+'Дивиденды по годам'!K775)/'Дивиденды по годам'!I775,""),"")</f>
        <v/>
      </c>
      <c r="W775" t="str">
        <f>IFERROR('Дивиденды по годам'!I775,"")</f>
        <v/>
      </c>
      <c r="X775" cm="1">
        <f t="array" ref="X775">IFERROR(AVERAGE(_xlfn._xlws.FILTER(P$2:P$1073,($C$2:$C$1073=$C775)*($E$2:$E$1073=$E775)*(ROW(P$2:P$1073)&lt;&gt;ROW(P775))*(P$2:P$1073&lt;&gt;""))),"")</f>
        <v>25.49408392578281</v>
      </c>
      <c r="Y775" cm="1">
        <f t="array" ref="Y775">IFERROR(AVERAGE(_xlfn._xlws.FILTER(Q$2:Q$1073,($C$2:$C$1073=$C775)*($E$2:$E$1073=$E775)*(ROW(Q$2:Q$1073)&lt;&gt;ROW(Q775))*(Q$2:Q$1073&lt;&gt;""))),"")</f>
        <v>0.23831030393306155</v>
      </c>
      <c r="Z775" cm="1">
        <f t="array" ref="Z775">IFERROR(AVERAGE(_xlfn._xlws.FILTER(R$2:R$1073,($C$2:$C$1073=$C775)*($E$2:$E$1073=$E775)*(ROW(R$2:R$1073)&lt;&gt;ROW(R775))*(R$2:R$1073&lt;&gt;""))),"")</f>
        <v>0.42097945466997094</v>
      </c>
      <c r="AA775" cm="1">
        <f t="array" ref="AA775">IFERROR(AVERAGE(_xlfn._xlws.FILTER(S$2:S$1073,($C$2:$C$1073=$C775)*($E$2:$E$1073=$E775)*(ROW(S$2:S$1073)&lt;&gt;ROW(S775))*(S$2:S$1073&lt;&gt;""))),"")</f>
        <v>1.383012856761217</v>
      </c>
      <c r="AB775" cm="1">
        <f t="array" ref="AB775">IFERROR(AVERAGE(_xlfn._xlws.FILTER(T$2:T$1073,($C$2:$C$1073=$C775)*($E$2:$E$1073=$E775)*(ROW(T$2:T$1073)&lt;&gt;ROW(T775))*(T$2:T$1073&lt;&gt;""))),"")</f>
        <v>0.12042080749921591</v>
      </c>
      <c r="AC775" cm="1">
        <f t="array" ref="AC775">IFERROR(AVERAGE(_xlfn._xlws.FILTER(U$2:U$1073,($C$2:$C$1073=$C775)*($E$2:$E$1073=$E775)*(ROW(U$2:U$1073)&lt;&gt;ROW(U775))*(U$2:U$1073&lt;&gt;""))),"")</f>
        <v>9.6677963358881698</v>
      </c>
      <c r="AD775" cm="1">
        <f t="array" ref="AD775">IFERROR(AVERAGE(_xlfn._xlws.FILTER(V$2:V$1073,($C$2:$C$1073=$C775)*($E$2:$E$1073=$E775)*(ROW(V$2:V$1073)&lt;&gt;ROW(V775))*(V$2:V$1073&lt;&gt;""))),"")</f>
        <v>0.80624783688388657</v>
      </c>
      <c r="AE775">
        <f>IF('Дивиденды по годам'!M775&lt;0,1,0)</f>
        <v>0</v>
      </c>
    </row>
    <row r="776" spans="1:31" x14ac:dyDescent="0.2">
      <c r="A776" s="7" t="s">
        <v>2275</v>
      </c>
      <c r="B776" t="str">
        <f t="shared" si="132"/>
        <v>CNRU IV кв. 2019</v>
      </c>
      <c r="C776">
        <v>2019</v>
      </c>
      <c r="D776">
        <f>SUMIFS(Дивиденды!$C:$C,Дивиденды!$A:$A,A776,Дивиденды!$I:$I,C776)</f>
        <v>0</v>
      </c>
      <c r="E776">
        <v>5</v>
      </c>
      <c r="F776">
        <f t="shared" si="133"/>
        <v>0</v>
      </c>
      <c r="G776">
        <f t="shared" si="134"/>
        <v>4.3181818181818183</v>
      </c>
      <c r="H776">
        <f t="shared" si="135"/>
        <v>0</v>
      </c>
      <c r="I776">
        <f t="shared" si="136"/>
        <v>0.18181818181818182</v>
      </c>
      <c r="J776">
        <f t="shared" si="137"/>
        <v>0</v>
      </c>
      <c r="K776">
        <f t="shared" si="142"/>
        <v>8.0199694017231649E-2</v>
      </c>
      <c r="L776">
        <f t="shared" si="138"/>
        <v>0</v>
      </c>
      <c r="M776">
        <f t="shared" si="139"/>
        <v>9.0909090909090912E-2</v>
      </c>
      <c r="N776">
        <f t="shared" si="140"/>
        <v>0</v>
      </c>
      <c r="O776">
        <f t="shared" si="141"/>
        <v>0</v>
      </c>
      <c r="P776" t="str">
        <f>IFERROR(LN('Дивиденды по годам'!I776),"")</f>
        <v/>
      </c>
      <c r="Q776" t="str">
        <f>IFERROR('Дивиденды по годам'!G776/'Дивиденды по годам'!I776, "")</f>
        <v/>
      </c>
      <c r="R776" t="str">
        <f>IFERROR(IF(AND('Дивиденды по годам'!N776&lt;&gt;"",'Дивиденды по годам'!U776&lt;&gt;"",'Дивиденды по годам'!U776&lt;&gt;0),'Дивиденды по годам'!N776/'Дивиденды по годам'!U776-1,""),"")</f>
        <v/>
      </c>
      <c r="S776" t="str">
        <f>IFERROR(IF(AND('Дивиденды по годам'!L776&lt;&gt;"",'Дивиденды по годам'!I776&lt;&gt;"",'Дивиденды по годам'!J776&lt;&gt;"",'Дивиденды по годам'!K776&lt;&gt;"",('Дивиденды по годам'!I776-'Дивиденды по годам'!J776-'Дивиденды по годам'!K776)&lt;&gt;0),'Дивиденды по годам'!L776/('Дивиденды по годам'!I776-'Дивиденды по годам'!J776-'Дивиденды по годам'!K776),""),"")</f>
        <v/>
      </c>
      <c r="T776" t="str">
        <f>IFERROR(IF(AND('Дивиденды по годам'!Q776&lt;&gt;"",'Дивиденды по годам'!I776&lt;&gt;"",'Дивиденды по годам'!V776&lt;&gt;"",('Дивиденды по годам'!I776+'Дивиденды по годам'!V776)&lt;&gt;0),'Дивиденды по годам'!Q776/(('Дивиденды по годам'!I776+'Дивиденды по годам'!V776)/2),""),"")</f>
        <v/>
      </c>
      <c r="U776" t="str">
        <f>IFERROR(IF(AND('Дивиденды по годам'!J776&lt;&gt;"",'Дивиденды по годам'!K776&lt;&gt;"",'Дивиденды по годам'!M776&lt;&gt;"",'Дивиденды по годам'!M776&lt;&gt;0),('Дивиденды по годам'!J776+'Дивиденды по годам'!K776)/'Дивиденды по годам'!M776,""),"")</f>
        <v/>
      </c>
      <c r="V776" t="str">
        <f>IFERROR(IF(AND('Дивиденды по годам'!J776&lt;&gt;"",'Дивиденды по годам'!K776&lt;&gt;"",'Дивиденды по годам'!M776&lt;&gt;"",'Дивиденды по годам'!I776&lt;&gt;0),('Дивиденды по годам'!J776+'Дивиденды по годам'!K776)/'Дивиденды по годам'!I776,""),"")</f>
        <v/>
      </c>
      <c r="W776" t="str">
        <f>IFERROR('Дивиденды по годам'!I776,"")</f>
        <v/>
      </c>
      <c r="X776" cm="1">
        <f t="array" ref="X776">IFERROR(AVERAGE(_xlfn._xlws.FILTER(P$2:P$1073,($C$2:$C$1073=$C776)*($E$2:$E$1073=$E776)*(ROW(P$2:P$1073)&lt;&gt;ROW(P776))*(P$2:P$1073&lt;&gt;""))),"")</f>
        <v>25.699366278152379</v>
      </c>
      <c r="Y776" cm="1">
        <f t="array" ref="Y776">IFERROR(AVERAGE(_xlfn._xlws.FILTER(Q$2:Q$1073,($C$2:$C$1073=$C776)*($E$2:$E$1073=$E776)*(ROW(Q$2:Q$1073)&lt;&gt;ROW(Q776))*(Q$2:Q$1073&lt;&gt;""))),"")</f>
        <v>0.31619951047208333</v>
      </c>
      <c r="Z776" cm="1">
        <f t="array" ref="Z776">IFERROR(AVERAGE(_xlfn._xlws.FILTER(R$2:R$1073,($C$2:$C$1073=$C776)*($E$2:$E$1073=$E776)*(ROW(R$2:R$1073)&lt;&gt;ROW(R776))*(R$2:R$1073&lt;&gt;""))),"")</f>
        <v>0.12795723906733225</v>
      </c>
      <c r="AA776" cm="1">
        <f t="array" ref="AA776">IFERROR(AVERAGE(_xlfn._xlws.FILTER(S$2:S$1073,($C$2:$C$1073=$C776)*($E$2:$E$1073=$E776)*(ROW(S$2:S$1073)&lt;&gt;ROW(S776))*(S$2:S$1073&lt;&gt;""))),"")</f>
        <v>1.4981608959410444</v>
      </c>
      <c r="AB776" cm="1">
        <f t="array" ref="AB776">IFERROR(AVERAGE(_xlfn._xlws.FILTER(T$2:T$1073,($C$2:$C$1073=$C776)*($E$2:$E$1073=$E776)*(ROW(T$2:T$1073)&lt;&gt;ROW(T776))*(T$2:T$1073&lt;&gt;""))),"")</f>
        <v>4.0595347592911959E-2</v>
      </c>
      <c r="AC776" cm="1">
        <f t="array" ref="AC776">IFERROR(AVERAGE(_xlfn._xlws.FILTER(U$2:U$1073,($C$2:$C$1073=$C776)*($E$2:$E$1073=$E776)*(ROW(U$2:U$1073)&lt;&gt;ROW(U776))*(U$2:U$1073&lt;&gt;""))),"")</f>
        <v>9.1460847128214748</v>
      </c>
      <c r="AD776" cm="1">
        <f t="array" ref="AD776">IFERROR(AVERAGE(_xlfn._xlws.FILTER(V$2:V$1073,($C$2:$C$1073=$C776)*($E$2:$E$1073=$E776)*(ROW(V$2:V$1073)&lt;&gt;ROW(V776))*(V$2:V$1073&lt;&gt;""))),"")</f>
        <v>0.79889661521769517</v>
      </c>
      <c r="AE776">
        <f>IF('Дивиденды по годам'!M776&lt;0,1,0)</f>
        <v>0</v>
      </c>
    </row>
    <row r="777" spans="1:31" x14ac:dyDescent="0.2">
      <c r="A777" s="7" t="s">
        <v>2275</v>
      </c>
      <c r="B777" t="str">
        <f t="shared" si="132"/>
        <v>CNRU IV кв. 2018</v>
      </c>
      <c r="C777">
        <v>2018</v>
      </c>
      <c r="D777">
        <f>SUMIFS(Дивиденды!$C:$C,Дивиденды!$A:$A,A777,Дивиденды!$I:$I,C777)</f>
        <v>0</v>
      </c>
      <c r="E777">
        <v>5</v>
      </c>
      <c r="F777">
        <f t="shared" si="133"/>
        <v>0</v>
      </c>
      <c r="G777">
        <f t="shared" si="134"/>
        <v>2.5072727272727273</v>
      </c>
      <c r="H777">
        <f t="shared" si="135"/>
        <v>0</v>
      </c>
      <c r="I777">
        <f t="shared" si="136"/>
        <v>0.18181818181818182</v>
      </c>
      <c r="J777">
        <f t="shared" si="137"/>
        <v>0</v>
      </c>
      <c r="K777">
        <f t="shared" si="142"/>
        <v>-3.1077604801900294E-2</v>
      </c>
      <c r="L777">
        <f t="shared" si="138"/>
        <v>0</v>
      </c>
      <c r="M777">
        <f t="shared" si="139"/>
        <v>0</v>
      </c>
      <c r="N777">
        <f t="shared" si="140"/>
        <v>0</v>
      </c>
      <c r="O777">
        <f t="shared" si="141"/>
        <v>0.18181818181818182</v>
      </c>
      <c r="P777" t="str">
        <f>IFERROR(LN('Дивиденды по годам'!I777),"")</f>
        <v/>
      </c>
      <c r="Q777" t="str">
        <f>IFERROR('Дивиденды по годам'!G777/'Дивиденды по годам'!I777, "")</f>
        <v/>
      </c>
      <c r="R777" t="str">
        <f>IFERROR(IF(AND('Дивиденды по годам'!N777&lt;&gt;"",'Дивиденды по годам'!U777&lt;&gt;"",'Дивиденды по годам'!U777&lt;&gt;0),'Дивиденды по годам'!N777/'Дивиденды по годам'!U777-1,""),"")</f>
        <v/>
      </c>
      <c r="S777" t="str">
        <f>IFERROR(IF(AND('Дивиденды по годам'!L777&lt;&gt;"",'Дивиденды по годам'!I777&lt;&gt;"",'Дивиденды по годам'!J777&lt;&gt;"",'Дивиденды по годам'!K777&lt;&gt;"",('Дивиденды по годам'!I777-'Дивиденды по годам'!J777-'Дивиденды по годам'!K777)&lt;&gt;0),'Дивиденды по годам'!L777/('Дивиденды по годам'!I777-'Дивиденды по годам'!J777-'Дивиденды по годам'!K777),""),"")</f>
        <v/>
      </c>
      <c r="T777" t="str">
        <f>IFERROR(IF(AND('Дивиденды по годам'!Q777&lt;&gt;"",'Дивиденды по годам'!I777&lt;&gt;"",'Дивиденды по годам'!V777&lt;&gt;"",('Дивиденды по годам'!I777+'Дивиденды по годам'!V777)&lt;&gt;0),'Дивиденды по годам'!Q777/(('Дивиденды по годам'!I777+'Дивиденды по годам'!V777)/2),""),"")</f>
        <v/>
      </c>
      <c r="U777" t="str">
        <f>IFERROR(IF(AND('Дивиденды по годам'!J777&lt;&gt;"",'Дивиденды по годам'!K777&lt;&gt;"",'Дивиденды по годам'!M777&lt;&gt;"",'Дивиденды по годам'!M777&lt;&gt;0),('Дивиденды по годам'!J777+'Дивиденды по годам'!K777)/'Дивиденды по годам'!M777,""),"")</f>
        <v/>
      </c>
      <c r="V777" t="str">
        <f>IFERROR(IF(AND('Дивиденды по годам'!J777&lt;&gt;"",'Дивиденды по годам'!K777&lt;&gt;"",'Дивиденды по годам'!M777&lt;&gt;"",'Дивиденды по годам'!I777&lt;&gt;0),('Дивиденды по годам'!J777+'Дивиденды по годам'!K777)/'Дивиденды по годам'!I777,""),"")</f>
        <v/>
      </c>
      <c r="W777" t="str">
        <f>IFERROR('Дивиденды по годам'!I777,"")</f>
        <v/>
      </c>
      <c r="X777" cm="1">
        <f t="array" ref="X777">IFERROR(AVERAGE(_xlfn._xlws.FILTER(P$2:P$1073,($C$2:$C$1073=$C777)*($E$2:$E$1073=$E777)*(ROW(P$2:P$1073)&lt;&gt;ROW(P777))*(P$2:P$1073&lt;&gt;""))),"")</f>
        <v>25.637034616478129</v>
      </c>
      <c r="Y777" cm="1">
        <f t="array" ref="Y777">IFERROR(AVERAGE(_xlfn._xlws.FILTER(Q$2:Q$1073,($C$2:$C$1073=$C777)*($E$2:$E$1073=$E777)*(ROW(Q$2:Q$1073)&lt;&gt;ROW(Q777))*(Q$2:Q$1073&lt;&gt;""))),"")</f>
        <v>0.32011777323711499</v>
      </c>
      <c r="Z777" cm="1">
        <f t="array" ref="Z777">IFERROR(AVERAGE(_xlfn._xlws.FILTER(R$2:R$1073,($C$2:$C$1073=$C777)*($E$2:$E$1073=$E777)*(ROW(R$2:R$1073)&lt;&gt;ROW(R777))*(R$2:R$1073&lt;&gt;""))),"")</f>
        <v>6.6616637147635549E-2</v>
      </c>
      <c r="AA777" cm="1">
        <f t="array" ref="AA777">IFERROR(AVERAGE(_xlfn._xlws.FILTER(S$2:S$1073,($C$2:$C$1073=$C777)*($E$2:$E$1073=$E777)*(ROW(S$2:S$1073)&lt;&gt;ROW(S777))*(S$2:S$1073&lt;&gt;""))),"")</f>
        <v>1.205409029032207</v>
      </c>
      <c r="AB777" cm="1">
        <f t="array" ref="AB777">IFERROR(AVERAGE(_xlfn._xlws.FILTER(T$2:T$1073,($C$2:$C$1073=$C777)*($E$2:$E$1073=$E777)*(ROW(T$2:T$1073)&lt;&gt;ROW(T777))*(T$2:T$1073&lt;&gt;""))),"")</f>
        <v>1.7776057117292479E-2</v>
      </c>
      <c r="AC777" cm="1">
        <f t="array" ref="AC777">IFERROR(AVERAGE(_xlfn._xlws.FILTER(U$2:U$1073,($C$2:$C$1073=$C777)*($E$2:$E$1073=$E777)*(ROW(U$2:U$1073)&lt;&gt;ROW(U777))*(U$2:U$1073&lt;&gt;""))),"")</f>
        <v>5.4697894468760913</v>
      </c>
      <c r="AD777" cm="1">
        <f t="array" ref="AD777">IFERROR(AVERAGE(_xlfn._xlws.FILTER(V$2:V$1073,($C$2:$C$1073=$C777)*($E$2:$E$1073=$E777)*(ROW(V$2:V$1073)&lt;&gt;ROW(V777))*(V$2:V$1073&lt;&gt;""))),"")</f>
        <v>0.7760719948431295</v>
      </c>
      <c r="AE777">
        <f>IF('Дивиденды по годам'!M777&lt;0,1,0)</f>
        <v>0</v>
      </c>
    </row>
    <row r="778" spans="1:31" x14ac:dyDescent="0.2">
      <c r="A778" s="7" t="s">
        <v>2275</v>
      </c>
      <c r="B778" t="str">
        <f t="shared" si="132"/>
        <v>CNRU IV кв. 2017</v>
      </c>
      <c r="C778">
        <v>2017</v>
      </c>
      <c r="D778">
        <f>SUMIFS(Дивиденды!$C:$C,Дивиденды!$A:$A,A778,Дивиденды!$I:$I,C778)</f>
        <v>0</v>
      </c>
      <c r="E778">
        <v>5</v>
      </c>
      <c r="F778">
        <f t="shared" si="133"/>
        <v>0</v>
      </c>
      <c r="G778">
        <f t="shared" si="134"/>
        <v>3.5318181818181813</v>
      </c>
      <c r="H778">
        <f t="shared" si="135"/>
        <v>0</v>
      </c>
      <c r="I778">
        <f t="shared" si="136"/>
        <v>0.18181818181818182</v>
      </c>
      <c r="J778">
        <f t="shared" si="137"/>
        <v>0</v>
      </c>
      <c r="K778">
        <f t="shared" si="142"/>
        <v>1.4727433992836941E-2</v>
      </c>
      <c r="L778">
        <f t="shared" si="138"/>
        <v>0</v>
      </c>
      <c r="M778">
        <f t="shared" si="139"/>
        <v>9.0909090909090912E-2</v>
      </c>
      <c r="N778">
        <f t="shared" si="140"/>
        <v>0</v>
      </c>
      <c r="O778">
        <f t="shared" si="141"/>
        <v>9.0909090909090912E-2</v>
      </c>
      <c r="P778" t="str">
        <f>IFERROR(LN('Дивиденды по годам'!I778),"")</f>
        <v/>
      </c>
      <c r="Q778" t="str">
        <f>IFERROR('Дивиденды по годам'!G778/'Дивиденды по годам'!I778, "")</f>
        <v/>
      </c>
      <c r="R778" t="str">
        <f>IFERROR(IF(AND('Дивиденды по годам'!N778&lt;&gt;"",'Дивиденды по годам'!U778&lt;&gt;"",'Дивиденды по годам'!U778&lt;&gt;0),'Дивиденды по годам'!N778/'Дивиденды по годам'!U778-1,""),"")</f>
        <v/>
      </c>
      <c r="S778" t="str">
        <f>IFERROR(IF(AND('Дивиденды по годам'!L778&lt;&gt;"",'Дивиденды по годам'!I778&lt;&gt;"",'Дивиденды по годам'!J778&lt;&gt;"",'Дивиденды по годам'!K778&lt;&gt;"",('Дивиденды по годам'!I778-'Дивиденды по годам'!J778-'Дивиденды по годам'!K778)&lt;&gt;0),'Дивиденды по годам'!L778/('Дивиденды по годам'!I778-'Дивиденды по годам'!J778-'Дивиденды по годам'!K778),""),"")</f>
        <v/>
      </c>
      <c r="T778" t="str">
        <f>IFERROR(IF(AND('Дивиденды по годам'!Q778&lt;&gt;"",'Дивиденды по годам'!I778&lt;&gt;"",'Дивиденды по годам'!V778&lt;&gt;"",('Дивиденды по годам'!I778+'Дивиденды по годам'!V778)&lt;&gt;0),'Дивиденды по годам'!Q778/(('Дивиденды по годам'!I778+'Дивиденды по годам'!V778)/2),""),"")</f>
        <v/>
      </c>
      <c r="U778" t="str">
        <f>IFERROR(IF(AND('Дивиденды по годам'!J778&lt;&gt;"",'Дивиденды по годам'!K778&lt;&gt;"",'Дивиденды по годам'!M778&lt;&gt;"",'Дивиденды по годам'!M778&lt;&gt;0),('Дивиденды по годам'!J778+'Дивиденды по годам'!K778)/'Дивиденды по годам'!M778,""),"")</f>
        <v/>
      </c>
      <c r="V778" t="str">
        <f>IFERROR(IF(AND('Дивиденды по годам'!J778&lt;&gt;"",'Дивиденды по годам'!K778&lt;&gt;"",'Дивиденды по годам'!M778&lt;&gt;"",'Дивиденды по годам'!I778&lt;&gt;0),('Дивиденды по годам'!J778+'Дивиденды по годам'!K778)/'Дивиденды по годам'!I778,""),"")</f>
        <v/>
      </c>
      <c r="W778" t="str">
        <f>IFERROR('Дивиденды по годам'!I778,"")</f>
        <v/>
      </c>
      <c r="X778" cm="1">
        <f t="array" ref="X778">IFERROR(AVERAGE(_xlfn._xlws.FILTER(P$2:P$1073,($C$2:$C$1073=$C778)*($E$2:$E$1073=$E778)*(ROW(P$2:P$1073)&lt;&gt;ROW(P778))*(P$2:P$1073&lt;&gt;""))),"")</f>
        <v>27.043369572715513</v>
      </c>
      <c r="Y778" cm="1">
        <f t="array" ref="Y778">IFERROR(AVERAGE(_xlfn._xlws.FILTER(Q$2:Q$1073,($C$2:$C$1073=$C778)*($E$2:$E$1073=$E778)*(ROW(Q$2:Q$1073)&lt;&gt;ROW(Q778))*(Q$2:Q$1073&lt;&gt;""))),"")</f>
        <v>0.54965488260857309</v>
      </c>
      <c r="Z778" cm="1">
        <f t="array" ref="Z778">IFERROR(AVERAGE(_xlfn._xlws.FILTER(R$2:R$1073,($C$2:$C$1073=$C778)*($E$2:$E$1073=$E778)*(ROW(R$2:R$1073)&lt;&gt;ROW(R778))*(R$2:R$1073&lt;&gt;""))),"")</f>
        <v>2.1535666839189949E-2</v>
      </c>
      <c r="AA778" cm="1">
        <f t="array" ref="AA778">IFERROR(AVERAGE(_xlfn._xlws.FILTER(S$2:S$1073,($C$2:$C$1073=$C778)*($E$2:$E$1073=$E778)*(ROW(S$2:S$1073)&lt;&gt;ROW(S778))*(S$2:S$1073&lt;&gt;""))),"")</f>
        <v>1.232616052553424</v>
      </c>
      <c r="AB778" cm="1">
        <f t="array" ref="AB778">IFERROR(AVERAGE(_xlfn._xlws.FILTER(T$2:T$1073,($C$2:$C$1073=$C778)*($E$2:$E$1073=$E778)*(ROW(T$2:T$1073)&lt;&gt;ROW(T778))*(T$2:T$1073&lt;&gt;""))),"")</f>
        <v>6.4245501476224237E-2</v>
      </c>
      <c r="AC778" cm="1">
        <f t="array" ref="AC778">IFERROR(AVERAGE(_xlfn._xlws.FILTER(U$2:U$1073,($C$2:$C$1073=$C778)*($E$2:$E$1073=$E778)*(ROW(U$2:U$1073)&lt;&gt;ROW(U778))*(U$2:U$1073&lt;&gt;""))),"")</f>
        <v>2.3417046689252397</v>
      </c>
      <c r="AD778" cm="1">
        <f t="array" ref="AD778">IFERROR(AVERAGE(_xlfn._xlws.FILTER(V$2:V$1073,($C$2:$C$1073=$C778)*($E$2:$E$1073=$E778)*(ROW(V$2:V$1073)&lt;&gt;ROW(V778))*(V$2:V$1073&lt;&gt;""))),"")</f>
        <v>0.66475018615672188</v>
      </c>
      <c r="AE778">
        <f>IF('Дивиденды по годам'!M778&lt;0,1,0)</f>
        <v>0</v>
      </c>
    </row>
    <row r="779" spans="1:31" x14ac:dyDescent="0.2">
      <c r="A779" s="7" t="s">
        <v>2275</v>
      </c>
      <c r="B779" t="str">
        <f t="shared" si="132"/>
        <v>CNRU IV кв. 2016</v>
      </c>
      <c r="C779">
        <v>2016</v>
      </c>
      <c r="D779">
        <f>SUMIFS(Дивиденды!$C:$C,Дивиденды!$A:$A,A779,Дивиденды!$I:$I,C779)</f>
        <v>0</v>
      </c>
      <c r="E779">
        <v>5</v>
      </c>
      <c r="F779">
        <f t="shared" si="133"/>
        <v>0</v>
      </c>
      <c r="G779">
        <f t="shared" si="134"/>
        <v>2.9981818181818181</v>
      </c>
      <c r="H779">
        <f t="shared" si="135"/>
        <v>0</v>
      </c>
      <c r="I779">
        <f t="shared" si="136"/>
        <v>0.18181818181818182</v>
      </c>
      <c r="J779">
        <f t="shared" si="137"/>
        <v>0</v>
      </c>
      <c r="K779">
        <f t="shared" si="142"/>
        <v>2.8790101611202514E-2</v>
      </c>
      <c r="L779">
        <f t="shared" si="138"/>
        <v>0</v>
      </c>
      <c r="M779">
        <f t="shared" si="139"/>
        <v>9.0909090909090912E-2</v>
      </c>
      <c r="N779">
        <f t="shared" si="140"/>
        <v>0</v>
      </c>
      <c r="O779">
        <f t="shared" si="141"/>
        <v>9.0909090909090912E-2</v>
      </c>
      <c r="P779" t="str">
        <f>IFERROR(LN('Дивиденды по годам'!I779),"")</f>
        <v/>
      </c>
      <c r="Q779" t="str">
        <f>IFERROR('Дивиденды по годам'!G779/'Дивиденды по годам'!I779, "")</f>
        <v/>
      </c>
      <c r="R779" t="str">
        <f>IFERROR(IF(AND('Дивиденды по годам'!N779&lt;&gt;"",'Дивиденды по годам'!U779&lt;&gt;"",'Дивиденды по годам'!U779&lt;&gt;0),'Дивиденды по годам'!N779/'Дивиденды по годам'!U779-1,""),"")</f>
        <v/>
      </c>
      <c r="S779" t="str">
        <f>IFERROR(IF(AND('Дивиденды по годам'!L779&lt;&gt;"",'Дивиденды по годам'!I779&lt;&gt;"",'Дивиденды по годам'!J779&lt;&gt;"",'Дивиденды по годам'!K779&lt;&gt;"",('Дивиденды по годам'!I779-'Дивиденды по годам'!J779-'Дивиденды по годам'!K779)&lt;&gt;0),'Дивиденды по годам'!L779/('Дивиденды по годам'!I779-'Дивиденды по годам'!J779-'Дивиденды по годам'!K779),""),"")</f>
        <v/>
      </c>
      <c r="T779" t="str">
        <f>IFERROR(IF(AND('Дивиденды по годам'!Q779&lt;&gt;"",'Дивиденды по годам'!I779&lt;&gt;"",'Дивиденды по годам'!V779&lt;&gt;"",('Дивиденды по годам'!I779+'Дивиденды по годам'!V779)&lt;&gt;0),'Дивиденды по годам'!Q779/(('Дивиденды по годам'!I779+'Дивиденды по годам'!V779)/2),""),"")</f>
        <v/>
      </c>
      <c r="U779" t="str">
        <f>IFERROR(IF(AND('Дивиденды по годам'!J779&lt;&gt;"",'Дивиденды по годам'!K779&lt;&gt;"",'Дивиденды по годам'!M779&lt;&gt;"",'Дивиденды по годам'!M779&lt;&gt;0),('Дивиденды по годам'!J779+'Дивиденды по годам'!K779)/'Дивиденды по годам'!M779,""),"")</f>
        <v/>
      </c>
      <c r="V779" t="str">
        <f>IFERROR(IF(AND('Дивиденды по годам'!J779&lt;&gt;"",'Дивиденды по годам'!K779&lt;&gt;"",'Дивиденды по годам'!M779&lt;&gt;"",'Дивиденды по годам'!I779&lt;&gt;0),('Дивиденды по годам'!J779+'Дивиденды по годам'!K779)/'Дивиденды по годам'!I779,""),"")</f>
        <v/>
      </c>
      <c r="W779" t="str">
        <f>IFERROR('Дивиденды по годам'!I779,"")</f>
        <v/>
      </c>
      <c r="X779" cm="1">
        <f t="array" ref="X779">IFERROR(AVERAGE(_xlfn._xlws.FILTER(P$2:P$1073,($C$2:$C$1073=$C779)*($E$2:$E$1073=$E779)*(ROW(P$2:P$1073)&lt;&gt;ROW(P779))*(P$2:P$1073&lt;&gt;""))),"")</f>
        <v>27.033270353256157</v>
      </c>
      <c r="Y779" cm="1">
        <f t="array" ref="Y779">IFERROR(AVERAGE(_xlfn._xlws.FILTER(Q$2:Q$1073,($C$2:$C$1073=$C779)*($E$2:$E$1073=$E779)*(ROW(Q$2:Q$1073)&lt;&gt;ROW(Q779))*(Q$2:Q$1073&lt;&gt;""))),"")</f>
        <v>0.55978642376097965</v>
      </c>
      <c r="Z779" cm="1">
        <f t="array" ref="Z779">IFERROR(AVERAGE(_xlfn._xlws.FILTER(R$2:R$1073,($C$2:$C$1073=$C779)*($E$2:$E$1073=$E779)*(ROW(R$2:R$1073)&lt;&gt;ROW(R779))*(R$2:R$1073&lt;&gt;""))),"")</f>
        <v>5.3242460909894707E-3</v>
      </c>
      <c r="AA779" cm="1">
        <f t="array" ref="AA779">IFERROR(AVERAGE(_xlfn._xlws.FILTER(S$2:S$1073,($C$2:$C$1073=$C779)*($E$2:$E$1073=$E779)*(ROW(S$2:S$1073)&lt;&gt;ROW(S779))*(S$2:S$1073&lt;&gt;""))),"")</f>
        <v>1.1315702315112175</v>
      </c>
      <c r="AB779" cm="1">
        <f t="array" ref="AB779">IFERROR(AVERAGE(_xlfn._xlws.FILTER(T$2:T$1073,($C$2:$C$1073=$C779)*($E$2:$E$1073=$E779)*(ROW(T$2:T$1073)&lt;&gt;ROW(T779))*(T$2:T$1073&lt;&gt;""))),"")</f>
        <v>5.4869409864042928E-2</v>
      </c>
      <c r="AC779" cm="1">
        <f t="array" ref="AC779">IFERROR(AVERAGE(_xlfn._xlws.FILTER(U$2:U$1073,($C$2:$C$1073=$C779)*($E$2:$E$1073=$E779)*(ROW(U$2:U$1073)&lt;&gt;ROW(U779))*(U$2:U$1073&lt;&gt;""))),"")</f>
        <v>2.0086781177717459</v>
      </c>
      <c r="AD779" cm="1">
        <f t="array" ref="AD779">IFERROR(AVERAGE(_xlfn._xlws.FILTER(V$2:V$1073,($C$2:$C$1073=$C779)*($E$2:$E$1073=$E779)*(ROW(V$2:V$1073)&lt;&gt;ROW(V779))*(V$2:V$1073&lt;&gt;""))),"")</f>
        <v>0.64409028041831262</v>
      </c>
      <c r="AE779">
        <f>IF('Дивиденды по годам'!M779&lt;0,1,0)</f>
        <v>0</v>
      </c>
    </row>
    <row r="780" spans="1:31" x14ac:dyDescent="0.2">
      <c r="A780" s="7" t="s">
        <v>2275</v>
      </c>
      <c r="B780" t="str">
        <f t="shared" si="132"/>
        <v>CNRU IV кв. 2015</v>
      </c>
      <c r="C780">
        <v>2015</v>
      </c>
      <c r="D780">
        <f>SUMIFS(Дивиденды!$C:$C,Дивиденды!$A:$A,A780,Дивиденды!$I:$I,C780)</f>
        <v>0</v>
      </c>
      <c r="E780">
        <v>5</v>
      </c>
      <c r="F780">
        <f t="shared" si="133"/>
        <v>0</v>
      </c>
      <c r="G780">
        <f t="shared" si="134"/>
        <v>2.3218181818181818</v>
      </c>
      <c r="H780">
        <f t="shared" si="135"/>
        <v>0</v>
      </c>
      <c r="I780">
        <f t="shared" si="136"/>
        <v>0.18181818181818182</v>
      </c>
      <c r="J780">
        <f t="shared" si="137"/>
        <v>0</v>
      </c>
      <c r="K780">
        <f t="shared" si="142"/>
        <v>4.855464114120716E-2</v>
      </c>
      <c r="L780">
        <f t="shared" si="138"/>
        <v>0</v>
      </c>
      <c r="M780">
        <f t="shared" si="139"/>
        <v>9.0909090909090912E-2</v>
      </c>
      <c r="N780">
        <f t="shared" si="140"/>
        <v>0</v>
      </c>
      <c r="O780">
        <f t="shared" si="141"/>
        <v>9.0909090909090912E-2</v>
      </c>
      <c r="P780" t="str">
        <f>IFERROR(LN('Дивиденды по годам'!I780),"")</f>
        <v/>
      </c>
      <c r="Q780" t="str">
        <f>IFERROR('Дивиденды по годам'!G780/'Дивиденды по годам'!I780, "")</f>
        <v/>
      </c>
      <c r="R780" t="str">
        <f>IFERROR(IF(AND('Дивиденды по годам'!N780&lt;&gt;"",'Дивиденды по годам'!U780&lt;&gt;"",'Дивиденды по годам'!U780&lt;&gt;0),'Дивиденды по годам'!N780/'Дивиденды по годам'!U780-1,""),"")</f>
        <v/>
      </c>
      <c r="S780" t="str">
        <f>IFERROR(IF(AND('Дивиденды по годам'!L780&lt;&gt;"",'Дивиденды по годам'!I780&lt;&gt;"",'Дивиденды по годам'!J780&lt;&gt;"",'Дивиденды по годам'!K780&lt;&gt;"",('Дивиденды по годам'!I780-'Дивиденды по годам'!J780-'Дивиденды по годам'!K780)&lt;&gt;0),'Дивиденды по годам'!L780/('Дивиденды по годам'!I780-'Дивиденды по годам'!J780-'Дивиденды по годам'!K780),""),"")</f>
        <v/>
      </c>
      <c r="T780" t="str">
        <f>IFERROR(IF(AND('Дивиденды по годам'!Q780&lt;&gt;"",'Дивиденды по годам'!I780&lt;&gt;"",'Дивиденды по годам'!V780&lt;&gt;"",('Дивиденды по годам'!I780+'Дивиденды по годам'!V780)&lt;&gt;0),'Дивиденды по годам'!Q780/(('Дивиденды по годам'!I780+'Дивиденды по годам'!V780)/2),""),"")</f>
        <v/>
      </c>
      <c r="U780" t="str">
        <f>IFERROR(IF(AND('Дивиденды по годам'!J780&lt;&gt;"",'Дивиденды по годам'!K780&lt;&gt;"",'Дивиденды по годам'!M780&lt;&gt;"",'Дивиденды по годам'!M780&lt;&gt;0),('Дивиденды по годам'!J780+'Дивиденды по годам'!K780)/'Дивиденды по годам'!M780,""),"")</f>
        <v/>
      </c>
      <c r="V780" t="str">
        <f>IFERROR(IF(AND('Дивиденды по годам'!J780&lt;&gt;"",'Дивиденды по годам'!K780&lt;&gt;"",'Дивиденды по годам'!M780&lt;&gt;"",'Дивиденды по годам'!I780&lt;&gt;0),('Дивиденды по годам'!J780+'Дивиденды по годам'!K780)/'Дивиденды по годам'!I780,""),"")</f>
        <v/>
      </c>
      <c r="W780" t="str">
        <f>IFERROR('Дивиденды по годам'!I780,"")</f>
        <v/>
      </c>
      <c r="X780" cm="1">
        <f t="array" ref="X780">IFERROR(AVERAGE(_xlfn._xlws.FILTER(P$2:P$1073,($C$2:$C$1073=$C780)*($E$2:$E$1073=$E780)*(ROW(P$2:P$1073)&lt;&gt;ROW(P780))*(P$2:P$1073&lt;&gt;""))),"")</f>
        <v>27.120501452642756</v>
      </c>
      <c r="Y780" cm="1">
        <f t="array" ref="Y780">IFERROR(AVERAGE(_xlfn._xlws.FILTER(Q$2:Q$1073,($C$2:$C$1073=$C780)*($E$2:$E$1073=$E780)*(ROW(Q$2:Q$1073)&lt;&gt;ROW(Q780))*(Q$2:Q$1073&lt;&gt;""))),"")</f>
        <v>0.53878421833606405</v>
      </c>
      <c r="Z780" cm="1">
        <f t="array" ref="Z780">IFERROR(AVERAGE(_xlfn._xlws.FILTER(R$2:R$1073,($C$2:$C$1073=$C780)*($E$2:$E$1073=$E780)*(ROW(R$2:R$1073)&lt;&gt;ROW(R780))*(R$2:R$1073&lt;&gt;""))),"")</f>
        <v>2.2276174497294132E-2</v>
      </c>
      <c r="AA780" cm="1">
        <f t="array" ref="AA780">IFERROR(AVERAGE(_xlfn._xlws.FILTER(S$2:S$1073,($C$2:$C$1073=$C780)*($E$2:$E$1073=$E780)*(ROW(S$2:S$1073)&lt;&gt;ROW(S780))*(S$2:S$1073&lt;&gt;""))),"")</f>
        <v>1.2586396116380416</v>
      </c>
      <c r="AB780" cm="1">
        <f t="array" ref="AB780">IFERROR(AVERAGE(_xlfn._xlws.FILTER(T$2:T$1073,($C$2:$C$1073=$C780)*($E$2:$E$1073=$E780)*(ROW(T$2:T$1073)&lt;&gt;ROW(T780))*(T$2:T$1073&lt;&gt;""))),"")</f>
        <v>5.0636797509896803E-2</v>
      </c>
      <c r="AC780" cm="1">
        <f t="array" ref="AC780">IFERROR(AVERAGE(_xlfn._xlws.FILTER(U$2:U$1073,($C$2:$C$1073=$C780)*($E$2:$E$1073=$E780)*(ROW(U$2:U$1073)&lt;&gt;ROW(U780))*(U$2:U$1073&lt;&gt;""))),"")</f>
        <v>2.0444165107764372</v>
      </c>
      <c r="AD780" cm="1">
        <f t="array" ref="AD780">IFERROR(AVERAGE(_xlfn._xlws.FILTER(V$2:V$1073,($C$2:$C$1073=$C780)*($E$2:$E$1073=$E780)*(ROW(V$2:V$1073)&lt;&gt;ROW(V780))*(V$2:V$1073&lt;&gt;""))),"")</f>
        <v>0.64472959627967386</v>
      </c>
      <c r="AE780">
        <f>IF('Дивиденды по годам'!M780&lt;0,1,0)</f>
        <v>0</v>
      </c>
    </row>
    <row r="781" spans="1:31" x14ac:dyDescent="0.2">
      <c r="A781" s="7" t="s">
        <v>2275</v>
      </c>
      <c r="B781" t="str">
        <f t="shared" si="132"/>
        <v>CNRU IV кв. 2014</v>
      </c>
      <c r="C781">
        <v>2014</v>
      </c>
      <c r="D781">
        <f>SUMIFS(Дивиденды!$C:$C,Дивиденды!$A:$A,A781,Дивиденды!$I:$I,C781)</f>
        <v>0</v>
      </c>
      <c r="E781">
        <v>5</v>
      </c>
      <c r="F781">
        <f t="shared" si="133"/>
        <v>0</v>
      </c>
      <c r="G781">
        <f t="shared" si="134"/>
        <v>2.6454545454545451</v>
      </c>
      <c r="H781">
        <f t="shared" si="135"/>
        <v>0</v>
      </c>
      <c r="I781">
        <f t="shared" si="136"/>
        <v>0.18181818181818182</v>
      </c>
      <c r="J781">
        <f t="shared" si="137"/>
        <v>0</v>
      </c>
      <c r="K781">
        <f t="shared" si="142"/>
        <v>1.3814271370946419E-2</v>
      </c>
      <c r="L781">
        <f t="shared" si="138"/>
        <v>0</v>
      </c>
      <c r="M781">
        <f t="shared" si="139"/>
        <v>0.18181818181818182</v>
      </c>
      <c r="N781">
        <f t="shared" si="140"/>
        <v>0</v>
      </c>
      <c r="O781">
        <f t="shared" si="141"/>
        <v>0</v>
      </c>
      <c r="P781" t="str">
        <f>IFERROR(LN('Дивиденды по годам'!I781),"")</f>
        <v/>
      </c>
      <c r="Q781" t="str">
        <f>IFERROR('Дивиденды по годам'!G781/'Дивиденды по годам'!I781, "")</f>
        <v/>
      </c>
      <c r="R781" t="str">
        <f>IFERROR(IF(AND('Дивиденды по годам'!N781&lt;&gt;"",'Дивиденды по годам'!U781&lt;&gt;"",'Дивиденды по годам'!U781&lt;&gt;0),'Дивиденды по годам'!N781/'Дивиденды по годам'!U781-1,""),"")</f>
        <v/>
      </c>
      <c r="S781" t="str">
        <f>IFERROR(IF(AND('Дивиденды по годам'!L781&lt;&gt;"",'Дивиденды по годам'!I781&lt;&gt;"",'Дивиденды по годам'!J781&lt;&gt;"",'Дивиденды по годам'!K781&lt;&gt;"",('Дивиденды по годам'!I781-'Дивиденды по годам'!J781-'Дивиденды по годам'!K781)&lt;&gt;0),'Дивиденды по годам'!L781/('Дивиденды по годам'!I781-'Дивиденды по годам'!J781-'Дивиденды по годам'!K781),""),"")</f>
        <v/>
      </c>
      <c r="T781" t="str">
        <f>IFERROR(IF(AND('Дивиденды по годам'!Q781&lt;&gt;"",'Дивиденды по годам'!I781&lt;&gt;"",'Дивиденды по годам'!V781&lt;&gt;"",('Дивиденды по годам'!I781+'Дивиденды по годам'!V781)&lt;&gt;0),'Дивиденды по годам'!Q781/(('Дивиденды по годам'!I781+'Дивиденды по годам'!V781)/2),""),"")</f>
        <v/>
      </c>
      <c r="U781" t="str">
        <f>IFERROR(IF(AND('Дивиденды по годам'!J781&lt;&gt;"",'Дивиденды по годам'!K781&lt;&gt;"",'Дивиденды по годам'!M781&lt;&gt;"",'Дивиденды по годам'!M781&lt;&gt;0),('Дивиденды по годам'!J781+'Дивиденды по годам'!K781)/'Дивиденды по годам'!M781,""),"")</f>
        <v/>
      </c>
      <c r="V781" t="str">
        <f>IFERROR(IF(AND('Дивиденды по годам'!J781&lt;&gt;"",'Дивиденды по годам'!K781&lt;&gt;"",'Дивиденды по годам'!M781&lt;&gt;"",'Дивиденды по годам'!I781&lt;&gt;0),('Дивиденды по годам'!J781+'Дивиденды по годам'!K781)/'Дивиденды по годам'!I781,""),"")</f>
        <v/>
      </c>
      <c r="W781" t="str">
        <f>IFERROR('Дивиденды по годам'!I781,"")</f>
        <v/>
      </c>
      <c r="X781" cm="1">
        <f t="array" ref="X781">IFERROR(AVERAGE(_xlfn._xlws.FILTER(P$2:P$1073,($C$2:$C$1073=$C781)*($E$2:$E$1073=$E781)*(ROW(P$2:P$1073)&lt;&gt;ROW(P781))*(P$2:P$1073&lt;&gt;""))),"")</f>
        <v>27.082830809151307</v>
      </c>
      <c r="Y781" cm="1">
        <f t="array" ref="Y781">IFERROR(AVERAGE(_xlfn._xlws.FILTER(Q$2:Q$1073,($C$2:$C$1073=$C781)*($E$2:$E$1073=$E781)*(ROW(Q$2:Q$1073)&lt;&gt;ROW(Q781))*(Q$2:Q$1073&lt;&gt;""))),"")</f>
        <v>0.5450738024161359</v>
      </c>
      <c r="Z781" cm="1">
        <f t="array" ref="Z781">IFERROR(AVERAGE(_xlfn._xlws.FILTER(R$2:R$1073,($C$2:$C$1073=$C781)*($E$2:$E$1073=$E781)*(ROW(R$2:R$1073)&lt;&gt;ROW(R781))*(R$2:R$1073&lt;&gt;""))),"")</f>
        <v>2.9557764869601155E-2</v>
      </c>
      <c r="AA781" cm="1">
        <f t="array" ref="AA781">IFERROR(AVERAGE(_xlfn._xlws.FILTER(S$2:S$1073,($C$2:$C$1073=$C781)*($E$2:$E$1073=$E781)*(ROW(S$2:S$1073)&lt;&gt;ROW(S781))*(S$2:S$1073&lt;&gt;""))),"")</f>
        <v>1.1443286994996271</v>
      </c>
      <c r="AB781" cm="1">
        <f t="array" ref="AB781">IFERROR(AVERAGE(_xlfn._xlws.FILTER(T$2:T$1073,($C$2:$C$1073=$C781)*($E$2:$E$1073=$E781)*(ROW(T$2:T$1073)&lt;&gt;ROW(T781))*(T$2:T$1073&lt;&gt;""))),"")</f>
        <v>5.9751382409195454E-2</v>
      </c>
      <c r="AC781" cm="1">
        <f t="array" ref="AC781">IFERROR(AVERAGE(_xlfn._xlws.FILTER(U$2:U$1073,($C$2:$C$1073=$C781)*($E$2:$E$1073=$E781)*(ROW(U$2:U$1073)&lt;&gt;ROW(U781))*(U$2:U$1073&lt;&gt;""))),"")</f>
        <v>1.8184271482015117</v>
      </c>
      <c r="AD781" cm="1">
        <f t="array" ref="AD781">IFERROR(AVERAGE(_xlfn._xlws.FILTER(V$2:V$1073,($C$2:$C$1073=$C781)*($E$2:$E$1073=$E781)*(ROW(V$2:V$1073)&lt;&gt;ROW(V781))*(V$2:V$1073&lt;&gt;""))),"")</f>
        <v>0.62943537689886697</v>
      </c>
      <c r="AE781">
        <f>IF('Дивиденды по годам'!M781&lt;0,1,0)</f>
        <v>0</v>
      </c>
    </row>
    <row r="782" spans="1:31" x14ac:dyDescent="0.2">
      <c r="A782" s="7" t="s">
        <v>2275</v>
      </c>
      <c r="B782" t="str">
        <f t="shared" si="132"/>
        <v>CNRU IV кв. 2013</v>
      </c>
      <c r="C782">
        <v>2013</v>
      </c>
      <c r="D782">
        <f>SUMIFS(Дивиденды!$C:$C,Дивиденды!$A:$A,A782,Дивиденды!$I:$I,C782)</f>
        <v>0</v>
      </c>
      <c r="E782">
        <v>5</v>
      </c>
      <c r="F782">
        <f t="shared" si="133"/>
        <v>0</v>
      </c>
      <c r="G782">
        <f t="shared" si="134"/>
        <v>2.4490909090909092</v>
      </c>
      <c r="H782">
        <f t="shared" si="135"/>
        <v>0</v>
      </c>
      <c r="I782">
        <f t="shared" si="136"/>
        <v>0.18181818181818182</v>
      </c>
      <c r="J782">
        <f t="shared" si="137"/>
        <v>0</v>
      </c>
      <c r="K782">
        <f t="shared" si="142"/>
        <v>8.2745033991384775E-2</v>
      </c>
      <c r="L782">
        <f t="shared" si="138"/>
        <v>0</v>
      </c>
      <c r="M782">
        <f t="shared" si="139"/>
        <v>0.18181818181818182</v>
      </c>
      <c r="N782">
        <f t="shared" si="140"/>
        <v>0</v>
      </c>
      <c r="O782">
        <f t="shared" si="141"/>
        <v>0</v>
      </c>
      <c r="P782" t="str">
        <f>IFERROR(LN('Дивиденды по годам'!I782),"")</f>
        <v/>
      </c>
      <c r="Q782" t="str">
        <f>IFERROR('Дивиденды по годам'!G782/'Дивиденды по годам'!I782, "")</f>
        <v/>
      </c>
      <c r="R782" t="str">
        <f>IFERROR(IF(AND('Дивиденды по годам'!N782&lt;&gt;"",'Дивиденды по годам'!U782&lt;&gt;"",'Дивиденды по годам'!U782&lt;&gt;0),'Дивиденды по годам'!N782/'Дивиденды по годам'!U782-1,""),"")</f>
        <v/>
      </c>
      <c r="S782" t="str">
        <f>IFERROR(IF(AND('Дивиденды по годам'!L782&lt;&gt;"",'Дивиденды по годам'!I782&lt;&gt;"",'Дивиденды по годам'!J782&lt;&gt;"",'Дивиденды по годам'!K782&lt;&gt;"",('Дивиденды по годам'!I782-'Дивиденды по годам'!J782-'Дивиденды по годам'!K782)&lt;&gt;0),'Дивиденды по годам'!L782/('Дивиденды по годам'!I782-'Дивиденды по годам'!J782-'Дивиденды по годам'!K782),""),"")</f>
        <v/>
      </c>
      <c r="T782" t="str">
        <f>IFERROR(IF(AND('Дивиденды по годам'!Q782&lt;&gt;"",'Дивиденды по годам'!I782&lt;&gt;"",'Дивиденды по годам'!V782&lt;&gt;"",('Дивиденды по годам'!I782+'Дивиденды по годам'!V782)&lt;&gt;0),'Дивиденды по годам'!Q782/(('Дивиденды по годам'!I782+'Дивиденды по годам'!V782)/2),""),"")</f>
        <v/>
      </c>
      <c r="U782" t="str">
        <f>IFERROR(IF(AND('Дивиденды по годам'!J782&lt;&gt;"",'Дивиденды по годам'!K782&lt;&gt;"",'Дивиденды по годам'!M782&lt;&gt;"",'Дивиденды по годам'!M782&lt;&gt;0),('Дивиденды по годам'!J782+'Дивиденды по годам'!K782)/'Дивиденды по годам'!M782,""),"")</f>
        <v/>
      </c>
      <c r="V782" t="str">
        <f>IFERROR(IF(AND('Дивиденды по годам'!J782&lt;&gt;"",'Дивиденды по годам'!K782&lt;&gt;"",'Дивиденды по годам'!M782&lt;&gt;"",'Дивиденды по годам'!I782&lt;&gt;0),('Дивиденды по годам'!J782+'Дивиденды по годам'!K782)/'Дивиденды по годам'!I782,""),"")</f>
        <v/>
      </c>
      <c r="W782" t="str">
        <f>IFERROR('Дивиденды по годам'!I782,"")</f>
        <v/>
      </c>
      <c r="X782" cm="1">
        <f t="array" ref="X782">IFERROR(AVERAGE(_xlfn._xlws.FILTER(P$2:P$1073,($C$2:$C$1073=$C782)*($E$2:$E$1073=$E782)*(ROW(P$2:P$1073)&lt;&gt;ROW(P782))*(P$2:P$1073&lt;&gt;""))),"")</f>
        <v>26.980715693689852</v>
      </c>
      <c r="Y782" cm="1">
        <f t="array" ref="Y782">IFERROR(AVERAGE(_xlfn._xlws.FILTER(Q$2:Q$1073,($C$2:$C$1073=$C782)*($E$2:$E$1073=$E782)*(ROW(Q$2:Q$1073)&lt;&gt;ROW(Q782))*(Q$2:Q$1073&lt;&gt;""))),"")</f>
        <v>0.57737124989859567</v>
      </c>
      <c r="Z782" cm="1">
        <f t="array" ref="Z782">IFERROR(AVERAGE(_xlfn._xlws.FILTER(R$2:R$1073,($C$2:$C$1073=$C782)*($E$2:$E$1073=$E782)*(ROW(R$2:R$1073)&lt;&gt;ROW(R782))*(R$2:R$1073&lt;&gt;""))),"")</f>
        <v>-3.1761213433143809E-2</v>
      </c>
      <c r="AA782" t="str" cm="1">
        <f t="array" ref="AA782">IFERROR(AVERAGE(_xlfn._xlws.FILTER(S$2:S$1073,($C$2:$C$1073=$C782)*($E$2:$E$1073=$E782)*(ROW(S$2:S$1073)&lt;&gt;ROW(S782))*(S$2:S$1073&lt;&gt;""))),"")</f>
        <v/>
      </c>
      <c r="AB782" cm="1">
        <f t="array" ref="AB782">IFERROR(AVERAGE(_xlfn._xlws.FILTER(T$2:T$1073,($C$2:$C$1073=$C782)*($E$2:$E$1073=$E782)*(ROW(T$2:T$1073)&lt;&gt;ROW(T782))*(T$2:T$1073&lt;&gt;""))),"")</f>
        <v>0.10442686382361807</v>
      </c>
      <c r="AC782" cm="1">
        <f t="array" ref="AC782">IFERROR(AVERAGE(_xlfn._xlws.FILTER(U$2:U$1073,($C$2:$C$1073=$C782)*($E$2:$E$1073=$E782)*(ROW(U$2:U$1073)&lt;&gt;ROW(U782))*(U$2:U$1073&lt;&gt;""))),"")</f>
        <v>1.9310921377733694</v>
      </c>
      <c r="AD782" cm="1">
        <f t="array" ref="AD782">IFERROR(AVERAGE(_xlfn._xlws.FILTER(V$2:V$1073,($C$2:$C$1073=$C782)*($E$2:$E$1073=$E782)*(ROW(V$2:V$1073)&lt;&gt;ROW(V782))*(V$2:V$1073&lt;&gt;""))),"")</f>
        <v>0.65823029186247406</v>
      </c>
      <c r="AE782">
        <f>IF('Дивиденды по годам'!M782&lt;0,1,0)</f>
        <v>0</v>
      </c>
    </row>
    <row r="783" spans="1:31" x14ac:dyDescent="0.2">
      <c r="A783" s="7" t="s">
        <v>2275</v>
      </c>
      <c r="B783" t="str">
        <f t="shared" si="132"/>
        <v>CNRU IV кв. 2012</v>
      </c>
      <c r="C783">
        <v>2012</v>
      </c>
      <c r="D783">
        <f>SUMIFS(Дивиденды!$C:$C,Дивиденды!$A:$A,A783,Дивиденды!$I:$I,C783)</f>
        <v>0</v>
      </c>
      <c r="E783">
        <v>5</v>
      </c>
      <c r="F783">
        <f t="shared" si="133"/>
        <v>0</v>
      </c>
      <c r="G783">
        <f t="shared" si="134"/>
        <v>1.5490909090909091</v>
      </c>
      <c r="H783">
        <f t="shared" si="135"/>
        <v>0</v>
      </c>
      <c r="I783">
        <f t="shared" si="136"/>
        <v>0.18181818181818182</v>
      </c>
      <c r="J783">
        <f t="shared" si="137"/>
        <v>0</v>
      </c>
      <c r="K783">
        <f t="shared" si="142"/>
        <v>-4.4393542728732291E-2</v>
      </c>
      <c r="L783">
        <f t="shared" si="138"/>
        <v>0</v>
      </c>
      <c r="M783">
        <f t="shared" si="139"/>
        <v>0</v>
      </c>
      <c r="N783">
        <f t="shared" si="140"/>
        <v>0</v>
      </c>
      <c r="O783">
        <f t="shared" si="141"/>
        <v>0.18181818181818182</v>
      </c>
      <c r="P783" t="str">
        <f>IFERROR(LN('Дивиденды по годам'!I783),"")</f>
        <v/>
      </c>
      <c r="Q783" t="str">
        <f>IFERROR('Дивиденды по годам'!G783/'Дивиденды по годам'!I783, "")</f>
        <v/>
      </c>
      <c r="R783" t="str">
        <f>IFERROR(IF(AND('Дивиденды по годам'!N783&lt;&gt;"",'Дивиденды по годам'!U783&lt;&gt;"",'Дивиденды по годам'!U783&lt;&gt;0),'Дивиденды по годам'!N783/'Дивиденды по годам'!U783-1,""),"")</f>
        <v/>
      </c>
      <c r="S783" t="str">
        <f>IFERROR(IF(AND('Дивиденды по годам'!L783&lt;&gt;"",'Дивиденды по годам'!I783&lt;&gt;"",'Дивиденды по годам'!J783&lt;&gt;"",'Дивиденды по годам'!K783&lt;&gt;"",('Дивиденды по годам'!I783-'Дивиденды по годам'!J783-'Дивиденды по годам'!K783)&lt;&gt;0),'Дивиденды по годам'!L783/('Дивиденды по годам'!I783-'Дивиденды по годам'!J783-'Дивиденды по годам'!K783),""),"")</f>
        <v/>
      </c>
      <c r="T783" t="str">
        <f>IFERROR(IF(AND('Дивиденды по годам'!Q783&lt;&gt;"",'Дивиденды по годам'!I783&lt;&gt;"",'Дивиденды по годам'!V783&lt;&gt;"",('Дивиденды по годам'!I783+'Дивиденды по годам'!V783)&lt;&gt;0),'Дивиденды по годам'!Q783/(('Дивиденды по годам'!I783+'Дивиденды по годам'!V783)/2),""),"")</f>
        <v/>
      </c>
      <c r="U783" t="str">
        <f>IFERROR(IF(AND('Дивиденды по годам'!J783&lt;&gt;"",'Дивиденды по годам'!K783&lt;&gt;"",'Дивиденды по годам'!M783&lt;&gt;"",'Дивиденды по годам'!M783&lt;&gt;0),('Дивиденды по годам'!J783+'Дивиденды по годам'!K783)/'Дивиденды по годам'!M783,""),"")</f>
        <v/>
      </c>
      <c r="V783" t="str">
        <f>IFERROR(IF(AND('Дивиденды по годам'!J783&lt;&gt;"",'Дивиденды по годам'!K783&lt;&gt;"",'Дивиденды по годам'!M783&lt;&gt;"",'Дивиденды по годам'!I783&lt;&gt;0),('Дивиденды по годам'!J783+'Дивиденды по годам'!K783)/'Дивиденды по годам'!I783,""),"")</f>
        <v/>
      </c>
      <c r="W783" t="str">
        <f>IFERROR('Дивиденды по годам'!I783,"")</f>
        <v/>
      </c>
      <c r="X783" cm="1">
        <f t="array" ref="X783">IFERROR(AVERAGE(_xlfn._xlws.FILTER(P$2:P$1073,($C$2:$C$1073=$C783)*($E$2:$E$1073=$E783)*(ROW(P$2:P$1073)&lt;&gt;ROW(P783))*(P$2:P$1073&lt;&gt;""))),"")</f>
        <v>26.976167524823197</v>
      </c>
      <c r="Y783" cm="1">
        <f t="array" ref="Y783">IFERROR(AVERAGE(_xlfn._xlws.FILTER(Q$2:Q$1073,($C$2:$C$1073=$C783)*($E$2:$E$1073=$E783)*(ROW(Q$2:Q$1073)&lt;&gt;ROW(Q783))*(Q$2:Q$1073&lt;&gt;""))),"")</f>
        <v>0.63141065735920243</v>
      </c>
      <c r="Z783" cm="1">
        <f t="array" ref="Z783">IFERROR(AVERAGE(_xlfn._xlws.FILTER(R$2:R$1073,($C$2:$C$1073=$C783)*($E$2:$E$1073=$E783)*(ROW(R$2:R$1073)&lt;&gt;ROW(R783))*(R$2:R$1073&lt;&gt;""))),"")</f>
        <v>8.5252436531932485E-2</v>
      </c>
      <c r="AA783" t="str" cm="1">
        <f t="array" ref="AA783">IFERROR(AVERAGE(_xlfn._xlws.FILTER(S$2:S$1073,($C$2:$C$1073=$C783)*($E$2:$E$1073=$E783)*(ROW(S$2:S$1073)&lt;&gt;ROW(S783))*(S$2:S$1073&lt;&gt;""))),"")</f>
        <v/>
      </c>
      <c r="AB783" cm="1">
        <f t="array" ref="AB783">IFERROR(AVERAGE(_xlfn._xlws.FILTER(T$2:T$1073,($C$2:$C$1073=$C783)*($E$2:$E$1073=$E783)*(ROW(T$2:T$1073)&lt;&gt;ROW(T783))*(T$2:T$1073&lt;&gt;""))),"")</f>
        <v>6.4593053680603474E-2</v>
      </c>
      <c r="AC783" cm="1">
        <f t="array" ref="AC783">IFERROR(AVERAGE(_xlfn._xlws.FILTER(U$2:U$1073,($C$2:$C$1073=$C783)*($E$2:$E$1073=$E783)*(ROW(U$2:U$1073)&lt;&gt;ROW(U783))*(U$2:U$1073&lt;&gt;""))),"")</f>
        <v>2.1186181543330798</v>
      </c>
      <c r="AD783" cm="1">
        <f t="array" ref="AD783">IFERROR(AVERAGE(_xlfn._xlws.FILTER(V$2:V$1073,($C$2:$C$1073=$C783)*($E$2:$E$1073=$E783)*(ROW(V$2:V$1073)&lt;&gt;ROW(V783))*(V$2:V$1073&lt;&gt;""))),"")</f>
        <v>0.6515550916449</v>
      </c>
      <c r="AE783">
        <f>IF('Дивиденды по годам'!M783&lt;0,1,0)</f>
        <v>0</v>
      </c>
    </row>
    <row r="784" spans="1:31" x14ac:dyDescent="0.2">
      <c r="A784" s="7" t="s">
        <v>2275</v>
      </c>
      <c r="B784" t="str">
        <f t="shared" si="132"/>
        <v>CNRU IV кв. 2011</v>
      </c>
      <c r="C784">
        <v>2011</v>
      </c>
      <c r="D784">
        <f>SUMIFS(Дивиденды!$C:$C,Дивиденды!$A:$A,A784,Дивиденды!$I:$I,C784)</f>
        <v>0</v>
      </c>
      <c r="E784">
        <v>5</v>
      </c>
      <c r="F784">
        <f t="shared" si="133"/>
        <v>0</v>
      </c>
      <c r="G784">
        <f t="shared" si="134"/>
        <v>1.7645454545454546</v>
      </c>
      <c r="H784">
        <f t="shared" si="135"/>
        <v>0</v>
      </c>
      <c r="I784">
        <f t="shared" si="136"/>
        <v>0.18181818181818182</v>
      </c>
      <c r="J784">
        <f t="shared" si="137"/>
        <v>0</v>
      </c>
      <c r="K784">
        <f t="shared" si="142"/>
        <v>0.29508419260826407</v>
      </c>
      <c r="L784">
        <f t="shared" si="138"/>
        <v>0</v>
      </c>
      <c r="M784">
        <f t="shared" si="139"/>
        <v>0.18181818181818182</v>
      </c>
      <c r="N784">
        <f t="shared" si="140"/>
        <v>0</v>
      </c>
      <c r="O784">
        <f t="shared" si="141"/>
        <v>0</v>
      </c>
      <c r="P784" t="str">
        <f>IFERROR(LN('Дивиденды по годам'!I784),"")</f>
        <v/>
      </c>
      <c r="Q784" t="str">
        <f>IFERROR('Дивиденды по годам'!G784/'Дивиденды по годам'!I784, "")</f>
        <v/>
      </c>
      <c r="R784" t="str">
        <f>IFERROR(IF(AND('Дивиденды по годам'!N784&lt;&gt;"",'Дивиденды по годам'!U784&lt;&gt;"",'Дивиденды по годам'!U784&lt;&gt;0),'Дивиденды по годам'!N784/'Дивиденды по годам'!U784-1,""),"")</f>
        <v/>
      </c>
      <c r="S784" t="str">
        <f>IFERROR(IF(AND('Дивиденды по годам'!L784&lt;&gt;"",'Дивиденды по годам'!I784&lt;&gt;"",'Дивиденды по годам'!J784&lt;&gt;"",'Дивиденды по годам'!K784&lt;&gt;"",('Дивиденды по годам'!I784-'Дивиденды по годам'!J784-'Дивиденды по годам'!K784)&lt;&gt;0),'Дивиденды по годам'!L784/('Дивиденды по годам'!I784-'Дивиденды по годам'!J784-'Дивиденды по годам'!K784),""),"")</f>
        <v/>
      </c>
      <c r="T784" t="str">
        <f>IFERROR(IF(AND('Дивиденды по годам'!Q784&lt;&gt;"",'Дивиденды по годам'!I784&lt;&gt;"",'Дивиденды по годам'!V784&lt;&gt;"",('Дивиденды по годам'!I784+'Дивиденды по годам'!V784)&lt;&gt;0),'Дивиденды по годам'!Q784/(('Дивиденды по годам'!I784+'Дивиденды по годам'!V784)/2),""),"")</f>
        <v/>
      </c>
      <c r="U784" t="str">
        <f>IFERROR(IF(AND('Дивиденды по годам'!J784&lt;&gt;"",'Дивиденды по годам'!K784&lt;&gt;"",'Дивиденды по годам'!M784&lt;&gt;"",'Дивиденды по годам'!M784&lt;&gt;0),('Дивиденды по годам'!J784+'Дивиденды по годам'!K784)/'Дивиденды по годам'!M784,""),"")</f>
        <v/>
      </c>
      <c r="V784" t="str">
        <f>IFERROR(IF(AND('Дивиденды по годам'!J784&lt;&gt;"",'Дивиденды по годам'!K784&lt;&gt;"",'Дивиденды по годам'!M784&lt;&gt;"",'Дивиденды по годам'!I784&lt;&gt;0),('Дивиденды по годам'!J784+'Дивиденды по годам'!K784)/'Дивиденды по годам'!I784,""),"")</f>
        <v/>
      </c>
      <c r="W784" t="str">
        <f>IFERROR('Дивиденды по годам'!I784,"")</f>
        <v/>
      </c>
      <c r="X784" cm="1">
        <f t="array" ref="X784">IFERROR(AVERAGE(_xlfn._xlws.FILTER(P$2:P$1073,($C$2:$C$1073=$C784)*($E$2:$E$1073=$E784)*(ROW(P$2:P$1073)&lt;&gt;ROW(P784))*(P$2:P$1073&lt;&gt;""))),"")</f>
        <v>26.959846755112331</v>
      </c>
      <c r="Y784" cm="1">
        <f t="array" ref="Y784">IFERROR(AVERAGE(_xlfn._xlws.FILTER(Q$2:Q$1073,($C$2:$C$1073=$C784)*($E$2:$E$1073=$E784)*(ROW(Q$2:Q$1073)&lt;&gt;ROW(Q784))*(Q$2:Q$1073&lt;&gt;""))),"")</f>
        <v>0.64168629722093962</v>
      </c>
      <c r="Z784" t="str" cm="1">
        <f t="array" ref="Z784">IFERROR(AVERAGE(_xlfn._xlws.FILTER(R$2:R$1073,($C$2:$C$1073=$C784)*($E$2:$E$1073=$E784)*(ROW(R$2:R$1073)&lt;&gt;ROW(R784))*(R$2:R$1073&lt;&gt;""))),"")</f>
        <v/>
      </c>
      <c r="AA784" t="str" cm="1">
        <f t="array" ref="AA784">IFERROR(AVERAGE(_xlfn._xlws.FILTER(S$2:S$1073,($C$2:$C$1073=$C784)*($E$2:$E$1073=$E784)*(ROW(S$2:S$1073)&lt;&gt;ROW(S784))*(S$2:S$1073&lt;&gt;""))),"")</f>
        <v/>
      </c>
      <c r="AB784" t="str" cm="1">
        <f t="array" ref="AB784">IFERROR(AVERAGE(_xlfn._xlws.FILTER(T$2:T$1073,($C$2:$C$1073=$C784)*($E$2:$E$1073=$E784)*(ROW(T$2:T$1073)&lt;&gt;ROW(T784))*(T$2:T$1073&lt;&gt;""))),"")</f>
        <v/>
      </c>
      <c r="AC784" cm="1">
        <f t="array" ref="AC784">IFERROR(AVERAGE(_xlfn._xlws.FILTER(U$2:U$1073,($C$2:$C$1073=$C784)*($E$2:$E$1073=$E784)*(ROW(U$2:U$1073)&lt;&gt;ROW(U784))*(U$2:U$1073&lt;&gt;""))),"")</f>
        <v>0.9076461410986616</v>
      </c>
      <c r="AD784" cm="1">
        <f t="array" ref="AD784">IFERROR(AVERAGE(_xlfn._xlws.FILTER(V$2:V$1073,($C$2:$C$1073=$C784)*($E$2:$E$1073=$E784)*(ROW(V$2:V$1073)&lt;&gt;ROW(V784))*(V$2:V$1073&lt;&gt;""))),"")</f>
        <v>0.47579376570118254</v>
      </c>
      <c r="AE784">
        <f>IF('Дивиденды по годам'!M784&lt;0,1,0)</f>
        <v>0</v>
      </c>
    </row>
    <row r="785" spans="1:31" x14ac:dyDescent="0.2">
      <c r="A785" s="7" t="s">
        <v>2275</v>
      </c>
      <c r="B785" t="str">
        <f t="shared" si="132"/>
        <v>CNRU IV кв. 2010</v>
      </c>
      <c r="C785">
        <v>2010</v>
      </c>
      <c r="D785">
        <f>SUMIFS(Дивиденды!$C:$C,Дивиденды!$A:$A,A785,Дивиденды!$I:$I,C785)</f>
        <v>0</v>
      </c>
      <c r="E785">
        <v>5</v>
      </c>
      <c r="F785">
        <f t="shared" si="133"/>
        <v>0</v>
      </c>
      <c r="G785">
        <f t="shared" si="134"/>
        <v>1.4227272727272726</v>
      </c>
      <c r="H785">
        <f t="shared" si="135"/>
        <v>0</v>
      </c>
      <c r="I785">
        <f t="shared" si="136"/>
        <v>0.18181818181818182</v>
      </c>
      <c r="J785" t="str">
        <f t="shared" si="137"/>
        <v/>
      </c>
      <c r="K785" t="str">
        <f t="shared" si="142"/>
        <v/>
      </c>
      <c r="L785" t="str">
        <f t="shared" si="138"/>
        <v/>
      </c>
      <c r="M785" t="str">
        <f t="shared" si="139"/>
        <v/>
      </c>
      <c r="N785" t="str">
        <f t="shared" si="140"/>
        <v/>
      </c>
      <c r="O785" t="str">
        <f t="shared" si="141"/>
        <v/>
      </c>
      <c r="P785" t="str">
        <f>IFERROR(LN('Дивиденды по годам'!I785),"")</f>
        <v/>
      </c>
      <c r="Q785" t="str">
        <f>IFERROR('Дивиденды по годам'!G785/'Дивиденды по годам'!I785, "")</f>
        <v/>
      </c>
      <c r="R785" t="str">
        <f>IFERROR(IF(AND('Дивиденды по годам'!N785&lt;&gt;"",'Дивиденды по годам'!U785&lt;&gt;"",'Дивиденды по годам'!U785&lt;&gt;0),'Дивиденды по годам'!N785/'Дивиденды по годам'!U785-1,""),"")</f>
        <v/>
      </c>
      <c r="S785" t="str">
        <f>IFERROR(IF(AND('Дивиденды по годам'!L785&lt;&gt;"",'Дивиденды по годам'!I785&lt;&gt;"",'Дивиденды по годам'!J785&lt;&gt;"",'Дивиденды по годам'!K785&lt;&gt;"",('Дивиденды по годам'!I785-'Дивиденды по годам'!J785-'Дивиденды по годам'!K785)&lt;&gt;0),'Дивиденды по годам'!L785/('Дивиденды по годам'!I785-'Дивиденды по годам'!J785-'Дивиденды по годам'!K785),""),"")</f>
        <v/>
      </c>
      <c r="T785" t="str">
        <f>IFERROR(IF(AND('Дивиденды по годам'!Q785&lt;&gt;"",'Дивиденды по годам'!I785&lt;&gt;"",'Дивиденды по годам'!V785&lt;&gt;"",('Дивиденды по годам'!I785+'Дивиденды по годам'!V785)&lt;&gt;0),'Дивиденды по годам'!Q785/(('Дивиденды по годам'!I785+'Дивиденды по годам'!V785)/2),""),"")</f>
        <v/>
      </c>
      <c r="U785" t="str">
        <f>IFERROR(IF(AND('Дивиденды по годам'!J785&lt;&gt;"",'Дивиденды по годам'!K785&lt;&gt;"",'Дивиденды по годам'!M785&lt;&gt;"",'Дивиденды по годам'!M785&lt;&gt;0),('Дивиденды по годам'!J785+'Дивиденды по годам'!K785)/'Дивиденды по годам'!M785,""),"")</f>
        <v/>
      </c>
      <c r="V785" t="str">
        <f>IFERROR(IF(AND('Дивиденды по годам'!J785&lt;&gt;"",'Дивиденды по годам'!K785&lt;&gt;"",'Дивиденды по годам'!M785&lt;&gt;"",'Дивиденды по годам'!I785&lt;&gt;0),('Дивиденды по годам'!J785+'Дивиденды по годам'!K785)/'Дивиденды по годам'!I785,""),"")</f>
        <v/>
      </c>
      <c r="W785" t="str">
        <f>IFERROR('Дивиденды по годам'!I785,"")</f>
        <v/>
      </c>
      <c r="X785" t="str" cm="1">
        <f t="array" ref="X785">IFERROR(AVERAGE(_xlfn._xlws.FILTER(P$2:P$1073,($C$2:$C$1073=$C785)*($E$2:$E$1073=$E785)*(ROW(P$2:P$1073)&lt;&gt;ROW(P785))*(P$2:P$1073&lt;&gt;""))),"")</f>
        <v/>
      </c>
      <c r="Y785" t="str" cm="1">
        <f t="array" ref="Y785">IFERROR(AVERAGE(_xlfn._xlws.FILTER(Q$2:Q$1073,($C$2:$C$1073=$C785)*($E$2:$E$1073=$E785)*(ROW(Q$2:Q$1073)&lt;&gt;ROW(Q785))*(Q$2:Q$1073&lt;&gt;""))),"")</f>
        <v/>
      </c>
      <c r="Z785" t="str" cm="1">
        <f t="array" ref="Z785">IFERROR(AVERAGE(_xlfn._xlws.FILTER(R$2:R$1073,($C$2:$C$1073=$C785)*($E$2:$E$1073=$E785)*(ROW(R$2:R$1073)&lt;&gt;ROW(R785))*(R$2:R$1073&lt;&gt;""))),"")</f>
        <v/>
      </c>
      <c r="AA785" t="str" cm="1">
        <f t="array" ref="AA785">IFERROR(AVERAGE(_xlfn._xlws.FILTER(S$2:S$1073,($C$2:$C$1073=$C785)*($E$2:$E$1073=$E785)*(ROW(S$2:S$1073)&lt;&gt;ROW(S785))*(S$2:S$1073&lt;&gt;""))),"")</f>
        <v/>
      </c>
      <c r="AB785" t="str" cm="1">
        <f t="array" ref="AB785">IFERROR(AVERAGE(_xlfn._xlws.FILTER(T$2:T$1073,($C$2:$C$1073=$C785)*($E$2:$E$1073=$E785)*(ROW(T$2:T$1073)&lt;&gt;ROW(T785))*(T$2:T$1073&lt;&gt;""))),"")</f>
        <v/>
      </c>
      <c r="AC785" t="str" cm="1">
        <f t="array" ref="AC785">IFERROR(AVERAGE(_xlfn._xlws.FILTER(U$2:U$1073,($C$2:$C$1073=$C785)*($E$2:$E$1073=$E785)*(ROW(U$2:U$1073)&lt;&gt;ROW(U785))*(U$2:U$1073&lt;&gt;""))),"")</f>
        <v/>
      </c>
      <c r="AD785" t="str" cm="1">
        <f t="array" ref="AD785">IFERROR(AVERAGE(_xlfn._xlws.FILTER(V$2:V$1073,($C$2:$C$1073=$C785)*($E$2:$E$1073=$E785)*(ROW(V$2:V$1073)&lt;&gt;ROW(V785))*(V$2:V$1073&lt;&gt;""))),"")</f>
        <v/>
      </c>
      <c r="AE785">
        <f>IF('Дивиденды по годам'!M785&lt;0,1,0)</f>
        <v>0</v>
      </c>
    </row>
    <row r="786" spans="1:31" x14ac:dyDescent="0.2">
      <c r="A786" s="7" t="s">
        <v>2277</v>
      </c>
      <c r="B786" t="str">
        <f t="shared" si="132"/>
        <v>DATA IV кв. 2025</v>
      </c>
      <c r="C786">
        <v>2025</v>
      </c>
      <c r="D786">
        <f>SUMIFS(Дивиденды!$C:$C,Дивиденды!$A:$A,A786,Дивиденды!$I:$I,C786)</f>
        <v>2.57</v>
      </c>
      <c r="E786">
        <v>5</v>
      </c>
      <c r="F786">
        <f t="shared" si="133"/>
        <v>2.57</v>
      </c>
      <c r="G786">
        <f t="shared" si="134"/>
        <v>51.262727272727282</v>
      </c>
      <c r="H786">
        <f t="shared" si="135"/>
        <v>1</v>
      </c>
      <c r="I786">
        <f t="shared" si="136"/>
        <v>0.45454545454545453</v>
      </c>
      <c r="J786">
        <f t="shared" si="137"/>
        <v>1.9883720930232558</v>
      </c>
      <c r="K786">
        <f t="shared" si="142"/>
        <v>-0.20391901373158261</v>
      </c>
      <c r="L786">
        <f t="shared" si="138"/>
        <v>1</v>
      </c>
      <c r="M786">
        <f t="shared" si="139"/>
        <v>0.27272727272727271</v>
      </c>
      <c r="N786">
        <f t="shared" si="140"/>
        <v>0</v>
      </c>
      <c r="O786">
        <f t="shared" si="141"/>
        <v>0.54545454545454541</v>
      </c>
      <c r="P786" t="str">
        <f>IFERROR(LN('Дивиденды по годам'!I786),"")</f>
        <v/>
      </c>
      <c r="Q786" t="str">
        <f>IFERROR('Дивиденды по годам'!G786/'Дивиденды по годам'!I786, "")</f>
        <v/>
      </c>
      <c r="R786" t="str">
        <f>IFERROR(IF(AND('Дивиденды по годам'!N786&lt;&gt;"",'Дивиденды по годам'!U786&lt;&gt;"",'Дивиденды по годам'!U786&lt;&gt;0),'Дивиденды по годам'!N786/'Дивиденды по годам'!U786-1,""),"")</f>
        <v/>
      </c>
      <c r="S786" t="str">
        <f>IFERROR(IF(AND('Дивиденды по годам'!L786&lt;&gt;"",'Дивиденды по годам'!I786&lt;&gt;"",'Дивиденды по годам'!J786&lt;&gt;"",'Дивиденды по годам'!K786&lt;&gt;"",('Дивиденды по годам'!I786-'Дивиденды по годам'!J786-'Дивиденды по годам'!K786)&lt;&gt;0),'Дивиденды по годам'!L786/('Дивиденды по годам'!I786-'Дивиденды по годам'!J786-'Дивиденды по годам'!K786),""),"")</f>
        <v/>
      </c>
      <c r="T786" t="str">
        <f>IFERROR(IF(AND('Дивиденды по годам'!Q786&lt;&gt;"",'Дивиденды по годам'!I786&lt;&gt;"",'Дивиденды по годам'!V786&lt;&gt;"",('Дивиденды по годам'!I786+'Дивиденды по годам'!V786)&lt;&gt;0),'Дивиденды по годам'!Q786/(('Дивиденды по годам'!I786+'Дивиденды по годам'!V786)/2),""),"")</f>
        <v/>
      </c>
      <c r="U786" t="str">
        <f>IFERROR(IF(AND('Дивиденды по годам'!J786&lt;&gt;"",'Дивиденды по годам'!K786&lt;&gt;"",'Дивиденды по годам'!M786&lt;&gt;"",'Дивиденды по годам'!M786&lt;&gt;0),('Дивиденды по годам'!J786+'Дивиденды по годам'!K786)/'Дивиденды по годам'!M786,""),"")</f>
        <v/>
      </c>
      <c r="V786" t="str">
        <f>IFERROR(IF(AND('Дивиденды по годам'!J786&lt;&gt;"",'Дивиденды по годам'!K786&lt;&gt;"",'Дивиденды по годам'!M786&lt;&gt;"",'Дивиденды по годам'!I786&lt;&gt;0),('Дивиденды по годам'!J786+'Дивиденды по годам'!K786)/'Дивиденды по годам'!I786,""),"")</f>
        <v/>
      </c>
      <c r="W786" t="str">
        <f>IFERROR('Дивиденды по годам'!I786,"")</f>
        <v/>
      </c>
      <c r="X786" cm="1">
        <f t="array" ref="X786">IFERROR(AVERAGE(_xlfn._xlws.FILTER(P$2:P$1073,($C$2:$C$1073=$C786)*($E$2:$E$1073=$E786)*(ROW(P$2:P$1073)&lt;&gt;ROW(P786))*(P$2:P$1073&lt;&gt;""))),"")</f>
        <v>26.521286940703849</v>
      </c>
      <c r="Y786" cm="1">
        <f t="array" ref="Y786">IFERROR(AVERAGE(_xlfn._xlws.FILTER(Q$2:Q$1073,($C$2:$C$1073=$C786)*($E$2:$E$1073=$E786)*(ROW(Q$2:Q$1073)&lt;&gt;ROW(Q786))*(Q$2:Q$1073&lt;&gt;""))),"")</f>
        <v>0.19369353703050501</v>
      </c>
      <c r="Z786" cm="1">
        <f t="array" ref="Z786">IFERROR(AVERAGE(_xlfn._xlws.FILTER(R$2:R$1073,($C$2:$C$1073=$C786)*($E$2:$E$1073=$E786)*(ROW(R$2:R$1073)&lt;&gt;ROW(R786))*(R$2:R$1073&lt;&gt;""))),"")</f>
        <v>0.14131329588399896</v>
      </c>
      <c r="AA786" cm="1">
        <f t="array" ref="AA786">IFERROR(AVERAGE(_xlfn._xlws.FILTER(S$2:S$1073,($C$2:$C$1073=$C786)*($E$2:$E$1073=$E786)*(ROW(S$2:S$1073)&lt;&gt;ROW(S786))*(S$2:S$1073&lt;&gt;""))),"")</f>
        <v>0.69198231878475358</v>
      </c>
      <c r="AB786" cm="1">
        <f t="array" ref="AB786">IFERROR(AVERAGE(_xlfn._xlws.FILTER(T$2:T$1073,($C$2:$C$1073=$C786)*($E$2:$E$1073=$E786)*(ROW(T$2:T$1073)&lt;&gt;ROW(T786))*(T$2:T$1073&lt;&gt;""))),"")</f>
        <v>0.12648274488223432</v>
      </c>
      <c r="AC786" cm="1">
        <f t="array" ref="AC786">IFERROR(AVERAGE(_xlfn._xlws.FILTER(U$2:U$1073,($C$2:$C$1073=$C786)*($E$2:$E$1073=$E786)*(ROW(U$2:U$1073)&lt;&gt;ROW(U786))*(U$2:U$1073&lt;&gt;""))),"")</f>
        <v>14.735041078316815</v>
      </c>
      <c r="AD786" cm="1">
        <f t="array" ref="AD786">IFERROR(AVERAGE(_xlfn._xlws.FILTER(V$2:V$1073,($C$2:$C$1073=$C786)*($E$2:$E$1073=$E786)*(ROW(V$2:V$1073)&lt;&gt;ROW(V786))*(V$2:V$1073&lt;&gt;""))),"")</f>
        <v>0.73030007244080331</v>
      </c>
      <c r="AE786">
        <f>IF('Дивиденды по годам'!M786&lt;0,1,0)</f>
        <v>0</v>
      </c>
    </row>
    <row r="787" spans="1:31" x14ac:dyDescent="0.2">
      <c r="A787" s="7" t="s">
        <v>2277</v>
      </c>
      <c r="B787" t="str">
        <f t="shared" si="132"/>
        <v>DATA IV кв. 2024</v>
      </c>
      <c r="C787">
        <v>2024</v>
      </c>
      <c r="D787">
        <f>SUMIFS(Дивиденды!$C:$C,Дивиденды!$A:$A,A787,Дивиденды!$I:$I,C787)</f>
        <v>0.86</v>
      </c>
      <c r="E787">
        <v>5</v>
      </c>
      <c r="F787">
        <f t="shared" si="133"/>
        <v>0.86</v>
      </c>
      <c r="G787">
        <f t="shared" si="134"/>
        <v>102.08636363636361</v>
      </c>
      <c r="H787">
        <f t="shared" si="135"/>
        <v>1</v>
      </c>
      <c r="I787">
        <f t="shared" si="136"/>
        <v>0.54545454545454541</v>
      </c>
      <c r="J787">
        <f t="shared" si="137"/>
        <v>1</v>
      </c>
      <c r="K787">
        <f t="shared" si="142"/>
        <v>0.13435847293427927</v>
      </c>
      <c r="L787">
        <f t="shared" si="138"/>
        <v>1</v>
      </c>
      <c r="M787">
        <f t="shared" si="139"/>
        <v>0.27272727272727271</v>
      </c>
      <c r="N787">
        <f t="shared" si="140"/>
        <v>0</v>
      </c>
      <c r="O787">
        <f t="shared" si="141"/>
        <v>0.18181818181818182</v>
      </c>
      <c r="P787">
        <f>IFERROR(LN('Дивиденды по годам'!I787),"")</f>
        <v>22.212437357746587</v>
      </c>
      <c r="Q787">
        <f>IFERROR('Дивиденды по годам'!G787/'Дивиденды по годам'!I787, "")</f>
        <v>1.6485237923490687E-2</v>
      </c>
      <c r="R787">
        <f>IFERROR(IF(AND('Дивиденды по годам'!N787&lt;&gt;"",'Дивиденды по годам'!U787&lt;&gt;"",'Дивиденды по годам'!U787&lt;&gt;0),'Дивиденды по годам'!N787/'Дивиденды по годам'!U787-1,""),"")</f>
        <v>0.52244243151695691</v>
      </c>
      <c r="S787">
        <f>IFERROR(IF(AND('Дивиденды по годам'!L787&lt;&gt;"",'Дивиденды по годам'!I787&lt;&gt;"",'Дивиденды по годам'!J787&lt;&gt;"",'Дивиденды по годам'!K787&lt;&gt;"",('Дивиденды по годам'!I787-'Дивиденды по годам'!J787-'Дивиденды по годам'!K787)&lt;&gt;0),'Дивиденды по годам'!L787/('Дивиденды по годам'!I787-'Дивиденды по годам'!J787-'Дивиденды по годам'!K787),""),"")</f>
        <v>0.87048976341165651</v>
      </c>
      <c r="T787">
        <f>IFERROR(IF(AND('Дивиденды по годам'!Q787&lt;&gt;"",'Дивиденды по годам'!I787&lt;&gt;"",'Дивиденды по годам'!V787&lt;&gt;"",('Дивиденды по годам'!I787+'Дивиденды по годам'!V787)&lt;&gt;0),'Дивиденды по годам'!Q787/(('Дивиденды по годам'!I787+'Дивиденды по годам'!V787)/2),""),"")</f>
        <v>0.49769532246421605</v>
      </c>
      <c r="U787">
        <f>IFERROR(IF(AND('Дивиденды по годам'!J787&lt;&gt;"",'Дивиденды по годам'!K787&lt;&gt;"",'Дивиденды по годам'!M787&lt;&gt;"",'Дивиденды по годам'!M787&lt;&gt;0),('Дивиденды по годам'!J787+'Дивиденды по годам'!K787)/'Дивиденды по годам'!M787,""),"")</f>
        <v>0.8593156371923435</v>
      </c>
      <c r="V787">
        <f>IFERROR(IF(AND('Дивиденды по годам'!J787&lt;&gt;"",'Дивиденды по годам'!K787&lt;&gt;"",'Дивиденды по годам'!M787&lt;&gt;"",'Дивиденды по годам'!I787&lt;&gt;0),('Дивиденды по годам'!J787+'Дивиденды по годам'!K787)/'Дивиденды по годам'!I787,""),"")</f>
        <v>0.46216770299955723</v>
      </c>
      <c r="W787">
        <f>IFERROR('Дивиденды по годам'!I787,"")</f>
        <v>4433421000</v>
      </c>
      <c r="X787" cm="1">
        <f t="array" ref="X787">IFERROR(AVERAGE(_xlfn._xlws.FILTER(P$2:P$1073,($C$2:$C$1073=$C787)*($E$2:$E$1073=$E787)*(ROW(P$2:P$1073)&lt;&gt;ROW(P787))*(P$2:P$1073&lt;&gt;""))),"")</f>
        <v>25.683883853641575</v>
      </c>
      <c r="Y787" cm="1">
        <f t="array" ref="Y787">IFERROR(AVERAGE(_xlfn._xlws.FILTER(Q$2:Q$1073,($C$2:$C$1073=$C787)*($E$2:$E$1073=$E787)*(ROW(Q$2:Q$1073)&lt;&gt;ROW(Q787))*(Q$2:Q$1073&lt;&gt;""))),"")</f>
        <v>0.14785505960810885</v>
      </c>
      <c r="Z787" cm="1">
        <f t="array" ref="Z787">IFERROR(AVERAGE(_xlfn._xlws.FILTER(R$2:R$1073,($C$2:$C$1073=$C787)*($E$2:$E$1073=$E787)*(ROW(R$2:R$1073)&lt;&gt;ROW(R787))*(R$2:R$1073&lt;&gt;""))),"")</f>
        <v>0.23193961175495931</v>
      </c>
      <c r="AA787" cm="1">
        <f t="array" ref="AA787">IFERROR(AVERAGE(_xlfn._xlws.FILTER(S$2:S$1073,($C$2:$C$1073=$C787)*($E$2:$E$1073=$E787)*(ROW(S$2:S$1073)&lt;&gt;ROW(S787))*(S$2:S$1073&lt;&gt;""))),"")</f>
        <v>-0.32735801936413478</v>
      </c>
      <c r="AB787" cm="1">
        <f t="array" ref="AB787">IFERROR(AVERAGE(_xlfn._xlws.FILTER(T$2:T$1073,($C$2:$C$1073=$C787)*($E$2:$E$1073=$E787)*(ROW(T$2:T$1073)&lt;&gt;ROW(T787))*(T$2:T$1073&lt;&gt;""))),"")</f>
        <v>0.16137754904410853</v>
      </c>
      <c r="AC787" cm="1">
        <f t="array" ref="AC787">IFERROR(AVERAGE(_xlfn._xlws.FILTER(U$2:U$1073,($C$2:$C$1073=$C787)*($E$2:$E$1073=$E787)*(ROW(U$2:U$1073)&lt;&gt;ROW(U787))*(U$2:U$1073&lt;&gt;""))),"")</f>
        <v>-12.375318329568715</v>
      </c>
      <c r="AD787" cm="1">
        <f t="array" ref="AD787">IFERROR(AVERAGE(_xlfn._xlws.FILTER(V$2:V$1073,($C$2:$C$1073=$C787)*($E$2:$E$1073=$E787)*(ROW(V$2:V$1073)&lt;&gt;ROW(V787))*(V$2:V$1073&lt;&gt;""))),"")</f>
        <v>0.7194246538068293</v>
      </c>
      <c r="AE787">
        <f>IF('Дивиденды по годам'!M787&lt;0,1,0)</f>
        <v>0</v>
      </c>
    </row>
    <row r="788" spans="1:31" x14ac:dyDescent="0.2">
      <c r="A788" s="7" t="s">
        <v>2277</v>
      </c>
      <c r="B788" t="str">
        <f t="shared" si="132"/>
        <v>DATA IV кв. 2023</v>
      </c>
      <c r="C788">
        <v>2023</v>
      </c>
      <c r="D788">
        <f>SUMIFS(Дивиденды!$C:$C,Дивиденды!$A:$A,A788,Дивиденды!$I:$I,C788)</f>
        <v>0</v>
      </c>
      <c r="E788">
        <v>5</v>
      </c>
      <c r="F788">
        <f t="shared" si="133"/>
        <v>0</v>
      </c>
      <c r="G788">
        <f t="shared" si="134"/>
        <v>17.214545454545455</v>
      </c>
      <c r="H788">
        <f t="shared" si="135"/>
        <v>0</v>
      </c>
      <c r="I788">
        <f t="shared" si="136"/>
        <v>0.27272727272727271</v>
      </c>
      <c r="J788">
        <f t="shared" si="137"/>
        <v>0</v>
      </c>
      <c r="K788">
        <f t="shared" si="142"/>
        <v>0.2713254911425303</v>
      </c>
      <c r="L788">
        <f t="shared" si="138"/>
        <v>0</v>
      </c>
      <c r="M788">
        <f t="shared" si="139"/>
        <v>0.27272727272727271</v>
      </c>
      <c r="N788">
        <f t="shared" si="140"/>
        <v>0</v>
      </c>
      <c r="O788">
        <f t="shared" si="141"/>
        <v>0</v>
      </c>
      <c r="P788">
        <f>IFERROR(LN('Дивиденды по годам'!I788),"")</f>
        <v>21.934066875727925</v>
      </c>
      <c r="Q788">
        <f>IFERROR('Дивиденды по годам'!G788/'Дивиденды по годам'!I788, "")</f>
        <v>1.6088865528941902E-2</v>
      </c>
      <c r="R788" t="str">
        <f>IFERROR(IF(AND('Дивиденды по годам'!N788&lt;&gt;"",'Дивиденды по годам'!U788&lt;&gt;"",'Дивиденды по годам'!U788&lt;&gt;0),'Дивиденды по годам'!N788/'Дивиденды по годам'!U788-1,""),"")</f>
        <v/>
      </c>
      <c r="S788">
        <f>IFERROR(IF(AND('Дивиденды по годам'!L788&lt;&gt;"",'Дивиденды по годам'!I788&lt;&gt;"",'Дивиденды по годам'!J788&lt;&gt;"",'Дивиденды по годам'!K788&lt;&gt;"",('Дивиденды по годам'!I788-'Дивиденды по годам'!J788-'Дивиденды по годам'!K788)&lt;&gt;0),'Дивиденды по годам'!L788/('Дивиденды по годам'!I788-'Дивиденды по годам'!J788-'Дивиденды по годам'!K788),""),"")</f>
        <v>0.87131823486453785</v>
      </c>
      <c r="T788" t="str">
        <f>IFERROR(IF(AND('Дивиденды по годам'!Q788&lt;&gt;"",'Дивиденды по годам'!I788&lt;&gt;"",'Дивиденды по годам'!V788&lt;&gt;"",('Дивиденды по годам'!I788+'Дивиденды по годам'!V788)&lt;&gt;0),'Дивиденды по годам'!Q788/(('Дивиденды по годам'!I788+'Дивиденды по годам'!V788)/2),""),"")</f>
        <v/>
      </c>
      <c r="U788">
        <f>IFERROR(IF(AND('Дивиденды по годам'!J788&lt;&gt;"",'Дивиденды по годам'!K788&lt;&gt;"",'Дивиденды по годам'!M788&lt;&gt;"",'Дивиденды по годам'!M788&lt;&gt;0),('Дивиденды по годам'!J788+'Дивиденды по годам'!K788)/'Дивиденды по годам'!M788,""),"")</f>
        <v>0.85538573294760678</v>
      </c>
      <c r="V788">
        <f>IFERROR(IF(AND('Дивиденды по годам'!J788&lt;&gt;"",'Дивиденды по годам'!K788&lt;&gt;"",'Дивиденды по годам'!M788&lt;&gt;"",'Дивиденды по годам'!I788&lt;&gt;0),('Дивиденды по годам'!J788+'Дивиденды по годам'!K788)/'Дивиденды по годам'!I788,""),"")</f>
        <v>0.46102851701283487</v>
      </c>
      <c r="W788">
        <f>IFERROR('Дивиденды по годам'!I788,"")</f>
        <v>3356172000</v>
      </c>
      <c r="X788" cm="1">
        <f t="array" ref="X788">IFERROR(AVERAGE(_xlfn._xlws.FILTER(P$2:P$1073,($C$2:$C$1073=$C788)*($E$2:$E$1073=$E788)*(ROW(P$2:P$1073)&lt;&gt;ROW(P788))*(P$2:P$1073&lt;&gt;""))),"")</f>
        <v>25.271789620959641</v>
      </c>
      <c r="Y788" cm="1">
        <f t="array" ref="Y788">IFERROR(AVERAGE(_xlfn._xlws.FILTER(Q$2:Q$1073,($C$2:$C$1073=$C788)*($E$2:$E$1073=$E788)*(ROW(Q$2:Q$1073)&lt;&gt;ROW(Q788))*(Q$2:Q$1073&lt;&gt;""))),"")</f>
        <v>0.12948659759320844</v>
      </c>
      <c r="Z788" cm="1">
        <f t="array" ref="Z788">IFERROR(AVERAGE(_xlfn._xlws.FILTER(R$2:R$1073,($C$2:$C$1073=$C788)*($E$2:$E$1073=$E788)*(ROW(R$2:R$1073)&lt;&gt;ROW(R788))*(R$2:R$1073&lt;&gt;""))),"")</f>
        <v>0.43171849086064124</v>
      </c>
      <c r="AA788" cm="1">
        <f t="array" ref="AA788">IFERROR(AVERAGE(_xlfn._xlws.FILTER(S$2:S$1073,($C$2:$C$1073=$C788)*($E$2:$E$1073=$E788)*(ROW(S$2:S$1073)&lt;&gt;ROW(S788))*(S$2:S$1073&lt;&gt;""))),"")</f>
        <v>0.67988456569220612</v>
      </c>
      <c r="AB788" cm="1">
        <f t="array" ref="AB788">IFERROR(AVERAGE(_xlfn._xlws.FILTER(T$2:T$1073,($C$2:$C$1073=$C788)*($E$2:$E$1073=$E788)*(ROW(T$2:T$1073)&lt;&gt;ROW(T788))*(T$2:T$1073&lt;&gt;""))),"")</f>
        <v>0.16503536613583741</v>
      </c>
      <c r="AC788" cm="1">
        <f t="array" ref="AC788">IFERROR(AVERAGE(_xlfn._xlws.FILTER(U$2:U$1073,($C$2:$C$1073=$C788)*($E$2:$E$1073=$E788)*(ROW(U$2:U$1073)&lt;&gt;ROW(U788))*(U$2:U$1073&lt;&gt;""))),"")</f>
        <v>95.893799865796922</v>
      </c>
      <c r="AD788" cm="1">
        <f t="array" ref="AD788">IFERROR(AVERAGE(_xlfn._xlws.FILTER(V$2:V$1073,($C$2:$C$1073=$C788)*($E$2:$E$1073=$E788)*(ROW(V$2:V$1073)&lt;&gt;ROW(V788))*(V$2:V$1073&lt;&gt;""))),"")</f>
        <v>0.65494197166997692</v>
      </c>
      <c r="AE788">
        <f>IF('Дивиденды по годам'!M788&lt;0,1,0)</f>
        <v>0</v>
      </c>
    </row>
    <row r="789" spans="1:31" x14ac:dyDescent="0.2">
      <c r="A789" s="7" t="s">
        <v>2277</v>
      </c>
      <c r="B789" t="str">
        <f t="shared" si="132"/>
        <v>DATA IV кв. 2022</v>
      </c>
      <c r="C789">
        <v>2022</v>
      </c>
      <c r="D789">
        <f>SUMIFS(Дивиденды!$C:$C,Дивиденды!$A:$A,A789,Дивиденды!$I:$I,C789)</f>
        <v>0</v>
      </c>
      <c r="E789">
        <v>5</v>
      </c>
      <c r="F789">
        <f t="shared" si="133"/>
        <v>0</v>
      </c>
      <c r="G789">
        <f t="shared" si="134"/>
        <v>7.1127272727272723</v>
      </c>
      <c r="H789">
        <f t="shared" si="135"/>
        <v>0</v>
      </c>
      <c r="I789">
        <f t="shared" si="136"/>
        <v>0.27272727272727271</v>
      </c>
      <c r="J789">
        <f t="shared" si="137"/>
        <v>0</v>
      </c>
      <c r="K789">
        <f t="shared" si="142"/>
        <v>8.7952066899435327E-2</v>
      </c>
      <c r="L789">
        <f t="shared" si="138"/>
        <v>0</v>
      </c>
      <c r="M789">
        <f t="shared" si="139"/>
        <v>0.18181818181818182</v>
      </c>
      <c r="N789">
        <f t="shared" si="140"/>
        <v>0</v>
      </c>
      <c r="O789">
        <f t="shared" si="141"/>
        <v>9.0909090909090912E-2</v>
      </c>
      <c r="P789" t="str">
        <f>IFERROR(LN('Дивиденды по годам'!I789),"")</f>
        <v/>
      </c>
      <c r="Q789" t="str">
        <f>IFERROR('Дивиденды по годам'!G789/'Дивиденды по годам'!I789, "")</f>
        <v/>
      </c>
      <c r="R789" t="str">
        <f>IFERROR(IF(AND('Дивиденды по годам'!N789&lt;&gt;"",'Дивиденды по годам'!U789&lt;&gt;"",'Дивиденды по годам'!U789&lt;&gt;0),'Дивиденды по годам'!N789/'Дивиденды по годам'!U789-1,""),"")</f>
        <v/>
      </c>
      <c r="S789" t="str">
        <f>IFERROR(IF(AND('Дивиденды по годам'!L789&lt;&gt;"",'Дивиденды по годам'!I789&lt;&gt;"",'Дивиденды по годам'!J789&lt;&gt;"",'Дивиденды по годам'!K789&lt;&gt;"",('Дивиденды по годам'!I789-'Дивиденды по годам'!J789-'Дивиденды по годам'!K789)&lt;&gt;0),'Дивиденды по годам'!L789/('Дивиденды по годам'!I789-'Дивиденды по годам'!J789-'Дивиденды по годам'!K789),""),"")</f>
        <v/>
      </c>
      <c r="T789" t="str">
        <f>IFERROR(IF(AND('Дивиденды по годам'!Q789&lt;&gt;"",'Дивиденды по годам'!I789&lt;&gt;"",'Дивиденды по годам'!V789&lt;&gt;"",('Дивиденды по годам'!I789+'Дивиденды по годам'!V789)&lt;&gt;0),'Дивиденды по годам'!Q789/(('Дивиденды по годам'!I789+'Дивиденды по годам'!V789)/2),""),"")</f>
        <v/>
      </c>
      <c r="U789" t="str">
        <f>IFERROR(IF(AND('Дивиденды по годам'!J789&lt;&gt;"",'Дивиденды по годам'!K789&lt;&gt;"",'Дивиденды по годам'!M789&lt;&gt;"",'Дивиденды по годам'!M789&lt;&gt;0),('Дивиденды по годам'!J789+'Дивиденды по годам'!K789)/'Дивиденды по годам'!M789,""),"")</f>
        <v/>
      </c>
      <c r="V789" t="str">
        <f>IFERROR(IF(AND('Дивиденды по годам'!J789&lt;&gt;"",'Дивиденды по годам'!K789&lt;&gt;"",'Дивиденды по годам'!M789&lt;&gt;"",'Дивиденды по годам'!I789&lt;&gt;0),('Дивиденды по годам'!J789+'Дивиденды по годам'!K789)/'Дивиденды по годам'!I789,""),"")</f>
        <v/>
      </c>
      <c r="W789" t="str">
        <f>IFERROR('Дивиденды по годам'!I789,"")</f>
        <v/>
      </c>
      <c r="X789" cm="1">
        <f t="array" ref="X789">IFERROR(AVERAGE(_xlfn._xlws.FILTER(P$2:P$1073,($C$2:$C$1073=$C789)*($E$2:$E$1073=$E789)*(ROW(P$2:P$1073)&lt;&gt;ROW(P789))*(P$2:P$1073&lt;&gt;""))),"")</f>
        <v>24.993376890782685</v>
      </c>
      <c r="Y789" cm="1">
        <f t="array" ref="Y789">IFERROR(AVERAGE(_xlfn._xlws.FILTER(Q$2:Q$1073,($C$2:$C$1073=$C789)*($E$2:$E$1073=$E789)*(ROW(Q$2:Q$1073)&lt;&gt;ROW(Q789))*(Q$2:Q$1073&lt;&gt;""))),"")</f>
        <v>0.10312885530309761</v>
      </c>
      <c r="Z789" cm="1">
        <f t="array" ref="Z789">IFERROR(AVERAGE(_xlfn._xlws.FILTER(R$2:R$1073,($C$2:$C$1073=$C789)*($E$2:$E$1073=$E789)*(ROW(R$2:R$1073)&lt;&gt;ROW(R789))*(R$2:R$1073&lt;&gt;""))),"")</f>
        <v>0.57613604172059418</v>
      </c>
      <c r="AA789" cm="1">
        <f t="array" ref="AA789">IFERROR(AVERAGE(_xlfn._xlws.FILTER(S$2:S$1073,($C$2:$C$1073=$C789)*($E$2:$E$1073=$E789)*(ROW(S$2:S$1073)&lt;&gt;ROW(S789))*(S$2:S$1073&lt;&gt;""))),"")</f>
        <v>0.79975694618495274</v>
      </c>
      <c r="AB789" cm="1">
        <f t="array" ref="AB789">IFERROR(AVERAGE(_xlfn._xlws.FILTER(T$2:T$1073,($C$2:$C$1073=$C789)*($E$2:$E$1073=$E789)*(ROW(T$2:T$1073)&lt;&gt;ROW(T789))*(T$2:T$1073&lt;&gt;""))),"")</f>
        <v>0.34864704859118889</v>
      </c>
      <c r="AC789" cm="1">
        <f t="array" ref="AC789">IFERROR(AVERAGE(_xlfn._xlws.FILTER(U$2:U$1073,($C$2:$C$1073=$C789)*($E$2:$E$1073=$E789)*(ROW(U$2:U$1073)&lt;&gt;ROW(U789))*(U$2:U$1073&lt;&gt;""))),"")</f>
        <v>-58.279622636108527</v>
      </c>
      <c r="AD789" cm="1">
        <f t="array" ref="AD789">IFERROR(AVERAGE(_xlfn._xlws.FILTER(V$2:V$1073,($C$2:$C$1073=$C789)*($E$2:$E$1073=$E789)*(ROW(V$2:V$1073)&lt;&gt;ROW(V789))*(V$2:V$1073&lt;&gt;""))),"")</f>
        <v>0.72118797865619422</v>
      </c>
      <c r="AE789">
        <f>IF('Дивиденды по годам'!M789&lt;0,1,0)</f>
        <v>0</v>
      </c>
    </row>
    <row r="790" spans="1:31" x14ac:dyDescent="0.2">
      <c r="A790" s="7" t="s">
        <v>2277</v>
      </c>
      <c r="B790" t="str">
        <f t="shared" si="132"/>
        <v>DATA IV кв. 2021</v>
      </c>
      <c r="C790">
        <v>2021</v>
      </c>
      <c r="D790">
        <f>SUMIFS(Дивиденды!$C:$C,Дивиденды!$A:$A,A790,Дивиденды!$I:$I,C790)</f>
        <v>0</v>
      </c>
      <c r="E790">
        <v>5</v>
      </c>
      <c r="F790">
        <f t="shared" si="133"/>
        <v>0</v>
      </c>
      <c r="G790">
        <f t="shared" si="134"/>
        <v>4.450909090909092</v>
      </c>
      <c r="H790">
        <f t="shared" si="135"/>
        <v>0</v>
      </c>
      <c r="I790">
        <f t="shared" si="136"/>
        <v>0.18181818181818182</v>
      </c>
      <c r="J790">
        <f t="shared" si="137"/>
        <v>0</v>
      </c>
      <c r="K790">
        <f t="shared" si="142"/>
        <v>1.4983788220808552E-2</v>
      </c>
      <c r="L790">
        <f t="shared" si="138"/>
        <v>0</v>
      </c>
      <c r="M790">
        <f t="shared" si="139"/>
        <v>9.0909090909090912E-2</v>
      </c>
      <c r="N790">
        <f t="shared" si="140"/>
        <v>0</v>
      </c>
      <c r="O790">
        <f t="shared" si="141"/>
        <v>9.0909090909090912E-2</v>
      </c>
      <c r="P790" t="str">
        <f>IFERROR(LN('Дивиденды по годам'!I790),"")</f>
        <v/>
      </c>
      <c r="Q790" t="str">
        <f>IFERROR('Дивиденды по годам'!G790/'Дивиденды по годам'!I790, "")</f>
        <v/>
      </c>
      <c r="R790" t="str">
        <f>IFERROR(IF(AND('Дивиденды по годам'!N790&lt;&gt;"",'Дивиденды по годам'!U790&lt;&gt;"",'Дивиденды по годам'!U790&lt;&gt;0),'Дивиденды по годам'!N790/'Дивиденды по годам'!U790-1,""),"")</f>
        <v/>
      </c>
      <c r="S790" t="str">
        <f>IFERROR(IF(AND('Дивиденды по годам'!L790&lt;&gt;"",'Дивиденды по годам'!I790&lt;&gt;"",'Дивиденды по годам'!J790&lt;&gt;"",'Дивиденды по годам'!K790&lt;&gt;"",('Дивиденды по годам'!I790-'Дивиденды по годам'!J790-'Дивиденды по годам'!K790)&lt;&gt;0),'Дивиденды по годам'!L790/('Дивиденды по годам'!I790-'Дивиденды по годам'!J790-'Дивиденды по годам'!K790),""),"")</f>
        <v/>
      </c>
      <c r="T790" t="str">
        <f>IFERROR(IF(AND('Дивиденды по годам'!Q790&lt;&gt;"",'Дивиденды по годам'!I790&lt;&gt;"",'Дивиденды по годам'!V790&lt;&gt;"",('Дивиденды по годам'!I790+'Дивиденды по годам'!V790)&lt;&gt;0),'Дивиденды по годам'!Q790/(('Дивиденды по годам'!I790+'Дивиденды по годам'!V790)/2),""),"")</f>
        <v/>
      </c>
      <c r="U790" t="str">
        <f>IFERROR(IF(AND('Дивиденды по годам'!J790&lt;&gt;"",'Дивиденды по годам'!K790&lt;&gt;"",'Дивиденды по годам'!M790&lt;&gt;"",'Дивиденды по годам'!M790&lt;&gt;0),('Дивиденды по годам'!J790+'Дивиденды по годам'!K790)/'Дивиденды по годам'!M790,""),"")</f>
        <v/>
      </c>
      <c r="V790" t="str">
        <f>IFERROR(IF(AND('Дивиденды по годам'!J790&lt;&gt;"",'Дивиденды по годам'!K790&lt;&gt;"",'Дивиденды по годам'!M790&lt;&gt;"",'Дивиденды по годам'!I790&lt;&gt;0),('Дивиденды по годам'!J790+'Дивиденды по годам'!K790)/'Дивиденды по годам'!I790,""),"")</f>
        <v/>
      </c>
      <c r="W790" t="str">
        <f>IFERROR('Дивиденды по годам'!I790,"")</f>
        <v/>
      </c>
      <c r="X790" cm="1">
        <f t="array" ref="X790">IFERROR(AVERAGE(_xlfn._xlws.FILTER(P$2:P$1073,($C$2:$C$1073=$C790)*($E$2:$E$1073=$E790)*(ROW(P$2:P$1073)&lt;&gt;ROW(P790))*(P$2:P$1073&lt;&gt;""))),"")</f>
        <v>24.814330558799487</v>
      </c>
      <c r="Y790" cm="1">
        <f t="array" ref="Y790">IFERROR(AVERAGE(_xlfn._xlws.FILTER(Q$2:Q$1073,($C$2:$C$1073=$C790)*($E$2:$E$1073=$E790)*(ROW(Q$2:Q$1073)&lt;&gt;ROW(Q790))*(Q$2:Q$1073&lt;&gt;""))),"")</f>
        <v>0.19534356994799099</v>
      </c>
      <c r="Z790" cm="1">
        <f t="array" ref="Z790">IFERROR(AVERAGE(_xlfn._xlws.FILTER(R$2:R$1073,($C$2:$C$1073=$C790)*($E$2:$E$1073=$E790)*(ROW(R$2:R$1073)&lt;&gt;ROW(R790))*(R$2:R$1073&lt;&gt;""))),"")</f>
        <v>9.4863731161179049E-2</v>
      </c>
      <c r="AA790" cm="1">
        <f t="array" ref="AA790">IFERROR(AVERAGE(_xlfn._xlws.FILTER(S$2:S$1073,($C$2:$C$1073=$C790)*($E$2:$E$1073=$E790)*(ROW(S$2:S$1073)&lt;&gt;ROW(S790))*(S$2:S$1073&lt;&gt;""))),"")</f>
        <v>1.8501010961498143</v>
      </c>
      <c r="AB790" cm="1">
        <f t="array" ref="AB790">IFERROR(AVERAGE(_xlfn._xlws.FILTER(T$2:T$1073,($C$2:$C$1073=$C790)*($E$2:$E$1073=$E790)*(ROW(T$2:T$1073)&lt;&gt;ROW(T790))*(T$2:T$1073&lt;&gt;""))),"")</f>
        <v>9.1596142313276091E-2</v>
      </c>
      <c r="AC790" cm="1">
        <f t="array" ref="AC790">IFERROR(AVERAGE(_xlfn._xlws.FILTER(U$2:U$1073,($C$2:$C$1073=$C790)*($E$2:$E$1073=$E790)*(ROW(U$2:U$1073)&lt;&gt;ROW(U790))*(U$2:U$1073&lt;&gt;""))),"")</f>
        <v>21.700846854369502</v>
      </c>
      <c r="AD790" cm="1">
        <f t="array" ref="AD790">IFERROR(AVERAGE(_xlfn._xlws.FILTER(V$2:V$1073,($C$2:$C$1073=$C790)*($E$2:$E$1073=$E790)*(ROW(V$2:V$1073)&lt;&gt;ROW(V790))*(V$2:V$1073&lt;&gt;""))),"")</f>
        <v>0.85910201160215871</v>
      </c>
      <c r="AE790">
        <f>IF('Дивиденды по годам'!M790&lt;0,1,0)</f>
        <v>0</v>
      </c>
    </row>
    <row r="791" spans="1:31" x14ac:dyDescent="0.2">
      <c r="A791" s="7" t="s">
        <v>2277</v>
      </c>
      <c r="B791" t="str">
        <f t="shared" si="132"/>
        <v>DATA IV кв. 2020</v>
      </c>
      <c r="C791">
        <v>2020</v>
      </c>
      <c r="D791">
        <f>SUMIFS(Дивиденды!$C:$C,Дивиденды!$A:$A,A791,Дивиденды!$I:$I,C791)</f>
        <v>0</v>
      </c>
      <c r="E791">
        <v>5</v>
      </c>
      <c r="F791">
        <f t="shared" si="133"/>
        <v>0</v>
      </c>
      <c r="G791">
        <f t="shared" si="134"/>
        <v>3.6763636363636363</v>
      </c>
      <c r="H791">
        <f t="shared" si="135"/>
        <v>0</v>
      </c>
      <c r="I791">
        <f t="shared" si="136"/>
        <v>0.18181818181818182</v>
      </c>
      <c r="J791">
        <f t="shared" si="137"/>
        <v>0</v>
      </c>
      <c r="K791">
        <f t="shared" si="142"/>
        <v>-1.5101604278074872E-2</v>
      </c>
      <c r="L791">
        <f t="shared" si="138"/>
        <v>0</v>
      </c>
      <c r="M791">
        <f t="shared" si="139"/>
        <v>0</v>
      </c>
      <c r="N791">
        <f t="shared" si="140"/>
        <v>0</v>
      </c>
      <c r="O791">
        <f t="shared" si="141"/>
        <v>9.0909090909090912E-2</v>
      </c>
      <c r="P791" t="str">
        <f>IFERROR(LN('Дивиденды по годам'!I791),"")</f>
        <v/>
      </c>
      <c r="Q791" t="str">
        <f>IFERROR('Дивиденды по годам'!G791/'Дивиденды по годам'!I791, "")</f>
        <v/>
      </c>
      <c r="R791" t="str">
        <f>IFERROR(IF(AND('Дивиденды по годам'!N791&lt;&gt;"",'Дивиденды по годам'!U791&lt;&gt;"",'Дивиденды по годам'!U791&lt;&gt;0),'Дивиденды по годам'!N791/'Дивиденды по годам'!U791-1,""),"")</f>
        <v/>
      </c>
      <c r="S791" t="str">
        <f>IFERROR(IF(AND('Дивиденды по годам'!L791&lt;&gt;"",'Дивиденды по годам'!I791&lt;&gt;"",'Дивиденды по годам'!J791&lt;&gt;"",'Дивиденды по годам'!K791&lt;&gt;"",('Дивиденды по годам'!I791-'Дивиденды по годам'!J791-'Дивиденды по годам'!K791)&lt;&gt;0),'Дивиденды по годам'!L791/('Дивиденды по годам'!I791-'Дивиденды по годам'!J791-'Дивиденды по годам'!K791),""),"")</f>
        <v/>
      </c>
      <c r="T791" t="str">
        <f>IFERROR(IF(AND('Дивиденды по годам'!Q791&lt;&gt;"",'Дивиденды по годам'!I791&lt;&gt;"",'Дивиденды по годам'!V791&lt;&gt;"",('Дивиденды по годам'!I791+'Дивиденды по годам'!V791)&lt;&gt;0),'Дивиденды по годам'!Q791/(('Дивиденды по годам'!I791+'Дивиденды по годам'!V791)/2),""),"")</f>
        <v/>
      </c>
      <c r="U791" t="str">
        <f>IFERROR(IF(AND('Дивиденды по годам'!J791&lt;&gt;"",'Дивиденды по годам'!K791&lt;&gt;"",'Дивиденды по годам'!M791&lt;&gt;"",'Дивиденды по годам'!M791&lt;&gt;0),('Дивиденды по годам'!J791+'Дивиденды по годам'!K791)/'Дивиденды по годам'!M791,""),"")</f>
        <v/>
      </c>
      <c r="V791" t="str">
        <f>IFERROR(IF(AND('Дивиденды по годам'!J791&lt;&gt;"",'Дивиденды по годам'!K791&lt;&gt;"",'Дивиденды по годам'!M791&lt;&gt;"",'Дивиденды по годам'!I791&lt;&gt;0),('Дивиденды по годам'!J791+'Дивиденды по годам'!K791)/'Дивиденды по годам'!I791,""),"")</f>
        <v/>
      </c>
      <c r="W791" t="str">
        <f>IFERROR('Дивиденды по годам'!I791,"")</f>
        <v/>
      </c>
      <c r="X791" cm="1">
        <f t="array" ref="X791">IFERROR(AVERAGE(_xlfn._xlws.FILTER(P$2:P$1073,($C$2:$C$1073=$C791)*($E$2:$E$1073=$E791)*(ROW(P$2:P$1073)&lt;&gt;ROW(P791))*(P$2:P$1073&lt;&gt;""))),"")</f>
        <v>25.49408392578281</v>
      </c>
      <c r="Y791" cm="1">
        <f t="array" ref="Y791">IFERROR(AVERAGE(_xlfn._xlws.FILTER(Q$2:Q$1073,($C$2:$C$1073=$C791)*($E$2:$E$1073=$E791)*(ROW(Q$2:Q$1073)&lt;&gt;ROW(Q791))*(Q$2:Q$1073&lt;&gt;""))),"")</f>
        <v>0.23831030393306155</v>
      </c>
      <c r="Z791" cm="1">
        <f t="array" ref="Z791">IFERROR(AVERAGE(_xlfn._xlws.FILTER(R$2:R$1073,($C$2:$C$1073=$C791)*($E$2:$E$1073=$E791)*(ROW(R$2:R$1073)&lt;&gt;ROW(R791))*(R$2:R$1073&lt;&gt;""))),"")</f>
        <v>0.42097945466997094</v>
      </c>
      <c r="AA791" cm="1">
        <f t="array" ref="AA791">IFERROR(AVERAGE(_xlfn._xlws.FILTER(S$2:S$1073,($C$2:$C$1073=$C791)*($E$2:$E$1073=$E791)*(ROW(S$2:S$1073)&lt;&gt;ROW(S791))*(S$2:S$1073&lt;&gt;""))),"")</f>
        <v>1.383012856761217</v>
      </c>
      <c r="AB791" cm="1">
        <f t="array" ref="AB791">IFERROR(AVERAGE(_xlfn._xlws.FILTER(T$2:T$1073,($C$2:$C$1073=$C791)*($E$2:$E$1073=$E791)*(ROW(T$2:T$1073)&lt;&gt;ROW(T791))*(T$2:T$1073&lt;&gt;""))),"")</f>
        <v>0.12042080749921591</v>
      </c>
      <c r="AC791" cm="1">
        <f t="array" ref="AC791">IFERROR(AVERAGE(_xlfn._xlws.FILTER(U$2:U$1073,($C$2:$C$1073=$C791)*($E$2:$E$1073=$E791)*(ROW(U$2:U$1073)&lt;&gt;ROW(U791))*(U$2:U$1073&lt;&gt;""))),"")</f>
        <v>9.6677963358881698</v>
      </c>
      <c r="AD791" cm="1">
        <f t="array" ref="AD791">IFERROR(AVERAGE(_xlfn._xlws.FILTER(V$2:V$1073,($C$2:$C$1073=$C791)*($E$2:$E$1073=$E791)*(ROW(V$2:V$1073)&lt;&gt;ROW(V791))*(V$2:V$1073&lt;&gt;""))),"")</f>
        <v>0.80624783688388657</v>
      </c>
      <c r="AE791">
        <f>IF('Дивиденды по годам'!M791&lt;0,1,0)</f>
        <v>0</v>
      </c>
    </row>
    <row r="792" spans="1:31" x14ac:dyDescent="0.2">
      <c r="A792" s="7" t="s">
        <v>2277</v>
      </c>
      <c r="B792" t="str">
        <f t="shared" si="132"/>
        <v>DATA IV кв. 2019</v>
      </c>
      <c r="C792">
        <v>2019</v>
      </c>
      <c r="D792">
        <f>SUMIFS(Дивиденды!$C:$C,Дивиденды!$A:$A,A792,Дивиденды!$I:$I,C792)</f>
        <v>0</v>
      </c>
      <c r="E792">
        <v>5</v>
      </c>
      <c r="F792">
        <f t="shared" si="133"/>
        <v>0</v>
      </c>
      <c r="G792">
        <f t="shared" si="134"/>
        <v>4.3181818181818183</v>
      </c>
      <c r="H792">
        <f t="shared" si="135"/>
        <v>0</v>
      </c>
      <c r="I792">
        <f t="shared" si="136"/>
        <v>0.18181818181818182</v>
      </c>
      <c r="J792">
        <f t="shared" si="137"/>
        <v>0</v>
      </c>
      <c r="K792">
        <f t="shared" si="142"/>
        <v>8.0199694017231649E-2</v>
      </c>
      <c r="L792">
        <f t="shared" si="138"/>
        <v>0</v>
      </c>
      <c r="M792">
        <f t="shared" si="139"/>
        <v>9.0909090909090912E-2</v>
      </c>
      <c r="N792">
        <f t="shared" si="140"/>
        <v>0</v>
      </c>
      <c r="O792">
        <f t="shared" si="141"/>
        <v>0</v>
      </c>
      <c r="P792" t="str">
        <f>IFERROR(LN('Дивиденды по годам'!I792),"")</f>
        <v/>
      </c>
      <c r="Q792" t="str">
        <f>IFERROR('Дивиденды по годам'!G792/'Дивиденды по годам'!I792, "")</f>
        <v/>
      </c>
      <c r="R792" t="str">
        <f>IFERROR(IF(AND('Дивиденды по годам'!N792&lt;&gt;"",'Дивиденды по годам'!U792&lt;&gt;"",'Дивиденды по годам'!U792&lt;&gt;0),'Дивиденды по годам'!N792/'Дивиденды по годам'!U792-1,""),"")</f>
        <v/>
      </c>
      <c r="S792" t="str">
        <f>IFERROR(IF(AND('Дивиденды по годам'!L792&lt;&gt;"",'Дивиденды по годам'!I792&lt;&gt;"",'Дивиденды по годам'!J792&lt;&gt;"",'Дивиденды по годам'!K792&lt;&gt;"",('Дивиденды по годам'!I792-'Дивиденды по годам'!J792-'Дивиденды по годам'!K792)&lt;&gt;0),'Дивиденды по годам'!L792/('Дивиденды по годам'!I792-'Дивиденды по годам'!J792-'Дивиденды по годам'!K792),""),"")</f>
        <v/>
      </c>
      <c r="T792" t="str">
        <f>IFERROR(IF(AND('Дивиденды по годам'!Q792&lt;&gt;"",'Дивиденды по годам'!I792&lt;&gt;"",'Дивиденды по годам'!V792&lt;&gt;"",('Дивиденды по годам'!I792+'Дивиденды по годам'!V792)&lt;&gt;0),'Дивиденды по годам'!Q792/(('Дивиденды по годам'!I792+'Дивиденды по годам'!V792)/2),""),"")</f>
        <v/>
      </c>
      <c r="U792" t="str">
        <f>IFERROR(IF(AND('Дивиденды по годам'!J792&lt;&gt;"",'Дивиденды по годам'!K792&lt;&gt;"",'Дивиденды по годам'!M792&lt;&gt;"",'Дивиденды по годам'!M792&lt;&gt;0),('Дивиденды по годам'!J792+'Дивиденды по годам'!K792)/'Дивиденды по годам'!M792,""),"")</f>
        <v/>
      </c>
      <c r="V792" t="str">
        <f>IFERROR(IF(AND('Дивиденды по годам'!J792&lt;&gt;"",'Дивиденды по годам'!K792&lt;&gt;"",'Дивиденды по годам'!M792&lt;&gt;"",'Дивиденды по годам'!I792&lt;&gt;0),('Дивиденды по годам'!J792+'Дивиденды по годам'!K792)/'Дивиденды по годам'!I792,""),"")</f>
        <v/>
      </c>
      <c r="W792" t="str">
        <f>IFERROR('Дивиденды по годам'!I792,"")</f>
        <v/>
      </c>
      <c r="X792" cm="1">
        <f t="array" ref="X792">IFERROR(AVERAGE(_xlfn._xlws.FILTER(P$2:P$1073,($C$2:$C$1073=$C792)*($E$2:$E$1073=$E792)*(ROW(P$2:P$1073)&lt;&gt;ROW(P792))*(P$2:P$1073&lt;&gt;""))),"")</f>
        <v>25.699366278152379</v>
      </c>
      <c r="Y792" cm="1">
        <f t="array" ref="Y792">IFERROR(AVERAGE(_xlfn._xlws.FILTER(Q$2:Q$1073,($C$2:$C$1073=$C792)*($E$2:$E$1073=$E792)*(ROW(Q$2:Q$1073)&lt;&gt;ROW(Q792))*(Q$2:Q$1073&lt;&gt;""))),"")</f>
        <v>0.31619951047208333</v>
      </c>
      <c r="Z792" cm="1">
        <f t="array" ref="Z792">IFERROR(AVERAGE(_xlfn._xlws.FILTER(R$2:R$1073,($C$2:$C$1073=$C792)*($E$2:$E$1073=$E792)*(ROW(R$2:R$1073)&lt;&gt;ROW(R792))*(R$2:R$1073&lt;&gt;""))),"")</f>
        <v>0.12795723906733225</v>
      </c>
      <c r="AA792" cm="1">
        <f t="array" ref="AA792">IFERROR(AVERAGE(_xlfn._xlws.FILTER(S$2:S$1073,($C$2:$C$1073=$C792)*($E$2:$E$1073=$E792)*(ROW(S$2:S$1073)&lt;&gt;ROW(S792))*(S$2:S$1073&lt;&gt;""))),"")</f>
        <v>1.4981608959410444</v>
      </c>
      <c r="AB792" cm="1">
        <f t="array" ref="AB792">IFERROR(AVERAGE(_xlfn._xlws.FILTER(T$2:T$1073,($C$2:$C$1073=$C792)*($E$2:$E$1073=$E792)*(ROW(T$2:T$1073)&lt;&gt;ROW(T792))*(T$2:T$1073&lt;&gt;""))),"")</f>
        <v>4.0595347592911959E-2</v>
      </c>
      <c r="AC792" cm="1">
        <f t="array" ref="AC792">IFERROR(AVERAGE(_xlfn._xlws.FILTER(U$2:U$1073,($C$2:$C$1073=$C792)*($E$2:$E$1073=$E792)*(ROW(U$2:U$1073)&lt;&gt;ROW(U792))*(U$2:U$1073&lt;&gt;""))),"")</f>
        <v>9.1460847128214748</v>
      </c>
      <c r="AD792" cm="1">
        <f t="array" ref="AD792">IFERROR(AVERAGE(_xlfn._xlws.FILTER(V$2:V$1073,($C$2:$C$1073=$C792)*($E$2:$E$1073=$E792)*(ROW(V$2:V$1073)&lt;&gt;ROW(V792))*(V$2:V$1073&lt;&gt;""))),"")</f>
        <v>0.79889661521769517</v>
      </c>
      <c r="AE792">
        <f>IF('Дивиденды по годам'!M792&lt;0,1,0)</f>
        <v>0</v>
      </c>
    </row>
    <row r="793" spans="1:31" x14ac:dyDescent="0.2">
      <c r="A793" s="7" t="s">
        <v>2277</v>
      </c>
      <c r="B793" t="str">
        <f t="shared" si="132"/>
        <v>DATA IV кв. 2018</v>
      </c>
      <c r="C793">
        <v>2018</v>
      </c>
      <c r="D793">
        <f>SUMIFS(Дивиденды!$C:$C,Дивиденды!$A:$A,A793,Дивиденды!$I:$I,C793)</f>
        <v>0</v>
      </c>
      <c r="E793">
        <v>5</v>
      </c>
      <c r="F793">
        <f t="shared" si="133"/>
        <v>0</v>
      </c>
      <c r="G793">
        <f t="shared" si="134"/>
        <v>2.5072727272727273</v>
      </c>
      <c r="H793">
        <f t="shared" si="135"/>
        <v>0</v>
      </c>
      <c r="I793">
        <f t="shared" si="136"/>
        <v>0.18181818181818182</v>
      </c>
      <c r="J793">
        <f t="shared" si="137"/>
        <v>0</v>
      </c>
      <c r="K793">
        <f t="shared" si="142"/>
        <v>-3.1077604801900294E-2</v>
      </c>
      <c r="L793">
        <f t="shared" si="138"/>
        <v>0</v>
      </c>
      <c r="M793">
        <f t="shared" si="139"/>
        <v>0</v>
      </c>
      <c r="N793">
        <f t="shared" si="140"/>
        <v>0</v>
      </c>
      <c r="O793">
        <f t="shared" si="141"/>
        <v>0.18181818181818182</v>
      </c>
      <c r="P793" t="str">
        <f>IFERROR(LN('Дивиденды по годам'!I793),"")</f>
        <v/>
      </c>
      <c r="Q793" t="str">
        <f>IFERROR('Дивиденды по годам'!G793/'Дивиденды по годам'!I793, "")</f>
        <v/>
      </c>
      <c r="R793" t="str">
        <f>IFERROR(IF(AND('Дивиденды по годам'!N793&lt;&gt;"",'Дивиденды по годам'!U793&lt;&gt;"",'Дивиденды по годам'!U793&lt;&gt;0),'Дивиденды по годам'!N793/'Дивиденды по годам'!U793-1,""),"")</f>
        <v/>
      </c>
      <c r="S793" t="str">
        <f>IFERROR(IF(AND('Дивиденды по годам'!L793&lt;&gt;"",'Дивиденды по годам'!I793&lt;&gt;"",'Дивиденды по годам'!J793&lt;&gt;"",'Дивиденды по годам'!K793&lt;&gt;"",('Дивиденды по годам'!I793-'Дивиденды по годам'!J793-'Дивиденды по годам'!K793)&lt;&gt;0),'Дивиденды по годам'!L793/('Дивиденды по годам'!I793-'Дивиденды по годам'!J793-'Дивиденды по годам'!K793),""),"")</f>
        <v/>
      </c>
      <c r="T793" t="str">
        <f>IFERROR(IF(AND('Дивиденды по годам'!Q793&lt;&gt;"",'Дивиденды по годам'!I793&lt;&gt;"",'Дивиденды по годам'!V793&lt;&gt;"",('Дивиденды по годам'!I793+'Дивиденды по годам'!V793)&lt;&gt;0),'Дивиденды по годам'!Q793/(('Дивиденды по годам'!I793+'Дивиденды по годам'!V793)/2),""),"")</f>
        <v/>
      </c>
      <c r="U793" t="str">
        <f>IFERROR(IF(AND('Дивиденды по годам'!J793&lt;&gt;"",'Дивиденды по годам'!K793&lt;&gt;"",'Дивиденды по годам'!M793&lt;&gt;"",'Дивиденды по годам'!M793&lt;&gt;0),('Дивиденды по годам'!J793+'Дивиденды по годам'!K793)/'Дивиденды по годам'!M793,""),"")</f>
        <v/>
      </c>
      <c r="V793" t="str">
        <f>IFERROR(IF(AND('Дивиденды по годам'!J793&lt;&gt;"",'Дивиденды по годам'!K793&lt;&gt;"",'Дивиденды по годам'!M793&lt;&gt;"",'Дивиденды по годам'!I793&lt;&gt;0),('Дивиденды по годам'!J793+'Дивиденды по годам'!K793)/'Дивиденды по годам'!I793,""),"")</f>
        <v/>
      </c>
      <c r="W793" t="str">
        <f>IFERROR('Дивиденды по годам'!I793,"")</f>
        <v/>
      </c>
      <c r="X793" cm="1">
        <f t="array" ref="X793">IFERROR(AVERAGE(_xlfn._xlws.FILTER(P$2:P$1073,($C$2:$C$1073=$C793)*($E$2:$E$1073=$E793)*(ROW(P$2:P$1073)&lt;&gt;ROW(P793))*(P$2:P$1073&lt;&gt;""))),"")</f>
        <v>25.637034616478129</v>
      </c>
      <c r="Y793" cm="1">
        <f t="array" ref="Y793">IFERROR(AVERAGE(_xlfn._xlws.FILTER(Q$2:Q$1073,($C$2:$C$1073=$C793)*($E$2:$E$1073=$E793)*(ROW(Q$2:Q$1073)&lt;&gt;ROW(Q793))*(Q$2:Q$1073&lt;&gt;""))),"")</f>
        <v>0.32011777323711499</v>
      </c>
      <c r="Z793" cm="1">
        <f t="array" ref="Z793">IFERROR(AVERAGE(_xlfn._xlws.FILTER(R$2:R$1073,($C$2:$C$1073=$C793)*($E$2:$E$1073=$E793)*(ROW(R$2:R$1073)&lt;&gt;ROW(R793))*(R$2:R$1073&lt;&gt;""))),"")</f>
        <v>6.6616637147635549E-2</v>
      </c>
      <c r="AA793" cm="1">
        <f t="array" ref="AA793">IFERROR(AVERAGE(_xlfn._xlws.FILTER(S$2:S$1073,($C$2:$C$1073=$C793)*($E$2:$E$1073=$E793)*(ROW(S$2:S$1073)&lt;&gt;ROW(S793))*(S$2:S$1073&lt;&gt;""))),"")</f>
        <v>1.205409029032207</v>
      </c>
      <c r="AB793" cm="1">
        <f t="array" ref="AB793">IFERROR(AVERAGE(_xlfn._xlws.FILTER(T$2:T$1073,($C$2:$C$1073=$C793)*($E$2:$E$1073=$E793)*(ROW(T$2:T$1073)&lt;&gt;ROW(T793))*(T$2:T$1073&lt;&gt;""))),"")</f>
        <v>1.7776057117292479E-2</v>
      </c>
      <c r="AC793" cm="1">
        <f t="array" ref="AC793">IFERROR(AVERAGE(_xlfn._xlws.FILTER(U$2:U$1073,($C$2:$C$1073=$C793)*($E$2:$E$1073=$E793)*(ROW(U$2:U$1073)&lt;&gt;ROW(U793))*(U$2:U$1073&lt;&gt;""))),"")</f>
        <v>5.4697894468760913</v>
      </c>
      <c r="AD793" cm="1">
        <f t="array" ref="AD793">IFERROR(AVERAGE(_xlfn._xlws.FILTER(V$2:V$1073,($C$2:$C$1073=$C793)*($E$2:$E$1073=$E793)*(ROW(V$2:V$1073)&lt;&gt;ROW(V793))*(V$2:V$1073&lt;&gt;""))),"")</f>
        <v>0.7760719948431295</v>
      </c>
      <c r="AE793">
        <f>IF('Дивиденды по годам'!M793&lt;0,1,0)</f>
        <v>0</v>
      </c>
    </row>
    <row r="794" spans="1:31" x14ac:dyDescent="0.2">
      <c r="A794" s="7" t="s">
        <v>2277</v>
      </c>
      <c r="B794" t="str">
        <f t="shared" si="132"/>
        <v>DATA IV кв. 2017</v>
      </c>
      <c r="C794">
        <v>2017</v>
      </c>
      <c r="D794">
        <f>SUMIFS(Дивиденды!$C:$C,Дивиденды!$A:$A,A794,Дивиденды!$I:$I,C794)</f>
        <v>0</v>
      </c>
      <c r="E794">
        <v>5</v>
      </c>
      <c r="F794">
        <f t="shared" si="133"/>
        <v>0</v>
      </c>
      <c r="G794">
        <f t="shared" si="134"/>
        <v>3.5318181818181813</v>
      </c>
      <c r="H794">
        <f t="shared" si="135"/>
        <v>0</v>
      </c>
      <c r="I794">
        <f t="shared" si="136"/>
        <v>0.18181818181818182</v>
      </c>
      <c r="J794">
        <f t="shared" si="137"/>
        <v>0</v>
      </c>
      <c r="K794">
        <f t="shared" si="142"/>
        <v>1.4727433992836941E-2</v>
      </c>
      <c r="L794">
        <f t="shared" si="138"/>
        <v>0</v>
      </c>
      <c r="M794">
        <f t="shared" si="139"/>
        <v>9.0909090909090912E-2</v>
      </c>
      <c r="N794">
        <f t="shared" si="140"/>
        <v>0</v>
      </c>
      <c r="O794">
        <f t="shared" si="141"/>
        <v>9.0909090909090912E-2</v>
      </c>
      <c r="P794" t="str">
        <f>IFERROR(LN('Дивиденды по годам'!I794),"")</f>
        <v/>
      </c>
      <c r="Q794" t="str">
        <f>IFERROR('Дивиденды по годам'!G794/'Дивиденды по годам'!I794, "")</f>
        <v/>
      </c>
      <c r="R794" t="str">
        <f>IFERROR(IF(AND('Дивиденды по годам'!N794&lt;&gt;"",'Дивиденды по годам'!U794&lt;&gt;"",'Дивиденды по годам'!U794&lt;&gt;0),'Дивиденды по годам'!N794/'Дивиденды по годам'!U794-1,""),"")</f>
        <v/>
      </c>
      <c r="S794" t="str">
        <f>IFERROR(IF(AND('Дивиденды по годам'!L794&lt;&gt;"",'Дивиденды по годам'!I794&lt;&gt;"",'Дивиденды по годам'!J794&lt;&gt;"",'Дивиденды по годам'!K794&lt;&gt;"",('Дивиденды по годам'!I794-'Дивиденды по годам'!J794-'Дивиденды по годам'!K794)&lt;&gt;0),'Дивиденды по годам'!L794/('Дивиденды по годам'!I794-'Дивиденды по годам'!J794-'Дивиденды по годам'!K794),""),"")</f>
        <v/>
      </c>
      <c r="T794" t="str">
        <f>IFERROR(IF(AND('Дивиденды по годам'!Q794&lt;&gt;"",'Дивиденды по годам'!I794&lt;&gt;"",'Дивиденды по годам'!V794&lt;&gt;"",('Дивиденды по годам'!I794+'Дивиденды по годам'!V794)&lt;&gt;0),'Дивиденды по годам'!Q794/(('Дивиденды по годам'!I794+'Дивиденды по годам'!V794)/2),""),"")</f>
        <v/>
      </c>
      <c r="U794" t="str">
        <f>IFERROR(IF(AND('Дивиденды по годам'!J794&lt;&gt;"",'Дивиденды по годам'!K794&lt;&gt;"",'Дивиденды по годам'!M794&lt;&gt;"",'Дивиденды по годам'!M794&lt;&gt;0),('Дивиденды по годам'!J794+'Дивиденды по годам'!K794)/'Дивиденды по годам'!M794,""),"")</f>
        <v/>
      </c>
      <c r="V794" t="str">
        <f>IFERROR(IF(AND('Дивиденды по годам'!J794&lt;&gt;"",'Дивиденды по годам'!K794&lt;&gt;"",'Дивиденды по годам'!M794&lt;&gt;"",'Дивиденды по годам'!I794&lt;&gt;0),('Дивиденды по годам'!J794+'Дивиденды по годам'!K794)/'Дивиденды по годам'!I794,""),"")</f>
        <v/>
      </c>
      <c r="W794" t="str">
        <f>IFERROR('Дивиденды по годам'!I794,"")</f>
        <v/>
      </c>
      <c r="X794" cm="1">
        <f t="array" ref="X794">IFERROR(AVERAGE(_xlfn._xlws.FILTER(P$2:P$1073,($C$2:$C$1073=$C794)*($E$2:$E$1073=$E794)*(ROW(P$2:P$1073)&lt;&gt;ROW(P794))*(P$2:P$1073&lt;&gt;""))),"")</f>
        <v>27.043369572715513</v>
      </c>
      <c r="Y794" cm="1">
        <f t="array" ref="Y794">IFERROR(AVERAGE(_xlfn._xlws.FILTER(Q$2:Q$1073,($C$2:$C$1073=$C794)*($E$2:$E$1073=$E794)*(ROW(Q$2:Q$1073)&lt;&gt;ROW(Q794))*(Q$2:Q$1073&lt;&gt;""))),"")</f>
        <v>0.54965488260857309</v>
      </c>
      <c r="Z794" cm="1">
        <f t="array" ref="Z794">IFERROR(AVERAGE(_xlfn._xlws.FILTER(R$2:R$1073,($C$2:$C$1073=$C794)*($E$2:$E$1073=$E794)*(ROW(R$2:R$1073)&lt;&gt;ROW(R794))*(R$2:R$1073&lt;&gt;""))),"")</f>
        <v>2.1535666839189949E-2</v>
      </c>
      <c r="AA794" cm="1">
        <f t="array" ref="AA794">IFERROR(AVERAGE(_xlfn._xlws.FILTER(S$2:S$1073,($C$2:$C$1073=$C794)*($E$2:$E$1073=$E794)*(ROW(S$2:S$1073)&lt;&gt;ROW(S794))*(S$2:S$1073&lt;&gt;""))),"")</f>
        <v>1.232616052553424</v>
      </c>
      <c r="AB794" cm="1">
        <f t="array" ref="AB794">IFERROR(AVERAGE(_xlfn._xlws.FILTER(T$2:T$1073,($C$2:$C$1073=$C794)*($E$2:$E$1073=$E794)*(ROW(T$2:T$1073)&lt;&gt;ROW(T794))*(T$2:T$1073&lt;&gt;""))),"")</f>
        <v>6.4245501476224237E-2</v>
      </c>
      <c r="AC794" cm="1">
        <f t="array" ref="AC794">IFERROR(AVERAGE(_xlfn._xlws.FILTER(U$2:U$1073,($C$2:$C$1073=$C794)*($E$2:$E$1073=$E794)*(ROW(U$2:U$1073)&lt;&gt;ROW(U794))*(U$2:U$1073&lt;&gt;""))),"")</f>
        <v>2.3417046689252397</v>
      </c>
      <c r="AD794" cm="1">
        <f t="array" ref="AD794">IFERROR(AVERAGE(_xlfn._xlws.FILTER(V$2:V$1073,($C$2:$C$1073=$C794)*($E$2:$E$1073=$E794)*(ROW(V$2:V$1073)&lt;&gt;ROW(V794))*(V$2:V$1073&lt;&gt;""))),"")</f>
        <v>0.66475018615672188</v>
      </c>
      <c r="AE794">
        <f>IF('Дивиденды по годам'!M794&lt;0,1,0)</f>
        <v>0</v>
      </c>
    </row>
    <row r="795" spans="1:31" x14ac:dyDescent="0.2">
      <c r="A795" s="7" t="s">
        <v>2277</v>
      </c>
      <c r="B795" t="str">
        <f t="shared" si="132"/>
        <v>DATA IV кв. 2016</v>
      </c>
      <c r="C795">
        <v>2016</v>
      </c>
      <c r="D795">
        <f>SUMIFS(Дивиденды!$C:$C,Дивиденды!$A:$A,A795,Дивиденды!$I:$I,C795)</f>
        <v>0</v>
      </c>
      <c r="E795">
        <v>5</v>
      </c>
      <c r="F795">
        <f t="shared" si="133"/>
        <v>0</v>
      </c>
      <c r="G795">
        <f t="shared" si="134"/>
        <v>2.9981818181818181</v>
      </c>
      <c r="H795">
        <f t="shared" si="135"/>
        <v>0</v>
      </c>
      <c r="I795">
        <f t="shared" si="136"/>
        <v>0.18181818181818182</v>
      </c>
      <c r="J795">
        <f t="shared" si="137"/>
        <v>0</v>
      </c>
      <c r="K795">
        <f t="shared" si="142"/>
        <v>2.8790101611202514E-2</v>
      </c>
      <c r="L795">
        <f t="shared" si="138"/>
        <v>0</v>
      </c>
      <c r="M795">
        <f t="shared" si="139"/>
        <v>9.0909090909090912E-2</v>
      </c>
      <c r="N795">
        <f t="shared" si="140"/>
        <v>0</v>
      </c>
      <c r="O795">
        <f t="shared" si="141"/>
        <v>9.0909090909090912E-2</v>
      </c>
      <c r="P795" t="str">
        <f>IFERROR(LN('Дивиденды по годам'!I795),"")</f>
        <v/>
      </c>
      <c r="Q795" t="str">
        <f>IFERROR('Дивиденды по годам'!G795/'Дивиденды по годам'!I795, "")</f>
        <v/>
      </c>
      <c r="R795" t="str">
        <f>IFERROR(IF(AND('Дивиденды по годам'!N795&lt;&gt;"",'Дивиденды по годам'!U795&lt;&gt;"",'Дивиденды по годам'!U795&lt;&gt;0),'Дивиденды по годам'!N795/'Дивиденды по годам'!U795-1,""),"")</f>
        <v/>
      </c>
      <c r="S795" t="str">
        <f>IFERROR(IF(AND('Дивиденды по годам'!L795&lt;&gt;"",'Дивиденды по годам'!I795&lt;&gt;"",'Дивиденды по годам'!J795&lt;&gt;"",'Дивиденды по годам'!K795&lt;&gt;"",('Дивиденды по годам'!I795-'Дивиденды по годам'!J795-'Дивиденды по годам'!K795)&lt;&gt;0),'Дивиденды по годам'!L795/('Дивиденды по годам'!I795-'Дивиденды по годам'!J795-'Дивиденды по годам'!K795),""),"")</f>
        <v/>
      </c>
      <c r="T795" t="str">
        <f>IFERROR(IF(AND('Дивиденды по годам'!Q795&lt;&gt;"",'Дивиденды по годам'!I795&lt;&gt;"",'Дивиденды по годам'!V795&lt;&gt;"",('Дивиденды по годам'!I795+'Дивиденды по годам'!V795)&lt;&gt;0),'Дивиденды по годам'!Q795/(('Дивиденды по годам'!I795+'Дивиденды по годам'!V795)/2),""),"")</f>
        <v/>
      </c>
      <c r="U795" t="str">
        <f>IFERROR(IF(AND('Дивиденды по годам'!J795&lt;&gt;"",'Дивиденды по годам'!K795&lt;&gt;"",'Дивиденды по годам'!M795&lt;&gt;"",'Дивиденды по годам'!M795&lt;&gt;0),('Дивиденды по годам'!J795+'Дивиденды по годам'!K795)/'Дивиденды по годам'!M795,""),"")</f>
        <v/>
      </c>
      <c r="V795" t="str">
        <f>IFERROR(IF(AND('Дивиденды по годам'!J795&lt;&gt;"",'Дивиденды по годам'!K795&lt;&gt;"",'Дивиденды по годам'!M795&lt;&gt;"",'Дивиденды по годам'!I795&lt;&gt;0),('Дивиденды по годам'!J795+'Дивиденды по годам'!K795)/'Дивиденды по годам'!I795,""),"")</f>
        <v/>
      </c>
      <c r="W795" t="str">
        <f>IFERROR('Дивиденды по годам'!I795,"")</f>
        <v/>
      </c>
      <c r="X795" cm="1">
        <f t="array" ref="X795">IFERROR(AVERAGE(_xlfn._xlws.FILTER(P$2:P$1073,($C$2:$C$1073=$C795)*($E$2:$E$1073=$E795)*(ROW(P$2:P$1073)&lt;&gt;ROW(P795))*(P$2:P$1073&lt;&gt;""))),"")</f>
        <v>27.033270353256157</v>
      </c>
      <c r="Y795" cm="1">
        <f t="array" ref="Y795">IFERROR(AVERAGE(_xlfn._xlws.FILTER(Q$2:Q$1073,($C$2:$C$1073=$C795)*($E$2:$E$1073=$E795)*(ROW(Q$2:Q$1073)&lt;&gt;ROW(Q795))*(Q$2:Q$1073&lt;&gt;""))),"")</f>
        <v>0.55978642376097965</v>
      </c>
      <c r="Z795" cm="1">
        <f t="array" ref="Z795">IFERROR(AVERAGE(_xlfn._xlws.FILTER(R$2:R$1073,($C$2:$C$1073=$C795)*($E$2:$E$1073=$E795)*(ROW(R$2:R$1073)&lt;&gt;ROW(R795))*(R$2:R$1073&lt;&gt;""))),"")</f>
        <v>5.3242460909894707E-3</v>
      </c>
      <c r="AA795" cm="1">
        <f t="array" ref="AA795">IFERROR(AVERAGE(_xlfn._xlws.FILTER(S$2:S$1073,($C$2:$C$1073=$C795)*($E$2:$E$1073=$E795)*(ROW(S$2:S$1073)&lt;&gt;ROW(S795))*(S$2:S$1073&lt;&gt;""))),"")</f>
        <v>1.1315702315112175</v>
      </c>
      <c r="AB795" cm="1">
        <f t="array" ref="AB795">IFERROR(AVERAGE(_xlfn._xlws.FILTER(T$2:T$1073,($C$2:$C$1073=$C795)*($E$2:$E$1073=$E795)*(ROW(T$2:T$1073)&lt;&gt;ROW(T795))*(T$2:T$1073&lt;&gt;""))),"")</f>
        <v>5.4869409864042928E-2</v>
      </c>
      <c r="AC795" cm="1">
        <f t="array" ref="AC795">IFERROR(AVERAGE(_xlfn._xlws.FILTER(U$2:U$1073,($C$2:$C$1073=$C795)*($E$2:$E$1073=$E795)*(ROW(U$2:U$1073)&lt;&gt;ROW(U795))*(U$2:U$1073&lt;&gt;""))),"")</f>
        <v>2.0086781177717459</v>
      </c>
      <c r="AD795" cm="1">
        <f t="array" ref="AD795">IFERROR(AVERAGE(_xlfn._xlws.FILTER(V$2:V$1073,($C$2:$C$1073=$C795)*($E$2:$E$1073=$E795)*(ROW(V$2:V$1073)&lt;&gt;ROW(V795))*(V$2:V$1073&lt;&gt;""))),"")</f>
        <v>0.64409028041831262</v>
      </c>
      <c r="AE795">
        <f>IF('Дивиденды по годам'!M795&lt;0,1,0)</f>
        <v>0</v>
      </c>
    </row>
    <row r="796" spans="1:31" x14ac:dyDescent="0.2">
      <c r="A796" s="7" t="s">
        <v>2277</v>
      </c>
      <c r="B796" t="str">
        <f t="shared" si="132"/>
        <v>DATA IV кв. 2015</v>
      </c>
      <c r="C796">
        <v>2015</v>
      </c>
      <c r="D796">
        <f>SUMIFS(Дивиденды!$C:$C,Дивиденды!$A:$A,A796,Дивиденды!$I:$I,C796)</f>
        <v>0</v>
      </c>
      <c r="E796">
        <v>5</v>
      </c>
      <c r="F796">
        <f t="shared" si="133"/>
        <v>0</v>
      </c>
      <c r="G796">
        <f t="shared" si="134"/>
        <v>2.3218181818181818</v>
      </c>
      <c r="H796">
        <f t="shared" si="135"/>
        <v>0</v>
      </c>
      <c r="I796">
        <f t="shared" si="136"/>
        <v>0.18181818181818182</v>
      </c>
      <c r="J796">
        <f t="shared" si="137"/>
        <v>0</v>
      </c>
      <c r="K796">
        <f t="shared" si="142"/>
        <v>4.855464114120716E-2</v>
      </c>
      <c r="L796">
        <f t="shared" si="138"/>
        <v>0</v>
      </c>
      <c r="M796">
        <f t="shared" si="139"/>
        <v>9.0909090909090912E-2</v>
      </c>
      <c r="N796">
        <f t="shared" si="140"/>
        <v>0</v>
      </c>
      <c r="O796">
        <f t="shared" si="141"/>
        <v>9.0909090909090912E-2</v>
      </c>
      <c r="P796" t="str">
        <f>IFERROR(LN('Дивиденды по годам'!I796),"")</f>
        <v/>
      </c>
      <c r="Q796" t="str">
        <f>IFERROR('Дивиденды по годам'!G796/'Дивиденды по годам'!I796, "")</f>
        <v/>
      </c>
      <c r="R796" t="str">
        <f>IFERROR(IF(AND('Дивиденды по годам'!N796&lt;&gt;"",'Дивиденды по годам'!U796&lt;&gt;"",'Дивиденды по годам'!U796&lt;&gt;0),'Дивиденды по годам'!N796/'Дивиденды по годам'!U796-1,""),"")</f>
        <v/>
      </c>
      <c r="S796" t="str">
        <f>IFERROR(IF(AND('Дивиденды по годам'!L796&lt;&gt;"",'Дивиденды по годам'!I796&lt;&gt;"",'Дивиденды по годам'!J796&lt;&gt;"",'Дивиденды по годам'!K796&lt;&gt;"",('Дивиденды по годам'!I796-'Дивиденды по годам'!J796-'Дивиденды по годам'!K796)&lt;&gt;0),'Дивиденды по годам'!L796/('Дивиденды по годам'!I796-'Дивиденды по годам'!J796-'Дивиденды по годам'!K796),""),"")</f>
        <v/>
      </c>
      <c r="T796" t="str">
        <f>IFERROR(IF(AND('Дивиденды по годам'!Q796&lt;&gt;"",'Дивиденды по годам'!I796&lt;&gt;"",'Дивиденды по годам'!V796&lt;&gt;"",('Дивиденды по годам'!I796+'Дивиденды по годам'!V796)&lt;&gt;0),'Дивиденды по годам'!Q796/(('Дивиденды по годам'!I796+'Дивиденды по годам'!V796)/2),""),"")</f>
        <v/>
      </c>
      <c r="U796" t="str">
        <f>IFERROR(IF(AND('Дивиденды по годам'!J796&lt;&gt;"",'Дивиденды по годам'!K796&lt;&gt;"",'Дивиденды по годам'!M796&lt;&gt;"",'Дивиденды по годам'!M796&lt;&gt;0),('Дивиденды по годам'!J796+'Дивиденды по годам'!K796)/'Дивиденды по годам'!M796,""),"")</f>
        <v/>
      </c>
      <c r="V796" t="str">
        <f>IFERROR(IF(AND('Дивиденды по годам'!J796&lt;&gt;"",'Дивиденды по годам'!K796&lt;&gt;"",'Дивиденды по годам'!M796&lt;&gt;"",'Дивиденды по годам'!I796&lt;&gt;0),('Дивиденды по годам'!J796+'Дивиденды по годам'!K796)/'Дивиденды по годам'!I796,""),"")</f>
        <v/>
      </c>
      <c r="W796" t="str">
        <f>IFERROR('Дивиденды по годам'!I796,"")</f>
        <v/>
      </c>
      <c r="X796" cm="1">
        <f t="array" ref="X796">IFERROR(AVERAGE(_xlfn._xlws.FILTER(P$2:P$1073,($C$2:$C$1073=$C796)*($E$2:$E$1073=$E796)*(ROW(P$2:P$1073)&lt;&gt;ROW(P796))*(P$2:P$1073&lt;&gt;""))),"")</f>
        <v>27.120501452642756</v>
      </c>
      <c r="Y796" cm="1">
        <f t="array" ref="Y796">IFERROR(AVERAGE(_xlfn._xlws.FILTER(Q$2:Q$1073,($C$2:$C$1073=$C796)*($E$2:$E$1073=$E796)*(ROW(Q$2:Q$1073)&lt;&gt;ROW(Q796))*(Q$2:Q$1073&lt;&gt;""))),"")</f>
        <v>0.53878421833606405</v>
      </c>
      <c r="Z796" cm="1">
        <f t="array" ref="Z796">IFERROR(AVERAGE(_xlfn._xlws.FILTER(R$2:R$1073,($C$2:$C$1073=$C796)*($E$2:$E$1073=$E796)*(ROW(R$2:R$1073)&lt;&gt;ROW(R796))*(R$2:R$1073&lt;&gt;""))),"")</f>
        <v>2.2276174497294132E-2</v>
      </c>
      <c r="AA796" cm="1">
        <f t="array" ref="AA796">IFERROR(AVERAGE(_xlfn._xlws.FILTER(S$2:S$1073,($C$2:$C$1073=$C796)*($E$2:$E$1073=$E796)*(ROW(S$2:S$1073)&lt;&gt;ROW(S796))*(S$2:S$1073&lt;&gt;""))),"")</f>
        <v>1.2586396116380416</v>
      </c>
      <c r="AB796" cm="1">
        <f t="array" ref="AB796">IFERROR(AVERAGE(_xlfn._xlws.FILTER(T$2:T$1073,($C$2:$C$1073=$C796)*($E$2:$E$1073=$E796)*(ROW(T$2:T$1073)&lt;&gt;ROW(T796))*(T$2:T$1073&lt;&gt;""))),"")</f>
        <v>5.0636797509896803E-2</v>
      </c>
      <c r="AC796" cm="1">
        <f t="array" ref="AC796">IFERROR(AVERAGE(_xlfn._xlws.FILTER(U$2:U$1073,($C$2:$C$1073=$C796)*($E$2:$E$1073=$E796)*(ROW(U$2:U$1073)&lt;&gt;ROW(U796))*(U$2:U$1073&lt;&gt;""))),"")</f>
        <v>2.0444165107764372</v>
      </c>
      <c r="AD796" cm="1">
        <f t="array" ref="AD796">IFERROR(AVERAGE(_xlfn._xlws.FILTER(V$2:V$1073,($C$2:$C$1073=$C796)*($E$2:$E$1073=$E796)*(ROW(V$2:V$1073)&lt;&gt;ROW(V796))*(V$2:V$1073&lt;&gt;""))),"")</f>
        <v>0.64472959627967386</v>
      </c>
      <c r="AE796">
        <f>IF('Дивиденды по годам'!M796&lt;0,1,0)</f>
        <v>0</v>
      </c>
    </row>
    <row r="797" spans="1:31" x14ac:dyDescent="0.2">
      <c r="A797" s="7" t="s">
        <v>2277</v>
      </c>
      <c r="B797" t="str">
        <f t="shared" si="132"/>
        <v>DATA IV кв. 2014</v>
      </c>
      <c r="C797">
        <v>2014</v>
      </c>
      <c r="D797">
        <f>SUMIFS(Дивиденды!$C:$C,Дивиденды!$A:$A,A797,Дивиденды!$I:$I,C797)</f>
        <v>0</v>
      </c>
      <c r="E797">
        <v>5</v>
      </c>
      <c r="F797">
        <f t="shared" si="133"/>
        <v>0</v>
      </c>
      <c r="G797">
        <f t="shared" si="134"/>
        <v>2.6454545454545451</v>
      </c>
      <c r="H797">
        <f t="shared" si="135"/>
        <v>0</v>
      </c>
      <c r="I797">
        <f t="shared" si="136"/>
        <v>0.18181818181818182</v>
      </c>
      <c r="J797">
        <f t="shared" si="137"/>
        <v>0</v>
      </c>
      <c r="K797">
        <f t="shared" si="142"/>
        <v>1.3814271370946419E-2</v>
      </c>
      <c r="L797">
        <f t="shared" si="138"/>
        <v>0</v>
      </c>
      <c r="M797">
        <f t="shared" si="139"/>
        <v>0.18181818181818182</v>
      </c>
      <c r="N797">
        <f t="shared" si="140"/>
        <v>0</v>
      </c>
      <c r="O797">
        <f t="shared" si="141"/>
        <v>0</v>
      </c>
      <c r="P797" t="str">
        <f>IFERROR(LN('Дивиденды по годам'!I797),"")</f>
        <v/>
      </c>
      <c r="Q797" t="str">
        <f>IFERROR('Дивиденды по годам'!G797/'Дивиденды по годам'!I797, "")</f>
        <v/>
      </c>
      <c r="R797" t="str">
        <f>IFERROR(IF(AND('Дивиденды по годам'!N797&lt;&gt;"",'Дивиденды по годам'!U797&lt;&gt;"",'Дивиденды по годам'!U797&lt;&gt;0),'Дивиденды по годам'!N797/'Дивиденды по годам'!U797-1,""),"")</f>
        <v/>
      </c>
      <c r="S797" t="str">
        <f>IFERROR(IF(AND('Дивиденды по годам'!L797&lt;&gt;"",'Дивиденды по годам'!I797&lt;&gt;"",'Дивиденды по годам'!J797&lt;&gt;"",'Дивиденды по годам'!K797&lt;&gt;"",('Дивиденды по годам'!I797-'Дивиденды по годам'!J797-'Дивиденды по годам'!K797)&lt;&gt;0),'Дивиденды по годам'!L797/('Дивиденды по годам'!I797-'Дивиденды по годам'!J797-'Дивиденды по годам'!K797),""),"")</f>
        <v/>
      </c>
      <c r="T797" t="str">
        <f>IFERROR(IF(AND('Дивиденды по годам'!Q797&lt;&gt;"",'Дивиденды по годам'!I797&lt;&gt;"",'Дивиденды по годам'!V797&lt;&gt;"",('Дивиденды по годам'!I797+'Дивиденды по годам'!V797)&lt;&gt;0),'Дивиденды по годам'!Q797/(('Дивиденды по годам'!I797+'Дивиденды по годам'!V797)/2),""),"")</f>
        <v/>
      </c>
      <c r="U797" t="str">
        <f>IFERROR(IF(AND('Дивиденды по годам'!J797&lt;&gt;"",'Дивиденды по годам'!K797&lt;&gt;"",'Дивиденды по годам'!M797&lt;&gt;"",'Дивиденды по годам'!M797&lt;&gt;0),('Дивиденды по годам'!J797+'Дивиденды по годам'!K797)/'Дивиденды по годам'!M797,""),"")</f>
        <v/>
      </c>
      <c r="V797" t="str">
        <f>IFERROR(IF(AND('Дивиденды по годам'!J797&lt;&gt;"",'Дивиденды по годам'!K797&lt;&gt;"",'Дивиденды по годам'!M797&lt;&gt;"",'Дивиденды по годам'!I797&lt;&gt;0),('Дивиденды по годам'!J797+'Дивиденды по годам'!K797)/'Дивиденды по годам'!I797,""),"")</f>
        <v/>
      </c>
      <c r="W797" t="str">
        <f>IFERROR('Дивиденды по годам'!I797,"")</f>
        <v/>
      </c>
      <c r="X797" cm="1">
        <f t="array" ref="X797">IFERROR(AVERAGE(_xlfn._xlws.FILTER(P$2:P$1073,($C$2:$C$1073=$C797)*($E$2:$E$1073=$E797)*(ROW(P$2:P$1073)&lt;&gt;ROW(P797))*(P$2:P$1073&lt;&gt;""))),"")</f>
        <v>27.082830809151307</v>
      </c>
      <c r="Y797" cm="1">
        <f t="array" ref="Y797">IFERROR(AVERAGE(_xlfn._xlws.FILTER(Q$2:Q$1073,($C$2:$C$1073=$C797)*($E$2:$E$1073=$E797)*(ROW(Q$2:Q$1073)&lt;&gt;ROW(Q797))*(Q$2:Q$1073&lt;&gt;""))),"")</f>
        <v>0.5450738024161359</v>
      </c>
      <c r="Z797" cm="1">
        <f t="array" ref="Z797">IFERROR(AVERAGE(_xlfn._xlws.FILTER(R$2:R$1073,($C$2:$C$1073=$C797)*($E$2:$E$1073=$E797)*(ROW(R$2:R$1073)&lt;&gt;ROW(R797))*(R$2:R$1073&lt;&gt;""))),"")</f>
        <v>2.9557764869601155E-2</v>
      </c>
      <c r="AA797" cm="1">
        <f t="array" ref="AA797">IFERROR(AVERAGE(_xlfn._xlws.FILTER(S$2:S$1073,($C$2:$C$1073=$C797)*($E$2:$E$1073=$E797)*(ROW(S$2:S$1073)&lt;&gt;ROW(S797))*(S$2:S$1073&lt;&gt;""))),"")</f>
        <v>1.1443286994996271</v>
      </c>
      <c r="AB797" cm="1">
        <f t="array" ref="AB797">IFERROR(AVERAGE(_xlfn._xlws.FILTER(T$2:T$1073,($C$2:$C$1073=$C797)*($E$2:$E$1073=$E797)*(ROW(T$2:T$1073)&lt;&gt;ROW(T797))*(T$2:T$1073&lt;&gt;""))),"")</f>
        <v>5.9751382409195454E-2</v>
      </c>
      <c r="AC797" cm="1">
        <f t="array" ref="AC797">IFERROR(AVERAGE(_xlfn._xlws.FILTER(U$2:U$1073,($C$2:$C$1073=$C797)*($E$2:$E$1073=$E797)*(ROW(U$2:U$1073)&lt;&gt;ROW(U797))*(U$2:U$1073&lt;&gt;""))),"")</f>
        <v>1.8184271482015117</v>
      </c>
      <c r="AD797" cm="1">
        <f t="array" ref="AD797">IFERROR(AVERAGE(_xlfn._xlws.FILTER(V$2:V$1073,($C$2:$C$1073=$C797)*($E$2:$E$1073=$E797)*(ROW(V$2:V$1073)&lt;&gt;ROW(V797))*(V$2:V$1073&lt;&gt;""))),"")</f>
        <v>0.62943537689886697</v>
      </c>
      <c r="AE797">
        <f>IF('Дивиденды по годам'!M797&lt;0,1,0)</f>
        <v>0</v>
      </c>
    </row>
    <row r="798" spans="1:31" x14ac:dyDescent="0.2">
      <c r="A798" s="7" t="s">
        <v>2277</v>
      </c>
      <c r="B798" t="str">
        <f t="shared" si="132"/>
        <v>DATA IV кв. 2013</v>
      </c>
      <c r="C798">
        <v>2013</v>
      </c>
      <c r="D798">
        <f>SUMIFS(Дивиденды!$C:$C,Дивиденды!$A:$A,A798,Дивиденды!$I:$I,C798)</f>
        <v>0</v>
      </c>
      <c r="E798">
        <v>5</v>
      </c>
      <c r="F798">
        <f t="shared" si="133"/>
        <v>0</v>
      </c>
      <c r="G798">
        <f t="shared" si="134"/>
        <v>2.4490909090909092</v>
      </c>
      <c r="H798">
        <f t="shared" si="135"/>
        <v>0</v>
      </c>
      <c r="I798">
        <f t="shared" si="136"/>
        <v>0.18181818181818182</v>
      </c>
      <c r="J798">
        <f t="shared" si="137"/>
        <v>0</v>
      </c>
      <c r="K798">
        <f t="shared" si="142"/>
        <v>8.2745033991384775E-2</v>
      </c>
      <c r="L798">
        <f t="shared" si="138"/>
        <v>0</v>
      </c>
      <c r="M798">
        <f t="shared" si="139"/>
        <v>0.18181818181818182</v>
      </c>
      <c r="N798">
        <f t="shared" si="140"/>
        <v>0</v>
      </c>
      <c r="O798">
        <f t="shared" si="141"/>
        <v>0</v>
      </c>
      <c r="P798" t="str">
        <f>IFERROR(LN('Дивиденды по годам'!I798),"")</f>
        <v/>
      </c>
      <c r="Q798" t="str">
        <f>IFERROR('Дивиденды по годам'!G798/'Дивиденды по годам'!I798, "")</f>
        <v/>
      </c>
      <c r="R798" t="str">
        <f>IFERROR(IF(AND('Дивиденды по годам'!N798&lt;&gt;"",'Дивиденды по годам'!U798&lt;&gt;"",'Дивиденды по годам'!U798&lt;&gt;0),'Дивиденды по годам'!N798/'Дивиденды по годам'!U798-1,""),"")</f>
        <v/>
      </c>
      <c r="S798" t="str">
        <f>IFERROR(IF(AND('Дивиденды по годам'!L798&lt;&gt;"",'Дивиденды по годам'!I798&lt;&gt;"",'Дивиденды по годам'!J798&lt;&gt;"",'Дивиденды по годам'!K798&lt;&gt;"",('Дивиденды по годам'!I798-'Дивиденды по годам'!J798-'Дивиденды по годам'!K798)&lt;&gt;0),'Дивиденды по годам'!L798/('Дивиденды по годам'!I798-'Дивиденды по годам'!J798-'Дивиденды по годам'!K798),""),"")</f>
        <v/>
      </c>
      <c r="T798" t="str">
        <f>IFERROR(IF(AND('Дивиденды по годам'!Q798&lt;&gt;"",'Дивиденды по годам'!I798&lt;&gt;"",'Дивиденды по годам'!V798&lt;&gt;"",('Дивиденды по годам'!I798+'Дивиденды по годам'!V798)&lt;&gt;0),'Дивиденды по годам'!Q798/(('Дивиденды по годам'!I798+'Дивиденды по годам'!V798)/2),""),"")</f>
        <v/>
      </c>
      <c r="U798" t="str">
        <f>IFERROR(IF(AND('Дивиденды по годам'!J798&lt;&gt;"",'Дивиденды по годам'!K798&lt;&gt;"",'Дивиденды по годам'!M798&lt;&gt;"",'Дивиденды по годам'!M798&lt;&gt;0),('Дивиденды по годам'!J798+'Дивиденды по годам'!K798)/'Дивиденды по годам'!M798,""),"")</f>
        <v/>
      </c>
      <c r="V798" t="str">
        <f>IFERROR(IF(AND('Дивиденды по годам'!J798&lt;&gt;"",'Дивиденды по годам'!K798&lt;&gt;"",'Дивиденды по годам'!M798&lt;&gt;"",'Дивиденды по годам'!I798&lt;&gt;0),('Дивиденды по годам'!J798+'Дивиденды по годам'!K798)/'Дивиденды по годам'!I798,""),"")</f>
        <v/>
      </c>
      <c r="W798" t="str">
        <f>IFERROR('Дивиденды по годам'!I798,"")</f>
        <v/>
      </c>
      <c r="X798" cm="1">
        <f t="array" ref="X798">IFERROR(AVERAGE(_xlfn._xlws.FILTER(P$2:P$1073,($C$2:$C$1073=$C798)*($E$2:$E$1073=$E798)*(ROW(P$2:P$1073)&lt;&gt;ROW(P798))*(P$2:P$1073&lt;&gt;""))),"")</f>
        <v>26.980715693689852</v>
      </c>
      <c r="Y798" cm="1">
        <f t="array" ref="Y798">IFERROR(AVERAGE(_xlfn._xlws.FILTER(Q$2:Q$1073,($C$2:$C$1073=$C798)*($E$2:$E$1073=$E798)*(ROW(Q$2:Q$1073)&lt;&gt;ROW(Q798))*(Q$2:Q$1073&lt;&gt;""))),"")</f>
        <v>0.57737124989859567</v>
      </c>
      <c r="Z798" cm="1">
        <f t="array" ref="Z798">IFERROR(AVERAGE(_xlfn._xlws.FILTER(R$2:R$1073,($C$2:$C$1073=$C798)*($E$2:$E$1073=$E798)*(ROW(R$2:R$1073)&lt;&gt;ROW(R798))*(R$2:R$1073&lt;&gt;""))),"")</f>
        <v>-3.1761213433143809E-2</v>
      </c>
      <c r="AA798" t="str" cm="1">
        <f t="array" ref="AA798">IFERROR(AVERAGE(_xlfn._xlws.FILTER(S$2:S$1073,($C$2:$C$1073=$C798)*($E$2:$E$1073=$E798)*(ROW(S$2:S$1073)&lt;&gt;ROW(S798))*(S$2:S$1073&lt;&gt;""))),"")</f>
        <v/>
      </c>
      <c r="AB798" cm="1">
        <f t="array" ref="AB798">IFERROR(AVERAGE(_xlfn._xlws.FILTER(T$2:T$1073,($C$2:$C$1073=$C798)*($E$2:$E$1073=$E798)*(ROW(T$2:T$1073)&lt;&gt;ROW(T798))*(T$2:T$1073&lt;&gt;""))),"")</f>
        <v>0.10442686382361807</v>
      </c>
      <c r="AC798" cm="1">
        <f t="array" ref="AC798">IFERROR(AVERAGE(_xlfn._xlws.FILTER(U$2:U$1073,($C$2:$C$1073=$C798)*($E$2:$E$1073=$E798)*(ROW(U$2:U$1073)&lt;&gt;ROW(U798))*(U$2:U$1073&lt;&gt;""))),"")</f>
        <v>1.9310921377733694</v>
      </c>
      <c r="AD798" cm="1">
        <f t="array" ref="AD798">IFERROR(AVERAGE(_xlfn._xlws.FILTER(V$2:V$1073,($C$2:$C$1073=$C798)*($E$2:$E$1073=$E798)*(ROW(V$2:V$1073)&lt;&gt;ROW(V798))*(V$2:V$1073&lt;&gt;""))),"")</f>
        <v>0.65823029186247406</v>
      </c>
      <c r="AE798">
        <f>IF('Дивиденды по годам'!M798&lt;0,1,0)</f>
        <v>0</v>
      </c>
    </row>
    <row r="799" spans="1:31" x14ac:dyDescent="0.2">
      <c r="A799" s="7" t="s">
        <v>2277</v>
      </c>
      <c r="B799" t="str">
        <f t="shared" si="132"/>
        <v>DATA IV кв. 2012</v>
      </c>
      <c r="C799">
        <v>2012</v>
      </c>
      <c r="D799">
        <f>SUMIFS(Дивиденды!$C:$C,Дивиденды!$A:$A,A799,Дивиденды!$I:$I,C799)</f>
        <v>0</v>
      </c>
      <c r="E799">
        <v>5</v>
      </c>
      <c r="F799">
        <f t="shared" si="133"/>
        <v>0</v>
      </c>
      <c r="G799">
        <f t="shared" si="134"/>
        <v>1.5490909090909091</v>
      </c>
      <c r="H799">
        <f t="shared" si="135"/>
        <v>0</v>
      </c>
      <c r="I799">
        <f t="shared" si="136"/>
        <v>0.18181818181818182</v>
      </c>
      <c r="J799">
        <f t="shared" si="137"/>
        <v>0</v>
      </c>
      <c r="K799">
        <f t="shared" si="142"/>
        <v>-4.4393542728732291E-2</v>
      </c>
      <c r="L799">
        <f t="shared" si="138"/>
        <v>0</v>
      </c>
      <c r="M799">
        <f t="shared" si="139"/>
        <v>0</v>
      </c>
      <c r="N799">
        <f t="shared" si="140"/>
        <v>0</v>
      </c>
      <c r="O799">
        <f t="shared" si="141"/>
        <v>0.18181818181818182</v>
      </c>
      <c r="P799" t="str">
        <f>IFERROR(LN('Дивиденды по годам'!I799),"")</f>
        <v/>
      </c>
      <c r="Q799" t="str">
        <f>IFERROR('Дивиденды по годам'!G799/'Дивиденды по годам'!I799, "")</f>
        <v/>
      </c>
      <c r="R799" t="str">
        <f>IFERROR(IF(AND('Дивиденды по годам'!N799&lt;&gt;"",'Дивиденды по годам'!U799&lt;&gt;"",'Дивиденды по годам'!U799&lt;&gt;0),'Дивиденды по годам'!N799/'Дивиденды по годам'!U799-1,""),"")</f>
        <v/>
      </c>
      <c r="S799" t="str">
        <f>IFERROR(IF(AND('Дивиденды по годам'!L799&lt;&gt;"",'Дивиденды по годам'!I799&lt;&gt;"",'Дивиденды по годам'!J799&lt;&gt;"",'Дивиденды по годам'!K799&lt;&gt;"",('Дивиденды по годам'!I799-'Дивиденды по годам'!J799-'Дивиденды по годам'!K799)&lt;&gt;0),'Дивиденды по годам'!L799/('Дивиденды по годам'!I799-'Дивиденды по годам'!J799-'Дивиденды по годам'!K799),""),"")</f>
        <v/>
      </c>
      <c r="T799" t="str">
        <f>IFERROR(IF(AND('Дивиденды по годам'!Q799&lt;&gt;"",'Дивиденды по годам'!I799&lt;&gt;"",'Дивиденды по годам'!V799&lt;&gt;"",('Дивиденды по годам'!I799+'Дивиденды по годам'!V799)&lt;&gt;0),'Дивиденды по годам'!Q799/(('Дивиденды по годам'!I799+'Дивиденды по годам'!V799)/2),""),"")</f>
        <v/>
      </c>
      <c r="U799" t="str">
        <f>IFERROR(IF(AND('Дивиденды по годам'!J799&lt;&gt;"",'Дивиденды по годам'!K799&lt;&gt;"",'Дивиденды по годам'!M799&lt;&gt;"",'Дивиденды по годам'!M799&lt;&gt;0),('Дивиденды по годам'!J799+'Дивиденды по годам'!K799)/'Дивиденды по годам'!M799,""),"")</f>
        <v/>
      </c>
      <c r="V799" t="str">
        <f>IFERROR(IF(AND('Дивиденды по годам'!J799&lt;&gt;"",'Дивиденды по годам'!K799&lt;&gt;"",'Дивиденды по годам'!M799&lt;&gt;"",'Дивиденды по годам'!I799&lt;&gt;0),('Дивиденды по годам'!J799+'Дивиденды по годам'!K799)/'Дивиденды по годам'!I799,""),"")</f>
        <v/>
      </c>
      <c r="W799" t="str">
        <f>IFERROR('Дивиденды по годам'!I799,"")</f>
        <v/>
      </c>
      <c r="X799" cm="1">
        <f t="array" ref="X799">IFERROR(AVERAGE(_xlfn._xlws.FILTER(P$2:P$1073,($C$2:$C$1073=$C799)*($E$2:$E$1073=$E799)*(ROW(P$2:P$1073)&lt;&gt;ROW(P799))*(P$2:P$1073&lt;&gt;""))),"")</f>
        <v>26.976167524823197</v>
      </c>
      <c r="Y799" cm="1">
        <f t="array" ref="Y799">IFERROR(AVERAGE(_xlfn._xlws.FILTER(Q$2:Q$1073,($C$2:$C$1073=$C799)*($E$2:$E$1073=$E799)*(ROW(Q$2:Q$1073)&lt;&gt;ROW(Q799))*(Q$2:Q$1073&lt;&gt;""))),"")</f>
        <v>0.63141065735920243</v>
      </c>
      <c r="Z799" cm="1">
        <f t="array" ref="Z799">IFERROR(AVERAGE(_xlfn._xlws.FILTER(R$2:R$1073,($C$2:$C$1073=$C799)*($E$2:$E$1073=$E799)*(ROW(R$2:R$1073)&lt;&gt;ROW(R799))*(R$2:R$1073&lt;&gt;""))),"")</f>
        <v>8.5252436531932485E-2</v>
      </c>
      <c r="AA799" t="str" cm="1">
        <f t="array" ref="AA799">IFERROR(AVERAGE(_xlfn._xlws.FILTER(S$2:S$1073,($C$2:$C$1073=$C799)*($E$2:$E$1073=$E799)*(ROW(S$2:S$1073)&lt;&gt;ROW(S799))*(S$2:S$1073&lt;&gt;""))),"")</f>
        <v/>
      </c>
      <c r="AB799" cm="1">
        <f t="array" ref="AB799">IFERROR(AVERAGE(_xlfn._xlws.FILTER(T$2:T$1073,($C$2:$C$1073=$C799)*($E$2:$E$1073=$E799)*(ROW(T$2:T$1073)&lt;&gt;ROW(T799))*(T$2:T$1073&lt;&gt;""))),"")</f>
        <v>6.4593053680603474E-2</v>
      </c>
      <c r="AC799" cm="1">
        <f t="array" ref="AC799">IFERROR(AVERAGE(_xlfn._xlws.FILTER(U$2:U$1073,($C$2:$C$1073=$C799)*($E$2:$E$1073=$E799)*(ROW(U$2:U$1073)&lt;&gt;ROW(U799))*(U$2:U$1073&lt;&gt;""))),"")</f>
        <v>2.1186181543330798</v>
      </c>
      <c r="AD799" cm="1">
        <f t="array" ref="AD799">IFERROR(AVERAGE(_xlfn._xlws.FILTER(V$2:V$1073,($C$2:$C$1073=$C799)*($E$2:$E$1073=$E799)*(ROW(V$2:V$1073)&lt;&gt;ROW(V799))*(V$2:V$1073&lt;&gt;""))),"")</f>
        <v>0.6515550916449</v>
      </c>
      <c r="AE799">
        <f>IF('Дивиденды по годам'!M799&lt;0,1,0)</f>
        <v>0</v>
      </c>
    </row>
    <row r="800" spans="1:31" x14ac:dyDescent="0.2">
      <c r="A800" s="7" t="s">
        <v>2277</v>
      </c>
      <c r="B800" t="str">
        <f t="shared" si="132"/>
        <v>DATA IV кв. 2011</v>
      </c>
      <c r="C800">
        <v>2011</v>
      </c>
      <c r="D800">
        <f>SUMIFS(Дивиденды!$C:$C,Дивиденды!$A:$A,A800,Дивиденды!$I:$I,C800)</f>
        <v>0</v>
      </c>
      <c r="E800">
        <v>5</v>
      </c>
      <c r="F800">
        <f t="shared" si="133"/>
        <v>0</v>
      </c>
      <c r="G800">
        <f t="shared" si="134"/>
        <v>1.7645454545454546</v>
      </c>
      <c r="H800">
        <f t="shared" si="135"/>
        <v>0</v>
      </c>
      <c r="I800">
        <f t="shared" si="136"/>
        <v>0.18181818181818182</v>
      </c>
      <c r="J800">
        <f t="shared" si="137"/>
        <v>0</v>
      </c>
      <c r="K800">
        <f t="shared" si="142"/>
        <v>0.29508419260826407</v>
      </c>
      <c r="L800">
        <f t="shared" si="138"/>
        <v>0</v>
      </c>
      <c r="M800">
        <f t="shared" si="139"/>
        <v>0.18181818181818182</v>
      </c>
      <c r="N800">
        <f t="shared" si="140"/>
        <v>0</v>
      </c>
      <c r="O800">
        <f t="shared" si="141"/>
        <v>0</v>
      </c>
      <c r="P800" t="str">
        <f>IFERROR(LN('Дивиденды по годам'!I800),"")</f>
        <v/>
      </c>
      <c r="Q800" t="str">
        <f>IFERROR('Дивиденды по годам'!G800/'Дивиденды по годам'!I800, "")</f>
        <v/>
      </c>
      <c r="R800" t="str">
        <f>IFERROR(IF(AND('Дивиденды по годам'!N800&lt;&gt;"",'Дивиденды по годам'!U800&lt;&gt;"",'Дивиденды по годам'!U800&lt;&gt;0),'Дивиденды по годам'!N800/'Дивиденды по годам'!U800-1,""),"")</f>
        <v/>
      </c>
      <c r="S800" t="str">
        <f>IFERROR(IF(AND('Дивиденды по годам'!L800&lt;&gt;"",'Дивиденды по годам'!I800&lt;&gt;"",'Дивиденды по годам'!J800&lt;&gt;"",'Дивиденды по годам'!K800&lt;&gt;"",('Дивиденды по годам'!I800-'Дивиденды по годам'!J800-'Дивиденды по годам'!K800)&lt;&gt;0),'Дивиденды по годам'!L800/('Дивиденды по годам'!I800-'Дивиденды по годам'!J800-'Дивиденды по годам'!K800),""),"")</f>
        <v/>
      </c>
      <c r="T800" t="str">
        <f>IFERROR(IF(AND('Дивиденды по годам'!Q800&lt;&gt;"",'Дивиденды по годам'!I800&lt;&gt;"",'Дивиденды по годам'!V800&lt;&gt;"",('Дивиденды по годам'!I800+'Дивиденды по годам'!V800)&lt;&gt;0),'Дивиденды по годам'!Q800/(('Дивиденды по годам'!I800+'Дивиденды по годам'!V800)/2),""),"")</f>
        <v/>
      </c>
      <c r="U800" t="str">
        <f>IFERROR(IF(AND('Дивиденды по годам'!J800&lt;&gt;"",'Дивиденды по годам'!K800&lt;&gt;"",'Дивиденды по годам'!M800&lt;&gt;"",'Дивиденды по годам'!M800&lt;&gt;0),('Дивиденды по годам'!J800+'Дивиденды по годам'!K800)/'Дивиденды по годам'!M800,""),"")</f>
        <v/>
      </c>
      <c r="V800" t="str">
        <f>IFERROR(IF(AND('Дивиденды по годам'!J800&lt;&gt;"",'Дивиденды по годам'!K800&lt;&gt;"",'Дивиденды по годам'!M800&lt;&gt;"",'Дивиденды по годам'!I800&lt;&gt;0),('Дивиденды по годам'!J800+'Дивиденды по годам'!K800)/'Дивиденды по годам'!I800,""),"")</f>
        <v/>
      </c>
      <c r="W800" t="str">
        <f>IFERROR('Дивиденды по годам'!I800,"")</f>
        <v/>
      </c>
      <c r="X800" cm="1">
        <f t="array" ref="X800">IFERROR(AVERAGE(_xlfn._xlws.FILTER(P$2:P$1073,($C$2:$C$1073=$C800)*($E$2:$E$1073=$E800)*(ROW(P$2:P$1073)&lt;&gt;ROW(P800))*(P$2:P$1073&lt;&gt;""))),"")</f>
        <v>26.959846755112331</v>
      </c>
      <c r="Y800" cm="1">
        <f t="array" ref="Y800">IFERROR(AVERAGE(_xlfn._xlws.FILTER(Q$2:Q$1073,($C$2:$C$1073=$C800)*($E$2:$E$1073=$E800)*(ROW(Q$2:Q$1073)&lt;&gt;ROW(Q800))*(Q$2:Q$1073&lt;&gt;""))),"")</f>
        <v>0.64168629722093962</v>
      </c>
      <c r="Z800" t="str" cm="1">
        <f t="array" ref="Z800">IFERROR(AVERAGE(_xlfn._xlws.FILTER(R$2:R$1073,($C$2:$C$1073=$C800)*($E$2:$E$1073=$E800)*(ROW(R$2:R$1073)&lt;&gt;ROW(R800))*(R$2:R$1073&lt;&gt;""))),"")</f>
        <v/>
      </c>
      <c r="AA800" t="str" cm="1">
        <f t="array" ref="AA800">IFERROR(AVERAGE(_xlfn._xlws.FILTER(S$2:S$1073,($C$2:$C$1073=$C800)*($E$2:$E$1073=$E800)*(ROW(S$2:S$1073)&lt;&gt;ROW(S800))*(S$2:S$1073&lt;&gt;""))),"")</f>
        <v/>
      </c>
      <c r="AB800" t="str" cm="1">
        <f t="array" ref="AB800">IFERROR(AVERAGE(_xlfn._xlws.FILTER(T$2:T$1073,($C$2:$C$1073=$C800)*($E$2:$E$1073=$E800)*(ROW(T$2:T$1073)&lt;&gt;ROW(T800))*(T$2:T$1073&lt;&gt;""))),"")</f>
        <v/>
      </c>
      <c r="AC800" cm="1">
        <f t="array" ref="AC800">IFERROR(AVERAGE(_xlfn._xlws.FILTER(U$2:U$1073,($C$2:$C$1073=$C800)*($E$2:$E$1073=$E800)*(ROW(U$2:U$1073)&lt;&gt;ROW(U800))*(U$2:U$1073&lt;&gt;""))),"")</f>
        <v>0.9076461410986616</v>
      </c>
      <c r="AD800" cm="1">
        <f t="array" ref="AD800">IFERROR(AVERAGE(_xlfn._xlws.FILTER(V$2:V$1073,($C$2:$C$1073=$C800)*($E$2:$E$1073=$E800)*(ROW(V$2:V$1073)&lt;&gt;ROW(V800))*(V$2:V$1073&lt;&gt;""))),"")</f>
        <v>0.47579376570118254</v>
      </c>
      <c r="AE800">
        <f>IF('Дивиденды по годам'!M800&lt;0,1,0)</f>
        <v>0</v>
      </c>
    </row>
    <row r="801" spans="1:31" x14ac:dyDescent="0.2">
      <c r="A801" s="7" t="s">
        <v>2277</v>
      </c>
      <c r="B801" t="str">
        <f t="shared" si="132"/>
        <v>DATA IV кв. 2010</v>
      </c>
      <c r="C801">
        <v>2010</v>
      </c>
      <c r="D801">
        <f>SUMIFS(Дивиденды!$C:$C,Дивиденды!$A:$A,A801,Дивиденды!$I:$I,C801)</f>
        <v>0</v>
      </c>
      <c r="E801">
        <v>5</v>
      </c>
      <c r="F801">
        <f t="shared" si="133"/>
        <v>0</v>
      </c>
      <c r="G801">
        <f t="shared" si="134"/>
        <v>1.4227272727272726</v>
      </c>
      <c r="H801">
        <f t="shared" si="135"/>
        <v>0</v>
      </c>
      <c r="I801">
        <f t="shared" si="136"/>
        <v>0.18181818181818182</v>
      </c>
      <c r="J801" t="str">
        <f t="shared" si="137"/>
        <v/>
      </c>
      <c r="K801" t="str">
        <f t="shared" si="142"/>
        <v/>
      </c>
      <c r="L801" t="str">
        <f t="shared" si="138"/>
        <v/>
      </c>
      <c r="M801" t="str">
        <f t="shared" si="139"/>
        <v/>
      </c>
      <c r="N801" t="str">
        <f t="shared" si="140"/>
        <v/>
      </c>
      <c r="O801" t="str">
        <f t="shared" si="141"/>
        <v/>
      </c>
      <c r="P801" t="str">
        <f>IFERROR(LN('Дивиденды по годам'!I801),"")</f>
        <v/>
      </c>
      <c r="Q801" t="str">
        <f>IFERROR('Дивиденды по годам'!G801/'Дивиденды по годам'!I801, "")</f>
        <v/>
      </c>
      <c r="R801" t="str">
        <f>IFERROR(IF(AND('Дивиденды по годам'!N801&lt;&gt;"",'Дивиденды по годам'!U801&lt;&gt;"",'Дивиденды по годам'!U801&lt;&gt;0),'Дивиденды по годам'!N801/'Дивиденды по годам'!U801-1,""),"")</f>
        <v/>
      </c>
      <c r="S801" t="str">
        <f>IFERROR(IF(AND('Дивиденды по годам'!L801&lt;&gt;"",'Дивиденды по годам'!I801&lt;&gt;"",'Дивиденды по годам'!J801&lt;&gt;"",'Дивиденды по годам'!K801&lt;&gt;"",('Дивиденды по годам'!I801-'Дивиденды по годам'!J801-'Дивиденды по годам'!K801)&lt;&gt;0),'Дивиденды по годам'!L801/('Дивиденды по годам'!I801-'Дивиденды по годам'!J801-'Дивиденды по годам'!K801),""),"")</f>
        <v/>
      </c>
      <c r="T801" t="str">
        <f>IFERROR(IF(AND('Дивиденды по годам'!Q801&lt;&gt;"",'Дивиденды по годам'!I801&lt;&gt;"",'Дивиденды по годам'!V801&lt;&gt;"",('Дивиденды по годам'!I801+'Дивиденды по годам'!V801)&lt;&gt;0),'Дивиденды по годам'!Q801/(('Дивиденды по годам'!I801+'Дивиденды по годам'!V801)/2),""),"")</f>
        <v/>
      </c>
      <c r="U801" t="str">
        <f>IFERROR(IF(AND('Дивиденды по годам'!J801&lt;&gt;"",'Дивиденды по годам'!K801&lt;&gt;"",'Дивиденды по годам'!M801&lt;&gt;"",'Дивиденды по годам'!M801&lt;&gt;0),('Дивиденды по годам'!J801+'Дивиденды по годам'!K801)/'Дивиденды по годам'!M801,""),"")</f>
        <v/>
      </c>
      <c r="V801" t="str">
        <f>IFERROR(IF(AND('Дивиденды по годам'!J801&lt;&gt;"",'Дивиденды по годам'!K801&lt;&gt;"",'Дивиденды по годам'!M801&lt;&gt;"",'Дивиденды по годам'!I801&lt;&gt;0),('Дивиденды по годам'!J801+'Дивиденды по годам'!K801)/'Дивиденды по годам'!I801,""),"")</f>
        <v/>
      </c>
      <c r="W801" t="str">
        <f>IFERROR('Дивиденды по годам'!I801,"")</f>
        <v/>
      </c>
      <c r="X801" t="str" cm="1">
        <f t="array" ref="X801">IFERROR(AVERAGE(_xlfn._xlws.FILTER(P$2:P$1073,($C$2:$C$1073=$C801)*($E$2:$E$1073=$E801)*(ROW(P$2:P$1073)&lt;&gt;ROW(P801))*(P$2:P$1073&lt;&gt;""))),"")</f>
        <v/>
      </c>
      <c r="Y801" t="str" cm="1">
        <f t="array" ref="Y801">IFERROR(AVERAGE(_xlfn._xlws.FILTER(Q$2:Q$1073,($C$2:$C$1073=$C801)*($E$2:$E$1073=$E801)*(ROW(Q$2:Q$1073)&lt;&gt;ROW(Q801))*(Q$2:Q$1073&lt;&gt;""))),"")</f>
        <v/>
      </c>
      <c r="Z801" t="str" cm="1">
        <f t="array" ref="Z801">IFERROR(AVERAGE(_xlfn._xlws.FILTER(R$2:R$1073,($C$2:$C$1073=$C801)*($E$2:$E$1073=$E801)*(ROW(R$2:R$1073)&lt;&gt;ROW(R801))*(R$2:R$1073&lt;&gt;""))),"")</f>
        <v/>
      </c>
      <c r="AA801" t="str" cm="1">
        <f t="array" ref="AA801">IFERROR(AVERAGE(_xlfn._xlws.FILTER(S$2:S$1073,($C$2:$C$1073=$C801)*($E$2:$E$1073=$E801)*(ROW(S$2:S$1073)&lt;&gt;ROW(S801))*(S$2:S$1073&lt;&gt;""))),"")</f>
        <v/>
      </c>
      <c r="AB801" t="str" cm="1">
        <f t="array" ref="AB801">IFERROR(AVERAGE(_xlfn._xlws.FILTER(T$2:T$1073,($C$2:$C$1073=$C801)*($E$2:$E$1073=$E801)*(ROW(T$2:T$1073)&lt;&gt;ROW(T801))*(T$2:T$1073&lt;&gt;""))),"")</f>
        <v/>
      </c>
      <c r="AC801" t="str" cm="1">
        <f t="array" ref="AC801">IFERROR(AVERAGE(_xlfn._xlws.FILTER(U$2:U$1073,($C$2:$C$1073=$C801)*($E$2:$E$1073=$E801)*(ROW(U$2:U$1073)&lt;&gt;ROW(U801))*(U$2:U$1073&lt;&gt;""))),"")</f>
        <v/>
      </c>
      <c r="AD801" t="str" cm="1">
        <f t="array" ref="AD801">IFERROR(AVERAGE(_xlfn._xlws.FILTER(V$2:V$1073,($C$2:$C$1073=$C801)*($E$2:$E$1073=$E801)*(ROW(V$2:V$1073)&lt;&gt;ROW(V801))*(V$2:V$1073&lt;&gt;""))),"")</f>
        <v/>
      </c>
      <c r="AE801">
        <f>IF('Дивиденды по годам'!M801&lt;0,1,0)</f>
        <v>0</v>
      </c>
    </row>
    <row r="802" spans="1:31" x14ac:dyDescent="0.2">
      <c r="A802" s="7" t="s">
        <v>2279</v>
      </c>
      <c r="B802" t="str">
        <f t="shared" si="132"/>
        <v>HEAD IV кв. 2025</v>
      </c>
      <c r="C802">
        <v>2025</v>
      </c>
      <c r="D802">
        <f>SUMIFS(Дивиденды!$C:$C,Дивиденды!$A:$A,A802,Дивиденды!$I:$I,C802)</f>
        <v>233</v>
      </c>
      <c r="E802">
        <v>5</v>
      </c>
      <c r="F802">
        <f t="shared" si="133"/>
        <v>233</v>
      </c>
      <c r="G802">
        <f t="shared" si="134"/>
        <v>30.314545454545456</v>
      </c>
      <c r="H802">
        <f t="shared" si="135"/>
        <v>1</v>
      </c>
      <c r="I802">
        <f t="shared" si="136"/>
        <v>0.45454545454545453</v>
      </c>
      <c r="J802">
        <f t="shared" si="137"/>
        <v>-0.74310915104740904</v>
      </c>
      <c r="K802">
        <f t="shared" si="142"/>
        <v>4.4397463002114161E-2</v>
      </c>
      <c r="L802">
        <f t="shared" si="138"/>
        <v>0</v>
      </c>
      <c r="M802">
        <f t="shared" si="139"/>
        <v>0.36363636363636365</v>
      </c>
      <c r="N802">
        <f t="shared" si="140"/>
        <v>1</v>
      </c>
      <c r="O802">
        <f t="shared" si="141"/>
        <v>0.45454545454545453</v>
      </c>
      <c r="P802">
        <f>IFERROR(LN('Дивиденды по годам'!I802),"")</f>
        <v>24.27525251244548</v>
      </c>
      <c r="Q802">
        <f>IFERROR('Дивиденды по годам'!G802/'Дивиденды по годам'!I802, "")</f>
        <v>6.1743222950822775E-2</v>
      </c>
      <c r="R802">
        <f>IFERROR(IF(AND('Дивиденды по годам'!N802&lt;&gt;"",'Дивиденды по годам'!U802&lt;&gt;"",'Дивиденды по годам'!U802&lt;&gt;0),'Дивиденды по годам'!N802/'Дивиденды по годам'!U802-1,""),"")</f>
        <v>3.99946389169199E-2</v>
      </c>
      <c r="S802">
        <f>IFERROR(IF(AND('Дивиденды по годам'!L802&lt;&gt;"",'Дивиденды по годам'!I802&lt;&gt;"",'Дивиденды по годам'!J802&lt;&gt;"",'Дивиденды по годам'!K802&lt;&gt;"",('Дивиденды по годам'!I802-'Дивиденды по годам'!J802-'Дивиденды по годам'!K802)&lt;&gt;0),'Дивиденды по годам'!L802/('Дивиденды по годам'!I802-'Дивиденды по годам'!J802-'Дивиденды по годам'!K802),""),"")</f>
        <v>0.13523305906417371</v>
      </c>
      <c r="T802">
        <f>IFERROR(IF(AND('Дивиденды по годам'!Q802&lt;&gt;"",'Дивиденды по годам'!I802&lt;&gt;"",'Дивиденды по годам'!V802&lt;&gt;"",('Дивиденды по годам'!I802+'Дивиденды по годам'!V802)&lt;&gt;0),'Дивиденды по годам'!Q802/(('Дивиденды по годам'!I802+'Дивиденды по годам'!V802)/2),""),"")</f>
        <v>0.60594849219699087</v>
      </c>
      <c r="U802">
        <f>IFERROR(IF(AND('Дивиденды по годам'!J802&lt;&gt;"",'Дивиденды по годам'!K802&lt;&gt;"",'Дивиденды по годам'!M802&lt;&gt;"",'Дивиденды по годам'!M802&lt;&gt;0),('Дивиденды по годам'!J802+'Дивиденды по годам'!K802)/'Дивиденды по годам'!M802,""),"")</f>
        <v>1.6531602435039783</v>
      </c>
      <c r="V802">
        <f>IFERROR(IF(AND('Дивиденды по годам'!J802&lt;&gt;"",'Дивиденды по годам'!K802&lt;&gt;"",'Дивиденды по годам'!M802&lt;&gt;"",'Дивиденды по годам'!I802&lt;&gt;0),('Дивиденды по годам'!J802+'Дивиденды по годам'!K802)/'Дивиденды по годам'!I802,""),"")</f>
        <v>0.62309099028284887</v>
      </c>
      <c r="W802">
        <f>IFERROR('Дивиденды по годам'!I802,"")</f>
        <v>34882549000</v>
      </c>
      <c r="X802" cm="1">
        <f t="array" ref="X802">IFERROR(AVERAGE(_xlfn._xlws.FILTER(P$2:P$1073,($C$2:$C$1073=$C802)*($E$2:$E$1073=$E802)*(ROW(P$2:P$1073)&lt;&gt;ROW(P802))*(P$2:P$1073&lt;&gt;""))),"")</f>
        <v>26.895626012080243</v>
      </c>
      <c r="Y802" cm="1">
        <f t="array" ref="Y802">IFERROR(AVERAGE(_xlfn._xlws.FILTER(Q$2:Q$1073,($C$2:$C$1073=$C802)*($E$2:$E$1073=$E802)*(ROW(Q$2:Q$1073)&lt;&gt;ROW(Q802))*(Q$2:Q$1073&lt;&gt;""))),"")</f>
        <v>0.21568525604378541</v>
      </c>
      <c r="Z802" cm="1">
        <f t="array" ref="Z802">IFERROR(AVERAGE(_xlfn._xlws.FILTER(R$2:R$1073,($C$2:$C$1073=$C802)*($E$2:$E$1073=$E802)*(ROW(R$2:R$1073)&lt;&gt;ROW(R802))*(R$2:R$1073&lt;&gt;""))),"")</f>
        <v>0.16664296012576874</v>
      </c>
      <c r="AA802" cm="1">
        <f t="array" ref="AA802">IFERROR(AVERAGE(_xlfn._xlws.FILTER(S$2:S$1073,($C$2:$C$1073=$C802)*($E$2:$E$1073=$E802)*(ROW(S$2:S$1073)&lt;&gt;ROW(S802))*(S$2:S$1073&lt;&gt;""))),"")</f>
        <v>0.80333217072886964</v>
      </c>
      <c r="AB802" cm="1">
        <f t="array" ref="AB802">IFERROR(AVERAGE(_xlfn._xlws.FILTER(T$2:T$1073,($C$2:$C$1073=$C802)*($E$2:$E$1073=$E802)*(ROW(T$2:T$1073)&lt;&gt;ROW(T802))*(T$2:T$1073&lt;&gt;""))),"")</f>
        <v>6.6163080535451991E-3</v>
      </c>
      <c r="AC802" cm="1">
        <f t="array" ref="AC802">IFERROR(AVERAGE(_xlfn._xlws.FILTER(U$2:U$1073,($C$2:$C$1073=$C802)*($E$2:$E$1073=$E802)*(ROW(U$2:U$1073)&lt;&gt;ROW(U802))*(U$2:U$1073&lt;&gt;""))),"")</f>
        <v>16.915354550785622</v>
      </c>
      <c r="AD802" cm="1">
        <f t="array" ref="AD802">IFERROR(AVERAGE(_xlfn._xlws.FILTER(V$2:V$1073,($C$2:$C$1073=$C802)*($E$2:$E$1073=$E802)*(ROW(V$2:V$1073)&lt;&gt;ROW(V802))*(V$2:V$1073&lt;&gt;""))),"")</f>
        <v>0.7481682528004624</v>
      </c>
      <c r="AE802">
        <f>IF('Дивиденды по годам'!M802&lt;0,1,0)</f>
        <v>0</v>
      </c>
    </row>
    <row r="803" spans="1:31" x14ac:dyDescent="0.2">
      <c r="A803" s="7" t="s">
        <v>2279</v>
      </c>
      <c r="B803" t="str">
        <f t="shared" si="132"/>
        <v>HEAD IV кв. 2024</v>
      </c>
      <c r="C803">
        <v>2024</v>
      </c>
      <c r="D803">
        <f>SUMIFS(Дивиденды!$C:$C,Дивиденды!$A:$A,A803,Дивиденды!$I:$I,C803)</f>
        <v>907</v>
      </c>
      <c r="E803">
        <v>5</v>
      </c>
      <c r="F803">
        <f t="shared" si="133"/>
        <v>907</v>
      </c>
      <c r="G803">
        <f t="shared" si="134"/>
        <v>19.71</v>
      </c>
      <c r="H803">
        <f t="shared" si="135"/>
        <v>1</v>
      </c>
      <c r="I803">
        <f t="shared" si="136"/>
        <v>0.54545454545454541</v>
      </c>
      <c r="J803">
        <f t="shared" si="137"/>
        <v>1</v>
      </c>
      <c r="K803">
        <f t="shared" si="142"/>
        <v>0.13435847293427927</v>
      </c>
      <c r="L803">
        <f t="shared" si="138"/>
        <v>1</v>
      </c>
      <c r="M803">
        <f t="shared" si="139"/>
        <v>0.27272727272727271</v>
      </c>
      <c r="N803">
        <f t="shared" si="140"/>
        <v>0</v>
      </c>
      <c r="O803">
        <f t="shared" si="141"/>
        <v>0.18181818181818182</v>
      </c>
      <c r="P803">
        <f>IFERROR(LN('Дивиденды по годам'!I803),"")</f>
        <v>23.921684840580234</v>
      </c>
      <c r="Q803">
        <f>IFERROR('Дивиденды по годам'!G803/'Дивиденды по годам'!I803, "")</f>
        <v>3.7973975020183702E-2</v>
      </c>
      <c r="R803">
        <f>IFERROR(IF(AND('Дивиденды по годам'!N803&lt;&gt;"",'Дивиденды по годам'!U803&lt;&gt;"",'Дивиденды по годам'!U803&lt;&gt;0),'Дивиденды по годам'!N803/'Дивиденды по годам'!U803-1,""),"")</f>
        <v>0.34533333663847077</v>
      </c>
      <c r="S803">
        <f>IFERROR(IF(AND('Дивиденды по годам'!L803&lt;&gt;"",'Дивиденды по годам'!I803&lt;&gt;"",'Дивиденды по годам'!J803&lt;&gt;"",'Дивиденды по годам'!K803&lt;&gt;"",('Дивиденды по годам'!I803-'Дивиденды по годам'!J803-'Дивиденды по годам'!K803)&lt;&gt;0),'Дивиденды по годам'!L803/('Дивиденды по годам'!I803-'Дивиденды по годам'!J803-'Дивиденды по годам'!K803),""),"")</f>
        <v>-0.71277047066491661</v>
      </c>
      <c r="T803">
        <f>IFERROR(IF(AND('Дивиденды по годам'!Q803&lt;&gt;"",'Дивиденды по годам'!I803&lt;&gt;"",'Дивиденды по годам'!V803&lt;&gt;"",('Дивиденды по годам'!I803+'Дивиденды по годам'!V803)&lt;&gt;0),'Дивиденды по годам'!Q803/(('Дивиденды по годам'!I803+'Дивиденды по годам'!V803)/2),""),"")</f>
        <v>0.77995295684965693</v>
      </c>
      <c r="U803">
        <f>IFERROR(IF(AND('Дивиденды по годам'!J803&lt;&gt;"",'Дивиденды по годам'!K803&lt;&gt;"",'Дивиденды по годам'!M803&lt;&gt;"",'Дивиденды по годам'!M803&lt;&gt;0),('Дивиденды по годам'!J803+'Дивиденды по годам'!K803)/'Дивиденды по годам'!M803,""),"")</f>
        <v>4.2481315117474461</v>
      </c>
      <c r="V803">
        <f>IFERROR(IF(AND('Дивиденды по годам'!J803&lt;&gt;"",'Дивиденды по годам'!K803&lt;&gt;"",'Дивиденды по годам'!M803&lt;&gt;"",'Дивиденды по годам'!I803&lt;&gt;0),('Дивиденды по годам'!J803+'Дивиденды по годам'!K803)/'Дивиденды по годам'!I803,""),"")</f>
        <v>0.80945599443123817</v>
      </c>
      <c r="W803">
        <f>IFERROR('Дивиденды по годам'!I803,"")</f>
        <v>24493775000</v>
      </c>
      <c r="X803" cm="1">
        <f t="array" ref="X803">IFERROR(AVERAGE(_xlfn._xlws.FILTER(P$2:P$1073,($C$2:$C$1073=$C803)*($E$2:$E$1073=$E803)*(ROW(P$2:P$1073)&lt;&gt;ROW(P803))*(P$2:P$1073&lt;&gt;""))),"")</f>
        <v>25.493967466660063</v>
      </c>
      <c r="Y803" cm="1">
        <f t="array" ref="Y803">IFERROR(AVERAGE(_xlfn._xlws.FILTER(Q$2:Q$1073,($C$2:$C$1073=$C803)*($E$2:$E$1073=$E803)*(ROW(Q$2:Q$1073)&lt;&gt;ROW(Q803))*(Q$2:Q$1073&lt;&gt;""))),"")</f>
        <v>0.14546742215292077</v>
      </c>
      <c r="Z803" cm="1">
        <f t="array" ref="Z803">IFERROR(AVERAGE(_xlfn._xlws.FILTER(R$2:R$1073,($C$2:$C$1073=$C803)*($E$2:$E$1073=$E803)*(ROW(R$2:R$1073)&lt;&gt;ROW(R803))*(R$2:R$1073&lt;&gt;""))),"")</f>
        <v>0.25407824861477007</v>
      </c>
      <c r="AA803" cm="1">
        <f t="array" ref="AA803">IFERROR(AVERAGE(_xlfn._xlws.FILTER(S$2:S$1073,($C$2:$C$1073=$C803)*($E$2:$E$1073=$E803)*(ROW(S$2:S$1073)&lt;&gt;ROW(S803))*(S$2:S$1073&lt;&gt;""))),"")</f>
        <v>-0.15144021557784887</v>
      </c>
      <c r="AB803" cm="1">
        <f t="array" ref="AB803">IFERROR(AVERAGE(_xlfn._xlws.FILTER(T$2:T$1073,($C$2:$C$1073=$C803)*($E$2:$E$1073=$E803)*(ROW(T$2:T$1073)&lt;&gt;ROW(T803))*(T$2:T$1073&lt;&gt;""))),"")</f>
        <v>0.12609534474592837</v>
      </c>
      <c r="AC803" cm="1">
        <f t="array" ref="AC803">IFERROR(AVERAGE(_xlfn._xlws.FILTER(U$2:U$1073,($C$2:$C$1073=$C803)*($E$2:$E$1073=$E803)*(ROW(U$2:U$1073)&lt;&gt;ROW(U803))*(U$2:U$1073&lt;&gt;""))),"")</f>
        <v>-12.751853426741505</v>
      </c>
      <c r="AD803" cm="1">
        <f t="array" ref="AD803">IFERROR(AVERAGE(_xlfn._xlws.FILTER(V$2:V$1073,($C$2:$C$1073=$C803)*($E$2:$E$1073=$E803)*(ROW(V$2:V$1073)&lt;&gt;ROW(V803))*(V$2:V$1073&lt;&gt;""))),"")</f>
        <v>0.68083706586997594</v>
      </c>
      <c r="AE803">
        <f>IF('Дивиденды по годам'!M803&lt;0,1,0)</f>
        <v>0</v>
      </c>
    </row>
    <row r="804" spans="1:31" x14ac:dyDescent="0.2">
      <c r="A804" s="7" t="s">
        <v>2279</v>
      </c>
      <c r="B804" t="str">
        <f t="shared" si="132"/>
        <v>HEAD IV кв. 2023</v>
      </c>
      <c r="C804">
        <v>2023</v>
      </c>
      <c r="D804">
        <f>SUMIFS(Дивиденды!$C:$C,Дивиденды!$A:$A,A804,Дивиденды!$I:$I,C804)</f>
        <v>0</v>
      </c>
      <c r="E804">
        <v>5</v>
      </c>
      <c r="F804">
        <f t="shared" si="133"/>
        <v>0</v>
      </c>
      <c r="G804">
        <f t="shared" si="134"/>
        <v>17.214545454545455</v>
      </c>
      <c r="H804">
        <f t="shared" si="135"/>
        <v>0</v>
      </c>
      <c r="I804">
        <f t="shared" si="136"/>
        <v>0.27272727272727271</v>
      </c>
      <c r="J804">
        <f t="shared" si="137"/>
        <v>0</v>
      </c>
      <c r="K804">
        <f t="shared" si="142"/>
        <v>0.2713254911425303</v>
      </c>
      <c r="L804">
        <f t="shared" si="138"/>
        <v>0</v>
      </c>
      <c r="M804">
        <f t="shared" si="139"/>
        <v>0.27272727272727271</v>
      </c>
      <c r="N804">
        <f t="shared" si="140"/>
        <v>0</v>
      </c>
      <c r="O804">
        <f t="shared" si="141"/>
        <v>0</v>
      </c>
      <c r="P804">
        <f>IFERROR(LN('Дивиденды по годам'!I804),"")</f>
        <v>24.32727673477152</v>
      </c>
      <c r="Q804">
        <f>IFERROR('Дивиденды по годам'!G804/'Дивиденды по годам'!I804, "")</f>
        <v>1.7721984249368782E-2</v>
      </c>
      <c r="R804" t="str">
        <f>IFERROR(IF(AND('Дивиденды по годам'!N804&lt;&gt;"",'Дивиденды по годам'!U804&lt;&gt;"",'Дивиденды по годам'!U804&lt;&gt;0),'Дивиденды по годам'!N804/'Дивиденды по годам'!U804-1,""),"")</f>
        <v/>
      </c>
      <c r="S804">
        <f>IFERROR(IF(AND('Дивиденды по годам'!L804&lt;&gt;"",'Дивиденды по годам'!I804&lt;&gt;"",'Дивиденды по годам'!J804&lt;&gt;"",'Дивиденды по годам'!K804&lt;&gt;"",('Дивиденды по годам'!I804-'Дивиденды по годам'!J804-'Дивиденды по годам'!K804)&lt;&gt;0),'Дивиденды по годам'!L804/('Дивиденды по годам'!I804-'Дивиденды по годам'!J804-'Дивиденды по годам'!K804),""),"")</f>
        <v>0.63646281737541122</v>
      </c>
      <c r="T804" t="str">
        <f>IFERROR(IF(AND('Дивиденды по годам'!Q804&lt;&gt;"",'Дивиденды по годам'!I804&lt;&gt;"",'Дивиденды по годам'!V804&lt;&gt;"",('Дивиденды по годам'!I804+'Дивиденды по годам'!V804)&lt;&gt;0),'Дивиденды по годам'!Q804/(('Дивиденды по годам'!I804+'Дивиденды по годам'!V804)/2),""),"")</f>
        <v/>
      </c>
      <c r="U804">
        <f>IFERROR(IF(AND('Дивиденды по годам'!J804&lt;&gt;"",'Дивиденды по годам'!K804&lt;&gt;"",'Дивиденды по годам'!M804&lt;&gt;"",'Дивиденды по годам'!M804&lt;&gt;0),('Дивиденды по годам'!J804+'Дивиденды по годам'!K804)/'Дивиденды по годам'!M804,""),"")</f>
        <v>0.87471096438942508</v>
      </c>
      <c r="V804">
        <f>IFERROR(IF(AND('Дивиденды по годам'!J804&lt;&gt;"",'Дивиденды по годам'!K804&lt;&gt;"",'Дивиденды по годам'!M804&lt;&gt;"",'Дивиденды по годам'!I804&lt;&gt;0),('Дивиденды по годам'!J804+'Дивиденды по годам'!K804)/'Дивиденды по годам'!I804,""),"")</f>
        <v>0.4665844394174703</v>
      </c>
      <c r="W804">
        <f>IFERROR('Дивиденды по годам'!I804,"")</f>
        <v>36745321000</v>
      </c>
      <c r="X804" cm="1">
        <f t="array" ref="X804">IFERROR(AVERAGE(_xlfn._xlws.FILTER(P$2:P$1073,($C$2:$C$1073=$C804)*($E$2:$E$1073=$E804)*(ROW(P$2:P$1073)&lt;&gt;ROW(P804))*(P$2:P$1073&lt;&gt;""))),"")</f>
        <v>24.972638388579192</v>
      </c>
      <c r="Y804" cm="1">
        <f t="array" ref="Y804">IFERROR(AVERAGE(_xlfn._xlws.FILTER(Q$2:Q$1073,($C$2:$C$1073=$C804)*($E$2:$E$1073=$E804)*(ROW(Q$2:Q$1073)&lt;&gt;ROW(Q804))*(Q$2:Q$1073&lt;&gt;""))),"")</f>
        <v>0.12928245775315508</v>
      </c>
      <c r="Z804" cm="1">
        <f t="array" ref="Z804">IFERROR(AVERAGE(_xlfn._xlws.FILTER(R$2:R$1073,($C$2:$C$1073=$C804)*($E$2:$E$1073=$E804)*(ROW(R$2:R$1073)&lt;&gt;ROW(R804))*(R$2:R$1073&lt;&gt;""))),"")</f>
        <v>0.43171849086064124</v>
      </c>
      <c r="AA804" cm="1">
        <f t="array" ref="AA804">IFERROR(AVERAGE(_xlfn._xlws.FILTER(S$2:S$1073,($C$2:$C$1073=$C804)*($E$2:$E$1073=$E804)*(ROW(S$2:S$1073)&lt;&gt;ROW(S804))*(S$2:S$1073&lt;&gt;""))),"")</f>
        <v>0.71343533961922423</v>
      </c>
      <c r="AB804" cm="1">
        <f t="array" ref="AB804">IFERROR(AVERAGE(_xlfn._xlws.FILTER(T$2:T$1073,($C$2:$C$1073=$C804)*($E$2:$E$1073=$E804)*(ROW(T$2:T$1073)&lt;&gt;ROW(T804))*(T$2:T$1073&lt;&gt;""))),"")</f>
        <v>0.16503536613583741</v>
      </c>
      <c r="AC804" cm="1">
        <f t="array" ref="AC804">IFERROR(AVERAGE(_xlfn._xlws.FILTER(U$2:U$1073,($C$2:$C$1073=$C804)*($E$2:$E$1073=$E804)*(ROW(U$2:U$1073)&lt;&gt;ROW(U804))*(U$2:U$1073&lt;&gt;""))),"")</f>
        <v>95.891384211866693</v>
      </c>
      <c r="AD804" cm="1">
        <f t="array" ref="AD804">IFERROR(AVERAGE(_xlfn._xlws.FILTER(V$2:V$1073,($C$2:$C$1073=$C804)*($E$2:$E$1073=$E804)*(ROW(V$2:V$1073)&lt;&gt;ROW(V804))*(V$2:V$1073&lt;&gt;""))),"")</f>
        <v>0.65424748136939759</v>
      </c>
      <c r="AE804">
        <f>IF('Дивиденды по годам'!M804&lt;0,1,0)</f>
        <v>0</v>
      </c>
    </row>
    <row r="805" spans="1:31" x14ac:dyDescent="0.2">
      <c r="A805" s="7" t="s">
        <v>2279</v>
      </c>
      <c r="B805" t="str">
        <f t="shared" si="132"/>
        <v>HEAD IV кв. 2022</v>
      </c>
      <c r="C805">
        <v>2022</v>
      </c>
      <c r="D805">
        <f>SUMIFS(Дивиденды!$C:$C,Дивиденды!$A:$A,A805,Дивиденды!$I:$I,C805)</f>
        <v>0</v>
      </c>
      <c r="E805">
        <v>5</v>
      </c>
      <c r="F805">
        <f t="shared" si="133"/>
        <v>0</v>
      </c>
      <c r="G805">
        <f t="shared" si="134"/>
        <v>7.1127272727272723</v>
      </c>
      <c r="H805">
        <f t="shared" si="135"/>
        <v>0</v>
      </c>
      <c r="I805">
        <f t="shared" si="136"/>
        <v>0.27272727272727271</v>
      </c>
      <c r="J805">
        <f t="shared" si="137"/>
        <v>0</v>
      </c>
      <c r="K805">
        <f t="shared" si="142"/>
        <v>8.7952066899435327E-2</v>
      </c>
      <c r="L805">
        <f t="shared" si="138"/>
        <v>0</v>
      </c>
      <c r="M805">
        <f t="shared" si="139"/>
        <v>0.18181818181818182</v>
      </c>
      <c r="N805">
        <f t="shared" si="140"/>
        <v>0</v>
      </c>
      <c r="O805">
        <f t="shared" si="141"/>
        <v>9.0909090909090912E-2</v>
      </c>
      <c r="P805" t="str">
        <f>IFERROR(LN('Дивиденды по годам'!I805),"")</f>
        <v/>
      </c>
      <c r="Q805" t="str">
        <f>IFERROR('Дивиденды по годам'!G805/'Дивиденды по годам'!I805, "")</f>
        <v/>
      </c>
      <c r="R805" t="str">
        <f>IFERROR(IF(AND('Дивиденды по годам'!N805&lt;&gt;"",'Дивиденды по годам'!U805&lt;&gt;"",'Дивиденды по годам'!U805&lt;&gt;0),'Дивиденды по годам'!N805/'Дивиденды по годам'!U805-1,""),"")</f>
        <v/>
      </c>
      <c r="S805" t="str">
        <f>IFERROR(IF(AND('Дивиденды по годам'!L805&lt;&gt;"",'Дивиденды по годам'!I805&lt;&gt;"",'Дивиденды по годам'!J805&lt;&gt;"",'Дивиденды по годам'!K805&lt;&gt;"",('Дивиденды по годам'!I805-'Дивиденды по годам'!J805-'Дивиденды по годам'!K805)&lt;&gt;0),'Дивиденды по годам'!L805/('Дивиденды по годам'!I805-'Дивиденды по годам'!J805-'Дивиденды по годам'!K805),""),"")</f>
        <v/>
      </c>
      <c r="T805" t="str">
        <f>IFERROR(IF(AND('Дивиденды по годам'!Q805&lt;&gt;"",'Дивиденды по годам'!I805&lt;&gt;"",'Дивиденды по годам'!V805&lt;&gt;"",('Дивиденды по годам'!I805+'Дивиденды по годам'!V805)&lt;&gt;0),'Дивиденды по годам'!Q805/(('Дивиденды по годам'!I805+'Дивиденды по годам'!V805)/2),""),"")</f>
        <v/>
      </c>
      <c r="U805" t="str">
        <f>IFERROR(IF(AND('Дивиденды по годам'!J805&lt;&gt;"",'Дивиденды по годам'!K805&lt;&gt;"",'Дивиденды по годам'!M805&lt;&gt;"",'Дивиденды по годам'!M805&lt;&gt;0),('Дивиденды по годам'!J805+'Дивиденды по годам'!K805)/'Дивиденды по годам'!M805,""),"")</f>
        <v/>
      </c>
      <c r="V805" t="str">
        <f>IFERROR(IF(AND('Дивиденды по годам'!J805&lt;&gt;"",'Дивиденды по годам'!K805&lt;&gt;"",'Дивиденды по годам'!M805&lt;&gt;"",'Дивиденды по годам'!I805&lt;&gt;0),('Дивиденды по годам'!J805+'Дивиденды по годам'!K805)/'Дивиденды по годам'!I805,""),"")</f>
        <v/>
      </c>
      <c r="W805" t="str">
        <f>IFERROR('Дивиденды по годам'!I805,"")</f>
        <v/>
      </c>
      <c r="X805" cm="1">
        <f t="array" ref="X805">IFERROR(AVERAGE(_xlfn._xlws.FILTER(P$2:P$1073,($C$2:$C$1073=$C805)*($E$2:$E$1073=$E805)*(ROW(P$2:P$1073)&lt;&gt;ROW(P805))*(P$2:P$1073&lt;&gt;""))),"")</f>
        <v>24.993376890782685</v>
      </c>
      <c r="Y805" cm="1">
        <f t="array" ref="Y805">IFERROR(AVERAGE(_xlfn._xlws.FILTER(Q$2:Q$1073,($C$2:$C$1073=$C805)*($E$2:$E$1073=$E805)*(ROW(Q$2:Q$1073)&lt;&gt;ROW(Q805))*(Q$2:Q$1073&lt;&gt;""))),"")</f>
        <v>0.10312885530309761</v>
      </c>
      <c r="Z805" cm="1">
        <f t="array" ref="Z805">IFERROR(AVERAGE(_xlfn._xlws.FILTER(R$2:R$1073,($C$2:$C$1073=$C805)*($E$2:$E$1073=$E805)*(ROW(R$2:R$1073)&lt;&gt;ROW(R805))*(R$2:R$1073&lt;&gt;""))),"")</f>
        <v>0.57613604172059418</v>
      </c>
      <c r="AA805" cm="1">
        <f t="array" ref="AA805">IFERROR(AVERAGE(_xlfn._xlws.FILTER(S$2:S$1073,($C$2:$C$1073=$C805)*($E$2:$E$1073=$E805)*(ROW(S$2:S$1073)&lt;&gt;ROW(S805))*(S$2:S$1073&lt;&gt;""))),"")</f>
        <v>0.79975694618495274</v>
      </c>
      <c r="AB805" cm="1">
        <f t="array" ref="AB805">IFERROR(AVERAGE(_xlfn._xlws.FILTER(T$2:T$1073,($C$2:$C$1073=$C805)*($E$2:$E$1073=$E805)*(ROW(T$2:T$1073)&lt;&gt;ROW(T805))*(T$2:T$1073&lt;&gt;""))),"")</f>
        <v>0.34864704859118889</v>
      </c>
      <c r="AC805" cm="1">
        <f t="array" ref="AC805">IFERROR(AVERAGE(_xlfn._xlws.FILTER(U$2:U$1073,($C$2:$C$1073=$C805)*($E$2:$E$1073=$E805)*(ROW(U$2:U$1073)&lt;&gt;ROW(U805))*(U$2:U$1073&lt;&gt;""))),"")</f>
        <v>-58.279622636108527</v>
      </c>
      <c r="AD805" cm="1">
        <f t="array" ref="AD805">IFERROR(AVERAGE(_xlfn._xlws.FILTER(V$2:V$1073,($C$2:$C$1073=$C805)*($E$2:$E$1073=$E805)*(ROW(V$2:V$1073)&lt;&gt;ROW(V805))*(V$2:V$1073&lt;&gt;""))),"")</f>
        <v>0.72118797865619422</v>
      </c>
      <c r="AE805">
        <f>IF('Дивиденды по годам'!M805&lt;0,1,0)</f>
        <v>0</v>
      </c>
    </row>
    <row r="806" spans="1:31" x14ac:dyDescent="0.2">
      <c r="A806" s="7" t="s">
        <v>2279</v>
      </c>
      <c r="B806" t="str">
        <f t="shared" si="132"/>
        <v>HEAD IV кв. 2021</v>
      </c>
      <c r="C806">
        <v>2021</v>
      </c>
      <c r="D806">
        <f>SUMIFS(Дивиденды!$C:$C,Дивиденды!$A:$A,A806,Дивиденды!$I:$I,C806)</f>
        <v>0</v>
      </c>
      <c r="E806">
        <v>5</v>
      </c>
      <c r="F806">
        <f t="shared" si="133"/>
        <v>0</v>
      </c>
      <c r="G806">
        <f t="shared" si="134"/>
        <v>4.450909090909092</v>
      </c>
      <c r="H806">
        <f t="shared" si="135"/>
        <v>0</v>
      </c>
      <c r="I806">
        <f t="shared" si="136"/>
        <v>0.18181818181818182</v>
      </c>
      <c r="J806">
        <f t="shared" si="137"/>
        <v>0</v>
      </c>
      <c r="K806">
        <f t="shared" si="142"/>
        <v>1.4983788220808552E-2</v>
      </c>
      <c r="L806">
        <f t="shared" si="138"/>
        <v>0</v>
      </c>
      <c r="M806">
        <f t="shared" si="139"/>
        <v>9.0909090909090912E-2</v>
      </c>
      <c r="N806">
        <f t="shared" si="140"/>
        <v>0</v>
      </c>
      <c r="O806">
        <f t="shared" si="141"/>
        <v>9.0909090909090912E-2</v>
      </c>
      <c r="P806" t="str">
        <f>IFERROR(LN('Дивиденды по годам'!I806),"")</f>
        <v/>
      </c>
      <c r="Q806" t="str">
        <f>IFERROR('Дивиденды по годам'!G806/'Дивиденды по годам'!I806, "")</f>
        <v/>
      </c>
      <c r="R806" t="str">
        <f>IFERROR(IF(AND('Дивиденды по годам'!N806&lt;&gt;"",'Дивиденды по годам'!U806&lt;&gt;"",'Дивиденды по годам'!U806&lt;&gt;0),'Дивиденды по годам'!N806/'Дивиденды по годам'!U806-1,""),"")</f>
        <v/>
      </c>
      <c r="S806" t="str">
        <f>IFERROR(IF(AND('Дивиденды по годам'!L806&lt;&gt;"",'Дивиденды по годам'!I806&lt;&gt;"",'Дивиденды по годам'!J806&lt;&gt;"",'Дивиденды по годам'!K806&lt;&gt;"",('Дивиденды по годам'!I806-'Дивиденды по годам'!J806-'Дивиденды по годам'!K806)&lt;&gt;0),'Дивиденды по годам'!L806/('Дивиденды по годам'!I806-'Дивиденды по годам'!J806-'Дивиденды по годам'!K806),""),"")</f>
        <v/>
      </c>
      <c r="T806" t="str">
        <f>IFERROR(IF(AND('Дивиденды по годам'!Q806&lt;&gt;"",'Дивиденды по годам'!I806&lt;&gt;"",'Дивиденды по годам'!V806&lt;&gt;"",('Дивиденды по годам'!I806+'Дивиденды по годам'!V806)&lt;&gt;0),'Дивиденды по годам'!Q806/(('Дивиденды по годам'!I806+'Дивиденды по годам'!V806)/2),""),"")</f>
        <v/>
      </c>
      <c r="U806" t="str">
        <f>IFERROR(IF(AND('Дивиденды по годам'!J806&lt;&gt;"",'Дивиденды по годам'!K806&lt;&gt;"",'Дивиденды по годам'!M806&lt;&gt;"",'Дивиденды по годам'!M806&lt;&gt;0),('Дивиденды по годам'!J806+'Дивиденды по годам'!K806)/'Дивиденды по годам'!M806,""),"")</f>
        <v/>
      </c>
      <c r="V806" t="str">
        <f>IFERROR(IF(AND('Дивиденды по годам'!J806&lt;&gt;"",'Дивиденды по годам'!K806&lt;&gt;"",'Дивиденды по годам'!M806&lt;&gt;"",'Дивиденды по годам'!I806&lt;&gt;0),('Дивиденды по годам'!J806+'Дивиденды по годам'!K806)/'Дивиденды по годам'!I806,""),"")</f>
        <v/>
      </c>
      <c r="W806" t="str">
        <f>IFERROR('Дивиденды по годам'!I806,"")</f>
        <v/>
      </c>
      <c r="X806" cm="1">
        <f t="array" ref="X806">IFERROR(AVERAGE(_xlfn._xlws.FILTER(P$2:P$1073,($C$2:$C$1073=$C806)*($E$2:$E$1073=$E806)*(ROW(P$2:P$1073)&lt;&gt;ROW(P806))*(P$2:P$1073&lt;&gt;""))),"")</f>
        <v>24.814330558799487</v>
      </c>
      <c r="Y806" cm="1">
        <f t="array" ref="Y806">IFERROR(AVERAGE(_xlfn._xlws.FILTER(Q$2:Q$1073,($C$2:$C$1073=$C806)*($E$2:$E$1073=$E806)*(ROW(Q$2:Q$1073)&lt;&gt;ROW(Q806))*(Q$2:Q$1073&lt;&gt;""))),"")</f>
        <v>0.19534356994799099</v>
      </c>
      <c r="Z806" cm="1">
        <f t="array" ref="Z806">IFERROR(AVERAGE(_xlfn._xlws.FILTER(R$2:R$1073,($C$2:$C$1073=$C806)*($E$2:$E$1073=$E806)*(ROW(R$2:R$1073)&lt;&gt;ROW(R806))*(R$2:R$1073&lt;&gt;""))),"")</f>
        <v>9.4863731161179049E-2</v>
      </c>
      <c r="AA806" cm="1">
        <f t="array" ref="AA806">IFERROR(AVERAGE(_xlfn._xlws.FILTER(S$2:S$1073,($C$2:$C$1073=$C806)*($E$2:$E$1073=$E806)*(ROW(S$2:S$1073)&lt;&gt;ROW(S806))*(S$2:S$1073&lt;&gt;""))),"")</f>
        <v>1.8501010961498143</v>
      </c>
      <c r="AB806" cm="1">
        <f t="array" ref="AB806">IFERROR(AVERAGE(_xlfn._xlws.FILTER(T$2:T$1073,($C$2:$C$1073=$C806)*($E$2:$E$1073=$E806)*(ROW(T$2:T$1073)&lt;&gt;ROW(T806))*(T$2:T$1073&lt;&gt;""))),"")</f>
        <v>9.1596142313276091E-2</v>
      </c>
      <c r="AC806" cm="1">
        <f t="array" ref="AC806">IFERROR(AVERAGE(_xlfn._xlws.FILTER(U$2:U$1073,($C$2:$C$1073=$C806)*($E$2:$E$1073=$E806)*(ROW(U$2:U$1073)&lt;&gt;ROW(U806))*(U$2:U$1073&lt;&gt;""))),"")</f>
        <v>21.700846854369502</v>
      </c>
      <c r="AD806" cm="1">
        <f t="array" ref="AD806">IFERROR(AVERAGE(_xlfn._xlws.FILTER(V$2:V$1073,($C$2:$C$1073=$C806)*($E$2:$E$1073=$E806)*(ROW(V$2:V$1073)&lt;&gt;ROW(V806))*(V$2:V$1073&lt;&gt;""))),"")</f>
        <v>0.85910201160215871</v>
      </c>
      <c r="AE806">
        <f>IF('Дивиденды по годам'!M806&lt;0,1,0)</f>
        <v>0</v>
      </c>
    </row>
    <row r="807" spans="1:31" x14ac:dyDescent="0.2">
      <c r="A807" s="7" t="s">
        <v>2279</v>
      </c>
      <c r="B807" t="str">
        <f t="shared" si="132"/>
        <v>HEAD IV кв. 2020</v>
      </c>
      <c r="C807">
        <v>2020</v>
      </c>
      <c r="D807">
        <f>SUMIFS(Дивиденды!$C:$C,Дивиденды!$A:$A,A807,Дивиденды!$I:$I,C807)</f>
        <v>0</v>
      </c>
      <c r="E807">
        <v>5</v>
      </c>
      <c r="F807">
        <f t="shared" si="133"/>
        <v>0</v>
      </c>
      <c r="G807">
        <f t="shared" si="134"/>
        <v>3.6763636363636363</v>
      </c>
      <c r="H807">
        <f t="shared" si="135"/>
        <v>0</v>
      </c>
      <c r="I807">
        <f t="shared" si="136"/>
        <v>0.18181818181818182</v>
      </c>
      <c r="J807">
        <f t="shared" si="137"/>
        <v>0</v>
      </c>
      <c r="K807">
        <f t="shared" si="142"/>
        <v>-1.5101604278074872E-2</v>
      </c>
      <c r="L807">
        <f t="shared" si="138"/>
        <v>0</v>
      </c>
      <c r="M807">
        <f t="shared" si="139"/>
        <v>0</v>
      </c>
      <c r="N807">
        <f t="shared" si="140"/>
        <v>0</v>
      </c>
      <c r="O807">
        <f t="shared" si="141"/>
        <v>9.0909090909090912E-2</v>
      </c>
      <c r="P807" t="str">
        <f>IFERROR(LN('Дивиденды по годам'!I807),"")</f>
        <v/>
      </c>
      <c r="Q807" t="str">
        <f>IFERROR('Дивиденды по годам'!G807/'Дивиденды по годам'!I807, "")</f>
        <v/>
      </c>
      <c r="R807" t="str">
        <f>IFERROR(IF(AND('Дивиденды по годам'!N807&lt;&gt;"",'Дивиденды по годам'!U807&lt;&gt;"",'Дивиденды по годам'!U807&lt;&gt;0),'Дивиденды по годам'!N807/'Дивиденды по годам'!U807-1,""),"")</f>
        <v/>
      </c>
      <c r="S807" t="str">
        <f>IFERROR(IF(AND('Дивиденды по годам'!L807&lt;&gt;"",'Дивиденды по годам'!I807&lt;&gt;"",'Дивиденды по годам'!J807&lt;&gt;"",'Дивиденды по годам'!K807&lt;&gt;"",('Дивиденды по годам'!I807-'Дивиденды по годам'!J807-'Дивиденды по годам'!K807)&lt;&gt;0),'Дивиденды по годам'!L807/('Дивиденды по годам'!I807-'Дивиденды по годам'!J807-'Дивиденды по годам'!K807),""),"")</f>
        <v/>
      </c>
      <c r="T807" t="str">
        <f>IFERROR(IF(AND('Дивиденды по годам'!Q807&lt;&gt;"",'Дивиденды по годам'!I807&lt;&gt;"",'Дивиденды по годам'!V807&lt;&gt;"",('Дивиденды по годам'!I807+'Дивиденды по годам'!V807)&lt;&gt;0),'Дивиденды по годам'!Q807/(('Дивиденды по годам'!I807+'Дивиденды по годам'!V807)/2),""),"")</f>
        <v/>
      </c>
      <c r="U807" t="str">
        <f>IFERROR(IF(AND('Дивиденды по годам'!J807&lt;&gt;"",'Дивиденды по годам'!K807&lt;&gt;"",'Дивиденды по годам'!M807&lt;&gt;"",'Дивиденды по годам'!M807&lt;&gt;0),('Дивиденды по годам'!J807+'Дивиденды по годам'!K807)/'Дивиденды по годам'!M807,""),"")</f>
        <v/>
      </c>
      <c r="V807" t="str">
        <f>IFERROR(IF(AND('Дивиденды по годам'!J807&lt;&gt;"",'Дивиденды по годам'!K807&lt;&gt;"",'Дивиденды по годам'!M807&lt;&gt;"",'Дивиденды по годам'!I807&lt;&gt;0),('Дивиденды по годам'!J807+'Дивиденды по годам'!K807)/'Дивиденды по годам'!I807,""),"")</f>
        <v/>
      </c>
      <c r="W807" t="str">
        <f>IFERROR('Дивиденды по годам'!I807,"")</f>
        <v/>
      </c>
      <c r="X807" cm="1">
        <f t="array" ref="X807">IFERROR(AVERAGE(_xlfn._xlws.FILTER(P$2:P$1073,($C$2:$C$1073=$C807)*($E$2:$E$1073=$E807)*(ROW(P$2:P$1073)&lt;&gt;ROW(P807))*(P$2:P$1073&lt;&gt;""))),"")</f>
        <v>25.49408392578281</v>
      </c>
      <c r="Y807" cm="1">
        <f t="array" ref="Y807">IFERROR(AVERAGE(_xlfn._xlws.FILTER(Q$2:Q$1073,($C$2:$C$1073=$C807)*($E$2:$E$1073=$E807)*(ROW(Q$2:Q$1073)&lt;&gt;ROW(Q807))*(Q$2:Q$1073&lt;&gt;""))),"")</f>
        <v>0.23831030393306155</v>
      </c>
      <c r="Z807" cm="1">
        <f t="array" ref="Z807">IFERROR(AVERAGE(_xlfn._xlws.FILTER(R$2:R$1073,($C$2:$C$1073=$C807)*($E$2:$E$1073=$E807)*(ROW(R$2:R$1073)&lt;&gt;ROW(R807))*(R$2:R$1073&lt;&gt;""))),"")</f>
        <v>0.42097945466997094</v>
      </c>
      <c r="AA807" cm="1">
        <f t="array" ref="AA807">IFERROR(AVERAGE(_xlfn._xlws.FILTER(S$2:S$1073,($C$2:$C$1073=$C807)*($E$2:$E$1073=$E807)*(ROW(S$2:S$1073)&lt;&gt;ROW(S807))*(S$2:S$1073&lt;&gt;""))),"")</f>
        <v>1.383012856761217</v>
      </c>
      <c r="AB807" cm="1">
        <f t="array" ref="AB807">IFERROR(AVERAGE(_xlfn._xlws.FILTER(T$2:T$1073,($C$2:$C$1073=$C807)*($E$2:$E$1073=$E807)*(ROW(T$2:T$1073)&lt;&gt;ROW(T807))*(T$2:T$1073&lt;&gt;""))),"")</f>
        <v>0.12042080749921591</v>
      </c>
      <c r="AC807" cm="1">
        <f t="array" ref="AC807">IFERROR(AVERAGE(_xlfn._xlws.FILTER(U$2:U$1073,($C$2:$C$1073=$C807)*($E$2:$E$1073=$E807)*(ROW(U$2:U$1073)&lt;&gt;ROW(U807))*(U$2:U$1073&lt;&gt;""))),"")</f>
        <v>9.6677963358881698</v>
      </c>
      <c r="AD807" cm="1">
        <f t="array" ref="AD807">IFERROR(AVERAGE(_xlfn._xlws.FILTER(V$2:V$1073,($C$2:$C$1073=$C807)*($E$2:$E$1073=$E807)*(ROW(V$2:V$1073)&lt;&gt;ROW(V807))*(V$2:V$1073&lt;&gt;""))),"")</f>
        <v>0.80624783688388657</v>
      </c>
      <c r="AE807">
        <f>IF('Дивиденды по годам'!M807&lt;0,1,0)</f>
        <v>0</v>
      </c>
    </row>
    <row r="808" spans="1:31" x14ac:dyDescent="0.2">
      <c r="A808" s="7" t="s">
        <v>2279</v>
      </c>
      <c r="B808" t="str">
        <f t="shared" si="132"/>
        <v>HEAD IV кв. 2019</v>
      </c>
      <c r="C808">
        <v>2019</v>
      </c>
      <c r="D808">
        <f>SUMIFS(Дивиденды!$C:$C,Дивиденды!$A:$A,A808,Дивиденды!$I:$I,C808)</f>
        <v>0</v>
      </c>
      <c r="E808">
        <v>5</v>
      </c>
      <c r="F808">
        <f t="shared" si="133"/>
        <v>0</v>
      </c>
      <c r="G808">
        <f t="shared" si="134"/>
        <v>4.3181818181818183</v>
      </c>
      <c r="H808">
        <f t="shared" si="135"/>
        <v>0</v>
      </c>
      <c r="I808">
        <f t="shared" si="136"/>
        <v>0.18181818181818182</v>
      </c>
      <c r="J808">
        <f t="shared" si="137"/>
        <v>0</v>
      </c>
      <c r="K808">
        <f t="shared" si="142"/>
        <v>8.0199694017231649E-2</v>
      </c>
      <c r="L808">
        <f t="shared" si="138"/>
        <v>0</v>
      </c>
      <c r="M808">
        <f t="shared" si="139"/>
        <v>9.0909090909090912E-2</v>
      </c>
      <c r="N808">
        <f t="shared" si="140"/>
        <v>0</v>
      </c>
      <c r="O808">
        <f t="shared" si="141"/>
        <v>0</v>
      </c>
      <c r="P808" t="str">
        <f>IFERROR(LN('Дивиденды по годам'!I808),"")</f>
        <v/>
      </c>
      <c r="Q808" t="str">
        <f>IFERROR('Дивиденды по годам'!G808/'Дивиденды по годам'!I808, "")</f>
        <v/>
      </c>
      <c r="R808" t="str">
        <f>IFERROR(IF(AND('Дивиденды по годам'!N808&lt;&gt;"",'Дивиденды по годам'!U808&lt;&gt;"",'Дивиденды по годам'!U808&lt;&gt;0),'Дивиденды по годам'!N808/'Дивиденды по годам'!U808-1,""),"")</f>
        <v/>
      </c>
      <c r="S808" t="str">
        <f>IFERROR(IF(AND('Дивиденды по годам'!L808&lt;&gt;"",'Дивиденды по годам'!I808&lt;&gt;"",'Дивиденды по годам'!J808&lt;&gt;"",'Дивиденды по годам'!K808&lt;&gt;"",('Дивиденды по годам'!I808-'Дивиденды по годам'!J808-'Дивиденды по годам'!K808)&lt;&gt;0),'Дивиденды по годам'!L808/('Дивиденды по годам'!I808-'Дивиденды по годам'!J808-'Дивиденды по годам'!K808),""),"")</f>
        <v/>
      </c>
      <c r="T808" t="str">
        <f>IFERROR(IF(AND('Дивиденды по годам'!Q808&lt;&gt;"",'Дивиденды по годам'!I808&lt;&gt;"",'Дивиденды по годам'!V808&lt;&gt;"",('Дивиденды по годам'!I808+'Дивиденды по годам'!V808)&lt;&gt;0),'Дивиденды по годам'!Q808/(('Дивиденды по годам'!I808+'Дивиденды по годам'!V808)/2),""),"")</f>
        <v/>
      </c>
      <c r="U808" t="str">
        <f>IFERROR(IF(AND('Дивиденды по годам'!J808&lt;&gt;"",'Дивиденды по годам'!K808&lt;&gt;"",'Дивиденды по годам'!M808&lt;&gt;"",'Дивиденды по годам'!M808&lt;&gt;0),('Дивиденды по годам'!J808+'Дивиденды по годам'!K808)/'Дивиденды по годам'!M808,""),"")</f>
        <v/>
      </c>
      <c r="V808" t="str">
        <f>IFERROR(IF(AND('Дивиденды по годам'!J808&lt;&gt;"",'Дивиденды по годам'!K808&lt;&gt;"",'Дивиденды по годам'!M808&lt;&gt;"",'Дивиденды по годам'!I808&lt;&gt;0),('Дивиденды по годам'!J808+'Дивиденды по годам'!K808)/'Дивиденды по годам'!I808,""),"")</f>
        <v/>
      </c>
      <c r="W808" t="str">
        <f>IFERROR('Дивиденды по годам'!I808,"")</f>
        <v/>
      </c>
      <c r="X808" cm="1">
        <f t="array" ref="X808">IFERROR(AVERAGE(_xlfn._xlws.FILTER(P$2:P$1073,($C$2:$C$1073=$C808)*($E$2:$E$1073=$E808)*(ROW(P$2:P$1073)&lt;&gt;ROW(P808))*(P$2:P$1073&lt;&gt;""))),"")</f>
        <v>25.699366278152379</v>
      </c>
      <c r="Y808" cm="1">
        <f t="array" ref="Y808">IFERROR(AVERAGE(_xlfn._xlws.FILTER(Q$2:Q$1073,($C$2:$C$1073=$C808)*($E$2:$E$1073=$E808)*(ROW(Q$2:Q$1073)&lt;&gt;ROW(Q808))*(Q$2:Q$1073&lt;&gt;""))),"")</f>
        <v>0.31619951047208333</v>
      </c>
      <c r="Z808" cm="1">
        <f t="array" ref="Z808">IFERROR(AVERAGE(_xlfn._xlws.FILTER(R$2:R$1073,($C$2:$C$1073=$C808)*($E$2:$E$1073=$E808)*(ROW(R$2:R$1073)&lt;&gt;ROW(R808))*(R$2:R$1073&lt;&gt;""))),"")</f>
        <v>0.12795723906733225</v>
      </c>
      <c r="AA808" cm="1">
        <f t="array" ref="AA808">IFERROR(AVERAGE(_xlfn._xlws.FILTER(S$2:S$1073,($C$2:$C$1073=$C808)*($E$2:$E$1073=$E808)*(ROW(S$2:S$1073)&lt;&gt;ROW(S808))*(S$2:S$1073&lt;&gt;""))),"")</f>
        <v>1.4981608959410444</v>
      </c>
      <c r="AB808" cm="1">
        <f t="array" ref="AB808">IFERROR(AVERAGE(_xlfn._xlws.FILTER(T$2:T$1073,($C$2:$C$1073=$C808)*($E$2:$E$1073=$E808)*(ROW(T$2:T$1073)&lt;&gt;ROW(T808))*(T$2:T$1073&lt;&gt;""))),"")</f>
        <v>4.0595347592911959E-2</v>
      </c>
      <c r="AC808" cm="1">
        <f t="array" ref="AC808">IFERROR(AVERAGE(_xlfn._xlws.FILTER(U$2:U$1073,($C$2:$C$1073=$C808)*($E$2:$E$1073=$E808)*(ROW(U$2:U$1073)&lt;&gt;ROW(U808))*(U$2:U$1073&lt;&gt;""))),"")</f>
        <v>9.1460847128214748</v>
      </c>
      <c r="AD808" cm="1">
        <f t="array" ref="AD808">IFERROR(AVERAGE(_xlfn._xlws.FILTER(V$2:V$1073,($C$2:$C$1073=$C808)*($E$2:$E$1073=$E808)*(ROW(V$2:V$1073)&lt;&gt;ROW(V808))*(V$2:V$1073&lt;&gt;""))),"")</f>
        <v>0.79889661521769517</v>
      </c>
      <c r="AE808">
        <f>IF('Дивиденды по годам'!M808&lt;0,1,0)</f>
        <v>0</v>
      </c>
    </row>
    <row r="809" spans="1:31" x14ac:dyDescent="0.2">
      <c r="A809" s="7" t="s">
        <v>2279</v>
      </c>
      <c r="B809" t="str">
        <f t="shared" si="132"/>
        <v>HEAD IV кв. 2018</v>
      </c>
      <c r="C809">
        <v>2018</v>
      </c>
      <c r="D809">
        <f>SUMIFS(Дивиденды!$C:$C,Дивиденды!$A:$A,A809,Дивиденды!$I:$I,C809)</f>
        <v>0</v>
      </c>
      <c r="E809">
        <v>5</v>
      </c>
      <c r="F809">
        <f t="shared" si="133"/>
        <v>0</v>
      </c>
      <c r="G809">
        <f t="shared" si="134"/>
        <v>2.5072727272727273</v>
      </c>
      <c r="H809">
        <f t="shared" si="135"/>
        <v>0</v>
      </c>
      <c r="I809">
        <f t="shared" si="136"/>
        <v>0.18181818181818182</v>
      </c>
      <c r="J809">
        <f t="shared" si="137"/>
        <v>0</v>
      </c>
      <c r="K809">
        <f t="shared" si="142"/>
        <v>-3.1077604801900294E-2</v>
      </c>
      <c r="L809">
        <f t="shared" si="138"/>
        <v>0</v>
      </c>
      <c r="M809">
        <f t="shared" si="139"/>
        <v>0</v>
      </c>
      <c r="N809">
        <f t="shared" si="140"/>
        <v>0</v>
      </c>
      <c r="O809">
        <f t="shared" si="141"/>
        <v>0.18181818181818182</v>
      </c>
      <c r="P809" t="str">
        <f>IFERROR(LN('Дивиденды по годам'!I809),"")</f>
        <v/>
      </c>
      <c r="Q809" t="str">
        <f>IFERROR('Дивиденды по годам'!G809/'Дивиденды по годам'!I809, "")</f>
        <v/>
      </c>
      <c r="R809" t="str">
        <f>IFERROR(IF(AND('Дивиденды по годам'!N809&lt;&gt;"",'Дивиденды по годам'!U809&lt;&gt;"",'Дивиденды по годам'!U809&lt;&gt;0),'Дивиденды по годам'!N809/'Дивиденды по годам'!U809-1,""),"")</f>
        <v/>
      </c>
      <c r="S809" t="str">
        <f>IFERROR(IF(AND('Дивиденды по годам'!L809&lt;&gt;"",'Дивиденды по годам'!I809&lt;&gt;"",'Дивиденды по годам'!J809&lt;&gt;"",'Дивиденды по годам'!K809&lt;&gt;"",('Дивиденды по годам'!I809-'Дивиденды по годам'!J809-'Дивиденды по годам'!K809)&lt;&gt;0),'Дивиденды по годам'!L809/('Дивиденды по годам'!I809-'Дивиденды по годам'!J809-'Дивиденды по годам'!K809),""),"")</f>
        <v/>
      </c>
      <c r="T809" t="str">
        <f>IFERROR(IF(AND('Дивиденды по годам'!Q809&lt;&gt;"",'Дивиденды по годам'!I809&lt;&gt;"",'Дивиденды по годам'!V809&lt;&gt;"",('Дивиденды по годам'!I809+'Дивиденды по годам'!V809)&lt;&gt;0),'Дивиденды по годам'!Q809/(('Дивиденды по годам'!I809+'Дивиденды по годам'!V809)/2),""),"")</f>
        <v/>
      </c>
      <c r="U809" t="str">
        <f>IFERROR(IF(AND('Дивиденды по годам'!J809&lt;&gt;"",'Дивиденды по годам'!K809&lt;&gt;"",'Дивиденды по годам'!M809&lt;&gt;"",'Дивиденды по годам'!M809&lt;&gt;0),('Дивиденды по годам'!J809+'Дивиденды по годам'!K809)/'Дивиденды по годам'!M809,""),"")</f>
        <v/>
      </c>
      <c r="V809" t="str">
        <f>IFERROR(IF(AND('Дивиденды по годам'!J809&lt;&gt;"",'Дивиденды по годам'!K809&lt;&gt;"",'Дивиденды по годам'!M809&lt;&gt;"",'Дивиденды по годам'!I809&lt;&gt;0),('Дивиденды по годам'!J809+'Дивиденды по годам'!K809)/'Дивиденды по годам'!I809,""),"")</f>
        <v/>
      </c>
      <c r="W809" t="str">
        <f>IFERROR('Дивиденды по годам'!I809,"")</f>
        <v/>
      </c>
      <c r="X809" cm="1">
        <f t="array" ref="X809">IFERROR(AVERAGE(_xlfn._xlws.FILTER(P$2:P$1073,($C$2:$C$1073=$C809)*($E$2:$E$1073=$E809)*(ROW(P$2:P$1073)&lt;&gt;ROW(P809))*(P$2:P$1073&lt;&gt;""))),"")</f>
        <v>25.637034616478129</v>
      </c>
      <c r="Y809" cm="1">
        <f t="array" ref="Y809">IFERROR(AVERAGE(_xlfn._xlws.FILTER(Q$2:Q$1073,($C$2:$C$1073=$C809)*($E$2:$E$1073=$E809)*(ROW(Q$2:Q$1073)&lt;&gt;ROW(Q809))*(Q$2:Q$1073&lt;&gt;""))),"")</f>
        <v>0.32011777323711499</v>
      </c>
      <c r="Z809" cm="1">
        <f t="array" ref="Z809">IFERROR(AVERAGE(_xlfn._xlws.FILTER(R$2:R$1073,($C$2:$C$1073=$C809)*($E$2:$E$1073=$E809)*(ROW(R$2:R$1073)&lt;&gt;ROW(R809))*(R$2:R$1073&lt;&gt;""))),"")</f>
        <v>6.6616637147635549E-2</v>
      </c>
      <c r="AA809" cm="1">
        <f t="array" ref="AA809">IFERROR(AVERAGE(_xlfn._xlws.FILTER(S$2:S$1073,($C$2:$C$1073=$C809)*($E$2:$E$1073=$E809)*(ROW(S$2:S$1073)&lt;&gt;ROW(S809))*(S$2:S$1073&lt;&gt;""))),"")</f>
        <v>1.205409029032207</v>
      </c>
      <c r="AB809" cm="1">
        <f t="array" ref="AB809">IFERROR(AVERAGE(_xlfn._xlws.FILTER(T$2:T$1073,($C$2:$C$1073=$C809)*($E$2:$E$1073=$E809)*(ROW(T$2:T$1073)&lt;&gt;ROW(T809))*(T$2:T$1073&lt;&gt;""))),"")</f>
        <v>1.7776057117292479E-2</v>
      </c>
      <c r="AC809" cm="1">
        <f t="array" ref="AC809">IFERROR(AVERAGE(_xlfn._xlws.FILTER(U$2:U$1073,($C$2:$C$1073=$C809)*($E$2:$E$1073=$E809)*(ROW(U$2:U$1073)&lt;&gt;ROW(U809))*(U$2:U$1073&lt;&gt;""))),"")</f>
        <v>5.4697894468760913</v>
      </c>
      <c r="AD809" cm="1">
        <f t="array" ref="AD809">IFERROR(AVERAGE(_xlfn._xlws.FILTER(V$2:V$1073,($C$2:$C$1073=$C809)*($E$2:$E$1073=$E809)*(ROW(V$2:V$1073)&lt;&gt;ROW(V809))*(V$2:V$1073&lt;&gt;""))),"")</f>
        <v>0.7760719948431295</v>
      </c>
      <c r="AE809">
        <f>IF('Дивиденды по годам'!M809&lt;0,1,0)</f>
        <v>0</v>
      </c>
    </row>
    <row r="810" spans="1:31" x14ac:dyDescent="0.2">
      <c r="A810" s="7" t="s">
        <v>2279</v>
      </c>
      <c r="B810" t="str">
        <f t="shared" si="132"/>
        <v>HEAD IV кв. 2017</v>
      </c>
      <c r="C810">
        <v>2017</v>
      </c>
      <c r="D810">
        <f>SUMIFS(Дивиденды!$C:$C,Дивиденды!$A:$A,A810,Дивиденды!$I:$I,C810)</f>
        <v>0</v>
      </c>
      <c r="E810">
        <v>5</v>
      </c>
      <c r="F810">
        <f t="shared" si="133"/>
        <v>0</v>
      </c>
      <c r="G810">
        <f t="shared" si="134"/>
        <v>3.5318181818181813</v>
      </c>
      <c r="H810">
        <f t="shared" si="135"/>
        <v>0</v>
      </c>
      <c r="I810">
        <f t="shared" si="136"/>
        <v>0.18181818181818182</v>
      </c>
      <c r="J810">
        <f t="shared" si="137"/>
        <v>0</v>
      </c>
      <c r="K810">
        <f t="shared" si="142"/>
        <v>1.4727433992836941E-2</v>
      </c>
      <c r="L810">
        <f t="shared" si="138"/>
        <v>0</v>
      </c>
      <c r="M810">
        <f t="shared" si="139"/>
        <v>9.0909090909090912E-2</v>
      </c>
      <c r="N810">
        <f t="shared" si="140"/>
        <v>0</v>
      </c>
      <c r="O810">
        <f t="shared" si="141"/>
        <v>9.0909090909090912E-2</v>
      </c>
      <c r="P810" t="str">
        <f>IFERROR(LN('Дивиденды по годам'!I810),"")</f>
        <v/>
      </c>
      <c r="Q810" t="str">
        <f>IFERROR('Дивиденды по годам'!G810/'Дивиденды по годам'!I810, "")</f>
        <v/>
      </c>
      <c r="R810" t="str">
        <f>IFERROR(IF(AND('Дивиденды по годам'!N810&lt;&gt;"",'Дивиденды по годам'!U810&lt;&gt;"",'Дивиденды по годам'!U810&lt;&gt;0),'Дивиденды по годам'!N810/'Дивиденды по годам'!U810-1,""),"")</f>
        <v/>
      </c>
      <c r="S810" t="str">
        <f>IFERROR(IF(AND('Дивиденды по годам'!L810&lt;&gt;"",'Дивиденды по годам'!I810&lt;&gt;"",'Дивиденды по годам'!J810&lt;&gt;"",'Дивиденды по годам'!K810&lt;&gt;"",('Дивиденды по годам'!I810-'Дивиденды по годам'!J810-'Дивиденды по годам'!K810)&lt;&gt;0),'Дивиденды по годам'!L810/('Дивиденды по годам'!I810-'Дивиденды по годам'!J810-'Дивиденды по годам'!K810),""),"")</f>
        <v/>
      </c>
      <c r="T810" t="str">
        <f>IFERROR(IF(AND('Дивиденды по годам'!Q810&lt;&gt;"",'Дивиденды по годам'!I810&lt;&gt;"",'Дивиденды по годам'!V810&lt;&gt;"",('Дивиденды по годам'!I810+'Дивиденды по годам'!V810)&lt;&gt;0),'Дивиденды по годам'!Q810/(('Дивиденды по годам'!I810+'Дивиденды по годам'!V810)/2),""),"")</f>
        <v/>
      </c>
      <c r="U810" t="str">
        <f>IFERROR(IF(AND('Дивиденды по годам'!J810&lt;&gt;"",'Дивиденды по годам'!K810&lt;&gt;"",'Дивиденды по годам'!M810&lt;&gt;"",'Дивиденды по годам'!M810&lt;&gt;0),('Дивиденды по годам'!J810+'Дивиденды по годам'!K810)/'Дивиденды по годам'!M810,""),"")</f>
        <v/>
      </c>
      <c r="V810" t="str">
        <f>IFERROR(IF(AND('Дивиденды по годам'!J810&lt;&gt;"",'Дивиденды по годам'!K810&lt;&gt;"",'Дивиденды по годам'!M810&lt;&gt;"",'Дивиденды по годам'!I810&lt;&gt;0),('Дивиденды по годам'!J810+'Дивиденды по годам'!K810)/'Дивиденды по годам'!I810,""),"")</f>
        <v/>
      </c>
      <c r="W810" t="str">
        <f>IFERROR('Дивиденды по годам'!I810,"")</f>
        <v/>
      </c>
      <c r="X810" cm="1">
        <f t="array" ref="X810">IFERROR(AVERAGE(_xlfn._xlws.FILTER(P$2:P$1073,($C$2:$C$1073=$C810)*($E$2:$E$1073=$E810)*(ROW(P$2:P$1073)&lt;&gt;ROW(P810))*(P$2:P$1073&lt;&gt;""))),"")</f>
        <v>27.043369572715513</v>
      </c>
      <c r="Y810" cm="1">
        <f t="array" ref="Y810">IFERROR(AVERAGE(_xlfn._xlws.FILTER(Q$2:Q$1073,($C$2:$C$1073=$C810)*($E$2:$E$1073=$E810)*(ROW(Q$2:Q$1073)&lt;&gt;ROW(Q810))*(Q$2:Q$1073&lt;&gt;""))),"")</f>
        <v>0.54965488260857309</v>
      </c>
      <c r="Z810" cm="1">
        <f t="array" ref="Z810">IFERROR(AVERAGE(_xlfn._xlws.FILTER(R$2:R$1073,($C$2:$C$1073=$C810)*($E$2:$E$1073=$E810)*(ROW(R$2:R$1073)&lt;&gt;ROW(R810))*(R$2:R$1073&lt;&gt;""))),"")</f>
        <v>2.1535666839189949E-2</v>
      </c>
      <c r="AA810" cm="1">
        <f t="array" ref="AA810">IFERROR(AVERAGE(_xlfn._xlws.FILTER(S$2:S$1073,($C$2:$C$1073=$C810)*($E$2:$E$1073=$E810)*(ROW(S$2:S$1073)&lt;&gt;ROW(S810))*(S$2:S$1073&lt;&gt;""))),"")</f>
        <v>1.232616052553424</v>
      </c>
      <c r="AB810" cm="1">
        <f t="array" ref="AB810">IFERROR(AVERAGE(_xlfn._xlws.FILTER(T$2:T$1073,($C$2:$C$1073=$C810)*($E$2:$E$1073=$E810)*(ROW(T$2:T$1073)&lt;&gt;ROW(T810))*(T$2:T$1073&lt;&gt;""))),"")</f>
        <v>6.4245501476224237E-2</v>
      </c>
      <c r="AC810" cm="1">
        <f t="array" ref="AC810">IFERROR(AVERAGE(_xlfn._xlws.FILTER(U$2:U$1073,($C$2:$C$1073=$C810)*($E$2:$E$1073=$E810)*(ROW(U$2:U$1073)&lt;&gt;ROW(U810))*(U$2:U$1073&lt;&gt;""))),"")</f>
        <v>2.3417046689252397</v>
      </c>
      <c r="AD810" cm="1">
        <f t="array" ref="AD810">IFERROR(AVERAGE(_xlfn._xlws.FILTER(V$2:V$1073,($C$2:$C$1073=$C810)*($E$2:$E$1073=$E810)*(ROW(V$2:V$1073)&lt;&gt;ROW(V810))*(V$2:V$1073&lt;&gt;""))),"")</f>
        <v>0.66475018615672188</v>
      </c>
      <c r="AE810">
        <f>IF('Дивиденды по годам'!M810&lt;0,1,0)</f>
        <v>0</v>
      </c>
    </row>
    <row r="811" spans="1:31" x14ac:dyDescent="0.2">
      <c r="A811" s="7" t="s">
        <v>2279</v>
      </c>
      <c r="B811" t="str">
        <f t="shared" si="132"/>
        <v>HEAD IV кв. 2016</v>
      </c>
      <c r="C811">
        <v>2016</v>
      </c>
      <c r="D811">
        <f>SUMIFS(Дивиденды!$C:$C,Дивиденды!$A:$A,A811,Дивиденды!$I:$I,C811)</f>
        <v>0</v>
      </c>
      <c r="E811">
        <v>5</v>
      </c>
      <c r="F811">
        <f t="shared" si="133"/>
        <v>0</v>
      </c>
      <c r="G811">
        <f t="shared" si="134"/>
        <v>2.9981818181818181</v>
      </c>
      <c r="H811">
        <f t="shared" si="135"/>
        <v>0</v>
      </c>
      <c r="I811">
        <f t="shared" si="136"/>
        <v>0.18181818181818182</v>
      </c>
      <c r="J811">
        <f t="shared" si="137"/>
        <v>0</v>
      </c>
      <c r="K811">
        <f t="shared" si="142"/>
        <v>2.8790101611202514E-2</v>
      </c>
      <c r="L811">
        <f t="shared" si="138"/>
        <v>0</v>
      </c>
      <c r="M811">
        <f t="shared" si="139"/>
        <v>9.0909090909090912E-2</v>
      </c>
      <c r="N811">
        <f t="shared" si="140"/>
        <v>0</v>
      </c>
      <c r="O811">
        <f t="shared" si="141"/>
        <v>9.0909090909090912E-2</v>
      </c>
      <c r="P811" t="str">
        <f>IFERROR(LN('Дивиденды по годам'!I811),"")</f>
        <v/>
      </c>
      <c r="Q811" t="str">
        <f>IFERROR('Дивиденды по годам'!G811/'Дивиденды по годам'!I811, "")</f>
        <v/>
      </c>
      <c r="R811" t="str">
        <f>IFERROR(IF(AND('Дивиденды по годам'!N811&lt;&gt;"",'Дивиденды по годам'!U811&lt;&gt;"",'Дивиденды по годам'!U811&lt;&gt;0),'Дивиденды по годам'!N811/'Дивиденды по годам'!U811-1,""),"")</f>
        <v/>
      </c>
      <c r="S811" t="str">
        <f>IFERROR(IF(AND('Дивиденды по годам'!L811&lt;&gt;"",'Дивиденды по годам'!I811&lt;&gt;"",'Дивиденды по годам'!J811&lt;&gt;"",'Дивиденды по годам'!K811&lt;&gt;"",('Дивиденды по годам'!I811-'Дивиденды по годам'!J811-'Дивиденды по годам'!K811)&lt;&gt;0),'Дивиденды по годам'!L811/('Дивиденды по годам'!I811-'Дивиденды по годам'!J811-'Дивиденды по годам'!K811),""),"")</f>
        <v/>
      </c>
      <c r="T811" t="str">
        <f>IFERROR(IF(AND('Дивиденды по годам'!Q811&lt;&gt;"",'Дивиденды по годам'!I811&lt;&gt;"",'Дивиденды по годам'!V811&lt;&gt;"",('Дивиденды по годам'!I811+'Дивиденды по годам'!V811)&lt;&gt;0),'Дивиденды по годам'!Q811/(('Дивиденды по годам'!I811+'Дивиденды по годам'!V811)/2),""),"")</f>
        <v/>
      </c>
      <c r="U811" t="str">
        <f>IFERROR(IF(AND('Дивиденды по годам'!J811&lt;&gt;"",'Дивиденды по годам'!K811&lt;&gt;"",'Дивиденды по годам'!M811&lt;&gt;"",'Дивиденды по годам'!M811&lt;&gt;0),('Дивиденды по годам'!J811+'Дивиденды по годам'!K811)/'Дивиденды по годам'!M811,""),"")</f>
        <v/>
      </c>
      <c r="V811" t="str">
        <f>IFERROR(IF(AND('Дивиденды по годам'!J811&lt;&gt;"",'Дивиденды по годам'!K811&lt;&gt;"",'Дивиденды по годам'!M811&lt;&gt;"",'Дивиденды по годам'!I811&lt;&gt;0),('Дивиденды по годам'!J811+'Дивиденды по годам'!K811)/'Дивиденды по годам'!I811,""),"")</f>
        <v/>
      </c>
      <c r="W811" t="str">
        <f>IFERROR('Дивиденды по годам'!I811,"")</f>
        <v/>
      </c>
      <c r="X811" cm="1">
        <f t="array" ref="X811">IFERROR(AVERAGE(_xlfn._xlws.FILTER(P$2:P$1073,($C$2:$C$1073=$C811)*($E$2:$E$1073=$E811)*(ROW(P$2:P$1073)&lt;&gt;ROW(P811))*(P$2:P$1073&lt;&gt;""))),"")</f>
        <v>27.033270353256157</v>
      </c>
      <c r="Y811" cm="1">
        <f t="array" ref="Y811">IFERROR(AVERAGE(_xlfn._xlws.FILTER(Q$2:Q$1073,($C$2:$C$1073=$C811)*($E$2:$E$1073=$E811)*(ROW(Q$2:Q$1073)&lt;&gt;ROW(Q811))*(Q$2:Q$1073&lt;&gt;""))),"")</f>
        <v>0.55978642376097965</v>
      </c>
      <c r="Z811" cm="1">
        <f t="array" ref="Z811">IFERROR(AVERAGE(_xlfn._xlws.FILTER(R$2:R$1073,($C$2:$C$1073=$C811)*($E$2:$E$1073=$E811)*(ROW(R$2:R$1073)&lt;&gt;ROW(R811))*(R$2:R$1073&lt;&gt;""))),"")</f>
        <v>5.3242460909894707E-3</v>
      </c>
      <c r="AA811" cm="1">
        <f t="array" ref="AA811">IFERROR(AVERAGE(_xlfn._xlws.FILTER(S$2:S$1073,($C$2:$C$1073=$C811)*($E$2:$E$1073=$E811)*(ROW(S$2:S$1073)&lt;&gt;ROW(S811))*(S$2:S$1073&lt;&gt;""))),"")</f>
        <v>1.1315702315112175</v>
      </c>
      <c r="AB811" cm="1">
        <f t="array" ref="AB811">IFERROR(AVERAGE(_xlfn._xlws.FILTER(T$2:T$1073,($C$2:$C$1073=$C811)*($E$2:$E$1073=$E811)*(ROW(T$2:T$1073)&lt;&gt;ROW(T811))*(T$2:T$1073&lt;&gt;""))),"")</f>
        <v>5.4869409864042928E-2</v>
      </c>
      <c r="AC811" cm="1">
        <f t="array" ref="AC811">IFERROR(AVERAGE(_xlfn._xlws.FILTER(U$2:U$1073,($C$2:$C$1073=$C811)*($E$2:$E$1073=$E811)*(ROW(U$2:U$1073)&lt;&gt;ROW(U811))*(U$2:U$1073&lt;&gt;""))),"")</f>
        <v>2.0086781177717459</v>
      </c>
      <c r="AD811" cm="1">
        <f t="array" ref="AD811">IFERROR(AVERAGE(_xlfn._xlws.FILTER(V$2:V$1073,($C$2:$C$1073=$C811)*($E$2:$E$1073=$E811)*(ROW(V$2:V$1073)&lt;&gt;ROW(V811))*(V$2:V$1073&lt;&gt;""))),"")</f>
        <v>0.64409028041831262</v>
      </c>
      <c r="AE811">
        <f>IF('Дивиденды по годам'!M811&lt;0,1,0)</f>
        <v>0</v>
      </c>
    </row>
    <row r="812" spans="1:31" x14ac:dyDescent="0.2">
      <c r="A812" s="7" t="s">
        <v>2279</v>
      </c>
      <c r="B812" t="str">
        <f t="shared" si="132"/>
        <v>HEAD IV кв. 2015</v>
      </c>
      <c r="C812">
        <v>2015</v>
      </c>
      <c r="D812">
        <f>SUMIFS(Дивиденды!$C:$C,Дивиденды!$A:$A,A812,Дивиденды!$I:$I,C812)</f>
        <v>0</v>
      </c>
      <c r="E812">
        <v>5</v>
      </c>
      <c r="F812">
        <f t="shared" si="133"/>
        <v>0</v>
      </c>
      <c r="G812">
        <f t="shared" si="134"/>
        <v>2.3218181818181818</v>
      </c>
      <c r="H812">
        <f t="shared" si="135"/>
        <v>0</v>
      </c>
      <c r="I812">
        <f t="shared" si="136"/>
        <v>0.18181818181818182</v>
      </c>
      <c r="J812">
        <f t="shared" si="137"/>
        <v>0</v>
      </c>
      <c r="K812">
        <f t="shared" si="142"/>
        <v>4.855464114120716E-2</v>
      </c>
      <c r="L812">
        <f t="shared" si="138"/>
        <v>0</v>
      </c>
      <c r="M812">
        <f t="shared" si="139"/>
        <v>9.0909090909090912E-2</v>
      </c>
      <c r="N812">
        <f t="shared" si="140"/>
        <v>0</v>
      </c>
      <c r="O812">
        <f t="shared" si="141"/>
        <v>9.0909090909090912E-2</v>
      </c>
      <c r="P812" t="str">
        <f>IFERROR(LN('Дивиденды по годам'!I812),"")</f>
        <v/>
      </c>
      <c r="Q812" t="str">
        <f>IFERROR('Дивиденды по годам'!G812/'Дивиденды по годам'!I812, "")</f>
        <v/>
      </c>
      <c r="R812" t="str">
        <f>IFERROR(IF(AND('Дивиденды по годам'!N812&lt;&gt;"",'Дивиденды по годам'!U812&lt;&gt;"",'Дивиденды по годам'!U812&lt;&gt;0),'Дивиденды по годам'!N812/'Дивиденды по годам'!U812-1,""),"")</f>
        <v/>
      </c>
      <c r="S812" t="str">
        <f>IFERROR(IF(AND('Дивиденды по годам'!L812&lt;&gt;"",'Дивиденды по годам'!I812&lt;&gt;"",'Дивиденды по годам'!J812&lt;&gt;"",'Дивиденды по годам'!K812&lt;&gt;"",('Дивиденды по годам'!I812-'Дивиденды по годам'!J812-'Дивиденды по годам'!K812)&lt;&gt;0),'Дивиденды по годам'!L812/('Дивиденды по годам'!I812-'Дивиденды по годам'!J812-'Дивиденды по годам'!K812),""),"")</f>
        <v/>
      </c>
      <c r="T812" t="str">
        <f>IFERROR(IF(AND('Дивиденды по годам'!Q812&lt;&gt;"",'Дивиденды по годам'!I812&lt;&gt;"",'Дивиденды по годам'!V812&lt;&gt;"",('Дивиденды по годам'!I812+'Дивиденды по годам'!V812)&lt;&gt;0),'Дивиденды по годам'!Q812/(('Дивиденды по годам'!I812+'Дивиденды по годам'!V812)/2),""),"")</f>
        <v/>
      </c>
      <c r="U812" t="str">
        <f>IFERROR(IF(AND('Дивиденды по годам'!J812&lt;&gt;"",'Дивиденды по годам'!K812&lt;&gt;"",'Дивиденды по годам'!M812&lt;&gt;"",'Дивиденды по годам'!M812&lt;&gt;0),('Дивиденды по годам'!J812+'Дивиденды по годам'!K812)/'Дивиденды по годам'!M812,""),"")</f>
        <v/>
      </c>
      <c r="V812" t="str">
        <f>IFERROR(IF(AND('Дивиденды по годам'!J812&lt;&gt;"",'Дивиденды по годам'!K812&lt;&gt;"",'Дивиденды по годам'!M812&lt;&gt;"",'Дивиденды по годам'!I812&lt;&gt;0),('Дивиденды по годам'!J812+'Дивиденды по годам'!K812)/'Дивиденды по годам'!I812,""),"")</f>
        <v/>
      </c>
      <c r="W812" t="str">
        <f>IFERROR('Дивиденды по годам'!I812,"")</f>
        <v/>
      </c>
      <c r="X812" cm="1">
        <f t="array" ref="X812">IFERROR(AVERAGE(_xlfn._xlws.FILTER(P$2:P$1073,($C$2:$C$1073=$C812)*($E$2:$E$1073=$E812)*(ROW(P$2:P$1073)&lt;&gt;ROW(P812))*(P$2:P$1073&lt;&gt;""))),"")</f>
        <v>27.120501452642756</v>
      </c>
      <c r="Y812" cm="1">
        <f t="array" ref="Y812">IFERROR(AVERAGE(_xlfn._xlws.FILTER(Q$2:Q$1073,($C$2:$C$1073=$C812)*($E$2:$E$1073=$E812)*(ROW(Q$2:Q$1073)&lt;&gt;ROW(Q812))*(Q$2:Q$1073&lt;&gt;""))),"")</f>
        <v>0.53878421833606405</v>
      </c>
      <c r="Z812" cm="1">
        <f t="array" ref="Z812">IFERROR(AVERAGE(_xlfn._xlws.FILTER(R$2:R$1073,($C$2:$C$1073=$C812)*($E$2:$E$1073=$E812)*(ROW(R$2:R$1073)&lt;&gt;ROW(R812))*(R$2:R$1073&lt;&gt;""))),"")</f>
        <v>2.2276174497294132E-2</v>
      </c>
      <c r="AA812" cm="1">
        <f t="array" ref="AA812">IFERROR(AVERAGE(_xlfn._xlws.FILTER(S$2:S$1073,($C$2:$C$1073=$C812)*($E$2:$E$1073=$E812)*(ROW(S$2:S$1073)&lt;&gt;ROW(S812))*(S$2:S$1073&lt;&gt;""))),"")</f>
        <v>1.2586396116380416</v>
      </c>
      <c r="AB812" cm="1">
        <f t="array" ref="AB812">IFERROR(AVERAGE(_xlfn._xlws.FILTER(T$2:T$1073,($C$2:$C$1073=$C812)*($E$2:$E$1073=$E812)*(ROW(T$2:T$1073)&lt;&gt;ROW(T812))*(T$2:T$1073&lt;&gt;""))),"")</f>
        <v>5.0636797509896803E-2</v>
      </c>
      <c r="AC812" cm="1">
        <f t="array" ref="AC812">IFERROR(AVERAGE(_xlfn._xlws.FILTER(U$2:U$1073,($C$2:$C$1073=$C812)*($E$2:$E$1073=$E812)*(ROW(U$2:U$1073)&lt;&gt;ROW(U812))*(U$2:U$1073&lt;&gt;""))),"")</f>
        <v>2.0444165107764372</v>
      </c>
      <c r="AD812" cm="1">
        <f t="array" ref="AD812">IFERROR(AVERAGE(_xlfn._xlws.FILTER(V$2:V$1073,($C$2:$C$1073=$C812)*($E$2:$E$1073=$E812)*(ROW(V$2:V$1073)&lt;&gt;ROW(V812))*(V$2:V$1073&lt;&gt;""))),"")</f>
        <v>0.64472959627967386</v>
      </c>
      <c r="AE812">
        <f>IF('Дивиденды по годам'!M812&lt;0,1,0)</f>
        <v>0</v>
      </c>
    </row>
    <row r="813" spans="1:31" x14ac:dyDescent="0.2">
      <c r="A813" s="7" t="s">
        <v>2279</v>
      </c>
      <c r="B813" t="str">
        <f t="shared" si="132"/>
        <v>HEAD IV кв. 2014</v>
      </c>
      <c r="C813">
        <v>2014</v>
      </c>
      <c r="D813">
        <f>SUMIFS(Дивиденды!$C:$C,Дивиденды!$A:$A,A813,Дивиденды!$I:$I,C813)</f>
        <v>0</v>
      </c>
      <c r="E813">
        <v>5</v>
      </c>
      <c r="F813">
        <f t="shared" si="133"/>
        <v>0</v>
      </c>
      <c r="G813">
        <f t="shared" si="134"/>
        <v>2.6454545454545451</v>
      </c>
      <c r="H813">
        <f t="shared" si="135"/>
        <v>0</v>
      </c>
      <c r="I813">
        <f t="shared" si="136"/>
        <v>0.18181818181818182</v>
      </c>
      <c r="J813">
        <f t="shared" si="137"/>
        <v>0</v>
      </c>
      <c r="K813">
        <f t="shared" si="142"/>
        <v>1.3814271370946419E-2</v>
      </c>
      <c r="L813">
        <f t="shared" si="138"/>
        <v>0</v>
      </c>
      <c r="M813">
        <f t="shared" si="139"/>
        <v>0.18181818181818182</v>
      </c>
      <c r="N813">
        <f t="shared" si="140"/>
        <v>0</v>
      </c>
      <c r="O813">
        <f t="shared" si="141"/>
        <v>0</v>
      </c>
      <c r="P813" t="str">
        <f>IFERROR(LN('Дивиденды по годам'!I813),"")</f>
        <v/>
      </c>
      <c r="Q813" t="str">
        <f>IFERROR('Дивиденды по годам'!G813/'Дивиденды по годам'!I813, "")</f>
        <v/>
      </c>
      <c r="R813" t="str">
        <f>IFERROR(IF(AND('Дивиденды по годам'!N813&lt;&gt;"",'Дивиденды по годам'!U813&lt;&gt;"",'Дивиденды по годам'!U813&lt;&gt;0),'Дивиденды по годам'!N813/'Дивиденды по годам'!U813-1,""),"")</f>
        <v/>
      </c>
      <c r="S813" t="str">
        <f>IFERROR(IF(AND('Дивиденды по годам'!L813&lt;&gt;"",'Дивиденды по годам'!I813&lt;&gt;"",'Дивиденды по годам'!J813&lt;&gt;"",'Дивиденды по годам'!K813&lt;&gt;"",('Дивиденды по годам'!I813-'Дивиденды по годам'!J813-'Дивиденды по годам'!K813)&lt;&gt;0),'Дивиденды по годам'!L813/('Дивиденды по годам'!I813-'Дивиденды по годам'!J813-'Дивиденды по годам'!K813),""),"")</f>
        <v/>
      </c>
      <c r="T813" t="str">
        <f>IFERROR(IF(AND('Дивиденды по годам'!Q813&lt;&gt;"",'Дивиденды по годам'!I813&lt;&gt;"",'Дивиденды по годам'!V813&lt;&gt;"",('Дивиденды по годам'!I813+'Дивиденды по годам'!V813)&lt;&gt;0),'Дивиденды по годам'!Q813/(('Дивиденды по годам'!I813+'Дивиденды по годам'!V813)/2),""),"")</f>
        <v/>
      </c>
      <c r="U813" t="str">
        <f>IFERROR(IF(AND('Дивиденды по годам'!J813&lt;&gt;"",'Дивиденды по годам'!K813&lt;&gt;"",'Дивиденды по годам'!M813&lt;&gt;"",'Дивиденды по годам'!M813&lt;&gt;0),('Дивиденды по годам'!J813+'Дивиденды по годам'!K813)/'Дивиденды по годам'!M813,""),"")</f>
        <v/>
      </c>
      <c r="V813" t="str">
        <f>IFERROR(IF(AND('Дивиденды по годам'!J813&lt;&gt;"",'Дивиденды по годам'!K813&lt;&gt;"",'Дивиденды по годам'!M813&lt;&gt;"",'Дивиденды по годам'!I813&lt;&gt;0),('Дивиденды по годам'!J813+'Дивиденды по годам'!K813)/'Дивиденды по годам'!I813,""),"")</f>
        <v/>
      </c>
      <c r="W813" t="str">
        <f>IFERROR('Дивиденды по годам'!I813,"")</f>
        <v/>
      </c>
      <c r="X813" cm="1">
        <f t="array" ref="X813">IFERROR(AVERAGE(_xlfn._xlws.FILTER(P$2:P$1073,($C$2:$C$1073=$C813)*($E$2:$E$1073=$E813)*(ROW(P$2:P$1073)&lt;&gt;ROW(P813))*(P$2:P$1073&lt;&gt;""))),"")</f>
        <v>27.082830809151307</v>
      </c>
      <c r="Y813" cm="1">
        <f t="array" ref="Y813">IFERROR(AVERAGE(_xlfn._xlws.FILTER(Q$2:Q$1073,($C$2:$C$1073=$C813)*($E$2:$E$1073=$E813)*(ROW(Q$2:Q$1073)&lt;&gt;ROW(Q813))*(Q$2:Q$1073&lt;&gt;""))),"")</f>
        <v>0.5450738024161359</v>
      </c>
      <c r="Z813" cm="1">
        <f t="array" ref="Z813">IFERROR(AVERAGE(_xlfn._xlws.FILTER(R$2:R$1073,($C$2:$C$1073=$C813)*($E$2:$E$1073=$E813)*(ROW(R$2:R$1073)&lt;&gt;ROW(R813))*(R$2:R$1073&lt;&gt;""))),"")</f>
        <v>2.9557764869601155E-2</v>
      </c>
      <c r="AA813" cm="1">
        <f t="array" ref="AA813">IFERROR(AVERAGE(_xlfn._xlws.FILTER(S$2:S$1073,($C$2:$C$1073=$C813)*($E$2:$E$1073=$E813)*(ROW(S$2:S$1073)&lt;&gt;ROW(S813))*(S$2:S$1073&lt;&gt;""))),"")</f>
        <v>1.1443286994996271</v>
      </c>
      <c r="AB813" cm="1">
        <f t="array" ref="AB813">IFERROR(AVERAGE(_xlfn._xlws.FILTER(T$2:T$1073,($C$2:$C$1073=$C813)*($E$2:$E$1073=$E813)*(ROW(T$2:T$1073)&lt;&gt;ROW(T813))*(T$2:T$1073&lt;&gt;""))),"")</f>
        <v>5.9751382409195454E-2</v>
      </c>
      <c r="AC813" cm="1">
        <f t="array" ref="AC813">IFERROR(AVERAGE(_xlfn._xlws.FILTER(U$2:U$1073,($C$2:$C$1073=$C813)*($E$2:$E$1073=$E813)*(ROW(U$2:U$1073)&lt;&gt;ROW(U813))*(U$2:U$1073&lt;&gt;""))),"")</f>
        <v>1.8184271482015117</v>
      </c>
      <c r="AD813" cm="1">
        <f t="array" ref="AD813">IFERROR(AVERAGE(_xlfn._xlws.FILTER(V$2:V$1073,($C$2:$C$1073=$C813)*($E$2:$E$1073=$E813)*(ROW(V$2:V$1073)&lt;&gt;ROW(V813))*(V$2:V$1073&lt;&gt;""))),"")</f>
        <v>0.62943537689886697</v>
      </c>
      <c r="AE813">
        <f>IF('Дивиденды по годам'!M813&lt;0,1,0)</f>
        <v>0</v>
      </c>
    </row>
    <row r="814" spans="1:31" x14ac:dyDescent="0.2">
      <c r="A814" s="7" t="s">
        <v>2279</v>
      </c>
      <c r="B814" t="str">
        <f t="shared" si="132"/>
        <v>HEAD IV кв. 2013</v>
      </c>
      <c r="C814">
        <v>2013</v>
      </c>
      <c r="D814">
        <f>SUMIFS(Дивиденды!$C:$C,Дивиденды!$A:$A,A814,Дивиденды!$I:$I,C814)</f>
        <v>0</v>
      </c>
      <c r="E814">
        <v>5</v>
      </c>
      <c r="F814">
        <f t="shared" si="133"/>
        <v>0</v>
      </c>
      <c r="G814">
        <f t="shared" si="134"/>
        <v>2.4490909090909092</v>
      </c>
      <c r="H814">
        <f t="shared" si="135"/>
        <v>0</v>
      </c>
      <c r="I814">
        <f t="shared" si="136"/>
        <v>0.18181818181818182</v>
      </c>
      <c r="J814">
        <f t="shared" si="137"/>
        <v>0</v>
      </c>
      <c r="K814">
        <f t="shared" si="142"/>
        <v>8.2745033991384775E-2</v>
      </c>
      <c r="L814">
        <f t="shared" si="138"/>
        <v>0</v>
      </c>
      <c r="M814">
        <f t="shared" si="139"/>
        <v>0.18181818181818182</v>
      </c>
      <c r="N814">
        <f t="shared" si="140"/>
        <v>0</v>
      </c>
      <c r="O814">
        <f t="shared" si="141"/>
        <v>0</v>
      </c>
      <c r="P814" t="str">
        <f>IFERROR(LN('Дивиденды по годам'!I814),"")</f>
        <v/>
      </c>
      <c r="Q814" t="str">
        <f>IFERROR('Дивиденды по годам'!G814/'Дивиденды по годам'!I814, "")</f>
        <v/>
      </c>
      <c r="R814" t="str">
        <f>IFERROR(IF(AND('Дивиденды по годам'!N814&lt;&gt;"",'Дивиденды по годам'!U814&lt;&gt;"",'Дивиденды по годам'!U814&lt;&gt;0),'Дивиденды по годам'!N814/'Дивиденды по годам'!U814-1,""),"")</f>
        <v/>
      </c>
      <c r="S814" t="str">
        <f>IFERROR(IF(AND('Дивиденды по годам'!L814&lt;&gt;"",'Дивиденды по годам'!I814&lt;&gt;"",'Дивиденды по годам'!J814&lt;&gt;"",'Дивиденды по годам'!K814&lt;&gt;"",('Дивиденды по годам'!I814-'Дивиденды по годам'!J814-'Дивиденды по годам'!K814)&lt;&gt;0),'Дивиденды по годам'!L814/('Дивиденды по годам'!I814-'Дивиденды по годам'!J814-'Дивиденды по годам'!K814),""),"")</f>
        <v/>
      </c>
      <c r="T814" t="str">
        <f>IFERROR(IF(AND('Дивиденды по годам'!Q814&lt;&gt;"",'Дивиденды по годам'!I814&lt;&gt;"",'Дивиденды по годам'!V814&lt;&gt;"",('Дивиденды по годам'!I814+'Дивиденды по годам'!V814)&lt;&gt;0),'Дивиденды по годам'!Q814/(('Дивиденды по годам'!I814+'Дивиденды по годам'!V814)/2),""),"")</f>
        <v/>
      </c>
      <c r="U814" t="str">
        <f>IFERROR(IF(AND('Дивиденды по годам'!J814&lt;&gt;"",'Дивиденды по годам'!K814&lt;&gt;"",'Дивиденды по годам'!M814&lt;&gt;"",'Дивиденды по годам'!M814&lt;&gt;0),('Дивиденды по годам'!J814+'Дивиденды по годам'!K814)/'Дивиденды по годам'!M814,""),"")</f>
        <v/>
      </c>
      <c r="V814" t="str">
        <f>IFERROR(IF(AND('Дивиденды по годам'!J814&lt;&gt;"",'Дивиденды по годам'!K814&lt;&gt;"",'Дивиденды по годам'!M814&lt;&gt;"",'Дивиденды по годам'!I814&lt;&gt;0),('Дивиденды по годам'!J814+'Дивиденды по годам'!K814)/'Дивиденды по годам'!I814,""),"")</f>
        <v/>
      </c>
      <c r="W814" t="str">
        <f>IFERROR('Дивиденды по годам'!I814,"")</f>
        <v/>
      </c>
      <c r="X814" cm="1">
        <f t="array" ref="X814">IFERROR(AVERAGE(_xlfn._xlws.FILTER(P$2:P$1073,($C$2:$C$1073=$C814)*($E$2:$E$1073=$E814)*(ROW(P$2:P$1073)&lt;&gt;ROW(P814))*(P$2:P$1073&lt;&gt;""))),"")</f>
        <v>26.980715693689852</v>
      </c>
      <c r="Y814" cm="1">
        <f t="array" ref="Y814">IFERROR(AVERAGE(_xlfn._xlws.FILTER(Q$2:Q$1073,($C$2:$C$1073=$C814)*($E$2:$E$1073=$E814)*(ROW(Q$2:Q$1073)&lt;&gt;ROW(Q814))*(Q$2:Q$1073&lt;&gt;""))),"")</f>
        <v>0.57737124989859567</v>
      </c>
      <c r="Z814" cm="1">
        <f t="array" ref="Z814">IFERROR(AVERAGE(_xlfn._xlws.FILTER(R$2:R$1073,($C$2:$C$1073=$C814)*($E$2:$E$1073=$E814)*(ROW(R$2:R$1073)&lt;&gt;ROW(R814))*(R$2:R$1073&lt;&gt;""))),"")</f>
        <v>-3.1761213433143809E-2</v>
      </c>
      <c r="AA814" t="str" cm="1">
        <f t="array" ref="AA814">IFERROR(AVERAGE(_xlfn._xlws.FILTER(S$2:S$1073,($C$2:$C$1073=$C814)*($E$2:$E$1073=$E814)*(ROW(S$2:S$1073)&lt;&gt;ROW(S814))*(S$2:S$1073&lt;&gt;""))),"")</f>
        <v/>
      </c>
      <c r="AB814" cm="1">
        <f t="array" ref="AB814">IFERROR(AVERAGE(_xlfn._xlws.FILTER(T$2:T$1073,($C$2:$C$1073=$C814)*($E$2:$E$1073=$E814)*(ROW(T$2:T$1073)&lt;&gt;ROW(T814))*(T$2:T$1073&lt;&gt;""))),"")</f>
        <v>0.10442686382361807</v>
      </c>
      <c r="AC814" cm="1">
        <f t="array" ref="AC814">IFERROR(AVERAGE(_xlfn._xlws.FILTER(U$2:U$1073,($C$2:$C$1073=$C814)*($E$2:$E$1073=$E814)*(ROW(U$2:U$1073)&lt;&gt;ROW(U814))*(U$2:U$1073&lt;&gt;""))),"")</f>
        <v>1.9310921377733694</v>
      </c>
      <c r="AD814" cm="1">
        <f t="array" ref="AD814">IFERROR(AVERAGE(_xlfn._xlws.FILTER(V$2:V$1073,($C$2:$C$1073=$C814)*($E$2:$E$1073=$E814)*(ROW(V$2:V$1073)&lt;&gt;ROW(V814))*(V$2:V$1073&lt;&gt;""))),"")</f>
        <v>0.65823029186247406</v>
      </c>
      <c r="AE814">
        <f>IF('Дивиденды по годам'!M814&lt;0,1,0)</f>
        <v>0</v>
      </c>
    </row>
    <row r="815" spans="1:31" x14ac:dyDescent="0.2">
      <c r="A815" s="7" t="s">
        <v>2279</v>
      </c>
      <c r="B815" t="str">
        <f t="shared" si="132"/>
        <v>HEAD IV кв. 2012</v>
      </c>
      <c r="C815">
        <v>2012</v>
      </c>
      <c r="D815">
        <f>SUMIFS(Дивиденды!$C:$C,Дивиденды!$A:$A,A815,Дивиденды!$I:$I,C815)</f>
        <v>0</v>
      </c>
      <c r="E815">
        <v>5</v>
      </c>
      <c r="F815">
        <f t="shared" si="133"/>
        <v>0</v>
      </c>
      <c r="G815">
        <f t="shared" si="134"/>
        <v>1.5490909090909091</v>
      </c>
      <c r="H815">
        <f t="shared" si="135"/>
        <v>0</v>
      </c>
      <c r="I815">
        <f t="shared" si="136"/>
        <v>0.18181818181818182</v>
      </c>
      <c r="J815">
        <f t="shared" si="137"/>
        <v>0</v>
      </c>
      <c r="K815">
        <f t="shared" si="142"/>
        <v>-4.4393542728732291E-2</v>
      </c>
      <c r="L815">
        <f t="shared" si="138"/>
        <v>0</v>
      </c>
      <c r="M815">
        <f t="shared" si="139"/>
        <v>0</v>
      </c>
      <c r="N815">
        <f t="shared" si="140"/>
        <v>0</v>
      </c>
      <c r="O815">
        <f t="shared" si="141"/>
        <v>0.18181818181818182</v>
      </c>
      <c r="P815" t="str">
        <f>IFERROR(LN('Дивиденды по годам'!I815),"")</f>
        <v/>
      </c>
      <c r="Q815" t="str">
        <f>IFERROR('Дивиденды по годам'!G815/'Дивиденды по годам'!I815, "")</f>
        <v/>
      </c>
      <c r="R815" t="str">
        <f>IFERROR(IF(AND('Дивиденды по годам'!N815&lt;&gt;"",'Дивиденды по годам'!U815&lt;&gt;"",'Дивиденды по годам'!U815&lt;&gt;0),'Дивиденды по годам'!N815/'Дивиденды по годам'!U815-1,""),"")</f>
        <v/>
      </c>
      <c r="S815" t="str">
        <f>IFERROR(IF(AND('Дивиденды по годам'!L815&lt;&gt;"",'Дивиденды по годам'!I815&lt;&gt;"",'Дивиденды по годам'!J815&lt;&gt;"",'Дивиденды по годам'!K815&lt;&gt;"",('Дивиденды по годам'!I815-'Дивиденды по годам'!J815-'Дивиденды по годам'!K815)&lt;&gt;0),'Дивиденды по годам'!L815/('Дивиденды по годам'!I815-'Дивиденды по годам'!J815-'Дивиденды по годам'!K815),""),"")</f>
        <v/>
      </c>
      <c r="T815" t="str">
        <f>IFERROR(IF(AND('Дивиденды по годам'!Q815&lt;&gt;"",'Дивиденды по годам'!I815&lt;&gt;"",'Дивиденды по годам'!V815&lt;&gt;"",('Дивиденды по годам'!I815+'Дивиденды по годам'!V815)&lt;&gt;0),'Дивиденды по годам'!Q815/(('Дивиденды по годам'!I815+'Дивиденды по годам'!V815)/2),""),"")</f>
        <v/>
      </c>
      <c r="U815" t="str">
        <f>IFERROR(IF(AND('Дивиденды по годам'!J815&lt;&gt;"",'Дивиденды по годам'!K815&lt;&gt;"",'Дивиденды по годам'!M815&lt;&gt;"",'Дивиденды по годам'!M815&lt;&gt;0),('Дивиденды по годам'!J815+'Дивиденды по годам'!K815)/'Дивиденды по годам'!M815,""),"")</f>
        <v/>
      </c>
      <c r="V815" t="str">
        <f>IFERROR(IF(AND('Дивиденды по годам'!J815&lt;&gt;"",'Дивиденды по годам'!K815&lt;&gt;"",'Дивиденды по годам'!M815&lt;&gt;"",'Дивиденды по годам'!I815&lt;&gt;0),('Дивиденды по годам'!J815+'Дивиденды по годам'!K815)/'Дивиденды по годам'!I815,""),"")</f>
        <v/>
      </c>
      <c r="W815" t="str">
        <f>IFERROR('Дивиденды по годам'!I815,"")</f>
        <v/>
      </c>
      <c r="X815" cm="1">
        <f t="array" ref="X815">IFERROR(AVERAGE(_xlfn._xlws.FILTER(P$2:P$1073,($C$2:$C$1073=$C815)*($E$2:$E$1073=$E815)*(ROW(P$2:P$1073)&lt;&gt;ROW(P815))*(P$2:P$1073&lt;&gt;""))),"")</f>
        <v>26.976167524823197</v>
      </c>
      <c r="Y815" cm="1">
        <f t="array" ref="Y815">IFERROR(AVERAGE(_xlfn._xlws.FILTER(Q$2:Q$1073,($C$2:$C$1073=$C815)*($E$2:$E$1073=$E815)*(ROW(Q$2:Q$1073)&lt;&gt;ROW(Q815))*(Q$2:Q$1073&lt;&gt;""))),"")</f>
        <v>0.63141065735920243</v>
      </c>
      <c r="Z815" cm="1">
        <f t="array" ref="Z815">IFERROR(AVERAGE(_xlfn._xlws.FILTER(R$2:R$1073,($C$2:$C$1073=$C815)*($E$2:$E$1073=$E815)*(ROW(R$2:R$1073)&lt;&gt;ROW(R815))*(R$2:R$1073&lt;&gt;""))),"")</f>
        <v>8.5252436531932485E-2</v>
      </c>
      <c r="AA815" t="str" cm="1">
        <f t="array" ref="AA815">IFERROR(AVERAGE(_xlfn._xlws.FILTER(S$2:S$1073,($C$2:$C$1073=$C815)*($E$2:$E$1073=$E815)*(ROW(S$2:S$1073)&lt;&gt;ROW(S815))*(S$2:S$1073&lt;&gt;""))),"")</f>
        <v/>
      </c>
      <c r="AB815" cm="1">
        <f t="array" ref="AB815">IFERROR(AVERAGE(_xlfn._xlws.FILTER(T$2:T$1073,($C$2:$C$1073=$C815)*($E$2:$E$1073=$E815)*(ROW(T$2:T$1073)&lt;&gt;ROW(T815))*(T$2:T$1073&lt;&gt;""))),"")</f>
        <v>6.4593053680603474E-2</v>
      </c>
      <c r="AC815" cm="1">
        <f t="array" ref="AC815">IFERROR(AVERAGE(_xlfn._xlws.FILTER(U$2:U$1073,($C$2:$C$1073=$C815)*($E$2:$E$1073=$E815)*(ROW(U$2:U$1073)&lt;&gt;ROW(U815))*(U$2:U$1073&lt;&gt;""))),"")</f>
        <v>2.1186181543330798</v>
      </c>
      <c r="AD815" cm="1">
        <f t="array" ref="AD815">IFERROR(AVERAGE(_xlfn._xlws.FILTER(V$2:V$1073,($C$2:$C$1073=$C815)*($E$2:$E$1073=$E815)*(ROW(V$2:V$1073)&lt;&gt;ROW(V815))*(V$2:V$1073&lt;&gt;""))),"")</f>
        <v>0.6515550916449</v>
      </c>
      <c r="AE815">
        <f>IF('Дивиденды по годам'!M815&lt;0,1,0)</f>
        <v>0</v>
      </c>
    </row>
    <row r="816" spans="1:31" x14ac:dyDescent="0.2">
      <c r="A816" s="7" t="s">
        <v>2279</v>
      </c>
      <c r="B816" t="str">
        <f t="shared" si="132"/>
        <v>HEAD IV кв. 2011</v>
      </c>
      <c r="C816">
        <v>2011</v>
      </c>
      <c r="D816">
        <f>SUMIFS(Дивиденды!$C:$C,Дивиденды!$A:$A,A816,Дивиденды!$I:$I,C816)</f>
        <v>0</v>
      </c>
      <c r="E816">
        <v>5</v>
      </c>
      <c r="F816">
        <f t="shared" si="133"/>
        <v>0</v>
      </c>
      <c r="G816">
        <f t="shared" si="134"/>
        <v>1.7645454545454546</v>
      </c>
      <c r="H816">
        <f t="shared" si="135"/>
        <v>0</v>
      </c>
      <c r="I816">
        <f t="shared" si="136"/>
        <v>0.18181818181818182</v>
      </c>
      <c r="J816">
        <f t="shared" si="137"/>
        <v>0</v>
      </c>
      <c r="K816">
        <f t="shared" si="142"/>
        <v>0.29508419260826407</v>
      </c>
      <c r="L816">
        <f t="shared" si="138"/>
        <v>0</v>
      </c>
      <c r="M816">
        <f t="shared" si="139"/>
        <v>0.18181818181818182</v>
      </c>
      <c r="N816">
        <f t="shared" si="140"/>
        <v>0</v>
      </c>
      <c r="O816">
        <f t="shared" si="141"/>
        <v>0</v>
      </c>
      <c r="P816" t="str">
        <f>IFERROR(LN('Дивиденды по годам'!I816),"")</f>
        <v/>
      </c>
      <c r="Q816" t="str">
        <f>IFERROR('Дивиденды по годам'!G816/'Дивиденды по годам'!I816, "")</f>
        <v/>
      </c>
      <c r="R816" t="str">
        <f>IFERROR(IF(AND('Дивиденды по годам'!N816&lt;&gt;"",'Дивиденды по годам'!U816&lt;&gt;"",'Дивиденды по годам'!U816&lt;&gt;0),'Дивиденды по годам'!N816/'Дивиденды по годам'!U816-1,""),"")</f>
        <v/>
      </c>
      <c r="S816" t="str">
        <f>IFERROR(IF(AND('Дивиденды по годам'!L816&lt;&gt;"",'Дивиденды по годам'!I816&lt;&gt;"",'Дивиденды по годам'!J816&lt;&gt;"",'Дивиденды по годам'!K816&lt;&gt;"",('Дивиденды по годам'!I816-'Дивиденды по годам'!J816-'Дивиденды по годам'!K816)&lt;&gt;0),'Дивиденды по годам'!L816/('Дивиденды по годам'!I816-'Дивиденды по годам'!J816-'Дивиденды по годам'!K816),""),"")</f>
        <v/>
      </c>
      <c r="T816" t="str">
        <f>IFERROR(IF(AND('Дивиденды по годам'!Q816&lt;&gt;"",'Дивиденды по годам'!I816&lt;&gt;"",'Дивиденды по годам'!V816&lt;&gt;"",('Дивиденды по годам'!I816+'Дивиденды по годам'!V816)&lt;&gt;0),'Дивиденды по годам'!Q816/(('Дивиденды по годам'!I816+'Дивиденды по годам'!V816)/2),""),"")</f>
        <v/>
      </c>
      <c r="U816" t="str">
        <f>IFERROR(IF(AND('Дивиденды по годам'!J816&lt;&gt;"",'Дивиденды по годам'!K816&lt;&gt;"",'Дивиденды по годам'!M816&lt;&gt;"",'Дивиденды по годам'!M816&lt;&gt;0),('Дивиденды по годам'!J816+'Дивиденды по годам'!K816)/'Дивиденды по годам'!M816,""),"")</f>
        <v/>
      </c>
      <c r="V816" t="str">
        <f>IFERROR(IF(AND('Дивиденды по годам'!J816&lt;&gt;"",'Дивиденды по годам'!K816&lt;&gt;"",'Дивиденды по годам'!M816&lt;&gt;"",'Дивиденды по годам'!I816&lt;&gt;0),('Дивиденды по годам'!J816+'Дивиденды по годам'!K816)/'Дивиденды по годам'!I816,""),"")</f>
        <v/>
      </c>
      <c r="W816" t="str">
        <f>IFERROR('Дивиденды по годам'!I816,"")</f>
        <v/>
      </c>
      <c r="X816" cm="1">
        <f t="array" ref="X816">IFERROR(AVERAGE(_xlfn._xlws.FILTER(P$2:P$1073,($C$2:$C$1073=$C816)*($E$2:$E$1073=$E816)*(ROW(P$2:P$1073)&lt;&gt;ROW(P816))*(P$2:P$1073&lt;&gt;""))),"")</f>
        <v>26.959846755112331</v>
      </c>
      <c r="Y816" cm="1">
        <f t="array" ref="Y816">IFERROR(AVERAGE(_xlfn._xlws.FILTER(Q$2:Q$1073,($C$2:$C$1073=$C816)*($E$2:$E$1073=$E816)*(ROW(Q$2:Q$1073)&lt;&gt;ROW(Q816))*(Q$2:Q$1073&lt;&gt;""))),"")</f>
        <v>0.64168629722093962</v>
      </c>
      <c r="Z816" t="str" cm="1">
        <f t="array" ref="Z816">IFERROR(AVERAGE(_xlfn._xlws.FILTER(R$2:R$1073,($C$2:$C$1073=$C816)*($E$2:$E$1073=$E816)*(ROW(R$2:R$1073)&lt;&gt;ROW(R816))*(R$2:R$1073&lt;&gt;""))),"")</f>
        <v/>
      </c>
      <c r="AA816" t="str" cm="1">
        <f t="array" ref="AA816">IFERROR(AVERAGE(_xlfn._xlws.FILTER(S$2:S$1073,($C$2:$C$1073=$C816)*($E$2:$E$1073=$E816)*(ROW(S$2:S$1073)&lt;&gt;ROW(S816))*(S$2:S$1073&lt;&gt;""))),"")</f>
        <v/>
      </c>
      <c r="AB816" t="str" cm="1">
        <f t="array" ref="AB816">IFERROR(AVERAGE(_xlfn._xlws.FILTER(T$2:T$1073,($C$2:$C$1073=$C816)*($E$2:$E$1073=$E816)*(ROW(T$2:T$1073)&lt;&gt;ROW(T816))*(T$2:T$1073&lt;&gt;""))),"")</f>
        <v/>
      </c>
      <c r="AC816" cm="1">
        <f t="array" ref="AC816">IFERROR(AVERAGE(_xlfn._xlws.FILTER(U$2:U$1073,($C$2:$C$1073=$C816)*($E$2:$E$1073=$E816)*(ROW(U$2:U$1073)&lt;&gt;ROW(U816))*(U$2:U$1073&lt;&gt;""))),"")</f>
        <v>0.9076461410986616</v>
      </c>
      <c r="AD816" cm="1">
        <f t="array" ref="AD816">IFERROR(AVERAGE(_xlfn._xlws.FILTER(V$2:V$1073,($C$2:$C$1073=$C816)*($E$2:$E$1073=$E816)*(ROW(V$2:V$1073)&lt;&gt;ROW(V816))*(V$2:V$1073&lt;&gt;""))),"")</f>
        <v>0.47579376570118254</v>
      </c>
      <c r="AE816">
        <f>IF('Дивиденды по годам'!M816&lt;0,1,0)</f>
        <v>0</v>
      </c>
    </row>
    <row r="817" spans="1:31" x14ac:dyDescent="0.2">
      <c r="A817" s="7" t="s">
        <v>2279</v>
      </c>
      <c r="B817" t="str">
        <f t="shared" si="132"/>
        <v>HEAD IV кв. 2010</v>
      </c>
      <c r="C817">
        <v>2010</v>
      </c>
      <c r="D817">
        <f>SUMIFS(Дивиденды!$C:$C,Дивиденды!$A:$A,A817,Дивиденды!$I:$I,C817)</f>
        <v>0</v>
      </c>
      <c r="E817">
        <v>5</v>
      </c>
      <c r="F817">
        <f t="shared" si="133"/>
        <v>0</v>
      </c>
      <c r="G817">
        <f t="shared" si="134"/>
        <v>1.4227272727272726</v>
      </c>
      <c r="H817">
        <f t="shared" si="135"/>
        <v>0</v>
      </c>
      <c r="I817">
        <f t="shared" si="136"/>
        <v>0.18181818181818182</v>
      </c>
      <c r="J817" t="str">
        <f t="shared" si="137"/>
        <v/>
      </c>
      <c r="K817" t="str">
        <f t="shared" si="142"/>
        <v/>
      </c>
      <c r="L817" t="str">
        <f t="shared" si="138"/>
        <v/>
      </c>
      <c r="M817" t="str">
        <f t="shared" si="139"/>
        <v/>
      </c>
      <c r="N817" t="str">
        <f t="shared" si="140"/>
        <v/>
      </c>
      <c r="O817" t="str">
        <f t="shared" si="141"/>
        <v/>
      </c>
      <c r="P817" t="str">
        <f>IFERROR(LN('Дивиденды по годам'!I817),"")</f>
        <v/>
      </c>
      <c r="Q817" t="str">
        <f>IFERROR('Дивиденды по годам'!G817/'Дивиденды по годам'!I817, "")</f>
        <v/>
      </c>
      <c r="R817" t="str">
        <f>IFERROR(IF(AND('Дивиденды по годам'!N817&lt;&gt;"",'Дивиденды по годам'!U817&lt;&gt;"",'Дивиденды по годам'!U817&lt;&gt;0),'Дивиденды по годам'!N817/'Дивиденды по годам'!U817-1,""),"")</f>
        <v/>
      </c>
      <c r="S817" t="str">
        <f>IFERROR(IF(AND('Дивиденды по годам'!L817&lt;&gt;"",'Дивиденды по годам'!I817&lt;&gt;"",'Дивиденды по годам'!J817&lt;&gt;"",'Дивиденды по годам'!K817&lt;&gt;"",('Дивиденды по годам'!I817-'Дивиденды по годам'!J817-'Дивиденды по годам'!K817)&lt;&gt;0),'Дивиденды по годам'!L817/('Дивиденды по годам'!I817-'Дивиденды по годам'!J817-'Дивиденды по годам'!K817),""),"")</f>
        <v/>
      </c>
      <c r="T817" t="str">
        <f>IFERROR(IF(AND('Дивиденды по годам'!Q817&lt;&gt;"",'Дивиденды по годам'!I817&lt;&gt;"",'Дивиденды по годам'!V817&lt;&gt;"",('Дивиденды по годам'!I817+'Дивиденды по годам'!V817)&lt;&gt;0),'Дивиденды по годам'!Q817/(('Дивиденды по годам'!I817+'Дивиденды по годам'!V817)/2),""),"")</f>
        <v/>
      </c>
      <c r="U817" t="str">
        <f>IFERROR(IF(AND('Дивиденды по годам'!J817&lt;&gt;"",'Дивиденды по годам'!K817&lt;&gt;"",'Дивиденды по годам'!M817&lt;&gt;"",'Дивиденды по годам'!M817&lt;&gt;0),('Дивиденды по годам'!J817+'Дивиденды по годам'!K817)/'Дивиденды по годам'!M817,""),"")</f>
        <v/>
      </c>
      <c r="V817" t="str">
        <f>IFERROR(IF(AND('Дивиденды по годам'!J817&lt;&gt;"",'Дивиденды по годам'!K817&lt;&gt;"",'Дивиденды по годам'!M817&lt;&gt;"",'Дивиденды по годам'!I817&lt;&gt;0),('Дивиденды по годам'!J817+'Дивиденды по годам'!K817)/'Дивиденды по годам'!I817,""),"")</f>
        <v/>
      </c>
      <c r="W817" t="str">
        <f>IFERROR('Дивиденды по годам'!I817,"")</f>
        <v/>
      </c>
      <c r="X817" t="str" cm="1">
        <f t="array" ref="X817">IFERROR(AVERAGE(_xlfn._xlws.FILTER(P$2:P$1073,($C$2:$C$1073=$C817)*($E$2:$E$1073=$E817)*(ROW(P$2:P$1073)&lt;&gt;ROW(P817))*(P$2:P$1073&lt;&gt;""))),"")</f>
        <v/>
      </c>
      <c r="Y817" t="str" cm="1">
        <f t="array" ref="Y817">IFERROR(AVERAGE(_xlfn._xlws.FILTER(Q$2:Q$1073,($C$2:$C$1073=$C817)*($E$2:$E$1073=$E817)*(ROW(Q$2:Q$1073)&lt;&gt;ROW(Q817))*(Q$2:Q$1073&lt;&gt;""))),"")</f>
        <v/>
      </c>
      <c r="Z817" t="str" cm="1">
        <f t="array" ref="Z817">IFERROR(AVERAGE(_xlfn._xlws.FILTER(R$2:R$1073,($C$2:$C$1073=$C817)*($E$2:$E$1073=$E817)*(ROW(R$2:R$1073)&lt;&gt;ROW(R817))*(R$2:R$1073&lt;&gt;""))),"")</f>
        <v/>
      </c>
      <c r="AA817" t="str" cm="1">
        <f t="array" ref="AA817">IFERROR(AVERAGE(_xlfn._xlws.FILTER(S$2:S$1073,($C$2:$C$1073=$C817)*($E$2:$E$1073=$E817)*(ROW(S$2:S$1073)&lt;&gt;ROW(S817))*(S$2:S$1073&lt;&gt;""))),"")</f>
        <v/>
      </c>
      <c r="AB817" t="str" cm="1">
        <f t="array" ref="AB817">IFERROR(AVERAGE(_xlfn._xlws.FILTER(T$2:T$1073,($C$2:$C$1073=$C817)*($E$2:$E$1073=$E817)*(ROW(T$2:T$1073)&lt;&gt;ROW(T817))*(T$2:T$1073&lt;&gt;""))),"")</f>
        <v/>
      </c>
      <c r="AC817" t="str" cm="1">
        <f t="array" ref="AC817">IFERROR(AVERAGE(_xlfn._xlws.FILTER(U$2:U$1073,($C$2:$C$1073=$C817)*($E$2:$E$1073=$E817)*(ROW(U$2:U$1073)&lt;&gt;ROW(U817))*(U$2:U$1073&lt;&gt;""))),"")</f>
        <v/>
      </c>
      <c r="AD817" t="str" cm="1">
        <f t="array" ref="AD817">IFERROR(AVERAGE(_xlfn._xlws.FILTER(V$2:V$1073,($C$2:$C$1073=$C817)*($E$2:$E$1073=$E817)*(ROW(V$2:V$1073)&lt;&gt;ROW(V817))*(V$2:V$1073&lt;&gt;""))),"")</f>
        <v/>
      </c>
      <c r="AE817">
        <f>IF('Дивиденды по годам'!M817&lt;0,1,0)</f>
        <v>0</v>
      </c>
    </row>
    <row r="818" spans="1:31" x14ac:dyDescent="0.2">
      <c r="A818" s="7" t="s">
        <v>2281</v>
      </c>
      <c r="B818" t="str">
        <f t="shared" si="132"/>
        <v>OZON IV кв. 2025</v>
      </c>
      <c r="C818">
        <v>2025</v>
      </c>
      <c r="D818">
        <f>SUMIFS(Дивиденды!$C:$C,Дивиденды!$A:$A,A818,Дивиденды!$I:$I,C818)</f>
        <v>143.55000000000001</v>
      </c>
      <c r="E818">
        <v>5</v>
      </c>
      <c r="F818">
        <f t="shared" si="133"/>
        <v>143.55000000000001</v>
      </c>
      <c r="G818">
        <f t="shared" si="134"/>
        <v>38.446363636363635</v>
      </c>
      <c r="H818">
        <f t="shared" si="135"/>
        <v>1</v>
      </c>
      <c r="I818">
        <f t="shared" si="136"/>
        <v>0.45454545454545453</v>
      </c>
      <c r="J818">
        <f t="shared" si="137"/>
        <v>1</v>
      </c>
      <c r="K818">
        <f t="shared" si="142"/>
        <v>-0.114067005274923</v>
      </c>
      <c r="L818">
        <f t="shared" si="138"/>
        <v>1</v>
      </c>
      <c r="M818">
        <f t="shared" si="139"/>
        <v>0.27272727272727271</v>
      </c>
      <c r="N818">
        <f t="shared" si="140"/>
        <v>0</v>
      </c>
      <c r="O818">
        <f t="shared" si="141"/>
        <v>0.54545454545454541</v>
      </c>
      <c r="P818">
        <f>IFERROR(LN('Дивиденды по годам'!I818),"")</f>
        <v>27.988540303393403</v>
      </c>
      <c r="Q818">
        <f>IFERROR('Дивиденды по годам'!G818/'Дивиденды по годам'!I818, "")</f>
        <v>0.11101513661561445</v>
      </c>
      <c r="R818" t="str">
        <f>IFERROR(IF(AND('Дивиденды по годам'!N818&lt;&gt;"",'Дивиденды по годам'!U818&lt;&gt;"",'Дивиденды по годам'!U818&lt;&gt;0),'Дивиденды по годам'!N818/'Дивиденды по годам'!U818-1,""),"")</f>
        <v/>
      </c>
      <c r="S818">
        <f>IFERROR(IF(AND('Дивиденды по годам'!L818&lt;&gt;"",'Дивиденды по годам'!I818&lt;&gt;"",'Дивиденды по годам'!J818&lt;&gt;"",'Дивиденды по годам'!K818&lt;&gt;"",('Дивиденды по годам'!I818-'Дивиденды по годам'!J818-'Дивиденды по годам'!K818)&lt;&gt;0),'Дивиденды по годам'!L818/('Дивиденды по годам'!I818-'Дивиденды по годам'!J818-'Дивиденды по годам'!K818),""),"")</f>
        <v>2.0958249666455533</v>
      </c>
      <c r="T818" t="str">
        <f>IFERROR(IF(AND('Дивиденды по годам'!Q818&lt;&gt;"",'Дивиденды по годам'!I818&lt;&gt;"",'Дивиденды по годам'!V818&lt;&gt;"",('Дивиденды по годам'!I818+'Дивиденды по годам'!V818)&lt;&gt;0),'Дивиденды по годам'!Q818/(('Дивиденды по годам'!I818+'Дивиденды по годам'!V818)/2),""),"")</f>
        <v/>
      </c>
      <c r="U818">
        <f>IFERROR(IF(AND('Дивиденды по годам'!J818&lt;&gt;"",'Дивиденды по годам'!K818&lt;&gt;"",'Дивиденды по годам'!M818&lt;&gt;"",'Дивиденды по годам'!M818&lt;&gt;0),('Дивиденды по годам'!J818+'Дивиденды по годам'!K818)/'Дивиденды по годам'!M818,""),"")</f>
        <v>-10.634233117259409</v>
      </c>
      <c r="V818">
        <f>IFERROR(IF(AND('Дивиденды по годам'!J818&lt;&gt;"",'Дивиденды по годам'!K818&lt;&gt;"",'Дивиденды по годам'!M818&lt;&gt;"",'Дивиденды по годам'!I818&lt;&gt;0),('Дивиденды по годам'!J818+'Дивиденды по годам'!K818)/'Дивиденды по годам'!I818,""),"")</f>
        <v>1.1037965334478499</v>
      </c>
      <c r="W818">
        <f>IFERROR('Дивиденды по годам'!I818,"")</f>
        <v>1429778000000</v>
      </c>
      <c r="X818" cm="1">
        <f t="array" ref="X818">IFERROR(AVERAGE(_xlfn._xlws.FILTER(P$2:P$1073,($C$2:$C$1073=$C818)*($E$2:$E$1073=$E818)*(ROW(P$2:P$1073)&lt;&gt;ROW(P818))*(P$2:P$1073&lt;&gt;""))),"")</f>
        <v>26.276744713588926</v>
      </c>
      <c r="Y818" cm="1">
        <f t="array" ref="Y818">IFERROR(AVERAGE(_xlfn._xlws.FILTER(Q$2:Q$1073,($C$2:$C$1073=$C818)*($E$2:$E$1073=$E818)*(ROW(Q$2:Q$1073)&lt;&gt;ROW(Q818))*(Q$2:Q$1073&lt;&gt;""))),"")</f>
        <v>0.2074732704329868</v>
      </c>
      <c r="Z818" cm="1">
        <f t="array" ref="Z818">IFERROR(AVERAGE(_xlfn._xlws.FILTER(R$2:R$1073,($C$2:$C$1073=$C818)*($E$2:$E$1073=$E818)*(ROW(R$2:R$1073)&lt;&gt;ROW(R818))*(R$2:R$1073&lt;&gt;""))),"")</f>
        <v>0.14131329588399896</v>
      </c>
      <c r="AA818" cm="1">
        <f t="array" ref="AA818">IFERROR(AVERAGE(_xlfn._xlws.FILTER(S$2:S$1073,($C$2:$C$1073=$C818)*($E$2:$E$1073=$E818)*(ROW(S$2:S$1073)&lt;&gt;ROW(S818))*(S$2:S$1073&lt;&gt;""))),"")</f>
        <v>0.41121378921259366</v>
      </c>
      <c r="AB818" cm="1">
        <f t="array" ref="AB818">IFERROR(AVERAGE(_xlfn._xlws.FILTER(T$2:T$1073,($C$2:$C$1073=$C818)*($E$2:$E$1073=$E818)*(ROW(T$2:T$1073)&lt;&gt;ROW(T818))*(T$2:T$1073&lt;&gt;""))),"")</f>
        <v>0.12648274488223432</v>
      </c>
      <c r="AC818" cm="1">
        <f t="array" ref="AC818">IFERROR(AVERAGE(_xlfn._xlws.FILTER(U$2:U$1073,($C$2:$C$1073=$C818)*($E$2:$E$1073=$E818)*(ROW(U$2:U$1073)&lt;&gt;ROW(U818))*(U$2:U$1073&lt;&gt;""))),"")</f>
        <v>18.963253444246188</v>
      </c>
      <c r="AD818" cm="1">
        <f t="array" ref="AD818">IFERROR(AVERAGE(_xlfn._xlws.FILTER(V$2:V$1073,($C$2:$C$1073=$C818)*($E$2:$E$1073=$E818)*(ROW(V$2:V$1073)&lt;&gt;ROW(V818))*(V$2:V$1073&lt;&gt;""))),"")</f>
        <v>0.66805066227296217</v>
      </c>
      <c r="AE818">
        <f>IF('Дивиденды по годам'!M818&lt;0,1,0)</f>
        <v>1</v>
      </c>
    </row>
    <row r="819" spans="1:31" x14ac:dyDescent="0.2">
      <c r="A819" s="7" t="s">
        <v>2281</v>
      </c>
      <c r="B819" t="str">
        <f t="shared" si="132"/>
        <v>OZON IV кв. 2024</v>
      </c>
      <c r="C819">
        <v>2024</v>
      </c>
      <c r="D819">
        <f>SUMIFS(Дивиденды!$C:$C,Дивиденды!$A:$A,A819,Дивиденды!$I:$I,C819)</f>
        <v>0</v>
      </c>
      <c r="E819">
        <v>5</v>
      </c>
      <c r="F819">
        <f t="shared" si="133"/>
        <v>0</v>
      </c>
      <c r="G819">
        <f t="shared" si="134"/>
        <v>102.16454545454545</v>
      </c>
      <c r="H819">
        <f t="shared" si="135"/>
        <v>0</v>
      </c>
      <c r="I819">
        <f t="shared" si="136"/>
        <v>0.63636363636363635</v>
      </c>
      <c r="J819">
        <f t="shared" si="137"/>
        <v>0</v>
      </c>
      <c r="K819">
        <f t="shared" si="142"/>
        <v>0.22526756384337021</v>
      </c>
      <c r="L819">
        <f t="shared" si="138"/>
        <v>0</v>
      </c>
      <c r="M819">
        <f t="shared" si="139"/>
        <v>0.36363636363636365</v>
      </c>
      <c r="N819">
        <f t="shared" si="140"/>
        <v>0</v>
      </c>
      <c r="O819">
        <f t="shared" si="141"/>
        <v>0.18181818181818182</v>
      </c>
      <c r="P819" t="str">
        <f>IFERROR(LN('Дивиденды по годам'!I819),"")</f>
        <v/>
      </c>
      <c r="Q819" t="str">
        <f>IFERROR('Дивиденды по годам'!G819/'Дивиденды по годам'!I819, "")</f>
        <v/>
      </c>
      <c r="R819" t="str">
        <f>IFERROR(IF(AND('Дивиденды по годам'!N819&lt;&gt;"",'Дивиденды по годам'!U819&lt;&gt;"",'Дивиденды по годам'!U819&lt;&gt;0),'Дивиденды по годам'!N819/'Дивиденды по годам'!U819-1,""),"")</f>
        <v/>
      </c>
      <c r="S819" t="str">
        <f>IFERROR(IF(AND('Дивиденды по годам'!L819&lt;&gt;"",'Дивиденды по годам'!I819&lt;&gt;"",'Дивиденды по годам'!J819&lt;&gt;"",'Дивиденды по годам'!K819&lt;&gt;"",('Дивиденды по годам'!I819-'Дивиденды по годам'!J819-'Дивиденды по годам'!K819)&lt;&gt;0),'Дивиденды по годам'!L819/('Дивиденды по годам'!I819-'Дивиденды по годам'!J819-'Дивиденды по годам'!K819),""),"")</f>
        <v/>
      </c>
      <c r="T819" t="str">
        <f>IFERROR(IF(AND('Дивиденды по годам'!Q819&lt;&gt;"",'Дивиденды по годам'!I819&lt;&gt;"",'Дивиденды по годам'!V819&lt;&gt;"",('Дивиденды по годам'!I819+'Дивиденды по годам'!V819)&lt;&gt;0),'Дивиденды по годам'!Q819/(('Дивиденды по годам'!I819+'Дивиденды по годам'!V819)/2),""),"")</f>
        <v/>
      </c>
      <c r="U819" t="str">
        <f>IFERROR(IF(AND('Дивиденды по годам'!J819&lt;&gt;"",'Дивиденды по годам'!K819&lt;&gt;"",'Дивиденды по годам'!M819&lt;&gt;"",'Дивиденды по годам'!M819&lt;&gt;0),('Дивиденды по годам'!J819+'Дивиденды по годам'!K819)/'Дивиденды по годам'!M819,""),"")</f>
        <v/>
      </c>
      <c r="V819" t="str">
        <f>IFERROR(IF(AND('Дивиденды по годам'!J819&lt;&gt;"",'Дивиденды по годам'!K819&lt;&gt;"",'Дивиденды по годам'!M819&lt;&gt;"",'Дивиденды по годам'!I819&lt;&gt;0),('Дивиденды по годам'!J819+'Дивиденды по годам'!K819)/'Дивиденды по годам'!I819,""),"")</f>
        <v/>
      </c>
      <c r="W819" t="str">
        <f>IFERROR('Дивиденды по годам'!I819,"")</f>
        <v/>
      </c>
      <c r="X819" cm="1">
        <f t="array" ref="X819">IFERROR(AVERAGE(_xlfn._xlws.FILTER(P$2:P$1073,($C$2:$C$1073=$C819)*($E$2:$E$1073=$E819)*(ROW(P$2:P$1073)&lt;&gt;ROW(P819))*(P$2:P$1073&lt;&gt;""))),"")</f>
        <v>25.336739204052083</v>
      </c>
      <c r="Y819" cm="1">
        <f t="array" ref="Y819">IFERROR(AVERAGE(_xlfn._xlws.FILTER(Q$2:Q$1073,($C$2:$C$1073=$C819)*($E$2:$E$1073=$E819)*(ROW(Q$2:Q$1073)&lt;&gt;ROW(Q819))*(Q$2:Q$1073&lt;&gt;""))),"")</f>
        <v>0.13471807743964709</v>
      </c>
      <c r="Z819" cm="1">
        <f t="array" ref="Z819">IFERROR(AVERAGE(_xlfn._xlws.FILTER(R$2:R$1073,($C$2:$C$1073=$C819)*($E$2:$E$1073=$E819)*(ROW(R$2:R$1073)&lt;&gt;ROW(R819))*(R$2:R$1073&lt;&gt;""))),"")</f>
        <v>0.2642177028396257</v>
      </c>
      <c r="AA819" cm="1">
        <f t="array" ref="AA819">IFERROR(AVERAGE(_xlfn._xlws.FILTER(S$2:S$1073,($C$2:$C$1073=$C819)*($E$2:$E$1073=$E819)*(ROW(S$2:S$1073)&lt;&gt;ROW(S819))*(S$2:S$1073&lt;&gt;""))),"")</f>
        <v>-0.20757324108655567</v>
      </c>
      <c r="AB819" cm="1">
        <f t="array" ref="AB819">IFERROR(AVERAGE(_xlfn._xlws.FILTER(T$2:T$1073,($C$2:$C$1073=$C819)*($E$2:$E$1073=$E819)*(ROW(T$2:T$1073)&lt;&gt;ROW(T819))*(T$2:T$1073&lt;&gt;""))),"")</f>
        <v>0.19874619053523157</v>
      </c>
      <c r="AC819" cm="1">
        <f t="array" ref="AC819">IFERROR(AVERAGE(_xlfn._xlws.FILTER(U$2:U$1073,($C$2:$C$1073=$C819)*($E$2:$E$1073=$E819)*(ROW(U$2:U$1073)&lt;&gt;ROW(U819))*(U$2:U$1073&lt;&gt;""))),"")</f>
        <v>-11.051854932892608</v>
      </c>
      <c r="AD819" cm="1">
        <f t="array" ref="AD819">IFERROR(AVERAGE(_xlfn._xlws.FILTER(V$2:V$1073,($C$2:$C$1073=$C819)*($E$2:$E$1073=$E819)*(ROW(V$2:V$1073)&lt;&gt;ROW(V819))*(V$2:V$1073&lt;&gt;""))),"")</f>
        <v>0.6936989587261021</v>
      </c>
      <c r="AE819">
        <f>IF('Дивиденды по годам'!M819&lt;0,1,0)</f>
        <v>0</v>
      </c>
    </row>
    <row r="820" spans="1:31" x14ac:dyDescent="0.2">
      <c r="A820" s="7" t="s">
        <v>2281</v>
      </c>
      <c r="B820" t="str">
        <f t="shared" si="132"/>
        <v>OZON IV кв. 2023</v>
      </c>
      <c r="C820">
        <v>2023</v>
      </c>
      <c r="D820">
        <f>SUMIFS(Дивиденды!$C:$C,Дивиденды!$A:$A,A820,Дивиденды!$I:$I,C820)</f>
        <v>0</v>
      </c>
      <c r="E820">
        <v>5</v>
      </c>
      <c r="F820">
        <f t="shared" si="133"/>
        <v>0</v>
      </c>
      <c r="G820">
        <f t="shared" si="134"/>
        <v>17.214545454545455</v>
      </c>
      <c r="H820">
        <f t="shared" si="135"/>
        <v>0</v>
      </c>
      <c r="I820">
        <f t="shared" si="136"/>
        <v>0.27272727272727271</v>
      </c>
      <c r="J820">
        <f t="shared" si="137"/>
        <v>0</v>
      </c>
      <c r="K820">
        <f t="shared" si="142"/>
        <v>0.2713254911425303</v>
      </c>
      <c r="L820">
        <f t="shared" si="138"/>
        <v>0</v>
      </c>
      <c r="M820">
        <f t="shared" si="139"/>
        <v>0.27272727272727271</v>
      </c>
      <c r="N820">
        <f t="shared" si="140"/>
        <v>0</v>
      </c>
      <c r="O820">
        <f t="shared" si="141"/>
        <v>0</v>
      </c>
      <c r="P820" t="str">
        <f>IFERROR(LN('Дивиденды по годам'!I820),"")</f>
        <v/>
      </c>
      <c r="Q820" t="str">
        <f>IFERROR('Дивиденды по годам'!G820/'Дивиденды по годам'!I820, "")</f>
        <v/>
      </c>
      <c r="R820" t="str">
        <f>IFERROR(IF(AND('Дивиденды по годам'!N820&lt;&gt;"",'Дивиденды по годам'!U820&lt;&gt;"",'Дивиденды по годам'!U820&lt;&gt;0),'Дивиденды по годам'!N820/'Дивиденды по годам'!U820-1,""),"")</f>
        <v/>
      </c>
      <c r="S820" t="str">
        <f>IFERROR(IF(AND('Дивиденды по годам'!L820&lt;&gt;"",'Дивиденды по годам'!I820&lt;&gt;"",'Дивиденды по годам'!J820&lt;&gt;"",'Дивиденды по годам'!K820&lt;&gt;"",('Дивиденды по годам'!I820-'Дивиденды по годам'!J820-'Дивиденды по годам'!K820)&lt;&gt;0),'Дивиденды по годам'!L820/('Дивиденды по годам'!I820-'Дивиденды по годам'!J820-'Дивиденды по годам'!K820),""),"")</f>
        <v/>
      </c>
      <c r="T820" t="str">
        <f>IFERROR(IF(AND('Дивиденды по годам'!Q820&lt;&gt;"",'Дивиденды по годам'!I820&lt;&gt;"",'Дивиденды по годам'!V820&lt;&gt;"",('Дивиденды по годам'!I820+'Дивиденды по годам'!V820)&lt;&gt;0),'Дивиденды по годам'!Q820/(('Дивиденды по годам'!I820+'Дивиденды по годам'!V820)/2),""),"")</f>
        <v/>
      </c>
      <c r="U820" t="str">
        <f>IFERROR(IF(AND('Дивиденды по годам'!J820&lt;&gt;"",'Дивиденды по годам'!K820&lt;&gt;"",'Дивиденды по годам'!M820&lt;&gt;"",'Дивиденды по годам'!M820&lt;&gt;0),('Дивиденды по годам'!J820+'Дивиденды по годам'!K820)/'Дивиденды по годам'!M820,""),"")</f>
        <v/>
      </c>
      <c r="V820" t="str">
        <f>IFERROR(IF(AND('Дивиденды по годам'!J820&lt;&gt;"",'Дивиденды по годам'!K820&lt;&gt;"",'Дивиденды по годам'!M820&lt;&gt;"",'Дивиденды по годам'!I820&lt;&gt;0),('Дивиденды по годам'!J820+'Дивиденды по годам'!K820)/'Дивиденды по годам'!I820,""),"")</f>
        <v/>
      </c>
      <c r="W820" t="str">
        <f>IFERROR('Дивиденды по годам'!I820,"")</f>
        <v/>
      </c>
      <c r="X820" cm="1">
        <f t="array" ref="X820">IFERROR(AVERAGE(_xlfn._xlws.FILTER(P$2:P$1073,($C$2:$C$1073=$C820)*($E$2:$E$1073=$E820)*(ROW(P$2:P$1073)&lt;&gt;ROW(P820))*(P$2:P$1073&lt;&gt;""))),"")</f>
        <v>24.900931538156115</v>
      </c>
      <c r="Y820" cm="1">
        <f t="array" ref="Y820">IFERROR(AVERAGE(_xlfn._xlws.FILTER(Q$2:Q$1073,($C$2:$C$1073=$C820)*($E$2:$E$1073=$E820)*(ROW(Q$2:Q$1073)&lt;&gt;ROW(Q820))*(Q$2:Q$1073&lt;&gt;""))),"")</f>
        <v>0.11688684958606771</v>
      </c>
      <c r="Z820" cm="1">
        <f t="array" ref="Z820">IFERROR(AVERAGE(_xlfn._xlws.FILTER(R$2:R$1073,($C$2:$C$1073=$C820)*($E$2:$E$1073=$E820)*(ROW(R$2:R$1073)&lt;&gt;ROW(R820))*(R$2:R$1073&lt;&gt;""))),"")</f>
        <v>0.43171849086064124</v>
      </c>
      <c r="AA820" cm="1">
        <f t="array" ref="AA820">IFERROR(AVERAGE(_xlfn._xlws.FILTER(S$2:S$1073,($C$2:$C$1073=$C820)*($E$2:$E$1073=$E820)*(ROW(S$2:S$1073)&lt;&gt;ROW(S820))*(S$2:S$1073&lt;&gt;""))),"")</f>
        <v>0.7038137743387477</v>
      </c>
      <c r="AB820" cm="1">
        <f t="array" ref="AB820">IFERROR(AVERAGE(_xlfn._xlws.FILTER(T$2:T$1073,($C$2:$C$1073=$C820)*($E$2:$E$1073=$E820)*(ROW(T$2:T$1073)&lt;&gt;ROW(T820))*(T$2:T$1073&lt;&gt;""))),"")</f>
        <v>0.16503536613583741</v>
      </c>
      <c r="AC820" cm="1">
        <f t="array" ref="AC820">IFERROR(AVERAGE(_xlfn._xlws.FILTER(U$2:U$1073,($C$2:$C$1073=$C820)*($E$2:$E$1073=$E820)*(ROW(U$2:U$1073)&lt;&gt;ROW(U820))*(U$2:U$1073&lt;&gt;""))),"")</f>
        <v>85.333976073258114</v>
      </c>
      <c r="AD820" cm="1">
        <f t="array" ref="AD820">IFERROR(AVERAGE(_xlfn._xlws.FILTER(V$2:V$1073,($C$2:$C$1073=$C820)*($E$2:$E$1073=$E820)*(ROW(V$2:V$1073)&lt;&gt;ROW(V820))*(V$2:V$1073&lt;&gt;""))),"")</f>
        <v>0.63339603226362784</v>
      </c>
      <c r="AE820">
        <f>IF('Дивиденды по годам'!M820&lt;0,1,0)</f>
        <v>0</v>
      </c>
    </row>
    <row r="821" spans="1:31" x14ac:dyDescent="0.2">
      <c r="A821" s="7" t="s">
        <v>2281</v>
      </c>
      <c r="B821" t="str">
        <f t="shared" si="132"/>
        <v>OZON IV кв. 2022</v>
      </c>
      <c r="C821">
        <v>2022</v>
      </c>
      <c r="D821">
        <f>SUMIFS(Дивиденды!$C:$C,Дивиденды!$A:$A,A821,Дивиденды!$I:$I,C821)</f>
        <v>0</v>
      </c>
      <c r="E821">
        <v>5</v>
      </c>
      <c r="F821">
        <f t="shared" si="133"/>
        <v>0</v>
      </c>
      <c r="G821">
        <f t="shared" si="134"/>
        <v>7.1127272727272723</v>
      </c>
      <c r="H821">
        <f t="shared" si="135"/>
        <v>0</v>
      </c>
      <c r="I821">
        <f t="shared" si="136"/>
        <v>0.27272727272727271</v>
      </c>
      <c r="J821">
        <f t="shared" si="137"/>
        <v>0</v>
      </c>
      <c r="K821">
        <f t="shared" si="142"/>
        <v>8.7952066899435327E-2</v>
      </c>
      <c r="L821">
        <f t="shared" si="138"/>
        <v>0</v>
      </c>
      <c r="M821">
        <f t="shared" si="139"/>
        <v>0.18181818181818182</v>
      </c>
      <c r="N821">
        <f t="shared" si="140"/>
        <v>0</v>
      </c>
      <c r="O821">
        <f t="shared" si="141"/>
        <v>9.0909090909090912E-2</v>
      </c>
      <c r="P821" t="str">
        <f>IFERROR(LN('Дивиденды по годам'!I821),"")</f>
        <v/>
      </c>
      <c r="Q821" t="str">
        <f>IFERROR('Дивиденды по годам'!G821/'Дивиденды по годам'!I821, "")</f>
        <v/>
      </c>
      <c r="R821" t="str">
        <f>IFERROR(IF(AND('Дивиденды по годам'!N821&lt;&gt;"",'Дивиденды по годам'!U821&lt;&gt;"",'Дивиденды по годам'!U821&lt;&gt;0),'Дивиденды по годам'!N821/'Дивиденды по годам'!U821-1,""),"")</f>
        <v/>
      </c>
      <c r="S821" t="str">
        <f>IFERROR(IF(AND('Дивиденды по годам'!L821&lt;&gt;"",'Дивиденды по годам'!I821&lt;&gt;"",'Дивиденды по годам'!J821&lt;&gt;"",'Дивиденды по годам'!K821&lt;&gt;"",('Дивиденды по годам'!I821-'Дивиденды по годам'!J821-'Дивиденды по годам'!K821)&lt;&gt;0),'Дивиденды по годам'!L821/('Дивиденды по годам'!I821-'Дивиденды по годам'!J821-'Дивиденды по годам'!K821),""),"")</f>
        <v/>
      </c>
      <c r="T821" t="str">
        <f>IFERROR(IF(AND('Дивиденды по годам'!Q821&lt;&gt;"",'Дивиденды по годам'!I821&lt;&gt;"",'Дивиденды по годам'!V821&lt;&gt;"",('Дивиденды по годам'!I821+'Дивиденды по годам'!V821)&lt;&gt;0),'Дивиденды по годам'!Q821/(('Дивиденды по годам'!I821+'Дивиденды по годам'!V821)/2),""),"")</f>
        <v/>
      </c>
      <c r="U821" t="str">
        <f>IFERROR(IF(AND('Дивиденды по годам'!J821&lt;&gt;"",'Дивиденды по годам'!K821&lt;&gt;"",'Дивиденды по годам'!M821&lt;&gt;"",'Дивиденды по годам'!M821&lt;&gt;0),('Дивиденды по годам'!J821+'Дивиденды по годам'!K821)/'Дивиденды по годам'!M821,""),"")</f>
        <v/>
      </c>
      <c r="V821" t="str">
        <f>IFERROR(IF(AND('Дивиденды по годам'!J821&lt;&gt;"",'Дивиденды по годам'!K821&lt;&gt;"",'Дивиденды по годам'!M821&lt;&gt;"",'Дивиденды по годам'!I821&lt;&gt;0),('Дивиденды по годам'!J821+'Дивиденды по годам'!K821)/'Дивиденды по годам'!I821,""),"")</f>
        <v/>
      </c>
      <c r="W821" t="str">
        <f>IFERROR('Дивиденды по годам'!I821,"")</f>
        <v/>
      </c>
      <c r="X821" cm="1">
        <f t="array" ref="X821">IFERROR(AVERAGE(_xlfn._xlws.FILTER(P$2:P$1073,($C$2:$C$1073=$C821)*($E$2:$E$1073=$E821)*(ROW(P$2:P$1073)&lt;&gt;ROW(P821))*(P$2:P$1073&lt;&gt;""))),"")</f>
        <v>24.993376890782685</v>
      </c>
      <c r="Y821" cm="1">
        <f t="array" ref="Y821">IFERROR(AVERAGE(_xlfn._xlws.FILTER(Q$2:Q$1073,($C$2:$C$1073=$C821)*($E$2:$E$1073=$E821)*(ROW(Q$2:Q$1073)&lt;&gt;ROW(Q821))*(Q$2:Q$1073&lt;&gt;""))),"")</f>
        <v>0.10312885530309761</v>
      </c>
      <c r="Z821" cm="1">
        <f t="array" ref="Z821">IFERROR(AVERAGE(_xlfn._xlws.FILTER(R$2:R$1073,($C$2:$C$1073=$C821)*($E$2:$E$1073=$E821)*(ROW(R$2:R$1073)&lt;&gt;ROW(R821))*(R$2:R$1073&lt;&gt;""))),"")</f>
        <v>0.57613604172059418</v>
      </c>
      <c r="AA821" cm="1">
        <f t="array" ref="AA821">IFERROR(AVERAGE(_xlfn._xlws.FILTER(S$2:S$1073,($C$2:$C$1073=$C821)*($E$2:$E$1073=$E821)*(ROW(S$2:S$1073)&lt;&gt;ROW(S821))*(S$2:S$1073&lt;&gt;""))),"")</f>
        <v>0.79975694618495274</v>
      </c>
      <c r="AB821" cm="1">
        <f t="array" ref="AB821">IFERROR(AVERAGE(_xlfn._xlws.FILTER(T$2:T$1073,($C$2:$C$1073=$C821)*($E$2:$E$1073=$E821)*(ROW(T$2:T$1073)&lt;&gt;ROW(T821))*(T$2:T$1073&lt;&gt;""))),"")</f>
        <v>0.34864704859118889</v>
      </c>
      <c r="AC821" cm="1">
        <f t="array" ref="AC821">IFERROR(AVERAGE(_xlfn._xlws.FILTER(U$2:U$1073,($C$2:$C$1073=$C821)*($E$2:$E$1073=$E821)*(ROW(U$2:U$1073)&lt;&gt;ROW(U821))*(U$2:U$1073&lt;&gt;""))),"")</f>
        <v>-58.279622636108527</v>
      </c>
      <c r="AD821" cm="1">
        <f t="array" ref="AD821">IFERROR(AVERAGE(_xlfn._xlws.FILTER(V$2:V$1073,($C$2:$C$1073=$C821)*($E$2:$E$1073=$E821)*(ROW(V$2:V$1073)&lt;&gt;ROW(V821))*(V$2:V$1073&lt;&gt;""))),"")</f>
        <v>0.72118797865619422</v>
      </c>
      <c r="AE821">
        <f>IF('Дивиденды по годам'!M821&lt;0,1,0)</f>
        <v>0</v>
      </c>
    </row>
    <row r="822" spans="1:31" x14ac:dyDescent="0.2">
      <c r="A822" s="7" t="s">
        <v>2281</v>
      </c>
      <c r="B822" t="str">
        <f t="shared" si="132"/>
        <v>OZON IV кв. 2021</v>
      </c>
      <c r="C822">
        <v>2021</v>
      </c>
      <c r="D822">
        <f>SUMIFS(Дивиденды!$C:$C,Дивиденды!$A:$A,A822,Дивиденды!$I:$I,C822)</f>
        <v>0</v>
      </c>
      <c r="E822">
        <v>5</v>
      </c>
      <c r="F822">
        <f t="shared" si="133"/>
        <v>0</v>
      </c>
      <c r="G822">
        <f t="shared" si="134"/>
        <v>4.450909090909092</v>
      </c>
      <c r="H822">
        <f t="shared" si="135"/>
        <v>0</v>
      </c>
      <c r="I822">
        <f t="shared" si="136"/>
        <v>0.18181818181818182</v>
      </c>
      <c r="J822">
        <f t="shared" si="137"/>
        <v>0</v>
      </c>
      <c r="K822">
        <f t="shared" si="142"/>
        <v>1.4983788220808552E-2</v>
      </c>
      <c r="L822">
        <f t="shared" si="138"/>
        <v>0</v>
      </c>
      <c r="M822">
        <f t="shared" si="139"/>
        <v>9.0909090909090912E-2</v>
      </c>
      <c r="N822">
        <f t="shared" si="140"/>
        <v>0</v>
      </c>
      <c r="O822">
        <f t="shared" si="141"/>
        <v>9.0909090909090912E-2</v>
      </c>
      <c r="P822" t="str">
        <f>IFERROR(LN('Дивиденды по годам'!I822),"")</f>
        <v/>
      </c>
      <c r="Q822" t="str">
        <f>IFERROR('Дивиденды по годам'!G822/'Дивиденды по годам'!I822, "")</f>
        <v/>
      </c>
      <c r="R822" t="str">
        <f>IFERROR(IF(AND('Дивиденды по годам'!N822&lt;&gt;"",'Дивиденды по годам'!U822&lt;&gt;"",'Дивиденды по годам'!U822&lt;&gt;0),'Дивиденды по годам'!N822/'Дивиденды по годам'!U822-1,""),"")</f>
        <v/>
      </c>
      <c r="S822" t="str">
        <f>IFERROR(IF(AND('Дивиденды по годам'!L822&lt;&gt;"",'Дивиденды по годам'!I822&lt;&gt;"",'Дивиденды по годам'!J822&lt;&gt;"",'Дивиденды по годам'!K822&lt;&gt;"",('Дивиденды по годам'!I822-'Дивиденды по годам'!J822-'Дивиденды по годам'!K822)&lt;&gt;0),'Дивиденды по годам'!L822/('Дивиденды по годам'!I822-'Дивиденды по годам'!J822-'Дивиденды по годам'!K822),""),"")</f>
        <v/>
      </c>
      <c r="T822" t="str">
        <f>IFERROR(IF(AND('Дивиденды по годам'!Q822&lt;&gt;"",'Дивиденды по годам'!I822&lt;&gt;"",'Дивиденды по годам'!V822&lt;&gt;"",('Дивиденды по годам'!I822+'Дивиденды по годам'!V822)&lt;&gt;0),'Дивиденды по годам'!Q822/(('Дивиденды по годам'!I822+'Дивиденды по годам'!V822)/2),""),"")</f>
        <v/>
      </c>
      <c r="U822" t="str">
        <f>IFERROR(IF(AND('Дивиденды по годам'!J822&lt;&gt;"",'Дивиденды по годам'!K822&lt;&gt;"",'Дивиденды по годам'!M822&lt;&gt;"",'Дивиденды по годам'!M822&lt;&gt;0),('Дивиденды по годам'!J822+'Дивиденды по годам'!K822)/'Дивиденды по годам'!M822,""),"")</f>
        <v/>
      </c>
      <c r="V822" t="str">
        <f>IFERROR(IF(AND('Дивиденды по годам'!J822&lt;&gt;"",'Дивиденды по годам'!K822&lt;&gt;"",'Дивиденды по годам'!M822&lt;&gt;"",'Дивиденды по годам'!I822&lt;&gt;0),('Дивиденды по годам'!J822+'Дивиденды по годам'!K822)/'Дивиденды по годам'!I822,""),"")</f>
        <v/>
      </c>
      <c r="W822" t="str">
        <f>IFERROR('Дивиденды по годам'!I822,"")</f>
        <v/>
      </c>
      <c r="X822" cm="1">
        <f t="array" ref="X822">IFERROR(AVERAGE(_xlfn._xlws.FILTER(P$2:P$1073,($C$2:$C$1073=$C822)*($E$2:$E$1073=$E822)*(ROW(P$2:P$1073)&lt;&gt;ROW(P822))*(P$2:P$1073&lt;&gt;""))),"")</f>
        <v>24.814330558799487</v>
      </c>
      <c r="Y822" cm="1">
        <f t="array" ref="Y822">IFERROR(AVERAGE(_xlfn._xlws.FILTER(Q$2:Q$1073,($C$2:$C$1073=$C822)*($E$2:$E$1073=$E822)*(ROW(Q$2:Q$1073)&lt;&gt;ROW(Q822))*(Q$2:Q$1073&lt;&gt;""))),"")</f>
        <v>0.19534356994799099</v>
      </c>
      <c r="Z822" cm="1">
        <f t="array" ref="Z822">IFERROR(AVERAGE(_xlfn._xlws.FILTER(R$2:R$1073,($C$2:$C$1073=$C822)*($E$2:$E$1073=$E822)*(ROW(R$2:R$1073)&lt;&gt;ROW(R822))*(R$2:R$1073&lt;&gt;""))),"")</f>
        <v>9.4863731161179049E-2</v>
      </c>
      <c r="AA822" cm="1">
        <f t="array" ref="AA822">IFERROR(AVERAGE(_xlfn._xlws.FILTER(S$2:S$1073,($C$2:$C$1073=$C822)*($E$2:$E$1073=$E822)*(ROW(S$2:S$1073)&lt;&gt;ROW(S822))*(S$2:S$1073&lt;&gt;""))),"")</f>
        <v>1.8501010961498143</v>
      </c>
      <c r="AB822" cm="1">
        <f t="array" ref="AB822">IFERROR(AVERAGE(_xlfn._xlws.FILTER(T$2:T$1073,($C$2:$C$1073=$C822)*($E$2:$E$1073=$E822)*(ROW(T$2:T$1073)&lt;&gt;ROW(T822))*(T$2:T$1073&lt;&gt;""))),"")</f>
        <v>9.1596142313276091E-2</v>
      </c>
      <c r="AC822" cm="1">
        <f t="array" ref="AC822">IFERROR(AVERAGE(_xlfn._xlws.FILTER(U$2:U$1073,($C$2:$C$1073=$C822)*($E$2:$E$1073=$E822)*(ROW(U$2:U$1073)&lt;&gt;ROW(U822))*(U$2:U$1073&lt;&gt;""))),"")</f>
        <v>21.700846854369502</v>
      </c>
      <c r="AD822" cm="1">
        <f t="array" ref="AD822">IFERROR(AVERAGE(_xlfn._xlws.FILTER(V$2:V$1073,($C$2:$C$1073=$C822)*($E$2:$E$1073=$E822)*(ROW(V$2:V$1073)&lt;&gt;ROW(V822))*(V$2:V$1073&lt;&gt;""))),"")</f>
        <v>0.85910201160215871</v>
      </c>
      <c r="AE822">
        <f>IF('Дивиденды по годам'!M822&lt;0,1,0)</f>
        <v>0</v>
      </c>
    </row>
    <row r="823" spans="1:31" x14ac:dyDescent="0.2">
      <c r="A823" s="7" t="s">
        <v>2281</v>
      </c>
      <c r="B823" t="str">
        <f t="shared" si="132"/>
        <v>OZON IV кв. 2020</v>
      </c>
      <c r="C823">
        <v>2020</v>
      </c>
      <c r="D823">
        <f>SUMIFS(Дивиденды!$C:$C,Дивиденды!$A:$A,A823,Дивиденды!$I:$I,C823)</f>
        <v>0</v>
      </c>
      <c r="E823">
        <v>5</v>
      </c>
      <c r="F823">
        <f t="shared" si="133"/>
        <v>0</v>
      </c>
      <c r="G823">
        <f t="shared" si="134"/>
        <v>3.6763636363636363</v>
      </c>
      <c r="H823">
        <f t="shared" si="135"/>
        <v>0</v>
      </c>
      <c r="I823">
        <f t="shared" si="136"/>
        <v>0.18181818181818182</v>
      </c>
      <c r="J823">
        <f t="shared" si="137"/>
        <v>0</v>
      </c>
      <c r="K823">
        <f t="shared" si="142"/>
        <v>-1.5101604278074872E-2</v>
      </c>
      <c r="L823">
        <f t="shared" si="138"/>
        <v>0</v>
      </c>
      <c r="M823">
        <f t="shared" si="139"/>
        <v>0</v>
      </c>
      <c r="N823">
        <f t="shared" si="140"/>
        <v>0</v>
      </c>
      <c r="O823">
        <f t="shared" si="141"/>
        <v>9.0909090909090912E-2</v>
      </c>
      <c r="P823" t="str">
        <f>IFERROR(LN('Дивиденды по годам'!I823),"")</f>
        <v/>
      </c>
      <c r="Q823" t="str">
        <f>IFERROR('Дивиденды по годам'!G823/'Дивиденды по годам'!I823, "")</f>
        <v/>
      </c>
      <c r="R823" t="str">
        <f>IFERROR(IF(AND('Дивиденды по годам'!N823&lt;&gt;"",'Дивиденды по годам'!U823&lt;&gt;"",'Дивиденды по годам'!U823&lt;&gt;0),'Дивиденды по годам'!N823/'Дивиденды по годам'!U823-1,""),"")</f>
        <v/>
      </c>
      <c r="S823" t="str">
        <f>IFERROR(IF(AND('Дивиденды по годам'!L823&lt;&gt;"",'Дивиденды по годам'!I823&lt;&gt;"",'Дивиденды по годам'!J823&lt;&gt;"",'Дивиденды по годам'!K823&lt;&gt;"",('Дивиденды по годам'!I823-'Дивиденды по годам'!J823-'Дивиденды по годам'!K823)&lt;&gt;0),'Дивиденды по годам'!L823/('Дивиденды по годам'!I823-'Дивиденды по годам'!J823-'Дивиденды по годам'!K823),""),"")</f>
        <v/>
      </c>
      <c r="T823" t="str">
        <f>IFERROR(IF(AND('Дивиденды по годам'!Q823&lt;&gt;"",'Дивиденды по годам'!I823&lt;&gt;"",'Дивиденды по годам'!V823&lt;&gt;"",('Дивиденды по годам'!I823+'Дивиденды по годам'!V823)&lt;&gt;0),'Дивиденды по годам'!Q823/(('Дивиденды по годам'!I823+'Дивиденды по годам'!V823)/2),""),"")</f>
        <v/>
      </c>
      <c r="U823" t="str">
        <f>IFERROR(IF(AND('Дивиденды по годам'!J823&lt;&gt;"",'Дивиденды по годам'!K823&lt;&gt;"",'Дивиденды по годам'!M823&lt;&gt;"",'Дивиденды по годам'!M823&lt;&gt;0),('Дивиденды по годам'!J823+'Дивиденды по годам'!K823)/'Дивиденды по годам'!M823,""),"")</f>
        <v/>
      </c>
      <c r="V823" t="str">
        <f>IFERROR(IF(AND('Дивиденды по годам'!J823&lt;&gt;"",'Дивиденды по годам'!K823&lt;&gt;"",'Дивиденды по годам'!M823&lt;&gt;"",'Дивиденды по годам'!I823&lt;&gt;0),('Дивиденды по годам'!J823+'Дивиденды по годам'!K823)/'Дивиденды по годам'!I823,""),"")</f>
        <v/>
      </c>
      <c r="W823" t="str">
        <f>IFERROR('Дивиденды по годам'!I823,"")</f>
        <v/>
      </c>
      <c r="X823" cm="1">
        <f t="array" ref="X823">IFERROR(AVERAGE(_xlfn._xlws.FILTER(P$2:P$1073,($C$2:$C$1073=$C823)*($E$2:$E$1073=$E823)*(ROW(P$2:P$1073)&lt;&gt;ROW(P823))*(P$2:P$1073&lt;&gt;""))),"")</f>
        <v>25.49408392578281</v>
      </c>
      <c r="Y823" cm="1">
        <f t="array" ref="Y823">IFERROR(AVERAGE(_xlfn._xlws.FILTER(Q$2:Q$1073,($C$2:$C$1073=$C823)*($E$2:$E$1073=$E823)*(ROW(Q$2:Q$1073)&lt;&gt;ROW(Q823))*(Q$2:Q$1073&lt;&gt;""))),"")</f>
        <v>0.23831030393306155</v>
      </c>
      <c r="Z823" cm="1">
        <f t="array" ref="Z823">IFERROR(AVERAGE(_xlfn._xlws.FILTER(R$2:R$1073,($C$2:$C$1073=$C823)*($E$2:$E$1073=$E823)*(ROW(R$2:R$1073)&lt;&gt;ROW(R823))*(R$2:R$1073&lt;&gt;""))),"")</f>
        <v>0.42097945466997094</v>
      </c>
      <c r="AA823" cm="1">
        <f t="array" ref="AA823">IFERROR(AVERAGE(_xlfn._xlws.FILTER(S$2:S$1073,($C$2:$C$1073=$C823)*($E$2:$E$1073=$E823)*(ROW(S$2:S$1073)&lt;&gt;ROW(S823))*(S$2:S$1073&lt;&gt;""))),"")</f>
        <v>1.383012856761217</v>
      </c>
      <c r="AB823" cm="1">
        <f t="array" ref="AB823">IFERROR(AVERAGE(_xlfn._xlws.FILTER(T$2:T$1073,($C$2:$C$1073=$C823)*($E$2:$E$1073=$E823)*(ROW(T$2:T$1073)&lt;&gt;ROW(T823))*(T$2:T$1073&lt;&gt;""))),"")</f>
        <v>0.12042080749921591</v>
      </c>
      <c r="AC823" cm="1">
        <f t="array" ref="AC823">IFERROR(AVERAGE(_xlfn._xlws.FILTER(U$2:U$1073,($C$2:$C$1073=$C823)*($E$2:$E$1073=$E823)*(ROW(U$2:U$1073)&lt;&gt;ROW(U823))*(U$2:U$1073&lt;&gt;""))),"")</f>
        <v>9.6677963358881698</v>
      </c>
      <c r="AD823" cm="1">
        <f t="array" ref="AD823">IFERROR(AVERAGE(_xlfn._xlws.FILTER(V$2:V$1073,($C$2:$C$1073=$C823)*($E$2:$E$1073=$E823)*(ROW(V$2:V$1073)&lt;&gt;ROW(V823))*(V$2:V$1073&lt;&gt;""))),"")</f>
        <v>0.80624783688388657</v>
      </c>
      <c r="AE823">
        <f>IF('Дивиденды по годам'!M823&lt;0,1,0)</f>
        <v>0</v>
      </c>
    </row>
    <row r="824" spans="1:31" x14ac:dyDescent="0.2">
      <c r="A824" s="7" t="s">
        <v>2281</v>
      </c>
      <c r="B824" t="str">
        <f t="shared" si="132"/>
        <v>OZON IV кв. 2019</v>
      </c>
      <c r="C824">
        <v>2019</v>
      </c>
      <c r="D824">
        <f>SUMIFS(Дивиденды!$C:$C,Дивиденды!$A:$A,A824,Дивиденды!$I:$I,C824)</f>
        <v>0</v>
      </c>
      <c r="E824">
        <v>5</v>
      </c>
      <c r="F824">
        <f t="shared" si="133"/>
        <v>0</v>
      </c>
      <c r="G824">
        <f t="shared" si="134"/>
        <v>4.3181818181818183</v>
      </c>
      <c r="H824">
        <f t="shared" si="135"/>
        <v>0</v>
      </c>
      <c r="I824">
        <f t="shared" si="136"/>
        <v>0.18181818181818182</v>
      </c>
      <c r="J824">
        <f t="shared" si="137"/>
        <v>0</v>
      </c>
      <c r="K824">
        <f t="shared" si="142"/>
        <v>8.0199694017231649E-2</v>
      </c>
      <c r="L824">
        <f t="shared" si="138"/>
        <v>0</v>
      </c>
      <c r="M824">
        <f t="shared" si="139"/>
        <v>9.0909090909090912E-2</v>
      </c>
      <c r="N824">
        <f t="shared" si="140"/>
        <v>0</v>
      </c>
      <c r="O824">
        <f t="shared" si="141"/>
        <v>0</v>
      </c>
      <c r="P824" t="str">
        <f>IFERROR(LN('Дивиденды по годам'!I824),"")</f>
        <v/>
      </c>
      <c r="Q824" t="str">
        <f>IFERROR('Дивиденды по годам'!G824/'Дивиденды по годам'!I824, "")</f>
        <v/>
      </c>
      <c r="R824" t="str">
        <f>IFERROR(IF(AND('Дивиденды по годам'!N824&lt;&gt;"",'Дивиденды по годам'!U824&lt;&gt;"",'Дивиденды по годам'!U824&lt;&gt;0),'Дивиденды по годам'!N824/'Дивиденды по годам'!U824-1,""),"")</f>
        <v/>
      </c>
      <c r="S824" t="str">
        <f>IFERROR(IF(AND('Дивиденды по годам'!L824&lt;&gt;"",'Дивиденды по годам'!I824&lt;&gt;"",'Дивиденды по годам'!J824&lt;&gt;"",'Дивиденды по годам'!K824&lt;&gt;"",('Дивиденды по годам'!I824-'Дивиденды по годам'!J824-'Дивиденды по годам'!K824)&lt;&gt;0),'Дивиденды по годам'!L824/('Дивиденды по годам'!I824-'Дивиденды по годам'!J824-'Дивиденды по годам'!K824),""),"")</f>
        <v/>
      </c>
      <c r="T824" t="str">
        <f>IFERROR(IF(AND('Дивиденды по годам'!Q824&lt;&gt;"",'Дивиденды по годам'!I824&lt;&gt;"",'Дивиденды по годам'!V824&lt;&gt;"",('Дивиденды по годам'!I824+'Дивиденды по годам'!V824)&lt;&gt;0),'Дивиденды по годам'!Q824/(('Дивиденды по годам'!I824+'Дивиденды по годам'!V824)/2),""),"")</f>
        <v/>
      </c>
      <c r="U824" t="str">
        <f>IFERROR(IF(AND('Дивиденды по годам'!J824&lt;&gt;"",'Дивиденды по годам'!K824&lt;&gt;"",'Дивиденды по годам'!M824&lt;&gt;"",'Дивиденды по годам'!M824&lt;&gt;0),('Дивиденды по годам'!J824+'Дивиденды по годам'!K824)/'Дивиденды по годам'!M824,""),"")</f>
        <v/>
      </c>
      <c r="V824" t="str">
        <f>IFERROR(IF(AND('Дивиденды по годам'!J824&lt;&gt;"",'Дивиденды по годам'!K824&lt;&gt;"",'Дивиденды по годам'!M824&lt;&gt;"",'Дивиденды по годам'!I824&lt;&gt;0),('Дивиденды по годам'!J824+'Дивиденды по годам'!K824)/'Дивиденды по годам'!I824,""),"")</f>
        <v/>
      </c>
      <c r="W824" t="str">
        <f>IFERROR('Дивиденды по годам'!I824,"")</f>
        <v/>
      </c>
      <c r="X824" cm="1">
        <f t="array" ref="X824">IFERROR(AVERAGE(_xlfn._xlws.FILTER(P$2:P$1073,($C$2:$C$1073=$C824)*($E$2:$E$1073=$E824)*(ROW(P$2:P$1073)&lt;&gt;ROW(P824))*(P$2:P$1073&lt;&gt;""))),"")</f>
        <v>25.699366278152379</v>
      </c>
      <c r="Y824" cm="1">
        <f t="array" ref="Y824">IFERROR(AVERAGE(_xlfn._xlws.FILTER(Q$2:Q$1073,($C$2:$C$1073=$C824)*($E$2:$E$1073=$E824)*(ROW(Q$2:Q$1073)&lt;&gt;ROW(Q824))*(Q$2:Q$1073&lt;&gt;""))),"")</f>
        <v>0.31619951047208333</v>
      </c>
      <c r="Z824" cm="1">
        <f t="array" ref="Z824">IFERROR(AVERAGE(_xlfn._xlws.FILTER(R$2:R$1073,($C$2:$C$1073=$C824)*($E$2:$E$1073=$E824)*(ROW(R$2:R$1073)&lt;&gt;ROW(R824))*(R$2:R$1073&lt;&gt;""))),"")</f>
        <v>0.12795723906733225</v>
      </c>
      <c r="AA824" cm="1">
        <f t="array" ref="AA824">IFERROR(AVERAGE(_xlfn._xlws.FILTER(S$2:S$1073,($C$2:$C$1073=$C824)*($E$2:$E$1073=$E824)*(ROW(S$2:S$1073)&lt;&gt;ROW(S824))*(S$2:S$1073&lt;&gt;""))),"")</f>
        <v>1.4981608959410444</v>
      </c>
      <c r="AB824" cm="1">
        <f t="array" ref="AB824">IFERROR(AVERAGE(_xlfn._xlws.FILTER(T$2:T$1073,($C$2:$C$1073=$C824)*($E$2:$E$1073=$E824)*(ROW(T$2:T$1073)&lt;&gt;ROW(T824))*(T$2:T$1073&lt;&gt;""))),"")</f>
        <v>4.0595347592911959E-2</v>
      </c>
      <c r="AC824" cm="1">
        <f t="array" ref="AC824">IFERROR(AVERAGE(_xlfn._xlws.FILTER(U$2:U$1073,($C$2:$C$1073=$C824)*($E$2:$E$1073=$E824)*(ROW(U$2:U$1073)&lt;&gt;ROW(U824))*(U$2:U$1073&lt;&gt;""))),"")</f>
        <v>9.1460847128214748</v>
      </c>
      <c r="AD824" cm="1">
        <f t="array" ref="AD824">IFERROR(AVERAGE(_xlfn._xlws.FILTER(V$2:V$1073,($C$2:$C$1073=$C824)*($E$2:$E$1073=$E824)*(ROW(V$2:V$1073)&lt;&gt;ROW(V824))*(V$2:V$1073&lt;&gt;""))),"")</f>
        <v>0.79889661521769517</v>
      </c>
      <c r="AE824">
        <f>IF('Дивиденды по годам'!M824&lt;0,1,0)</f>
        <v>0</v>
      </c>
    </row>
    <row r="825" spans="1:31" x14ac:dyDescent="0.2">
      <c r="A825" s="7" t="s">
        <v>2281</v>
      </c>
      <c r="B825" t="str">
        <f t="shared" si="132"/>
        <v>OZON IV кв. 2018</v>
      </c>
      <c r="C825">
        <v>2018</v>
      </c>
      <c r="D825">
        <f>SUMIFS(Дивиденды!$C:$C,Дивиденды!$A:$A,A825,Дивиденды!$I:$I,C825)</f>
        <v>0</v>
      </c>
      <c r="E825">
        <v>5</v>
      </c>
      <c r="F825">
        <f t="shared" si="133"/>
        <v>0</v>
      </c>
      <c r="G825">
        <f t="shared" si="134"/>
        <v>2.5072727272727273</v>
      </c>
      <c r="H825">
        <f t="shared" si="135"/>
        <v>0</v>
      </c>
      <c r="I825">
        <f t="shared" si="136"/>
        <v>0.18181818181818182</v>
      </c>
      <c r="J825">
        <f t="shared" si="137"/>
        <v>0</v>
      </c>
      <c r="K825">
        <f t="shared" si="142"/>
        <v>-3.1077604801900294E-2</v>
      </c>
      <c r="L825">
        <f t="shared" si="138"/>
        <v>0</v>
      </c>
      <c r="M825">
        <f t="shared" si="139"/>
        <v>0</v>
      </c>
      <c r="N825">
        <f t="shared" si="140"/>
        <v>0</v>
      </c>
      <c r="O825">
        <f t="shared" si="141"/>
        <v>0.18181818181818182</v>
      </c>
      <c r="P825" t="str">
        <f>IFERROR(LN('Дивиденды по годам'!I825),"")</f>
        <v/>
      </c>
      <c r="Q825" t="str">
        <f>IFERROR('Дивиденды по годам'!G825/'Дивиденды по годам'!I825, "")</f>
        <v/>
      </c>
      <c r="R825" t="str">
        <f>IFERROR(IF(AND('Дивиденды по годам'!N825&lt;&gt;"",'Дивиденды по годам'!U825&lt;&gt;"",'Дивиденды по годам'!U825&lt;&gt;0),'Дивиденды по годам'!N825/'Дивиденды по годам'!U825-1,""),"")</f>
        <v/>
      </c>
      <c r="S825" t="str">
        <f>IFERROR(IF(AND('Дивиденды по годам'!L825&lt;&gt;"",'Дивиденды по годам'!I825&lt;&gt;"",'Дивиденды по годам'!J825&lt;&gt;"",'Дивиденды по годам'!K825&lt;&gt;"",('Дивиденды по годам'!I825-'Дивиденды по годам'!J825-'Дивиденды по годам'!K825)&lt;&gt;0),'Дивиденды по годам'!L825/('Дивиденды по годам'!I825-'Дивиденды по годам'!J825-'Дивиденды по годам'!K825),""),"")</f>
        <v/>
      </c>
      <c r="T825" t="str">
        <f>IFERROR(IF(AND('Дивиденды по годам'!Q825&lt;&gt;"",'Дивиденды по годам'!I825&lt;&gt;"",'Дивиденды по годам'!V825&lt;&gt;"",('Дивиденды по годам'!I825+'Дивиденды по годам'!V825)&lt;&gt;0),'Дивиденды по годам'!Q825/(('Дивиденды по годам'!I825+'Дивиденды по годам'!V825)/2),""),"")</f>
        <v/>
      </c>
      <c r="U825" t="str">
        <f>IFERROR(IF(AND('Дивиденды по годам'!J825&lt;&gt;"",'Дивиденды по годам'!K825&lt;&gt;"",'Дивиденды по годам'!M825&lt;&gt;"",'Дивиденды по годам'!M825&lt;&gt;0),('Дивиденды по годам'!J825+'Дивиденды по годам'!K825)/'Дивиденды по годам'!M825,""),"")</f>
        <v/>
      </c>
      <c r="V825" t="str">
        <f>IFERROR(IF(AND('Дивиденды по годам'!J825&lt;&gt;"",'Дивиденды по годам'!K825&lt;&gt;"",'Дивиденды по годам'!M825&lt;&gt;"",'Дивиденды по годам'!I825&lt;&gt;0),('Дивиденды по годам'!J825+'Дивиденды по годам'!K825)/'Дивиденды по годам'!I825,""),"")</f>
        <v/>
      </c>
      <c r="W825" t="str">
        <f>IFERROR('Дивиденды по годам'!I825,"")</f>
        <v/>
      </c>
      <c r="X825" cm="1">
        <f t="array" ref="X825">IFERROR(AVERAGE(_xlfn._xlws.FILTER(P$2:P$1073,($C$2:$C$1073=$C825)*($E$2:$E$1073=$E825)*(ROW(P$2:P$1073)&lt;&gt;ROW(P825))*(P$2:P$1073&lt;&gt;""))),"")</f>
        <v>25.637034616478129</v>
      </c>
      <c r="Y825" cm="1">
        <f t="array" ref="Y825">IFERROR(AVERAGE(_xlfn._xlws.FILTER(Q$2:Q$1073,($C$2:$C$1073=$C825)*($E$2:$E$1073=$E825)*(ROW(Q$2:Q$1073)&lt;&gt;ROW(Q825))*(Q$2:Q$1073&lt;&gt;""))),"")</f>
        <v>0.32011777323711499</v>
      </c>
      <c r="Z825" cm="1">
        <f t="array" ref="Z825">IFERROR(AVERAGE(_xlfn._xlws.FILTER(R$2:R$1073,($C$2:$C$1073=$C825)*($E$2:$E$1073=$E825)*(ROW(R$2:R$1073)&lt;&gt;ROW(R825))*(R$2:R$1073&lt;&gt;""))),"")</f>
        <v>6.6616637147635549E-2</v>
      </c>
      <c r="AA825" cm="1">
        <f t="array" ref="AA825">IFERROR(AVERAGE(_xlfn._xlws.FILTER(S$2:S$1073,($C$2:$C$1073=$C825)*($E$2:$E$1073=$E825)*(ROW(S$2:S$1073)&lt;&gt;ROW(S825))*(S$2:S$1073&lt;&gt;""))),"")</f>
        <v>1.205409029032207</v>
      </c>
      <c r="AB825" cm="1">
        <f t="array" ref="AB825">IFERROR(AVERAGE(_xlfn._xlws.FILTER(T$2:T$1073,($C$2:$C$1073=$C825)*($E$2:$E$1073=$E825)*(ROW(T$2:T$1073)&lt;&gt;ROW(T825))*(T$2:T$1073&lt;&gt;""))),"")</f>
        <v>1.7776057117292479E-2</v>
      </c>
      <c r="AC825" cm="1">
        <f t="array" ref="AC825">IFERROR(AVERAGE(_xlfn._xlws.FILTER(U$2:U$1073,($C$2:$C$1073=$C825)*($E$2:$E$1073=$E825)*(ROW(U$2:U$1073)&lt;&gt;ROW(U825))*(U$2:U$1073&lt;&gt;""))),"")</f>
        <v>5.4697894468760913</v>
      </c>
      <c r="AD825" cm="1">
        <f t="array" ref="AD825">IFERROR(AVERAGE(_xlfn._xlws.FILTER(V$2:V$1073,($C$2:$C$1073=$C825)*($E$2:$E$1073=$E825)*(ROW(V$2:V$1073)&lt;&gt;ROW(V825))*(V$2:V$1073&lt;&gt;""))),"")</f>
        <v>0.7760719948431295</v>
      </c>
      <c r="AE825">
        <f>IF('Дивиденды по годам'!M825&lt;0,1,0)</f>
        <v>0</v>
      </c>
    </row>
    <row r="826" spans="1:31" x14ac:dyDescent="0.2">
      <c r="A826" s="7" t="s">
        <v>2281</v>
      </c>
      <c r="B826" t="str">
        <f t="shared" si="132"/>
        <v>OZON IV кв. 2017</v>
      </c>
      <c r="C826">
        <v>2017</v>
      </c>
      <c r="D826">
        <f>SUMIFS(Дивиденды!$C:$C,Дивиденды!$A:$A,A826,Дивиденды!$I:$I,C826)</f>
        <v>0</v>
      </c>
      <c r="E826">
        <v>5</v>
      </c>
      <c r="F826">
        <f t="shared" si="133"/>
        <v>0</v>
      </c>
      <c r="G826">
        <f t="shared" si="134"/>
        <v>3.5318181818181813</v>
      </c>
      <c r="H826">
        <f t="shared" si="135"/>
        <v>0</v>
      </c>
      <c r="I826">
        <f t="shared" si="136"/>
        <v>0.18181818181818182</v>
      </c>
      <c r="J826">
        <f t="shared" si="137"/>
        <v>0</v>
      </c>
      <c r="K826">
        <f t="shared" si="142"/>
        <v>1.4727433992836941E-2</v>
      </c>
      <c r="L826">
        <f t="shared" si="138"/>
        <v>0</v>
      </c>
      <c r="M826">
        <f t="shared" si="139"/>
        <v>9.0909090909090912E-2</v>
      </c>
      <c r="N826">
        <f t="shared" si="140"/>
        <v>0</v>
      </c>
      <c r="O826">
        <f t="shared" si="141"/>
        <v>9.0909090909090912E-2</v>
      </c>
      <c r="P826" t="str">
        <f>IFERROR(LN('Дивиденды по годам'!I826),"")</f>
        <v/>
      </c>
      <c r="Q826" t="str">
        <f>IFERROR('Дивиденды по годам'!G826/'Дивиденды по годам'!I826, "")</f>
        <v/>
      </c>
      <c r="R826" t="str">
        <f>IFERROR(IF(AND('Дивиденды по годам'!N826&lt;&gt;"",'Дивиденды по годам'!U826&lt;&gt;"",'Дивиденды по годам'!U826&lt;&gt;0),'Дивиденды по годам'!N826/'Дивиденды по годам'!U826-1,""),"")</f>
        <v/>
      </c>
      <c r="S826" t="str">
        <f>IFERROR(IF(AND('Дивиденды по годам'!L826&lt;&gt;"",'Дивиденды по годам'!I826&lt;&gt;"",'Дивиденды по годам'!J826&lt;&gt;"",'Дивиденды по годам'!K826&lt;&gt;"",('Дивиденды по годам'!I826-'Дивиденды по годам'!J826-'Дивиденды по годам'!K826)&lt;&gt;0),'Дивиденды по годам'!L826/('Дивиденды по годам'!I826-'Дивиденды по годам'!J826-'Дивиденды по годам'!K826),""),"")</f>
        <v/>
      </c>
      <c r="T826" t="str">
        <f>IFERROR(IF(AND('Дивиденды по годам'!Q826&lt;&gt;"",'Дивиденды по годам'!I826&lt;&gt;"",'Дивиденды по годам'!V826&lt;&gt;"",('Дивиденды по годам'!I826+'Дивиденды по годам'!V826)&lt;&gt;0),'Дивиденды по годам'!Q826/(('Дивиденды по годам'!I826+'Дивиденды по годам'!V826)/2),""),"")</f>
        <v/>
      </c>
      <c r="U826" t="str">
        <f>IFERROR(IF(AND('Дивиденды по годам'!J826&lt;&gt;"",'Дивиденды по годам'!K826&lt;&gt;"",'Дивиденды по годам'!M826&lt;&gt;"",'Дивиденды по годам'!M826&lt;&gt;0),('Дивиденды по годам'!J826+'Дивиденды по годам'!K826)/'Дивиденды по годам'!M826,""),"")</f>
        <v/>
      </c>
      <c r="V826" t="str">
        <f>IFERROR(IF(AND('Дивиденды по годам'!J826&lt;&gt;"",'Дивиденды по годам'!K826&lt;&gt;"",'Дивиденды по годам'!M826&lt;&gt;"",'Дивиденды по годам'!I826&lt;&gt;0),('Дивиденды по годам'!J826+'Дивиденды по годам'!K826)/'Дивиденды по годам'!I826,""),"")</f>
        <v/>
      </c>
      <c r="W826" t="str">
        <f>IFERROR('Дивиденды по годам'!I826,"")</f>
        <v/>
      </c>
      <c r="X826" cm="1">
        <f t="array" ref="X826">IFERROR(AVERAGE(_xlfn._xlws.FILTER(P$2:P$1073,($C$2:$C$1073=$C826)*($E$2:$E$1073=$E826)*(ROW(P$2:P$1073)&lt;&gt;ROW(P826))*(P$2:P$1073&lt;&gt;""))),"")</f>
        <v>27.043369572715513</v>
      </c>
      <c r="Y826" cm="1">
        <f t="array" ref="Y826">IFERROR(AVERAGE(_xlfn._xlws.FILTER(Q$2:Q$1073,($C$2:$C$1073=$C826)*($E$2:$E$1073=$E826)*(ROW(Q$2:Q$1073)&lt;&gt;ROW(Q826))*(Q$2:Q$1073&lt;&gt;""))),"")</f>
        <v>0.54965488260857309</v>
      </c>
      <c r="Z826" cm="1">
        <f t="array" ref="Z826">IFERROR(AVERAGE(_xlfn._xlws.FILTER(R$2:R$1073,($C$2:$C$1073=$C826)*($E$2:$E$1073=$E826)*(ROW(R$2:R$1073)&lt;&gt;ROW(R826))*(R$2:R$1073&lt;&gt;""))),"")</f>
        <v>2.1535666839189949E-2</v>
      </c>
      <c r="AA826" cm="1">
        <f t="array" ref="AA826">IFERROR(AVERAGE(_xlfn._xlws.FILTER(S$2:S$1073,($C$2:$C$1073=$C826)*($E$2:$E$1073=$E826)*(ROW(S$2:S$1073)&lt;&gt;ROW(S826))*(S$2:S$1073&lt;&gt;""))),"")</f>
        <v>1.232616052553424</v>
      </c>
      <c r="AB826" cm="1">
        <f t="array" ref="AB826">IFERROR(AVERAGE(_xlfn._xlws.FILTER(T$2:T$1073,($C$2:$C$1073=$C826)*($E$2:$E$1073=$E826)*(ROW(T$2:T$1073)&lt;&gt;ROW(T826))*(T$2:T$1073&lt;&gt;""))),"")</f>
        <v>6.4245501476224237E-2</v>
      </c>
      <c r="AC826" cm="1">
        <f t="array" ref="AC826">IFERROR(AVERAGE(_xlfn._xlws.FILTER(U$2:U$1073,($C$2:$C$1073=$C826)*($E$2:$E$1073=$E826)*(ROW(U$2:U$1073)&lt;&gt;ROW(U826))*(U$2:U$1073&lt;&gt;""))),"")</f>
        <v>2.3417046689252397</v>
      </c>
      <c r="AD826" cm="1">
        <f t="array" ref="AD826">IFERROR(AVERAGE(_xlfn._xlws.FILTER(V$2:V$1073,($C$2:$C$1073=$C826)*($E$2:$E$1073=$E826)*(ROW(V$2:V$1073)&lt;&gt;ROW(V826))*(V$2:V$1073&lt;&gt;""))),"")</f>
        <v>0.66475018615672188</v>
      </c>
      <c r="AE826">
        <f>IF('Дивиденды по годам'!M826&lt;0,1,0)</f>
        <v>0</v>
      </c>
    </row>
    <row r="827" spans="1:31" x14ac:dyDescent="0.2">
      <c r="A827" s="7" t="s">
        <v>2281</v>
      </c>
      <c r="B827" t="str">
        <f t="shared" si="132"/>
        <v>OZON IV кв. 2016</v>
      </c>
      <c r="C827">
        <v>2016</v>
      </c>
      <c r="D827">
        <f>SUMIFS(Дивиденды!$C:$C,Дивиденды!$A:$A,A827,Дивиденды!$I:$I,C827)</f>
        <v>0</v>
      </c>
      <c r="E827">
        <v>5</v>
      </c>
      <c r="F827">
        <f t="shared" si="133"/>
        <v>0</v>
      </c>
      <c r="G827">
        <f t="shared" si="134"/>
        <v>2.9981818181818181</v>
      </c>
      <c r="H827">
        <f t="shared" si="135"/>
        <v>0</v>
      </c>
      <c r="I827">
        <f t="shared" si="136"/>
        <v>0.18181818181818182</v>
      </c>
      <c r="J827">
        <f t="shared" si="137"/>
        <v>0</v>
      </c>
      <c r="K827">
        <f t="shared" si="142"/>
        <v>2.8790101611202514E-2</v>
      </c>
      <c r="L827">
        <f t="shared" si="138"/>
        <v>0</v>
      </c>
      <c r="M827">
        <f t="shared" si="139"/>
        <v>9.0909090909090912E-2</v>
      </c>
      <c r="N827">
        <f t="shared" si="140"/>
        <v>0</v>
      </c>
      <c r="O827">
        <f t="shared" si="141"/>
        <v>9.0909090909090912E-2</v>
      </c>
      <c r="P827" t="str">
        <f>IFERROR(LN('Дивиденды по годам'!I827),"")</f>
        <v/>
      </c>
      <c r="Q827" t="str">
        <f>IFERROR('Дивиденды по годам'!G827/'Дивиденды по годам'!I827, "")</f>
        <v/>
      </c>
      <c r="R827" t="str">
        <f>IFERROR(IF(AND('Дивиденды по годам'!N827&lt;&gt;"",'Дивиденды по годам'!U827&lt;&gt;"",'Дивиденды по годам'!U827&lt;&gt;0),'Дивиденды по годам'!N827/'Дивиденды по годам'!U827-1,""),"")</f>
        <v/>
      </c>
      <c r="S827" t="str">
        <f>IFERROR(IF(AND('Дивиденды по годам'!L827&lt;&gt;"",'Дивиденды по годам'!I827&lt;&gt;"",'Дивиденды по годам'!J827&lt;&gt;"",'Дивиденды по годам'!K827&lt;&gt;"",('Дивиденды по годам'!I827-'Дивиденды по годам'!J827-'Дивиденды по годам'!K827)&lt;&gt;0),'Дивиденды по годам'!L827/('Дивиденды по годам'!I827-'Дивиденды по годам'!J827-'Дивиденды по годам'!K827),""),"")</f>
        <v/>
      </c>
      <c r="T827" t="str">
        <f>IFERROR(IF(AND('Дивиденды по годам'!Q827&lt;&gt;"",'Дивиденды по годам'!I827&lt;&gt;"",'Дивиденды по годам'!V827&lt;&gt;"",('Дивиденды по годам'!I827+'Дивиденды по годам'!V827)&lt;&gt;0),'Дивиденды по годам'!Q827/(('Дивиденды по годам'!I827+'Дивиденды по годам'!V827)/2),""),"")</f>
        <v/>
      </c>
      <c r="U827" t="str">
        <f>IFERROR(IF(AND('Дивиденды по годам'!J827&lt;&gt;"",'Дивиденды по годам'!K827&lt;&gt;"",'Дивиденды по годам'!M827&lt;&gt;"",'Дивиденды по годам'!M827&lt;&gt;0),('Дивиденды по годам'!J827+'Дивиденды по годам'!K827)/'Дивиденды по годам'!M827,""),"")</f>
        <v/>
      </c>
      <c r="V827" t="str">
        <f>IFERROR(IF(AND('Дивиденды по годам'!J827&lt;&gt;"",'Дивиденды по годам'!K827&lt;&gt;"",'Дивиденды по годам'!M827&lt;&gt;"",'Дивиденды по годам'!I827&lt;&gt;0),('Дивиденды по годам'!J827+'Дивиденды по годам'!K827)/'Дивиденды по годам'!I827,""),"")</f>
        <v/>
      </c>
      <c r="W827" t="str">
        <f>IFERROR('Дивиденды по годам'!I827,"")</f>
        <v/>
      </c>
      <c r="X827" cm="1">
        <f t="array" ref="X827">IFERROR(AVERAGE(_xlfn._xlws.FILTER(P$2:P$1073,($C$2:$C$1073=$C827)*($E$2:$E$1073=$E827)*(ROW(P$2:P$1073)&lt;&gt;ROW(P827))*(P$2:P$1073&lt;&gt;""))),"")</f>
        <v>27.033270353256157</v>
      </c>
      <c r="Y827" cm="1">
        <f t="array" ref="Y827">IFERROR(AVERAGE(_xlfn._xlws.FILTER(Q$2:Q$1073,($C$2:$C$1073=$C827)*($E$2:$E$1073=$E827)*(ROW(Q$2:Q$1073)&lt;&gt;ROW(Q827))*(Q$2:Q$1073&lt;&gt;""))),"")</f>
        <v>0.55978642376097965</v>
      </c>
      <c r="Z827" cm="1">
        <f t="array" ref="Z827">IFERROR(AVERAGE(_xlfn._xlws.FILTER(R$2:R$1073,($C$2:$C$1073=$C827)*($E$2:$E$1073=$E827)*(ROW(R$2:R$1073)&lt;&gt;ROW(R827))*(R$2:R$1073&lt;&gt;""))),"")</f>
        <v>5.3242460909894707E-3</v>
      </c>
      <c r="AA827" cm="1">
        <f t="array" ref="AA827">IFERROR(AVERAGE(_xlfn._xlws.FILTER(S$2:S$1073,($C$2:$C$1073=$C827)*($E$2:$E$1073=$E827)*(ROW(S$2:S$1073)&lt;&gt;ROW(S827))*(S$2:S$1073&lt;&gt;""))),"")</f>
        <v>1.1315702315112175</v>
      </c>
      <c r="AB827" cm="1">
        <f t="array" ref="AB827">IFERROR(AVERAGE(_xlfn._xlws.FILTER(T$2:T$1073,($C$2:$C$1073=$C827)*($E$2:$E$1073=$E827)*(ROW(T$2:T$1073)&lt;&gt;ROW(T827))*(T$2:T$1073&lt;&gt;""))),"")</f>
        <v>5.4869409864042928E-2</v>
      </c>
      <c r="AC827" cm="1">
        <f t="array" ref="AC827">IFERROR(AVERAGE(_xlfn._xlws.FILTER(U$2:U$1073,($C$2:$C$1073=$C827)*($E$2:$E$1073=$E827)*(ROW(U$2:U$1073)&lt;&gt;ROW(U827))*(U$2:U$1073&lt;&gt;""))),"")</f>
        <v>2.0086781177717459</v>
      </c>
      <c r="AD827" cm="1">
        <f t="array" ref="AD827">IFERROR(AVERAGE(_xlfn._xlws.FILTER(V$2:V$1073,($C$2:$C$1073=$C827)*($E$2:$E$1073=$E827)*(ROW(V$2:V$1073)&lt;&gt;ROW(V827))*(V$2:V$1073&lt;&gt;""))),"")</f>
        <v>0.64409028041831262</v>
      </c>
      <c r="AE827">
        <f>IF('Дивиденды по годам'!M827&lt;0,1,0)</f>
        <v>0</v>
      </c>
    </row>
    <row r="828" spans="1:31" x14ac:dyDescent="0.2">
      <c r="A828" s="7" t="s">
        <v>2281</v>
      </c>
      <c r="B828" t="str">
        <f t="shared" si="132"/>
        <v>OZON IV кв. 2015</v>
      </c>
      <c r="C828">
        <v>2015</v>
      </c>
      <c r="D828">
        <f>SUMIFS(Дивиденды!$C:$C,Дивиденды!$A:$A,A828,Дивиденды!$I:$I,C828)</f>
        <v>0</v>
      </c>
      <c r="E828">
        <v>5</v>
      </c>
      <c r="F828">
        <f t="shared" si="133"/>
        <v>0</v>
      </c>
      <c r="G828">
        <f t="shared" si="134"/>
        <v>2.3218181818181818</v>
      </c>
      <c r="H828">
        <f t="shared" si="135"/>
        <v>0</v>
      </c>
      <c r="I828">
        <f t="shared" si="136"/>
        <v>0.18181818181818182</v>
      </c>
      <c r="J828">
        <f t="shared" si="137"/>
        <v>0</v>
      </c>
      <c r="K828">
        <f t="shared" si="142"/>
        <v>4.855464114120716E-2</v>
      </c>
      <c r="L828">
        <f t="shared" si="138"/>
        <v>0</v>
      </c>
      <c r="M828">
        <f t="shared" si="139"/>
        <v>9.0909090909090912E-2</v>
      </c>
      <c r="N828">
        <f t="shared" si="140"/>
        <v>0</v>
      </c>
      <c r="O828">
        <f t="shared" si="141"/>
        <v>9.0909090909090912E-2</v>
      </c>
      <c r="P828" t="str">
        <f>IFERROR(LN('Дивиденды по годам'!I828),"")</f>
        <v/>
      </c>
      <c r="Q828" t="str">
        <f>IFERROR('Дивиденды по годам'!G828/'Дивиденды по годам'!I828, "")</f>
        <v/>
      </c>
      <c r="R828" t="str">
        <f>IFERROR(IF(AND('Дивиденды по годам'!N828&lt;&gt;"",'Дивиденды по годам'!U828&lt;&gt;"",'Дивиденды по годам'!U828&lt;&gt;0),'Дивиденды по годам'!N828/'Дивиденды по годам'!U828-1,""),"")</f>
        <v/>
      </c>
      <c r="S828" t="str">
        <f>IFERROR(IF(AND('Дивиденды по годам'!L828&lt;&gt;"",'Дивиденды по годам'!I828&lt;&gt;"",'Дивиденды по годам'!J828&lt;&gt;"",'Дивиденды по годам'!K828&lt;&gt;"",('Дивиденды по годам'!I828-'Дивиденды по годам'!J828-'Дивиденды по годам'!K828)&lt;&gt;0),'Дивиденды по годам'!L828/('Дивиденды по годам'!I828-'Дивиденды по годам'!J828-'Дивиденды по годам'!K828),""),"")</f>
        <v/>
      </c>
      <c r="T828" t="str">
        <f>IFERROR(IF(AND('Дивиденды по годам'!Q828&lt;&gt;"",'Дивиденды по годам'!I828&lt;&gt;"",'Дивиденды по годам'!V828&lt;&gt;"",('Дивиденды по годам'!I828+'Дивиденды по годам'!V828)&lt;&gt;0),'Дивиденды по годам'!Q828/(('Дивиденды по годам'!I828+'Дивиденды по годам'!V828)/2),""),"")</f>
        <v/>
      </c>
      <c r="U828" t="str">
        <f>IFERROR(IF(AND('Дивиденды по годам'!J828&lt;&gt;"",'Дивиденды по годам'!K828&lt;&gt;"",'Дивиденды по годам'!M828&lt;&gt;"",'Дивиденды по годам'!M828&lt;&gt;0),('Дивиденды по годам'!J828+'Дивиденды по годам'!K828)/'Дивиденды по годам'!M828,""),"")</f>
        <v/>
      </c>
      <c r="V828" t="str">
        <f>IFERROR(IF(AND('Дивиденды по годам'!J828&lt;&gt;"",'Дивиденды по годам'!K828&lt;&gt;"",'Дивиденды по годам'!M828&lt;&gt;"",'Дивиденды по годам'!I828&lt;&gt;0),('Дивиденды по годам'!J828+'Дивиденды по годам'!K828)/'Дивиденды по годам'!I828,""),"")</f>
        <v/>
      </c>
      <c r="W828" t="str">
        <f>IFERROR('Дивиденды по годам'!I828,"")</f>
        <v/>
      </c>
      <c r="X828" cm="1">
        <f t="array" ref="X828">IFERROR(AVERAGE(_xlfn._xlws.FILTER(P$2:P$1073,($C$2:$C$1073=$C828)*($E$2:$E$1073=$E828)*(ROW(P$2:P$1073)&lt;&gt;ROW(P828))*(P$2:P$1073&lt;&gt;""))),"")</f>
        <v>27.120501452642756</v>
      </c>
      <c r="Y828" cm="1">
        <f t="array" ref="Y828">IFERROR(AVERAGE(_xlfn._xlws.FILTER(Q$2:Q$1073,($C$2:$C$1073=$C828)*($E$2:$E$1073=$E828)*(ROW(Q$2:Q$1073)&lt;&gt;ROW(Q828))*(Q$2:Q$1073&lt;&gt;""))),"")</f>
        <v>0.53878421833606405</v>
      </c>
      <c r="Z828" cm="1">
        <f t="array" ref="Z828">IFERROR(AVERAGE(_xlfn._xlws.FILTER(R$2:R$1073,($C$2:$C$1073=$C828)*($E$2:$E$1073=$E828)*(ROW(R$2:R$1073)&lt;&gt;ROW(R828))*(R$2:R$1073&lt;&gt;""))),"")</f>
        <v>2.2276174497294132E-2</v>
      </c>
      <c r="AA828" cm="1">
        <f t="array" ref="AA828">IFERROR(AVERAGE(_xlfn._xlws.FILTER(S$2:S$1073,($C$2:$C$1073=$C828)*($E$2:$E$1073=$E828)*(ROW(S$2:S$1073)&lt;&gt;ROW(S828))*(S$2:S$1073&lt;&gt;""))),"")</f>
        <v>1.2586396116380416</v>
      </c>
      <c r="AB828" cm="1">
        <f t="array" ref="AB828">IFERROR(AVERAGE(_xlfn._xlws.FILTER(T$2:T$1073,($C$2:$C$1073=$C828)*($E$2:$E$1073=$E828)*(ROW(T$2:T$1073)&lt;&gt;ROW(T828))*(T$2:T$1073&lt;&gt;""))),"")</f>
        <v>5.0636797509896803E-2</v>
      </c>
      <c r="AC828" cm="1">
        <f t="array" ref="AC828">IFERROR(AVERAGE(_xlfn._xlws.FILTER(U$2:U$1073,($C$2:$C$1073=$C828)*($E$2:$E$1073=$E828)*(ROW(U$2:U$1073)&lt;&gt;ROW(U828))*(U$2:U$1073&lt;&gt;""))),"")</f>
        <v>2.0444165107764372</v>
      </c>
      <c r="AD828" cm="1">
        <f t="array" ref="AD828">IFERROR(AVERAGE(_xlfn._xlws.FILTER(V$2:V$1073,($C$2:$C$1073=$C828)*($E$2:$E$1073=$E828)*(ROW(V$2:V$1073)&lt;&gt;ROW(V828))*(V$2:V$1073&lt;&gt;""))),"")</f>
        <v>0.64472959627967386</v>
      </c>
      <c r="AE828">
        <f>IF('Дивиденды по годам'!M828&lt;0,1,0)</f>
        <v>0</v>
      </c>
    </row>
    <row r="829" spans="1:31" x14ac:dyDescent="0.2">
      <c r="A829" s="7" t="s">
        <v>2281</v>
      </c>
      <c r="B829" t="str">
        <f t="shared" si="132"/>
        <v>OZON IV кв. 2014</v>
      </c>
      <c r="C829">
        <v>2014</v>
      </c>
      <c r="D829">
        <f>SUMIFS(Дивиденды!$C:$C,Дивиденды!$A:$A,A829,Дивиденды!$I:$I,C829)</f>
        <v>0</v>
      </c>
      <c r="E829">
        <v>5</v>
      </c>
      <c r="F829">
        <f t="shared" si="133"/>
        <v>0</v>
      </c>
      <c r="G829">
        <f t="shared" si="134"/>
        <v>2.6454545454545451</v>
      </c>
      <c r="H829">
        <f t="shared" si="135"/>
        <v>0</v>
      </c>
      <c r="I829">
        <f t="shared" si="136"/>
        <v>0.18181818181818182</v>
      </c>
      <c r="J829">
        <f t="shared" si="137"/>
        <v>0</v>
      </c>
      <c r="K829">
        <f t="shared" si="142"/>
        <v>1.3814271370946419E-2</v>
      </c>
      <c r="L829">
        <f t="shared" si="138"/>
        <v>0</v>
      </c>
      <c r="M829">
        <f t="shared" si="139"/>
        <v>0.18181818181818182</v>
      </c>
      <c r="N829">
        <f t="shared" si="140"/>
        <v>0</v>
      </c>
      <c r="O829">
        <f t="shared" si="141"/>
        <v>0</v>
      </c>
      <c r="P829" t="str">
        <f>IFERROR(LN('Дивиденды по годам'!I829),"")</f>
        <v/>
      </c>
      <c r="Q829" t="str">
        <f>IFERROR('Дивиденды по годам'!G829/'Дивиденды по годам'!I829, "")</f>
        <v/>
      </c>
      <c r="R829" t="str">
        <f>IFERROR(IF(AND('Дивиденды по годам'!N829&lt;&gt;"",'Дивиденды по годам'!U829&lt;&gt;"",'Дивиденды по годам'!U829&lt;&gt;0),'Дивиденды по годам'!N829/'Дивиденды по годам'!U829-1,""),"")</f>
        <v/>
      </c>
      <c r="S829" t="str">
        <f>IFERROR(IF(AND('Дивиденды по годам'!L829&lt;&gt;"",'Дивиденды по годам'!I829&lt;&gt;"",'Дивиденды по годам'!J829&lt;&gt;"",'Дивиденды по годам'!K829&lt;&gt;"",('Дивиденды по годам'!I829-'Дивиденды по годам'!J829-'Дивиденды по годам'!K829)&lt;&gt;0),'Дивиденды по годам'!L829/('Дивиденды по годам'!I829-'Дивиденды по годам'!J829-'Дивиденды по годам'!K829),""),"")</f>
        <v/>
      </c>
      <c r="T829" t="str">
        <f>IFERROR(IF(AND('Дивиденды по годам'!Q829&lt;&gt;"",'Дивиденды по годам'!I829&lt;&gt;"",'Дивиденды по годам'!V829&lt;&gt;"",('Дивиденды по годам'!I829+'Дивиденды по годам'!V829)&lt;&gt;0),'Дивиденды по годам'!Q829/(('Дивиденды по годам'!I829+'Дивиденды по годам'!V829)/2),""),"")</f>
        <v/>
      </c>
      <c r="U829" t="str">
        <f>IFERROR(IF(AND('Дивиденды по годам'!J829&lt;&gt;"",'Дивиденды по годам'!K829&lt;&gt;"",'Дивиденды по годам'!M829&lt;&gt;"",'Дивиденды по годам'!M829&lt;&gt;0),('Дивиденды по годам'!J829+'Дивиденды по годам'!K829)/'Дивиденды по годам'!M829,""),"")</f>
        <v/>
      </c>
      <c r="V829" t="str">
        <f>IFERROR(IF(AND('Дивиденды по годам'!J829&lt;&gt;"",'Дивиденды по годам'!K829&lt;&gt;"",'Дивиденды по годам'!M829&lt;&gt;"",'Дивиденды по годам'!I829&lt;&gt;0),('Дивиденды по годам'!J829+'Дивиденды по годам'!K829)/'Дивиденды по годам'!I829,""),"")</f>
        <v/>
      </c>
      <c r="W829" t="str">
        <f>IFERROR('Дивиденды по годам'!I829,"")</f>
        <v/>
      </c>
      <c r="X829" cm="1">
        <f t="array" ref="X829">IFERROR(AVERAGE(_xlfn._xlws.FILTER(P$2:P$1073,($C$2:$C$1073=$C829)*($E$2:$E$1073=$E829)*(ROW(P$2:P$1073)&lt;&gt;ROW(P829))*(P$2:P$1073&lt;&gt;""))),"")</f>
        <v>27.082830809151307</v>
      </c>
      <c r="Y829" cm="1">
        <f t="array" ref="Y829">IFERROR(AVERAGE(_xlfn._xlws.FILTER(Q$2:Q$1073,($C$2:$C$1073=$C829)*($E$2:$E$1073=$E829)*(ROW(Q$2:Q$1073)&lt;&gt;ROW(Q829))*(Q$2:Q$1073&lt;&gt;""))),"")</f>
        <v>0.5450738024161359</v>
      </c>
      <c r="Z829" cm="1">
        <f t="array" ref="Z829">IFERROR(AVERAGE(_xlfn._xlws.FILTER(R$2:R$1073,($C$2:$C$1073=$C829)*($E$2:$E$1073=$E829)*(ROW(R$2:R$1073)&lt;&gt;ROW(R829))*(R$2:R$1073&lt;&gt;""))),"")</f>
        <v>2.9557764869601155E-2</v>
      </c>
      <c r="AA829" cm="1">
        <f t="array" ref="AA829">IFERROR(AVERAGE(_xlfn._xlws.FILTER(S$2:S$1073,($C$2:$C$1073=$C829)*($E$2:$E$1073=$E829)*(ROW(S$2:S$1073)&lt;&gt;ROW(S829))*(S$2:S$1073&lt;&gt;""))),"")</f>
        <v>1.1443286994996271</v>
      </c>
      <c r="AB829" cm="1">
        <f t="array" ref="AB829">IFERROR(AVERAGE(_xlfn._xlws.FILTER(T$2:T$1073,($C$2:$C$1073=$C829)*($E$2:$E$1073=$E829)*(ROW(T$2:T$1073)&lt;&gt;ROW(T829))*(T$2:T$1073&lt;&gt;""))),"")</f>
        <v>5.9751382409195454E-2</v>
      </c>
      <c r="AC829" cm="1">
        <f t="array" ref="AC829">IFERROR(AVERAGE(_xlfn._xlws.FILTER(U$2:U$1073,($C$2:$C$1073=$C829)*($E$2:$E$1073=$E829)*(ROW(U$2:U$1073)&lt;&gt;ROW(U829))*(U$2:U$1073&lt;&gt;""))),"")</f>
        <v>1.8184271482015117</v>
      </c>
      <c r="AD829" cm="1">
        <f t="array" ref="AD829">IFERROR(AVERAGE(_xlfn._xlws.FILTER(V$2:V$1073,($C$2:$C$1073=$C829)*($E$2:$E$1073=$E829)*(ROW(V$2:V$1073)&lt;&gt;ROW(V829))*(V$2:V$1073&lt;&gt;""))),"")</f>
        <v>0.62943537689886697</v>
      </c>
      <c r="AE829">
        <f>IF('Дивиденды по годам'!M829&lt;0,1,0)</f>
        <v>0</v>
      </c>
    </row>
    <row r="830" spans="1:31" x14ac:dyDescent="0.2">
      <c r="A830" s="7" t="s">
        <v>2281</v>
      </c>
      <c r="B830" t="str">
        <f t="shared" si="132"/>
        <v>OZON IV кв. 2013</v>
      </c>
      <c r="C830">
        <v>2013</v>
      </c>
      <c r="D830">
        <f>SUMIFS(Дивиденды!$C:$C,Дивиденды!$A:$A,A830,Дивиденды!$I:$I,C830)</f>
        <v>0</v>
      </c>
      <c r="E830">
        <v>5</v>
      </c>
      <c r="F830">
        <f t="shared" si="133"/>
        <v>0</v>
      </c>
      <c r="G830">
        <f t="shared" si="134"/>
        <v>2.4490909090909092</v>
      </c>
      <c r="H830">
        <f t="shared" si="135"/>
        <v>0</v>
      </c>
      <c r="I830">
        <f t="shared" si="136"/>
        <v>0.18181818181818182</v>
      </c>
      <c r="J830">
        <f t="shared" si="137"/>
        <v>0</v>
      </c>
      <c r="K830">
        <f t="shared" si="142"/>
        <v>8.2745033991384775E-2</v>
      </c>
      <c r="L830">
        <f t="shared" si="138"/>
        <v>0</v>
      </c>
      <c r="M830">
        <f t="shared" si="139"/>
        <v>0.18181818181818182</v>
      </c>
      <c r="N830">
        <f t="shared" si="140"/>
        <v>0</v>
      </c>
      <c r="O830">
        <f t="shared" si="141"/>
        <v>0</v>
      </c>
      <c r="P830" t="str">
        <f>IFERROR(LN('Дивиденды по годам'!I830),"")</f>
        <v/>
      </c>
      <c r="Q830" t="str">
        <f>IFERROR('Дивиденды по годам'!G830/'Дивиденды по годам'!I830, "")</f>
        <v/>
      </c>
      <c r="R830" t="str">
        <f>IFERROR(IF(AND('Дивиденды по годам'!N830&lt;&gt;"",'Дивиденды по годам'!U830&lt;&gt;"",'Дивиденды по годам'!U830&lt;&gt;0),'Дивиденды по годам'!N830/'Дивиденды по годам'!U830-1,""),"")</f>
        <v/>
      </c>
      <c r="S830" t="str">
        <f>IFERROR(IF(AND('Дивиденды по годам'!L830&lt;&gt;"",'Дивиденды по годам'!I830&lt;&gt;"",'Дивиденды по годам'!J830&lt;&gt;"",'Дивиденды по годам'!K830&lt;&gt;"",('Дивиденды по годам'!I830-'Дивиденды по годам'!J830-'Дивиденды по годам'!K830)&lt;&gt;0),'Дивиденды по годам'!L830/('Дивиденды по годам'!I830-'Дивиденды по годам'!J830-'Дивиденды по годам'!K830),""),"")</f>
        <v/>
      </c>
      <c r="T830" t="str">
        <f>IFERROR(IF(AND('Дивиденды по годам'!Q830&lt;&gt;"",'Дивиденды по годам'!I830&lt;&gt;"",'Дивиденды по годам'!V830&lt;&gt;"",('Дивиденды по годам'!I830+'Дивиденды по годам'!V830)&lt;&gt;0),'Дивиденды по годам'!Q830/(('Дивиденды по годам'!I830+'Дивиденды по годам'!V830)/2),""),"")</f>
        <v/>
      </c>
      <c r="U830" t="str">
        <f>IFERROR(IF(AND('Дивиденды по годам'!J830&lt;&gt;"",'Дивиденды по годам'!K830&lt;&gt;"",'Дивиденды по годам'!M830&lt;&gt;"",'Дивиденды по годам'!M830&lt;&gt;0),('Дивиденды по годам'!J830+'Дивиденды по годам'!K830)/'Дивиденды по годам'!M830,""),"")</f>
        <v/>
      </c>
      <c r="V830" t="str">
        <f>IFERROR(IF(AND('Дивиденды по годам'!J830&lt;&gt;"",'Дивиденды по годам'!K830&lt;&gt;"",'Дивиденды по годам'!M830&lt;&gt;"",'Дивиденды по годам'!I830&lt;&gt;0),('Дивиденды по годам'!J830+'Дивиденды по годам'!K830)/'Дивиденды по годам'!I830,""),"")</f>
        <v/>
      </c>
      <c r="W830" t="str">
        <f>IFERROR('Дивиденды по годам'!I830,"")</f>
        <v/>
      </c>
      <c r="X830" cm="1">
        <f t="array" ref="X830">IFERROR(AVERAGE(_xlfn._xlws.FILTER(P$2:P$1073,($C$2:$C$1073=$C830)*($E$2:$E$1073=$E830)*(ROW(P$2:P$1073)&lt;&gt;ROW(P830))*(P$2:P$1073&lt;&gt;""))),"")</f>
        <v>26.980715693689852</v>
      </c>
      <c r="Y830" cm="1">
        <f t="array" ref="Y830">IFERROR(AVERAGE(_xlfn._xlws.FILTER(Q$2:Q$1073,($C$2:$C$1073=$C830)*($E$2:$E$1073=$E830)*(ROW(Q$2:Q$1073)&lt;&gt;ROW(Q830))*(Q$2:Q$1073&lt;&gt;""))),"")</f>
        <v>0.57737124989859567</v>
      </c>
      <c r="Z830" cm="1">
        <f t="array" ref="Z830">IFERROR(AVERAGE(_xlfn._xlws.FILTER(R$2:R$1073,($C$2:$C$1073=$C830)*($E$2:$E$1073=$E830)*(ROW(R$2:R$1073)&lt;&gt;ROW(R830))*(R$2:R$1073&lt;&gt;""))),"")</f>
        <v>-3.1761213433143809E-2</v>
      </c>
      <c r="AA830" t="str" cm="1">
        <f t="array" ref="AA830">IFERROR(AVERAGE(_xlfn._xlws.FILTER(S$2:S$1073,($C$2:$C$1073=$C830)*($E$2:$E$1073=$E830)*(ROW(S$2:S$1073)&lt;&gt;ROW(S830))*(S$2:S$1073&lt;&gt;""))),"")</f>
        <v/>
      </c>
      <c r="AB830" cm="1">
        <f t="array" ref="AB830">IFERROR(AVERAGE(_xlfn._xlws.FILTER(T$2:T$1073,($C$2:$C$1073=$C830)*($E$2:$E$1073=$E830)*(ROW(T$2:T$1073)&lt;&gt;ROW(T830))*(T$2:T$1073&lt;&gt;""))),"")</f>
        <v>0.10442686382361807</v>
      </c>
      <c r="AC830" cm="1">
        <f t="array" ref="AC830">IFERROR(AVERAGE(_xlfn._xlws.FILTER(U$2:U$1073,($C$2:$C$1073=$C830)*($E$2:$E$1073=$E830)*(ROW(U$2:U$1073)&lt;&gt;ROW(U830))*(U$2:U$1073&lt;&gt;""))),"")</f>
        <v>1.9310921377733694</v>
      </c>
      <c r="AD830" cm="1">
        <f t="array" ref="AD830">IFERROR(AVERAGE(_xlfn._xlws.FILTER(V$2:V$1073,($C$2:$C$1073=$C830)*($E$2:$E$1073=$E830)*(ROW(V$2:V$1073)&lt;&gt;ROW(V830))*(V$2:V$1073&lt;&gt;""))),"")</f>
        <v>0.65823029186247406</v>
      </c>
      <c r="AE830">
        <f>IF('Дивиденды по годам'!M830&lt;0,1,0)</f>
        <v>0</v>
      </c>
    </row>
    <row r="831" spans="1:31" x14ac:dyDescent="0.2">
      <c r="A831" s="7" t="s">
        <v>2281</v>
      </c>
      <c r="B831" t="str">
        <f t="shared" si="132"/>
        <v>OZON IV кв. 2012</v>
      </c>
      <c r="C831">
        <v>2012</v>
      </c>
      <c r="D831">
        <f>SUMIFS(Дивиденды!$C:$C,Дивиденды!$A:$A,A831,Дивиденды!$I:$I,C831)</f>
        <v>0</v>
      </c>
      <c r="E831">
        <v>5</v>
      </c>
      <c r="F831">
        <f t="shared" si="133"/>
        <v>0</v>
      </c>
      <c r="G831">
        <f t="shared" si="134"/>
        <v>1.5490909090909091</v>
      </c>
      <c r="H831">
        <f t="shared" si="135"/>
        <v>0</v>
      </c>
      <c r="I831">
        <f t="shared" si="136"/>
        <v>0.18181818181818182</v>
      </c>
      <c r="J831">
        <f t="shared" si="137"/>
        <v>0</v>
      </c>
      <c r="K831">
        <f t="shared" si="142"/>
        <v>-4.4393542728732291E-2</v>
      </c>
      <c r="L831">
        <f t="shared" si="138"/>
        <v>0</v>
      </c>
      <c r="M831">
        <f t="shared" si="139"/>
        <v>0</v>
      </c>
      <c r="N831">
        <f t="shared" si="140"/>
        <v>0</v>
      </c>
      <c r="O831">
        <f t="shared" si="141"/>
        <v>0.18181818181818182</v>
      </c>
      <c r="P831" t="str">
        <f>IFERROR(LN('Дивиденды по годам'!I831),"")</f>
        <v/>
      </c>
      <c r="Q831" t="str">
        <f>IFERROR('Дивиденды по годам'!G831/'Дивиденды по годам'!I831, "")</f>
        <v/>
      </c>
      <c r="R831" t="str">
        <f>IFERROR(IF(AND('Дивиденды по годам'!N831&lt;&gt;"",'Дивиденды по годам'!U831&lt;&gt;"",'Дивиденды по годам'!U831&lt;&gt;0),'Дивиденды по годам'!N831/'Дивиденды по годам'!U831-1,""),"")</f>
        <v/>
      </c>
      <c r="S831" t="str">
        <f>IFERROR(IF(AND('Дивиденды по годам'!L831&lt;&gt;"",'Дивиденды по годам'!I831&lt;&gt;"",'Дивиденды по годам'!J831&lt;&gt;"",'Дивиденды по годам'!K831&lt;&gt;"",('Дивиденды по годам'!I831-'Дивиденды по годам'!J831-'Дивиденды по годам'!K831)&lt;&gt;0),'Дивиденды по годам'!L831/('Дивиденды по годам'!I831-'Дивиденды по годам'!J831-'Дивиденды по годам'!K831),""),"")</f>
        <v/>
      </c>
      <c r="T831" t="str">
        <f>IFERROR(IF(AND('Дивиденды по годам'!Q831&lt;&gt;"",'Дивиденды по годам'!I831&lt;&gt;"",'Дивиденды по годам'!V831&lt;&gt;"",('Дивиденды по годам'!I831+'Дивиденды по годам'!V831)&lt;&gt;0),'Дивиденды по годам'!Q831/(('Дивиденды по годам'!I831+'Дивиденды по годам'!V831)/2),""),"")</f>
        <v/>
      </c>
      <c r="U831" t="str">
        <f>IFERROR(IF(AND('Дивиденды по годам'!J831&lt;&gt;"",'Дивиденды по годам'!K831&lt;&gt;"",'Дивиденды по годам'!M831&lt;&gt;"",'Дивиденды по годам'!M831&lt;&gt;0),('Дивиденды по годам'!J831+'Дивиденды по годам'!K831)/'Дивиденды по годам'!M831,""),"")</f>
        <v/>
      </c>
      <c r="V831" t="str">
        <f>IFERROR(IF(AND('Дивиденды по годам'!J831&lt;&gt;"",'Дивиденды по годам'!K831&lt;&gt;"",'Дивиденды по годам'!M831&lt;&gt;"",'Дивиденды по годам'!I831&lt;&gt;0),('Дивиденды по годам'!J831+'Дивиденды по годам'!K831)/'Дивиденды по годам'!I831,""),"")</f>
        <v/>
      </c>
      <c r="W831" t="str">
        <f>IFERROR('Дивиденды по годам'!I831,"")</f>
        <v/>
      </c>
      <c r="X831" cm="1">
        <f t="array" ref="X831">IFERROR(AVERAGE(_xlfn._xlws.FILTER(P$2:P$1073,($C$2:$C$1073=$C831)*($E$2:$E$1073=$E831)*(ROW(P$2:P$1073)&lt;&gt;ROW(P831))*(P$2:P$1073&lt;&gt;""))),"")</f>
        <v>26.976167524823197</v>
      </c>
      <c r="Y831" cm="1">
        <f t="array" ref="Y831">IFERROR(AVERAGE(_xlfn._xlws.FILTER(Q$2:Q$1073,($C$2:$C$1073=$C831)*($E$2:$E$1073=$E831)*(ROW(Q$2:Q$1073)&lt;&gt;ROW(Q831))*(Q$2:Q$1073&lt;&gt;""))),"")</f>
        <v>0.63141065735920243</v>
      </c>
      <c r="Z831" cm="1">
        <f t="array" ref="Z831">IFERROR(AVERAGE(_xlfn._xlws.FILTER(R$2:R$1073,($C$2:$C$1073=$C831)*($E$2:$E$1073=$E831)*(ROW(R$2:R$1073)&lt;&gt;ROW(R831))*(R$2:R$1073&lt;&gt;""))),"")</f>
        <v>8.5252436531932485E-2</v>
      </c>
      <c r="AA831" t="str" cm="1">
        <f t="array" ref="AA831">IFERROR(AVERAGE(_xlfn._xlws.FILTER(S$2:S$1073,($C$2:$C$1073=$C831)*($E$2:$E$1073=$E831)*(ROW(S$2:S$1073)&lt;&gt;ROW(S831))*(S$2:S$1073&lt;&gt;""))),"")</f>
        <v/>
      </c>
      <c r="AB831" cm="1">
        <f t="array" ref="AB831">IFERROR(AVERAGE(_xlfn._xlws.FILTER(T$2:T$1073,($C$2:$C$1073=$C831)*($E$2:$E$1073=$E831)*(ROW(T$2:T$1073)&lt;&gt;ROW(T831))*(T$2:T$1073&lt;&gt;""))),"")</f>
        <v>6.4593053680603474E-2</v>
      </c>
      <c r="AC831" cm="1">
        <f t="array" ref="AC831">IFERROR(AVERAGE(_xlfn._xlws.FILTER(U$2:U$1073,($C$2:$C$1073=$C831)*($E$2:$E$1073=$E831)*(ROW(U$2:U$1073)&lt;&gt;ROW(U831))*(U$2:U$1073&lt;&gt;""))),"")</f>
        <v>2.1186181543330798</v>
      </c>
      <c r="AD831" cm="1">
        <f t="array" ref="AD831">IFERROR(AVERAGE(_xlfn._xlws.FILTER(V$2:V$1073,($C$2:$C$1073=$C831)*($E$2:$E$1073=$E831)*(ROW(V$2:V$1073)&lt;&gt;ROW(V831))*(V$2:V$1073&lt;&gt;""))),"")</f>
        <v>0.6515550916449</v>
      </c>
      <c r="AE831">
        <f>IF('Дивиденды по годам'!M831&lt;0,1,0)</f>
        <v>0</v>
      </c>
    </row>
    <row r="832" spans="1:31" x14ac:dyDescent="0.2">
      <c r="A832" s="7" t="s">
        <v>2281</v>
      </c>
      <c r="B832" t="str">
        <f t="shared" si="132"/>
        <v>OZON IV кв. 2011</v>
      </c>
      <c r="C832">
        <v>2011</v>
      </c>
      <c r="D832">
        <f>SUMIFS(Дивиденды!$C:$C,Дивиденды!$A:$A,A832,Дивиденды!$I:$I,C832)</f>
        <v>0</v>
      </c>
      <c r="E832">
        <v>5</v>
      </c>
      <c r="F832">
        <f t="shared" si="133"/>
        <v>0</v>
      </c>
      <c r="G832">
        <f t="shared" si="134"/>
        <v>1.7645454545454546</v>
      </c>
      <c r="H832">
        <f t="shared" si="135"/>
        <v>0</v>
      </c>
      <c r="I832">
        <f t="shared" si="136"/>
        <v>0.18181818181818182</v>
      </c>
      <c r="J832">
        <f t="shared" si="137"/>
        <v>0</v>
      </c>
      <c r="K832">
        <f t="shared" si="142"/>
        <v>0.29508419260826407</v>
      </c>
      <c r="L832">
        <f t="shared" si="138"/>
        <v>0</v>
      </c>
      <c r="M832">
        <f t="shared" si="139"/>
        <v>0.18181818181818182</v>
      </c>
      <c r="N832">
        <f t="shared" si="140"/>
        <v>0</v>
      </c>
      <c r="O832">
        <f t="shared" si="141"/>
        <v>0</v>
      </c>
      <c r="P832" t="str">
        <f>IFERROR(LN('Дивиденды по годам'!I832),"")</f>
        <v/>
      </c>
      <c r="Q832" t="str">
        <f>IFERROR('Дивиденды по годам'!G832/'Дивиденды по годам'!I832, "")</f>
        <v/>
      </c>
      <c r="R832" t="str">
        <f>IFERROR(IF(AND('Дивиденды по годам'!N832&lt;&gt;"",'Дивиденды по годам'!U832&lt;&gt;"",'Дивиденды по годам'!U832&lt;&gt;0),'Дивиденды по годам'!N832/'Дивиденды по годам'!U832-1,""),"")</f>
        <v/>
      </c>
      <c r="S832" t="str">
        <f>IFERROR(IF(AND('Дивиденды по годам'!L832&lt;&gt;"",'Дивиденды по годам'!I832&lt;&gt;"",'Дивиденды по годам'!J832&lt;&gt;"",'Дивиденды по годам'!K832&lt;&gt;"",('Дивиденды по годам'!I832-'Дивиденды по годам'!J832-'Дивиденды по годам'!K832)&lt;&gt;0),'Дивиденды по годам'!L832/('Дивиденды по годам'!I832-'Дивиденды по годам'!J832-'Дивиденды по годам'!K832),""),"")</f>
        <v/>
      </c>
      <c r="T832" t="str">
        <f>IFERROR(IF(AND('Дивиденды по годам'!Q832&lt;&gt;"",'Дивиденды по годам'!I832&lt;&gt;"",'Дивиденды по годам'!V832&lt;&gt;"",('Дивиденды по годам'!I832+'Дивиденды по годам'!V832)&lt;&gt;0),'Дивиденды по годам'!Q832/(('Дивиденды по годам'!I832+'Дивиденды по годам'!V832)/2),""),"")</f>
        <v/>
      </c>
      <c r="U832" t="str">
        <f>IFERROR(IF(AND('Дивиденды по годам'!J832&lt;&gt;"",'Дивиденды по годам'!K832&lt;&gt;"",'Дивиденды по годам'!M832&lt;&gt;"",'Дивиденды по годам'!M832&lt;&gt;0),('Дивиденды по годам'!J832+'Дивиденды по годам'!K832)/'Дивиденды по годам'!M832,""),"")</f>
        <v/>
      </c>
      <c r="V832" t="str">
        <f>IFERROR(IF(AND('Дивиденды по годам'!J832&lt;&gt;"",'Дивиденды по годам'!K832&lt;&gt;"",'Дивиденды по годам'!M832&lt;&gt;"",'Дивиденды по годам'!I832&lt;&gt;0),('Дивиденды по годам'!J832+'Дивиденды по годам'!K832)/'Дивиденды по годам'!I832,""),"")</f>
        <v/>
      </c>
      <c r="W832" t="str">
        <f>IFERROR('Дивиденды по годам'!I832,"")</f>
        <v/>
      </c>
      <c r="X832" cm="1">
        <f t="array" ref="X832">IFERROR(AVERAGE(_xlfn._xlws.FILTER(P$2:P$1073,($C$2:$C$1073=$C832)*($E$2:$E$1073=$E832)*(ROW(P$2:P$1073)&lt;&gt;ROW(P832))*(P$2:P$1073&lt;&gt;""))),"")</f>
        <v>26.959846755112331</v>
      </c>
      <c r="Y832" cm="1">
        <f t="array" ref="Y832">IFERROR(AVERAGE(_xlfn._xlws.FILTER(Q$2:Q$1073,($C$2:$C$1073=$C832)*($E$2:$E$1073=$E832)*(ROW(Q$2:Q$1073)&lt;&gt;ROW(Q832))*(Q$2:Q$1073&lt;&gt;""))),"")</f>
        <v>0.64168629722093962</v>
      </c>
      <c r="Z832" t="str" cm="1">
        <f t="array" ref="Z832">IFERROR(AVERAGE(_xlfn._xlws.FILTER(R$2:R$1073,($C$2:$C$1073=$C832)*($E$2:$E$1073=$E832)*(ROW(R$2:R$1073)&lt;&gt;ROW(R832))*(R$2:R$1073&lt;&gt;""))),"")</f>
        <v/>
      </c>
      <c r="AA832" t="str" cm="1">
        <f t="array" ref="AA832">IFERROR(AVERAGE(_xlfn._xlws.FILTER(S$2:S$1073,($C$2:$C$1073=$C832)*($E$2:$E$1073=$E832)*(ROW(S$2:S$1073)&lt;&gt;ROW(S832))*(S$2:S$1073&lt;&gt;""))),"")</f>
        <v/>
      </c>
      <c r="AB832" t="str" cm="1">
        <f t="array" ref="AB832">IFERROR(AVERAGE(_xlfn._xlws.FILTER(T$2:T$1073,($C$2:$C$1073=$C832)*($E$2:$E$1073=$E832)*(ROW(T$2:T$1073)&lt;&gt;ROW(T832))*(T$2:T$1073&lt;&gt;""))),"")</f>
        <v/>
      </c>
      <c r="AC832" cm="1">
        <f t="array" ref="AC832">IFERROR(AVERAGE(_xlfn._xlws.FILTER(U$2:U$1073,($C$2:$C$1073=$C832)*($E$2:$E$1073=$E832)*(ROW(U$2:U$1073)&lt;&gt;ROW(U832))*(U$2:U$1073&lt;&gt;""))),"")</f>
        <v>0.9076461410986616</v>
      </c>
      <c r="AD832" cm="1">
        <f t="array" ref="AD832">IFERROR(AVERAGE(_xlfn._xlws.FILTER(V$2:V$1073,($C$2:$C$1073=$C832)*($E$2:$E$1073=$E832)*(ROW(V$2:V$1073)&lt;&gt;ROW(V832))*(V$2:V$1073&lt;&gt;""))),"")</f>
        <v>0.47579376570118254</v>
      </c>
      <c r="AE832">
        <f>IF('Дивиденды по годам'!M832&lt;0,1,0)</f>
        <v>0</v>
      </c>
    </row>
    <row r="833" spans="1:31" x14ac:dyDescent="0.2">
      <c r="A833" s="7" t="s">
        <v>2281</v>
      </c>
      <c r="B833" t="str">
        <f t="shared" si="132"/>
        <v>OZON IV кв. 2010</v>
      </c>
      <c r="C833">
        <v>2010</v>
      </c>
      <c r="D833">
        <f>SUMIFS(Дивиденды!$C:$C,Дивиденды!$A:$A,A833,Дивиденды!$I:$I,C833)</f>
        <v>0</v>
      </c>
      <c r="E833">
        <v>5</v>
      </c>
      <c r="F833">
        <f t="shared" si="133"/>
        <v>0</v>
      </c>
      <c r="G833">
        <f t="shared" si="134"/>
        <v>1.4227272727272726</v>
      </c>
      <c r="H833">
        <f t="shared" si="135"/>
        <v>0</v>
      </c>
      <c r="I833">
        <f t="shared" si="136"/>
        <v>0.18181818181818182</v>
      </c>
      <c r="J833" t="str">
        <f t="shared" si="137"/>
        <v/>
      </c>
      <c r="K833" t="str">
        <f t="shared" si="142"/>
        <v/>
      </c>
      <c r="L833" t="str">
        <f t="shared" si="138"/>
        <v/>
      </c>
      <c r="M833" t="str">
        <f t="shared" si="139"/>
        <v/>
      </c>
      <c r="N833" t="str">
        <f t="shared" si="140"/>
        <v/>
      </c>
      <c r="O833" t="str">
        <f t="shared" si="141"/>
        <v/>
      </c>
      <c r="P833" t="str">
        <f>IFERROR(LN('Дивиденды по годам'!I833),"")</f>
        <v/>
      </c>
      <c r="Q833" t="str">
        <f>IFERROR('Дивиденды по годам'!G833/'Дивиденды по годам'!I833, "")</f>
        <v/>
      </c>
      <c r="R833" t="str">
        <f>IFERROR(IF(AND('Дивиденды по годам'!N833&lt;&gt;"",'Дивиденды по годам'!U833&lt;&gt;"",'Дивиденды по годам'!U833&lt;&gt;0),'Дивиденды по годам'!N833/'Дивиденды по годам'!U833-1,""),"")</f>
        <v/>
      </c>
      <c r="S833" t="str">
        <f>IFERROR(IF(AND('Дивиденды по годам'!L833&lt;&gt;"",'Дивиденды по годам'!I833&lt;&gt;"",'Дивиденды по годам'!J833&lt;&gt;"",'Дивиденды по годам'!K833&lt;&gt;"",('Дивиденды по годам'!I833-'Дивиденды по годам'!J833-'Дивиденды по годам'!K833)&lt;&gt;0),'Дивиденды по годам'!L833/('Дивиденды по годам'!I833-'Дивиденды по годам'!J833-'Дивиденды по годам'!K833),""),"")</f>
        <v/>
      </c>
      <c r="T833" t="str">
        <f>IFERROR(IF(AND('Дивиденды по годам'!Q833&lt;&gt;"",'Дивиденды по годам'!I833&lt;&gt;"",'Дивиденды по годам'!V833&lt;&gt;"",('Дивиденды по годам'!I833+'Дивиденды по годам'!V833)&lt;&gt;0),'Дивиденды по годам'!Q833/(('Дивиденды по годам'!I833+'Дивиденды по годам'!V833)/2),""),"")</f>
        <v/>
      </c>
      <c r="U833" t="str">
        <f>IFERROR(IF(AND('Дивиденды по годам'!J833&lt;&gt;"",'Дивиденды по годам'!K833&lt;&gt;"",'Дивиденды по годам'!M833&lt;&gt;"",'Дивиденды по годам'!M833&lt;&gt;0),('Дивиденды по годам'!J833+'Дивиденды по годам'!K833)/'Дивиденды по годам'!M833,""),"")</f>
        <v/>
      </c>
      <c r="V833" t="str">
        <f>IFERROR(IF(AND('Дивиденды по годам'!J833&lt;&gt;"",'Дивиденды по годам'!K833&lt;&gt;"",'Дивиденды по годам'!M833&lt;&gt;"",'Дивиденды по годам'!I833&lt;&gt;0),('Дивиденды по годам'!J833+'Дивиденды по годам'!K833)/'Дивиденды по годам'!I833,""),"")</f>
        <v/>
      </c>
      <c r="W833" t="str">
        <f>IFERROR('Дивиденды по годам'!I833,"")</f>
        <v/>
      </c>
      <c r="X833" t="str" cm="1">
        <f t="array" ref="X833">IFERROR(AVERAGE(_xlfn._xlws.FILTER(P$2:P$1073,($C$2:$C$1073=$C833)*($E$2:$E$1073=$E833)*(ROW(P$2:P$1073)&lt;&gt;ROW(P833))*(P$2:P$1073&lt;&gt;""))),"")</f>
        <v/>
      </c>
      <c r="Y833" t="str" cm="1">
        <f t="array" ref="Y833">IFERROR(AVERAGE(_xlfn._xlws.FILTER(Q$2:Q$1073,($C$2:$C$1073=$C833)*($E$2:$E$1073=$E833)*(ROW(Q$2:Q$1073)&lt;&gt;ROW(Q833))*(Q$2:Q$1073&lt;&gt;""))),"")</f>
        <v/>
      </c>
      <c r="Z833" t="str" cm="1">
        <f t="array" ref="Z833">IFERROR(AVERAGE(_xlfn._xlws.FILTER(R$2:R$1073,($C$2:$C$1073=$C833)*($E$2:$E$1073=$E833)*(ROW(R$2:R$1073)&lt;&gt;ROW(R833))*(R$2:R$1073&lt;&gt;""))),"")</f>
        <v/>
      </c>
      <c r="AA833" t="str" cm="1">
        <f t="array" ref="AA833">IFERROR(AVERAGE(_xlfn._xlws.FILTER(S$2:S$1073,($C$2:$C$1073=$C833)*($E$2:$E$1073=$E833)*(ROW(S$2:S$1073)&lt;&gt;ROW(S833))*(S$2:S$1073&lt;&gt;""))),"")</f>
        <v/>
      </c>
      <c r="AB833" t="str" cm="1">
        <f t="array" ref="AB833">IFERROR(AVERAGE(_xlfn._xlws.FILTER(T$2:T$1073,($C$2:$C$1073=$C833)*($E$2:$E$1073=$E833)*(ROW(T$2:T$1073)&lt;&gt;ROW(T833))*(T$2:T$1073&lt;&gt;""))),"")</f>
        <v/>
      </c>
      <c r="AC833" t="str" cm="1">
        <f t="array" ref="AC833">IFERROR(AVERAGE(_xlfn._xlws.FILTER(U$2:U$1073,($C$2:$C$1073=$C833)*($E$2:$E$1073=$E833)*(ROW(U$2:U$1073)&lt;&gt;ROW(U833))*(U$2:U$1073&lt;&gt;""))),"")</f>
        <v/>
      </c>
      <c r="AD833" t="str" cm="1">
        <f t="array" ref="AD833">IFERROR(AVERAGE(_xlfn._xlws.FILTER(V$2:V$1073,($C$2:$C$1073=$C833)*($E$2:$E$1073=$E833)*(ROW(V$2:V$1073)&lt;&gt;ROW(V833))*(V$2:V$1073&lt;&gt;""))),"")</f>
        <v/>
      </c>
      <c r="AE833">
        <f>IF('Дивиденды по годам'!M833&lt;0,1,0)</f>
        <v>0</v>
      </c>
    </row>
    <row r="834" spans="1:31" x14ac:dyDescent="0.2">
      <c r="A834" s="7" t="s">
        <v>2284</v>
      </c>
      <c r="B834" t="str">
        <f t="shared" si="132"/>
        <v>POSI IV кв. 2025</v>
      </c>
      <c r="C834">
        <v>2025</v>
      </c>
      <c r="D834">
        <f>SUMIFS(Дивиденды!$C:$C,Дивиденды!$A:$A,A834,Дивиденды!$I:$I,C834)</f>
        <v>0</v>
      </c>
      <c r="E834">
        <v>5</v>
      </c>
      <c r="F834">
        <f t="shared" si="133"/>
        <v>0</v>
      </c>
      <c r="G834">
        <f t="shared" si="134"/>
        <v>51.49636363636364</v>
      </c>
      <c r="H834">
        <f t="shared" si="135"/>
        <v>0</v>
      </c>
      <c r="I834">
        <f t="shared" si="136"/>
        <v>0.54545454545454541</v>
      </c>
      <c r="J834">
        <f t="shared" si="137"/>
        <v>-1</v>
      </c>
      <c r="K834">
        <f t="shared" si="142"/>
        <v>6.7751176543258809E-2</v>
      </c>
      <c r="L834">
        <f t="shared" si="138"/>
        <v>0</v>
      </c>
      <c r="M834">
        <f t="shared" si="139"/>
        <v>0.36363636363636365</v>
      </c>
      <c r="N834">
        <f t="shared" si="140"/>
        <v>1</v>
      </c>
      <c r="O834">
        <f t="shared" si="141"/>
        <v>0.45454545454545453</v>
      </c>
      <c r="P834" t="str">
        <f>IFERROR(LN('Дивиденды по годам'!I834),"")</f>
        <v/>
      </c>
      <c r="Q834" t="str">
        <f>IFERROR('Дивиденды по годам'!G834/'Дивиденды по годам'!I834, "")</f>
        <v/>
      </c>
      <c r="R834" t="str">
        <f>IFERROR(IF(AND('Дивиденды по годам'!N834&lt;&gt;"",'Дивиденды по годам'!U834&lt;&gt;"",'Дивиденды по годам'!U834&lt;&gt;0),'Дивиденды по годам'!N834/'Дивиденды по годам'!U834-1,""),"")</f>
        <v/>
      </c>
      <c r="S834" t="str">
        <f>IFERROR(IF(AND('Дивиденды по годам'!L834&lt;&gt;"",'Дивиденды по годам'!I834&lt;&gt;"",'Дивиденды по годам'!J834&lt;&gt;"",'Дивиденды по годам'!K834&lt;&gt;"",('Дивиденды по годам'!I834-'Дивиденды по годам'!J834-'Дивиденды по годам'!K834)&lt;&gt;0),'Дивиденды по годам'!L834/('Дивиденды по годам'!I834-'Дивиденды по годам'!J834-'Дивиденды по годам'!K834),""),"")</f>
        <v/>
      </c>
      <c r="T834" t="str">
        <f>IFERROR(IF(AND('Дивиденды по годам'!Q834&lt;&gt;"",'Дивиденды по годам'!I834&lt;&gt;"",'Дивиденды по годам'!V834&lt;&gt;"",('Дивиденды по годам'!I834+'Дивиденды по годам'!V834)&lt;&gt;0),'Дивиденды по годам'!Q834/(('Дивиденды по годам'!I834+'Дивиденды по годам'!V834)/2),""),"")</f>
        <v/>
      </c>
      <c r="U834" t="str">
        <f>IFERROR(IF(AND('Дивиденды по годам'!J834&lt;&gt;"",'Дивиденды по годам'!K834&lt;&gt;"",'Дивиденды по годам'!M834&lt;&gt;"",'Дивиденды по годам'!M834&lt;&gt;0),('Дивиденды по годам'!J834+'Дивиденды по годам'!K834)/'Дивиденды по годам'!M834,""),"")</f>
        <v/>
      </c>
      <c r="V834" t="str">
        <f>IFERROR(IF(AND('Дивиденды по годам'!J834&lt;&gt;"",'Дивиденды по годам'!K834&lt;&gt;"",'Дивиденды по годам'!M834&lt;&gt;"",'Дивиденды по годам'!I834&lt;&gt;0),('Дивиденды по годам'!J834+'Дивиденды по годам'!K834)/'Дивиденды по годам'!I834,""),"")</f>
        <v/>
      </c>
      <c r="W834" t="str">
        <f>IFERROR('Дивиденды по годам'!I834,"")</f>
        <v/>
      </c>
      <c r="X834" cm="1">
        <f t="array" ref="X834">IFERROR(AVERAGE(_xlfn._xlws.FILTER(P$2:P$1073,($C$2:$C$1073=$C834)*($E$2:$E$1073=$E834)*(ROW(P$2:P$1073)&lt;&gt;ROW(P834))*(P$2:P$1073&lt;&gt;""))),"")</f>
        <v>26.521286940703849</v>
      </c>
      <c r="Y834" cm="1">
        <f t="array" ref="Y834">IFERROR(AVERAGE(_xlfn._xlws.FILTER(Q$2:Q$1073,($C$2:$C$1073=$C834)*($E$2:$E$1073=$E834)*(ROW(Q$2:Q$1073)&lt;&gt;ROW(Q834))*(Q$2:Q$1073&lt;&gt;""))),"")</f>
        <v>0.19369353703050501</v>
      </c>
      <c r="Z834" cm="1">
        <f t="array" ref="Z834">IFERROR(AVERAGE(_xlfn._xlws.FILTER(R$2:R$1073,($C$2:$C$1073=$C834)*($E$2:$E$1073=$E834)*(ROW(R$2:R$1073)&lt;&gt;ROW(R834))*(R$2:R$1073&lt;&gt;""))),"")</f>
        <v>0.14131329588399896</v>
      </c>
      <c r="AA834" cm="1">
        <f t="array" ref="AA834">IFERROR(AVERAGE(_xlfn._xlws.FILTER(S$2:S$1073,($C$2:$C$1073=$C834)*($E$2:$E$1073=$E834)*(ROW(S$2:S$1073)&lt;&gt;ROW(S834))*(S$2:S$1073&lt;&gt;""))),"")</f>
        <v>0.69198231878475358</v>
      </c>
      <c r="AB834" cm="1">
        <f t="array" ref="AB834">IFERROR(AVERAGE(_xlfn._xlws.FILTER(T$2:T$1073,($C$2:$C$1073=$C834)*($E$2:$E$1073=$E834)*(ROW(T$2:T$1073)&lt;&gt;ROW(T834))*(T$2:T$1073&lt;&gt;""))),"")</f>
        <v>0.12648274488223432</v>
      </c>
      <c r="AC834" cm="1">
        <f t="array" ref="AC834">IFERROR(AVERAGE(_xlfn._xlws.FILTER(U$2:U$1073,($C$2:$C$1073=$C834)*($E$2:$E$1073=$E834)*(ROW(U$2:U$1073)&lt;&gt;ROW(U834))*(U$2:U$1073&lt;&gt;""))),"")</f>
        <v>14.735041078316815</v>
      </c>
      <c r="AD834" cm="1">
        <f t="array" ref="AD834">IFERROR(AVERAGE(_xlfn._xlws.FILTER(V$2:V$1073,($C$2:$C$1073=$C834)*($E$2:$E$1073=$E834)*(ROW(V$2:V$1073)&lt;&gt;ROW(V834))*(V$2:V$1073&lt;&gt;""))),"")</f>
        <v>0.73030007244080331</v>
      </c>
      <c r="AE834">
        <f>IF('Дивиденды по годам'!M834&lt;0,1,0)</f>
        <v>0</v>
      </c>
    </row>
    <row r="835" spans="1:31" x14ac:dyDescent="0.2">
      <c r="A835" s="7" t="s">
        <v>2284</v>
      </c>
      <c r="B835" t="str">
        <f t="shared" ref="B835:B898" si="143">A835&amp;" "&amp;
"IV"
&amp;" кв. "&amp;C835</f>
        <v>POSI IV кв. 2024</v>
      </c>
      <c r="C835">
        <v>2024</v>
      </c>
      <c r="D835">
        <f>SUMIFS(Дивиденды!$C:$C,Дивиденды!$A:$A,A835,Дивиденды!$I:$I,C835)</f>
        <v>4.5599999999999996</v>
      </c>
      <c r="E835">
        <v>5</v>
      </c>
      <c r="F835">
        <f t="shared" ref="F835:F898" si="144">D835</f>
        <v>4.5599999999999996</v>
      </c>
      <c r="G835">
        <f t="shared" ref="G835:G898" si="145">AVERAGEIFS($D:$D,$E:$E,E835,$C:$C,C835,$A:$A,"&lt;&gt;"&amp;A835)</f>
        <v>101.75</v>
      </c>
      <c r="H835">
        <f t="shared" ref="H835:H898" si="146">IF(D835&gt;0,1,0)</f>
        <v>1</v>
      </c>
      <c r="I835">
        <f t="shared" ref="I835:I898" si="147">IFERROR((COUNTIFS($E:$E,E835,$C:$C,C835,$H:$H,1)-H835)/(COUNTIFS($E:$E,E835,$C:$C,C835)-1),0)</f>
        <v>0.54545454545454541</v>
      </c>
      <c r="J835">
        <f t="shared" ref="J835:J898" si="148">IF(A836&lt;&gt;A835,"",IF(D835=D836,0,IF(AND(D836=0,D835&lt;&gt;0), 1,(D835-D836)/D836)))</f>
        <v>-0.96925151719487523</v>
      </c>
      <c r="K835">
        <f t="shared" si="142"/>
        <v>0.31338133813381341</v>
      </c>
      <c r="L835">
        <f t="shared" ref="L835:L898" si="149">IF(J835&lt;&gt;"",IF(J835&gt;0,1,0),"")</f>
        <v>0</v>
      </c>
      <c r="M835">
        <f t="shared" ref="M835:M898" si="150">IFERROR(AVERAGEIFS($L:$L,$E:$E,E835,$C:$C,C835,$A:$A,"&lt;&gt;"&amp;A835),"")</f>
        <v>0.36363636363636365</v>
      </c>
      <c r="N835">
        <f t="shared" ref="N835:N898" si="151">IF(J835&lt;&gt;"",IF(J835&lt;0,1,0),"")</f>
        <v>1</v>
      </c>
      <c r="O835">
        <f t="shared" ref="O835:O898" si="152">IFERROR(AVERAGEIFS($N:$N,$E:$E,E835,$C:$C,C835,$A:$A,"&lt;&gt;"&amp;A835),"")</f>
        <v>9.0909090909090912E-2</v>
      </c>
      <c r="P835">
        <f>IFERROR(LN('Дивиденды по годам'!I835),"")</f>
        <v>24.688241626047766</v>
      </c>
      <c r="Q835">
        <f>IFERROR('Дивиденды по годам'!G835/'Дивиденды по годам'!I835, "")</f>
        <v>6.2210084323879249E-2</v>
      </c>
      <c r="R835">
        <f>IFERROR(IF(AND('Дивиденды по годам'!N835&lt;&gt;"",'Дивиденды по годам'!U835&lt;&gt;"",'Дивиденды по годам'!U835&lt;&gt;0),'Дивиденды по годам'!N835/'Дивиденды по годам'!U835-1,""),"")</f>
        <v>0.10104345506990819</v>
      </c>
      <c r="S835">
        <f>IFERROR(IF(AND('Дивиденды по годам'!L835&lt;&gt;"",'Дивиденды по годам'!I835&lt;&gt;"",'Дивиденды по годам'!J835&lt;&gt;"",'Дивиденды по годам'!K835&lt;&gt;"",('Дивиденды по годам'!I835-'Дивиденды по годам'!J835-'Дивиденды по годам'!K835)&lt;&gt;0),'Дивиденды по годам'!L835/('Дивиденды по годам'!I835-'Дивиденды по годам'!J835-'Дивиденды по годам'!K835),""),"")</f>
        <v>0.55639321768590011</v>
      </c>
      <c r="T835">
        <f>IFERROR(IF(AND('Дивиденды по годам'!Q835&lt;&gt;"",'Дивиденды по годам'!I835&lt;&gt;"",'Дивиденды по годам'!V835&lt;&gt;"",('Дивиденды по годам'!I835+'Дивиденды по годам'!V835)&lt;&gt;0),'Дивиденды по годам'!Q835/(('Дивиденды по годам'!I835+'Дивиденды по годам'!V835)/2),""),"")</f>
        <v>9.0376114872826749E-2</v>
      </c>
      <c r="U835">
        <f>IFERROR(IF(AND('Дивиденды по годам'!J835&lt;&gt;"",'Дивиденды по годам'!K835&lt;&gt;"",'Дивиденды по годам'!M835&lt;&gt;"",'Дивиденды по годам'!M835&lt;&gt;0),('Дивиденды по годам'!J835+'Дивиденды по годам'!K835)/'Дивиденды по годам'!M835,""),"")</f>
        <v>2.0902500981548298</v>
      </c>
      <c r="V835">
        <f>IFERROR(IF(AND('Дивиденды по годам'!J835&lt;&gt;"",'Дивиденды по годам'!K835&lt;&gt;"",'Дивиденды по годам'!M835&lt;&gt;"",'Дивиденды по годам'!I835&lt;&gt;0),('Дивиденды по годам'!J835+'Дивиденды по годам'!K835)/'Дивиденды по годам'!I835,""),"")</f>
        <v>0.67640159591060478</v>
      </c>
      <c r="W835">
        <f>IFERROR('Дивиденды по годам'!I835,"")</f>
        <v>52718993000</v>
      </c>
      <c r="X835" cm="1">
        <f t="array" ref="X835">IFERROR(AVERAGE(_xlfn._xlws.FILTER(P$2:P$1073,($C$2:$C$1073=$C835)*($E$2:$E$1073=$E835)*(ROW(P$2:P$1073)&lt;&gt;ROW(P835))*(P$2:P$1073&lt;&gt;""))),"")</f>
        <v>25.408794490497005</v>
      </c>
      <c r="Y835" cm="1">
        <f t="array" ref="Y835">IFERROR(AVERAGE(_xlfn._xlws.FILTER(Q$2:Q$1073,($C$2:$C$1073=$C835)*($E$2:$E$1073=$E835)*(ROW(Q$2:Q$1073)&lt;&gt;ROW(Q835))*(Q$2:Q$1073&lt;&gt;""))),"")</f>
        <v>0.14277452111917682</v>
      </c>
      <c r="Z835" cm="1">
        <f t="array" ref="Z835">IFERROR(AVERAGE(_xlfn._xlws.FILTER(R$2:R$1073,($C$2:$C$1073=$C835)*($E$2:$E$1073=$E835)*(ROW(R$2:R$1073)&lt;&gt;ROW(R835))*(R$2:R$1073&lt;&gt;""))),"")</f>
        <v>0.28461448381084042</v>
      </c>
      <c r="AA835" cm="1">
        <f t="array" ref="AA835">IFERROR(AVERAGE(_xlfn._xlws.FILTER(S$2:S$1073,($C$2:$C$1073=$C835)*($E$2:$E$1073=$E835)*(ROW(S$2:S$1073)&lt;&gt;ROW(S835))*(S$2:S$1073&lt;&gt;""))),"")</f>
        <v>-0.29245840317238408</v>
      </c>
      <c r="AB835" cm="1">
        <f t="array" ref="AB835">IFERROR(AVERAGE(_xlfn._xlws.FILTER(T$2:T$1073,($C$2:$C$1073=$C835)*($E$2:$E$1073=$E835)*(ROW(T$2:T$1073)&lt;&gt;ROW(T835))*(T$2:T$1073&lt;&gt;""))),"")</f>
        <v>0.21229244999303218</v>
      </c>
      <c r="AC835" cm="1">
        <f t="array" ref="AC835">IFERROR(AVERAGE(_xlfn._xlws.FILTER(U$2:U$1073,($C$2:$C$1073=$C835)*($E$2:$E$1073=$E835)*(ROW(U$2:U$1073)&lt;&gt;ROW(U835))*(U$2:U$1073&lt;&gt;""))),"")</f>
        <v>-12.512088825231213</v>
      </c>
      <c r="AD835" cm="1">
        <f t="array" ref="AD835">IFERROR(AVERAGE(_xlfn._xlws.FILTER(V$2:V$1073,($C$2:$C$1073=$C835)*($E$2:$E$1073=$E835)*(ROW(V$2:V$1073)&lt;&gt;ROW(V835))*(V$2:V$1073&lt;&gt;""))),"")</f>
        <v>0.69562088792782406</v>
      </c>
      <c r="AE835">
        <f>IF('Дивиденды по годам'!M835&lt;0,1,0)</f>
        <v>0</v>
      </c>
    </row>
    <row r="836" spans="1:31" x14ac:dyDescent="0.2">
      <c r="A836" s="7" t="s">
        <v>2284</v>
      </c>
      <c r="B836" t="str">
        <f t="shared" si="143"/>
        <v>POSI IV кв. 2023</v>
      </c>
      <c r="C836">
        <v>2023</v>
      </c>
      <c r="D836">
        <f>SUMIFS(Дивиденды!$C:$C,Дивиденды!$A:$A,A836,Дивиденды!$I:$I,C836)</f>
        <v>148.30000000000001</v>
      </c>
      <c r="E836">
        <v>5</v>
      </c>
      <c r="F836">
        <f t="shared" si="144"/>
        <v>148.30000000000001</v>
      </c>
      <c r="G836">
        <f t="shared" si="145"/>
        <v>3.7327272727272729</v>
      </c>
      <c r="H836">
        <f t="shared" si="146"/>
        <v>1</v>
      </c>
      <c r="I836">
        <f t="shared" si="147"/>
        <v>0.18181818181818182</v>
      </c>
      <c r="J836">
        <f t="shared" si="148"/>
        <v>2.8519480519480522</v>
      </c>
      <c r="K836">
        <f t="shared" ref="K836:K899" si="153">IFERROR(AVERAGEIFS($J:$J,$E:$E,E836,$C:$C,C836,$A:$A,"&lt;&gt;"&amp;A836),"")</f>
        <v>1.2057486419980092E-2</v>
      </c>
      <c r="L836">
        <f t="shared" si="149"/>
        <v>1</v>
      </c>
      <c r="M836">
        <f t="shared" si="150"/>
        <v>0.18181818181818182</v>
      </c>
      <c r="N836">
        <f t="shared" si="151"/>
        <v>0</v>
      </c>
      <c r="O836">
        <f t="shared" si="152"/>
        <v>0</v>
      </c>
      <c r="P836">
        <f>IFERROR(LN('Дивиденды по годам'!I836),"")</f>
        <v>24.068391296675408</v>
      </c>
      <c r="Q836">
        <f>IFERROR('Дивиденды по годам'!G836/'Дивиденды по годам'!I836, "")</f>
        <v>6.2346024736732661E-2</v>
      </c>
      <c r="R836">
        <f>IFERROR(IF(AND('Дивиденды по годам'!N836&lt;&gt;"",'Дивиденды по годам'!U836&lt;&gt;"",'Дивиденды по годам'!U836&lt;&gt;0),'Дивиденды по годам'!N836/'Дивиденды по годам'!U836-1,""),"")</f>
        <v>0.6125270462893091</v>
      </c>
      <c r="S836">
        <f>IFERROR(IF(AND('Дивиденды по годам'!L836&lt;&gt;"",'Дивиденды по годам'!I836&lt;&gt;"",'Дивиденды по годам'!J836&lt;&gt;"",'Дивиденды по годам'!K836&lt;&gt;"",('Дивиденды по годам'!I836-'Дивиденды по годам'!J836-'Дивиденды по годам'!K836)&lt;&gt;0),'Дивиденды по годам'!L836/('Дивиденды по годам'!I836-'Дивиденды по годам'!J836-'Дивиденды по годам'!K836),""),"")</f>
        <v>0.99778997246120693</v>
      </c>
      <c r="T836">
        <f>IFERROR(IF(AND('Дивиденды по годам'!Q836&lt;&gt;"",'Дивиденды по годам'!I836&lt;&gt;"",'Дивиденды по годам'!V836&lt;&gt;"",('Дивиденды по годам'!I836+'Дивиденды по годам'!V836)&lt;&gt;0),'Дивиденды по годам'!Q836/(('Дивиденды по годам'!I836+'Дивиденды по годам'!V836)/2),""),"")</f>
        <v>0.42243540405296037</v>
      </c>
      <c r="U836">
        <f>IFERROR(IF(AND('Дивиденды по годам'!J836&lt;&gt;"",'Дивиденды по годам'!K836&lt;&gt;"",'Дивиденды по годам'!M836&lt;&gt;"",'Дивиденды по годам'!M836&lt;&gt;0),('Дивиденды по годам'!J836+'Дивиденды по годам'!K836)/'Дивиденды по годам'!M836,""),"")</f>
        <v>1.1487511484597912</v>
      </c>
      <c r="V836">
        <f>IFERROR(IF(AND('Дивиденды по годам'!J836&lt;&gt;"",'Дивиденды по годам'!K836&lt;&gt;"",'Дивиденды по годам'!M836&lt;&gt;"",'Дивиденды по годам'!I836&lt;&gt;0),('Дивиденды по годам'!J836+'Дивиденды по годам'!K836)/'Дивиденды по годам'!I836,""),"")</f>
        <v>0.53461339591753443</v>
      </c>
      <c r="W836">
        <f>IFERROR('Дивиденды по годам'!I836,"")</f>
        <v>28364134000</v>
      </c>
      <c r="X836" cm="1">
        <f t="array" ref="X836">IFERROR(AVERAGE(_xlfn._xlws.FILTER(P$2:P$1073,($C$2:$C$1073=$C836)*($E$2:$E$1073=$E836)*(ROW(P$2:P$1073)&lt;&gt;ROW(P836))*(P$2:P$1073&lt;&gt;""))),"")</f>
        <v>25.004999068341206</v>
      </c>
      <c r="Y836" cm="1">
        <f t="array" ref="Y836">IFERROR(AVERAGE(_xlfn._xlws.FILTER(Q$2:Q$1073,($C$2:$C$1073=$C836)*($E$2:$E$1073=$E836)*(ROW(Q$2:Q$1073)&lt;&gt;ROW(Q836))*(Q$2:Q$1073&lt;&gt;""))),"")</f>
        <v>0.1237044526922346</v>
      </c>
      <c r="Z836" cm="1">
        <f t="array" ref="Z836">IFERROR(AVERAGE(_xlfn._xlws.FILTER(R$2:R$1073,($C$2:$C$1073=$C836)*($E$2:$E$1073=$E836)*(ROW(R$2:R$1073)&lt;&gt;ROW(R836))*(R$2:R$1073&lt;&gt;""))),"")</f>
        <v>0.38651635200347428</v>
      </c>
      <c r="AA836" cm="1">
        <f t="array" ref="AA836">IFERROR(AVERAGE(_xlfn._xlws.FILTER(S$2:S$1073,($C$2:$C$1073=$C836)*($E$2:$E$1073=$E836)*(ROW(S$2:S$1073)&lt;&gt;ROW(S836))*(S$2:S$1073&lt;&gt;""))),"")</f>
        <v>0.66181717460696776</v>
      </c>
      <c r="AB836" cm="1">
        <f t="array" ref="AB836">IFERROR(AVERAGE(_xlfn._xlws.FILTER(T$2:T$1073,($C$2:$C$1073=$C836)*($E$2:$E$1073=$E836)*(ROW(T$2:T$1073)&lt;&gt;ROW(T836))*(T$2:T$1073&lt;&gt;""))),"")</f>
        <v>0.10068535665655665</v>
      </c>
      <c r="AC836" cm="1">
        <f t="array" ref="AC836">IFERROR(AVERAGE(_xlfn._xlws.FILTER(U$2:U$1073,($C$2:$C$1073=$C836)*($E$2:$E$1073=$E836)*(ROW(U$2:U$1073)&lt;&gt;ROW(U836))*(U$2:U$1073&lt;&gt;""))),"")</f>
        <v>95.857129188857897</v>
      </c>
      <c r="AD836" cm="1">
        <f t="array" ref="AD836">IFERROR(AVERAGE(_xlfn._xlws.FILTER(V$2:V$1073,($C$2:$C$1073=$C836)*($E$2:$E$1073=$E836)*(ROW(V$2:V$1073)&lt;&gt;ROW(V836))*(V$2:V$1073&lt;&gt;""))),"")</f>
        <v>0.64574386180688947</v>
      </c>
      <c r="AE836">
        <f>IF('Дивиденды по годам'!M836&lt;0,1,0)</f>
        <v>0</v>
      </c>
    </row>
    <row r="837" spans="1:31" x14ac:dyDescent="0.2">
      <c r="A837" s="7" t="s">
        <v>2284</v>
      </c>
      <c r="B837" t="str">
        <f t="shared" si="143"/>
        <v>POSI IV кв. 2022</v>
      </c>
      <c r="C837">
        <v>2022</v>
      </c>
      <c r="D837">
        <f>SUMIFS(Дивиденды!$C:$C,Дивиденды!$A:$A,A837,Дивиденды!$I:$I,C837)</f>
        <v>38.5</v>
      </c>
      <c r="E837">
        <v>5</v>
      </c>
      <c r="F837">
        <f t="shared" si="144"/>
        <v>38.5</v>
      </c>
      <c r="G837">
        <f t="shared" si="145"/>
        <v>3.6127272727272728</v>
      </c>
      <c r="H837">
        <f t="shared" si="146"/>
        <v>1</v>
      </c>
      <c r="I837">
        <f t="shared" si="147"/>
        <v>0.18181818181818182</v>
      </c>
      <c r="J837">
        <f t="shared" si="148"/>
        <v>1</v>
      </c>
      <c r="K837">
        <f t="shared" si="153"/>
        <v>-2.957024009655587E-3</v>
      </c>
      <c r="L837">
        <f t="shared" si="149"/>
        <v>1</v>
      </c>
      <c r="M837">
        <f t="shared" si="150"/>
        <v>9.0909090909090912E-2</v>
      </c>
      <c r="N837">
        <f t="shared" si="151"/>
        <v>0</v>
      </c>
      <c r="O837">
        <f t="shared" si="152"/>
        <v>9.0909090909090912E-2</v>
      </c>
      <c r="P837">
        <f>IFERROR(LN('Дивиденды по годам'!I837),"")</f>
        <v>23.587870284137672</v>
      </c>
      <c r="Q837">
        <f>IFERROR('Дивиденды по годам'!G837/'Дивиденды по годам'!I837, "")</f>
        <v>5.7567067319655281E-2</v>
      </c>
      <c r="R837">
        <f>IFERROR(IF(AND('Дивиденды по годам'!N837&lt;&gt;"",'Дивиденды по годам'!U837&lt;&gt;"",'Дивиденды по годам'!U837&lt;&gt;0),'Дивиденды по годам'!N837/'Дивиденды по годам'!U837-1,""),"")</f>
        <v>0.94670382293199573</v>
      </c>
      <c r="S837">
        <f>IFERROR(IF(AND('Дивиденды по годам'!L837&lt;&gt;"",'Дивиденды по годам'!I837&lt;&gt;"",'Дивиденды по годам'!J837&lt;&gt;"",'Дивиденды по годам'!K837&lt;&gt;"",('Дивиденды по годам'!I837-'Дивиденды по годам'!J837-'Дивиденды по годам'!K837)&lt;&gt;0),'Дивиденды по годам'!L837/('Дивиденды по годам'!I837-'Дивиденды по годам'!J837-'Дивиденды по годам'!K837),""),"")</f>
        <v>0.9962910071656339</v>
      </c>
      <c r="T837">
        <f>IFERROR(IF(AND('Дивиденды по годам'!Q837&lt;&gt;"",'Дивиденды по годам'!I837&lt;&gt;"",'Дивиденды по годам'!V837&lt;&gt;"",('Дивиденды по годам'!I837+'Дивиденды по годам'!V837)&lt;&gt;0),'Дивиденды по годам'!Q837/(('Дивиденды по годам'!I837+'Дивиденды по годам'!V837)/2),""),"")</f>
        <v>0.45242006927514644</v>
      </c>
      <c r="U837">
        <f>IFERROR(IF(AND('Дивиденды по годам'!J837&lt;&gt;"",'Дивиденды по годам'!K837&lt;&gt;"",'Дивиденды по годам'!M837&lt;&gt;"",'Дивиденды по годам'!M837&lt;&gt;0),('Дивиденды по годам'!J837+'Дивиденды по годам'!K837)/'Дивиденды по годам'!M837,""),"")</f>
        <v>1.1140322778906573</v>
      </c>
      <c r="V837">
        <f>IFERROR(IF(AND('Дивиденды по годам'!J837&lt;&gt;"",'Дивиденды по годам'!K837&lt;&gt;"",'Дивиденды по годам'!M837&lt;&gt;"",'Дивиденды по годам'!I837&lt;&gt;0),('Дивиденды по годам'!J837+'Дивиденды по годам'!K837)/'Дивиденды по годам'!I837,""),"")</f>
        <v>0.52697032563865021</v>
      </c>
      <c r="W837">
        <f>IFERROR('Дивиденды по годам'!I837,"")</f>
        <v>17542113000</v>
      </c>
      <c r="X837" cm="1">
        <f t="array" ref="X837">IFERROR(AVERAGE(_xlfn._xlws.FILTER(P$2:P$1073,($C$2:$C$1073=$C837)*($E$2:$E$1073=$E837)*(ROW(P$2:P$1073)&lt;&gt;ROW(P837))*(P$2:P$1073&lt;&gt;""))),"")</f>
        <v>25.344753542443939</v>
      </c>
      <c r="Y837" cm="1">
        <f t="array" ref="Y837">IFERROR(AVERAGE(_xlfn._xlws.FILTER(Q$2:Q$1073,($C$2:$C$1073=$C837)*($E$2:$E$1073=$E837)*(ROW(Q$2:Q$1073)&lt;&gt;ROW(Q837))*(Q$2:Q$1073&lt;&gt;""))),"")</f>
        <v>0.11451930229895818</v>
      </c>
      <c r="Z837" cm="1">
        <f t="array" ref="Z837">IFERROR(AVERAGE(_xlfn._xlws.FILTER(R$2:R$1073,($C$2:$C$1073=$C837)*($E$2:$E$1073=$E837)*(ROW(R$2:R$1073)&lt;&gt;ROW(R837))*(R$2:R$1073&lt;&gt;""))),"")</f>
        <v>0.45261344798346032</v>
      </c>
      <c r="AA837" cm="1">
        <f t="array" ref="AA837">IFERROR(AVERAGE(_xlfn._xlws.FILTER(S$2:S$1073,($C$2:$C$1073=$C837)*($E$2:$E$1073=$E837)*(ROW(S$2:S$1073)&lt;&gt;ROW(S837))*(S$2:S$1073&lt;&gt;""))),"")</f>
        <v>0.73424559252472565</v>
      </c>
      <c r="AB837" cm="1">
        <f t="array" ref="AB837">IFERROR(AVERAGE(_xlfn._xlws.FILTER(T$2:T$1073,($C$2:$C$1073=$C837)*($E$2:$E$1073=$E837)*(ROW(T$2:T$1073)&lt;&gt;ROW(T837))*(T$2:T$1073&lt;&gt;""))),"")</f>
        <v>0.31405604169653634</v>
      </c>
      <c r="AC837" cm="1">
        <f t="array" ref="AC837">IFERROR(AVERAGE(_xlfn._xlws.FILTER(U$2:U$1073,($C$2:$C$1073=$C837)*($E$2:$E$1073=$E837)*(ROW(U$2:U$1073)&lt;&gt;ROW(U837))*(U$2:U$1073&lt;&gt;""))),"")</f>
        <v>-73.12803636460832</v>
      </c>
      <c r="AD837" cm="1">
        <f t="array" ref="AD837">IFERROR(AVERAGE(_xlfn._xlws.FILTER(V$2:V$1073,($C$2:$C$1073=$C837)*($E$2:$E$1073=$E837)*(ROW(V$2:V$1073)&lt;&gt;ROW(V837))*(V$2:V$1073&lt;&gt;""))),"")</f>
        <v>0.76974239191058036</v>
      </c>
      <c r="AE837">
        <f>IF('Дивиденды по годам'!M837&lt;0,1,0)</f>
        <v>0</v>
      </c>
    </row>
    <row r="838" spans="1:31" x14ac:dyDescent="0.2">
      <c r="A838" s="7" t="s">
        <v>2284</v>
      </c>
      <c r="B838" t="str">
        <f t="shared" si="143"/>
        <v>POSI IV кв. 2021</v>
      </c>
      <c r="C838">
        <v>2021</v>
      </c>
      <c r="D838">
        <f>SUMIFS(Дивиденды!$C:$C,Дивиденды!$A:$A,A838,Дивиденды!$I:$I,C838)</f>
        <v>0</v>
      </c>
      <c r="E838">
        <v>5</v>
      </c>
      <c r="F838">
        <f t="shared" si="144"/>
        <v>0</v>
      </c>
      <c r="G838">
        <f t="shared" si="145"/>
        <v>4.450909090909092</v>
      </c>
      <c r="H838">
        <f t="shared" si="146"/>
        <v>0</v>
      </c>
      <c r="I838">
        <f t="shared" si="147"/>
        <v>0.18181818181818182</v>
      </c>
      <c r="J838">
        <f t="shared" si="148"/>
        <v>0</v>
      </c>
      <c r="K838">
        <f t="shared" si="153"/>
        <v>1.4983788220808552E-2</v>
      </c>
      <c r="L838">
        <f t="shared" si="149"/>
        <v>0</v>
      </c>
      <c r="M838">
        <f t="shared" si="150"/>
        <v>9.0909090909090912E-2</v>
      </c>
      <c r="N838">
        <f t="shared" si="151"/>
        <v>0</v>
      </c>
      <c r="O838">
        <f t="shared" si="152"/>
        <v>9.0909090909090912E-2</v>
      </c>
      <c r="P838">
        <f>IFERROR(LN('Дивиденды по годам'!I838),"")</f>
        <v>22.960962907734501</v>
      </c>
      <c r="Q838">
        <f>IFERROR('Дивиденды по годам'!G838/'Дивиденды по годам'!I838, "")</f>
        <v>5.9124873929279183E-2</v>
      </c>
      <c r="R838">
        <f>IFERROR(IF(AND('Дивиденды по годам'!N838&lt;&gt;"",'Дивиденды по годам'!U838&lt;&gt;"",'Дивиденды по годам'!U838&lt;&gt;0),'Дивиденды по годам'!N838/'Дивиденды по годам'!U838-1,""),"")</f>
        <v>0.27950276304033705</v>
      </c>
      <c r="S838">
        <f>IFERROR(IF(AND('Дивиденды по годам'!L838&lt;&gt;"",'Дивиденды по годам'!I838&lt;&gt;"",'Дивиденды по годам'!J838&lt;&gt;"",'Дивиденды по годам'!K838&lt;&gt;"",('Дивиденды по годам'!I838-'Дивиденды по годам'!J838-'Дивиденды по годам'!K838)&lt;&gt;0),'Дивиденды по годам'!L838/('Дивиденды по годам'!I838-'Дивиденды по годам'!J838-'Дивиденды по годам'!K838),""),"")</f>
        <v>0.99063986965591688</v>
      </c>
      <c r="T838">
        <f>IFERROR(IF(AND('Дивиденды по годам'!Q838&lt;&gt;"",'Дивиденды по годам'!I838&lt;&gt;"",'Дивиденды по годам'!V838&lt;&gt;"",('Дивиденды по годам'!I838+'Дивиденды по годам'!V838)&lt;&gt;0),'Дивиденды по годам'!Q838/(('Дивиденды по годам'!I838+'Дивиденды по годам'!V838)/2),""),"")</f>
        <v>0.24063217698209571</v>
      </c>
      <c r="U838">
        <f>IFERROR(IF(AND('Дивиденды по годам'!J838&lt;&gt;"",'Дивиденды по годам'!K838&lt;&gt;"",'Дивиденды по годам'!M838&lt;&gt;"",'Дивиденды по годам'!M838&lt;&gt;0),('Дивиденды по годам'!J838+'Дивиденды по годам'!K838)/'Дивиденды по годам'!M838,""),"")</f>
        <v>1.6755492645876973</v>
      </c>
      <c r="V838">
        <f>IFERROR(IF(AND('Дивиденды по годам'!J838&lt;&gt;"",'Дивиденды по годам'!K838&lt;&gt;"",'Дивиденды по годам'!M838&lt;&gt;"",'Дивиденды по годам'!I838&lt;&gt;0),('Дивиденды по годам'!J838+'Дивиденды по годам'!K838)/'Дивиденды по годам'!I838,""),"")</f>
        <v>0.62624496837508237</v>
      </c>
      <c r="W838">
        <f>IFERROR('Дивиденды по годам'!I838,"")</f>
        <v>9371724000</v>
      </c>
      <c r="X838" cm="1">
        <f t="array" ref="X838">IFERROR(AVERAGE(_xlfn._xlws.FILTER(P$2:P$1073,($C$2:$C$1073=$C838)*($E$2:$E$1073=$E838)*(ROW(P$2:P$1073)&lt;&gt;ROW(P838))*(P$2:P$1073&lt;&gt;""))),"")</f>
        <v>25.277672471565729</v>
      </c>
      <c r="Y838" cm="1">
        <f t="array" ref="Y838">IFERROR(AVERAGE(_xlfn._xlws.FILTER(Q$2:Q$1073,($C$2:$C$1073=$C838)*($E$2:$E$1073=$E838)*(ROW(Q$2:Q$1073)&lt;&gt;ROW(Q838))*(Q$2:Q$1073&lt;&gt;""))),"")</f>
        <v>0.22939824395266895</v>
      </c>
      <c r="Z838" cm="1">
        <f t="array" ref="Z838">IFERROR(AVERAGE(_xlfn._xlws.FILTER(R$2:R$1073,($C$2:$C$1073=$C838)*($E$2:$E$1073=$E838)*(ROW(R$2:R$1073)&lt;&gt;ROW(R838))*(R$2:R$1073&lt;&gt;""))),"")</f>
        <v>3.3317387201459714E-2</v>
      </c>
      <c r="AA838" cm="1">
        <f t="array" ref="AA838">IFERROR(AVERAGE(_xlfn._xlws.FILTER(S$2:S$1073,($C$2:$C$1073=$C838)*($E$2:$E$1073=$E838)*(ROW(S$2:S$1073)&lt;&gt;ROW(S838))*(S$2:S$1073&lt;&gt;""))),"")</f>
        <v>2.0649664027732886</v>
      </c>
      <c r="AB838" cm="1">
        <f t="array" ref="AB838">IFERROR(AVERAGE(_xlfn._xlws.FILTER(T$2:T$1073,($C$2:$C$1073=$C838)*($E$2:$E$1073=$E838)*(ROW(T$2:T$1073)&lt;&gt;ROW(T838))*(T$2:T$1073&lt;&gt;""))),"")</f>
        <v>4.1917464090336219E-2</v>
      </c>
      <c r="AC838" cm="1">
        <f t="array" ref="AC838">IFERROR(AVERAGE(_xlfn._xlws.FILTER(U$2:U$1073,($C$2:$C$1073=$C838)*($E$2:$E$1073=$E838)*(ROW(U$2:U$1073)&lt;&gt;ROW(U838))*(U$2:U$1073&lt;&gt;""))),"")</f>
        <v>26.707171251814955</v>
      </c>
      <c r="AD838" cm="1">
        <f t="array" ref="AD838">IFERROR(AVERAGE(_xlfn._xlws.FILTER(V$2:V$1073,($C$2:$C$1073=$C838)*($E$2:$E$1073=$E838)*(ROW(V$2:V$1073)&lt;&gt;ROW(V838))*(V$2:V$1073&lt;&gt;""))),"")</f>
        <v>0.91731627240892788</v>
      </c>
      <c r="AE838">
        <f>IF('Дивиденды по годам'!M838&lt;0,1,0)</f>
        <v>0</v>
      </c>
    </row>
    <row r="839" spans="1:31" x14ac:dyDescent="0.2">
      <c r="A839" s="7" t="s">
        <v>2284</v>
      </c>
      <c r="B839" t="str">
        <f t="shared" si="143"/>
        <v>POSI IV кв. 2020</v>
      </c>
      <c r="C839">
        <v>2020</v>
      </c>
      <c r="D839">
        <f>SUMIFS(Дивиденды!$C:$C,Дивиденды!$A:$A,A839,Дивиденды!$I:$I,C839)</f>
        <v>0</v>
      </c>
      <c r="E839">
        <v>5</v>
      </c>
      <c r="F839">
        <f t="shared" si="144"/>
        <v>0</v>
      </c>
      <c r="G839">
        <f t="shared" si="145"/>
        <v>3.6763636363636363</v>
      </c>
      <c r="H839">
        <f t="shared" si="146"/>
        <v>0</v>
      </c>
      <c r="I839">
        <f t="shared" si="147"/>
        <v>0.18181818181818182</v>
      </c>
      <c r="J839">
        <f t="shared" si="148"/>
        <v>0</v>
      </c>
      <c r="K839">
        <f t="shared" si="153"/>
        <v>-1.5101604278074872E-2</v>
      </c>
      <c r="L839">
        <f t="shared" si="149"/>
        <v>0</v>
      </c>
      <c r="M839">
        <f t="shared" si="150"/>
        <v>0</v>
      </c>
      <c r="N839">
        <f t="shared" si="151"/>
        <v>0</v>
      </c>
      <c r="O839">
        <f t="shared" si="152"/>
        <v>9.0909090909090912E-2</v>
      </c>
      <c r="P839">
        <f>IFERROR(LN('Дивиденды по годам'!I839),"")</f>
        <v>22.600509642831252</v>
      </c>
      <c r="Q839">
        <f>IFERROR('Дивиденды по годам'!G839/'Дивиденды по годам'!I839, "")</f>
        <v>5.6237144185717715E-2</v>
      </c>
      <c r="R839">
        <f>IFERROR(IF(AND('Дивиденды по годам'!N839&lt;&gt;"",'Дивиденды по годам'!U839&lt;&gt;"",'Дивиденды по годам'!U839&lt;&gt;0),'Дивиденды по годам'!N839/'Дивиденды по годам'!U839-1,""),"")</f>
        <v>0.60261811450317082</v>
      </c>
      <c r="S839">
        <f>IFERROR(IF(AND('Дивиденды по годам'!L839&lt;&gt;"",'Дивиденды по годам'!I839&lt;&gt;"",'Дивиденды по годам'!J839&lt;&gt;"",'Дивиденды по годам'!K839&lt;&gt;"",('Дивиденды по годам'!I839-'Дивиденды по годам'!J839-'Дивиденды по годам'!K839)&lt;&gt;0),'Дивиденды по годам'!L839/('Дивиденды по годам'!I839-'Дивиденды по годам'!J839-'Дивиденды по годам'!K839),""),"")</f>
        <v>0.98625241302219391</v>
      </c>
      <c r="T839">
        <f>IFERROR(IF(AND('Дивиденды по годам'!Q839&lt;&gt;"",'Дивиденды по годам'!I839&lt;&gt;"",'Дивиденды по годам'!V839&lt;&gt;"",('Дивиденды по годам'!I839+'Дивиденды по годам'!V839)&lt;&gt;0),'Дивиденды по годам'!Q839/(('Дивиденды по годам'!I839+'Дивиденды по годам'!V839)/2),""),"")</f>
        <v>0.26070423168654877</v>
      </c>
      <c r="U839">
        <f>IFERROR(IF(AND('Дивиденды по годам'!J839&lt;&gt;"",'Дивиденды по годам'!K839&lt;&gt;"",'Дивиденды по годам'!M839&lt;&gt;"",'Дивиденды по годам'!M839&lt;&gt;0),('Дивиденды по годам'!J839+'Дивиденды по годам'!K839)/'Дивиденды по годам'!M839,""),"")</f>
        <v>1.5905916908794697</v>
      </c>
      <c r="V839">
        <f>IFERROR(IF(AND('Дивиденды по годам'!J839&lt;&gt;"",'Дивиденды по годам'!K839&lt;&gt;"",'Дивиденды по годам'!M839&lt;&gt;"",'Дивиденды по годам'!I839&lt;&gt;0),('Дивиденды по годам'!J839+'Дивиденды по годам'!K839)/'Дивиденды по годам'!I839,""),"")</f>
        <v>0.61398779918864255</v>
      </c>
      <c r="W839">
        <f>IFERROR('Дивиденды по годам'!I839,"")</f>
        <v>6535467000</v>
      </c>
      <c r="X839" cm="1">
        <f t="array" ref="X839">IFERROR(AVERAGE(_xlfn._xlws.FILTER(P$2:P$1073,($C$2:$C$1073=$C839)*($E$2:$E$1073=$E839)*(ROW(P$2:P$1073)&lt;&gt;ROW(P839))*(P$2:P$1073&lt;&gt;""))),"")</f>
        <v>26.458608686766663</v>
      </c>
      <c r="Y839" cm="1">
        <f t="array" ref="Y839">IFERROR(AVERAGE(_xlfn._xlws.FILTER(Q$2:Q$1073,($C$2:$C$1073=$C839)*($E$2:$E$1073=$E839)*(ROW(Q$2:Q$1073)&lt;&gt;ROW(Q839))*(Q$2:Q$1073&lt;&gt;""))),"")</f>
        <v>0.29900135718217613</v>
      </c>
      <c r="Z839" cm="1">
        <f t="array" ref="Z839">IFERROR(AVERAGE(_xlfn._xlws.FILTER(R$2:R$1073,($C$2:$C$1073=$C839)*($E$2:$E$1073=$E839)*(ROW(R$2:R$1073)&lt;&gt;ROW(R839))*(R$2:R$1073&lt;&gt;""))),"")</f>
        <v>0.33016012475337098</v>
      </c>
      <c r="AA839" cm="1">
        <f t="array" ref="AA839">IFERROR(AVERAGE(_xlfn._xlws.FILTER(S$2:S$1073,($C$2:$C$1073=$C839)*($E$2:$E$1073=$E839)*(ROW(S$2:S$1073)&lt;&gt;ROW(S839))*(S$2:S$1073&lt;&gt;""))),"")</f>
        <v>1.5152663380075582</v>
      </c>
      <c r="AB839" cm="1">
        <f t="array" ref="AB839">IFERROR(AVERAGE(_xlfn._xlws.FILTER(T$2:T$1073,($C$2:$C$1073=$C839)*($E$2:$E$1073=$E839)*(ROW(T$2:T$1073)&lt;&gt;ROW(T839))*(T$2:T$1073&lt;&gt;""))),"")</f>
        <v>5.0279095405549458E-2</v>
      </c>
      <c r="AC839" cm="1">
        <f t="array" ref="AC839">IFERROR(AVERAGE(_xlfn._xlws.FILTER(U$2:U$1073,($C$2:$C$1073=$C839)*($E$2:$E$1073=$E839)*(ROW(U$2:U$1073)&lt;&gt;ROW(U839))*(U$2:U$1073&lt;&gt;""))),"")</f>
        <v>12.360197884224403</v>
      </c>
      <c r="AD839" cm="1">
        <f t="array" ref="AD839">IFERROR(AVERAGE(_xlfn._xlws.FILTER(V$2:V$1073,($C$2:$C$1073=$C839)*($E$2:$E$1073=$E839)*(ROW(V$2:V$1073)&lt;&gt;ROW(V839))*(V$2:V$1073&lt;&gt;""))),"")</f>
        <v>0.87033451611563473</v>
      </c>
      <c r="AE839">
        <f>IF('Дивиденды по годам'!M839&lt;0,1,0)</f>
        <v>0</v>
      </c>
    </row>
    <row r="840" spans="1:31" x14ac:dyDescent="0.2">
      <c r="A840" s="7" t="s">
        <v>2284</v>
      </c>
      <c r="B840" t="str">
        <f t="shared" si="143"/>
        <v>POSI IV кв. 2019</v>
      </c>
      <c r="C840">
        <v>2019</v>
      </c>
      <c r="D840">
        <f>SUMIFS(Дивиденды!$C:$C,Дивиденды!$A:$A,A840,Дивиденды!$I:$I,C840)</f>
        <v>0</v>
      </c>
      <c r="E840">
        <v>5</v>
      </c>
      <c r="F840">
        <f t="shared" si="144"/>
        <v>0</v>
      </c>
      <c r="G840">
        <f t="shared" si="145"/>
        <v>4.3181818181818183</v>
      </c>
      <c r="H840">
        <f t="shared" si="146"/>
        <v>0</v>
      </c>
      <c r="I840">
        <f t="shared" si="147"/>
        <v>0.18181818181818182</v>
      </c>
      <c r="J840">
        <f t="shared" si="148"/>
        <v>0</v>
      </c>
      <c r="K840">
        <f t="shared" si="153"/>
        <v>8.0199694017231649E-2</v>
      </c>
      <c r="L840">
        <f t="shared" si="149"/>
        <v>0</v>
      </c>
      <c r="M840">
        <f t="shared" si="150"/>
        <v>9.0909090909090912E-2</v>
      </c>
      <c r="N840">
        <f t="shared" si="151"/>
        <v>0</v>
      </c>
      <c r="O840">
        <f t="shared" si="152"/>
        <v>0</v>
      </c>
      <c r="P840">
        <f>IFERROR(LN('Дивиденды по годам'!I840),"")</f>
        <v>22.346825762693463</v>
      </c>
      <c r="Q840">
        <f>IFERROR('Дивиденды по годам'!G840/'Дивиденды по годам'!I840, "")</f>
        <v>7.5056136613850494E-2</v>
      </c>
      <c r="R840">
        <f>IFERROR(IF(AND('Дивиденды по годам'!N840&lt;&gt;"",'Дивиденды по годам'!U840&lt;&gt;"",'Дивиденды по годам'!U840&lt;&gt;0),'Дивиденды по годам'!N840/'Дивиденды по годам'!U840-1,""),"")</f>
        <v>0.33893563509351354</v>
      </c>
      <c r="S840">
        <f>IFERROR(IF(AND('Дивиденды по годам'!L840&lt;&gt;"",'Дивиденды по годам'!I840&lt;&gt;"",'Дивиденды по годам'!J840&lt;&gt;"",'Дивиденды по годам'!K840&lt;&gt;"",('Дивиденды по годам'!I840-'Дивиденды по годам'!J840-'Дивиденды по годам'!K840)&lt;&gt;0),'Дивиденды по годам'!L840/('Дивиденды по годам'!I840-'Дивиденды по годам'!J840-'Дивиденды по годам'!K840),""),"")</f>
        <v>0.96665544321096464</v>
      </c>
      <c r="T840">
        <f>IFERROR(IF(AND('Дивиденды по годам'!Q840&lt;&gt;"",'Дивиденды по годам'!I840&lt;&gt;"",'Дивиденды по годам'!V840&lt;&gt;"",('Дивиденды по годам'!I840+'Дивиденды по годам'!V840)&lt;&gt;0),'Дивиденды по годам'!Q840/(('Дивиденды по годам'!I840+'Дивиденды по годам'!V840)/2),""),"")</f>
        <v>3.4488878181792075E-2</v>
      </c>
      <c r="U840">
        <f>IFERROR(IF(AND('Дивиденды по годам'!J840&lt;&gt;"",'Дивиденды по годам'!K840&lt;&gt;"",'Дивиденды по годам'!M840&lt;&gt;"",'Дивиденды по годам'!M840&lt;&gt;0),('Дивиденды по годам'!J840+'Дивиденды по годам'!K840)/'Дивиденды по годам'!M840,""),"")</f>
        <v>4.0219461472187286</v>
      </c>
      <c r="V840">
        <f>IFERROR(IF(AND('Дивиденды по годам'!J840&lt;&gt;"",'Дивиденды по годам'!K840&lt;&gt;"",'Дивиденды по годам'!M840&lt;&gt;"",'Дивиденды по годам'!I840&lt;&gt;0),('Дивиденды по годам'!J840+'Дивиденды по годам'!K840)/'Дивиденды по годам'!I840,""),"")</f>
        <v>0.80087400965981614</v>
      </c>
      <c r="W840">
        <f>IFERROR('Дивиденды по годам'!I840,"")</f>
        <v>5071111000</v>
      </c>
      <c r="X840" cm="1">
        <f t="array" ref="X840">IFERROR(AVERAGE(_xlfn._xlws.FILTER(P$2:P$1073,($C$2:$C$1073=$C840)*($E$2:$E$1073=$E840)*(ROW(P$2:P$1073)&lt;&gt;ROW(P840))*(P$2:P$1073&lt;&gt;""))),"")</f>
        <v>27.375636535881835</v>
      </c>
      <c r="Y840" cm="1">
        <f t="array" ref="Y840">IFERROR(AVERAGE(_xlfn._xlws.FILTER(Q$2:Q$1073,($C$2:$C$1073=$C840)*($E$2:$E$1073=$E840)*(ROW(Q$2:Q$1073)&lt;&gt;ROW(Q840))*(Q$2:Q$1073&lt;&gt;""))),"")</f>
        <v>0.43677119740119974</v>
      </c>
      <c r="Z840" cm="1">
        <f t="array" ref="Z840">IFERROR(AVERAGE(_xlfn._xlws.FILTER(R$2:R$1073,($C$2:$C$1073=$C840)*($E$2:$E$1073=$E840)*(ROW(R$2:R$1073)&lt;&gt;ROW(R840))*(R$2:R$1073&lt;&gt;""))),"")</f>
        <v>2.2468041054241605E-2</v>
      </c>
      <c r="AA840" cm="1">
        <f t="array" ref="AA840">IFERROR(AVERAGE(_xlfn._xlws.FILTER(S$2:S$1073,($C$2:$C$1073=$C840)*($E$2:$E$1073=$E840)*(ROW(S$2:S$1073)&lt;&gt;ROW(S840))*(S$2:S$1073&lt;&gt;""))),"")</f>
        <v>1.7639136223060845</v>
      </c>
      <c r="AB840" cm="1">
        <f t="array" ref="AB840">IFERROR(AVERAGE(_xlfn._xlws.FILTER(T$2:T$1073,($C$2:$C$1073=$C840)*($E$2:$E$1073=$E840)*(ROW(T$2:T$1073)&lt;&gt;ROW(T840))*(T$2:T$1073&lt;&gt;""))),"")</f>
        <v>4.3648582298471898E-2</v>
      </c>
      <c r="AC840" cm="1">
        <f t="array" ref="AC840">IFERROR(AVERAGE(_xlfn._xlws.FILTER(U$2:U$1073,($C$2:$C$1073=$C840)*($E$2:$E$1073=$E840)*(ROW(U$2:U$1073)&lt;&gt;ROW(U840))*(U$2:U$1073&lt;&gt;""))),"")</f>
        <v>11.708153995622849</v>
      </c>
      <c r="AD840" cm="1">
        <f t="array" ref="AD840">IFERROR(AVERAGE(_xlfn._xlws.FILTER(V$2:V$1073,($C$2:$C$1073=$C840)*($E$2:$E$1073=$E840)*(ROW(V$2:V$1073)&lt;&gt;ROW(V840))*(V$2:V$1073&lt;&gt;""))),"")</f>
        <v>0.79790791799663485</v>
      </c>
      <c r="AE840">
        <f>IF('Дивиденды по годам'!M840&lt;0,1,0)</f>
        <v>0</v>
      </c>
    </row>
    <row r="841" spans="1:31" x14ac:dyDescent="0.2">
      <c r="A841" s="7" t="s">
        <v>2284</v>
      </c>
      <c r="B841" t="str">
        <f t="shared" si="143"/>
        <v>POSI IV кв. 2018</v>
      </c>
      <c r="C841">
        <v>2018</v>
      </c>
      <c r="D841">
        <f>SUMIFS(Дивиденды!$C:$C,Дивиденды!$A:$A,A841,Дивиденды!$I:$I,C841)</f>
        <v>0</v>
      </c>
      <c r="E841">
        <v>5</v>
      </c>
      <c r="F841">
        <f t="shared" si="144"/>
        <v>0</v>
      </c>
      <c r="G841">
        <f t="shared" si="145"/>
        <v>2.5072727272727273</v>
      </c>
      <c r="H841">
        <f t="shared" si="146"/>
        <v>0</v>
      </c>
      <c r="I841">
        <f t="shared" si="147"/>
        <v>0.18181818181818182</v>
      </c>
      <c r="J841">
        <f t="shared" si="148"/>
        <v>0</v>
      </c>
      <c r="K841">
        <f t="shared" si="153"/>
        <v>-3.1077604801900294E-2</v>
      </c>
      <c r="L841">
        <f t="shared" si="149"/>
        <v>0</v>
      </c>
      <c r="M841">
        <f t="shared" si="150"/>
        <v>0</v>
      </c>
      <c r="N841">
        <f t="shared" si="151"/>
        <v>0</v>
      </c>
      <c r="O841">
        <f t="shared" si="152"/>
        <v>0.18181818181818182</v>
      </c>
      <c r="P841">
        <f>IFERROR(LN('Дивиденды по годам'!I841),"")</f>
        <v>22.172578892977874</v>
      </c>
      <c r="Q841">
        <f>IFERROR('Дивиденды по годам'!G841/'Дивиденды по годам'!I841, "")</f>
        <v>8.054458642308425E-2</v>
      </c>
      <c r="R841" t="str">
        <f>IFERROR(IF(AND('Дивиденды по годам'!N841&lt;&gt;"",'Дивиденды по годам'!U841&lt;&gt;"",'Дивиденды по годам'!U841&lt;&gt;0),'Дивиденды по годам'!N841/'Дивиденды по годам'!U841-1,""),"")</f>
        <v/>
      </c>
      <c r="S841">
        <f>IFERROR(IF(AND('Дивиденды по годам'!L841&lt;&gt;"",'Дивиденды по годам'!I841&lt;&gt;"",'Дивиденды по годам'!J841&lt;&gt;"",'Дивиденды по годам'!K841&lt;&gt;"",('Дивиденды по годам'!I841-'Дивиденды по годам'!J841-'Дивиденды по годам'!K841)&lt;&gt;0),'Дивиденды по годам'!L841/('Дивиденды по годам'!I841-'Дивиденды по годам'!J841-'Дивиденды по годам'!K841),""),"")</f>
        <v>0.96159636867391751</v>
      </c>
      <c r="T841" t="str">
        <f>IFERROR(IF(AND('Дивиденды по годам'!Q841&lt;&gt;"",'Дивиденды по годам'!I841&lt;&gt;"",'Дивиденды по годам'!V841&lt;&gt;"",('Дивиденды по годам'!I841+'Дивиденды по годам'!V841)&lt;&gt;0),'Дивиденды по годам'!Q841/(('Дивиденды по годам'!I841+'Дивиденды по годам'!V841)/2),""),"")</f>
        <v/>
      </c>
      <c r="U841">
        <f>IFERROR(IF(AND('Дивиденды по годам'!J841&lt;&gt;"",'Дивиденды по годам'!K841&lt;&gt;"",'Дивиденды по годам'!M841&lt;&gt;"",'Дивиденды по годам'!M841&lt;&gt;0),('Дивиденды по годам'!J841+'Дивиденды по годам'!K841)/'Дивиденды по годам'!M841,""),"")</f>
        <v>4.0227688861378841</v>
      </c>
      <c r="V841">
        <f>IFERROR(IF(AND('Дивиденды по годам'!J841&lt;&gt;"",'Дивиденды по годам'!K841&lt;&gt;"",'Дивиденды по годам'!M841&lt;&gt;"",'Дивиденды по годам'!I841&lt;&gt;0),('Дивиденды по годам'!J841+'Дивиденды по годам'!K841)/'Дивиденды по годам'!I841,""),"")</f>
        <v>0.8009066268687266</v>
      </c>
      <c r="W841">
        <f>IFERROR('Дивиденды по годам'!I841,"")</f>
        <v>4260187000</v>
      </c>
      <c r="X841" cm="1">
        <f t="array" ref="X841">IFERROR(AVERAGE(_xlfn._xlws.FILTER(P$2:P$1073,($C$2:$C$1073=$C841)*($E$2:$E$1073=$E841)*(ROW(P$2:P$1073)&lt;&gt;ROW(P841))*(P$2:P$1073&lt;&gt;""))),"")</f>
        <v>27.369262478228251</v>
      </c>
      <c r="Y841" cm="1">
        <f t="array" ref="Y841">IFERROR(AVERAGE(_xlfn._xlws.FILTER(Q$2:Q$1073,($C$2:$C$1073=$C841)*($E$2:$E$1073=$E841)*(ROW(Q$2:Q$1073)&lt;&gt;ROW(Q841))*(Q$2:Q$1073&lt;&gt;""))),"")</f>
        <v>0.43990436664413035</v>
      </c>
      <c r="Z841" cm="1">
        <f t="array" ref="Z841">IFERROR(AVERAGE(_xlfn._xlws.FILTER(R$2:R$1073,($C$2:$C$1073=$C841)*($E$2:$E$1073=$E841)*(ROW(R$2:R$1073)&lt;&gt;ROW(R841))*(R$2:R$1073&lt;&gt;""))),"")</f>
        <v>6.6616637147635549E-2</v>
      </c>
      <c r="AA841" cm="1">
        <f t="array" ref="AA841">IFERROR(AVERAGE(_xlfn._xlws.FILTER(S$2:S$1073,($C$2:$C$1073=$C841)*($E$2:$E$1073=$E841)*(ROW(S$2:S$1073)&lt;&gt;ROW(S841))*(S$2:S$1073&lt;&gt;""))),"")</f>
        <v>1.3273153592113516</v>
      </c>
      <c r="AB841" cm="1">
        <f t="array" ref="AB841">IFERROR(AVERAGE(_xlfn._xlws.FILTER(T$2:T$1073,($C$2:$C$1073=$C841)*($E$2:$E$1073=$E841)*(ROW(T$2:T$1073)&lt;&gt;ROW(T841))*(T$2:T$1073&lt;&gt;""))),"")</f>
        <v>1.7776057117292479E-2</v>
      </c>
      <c r="AC841" cm="1">
        <f t="array" ref="AC841">IFERROR(AVERAGE(_xlfn._xlws.FILTER(U$2:U$1073,($C$2:$C$1073=$C841)*($E$2:$E$1073=$E841)*(ROW(U$2:U$1073)&lt;&gt;ROW(U841))*(U$2:U$1073&lt;&gt;""))),"")</f>
        <v>6.1932997272451944</v>
      </c>
      <c r="AD841" cm="1">
        <f t="array" ref="AD841">IFERROR(AVERAGE(_xlfn._xlws.FILTER(V$2:V$1073,($C$2:$C$1073=$C841)*($E$2:$E$1073=$E841)*(ROW(V$2:V$1073)&lt;&gt;ROW(V841))*(V$2:V$1073&lt;&gt;""))),"")</f>
        <v>0.76365467883033089</v>
      </c>
      <c r="AE841">
        <f>IF('Дивиденды по годам'!M841&lt;0,1,0)</f>
        <v>0</v>
      </c>
    </row>
    <row r="842" spans="1:31" x14ac:dyDescent="0.2">
      <c r="A842" s="7" t="s">
        <v>2284</v>
      </c>
      <c r="B842" t="str">
        <f t="shared" si="143"/>
        <v>POSI IV кв. 2017</v>
      </c>
      <c r="C842">
        <v>2017</v>
      </c>
      <c r="D842">
        <f>SUMIFS(Дивиденды!$C:$C,Дивиденды!$A:$A,A842,Дивиденды!$I:$I,C842)</f>
        <v>0</v>
      </c>
      <c r="E842">
        <v>5</v>
      </c>
      <c r="F842">
        <f t="shared" si="144"/>
        <v>0</v>
      </c>
      <c r="G842">
        <f t="shared" si="145"/>
        <v>3.5318181818181813</v>
      </c>
      <c r="H842">
        <f t="shared" si="146"/>
        <v>0</v>
      </c>
      <c r="I842">
        <f t="shared" si="147"/>
        <v>0.18181818181818182</v>
      </c>
      <c r="J842">
        <f t="shared" si="148"/>
        <v>0</v>
      </c>
      <c r="K842">
        <f t="shared" si="153"/>
        <v>1.4727433992836941E-2</v>
      </c>
      <c r="L842">
        <f t="shared" si="149"/>
        <v>0</v>
      </c>
      <c r="M842">
        <f t="shared" si="150"/>
        <v>9.0909090909090912E-2</v>
      </c>
      <c r="N842">
        <f t="shared" si="151"/>
        <v>0</v>
      </c>
      <c r="O842">
        <f t="shared" si="152"/>
        <v>9.0909090909090912E-2</v>
      </c>
      <c r="P842" t="str">
        <f>IFERROR(LN('Дивиденды по годам'!I842),"")</f>
        <v/>
      </c>
      <c r="Q842" t="str">
        <f>IFERROR('Дивиденды по годам'!G842/'Дивиденды по годам'!I842, "")</f>
        <v/>
      </c>
      <c r="R842" t="str">
        <f>IFERROR(IF(AND('Дивиденды по годам'!N842&lt;&gt;"",'Дивиденды по годам'!U842&lt;&gt;"",'Дивиденды по годам'!U842&lt;&gt;0),'Дивиденды по годам'!N842/'Дивиденды по годам'!U842-1,""),"")</f>
        <v/>
      </c>
      <c r="S842" t="str">
        <f>IFERROR(IF(AND('Дивиденды по годам'!L842&lt;&gt;"",'Дивиденды по годам'!I842&lt;&gt;"",'Дивиденды по годам'!J842&lt;&gt;"",'Дивиденды по годам'!K842&lt;&gt;"",('Дивиденды по годам'!I842-'Дивиденды по годам'!J842-'Дивиденды по годам'!K842)&lt;&gt;0),'Дивиденды по годам'!L842/('Дивиденды по годам'!I842-'Дивиденды по годам'!J842-'Дивиденды по годам'!K842),""),"")</f>
        <v/>
      </c>
      <c r="T842" t="str">
        <f>IFERROR(IF(AND('Дивиденды по годам'!Q842&lt;&gt;"",'Дивиденды по годам'!I842&lt;&gt;"",'Дивиденды по годам'!V842&lt;&gt;"",('Дивиденды по годам'!I842+'Дивиденды по годам'!V842)&lt;&gt;0),'Дивиденды по годам'!Q842/(('Дивиденды по годам'!I842+'Дивиденды по годам'!V842)/2),""),"")</f>
        <v/>
      </c>
      <c r="U842" t="str">
        <f>IFERROR(IF(AND('Дивиденды по годам'!J842&lt;&gt;"",'Дивиденды по годам'!K842&lt;&gt;"",'Дивиденды по годам'!M842&lt;&gt;"",'Дивиденды по годам'!M842&lt;&gt;0),('Дивиденды по годам'!J842+'Дивиденды по годам'!K842)/'Дивиденды по годам'!M842,""),"")</f>
        <v/>
      </c>
      <c r="V842" t="str">
        <f>IFERROR(IF(AND('Дивиденды по годам'!J842&lt;&gt;"",'Дивиденды по годам'!K842&lt;&gt;"",'Дивиденды по годам'!M842&lt;&gt;"",'Дивиденды по годам'!I842&lt;&gt;0),('Дивиденды по годам'!J842+'Дивиденды по годам'!K842)/'Дивиденды по годам'!I842,""),"")</f>
        <v/>
      </c>
      <c r="W842" t="str">
        <f>IFERROR('Дивиденды по годам'!I842,"")</f>
        <v/>
      </c>
      <c r="X842" cm="1">
        <f t="array" ref="X842">IFERROR(AVERAGE(_xlfn._xlws.FILTER(P$2:P$1073,($C$2:$C$1073=$C842)*($E$2:$E$1073=$E842)*(ROW(P$2:P$1073)&lt;&gt;ROW(P842))*(P$2:P$1073&lt;&gt;""))),"")</f>
        <v>27.043369572715513</v>
      </c>
      <c r="Y842" cm="1">
        <f t="array" ref="Y842">IFERROR(AVERAGE(_xlfn._xlws.FILTER(Q$2:Q$1073,($C$2:$C$1073=$C842)*($E$2:$E$1073=$E842)*(ROW(Q$2:Q$1073)&lt;&gt;ROW(Q842))*(Q$2:Q$1073&lt;&gt;""))),"")</f>
        <v>0.54965488260857309</v>
      </c>
      <c r="Z842" cm="1">
        <f t="array" ref="Z842">IFERROR(AVERAGE(_xlfn._xlws.FILTER(R$2:R$1073,($C$2:$C$1073=$C842)*($E$2:$E$1073=$E842)*(ROW(R$2:R$1073)&lt;&gt;ROW(R842))*(R$2:R$1073&lt;&gt;""))),"")</f>
        <v>2.1535666839189949E-2</v>
      </c>
      <c r="AA842" cm="1">
        <f t="array" ref="AA842">IFERROR(AVERAGE(_xlfn._xlws.FILTER(S$2:S$1073,($C$2:$C$1073=$C842)*($E$2:$E$1073=$E842)*(ROW(S$2:S$1073)&lt;&gt;ROW(S842))*(S$2:S$1073&lt;&gt;""))),"")</f>
        <v>1.232616052553424</v>
      </c>
      <c r="AB842" cm="1">
        <f t="array" ref="AB842">IFERROR(AVERAGE(_xlfn._xlws.FILTER(T$2:T$1073,($C$2:$C$1073=$C842)*($E$2:$E$1073=$E842)*(ROW(T$2:T$1073)&lt;&gt;ROW(T842))*(T$2:T$1073&lt;&gt;""))),"")</f>
        <v>6.4245501476224237E-2</v>
      </c>
      <c r="AC842" cm="1">
        <f t="array" ref="AC842">IFERROR(AVERAGE(_xlfn._xlws.FILTER(U$2:U$1073,($C$2:$C$1073=$C842)*($E$2:$E$1073=$E842)*(ROW(U$2:U$1073)&lt;&gt;ROW(U842))*(U$2:U$1073&lt;&gt;""))),"")</f>
        <v>2.3417046689252397</v>
      </c>
      <c r="AD842" cm="1">
        <f t="array" ref="AD842">IFERROR(AVERAGE(_xlfn._xlws.FILTER(V$2:V$1073,($C$2:$C$1073=$C842)*($E$2:$E$1073=$E842)*(ROW(V$2:V$1073)&lt;&gt;ROW(V842))*(V$2:V$1073&lt;&gt;""))),"")</f>
        <v>0.66475018615672188</v>
      </c>
      <c r="AE842">
        <f>IF('Дивиденды по годам'!M842&lt;0,1,0)</f>
        <v>0</v>
      </c>
    </row>
    <row r="843" spans="1:31" x14ac:dyDescent="0.2">
      <c r="A843" s="7" t="s">
        <v>2284</v>
      </c>
      <c r="B843" t="str">
        <f t="shared" si="143"/>
        <v>POSI IV кв. 2016</v>
      </c>
      <c r="C843">
        <v>2016</v>
      </c>
      <c r="D843">
        <f>SUMIFS(Дивиденды!$C:$C,Дивиденды!$A:$A,A843,Дивиденды!$I:$I,C843)</f>
        <v>0</v>
      </c>
      <c r="E843">
        <v>5</v>
      </c>
      <c r="F843">
        <f t="shared" si="144"/>
        <v>0</v>
      </c>
      <c r="G843">
        <f t="shared" si="145"/>
        <v>2.9981818181818181</v>
      </c>
      <c r="H843">
        <f t="shared" si="146"/>
        <v>0</v>
      </c>
      <c r="I843">
        <f t="shared" si="147"/>
        <v>0.18181818181818182</v>
      </c>
      <c r="J843">
        <f t="shared" si="148"/>
        <v>0</v>
      </c>
      <c r="K843">
        <f t="shared" si="153"/>
        <v>2.8790101611202514E-2</v>
      </c>
      <c r="L843">
        <f t="shared" si="149"/>
        <v>0</v>
      </c>
      <c r="M843">
        <f t="shared" si="150"/>
        <v>9.0909090909090912E-2</v>
      </c>
      <c r="N843">
        <f t="shared" si="151"/>
        <v>0</v>
      </c>
      <c r="O843">
        <f t="shared" si="152"/>
        <v>9.0909090909090912E-2</v>
      </c>
      <c r="P843" t="str">
        <f>IFERROR(LN('Дивиденды по годам'!I843),"")</f>
        <v/>
      </c>
      <c r="Q843" t="str">
        <f>IFERROR('Дивиденды по годам'!G843/'Дивиденды по годам'!I843, "")</f>
        <v/>
      </c>
      <c r="R843" t="str">
        <f>IFERROR(IF(AND('Дивиденды по годам'!N843&lt;&gt;"",'Дивиденды по годам'!U843&lt;&gt;"",'Дивиденды по годам'!U843&lt;&gt;0),'Дивиденды по годам'!N843/'Дивиденды по годам'!U843-1,""),"")</f>
        <v/>
      </c>
      <c r="S843" t="str">
        <f>IFERROR(IF(AND('Дивиденды по годам'!L843&lt;&gt;"",'Дивиденды по годам'!I843&lt;&gt;"",'Дивиденды по годам'!J843&lt;&gt;"",'Дивиденды по годам'!K843&lt;&gt;"",('Дивиденды по годам'!I843-'Дивиденды по годам'!J843-'Дивиденды по годам'!K843)&lt;&gt;0),'Дивиденды по годам'!L843/('Дивиденды по годам'!I843-'Дивиденды по годам'!J843-'Дивиденды по годам'!K843),""),"")</f>
        <v/>
      </c>
      <c r="T843" t="str">
        <f>IFERROR(IF(AND('Дивиденды по годам'!Q843&lt;&gt;"",'Дивиденды по годам'!I843&lt;&gt;"",'Дивиденды по годам'!V843&lt;&gt;"",('Дивиденды по годам'!I843+'Дивиденды по годам'!V843)&lt;&gt;0),'Дивиденды по годам'!Q843/(('Дивиденды по годам'!I843+'Дивиденды по годам'!V843)/2),""),"")</f>
        <v/>
      </c>
      <c r="U843" t="str">
        <f>IFERROR(IF(AND('Дивиденды по годам'!J843&lt;&gt;"",'Дивиденды по годам'!K843&lt;&gt;"",'Дивиденды по годам'!M843&lt;&gt;"",'Дивиденды по годам'!M843&lt;&gt;0),('Дивиденды по годам'!J843+'Дивиденды по годам'!K843)/'Дивиденды по годам'!M843,""),"")</f>
        <v/>
      </c>
      <c r="V843" t="str">
        <f>IFERROR(IF(AND('Дивиденды по годам'!J843&lt;&gt;"",'Дивиденды по годам'!K843&lt;&gt;"",'Дивиденды по годам'!M843&lt;&gt;"",'Дивиденды по годам'!I843&lt;&gt;0),('Дивиденды по годам'!J843+'Дивиденды по годам'!K843)/'Дивиденды по годам'!I843,""),"")</f>
        <v/>
      </c>
      <c r="W843" t="str">
        <f>IFERROR('Дивиденды по годам'!I843,"")</f>
        <v/>
      </c>
      <c r="X843" cm="1">
        <f t="array" ref="X843">IFERROR(AVERAGE(_xlfn._xlws.FILTER(P$2:P$1073,($C$2:$C$1073=$C843)*($E$2:$E$1073=$E843)*(ROW(P$2:P$1073)&lt;&gt;ROW(P843))*(P$2:P$1073&lt;&gt;""))),"")</f>
        <v>27.033270353256157</v>
      </c>
      <c r="Y843" cm="1">
        <f t="array" ref="Y843">IFERROR(AVERAGE(_xlfn._xlws.FILTER(Q$2:Q$1073,($C$2:$C$1073=$C843)*($E$2:$E$1073=$E843)*(ROW(Q$2:Q$1073)&lt;&gt;ROW(Q843))*(Q$2:Q$1073&lt;&gt;""))),"")</f>
        <v>0.55978642376097965</v>
      </c>
      <c r="Z843" cm="1">
        <f t="array" ref="Z843">IFERROR(AVERAGE(_xlfn._xlws.FILTER(R$2:R$1073,($C$2:$C$1073=$C843)*($E$2:$E$1073=$E843)*(ROW(R$2:R$1073)&lt;&gt;ROW(R843))*(R$2:R$1073&lt;&gt;""))),"")</f>
        <v>5.3242460909894707E-3</v>
      </c>
      <c r="AA843" cm="1">
        <f t="array" ref="AA843">IFERROR(AVERAGE(_xlfn._xlws.FILTER(S$2:S$1073,($C$2:$C$1073=$C843)*($E$2:$E$1073=$E843)*(ROW(S$2:S$1073)&lt;&gt;ROW(S843))*(S$2:S$1073&lt;&gt;""))),"")</f>
        <v>1.1315702315112175</v>
      </c>
      <c r="AB843" cm="1">
        <f t="array" ref="AB843">IFERROR(AVERAGE(_xlfn._xlws.FILTER(T$2:T$1073,($C$2:$C$1073=$C843)*($E$2:$E$1073=$E843)*(ROW(T$2:T$1073)&lt;&gt;ROW(T843))*(T$2:T$1073&lt;&gt;""))),"")</f>
        <v>5.4869409864042928E-2</v>
      </c>
      <c r="AC843" cm="1">
        <f t="array" ref="AC843">IFERROR(AVERAGE(_xlfn._xlws.FILTER(U$2:U$1073,($C$2:$C$1073=$C843)*($E$2:$E$1073=$E843)*(ROW(U$2:U$1073)&lt;&gt;ROW(U843))*(U$2:U$1073&lt;&gt;""))),"")</f>
        <v>2.0086781177717459</v>
      </c>
      <c r="AD843" cm="1">
        <f t="array" ref="AD843">IFERROR(AVERAGE(_xlfn._xlws.FILTER(V$2:V$1073,($C$2:$C$1073=$C843)*($E$2:$E$1073=$E843)*(ROW(V$2:V$1073)&lt;&gt;ROW(V843))*(V$2:V$1073&lt;&gt;""))),"")</f>
        <v>0.64409028041831262</v>
      </c>
      <c r="AE843">
        <f>IF('Дивиденды по годам'!M843&lt;0,1,0)</f>
        <v>0</v>
      </c>
    </row>
    <row r="844" spans="1:31" x14ac:dyDescent="0.2">
      <c r="A844" s="7" t="s">
        <v>2284</v>
      </c>
      <c r="B844" t="str">
        <f t="shared" si="143"/>
        <v>POSI IV кв. 2015</v>
      </c>
      <c r="C844">
        <v>2015</v>
      </c>
      <c r="D844">
        <f>SUMIFS(Дивиденды!$C:$C,Дивиденды!$A:$A,A844,Дивиденды!$I:$I,C844)</f>
        <v>0</v>
      </c>
      <c r="E844">
        <v>5</v>
      </c>
      <c r="F844">
        <f t="shared" si="144"/>
        <v>0</v>
      </c>
      <c r="G844">
        <f t="shared" si="145"/>
        <v>2.3218181818181818</v>
      </c>
      <c r="H844">
        <f t="shared" si="146"/>
        <v>0</v>
      </c>
      <c r="I844">
        <f t="shared" si="147"/>
        <v>0.18181818181818182</v>
      </c>
      <c r="J844">
        <f t="shared" si="148"/>
        <v>0</v>
      </c>
      <c r="K844">
        <f t="shared" si="153"/>
        <v>4.855464114120716E-2</v>
      </c>
      <c r="L844">
        <f t="shared" si="149"/>
        <v>0</v>
      </c>
      <c r="M844">
        <f t="shared" si="150"/>
        <v>9.0909090909090912E-2</v>
      </c>
      <c r="N844">
        <f t="shared" si="151"/>
        <v>0</v>
      </c>
      <c r="O844">
        <f t="shared" si="152"/>
        <v>9.0909090909090912E-2</v>
      </c>
      <c r="P844" t="str">
        <f>IFERROR(LN('Дивиденды по годам'!I844),"")</f>
        <v/>
      </c>
      <c r="Q844" t="str">
        <f>IFERROR('Дивиденды по годам'!G844/'Дивиденды по годам'!I844, "")</f>
        <v/>
      </c>
      <c r="R844" t="str">
        <f>IFERROR(IF(AND('Дивиденды по годам'!N844&lt;&gt;"",'Дивиденды по годам'!U844&lt;&gt;"",'Дивиденды по годам'!U844&lt;&gt;0),'Дивиденды по годам'!N844/'Дивиденды по годам'!U844-1,""),"")</f>
        <v/>
      </c>
      <c r="S844" t="str">
        <f>IFERROR(IF(AND('Дивиденды по годам'!L844&lt;&gt;"",'Дивиденды по годам'!I844&lt;&gt;"",'Дивиденды по годам'!J844&lt;&gt;"",'Дивиденды по годам'!K844&lt;&gt;"",('Дивиденды по годам'!I844-'Дивиденды по годам'!J844-'Дивиденды по годам'!K844)&lt;&gt;0),'Дивиденды по годам'!L844/('Дивиденды по годам'!I844-'Дивиденды по годам'!J844-'Дивиденды по годам'!K844),""),"")</f>
        <v/>
      </c>
      <c r="T844" t="str">
        <f>IFERROR(IF(AND('Дивиденды по годам'!Q844&lt;&gt;"",'Дивиденды по годам'!I844&lt;&gt;"",'Дивиденды по годам'!V844&lt;&gt;"",('Дивиденды по годам'!I844+'Дивиденды по годам'!V844)&lt;&gt;0),'Дивиденды по годам'!Q844/(('Дивиденды по годам'!I844+'Дивиденды по годам'!V844)/2),""),"")</f>
        <v/>
      </c>
      <c r="U844" t="str">
        <f>IFERROR(IF(AND('Дивиденды по годам'!J844&lt;&gt;"",'Дивиденды по годам'!K844&lt;&gt;"",'Дивиденды по годам'!M844&lt;&gt;"",'Дивиденды по годам'!M844&lt;&gt;0),('Дивиденды по годам'!J844+'Дивиденды по годам'!K844)/'Дивиденды по годам'!M844,""),"")</f>
        <v/>
      </c>
      <c r="V844" t="str">
        <f>IFERROR(IF(AND('Дивиденды по годам'!J844&lt;&gt;"",'Дивиденды по годам'!K844&lt;&gt;"",'Дивиденды по годам'!M844&lt;&gt;"",'Дивиденды по годам'!I844&lt;&gt;0),('Дивиденды по годам'!J844+'Дивиденды по годам'!K844)/'Дивиденды по годам'!I844,""),"")</f>
        <v/>
      </c>
      <c r="W844" t="str">
        <f>IFERROR('Дивиденды по годам'!I844,"")</f>
        <v/>
      </c>
      <c r="X844" cm="1">
        <f t="array" ref="X844">IFERROR(AVERAGE(_xlfn._xlws.FILTER(P$2:P$1073,($C$2:$C$1073=$C844)*($E$2:$E$1073=$E844)*(ROW(P$2:P$1073)&lt;&gt;ROW(P844))*(P$2:P$1073&lt;&gt;""))),"")</f>
        <v>27.120501452642756</v>
      </c>
      <c r="Y844" cm="1">
        <f t="array" ref="Y844">IFERROR(AVERAGE(_xlfn._xlws.FILTER(Q$2:Q$1073,($C$2:$C$1073=$C844)*($E$2:$E$1073=$E844)*(ROW(Q$2:Q$1073)&lt;&gt;ROW(Q844))*(Q$2:Q$1073&lt;&gt;""))),"")</f>
        <v>0.53878421833606405</v>
      </c>
      <c r="Z844" cm="1">
        <f t="array" ref="Z844">IFERROR(AVERAGE(_xlfn._xlws.FILTER(R$2:R$1073,($C$2:$C$1073=$C844)*($E$2:$E$1073=$E844)*(ROW(R$2:R$1073)&lt;&gt;ROW(R844))*(R$2:R$1073&lt;&gt;""))),"")</f>
        <v>2.2276174497294132E-2</v>
      </c>
      <c r="AA844" cm="1">
        <f t="array" ref="AA844">IFERROR(AVERAGE(_xlfn._xlws.FILTER(S$2:S$1073,($C$2:$C$1073=$C844)*($E$2:$E$1073=$E844)*(ROW(S$2:S$1073)&lt;&gt;ROW(S844))*(S$2:S$1073&lt;&gt;""))),"")</f>
        <v>1.2586396116380416</v>
      </c>
      <c r="AB844" cm="1">
        <f t="array" ref="AB844">IFERROR(AVERAGE(_xlfn._xlws.FILTER(T$2:T$1073,($C$2:$C$1073=$C844)*($E$2:$E$1073=$E844)*(ROW(T$2:T$1073)&lt;&gt;ROW(T844))*(T$2:T$1073&lt;&gt;""))),"")</f>
        <v>5.0636797509896803E-2</v>
      </c>
      <c r="AC844" cm="1">
        <f t="array" ref="AC844">IFERROR(AVERAGE(_xlfn._xlws.FILTER(U$2:U$1073,($C$2:$C$1073=$C844)*($E$2:$E$1073=$E844)*(ROW(U$2:U$1073)&lt;&gt;ROW(U844))*(U$2:U$1073&lt;&gt;""))),"")</f>
        <v>2.0444165107764372</v>
      </c>
      <c r="AD844" cm="1">
        <f t="array" ref="AD844">IFERROR(AVERAGE(_xlfn._xlws.FILTER(V$2:V$1073,($C$2:$C$1073=$C844)*($E$2:$E$1073=$E844)*(ROW(V$2:V$1073)&lt;&gt;ROW(V844))*(V$2:V$1073&lt;&gt;""))),"")</f>
        <v>0.64472959627967386</v>
      </c>
      <c r="AE844">
        <f>IF('Дивиденды по годам'!M844&lt;0,1,0)</f>
        <v>0</v>
      </c>
    </row>
    <row r="845" spans="1:31" x14ac:dyDescent="0.2">
      <c r="A845" s="7" t="s">
        <v>2284</v>
      </c>
      <c r="B845" t="str">
        <f t="shared" si="143"/>
        <v>POSI IV кв. 2014</v>
      </c>
      <c r="C845">
        <v>2014</v>
      </c>
      <c r="D845">
        <f>SUMIFS(Дивиденды!$C:$C,Дивиденды!$A:$A,A845,Дивиденды!$I:$I,C845)</f>
        <v>0</v>
      </c>
      <c r="E845">
        <v>5</v>
      </c>
      <c r="F845">
        <f t="shared" si="144"/>
        <v>0</v>
      </c>
      <c r="G845">
        <f t="shared" si="145"/>
        <v>2.6454545454545451</v>
      </c>
      <c r="H845">
        <f t="shared" si="146"/>
        <v>0</v>
      </c>
      <c r="I845">
        <f t="shared" si="147"/>
        <v>0.18181818181818182</v>
      </c>
      <c r="J845">
        <f t="shared" si="148"/>
        <v>0</v>
      </c>
      <c r="K845">
        <f t="shared" si="153"/>
        <v>1.3814271370946419E-2</v>
      </c>
      <c r="L845">
        <f t="shared" si="149"/>
        <v>0</v>
      </c>
      <c r="M845">
        <f t="shared" si="150"/>
        <v>0.18181818181818182</v>
      </c>
      <c r="N845">
        <f t="shared" si="151"/>
        <v>0</v>
      </c>
      <c r="O845">
        <f t="shared" si="152"/>
        <v>0</v>
      </c>
      <c r="P845" t="str">
        <f>IFERROR(LN('Дивиденды по годам'!I845),"")</f>
        <v/>
      </c>
      <c r="Q845" t="str">
        <f>IFERROR('Дивиденды по годам'!G845/'Дивиденды по годам'!I845, "")</f>
        <v/>
      </c>
      <c r="R845" t="str">
        <f>IFERROR(IF(AND('Дивиденды по годам'!N845&lt;&gt;"",'Дивиденды по годам'!U845&lt;&gt;"",'Дивиденды по годам'!U845&lt;&gt;0),'Дивиденды по годам'!N845/'Дивиденды по годам'!U845-1,""),"")</f>
        <v/>
      </c>
      <c r="S845" t="str">
        <f>IFERROR(IF(AND('Дивиденды по годам'!L845&lt;&gt;"",'Дивиденды по годам'!I845&lt;&gt;"",'Дивиденды по годам'!J845&lt;&gt;"",'Дивиденды по годам'!K845&lt;&gt;"",('Дивиденды по годам'!I845-'Дивиденды по годам'!J845-'Дивиденды по годам'!K845)&lt;&gt;0),'Дивиденды по годам'!L845/('Дивиденды по годам'!I845-'Дивиденды по годам'!J845-'Дивиденды по годам'!K845),""),"")</f>
        <v/>
      </c>
      <c r="T845" t="str">
        <f>IFERROR(IF(AND('Дивиденды по годам'!Q845&lt;&gt;"",'Дивиденды по годам'!I845&lt;&gt;"",'Дивиденды по годам'!V845&lt;&gt;"",('Дивиденды по годам'!I845+'Дивиденды по годам'!V845)&lt;&gt;0),'Дивиденды по годам'!Q845/(('Дивиденды по годам'!I845+'Дивиденды по годам'!V845)/2),""),"")</f>
        <v/>
      </c>
      <c r="U845" t="str">
        <f>IFERROR(IF(AND('Дивиденды по годам'!J845&lt;&gt;"",'Дивиденды по годам'!K845&lt;&gt;"",'Дивиденды по годам'!M845&lt;&gt;"",'Дивиденды по годам'!M845&lt;&gt;0),('Дивиденды по годам'!J845+'Дивиденды по годам'!K845)/'Дивиденды по годам'!M845,""),"")</f>
        <v/>
      </c>
      <c r="V845" t="str">
        <f>IFERROR(IF(AND('Дивиденды по годам'!J845&lt;&gt;"",'Дивиденды по годам'!K845&lt;&gt;"",'Дивиденды по годам'!M845&lt;&gt;"",'Дивиденды по годам'!I845&lt;&gt;0),('Дивиденды по годам'!J845+'Дивиденды по годам'!K845)/'Дивиденды по годам'!I845,""),"")</f>
        <v/>
      </c>
      <c r="W845" t="str">
        <f>IFERROR('Дивиденды по годам'!I845,"")</f>
        <v/>
      </c>
      <c r="X845" cm="1">
        <f t="array" ref="X845">IFERROR(AVERAGE(_xlfn._xlws.FILTER(P$2:P$1073,($C$2:$C$1073=$C845)*($E$2:$E$1073=$E845)*(ROW(P$2:P$1073)&lt;&gt;ROW(P845))*(P$2:P$1073&lt;&gt;""))),"")</f>
        <v>27.082830809151307</v>
      </c>
      <c r="Y845" cm="1">
        <f t="array" ref="Y845">IFERROR(AVERAGE(_xlfn._xlws.FILTER(Q$2:Q$1073,($C$2:$C$1073=$C845)*($E$2:$E$1073=$E845)*(ROW(Q$2:Q$1073)&lt;&gt;ROW(Q845))*(Q$2:Q$1073&lt;&gt;""))),"")</f>
        <v>0.5450738024161359</v>
      </c>
      <c r="Z845" cm="1">
        <f t="array" ref="Z845">IFERROR(AVERAGE(_xlfn._xlws.FILTER(R$2:R$1073,($C$2:$C$1073=$C845)*($E$2:$E$1073=$E845)*(ROW(R$2:R$1073)&lt;&gt;ROW(R845))*(R$2:R$1073&lt;&gt;""))),"")</f>
        <v>2.9557764869601155E-2</v>
      </c>
      <c r="AA845" cm="1">
        <f t="array" ref="AA845">IFERROR(AVERAGE(_xlfn._xlws.FILTER(S$2:S$1073,($C$2:$C$1073=$C845)*($E$2:$E$1073=$E845)*(ROW(S$2:S$1073)&lt;&gt;ROW(S845))*(S$2:S$1073&lt;&gt;""))),"")</f>
        <v>1.1443286994996271</v>
      </c>
      <c r="AB845" cm="1">
        <f t="array" ref="AB845">IFERROR(AVERAGE(_xlfn._xlws.FILTER(T$2:T$1073,($C$2:$C$1073=$C845)*($E$2:$E$1073=$E845)*(ROW(T$2:T$1073)&lt;&gt;ROW(T845))*(T$2:T$1073&lt;&gt;""))),"")</f>
        <v>5.9751382409195454E-2</v>
      </c>
      <c r="AC845" cm="1">
        <f t="array" ref="AC845">IFERROR(AVERAGE(_xlfn._xlws.FILTER(U$2:U$1073,($C$2:$C$1073=$C845)*($E$2:$E$1073=$E845)*(ROW(U$2:U$1073)&lt;&gt;ROW(U845))*(U$2:U$1073&lt;&gt;""))),"")</f>
        <v>1.8184271482015117</v>
      </c>
      <c r="AD845" cm="1">
        <f t="array" ref="AD845">IFERROR(AVERAGE(_xlfn._xlws.FILTER(V$2:V$1073,($C$2:$C$1073=$C845)*($E$2:$E$1073=$E845)*(ROW(V$2:V$1073)&lt;&gt;ROW(V845))*(V$2:V$1073&lt;&gt;""))),"")</f>
        <v>0.62943537689886697</v>
      </c>
      <c r="AE845">
        <f>IF('Дивиденды по годам'!M845&lt;0,1,0)</f>
        <v>0</v>
      </c>
    </row>
    <row r="846" spans="1:31" x14ac:dyDescent="0.2">
      <c r="A846" s="7" t="s">
        <v>2284</v>
      </c>
      <c r="B846" t="str">
        <f t="shared" si="143"/>
        <v>POSI IV кв. 2013</v>
      </c>
      <c r="C846">
        <v>2013</v>
      </c>
      <c r="D846">
        <f>SUMIFS(Дивиденды!$C:$C,Дивиденды!$A:$A,A846,Дивиденды!$I:$I,C846)</f>
        <v>0</v>
      </c>
      <c r="E846">
        <v>5</v>
      </c>
      <c r="F846">
        <f t="shared" si="144"/>
        <v>0</v>
      </c>
      <c r="G846">
        <f t="shared" si="145"/>
        <v>2.4490909090909092</v>
      </c>
      <c r="H846">
        <f t="shared" si="146"/>
        <v>0</v>
      </c>
      <c r="I846">
        <f t="shared" si="147"/>
        <v>0.18181818181818182</v>
      </c>
      <c r="J846">
        <f t="shared" si="148"/>
        <v>0</v>
      </c>
      <c r="K846">
        <f t="shared" si="153"/>
        <v>8.2745033991384775E-2</v>
      </c>
      <c r="L846">
        <f t="shared" si="149"/>
        <v>0</v>
      </c>
      <c r="M846">
        <f t="shared" si="150"/>
        <v>0.18181818181818182</v>
      </c>
      <c r="N846">
        <f t="shared" si="151"/>
        <v>0</v>
      </c>
      <c r="O846">
        <f t="shared" si="152"/>
        <v>0</v>
      </c>
      <c r="P846" t="str">
        <f>IFERROR(LN('Дивиденды по годам'!I846),"")</f>
        <v/>
      </c>
      <c r="Q846" t="str">
        <f>IFERROR('Дивиденды по годам'!G846/'Дивиденды по годам'!I846, "")</f>
        <v/>
      </c>
      <c r="R846" t="str">
        <f>IFERROR(IF(AND('Дивиденды по годам'!N846&lt;&gt;"",'Дивиденды по годам'!U846&lt;&gt;"",'Дивиденды по годам'!U846&lt;&gt;0),'Дивиденды по годам'!N846/'Дивиденды по годам'!U846-1,""),"")</f>
        <v/>
      </c>
      <c r="S846" t="str">
        <f>IFERROR(IF(AND('Дивиденды по годам'!L846&lt;&gt;"",'Дивиденды по годам'!I846&lt;&gt;"",'Дивиденды по годам'!J846&lt;&gt;"",'Дивиденды по годам'!K846&lt;&gt;"",('Дивиденды по годам'!I846-'Дивиденды по годам'!J846-'Дивиденды по годам'!K846)&lt;&gt;0),'Дивиденды по годам'!L846/('Дивиденды по годам'!I846-'Дивиденды по годам'!J846-'Дивиденды по годам'!K846),""),"")</f>
        <v/>
      </c>
      <c r="T846" t="str">
        <f>IFERROR(IF(AND('Дивиденды по годам'!Q846&lt;&gt;"",'Дивиденды по годам'!I846&lt;&gt;"",'Дивиденды по годам'!V846&lt;&gt;"",('Дивиденды по годам'!I846+'Дивиденды по годам'!V846)&lt;&gt;0),'Дивиденды по годам'!Q846/(('Дивиденды по годам'!I846+'Дивиденды по годам'!V846)/2),""),"")</f>
        <v/>
      </c>
      <c r="U846" t="str">
        <f>IFERROR(IF(AND('Дивиденды по годам'!J846&lt;&gt;"",'Дивиденды по годам'!K846&lt;&gt;"",'Дивиденды по годам'!M846&lt;&gt;"",'Дивиденды по годам'!M846&lt;&gt;0),('Дивиденды по годам'!J846+'Дивиденды по годам'!K846)/'Дивиденды по годам'!M846,""),"")</f>
        <v/>
      </c>
      <c r="V846" t="str">
        <f>IFERROR(IF(AND('Дивиденды по годам'!J846&lt;&gt;"",'Дивиденды по годам'!K846&lt;&gt;"",'Дивиденды по годам'!M846&lt;&gt;"",'Дивиденды по годам'!I846&lt;&gt;0),('Дивиденды по годам'!J846+'Дивиденды по годам'!K846)/'Дивиденды по годам'!I846,""),"")</f>
        <v/>
      </c>
      <c r="W846" t="str">
        <f>IFERROR('Дивиденды по годам'!I846,"")</f>
        <v/>
      </c>
      <c r="X846" cm="1">
        <f t="array" ref="X846">IFERROR(AVERAGE(_xlfn._xlws.FILTER(P$2:P$1073,($C$2:$C$1073=$C846)*($E$2:$E$1073=$E846)*(ROW(P$2:P$1073)&lt;&gt;ROW(P846))*(P$2:P$1073&lt;&gt;""))),"")</f>
        <v>26.980715693689852</v>
      </c>
      <c r="Y846" cm="1">
        <f t="array" ref="Y846">IFERROR(AVERAGE(_xlfn._xlws.FILTER(Q$2:Q$1073,($C$2:$C$1073=$C846)*($E$2:$E$1073=$E846)*(ROW(Q$2:Q$1073)&lt;&gt;ROW(Q846))*(Q$2:Q$1073&lt;&gt;""))),"")</f>
        <v>0.57737124989859567</v>
      </c>
      <c r="Z846" cm="1">
        <f t="array" ref="Z846">IFERROR(AVERAGE(_xlfn._xlws.FILTER(R$2:R$1073,($C$2:$C$1073=$C846)*($E$2:$E$1073=$E846)*(ROW(R$2:R$1073)&lt;&gt;ROW(R846))*(R$2:R$1073&lt;&gt;""))),"")</f>
        <v>-3.1761213433143809E-2</v>
      </c>
      <c r="AA846" t="str" cm="1">
        <f t="array" ref="AA846">IFERROR(AVERAGE(_xlfn._xlws.FILTER(S$2:S$1073,($C$2:$C$1073=$C846)*($E$2:$E$1073=$E846)*(ROW(S$2:S$1073)&lt;&gt;ROW(S846))*(S$2:S$1073&lt;&gt;""))),"")</f>
        <v/>
      </c>
      <c r="AB846" cm="1">
        <f t="array" ref="AB846">IFERROR(AVERAGE(_xlfn._xlws.FILTER(T$2:T$1073,($C$2:$C$1073=$C846)*($E$2:$E$1073=$E846)*(ROW(T$2:T$1073)&lt;&gt;ROW(T846))*(T$2:T$1073&lt;&gt;""))),"")</f>
        <v>0.10442686382361807</v>
      </c>
      <c r="AC846" cm="1">
        <f t="array" ref="AC846">IFERROR(AVERAGE(_xlfn._xlws.FILTER(U$2:U$1073,($C$2:$C$1073=$C846)*($E$2:$E$1073=$E846)*(ROW(U$2:U$1073)&lt;&gt;ROW(U846))*(U$2:U$1073&lt;&gt;""))),"")</f>
        <v>1.9310921377733694</v>
      </c>
      <c r="AD846" cm="1">
        <f t="array" ref="AD846">IFERROR(AVERAGE(_xlfn._xlws.FILTER(V$2:V$1073,($C$2:$C$1073=$C846)*($E$2:$E$1073=$E846)*(ROW(V$2:V$1073)&lt;&gt;ROW(V846))*(V$2:V$1073&lt;&gt;""))),"")</f>
        <v>0.65823029186247406</v>
      </c>
      <c r="AE846">
        <f>IF('Дивиденды по годам'!M846&lt;0,1,0)</f>
        <v>0</v>
      </c>
    </row>
    <row r="847" spans="1:31" x14ac:dyDescent="0.2">
      <c r="A847" s="7" t="s">
        <v>2284</v>
      </c>
      <c r="B847" t="str">
        <f t="shared" si="143"/>
        <v>POSI IV кв. 2012</v>
      </c>
      <c r="C847">
        <v>2012</v>
      </c>
      <c r="D847">
        <f>SUMIFS(Дивиденды!$C:$C,Дивиденды!$A:$A,A847,Дивиденды!$I:$I,C847)</f>
        <v>0</v>
      </c>
      <c r="E847">
        <v>5</v>
      </c>
      <c r="F847">
        <f t="shared" si="144"/>
        <v>0</v>
      </c>
      <c r="G847">
        <f t="shared" si="145"/>
        <v>1.5490909090909091</v>
      </c>
      <c r="H847">
        <f t="shared" si="146"/>
        <v>0</v>
      </c>
      <c r="I847">
        <f t="shared" si="147"/>
        <v>0.18181818181818182</v>
      </c>
      <c r="J847">
        <f t="shared" si="148"/>
        <v>0</v>
      </c>
      <c r="K847">
        <f t="shared" si="153"/>
        <v>-4.4393542728732291E-2</v>
      </c>
      <c r="L847">
        <f t="shared" si="149"/>
        <v>0</v>
      </c>
      <c r="M847">
        <f t="shared" si="150"/>
        <v>0</v>
      </c>
      <c r="N847">
        <f t="shared" si="151"/>
        <v>0</v>
      </c>
      <c r="O847">
        <f t="shared" si="152"/>
        <v>0.18181818181818182</v>
      </c>
      <c r="P847" t="str">
        <f>IFERROR(LN('Дивиденды по годам'!I847),"")</f>
        <v/>
      </c>
      <c r="Q847" t="str">
        <f>IFERROR('Дивиденды по годам'!G847/'Дивиденды по годам'!I847, "")</f>
        <v/>
      </c>
      <c r="R847" t="str">
        <f>IFERROR(IF(AND('Дивиденды по годам'!N847&lt;&gt;"",'Дивиденды по годам'!U847&lt;&gt;"",'Дивиденды по годам'!U847&lt;&gt;0),'Дивиденды по годам'!N847/'Дивиденды по годам'!U847-1,""),"")</f>
        <v/>
      </c>
      <c r="S847" t="str">
        <f>IFERROR(IF(AND('Дивиденды по годам'!L847&lt;&gt;"",'Дивиденды по годам'!I847&lt;&gt;"",'Дивиденды по годам'!J847&lt;&gt;"",'Дивиденды по годам'!K847&lt;&gt;"",('Дивиденды по годам'!I847-'Дивиденды по годам'!J847-'Дивиденды по годам'!K847)&lt;&gt;0),'Дивиденды по годам'!L847/('Дивиденды по годам'!I847-'Дивиденды по годам'!J847-'Дивиденды по годам'!K847),""),"")</f>
        <v/>
      </c>
      <c r="T847" t="str">
        <f>IFERROR(IF(AND('Дивиденды по годам'!Q847&lt;&gt;"",'Дивиденды по годам'!I847&lt;&gt;"",'Дивиденды по годам'!V847&lt;&gt;"",('Дивиденды по годам'!I847+'Дивиденды по годам'!V847)&lt;&gt;0),'Дивиденды по годам'!Q847/(('Дивиденды по годам'!I847+'Дивиденды по годам'!V847)/2),""),"")</f>
        <v/>
      </c>
      <c r="U847" t="str">
        <f>IFERROR(IF(AND('Дивиденды по годам'!J847&lt;&gt;"",'Дивиденды по годам'!K847&lt;&gt;"",'Дивиденды по годам'!M847&lt;&gt;"",'Дивиденды по годам'!M847&lt;&gt;0),('Дивиденды по годам'!J847+'Дивиденды по годам'!K847)/'Дивиденды по годам'!M847,""),"")</f>
        <v/>
      </c>
      <c r="V847" t="str">
        <f>IFERROR(IF(AND('Дивиденды по годам'!J847&lt;&gt;"",'Дивиденды по годам'!K847&lt;&gt;"",'Дивиденды по годам'!M847&lt;&gt;"",'Дивиденды по годам'!I847&lt;&gt;0),('Дивиденды по годам'!J847+'Дивиденды по годам'!K847)/'Дивиденды по годам'!I847,""),"")</f>
        <v/>
      </c>
      <c r="W847" t="str">
        <f>IFERROR('Дивиденды по годам'!I847,"")</f>
        <v/>
      </c>
      <c r="X847" cm="1">
        <f t="array" ref="X847">IFERROR(AVERAGE(_xlfn._xlws.FILTER(P$2:P$1073,($C$2:$C$1073=$C847)*($E$2:$E$1073=$E847)*(ROW(P$2:P$1073)&lt;&gt;ROW(P847))*(P$2:P$1073&lt;&gt;""))),"")</f>
        <v>26.976167524823197</v>
      </c>
      <c r="Y847" cm="1">
        <f t="array" ref="Y847">IFERROR(AVERAGE(_xlfn._xlws.FILTER(Q$2:Q$1073,($C$2:$C$1073=$C847)*($E$2:$E$1073=$E847)*(ROW(Q$2:Q$1073)&lt;&gt;ROW(Q847))*(Q$2:Q$1073&lt;&gt;""))),"")</f>
        <v>0.63141065735920243</v>
      </c>
      <c r="Z847" cm="1">
        <f t="array" ref="Z847">IFERROR(AVERAGE(_xlfn._xlws.FILTER(R$2:R$1073,($C$2:$C$1073=$C847)*($E$2:$E$1073=$E847)*(ROW(R$2:R$1073)&lt;&gt;ROW(R847))*(R$2:R$1073&lt;&gt;""))),"")</f>
        <v>8.5252436531932485E-2</v>
      </c>
      <c r="AA847" t="str" cm="1">
        <f t="array" ref="AA847">IFERROR(AVERAGE(_xlfn._xlws.FILTER(S$2:S$1073,($C$2:$C$1073=$C847)*($E$2:$E$1073=$E847)*(ROW(S$2:S$1073)&lt;&gt;ROW(S847))*(S$2:S$1073&lt;&gt;""))),"")</f>
        <v/>
      </c>
      <c r="AB847" cm="1">
        <f t="array" ref="AB847">IFERROR(AVERAGE(_xlfn._xlws.FILTER(T$2:T$1073,($C$2:$C$1073=$C847)*($E$2:$E$1073=$E847)*(ROW(T$2:T$1073)&lt;&gt;ROW(T847))*(T$2:T$1073&lt;&gt;""))),"")</f>
        <v>6.4593053680603474E-2</v>
      </c>
      <c r="AC847" cm="1">
        <f t="array" ref="AC847">IFERROR(AVERAGE(_xlfn._xlws.FILTER(U$2:U$1073,($C$2:$C$1073=$C847)*($E$2:$E$1073=$E847)*(ROW(U$2:U$1073)&lt;&gt;ROW(U847))*(U$2:U$1073&lt;&gt;""))),"")</f>
        <v>2.1186181543330798</v>
      </c>
      <c r="AD847" cm="1">
        <f t="array" ref="AD847">IFERROR(AVERAGE(_xlfn._xlws.FILTER(V$2:V$1073,($C$2:$C$1073=$C847)*($E$2:$E$1073=$E847)*(ROW(V$2:V$1073)&lt;&gt;ROW(V847))*(V$2:V$1073&lt;&gt;""))),"")</f>
        <v>0.6515550916449</v>
      </c>
      <c r="AE847">
        <f>IF('Дивиденды по годам'!M847&lt;0,1,0)</f>
        <v>0</v>
      </c>
    </row>
    <row r="848" spans="1:31" x14ac:dyDescent="0.2">
      <c r="A848" s="7" t="s">
        <v>2284</v>
      </c>
      <c r="B848" t="str">
        <f t="shared" si="143"/>
        <v>POSI IV кв. 2011</v>
      </c>
      <c r="C848">
        <v>2011</v>
      </c>
      <c r="D848">
        <f>SUMIFS(Дивиденды!$C:$C,Дивиденды!$A:$A,A848,Дивиденды!$I:$I,C848)</f>
        <v>0</v>
      </c>
      <c r="E848">
        <v>5</v>
      </c>
      <c r="F848">
        <f t="shared" si="144"/>
        <v>0</v>
      </c>
      <c r="G848">
        <f t="shared" si="145"/>
        <v>1.7645454545454546</v>
      </c>
      <c r="H848">
        <f t="shared" si="146"/>
        <v>0</v>
      </c>
      <c r="I848">
        <f t="shared" si="147"/>
        <v>0.18181818181818182</v>
      </c>
      <c r="J848">
        <f t="shared" si="148"/>
        <v>0</v>
      </c>
      <c r="K848">
        <f t="shared" si="153"/>
        <v>0.29508419260826407</v>
      </c>
      <c r="L848">
        <f t="shared" si="149"/>
        <v>0</v>
      </c>
      <c r="M848">
        <f t="shared" si="150"/>
        <v>0.18181818181818182</v>
      </c>
      <c r="N848">
        <f t="shared" si="151"/>
        <v>0</v>
      </c>
      <c r="O848">
        <f t="shared" si="152"/>
        <v>0</v>
      </c>
      <c r="P848" t="str">
        <f>IFERROR(LN('Дивиденды по годам'!I848),"")</f>
        <v/>
      </c>
      <c r="Q848" t="str">
        <f>IFERROR('Дивиденды по годам'!G848/'Дивиденды по годам'!I848, "")</f>
        <v/>
      </c>
      <c r="R848" t="str">
        <f>IFERROR(IF(AND('Дивиденды по годам'!N848&lt;&gt;"",'Дивиденды по годам'!U848&lt;&gt;"",'Дивиденды по годам'!U848&lt;&gt;0),'Дивиденды по годам'!N848/'Дивиденды по годам'!U848-1,""),"")</f>
        <v/>
      </c>
      <c r="S848" t="str">
        <f>IFERROR(IF(AND('Дивиденды по годам'!L848&lt;&gt;"",'Дивиденды по годам'!I848&lt;&gt;"",'Дивиденды по годам'!J848&lt;&gt;"",'Дивиденды по годам'!K848&lt;&gt;"",('Дивиденды по годам'!I848-'Дивиденды по годам'!J848-'Дивиденды по годам'!K848)&lt;&gt;0),'Дивиденды по годам'!L848/('Дивиденды по годам'!I848-'Дивиденды по годам'!J848-'Дивиденды по годам'!K848),""),"")</f>
        <v/>
      </c>
      <c r="T848" t="str">
        <f>IFERROR(IF(AND('Дивиденды по годам'!Q848&lt;&gt;"",'Дивиденды по годам'!I848&lt;&gt;"",'Дивиденды по годам'!V848&lt;&gt;"",('Дивиденды по годам'!I848+'Дивиденды по годам'!V848)&lt;&gt;0),'Дивиденды по годам'!Q848/(('Дивиденды по годам'!I848+'Дивиденды по годам'!V848)/2),""),"")</f>
        <v/>
      </c>
      <c r="U848" t="str">
        <f>IFERROR(IF(AND('Дивиденды по годам'!J848&lt;&gt;"",'Дивиденды по годам'!K848&lt;&gt;"",'Дивиденды по годам'!M848&lt;&gt;"",'Дивиденды по годам'!M848&lt;&gt;0),('Дивиденды по годам'!J848+'Дивиденды по годам'!K848)/'Дивиденды по годам'!M848,""),"")</f>
        <v/>
      </c>
      <c r="V848" t="str">
        <f>IFERROR(IF(AND('Дивиденды по годам'!J848&lt;&gt;"",'Дивиденды по годам'!K848&lt;&gt;"",'Дивиденды по годам'!M848&lt;&gt;"",'Дивиденды по годам'!I848&lt;&gt;0),('Дивиденды по годам'!J848+'Дивиденды по годам'!K848)/'Дивиденды по годам'!I848,""),"")</f>
        <v/>
      </c>
      <c r="W848" t="str">
        <f>IFERROR('Дивиденды по годам'!I848,"")</f>
        <v/>
      </c>
      <c r="X848" cm="1">
        <f t="array" ref="X848">IFERROR(AVERAGE(_xlfn._xlws.FILTER(P$2:P$1073,($C$2:$C$1073=$C848)*($E$2:$E$1073=$E848)*(ROW(P$2:P$1073)&lt;&gt;ROW(P848))*(P$2:P$1073&lt;&gt;""))),"")</f>
        <v>26.959846755112331</v>
      </c>
      <c r="Y848" cm="1">
        <f t="array" ref="Y848">IFERROR(AVERAGE(_xlfn._xlws.FILTER(Q$2:Q$1073,($C$2:$C$1073=$C848)*($E$2:$E$1073=$E848)*(ROW(Q$2:Q$1073)&lt;&gt;ROW(Q848))*(Q$2:Q$1073&lt;&gt;""))),"")</f>
        <v>0.64168629722093962</v>
      </c>
      <c r="Z848" t="str" cm="1">
        <f t="array" ref="Z848">IFERROR(AVERAGE(_xlfn._xlws.FILTER(R$2:R$1073,($C$2:$C$1073=$C848)*($E$2:$E$1073=$E848)*(ROW(R$2:R$1073)&lt;&gt;ROW(R848))*(R$2:R$1073&lt;&gt;""))),"")</f>
        <v/>
      </c>
      <c r="AA848" t="str" cm="1">
        <f t="array" ref="AA848">IFERROR(AVERAGE(_xlfn._xlws.FILTER(S$2:S$1073,($C$2:$C$1073=$C848)*($E$2:$E$1073=$E848)*(ROW(S$2:S$1073)&lt;&gt;ROW(S848))*(S$2:S$1073&lt;&gt;""))),"")</f>
        <v/>
      </c>
      <c r="AB848" t="str" cm="1">
        <f t="array" ref="AB848">IFERROR(AVERAGE(_xlfn._xlws.FILTER(T$2:T$1073,($C$2:$C$1073=$C848)*($E$2:$E$1073=$E848)*(ROW(T$2:T$1073)&lt;&gt;ROW(T848))*(T$2:T$1073&lt;&gt;""))),"")</f>
        <v/>
      </c>
      <c r="AC848" cm="1">
        <f t="array" ref="AC848">IFERROR(AVERAGE(_xlfn._xlws.FILTER(U$2:U$1073,($C$2:$C$1073=$C848)*($E$2:$E$1073=$E848)*(ROW(U$2:U$1073)&lt;&gt;ROW(U848))*(U$2:U$1073&lt;&gt;""))),"")</f>
        <v>0.9076461410986616</v>
      </c>
      <c r="AD848" cm="1">
        <f t="array" ref="AD848">IFERROR(AVERAGE(_xlfn._xlws.FILTER(V$2:V$1073,($C$2:$C$1073=$C848)*($E$2:$E$1073=$E848)*(ROW(V$2:V$1073)&lt;&gt;ROW(V848))*(V$2:V$1073&lt;&gt;""))),"")</f>
        <v>0.47579376570118254</v>
      </c>
      <c r="AE848">
        <f>IF('Дивиденды по годам'!M848&lt;0,1,0)</f>
        <v>0</v>
      </c>
    </row>
    <row r="849" spans="1:31" x14ac:dyDescent="0.2">
      <c r="A849" s="7" t="s">
        <v>2284</v>
      </c>
      <c r="B849" t="str">
        <f t="shared" si="143"/>
        <v>POSI IV кв. 2010</v>
      </c>
      <c r="C849">
        <v>2010</v>
      </c>
      <c r="D849">
        <f>SUMIFS(Дивиденды!$C:$C,Дивиденды!$A:$A,A849,Дивиденды!$I:$I,C849)</f>
        <v>0</v>
      </c>
      <c r="E849">
        <v>5</v>
      </c>
      <c r="F849">
        <f t="shared" si="144"/>
        <v>0</v>
      </c>
      <c r="G849">
        <f t="shared" si="145"/>
        <v>1.4227272727272726</v>
      </c>
      <c r="H849">
        <f t="shared" si="146"/>
        <v>0</v>
      </c>
      <c r="I849">
        <f t="shared" si="147"/>
        <v>0.18181818181818182</v>
      </c>
      <c r="J849" t="str">
        <f t="shared" si="148"/>
        <v/>
      </c>
      <c r="K849" t="str">
        <f t="shared" si="153"/>
        <v/>
      </c>
      <c r="L849" t="str">
        <f t="shared" si="149"/>
        <v/>
      </c>
      <c r="M849" t="str">
        <f t="shared" si="150"/>
        <v/>
      </c>
      <c r="N849" t="str">
        <f t="shared" si="151"/>
        <v/>
      </c>
      <c r="O849" t="str">
        <f t="shared" si="152"/>
        <v/>
      </c>
      <c r="P849" t="str">
        <f>IFERROR(LN('Дивиденды по годам'!I849),"")</f>
        <v/>
      </c>
      <c r="Q849" t="str">
        <f>IFERROR('Дивиденды по годам'!G849/'Дивиденды по годам'!I849, "")</f>
        <v/>
      </c>
      <c r="R849" t="str">
        <f>IFERROR(IF(AND('Дивиденды по годам'!N849&lt;&gt;"",'Дивиденды по годам'!U849&lt;&gt;"",'Дивиденды по годам'!U849&lt;&gt;0),'Дивиденды по годам'!N849/'Дивиденды по годам'!U849-1,""),"")</f>
        <v/>
      </c>
      <c r="S849" t="str">
        <f>IFERROR(IF(AND('Дивиденды по годам'!L849&lt;&gt;"",'Дивиденды по годам'!I849&lt;&gt;"",'Дивиденды по годам'!J849&lt;&gt;"",'Дивиденды по годам'!K849&lt;&gt;"",('Дивиденды по годам'!I849-'Дивиденды по годам'!J849-'Дивиденды по годам'!K849)&lt;&gt;0),'Дивиденды по годам'!L849/('Дивиденды по годам'!I849-'Дивиденды по годам'!J849-'Дивиденды по годам'!K849),""),"")</f>
        <v/>
      </c>
      <c r="T849" t="str">
        <f>IFERROR(IF(AND('Дивиденды по годам'!Q849&lt;&gt;"",'Дивиденды по годам'!I849&lt;&gt;"",'Дивиденды по годам'!V849&lt;&gt;"",('Дивиденды по годам'!I849+'Дивиденды по годам'!V849)&lt;&gt;0),'Дивиденды по годам'!Q849/(('Дивиденды по годам'!I849+'Дивиденды по годам'!V849)/2),""),"")</f>
        <v/>
      </c>
      <c r="U849" t="str">
        <f>IFERROR(IF(AND('Дивиденды по годам'!J849&lt;&gt;"",'Дивиденды по годам'!K849&lt;&gt;"",'Дивиденды по годам'!M849&lt;&gt;"",'Дивиденды по годам'!M849&lt;&gt;0),('Дивиденды по годам'!J849+'Дивиденды по годам'!K849)/'Дивиденды по годам'!M849,""),"")</f>
        <v/>
      </c>
      <c r="V849" t="str">
        <f>IFERROR(IF(AND('Дивиденды по годам'!J849&lt;&gt;"",'Дивиденды по годам'!K849&lt;&gt;"",'Дивиденды по годам'!M849&lt;&gt;"",'Дивиденды по годам'!I849&lt;&gt;0),('Дивиденды по годам'!J849+'Дивиденды по годам'!K849)/'Дивиденды по годам'!I849,""),"")</f>
        <v/>
      </c>
      <c r="W849" t="str">
        <f>IFERROR('Дивиденды по годам'!I849,"")</f>
        <v/>
      </c>
      <c r="X849" t="str" cm="1">
        <f t="array" ref="X849">IFERROR(AVERAGE(_xlfn._xlws.FILTER(P$2:P$1073,($C$2:$C$1073=$C849)*($E$2:$E$1073=$E849)*(ROW(P$2:P$1073)&lt;&gt;ROW(P849))*(P$2:P$1073&lt;&gt;""))),"")</f>
        <v/>
      </c>
      <c r="Y849" t="str" cm="1">
        <f t="array" ref="Y849">IFERROR(AVERAGE(_xlfn._xlws.FILTER(Q$2:Q$1073,($C$2:$C$1073=$C849)*($E$2:$E$1073=$E849)*(ROW(Q$2:Q$1073)&lt;&gt;ROW(Q849))*(Q$2:Q$1073&lt;&gt;""))),"")</f>
        <v/>
      </c>
      <c r="Z849" t="str" cm="1">
        <f t="array" ref="Z849">IFERROR(AVERAGE(_xlfn._xlws.FILTER(R$2:R$1073,($C$2:$C$1073=$C849)*($E$2:$E$1073=$E849)*(ROW(R$2:R$1073)&lt;&gt;ROW(R849))*(R$2:R$1073&lt;&gt;""))),"")</f>
        <v/>
      </c>
      <c r="AA849" t="str" cm="1">
        <f t="array" ref="AA849">IFERROR(AVERAGE(_xlfn._xlws.FILTER(S$2:S$1073,($C$2:$C$1073=$C849)*($E$2:$E$1073=$E849)*(ROW(S$2:S$1073)&lt;&gt;ROW(S849))*(S$2:S$1073&lt;&gt;""))),"")</f>
        <v/>
      </c>
      <c r="AB849" t="str" cm="1">
        <f t="array" ref="AB849">IFERROR(AVERAGE(_xlfn._xlws.FILTER(T$2:T$1073,($C$2:$C$1073=$C849)*($E$2:$E$1073=$E849)*(ROW(T$2:T$1073)&lt;&gt;ROW(T849))*(T$2:T$1073&lt;&gt;""))),"")</f>
        <v/>
      </c>
      <c r="AC849" t="str" cm="1">
        <f t="array" ref="AC849">IFERROR(AVERAGE(_xlfn._xlws.FILTER(U$2:U$1073,($C$2:$C$1073=$C849)*($E$2:$E$1073=$E849)*(ROW(U$2:U$1073)&lt;&gt;ROW(U849))*(U$2:U$1073&lt;&gt;""))),"")</f>
        <v/>
      </c>
      <c r="AD849" t="str" cm="1">
        <f t="array" ref="AD849">IFERROR(AVERAGE(_xlfn._xlws.FILTER(V$2:V$1073,($C$2:$C$1073=$C849)*($E$2:$E$1073=$E849)*(ROW(V$2:V$1073)&lt;&gt;ROW(V849))*(V$2:V$1073&lt;&gt;""))),"")</f>
        <v/>
      </c>
      <c r="AE849">
        <f>IF('Дивиденды по годам'!M849&lt;0,1,0)</f>
        <v>0</v>
      </c>
    </row>
    <row r="850" spans="1:31" x14ac:dyDescent="0.2">
      <c r="A850" s="7" t="s">
        <v>2321</v>
      </c>
      <c r="B850" t="str">
        <f t="shared" si="143"/>
        <v>SOFL IV кв. 2025</v>
      </c>
      <c r="C850">
        <v>2025</v>
      </c>
      <c r="D850">
        <f>SUMIFS(Дивиденды!$C:$C,Дивиденды!$A:$A,A850,Дивиденды!$I:$I,C850)</f>
        <v>0</v>
      </c>
      <c r="E850">
        <v>5</v>
      </c>
      <c r="F850">
        <f t="shared" si="144"/>
        <v>0</v>
      </c>
      <c r="G850">
        <f t="shared" si="145"/>
        <v>51.49636363636364</v>
      </c>
      <c r="H850">
        <f t="shared" si="146"/>
        <v>0</v>
      </c>
      <c r="I850">
        <f t="shared" si="147"/>
        <v>0.54545454545454541</v>
      </c>
      <c r="J850">
        <f t="shared" si="148"/>
        <v>0</v>
      </c>
      <c r="K850">
        <f t="shared" si="153"/>
        <v>-2.3157914365832092E-2</v>
      </c>
      <c r="L850">
        <f t="shared" si="149"/>
        <v>0</v>
      </c>
      <c r="M850">
        <f t="shared" si="150"/>
        <v>0.36363636363636365</v>
      </c>
      <c r="N850">
        <f t="shared" si="151"/>
        <v>0</v>
      </c>
      <c r="O850">
        <f t="shared" si="152"/>
        <v>0.54545454545454541</v>
      </c>
      <c r="P850" t="str">
        <f>IFERROR(LN('Дивиденды по годам'!I850),"")</f>
        <v/>
      </c>
      <c r="Q850" t="str">
        <f>IFERROR('Дивиденды по годам'!G850/'Дивиденды по годам'!I850, "")</f>
        <v/>
      </c>
      <c r="R850" t="str">
        <f>IFERROR(IF(AND('Дивиденды по годам'!N850&lt;&gt;"",'Дивиденды по годам'!U850&lt;&gt;"",'Дивиденды по годам'!U850&lt;&gt;0),'Дивиденды по годам'!N850/'Дивиденды по годам'!U850-1,""),"")</f>
        <v/>
      </c>
      <c r="S850" t="str">
        <f>IFERROR(IF(AND('Дивиденды по годам'!L850&lt;&gt;"",'Дивиденды по годам'!I850&lt;&gt;"",'Дивиденды по годам'!J850&lt;&gt;"",'Дивиденды по годам'!K850&lt;&gt;"",('Дивиденды по годам'!I850-'Дивиденды по годам'!J850-'Дивиденды по годам'!K850)&lt;&gt;0),'Дивиденды по годам'!L850/('Дивиденды по годам'!I850-'Дивиденды по годам'!J850-'Дивиденды по годам'!K850),""),"")</f>
        <v/>
      </c>
      <c r="T850" t="str">
        <f>IFERROR(IF(AND('Дивиденды по годам'!Q850&lt;&gt;"",'Дивиденды по годам'!I850&lt;&gt;"",'Дивиденды по годам'!V850&lt;&gt;"",('Дивиденды по годам'!I850+'Дивиденды по годам'!V850)&lt;&gt;0),'Дивиденды по годам'!Q850/(('Дивиденды по годам'!I850+'Дивиденды по годам'!V850)/2),""),"")</f>
        <v/>
      </c>
      <c r="U850" t="str">
        <f>IFERROR(IF(AND('Дивиденды по годам'!J850&lt;&gt;"",'Дивиденды по годам'!K850&lt;&gt;"",'Дивиденды по годам'!M850&lt;&gt;"",'Дивиденды по годам'!M850&lt;&gt;0),('Дивиденды по годам'!J850+'Дивиденды по годам'!K850)/'Дивиденды по годам'!M850,""),"")</f>
        <v/>
      </c>
      <c r="V850" t="str">
        <f>IFERROR(IF(AND('Дивиденды по годам'!J850&lt;&gt;"",'Дивиденды по годам'!K850&lt;&gt;"",'Дивиденды по годам'!M850&lt;&gt;"",'Дивиденды по годам'!I850&lt;&gt;0),('Дивиденды по годам'!J850+'Дивиденды по годам'!K850)/'Дивиденды по годам'!I850,""),"")</f>
        <v/>
      </c>
      <c r="W850" t="str">
        <f>IFERROR('Дивиденды по годам'!I850,"")</f>
        <v/>
      </c>
      <c r="X850" cm="1">
        <f t="array" ref="X850">IFERROR(AVERAGE(_xlfn._xlws.FILTER(P$2:P$1073,($C$2:$C$1073=$C850)*($E$2:$E$1073=$E850)*(ROW(P$2:P$1073)&lt;&gt;ROW(P850))*(P$2:P$1073&lt;&gt;""))),"")</f>
        <v>26.521286940703849</v>
      </c>
      <c r="Y850" cm="1">
        <f t="array" ref="Y850">IFERROR(AVERAGE(_xlfn._xlws.FILTER(Q$2:Q$1073,($C$2:$C$1073=$C850)*($E$2:$E$1073=$E850)*(ROW(Q$2:Q$1073)&lt;&gt;ROW(Q850))*(Q$2:Q$1073&lt;&gt;""))),"")</f>
        <v>0.19369353703050501</v>
      </c>
      <c r="Z850" cm="1">
        <f t="array" ref="Z850">IFERROR(AVERAGE(_xlfn._xlws.FILTER(R$2:R$1073,($C$2:$C$1073=$C850)*($E$2:$E$1073=$E850)*(ROW(R$2:R$1073)&lt;&gt;ROW(R850))*(R$2:R$1073&lt;&gt;""))),"")</f>
        <v>0.14131329588399896</v>
      </c>
      <c r="AA850" cm="1">
        <f t="array" ref="AA850">IFERROR(AVERAGE(_xlfn._xlws.FILTER(S$2:S$1073,($C$2:$C$1073=$C850)*($E$2:$E$1073=$E850)*(ROW(S$2:S$1073)&lt;&gt;ROW(S850))*(S$2:S$1073&lt;&gt;""))),"")</f>
        <v>0.69198231878475358</v>
      </c>
      <c r="AB850" cm="1">
        <f t="array" ref="AB850">IFERROR(AVERAGE(_xlfn._xlws.FILTER(T$2:T$1073,($C$2:$C$1073=$C850)*($E$2:$E$1073=$E850)*(ROW(T$2:T$1073)&lt;&gt;ROW(T850))*(T$2:T$1073&lt;&gt;""))),"")</f>
        <v>0.12648274488223432</v>
      </c>
      <c r="AC850" cm="1">
        <f t="array" ref="AC850">IFERROR(AVERAGE(_xlfn._xlws.FILTER(U$2:U$1073,($C$2:$C$1073=$C850)*($E$2:$E$1073=$E850)*(ROW(U$2:U$1073)&lt;&gt;ROW(U850))*(U$2:U$1073&lt;&gt;""))),"")</f>
        <v>14.735041078316815</v>
      </c>
      <c r="AD850" cm="1">
        <f t="array" ref="AD850">IFERROR(AVERAGE(_xlfn._xlws.FILTER(V$2:V$1073,($C$2:$C$1073=$C850)*($E$2:$E$1073=$E850)*(ROW(V$2:V$1073)&lt;&gt;ROW(V850))*(V$2:V$1073&lt;&gt;""))),"")</f>
        <v>0.73030007244080331</v>
      </c>
      <c r="AE850">
        <f>IF('Дивиденды по годам'!M850&lt;0,1,0)</f>
        <v>0</v>
      </c>
    </row>
    <row r="851" spans="1:31" x14ac:dyDescent="0.2">
      <c r="A851" s="7" t="s">
        <v>2321</v>
      </c>
      <c r="B851" t="str">
        <f t="shared" si="143"/>
        <v>SOFL IV кв. 2024</v>
      </c>
      <c r="C851">
        <v>2024</v>
      </c>
      <c r="D851">
        <f>SUMIFS(Дивиденды!$C:$C,Дивиденды!$A:$A,A851,Дивиденды!$I:$I,C851)</f>
        <v>0</v>
      </c>
      <c r="E851">
        <v>5</v>
      </c>
      <c r="F851">
        <f t="shared" si="144"/>
        <v>0</v>
      </c>
      <c r="G851">
        <f t="shared" si="145"/>
        <v>102.16454545454545</v>
      </c>
      <c r="H851">
        <f t="shared" si="146"/>
        <v>0</v>
      </c>
      <c r="I851">
        <f t="shared" si="147"/>
        <v>0.63636363636363635</v>
      </c>
      <c r="J851">
        <f t="shared" si="148"/>
        <v>0</v>
      </c>
      <c r="K851">
        <f t="shared" si="153"/>
        <v>0.22526756384337021</v>
      </c>
      <c r="L851">
        <f t="shared" si="149"/>
        <v>0</v>
      </c>
      <c r="M851">
        <f t="shared" si="150"/>
        <v>0.36363636363636365</v>
      </c>
      <c r="N851">
        <f t="shared" si="151"/>
        <v>0</v>
      </c>
      <c r="O851">
        <f t="shared" si="152"/>
        <v>0.18181818181818182</v>
      </c>
      <c r="P851">
        <f>IFERROR(LN('Дивиденды по годам'!I851),"")</f>
        <v>25.317112149203059</v>
      </c>
      <c r="Q851">
        <f>IFERROR('Дивиденды по годам'!G851/'Дивиденды по годам'!I851, "")</f>
        <v>5.6273641199910997E-2</v>
      </c>
      <c r="R851">
        <f>IFERROR(IF(AND('Дивиденды по годам'!N851&lt;&gt;"",'Дивиденды по годам'!U851&lt;&gt;"",'Дивиденды по годам'!U851&lt;&gt;0),'Дивиденды по годам'!N851/'Дивиденды по годам'!U851-1,""),"")</f>
        <v>0.10856643117749143</v>
      </c>
      <c r="S851">
        <f>IFERROR(IF(AND('Дивиденды по годам'!L851&lt;&gt;"",'Дивиденды по годам'!I851&lt;&gt;"",'Дивиденды по годам'!J851&lt;&gt;"",'Дивиденды по годам'!K851&lt;&gt;"",('Дивиденды по годам'!I851-'Дивиденды по годам'!J851-'Дивиденды по годам'!K851)&lt;&gt;0),'Дивиденды по годам'!L851/('Дивиденды по годам'!I851-'Дивиденды по годам'!J851-'Дивиденды по годам'!K851),""),"")</f>
        <v>0.50325301745412121</v>
      </c>
      <c r="T851">
        <f>IFERROR(IF(AND('Дивиденды по годам'!Q851&lt;&gt;"",'Дивиденды по годам'!I851&lt;&gt;"",'Дивиденды по годам'!V851&lt;&gt;"",('Дивиденды по годам'!I851+'Дивиденды по годам'!V851)&lt;&gt;0),'Дивиденды по годам'!Q851/(('Дивиденды по годам'!I851+'Дивиденды по годам'!V851)/2),""),"")</f>
        <v>3.0036161046421095E-2</v>
      </c>
      <c r="U851">
        <f>IFERROR(IF(AND('Дивиденды по годам'!J851&lt;&gt;"",'Дивиденды по годам'!K851&lt;&gt;"",'Дивиденды по годам'!M851&lt;&gt;"",'Дивиденды по годам'!M851&lt;&gt;0),('Дивиденды по годам'!J851+'Дивиденды по годам'!K851)/'Дивиденды по годам'!M851,""),"")</f>
        <v>3.4363979001211469</v>
      </c>
      <c r="V851">
        <f>IFERROR(IF(AND('Дивиденды по годам'!J851&lt;&gt;"",'Дивиденды по годам'!K851&lt;&gt;"",'Дивиденды по годам'!M851&lt;&gt;"",'Дивиденды по годам'!I851&lt;&gt;0),('Дивиденды по годам'!J851+'Дивиденды по годам'!K851)/'Дивиденды по годам'!I851,""),"")</f>
        <v>0.77459190484859519</v>
      </c>
      <c r="W851">
        <f>IFERROR('Дивиденды по годам'!I851,"")</f>
        <v>98874000000</v>
      </c>
      <c r="X851" cm="1">
        <f t="array" ref="X851">IFERROR(AVERAGE(_xlfn._xlws.FILTER(P$2:P$1073,($C$2:$C$1073=$C851)*($E$2:$E$1073=$E851)*(ROW(P$2:P$1073)&lt;&gt;ROW(P851))*(P$2:P$1073&lt;&gt;""))),"")</f>
        <v>25.338919987924196</v>
      </c>
      <c r="Y851" cm="1">
        <f t="array" ref="Y851">IFERROR(AVERAGE(_xlfn._xlws.FILTER(Q$2:Q$1073,($C$2:$C$1073=$C851)*($E$2:$E$1073=$E851)*(ROW(Q$2:Q$1073)&lt;&gt;ROW(Q851))*(Q$2:Q$1073&lt;&gt;""))),"")</f>
        <v>0.14343412591072888</v>
      </c>
      <c r="Z851" cm="1">
        <f t="array" ref="Z851">IFERROR(AVERAGE(_xlfn._xlws.FILTER(R$2:R$1073,($C$2:$C$1073=$C851)*($E$2:$E$1073=$E851)*(ROW(R$2:R$1073)&lt;&gt;ROW(R851))*(R$2:R$1073&lt;&gt;""))),"")</f>
        <v>0.28367411179739255</v>
      </c>
      <c r="AA851" cm="1">
        <f t="array" ref="AA851">IFERROR(AVERAGE(_xlfn._xlws.FILTER(S$2:S$1073,($C$2:$C$1073=$C851)*($E$2:$E$1073=$E851)*(ROW(S$2:S$1073)&lt;&gt;ROW(S851))*(S$2:S$1073&lt;&gt;""))),"")</f>
        <v>-0.28655393647996419</v>
      </c>
      <c r="AB851" cm="1">
        <f t="array" ref="AB851">IFERROR(AVERAGE(_xlfn._xlws.FILTER(T$2:T$1073,($C$2:$C$1073=$C851)*($E$2:$E$1073=$E851)*(ROW(T$2:T$1073)&lt;&gt;ROW(T851))*(T$2:T$1073&lt;&gt;""))),"")</f>
        <v>0.2198349442213329</v>
      </c>
      <c r="AC851" cm="1">
        <f t="array" ref="AC851">IFERROR(AVERAGE(_xlfn._xlws.FILTER(U$2:U$1073,($C$2:$C$1073=$C851)*($E$2:$E$1073=$E851)*(ROW(U$2:U$1073)&lt;&gt;ROW(U851))*(U$2:U$1073&lt;&gt;""))),"")</f>
        <v>-12.661660803227472</v>
      </c>
      <c r="AD851" cm="1">
        <f t="array" ref="AD851">IFERROR(AVERAGE(_xlfn._xlws.FILTER(V$2:V$1073,($C$2:$C$1073=$C851)*($E$2:$E$1073=$E851)*(ROW(V$2:V$1073)&lt;&gt;ROW(V851))*(V$2:V$1073&lt;&gt;""))),"")</f>
        <v>0.68471085360138062</v>
      </c>
      <c r="AE851">
        <f>IF('Дивиденды по годам'!M851&lt;0,1,0)</f>
        <v>0</v>
      </c>
    </row>
    <row r="852" spans="1:31" x14ac:dyDescent="0.2">
      <c r="A852" s="7" t="s">
        <v>2321</v>
      </c>
      <c r="B852" t="str">
        <f t="shared" si="143"/>
        <v>SOFL IV кв. 2023</v>
      </c>
      <c r="C852">
        <v>2023</v>
      </c>
      <c r="D852">
        <f>SUMIFS(Дивиденды!$C:$C,Дивиденды!$A:$A,A852,Дивиденды!$I:$I,C852)</f>
        <v>0</v>
      </c>
      <c r="E852">
        <v>5</v>
      </c>
      <c r="F852">
        <f t="shared" si="144"/>
        <v>0</v>
      </c>
      <c r="G852">
        <f t="shared" si="145"/>
        <v>17.214545454545455</v>
      </c>
      <c r="H852">
        <f t="shared" si="146"/>
        <v>0</v>
      </c>
      <c r="I852">
        <f t="shared" si="147"/>
        <v>0.27272727272727271</v>
      </c>
      <c r="J852">
        <f t="shared" si="148"/>
        <v>0</v>
      </c>
      <c r="K852">
        <f t="shared" si="153"/>
        <v>0.2713254911425303</v>
      </c>
      <c r="L852">
        <f t="shared" si="149"/>
        <v>0</v>
      </c>
      <c r="M852">
        <f t="shared" si="150"/>
        <v>0.27272727272727271</v>
      </c>
      <c r="N852">
        <f t="shared" si="151"/>
        <v>0</v>
      </c>
      <c r="O852">
        <f t="shared" si="152"/>
        <v>0</v>
      </c>
      <c r="P852">
        <f>IFERROR(LN('Дивиденды по годам'!I852),"")</f>
        <v>25.034293124220486</v>
      </c>
      <c r="Q852">
        <f>IFERROR('Дивиденды по годам'!G852/'Дивиденды по годам'!I852, "")</f>
        <v>2.7510500959512595E-2</v>
      </c>
      <c r="R852">
        <f>IFERROR(IF(AND('Дивиденды по годам'!N852&lt;&gt;"",'Дивиденды по годам'!U852&lt;&gt;"",'Дивиденды по годам'!U852&lt;&gt;0),'Дивиденды по годам'!N852/'Дивиденды по годам'!U852-1,""),"")</f>
        <v>0.30108807737439114</v>
      </c>
      <c r="S852">
        <f>IFERROR(IF(AND('Дивиденды по годам'!L852&lt;&gt;"",'Дивиденды по годам'!I852&lt;&gt;"",'Дивиденды по годам'!J852&lt;&gt;"",'Дивиденды по годам'!K852&lt;&gt;"",('Дивиденды по годам'!I852-'Дивиденды по годам'!J852-'Дивиденды по годам'!K852)&lt;&gt;0),'Дивиденды по годам'!L852/('Дивиденды по годам'!I852-'Дивиденды по годам'!J852-'Дивиденды по годам'!K852),""),"")</f>
        <v>1.1490136214185063</v>
      </c>
      <c r="T852">
        <f>IFERROR(IF(AND('Дивиденды по годам'!Q852&lt;&gt;"",'Дивиденды по годам'!I852&lt;&gt;"",'Дивиденды по годам'!V852&lt;&gt;"",('Дивиденды по годам'!I852+'Дивиденды по годам'!V852)&lt;&gt;0),'Дивиденды по годам'!Q852/(('Дивиденды по годам'!I852+'Дивиденды по годам'!V852)/2),""),"")</f>
        <v>5.1605331544974431E-2</v>
      </c>
      <c r="U852">
        <f>IFERROR(IF(AND('Дивиденды по годам'!J852&lt;&gt;"",'Дивиденды по годам'!K852&lt;&gt;"",'Дивиденды по годам'!M852&lt;&gt;"",'Дивиденды по годам'!M852&lt;&gt;0),('Дивиденды по годам'!J852+'Дивиденды по годам'!K852)/'Дивиденды по годам'!M852,""),"")</f>
        <v>7.7502348520432127</v>
      </c>
      <c r="V852">
        <f>IFERROR(IF(AND('Дивиденды по годам'!J852&lt;&gt;"",'Дивиденды по годам'!K852&lt;&gt;"",'Дивиденды по годам'!M852&lt;&gt;"",'Дивиденды по годам'!I852&lt;&gt;0),('Дивиденды по годам'!J852+'Дивиденды по годам'!K852)/'Дивиденды по годам'!I852,""),"")</f>
        <v>0.885717353087215</v>
      </c>
      <c r="W852">
        <f>IFERROR('Дивиденды по годам'!I852,"")</f>
        <v>74517000000</v>
      </c>
      <c r="X852" cm="1">
        <f t="array" ref="X852">IFERROR(AVERAGE(_xlfn._xlws.FILTER(P$2:P$1073,($C$2:$C$1073=$C852)*($E$2:$E$1073=$E852)*(ROW(P$2:P$1073)&lt;&gt;ROW(P852))*(P$2:P$1073&lt;&gt;""))),"")</f>
        <v>24.884261339898071</v>
      </c>
      <c r="Y852" cm="1">
        <f t="array" ref="Y852">IFERROR(AVERAGE(_xlfn._xlws.FILTER(Q$2:Q$1073,($C$2:$C$1073=$C852)*($E$2:$E$1073=$E852)*(ROW(Q$2:Q$1073)&lt;&gt;ROW(Q852))*(Q$2:Q$1073&lt;&gt;""))),"")</f>
        <v>0.12805889316438712</v>
      </c>
      <c r="Z852" cm="1">
        <f t="array" ref="Z852">IFERROR(AVERAGE(_xlfn._xlws.FILTER(R$2:R$1073,($C$2:$C$1073=$C852)*($E$2:$E$1073=$E852)*(ROW(R$2:R$1073)&lt;&gt;ROW(R852))*(R$2:R$1073&lt;&gt;""))),"")</f>
        <v>0.46437609423220377</v>
      </c>
      <c r="AA852" cm="1">
        <f t="array" ref="AA852">IFERROR(AVERAGE(_xlfn._xlws.FILTER(S$2:S$1073,($C$2:$C$1073=$C852)*($E$2:$E$1073=$E852)*(ROW(S$2:S$1073)&lt;&gt;ROW(S852))*(S$2:S$1073&lt;&gt;""))),"")</f>
        <v>0.64021379618449636</v>
      </c>
      <c r="AB852" cm="1">
        <f t="array" ref="AB852">IFERROR(AVERAGE(_xlfn._xlws.FILTER(T$2:T$1073,($C$2:$C$1073=$C852)*($E$2:$E$1073=$E852)*(ROW(T$2:T$1073)&lt;&gt;ROW(T852))*(T$2:T$1073&lt;&gt;""))),"")</f>
        <v>0.19339287478355313</v>
      </c>
      <c r="AC852" cm="1">
        <f t="array" ref="AC852">IFERROR(AVERAGE(_xlfn._xlws.FILTER(U$2:U$1073,($C$2:$C$1073=$C852)*($E$2:$E$1073=$E852)*(ROW(U$2:U$1073)&lt;&gt;ROW(U852))*(U$2:U$1073&lt;&gt;""))),"")</f>
        <v>95.031943725909969</v>
      </c>
      <c r="AD852" cm="1">
        <f t="array" ref="AD852">IFERROR(AVERAGE(_xlfn._xlws.FILTER(V$2:V$1073,($C$2:$C$1073=$C852)*($E$2:$E$1073=$E852)*(ROW(V$2:V$1073)&lt;&gt;ROW(V852))*(V$2:V$1073&lt;&gt;""))),"")</f>
        <v>0.6018558671606794</v>
      </c>
      <c r="AE852">
        <f>IF('Дивиденды по годам'!M852&lt;0,1,0)</f>
        <v>0</v>
      </c>
    </row>
    <row r="853" spans="1:31" x14ac:dyDescent="0.2">
      <c r="A853" s="7" t="s">
        <v>2321</v>
      </c>
      <c r="B853" t="str">
        <f t="shared" si="143"/>
        <v>SOFL IV кв. 2022</v>
      </c>
      <c r="C853">
        <v>2022</v>
      </c>
      <c r="D853">
        <f>SUMIFS(Дивиденды!$C:$C,Дивиденды!$A:$A,A853,Дивиденды!$I:$I,C853)</f>
        <v>0</v>
      </c>
      <c r="E853">
        <v>5</v>
      </c>
      <c r="F853">
        <f t="shared" si="144"/>
        <v>0</v>
      </c>
      <c r="G853">
        <f t="shared" si="145"/>
        <v>7.1127272727272723</v>
      </c>
      <c r="H853">
        <f t="shared" si="146"/>
        <v>0</v>
      </c>
      <c r="I853">
        <f t="shared" si="147"/>
        <v>0.27272727272727271</v>
      </c>
      <c r="J853">
        <f t="shared" si="148"/>
        <v>0</v>
      </c>
      <c r="K853">
        <f t="shared" si="153"/>
        <v>8.7952066899435327E-2</v>
      </c>
      <c r="L853">
        <f t="shared" si="149"/>
        <v>0</v>
      </c>
      <c r="M853">
        <f t="shared" si="150"/>
        <v>0.18181818181818182</v>
      </c>
      <c r="N853">
        <f t="shared" si="151"/>
        <v>0</v>
      </c>
      <c r="O853">
        <f t="shared" si="152"/>
        <v>9.0909090909090912E-2</v>
      </c>
      <c r="P853">
        <f>IFERROR(LN('Дивиденды по годам'!I853),"")</f>
        <v>24.524871116112191</v>
      </c>
      <c r="Q853">
        <f>IFERROR('Дивиденды по годам'!G853/'Дивиденды по годам'!I853, "")</f>
        <v>2.4992741160967547E-2</v>
      </c>
      <c r="R853">
        <f>IFERROR(IF(AND('Дивиденды по годам'!N853&lt;&gt;"",'Дивиденды по годам'!U853&lt;&gt;"",'Дивиденды по годам'!U853&lt;&gt;0),'Дивиденды по годам'!N853/'Дивиденды по годам'!U853-1,""),"")</f>
        <v>-0.15460229663921121</v>
      </c>
      <c r="S853">
        <f>IFERROR(IF(AND('Дивиденды по годам'!L853&lt;&gt;"",'Дивиденды по годам'!I853&lt;&gt;"",'Дивиденды по годам'!J853&lt;&gt;"",'Дивиденды по годам'!K853&lt;&gt;"",('Дивиденды по годам'!I853-'Дивиденды по годам'!J853-'Дивиденды по годам'!K853)&lt;&gt;0),'Дивиденды по годам'!L853/('Дивиденды по годам'!I853-'Дивиденды по годам'!J853-'Дивиденды по годам'!K853),""),"")</f>
        <v>0.69300663603879531</v>
      </c>
      <c r="T853">
        <f>IFERROR(IF(AND('Дивиденды по годам'!Q853&lt;&gt;"",'Дивиденды по годам'!I853&lt;&gt;"",'Дивиденды по годам'!V853&lt;&gt;"",('Дивиденды по годам'!I853+'Дивиденды по годам'!V853)&lt;&gt;0),'Дивиденды по годам'!Q853/(('Дивиденды по годам'!I853+'Дивиденды по годам'!V853)/2),""),"")</f>
        <v>0.1647779245858319</v>
      </c>
      <c r="U853">
        <f>IFERROR(IF(AND('Дивиденды по годам'!J853&lt;&gt;"",'Дивиденды по годам'!K853&lt;&gt;"",'Дивиденды по годам'!M853&lt;&gt;"",'Дивиденды по годам'!M853&lt;&gt;0),('Дивиденды по годам'!J853+'Дивиденды по годам'!K853)/'Дивиденды по годам'!M853,""),"")</f>
        <v>3.5710056151097498</v>
      </c>
      <c r="V853">
        <f>IFERROR(IF(AND('Дивиденды по годам'!J853&lt;&gt;"",'Дивиденды по годам'!K853&lt;&gt;"",'Дивиденды по годам'!M853&lt;&gt;"",'Дивиденды по годам'!I853&lt;&gt;0),('Дивиденды по годам'!J853+'Дивиденды по годам'!K853)/'Дивиденды по годам'!I853,""),"")</f>
        <v>0.78122975900654412</v>
      </c>
      <c r="W853">
        <f>IFERROR('Дивиденды по годам'!I853,"")</f>
        <v>44773000000</v>
      </c>
      <c r="X853" cm="1">
        <f t="array" ref="X853">IFERROR(AVERAGE(_xlfn._xlws.FILTER(P$2:P$1073,($C$2:$C$1073=$C853)*($E$2:$E$1073=$E853)*(ROW(P$2:P$1073)&lt;&gt;ROW(P853))*(P$2:P$1073&lt;&gt;""))),"")</f>
        <v>25.110503334450307</v>
      </c>
      <c r="Y853" cm="1">
        <f t="array" ref="Y853">IFERROR(AVERAGE(_xlfn._xlws.FILTER(Q$2:Q$1073,($C$2:$C$1073=$C853)*($E$2:$E$1073=$E853)*(ROW(Q$2:Q$1073)&lt;&gt;ROW(Q853))*(Q$2:Q$1073&lt;&gt;""))),"")</f>
        <v>0.12266288383863011</v>
      </c>
      <c r="Z853" cm="1">
        <f t="array" ref="Z853">IFERROR(AVERAGE(_xlfn._xlws.FILTER(R$2:R$1073,($C$2:$C$1073=$C853)*($E$2:$E$1073=$E853)*(ROW(R$2:R$1073)&lt;&gt;ROW(R853))*(R$2:R$1073&lt;&gt;""))),"")</f>
        <v>0.81971548784052928</v>
      </c>
      <c r="AA853" cm="1">
        <f t="array" ref="AA853">IFERROR(AVERAGE(_xlfn._xlws.FILTER(S$2:S$1073,($C$2:$C$1073=$C853)*($E$2:$E$1073=$E853)*(ROW(S$2:S$1073)&lt;&gt;ROW(S853))*(S$2:S$1073&lt;&gt;""))),"")</f>
        <v>0.83534038290033852</v>
      </c>
      <c r="AB853" cm="1">
        <f t="array" ref="AB853">IFERROR(AVERAGE(_xlfn._xlws.FILTER(T$2:T$1073,($C$2:$C$1073=$C853)*($E$2:$E$1073=$E853)*(ROW(T$2:T$1073)&lt;&gt;ROW(T853))*(T$2:T$1073&lt;&gt;""))),"")</f>
        <v>0.40993675659297457</v>
      </c>
      <c r="AC853" cm="1">
        <f t="array" ref="AC853">IFERROR(AVERAGE(_xlfn._xlws.FILTER(U$2:U$1073,($C$2:$C$1073=$C853)*($E$2:$E$1073=$E853)*(ROW(U$2:U$1073)&lt;&gt;ROW(U853))*(U$2:U$1073&lt;&gt;""))),"")</f>
        <v>-73.742279698913094</v>
      </c>
      <c r="AD853" cm="1">
        <f t="array" ref="AD853">IFERROR(AVERAGE(_xlfn._xlws.FILTER(V$2:V$1073,($C$2:$C$1073=$C853)*($E$2:$E$1073=$E853)*(ROW(V$2:V$1073)&lt;&gt;ROW(V853))*(V$2:V$1073&lt;&gt;""))),"")</f>
        <v>0.70617753356860691</v>
      </c>
      <c r="AE853">
        <f>IF('Дивиденды по годам'!M853&lt;0,1,0)</f>
        <v>0</v>
      </c>
    </row>
    <row r="854" spans="1:31" x14ac:dyDescent="0.2">
      <c r="A854" s="7" t="s">
        <v>2321</v>
      </c>
      <c r="B854" t="str">
        <f t="shared" si="143"/>
        <v>SOFL IV кв. 2021</v>
      </c>
      <c r="C854">
        <v>2021</v>
      </c>
      <c r="D854">
        <f>SUMIFS(Дивиденды!$C:$C,Дивиденды!$A:$A,A854,Дивиденды!$I:$I,C854)</f>
        <v>0</v>
      </c>
      <c r="E854">
        <v>5</v>
      </c>
      <c r="F854">
        <f t="shared" si="144"/>
        <v>0</v>
      </c>
      <c r="G854">
        <f t="shared" si="145"/>
        <v>4.450909090909092</v>
      </c>
      <c r="H854">
        <f t="shared" si="146"/>
        <v>0</v>
      </c>
      <c r="I854">
        <f t="shared" si="147"/>
        <v>0.18181818181818182</v>
      </c>
      <c r="J854">
        <f t="shared" si="148"/>
        <v>0</v>
      </c>
      <c r="K854">
        <f t="shared" si="153"/>
        <v>1.4983788220808552E-2</v>
      </c>
      <c r="L854">
        <f t="shared" si="149"/>
        <v>0</v>
      </c>
      <c r="M854">
        <f t="shared" si="150"/>
        <v>9.0909090909090912E-2</v>
      </c>
      <c r="N854">
        <f t="shared" si="151"/>
        <v>0</v>
      </c>
      <c r="O854">
        <f t="shared" si="152"/>
        <v>9.0909090909090912E-2</v>
      </c>
      <c r="P854">
        <f>IFERROR(LN('Дивиденды по годам'!I854),"")</f>
        <v>24.247830632558852</v>
      </c>
      <c r="Q854">
        <f>IFERROR('Дивиденды по годам'!G854/'Дивиденды по годам'!I854, "")</f>
        <v>2.2393117062965911E-2</v>
      </c>
      <c r="R854">
        <f>IFERROR(IF(AND('Дивиденды по годам'!N854&lt;&gt;"",'Дивиденды по годам'!U854&lt;&gt;"",'Дивиденды по годам'!U854&lt;&gt;0),'Дивиденды по годам'!N854/'Дивиденды по годам'!U854-1,""),"")</f>
        <v>-4.0523780681260946E-2</v>
      </c>
      <c r="S854">
        <f>IFERROR(IF(AND('Дивиденды по годам'!L854&lt;&gt;"",'Дивиденды по годам'!I854&lt;&gt;"",'Дивиденды по годам'!J854&lt;&gt;"",'Дивиденды по годам'!K854&lt;&gt;"",('Дивиденды по годам'!I854-'Дивиденды по годам'!J854-'Дивиденды по годам'!K854)&lt;&gt;0),'Дивиденды по годам'!L854/('Дивиденды по годам'!I854-'Дивиденды по годам'!J854-'Дивиденды по годам'!K854),""),"")</f>
        <v>0.18243626062322946</v>
      </c>
      <c r="T854">
        <f>IFERROR(IF(AND('Дивиденды по годам'!Q854&lt;&gt;"",'Дивиденды по годам'!I854&lt;&gt;"",'Дивиденды по годам'!V854&lt;&gt;"",('Дивиденды по годам'!I854+'Дивиденды по годам'!V854)&lt;&gt;0),'Дивиденды по годам'!Q854/(('Дивиденды по годам'!I854+'Дивиденды по годам'!V854)/2),""),"")</f>
        <v>2.9047209263704576E-2</v>
      </c>
      <c r="U854">
        <f>IFERROR(IF(AND('Дивиденды по годам'!J854&lt;&gt;"",'Дивиденды по годам'!K854&lt;&gt;"",'Дивиденды по годам'!M854&lt;&gt;"",'Дивиденды по годам'!M854&lt;&gt;0),('Дивиденды по годам'!J854+'Дивиденды по годам'!K854)/'Дивиденды по годам'!M854,""),"")</f>
        <v>18.228895184135979</v>
      </c>
      <c r="V854">
        <f>IFERROR(IF(AND('Дивиденды по годам'!J854&lt;&gt;"",'Дивиденды по годам'!K854&lt;&gt;"",'Дивиденды по годам'!M854&lt;&gt;"",'Дивиденды по годам'!I854&lt;&gt;0),('Дивиденды по годам'!J854+'Дивиденды по годам'!K854)/'Дивиденды по годам'!I854,""),"")</f>
        <v>0.94799493208403307</v>
      </c>
      <c r="W854">
        <f>IFERROR('Дивиденды по годам'!I854,"")</f>
        <v>33939000000</v>
      </c>
      <c r="X854" cm="1">
        <f t="array" ref="X854">IFERROR(AVERAGE(_xlfn._xlws.FILTER(P$2:P$1073,($C$2:$C$1073=$C854)*($E$2:$E$1073=$E854)*(ROW(P$2:P$1073)&lt;&gt;ROW(P854))*(P$2:P$1073&lt;&gt;""))),"")</f>
        <v>24.955955540359646</v>
      </c>
      <c r="Y854" cm="1">
        <f t="array" ref="Y854">IFERROR(AVERAGE(_xlfn._xlws.FILTER(Q$2:Q$1073,($C$2:$C$1073=$C854)*($E$2:$E$1073=$E854)*(ROW(Q$2:Q$1073)&lt;&gt;ROW(Q854))*(Q$2:Q$1073&lt;&gt;""))),"")</f>
        <v>0.23858118316924726</v>
      </c>
      <c r="Z854" cm="1">
        <f t="array" ref="Z854">IFERROR(AVERAGE(_xlfn._xlws.FILTER(R$2:R$1073,($C$2:$C$1073=$C854)*($E$2:$E$1073=$E854)*(ROW(R$2:R$1073)&lt;&gt;ROW(R854))*(R$2:R$1073&lt;&gt;""))),"")</f>
        <v>0.13999290177532572</v>
      </c>
      <c r="AA854" cm="1">
        <f t="array" ref="AA854">IFERROR(AVERAGE(_xlfn._xlws.FILTER(S$2:S$1073,($C$2:$C$1073=$C854)*($E$2:$E$1073=$E854)*(ROW(S$2:S$1073)&lt;&gt;ROW(S854))*(S$2:S$1073&lt;&gt;""))),"")</f>
        <v>2.2670173050314602</v>
      </c>
      <c r="AB854" cm="1">
        <f t="array" ref="AB854">IFERROR(AVERAGE(_xlfn._xlws.FILTER(T$2:T$1073,($C$2:$C$1073=$C854)*($E$2:$E$1073=$E854)*(ROW(T$2:T$1073)&lt;&gt;ROW(T854))*(T$2:T$1073&lt;&gt;""))),"")</f>
        <v>0.11244578666313326</v>
      </c>
      <c r="AC854" cm="1">
        <f t="array" ref="AC854">IFERROR(AVERAGE(_xlfn._xlws.FILTER(U$2:U$1073,($C$2:$C$1073=$C854)*($E$2:$E$1073=$E854)*(ROW(U$2:U$1073)&lt;&gt;ROW(U854))*(U$2:U$1073&lt;&gt;""))),"")</f>
        <v>22.568834771927882</v>
      </c>
      <c r="AD854" cm="1">
        <f t="array" ref="AD854">IFERROR(AVERAGE(_xlfn._xlws.FILTER(V$2:V$1073,($C$2:$C$1073=$C854)*($E$2:$E$1073=$E854)*(ROW(V$2:V$1073)&lt;&gt;ROW(V854))*(V$2:V$1073&lt;&gt;""))),"")</f>
        <v>0.83687878148169015</v>
      </c>
      <c r="AE854">
        <f>IF('Дивиденды по годам'!M854&lt;0,1,0)</f>
        <v>0</v>
      </c>
    </row>
    <row r="855" spans="1:31" x14ac:dyDescent="0.2">
      <c r="A855" s="7" t="s">
        <v>2321</v>
      </c>
      <c r="B855" t="str">
        <f t="shared" si="143"/>
        <v>SOFL IV кв. 2020</v>
      </c>
      <c r="C855">
        <v>2020</v>
      </c>
      <c r="D855">
        <f>SUMIFS(Дивиденды!$C:$C,Дивиденды!$A:$A,A855,Дивиденды!$I:$I,C855)</f>
        <v>0</v>
      </c>
      <c r="E855">
        <v>5</v>
      </c>
      <c r="F855">
        <f t="shared" si="144"/>
        <v>0</v>
      </c>
      <c r="G855">
        <f t="shared" si="145"/>
        <v>3.6763636363636363</v>
      </c>
      <c r="H855">
        <f t="shared" si="146"/>
        <v>0</v>
      </c>
      <c r="I855">
        <f t="shared" si="147"/>
        <v>0.18181818181818182</v>
      </c>
      <c r="J855">
        <f t="shared" si="148"/>
        <v>0</v>
      </c>
      <c r="K855">
        <f t="shared" si="153"/>
        <v>-1.5101604278074872E-2</v>
      </c>
      <c r="L855">
        <f t="shared" si="149"/>
        <v>0</v>
      </c>
      <c r="M855">
        <f t="shared" si="150"/>
        <v>0</v>
      </c>
      <c r="N855">
        <f t="shared" si="151"/>
        <v>0</v>
      </c>
      <c r="O855">
        <f t="shared" si="152"/>
        <v>9.0909090909090912E-2</v>
      </c>
      <c r="P855">
        <f>IFERROR(LN('Дивиденды по годам'!I855),"")</f>
        <v>24.198271145753285</v>
      </c>
      <c r="Q855">
        <f>IFERROR('Дивиденды по годам'!G855/'Дивиденды по годам'!I855, "")</f>
        <v>1.1672549383862777E-2</v>
      </c>
      <c r="R855" t="str">
        <f>IFERROR(IF(AND('Дивиденды по годам'!N855&lt;&gt;"",'Дивиденды по годам'!U855&lt;&gt;"",'Дивиденды по годам'!U855&lt;&gt;0),'Дивиденды по годам'!N855/'Дивиденды по годам'!U855-1,""),"")</f>
        <v/>
      </c>
      <c r="S855">
        <f>IFERROR(IF(AND('Дивиденды по годам'!L855&lt;&gt;"",'Дивиденды по годам'!I855&lt;&gt;"",'Дивиденды по годам'!J855&lt;&gt;"",'Дивиденды по годам'!K855&lt;&gt;"",('Дивиденды по годам'!I855-'Дивиденды по годам'!J855-'Дивиденды по годам'!K855)&lt;&gt;0),'Дивиденды по годам'!L855/('Дивиденды по годам'!I855-'Дивиденды по годам'!J855-'Дивиденды по годам'!K855),""),"")</f>
        <v>0.76522929500342229</v>
      </c>
      <c r="T855" t="str">
        <f>IFERROR(IF(AND('Дивиденды по годам'!Q855&lt;&gt;"",'Дивиденды по годам'!I855&lt;&gt;"",'Дивиденды по годам'!V855&lt;&gt;"",('Дивиденды по годам'!I855+'Дивиденды по годам'!V855)&lt;&gt;0),'Дивиденды по годам'!Q855/(('Дивиденды по годам'!I855+'Дивиденды по годам'!V855)/2),""),"")</f>
        <v/>
      </c>
      <c r="U855">
        <f>IFERROR(IF(AND('Дивиденды по годам'!J855&lt;&gt;"",'Дивиденды по годам'!K855&lt;&gt;"",'Дивиденды по годам'!M855&lt;&gt;"",'Дивиденды по годам'!M855&lt;&gt;0),('Дивиденды по годам'!J855+'Дивиденды по годам'!K855)/'Дивиденды по годам'!M855,""),"")</f>
        <v>6.3689253935660508</v>
      </c>
      <c r="V855">
        <f>IFERROR(IF(AND('Дивиденды по годам'!J855&lt;&gt;"",'Дивиденды по годам'!K855&lt;&gt;"",'Дивиденды по годам'!M855&lt;&gt;"",'Дивиденды по годам'!I855&lt;&gt;0),('Дивиденды по годам'!J855+'Дивиденды по годам'!K855)/'Дивиденды по годам'!I855,""),"")</f>
        <v>0.86429500278655025</v>
      </c>
      <c r="W855">
        <f>IFERROR('Дивиденды по годам'!I855,"")</f>
        <v>32298000000</v>
      </c>
      <c r="X855" cm="1">
        <f t="array" ref="X855">IFERROR(AVERAGE(_xlfn._xlws.FILTER(P$2:P$1073,($C$2:$C$1073=$C855)*($E$2:$E$1073=$E855)*(ROW(P$2:P$1073)&lt;&gt;ROW(P855))*(P$2:P$1073&lt;&gt;""))),"")</f>
        <v>25.926021519125985</v>
      </c>
      <c r="Y855" cm="1">
        <f t="array" ref="Y855">IFERROR(AVERAGE(_xlfn._xlws.FILTER(Q$2:Q$1073,($C$2:$C$1073=$C855)*($E$2:$E$1073=$E855)*(ROW(Q$2:Q$1073)&lt;&gt;ROW(Q855))*(Q$2:Q$1073&lt;&gt;""))),"")</f>
        <v>0.31385622211612779</v>
      </c>
      <c r="Z855" cm="1">
        <f t="array" ref="Z855">IFERROR(AVERAGE(_xlfn._xlws.FILTER(R$2:R$1073,($C$2:$C$1073=$C855)*($E$2:$E$1073=$E855)*(ROW(R$2:R$1073)&lt;&gt;ROW(R855))*(R$2:R$1073&lt;&gt;""))),"")</f>
        <v>0.42097945466997094</v>
      </c>
      <c r="AA855" cm="1">
        <f t="array" ref="AA855">IFERROR(AVERAGE(_xlfn._xlws.FILTER(S$2:S$1073,($C$2:$C$1073=$C855)*($E$2:$E$1073=$E855)*(ROW(S$2:S$1073)&lt;&gt;ROW(S855))*(S$2:S$1073&lt;&gt;""))),"")</f>
        <v>1.5889407106804818</v>
      </c>
      <c r="AB855" cm="1">
        <f t="array" ref="AB855">IFERROR(AVERAGE(_xlfn._xlws.FILTER(T$2:T$1073,($C$2:$C$1073=$C855)*($E$2:$E$1073=$E855)*(ROW(T$2:T$1073)&lt;&gt;ROW(T855))*(T$2:T$1073&lt;&gt;""))),"")</f>
        <v>0.12042080749921591</v>
      </c>
      <c r="AC855" cm="1">
        <f t="array" ref="AC855">IFERROR(AVERAGE(_xlfn._xlws.FILTER(U$2:U$1073,($C$2:$C$1073=$C855)*($E$2:$E$1073=$E855)*(ROW(U$2:U$1073)&lt;&gt;ROW(U855))*(U$2:U$1073&lt;&gt;""))),"")</f>
        <v>10.767419983328876</v>
      </c>
      <c r="AD855" cm="1">
        <f t="array" ref="AD855">IFERROR(AVERAGE(_xlfn._xlws.FILTER(V$2:V$1073,($C$2:$C$1073=$C855)*($E$2:$E$1073=$E855)*(ROW(V$2:V$1073)&lt;&gt;ROW(V855))*(V$2:V$1073&lt;&gt;""))),"")</f>
        <v>0.78689878158299875</v>
      </c>
      <c r="AE855">
        <f>IF('Дивиденды по годам'!M855&lt;0,1,0)</f>
        <v>0</v>
      </c>
    </row>
    <row r="856" spans="1:31" x14ac:dyDescent="0.2">
      <c r="A856" s="7" t="s">
        <v>2321</v>
      </c>
      <c r="B856" t="str">
        <f t="shared" si="143"/>
        <v>SOFL IV кв. 2019</v>
      </c>
      <c r="C856">
        <v>2019</v>
      </c>
      <c r="D856">
        <f>SUMIFS(Дивиденды!$C:$C,Дивиденды!$A:$A,A856,Дивиденды!$I:$I,C856)</f>
        <v>0</v>
      </c>
      <c r="E856">
        <v>5</v>
      </c>
      <c r="F856">
        <f t="shared" si="144"/>
        <v>0</v>
      </c>
      <c r="G856">
        <f t="shared" si="145"/>
        <v>4.3181818181818183</v>
      </c>
      <c r="H856">
        <f t="shared" si="146"/>
        <v>0</v>
      </c>
      <c r="I856">
        <f t="shared" si="147"/>
        <v>0.18181818181818182</v>
      </c>
      <c r="J856">
        <f t="shared" si="148"/>
        <v>0</v>
      </c>
      <c r="K856">
        <f t="shared" si="153"/>
        <v>8.0199694017231649E-2</v>
      </c>
      <c r="L856">
        <f t="shared" si="149"/>
        <v>0</v>
      </c>
      <c r="M856">
        <f t="shared" si="150"/>
        <v>9.0909090909090912E-2</v>
      </c>
      <c r="N856">
        <f t="shared" si="151"/>
        <v>0</v>
      </c>
      <c r="O856">
        <f t="shared" si="152"/>
        <v>0</v>
      </c>
      <c r="P856" t="str">
        <f>IFERROR(LN('Дивиденды по годам'!I856),"")</f>
        <v/>
      </c>
      <c r="Q856" t="str">
        <f>IFERROR('Дивиденды по годам'!G856/'Дивиденды по годам'!I856, "")</f>
        <v/>
      </c>
      <c r="R856" t="str">
        <f>IFERROR(IF(AND('Дивиденды по годам'!N856&lt;&gt;"",'Дивиденды по годам'!U856&lt;&gt;"",'Дивиденды по годам'!U856&lt;&gt;0),'Дивиденды по годам'!N856/'Дивиденды по годам'!U856-1,""),"")</f>
        <v/>
      </c>
      <c r="S856" t="str">
        <f>IFERROR(IF(AND('Дивиденды по годам'!L856&lt;&gt;"",'Дивиденды по годам'!I856&lt;&gt;"",'Дивиденды по годам'!J856&lt;&gt;"",'Дивиденды по годам'!K856&lt;&gt;"",('Дивиденды по годам'!I856-'Дивиденды по годам'!J856-'Дивиденды по годам'!K856)&lt;&gt;0),'Дивиденды по годам'!L856/('Дивиденды по годам'!I856-'Дивиденды по годам'!J856-'Дивиденды по годам'!K856),""),"")</f>
        <v/>
      </c>
      <c r="T856" t="str">
        <f>IFERROR(IF(AND('Дивиденды по годам'!Q856&lt;&gt;"",'Дивиденды по годам'!I856&lt;&gt;"",'Дивиденды по годам'!V856&lt;&gt;"",('Дивиденды по годам'!I856+'Дивиденды по годам'!V856)&lt;&gt;0),'Дивиденды по годам'!Q856/(('Дивиденды по годам'!I856+'Дивиденды по годам'!V856)/2),""),"")</f>
        <v/>
      </c>
      <c r="U856" t="str">
        <f>IFERROR(IF(AND('Дивиденды по годам'!J856&lt;&gt;"",'Дивиденды по годам'!K856&lt;&gt;"",'Дивиденды по годам'!M856&lt;&gt;"",'Дивиденды по годам'!M856&lt;&gt;0),('Дивиденды по годам'!J856+'Дивиденды по годам'!K856)/'Дивиденды по годам'!M856,""),"")</f>
        <v/>
      </c>
      <c r="V856" t="str">
        <f>IFERROR(IF(AND('Дивиденды по годам'!J856&lt;&gt;"",'Дивиденды по годам'!K856&lt;&gt;"",'Дивиденды по годам'!M856&lt;&gt;"",'Дивиденды по годам'!I856&lt;&gt;0),('Дивиденды по годам'!J856+'Дивиденды по годам'!K856)/'Дивиденды по годам'!I856,""),"")</f>
        <v/>
      </c>
      <c r="W856" t="str">
        <f>IFERROR('Дивиденды по годам'!I856,"")</f>
        <v/>
      </c>
      <c r="X856" cm="1">
        <f t="array" ref="X856">IFERROR(AVERAGE(_xlfn._xlws.FILTER(P$2:P$1073,($C$2:$C$1073=$C856)*($E$2:$E$1073=$E856)*(ROW(P$2:P$1073)&lt;&gt;ROW(P856))*(P$2:P$1073&lt;&gt;""))),"")</f>
        <v>25.699366278152379</v>
      </c>
      <c r="Y856" cm="1">
        <f t="array" ref="Y856">IFERROR(AVERAGE(_xlfn._xlws.FILTER(Q$2:Q$1073,($C$2:$C$1073=$C856)*($E$2:$E$1073=$E856)*(ROW(Q$2:Q$1073)&lt;&gt;ROW(Q856))*(Q$2:Q$1073&lt;&gt;""))),"")</f>
        <v>0.31619951047208333</v>
      </c>
      <c r="Z856" cm="1">
        <f t="array" ref="Z856">IFERROR(AVERAGE(_xlfn._xlws.FILTER(R$2:R$1073,($C$2:$C$1073=$C856)*($E$2:$E$1073=$E856)*(ROW(R$2:R$1073)&lt;&gt;ROW(R856))*(R$2:R$1073&lt;&gt;""))),"")</f>
        <v>0.12795723906733225</v>
      </c>
      <c r="AA856" cm="1">
        <f t="array" ref="AA856">IFERROR(AVERAGE(_xlfn._xlws.FILTER(S$2:S$1073,($C$2:$C$1073=$C856)*($E$2:$E$1073=$E856)*(ROW(S$2:S$1073)&lt;&gt;ROW(S856))*(S$2:S$1073&lt;&gt;""))),"")</f>
        <v>1.4981608959410444</v>
      </c>
      <c r="AB856" cm="1">
        <f t="array" ref="AB856">IFERROR(AVERAGE(_xlfn._xlws.FILTER(T$2:T$1073,($C$2:$C$1073=$C856)*($E$2:$E$1073=$E856)*(ROW(T$2:T$1073)&lt;&gt;ROW(T856))*(T$2:T$1073&lt;&gt;""))),"")</f>
        <v>4.0595347592911959E-2</v>
      </c>
      <c r="AC856" cm="1">
        <f t="array" ref="AC856">IFERROR(AVERAGE(_xlfn._xlws.FILTER(U$2:U$1073,($C$2:$C$1073=$C856)*($E$2:$E$1073=$E856)*(ROW(U$2:U$1073)&lt;&gt;ROW(U856))*(U$2:U$1073&lt;&gt;""))),"")</f>
        <v>9.1460847128214748</v>
      </c>
      <c r="AD856" cm="1">
        <f t="array" ref="AD856">IFERROR(AVERAGE(_xlfn._xlws.FILTER(V$2:V$1073,($C$2:$C$1073=$C856)*($E$2:$E$1073=$E856)*(ROW(V$2:V$1073)&lt;&gt;ROW(V856))*(V$2:V$1073&lt;&gt;""))),"")</f>
        <v>0.79889661521769517</v>
      </c>
      <c r="AE856">
        <f>IF('Дивиденды по годам'!M856&lt;0,1,0)</f>
        <v>0</v>
      </c>
    </row>
    <row r="857" spans="1:31" x14ac:dyDescent="0.2">
      <c r="A857" s="7" t="s">
        <v>2321</v>
      </c>
      <c r="B857" t="str">
        <f t="shared" si="143"/>
        <v>SOFL IV кв. 2018</v>
      </c>
      <c r="C857">
        <v>2018</v>
      </c>
      <c r="D857">
        <f>SUMIFS(Дивиденды!$C:$C,Дивиденды!$A:$A,A857,Дивиденды!$I:$I,C857)</f>
        <v>0</v>
      </c>
      <c r="E857">
        <v>5</v>
      </c>
      <c r="F857">
        <f t="shared" si="144"/>
        <v>0</v>
      </c>
      <c r="G857">
        <f t="shared" si="145"/>
        <v>2.5072727272727273</v>
      </c>
      <c r="H857">
        <f t="shared" si="146"/>
        <v>0</v>
      </c>
      <c r="I857">
        <f t="shared" si="147"/>
        <v>0.18181818181818182</v>
      </c>
      <c r="J857">
        <f t="shared" si="148"/>
        <v>0</v>
      </c>
      <c r="K857">
        <f t="shared" si="153"/>
        <v>-3.1077604801900294E-2</v>
      </c>
      <c r="L857">
        <f t="shared" si="149"/>
        <v>0</v>
      </c>
      <c r="M857">
        <f t="shared" si="150"/>
        <v>0</v>
      </c>
      <c r="N857">
        <f t="shared" si="151"/>
        <v>0</v>
      </c>
      <c r="O857">
        <f t="shared" si="152"/>
        <v>0.18181818181818182</v>
      </c>
      <c r="P857" t="str">
        <f>IFERROR(LN('Дивиденды по годам'!I857),"")</f>
        <v/>
      </c>
      <c r="Q857" t="str">
        <f>IFERROR('Дивиденды по годам'!G857/'Дивиденды по годам'!I857, "")</f>
        <v/>
      </c>
      <c r="R857" t="str">
        <f>IFERROR(IF(AND('Дивиденды по годам'!N857&lt;&gt;"",'Дивиденды по годам'!U857&lt;&gt;"",'Дивиденды по годам'!U857&lt;&gt;0),'Дивиденды по годам'!N857/'Дивиденды по годам'!U857-1,""),"")</f>
        <v/>
      </c>
      <c r="S857" t="str">
        <f>IFERROR(IF(AND('Дивиденды по годам'!L857&lt;&gt;"",'Дивиденды по годам'!I857&lt;&gt;"",'Дивиденды по годам'!J857&lt;&gt;"",'Дивиденды по годам'!K857&lt;&gt;"",('Дивиденды по годам'!I857-'Дивиденды по годам'!J857-'Дивиденды по годам'!K857)&lt;&gt;0),'Дивиденды по годам'!L857/('Дивиденды по годам'!I857-'Дивиденды по годам'!J857-'Дивиденды по годам'!K857),""),"")</f>
        <v/>
      </c>
      <c r="T857" t="str">
        <f>IFERROR(IF(AND('Дивиденды по годам'!Q857&lt;&gt;"",'Дивиденды по годам'!I857&lt;&gt;"",'Дивиденды по годам'!V857&lt;&gt;"",('Дивиденды по годам'!I857+'Дивиденды по годам'!V857)&lt;&gt;0),'Дивиденды по годам'!Q857/(('Дивиденды по годам'!I857+'Дивиденды по годам'!V857)/2),""),"")</f>
        <v/>
      </c>
      <c r="U857" t="str">
        <f>IFERROR(IF(AND('Дивиденды по годам'!J857&lt;&gt;"",'Дивиденды по годам'!K857&lt;&gt;"",'Дивиденды по годам'!M857&lt;&gt;"",'Дивиденды по годам'!M857&lt;&gt;0),('Дивиденды по годам'!J857+'Дивиденды по годам'!K857)/'Дивиденды по годам'!M857,""),"")</f>
        <v/>
      </c>
      <c r="V857" t="str">
        <f>IFERROR(IF(AND('Дивиденды по годам'!J857&lt;&gt;"",'Дивиденды по годам'!K857&lt;&gt;"",'Дивиденды по годам'!M857&lt;&gt;"",'Дивиденды по годам'!I857&lt;&gt;0),('Дивиденды по годам'!J857+'Дивиденды по годам'!K857)/'Дивиденды по годам'!I857,""),"")</f>
        <v/>
      </c>
      <c r="W857" t="str">
        <f>IFERROR('Дивиденды по годам'!I857,"")</f>
        <v/>
      </c>
      <c r="X857" cm="1">
        <f t="array" ref="X857">IFERROR(AVERAGE(_xlfn._xlws.FILTER(P$2:P$1073,($C$2:$C$1073=$C857)*($E$2:$E$1073=$E857)*(ROW(P$2:P$1073)&lt;&gt;ROW(P857))*(P$2:P$1073&lt;&gt;""))),"")</f>
        <v>25.637034616478129</v>
      </c>
      <c r="Y857" cm="1">
        <f t="array" ref="Y857">IFERROR(AVERAGE(_xlfn._xlws.FILTER(Q$2:Q$1073,($C$2:$C$1073=$C857)*($E$2:$E$1073=$E857)*(ROW(Q$2:Q$1073)&lt;&gt;ROW(Q857))*(Q$2:Q$1073&lt;&gt;""))),"")</f>
        <v>0.32011777323711499</v>
      </c>
      <c r="Z857" cm="1">
        <f t="array" ref="Z857">IFERROR(AVERAGE(_xlfn._xlws.FILTER(R$2:R$1073,($C$2:$C$1073=$C857)*($E$2:$E$1073=$E857)*(ROW(R$2:R$1073)&lt;&gt;ROW(R857))*(R$2:R$1073&lt;&gt;""))),"")</f>
        <v>6.6616637147635549E-2</v>
      </c>
      <c r="AA857" cm="1">
        <f t="array" ref="AA857">IFERROR(AVERAGE(_xlfn._xlws.FILTER(S$2:S$1073,($C$2:$C$1073=$C857)*($E$2:$E$1073=$E857)*(ROW(S$2:S$1073)&lt;&gt;ROW(S857))*(S$2:S$1073&lt;&gt;""))),"")</f>
        <v>1.205409029032207</v>
      </c>
      <c r="AB857" cm="1">
        <f t="array" ref="AB857">IFERROR(AVERAGE(_xlfn._xlws.FILTER(T$2:T$1073,($C$2:$C$1073=$C857)*($E$2:$E$1073=$E857)*(ROW(T$2:T$1073)&lt;&gt;ROW(T857))*(T$2:T$1073&lt;&gt;""))),"")</f>
        <v>1.7776057117292479E-2</v>
      </c>
      <c r="AC857" cm="1">
        <f t="array" ref="AC857">IFERROR(AVERAGE(_xlfn._xlws.FILTER(U$2:U$1073,($C$2:$C$1073=$C857)*($E$2:$E$1073=$E857)*(ROW(U$2:U$1073)&lt;&gt;ROW(U857))*(U$2:U$1073&lt;&gt;""))),"")</f>
        <v>5.4697894468760913</v>
      </c>
      <c r="AD857" cm="1">
        <f t="array" ref="AD857">IFERROR(AVERAGE(_xlfn._xlws.FILTER(V$2:V$1073,($C$2:$C$1073=$C857)*($E$2:$E$1073=$E857)*(ROW(V$2:V$1073)&lt;&gt;ROW(V857))*(V$2:V$1073&lt;&gt;""))),"")</f>
        <v>0.7760719948431295</v>
      </c>
      <c r="AE857">
        <f>IF('Дивиденды по годам'!M857&lt;0,1,0)</f>
        <v>0</v>
      </c>
    </row>
    <row r="858" spans="1:31" x14ac:dyDescent="0.2">
      <c r="A858" s="7" t="s">
        <v>2321</v>
      </c>
      <c r="B858" t="str">
        <f t="shared" si="143"/>
        <v>SOFL IV кв. 2017</v>
      </c>
      <c r="C858">
        <v>2017</v>
      </c>
      <c r="D858">
        <f>SUMIFS(Дивиденды!$C:$C,Дивиденды!$A:$A,A858,Дивиденды!$I:$I,C858)</f>
        <v>0</v>
      </c>
      <c r="E858">
        <v>5</v>
      </c>
      <c r="F858">
        <f t="shared" si="144"/>
        <v>0</v>
      </c>
      <c r="G858">
        <f t="shared" si="145"/>
        <v>3.5318181818181813</v>
      </c>
      <c r="H858">
        <f t="shared" si="146"/>
        <v>0</v>
      </c>
      <c r="I858">
        <f t="shared" si="147"/>
        <v>0.18181818181818182</v>
      </c>
      <c r="J858">
        <f t="shared" si="148"/>
        <v>0</v>
      </c>
      <c r="K858">
        <f t="shared" si="153"/>
        <v>1.4727433992836941E-2</v>
      </c>
      <c r="L858">
        <f t="shared" si="149"/>
        <v>0</v>
      </c>
      <c r="M858">
        <f t="shared" si="150"/>
        <v>9.0909090909090912E-2</v>
      </c>
      <c r="N858">
        <f t="shared" si="151"/>
        <v>0</v>
      </c>
      <c r="O858">
        <f t="shared" si="152"/>
        <v>9.0909090909090912E-2</v>
      </c>
      <c r="P858" t="str">
        <f>IFERROR(LN('Дивиденды по годам'!I858),"")</f>
        <v/>
      </c>
      <c r="Q858" t="str">
        <f>IFERROR('Дивиденды по годам'!G858/'Дивиденды по годам'!I858, "")</f>
        <v/>
      </c>
      <c r="R858" t="str">
        <f>IFERROR(IF(AND('Дивиденды по годам'!N858&lt;&gt;"",'Дивиденды по годам'!U858&lt;&gt;"",'Дивиденды по годам'!U858&lt;&gt;0),'Дивиденды по годам'!N858/'Дивиденды по годам'!U858-1,""),"")</f>
        <v/>
      </c>
      <c r="S858" t="str">
        <f>IFERROR(IF(AND('Дивиденды по годам'!L858&lt;&gt;"",'Дивиденды по годам'!I858&lt;&gt;"",'Дивиденды по годам'!J858&lt;&gt;"",'Дивиденды по годам'!K858&lt;&gt;"",('Дивиденды по годам'!I858-'Дивиденды по годам'!J858-'Дивиденды по годам'!K858)&lt;&gt;0),'Дивиденды по годам'!L858/('Дивиденды по годам'!I858-'Дивиденды по годам'!J858-'Дивиденды по годам'!K858),""),"")</f>
        <v/>
      </c>
      <c r="T858" t="str">
        <f>IFERROR(IF(AND('Дивиденды по годам'!Q858&lt;&gt;"",'Дивиденды по годам'!I858&lt;&gt;"",'Дивиденды по годам'!V858&lt;&gt;"",('Дивиденды по годам'!I858+'Дивиденды по годам'!V858)&lt;&gt;0),'Дивиденды по годам'!Q858/(('Дивиденды по годам'!I858+'Дивиденды по годам'!V858)/2),""),"")</f>
        <v/>
      </c>
      <c r="U858" t="str">
        <f>IFERROR(IF(AND('Дивиденды по годам'!J858&lt;&gt;"",'Дивиденды по годам'!K858&lt;&gt;"",'Дивиденды по годам'!M858&lt;&gt;"",'Дивиденды по годам'!M858&lt;&gt;0),('Дивиденды по годам'!J858+'Дивиденды по годам'!K858)/'Дивиденды по годам'!M858,""),"")</f>
        <v/>
      </c>
      <c r="V858" t="str">
        <f>IFERROR(IF(AND('Дивиденды по годам'!J858&lt;&gt;"",'Дивиденды по годам'!K858&lt;&gt;"",'Дивиденды по годам'!M858&lt;&gt;"",'Дивиденды по годам'!I858&lt;&gt;0),('Дивиденды по годам'!J858+'Дивиденды по годам'!K858)/'Дивиденды по годам'!I858,""),"")</f>
        <v/>
      </c>
      <c r="W858" t="str">
        <f>IFERROR('Дивиденды по годам'!I858,"")</f>
        <v/>
      </c>
      <c r="X858" cm="1">
        <f t="array" ref="X858">IFERROR(AVERAGE(_xlfn._xlws.FILTER(P$2:P$1073,($C$2:$C$1073=$C858)*($E$2:$E$1073=$E858)*(ROW(P$2:P$1073)&lt;&gt;ROW(P858))*(P$2:P$1073&lt;&gt;""))),"")</f>
        <v>27.043369572715513</v>
      </c>
      <c r="Y858" cm="1">
        <f t="array" ref="Y858">IFERROR(AVERAGE(_xlfn._xlws.FILTER(Q$2:Q$1073,($C$2:$C$1073=$C858)*($E$2:$E$1073=$E858)*(ROW(Q$2:Q$1073)&lt;&gt;ROW(Q858))*(Q$2:Q$1073&lt;&gt;""))),"")</f>
        <v>0.54965488260857309</v>
      </c>
      <c r="Z858" cm="1">
        <f t="array" ref="Z858">IFERROR(AVERAGE(_xlfn._xlws.FILTER(R$2:R$1073,($C$2:$C$1073=$C858)*($E$2:$E$1073=$E858)*(ROW(R$2:R$1073)&lt;&gt;ROW(R858))*(R$2:R$1073&lt;&gt;""))),"")</f>
        <v>2.1535666839189949E-2</v>
      </c>
      <c r="AA858" cm="1">
        <f t="array" ref="AA858">IFERROR(AVERAGE(_xlfn._xlws.FILTER(S$2:S$1073,($C$2:$C$1073=$C858)*($E$2:$E$1073=$E858)*(ROW(S$2:S$1073)&lt;&gt;ROW(S858))*(S$2:S$1073&lt;&gt;""))),"")</f>
        <v>1.232616052553424</v>
      </c>
      <c r="AB858" cm="1">
        <f t="array" ref="AB858">IFERROR(AVERAGE(_xlfn._xlws.FILTER(T$2:T$1073,($C$2:$C$1073=$C858)*($E$2:$E$1073=$E858)*(ROW(T$2:T$1073)&lt;&gt;ROW(T858))*(T$2:T$1073&lt;&gt;""))),"")</f>
        <v>6.4245501476224237E-2</v>
      </c>
      <c r="AC858" cm="1">
        <f t="array" ref="AC858">IFERROR(AVERAGE(_xlfn._xlws.FILTER(U$2:U$1073,($C$2:$C$1073=$C858)*($E$2:$E$1073=$E858)*(ROW(U$2:U$1073)&lt;&gt;ROW(U858))*(U$2:U$1073&lt;&gt;""))),"")</f>
        <v>2.3417046689252397</v>
      </c>
      <c r="AD858" cm="1">
        <f t="array" ref="AD858">IFERROR(AVERAGE(_xlfn._xlws.FILTER(V$2:V$1073,($C$2:$C$1073=$C858)*($E$2:$E$1073=$E858)*(ROW(V$2:V$1073)&lt;&gt;ROW(V858))*(V$2:V$1073&lt;&gt;""))),"")</f>
        <v>0.66475018615672188</v>
      </c>
      <c r="AE858">
        <f>IF('Дивиденды по годам'!M858&lt;0,1,0)</f>
        <v>0</v>
      </c>
    </row>
    <row r="859" spans="1:31" x14ac:dyDescent="0.2">
      <c r="A859" s="7" t="s">
        <v>2321</v>
      </c>
      <c r="B859" t="str">
        <f t="shared" si="143"/>
        <v>SOFL IV кв. 2016</v>
      </c>
      <c r="C859">
        <v>2016</v>
      </c>
      <c r="D859">
        <f>SUMIFS(Дивиденды!$C:$C,Дивиденды!$A:$A,A859,Дивиденды!$I:$I,C859)</f>
        <v>0</v>
      </c>
      <c r="E859">
        <v>5</v>
      </c>
      <c r="F859">
        <f t="shared" si="144"/>
        <v>0</v>
      </c>
      <c r="G859">
        <f t="shared" si="145"/>
        <v>2.9981818181818181</v>
      </c>
      <c r="H859">
        <f t="shared" si="146"/>
        <v>0</v>
      </c>
      <c r="I859">
        <f t="shared" si="147"/>
        <v>0.18181818181818182</v>
      </c>
      <c r="J859">
        <f t="shared" si="148"/>
        <v>0</v>
      </c>
      <c r="K859">
        <f t="shared" si="153"/>
        <v>2.8790101611202514E-2</v>
      </c>
      <c r="L859">
        <f t="shared" si="149"/>
        <v>0</v>
      </c>
      <c r="M859">
        <f t="shared" si="150"/>
        <v>9.0909090909090912E-2</v>
      </c>
      <c r="N859">
        <f t="shared" si="151"/>
        <v>0</v>
      </c>
      <c r="O859">
        <f t="shared" si="152"/>
        <v>9.0909090909090912E-2</v>
      </c>
      <c r="P859" t="str">
        <f>IFERROR(LN('Дивиденды по годам'!I859),"")</f>
        <v/>
      </c>
      <c r="Q859" t="str">
        <f>IFERROR('Дивиденды по годам'!G859/'Дивиденды по годам'!I859, "")</f>
        <v/>
      </c>
      <c r="R859" t="str">
        <f>IFERROR(IF(AND('Дивиденды по годам'!N859&lt;&gt;"",'Дивиденды по годам'!U859&lt;&gt;"",'Дивиденды по годам'!U859&lt;&gt;0),'Дивиденды по годам'!N859/'Дивиденды по годам'!U859-1,""),"")</f>
        <v/>
      </c>
      <c r="S859" t="str">
        <f>IFERROR(IF(AND('Дивиденды по годам'!L859&lt;&gt;"",'Дивиденды по годам'!I859&lt;&gt;"",'Дивиденды по годам'!J859&lt;&gt;"",'Дивиденды по годам'!K859&lt;&gt;"",('Дивиденды по годам'!I859-'Дивиденды по годам'!J859-'Дивиденды по годам'!K859)&lt;&gt;0),'Дивиденды по годам'!L859/('Дивиденды по годам'!I859-'Дивиденды по годам'!J859-'Дивиденды по годам'!K859),""),"")</f>
        <v/>
      </c>
      <c r="T859" t="str">
        <f>IFERROR(IF(AND('Дивиденды по годам'!Q859&lt;&gt;"",'Дивиденды по годам'!I859&lt;&gt;"",'Дивиденды по годам'!V859&lt;&gt;"",('Дивиденды по годам'!I859+'Дивиденды по годам'!V859)&lt;&gt;0),'Дивиденды по годам'!Q859/(('Дивиденды по годам'!I859+'Дивиденды по годам'!V859)/2),""),"")</f>
        <v/>
      </c>
      <c r="U859" t="str">
        <f>IFERROR(IF(AND('Дивиденды по годам'!J859&lt;&gt;"",'Дивиденды по годам'!K859&lt;&gt;"",'Дивиденды по годам'!M859&lt;&gt;"",'Дивиденды по годам'!M859&lt;&gt;0),('Дивиденды по годам'!J859+'Дивиденды по годам'!K859)/'Дивиденды по годам'!M859,""),"")</f>
        <v/>
      </c>
      <c r="V859" t="str">
        <f>IFERROR(IF(AND('Дивиденды по годам'!J859&lt;&gt;"",'Дивиденды по годам'!K859&lt;&gt;"",'Дивиденды по годам'!M859&lt;&gt;"",'Дивиденды по годам'!I859&lt;&gt;0),('Дивиденды по годам'!J859+'Дивиденды по годам'!K859)/'Дивиденды по годам'!I859,""),"")</f>
        <v/>
      </c>
      <c r="W859" t="str">
        <f>IFERROR('Дивиденды по годам'!I859,"")</f>
        <v/>
      </c>
      <c r="X859" cm="1">
        <f t="array" ref="X859">IFERROR(AVERAGE(_xlfn._xlws.FILTER(P$2:P$1073,($C$2:$C$1073=$C859)*($E$2:$E$1073=$E859)*(ROW(P$2:P$1073)&lt;&gt;ROW(P859))*(P$2:P$1073&lt;&gt;""))),"")</f>
        <v>27.033270353256157</v>
      </c>
      <c r="Y859" cm="1">
        <f t="array" ref="Y859">IFERROR(AVERAGE(_xlfn._xlws.FILTER(Q$2:Q$1073,($C$2:$C$1073=$C859)*($E$2:$E$1073=$E859)*(ROW(Q$2:Q$1073)&lt;&gt;ROW(Q859))*(Q$2:Q$1073&lt;&gt;""))),"")</f>
        <v>0.55978642376097965</v>
      </c>
      <c r="Z859" cm="1">
        <f t="array" ref="Z859">IFERROR(AVERAGE(_xlfn._xlws.FILTER(R$2:R$1073,($C$2:$C$1073=$C859)*($E$2:$E$1073=$E859)*(ROW(R$2:R$1073)&lt;&gt;ROW(R859))*(R$2:R$1073&lt;&gt;""))),"")</f>
        <v>5.3242460909894707E-3</v>
      </c>
      <c r="AA859" cm="1">
        <f t="array" ref="AA859">IFERROR(AVERAGE(_xlfn._xlws.FILTER(S$2:S$1073,($C$2:$C$1073=$C859)*($E$2:$E$1073=$E859)*(ROW(S$2:S$1073)&lt;&gt;ROW(S859))*(S$2:S$1073&lt;&gt;""))),"")</f>
        <v>1.1315702315112175</v>
      </c>
      <c r="AB859" cm="1">
        <f t="array" ref="AB859">IFERROR(AVERAGE(_xlfn._xlws.FILTER(T$2:T$1073,($C$2:$C$1073=$C859)*($E$2:$E$1073=$E859)*(ROW(T$2:T$1073)&lt;&gt;ROW(T859))*(T$2:T$1073&lt;&gt;""))),"")</f>
        <v>5.4869409864042928E-2</v>
      </c>
      <c r="AC859" cm="1">
        <f t="array" ref="AC859">IFERROR(AVERAGE(_xlfn._xlws.FILTER(U$2:U$1073,($C$2:$C$1073=$C859)*($E$2:$E$1073=$E859)*(ROW(U$2:U$1073)&lt;&gt;ROW(U859))*(U$2:U$1073&lt;&gt;""))),"")</f>
        <v>2.0086781177717459</v>
      </c>
      <c r="AD859" cm="1">
        <f t="array" ref="AD859">IFERROR(AVERAGE(_xlfn._xlws.FILTER(V$2:V$1073,($C$2:$C$1073=$C859)*($E$2:$E$1073=$E859)*(ROW(V$2:V$1073)&lt;&gt;ROW(V859))*(V$2:V$1073&lt;&gt;""))),"")</f>
        <v>0.64409028041831262</v>
      </c>
      <c r="AE859">
        <f>IF('Дивиденды по годам'!M859&lt;0,1,0)</f>
        <v>0</v>
      </c>
    </row>
    <row r="860" spans="1:31" x14ac:dyDescent="0.2">
      <c r="A860" s="7" t="s">
        <v>2321</v>
      </c>
      <c r="B860" t="str">
        <f t="shared" si="143"/>
        <v>SOFL IV кв. 2015</v>
      </c>
      <c r="C860">
        <v>2015</v>
      </c>
      <c r="D860">
        <f>SUMIFS(Дивиденды!$C:$C,Дивиденды!$A:$A,A860,Дивиденды!$I:$I,C860)</f>
        <v>0</v>
      </c>
      <c r="E860">
        <v>5</v>
      </c>
      <c r="F860">
        <f t="shared" si="144"/>
        <v>0</v>
      </c>
      <c r="G860">
        <f t="shared" si="145"/>
        <v>2.3218181818181818</v>
      </c>
      <c r="H860">
        <f t="shared" si="146"/>
        <v>0</v>
      </c>
      <c r="I860">
        <f t="shared" si="147"/>
        <v>0.18181818181818182</v>
      </c>
      <c r="J860">
        <f t="shared" si="148"/>
        <v>0</v>
      </c>
      <c r="K860">
        <f t="shared" si="153"/>
        <v>4.855464114120716E-2</v>
      </c>
      <c r="L860">
        <f t="shared" si="149"/>
        <v>0</v>
      </c>
      <c r="M860">
        <f t="shared" si="150"/>
        <v>9.0909090909090912E-2</v>
      </c>
      <c r="N860">
        <f t="shared" si="151"/>
        <v>0</v>
      </c>
      <c r="O860">
        <f t="shared" si="152"/>
        <v>9.0909090909090912E-2</v>
      </c>
      <c r="P860" t="str">
        <f>IFERROR(LN('Дивиденды по годам'!I860),"")</f>
        <v/>
      </c>
      <c r="Q860" t="str">
        <f>IFERROR('Дивиденды по годам'!G860/'Дивиденды по годам'!I860, "")</f>
        <v/>
      </c>
      <c r="R860" t="str">
        <f>IFERROR(IF(AND('Дивиденды по годам'!N860&lt;&gt;"",'Дивиденды по годам'!U860&lt;&gt;"",'Дивиденды по годам'!U860&lt;&gt;0),'Дивиденды по годам'!N860/'Дивиденды по годам'!U860-1,""),"")</f>
        <v/>
      </c>
      <c r="S860" t="str">
        <f>IFERROR(IF(AND('Дивиденды по годам'!L860&lt;&gt;"",'Дивиденды по годам'!I860&lt;&gt;"",'Дивиденды по годам'!J860&lt;&gt;"",'Дивиденды по годам'!K860&lt;&gt;"",('Дивиденды по годам'!I860-'Дивиденды по годам'!J860-'Дивиденды по годам'!K860)&lt;&gt;0),'Дивиденды по годам'!L860/('Дивиденды по годам'!I860-'Дивиденды по годам'!J860-'Дивиденды по годам'!K860),""),"")</f>
        <v/>
      </c>
      <c r="T860" t="str">
        <f>IFERROR(IF(AND('Дивиденды по годам'!Q860&lt;&gt;"",'Дивиденды по годам'!I860&lt;&gt;"",'Дивиденды по годам'!V860&lt;&gt;"",('Дивиденды по годам'!I860+'Дивиденды по годам'!V860)&lt;&gt;0),'Дивиденды по годам'!Q860/(('Дивиденды по годам'!I860+'Дивиденды по годам'!V860)/2),""),"")</f>
        <v/>
      </c>
      <c r="U860" t="str">
        <f>IFERROR(IF(AND('Дивиденды по годам'!J860&lt;&gt;"",'Дивиденды по годам'!K860&lt;&gt;"",'Дивиденды по годам'!M860&lt;&gt;"",'Дивиденды по годам'!M860&lt;&gt;0),('Дивиденды по годам'!J860+'Дивиденды по годам'!K860)/'Дивиденды по годам'!M860,""),"")</f>
        <v/>
      </c>
      <c r="V860" t="str">
        <f>IFERROR(IF(AND('Дивиденды по годам'!J860&lt;&gt;"",'Дивиденды по годам'!K860&lt;&gt;"",'Дивиденды по годам'!M860&lt;&gt;"",'Дивиденды по годам'!I860&lt;&gt;0),('Дивиденды по годам'!J860+'Дивиденды по годам'!K860)/'Дивиденды по годам'!I860,""),"")</f>
        <v/>
      </c>
      <c r="W860" t="str">
        <f>IFERROR('Дивиденды по годам'!I860,"")</f>
        <v/>
      </c>
      <c r="X860" cm="1">
        <f t="array" ref="X860">IFERROR(AVERAGE(_xlfn._xlws.FILTER(P$2:P$1073,($C$2:$C$1073=$C860)*($E$2:$E$1073=$E860)*(ROW(P$2:P$1073)&lt;&gt;ROW(P860))*(P$2:P$1073&lt;&gt;""))),"")</f>
        <v>27.120501452642756</v>
      </c>
      <c r="Y860" cm="1">
        <f t="array" ref="Y860">IFERROR(AVERAGE(_xlfn._xlws.FILTER(Q$2:Q$1073,($C$2:$C$1073=$C860)*($E$2:$E$1073=$E860)*(ROW(Q$2:Q$1073)&lt;&gt;ROW(Q860))*(Q$2:Q$1073&lt;&gt;""))),"")</f>
        <v>0.53878421833606405</v>
      </c>
      <c r="Z860" cm="1">
        <f t="array" ref="Z860">IFERROR(AVERAGE(_xlfn._xlws.FILTER(R$2:R$1073,($C$2:$C$1073=$C860)*($E$2:$E$1073=$E860)*(ROW(R$2:R$1073)&lt;&gt;ROW(R860))*(R$2:R$1073&lt;&gt;""))),"")</f>
        <v>2.2276174497294132E-2</v>
      </c>
      <c r="AA860" cm="1">
        <f t="array" ref="AA860">IFERROR(AVERAGE(_xlfn._xlws.FILTER(S$2:S$1073,($C$2:$C$1073=$C860)*($E$2:$E$1073=$E860)*(ROW(S$2:S$1073)&lt;&gt;ROW(S860))*(S$2:S$1073&lt;&gt;""))),"")</f>
        <v>1.2586396116380416</v>
      </c>
      <c r="AB860" cm="1">
        <f t="array" ref="AB860">IFERROR(AVERAGE(_xlfn._xlws.FILTER(T$2:T$1073,($C$2:$C$1073=$C860)*($E$2:$E$1073=$E860)*(ROW(T$2:T$1073)&lt;&gt;ROW(T860))*(T$2:T$1073&lt;&gt;""))),"")</f>
        <v>5.0636797509896803E-2</v>
      </c>
      <c r="AC860" cm="1">
        <f t="array" ref="AC860">IFERROR(AVERAGE(_xlfn._xlws.FILTER(U$2:U$1073,($C$2:$C$1073=$C860)*($E$2:$E$1073=$E860)*(ROW(U$2:U$1073)&lt;&gt;ROW(U860))*(U$2:U$1073&lt;&gt;""))),"")</f>
        <v>2.0444165107764372</v>
      </c>
      <c r="AD860" cm="1">
        <f t="array" ref="AD860">IFERROR(AVERAGE(_xlfn._xlws.FILTER(V$2:V$1073,($C$2:$C$1073=$C860)*($E$2:$E$1073=$E860)*(ROW(V$2:V$1073)&lt;&gt;ROW(V860))*(V$2:V$1073&lt;&gt;""))),"")</f>
        <v>0.64472959627967386</v>
      </c>
      <c r="AE860">
        <f>IF('Дивиденды по годам'!M860&lt;0,1,0)</f>
        <v>0</v>
      </c>
    </row>
    <row r="861" spans="1:31" x14ac:dyDescent="0.2">
      <c r="A861" s="7" t="s">
        <v>2321</v>
      </c>
      <c r="B861" t="str">
        <f t="shared" si="143"/>
        <v>SOFL IV кв. 2014</v>
      </c>
      <c r="C861">
        <v>2014</v>
      </c>
      <c r="D861">
        <f>SUMIFS(Дивиденды!$C:$C,Дивиденды!$A:$A,A861,Дивиденды!$I:$I,C861)</f>
        <v>0</v>
      </c>
      <c r="E861">
        <v>5</v>
      </c>
      <c r="F861">
        <f t="shared" si="144"/>
        <v>0</v>
      </c>
      <c r="G861">
        <f t="shared" si="145"/>
        <v>2.6454545454545451</v>
      </c>
      <c r="H861">
        <f t="shared" si="146"/>
        <v>0</v>
      </c>
      <c r="I861">
        <f t="shared" si="147"/>
        <v>0.18181818181818182</v>
      </c>
      <c r="J861">
        <f t="shared" si="148"/>
        <v>0</v>
      </c>
      <c r="K861">
        <f t="shared" si="153"/>
        <v>1.3814271370946419E-2</v>
      </c>
      <c r="L861">
        <f t="shared" si="149"/>
        <v>0</v>
      </c>
      <c r="M861">
        <f t="shared" si="150"/>
        <v>0.18181818181818182</v>
      </c>
      <c r="N861">
        <f t="shared" si="151"/>
        <v>0</v>
      </c>
      <c r="O861">
        <f t="shared" si="152"/>
        <v>0</v>
      </c>
      <c r="P861" t="str">
        <f>IFERROR(LN('Дивиденды по годам'!I861),"")</f>
        <v/>
      </c>
      <c r="Q861" t="str">
        <f>IFERROR('Дивиденды по годам'!G861/'Дивиденды по годам'!I861, "")</f>
        <v/>
      </c>
      <c r="R861" t="str">
        <f>IFERROR(IF(AND('Дивиденды по годам'!N861&lt;&gt;"",'Дивиденды по годам'!U861&lt;&gt;"",'Дивиденды по годам'!U861&lt;&gt;0),'Дивиденды по годам'!N861/'Дивиденды по годам'!U861-1,""),"")</f>
        <v/>
      </c>
      <c r="S861" t="str">
        <f>IFERROR(IF(AND('Дивиденды по годам'!L861&lt;&gt;"",'Дивиденды по годам'!I861&lt;&gt;"",'Дивиденды по годам'!J861&lt;&gt;"",'Дивиденды по годам'!K861&lt;&gt;"",('Дивиденды по годам'!I861-'Дивиденды по годам'!J861-'Дивиденды по годам'!K861)&lt;&gt;0),'Дивиденды по годам'!L861/('Дивиденды по годам'!I861-'Дивиденды по годам'!J861-'Дивиденды по годам'!K861),""),"")</f>
        <v/>
      </c>
      <c r="T861" t="str">
        <f>IFERROR(IF(AND('Дивиденды по годам'!Q861&lt;&gt;"",'Дивиденды по годам'!I861&lt;&gt;"",'Дивиденды по годам'!V861&lt;&gt;"",('Дивиденды по годам'!I861+'Дивиденды по годам'!V861)&lt;&gt;0),'Дивиденды по годам'!Q861/(('Дивиденды по годам'!I861+'Дивиденды по годам'!V861)/2),""),"")</f>
        <v/>
      </c>
      <c r="U861" t="str">
        <f>IFERROR(IF(AND('Дивиденды по годам'!J861&lt;&gt;"",'Дивиденды по годам'!K861&lt;&gt;"",'Дивиденды по годам'!M861&lt;&gt;"",'Дивиденды по годам'!M861&lt;&gt;0),('Дивиденды по годам'!J861+'Дивиденды по годам'!K861)/'Дивиденды по годам'!M861,""),"")</f>
        <v/>
      </c>
      <c r="V861" t="str">
        <f>IFERROR(IF(AND('Дивиденды по годам'!J861&lt;&gt;"",'Дивиденды по годам'!K861&lt;&gt;"",'Дивиденды по годам'!M861&lt;&gt;"",'Дивиденды по годам'!I861&lt;&gt;0),('Дивиденды по годам'!J861+'Дивиденды по годам'!K861)/'Дивиденды по годам'!I861,""),"")</f>
        <v/>
      </c>
      <c r="W861" t="str">
        <f>IFERROR('Дивиденды по годам'!I861,"")</f>
        <v/>
      </c>
      <c r="X861" cm="1">
        <f t="array" ref="X861">IFERROR(AVERAGE(_xlfn._xlws.FILTER(P$2:P$1073,($C$2:$C$1073=$C861)*($E$2:$E$1073=$E861)*(ROW(P$2:P$1073)&lt;&gt;ROW(P861))*(P$2:P$1073&lt;&gt;""))),"")</f>
        <v>27.082830809151307</v>
      </c>
      <c r="Y861" cm="1">
        <f t="array" ref="Y861">IFERROR(AVERAGE(_xlfn._xlws.FILTER(Q$2:Q$1073,($C$2:$C$1073=$C861)*($E$2:$E$1073=$E861)*(ROW(Q$2:Q$1073)&lt;&gt;ROW(Q861))*(Q$2:Q$1073&lt;&gt;""))),"")</f>
        <v>0.5450738024161359</v>
      </c>
      <c r="Z861" cm="1">
        <f t="array" ref="Z861">IFERROR(AVERAGE(_xlfn._xlws.FILTER(R$2:R$1073,($C$2:$C$1073=$C861)*($E$2:$E$1073=$E861)*(ROW(R$2:R$1073)&lt;&gt;ROW(R861))*(R$2:R$1073&lt;&gt;""))),"")</f>
        <v>2.9557764869601155E-2</v>
      </c>
      <c r="AA861" cm="1">
        <f t="array" ref="AA861">IFERROR(AVERAGE(_xlfn._xlws.FILTER(S$2:S$1073,($C$2:$C$1073=$C861)*($E$2:$E$1073=$E861)*(ROW(S$2:S$1073)&lt;&gt;ROW(S861))*(S$2:S$1073&lt;&gt;""))),"")</f>
        <v>1.1443286994996271</v>
      </c>
      <c r="AB861" cm="1">
        <f t="array" ref="AB861">IFERROR(AVERAGE(_xlfn._xlws.FILTER(T$2:T$1073,($C$2:$C$1073=$C861)*($E$2:$E$1073=$E861)*(ROW(T$2:T$1073)&lt;&gt;ROW(T861))*(T$2:T$1073&lt;&gt;""))),"")</f>
        <v>5.9751382409195454E-2</v>
      </c>
      <c r="AC861" cm="1">
        <f t="array" ref="AC861">IFERROR(AVERAGE(_xlfn._xlws.FILTER(U$2:U$1073,($C$2:$C$1073=$C861)*($E$2:$E$1073=$E861)*(ROW(U$2:U$1073)&lt;&gt;ROW(U861))*(U$2:U$1073&lt;&gt;""))),"")</f>
        <v>1.8184271482015117</v>
      </c>
      <c r="AD861" cm="1">
        <f t="array" ref="AD861">IFERROR(AVERAGE(_xlfn._xlws.FILTER(V$2:V$1073,($C$2:$C$1073=$C861)*($E$2:$E$1073=$E861)*(ROW(V$2:V$1073)&lt;&gt;ROW(V861))*(V$2:V$1073&lt;&gt;""))),"")</f>
        <v>0.62943537689886697</v>
      </c>
      <c r="AE861">
        <f>IF('Дивиденды по годам'!M861&lt;0,1,0)</f>
        <v>0</v>
      </c>
    </row>
    <row r="862" spans="1:31" x14ac:dyDescent="0.2">
      <c r="A862" s="7" t="s">
        <v>2321</v>
      </c>
      <c r="B862" t="str">
        <f t="shared" si="143"/>
        <v>SOFL IV кв. 2013</v>
      </c>
      <c r="C862">
        <v>2013</v>
      </c>
      <c r="D862">
        <f>SUMIFS(Дивиденды!$C:$C,Дивиденды!$A:$A,A862,Дивиденды!$I:$I,C862)</f>
        <v>0</v>
      </c>
      <c r="E862">
        <v>5</v>
      </c>
      <c r="F862">
        <f t="shared" si="144"/>
        <v>0</v>
      </c>
      <c r="G862">
        <f t="shared" si="145"/>
        <v>2.4490909090909092</v>
      </c>
      <c r="H862">
        <f t="shared" si="146"/>
        <v>0</v>
      </c>
      <c r="I862">
        <f t="shared" si="147"/>
        <v>0.18181818181818182</v>
      </c>
      <c r="J862">
        <f t="shared" si="148"/>
        <v>0</v>
      </c>
      <c r="K862">
        <f t="shared" si="153"/>
        <v>8.2745033991384775E-2</v>
      </c>
      <c r="L862">
        <f t="shared" si="149"/>
        <v>0</v>
      </c>
      <c r="M862">
        <f t="shared" si="150"/>
        <v>0.18181818181818182</v>
      </c>
      <c r="N862">
        <f t="shared" si="151"/>
        <v>0</v>
      </c>
      <c r="O862">
        <f t="shared" si="152"/>
        <v>0</v>
      </c>
      <c r="P862" t="str">
        <f>IFERROR(LN('Дивиденды по годам'!I862),"")</f>
        <v/>
      </c>
      <c r="Q862" t="str">
        <f>IFERROR('Дивиденды по годам'!G862/'Дивиденды по годам'!I862, "")</f>
        <v/>
      </c>
      <c r="R862" t="str">
        <f>IFERROR(IF(AND('Дивиденды по годам'!N862&lt;&gt;"",'Дивиденды по годам'!U862&lt;&gt;"",'Дивиденды по годам'!U862&lt;&gt;0),'Дивиденды по годам'!N862/'Дивиденды по годам'!U862-1,""),"")</f>
        <v/>
      </c>
      <c r="S862" t="str">
        <f>IFERROR(IF(AND('Дивиденды по годам'!L862&lt;&gt;"",'Дивиденды по годам'!I862&lt;&gt;"",'Дивиденды по годам'!J862&lt;&gt;"",'Дивиденды по годам'!K862&lt;&gt;"",('Дивиденды по годам'!I862-'Дивиденды по годам'!J862-'Дивиденды по годам'!K862)&lt;&gt;0),'Дивиденды по годам'!L862/('Дивиденды по годам'!I862-'Дивиденды по годам'!J862-'Дивиденды по годам'!K862),""),"")</f>
        <v/>
      </c>
      <c r="T862" t="str">
        <f>IFERROR(IF(AND('Дивиденды по годам'!Q862&lt;&gt;"",'Дивиденды по годам'!I862&lt;&gt;"",'Дивиденды по годам'!V862&lt;&gt;"",('Дивиденды по годам'!I862+'Дивиденды по годам'!V862)&lt;&gt;0),'Дивиденды по годам'!Q862/(('Дивиденды по годам'!I862+'Дивиденды по годам'!V862)/2),""),"")</f>
        <v/>
      </c>
      <c r="U862" t="str">
        <f>IFERROR(IF(AND('Дивиденды по годам'!J862&lt;&gt;"",'Дивиденды по годам'!K862&lt;&gt;"",'Дивиденды по годам'!M862&lt;&gt;"",'Дивиденды по годам'!M862&lt;&gt;0),('Дивиденды по годам'!J862+'Дивиденды по годам'!K862)/'Дивиденды по годам'!M862,""),"")</f>
        <v/>
      </c>
      <c r="V862" t="str">
        <f>IFERROR(IF(AND('Дивиденды по годам'!J862&lt;&gt;"",'Дивиденды по годам'!K862&lt;&gt;"",'Дивиденды по годам'!M862&lt;&gt;"",'Дивиденды по годам'!I862&lt;&gt;0),('Дивиденды по годам'!J862+'Дивиденды по годам'!K862)/'Дивиденды по годам'!I862,""),"")</f>
        <v/>
      </c>
      <c r="W862" t="str">
        <f>IFERROR('Дивиденды по годам'!I862,"")</f>
        <v/>
      </c>
      <c r="X862" cm="1">
        <f t="array" ref="X862">IFERROR(AVERAGE(_xlfn._xlws.FILTER(P$2:P$1073,($C$2:$C$1073=$C862)*($E$2:$E$1073=$E862)*(ROW(P$2:P$1073)&lt;&gt;ROW(P862))*(P$2:P$1073&lt;&gt;""))),"")</f>
        <v>26.980715693689852</v>
      </c>
      <c r="Y862" cm="1">
        <f t="array" ref="Y862">IFERROR(AVERAGE(_xlfn._xlws.FILTER(Q$2:Q$1073,($C$2:$C$1073=$C862)*($E$2:$E$1073=$E862)*(ROW(Q$2:Q$1073)&lt;&gt;ROW(Q862))*(Q$2:Q$1073&lt;&gt;""))),"")</f>
        <v>0.57737124989859567</v>
      </c>
      <c r="Z862" cm="1">
        <f t="array" ref="Z862">IFERROR(AVERAGE(_xlfn._xlws.FILTER(R$2:R$1073,($C$2:$C$1073=$C862)*($E$2:$E$1073=$E862)*(ROW(R$2:R$1073)&lt;&gt;ROW(R862))*(R$2:R$1073&lt;&gt;""))),"")</f>
        <v>-3.1761213433143809E-2</v>
      </c>
      <c r="AA862" t="str" cm="1">
        <f t="array" ref="AA862">IFERROR(AVERAGE(_xlfn._xlws.FILTER(S$2:S$1073,($C$2:$C$1073=$C862)*($E$2:$E$1073=$E862)*(ROW(S$2:S$1073)&lt;&gt;ROW(S862))*(S$2:S$1073&lt;&gt;""))),"")</f>
        <v/>
      </c>
      <c r="AB862" cm="1">
        <f t="array" ref="AB862">IFERROR(AVERAGE(_xlfn._xlws.FILTER(T$2:T$1073,($C$2:$C$1073=$C862)*($E$2:$E$1073=$E862)*(ROW(T$2:T$1073)&lt;&gt;ROW(T862))*(T$2:T$1073&lt;&gt;""))),"")</f>
        <v>0.10442686382361807</v>
      </c>
      <c r="AC862" cm="1">
        <f t="array" ref="AC862">IFERROR(AVERAGE(_xlfn._xlws.FILTER(U$2:U$1073,($C$2:$C$1073=$C862)*($E$2:$E$1073=$E862)*(ROW(U$2:U$1073)&lt;&gt;ROW(U862))*(U$2:U$1073&lt;&gt;""))),"")</f>
        <v>1.9310921377733694</v>
      </c>
      <c r="AD862" cm="1">
        <f t="array" ref="AD862">IFERROR(AVERAGE(_xlfn._xlws.FILTER(V$2:V$1073,($C$2:$C$1073=$C862)*($E$2:$E$1073=$E862)*(ROW(V$2:V$1073)&lt;&gt;ROW(V862))*(V$2:V$1073&lt;&gt;""))),"")</f>
        <v>0.65823029186247406</v>
      </c>
      <c r="AE862">
        <f>IF('Дивиденды по годам'!M862&lt;0,1,0)</f>
        <v>0</v>
      </c>
    </row>
    <row r="863" spans="1:31" x14ac:dyDescent="0.2">
      <c r="A863" s="7" t="s">
        <v>2321</v>
      </c>
      <c r="B863" t="str">
        <f t="shared" si="143"/>
        <v>SOFL IV кв. 2012</v>
      </c>
      <c r="C863">
        <v>2012</v>
      </c>
      <c r="D863">
        <f>SUMIFS(Дивиденды!$C:$C,Дивиденды!$A:$A,A863,Дивиденды!$I:$I,C863)</f>
        <v>0</v>
      </c>
      <c r="E863">
        <v>5</v>
      </c>
      <c r="F863">
        <f t="shared" si="144"/>
        <v>0</v>
      </c>
      <c r="G863">
        <f t="shared" si="145"/>
        <v>1.5490909090909091</v>
      </c>
      <c r="H863">
        <f t="shared" si="146"/>
        <v>0</v>
      </c>
      <c r="I863">
        <f t="shared" si="147"/>
        <v>0.18181818181818182</v>
      </c>
      <c r="J863">
        <f t="shared" si="148"/>
        <v>0</v>
      </c>
      <c r="K863">
        <f t="shared" si="153"/>
        <v>-4.4393542728732291E-2</v>
      </c>
      <c r="L863">
        <f t="shared" si="149"/>
        <v>0</v>
      </c>
      <c r="M863">
        <f t="shared" si="150"/>
        <v>0</v>
      </c>
      <c r="N863">
        <f t="shared" si="151"/>
        <v>0</v>
      </c>
      <c r="O863">
        <f t="shared" si="152"/>
        <v>0.18181818181818182</v>
      </c>
      <c r="P863" t="str">
        <f>IFERROR(LN('Дивиденды по годам'!I863),"")</f>
        <v/>
      </c>
      <c r="Q863" t="str">
        <f>IFERROR('Дивиденды по годам'!G863/'Дивиденды по годам'!I863, "")</f>
        <v/>
      </c>
      <c r="R863" t="str">
        <f>IFERROR(IF(AND('Дивиденды по годам'!N863&lt;&gt;"",'Дивиденды по годам'!U863&lt;&gt;"",'Дивиденды по годам'!U863&lt;&gt;0),'Дивиденды по годам'!N863/'Дивиденды по годам'!U863-1,""),"")</f>
        <v/>
      </c>
      <c r="S863" t="str">
        <f>IFERROR(IF(AND('Дивиденды по годам'!L863&lt;&gt;"",'Дивиденды по годам'!I863&lt;&gt;"",'Дивиденды по годам'!J863&lt;&gt;"",'Дивиденды по годам'!K863&lt;&gt;"",('Дивиденды по годам'!I863-'Дивиденды по годам'!J863-'Дивиденды по годам'!K863)&lt;&gt;0),'Дивиденды по годам'!L863/('Дивиденды по годам'!I863-'Дивиденды по годам'!J863-'Дивиденды по годам'!K863),""),"")</f>
        <v/>
      </c>
      <c r="T863" t="str">
        <f>IFERROR(IF(AND('Дивиденды по годам'!Q863&lt;&gt;"",'Дивиденды по годам'!I863&lt;&gt;"",'Дивиденды по годам'!V863&lt;&gt;"",('Дивиденды по годам'!I863+'Дивиденды по годам'!V863)&lt;&gt;0),'Дивиденды по годам'!Q863/(('Дивиденды по годам'!I863+'Дивиденды по годам'!V863)/2),""),"")</f>
        <v/>
      </c>
      <c r="U863" t="str">
        <f>IFERROR(IF(AND('Дивиденды по годам'!J863&lt;&gt;"",'Дивиденды по годам'!K863&lt;&gt;"",'Дивиденды по годам'!M863&lt;&gt;"",'Дивиденды по годам'!M863&lt;&gt;0),('Дивиденды по годам'!J863+'Дивиденды по годам'!K863)/'Дивиденды по годам'!M863,""),"")</f>
        <v/>
      </c>
      <c r="V863" t="str">
        <f>IFERROR(IF(AND('Дивиденды по годам'!J863&lt;&gt;"",'Дивиденды по годам'!K863&lt;&gt;"",'Дивиденды по годам'!M863&lt;&gt;"",'Дивиденды по годам'!I863&lt;&gt;0),('Дивиденды по годам'!J863+'Дивиденды по годам'!K863)/'Дивиденды по годам'!I863,""),"")</f>
        <v/>
      </c>
      <c r="W863" t="str">
        <f>IFERROR('Дивиденды по годам'!I863,"")</f>
        <v/>
      </c>
      <c r="X863" cm="1">
        <f t="array" ref="X863">IFERROR(AVERAGE(_xlfn._xlws.FILTER(P$2:P$1073,($C$2:$C$1073=$C863)*($E$2:$E$1073=$E863)*(ROW(P$2:P$1073)&lt;&gt;ROW(P863))*(P$2:P$1073&lt;&gt;""))),"")</f>
        <v>26.976167524823197</v>
      </c>
      <c r="Y863" cm="1">
        <f t="array" ref="Y863">IFERROR(AVERAGE(_xlfn._xlws.FILTER(Q$2:Q$1073,($C$2:$C$1073=$C863)*($E$2:$E$1073=$E863)*(ROW(Q$2:Q$1073)&lt;&gt;ROW(Q863))*(Q$2:Q$1073&lt;&gt;""))),"")</f>
        <v>0.63141065735920243</v>
      </c>
      <c r="Z863" cm="1">
        <f t="array" ref="Z863">IFERROR(AVERAGE(_xlfn._xlws.FILTER(R$2:R$1073,($C$2:$C$1073=$C863)*($E$2:$E$1073=$E863)*(ROW(R$2:R$1073)&lt;&gt;ROW(R863))*(R$2:R$1073&lt;&gt;""))),"")</f>
        <v>8.5252436531932485E-2</v>
      </c>
      <c r="AA863" t="str" cm="1">
        <f t="array" ref="AA863">IFERROR(AVERAGE(_xlfn._xlws.FILTER(S$2:S$1073,($C$2:$C$1073=$C863)*($E$2:$E$1073=$E863)*(ROW(S$2:S$1073)&lt;&gt;ROW(S863))*(S$2:S$1073&lt;&gt;""))),"")</f>
        <v/>
      </c>
      <c r="AB863" cm="1">
        <f t="array" ref="AB863">IFERROR(AVERAGE(_xlfn._xlws.FILTER(T$2:T$1073,($C$2:$C$1073=$C863)*($E$2:$E$1073=$E863)*(ROW(T$2:T$1073)&lt;&gt;ROW(T863))*(T$2:T$1073&lt;&gt;""))),"")</f>
        <v>6.4593053680603474E-2</v>
      </c>
      <c r="AC863" cm="1">
        <f t="array" ref="AC863">IFERROR(AVERAGE(_xlfn._xlws.FILTER(U$2:U$1073,($C$2:$C$1073=$C863)*($E$2:$E$1073=$E863)*(ROW(U$2:U$1073)&lt;&gt;ROW(U863))*(U$2:U$1073&lt;&gt;""))),"")</f>
        <v>2.1186181543330798</v>
      </c>
      <c r="AD863" cm="1">
        <f t="array" ref="AD863">IFERROR(AVERAGE(_xlfn._xlws.FILTER(V$2:V$1073,($C$2:$C$1073=$C863)*($E$2:$E$1073=$E863)*(ROW(V$2:V$1073)&lt;&gt;ROW(V863))*(V$2:V$1073&lt;&gt;""))),"")</f>
        <v>0.6515550916449</v>
      </c>
      <c r="AE863">
        <f>IF('Дивиденды по годам'!M863&lt;0,1,0)</f>
        <v>0</v>
      </c>
    </row>
    <row r="864" spans="1:31" x14ac:dyDescent="0.2">
      <c r="A864" s="7" t="s">
        <v>2321</v>
      </c>
      <c r="B864" t="str">
        <f t="shared" si="143"/>
        <v>SOFL IV кв. 2011</v>
      </c>
      <c r="C864">
        <v>2011</v>
      </c>
      <c r="D864">
        <f>SUMIFS(Дивиденды!$C:$C,Дивиденды!$A:$A,A864,Дивиденды!$I:$I,C864)</f>
        <v>0</v>
      </c>
      <c r="E864">
        <v>5</v>
      </c>
      <c r="F864">
        <f t="shared" si="144"/>
        <v>0</v>
      </c>
      <c r="G864">
        <f t="shared" si="145"/>
        <v>1.7645454545454546</v>
      </c>
      <c r="H864">
        <f t="shared" si="146"/>
        <v>0</v>
      </c>
      <c r="I864">
        <f t="shared" si="147"/>
        <v>0.18181818181818182</v>
      </c>
      <c r="J864">
        <f t="shared" si="148"/>
        <v>0</v>
      </c>
      <c r="K864">
        <f t="shared" si="153"/>
        <v>0.29508419260826407</v>
      </c>
      <c r="L864">
        <f t="shared" si="149"/>
        <v>0</v>
      </c>
      <c r="M864">
        <f t="shared" si="150"/>
        <v>0.18181818181818182</v>
      </c>
      <c r="N864">
        <f t="shared" si="151"/>
        <v>0</v>
      </c>
      <c r="O864">
        <f t="shared" si="152"/>
        <v>0</v>
      </c>
      <c r="P864" t="str">
        <f>IFERROR(LN('Дивиденды по годам'!I864),"")</f>
        <v/>
      </c>
      <c r="Q864" t="str">
        <f>IFERROR('Дивиденды по годам'!G864/'Дивиденды по годам'!I864, "")</f>
        <v/>
      </c>
      <c r="R864" t="str">
        <f>IFERROR(IF(AND('Дивиденды по годам'!N864&lt;&gt;"",'Дивиденды по годам'!U864&lt;&gt;"",'Дивиденды по годам'!U864&lt;&gt;0),'Дивиденды по годам'!N864/'Дивиденды по годам'!U864-1,""),"")</f>
        <v/>
      </c>
      <c r="S864" t="str">
        <f>IFERROR(IF(AND('Дивиденды по годам'!L864&lt;&gt;"",'Дивиденды по годам'!I864&lt;&gt;"",'Дивиденды по годам'!J864&lt;&gt;"",'Дивиденды по годам'!K864&lt;&gt;"",('Дивиденды по годам'!I864-'Дивиденды по годам'!J864-'Дивиденды по годам'!K864)&lt;&gt;0),'Дивиденды по годам'!L864/('Дивиденды по годам'!I864-'Дивиденды по годам'!J864-'Дивиденды по годам'!K864),""),"")</f>
        <v/>
      </c>
      <c r="T864" t="str">
        <f>IFERROR(IF(AND('Дивиденды по годам'!Q864&lt;&gt;"",'Дивиденды по годам'!I864&lt;&gt;"",'Дивиденды по годам'!V864&lt;&gt;"",('Дивиденды по годам'!I864+'Дивиденды по годам'!V864)&lt;&gt;0),'Дивиденды по годам'!Q864/(('Дивиденды по годам'!I864+'Дивиденды по годам'!V864)/2),""),"")</f>
        <v/>
      </c>
      <c r="U864" t="str">
        <f>IFERROR(IF(AND('Дивиденды по годам'!J864&lt;&gt;"",'Дивиденды по годам'!K864&lt;&gt;"",'Дивиденды по годам'!M864&lt;&gt;"",'Дивиденды по годам'!M864&lt;&gt;0),('Дивиденды по годам'!J864+'Дивиденды по годам'!K864)/'Дивиденды по годам'!M864,""),"")</f>
        <v/>
      </c>
      <c r="V864" t="str">
        <f>IFERROR(IF(AND('Дивиденды по годам'!J864&lt;&gt;"",'Дивиденды по годам'!K864&lt;&gt;"",'Дивиденды по годам'!M864&lt;&gt;"",'Дивиденды по годам'!I864&lt;&gt;0),('Дивиденды по годам'!J864+'Дивиденды по годам'!K864)/'Дивиденды по годам'!I864,""),"")</f>
        <v/>
      </c>
      <c r="W864" t="str">
        <f>IFERROR('Дивиденды по годам'!I864,"")</f>
        <v/>
      </c>
      <c r="X864" cm="1">
        <f t="array" ref="X864">IFERROR(AVERAGE(_xlfn._xlws.FILTER(P$2:P$1073,($C$2:$C$1073=$C864)*($E$2:$E$1073=$E864)*(ROW(P$2:P$1073)&lt;&gt;ROW(P864))*(P$2:P$1073&lt;&gt;""))),"")</f>
        <v>26.959846755112331</v>
      </c>
      <c r="Y864" cm="1">
        <f t="array" ref="Y864">IFERROR(AVERAGE(_xlfn._xlws.FILTER(Q$2:Q$1073,($C$2:$C$1073=$C864)*($E$2:$E$1073=$E864)*(ROW(Q$2:Q$1073)&lt;&gt;ROW(Q864))*(Q$2:Q$1073&lt;&gt;""))),"")</f>
        <v>0.64168629722093962</v>
      </c>
      <c r="Z864" t="str" cm="1">
        <f t="array" ref="Z864">IFERROR(AVERAGE(_xlfn._xlws.FILTER(R$2:R$1073,($C$2:$C$1073=$C864)*($E$2:$E$1073=$E864)*(ROW(R$2:R$1073)&lt;&gt;ROW(R864))*(R$2:R$1073&lt;&gt;""))),"")</f>
        <v/>
      </c>
      <c r="AA864" t="str" cm="1">
        <f t="array" ref="AA864">IFERROR(AVERAGE(_xlfn._xlws.FILTER(S$2:S$1073,($C$2:$C$1073=$C864)*($E$2:$E$1073=$E864)*(ROW(S$2:S$1073)&lt;&gt;ROW(S864))*(S$2:S$1073&lt;&gt;""))),"")</f>
        <v/>
      </c>
      <c r="AB864" t="str" cm="1">
        <f t="array" ref="AB864">IFERROR(AVERAGE(_xlfn._xlws.FILTER(T$2:T$1073,($C$2:$C$1073=$C864)*($E$2:$E$1073=$E864)*(ROW(T$2:T$1073)&lt;&gt;ROW(T864))*(T$2:T$1073&lt;&gt;""))),"")</f>
        <v/>
      </c>
      <c r="AC864" cm="1">
        <f t="array" ref="AC864">IFERROR(AVERAGE(_xlfn._xlws.FILTER(U$2:U$1073,($C$2:$C$1073=$C864)*($E$2:$E$1073=$E864)*(ROW(U$2:U$1073)&lt;&gt;ROW(U864))*(U$2:U$1073&lt;&gt;""))),"")</f>
        <v>0.9076461410986616</v>
      </c>
      <c r="AD864" cm="1">
        <f t="array" ref="AD864">IFERROR(AVERAGE(_xlfn._xlws.FILTER(V$2:V$1073,($C$2:$C$1073=$C864)*($E$2:$E$1073=$E864)*(ROW(V$2:V$1073)&lt;&gt;ROW(V864))*(V$2:V$1073&lt;&gt;""))),"")</f>
        <v>0.47579376570118254</v>
      </c>
      <c r="AE864">
        <f>IF('Дивиденды по годам'!M864&lt;0,1,0)</f>
        <v>0</v>
      </c>
    </row>
    <row r="865" spans="1:31" x14ac:dyDescent="0.2">
      <c r="A865" s="7" t="s">
        <v>2321</v>
      </c>
      <c r="B865" t="str">
        <f t="shared" si="143"/>
        <v>SOFL IV кв. 2010</v>
      </c>
      <c r="C865">
        <v>2010</v>
      </c>
      <c r="D865">
        <f>SUMIFS(Дивиденды!$C:$C,Дивиденды!$A:$A,A865,Дивиденды!$I:$I,C865)</f>
        <v>0</v>
      </c>
      <c r="E865">
        <v>5</v>
      </c>
      <c r="F865">
        <f t="shared" si="144"/>
        <v>0</v>
      </c>
      <c r="G865">
        <f t="shared" si="145"/>
        <v>1.4227272727272726</v>
      </c>
      <c r="H865">
        <f t="shared" si="146"/>
        <v>0</v>
      </c>
      <c r="I865">
        <f t="shared" si="147"/>
        <v>0.18181818181818182</v>
      </c>
      <c r="J865" t="str">
        <f t="shared" si="148"/>
        <v/>
      </c>
      <c r="K865" t="str">
        <f t="shared" si="153"/>
        <v/>
      </c>
      <c r="L865" t="str">
        <f t="shared" si="149"/>
        <v/>
      </c>
      <c r="M865" t="str">
        <f t="shared" si="150"/>
        <v/>
      </c>
      <c r="N865" t="str">
        <f t="shared" si="151"/>
        <v/>
      </c>
      <c r="O865" t="str">
        <f t="shared" si="152"/>
        <v/>
      </c>
      <c r="P865" t="str">
        <f>IFERROR(LN('Дивиденды по годам'!I865),"")</f>
        <v/>
      </c>
      <c r="Q865" t="str">
        <f>IFERROR('Дивиденды по годам'!G865/'Дивиденды по годам'!I865, "")</f>
        <v/>
      </c>
      <c r="R865" t="str">
        <f>IFERROR(IF(AND('Дивиденды по годам'!N865&lt;&gt;"",'Дивиденды по годам'!U865&lt;&gt;"",'Дивиденды по годам'!U865&lt;&gt;0),'Дивиденды по годам'!N865/'Дивиденды по годам'!U865-1,""),"")</f>
        <v/>
      </c>
      <c r="S865" t="str">
        <f>IFERROR(IF(AND('Дивиденды по годам'!L865&lt;&gt;"",'Дивиденды по годам'!I865&lt;&gt;"",'Дивиденды по годам'!J865&lt;&gt;"",'Дивиденды по годам'!K865&lt;&gt;"",('Дивиденды по годам'!I865-'Дивиденды по годам'!J865-'Дивиденды по годам'!K865)&lt;&gt;0),'Дивиденды по годам'!L865/('Дивиденды по годам'!I865-'Дивиденды по годам'!J865-'Дивиденды по годам'!K865),""),"")</f>
        <v/>
      </c>
      <c r="T865" t="str">
        <f>IFERROR(IF(AND('Дивиденды по годам'!Q865&lt;&gt;"",'Дивиденды по годам'!I865&lt;&gt;"",'Дивиденды по годам'!V865&lt;&gt;"",('Дивиденды по годам'!I865+'Дивиденды по годам'!V865)&lt;&gt;0),'Дивиденды по годам'!Q865/(('Дивиденды по годам'!I865+'Дивиденды по годам'!V865)/2),""),"")</f>
        <v/>
      </c>
      <c r="U865" t="str">
        <f>IFERROR(IF(AND('Дивиденды по годам'!J865&lt;&gt;"",'Дивиденды по годам'!K865&lt;&gt;"",'Дивиденды по годам'!M865&lt;&gt;"",'Дивиденды по годам'!M865&lt;&gt;0),('Дивиденды по годам'!J865+'Дивиденды по годам'!K865)/'Дивиденды по годам'!M865,""),"")</f>
        <v/>
      </c>
      <c r="V865" t="str">
        <f>IFERROR(IF(AND('Дивиденды по годам'!J865&lt;&gt;"",'Дивиденды по годам'!K865&lt;&gt;"",'Дивиденды по годам'!M865&lt;&gt;"",'Дивиденды по годам'!I865&lt;&gt;0),('Дивиденды по годам'!J865+'Дивиденды по годам'!K865)/'Дивиденды по годам'!I865,""),"")</f>
        <v/>
      </c>
      <c r="W865" t="str">
        <f>IFERROR('Дивиденды по годам'!I865,"")</f>
        <v/>
      </c>
      <c r="X865" t="str" cm="1">
        <f t="array" ref="X865">IFERROR(AVERAGE(_xlfn._xlws.FILTER(P$2:P$1073,($C$2:$C$1073=$C865)*($E$2:$E$1073=$E865)*(ROW(P$2:P$1073)&lt;&gt;ROW(P865))*(P$2:P$1073&lt;&gt;""))),"")</f>
        <v/>
      </c>
      <c r="Y865" t="str" cm="1">
        <f t="array" ref="Y865">IFERROR(AVERAGE(_xlfn._xlws.FILTER(Q$2:Q$1073,($C$2:$C$1073=$C865)*($E$2:$E$1073=$E865)*(ROW(Q$2:Q$1073)&lt;&gt;ROW(Q865))*(Q$2:Q$1073&lt;&gt;""))),"")</f>
        <v/>
      </c>
      <c r="Z865" t="str" cm="1">
        <f t="array" ref="Z865">IFERROR(AVERAGE(_xlfn._xlws.FILTER(R$2:R$1073,($C$2:$C$1073=$C865)*($E$2:$E$1073=$E865)*(ROW(R$2:R$1073)&lt;&gt;ROW(R865))*(R$2:R$1073&lt;&gt;""))),"")</f>
        <v/>
      </c>
      <c r="AA865" t="str" cm="1">
        <f t="array" ref="AA865">IFERROR(AVERAGE(_xlfn._xlws.FILTER(S$2:S$1073,($C$2:$C$1073=$C865)*($E$2:$E$1073=$E865)*(ROW(S$2:S$1073)&lt;&gt;ROW(S865))*(S$2:S$1073&lt;&gt;""))),"")</f>
        <v/>
      </c>
      <c r="AB865" t="str" cm="1">
        <f t="array" ref="AB865">IFERROR(AVERAGE(_xlfn._xlws.FILTER(T$2:T$1073,($C$2:$C$1073=$C865)*($E$2:$E$1073=$E865)*(ROW(T$2:T$1073)&lt;&gt;ROW(T865))*(T$2:T$1073&lt;&gt;""))),"")</f>
        <v/>
      </c>
      <c r="AC865" t="str" cm="1">
        <f t="array" ref="AC865">IFERROR(AVERAGE(_xlfn._xlws.FILTER(U$2:U$1073,($C$2:$C$1073=$C865)*($E$2:$E$1073=$E865)*(ROW(U$2:U$1073)&lt;&gt;ROW(U865))*(U$2:U$1073&lt;&gt;""))),"")</f>
        <v/>
      </c>
      <c r="AD865" t="str" cm="1">
        <f t="array" ref="AD865">IFERROR(AVERAGE(_xlfn._xlws.FILTER(V$2:V$1073,($C$2:$C$1073=$C865)*($E$2:$E$1073=$E865)*(ROW(V$2:V$1073)&lt;&gt;ROW(V865))*(V$2:V$1073&lt;&gt;""))),"")</f>
        <v/>
      </c>
      <c r="AE865">
        <f>IF('Дивиденды по годам'!M865&lt;0,1,0)</f>
        <v>0</v>
      </c>
    </row>
    <row r="866" spans="1:31" x14ac:dyDescent="0.2">
      <c r="A866" s="7" t="s">
        <v>2322</v>
      </c>
      <c r="B866" t="str">
        <f t="shared" si="143"/>
        <v>VKCO IV кв. 2025</v>
      </c>
      <c r="C866">
        <v>2025</v>
      </c>
      <c r="D866">
        <f>SUMIFS(Дивиденды!$C:$C,Дивиденды!$A:$A,A866,Дивиденды!$I:$I,C866)</f>
        <v>0</v>
      </c>
      <c r="E866">
        <v>5</v>
      </c>
      <c r="F866">
        <f t="shared" si="144"/>
        <v>0</v>
      </c>
      <c r="G866">
        <f t="shared" si="145"/>
        <v>51.49636363636364</v>
      </c>
      <c r="H866">
        <f t="shared" si="146"/>
        <v>0</v>
      </c>
      <c r="I866">
        <f t="shared" si="147"/>
        <v>0.54545454545454541</v>
      </c>
      <c r="J866">
        <f t="shared" si="148"/>
        <v>0</v>
      </c>
      <c r="K866">
        <f t="shared" si="153"/>
        <v>-2.3157914365832092E-2</v>
      </c>
      <c r="L866">
        <f t="shared" si="149"/>
        <v>0</v>
      </c>
      <c r="M866">
        <f t="shared" si="150"/>
        <v>0.36363636363636365</v>
      </c>
      <c r="N866">
        <f t="shared" si="151"/>
        <v>0</v>
      </c>
      <c r="O866">
        <f t="shared" si="152"/>
        <v>0.54545454545454541</v>
      </c>
      <c r="P866">
        <f>IFERROR(LN('Дивиденды по годам'!I866),"")</f>
        <v>26.532236812466742</v>
      </c>
      <c r="Q866">
        <f>IFERROR('Дивиденды по годам'!G866/'Дивиденды по годам'!I866, "")</f>
        <v>0.15453558011978061</v>
      </c>
      <c r="R866">
        <f>IFERROR(IF(AND('Дивиденды по годам'!N866&lt;&gt;"",'Дивиденды по годам'!U866&lt;&gt;"",'Дивиденды по годам'!U866&lt;&gt;0),'Дивиденды по годам'!N866/'Дивиденды по годам'!U866-1,""),"")</f>
        <v>8.3938118761561986E-2</v>
      </c>
      <c r="S866">
        <f>IFERROR(IF(AND('Дивиденды по годам'!L866&lt;&gt;"",'Дивиденды по годам'!I866&lt;&gt;"",'Дивиденды по годам'!J866&lt;&gt;"",'Дивиденды по годам'!K866&lt;&gt;"",('Дивиденды по годам'!I866-'Дивиденды по годам'!J866-'Дивиденды по годам'!K866)&lt;&gt;0),'Дивиденды по годам'!L866/('Дивиденды по годам'!I866-'Дивиденды по годам'!J866-'Дивиденды по годам'!K866),""),"")</f>
        <v>-0.50173096316811416</v>
      </c>
      <c r="T866">
        <f>IFERROR(IF(AND('Дивиденды по годам'!Q866&lt;&gt;"",'Дивиденды по годам'!I866&lt;&gt;"",'Дивиденды по годам'!V866&lt;&gt;"",('Дивиденды по годам'!I866+'Дивиденды по годам'!V866)&lt;&gt;0),'Дивиденды по годам'!Q866/(('Дивиденды по годам'!I866+'Дивиденды по годам'!V866)/2),""),"")</f>
        <v>-7.4871619513833892E-2</v>
      </c>
      <c r="U866">
        <f>IFERROR(IF(AND('Дивиденды по годам'!J866&lt;&gt;"",'Дивиденды по годам'!K866&lt;&gt;"",'Дивиденды по годам'!M866&lt;&gt;"",'Дивиденды по годам'!M866&lt;&gt;0),('Дивиденды по годам'!J866+'Дивиденды по годам'!K866)/'Дивиденды по годам'!M866,""),"")</f>
        <v>1.5082107861583154</v>
      </c>
      <c r="V866">
        <f>IFERROR(IF(AND('Дивиденды по годам'!J866&lt;&gt;"",'Дивиденды по годам'!K866&lt;&gt;"",'Дивиденды по годам'!M866&lt;&gt;"",'Дивиденды по годам'!I866&lt;&gt;0),('Дивиденды по годам'!J866+'Дивиденды по годам'!K866)/'Дивиденды по годам'!I866,""),"")</f>
        <v>0.60130942522113806</v>
      </c>
      <c r="W866">
        <f>IFERROR('Дивиденды по годам'!I866,"")</f>
        <v>333276000000</v>
      </c>
      <c r="X866" cm="1">
        <f t="array" ref="X866">IFERROR(AVERAGE(_xlfn._xlws.FILTER(P$2:P$1073,($C$2:$C$1073=$C866)*($E$2:$E$1073=$E866)*(ROW(P$2:P$1073)&lt;&gt;ROW(P866))*(P$2:P$1073&lt;&gt;""))),"")</f>
        <v>26.519461962076704</v>
      </c>
      <c r="Y866" cm="1">
        <f t="array" ref="Y866">IFERROR(AVERAGE(_xlfn._xlws.FILTER(Q$2:Q$1073,($C$2:$C$1073=$C866)*($E$2:$E$1073=$E866)*(ROW(Q$2:Q$1073)&lt;&gt;ROW(Q866))*(Q$2:Q$1073&lt;&gt;""))),"")</f>
        <v>0.20021986318229243</v>
      </c>
      <c r="Z866" cm="1">
        <f t="array" ref="Z866">IFERROR(AVERAGE(_xlfn._xlws.FILTER(R$2:R$1073,($C$2:$C$1073=$C866)*($E$2:$E$1073=$E866)*(ROW(R$2:R$1073)&lt;&gt;ROW(R866))*(R$2:R$1073&lt;&gt;""))),"")</f>
        <v>0.15565709016460821</v>
      </c>
      <c r="AA866" cm="1">
        <f t="array" ref="AA866">IFERROR(AVERAGE(_xlfn._xlws.FILTER(S$2:S$1073,($C$2:$C$1073=$C866)*($E$2:$E$1073=$E866)*(ROW(S$2:S$1073)&lt;&gt;ROW(S866))*(S$2:S$1073&lt;&gt;""))),"")</f>
        <v>0.93072497517532715</v>
      </c>
      <c r="AB866" cm="1">
        <f t="array" ref="AB866">IFERROR(AVERAGE(_xlfn._xlws.FILTER(T$2:T$1073,($C$2:$C$1073=$C866)*($E$2:$E$1073=$E866)*(ROW(T$2:T$1073)&lt;&gt;ROW(T866))*(T$2:T$1073&lt;&gt;""))),"")</f>
        <v>0.17682133598125138</v>
      </c>
      <c r="AC866" cm="1">
        <f t="array" ref="AC866">IFERROR(AVERAGE(_xlfn._xlws.FILTER(U$2:U$1073,($C$2:$C$1073=$C866)*($E$2:$E$1073=$E866)*(ROW(U$2:U$1073)&lt;&gt;ROW(U866))*(U$2:U$1073&lt;&gt;""))),"")</f>
        <v>16.939512793676567</v>
      </c>
      <c r="AD866" cm="1">
        <f t="array" ref="AD866">IFERROR(AVERAGE(_xlfn._xlws.FILTER(V$2:V$1073,($C$2:$C$1073=$C866)*($E$2:$E$1073=$E866)*(ROW(V$2:V$1073)&lt;&gt;ROW(V866))*(V$2:V$1073&lt;&gt;""))),"")</f>
        <v>0.7517985136440809</v>
      </c>
      <c r="AE866">
        <f>IF('Дивиденды по годам'!M866&lt;0,1,0)</f>
        <v>0</v>
      </c>
    </row>
    <row r="867" spans="1:31" x14ac:dyDescent="0.2">
      <c r="A867" s="7" t="s">
        <v>2322</v>
      </c>
      <c r="B867" t="str">
        <f t="shared" si="143"/>
        <v>VKCO IV кв. 2024</v>
      </c>
      <c r="C867">
        <v>2024</v>
      </c>
      <c r="D867">
        <f>SUMIFS(Дивиденды!$C:$C,Дивиденды!$A:$A,A867,Дивиденды!$I:$I,C867)</f>
        <v>0</v>
      </c>
      <c r="E867">
        <v>5</v>
      </c>
      <c r="F867">
        <f t="shared" si="144"/>
        <v>0</v>
      </c>
      <c r="G867">
        <f t="shared" si="145"/>
        <v>102.16454545454545</v>
      </c>
      <c r="H867">
        <f t="shared" si="146"/>
        <v>0</v>
      </c>
      <c r="I867">
        <f t="shared" si="147"/>
        <v>0.63636363636363635</v>
      </c>
      <c r="J867">
        <f t="shared" si="148"/>
        <v>0</v>
      </c>
      <c r="K867">
        <f t="shared" si="153"/>
        <v>0.22526756384337021</v>
      </c>
      <c r="L867">
        <f t="shared" si="149"/>
        <v>0</v>
      </c>
      <c r="M867">
        <f t="shared" si="150"/>
        <v>0.36363636363636365</v>
      </c>
      <c r="N867">
        <f t="shared" si="151"/>
        <v>0</v>
      </c>
      <c r="O867">
        <f t="shared" si="152"/>
        <v>0.18181818181818182</v>
      </c>
      <c r="P867">
        <f>IFERROR(LN('Дивиденды по годам'!I867),"")</f>
        <v>26.532884714008375</v>
      </c>
      <c r="Q867">
        <f>IFERROR('Дивиденды по годам'!G867/'Дивиденды по годам'!I867, "")</f>
        <v>0.16442073572979263</v>
      </c>
      <c r="R867">
        <f>IFERROR(IF(AND('Дивиденды по годам'!N867&lt;&gt;"",'Дивиденды по годам'!U867&lt;&gt;"",'Дивиденды по годам'!U867&lt;&gt;0),'Дивиденды по годам'!N867/'Дивиденды по годам'!U867-1,""),"")</f>
        <v>0.11149356029223467</v>
      </c>
      <c r="S867">
        <f>IFERROR(IF(AND('Дивиденды по годам'!L867&lt;&gt;"",'Дивиденды по годам'!I867&lt;&gt;"",'Дивиденды по годам'!J867&lt;&gt;"",'Дивиденды по годам'!K867&lt;&gt;"",('Дивиденды по годам'!I867-'Дивиденды по годам'!J867-'Дивиденды по годам'!K867)&lt;&gt;0),'Дивиденды по годам'!L867/('Дивиденды по годам'!I867-'Дивиденды по годам'!J867-'Дивиденды по годам'!K867),""),"")</f>
        <v>-0.9204400901604588</v>
      </c>
      <c r="T867">
        <f>IFERROR(IF(AND('Дивиденды по годам'!Q867&lt;&gt;"",'Дивиденды по годам'!I867&lt;&gt;"",'Дивиденды по годам'!V867&lt;&gt;"",('Дивиденды по годам'!I867+'Дивиденды по годам'!V867)&lt;&gt;0),'Дивиденды по годам'!Q867/(('Дивиденды по годам'!I867+'Дивиденды по годам'!V867)/2),""),"")</f>
        <v>-0.25863214896653919</v>
      </c>
      <c r="U867">
        <f>IFERROR(IF(AND('Дивиденды по годам'!J867&lt;&gt;"",'Дивиденды по годам'!K867&lt;&gt;"",'Дивиденды по годам'!M867&lt;&gt;"",'Дивиденды по годам'!M867&lt;&gt;0),('Дивиденды по годам'!J867+'Дивиденды по годам'!K867)/'Дивиденды по годам'!M867,""),"")</f>
        <v>6.4425227074917988</v>
      </c>
      <c r="V867">
        <f>IFERROR(IF(AND('Дивиденды по годам'!J867&lt;&gt;"",'Дивиденды по годам'!K867&lt;&gt;"",'Дивиденды по годам'!M867&lt;&gt;"",'Дивиденды по годам'!I867&lt;&gt;0),('Дивиденды по годам'!J867+'Дивиденды по годам'!K867)/'Дивиденды по годам'!I867,""),"")</f>
        <v>0.86563695680855912</v>
      </c>
      <c r="W867">
        <f>IFERROR('Дивиденды по годам'!I867,"")</f>
        <v>333492000000</v>
      </c>
      <c r="X867" cm="1">
        <f t="array" ref="X867">IFERROR(AVERAGE(_xlfn._xlws.FILTER(P$2:P$1073,($C$2:$C$1073=$C867)*($E$2:$E$1073=$E867)*(ROW(P$2:P$1073)&lt;&gt;ROW(P867))*(P$2:P$1073&lt;&gt;""))),"")</f>
        <v>25.203834147390271</v>
      </c>
      <c r="Y867" cm="1">
        <f t="array" ref="Y867">IFERROR(AVERAGE(_xlfn._xlws.FILTER(Q$2:Q$1073,($C$2:$C$1073=$C867)*($E$2:$E$1073=$E867)*(ROW(Q$2:Q$1073)&lt;&gt;ROW(Q867))*(Q$2:Q$1073&lt;&gt;""))),"")</f>
        <v>0.13141778207407531</v>
      </c>
      <c r="Z867" cm="1">
        <f t="array" ref="Z867">IFERROR(AVERAGE(_xlfn._xlws.FILTER(R$2:R$1073,($C$2:$C$1073=$C867)*($E$2:$E$1073=$E867)*(ROW(R$2:R$1073)&lt;&gt;ROW(R867))*(R$2:R$1073&lt;&gt;""))),"")</f>
        <v>0.28330822065804961</v>
      </c>
      <c r="AA867" cm="1">
        <f t="array" ref="AA867">IFERROR(AVERAGE(_xlfn._xlws.FILTER(S$2:S$1073,($C$2:$C$1073=$C867)*($E$2:$E$1073=$E867)*(ROW(S$2:S$1073)&lt;&gt;ROW(S867))*(S$2:S$1073&lt;&gt;""))),"")</f>
        <v>-0.12836581341167752</v>
      </c>
      <c r="AB867" cm="1">
        <f t="array" ref="AB867">IFERROR(AVERAGE(_xlfn._xlws.FILTER(T$2:T$1073,($C$2:$C$1073=$C867)*($E$2:$E$1073=$E867)*(ROW(T$2:T$1073)&lt;&gt;ROW(T867))*(T$2:T$1073&lt;&gt;""))),"")</f>
        <v>0.25591848297295289</v>
      </c>
      <c r="AC867" cm="1">
        <f t="array" ref="AC867">IFERROR(AVERAGE(_xlfn._xlws.FILTER(U$2:U$1073,($C$2:$C$1073=$C867)*($E$2:$E$1073=$E867)*(ROW(U$2:U$1073)&lt;&gt;ROW(U867))*(U$2:U$1073&lt;&gt;""))),"")</f>
        <v>-12.995674670713099</v>
      </c>
      <c r="AD867" cm="1">
        <f t="array" ref="AD867">IFERROR(AVERAGE(_xlfn._xlws.FILTER(V$2:V$1073,($C$2:$C$1073=$C867)*($E$2:$E$1073=$E867)*(ROW(V$2:V$1073)&lt;&gt;ROW(V867))*(V$2:V$1073&lt;&gt;""))),"")</f>
        <v>0.67459473671694026</v>
      </c>
      <c r="AE867">
        <f>IF('Дивиденды по годам'!M867&lt;0,1,0)</f>
        <v>0</v>
      </c>
    </row>
    <row r="868" spans="1:31" x14ac:dyDescent="0.2">
      <c r="A868" s="7" t="s">
        <v>2322</v>
      </c>
      <c r="B868" t="str">
        <f t="shared" si="143"/>
        <v>VKCO IV кв. 2023</v>
      </c>
      <c r="C868">
        <v>2023</v>
      </c>
      <c r="D868">
        <f>SUMIFS(Дивиденды!$C:$C,Дивиденды!$A:$A,A868,Дивиденды!$I:$I,C868)</f>
        <v>0</v>
      </c>
      <c r="E868">
        <v>5</v>
      </c>
      <c r="F868">
        <f t="shared" si="144"/>
        <v>0</v>
      </c>
      <c r="G868">
        <f t="shared" si="145"/>
        <v>17.214545454545455</v>
      </c>
      <c r="H868">
        <f t="shared" si="146"/>
        <v>0</v>
      </c>
      <c r="I868">
        <f t="shared" si="147"/>
        <v>0.27272727272727271</v>
      </c>
      <c r="J868">
        <f t="shared" si="148"/>
        <v>0</v>
      </c>
      <c r="K868">
        <f t="shared" si="153"/>
        <v>0.2713254911425303</v>
      </c>
      <c r="L868">
        <f t="shared" si="149"/>
        <v>0</v>
      </c>
      <c r="M868">
        <f t="shared" si="150"/>
        <v>0.27272727272727271</v>
      </c>
      <c r="N868">
        <f t="shared" si="151"/>
        <v>0</v>
      </c>
      <c r="O868">
        <f t="shared" si="152"/>
        <v>0</v>
      </c>
      <c r="P868">
        <f>IFERROR(LN('Дивиденды по годам'!I868),"")</f>
        <v>26.716578674912011</v>
      </c>
      <c r="Q868">
        <f>IFERROR('Дивиденды по годам'!G868/'Дивиденды по годам'!I868, "")</f>
        <v>0.12748664969805859</v>
      </c>
      <c r="R868">
        <f>IFERROR(IF(AND('Дивиденды по годам'!N868&lt;&gt;"",'Дивиденды по годам'!U868&lt;&gt;"",'Дивиденды по годам'!U868&lt;&gt;0),'Дивиденды по годам'!N868/'Дивиденды по годам'!U868-1,""),"")</f>
        <v>0.35798302137670035</v>
      </c>
      <c r="S868">
        <f>IFERROR(IF(AND('Дивиденды по годам'!L868&lt;&gt;"",'Дивиденды по годам'!I868&lt;&gt;"",'Дивиденды по годам'!J868&lt;&gt;"",'Дивиденды по годам'!K868&lt;&gt;"",('Дивиденды по годам'!I868-'Дивиденды по годам'!J868-'Дивиденды по годам'!K868)&lt;&gt;0),'Дивиденды по годам'!L868/('Дивиденды по годам'!I868-'Дивиденды по годам'!J868-'Дивиденды по годам'!K868),""),"")</f>
        <v>0.39564035074963283</v>
      </c>
      <c r="T868">
        <f>IFERROR(IF(AND('Дивиденды по годам'!Q868&lt;&gt;"",'Дивиденды по годам'!I868&lt;&gt;"",'Дивиденды по годам'!V868&lt;&gt;"",('Дивиденды по годам'!I868+'Дивиденды по годам'!V868)&lt;&gt;0),'Дивиденды по годам'!Q868/(('Дивиденды по годам'!I868+'Дивиденды по годам'!V868)/2),""),"")</f>
        <v>-9.0043392349554593E-2</v>
      </c>
      <c r="U868">
        <f>IFERROR(IF(AND('Дивиденды по годам'!J868&lt;&gt;"",'Дивиденды по годам'!K868&lt;&gt;"",'Дивиденды по годам'!M868&lt;&gt;"",'Дивиденды по годам'!M868&lt;&gt;0),('Дивиденды по годам'!J868+'Дивиденды по годам'!K868)/'Дивиденды по годам'!M868,""),"")</f>
        <v>1.9137522358107812</v>
      </c>
      <c r="V868">
        <f>IFERROR(IF(AND('Дивиденды по годам'!J868&lt;&gt;"",'Дивиденды по годам'!K868&lt;&gt;"",'Дивиденды по годам'!M868&lt;&gt;"",'Дивиденды по годам'!I868&lt;&gt;0),('Дивиденды по годам'!J868+'Дивиденды по годам'!K868)/'Дивиденды по годам'!I868,""),"")</f>
        <v>0.6567999201477267</v>
      </c>
      <c r="W868">
        <f>IFERROR('Дивиденды по годам'!I868,"")</f>
        <v>400740000000</v>
      </c>
      <c r="X868" cm="1">
        <f t="array" ref="X868">IFERROR(AVERAGE(_xlfn._xlws.FILTER(P$2:P$1073,($C$2:$C$1073=$C868)*($E$2:$E$1073=$E868)*(ROW(P$2:P$1073)&lt;&gt;ROW(P868))*(P$2:P$1073&lt;&gt;""))),"")</f>
        <v>24.673975646061631</v>
      </c>
      <c r="Y868" cm="1">
        <f t="array" ref="Y868">IFERROR(AVERAGE(_xlfn._xlws.FILTER(Q$2:Q$1073,($C$2:$C$1073=$C868)*($E$2:$E$1073=$E868)*(ROW(Q$2:Q$1073)&lt;&gt;ROW(Q868))*(Q$2:Q$1073&lt;&gt;""))),"")</f>
        <v>0.11556187457206886</v>
      </c>
      <c r="Z868" cm="1">
        <f t="array" ref="Z868">IFERROR(AVERAGE(_xlfn._xlws.FILTER(R$2:R$1073,($C$2:$C$1073=$C868)*($E$2:$E$1073=$E868)*(ROW(R$2:R$1073)&lt;&gt;ROW(R868))*(R$2:R$1073&lt;&gt;""))),"")</f>
        <v>0.45015235823162647</v>
      </c>
      <c r="AA868" cm="1">
        <f t="array" ref="AA868">IFERROR(AVERAGE(_xlfn._xlws.FILTER(S$2:S$1073,($C$2:$C$1073=$C868)*($E$2:$E$1073=$E868)*(ROW(S$2:S$1073)&lt;&gt;ROW(S868))*(S$2:S$1073&lt;&gt;""))),"")</f>
        <v>0.74783854913719261</v>
      </c>
      <c r="AB868" cm="1">
        <f t="array" ref="AB868">IFERROR(AVERAGE(_xlfn._xlws.FILTER(T$2:T$1073,($C$2:$C$1073=$C868)*($E$2:$E$1073=$E868)*(ROW(T$2:T$1073)&lt;&gt;ROW(T868))*(T$2:T$1073&lt;&gt;""))),"")</f>
        <v>0.2288050557571854</v>
      </c>
      <c r="AC868" cm="1">
        <f t="array" ref="AC868">IFERROR(AVERAGE(_xlfn._xlws.FILTER(U$2:U$1073,($C$2:$C$1073=$C868)*($E$2:$E$1073=$E868)*(ROW(U$2:U$1073)&lt;&gt;ROW(U868))*(U$2:U$1073&lt;&gt;""))),"")</f>
        <v>95.761504052939031</v>
      </c>
      <c r="AD868" cm="1">
        <f t="array" ref="AD868">IFERROR(AVERAGE(_xlfn._xlws.FILTER(V$2:V$1073,($C$2:$C$1073=$C868)*($E$2:$E$1073=$E868)*(ROW(V$2:V$1073)&lt;&gt;ROW(V868))*(V$2:V$1073&lt;&gt;""))),"")</f>
        <v>0.6304705462781155</v>
      </c>
      <c r="AE868">
        <f>IF('Дивиденды по годам'!M868&lt;0,1,0)</f>
        <v>0</v>
      </c>
    </row>
    <row r="869" spans="1:31" x14ac:dyDescent="0.2">
      <c r="A869" s="7" t="s">
        <v>2322</v>
      </c>
      <c r="B869" t="str">
        <f t="shared" si="143"/>
        <v>VKCO IV кв. 2022</v>
      </c>
      <c r="C869">
        <v>2022</v>
      </c>
      <c r="D869">
        <f>SUMIFS(Дивиденды!$C:$C,Дивиденды!$A:$A,A869,Дивиденды!$I:$I,C869)</f>
        <v>0</v>
      </c>
      <c r="E869">
        <v>5</v>
      </c>
      <c r="F869">
        <f t="shared" si="144"/>
        <v>0</v>
      </c>
      <c r="G869">
        <f t="shared" si="145"/>
        <v>7.1127272727272723</v>
      </c>
      <c r="H869">
        <f t="shared" si="146"/>
        <v>0</v>
      </c>
      <c r="I869">
        <f t="shared" si="147"/>
        <v>0.27272727272727271</v>
      </c>
      <c r="J869">
        <f t="shared" si="148"/>
        <v>0</v>
      </c>
      <c r="K869">
        <f t="shared" si="153"/>
        <v>8.7952066899435327E-2</v>
      </c>
      <c r="L869">
        <f t="shared" si="149"/>
        <v>0</v>
      </c>
      <c r="M869">
        <f t="shared" si="150"/>
        <v>0.18181818181818182</v>
      </c>
      <c r="N869">
        <f t="shared" si="151"/>
        <v>0</v>
      </c>
      <c r="O869">
        <f t="shared" si="152"/>
        <v>9.0909090909090912E-2</v>
      </c>
      <c r="P869">
        <f>IFERROR(LN('Дивиденды по годам'!I869),"")</f>
        <v>26.611908310491213</v>
      </c>
      <c r="Q869">
        <f>IFERROR('Дивиденды по годам'!G869/'Дивиденды по годам'!I869, "")</f>
        <v>0.10875136805064904</v>
      </c>
      <c r="R869" t="str">
        <f>IFERROR(IF(AND('Дивиденды по годам'!N869&lt;&gt;"",'Дивиденды по годам'!U869&lt;&gt;"",'Дивиденды по годам'!U869&lt;&gt;0),'Дивиденды по годам'!N869/'Дивиденды по годам'!U869-1,""),"")</f>
        <v/>
      </c>
      <c r="S869">
        <f>IFERROR(IF(AND('Дивиденды по годам'!L869&lt;&gt;"",'Дивиденды по годам'!I869&lt;&gt;"",'Дивиденды по годам'!J869&lt;&gt;"",'Дивиденды по годам'!K869&lt;&gt;"",('Дивиденды по годам'!I869-'Дивиденды по годам'!J869-'Дивиденды по годам'!K869)&lt;&gt;0),'Дивиденды по годам'!L869/('Дивиденды по годам'!I869-'Дивиденды по годам'!J869-'Дивиденды по годам'!K869),""),"")</f>
        <v>0.51656633672789565</v>
      </c>
      <c r="T869" t="str">
        <f>IFERROR(IF(AND('Дивиденды по годам'!Q869&lt;&gt;"",'Дивиденды по годам'!I869&lt;&gt;"",'Дивиденды по годам'!V869&lt;&gt;"",('Дивиденды по годам'!I869+'Дивиденды по годам'!V869)&lt;&gt;0),'Дивиденды по годам'!Q869/(('Дивиденды по годам'!I869+'Дивиденды по годам'!V869)/2),""),"")</f>
        <v/>
      </c>
      <c r="U869">
        <f>IFERROR(IF(AND('Дивиденды по годам'!J869&lt;&gt;"",'Дивиденды по годам'!K869&lt;&gt;"",'Дивиденды по годам'!M869&lt;&gt;"",'Дивиденды по годам'!M869&lt;&gt;0),('Дивиденды по годам'!J869+'Дивиденды по годам'!K869)/'Дивиденды по годам'!M869,""),"")</f>
        <v>1.146872323213096</v>
      </c>
      <c r="V869">
        <f>IFERROR(IF(AND('Дивиденды по годам'!J869&lt;&gt;"",'Дивиденды по годам'!K869&lt;&gt;"",'Дивиденды по годам'!M869&lt;&gt;"",'Дивиденды по годам'!I869&lt;&gt;0),('Дивиденды по годам'!J869+'Дивиденды по годам'!K869)/'Дивиденды по годам'!I869,""),"")</f>
        <v>0.53420611501323023</v>
      </c>
      <c r="W869">
        <f>IFERROR('Дивиденды по годам'!I869,"")</f>
        <v>360915000000</v>
      </c>
      <c r="X869" cm="1">
        <f t="array" ref="X869">IFERROR(AVERAGE(_xlfn._xlws.FILTER(P$2:P$1073,($C$2:$C$1073=$C869)*($E$2:$E$1073=$E869)*(ROW(P$2:P$1073)&lt;&gt;ROW(P869))*(P$2:P$1073&lt;&gt;""))),"")</f>
        <v>24.588744035855555</v>
      </c>
      <c r="Y869" cm="1">
        <f t="array" ref="Y869">IFERROR(AVERAGE(_xlfn._xlws.FILTER(Q$2:Q$1073,($C$2:$C$1073=$C869)*($E$2:$E$1073=$E869)*(ROW(Q$2:Q$1073)&lt;&gt;ROW(Q869))*(Q$2:Q$1073&lt;&gt;""))),"")</f>
        <v>0.10172322711620974</v>
      </c>
      <c r="Z869" cm="1">
        <f t="array" ref="Z869">IFERROR(AVERAGE(_xlfn._xlws.FILTER(R$2:R$1073,($C$2:$C$1073=$C869)*($E$2:$E$1073=$E869)*(ROW(R$2:R$1073)&lt;&gt;ROW(R869))*(R$2:R$1073&lt;&gt;""))),"")</f>
        <v>0.57613604172059418</v>
      </c>
      <c r="AA869" cm="1">
        <f t="array" ref="AA869">IFERROR(AVERAGE(_xlfn._xlws.FILTER(S$2:S$1073,($C$2:$C$1073=$C869)*($E$2:$E$1073=$E869)*(ROW(S$2:S$1073)&lt;&gt;ROW(S869))*(S$2:S$1073&lt;&gt;""))),"")</f>
        <v>0.8941538160039717</v>
      </c>
      <c r="AB869" cm="1">
        <f t="array" ref="AB869">IFERROR(AVERAGE(_xlfn._xlws.FILTER(T$2:T$1073,($C$2:$C$1073=$C869)*($E$2:$E$1073=$E869)*(ROW(T$2:T$1073)&lt;&gt;ROW(T869))*(T$2:T$1073&lt;&gt;""))),"")</f>
        <v>0.34864704859118889</v>
      </c>
      <c r="AC869" cm="1">
        <f t="array" ref="AC869">IFERROR(AVERAGE(_xlfn._xlws.FILTER(U$2:U$1073,($C$2:$C$1073=$C869)*($E$2:$E$1073=$E869)*(ROW(U$2:U$1073)&lt;&gt;ROW(U869))*(U$2:U$1073&lt;&gt;""))),"")</f>
        <v>-73.136246375938924</v>
      </c>
      <c r="AD869" cm="1">
        <f t="array" ref="AD869">IFERROR(AVERAGE(_xlfn._xlws.FILTER(V$2:V$1073,($C$2:$C$1073=$C869)*($E$2:$E$1073=$E869)*(ROW(V$2:V$1073)&lt;&gt;ROW(V869))*(V$2:V$1073&lt;&gt;""))),"")</f>
        <v>0.76793344456693524</v>
      </c>
      <c r="AE869">
        <f>IF('Дивиденды по годам'!M869&lt;0,1,0)</f>
        <v>0</v>
      </c>
    </row>
    <row r="870" spans="1:31" x14ac:dyDescent="0.2">
      <c r="A870" s="7" t="s">
        <v>2322</v>
      </c>
      <c r="B870" t="str">
        <f t="shared" si="143"/>
        <v>VKCO IV кв. 2021</v>
      </c>
      <c r="C870">
        <v>2021</v>
      </c>
      <c r="D870">
        <f>SUMIFS(Дивиденды!$C:$C,Дивиденды!$A:$A,A870,Дивиденды!$I:$I,C870)</f>
        <v>0</v>
      </c>
      <c r="E870">
        <v>5</v>
      </c>
      <c r="F870">
        <f t="shared" si="144"/>
        <v>0</v>
      </c>
      <c r="G870">
        <f t="shared" si="145"/>
        <v>4.450909090909092</v>
      </c>
      <c r="H870">
        <f t="shared" si="146"/>
        <v>0</v>
      </c>
      <c r="I870">
        <f t="shared" si="147"/>
        <v>0.18181818181818182</v>
      </c>
      <c r="J870">
        <f t="shared" si="148"/>
        <v>0</v>
      </c>
      <c r="K870">
        <f t="shared" si="153"/>
        <v>1.4983788220808552E-2</v>
      </c>
      <c r="L870">
        <f t="shared" si="149"/>
        <v>0</v>
      </c>
      <c r="M870">
        <f t="shared" si="150"/>
        <v>9.0909090909090912E-2</v>
      </c>
      <c r="N870">
        <f t="shared" si="151"/>
        <v>0</v>
      </c>
      <c r="O870">
        <f t="shared" si="152"/>
        <v>9.0909090909090912E-2</v>
      </c>
      <c r="P870" t="str">
        <f>IFERROR(LN('Дивиденды по годам'!I870),"")</f>
        <v/>
      </c>
      <c r="Q870" t="str">
        <f>IFERROR('Дивиденды по годам'!G870/'Дивиденды по годам'!I870, "")</f>
        <v/>
      </c>
      <c r="R870" t="str">
        <f>IFERROR(IF(AND('Дивиденды по годам'!N870&lt;&gt;"",'Дивиденды по годам'!U870&lt;&gt;"",'Дивиденды по годам'!U870&lt;&gt;0),'Дивиденды по годам'!N870/'Дивиденды по годам'!U870-1,""),"")</f>
        <v/>
      </c>
      <c r="S870" t="str">
        <f>IFERROR(IF(AND('Дивиденды по годам'!L870&lt;&gt;"",'Дивиденды по годам'!I870&lt;&gt;"",'Дивиденды по годам'!J870&lt;&gt;"",'Дивиденды по годам'!K870&lt;&gt;"",('Дивиденды по годам'!I870-'Дивиденды по годам'!J870-'Дивиденды по годам'!K870)&lt;&gt;0),'Дивиденды по годам'!L870/('Дивиденды по годам'!I870-'Дивиденды по годам'!J870-'Дивиденды по годам'!K870),""),"")</f>
        <v/>
      </c>
      <c r="T870" t="str">
        <f>IFERROR(IF(AND('Дивиденды по годам'!Q870&lt;&gt;"",'Дивиденды по годам'!I870&lt;&gt;"",'Дивиденды по годам'!V870&lt;&gt;"",('Дивиденды по годам'!I870+'Дивиденды по годам'!V870)&lt;&gt;0),'Дивиденды по годам'!Q870/(('Дивиденды по годам'!I870+'Дивиденды по годам'!V870)/2),""),"")</f>
        <v/>
      </c>
      <c r="U870" t="str">
        <f>IFERROR(IF(AND('Дивиденды по годам'!J870&lt;&gt;"",'Дивиденды по годам'!K870&lt;&gt;"",'Дивиденды по годам'!M870&lt;&gt;"",'Дивиденды по годам'!M870&lt;&gt;0),('Дивиденды по годам'!J870+'Дивиденды по годам'!K870)/'Дивиденды по годам'!M870,""),"")</f>
        <v/>
      </c>
      <c r="V870" t="str">
        <f>IFERROR(IF(AND('Дивиденды по годам'!J870&lt;&gt;"",'Дивиденды по годам'!K870&lt;&gt;"",'Дивиденды по годам'!M870&lt;&gt;"",'Дивиденды по годам'!I870&lt;&gt;0),('Дивиденды по годам'!J870+'Дивиденды по годам'!K870)/'Дивиденды по годам'!I870,""),"")</f>
        <v/>
      </c>
      <c r="W870" t="str">
        <f>IFERROR('Дивиденды по годам'!I870,"")</f>
        <v/>
      </c>
      <c r="X870" cm="1">
        <f t="array" ref="X870">IFERROR(AVERAGE(_xlfn._xlws.FILTER(P$2:P$1073,($C$2:$C$1073=$C870)*($E$2:$E$1073=$E870)*(ROW(P$2:P$1073)&lt;&gt;ROW(P870))*(P$2:P$1073&lt;&gt;""))),"")</f>
        <v>24.814330558799487</v>
      </c>
      <c r="Y870" cm="1">
        <f t="array" ref="Y870">IFERROR(AVERAGE(_xlfn._xlws.FILTER(Q$2:Q$1073,($C$2:$C$1073=$C870)*($E$2:$E$1073=$E870)*(ROW(Q$2:Q$1073)&lt;&gt;ROW(Q870))*(Q$2:Q$1073&lt;&gt;""))),"")</f>
        <v>0.19534356994799099</v>
      </c>
      <c r="Z870" cm="1">
        <f t="array" ref="Z870">IFERROR(AVERAGE(_xlfn._xlws.FILTER(R$2:R$1073,($C$2:$C$1073=$C870)*($E$2:$E$1073=$E870)*(ROW(R$2:R$1073)&lt;&gt;ROW(R870))*(R$2:R$1073&lt;&gt;""))),"")</f>
        <v>9.4863731161179049E-2</v>
      </c>
      <c r="AA870" cm="1">
        <f t="array" ref="AA870">IFERROR(AVERAGE(_xlfn._xlws.FILTER(S$2:S$1073,($C$2:$C$1073=$C870)*($E$2:$E$1073=$E870)*(ROW(S$2:S$1073)&lt;&gt;ROW(S870))*(S$2:S$1073&lt;&gt;""))),"")</f>
        <v>1.8501010961498143</v>
      </c>
      <c r="AB870" cm="1">
        <f t="array" ref="AB870">IFERROR(AVERAGE(_xlfn._xlws.FILTER(T$2:T$1073,($C$2:$C$1073=$C870)*($E$2:$E$1073=$E870)*(ROW(T$2:T$1073)&lt;&gt;ROW(T870))*(T$2:T$1073&lt;&gt;""))),"")</f>
        <v>9.1596142313276091E-2</v>
      </c>
      <c r="AC870" cm="1">
        <f t="array" ref="AC870">IFERROR(AVERAGE(_xlfn._xlws.FILTER(U$2:U$1073,($C$2:$C$1073=$C870)*($E$2:$E$1073=$E870)*(ROW(U$2:U$1073)&lt;&gt;ROW(U870))*(U$2:U$1073&lt;&gt;""))),"")</f>
        <v>21.700846854369502</v>
      </c>
      <c r="AD870" cm="1">
        <f t="array" ref="AD870">IFERROR(AVERAGE(_xlfn._xlws.FILTER(V$2:V$1073,($C$2:$C$1073=$C870)*($E$2:$E$1073=$E870)*(ROW(V$2:V$1073)&lt;&gt;ROW(V870))*(V$2:V$1073&lt;&gt;""))),"")</f>
        <v>0.85910201160215871</v>
      </c>
      <c r="AE870">
        <f>IF('Дивиденды по годам'!M870&lt;0,1,0)</f>
        <v>0</v>
      </c>
    </row>
    <row r="871" spans="1:31" x14ac:dyDescent="0.2">
      <c r="A871" s="7" t="s">
        <v>2322</v>
      </c>
      <c r="B871" t="str">
        <f t="shared" si="143"/>
        <v>VKCO IV кв. 2020</v>
      </c>
      <c r="C871">
        <v>2020</v>
      </c>
      <c r="D871">
        <f>SUMIFS(Дивиденды!$C:$C,Дивиденды!$A:$A,A871,Дивиденды!$I:$I,C871)</f>
        <v>0</v>
      </c>
      <c r="E871">
        <v>5</v>
      </c>
      <c r="F871">
        <f t="shared" si="144"/>
        <v>0</v>
      </c>
      <c r="G871">
        <f t="shared" si="145"/>
        <v>3.6763636363636363</v>
      </c>
      <c r="H871">
        <f t="shared" si="146"/>
        <v>0</v>
      </c>
      <c r="I871">
        <f t="shared" si="147"/>
        <v>0.18181818181818182</v>
      </c>
      <c r="J871">
        <f t="shared" si="148"/>
        <v>0</v>
      </c>
      <c r="K871">
        <f t="shared" si="153"/>
        <v>-1.5101604278074872E-2</v>
      </c>
      <c r="L871">
        <f t="shared" si="149"/>
        <v>0</v>
      </c>
      <c r="M871">
        <f t="shared" si="150"/>
        <v>0</v>
      </c>
      <c r="N871">
        <f t="shared" si="151"/>
        <v>0</v>
      </c>
      <c r="O871">
        <f t="shared" si="152"/>
        <v>9.0909090909090912E-2</v>
      </c>
      <c r="P871" t="str">
        <f>IFERROR(LN('Дивиденды по годам'!I871),"")</f>
        <v/>
      </c>
      <c r="Q871" t="str">
        <f>IFERROR('Дивиденды по годам'!G871/'Дивиденды по годам'!I871, "")</f>
        <v/>
      </c>
      <c r="R871" t="str">
        <f>IFERROR(IF(AND('Дивиденды по годам'!N871&lt;&gt;"",'Дивиденды по годам'!U871&lt;&gt;"",'Дивиденды по годам'!U871&lt;&gt;0),'Дивиденды по годам'!N871/'Дивиденды по годам'!U871-1,""),"")</f>
        <v/>
      </c>
      <c r="S871" t="str">
        <f>IFERROR(IF(AND('Дивиденды по годам'!L871&lt;&gt;"",'Дивиденды по годам'!I871&lt;&gt;"",'Дивиденды по годам'!J871&lt;&gt;"",'Дивиденды по годам'!K871&lt;&gt;"",('Дивиденды по годам'!I871-'Дивиденды по годам'!J871-'Дивиденды по годам'!K871)&lt;&gt;0),'Дивиденды по годам'!L871/('Дивиденды по годам'!I871-'Дивиденды по годам'!J871-'Дивиденды по годам'!K871),""),"")</f>
        <v/>
      </c>
      <c r="T871" t="str">
        <f>IFERROR(IF(AND('Дивиденды по годам'!Q871&lt;&gt;"",'Дивиденды по годам'!I871&lt;&gt;"",'Дивиденды по годам'!V871&lt;&gt;"",('Дивиденды по годам'!I871+'Дивиденды по годам'!V871)&lt;&gt;0),'Дивиденды по годам'!Q871/(('Дивиденды по годам'!I871+'Дивиденды по годам'!V871)/2),""),"")</f>
        <v/>
      </c>
      <c r="U871" t="str">
        <f>IFERROR(IF(AND('Дивиденды по годам'!J871&lt;&gt;"",'Дивиденды по годам'!K871&lt;&gt;"",'Дивиденды по годам'!M871&lt;&gt;"",'Дивиденды по годам'!M871&lt;&gt;0),('Дивиденды по годам'!J871+'Дивиденды по годам'!K871)/'Дивиденды по годам'!M871,""),"")</f>
        <v/>
      </c>
      <c r="V871" t="str">
        <f>IFERROR(IF(AND('Дивиденды по годам'!J871&lt;&gt;"",'Дивиденды по годам'!K871&lt;&gt;"",'Дивиденды по годам'!M871&lt;&gt;"",'Дивиденды по годам'!I871&lt;&gt;0),('Дивиденды по годам'!J871+'Дивиденды по годам'!K871)/'Дивиденды по годам'!I871,""),"")</f>
        <v/>
      </c>
      <c r="W871" t="str">
        <f>IFERROR('Дивиденды по годам'!I871,"")</f>
        <v/>
      </c>
      <c r="X871" cm="1">
        <f t="array" ref="X871">IFERROR(AVERAGE(_xlfn._xlws.FILTER(P$2:P$1073,($C$2:$C$1073=$C871)*($E$2:$E$1073=$E871)*(ROW(P$2:P$1073)&lt;&gt;ROW(P871))*(P$2:P$1073&lt;&gt;""))),"")</f>
        <v>25.49408392578281</v>
      </c>
      <c r="Y871" cm="1">
        <f t="array" ref="Y871">IFERROR(AVERAGE(_xlfn._xlws.FILTER(Q$2:Q$1073,($C$2:$C$1073=$C871)*($E$2:$E$1073=$E871)*(ROW(Q$2:Q$1073)&lt;&gt;ROW(Q871))*(Q$2:Q$1073&lt;&gt;""))),"")</f>
        <v>0.23831030393306155</v>
      </c>
      <c r="Z871" cm="1">
        <f t="array" ref="Z871">IFERROR(AVERAGE(_xlfn._xlws.FILTER(R$2:R$1073,($C$2:$C$1073=$C871)*($E$2:$E$1073=$E871)*(ROW(R$2:R$1073)&lt;&gt;ROW(R871))*(R$2:R$1073&lt;&gt;""))),"")</f>
        <v>0.42097945466997094</v>
      </c>
      <c r="AA871" cm="1">
        <f t="array" ref="AA871">IFERROR(AVERAGE(_xlfn._xlws.FILTER(S$2:S$1073,($C$2:$C$1073=$C871)*($E$2:$E$1073=$E871)*(ROW(S$2:S$1073)&lt;&gt;ROW(S871))*(S$2:S$1073&lt;&gt;""))),"")</f>
        <v>1.383012856761217</v>
      </c>
      <c r="AB871" cm="1">
        <f t="array" ref="AB871">IFERROR(AVERAGE(_xlfn._xlws.FILTER(T$2:T$1073,($C$2:$C$1073=$C871)*($E$2:$E$1073=$E871)*(ROW(T$2:T$1073)&lt;&gt;ROW(T871))*(T$2:T$1073&lt;&gt;""))),"")</f>
        <v>0.12042080749921591</v>
      </c>
      <c r="AC871" cm="1">
        <f t="array" ref="AC871">IFERROR(AVERAGE(_xlfn._xlws.FILTER(U$2:U$1073,($C$2:$C$1073=$C871)*($E$2:$E$1073=$E871)*(ROW(U$2:U$1073)&lt;&gt;ROW(U871))*(U$2:U$1073&lt;&gt;""))),"")</f>
        <v>9.6677963358881698</v>
      </c>
      <c r="AD871" cm="1">
        <f t="array" ref="AD871">IFERROR(AVERAGE(_xlfn._xlws.FILTER(V$2:V$1073,($C$2:$C$1073=$C871)*($E$2:$E$1073=$E871)*(ROW(V$2:V$1073)&lt;&gt;ROW(V871))*(V$2:V$1073&lt;&gt;""))),"")</f>
        <v>0.80624783688388657</v>
      </c>
      <c r="AE871">
        <f>IF('Дивиденды по годам'!M871&lt;0,1,0)</f>
        <v>0</v>
      </c>
    </row>
    <row r="872" spans="1:31" x14ac:dyDescent="0.2">
      <c r="A872" s="7" t="s">
        <v>2322</v>
      </c>
      <c r="B872" t="str">
        <f t="shared" si="143"/>
        <v>VKCO IV кв. 2019</v>
      </c>
      <c r="C872">
        <v>2019</v>
      </c>
      <c r="D872">
        <f>SUMIFS(Дивиденды!$C:$C,Дивиденды!$A:$A,A872,Дивиденды!$I:$I,C872)</f>
        <v>0</v>
      </c>
      <c r="E872">
        <v>5</v>
      </c>
      <c r="F872">
        <f t="shared" si="144"/>
        <v>0</v>
      </c>
      <c r="G872">
        <f t="shared" si="145"/>
        <v>4.3181818181818183</v>
      </c>
      <c r="H872">
        <f t="shared" si="146"/>
        <v>0</v>
      </c>
      <c r="I872">
        <f t="shared" si="147"/>
        <v>0.18181818181818182</v>
      </c>
      <c r="J872">
        <f t="shared" si="148"/>
        <v>0</v>
      </c>
      <c r="K872">
        <f t="shared" si="153"/>
        <v>8.0199694017231649E-2</v>
      </c>
      <c r="L872">
        <f t="shared" si="149"/>
        <v>0</v>
      </c>
      <c r="M872">
        <f t="shared" si="150"/>
        <v>9.0909090909090912E-2</v>
      </c>
      <c r="N872">
        <f t="shared" si="151"/>
        <v>0</v>
      </c>
      <c r="O872">
        <f t="shared" si="152"/>
        <v>0</v>
      </c>
      <c r="P872" t="str">
        <f>IFERROR(LN('Дивиденды по годам'!I872),"")</f>
        <v/>
      </c>
      <c r="Q872" t="str">
        <f>IFERROR('Дивиденды по годам'!G872/'Дивиденды по годам'!I872, "")</f>
        <v/>
      </c>
      <c r="R872" t="str">
        <f>IFERROR(IF(AND('Дивиденды по годам'!N872&lt;&gt;"",'Дивиденды по годам'!U872&lt;&gt;"",'Дивиденды по годам'!U872&lt;&gt;0),'Дивиденды по годам'!N872/'Дивиденды по годам'!U872-1,""),"")</f>
        <v/>
      </c>
      <c r="S872" t="str">
        <f>IFERROR(IF(AND('Дивиденды по годам'!L872&lt;&gt;"",'Дивиденды по годам'!I872&lt;&gt;"",'Дивиденды по годам'!J872&lt;&gt;"",'Дивиденды по годам'!K872&lt;&gt;"",('Дивиденды по годам'!I872-'Дивиденды по годам'!J872-'Дивиденды по годам'!K872)&lt;&gt;0),'Дивиденды по годам'!L872/('Дивиденды по годам'!I872-'Дивиденды по годам'!J872-'Дивиденды по годам'!K872),""),"")</f>
        <v/>
      </c>
      <c r="T872" t="str">
        <f>IFERROR(IF(AND('Дивиденды по годам'!Q872&lt;&gt;"",'Дивиденды по годам'!I872&lt;&gt;"",'Дивиденды по годам'!V872&lt;&gt;"",('Дивиденды по годам'!I872+'Дивиденды по годам'!V872)&lt;&gt;0),'Дивиденды по годам'!Q872/(('Дивиденды по годам'!I872+'Дивиденды по годам'!V872)/2),""),"")</f>
        <v/>
      </c>
      <c r="U872" t="str">
        <f>IFERROR(IF(AND('Дивиденды по годам'!J872&lt;&gt;"",'Дивиденды по годам'!K872&lt;&gt;"",'Дивиденды по годам'!M872&lt;&gt;"",'Дивиденды по годам'!M872&lt;&gt;0),('Дивиденды по годам'!J872+'Дивиденды по годам'!K872)/'Дивиденды по годам'!M872,""),"")</f>
        <v/>
      </c>
      <c r="V872" t="str">
        <f>IFERROR(IF(AND('Дивиденды по годам'!J872&lt;&gt;"",'Дивиденды по годам'!K872&lt;&gt;"",'Дивиденды по годам'!M872&lt;&gt;"",'Дивиденды по годам'!I872&lt;&gt;0),('Дивиденды по годам'!J872+'Дивиденды по годам'!K872)/'Дивиденды по годам'!I872,""),"")</f>
        <v/>
      </c>
      <c r="W872" t="str">
        <f>IFERROR('Дивиденды по годам'!I872,"")</f>
        <v/>
      </c>
      <c r="X872" cm="1">
        <f t="array" ref="X872">IFERROR(AVERAGE(_xlfn._xlws.FILTER(P$2:P$1073,($C$2:$C$1073=$C872)*($E$2:$E$1073=$E872)*(ROW(P$2:P$1073)&lt;&gt;ROW(P872))*(P$2:P$1073&lt;&gt;""))),"")</f>
        <v>25.699366278152379</v>
      </c>
      <c r="Y872" cm="1">
        <f t="array" ref="Y872">IFERROR(AVERAGE(_xlfn._xlws.FILTER(Q$2:Q$1073,($C$2:$C$1073=$C872)*($E$2:$E$1073=$E872)*(ROW(Q$2:Q$1073)&lt;&gt;ROW(Q872))*(Q$2:Q$1073&lt;&gt;""))),"")</f>
        <v>0.31619951047208333</v>
      </c>
      <c r="Z872" cm="1">
        <f t="array" ref="Z872">IFERROR(AVERAGE(_xlfn._xlws.FILTER(R$2:R$1073,($C$2:$C$1073=$C872)*($E$2:$E$1073=$E872)*(ROW(R$2:R$1073)&lt;&gt;ROW(R872))*(R$2:R$1073&lt;&gt;""))),"")</f>
        <v>0.12795723906733225</v>
      </c>
      <c r="AA872" cm="1">
        <f t="array" ref="AA872">IFERROR(AVERAGE(_xlfn._xlws.FILTER(S$2:S$1073,($C$2:$C$1073=$C872)*($E$2:$E$1073=$E872)*(ROW(S$2:S$1073)&lt;&gt;ROW(S872))*(S$2:S$1073&lt;&gt;""))),"")</f>
        <v>1.4981608959410444</v>
      </c>
      <c r="AB872" cm="1">
        <f t="array" ref="AB872">IFERROR(AVERAGE(_xlfn._xlws.FILTER(T$2:T$1073,($C$2:$C$1073=$C872)*($E$2:$E$1073=$E872)*(ROW(T$2:T$1073)&lt;&gt;ROW(T872))*(T$2:T$1073&lt;&gt;""))),"")</f>
        <v>4.0595347592911959E-2</v>
      </c>
      <c r="AC872" cm="1">
        <f t="array" ref="AC872">IFERROR(AVERAGE(_xlfn._xlws.FILTER(U$2:U$1073,($C$2:$C$1073=$C872)*($E$2:$E$1073=$E872)*(ROW(U$2:U$1073)&lt;&gt;ROW(U872))*(U$2:U$1073&lt;&gt;""))),"")</f>
        <v>9.1460847128214748</v>
      </c>
      <c r="AD872" cm="1">
        <f t="array" ref="AD872">IFERROR(AVERAGE(_xlfn._xlws.FILTER(V$2:V$1073,($C$2:$C$1073=$C872)*($E$2:$E$1073=$E872)*(ROW(V$2:V$1073)&lt;&gt;ROW(V872))*(V$2:V$1073&lt;&gt;""))),"")</f>
        <v>0.79889661521769517</v>
      </c>
      <c r="AE872">
        <f>IF('Дивиденды по годам'!M872&lt;0,1,0)</f>
        <v>0</v>
      </c>
    </row>
    <row r="873" spans="1:31" x14ac:dyDescent="0.2">
      <c r="A873" s="7" t="s">
        <v>2322</v>
      </c>
      <c r="B873" t="str">
        <f t="shared" si="143"/>
        <v>VKCO IV кв. 2018</v>
      </c>
      <c r="C873">
        <v>2018</v>
      </c>
      <c r="D873">
        <f>SUMIFS(Дивиденды!$C:$C,Дивиденды!$A:$A,A873,Дивиденды!$I:$I,C873)</f>
        <v>0</v>
      </c>
      <c r="E873">
        <v>5</v>
      </c>
      <c r="F873">
        <f t="shared" si="144"/>
        <v>0</v>
      </c>
      <c r="G873">
        <f t="shared" si="145"/>
        <v>2.5072727272727273</v>
      </c>
      <c r="H873">
        <f t="shared" si="146"/>
        <v>0</v>
      </c>
      <c r="I873">
        <f t="shared" si="147"/>
        <v>0.18181818181818182</v>
      </c>
      <c r="J873">
        <f t="shared" si="148"/>
        <v>0</v>
      </c>
      <c r="K873">
        <f t="shared" si="153"/>
        <v>-3.1077604801900294E-2</v>
      </c>
      <c r="L873">
        <f t="shared" si="149"/>
        <v>0</v>
      </c>
      <c r="M873">
        <f t="shared" si="150"/>
        <v>0</v>
      </c>
      <c r="N873">
        <f t="shared" si="151"/>
        <v>0</v>
      </c>
      <c r="O873">
        <f t="shared" si="152"/>
        <v>0.18181818181818182</v>
      </c>
      <c r="P873" t="str">
        <f>IFERROR(LN('Дивиденды по годам'!I873),"")</f>
        <v/>
      </c>
      <c r="Q873" t="str">
        <f>IFERROR('Дивиденды по годам'!G873/'Дивиденды по годам'!I873, "")</f>
        <v/>
      </c>
      <c r="R873" t="str">
        <f>IFERROR(IF(AND('Дивиденды по годам'!N873&lt;&gt;"",'Дивиденды по годам'!U873&lt;&gt;"",'Дивиденды по годам'!U873&lt;&gt;0),'Дивиденды по годам'!N873/'Дивиденды по годам'!U873-1,""),"")</f>
        <v/>
      </c>
      <c r="S873" t="str">
        <f>IFERROR(IF(AND('Дивиденды по годам'!L873&lt;&gt;"",'Дивиденды по годам'!I873&lt;&gt;"",'Дивиденды по годам'!J873&lt;&gt;"",'Дивиденды по годам'!K873&lt;&gt;"",('Дивиденды по годам'!I873-'Дивиденды по годам'!J873-'Дивиденды по годам'!K873)&lt;&gt;0),'Дивиденды по годам'!L873/('Дивиденды по годам'!I873-'Дивиденды по годам'!J873-'Дивиденды по годам'!K873),""),"")</f>
        <v/>
      </c>
      <c r="T873" t="str">
        <f>IFERROR(IF(AND('Дивиденды по годам'!Q873&lt;&gt;"",'Дивиденды по годам'!I873&lt;&gt;"",'Дивиденды по годам'!V873&lt;&gt;"",('Дивиденды по годам'!I873+'Дивиденды по годам'!V873)&lt;&gt;0),'Дивиденды по годам'!Q873/(('Дивиденды по годам'!I873+'Дивиденды по годам'!V873)/2),""),"")</f>
        <v/>
      </c>
      <c r="U873" t="str">
        <f>IFERROR(IF(AND('Дивиденды по годам'!J873&lt;&gt;"",'Дивиденды по годам'!K873&lt;&gt;"",'Дивиденды по годам'!M873&lt;&gt;"",'Дивиденды по годам'!M873&lt;&gt;0),('Дивиденды по годам'!J873+'Дивиденды по годам'!K873)/'Дивиденды по годам'!M873,""),"")</f>
        <v/>
      </c>
      <c r="V873" t="str">
        <f>IFERROR(IF(AND('Дивиденды по годам'!J873&lt;&gt;"",'Дивиденды по годам'!K873&lt;&gt;"",'Дивиденды по годам'!M873&lt;&gt;"",'Дивиденды по годам'!I873&lt;&gt;0),('Дивиденды по годам'!J873+'Дивиденды по годам'!K873)/'Дивиденды по годам'!I873,""),"")</f>
        <v/>
      </c>
      <c r="W873" t="str">
        <f>IFERROR('Дивиденды по годам'!I873,"")</f>
        <v/>
      </c>
      <c r="X873" cm="1">
        <f t="array" ref="X873">IFERROR(AVERAGE(_xlfn._xlws.FILTER(P$2:P$1073,($C$2:$C$1073=$C873)*($E$2:$E$1073=$E873)*(ROW(P$2:P$1073)&lt;&gt;ROW(P873))*(P$2:P$1073&lt;&gt;""))),"")</f>
        <v>25.637034616478129</v>
      </c>
      <c r="Y873" cm="1">
        <f t="array" ref="Y873">IFERROR(AVERAGE(_xlfn._xlws.FILTER(Q$2:Q$1073,($C$2:$C$1073=$C873)*($E$2:$E$1073=$E873)*(ROW(Q$2:Q$1073)&lt;&gt;ROW(Q873))*(Q$2:Q$1073&lt;&gt;""))),"")</f>
        <v>0.32011777323711499</v>
      </c>
      <c r="Z873" cm="1">
        <f t="array" ref="Z873">IFERROR(AVERAGE(_xlfn._xlws.FILTER(R$2:R$1073,($C$2:$C$1073=$C873)*($E$2:$E$1073=$E873)*(ROW(R$2:R$1073)&lt;&gt;ROW(R873))*(R$2:R$1073&lt;&gt;""))),"")</f>
        <v>6.6616637147635549E-2</v>
      </c>
      <c r="AA873" cm="1">
        <f t="array" ref="AA873">IFERROR(AVERAGE(_xlfn._xlws.FILTER(S$2:S$1073,($C$2:$C$1073=$C873)*($E$2:$E$1073=$E873)*(ROW(S$2:S$1073)&lt;&gt;ROW(S873))*(S$2:S$1073&lt;&gt;""))),"")</f>
        <v>1.205409029032207</v>
      </c>
      <c r="AB873" cm="1">
        <f t="array" ref="AB873">IFERROR(AVERAGE(_xlfn._xlws.FILTER(T$2:T$1073,($C$2:$C$1073=$C873)*($E$2:$E$1073=$E873)*(ROW(T$2:T$1073)&lt;&gt;ROW(T873))*(T$2:T$1073&lt;&gt;""))),"")</f>
        <v>1.7776057117292479E-2</v>
      </c>
      <c r="AC873" cm="1">
        <f t="array" ref="AC873">IFERROR(AVERAGE(_xlfn._xlws.FILTER(U$2:U$1073,($C$2:$C$1073=$C873)*($E$2:$E$1073=$E873)*(ROW(U$2:U$1073)&lt;&gt;ROW(U873))*(U$2:U$1073&lt;&gt;""))),"")</f>
        <v>5.4697894468760913</v>
      </c>
      <c r="AD873" cm="1">
        <f t="array" ref="AD873">IFERROR(AVERAGE(_xlfn._xlws.FILTER(V$2:V$1073,($C$2:$C$1073=$C873)*($E$2:$E$1073=$E873)*(ROW(V$2:V$1073)&lt;&gt;ROW(V873))*(V$2:V$1073&lt;&gt;""))),"")</f>
        <v>0.7760719948431295</v>
      </c>
      <c r="AE873">
        <f>IF('Дивиденды по годам'!M873&lt;0,1,0)</f>
        <v>0</v>
      </c>
    </row>
    <row r="874" spans="1:31" x14ac:dyDescent="0.2">
      <c r="A874" s="7" t="s">
        <v>2322</v>
      </c>
      <c r="B874" t="str">
        <f t="shared" si="143"/>
        <v>VKCO IV кв. 2017</v>
      </c>
      <c r="C874">
        <v>2017</v>
      </c>
      <c r="D874">
        <f>SUMIFS(Дивиденды!$C:$C,Дивиденды!$A:$A,A874,Дивиденды!$I:$I,C874)</f>
        <v>0</v>
      </c>
      <c r="E874">
        <v>5</v>
      </c>
      <c r="F874">
        <f t="shared" si="144"/>
        <v>0</v>
      </c>
      <c r="G874">
        <f t="shared" si="145"/>
        <v>3.5318181818181813</v>
      </c>
      <c r="H874">
        <f t="shared" si="146"/>
        <v>0</v>
      </c>
      <c r="I874">
        <f t="shared" si="147"/>
        <v>0.18181818181818182</v>
      </c>
      <c r="J874">
        <f t="shared" si="148"/>
        <v>0</v>
      </c>
      <c r="K874">
        <f t="shared" si="153"/>
        <v>1.4727433992836941E-2</v>
      </c>
      <c r="L874">
        <f t="shared" si="149"/>
        <v>0</v>
      </c>
      <c r="M874">
        <f t="shared" si="150"/>
        <v>9.0909090909090912E-2</v>
      </c>
      <c r="N874">
        <f t="shared" si="151"/>
        <v>0</v>
      </c>
      <c r="O874">
        <f t="shared" si="152"/>
        <v>9.0909090909090912E-2</v>
      </c>
      <c r="P874" t="str">
        <f>IFERROR(LN('Дивиденды по годам'!I874),"")</f>
        <v/>
      </c>
      <c r="Q874" t="str">
        <f>IFERROR('Дивиденды по годам'!G874/'Дивиденды по годам'!I874, "")</f>
        <v/>
      </c>
      <c r="R874" t="str">
        <f>IFERROR(IF(AND('Дивиденды по годам'!N874&lt;&gt;"",'Дивиденды по годам'!U874&lt;&gt;"",'Дивиденды по годам'!U874&lt;&gt;0),'Дивиденды по годам'!N874/'Дивиденды по годам'!U874-1,""),"")</f>
        <v/>
      </c>
      <c r="S874" t="str">
        <f>IFERROR(IF(AND('Дивиденды по годам'!L874&lt;&gt;"",'Дивиденды по годам'!I874&lt;&gt;"",'Дивиденды по годам'!J874&lt;&gt;"",'Дивиденды по годам'!K874&lt;&gt;"",('Дивиденды по годам'!I874-'Дивиденды по годам'!J874-'Дивиденды по годам'!K874)&lt;&gt;0),'Дивиденды по годам'!L874/('Дивиденды по годам'!I874-'Дивиденды по годам'!J874-'Дивиденды по годам'!K874),""),"")</f>
        <v/>
      </c>
      <c r="T874" t="str">
        <f>IFERROR(IF(AND('Дивиденды по годам'!Q874&lt;&gt;"",'Дивиденды по годам'!I874&lt;&gt;"",'Дивиденды по годам'!V874&lt;&gt;"",('Дивиденды по годам'!I874+'Дивиденды по годам'!V874)&lt;&gt;0),'Дивиденды по годам'!Q874/(('Дивиденды по годам'!I874+'Дивиденды по годам'!V874)/2),""),"")</f>
        <v/>
      </c>
      <c r="U874" t="str">
        <f>IFERROR(IF(AND('Дивиденды по годам'!J874&lt;&gt;"",'Дивиденды по годам'!K874&lt;&gt;"",'Дивиденды по годам'!M874&lt;&gt;"",'Дивиденды по годам'!M874&lt;&gt;0),('Дивиденды по годам'!J874+'Дивиденды по годам'!K874)/'Дивиденды по годам'!M874,""),"")</f>
        <v/>
      </c>
      <c r="V874" t="str">
        <f>IFERROR(IF(AND('Дивиденды по годам'!J874&lt;&gt;"",'Дивиденды по годам'!K874&lt;&gt;"",'Дивиденды по годам'!M874&lt;&gt;"",'Дивиденды по годам'!I874&lt;&gt;0),('Дивиденды по годам'!J874+'Дивиденды по годам'!K874)/'Дивиденды по годам'!I874,""),"")</f>
        <v/>
      </c>
      <c r="W874" t="str">
        <f>IFERROR('Дивиденды по годам'!I874,"")</f>
        <v/>
      </c>
      <c r="X874" cm="1">
        <f t="array" ref="X874">IFERROR(AVERAGE(_xlfn._xlws.FILTER(P$2:P$1073,($C$2:$C$1073=$C874)*($E$2:$E$1073=$E874)*(ROW(P$2:P$1073)&lt;&gt;ROW(P874))*(P$2:P$1073&lt;&gt;""))),"")</f>
        <v>27.043369572715513</v>
      </c>
      <c r="Y874" cm="1">
        <f t="array" ref="Y874">IFERROR(AVERAGE(_xlfn._xlws.FILTER(Q$2:Q$1073,($C$2:$C$1073=$C874)*($E$2:$E$1073=$E874)*(ROW(Q$2:Q$1073)&lt;&gt;ROW(Q874))*(Q$2:Q$1073&lt;&gt;""))),"")</f>
        <v>0.54965488260857309</v>
      </c>
      <c r="Z874" cm="1">
        <f t="array" ref="Z874">IFERROR(AVERAGE(_xlfn._xlws.FILTER(R$2:R$1073,($C$2:$C$1073=$C874)*($E$2:$E$1073=$E874)*(ROW(R$2:R$1073)&lt;&gt;ROW(R874))*(R$2:R$1073&lt;&gt;""))),"")</f>
        <v>2.1535666839189949E-2</v>
      </c>
      <c r="AA874" cm="1">
        <f t="array" ref="AA874">IFERROR(AVERAGE(_xlfn._xlws.FILTER(S$2:S$1073,($C$2:$C$1073=$C874)*($E$2:$E$1073=$E874)*(ROW(S$2:S$1073)&lt;&gt;ROW(S874))*(S$2:S$1073&lt;&gt;""))),"")</f>
        <v>1.232616052553424</v>
      </c>
      <c r="AB874" cm="1">
        <f t="array" ref="AB874">IFERROR(AVERAGE(_xlfn._xlws.FILTER(T$2:T$1073,($C$2:$C$1073=$C874)*($E$2:$E$1073=$E874)*(ROW(T$2:T$1073)&lt;&gt;ROW(T874))*(T$2:T$1073&lt;&gt;""))),"")</f>
        <v>6.4245501476224237E-2</v>
      </c>
      <c r="AC874" cm="1">
        <f t="array" ref="AC874">IFERROR(AVERAGE(_xlfn._xlws.FILTER(U$2:U$1073,($C$2:$C$1073=$C874)*($E$2:$E$1073=$E874)*(ROW(U$2:U$1073)&lt;&gt;ROW(U874))*(U$2:U$1073&lt;&gt;""))),"")</f>
        <v>2.3417046689252397</v>
      </c>
      <c r="AD874" cm="1">
        <f t="array" ref="AD874">IFERROR(AVERAGE(_xlfn._xlws.FILTER(V$2:V$1073,($C$2:$C$1073=$C874)*($E$2:$E$1073=$E874)*(ROW(V$2:V$1073)&lt;&gt;ROW(V874))*(V$2:V$1073&lt;&gt;""))),"")</f>
        <v>0.66475018615672188</v>
      </c>
      <c r="AE874">
        <f>IF('Дивиденды по годам'!M874&lt;0,1,0)</f>
        <v>0</v>
      </c>
    </row>
    <row r="875" spans="1:31" x14ac:dyDescent="0.2">
      <c r="A875" s="7" t="s">
        <v>2322</v>
      </c>
      <c r="B875" t="str">
        <f t="shared" si="143"/>
        <v>VKCO IV кв. 2016</v>
      </c>
      <c r="C875">
        <v>2016</v>
      </c>
      <c r="D875">
        <f>SUMIFS(Дивиденды!$C:$C,Дивиденды!$A:$A,A875,Дивиденды!$I:$I,C875)</f>
        <v>0</v>
      </c>
      <c r="E875">
        <v>5</v>
      </c>
      <c r="F875">
        <f t="shared" si="144"/>
        <v>0</v>
      </c>
      <c r="G875">
        <f t="shared" si="145"/>
        <v>2.9981818181818181</v>
      </c>
      <c r="H875">
        <f t="shared" si="146"/>
        <v>0</v>
      </c>
      <c r="I875">
        <f t="shared" si="147"/>
        <v>0.18181818181818182</v>
      </c>
      <c r="J875">
        <f t="shared" si="148"/>
        <v>0</v>
      </c>
      <c r="K875">
        <f t="shared" si="153"/>
        <v>2.8790101611202514E-2</v>
      </c>
      <c r="L875">
        <f t="shared" si="149"/>
        <v>0</v>
      </c>
      <c r="M875">
        <f t="shared" si="150"/>
        <v>9.0909090909090912E-2</v>
      </c>
      <c r="N875">
        <f t="shared" si="151"/>
        <v>0</v>
      </c>
      <c r="O875">
        <f t="shared" si="152"/>
        <v>9.0909090909090912E-2</v>
      </c>
      <c r="P875" t="str">
        <f>IFERROR(LN('Дивиденды по годам'!I875),"")</f>
        <v/>
      </c>
      <c r="Q875" t="str">
        <f>IFERROR('Дивиденды по годам'!G875/'Дивиденды по годам'!I875, "")</f>
        <v/>
      </c>
      <c r="R875" t="str">
        <f>IFERROR(IF(AND('Дивиденды по годам'!N875&lt;&gt;"",'Дивиденды по годам'!U875&lt;&gt;"",'Дивиденды по годам'!U875&lt;&gt;0),'Дивиденды по годам'!N875/'Дивиденды по годам'!U875-1,""),"")</f>
        <v/>
      </c>
      <c r="S875" t="str">
        <f>IFERROR(IF(AND('Дивиденды по годам'!L875&lt;&gt;"",'Дивиденды по годам'!I875&lt;&gt;"",'Дивиденды по годам'!J875&lt;&gt;"",'Дивиденды по годам'!K875&lt;&gt;"",('Дивиденды по годам'!I875-'Дивиденды по годам'!J875-'Дивиденды по годам'!K875)&lt;&gt;0),'Дивиденды по годам'!L875/('Дивиденды по годам'!I875-'Дивиденды по годам'!J875-'Дивиденды по годам'!K875),""),"")</f>
        <v/>
      </c>
      <c r="T875" t="str">
        <f>IFERROR(IF(AND('Дивиденды по годам'!Q875&lt;&gt;"",'Дивиденды по годам'!I875&lt;&gt;"",'Дивиденды по годам'!V875&lt;&gt;"",('Дивиденды по годам'!I875+'Дивиденды по годам'!V875)&lt;&gt;0),'Дивиденды по годам'!Q875/(('Дивиденды по годам'!I875+'Дивиденды по годам'!V875)/2),""),"")</f>
        <v/>
      </c>
      <c r="U875" t="str">
        <f>IFERROR(IF(AND('Дивиденды по годам'!J875&lt;&gt;"",'Дивиденды по годам'!K875&lt;&gt;"",'Дивиденды по годам'!M875&lt;&gt;"",'Дивиденды по годам'!M875&lt;&gt;0),('Дивиденды по годам'!J875+'Дивиденды по годам'!K875)/'Дивиденды по годам'!M875,""),"")</f>
        <v/>
      </c>
      <c r="V875" t="str">
        <f>IFERROR(IF(AND('Дивиденды по годам'!J875&lt;&gt;"",'Дивиденды по годам'!K875&lt;&gt;"",'Дивиденды по годам'!M875&lt;&gt;"",'Дивиденды по годам'!I875&lt;&gt;0),('Дивиденды по годам'!J875+'Дивиденды по годам'!K875)/'Дивиденды по годам'!I875,""),"")</f>
        <v/>
      </c>
      <c r="W875" t="str">
        <f>IFERROR('Дивиденды по годам'!I875,"")</f>
        <v/>
      </c>
      <c r="X875" cm="1">
        <f t="array" ref="X875">IFERROR(AVERAGE(_xlfn._xlws.FILTER(P$2:P$1073,($C$2:$C$1073=$C875)*($E$2:$E$1073=$E875)*(ROW(P$2:P$1073)&lt;&gt;ROW(P875))*(P$2:P$1073&lt;&gt;""))),"")</f>
        <v>27.033270353256157</v>
      </c>
      <c r="Y875" cm="1">
        <f t="array" ref="Y875">IFERROR(AVERAGE(_xlfn._xlws.FILTER(Q$2:Q$1073,($C$2:$C$1073=$C875)*($E$2:$E$1073=$E875)*(ROW(Q$2:Q$1073)&lt;&gt;ROW(Q875))*(Q$2:Q$1073&lt;&gt;""))),"")</f>
        <v>0.55978642376097965</v>
      </c>
      <c r="Z875" cm="1">
        <f t="array" ref="Z875">IFERROR(AVERAGE(_xlfn._xlws.FILTER(R$2:R$1073,($C$2:$C$1073=$C875)*($E$2:$E$1073=$E875)*(ROW(R$2:R$1073)&lt;&gt;ROW(R875))*(R$2:R$1073&lt;&gt;""))),"")</f>
        <v>5.3242460909894707E-3</v>
      </c>
      <c r="AA875" cm="1">
        <f t="array" ref="AA875">IFERROR(AVERAGE(_xlfn._xlws.FILTER(S$2:S$1073,($C$2:$C$1073=$C875)*($E$2:$E$1073=$E875)*(ROW(S$2:S$1073)&lt;&gt;ROW(S875))*(S$2:S$1073&lt;&gt;""))),"")</f>
        <v>1.1315702315112175</v>
      </c>
      <c r="AB875" cm="1">
        <f t="array" ref="AB875">IFERROR(AVERAGE(_xlfn._xlws.FILTER(T$2:T$1073,($C$2:$C$1073=$C875)*($E$2:$E$1073=$E875)*(ROW(T$2:T$1073)&lt;&gt;ROW(T875))*(T$2:T$1073&lt;&gt;""))),"")</f>
        <v>5.4869409864042928E-2</v>
      </c>
      <c r="AC875" cm="1">
        <f t="array" ref="AC875">IFERROR(AVERAGE(_xlfn._xlws.FILTER(U$2:U$1073,($C$2:$C$1073=$C875)*($E$2:$E$1073=$E875)*(ROW(U$2:U$1073)&lt;&gt;ROW(U875))*(U$2:U$1073&lt;&gt;""))),"")</f>
        <v>2.0086781177717459</v>
      </c>
      <c r="AD875" cm="1">
        <f t="array" ref="AD875">IFERROR(AVERAGE(_xlfn._xlws.FILTER(V$2:V$1073,($C$2:$C$1073=$C875)*($E$2:$E$1073=$E875)*(ROW(V$2:V$1073)&lt;&gt;ROW(V875))*(V$2:V$1073&lt;&gt;""))),"")</f>
        <v>0.64409028041831262</v>
      </c>
      <c r="AE875">
        <f>IF('Дивиденды по годам'!M875&lt;0,1,0)</f>
        <v>0</v>
      </c>
    </row>
    <row r="876" spans="1:31" x14ac:dyDescent="0.2">
      <c r="A876" s="7" t="s">
        <v>2322</v>
      </c>
      <c r="B876" t="str">
        <f t="shared" si="143"/>
        <v>VKCO IV кв. 2015</v>
      </c>
      <c r="C876">
        <v>2015</v>
      </c>
      <c r="D876">
        <f>SUMIFS(Дивиденды!$C:$C,Дивиденды!$A:$A,A876,Дивиденды!$I:$I,C876)</f>
        <v>0</v>
      </c>
      <c r="E876">
        <v>5</v>
      </c>
      <c r="F876">
        <f t="shared" si="144"/>
        <v>0</v>
      </c>
      <c r="G876">
        <f t="shared" si="145"/>
        <v>2.3218181818181818</v>
      </c>
      <c r="H876">
        <f t="shared" si="146"/>
        <v>0</v>
      </c>
      <c r="I876">
        <f t="shared" si="147"/>
        <v>0.18181818181818182</v>
      </c>
      <c r="J876">
        <f t="shared" si="148"/>
        <v>0</v>
      </c>
      <c r="K876">
        <f t="shared" si="153"/>
        <v>4.855464114120716E-2</v>
      </c>
      <c r="L876">
        <f t="shared" si="149"/>
        <v>0</v>
      </c>
      <c r="M876">
        <f t="shared" si="150"/>
        <v>9.0909090909090912E-2</v>
      </c>
      <c r="N876">
        <f t="shared" si="151"/>
        <v>0</v>
      </c>
      <c r="O876">
        <f t="shared" si="152"/>
        <v>9.0909090909090912E-2</v>
      </c>
      <c r="P876" t="str">
        <f>IFERROR(LN('Дивиденды по годам'!I876),"")</f>
        <v/>
      </c>
      <c r="Q876" t="str">
        <f>IFERROR('Дивиденды по годам'!G876/'Дивиденды по годам'!I876, "")</f>
        <v/>
      </c>
      <c r="R876" t="str">
        <f>IFERROR(IF(AND('Дивиденды по годам'!N876&lt;&gt;"",'Дивиденды по годам'!U876&lt;&gt;"",'Дивиденды по годам'!U876&lt;&gt;0),'Дивиденды по годам'!N876/'Дивиденды по годам'!U876-1,""),"")</f>
        <v/>
      </c>
      <c r="S876" t="str">
        <f>IFERROR(IF(AND('Дивиденды по годам'!L876&lt;&gt;"",'Дивиденды по годам'!I876&lt;&gt;"",'Дивиденды по годам'!J876&lt;&gt;"",'Дивиденды по годам'!K876&lt;&gt;"",('Дивиденды по годам'!I876-'Дивиденды по годам'!J876-'Дивиденды по годам'!K876)&lt;&gt;0),'Дивиденды по годам'!L876/('Дивиденды по годам'!I876-'Дивиденды по годам'!J876-'Дивиденды по годам'!K876),""),"")</f>
        <v/>
      </c>
      <c r="T876" t="str">
        <f>IFERROR(IF(AND('Дивиденды по годам'!Q876&lt;&gt;"",'Дивиденды по годам'!I876&lt;&gt;"",'Дивиденды по годам'!V876&lt;&gt;"",('Дивиденды по годам'!I876+'Дивиденды по годам'!V876)&lt;&gt;0),'Дивиденды по годам'!Q876/(('Дивиденды по годам'!I876+'Дивиденды по годам'!V876)/2),""),"")</f>
        <v/>
      </c>
      <c r="U876" t="str">
        <f>IFERROR(IF(AND('Дивиденды по годам'!J876&lt;&gt;"",'Дивиденды по годам'!K876&lt;&gt;"",'Дивиденды по годам'!M876&lt;&gt;"",'Дивиденды по годам'!M876&lt;&gt;0),('Дивиденды по годам'!J876+'Дивиденды по годам'!K876)/'Дивиденды по годам'!M876,""),"")</f>
        <v/>
      </c>
      <c r="V876" t="str">
        <f>IFERROR(IF(AND('Дивиденды по годам'!J876&lt;&gt;"",'Дивиденды по годам'!K876&lt;&gt;"",'Дивиденды по годам'!M876&lt;&gt;"",'Дивиденды по годам'!I876&lt;&gt;0),('Дивиденды по годам'!J876+'Дивиденды по годам'!K876)/'Дивиденды по годам'!I876,""),"")</f>
        <v/>
      </c>
      <c r="W876" t="str">
        <f>IFERROR('Дивиденды по годам'!I876,"")</f>
        <v/>
      </c>
      <c r="X876" cm="1">
        <f t="array" ref="X876">IFERROR(AVERAGE(_xlfn._xlws.FILTER(P$2:P$1073,($C$2:$C$1073=$C876)*($E$2:$E$1073=$E876)*(ROW(P$2:P$1073)&lt;&gt;ROW(P876))*(P$2:P$1073&lt;&gt;""))),"")</f>
        <v>27.120501452642756</v>
      </c>
      <c r="Y876" cm="1">
        <f t="array" ref="Y876">IFERROR(AVERAGE(_xlfn._xlws.FILTER(Q$2:Q$1073,($C$2:$C$1073=$C876)*($E$2:$E$1073=$E876)*(ROW(Q$2:Q$1073)&lt;&gt;ROW(Q876))*(Q$2:Q$1073&lt;&gt;""))),"")</f>
        <v>0.53878421833606405</v>
      </c>
      <c r="Z876" cm="1">
        <f t="array" ref="Z876">IFERROR(AVERAGE(_xlfn._xlws.FILTER(R$2:R$1073,($C$2:$C$1073=$C876)*($E$2:$E$1073=$E876)*(ROW(R$2:R$1073)&lt;&gt;ROW(R876))*(R$2:R$1073&lt;&gt;""))),"")</f>
        <v>2.2276174497294132E-2</v>
      </c>
      <c r="AA876" cm="1">
        <f t="array" ref="AA876">IFERROR(AVERAGE(_xlfn._xlws.FILTER(S$2:S$1073,($C$2:$C$1073=$C876)*($E$2:$E$1073=$E876)*(ROW(S$2:S$1073)&lt;&gt;ROW(S876))*(S$2:S$1073&lt;&gt;""))),"")</f>
        <v>1.2586396116380416</v>
      </c>
      <c r="AB876" cm="1">
        <f t="array" ref="AB876">IFERROR(AVERAGE(_xlfn._xlws.FILTER(T$2:T$1073,($C$2:$C$1073=$C876)*($E$2:$E$1073=$E876)*(ROW(T$2:T$1073)&lt;&gt;ROW(T876))*(T$2:T$1073&lt;&gt;""))),"")</f>
        <v>5.0636797509896803E-2</v>
      </c>
      <c r="AC876" cm="1">
        <f t="array" ref="AC876">IFERROR(AVERAGE(_xlfn._xlws.FILTER(U$2:U$1073,($C$2:$C$1073=$C876)*($E$2:$E$1073=$E876)*(ROW(U$2:U$1073)&lt;&gt;ROW(U876))*(U$2:U$1073&lt;&gt;""))),"")</f>
        <v>2.0444165107764372</v>
      </c>
      <c r="AD876" cm="1">
        <f t="array" ref="AD876">IFERROR(AVERAGE(_xlfn._xlws.FILTER(V$2:V$1073,($C$2:$C$1073=$C876)*($E$2:$E$1073=$E876)*(ROW(V$2:V$1073)&lt;&gt;ROW(V876))*(V$2:V$1073&lt;&gt;""))),"")</f>
        <v>0.64472959627967386</v>
      </c>
      <c r="AE876">
        <f>IF('Дивиденды по годам'!M876&lt;0,1,0)</f>
        <v>0</v>
      </c>
    </row>
    <row r="877" spans="1:31" x14ac:dyDescent="0.2">
      <c r="A877" s="7" t="s">
        <v>2322</v>
      </c>
      <c r="B877" t="str">
        <f t="shared" si="143"/>
        <v>VKCO IV кв. 2014</v>
      </c>
      <c r="C877">
        <v>2014</v>
      </c>
      <c r="D877">
        <f>SUMIFS(Дивиденды!$C:$C,Дивиденды!$A:$A,A877,Дивиденды!$I:$I,C877)</f>
        <v>0</v>
      </c>
      <c r="E877">
        <v>5</v>
      </c>
      <c r="F877">
        <f t="shared" si="144"/>
        <v>0</v>
      </c>
      <c r="G877">
        <f t="shared" si="145"/>
        <v>2.6454545454545451</v>
      </c>
      <c r="H877">
        <f t="shared" si="146"/>
        <v>0</v>
      </c>
      <c r="I877">
        <f t="shared" si="147"/>
        <v>0.18181818181818182</v>
      </c>
      <c r="J877">
        <f t="shared" si="148"/>
        <v>0</v>
      </c>
      <c r="K877">
        <f t="shared" si="153"/>
        <v>1.3814271370946419E-2</v>
      </c>
      <c r="L877">
        <f t="shared" si="149"/>
        <v>0</v>
      </c>
      <c r="M877">
        <f t="shared" si="150"/>
        <v>0.18181818181818182</v>
      </c>
      <c r="N877">
        <f t="shared" si="151"/>
        <v>0</v>
      </c>
      <c r="O877">
        <f t="shared" si="152"/>
        <v>0</v>
      </c>
      <c r="P877" t="str">
        <f>IFERROR(LN('Дивиденды по годам'!I877),"")</f>
        <v/>
      </c>
      <c r="Q877" t="str">
        <f>IFERROR('Дивиденды по годам'!G877/'Дивиденды по годам'!I877, "")</f>
        <v/>
      </c>
      <c r="R877" t="str">
        <f>IFERROR(IF(AND('Дивиденды по годам'!N877&lt;&gt;"",'Дивиденды по годам'!U877&lt;&gt;"",'Дивиденды по годам'!U877&lt;&gt;0),'Дивиденды по годам'!N877/'Дивиденды по годам'!U877-1,""),"")</f>
        <v/>
      </c>
      <c r="S877" t="str">
        <f>IFERROR(IF(AND('Дивиденды по годам'!L877&lt;&gt;"",'Дивиденды по годам'!I877&lt;&gt;"",'Дивиденды по годам'!J877&lt;&gt;"",'Дивиденды по годам'!K877&lt;&gt;"",('Дивиденды по годам'!I877-'Дивиденды по годам'!J877-'Дивиденды по годам'!K877)&lt;&gt;0),'Дивиденды по годам'!L877/('Дивиденды по годам'!I877-'Дивиденды по годам'!J877-'Дивиденды по годам'!K877),""),"")</f>
        <v/>
      </c>
      <c r="T877" t="str">
        <f>IFERROR(IF(AND('Дивиденды по годам'!Q877&lt;&gt;"",'Дивиденды по годам'!I877&lt;&gt;"",'Дивиденды по годам'!V877&lt;&gt;"",('Дивиденды по годам'!I877+'Дивиденды по годам'!V877)&lt;&gt;0),'Дивиденды по годам'!Q877/(('Дивиденды по годам'!I877+'Дивиденды по годам'!V877)/2),""),"")</f>
        <v/>
      </c>
      <c r="U877" t="str">
        <f>IFERROR(IF(AND('Дивиденды по годам'!J877&lt;&gt;"",'Дивиденды по годам'!K877&lt;&gt;"",'Дивиденды по годам'!M877&lt;&gt;"",'Дивиденды по годам'!M877&lt;&gt;0),('Дивиденды по годам'!J877+'Дивиденды по годам'!K877)/'Дивиденды по годам'!M877,""),"")</f>
        <v/>
      </c>
      <c r="V877" t="str">
        <f>IFERROR(IF(AND('Дивиденды по годам'!J877&lt;&gt;"",'Дивиденды по годам'!K877&lt;&gt;"",'Дивиденды по годам'!M877&lt;&gt;"",'Дивиденды по годам'!I877&lt;&gt;0),('Дивиденды по годам'!J877+'Дивиденды по годам'!K877)/'Дивиденды по годам'!I877,""),"")</f>
        <v/>
      </c>
      <c r="W877" t="str">
        <f>IFERROR('Дивиденды по годам'!I877,"")</f>
        <v/>
      </c>
      <c r="X877" cm="1">
        <f t="array" ref="X877">IFERROR(AVERAGE(_xlfn._xlws.FILTER(P$2:P$1073,($C$2:$C$1073=$C877)*($E$2:$E$1073=$E877)*(ROW(P$2:P$1073)&lt;&gt;ROW(P877))*(P$2:P$1073&lt;&gt;""))),"")</f>
        <v>27.082830809151307</v>
      </c>
      <c r="Y877" cm="1">
        <f t="array" ref="Y877">IFERROR(AVERAGE(_xlfn._xlws.FILTER(Q$2:Q$1073,($C$2:$C$1073=$C877)*($E$2:$E$1073=$E877)*(ROW(Q$2:Q$1073)&lt;&gt;ROW(Q877))*(Q$2:Q$1073&lt;&gt;""))),"")</f>
        <v>0.5450738024161359</v>
      </c>
      <c r="Z877" cm="1">
        <f t="array" ref="Z877">IFERROR(AVERAGE(_xlfn._xlws.FILTER(R$2:R$1073,($C$2:$C$1073=$C877)*($E$2:$E$1073=$E877)*(ROW(R$2:R$1073)&lt;&gt;ROW(R877))*(R$2:R$1073&lt;&gt;""))),"")</f>
        <v>2.9557764869601155E-2</v>
      </c>
      <c r="AA877" cm="1">
        <f t="array" ref="AA877">IFERROR(AVERAGE(_xlfn._xlws.FILTER(S$2:S$1073,($C$2:$C$1073=$C877)*($E$2:$E$1073=$E877)*(ROW(S$2:S$1073)&lt;&gt;ROW(S877))*(S$2:S$1073&lt;&gt;""))),"")</f>
        <v>1.1443286994996271</v>
      </c>
      <c r="AB877" cm="1">
        <f t="array" ref="AB877">IFERROR(AVERAGE(_xlfn._xlws.FILTER(T$2:T$1073,($C$2:$C$1073=$C877)*($E$2:$E$1073=$E877)*(ROW(T$2:T$1073)&lt;&gt;ROW(T877))*(T$2:T$1073&lt;&gt;""))),"")</f>
        <v>5.9751382409195454E-2</v>
      </c>
      <c r="AC877" cm="1">
        <f t="array" ref="AC877">IFERROR(AVERAGE(_xlfn._xlws.FILTER(U$2:U$1073,($C$2:$C$1073=$C877)*($E$2:$E$1073=$E877)*(ROW(U$2:U$1073)&lt;&gt;ROW(U877))*(U$2:U$1073&lt;&gt;""))),"")</f>
        <v>1.8184271482015117</v>
      </c>
      <c r="AD877" cm="1">
        <f t="array" ref="AD877">IFERROR(AVERAGE(_xlfn._xlws.FILTER(V$2:V$1073,($C$2:$C$1073=$C877)*($E$2:$E$1073=$E877)*(ROW(V$2:V$1073)&lt;&gt;ROW(V877))*(V$2:V$1073&lt;&gt;""))),"")</f>
        <v>0.62943537689886697</v>
      </c>
      <c r="AE877">
        <f>IF('Дивиденды по годам'!M877&lt;0,1,0)</f>
        <v>0</v>
      </c>
    </row>
    <row r="878" spans="1:31" x14ac:dyDescent="0.2">
      <c r="A878" s="7" t="s">
        <v>2322</v>
      </c>
      <c r="B878" t="str">
        <f t="shared" si="143"/>
        <v>VKCO IV кв. 2013</v>
      </c>
      <c r="C878">
        <v>2013</v>
      </c>
      <c r="D878">
        <f>SUMIFS(Дивиденды!$C:$C,Дивиденды!$A:$A,A878,Дивиденды!$I:$I,C878)</f>
        <v>0</v>
      </c>
      <c r="E878">
        <v>5</v>
      </c>
      <c r="F878">
        <f t="shared" si="144"/>
        <v>0</v>
      </c>
      <c r="G878">
        <f t="shared" si="145"/>
        <v>2.4490909090909092</v>
      </c>
      <c r="H878">
        <f t="shared" si="146"/>
        <v>0</v>
      </c>
      <c r="I878">
        <f t="shared" si="147"/>
        <v>0.18181818181818182</v>
      </c>
      <c r="J878">
        <f t="shared" si="148"/>
        <v>0</v>
      </c>
      <c r="K878">
        <f t="shared" si="153"/>
        <v>8.2745033991384775E-2</v>
      </c>
      <c r="L878">
        <f t="shared" si="149"/>
        <v>0</v>
      </c>
      <c r="M878">
        <f t="shared" si="150"/>
        <v>0.18181818181818182</v>
      </c>
      <c r="N878">
        <f t="shared" si="151"/>
        <v>0</v>
      </c>
      <c r="O878">
        <f t="shared" si="152"/>
        <v>0</v>
      </c>
      <c r="P878" t="str">
        <f>IFERROR(LN('Дивиденды по годам'!I878),"")</f>
        <v/>
      </c>
      <c r="Q878" t="str">
        <f>IFERROR('Дивиденды по годам'!G878/'Дивиденды по годам'!I878, "")</f>
        <v/>
      </c>
      <c r="R878" t="str">
        <f>IFERROR(IF(AND('Дивиденды по годам'!N878&lt;&gt;"",'Дивиденды по годам'!U878&lt;&gt;"",'Дивиденды по годам'!U878&lt;&gt;0),'Дивиденды по годам'!N878/'Дивиденды по годам'!U878-1,""),"")</f>
        <v/>
      </c>
      <c r="S878" t="str">
        <f>IFERROR(IF(AND('Дивиденды по годам'!L878&lt;&gt;"",'Дивиденды по годам'!I878&lt;&gt;"",'Дивиденды по годам'!J878&lt;&gt;"",'Дивиденды по годам'!K878&lt;&gt;"",('Дивиденды по годам'!I878-'Дивиденды по годам'!J878-'Дивиденды по годам'!K878)&lt;&gt;0),'Дивиденды по годам'!L878/('Дивиденды по годам'!I878-'Дивиденды по годам'!J878-'Дивиденды по годам'!K878),""),"")</f>
        <v/>
      </c>
      <c r="T878" t="str">
        <f>IFERROR(IF(AND('Дивиденды по годам'!Q878&lt;&gt;"",'Дивиденды по годам'!I878&lt;&gt;"",'Дивиденды по годам'!V878&lt;&gt;"",('Дивиденды по годам'!I878+'Дивиденды по годам'!V878)&lt;&gt;0),'Дивиденды по годам'!Q878/(('Дивиденды по годам'!I878+'Дивиденды по годам'!V878)/2),""),"")</f>
        <v/>
      </c>
      <c r="U878" t="str">
        <f>IFERROR(IF(AND('Дивиденды по годам'!J878&lt;&gt;"",'Дивиденды по годам'!K878&lt;&gt;"",'Дивиденды по годам'!M878&lt;&gt;"",'Дивиденды по годам'!M878&lt;&gt;0),('Дивиденды по годам'!J878+'Дивиденды по годам'!K878)/'Дивиденды по годам'!M878,""),"")</f>
        <v/>
      </c>
      <c r="V878" t="str">
        <f>IFERROR(IF(AND('Дивиденды по годам'!J878&lt;&gt;"",'Дивиденды по годам'!K878&lt;&gt;"",'Дивиденды по годам'!M878&lt;&gt;"",'Дивиденды по годам'!I878&lt;&gt;0),('Дивиденды по годам'!J878+'Дивиденды по годам'!K878)/'Дивиденды по годам'!I878,""),"")</f>
        <v/>
      </c>
      <c r="W878" t="str">
        <f>IFERROR('Дивиденды по годам'!I878,"")</f>
        <v/>
      </c>
      <c r="X878" cm="1">
        <f t="array" ref="X878">IFERROR(AVERAGE(_xlfn._xlws.FILTER(P$2:P$1073,($C$2:$C$1073=$C878)*($E$2:$E$1073=$E878)*(ROW(P$2:P$1073)&lt;&gt;ROW(P878))*(P$2:P$1073&lt;&gt;""))),"")</f>
        <v>26.980715693689852</v>
      </c>
      <c r="Y878" cm="1">
        <f t="array" ref="Y878">IFERROR(AVERAGE(_xlfn._xlws.FILTER(Q$2:Q$1073,($C$2:$C$1073=$C878)*($E$2:$E$1073=$E878)*(ROW(Q$2:Q$1073)&lt;&gt;ROW(Q878))*(Q$2:Q$1073&lt;&gt;""))),"")</f>
        <v>0.57737124989859567</v>
      </c>
      <c r="Z878" cm="1">
        <f t="array" ref="Z878">IFERROR(AVERAGE(_xlfn._xlws.FILTER(R$2:R$1073,($C$2:$C$1073=$C878)*($E$2:$E$1073=$E878)*(ROW(R$2:R$1073)&lt;&gt;ROW(R878))*(R$2:R$1073&lt;&gt;""))),"")</f>
        <v>-3.1761213433143809E-2</v>
      </c>
      <c r="AA878" t="str" cm="1">
        <f t="array" ref="AA878">IFERROR(AVERAGE(_xlfn._xlws.FILTER(S$2:S$1073,($C$2:$C$1073=$C878)*($E$2:$E$1073=$E878)*(ROW(S$2:S$1073)&lt;&gt;ROW(S878))*(S$2:S$1073&lt;&gt;""))),"")</f>
        <v/>
      </c>
      <c r="AB878" cm="1">
        <f t="array" ref="AB878">IFERROR(AVERAGE(_xlfn._xlws.FILTER(T$2:T$1073,($C$2:$C$1073=$C878)*($E$2:$E$1073=$E878)*(ROW(T$2:T$1073)&lt;&gt;ROW(T878))*(T$2:T$1073&lt;&gt;""))),"")</f>
        <v>0.10442686382361807</v>
      </c>
      <c r="AC878" cm="1">
        <f t="array" ref="AC878">IFERROR(AVERAGE(_xlfn._xlws.FILTER(U$2:U$1073,($C$2:$C$1073=$C878)*($E$2:$E$1073=$E878)*(ROW(U$2:U$1073)&lt;&gt;ROW(U878))*(U$2:U$1073&lt;&gt;""))),"")</f>
        <v>1.9310921377733694</v>
      </c>
      <c r="AD878" cm="1">
        <f t="array" ref="AD878">IFERROR(AVERAGE(_xlfn._xlws.FILTER(V$2:V$1073,($C$2:$C$1073=$C878)*($E$2:$E$1073=$E878)*(ROW(V$2:V$1073)&lt;&gt;ROW(V878))*(V$2:V$1073&lt;&gt;""))),"")</f>
        <v>0.65823029186247406</v>
      </c>
      <c r="AE878">
        <f>IF('Дивиденды по годам'!M878&lt;0,1,0)</f>
        <v>0</v>
      </c>
    </row>
    <row r="879" spans="1:31" x14ac:dyDescent="0.2">
      <c r="A879" s="7" t="s">
        <v>2322</v>
      </c>
      <c r="B879" t="str">
        <f t="shared" si="143"/>
        <v>VKCO IV кв. 2012</v>
      </c>
      <c r="C879">
        <v>2012</v>
      </c>
      <c r="D879">
        <f>SUMIFS(Дивиденды!$C:$C,Дивиденды!$A:$A,A879,Дивиденды!$I:$I,C879)</f>
        <v>0</v>
      </c>
      <c r="E879">
        <v>5</v>
      </c>
      <c r="F879">
        <f t="shared" si="144"/>
        <v>0</v>
      </c>
      <c r="G879">
        <f t="shared" si="145"/>
        <v>1.5490909090909091</v>
      </c>
      <c r="H879">
        <f t="shared" si="146"/>
        <v>0</v>
      </c>
      <c r="I879">
        <f t="shared" si="147"/>
        <v>0.18181818181818182</v>
      </c>
      <c r="J879">
        <f t="shared" si="148"/>
        <v>0</v>
      </c>
      <c r="K879">
        <f t="shared" si="153"/>
        <v>-4.4393542728732291E-2</v>
      </c>
      <c r="L879">
        <f t="shared" si="149"/>
        <v>0</v>
      </c>
      <c r="M879">
        <f t="shared" si="150"/>
        <v>0</v>
      </c>
      <c r="N879">
        <f t="shared" si="151"/>
        <v>0</v>
      </c>
      <c r="O879">
        <f t="shared" si="152"/>
        <v>0.18181818181818182</v>
      </c>
      <c r="P879" t="str">
        <f>IFERROR(LN('Дивиденды по годам'!I879),"")</f>
        <v/>
      </c>
      <c r="Q879" t="str">
        <f>IFERROR('Дивиденды по годам'!G879/'Дивиденды по годам'!I879, "")</f>
        <v/>
      </c>
      <c r="R879" t="str">
        <f>IFERROR(IF(AND('Дивиденды по годам'!N879&lt;&gt;"",'Дивиденды по годам'!U879&lt;&gt;"",'Дивиденды по годам'!U879&lt;&gt;0),'Дивиденды по годам'!N879/'Дивиденды по годам'!U879-1,""),"")</f>
        <v/>
      </c>
      <c r="S879" t="str">
        <f>IFERROR(IF(AND('Дивиденды по годам'!L879&lt;&gt;"",'Дивиденды по годам'!I879&lt;&gt;"",'Дивиденды по годам'!J879&lt;&gt;"",'Дивиденды по годам'!K879&lt;&gt;"",('Дивиденды по годам'!I879-'Дивиденды по годам'!J879-'Дивиденды по годам'!K879)&lt;&gt;0),'Дивиденды по годам'!L879/('Дивиденды по годам'!I879-'Дивиденды по годам'!J879-'Дивиденды по годам'!K879),""),"")</f>
        <v/>
      </c>
      <c r="T879" t="str">
        <f>IFERROR(IF(AND('Дивиденды по годам'!Q879&lt;&gt;"",'Дивиденды по годам'!I879&lt;&gt;"",'Дивиденды по годам'!V879&lt;&gt;"",('Дивиденды по годам'!I879+'Дивиденды по годам'!V879)&lt;&gt;0),'Дивиденды по годам'!Q879/(('Дивиденды по годам'!I879+'Дивиденды по годам'!V879)/2),""),"")</f>
        <v/>
      </c>
      <c r="U879" t="str">
        <f>IFERROR(IF(AND('Дивиденды по годам'!J879&lt;&gt;"",'Дивиденды по годам'!K879&lt;&gt;"",'Дивиденды по годам'!M879&lt;&gt;"",'Дивиденды по годам'!M879&lt;&gt;0),('Дивиденды по годам'!J879+'Дивиденды по годам'!K879)/'Дивиденды по годам'!M879,""),"")</f>
        <v/>
      </c>
      <c r="V879" t="str">
        <f>IFERROR(IF(AND('Дивиденды по годам'!J879&lt;&gt;"",'Дивиденды по годам'!K879&lt;&gt;"",'Дивиденды по годам'!M879&lt;&gt;"",'Дивиденды по годам'!I879&lt;&gt;0),('Дивиденды по годам'!J879+'Дивиденды по годам'!K879)/'Дивиденды по годам'!I879,""),"")</f>
        <v/>
      </c>
      <c r="W879" t="str">
        <f>IFERROR('Дивиденды по годам'!I879,"")</f>
        <v/>
      </c>
      <c r="X879" cm="1">
        <f t="array" ref="X879">IFERROR(AVERAGE(_xlfn._xlws.FILTER(P$2:P$1073,($C$2:$C$1073=$C879)*($E$2:$E$1073=$E879)*(ROW(P$2:P$1073)&lt;&gt;ROW(P879))*(P$2:P$1073&lt;&gt;""))),"")</f>
        <v>26.976167524823197</v>
      </c>
      <c r="Y879" cm="1">
        <f t="array" ref="Y879">IFERROR(AVERAGE(_xlfn._xlws.FILTER(Q$2:Q$1073,($C$2:$C$1073=$C879)*($E$2:$E$1073=$E879)*(ROW(Q$2:Q$1073)&lt;&gt;ROW(Q879))*(Q$2:Q$1073&lt;&gt;""))),"")</f>
        <v>0.63141065735920243</v>
      </c>
      <c r="Z879" cm="1">
        <f t="array" ref="Z879">IFERROR(AVERAGE(_xlfn._xlws.FILTER(R$2:R$1073,($C$2:$C$1073=$C879)*($E$2:$E$1073=$E879)*(ROW(R$2:R$1073)&lt;&gt;ROW(R879))*(R$2:R$1073&lt;&gt;""))),"")</f>
        <v>8.5252436531932485E-2</v>
      </c>
      <c r="AA879" t="str" cm="1">
        <f t="array" ref="AA879">IFERROR(AVERAGE(_xlfn._xlws.FILTER(S$2:S$1073,($C$2:$C$1073=$C879)*($E$2:$E$1073=$E879)*(ROW(S$2:S$1073)&lt;&gt;ROW(S879))*(S$2:S$1073&lt;&gt;""))),"")</f>
        <v/>
      </c>
      <c r="AB879" cm="1">
        <f t="array" ref="AB879">IFERROR(AVERAGE(_xlfn._xlws.FILTER(T$2:T$1073,($C$2:$C$1073=$C879)*($E$2:$E$1073=$E879)*(ROW(T$2:T$1073)&lt;&gt;ROW(T879))*(T$2:T$1073&lt;&gt;""))),"")</f>
        <v>6.4593053680603474E-2</v>
      </c>
      <c r="AC879" cm="1">
        <f t="array" ref="AC879">IFERROR(AVERAGE(_xlfn._xlws.FILTER(U$2:U$1073,($C$2:$C$1073=$C879)*($E$2:$E$1073=$E879)*(ROW(U$2:U$1073)&lt;&gt;ROW(U879))*(U$2:U$1073&lt;&gt;""))),"")</f>
        <v>2.1186181543330798</v>
      </c>
      <c r="AD879" cm="1">
        <f t="array" ref="AD879">IFERROR(AVERAGE(_xlfn._xlws.FILTER(V$2:V$1073,($C$2:$C$1073=$C879)*($E$2:$E$1073=$E879)*(ROW(V$2:V$1073)&lt;&gt;ROW(V879))*(V$2:V$1073&lt;&gt;""))),"")</f>
        <v>0.6515550916449</v>
      </c>
      <c r="AE879">
        <f>IF('Дивиденды по годам'!M879&lt;0,1,0)</f>
        <v>0</v>
      </c>
    </row>
    <row r="880" spans="1:31" x14ac:dyDescent="0.2">
      <c r="A880" s="7" t="s">
        <v>2322</v>
      </c>
      <c r="B880" t="str">
        <f t="shared" si="143"/>
        <v>VKCO IV кв. 2011</v>
      </c>
      <c r="C880">
        <v>2011</v>
      </c>
      <c r="D880">
        <f>SUMIFS(Дивиденды!$C:$C,Дивиденды!$A:$A,A880,Дивиденды!$I:$I,C880)</f>
        <v>0</v>
      </c>
      <c r="E880">
        <v>5</v>
      </c>
      <c r="F880">
        <f t="shared" si="144"/>
        <v>0</v>
      </c>
      <c r="G880">
        <f t="shared" si="145"/>
        <v>1.7645454545454546</v>
      </c>
      <c r="H880">
        <f t="shared" si="146"/>
        <v>0</v>
      </c>
      <c r="I880">
        <f t="shared" si="147"/>
        <v>0.18181818181818182</v>
      </c>
      <c r="J880">
        <f t="shared" si="148"/>
        <v>0</v>
      </c>
      <c r="K880">
        <f t="shared" si="153"/>
        <v>0.29508419260826407</v>
      </c>
      <c r="L880">
        <f t="shared" si="149"/>
        <v>0</v>
      </c>
      <c r="M880">
        <f t="shared" si="150"/>
        <v>0.18181818181818182</v>
      </c>
      <c r="N880">
        <f t="shared" si="151"/>
        <v>0</v>
      </c>
      <c r="O880">
        <f t="shared" si="152"/>
        <v>0</v>
      </c>
      <c r="P880" t="str">
        <f>IFERROR(LN('Дивиденды по годам'!I880),"")</f>
        <v/>
      </c>
      <c r="Q880" t="str">
        <f>IFERROR('Дивиденды по годам'!G880/'Дивиденды по годам'!I880, "")</f>
        <v/>
      </c>
      <c r="R880" t="str">
        <f>IFERROR(IF(AND('Дивиденды по годам'!N880&lt;&gt;"",'Дивиденды по годам'!U880&lt;&gt;"",'Дивиденды по годам'!U880&lt;&gt;0),'Дивиденды по годам'!N880/'Дивиденды по годам'!U880-1,""),"")</f>
        <v/>
      </c>
      <c r="S880" t="str">
        <f>IFERROR(IF(AND('Дивиденды по годам'!L880&lt;&gt;"",'Дивиденды по годам'!I880&lt;&gt;"",'Дивиденды по годам'!J880&lt;&gt;"",'Дивиденды по годам'!K880&lt;&gt;"",('Дивиденды по годам'!I880-'Дивиденды по годам'!J880-'Дивиденды по годам'!K880)&lt;&gt;0),'Дивиденды по годам'!L880/('Дивиденды по годам'!I880-'Дивиденды по годам'!J880-'Дивиденды по годам'!K880),""),"")</f>
        <v/>
      </c>
      <c r="T880" t="str">
        <f>IFERROR(IF(AND('Дивиденды по годам'!Q880&lt;&gt;"",'Дивиденды по годам'!I880&lt;&gt;"",'Дивиденды по годам'!V880&lt;&gt;"",('Дивиденды по годам'!I880+'Дивиденды по годам'!V880)&lt;&gt;0),'Дивиденды по годам'!Q880/(('Дивиденды по годам'!I880+'Дивиденды по годам'!V880)/2),""),"")</f>
        <v/>
      </c>
      <c r="U880" t="str">
        <f>IFERROR(IF(AND('Дивиденды по годам'!J880&lt;&gt;"",'Дивиденды по годам'!K880&lt;&gt;"",'Дивиденды по годам'!M880&lt;&gt;"",'Дивиденды по годам'!M880&lt;&gt;0),('Дивиденды по годам'!J880+'Дивиденды по годам'!K880)/'Дивиденды по годам'!M880,""),"")</f>
        <v/>
      </c>
      <c r="V880" t="str">
        <f>IFERROR(IF(AND('Дивиденды по годам'!J880&lt;&gt;"",'Дивиденды по годам'!K880&lt;&gt;"",'Дивиденды по годам'!M880&lt;&gt;"",'Дивиденды по годам'!I880&lt;&gt;0),('Дивиденды по годам'!J880+'Дивиденды по годам'!K880)/'Дивиденды по годам'!I880,""),"")</f>
        <v/>
      </c>
      <c r="W880" t="str">
        <f>IFERROR('Дивиденды по годам'!I880,"")</f>
        <v/>
      </c>
      <c r="X880" cm="1">
        <f t="array" ref="X880">IFERROR(AVERAGE(_xlfn._xlws.FILTER(P$2:P$1073,($C$2:$C$1073=$C880)*($E$2:$E$1073=$E880)*(ROW(P$2:P$1073)&lt;&gt;ROW(P880))*(P$2:P$1073&lt;&gt;""))),"")</f>
        <v>26.959846755112331</v>
      </c>
      <c r="Y880" cm="1">
        <f t="array" ref="Y880">IFERROR(AVERAGE(_xlfn._xlws.FILTER(Q$2:Q$1073,($C$2:$C$1073=$C880)*($E$2:$E$1073=$E880)*(ROW(Q$2:Q$1073)&lt;&gt;ROW(Q880))*(Q$2:Q$1073&lt;&gt;""))),"")</f>
        <v>0.64168629722093962</v>
      </c>
      <c r="Z880" t="str" cm="1">
        <f t="array" ref="Z880">IFERROR(AVERAGE(_xlfn._xlws.FILTER(R$2:R$1073,($C$2:$C$1073=$C880)*($E$2:$E$1073=$E880)*(ROW(R$2:R$1073)&lt;&gt;ROW(R880))*(R$2:R$1073&lt;&gt;""))),"")</f>
        <v/>
      </c>
      <c r="AA880" t="str" cm="1">
        <f t="array" ref="AA880">IFERROR(AVERAGE(_xlfn._xlws.FILTER(S$2:S$1073,($C$2:$C$1073=$C880)*($E$2:$E$1073=$E880)*(ROW(S$2:S$1073)&lt;&gt;ROW(S880))*(S$2:S$1073&lt;&gt;""))),"")</f>
        <v/>
      </c>
      <c r="AB880" t="str" cm="1">
        <f t="array" ref="AB880">IFERROR(AVERAGE(_xlfn._xlws.FILTER(T$2:T$1073,($C$2:$C$1073=$C880)*($E$2:$E$1073=$E880)*(ROW(T$2:T$1073)&lt;&gt;ROW(T880))*(T$2:T$1073&lt;&gt;""))),"")</f>
        <v/>
      </c>
      <c r="AC880" cm="1">
        <f t="array" ref="AC880">IFERROR(AVERAGE(_xlfn._xlws.FILTER(U$2:U$1073,($C$2:$C$1073=$C880)*($E$2:$E$1073=$E880)*(ROW(U$2:U$1073)&lt;&gt;ROW(U880))*(U$2:U$1073&lt;&gt;""))),"")</f>
        <v>0.9076461410986616</v>
      </c>
      <c r="AD880" cm="1">
        <f t="array" ref="AD880">IFERROR(AVERAGE(_xlfn._xlws.FILTER(V$2:V$1073,($C$2:$C$1073=$C880)*($E$2:$E$1073=$E880)*(ROW(V$2:V$1073)&lt;&gt;ROW(V880))*(V$2:V$1073&lt;&gt;""))),"")</f>
        <v>0.47579376570118254</v>
      </c>
      <c r="AE880">
        <f>IF('Дивиденды по годам'!M880&lt;0,1,0)</f>
        <v>0</v>
      </c>
    </row>
    <row r="881" spans="1:31" x14ac:dyDescent="0.2">
      <c r="A881" s="7" t="s">
        <v>2322</v>
      </c>
      <c r="B881" t="str">
        <f t="shared" si="143"/>
        <v>VKCO IV кв. 2010</v>
      </c>
      <c r="C881">
        <v>2010</v>
      </c>
      <c r="D881">
        <f>SUMIFS(Дивиденды!$C:$C,Дивиденды!$A:$A,A881,Дивиденды!$I:$I,C881)</f>
        <v>0</v>
      </c>
      <c r="E881">
        <v>5</v>
      </c>
      <c r="F881">
        <f t="shared" si="144"/>
        <v>0</v>
      </c>
      <c r="G881">
        <f t="shared" si="145"/>
        <v>1.4227272727272726</v>
      </c>
      <c r="H881">
        <f t="shared" si="146"/>
        <v>0</v>
      </c>
      <c r="I881">
        <f t="shared" si="147"/>
        <v>0.18181818181818182</v>
      </c>
      <c r="J881" t="str">
        <f t="shared" si="148"/>
        <v/>
      </c>
      <c r="K881" t="str">
        <f t="shared" si="153"/>
        <v/>
      </c>
      <c r="L881" t="str">
        <f t="shared" si="149"/>
        <v/>
      </c>
      <c r="M881" t="str">
        <f t="shared" si="150"/>
        <v/>
      </c>
      <c r="N881" t="str">
        <f t="shared" si="151"/>
        <v/>
      </c>
      <c r="O881" t="str">
        <f t="shared" si="152"/>
        <v/>
      </c>
      <c r="P881" t="str">
        <f>IFERROR(LN('Дивиденды по годам'!I881),"")</f>
        <v/>
      </c>
      <c r="Q881" t="str">
        <f>IFERROR('Дивиденды по годам'!G881/'Дивиденды по годам'!I881, "")</f>
        <v/>
      </c>
      <c r="R881" t="str">
        <f>IFERROR(IF(AND('Дивиденды по годам'!N881&lt;&gt;"",'Дивиденды по годам'!U881&lt;&gt;"",'Дивиденды по годам'!U881&lt;&gt;0),'Дивиденды по годам'!N881/'Дивиденды по годам'!U881-1,""),"")</f>
        <v/>
      </c>
      <c r="S881" t="str">
        <f>IFERROR(IF(AND('Дивиденды по годам'!L881&lt;&gt;"",'Дивиденды по годам'!I881&lt;&gt;"",'Дивиденды по годам'!J881&lt;&gt;"",'Дивиденды по годам'!K881&lt;&gt;"",('Дивиденды по годам'!I881-'Дивиденды по годам'!J881-'Дивиденды по годам'!K881)&lt;&gt;0),'Дивиденды по годам'!L881/('Дивиденды по годам'!I881-'Дивиденды по годам'!J881-'Дивиденды по годам'!K881),""),"")</f>
        <v/>
      </c>
      <c r="T881" t="str">
        <f>IFERROR(IF(AND('Дивиденды по годам'!Q881&lt;&gt;"",'Дивиденды по годам'!I881&lt;&gt;"",'Дивиденды по годам'!V881&lt;&gt;"",('Дивиденды по годам'!I881+'Дивиденды по годам'!V881)&lt;&gt;0),'Дивиденды по годам'!Q881/(('Дивиденды по годам'!I881+'Дивиденды по годам'!V881)/2),""),"")</f>
        <v/>
      </c>
      <c r="U881" t="str">
        <f>IFERROR(IF(AND('Дивиденды по годам'!J881&lt;&gt;"",'Дивиденды по годам'!K881&lt;&gt;"",'Дивиденды по годам'!M881&lt;&gt;"",'Дивиденды по годам'!M881&lt;&gt;0),('Дивиденды по годам'!J881+'Дивиденды по годам'!K881)/'Дивиденды по годам'!M881,""),"")</f>
        <v/>
      </c>
      <c r="V881" t="str">
        <f>IFERROR(IF(AND('Дивиденды по годам'!J881&lt;&gt;"",'Дивиденды по годам'!K881&lt;&gt;"",'Дивиденды по годам'!M881&lt;&gt;"",'Дивиденды по годам'!I881&lt;&gt;0),('Дивиденды по годам'!J881+'Дивиденды по годам'!K881)/'Дивиденды по годам'!I881,""),"")</f>
        <v/>
      </c>
      <c r="W881" t="str">
        <f>IFERROR('Дивиденды по годам'!I881,"")</f>
        <v/>
      </c>
      <c r="X881" t="str" cm="1">
        <f t="array" ref="X881">IFERROR(AVERAGE(_xlfn._xlws.FILTER(P$2:P$1073,($C$2:$C$1073=$C881)*($E$2:$E$1073=$E881)*(ROW(P$2:P$1073)&lt;&gt;ROW(P881))*(P$2:P$1073&lt;&gt;""))),"")</f>
        <v/>
      </c>
      <c r="Y881" t="str" cm="1">
        <f t="array" ref="Y881">IFERROR(AVERAGE(_xlfn._xlws.FILTER(Q$2:Q$1073,($C$2:$C$1073=$C881)*($E$2:$E$1073=$E881)*(ROW(Q$2:Q$1073)&lt;&gt;ROW(Q881))*(Q$2:Q$1073&lt;&gt;""))),"")</f>
        <v/>
      </c>
      <c r="Z881" t="str" cm="1">
        <f t="array" ref="Z881">IFERROR(AVERAGE(_xlfn._xlws.FILTER(R$2:R$1073,($C$2:$C$1073=$C881)*($E$2:$E$1073=$E881)*(ROW(R$2:R$1073)&lt;&gt;ROW(R881))*(R$2:R$1073&lt;&gt;""))),"")</f>
        <v/>
      </c>
      <c r="AA881" t="str" cm="1">
        <f t="array" ref="AA881">IFERROR(AVERAGE(_xlfn._xlws.FILTER(S$2:S$1073,($C$2:$C$1073=$C881)*($E$2:$E$1073=$E881)*(ROW(S$2:S$1073)&lt;&gt;ROW(S881))*(S$2:S$1073&lt;&gt;""))),"")</f>
        <v/>
      </c>
      <c r="AB881" t="str" cm="1">
        <f t="array" ref="AB881">IFERROR(AVERAGE(_xlfn._xlws.FILTER(T$2:T$1073,($C$2:$C$1073=$C881)*($E$2:$E$1073=$E881)*(ROW(T$2:T$1073)&lt;&gt;ROW(T881))*(T$2:T$1073&lt;&gt;""))),"")</f>
        <v/>
      </c>
      <c r="AC881" t="str" cm="1">
        <f t="array" ref="AC881">IFERROR(AVERAGE(_xlfn._xlws.FILTER(U$2:U$1073,($C$2:$C$1073=$C881)*($E$2:$E$1073=$E881)*(ROW(U$2:U$1073)&lt;&gt;ROW(U881))*(U$2:U$1073&lt;&gt;""))),"")</f>
        <v/>
      </c>
      <c r="AD881" t="str" cm="1">
        <f t="array" ref="AD881">IFERROR(AVERAGE(_xlfn._xlws.FILTER(V$2:V$1073,($C$2:$C$1073=$C881)*($E$2:$E$1073=$E881)*(ROW(V$2:V$1073)&lt;&gt;ROW(V881))*(V$2:V$1073&lt;&gt;""))),"")</f>
        <v/>
      </c>
      <c r="AE881">
        <f>IF('Дивиденды по годам'!M881&lt;0,1,0)</f>
        <v>0</v>
      </c>
    </row>
    <row r="882" spans="1:31" x14ac:dyDescent="0.2">
      <c r="A882" s="7" t="s">
        <v>2287</v>
      </c>
      <c r="B882" t="str">
        <f t="shared" si="143"/>
        <v>YDEX IV кв. 2025</v>
      </c>
      <c r="C882">
        <v>2025</v>
      </c>
      <c r="D882">
        <f>SUMIFS(Дивиденды!$C:$C,Дивиденды!$A:$A,A882,Дивиденды!$I:$I,C882)</f>
        <v>80</v>
      </c>
      <c r="E882">
        <v>5</v>
      </c>
      <c r="F882">
        <f t="shared" si="144"/>
        <v>80</v>
      </c>
      <c r="G882">
        <f t="shared" si="145"/>
        <v>44.223636363636359</v>
      </c>
      <c r="H882">
        <f t="shared" si="146"/>
        <v>1</v>
      </c>
      <c r="I882">
        <f t="shared" si="147"/>
        <v>0.45454545454545453</v>
      </c>
      <c r="J882">
        <f t="shared" si="148"/>
        <v>-0.5</v>
      </c>
      <c r="K882">
        <f t="shared" si="153"/>
        <v>2.229663108871336E-2</v>
      </c>
      <c r="L882">
        <f t="shared" si="149"/>
        <v>0</v>
      </c>
      <c r="M882">
        <f t="shared" si="150"/>
        <v>0.36363636363636365</v>
      </c>
      <c r="N882">
        <f t="shared" si="151"/>
        <v>1</v>
      </c>
      <c r="O882">
        <f t="shared" si="152"/>
        <v>0.45454545454545453</v>
      </c>
      <c r="P882">
        <f>IFERROR(LN('Дивиденды по годам'!I882),"")</f>
        <v>27.944620903884115</v>
      </c>
      <c r="Q882">
        <f>IFERROR('Дивиденды по годам'!G882/'Дивиденды по годам'!I882, "")</f>
        <v>0.24201917356918082</v>
      </c>
      <c r="R882">
        <f>IFERROR(IF(AND('Дивиденды по годам'!N882&lt;&gt;"",'Дивиденды по годам'!U882&lt;&gt;"",'Дивиденды по годам'!U882&lt;&gt;0),'Дивиденды по годам'!N882/'Дивиденды по годам'!U882-1,""),"")</f>
        <v>0.31660027773717303</v>
      </c>
      <c r="S882">
        <f>IFERROR(IF(AND('Дивиденды по годам'!L882&lt;&gt;"",'Дивиденды по годам'!I882&lt;&gt;"",'Дивиденды по годам'!J882&lt;&gt;"",'Дивиденды по годам'!K882&lt;&gt;"",('Дивиденды по годам'!I882-'Дивиденды по годам'!J882-'Дивиденды по годам'!K882)&lt;&gt;0),'Дивиденды по годам'!L882/('Дивиденды по годам'!I882-'Дивиденды по годам'!J882-'Дивиденды по годам'!K882),""),"")</f>
        <v>0.73713612136121365</v>
      </c>
      <c r="T882">
        <f>IFERROR(IF(AND('Дивиденды по годам'!Q882&lt;&gt;"",'Дивиденды по годам'!I882&lt;&gt;"",'Дивиденды по годам'!V882&lt;&gt;"",('Дивиденды по годам'!I882+'Дивиденды по годам'!V882)&lt;&gt;0),'Дивиденды по годам'!Q882/(('Дивиденды по годам'!I882+'Дивиденды по годам'!V882)/2),""),"")</f>
        <v>6.4514010774088679E-2</v>
      </c>
      <c r="U882">
        <f>IFERROR(IF(AND('Дивиденды по годам'!J882&lt;&gt;"",'Дивиденды по годам'!K882&lt;&gt;"",'Дивиденды по годам'!M882&lt;&gt;"",'Дивиденды по годам'!M882&lt;&gt;0),('Дивиденды по годам'!J882+'Дивиденды по годам'!K882)/'Дивиденды по годам'!M882,""),"")</f>
        <v>2.8960127101271014</v>
      </c>
      <c r="V882">
        <f>IFERROR(IF(AND('Дивиденды по годам'!J882&lt;&gt;"",'Дивиденды по годам'!K882&lt;&gt;"",'Дивиденды по годам'!M882&lt;&gt;"",'Дивиденды по годам'!I882&lt;&gt;0),('Дивиденды по годам'!J882+'Дивиденды по годам'!K882)/'Дивиденды по годам'!I882,""),"")</f>
        <v>0.74332732606322105</v>
      </c>
      <c r="W882">
        <f>IFERROR('Дивиденды по годам'!I882,"")</f>
        <v>1368342000000</v>
      </c>
      <c r="X882" cm="1">
        <f t="array" ref="X882">IFERROR(AVERAGE(_xlfn._xlws.FILTER(P$2:P$1073,($C$2:$C$1073=$C882)*($E$2:$E$1073=$E882)*(ROW(P$2:P$1073)&lt;&gt;ROW(P882))*(P$2:P$1073&lt;&gt;""))),"")</f>
        <v>26.284064613507141</v>
      </c>
      <c r="Y882" cm="1">
        <f t="array" ref="Y882">IFERROR(AVERAGE(_xlfn._xlws.FILTER(Q$2:Q$1073,($C$2:$C$1073=$C882)*($E$2:$E$1073=$E882)*(ROW(Q$2:Q$1073)&lt;&gt;ROW(Q882))*(Q$2:Q$1073&lt;&gt;""))),"")</f>
        <v>0.18563926427405905</v>
      </c>
      <c r="Z882" cm="1">
        <f t="array" ref="Z882">IFERROR(AVERAGE(_xlfn._xlws.FILTER(R$2:R$1073,($C$2:$C$1073=$C882)*($E$2:$E$1073=$E882)*(ROW(R$2:R$1073)&lt;&gt;ROW(R882))*(R$2:R$1073&lt;&gt;""))),"")</f>
        <v>9.7491550420705453E-2</v>
      </c>
      <c r="AA882" cm="1">
        <f t="array" ref="AA882">IFERROR(AVERAGE(_xlfn._xlws.FILTER(S$2:S$1073,($C$2:$C$1073=$C882)*($E$2:$E$1073=$E882)*(ROW(S$2:S$1073)&lt;&gt;ROW(S882))*(S$2:S$1073&lt;&gt;""))),"")</f>
        <v>0.68295155826946152</v>
      </c>
      <c r="AB882" cm="1">
        <f t="array" ref="AB882">IFERROR(AVERAGE(_xlfn._xlws.FILTER(T$2:T$1073,($C$2:$C$1073=$C882)*($E$2:$E$1073=$E882)*(ROW(T$2:T$1073)&lt;&gt;ROW(T882))*(T$2:T$1073&lt;&gt;""))),"")</f>
        <v>0.14197492840927073</v>
      </c>
      <c r="AC882" cm="1">
        <f t="array" ref="AC882">IFERROR(AVERAGE(_xlfn._xlws.FILTER(U$2:U$1073,($C$2:$C$1073=$C882)*($E$2:$E$1073=$E882)*(ROW(U$2:U$1073)&lt;&gt;ROW(U882))*(U$2:U$1073&lt;&gt;""))),"")</f>
        <v>16.708212473015102</v>
      </c>
      <c r="AD882" cm="1">
        <f t="array" ref="AD882">IFERROR(AVERAGE(_xlfn._xlws.FILTER(V$2:V$1073,($C$2:$C$1073=$C882)*($E$2:$E$1073=$E882)*(ROW(V$2:V$1073)&lt;&gt;ROW(V882))*(V$2:V$1073&lt;&gt;""))),"")</f>
        <v>0.72812886350373363</v>
      </c>
      <c r="AE882">
        <f>IF('Дивиденды по годам'!M882&lt;0,1,0)</f>
        <v>0</v>
      </c>
    </row>
    <row r="883" spans="1:31" x14ac:dyDescent="0.2">
      <c r="A883" s="7" t="s">
        <v>2287</v>
      </c>
      <c r="B883" t="str">
        <f t="shared" si="143"/>
        <v>YDEX IV кв. 2024</v>
      </c>
      <c r="C883">
        <v>2024</v>
      </c>
      <c r="D883">
        <f>SUMIFS(Дивиденды!$C:$C,Дивиденды!$A:$A,A883,Дивиденды!$I:$I,C883)</f>
        <v>160</v>
      </c>
      <c r="E883">
        <v>5</v>
      </c>
      <c r="F883">
        <f t="shared" si="144"/>
        <v>160</v>
      </c>
      <c r="G883">
        <f t="shared" si="145"/>
        <v>87.6190909090909</v>
      </c>
      <c r="H883">
        <f t="shared" si="146"/>
        <v>1</v>
      </c>
      <c r="I883">
        <f t="shared" si="147"/>
        <v>0.54545454545454541</v>
      </c>
      <c r="J883">
        <f t="shared" si="148"/>
        <v>1</v>
      </c>
      <c r="K883">
        <f t="shared" si="153"/>
        <v>0.13435847293427927</v>
      </c>
      <c r="L883">
        <f t="shared" si="149"/>
        <v>1</v>
      </c>
      <c r="M883">
        <f t="shared" si="150"/>
        <v>0.27272727272727271</v>
      </c>
      <c r="N883">
        <f t="shared" si="151"/>
        <v>0</v>
      </c>
      <c r="O883">
        <f t="shared" si="152"/>
        <v>0.18181818181818182</v>
      </c>
      <c r="P883">
        <f>IFERROR(LN('Дивиденды по годам'!I883),"")</f>
        <v>27.725137856594877</v>
      </c>
      <c r="Q883">
        <f>IFERROR('Дивиденды по годам'!G883/'Дивиденды по годам'!I883, "")</f>
        <v>0.20943798421389875</v>
      </c>
      <c r="R883" t="str">
        <f>IFERROR(IF(AND('Дивиденды по годам'!N883&lt;&gt;"",'Дивиденды по годам'!U883&lt;&gt;"",'Дивиденды по годам'!U883&lt;&gt;0),'Дивиденды по годам'!N883/'Дивиденды по годам'!U883-1,""),"")</f>
        <v/>
      </c>
      <c r="S883">
        <f>IFERROR(IF(AND('Дивиденды по годам'!L883&lt;&gt;"",'Дивиденды по годам'!I883&lt;&gt;"",'Дивиденды по годам'!J883&lt;&gt;"",'Дивиденды по годам'!K883&lt;&gt;"",('Дивиденды по годам'!I883-'Дивиденды по годам'!J883-'Дивиденды по годам'!K883)&lt;&gt;0),'Дивиденды по годам'!L883/('Дивиденды по годам'!I883-'Дивиденды по годам'!J883-'Дивиденды по годам'!K883),""),"")</f>
        <v>0.81572650503579003</v>
      </c>
      <c r="T883" t="str">
        <f>IFERROR(IF(AND('Дивиденды по годам'!Q883&lt;&gt;"",'Дивиденды по годам'!I883&lt;&gt;"",'Дивиденды по годам'!V883&lt;&gt;"",('Дивиденды по годам'!I883+'Дивиденды по годам'!V883)&lt;&gt;0),'Дивиденды по годам'!Q883/(('Дивиденды по годам'!I883+'Дивиденды по годам'!V883)/2),""),"")</f>
        <v/>
      </c>
      <c r="U883">
        <f>IFERROR(IF(AND('Дивиденды по годам'!J883&lt;&gt;"",'Дивиденды по годам'!K883&lt;&gt;"",'Дивиденды по годам'!M883&lt;&gt;"",'Дивиденды по годам'!M883&lt;&gt;0),('Дивиденды по годам'!J883+'Дивиденды по годам'!K883)/'Дивиденды по годам'!M883,""),"")</f>
        <v>2.7396161295043857</v>
      </c>
      <c r="V883">
        <f>IFERROR(IF(AND('Дивиденды по годам'!J883&lt;&gt;"",'Дивиденды по годам'!K883&lt;&gt;"",'Дивиденды по годам'!M883&lt;&gt;"",'Дивиденды по годам'!I883&lt;&gt;0),('Дивиденды по годам'!J883+'Дивиденды по годам'!K883)/'Дивиденды по годам'!I883,""),"")</f>
        <v>0.7325928744102056</v>
      </c>
      <c r="W883">
        <f>IFERROR('Дивиденды по годам'!I883,"")</f>
        <v>1098688000000</v>
      </c>
      <c r="X883" cm="1">
        <f t="array" ref="X883">IFERROR(AVERAGE(_xlfn._xlws.FILTER(P$2:P$1073,($C$2:$C$1073=$C883)*($E$2:$E$1073=$E883)*(ROW(P$2:P$1073)&lt;&gt;ROW(P883))*(P$2:P$1073&lt;&gt;""))),"")</f>
        <v>25.071361575991773</v>
      </c>
      <c r="Y883" cm="1">
        <f t="array" ref="Y883">IFERROR(AVERAGE(_xlfn._xlws.FILTER(Q$2:Q$1073,($C$2:$C$1073=$C883)*($E$2:$E$1073=$E883)*(ROW(Q$2:Q$1073)&lt;&gt;ROW(Q883))*(Q$2:Q$1073&lt;&gt;""))),"")</f>
        <v>0.12641586557584131</v>
      </c>
      <c r="Z883" cm="1">
        <f t="array" ref="Z883">IFERROR(AVERAGE(_xlfn._xlws.FILTER(R$2:R$1073,($C$2:$C$1073=$C883)*($E$2:$E$1073=$E883)*(ROW(R$2:R$1073)&lt;&gt;ROW(R883))*(R$2:R$1073&lt;&gt;""))),"")</f>
        <v>0.2642177028396257</v>
      </c>
      <c r="AA883" cm="1">
        <f t="array" ref="AA883">IFERROR(AVERAGE(_xlfn._xlws.FILTER(S$2:S$1073,($C$2:$C$1073=$C883)*($E$2:$E$1073=$E883)*(ROW(S$2:S$1073)&lt;&gt;ROW(S883))*(S$2:S$1073&lt;&gt;""))),"")</f>
        <v>-0.32127321287792737</v>
      </c>
      <c r="AB883" cm="1">
        <f t="array" ref="AB883">IFERROR(AVERAGE(_xlfn._xlws.FILTER(T$2:T$1073,($C$2:$C$1073=$C883)*($E$2:$E$1073=$E883)*(ROW(T$2:T$1073)&lt;&gt;ROW(T883))*(T$2:T$1073&lt;&gt;""))),"")</f>
        <v>0.19874619053523157</v>
      </c>
      <c r="AC883" cm="1">
        <f t="array" ref="AC883">IFERROR(AVERAGE(_xlfn._xlws.FILTER(U$2:U$1073,($C$2:$C$1073=$C883)*($E$2:$E$1073=$E883)*(ROW(U$2:U$1073)&lt;&gt;ROW(U883))*(U$2:U$1073&lt;&gt;""))),"")</f>
        <v>-12.584240606492276</v>
      </c>
      <c r="AD883" cm="1">
        <f t="array" ref="AD883">IFERROR(AVERAGE(_xlfn._xlws.FILTER(V$2:V$1073,($C$2:$C$1073=$C883)*($E$2:$E$1073=$E883)*(ROW(V$2:V$1073)&lt;&gt;ROW(V883))*(V$2:V$1073&lt;&gt;""))),"")</f>
        <v>0.68937741253897944</v>
      </c>
      <c r="AE883">
        <f>IF('Дивиденды по годам'!M883&lt;0,1,0)</f>
        <v>0</v>
      </c>
    </row>
    <row r="884" spans="1:31" x14ac:dyDescent="0.2">
      <c r="A884" s="7" t="s">
        <v>2287</v>
      </c>
      <c r="B884" t="str">
        <f t="shared" si="143"/>
        <v>YDEX IV кв. 2023</v>
      </c>
      <c r="C884">
        <v>2023</v>
      </c>
      <c r="D884">
        <f>SUMIFS(Дивиденды!$C:$C,Дивиденды!$A:$A,A884,Дивиденды!$I:$I,C884)</f>
        <v>0</v>
      </c>
      <c r="E884">
        <v>5</v>
      </c>
      <c r="F884">
        <f t="shared" si="144"/>
        <v>0</v>
      </c>
      <c r="G884">
        <f t="shared" si="145"/>
        <v>17.214545454545455</v>
      </c>
      <c r="H884">
        <f t="shared" si="146"/>
        <v>0</v>
      </c>
      <c r="I884">
        <f t="shared" si="147"/>
        <v>0.27272727272727271</v>
      </c>
      <c r="J884">
        <f t="shared" si="148"/>
        <v>0</v>
      </c>
      <c r="K884">
        <f t="shared" si="153"/>
        <v>0.2713254911425303</v>
      </c>
      <c r="L884">
        <f t="shared" si="149"/>
        <v>0</v>
      </c>
      <c r="M884">
        <f t="shared" si="150"/>
        <v>0.27272727272727271</v>
      </c>
      <c r="N884">
        <f t="shared" si="151"/>
        <v>0</v>
      </c>
      <c r="O884">
        <f t="shared" si="152"/>
        <v>0</v>
      </c>
      <c r="P884" t="str">
        <f>IFERROR(LN('Дивиденды по годам'!I884),"")</f>
        <v/>
      </c>
      <c r="Q884" t="str">
        <f>IFERROR('Дивиденды по годам'!G884/'Дивиденды по годам'!I884, "")</f>
        <v/>
      </c>
      <c r="R884" t="str">
        <f>IFERROR(IF(AND('Дивиденды по годам'!N884&lt;&gt;"",'Дивиденды по годам'!U884&lt;&gt;"",'Дивиденды по годам'!U884&lt;&gt;0),'Дивиденды по годам'!N884/'Дивиденды по годам'!U884-1,""),"")</f>
        <v/>
      </c>
      <c r="S884" t="str">
        <f>IFERROR(IF(AND('Дивиденды по годам'!L884&lt;&gt;"",'Дивиденды по годам'!I884&lt;&gt;"",'Дивиденды по годам'!J884&lt;&gt;"",'Дивиденды по годам'!K884&lt;&gt;"",('Дивиденды по годам'!I884-'Дивиденды по годам'!J884-'Дивиденды по годам'!K884)&lt;&gt;0),'Дивиденды по годам'!L884/('Дивиденды по годам'!I884-'Дивиденды по годам'!J884-'Дивиденды по годам'!K884),""),"")</f>
        <v/>
      </c>
      <c r="T884" t="str">
        <f>IFERROR(IF(AND('Дивиденды по годам'!Q884&lt;&gt;"",'Дивиденды по годам'!I884&lt;&gt;"",'Дивиденды по годам'!V884&lt;&gt;"",('Дивиденды по годам'!I884+'Дивиденды по годам'!V884)&lt;&gt;0),'Дивиденды по годам'!Q884/(('Дивиденды по годам'!I884+'Дивиденды по годам'!V884)/2),""),"")</f>
        <v/>
      </c>
      <c r="U884" t="str">
        <f>IFERROR(IF(AND('Дивиденды по годам'!J884&lt;&gt;"",'Дивиденды по годам'!K884&lt;&gt;"",'Дивиденды по годам'!M884&lt;&gt;"",'Дивиденды по годам'!M884&lt;&gt;0),('Дивиденды по годам'!J884+'Дивиденды по годам'!K884)/'Дивиденды по годам'!M884,""),"")</f>
        <v/>
      </c>
      <c r="V884" t="str">
        <f>IFERROR(IF(AND('Дивиденды по годам'!J884&lt;&gt;"",'Дивиденды по годам'!K884&lt;&gt;"",'Дивиденды по годам'!M884&lt;&gt;"",'Дивиденды по годам'!I884&lt;&gt;0),('Дивиденды по годам'!J884+'Дивиденды по годам'!K884)/'Дивиденды по годам'!I884,""),"")</f>
        <v/>
      </c>
      <c r="W884" t="str">
        <f>IFERROR('Дивиденды по годам'!I884,"")</f>
        <v/>
      </c>
      <c r="X884" cm="1">
        <f t="array" ref="X884">IFERROR(AVERAGE(_xlfn._xlws.FILTER(P$2:P$1073,($C$2:$C$1073=$C884)*($E$2:$E$1073=$E884)*(ROW(P$2:P$1073)&lt;&gt;ROW(P884))*(P$2:P$1073&lt;&gt;""))),"")</f>
        <v>24.900931538156115</v>
      </c>
      <c r="Y884" cm="1">
        <f t="array" ref="Y884">IFERROR(AVERAGE(_xlfn._xlws.FILTER(Q$2:Q$1073,($C$2:$C$1073=$C884)*($E$2:$E$1073=$E884)*(ROW(Q$2:Q$1073)&lt;&gt;ROW(Q884))*(Q$2:Q$1073&lt;&gt;""))),"")</f>
        <v>0.11688684958606771</v>
      </c>
      <c r="Z884" cm="1">
        <f t="array" ref="Z884">IFERROR(AVERAGE(_xlfn._xlws.FILTER(R$2:R$1073,($C$2:$C$1073=$C884)*($E$2:$E$1073=$E884)*(ROW(R$2:R$1073)&lt;&gt;ROW(R884))*(R$2:R$1073&lt;&gt;""))),"")</f>
        <v>0.43171849086064124</v>
      </c>
      <c r="AA884" cm="1">
        <f t="array" ref="AA884">IFERROR(AVERAGE(_xlfn._xlws.FILTER(S$2:S$1073,($C$2:$C$1073=$C884)*($E$2:$E$1073=$E884)*(ROW(S$2:S$1073)&lt;&gt;ROW(S884))*(S$2:S$1073&lt;&gt;""))),"")</f>
        <v>0.7038137743387477</v>
      </c>
      <c r="AB884" cm="1">
        <f t="array" ref="AB884">IFERROR(AVERAGE(_xlfn._xlws.FILTER(T$2:T$1073,($C$2:$C$1073=$C884)*($E$2:$E$1073=$E884)*(ROW(T$2:T$1073)&lt;&gt;ROW(T884))*(T$2:T$1073&lt;&gt;""))),"")</f>
        <v>0.16503536613583741</v>
      </c>
      <c r="AC884" cm="1">
        <f t="array" ref="AC884">IFERROR(AVERAGE(_xlfn._xlws.FILTER(U$2:U$1073,($C$2:$C$1073=$C884)*($E$2:$E$1073=$E884)*(ROW(U$2:U$1073)&lt;&gt;ROW(U884))*(U$2:U$1073&lt;&gt;""))),"")</f>
        <v>85.333976073258114</v>
      </c>
      <c r="AD884" cm="1">
        <f t="array" ref="AD884">IFERROR(AVERAGE(_xlfn._xlws.FILTER(V$2:V$1073,($C$2:$C$1073=$C884)*($E$2:$E$1073=$E884)*(ROW(V$2:V$1073)&lt;&gt;ROW(V884))*(V$2:V$1073&lt;&gt;""))),"")</f>
        <v>0.63339603226362784</v>
      </c>
      <c r="AE884">
        <f>IF('Дивиденды по годам'!M884&lt;0,1,0)</f>
        <v>0</v>
      </c>
    </row>
    <row r="885" spans="1:31" x14ac:dyDescent="0.2">
      <c r="A885" s="7" t="s">
        <v>2287</v>
      </c>
      <c r="B885" t="str">
        <f t="shared" si="143"/>
        <v>YDEX IV кв. 2022</v>
      </c>
      <c r="C885">
        <v>2022</v>
      </c>
      <c r="D885">
        <f>SUMIFS(Дивиденды!$C:$C,Дивиденды!$A:$A,A885,Дивиденды!$I:$I,C885)</f>
        <v>0</v>
      </c>
      <c r="E885">
        <v>5</v>
      </c>
      <c r="F885">
        <f t="shared" si="144"/>
        <v>0</v>
      </c>
      <c r="G885">
        <f t="shared" si="145"/>
        <v>7.1127272727272723</v>
      </c>
      <c r="H885">
        <f t="shared" si="146"/>
        <v>0</v>
      </c>
      <c r="I885">
        <f t="shared" si="147"/>
        <v>0.27272727272727271</v>
      </c>
      <c r="J885">
        <f t="shared" si="148"/>
        <v>0</v>
      </c>
      <c r="K885">
        <f t="shared" si="153"/>
        <v>8.7952066899435327E-2</v>
      </c>
      <c r="L885">
        <f t="shared" si="149"/>
        <v>0</v>
      </c>
      <c r="M885">
        <f t="shared" si="150"/>
        <v>0.18181818181818182</v>
      </c>
      <c r="N885">
        <f t="shared" si="151"/>
        <v>0</v>
      </c>
      <c r="O885">
        <f t="shared" si="152"/>
        <v>9.0909090909090912E-2</v>
      </c>
      <c r="P885" t="str">
        <f>IFERROR(LN('Дивиденды по годам'!I885),"")</f>
        <v/>
      </c>
      <c r="Q885" t="str">
        <f>IFERROR('Дивиденды по годам'!G885/'Дивиденды по годам'!I885, "")</f>
        <v/>
      </c>
      <c r="R885" t="str">
        <f>IFERROR(IF(AND('Дивиденды по годам'!N885&lt;&gt;"",'Дивиденды по годам'!U885&lt;&gt;"",'Дивиденды по годам'!U885&lt;&gt;0),'Дивиденды по годам'!N885/'Дивиденды по годам'!U885-1,""),"")</f>
        <v/>
      </c>
      <c r="S885" t="str">
        <f>IFERROR(IF(AND('Дивиденды по годам'!L885&lt;&gt;"",'Дивиденды по годам'!I885&lt;&gt;"",'Дивиденды по годам'!J885&lt;&gt;"",'Дивиденды по годам'!K885&lt;&gt;"",('Дивиденды по годам'!I885-'Дивиденды по годам'!J885-'Дивиденды по годам'!K885)&lt;&gt;0),'Дивиденды по годам'!L885/('Дивиденды по годам'!I885-'Дивиденды по годам'!J885-'Дивиденды по годам'!K885),""),"")</f>
        <v/>
      </c>
      <c r="T885" t="str">
        <f>IFERROR(IF(AND('Дивиденды по годам'!Q885&lt;&gt;"",'Дивиденды по годам'!I885&lt;&gt;"",'Дивиденды по годам'!V885&lt;&gt;"",('Дивиденды по годам'!I885+'Дивиденды по годам'!V885)&lt;&gt;0),'Дивиденды по годам'!Q885/(('Дивиденды по годам'!I885+'Дивиденды по годам'!V885)/2),""),"")</f>
        <v/>
      </c>
      <c r="U885" t="str">
        <f>IFERROR(IF(AND('Дивиденды по годам'!J885&lt;&gt;"",'Дивиденды по годам'!K885&lt;&gt;"",'Дивиденды по годам'!M885&lt;&gt;"",'Дивиденды по годам'!M885&lt;&gt;0),('Дивиденды по годам'!J885+'Дивиденды по годам'!K885)/'Дивиденды по годам'!M885,""),"")</f>
        <v/>
      </c>
      <c r="V885" t="str">
        <f>IFERROR(IF(AND('Дивиденды по годам'!J885&lt;&gt;"",'Дивиденды по годам'!K885&lt;&gt;"",'Дивиденды по годам'!M885&lt;&gt;"",'Дивиденды по годам'!I885&lt;&gt;0),('Дивиденды по годам'!J885+'Дивиденды по годам'!K885)/'Дивиденды по годам'!I885,""),"")</f>
        <v/>
      </c>
      <c r="W885" t="str">
        <f>IFERROR('Дивиденды по годам'!I885,"")</f>
        <v/>
      </c>
      <c r="X885" cm="1">
        <f t="array" ref="X885">IFERROR(AVERAGE(_xlfn._xlws.FILTER(P$2:P$1073,($C$2:$C$1073=$C885)*($E$2:$E$1073=$E885)*(ROW(P$2:P$1073)&lt;&gt;ROW(P885))*(P$2:P$1073&lt;&gt;""))),"")</f>
        <v>24.993376890782685</v>
      </c>
      <c r="Y885" cm="1">
        <f t="array" ref="Y885">IFERROR(AVERAGE(_xlfn._xlws.FILTER(Q$2:Q$1073,($C$2:$C$1073=$C885)*($E$2:$E$1073=$E885)*(ROW(Q$2:Q$1073)&lt;&gt;ROW(Q885))*(Q$2:Q$1073&lt;&gt;""))),"")</f>
        <v>0.10312885530309761</v>
      </c>
      <c r="Z885" cm="1">
        <f t="array" ref="Z885">IFERROR(AVERAGE(_xlfn._xlws.FILTER(R$2:R$1073,($C$2:$C$1073=$C885)*($E$2:$E$1073=$E885)*(ROW(R$2:R$1073)&lt;&gt;ROW(R885))*(R$2:R$1073&lt;&gt;""))),"")</f>
        <v>0.57613604172059418</v>
      </c>
      <c r="AA885" cm="1">
        <f t="array" ref="AA885">IFERROR(AVERAGE(_xlfn._xlws.FILTER(S$2:S$1073,($C$2:$C$1073=$C885)*($E$2:$E$1073=$E885)*(ROW(S$2:S$1073)&lt;&gt;ROW(S885))*(S$2:S$1073&lt;&gt;""))),"")</f>
        <v>0.79975694618495274</v>
      </c>
      <c r="AB885" cm="1">
        <f t="array" ref="AB885">IFERROR(AVERAGE(_xlfn._xlws.FILTER(T$2:T$1073,($C$2:$C$1073=$C885)*($E$2:$E$1073=$E885)*(ROW(T$2:T$1073)&lt;&gt;ROW(T885))*(T$2:T$1073&lt;&gt;""))),"")</f>
        <v>0.34864704859118889</v>
      </c>
      <c r="AC885" cm="1">
        <f t="array" ref="AC885">IFERROR(AVERAGE(_xlfn._xlws.FILTER(U$2:U$1073,($C$2:$C$1073=$C885)*($E$2:$E$1073=$E885)*(ROW(U$2:U$1073)&lt;&gt;ROW(U885))*(U$2:U$1073&lt;&gt;""))),"")</f>
        <v>-58.279622636108527</v>
      </c>
      <c r="AD885" cm="1">
        <f t="array" ref="AD885">IFERROR(AVERAGE(_xlfn._xlws.FILTER(V$2:V$1073,($C$2:$C$1073=$C885)*($E$2:$E$1073=$E885)*(ROW(V$2:V$1073)&lt;&gt;ROW(V885))*(V$2:V$1073&lt;&gt;""))),"")</f>
        <v>0.72118797865619422</v>
      </c>
      <c r="AE885">
        <f>IF('Дивиденды по годам'!M885&lt;0,1,0)</f>
        <v>0</v>
      </c>
    </row>
    <row r="886" spans="1:31" x14ac:dyDescent="0.2">
      <c r="A886" s="7" t="s">
        <v>2287</v>
      </c>
      <c r="B886" t="str">
        <f t="shared" si="143"/>
        <v>YDEX IV кв. 2021</v>
      </c>
      <c r="C886">
        <v>2021</v>
      </c>
      <c r="D886">
        <f>SUMIFS(Дивиденды!$C:$C,Дивиденды!$A:$A,A886,Дивиденды!$I:$I,C886)</f>
        <v>0</v>
      </c>
      <c r="E886">
        <v>5</v>
      </c>
      <c r="F886">
        <f t="shared" si="144"/>
        <v>0</v>
      </c>
      <c r="G886">
        <f t="shared" si="145"/>
        <v>4.450909090909092</v>
      </c>
      <c r="H886">
        <f t="shared" si="146"/>
        <v>0</v>
      </c>
      <c r="I886">
        <f t="shared" si="147"/>
        <v>0.18181818181818182</v>
      </c>
      <c r="J886">
        <f t="shared" si="148"/>
        <v>0</v>
      </c>
      <c r="K886">
        <f t="shared" si="153"/>
        <v>1.4983788220808552E-2</v>
      </c>
      <c r="L886">
        <f t="shared" si="149"/>
        <v>0</v>
      </c>
      <c r="M886">
        <f t="shared" si="150"/>
        <v>9.0909090909090912E-2</v>
      </c>
      <c r="N886">
        <f t="shared" si="151"/>
        <v>0</v>
      </c>
      <c r="O886">
        <f t="shared" si="152"/>
        <v>9.0909090909090912E-2</v>
      </c>
      <c r="P886" t="str">
        <f>IFERROR(LN('Дивиденды по годам'!I886),"")</f>
        <v/>
      </c>
      <c r="Q886" t="str">
        <f>IFERROR('Дивиденды по годам'!G886/'Дивиденды по годам'!I886, "")</f>
        <v/>
      </c>
      <c r="R886" t="str">
        <f>IFERROR(IF(AND('Дивиденды по годам'!N886&lt;&gt;"",'Дивиденды по годам'!U886&lt;&gt;"",'Дивиденды по годам'!U886&lt;&gt;0),'Дивиденды по годам'!N886/'Дивиденды по годам'!U886-1,""),"")</f>
        <v/>
      </c>
      <c r="S886" t="str">
        <f>IFERROR(IF(AND('Дивиденды по годам'!L886&lt;&gt;"",'Дивиденды по годам'!I886&lt;&gt;"",'Дивиденды по годам'!J886&lt;&gt;"",'Дивиденды по годам'!K886&lt;&gt;"",('Дивиденды по годам'!I886-'Дивиденды по годам'!J886-'Дивиденды по годам'!K886)&lt;&gt;0),'Дивиденды по годам'!L886/('Дивиденды по годам'!I886-'Дивиденды по годам'!J886-'Дивиденды по годам'!K886),""),"")</f>
        <v/>
      </c>
      <c r="T886" t="str">
        <f>IFERROR(IF(AND('Дивиденды по годам'!Q886&lt;&gt;"",'Дивиденды по годам'!I886&lt;&gt;"",'Дивиденды по годам'!V886&lt;&gt;"",('Дивиденды по годам'!I886+'Дивиденды по годам'!V886)&lt;&gt;0),'Дивиденды по годам'!Q886/(('Дивиденды по годам'!I886+'Дивиденды по годам'!V886)/2),""),"")</f>
        <v/>
      </c>
      <c r="U886" t="str">
        <f>IFERROR(IF(AND('Дивиденды по годам'!J886&lt;&gt;"",'Дивиденды по годам'!K886&lt;&gt;"",'Дивиденды по годам'!M886&lt;&gt;"",'Дивиденды по годам'!M886&lt;&gt;0),('Дивиденды по годам'!J886+'Дивиденды по годам'!K886)/'Дивиденды по годам'!M886,""),"")</f>
        <v/>
      </c>
      <c r="V886" t="str">
        <f>IFERROR(IF(AND('Дивиденды по годам'!J886&lt;&gt;"",'Дивиденды по годам'!K886&lt;&gt;"",'Дивиденды по годам'!M886&lt;&gt;"",'Дивиденды по годам'!I886&lt;&gt;0),('Дивиденды по годам'!J886+'Дивиденды по годам'!K886)/'Дивиденды по годам'!I886,""),"")</f>
        <v/>
      </c>
      <c r="W886" t="str">
        <f>IFERROR('Дивиденды по годам'!I886,"")</f>
        <v/>
      </c>
      <c r="X886" cm="1">
        <f t="array" ref="X886">IFERROR(AVERAGE(_xlfn._xlws.FILTER(P$2:P$1073,($C$2:$C$1073=$C886)*($E$2:$E$1073=$E886)*(ROW(P$2:P$1073)&lt;&gt;ROW(P886))*(P$2:P$1073&lt;&gt;""))),"")</f>
        <v>24.814330558799487</v>
      </c>
      <c r="Y886" cm="1">
        <f t="array" ref="Y886">IFERROR(AVERAGE(_xlfn._xlws.FILTER(Q$2:Q$1073,($C$2:$C$1073=$C886)*($E$2:$E$1073=$E886)*(ROW(Q$2:Q$1073)&lt;&gt;ROW(Q886))*(Q$2:Q$1073&lt;&gt;""))),"")</f>
        <v>0.19534356994799099</v>
      </c>
      <c r="Z886" cm="1">
        <f t="array" ref="Z886">IFERROR(AVERAGE(_xlfn._xlws.FILTER(R$2:R$1073,($C$2:$C$1073=$C886)*($E$2:$E$1073=$E886)*(ROW(R$2:R$1073)&lt;&gt;ROW(R886))*(R$2:R$1073&lt;&gt;""))),"")</f>
        <v>9.4863731161179049E-2</v>
      </c>
      <c r="AA886" cm="1">
        <f t="array" ref="AA886">IFERROR(AVERAGE(_xlfn._xlws.FILTER(S$2:S$1073,($C$2:$C$1073=$C886)*($E$2:$E$1073=$E886)*(ROW(S$2:S$1073)&lt;&gt;ROW(S886))*(S$2:S$1073&lt;&gt;""))),"")</f>
        <v>1.8501010961498143</v>
      </c>
      <c r="AB886" cm="1">
        <f t="array" ref="AB886">IFERROR(AVERAGE(_xlfn._xlws.FILTER(T$2:T$1073,($C$2:$C$1073=$C886)*($E$2:$E$1073=$E886)*(ROW(T$2:T$1073)&lt;&gt;ROW(T886))*(T$2:T$1073&lt;&gt;""))),"")</f>
        <v>9.1596142313276091E-2</v>
      </c>
      <c r="AC886" cm="1">
        <f t="array" ref="AC886">IFERROR(AVERAGE(_xlfn._xlws.FILTER(U$2:U$1073,($C$2:$C$1073=$C886)*($E$2:$E$1073=$E886)*(ROW(U$2:U$1073)&lt;&gt;ROW(U886))*(U$2:U$1073&lt;&gt;""))),"")</f>
        <v>21.700846854369502</v>
      </c>
      <c r="AD886" cm="1">
        <f t="array" ref="AD886">IFERROR(AVERAGE(_xlfn._xlws.FILTER(V$2:V$1073,($C$2:$C$1073=$C886)*($E$2:$E$1073=$E886)*(ROW(V$2:V$1073)&lt;&gt;ROW(V886))*(V$2:V$1073&lt;&gt;""))),"")</f>
        <v>0.85910201160215871</v>
      </c>
      <c r="AE886">
        <f>IF('Дивиденды по годам'!M886&lt;0,1,0)</f>
        <v>0</v>
      </c>
    </row>
    <row r="887" spans="1:31" x14ac:dyDescent="0.2">
      <c r="A887" s="7" t="s">
        <v>2287</v>
      </c>
      <c r="B887" t="str">
        <f t="shared" si="143"/>
        <v>YDEX IV кв. 2020</v>
      </c>
      <c r="C887">
        <v>2020</v>
      </c>
      <c r="D887">
        <f>SUMIFS(Дивиденды!$C:$C,Дивиденды!$A:$A,A887,Дивиденды!$I:$I,C887)</f>
        <v>0</v>
      </c>
      <c r="E887">
        <v>5</v>
      </c>
      <c r="F887">
        <f t="shared" si="144"/>
        <v>0</v>
      </c>
      <c r="G887">
        <f t="shared" si="145"/>
        <v>3.6763636363636363</v>
      </c>
      <c r="H887">
        <f t="shared" si="146"/>
        <v>0</v>
      </c>
      <c r="I887">
        <f t="shared" si="147"/>
        <v>0.18181818181818182</v>
      </c>
      <c r="J887">
        <f t="shared" si="148"/>
        <v>0</v>
      </c>
      <c r="K887">
        <f t="shared" si="153"/>
        <v>-1.5101604278074872E-2</v>
      </c>
      <c r="L887">
        <f t="shared" si="149"/>
        <v>0</v>
      </c>
      <c r="M887">
        <f t="shared" si="150"/>
        <v>0</v>
      </c>
      <c r="N887">
        <f t="shared" si="151"/>
        <v>0</v>
      </c>
      <c r="O887">
        <f t="shared" si="152"/>
        <v>9.0909090909090912E-2</v>
      </c>
      <c r="P887" t="str">
        <f>IFERROR(LN('Дивиденды по годам'!I887),"")</f>
        <v/>
      </c>
      <c r="Q887" t="str">
        <f>IFERROR('Дивиденды по годам'!G887/'Дивиденды по годам'!I887, "")</f>
        <v/>
      </c>
      <c r="R887" t="str">
        <f>IFERROR(IF(AND('Дивиденды по годам'!N887&lt;&gt;"",'Дивиденды по годам'!U887&lt;&gt;"",'Дивиденды по годам'!U887&lt;&gt;0),'Дивиденды по годам'!N887/'Дивиденды по годам'!U887-1,""),"")</f>
        <v/>
      </c>
      <c r="S887" t="str">
        <f>IFERROR(IF(AND('Дивиденды по годам'!L887&lt;&gt;"",'Дивиденды по годам'!I887&lt;&gt;"",'Дивиденды по годам'!J887&lt;&gt;"",'Дивиденды по годам'!K887&lt;&gt;"",('Дивиденды по годам'!I887-'Дивиденды по годам'!J887-'Дивиденды по годам'!K887)&lt;&gt;0),'Дивиденды по годам'!L887/('Дивиденды по годам'!I887-'Дивиденды по годам'!J887-'Дивиденды по годам'!K887),""),"")</f>
        <v/>
      </c>
      <c r="T887" t="str">
        <f>IFERROR(IF(AND('Дивиденды по годам'!Q887&lt;&gt;"",'Дивиденды по годам'!I887&lt;&gt;"",'Дивиденды по годам'!V887&lt;&gt;"",('Дивиденды по годам'!I887+'Дивиденды по годам'!V887)&lt;&gt;0),'Дивиденды по годам'!Q887/(('Дивиденды по годам'!I887+'Дивиденды по годам'!V887)/2),""),"")</f>
        <v/>
      </c>
      <c r="U887" t="str">
        <f>IFERROR(IF(AND('Дивиденды по годам'!J887&lt;&gt;"",'Дивиденды по годам'!K887&lt;&gt;"",'Дивиденды по годам'!M887&lt;&gt;"",'Дивиденды по годам'!M887&lt;&gt;0),('Дивиденды по годам'!J887+'Дивиденды по годам'!K887)/'Дивиденды по годам'!M887,""),"")</f>
        <v/>
      </c>
      <c r="V887" t="str">
        <f>IFERROR(IF(AND('Дивиденды по годам'!J887&lt;&gt;"",'Дивиденды по годам'!K887&lt;&gt;"",'Дивиденды по годам'!M887&lt;&gt;"",'Дивиденды по годам'!I887&lt;&gt;0),('Дивиденды по годам'!J887+'Дивиденды по годам'!K887)/'Дивиденды по годам'!I887,""),"")</f>
        <v/>
      </c>
      <c r="W887" t="str">
        <f>IFERROR('Дивиденды по годам'!I887,"")</f>
        <v/>
      </c>
      <c r="X887" cm="1">
        <f t="array" ref="X887">IFERROR(AVERAGE(_xlfn._xlws.FILTER(P$2:P$1073,($C$2:$C$1073=$C887)*($E$2:$E$1073=$E887)*(ROW(P$2:P$1073)&lt;&gt;ROW(P887))*(P$2:P$1073&lt;&gt;""))),"")</f>
        <v>25.49408392578281</v>
      </c>
      <c r="Y887" cm="1">
        <f t="array" ref="Y887">IFERROR(AVERAGE(_xlfn._xlws.FILTER(Q$2:Q$1073,($C$2:$C$1073=$C887)*($E$2:$E$1073=$E887)*(ROW(Q$2:Q$1073)&lt;&gt;ROW(Q887))*(Q$2:Q$1073&lt;&gt;""))),"")</f>
        <v>0.23831030393306155</v>
      </c>
      <c r="Z887" cm="1">
        <f t="array" ref="Z887">IFERROR(AVERAGE(_xlfn._xlws.FILTER(R$2:R$1073,($C$2:$C$1073=$C887)*($E$2:$E$1073=$E887)*(ROW(R$2:R$1073)&lt;&gt;ROW(R887))*(R$2:R$1073&lt;&gt;""))),"")</f>
        <v>0.42097945466997094</v>
      </c>
      <c r="AA887" cm="1">
        <f t="array" ref="AA887">IFERROR(AVERAGE(_xlfn._xlws.FILTER(S$2:S$1073,($C$2:$C$1073=$C887)*($E$2:$E$1073=$E887)*(ROW(S$2:S$1073)&lt;&gt;ROW(S887))*(S$2:S$1073&lt;&gt;""))),"")</f>
        <v>1.383012856761217</v>
      </c>
      <c r="AB887" cm="1">
        <f t="array" ref="AB887">IFERROR(AVERAGE(_xlfn._xlws.FILTER(T$2:T$1073,($C$2:$C$1073=$C887)*($E$2:$E$1073=$E887)*(ROW(T$2:T$1073)&lt;&gt;ROW(T887))*(T$2:T$1073&lt;&gt;""))),"")</f>
        <v>0.12042080749921591</v>
      </c>
      <c r="AC887" cm="1">
        <f t="array" ref="AC887">IFERROR(AVERAGE(_xlfn._xlws.FILTER(U$2:U$1073,($C$2:$C$1073=$C887)*($E$2:$E$1073=$E887)*(ROW(U$2:U$1073)&lt;&gt;ROW(U887))*(U$2:U$1073&lt;&gt;""))),"")</f>
        <v>9.6677963358881698</v>
      </c>
      <c r="AD887" cm="1">
        <f t="array" ref="AD887">IFERROR(AVERAGE(_xlfn._xlws.FILTER(V$2:V$1073,($C$2:$C$1073=$C887)*($E$2:$E$1073=$E887)*(ROW(V$2:V$1073)&lt;&gt;ROW(V887))*(V$2:V$1073&lt;&gt;""))),"")</f>
        <v>0.80624783688388657</v>
      </c>
      <c r="AE887">
        <f>IF('Дивиденды по годам'!M887&lt;0,1,0)</f>
        <v>0</v>
      </c>
    </row>
    <row r="888" spans="1:31" x14ac:dyDescent="0.2">
      <c r="A888" s="7" t="s">
        <v>2287</v>
      </c>
      <c r="B888" t="str">
        <f t="shared" si="143"/>
        <v>YDEX IV кв. 2019</v>
      </c>
      <c r="C888">
        <v>2019</v>
      </c>
      <c r="D888">
        <f>SUMIFS(Дивиденды!$C:$C,Дивиденды!$A:$A,A888,Дивиденды!$I:$I,C888)</f>
        <v>0</v>
      </c>
      <c r="E888">
        <v>5</v>
      </c>
      <c r="F888">
        <f t="shared" si="144"/>
        <v>0</v>
      </c>
      <c r="G888">
        <f t="shared" si="145"/>
        <v>4.3181818181818183</v>
      </c>
      <c r="H888">
        <f t="shared" si="146"/>
        <v>0</v>
      </c>
      <c r="I888">
        <f t="shared" si="147"/>
        <v>0.18181818181818182</v>
      </c>
      <c r="J888">
        <f t="shared" si="148"/>
        <v>0</v>
      </c>
      <c r="K888">
        <f t="shared" si="153"/>
        <v>8.0199694017231649E-2</v>
      </c>
      <c r="L888">
        <f t="shared" si="149"/>
        <v>0</v>
      </c>
      <c r="M888">
        <f t="shared" si="150"/>
        <v>9.0909090909090912E-2</v>
      </c>
      <c r="N888">
        <f t="shared" si="151"/>
        <v>0</v>
      </c>
      <c r="O888">
        <f t="shared" si="152"/>
        <v>0</v>
      </c>
      <c r="P888" t="str">
        <f>IFERROR(LN('Дивиденды по годам'!I888),"")</f>
        <v/>
      </c>
      <c r="Q888" t="str">
        <f>IFERROR('Дивиденды по годам'!G888/'Дивиденды по годам'!I888, "")</f>
        <v/>
      </c>
      <c r="R888" t="str">
        <f>IFERROR(IF(AND('Дивиденды по годам'!N888&lt;&gt;"",'Дивиденды по годам'!U888&lt;&gt;"",'Дивиденды по годам'!U888&lt;&gt;0),'Дивиденды по годам'!N888/'Дивиденды по годам'!U888-1,""),"")</f>
        <v/>
      </c>
      <c r="S888" t="str">
        <f>IFERROR(IF(AND('Дивиденды по годам'!L888&lt;&gt;"",'Дивиденды по годам'!I888&lt;&gt;"",'Дивиденды по годам'!J888&lt;&gt;"",'Дивиденды по годам'!K888&lt;&gt;"",('Дивиденды по годам'!I888-'Дивиденды по годам'!J888-'Дивиденды по годам'!K888)&lt;&gt;0),'Дивиденды по годам'!L888/('Дивиденды по годам'!I888-'Дивиденды по годам'!J888-'Дивиденды по годам'!K888),""),"")</f>
        <v/>
      </c>
      <c r="T888" t="str">
        <f>IFERROR(IF(AND('Дивиденды по годам'!Q888&lt;&gt;"",'Дивиденды по годам'!I888&lt;&gt;"",'Дивиденды по годам'!V888&lt;&gt;"",('Дивиденды по годам'!I888+'Дивиденды по годам'!V888)&lt;&gt;0),'Дивиденды по годам'!Q888/(('Дивиденды по годам'!I888+'Дивиденды по годам'!V888)/2),""),"")</f>
        <v/>
      </c>
      <c r="U888" t="str">
        <f>IFERROR(IF(AND('Дивиденды по годам'!J888&lt;&gt;"",'Дивиденды по годам'!K888&lt;&gt;"",'Дивиденды по годам'!M888&lt;&gt;"",'Дивиденды по годам'!M888&lt;&gt;0),('Дивиденды по годам'!J888+'Дивиденды по годам'!K888)/'Дивиденды по годам'!M888,""),"")</f>
        <v/>
      </c>
      <c r="V888" t="str">
        <f>IFERROR(IF(AND('Дивиденды по годам'!J888&lt;&gt;"",'Дивиденды по годам'!K888&lt;&gt;"",'Дивиденды по годам'!M888&lt;&gt;"",'Дивиденды по годам'!I888&lt;&gt;0),('Дивиденды по годам'!J888+'Дивиденды по годам'!K888)/'Дивиденды по годам'!I888,""),"")</f>
        <v/>
      </c>
      <c r="W888" t="str">
        <f>IFERROR('Дивиденды по годам'!I888,"")</f>
        <v/>
      </c>
      <c r="X888" cm="1">
        <f t="array" ref="X888">IFERROR(AVERAGE(_xlfn._xlws.FILTER(P$2:P$1073,($C$2:$C$1073=$C888)*($E$2:$E$1073=$E888)*(ROW(P$2:P$1073)&lt;&gt;ROW(P888))*(P$2:P$1073&lt;&gt;""))),"")</f>
        <v>25.699366278152379</v>
      </c>
      <c r="Y888" cm="1">
        <f t="array" ref="Y888">IFERROR(AVERAGE(_xlfn._xlws.FILTER(Q$2:Q$1073,($C$2:$C$1073=$C888)*($E$2:$E$1073=$E888)*(ROW(Q$2:Q$1073)&lt;&gt;ROW(Q888))*(Q$2:Q$1073&lt;&gt;""))),"")</f>
        <v>0.31619951047208333</v>
      </c>
      <c r="Z888" cm="1">
        <f t="array" ref="Z888">IFERROR(AVERAGE(_xlfn._xlws.FILTER(R$2:R$1073,($C$2:$C$1073=$C888)*($E$2:$E$1073=$E888)*(ROW(R$2:R$1073)&lt;&gt;ROW(R888))*(R$2:R$1073&lt;&gt;""))),"")</f>
        <v>0.12795723906733225</v>
      </c>
      <c r="AA888" cm="1">
        <f t="array" ref="AA888">IFERROR(AVERAGE(_xlfn._xlws.FILTER(S$2:S$1073,($C$2:$C$1073=$C888)*($E$2:$E$1073=$E888)*(ROW(S$2:S$1073)&lt;&gt;ROW(S888))*(S$2:S$1073&lt;&gt;""))),"")</f>
        <v>1.4981608959410444</v>
      </c>
      <c r="AB888" cm="1">
        <f t="array" ref="AB888">IFERROR(AVERAGE(_xlfn._xlws.FILTER(T$2:T$1073,($C$2:$C$1073=$C888)*($E$2:$E$1073=$E888)*(ROW(T$2:T$1073)&lt;&gt;ROW(T888))*(T$2:T$1073&lt;&gt;""))),"")</f>
        <v>4.0595347592911959E-2</v>
      </c>
      <c r="AC888" cm="1">
        <f t="array" ref="AC888">IFERROR(AVERAGE(_xlfn._xlws.FILTER(U$2:U$1073,($C$2:$C$1073=$C888)*($E$2:$E$1073=$E888)*(ROW(U$2:U$1073)&lt;&gt;ROW(U888))*(U$2:U$1073&lt;&gt;""))),"")</f>
        <v>9.1460847128214748</v>
      </c>
      <c r="AD888" cm="1">
        <f t="array" ref="AD888">IFERROR(AVERAGE(_xlfn._xlws.FILTER(V$2:V$1073,($C$2:$C$1073=$C888)*($E$2:$E$1073=$E888)*(ROW(V$2:V$1073)&lt;&gt;ROW(V888))*(V$2:V$1073&lt;&gt;""))),"")</f>
        <v>0.79889661521769517</v>
      </c>
      <c r="AE888">
        <f>IF('Дивиденды по годам'!M888&lt;0,1,0)</f>
        <v>0</v>
      </c>
    </row>
    <row r="889" spans="1:31" x14ac:dyDescent="0.2">
      <c r="A889" s="7" t="s">
        <v>2287</v>
      </c>
      <c r="B889" t="str">
        <f t="shared" si="143"/>
        <v>YDEX IV кв. 2018</v>
      </c>
      <c r="C889">
        <v>2018</v>
      </c>
      <c r="D889">
        <f>SUMIFS(Дивиденды!$C:$C,Дивиденды!$A:$A,A889,Дивиденды!$I:$I,C889)</f>
        <v>0</v>
      </c>
      <c r="E889">
        <v>5</v>
      </c>
      <c r="F889">
        <f t="shared" si="144"/>
        <v>0</v>
      </c>
      <c r="G889">
        <f t="shared" si="145"/>
        <v>2.5072727272727273</v>
      </c>
      <c r="H889">
        <f t="shared" si="146"/>
        <v>0</v>
      </c>
      <c r="I889">
        <f t="shared" si="147"/>
        <v>0.18181818181818182</v>
      </c>
      <c r="J889">
        <f t="shared" si="148"/>
        <v>0</v>
      </c>
      <c r="K889">
        <f t="shared" si="153"/>
        <v>-3.1077604801900294E-2</v>
      </c>
      <c r="L889">
        <f t="shared" si="149"/>
        <v>0</v>
      </c>
      <c r="M889">
        <f t="shared" si="150"/>
        <v>0</v>
      </c>
      <c r="N889">
        <f t="shared" si="151"/>
        <v>0</v>
      </c>
      <c r="O889">
        <f t="shared" si="152"/>
        <v>0.18181818181818182</v>
      </c>
      <c r="P889" t="str">
        <f>IFERROR(LN('Дивиденды по годам'!I889),"")</f>
        <v/>
      </c>
      <c r="Q889" t="str">
        <f>IFERROR('Дивиденды по годам'!G889/'Дивиденды по годам'!I889, "")</f>
        <v/>
      </c>
      <c r="R889" t="str">
        <f>IFERROR(IF(AND('Дивиденды по годам'!N889&lt;&gt;"",'Дивиденды по годам'!U889&lt;&gt;"",'Дивиденды по годам'!U889&lt;&gt;0),'Дивиденды по годам'!N889/'Дивиденды по годам'!U889-1,""),"")</f>
        <v/>
      </c>
      <c r="S889" t="str">
        <f>IFERROR(IF(AND('Дивиденды по годам'!L889&lt;&gt;"",'Дивиденды по годам'!I889&lt;&gt;"",'Дивиденды по годам'!J889&lt;&gt;"",'Дивиденды по годам'!K889&lt;&gt;"",('Дивиденды по годам'!I889-'Дивиденды по годам'!J889-'Дивиденды по годам'!K889)&lt;&gt;0),'Дивиденды по годам'!L889/('Дивиденды по годам'!I889-'Дивиденды по годам'!J889-'Дивиденды по годам'!K889),""),"")</f>
        <v/>
      </c>
      <c r="T889" t="str">
        <f>IFERROR(IF(AND('Дивиденды по годам'!Q889&lt;&gt;"",'Дивиденды по годам'!I889&lt;&gt;"",'Дивиденды по годам'!V889&lt;&gt;"",('Дивиденды по годам'!I889+'Дивиденды по годам'!V889)&lt;&gt;0),'Дивиденды по годам'!Q889/(('Дивиденды по годам'!I889+'Дивиденды по годам'!V889)/2),""),"")</f>
        <v/>
      </c>
      <c r="U889" t="str">
        <f>IFERROR(IF(AND('Дивиденды по годам'!J889&lt;&gt;"",'Дивиденды по годам'!K889&lt;&gt;"",'Дивиденды по годам'!M889&lt;&gt;"",'Дивиденды по годам'!M889&lt;&gt;0),('Дивиденды по годам'!J889+'Дивиденды по годам'!K889)/'Дивиденды по годам'!M889,""),"")</f>
        <v/>
      </c>
      <c r="V889" t="str">
        <f>IFERROR(IF(AND('Дивиденды по годам'!J889&lt;&gt;"",'Дивиденды по годам'!K889&lt;&gt;"",'Дивиденды по годам'!M889&lt;&gt;"",'Дивиденды по годам'!I889&lt;&gt;0),('Дивиденды по годам'!J889+'Дивиденды по годам'!K889)/'Дивиденды по годам'!I889,""),"")</f>
        <v/>
      </c>
      <c r="W889" t="str">
        <f>IFERROR('Дивиденды по годам'!I889,"")</f>
        <v/>
      </c>
      <c r="X889" cm="1">
        <f t="array" ref="X889">IFERROR(AVERAGE(_xlfn._xlws.FILTER(P$2:P$1073,($C$2:$C$1073=$C889)*($E$2:$E$1073=$E889)*(ROW(P$2:P$1073)&lt;&gt;ROW(P889))*(P$2:P$1073&lt;&gt;""))),"")</f>
        <v>25.637034616478129</v>
      </c>
      <c r="Y889" cm="1">
        <f t="array" ref="Y889">IFERROR(AVERAGE(_xlfn._xlws.FILTER(Q$2:Q$1073,($C$2:$C$1073=$C889)*($E$2:$E$1073=$E889)*(ROW(Q$2:Q$1073)&lt;&gt;ROW(Q889))*(Q$2:Q$1073&lt;&gt;""))),"")</f>
        <v>0.32011777323711499</v>
      </c>
      <c r="Z889" cm="1">
        <f t="array" ref="Z889">IFERROR(AVERAGE(_xlfn._xlws.FILTER(R$2:R$1073,($C$2:$C$1073=$C889)*($E$2:$E$1073=$E889)*(ROW(R$2:R$1073)&lt;&gt;ROW(R889))*(R$2:R$1073&lt;&gt;""))),"")</f>
        <v>6.6616637147635549E-2</v>
      </c>
      <c r="AA889" cm="1">
        <f t="array" ref="AA889">IFERROR(AVERAGE(_xlfn._xlws.FILTER(S$2:S$1073,($C$2:$C$1073=$C889)*($E$2:$E$1073=$E889)*(ROW(S$2:S$1073)&lt;&gt;ROW(S889))*(S$2:S$1073&lt;&gt;""))),"")</f>
        <v>1.205409029032207</v>
      </c>
      <c r="AB889" cm="1">
        <f t="array" ref="AB889">IFERROR(AVERAGE(_xlfn._xlws.FILTER(T$2:T$1073,($C$2:$C$1073=$C889)*($E$2:$E$1073=$E889)*(ROW(T$2:T$1073)&lt;&gt;ROW(T889))*(T$2:T$1073&lt;&gt;""))),"")</f>
        <v>1.7776057117292479E-2</v>
      </c>
      <c r="AC889" cm="1">
        <f t="array" ref="AC889">IFERROR(AVERAGE(_xlfn._xlws.FILTER(U$2:U$1073,($C$2:$C$1073=$C889)*($E$2:$E$1073=$E889)*(ROW(U$2:U$1073)&lt;&gt;ROW(U889))*(U$2:U$1073&lt;&gt;""))),"")</f>
        <v>5.4697894468760913</v>
      </c>
      <c r="AD889" cm="1">
        <f t="array" ref="AD889">IFERROR(AVERAGE(_xlfn._xlws.FILTER(V$2:V$1073,($C$2:$C$1073=$C889)*($E$2:$E$1073=$E889)*(ROW(V$2:V$1073)&lt;&gt;ROW(V889))*(V$2:V$1073&lt;&gt;""))),"")</f>
        <v>0.7760719948431295</v>
      </c>
      <c r="AE889">
        <f>IF('Дивиденды по годам'!M889&lt;0,1,0)</f>
        <v>0</v>
      </c>
    </row>
    <row r="890" spans="1:31" x14ac:dyDescent="0.2">
      <c r="A890" s="7" t="s">
        <v>2287</v>
      </c>
      <c r="B890" t="str">
        <f t="shared" si="143"/>
        <v>YDEX IV кв. 2017</v>
      </c>
      <c r="C890">
        <v>2017</v>
      </c>
      <c r="D890">
        <f>SUMIFS(Дивиденды!$C:$C,Дивиденды!$A:$A,A890,Дивиденды!$I:$I,C890)</f>
        <v>0</v>
      </c>
      <c r="E890">
        <v>5</v>
      </c>
      <c r="F890">
        <f t="shared" si="144"/>
        <v>0</v>
      </c>
      <c r="G890">
        <f t="shared" si="145"/>
        <v>3.5318181818181813</v>
      </c>
      <c r="H890">
        <f t="shared" si="146"/>
        <v>0</v>
      </c>
      <c r="I890">
        <f t="shared" si="147"/>
        <v>0.18181818181818182</v>
      </c>
      <c r="J890">
        <f t="shared" si="148"/>
        <v>0</v>
      </c>
      <c r="K890">
        <f t="shared" si="153"/>
        <v>1.4727433992836941E-2</v>
      </c>
      <c r="L890">
        <f t="shared" si="149"/>
        <v>0</v>
      </c>
      <c r="M890">
        <f t="shared" si="150"/>
        <v>9.0909090909090912E-2</v>
      </c>
      <c r="N890">
        <f t="shared" si="151"/>
        <v>0</v>
      </c>
      <c r="O890">
        <f t="shared" si="152"/>
        <v>9.0909090909090912E-2</v>
      </c>
      <c r="P890" t="str">
        <f>IFERROR(LN('Дивиденды по годам'!I890),"")</f>
        <v/>
      </c>
      <c r="Q890" t="str">
        <f>IFERROR('Дивиденды по годам'!G890/'Дивиденды по годам'!I890, "")</f>
        <v/>
      </c>
      <c r="R890" t="str">
        <f>IFERROR(IF(AND('Дивиденды по годам'!N890&lt;&gt;"",'Дивиденды по годам'!U890&lt;&gt;"",'Дивиденды по годам'!U890&lt;&gt;0),'Дивиденды по годам'!N890/'Дивиденды по годам'!U890-1,""),"")</f>
        <v/>
      </c>
      <c r="S890" t="str">
        <f>IFERROR(IF(AND('Дивиденды по годам'!L890&lt;&gt;"",'Дивиденды по годам'!I890&lt;&gt;"",'Дивиденды по годам'!J890&lt;&gt;"",'Дивиденды по годам'!K890&lt;&gt;"",('Дивиденды по годам'!I890-'Дивиденды по годам'!J890-'Дивиденды по годам'!K890)&lt;&gt;0),'Дивиденды по годам'!L890/('Дивиденды по годам'!I890-'Дивиденды по годам'!J890-'Дивиденды по годам'!K890),""),"")</f>
        <v/>
      </c>
      <c r="T890" t="str">
        <f>IFERROR(IF(AND('Дивиденды по годам'!Q890&lt;&gt;"",'Дивиденды по годам'!I890&lt;&gt;"",'Дивиденды по годам'!V890&lt;&gt;"",('Дивиденды по годам'!I890+'Дивиденды по годам'!V890)&lt;&gt;0),'Дивиденды по годам'!Q890/(('Дивиденды по годам'!I890+'Дивиденды по годам'!V890)/2),""),"")</f>
        <v/>
      </c>
      <c r="U890" t="str">
        <f>IFERROR(IF(AND('Дивиденды по годам'!J890&lt;&gt;"",'Дивиденды по годам'!K890&lt;&gt;"",'Дивиденды по годам'!M890&lt;&gt;"",'Дивиденды по годам'!M890&lt;&gt;0),('Дивиденды по годам'!J890+'Дивиденды по годам'!K890)/'Дивиденды по годам'!M890,""),"")</f>
        <v/>
      </c>
      <c r="V890" t="str">
        <f>IFERROR(IF(AND('Дивиденды по годам'!J890&lt;&gt;"",'Дивиденды по годам'!K890&lt;&gt;"",'Дивиденды по годам'!M890&lt;&gt;"",'Дивиденды по годам'!I890&lt;&gt;0),('Дивиденды по годам'!J890+'Дивиденды по годам'!K890)/'Дивиденды по годам'!I890,""),"")</f>
        <v/>
      </c>
      <c r="W890" t="str">
        <f>IFERROR('Дивиденды по годам'!I890,"")</f>
        <v/>
      </c>
      <c r="X890" cm="1">
        <f t="array" ref="X890">IFERROR(AVERAGE(_xlfn._xlws.FILTER(P$2:P$1073,($C$2:$C$1073=$C890)*($E$2:$E$1073=$E890)*(ROW(P$2:P$1073)&lt;&gt;ROW(P890))*(P$2:P$1073&lt;&gt;""))),"")</f>
        <v>27.043369572715513</v>
      </c>
      <c r="Y890" cm="1">
        <f t="array" ref="Y890">IFERROR(AVERAGE(_xlfn._xlws.FILTER(Q$2:Q$1073,($C$2:$C$1073=$C890)*($E$2:$E$1073=$E890)*(ROW(Q$2:Q$1073)&lt;&gt;ROW(Q890))*(Q$2:Q$1073&lt;&gt;""))),"")</f>
        <v>0.54965488260857309</v>
      </c>
      <c r="Z890" cm="1">
        <f t="array" ref="Z890">IFERROR(AVERAGE(_xlfn._xlws.FILTER(R$2:R$1073,($C$2:$C$1073=$C890)*($E$2:$E$1073=$E890)*(ROW(R$2:R$1073)&lt;&gt;ROW(R890))*(R$2:R$1073&lt;&gt;""))),"")</f>
        <v>2.1535666839189949E-2</v>
      </c>
      <c r="AA890" cm="1">
        <f t="array" ref="AA890">IFERROR(AVERAGE(_xlfn._xlws.FILTER(S$2:S$1073,($C$2:$C$1073=$C890)*($E$2:$E$1073=$E890)*(ROW(S$2:S$1073)&lt;&gt;ROW(S890))*(S$2:S$1073&lt;&gt;""))),"")</f>
        <v>1.232616052553424</v>
      </c>
      <c r="AB890" cm="1">
        <f t="array" ref="AB890">IFERROR(AVERAGE(_xlfn._xlws.FILTER(T$2:T$1073,($C$2:$C$1073=$C890)*($E$2:$E$1073=$E890)*(ROW(T$2:T$1073)&lt;&gt;ROW(T890))*(T$2:T$1073&lt;&gt;""))),"")</f>
        <v>6.4245501476224237E-2</v>
      </c>
      <c r="AC890" cm="1">
        <f t="array" ref="AC890">IFERROR(AVERAGE(_xlfn._xlws.FILTER(U$2:U$1073,($C$2:$C$1073=$C890)*($E$2:$E$1073=$E890)*(ROW(U$2:U$1073)&lt;&gt;ROW(U890))*(U$2:U$1073&lt;&gt;""))),"")</f>
        <v>2.3417046689252397</v>
      </c>
      <c r="AD890" cm="1">
        <f t="array" ref="AD890">IFERROR(AVERAGE(_xlfn._xlws.FILTER(V$2:V$1073,($C$2:$C$1073=$C890)*($E$2:$E$1073=$E890)*(ROW(V$2:V$1073)&lt;&gt;ROW(V890))*(V$2:V$1073&lt;&gt;""))),"")</f>
        <v>0.66475018615672188</v>
      </c>
      <c r="AE890">
        <f>IF('Дивиденды по годам'!M890&lt;0,1,0)</f>
        <v>0</v>
      </c>
    </row>
    <row r="891" spans="1:31" x14ac:dyDescent="0.2">
      <c r="A891" s="7" t="s">
        <v>2287</v>
      </c>
      <c r="B891" t="str">
        <f t="shared" si="143"/>
        <v>YDEX IV кв. 2016</v>
      </c>
      <c r="C891">
        <v>2016</v>
      </c>
      <c r="D891">
        <f>SUMIFS(Дивиденды!$C:$C,Дивиденды!$A:$A,A891,Дивиденды!$I:$I,C891)</f>
        <v>0</v>
      </c>
      <c r="E891">
        <v>5</v>
      </c>
      <c r="F891">
        <f t="shared" si="144"/>
        <v>0</v>
      </c>
      <c r="G891">
        <f t="shared" si="145"/>
        <v>2.9981818181818181</v>
      </c>
      <c r="H891">
        <f t="shared" si="146"/>
        <v>0</v>
      </c>
      <c r="I891">
        <f t="shared" si="147"/>
        <v>0.18181818181818182</v>
      </c>
      <c r="J891">
        <f t="shared" si="148"/>
        <v>0</v>
      </c>
      <c r="K891">
        <f t="shared" si="153"/>
        <v>2.8790101611202514E-2</v>
      </c>
      <c r="L891">
        <f t="shared" si="149"/>
        <v>0</v>
      </c>
      <c r="M891">
        <f t="shared" si="150"/>
        <v>9.0909090909090912E-2</v>
      </c>
      <c r="N891">
        <f t="shared" si="151"/>
        <v>0</v>
      </c>
      <c r="O891">
        <f t="shared" si="152"/>
        <v>9.0909090909090912E-2</v>
      </c>
      <c r="P891" t="str">
        <f>IFERROR(LN('Дивиденды по годам'!I891),"")</f>
        <v/>
      </c>
      <c r="Q891" t="str">
        <f>IFERROR('Дивиденды по годам'!G891/'Дивиденды по годам'!I891, "")</f>
        <v/>
      </c>
      <c r="R891" t="str">
        <f>IFERROR(IF(AND('Дивиденды по годам'!N891&lt;&gt;"",'Дивиденды по годам'!U891&lt;&gt;"",'Дивиденды по годам'!U891&lt;&gt;0),'Дивиденды по годам'!N891/'Дивиденды по годам'!U891-1,""),"")</f>
        <v/>
      </c>
      <c r="S891" t="str">
        <f>IFERROR(IF(AND('Дивиденды по годам'!L891&lt;&gt;"",'Дивиденды по годам'!I891&lt;&gt;"",'Дивиденды по годам'!J891&lt;&gt;"",'Дивиденды по годам'!K891&lt;&gt;"",('Дивиденды по годам'!I891-'Дивиденды по годам'!J891-'Дивиденды по годам'!K891)&lt;&gt;0),'Дивиденды по годам'!L891/('Дивиденды по годам'!I891-'Дивиденды по годам'!J891-'Дивиденды по годам'!K891),""),"")</f>
        <v/>
      </c>
      <c r="T891" t="str">
        <f>IFERROR(IF(AND('Дивиденды по годам'!Q891&lt;&gt;"",'Дивиденды по годам'!I891&lt;&gt;"",'Дивиденды по годам'!V891&lt;&gt;"",('Дивиденды по годам'!I891+'Дивиденды по годам'!V891)&lt;&gt;0),'Дивиденды по годам'!Q891/(('Дивиденды по годам'!I891+'Дивиденды по годам'!V891)/2),""),"")</f>
        <v/>
      </c>
      <c r="U891" t="str">
        <f>IFERROR(IF(AND('Дивиденды по годам'!J891&lt;&gt;"",'Дивиденды по годам'!K891&lt;&gt;"",'Дивиденды по годам'!M891&lt;&gt;"",'Дивиденды по годам'!M891&lt;&gt;0),('Дивиденды по годам'!J891+'Дивиденды по годам'!K891)/'Дивиденды по годам'!M891,""),"")</f>
        <v/>
      </c>
      <c r="V891" t="str">
        <f>IFERROR(IF(AND('Дивиденды по годам'!J891&lt;&gt;"",'Дивиденды по годам'!K891&lt;&gt;"",'Дивиденды по годам'!M891&lt;&gt;"",'Дивиденды по годам'!I891&lt;&gt;0),('Дивиденды по годам'!J891+'Дивиденды по годам'!K891)/'Дивиденды по годам'!I891,""),"")</f>
        <v/>
      </c>
      <c r="W891" t="str">
        <f>IFERROR('Дивиденды по годам'!I891,"")</f>
        <v/>
      </c>
      <c r="X891" cm="1">
        <f t="array" ref="X891">IFERROR(AVERAGE(_xlfn._xlws.FILTER(P$2:P$1073,($C$2:$C$1073=$C891)*($E$2:$E$1073=$E891)*(ROW(P$2:P$1073)&lt;&gt;ROW(P891))*(P$2:P$1073&lt;&gt;""))),"")</f>
        <v>27.033270353256157</v>
      </c>
      <c r="Y891" cm="1">
        <f t="array" ref="Y891">IFERROR(AVERAGE(_xlfn._xlws.FILTER(Q$2:Q$1073,($C$2:$C$1073=$C891)*($E$2:$E$1073=$E891)*(ROW(Q$2:Q$1073)&lt;&gt;ROW(Q891))*(Q$2:Q$1073&lt;&gt;""))),"")</f>
        <v>0.55978642376097965</v>
      </c>
      <c r="Z891" cm="1">
        <f t="array" ref="Z891">IFERROR(AVERAGE(_xlfn._xlws.FILTER(R$2:R$1073,($C$2:$C$1073=$C891)*($E$2:$E$1073=$E891)*(ROW(R$2:R$1073)&lt;&gt;ROW(R891))*(R$2:R$1073&lt;&gt;""))),"")</f>
        <v>5.3242460909894707E-3</v>
      </c>
      <c r="AA891" cm="1">
        <f t="array" ref="AA891">IFERROR(AVERAGE(_xlfn._xlws.FILTER(S$2:S$1073,($C$2:$C$1073=$C891)*($E$2:$E$1073=$E891)*(ROW(S$2:S$1073)&lt;&gt;ROW(S891))*(S$2:S$1073&lt;&gt;""))),"")</f>
        <v>1.1315702315112175</v>
      </c>
      <c r="AB891" cm="1">
        <f t="array" ref="AB891">IFERROR(AVERAGE(_xlfn._xlws.FILTER(T$2:T$1073,($C$2:$C$1073=$C891)*($E$2:$E$1073=$E891)*(ROW(T$2:T$1073)&lt;&gt;ROW(T891))*(T$2:T$1073&lt;&gt;""))),"")</f>
        <v>5.4869409864042928E-2</v>
      </c>
      <c r="AC891" cm="1">
        <f t="array" ref="AC891">IFERROR(AVERAGE(_xlfn._xlws.FILTER(U$2:U$1073,($C$2:$C$1073=$C891)*($E$2:$E$1073=$E891)*(ROW(U$2:U$1073)&lt;&gt;ROW(U891))*(U$2:U$1073&lt;&gt;""))),"")</f>
        <v>2.0086781177717459</v>
      </c>
      <c r="AD891" cm="1">
        <f t="array" ref="AD891">IFERROR(AVERAGE(_xlfn._xlws.FILTER(V$2:V$1073,($C$2:$C$1073=$C891)*($E$2:$E$1073=$E891)*(ROW(V$2:V$1073)&lt;&gt;ROW(V891))*(V$2:V$1073&lt;&gt;""))),"")</f>
        <v>0.64409028041831262</v>
      </c>
      <c r="AE891">
        <f>IF('Дивиденды по годам'!M891&lt;0,1,0)</f>
        <v>0</v>
      </c>
    </row>
    <row r="892" spans="1:31" x14ac:dyDescent="0.2">
      <c r="A892" s="7" t="s">
        <v>2287</v>
      </c>
      <c r="B892" t="str">
        <f t="shared" si="143"/>
        <v>YDEX IV кв. 2015</v>
      </c>
      <c r="C892">
        <v>2015</v>
      </c>
      <c r="D892">
        <f>SUMIFS(Дивиденды!$C:$C,Дивиденды!$A:$A,A892,Дивиденды!$I:$I,C892)</f>
        <v>0</v>
      </c>
      <c r="E892">
        <v>5</v>
      </c>
      <c r="F892">
        <f t="shared" si="144"/>
        <v>0</v>
      </c>
      <c r="G892">
        <f t="shared" si="145"/>
        <v>2.3218181818181818</v>
      </c>
      <c r="H892">
        <f t="shared" si="146"/>
        <v>0</v>
      </c>
      <c r="I892">
        <f t="shared" si="147"/>
        <v>0.18181818181818182</v>
      </c>
      <c r="J892">
        <f t="shared" si="148"/>
        <v>0</v>
      </c>
      <c r="K892">
        <f t="shared" si="153"/>
        <v>4.855464114120716E-2</v>
      </c>
      <c r="L892">
        <f t="shared" si="149"/>
        <v>0</v>
      </c>
      <c r="M892">
        <f t="shared" si="150"/>
        <v>9.0909090909090912E-2</v>
      </c>
      <c r="N892">
        <f t="shared" si="151"/>
        <v>0</v>
      </c>
      <c r="O892">
        <f t="shared" si="152"/>
        <v>9.0909090909090912E-2</v>
      </c>
      <c r="P892" t="str">
        <f>IFERROR(LN('Дивиденды по годам'!I892),"")</f>
        <v/>
      </c>
      <c r="Q892" t="str">
        <f>IFERROR('Дивиденды по годам'!G892/'Дивиденды по годам'!I892, "")</f>
        <v/>
      </c>
      <c r="R892" t="str">
        <f>IFERROR(IF(AND('Дивиденды по годам'!N892&lt;&gt;"",'Дивиденды по годам'!U892&lt;&gt;"",'Дивиденды по годам'!U892&lt;&gt;0),'Дивиденды по годам'!N892/'Дивиденды по годам'!U892-1,""),"")</f>
        <v/>
      </c>
      <c r="S892" t="str">
        <f>IFERROR(IF(AND('Дивиденды по годам'!L892&lt;&gt;"",'Дивиденды по годам'!I892&lt;&gt;"",'Дивиденды по годам'!J892&lt;&gt;"",'Дивиденды по годам'!K892&lt;&gt;"",('Дивиденды по годам'!I892-'Дивиденды по годам'!J892-'Дивиденды по годам'!K892)&lt;&gt;0),'Дивиденды по годам'!L892/('Дивиденды по годам'!I892-'Дивиденды по годам'!J892-'Дивиденды по годам'!K892),""),"")</f>
        <v/>
      </c>
      <c r="T892" t="str">
        <f>IFERROR(IF(AND('Дивиденды по годам'!Q892&lt;&gt;"",'Дивиденды по годам'!I892&lt;&gt;"",'Дивиденды по годам'!V892&lt;&gt;"",('Дивиденды по годам'!I892+'Дивиденды по годам'!V892)&lt;&gt;0),'Дивиденды по годам'!Q892/(('Дивиденды по годам'!I892+'Дивиденды по годам'!V892)/2),""),"")</f>
        <v/>
      </c>
      <c r="U892" t="str">
        <f>IFERROR(IF(AND('Дивиденды по годам'!J892&lt;&gt;"",'Дивиденды по годам'!K892&lt;&gt;"",'Дивиденды по годам'!M892&lt;&gt;"",'Дивиденды по годам'!M892&lt;&gt;0),('Дивиденды по годам'!J892+'Дивиденды по годам'!K892)/'Дивиденды по годам'!M892,""),"")</f>
        <v/>
      </c>
      <c r="V892" t="str">
        <f>IFERROR(IF(AND('Дивиденды по годам'!J892&lt;&gt;"",'Дивиденды по годам'!K892&lt;&gt;"",'Дивиденды по годам'!M892&lt;&gt;"",'Дивиденды по годам'!I892&lt;&gt;0),('Дивиденды по годам'!J892+'Дивиденды по годам'!K892)/'Дивиденды по годам'!I892,""),"")</f>
        <v/>
      </c>
      <c r="W892" t="str">
        <f>IFERROR('Дивиденды по годам'!I892,"")</f>
        <v/>
      </c>
      <c r="X892" cm="1">
        <f t="array" ref="X892">IFERROR(AVERAGE(_xlfn._xlws.FILTER(P$2:P$1073,($C$2:$C$1073=$C892)*($E$2:$E$1073=$E892)*(ROW(P$2:P$1073)&lt;&gt;ROW(P892))*(P$2:P$1073&lt;&gt;""))),"")</f>
        <v>27.120501452642756</v>
      </c>
      <c r="Y892" cm="1">
        <f t="array" ref="Y892">IFERROR(AVERAGE(_xlfn._xlws.FILTER(Q$2:Q$1073,($C$2:$C$1073=$C892)*($E$2:$E$1073=$E892)*(ROW(Q$2:Q$1073)&lt;&gt;ROW(Q892))*(Q$2:Q$1073&lt;&gt;""))),"")</f>
        <v>0.53878421833606405</v>
      </c>
      <c r="Z892" cm="1">
        <f t="array" ref="Z892">IFERROR(AVERAGE(_xlfn._xlws.FILTER(R$2:R$1073,($C$2:$C$1073=$C892)*($E$2:$E$1073=$E892)*(ROW(R$2:R$1073)&lt;&gt;ROW(R892))*(R$2:R$1073&lt;&gt;""))),"")</f>
        <v>2.2276174497294132E-2</v>
      </c>
      <c r="AA892" cm="1">
        <f t="array" ref="AA892">IFERROR(AVERAGE(_xlfn._xlws.FILTER(S$2:S$1073,($C$2:$C$1073=$C892)*($E$2:$E$1073=$E892)*(ROW(S$2:S$1073)&lt;&gt;ROW(S892))*(S$2:S$1073&lt;&gt;""))),"")</f>
        <v>1.2586396116380416</v>
      </c>
      <c r="AB892" cm="1">
        <f t="array" ref="AB892">IFERROR(AVERAGE(_xlfn._xlws.FILTER(T$2:T$1073,($C$2:$C$1073=$C892)*($E$2:$E$1073=$E892)*(ROW(T$2:T$1073)&lt;&gt;ROW(T892))*(T$2:T$1073&lt;&gt;""))),"")</f>
        <v>5.0636797509896803E-2</v>
      </c>
      <c r="AC892" cm="1">
        <f t="array" ref="AC892">IFERROR(AVERAGE(_xlfn._xlws.FILTER(U$2:U$1073,($C$2:$C$1073=$C892)*($E$2:$E$1073=$E892)*(ROW(U$2:U$1073)&lt;&gt;ROW(U892))*(U$2:U$1073&lt;&gt;""))),"")</f>
        <v>2.0444165107764372</v>
      </c>
      <c r="AD892" cm="1">
        <f t="array" ref="AD892">IFERROR(AVERAGE(_xlfn._xlws.FILTER(V$2:V$1073,($C$2:$C$1073=$C892)*($E$2:$E$1073=$E892)*(ROW(V$2:V$1073)&lt;&gt;ROW(V892))*(V$2:V$1073&lt;&gt;""))),"")</f>
        <v>0.64472959627967386</v>
      </c>
      <c r="AE892">
        <f>IF('Дивиденды по годам'!M892&lt;0,1,0)</f>
        <v>0</v>
      </c>
    </row>
    <row r="893" spans="1:31" x14ac:dyDescent="0.2">
      <c r="A893" s="7" t="s">
        <v>2287</v>
      </c>
      <c r="B893" t="str">
        <f t="shared" si="143"/>
        <v>YDEX IV кв. 2014</v>
      </c>
      <c r="C893">
        <v>2014</v>
      </c>
      <c r="D893">
        <f>SUMIFS(Дивиденды!$C:$C,Дивиденды!$A:$A,A893,Дивиденды!$I:$I,C893)</f>
        <v>0</v>
      </c>
      <c r="E893">
        <v>5</v>
      </c>
      <c r="F893">
        <f t="shared" si="144"/>
        <v>0</v>
      </c>
      <c r="G893">
        <f t="shared" si="145"/>
        <v>2.6454545454545451</v>
      </c>
      <c r="H893">
        <f t="shared" si="146"/>
        <v>0</v>
      </c>
      <c r="I893">
        <f t="shared" si="147"/>
        <v>0.18181818181818182</v>
      </c>
      <c r="J893">
        <f t="shared" si="148"/>
        <v>0</v>
      </c>
      <c r="K893">
        <f t="shared" si="153"/>
        <v>1.3814271370946419E-2</v>
      </c>
      <c r="L893">
        <f t="shared" si="149"/>
        <v>0</v>
      </c>
      <c r="M893">
        <f t="shared" si="150"/>
        <v>0.18181818181818182</v>
      </c>
      <c r="N893">
        <f t="shared" si="151"/>
        <v>0</v>
      </c>
      <c r="O893">
        <f t="shared" si="152"/>
        <v>0</v>
      </c>
      <c r="P893" t="str">
        <f>IFERROR(LN('Дивиденды по годам'!I893),"")</f>
        <v/>
      </c>
      <c r="Q893" t="str">
        <f>IFERROR('Дивиденды по годам'!G893/'Дивиденды по годам'!I893, "")</f>
        <v/>
      </c>
      <c r="R893" t="str">
        <f>IFERROR(IF(AND('Дивиденды по годам'!N893&lt;&gt;"",'Дивиденды по годам'!U893&lt;&gt;"",'Дивиденды по годам'!U893&lt;&gt;0),'Дивиденды по годам'!N893/'Дивиденды по годам'!U893-1,""),"")</f>
        <v/>
      </c>
      <c r="S893" t="str">
        <f>IFERROR(IF(AND('Дивиденды по годам'!L893&lt;&gt;"",'Дивиденды по годам'!I893&lt;&gt;"",'Дивиденды по годам'!J893&lt;&gt;"",'Дивиденды по годам'!K893&lt;&gt;"",('Дивиденды по годам'!I893-'Дивиденды по годам'!J893-'Дивиденды по годам'!K893)&lt;&gt;0),'Дивиденды по годам'!L893/('Дивиденды по годам'!I893-'Дивиденды по годам'!J893-'Дивиденды по годам'!K893),""),"")</f>
        <v/>
      </c>
      <c r="T893" t="str">
        <f>IFERROR(IF(AND('Дивиденды по годам'!Q893&lt;&gt;"",'Дивиденды по годам'!I893&lt;&gt;"",'Дивиденды по годам'!V893&lt;&gt;"",('Дивиденды по годам'!I893+'Дивиденды по годам'!V893)&lt;&gt;0),'Дивиденды по годам'!Q893/(('Дивиденды по годам'!I893+'Дивиденды по годам'!V893)/2),""),"")</f>
        <v/>
      </c>
      <c r="U893" t="str">
        <f>IFERROR(IF(AND('Дивиденды по годам'!J893&lt;&gt;"",'Дивиденды по годам'!K893&lt;&gt;"",'Дивиденды по годам'!M893&lt;&gt;"",'Дивиденды по годам'!M893&lt;&gt;0),('Дивиденды по годам'!J893+'Дивиденды по годам'!K893)/'Дивиденды по годам'!M893,""),"")</f>
        <v/>
      </c>
      <c r="V893" t="str">
        <f>IFERROR(IF(AND('Дивиденды по годам'!J893&lt;&gt;"",'Дивиденды по годам'!K893&lt;&gt;"",'Дивиденды по годам'!M893&lt;&gt;"",'Дивиденды по годам'!I893&lt;&gt;0),('Дивиденды по годам'!J893+'Дивиденды по годам'!K893)/'Дивиденды по годам'!I893,""),"")</f>
        <v/>
      </c>
      <c r="W893" t="str">
        <f>IFERROR('Дивиденды по годам'!I893,"")</f>
        <v/>
      </c>
      <c r="X893" cm="1">
        <f t="array" ref="X893">IFERROR(AVERAGE(_xlfn._xlws.FILTER(P$2:P$1073,($C$2:$C$1073=$C893)*($E$2:$E$1073=$E893)*(ROW(P$2:P$1073)&lt;&gt;ROW(P893))*(P$2:P$1073&lt;&gt;""))),"")</f>
        <v>27.082830809151307</v>
      </c>
      <c r="Y893" cm="1">
        <f t="array" ref="Y893">IFERROR(AVERAGE(_xlfn._xlws.FILTER(Q$2:Q$1073,($C$2:$C$1073=$C893)*($E$2:$E$1073=$E893)*(ROW(Q$2:Q$1073)&lt;&gt;ROW(Q893))*(Q$2:Q$1073&lt;&gt;""))),"")</f>
        <v>0.5450738024161359</v>
      </c>
      <c r="Z893" cm="1">
        <f t="array" ref="Z893">IFERROR(AVERAGE(_xlfn._xlws.FILTER(R$2:R$1073,($C$2:$C$1073=$C893)*($E$2:$E$1073=$E893)*(ROW(R$2:R$1073)&lt;&gt;ROW(R893))*(R$2:R$1073&lt;&gt;""))),"")</f>
        <v>2.9557764869601155E-2</v>
      </c>
      <c r="AA893" cm="1">
        <f t="array" ref="AA893">IFERROR(AVERAGE(_xlfn._xlws.FILTER(S$2:S$1073,($C$2:$C$1073=$C893)*($E$2:$E$1073=$E893)*(ROW(S$2:S$1073)&lt;&gt;ROW(S893))*(S$2:S$1073&lt;&gt;""))),"")</f>
        <v>1.1443286994996271</v>
      </c>
      <c r="AB893" cm="1">
        <f t="array" ref="AB893">IFERROR(AVERAGE(_xlfn._xlws.FILTER(T$2:T$1073,($C$2:$C$1073=$C893)*($E$2:$E$1073=$E893)*(ROW(T$2:T$1073)&lt;&gt;ROW(T893))*(T$2:T$1073&lt;&gt;""))),"")</f>
        <v>5.9751382409195454E-2</v>
      </c>
      <c r="AC893" cm="1">
        <f t="array" ref="AC893">IFERROR(AVERAGE(_xlfn._xlws.FILTER(U$2:U$1073,($C$2:$C$1073=$C893)*($E$2:$E$1073=$E893)*(ROW(U$2:U$1073)&lt;&gt;ROW(U893))*(U$2:U$1073&lt;&gt;""))),"")</f>
        <v>1.8184271482015117</v>
      </c>
      <c r="AD893" cm="1">
        <f t="array" ref="AD893">IFERROR(AVERAGE(_xlfn._xlws.FILTER(V$2:V$1073,($C$2:$C$1073=$C893)*($E$2:$E$1073=$E893)*(ROW(V$2:V$1073)&lt;&gt;ROW(V893))*(V$2:V$1073&lt;&gt;""))),"")</f>
        <v>0.62943537689886697</v>
      </c>
      <c r="AE893">
        <f>IF('Дивиденды по годам'!M893&lt;0,1,0)</f>
        <v>0</v>
      </c>
    </row>
    <row r="894" spans="1:31" x14ac:dyDescent="0.2">
      <c r="A894" s="7" t="s">
        <v>2287</v>
      </c>
      <c r="B894" t="str">
        <f t="shared" si="143"/>
        <v>YDEX IV кв. 2013</v>
      </c>
      <c r="C894">
        <v>2013</v>
      </c>
      <c r="D894">
        <f>SUMIFS(Дивиденды!$C:$C,Дивиденды!$A:$A,A894,Дивиденды!$I:$I,C894)</f>
        <v>0</v>
      </c>
      <c r="E894">
        <v>5</v>
      </c>
      <c r="F894">
        <f t="shared" si="144"/>
        <v>0</v>
      </c>
      <c r="G894">
        <f t="shared" si="145"/>
        <v>2.4490909090909092</v>
      </c>
      <c r="H894">
        <f t="shared" si="146"/>
        <v>0</v>
      </c>
      <c r="I894">
        <f t="shared" si="147"/>
        <v>0.18181818181818182</v>
      </c>
      <c r="J894">
        <f t="shared" si="148"/>
        <v>0</v>
      </c>
      <c r="K894">
        <f t="shared" si="153"/>
        <v>8.2745033991384775E-2</v>
      </c>
      <c r="L894">
        <f t="shared" si="149"/>
        <v>0</v>
      </c>
      <c r="M894">
        <f t="shared" si="150"/>
        <v>0.18181818181818182</v>
      </c>
      <c r="N894">
        <f t="shared" si="151"/>
        <v>0</v>
      </c>
      <c r="O894">
        <f t="shared" si="152"/>
        <v>0</v>
      </c>
      <c r="P894" t="str">
        <f>IFERROR(LN('Дивиденды по годам'!I894),"")</f>
        <v/>
      </c>
      <c r="Q894" t="str">
        <f>IFERROR('Дивиденды по годам'!G894/'Дивиденды по годам'!I894, "")</f>
        <v/>
      </c>
      <c r="R894" t="str">
        <f>IFERROR(IF(AND('Дивиденды по годам'!N894&lt;&gt;"",'Дивиденды по годам'!U894&lt;&gt;"",'Дивиденды по годам'!U894&lt;&gt;0),'Дивиденды по годам'!N894/'Дивиденды по годам'!U894-1,""),"")</f>
        <v/>
      </c>
      <c r="S894" t="str">
        <f>IFERROR(IF(AND('Дивиденды по годам'!L894&lt;&gt;"",'Дивиденды по годам'!I894&lt;&gt;"",'Дивиденды по годам'!J894&lt;&gt;"",'Дивиденды по годам'!K894&lt;&gt;"",('Дивиденды по годам'!I894-'Дивиденды по годам'!J894-'Дивиденды по годам'!K894)&lt;&gt;0),'Дивиденды по годам'!L894/('Дивиденды по годам'!I894-'Дивиденды по годам'!J894-'Дивиденды по годам'!K894),""),"")</f>
        <v/>
      </c>
      <c r="T894" t="str">
        <f>IFERROR(IF(AND('Дивиденды по годам'!Q894&lt;&gt;"",'Дивиденды по годам'!I894&lt;&gt;"",'Дивиденды по годам'!V894&lt;&gt;"",('Дивиденды по годам'!I894+'Дивиденды по годам'!V894)&lt;&gt;0),'Дивиденды по годам'!Q894/(('Дивиденды по годам'!I894+'Дивиденды по годам'!V894)/2),""),"")</f>
        <v/>
      </c>
      <c r="U894" t="str">
        <f>IFERROR(IF(AND('Дивиденды по годам'!J894&lt;&gt;"",'Дивиденды по годам'!K894&lt;&gt;"",'Дивиденды по годам'!M894&lt;&gt;"",'Дивиденды по годам'!M894&lt;&gt;0),('Дивиденды по годам'!J894+'Дивиденды по годам'!K894)/'Дивиденды по годам'!M894,""),"")</f>
        <v/>
      </c>
      <c r="V894" t="str">
        <f>IFERROR(IF(AND('Дивиденды по годам'!J894&lt;&gt;"",'Дивиденды по годам'!K894&lt;&gt;"",'Дивиденды по годам'!M894&lt;&gt;"",'Дивиденды по годам'!I894&lt;&gt;0),('Дивиденды по годам'!J894+'Дивиденды по годам'!K894)/'Дивиденды по годам'!I894,""),"")</f>
        <v/>
      </c>
      <c r="W894" t="str">
        <f>IFERROR('Дивиденды по годам'!I894,"")</f>
        <v/>
      </c>
      <c r="X894" cm="1">
        <f t="array" ref="X894">IFERROR(AVERAGE(_xlfn._xlws.FILTER(P$2:P$1073,($C$2:$C$1073=$C894)*($E$2:$E$1073=$E894)*(ROW(P$2:P$1073)&lt;&gt;ROW(P894))*(P$2:P$1073&lt;&gt;""))),"")</f>
        <v>26.980715693689852</v>
      </c>
      <c r="Y894" cm="1">
        <f t="array" ref="Y894">IFERROR(AVERAGE(_xlfn._xlws.FILTER(Q$2:Q$1073,($C$2:$C$1073=$C894)*($E$2:$E$1073=$E894)*(ROW(Q$2:Q$1073)&lt;&gt;ROW(Q894))*(Q$2:Q$1073&lt;&gt;""))),"")</f>
        <v>0.57737124989859567</v>
      </c>
      <c r="Z894" cm="1">
        <f t="array" ref="Z894">IFERROR(AVERAGE(_xlfn._xlws.FILTER(R$2:R$1073,($C$2:$C$1073=$C894)*($E$2:$E$1073=$E894)*(ROW(R$2:R$1073)&lt;&gt;ROW(R894))*(R$2:R$1073&lt;&gt;""))),"")</f>
        <v>-3.1761213433143809E-2</v>
      </c>
      <c r="AA894" t="str" cm="1">
        <f t="array" ref="AA894">IFERROR(AVERAGE(_xlfn._xlws.FILTER(S$2:S$1073,($C$2:$C$1073=$C894)*($E$2:$E$1073=$E894)*(ROW(S$2:S$1073)&lt;&gt;ROW(S894))*(S$2:S$1073&lt;&gt;""))),"")</f>
        <v/>
      </c>
      <c r="AB894" cm="1">
        <f t="array" ref="AB894">IFERROR(AVERAGE(_xlfn._xlws.FILTER(T$2:T$1073,($C$2:$C$1073=$C894)*($E$2:$E$1073=$E894)*(ROW(T$2:T$1073)&lt;&gt;ROW(T894))*(T$2:T$1073&lt;&gt;""))),"")</f>
        <v>0.10442686382361807</v>
      </c>
      <c r="AC894" cm="1">
        <f t="array" ref="AC894">IFERROR(AVERAGE(_xlfn._xlws.FILTER(U$2:U$1073,($C$2:$C$1073=$C894)*($E$2:$E$1073=$E894)*(ROW(U$2:U$1073)&lt;&gt;ROW(U894))*(U$2:U$1073&lt;&gt;""))),"")</f>
        <v>1.9310921377733694</v>
      </c>
      <c r="AD894" cm="1">
        <f t="array" ref="AD894">IFERROR(AVERAGE(_xlfn._xlws.FILTER(V$2:V$1073,($C$2:$C$1073=$C894)*($E$2:$E$1073=$E894)*(ROW(V$2:V$1073)&lt;&gt;ROW(V894))*(V$2:V$1073&lt;&gt;""))),"")</f>
        <v>0.65823029186247406</v>
      </c>
      <c r="AE894">
        <f>IF('Дивиденды по годам'!M894&lt;0,1,0)</f>
        <v>0</v>
      </c>
    </row>
    <row r="895" spans="1:31" x14ac:dyDescent="0.2">
      <c r="A895" s="7" t="s">
        <v>2287</v>
      </c>
      <c r="B895" t="str">
        <f t="shared" si="143"/>
        <v>YDEX IV кв. 2012</v>
      </c>
      <c r="C895">
        <v>2012</v>
      </c>
      <c r="D895">
        <f>SUMIFS(Дивиденды!$C:$C,Дивиденды!$A:$A,A895,Дивиденды!$I:$I,C895)</f>
        <v>0</v>
      </c>
      <c r="E895">
        <v>5</v>
      </c>
      <c r="F895">
        <f t="shared" si="144"/>
        <v>0</v>
      </c>
      <c r="G895">
        <f t="shared" si="145"/>
        <v>1.5490909090909091</v>
      </c>
      <c r="H895">
        <f t="shared" si="146"/>
        <v>0</v>
      </c>
      <c r="I895">
        <f t="shared" si="147"/>
        <v>0.18181818181818182</v>
      </c>
      <c r="J895">
        <f t="shared" si="148"/>
        <v>0</v>
      </c>
      <c r="K895">
        <f t="shared" si="153"/>
        <v>-4.4393542728732291E-2</v>
      </c>
      <c r="L895">
        <f t="shared" si="149"/>
        <v>0</v>
      </c>
      <c r="M895">
        <f t="shared" si="150"/>
        <v>0</v>
      </c>
      <c r="N895">
        <f t="shared" si="151"/>
        <v>0</v>
      </c>
      <c r="O895">
        <f t="shared" si="152"/>
        <v>0.18181818181818182</v>
      </c>
      <c r="P895" t="str">
        <f>IFERROR(LN('Дивиденды по годам'!I895),"")</f>
        <v/>
      </c>
      <c r="Q895" t="str">
        <f>IFERROR('Дивиденды по годам'!G895/'Дивиденды по годам'!I895, "")</f>
        <v/>
      </c>
      <c r="R895" t="str">
        <f>IFERROR(IF(AND('Дивиденды по годам'!N895&lt;&gt;"",'Дивиденды по годам'!U895&lt;&gt;"",'Дивиденды по годам'!U895&lt;&gt;0),'Дивиденды по годам'!N895/'Дивиденды по годам'!U895-1,""),"")</f>
        <v/>
      </c>
      <c r="S895" t="str">
        <f>IFERROR(IF(AND('Дивиденды по годам'!L895&lt;&gt;"",'Дивиденды по годам'!I895&lt;&gt;"",'Дивиденды по годам'!J895&lt;&gt;"",'Дивиденды по годам'!K895&lt;&gt;"",('Дивиденды по годам'!I895-'Дивиденды по годам'!J895-'Дивиденды по годам'!K895)&lt;&gt;0),'Дивиденды по годам'!L895/('Дивиденды по годам'!I895-'Дивиденды по годам'!J895-'Дивиденды по годам'!K895),""),"")</f>
        <v/>
      </c>
      <c r="T895" t="str">
        <f>IFERROR(IF(AND('Дивиденды по годам'!Q895&lt;&gt;"",'Дивиденды по годам'!I895&lt;&gt;"",'Дивиденды по годам'!V895&lt;&gt;"",('Дивиденды по годам'!I895+'Дивиденды по годам'!V895)&lt;&gt;0),'Дивиденды по годам'!Q895/(('Дивиденды по годам'!I895+'Дивиденды по годам'!V895)/2),""),"")</f>
        <v/>
      </c>
      <c r="U895" t="str">
        <f>IFERROR(IF(AND('Дивиденды по годам'!J895&lt;&gt;"",'Дивиденды по годам'!K895&lt;&gt;"",'Дивиденды по годам'!M895&lt;&gt;"",'Дивиденды по годам'!M895&lt;&gt;0),('Дивиденды по годам'!J895+'Дивиденды по годам'!K895)/'Дивиденды по годам'!M895,""),"")</f>
        <v/>
      </c>
      <c r="V895" t="str">
        <f>IFERROR(IF(AND('Дивиденды по годам'!J895&lt;&gt;"",'Дивиденды по годам'!K895&lt;&gt;"",'Дивиденды по годам'!M895&lt;&gt;"",'Дивиденды по годам'!I895&lt;&gt;0),('Дивиденды по годам'!J895+'Дивиденды по годам'!K895)/'Дивиденды по годам'!I895,""),"")</f>
        <v/>
      </c>
      <c r="W895" t="str">
        <f>IFERROR('Дивиденды по годам'!I895,"")</f>
        <v/>
      </c>
      <c r="X895" cm="1">
        <f t="array" ref="X895">IFERROR(AVERAGE(_xlfn._xlws.FILTER(P$2:P$1073,($C$2:$C$1073=$C895)*($E$2:$E$1073=$E895)*(ROW(P$2:P$1073)&lt;&gt;ROW(P895))*(P$2:P$1073&lt;&gt;""))),"")</f>
        <v>26.976167524823197</v>
      </c>
      <c r="Y895" cm="1">
        <f t="array" ref="Y895">IFERROR(AVERAGE(_xlfn._xlws.FILTER(Q$2:Q$1073,($C$2:$C$1073=$C895)*($E$2:$E$1073=$E895)*(ROW(Q$2:Q$1073)&lt;&gt;ROW(Q895))*(Q$2:Q$1073&lt;&gt;""))),"")</f>
        <v>0.63141065735920243</v>
      </c>
      <c r="Z895" cm="1">
        <f t="array" ref="Z895">IFERROR(AVERAGE(_xlfn._xlws.FILTER(R$2:R$1073,($C$2:$C$1073=$C895)*($E$2:$E$1073=$E895)*(ROW(R$2:R$1073)&lt;&gt;ROW(R895))*(R$2:R$1073&lt;&gt;""))),"")</f>
        <v>8.5252436531932485E-2</v>
      </c>
      <c r="AA895" t="str" cm="1">
        <f t="array" ref="AA895">IFERROR(AVERAGE(_xlfn._xlws.FILTER(S$2:S$1073,($C$2:$C$1073=$C895)*($E$2:$E$1073=$E895)*(ROW(S$2:S$1073)&lt;&gt;ROW(S895))*(S$2:S$1073&lt;&gt;""))),"")</f>
        <v/>
      </c>
      <c r="AB895" cm="1">
        <f t="array" ref="AB895">IFERROR(AVERAGE(_xlfn._xlws.FILTER(T$2:T$1073,($C$2:$C$1073=$C895)*($E$2:$E$1073=$E895)*(ROW(T$2:T$1073)&lt;&gt;ROW(T895))*(T$2:T$1073&lt;&gt;""))),"")</f>
        <v>6.4593053680603474E-2</v>
      </c>
      <c r="AC895" cm="1">
        <f t="array" ref="AC895">IFERROR(AVERAGE(_xlfn._xlws.FILTER(U$2:U$1073,($C$2:$C$1073=$C895)*($E$2:$E$1073=$E895)*(ROW(U$2:U$1073)&lt;&gt;ROW(U895))*(U$2:U$1073&lt;&gt;""))),"")</f>
        <v>2.1186181543330798</v>
      </c>
      <c r="AD895" cm="1">
        <f t="array" ref="AD895">IFERROR(AVERAGE(_xlfn._xlws.FILTER(V$2:V$1073,($C$2:$C$1073=$C895)*($E$2:$E$1073=$E895)*(ROW(V$2:V$1073)&lt;&gt;ROW(V895))*(V$2:V$1073&lt;&gt;""))),"")</f>
        <v>0.6515550916449</v>
      </c>
      <c r="AE895">
        <f>IF('Дивиденды по годам'!M895&lt;0,1,0)</f>
        <v>0</v>
      </c>
    </row>
    <row r="896" spans="1:31" x14ac:dyDescent="0.2">
      <c r="A896" s="7" t="s">
        <v>2287</v>
      </c>
      <c r="B896" t="str">
        <f t="shared" si="143"/>
        <v>YDEX IV кв. 2011</v>
      </c>
      <c r="C896">
        <v>2011</v>
      </c>
      <c r="D896">
        <f>SUMIFS(Дивиденды!$C:$C,Дивиденды!$A:$A,A896,Дивиденды!$I:$I,C896)</f>
        <v>0</v>
      </c>
      <c r="E896">
        <v>5</v>
      </c>
      <c r="F896">
        <f t="shared" si="144"/>
        <v>0</v>
      </c>
      <c r="G896">
        <f t="shared" si="145"/>
        <v>1.7645454545454546</v>
      </c>
      <c r="H896">
        <f t="shared" si="146"/>
        <v>0</v>
      </c>
      <c r="I896">
        <f t="shared" si="147"/>
        <v>0.18181818181818182</v>
      </c>
      <c r="J896">
        <f t="shared" si="148"/>
        <v>0</v>
      </c>
      <c r="K896">
        <f t="shared" si="153"/>
        <v>0.29508419260826407</v>
      </c>
      <c r="L896">
        <f t="shared" si="149"/>
        <v>0</v>
      </c>
      <c r="M896">
        <f t="shared" si="150"/>
        <v>0.18181818181818182</v>
      </c>
      <c r="N896">
        <f t="shared" si="151"/>
        <v>0</v>
      </c>
      <c r="O896">
        <f t="shared" si="152"/>
        <v>0</v>
      </c>
      <c r="P896" t="str">
        <f>IFERROR(LN('Дивиденды по годам'!I896),"")</f>
        <v/>
      </c>
      <c r="Q896" t="str">
        <f>IFERROR('Дивиденды по годам'!G896/'Дивиденды по годам'!I896, "")</f>
        <v/>
      </c>
      <c r="R896" t="str">
        <f>IFERROR(IF(AND('Дивиденды по годам'!N896&lt;&gt;"",'Дивиденды по годам'!U896&lt;&gt;"",'Дивиденды по годам'!U896&lt;&gt;0),'Дивиденды по годам'!N896/'Дивиденды по годам'!U896-1,""),"")</f>
        <v/>
      </c>
      <c r="S896" t="str">
        <f>IFERROR(IF(AND('Дивиденды по годам'!L896&lt;&gt;"",'Дивиденды по годам'!I896&lt;&gt;"",'Дивиденды по годам'!J896&lt;&gt;"",'Дивиденды по годам'!K896&lt;&gt;"",('Дивиденды по годам'!I896-'Дивиденды по годам'!J896-'Дивиденды по годам'!K896)&lt;&gt;0),'Дивиденды по годам'!L896/('Дивиденды по годам'!I896-'Дивиденды по годам'!J896-'Дивиденды по годам'!K896),""),"")</f>
        <v/>
      </c>
      <c r="T896" t="str">
        <f>IFERROR(IF(AND('Дивиденды по годам'!Q896&lt;&gt;"",'Дивиденды по годам'!I896&lt;&gt;"",'Дивиденды по годам'!V896&lt;&gt;"",('Дивиденды по годам'!I896+'Дивиденды по годам'!V896)&lt;&gt;0),'Дивиденды по годам'!Q896/(('Дивиденды по годам'!I896+'Дивиденды по годам'!V896)/2),""),"")</f>
        <v/>
      </c>
      <c r="U896" t="str">
        <f>IFERROR(IF(AND('Дивиденды по годам'!J896&lt;&gt;"",'Дивиденды по годам'!K896&lt;&gt;"",'Дивиденды по годам'!M896&lt;&gt;"",'Дивиденды по годам'!M896&lt;&gt;0),('Дивиденды по годам'!J896+'Дивиденды по годам'!K896)/'Дивиденды по годам'!M896,""),"")</f>
        <v/>
      </c>
      <c r="V896" t="str">
        <f>IFERROR(IF(AND('Дивиденды по годам'!J896&lt;&gt;"",'Дивиденды по годам'!K896&lt;&gt;"",'Дивиденды по годам'!M896&lt;&gt;"",'Дивиденды по годам'!I896&lt;&gt;0),('Дивиденды по годам'!J896+'Дивиденды по годам'!K896)/'Дивиденды по годам'!I896,""),"")</f>
        <v/>
      </c>
      <c r="W896" t="str">
        <f>IFERROR('Дивиденды по годам'!I896,"")</f>
        <v/>
      </c>
      <c r="X896" cm="1">
        <f t="array" ref="X896">IFERROR(AVERAGE(_xlfn._xlws.FILTER(P$2:P$1073,($C$2:$C$1073=$C896)*($E$2:$E$1073=$E896)*(ROW(P$2:P$1073)&lt;&gt;ROW(P896))*(P$2:P$1073&lt;&gt;""))),"")</f>
        <v>26.959846755112331</v>
      </c>
      <c r="Y896" cm="1">
        <f t="array" ref="Y896">IFERROR(AVERAGE(_xlfn._xlws.FILTER(Q$2:Q$1073,($C$2:$C$1073=$C896)*($E$2:$E$1073=$E896)*(ROW(Q$2:Q$1073)&lt;&gt;ROW(Q896))*(Q$2:Q$1073&lt;&gt;""))),"")</f>
        <v>0.64168629722093962</v>
      </c>
      <c r="Z896" t="str" cm="1">
        <f t="array" ref="Z896">IFERROR(AVERAGE(_xlfn._xlws.FILTER(R$2:R$1073,($C$2:$C$1073=$C896)*($E$2:$E$1073=$E896)*(ROW(R$2:R$1073)&lt;&gt;ROW(R896))*(R$2:R$1073&lt;&gt;""))),"")</f>
        <v/>
      </c>
      <c r="AA896" t="str" cm="1">
        <f t="array" ref="AA896">IFERROR(AVERAGE(_xlfn._xlws.FILTER(S$2:S$1073,($C$2:$C$1073=$C896)*($E$2:$E$1073=$E896)*(ROW(S$2:S$1073)&lt;&gt;ROW(S896))*(S$2:S$1073&lt;&gt;""))),"")</f>
        <v/>
      </c>
      <c r="AB896" t="str" cm="1">
        <f t="array" ref="AB896">IFERROR(AVERAGE(_xlfn._xlws.FILTER(T$2:T$1073,($C$2:$C$1073=$C896)*($E$2:$E$1073=$E896)*(ROW(T$2:T$1073)&lt;&gt;ROW(T896))*(T$2:T$1073&lt;&gt;""))),"")</f>
        <v/>
      </c>
      <c r="AC896" cm="1">
        <f t="array" ref="AC896">IFERROR(AVERAGE(_xlfn._xlws.FILTER(U$2:U$1073,($C$2:$C$1073=$C896)*($E$2:$E$1073=$E896)*(ROW(U$2:U$1073)&lt;&gt;ROW(U896))*(U$2:U$1073&lt;&gt;""))),"")</f>
        <v>0.9076461410986616</v>
      </c>
      <c r="AD896" cm="1">
        <f t="array" ref="AD896">IFERROR(AVERAGE(_xlfn._xlws.FILTER(V$2:V$1073,($C$2:$C$1073=$C896)*($E$2:$E$1073=$E896)*(ROW(V$2:V$1073)&lt;&gt;ROW(V896))*(V$2:V$1073&lt;&gt;""))),"")</f>
        <v>0.47579376570118254</v>
      </c>
      <c r="AE896">
        <f>IF('Дивиденды по годам'!M896&lt;0,1,0)</f>
        <v>0</v>
      </c>
    </row>
    <row r="897" spans="1:31" x14ac:dyDescent="0.2">
      <c r="A897" s="7" t="s">
        <v>2287</v>
      </c>
      <c r="B897" t="str">
        <f t="shared" si="143"/>
        <v>YDEX IV кв. 2010</v>
      </c>
      <c r="C897">
        <v>2010</v>
      </c>
      <c r="D897">
        <f>SUMIFS(Дивиденды!$C:$C,Дивиденды!$A:$A,A897,Дивиденды!$I:$I,C897)</f>
        <v>0</v>
      </c>
      <c r="E897">
        <v>5</v>
      </c>
      <c r="F897">
        <f t="shared" si="144"/>
        <v>0</v>
      </c>
      <c r="G897">
        <f t="shared" si="145"/>
        <v>1.4227272727272726</v>
      </c>
      <c r="H897">
        <f t="shared" si="146"/>
        <v>0</v>
      </c>
      <c r="I897">
        <f t="shared" si="147"/>
        <v>0.18181818181818182</v>
      </c>
      <c r="J897" t="str">
        <f t="shared" si="148"/>
        <v/>
      </c>
      <c r="K897" t="str">
        <f t="shared" si="153"/>
        <v/>
      </c>
      <c r="L897" t="str">
        <f t="shared" si="149"/>
        <v/>
      </c>
      <c r="M897" t="str">
        <f t="shared" si="150"/>
        <v/>
      </c>
      <c r="N897" t="str">
        <f t="shared" si="151"/>
        <v/>
      </c>
      <c r="O897" t="str">
        <f t="shared" si="152"/>
        <v/>
      </c>
      <c r="P897" t="str">
        <f>IFERROR(LN('Дивиденды по годам'!I897),"")</f>
        <v/>
      </c>
      <c r="Q897" t="str">
        <f>IFERROR('Дивиденды по годам'!G897/'Дивиденды по годам'!I897, "")</f>
        <v/>
      </c>
      <c r="R897" t="str">
        <f>IFERROR(IF(AND('Дивиденды по годам'!N897&lt;&gt;"",'Дивиденды по годам'!U897&lt;&gt;"",'Дивиденды по годам'!U897&lt;&gt;0),'Дивиденды по годам'!N897/'Дивиденды по годам'!U897-1,""),"")</f>
        <v/>
      </c>
      <c r="S897" t="str">
        <f>IFERROR(IF(AND('Дивиденды по годам'!L897&lt;&gt;"",'Дивиденды по годам'!I897&lt;&gt;"",'Дивиденды по годам'!J897&lt;&gt;"",'Дивиденды по годам'!K897&lt;&gt;"",('Дивиденды по годам'!I897-'Дивиденды по годам'!J897-'Дивиденды по годам'!K897)&lt;&gt;0),'Дивиденды по годам'!L897/('Дивиденды по годам'!I897-'Дивиденды по годам'!J897-'Дивиденды по годам'!K897),""),"")</f>
        <v/>
      </c>
      <c r="T897" t="str">
        <f>IFERROR(IF(AND('Дивиденды по годам'!Q897&lt;&gt;"",'Дивиденды по годам'!I897&lt;&gt;"",'Дивиденды по годам'!V897&lt;&gt;"",('Дивиденды по годам'!I897+'Дивиденды по годам'!V897)&lt;&gt;0),'Дивиденды по годам'!Q897/(('Дивиденды по годам'!I897+'Дивиденды по годам'!V897)/2),""),"")</f>
        <v/>
      </c>
      <c r="U897" t="str">
        <f>IFERROR(IF(AND('Дивиденды по годам'!J897&lt;&gt;"",'Дивиденды по годам'!K897&lt;&gt;"",'Дивиденды по годам'!M897&lt;&gt;"",'Дивиденды по годам'!M897&lt;&gt;0),('Дивиденды по годам'!J897+'Дивиденды по годам'!K897)/'Дивиденды по годам'!M897,""),"")</f>
        <v/>
      </c>
      <c r="V897" t="str">
        <f>IFERROR(IF(AND('Дивиденды по годам'!J897&lt;&gt;"",'Дивиденды по годам'!K897&lt;&gt;"",'Дивиденды по годам'!M897&lt;&gt;"",'Дивиденды по годам'!I897&lt;&gt;0),('Дивиденды по годам'!J897+'Дивиденды по годам'!K897)/'Дивиденды по годам'!I897,""),"")</f>
        <v/>
      </c>
      <c r="W897" t="str">
        <f>IFERROR('Дивиденды по годам'!I897,"")</f>
        <v/>
      </c>
      <c r="X897" t="str" cm="1">
        <f t="array" ref="X897">IFERROR(AVERAGE(_xlfn._xlws.FILTER(P$2:P$1073,($C$2:$C$1073=$C897)*($E$2:$E$1073=$E897)*(ROW(P$2:P$1073)&lt;&gt;ROW(P897))*(P$2:P$1073&lt;&gt;""))),"")</f>
        <v/>
      </c>
      <c r="Y897" t="str" cm="1">
        <f t="array" ref="Y897">IFERROR(AVERAGE(_xlfn._xlws.FILTER(Q$2:Q$1073,($C$2:$C$1073=$C897)*($E$2:$E$1073=$E897)*(ROW(Q$2:Q$1073)&lt;&gt;ROW(Q897))*(Q$2:Q$1073&lt;&gt;""))),"")</f>
        <v/>
      </c>
      <c r="Z897" t="str" cm="1">
        <f t="array" ref="Z897">IFERROR(AVERAGE(_xlfn._xlws.FILTER(R$2:R$1073,($C$2:$C$1073=$C897)*($E$2:$E$1073=$E897)*(ROW(R$2:R$1073)&lt;&gt;ROW(R897))*(R$2:R$1073&lt;&gt;""))),"")</f>
        <v/>
      </c>
      <c r="AA897" t="str" cm="1">
        <f t="array" ref="AA897">IFERROR(AVERAGE(_xlfn._xlws.FILTER(S$2:S$1073,($C$2:$C$1073=$C897)*($E$2:$E$1073=$E897)*(ROW(S$2:S$1073)&lt;&gt;ROW(S897))*(S$2:S$1073&lt;&gt;""))),"")</f>
        <v/>
      </c>
      <c r="AB897" t="str" cm="1">
        <f t="array" ref="AB897">IFERROR(AVERAGE(_xlfn._xlws.FILTER(T$2:T$1073,($C$2:$C$1073=$C897)*($E$2:$E$1073=$E897)*(ROW(T$2:T$1073)&lt;&gt;ROW(T897))*(T$2:T$1073&lt;&gt;""))),"")</f>
        <v/>
      </c>
      <c r="AC897" t="str" cm="1">
        <f t="array" ref="AC897">IFERROR(AVERAGE(_xlfn._xlws.FILTER(U$2:U$1073,($C$2:$C$1073=$C897)*($E$2:$E$1073=$E897)*(ROW(U$2:U$1073)&lt;&gt;ROW(U897))*(U$2:U$1073&lt;&gt;""))),"")</f>
        <v/>
      </c>
      <c r="AD897" t="str" cm="1">
        <f t="array" ref="AD897">IFERROR(AVERAGE(_xlfn._xlws.FILTER(V$2:V$1073,($C$2:$C$1073=$C897)*($E$2:$E$1073=$E897)*(ROW(V$2:V$1073)&lt;&gt;ROW(V897))*(V$2:V$1073&lt;&gt;""))),"")</f>
        <v/>
      </c>
      <c r="AE897">
        <f>IF('Дивиденды по годам'!M897&lt;0,1,0)</f>
        <v>0</v>
      </c>
    </row>
    <row r="898" spans="1:31" x14ac:dyDescent="0.2">
      <c r="A898" s="7" t="s">
        <v>2289</v>
      </c>
      <c r="B898" t="str">
        <f t="shared" si="143"/>
        <v>MTSS IV кв. 2025</v>
      </c>
      <c r="C898">
        <v>2025</v>
      </c>
      <c r="D898">
        <f>SUMIFS(Дивиденды!$C:$C,Дивиденды!$A:$A,A898,Дивиденды!$I:$I,C898)</f>
        <v>0</v>
      </c>
      <c r="E898">
        <v>5</v>
      </c>
      <c r="F898">
        <f t="shared" si="144"/>
        <v>0</v>
      </c>
      <c r="G898">
        <f t="shared" si="145"/>
        <v>51.49636363636364</v>
      </c>
      <c r="H898">
        <f t="shared" si="146"/>
        <v>0</v>
      </c>
      <c r="I898">
        <f t="shared" si="147"/>
        <v>0.54545454545454541</v>
      </c>
      <c r="J898">
        <f t="shared" si="148"/>
        <v>-1</v>
      </c>
      <c r="K898">
        <f t="shared" si="153"/>
        <v>6.7751176543258809E-2</v>
      </c>
      <c r="L898">
        <f t="shared" si="149"/>
        <v>0</v>
      </c>
      <c r="M898">
        <f t="shared" si="150"/>
        <v>0.36363636363636365</v>
      </c>
      <c r="N898">
        <f t="shared" si="151"/>
        <v>1</v>
      </c>
      <c r="O898">
        <f t="shared" si="152"/>
        <v>0.45454545454545453</v>
      </c>
      <c r="P898">
        <f>IFERROR(LN('Дивиденды по годам'!I898),"")</f>
        <v>28.201109870396543</v>
      </c>
      <c r="Q898">
        <f>IFERROR('Дивиденды по годам'!G898/'Дивиденды по годам'!I898, "")</f>
        <v>0.22120826227194385</v>
      </c>
      <c r="R898">
        <f>IFERROR(IF(AND('Дивиденды по годам'!N898&lt;&gt;"",'Дивиденды по годам'!U898&lt;&gt;"",'Дивиденды по годам'!U898&lt;&gt;0),'Дивиденды по годам'!N898/'Дивиденды по годам'!U898-1,""),"")</f>
        <v>0.14699299884474537</v>
      </c>
      <c r="S898" t="str">
        <f>IFERROR(IF(AND('Дивиденды по годам'!L898&lt;&gt;"",'Дивиденды по годам'!I898&lt;&gt;"",'Дивиденды по годам'!J898&lt;&gt;"",'Дивиденды по годам'!K898&lt;&gt;"",('Дивиденды по годам'!I898-'Дивиденды по годам'!J898-'Дивиденды по годам'!K898)&lt;&gt;0),'Дивиденды по годам'!L898/('Дивиденды по годам'!I898-'Дивиденды по годам'!J898-'Дивиденды по годам'!K898),""),"")</f>
        <v/>
      </c>
      <c r="T898">
        <f>IFERROR(IF(AND('Дивиденды по годам'!Q898&lt;&gt;"",'Дивиденды по годам'!I898&lt;&gt;"",'Дивиденды по годам'!V898&lt;&gt;"",('Дивиденды по годам'!I898+'Дивиденды по годам'!V898)&lt;&gt;0),'Дивиденды по годам'!Q898/(('Дивиденды по годам'!I898+'Дивиденды по годам'!V898)/2),""),"")</f>
        <v>2.3520516761039112E-2</v>
      </c>
      <c r="U898">
        <f>IFERROR(IF(AND('Дивиденды по годам'!J898&lt;&gt;"",'Дивиденды по годам'!K898&lt;&gt;"",'Дивиденды по годам'!M898&lt;&gt;"",'Дивиденды по годам'!M898&lt;&gt;0),('Дивиденды по годам'!J898+'Дивиденды по годам'!K898)/'Дивиденды по годам'!M898,""),"")</f>
        <v>103.28258049298266</v>
      </c>
      <c r="V898">
        <f>IFERROR(IF(AND('Дивиденды по годам'!J898&lt;&gt;"",'Дивиденды по годам'!K898&lt;&gt;"",'Дивиденды по годам'!M898&lt;&gt;"",'Дивиденды по годам'!I898&lt;&gt;0),('Дивиденды по годам'!J898+'Дивиденды по годам'!K898)/'Дивиденды по годам'!I898,""),"")</f>
        <v>0.99041067074412015</v>
      </c>
      <c r="W898">
        <f>IFERROR('Дивиденды по годам'!I898,"")</f>
        <v>1768424000000</v>
      </c>
      <c r="X898" cm="1">
        <f t="array" ref="X898">IFERROR(AVERAGE(_xlfn._xlws.FILTER(P$2:P$1073,($C$2:$C$1073=$C898)*($E$2:$E$1073=$E898)*(ROW(P$2:P$1073)&lt;&gt;ROW(P898))*(P$2:P$1073&lt;&gt;""))),"")</f>
        <v>26.241316452421731</v>
      </c>
      <c r="Y898" cm="1">
        <f t="array" ref="Y898">IFERROR(AVERAGE(_xlfn._xlws.FILTER(Q$2:Q$1073,($C$2:$C$1073=$C898)*($E$2:$E$1073=$E898)*(ROW(Q$2:Q$1073)&lt;&gt;ROW(Q898))*(Q$2:Q$1073&lt;&gt;""))),"")</f>
        <v>0.18910774949026521</v>
      </c>
      <c r="Z898" cm="1">
        <f t="array" ref="Z898">IFERROR(AVERAGE(_xlfn._xlws.FILTER(R$2:R$1073,($C$2:$C$1073=$C898)*($E$2:$E$1073=$E898)*(ROW(R$2:R$1073)&lt;&gt;ROW(R898))*(R$2:R$1073&lt;&gt;""))),"")</f>
        <v>0.13989337014381237</v>
      </c>
      <c r="AA898" cm="1">
        <f t="array" ref="AA898">IFERROR(AVERAGE(_xlfn._xlws.FILTER(S$2:S$1073,($C$2:$C$1073=$C898)*($E$2:$E$1073=$E898)*(ROW(S$2:S$1073)&lt;&gt;ROW(S898))*(S$2:S$1073&lt;&gt;""))),"")</f>
        <v>0.69198231878475358</v>
      </c>
      <c r="AB898" cm="1">
        <f t="array" ref="AB898">IFERROR(AVERAGE(_xlfn._xlws.FILTER(T$2:T$1073,($C$2:$C$1073=$C898)*($E$2:$E$1073=$E898)*(ROW(T$2:T$1073)&lt;&gt;ROW(T898))*(T$2:T$1073&lt;&gt;""))),"")</f>
        <v>0.15222330191253314</v>
      </c>
      <c r="AC898" cm="1">
        <f t="array" ref="AC898">IFERROR(AVERAGE(_xlfn._xlws.FILTER(U$2:U$1073,($C$2:$C$1073=$C898)*($E$2:$E$1073=$E898)*(ROW(U$2:U$1073)&lt;&gt;ROW(U898))*(U$2:U$1073&lt;&gt;""))),"")</f>
        <v>-2.2882157460824892E-2</v>
      </c>
      <c r="AD898" cm="1">
        <f t="array" ref="AD898">IFERROR(AVERAGE(_xlfn._xlws.FILTER(V$2:V$1073,($C$2:$C$1073=$C898)*($E$2:$E$1073=$E898)*(ROW(V$2:V$1073)&lt;&gt;ROW(V898))*(V$2:V$1073&lt;&gt;""))),"")</f>
        <v>0.68694830605691715</v>
      </c>
      <c r="AE898">
        <f>IF('Дивиденды по годам'!M898&lt;0,1,0)</f>
        <v>0</v>
      </c>
    </row>
    <row r="899" spans="1:31" x14ac:dyDescent="0.2">
      <c r="A899" s="7" t="s">
        <v>2289</v>
      </c>
      <c r="B899" t="str">
        <f t="shared" ref="B899:B962" si="154">A899&amp;" "&amp;
"IV"
&amp;" кв. "&amp;C899</f>
        <v>MTSS IV кв. 2024</v>
      </c>
      <c r="C899">
        <v>2024</v>
      </c>
      <c r="D899">
        <f>SUMIFS(Дивиденды!$C:$C,Дивиденды!$A:$A,A899,Дивиденды!$I:$I,C899)</f>
        <v>35</v>
      </c>
      <c r="E899">
        <v>5</v>
      </c>
      <c r="F899">
        <f t="shared" ref="F899:F962" si="155">D899</f>
        <v>35</v>
      </c>
      <c r="G899">
        <f t="shared" ref="G899:G962" si="156">AVERAGEIFS($D:$D,$E:$E,E899,$C:$C,C899,$A:$A,"&lt;&gt;"&amp;A899)</f>
        <v>98.982727272727274</v>
      </c>
      <c r="H899">
        <f t="shared" ref="H899:H962" si="157">IF(D899&gt;0,1,0)</f>
        <v>1</v>
      </c>
      <c r="I899">
        <f t="shared" ref="I899:I962" si="158">IFERROR((COUNTIFS($E:$E,E899,$C:$C,C899,$H:$H,1)-H899)/(COUNTIFS($E:$E,E899,$C:$C,C899)-1),0)</f>
        <v>0.54545454545454541</v>
      </c>
      <c r="J899">
        <f t="shared" ref="J899:J962" si="159">IF(A900&lt;&gt;A899,"",IF(D899=D900,0,IF(AND(D900=0,D899&lt;&gt;0), 1,(D899-D900)/D900)))</f>
        <v>0</v>
      </c>
      <c r="K899">
        <f t="shared" si="153"/>
        <v>0.22526756384337021</v>
      </c>
      <c r="L899">
        <f t="shared" ref="L899:L962" si="160">IF(J899&lt;&gt;"",IF(J899&gt;0,1,0),"")</f>
        <v>0</v>
      </c>
      <c r="M899">
        <f t="shared" ref="M899:M962" si="161">IFERROR(AVERAGEIFS($L:$L,$E:$E,E899,$C:$C,C899,$A:$A,"&lt;&gt;"&amp;A899),"")</f>
        <v>0.36363636363636365</v>
      </c>
      <c r="N899">
        <f t="shared" ref="N899:N962" si="162">IF(J899&lt;&gt;"",IF(J899&lt;0,1,0),"")</f>
        <v>0</v>
      </c>
      <c r="O899">
        <f t="shared" ref="O899:O962" si="163">IFERROR(AVERAGEIFS($N:$N,$E:$E,E899,$C:$C,C899,$A:$A,"&lt;&gt;"&amp;A899),"")</f>
        <v>0.18181818181818182</v>
      </c>
      <c r="P899">
        <f>IFERROR(LN('Дивиденды по годам'!I899),"")</f>
        <v>28.047731425753593</v>
      </c>
      <c r="Q899">
        <f>IFERROR('Дивиденды по годам'!G899/'Дивиденды по годам'!I899, "")</f>
        <v>0.22380901841376488</v>
      </c>
      <c r="R899">
        <f>IFERROR(IF(AND('Дивиденды по годам'!N899&lt;&gt;"",'Дивиденды по годам'!U899&lt;&gt;"",'Дивиденды по годам'!U899&lt;&gt;0),'Дивиденды по годам'!N899/'Дивиденды по годам'!U899-1,""),"")</f>
        <v>0.16130602599708577</v>
      </c>
      <c r="S899">
        <f>IFERROR(IF(AND('Дивиденды по годам'!L899&lt;&gt;"",'Дивиденды по годам'!I899&lt;&gt;"",'Дивиденды по годам'!J899&lt;&gt;"",'Дивиденды по годам'!K899&lt;&gt;"",('Дивиденды по годам'!I899-'Дивиденды по годам'!J899-'Дивиденды по годам'!K899)&lt;&gt;0),'Дивиденды по годам'!L899/('Дивиденды по годам'!I899-'Дивиденды по годам'!J899-'Дивиденды по годам'!K899),""),"")</f>
        <v>-4.9949261171443835</v>
      </c>
      <c r="T899">
        <f>IFERROR(IF(AND('Дивиденды по годам'!Q899&lt;&gt;"",'Дивиденды по годам'!I899&lt;&gt;"",'Дивиденды по годам'!V899&lt;&gt;"",('Дивиденды по годам'!I899+'Дивиденды по годам'!V899)&lt;&gt;0),'Дивиденды по годам'!Q899/(('Дивиденды по годам'!I899+'Дивиденды по годам'!V899)/2),""),"")</f>
        <v>3.6531852499619016E-2</v>
      </c>
      <c r="U899">
        <f>IFERROR(IF(AND('Дивиденды по годам'!J899&lt;&gt;"",'Дивиденды по годам'!K899&lt;&gt;"",'Дивиденды по годам'!M899&lt;&gt;"",'Дивиденды по годам'!M899&lt;&gt;0),('Дивиденды по годам'!J899+'Дивиденды по годам'!K899)/'Дивиденды по годам'!M899,""),"")</f>
        <v>-136.03320277728324</v>
      </c>
      <c r="V899">
        <f>IFERROR(IF(AND('Дивиденды по годам'!J899&lt;&gt;"",'Дивиденды по годам'!K899&lt;&gt;"",'Дивиденды по годам'!M899&lt;&gt;"",'Дивиденды по годам'!I899&lt;&gt;0),('Дивиденды по годам'!J899+'Дивиденды по годам'!K899)/'Дивиденды по годам'!I899,""),"")</f>
        <v>1.0074055860294548</v>
      </c>
      <c r="W899">
        <f>IFERROR('Дивиденды по годам'!I899,"")</f>
        <v>1516963000000</v>
      </c>
      <c r="X899" cm="1">
        <f t="array" ref="X899">IFERROR(AVERAGE(_xlfn._xlws.FILTER(P$2:P$1073,($C$2:$C$1073=$C899)*($E$2:$E$1073=$E899)*(ROW(P$2:P$1073)&lt;&gt;ROW(P899))*(P$2:P$1073&lt;&gt;""))),"")</f>
        <v>25.035517846085249</v>
      </c>
      <c r="Y899" cm="1">
        <f t="array" ref="Y899">IFERROR(AVERAGE(_xlfn._xlws.FILTER(Q$2:Q$1073,($C$2:$C$1073=$C899)*($E$2:$E$1073=$E899)*(ROW(Q$2:Q$1073)&lt;&gt;ROW(Q899))*(Q$2:Q$1073&lt;&gt;""))),"")</f>
        <v>0.12481908399807844</v>
      </c>
      <c r="Z899" cm="1">
        <f t="array" ref="Z899">IFERROR(AVERAGE(_xlfn._xlws.FILTER(R$2:R$1073,($C$2:$C$1073=$C899)*($E$2:$E$1073=$E899)*(ROW(R$2:R$1073)&lt;&gt;ROW(R899))*(R$2:R$1073&lt;&gt;""))),"")</f>
        <v>0.2770816624449432</v>
      </c>
      <c r="AA899" cm="1">
        <f t="array" ref="AA899">IFERROR(AVERAGE(_xlfn._xlws.FILTER(S$2:S$1073,($C$2:$C$1073=$C899)*($E$2:$E$1073=$E899)*(ROW(S$2:S$1073)&lt;&gt;ROW(S899))*(S$2:S$1073&lt;&gt;""))),"")</f>
        <v>0.32435485625320298</v>
      </c>
      <c r="AB899" cm="1">
        <f t="array" ref="AB899">IFERROR(AVERAGE(_xlfn._xlws.FILTER(T$2:T$1073,($C$2:$C$1073=$C899)*($E$2:$E$1073=$E899)*(ROW(T$2:T$1073)&lt;&gt;ROW(T899))*(T$2:T$1073&lt;&gt;""))),"")</f>
        <v>0.21902298278968316</v>
      </c>
      <c r="AC899" cm="1">
        <f t="array" ref="AC899">IFERROR(AVERAGE(_xlfn._xlws.FILTER(U$2:U$1073,($C$2:$C$1073=$C899)*($E$2:$E$1073=$E899)*(ROW(U$2:U$1073)&lt;&gt;ROW(U899))*(U$2:U$1073&lt;&gt;""))),"")</f>
        <v>2.8349614942619041</v>
      </c>
      <c r="AD899" cm="1">
        <f t="array" ref="AD899">IFERROR(AVERAGE(_xlfn._xlws.FILTER(V$2:V$1073,($C$2:$C$1073=$C899)*($E$2:$E$1073=$E899)*(ROW(V$2:V$1073)&lt;&gt;ROW(V899))*(V$2:V$1073&lt;&gt;""))),"")</f>
        <v>0.65884266680350734</v>
      </c>
      <c r="AE899">
        <f>IF('Дивиденды по годам'!M899&lt;0,1,0)</f>
        <v>1</v>
      </c>
    </row>
    <row r="900" spans="1:31" x14ac:dyDescent="0.2">
      <c r="A900" s="7" t="s">
        <v>2289</v>
      </c>
      <c r="B900" t="str">
        <f t="shared" si="154"/>
        <v>MTSS IV кв. 2023</v>
      </c>
      <c r="C900">
        <v>2023</v>
      </c>
      <c r="D900">
        <f>SUMIFS(Дивиденды!$C:$C,Дивиденды!$A:$A,A900,Дивиденды!$I:$I,C900)</f>
        <v>35</v>
      </c>
      <c r="E900">
        <v>5</v>
      </c>
      <c r="F900">
        <f t="shared" si="155"/>
        <v>35</v>
      </c>
      <c r="G900">
        <f t="shared" si="156"/>
        <v>14.032727272727273</v>
      </c>
      <c r="H900">
        <f t="shared" si="157"/>
        <v>1</v>
      </c>
      <c r="I900">
        <f t="shared" si="158"/>
        <v>0.18181818181818182</v>
      </c>
      <c r="J900">
        <f t="shared" si="159"/>
        <v>2.070574511519396E-2</v>
      </c>
      <c r="K900">
        <f t="shared" ref="K900:K963" si="164">IFERROR(AVERAGEIFS($J:$J,$E:$E,E900,$C:$C,C900,$A:$A,"&lt;&gt;"&amp;A900),"")</f>
        <v>0.26944315067751262</v>
      </c>
      <c r="L900">
        <f t="shared" si="160"/>
        <v>1</v>
      </c>
      <c r="M900">
        <f t="shared" si="161"/>
        <v>0.18181818181818182</v>
      </c>
      <c r="N900">
        <f t="shared" si="162"/>
        <v>0</v>
      </c>
      <c r="O900">
        <f t="shared" si="163"/>
        <v>0</v>
      </c>
      <c r="P900">
        <f>IFERROR(LN('Дивиденды по годам'!I900),"")</f>
        <v>27.886860292080872</v>
      </c>
      <c r="Q900">
        <f>IFERROR('Дивиденды по годам'!G900/'Дивиденды по годам'!I900, "")</f>
        <v>0.24332872644778153</v>
      </c>
      <c r="R900">
        <f>IFERROR(IF(AND('Дивиденды по годам'!N900&lt;&gt;"",'Дивиденды по годам'!U900&lt;&gt;"",'Дивиденды по годам'!U900&lt;&gt;0),'Дивиденды по годам'!N900/'Дивиденды по годам'!U900-1,""),"")</f>
        <v>0.11858259083080913</v>
      </c>
      <c r="S900" t="str">
        <f>IFERROR(IF(AND('Дивиденды по годам'!L900&lt;&gt;"",'Дивиденды по годам'!I900&lt;&gt;"",'Дивиденды по годам'!J900&lt;&gt;"",'Дивиденды по годам'!K900&lt;&gt;"",('Дивиденды по годам'!I900-'Дивиденды по годам'!J900-'Дивиденды по годам'!K900)&lt;&gt;0),'Дивиденды по годам'!L900/('Дивиденды по годам'!I900-'Дивиденды по годам'!J900-'Дивиденды по годам'!K900),""),"")</f>
        <v/>
      </c>
      <c r="T900">
        <f>IFERROR(IF(AND('Дивиденды по годам'!Q900&lt;&gt;"",'Дивиденды по годам'!I900&lt;&gt;"",'Дивиденды по годам'!V900&lt;&gt;"",('Дивиденды по годам'!I900+'Дивиденды по годам'!V900)&lt;&gt;0),'Дивиденды по годам'!Q900/(('Дивиденды по годам'!I900+'Дивиденды по годам'!V900)/2),""),"")</f>
        <v>4.6771602143631748E-2</v>
      </c>
      <c r="U900">
        <f>IFERROR(IF(AND('Дивиденды по годам'!J900&lt;&gt;"",'Дивиденды по годам'!K900&lt;&gt;"",'Дивиденды по годам'!M900&lt;&gt;"",'Дивиденды по годам'!M900&lt;&gt;0),('Дивиденды по годам'!J900+'Дивиденды по годам'!K900)/'Дивиденды по годам'!M900,""),"")</f>
        <v>749.89825581395348</v>
      </c>
      <c r="V900">
        <f>IFERROR(IF(AND('Дивиденды по годам'!J900&lt;&gt;"",'Дивиденды по годам'!K900&lt;&gt;"",'Дивиденды по годам'!M900&lt;&gt;"",'Дивиденды по годам'!I900&lt;&gt;0),('Дивиденды по годам'!J900+'Дивиденды по годам'!K900)/'Дивиденды по годам'!I900,""),"")</f>
        <v>0.99866826165561406</v>
      </c>
      <c r="W900">
        <f>IFERROR('Дивиденды по годам'!I900,"")</f>
        <v>1291545000000</v>
      </c>
      <c r="X900" cm="1">
        <f t="array" ref="X900">IFERROR(AVERAGE(_xlfn._xlws.FILTER(P$2:P$1073,($C$2:$C$1073=$C900)*($E$2:$E$1073=$E900)*(ROW(P$2:P$1073)&lt;&gt;ROW(P900))*(P$2:P$1073&lt;&gt;""))),"")</f>
        <v>24.527690443915521</v>
      </c>
      <c r="Y900" cm="1">
        <f t="array" ref="Y900">IFERROR(AVERAGE(_xlfn._xlws.FILTER(Q$2:Q$1073,($C$2:$C$1073=$C900)*($E$2:$E$1073=$E900)*(ROW(Q$2:Q$1073)&lt;&gt;ROW(Q900))*(Q$2:Q$1073&lt;&gt;""))),"")</f>
        <v>0.1010816149783535</v>
      </c>
      <c r="Z900" cm="1">
        <f t="array" ref="Z900">IFERROR(AVERAGE(_xlfn._xlws.FILTER(R$2:R$1073,($C$2:$C$1073=$C900)*($E$2:$E$1073=$E900)*(ROW(R$2:R$1073)&lt;&gt;ROW(R900))*(R$2:R$1073&lt;&gt;""))),"")</f>
        <v>0.51000246586809928</v>
      </c>
      <c r="AA900" cm="1">
        <f t="array" ref="AA900">IFERROR(AVERAGE(_xlfn._xlws.FILTER(S$2:S$1073,($C$2:$C$1073=$C900)*($E$2:$E$1073=$E900)*(ROW(S$2:S$1073)&lt;&gt;ROW(S900))*(S$2:S$1073&lt;&gt;""))),"")</f>
        <v>0.7038137743387477</v>
      </c>
      <c r="AB900" cm="1">
        <f t="array" ref="AB900">IFERROR(AVERAGE(_xlfn._xlws.FILTER(T$2:T$1073,($C$2:$C$1073=$C900)*($E$2:$E$1073=$E900)*(ROW(T$2:T$1073)&lt;&gt;ROW(T900))*(T$2:T$1073&lt;&gt;""))),"")</f>
        <v>0.19460130713388882</v>
      </c>
      <c r="AC900" cm="1">
        <f t="array" ref="AC900">IFERROR(AVERAGE(_xlfn._xlws.FILTER(U$2:U$1073,($C$2:$C$1073=$C900)*($E$2:$E$1073=$E900)*(ROW(U$2:U$1073)&lt;&gt;ROW(U900))*(U$2:U$1073&lt;&gt;""))),"")</f>
        <v>2.2634411056711912</v>
      </c>
      <c r="AD900" cm="1">
        <f t="array" ref="AD900">IFERROR(AVERAGE(_xlfn._xlws.FILTER(V$2:V$1073,($C$2:$C$1073=$C900)*($E$2:$E$1073=$E900)*(ROW(V$2:V$1073)&lt;&gt;ROW(V900))*(V$2:V$1073&lt;&gt;""))),"")</f>
        <v>0.58773700358962955</v>
      </c>
      <c r="AE900">
        <f>IF('Дивиденды по годам'!M900&lt;0,1,0)</f>
        <v>0</v>
      </c>
    </row>
    <row r="901" spans="1:31" x14ac:dyDescent="0.2">
      <c r="A901" s="7" t="s">
        <v>2289</v>
      </c>
      <c r="B901" t="str">
        <f t="shared" si="154"/>
        <v>MTSS IV кв. 2022</v>
      </c>
      <c r="C901">
        <v>2022</v>
      </c>
      <c r="D901">
        <f>SUMIFS(Дивиденды!$C:$C,Дивиденды!$A:$A,A901,Дивиденды!$I:$I,C901)</f>
        <v>34.29</v>
      </c>
      <c r="E901">
        <v>5</v>
      </c>
      <c r="F901">
        <f t="shared" si="155"/>
        <v>34.29</v>
      </c>
      <c r="G901">
        <f t="shared" si="156"/>
        <v>3.9954545454545456</v>
      </c>
      <c r="H901">
        <f t="shared" si="157"/>
        <v>1</v>
      </c>
      <c r="I901">
        <f t="shared" si="158"/>
        <v>0.18181818181818182</v>
      </c>
      <c r="J901">
        <f t="shared" si="159"/>
        <v>-0.22770270270270282</v>
      </c>
      <c r="K901">
        <f t="shared" si="164"/>
        <v>0.10865231259968104</v>
      </c>
      <c r="L901">
        <f t="shared" si="160"/>
        <v>0</v>
      </c>
      <c r="M901">
        <f t="shared" si="161"/>
        <v>0.18181818181818182</v>
      </c>
      <c r="N901">
        <f t="shared" si="162"/>
        <v>1</v>
      </c>
      <c r="O901">
        <f t="shared" si="163"/>
        <v>0</v>
      </c>
      <c r="P901">
        <f>IFERROR(LN('Дивиденды по годам'!I901),"")</f>
        <v>27.710691446586061</v>
      </c>
      <c r="Q901">
        <f>IFERROR('Дивиденды по годам'!G901/'Дивиденды по годам'!I901, "")</f>
        <v>0.28857728569713648</v>
      </c>
      <c r="R901">
        <f>IFERROR(IF(AND('Дивиденды по годам'!N901&lt;&gt;"",'Дивиденды по годам'!U901&lt;&gt;"",'Дивиденды по годам'!U901&lt;&gt;0),'Дивиденды по годам'!N901/'Дивиденды по годам'!U901-1,""),"")</f>
        <v>1.3746180317101508E-2</v>
      </c>
      <c r="S901" t="str">
        <f>IFERROR(IF(AND('Дивиденды по годам'!L901&lt;&gt;"",'Дивиденды по годам'!I901&lt;&gt;"",'Дивиденды по годам'!J901&lt;&gt;"",'Дивиденды по годам'!K901&lt;&gt;"",('Дивиденды по годам'!I901-'Дивиденды по годам'!J901-'Дивиденды по годам'!K901)&lt;&gt;0),'Дивиденды по годам'!L901/('Дивиденды по годам'!I901-'Дивиденды по годам'!J901-'Дивиденды по годам'!K901),""),"")</f>
        <v/>
      </c>
      <c r="T901">
        <f>IFERROR(IF(AND('Дивиденды по годам'!Q901&lt;&gt;"",'Дивиденды по годам'!I901&lt;&gt;"",'Дивиденды по годам'!V901&lt;&gt;"",('Дивиденды по годам'!I901+'Дивиденды по годам'!V901)&lt;&gt;0),'Дивиденды по годам'!Q901/(('Дивиденды по годам'!I901+'Дивиденды по годам'!V901)/2),""),"")</f>
        <v>3.186185287609565E-2</v>
      </c>
      <c r="U901">
        <f>IFERROR(IF(AND('Дивиденды по годам'!J901&lt;&gt;"",'Дивиденды по годам'!K901&lt;&gt;"",'Дивиденды по годам'!M901&lt;&gt;"",'Дивиденды по годам'!M901&lt;&gt;0),('Дивиденды по годам'!J901+'Дивиденды по годам'!K901)/'Дивиденды по годам'!M901,""),"")</f>
        <v>-300.40005529444289</v>
      </c>
      <c r="V901">
        <f>IFERROR(IF(AND('Дивиденды по годам'!J901&lt;&gt;"",'Дивиденды по годам'!K901&lt;&gt;"",'Дивиденды по годам'!M901&lt;&gt;"",'Дивиденды по годам'!I901&lt;&gt;0),('Дивиденды по годам'!J901+'Дивиденды по годам'!K901)/'Дивиденды по годам'!I901,""),"")</f>
        <v>1.0033400127432059</v>
      </c>
      <c r="W901">
        <f>IFERROR('Дивиденды по годам'!I901,"")</f>
        <v>1082930000000</v>
      </c>
      <c r="X901" cm="1">
        <f t="array" ref="X901">IFERROR(AVERAGE(_xlfn._xlws.FILTER(P$2:P$1073,($C$2:$C$1073=$C901)*($E$2:$E$1073=$E901)*(ROW(P$2:P$1073)&lt;&gt;ROW(P901))*(P$2:P$1073&lt;&gt;""))),"")</f>
        <v>24.314048251831842</v>
      </c>
      <c r="Y901" cm="1">
        <f t="array" ref="Y901">IFERROR(AVERAGE(_xlfn._xlws.FILTER(Q$2:Q$1073,($C$2:$C$1073=$C901)*($E$2:$E$1073=$E901)*(ROW(Q$2:Q$1073)&lt;&gt;ROW(Q901))*(Q$2:Q$1073&lt;&gt;""))),"")</f>
        <v>5.676674770458788E-2</v>
      </c>
      <c r="Z901" cm="1">
        <f t="array" ref="Z901">IFERROR(AVERAGE(_xlfn._xlws.FILTER(R$2:R$1073,($C$2:$C$1073=$C901)*($E$2:$E$1073=$E901)*(ROW(R$2:R$1073)&lt;&gt;ROW(R901))*(R$2:R$1073&lt;&gt;""))),"")</f>
        <v>0.76359932885509174</v>
      </c>
      <c r="AA901" cm="1">
        <f t="array" ref="AA901">IFERROR(AVERAGE(_xlfn._xlws.FILTER(S$2:S$1073,($C$2:$C$1073=$C901)*($E$2:$E$1073=$E901)*(ROW(S$2:S$1073)&lt;&gt;ROW(S901))*(S$2:S$1073&lt;&gt;""))),"")</f>
        <v>0.79975694618495274</v>
      </c>
      <c r="AB901" cm="1">
        <f t="array" ref="AB901">IFERROR(AVERAGE(_xlfn._xlws.FILTER(T$2:T$1073,($C$2:$C$1073=$C901)*($E$2:$E$1073=$E901)*(ROW(T$2:T$1073)&lt;&gt;ROW(T901))*(T$2:T$1073&lt;&gt;""))),"")</f>
        <v>0.45424211382955332</v>
      </c>
      <c r="AC901" cm="1">
        <f t="array" ref="AC901">IFERROR(AVERAGE(_xlfn._xlws.FILTER(U$2:U$1073,($C$2:$C$1073=$C901)*($E$2:$E$1073=$E901)*(ROW(U$2:U$1073)&lt;&gt;ROW(U901))*(U$2:U$1073&lt;&gt;""))),"")</f>
        <v>2.2504855284750676</v>
      </c>
      <c r="AD901" cm="1">
        <f t="array" ref="AD901">IFERROR(AVERAGE(_xlfn._xlws.FILTER(V$2:V$1073,($C$2:$C$1073=$C901)*($E$2:$E$1073=$E901)*(ROW(V$2:V$1073)&lt;&gt;ROW(V901))*(V$2:V$1073&lt;&gt;""))),"")</f>
        <v>0.65064997013444137</v>
      </c>
      <c r="AE901">
        <f>IF('Дивиденды по годам'!M901&lt;0,1,0)</f>
        <v>1</v>
      </c>
    </row>
    <row r="902" spans="1:31" x14ac:dyDescent="0.2">
      <c r="A902" s="7" t="s">
        <v>2289</v>
      </c>
      <c r="B902" t="str">
        <f t="shared" si="154"/>
        <v>MTSS IV кв. 2021</v>
      </c>
      <c r="C902">
        <v>2021</v>
      </c>
      <c r="D902">
        <f>SUMIFS(Дивиденды!$C:$C,Дивиденды!$A:$A,A902,Дивиденды!$I:$I,C902)</f>
        <v>44.400000000000006</v>
      </c>
      <c r="E902">
        <v>5</v>
      </c>
      <c r="F902">
        <f t="shared" si="155"/>
        <v>44.400000000000006</v>
      </c>
      <c r="G902">
        <f t="shared" si="156"/>
        <v>0.41454545454545449</v>
      </c>
      <c r="H902">
        <f t="shared" si="157"/>
        <v>1</v>
      </c>
      <c r="I902">
        <f t="shared" si="158"/>
        <v>9.0909090909090912E-2</v>
      </c>
      <c r="J902">
        <f t="shared" si="159"/>
        <v>0.25282167042889414</v>
      </c>
      <c r="K902">
        <f t="shared" si="164"/>
        <v>-8.0000000000000071E-3</v>
      </c>
      <c r="L902">
        <f t="shared" si="160"/>
        <v>1</v>
      </c>
      <c r="M902">
        <f t="shared" si="161"/>
        <v>0</v>
      </c>
      <c r="N902">
        <f t="shared" si="162"/>
        <v>0</v>
      </c>
      <c r="O902">
        <f t="shared" si="163"/>
        <v>9.0909090909090912E-2</v>
      </c>
      <c r="P902">
        <f>IFERROR(LN('Дивиденды по годам'!I902),"")</f>
        <v>27.646715315180185</v>
      </c>
      <c r="Q902">
        <f>IFERROR('Дивиденды по годам'!G902/'Дивиденды по годам'!I902, "")</f>
        <v>0.3064033124043874</v>
      </c>
      <c r="R902">
        <f>IFERROR(IF(AND('Дивиденды по годам'!N902&lt;&gt;"",'Дивиденды по годам'!U902&lt;&gt;"",'Дивиденды по годам'!U902&lt;&gt;0),'Дивиденды по годам'!N902/'Дивиденды по годам'!U902-1,""),"")</f>
        <v>7.9763439382857237E-2</v>
      </c>
      <c r="S902">
        <f>IFERROR(IF(AND('Дивиденды по годам'!L902&lt;&gt;"",'Дивиденды по годам'!I902&lt;&gt;"",'Дивиденды по годам'!J902&lt;&gt;"",'Дивиденды по годам'!K902&lt;&gt;"",('Дивиденды по годам'!I902-'Дивиденды по годам'!J902-'Дивиденды по годам'!K902)&lt;&gt;0),'Дивиденды по годам'!L902/('Дивиденды по годам'!I902-'Дивиденды по годам'!J902-'Дивиденды по годам'!K902),""),"")</f>
        <v>6.5006162695152012</v>
      </c>
      <c r="T902">
        <f>IFERROR(IF(AND('Дивиденды по годам'!Q902&lt;&gt;"",'Дивиденды по годам'!I902&lt;&gt;"",'Дивиденды по годам'!V902&lt;&gt;"",('Дивиденды по годам'!I902+'Дивиденды по годам'!V902)&lt;&gt;0),'Дивиденды по годам'!Q902/(('Дивиденды по годам'!I902+'Дивиденды по годам'!V902)/2),""),"")</f>
        <v>6.6427186061546614E-2</v>
      </c>
      <c r="U902">
        <f>IFERROR(IF(AND('Дивиденды по годам'!J902&lt;&gt;"",'Дивиденды по годам'!K902&lt;&gt;"",'Дивиденды по годам'!M902&lt;&gt;"",'Дивиденды по годам'!M902&lt;&gt;0),('Дивиденды по годам'!J902+'Дивиденды по годам'!K902)/'Дивиденды по годам'!M902,""),"")</f>
        <v>68.557518488085449</v>
      </c>
      <c r="V902">
        <f>IFERROR(IF(AND('Дивиденды по годам'!J902&lt;&gt;"",'Дивиденды по годам'!K902&lt;&gt;"",'Дивиденды по годам'!M902&lt;&gt;"",'Дивиденды по годам'!I902&lt;&gt;0),('Дивиденды по годам'!J902+'Дивиденды по годам'!K902)/'Дивиденды по годам'!I902,""),"")</f>
        <v>0.98562340891773925</v>
      </c>
      <c r="W902">
        <f>IFERROR('Дивиденды по годам'!I902,"")</f>
        <v>1015818000000</v>
      </c>
      <c r="X902" cm="1">
        <f t="array" ref="X902">IFERROR(AVERAGE(_xlfn._xlws.FILTER(P$2:P$1073,($C$2:$C$1073=$C902)*($E$2:$E$1073=$E902)*(ROW(P$2:P$1073)&lt;&gt;ROW(P902))*(P$2:P$1073&lt;&gt;""))),"")</f>
        <v>24.10623436970431</v>
      </c>
      <c r="Y902" cm="1">
        <f t="array" ref="Y902">IFERROR(AVERAGE(_xlfn._xlws.FILTER(Q$2:Q$1073,($C$2:$C$1073=$C902)*($E$2:$E$1073=$E902)*(ROW(Q$2:Q$1073)&lt;&gt;ROW(Q902))*(Q$2:Q$1073&lt;&gt;""))),"")</f>
        <v>0.16757863433389189</v>
      </c>
      <c r="Z902" cm="1">
        <f t="array" ref="Z902">IFERROR(AVERAGE(_xlfn._xlws.FILTER(R$2:R$1073,($C$2:$C$1073=$C902)*($E$2:$E$1073=$E902)*(ROW(R$2:R$1073)&lt;&gt;ROW(R902))*(R$2:R$1073&lt;&gt;""))),"")</f>
        <v>9.9897161753952982E-2</v>
      </c>
      <c r="AA902" cm="1">
        <f t="array" ref="AA902">IFERROR(AVERAGE(_xlfn._xlws.FILTER(S$2:S$1073,($C$2:$C$1073=$C902)*($E$2:$E$1073=$E902)*(ROW(S$2:S$1073)&lt;&gt;ROW(S902))*(S$2:S$1073&lt;&gt;""))),"")</f>
        <v>0.68747230280846727</v>
      </c>
      <c r="AB902" cm="1">
        <f t="array" ref="AB902">IFERROR(AVERAGE(_xlfn._xlws.FILTER(T$2:T$1073,($C$2:$C$1073=$C902)*($E$2:$E$1073=$E902)*(ROW(T$2:T$1073)&lt;&gt;ROW(T902))*(T$2:T$1073&lt;&gt;""))),"")</f>
        <v>9.9985794397185912E-2</v>
      </c>
      <c r="AC902" cm="1">
        <f t="array" ref="AC902">IFERROR(AVERAGE(_xlfn._xlws.FILTER(U$2:U$1073,($C$2:$C$1073=$C902)*($E$2:$E$1073=$E902)*(ROW(U$2:U$1073)&lt;&gt;ROW(U902))*(U$2:U$1073&lt;&gt;""))),"")</f>
        <v>9.9866789459405148</v>
      </c>
      <c r="AD902" cm="1">
        <f t="array" ref="AD902">IFERROR(AVERAGE(_xlfn._xlws.FILTER(V$2:V$1073,($C$2:$C$1073=$C902)*($E$2:$E$1073=$E902)*(ROW(V$2:V$1073)&lt;&gt;ROW(V902))*(V$2:V$1073&lt;&gt;""))),"")</f>
        <v>0.82747166227326363</v>
      </c>
      <c r="AE902">
        <f>IF('Дивиденды по годам'!M902&lt;0,1,0)</f>
        <v>0</v>
      </c>
    </row>
    <row r="903" spans="1:31" x14ac:dyDescent="0.2">
      <c r="A903" s="7" t="s">
        <v>2289</v>
      </c>
      <c r="B903" t="str">
        <f t="shared" si="154"/>
        <v>MTSS IV кв. 2020</v>
      </c>
      <c r="C903">
        <v>2020</v>
      </c>
      <c r="D903">
        <f>SUMIFS(Дивиденды!$C:$C,Дивиденды!$A:$A,A903,Дивиденды!$I:$I,C903)</f>
        <v>35.44</v>
      </c>
      <c r="E903">
        <v>5</v>
      </c>
      <c r="F903">
        <f t="shared" si="155"/>
        <v>35.44</v>
      </c>
      <c r="G903">
        <f t="shared" si="156"/>
        <v>0.45454545454545453</v>
      </c>
      <c r="H903">
        <f t="shared" si="157"/>
        <v>1</v>
      </c>
      <c r="I903">
        <f t="shared" si="158"/>
        <v>9.0909090909090912E-2</v>
      </c>
      <c r="J903">
        <f t="shared" si="159"/>
        <v>-0.16611764705882359</v>
      </c>
      <c r="K903">
        <f t="shared" si="164"/>
        <v>0</v>
      </c>
      <c r="L903">
        <f t="shared" si="160"/>
        <v>0</v>
      </c>
      <c r="M903">
        <f t="shared" si="161"/>
        <v>0</v>
      </c>
      <c r="N903">
        <f t="shared" si="162"/>
        <v>1</v>
      </c>
      <c r="O903">
        <f t="shared" si="163"/>
        <v>0</v>
      </c>
      <c r="P903">
        <f>IFERROR(LN('Дивиденды по годам'!I903),"")</f>
        <v>27.546772827183204</v>
      </c>
      <c r="Q903">
        <f>IFERROR('Дивиденды по годам'!G903/'Дивиденды по годам'!I903, "")</f>
        <v>0.30983797920589901</v>
      </c>
      <c r="R903">
        <f>IFERROR(IF(AND('Дивиденды по годам'!N903&lt;&gt;"",'Дивиденды по годам'!U903&lt;&gt;"",'Дивиденды по годам'!U903&lt;&gt;0),'Дивиденды по годам'!N903/'Дивиденды по годам'!U903-1,""),"")</f>
        <v>3.9529012446807954E-2</v>
      </c>
      <c r="S903">
        <f>IFERROR(IF(AND('Дивиденды по годам'!L903&lt;&gt;"",'Дивиденды по годам'!I903&lt;&gt;"",'Дивиденды по годам'!J903&lt;&gt;"",'Дивиденды по годам'!K903&lt;&gt;"",('Дивиденды по годам'!I903-'Дивиденды по годам'!J903-'Дивиденды по годам'!K903)&lt;&gt;0),'Дивиденды по годам'!L903/('Дивиденды по годам'!I903-'Дивиденды по годам'!J903-'Дивиденды по годам'!K903),""),"")</f>
        <v>2.8874579382074028</v>
      </c>
      <c r="T903">
        <f>IFERROR(IF(AND('Дивиденды по годам'!Q903&lt;&gt;"",'Дивиденды по годам'!I903&lt;&gt;"",'Дивиденды по годам'!V903&lt;&gt;"",('Дивиденды по годам'!I903+'Дивиденды по годам'!V903)&lt;&gt;0),'Дивиденды по годам'!Q903/(('Дивиденды по годам'!I903+'Дивиденды по годам'!V903)/2),""),"")</f>
        <v>7.1220856020235063E-2</v>
      </c>
      <c r="U903">
        <f>IFERROR(IF(AND('Дивиденды по годам'!J903&lt;&gt;"",'Дивиденды по годам'!K903&lt;&gt;"",'Дивиденды по годам'!M903&lt;&gt;"",'Дивиденды по годам'!M903&lt;&gt;0),('Дивиденды по годам'!J903+'Дивиденды по годам'!K903)/'Дивиденды по годам'!M903,""),"")</f>
        <v>27.11878250229428</v>
      </c>
      <c r="V903">
        <f>IFERROR(IF(AND('Дивиденды по годам'!J903&lt;&gt;"",'Дивиденды по годам'!K903&lt;&gt;"",'Дивиденды по годам'!M903&lt;&gt;"",'Дивиденды по годам'!I903&lt;&gt;0),('Дивиденды по годам'!J903+'Дивиденды по годам'!K903)/'Дивиденды по годам'!I903,""),"")</f>
        <v>0.96443658256119702</v>
      </c>
      <c r="W903">
        <f>IFERROR('Дивиденды по годам'!I903,"")</f>
        <v>919203000000</v>
      </c>
      <c r="X903" cm="1">
        <f t="array" ref="X903">IFERROR(AVERAGE(_xlfn._xlws.FILTER(P$2:P$1073,($C$2:$C$1073=$C903)*($E$2:$E$1073=$E903)*(ROW(P$2:P$1073)&lt;&gt;ROW(P903))*(P$2:P$1073&lt;&gt;""))),"")</f>
        <v>24.809854291982678</v>
      </c>
      <c r="Y903" cm="1">
        <f t="array" ref="Y903">IFERROR(AVERAGE(_xlfn._xlws.FILTER(Q$2:Q$1073,($C$2:$C$1073=$C903)*($E$2:$E$1073=$E903)*(ROW(Q$2:Q$1073)&lt;&gt;ROW(Q903))*(Q$2:Q$1073&lt;&gt;""))),"")</f>
        <v>0.21446774550878236</v>
      </c>
      <c r="Z903" cm="1">
        <f t="array" ref="Z903">IFERROR(AVERAGE(_xlfn._xlws.FILTER(R$2:R$1073,($C$2:$C$1073=$C903)*($E$2:$E$1073=$E903)*(ROW(R$2:R$1073)&lt;&gt;ROW(R903))*(R$2:R$1073&lt;&gt;""))),"")</f>
        <v>0.61170467578155241</v>
      </c>
      <c r="AA903" cm="1">
        <f t="array" ref="AA903">IFERROR(AVERAGE(_xlfn._xlws.FILTER(S$2:S$1073,($C$2:$C$1073=$C903)*($E$2:$E$1073=$E903)*(ROW(S$2:S$1073)&lt;&gt;ROW(S903))*(S$2:S$1073&lt;&gt;""))),"")</f>
        <v>0.88153116294582168</v>
      </c>
      <c r="AB903" cm="1">
        <f t="array" ref="AB903">IFERROR(AVERAGE(_xlfn._xlws.FILTER(T$2:T$1073,($C$2:$C$1073=$C903)*($E$2:$E$1073=$E903)*(ROW(T$2:T$1073)&lt;&gt;ROW(T903))*(T$2:T$1073&lt;&gt;""))),"")</f>
        <v>0.14502078323870632</v>
      </c>
      <c r="AC903" cm="1">
        <f t="array" ref="AC903">IFERROR(AVERAGE(_xlfn._xlws.FILTER(U$2:U$1073,($C$2:$C$1073=$C903)*($E$2:$E$1073=$E903)*(ROW(U$2:U$1073)&lt;&gt;ROW(U903))*(U$2:U$1073&lt;&gt;""))),"")</f>
        <v>3.8508009470861331</v>
      </c>
      <c r="AD903" cm="1">
        <f t="array" ref="AD903">IFERROR(AVERAGE(_xlfn._xlws.FILTER(V$2:V$1073,($C$2:$C$1073=$C903)*($E$2:$E$1073=$E903)*(ROW(V$2:V$1073)&lt;&gt;ROW(V903))*(V$2:V$1073&lt;&gt;""))),"")</f>
        <v>0.75351825499144987</v>
      </c>
      <c r="AE903">
        <f>IF('Дивиденды по годам'!M903&lt;0,1,0)</f>
        <v>0</v>
      </c>
    </row>
    <row r="904" spans="1:31" x14ac:dyDescent="0.2">
      <c r="A904" s="7" t="s">
        <v>2289</v>
      </c>
      <c r="B904" t="str">
        <f t="shared" si="154"/>
        <v>MTSS IV кв. 2019</v>
      </c>
      <c r="C904">
        <v>2019</v>
      </c>
      <c r="D904">
        <f>SUMIFS(Дивиденды!$C:$C,Дивиденды!$A:$A,A904,Дивиденды!$I:$I,C904)</f>
        <v>42.5</v>
      </c>
      <c r="E904">
        <v>5</v>
      </c>
      <c r="F904">
        <f t="shared" si="155"/>
        <v>42.5</v>
      </c>
      <c r="G904">
        <f t="shared" si="156"/>
        <v>0.45454545454545453</v>
      </c>
      <c r="H904">
        <f t="shared" si="157"/>
        <v>1</v>
      </c>
      <c r="I904">
        <f t="shared" si="158"/>
        <v>9.0909090909090912E-2</v>
      </c>
      <c r="J904">
        <f t="shared" si="159"/>
        <v>0.88219663418954808</v>
      </c>
      <c r="K904">
        <f t="shared" si="164"/>
        <v>0</v>
      </c>
      <c r="L904">
        <f t="shared" si="160"/>
        <v>1</v>
      </c>
      <c r="M904">
        <f t="shared" si="161"/>
        <v>0</v>
      </c>
      <c r="N904">
        <f t="shared" si="162"/>
        <v>0</v>
      </c>
      <c r="O904">
        <f t="shared" si="163"/>
        <v>0</v>
      </c>
      <c r="P904">
        <f>IFERROR(LN('Дивиденды по годам'!I904),"")</f>
        <v>27.437327137589612</v>
      </c>
      <c r="Q904">
        <f>IFERROR('Дивиденды по годам'!G904/'Дивиденды по годам'!I904, "")</f>
        <v>0.32221844618951101</v>
      </c>
      <c r="R904">
        <f>IFERROR(IF(AND('Дивиденды по годам'!N904&lt;&gt;"",'Дивиденды по годам'!U904&lt;&gt;"",'Дивиденды по годам'!U904&lt;&gt;0),'Дивиденды по годам'!N904/'Дивиденды по годам'!U904-1,""),"")</f>
        <v>-8.7175953012015306E-3</v>
      </c>
      <c r="S904">
        <f>IFERROR(IF(AND('Дивиденды по годам'!L904&lt;&gt;"",'Дивиденды по годам'!I904&lt;&gt;"",'Дивиденды по годам'!J904&lt;&gt;"",'Дивиденды по годам'!K904&lt;&gt;"",('Дивиденды по годам'!I904-'Дивиденды по годам'!J904-'Дивиденды по годам'!K904)&lt;&gt;0),'Дивиденды по годам'!L904/('Дивиденды по годам'!I904-'Дивиденды по годам'!J904-'Дивиденды по годам'!K904),""),"")</f>
        <v>2.3423916030114853</v>
      </c>
      <c r="T904">
        <f>IFERROR(IF(AND('Дивиденды по годам'!Q904&lt;&gt;"",'Дивиденды по годам'!I904&lt;&gt;"",'Дивиденды по годам'!V904&lt;&gt;"",('Дивиденды по годам'!I904+'Дивиденды по годам'!V904)&lt;&gt;0),'Дивиденды по годам'!Q904/(('Дивиденды по годам'!I904+'Дивиденды по годам'!V904)/2),""),"")</f>
        <v>6.3335714692140888E-2</v>
      </c>
      <c r="U904">
        <f>IFERROR(IF(AND('Дивиденды по годам'!J904&lt;&gt;"",'Дивиденды по годам'!K904&lt;&gt;"",'Дивиденды по годам'!M904&lt;&gt;"",'Дивиденды по годам'!M904&lt;&gt;0),('Дивиденды по годам'!J904+'Дивиденды по годам'!K904)/'Дивиденды по годам'!M904,""),"")</f>
        <v>21.638621750838052</v>
      </c>
      <c r="V904">
        <f>IFERROR(IF(AND('Дивиденды по годам'!J904&lt;&gt;"",'Дивиденды по годам'!K904&lt;&gt;"",'Дивиденды по годам'!M904&lt;&gt;"",'Дивиденды по годам'!I904&lt;&gt;0),('Дивиденды по годам'!J904+'Дивиденды по годам'!K904)/'Дивиденды по годам'!I904,""),"")</f>
        <v>0.95582769962738645</v>
      </c>
      <c r="W904">
        <f>IFERROR('Дивиденды по годам'!I904,"")</f>
        <v>823910000000</v>
      </c>
      <c r="X904" cm="1">
        <f t="array" ref="X904">IFERROR(AVERAGE(_xlfn._xlws.FILTER(P$2:P$1073,($C$2:$C$1073=$C904)*($E$2:$E$1073=$E904)*(ROW(P$2:P$1073)&lt;&gt;ROW(P904))*(P$2:P$1073&lt;&gt;""))),"")</f>
        <v>24.83038584843376</v>
      </c>
      <c r="Y904" cm="1">
        <f t="array" ref="Y904">IFERROR(AVERAGE(_xlfn._xlws.FILTER(Q$2:Q$1073,($C$2:$C$1073=$C904)*($E$2:$E$1073=$E904)*(ROW(Q$2:Q$1073)&lt;&gt;ROW(Q904))*(Q$2:Q$1073&lt;&gt;""))),"")</f>
        <v>0.31319004261336947</v>
      </c>
      <c r="Z904" cm="1">
        <f t="array" ref="Z904">IFERROR(AVERAGE(_xlfn._xlws.FILTER(R$2:R$1073,($C$2:$C$1073=$C904)*($E$2:$E$1073=$E904)*(ROW(R$2:R$1073)&lt;&gt;ROW(R904))*(R$2:R$1073&lt;&gt;""))),"")</f>
        <v>0.19629465625159914</v>
      </c>
      <c r="AA904" cm="1">
        <f t="array" ref="AA904">IFERROR(AVERAGE(_xlfn._xlws.FILTER(S$2:S$1073,($C$2:$C$1073=$C904)*($E$2:$E$1073=$E904)*(ROW(S$2:S$1073)&lt;&gt;ROW(S904))*(S$2:S$1073&lt;&gt;""))),"")</f>
        <v>1.076045542405824</v>
      </c>
      <c r="AB904" cm="1">
        <f t="array" ref="AB904">IFERROR(AVERAGE(_xlfn._xlws.FILTER(T$2:T$1073,($C$2:$C$1073=$C904)*($E$2:$E$1073=$E904)*(ROW(T$2:T$1073)&lt;&gt;ROW(T904))*(T$2:T$1073&lt;&gt;""))),"")</f>
        <v>2.9225164043297492E-2</v>
      </c>
      <c r="AC904" cm="1">
        <f t="array" ref="AC904">IFERROR(AVERAGE(_xlfn._xlws.FILTER(U$2:U$1073,($C$2:$C$1073=$C904)*($E$2:$E$1073=$E904)*(ROW(U$2:U$1073)&lt;&gt;ROW(U904))*(U$2:U$1073&lt;&gt;""))),"")</f>
        <v>2.8998161938131872</v>
      </c>
      <c r="AD904" cm="1">
        <f t="array" ref="AD904">IFERROR(AVERAGE(_xlfn._xlws.FILTER(V$2:V$1073,($C$2:$C$1073=$C904)*($E$2:$E$1073=$E904)*(ROW(V$2:V$1073)&lt;&gt;ROW(V904))*(V$2:V$1073&lt;&gt;""))),"")</f>
        <v>0.7204310730128497</v>
      </c>
      <c r="AE904">
        <f>IF('Дивиденды по годам'!M904&lt;0,1,0)</f>
        <v>0</v>
      </c>
    </row>
    <row r="905" spans="1:31" x14ac:dyDescent="0.2">
      <c r="A905" s="7" t="s">
        <v>2289</v>
      </c>
      <c r="B905" t="str">
        <f t="shared" si="154"/>
        <v>MTSS IV кв. 2018</v>
      </c>
      <c r="C905">
        <v>2018</v>
      </c>
      <c r="D905">
        <f>SUMIFS(Дивиденды!$C:$C,Дивиденды!$A:$A,A905,Дивиденды!$I:$I,C905)</f>
        <v>22.580000000000002</v>
      </c>
      <c r="E905">
        <v>5</v>
      </c>
      <c r="F905">
        <f t="shared" si="155"/>
        <v>22.580000000000002</v>
      </c>
      <c r="G905">
        <f t="shared" si="156"/>
        <v>0.45454545454545453</v>
      </c>
      <c r="H905">
        <f t="shared" si="157"/>
        <v>1</v>
      </c>
      <c r="I905">
        <f t="shared" si="158"/>
        <v>9.0909090909090912E-2</v>
      </c>
      <c r="J905">
        <f t="shared" si="159"/>
        <v>-0.33195266272189339</v>
      </c>
      <c r="K905">
        <f t="shared" si="164"/>
        <v>-9.0009000900089691E-4</v>
      </c>
      <c r="L905">
        <f t="shared" si="160"/>
        <v>0</v>
      </c>
      <c r="M905">
        <f t="shared" si="161"/>
        <v>0</v>
      </c>
      <c r="N905">
        <f t="shared" si="162"/>
        <v>1</v>
      </c>
      <c r="O905">
        <f t="shared" si="163"/>
        <v>9.0909090909090912E-2</v>
      </c>
      <c r="P905">
        <f>IFERROR(LN('Дивиденды по годам'!I905),"")</f>
        <v>27.543274559669943</v>
      </c>
      <c r="Q905">
        <f>IFERROR('Дивиденды по годам'!G905/'Дивиденды по годам'!I905, "")</f>
        <v>0.30179597442338535</v>
      </c>
      <c r="R905">
        <f>IFERROR(IF(AND('Дивиденды по годам'!N905&lt;&gt;"",'Дивиденды по годам'!U905&lt;&gt;"",'Дивиденды по годам'!U905&lt;&gt;0),'Дивиденды по годам'!N905/'Дивиденды по годам'!U905-1,""),"")</f>
        <v>8.44007035273453E-2</v>
      </c>
      <c r="S905">
        <f>IFERROR(IF(AND('Дивиденды по годам'!L905&lt;&gt;"",'Дивиденды по годам'!I905&lt;&gt;"",'Дивиденды по годам'!J905&lt;&gt;"",'Дивиденды по годам'!K905&lt;&gt;"",('Дивиденды по годам'!I905-'Дивиденды по годам'!J905-'Дивиденды по годам'!K905)&lt;&gt;0),'Дивиденды по годам'!L905/('Дивиденды по годам'!I905-'Дивиденды по годам'!J905-'Дивиденды по годам'!K905),""),"")</f>
        <v>1.4303616321794623</v>
      </c>
      <c r="T905">
        <f>IFERROR(IF(AND('Дивиденды по годам'!Q905&lt;&gt;"",'Дивиденды по годам'!I905&lt;&gt;"",'Дивиденды по годам'!V905&lt;&gt;"",('Дивиденды по годам'!I905+'Дивиденды по годам'!V905)&lt;&gt;0),'Дивиденды по годам'!Q905/(('Дивиденды по годам'!I905+'Дивиденды по годам'!V905)/2),""),"")</f>
        <v>1.0677114752399863E-2</v>
      </c>
      <c r="U905">
        <f>IFERROR(IF(AND('Дивиденды по годам'!J905&lt;&gt;"",'Дивиденды по годам'!K905&lt;&gt;"",'Дивиденды по годам'!M905&lt;&gt;"",'Дивиденды по годам'!M905&lt;&gt;0),('Дивиденды по годам'!J905+'Дивиденды по годам'!K905)/'Дивиденды по годам'!M905,""),"")</f>
        <v>10.809359891703732</v>
      </c>
      <c r="V905">
        <f>IFERROR(IF(AND('Дивиденды по годам'!J905&lt;&gt;"",'Дивиденды по годам'!K905&lt;&gt;"",'Дивиденды по годам'!M905&lt;&gt;"",'Дивиденды по годам'!I905&lt;&gt;0),('Дивиденды по годам'!J905+'Дивиденды по годам'!K905)/'Дивиденды по годам'!I905,""),"")</f>
        <v>0.91532140529458195</v>
      </c>
      <c r="W905">
        <f>IFERROR('Дивиденды по годам'!I905,"")</f>
        <v>915993000000</v>
      </c>
      <c r="X905" cm="1">
        <f t="array" ref="X905">IFERROR(AVERAGE(_xlfn._xlws.FILTER(P$2:P$1073,($C$2:$C$1073=$C905)*($E$2:$E$1073=$E905)*(ROW(P$2:P$1073)&lt;&gt;ROW(P905))*(P$2:P$1073&lt;&gt;""))),"")</f>
        <v>24.683914644882215</v>
      </c>
      <c r="Y905" cm="1">
        <f t="array" ref="Y905">IFERROR(AVERAGE(_xlfn._xlws.FILTER(Q$2:Q$1073,($C$2:$C$1073=$C905)*($E$2:$E$1073=$E905)*(ROW(Q$2:Q$1073)&lt;&gt;ROW(Q905))*(Q$2:Q$1073&lt;&gt;""))),"")</f>
        <v>0.32927867264397981</v>
      </c>
      <c r="Z905" cm="1">
        <f t="array" ref="Z905">IFERROR(AVERAGE(_xlfn._xlws.FILTER(R$2:R$1073,($C$2:$C$1073=$C905)*($E$2:$E$1073=$E905)*(ROW(R$2:R$1073)&lt;&gt;ROW(R905))*(R$2:R$1073&lt;&gt;""))),"")</f>
        <v>4.8832570767925798E-2</v>
      </c>
      <c r="AA905" cm="1">
        <f t="array" ref="AA905">IFERROR(AVERAGE(_xlfn._xlws.FILTER(S$2:S$1073,($C$2:$C$1073=$C905)*($E$2:$E$1073=$E905)*(ROW(S$2:S$1073)&lt;&gt;ROW(S905))*(S$2:S$1073&lt;&gt;""))),"")</f>
        <v>1.0929327274585792</v>
      </c>
      <c r="AB905" cm="1">
        <f t="array" ref="AB905">IFERROR(AVERAGE(_xlfn._xlws.FILTER(T$2:T$1073,($C$2:$C$1073=$C905)*($E$2:$E$1073=$E905)*(ROW(T$2:T$1073)&lt;&gt;ROW(T905))*(T$2:T$1073&lt;&gt;""))),"")</f>
        <v>2.4874999482185096E-2</v>
      </c>
      <c r="AC905" cm="1">
        <f t="array" ref="AC905">IFERROR(AVERAGE(_xlfn._xlws.FILTER(U$2:U$1073,($C$2:$C$1073=$C905)*($E$2:$E$1073=$E905)*(ROW(U$2:U$1073)&lt;&gt;ROW(U905))*(U$2:U$1073&lt;&gt;""))),"")</f>
        <v>2.8000042244622705</v>
      </c>
      <c r="AD905" cm="1">
        <f t="array" ref="AD905">IFERROR(AVERAGE(_xlfn._xlws.FILTER(V$2:V$1073,($C$2:$C$1073=$C905)*($E$2:$E$1073=$E905)*(ROW(V$2:V$1073)&lt;&gt;ROW(V905))*(V$2:V$1073&lt;&gt;""))),"")</f>
        <v>0.70644728961740322</v>
      </c>
      <c r="AE905">
        <f>IF('Дивиденды по годам'!M905&lt;0,1,0)</f>
        <v>0</v>
      </c>
    </row>
    <row r="906" spans="1:31" x14ac:dyDescent="0.2">
      <c r="A906" s="7" t="s">
        <v>2289</v>
      </c>
      <c r="B906" t="str">
        <f t="shared" si="154"/>
        <v>MTSS IV кв. 2017</v>
      </c>
      <c r="C906">
        <v>2017</v>
      </c>
      <c r="D906">
        <f>SUMIFS(Дивиденды!$C:$C,Дивиденды!$A:$A,A906,Дивиденды!$I:$I,C906)</f>
        <v>33.799999999999997</v>
      </c>
      <c r="E906">
        <v>5</v>
      </c>
      <c r="F906">
        <f t="shared" si="155"/>
        <v>33.799999999999997</v>
      </c>
      <c r="G906">
        <f t="shared" si="156"/>
        <v>0.45909090909090905</v>
      </c>
      <c r="H906">
        <f t="shared" si="157"/>
        <v>1</v>
      </c>
      <c r="I906">
        <f t="shared" si="158"/>
        <v>9.0909090909090912E-2</v>
      </c>
      <c r="J906">
        <f t="shared" si="159"/>
        <v>0.22508155128669799</v>
      </c>
      <c r="K906">
        <f t="shared" si="164"/>
        <v>-5.7345252150446937E-3</v>
      </c>
      <c r="L906">
        <f t="shared" si="160"/>
        <v>1</v>
      </c>
      <c r="M906">
        <f t="shared" si="161"/>
        <v>0</v>
      </c>
      <c r="N906">
        <f t="shared" si="162"/>
        <v>0</v>
      </c>
      <c r="O906">
        <f t="shared" si="163"/>
        <v>9.0909090909090912E-2</v>
      </c>
      <c r="P906">
        <f>IFERROR(LN('Дивиденды по годам'!I906),"")</f>
        <v>27.035127679772494</v>
      </c>
      <c r="Q906">
        <f>IFERROR('Дивиденды по годам'!G906/'Дивиденды по годам'!I906, "")</f>
        <v>0.47736766653964108</v>
      </c>
      <c r="R906">
        <f>IFERROR(IF(AND('Дивиденды по годам'!N906&lt;&gt;"",'Дивиденды по годам'!U906&lt;&gt;"",'Дивиденды по годам'!U906&lt;&gt;0),'Дивиденды по годам'!N906/'Дивиденды по годам'!U906-1,""),"")</f>
        <v>1.6569044187178195E-2</v>
      </c>
      <c r="S906">
        <f>IFERROR(IF(AND('Дивиденды по годам'!L906&lt;&gt;"",'Дивиденды по годам'!I906&lt;&gt;"",'Дивиденды по годам'!J906&lt;&gt;"",'Дивиденды по годам'!K906&lt;&gt;"",('Дивиденды по годам'!I906-'Дивиденды по годам'!J906-'Дивиденды по годам'!K906)&lt;&gt;0),'Дивиденды по годам'!L906/('Дивиденды по годам'!I906-'Дивиденды по годам'!J906-'Дивиденды по годам'!K906),""),"")</f>
        <v>1.2160782577190934</v>
      </c>
      <c r="T906">
        <f>IFERROR(IF(AND('Дивиденды по годам'!Q906&lt;&gt;"",'Дивиденды по годам'!I906&lt;&gt;"",'Дивиденды по годам'!V906&lt;&gt;"",('Дивиденды по годам'!I906+'Дивиденды по годам'!V906)&lt;&gt;0),'Дивиденды по годам'!Q906/(('Дивиденды по годам'!I906+'Дивиденды по годам'!V906)/2),""),"")</f>
        <v>0.10330978330321121</v>
      </c>
      <c r="U906">
        <f>IFERROR(IF(AND('Дивиденды по годам'!J906&lt;&gt;"",'Дивиденды по годам'!K906&lt;&gt;"",'Дивиденды по годам'!M906&lt;&gt;"",'Дивиденды по годам'!M906&lt;&gt;0),('Дивиденды по годам'!J906+'Дивиденды по годам'!K906)/'Дивиденды по годам'!M906,""),"")</f>
        <v>3.4367779074916469</v>
      </c>
      <c r="V906">
        <f>IFERROR(IF(AND('Дивиденды по годам'!J906&lt;&gt;"",'Дивиденды по годам'!K906&lt;&gt;"",'Дивиденды по годам'!M906&lt;&gt;"",'Дивиденды по годам'!I906&lt;&gt;0),('Дивиденды по годам'!J906+'Дивиденды по годам'!K906)/'Дивиденды по годам'!I906,""),"")</f>
        <v>0.7746112109169434</v>
      </c>
      <c r="W906">
        <f>IFERROR('Дивиденды по годам'!I906,"")</f>
        <v>551070000000</v>
      </c>
      <c r="X906" cm="1">
        <f t="array" ref="X906">IFERROR(AVERAGE(_xlfn._xlws.FILTER(P$2:P$1073,($C$2:$C$1073=$C906)*($E$2:$E$1073=$E906)*(ROW(P$2:P$1073)&lt;&gt;ROW(P906))*(P$2:P$1073&lt;&gt;""))),"")</f>
        <v>27.051611465658535</v>
      </c>
      <c r="Y906" cm="1">
        <f t="array" ref="Y906">IFERROR(AVERAGE(_xlfn._xlws.FILTER(Q$2:Q$1073,($C$2:$C$1073=$C906)*($E$2:$E$1073=$E906)*(ROW(Q$2:Q$1073)&lt;&gt;ROW(Q906))*(Q$2:Q$1073&lt;&gt;""))),"")</f>
        <v>0.62194209867750505</v>
      </c>
      <c r="Z906" cm="1">
        <f t="array" ref="Z906">IFERROR(AVERAGE(_xlfn._xlws.FILTER(R$2:R$1073,($C$2:$C$1073=$C906)*($E$2:$E$1073=$E906)*(ROW(R$2:R$1073)&lt;&gt;ROW(R906))*(R$2:R$1073&lt;&gt;""))),"")</f>
        <v>2.6502289491201703E-2</v>
      </c>
      <c r="AA906" cm="1">
        <f t="array" ref="AA906">IFERROR(AVERAGE(_xlfn._xlws.FILTER(S$2:S$1073,($C$2:$C$1073=$C906)*($E$2:$E$1073=$E906)*(ROW(S$2:S$1073)&lt;&gt;ROW(S906))*(S$2:S$1073&lt;&gt;""))),"")</f>
        <v>1.2491538473877544</v>
      </c>
      <c r="AB906" cm="1">
        <f t="array" ref="AB906">IFERROR(AVERAGE(_xlfn._xlws.FILTER(T$2:T$1073,($C$2:$C$1073=$C906)*($E$2:$E$1073=$E906)*(ROW(T$2:T$1073)&lt;&gt;ROW(T906))*(T$2:T$1073&lt;&gt;""))),"")</f>
        <v>2.5181219649237259E-2</v>
      </c>
      <c r="AC906" cm="1">
        <f t="array" ref="AC906">IFERROR(AVERAGE(_xlfn._xlws.FILTER(U$2:U$1073,($C$2:$C$1073=$C906)*($E$2:$E$1073=$E906)*(ROW(U$2:U$1073)&lt;&gt;ROW(U906))*(U$2:U$1073&lt;&gt;""))),"")</f>
        <v>1.2466314303588328</v>
      </c>
      <c r="AD906" cm="1">
        <f t="array" ref="AD906">IFERROR(AVERAGE(_xlfn._xlws.FILTER(V$2:V$1073,($C$2:$C$1073=$C906)*($E$2:$E$1073=$E906)*(ROW(V$2:V$1073)&lt;&gt;ROW(V906))*(V$2:V$1073&lt;&gt;""))),"")</f>
        <v>0.55488916139650035</v>
      </c>
      <c r="AE906">
        <f>IF('Дивиденды по годам'!M906&lt;0,1,0)</f>
        <v>0</v>
      </c>
    </row>
    <row r="907" spans="1:31" x14ac:dyDescent="0.2">
      <c r="A907" s="7" t="s">
        <v>2289</v>
      </c>
      <c r="B907" t="str">
        <f t="shared" si="154"/>
        <v>MTSS IV кв. 2016</v>
      </c>
      <c r="C907">
        <v>2016</v>
      </c>
      <c r="D907">
        <f>SUMIFS(Дивиденды!$C:$C,Дивиденды!$A:$A,A907,Дивиденды!$I:$I,C907)</f>
        <v>27.59</v>
      </c>
      <c r="E907">
        <v>5</v>
      </c>
      <c r="F907">
        <f t="shared" si="155"/>
        <v>27.59</v>
      </c>
      <c r="G907">
        <f t="shared" si="156"/>
        <v>0.49</v>
      </c>
      <c r="H907">
        <f t="shared" si="157"/>
        <v>1</v>
      </c>
      <c r="I907">
        <f t="shared" si="158"/>
        <v>9.0909090909090912E-2</v>
      </c>
      <c r="J907">
        <f t="shared" si="159"/>
        <v>0.40621814475025475</v>
      </c>
      <c r="K907">
        <f t="shared" si="164"/>
        <v>-8.138820638820642E-3</v>
      </c>
      <c r="L907">
        <f t="shared" si="160"/>
        <v>1</v>
      </c>
      <c r="M907">
        <f t="shared" si="161"/>
        <v>0</v>
      </c>
      <c r="N907">
        <f t="shared" si="162"/>
        <v>0</v>
      </c>
      <c r="O907">
        <f t="shared" si="163"/>
        <v>9.0909090909090912E-2</v>
      </c>
      <c r="P907">
        <f>IFERROR(LN('Дивиденды по годам'!I907),"")</f>
        <v>27.023078681382831</v>
      </c>
      <c r="Q907">
        <f>IFERROR('Дивиденды по годам'!G907/'Дивиденды по годам'!I907, "")</f>
        <v>0.50111300898121114</v>
      </c>
      <c r="R907">
        <f>IFERROR(IF(AND('Дивиденды по годам'!N907&lt;&gt;"",'Дивиденды по годам'!U907&lt;&gt;"",'Дивиденды по годам'!U907&lt;&gt;0),'Дивиденды по годам'!N907/'Дивиденды по годам'!U907-1,""),"")</f>
        <v>1.0342460670822229E-2</v>
      </c>
      <c r="S907">
        <f>IFERROR(IF(AND('Дивиденды по годам'!L907&lt;&gt;"",'Дивиденды по годам'!I907&lt;&gt;"",'Дивиденды по годам'!J907&lt;&gt;"",'Дивиденды по годам'!K907&lt;&gt;"",('Дивиденды по годам'!I907-'Дивиденды по годам'!J907-'Дивиденды по годам'!K907)&lt;&gt;0),'Дивиденды по годам'!L907/('Дивиденды по годам'!I907-'Дивиденды по годам'!J907-'Дивиденды по годам'!K907),""),"")</f>
        <v>1.0116291994331286</v>
      </c>
      <c r="T907">
        <f>IFERROR(IF(AND('Дивиденды по годам'!Q907&lt;&gt;"",'Дивиденды по годам'!I907&lt;&gt;"",'Дивиденды по годам'!V907&lt;&gt;"",('Дивиденды по годам'!I907+'Дивиденды по годам'!V907)&lt;&gt;0),'Дивиденды по годам'!Q907/(('Дивиденды по годам'!I907+'Дивиденды по годам'!V907)/2),""),"")</f>
        <v>8.7608778409280649E-2</v>
      </c>
      <c r="U907">
        <f>IFERROR(IF(AND('Дивиденды по годам'!J907&lt;&gt;"",'Дивиденды по годам'!K907&lt;&gt;"",'Дивиденды по годам'!M907&lt;&gt;"",'Дивиденды по годам'!M907&lt;&gt;0),('Дивиденды по годам'!J907+'Дивиденды по годам'!K907)/'Дивиденды по годам'!M907,""),"")</f>
        <v>2.7824075360546865</v>
      </c>
      <c r="V907">
        <f>IFERROR(IF(AND('Дивиденды по годам'!J907&lt;&gt;"",'Дивиденды по годам'!K907&lt;&gt;"",'Дивиденды по годам'!M907&lt;&gt;"",'Дивиденды по годам'!I907&lt;&gt;0),('Дивиденды по годам'!J907+'Дивиденды по годам'!K907)/'Дивиденды по годам'!I907,""),"")</f>
        <v>0.73561812404723859</v>
      </c>
      <c r="W907">
        <f>IFERROR('Дивиденды по годам'!I907,"")</f>
        <v>544470000000</v>
      </c>
      <c r="X907" cm="1">
        <f t="array" ref="X907">IFERROR(AVERAGE(_xlfn._xlws.FILTER(P$2:P$1073,($C$2:$C$1073=$C907)*($E$2:$E$1073=$E907)*(ROW(P$2:P$1073)&lt;&gt;ROW(P907))*(P$2:P$1073&lt;&gt;""))),"")</f>
        <v>27.043462025129479</v>
      </c>
      <c r="Y907" cm="1">
        <f t="array" ref="Y907">IFERROR(AVERAGE(_xlfn._xlws.FILTER(Q$2:Q$1073,($C$2:$C$1073=$C907)*($E$2:$E$1073=$E907)*(ROW(Q$2:Q$1073)&lt;&gt;ROW(Q907))*(Q$2:Q$1073&lt;&gt;""))),"")</f>
        <v>0.61845983854074815</v>
      </c>
      <c r="Z907" cm="1">
        <f t="array" ref="Z907">IFERROR(AVERAGE(_xlfn._xlws.FILTER(R$2:R$1073,($C$2:$C$1073=$C907)*($E$2:$E$1073=$E907)*(ROW(R$2:R$1073)&lt;&gt;ROW(R907))*(R$2:R$1073&lt;&gt;""))),"")</f>
        <v>3.0603151115671245E-4</v>
      </c>
      <c r="AA907" cm="1">
        <f t="array" ref="AA907">IFERROR(AVERAGE(_xlfn._xlws.FILTER(S$2:S$1073,($C$2:$C$1073=$C907)*($E$2:$E$1073=$E907)*(ROW(S$2:S$1073)&lt;&gt;ROW(S907))*(S$2:S$1073&lt;&gt;""))),"")</f>
        <v>1.2515112635893064</v>
      </c>
      <c r="AB907" cm="1">
        <f t="array" ref="AB907">IFERROR(AVERAGE(_xlfn._xlws.FILTER(T$2:T$1073,($C$2:$C$1073=$C907)*($E$2:$E$1073=$E907)*(ROW(T$2:T$1073)&lt;&gt;ROW(T907))*(T$2:T$1073&lt;&gt;""))),"")</f>
        <v>2.2130041318805204E-2</v>
      </c>
      <c r="AC907" cm="1">
        <f t="array" ref="AC907">IFERROR(AVERAGE(_xlfn._xlws.FILTER(U$2:U$1073,($C$2:$C$1073=$C907)*($E$2:$E$1073=$E907)*(ROW(U$2:U$1073)&lt;&gt;ROW(U907))*(U$2:U$1073&lt;&gt;""))),"")</f>
        <v>1.2349486994888048</v>
      </c>
      <c r="AD907" cm="1">
        <f t="array" ref="AD907">IFERROR(AVERAGE(_xlfn._xlws.FILTER(V$2:V$1073,($C$2:$C$1073=$C907)*($E$2:$E$1073=$E907)*(ROW(V$2:V$1073)&lt;&gt;ROW(V907))*(V$2:V$1073&lt;&gt;""))),"")</f>
        <v>0.55256243678938677</v>
      </c>
      <c r="AE907">
        <f>IF('Дивиденды по годам'!M907&lt;0,1,0)</f>
        <v>0</v>
      </c>
    </row>
    <row r="908" spans="1:31" x14ac:dyDescent="0.2">
      <c r="A908" s="7" t="s">
        <v>2289</v>
      </c>
      <c r="B908" t="str">
        <f t="shared" si="154"/>
        <v>MTSS IV кв. 2015</v>
      </c>
      <c r="C908">
        <v>2015</v>
      </c>
      <c r="D908">
        <f>SUMIFS(Дивиденды!$C:$C,Дивиденды!$A:$A,A908,Дивиденды!$I:$I,C908)</f>
        <v>19.62</v>
      </c>
      <c r="E908">
        <v>5</v>
      </c>
      <c r="F908">
        <f t="shared" si="155"/>
        <v>19.62</v>
      </c>
      <c r="G908">
        <f t="shared" si="156"/>
        <v>0.53818181818181821</v>
      </c>
      <c r="H908">
        <f t="shared" si="157"/>
        <v>1</v>
      </c>
      <c r="I908">
        <f t="shared" si="158"/>
        <v>9.0909090909090912E-2</v>
      </c>
      <c r="J908">
        <f t="shared" si="159"/>
        <v>-0.23835403726708065</v>
      </c>
      <c r="K908">
        <f t="shared" si="164"/>
        <v>7.022318998366904E-2</v>
      </c>
      <c r="L908">
        <f t="shared" si="160"/>
        <v>0</v>
      </c>
      <c r="M908">
        <f t="shared" si="161"/>
        <v>9.0909090909090912E-2</v>
      </c>
      <c r="N908">
        <f t="shared" si="162"/>
        <v>1</v>
      </c>
      <c r="O908">
        <f t="shared" si="163"/>
        <v>0</v>
      </c>
      <c r="P908">
        <f>IFERROR(LN('Дивиденды по годам'!I908),"")</f>
        <v>27.205421665512862</v>
      </c>
      <c r="Q908">
        <f>IFERROR('Дивиденды по годам'!G908/'Дивиденды по годам'!I908, "")</f>
        <v>0.46322649369890018</v>
      </c>
      <c r="R908">
        <f>IFERROR(IF(AND('Дивиденды по годам'!N908&lt;&gt;"",'Дивиденды по годам'!U908&lt;&gt;"",'Дивиденды по годам'!U908&lt;&gt;0),'Дивиденды по годам'!N908/'Дивиденды по годам'!U908-1,""),"")</f>
        <v>4.9844433948943223E-2</v>
      </c>
      <c r="S908" t="str">
        <f>IFERROR(IF(AND('Дивиденды по годам'!L908&lt;&gt;"",'Дивиденды по годам'!I908&lt;&gt;"",'Дивиденды по годам'!J908&lt;&gt;"",'Дивиденды по годам'!K908&lt;&gt;"",('Дивиденды по годам'!I908-'Дивиденды по годам'!J908-'Дивиденды по годам'!K908)&lt;&gt;0),'Дивиденды по годам'!L908/('Дивиденды по годам'!I908-'Дивиденды по годам'!J908-'Дивиденды по годам'!K908),""),"")</f>
        <v/>
      </c>
      <c r="T908">
        <f>IFERROR(IF(AND('Дивиденды по годам'!Q908&lt;&gt;"",'Дивиденды по годам'!I908&lt;&gt;"",'Дивиденды по годам'!V908&lt;&gt;"",('Дивиденды по годам'!I908+'Дивиденды по годам'!V908)&lt;&gt;0),'Дивиденды по годам'!Q908/(('Дивиденды по годам'!I908+'Дивиденды по годам'!V908)/2),""),"")</f>
        <v>7.5107046236844499E-2</v>
      </c>
      <c r="U908">
        <f>IFERROR(IF(AND('Дивиденды по годам'!J908&lt;&gt;"",'Дивиденды по годам'!K908&lt;&gt;"",'Дивиденды по годам'!M908&lt;&gt;"",'Дивиденды по годам'!M908&lt;&gt;0),('Дивиденды по годам'!J908+'Дивиденды по годам'!K908)/'Дивиденды по годам'!M908,""),"")</f>
        <v>2.8805851363952226</v>
      </c>
      <c r="V908">
        <f>IFERROR(IF(AND('Дивиденды по годам'!J908&lt;&gt;"",'Дивиденды по годам'!K908&lt;&gt;"",'Дивиденды по годам'!M908&lt;&gt;"",'Дивиденды по годам'!I908&lt;&gt;0),('Дивиденды по годам'!J908+'Дивиденды по годам'!K908)/'Дивиденды по годам'!I908,""),"")</f>
        <v>0.7423069035076173</v>
      </c>
      <c r="W908">
        <f>IFERROR('Дивиденды по годам'!I908,"")</f>
        <v>653378000000</v>
      </c>
      <c r="X908" cm="1">
        <f t="array" ref="X908">IFERROR(AVERAGE(_xlfn._xlws.FILTER(P$2:P$1073,($C$2:$C$1073=$C908)*($E$2:$E$1073=$E908)*(ROW(P$2:P$1073)&lt;&gt;ROW(P908))*(P$2:P$1073&lt;&gt;""))),"")</f>
        <v>27.03558123977265</v>
      </c>
      <c r="Y908" cm="1">
        <f t="array" ref="Y908">IFERROR(AVERAGE(_xlfn._xlws.FILTER(Q$2:Q$1073,($C$2:$C$1073=$C908)*($E$2:$E$1073=$E908)*(ROW(Q$2:Q$1073)&lt;&gt;ROW(Q908))*(Q$2:Q$1073&lt;&gt;""))),"")</f>
        <v>0.61434194297322786</v>
      </c>
      <c r="Z908" cm="1">
        <f t="array" ref="Z908">IFERROR(AVERAGE(_xlfn._xlws.FILTER(R$2:R$1073,($C$2:$C$1073=$C908)*($E$2:$E$1073=$E908)*(ROW(R$2:R$1073)&lt;&gt;ROW(R908))*(R$2:R$1073&lt;&gt;""))),"")</f>
        <v>-5.2920849543549586E-3</v>
      </c>
      <c r="AA908" cm="1">
        <f t="array" ref="AA908">IFERROR(AVERAGE(_xlfn._xlws.FILTER(S$2:S$1073,($C$2:$C$1073=$C908)*($E$2:$E$1073=$E908)*(ROW(S$2:S$1073)&lt;&gt;ROW(S908))*(S$2:S$1073&lt;&gt;""))),"")</f>
        <v>1.2586396116380416</v>
      </c>
      <c r="AB908" cm="1">
        <f t="array" ref="AB908">IFERROR(AVERAGE(_xlfn._xlws.FILTER(T$2:T$1073,($C$2:$C$1073=$C908)*($E$2:$E$1073=$E908)*(ROW(T$2:T$1073)&lt;&gt;ROW(T908))*(T$2:T$1073&lt;&gt;""))),"")</f>
        <v>2.6166548782949106E-2</v>
      </c>
      <c r="AC908" cm="1">
        <f t="array" ref="AC908">IFERROR(AVERAGE(_xlfn._xlws.FILTER(U$2:U$1073,($C$2:$C$1073=$C908)*($E$2:$E$1073=$E908)*(ROW(U$2:U$1073)&lt;&gt;ROW(U908))*(U$2:U$1073&lt;&gt;""))),"")</f>
        <v>1.2082478851576519</v>
      </c>
      <c r="AD908" cm="1">
        <f t="array" ref="AD908">IFERROR(AVERAGE(_xlfn._xlws.FILTER(V$2:V$1073,($C$2:$C$1073=$C908)*($E$2:$E$1073=$E908)*(ROW(V$2:V$1073)&lt;&gt;ROW(V908))*(V$2:V$1073&lt;&gt;""))),"")</f>
        <v>0.54715228905173041</v>
      </c>
      <c r="AE908">
        <f>IF('Дивиденды по годам'!M908&lt;0,1,0)</f>
        <v>0</v>
      </c>
    </row>
    <row r="909" spans="1:31" x14ac:dyDescent="0.2">
      <c r="A909" s="7" t="s">
        <v>2289</v>
      </c>
      <c r="B909" t="str">
        <f t="shared" si="154"/>
        <v>MTSS IV кв. 2014</v>
      </c>
      <c r="C909">
        <v>2014</v>
      </c>
      <c r="D909">
        <f>SUMIFS(Дивиденды!$C:$C,Дивиденды!$A:$A,A909,Дивиденды!$I:$I,C909)</f>
        <v>25.759999999999998</v>
      </c>
      <c r="E909">
        <v>5</v>
      </c>
      <c r="F909">
        <f t="shared" si="155"/>
        <v>25.759999999999998</v>
      </c>
      <c r="G909">
        <f t="shared" si="156"/>
        <v>0.30363636363636365</v>
      </c>
      <c r="H909">
        <f t="shared" si="157"/>
        <v>1</v>
      </c>
      <c r="I909">
        <f t="shared" si="158"/>
        <v>9.0909090909090912E-2</v>
      </c>
      <c r="J909">
        <f t="shared" si="159"/>
        <v>8.1444164567590169E-2</v>
      </c>
      <c r="K909">
        <f t="shared" si="164"/>
        <v>6.4102564102564022E-3</v>
      </c>
      <c r="L909">
        <f t="shared" si="160"/>
        <v>1</v>
      </c>
      <c r="M909">
        <f t="shared" si="161"/>
        <v>9.0909090909090912E-2</v>
      </c>
      <c r="N909">
        <f t="shared" si="162"/>
        <v>0</v>
      </c>
      <c r="O909">
        <f t="shared" si="163"/>
        <v>0</v>
      </c>
      <c r="P909">
        <f>IFERROR(LN('Дивиденды по годам'!I909),"")</f>
        <v>27.134964228834377</v>
      </c>
      <c r="Q909">
        <f>IFERROR('Дивиденды по годам'!G909/'Дивиденды по годам'!I909, "")</f>
        <v>0.49181428972602625</v>
      </c>
      <c r="R909">
        <f>IFERROR(IF(AND('Дивиденды по годам'!N909&lt;&gt;"",'Дивиденды по годам'!U909&lt;&gt;"",'Дивиденды по годам'!U909&lt;&gt;0),'Дивиденды по годам'!N909/'Дивиденды по годам'!U909-1,""),"")</f>
        <v>3.0907808645151302E-2</v>
      </c>
      <c r="S909">
        <f>IFERROR(IF(AND('Дивиденды по годам'!L909&lt;&gt;"",'Дивиденды по годам'!I909&lt;&gt;"",'Дивиденды по годам'!J909&lt;&gt;"",'Дивиденды по годам'!K909&lt;&gt;"",('Дивиденды по годам'!I909-'Дивиденды по годам'!J909-'Дивиденды по годам'!K909)&lt;&gt;0),'Дивиденды по годам'!L909/('Дивиденды по годам'!I909-'Дивиденды по годам'!J909-'Дивиденды по годам'!K909),""),"")</f>
        <v>0.97453619701089234</v>
      </c>
      <c r="T909">
        <f>IFERROR(IF(AND('Дивиденды по годам'!Q909&lt;&gt;"",'Дивиденды по годам'!I909&lt;&gt;"",'Дивиденды по годам'!V909&lt;&gt;"",('Дивиденды по годам'!I909+'Дивиденды по годам'!V909)&lt;&gt;0),'Дивиденды по годам'!Q909/(('Дивиденды по годам'!I909+'Дивиденды по годам'!V909)/2),""),"")</f>
        <v>9.5742979813623452E-2</v>
      </c>
      <c r="U909">
        <f>IFERROR(IF(AND('Дивиденды по годам'!J909&lt;&gt;"",'Дивиденды по годам'!K909&lt;&gt;"",'Дивиденды по годам'!M909&lt;&gt;"",'Дивиденды по годам'!M909&lt;&gt;0),('Дивиденды по годам'!J909+'Дивиденды по годам'!K909)/'Дивиденды по годам'!M909,""),"")</f>
        <v>2.3996047276361261</v>
      </c>
      <c r="V909">
        <f>IFERROR(IF(AND('Дивиденды по годам'!J909&lt;&gt;"",'Дивиденды по годам'!K909&lt;&gt;"",'Дивиденды по годам'!M909&lt;&gt;"",'Дивиденды по годам'!I909&lt;&gt;0),('Дивиденды по годам'!J909+'Дивиденды по годам'!K909)/'Дивиденды по годам'!I909,""),"")</f>
        <v>0.70584815585447847</v>
      </c>
      <c r="W909">
        <f>IFERROR('Дивиденды по годам'!I909,"")</f>
        <v>608927000000</v>
      </c>
      <c r="X909" cm="1">
        <f t="array" ref="X909">IFERROR(AVERAGE(_xlfn._xlws.FILTER(P$2:P$1073,($C$2:$C$1073=$C909)*($E$2:$E$1073=$E909)*(ROW(P$2:P$1073)&lt;&gt;ROW(P909))*(P$2:P$1073&lt;&gt;""))),"")</f>
        <v>27.030697389468237</v>
      </c>
      <c r="Y909" cm="1">
        <f t="array" ref="Y909">IFERROR(AVERAGE(_xlfn._xlws.FILTER(Q$2:Q$1073,($C$2:$C$1073=$C909)*($E$2:$E$1073=$E909)*(ROW(Q$2:Q$1073)&lt;&gt;ROW(Q909))*(Q$2:Q$1073&lt;&gt;""))),"")</f>
        <v>0.59833331510624566</v>
      </c>
      <c r="Z909" cm="1">
        <f t="array" ref="Z909">IFERROR(AVERAGE(_xlfn._xlws.FILTER(R$2:R$1073,($C$2:$C$1073=$C909)*($E$2:$E$1073=$E909)*(ROW(R$2:R$1073)&lt;&gt;ROW(R909))*(R$2:R$1073&lt;&gt;""))),"")</f>
        <v>2.8207721094051008E-2</v>
      </c>
      <c r="AA909" cm="1">
        <f t="array" ref="AA909">IFERROR(AVERAGE(_xlfn._xlws.FILTER(S$2:S$1073,($C$2:$C$1073=$C909)*($E$2:$E$1073=$E909)*(ROW(S$2:S$1073)&lt;&gt;ROW(S909))*(S$2:S$1073&lt;&gt;""))),"")</f>
        <v>1.3141212019883619</v>
      </c>
      <c r="AB909" cm="1">
        <f t="array" ref="AB909">IFERROR(AVERAGE(_xlfn._xlws.FILTER(T$2:T$1073,($C$2:$C$1073=$C909)*($E$2:$E$1073=$E909)*(ROW(T$2:T$1073)&lt;&gt;ROW(T909))*(T$2:T$1073&lt;&gt;""))),"")</f>
        <v>2.3759785004767459E-2</v>
      </c>
      <c r="AC909" cm="1">
        <f t="array" ref="AC909">IFERROR(AVERAGE(_xlfn._xlws.FILTER(U$2:U$1073,($C$2:$C$1073=$C909)*($E$2:$E$1073=$E909)*(ROW(U$2:U$1073)&lt;&gt;ROW(U909))*(U$2:U$1073&lt;&gt;""))),"")</f>
        <v>1.2372495687668976</v>
      </c>
      <c r="AD909" cm="1">
        <f t="array" ref="AD909">IFERROR(AVERAGE(_xlfn._xlws.FILTER(V$2:V$1073,($C$2:$C$1073=$C909)*($E$2:$E$1073=$E909)*(ROW(V$2:V$1073)&lt;&gt;ROW(V909))*(V$2:V$1073&lt;&gt;""))),"")</f>
        <v>0.55302259794325548</v>
      </c>
      <c r="AE909">
        <f>IF('Дивиденды по годам'!M909&lt;0,1,0)</f>
        <v>0</v>
      </c>
    </row>
    <row r="910" spans="1:31" x14ac:dyDescent="0.2">
      <c r="A910" s="7" t="s">
        <v>2289</v>
      </c>
      <c r="B910" t="str">
        <f t="shared" si="154"/>
        <v>MTSS IV кв. 2013</v>
      </c>
      <c r="C910">
        <v>2013</v>
      </c>
      <c r="D910">
        <f>SUMIFS(Дивиденды!$C:$C,Дивиденды!$A:$A,A910,Дивиденды!$I:$I,C910)</f>
        <v>23.82</v>
      </c>
      <c r="E910">
        <v>5</v>
      </c>
      <c r="F910">
        <f t="shared" si="155"/>
        <v>23.82</v>
      </c>
      <c r="G910">
        <f t="shared" si="156"/>
        <v>0.28363636363636363</v>
      </c>
      <c r="H910">
        <f t="shared" si="157"/>
        <v>1</v>
      </c>
      <c r="I910">
        <f t="shared" si="158"/>
        <v>9.0909090909090912E-2</v>
      </c>
      <c r="J910">
        <f t="shared" si="159"/>
        <v>0.63150684931506851</v>
      </c>
      <c r="K910">
        <f t="shared" si="164"/>
        <v>2.533532041728764E-2</v>
      </c>
      <c r="L910">
        <f t="shared" si="160"/>
        <v>1</v>
      </c>
      <c r="M910">
        <f t="shared" si="161"/>
        <v>9.0909090909090912E-2</v>
      </c>
      <c r="N910">
        <f t="shared" si="162"/>
        <v>0</v>
      </c>
      <c r="O910">
        <f t="shared" si="163"/>
        <v>0</v>
      </c>
      <c r="P910">
        <f>IFERROR(LN('Дивиденды по годам'!I910),"")</f>
        <v>26.908494557029627</v>
      </c>
      <c r="Q910">
        <f>IFERROR('Дивиденды по годам'!G910/'Дивиденды по годам'!I910, "")</f>
        <v>0.55745956945485697</v>
      </c>
      <c r="R910">
        <f>IFERROR(IF(AND('Дивиденды по годам'!N910&lt;&gt;"",'Дивиденды по годам'!U910&lt;&gt;"",'Дивиденды по годам'!U910&lt;&gt;0),'Дивиденды по годам'!N910/'Дивиденды по годам'!U910-1,""),"")</f>
        <v>3.1465604299374172E-2</v>
      </c>
      <c r="S910" t="str">
        <f>IFERROR(IF(AND('Дивиденды по годам'!L910&lt;&gt;"",'Дивиденды по годам'!I910&lt;&gt;"",'Дивиденды по годам'!J910&lt;&gt;"",'Дивиденды по годам'!K910&lt;&gt;"",('Дивиденды по годам'!I910-'Дивиденды по годам'!J910-'Дивиденды по годам'!K910)&lt;&gt;0),'Дивиденды по годам'!L910/('Дивиденды по годам'!I910-'Дивиденды по годам'!J910-'Дивиденды по годам'!K910),""),"")</f>
        <v/>
      </c>
      <c r="T910">
        <f>IFERROR(IF(AND('Дивиденды по годам'!Q910&lt;&gt;"",'Дивиденды по годам'!I910&lt;&gt;"",'Дивиденды по годам'!V910&lt;&gt;"",('Дивиденды по годам'!I910+'Дивиденды по годам'!V910)&lt;&gt;0),'Дивиденды по годам'!Q910/(('Дивиденды по годам'!I910+'Дивиденды по годам'!V910)/2),""),"")</f>
        <v>0.1620773388033856</v>
      </c>
      <c r="U910">
        <f>IFERROR(IF(AND('Дивиденды по годам'!J910&lt;&gt;"",'Дивиденды по годам'!K910&lt;&gt;"",'Дивиденды по годам'!M910&lt;&gt;"",'Дивиденды по годам'!M910&lt;&gt;0),('Дивиденды по годам'!J910+'Дивиденды по годам'!K910)/'Дивиденды по годам'!M910,""),"")</f>
        <v>2.0538981664936942</v>
      </c>
      <c r="V910">
        <f>IFERROR(IF(AND('Дивиденды по годам'!J910&lt;&gt;"",'Дивиденды по годам'!K910&lt;&gt;"",'Дивиденды по годам'!M910&lt;&gt;"",'Дивиденды по годам'!I910&lt;&gt;0),('Дивиденды по годам'!J910+'Дивиденды по годам'!K910)/'Дивиденды по годам'!I910,""),"")</f>
        <v>0.67254965768942421</v>
      </c>
      <c r="W910">
        <f>IFERROR('Дивиденды по годам'!I910,"")</f>
        <v>485524000000</v>
      </c>
      <c r="X910" cm="1">
        <f t="array" ref="X910">IFERROR(AVERAGE(_xlfn._xlws.FILTER(P$2:P$1073,($C$2:$C$1073=$C910)*($E$2:$E$1073=$E910)*(ROW(P$2:P$1073)&lt;&gt;ROW(P910))*(P$2:P$1073&lt;&gt;""))),"")</f>
        <v>27.052936830350077</v>
      </c>
      <c r="Y910" cm="1">
        <f t="array" ref="Y910">IFERROR(AVERAGE(_xlfn._xlws.FILTER(Q$2:Q$1073,($C$2:$C$1073=$C910)*($E$2:$E$1073=$E910)*(ROW(Q$2:Q$1073)&lt;&gt;ROW(Q910))*(Q$2:Q$1073&lt;&gt;""))),"")</f>
        <v>0.59728293034233437</v>
      </c>
      <c r="Z910" cm="1">
        <f t="array" ref="Z910">IFERROR(AVERAGE(_xlfn._xlws.FILTER(R$2:R$1073,($C$2:$C$1073=$C910)*($E$2:$E$1073=$E910)*(ROW(R$2:R$1073)&lt;&gt;ROW(R910))*(R$2:R$1073&lt;&gt;""))),"")</f>
        <v>-9.498803116566179E-2</v>
      </c>
      <c r="AA910" t="str" cm="1">
        <f t="array" ref="AA910">IFERROR(AVERAGE(_xlfn._xlws.FILTER(S$2:S$1073,($C$2:$C$1073=$C910)*($E$2:$E$1073=$E910)*(ROW(S$2:S$1073)&lt;&gt;ROW(S910))*(S$2:S$1073&lt;&gt;""))),"")</f>
        <v/>
      </c>
      <c r="AB910" cm="1">
        <f t="array" ref="AB910">IFERROR(AVERAGE(_xlfn._xlws.FILTER(T$2:T$1073,($C$2:$C$1073=$C910)*($E$2:$E$1073=$E910)*(ROW(T$2:T$1073)&lt;&gt;ROW(T910))*(T$2:T$1073&lt;&gt;""))),"")</f>
        <v>4.677638884385054E-2</v>
      </c>
      <c r="AC910" cm="1">
        <f t="array" ref="AC910">IFERROR(AVERAGE(_xlfn._xlws.FILTER(U$2:U$1073,($C$2:$C$1073=$C910)*($E$2:$E$1073=$E910)*(ROW(U$2:U$1073)&lt;&gt;ROW(U910))*(U$2:U$1073&lt;&gt;""))),"")</f>
        <v>1.8082861090530447</v>
      </c>
      <c r="AD910" cm="1">
        <f t="array" ref="AD910">IFERROR(AVERAGE(_xlfn._xlws.FILTER(V$2:V$1073,($C$2:$C$1073=$C910)*($E$2:$E$1073=$E910)*(ROW(V$2:V$1073)&lt;&gt;ROW(V910))*(V$2:V$1073&lt;&gt;""))),"")</f>
        <v>0.64391092603552402</v>
      </c>
      <c r="AE910">
        <f>IF('Дивиденды по годам'!M910&lt;0,1,0)</f>
        <v>0</v>
      </c>
    </row>
    <row r="911" spans="1:31" x14ac:dyDescent="0.2">
      <c r="A911" s="7" t="s">
        <v>2289</v>
      </c>
      <c r="B911" t="str">
        <f t="shared" si="154"/>
        <v>MTSS IV кв. 2012</v>
      </c>
      <c r="C911">
        <v>2012</v>
      </c>
      <c r="D911">
        <f>SUMIFS(Дивиденды!$C:$C,Дивиденды!$A:$A,A911,Дивиденды!$I:$I,C911)</f>
        <v>14.6</v>
      </c>
      <c r="E911">
        <v>5</v>
      </c>
      <c r="F911">
        <f t="shared" si="155"/>
        <v>14.6</v>
      </c>
      <c r="G911">
        <f t="shared" si="156"/>
        <v>0.2218181818181818</v>
      </c>
      <c r="H911">
        <f t="shared" si="157"/>
        <v>1</v>
      </c>
      <c r="I911">
        <f t="shared" si="158"/>
        <v>9.0909090909090912E-2</v>
      </c>
      <c r="J911">
        <f t="shared" si="159"/>
        <v>-7.4779061862679267E-3</v>
      </c>
      <c r="K911">
        <f t="shared" si="164"/>
        <v>-4.3713733075435204E-2</v>
      </c>
      <c r="L911">
        <f t="shared" si="160"/>
        <v>0</v>
      </c>
      <c r="M911">
        <f t="shared" si="161"/>
        <v>0</v>
      </c>
      <c r="N911">
        <f t="shared" si="162"/>
        <v>1</v>
      </c>
      <c r="O911">
        <f t="shared" si="163"/>
        <v>9.0909090909090912E-2</v>
      </c>
      <c r="P911">
        <f>IFERROR(LN('Дивиденды по годам'!I911),"")</f>
        <v>26.865987662311966</v>
      </c>
      <c r="Q911">
        <f>IFERROR('Дивиденды по годам'!G911/'Дивиденды по годам'!I911, "")</f>
        <v>0.59734998646181181</v>
      </c>
      <c r="R911" t="str">
        <f>IFERROR(IF(AND('Дивиденды по годам'!N911&lt;&gt;"",'Дивиденды по годам'!U911&lt;&gt;"",'Дивиденды по годам'!U911&lt;&gt;0),'Дивиденды по годам'!N911/'Дивиденды по годам'!U911-1,""),"")</f>
        <v/>
      </c>
      <c r="S911" t="str">
        <f>IFERROR(IF(AND('Дивиденды по годам'!L911&lt;&gt;"",'Дивиденды по годам'!I911&lt;&gt;"",'Дивиденды по годам'!J911&lt;&gt;"",'Дивиденды по годам'!K911&lt;&gt;"",('Дивиденды по годам'!I911-'Дивиденды по годам'!J911-'Дивиденды по годам'!K911)&lt;&gt;0),'Дивиденды по годам'!L911/('Дивиденды по годам'!I911-'Дивиденды по годам'!J911-'Дивиденды по годам'!K911),""),"")</f>
        <v/>
      </c>
      <c r="T911" t="str">
        <f>IFERROR(IF(AND('Дивиденды по годам'!Q911&lt;&gt;"",'Дивиденды по годам'!I911&lt;&gt;"",'Дивиденды по годам'!V911&lt;&gt;"",('Дивиденды по годам'!I911+'Дивиденды по годам'!V911)&lt;&gt;0),'Дивиденды по годам'!Q911/(('Дивиденды по годам'!I911+'Дивиденды по годам'!V911)/2),""),"")</f>
        <v/>
      </c>
      <c r="U911">
        <f>IFERROR(IF(AND('Дивиденды по годам'!J911&lt;&gt;"",'Дивиденды по годам'!K911&lt;&gt;"",'Дивиденды по годам'!M911&lt;&gt;"",'Дивиденды по годам'!M911&lt;&gt;0),('Дивиденды по годам'!J911+'Дивиденды по годам'!K911)/'Дивиденды по годам'!M911,""),"")</f>
        <v>2.9711892555419164</v>
      </c>
      <c r="V911">
        <f>IFERROR(IF(AND('Дивиденды по годам'!J911&lt;&gt;"",'Дивиденды по годам'!K911&lt;&gt;"",'Дивиденды по годам'!M911&lt;&gt;"",'Дивиденды по годам'!I911&lt;&gt;0),('Дивиденды по годам'!J911+'Дивиденды по годам'!K911)/'Дивиденды по годам'!I911,""),"")</f>
        <v>0.74440728637566955</v>
      </c>
      <c r="W911">
        <f>IFERROR('Дивиденды по годам'!I911,"")</f>
        <v>465318364131.78827</v>
      </c>
      <c r="X911" cm="1">
        <f t="array" ref="X911">IFERROR(AVERAGE(_xlfn._xlws.FILTER(P$2:P$1073,($C$2:$C$1073=$C911)*($E$2:$E$1073=$E911)*(ROW(P$2:P$1073)&lt;&gt;ROW(P911))*(P$2:P$1073&lt;&gt;""))),"")</f>
        <v>27.086347387334431</v>
      </c>
      <c r="Y911" cm="1">
        <f t="array" ref="Y911">IFERROR(AVERAGE(_xlfn._xlws.FILTER(Q$2:Q$1073,($C$2:$C$1073=$C911)*($E$2:$E$1073=$E911)*(ROW(Q$2:Q$1073)&lt;&gt;ROW(Q911))*(Q$2:Q$1073&lt;&gt;""))),"")</f>
        <v>0.66547132825659316</v>
      </c>
      <c r="Z911" cm="1">
        <f t="array" ref="Z911">IFERROR(AVERAGE(_xlfn._xlws.FILTER(R$2:R$1073,($C$2:$C$1073=$C911)*($E$2:$E$1073=$E911)*(ROW(R$2:R$1073)&lt;&gt;ROW(R911))*(R$2:R$1073&lt;&gt;""))),"")</f>
        <v>8.5252436531932485E-2</v>
      </c>
      <c r="AA911" t="str" cm="1">
        <f t="array" ref="AA911">IFERROR(AVERAGE(_xlfn._xlws.FILTER(S$2:S$1073,($C$2:$C$1073=$C911)*($E$2:$E$1073=$E911)*(ROW(S$2:S$1073)&lt;&gt;ROW(S911))*(S$2:S$1073&lt;&gt;""))),"")</f>
        <v/>
      </c>
      <c r="AB911" cm="1">
        <f t="array" ref="AB911">IFERROR(AVERAGE(_xlfn._xlws.FILTER(T$2:T$1073,($C$2:$C$1073=$C911)*($E$2:$E$1073=$E911)*(ROW(T$2:T$1073)&lt;&gt;ROW(T911))*(T$2:T$1073&lt;&gt;""))),"")</f>
        <v>6.4593053680603474E-2</v>
      </c>
      <c r="AC911" cm="1">
        <f t="array" ref="AC911">IFERROR(AVERAGE(_xlfn._xlws.FILTER(U$2:U$1073,($C$2:$C$1073=$C911)*($E$2:$E$1073=$E911)*(ROW(U$2:U$1073)&lt;&gt;ROW(U911))*(U$2:U$1073&lt;&gt;""))),"")</f>
        <v>1.2660470531242431</v>
      </c>
      <c r="AD911" cm="1">
        <f t="array" ref="AD911">IFERROR(AVERAGE(_xlfn._xlws.FILTER(V$2:V$1073,($C$2:$C$1073=$C911)*($E$2:$E$1073=$E911)*(ROW(V$2:V$1073)&lt;&gt;ROW(V911))*(V$2:V$1073&lt;&gt;""))),"")</f>
        <v>0.55870289691413044</v>
      </c>
      <c r="AE911">
        <f>IF('Дивиденды по годам'!M911&lt;0,1,0)</f>
        <v>0</v>
      </c>
    </row>
    <row r="912" spans="1:31" x14ac:dyDescent="0.2">
      <c r="A912" s="7" t="s">
        <v>2289</v>
      </c>
      <c r="B912" t="str">
        <f t="shared" si="154"/>
        <v>MTSS IV кв. 2011</v>
      </c>
      <c r="C912">
        <v>2011</v>
      </c>
      <c r="D912">
        <f>SUMIFS(Дивиденды!$C:$C,Дивиденды!$A:$A,A912,Дивиденды!$I:$I,C912)</f>
        <v>14.71</v>
      </c>
      <c r="E912">
        <v>5</v>
      </c>
      <c r="F912">
        <f t="shared" si="155"/>
        <v>14.71</v>
      </c>
      <c r="G912">
        <f t="shared" si="156"/>
        <v>0.4272727272727273</v>
      </c>
      <c r="H912">
        <f t="shared" si="157"/>
        <v>1</v>
      </c>
      <c r="I912">
        <f t="shared" si="158"/>
        <v>9.0909090909090912E-2</v>
      </c>
      <c r="J912">
        <f t="shared" si="159"/>
        <v>1.169188445667137E-2</v>
      </c>
      <c r="K912">
        <f t="shared" si="164"/>
        <v>0.29402129402129396</v>
      </c>
      <c r="L912">
        <f t="shared" si="160"/>
        <v>1</v>
      </c>
      <c r="M912">
        <f t="shared" si="161"/>
        <v>9.0909090909090912E-2</v>
      </c>
      <c r="N912">
        <f t="shared" si="162"/>
        <v>0</v>
      </c>
      <c r="O912">
        <f t="shared" si="163"/>
        <v>0</v>
      </c>
      <c r="P912" t="str">
        <f>IFERROR(LN('Дивиденды по годам'!I912),"")</f>
        <v/>
      </c>
      <c r="Q912" t="str">
        <f>IFERROR('Дивиденды по годам'!G912/'Дивиденды по годам'!I912, "")</f>
        <v/>
      </c>
      <c r="R912" t="str">
        <f>IFERROR(IF(AND('Дивиденды по годам'!N912&lt;&gt;"",'Дивиденды по годам'!U912&lt;&gt;"",'Дивиденды по годам'!U912&lt;&gt;0),'Дивиденды по годам'!N912/'Дивиденды по годам'!U912-1,""),"")</f>
        <v/>
      </c>
      <c r="S912" t="str">
        <f>IFERROR(IF(AND('Дивиденды по годам'!L912&lt;&gt;"",'Дивиденды по годам'!I912&lt;&gt;"",'Дивиденды по годам'!J912&lt;&gt;"",'Дивиденды по годам'!K912&lt;&gt;"",('Дивиденды по годам'!I912-'Дивиденды по годам'!J912-'Дивиденды по годам'!K912)&lt;&gt;0),'Дивиденды по годам'!L912/('Дивиденды по годам'!I912-'Дивиденды по годам'!J912-'Дивиденды по годам'!K912),""),"")</f>
        <v/>
      </c>
      <c r="T912" t="str">
        <f>IFERROR(IF(AND('Дивиденды по годам'!Q912&lt;&gt;"",'Дивиденды по годам'!I912&lt;&gt;"",'Дивиденды по годам'!V912&lt;&gt;"",('Дивиденды по годам'!I912+'Дивиденды по годам'!V912)&lt;&gt;0),'Дивиденды по годам'!Q912/(('Дивиденды по годам'!I912+'Дивиденды по годам'!V912)/2),""),"")</f>
        <v/>
      </c>
      <c r="U912" t="str">
        <f>IFERROR(IF(AND('Дивиденды по годам'!J912&lt;&gt;"",'Дивиденды по годам'!K912&lt;&gt;"",'Дивиденды по годам'!M912&lt;&gt;"",'Дивиденды по годам'!M912&lt;&gt;0),('Дивиденды по годам'!J912+'Дивиденды по годам'!K912)/'Дивиденды по годам'!M912,""),"")</f>
        <v/>
      </c>
      <c r="V912" t="str">
        <f>IFERROR(IF(AND('Дивиденды по годам'!J912&lt;&gt;"",'Дивиденды по годам'!K912&lt;&gt;"",'Дивиденды по годам'!M912&lt;&gt;"",'Дивиденды по годам'!I912&lt;&gt;0),('Дивиденды по годам'!J912+'Дивиденды по годам'!K912)/'Дивиденды по годам'!I912,""),"")</f>
        <v/>
      </c>
      <c r="W912" t="str">
        <f>IFERROR('Дивиденды по годам'!I912,"")</f>
        <v/>
      </c>
      <c r="X912" cm="1">
        <f t="array" ref="X912">IFERROR(AVERAGE(_xlfn._xlws.FILTER(P$2:P$1073,($C$2:$C$1073=$C912)*($E$2:$E$1073=$E912)*(ROW(P$2:P$1073)&lt;&gt;ROW(P912))*(P$2:P$1073&lt;&gt;""))),"")</f>
        <v>26.959846755112331</v>
      </c>
      <c r="Y912" cm="1">
        <f t="array" ref="Y912">IFERROR(AVERAGE(_xlfn._xlws.FILTER(Q$2:Q$1073,($C$2:$C$1073=$C912)*($E$2:$E$1073=$E912)*(ROW(Q$2:Q$1073)&lt;&gt;ROW(Q912))*(Q$2:Q$1073&lt;&gt;""))),"")</f>
        <v>0.64168629722093962</v>
      </c>
      <c r="Z912" t="str" cm="1">
        <f t="array" ref="Z912">IFERROR(AVERAGE(_xlfn._xlws.FILTER(R$2:R$1073,($C$2:$C$1073=$C912)*($E$2:$E$1073=$E912)*(ROW(R$2:R$1073)&lt;&gt;ROW(R912))*(R$2:R$1073&lt;&gt;""))),"")</f>
        <v/>
      </c>
      <c r="AA912" t="str" cm="1">
        <f t="array" ref="AA912">IFERROR(AVERAGE(_xlfn._xlws.FILTER(S$2:S$1073,($C$2:$C$1073=$C912)*($E$2:$E$1073=$E912)*(ROW(S$2:S$1073)&lt;&gt;ROW(S912))*(S$2:S$1073&lt;&gt;""))),"")</f>
        <v/>
      </c>
      <c r="AB912" t="str" cm="1">
        <f t="array" ref="AB912">IFERROR(AVERAGE(_xlfn._xlws.FILTER(T$2:T$1073,($C$2:$C$1073=$C912)*($E$2:$E$1073=$E912)*(ROW(T$2:T$1073)&lt;&gt;ROW(T912))*(T$2:T$1073&lt;&gt;""))),"")</f>
        <v/>
      </c>
      <c r="AC912" cm="1">
        <f t="array" ref="AC912">IFERROR(AVERAGE(_xlfn._xlws.FILTER(U$2:U$1073,($C$2:$C$1073=$C912)*($E$2:$E$1073=$E912)*(ROW(U$2:U$1073)&lt;&gt;ROW(U912))*(U$2:U$1073&lt;&gt;""))),"")</f>
        <v>0.9076461410986616</v>
      </c>
      <c r="AD912" cm="1">
        <f t="array" ref="AD912">IFERROR(AVERAGE(_xlfn._xlws.FILTER(V$2:V$1073,($C$2:$C$1073=$C912)*($E$2:$E$1073=$E912)*(ROW(V$2:V$1073)&lt;&gt;ROW(V912))*(V$2:V$1073&lt;&gt;""))),"")</f>
        <v>0.47579376570118254</v>
      </c>
      <c r="AE912">
        <f>IF('Дивиденды по годам'!M912&lt;0,1,0)</f>
        <v>0</v>
      </c>
    </row>
    <row r="913" spans="1:31" x14ac:dyDescent="0.2">
      <c r="A913" s="7" t="s">
        <v>2289</v>
      </c>
      <c r="B913" t="str">
        <f t="shared" si="154"/>
        <v>MTSS IV кв. 2010</v>
      </c>
      <c r="C913">
        <v>2010</v>
      </c>
      <c r="D913">
        <f>SUMIFS(Дивиденды!$C:$C,Дивиденды!$A:$A,A913,Дивиденды!$I:$I,C913)</f>
        <v>14.54</v>
      </c>
      <c r="E913">
        <v>5</v>
      </c>
      <c r="F913">
        <f t="shared" si="155"/>
        <v>14.54</v>
      </c>
      <c r="G913">
        <f t="shared" si="156"/>
        <v>0.10090909090909092</v>
      </c>
      <c r="H913">
        <f t="shared" si="157"/>
        <v>1</v>
      </c>
      <c r="I913">
        <f t="shared" si="158"/>
        <v>9.0909090909090912E-2</v>
      </c>
      <c r="J913" t="str">
        <f t="shared" si="159"/>
        <v/>
      </c>
      <c r="K913" t="str">
        <f t="shared" si="164"/>
        <v/>
      </c>
      <c r="L913" t="str">
        <f t="shared" si="160"/>
        <v/>
      </c>
      <c r="M913" t="str">
        <f t="shared" si="161"/>
        <v/>
      </c>
      <c r="N913" t="str">
        <f t="shared" si="162"/>
        <v/>
      </c>
      <c r="O913" t="str">
        <f t="shared" si="163"/>
        <v/>
      </c>
      <c r="P913" t="str">
        <f>IFERROR(LN('Дивиденды по годам'!I913),"")</f>
        <v/>
      </c>
      <c r="Q913" t="str">
        <f>IFERROR('Дивиденды по годам'!G913/'Дивиденды по годам'!I913, "")</f>
        <v/>
      </c>
      <c r="R913" t="str">
        <f>IFERROR(IF(AND('Дивиденды по годам'!N913&lt;&gt;"",'Дивиденды по годам'!U913&lt;&gt;"",'Дивиденды по годам'!U913&lt;&gt;0),'Дивиденды по годам'!N913/'Дивиденды по годам'!U913-1,""),"")</f>
        <v/>
      </c>
      <c r="S913" t="str">
        <f>IFERROR(IF(AND('Дивиденды по годам'!L913&lt;&gt;"",'Дивиденды по годам'!I913&lt;&gt;"",'Дивиденды по годам'!J913&lt;&gt;"",'Дивиденды по годам'!K913&lt;&gt;"",('Дивиденды по годам'!I913-'Дивиденды по годам'!J913-'Дивиденды по годам'!K913)&lt;&gt;0),'Дивиденды по годам'!L913/('Дивиденды по годам'!I913-'Дивиденды по годам'!J913-'Дивиденды по годам'!K913),""),"")</f>
        <v/>
      </c>
      <c r="T913" t="str">
        <f>IFERROR(IF(AND('Дивиденды по годам'!Q913&lt;&gt;"",'Дивиденды по годам'!I913&lt;&gt;"",'Дивиденды по годам'!V913&lt;&gt;"",('Дивиденды по годам'!I913+'Дивиденды по годам'!V913)&lt;&gt;0),'Дивиденды по годам'!Q913/(('Дивиденды по годам'!I913+'Дивиденды по годам'!V913)/2),""),"")</f>
        <v/>
      </c>
      <c r="U913" t="str">
        <f>IFERROR(IF(AND('Дивиденды по годам'!J913&lt;&gt;"",'Дивиденды по годам'!K913&lt;&gt;"",'Дивиденды по годам'!M913&lt;&gt;"",'Дивиденды по годам'!M913&lt;&gt;0),('Дивиденды по годам'!J913+'Дивиденды по годам'!K913)/'Дивиденды по годам'!M913,""),"")</f>
        <v/>
      </c>
      <c r="V913" t="str">
        <f>IFERROR(IF(AND('Дивиденды по годам'!J913&lt;&gt;"",'Дивиденды по годам'!K913&lt;&gt;"",'Дивиденды по годам'!M913&lt;&gt;"",'Дивиденды по годам'!I913&lt;&gt;0),('Дивиденды по годам'!J913+'Дивиденды по годам'!K913)/'Дивиденды по годам'!I913,""),"")</f>
        <v/>
      </c>
      <c r="W913" t="str">
        <f>IFERROR('Дивиденды по годам'!I913,"")</f>
        <v/>
      </c>
      <c r="X913" t="str" cm="1">
        <f t="array" ref="X913">IFERROR(AVERAGE(_xlfn._xlws.FILTER(P$2:P$1073,($C$2:$C$1073=$C913)*($E$2:$E$1073=$E913)*(ROW(P$2:P$1073)&lt;&gt;ROW(P913))*(P$2:P$1073&lt;&gt;""))),"")</f>
        <v/>
      </c>
      <c r="Y913" t="str" cm="1">
        <f t="array" ref="Y913">IFERROR(AVERAGE(_xlfn._xlws.FILTER(Q$2:Q$1073,($C$2:$C$1073=$C913)*($E$2:$E$1073=$E913)*(ROW(Q$2:Q$1073)&lt;&gt;ROW(Q913))*(Q$2:Q$1073&lt;&gt;""))),"")</f>
        <v/>
      </c>
      <c r="Z913" t="str" cm="1">
        <f t="array" ref="Z913">IFERROR(AVERAGE(_xlfn._xlws.FILTER(R$2:R$1073,($C$2:$C$1073=$C913)*($E$2:$E$1073=$E913)*(ROW(R$2:R$1073)&lt;&gt;ROW(R913))*(R$2:R$1073&lt;&gt;""))),"")</f>
        <v/>
      </c>
      <c r="AA913" t="str" cm="1">
        <f t="array" ref="AA913">IFERROR(AVERAGE(_xlfn._xlws.FILTER(S$2:S$1073,($C$2:$C$1073=$C913)*($E$2:$E$1073=$E913)*(ROW(S$2:S$1073)&lt;&gt;ROW(S913))*(S$2:S$1073&lt;&gt;""))),"")</f>
        <v/>
      </c>
      <c r="AB913" t="str" cm="1">
        <f t="array" ref="AB913">IFERROR(AVERAGE(_xlfn._xlws.FILTER(T$2:T$1073,($C$2:$C$1073=$C913)*($E$2:$E$1073=$E913)*(ROW(T$2:T$1073)&lt;&gt;ROW(T913))*(T$2:T$1073&lt;&gt;""))),"")</f>
        <v/>
      </c>
      <c r="AC913" t="str" cm="1">
        <f t="array" ref="AC913">IFERROR(AVERAGE(_xlfn._xlws.FILTER(U$2:U$1073,($C$2:$C$1073=$C913)*($E$2:$E$1073=$E913)*(ROW(U$2:U$1073)&lt;&gt;ROW(U913))*(U$2:U$1073&lt;&gt;""))),"")</f>
        <v/>
      </c>
      <c r="AD913" t="str" cm="1">
        <f t="array" ref="AD913">IFERROR(AVERAGE(_xlfn._xlws.FILTER(V$2:V$1073,($C$2:$C$1073=$C913)*($E$2:$E$1073=$E913)*(ROW(V$2:V$1073)&lt;&gt;ROW(V913))*(V$2:V$1073&lt;&gt;""))),"")</f>
        <v/>
      </c>
      <c r="AE913">
        <f>IF('Дивиденды по годам'!M913&lt;0,1,0)</f>
        <v>0</v>
      </c>
    </row>
    <row r="914" spans="1:31" x14ac:dyDescent="0.2">
      <c r="A914" s="7" t="s">
        <v>2292</v>
      </c>
      <c r="B914" t="str">
        <f t="shared" si="154"/>
        <v>RTKM IV кв. 2025</v>
      </c>
      <c r="C914">
        <v>2025</v>
      </c>
      <c r="D914">
        <f>SUMIFS(Дивиденды!$C:$C,Дивиденды!$A:$A,A914,Дивиденды!$I:$I,C914)</f>
        <v>0</v>
      </c>
      <c r="E914">
        <v>5</v>
      </c>
      <c r="F914">
        <f t="shared" si="155"/>
        <v>0</v>
      </c>
      <c r="G914">
        <f t="shared" si="156"/>
        <v>51.49636363636364</v>
      </c>
      <c r="H914">
        <f t="shared" si="157"/>
        <v>0</v>
      </c>
      <c r="I914">
        <f t="shared" si="158"/>
        <v>0.54545454545454541</v>
      </c>
      <c r="J914">
        <f t="shared" si="159"/>
        <v>-1</v>
      </c>
      <c r="K914">
        <f t="shared" si="164"/>
        <v>6.7751176543258809E-2</v>
      </c>
      <c r="L914">
        <f t="shared" si="160"/>
        <v>0</v>
      </c>
      <c r="M914">
        <f t="shared" si="161"/>
        <v>0.36363636363636365</v>
      </c>
      <c r="N914">
        <f t="shared" si="162"/>
        <v>1</v>
      </c>
      <c r="O914">
        <f t="shared" si="163"/>
        <v>0.45454545454545453</v>
      </c>
      <c r="P914">
        <f>IFERROR(LN('Дивиденды по годам'!I914),"")</f>
        <v>27.990708218758318</v>
      </c>
      <c r="Q914">
        <f>IFERROR('Дивиденды по годам'!G914/'Дивиденды по годам'!I914, "")</f>
        <v>0.51373631166858935</v>
      </c>
      <c r="R914">
        <f>IFERROR(IF(AND('Дивиденды по годам'!N914&lt;&gt;"",'Дивиденды по годам'!U914&lt;&gt;"",'Дивиденды по годам'!U914&lt;&gt;0),'Дивиденды по годам'!N914/'Дивиденды по годам'!U914-1,""),"")</f>
        <v>0.11904044515959455</v>
      </c>
      <c r="S914">
        <f>IFERROR(IF(AND('Дивиденды по годам'!L914&lt;&gt;"",'Дивиденды по годам'!I914&lt;&gt;"",'Дивиденды по годам'!J914&lt;&gt;"",'Дивиденды по годам'!K914&lt;&gt;"",('Дивиденды по годам'!I914-'Дивиденды по годам'!J914-'Дивиденды по годам'!K914)&lt;&gt;0),'Дивиденды по годам'!L914/('Дивиденды по годам'!I914-'Дивиденды по годам'!J914-'Дивиденды по годам'!K914),""),"")</f>
        <v>0.8147637928757776</v>
      </c>
      <c r="T914">
        <f>IFERROR(IF(AND('Дивиденды по годам'!Q914&lt;&gt;"",'Дивиденды по годам'!I914&lt;&gt;"",'Дивиденды по годам'!V914&lt;&gt;"",('Дивиденды по годам'!I914+'Дивиденды по годам'!V914)&lt;&gt;0),'Дивиденды по годам'!Q914/(('Дивиденды по годам'!I914+'Дивиденды по годам'!V914)/2),""),"")</f>
        <v>1.33023241928869E-2</v>
      </c>
      <c r="U914">
        <f>IFERROR(IF(AND('Дивиденды по годам'!J914&lt;&gt;"",'Дивиденды по годам'!K914&lt;&gt;"",'Дивиденды по годам'!M914&lt;&gt;"",'Дивиденды по годам'!M914&lt;&gt;0),('Дивиденды по годам'!J914+'Дивиденды по годам'!K914)/'Дивиденды по годам'!M914,""),"")</f>
        <v>4.113797693781919</v>
      </c>
      <c r="V914">
        <f>IFERROR(IF(AND('Дивиденды по годам'!J914&lt;&gt;"",'Дивиденды по годам'!K914&lt;&gt;"",'Дивиденды по годам'!M914&lt;&gt;"",'Дивиденды по годам'!I914&lt;&gt;0),('Дивиденды по годам'!J914+'Дивиденды по годам'!K914)/'Дивиденды по годам'!I914,""),"")</f>
        <v>0.80445061383324923</v>
      </c>
      <c r="W914">
        <f>IFERROR('Дивиденды по годам'!I914,"")</f>
        <v>1432881000000</v>
      </c>
      <c r="X914" cm="1">
        <f t="array" ref="X914">IFERROR(AVERAGE(_xlfn._xlws.FILTER(P$2:P$1073,($C$2:$C$1073=$C914)*($E$2:$E$1073=$E914)*(ROW(P$2:P$1073)&lt;&gt;ROW(P914))*(P$2:P$1073&lt;&gt;""))),"")</f>
        <v>26.276383394361435</v>
      </c>
      <c r="Y914" cm="1">
        <f t="array" ref="Y914">IFERROR(AVERAGE(_xlfn._xlws.FILTER(Q$2:Q$1073,($C$2:$C$1073=$C914)*($E$2:$E$1073=$E914)*(ROW(Q$2:Q$1073)&lt;&gt;ROW(Q914))*(Q$2:Q$1073&lt;&gt;""))),"")</f>
        <v>0.14035307459082427</v>
      </c>
      <c r="Z914" cm="1">
        <f t="array" ref="Z914">IFERROR(AVERAGE(_xlfn._xlws.FILTER(R$2:R$1073,($C$2:$C$1073=$C914)*($E$2:$E$1073=$E914)*(ROW(R$2:R$1073)&lt;&gt;ROW(R914))*(R$2:R$1073&lt;&gt;""))),"")</f>
        <v>0.14688150856510007</v>
      </c>
      <c r="AA914" cm="1">
        <f t="array" ref="AA914">IFERROR(AVERAGE(_xlfn._xlws.FILTER(S$2:S$1073,($C$2:$C$1073=$C914)*($E$2:$E$1073=$E914)*(ROW(S$2:S$1073)&lt;&gt;ROW(S914))*(S$2:S$1073&lt;&gt;""))),"")</f>
        <v>0.66742602396654871</v>
      </c>
      <c r="AB914" cm="1">
        <f t="array" ref="AB914">IFERROR(AVERAGE(_xlfn._xlws.FILTER(T$2:T$1073,($C$2:$C$1073=$C914)*($E$2:$E$1073=$E914)*(ROW(T$2:T$1073)&lt;&gt;ROW(T914))*(T$2:T$1073&lt;&gt;""))),"")</f>
        <v>0.15477785005457118</v>
      </c>
      <c r="AC914" cm="1">
        <f t="array" ref="AC914">IFERROR(AVERAGE(_xlfn._xlws.FILTER(U$2:U$1073,($C$2:$C$1073=$C914)*($E$2:$E$1073=$E914)*(ROW(U$2:U$1073)&lt;&gt;ROW(U914))*(U$2:U$1073&lt;&gt;""))),"")</f>
        <v>16.505248309072631</v>
      </c>
      <c r="AD914" cm="1">
        <f t="array" ref="AD914">IFERROR(AVERAGE(_xlfn._xlws.FILTER(V$2:V$1073,($C$2:$C$1073=$C914)*($E$2:$E$1073=$E914)*(ROW(V$2:V$1073)&lt;&gt;ROW(V914))*(V$2:V$1073&lt;&gt;""))),"")</f>
        <v>0.71794164887539569</v>
      </c>
      <c r="AE914">
        <f>IF('Дивиденды по годам'!M914&lt;0,1,0)</f>
        <v>0</v>
      </c>
    </row>
    <row r="915" spans="1:31" x14ac:dyDescent="0.2">
      <c r="A915" s="7" t="s">
        <v>2292</v>
      </c>
      <c r="B915" t="str">
        <f t="shared" si="154"/>
        <v>RTKM IV кв. 2024</v>
      </c>
      <c r="C915">
        <v>2024</v>
      </c>
      <c r="D915">
        <f>SUMIFS(Дивиденды!$C:$C,Дивиденды!$A:$A,A915,Дивиденды!$I:$I,C915)</f>
        <v>2.71</v>
      </c>
      <c r="E915">
        <v>5</v>
      </c>
      <c r="F915">
        <f t="shared" si="155"/>
        <v>2.71</v>
      </c>
      <c r="G915">
        <f t="shared" si="156"/>
        <v>101.91818181818181</v>
      </c>
      <c r="H915">
        <f t="shared" si="157"/>
        <v>1</v>
      </c>
      <c r="I915">
        <f t="shared" si="158"/>
        <v>0.54545454545454541</v>
      </c>
      <c r="J915">
        <f t="shared" si="159"/>
        <v>-0.55280528052805278</v>
      </c>
      <c r="K915">
        <f t="shared" si="164"/>
        <v>0.27552258934592044</v>
      </c>
      <c r="L915">
        <f t="shared" si="160"/>
        <v>0</v>
      </c>
      <c r="M915">
        <f t="shared" si="161"/>
        <v>0.36363636363636365</v>
      </c>
      <c r="N915">
        <f t="shared" si="162"/>
        <v>1</v>
      </c>
      <c r="O915">
        <f t="shared" si="163"/>
        <v>9.0909090909090912E-2</v>
      </c>
      <c r="P915">
        <f>IFERROR(LN('Дивиденды по годам'!I915),"")</f>
        <v>27.953765990543594</v>
      </c>
      <c r="Q915">
        <f>IFERROR('Дивиденды по годам'!G915/'Дивиденды по годам'!I915, "")</f>
        <v>0.51706226243072517</v>
      </c>
      <c r="R915">
        <f>IFERROR(IF(AND('Дивиденды по годам'!N915&lt;&gt;"",'Дивиденды по годам'!U915&lt;&gt;"",'Дивиденды по годам'!U915&lt;&gt;0),'Дивиденды по годам'!N915/'Дивиденды по годам'!U915-1,""),"")</f>
        <v>0.10192695404499297</v>
      </c>
      <c r="S915">
        <f>IFERROR(IF(AND('Дивиденды по годам'!L915&lt;&gt;"",'Дивиденды по годам'!I915&lt;&gt;"",'Дивиденды по годам'!J915&lt;&gt;"",'Дивиденды по годам'!K915&lt;&gt;"",('Дивиденды по годам'!I915-'Дивиденды по годам'!J915-'Дивиденды по годам'!K915)&lt;&gt;0),'Дивиденды по годам'!L915/('Дивиденды по годам'!I915-'Дивиденды по годам'!J915-'Дивиденды по годам'!K915),""),"")</f>
        <v>0.83695151634760867</v>
      </c>
      <c r="T915">
        <f>IFERROR(IF(AND('Дивиденды по годам'!Q915&lt;&gt;"",'Дивиденды по годам'!I915&lt;&gt;"",'Дивиденды по годам'!V915&lt;&gt;"",('Дивиденды по годам'!I915+'Дивиденды по годам'!V915)&lt;&gt;0),'Дивиденды по годам'!Q915/(('Дивиденды по годам'!I915+'Дивиденды по годам'!V915)/2),""),"")</f>
        <v>1.8333377147513964E-2</v>
      </c>
      <c r="U915">
        <f>IFERROR(IF(AND('Дивиденды по годам'!J915&lt;&gt;"",'Дивиденды по годам'!K915&lt;&gt;"",'Дивиденды по годам'!M915&lt;&gt;"",'Дивиденды по годам'!M915&lt;&gt;0),('Дивиденды по годам'!J915+'Дивиденды по годам'!K915)/'Дивиденды по годам'!M915,""),"")</f>
        <v>4.0468646068606597</v>
      </c>
      <c r="V915">
        <f>IFERROR(IF(AND('Дивиденды по годам'!J915&lt;&gt;"",'Дивиденды по годам'!K915&lt;&gt;"",'Дивиденды по годам'!M915&lt;&gt;"",'Дивиденды по годам'!I915&lt;&gt;0),('Дивиденды по годам'!J915+'Дивиденды по годам'!K915)/'Дивиденды по годам'!I915,""),"")</f>
        <v>0.80185717709949866</v>
      </c>
      <c r="W915">
        <f>IFERROR('Дивиденды по годам'!I915,"")</f>
        <v>1380913000000</v>
      </c>
      <c r="X915" cm="1">
        <f t="array" ref="X915">IFERROR(AVERAGE(_xlfn._xlws.FILTER(P$2:P$1073,($C$2:$C$1073=$C915)*($E$2:$E$1073=$E915)*(ROW(P$2:P$1073)&lt;&gt;ROW(P915))*(P$2:P$1073&lt;&gt;""))),"")</f>
        <v>25.045958449997471</v>
      </c>
      <c r="Y915" cm="1">
        <f t="array" ref="Y915">IFERROR(AVERAGE(_xlfn._xlws.FILTER(Q$2:Q$1073,($C$2:$C$1073=$C915)*($E$2:$E$1073=$E915)*(ROW(Q$2:Q$1073)&lt;&gt;ROW(Q915))*(Q$2:Q$1073&lt;&gt;""))),"")</f>
        <v>9.2235390218416161E-2</v>
      </c>
      <c r="Z915" cm="1">
        <f t="array" ref="Z915">IFERROR(AVERAGE(_xlfn._xlws.FILTER(R$2:R$1073,($C$2:$C$1073=$C915)*($E$2:$E$1073=$E915)*(ROW(R$2:R$1073)&lt;&gt;ROW(R915))*(R$2:R$1073&lt;&gt;""))),"")</f>
        <v>0.28450404643895477</v>
      </c>
      <c r="AA915" cm="1">
        <f t="array" ref="AA915">IFERROR(AVERAGE(_xlfn._xlws.FILTER(S$2:S$1073,($C$2:$C$1073=$C915)*($E$2:$E$1073=$E915)*(ROW(S$2:S$1073)&lt;&gt;ROW(S915))*(S$2:S$1073&lt;&gt;""))),"")</f>
        <v>-0.3236315474681295</v>
      </c>
      <c r="AB915" cm="1">
        <f t="array" ref="AB915">IFERROR(AVERAGE(_xlfn._xlws.FILTER(T$2:T$1073,($C$2:$C$1073=$C915)*($E$2:$E$1073=$E915)*(ROW(T$2:T$1073)&lt;&gt;ROW(T915))*(T$2:T$1073&lt;&gt;""))),"")</f>
        <v>0.22129779220869628</v>
      </c>
      <c r="AC915" cm="1">
        <f t="array" ref="AC915">IFERROR(AVERAGE(_xlfn._xlws.FILTER(U$2:U$1073,($C$2:$C$1073=$C915)*($E$2:$E$1073=$E915)*(ROW(U$2:U$1073)&lt;&gt;ROW(U915))*(U$2:U$1073&lt;&gt;""))),"")</f>
        <v>-12.729490437309639</v>
      </c>
      <c r="AD915" cm="1">
        <f t="array" ref="AD915">IFERROR(AVERAGE(_xlfn._xlws.FILTER(V$2:V$1073,($C$2:$C$1073=$C915)*($E$2:$E$1073=$E915)*(ROW(V$2:V$1073)&lt;&gt;ROW(V915))*(V$2:V$1073&lt;&gt;""))),"")</f>
        <v>0.68168137890683578</v>
      </c>
      <c r="AE915">
        <f>IF('Дивиденды по годам'!M915&lt;0,1,0)</f>
        <v>0</v>
      </c>
    </row>
    <row r="916" spans="1:31" x14ac:dyDescent="0.2">
      <c r="A916" s="7" t="s">
        <v>2292</v>
      </c>
      <c r="B916" t="str">
        <f t="shared" si="154"/>
        <v>RTKM IV кв. 2023</v>
      </c>
      <c r="C916">
        <v>2023</v>
      </c>
      <c r="D916">
        <f>SUMIFS(Дивиденды!$C:$C,Дивиденды!$A:$A,A916,Дивиденды!$I:$I,C916)</f>
        <v>6.06</v>
      </c>
      <c r="E916">
        <v>5</v>
      </c>
      <c r="F916">
        <f t="shared" si="155"/>
        <v>6.06</v>
      </c>
      <c r="G916">
        <f t="shared" si="156"/>
        <v>16.663636363636364</v>
      </c>
      <c r="H916">
        <f t="shared" si="157"/>
        <v>1</v>
      </c>
      <c r="I916">
        <f t="shared" si="158"/>
        <v>0.18181818181818182</v>
      </c>
      <c r="J916">
        <f t="shared" si="159"/>
        <v>0.11192660550458705</v>
      </c>
      <c r="K916">
        <f t="shared" si="164"/>
        <v>0.26115034518756786</v>
      </c>
      <c r="L916">
        <f t="shared" si="160"/>
        <v>1</v>
      </c>
      <c r="M916">
        <f t="shared" si="161"/>
        <v>0.18181818181818182</v>
      </c>
      <c r="N916">
        <f t="shared" si="162"/>
        <v>0</v>
      </c>
      <c r="O916">
        <f t="shared" si="163"/>
        <v>0</v>
      </c>
      <c r="P916">
        <f>IFERROR(LN('Дивиденды по годам'!I916),"")</f>
        <v>27.849198757497749</v>
      </c>
      <c r="Q916">
        <f>IFERROR('Дивиденды по годам'!G916/'Дивиденды по годам'!I916, "")</f>
        <v>0.51251398929738357</v>
      </c>
      <c r="R916" t="str">
        <f>IFERROR(IF(AND('Дивиденды по годам'!N916&lt;&gt;"",'Дивиденды по годам'!U916&lt;&gt;"",'Дивиденды по годам'!U916&lt;&gt;0),'Дивиденды по годам'!N916/'Дивиденды по годам'!U916-1,""),"")</f>
        <v/>
      </c>
      <c r="S916">
        <f>IFERROR(IF(AND('Дивиденды по годам'!L916&lt;&gt;"",'Дивиденды по годам'!I916&lt;&gt;"",'Дивиденды по годам'!J916&lt;&gt;"",'Дивиденды по годам'!K916&lt;&gt;"",('Дивиденды по годам'!I916-'Дивиденды по годам'!J916-'Дивиденды по годам'!K916)&lt;&gt;0),'Дивиденды по годам'!L916/('Дивиденды по годам'!I916-'Дивиденды по годам'!J916-'Дивиденды по годам'!K916),""),"")</f>
        <v>0.85381939887124292</v>
      </c>
      <c r="T916" t="str">
        <f>IFERROR(IF(AND('Дивиденды по годам'!Q916&lt;&gt;"",'Дивиденды по годам'!I916&lt;&gt;"",'Дивиденды по годам'!V916&lt;&gt;"",('Дивиденды по годам'!I916+'Дивиденды по годам'!V916)&lt;&gt;0),'Дивиденды по годам'!Q916/(('Дивиденды по годам'!I916+'Дивиденды по годам'!V916)/2),""),"")</f>
        <v/>
      </c>
      <c r="U916">
        <f>IFERROR(IF(AND('Дивиденды по годам'!J916&lt;&gt;"",'Дивиденды по годам'!K916&lt;&gt;"",'Дивиденды по годам'!M916&lt;&gt;"",'Дивиденды по годам'!M916&lt;&gt;0),('Дивиденды по годам'!J916+'Дивиденды по годам'!K916)/'Дивиденды по годам'!M916,""),"")</f>
        <v>3.5347450088229717</v>
      </c>
      <c r="V916">
        <f>IFERROR(IF(AND('Дивиденды по годам'!J916&lt;&gt;"",'Дивиденды по годам'!K916&lt;&gt;"",'Дивиденды по годам'!M916&lt;&gt;"",'Дивиденды по годам'!I916&lt;&gt;0),('Дивиденды по годам'!J916+'Дивиденды по годам'!K916)/'Дивиденды по годам'!I916,""),"")</f>
        <v>0.77948043427924563</v>
      </c>
      <c r="W916">
        <f>IFERROR('Дивиденды по годам'!I916,"")</f>
        <v>1243808000000</v>
      </c>
      <c r="X916" cm="1">
        <f t="array" ref="X916">IFERROR(AVERAGE(_xlfn._xlws.FILTER(P$2:P$1073,($C$2:$C$1073=$C916)*($E$2:$E$1073=$E916)*(ROW(P$2:P$1073)&lt;&gt;ROW(P916))*(P$2:P$1073&lt;&gt;""))),"")</f>
        <v>24.532398135738411</v>
      </c>
      <c r="Y916" cm="1">
        <f t="array" ref="Y916">IFERROR(AVERAGE(_xlfn._xlws.FILTER(Q$2:Q$1073,($C$2:$C$1073=$C916)*($E$2:$E$1073=$E916)*(ROW(Q$2:Q$1073)&lt;&gt;ROW(Q916))*(Q$2:Q$1073&lt;&gt;""))),"")</f>
        <v>6.7433457122153234E-2</v>
      </c>
      <c r="Z916" cm="1">
        <f t="array" ref="Z916">IFERROR(AVERAGE(_xlfn._xlws.FILTER(R$2:R$1073,($C$2:$C$1073=$C916)*($E$2:$E$1073=$E916)*(ROW(R$2:R$1073)&lt;&gt;ROW(R916))*(R$2:R$1073&lt;&gt;""))),"")</f>
        <v>0.43171849086064124</v>
      </c>
      <c r="AA916" cm="1">
        <f t="array" ref="AA916">IFERROR(AVERAGE(_xlfn._xlws.FILTER(S$2:S$1073,($C$2:$C$1073=$C916)*($E$2:$E$1073=$E916)*(ROW(S$2:S$1073)&lt;&gt;ROW(S916))*(S$2:S$1073&lt;&gt;""))),"")</f>
        <v>0.68238439940553408</v>
      </c>
      <c r="AB916" cm="1">
        <f t="array" ref="AB916">IFERROR(AVERAGE(_xlfn._xlws.FILTER(T$2:T$1073,($C$2:$C$1073=$C916)*($E$2:$E$1073=$E916)*(ROW(T$2:T$1073)&lt;&gt;ROW(T916))*(T$2:T$1073&lt;&gt;""))),"")</f>
        <v>0.16503536613583741</v>
      </c>
      <c r="AC916" cm="1">
        <f t="array" ref="AC916">IFERROR(AVERAGE(_xlfn._xlws.FILTER(U$2:U$1073,($C$2:$C$1073=$C916)*($E$2:$E$1073=$E916)*(ROW(U$2:U$1073)&lt;&gt;ROW(U916))*(U$2:U$1073&lt;&gt;""))),"")</f>
        <v>95.558879956312509</v>
      </c>
      <c r="AD916" cm="1">
        <f t="array" ref="AD916">IFERROR(AVERAGE(_xlfn._xlws.FILTER(V$2:V$1073,($C$2:$C$1073=$C916)*($E$2:$E$1073=$E916)*(ROW(V$2:V$1073)&lt;&gt;ROW(V916))*(V$2:V$1073&lt;&gt;""))),"")</f>
        <v>0.61513548201167556</v>
      </c>
      <c r="AE916">
        <f>IF('Дивиденды по годам'!M916&lt;0,1,0)</f>
        <v>0</v>
      </c>
    </row>
    <row r="917" spans="1:31" x14ac:dyDescent="0.2">
      <c r="A917" s="7" t="s">
        <v>2292</v>
      </c>
      <c r="B917" t="str">
        <f t="shared" si="154"/>
        <v>RTKM IV кв. 2022</v>
      </c>
      <c r="C917">
        <v>2022</v>
      </c>
      <c r="D917">
        <f>SUMIFS(Дивиденды!$C:$C,Дивиденды!$A:$A,A917,Дивиденды!$I:$I,C917)</f>
        <v>5.45</v>
      </c>
      <c r="E917">
        <v>5</v>
      </c>
      <c r="F917">
        <f t="shared" si="155"/>
        <v>5.45</v>
      </c>
      <c r="G917">
        <f t="shared" si="156"/>
        <v>6.6172727272727263</v>
      </c>
      <c r="H917">
        <f t="shared" si="157"/>
        <v>1</v>
      </c>
      <c r="I917">
        <f t="shared" si="158"/>
        <v>0.18181818181818182</v>
      </c>
      <c r="J917">
        <f t="shared" si="159"/>
        <v>0.19517543859649136</v>
      </c>
      <c r="K917">
        <f t="shared" si="164"/>
        <v>7.0208845208845197E-2</v>
      </c>
      <c r="L917">
        <f t="shared" si="160"/>
        <v>1</v>
      </c>
      <c r="M917">
        <f t="shared" si="161"/>
        <v>9.0909090909090912E-2</v>
      </c>
      <c r="N917">
        <f t="shared" si="162"/>
        <v>0</v>
      </c>
      <c r="O917">
        <f t="shared" si="163"/>
        <v>9.0909090909090912E-2</v>
      </c>
      <c r="P917" t="str">
        <f>IFERROR(LN('Дивиденды по годам'!I917),"")</f>
        <v/>
      </c>
      <c r="Q917" t="str">
        <f>IFERROR('Дивиденды по годам'!G917/'Дивиденды по годам'!I917, "")</f>
        <v/>
      </c>
      <c r="R917" t="str">
        <f>IFERROR(IF(AND('Дивиденды по годам'!N917&lt;&gt;"",'Дивиденды по годам'!U917&lt;&gt;"",'Дивиденды по годам'!U917&lt;&gt;0),'Дивиденды по годам'!N917/'Дивиденды по годам'!U917-1,""),"")</f>
        <v/>
      </c>
      <c r="S917" t="str">
        <f>IFERROR(IF(AND('Дивиденды по годам'!L917&lt;&gt;"",'Дивиденды по годам'!I917&lt;&gt;"",'Дивиденды по годам'!J917&lt;&gt;"",'Дивиденды по годам'!K917&lt;&gt;"",('Дивиденды по годам'!I917-'Дивиденды по годам'!J917-'Дивиденды по годам'!K917)&lt;&gt;0),'Дивиденды по годам'!L917/('Дивиденды по годам'!I917-'Дивиденды по годам'!J917-'Дивиденды по годам'!K917),""),"")</f>
        <v/>
      </c>
      <c r="T917" t="str">
        <f>IFERROR(IF(AND('Дивиденды по годам'!Q917&lt;&gt;"",'Дивиденды по годам'!I917&lt;&gt;"",'Дивиденды по годам'!V917&lt;&gt;"",('Дивиденды по годам'!I917+'Дивиденды по годам'!V917)&lt;&gt;0),'Дивиденды по годам'!Q917/(('Дивиденды по годам'!I917+'Дивиденды по годам'!V917)/2),""),"")</f>
        <v/>
      </c>
      <c r="U917" t="str">
        <f>IFERROR(IF(AND('Дивиденды по годам'!J917&lt;&gt;"",'Дивиденды по годам'!K917&lt;&gt;"",'Дивиденды по годам'!M917&lt;&gt;"",'Дивиденды по годам'!M917&lt;&gt;0),('Дивиденды по годам'!J917+'Дивиденды по годам'!K917)/'Дивиденды по годам'!M917,""),"")</f>
        <v/>
      </c>
      <c r="V917" t="str">
        <f>IFERROR(IF(AND('Дивиденды по годам'!J917&lt;&gt;"",'Дивиденды по годам'!K917&lt;&gt;"",'Дивиденды по годам'!M917&lt;&gt;"",'Дивиденды по годам'!I917&lt;&gt;0),('Дивиденды по годам'!J917+'Дивиденды по годам'!K917)/'Дивиденды по годам'!I917,""),"")</f>
        <v/>
      </c>
      <c r="W917" t="str">
        <f>IFERROR('Дивиденды по годам'!I917,"")</f>
        <v/>
      </c>
      <c r="X917" cm="1">
        <f t="array" ref="X917">IFERROR(AVERAGE(_xlfn._xlws.FILTER(P$2:P$1073,($C$2:$C$1073=$C917)*($E$2:$E$1073=$E917)*(ROW(P$2:P$1073)&lt;&gt;ROW(P917))*(P$2:P$1073&lt;&gt;""))),"")</f>
        <v>24.993376890782685</v>
      </c>
      <c r="Y917" cm="1">
        <f t="array" ref="Y917">IFERROR(AVERAGE(_xlfn._xlws.FILTER(Q$2:Q$1073,($C$2:$C$1073=$C917)*($E$2:$E$1073=$E917)*(ROW(Q$2:Q$1073)&lt;&gt;ROW(Q917))*(Q$2:Q$1073&lt;&gt;""))),"")</f>
        <v>0.10312885530309761</v>
      </c>
      <c r="Z917" cm="1">
        <f t="array" ref="Z917">IFERROR(AVERAGE(_xlfn._xlws.FILTER(R$2:R$1073,($C$2:$C$1073=$C917)*($E$2:$E$1073=$E917)*(ROW(R$2:R$1073)&lt;&gt;ROW(R917))*(R$2:R$1073&lt;&gt;""))),"")</f>
        <v>0.57613604172059418</v>
      </c>
      <c r="AA917" cm="1">
        <f t="array" ref="AA917">IFERROR(AVERAGE(_xlfn._xlws.FILTER(S$2:S$1073,($C$2:$C$1073=$C917)*($E$2:$E$1073=$E917)*(ROW(S$2:S$1073)&lt;&gt;ROW(S917))*(S$2:S$1073&lt;&gt;""))),"")</f>
        <v>0.79975694618495274</v>
      </c>
      <c r="AB917" cm="1">
        <f t="array" ref="AB917">IFERROR(AVERAGE(_xlfn._xlws.FILTER(T$2:T$1073,($C$2:$C$1073=$C917)*($E$2:$E$1073=$E917)*(ROW(T$2:T$1073)&lt;&gt;ROW(T917))*(T$2:T$1073&lt;&gt;""))),"")</f>
        <v>0.34864704859118889</v>
      </c>
      <c r="AC917" cm="1">
        <f t="array" ref="AC917">IFERROR(AVERAGE(_xlfn._xlws.FILTER(U$2:U$1073,($C$2:$C$1073=$C917)*($E$2:$E$1073=$E917)*(ROW(U$2:U$1073)&lt;&gt;ROW(U917))*(U$2:U$1073&lt;&gt;""))),"")</f>
        <v>-58.279622636108527</v>
      </c>
      <c r="AD917" cm="1">
        <f t="array" ref="AD917">IFERROR(AVERAGE(_xlfn._xlws.FILTER(V$2:V$1073,($C$2:$C$1073=$C917)*($E$2:$E$1073=$E917)*(ROW(V$2:V$1073)&lt;&gt;ROW(V917))*(V$2:V$1073&lt;&gt;""))),"")</f>
        <v>0.72118797865619422</v>
      </c>
      <c r="AE917">
        <f>IF('Дивиденды по годам'!M917&lt;0,1,0)</f>
        <v>0</v>
      </c>
    </row>
    <row r="918" spans="1:31" x14ac:dyDescent="0.2">
      <c r="A918" s="7" t="s">
        <v>2292</v>
      </c>
      <c r="B918" t="str">
        <f t="shared" si="154"/>
        <v>RTKM IV кв. 2021</v>
      </c>
      <c r="C918">
        <v>2021</v>
      </c>
      <c r="D918">
        <f>SUMIFS(Дивиденды!$C:$C,Дивиденды!$A:$A,A918,Дивиденды!$I:$I,C918)</f>
        <v>4.5599999999999996</v>
      </c>
      <c r="E918">
        <v>5</v>
      </c>
      <c r="F918">
        <f t="shared" si="155"/>
        <v>4.5599999999999996</v>
      </c>
      <c r="G918">
        <f t="shared" si="156"/>
        <v>4.036363636363637</v>
      </c>
      <c r="H918">
        <f t="shared" si="157"/>
        <v>1</v>
      </c>
      <c r="I918">
        <f t="shared" si="158"/>
        <v>9.0909090909090912E-2</v>
      </c>
      <c r="J918">
        <f t="shared" si="159"/>
        <v>-8.8000000000000078E-2</v>
      </c>
      <c r="K918">
        <f t="shared" si="164"/>
        <v>2.2983788220808557E-2</v>
      </c>
      <c r="L918">
        <f t="shared" si="160"/>
        <v>0</v>
      </c>
      <c r="M918">
        <f t="shared" si="161"/>
        <v>9.0909090909090912E-2</v>
      </c>
      <c r="N918">
        <f t="shared" si="162"/>
        <v>1</v>
      </c>
      <c r="O918">
        <f t="shared" si="163"/>
        <v>0</v>
      </c>
      <c r="P918">
        <f>IFERROR(LN('Дивиденды по годам'!I918),"")</f>
        <v>27.72895330979312</v>
      </c>
      <c r="Q918">
        <f>IFERROR('Дивиденды по годам'!G918/'Дивиденды по годам'!I918, "")</f>
        <v>0.55095168321715349</v>
      </c>
      <c r="R918">
        <f>IFERROR(IF(AND('Дивиденды по годам'!N918&lt;&gt;"",'Дивиденды по годам'!U918&lt;&gt;"",'Дивиденды по годам'!U918&lt;&gt;0),'Дивиденды по годам'!N918/'Дивиденды по годам'!U918-1,""),"")</f>
        <v>6.071250290278285E-2</v>
      </c>
      <c r="S918">
        <f>IFERROR(IF(AND('Дивиденды по годам'!L918&lt;&gt;"",'Дивиденды по годам'!I918&lt;&gt;"",'Дивиденды по годам'!J918&lt;&gt;"",'Дивиденды по годам'!K918&lt;&gt;"",('Дивиденды по годам'!I918-'Дивиденды по годам'!J918-'Дивиденды по годам'!K918)&lt;&gt;0),'Дивиденды по годам'!L918/('Дивиденды по годам'!I918-'Дивиденды по годам'!J918-'Дивиденды по годам'!K918),""),"")</f>
        <v>0.88269232460576419</v>
      </c>
      <c r="T918">
        <f>IFERROR(IF(AND('Дивиденды по годам'!Q918&lt;&gt;"",'Дивиденды по годам'!I918&lt;&gt;"",'Дивиденды по годам'!V918&lt;&gt;"",('Дивиденды по годам'!I918+'Дивиденды по годам'!V918)&lt;&gt;0),'Дивиденды по годам'!Q918/(('Дивиденды по годам'!I918+'Дивиденды по годам'!V918)/2),""),"")</f>
        <v>3.027799694575747E-2</v>
      </c>
      <c r="U918">
        <f>IFERROR(IF(AND('Дивиденды по годам'!J918&lt;&gt;"",'Дивиденды по годам'!K918&lt;&gt;"",'Дивиденды по годам'!M918&lt;&gt;"",'Дивиденды по годам'!M918&lt;&gt;0),('Дивиденды по годам'!J918+'Дивиденды по годам'!K918)/'Дивиденды по годам'!M918,""),"")</f>
        <v>3.8499485492651782</v>
      </c>
      <c r="V918">
        <f>IFERROR(IF(AND('Дивиденды по годам'!J918&lt;&gt;"",'Дивиденды по годам'!K918&lt;&gt;"",'Дивиденды по годам'!M918&lt;&gt;"",'Дивиденды по годам'!I918&lt;&gt;0),('Дивиденды по годам'!J918+'Дивиденды по годам'!K918)/'Дивиденды по годам'!I918,""),"")</f>
        <v>0.79381224566773778</v>
      </c>
      <c r="W918">
        <f>IFERROR('Дивиденды по годам'!I918,"")</f>
        <v>1102888000000</v>
      </c>
      <c r="X918" cm="1">
        <f t="array" ref="X918">IFERROR(AVERAGE(_xlfn._xlws.FILTER(P$2:P$1073,($C$2:$C$1073=$C918)*($E$2:$E$1073=$E918)*(ROW(P$2:P$1073)&lt;&gt;ROW(P918))*(P$2:P$1073&lt;&gt;""))),"")</f>
        <v>24.085674871051076</v>
      </c>
      <c r="Y918" cm="1">
        <f t="array" ref="Y918">IFERROR(AVERAGE(_xlfn._xlws.FILTER(Q$2:Q$1073,($C$2:$C$1073=$C918)*($E$2:$E$1073=$E918)*(ROW(Q$2:Q$1073)&lt;&gt;ROW(Q918))*(Q$2:Q$1073&lt;&gt;""))),"")</f>
        <v>0.10644154163070037</v>
      </c>
      <c r="Z918" cm="1">
        <f t="array" ref="Z918">IFERROR(AVERAGE(_xlfn._xlws.FILTER(R$2:R$1073,($C$2:$C$1073=$C918)*($E$2:$E$1073=$E918)*(ROW(R$2:R$1073)&lt;&gt;ROW(R918))*(R$2:R$1073&lt;&gt;""))),"")</f>
        <v>0.10624747391397778</v>
      </c>
      <c r="AA918" cm="1">
        <f t="array" ref="AA918">IFERROR(AVERAGE(_xlfn._xlws.FILTER(S$2:S$1073,($C$2:$C$1073=$C918)*($E$2:$E$1073=$E918)*(ROW(S$2:S$1073)&lt;&gt;ROW(S918))*(S$2:S$1073&lt;&gt;""))),"")</f>
        <v>2.0919532890358266</v>
      </c>
      <c r="AB918" cm="1">
        <f t="array" ref="AB918">IFERROR(AVERAGE(_xlfn._xlws.FILTER(T$2:T$1073,($C$2:$C$1073=$C918)*($E$2:$E$1073=$E918)*(ROW(T$2:T$1073)&lt;&gt;ROW(T918))*(T$2:T$1073&lt;&gt;""))),"")</f>
        <v>0.11203552410244898</v>
      </c>
      <c r="AC918" cm="1">
        <f t="array" ref="AC918">IFERROR(AVERAGE(_xlfn._xlws.FILTER(U$2:U$1073,($C$2:$C$1073=$C918)*($E$2:$E$1073=$E918)*(ROW(U$2:U$1073)&lt;&gt;ROW(U918))*(U$2:U$1073&lt;&gt;""))),"")</f>
        <v>26.163571430645582</v>
      </c>
      <c r="AD918" cm="1">
        <f t="array" ref="AD918">IFERROR(AVERAGE(_xlfn._xlws.FILTER(V$2:V$1073,($C$2:$C$1073=$C918)*($E$2:$E$1073=$E918)*(ROW(V$2:V$1073)&lt;&gt;ROW(V918))*(V$2:V$1073&lt;&gt;""))),"")</f>
        <v>0.875424453085764</v>
      </c>
      <c r="AE918">
        <f>IF('Дивиденды по годам'!M918&lt;0,1,0)</f>
        <v>0</v>
      </c>
    </row>
    <row r="919" spans="1:31" x14ac:dyDescent="0.2">
      <c r="A919" s="7" t="s">
        <v>2292</v>
      </c>
      <c r="B919" t="str">
        <f t="shared" si="154"/>
        <v>RTKM IV кв. 2020</v>
      </c>
      <c r="C919">
        <v>2020</v>
      </c>
      <c r="D919">
        <f>SUMIFS(Дивиденды!$C:$C,Дивиденды!$A:$A,A919,Дивиденды!$I:$I,C919)</f>
        <v>5</v>
      </c>
      <c r="E919">
        <v>5</v>
      </c>
      <c r="F919">
        <f t="shared" si="155"/>
        <v>5</v>
      </c>
      <c r="G919">
        <f t="shared" si="156"/>
        <v>3.2218181818181817</v>
      </c>
      <c r="H919">
        <f t="shared" si="157"/>
        <v>1</v>
      </c>
      <c r="I919">
        <f t="shared" si="158"/>
        <v>9.0909090909090912E-2</v>
      </c>
      <c r="J919">
        <f t="shared" si="159"/>
        <v>0</v>
      </c>
      <c r="K919">
        <f t="shared" si="164"/>
        <v>-1.5101604278074872E-2</v>
      </c>
      <c r="L919">
        <f t="shared" si="160"/>
        <v>0</v>
      </c>
      <c r="M919">
        <f t="shared" si="161"/>
        <v>0</v>
      </c>
      <c r="N919">
        <f t="shared" si="162"/>
        <v>0</v>
      </c>
      <c r="O919">
        <f t="shared" si="163"/>
        <v>9.0909090909090912E-2</v>
      </c>
      <c r="P919">
        <f>IFERROR(LN('Дивиденды по годам'!I919),"")</f>
        <v>27.630782087363496</v>
      </c>
      <c r="Q919">
        <f>IFERROR('Дивиденды по годам'!G919/'Дивиденды по годам'!I919, "")</f>
        <v>0.57549354295676669</v>
      </c>
      <c r="R919">
        <f>IFERROR(IF(AND('Дивиденды по годам'!N919&lt;&gt;"",'Дивиденды по годам'!U919&lt;&gt;"",'Дивиденды по годам'!U919&lt;&gt;0),'Дивиденды по годам'!N919/'Дивиденды по годам'!U919-1,""),"")</f>
        <v>0.620791237059934</v>
      </c>
      <c r="S919">
        <f>IFERROR(IF(AND('Дивиденды по годам'!L919&lt;&gt;"",'Дивиденды по годам'!I919&lt;&gt;"",'Дивиденды по годам'!J919&lt;&gt;"",'Дивиденды по годам'!K919&lt;&gt;"",('Дивиденды по годам'!I919-'Дивиденды по годам'!J919-'Дивиденды по годам'!K919)&lt;&gt;0),'Дивиденды по годам'!L919/('Дивиденды по годам'!I919-'Дивиденды по годам'!J919-'Дивиденды по годам'!K919),""),"")</f>
        <v>0.89311178081184883</v>
      </c>
      <c r="T919">
        <f>IFERROR(IF(AND('Дивиденды по годам'!Q919&lt;&gt;"",'Дивиденды по годам'!I919&lt;&gt;"",'Дивиденды по годам'!V919&lt;&gt;"",('Дивиденды по годам'!I919+'Дивиденды по годам'!V919)&lt;&gt;0),'Дивиденды по годам'!Q919/(('Дивиденды по годам'!I919+'Дивиденды по годам'!V919)/2),""),"")</f>
        <v>2.9337334790863853E-2</v>
      </c>
      <c r="U919">
        <f>IFERROR(IF(AND('Дивиденды по годам'!J919&lt;&gt;"",'Дивиденды по годам'!K919&lt;&gt;"",'Дивиденды по годам'!M919&lt;&gt;"",'Дивиденды по годам'!M919&lt;&gt;0),('Дивиденды по годам'!J919+'Дивиденды по годам'!K919)/'Дивиденды по годам'!M919,""),"")</f>
        <v>3.592885756812878</v>
      </c>
      <c r="V919">
        <f>IFERROR(IF(AND('Дивиденды по годам'!J919&lt;&gt;"",'Дивиденды по годам'!K919&lt;&gt;"",'Дивиденды по годам'!M919&lt;&gt;"",'Дивиденды по годам'!I919&lt;&gt;0),('Дивиденды по годам'!J919+'Дивиденды по годам'!K919)/'Дивиденды по годам'!I919,""),"")</f>
        <v>0.7822719629991568</v>
      </c>
      <c r="W919">
        <f>IFERROR('Дивиденды по годам'!I919,"")</f>
        <v>999761000000</v>
      </c>
      <c r="X919" cm="1">
        <f t="array" ref="X919">IFERROR(AVERAGE(_xlfn._xlws.FILTER(P$2:P$1073,($C$2:$C$1073=$C919)*($E$2:$E$1073=$E919)*(ROW(P$2:P$1073)&lt;&gt;ROW(P919))*(P$2:P$1073&lt;&gt;""))),"")</f>
        <v>24.781851205255915</v>
      </c>
      <c r="Y919" cm="1">
        <f t="array" ref="Y919">IFERROR(AVERAGE(_xlfn._xlws.FILTER(Q$2:Q$1073,($C$2:$C$1073=$C919)*($E$2:$E$1073=$E919)*(ROW(Q$2:Q$1073)&lt;&gt;ROW(Q919))*(Q$2:Q$1073&lt;&gt;""))),"")</f>
        <v>0.12591589092515984</v>
      </c>
      <c r="Z919" cm="1">
        <f t="array" ref="Z919">IFERROR(AVERAGE(_xlfn._xlws.FILTER(R$2:R$1073,($C$2:$C$1073=$C919)*($E$2:$E$1073=$E919)*(ROW(R$2:R$1073)&lt;&gt;ROW(R919))*(R$2:R$1073&lt;&gt;""))),"")</f>
        <v>0.32107356347498939</v>
      </c>
      <c r="AA919" cm="1">
        <f t="array" ref="AA919">IFERROR(AVERAGE(_xlfn._xlws.FILTER(S$2:S$1073,($C$2:$C$1073=$C919)*($E$2:$E$1073=$E919)*(ROW(S$2:S$1073)&lt;&gt;ROW(S919))*(S$2:S$1073&lt;&gt;""))),"")</f>
        <v>1.5463132154110062</v>
      </c>
      <c r="AB919" cm="1">
        <f t="array" ref="AB919">IFERROR(AVERAGE(_xlfn._xlws.FILTER(T$2:T$1073,($C$2:$C$1073=$C919)*($E$2:$E$1073=$E919)*(ROW(T$2:T$1073)&lt;&gt;ROW(T919))*(T$2:T$1073&lt;&gt;""))),"")</f>
        <v>0.16596254385339193</v>
      </c>
      <c r="AC919" cm="1">
        <f t="array" ref="AC919">IFERROR(AVERAGE(_xlfn._xlws.FILTER(U$2:U$1073,($C$2:$C$1073=$C919)*($E$2:$E$1073=$E919)*(ROW(U$2:U$1073)&lt;&gt;ROW(U919))*(U$2:U$1073&lt;&gt;""))),"")</f>
        <v>11.692766528913268</v>
      </c>
      <c r="AD919" cm="1">
        <f t="array" ref="AD919">IFERROR(AVERAGE(_xlfn._xlws.FILTER(V$2:V$1073,($C$2:$C$1073=$C919)*($E$2:$E$1073=$E919)*(ROW(V$2:V$1073)&lt;&gt;ROW(V919))*(V$2:V$1073&lt;&gt;""))),"")</f>
        <v>0.81423979484546327</v>
      </c>
      <c r="AE919">
        <f>IF('Дивиденды по годам'!M919&lt;0,1,0)</f>
        <v>0</v>
      </c>
    </row>
    <row r="920" spans="1:31" x14ac:dyDescent="0.2">
      <c r="A920" s="7" t="s">
        <v>2292</v>
      </c>
      <c r="B920" t="str">
        <f t="shared" si="154"/>
        <v>RTKM IV кв. 2019</v>
      </c>
      <c r="C920">
        <v>2019</v>
      </c>
      <c r="D920">
        <f>SUMIFS(Дивиденды!$C:$C,Дивиденды!$A:$A,A920,Дивиденды!$I:$I,C920)</f>
        <v>5</v>
      </c>
      <c r="E920">
        <v>5</v>
      </c>
      <c r="F920">
        <f t="shared" si="155"/>
        <v>5</v>
      </c>
      <c r="G920">
        <f t="shared" si="156"/>
        <v>3.8636363636363638</v>
      </c>
      <c r="H920">
        <f t="shared" si="157"/>
        <v>1</v>
      </c>
      <c r="I920">
        <f t="shared" si="158"/>
        <v>9.0909090909090912E-2</v>
      </c>
      <c r="J920">
        <f t="shared" si="159"/>
        <v>0</v>
      </c>
      <c r="K920">
        <f t="shared" si="164"/>
        <v>8.0199694017231649E-2</v>
      </c>
      <c r="L920">
        <f t="shared" si="160"/>
        <v>0</v>
      </c>
      <c r="M920">
        <f t="shared" si="161"/>
        <v>9.0909090909090912E-2</v>
      </c>
      <c r="N920">
        <f t="shared" si="162"/>
        <v>0</v>
      </c>
      <c r="O920">
        <f t="shared" si="163"/>
        <v>0</v>
      </c>
      <c r="P920">
        <f>IFERROR(LN('Дивиденды по годам'!I920),"")</f>
        <v>27.313945934174058</v>
      </c>
      <c r="Q920">
        <f>IFERROR('Дивиденды по годам'!G920/'Дивиденды по годам'!I920, "")</f>
        <v>0.55132394861288847</v>
      </c>
      <c r="R920">
        <f>IFERROR(IF(AND('Дивиденды по годам'!N920&lt;&gt;"",'Дивиденды по годам'!U920&lt;&gt;"",'Дивиденды по годам'!U920&lt;&gt;0),'Дивиденды по годам'!N920/'Дивиденды по годам'!U920-1,""),"")</f>
        <v>5.3653677409684741E-2</v>
      </c>
      <c r="S920">
        <f>IFERROR(IF(AND('Дивиденды по годам'!L920&lt;&gt;"",'Дивиденды по годам'!I920&lt;&gt;"",'Дивиденды по годам'!J920&lt;&gt;"",'Дивиденды по годам'!K920&lt;&gt;"",('Дивиденды по годам'!I920-'Дивиденды по годам'!J920-'Дивиденды по годам'!K920)&lt;&gt;0),'Дивиденды по годам'!L920/('Дивиденды по годам'!I920-'Дивиденды по годам'!J920-'Дивиденды по годам'!K920),""),"")</f>
        <v>1.1854356416006835</v>
      </c>
      <c r="T920">
        <f>IFERROR(IF(AND('Дивиденды по годам'!Q920&lt;&gt;"",'Дивиденды по годам'!I920&lt;&gt;"",'Дивиденды по годам'!V920&lt;&gt;"",('Дивиденды по годам'!I920+'Дивиденды по годам'!V920)&lt;&gt;0),'Дивиденды по годам'!Q920/(('Дивиденды по годам'!I920+'Дивиденды по годам'!V920)/2),""),"")</f>
        <v>2.3961449904802909E-2</v>
      </c>
      <c r="U920">
        <f>IFERROR(IF(AND('Дивиденды по годам'!J920&lt;&gt;"",'Дивиденды по годам'!K920&lt;&gt;"",'Дивиденды по годам'!M920&lt;&gt;"",'Дивиденды по годам'!M920&lt;&gt;0),('Дивиденды по годам'!J920+'Дивиденды по годам'!K920)/'Дивиденды по годам'!M920,""),"")</f>
        <v>1.7776862404076463</v>
      </c>
      <c r="V920">
        <f>IFERROR(IF(AND('Дивиденды по годам'!J920&lt;&gt;"",'Дивиденды по годам'!K920&lt;&gt;"",'Дивиденды по годам'!M920&lt;&gt;"",'Дивиденды по годам'!I920&lt;&gt;0),('Дивиденды по годам'!J920+'Дивиденды по годам'!K920)/'Дивиденды по годам'!I920,""),"")</f>
        <v>0.63998813636588325</v>
      </c>
      <c r="W920">
        <f>IFERROR('Дивиденды по годам'!I920,"")</f>
        <v>728276000000</v>
      </c>
      <c r="X920" cm="1">
        <f t="array" ref="X920">IFERROR(AVERAGE(_xlfn._xlws.FILTER(P$2:P$1073,($C$2:$C$1073=$C920)*($E$2:$E$1073=$E920)*(ROW(P$2:P$1073)&lt;&gt;ROW(P920))*(P$2:P$1073&lt;&gt;""))),"")</f>
        <v>24.892076450141538</v>
      </c>
      <c r="Y920" cm="1">
        <f t="array" ref="Y920">IFERROR(AVERAGE(_xlfn._xlws.FILTER(Q$2:Q$1073,($C$2:$C$1073=$C920)*($E$2:$E$1073=$E920)*(ROW(Q$2:Q$1073)&lt;&gt;ROW(Q920))*(Q$2:Q$1073&lt;&gt;""))),"")</f>
        <v>0.19863729140168074</v>
      </c>
      <c r="Z920" cm="1">
        <f t="array" ref="Z920">IFERROR(AVERAGE(_xlfn._xlws.FILTER(R$2:R$1073,($C$2:$C$1073=$C920)*($E$2:$E$1073=$E920)*(ROW(R$2:R$1073)&lt;&gt;ROW(R920))*(R$2:R$1073&lt;&gt;""))),"")</f>
        <v>0.16510901989615601</v>
      </c>
      <c r="AA920" cm="1">
        <f t="array" ref="AA920">IFERROR(AVERAGE(_xlfn._xlws.FILTER(S$2:S$1073,($C$2:$C$1073=$C920)*($E$2:$E$1073=$E920)*(ROW(S$2:S$1073)&lt;&gt;ROW(S920))*(S$2:S$1073&lt;&gt;""))),"")</f>
        <v>1.654523523111225</v>
      </c>
      <c r="AB920" cm="1">
        <f t="array" ref="AB920">IFERROR(AVERAGE(_xlfn._xlws.FILTER(T$2:T$1073,($C$2:$C$1073=$C920)*($E$2:$E$1073=$E920)*(ROW(T$2:T$1073)&lt;&gt;ROW(T920))*(T$2:T$1073&lt;&gt;""))),"")</f>
        <v>4.8912296436966485E-2</v>
      </c>
      <c r="AC920" cm="1">
        <f t="array" ref="AC920">IFERROR(AVERAGE(_xlfn._xlws.FILTER(U$2:U$1073,($C$2:$C$1073=$C920)*($E$2:$E$1073=$E920)*(ROW(U$2:U$1073)&lt;&gt;ROW(U920))*(U$2:U$1073&lt;&gt;""))),"")</f>
        <v>12.83028394902839</v>
      </c>
      <c r="AD920" cm="1">
        <f t="array" ref="AD920">IFERROR(AVERAGE(_xlfn._xlws.FILTER(V$2:V$1073,($C$2:$C$1073=$C920)*($E$2:$E$1073=$E920)*(ROW(V$2:V$1073)&lt;&gt;ROW(V920))*(V$2:V$1073&lt;&gt;""))),"")</f>
        <v>0.8783508546436013</v>
      </c>
      <c r="AE920">
        <f>IF('Дивиденды по годам'!M920&lt;0,1,0)</f>
        <v>0</v>
      </c>
    </row>
    <row r="921" spans="1:31" x14ac:dyDescent="0.2">
      <c r="A921" s="7" t="s">
        <v>2292</v>
      </c>
      <c r="B921" t="str">
        <f t="shared" si="154"/>
        <v>RTKM IV кв. 2018</v>
      </c>
      <c r="C921">
        <v>2018</v>
      </c>
      <c r="D921">
        <f>SUMIFS(Дивиденды!$C:$C,Дивиденды!$A:$A,A921,Дивиденды!$I:$I,C921)</f>
        <v>5</v>
      </c>
      <c r="E921">
        <v>5</v>
      </c>
      <c r="F921">
        <f t="shared" si="155"/>
        <v>5</v>
      </c>
      <c r="G921">
        <f t="shared" si="156"/>
        <v>2.0527272727272727</v>
      </c>
      <c r="H921">
        <f t="shared" si="157"/>
        <v>1</v>
      </c>
      <c r="I921">
        <f t="shared" si="158"/>
        <v>9.0909090909090912E-2</v>
      </c>
      <c r="J921">
        <f t="shared" si="159"/>
        <v>-9.9009900990098664E-3</v>
      </c>
      <c r="K921">
        <f t="shared" si="164"/>
        <v>-3.0177514792899398E-2</v>
      </c>
      <c r="L921">
        <f t="shared" si="160"/>
        <v>0</v>
      </c>
      <c r="M921">
        <f t="shared" si="161"/>
        <v>0</v>
      </c>
      <c r="N921">
        <f t="shared" si="162"/>
        <v>1</v>
      </c>
      <c r="O921">
        <f t="shared" si="163"/>
        <v>9.0909090909090912E-2</v>
      </c>
      <c r="P921">
        <f>IFERROR(LN('Дивиденды по годам'!I921),"")</f>
        <v>27.195250396786559</v>
      </c>
      <c r="Q921">
        <f>IFERROR('Дивиденды по годам'!G921/'Дивиденды по годам'!I921, "")</f>
        <v>0.57801275886487535</v>
      </c>
      <c r="R921">
        <f>IFERROR(IF(AND('Дивиденды по годам'!N921&lt;&gt;"",'Дивиденды по годам'!U921&lt;&gt;"",'Дивиденды по годам'!U921&lt;&gt;0),'Дивиденды по годам'!N921/'Дивиденды по годам'!U921-1,""),"")</f>
        <v>4.8832570767925798E-2</v>
      </c>
      <c r="S921">
        <f>IFERROR(IF(AND('Дивиденды по годам'!L921&lt;&gt;"",'Дивиденды по годам'!I921&lt;&gt;"",'Дивиденды по годам'!J921&lt;&gt;"",'Дивиденды по годам'!K921&lt;&gt;"",('Дивиденды по годам'!I921-'Дивиденды по годам'!J921-'Дивиденды по годам'!K921)&lt;&gt;0),'Дивиденды по годам'!L921/('Дивиденды по годам'!I921-'Дивиденды по годам'!J921-'Дивиденды по годам'!K921),""),"")</f>
        <v>1.2242690862432408</v>
      </c>
      <c r="T921">
        <f>IFERROR(IF(AND('Дивиденды по годам'!Q921&lt;&gt;"",'Дивиденды по годам'!I921&lt;&gt;"",'Дивиденды по годам'!V921&lt;&gt;"",('Дивиденды по годам'!I921+'Дивиденды по годам'!V921)&lt;&gt;0),'Дивиденды по годам'!Q921/(('Дивиденды по годам'!I921+'Дивиденды по годам'!V921)/2),""),"")</f>
        <v>2.4874999482185096E-2</v>
      </c>
      <c r="U921">
        <f>IFERROR(IF(AND('Дивиденды по годам'!J921&lt;&gt;"",'Дивиденды по годам'!K921&lt;&gt;"",'Дивиденды по годам'!M921&lt;&gt;"",'Дивиденды по годам'!M921&lt;&gt;0),('Дивиденды по годам'!J921+'Дивиденды по годам'!K921)/'Дивиденды по годам'!M921,""),"")</f>
        <v>1.5772395627866573</v>
      </c>
      <c r="V921">
        <f>IFERROR(IF(AND('Дивиденды по годам'!J921&lt;&gt;"",'Дивиденды по годам'!K921&lt;&gt;"",'Дивиденды по годам'!M921&lt;&gt;"",'Дивиденды по годам'!I921&lt;&gt;0),('Дивиденды по годам'!J921+'Дивиденды по годам'!K921)/'Дивиденды по годам'!I921,""),"")</f>
        <v>0.61198795236607983</v>
      </c>
      <c r="W921">
        <f>IFERROR('Дивиденды по годам'!I921,"")</f>
        <v>646766000000</v>
      </c>
      <c r="X921" cm="1">
        <f t="array" ref="X921">IFERROR(AVERAGE(_xlfn._xlws.FILTER(P$2:P$1073,($C$2:$C$1073=$C921)*($E$2:$E$1073=$E921)*(ROW(P$2:P$1073)&lt;&gt;ROW(P921))*(P$2:P$1073&lt;&gt;""))),"")</f>
        <v>24.85792672632391</v>
      </c>
      <c r="Y921" cm="1">
        <f t="array" ref="Y921">IFERROR(AVERAGE(_xlfn._xlws.FILTER(Q$2:Q$1073,($C$2:$C$1073=$C921)*($E$2:$E$1073=$E921)*(ROW(Q$2:Q$1073)&lt;&gt;ROW(Q921))*(Q$2:Q$1073&lt;&gt;""))),"")</f>
        <v>0.19117028042323481</v>
      </c>
      <c r="Z921" cm="1">
        <f t="array" ref="Z921">IFERROR(AVERAGE(_xlfn._xlws.FILTER(R$2:R$1073,($C$2:$C$1073=$C921)*($E$2:$E$1073=$E921)*(ROW(R$2:R$1073)&lt;&gt;ROW(R921))*(R$2:R$1073&lt;&gt;""))),"")</f>
        <v>8.44007035273453E-2</v>
      </c>
      <c r="AA921" cm="1">
        <f t="array" ref="AA921">IFERROR(AVERAGE(_xlfn._xlws.FILTER(S$2:S$1073,($C$2:$C$1073=$C921)*($E$2:$E$1073=$E921)*(ROW(S$2:S$1073)&lt;&gt;ROW(S921))*(S$2:S$1073&lt;&gt;""))),"")</f>
        <v>1.1959790004266899</v>
      </c>
      <c r="AB921" cm="1">
        <f t="array" ref="AB921">IFERROR(AVERAGE(_xlfn._xlws.FILTER(T$2:T$1073,($C$2:$C$1073=$C921)*($E$2:$E$1073=$E921)*(ROW(T$2:T$1073)&lt;&gt;ROW(T921))*(T$2:T$1073&lt;&gt;""))),"")</f>
        <v>1.0677114752399863E-2</v>
      </c>
      <c r="AC921" cm="1">
        <f t="array" ref="AC921">IFERROR(AVERAGE(_xlfn._xlws.FILTER(U$2:U$1073,($C$2:$C$1073=$C921)*($E$2:$E$1073=$E921)*(ROW(U$2:U$1073)&lt;&gt;ROW(U921))*(U$2:U$1073&lt;&gt;""))),"")</f>
        <v>7.416064388920808</v>
      </c>
      <c r="AD921" cm="1">
        <f t="array" ref="AD921">IFERROR(AVERAGE(_xlfn._xlws.FILTER(V$2:V$1073,($C$2:$C$1073=$C921)*($E$2:$E$1073=$E921)*(ROW(V$2:V$1073)&lt;&gt;ROW(V921))*(V$2:V$1073&lt;&gt;""))),"")</f>
        <v>0.85811401608165427</v>
      </c>
      <c r="AE921">
        <f>IF('Дивиденды по годам'!M921&lt;0,1,0)</f>
        <v>0</v>
      </c>
    </row>
    <row r="922" spans="1:31" x14ac:dyDescent="0.2">
      <c r="A922" s="7" t="s">
        <v>2292</v>
      </c>
      <c r="B922" t="str">
        <f t="shared" si="154"/>
        <v>RTKM IV кв. 2017</v>
      </c>
      <c r="C922">
        <v>2017</v>
      </c>
      <c r="D922">
        <f>SUMIFS(Дивиденды!$C:$C,Дивиденды!$A:$A,A922,Дивиденды!$I:$I,C922)</f>
        <v>5.05</v>
      </c>
      <c r="E922">
        <v>5</v>
      </c>
      <c r="F922">
        <f t="shared" si="155"/>
        <v>5.05</v>
      </c>
      <c r="G922">
        <f t="shared" si="156"/>
        <v>3.0727272727272723</v>
      </c>
      <c r="H922">
        <f t="shared" si="157"/>
        <v>1</v>
      </c>
      <c r="I922">
        <f t="shared" si="158"/>
        <v>9.0909090909090912E-2</v>
      </c>
      <c r="J922">
        <f t="shared" si="159"/>
        <v>-6.3079777365491627E-2</v>
      </c>
      <c r="K922">
        <f t="shared" si="164"/>
        <v>2.0461959207881634E-2</v>
      </c>
      <c r="L922">
        <f t="shared" si="160"/>
        <v>0</v>
      </c>
      <c r="M922">
        <f t="shared" si="161"/>
        <v>9.0909090909090912E-2</v>
      </c>
      <c r="N922">
        <f t="shared" si="162"/>
        <v>1</v>
      </c>
      <c r="O922">
        <f t="shared" si="163"/>
        <v>0</v>
      </c>
      <c r="P922">
        <f>IFERROR(LN('Дивиденды по годам'!I922),"")</f>
        <v>27.051611465658535</v>
      </c>
      <c r="Q922">
        <f>IFERROR('Дивиденды по годам'!G922/'Дивиденды по годам'!I922, "")</f>
        <v>0.62194209867750505</v>
      </c>
      <c r="R922">
        <f>IFERROR(IF(AND('Дивиденды по годам'!N922&lt;&gt;"",'Дивиденды по годам'!U922&lt;&gt;"",'Дивиденды по годам'!U922&lt;&gt;0),'Дивиденды по годам'!N922/'Дивиденды по годам'!U922-1,""),"")</f>
        <v>2.6502289491201703E-2</v>
      </c>
      <c r="S922">
        <f>IFERROR(IF(AND('Дивиденды по годам'!L922&lt;&gt;"",'Дивиденды по годам'!I922&lt;&gt;"",'Дивиденды по годам'!J922&lt;&gt;"",'Дивиденды по годам'!K922&lt;&gt;"",('Дивиденды по годам'!I922-'Дивиденды по годам'!J922-'Дивиденды по годам'!K922)&lt;&gt;0),'Дивиденды по годам'!L922/('Дивиденды по годам'!I922-'Дивиденды по годам'!J922-'Дивиденды по годам'!K922),""),"")</f>
        <v>1.2491538473877544</v>
      </c>
      <c r="T922">
        <f>IFERROR(IF(AND('Дивиденды по годам'!Q922&lt;&gt;"",'Дивиденды по годам'!I922&lt;&gt;"",'Дивиденды по годам'!V922&lt;&gt;"",('Дивиденды по годам'!I922+'Дивиденды по годам'!V922)&lt;&gt;0),'Дивиденды по годам'!Q922/(('Дивиденды по годам'!I922+'Дивиденды по годам'!V922)/2),""),"")</f>
        <v>2.5181219649237259E-2</v>
      </c>
      <c r="U922">
        <f>IFERROR(IF(AND('Дивиденды по годам'!J922&lt;&gt;"",'Дивиденды по годам'!K922&lt;&gt;"",'Дивиденды по годам'!M922&lt;&gt;"",'Дивиденды по годам'!M922&lt;&gt;0),('Дивиденды по годам'!J922+'Дивиденды по годам'!K922)/'Дивиденды по годам'!M922,""),"")</f>
        <v>1.2466314303588328</v>
      </c>
      <c r="V922">
        <f>IFERROR(IF(AND('Дивиденды по годам'!J922&lt;&gt;"",'Дивиденды по годам'!K922&lt;&gt;"",'Дивиденды по годам'!M922&lt;&gt;"",'Дивиденды по годам'!I922&lt;&gt;0),('Дивиденды по годам'!J922+'Дивиденды по годам'!K922)/'Дивиденды по годам'!I922,""),"")</f>
        <v>0.55488916139650035</v>
      </c>
      <c r="W922">
        <f>IFERROR('Дивиденды по годам'!I922,"")</f>
        <v>560229000000</v>
      </c>
      <c r="X922" cm="1">
        <f t="array" ref="X922">IFERROR(AVERAGE(_xlfn._xlws.FILTER(P$2:P$1073,($C$2:$C$1073=$C922)*($E$2:$E$1073=$E922)*(ROW(P$2:P$1073)&lt;&gt;ROW(P922))*(P$2:P$1073&lt;&gt;""))),"")</f>
        <v>27.035127679772494</v>
      </c>
      <c r="Y922" cm="1">
        <f t="array" ref="Y922">IFERROR(AVERAGE(_xlfn._xlws.FILTER(Q$2:Q$1073,($C$2:$C$1073=$C922)*($E$2:$E$1073=$E922)*(ROW(Q$2:Q$1073)&lt;&gt;ROW(Q922))*(Q$2:Q$1073&lt;&gt;""))),"")</f>
        <v>0.47736766653964108</v>
      </c>
      <c r="Z922" cm="1">
        <f t="array" ref="Z922">IFERROR(AVERAGE(_xlfn._xlws.FILTER(R$2:R$1073,($C$2:$C$1073=$C922)*($E$2:$E$1073=$E922)*(ROW(R$2:R$1073)&lt;&gt;ROW(R922))*(R$2:R$1073&lt;&gt;""))),"")</f>
        <v>1.6569044187178195E-2</v>
      </c>
      <c r="AA922" cm="1">
        <f t="array" ref="AA922">IFERROR(AVERAGE(_xlfn._xlws.FILTER(S$2:S$1073,($C$2:$C$1073=$C922)*($E$2:$E$1073=$E922)*(ROW(S$2:S$1073)&lt;&gt;ROW(S922))*(S$2:S$1073&lt;&gt;""))),"")</f>
        <v>1.2160782577190934</v>
      </c>
      <c r="AB922" cm="1">
        <f t="array" ref="AB922">IFERROR(AVERAGE(_xlfn._xlws.FILTER(T$2:T$1073,($C$2:$C$1073=$C922)*($E$2:$E$1073=$E922)*(ROW(T$2:T$1073)&lt;&gt;ROW(T922))*(T$2:T$1073&lt;&gt;""))),"")</f>
        <v>0.10330978330321121</v>
      </c>
      <c r="AC922" cm="1">
        <f t="array" ref="AC922">IFERROR(AVERAGE(_xlfn._xlws.FILTER(U$2:U$1073,($C$2:$C$1073=$C922)*($E$2:$E$1073=$E922)*(ROW(U$2:U$1073)&lt;&gt;ROW(U922))*(U$2:U$1073&lt;&gt;""))),"")</f>
        <v>3.4367779074916469</v>
      </c>
      <c r="AD922" cm="1">
        <f t="array" ref="AD922">IFERROR(AVERAGE(_xlfn._xlws.FILTER(V$2:V$1073,($C$2:$C$1073=$C922)*($E$2:$E$1073=$E922)*(ROW(V$2:V$1073)&lt;&gt;ROW(V922))*(V$2:V$1073&lt;&gt;""))),"")</f>
        <v>0.7746112109169434</v>
      </c>
      <c r="AE922">
        <f>IF('Дивиденды по годам'!M922&lt;0,1,0)</f>
        <v>0</v>
      </c>
    </row>
    <row r="923" spans="1:31" x14ac:dyDescent="0.2">
      <c r="A923" s="7" t="s">
        <v>2292</v>
      </c>
      <c r="B923" t="str">
        <f t="shared" si="154"/>
        <v>RTKM IV кв. 2016</v>
      </c>
      <c r="C923">
        <v>2016</v>
      </c>
      <c r="D923">
        <f>SUMIFS(Дивиденды!$C:$C,Дивиденды!$A:$A,A923,Дивиденды!$I:$I,C923)</f>
        <v>5.39</v>
      </c>
      <c r="E923">
        <v>5</v>
      </c>
      <c r="F923">
        <f t="shared" si="155"/>
        <v>5.39</v>
      </c>
      <c r="G923">
        <f t="shared" si="156"/>
        <v>2.5081818181818183</v>
      </c>
      <c r="H923">
        <f t="shared" si="157"/>
        <v>1</v>
      </c>
      <c r="I923">
        <f t="shared" si="158"/>
        <v>9.0909090909090912E-2</v>
      </c>
      <c r="J923">
        <f t="shared" si="159"/>
        <v>-8.952702702702707E-2</v>
      </c>
      <c r="K923">
        <f t="shared" si="164"/>
        <v>3.6928922250023158E-2</v>
      </c>
      <c r="L923">
        <f t="shared" si="160"/>
        <v>0</v>
      </c>
      <c r="M923">
        <f t="shared" si="161"/>
        <v>9.0909090909090912E-2</v>
      </c>
      <c r="N923">
        <f t="shared" si="162"/>
        <v>1</v>
      </c>
      <c r="O923">
        <f t="shared" si="163"/>
        <v>0</v>
      </c>
      <c r="P923">
        <f>IFERROR(LN('Дивиденды по годам'!I923),"")</f>
        <v>27.043462025129479</v>
      </c>
      <c r="Q923">
        <f>IFERROR('Дивиденды по годам'!G923/'Дивиденды по годам'!I923, "")</f>
        <v>0.61845983854074815</v>
      </c>
      <c r="R923">
        <f>IFERROR(IF(AND('Дивиденды по годам'!N923&lt;&gt;"",'Дивиденды по годам'!U923&lt;&gt;"",'Дивиденды по годам'!U923&lt;&gt;0),'Дивиденды по годам'!N923/'Дивиденды по годам'!U923-1,""),"")</f>
        <v>3.0603151115671245E-4</v>
      </c>
      <c r="S923">
        <f>IFERROR(IF(AND('Дивиденды по годам'!L923&lt;&gt;"",'Дивиденды по годам'!I923&lt;&gt;"",'Дивиденды по годам'!J923&lt;&gt;"",'Дивиденды по годам'!K923&lt;&gt;"",('Дивиденды по годам'!I923-'Дивиденды по годам'!J923-'Дивиденды по годам'!K923)&lt;&gt;0),'Дивиденды по годам'!L923/('Дивиденды по годам'!I923-'Дивиденды по годам'!J923-'Дивиденды по годам'!K923),""),"")</f>
        <v>1.2515112635893064</v>
      </c>
      <c r="T923">
        <f>IFERROR(IF(AND('Дивиденды по годам'!Q923&lt;&gt;"",'Дивиденды по годам'!I923&lt;&gt;"",'Дивиденды по годам'!V923&lt;&gt;"",('Дивиденды по годам'!I923+'Дивиденды по годам'!V923)&lt;&gt;0),'Дивиденды по годам'!Q923/(('Дивиденды по годам'!I923+'Дивиденды по годам'!V923)/2),""),"")</f>
        <v>2.2130041318805204E-2</v>
      </c>
      <c r="U923">
        <f>IFERROR(IF(AND('Дивиденды по годам'!J923&lt;&gt;"",'Дивиденды по годам'!K923&lt;&gt;"",'Дивиденды по годам'!M923&lt;&gt;"",'Дивиденды по годам'!M923&lt;&gt;0),('Дивиденды по годам'!J923+'Дивиденды по годам'!K923)/'Дивиденды по годам'!M923,""),"")</f>
        <v>1.2349486994888048</v>
      </c>
      <c r="V923">
        <f>IFERROR(IF(AND('Дивиденды по годам'!J923&lt;&gt;"",'Дивиденды по годам'!K923&lt;&gt;"",'Дивиденды по годам'!M923&lt;&gt;"",'Дивиденды по годам'!I923&lt;&gt;0),('Дивиденды по годам'!J923+'Дивиденды по годам'!K923)/'Дивиденды по годам'!I923,""),"")</f>
        <v>0.55256243678938677</v>
      </c>
      <c r="W923">
        <f>IFERROR('Дивиденды по годам'!I923,"")</f>
        <v>555682000000</v>
      </c>
      <c r="X923" cm="1">
        <f t="array" ref="X923">IFERROR(AVERAGE(_xlfn._xlws.FILTER(P$2:P$1073,($C$2:$C$1073=$C923)*($E$2:$E$1073=$E923)*(ROW(P$2:P$1073)&lt;&gt;ROW(P923))*(P$2:P$1073&lt;&gt;""))),"")</f>
        <v>27.023078681382831</v>
      </c>
      <c r="Y923" cm="1">
        <f t="array" ref="Y923">IFERROR(AVERAGE(_xlfn._xlws.FILTER(Q$2:Q$1073,($C$2:$C$1073=$C923)*($E$2:$E$1073=$E923)*(ROW(Q$2:Q$1073)&lt;&gt;ROW(Q923))*(Q$2:Q$1073&lt;&gt;""))),"")</f>
        <v>0.50111300898121114</v>
      </c>
      <c r="Z923" cm="1">
        <f t="array" ref="Z923">IFERROR(AVERAGE(_xlfn._xlws.FILTER(R$2:R$1073,($C$2:$C$1073=$C923)*($E$2:$E$1073=$E923)*(ROW(R$2:R$1073)&lt;&gt;ROW(R923))*(R$2:R$1073&lt;&gt;""))),"")</f>
        <v>1.0342460670822229E-2</v>
      </c>
      <c r="AA923" cm="1">
        <f t="array" ref="AA923">IFERROR(AVERAGE(_xlfn._xlws.FILTER(S$2:S$1073,($C$2:$C$1073=$C923)*($E$2:$E$1073=$E923)*(ROW(S$2:S$1073)&lt;&gt;ROW(S923))*(S$2:S$1073&lt;&gt;""))),"")</f>
        <v>1.0116291994331286</v>
      </c>
      <c r="AB923" cm="1">
        <f t="array" ref="AB923">IFERROR(AVERAGE(_xlfn._xlws.FILTER(T$2:T$1073,($C$2:$C$1073=$C923)*($E$2:$E$1073=$E923)*(ROW(T$2:T$1073)&lt;&gt;ROW(T923))*(T$2:T$1073&lt;&gt;""))),"")</f>
        <v>8.7608778409280649E-2</v>
      </c>
      <c r="AC923" cm="1">
        <f t="array" ref="AC923">IFERROR(AVERAGE(_xlfn._xlws.FILTER(U$2:U$1073,($C$2:$C$1073=$C923)*($E$2:$E$1073=$E923)*(ROW(U$2:U$1073)&lt;&gt;ROW(U923))*(U$2:U$1073&lt;&gt;""))),"")</f>
        <v>2.7824075360546865</v>
      </c>
      <c r="AD923" cm="1">
        <f t="array" ref="AD923">IFERROR(AVERAGE(_xlfn._xlws.FILTER(V$2:V$1073,($C$2:$C$1073=$C923)*($E$2:$E$1073=$E923)*(ROW(V$2:V$1073)&lt;&gt;ROW(V923))*(V$2:V$1073&lt;&gt;""))),"")</f>
        <v>0.73561812404723859</v>
      </c>
      <c r="AE923">
        <f>IF('Дивиденды по годам'!M923&lt;0,1,0)</f>
        <v>0</v>
      </c>
    </row>
    <row r="924" spans="1:31" x14ac:dyDescent="0.2">
      <c r="A924" s="7" t="s">
        <v>2292</v>
      </c>
      <c r="B924" t="str">
        <f t="shared" si="154"/>
        <v>RTKM IV кв. 2015</v>
      </c>
      <c r="C924">
        <v>2015</v>
      </c>
      <c r="D924">
        <f>SUMIFS(Дивиденды!$C:$C,Дивиденды!$A:$A,A924,Дивиденды!$I:$I,C924)</f>
        <v>5.92</v>
      </c>
      <c r="E924">
        <v>5</v>
      </c>
      <c r="F924">
        <f t="shared" si="155"/>
        <v>5.92</v>
      </c>
      <c r="G924">
        <f t="shared" si="156"/>
        <v>1.7836363636363637</v>
      </c>
      <c r="H924">
        <f t="shared" si="157"/>
        <v>1</v>
      </c>
      <c r="I924">
        <f t="shared" si="158"/>
        <v>9.0909090909090912E-2</v>
      </c>
      <c r="J924">
        <f t="shared" si="159"/>
        <v>0.77245508982035938</v>
      </c>
      <c r="K924">
        <f t="shared" si="164"/>
        <v>-2.1668548842461877E-2</v>
      </c>
      <c r="L924">
        <f t="shared" si="160"/>
        <v>1</v>
      </c>
      <c r="M924">
        <f t="shared" si="161"/>
        <v>0</v>
      </c>
      <c r="N924">
        <f t="shared" si="162"/>
        <v>0</v>
      </c>
      <c r="O924">
        <f t="shared" si="163"/>
        <v>9.0909090909090912E-2</v>
      </c>
      <c r="P924">
        <f>IFERROR(LN('Дивиденды по годам'!I924),"")</f>
        <v>27.03558123977265</v>
      </c>
      <c r="Q924">
        <f>IFERROR('Дивиденды по годам'!G924/'Дивиденды по годам'!I924, "")</f>
        <v>0.61434194297322786</v>
      </c>
      <c r="R924">
        <f>IFERROR(IF(AND('Дивиденды по годам'!N924&lt;&gt;"",'Дивиденды по годам'!U924&lt;&gt;"",'Дивиденды по годам'!U924&lt;&gt;0),'Дивиденды по годам'!N924/'Дивиденды по годам'!U924-1,""),"")</f>
        <v>-5.2920849543549586E-3</v>
      </c>
      <c r="S924">
        <f>IFERROR(IF(AND('Дивиденды по годам'!L924&lt;&gt;"",'Дивиденды по годам'!I924&lt;&gt;"",'Дивиденды по годам'!J924&lt;&gt;"",'Дивиденды по годам'!K924&lt;&gt;"",('Дивиденды по годам'!I924-'Дивиденды по годам'!J924-'Дивиденды по годам'!K924)&lt;&gt;0),'Дивиденды по годам'!L924/('Дивиденды по годам'!I924-'Дивиденды по годам'!J924-'Дивиденды по годам'!K924),""),"")</f>
        <v>1.2586396116380416</v>
      </c>
      <c r="T924">
        <f>IFERROR(IF(AND('Дивиденды по годам'!Q924&lt;&gt;"",'Дивиденды по годам'!I924&lt;&gt;"",'Дивиденды по годам'!V924&lt;&gt;"",('Дивиденды по годам'!I924+'Дивиденды по годам'!V924)&lt;&gt;0),'Дивиденды по годам'!Q924/(('Дивиденды по годам'!I924+'Дивиденды по годам'!V924)/2),""),"")</f>
        <v>2.6166548782949106E-2</v>
      </c>
      <c r="U924">
        <f>IFERROR(IF(AND('Дивиденды по годам'!J924&lt;&gt;"",'Дивиденды по годам'!K924&lt;&gt;"",'Дивиденды по годам'!M924&lt;&gt;"",'Дивиденды по годам'!M924&lt;&gt;0),('Дивиденды по годам'!J924+'Дивиденды по годам'!K924)/'Дивиденды по годам'!M924,""),"")</f>
        <v>1.2082478851576519</v>
      </c>
      <c r="V924">
        <f>IFERROR(IF(AND('Дивиденды по годам'!J924&lt;&gt;"",'Дивиденды по годам'!K924&lt;&gt;"",'Дивиденды по годам'!M924&lt;&gt;"",'Дивиденды по годам'!I924&lt;&gt;0),('Дивиденды по годам'!J924+'Дивиденды по годам'!K924)/'Дивиденды по годам'!I924,""),"")</f>
        <v>0.54715228905173041</v>
      </c>
      <c r="W924">
        <f>IFERROR('Дивиденды по годам'!I924,"")</f>
        <v>551320000000</v>
      </c>
      <c r="X924" cm="1">
        <f t="array" ref="X924">IFERROR(AVERAGE(_xlfn._xlws.FILTER(P$2:P$1073,($C$2:$C$1073=$C924)*($E$2:$E$1073=$E924)*(ROW(P$2:P$1073)&lt;&gt;ROW(P924))*(P$2:P$1073&lt;&gt;""))),"")</f>
        <v>27.205421665512862</v>
      </c>
      <c r="Y924" cm="1">
        <f t="array" ref="Y924">IFERROR(AVERAGE(_xlfn._xlws.FILTER(Q$2:Q$1073,($C$2:$C$1073=$C924)*($E$2:$E$1073=$E924)*(ROW(Q$2:Q$1073)&lt;&gt;ROW(Q924))*(Q$2:Q$1073&lt;&gt;""))),"")</f>
        <v>0.46322649369890018</v>
      </c>
      <c r="Z924" cm="1">
        <f t="array" ref="Z924">IFERROR(AVERAGE(_xlfn._xlws.FILTER(R$2:R$1073,($C$2:$C$1073=$C924)*($E$2:$E$1073=$E924)*(ROW(R$2:R$1073)&lt;&gt;ROW(R924))*(R$2:R$1073&lt;&gt;""))),"")</f>
        <v>4.9844433948943223E-2</v>
      </c>
      <c r="AA924" t="str" cm="1">
        <f t="array" ref="AA924">IFERROR(AVERAGE(_xlfn._xlws.FILTER(S$2:S$1073,($C$2:$C$1073=$C924)*($E$2:$E$1073=$E924)*(ROW(S$2:S$1073)&lt;&gt;ROW(S924))*(S$2:S$1073&lt;&gt;""))),"")</f>
        <v/>
      </c>
      <c r="AB924" cm="1">
        <f t="array" ref="AB924">IFERROR(AVERAGE(_xlfn._xlws.FILTER(T$2:T$1073,($C$2:$C$1073=$C924)*($E$2:$E$1073=$E924)*(ROW(T$2:T$1073)&lt;&gt;ROW(T924))*(T$2:T$1073&lt;&gt;""))),"")</f>
        <v>7.5107046236844499E-2</v>
      </c>
      <c r="AC924" cm="1">
        <f t="array" ref="AC924">IFERROR(AVERAGE(_xlfn._xlws.FILTER(U$2:U$1073,($C$2:$C$1073=$C924)*($E$2:$E$1073=$E924)*(ROW(U$2:U$1073)&lt;&gt;ROW(U924))*(U$2:U$1073&lt;&gt;""))),"")</f>
        <v>2.8805851363952226</v>
      </c>
      <c r="AD924" cm="1">
        <f t="array" ref="AD924">IFERROR(AVERAGE(_xlfn._xlws.FILTER(V$2:V$1073,($C$2:$C$1073=$C924)*($E$2:$E$1073=$E924)*(ROW(V$2:V$1073)&lt;&gt;ROW(V924))*(V$2:V$1073&lt;&gt;""))),"")</f>
        <v>0.7423069035076173</v>
      </c>
      <c r="AE924">
        <f>IF('Дивиденды по годам'!M924&lt;0,1,0)</f>
        <v>0</v>
      </c>
    </row>
    <row r="925" spans="1:31" x14ac:dyDescent="0.2">
      <c r="A925" s="7" t="s">
        <v>2292</v>
      </c>
      <c r="B925" t="str">
        <f t="shared" si="154"/>
        <v>RTKM IV кв. 2014</v>
      </c>
      <c r="C925">
        <v>2014</v>
      </c>
      <c r="D925">
        <f>SUMIFS(Дивиденды!$C:$C,Дивиденды!$A:$A,A925,Дивиденды!$I:$I,C925)</f>
        <v>3.34</v>
      </c>
      <c r="E925">
        <v>5</v>
      </c>
      <c r="F925">
        <f t="shared" si="155"/>
        <v>3.34</v>
      </c>
      <c r="G925">
        <f t="shared" si="156"/>
        <v>2.3418181818181818</v>
      </c>
      <c r="H925">
        <f t="shared" si="157"/>
        <v>1</v>
      </c>
      <c r="I925">
        <f t="shared" si="158"/>
        <v>9.0909090909090912E-2</v>
      </c>
      <c r="J925">
        <f t="shared" si="159"/>
        <v>7.0512820512820429E-2</v>
      </c>
      <c r="K925">
        <f t="shared" si="164"/>
        <v>7.4040149606900149E-3</v>
      </c>
      <c r="L925">
        <f t="shared" si="160"/>
        <v>1</v>
      </c>
      <c r="M925">
        <f t="shared" si="161"/>
        <v>9.0909090909090912E-2</v>
      </c>
      <c r="N925">
        <f t="shared" si="162"/>
        <v>0</v>
      </c>
      <c r="O925">
        <f t="shared" si="163"/>
        <v>0</v>
      </c>
      <c r="P925">
        <f>IFERROR(LN('Дивиденды по годам'!I925),"")</f>
        <v>27.030697389468237</v>
      </c>
      <c r="Q925">
        <f>IFERROR('Дивиденды по годам'!G925/'Дивиденды по годам'!I925, "")</f>
        <v>0.59833331510624566</v>
      </c>
      <c r="R925">
        <f>IFERROR(IF(AND('Дивиденды по годам'!N925&lt;&gt;"",'Дивиденды по годам'!U925&lt;&gt;"",'Дивиденды по годам'!U925&lt;&gt;0),'Дивиденды по годам'!N925/'Дивиденды по годам'!U925-1,""),"")</f>
        <v>2.8207721094051008E-2</v>
      </c>
      <c r="S925">
        <f>IFERROR(IF(AND('Дивиденды по годам'!L925&lt;&gt;"",'Дивиденды по годам'!I925&lt;&gt;"",'Дивиденды по годам'!J925&lt;&gt;"",'Дивиденды по годам'!K925&lt;&gt;"",('Дивиденды по годам'!I925-'Дивиденды по годам'!J925-'Дивиденды по годам'!K925)&lt;&gt;0),'Дивиденды по годам'!L925/('Дивиденды по годам'!I925-'Дивиденды по годам'!J925-'Дивиденды по годам'!K925),""),"")</f>
        <v>1.3141212019883619</v>
      </c>
      <c r="T925">
        <f>IFERROR(IF(AND('Дивиденды по годам'!Q925&lt;&gt;"",'Дивиденды по годам'!I925&lt;&gt;"",'Дивиденды по годам'!V925&lt;&gt;"",('Дивиденды по годам'!I925+'Дивиденды по годам'!V925)&lt;&gt;0),'Дивиденды по годам'!Q925/(('Дивиденды по годам'!I925+'Дивиденды по годам'!V925)/2),""),"")</f>
        <v>2.3759785004767459E-2</v>
      </c>
      <c r="U925">
        <f>IFERROR(IF(AND('Дивиденды по годам'!J925&lt;&gt;"",'Дивиденды по годам'!K925&lt;&gt;"",'Дивиденды по годам'!M925&lt;&gt;"",'Дивиденды по годам'!M925&lt;&gt;0),('Дивиденды по годам'!J925+'Дивиденды по годам'!K925)/'Дивиденды по годам'!M925,""),"")</f>
        <v>1.2372495687668976</v>
      </c>
      <c r="V925">
        <f>IFERROR(IF(AND('Дивиденды по годам'!J925&lt;&gt;"",'Дивиденды по годам'!K925&lt;&gt;"",'Дивиденды по годам'!M925&lt;&gt;"",'Дивиденды по годам'!I925&lt;&gt;0),('Дивиденды по годам'!J925+'Дивиденды по годам'!K925)/'Дивиденды по годам'!I925,""),"")</f>
        <v>0.55302259794325548</v>
      </c>
      <c r="W925">
        <f>IFERROR('Дивиденды по годам'!I925,"")</f>
        <v>548634000000</v>
      </c>
      <c r="X925" cm="1">
        <f t="array" ref="X925">IFERROR(AVERAGE(_xlfn._xlws.FILTER(P$2:P$1073,($C$2:$C$1073=$C925)*($E$2:$E$1073=$E925)*(ROW(P$2:P$1073)&lt;&gt;ROW(P925))*(P$2:P$1073&lt;&gt;""))),"")</f>
        <v>27.134964228834377</v>
      </c>
      <c r="Y925" cm="1">
        <f t="array" ref="Y925">IFERROR(AVERAGE(_xlfn._xlws.FILTER(Q$2:Q$1073,($C$2:$C$1073=$C925)*($E$2:$E$1073=$E925)*(ROW(Q$2:Q$1073)&lt;&gt;ROW(Q925))*(Q$2:Q$1073&lt;&gt;""))),"")</f>
        <v>0.49181428972602625</v>
      </c>
      <c r="Z925" cm="1">
        <f t="array" ref="Z925">IFERROR(AVERAGE(_xlfn._xlws.FILTER(R$2:R$1073,($C$2:$C$1073=$C925)*($E$2:$E$1073=$E925)*(ROW(R$2:R$1073)&lt;&gt;ROW(R925))*(R$2:R$1073&lt;&gt;""))),"")</f>
        <v>3.0907808645151302E-2</v>
      </c>
      <c r="AA925" cm="1">
        <f t="array" ref="AA925">IFERROR(AVERAGE(_xlfn._xlws.FILTER(S$2:S$1073,($C$2:$C$1073=$C925)*($E$2:$E$1073=$E925)*(ROW(S$2:S$1073)&lt;&gt;ROW(S925))*(S$2:S$1073&lt;&gt;""))),"")</f>
        <v>0.97453619701089234</v>
      </c>
      <c r="AB925" cm="1">
        <f t="array" ref="AB925">IFERROR(AVERAGE(_xlfn._xlws.FILTER(T$2:T$1073,($C$2:$C$1073=$C925)*($E$2:$E$1073=$E925)*(ROW(T$2:T$1073)&lt;&gt;ROW(T925))*(T$2:T$1073&lt;&gt;""))),"")</f>
        <v>9.5742979813623452E-2</v>
      </c>
      <c r="AC925" cm="1">
        <f t="array" ref="AC925">IFERROR(AVERAGE(_xlfn._xlws.FILTER(U$2:U$1073,($C$2:$C$1073=$C925)*($E$2:$E$1073=$E925)*(ROW(U$2:U$1073)&lt;&gt;ROW(U925))*(U$2:U$1073&lt;&gt;""))),"")</f>
        <v>2.3996047276361261</v>
      </c>
      <c r="AD925" cm="1">
        <f t="array" ref="AD925">IFERROR(AVERAGE(_xlfn._xlws.FILTER(V$2:V$1073,($C$2:$C$1073=$C925)*($E$2:$E$1073=$E925)*(ROW(V$2:V$1073)&lt;&gt;ROW(V925))*(V$2:V$1073&lt;&gt;""))),"")</f>
        <v>0.70584815585447847</v>
      </c>
      <c r="AE925">
        <f>IF('Дивиденды по годам'!M925&lt;0,1,0)</f>
        <v>0</v>
      </c>
    </row>
    <row r="926" spans="1:31" x14ac:dyDescent="0.2">
      <c r="A926" s="7" t="s">
        <v>2292</v>
      </c>
      <c r="B926" t="str">
        <f t="shared" si="154"/>
        <v>RTKM IV кв. 2013</v>
      </c>
      <c r="C926">
        <v>2013</v>
      </c>
      <c r="D926">
        <f>SUMIFS(Дивиденды!$C:$C,Дивиденды!$A:$A,A926,Дивиденды!$I:$I,C926)</f>
        <v>3.12</v>
      </c>
      <c r="E926">
        <v>5</v>
      </c>
      <c r="F926">
        <f t="shared" si="155"/>
        <v>3.12</v>
      </c>
      <c r="G926">
        <f t="shared" si="156"/>
        <v>2.1654545454545455</v>
      </c>
      <c r="H926">
        <f t="shared" si="157"/>
        <v>1</v>
      </c>
      <c r="I926">
        <f t="shared" si="158"/>
        <v>9.0909090909090912E-2</v>
      </c>
      <c r="J926">
        <f t="shared" si="159"/>
        <v>0.27868852459016402</v>
      </c>
      <c r="K926">
        <f t="shared" si="164"/>
        <v>5.7409713574097139E-2</v>
      </c>
      <c r="L926">
        <f t="shared" si="160"/>
        <v>1</v>
      </c>
      <c r="M926">
        <f t="shared" si="161"/>
        <v>9.0909090909090912E-2</v>
      </c>
      <c r="N926">
        <f t="shared" si="162"/>
        <v>0</v>
      </c>
      <c r="O926">
        <f t="shared" si="163"/>
        <v>0</v>
      </c>
      <c r="P926">
        <f>IFERROR(LN('Дивиденды по годам'!I926),"")</f>
        <v>27.052936830350077</v>
      </c>
      <c r="Q926">
        <f>IFERROR('Дивиденды по годам'!G926/'Дивиденды по годам'!I926, "")</f>
        <v>0.59728293034233437</v>
      </c>
      <c r="R926">
        <f>IFERROR(IF(AND('Дивиденды по годам'!N926&lt;&gt;"",'Дивиденды по годам'!U926&lt;&gt;"",'Дивиденды по годам'!U926&lt;&gt;0),'Дивиденды по годам'!N926/'Дивиденды по годам'!U926-1,""),"")</f>
        <v>-9.498803116566179E-2</v>
      </c>
      <c r="S926" t="str">
        <f>IFERROR(IF(AND('Дивиденды по годам'!L926&lt;&gt;"",'Дивиденды по годам'!I926&lt;&gt;"",'Дивиденды по годам'!J926&lt;&gt;"",'Дивиденды по годам'!K926&lt;&gt;"",('Дивиденды по годам'!I926-'Дивиденды по годам'!J926-'Дивиденды по годам'!K926)&lt;&gt;0),'Дивиденды по годам'!L926/('Дивиденды по годам'!I926-'Дивиденды по годам'!J926-'Дивиденды по годам'!K926),""),"")</f>
        <v/>
      </c>
      <c r="T926">
        <f>IFERROR(IF(AND('Дивиденды по годам'!Q926&lt;&gt;"",'Дивиденды по годам'!I926&lt;&gt;"",'Дивиденды по годам'!V926&lt;&gt;"",('Дивиденды по годам'!I926+'Дивиденды по годам'!V926)&lt;&gt;0),'Дивиденды по годам'!Q926/(('Дивиденды по годам'!I926+'Дивиденды по годам'!V926)/2),""),"")</f>
        <v>4.677638884385054E-2</v>
      </c>
      <c r="U926">
        <f>IFERROR(IF(AND('Дивиденды по годам'!J926&lt;&gt;"",'Дивиденды по годам'!K926&lt;&gt;"",'Дивиденды по годам'!M926&lt;&gt;"",'Дивиденды по годам'!M926&lt;&gt;0),('Дивиденды по годам'!J926+'Дивиденды по годам'!K926)/'Дивиденды по годам'!M926,""),"")</f>
        <v>1.8082861090530447</v>
      </c>
      <c r="V926">
        <f>IFERROR(IF(AND('Дивиденды по годам'!J926&lt;&gt;"",'Дивиденды по годам'!K926&lt;&gt;"",'Дивиденды по годам'!M926&lt;&gt;"",'Дивиденды по годам'!I926&lt;&gt;0),('Дивиденды по годам'!J926+'Дивиденды по годам'!K926)/'Дивиденды по годам'!I926,""),"")</f>
        <v>0.64391092603552402</v>
      </c>
      <c r="W926">
        <f>IFERROR('Дивиденды по годам'!I926,"")</f>
        <v>560972000000</v>
      </c>
      <c r="X926" cm="1">
        <f t="array" ref="X926">IFERROR(AVERAGE(_xlfn._xlws.FILTER(P$2:P$1073,($C$2:$C$1073=$C926)*($E$2:$E$1073=$E926)*(ROW(P$2:P$1073)&lt;&gt;ROW(P926))*(P$2:P$1073&lt;&gt;""))),"")</f>
        <v>26.908494557029627</v>
      </c>
      <c r="Y926" cm="1">
        <f t="array" ref="Y926">IFERROR(AVERAGE(_xlfn._xlws.FILTER(Q$2:Q$1073,($C$2:$C$1073=$C926)*($E$2:$E$1073=$E926)*(ROW(Q$2:Q$1073)&lt;&gt;ROW(Q926))*(Q$2:Q$1073&lt;&gt;""))),"")</f>
        <v>0.55745956945485697</v>
      </c>
      <c r="Z926" cm="1">
        <f t="array" ref="Z926">IFERROR(AVERAGE(_xlfn._xlws.FILTER(R$2:R$1073,($C$2:$C$1073=$C926)*($E$2:$E$1073=$E926)*(ROW(R$2:R$1073)&lt;&gt;ROW(R926))*(R$2:R$1073&lt;&gt;""))),"")</f>
        <v>3.1465604299374172E-2</v>
      </c>
      <c r="AA926" t="str" cm="1">
        <f t="array" ref="AA926">IFERROR(AVERAGE(_xlfn._xlws.FILTER(S$2:S$1073,($C$2:$C$1073=$C926)*($E$2:$E$1073=$E926)*(ROW(S$2:S$1073)&lt;&gt;ROW(S926))*(S$2:S$1073&lt;&gt;""))),"")</f>
        <v/>
      </c>
      <c r="AB926" cm="1">
        <f t="array" ref="AB926">IFERROR(AVERAGE(_xlfn._xlws.FILTER(T$2:T$1073,($C$2:$C$1073=$C926)*($E$2:$E$1073=$E926)*(ROW(T$2:T$1073)&lt;&gt;ROW(T926))*(T$2:T$1073&lt;&gt;""))),"")</f>
        <v>0.1620773388033856</v>
      </c>
      <c r="AC926" cm="1">
        <f t="array" ref="AC926">IFERROR(AVERAGE(_xlfn._xlws.FILTER(U$2:U$1073,($C$2:$C$1073=$C926)*($E$2:$E$1073=$E926)*(ROW(U$2:U$1073)&lt;&gt;ROW(U926))*(U$2:U$1073&lt;&gt;""))),"")</f>
        <v>2.0538981664936942</v>
      </c>
      <c r="AD926" cm="1">
        <f t="array" ref="AD926">IFERROR(AVERAGE(_xlfn._xlws.FILTER(V$2:V$1073,($C$2:$C$1073=$C926)*($E$2:$E$1073=$E926)*(ROW(V$2:V$1073)&lt;&gt;ROW(V926))*(V$2:V$1073&lt;&gt;""))),"")</f>
        <v>0.67254965768942421</v>
      </c>
      <c r="AE926">
        <f>IF('Дивиденды по годам'!M926&lt;0,1,0)</f>
        <v>0</v>
      </c>
    </row>
    <row r="927" spans="1:31" x14ac:dyDescent="0.2">
      <c r="A927" s="7" t="s">
        <v>2292</v>
      </c>
      <c r="B927" t="str">
        <f t="shared" si="154"/>
        <v>RTKM IV кв. 2012</v>
      </c>
      <c r="C927">
        <v>2012</v>
      </c>
      <c r="D927">
        <f>SUMIFS(Дивиденды!$C:$C,Дивиденды!$A:$A,A927,Дивиденды!$I:$I,C927)</f>
        <v>2.44</v>
      </c>
      <c r="E927">
        <v>5</v>
      </c>
      <c r="F927">
        <f t="shared" si="155"/>
        <v>2.44</v>
      </c>
      <c r="G927">
        <f t="shared" si="156"/>
        <v>1.3272727272727272</v>
      </c>
      <c r="H927">
        <f t="shared" si="157"/>
        <v>1</v>
      </c>
      <c r="I927">
        <f t="shared" si="158"/>
        <v>9.0909090909090912E-2</v>
      </c>
      <c r="J927">
        <f t="shared" si="159"/>
        <v>-0.48085106382978726</v>
      </c>
      <c r="K927">
        <f t="shared" si="164"/>
        <v>-6.7980965329708426E-4</v>
      </c>
      <c r="L927">
        <f t="shared" si="160"/>
        <v>0</v>
      </c>
      <c r="M927">
        <f t="shared" si="161"/>
        <v>0</v>
      </c>
      <c r="N927">
        <f t="shared" si="162"/>
        <v>1</v>
      </c>
      <c r="O927">
        <f t="shared" si="163"/>
        <v>9.0909090909090912E-2</v>
      </c>
      <c r="P927">
        <f>IFERROR(LN('Дивиденды по годам'!I927),"")</f>
        <v>27.086347387334431</v>
      </c>
      <c r="Q927">
        <f>IFERROR('Дивиденды по годам'!G927/'Дивиденды по годам'!I927, "")</f>
        <v>0.66547132825659316</v>
      </c>
      <c r="R927">
        <f>IFERROR(IF(AND('Дивиденды по годам'!N927&lt;&gt;"",'Дивиденды по годам'!U927&lt;&gt;"",'Дивиденды по годам'!U927&lt;&gt;0),'Дивиденды по годам'!N927/'Дивиденды по годам'!U927-1,""),"")</f>
        <v>8.5252436531932485E-2</v>
      </c>
      <c r="S927" t="str">
        <f>IFERROR(IF(AND('Дивиденды по годам'!L927&lt;&gt;"",'Дивиденды по годам'!I927&lt;&gt;"",'Дивиденды по годам'!J927&lt;&gt;"",'Дивиденды по годам'!K927&lt;&gt;"",('Дивиденды по годам'!I927-'Дивиденды по годам'!J927-'Дивиденды по годам'!K927)&lt;&gt;0),'Дивиденды по годам'!L927/('Дивиденды по годам'!I927-'Дивиденды по годам'!J927-'Дивиденды по годам'!K927),""),"")</f>
        <v/>
      </c>
      <c r="T927">
        <f>IFERROR(IF(AND('Дивиденды по годам'!Q927&lt;&gt;"",'Дивиденды по годам'!I927&lt;&gt;"",'Дивиденды по годам'!V927&lt;&gt;"",('Дивиденды по годам'!I927+'Дивиденды по годам'!V927)&lt;&gt;0),'Дивиденды по годам'!Q927/(('Дивиденды по годам'!I927+'Дивиденды по годам'!V927)/2),""),"")</f>
        <v>6.4593053680603474E-2</v>
      </c>
      <c r="U927">
        <f>IFERROR(IF(AND('Дивиденды по годам'!J927&lt;&gt;"",'Дивиденды по годам'!K927&lt;&gt;"",'Дивиденды по годам'!M927&lt;&gt;"",'Дивиденды по годам'!M927&lt;&gt;0),('Дивиденды по годам'!J927+'Дивиденды по годам'!K927)/'Дивиденды по годам'!M927,""),"")</f>
        <v>1.2660470531242431</v>
      </c>
      <c r="V927">
        <f>IFERROR(IF(AND('Дивиденды по годам'!J927&lt;&gt;"",'Дивиденды по годам'!K927&lt;&gt;"",'Дивиденды по годам'!M927&lt;&gt;"",'Дивиденды по годам'!I927&lt;&gt;0),('Дивиденды по годам'!J927+'Дивиденды по годам'!K927)/'Дивиденды по годам'!I927,""),"")</f>
        <v>0.55870289691413044</v>
      </c>
      <c r="W927">
        <f>IFERROR('Дивиденды по годам'!I927,"")</f>
        <v>580031000000</v>
      </c>
      <c r="X927" cm="1">
        <f t="array" ref="X927">IFERROR(AVERAGE(_xlfn._xlws.FILTER(P$2:P$1073,($C$2:$C$1073=$C927)*($E$2:$E$1073=$E927)*(ROW(P$2:P$1073)&lt;&gt;ROW(P927))*(P$2:P$1073&lt;&gt;""))),"")</f>
        <v>26.865987662311966</v>
      </c>
      <c r="Y927" cm="1">
        <f t="array" ref="Y927">IFERROR(AVERAGE(_xlfn._xlws.FILTER(Q$2:Q$1073,($C$2:$C$1073=$C927)*($E$2:$E$1073=$E927)*(ROW(Q$2:Q$1073)&lt;&gt;ROW(Q927))*(Q$2:Q$1073&lt;&gt;""))),"")</f>
        <v>0.59734998646181181</v>
      </c>
      <c r="Z927" t="str" cm="1">
        <f t="array" ref="Z927">IFERROR(AVERAGE(_xlfn._xlws.FILTER(R$2:R$1073,($C$2:$C$1073=$C927)*($E$2:$E$1073=$E927)*(ROW(R$2:R$1073)&lt;&gt;ROW(R927))*(R$2:R$1073&lt;&gt;""))),"")</f>
        <v/>
      </c>
      <c r="AA927" t="str" cm="1">
        <f t="array" ref="AA927">IFERROR(AVERAGE(_xlfn._xlws.FILTER(S$2:S$1073,($C$2:$C$1073=$C927)*($E$2:$E$1073=$E927)*(ROW(S$2:S$1073)&lt;&gt;ROW(S927))*(S$2:S$1073&lt;&gt;""))),"")</f>
        <v/>
      </c>
      <c r="AB927" t="str" cm="1">
        <f t="array" ref="AB927">IFERROR(AVERAGE(_xlfn._xlws.FILTER(T$2:T$1073,($C$2:$C$1073=$C927)*($E$2:$E$1073=$E927)*(ROW(T$2:T$1073)&lt;&gt;ROW(T927))*(T$2:T$1073&lt;&gt;""))),"")</f>
        <v/>
      </c>
      <c r="AC927" cm="1">
        <f t="array" ref="AC927">IFERROR(AVERAGE(_xlfn._xlws.FILTER(U$2:U$1073,($C$2:$C$1073=$C927)*($E$2:$E$1073=$E927)*(ROW(U$2:U$1073)&lt;&gt;ROW(U927))*(U$2:U$1073&lt;&gt;""))),"")</f>
        <v>2.9711892555419164</v>
      </c>
      <c r="AD927" cm="1">
        <f t="array" ref="AD927">IFERROR(AVERAGE(_xlfn._xlws.FILTER(V$2:V$1073,($C$2:$C$1073=$C927)*($E$2:$E$1073=$E927)*(ROW(V$2:V$1073)&lt;&gt;ROW(V927))*(V$2:V$1073&lt;&gt;""))),"")</f>
        <v>0.74440728637566955</v>
      </c>
      <c r="AE927">
        <f>IF('Дивиденды по годам'!M927&lt;0,1,0)</f>
        <v>0</v>
      </c>
    </row>
    <row r="928" spans="1:31" x14ac:dyDescent="0.2">
      <c r="A928" s="7" t="s">
        <v>2292</v>
      </c>
      <c r="B928" t="str">
        <f t="shared" si="154"/>
        <v>RTKM IV кв. 2011</v>
      </c>
      <c r="C928">
        <v>2011</v>
      </c>
      <c r="D928">
        <f>SUMIFS(Дивиденды!$C:$C,Дивиденды!$A:$A,A928,Дивиденды!$I:$I,C928)</f>
        <v>4.7</v>
      </c>
      <c r="E928">
        <v>5</v>
      </c>
      <c r="F928">
        <f t="shared" si="155"/>
        <v>4.7</v>
      </c>
      <c r="G928">
        <f t="shared" si="156"/>
        <v>1.3372727272727274</v>
      </c>
      <c r="H928">
        <f t="shared" si="157"/>
        <v>1</v>
      </c>
      <c r="I928">
        <f t="shared" si="158"/>
        <v>9.0909090909090912E-2</v>
      </c>
      <c r="J928">
        <f t="shared" si="159"/>
        <v>3.2342342342342336</v>
      </c>
      <c r="K928">
        <f t="shared" si="164"/>
        <v>1.0628985869701247E-3</v>
      </c>
      <c r="L928">
        <f t="shared" si="160"/>
        <v>1</v>
      </c>
      <c r="M928">
        <f t="shared" si="161"/>
        <v>9.0909090909090912E-2</v>
      </c>
      <c r="N928">
        <f t="shared" si="162"/>
        <v>0</v>
      </c>
      <c r="O928">
        <f t="shared" si="163"/>
        <v>0</v>
      </c>
      <c r="P928">
        <f>IFERROR(LN('Дивиденды по годам'!I928),"")</f>
        <v>26.959846755112331</v>
      </c>
      <c r="Q928">
        <f>IFERROR('Дивиденды по годам'!G928/'Дивиденды по годам'!I928, "")</f>
        <v>0.64168629722093962</v>
      </c>
      <c r="R928" t="str">
        <f>IFERROR(IF(AND('Дивиденды по годам'!N928&lt;&gt;"",'Дивиденды по годам'!U928&lt;&gt;"",'Дивиденды по годам'!U928&lt;&gt;0),'Дивиденды по годам'!N928/'Дивиденды по годам'!U928-1,""),"")</f>
        <v/>
      </c>
      <c r="S928" t="str">
        <f>IFERROR(IF(AND('Дивиденды по годам'!L928&lt;&gt;"",'Дивиденды по годам'!I928&lt;&gt;"",'Дивиденды по годам'!J928&lt;&gt;"",'Дивиденды по годам'!K928&lt;&gt;"",('Дивиденды по годам'!I928-'Дивиденды по годам'!J928-'Дивиденды по годам'!K928)&lt;&gt;0),'Дивиденды по годам'!L928/('Дивиденды по годам'!I928-'Дивиденды по годам'!J928-'Дивиденды по годам'!K928),""),"")</f>
        <v/>
      </c>
      <c r="T928" t="str">
        <f>IFERROR(IF(AND('Дивиденды по годам'!Q928&lt;&gt;"",'Дивиденды по годам'!I928&lt;&gt;"",'Дивиденды по годам'!V928&lt;&gt;"",('Дивиденды по годам'!I928+'Дивиденды по годам'!V928)&lt;&gt;0),'Дивиденды по годам'!Q928/(('Дивиденды по годам'!I928+'Дивиденды по годам'!V928)/2),""),"")</f>
        <v/>
      </c>
      <c r="U928">
        <f>IFERROR(IF(AND('Дивиденды по годам'!J928&lt;&gt;"",'Дивиденды по годам'!K928&lt;&gt;"",'Дивиденды по годам'!M928&lt;&gt;"",'Дивиденды по годам'!M928&lt;&gt;0),('Дивиденды по годам'!J928+'Дивиденды по годам'!K928)/'Дивиденды по годам'!M928,""),"")</f>
        <v>0.9076461410986616</v>
      </c>
      <c r="V928">
        <f>IFERROR(IF(AND('Дивиденды по годам'!J928&lt;&gt;"",'Дивиденды по годам'!K928&lt;&gt;"",'Дивиденды по годам'!M928&lt;&gt;"",'Дивиденды по годам'!I928&lt;&gt;0),('Дивиденды по годам'!J928+'Дивиденды по годам'!K928)/'Дивиденды по годам'!I928,""),"")</f>
        <v>0.47579376570118254</v>
      </c>
      <c r="W928">
        <f>IFERROR('Дивиденды по годам'!I928,"")</f>
        <v>511108000000</v>
      </c>
      <c r="X928" t="str" cm="1">
        <f t="array" ref="X928">IFERROR(AVERAGE(_xlfn._xlws.FILTER(P$2:P$1073,($C$2:$C$1073=$C928)*($E$2:$E$1073=$E928)*(ROW(P$2:P$1073)&lt;&gt;ROW(P928))*(P$2:P$1073&lt;&gt;""))),"")</f>
        <v/>
      </c>
      <c r="Y928" t="str" cm="1">
        <f t="array" ref="Y928">IFERROR(AVERAGE(_xlfn._xlws.FILTER(Q$2:Q$1073,($C$2:$C$1073=$C928)*($E$2:$E$1073=$E928)*(ROW(Q$2:Q$1073)&lt;&gt;ROW(Q928))*(Q$2:Q$1073&lt;&gt;""))),"")</f>
        <v/>
      </c>
      <c r="Z928" t="str" cm="1">
        <f t="array" ref="Z928">IFERROR(AVERAGE(_xlfn._xlws.FILTER(R$2:R$1073,($C$2:$C$1073=$C928)*($E$2:$E$1073=$E928)*(ROW(R$2:R$1073)&lt;&gt;ROW(R928))*(R$2:R$1073&lt;&gt;""))),"")</f>
        <v/>
      </c>
      <c r="AA928" t="str" cm="1">
        <f t="array" ref="AA928">IFERROR(AVERAGE(_xlfn._xlws.FILTER(S$2:S$1073,($C$2:$C$1073=$C928)*($E$2:$E$1073=$E928)*(ROW(S$2:S$1073)&lt;&gt;ROW(S928))*(S$2:S$1073&lt;&gt;""))),"")</f>
        <v/>
      </c>
      <c r="AB928" t="str" cm="1">
        <f t="array" ref="AB928">IFERROR(AVERAGE(_xlfn._xlws.FILTER(T$2:T$1073,($C$2:$C$1073=$C928)*($E$2:$E$1073=$E928)*(ROW(T$2:T$1073)&lt;&gt;ROW(T928))*(T$2:T$1073&lt;&gt;""))),"")</f>
        <v/>
      </c>
      <c r="AC928" t="str" cm="1">
        <f t="array" ref="AC928">IFERROR(AVERAGE(_xlfn._xlws.FILTER(U$2:U$1073,($C$2:$C$1073=$C928)*($E$2:$E$1073=$E928)*(ROW(U$2:U$1073)&lt;&gt;ROW(U928))*(U$2:U$1073&lt;&gt;""))),"")</f>
        <v/>
      </c>
      <c r="AD928" t="str" cm="1">
        <f t="array" ref="AD928">IFERROR(AVERAGE(_xlfn._xlws.FILTER(V$2:V$1073,($C$2:$C$1073=$C928)*($E$2:$E$1073=$E928)*(ROW(V$2:V$1073)&lt;&gt;ROW(V928))*(V$2:V$1073&lt;&gt;""))),"")</f>
        <v/>
      </c>
      <c r="AE928">
        <f>IF('Дивиденды по годам'!M928&lt;0,1,0)</f>
        <v>0</v>
      </c>
    </row>
    <row r="929" spans="1:31" x14ac:dyDescent="0.2">
      <c r="A929" s="7" t="s">
        <v>2292</v>
      </c>
      <c r="B929" t="str">
        <f t="shared" si="154"/>
        <v>RTKM IV кв. 2010</v>
      </c>
      <c r="C929">
        <v>2010</v>
      </c>
      <c r="D929">
        <f>SUMIFS(Дивиденды!$C:$C,Дивиденды!$A:$A,A929,Дивиденды!$I:$I,C929)</f>
        <v>1.1100000000000001</v>
      </c>
      <c r="E929">
        <v>5</v>
      </c>
      <c r="F929">
        <f t="shared" si="155"/>
        <v>1.1100000000000001</v>
      </c>
      <c r="G929">
        <f t="shared" si="156"/>
        <v>1.3218181818181818</v>
      </c>
      <c r="H929">
        <f t="shared" si="157"/>
        <v>1</v>
      </c>
      <c r="I929">
        <f t="shared" si="158"/>
        <v>9.0909090909090912E-2</v>
      </c>
      <c r="J929" t="str">
        <f t="shared" si="159"/>
        <v/>
      </c>
      <c r="K929" t="str">
        <f t="shared" si="164"/>
        <v/>
      </c>
      <c r="L929" t="str">
        <f t="shared" si="160"/>
        <v/>
      </c>
      <c r="M929" t="str">
        <f t="shared" si="161"/>
        <v/>
      </c>
      <c r="N929" t="str">
        <f t="shared" si="162"/>
        <v/>
      </c>
      <c r="O929" t="str">
        <f t="shared" si="163"/>
        <v/>
      </c>
      <c r="P929" t="str">
        <f>IFERROR(LN('Дивиденды по годам'!I929),"")</f>
        <v/>
      </c>
      <c r="Q929" t="str">
        <f>IFERROR('Дивиденды по годам'!G929/'Дивиденды по годам'!I929, "")</f>
        <v/>
      </c>
      <c r="R929" t="str">
        <f>IFERROR(IF(AND('Дивиденды по годам'!N929&lt;&gt;"",'Дивиденды по годам'!U929&lt;&gt;"",'Дивиденды по годам'!U929&lt;&gt;0),'Дивиденды по годам'!N929/'Дивиденды по годам'!U929-1,""),"")</f>
        <v/>
      </c>
      <c r="S929" t="str">
        <f>IFERROR(IF(AND('Дивиденды по годам'!L929&lt;&gt;"",'Дивиденды по годам'!I929&lt;&gt;"",'Дивиденды по годам'!J929&lt;&gt;"",'Дивиденды по годам'!K929&lt;&gt;"",('Дивиденды по годам'!I929-'Дивиденды по годам'!J929-'Дивиденды по годам'!K929)&lt;&gt;0),'Дивиденды по годам'!L929/('Дивиденды по годам'!I929-'Дивиденды по годам'!J929-'Дивиденды по годам'!K929),""),"")</f>
        <v/>
      </c>
      <c r="T929" t="str">
        <f>IFERROR(IF(AND('Дивиденды по годам'!Q929&lt;&gt;"",'Дивиденды по годам'!I929&lt;&gt;"",'Дивиденды по годам'!V929&lt;&gt;"",('Дивиденды по годам'!I929+'Дивиденды по годам'!V929)&lt;&gt;0),'Дивиденды по годам'!Q929/(('Дивиденды по годам'!I929+'Дивиденды по годам'!V929)/2),""),"")</f>
        <v/>
      </c>
      <c r="U929" t="str">
        <f>IFERROR(IF(AND('Дивиденды по годам'!J929&lt;&gt;"",'Дивиденды по годам'!K929&lt;&gt;"",'Дивиденды по годам'!M929&lt;&gt;"",'Дивиденды по годам'!M929&lt;&gt;0),('Дивиденды по годам'!J929+'Дивиденды по годам'!K929)/'Дивиденды по годам'!M929,""),"")</f>
        <v/>
      </c>
      <c r="V929" t="str">
        <f>IFERROR(IF(AND('Дивиденды по годам'!J929&lt;&gt;"",'Дивиденды по годам'!K929&lt;&gt;"",'Дивиденды по годам'!M929&lt;&gt;"",'Дивиденды по годам'!I929&lt;&gt;0),('Дивиденды по годам'!J929+'Дивиденды по годам'!K929)/'Дивиденды по годам'!I929,""),"")</f>
        <v/>
      </c>
      <c r="W929" t="str">
        <f>IFERROR('Дивиденды по годам'!I929,"")</f>
        <v/>
      </c>
      <c r="X929" t="str" cm="1">
        <f t="array" ref="X929">IFERROR(AVERAGE(_xlfn._xlws.FILTER(P$2:P$1073,($C$2:$C$1073=$C929)*($E$2:$E$1073=$E929)*(ROW(P$2:P$1073)&lt;&gt;ROW(P929))*(P$2:P$1073&lt;&gt;""))),"")</f>
        <v/>
      </c>
      <c r="Y929" t="str" cm="1">
        <f t="array" ref="Y929">IFERROR(AVERAGE(_xlfn._xlws.FILTER(Q$2:Q$1073,($C$2:$C$1073=$C929)*($E$2:$E$1073=$E929)*(ROW(Q$2:Q$1073)&lt;&gt;ROW(Q929))*(Q$2:Q$1073&lt;&gt;""))),"")</f>
        <v/>
      </c>
      <c r="Z929" t="str" cm="1">
        <f t="array" ref="Z929">IFERROR(AVERAGE(_xlfn._xlws.FILTER(R$2:R$1073,($C$2:$C$1073=$C929)*($E$2:$E$1073=$E929)*(ROW(R$2:R$1073)&lt;&gt;ROW(R929))*(R$2:R$1073&lt;&gt;""))),"")</f>
        <v/>
      </c>
      <c r="AA929" t="str" cm="1">
        <f t="array" ref="AA929">IFERROR(AVERAGE(_xlfn._xlws.FILTER(S$2:S$1073,($C$2:$C$1073=$C929)*($E$2:$E$1073=$E929)*(ROW(S$2:S$1073)&lt;&gt;ROW(S929))*(S$2:S$1073&lt;&gt;""))),"")</f>
        <v/>
      </c>
      <c r="AB929" t="str" cm="1">
        <f t="array" ref="AB929">IFERROR(AVERAGE(_xlfn._xlws.FILTER(T$2:T$1073,($C$2:$C$1073=$C929)*($E$2:$E$1073=$E929)*(ROW(T$2:T$1073)&lt;&gt;ROW(T929))*(T$2:T$1073&lt;&gt;""))),"")</f>
        <v/>
      </c>
      <c r="AC929" t="str" cm="1">
        <f t="array" ref="AC929">IFERROR(AVERAGE(_xlfn._xlws.FILTER(U$2:U$1073,($C$2:$C$1073=$C929)*($E$2:$E$1073=$E929)*(ROW(U$2:U$1073)&lt;&gt;ROW(U929))*(U$2:U$1073&lt;&gt;""))),"")</f>
        <v/>
      </c>
      <c r="AD929" t="str" cm="1">
        <f t="array" ref="AD929">IFERROR(AVERAGE(_xlfn._xlws.FILTER(V$2:V$1073,($C$2:$C$1073=$C929)*($E$2:$E$1073=$E929)*(ROW(V$2:V$1073)&lt;&gt;ROW(V929))*(V$2:V$1073&lt;&gt;""))),"")</f>
        <v/>
      </c>
      <c r="AE929">
        <f>IF('Дивиденды по годам'!M929&lt;0,1,0)</f>
        <v>0</v>
      </c>
    </row>
    <row r="930" spans="1:31" x14ac:dyDescent="0.2">
      <c r="A930" s="7" t="s">
        <v>2294</v>
      </c>
      <c r="B930" t="str">
        <f t="shared" si="154"/>
        <v>AFLT IV кв. 2025</v>
      </c>
      <c r="C930">
        <v>2025</v>
      </c>
      <c r="D930">
        <f>SUMIFS(Дивиденды!$C:$C,Дивиденды!$A:$A,A930,Дивиденды!$I:$I,C930)</f>
        <v>0</v>
      </c>
      <c r="E930">
        <v>7</v>
      </c>
      <c r="F930">
        <f t="shared" si="155"/>
        <v>0</v>
      </c>
      <c r="G930">
        <f t="shared" si="156"/>
        <v>3.8849999999999998</v>
      </c>
      <c r="H930">
        <f t="shared" si="157"/>
        <v>0</v>
      </c>
      <c r="I930">
        <f t="shared" si="158"/>
        <v>0.25</v>
      </c>
      <c r="J930">
        <f t="shared" si="159"/>
        <v>-1</v>
      </c>
      <c r="K930">
        <f t="shared" si="164"/>
        <v>-0.43027638190954776</v>
      </c>
      <c r="L930">
        <f t="shared" si="160"/>
        <v>0</v>
      </c>
      <c r="M930">
        <f t="shared" si="161"/>
        <v>0</v>
      </c>
      <c r="N930">
        <f t="shared" si="162"/>
        <v>1</v>
      </c>
      <c r="O930">
        <f t="shared" si="163"/>
        <v>0.5</v>
      </c>
      <c r="P930">
        <f>IFERROR(LN('Дивиденды по годам'!I930),"")</f>
        <v>27.750135709113035</v>
      </c>
      <c r="Q930">
        <f>IFERROR('Дивиденды по годам'!G930/'Дивиденды по годам'!I930, "")</f>
        <v>0.20332374906679898</v>
      </c>
      <c r="R930">
        <f>IFERROR(IF(AND('Дивиденды по годам'!N930&lt;&gt;"",'Дивиденды по годам'!U930&lt;&gt;"",'Дивиденды по годам'!U930&lt;&gt;0),'Дивиденды по годам'!N930/'Дивиденды по годам'!U930-1,""),"")</f>
        <v>5.3077493186738822E-2</v>
      </c>
      <c r="S930">
        <f>IFERROR(IF(AND('Дивиденды по годам'!L930&lt;&gt;"",'Дивиденды по годам'!I930&lt;&gt;"",'Дивиденды по годам'!J930&lt;&gt;"",'Дивиденды по годам'!K930&lt;&gt;"",('Дивиденды по годам'!I930-'Дивиденды по годам'!J930-'Дивиденды по годам'!K930)&lt;&gt;0),'Дивиденды по годам'!L930/('Дивиденды по годам'!I930-'Дивиденды по годам'!J930-'Дивиденды по годам'!K930),""),"")</f>
        <v>-1.8248333530548653</v>
      </c>
      <c r="T930">
        <f>IFERROR(IF(AND('Дивиденды по годам'!Q930&lt;&gt;"",'Дивиденды по годам'!I930&lt;&gt;"",'Дивиденды по годам'!V930&lt;&gt;"",('Дивиденды по годам'!I930+'Дивиденды по годам'!V930)&lt;&gt;0),'Дивиденды по годам'!Q930/(('Дивиденды по годам'!I930+'Дивиденды по годам'!V930)/2),""),"")</f>
        <v>9.2410642924242198E-2</v>
      </c>
      <c r="U930">
        <f>IFERROR(IF(AND('Дивиденды по годам'!J930&lt;&gt;"",'Дивиденды по годам'!K930&lt;&gt;"",'Дивиденды по годам'!M930&lt;&gt;"",'Дивиденды по годам'!M930&lt;&gt;0),('Дивиденды по годам'!J930+'Дивиденды по годам'!K930)/'Дивиденды по годам'!M930,""),"")</f>
        <v>21.216286041099671</v>
      </c>
      <c r="V930">
        <f>IFERROR(IF(AND('Дивиденды по годам'!J930&lt;&gt;"",'Дивиденды по годам'!K930&lt;&gt;"",'Дивиденды по годам'!M930&lt;&gt;"",'Дивиденды по годам'!I930&lt;&gt;0),('Дивиденды по годам'!J930+'Дивиденды по годам'!K930)/'Дивиденды по годам'!I930,""),"")</f>
        <v>0.9549879760212836</v>
      </c>
      <c r="W930">
        <f>IFERROR('Дивиденды по годам'!I930,"")</f>
        <v>1126499000000</v>
      </c>
      <c r="X930" cm="1">
        <f t="array" ref="X930">IFERROR(AVERAGE(_xlfn._xlws.FILTER(P$2:P$1073,($C$2:$C$1073=$C930)*($E$2:$E$1073=$E930)*(ROW(P$2:P$1073)&lt;&gt;ROW(P930))*(P$2:P$1073&lt;&gt;""))),"")</f>
        <v>27.082017880420395</v>
      </c>
      <c r="Y930" t="str" cm="1">
        <f t="array" ref="Y930">IFERROR(AVERAGE(_xlfn._xlws.FILTER(Q$2:Q$1073,($C$2:$C$1073=$C930)*($E$2:$E$1073=$E930)*(ROW(Q$2:Q$1073)&lt;&gt;ROW(Q930))*(Q$2:Q$1073&lt;&gt;""))),"")</f>
        <v/>
      </c>
      <c r="Z930" cm="1">
        <f t="array" ref="Z930">IFERROR(AVERAGE(_xlfn._xlws.FILTER(R$2:R$1073,($C$2:$C$1073=$C930)*($E$2:$E$1073=$E930)*(ROW(R$2:R$1073)&lt;&gt;ROW(R930))*(R$2:R$1073&lt;&gt;""))),"")</f>
        <v>-0.37000558537071093</v>
      </c>
      <c r="AA930" t="str" cm="1">
        <f t="array" ref="AA930">IFERROR(AVERAGE(_xlfn._xlws.FILTER(S$2:S$1073,($C$2:$C$1073=$C930)*($E$2:$E$1073=$E930)*(ROW(S$2:S$1073)&lt;&gt;ROW(S930))*(S$2:S$1073&lt;&gt;""))),"")</f>
        <v/>
      </c>
      <c r="AB930" cm="1">
        <f t="array" ref="AB930">IFERROR(AVERAGE(_xlfn._xlws.FILTER(T$2:T$1073,($C$2:$C$1073=$C930)*($E$2:$E$1073=$E930)*(ROW(T$2:T$1073)&lt;&gt;ROW(T930))*(T$2:T$1073&lt;&gt;""))),"")</f>
        <v>-9.0250578769573819E-2</v>
      </c>
      <c r="AC930" cm="1">
        <f t="array" ref="AC930">IFERROR(AVERAGE(_xlfn._xlws.FILTER(U$2:U$1073,($C$2:$C$1073=$C930)*($E$2:$E$1073=$E930)*(ROW(U$2:U$1073)&lt;&gt;ROW(U930))*(U$2:U$1073&lt;&gt;""))),"")</f>
        <v>0.48847456484923102</v>
      </c>
      <c r="AD930" cm="1">
        <f t="array" ref="AD930">IFERROR(AVERAGE(_xlfn._xlws.FILTER(V$2:V$1073,($C$2:$C$1073=$C930)*($E$2:$E$1073=$E930)*(ROW(V$2:V$1073)&lt;&gt;ROW(V930))*(V$2:V$1073&lt;&gt;""))),"")</f>
        <v>0.32817125423887178</v>
      </c>
      <c r="AE930">
        <f>IF('Дивиденды по годам'!M930&lt;0,1,0)</f>
        <v>0</v>
      </c>
    </row>
    <row r="931" spans="1:31" x14ac:dyDescent="0.2">
      <c r="A931" s="7" t="s">
        <v>2294</v>
      </c>
      <c r="B931" t="str">
        <f t="shared" si="154"/>
        <v>AFLT IV кв. 2024</v>
      </c>
      <c r="C931">
        <v>2024</v>
      </c>
      <c r="D931">
        <f>SUMIFS(Дивиденды!$C:$C,Дивиденды!$A:$A,A931,Дивиденды!$I:$I,C931)</f>
        <v>5.27</v>
      </c>
      <c r="E931">
        <v>7</v>
      </c>
      <c r="F931">
        <f t="shared" si="155"/>
        <v>5.27</v>
      </c>
      <c r="G931">
        <f t="shared" si="156"/>
        <v>14.17</v>
      </c>
      <c r="H931">
        <f t="shared" si="157"/>
        <v>1</v>
      </c>
      <c r="I931">
        <f t="shared" si="158"/>
        <v>0.5</v>
      </c>
      <c r="J931">
        <f t="shared" si="159"/>
        <v>1</v>
      </c>
      <c r="K931">
        <f t="shared" si="164"/>
        <v>-5.8540695945276125E-2</v>
      </c>
      <c r="L931">
        <f t="shared" si="160"/>
        <v>1</v>
      </c>
      <c r="M931">
        <f t="shared" si="161"/>
        <v>0.5</v>
      </c>
      <c r="N931">
        <f t="shared" si="162"/>
        <v>0</v>
      </c>
      <c r="O931">
        <f t="shared" si="163"/>
        <v>0.25</v>
      </c>
      <c r="P931">
        <f>IFERROR(LN('Дивиденды по годам'!I931),"")</f>
        <v>27.776761672459504</v>
      </c>
      <c r="Q931">
        <f>IFERROR('Дивиденды по годам'!G931/'Дивиденды по годам'!I931, "")</f>
        <v>0.138161079301856</v>
      </c>
      <c r="R931">
        <f>IFERROR(IF(AND('Дивиденды по годам'!N931&lt;&gt;"",'Дивиденды по годам'!U931&lt;&gt;"",'Дивиденды по годам'!U931&lt;&gt;0),'Дивиденды по годам'!N931/'Дивиденды по годам'!U931-1,""),"")</f>
        <v>0.39953184774760953</v>
      </c>
      <c r="S931">
        <f>IFERROR(IF(AND('Дивиденды по годам'!L931&lt;&gt;"",'Дивиденды по годам'!I931&lt;&gt;"",'Дивиденды по годам'!J931&lt;&gt;"",'Дивиденды по годам'!K931&lt;&gt;"",('Дивиденды по годам'!I931-'Дивиденды по годам'!J931-'Дивиденды по годам'!K931)&lt;&gt;0),'Дивиденды по годам'!L931/('Дивиденды по годам'!I931-'Дивиденды по годам'!J931-'Дивиденды по годам'!K931),""),"")</f>
        <v>2.4344731506131287</v>
      </c>
      <c r="T931">
        <f>IFERROR(IF(AND('Дивиденды по годам'!Q931&lt;&gt;"",'Дивиденды по годам'!I931&lt;&gt;"",'Дивиденды по годам'!V931&lt;&gt;"",('Дивиденды по годам'!I931+'Дивиденды по годам'!V931)&lt;&gt;0),'Дивиденды по годам'!Q931/(('Дивиденды по годам'!I931+'Дивиденды по годам'!V931)/2),""),"")</f>
        <v>4.8456345694016939E-2</v>
      </c>
      <c r="U931">
        <f>IFERROR(IF(AND('Дивиденды по годам'!J931&lt;&gt;"",'Дивиденды по годам'!K931&lt;&gt;"",'Дивиденды по годам'!M931&lt;&gt;"",'Дивиденды по годам'!M931&lt;&gt;0),('Дивиденды по годам'!J931+'Дивиденды по годам'!K931)/'Дивиденды по годам'!M931,""),"")</f>
        <v>-16.957846531580618</v>
      </c>
      <c r="V931">
        <f>IFERROR(IF(AND('Дивиденды по годам'!J931&lt;&gt;"",'Дивиденды по годам'!K931&lt;&gt;"",'Дивиденды по годам'!M931&lt;&gt;"",'Дивиденды по годам'!I931&lt;&gt;0),('Дивиденды по годам'!J931+'Дивиденды по годам'!K931)/'Дивиденды по годам'!I931,""),"")</f>
        <v>1.0626650969490776</v>
      </c>
      <c r="W931">
        <f>IFERROR('Дивиденды по годам'!I931,"")</f>
        <v>1156896000000</v>
      </c>
      <c r="X931" cm="1">
        <f t="array" ref="X931">IFERROR(AVERAGE(_xlfn._xlws.FILTER(P$2:P$1073,($C$2:$C$1073=$C931)*($E$2:$E$1073=$E931)*(ROW(P$2:P$1073)&lt;&gt;ROW(P931))*(P$2:P$1073&lt;&gt;""))),"")</f>
        <v>25.813751639010469</v>
      </c>
      <c r="Y931" cm="1">
        <f t="array" ref="Y931">IFERROR(AVERAGE(_xlfn._xlws.FILTER(Q$2:Q$1073,($C$2:$C$1073=$C931)*($E$2:$E$1073=$E931)*(ROW(Q$2:Q$1073)&lt;&gt;ROW(Q931))*(Q$2:Q$1073&lt;&gt;""))),"")</f>
        <v>0.57972857792487953</v>
      </c>
      <c r="Z931" cm="1">
        <f t="array" ref="Z931">IFERROR(AVERAGE(_xlfn._xlws.FILTER(R$2:R$1073,($C$2:$C$1073=$C931)*($E$2:$E$1073=$E931)*(ROW(R$2:R$1073)&lt;&gt;ROW(R931))*(R$2:R$1073&lt;&gt;""))),"")</f>
        <v>5.3049539478840335E-2</v>
      </c>
      <c r="AA931" cm="1">
        <f t="array" ref="AA931">IFERROR(AVERAGE(_xlfn._xlws.FILTER(S$2:S$1073,($C$2:$C$1073=$C931)*($E$2:$E$1073=$E931)*(ROW(S$2:S$1073)&lt;&gt;ROW(S931))*(S$2:S$1073&lt;&gt;""))),"")</f>
        <v>0.96431524729528784</v>
      </c>
      <c r="AB931" cm="1">
        <f t="array" ref="AB931">IFERROR(AVERAGE(_xlfn._xlws.FILTER(T$2:T$1073,($C$2:$C$1073=$C931)*($E$2:$E$1073=$E931)*(ROW(T$2:T$1073)&lt;&gt;ROW(T931))*(T$2:T$1073&lt;&gt;""))),"")</f>
        <v>0.17878716158598401</v>
      </c>
      <c r="AC931" cm="1">
        <f t="array" ref="AC931">IFERROR(AVERAGE(_xlfn._xlws.FILTER(U$2:U$1073,($C$2:$C$1073=$C931)*($E$2:$E$1073=$E931)*(ROW(U$2:U$1073)&lt;&gt;ROW(U931))*(U$2:U$1073&lt;&gt;""))),"")</f>
        <v>0.35604449403049382</v>
      </c>
      <c r="AD931" cm="1">
        <f t="array" ref="AD931">IFERROR(AVERAGE(_xlfn._xlws.FILTER(V$2:V$1073,($C$2:$C$1073=$C931)*($E$2:$E$1073=$E931)*(ROW(V$2:V$1073)&lt;&gt;ROW(V931))*(V$2:V$1073&lt;&gt;""))),"")</f>
        <v>0.25013109415746448</v>
      </c>
      <c r="AE931">
        <f>IF('Дивиденды по годам'!M931&lt;0,1,0)</f>
        <v>1</v>
      </c>
    </row>
    <row r="932" spans="1:31" x14ac:dyDescent="0.2">
      <c r="A932" s="7" t="s">
        <v>2294</v>
      </c>
      <c r="B932" t="str">
        <f t="shared" si="154"/>
        <v>AFLT IV кв. 2023</v>
      </c>
      <c r="C932">
        <v>2023</v>
      </c>
      <c r="D932">
        <f>SUMIFS(Дивиденды!$C:$C,Дивиденды!$A:$A,A932,Дивиденды!$I:$I,C932)</f>
        <v>0</v>
      </c>
      <c r="E932">
        <v>7</v>
      </c>
      <c r="F932">
        <f t="shared" si="155"/>
        <v>0</v>
      </c>
      <c r="G932">
        <f t="shared" si="156"/>
        <v>13.76</v>
      </c>
      <c r="H932">
        <f t="shared" si="157"/>
        <v>0</v>
      </c>
      <c r="I932">
        <f t="shared" si="158"/>
        <v>0.75</v>
      </c>
      <c r="J932">
        <f t="shared" si="159"/>
        <v>0</v>
      </c>
      <c r="K932">
        <f t="shared" si="164"/>
        <v>1.1429062572744175</v>
      </c>
      <c r="L932">
        <f t="shared" si="160"/>
        <v>0</v>
      </c>
      <c r="M932">
        <f t="shared" si="161"/>
        <v>0.5</v>
      </c>
      <c r="N932">
        <f t="shared" si="162"/>
        <v>0</v>
      </c>
      <c r="O932">
        <f t="shared" si="163"/>
        <v>0.25</v>
      </c>
      <c r="P932">
        <f>IFERROR(LN('Дивиденды по годам'!I932),"")</f>
        <v>27.738990824679629</v>
      </c>
      <c r="Q932">
        <f>IFERROR('Дивиденды по годам'!G932/'Дивиденды по годам'!I932, "")</f>
        <v>9.4183735572443431E-2</v>
      </c>
      <c r="R932">
        <f>IFERROR(IF(AND('Дивиденды по годам'!N932&lt;&gt;"",'Дивиденды по годам'!U932&lt;&gt;"",'Дивиденды по годам'!U932&lt;&gt;0),'Дивиденды по годам'!N932/'Дивиденды по годам'!U932-1,""),"")</f>
        <v>0.48117662998770916</v>
      </c>
      <c r="S932">
        <f>IFERROR(IF(AND('Дивиденды по годам'!L932&lt;&gt;"",'Дивиденды по годам'!I932&lt;&gt;"",'Дивиденды по годам'!J932&lt;&gt;"",'Дивиденды по годам'!K932&lt;&gt;"",('Дивиденды по годам'!I932-'Дивиденды по годам'!J932-'Дивиденды по годам'!K932)&lt;&gt;0),'Дивиденды по годам'!L932/('Дивиденды по годам'!I932-'Дивиденды по годам'!J932-'Дивиденды по годам'!K932),""),"")</f>
        <v>2.3795795613342245</v>
      </c>
      <c r="T932">
        <f>IFERROR(IF(AND('Дивиденды по годам'!Q932&lt;&gt;"",'Дивиденды по годам'!I932&lt;&gt;"",'Дивиденды по годам'!V932&lt;&gt;"",('Дивиденды по годам'!I932+'Дивиденды по годам'!V932)&lt;&gt;0),'Дивиденды по годам'!Q932/(('Дивиденды по годам'!I932+'Дивиденды по годам'!V932)/2),""),"")</f>
        <v>-1.3539409957516129E-2</v>
      </c>
      <c r="U932">
        <f>IFERROR(IF(AND('Дивиденды по годам'!J932&lt;&gt;"",'Дивиденды по годам'!K932&lt;&gt;"",'Дивиденды по годам'!M932&lt;&gt;"",'Дивиденды по годам'!M932&lt;&gt;0),('Дивиденды по годам'!J932+'Дивиденды по годам'!K932)/'Дивиденды по годам'!M932,""),"")</f>
        <v>-12.280697490734553</v>
      </c>
      <c r="V932">
        <f>IFERROR(IF(AND('Дивиденды по годам'!J932&lt;&gt;"",'Дивиденды по годам'!K932&lt;&gt;"",'Дивиденды по годам'!M932&lt;&gt;"",'Дивиденды по годам'!I932&lt;&gt;0),('Дивиденды по годам'!J932+'Дивиденды по годам'!K932)/'Дивиденды по годам'!I932,""),"")</f>
        <v>1.0886470008455909</v>
      </c>
      <c r="W932">
        <f>IFERROR('Дивиденды по годам'!I932,"")</f>
        <v>1114014000000</v>
      </c>
      <c r="X932" cm="1">
        <f t="array" ref="X932">IFERROR(AVERAGE(_xlfn._xlws.FILTER(P$2:P$1073,($C$2:$C$1073=$C932)*($E$2:$E$1073=$E932)*(ROW(P$2:P$1073)&lt;&gt;ROW(P932))*(P$2:P$1073&lt;&gt;""))),"")</f>
        <v>25.681333317539302</v>
      </c>
      <c r="Y932" cm="1">
        <f t="array" ref="Y932">IFERROR(AVERAGE(_xlfn._xlws.FILTER(Q$2:Q$1073,($C$2:$C$1073=$C932)*($E$2:$E$1073=$E932)*(ROW(Q$2:Q$1073)&lt;&gt;ROW(Q932))*(Q$2:Q$1073&lt;&gt;""))),"")</f>
        <v>0.61605557291837532</v>
      </c>
      <c r="Z932" cm="1">
        <f t="array" ref="Z932">IFERROR(AVERAGE(_xlfn._xlws.FILTER(R$2:R$1073,($C$2:$C$1073=$C932)*($E$2:$E$1073=$E932)*(ROW(R$2:R$1073)&lt;&gt;ROW(R932))*(R$2:R$1073&lt;&gt;""))),"")</f>
        <v>0.38200570338208545</v>
      </c>
      <c r="AA932" cm="1">
        <f t="array" ref="AA932">IFERROR(AVERAGE(_xlfn._xlws.FILTER(S$2:S$1073,($C$2:$C$1073=$C932)*($E$2:$E$1073=$E932)*(ROW(S$2:S$1073)&lt;&gt;ROW(S932))*(S$2:S$1073&lt;&gt;""))),"")</f>
        <v>0.95923621920044888</v>
      </c>
      <c r="AB932" cm="1">
        <f t="array" ref="AB932">IFERROR(AVERAGE(_xlfn._xlws.FILTER(T$2:T$1073,($C$2:$C$1073=$C932)*($E$2:$E$1073=$E932)*(ROW(T$2:T$1073)&lt;&gt;ROW(T932))*(T$2:T$1073&lt;&gt;""))),"")</f>
        <v>0.23176753820373838</v>
      </c>
      <c r="AC932" cm="1">
        <f t="array" ref="AC932">IFERROR(AVERAGE(_xlfn._xlws.FILTER(U$2:U$1073,($C$2:$C$1073=$C932)*($E$2:$E$1073=$E932)*(ROW(U$2:U$1073)&lt;&gt;ROW(U932))*(U$2:U$1073&lt;&gt;""))),"")</f>
        <v>0.38321191803815224</v>
      </c>
      <c r="AD932" cm="1">
        <f t="array" ref="AD932">IFERROR(AVERAGE(_xlfn._xlws.FILTER(V$2:V$1073,($C$2:$C$1073=$C932)*($E$2:$E$1073=$E932)*(ROW(V$2:V$1073)&lt;&gt;ROW(V932))*(V$2:V$1073&lt;&gt;""))),"")</f>
        <v>0.27355290156418383</v>
      </c>
      <c r="AE932">
        <f>IF('Дивиденды по годам'!M932&lt;0,1,0)</f>
        <v>1</v>
      </c>
    </row>
    <row r="933" spans="1:31" x14ac:dyDescent="0.2">
      <c r="A933" s="7" t="s">
        <v>2294</v>
      </c>
      <c r="B933" t="str">
        <f t="shared" si="154"/>
        <v>AFLT IV кв. 2022</v>
      </c>
      <c r="C933">
        <v>2022</v>
      </c>
      <c r="D933">
        <f>SUMIFS(Дивиденды!$C:$C,Дивиденды!$A:$A,A933,Дивиденды!$I:$I,C933)</f>
        <v>0</v>
      </c>
      <c r="E933">
        <v>7</v>
      </c>
      <c r="F933">
        <f t="shared" si="155"/>
        <v>0</v>
      </c>
      <c r="G933">
        <f t="shared" si="156"/>
        <v>4.9275000000000002</v>
      </c>
      <c r="H933">
        <f t="shared" si="157"/>
        <v>0</v>
      </c>
      <c r="I933">
        <f t="shared" si="158"/>
        <v>0.75</v>
      </c>
      <c r="J933">
        <f t="shared" si="159"/>
        <v>0</v>
      </c>
      <c r="K933">
        <f t="shared" si="164"/>
        <v>0.5051072124756335</v>
      </c>
      <c r="L933">
        <f t="shared" si="160"/>
        <v>0</v>
      </c>
      <c r="M933">
        <f t="shared" si="161"/>
        <v>0.75</v>
      </c>
      <c r="N933">
        <f t="shared" si="162"/>
        <v>0</v>
      </c>
      <c r="O933">
        <f t="shared" si="163"/>
        <v>0</v>
      </c>
      <c r="P933">
        <f>IFERROR(LN('Дивиденды по годам'!I933),"")</f>
        <v>27.5871998363797</v>
      </c>
      <c r="Q933">
        <f>IFERROR('Дивиденды по годам'!G933/'Дивиденды по годам'!I933, "")</f>
        <v>5.1264986287057591E-2</v>
      </c>
      <c r="R933">
        <f>IFERROR(IF(AND('Дивиденды по годам'!N933&lt;&gt;"",'Дивиденды по годам'!U933&lt;&gt;"",'Дивиденды по годам'!U933&lt;&gt;0),'Дивиденды по годам'!N933/'Дивиденды по годам'!U933-1,""),"")</f>
        <v>-0.1594706883613668</v>
      </c>
      <c r="S933">
        <f>IFERROR(IF(AND('Дивиденды по годам'!L933&lt;&gt;"",'Дивиденды по годам'!I933&lt;&gt;"",'Дивиденды по годам'!J933&lt;&gt;"",'Дивиденды по годам'!K933&lt;&gt;"",('Дивиденды по годам'!I933-'Дивиденды по годам'!J933-'Дивиденды по годам'!K933)&lt;&gt;0),'Дивиденды по годам'!L933/('Дивиденды по годам'!I933-'Дивиденды по годам'!J933-'Дивиденды по годам'!K933),""),"")</f>
        <v>2.2763567179053545</v>
      </c>
      <c r="T933">
        <f>IFERROR(IF(AND('Дивиденды по годам'!Q933&lt;&gt;"",'Дивиденды по годам'!I933&lt;&gt;"",'Дивиденды по годам'!V933&lt;&gt;"",('Дивиденды по годам'!I933+'Дивиденды по годам'!V933)&lt;&gt;0),'Дивиденды по годам'!Q933/(('Дивиденды по годам'!I933+'Дивиденды по годам'!V933)/2),""),"")</f>
        <v>-4.8748291254854047E-2</v>
      </c>
      <c r="U933">
        <f>IFERROR(IF(AND('Дивиденды по годам'!J933&lt;&gt;"",'Дивиденды по годам'!K933&lt;&gt;"",'Дивиденды по годам'!M933&lt;&gt;"",'Дивиденды по годам'!M933&lt;&gt;0),('Дивиденды по годам'!J933+'Дивиденды по годам'!K933)/'Дивиденды по годам'!M933,""),"")</f>
        <v>-10.634936933127976</v>
      </c>
      <c r="V933">
        <f>IFERROR(IF(AND('Дивиденды по годам'!J933&lt;&gt;"",'Дивиденды по годам'!K933&lt;&gt;"",'Дивиденды по годам'!M933&lt;&gt;"",'Дивиденды по годам'!I933&lt;&gt;0),('Дивиденды по годам'!J933+'Дивиденды по годам'!K933)/'Дивиденды по годам'!I933,""),"")</f>
        <v>1.1037889512864045</v>
      </c>
      <c r="W933">
        <f>IFERROR('Дивиденды по годам'!I933,"")</f>
        <v>957125000000</v>
      </c>
      <c r="X933" cm="1">
        <f t="array" ref="X933">IFERROR(AVERAGE(_xlfn._xlws.FILTER(P$2:P$1073,($C$2:$C$1073=$C933)*($E$2:$E$1073=$E933)*(ROW(P$2:P$1073)&lt;&gt;ROW(P933))*(P$2:P$1073&lt;&gt;""))),"")</f>
        <v>25.000884188006292</v>
      </c>
      <c r="Y933" cm="1">
        <f t="array" ref="Y933">IFERROR(AVERAGE(_xlfn._xlws.FILTER(Q$2:Q$1073,($C$2:$C$1073=$C933)*($E$2:$E$1073=$E933)*(ROW(Q$2:Q$1073)&lt;&gt;ROW(Q933))*(Q$2:Q$1073&lt;&gt;""))),"")</f>
        <v>0.58868761079449106</v>
      </c>
      <c r="Z933" cm="1">
        <f t="array" ref="Z933">IFERROR(AVERAGE(_xlfn._xlws.FILTER(R$2:R$1073,($C$2:$C$1073=$C933)*($E$2:$E$1073=$E933)*(ROW(R$2:R$1073)&lt;&gt;ROW(R933))*(R$2:R$1073&lt;&gt;""))),"")</f>
        <v>0.10434990638676078</v>
      </c>
      <c r="AA933" cm="1">
        <f t="array" ref="AA933">IFERROR(AVERAGE(_xlfn._xlws.FILTER(S$2:S$1073,($C$2:$C$1073=$C933)*($E$2:$E$1073=$E933)*(ROW(S$2:S$1073)&lt;&gt;ROW(S933))*(S$2:S$1073&lt;&gt;""))),"")</f>
        <v>0.9845423141070101</v>
      </c>
      <c r="AB933" cm="1">
        <f t="array" ref="AB933">IFERROR(AVERAGE(_xlfn._xlws.FILTER(T$2:T$1073,($C$2:$C$1073=$C933)*($E$2:$E$1073=$E933)*(ROW(T$2:T$1073)&lt;&gt;ROW(T933))*(T$2:T$1073&lt;&gt;""))),"")</f>
        <v>0.21973922459931838</v>
      </c>
      <c r="AC933" cm="1">
        <f t="array" ref="AC933">IFERROR(AVERAGE(_xlfn._xlws.FILTER(U$2:U$1073,($C$2:$C$1073=$C933)*($E$2:$E$1073=$E933)*(ROW(U$2:U$1073)&lt;&gt;ROW(U933))*(U$2:U$1073&lt;&gt;""))),"")</f>
        <v>0.4447417302602184</v>
      </c>
      <c r="AD933" cm="1">
        <f t="array" ref="AD933">IFERROR(AVERAGE(_xlfn._xlws.FILTER(V$2:V$1073,($C$2:$C$1073=$C933)*($E$2:$E$1073=$E933)*(ROW(V$2:V$1073)&lt;&gt;ROW(V933))*(V$2:V$1073&lt;&gt;""))),"")</f>
        <v>0.27908102017892383</v>
      </c>
      <c r="AE933">
        <f>IF('Дивиденды по годам'!M933&lt;0,1,0)</f>
        <v>1</v>
      </c>
    </row>
    <row r="934" spans="1:31" x14ac:dyDescent="0.2">
      <c r="A934" s="7" t="s">
        <v>2294</v>
      </c>
      <c r="B934" t="str">
        <f t="shared" si="154"/>
        <v>AFLT IV кв. 2021</v>
      </c>
      <c r="C934">
        <v>2021</v>
      </c>
      <c r="D934">
        <f>SUMIFS(Дивиденды!$C:$C,Дивиденды!$A:$A,A934,Дивиденды!$I:$I,C934)</f>
        <v>0</v>
      </c>
      <c r="E934">
        <v>7</v>
      </c>
      <c r="F934">
        <f t="shared" si="155"/>
        <v>0</v>
      </c>
      <c r="G934">
        <f t="shared" si="156"/>
        <v>2.5099999999999998</v>
      </c>
      <c r="H934">
        <f t="shared" si="157"/>
        <v>0</v>
      </c>
      <c r="I934">
        <f t="shared" si="158"/>
        <v>0.5</v>
      </c>
      <c r="J934">
        <f t="shared" si="159"/>
        <v>0</v>
      </c>
      <c r="K934">
        <f t="shared" si="164"/>
        <v>1.6381617219313558</v>
      </c>
      <c r="L934">
        <f t="shared" si="160"/>
        <v>0</v>
      </c>
      <c r="M934">
        <f t="shared" si="161"/>
        <v>0.25</v>
      </c>
      <c r="N934">
        <f t="shared" si="162"/>
        <v>0</v>
      </c>
      <c r="O934">
        <f t="shared" si="163"/>
        <v>0.5</v>
      </c>
      <c r="P934">
        <f>IFERROR(LN('Дивиденды по годам'!I934),"")</f>
        <v>27.734885512958837</v>
      </c>
      <c r="Q934">
        <f>IFERROR('Дивиденды по годам'!G934/'Дивиденды по годам'!I934, "")</f>
        <v>1.7930506106629412E-2</v>
      </c>
      <c r="R934">
        <f>IFERROR(IF(AND('Дивиденды по годам'!N934&lt;&gt;"",'Дивиденды по годам'!U934&lt;&gt;"",'Дивиденды по годам'!U934&lt;&gt;0),'Дивиденды по годам'!N934/'Дивиденды по годам'!U934-1,""),"")</f>
        <v>0.62727429165205084</v>
      </c>
      <c r="S934">
        <f>IFERROR(IF(AND('Дивиденды по годам'!L934&lt;&gt;"",'Дивиденды по годам'!I934&lt;&gt;"",'Дивиденды по годам'!J934&lt;&gt;"",'Дивиденды по годам'!K934&lt;&gt;"",('Дивиденды по годам'!I934-'Дивиденды по годам'!J934-'Дивиденды по годам'!K934)&lt;&gt;0),'Дивиденды по годам'!L934/('Дивиденды по годам'!I934-'Дивиденды по годам'!J934-'Дивиденды по годам'!K934),""),"")</f>
        <v>1.2003031999890739</v>
      </c>
      <c r="T934">
        <f>IFERROR(IF(AND('Дивиденды по годам'!Q934&lt;&gt;"",'Дивиденды по годам'!I934&lt;&gt;"",'Дивиденды по годам'!V934&lt;&gt;"",('Дивиденды по годам'!I934+'Дивиденды по годам'!V934)&lt;&gt;0),'Дивиденды по годам'!Q934/(('Дивиденды по годам'!I934+'Дивиденды по годам'!V934)/2),""),"")</f>
        <v>-3.2422962532942801E-2</v>
      </c>
      <c r="U934">
        <f>IFERROR(IF(AND('Дивиденды по годам'!J934&lt;&gt;"",'Дивиденды по годам'!K934&lt;&gt;"",'Дивиденды по годам'!M934&lt;&gt;"",'Дивиденды по годам'!M934&lt;&gt;0),('Дивиденды по годам'!J934+'Дивиденды по годам'!K934)/'Дивиденды по годам'!M934,""),"")</f>
        <v>-8.5762438711263478</v>
      </c>
      <c r="V934">
        <f>IFERROR(IF(AND('Дивиденды по годам'!J934&lt;&gt;"",'Дивиденды по годам'!K934&lt;&gt;"",'Дивиденды по годам'!M934&lt;&gt;"",'Дивиденды по годам'!I934&lt;&gt;0),('Дивиденды по годам'!J934+'Дивиденды по годам'!K934)/'Дивиденды по годам'!I934,""),"")</f>
        <v>1.1319915273333634</v>
      </c>
      <c r="W934">
        <f>IFERROR('Дивиденды по годам'!I934,"")</f>
        <v>1109450000000</v>
      </c>
      <c r="X934" cm="1">
        <f t="array" ref="X934">IFERROR(AVERAGE(_xlfn._xlws.FILTER(P$2:P$1073,($C$2:$C$1073=$C934)*($E$2:$E$1073=$E934)*(ROW(P$2:P$1073)&lt;&gt;ROW(P934))*(P$2:P$1073&lt;&gt;""))),"")</f>
        <v>25.2250561407627</v>
      </c>
      <c r="Y934" cm="1">
        <f t="array" ref="Y934">IFERROR(AVERAGE(_xlfn._xlws.FILTER(Q$2:Q$1073,($C$2:$C$1073=$C934)*($E$2:$E$1073=$E934)*(ROW(Q$2:Q$1073)&lt;&gt;ROW(Q934))*(Q$2:Q$1073&lt;&gt;""))),"")</f>
        <v>0.73565058124068994</v>
      </c>
      <c r="Z934" cm="1">
        <f t="array" ref="Z934">IFERROR(AVERAGE(_xlfn._xlws.FILTER(R$2:R$1073,($C$2:$C$1073=$C934)*($E$2:$E$1073=$E934)*(ROW(R$2:R$1073)&lt;&gt;ROW(R934))*(R$2:R$1073&lt;&gt;""))),"")</f>
        <v>0.20451264406103495</v>
      </c>
      <c r="AA934" cm="1">
        <f t="array" ref="AA934">IFERROR(AVERAGE(_xlfn._xlws.FILTER(S$2:S$1073,($C$2:$C$1073=$C934)*($E$2:$E$1073=$E934)*(ROW(S$2:S$1073)&lt;&gt;ROW(S934))*(S$2:S$1073&lt;&gt;""))),"")</f>
        <v>0.90769575343229281</v>
      </c>
      <c r="AB934" cm="1">
        <f t="array" ref="AB934">IFERROR(AVERAGE(_xlfn._xlws.FILTER(T$2:T$1073,($C$2:$C$1073=$C934)*($E$2:$E$1073=$E934)*(ROW(T$2:T$1073)&lt;&gt;ROW(T934))*(T$2:T$1073&lt;&gt;""))),"")</f>
        <v>0.21242607235631908</v>
      </c>
      <c r="AC934" cm="1">
        <f t="array" ref="AC934">IFERROR(AVERAGE(_xlfn._xlws.FILTER(U$2:U$1073,($C$2:$C$1073=$C934)*($E$2:$E$1073=$E934)*(ROW(U$2:U$1073)&lt;&gt;ROW(U934))*(U$2:U$1073&lt;&gt;""))),"")</f>
        <v>0.76122644643457316</v>
      </c>
      <c r="AD934" cm="1">
        <f t="array" ref="AD934">IFERROR(AVERAGE(_xlfn._xlws.FILTER(V$2:V$1073,($C$2:$C$1073=$C934)*($E$2:$E$1073=$E934)*(ROW(V$2:V$1073)&lt;&gt;ROW(V934))*(V$2:V$1073&lt;&gt;""))),"")</f>
        <v>0.39770529162515622</v>
      </c>
      <c r="AE934">
        <f>IF('Дивиденды по годам'!M934&lt;0,1,0)</f>
        <v>1</v>
      </c>
    </row>
    <row r="935" spans="1:31" x14ac:dyDescent="0.2">
      <c r="A935" s="7" t="s">
        <v>2294</v>
      </c>
      <c r="B935" t="str">
        <f t="shared" si="154"/>
        <v>AFLT IV кв. 2020</v>
      </c>
      <c r="C935">
        <v>2020</v>
      </c>
      <c r="D935">
        <f>SUMIFS(Дивиденды!$C:$C,Дивиденды!$A:$A,A935,Дивиденды!$I:$I,C935)</f>
        <v>0</v>
      </c>
      <c r="E935">
        <v>7</v>
      </c>
      <c r="F935">
        <f t="shared" si="155"/>
        <v>0</v>
      </c>
      <c r="G935">
        <f t="shared" si="156"/>
        <v>5.9799999999999995</v>
      </c>
      <c r="H935">
        <f t="shared" si="157"/>
        <v>0</v>
      </c>
      <c r="I935">
        <f t="shared" si="158"/>
        <v>0.75</v>
      </c>
      <c r="J935">
        <f t="shared" si="159"/>
        <v>0</v>
      </c>
      <c r="K935">
        <f t="shared" si="164"/>
        <v>0.34820127504553727</v>
      </c>
      <c r="L935">
        <f t="shared" si="160"/>
        <v>0</v>
      </c>
      <c r="M935">
        <f t="shared" si="161"/>
        <v>0.5</v>
      </c>
      <c r="N935">
        <f t="shared" si="162"/>
        <v>0</v>
      </c>
      <c r="O935">
        <f t="shared" si="163"/>
        <v>0.25</v>
      </c>
      <c r="P935">
        <f>IFERROR(LN('Дивиденды по годам'!I935),"")</f>
        <v>27.647095232331321</v>
      </c>
      <c r="Q935">
        <f>IFERROR('Дивиденды по годам'!G935/'Дивиденды по годам'!I935, "")</f>
        <v>1.9508878138641453E-2</v>
      </c>
      <c r="R935">
        <f>IFERROR(IF(AND('Дивиденды по годам'!N935&lt;&gt;"",'Дивиденды по годам'!U935&lt;&gt;"",'Дивиденды по годам'!U935&lt;&gt;0),'Дивиденды по годам'!N935/'Дивиденды по годам'!U935-1,""),"")</f>
        <v>-0.55422559416770789</v>
      </c>
      <c r="S935">
        <f>IFERROR(IF(AND('Дивиденды по годам'!L935&lt;&gt;"",'Дивиденды по годам'!I935&lt;&gt;"",'Дивиденды по годам'!J935&lt;&gt;"",'Дивиденды по годам'!K935&lt;&gt;"",('Дивиденды по годам'!I935-'Дивиденды по годам'!J935-'Дивиденды по годам'!K935)&lt;&gt;0),'Дивиденды по годам'!L935/('Дивиденды по годам'!I935-'Дивиденды по годам'!J935-'Дивиденды по годам'!K935),""),"")</f>
        <v>1.2281656927851854</v>
      </c>
      <c r="T935">
        <f>IFERROR(IF(AND('Дивиденды по годам'!Q935&lt;&gt;"",'Дивиденды по годам'!I935&lt;&gt;"",'Дивиденды по годам'!V935&lt;&gt;"",('Дивиденды по годам'!I935+'Дивиденды по годам'!V935)&lt;&gt;0),'Дивиденды по годам'!Q935/(('Дивиденды по годам'!I935+'Дивиденды по годам'!V935)/2),""),"")</f>
        <v>-0.12639816324206651</v>
      </c>
      <c r="U935">
        <f>IFERROR(IF(AND('Дивиденды по годам'!J935&lt;&gt;"",'Дивиденды по годам'!K935&lt;&gt;"",'Дивиденды по годам'!M935&lt;&gt;"",'Дивиденды по годам'!M935&lt;&gt;0),('Дивиденды по годам'!J935+'Дивиденды по годам'!K935)/'Дивиденды по годам'!M935,""),"")</f>
        <v>-9.8100497633207908</v>
      </c>
      <c r="V935">
        <f>IFERROR(IF(AND('Дивиденды по годам'!J935&lt;&gt;"",'Дивиденды по годам'!K935&lt;&gt;"",'Дивиденды по годам'!M935&lt;&gt;"",'Дивиденды по годам'!I935&lt;&gt;0),('Дивиденды по годам'!J935+'Дивиденды по годам'!K935)/'Дивиденды по годам'!I935,""),"")</f>
        <v>1.1135067368363045</v>
      </c>
      <c r="W935">
        <f>IFERROR('Дивиденды по годам'!I935,"")</f>
        <v>1016204000000</v>
      </c>
      <c r="X935" cm="1">
        <f t="array" ref="X935">IFERROR(AVERAGE(_xlfn._xlws.FILTER(P$2:P$1073,($C$2:$C$1073=$C935)*($E$2:$E$1073=$E935)*(ROW(P$2:P$1073)&lt;&gt;ROW(P935))*(P$2:P$1073&lt;&gt;""))),"")</f>
        <v>25.206342844470406</v>
      </c>
      <c r="Y935" cm="1">
        <f t="array" ref="Y935">IFERROR(AVERAGE(_xlfn._xlws.FILTER(Q$2:Q$1073,($C$2:$C$1073=$C935)*($E$2:$E$1073=$E935)*(ROW(Q$2:Q$1073)&lt;&gt;ROW(Q935))*(Q$2:Q$1073&lt;&gt;""))),"")</f>
        <v>0.64526632308946963</v>
      </c>
      <c r="Z935" cm="1">
        <f t="array" ref="Z935">IFERROR(AVERAGE(_xlfn._xlws.FILTER(R$2:R$1073,($C$2:$C$1073=$C935)*($E$2:$E$1073=$E935)*(ROW(R$2:R$1073)&lt;&gt;ROW(R935))*(R$2:R$1073&lt;&gt;""))),"")</f>
        <v>-0.14143570067493688</v>
      </c>
      <c r="AA935" cm="1">
        <f t="array" ref="AA935">IFERROR(AVERAGE(_xlfn._xlws.FILTER(S$2:S$1073,($C$2:$C$1073=$C935)*($E$2:$E$1073=$E935)*(ROW(S$2:S$1073)&lt;&gt;ROW(S935))*(S$2:S$1073&lt;&gt;""))),"")</f>
        <v>1.3712139613069381</v>
      </c>
      <c r="AB935" cm="1">
        <f t="array" ref="AB935">IFERROR(AVERAGE(_xlfn._xlws.FILTER(T$2:T$1073,($C$2:$C$1073=$C935)*($E$2:$E$1073=$E935)*(ROW(T$2:T$1073)&lt;&gt;ROW(T935))*(T$2:T$1073&lt;&gt;""))),"")</f>
        <v>9.4573319953617063E-2</v>
      </c>
      <c r="AC935" cm="1">
        <f t="array" ref="AC935">IFERROR(AVERAGE(_xlfn._xlws.FILTER(U$2:U$1073,($C$2:$C$1073=$C935)*($E$2:$E$1073=$E935)*(ROW(U$2:U$1073)&lt;&gt;ROW(U935))*(U$2:U$1073&lt;&gt;""))),"")</f>
        <v>3.1778964000350518</v>
      </c>
      <c r="AD935" cm="1">
        <f t="array" ref="AD935">IFERROR(AVERAGE(_xlfn._xlws.FILTER(V$2:V$1073,($C$2:$C$1073=$C935)*($E$2:$E$1073=$E935)*(ROW(V$2:V$1073)&lt;&gt;ROW(V935))*(V$2:V$1073&lt;&gt;""))),"")</f>
        <v>0.56283525073188057</v>
      </c>
      <c r="AE935">
        <f>IF('Дивиденды по годам'!M935&lt;0,1,0)</f>
        <v>1</v>
      </c>
    </row>
    <row r="936" spans="1:31" x14ac:dyDescent="0.2">
      <c r="A936" s="7" t="s">
        <v>2294</v>
      </c>
      <c r="B936" t="str">
        <f t="shared" si="154"/>
        <v>AFLT IV кв. 2019</v>
      </c>
      <c r="C936">
        <v>2019</v>
      </c>
      <c r="D936">
        <f>SUMIFS(Дивиденды!$C:$C,Дивиденды!$A:$A,A936,Дивиденды!$I:$I,C936)</f>
        <v>0</v>
      </c>
      <c r="E936">
        <v>7</v>
      </c>
      <c r="F936">
        <f t="shared" si="155"/>
        <v>0</v>
      </c>
      <c r="G936">
        <f t="shared" si="156"/>
        <v>2.1675</v>
      </c>
      <c r="H936">
        <f t="shared" si="157"/>
        <v>0</v>
      </c>
      <c r="I936">
        <f t="shared" si="158"/>
        <v>0.5</v>
      </c>
      <c r="J936">
        <f t="shared" si="159"/>
        <v>-1</v>
      </c>
      <c r="K936">
        <f t="shared" si="164"/>
        <v>-0.16226903960946984</v>
      </c>
      <c r="L936">
        <f t="shared" si="160"/>
        <v>0</v>
      </c>
      <c r="M936">
        <f t="shared" si="161"/>
        <v>0.25</v>
      </c>
      <c r="N936">
        <f t="shared" si="162"/>
        <v>1</v>
      </c>
      <c r="O936">
        <f t="shared" si="163"/>
        <v>0.25</v>
      </c>
      <c r="P936">
        <f>IFERROR(LN('Дивиденды по годам'!I936),"")</f>
        <v>27.562011815735218</v>
      </c>
      <c r="Q936">
        <f>IFERROR('Дивиденды по годам'!G936/'Дивиденды по годам'!I936, "")</f>
        <v>2.8653685024825407E-2</v>
      </c>
      <c r="R936">
        <f>IFERROR(IF(AND('Дивиденды по годам'!N936&lt;&gt;"",'Дивиденды по годам'!U936&lt;&gt;"",'Дивиденды по годам'!U936&lt;&gt;0),'Дивиденды по годам'!N936/'Дивиденды по годам'!U936-1,""),"")</f>
        <v>0.10842748990303641</v>
      </c>
      <c r="S936">
        <f>IFERROR(IF(AND('Дивиденды по годам'!L936&lt;&gt;"",'Дивиденды по годам'!I936&lt;&gt;"",'Дивиденды по годам'!J936&lt;&gt;"",'Дивиденды по годам'!K936&lt;&gt;"",('Дивиденды по годам'!I936-'Дивиденды по годам'!J936-'Дивиденды по годам'!K936)&lt;&gt;0),'Дивиденды по годам'!L936/('Дивиденды по годам'!I936-'Дивиденды по годам'!J936-'Дивиденды по годам'!K936),""),"")</f>
        <v>-12.333846153846153</v>
      </c>
      <c r="T936">
        <f>IFERROR(IF(AND('Дивиденды по годам'!Q936&lt;&gt;"",'Дивиденды по годам'!I936&lt;&gt;"",'Дивиденды по годам'!V936&lt;&gt;"",('Дивиденды по годам'!I936+'Дивиденды по годам'!V936)&lt;&gt;0),'Дивиденды по годам'!Q936/(('Дивиденды по годам'!I936+'Дивиденды по годам'!V936)/2),""),"")</f>
        <v>2.1620168583552542E-2</v>
      </c>
      <c r="U936">
        <f>IFERROR(IF(AND('Дивиденды по годам'!J936&lt;&gt;"",'Дивиденды по годам'!K936&lt;&gt;"",'Дивиденды по годам'!M936&lt;&gt;"",'Дивиденды по годам'!M936&lt;&gt;0),('Дивиденды по годам'!J936+'Дивиденды по годам'!K936)/'Дивиденды по годам'!M936,""),"")</f>
        <v>477.62461538461537</v>
      </c>
      <c r="V936">
        <f>IFERROR(IF(AND('Дивиденды по годам'!J936&lt;&gt;"",'Дивиденды по годам'!K936&lt;&gt;"",'Дивиденды по годам'!M936&lt;&gt;"",'Дивиденды по годам'!I936&lt;&gt;0),('Дивиденды по годам'!J936+'Дивиденды по годам'!K936)/'Дивиденды по годам'!I936,""),"")</f>
        <v>0.99791067996117078</v>
      </c>
      <c r="W936">
        <f>IFERROR('Дивиденды по годам'!I936,"")</f>
        <v>933318000000</v>
      </c>
      <c r="X936" cm="1">
        <f t="array" ref="X936">IFERROR(AVERAGE(_xlfn._xlws.FILTER(P$2:P$1073,($C$2:$C$1073=$C936)*($E$2:$E$1073=$E936)*(ROW(P$2:P$1073)&lt;&gt;ROW(P936))*(P$2:P$1073&lt;&gt;""))),"")</f>
        <v>25.28018394322963</v>
      </c>
      <c r="Y936" cm="1">
        <f t="array" ref="Y936">IFERROR(AVERAGE(_xlfn._xlws.FILTER(Q$2:Q$1073,($C$2:$C$1073=$C936)*($E$2:$E$1073=$E936)*(ROW(Q$2:Q$1073)&lt;&gt;ROW(Q936))*(Q$2:Q$1073&lt;&gt;""))),"")</f>
        <v>0.5786773353399538</v>
      </c>
      <c r="Z936" cm="1">
        <f t="array" ref="Z936">IFERROR(AVERAGE(_xlfn._xlws.FILTER(R$2:R$1073,($C$2:$C$1073=$C936)*($E$2:$E$1073=$E936)*(ROW(R$2:R$1073)&lt;&gt;ROW(R936))*(R$2:R$1073&lt;&gt;""))),"")</f>
        <v>0.10567902146789565</v>
      </c>
      <c r="AA936" cm="1">
        <f t="array" ref="AA936">IFERROR(AVERAGE(_xlfn._xlws.FILTER(S$2:S$1073,($C$2:$C$1073=$C936)*($E$2:$E$1073=$E936)*(ROW(S$2:S$1073)&lt;&gt;ROW(S936))*(S$2:S$1073&lt;&gt;""))),"")</f>
        <v>0.69735536166979273</v>
      </c>
      <c r="AB936" cm="1">
        <f t="array" ref="AB936">IFERROR(AVERAGE(_xlfn._xlws.FILTER(T$2:T$1073,($C$2:$C$1073=$C936)*($E$2:$E$1073=$E936)*(ROW(T$2:T$1073)&lt;&gt;ROW(T936))*(T$2:T$1073&lt;&gt;""))),"")</f>
        <v>0.11405020182650429</v>
      </c>
      <c r="AC936" cm="1">
        <f t="array" ref="AC936">IFERROR(AVERAGE(_xlfn._xlws.FILTER(U$2:U$1073,($C$2:$C$1073=$C936)*($E$2:$E$1073=$E936)*(ROW(U$2:U$1073)&lt;&gt;ROW(U936))*(U$2:U$1073&lt;&gt;""))),"")</f>
        <v>3.2827194567759554</v>
      </c>
      <c r="AD936" cm="1">
        <f t="array" ref="AD936">IFERROR(AVERAGE(_xlfn._xlws.FILTER(V$2:V$1073,($C$2:$C$1073=$C936)*($E$2:$E$1073=$E936)*(ROW(V$2:V$1073)&lt;&gt;ROW(V936))*(V$2:V$1073&lt;&gt;""))),"")</f>
        <v>0.61097191966507358</v>
      </c>
      <c r="AE936">
        <f>IF('Дивиденды по годам'!M936&lt;0,1,0)</f>
        <v>0</v>
      </c>
    </row>
    <row r="937" spans="1:31" x14ac:dyDescent="0.2">
      <c r="A937" s="7" t="s">
        <v>2294</v>
      </c>
      <c r="B937" t="str">
        <f t="shared" si="154"/>
        <v>AFLT IV кв. 2018</v>
      </c>
      <c r="C937">
        <v>2018</v>
      </c>
      <c r="D937">
        <f>SUMIFS(Дивиденды!$C:$C,Дивиденды!$A:$A,A937,Дивиденды!$I:$I,C937)</f>
        <v>2.69</v>
      </c>
      <c r="E937">
        <v>7</v>
      </c>
      <c r="F937">
        <f t="shared" si="155"/>
        <v>2.69</v>
      </c>
      <c r="G937">
        <f t="shared" si="156"/>
        <v>6.4975000000000005</v>
      </c>
      <c r="H937">
        <f t="shared" si="157"/>
        <v>1</v>
      </c>
      <c r="I937">
        <f t="shared" si="158"/>
        <v>0.5</v>
      </c>
      <c r="J937">
        <f t="shared" si="159"/>
        <v>-0.79000780640124912</v>
      </c>
      <c r="K937">
        <f t="shared" si="164"/>
        <v>0.31089582284851536</v>
      </c>
      <c r="L937">
        <f t="shared" si="160"/>
        <v>0</v>
      </c>
      <c r="M937">
        <f t="shared" si="161"/>
        <v>0.5</v>
      </c>
      <c r="N937">
        <f t="shared" si="162"/>
        <v>1</v>
      </c>
      <c r="O937">
        <f t="shared" si="163"/>
        <v>0</v>
      </c>
      <c r="P937">
        <f>IFERROR(LN('Дивиденды по годам'!I937),"")</f>
        <v>26.480987103573568</v>
      </c>
      <c r="Q937">
        <f>IFERROR('Дивиденды по годам'!G937/'Дивиденды по годам'!I937, "")</f>
        <v>0.28729163113578798</v>
      </c>
      <c r="R937">
        <f>IFERROR(IF(AND('Дивиденды по годам'!N937&lt;&gt;"",'Дивиденды по годам'!U937&lt;&gt;"",'Дивиденды по годам'!U937&lt;&gt;0),'Дивиденды по годам'!N937/'Дивиденды по годам'!U937-1,""),"")</f>
        <v>0.14755298029399522</v>
      </c>
      <c r="S937">
        <f>IFERROR(IF(AND('Дивиденды по годам'!L937&lt;&gt;"",'Дивиденды по годам'!I937&lt;&gt;"",'Дивиденды по годам'!J937&lt;&gt;"",'Дивиденды по годам'!K937&lt;&gt;"",('Дивиденды по годам'!I937-'Дивиденды по годам'!J937-'Дивиденды по годам'!K937)&lt;&gt;0),'Дивиденды по годам'!L937/('Дивиденды по годам'!I937-'Дивиденды по годам'!J937-'Дивиденды по годам'!K937),""),"")</f>
        <v>1.6534245064519686</v>
      </c>
      <c r="T937">
        <f>IFERROR(IF(AND('Дивиденды по годам'!Q937&lt;&gt;"",'Дивиденды по годам'!I937&lt;&gt;"",'Дивиденды по годам'!V937&lt;&gt;"",('Дивиденды по годам'!I937+'Дивиденды по годам'!V937)&lt;&gt;0),'Дивиденды по годам'!Q937/(('Дивиденды по годам'!I937+'Дивиденды по годам'!V937)/2),""),"")</f>
        <v>1.7854352486733463E-2</v>
      </c>
      <c r="U937">
        <f>IFERROR(IF(AND('Дивиденды по годам'!J937&lt;&gt;"",'Дивиденды по годам'!K937&lt;&gt;"",'Дивиденды по годам'!M937&lt;&gt;"",'Дивиденды по годам'!M937&lt;&gt;0),('Дивиденды по годам'!J937+'Дивиденды по годам'!K937)/'Дивиденды по годам'!M937,""),"")</f>
        <v>5.9841402889599644</v>
      </c>
      <c r="V937">
        <f>IFERROR(IF(AND('Дивиденды по годам'!J937&lt;&gt;"",'Дивиденды по годам'!K937&lt;&gt;"",'Дивиденды по годам'!M937&lt;&gt;"",'Дивиденды по годам'!I937&lt;&gt;0),('Дивиденды по годам'!J937+'Дивиденды по годам'!K937)/'Дивиденды по годам'!I937,""),"")</f>
        <v>0.856818454580483</v>
      </c>
      <c r="W937">
        <f>IFERROR('Дивиденды по годам'!I937,"")</f>
        <v>316626000000</v>
      </c>
      <c r="X937" cm="1">
        <f t="array" ref="X937">IFERROR(AVERAGE(_xlfn._xlws.FILTER(P$2:P$1073,($C$2:$C$1073=$C937)*($E$2:$E$1073=$E937)*(ROW(P$2:P$1073)&lt;&gt;ROW(P937))*(P$2:P$1073&lt;&gt;""))),"")</f>
        <v>25.109305139047919</v>
      </c>
      <c r="Y937" cm="1">
        <f t="array" ref="Y937">IFERROR(AVERAGE(_xlfn._xlws.FILTER(Q$2:Q$1073,($C$2:$C$1073=$C937)*($E$2:$E$1073=$E937)*(ROW(Q$2:Q$1073)&lt;&gt;ROW(Q937))*(Q$2:Q$1073&lt;&gt;""))),"")</f>
        <v>0.65255934510504454</v>
      </c>
      <c r="Z937" cm="1">
        <f t="array" ref="Z937">IFERROR(AVERAGE(_xlfn._xlws.FILTER(R$2:R$1073,($C$2:$C$1073=$C937)*($E$2:$E$1073=$E937)*(ROW(R$2:R$1073)&lt;&gt;ROW(R937))*(R$2:R$1073&lt;&gt;""))),"")</f>
        <v>0.43156590300987979</v>
      </c>
      <c r="AA937" cm="1">
        <f t="array" ref="AA937">IFERROR(AVERAGE(_xlfn._xlws.FILTER(S$2:S$1073,($C$2:$C$1073=$C937)*($E$2:$E$1073=$E937)*(ROW(S$2:S$1073)&lt;&gt;ROW(S937))*(S$2:S$1073&lt;&gt;""))),"")</f>
        <v>1.0566342708750514</v>
      </c>
      <c r="AB937" cm="1">
        <f t="array" ref="AB937">IFERROR(AVERAGE(_xlfn._xlws.FILTER(T$2:T$1073,($C$2:$C$1073=$C937)*($E$2:$E$1073=$E937)*(ROW(T$2:T$1073)&lt;&gt;ROW(T937))*(T$2:T$1073&lt;&gt;""))),"")</f>
        <v>0.14082304320216715</v>
      </c>
      <c r="AC937" cm="1">
        <f t="array" ref="AC937">IFERROR(AVERAGE(_xlfn._xlws.FILTER(U$2:U$1073,($C$2:$C$1073=$C937)*($E$2:$E$1073=$E937)*(ROW(U$2:U$1073)&lt;&gt;ROW(U937))*(U$2:U$1073&lt;&gt;""))),"")</f>
        <v>5.4840805891896354</v>
      </c>
      <c r="AD937" cm="1">
        <f t="array" ref="AD937">IFERROR(AVERAGE(_xlfn._xlws.FILTER(V$2:V$1073,($C$2:$C$1073=$C937)*($E$2:$E$1073=$E937)*(ROW(V$2:V$1073)&lt;&gt;ROW(V937))*(V$2:V$1073&lt;&gt;""))),"")</f>
        <v>0.64832071961192783</v>
      </c>
      <c r="AE937">
        <f>IF('Дивиденды по годам'!M937&lt;0,1,0)</f>
        <v>0</v>
      </c>
    </row>
    <row r="938" spans="1:31" x14ac:dyDescent="0.2">
      <c r="A938" s="7" t="s">
        <v>2294</v>
      </c>
      <c r="B938" t="str">
        <f t="shared" si="154"/>
        <v>AFLT IV кв. 2017</v>
      </c>
      <c r="C938">
        <v>2017</v>
      </c>
      <c r="D938">
        <f>SUMIFS(Дивиденды!$C:$C,Дивиденды!$A:$A,A938,Дивиденды!$I:$I,C938)</f>
        <v>12.81</v>
      </c>
      <c r="E938">
        <v>7</v>
      </c>
      <c r="F938">
        <f t="shared" si="155"/>
        <v>12.81</v>
      </c>
      <c r="G938">
        <f t="shared" si="156"/>
        <v>4.9675000000000002</v>
      </c>
      <c r="H938">
        <f t="shared" si="157"/>
        <v>1</v>
      </c>
      <c r="I938">
        <f t="shared" si="158"/>
        <v>0.25</v>
      </c>
      <c r="J938">
        <f t="shared" si="159"/>
        <v>-0.26716247139588101</v>
      </c>
      <c r="K938">
        <f t="shared" si="164"/>
        <v>-7.9737732656514376E-2</v>
      </c>
      <c r="L938">
        <f t="shared" si="160"/>
        <v>0</v>
      </c>
      <c r="M938">
        <f t="shared" si="161"/>
        <v>0.25</v>
      </c>
      <c r="N938">
        <f t="shared" si="162"/>
        <v>1</v>
      </c>
      <c r="O938">
        <f t="shared" si="163"/>
        <v>0.25</v>
      </c>
      <c r="P938">
        <f>IFERROR(LN('Дивиденды по годам'!I938),"")</f>
        <v>26.501939310444239</v>
      </c>
      <c r="Q938">
        <f>IFERROR('Дивиденды по годам'!G938/'Дивиденды по годам'!I938, "")</f>
        <v>0.30288559675872945</v>
      </c>
      <c r="R938">
        <f>IFERROR(IF(AND('Дивиденды по годам'!N938&lt;&gt;"",'Дивиденды по годам'!U938&lt;&gt;"",'Дивиденды по годам'!U938&lt;&gt;0),'Дивиденды по годам'!N938/'Дивиденды по годам'!U938-1,""),"")</f>
        <v>7.4723723481487481E-2</v>
      </c>
      <c r="S938">
        <f>IFERROR(IF(AND('Дивиденды по годам'!L938&lt;&gt;"",'Дивиденды по годам'!I938&lt;&gt;"",'Дивиденды по годам'!J938&lt;&gt;"",'Дивиденды по годам'!K938&lt;&gt;"",('Дивиденды по годам'!I938-'Дивиденды по годам'!J938-'Дивиденды по годам'!K938)&lt;&gt;0),'Дивиденды по годам'!L938/('Дивиденды по годам'!I938-'Дивиденды по годам'!J938-'Дивиденды по годам'!K938),""),"")</f>
        <v>1.2106569191221266</v>
      </c>
      <c r="T938">
        <f>IFERROR(IF(AND('Дивиденды по годам'!Q938&lt;&gt;"",'Дивиденды по годам'!I938&lt;&gt;"",'Дивиденды по годам'!V938&lt;&gt;"",('Дивиденды по годам'!I938+'Дивиденды по годам'!V938)&lt;&gt;0),'Дивиденды по годам'!Q938/(('Дивиденды по годам'!I938+'Дивиденды по годам'!V938)/2),""),"")</f>
        <v>7.4072051612737444E-2</v>
      </c>
      <c r="U938">
        <f>IFERROR(IF(AND('Дивиденды по годам'!J938&lt;&gt;"",'Дивиденды по годам'!K938&lt;&gt;"",'Дивиденды по годам'!M938&lt;&gt;"",'Дивиденды по годам'!M938&lt;&gt;0),('Дивиденды по годам'!J938+'Дивиденды по годам'!K938)/'Дивиденды по годам'!M938,""),"")</f>
        <v>3.8043804514182975</v>
      </c>
      <c r="V938">
        <f>IFERROR(IF(AND('Дивиденды по годам'!J938&lt;&gt;"",'Дивиденды по годам'!K938&lt;&gt;"",'Дивиденды по годам'!M938&lt;&gt;"",'Дивиденды по годам'!I938&lt;&gt;0),('Дивиденды по годам'!J938+'Дивиденды по годам'!K938)/'Дивиденды по годам'!I938,""),"")</f>
        <v>0.79185661707852661</v>
      </c>
      <c r="W938">
        <f>IFERROR('Дивиденды по годам'!I938,"")</f>
        <v>323330000000</v>
      </c>
      <c r="X938" cm="1">
        <f t="array" ref="X938">IFERROR(AVERAGE(_xlfn._xlws.FILTER(P$2:P$1073,($C$2:$C$1073=$C938)*($E$2:$E$1073=$E938)*(ROW(P$2:P$1073)&lt;&gt;ROW(P938))*(P$2:P$1073&lt;&gt;""))),"")</f>
        <v>25.031809299209989</v>
      </c>
      <c r="Y938" cm="1">
        <f t="array" ref="Y938">IFERROR(AVERAGE(_xlfn._xlws.FILTER(Q$2:Q$1073,($C$2:$C$1073=$C938)*($E$2:$E$1073=$E938)*(ROW(Q$2:Q$1073)&lt;&gt;ROW(Q938))*(Q$2:Q$1073&lt;&gt;""))),"")</f>
        <v>0.57372213764268931</v>
      </c>
      <c r="Z938" cm="1">
        <f t="array" ref="Z938">IFERROR(AVERAGE(_xlfn._xlws.FILTER(R$2:R$1073,($C$2:$C$1073=$C938)*($E$2:$E$1073=$E938)*(ROW(R$2:R$1073)&lt;&gt;ROW(R938))*(R$2:R$1073&lt;&gt;""))),"")</f>
        <v>8.2180777399805421E-2</v>
      </c>
      <c r="AA938" cm="1">
        <f t="array" ref="AA938">IFERROR(AVERAGE(_xlfn._xlws.FILTER(S$2:S$1073,($C$2:$C$1073=$C938)*($E$2:$E$1073=$E938)*(ROW(S$2:S$1073)&lt;&gt;ROW(S938))*(S$2:S$1073&lt;&gt;""))),"")</f>
        <v>0.24925231491376798</v>
      </c>
      <c r="AB938" cm="1">
        <f t="array" ref="AB938">IFERROR(AVERAGE(_xlfn._xlws.FILTER(T$2:T$1073,($C$2:$C$1073=$C938)*($E$2:$E$1073=$E938)*(ROW(T$2:T$1073)&lt;&gt;ROW(T938))*(T$2:T$1073&lt;&gt;""))),"")</f>
        <v>0.18816038803098517</v>
      </c>
      <c r="AC938" cm="1">
        <f t="array" ref="AC938">IFERROR(AVERAGE(_xlfn._xlws.FILTER(U$2:U$1073,($C$2:$C$1073=$C938)*($E$2:$E$1073=$E938)*(ROW(U$2:U$1073)&lt;&gt;ROW(U938))*(U$2:U$1073&lt;&gt;""))),"")</f>
        <v>5.6713513233517485</v>
      </c>
      <c r="AD938" cm="1">
        <f t="array" ref="AD938">IFERROR(AVERAGE(_xlfn._xlws.FILTER(V$2:V$1073,($C$2:$C$1073=$C938)*($E$2:$E$1073=$E938)*(ROW(V$2:V$1073)&lt;&gt;ROW(V938))*(V$2:V$1073&lt;&gt;""))),"")</f>
        <v>0.65306560910581324</v>
      </c>
      <c r="AE938">
        <f>IF('Дивиденды по годам'!M938&lt;0,1,0)</f>
        <v>0</v>
      </c>
    </row>
    <row r="939" spans="1:31" x14ac:dyDescent="0.2">
      <c r="A939" s="7" t="s">
        <v>2294</v>
      </c>
      <c r="B939" t="str">
        <f t="shared" si="154"/>
        <v>AFLT IV кв. 2016</v>
      </c>
      <c r="C939">
        <v>2016</v>
      </c>
      <c r="D939">
        <f>SUMIFS(Дивиденды!$C:$C,Дивиденды!$A:$A,A939,Дивиденды!$I:$I,C939)</f>
        <v>17.48</v>
      </c>
      <c r="E939">
        <v>7</v>
      </c>
      <c r="F939">
        <f t="shared" si="155"/>
        <v>17.48</v>
      </c>
      <c r="G939">
        <f t="shared" si="156"/>
        <v>3.280475</v>
      </c>
      <c r="H939">
        <f t="shared" si="157"/>
        <v>1</v>
      </c>
      <c r="I939">
        <f t="shared" si="158"/>
        <v>0.5</v>
      </c>
      <c r="J939">
        <f t="shared" si="159"/>
        <v>1</v>
      </c>
      <c r="K939">
        <f t="shared" si="164"/>
        <v>0.16982758620689659</v>
      </c>
      <c r="L939">
        <f t="shared" si="160"/>
        <v>1</v>
      </c>
      <c r="M939">
        <f t="shared" si="161"/>
        <v>0.25</v>
      </c>
      <c r="N939">
        <f t="shared" si="162"/>
        <v>0</v>
      </c>
      <c r="O939">
        <f t="shared" si="163"/>
        <v>0.25</v>
      </c>
      <c r="P939">
        <f>IFERROR(LN('Дивиденды по годам'!I939),"")</f>
        <v>26.424735639436683</v>
      </c>
      <c r="Q939">
        <f>IFERROR('Дивиденды по годам'!G939/'Дивиденды по годам'!I939, "")</f>
        <v>0.35046624368958962</v>
      </c>
      <c r="R939">
        <f>IFERROR(IF(AND('Дивиденды по годам'!N939&lt;&gt;"",'Дивиденды по годам'!U939&lt;&gt;"",'Дивиденды по годам'!U939&lt;&gt;0),'Дивиденды по годам'!N939/'Дивиденды по годам'!U939-1,""),"")</f>
        <v>0.194393662400975</v>
      </c>
      <c r="S939">
        <f>IFERROR(IF(AND('Дивиденды по годам'!L939&lt;&gt;"",'Дивиденды по годам'!I939&lt;&gt;"",'Дивиденды по годам'!J939&lt;&gt;"",'Дивиденды по годам'!K939&lt;&gt;"",('Дивиденды по годам'!I939-'Дивиденды по годам'!J939-'Дивиденды по годам'!K939)&lt;&gt;0),'Дивиденды по годам'!L939/('Дивиденды по годам'!I939-'Дивиденды по годам'!J939-'Дивиденды по годам'!K939),""),"")</f>
        <v>1.8935465672447203</v>
      </c>
      <c r="T939">
        <f>IFERROR(IF(AND('Дивиденды по годам'!Q939&lt;&gt;"",'Дивиденды по годам'!I939&lt;&gt;"",'Дивиденды по годам'!V939&lt;&gt;"",('Дивиденды по годам'!I939+'Дивиденды по годам'!V939)&lt;&gt;0),'Дивиденды по годам'!Q939/(('Дивиденды по годам'!I939+'Дивиденды по годам'!V939)/2),""),"")</f>
        <v>0.12636594570228527</v>
      </c>
      <c r="U939">
        <f>IFERROR(IF(AND('Дивиденды по годам'!J939&lt;&gt;"",'Дивиденды по годам'!K939&lt;&gt;"",'Дивиденды по годам'!M939&lt;&gt;"",'Дивиденды по годам'!M939&lt;&gt;0),('Дивиденды по годам'!J939+'Дивиденды по годам'!K939)/'Дивиденды по годам'!M939,""),"")</f>
        <v>6.3415340086830678</v>
      </c>
      <c r="V939">
        <f>IFERROR(IF(AND('Дивиденды по годам'!J939&lt;&gt;"",'Дивиденды по годам'!K939&lt;&gt;"",'Дивиденды по годам'!M939&lt;&gt;"",'Дивиденды по годам'!I939&lt;&gt;0),('Дивиденды по годам'!J939+'Дивиденды по годам'!K939)/'Дивиденды по годам'!I939,""),"")</f>
        <v>0.86378868519613639</v>
      </c>
      <c r="W939">
        <f>IFERROR('Дивиденды по годам'!I939,"")</f>
        <v>299307000000</v>
      </c>
      <c r="X939" cm="1">
        <f t="array" ref="X939">IFERROR(AVERAGE(_xlfn._xlws.FILTER(P$2:P$1073,($C$2:$C$1073=$C939)*($E$2:$E$1073=$E939)*(ROW(P$2:P$1073)&lt;&gt;ROW(P939))*(P$2:P$1073&lt;&gt;""))),"")</f>
        <v>24.894868891244698</v>
      </c>
      <c r="Y939" cm="1">
        <f t="array" ref="Y939">IFERROR(AVERAGE(_xlfn._xlws.FILTER(Q$2:Q$1073,($C$2:$C$1073=$C939)*($E$2:$E$1073=$E939)*(ROW(Q$2:Q$1073)&lt;&gt;ROW(Q939))*(Q$2:Q$1073&lt;&gt;""))),"")</f>
        <v>0.61263399984377909</v>
      </c>
      <c r="Z939" cm="1">
        <f t="array" ref="Z939">IFERROR(AVERAGE(_xlfn._xlws.FILTER(R$2:R$1073,($C$2:$C$1073=$C939)*($E$2:$E$1073=$E939)*(ROW(R$2:R$1073)&lt;&gt;ROW(R939))*(R$2:R$1073&lt;&gt;""))),"")</f>
        <v>5.1988082910060629E-2</v>
      </c>
      <c r="AA939" cm="1">
        <f t="array" ref="AA939">IFERROR(AVERAGE(_xlfn._xlws.FILTER(S$2:S$1073,($C$2:$C$1073=$C939)*($E$2:$E$1073=$E939)*(ROW(S$2:S$1073)&lt;&gt;ROW(S939))*(S$2:S$1073&lt;&gt;""))),"")</f>
        <v>1.1589952996045156</v>
      </c>
      <c r="AB939" cm="1">
        <f t="array" ref="AB939">IFERROR(AVERAGE(_xlfn._xlws.FILTER(T$2:T$1073,($C$2:$C$1073=$C939)*($E$2:$E$1073=$E939)*(ROW(T$2:T$1073)&lt;&gt;ROW(T939))*(T$2:T$1073&lt;&gt;""))),"")</f>
        <v>2.602927814854173E-2</v>
      </c>
      <c r="AC939" cm="1">
        <f t="array" ref="AC939">IFERROR(AVERAGE(_xlfn._xlws.FILTER(U$2:U$1073,($C$2:$C$1073=$C939)*($E$2:$E$1073=$E939)*(ROW(U$2:U$1073)&lt;&gt;ROW(U939))*(U$2:U$1073&lt;&gt;""))),"")</f>
        <v>-0.29108212459465799</v>
      </c>
      <c r="AD939" cm="1">
        <f t="array" ref="AD939">IFERROR(AVERAGE(_xlfn._xlws.FILTER(V$2:V$1073,($C$2:$C$1073=$C939)*($E$2:$E$1073=$E939)*(ROW(V$2:V$1073)&lt;&gt;ROW(V939))*(V$2:V$1073&lt;&gt;""))),"")</f>
        <v>0.70757233210694637</v>
      </c>
      <c r="AE939">
        <f>IF('Дивиденды по годам'!M939&lt;0,1,0)</f>
        <v>0</v>
      </c>
    </row>
    <row r="940" spans="1:31" x14ac:dyDescent="0.2">
      <c r="A940" s="7" t="s">
        <v>2294</v>
      </c>
      <c r="B940" t="str">
        <f t="shared" si="154"/>
        <v>AFLT IV кв. 2015</v>
      </c>
      <c r="C940">
        <v>2015</v>
      </c>
      <c r="D940">
        <f>SUMIFS(Дивиденды!$C:$C,Дивиденды!$A:$A,A940,Дивиденды!$I:$I,C940)</f>
        <v>0</v>
      </c>
      <c r="E940">
        <v>7</v>
      </c>
      <c r="F940">
        <f t="shared" si="155"/>
        <v>0</v>
      </c>
      <c r="G940">
        <f t="shared" si="156"/>
        <v>4.3499999999999996</v>
      </c>
      <c r="H940">
        <f t="shared" si="157"/>
        <v>0</v>
      </c>
      <c r="I940">
        <f t="shared" si="158"/>
        <v>0.25</v>
      </c>
      <c r="J940">
        <f t="shared" si="159"/>
        <v>0</v>
      </c>
      <c r="K940">
        <f t="shared" si="164"/>
        <v>0</v>
      </c>
      <c r="L940">
        <f t="shared" si="160"/>
        <v>0</v>
      </c>
      <c r="M940">
        <f t="shared" si="161"/>
        <v>0.25</v>
      </c>
      <c r="N940">
        <f t="shared" si="162"/>
        <v>0</v>
      </c>
      <c r="O940">
        <f t="shared" si="163"/>
        <v>0.25</v>
      </c>
      <c r="P940">
        <f>IFERROR(LN('Дивиденды по годам'!I940),"")</f>
        <v>26.476454159215962</v>
      </c>
      <c r="Q940">
        <f>IFERROR('Дивиденды по годам'!G940/'Дивиденды по годам'!I940, "")</f>
        <v>0.33152280817528251</v>
      </c>
      <c r="R940">
        <f>IFERROR(IF(AND('Дивиденды по годам'!N940&lt;&gt;"",'Дивиденды по годам'!U940&lt;&gt;"",'Дивиденды по годам'!U940&lt;&gt;0),'Дивиденды по годам'!N940/'Дивиденды по годам'!U940-1,""),"")</f>
        <v>0.29834475296383967</v>
      </c>
      <c r="S940" t="str">
        <f>IFERROR(IF(AND('Дивиденды по годам'!L940&lt;&gt;"",'Дивиденды по годам'!I940&lt;&gt;"",'Дивиденды по годам'!J940&lt;&gt;"",'Дивиденды по годам'!K940&lt;&gt;"",('Дивиденды по годам'!I940-'Дивиденды по годам'!J940-'Дивиденды по годам'!K940)&lt;&gt;0),'Дивиденды по годам'!L940/('Дивиденды по годам'!I940-'Дивиденды по годам'!J940-'Дивиденды по годам'!K940),""),"")</f>
        <v/>
      </c>
      <c r="T940">
        <f>IFERROR(IF(AND('Дивиденды по годам'!Q940&lt;&gt;"",'Дивиденды по годам'!I940&lt;&gt;"",'Дивиденды по годам'!V940&lt;&gt;"",('Дивиденды по годам'!I940+'Дивиденды по годам'!V940)&lt;&gt;0),'Дивиденды по годам'!Q940/(('Дивиденды по годам'!I940+'Дивиденды по годам'!V940)/2),""),"")</f>
        <v>-2.1905442966241195E-2</v>
      </c>
      <c r="U940">
        <f>IFERROR(IF(AND('Дивиденды по годам'!J940&lt;&gt;"",'Дивиденды по годам'!K940&lt;&gt;"",'Дивиденды по годам'!M940&lt;&gt;"",'Дивиденды по годам'!M940&lt;&gt;0),('Дивиденды по годам'!J940+'Дивиденды по годам'!K940)/'Дивиденды по годам'!M940,""),"")</f>
        <v>-9.7263012181616837</v>
      </c>
      <c r="V940">
        <f>IFERROR(IF(AND('Дивиденды по годам'!J940&lt;&gt;"",'Дивиденды по годам'!K940&lt;&gt;"",'Дивиденды по годам'!M940&lt;&gt;"",'Дивиденды по годам'!I940&lt;&gt;0),('Дивиденды по годам'!J940+'Дивиденды по годам'!K940)/'Дивиденды по годам'!I940,""),"")</f>
        <v>1.1145960900270944</v>
      </c>
      <c r="W940">
        <f>IFERROR('Дивиденды по годам'!I940,"")</f>
        <v>315194000000</v>
      </c>
      <c r="X940" cm="1">
        <f t="array" ref="X940">IFERROR(AVERAGE(_xlfn._xlws.FILTER(P$2:P$1073,($C$2:$C$1073=$C940)*($E$2:$E$1073=$E940)*(ROW(P$2:P$1073)&lt;&gt;ROW(P940))*(P$2:P$1073&lt;&gt;""))),"")</f>
        <v>25.680942560505819</v>
      </c>
      <c r="Y940" cm="1">
        <f t="array" ref="Y940">IFERROR(AVERAGE(_xlfn._xlws.FILTER(Q$2:Q$1073,($C$2:$C$1073=$C940)*($E$2:$E$1073=$E940)*(ROW(Q$2:Q$1073)&lt;&gt;ROW(Q940))*(Q$2:Q$1073&lt;&gt;""))),"")</f>
        <v>0.63806405586580084</v>
      </c>
      <c r="Z940" cm="1">
        <f t="array" ref="Z940">IFERROR(AVERAGE(_xlfn._xlws.FILTER(R$2:R$1073,($C$2:$C$1073=$C940)*($E$2:$E$1073=$E940)*(ROW(R$2:R$1073)&lt;&gt;ROW(R940))*(R$2:R$1073&lt;&gt;""))),"")</f>
        <v>0.19865623990213482</v>
      </c>
      <c r="AA940" cm="1">
        <f t="array" ref="AA940">IFERROR(AVERAGE(_xlfn._xlws.FILTER(S$2:S$1073,($C$2:$C$1073=$C940)*($E$2:$E$1073=$E940)*(ROW(S$2:S$1073)&lt;&gt;ROW(S940))*(S$2:S$1073&lt;&gt;""))),"")</f>
        <v>0.87227414330218056</v>
      </c>
      <c r="AB940" cm="1">
        <f t="array" ref="AB940">IFERROR(AVERAGE(_xlfn._xlws.FILTER(T$2:T$1073,($C$2:$C$1073=$C940)*($E$2:$E$1073=$E940)*(ROW(T$2:T$1073)&lt;&gt;ROW(T940))*(T$2:T$1073&lt;&gt;""))),"")</f>
        <v>-5.0678334693037085E-2</v>
      </c>
      <c r="AC940" cm="1">
        <f t="array" ref="AC940">IFERROR(AVERAGE(_xlfn._xlws.FILTER(U$2:U$1073,($C$2:$C$1073=$C940)*($E$2:$E$1073=$E940)*(ROW(U$2:U$1073)&lt;&gt;ROW(U940))*(U$2:U$1073&lt;&gt;""))),"")</f>
        <v>-1.2913043684991721</v>
      </c>
      <c r="AD940" cm="1">
        <f t="array" ref="AD940">IFERROR(AVERAGE(_xlfn._xlws.FILTER(V$2:V$1073,($C$2:$C$1073=$C940)*($E$2:$E$1073=$E940)*(ROW(V$2:V$1073)&lt;&gt;ROW(V940))*(V$2:V$1073&lt;&gt;""))),"")</f>
        <v>0.93966282980652527</v>
      </c>
      <c r="AE940">
        <f>IF('Дивиденды по годам'!M940&lt;0,1,0)</f>
        <v>1</v>
      </c>
    </row>
    <row r="941" spans="1:31" x14ac:dyDescent="0.2">
      <c r="A941" s="7" t="s">
        <v>2294</v>
      </c>
      <c r="B941" t="str">
        <f t="shared" si="154"/>
        <v>AFLT IV кв. 2014</v>
      </c>
      <c r="C941">
        <v>2014</v>
      </c>
      <c r="D941">
        <f>SUMIFS(Дивиденды!$C:$C,Дивиденды!$A:$A,A941,Дивиденды!$I:$I,C941)</f>
        <v>0</v>
      </c>
      <c r="E941">
        <v>7</v>
      </c>
      <c r="F941">
        <f t="shared" si="155"/>
        <v>0</v>
      </c>
      <c r="G941">
        <f t="shared" si="156"/>
        <v>5.7500000000000002E-2</v>
      </c>
      <c r="H941">
        <f t="shared" si="157"/>
        <v>0</v>
      </c>
      <c r="I941">
        <f t="shared" si="158"/>
        <v>0.25</v>
      </c>
      <c r="J941">
        <f t="shared" si="159"/>
        <v>-1</v>
      </c>
      <c r="K941">
        <f t="shared" si="164"/>
        <v>2.2072649572649574</v>
      </c>
      <c r="L941">
        <f t="shared" si="160"/>
        <v>0</v>
      </c>
      <c r="M941">
        <f t="shared" si="161"/>
        <v>0.25</v>
      </c>
      <c r="N941">
        <f t="shared" si="162"/>
        <v>1</v>
      </c>
      <c r="O941">
        <f t="shared" si="163"/>
        <v>0</v>
      </c>
      <c r="P941">
        <f>IFERROR(LN('Дивиденды по годам'!I941),"")</f>
        <v>26.349872047307642</v>
      </c>
      <c r="Q941">
        <f>IFERROR('Дивиденды по годам'!G941/'Дивиденды по годам'!I941, "")</f>
        <v>0.41784832095867031</v>
      </c>
      <c r="R941">
        <f>IFERROR(IF(AND('Дивиденды по годам'!N941&lt;&gt;"",'Дивиденды по годам'!U941&lt;&gt;"",'Дивиденды по годам'!U941&lt;&gt;0),'Дивиденды по годам'!N941/'Дивиденды по годам'!U941-1,""),"")</f>
        <v>9.903634847629772E-2</v>
      </c>
      <c r="S941" t="str">
        <f>IFERROR(IF(AND('Дивиденды по годам'!L941&lt;&gt;"",'Дивиденды по годам'!I941&lt;&gt;"",'Дивиденды по годам'!J941&lt;&gt;"",'Дивиденды по годам'!K941&lt;&gt;"",('Дивиденды по годам'!I941-'Дивиденды по годам'!J941-'Дивиденды по годам'!K941)&lt;&gt;0),'Дивиденды по годам'!L941/('Дивиденды по годам'!I941-'Дивиденды по годам'!J941-'Дивиденды по годам'!K941),""),"")</f>
        <v/>
      </c>
      <c r="T941">
        <f>IFERROR(IF(AND('Дивиденды по годам'!Q941&lt;&gt;"",'Дивиденды по годам'!I941&lt;&gt;"",'Дивиденды по годам'!V941&lt;&gt;"",('Дивиденды по годам'!I941+'Дивиденды по годам'!V941)&lt;&gt;0),'Дивиденды по годам'!Q941/(('Дивиденды по годам'!I941+'Дивиденды по годам'!V941)/2),""),"")</f>
        <v>-7.0428971421142531E-2</v>
      </c>
      <c r="U941">
        <f>IFERROR(IF(AND('Дивиденды по годам'!J941&lt;&gt;"",'Дивиденды по годам'!K941&lt;&gt;"",'Дивиденды по годам'!M941&lt;&gt;"",'Дивиденды по годам'!M941&lt;&gt;0),('Дивиденды по годам'!J941+'Дивиденды по годам'!K941)/'Дивиденды по годам'!M941,""),"")</f>
        <v>-21.564087375046281</v>
      </c>
      <c r="V941">
        <f>IFERROR(IF(AND('Дивиденды по годам'!J941&lt;&gt;"",'Дивиденды по годам'!K941&lt;&gt;"",'Дивиденды по годам'!M941&lt;&gt;"",'Дивиденды по годам'!I941&lt;&gt;0),('Дивиденды по годам'!J941+'Дивиденды по годам'!K941)/'Дивиденды по годам'!I941,""),"")</f>
        <v>1.0486284648456348</v>
      </c>
      <c r="W941">
        <f>IFERROR('Дивиденды по годам'!I941,"")</f>
        <v>277718000000</v>
      </c>
      <c r="X941" cm="1">
        <f t="array" ref="X941">IFERROR(AVERAGE(_xlfn._xlws.FILTER(P$2:P$1073,($C$2:$C$1073=$C941)*($E$2:$E$1073=$E941)*(ROW(P$2:P$1073)&lt;&gt;ROW(P941))*(P$2:P$1073&lt;&gt;""))),"")</f>
        <v>25.490104156129405</v>
      </c>
      <c r="Y941" cm="1">
        <f t="array" ref="Y941">IFERROR(AVERAGE(_xlfn._xlws.FILTER(Q$2:Q$1073,($C$2:$C$1073=$C941)*($E$2:$E$1073=$E941)*(ROW(Q$2:Q$1073)&lt;&gt;ROW(Q941))*(Q$2:Q$1073&lt;&gt;""))),"")</f>
        <v>0.51125375575519427</v>
      </c>
      <c r="Z941" cm="1">
        <f t="array" ref="Z941">IFERROR(AVERAGE(_xlfn._xlws.FILTER(R$2:R$1073,($C$2:$C$1073=$C941)*($E$2:$E$1073=$E941)*(ROW(R$2:R$1073)&lt;&gt;ROW(R941))*(R$2:R$1073&lt;&gt;""))),"")</f>
        <v>0.25589445786832382</v>
      </c>
      <c r="AA941" cm="1">
        <f t="array" ref="AA941">IFERROR(AVERAGE(_xlfn._xlws.FILTER(S$2:S$1073,($C$2:$C$1073=$C941)*($E$2:$E$1073=$E941)*(ROW(S$2:S$1073)&lt;&gt;ROW(S941))*(S$2:S$1073&lt;&gt;""))),"")</f>
        <v>164.14893617021278</v>
      </c>
      <c r="AB941" cm="1">
        <f t="array" ref="AB941">IFERROR(AVERAGE(_xlfn._xlws.FILTER(T$2:T$1073,($C$2:$C$1073=$C941)*($E$2:$E$1073=$E941)*(ROW(T$2:T$1073)&lt;&gt;ROW(T941))*(T$2:T$1073&lt;&gt;""))),"")</f>
        <v>-7.5657036312222828E-2</v>
      </c>
      <c r="AC941" cm="1">
        <f t="array" ref="AC941">IFERROR(AVERAGE(_xlfn._xlws.FILTER(U$2:U$1073,($C$2:$C$1073=$C941)*($E$2:$E$1073=$E941)*(ROW(U$2:U$1073)&lt;&gt;ROW(U941))*(U$2:U$1073&lt;&gt;""))),"")</f>
        <v>-510.84340931702042</v>
      </c>
      <c r="AD941" cm="1">
        <f t="array" ref="AD941">IFERROR(AVERAGE(_xlfn._xlws.FILTER(V$2:V$1073,($C$2:$C$1073=$C941)*($E$2:$E$1073=$E941)*(ROW(V$2:V$1073)&lt;&gt;ROW(V941))*(V$2:V$1073&lt;&gt;""))),"")</f>
        <v>0.79455200666486381</v>
      </c>
      <c r="AE941">
        <f>IF('Дивиденды по годам'!M941&lt;0,1,0)</f>
        <v>1</v>
      </c>
    </row>
    <row r="942" spans="1:31" x14ac:dyDescent="0.2">
      <c r="A942" s="7" t="s">
        <v>2294</v>
      </c>
      <c r="B942" t="str">
        <f t="shared" si="154"/>
        <v>AFLT IV кв. 2013</v>
      </c>
      <c r="C942">
        <v>2013</v>
      </c>
      <c r="D942">
        <f>SUMIFS(Дивиденды!$C:$C,Дивиденды!$A:$A,A942,Дивиденды!$I:$I,C942)</f>
        <v>2.5</v>
      </c>
      <c r="E942">
        <v>7</v>
      </c>
      <c r="F942">
        <f t="shared" si="155"/>
        <v>2.5</v>
      </c>
      <c r="G942">
        <f t="shared" si="156"/>
        <v>5.8500000000000002E-3</v>
      </c>
      <c r="H942">
        <f t="shared" si="157"/>
        <v>1</v>
      </c>
      <c r="I942">
        <f t="shared" si="158"/>
        <v>0.25</v>
      </c>
      <c r="J942">
        <f t="shared" si="159"/>
        <v>1.1551724137931036</v>
      </c>
      <c r="K942">
        <f t="shared" si="164"/>
        <v>-2.1186440677965976E-3</v>
      </c>
      <c r="L942">
        <f t="shared" si="160"/>
        <v>1</v>
      </c>
      <c r="M942">
        <f t="shared" si="161"/>
        <v>0</v>
      </c>
      <c r="N942">
        <f t="shared" si="162"/>
        <v>0</v>
      </c>
      <c r="O942">
        <f t="shared" si="163"/>
        <v>0.25</v>
      </c>
      <c r="P942">
        <f>IFERROR(LN('Дивиденды по годам'!I942),"")</f>
        <v>26.066479606328581</v>
      </c>
      <c r="Q942">
        <f>IFERROR('Дивиденды по годам'!G942/'Дивиденды по годам'!I942, "")</f>
        <v>0.42439786235938809</v>
      </c>
      <c r="R942">
        <f>IFERROR(IF(AND('Дивиденды по годам'!N942&lt;&gt;"",'Дивиденды по годам'!U942&lt;&gt;"",'Дивиденды по годам'!U942&lt;&gt;0),'Дивиденды по годам'!N942/'Дивиденды по годам'!U942-1,""),"")</f>
        <v>0.15096259786712074</v>
      </c>
      <c r="S942" t="str">
        <f>IFERROR(IF(AND('Дивиденды по годам'!L942&lt;&gt;"",'Дивиденды по годам'!I942&lt;&gt;"",'Дивиденды по годам'!J942&lt;&gt;"",'Дивиденды по годам'!K942&lt;&gt;"",('Дивиденды по годам'!I942-'Дивиденды по годам'!J942-'Дивиденды по годам'!K942)&lt;&gt;0),'Дивиденды по годам'!L942/('Дивиденды по годам'!I942-'Дивиденды по годам'!J942-'Дивиденды по годам'!K942),""),"")</f>
        <v/>
      </c>
      <c r="T942">
        <f>IFERROR(IF(AND('Дивиденды по годам'!Q942&lt;&gt;"",'Дивиденды по годам'!I942&lt;&gt;"",'Дивиденды по годам'!V942&lt;&gt;"",('Дивиденды по годам'!I942+'Дивиденды по годам'!V942)&lt;&gt;0),'Дивиденды по годам'!Q942/(('Дивиденды по годам'!I942+'Дивиденды по годам'!V942)/2),""),"")</f>
        <v>3.6382438771614151E-2</v>
      </c>
      <c r="U942">
        <f>IFERROR(IF(AND('Дивиденды по годам'!J942&lt;&gt;"",'Дивиденды по годам'!K942&lt;&gt;"",'Дивиденды по годам'!M942&lt;&gt;"",'Дивиденды по годам'!M942&lt;&gt;0),('Дивиденды по годам'!J942+'Дивиденды по годам'!K942)/'Дивиденды по годам'!M942,""),"")</f>
        <v>2.8396457415565344</v>
      </c>
      <c r="V942">
        <f>IFERROR(IF(AND('Дивиденды по годам'!J942&lt;&gt;"",'Дивиденды по годам'!K942&lt;&gt;"",'Дивиденды по годам'!M942&lt;&gt;"",'Дивиденды по годам'!I942&lt;&gt;0),('Дивиденды по годам'!J942+'Дивиденды по годам'!K942)/'Дивиденды по годам'!I942,""),"")</f>
        <v>0.73955930642845835</v>
      </c>
      <c r="W942">
        <f>IFERROR('Дивиденды по годам'!I942,"")</f>
        <v>209183900000</v>
      </c>
      <c r="X942" cm="1">
        <f t="array" ref="X942">IFERROR(AVERAGE(_xlfn._xlws.FILTER(P$2:P$1073,($C$2:$C$1073=$C942)*($E$2:$E$1073=$E942)*(ROW(P$2:P$1073)&lt;&gt;ROW(P942))*(P$2:P$1073&lt;&gt;""))),"")</f>
        <v>25.501263091521235</v>
      </c>
      <c r="Y942" cm="1">
        <f t="array" ref="Y942">IFERROR(AVERAGE(_xlfn._xlws.FILTER(Q$2:Q$1073,($C$2:$C$1073=$C942)*($E$2:$E$1073=$E942)*(ROW(Q$2:Q$1073)&lt;&gt;ROW(Q942))*(Q$2:Q$1073&lt;&gt;""))),"")</f>
        <v>0.60419344837204736</v>
      </c>
      <c r="Z942" cm="1">
        <f t="array" ref="Z942">IFERROR(AVERAGE(_xlfn._xlws.FILTER(R$2:R$1073,($C$2:$C$1073=$C942)*($E$2:$E$1073=$E942)*(ROW(R$2:R$1073)&lt;&gt;ROW(R942))*(R$2:R$1073&lt;&gt;""))),"")</f>
        <v>-5.2237612208478335E-2</v>
      </c>
      <c r="AA942" t="str" cm="1">
        <f t="array" ref="AA942">IFERROR(AVERAGE(_xlfn._xlws.FILTER(S$2:S$1073,($C$2:$C$1073=$C942)*($E$2:$E$1073=$E942)*(ROW(S$2:S$1073)&lt;&gt;ROW(S942))*(S$2:S$1073&lt;&gt;""))),"")</f>
        <v/>
      </c>
      <c r="AB942" cm="1">
        <f t="array" ref="AB942">IFERROR(AVERAGE(_xlfn._xlws.FILTER(T$2:T$1073,($C$2:$C$1073=$C942)*($E$2:$E$1073=$E942)*(ROW(T$2:T$1073)&lt;&gt;ROW(T942))*(T$2:T$1073&lt;&gt;""))),"")</f>
        <v>-1.0194132063749285E-2</v>
      </c>
      <c r="AC942" cm="1">
        <f t="array" ref="AC942">IFERROR(AVERAGE(_xlfn._xlws.FILTER(U$2:U$1073,($C$2:$C$1073=$C942)*($E$2:$E$1073=$E942)*(ROW(U$2:U$1073)&lt;&gt;ROW(U942))*(U$2:U$1073&lt;&gt;""))),"")</f>
        <v>1.8666591860317681</v>
      </c>
      <c r="AD942" cm="1">
        <f t="array" ref="AD942">IFERROR(AVERAGE(_xlfn._xlws.FILTER(V$2:V$1073,($C$2:$C$1073=$C942)*($E$2:$E$1073=$E942)*(ROW(V$2:V$1073)&lt;&gt;ROW(V942))*(V$2:V$1073&lt;&gt;""))),"")</f>
        <v>0.6342953095601026</v>
      </c>
      <c r="AE942">
        <f>IF('Дивиденды по годам'!M942&lt;0,1,0)</f>
        <v>0</v>
      </c>
    </row>
    <row r="943" spans="1:31" x14ac:dyDescent="0.2">
      <c r="A943" s="7" t="s">
        <v>2294</v>
      </c>
      <c r="B943" t="str">
        <f t="shared" si="154"/>
        <v>AFLT IV кв. 2012</v>
      </c>
      <c r="C943">
        <v>2012</v>
      </c>
      <c r="D943">
        <f>SUMIFS(Дивиденды!$C:$C,Дивиденды!$A:$A,A943,Дивиденды!$I:$I,C943)</f>
        <v>1.1599999999999999</v>
      </c>
      <c r="E943">
        <v>7</v>
      </c>
      <c r="F943">
        <f t="shared" si="155"/>
        <v>1.1599999999999999</v>
      </c>
      <c r="G943">
        <f t="shared" si="156"/>
        <v>5.8999999999999999E-3</v>
      </c>
      <c r="H943">
        <f t="shared" si="157"/>
        <v>1</v>
      </c>
      <c r="I943">
        <f t="shared" si="158"/>
        <v>0.25</v>
      </c>
      <c r="J943">
        <f t="shared" si="159"/>
        <v>-0.3591160220994476</v>
      </c>
      <c r="K943">
        <f t="shared" si="164"/>
        <v>1.0638297872340361E-3</v>
      </c>
      <c r="L943">
        <f t="shared" si="160"/>
        <v>0</v>
      </c>
      <c r="M943">
        <f t="shared" si="161"/>
        <v>0.25</v>
      </c>
      <c r="N943">
        <f t="shared" si="162"/>
        <v>1</v>
      </c>
      <c r="O943">
        <f t="shared" si="163"/>
        <v>0</v>
      </c>
      <c r="P943">
        <f>IFERROR(LN('Дивиденды по годам'!I943),"")</f>
        <v>25.991207079623017</v>
      </c>
      <c r="Q943">
        <f>IFERROR('Дивиденды по годам'!G943/'Дивиденды по годам'!I943, "")</f>
        <v>0.38999983989497111</v>
      </c>
      <c r="R943">
        <f>IFERROR(IF(AND('Дивиденды по годам'!N943&lt;&gt;"",'Дивиденды по годам'!U943&lt;&gt;"",'Дивиденды по годам'!U943&lt;&gt;0),'Дивиденды по годам'!N943/'Дивиденды по годам'!U943-1,""),"")</f>
        <v>0.59871037299587027</v>
      </c>
      <c r="S943" t="str">
        <f>IFERROR(IF(AND('Дивиденды по годам'!L943&lt;&gt;"",'Дивиденды по годам'!I943&lt;&gt;"",'Дивиденды по годам'!J943&lt;&gt;"",'Дивиденды по годам'!K943&lt;&gt;"",('Дивиденды по годам'!I943-'Дивиденды по годам'!J943-'Дивиденды по годам'!K943)&lt;&gt;0),'Дивиденды по годам'!L943/('Дивиденды по годам'!I943-'Дивиденды по годам'!J943-'Дивиденды по годам'!K943),""),"")</f>
        <v/>
      </c>
      <c r="T943">
        <f>IFERROR(IF(AND('Дивиденды по годам'!Q943&lt;&gt;"",'Дивиденды по годам'!I943&lt;&gt;"",'Дивиденды по годам'!V943&lt;&gt;"",('Дивиденды по годам'!I943+'Дивиденды по годам'!V943)&lt;&gt;0),'Дивиденды по годам'!Q943/(('Дивиденды по годам'!I943+'Дивиденды по годам'!V943)/2),""),"")</f>
        <v>2.9442589704268704E-2</v>
      </c>
      <c r="U943">
        <f>IFERROR(IF(AND('Дивиденды по годам'!J943&lt;&gt;"",'Дивиденды по годам'!K943&lt;&gt;"",'Дивиденды по годам'!M943&lt;&gt;"",'Дивиденды по годам'!M943&lt;&gt;0),('Дивиденды по годам'!J943+'Дивиденды по годам'!K943)/'Дивиденды по годам'!M943,""),"")</f>
        <v>2.8405583225727109</v>
      </c>
      <c r="V943">
        <f>IFERROR(IF(AND('Дивиденды по годам'!J943&lt;&gt;"",'Дивиденды по годам'!K943&lt;&gt;"",'Дивиденды по годам'!M943&lt;&gt;"",'Дивиденды по годам'!I943&lt;&gt;0),('Дивиденды по годам'!J943+'Дивиденды по годам'!K943)/'Дивиденды по годам'!I943,""),"")</f>
        <v>0.73962119150162497</v>
      </c>
      <c r="W943">
        <f>IFERROR('Дивиденды по годам'!I943,"")</f>
        <v>194016118890.57462</v>
      </c>
      <c r="X943" cm="1">
        <f t="array" ref="X943">IFERROR(AVERAGE(_xlfn._xlws.FILTER(P$2:P$1073,($C$2:$C$1073=$C943)*($E$2:$E$1073=$E943)*(ROW(P$2:P$1073)&lt;&gt;ROW(P943))*(P$2:P$1073&lt;&gt;""))),"")</f>
        <v>25.320562375641515</v>
      </c>
      <c r="Y943" cm="1">
        <f t="array" ref="Y943">IFERROR(AVERAGE(_xlfn._xlws.FILTER(Q$2:Q$1073,($C$2:$C$1073=$C943)*($E$2:$E$1073=$E943)*(ROW(Q$2:Q$1073)&lt;&gt;ROW(Q943))*(Q$2:Q$1073&lt;&gt;""))),"")</f>
        <v>0.44519115076303517</v>
      </c>
      <c r="Z943" cm="1">
        <f t="array" ref="Z943">IFERROR(AVERAGE(_xlfn._xlws.FILTER(R$2:R$1073,($C$2:$C$1073=$C943)*($E$2:$E$1073=$E943)*(ROW(R$2:R$1073)&lt;&gt;ROW(R943))*(R$2:R$1073&lt;&gt;""))),"")</f>
        <v>0.13599163263610725</v>
      </c>
      <c r="AA943" t="str" cm="1">
        <f t="array" ref="AA943">IFERROR(AVERAGE(_xlfn._xlws.FILTER(S$2:S$1073,($C$2:$C$1073=$C943)*($E$2:$E$1073=$E943)*(ROW(S$2:S$1073)&lt;&gt;ROW(S943))*(S$2:S$1073&lt;&gt;""))),"")</f>
        <v/>
      </c>
      <c r="AB943" cm="1">
        <f t="array" ref="AB943">IFERROR(AVERAGE(_xlfn._xlws.FILTER(T$2:T$1073,($C$2:$C$1073=$C943)*($E$2:$E$1073=$E943)*(ROW(T$2:T$1073)&lt;&gt;ROW(T943))*(T$2:T$1073&lt;&gt;""))),"")</f>
        <v>3.8498733394219123E-2</v>
      </c>
      <c r="AC943" cm="1">
        <f t="array" ref="AC943">IFERROR(AVERAGE(_xlfn._xlws.FILTER(U$2:U$1073,($C$2:$C$1073=$C943)*($E$2:$E$1073=$E943)*(ROW(U$2:U$1073)&lt;&gt;ROW(U943))*(U$2:U$1073&lt;&gt;""))),"")</f>
        <v>1.3731485712449925</v>
      </c>
      <c r="AD943" cm="1">
        <f t="array" ref="AD943">IFERROR(AVERAGE(_xlfn._xlws.FILTER(V$2:V$1073,($C$2:$C$1073=$C943)*($E$2:$E$1073=$E943)*(ROW(V$2:V$1073)&lt;&gt;ROW(V943))*(V$2:V$1073&lt;&gt;""))),"")</f>
        <v>0.54731475566682708</v>
      </c>
      <c r="AE943">
        <f>IF('Дивиденды по годам'!M943&lt;0,1,0)</f>
        <v>0</v>
      </c>
    </row>
    <row r="944" spans="1:31" x14ac:dyDescent="0.2">
      <c r="A944" s="7" t="s">
        <v>2294</v>
      </c>
      <c r="B944" t="str">
        <f t="shared" si="154"/>
        <v>AFLT IV кв. 2011</v>
      </c>
      <c r="C944">
        <v>2011</v>
      </c>
      <c r="D944">
        <f>SUMIFS(Дивиденды!$C:$C,Дивиденды!$A:$A,A944,Дивиденды!$I:$I,C944)</f>
        <v>1.81</v>
      </c>
      <c r="E944">
        <v>7</v>
      </c>
      <c r="F944">
        <f t="shared" si="155"/>
        <v>1.81</v>
      </c>
      <c r="G944">
        <f t="shared" si="156"/>
        <v>5.875E-3</v>
      </c>
      <c r="H944">
        <f t="shared" si="157"/>
        <v>1</v>
      </c>
      <c r="I944">
        <f t="shared" si="158"/>
        <v>0.25</v>
      </c>
      <c r="J944">
        <f t="shared" si="159"/>
        <v>0.66055045871559626</v>
      </c>
      <c r="K944">
        <f t="shared" si="164"/>
        <v>5.4347826086956572E-3</v>
      </c>
      <c r="L944">
        <f t="shared" si="160"/>
        <v>1</v>
      </c>
      <c r="M944">
        <f t="shared" si="161"/>
        <v>0.25</v>
      </c>
      <c r="N944">
        <f t="shared" si="162"/>
        <v>0</v>
      </c>
      <c r="O944">
        <f t="shared" si="163"/>
        <v>0</v>
      </c>
      <c r="P944">
        <f>IFERROR(LN('Дивиденды по годам'!I944),"")</f>
        <v>25.778800885717608</v>
      </c>
      <c r="Q944">
        <f>IFERROR('Дивиденды по годам'!G944/'Дивиденды по годам'!I944, "")</f>
        <v>0.36923480574973294</v>
      </c>
      <c r="R944">
        <f>IFERROR(IF(AND('Дивиденды по годам'!N944&lt;&gt;"",'Дивиденды по годам'!U944&lt;&gt;"",'Дивиденды по годам'!U944&lt;&gt;0),'Дивиденды по годам'!N944/'Дивиденды по годам'!U944-1,""),"")</f>
        <v>0.20536191673520854</v>
      </c>
      <c r="S944" t="str">
        <f>IFERROR(IF(AND('Дивиденды по годам'!L944&lt;&gt;"",'Дивиденды по годам'!I944&lt;&gt;"",'Дивиденды по годам'!J944&lt;&gt;"",'Дивиденды по годам'!K944&lt;&gt;"",('Дивиденды по годам'!I944-'Дивиденды по годам'!J944-'Дивиденды по годам'!K944)&lt;&gt;0),'Дивиденды по годам'!L944/('Дивиденды по годам'!I944-'Дивиденды по годам'!J944-'Дивиденды по годам'!K944),""),"")</f>
        <v/>
      </c>
      <c r="T944">
        <f>IFERROR(IF(AND('Дивиденды по годам'!Q944&lt;&gt;"",'Дивиденды по годам'!I944&lt;&gt;"",'Дивиденды по годам'!V944&lt;&gt;"",('Дивиденды по годам'!I944+'Дивиденды по годам'!V944)&lt;&gt;0),'Дивиденды по годам'!Q944/(('Дивиденды по годам'!I944+'Дивиденды по годам'!V944)/2),""),"")</f>
        <v>9.8152461650754155E-2</v>
      </c>
      <c r="U944">
        <f>IFERROR(IF(AND('Дивиденды по годам'!J944&lt;&gt;"",'Дивиденды по годам'!K944&lt;&gt;"",'Дивиденды по годам'!M944&lt;&gt;"",'Дивиденды по годам'!M944&lt;&gt;0),('Дивиденды по годам'!J944+'Дивиденды по годам'!K944)/'Дивиденды по годам'!M944,""),"")</f>
        <v>2.7999572710440108</v>
      </c>
      <c r="V944">
        <f>IFERROR(IF(AND('Дивиденды по годам'!J944&lt;&gt;"",'Дивиденды по годам'!K944&lt;&gt;"",'Дивиденды по годам'!M944&lt;&gt;"",'Дивиденды по годам'!I944&lt;&gt;0),('Дивиденды по годам'!J944+'Дивиденды по годам'!K944)/'Дивиденды по годам'!I944,""),"")</f>
        <v>0.73683914616091017</v>
      </c>
      <c r="W944">
        <f>IFERROR('Дивиденды по годам'!I944,"")</f>
        <v>156888450864.23077</v>
      </c>
      <c r="X944" cm="1">
        <f t="array" ref="X944">IFERROR(AVERAGE(_xlfn._xlws.FILTER(P$2:P$1073,($C$2:$C$1073=$C944)*($E$2:$E$1073=$E944)*(ROW(P$2:P$1073)&lt;&gt;ROW(P944))*(P$2:P$1073&lt;&gt;""))),"")</f>
        <v>25.199759280877913</v>
      </c>
      <c r="Y944" cm="1">
        <f t="array" ref="Y944">IFERROR(AVERAGE(_xlfn._xlws.FILTER(Q$2:Q$1073,($C$2:$C$1073=$C944)*($E$2:$E$1073=$E944)*(ROW(Q$2:Q$1073)&lt;&gt;ROW(Q944))*(Q$2:Q$1073&lt;&gt;""))),"")</f>
        <v>0.4466444181739746</v>
      </c>
      <c r="Z944" t="str" cm="1">
        <f t="array" ref="Z944">IFERROR(AVERAGE(_xlfn._xlws.FILTER(R$2:R$1073,($C$2:$C$1073=$C944)*($E$2:$E$1073=$E944)*(ROW(R$2:R$1073)&lt;&gt;ROW(R944))*(R$2:R$1073&lt;&gt;""))),"")</f>
        <v/>
      </c>
      <c r="AA944" t="str" cm="1">
        <f t="array" ref="AA944">IFERROR(AVERAGE(_xlfn._xlws.FILTER(S$2:S$1073,($C$2:$C$1073=$C944)*($E$2:$E$1073=$E944)*(ROW(S$2:S$1073)&lt;&gt;ROW(S944))*(S$2:S$1073&lt;&gt;""))),"")</f>
        <v/>
      </c>
      <c r="AB944" t="str" cm="1">
        <f t="array" ref="AB944">IFERROR(AVERAGE(_xlfn._xlws.FILTER(T$2:T$1073,($C$2:$C$1073=$C944)*($E$2:$E$1073=$E944)*(ROW(T$2:T$1073)&lt;&gt;ROW(T944))*(T$2:T$1073&lt;&gt;""))),"")</f>
        <v/>
      </c>
      <c r="AC944" cm="1">
        <f t="array" ref="AC944">IFERROR(AVERAGE(_xlfn._xlws.FILTER(U$2:U$1073,($C$2:$C$1073=$C944)*($E$2:$E$1073=$E944)*(ROW(U$2:U$1073)&lt;&gt;ROW(U944))*(U$2:U$1073&lt;&gt;""))),"")</f>
        <v>1.7972591700311726</v>
      </c>
      <c r="AD944" cm="1">
        <f t="array" ref="AD944">IFERROR(AVERAGE(_xlfn._xlws.FILTER(V$2:V$1073,($C$2:$C$1073=$C944)*($E$2:$E$1073=$E944)*(ROW(V$2:V$1073)&lt;&gt;ROW(V944))*(V$2:V$1073&lt;&gt;""))),"")</f>
        <v>0.56543234000221843</v>
      </c>
      <c r="AE944">
        <f>IF('Дивиденды по годам'!M944&lt;0,1,0)</f>
        <v>0</v>
      </c>
    </row>
    <row r="945" spans="1:31" x14ac:dyDescent="0.2">
      <c r="A945" s="7" t="s">
        <v>2294</v>
      </c>
      <c r="B945" t="str">
        <f t="shared" si="154"/>
        <v>AFLT IV кв. 2010</v>
      </c>
      <c r="C945">
        <v>2010</v>
      </c>
      <c r="D945">
        <f>SUMIFS(Дивиденды!$C:$C,Дивиденды!$A:$A,A945,Дивиденды!$I:$I,C945)</f>
        <v>1.0900000000000001</v>
      </c>
      <c r="E945">
        <v>7</v>
      </c>
      <c r="F945">
        <f t="shared" si="155"/>
        <v>1.0900000000000001</v>
      </c>
      <c r="G945">
        <f t="shared" si="156"/>
        <v>5.7499999999999999E-3</v>
      </c>
      <c r="H945">
        <f t="shared" si="157"/>
        <v>1</v>
      </c>
      <c r="I945">
        <f t="shared" si="158"/>
        <v>0.25</v>
      </c>
      <c r="J945" t="str">
        <f t="shared" si="159"/>
        <v/>
      </c>
      <c r="K945" t="str">
        <f t="shared" si="164"/>
        <v/>
      </c>
      <c r="L945" t="str">
        <f t="shared" si="160"/>
        <v/>
      </c>
      <c r="M945" t="str">
        <f t="shared" si="161"/>
        <v/>
      </c>
      <c r="N945" t="str">
        <f t="shared" si="162"/>
        <v/>
      </c>
      <c r="O945" t="str">
        <f t="shared" si="163"/>
        <v/>
      </c>
      <c r="P945">
        <f>IFERROR(LN('Дивиденды по годам'!I945),"")</f>
        <v>25.646584513937189</v>
      </c>
      <c r="Q945">
        <f>IFERROR('Дивиденды по годам'!G945/'Дивиденды по годам'!I945, "")</f>
        <v>0.48343975783821996</v>
      </c>
      <c r="R945" t="str">
        <f>IFERROR(IF(AND('Дивиденды по годам'!N945&lt;&gt;"",'Дивиденды по годам'!U945&lt;&gt;"",'Дивиденды по годам'!U945&lt;&gt;0),'Дивиденды по годам'!N945/'Дивиденды по годам'!U945-1,""),"")</f>
        <v/>
      </c>
      <c r="S945" t="str">
        <f>IFERROR(IF(AND('Дивиденды по годам'!L945&lt;&gt;"",'Дивиденды по годам'!I945&lt;&gt;"",'Дивиденды по годам'!J945&lt;&gt;"",'Дивиденды по годам'!K945&lt;&gt;"",('Дивиденды по годам'!I945-'Дивиденды по годам'!J945-'Дивиденды по годам'!K945)&lt;&gt;0),'Дивиденды по годам'!L945/('Дивиденды по годам'!I945-'Дивиденды по годам'!J945-'Дивиденды по годам'!K945),""),"")</f>
        <v/>
      </c>
      <c r="T945" t="str">
        <f>IFERROR(IF(AND('Дивиденды по годам'!Q945&lt;&gt;"",'Дивиденды по годам'!I945&lt;&gt;"",'Дивиденды по годам'!V945&lt;&gt;"",('Дивиденды по годам'!I945+'Дивиденды по годам'!V945)&lt;&gt;0),'Дивиденды по годам'!Q945/(('Дивиденды по годам'!I945+'Дивиденды по годам'!V945)/2),""),"")</f>
        <v/>
      </c>
      <c r="U945">
        <f>IFERROR(IF(AND('Дивиденды по годам'!J945&lt;&gt;"",'Дивиденды по годам'!K945&lt;&gt;"",'Дивиденды по годам'!M945&lt;&gt;"",'Дивиденды по годам'!M945&lt;&gt;0),('Дивиденды по годам'!J945+'Дивиденды по годам'!K945)/'Дивиденды по годам'!M945,""),"")</f>
        <v>2.9188674344099064</v>
      </c>
      <c r="V945">
        <f>IFERROR(IF(AND('Дивиденды по годам'!J945&lt;&gt;"",'Дивиденды по годам'!K945&lt;&gt;"",'Дивиденды по годам'!M945&lt;&gt;"",'Дивиденды по годам'!I945&lt;&gt;0),('Дивиденды по годам'!J945+'Дивиденды по годам'!K945)/'Дивиденды по годам'!I945,""),"")</f>
        <v>0.74482423385404006</v>
      </c>
      <c r="W945">
        <f>IFERROR('Дивиденды по годам'!I945,"")</f>
        <v>137458035888.96155</v>
      </c>
      <c r="X945" t="str" cm="1">
        <f t="array" ref="X945">IFERROR(AVERAGE(_xlfn._xlws.FILTER(P$2:P$1073,($C$2:$C$1073=$C945)*($E$2:$E$1073=$E945)*(ROW(P$2:P$1073)&lt;&gt;ROW(P945))*(P$2:P$1073&lt;&gt;""))),"")</f>
        <v/>
      </c>
      <c r="Y945" t="str" cm="1">
        <f t="array" ref="Y945">IFERROR(AVERAGE(_xlfn._xlws.FILTER(Q$2:Q$1073,($C$2:$C$1073=$C945)*($E$2:$E$1073=$E945)*(ROW(Q$2:Q$1073)&lt;&gt;ROW(Q945))*(Q$2:Q$1073&lt;&gt;""))),"")</f>
        <v/>
      </c>
      <c r="Z945" t="str" cm="1">
        <f t="array" ref="Z945">IFERROR(AVERAGE(_xlfn._xlws.FILTER(R$2:R$1073,($C$2:$C$1073=$C945)*($E$2:$E$1073=$E945)*(ROW(R$2:R$1073)&lt;&gt;ROW(R945))*(R$2:R$1073&lt;&gt;""))),"")</f>
        <v/>
      </c>
      <c r="AA945" t="str" cm="1">
        <f t="array" ref="AA945">IFERROR(AVERAGE(_xlfn._xlws.FILTER(S$2:S$1073,($C$2:$C$1073=$C945)*($E$2:$E$1073=$E945)*(ROW(S$2:S$1073)&lt;&gt;ROW(S945))*(S$2:S$1073&lt;&gt;""))),"")</f>
        <v/>
      </c>
      <c r="AB945" t="str" cm="1">
        <f t="array" ref="AB945">IFERROR(AVERAGE(_xlfn._xlws.FILTER(T$2:T$1073,($C$2:$C$1073=$C945)*($E$2:$E$1073=$E945)*(ROW(T$2:T$1073)&lt;&gt;ROW(T945))*(T$2:T$1073&lt;&gt;""))),"")</f>
        <v/>
      </c>
      <c r="AC945" t="str" cm="1">
        <f t="array" ref="AC945">IFERROR(AVERAGE(_xlfn._xlws.FILTER(U$2:U$1073,($C$2:$C$1073=$C945)*($E$2:$E$1073=$E945)*(ROW(U$2:U$1073)&lt;&gt;ROW(U945))*(U$2:U$1073&lt;&gt;""))),"")</f>
        <v/>
      </c>
      <c r="AD945" t="str" cm="1">
        <f t="array" ref="AD945">IFERROR(AVERAGE(_xlfn._xlws.FILTER(V$2:V$1073,($C$2:$C$1073=$C945)*($E$2:$E$1073=$E945)*(ROW(V$2:V$1073)&lt;&gt;ROW(V945))*(V$2:V$1073&lt;&gt;""))),"")</f>
        <v/>
      </c>
      <c r="AE945">
        <f>IF('Дивиденды по годам'!M945&lt;0,1,0)</f>
        <v>0</v>
      </c>
    </row>
    <row r="946" spans="1:31" x14ac:dyDescent="0.2">
      <c r="A946" s="7" t="s">
        <v>2323</v>
      </c>
      <c r="B946" t="str">
        <f t="shared" si="154"/>
        <v>FESH IV кв. 2025</v>
      </c>
      <c r="C946">
        <v>2025</v>
      </c>
      <c r="D946">
        <f>SUMIFS(Дивиденды!$C:$C,Дивиденды!$A:$A,A946,Дивиденды!$I:$I,C946)</f>
        <v>0</v>
      </c>
      <c r="E946">
        <v>7</v>
      </c>
      <c r="F946">
        <f t="shared" si="155"/>
        <v>0</v>
      </c>
      <c r="G946">
        <f t="shared" si="156"/>
        <v>3.8849999999999998</v>
      </c>
      <c r="H946">
        <f t="shared" si="157"/>
        <v>0</v>
      </c>
      <c r="I946">
        <f t="shared" si="158"/>
        <v>0.25</v>
      </c>
      <c r="J946">
        <f t="shared" si="159"/>
        <v>0</v>
      </c>
      <c r="K946">
        <f t="shared" si="164"/>
        <v>-0.68027638190954776</v>
      </c>
      <c r="L946">
        <f t="shared" si="160"/>
        <v>0</v>
      </c>
      <c r="M946">
        <f t="shared" si="161"/>
        <v>0</v>
      </c>
      <c r="N946">
        <f t="shared" si="162"/>
        <v>0</v>
      </c>
      <c r="O946">
        <f t="shared" si="163"/>
        <v>0.75</v>
      </c>
      <c r="P946" t="str">
        <f>IFERROR(LN('Дивиденды по годам'!I946),"")</f>
        <v/>
      </c>
      <c r="Q946" t="str">
        <f>IFERROR('Дивиденды по годам'!G946/'Дивиденды по годам'!I946, "")</f>
        <v/>
      </c>
      <c r="R946" t="str">
        <f>IFERROR(IF(AND('Дивиденды по годам'!N946&lt;&gt;"",'Дивиденды по годам'!U946&lt;&gt;"",'Дивиденды по годам'!U946&lt;&gt;0),'Дивиденды по годам'!N946/'Дивиденды по годам'!U946-1,""),"")</f>
        <v/>
      </c>
      <c r="S946" t="str">
        <f>IFERROR(IF(AND('Дивиденды по годам'!L946&lt;&gt;"",'Дивиденды по годам'!I946&lt;&gt;"",'Дивиденды по годам'!J946&lt;&gt;"",'Дивиденды по годам'!K946&lt;&gt;"",('Дивиденды по годам'!I946-'Дивиденды по годам'!J946-'Дивиденды по годам'!K946)&lt;&gt;0),'Дивиденды по годам'!L946/('Дивиденды по годам'!I946-'Дивиденды по годам'!J946-'Дивиденды по годам'!K946),""),"")</f>
        <v/>
      </c>
      <c r="T946" t="str">
        <f>IFERROR(IF(AND('Дивиденды по годам'!Q946&lt;&gt;"",'Дивиденды по годам'!I946&lt;&gt;"",'Дивиденды по годам'!V946&lt;&gt;"",('Дивиденды по годам'!I946+'Дивиденды по годам'!V946)&lt;&gt;0),'Дивиденды по годам'!Q946/(('Дивиденды по годам'!I946+'Дивиденды по годам'!V946)/2),""),"")</f>
        <v/>
      </c>
      <c r="U946" t="str">
        <f>IFERROR(IF(AND('Дивиденды по годам'!J946&lt;&gt;"",'Дивиденды по годам'!K946&lt;&gt;"",'Дивиденды по годам'!M946&lt;&gt;"",'Дивиденды по годам'!M946&lt;&gt;0),('Дивиденды по годам'!J946+'Дивиденды по годам'!K946)/'Дивиденды по годам'!M946,""),"")</f>
        <v/>
      </c>
      <c r="V946" t="str">
        <f>IFERROR(IF(AND('Дивиденды по годам'!J946&lt;&gt;"",'Дивиденды по годам'!K946&lt;&gt;"",'Дивиденды по годам'!M946&lt;&gt;"",'Дивиденды по годам'!I946&lt;&gt;0),('Дивиденды по годам'!J946+'Дивиденды по годам'!K946)/'Дивиденды по годам'!I946,""),"")</f>
        <v/>
      </c>
      <c r="W946" t="str">
        <f>IFERROR('Дивиденды по годам'!I946,"")</f>
        <v/>
      </c>
      <c r="X946" cm="1">
        <f t="array" ref="X946">IFERROR(AVERAGE(_xlfn._xlws.FILTER(P$2:P$1073,($C$2:$C$1073=$C946)*($E$2:$E$1073=$E946)*(ROW(P$2:P$1073)&lt;&gt;ROW(P946))*(P$2:P$1073&lt;&gt;""))),"")</f>
        <v>27.416076794766717</v>
      </c>
      <c r="Y946" cm="1">
        <f t="array" ref="Y946">IFERROR(AVERAGE(_xlfn._xlws.FILTER(Q$2:Q$1073,($C$2:$C$1073=$C946)*($E$2:$E$1073=$E946)*(ROW(Q$2:Q$1073)&lt;&gt;ROW(Q946))*(Q$2:Q$1073&lt;&gt;""))),"")</f>
        <v>0.20332374906679898</v>
      </c>
      <c r="Z946" cm="1">
        <f t="array" ref="Z946">IFERROR(AVERAGE(_xlfn._xlws.FILTER(R$2:R$1073,($C$2:$C$1073=$C946)*($E$2:$E$1073=$E946)*(ROW(R$2:R$1073)&lt;&gt;ROW(R946))*(R$2:R$1073&lt;&gt;""))),"")</f>
        <v>-0.15846404609198605</v>
      </c>
      <c r="AA946" cm="1">
        <f t="array" ref="AA946">IFERROR(AVERAGE(_xlfn._xlws.FILTER(S$2:S$1073,($C$2:$C$1073=$C946)*($E$2:$E$1073=$E946)*(ROW(S$2:S$1073)&lt;&gt;ROW(S946))*(S$2:S$1073&lt;&gt;""))),"")</f>
        <v>-1.8248333530548653</v>
      </c>
      <c r="AB946" cm="1">
        <f t="array" ref="AB946">IFERROR(AVERAGE(_xlfn._xlws.FILTER(T$2:T$1073,($C$2:$C$1073=$C946)*($E$2:$E$1073=$E946)*(ROW(T$2:T$1073)&lt;&gt;ROW(T946))*(T$2:T$1073&lt;&gt;""))),"")</f>
        <v>1.0800320773341893E-3</v>
      </c>
      <c r="AC946" cm="1">
        <f t="array" ref="AC946">IFERROR(AVERAGE(_xlfn._xlws.FILTER(U$2:U$1073,($C$2:$C$1073=$C946)*($E$2:$E$1073=$E946)*(ROW(U$2:U$1073)&lt;&gt;ROW(U946))*(U$2:U$1073&lt;&gt;""))),"")</f>
        <v>10.852380302974451</v>
      </c>
      <c r="AD946" cm="1">
        <f t="array" ref="AD946">IFERROR(AVERAGE(_xlfn._xlws.FILTER(V$2:V$1073,($C$2:$C$1073=$C946)*($E$2:$E$1073=$E946)*(ROW(V$2:V$1073)&lt;&gt;ROW(V946))*(V$2:V$1073&lt;&gt;""))),"")</f>
        <v>0.64157961513007766</v>
      </c>
      <c r="AE946">
        <f>IF('Дивиденды по годам'!M946&lt;0,1,0)</f>
        <v>0</v>
      </c>
    </row>
    <row r="947" spans="1:31" x14ac:dyDescent="0.2">
      <c r="A947" s="7" t="s">
        <v>2323</v>
      </c>
      <c r="B947" t="str">
        <f t="shared" si="154"/>
        <v>FESH IV кв. 2024</v>
      </c>
      <c r="C947">
        <v>2024</v>
      </c>
      <c r="D947">
        <f>SUMIFS(Дивиденды!$C:$C,Дивиденды!$A:$A,A947,Дивиденды!$I:$I,C947)</f>
        <v>0</v>
      </c>
      <c r="E947">
        <v>7</v>
      </c>
      <c r="F947">
        <f t="shared" si="155"/>
        <v>0</v>
      </c>
      <c r="G947">
        <f t="shared" si="156"/>
        <v>15.487499999999999</v>
      </c>
      <c r="H947">
        <f t="shared" si="157"/>
        <v>0</v>
      </c>
      <c r="I947">
        <f t="shared" si="158"/>
        <v>0.75</v>
      </c>
      <c r="J947">
        <f t="shared" si="159"/>
        <v>0</v>
      </c>
      <c r="K947">
        <f t="shared" si="164"/>
        <v>0.19145930405472389</v>
      </c>
      <c r="L947">
        <f t="shared" si="160"/>
        <v>0</v>
      </c>
      <c r="M947">
        <f t="shared" si="161"/>
        <v>0.75</v>
      </c>
      <c r="N947">
        <f t="shared" si="162"/>
        <v>0</v>
      </c>
      <c r="O947">
        <f t="shared" si="163"/>
        <v>0.25</v>
      </c>
      <c r="P947">
        <f>IFERROR(LN('Дивиденды по годам'!I947),"")</f>
        <v>26.352515120851148</v>
      </c>
      <c r="Q947">
        <f>IFERROR('Дивиденды по годам'!G947/'Дивиденды по годам'!I947, "")</f>
        <v>0.56568613015481961</v>
      </c>
      <c r="R947">
        <f>IFERROR(IF(AND('Дивиденды по годам'!N947&lt;&gt;"",'Дивиденды по годам'!U947&lt;&gt;"",'Дивиденды по годам'!U947&lt;&gt;0),'Дивиденды по годам'!N947/'Дивиденды по годам'!U947-1,""),"")</f>
        <v>7.5428478407478794E-2</v>
      </c>
      <c r="S947">
        <f>IFERROR(IF(AND('Дивиденды по годам'!L947&lt;&gt;"",'Дивиденды по годам'!I947&lt;&gt;"",'Дивиденды по годам'!J947&lt;&gt;"",'Дивиденды по годам'!K947&lt;&gt;"",('Дивиденды по годам'!I947-'Дивиденды по годам'!J947-'Дивиденды по годам'!K947)&lt;&gt;0),'Дивиденды по годам'!L947/('Дивиденды по годам'!I947-'Дивиденды по годам'!J947-'Дивиденды по годам'!K947),""),"")</f>
        <v>0.91447977221497212</v>
      </c>
      <c r="T947">
        <f>IFERROR(IF(AND('Дивиденды по годам'!Q947&lt;&gt;"",'Дивиденды по годам'!I947&lt;&gt;"",'Дивиденды по годам'!V947&lt;&gt;"",('Дивиденды по годам'!I947+'Дивиденды по годам'!V947)&lt;&gt;0),'Дивиденды по годам'!Q947/(('Дивиденды по годам'!I947+'Дивиденды по годам'!V947)/2),""),"")</f>
        <v>0.10387550311630597</v>
      </c>
      <c r="U947">
        <f>IFERROR(IF(AND('Дивиденды по годам'!J947&lt;&gt;"",'Дивиденды по годам'!K947&lt;&gt;"",'Дивиденды по годам'!M947&lt;&gt;"",'Дивиденды по годам'!M947&lt;&gt;0),('Дивиденды по годам'!J947+'Дивиденды по годам'!K947)/'Дивиденды по годам'!M947,""),"")</f>
        <v>0.65175584292324118</v>
      </c>
      <c r="V947">
        <f>IFERROR(IF(AND('Дивиденды по годам'!J947&lt;&gt;"",'Дивиденды по годам'!K947&lt;&gt;"",'Дивиденды по годам'!M947&lt;&gt;"",'Дивиденды по годам'!I947&lt;&gt;0),('Дивиденды по годам'!J947+'Дивиденды по годам'!K947)/'Дивиденды по годам'!I947,""),"")</f>
        <v>0.39458364607312546</v>
      </c>
      <c r="W947">
        <f>IFERROR('Дивиденды по годам'!I947,"")</f>
        <v>278453000000</v>
      </c>
      <c r="X947" cm="1">
        <f t="array" ref="X947">IFERROR(AVERAGE(_xlfn._xlws.FILTER(P$2:P$1073,($C$2:$C$1073=$C947)*($E$2:$E$1073=$E947)*(ROW(P$2:P$1073)&lt;&gt;ROW(P947))*(P$2:P$1073&lt;&gt;""))),"")</f>
        <v>26.16981327691256</v>
      </c>
      <c r="Y947" cm="1">
        <f t="array" ref="Y947">IFERROR(AVERAGE(_xlfn._xlws.FILTER(Q$2:Q$1073,($C$2:$C$1073=$C947)*($E$2:$E$1073=$E947)*(ROW(Q$2:Q$1073)&lt;&gt;ROW(Q947))*(Q$2:Q$1073&lt;&gt;""))),"")</f>
        <v>0.4728473152116387</v>
      </c>
      <c r="Z947" cm="1">
        <f t="array" ref="Z947">IFERROR(AVERAGE(_xlfn._xlws.FILTER(R$2:R$1073,($C$2:$C$1073=$C947)*($E$2:$E$1073=$E947)*(ROW(R$2:R$1073)&lt;&gt;ROW(R947))*(R$2:R$1073&lt;&gt;""))),"")</f>
        <v>0.13407538181387302</v>
      </c>
      <c r="AA947" cm="1">
        <f t="array" ref="AA947">IFERROR(AVERAGE(_xlfn._xlws.FILTER(S$2:S$1073,($C$2:$C$1073=$C947)*($E$2:$E$1073=$E947)*(ROW(S$2:S$1073)&lt;&gt;ROW(S947))*(S$2:S$1073&lt;&gt;""))),"")</f>
        <v>1.4709797067613402</v>
      </c>
      <c r="AB947" cm="1">
        <f t="array" ref="AB947">IFERROR(AVERAGE(_xlfn._xlws.FILTER(T$2:T$1073,($C$2:$C$1073=$C947)*($E$2:$E$1073=$E947)*(ROW(T$2:T$1073)&lt;&gt;ROW(T947))*(T$2:T$1073&lt;&gt;""))),"")</f>
        <v>0.16493237223041174</v>
      </c>
      <c r="AC947" cm="1">
        <f t="array" ref="AC947">IFERROR(AVERAGE(_xlfn._xlws.FILTER(U$2:U$1073,($C$2:$C$1073=$C947)*($E$2:$E$1073=$E947)*(ROW(U$2:U$1073)&lt;&gt;ROW(U947))*(U$2:U$1073&lt;&gt;""))),"")</f>
        <v>-4.0463560995954708</v>
      </c>
      <c r="AD947" cm="1">
        <f t="array" ref="AD947">IFERROR(AVERAGE(_xlfn._xlws.FILTER(V$2:V$1073,($C$2:$C$1073=$C947)*($E$2:$E$1073=$E947)*(ROW(V$2:V$1073)&lt;&gt;ROW(V947))*(V$2:V$1073&lt;&gt;""))),"")</f>
        <v>0.4171514568764525</v>
      </c>
      <c r="AE947">
        <f>IF('Дивиденды по годам'!M947&lt;0,1,0)</f>
        <v>0</v>
      </c>
    </row>
    <row r="948" spans="1:31" x14ac:dyDescent="0.2">
      <c r="A948" s="7" t="s">
        <v>2323</v>
      </c>
      <c r="B948" t="str">
        <f t="shared" si="154"/>
        <v>FESH IV кв. 2023</v>
      </c>
      <c r="C948">
        <v>2023</v>
      </c>
      <c r="D948">
        <f>SUMIFS(Дивиденды!$C:$C,Дивиденды!$A:$A,A948,Дивиденды!$I:$I,C948)</f>
        <v>0</v>
      </c>
      <c r="E948">
        <v>7</v>
      </c>
      <c r="F948">
        <f t="shared" si="155"/>
        <v>0</v>
      </c>
      <c r="G948">
        <f t="shared" si="156"/>
        <v>13.76</v>
      </c>
      <c r="H948">
        <f t="shared" si="157"/>
        <v>0</v>
      </c>
      <c r="I948">
        <f t="shared" si="158"/>
        <v>0.75</v>
      </c>
      <c r="J948">
        <f t="shared" si="159"/>
        <v>0</v>
      </c>
      <c r="K948">
        <f t="shared" si="164"/>
        <v>1.1429062572744175</v>
      </c>
      <c r="L948">
        <f t="shared" si="160"/>
        <v>0</v>
      </c>
      <c r="M948">
        <f t="shared" si="161"/>
        <v>0.5</v>
      </c>
      <c r="N948">
        <f t="shared" si="162"/>
        <v>0</v>
      </c>
      <c r="O948">
        <f t="shared" si="163"/>
        <v>0.25</v>
      </c>
      <c r="P948">
        <f>IFERROR(LN('Дивиденды по годам'!I948),"")</f>
        <v>26.073928943866385</v>
      </c>
      <c r="Q948">
        <f>IFERROR('Дивиденды по годам'!G948/'Дивиденды по годам'!I948, "")</f>
        <v>0.61660371628675004</v>
      </c>
      <c r="R948">
        <f>IFERROR(IF(AND('Дивиденды по годам'!N948&lt;&gt;"",'Дивиденды по годам'!U948&lt;&gt;"",'Дивиденды по годам'!U948&lt;&gt;0),'Дивиденды по годам'!N948/'Дивиденды по годам'!U948-1,""),"")</f>
        <v>5.7581514888802809E-2</v>
      </c>
      <c r="S948">
        <f>IFERROR(IF(AND('Дивиденды по годам'!L948&lt;&gt;"",'Дивиденды по годам'!I948&lt;&gt;"",'Дивиденды по годам'!J948&lt;&gt;"",'Дивиденды по годам'!K948&lt;&gt;"",('Дивиденды по годам'!I948-'Дивиденды по годам'!J948-'Дивиденды по годам'!K948)&lt;&gt;0),'Дивиденды по годам'!L948/('Дивиденды по годам'!I948-'Дивиденды по годам'!J948-'Дивиденды по годам'!K948),""),"")</f>
        <v>0.92363872492868038</v>
      </c>
      <c r="T948">
        <f>IFERROR(IF(AND('Дивиденды по годам'!Q948&lt;&gt;"",'Дивиденды по годам'!I948&lt;&gt;"",'Дивиденды по годам'!V948&lt;&gt;"",('Дивиденды по годам'!I948+'Дивиденды по годам'!V948)&lt;&gt;0),'Дивиденды по годам'!Q948/(('Дивиденды по годам'!I948+'Дивиденды по годам'!V948)/2),""),"")</f>
        <v>0.2007611217927468</v>
      </c>
      <c r="U948">
        <f>IFERROR(IF(AND('Дивиденды по годам'!J948&lt;&gt;"",'Дивиденды по годам'!K948&lt;&gt;"",'Дивиденды по годам'!M948&lt;&gt;"",'Дивиденды по годам'!M948&lt;&gt;0),('Дивиденды по годам'!J948+'Дивиденды по годам'!K948)/'Дивиденды по годам'!M948,""),"")</f>
        <v>0.53764437213170968</v>
      </c>
      <c r="V948">
        <f>IFERROR(IF(AND('Дивиденды по годам'!J948&lt;&gt;"",'Дивиденды по годам'!K948&lt;&gt;"",'Дивиденды по годам'!M948&lt;&gt;"",'Дивиденды по годам'!I948&lt;&gt;0),('Дивиденды по годам'!J948+'Дивиденды по годам'!K948)/'Дивиденды по годам'!I948,""),"")</f>
        <v>0.34965456374437714</v>
      </c>
      <c r="W948">
        <f>IFERROR('Дивиденды по годам'!I948,"")</f>
        <v>210748000000</v>
      </c>
      <c r="X948" cm="1">
        <f t="array" ref="X948">IFERROR(AVERAGE(_xlfn._xlws.FILTER(P$2:P$1073,($C$2:$C$1073=$C948)*($E$2:$E$1073=$E948)*(ROW(P$2:P$1073)&lt;&gt;ROW(P948))*(P$2:P$1073&lt;&gt;""))),"")</f>
        <v>26.097598787742612</v>
      </c>
      <c r="Y948" cm="1">
        <f t="array" ref="Y948">IFERROR(AVERAGE(_xlfn._xlws.FILTER(Q$2:Q$1073,($C$2:$C$1073=$C948)*($E$2:$E$1073=$E948)*(ROW(Q$2:Q$1073)&lt;&gt;ROW(Q948))*(Q$2:Q$1073&lt;&gt;""))),"")</f>
        <v>0.48545057773979866</v>
      </c>
      <c r="Z948" cm="1">
        <f t="array" ref="Z948">IFERROR(AVERAGE(_xlfn._xlws.FILTER(R$2:R$1073,($C$2:$C$1073=$C948)*($E$2:$E$1073=$E948)*(ROW(R$2:R$1073)&lt;&gt;ROW(R948))*(R$2:R$1073&lt;&gt;""))),"")</f>
        <v>0.52320407508172095</v>
      </c>
      <c r="AA948" cm="1">
        <f t="array" ref="AA948">IFERROR(AVERAGE(_xlfn._xlws.FILTER(S$2:S$1073,($C$2:$C$1073=$C948)*($E$2:$E$1073=$E948)*(ROW(S$2:S$1073)&lt;&gt;ROW(S948))*(S$2:S$1073&lt;&gt;""))),"")</f>
        <v>1.6872066374032209</v>
      </c>
      <c r="AB948" cm="1">
        <f t="array" ref="AB948">IFERROR(AVERAGE(_xlfn._xlws.FILTER(T$2:T$1073,($C$2:$C$1073=$C948)*($E$2:$E$1073=$E948)*(ROW(T$2:T$1073)&lt;&gt;ROW(T948))*(T$2:T$1073&lt;&gt;""))),"")</f>
        <v>0.16033402762031737</v>
      </c>
      <c r="AC948" cm="1">
        <f t="array" ref="AC948">IFERROR(AVERAGE(_xlfn._xlws.FILTER(U$2:U$1073,($C$2:$C$1073=$C948)*($E$2:$E$1073=$E948)*(ROW(U$2:U$1073)&lt;&gt;ROW(U948))*(U$2:U$1073&lt;&gt;""))),"")</f>
        <v>-2.8213735476784132</v>
      </c>
      <c r="AD948" cm="1">
        <f t="array" ref="AD948">IFERROR(AVERAGE(_xlfn._xlws.FILTER(V$2:V$1073,($C$2:$C$1073=$C948)*($E$2:$E$1073=$E948)*(ROW(V$2:V$1073)&lt;&gt;ROW(V948))*(V$2:V$1073&lt;&gt;""))),"")</f>
        <v>0.45830101083948727</v>
      </c>
      <c r="AE948">
        <f>IF('Дивиденды по годам'!M948&lt;0,1,0)</f>
        <v>0</v>
      </c>
    </row>
    <row r="949" spans="1:31" x14ac:dyDescent="0.2">
      <c r="A949" s="7" t="s">
        <v>2323</v>
      </c>
      <c r="B949" t="str">
        <f t="shared" si="154"/>
        <v>FESH IV кв. 2022</v>
      </c>
      <c r="C949">
        <v>2022</v>
      </c>
      <c r="D949">
        <f>SUMIFS(Дивиденды!$C:$C,Дивиденды!$A:$A,A949,Дивиденды!$I:$I,C949)</f>
        <v>0</v>
      </c>
      <c r="E949">
        <v>7</v>
      </c>
      <c r="F949">
        <f t="shared" si="155"/>
        <v>0</v>
      </c>
      <c r="G949">
        <f t="shared" si="156"/>
        <v>4.9275000000000002</v>
      </c>
      <c r="H949">
        <f t="shared" si="157"/>
        <v>0</v>
      </c>
      <c r="I949">
        <f t="shared" si="158"/>
        <v>0.75</v>
      </c>
      <c r="J949">
        <f t="shared" si="159"/>
        <v>0</v>
      </c>
      <c r="K949">
        <f t="shared" si="164"/>
        <v>0.5051072124756335</v>
      </c>
      <c r="L949">
        <f t="shared" si="160"/>
        <v>0</v>
      </c>
      <c r="M949">
        <f t="shared" si="161"/>
        <v>0.75</v>
      </c>
      <c r="N949">
        <f t="shared" si="162"/>
        <v>0</v>
      </c>
      <c r="O949">
        <f t="shared" si="163"/>
        <v>0</v>
      </c>
      <c r="P949">
        <f>IFERROR(LN('Дивиденды по годам'!I949),"")</f>
        <v>25.8372215671526</v>
      </c>
      <c r="Q949">
        <f>IFERROR('Дивиденды по годам'!G949/'Дивиденды по годам'!I949, "")</f>
        <v>0.45002314717394049</v>
      </c>
      <c r="R949">
        <f>IFERROR(IF(AND('Дивиденды по годам'!N949&lt;&gt;"",'Дивиденды по годам'!U949&lt;&gt;"",'Дивиденды по годам'!U949&lt;&gt;0),'Дивиденды по годам'!N949/'Дивиденды по годам'!U949-1,""),"")</f>
        <v>0.43030894652138363</v>
      </c>
      <c r="S949">
        <f>IFERROR(IF(AND('Дивиденды по годам'!L949&lt;&gt;"",'Дивиденды по годам'!I949&lt;&gt;"",'Дивиденды по годам'!J949&lt;&gt;"",'Дивиденды по годам'!K949&lt;&gt;"",('Дивиденды по годам'!I949-'Дивиденды по годам'!J949-'Дивиденды по годам'!K949)&lt;&gt;0),'Дивиденды по годам'!L949/('Дивиденды по годам'!I949-'Дивиденды по годам'!J949-'Дивиденды по годам'!K949),""),"")</f>
        <v>0.97513080336446123</v>
      </c>
      <c r="T949">
        <f>IFERROR(IF(AND('Дивиденды по годам'!Q949&lt;&gt;"",'Дивиденды по годам'!I949&lt;&gt;"",'Дивиденды по годам'!V949&lt;&gt;"",('Дивиденды по годам'!I949+'Дивиденды по годам'!V949)&lt;&gt;0),'Дивиденды по годам'!Q949/(('Дивиденды по годам'!I949+'Дивиденды по годам'!V949)/2),""),"")</f>
        <v>0.2754935389672839</v>
      </c>
      <c r="U949">
        <f>IFERROR(IF(AND('Дивиденды по годам'!J949&lt;&gt;"",'Дивиденды по годам'!K949&lt;&gt;"",'Дивиденды по годам'!M949&lt;&gt;"",'Дивиденды по годам'!M949&lt;&gt;0),('Дивиденды по годам'!J949+'Дивиденды по годам'!K949)/'Дивиденды по годам'!M949,""),"")</f>
        <v>0.83596043888116212</v>
      </c>
      <c r="V949">
        <f>IFERROR(IF(AND('Дивиденды по годам'!J949&lt;&gt;"",'Дивиденды по годам'!K949&lt;&gt;"",'Дивиденды по годам'!M949&lt;&gt;"",'Дивиденды по годам'!I949&lt;&gt;0),('Дивиденды по годам'!J949+'Дивиденды по годам'!K949)/'Дивиденды по годам'!I949,""),"")</f>
        <v>0.4553259542948529</v>
      </c>
      <c r="W949">
        <f>IFERROR('Дивиденды по годам'!I949,"")</f>
        <v>166327000000</v>
      </c>
      <c r="X949" cm="1">
        <f t="array" ref="X949">IFERROR(AVERAGE(_xlfn._xlws.FILTER(P$2:P$1073,($C$2:$C$1073=$C949)*($E$2:$E$1073=$E949)*(ROW(P$2:P$1073)&lt;&gt;ROW(P949))*(P$2:P$1073&lt;&gt;""))),"")</f>
        <v>25.584210277748657</v>
      </c>
      <c r="Y949" cm="1">
        <f t="array" ref="Y949">IFERROR(AVERAGE(_xlfn._xlws.FILTER(Q$2:Q$1073,($C$2:$C$1073=$C949)*($E$2:$E$1073=$E949)*(ROW(Q$2:Q$1073)&lt;&gt;ROW(Q949))*(Q$2:Q$1073&lt;&gt;""))),"")</f>
        <v>0.45576822383219673</v>
      </c>
      <c r="Z949" cm="1">
        <f t="array" ref="Z949">IFERROR(AVERAGE(_xlfn._xlws.FILTER(R$2:R$1073,($C$2:$C$1073=$C949)*($E$2:$E$1073=$E949)*(ROW(R$2:R$1073)&lt;&gt;ROW(R949))*(R$2:R$1073&lt;&gt;""))),"")</f>
        <v>-0.19053991105461443</v>
      </c>
      <c r="AA949" cm="1">
        <f t="array" ref="AA949">IFERROR(AVERAGE(_xlfn._xlws.FILTER(S$2:S$1073,($C$2:$C$1073=$C949)*($E$2:$E$1073=$E949)*(ROW(S$2:S$1073)&lt;&gt;ROW(S949))*(S$2:S$1073&lt;&gt;""))),"")</f>
        <v>1.6351552713774566</v>
      </c>
      <c r="AB949" cm="1">
        <f t="array" ref="AB949">IFERROR(AVERAGE(_xlfn._xlws.FILTER(T$2:T$1073,($C$2:$C$1073=$C949)*($E$2:$E$1073=$E949)*(ROW(T$2:T$1073)&lt;&gt;ROW(T949))*(T$2:T$1073&lt;&gt;""))),"")</f>
        <v>5.761830948824942E-2</v>
      </c>
      <c r="AC949" cm="1">
        <f t="array" ref="AC949">IFERROR(AVERAGE(_xlfn._xlws.FILTER(U$2:U$1073,($C$2:$C$1073=$C949)*($E$2:$E$1073=$E949)*(ROW(U$2:U$1073)&lt;&gt;ROW(U949))*(U$2:U$1073&lt;&gt;""))),"")</f>
        <v>-3.3788907270761612</v>
      </c>
      <c r="AD949" cm="1">
        <f t="array" ref="AD949">IFERROR(AVERAGE(_xlfn._xlws.FILTER(V$2:V$1073,($C$2:$C$1073=$C949)*($E$2:$E$1073=$E949)*(ROW(V$2:V$1073)&lt;&gt;ROW(V949))*(V$2:V$1073&lt;&gt;""))),"")</f>
        <v>0.49523535250944101</v>
      </c>
      <c r="AE949">
        <f>IF('Дивиденды по годам'!M949&lt;0,1,0)</f>
        <v>0</v>
      </c>
    </row>
    <row r="950" spans="1:31" x14ac:dyDescent="0.2">
      <c r="A950" s="7" t="s">
        <v>2323</v>
      </c>
      <c r="B950" t="str">
        <f t="shared" si="154"/>
        <v>FESH IV кв. 2021</v>
      </c>
      <c r="C950">
        <v>2021</v>
      </c>
      <c r="D950">
        <f>SUMIFS(Дивиденды!$C:$C,Дивиденды!$A:$A,A950,Дивиденды!$I:$I,C950)</f>
        <v>0</v>
      </c>
      <c r="E950">
        <v>7</v>
      </c>
      <c r="F950">
        <f t="shared" si="155"/>
        <v>0</v>
      </c>
      <c r="G950">
        <f t="shared" si="156"/>
        <v>2.5099999999999998</v>
      </c>
      <c r="H950">
        <f t="shared" si="157"/>
        <v>0</v>
      </c>
      <c r="I950">
        <f t="shared" si="158"/>
        <v>0.5</v>
      </c>
      <c r="J950">
        <f t="shared" si="159"/>
        <v>0</v>
      </c>
      <c r="K950">
        <f t="shared" si="164"/>
        <v>1.6381617219313558</v>
      </c>
      <c r="L950">
        <f t="shared" si="160"/>
        <v>0</v>
      </c>
      <c r="M950">
        <f t="shared" si="161"/>
        <v>0.25</v>
      </c>
      <c r="N950">
        <f t="shared" si="162"/>
        <v>0</v>
      </c>
      <c r="O950">
        <f t="shared" si="163"/>
        <v>0.5</v>
      </c>
      <c r="P950">
        <f>IFERROR(LN('Дивиденды по годам'!I950),"")</f>
        <v>25.507569168810942</v>
      </c>
      <c r="Q950">
        <f>IFERROR('Дивиденды по годам'!G950/'Дивиденды по годам'!I950, "")</f>
        <v>0.54777709040445421</v>
      </c>
      <c r="R950">
        <f>IFERROR(IF(AND('Дивиденды по годам'!N950&lt;&gt;"",'Дивиденды по годам'!U950&lt;&gt;"",'Дивиденды по годам'!U950&lt;&gt;0),'Дивиденды по годам'!N950/'Дивиденды по годам'!U950-1,""),"")</f>
        <v>0.82905996654227265</v>
      </c>
      <c r="S950">
        <f>IFERROR(IF(AND('Дивиденды по годам'!L950&lt;&gt;"",'Дивиденды по годам'!I950&lt;&gt;"",'Дивиденды по годам'!J950&lt;&gt;"",'Дивиденды по годам'!K950&lt;&gt;"",('Дивиденды по годам'!I950-'Дивиденды по годам'!J950-'Дивиденды по годам'!K950)&lt;&gt;0),'Дивиденды по годам'!L950/('Дивиденды по годам'!I950-'Дивиденды по годам'!J950-'Дивиденды по годам'!K950),""),"")</f>
        <v>0.82272903261490804</v>
      </c>
      <c r="T950">
        <f>IFERROR(IF(AND('Дивиденды по годам'!Q950&lt;&gt;"",'Дивиденды по годам'!I950&lt;&gt;"",'Дивиденды по годам'!V950&lt;&gt;"",('Дивиденды по годам'!I950+'Дивиденды по годам'!V950)&lt;&gt;0),'Дивиденды по годам'!Q950/(('Дивиденды по годам'!I950+'Дивиденды по годам'!V950)/2),""),"")</f>
        <v>0.43425136097933148</v>
      </c>
      <c r="U950">
        <f>IFERROR(IF(AND('Дивиденды по годам'!J950&lt;&gt;"",'Дивиденды по годам'!K950&lt;&gt;"",'Дивиденды по годам'!M950&lt;&gt;"",'Дивиденды по годам'!M950&lt;&gt;0),('Дивиденды по годам'!J950+'Дивиденды по годам'!K950)/'Дивиденды по годам'!M950,""),"")</f>
        <v>1.2053872674643706</v>
      </c>
      <c r="V950">
        <f>IFERROR(IF(AND('Дивиденды по годам'!J950&lt;&gt;"",'Дивиденды по годам'!K950&lt;&gt;"",'Дивиденды по годам'!M950&lt;&gt;"",'Дивиденды по годам'!I950&lt;&gt;0),('Дивиденды по годам'!J950+'Дивиденды по годам'!K950)/'Дивиденды по годам'!I950,""),"")</f>
        <v>0.54656489825945931</v>
      </c>
      <c r="W950">
        <f>IFERROR('Дивиденды по годам'!I950,"")</f>
        <v>119618000000</v>
      </c>
      <c r="X950" cm="1">
        <f t="array" ref="X950">IFERROR(AVERAGE(_xlfn._xlws.FILTER(P$2:P$1073,($C$2:$C$1073=$C950)*($E$2:$E$1073=$E950)*(ROW(P$2:P$1073)&lt;&gt;ROW(P950))*(P$2:P$1073&lt;&gt;""))),"")</f>
        <v>25.967494922145335</v>
      </c>
      <c r="Y950" cm="1">
        <f t="array" ref="Y950">IFERROR(AVERAGE(_xlfn._xlws.FILTER(Q$2:Q$1073,($C$2:$C$1073=$C950)*($E$2:$E$1073=$E950)*(ROW(Q$2:Q$1073)&lt;&gt;ROW(Q950))*(Q$2:Q$1073&lt;&gt;""))),"")</f>
        <v>0.55903505314141511</v>
      </c>
      <c r="Z950" cm="1">
        <f t="array" ref="Z950">IFERROR(AVERAGE(_xlfn._xlws.FILTER(R$2:R$1073,($C$2:$C$1073=$C950)*($E$2:$E$1073=$E950)*(ROW(R$2:R$1073)&lt;&gt;ROW(R950))*(R$2:R$1073&lt;&gt;""))),"")</f>
        <v>0.13725075243096099</v>
      </c>
      <c r="AA950" cm="1">
        <f t="array" ref="AA950">IFERROR(AVERAGE(_xlfn._xlws.FILTER(S$2:S$1073,($C$2:$C$1073=$C950)*($E$2:$E$1073=$E950)*(ROW(S$2:S$1073)&lt;&gt;ROW(S950))*(S$2:S$1073&lt;&gt;""))),"")</f>
        <v>1.0964828371193758</v>
      </c>
      <c r="AB950" cm="1">
        <f t="array" ref="AB950">IFERROR(AVERAGE(_xlfn._xlws.FILTER(T$2:T$1073,($C$2:$C$1073=$C950)*($E$2:$E$1073=$E950)*(ROW(T$2:T$1073)&lt;&gt;ROW(T950))*(T$2:T$1073&lt;&gt;""))),"")</f>
        <v>5.6867964518894337E-2</v>
      </c>
      <c r="AC950" cm="1">
        <f t="array" ref="AC950">IFERROR(AVERAGE(_xlfn._xlws.FILTER(U$2:U$1073,($C$2:$C$1073=$C950)*($E$2:$E$1073=$E950)*(ROW(U$2:U$1073)&lt;&gt;ROW(U950))*(U$2:U$1073&lt;&gt;""))),"")</f>
        <v>-2.4993172664289998</v>
      </c>
      <c r="AD950" cm="1">
        <f t="array" ref="AD950">IFERROR(AVERAGE(_xlfn._xlws.FILTER(V$2:V$1073,($C$2:$C$1073=$C950)*($E$2:$E$1073=$E950)*(ROW(V$2:V$1073)&lt;&gt;ROW(V950))*(V$2:V$1073&lt;&gt;""))),"")</f>
        <v>0.59284750131645758</v>
      </c>
      <c r="AE950">
        <f>IF('Дивиденды по годам'!M950&lt;0,1,0)</f>
        <v>0</v>
      </c>
    </row>
    <row r="951" spans="1:31" x14ac:dyDescent="0.2">
      <c r="A951" s="7" t="s">
        <v>2323</v>
      </c>
      <c r="B951" t="str">
        <f t="shared" si="154"/>
        <v>FESH IV кв. 2020</v>
      </c>
      <c r="C951">
        <v>2020</v>
      </c>
      <c r="D951">
        <f>SUMIFS(Дивиденды!$C:$C,Дивиденды!$A:$A,A951,Дивиденды!$I:$I,C951)</f>
        <v>0</v>
      </c>
      <c r="E951">
        <v>7</v>
      </c>
      <c r="F951">
        <f t="shared" si="155"/>
        <v>0</v>
      </c>
      <c r="G951">
        <f t="shared" si="156"/>
        <v>5.9799999999999995</v>
      </c>
      <c r="H951">
        <f t="shared" si="157"/>
        <v>0</v>
      </c>
      <c r="I951">
        <f t="shared" si="158"/>
        <v>0.75</v>
      </c>
      <c r="J951">
        <f t="shared" si="159"/>
        <v>0</v>
      </c>
      <c r="K951">
        <f t="shared" si="164"/>
        <v>0.34820127504553727</v>
      </c>
      <c r="L951">
        <f t="shared" si="160"/>
        <v>0</v>
      </c>
      <c r="M951">
        <f t="shared" si="161"/>
        <v>0.5</v>
      </c>
      <c r="N951">
        <f t="shared" si="162"/>
        <v>0</v>
      </c>
      <c r="O951">
        <f t="shared" si="163"/>
        <v>0.25</v>
      </c>
      <c r="P951">
        <f>IFERROR(LN('Дивиденды по годам'!I951),"")</f>
        <v>24.725220949875165</v>
      </c>
      <c r="Q951">
        <f>IFERROR('Дивиденды по годам'!G951/'Дивиденды по годам'!I951, "")</f>
        <v>0.55828534868841972</v>
      </c>
      <c r="R951">
        <f>IFERROR(IF(AND('Дивиденды по годам'!N951&lt;&gt;"",'Дивиденды по годам'!U951&lt;&gt;"",'Дивиденды по годам'!U951&lt;&gt;0),'Дивиденды по годам'!N951/'Дивиденды по годам'!U951-1,""),"")</f>
        <v>9.6959751557178953E-2</v>
      </c>
      <c r="S951">
        <f>IFERROR(IF(AND('Дивиденды по годам'!L951&lt;&gt;"",'Дивиденды по годам'!I951&lt;&gt;"",'Дивиденды по годам'!J951&lt;&gt;"",'Дивиденды по годам'!K951&lt;&gt;"",('Дивиденды по годам'!I951-'Дивиденды по годам'!J951-'Дивиденды по годам'!K951)&lt;&gt;0),'Дивиденды по годам'!L951/('Дивиденды по годам'!I951-'Дивиденды по годам'!J951-'Дивиденды по годам'!K951),""),"")</f>
        <v>1.5027760641579273</v>
      </c>
      <c r="T951">
        <f>IFERROR(IF(AND('Дивиденды по годам'!Q951&lt;&gt;"",'Дивиденды по годам'!I951&lt;&gt;"",'Дивиденды по годам'!V951&lt;&gt;"",('Дивиденды по годам'!I951+'Дивиденды по годам'!V951)&lt;&gt;0),'Дивиденды по годам'!Q951/(('Дивиденды по годам'!I951+'Дивиденды по годам'!V951)/2),""),"")</f>
        <v>0.14385686707115278</v>
      </c>
      <c r="U951">
        <f>IFERROR(IF(AND('Дивиденды по годам'!J951&lt;&gt;"",'Дивиденды по годам'!K951&lt;&gt;"",'Дивиденды по годам'!M951&lt;&gt;"",'Дивиденды по годам'!M951&lt;&gt;0),('Дивиденды по годам'!J951+'Дивиденды по годам'!K951)/'Дивиденды по годам'!M951,""),"")</f>
        <v>10.249228871067242</v>
      </c>
      <c r="V951">
        <f>IFERROR(IF(AND('Дивиденды по годам'!J951&lt;&gt;"",'Дивиденды по годам'!K951&lt;&gt;"",'Дивиденды по годам'!M951&lt;&gt;"",'Дивиденды по годам'!I951&lt;&gt;0),('Дивиденды по годам'!J951+'Дивиденды по годам'!K951)/'Дивиденды по годам'!I951,""),"")</f>
        <v>0.91110501782286812</v>
      </c>
      <c r="W951">
        <f>IFERROR('Дивиденды по годам'!I951,"")</f>
        <v>54705000000</v>
      </c>
      <c r="X951" cm="1">
        <f t="array" ref="X951">IFERROR(AVERAGE(_xlfn._xlws.FILTER(P$2:P$1073,($C$2:$C$1073=$C951)*($E$2:$E$1073=$E951)*(ROW(P$2:P$1073)&lt;&gt;ROW(P951))*(P$2:P$1073&lt;&gt;""))),"")</f>
        <v>25.936811415084446</v>
      </c>
      <c r="Y951" cm="1">
        <f t="array" ref="Y951">IFERROR(AVERAGE(_xlfn._xlws.FILTER(Q$2:Q$1073,($C$2:$C$1073=$C951)*($E$2:$E$1073=$E951)*(ROW(Q$2:Q$1073)&lt;&gt;ROW(Q951))*(Q$2:Q$1073&lt;&gt;""))),"")</f>
        <v>0.51057220545202509</v>
      </c>
      <c r="Z951" cm="1">
        <f t="array" ref="Z951">IFERROR(AVERAGE(_xlfn._xlws.FILTER(R$2:R$1073,($C$2:$C$1073=$C951)*($E$2:$E$1073=$E951)*(ROW(R$2:R$1073)&lt;&gt;ROW(R951))*(R$2:R$1073&lt;&gt;""))),"")</f>
        <v>-0.30423203710615859</v>
      </c>
      <c r="AA951" cm="1">
        <f t="array" ref="AA951">IFERROR(AVERAGE(_xlfn._xlws.FILTER(S$2:S$1073,($C$2:$C$1073=$C951)*($E$2:$E$1073=$E951)*(ROW(S$2:S$1073)&lt;&gt;ROW(S951))*(S$2:S$1073&lt;&gt;""))),"")</f>
        <v>1.2796771708493573</v>
      </c>
      <c r="AB951" cm="1">
        <f t="array" ref="AB951">IFERROR(AVERAGE(_xlfn._xlws.FILTER(T$2:T$1073,($C$2:$C$1073=$C951)*($E$2:$E$1073=$E951)*(ROW(T$2:T$1073)&lt;&gt;ROW(T951))*(T$2:T$1073&lt;&gt;""))),"")</f>
        <v>2.7009562375312254E-2</v>
      </c>
      <c r="AC951" cm="1">
        <f t="array" ref="AC951">IFERROR(AVERAGE(_xlfn._xlws.FILTER(U$2:U$1073,($C$2:$C$1073=$C951)*($E$2:$E$1073=$E951)*(ROW(U$2:U$1073)&lt;&gt;ROW(U951))*(U$2:U$1073&lt;&gt;""))),"")</f>
        <v>-1.8369232585619564</v>
      </c>
      <c r="AD951" cm="1">
        <f t="array" ref="AD951">IFERROR(AVERAGE(_xlfn._xlws.FILTER(V$2:V$1073,($C$2:$C$1073=$C951)*($E$2:$E$1073=$E951)*(ROW(V$2:V$1073)&lt;&gt;ROW(V951))*(V$2:V$1073&lt;&gt;""))),"")</f>
        <v>0.61343568048523966</v>
      </c>
      <c r="AE951">
        <f>IF('Дивиденды по годам'!M951&lt;0,1,0)</f>
        <v>0</v>
      </c>
    </row>
    <row r="952" spans="1:31" x14ac:dyDescent="0.2">
      <c r="A952" s="7" t="s">
        <v>2323</v>
      </c>
      <c r="B952" t="str">
        <f t="shared" si="154"/>
        <v>FESH IV кв. 2019</v>
      </c>
      <c r="C952">
        <v>2019</v>
      </c>
      <c r="D952">
        <f>SUMIFS(Дивиденды!$C:$C,Дивиденды!$A:$A,A952,Дивиденды!$I:$I,C952)</f>
        <v>0</v>
      </c>
      <c r="E952">
        <v>7</v>
      </c>
      <c r="F952">
        <f t="shared" si="155"/>
        <v>0</v>
      </c>
      <c r="G952">
        <f t="shared" si="156"/>
        <v>2.1675</v>
      </c>
      <c r="H952">
        <f t="shared" si="157"/>
        <v>0</v>
      </c>
      <c r="I952">
        <f t="shared" si="158"/>
        <v>0.5</v>
      </c>
      <c r="J952">
        <f t="shared" si="159"/>
        <v>0</v>
      </c>
      <c r="K952">
        <f t="shared" si="164"/>
        <v>-0.41226903960946981</v>
      </c>
      <c r="L952">
        <f t="shared" si="160"/>
        <v>0</v>
      </c>
      <c r="M952">
        <f t="shared" si="161"/>
        <v>0.25</v>
      </c>
      <c r="N952">
        <f t="shared" si="162"/>
        <v>0</v>
      </c>
      <c r="O952">
        <f t="shared" si="163"/>
        <v>0.5</v>
      </c>
      <c r="P952">
        <f>IFERROR(LN('Дивиденды по годам'!I952),"")</f>
        <v>24.839486039685951</v>
      </c>
      <c r="Q952">
        <f>IFERROR('Дивиденды по годам'!G952/'Дивиденды по годам'!I952, "")</f>
        <v>0.47367391198004144</v>
      </c>
      <c r="R952">
        <f>IFERROR(IF(AND('Дивиденды по годам'!N952&lt;&gt;"",'Дивиденды по годам'!U952&lt;&gt;"",'Дивиденды по годам'!U952&lt;&gt;0),'Дивиденды по годам'!N952/'Дивиденды по годам'!U952-1,""),"")</f>
        <v>-5.6147246153036567E-3</v>
      </c>
      <c r="S952">
        <f>IFERROR(IF(AND('Дивиденды по годам'!L952&lt;&gt;"",'Дивиденды по годам'!I952&lt;&gt;"",'Дивиденды по годам'!J952&lt;&gt;"",'Дивиденды по годам'!K952&lt;&gt;"",('Дивиденды по годам'!I952-'Дивиденды по годам'!J952-'Дивиденды по годам'!K952)&lt;&gt;0),'Дивиденды по годам'!L952/('Дивиденды по годам'!I952-'Дивиденды по годам'!J952-'Дивиденды по годам'!K952),""),"")</f>
        <v>-0.16188268853628099</v>
      </c>
      <c r="T952">
        <f>IFERROR(IF(AND('Дивиденды по годам'!Q952&lt;&gt;"",'Дивиденды по годам'!I952&lt;&gt;"",'Дивиденды по годам'!V952&lt;&gt;"",('Дивиденды по годам'!I952+'Дивиденды по годам'!V952)&lt;&gt;0),'Дивиденды по годам'!Q952/(('Дивиденды по годам'!I952+'Дивиденды по годам'!V952)/2),""),"")</f>
        <v>-3.0158652193133257E-2</v>
      </c>
      <c r="U952">
        <f>IFERROR(IF(AND('Дивиденды по годам'!J952&lt;&gt;"",'Дивиденды по годам'!K952&lt;&gt;"",'Дивиденды по годам'!M952&lt;&gt;"",'Дивиденды по годам'!M952&lt;&gt;0),('Дивиденды по годам'!J952+'Дивиденды по годам'!K952)/'Дивиденды по годам'!M952,""),"")</f>
        <v>9.9336780174719195</v>
      </c>
      <c r="V952">
        <f>IFERROR(IF(AND('Дивиденды по годам'!J952&lt;&gt;"",'Дивиденды по годам'!K952&lt;&gt;"",'Дивиденды по годам'!M952&lt;&gt;"",'Дивиденды по годам'!I952&lt;&gt;0),('Дивиденды по годам'!J952+'Дивиденды по годам'!K952)/'Дивиденды по годам'!I952,""),"")</f>
        <v>0.90853946874949043</v>
      </c>
      <c r="W952">
        <f>IFERROR('Дивиденды по годам'!I952,"")</f>
        <v>61327000000</v>
      </c>
      <c r="X952" cm="1">
        <f t="array" ref="X952">IFERROR(AVERAGE(_xlfn._xlws.FILTER(P$2:P$1073,($C$2:$C$1073=$C952)*($E$2:$E$1073=$E952)*(ROW(P$2:P$1073)&lt;&gt;ROW(P952))*(P$2:P$1073&lt;&gt;""))),"")</f>
        <v>25.960815387241947</v>
      </c>
      <c r="Y952" cm="1">
        <f t="array" ref="Y952">IFERROR(AVERAGE(_xlfn._xlws.FILTER(Q$2:Q$1073,($C$2:$C$1073=$C952)*($E$2:$E$1073=$E952)*(ROW(Q$2:Q$1073)&lt;&gt;ROW(Q952))*(Q$2:Q$1073&lt;&gt;""))),"")</f>
        <v>0.46742227860114982</v>
      </c>
      <c r="Z952" cm="1">
        <f t="array" ref="Z952">IFERROR(AVERAGE(_xlfn._xlws.FILTER(R$2:R$1073,($C$2:$C$1073=$C952)*($E$2:$E$1073=$E952)*(ROW(R$2:R$1073)&lt;&gt;ROW(R952))*(R$2:R$1073&lt;&gt;""))),"")</f>
        <v>0.13418957509748067</v>
      </c>
      <c r="AA952" cm="1">
        <f t="array" ref="AA952">IFERROR(AVERAGE(_xlfn._xlws.FILTER(S$2:S$1073,($C$2:$C$1073=$C952)*($E$2:$E$1073=$E952)*(ROW(S$2:S$1073)&lt;&gt;ROW(S952))*(S$2:S$1073&lt;&gt;""))),"")</f>
        <v>-3.3599657934334979</v>
      </c>
      <c r="AB952" cm="1">
        <f t="array" ref="AB952">IFERROR(AVERAGE(_xlfn._xlws.FILTER(T$2:T$1073,($C$2:$C$1073=$C952)*($E$2:$E$1073=$E952)*(ROW(T$2:T$1073)&lt;&gt;ROW(T952))*(T$2:T$1073&lt;&gt;""))),"")</f>
        <v>0.12699490702067573</v>
      </c>
      <c r="AC952" cm="1">
        <f t="array" ref="AC952">IFERROR(AVERAGE(_xlfn._xlws.FILTER(U$2:U$1073,($C$2:$C$1073=$C952)*($E$2:$E$1073=$E952)*(ROW(U$2:U$1073)&lt;&gt;ROW(U952))*(U$2:U$1073&lt;&gt;""))),"")</f>
        <v>120.20545379856182</v>
      </c>
      <c r="AD952" cm="1">
        <f t="array" ref="AD952">IFERROR(AVERAGE(_xlfn._xlws.FILTER(V$2:V$1073,($C$2:$C$1073=$C952)*($E$2:$E$1073=$E952)*(ROW(V$2:V$1073)&lt;&gt;ROW(V952))*(V$2:V$1073&lt;&gt;""))),"")</f>
        <v>0.6333147224679937</v>
      </c>
      <c r="AE952">
        <f>IF('Дивиденды по годам'!M952&lt;0,1,0)</f>
        <v>0</v>
      </c>
    </row>
    <row r="953" spans="1:31" x14ac:dyDescent="0.2">
      <c r="A953" s="7" t="s">
        <v>2323</v>
      </c>
      <c r="B953" t="str">
        <f t="shared" si="154"/>
        <v>FESH IV кв. 2018</v>
      </c>
      <c r="C953">
        <v>2018</v>
      </c>
      <c r="D953">
        <f>SUMIFS(Дивиденды!$C:$C,Дивиденды!$A:$A,A953,Дивиденды!$I:$I,C953)</f>
        <v>0</v>
      </c>
      <c r="E953">
        <v>7</v>
      </c>
      <c r="F953">
        <f t="shared" si="155"/>
        <v>0</v>
      </c>
      <c r="G953">
        <f t="shared" si="156"/>
        <v>7.1700000000000008</v>
      </c>
      <c r="H953">
        <f t="shared" si="157"/>
        <v>0</v>
      </c>
      <c r="I953">
        <f t="shared" si="158"/>
        <v>0.75</v>
      </c>
      <c r="J953">
        <f t="shared" si="159"/>
        <v>0</v>
      </c>
      <c r="K953">
        <f t="shared" si="164"/>
        <v>0.11339387124820305</v>
      </c>
      <c r="L953">
        <f t="shared" si="160"/>
        <v>0</v>
      </c>
      <c r="M953">
        <f t="shared" si="161"/>
        <v>0.5</v>
      </c>
      <c r="N953">
        <f t="shared" si="162"/>
        <v>0</v>
      </c>
      <c r="O953">
        <f t="shared" si="163"/>
        <v>0.25</v>
      </c>
      <c r="P953">
        <f>IFERROR(LN('Дивиденды по годам'!I953),"")</f>
        <v>24.831299606292028</v>
      </c>
      <c r="Q953">
        <f>IFERROR('Дивиденды по годам'!G953/'Дивиденды по годам'!I953, "")</f>
        <v>0.583688164795239</v>
      </c>
      <c r="R953">
        <f>IFERROR(IF(AND('Дивиденды по годам'!N953&lt;&gt;"",'Дивиденды по годам'!U953&lt;&gt;"",'Дивиденды по годам'!U953&lt;&gt;0),'Дивиденды по годам'!N953/'Дивиденды по годам'!U953-1,""),"")</f>
        <v>0.30281625748639884</v>
      </c>
      <c r="S953">
        <f>IFERROR(IF(AND('Дивиденды по годам'!L953&lt;&gt;"",'Дивиденды по годам'!I953&lt;&gt;"",'Дивиденды по годам'!J953&lt;&gt;"",'Дивиденды по годам'!K953&lt;&gt;"",('Дивиденды по годам'!I953-'Дивиденды по годам'!J953-'Дивиденды по годам'!K953)&lt;&gt;0),'Дивиденды по годам'!L953/('Дивиденды по годам'!I953-'Дивиденды по годам'!J953-'Дивиденды по годам'!K953),""),"")</f>
        <v>0.41309823677581864</v>
      </c>
      <c r="T953">
        <f>IFERROR(IF(AND('Дивиденды по годам'!Q953&lt;&gt;"",'Дивиденды по годам'!I953&lt;&gt;"",'Дивиденды по годам'!V953&lt;&gt;"",('Дивиденды по годам'!I953+'Дивиденды по годам'!V953)&lt;&gt;0),'Дивиденды по годам'!Q953/(('Дивиденды по годам'!I953+'Дивиденды по годам'!V953)/2),""),"")</f>
        <v>0.11363304745383505</v>
      </c>
      <c r="U953">
        <f>IFERROR(IF(AND('Дивиденды по годам'!J953&lt;&gt;"",'Дивиденды по годам'!K953&lt;&gt;"",'Дивиденды по годам'!M953&lt;&gt;"",'Дивиденды по годам'!M953&lt;&gt;0),('Дивиденды по годам'!J953+'Дивиденды по годам'!K953)/'Дивиденды по годам'!M953,""),"")</f>
        <v>18.152078085642316</v>
      </c>
      <c r="V953">
        <f>IFERROR(IF(AND('Дивиденды по годам'!J953&lt;&gt;"",'Дивиденды по годам'!K953&lt;&gt;"",'Дивиденды по годам'!M953&lt;&gt;"",'Дивиденды по годам'!I953&lt;&gt;0),('Дивиденды по годам'!J953+'Дивиденды по годам'!K953)/'Дивиденды по годам'!I953,""),"")</f>
        <v>0.94778634487974089</v>
      </c>
      <c r="W953">
        <f>IFERROR('Дивиденды по годам'!I953,"")</f>
        <v>60827000000</v>
      </c>
      <c r="X953" cm="1">
        <f t="array" ref="X953">IFERROR(AVERAGE(_xlfn._xlws.FILTER(P$2:P$1073,($C$2:$C$1073=$C953)*($E$2:$E$1073=$E953)*(ROW(P$2:P$1073)&lt;&gt;ROW(P953))*(P$2:P$1073&lt;&gt;""))),"")</f>
        <v>25.521727013368306</v>
      </c>
      <c r="Y953" cm="1">
        <f t="array" ref="Y953">IFERROR(AVERAGE(_xlfn._xlws.FILTER(Q$2:Q$1073,($C$2:$C$1073=$C953)*($E$2:$E$1073=$E953)*(ROW(Q$2:Q$1073)&lt;&gt;ROW(Q953))*(Q$2:Q$1073&lt;&gt;""))),"")</f>
        <v>0.5784602116901818</v>
      </c>
      <c r="Z953" cm="1">
        <f t="array" ref="Z953">IFERROR(AVERAGE(_xlfn._xlws.FILTER(R$2:R$1073,($C$2:$C$1073=$C953)*($E$2:$E$1073=$E953)*(ROW(R$2:R$1073)&lt;&gt;ROW(R953))*(R$2:R$1073&lt;&gt;""))),"")</f>
        <v>0.39275008371177889</v>
      </c>
      <c r="AA953" cm="1">
        <f t="array" ref="AA953">IFERROR(AVERAGE(_xlfn._xlws.FILTER(S$2:S$1073,($C$2:$C$1073=$C953)*($E$2:$E$1073=$E953)*(ROW(S$2:S$1073)&lt;&gt;ROW(S953))*(S$2:S$1073&lt;&gt;""))),"")</f>
        <v>1.4700763607671012</v>
      </c>
      <c r="AB953" cm="1">
        <f t="array" ref="AB953">IFERROR(AVERAGE(_xlfn._xlws.FILTER(T$2:T$1073,($C$2:$C$1073=$C953)*($E$2:$E$1073=$E953)*(ROW(T$2:T$1073)&lt;&gt;ROW(T953))*(T$2:T$1073&lt;&gt;""))),"")</f>
        <v>0.11687836946039176</v>
      </c>
      <c r="AC953" cm="1">
        <f t="array" ref="AC953">IFERROR(AVERAGE(_xlfn._xlws.FILTER(U$2:U$1073,($C$2:$C$1073=$C953)*($E$2:$E$1073=$E953)*(ROW(U$2:U$1073)&lt;&gt;ROW(U953))*(U$2:U$1073&lt;&gt;""))),"")</f>
        <v>2.4420961400190477</v>
      </c>
      <c r="AD953" cm="1">
        <f t="array" ref="AD953">IFERROR(AVERAGE(_xlfn._xlws.FILTER(V$2:V$1073,($C$2:$C$1073=$C953)*($E$2:$E$1073=$E953)*(ROW(V$2:V$1073)&lt;&gt;ROW(V953))*(V$2:V$1073&lt;&gt;""))),"")</f>
        <v>0.62557874703711325</v>
      </c>
      <c r="AE953">
        <f>IF('Дивиденды по годам'!M953&lt;0,1,0)</f>
        <v>0</v>
      </c>
    </row>
    <row r="954" spans="1:31" x14ac:dyDescent="0.2">
      <c r="A954" s="7" t="s">
        <v>2323</v>
      </c>
      <c r="B954" t="str">
        <f t="shared" si="154"/>
        <v>FESH IV кв. 2017</v>
      </c>
      <c r="C954">
        <v>2017</v>
      </c>
      <c r="D954">
        <f>SUMIFS(Дивиденды!$C:$C,Дивиденды!$A:$A,A954,Дивиденды!$I:$I,C954)</f>
        <v>0</v>
      </c>
      <c r="E954">
        <v>7</v>
      </c>
      <c r="F954">
        <f t="shared" si="155"/>
        <v>0</v>
      </c>
      <c r="G954">
        <f t="shared" si="156"/>
        <v>8.17</v>
      </c>
      <c r="H954">
        <f t="shared" si="157"/>
        <v>0</v>
      </c>
      <c r="I954">
        <f t="shared" si="158"/>
        <v>0.5</v>
      </c>
      <c r="J954">
        <f t="shared" si="159"/>
        <v>0</v>
      </c>
      <c r="K954">
        <f t="shared" si="164"/>
        <v>-0.14652835050548463</v>
      </c>
      <c r="L954">
        <f t="shared" si="160"/>
        <v>0</v>
      </c>
      <c r="M954">
        <f t="shared" si="161"/>
        <v>0.25</v>
      </c>
      <c r="N954">
        <f t="shared" si="162"/>
        <v>0</v>
      </c>
      <c r="O954">
        <f t="shared" si="163"/>
        <v>0.5</v>
      </c>
      <c r="P954">
        <f>IFERROR(LN('Дивиденды по годам'!I954),"")</f>
        <v>24.85899223694728</v>
      </c>
      <c r="Q954">
        <f>IFERROR('Дивиденды по годам'!G954/'Дивиденды по годам'!I954, "")</f>
        <v>0.35298632765651233</v>
      </c>
      <c r="R954">
        <f>IFERROR(IF(AND('Дивиденды по годам'!N954&lt;&gt;"",'Дивиденды по годам'!U954&lt;&gt;"",'Дивиденды по годам'!U954&lt;&gt;0),'Дивиденды по годам'!N954/'Дивиденды по годам'!U954-1,""),"")</f>
        <v>0.18165365603306238</v>
      </c>
      <c r="S954">
        <f>IFERROR(IF(AND('Дивиденды по годам'!L954&lt;&gt;"",'Дивиденды по годам'!I954&lt;&gt;"",'Дивиденды по годам'!J954&lt;&gt;"",'Дивиденды по годам'!K954&lt;&gt;"",('Дивиденды по годам'!I954-'Дивиденды по годам'!J954-'Дивиденды по годам'!K954)&lt;&gt;0),'Дивиденды по годам'!L954/('Дивиденды по годам'!I954-'Дивиденды по годам'!J954-'Дивиденды по годам'!K954),""),"")</f>
        <v>-1.7384273937856689</v>
      </c>
      <c r="T954">
        <f>IFERROR(IF(AND('Дивиденды по годам'!Q954&lt;&gt;"",'Дивиденды по годам'!I954&lt;&gt;"",'Дивиденды по годам'!V954&lt;&gt;"",('Дивиденды по годам'!I954+'Дивиденды по годам'!V954)&lt;&gt;0),'Дивиденды по годам'!Q954/(('Дивиденды по годам'!I954+'Дивиденды по годам'!V954)/2),""),"")</f>
        <v>0.22940326244063597</v>
      </c>
      <c r="U954">
        <f>IFERROR(IF(AND('Дивиденды по годам'!J954&lt;&gt;"",'Дивиденды по годам'!K954&lt;&gt;"",'Дивиденды по годам'!M954&lt;&gt;"",'Дивиденды по годам'!M954&lt;&gt;0),('Дивиденды по годам'!J954+'Дивиденды по годам'!K954)/'Дивиденды по годам'!M954,""),"")</f>
        <v>18.827203551046292</v>
      </c>
      <c r="V954">
        <f>IFERROR(IF(AND('Дивиденды по годам'!J954&lt;&gt;"",'Дивиденды по годам'!K954&lt;&gt;"",'Дивиденды по годам'!M954&lt;&gt;"",'Дивиденды по годам'!I954&lt;&gt;0),('Дивиденды по годам'!J954+'Дивиденды по годам'!K954)/'Дивиденды по годам'!I954,""),"")</f>
        <v>0.94956424402334694</v>
      </c>
      <c r="W954">
        <f>IFERROR('Дивиденды по годам'!I954,"")</f>
        <v>62535000000</v>
      </c>
      <c r="X954" cm="1">
        <f t="array" ref="X954">IFERROR(AVERAGE(_xlfn._xlws.FILTER(P$2:P$1073,($C$2:$C$1073=$C954)*($E$2:$E$1073=$E954)*(ROW(P$2:P$1073)&lt;&gt;ROW(P954))*(P$2:P$1073&lt;&gt;""))),"")</f>
        <v>25.442546067584232</v>
      </c>
      <c r="Y954" cm="1">
        <f t="array" ref="Y954">IFERROR(AVERAGE(_xlfn._xlws.FILTER(Q$2:Q$1073,($C$2:$C$1073=$C954)*($E$2:$E$1073=$E954)*(ROW(Q$2:Q$1073)&lt;&gt;ROW(Q954))*(Q$2:Q$1073&lt;&gt;""))),"")</f>
        <v>0.56119695491824362</v>
      </c>
      <c r="Z954" cm="1">
        <f t="array" ref="Z954">IFERROR(AVERAGE(_xlfn._xlws.FILTER(R$2:R$1073,($C$2:$C$1073=$C954)*($E$2:$E$1073=$E954)*(ROW(R$2:R$1073)&lt;&gt;ROW(R954))*(R$2:R$1073&lt;&gt;""))),"")</f>
        <v>5.5448294261911696E-2</v>
      </c>
      <c r="AA954" cm="1">
        <f t="array" ref="AA954">IFERROR(AVERAGE(_xlfn._xlws.FILTER(S$2:S$1073,($C$2:$C$1073=$C954)*($E$2:$E$1073=$E954)*(ROW(S$2:S$1073)&lt;&gt;ROW(S954))*(S$2:S$1073&lt;&gt;""))),"")</f>
        <v>1.2322804192163666</v>
      </c>
      <c r="AB954" cm="1">
        <f t="array" ref="AB954">IFERROR(AVERAGE(_xlfn._xlws.FILTER(T$2:T$1073,($C$2:$C$1073=$C954)*($E$2:$E$1073=$E954)*(ROW(T$2:T$1073)&lt;&gt;ROW(T954))*(T$2:T$1073&lt;&gt;""))),"")</f>
        <v>0.14932758532401053</v>
      </c>
      <c r="AC954" cm="1">
        <f t="array" ref="AC954">IFERROR(AVERAGE(_xlfn._xlws.FILTER(U$2:U$1073,($C$2:$C$1073=$C954)*($E$2:$E$1073=$E954)*(ROW(U$2:U$1073)&lt;&gt;ROW(U954))*(U$2:U$1073&lt;&gt;""))),"")</f>
        <v>1.9156455484447492</v>
      </c>
      <c r="AD954" cm="1">
        <f t="array" ref="AD954">IFERROR(AVERAGE(_xlfn._xlws.FILTER(V$2:V$1073,($C$2:$C$1073=$C954)*($E$2:$E$1073=$E954)*(ROW(V$2:V$1073)&lt;&gt;ROW(V954))*(V$2:V$1073&lt;&gt;""))),"")</f>
        <v>0.61363870236960816</v>
      </c>
      <c r="AE954">
        <f>IF('Дивиденды по годам'!M954&lt;0,1,0)</f>
        <v>0</v>
      </c>
    </row>
    <row r="955" spans="1:31" x14ac:dyDescent="0.2">
      <c r="A955" s="7" t="s">
        <v>2323</v>
      </c>
      <c r="B955" t="str">
        <f t="shared" si="154"/>
        <v>FESH IV кв. 2016</v>
      </c>
      <c r="C955">
        <v>2016</v>
      </c>
      <c r="D955">
        <f>SUMIFS(Дивиденды!$C:$C,Дивиденды!$A:$A,A955,Дивиденды!$I:$I,C955)</f>
        <v>0</v>
      </c>
      <c r="E955">
        <v>7</v>
      </c>
      <c r="F955">
        <f t="shared" si="155"/>
        <v>0</v>
      </c>
      <c r="G955">
        <f t="shared" si="156"/>
        <v>7.6504750000000001</v>
      </c>
      <c r="H955">
        <f t="shared" si="157"/>
        <v>0</v>
      </c>
      <c r="I955">
        <f t="shared" si="158"/>
        <v>0.75</v>
      </c>
      <c r="J955">
        <f t="shared" si="159"/>
        <v>0</v>
      </c>
      <c r="K955">
        <f t="shared" si="164"/>
        <v>0.41982758620689659</v>
      </c>
      <c r="L955">
        <f t="shared" si="160"/>
        <v>0</v>
      </c>
      <c r="M955">
        <f t="shared" si="161"/>
        <v>0.5</v>
      </c>
      <c r="N955">
        <f t="shared" si="162"/>
        <v>0</v>
      </c>
      <c r="O955">
        <f t="shared" si="163"/>
        <v>0.25</v>
      </c>
      <c r="P955">
        <f>IFERROR(LN('Дивиденды по годам'!I955),"")</f>
        <v>24.706622970978884</v>
      </c>
      <c r="Q955">
        <f>IFERROR('Дивиденды по годам'!G955/'Дивиденды по годам'!I955, "")</f>
        <v>0.37655734957260184</v>
      </c>
      <c r="R955">
        <f>IFERROR(IF(AND('Дивиденды по годам'!N955&lt;&gt;"",'Дивиденды по годам'!U955&lt;&gt;"",'Дивиденды по годам'!U955&lt;&gt;0),'Дивиденды по годам'!N955/'Дивиденды по годам'!U955-1,""),"")</f>
        <v>-0.12147841659911363</v>
      </c>
      <c r="S955">
        <f>IFERROR(IF(AND('Дивиденды по годам'!L955&lt;&gt;"",'Дивиденды по годам'!I955&lt;&gt;"",'Дивиденды по годам'!J955&lt;&gt;"",'Дивиденды по годам'!K955&lt;&gt;"",('Дивиденды по годам'!I955-'Дивиденды по годам'!J955-'Дивиденды по годам'!K955)&lt;&gt;0),'Дивиденды по годам'!L955/('Дивиденды по годам'!I955-'Дивиденды по годам'!J955-'Дивиденды по годам'!K955),""),"")</f>
        <v>1.5373258128732581</v>
      </c>
      <c r="T955">
        <f>IFERROR(IF(AND('Дивиденды по годам'!Q955&lt;&gt;"",'Дивиденды по годам'!I955&lt;&gt;"",'Дивиденды по годам'!V955&lt;&gt;"",('Дивиденды по годам'!I955+'Дивиденды по годам'!V955)&lt;&gt;0),'Дивиденды по годам'!Q955/(('Дивиденды по годам'!I955+'Дивиденды по годам'!V955)/2),""),"")</f>
        <v>2.0911934347731427E-2</v>
      </c>
      <c r="U955">
        <f>IFERROR(IF(AND('Дивиденды по годам'!J955&lt;&gt;"",'Дивиденды по годам'!K955&lt;&gt;"",'Дивиденды по годам'!M955&lt;&gt;"",'Дивиденды по годам'!M955&lt;&gt;0),('Дивиденды по годам'!J955+'Дивиденды по годам'!K955)/'Дивиденды по годам'!M955,""),"")</f>
        <v>-5.4539648307896487</v>
      </c>
      <c r="V955">
        <f>IFERROR(IF(AND('Дивиденды по годам'!J955&lt;&gt;"",'Дивиденды по годам'!K955&lt;&gt;"",'Дивиденды по годам'!M955&lt;&gt;"",'Дивиденды по годам'!I955&lt;&gt;0),('Дивиденды по годам'!J955+'Дивиденды по годам'!K955)/'Дивиденды по годам'!I955,""),"")</f>
        <v>1.2245190606551577</v>
      </c>
      <c r="W955">
        <f>IFERROR('Дивиденды по годам'!I955,"")</f>
        <v>53697000000</v>
      </c>
      <c r="X955" cm="1">
        <f t="array" ref="X955">IFERROR(AVERAGE(_xlfn._xlws.FILTER(P$2:P$1073,($C$2:$C$1073=$C955)*($E$2:$E$1073=$E955)*(ROW(P$2:P$1073)&lt;&gt;ROW(P955))*(P$2:P$1073&lt;&gt;""))),"")</f>
        <v>25.324397058359146</v>
      </c>
      <c r="Y955" cm="1">
        <f t="array" ref="Y955">IFERROR(AVERAGE(_xlfn._xlws.FILTER(Q$2:Q$1073,($C$2:$C$1073=$C955)*($E$2:$E$1073=$E955)*(ROW(Q$2:Q$1073)&lt;&gt;ROW(Q955))*(Q$2:Q$1073&lt;&gt;""))),"")</f>
        <v>0.60611122337302592</v>
      </c>
      <c r="Z955" cm="1">
        <f t="array" ref="Z955">IFERROR(AVERAGE(_xlfn._xlws.FILTER(R$2:R$1073,($C$2:$C$1073=$C955)*($E$2:$E$1073=$E955)*(ROW(R$2:R$1073)&lt;&gt;ROW(R955))*(R$2:R$1073&lt;&gt;""))),"")</f>
        <v>0.20992412241010494</v>
      </c>
      <c r="AA955" cm="1">
        <f t="array" ref="AA955">IFERROR(AVERAGE(_xlfn._xlws.FILTER(S$2:S$1073,($C$2:$C$1073=$C955)*($E$2:$E$1073=$E955)*(ROW(S$2:S$1073)&lt;&gt;ROW(S955))*(S$2:S$1073&lt;&gt;""))),"")</f>
        <v>1.2777355510616697</v>
      </c>
      <c r="AB955" cm="1">
        <f t="array" ref="AB955">IFERROR(AVERAGE(_xlfn._xlws.FILTER(T$2:T$1073,($C$2:$C$1073=$C955)*($E$2:$E$1073=$E955)*(ROW(T$2:T$1073)&lt;&gt;ROW(T955))*(T$2:T$1073&lt;&gt;""))),"")</f>
        <v>7.8756283825818646E-2</v>
      </c>
      <c r="AC955" cm="1">
        <f t="array" ref="AC955">IFERROR(AVERAGE(_xlfn._xlws.FILTER(U$2:U$1073,($C$2:$C$1073=$C955)*($E$2:$E$1073=$E955)*(ROW(U$2:U$1073)&lt;&gt;ROW(U955))*(U$2:U$1073&lt;&gt;""))),"")</f>
        <v>2.6577925852735209</v>
      </c>
      <c r="AD955" cm="1">
        <f t="array" ref="AD955">IFERROR(AVERAGE(_xlfn._xlws.FILTER(V$2:V$1073,($C$2:$C$1073=$C955)*($E$2:$E$1073=$E955)*(ROW(V$2:V$1073)&lt;&gt;ROW(V955))*(V$2:V$1073&lt;&gt;""))),"")</f>
        <v>0.61738973824219112</v>
      </c>
      <c r="AE955">
        <f>IF('Дивиденды по годам'!M955&lt;0,1,0)</f>
        <v>1</v>
      </c>
    </row>
    <row r="956" spans="1:31" x14ac:dyDescent="0.2">
      <c r="A956" s="7" t="s">
        <v>2323</v>
      </c>
      <c r="B956" t="str">
        <f t="shared" si="154"/>
        <v>FESH IV кв. 2015</v>
      </c>
      <c r="C956">
        <v>2015</v>
      </c>
      <c r="D956">
        <f>SUMIFS(Дивиденды!$C:$C,Дивиденды!$A:$A,A956,Дивиденды!$I:$I,C956)</f>
        <v>0</v>
      </c>
      <c r="E956">
        <v>7</v>
      </c>
      <c r="F956">
        <f t="shared" si="155"/>
        <v>0</v>
      </c>
      <c r="G956">
        <f t="shared" si="156"/>
        <v>4.3499999999999996</v>
      </c>
      <c r="H956">
        <f t="shared" si="157"/>
        <v>0</v>
      </c>
      <c r="I956">
        <f t="shared" si="158"/>
        <v>0.25</v>
      </c>
      <c r="J956">
        <f t="shared" si="159"/>
        <v>0</v>
      </c>
      <c r="K956">
        <f t="shared" si="164"/>
        <v>0</v>
      </c>
      <c r="L956">
        <f t="shared" si="160"/>
        <v>0</v>
      </c>
      <c r="M956">
        <f t="shared" si="161"/>
        <v>0.25</v>
      </c>
      <c r="N956">
        <f t="shared" si="162"/>
        <v>0</v>
      </c>
      <c r="O956">
        <f t="shared" si="163"/>
        <v>0.25</v>
      </c>
      <c r="P956">
        <f>IFERROR(LN('Дивиденды по годам'!I956),"")</f>
        <v>24.621319398824664</v>
      </c>
      <c r="Q956">
        <f>IFERROR('Дивиденды по годам'!G956/'Дивиденды по годам'!I956, "")</f>
        <v>0.47204968944099374</v>
      </c>
      <c r="R956">
        <f>IFERROR(IF(AND('Дивиденды по годам'!N956&lt;&gt;"",'Дивиденды по годам'!U956&lt;&gt;"",'Дивиденды по годам'!U956&lt;&gt;0),'Дивиденды по годам'!N956/'Дивиденды по годам'!U956-1,""),"")</f>
        <v>-1.5118742402337904E-2</v>
      </c>
      <c r="S956">
        <f>IFERROR(IF(AND('Дивиденды по годам'!L956&lt;&gt;"",'Дивиденды по годам'!I956&lt;&gt;"",'Дивиденды по годам'!J956&lt;&gt;"",'Дивиденды по годам'!K956&lt;&gt;"",('Дивиденды по годам'!I956-'Дивиденды по годам'!J956-'Дивиденды по годам'!K956)&lt;&gt;0),'Дивиденды по годам'!L956/('Дивиденды по годам'!I956-'Дивиденды по годам'!J956-'Дивиденды по годам'!K956),""),"")</f>
        <v>0.87227414330218056</v>
      </c>
      <c r="T956">
        <f>IFERROR(IF(AND('Дивиденды по годам'!Q956&lt;&gt;"",'Дивиденды по годам'!I956&lt;&gt;"",'Дивиденды по годам'!V956&lt;&gt;"",('Дивиденды по годам'!I956+'Дивиденды по годам'!V956)&lt;&gt;0),'Дивиденды по годам'!Q956/(('Дивиденды по годам'!I956+'Дивиденды по годам'!V956)/2),""),"")</f>
        <v>-0.16714469744977037</v>
      </c>
      <c r="U956">
        <f>IFERROR(IF(AND('Дивиденды по годам'!J956&lt;&gt;"",'Дивиденды по годам'!K956&lt;&gt;"",'Дивиденды по годам'!M956&lt;&gt;"",'Дивиденды по годам'!M956&lt;&gt;0),('Дивиденды по годам'!J956+'Дивиденды по годам'!K956)/'Дивиденды по годам'!M956,""),"")</f>
        <v>-3.5077881619937692</v>
      </c>
      <c r="V956">
        <f>IFERROR(IF(AND('Дивиденды по годам'!J956&lt;&gt;"",'Дивиденды по годам'!K956&lt;&gt;"",'Дивиденды по годам'!M956&lt;&gt;"",'Дивиденды по годам'!I956&lt;&gt;0),('Дивиденды по годам'!J956+'Дивиденды по годам'!K956)/'Дивиденды по годам'!I956,""),"")</f>
        <v>1.3987577639751552</v>
      </c>
      <c r="W956">
        <f>IFERROR('Дивиденды по годам'!I956,"")</f>
        <v>49306383818.181824</v>
      </c>
      <c r="X956" cm="1">
        <f t="array" ref="X956">IFERROR(AVERAGE(_xlfn._xlws.FILTER(P$2:P$1073,($C$2:$C$1073=$C956)*($E$2:$E$1073=$E956)*(ROW(P$2:P$1073)&lt;&gt;ROW(P956))*(P$2:P$1073&lt;&gt;""))),"")</f>
        <v>26.60850994070147</v>
      </c>
      <c r="Y956" cm="1">
        <f t="array" ref="Y956">IFERROR(AVERAGE(_xlfn._xlws.FILTER(Q$2:Q$1073,($C$2:$C$1073=$C956)*($E$2:$E$1073=$E956)*(ROW(Q$2:Q$1073)&lt;&gt;ROW(Q956))*(Q$2:Q$1073&lt;&gt;""))),"")</f>
        <v>0.56780061523294523</v>
      </c>
      <c r="Z956" cm="1">
        <f t="array" ref="Z956">IFERROR(AVERAGE(_xlfn._xlws.FILTER(R$2:R$1073,($C$2:$C$1073=$C956)*($E$2:$E$1073=$E956)*(ROW(R$2:R$1073)&lt;&gt;ROW(R956))*(R$2:R$1073&lt;&gt;""))),"")</f>
        <v>0.35538798758522361</v>
      </c>
      <c r="AA956" t="str" cm="1">
        <f t="array" ref="AA956">IFERROR(AVERAGE(_xlfn._xlws.FILTER(S$2:S$1073,($C$2:$C$1073=$C956)*($E$2:$E$1073=$E956)*(ROW(S$2:S$1073)&lt;&gt;ROW(S956))*(S$2:S$1073&lt;&gt;""))),"")</f>
        <v/>
      </c>
      <c r="AB956" cm="1">
        <f t="array" ref="AB956">IFERROR(AVERAGE(_xlfn._xlws.FILTER(T$2:T$1073,($C$2:$C$1073=$C956)*($E$2:$E$1073=$E956)*(ROW(T$2:T$1073)&lt;&gt;ROW(T956))*(T$2:T$1073&lt;&gt;""))),"")</f>
        <v>2.1941292548727502E-2</v>
      </c>
      <c r="AC956" cm="1">
        <f t="array" ref="AC956">IFERROR(AVERAGE(_xlfn._xlws.FILTER(U$2:U$1073,($C$2:$C$1073=$C956)*($E$2:$E$1073=$E956)*(ROW(U$2:U$1073)&lt;&gt;ROW(U956))*(U$2:U$1073&lt;&gt;""))),"")</f>
        <v>-4.4005608965831291</v>
      </c>
      <c r="AD956" cm="1">
        <f t="array" ref="AD956">IFERROR(AVERAGE(_xlfn._xlws.FILTER(V$2:V$1073,($C$2:$C$1073=$C956)*($E$2:$E$1073=$E956)*(ROW(V$2:V$1073)&lt;&gt;ROW(V956))*(V$2:V$1073&lt;&gt;""))),"")</f>
        <v>0.79758199283249498</v>
      </c>
      <c r="AE956">
        <f>IF('Дивиденды по годам'!M956&lt;0,1,0)</f>
        <v>1</v>
      </c>
    </row>
    <row r="957" spans="1:31" x14ac:dyDescent="0.2">
      <c r="A957" s="7" t="s">
        <v>2323</v>
      </c>
      <c r="B957" t="str">
        <f t="shared" si="154"/>
        <v>FESH IV кв. 2014</v>
      </c>
      <c r="C957">
        <v>2014</v>
      </c>
      <c r="D957">
        <f>SUMIFS(Дивиденды!$C:$C,Дивиденды!$A:$A,A957,Дивиденды!$I:$I,C957)</f>
        <v>0</v>
      </c>
      <c r="E957">
        <v>7</v>
      </c>
      <c r="F957">
        <f t="shared" si="155"/>
        <v>0</v>
      </c>
      <c r="G957">
        <f t="shared" si="156"/>
        <v>5.7500000000000002E-2</v>
      </c>
      <c r="H957">
        <f t="shared" si="157"/>
        <v>0</v>
      </c>
      <c r="I957">
        <f t="shared" si="158"/>
        <v>0.25</v>
      </c>
      <c r="J957">
        <f t="shared" si="159"/>
        <v>0</v>
      </c>
      <c r="K957">
        <f t="shared" si="164"/>
        <v>1.9572649572649574</v>
      </c>
      <c r="L957">
        <f t="shared" si="160"/>
        <v>0</v>
      </c>
      <c r="M957">
        <f t="shared" si="161"/>
        <v>0.25</v>
      </c>
      <c r="N957">
        <f t="shared" si="162"/>
        <v>0</v>
      </c>
      <c r="O957">
        <f t="shared" si="163"/>
        <v>0.25</v>
      </c>
      <c r="P957">
        <f>IFERROR(LN('Дивиденды по годам'!I957),"")</f>
        <v>25.004850396136366</v>
      </c>
      <c r="Q957">
        <f>IFERROR('Дивиденды по годам'!G957/'Дивиденды по годам'!I957, "")</f>
        <v>0.21250777416902772</v>
      </c>
      <c r="R957">
        <f>IFERROR(IF(AND('Дивиденды по годам'!N957&lt;&gt;"",'Дивиденды по годам'!U957&lt;&gt;"",'Дивиденды по годам'!U957&lt;&gt;0),'Дивиденды по годам'!N957/'Дивиденды по годам'!U957-1,""),"")</f>
        <v>0.17802373282673933</v>
      </c>
      <c r="S957">
        <f>IFERROR(IF(AND('Дивиденды по годам'!L957&lt;&gt;"",'Дивиденды по годам'!I957&lt;&gt;"",'Дивиденды по годам'!J957&lt;&gt;"",'Дивиденды по годам'!K957&lt;&gt;"",('Дивиденды по годам'!I957-'Дивиденды по годам'!J957-'Дивиденды по годам'!K957)&lt;&gt;0),'Дивиденды по годам'!L957/('Дивиденды по годам'!I957-'Дивиденды по годам'!J957-'Дивиденды по годам'!K957),""),"")</f>
        <v>164.14893617021278</v>
      </c>
      <c r="T957">
        <f>IFERROR(IF(AND('Дивиденды по годам'!Q957&lt;&gt;"",'Дивиденды по годам'!I957&lt;&gt;"",'Дивиденды по годам'!V957&lt;&gt;"",('Дивиденды по годам'!I957+'Дивиденды по годам'!V957)&lt;&gt;0),'Дивиденды по годам'!Q957/(('Дивиденды по годам'!I957+'Дивиденды по годам'!V957)/2),""),"")</f>
        <v>-8.7973005543504457E-2</v>
      </c>
      <c r="U957">
        <f>IFERROR(IF(AND('Дивиденды по годам'!J957&lt;&gt;"",'Дивиденды по годам'!K957&lt;&gt;"",'Дивиденды по годам'!M957&lt;&gt;"",'Дивиденды по годам'!M957&lt;&gt;0),('Дивиденды по годам'!J957+'Дивиденды по годам'!K957)/'Дивиденды по годам'!M957,""),"")</f>
        <v>-1540.4680851063829</v>
      </c>
      <c r="V957">
        <f>IFERROR(IF(AND('Дивиденды по годам'!J957&lt;&gt;"",'Дивиденды по годам'!K957&lt;&gt;"",'Дивиденды по годам'!M957&lt;&gt;"",'Дивиденды по годам'!I957&lt;&gt;0),('Дивиденды по годам'!J957+'Дивиденды по годам'!K957)/'Дивиденды по годам'!I957,""),"")</f>
        <v>1.0006495750120932</v>
      </c>
      <c r="W957">
        <f>IFERROR('Дивиденды по годам'!I957,"")</f>
        <v>72355000000</v>
      </c>
      <c r="X957" cm="1">
        <f t="array" ref="X957">IFERROR(AVERAGE(_xlfn._xlws.FILTER(P$2:P$1073,($C$2:$C$1073=$C957)*($E$2:$E$1073=$E957)*(ROW(P$2:P$1073)&lt;&gt;ROW(P957))*(P$2:P$1073&lt;&gt;""))),"")</f>
        <v>25.938444706519835</v>
      </c>
      <c r="Y957" cm="1">
        <f t="array" ref="Y957">IFERROR(AVERAGE(_xlfn._xlws.FILTER(Q$2:Q$1073,($C$2:$C$1073=$C957)*($E$2:$E$1073=$E957)*(ROW(Q$2:Q$1073)&lt;&gt;ROW(Q957))*(Q$2:Q$1073&lt;&gt;""))),"")</f>
        <v>0.57970060468507512</v>
      </c>
      <c r="Z957" cm="1">
        <f t="array" ref="Z957">IFERROR(AVERAGE(_xlfn._xlws.FILTER(R$2:R$1073,($C$2:$C$1073=$C957)*($E$2:$E$1073=$E957)*(ROW(R$2:R$1073)&lt;&gt;ROW(R957))*(R$2:R$1073&lt;&gt;""))),"")</f>
        <v>0.22956532975150998</v>
      </c>
      <c r="AA957" t="str" cm="1">
        <f t="array" ref="AA957">IFERROR(AVERAGE(_xlfn._xlws.FILTER(S$2:S$1073,($C$2:$C$1073=$C957)*($E$2:$E$1073=$E957)*(ROW(S$2:S$1073)&lt;&gt;ROW(S957))*(S$2:S$1073&lt;&gt;""))),"")</f>
        <v/>
      </c>
      <c r="AB957" cm="1">
        <f t="array" ref="AB957">IFERROR(AVERAGE(_xlfn._xlws.FILTER(T$2:T$1073,($C$2:$C$1073=$C957)*($E$2:$E$1073=$E957)*(ROW(T$2:T$1073)&lt;&gt;ROW(T957))*(T$2:T$1073&lt;&gt;""))),"")</f>
        <v>-6.980902493810219E-2</v>
      </c>
      <c r="AC957" cm="1">
        <f t="array" ref="AC957">IFERROR(AVERAGE(_xlfn._xlws.FILTER(U$2:U$1073,($C$2:$C$1073=$C957)*($E$2:$E$1073=$E957)*(ROW(U$2:U$1073)&lt;&gt;ROW(U957))*(U$2:U$1073&lt;&gt;""))),"")</f>
        <v>-4.5420767399082287</v>
      </c>
      <c r="AD957" cm="1">
        <f t="array" ref="AD957">IFERROR(AVERAGE(_xlfn._xlws.FILTER(V$2:V$1073,($C$2:$C$1073=$C957)*($E$2:$E$1073=$E957)*(ROW(V$2:V$1073)&lt;&gt;ROW(V957))*(V$2:V$1073&lt;&gt;""))),"")</f>
        <v>0.81054496994271108</v>
      </c>
      <c r="AE957">
        <f>IF('Дивиденды по годам'!M957&lt;0,1,0)</f>
        <v>1</v>
      </c>
    </row>
    <row r="958" spans="1:31" x14ac:dyDescent="0.2">
      <c r="A958" s="7" t="s">
        <v>2323</v>
      </c>
      <c r="B958" t="str">
        <f t="shared" si="154"/>
        <v>FESH IV кв. 2013</v>
      </c>
      <c r="C958">
        <v>2013</v>
      </c>
      <c r="D958">
        <f>SUMIFS(Дивиденды!$C:$C,Дивиденды!$A:$A,A958,Дивиденды!$I:$I,C958)</f>
        <v>0</v>
      </c>
      <c r="E958">
        <v>7</v>
      </c>
      <c r="F958">
        <f t="shared" si="155"/>
        <v>0</v>
      </c>
      <c r="G958">
        <f t="shared" si="156"/>
        <v>0.63085000000000002</v>
      </c>
      <c r="H958">
        <f t="shared" si="157"/>
        <v>0</v>
      </c>
      <c r="I958">
        <f t="shared" si="158"/>
        <v>0.5</v>
      </c>
      <c r="J958">
        <f t="shared" si="159"/>
        <v>0</v>
      </c>
      <c r="K958">
        <f t="shared" si="164"/>
        <v>0.28667445938047931</v>
      </c>
      <c r="L958">
        <f t="shared" si="160"/>
        <v>0</v>
      </c>
      <c r="M958">
        <f t="shared" si="161"/>
        <v>0.25</v>
      </c>
      <c r="N958">
        <f t="shared" si="162"/>
        <v>0</v>
      </c>
      <c r="O958">
        <f t="shared" si="163"/>
        <v>0.25</v>
      </c>
      <c r="P958">
        <f>IFERROR(LN('Дивиденды по годам'!I958),"")</f>
        <v>24.953175139805772</v>
      </c>
      <c r="Q958">
        <f>IFERROR('Дивиденды по годам'!G958/'Дивиденды по годам'!I958, "")</f>
        <v>0.42594344428111947</v>
      </c>
      <c r="R958">
        <f>IFERROR(IF(AND('Дивиденды по годам'!N958&lt;&gt;"",'Дивиденды по годам'!U958&lt;&gt;"",'Дивиденды по годам'!U958&lt;&gt;0),'Дивиденды по годам'!N958/'Дивиденды по годам'!U958-1,""),"")</f>
        <v>-2.4127461780273474E-2</v>
      </c>
      <c r="S958" t="str">
        <f>IFERROR(IF(AND('Дивиденды по годам'!L958&lt;&gt;"",'Дивиденды по годам'!I958&lt;&gt;"",'Дивиденды по годам'!J958&lt;&gt;"",'Дивиденды по годам'!K958&lt;&gt;"",('Дивиденды по годам'!I958-'Дивиденды по годам'!J958-'Дивиденды по годам'!K958)&lt;&gt;0),'Дивиденды по годам'!L958/('Дивиденды по годам'!I958-'Дивиденды по годам'!J958-'Дивиденды по годам'!K958),""),"")</f>
        <v/>
      </c>
      <c r="T958">
        <f>IFERROR(IF(AND('Дивиденды по годам'!Q958&lt;&gt;"",'Дивиденды по годам'!I958&lt;&gt;"",'Дивиденды по годам'!V958&lt;&gt;"",('Дивиденды по годам'!I958+'Дивиденды по годам'!V958)&lt;&gt;0),'Дивиденды по годам'!Q958/(('Дивиденды по годам'!I958+'Дивиденды по годам'!V958)/2),""),"")</f>
        <v>7.3276177914559978E-3</v>
      </c>
      <c r="U958">
        <f>IFERROR(IF(AND('Дивиденды по годам'!J958&lt;&gt;"",'Дивиденды по годам'!K958&lt;&gt;"",'Дивиденды по годам'!M958&lt;&gt;"",'Дивиденды по годам'!M958&lt;&gt;0),('Дивиденды по годам'!J958+'Дивиденды по годам'!K958)/'Дивиденды по годам'!M958,""),"")</f>
        <v>2.2708620935878518</v>
      </c>
      <c r="V958">
        <f>IFERROR(IF(AND('Дивиденды по годам'!J958&lt;&gt;"",'Дивиденды по годам'!K958&lt;&gt;"",'Дивиденды по годам'!M958&lt;&gt;"",'Дивиденды по годам'!I958&lt;&gt;0),('Дивиденды по годам'!J958+'Дивиденды по годам'!K958)/'Дивиденды по годам'!I958,""),"")</f>
        <v>0.69427020418855789</v>
      </c>
      <c r="W958">
        <f>IFERROR('Дивиденды по годам'!I958,"")</f>
        <v>68711000000</v>
      </c>
      <c r="X958" cm="1">
        <f t="array" ref="X958">IFERROR(AVERAGE(_xlfn._xlws.FILTER(P$2:P$1073,($C$2:$C$1073=$C958)*($E$2:$E$1073=$E958)*(ROW(P$2:P$1073)&lt;&gt;ROW(P958))*(P$2:P$1073&lt;&gt;""))),"")</f>
        <v>25.87236458036217</v>
      </c>
      <c r="Y958" cm="1">
        <f t="array" ref="Y958">IFERROR(AVERAGE(_xlfn._xlws.FILTER(Q$2:Q$1073,($C$2:$C$1073=$C958)*($E$2:$E$1073=$E958)*(ROW(Q$2:Q$1073)&lt;&gt;ROW(Q958))*(Q$2:Q$1073&lt;&gt;""))),"")</f>
        <v>0.60367825439813683</v>
      </c>
      <c r="Z958" cm="1">
        <f t="array" ref="Z958">IFERROR(AVERAGE(_xlfn._xlws.FILTER(R$2:R$1073,($C$2:$C$1073=$C958)*($E$2:$E$1073=$E958)*(ROW(R$2:R$1073)&lt;&gt;ROW(R958))*(R$2:R$1073&lt;&gt;""))),"")</f>
        <v>3.5307417615218772E-2</v>
      </c>
      <c r="AA958" t="str" cm="1">
        <f t="array" ref="AA958">IFERROR(AVERAGE(_xlfn._xlws.FILTER(S$2:S$1073,($C$2:$C$1073=$C958)*($E$2:$E$1073=$E958)*(ROW(S$2:S$1073)&lt;&gt;ROW(S958))*(S$2:S$1073&lt;&gt;""))),"")</f>
        <v/>
      </c>
      <c r="AB958" cm="1">
        <f t="array" ref="AB958">IFERROR(AVERAGE(_xlfn._xlws.FILTER(T$2:T$1073,($C$2:$C$1073=$C958)*($E$2:$E$1073=$E958)*(ROW(T$2:T$1073)&lt;&gt;ROW(T958))*(T$2:T$1073&lt;&gt;""))),"")</f>
        <v>4.3332784263297921E-3</v>
      </c>
      <c r="AC958" cm="1">
        <f t="array" ref="AC958">IFERROR(AVERAGE(_xlfn._xlws.FILTER(U$2:U$1073,($C$2:$C$1073=$C958)*($E$2:$E$1073=$E958)*(ROW(U$2:U$1073)&lt;&gt;ROW(U958))*(U$2:U$1073&lt;&gt;""))),"")</f>
        <v>2.0562537353546619</v>
      </c>
      <c r="AD958" cm="1">
        <f t="array" ref="AD958">IFERROR(AVERAGE(_xlfn._xlws.FILTER(V$2:V$1073,($C$2:$C$1073=$C958)*($E$2:$E$1073=$E958)*(ROW(V$2:V$1073)&lt;&gt;ROW(V958))*(V$2:V$1073&lt;&gt;""))),"")</f>
        <v>0.64939167697340272</v>
      </c>
      <c r="AE958">
        <f>IF('Дивиденды по годам'!M958&lt;0,1,0)</f>
        <v>0</v>
      </c>
    </row>
    <row r="959" spans="1:31" x14ac:dyDescent="0.2">
      <c r="A959" s="7" t="s">
        <v>2323</v>
      </c>
      <c r="B959" t="str">
        <f t="shared" si="154"/>
        <v>FESH IV кв. 2012</v>
      </c>
      <c r="C959">
        <v>2012</v>
      </c>
      <c r="D959">
        <f>SUMIFS(Дивиденды!$C:$C,Дивиденды!$A:$A,A959,Дивиденды!$I:$I,C959)</f>
        <v>0</v>
      </c>
      <c r="E959">
        <v>7</v>
      </c>
      <c r="F959">
        <f t="shared" si="155"/>
        <v>0</v>
      </c>
      <c r="G959">
        <f t="shared" si="156"/>
        <v>0.2959</v>
      </c>
      <c r="H959">
        <f t="shared" si="157"/>
        <v>0</v>
      </c>
      <c r="I959">
        <f t="shared" si="158"/>
        <v>0.5</v>
      </c>
      <c r="J959">
        <f t="shared" si="159"/>
        <v>0</v>
      </c>
      <c r="K959">
        <f t="shared" si="164"/>
        <v>-8.8715175737627869E-2</v>
      </c>
      <c r="L959">
        <f t="shared" si="160"/>
        <v>0</v>
      </c>
      <c r="M959">
        <f t="shared" si="161"/>
        <v>0.25</v>
      </c>
      <c r="N959">
        <f t="shared" si="162"/>
        <v>0</v>
      </c>
      <c r="O959">
        <f t="shared" si="163"/>
        <v>0.25</v>
      </c>
      <c r="P959">
        <f>IFERROR(LN('Дивиденды по годам'!I959),"")</f>
        <v>25.122714817312161</v>
      </c>
      <c r="Q959">
        <f>IFERROR('Дивиденды по годам'!G959/'Дивиденды по годам'!I959, "")</f>
        <v>0.37073434390585458</v>
      </c>
      <c r="R959">
        <f>IFERROR(IF(AND('Дивиденды по годам'!N959&lt;&gt;"",'Дивиденды по годам'!U959&lt;&gt;"",'Дивиденды по годам'!U959&lt;&gt;0),'Дивиденды по годам'!N959/'Дивиденды по годам'!U959-1,""),"")</f>
        <v>0.23046552002823573</v>
      </c>
      <c r="S959" t="str">
        <f>IFERROR(IF(AND('Дивиденды по годам'!L959&lt;&gt;"",'Дивиденды по годам'!I959&lt;&gt;"",'Дивиденды по годам'!J959&lt;&gt;"",'Дивиденды по годам'!K959&lt;&gt;"",('Дивиденды по годам'!I959-'Дивиденды по годам'!J959-'Дивиденды по годам'!K959)&lt;&gt;0),'Дивиденды по годам'!L959/('Дивиденды по годам'!I959-'Дивиденды по годам'!J959-'Дивиденды по годам'!K959),""),"")</f>
        <v/>
      </c>
      <c r="T959">
        <f>IFERROR(IF(AND('Дивиденды по годам'!Q959&lt;&gt;"",'Дивиденды по годам'!I959&lt;&gt;"",'Дивиденды по годам'!V959&lt;&gt;"",('Дивиденды по годам'!I959+'Дивиденды по годам'!V959)&lt;&gt;0),'Дивиденды по годам'!Q959/(('Дивиденды по годам'!I959+'Дивиденды по годам'!V959)/2),""),"")</f>
        <v>-7.1063853725455949E-3</v>
      </c>
      <c r="U959">
        <f>IFERROR(IF(AND('Дивиденды по годам'!J959&lt;&gt;"",'Дивиденды по годам'!K959&lt;&gt;"",'Дивиденды по годам'!M959&lt;&gt;"",'Дивиденды по годам'!M959&lt;&gt;0),('Дивиденды по годам'!J959+'Дивиденды по годам'!K959)/'Дивиденды по годам'!M959,""),"")</f>
        <v>0.74908684628937305</v>
      </c>
      <c r="V959">
        <f>IFERROR(IF(AND('Дивиденды по годам'!J959&lt;&gt;"",'Дивиденды по годам'!K959&lt;&gt;"",'Дивиденды по годам'!M959&lt;&gt;"",'Дивиденды по годам'!I959&lt;&gt;0),('Дивиденды по годам'!J959+'Дивиденды по годам'!K959)/'Дивиденды по годам'!I959,""),"")</f>
        <v>0.4282731002628799</v>
      </c>
      <c r="W959">
        <f>IFERROR('Дивиденды по годам'!I959,"")</f>
        <v>81406000000</v>
      </c>
      <c r="X959" cm="1">
        <f t="array" ref="X959">IFERROR(AVERAGE(_xlfn._xlws.FILTER(P$2:P$1073,($C$2:$C$1073=$C959)*($E$2:$E$1073=$E959)*(ROW(P$2:P$1073)&lt;&gt;ROW(P959))*(P$2:P$1073&lt;&gt;""))),"")</f>
        <v>25.754808506796941</v>
      </c>
      <c r="Y959" cm="1">
        <f t="array" ref="Y959">IFERROR(AVERAGE(_xlfn._xlws.FILTER(Q$2:Q$1073,($C$2:$C$1073=$C959)*($E$2:$E$1073=$E959)*(ROW(Q$2:Q$1073)&lt;&gt;ROW(Q959))*(Q$2:Q$1073&lt;&gt;""))),"")</f>
        <v>0.45482389875759344</v>
      </c>
      <c r="Z959" cm="1">
        <f t="array" ref="Z959">IFERROR(AVERAGE(_xlfn._xlws.FILTER(R$2:R$1073,($C$2:$C$1073=$C959)*($E$2:$E$1073=$E959)*(ROW(R$2:R$1073)&lt;&gt;ROW(R959))*(R$2:R$1073&lt;&gt;""))),"")</f>
        <v>0.32011405911992452</v>
      </c>
      <c r="AA959" t="str" cm="1">
        <f t="array" ref="AA959">IFERROR(AVERAGE(_xlfn._xlws.FILTER(S$2:S$1073,($C$2:$C$1073=$C959)*($E$2:$E$1073=$E959)*(ROW(S$2:S$1073)&lt;&gt;ROW(S959))*(S$2:S$1073&lt;&gt;""))),"")</f>
        <v/>
      </c>
      <c r="AB959" cm="1">
        <f t="array" ref="AB959">IFERROR(AVERAGE(_xlfn._xlws.FILTER(T$2:T$1073,($C$2:$C$1073=$C959)*($E$2:$E$1073=$E959)*(ROW(T$2:T$1073)&lt;&gt;ROW(T959))*(T$2:T$1073&lt;&gt;""))),"")</f>
        <v>5.6773220932626274E-2</v>
      </c>
      <c r="AC959" cm="1">
        <f t="array" ref="AC959">IFERROR(AVERAGE(_xlfn._xlws.FILTER(U$2:U$1073,($C$2:$C$1073=$C959)*($E$2:$E$1073=$E959)*(ROW(U$2:U$1073)&lt;&gt;ROW(U959))*(U$2:U$1073&lt;&gt;""))),"")</f>
        <v>2.4188843093866614</v>
      </c>
      <c r="AD959" cm="1">
        <f t="array" ref="AD959">IFERROR(AVERAGE(_xlfn._xlws.FILTER(V$2:V$1073,($C$2:$C$1073=$C959)*($E$2:$E$1073=$E959)*(ROW(V$2:V$1073)&lt;&gt;ROW(V959))*(V$2:V$1073&lt;&gt;""))),"")</f>
        <v>0.70298880128619956</v>
      </c>
      <c r="AE959">
        <f>IF('Дивиденды по годам'!M959&lt;0,1,0)</f>
        <v>0</v>
      </c>
    </row>
    <row r="960" spans="1:31" x14ac:dyDescent="0.2">
      <c r="A960" s="7" t="s">
        <v>2323</v>
      </c>
      <c r="B960" t="str">
        <f t="shared" si="154"/>
        <v>FESH IV кв. 2011</v>
      </c>
      <c r="C960">
        <v>2011</v>
      </c>
      <c r="D960">
        <f>SUMIFS(Дивиденды!$C:$C,Дивиденды!$A:$A,A960,Дивиденды!$I:$I,C960)</f>
        <v>0</v>
      </c>
      <c r="E960">
        <v>7</v>
      </c>
      <c r="F960">
        <f t="shared" si="155"/>
        <v>0</v>
      </c>
      <c r="G960">
        <f t="shared" si="156"/>
        <v>0.45837500000000003</v>
      </c>
      <c r="H960">
        <f t="shared" si="157"/>
        <v>0</v>
      </c>
      <c r="I960">
        <f t="shared" si="158"/>
        <v>0.5</v>
      </c>
      <c r="J960">
        <f t="shared" si="159"/>
        <v>0</v>
      </c>
      <c r="K960">
        <f t="shared" si="164"/>
        <v>0.17057239728759471</v>
      </c>
      <c r="L960">
        <f t="shared" si="160"/>
        <v>0</v>
      </c>
      <c r="M960">
        <f t="shared" si="161"/>
        <v>0.5</v>
      </c>
      <c r="N960">
        <f t="shared" si="162"/>
        <v>0</v>
      </c>
      <c r="O960">
        <f t="shared" si="163"/>
        <v>0</v>
      </c>
      <c r="P960">
        <f>IFERROR(LN('Дивиденды по годам'!I960),"")</f>
        <v>24.951557460506834</v>
      </c>
      <c r="Q960">
        <f>IFERROR('Дивиденды по годам'!G960/'Дивиденды по годам'!I960, "")</f>
        <v>0.37985365632037199</v>
      </c>
      <c r="R960" t="str">
        <f>IFERROR(IF(AND('Дивиденды по годам'!N960&lt;&gt;"",'Дивиденды по годам'!U960&lt;&gt;"",'Дивиденды по годам'!U960&lt;&gt;0),'Дивиденды по годам'!N960/'Дивиденды по годам'!U960-1,""),"")</f>
        <v/>
      </c>
      <c r="S960" t="str">
        <f>IFERROR(IF(AND('Дивиденды по годам'!L960&lt;&gt;"",'Дивиденды по годам'!I960&lt;&gt;"",'Дивиденды по годам'!J960&lt;&gt;"",'Дивиденды по годам'!K960&lt;&gt;"",('Дивиденды по годам'!I960-'Дивиденды по годам'!J960-'Дивиденды по годам'!K960)&lt;&gt;0),'Дивиденды по годам'!L960/('Дивиденды по годам'!I960-'Дивиденды по годам'!J960-'Дивиденды по годам'!K960),""),"")</f>
        <v/>
      </c>
      <c r="T960" t="str">
        <f>IFERROR(IF(AND('Дивиденды по годам'!Q960&lt;&gt;"",'Дивиденды по годам'!I960&lt;&gt;"",'Дивиденды по годам'!V960&lt;&gt;"",('Дивиденды по годам'!I960+'Дивиденды по годам'!V960)&lt;&gt;0),'Дивиденды по годам'!Q960/(('Дивиденды по годам'!I960+'Дивиденды по годам'!V960)/2),""),"")</f>
        <v/>
      </c>
      <c r="U960">
        <f>IFERROR(IF(AND('Дивиденды по годам'!J960&lt;&gt;"",'Дивиденды по годам'!K960&lt;&gt;"",'Дивиденды по годам'!M960&lt;&gt;"",'Дивиденды по годам'!M960&lt;&gt;0),('Дивиденды по годам'!J960+'Дивиденды по годам'!K960)/'Дивиденды по годам'!M960,""),"")</f>
        <v>0.619218213010721</v>
      </c>
      <c r="V960">
        <f>IFERROR(IF(AND('Дивиденды по годам'!J960&lt;&gt;"",'Дивиденды по годам'!K960&lt;&gt;"",'Дивиденды по годам'!M960&lt;&gt;"",'Дивиденды по годам'!I960&lt;&gt;0),('Дивиденды по годам'!J960+'Дивиденды по годам'!K960)/'Дивиденды по годам'!I960,""),"")</f>
        <v>0.38241801385087376</v>
      </c>
      <c r="W960">
        <f>IFERROR('Дивиденды по годам'!I960,"")</f>
        <v>68599937493.669235</v>
      </c>
      <c r="X960" cm="1">
        <f t="array" ref="X960">IFERROR(AVERAGE(_xlfn._xlws.FILTER(P$2:P$1073,($C$2:$C$1073=$C960)*($E$2:$E$1073=$E960)*(ROW(P$2:P$1073)&lt;&gt;ROW(P960))*(P$2:P$1073&lt;&gt;""))),"")</f>
        <v>25.613380993483297</v>
      </c>
      <c r="Y960" cm="1">
        <f t="array" ref="Y960">IFERROR(AVERAGE(_xlfn._xlws.FILTER(Q$2:Q$1073,($C$2:$C$1073=$C960)*($E$2:$E$1073=$E960)*(ROW(Q$2:Q$1073)&lt;&gt;ROW(Q960))*(Q$2:Q$1073&lt;&gt;""))),"")</f>
        <v>0.44133499288865508</v>
      </c>
      <c r="Z960" cm="1">
        <f t="array" ref="Z960">IFERROR(AVERAGE(_xlfn._xlws.FILTER(R$2:R$1073,($C$2:$C$1073=$C960)*($E$2:$E$1073=$E960)*(ROW(R$2:R$1073)&lt;&gt;ROW(R960))*(R$2:R$1073&lt;&gt;""))),"")</f>
        <v>0.20536191673520854</v>
      </c>
      <c r="AA960" t="str" cm="1">
        <f t="array" ref="AA960">IFERROR(AVERAGE(_xlfn._xlws.FILTER(S$2:S$1073,($C$2:$C$1073=$C960)*($E$2:$E$1073=$E960)*(ROW(S$2:S$1073)&lt;&gt;ROW(S960))*(S$2:S$1073&lt;&gt;""))),"")</f>
        <v/>
      </c>
      <c r="AB960" cm="1">
        <f t="array" ref="AB960">IFERROR(AVERAGE(_xlfn._xlws.FILTER(T$2:T$1073,($C$2:$C$1073=$C960)*($E$2:$E$1073=$E960)*(ROW(T$2:T$1073)&lt;&gt;ROW(T960))*(T$2:T$1073&lt;&gt;""))),"")</f>
        <v>9.8152461650754155E-2</v>
      </c>
      <c r="AC960" cm="1">
        <f t="array" ref="AC960">IFERROR(AVERAGE(_xlfn._xlws.FILTER(U$2:U$1073,($C$2:$C$1073=$C960)*($E$2:$E$1073=$E960)*(ROW(U$2:U$1073)&lt;&gt;ROW(U960))*(U$2:U$1073&lt;&gt;""))),"")</f>
        <v>2.8876286990478173</v>
      </c>
      <c r="AD960" cm="1">
        <f t="array" ref="AD960">IFERROR(AVERAGE(_xlfn._xlws.FILTER(V$2:V$1073,($C$2:$C$1073=$C960)*($E$2:$E$1073=$E960)*(ROW(V$2:V$1073)&lt;&gt;ROW(V960))*(V$2:V$1073&lt;&gt;""))),"")</f>
        <v>0.7426429061572366</v>
      </c>
      <c r="AE960">
        <f>IF('Дивиденды по годам'!M960&lt;0,1,0)</f>
        <v>0</v>
      </c>
    </row>
    <row r="961" spans="1:31" x14ac:dyDescent="0.2">
      <c r="A961" s="7" t="s">
        <v>2323</v>
      </c>
      <c r="B961" t="str">
        <f t="shared" si="154"/>
        <v>FESH IV кв. 2010</v>
      </c>
      <c r="C961">
        <v>2010</v>
      </c>
      <c r="D961">
        <f>SUMIFS(Дивиденды!$C:$C,Дивиденды!$A:$A,A961,Дивиденды!$I:$I,C961)</f>
        <v>0</v>
      </c>
      <c r="E961">
        <v>7</v>
      </c>
      <c r="F961">
        <f t="shared" si="155"/>
        <v>0</v>
      </c>
      <c r="G961">
        <f t="shared" si="156"/>
        <v>0.27825</v>
      </c>
      <c r="H961">
        <f t="shared" si="157"/>
        <v>0</v>
      </c>
      <c r="I961">
        <f t="shared" si="158"/>
        <v>0.5</v>
      </c>
      <c r="J961" t="str">
        <f t="shared" si="159"/>
        <v/>
      </c>
      <c r="K961" t="str">
        <f t="shared" si="164"/>
        <v/>
      </c>
      <c r="L961" t="str">
        <f t="shared" si="160"/>
        <v/>
      </c>
      <c r="M961" t="str">
        <f t="shared" si="161"/>
        <v/>
      </c>
      <c r="N961" t="str">
        <f t="shared" si="162"/>
        <v/>
      </c>
      <c r="O961" t="str">
        <f t="shared" si="163"/>
        <v/>
      </c>
      <c r="P961" t="str">
        <f>IFERROR(LN('Дивиденды по годам'!I961),"")</f>
        <v/>
      </c>
      <c r="Q961" t="str">
        <f>IFERROR('Дивиденды по годам'!G961/'Дивиденды по годам'!I961, "")</f>
        <v/>
      </c>
      <c r="R961" t="str">
        <f>IFERROR(IF(AND('Дивиденды по годам'!N961&lt;&gt;"",'Дивиденды по годам'!U961&lt;&gt;"",'Дивиденды по годам'!U961&lt;&gt;0),'Дивиденды по годам'!N961/'Дивиденды по годам'!U961-1,""),"")</f>
        <v/>
      </c>
      <c r="S961" t="str">
        <f>IFERROR(IF(AND('Дивиденды по годам'!L961&lt;&gt;"",'Дивиденды по годам'!I961&lt;&gt;"",'Дивиденды по годам'!J961&lt;&gt;"",'Дивиденды по годам'!K961&lt;&gt;"",('Дивиденды по годам'!I961-'Дивиденды по годам'!J961-'Дивиденды по годам'!K961)&lt;&gt;0),'Дивиденды по годам'!L961/('Дивиденды по годам'!I961-'Дивиденды по годам'!J961-'Дивиденды по годам'!K961),""),"")</f>
        <v/>
      </c>
      <c r="T961" t="str">
        <f>IFERROR(IF(AND('Дивиденды по годам'!Q961&lt;&gt;"",'Дивиденды по годам'!I961&lt;&gt;"",'Дивиденды по годам'!V961&lt;&gt;"",('Дивиденды по годам'!I961+'Дивиденды по годам'!V961)&lt;&gt;0),'Дивиденды по годам'!Q961/(('Дивиденды по годам'!I961+'Дивиденды по годам'!V961)/2),""),"")</f>
        <v/>
      </c>
      <c r="U961" t="str">
        <f>IFERROR(IF(AND('Дивиденды по годам'!J961&lt;&gt;"",'Дивиденды по годам'!K961&lt;&gt;"",'Дивиденды по годам'!M961&lt;&gt;"",'Дивиденды по годам'!M961&lt;&gt;0),('Дивиденды по годам'!J961+'Дивиденды по годам'!K961)/'Дивиденды по годам'!M961,""),"")</f>
        <v/>
      </c>
      <c r="V961" t="str">
        <f>IFERROR(IF(AND('Дивиденды по годам'!J961&lt;&gt;"",'Дивиденды по годам'!K961&lt;&gt;"",'Дивиденды по годам'!M961&lt;&gt;"",'Дивиденды по годам'!I961&lt;&gt;0),('Дивиденды по годам'!J961+'Дивиденды по годам'!K961)/'Дивиденды по годам'!I961,""),"")</f>
        <v/>
      </c>
      <c r="W961" t="str">
        <f>IFERROR('Дивиденды по годам'!I961,"")</f>
        <v/>
      </c>
      <c r="X961" cm="1">
        <f t="array" ref="X961">IFERROR(AVERAGE(_xlfn._xlws.FILTER(P$2:P$1073,($C$2:$C$1073=$C961)*($E$2:$E$1073=$E961)*(ROW(P$2:P$1073)&lt;&gt;ROW(P961))*(P$2:P$1073&lt;&gt;""))),"")</f>
        <v>25.646584513937189</v>
      </c>
      <c r="Y961" cm="1">
        <f t="array" ref="Y961">IFERROR(AVERAGE(_xlfn._xlws.FILTER(Q$2:Q$1073,($C$2:$C$1073=$C961)*($E$2:$E$1073=$E961)*(ROW(Q$2:Q$1073)&lt;&gt;ROW(Q961))*(Q$2:Q$1073&lt;&gt;""))),"")</f>
        <v>0.48343975783821996</v>
      </c>
      <c r="Z961" t="str" cm="1">
        <f t="array" ref="Z961">IFERROR(AVERAGE(_xlfn._xlws.FILTER(R$2:R$1073,($C$2:$C$1073=$C961)*($E$2:$E$1073=$E961)*(ROW(R$2:R$1073)&lt;&gt;ROW(R961))*(R$2:R$1073&lt;&gt;""))),"")</f>
        <v/>
      </c>
      <c r="AA961" t="str" cm="1">
        <f t="array" ref="AA961">IFERROR(AVERAGE(_xlfn._xlws.FILTER(S$2:S$1073,($C$2:$C$1073=$C961)*($E$2:$E$1073=$E961)*(ROW(S$2:S$1073)&lt;&gt;ROW(S961))*(S$2:S$1073&lt;&gt;""))),"")</f>
        <v/>
      </c>
      <c r="AB961" t="str" cm="1">
        <f t="array" ref="AB961">IFERROR(AVERAGE(_xlfn._xlws.FILTER(T$2:T$1073,($C$2:$C$1073=$C961)*($E$2:$E$1073=$E961)*(ROW(T$2:T$1073)&lt;&gt;ROW(T961))*(T$2:T$1073&lt;&gt;""))),"")</f>
        <v/>
      </c>
      <c r="AC961" cm="1">
        <f t="array" ref="AC961">IFERROR(AVERAGE(_xlfn._xlws.FILTER(U$2:U$1073,($C$2:$C$1073=$C961)*($E$2:$E$1073=$E961)*(ROW(U$2:U$1073)&lt;&gt;ROW(U961))*(U$2:U$1073&lt;&gt;""))),"")</f>
        <v>2.9188674344099064</v>
      </c>
      <c r="AD961" cm="1">
        <f t="array" ref="AD961">IFERROR(AVERAGE(_xlfn._xlws.FILTER(V$2:V$1073,($C$2:$C$1073=$C961)*($E$2:$E$1073=$E961)*(ROW(V$2:V$1073)&lt;&gt;ROW(V961))*(V$2:V$1073&lt;&gt;""))),"")</f>
        <v>0.74482423385404006</v>
      </c>
      <c r="AE961">
        <f>IF('Дивиденды по годам'!M961&lt;0,1,0)</f>
        <v>0</v>
      </c>
    </row>
    <row r="962" spans="1:31" x14ac:dyDescent="0.2">
      <c r="A962" s="7" t="s">
        <v>2297</v>
      </c>
      <c r="B962" t="str">
        <f t="shared" si="154"/>
        <v>FLOT IV кв. 2025</v>
      </c>
      <c r="C962">
        <v>2025</v>
      </c>
      <c r="D962">
        <f>SUMIFS(Дивиденды!$C:$C,Дивиденды!$A:$A,A962,Дивиденды!$I:$I,C962)</f>
        <v>0</v>
      </c>
      <c r="E962">
        <v>7</v>
      </c>
      <c r="F962">
        <f t="shared" si="155"/>
        <v>0</v>
      </c>
      <c r="G962">
        <f t="shared" si="156"/>
        <v>3.8849999999999998</v>
      </c>
      <c r="H962">
        <f t="shared" si="157"/>
        <v>0</v>
      </c>
      <c r="I962">
        <f t="shared" si="158"/>
        <v>0.25</v>
      </c>
      <c r="J962">
        <f t="shared" si="159"/>
        <v>0</v>
      </c>
      <c r="K962">
        <f t="shared" si="164"/>
        <v>-0.68027638190954776</v>
      </c>
      <c r="L962">
        <f t="shared" si="160"/>
        <v>0</v>
      </c>
      <c r="M962">
        <f t="shared" si="161"/>
        <v>0</v>
      </c>
      <c r="N962">
        <f t="shared" si="162"/>
        <v>0</v>
      </c>
      <c r="O962">
        <f t="shared" si="163"/>
        <v>0.75</v>
      </c>
      <c r="P962">
        <f>IFERROR(LN('Дивиденды по годам'!I962),"")</f>
        <v>27.082017880420395</v>
      </c>
      <c r="Q962" t="str">
        <f>IFERROR('Дивиденды по годам'!G962/'Дивиденды по годам'!I962, "")</f>
        <v/>
      </c>
      <c r="R962">
        <f>IFERROR(IF(AND('Дивиденды по годам'!N962&lt;&gt;"",'Дивиденды по годам'!U962&lt;&gt;"",'Дивиденды по годам'!U962&lt;&gt;0),'Дивиденды по годам'!N962/'Дивиденды по годам'!U962-1,""),"")</f>
        <v>-0.37000558537071093</v>
      </c>
      <c r="S962" t="str">
        <f>IFERROR(IF(AND('Дивиденды по годам'!L962&lt;&gt;"",'Дивиденды по годам'!I962&lt;&gt;"",'Дивиденды по годам'!J962&lt;&gt;"",'Дивиденды по годам'!K962&lt;&gt;"",('Дивиденды по годам'!I962-'Дивиденды по годам'!J962-'Дивиденды по годам'!K962)&lt;&gt;0),'Дивиденды по годам'!L962/('Дивиденды по годам'!I962-'Дивиденды по годам'!J962-'Дивиденды по годам'!K962),""),"")</f>
        <v/>
      </c>
      <c r="T962">
        <f>IFERROR(IF(AND('Дивиденды по годам'!Q962&lt;&gt;"",'Дивиденды по годам'!I962&lt;&gt;"",'Дивиденды по годам'!V962&lt;&gt;"",('Дивиденды по годам'!I962+'Дивиденды по годам'!V962)&lt;&gt;0),'Дивиденды по годам'!Q962/(('Дивиденды по годам'!I962+'Дивиденды по годам'!V962)/2),""),"")</f>
        <v>-9.0250578769573819E-2</v>
      </c>
      <c r="U962">
        <f>IFERROR(IF(AND('Дивиденды по годам'!J962&lt;&gt;"",'Дивиденды по годам'!K962&lt;&gt;"",'Дивиденды по годам'!M962&lt;&gt;"",'Дивиденды по годам'!M962&lt;&gt;0),('Дивиденды по годам'!J962+'Дивиденды по годам'!K962)/'Дивиденды по годам'!M962,""),"")</f>
        <v>0.48847456484923102</v>
      </c>
      <c r="V962">
        <f>IFERROR(IF(AND('Дивиденды по годам'!J962&lt;&gt;"",'Дивиденды по годам'!K962&lt;&gt;"",'Дивиденды по годам'!M962&lt;&gt;"",'Дивиденды по годам'!I962&lt;&gt;0),('Дивиденды по годам'!J962+'Дивиденды по годам'!K962)/'Дивиденды по годам'!I962,""),"")</f>
        <v>0.32817125423887178</v>
      </c>
      <c r="W962">
        <f>IFERROR('Дивиденды по годам'!I962,"")</f>
        <v>577525180171.50232</v>
      </c>
      <c r="X962" cm="1">
        <f t="array" ref="X962">IFERROR(AVERAGE(_xlfn._xlws.FILTER(P$2:P$1073,($C$2:$C$1073=$C962)*($E$2:$E$1073=$E962)*(ROW(P$2:P$1073)&lt;&gt;ROW(P962))*(P$2:P$1073&lt;&gt;""))),"")</f>
        <v>27.750135709113035</v>
      </c>
      <c r="Y962" cm="1">
        <f t="array" ref="Y962">IFERROR(AVERAGE(_xlfn._xlws.FILTER(Q$2:Q$1073,($C$2:$C$1073=$C962)*($E$2:$E$1073=$E962)*(ROW(Q$2:Q$1073)&lt;&gt;ROW(Q962))*(Q$2:Q$1073&lt;&gt;""))),"")</f>
        <v>0.20332374906679898</v>
      </c>
      <c r="Z962" cm="1">
        <f t="array" ref="Z962">IFERROR(AVERAGE(_xlfn._xlws.FILTER(R$2:R$1073,($C$2:$C$1073=$C962)*($E$2:$E$1073=$E962)*(ROW(R$2:R$1073)&lt;&gt;ROW(R962))*(R$2:R$1073&lt;&gt;""))),"")</f>
        <v>5.3077493186738822E-2</v>
      </c>
      <c r="AA962" cm="1">
        <f t="array" ref="AA962">IFERROR(AVERAGE(_xlfn._xlws.FILTER(S$2:S$1073,($C$2:$C$1073=$C962)*($E$2:$E$1073=$E962)*(ROW(S$2:S$1073)&lt;&gt;ROW(S962))*(S$2:S$1073&lt;&gt;""))),"")</f>
        <v>-1.8248333530548653</v>
      </c>
      <c r="AB962" cm="1">
        <f t="array" ref="AB962">IFERROR(AVERAGE(_xlfn._xlws.FILTER(T$2:T$1073,($C$2:$C$1073=$C962)*($E$2:$E$1073=$E962)*(ROW(T$2:T$1073)&lt;&gt;ROW(T962))*(T$2:T$1073&lt;&gt;""))),"")</f>
        <v>9.2410642924242198E-2</v>
      </c>
      <c r="AC962" cm="1">
        <f t="array" ref="AC962">IFERROR(AVERAGE(_xlfn._xlws.FILTER(U$2:U$1073,($C$2:$C$1073=$C962)*($E$2:$E$1073=$E962)*(ROW(U$2:U$1073)&lt;&gt;ROW(U962))*(U$2:U$1073&lt;&gt;""))),"")</f>
        <v>21.216286041099671</v>
      </c>
      <c r="AD962" cm="1">
        <f t="array" ref="AD962">IFERROR(AVERAGE(_xlfn._xlws.FILTER(V$2:V$1073,($C$2:$C$1073=$C962)*($E$2:$E$1073=$E962)*(ROW(V$2:V$1073)&lt;&gt;ROW(V962))*(V$2:V$1073&lt;&gt;""))),"")</f>
        <v>0.9549879760212836</v>
      </c>
      <c r="AE962">
        <f>IF('Дивиденды по годам'!M962&lt;0,1,0)</f>
        <v>0</v>
      </c>
    </row>
    <row r="963" spans="1:31" x14ac:dyDescent="0.2">
      <c r="A963" s="7" t="s">
        <v>2297</v>
      </c>
      <c r="B963" t="str">
        <f t="shared" ref="B963:B1026" si="165">A963&amp;" "&amp;
"IV"
&amp;" кв. "&amp;C963</f>
        <v>FLOT IV кв. 2024</v>
      </c>
      <c r="C963">
        <v>2024</v>
      </c>
      <c r="D963">
        <f>SUMIFS(Дивиденды!$C:$C,Дивиденды!$A:$A,A963,Дивиденды!$I:$I,C963)</f>
        <v>0</v>
      </c>
      <c r="E963">
        <v>7</v>
      </c>
      <c r="F963">
        <f t="shared" ref="F963:F1026" si="166">D963</f>
        <v>0</v>
      </c>
      <c r="G963">
        <f t="shared" ref="G963:G1026" si="167">AVERAGEIFS($D:$D,$E:$E,E963,$C:$C,C963,$A:$A,"&lt;&gt;"&amp;A963)</f>
        <v>15.487499999999999</v>
      </c>
      <c r="H963">
        <f t="shared" ref="H963:H1026" si="168">IF(D963&gt;0,1,0)</f>
        <v>0</v>
      </c>
      <c r="I963">
        <f t="shared" ref="I963:I1026" si="169">IFERROR((COUNTIFS($E:$E,E963,$C:$C,C963,$H:$H,1)-H963)/(COUNTIFS($E:$E,E963,$C:$C,C963)-1),0)</f>
        <v>0.75</v>
      </c>
      <c r="J963">
        <f t="shared" ref="J963:J1026" si="170">IF(A964&lt;&gt;A963,"",IF(D963=D964,0,IF(AND(D964=0,D963&lt;&gt;0), 1,(D963-D964)/D964)))</f>
        <v>-1</v>
      </c>
      <c r="K963">
        <f t="shared" si="164"/>
        <v>0.44145930405472389</v>
      </c>
      <c r="L963">
        <f t="shared" ref="L963:L1026" si="171">IF(J963&lt;&gt;"",IF(J963&gt;0,1,0),"")</f>
        <v>0</v>
      </c>
      <c r="M963">
        <f t="shared" ref="M963:M1026" si="172">IFERROR(AVERAGEIFS($L:$L,$E:$E,E963,$C:$C,C963,$A:$A,"&lt;&gt;"&amp;A963),"")</f>
        <v>0.75</v>
      </c>
      <c r="N963">
        <f t="shared" ref="N963:N1026" si="173">IF(J963&lt;&gt;"",IF(J963&lt;0,1,0),"")</f>
        <v>1</v>
      </c>
      <c r="O963">
        <f t="shared" ref="O963:O1026" si="174">IFERROR(AVERAGEIFS($N:$N,$E:$E,E963,$C:$C,C963,$A:$A,"&lt;&gt;"&amp;A963),"")</f>
        <v>0</v>
      </c>
      <c r="P963">
        <f>IFERROR(LN('Дивиденды по годам'!I963),"")</f>
        <v>27.151354093655577</v>
      </c>
      <c r="Q963">
        <f>IFERROR('Дивиденды по годам'!G963/'Дивиденды по годам'!I963, "")</f>
        <v>0.6796545053594395</v>
      </c>
      <c r="R963">
        <f>IFERROR(IF(AND('Дивиденды по годам'!N963&lt;&gt;"",'Дивиденды по годам'!U963&lt;&gt;"",'Дивиденды по годам'!U963&lt;&gt;0),'Дивиденды по годам'!N963/'Дивиденды по годам'!U963-1,""),"")</f>
        <v>-0.12500347105250498</v>
      </c>
      <c r="S963" t="str">
        <f>IFERROR(IF(AND('Дивиденды по годам'!L963&lt;&gt;"",'Дивиденды по годам'!I963&lt;&gt;"",'Дивиденды по годам'!J963&lt;&gt;"",'Дивиденды по годам'!K963&lt;&gt;"",('Дивиденды по годам'!I963-'Дивиденды по годам'!J963-'Дивиденды по годам'!K963)&lt;&gt;0),'Дивиденды по годам'!L963/('Дивиденды по годам'!I963-'Дивиденды по годам'!J963-'Дивиденды по годам'!K963),""),"")</f>
        <v/>
      </c>
      <c r="T963">
        <f>IFERROR(IF(AND('Дивиденды по годам'!Q963&lt;&gt;"",'Дивиденды по годам'!I963&lt;&gt;"",'Дивиденды по годам'!V963&lt;&gt;"",('Дивиденды по годам'!I963+'Дивиденды по годам'!V963)&lt;&gt;0),'Дивиденды по годам'!Q963/(('Дивиденды по годам'!I963+'Дивиденды по годам'!V963)/2),""),"")</f>
        <v>6.4592366794049061E-2</v>
      </c>
      <c r="U963">
        <f>IFERROR(IF(AND('Дивиденды по годам'!J963&lt;&gt;"",'Дивиденды по годам'!K963&lt;&gt;"",'Дивиденды по годам'!M963&lt;&gt;"",'Дивиденды по годам'!M963&lt;&gt;0),('Дивиденды по годам'!J963+'Дивиденды по годам'!K963)/'Дивиденды по годам'!M963,""),"")</f>
        <v>0.33009546076358659</v>
      </c>
      <c r="V963">
        <f>IFERROR(IF(AND('Дивиденды по годам'!J963&lt;&gt;"",'Дивиденды по годам'!K963&lt;&gt;"",'Дивиденды по годам'!M963&lt;&gt;"",'Дивиденды по годам'!I963&lt;&gt;0),('Дивиденды по годам'!J963+'Дивиденды по годам'!K963)/'Дивиденды по годам'!I963,""),"")</f>
        <v>0.24817426305182941</v>
      </c>
      <c r="W963">
        <f>IFERROR('Дивиденды по годам'!I963,"")</f>
        <v>618989467200.8208</v>
      </c>
      <c r="X963" cm="1">
        <f t="array" ref="X963">IFERROR(AVERAGE(_xlfn._xlws.FILTER(P$2:P$1073,($C$2:$C$1073=$C963)*($E$2:$E$1073=$E963)*(ROW(P$2:P$1073)&lt;&gt;ROW(P963))*(P$2:P$1073&lt;&gt;""))),"")</f>
        <v>25.970103533711452</v>
      </c>
      <c r="Y963" cm="1">
        <f t="array" ref="Y963">IFERROR(AVERAGE(_xlfn._xlws.FILTER(Q$2:Q$1073,($C$2:$C$1073=$C963)*($E$2:$E$1073=$E963)*(ROW(Q$2:Q$1073)&lt;&gt;ROW(Q963))*(Q$2:Q$1073&lt;&gt;""))),"")</f>
        <v>0.44435522141048373</v>
      </c>
      <c r="Z963" cm="1">
        <f t="array" ref="Z963">IFERROR(AVERAGE(_xlfn._xlws.FILTER(R$2:R$1073,($C$2:$C$1073=$C963)*($E$2:$E$1073=$E963)*(ROW(R$2:R$1073)&lt;&gt;ROW(R963))*(R$2:R$1073&lt;&gt;""))),"")</f>
        <v>0.18418336917886896</v>
      </c>
      <c r="AA963" cm="1">
        <f t="array" ref="AA963">IFERROR(AVERAGE(_xlfn._xlws.FILTER(S$2:S$1073,($C$2:$C$1073=$C963)*($E$2:$E$1073=$E963)*(ROW(S$2:S$1073)&lt;&gt;ROW(S963))*(S$2:S$1073&lt;&gt;""))),"")</f>
        <v>1.3318547231247482</v>
      </c>
      <c r="AB963" cm="1">
        <f t="array" ref="AB963">IFERROR(AVERAGE(_xlfn._xlws.FILTER(T$2:T$1073,($C$2:$C$1073=$C963)*($E$2:$E$1073=$E963)*(ROW(T$2:T$1073)&lt;&gt;ROW(T963))*(T$2:T$1073&lt;&gt;""))),"")</f>
        <v>0.17475315631097599</v>
      </c>
      <c r="AC963" cm="1">
        <f t="array" ref="AC963">IFERROR(AVERAGE(_xlfn._xlws.FILTER(U$2:U$1073,($C$2:$C$1073=$C963)*($E$2:$E$1073=$E963)*(ROW(U$2:U$1073)&lt;&gt;ROW(U963))*(U$2:U$1073&lt;&gt;""))),"")</f>
        <v>-3.9659410040555576</v>
      </c>
      <c r="AD963" cm="1">
        <f t="array" ref="AD963">IFERROR(AVERAGE(_xlfn._xlws.FILTER(V$2:V$1073,($C$2:$C$1073=$C963)*($E$2:$E$1073=$E963)*(ROW(V$2:V$1073)&lt;&gt;ROW(V963))*(V$2:V$1073&lt;&gt;""))),"")</f>
        <v>0.45375380263177656</v>
      </c>
      <c r="AE963">
        <f>IF('Дивиденды по годам'!M963&lt;0,1,0)</f>
        <v>0</v>
      </c>
    </row>
    <row r="964" spans="1:31" x14ac:dyDescent="0.2">
      <c r="A964" s="7" t="s">
        <v>2297</v>
      </c>
      <c r="B964" t="str">
        <f t="shared" si="165"/>
        <v>FLOT IV кв. 2023</v>
      </c>
      <c r="C964">
        <v>2023</v>
      </c>
      <c r="D964">
        <f>SUMIFS(Дивиденды!$C:$C,Дивиденды!$A:$A,A964,Дивиденды!$I:$I,C964)</f>
        <v>17.59</v>
      </c>
      <c r="E964">
        <v>7</v>
      </c>
      <c r="F964">
        <f t="shared" si="166"/>
        <v>17.59</v>
      </c>
      <c r="G964">
        <f t="shared" si="167"/>
        <v>9.3625000000000007</v>
      </c>
      <c r="H964">
        <f t="shared" si="168"/>
        <v>1</v>
      </c>
      <c r="I964">
        <f t="shared" si="169"/>
        <v>0.5</v>
      </c>
      <c r="J964">
        <f t="shared" si="170"/>
        <v>3.1002331002331003</v>
      </c>
      <c r="K964">
        <f t="shared" ref="K964:K1027" si="175">IFERROR(AVERAGEIFS($J:$J,$E:$E,E964,$C:$C,C964,$A:$A,"&lt;&gt;"&amp;A964),"")</f>
        <v>0.36784798221614229</v>
      </c>
      <c r="L964">
        <f t="shared" si="171"/>
        <v>1</v>
      </c>
      <c r="M964">
        <f t="shared" si="172"/>
        <v>0.25</v>
      </c>
      <c r="N964">
        <f t="shared" si="173"/>
        <v>0</v>
      </c>
      <c r="O964">
        <f t="shared" si="174"/>
        <v>0.25</v>
      </c>
      <c r="P964">
        <f>IFERROR(LN('Дивиденды по годам'!I964),"")</f>
        <v>27.116846567033107</v>
      </c>
      <c r="Q964">
        <f>IFERROR('Дивиденды по годам'!G964/'Дивиденды по годам'!I964, "")</f>
        <v>0.71729719730565378</v>
      </c>
      <c r="R964" t="str">
        <f>IFERROR(IF(AND('Дивиденды по годам'!N964&lt;&gt;"",'Дивиденды по годам'!U964&lt;&gt;"",'Дивиденды по годам'!U964&lt;&gt;0),'Дивиденды по годам'!N964/'Дивиденды по годам'!U964-1,""),"")</f>
        <v/>
      </c>
      <c r="S964" t="str">
        <f>IFERROR(IF(AND('Дивиденды по годам'!L964&lt;&gt;"",'Дивиденды по годам'!I964&lt;&gt;"",'Дивиденды по годам'!J964&lt;&gt;"",'Дивиденды по годам'!K964&lt;&gt;"",('Дивиденды по годам'!I964-'Дивиденды по годам'!J964-'Дивиденды по годам'!K964)&lt;&gt;0),'Дивиденды по годам'!L964/('Дивиденды по годам'!I964-'Дивиденды по годам'!J964-'Дивиденды по годам'!K964),""),"")</f>
        <v/>
      </c>
      <c r="T964" t="str">
        <f>IFERROR(IF(AND('Дивиденды по годам'!Q964&lt;&gt;"",'Дивиденды по годам'!I964&lt;&gt;"",'Дивиденды по годам'!V964&lt;&gt;"",('Дивиденды по годам'!I964+'Дивиденды по годам'!V964)&lt;&gt;0),'Дивиденды по годам'!Q964/(('Дивиденды по годам'!I964+'Дивиденды по годам'!V964)/2),""),"")</f>
        <v/>
      </c>
      <c r="U964">
        <f>IFERROR(IF(AND('Дивиденды по годам'!J964&lt;&gt;"",'Дивиденды по годам'!K964&lt;&gt;"",'Дивиденды по годам'!M964&lt;&gt;"",'Дивиденды по годам'!M964&lt;&gt;0),('Дивиденды по годам'!J964+'Дивиденды по годам'!K964)/'Дивиденды по годам'!M964,""),"")</f>
        <v>0.39760327075721608</v>
      </c>
      <c r="V964">
        <f>IFERROR(IF(AND('Дивиденды по годам'!J964&lt;&gt;"",'Дивиденды по годам'!K964&lt;&gt;"",'Дивиденды по годам'!M964&lt;&gt;"",'Дивиденды по годам'!I964&lt;&gt;0),('Дивиденды по годам'!J964+'Дивиденды по годам'!K964)/'Дивиденды по годам'!I964,""),"")</f>
        <v>0.28448936767427296</v>
      </c>
      <c r="W964">
        <f>IFERROR('Дивиденды по годам'!I964,"")</f>
        <v>597994005759.40991</v>
      </c>
      <c r="X964" cm="1">
        <f t="array" ref="X964">IFERROR(AVERAGE(_xlfn._xlws.FILTER(P$2:P$1073,($C$2:$C$1073=$C964)*($E$2:$E$1073=$E964)*(ROW(P$2:P$1073)&lt;&gt;ROW(P964))*(P$2:P$1073&lt;&gt;""))),"")</f>
        <v>25.83686938195093</v>
      </c>
      <c r="Y964" cm="1">
        <f t="array" ref="Y964">IFERROR(AVERAGE(_xlfn._xlws.FILTER(Q$2:Q$1073,($C$2:$C$1073=$C964)*($E$2:$E$1073=$E964)*(ROW(Q$2:Q$1073)&lt;&gt;ROW(Q964))*(Q$2:Q$1073&lt;&gt;""))),"")</f>
        <v>0.46027720748507278</v>
      </c>
      <c r="Z964" cm="1">
        <f t="array" ref="Z964">IFERROR(AVERAGE(_xlfn._xlws.FILTER(R$2:R$1073,($C$2:$C$1073=$C964)*($E$2:$E$1073=$E964)*(ROW(R$2:R$1073)&lt;&gt;ROW(R964))*(R$2:R$1073&lt;&gt;""))),"")</f>
        <v>0.40679843503349139</v>
      </c>
      <c r="AA964" cm="1">
        <f t="array" ref="AA964">IFERROR(AVERAGE(_xlfn._xlws.FILTER(S$2:S$1073,($C$2:$C$1073=$C964)*($E$2:$E$1073=$E964)*(ROW(S$2:S$1073)&lt;&gt;ROW(S964))*(S$2:S$1073&lt;&gt;""))),"")</f>
        <v>1.4326839999117074</v>
      </c>
      <c r="AB964" cm="1">
        <f t="array" ref="AB964">IFERROR(AVERAGE(_xlfn._xlws.FILTER(T$2:T$1073,($C$2:$C$1073=$C964)*($E$2:$E$1073=$E964)*(ROW(T$2:T$1073)&lt;&gt;ROW(T964))*(T$2:T$1073&lt;&gt;""))),"")</f>
        <v>0.17044080116342475</v>
      </c>
      <c r="AC964" cm="1">
        <f t="array" ref="AC964">IFERROR(AVERAGE(_xlfn._xlws.FILTER(U$2:U$1073,($C$2:$C$1073=$C964)*($E$2:$E$1073=$E964)*(ROW(U$2:U$1073)&lt;&gt;ROW(U964))*(U$2:U$1073&lt;&gt;""))),"")</f>
        <v>-2.78636327233479</v>
      </c>
      <c r="AD964" cm="1">
        <f t="array" ref="AD964">IFERROR(AVERAGE(_xlfn._xlws.FILTER(V$2:V$1073,($C$2:$C$1073=$C964)*($E$2:$E$1073=$E964)*(ROW(V$2:V$1073)&lt;&gt;ROW(V964))*(V$2:V$1073&lt;&gt;""))),"")</f>
        <v>0.47459230985701328</v>
      </c>
      <c r="AE964">
        <f>IF('Дивиденды по годам'!M964&lt;0,1,0)</f>
        <v>0</v>
      </c>
    </row>
    <row r="965" spans="1:31" x14ac:dyDescent="0.2">
      <c r="A965" s="7" t="s">
        <v>2297</v>
      </c>
      <c r="B965" t="str">
        <f t="shared" si="165"/>
        <v>FLOT IV кв. 2022</v>
      </c>
      <c r="C965">
        <v>2022</v>
      </c>
      <c r="D965">
        <f>SUMIFS(Дивиденды!$C:$C,Дивиденды!$A:$A,A965,Дивиденды!$I:$I,C965)</f>
        <v>4.29</v>
      </c>
      <c r="E965">
        <v>7</v>
      </c>
      <c r="F965">
        <f t="shared" si="166"/>
        <v>4.29</v>
      </c>
      <c r="G965">
        <f t="shared" si="167"/>
        <v>3.855</v>
      </c>
      <c r="H965">
        <f t="shared" si="168"/>
        <v>1</v>
      </c>
      <c r="I965">
        <f t="shared" si="169"/>
        <v>0.5</v>
      </c>
      <c r="J965">
        <f t="shared" si="170"/>
        <v>1</v>
      </c>
      <c r="K965">
        <f t="shared" si="175"/>
        <v>0.2551072124756335</v>
      </c>
      <c r="L965">
        <f t="shared" si="171"/>
        <v>1</v>
      </c>
      <c r="M965">
        <f t="shared" si="172"/>
        <v>0.5</v>
      </c>
      <c r="N965">
        <f t="shared" si="173"/>
        <v>0</v>
      </c>
      <c r="O965">
        <f t="shared" si="174"/>
        <v>0</v>
      </c>
      <c r="P965" t="str">
        <f>IFERROR(LN('Дивиденды по годам'!I965),"")</f>
        <v/>
      </c>
      <c r="Q965" t="str">
        <f>IFERROR('Дивиденды по годам'!G965/'Дивиденды по годам'!I965, "")</f>
        <v/>
      </c>
      <c r="R965" t="str">
        <f>IFERROR(IF(AND('Дивиденды по годам'!N965&lt;&gt;"",'Дивиденды по годам'!U965&lt;&gt;"",'Дивиденды по годам'!U965&lt;&gt;0),'Дивиденды по годам'!N965/'Дивиденды по годам'!U965-1,""),"")</f>
        <v/>
      </c>
      <c r="S965" t="str">
        <f>IFERROR(IF(AND('Дивиденды по годам'!L965&lt;&gt;"",'Дивиденды по годам'!I965&lt;&gt;"",'Дивиденды по годам'!J965&lt;&gt;"",'Дивиденды по годам'!K965&lt;&gt;"",('Дивиденды по годам'!I965-'Дивиденды по годам'!J965-'Дивиденды по годам'!K965)&lt;&gt;0),'Дивиденды по годам'!L965/('Дивиденды по годам'!I965-'Дивиденды по годам'!J965-'Дивиденды по годам'!K965),""),"")</f>
        <v/>
      </c>
      <c r="T965" t="str">
        <f>IFERROR(IF(AND('Дивиденды по годам'!Q965&lt;&gt;"",'Дивиденды по годам'!I965&lt;&gt;"",'Дивиденды по годам'!V965&lt;&gt;"",('Дивиденды по годам'!I965+'Дивиденды по годам'!V965)&lt;&gt;0),'Дивиденды по годам'!Q965/(('Дивиденды по годам'!I965+'Дивиденды по годам'!V965)/2),""),"")</f>
        <v/>
      </c>
      <c r="U965" t="str">
        <f>IFERROR(IF(AND('Дивиденды по годам'!J965&lt;&gt;"",'Дивиденды по годам'!K965&lt;&gt;"",'Дивиденды по годам'!M965&lt;&gt;"",'Дивиденды по годам'!M965&lt;&gt;0),('Дивиденды по годам'!J965+'Дивиденды по годам'!K965)/'Дивиденды по годам'!M965,""),"")</f>
        <v/>
      </c>
      <c r="V965" t="str">
        <f>IFERROR(IF(AND('Дивиденды по годам'!J965&lt;&gt;"",'Дивиденды по годам'!K965&lt;&gt;"",'Дивиденды по годам'!M965&lt;&gt;"",'Дивиденды по годам'!I965&lt;&gt;0),('Дивиденды по годам'!J965+'Дивиденды по годам'!K965)/'Дивиденды по годам'!I965,""),"")</f>
        <v/>
      </c>
      <c r="W965" t="str">
        <f>IFERROR('Дивиденды по годам'!I965,"")</f>
        <v/>
      </c>
      <c r="X965" cm="1">
        <f t="array" ref="X965">IFERROR(AVERAGE(_xlfn._xlws.FILTER(P$2:P$1073,($C$2:$C$1073=$C965)*($E$2:$E$1073=$E965)*(ROW(P$2:P$1073)&lt;&gt;ROW(P965))*(P$2:P$1073&lt;&gt;""))),"")</f>
        <v>25.647463100099642</v>
      </c>
      <c r="Y965" cm="1">
        <f t="array" ref="Y965">IFERROR(AVERAGE(_xlfn._xlws.FILTER(Q$2:Q$1073,($C$2:$C$1073=$C965)*($E$2:$E$1073=$E965)*(ROW(Q$2:Q$1073)&lt;&gt;ROW(Q965))*(Q$2:Q$1073&lt;&gt;""))),"")</f>
        <v>0.45433195466763265</v>
      </c>
      <c r="Z965" cm="1">
        <f t="array" ref="Z965">IFERROR(AVERAGE(_xlfn._xlws.FILTER(R$2:R$1073,($C$2:$C$1073=$C965)*($E$2:$E$1073=$E965)*(ROW(R$2:R$1073)&lt;&gt;ROW(R965))*(R$2:R$1073&lt;&gt;""))),"")</f>
        <v>1.6409708137384921E-2</v>
      </c>
      <c r="AA965" cm="1">
        <f t="array" ref="AA965">IFERROR(AVERAGE(_xlfn._xlws.FILTER(S$2:S$1073,($C$2:$C$1073=$C965)*($E$2:$E$1073=$E965)*(ROW(S$2:S$1073)&lt;&gt;ROW(S965))*(S$2:S$1073&lt;&gt;""))),"")</f>
        <v>1.4151471153731248</v>
      </c>
      <c r="AB965" cm="1">
        <f t="array" ref="AB965">IFERROR(AVERAGE(_xlfn._xlws.FILTER(T$2:T$1073,($C$2:$C$1073=$C965)*($E$2:$E$1073=$E965)*(ROW(T$2:T$1073)&lt;&gt;ROW(T965))*(T$2:T$1073&lt;&gt;""))),"")</f>
        <v>0.13024338598126092</v>
      </c>
      <c r="AC965" cm="1">
        <f t="array" ref="AC965">IFERROR(AVERAGE(_xlfn._xlws.FILTER(U$2:U$1073,($C$2:$C$1073=$C965)*($E$2:$E$1073=$E965)*(ROW(U$2:U$1073)&lt;&gt;ROW(U965))*(U$2:U$1073&lt;&gt;""))),"")</f>
        <v>-2.3251779355868303</v>
      </c>
      <c r="AD965" cm="1">
        <f t="array" ref="AD965">IFERROR(AVERAGE(_xlfn._xlws.FILTER(V$2:V$1073,($C$2:$C$1073=$C965)*($E$2:$E$1073=$E965)*(ROW(V$2:V$1073)&lt;&gt;ROW(V965))*(V$2:V$1073&lt;&gt;""))),"")</f>
        <v>0.48525800295579397</v>
      </c>
      <c r="AE965">
        <f>IF('Дивиденды по годам'!M965&lt;0,1,0)</f>
        <v>0</v>
      </c>
    </row>
    <row r="966" spans="1:31" x14ac:dyDescent="0.2">
      <c r="A966" s="7" t="s">
        <v>2297</v>
      </c>
      <c r="B966" t="str">
        <f t="shared" si="165"/>
        <v>FLOT IV кв. 2021</v>
      </c>
      <c r="C966">
        <v>2021</v>
      </c>
      <c r="D966">
        <f>SUMIFS(Дивиденды!$C:$C,Дивиденды!$A:$A,A966,Дивиденды!$I:$I,C966)</f>
        <v>0</v>
      </c>
      <c r="E966">
        <v>7</v>
      </c>
      <c r="F966">
        <f t="shared" si="166"/>
        <v>0</v>
      </c>
      <c r="G966">
        <f t="shared" si="167"/>
        <v>2.5099999999999998</v>
      </c>
      <c r="H966">
        <f t="shared" si="168"/>
        <v>0</v>
      </c>
      <c r="I966">
        <f t="shared" si="169"/>
        <v>0.5</v>
      </c>
      <c r="J966">
        <f t="shared" si="170"/>
        <v>-1</v>
      </c>
      <c r="K966">
        <f t="shared" si="175"/>
        <v>1.8881617219313558</v>
      </c>
      <c r="L966">
        <f t="shared" si="171"/>
        <v>0</v>
      </c>
      <c r="M966">
        <f t="shared" si="172"/>
        <v>0.25</v>
      </c>
      <c r="N966">
        <f t="shared" si="173"/>
        <v>1</v>
      </c>
      <c r="O966">
        <f t="shared" si="174"/>
        <v>0.25</v>
      </c>
      <c r="P966">
        <f>IFERROR(LN('Дивиденды по годам'!I966),"")</f>
        <v>27.015431405261026</v>
      </c>
      <c r="Q966">
        <f>IFERROR('Дивиденды по годам'!G966/'Дивиденды по годам'!I966, "")</f>
        <v>0.79095422743339183</v>
      </c>
      <c r="R966">
        <f>IFERROR(IF(AND('Дивиденды по годам'!N966&lt;&gt;"",'Дивиденды по годам'!U966&lt;&gt;"",'Дивиденды по годам'!U966&lt;&gt;0),'Дивиденды по годам'!N966/'Дивиденды по годам'!U966-1,""),"")</f>
        <v>-4.8780766343595516E-2</v>
      </c>
      <c r="S966" t="str">
        <f>IFERROR(IF(AND('Дивиденды по годам'!L966&lt;&gt;"",'Дивиденды по годам'!I966&lt;&gt;"",'Дивиденды по годам'!J966&lt;&gt;"",'Дивиденды по годам'!K966&lt;&gt;"",('Дивиденды по годам'!I966-'Дивиденды по годам'!J966-'Дивиденды по годам'!K966)&lt;&gt;0),'Дивиденды по годам'!L966/('Дивиденды по годам'!I966-'Дивиденды по годам'!J966-'Дивиденды по годам'!K966),""),"")</f>
        <v/>
      </c>
      <c r="T966">
        <f>IFERROR(IF(AND('Дивиденды по годам'!Q966&lt;&gt;"",'Дивиденды по годам'!I966&lt;&gt;"",'Дивиденды по годам'!V966&lt;&gt;"",('Дивиденды по годам'!I966+'Дивиденды по годам'!V966)&lt;&gt;0),'Дивиденды по годам'!Q966/(('Дивиденды по годам'!I966+'Дивиденды по годам'!V966)/2),""),"")</f>
        <v>4.801580423172404E-3</v>
      </c>
      <c r="U966">
        <f>IFERROR(IF(AND('Дивиденды по годам'!J966&lt;&gt;"",'Дивиденды по годам'!K966&lt;&gt;"",'Дивиденды по годам'!M966&lt;&gt;"",'Дивиденды по годам'!M966&lt;&gt;0),('Дивиденды по годам'!J966+'Дивиденды по годам'!K966)/'Дивиденды по годам'!M966,""),"")</f>
        <v>0.84666009244090945</v>
      </c>
      <c r="V966">
        <f>IFERROR(IF(AND('Дивиденды по годам'!J966&lt;&gt;"",'Дивиденды по годам'!K966&lt;&gt;"",'Дивиденды по годам'!M966&lt;&gt;"",'Дивиденды по годам'!I966&lt;&gt;0),('Дивиденды по годам'!J966+'Дивиденды по годам'!K966)/'Дивиденды по годам'!I966,""),"")</f>
        <v>0.45848182668083592</v>
      </c>
      <c r="W966">
        <f>IFERROR('Дивиденды по годам'!I966,"")</f>
        <v>540322167593.85718</v>
      </c>
      <c r="X966" cm="1">
        <f t="array" ref="X966">IFERROR(AVERAGE(_xlfn._xlws.FILTER(P$2:P$1073,($C$2:$C$1073=$C966)*($E$2:$E$1073=$E966)*(ROW(P$2:P$1073)&lt;&gt;ROW(P966))*(P$2:P$1073&lt;&gt;""))),"")</f>
        <v>25.464874176661969</v>
      </c>
      <c r="Y966" cm="1">
        <f t="array" ref="Y966">IFERROR(AVERAGE(_xlfn._xlws.FILTER(Q$2:Q$1073,($C$2:$C$1073=$C966)*($E$2:$E$1073=$E966)*(ROW(Q$2:Q$1073)&lt;&gt;ROW(Q966))*(Q$2:Q$1073&lt;&gt;""))),"")</f>
        <v>0.47797600746510255</v>
      </c>
      <c r="Z966" cm="1">
        <f t="array" ref="Z966">IFERROR(AVERAGE(_xlfn._xlws.FILTER(R$2:R$1073,($C$2:$C$1073=$C966)*($E$2:$E$1073=$E966)*(ROW(R$2:R$1073)&lt;&gt;ROW(R966))*(R$2:R$1073&lt;&gt;""))),"")</f>
        <v>0.42986433005958374</v>
      </c>
      <c r="AA966" cm="1">
        <f t="array" ref="AA966">IFERROR(AVERAGE(_xlfn._xlws.FILTER(S$2:S$1073,($C$2:$C$1073=$C966)*($E$2:$E$1073=$E966)*(ROW(S$2:S$1073)&lt;&gt;ROW(S966))*(S$2:S$1073&lt;&gt;""))),"")</f>
        <v>1.0052315689512199</v>
      </c>
      <c r="AB966" cm="1">
        <f t="array" ref="AB966">IFERROR(AVERAGE(_xlfn._xlws.FILTER(T$2:T$1073,($C$2:$C$1073=$C966)*($E$2:$E$1073=$E966)*(ROW(T$2:T$1073)&lt;&gt;ROW(T966))*(T$2:T$1073&lt;&gt;""))),"")</f>
        <v>0.20001789137094736</v>
      </c>
      <c r="AC966" cm="1">
        <f t="array" ref="AC966">IFERROR(AVERAGE(_xlfn._xlws.FILTER(U$2:U$1073,($C$2:$C$1073=$C966)*($E$2:$E$1073=$E966)*(ROW(U$2:U$1073)&lt;&gt;ROW(U966))*(U$2:U$1073&lt;&gt;""))),"")</f>
        <v>-2.3797415414211791</v>
      </c>
      <c r="AD966" cm="1">
        <f t="array" ref="AD966">IFERROR(AVERAGE(_xlfn._xlws.FILTER(V$2:V$1073,($C$2:$C$1073=$C966)*($E$2:$E$1073=$E966)*(ROW(V$2:V$1073)&lt;&gt;ROW(V966))*(V$2:V$1073&lt;&gt;""))),"")</f>
        <v>0.62220852517599867</v>
      </c>
      <c r="AE966">
        <f>IF('Дивиденды по годам'!M966&lt;0,1,0)</f>
        <v>0</v>
      </c>
    </row>
    <row r="967" spans="1:31" x14ac:dyDescent="0.2">
      <c r="A967" s="7" t="s">
        <v>2297</v>
      </c>
      <c r="B967" t="str">
        <f t="shared" si="165"/>
        <v>FLOT IV кв. 2020</v>
      </c>
      <c r="C967">
        <v>2020</v>
      </c>
      <c r="D967">
        <f>SUMIFS(Дивиденды!$C:$C,Дивиденды!$A:$A,A967,Дивиденды!$I:$I,C967)</f>
        <v>6.67</v>
      </c>
      <c r="E967">
        <v>7</v>
      </c>
      <c r="F967">
        <f t="shared" si="166"/>
        <v>6.67</v>
      </c>
      <c r="G967">
        <f t="shared" si="167"/>
        <v>4.3124999999999991</v>
      </c>
      <c r="H967">
        <f t="shared" si="168"/>
        <v>1</v>
      </c>
      <c r="I967">
        <f t="shared" si="169"/>
        <v>0.5</v>
      </c>
      <c r="J967">
        <f t="shared" si="170"/>
        <v>1</v>
      </c>
      <c r="K967">
        <f t="shared" si="175"/>
        <v>9.8201275045537273E-2</v>
      </c>
      <c r="L967">
        <f t="shared" si="171"/>
        <v>1</v>
      </c>
      <c r="M967">
        <f t="shared" si="172"/>
        <v>0.25</v>
      </c>
      <c r="N967">
        <f t="shared" si="173"/>
        <v>0</v>
      </c>
      <c r="O967">
        <f t="shared" si="174"/>
        <v>0.25</v>
      </c>
      <c r="P967">
        <f>IFERROR(LN('Дивиденды по годам'!I967),"")</f>
        <v>27.050853456686056</v>
      </c>
      <c r="Q967">
        <f>IFERROR('Дивиденды по годам'!G967/'Дивиденды по годам'!I967, "")</f>
        <v>0.79770187265104975</v>
      </c>
      <c r="R967">
        <f>IFERROR(IF(AND('Дивиденды по годам'!N967&lt;&gt;"",'Дивиденды по годам'!U967&lt;&gt;"",'Дивиденды по годам'!U967&lt;&gt;0),'Дивиденды по годам'!N967/'Дивиденды по годам'!U967-1,""),"")</f>
        <v>0.10907589834411779</v>
      </c>
      <c r="S967" t="str">
        <f>IFERROR(IF(AND('Дивиденды по годам'!L967&lt;&gt;"",'Дивиденды по годам'!I967&lt;&gt;"",'Дивиденды по годам'!J967&lt;&gt;"",'Дивиденды по годам'!K967&lt;&gt;"",('Дивиденды по годам'!I967-'Дивиденды по годам'!J967-'Дивиденды по годам'!K967)&lt;&gt;0),'Дивиденды по годам'!L967/('Дивиденды по годам'!I967-'Дивиденды по годам'!J967-'Дивиденды по годам'!K967),""),"")</f>
        <v/>
      </c>
      <c r="T967">
        <f>IFERROR(IF(AND('Дивиденды по годам'!Q967&lt;&gt;"",'Дивиденды по годам'!I967&lt;&gt;"",'Дивиденды по годам'!V967&lt;&gt;"",('Дивиденды по годам'!I967+'Дивиденды по годам'!V967)&lt;&gt;0),'Дивиденды по годам'!Q967/(('Дивиденды по годам'!I967+'Дивиденды по годам'!V967)/2),""),"")</f>
        <v>3.7305444893144614E-2</v>
      </c>
      <c r="U967">
        <f>IFERROR(IF(AND('Дивиденды по годам'!J967&lt;&gt;"",'Дивиденды по годам'!K967&lt;&gt;"",'Дивиденды по годам'!M967&lt;&gt;"",'Дивиденды по годам'!M967&lt;&gt;0),('Дивиденды по годам'!J967+'Дивиденды по годам'!K967)/'Дивиденды по годам'!M967,""),"")</f>
        <v>0.88929647371887099</v>
      </c>
      <c r="V967">
        <f>IFERROR(IF(AND('Дивиденды по годам'!J967&lt;&gt;"",'Дивиденды по годам'!K967&lt;&gt;"",'Дивиденды по годам'!M967&lt;&gt;"",'Дивиденды по годам'!I967&lt;&gt;0),('Дивиденды по годам'!J967+'Дивиденды по годам'!K967)/'Дивиденды по годам'!I967,""),"")</f>
        <v>0.47070244722808868</v>
      </c>
      <c r="W967">
        <f>IFERROR('Дивиденды по годам'!I967,"")</f>
        <v>559804502298.21777</v>
      </c>
      <c r="X967" cm="1">
        <f t="array" ref="X967">IFERROR(AVERAGE(_xlfn._xlws.FILTER(P$2:P$1073,($C$2:$C$1073=$C967)*($E$2:$E$1073=$E967)*(ROW(P$2:P$1073)&lt;&gt;ROW(P967))*(P$2:P$1073&lt;&gt;""))),"")</f>
        <v>25.355403288381723</v>
      </c>
      <c r="Y967" cm="1">
        <f t="array" ref="Y967">IFERROR(AVERAGE(_xlfn._xlws.FILTER(Q$2:Q$1073,($C$2:$C$1073=$C967)*($E$2:$E$1073=$E967)*(ROW(Q$2:Q$1073)&lt;&gt;ROW(Q967))*(Q$2:Q$1073&lt;&gt;""))),"")</f>
        <v>0.45071807446136758</v>
      </c>
      <c r="Z967" cm="1">
        <f t="array" ref="Z967">IFERROR(AVERAGE(_xlfn._xlws.FILTER(R$2:R$1073,($C$2:$C$1073=$C967)*($E$2:$E$1073=$E967)*(ROW(R$2:R$1073)&lt;&gt;ROW(R967))*(R$2:R$1073&lt;&gt;""))),"")</f>
        <v>-0.3072610738028933</v>
      </c>
      <c r="AA967" cm="1">
        <f t="array" ref="AA967">IFERROR(AVERAGE(_xlfn._xlws.FILTER(S$2:S$1073,($C$2:$C$1073=$C967)*($E$2:$E$1073=$E967)*(ROW(S$2:S$1073)&lt;&gt;ROW(S967))*(S$2:S$1073&lt;&gt;""))),"")</f>
        <v>1.3354518941764999</v>
      </c>
      <c r="AB967" cm="1">
        <f t="array" ref="AB967">IFERROR(AVERAGE(_xlfn._xlws.FILTER(T$2:T$1073,($C$2:$C$1073=$C967)*($E$2:$E$1073=$E967)*(ROW(T$2:T$1073)&lt;&gt;ROW(T967))*(T$2:T$1073&lt;&gt;""))),"")</f>
        <v>5.3647417919814297E-2</v>
      </c>
      <c r="AC967" cm="1">
        <f t="array" ref="AC967">IFERROR(AVERAGE(_xlfn._xlws.FILTER(U$2:U$1073,($C$2:$C$1073=$C967)*($E$2:$E$1073=$E967)*(ROW(U$2:U$1073)&lt;&gt;ROW(U967))*(U$2:U$1073&lt;&gt;""))),"")</f>
        <v>0.50305984077513688</v>
      </c>
      <c r="AD967" cm="1">
        <f t="array" ref="AD967">IFERROR(AVERAGE(_xlfn._xlws.FILTER(V$2:V$1073,($C$2:$C$1073=$C967)*($E$2:$E$1073=$E967)*(ROW(V$2:V$1073)&lt;&gt;ROW(V967))*(V$2:V$1073&lt;&gt;""))),"")</f>
        <v>0.72353632313393446</v>
      </c>
      <c r="AE967">
        <f>IF('Дивиденды по годам'!M967&lt;0,1,0)</f>
        <v>0</v>
      </c>
    </row>
    <row r="968" spans="1:31" x14ac:dyDescent="0.2">
      <c r="A968" s="7" t="s">
        <v>2297</v>
      </c>
      <c r="B968" t="str">
        <f t="shared" si="165"/>
        <v>FLOT IV кв. 2019</v>
      </c>
      <c r="C968">
        <v>2019</v>
      </c>
      <c r="D968">
        <f>SUMIFS(Дивиденды!$C:$C,Дивиденды!$A:$A,A968,Дивиденды!$I:$I,C968)</f>
        <v>0</v>
      </c>
      <c r="E968">
        <v>7</v>
      </c>
      <c r="F968">
        <f t="shared" si="166"/>
        <v>0</v>
      </c>
      <c r="G968">
        <f t="shared" si="167"/>
        <v>2.1675</v>
      </c>
      <c r="H968">
        <f t="shared" si="168"/>
        <v>0</v>
      </c>
      <c r="I968">
        <f t="shared" si="169"/>
        <v>0.5</v>
      </c>
      <c r="J968">
        <f t="shared" si="170"/>
        <v>0</v>
      </c>
      <c r="K968">
        <f t="shared" si="175"/>
        <v>-0.41226903960946981</v>
      </c>
      <c r="L968">
        <f t="shared" si="171"/>
        <v>0</v>
      </c>
      <c r="M968">
        <f t="shared" si="172"/>
        <v>0.25</v>
      </c>
      <c r="N968">
        <f t="shared" si="173"/>
        <v>0</v>
      </c>
      <c r="O968">
        <f t="shared" si="174"/>
        <v>0.5</v>
      </c>
      <c r="P968">
        <f>IFERROR(LN('Дивиденды по годам'!I968),"")</f>
        <v>26.885644013860414</v>
      </c>
      <c r="Q968">
        <f>IFERROR('Дивиденды по годам'!G968/'Дивиденды по годам'!I968, "")</f>
        <v>0.83448528750235151</v>
      </c>
      <c r="R968">
        <f>IFERROR(IF(AND('Дивиденды по годам'!N968&lt;&gt;"",'Дивиденды по годам'!U968&lt;&gt;"",'Дивиденды по годам'!U968&lt;&gt;0),'Дивиденды по годам'!N968/'Дивиденды по годам'!U968-1,""),"")</f>
        <v>0.12729198316732249</v>
      </c>
      <c r="S968" t="str">
        <f>IFERROR(IF(AND('Дивиденды по годам'!L968&lt;&gt;"",'Дивиденды по годам'!I968&lt;&gt;"",'Дивиденды по годам'!J968&lt;&gt;"",'Дивиденды по годам'!K968&lt;&gt;"",('Дивиденды по годам'!I968-'Дивиденды по годам'!J968-'Дивиденды по годам'!K968)&lt;&gt;0),'Дивиденды по годам'!L968/('Дивиденды по годам'!I968-'Дивиденды по годам'!J968-'Дивиденды по годам'!K968),""),"")</f>
        <v/>
      </c>
      <c r="T968">
        <f>IFERROR(IF(AND('Дивиденды по годам'!Q968&lt;&gt;"",'Дивиденды по годам'!I968&lt;&gt;"",'Дивиденды по годам'!V968&lt;&gt;"",('Дивиденды по годам'!I968+'Дивиденды по годам'!V968)&lt;&gt;0),'Дивиденды по годам'!Q968/(('Дивиденды по годам'!I968+'Дивиденды по годам'!V968)/2),""),"")</f>
        <v>3.1571640815203895E-2</v>
      </c>
      <c r="U968">
        <f>IFERROR(IF(AND('Дивиденды по годам'!J968&lt;&gt;"",'Дивиденды по годам'!K968&lt;&gt;"",'Дивиденды по годам'!M968&lt;&gt;"",'Дивиденды по годам'!M968&lt;&gt;0),('Дивиденды по годам'!J968+'Дивиденды по годам'!K968)/'Дивиденды по годам'!M968,""),"")</f>
        <v>1.0932431009584311</v>
      </c>
      <c r="V968">
        <f>IFERROR(IF(AND('Дивиденды по годам'!J968&lt;&gt;"",'Дивиденды по годам'!K968&lt;&gt;"",'Дивиденды по годам'!M968&lt;&gt;"",'Дивиденды по годам'!I968&lt;&gt;0),('Дивиденды по годам'!J968+'Дивиденды по годам'!K968)/'Дивиденды по годам'!I968,""),"")</f>
        <v>0.52227240135551811</v>
      </c>
      <c r="W968">
        <f>IFERROR('Дивиденды по годам'!I968,"")</f>
        <v>474555310404.37469</v>
      </c>
      <c r="X968" cm="1">
        <f t="array" ref="X968">IFERROR(AVERAGE(_xlfn._xlws.FILTER(P$2:P$1073,($C$2:$C$1073=$C968)*($E$2:$E$1073=$E968)*(ROW(P$2:P$1073)&lt;&gt;ROW(P968))*(P$2:P$1073&lt;&gt;""))),"")</f>
        <v>25.449275893698331</v>
      </c>
      <c r="Y968" cm="1">
        <f t="array" ref="Y968">IFERROR(AVERAGE(_xlfn._xlws.FILTER(Q$2:Q$1073,($C$2:$C$1073=$C968)*($E$2:$E$1073=$E968)*(ROW(Q$2:Q$1073)&lt;&gt;ROW(Q968))*(Q$2:Q$1073&lt;&gt;""))),"")</f>
        <v>0.37721943472057229</v>
      </c>
      <c r="Z968" cm="1">
        <f t="array" ref="Z968">IFERROR(AVERAGE(_xlfn._xlws.FILTER(R$2:R$1073,($C$2:$C$1073=$C968)*($E$2:$E$1073=$E968)*(ROW(R$2:R$1073)&lt;&gt;ROW(R968))*(R$2:R$1073&lt;&gt;""))),"")</f>
        <v>0.10096289815182413</v>
      </c>
      <c r="AA968" cm="1">
        <f t="array" ref="AA968">IFERROR(AVERAGE(_xlfn._xlws.FILTER(S$2:S$1073,($C$2:$C$1073=$C968)*($E$2:$E$1073=$E968)*(ROW(S$2:S$1073)&lt;&gt;ROW(S968))*(S$2:S$1073&lt;&gt;""))),"")</f>
        <v>-2.5604450172091937</v>
      </c>
      <c r="AB968" cm="1">
        <f t="array" ref="AB968">IFERROR(AVERAGE(_xlfn._xlws.FILTER(T$2:T$1073,($C$2:$C$1073=$C968)*($E$2:$E$1073=$E968)*(ROW(T$2:T$1073)&lt;&gt;ROW(T968))*(T$2:T$1073&lt;&gt;""))),"")</f>
        <v>0.11156233376859145</v>
      </c>
      <c r="AC968" cm="1">
        <f t="array" ref="AC968">IFERROR(AVERAGE(_xlfn._xlws.FILTER(U$2:U$1073,($C$2:$C$1073=$C968)*($E$2:$E$1073=$E968)*(ROW(U$2:U$1073)&lt;&gt;ROW(U968))*(U$2:U$1073&lt;&gt;""))),"")</f>
        <v>122.4155625276902</v>
      </c>
      <c r="AD968" cm="1">
        <f t="array" ref="AD968">IFERROR(AVERAGE(_xlfn._xlws.FILTER(V$2:V$1073,($C$2:$C$1073=$C968)*($E$2:$E$1073=$E968)*(ROW(V$2:V$1073)&lt;&gt;ROW(V968))*(V$2:V$1073&lt;&gt;""))),"")</f>
        <v>0.72988148931648678</v>
      </c>
      <c r="AE968">
        <f>IF('Дивиденды по годам'!M968&lt;0,1,0)</f>
        <v>0</v>
      </c>
    </row>
    <row r="969" spans="1:31" x14ac:dyDescent="0.2">
      <c r="A969" s="7" t="s">
        <v>2297</v>
      </c>
      <c r="B969" t="str">
        <f t="shared" si="165"/>
        <v>FLOT IV кв. 2018</v>
      </c>
      <c r="C969">
        <v>2018</v>
      </c>
      <c r="D969">
        <f>SUMIFS(Дивиденды!$C:$C,Дивиденды!$A:$A,A969,Дивиденды!$I:$I,C969)</f>
        <v>0</v>
      </c>
      <c r="E969">
        <v>7</v>
      </c>
      <c r="F969">
        <f t="shared" si="166"/>
        <v>0</v>
      </c>
      <c r="G969">
        <f t="shared" si="167"/>
        <v>7.1700000000000008</v>
      </c>
      <c r="H969">
        <f t="shared" si="168"/>
        <v>0</v>
      </c>
      <c r="I969">
        <f t="shared" si="169"/>
        <v>0.75</v>
      </c>
      <c r="J969">
        <f t="shared" si="170"/>
        <v>0</v>
      </c>
      <c r="K969">
        <f t="shared" si="175"/>
        <v>0.11339387124820305</v>
      </c>
      <c r="L969">
        <f t="shared" si="171"/>
        <v>0</v>
      </c>
      <c r="M969">
        <f t="shared" si="172"/>
        <v>0.5</v>
      </c>
      <c r="N969">
        <f t="shared" si="173"/>
        <v>0</v>
      </c>
      <c r="O969">
        <f t="shared" si="174"/>
        <v>0.25</v>
      </c>
      <c r="P969">
        <f>IFERROR(LN('Дивиденды по годам'!I969),"")</f>
        <v>26.830348022385721</v>
      </c>
      <c r="Q969">
        <f>IFERROR('Дивиденды по годам'!G969/'Дивиденды по годам'!I969, "")</f>
        <v>0.8632666810972347</v>
      </c>
      <c r="R969">
        <f>IFERROR(IF(AND('Дивиденды по годам'!N969&lt;&gt;"",'Дивиденды по годам'!U969&lt;&gt;"",'Дивиденды по годам'!U969&lt;&gt;0),'Дивиденды по годам'!N969/'Дивиденды по годам'!U969-1,""),"")</f>
        <v>0.14165860707554723</v>
      </c>
      <c r="S969" t="str">
        <f>IFERROR(IF(AND('Дивиденды по годам'!L969&lt;&gt;"",'Дивиденды по годам'!I969&lt;&gt;"",'Дивиденды по годам'!J969&lt;&gt;"",'Дивиденды по годам'!K969&lt;&gt;"",('Дивиденды по годам'!I969-'Дивиденды по годам'!J969-'Дивиденды по годам'!K969)&lt;&gt;0),'Дивиденды по годам'!L969/('Дивиденды по годам'!I969-'Дивиденды по годам'!J969-'Дивиденды по годам'!K969),""),"")</f>
        <v/>
      </c>
      <c r="T969">
        <f>IFERROR(IF(AND('Дивиденды по годам'!Q969&lt;&gt;"",'Дивиденды по годам'!I969&lt;&gt;"",'Дивиденды по годам'!V969&lt;&gt;"",('Дивиденды по годам'!I969+'Дивиденды по годам'!V969)&lt;&gt;0),'Дивиденды по годам'!Q969/(('Дивиденды по годам'!I969+'Дивиденды по годам'!V969)/2),""),"")</f>
        <v>-6.5281930399258125E-3</v>
      </c>
      <c r="U969">
        <f>IFERROR(IF(AND('Дивиденды по годам'!J969&lt;&gt;"",'Дивиденды по годам'!K969&lt;&gt;"",'Дивиденды по годам'!M969&lt;&gt;"",'Дивиденды по годам'!M969&lt;&gt;0),('Дивиденды по годам'!J969+'Дивиденды по годам'!K969)/'Дивиденды по годам'!M969,""),"")</f>
        <v>1.1319736375106975</v>
      </c>
      <c r="V969">
        <f>IFERROR(IF(AND('Дивиденды по годам'!J969&lt;&gt;"",'Дивиденды по годам'!K969&lt;&gt;"",'Дивиденды по годам'!M969&lt;&gt;"",'Дивиденды по годам'!I969&lt;&gt;0),('Дивиденды по годам'!J969+'Дивиденды по годам'!K969)/'Дивиденды по годам'!I969,""),"")</f>
        <v>0.53095104817168148</v>
      </c>
      <c r="W969">
        <f>IFERROR('Дивиденды по годам'!I969,"")</f>
        <v>449026625455.38397</v>
      </c>
      <c r="X969" cm="1">
        <f t="array" ref="X969">IFERROR(AVERAGE(_xlfn._xlws.FILTER(P$2:P$1073,($C$2:$C$1073=$C969)*($E$2:$E$1073=$E969)*(ROW(P$2:P$1073)&lt;&gt;ROW(P969))*(P$2:P$1073&lt;&gt;""))),"")</f>
        <v>25.021964909344881</v>
      </c>
      <c r="Y969" cm="1">
        <f t="array" ref="Y969">IFERROR(AVERAGE(_xlfn._xlws.FILTER(Q$2:Q$1073,($C$2:$C$1073=$C969)*($E$2:$E$1073=$E969)*(ROW(Q$2:Q$1073)&lt;&gt;ROW(Q969))*(Q$2:Q$1073&lt;&gt;""))),"")</f>
        <v>0.50856558261468288</v>
      </c>
      <c r="Z969" cm="1">
        <f t="array" ref="Z969">IFERROR(AVERAGE(_xlfn._xlws.FILTER(R$2:R$1073,($C$2:$C$1073=$C969)*($E$2:$E$1073=$E969)*(ROW(R$2:R$1073)&lt;&gt;ROW(R969))*(R$2:R$1073&lt;&gt;""))),"")</f>
        <v>0.43303949631449179</v>
      </c>
      <c r="AA969" cm="1">
        <f t="array" ref="AA969">IFERROR(AVERAGE(_xlfn._xlws.FILTER(S$2:S$1073,($C$2:$C$1073=$C969)*($E$2:$E$1073=$E969)*(ROW(S$2:S$1073)&lt;&gt;ROW(S969))*(S$2:S$1073&lt;&gt;""))),"")</f>
        <v>1.2058318297692807</v>
      </c>
      <c r="AB969" cm="1">
        <f t="array" ref="AB969">IFERROR(AVERAGE(_xlfn._xlws.FILTER(T$2:T$1073,($C$2:$C$1073=$C969)*($E$2:$E$1073=$E969)*(ROW(T$2:T$1073)&lt;&gt;ROW(T969))*(T$2:T$1073&lt;&gt;""))),"")</f>
        <v>0.14691867958383198</v>
      </c>
      <c r="AC969" cm="1">
        <f t="array" ref="AC969">IFERROR(AVERAGE(_xlfn._xlws.FILTER(U$2:U$1073,($C$2:$C$1073=$C969)*($E$2:$E$1073=$E969)*(ROW(U$2:U$1073)&lt;&gt;ROW(U969))*(U$2:U$1073&lt;&gt;""))),"")</f>
        <v>6.697122252051952</v>
      </c>
      <c r="AD969" cm="1">
        <f t="array" ref="AD969">IFERROR(AVERAGE(_xlfn._xlws.FILTER(V$2:V$1073,($C$2:$C$1073=$C969)*($E$2:$E$1073=$E969)*(ROW(V$2:V$1073)&lt;&gt;ROW(V969))*(V$2:V$1073&lt;&gt;""))),"")</f>
        <v>0.72978757121412818</v>
      </c>
      <c r="AE969">
        <f>IF('Дивиденды по годам'!M969&lt;0,1,0)</f>
        <v>0</v>
      </c>
    </row>
    <row r="970" spans="1:31" x14ac:dyDescent="0.2">
      <c r="A970" s="7" t="s">
        <v>2297</v>
      </c>
      <c r="B970" t="str">
        <f t="shared" si="165"/>
        <v>FLOT IV кв. 2017</v>
      </c>
      <c r="C970">
        <v>2017</v>
      </c>
      <c r="D970">
        <f>SUMIFS(Дивиденды!$C:$C,Дивиденды!$A:$A,A970,Дивиденды!$I:$I,C970)</f>
        <v>0</v>
      </c>
      <c r="E970">
        <v>7</v>
      </c>
      <c r="F970">
        <f t="shared" si="166"/>
        <v>0</v>
      </c>
      <c r="G970">
        <f t="shared" si="167"/>
        <v>8.17</v>
      </c>
      <c r="H970">
        <f t="shared" si="168"/>
        <v>0</v>
      </c>
      <c r="I970">
        <f t="shared" si="169"/>
        <v>0.5</v>
      </c>
      <c r="J970">
        <f t="shared" si="170"/>
        <v>0</v>
      </c>
      <c r="K970">
        <f t="shared" si="175"/>
        <v>-0.14652835050548463</v>
      </c>
      <c r="L970">
        <f t="shared" si="171"/>
        <v>0</v>
      </c>
      <c r="M970">
        <f t="shared" si="172"/>
        <v>0.25</v>
      </c>
      <c r="N970">
        <f t="shared" si="173"/>
        <v>0</v>
      </c>
      <c r="O970">
        <f t="shared" si="174"/>
        <v>0.5</v>
      </c>
      <c r="P970">
        <f>IFERROR(LN('Дивиденды по годам'!I970),"")</f>
        <v>26.783365959385943</v>
      </c>
      <c r="Q970">
        <f>IFERROR('Дивиденды по годам'!G970/'Дивиденды по годам'!I970, "")</f>
        <v>0.85632704105980029</v>
      </c>
      <c r="R970">
        <f>IFERROR(IF(AND('Дивиденды по годам'!N970&lt;&gt;"",'Дивиденды по годам'!U970&lt;&gt;"",'Дивиденды по годам'!U970&lt;&gt;0),'Дивиденды по годам'!N970/'Дивиденды по годам'!U970-1,""),"")</f>
        <v>-0.10077095776939071</v>
      </c>
      <c r="S970" t="str">
        <f>IFERROR(IF(AND('Дивиденды по годам'!L970&lt;&gt;"",'Дивиденды по годам'!I970&lt;&gt;"",'Дивиденды по годам'!J970&lt;&gt;"",'Дивиденды по годам'!K970&lt;&gt;"",('Дивиденды по годам'!I970-'Дивиденды по годам'!J970-'Дивиденды по годам'!K970)&lt;&gt;0),'Дивиденды по годам'!L970/('Дивиденды по годам'!I970-'Дивиденды по годам'!J970-'Дивиденды по годам'!K970),""),"")</f>
        <v/>
      </c>
      <c r="T970">
        <f>IFERROR(IF(AND('Дивиденды по годам'!Q970&lt;&gt;"",'Дивиденды по годам'!I970&lt;&gt;"",'Дивиденды по годам'!V970&lt;&gt;"",('Дивиденды по годам'!I970+'Дивиденды по годам'!V970)&lt;&gt;0),'Дивиденды по годам'!Q970/(('Дивиденды по годам'!I970+'Дивиденды по годам'!V970)/2),""),"")</f>
        <v>-1.4504530066222371E-2</v>
      </c>
      <c r="U970">
        <f>IFERROR(IF(AND('Дивиденды по годам'!J970&lt;&gt;"",'Дивиденды по годам'!K970&lt;&gt;"",'Дивиденды по годам'!M970&lt;&gt;"",'Дивиденды по годам'!M970&lt;&gt;0),('Дивиденды по годам'!J970+'Дивиденды по годам'!K970)/'Дивиденды по годам'!M970,""),"")</f>
        <v>1.1551324690776417</v>
      </c>
      <c r="V970">
        <f>IFERROR(IF(AND('Дивиденды по годам'!J970&lt;&gt;"",'Дивиденды по годам'!K970&lt;&gt;"",'Дивиденды по годам'!M970&lt;&gt;"",'Дивиденды по годам'!I970&lt;&gt;0),('Дивиденды по годам'!J970+'Дивиденды по годам'!K970)/'Дивиденды по годам'!I970,""),"")</f>
        <v>0.53599139990314282</v>
      </c>
      <c r="W970">
        <f>IFERROR('Дивиденды по годам'!I970,"")</f>
        <v>428418329000.25854</v>
      </c>
      <c r="X970" cm="1">
        <f t="array" ref="X970">IFERROR(AVERAGE(_xlfn._xlws.FILTER(P$2:P$1073,($C$2:$C$1073=$C970)*($E$2:$E$1073=$E970)*(ROW(P$2:P$1073)&lt;&gt;ROW(P970))*(P$2:P$1073&lt;&gt;""))),"")</f>
        <v>24.961452636974563</v>
      </c>
      <c r="Y970" cm="1">
        <f t="array" ref="Y970">IFERROR(AVERAGE(_xlfn._xlws.FILTER(Q$2:Q$1073,($C$2:$C$1073=$C970)*($E$2:$E$1073=$E970)*(ROW(Q$2:Q$1073)&lt;&gt;ROW(Q970))*(Q$2:Q$1073&lt;&gt;""))),"")</f>
        <v>0.43536177656742159</v>
      </c>
      <c r="Z970" cm="1">
        <f t="array" ref="Z970">IFERROR(AVERAGE(_xlfn._xlws.FILTER(R$2:R$1073,($C$2:$C$1073=$C970)*($E$2:$E$1073=$E970)*(ROW(R$2:R$1073)&lt;&gt;ROW(R970))*(R$2:R$1073&lt;&gt;""))),"")</f>
        <v>0.12605444771252497</v>
      </c>
      <c r="AA970" cm="1">
        <f t="array" ref="AA970">IFERROR(AVERAGE(_xlfn._xlws.FILTER(S$2:S$1073,($C$2:$C$1073=$C970)*($E$2:$E$1073=$E970)*(ROW(S$2:S$1073)&lt;&gt;ROW(S970))*(S$2:S$1073&lt;&gt;""))),"")</f>
        <v>0.48960346596585763</v>
      </c>
      <c r="AB970" cm="1">
        <f t="array" ref="AB970">IFERROR(AVERAGE(_xlfn._xlws.FILTER(T$2:T$1073,($C$2:$C$1073=$C970)*($E$2:$E$1073=$E970)*(ROW(T$2:T$1073)&lt;&gt;ROW(T970))*(T$2:T$1073&lt;&gt;""))),"")</f>
        <v>0.21030453345072508</v>
      </c>
      <c r="AC970" cm="1">
        <f t="array" ref="AC970">IFERROR(AVERAGE(_xlfn._xlws.FILTER(U$2:U$1073,($C$2:$C$1073=$C970)*($E$2:$E$1073=$E970)*(ROW(U$2:U$1073)&lt;&gt;ROW(U970))*(U$2:U$1073&lt;&gt;""))),"")</f>
        <v>6.333663318936912</v>
      </c>
      <c r="AD970" cm="1">
        <f t="array" ref="AD970">IFERROR(AVERAGE(_xlfn._xlws.FILTER(V$2:V$1073,($C$2:$C$1073=$C970)*($E$2:$E$1073=$E970)*(ROW(V$2:V$1073)&lt;&gt;ROW(V970))*(V$2:V$1073&lt;&gt;""))),"")</f>
        <v>0.71703191339965933</v>
      </c>
      <c r="AE970">
        <f>IF('Дивиденды по годам'!M970&lt;0,1,0)</f>
        <v>0</v>
      </c>
    </row>
    <row r="971" spans="1:31" x14ac:dyDescent="0.2">
      <c r="A971" s="7" t="s">
        <v>2297</v>
      </c>
      <c r="B971" t="str">
        <f t="shared" si="165"/>
        <v>FLOT IV кв. 2016</v>
      </c>
      <c r="C971">
        <v>2016</v>
      </c>
      <c r="D971">
        <f>SUMIFS(Дивиденды!$C:$C,Дивиденды!$A:$A,A971,Дивиденды!$I:$I,C971)</f>
        <v>0</v>
      </c>
      <c r="E971">
        <v>7</v>
      </c>
      <c r="F971">
        <f t="shared" si="166"/>
        <v>0</v>
      </c>
      <c r="G971">
        <f t="shared" si="167"/>
        <v>7.6504750000000001</v>
      </c>
      <c r="H971">
        <f t="shared" si="168"/>
        <v>0</v>
      </c>
      <c r="I971">
        <f t="shared" si="169"/>
        <v>0.75</v>
      </c>
      <c r="J971">
        <f t="shared" si="170"/>
        <v>0</v>
      </c>
      <c r="K971">
        <f t="shared" si="175"/>
        <v>0.41982758620689659</v>
      </c>
      <c r="L971">
        <f t="shared" si="171"/>
        <v>0</v>
      </c>
      <c r="M971">
        <f t="shared" si="172"/>
        <v>0.5</v>
      </c>
      <c r="N971">
        <f t="shared" si="173"/>
        <v>0</v>
      </c>
      <c r="O971">
        <f t="shared" si="174"/>
        <v>0.25</v>
      </c>
      <c r="P971">
        <f>IFERROR(LN('Дивиденды по годам'!I971),"")</f>
        <v>26.896895048658706</v>
      </c>
      <c r="Q971">
        <f>IFERROR('Дивиденды по годам'!G971/'Дивиденды по годам'!I971, "")</f>
        <v>0.86345001087708728</v>
      </c>
      <c r="R971">
        <f>IFERROR(IF(AND('Дивиденды по годам'!N971&lt;&gt;"",'Дивиденды по годам'!U971&lt;&gt;"",'Дивиденды по годам'!U971&lt;&gt;0),'Дивиденды по годам'!N971/'Дивиденды по годам'!U971-1,""),"")</f>
        <v>0.22545458241923488</v>
      </c>
      <c r="S971" t="str">
        <f>IFERROR(IF(AND('Дивиденды по годам'!L971&lt;&gt;"",'Дивиденды по годам'!I971&lt;&gt;"",'Дивиденды по годам'!J971&lt;&gt;"",'Дивиденды по годам'!K971&lt;&gt;"",('Дивиденды по годам'!I971-'Дивиденды по годам'!J971-'Дивиденды по годам'!K971)&lt;&gt;0),'Дивиденды по годам'!L971/('Дивиденды по годам'!I971-'Дивиденды по годам'!J971-'Дивиденды по годам'!K971),""),"")</f>
        <v/>
      </c>
      <c r="T971">
        <f>IFERROR(IF(AND('Дивиденды по годам'!Q971&lt;&gt;"",'Дивиденды по годам'!I971&lt;&gt;"",'Дивиденды по годам'!V971&lt;&gt;"",('Дивиденды по годам'!I971+'Дивиденды по годам'!V971)&lt;&gt;0),'Дивиденды по годам'!Q971/(('Дивиденды по годам'!I971+'Дивиденды по годам'!V971)/2),""),"")</f>
        <v>3.1146621949352037E-2</v>
      </c>
      <c r="U971">
        <f>IFERROR(IF(AND('Дивиденды по годам'!J971&lt;&gt;"",'Дивиденды по годам'!K971&lt;&gt;"",'Дивиденды по годам'!M971&lt;&gt;"",'Дивиденды по годам'!M971&lt;&gt;0),('Дивиденды по годам'!J971+'Дивиденды по годам'!K971)/'Дивиденды по годам'!M971,""),"")</f>
        <v>0.98574348087126662</v>
      </c>
      <c r="V971">
        <f>IFERROR(IF(AND('Дивиденды по годам'!J971&lt;&gt;"",'Дивиденды по годам'!K971&lt;&gt;"",'Дивиденды по годам'!M971&lt;&gt;"",'Дивиденды по годам'!I971&lt;&gt;0),('Дивиденды по годам'!J971+'Дивиденды по годам'!K971)/'Дивиденды по годам'!I971,""),"")</f>
        <v>0.49641028177454266</v>
      </c>
      <c r="W971">
        <f>IFERROR('Дивиденды по годам'!I971,"")</f>
        <v>479924697656.30066</v>
      </c>
      <c r="X971" cm="1">
        <f t="array" ref="X971">IFERROR(AVERAGE(_xlfn._xlws.FILTER(P$2:P$1073,($C$2:$C$1073=$C971)*($E$2:$E$1073=$E971)*(ROW(P$2:P$1073)&lt;&gt;ROW(P971))*(P$2:P$1073&lt;&gt;""))),"")</f>
        <v>24.776829038939191</v>
      </c>
      <c r="Y971" cm="1">
        <f t="array" ref="Y971">IFERROR(AVERAGE(_xlfn._xlws.FILTER(Q$2:Q$1073,($C$2:$C$1073=$C971)*($E$2:$E$1073=$E971)*(ROW(Q$2:Q$1073)&lt;&gt;ROW(Q971))*(Q$2:Q$1073&lt;&gt;""))),"")</f>
        <v>0.4843880580469046</v>
      </c>
      <c r="Z971" cm="1">
        <f t="array" ref="Z971">IFERROR(AVERAGE(_xlfn._xlws.FILTER(R$2:R$1073,($C$2:$C$1073=$C971)*($E$2:$E$1073=$E971)*(ROW(R$2:R$1073)&lt;&gt;ROW(R971))*(R$2:R$1073&lt;&gt;""))),"")</f>
        <v>3.6457622900930686E-2</v>
      </c>
      <c r="AA971" cm="1">
        <f t="array" ref="AA971">IFERROR(AVERAGE(_xlfn._xlws.FILTER(S$2:S$1073,($C$2:$C$1073=$C971)*($E$2:$E$1073=$E971)*(ROW(S$2:S$1073)&lt;&gt;ROW(S971))*(S$2:S$1073&lt;&gt;""))),"")</f>
        <v>1.3426331165145666</v>
      </c>
      <c r="AB971" cm="1">
        <f t="array" ref="AB971">IFERROR(AVERAGE(_xlfn._xlws.FILTER(T$2:T$1073,($C$2:$C$1073=$C971)*($E$2:$E$1073=$E971)*(ROW(T$2:T$1073)&lt;&gt;ROW(T971))*(T$2:T$1073&lt;&gt;""))),"")</f>
        <v>7.3638940025008343E-2</v>
      </c>
      <c r="AC971" cm="1">
        <f t="array" ref="AC971">IFERROR(AVERAGE(_xlfn._xlws.FILTER(U$2:U$1073,($C$2:$C$1073=$C971)*($E$2:$E$1073=$E971)*(ROW(U$2:U$1073)&lt;&gt;ROW(U971))*(U$2:U$1073&lt;&gt;""))),"")</f>
        <v>1.0478655073582923</v>
      </c>
      <c r="AD971" cm="1">
        <f t="array" ref="AD971">IFERROR(AVERAGE(_xlfn._xlws.FILTER(V$2:V$1073,($C$2:$C$1073=$C971)*($E$2:$E$1073=$E971)*(ROW(V$2:V$1073)&lt;&gt;ROW(V971))*(V$2:V$1073&lt;&gt;""))),"")</f>
        <v>0.79941693296234484</v>
      </c>
      <c r="AE971">
        <f>IF('Дивиденды по годам'!M971&lt;0,1,0)</f>
        <v>0</v>
      </c>
    </row>
    <row r="972" spans="1:31" x14ac:dyDescent="0.2">
      <c r="A972" s="7" t="s">
        <v>2297</v>
      </c>
      <c r="B972" t="str">
        <f t="shared" si="165"/>
        <v>FLOT IV кв. 2015</v>
      </c>
      <c r="C972">
        <v>2015</v>
      </c>
      <c r="D972">
        <f>SUMIFS(Дивиденды!$C:$C,Дивиденды!$A:$A,A972,Дивиденды!$I:$I,C972)</f>
        <v>0</v>
      </c>
      <c r="E972">
        <v>7</v>
      </c>
      <c r="F972">
        <f t="shared" si="166"/>
        <v>0</v>
      </c>
      <c r="G972">
        <f t="shared" si="167"/>
        <v>4.3499999999999996</v>
      </c>
      <c r="H972">
        <f t="shared" si="168"/>
        <v>0</v>
      </c>
      <c r="I972">
        <f t="shared" si="169"/>
        <v>0.25</v>
      </c>
      <c r="J972">
        <f t="shared" si="170"/>
        <v>0</v>
      </c>
      <c r="K972">
        <f t="shared" si="175"/>
        <v>0</v>
      </c>
      <c r="L972">
        <f t="shared" si="171"/>
        <v>0</v>
      </c>
      <c r="M972">
        <f t="shared" si="172"/>
        <v>0.25</v>
      </c>
      <c r="N972">
        <f t="shared" si="173"/>
        <v>0</v>
      </c>
      <c r="O972">
        <f t="shared" si="174"/>
        <v>0.25</v>
      </c>
      <c r="P972">
        <f>IFERROR(LN('Дивиденды по годам'!I972),"")</f>
        <v>26.740565722186979</v>
      </c>
      <c r="Q972">
        <f>IFERROR('Дивиденды по годам'!G972/'Дивиденды по годам'!I972, "")</f>
        <v>0.804078422290608</v>
      </c>
      <c r="R972">
        <f>IFERROR(IF(AND('Дивиденды по годам'!N972&lt;&gt;"",'Дивиденды по годам'!U972&lt;&gt;"",'Дивиденды по годам'!U972&lt;&gt;0),'Дивиденды по годам'!N972/'Дивиденды по годам'!U972-1,""),"")</f>
        <v>0.41243122220660755</v>
      </c>
      <c r="S972" t="str">
        <f>IFERROR(IF(AND('Дивиденды по годам'!L972&lt;&gt;"",'Дивиденды по годам'!I972&lt;&gt;"",'Дивиденды по годам'!J972&lt;&gt;"",'Дивиденды по годам'!K972&lt;&gt;"",('Дивиденды по годам'!I972-'Дивиденды по годам'!J972-'Дивиденды по годам'!K972)&lt;&gt;0),'Дивиденды по годам'!L972/('Дивиденды по годам'!I972-'Дивиденды по годам'!J972-'Дивиденды по годам'!K972),""),"")</f>
        <v/>
      </c>
      <c r="T972">
        <f>IFERROR(IF(AND('Дивиденды по годам'!Q972&lt;&gt;"",'Дивиденды по годам'!I972&lt;&gt;"",'Дивиденды по годам'!V972&lt;&gt;"",('Дивиденды по годам'!I972+'Дивиденды по годам'!V972)&lt;&gt;0),'Дивиденды по годам'!Q972/(('Дивиденды по годам'!I972+'Дивиденды по годам'!V972)/2),""),"")</f>
        <v>6.5788028063696199E-2</v>
      </c>
      <c r="U972">
        <f>IFERROR(IF(AND('Дивиденды по годам'!J972&lt;&gt;"",'Дивиденды по годам'!K972&lt;&gt;"",'Дивиденды по годам'!M972&lt;&gt;"",'Дивиденды по годам'!M972&lt;&gt;0),('Дивиденды по годам'!J972+'Дивиденды по годам'!K972)/'Дивиденды по годам'!M972,""),"")</f>
        <v>0.92517942499542516</v>
      </c>
      <c r="V972">
        <f>IFERROR(IF(AND('Дивиденды по годам'!J972&lt;&gt;"",'Дивиденды по годам'!K972&lt;&gt;"",'Дивиденды по годам'!M972&lt;&gt;"",'Дивиденды по годам'!I972&lt;&gt;0),('Дивиденды по годам'!J972+'Дивиденды по годам'!K972)/'Дивиденды по годам'!I972,""),"")</f>
        <v>0.48056789563789548</v>
      </c>
      <c r="W972">
        <f>IFERROR('Дивиденды по годам'!I972,"")</f>
        <v>410468785267.74548</v>
      </c>
      <c r="X972" cm="1">
        <f t="array" ref="X972">IFERROR(AVERAGE(_xlfn._xlws.FILTER(P$2:P$1073,($C$2:$C$1073=$C972)*($E$2:$E$1073=$E972)*(ROW(P$2:P$1073)&lt;&gt;ROW(P972))*(P$2:P$1073&lt;&gt;""))),"")</f>
        <v>25.548886779020314</v>
      </c>
      <c r="Y972" cm="1">
        <f t="array" ref="Y972">IFERROR(AVERAGE(_xlfn._xlws.FILTER(Q$2:Q$1073,($C$2:$C$1073=$C972)*($E$2:$E$1073=$E972)*(ROW(Q$2:Q$1073)&lt;&gt;ROW(Q972))*(Q$2:Q$1073&lt;&gt;""))),"")</f>
        <v>0.40178624880813812</v>
      </c>
      <c r="Z972" cm="1">
        <f t="array" ref="Z972">IFERROR(AVERAGE(_xlfn._xlws.FILTER(R$2:R$1073,($C$2:$C$1073=$C972)*($E$2:$E$1073=$E972)*(ROW(R$2:R$1073)&lt;&gt;ROW(R972))*(R$2:R$1073&lt;&gt;""))),"")</f>
        <v>0.14161300528075088</v>
      </c>
      <c r="AA972" cm="1">
        <f t="array" ref="AA972">IFERROR(AVERAGE(_xlfn._xlws.FILTER(S$2:S$1073,($C$2:$C$1073=$C972)*($E$2:$E$1073=$E972)*(ROW(S$2:S$1073)&lt;&gt;ROW(S972))*(S$2:S$1073&lt;&gt;""))),"")</f>
        <v>0.87227414330218056</v>
      </c>
      <c r="AB972" cm="1">
        <f t="array" ref="AB972">IFERROR(AVERAGE(_xlfn._xlws.FILTER(T$2:T$1073,($C$2:$C$1073=$C972)*($E$2:$E$1073=$E972)*(ROW(T$2:T$1073)&lt;&gt;ROW(T972))*(T$2:T$1073&lt;&gt;""))),"")</f>
        <v>-9.4525070208005782E-2</v>
      </c>
      <c r="AC972" cm="1">
        <f t="array" ref="AC972">IFERROR(AVERAGE(_xlfn._xlws.FILTER(U$2:U$1073,($C$2:$C$1073=$C972)*($E$2:$E$1073=$E972)*(ROW(U$2:U$1073)&lt;&gt;ROW(U972))*(U$2:U$1073&lt;&gt;""))),"")</f>
        <v>-6.6170446900777264</v>
      </c>
      <c r="AD972" cm="1">
        <f t="array" ref="AD972">IFERROR(AVERAGE(_xlfn._xlws.FILTER(V$2:V$1073,($C$2:$C$1073=$C972)*($E$2:$E$1073=$E972)*(ROW(V$2:V$1073)&lt;&gt;ROW(V972))*(V$2:V$1073&lt;&gt;""))),"")</f>
        <v>1.2566769270011249</v>
      </c>
      <c r="AE972">
        <f>IF('Дивиденды по годам'!M972&lt;0,1,0)</f>
        <v>0</v>
      </c>
    </row>
    <row r="973" spans="1:31" x14ac:dyDescent="0.2">
      <c r="A973" s="7" t="s">
        <v>2297</v>
      </c>
      <c r="B973" t="str">
        <f t="shared" si="165"/>
        <v>FLOT IV кв. 2014</v>
      </c>
      <c r="C973">
        <v>2014</v>
      </c>
      <c r="D973">
        <f>SUMIFS(Дивиденды!$C:$C,Дивиденды!$A:$A,A973,Дивиденды!$I:$I,C973)</f>
        <v>0</v>
      </c>
      <c r="E973">
        <v>7</v>
      </c>
      <c r="F973">
        <f t="shared" si="166"/>
        <v>0</v>
      </c>
      <c r="G973">
        <f t="shared" si="167"/>
        <v>5.7500000000000002E-2</v>
      </c>
      <c r="H973">
        <f t="shared" si="168"/>
        <v>0</v>
      </c>
      <c r="I973">
        <f t="shared" si="169"/>
        <v>0.25</v>
      </c>
      <c r="J973">
        <f t="shared" si="170"/>
        <v>0</v>
      </c>
      <c r="K973">
        <f t="shared" si="175"/>
        <v>1.9572649572649574</v>
      </c>
      <c r="L973">
        <f t="shared" si="171"/>
        <v>0</v>
      </c>
      <c r="M973">
        <f t="shared" si="172"/>
        <v>0.25</v>
      </c>
      <c r="N973">
        <f t="shared" si="173"/>
        <v>0</v>
      </c>
      <c r="O973">
        <f t="shared" si="174"/>
        <v>0.25</v>
      </c>
      <c r="P973">
        <f>IFERROR(LN('Дивиденды по годам'!I973),"")</f>
        <v>26.243022797786718</v>
      </c>
      <c r="Q973">
        <f>IFERROR('Дивиденды по годам'!G973/'Дивиденды по годам'!I973, "")</f>
        <v>0.81988132416463155</v>
      </c>
      <c r="R973">
        <f>IFERROR(IF(AND('Дивиденды по годам'!N973&lt;&gt;"",'Дивиденды по годам'!U973&lt;&gt;"",'Дивиденды по годам'!U973&lt;&gt;0),'Дивиденды по годам'!N973/'Дивиденды по годам'!U973-1,""),"")</f>
        <v>0.33644594572049691</v>
      </c>
      <c r="S973" t="str">
        <f>IFERROR(IF(AND('Дивиденды по годам'!L973&lt;&gt;"",'Дивиденды по годам'!I973&lt;&gt;"",'Дивиденды по годам'!J973&lt;&gt;"",'Дивиденды по годам'!K973&lt;&gt;"",('Дивиденды по годам'!I973-'Дивиденды по годам'!J973-'Дивиденды по годам'!K973)&lt;&gt;0),'Дивиденды по годам'!L973/('Дивиденды по годам'!I973-'Дивиденды по годам'!J973-'Дивиденды по годам'!K973),""),"")</f>
        <v/>
      </c>
      <c r="T973">
        <f>IFERROR(IF(AND('Дивиденды по годам'!Q973&lt;&gt;"",'Дивиденды по годам'!I973&lt;&gt;"",'Дивиденды по годам'!V973&lt;&gt;"",('Дивиденды по годам'!I973+'Дивиденды по годам'!V973)&lt;&gt;0),'Дивиденды по годам'!Q973/(('Дивиденды по годам'!I973+'Дивиденды по годам'!V973)/2),""),"")</f>
        <v>1.433294612642182E-2</v>
      </c>
      <c r="U973">
        <f>IFERROR(IF(AND('Дивиденды по годам'!J973&lt;&gt;"",'Дивиденды по годам'!K973&lt;&gt;"",'Дивиденды по годам'!M973&lt;&gt;"",'Дивиденды по годам'!M973&lt;&gt;0),('Дивиденды по годам'!J973+'Дивиденды по годам'!K973)/'Дивиденды по годам'!M973,""),"")</f>
        <v>1.0391939017210237</v>
      </c>
      <c r="V973">
        <f>IFERROR(IF(AND('Дивиденды по годам'!J973&lt;&gt;"",'Дивиденды по годам'!K973&lt;&gt;"",'Дивиденды по годам'!M973&lt;&gt;"",'Дивиденды по годам'!I973&lt;&gt;0),('Дивиденды по годам'!J973+'Дивиденды по годам'!K973)/'Дивиденды по годам'!I973,""),"")</f>
        <v>0.50961014587380471</v>
      </c>
      <c r="W973">
        <f>IFERROR('Дивиденды по годам'!I973,"")</f>
        <v>249574373472.15356</v>
      </c>
      <c r="X973" cm="1">
        <f t="array" ref="X973">IFERROR(AVERAGE(_xlfn._xlws.FILTER(P$2:P$1073,($C$2:$C$1073=$C973)*($E$2:$E$1073=$E973)*(ROW(P$2:P$1073)&lt;&gt;ROW(P973))*(P$2:P$1073&lt;&gt;""))),"")</f>
        <v>25.525720572636384</v>
      </c>
      <c r="Y973" cm="1">
        <f t="array" ref="Y973">IFERROR(AVERAGE(_xlfn._xlws.FILTER(Q$2:Q$1073,($C$2:$C$1073=$C973)*($E$2:$E$1073=$E973)*(ROW(Q$2:Q$1073)&lt;&gt;ROW(Q973))*(Q$2:Q$1073&lt;&gt;""))),"")</f>
        <v>0.3772427546865405</v>
      </c>
      <c r="Z973" cm="1">
        <f t="array" ref="Z973">IFERROR(AVERAGE(_xlfn._xlws.FILTER(R$2:R$1073,($C$2:$C$1073=$C973)*($E$2:$E$1073=$E973)*(ROW(R$2:R$1073)&lt;&gt;ROW(R973))*(R$2:R$1073&lt;&gt;""))),"")</f>
        <v>0.17675792545359079</v>
      </c>
      <c r="AA973" cm="1">
        <f t="array" ref="AA973">IFERROR(AVERAGE(_xlfn._xlws.FILTER(S$2:S$1073,($C$2:$C$1073=$C973)*($E$2:$E$1073=$E973)*(ROW(S$2:S$1073)&lt;&gt;ROW(S973))*(S$2:S$1073&lt;&gt;""))),"")</f>
        <v>164.14893617021278</v>
      </c>
      <c r="AB973" cm="1">
        <f t="array" ref="AB973">IFERROR(AVERAGE(_xlfn._xlws.FILTER(T$2:T$1073,($C$2:$C$1073=$C973)*($E$2:$E$1073=$E973)*(ROW(T$2:T$1073)&lt;&gt;ROW(T973))*(T$2:T$1073&lt;&gt;""))),"")</f>
        <v>-0.10391100882807762</v>
      </c>
      <c r="AC973" cm="1">
        <f t="array" ref="AC973">IFERROR(AVERAGE(_xlfn._xlws.FILTER(U$2:U$1073,($C$2:$C$1073=$C973)*($E$2:$E$1073=$E973)*(ROW(U$2:U$1073)&lt;&gt;ROW(U973))*(U$2:U$1073&lt;&gt;""))),"")</f>
        <v>-518.37783640927626</v>
      </c>
      <c r="AD973" cm="1">
        <f t="array" ref="AD973">IFERROR(AVERAGE(_xlfn._xlws.FILTER(V$2:V$1073,($C$2:$C$1073=$C973)*($E$2:$E$1073=$E973)*(ROW(V$2:V$1073)&lt;&gt;ROW(V973))*(V$2:V$1073&lt;&gt;""))),"")</f>
        <v>0.97422477965547383</v>
      </c>
      <c r="AE973">
        <f>IF('Дивиденды по годам'!M973&lt;0,1,0)</f>
        <v>0</v>
      </c>
    </row>
    <row r="974" spans="1:31" x14ac:dyDescent="0.2">
      <c r="A974" s="7" t="s">
        <v>2297</v>
      </c>
      <c r="B974" t="str">
        <f t="shared" si="165"/>
        <v>FLOT IV кв. 2013</v>
      </c>
      <c r="C974">
        <v>2013</v>
      </c>
      <c r="D974">
        <f>SUMIFS(Дивиденды!$C:$C,Дивиденды!$A:$A,A974,Дивиденды!$I:$I,C974)</f>
        <v>0</v>
      </c>
      <c r="E974">
        <v>7</v>
      </c>
      <c r="F974">
        <f t="shared" si="166"/>
        <v>0</v>
      </c>
      <c r="G974">
        <f t="shared" si="167"/>
        <v>0.63085000000000002</v>
      </c>
      <c r="H974">
        <f t="shared" si="168"/>
        <v>0</v>
      </c>
      <c r="I974">
        <f t="shared" si="169"/>
        <v>0.5</v>
      </c>
      <c r="J974">
        <f t="shared" si="170"/>
        <v>0</v>
      </c>
      <c r="K974">
        <f t="shared" si="175"/>
        <v>0.28667445938047931</v>
      </c>
      <c r="L974">
        <f t="shared" si="171"/>
        <v>0</v>
      </c>
      <c r="M974">
        <f t="shared" si="172"/>
        <v>0.25</v>
      </c>
      <c r="N974">
        <f t="shared" si="173"/>
        <v>0</v>
      </c>
      <c r="O974">
        <f t="shared" si="174"/>
        <v>0.25</v>
      </c>
      <c r="P974">
        <f>IFERROR(LN('Дивиденды по годам'!I974),"")</f>
        <v>26.042295042391284</v>
      </c>
      <c r="Q974">
        <f>IFERROR('Дивиденды по годам'!G974/'Дивиденды по годам'!I974, "")</f>
        <v>0.85080616782092111</v>
      </c>
      <c r="R974" t="str">
        <f>IFERROR(IF(AND('Дивиденды по годам'!N974&lt;&gt;"",'Дивиденды по годам'!U974&lt;&gt;"",'Дивиденды по годам'!U974&lt;&gt;0),'Дивиденды по годам'!N974/'Дивиденды по годам'!U974-1,""),"")</f>
        <v/>
      </c>
      <c r="S974" t="str">
        <f>IFERROR(IF(AND('Дивиденды по годам'!L974&lt;&gt;"",'Дивиденды по годам'!I974&lt;&gt;"",'Дивиденды по годам'!J974&lt;&gt;"",'Дивиденды по годам'!K974&lt;&gt;"",('Дивиденды по годам'!I974-'Дивиденды по годам'!J974-'Дивиденды по годам'!K974)&lt;&gt;0),'Дивиденды по годам'!L974/('Дивиденды по годам'!I974-'Дивиденды по годам'!J974-'Дивиденды по годам'!K974),""),"")</f>
        <v/>
      </c>
      <c r="T974" t="str">
        <f>IFERROR(IF(AND('Дивиденды по годам'!Q974&lt;&gt;"",'Дивиденды по годам'!I974&lt;&gt;"",'Дивиденды по годам'!V974&lt;&gt;"",('Дивиденды по годам'!I974+'Дивиденды по годам'!V974)&lt;&gt;0),'Дивиденды по годам'!Q974/(('Дивиденды по годам'!I974+'Дивиденды по годам'!V974)/2),""),"")</f>
        <v/>
      </c>
      <c r="U974">
        <f>IFERROR(IF(AND('Дивиденды по годам'!J974&lt;&gt;"",'Дивиденды по годам'!K974&lt;&gt;"",'Дивиденды по годам'!M974&lt;&gt;"",'Дивиденды по годам'!M974&lt;&gt;0),('Дивиденды по годам'!J974+'Дивиденды по годам'!K974)/'Дивиденды по годам'!M974,""),"")</f>
        <v>1.0596183811637172</v>
      </c>
      <c r="V974">
        <f>IFERROR(IF(AND('Дивиденды по годам'!J974&lt;&gt;"",'Дивиденды по годам'!K974&lt;&gt;"",'Дивиденды по годам'!M974&lt;&gt;"",'Дивиденды по годам'!I974&lt;&gt;0),('Дивиденды по годам'!J974+'Дивиденды по годам'!K974)/'Дивиденды по годам'!I974,""),"")</f>
        <v>0.51447316204520177</v>
      </c>
      <c r="W974">
        <f>IFERROR('Дивиденды по годам'!I974,"")</f>
        <v>204185563511.99997</v>
      </c>
      <c r="X974" cm="1">
        <f t="array" ref="X974">IFERROR(AVERAGE(_xlfn._xlws.FILTER(P$2:P$1073,($C$2:$C$1073=$C974)*($E$2:$E$1073=$E974)*(ROW(P$2:P$1073)&lt;&gt;ROW(P974))*(P$2:P$1073&lt;&gt;""))),"")</f>
        <v>25.509324612833666</v>
      </c>
      <c r="Y974" cm="1">
        <f t="array" ref="Y974">IFERROR(AVERAGE(_xlfn._xlws.FILTER(Q$2:Q$1073,($C$2:$C$1073=$C974)*($E$2:$E$1073=$E974)*(ROW(Q$2:Q$1073)&lt;&gt;ROW(Q974))*(Q$2:Q$1073&lt;&gt;""))),"")</f>
        <v>0.46205734655153635</v>
      </c>
      <c r="Z974" cm="1">
        <f t="array" ref="Z974">IFERROR(AVERAGE(_xlfn._xlws.FILTER(R$2:R$1073,($C$2:$C$1073=$C974)*($E$2:$E$1073=$E974)*(ROW(R$2:R$1073)&lt;&gt;ROW(R974))*(R$2:R$1073&lt;&gt;""))),"")</f>
        <v>1.5495791150054691E-2</v>
      </c>
      <c r="AA974" t="str" cm="1">
        <f t="array" ref="AA974">IFERROR(AVERAGE(_xlfn._xlws.FILTER(S$2:S$1073,($C$2:$C$1073=$C974)*($E$2:$E$1073=$E974)*(ROW(S$2:S$1073)&lt;&gt;ROW(S974))*(S$2:S$1073&lt;&gt;""))),"")</f>
        <v/>
      </c>
      <c r="AB974" cm="1">
        <f t="array" ref="AB974">IFERROR(AVERAGE(_xlfn._xlws.FILTER(T$2:T$1073,($C$2:$C$1073=$C974)*($E$2:$E$1073=$E974)*(ROW(T$2:T$1073)&lt;&gt;ROW(T974))*(T$2:T$1073&lt;&gt;""))),"")</f>
        <v>5.3313915480385282E-3</v>
      </c>
      <c r="AC974" cm="1">
        <f t="array" ref="AC974">IFERROR(AVERAGE(_xlfn._xlws.FILTER(U$2:U$1073,($C$2:$C$1073=$C974)*($E$2:$E$1073=$E974)*(ROW(U$2:U$1073)&lt;&gt;ROW(U974))*(U$2:U$1073&lt;&gt;""))),"")</f>
        <v>2.4600016394960402</v>
      </c>
      <c r="AD974" cm="1">
        <f t="array" ref="AD974">IFERROR(AVERAGE(_xlfn._xlws.FILTER(V$2:V$1073,($C$2:$C$1073=$C974)*($E$2:$E$1073=$E974)*(ROW(V$2:V$1073)&lt;&gt;ROW(V974))*(V$2:V$1073&lt;&gt;""))),"")</f>
        <v>0.70932402435452147</v>
      </c>
      <c r="AE974">
        <f>IF('Дивиденды по годам'!M974&lt;0,1,0)</f>
        <v>0</v>
      </c>
    </row>
    <row r="975" spans="1:31" x14ac:dyDescent="0.2">
      <c r="A975" s="7" t="s">
        <v>2297</v>
      </c>
      <c r="B975" t="str">
        <f t="shared" si="165"/>
        <v>FLOT IV кв. 2012</v>
      </c>
      <c r="C975">
        <v>2012</v>
      </c>
      <c r="D975">
        <f>SUMIFS(Дивиденды!$C:$C,Дивиденды!$A:$A,A975,Дивиденды!$I:$I,C975)</f>
        <v>0</v>
      </c>
      <c r="E975">
        <v>7</v>
      </c>
      <c r="F975">
        <f t="shared" si="166"/>
        <v>0</v>
      </c>
      <c r="G975">
        <f t="shared" si="167"/>
        <v>0.2959</v>
      </c>
      <c r="H975">
        <f t="shared" si="168"/>
        <v>0</v>
      </c>
      <c r="I975">
        <f t="shared" si="169"/>
        <v>0.5</v>
      </c>
      <c r="J975">
        <f t="shared" si="170"/>
        <v>0</v>
      </c>
      <c r="K975">
        <f t="shared" si="175"/>
        <v>-8.8715175737627869E-2</v>
      </c>
      <c r="L975">
        <f t="shared" si="171"/>
        <v>0</v>
      </c>
      <c r="M975">
        <f t="shared" si="172"/>
        <v>0.25</v>
      </c>
      <c r="N975">
        <f t="shared" si="173"/>
        <v>0</v>
      </c>
      <c r="O975">
        <f t="shared" si="174"/>
        <v>0.25</v>
      </c>
      <c r="P975" t="str">
        <f>IFERROR(LN('Дивиденды по годам'!I975),"")</f>
        <v/>
      </c>
      <c r="Q975" t="str">
        <f>IFERROR('Дивиденды по годам'!G975/'Дивиденды по годам'!I975, "")</f>
        <v/>
      </c>
      <c r="R975" t="str">
        <f>IFERROR(IF(AND('Дивиденды по годам'!N975&lt;&gt;"",'Дивиденды по годам'!U975&lt;&gt;"",'Дивиденды по годам'!U975&lt;&gt;0),'Дивиденды по годам'!N975/'Дивиденды по годам'!U975-1,""),"")</f>
        <v/>
      </c>
      <c r="S975" t="str">
        <f>IFERROR(IF(AND('Дивиденды по годам'!L975&lt;&gt;"",'Дивиденды по годам'!I975&lt;&gt;"",'Дивиденды по годам'!J975&lt;&gt;"",'Дивиденды по годам'!K975&lt;&gt;"",('Дивиденды по годам'!I975-'Дивиденды по годам'!J975-'Дивиденды по годам'!K975)&lt;&gt;0),'Дивиденды по годам'!L975/('Дивиденды по годам'!I975-'Дивиденды по годам'!J975-'Дивиденды по годам'!K975),""),"")</f>
        <v/>
      </c>
      <c r="T975" t="str">
        <f>IFERROR(IF(AND('Дивиденды по годам'!Q975&lt;&gt;"",'Дивиденды по годам'!I975&lt;&gt;"",'Дивиденды по годам'!V975&lt;&gt;"",('Дивиденды по годам'!I975+'Дивиденды по годам'!V975)&lt;&gt;0),'Дивиденды по годам'!Q975/(('Дивиденды по годам'!I975+'Дивиденды по годам'!V975)/2),""),"")</f>
        <v/>
      </c>
      <c r="U975" t="str">
        <f>IFERROR(IF(AND('Дивиденды по годам'!J975&lt;&gt;"",'Дивиденды по годам'!K975&lt;&gt;"",'Дивиденды по годам'!M975&lt;&gt;"",'Дивиденды по годам'!M975&lt;&gt;0),('Дивиденды по годам'!J975+'Дивиденды по годам'!K975)/'Дивиденды по годам'!M975,""),"")</f>
        <v/>
      </c>
      <c r="V975" t="str">
        <f>IFERROR(IF(AND('Дивиденды по годам'!J975&lt;&gt;"",'Дивиденды по годам'!K975&lt;&gt;"",'Дивиденды по годам'!M975&lt;&gt;"",'Дивиденды по годам'!I975&lt;&gt;0),('Дивиденды по годам'!J975+'Дивиденды по годам'!K975)/'Дивиденды по годам'!I975,""),"")</f>
        <v/>
      </c>
      <c r="W975" t="str">
        <f>IFERROR('Дивиденды по годам'!I975,"")</f>
        <v/>
      </c>
      <c r="X975" cm="1">
        <f t="array" ref="X975">IFERROR(AVERAGE(_xlfn._xlws.FILTER(P$2:P$1073,($C$2:$C$1073=$C975)*($E$2:$E$1073=$E975)*(ROW(P$2:P$1073)&lt;&gt;ROW(P975))*(P$2:P$1073&lt;&gt;""))),"")</f>
        <v>25.544110610302017</v>
      </c>
      <c r="Y975" cm="1">
        <f t="array" ref="Y975">IFERROR(AVERAGE(_xlfn._xlws.FILTER(Q$2:Q$1073,($C$2:$C$1073=$C975)*($E$2:$E$1073=$E975)*(ROW(Q$2:Q$1073)&lt;&gt;ROW(Q975))*(Q$2:Q$1073&lt;&gt;""))),"")</f>
        <v>0.42679404714034713</v>
      </c>
      <c r="Z975" cm="1">
        <f t="array" ref="Z975">IFERROR(AVERAGE(_xlfn._xlws.FILTER(R$2:R$1073,($C$2:$C$1073=$C975)*($E$2:$E$1073=$E975)*(ROW(R$2:R$1073)&lt;&gt;ROW(R975))*(R$2:R$1073&lt;&gt;""))),"")</f>
        <v>0.29023121275602826</v>
      </c>
      <c r="AA975" t="str" cm="1">
        <f t="array" ref="AA975">IFERROR(AVERAGE(_xlfn._xlws.FILTER(S$2:S$1073,($C$2:$C$1073=$C975)*($E$2:$E$1073=$E975)*(ROW(S$2:S$1073)&lt;&gt;ROW(S975))*(S$2:S$1073&lt;&gt;""))),"")</f>
        <v/>
      </c>
      <c r="AB975" cm="1">
        <f t="array" ref="AB975">IFERROR(AVERAGE(_xlfn._xlws.FILTER(T$2:T$1073,($C$2:$C$1073=$C975)*($E$2:$E$1073=$E975)*(ROW(T$2:T$1073)&lt;&gt;ROW(T975))*(T$2:T$1073&lt;&gt;""))),"")</f>
        <v>3.5480018830902314E-2</v>
      </c>
      <c r="AC975" cm="1">
        <f t="array" ref="AC975">IFERROR(AVERAGE(_xlfn._xlws.FILTER(U$2:U$1073,($C$2:$C$1073=$C975)*($E$2:$E$1073=$E975)*(ROW(U$2:U$1073)&lt;&gt;ROW(U975))*(U$2:U$1073&lt;&gt;""))),"")</f>
        <v>1.8622851550208985</v>
      </c>
      <c r="AD975" cm="1">
        <f t="array" ref="AD975">IFERROR(AVERAGE(_xlfn._xlws.FILTER(V$2:V$1073,($C$2:$C$1073=$C975)*($E$2:$E$1073=$E975)*(ROW(V$2:V$1073)&lt;&gt;ROW(V975))*(V$2:V$1073&lt;&gt;""))),"")</f>
        <v>0.61141690094509304</v>
      </c>
      <c r="AE975">
        <f>IF('Дивиденды по годам'!M975&lt;0,1,0)</f>
        <v>0</v>
      </c>
    </row>
    <row r="976" spans="1:31" x14ac:dyDescent="0.2">
      <c r="A976" s="7" t="s">
        <v>2297</v>
      </c>
      <c r="B976" t="str">
        <f t="shared" si="165"/>
        <v>FLOT IV кв. 2011</v>
      </c>
      <c r="C976">
        <v>2011</v>
      </c>
      <c r="D976">
        <f>SUMIFS(Дивиденды!$C:$C,Дивиденды!$A:$A,A976,Дивиденды!$I:$I,C976)</f>
        <v>0</v>
      </c>
      <c r="E976">
        <v>7</v>
      </c>
      <c r="F976">
        <f t="shared" si="166"/>
        <v>0</v>
      </c>
      <c r="G976">
        <f t="shared" si="167"/>
        <v>0.45837500000000003</v>
      </c>
      <c r="H976">
        <f t="shared" si="168"/>
        <v>0</v>
      </c>
      <c r="I976">
        <f t="shared" si="169"/>
        <v>0.5</v>
      </c>
      <c r="J976">
        <f t="shared" si="170"/>
        <v>0</v>
      </c>
      <c r="K976">
        <f t="shared" si="175"/>
        <v>0.17057239728759471</v>
      </c>
      <c r="L976">
        <f t="shared" si="171"/>
        <v>0</v>
      </c>
      <c r="M976">
        <f t="shared" si="172"/>
        <v>0.5</v>
      </c>
      <c r="N976">
        <f t="shared" si="173"/>
        <v>0</v>
      </c>
      <c r="O976">
        <f t="shared" si="174"/>
        <v>0</v>
      </c>
      <c r="P976" t="str">
        <f>IFERROR(LN('Дивиденды по годам'!I976),"")</f>
        <v/>
      </c>
      <c r="Q976" t="str">
        <f>IFERROR('Дивиденды по годам'!G976/'Дивиденды по годам'!I976, "")</f>
        <v/>
      </c>
      <c r="R976" t="str">
        <f>IFERROR(IF(AND('Дивиденды по годам'!N976&lt;&gt;"",'Дивиденды по годам'!U976&lt;&gt;"",'Дивиденды по годам'!U976&lt;&gt;0),'Дивиденды по годам'!N976/'Дивиденды по годам'!U976-1,""),"")</f>
        <v/>
      </c>
      <c r="S976" t="str">
        <f>IFERROR(IF(AND('Дивиденды по годам'!L976&lt;&gt;"",'Дивиденды по годам'!I976&lt;&gt;"",'Дивиденды по годам'!J976&lt;&gt;"",'Дивиденды по годам'!K976&lt;&gt;"",('Дивиденды по годам'!I976-'Дивиденды по годам'!J976-'Дивиденды по годам'!K976)&lt;&gt;0),'Дивиденды по годам'!L976/('Дивиденды по годам'!I976-'Дивиденды по годам'!J976-'Дивиденды по годам'!K976),""),"")</f>
        <v/>
      </c>
      <c r="T976" t="str">
        <f>IFERROR(IF(AND('Дивиденды по годам'!Q976&lt;&gt;"",'Дивиденды по годам'!I976&lt;&gt;"",'Дивиденды по годам'!V976&lt;&gt;"",('Дивиденды по годам'!I976+'Дивиденды по годам'!V976)&lt;&gt;0),'Дивиденды по годам'!Q976/(('Дивиденды по годам'!I976+'Дивиденды по годам'!V976)/2),""),"")</f>
        <v/>
      </c>
      <c r="U976" t="str">
        <f>IFERROR(IF(AND('Дивиденды по годам'!J976&lt;&gt;"",'Дивиденды по годам'!K976&lt;&gt;"",'Дивиденды по годам'!M976&lt;&gt;"",'Дивиденды по годам'!M976&lt;&gt;0),('Дивиденды по годам'!J976+'Дивиденды по годам'!K976)/'Дивиденды по годам'!M976,""),"")</f>
        <v/>
      </c>
      <c r="V976" t="str">
        <f>IFERROR(IF(AND('Дивиденды по годам'!J976&lt;&gt;"",'Дивиденды по годам'!K976&lt;&gt;"",'Дивиденды по годам'!M976&lt;&gt;"",'Дивиденды по годам'!I976&lt;&gt;0),('Дивиденды по годам'!J976+'Дивиденды по годам'!K976)/'Дивиденды по годам'!I976,""),"")</f>
        <v/>
      </c>
      <c r="W976" t="str">
        <f>IFERROR('Дивиденды по годам'!I976,"")</f>
        <v/>
      </c>
      <c r="X976" cm="1">
        <f t="array" ref="X976">IFERROR(AVERAGE(_xlfn._xlws.FILTER(P$2:P$1073,($C$2:$C$1073=$C976)*($E$2:$E$1073=$E976)*(ROW(P$2:P$1073)&lt;&gt;ROW(P976))*(P$2:P$1073&lt;&gt;""))),"")</f>
        <v>25.392773149157808</v>
      </c>
      <c r="Y976" cm="1">
        <f t="array" ref="Y976">IFERROR(AVERAGE(_xlfn._xlws.FILTER(Q$2:Q$1073,($C$2:$C$1073=$C976)*($E$2:$E$1073=$E976)*(ROW(Q$2:Q$1073)&lt;&gt;ROW(Q976))*(Q$2:Q$1073&lt;&gt;""))),"")</f>
        <v>0.42084121403256064</v>
      </c>
      <c r="Z976" cm="1">
        <f t="array" ref="Z976">IFERROR(AVERAGE(_xlfn._xlws.FILTER(R$2:R$1073,($C$2:$C$1073=$C976)*($E$2:$E$1073=$E976)*(ROW(R$2:R$1073)&lt;&gt;ROW(R976))*(R$2:R$1073&lt;&gt;""))),"")</f>
        <v>0.20536191673520854</v>
      </c>
      <c r="AA976" t="str" cm="1">
        <f t="array" ref="AA976">IFERROR(AVERAGE(_xlfn._xlws.FILTER(S$2:S$1073,($C$2:$C$1073=$C976)*($E$2:$E$1073=$E976)*(ROW(S$2:S$1073)&lt;&gt;ROW(S976))*(S$2:S$1073&lt;&gt;""))),"")</f>
        <v/>
      </c>
      <c r="AB976" cm="1">
        <f t="array" ref="AB976">IFERROR(AVERAGE(_xlfn._xlws.FILTER(T$2:T$1073,($C$2:$C$1073=$C976)*($E$2:$E$1073=$E976)*(ROW(T$2:T$1073)&lt;&gt;ROW(T976))*(T$2:T$1073&lt;&gt;""))),"")</f>
        <v>9.8152461650754155E-2</v>
      </c>
      <c r="AC976" cm="1">
        <f t="array" ref="AC976">IFERROR(AVERAGE(_xlfn._xlws.FILTER(U$2:U$1073,($C$2:$C$1073=$C976)*($E$2:$E$1073=$E976)*(ROW(U$2:U$1073)&lt;&gt;ROW(U976))*(U$2:U$1073&lt;&gt;""))),"")</f>
        <v>2.1314918703687855</v>
      </c>
      <c r="AD976" cm="1">
        <f t="array" ref="AD976">IFERROR(AVERAGE(_xlfn._xlws.FILTER(V$2:V$1073,($C$2:$C$1073=$C976)*($E$2:$E$1073=$E976)*(ROW(V$2:V$1073)&lt;&gt;ROW(V976))*(V$2:V$1073&lt;&gt;""))),"")</f>
        <v>0.62256794205511568</v>
      </c>
      <c r="AE976">
        <f>IF('Дивиденды по годам'!M976&lt;0,1,0)</f>
        <v>0</v>
      </c>
    </row>
    <row r="977" spans="1:31" x14ac:dyDescent="0.2">
      <c r="A977" s="7" t="s">
        <v>2297</v>
      </c>
      <c r="B977" t="str">
        <f t="shared" si="165"/>
        <v>FLOT IV кв. 2010</v>
      </c>
      <c r="C977">
        <v>2010</v>
      </c>
      <c r="D977">
        <f>SUMIFS(Дивиденды!$C:$C,Дивиденды!$A:$A,A977,Дивиденды!$I:$I,C977)</f>
        <v>0</v>
      </c>
      <c r="E977">
        <v>7</v>
      </c>
      <c r="F977">
        <f t="shared" si="166"/>
        <v>0</v>
      </c>
      <c r="G977">
        <f t="shared" si="167"/>
        <v>0.27825</v>
      </c>
      <c r="H977">
        <f t="shared" si="168"/>
        <v>0</v>
      </c>
      <c r="I977">
        <f t="shared" si="169"/>
        <v>0.5</v>
      </c>
      <c r="J977" t="str">
        <f t="shared" si="170"/>
        <v/>
      </c>
      <c r="K977" t="str">
        <f t="shared" si="175"/>
        <v/>
      </c>
      <c r="L977" t="str">
        <f t="shared" si="171"/>
        <v/>
      </c>
      <c r="M977" t="str">
        <f t="shared" si="172"/>
        <v/>
      </c>
      <c r="N977" t="str">
        <f t="shared" si="173"/>
        <v/>
      </c>
      <c r="O977" t="str">
        <f t="shared" si="174"/>
        <v/>
      </c>
      <c r="P977" t="str">
        <f>IFERROR(LN('Дивиденды по годам'!I977),"")</f>
        <v/>
      </c>
      <c r="Q977" t="str">
        <f>IFERROR('Дивиденды по годам'!G977/'Дивиденды по годам'!I977, "")</f>
        <v/>
      </c>
      <c r="R977" t="str">
        <f>IFERROR(IF(AND('Дивиденды по годам'!N977&lt;&gt;"",'Дивиденды по годам'!U977&lt;&gt;"",'Дивиденды по годам'!U977&lt;&gt;0),'Дивиденды по годам'!N977/'Дивиденды по годам'!U977-1,""),"")</f>
        <v/>
      </c>
      <c r="S977" t="str">
        <f>IFERROR(IF(AND('Дивиденды по годам'!L977&lt;&gt;"",'Дивиденды по годам'!I977&lt;&gt;"",'Дивиденды по годам'!J977&lt;&gt;"",'Дивиденды по годам'!K977&lt;&gt;"",('Дивиденды по годам'!I977-'Дивиденды по годам'!J977-'Дивиденды по годам'!K977)&lt;&gt;0),'Дивиденды по годам'!L977/('Дивиденды по годам'!I977-'Дивиденды по годам'!J977-'Дивиденды по годам'!K977),""),"")</f>
        <v/>
      </c>
      <c r="T977" t="str">
        <f>IFERROR(IF(AND('Дивиденды по годам'!Q977&lt;&gt;"",'Дивиденды по годам'!I977&lt;&gt;"",'Дивиденды по годам'!V977&lt;&gt;"",('Дивиденды по годам'!I977+'Дивиденды по годам'!V977)&lt;&gt;0),'Дивиденды по годам'!Q977/(('Дивиденды по годам'!I977+'Дивиденды по годам'!V977)/2),""),"")</f>
        <v/>
      </c>
      <c r="U977" t="str">
        <f>IFERROR(IF(AND('Дивиденды по годам'!J977&lt;&gt;"",'Дивиденды по годам'!K977&lt;&gt;"",'Дивиденды по годам'!M977&lt;&gt;"",'Дивиденды по годам'!M977&lt;&gt;0),('Дивиденды по годам'!J977+'Дивиденды по годам'!K977)/'Дивиденды по годам'!M977,""),"")</f>
        <v/>
      </c>
      <c r="V977" t="str">
        <f>IFERROR(IF(AND('Дивиденды по годам'!J977&lt;&gt;"",'Дивиденды по годам'!K977&lt;&gt;"",'Дивиденды по годам'!M977&lt;&gt;"",'Дивиденды по годам'!I977&lt;&gt;0),('Дивиденды по годам'!J977+'Дивиденды по годам'!K977)/'Дивиденды по годам'!I977,""),"")</f>
        <v/>
      </c>
      <c r="W977" t="str">
        <f>IFERROR('Дивиденды по годам'!I977,"")</f>
        <v/>
      </c>
      <c r="X977" cm="1">
        <f t="array" ref="X977">IFERROR(AVERAGE(_xlfn._xlws.FILTER(P$2:P$1073,($C$2:$C$1073=$C977)*($E$2:$E$1073=$E977)*(ROW(P$2:P$1073)&lt;&gt;ROW(P977))*(P$2:P$1073&lt;&gt;""))),"")</f>
        <v>25.646584513937189</v>
      </c>
      <c r="Y977" cm="1">
        <f t="array" ref="Y977">IFERROR(AVERAGE(_xlfn._xlws.FILTER(Q$2:Q$1073,($C$2:$C$1073=$C977)*($E$2:$E$1073=$E977)*(ROW(Q$2:Q$1073)&lt;&gt;ROW(Q977))*(Q$2:Q$1073&lt;&gt;""))),"")</f>
        <v>0.48343975783821996</v>
      </c>
      <c r="Z977" t="str" cm="1">
        <f t="array" ref="Z977">IFERROR(AVERAGE(_xlfn._xlws.FILTER(R$2:R$1073,($C$2:$C$1073=$C977)*($E$2:$E$1073=$E977)*(ROW(R$2:R$1073)&lt;&gt;ROW(R977))*(R$2:R$1073&lt;&gt;""))),"")</f>
        <v/>
      </c>
      <c r="AA977" t="str" cm="1">
        <f t="array" ref="AA977">IFERROR(AVERAGE(_xlfn._xlws.FILTER(S$2:S$1073,($C$2:$C$1073=$C977)*($E$2:$E$1073=$E977)*(ROW(S$2:S$1073)&lt;&gt;ROW(S977))*(S$2:S$1073&lt;&gt;""))),"")</f>
        <v/>
      </c>
      <c r="AB977" t="str" cm="1">
        <f t="array" ref="AB977">IFERROR(AVERAGE(_xlfn._xlws.FILTER(T$2:T$1073,($C$2:$C$1073=$C977)*($E$2:$E$1073=$E977)*(ROW(T$2:T$1073)&lt;&gt;ROW(T977))*(T$2:T$1073&lt;&gt;""))),"")</f>
        <v/>
      </c>
      <c r="AC977" cm="1">
        <f t="array" ref="AC977">IFERROR(AVERAGE(_xlfn._xlws.FILTER(U$2:U$1073,($C$2:$C$1073=$C977)*($E$2:$E$1073=$E977)*(ROW(U$2:U$1073)&lt;&gt;ROW(U977))*(U$2:U$1073&lt;&gt;""))),"")</f>
        <v>2.9188674344099064</v>
      </c>
      <c r="AD977" cm="1">
        <f t="array" ref="AD977">IFERROR(AVERAGE(_xlfn._xlws.FILTER(V$2:V$1073,($C$2:$C$1073=$C977)*($E$2:$E$1073=$E977)*(ROW(V$2:V$1073)&lt;&gt;ROW(V977))*(V$2:V$1073&lt;&gt;""))),"")</f>
        <v>0.74482423385404006</v>
      </c>
      <c r="AE977">
        <f>IF('Дивиденды по годам'!M977&lt;0,1,0)</f>
        <v>0</v>
      </c>
    </row>
    <row r="978" spans="1:31" x14ac:dyDescent="0.2">
      <c r="A978" s="7" t="s">
        <v>2300</v>
      </c>
      <c r="B978" t="str">
        <f t="shared" si="165"/>
        <v>NKHP IV кв. 2025</v>
      </c>
      <c r="C978">
        <v>2025</v>
      </c>
      <c r="D978">
        <f>SUMIFS(Дивиденды!$C:$C,Дивиденды!$A:$A,A978,Дивиденды!$I:$I,C978)</f>
        <v>15.54</v>
      </c>
      <c r="E978">
        <v>7</v>
      </c>
      <c r="F978">
        <f t="shared" si="166"/>
        <v>15.54</v>
      </c>
      <c r="G978">
        <f t="shared" si="167"/>
        <v>0</v>
      </c>
      <c r="H978">
        <f t="shared" si="168"/>
        <v>1</v>
      </c>
      <c r="I978">
        <f t="shared" si="169"/>
        <v>0</v>
      </c>
      <c r="J978">
        <f t="shared" si="170"/>
        <v>-0.72110552763819091</v>
      </c>
      <c r="K978">
        <f t="shared" si="175"/>
        <v>-0.5</v>
      </c>
      <c r="L978">
        <f t="shared" si="171"/>
        <v>0</v>
      </c>
      <c r="M978">
        <f t="shared" si="172"/>
        <v>0</v>
      </c>
      <c r="N978">
        <f t="shared" si="173"/>
        <v>1</v>
      </c>
      <c r="O978">
        <f t="shared" si="174"/>
        <v>0.5</v>
      </c>
      <c r="P978" t="str">
        <f>IFERROR(LN('Дивиденды по годам'!I978),"")</f>
        <v/>
      </c>
      <c r="Q978" t="str">
        <f>IFERROR('Дивиденды по годам'!G978/'Дивиденды по годам'!I978, "")</f>
        <v/>
      </c>
      <c r="R978" t="str">
        <f>IFERROR(IF(AND('Дивиденды по годам'!N978&lt;&gt;"",'Дивиденды по годам'!U978&lt;&gt;"",'Дивиденды по годам'!U978&lt;&gt;0),'Дивиденды по годам'!N978/'Дивиденды по годам'!U978-1,""),"")</f>
        <v/>
      </c>
      <c r="S978" t="str">
        <f>IFERROR(IF(AND('Дивиденды по годам'!L978&lt;&gt;"",'Дивиденды по годам'!I978&lt;&gt;"",'Дивиденды по годам'!J978&lt;&gt;"",'Дивиденды по годам'!K978&lt;&gt;"",('Дивиденды по годам'!I978-'Дивиденды по годам'!J978-'Дивиденды по годам'!K978)&lt;&gt;0),'Дивиденды по годам'!L978/('Дивиденды по годам'!I978-'Дивиденды по годам'!J978-'Дивиденды по годам'!K978),""),"")</f>
        <v/>
      </c>
      <c r="T978" t="str">
        <f>IFERROR(IF(AND('Дивиденды по годам'!Q978&lt;&gt;"",'Дивиденды по годам'!I978&lt;&gt;"",'Дивиденды по годам'!V978&lt;&gt;"",('Дивиденды по годам'!I978+'Дивиденды по годам'!V978)&lt;&gt;0),'Дивиденды по годам'!Q978/(('Дивиденды по годам'!I978+'Дивиденды по годам'!V978)/2),""),"")</f>
        <v/>
      </c>
      <c r="U978" t="str">
        <f>IFERROR(IF(AND('Дивиденды по годам'!J978&lt;&gt;"",'Дивиденды по годам'!K978&lt;&gt;"",'Дивиденды по годам'!M978&lt;&gt;"",'Дивиденды по годам'!M978&lt;&gt;0),('Дивиденды по годам'!J978+'Дивиденды по годам'!K978)/'Дивиденды по годам'!M978,""),"")</f>
        <v/>
      </c>
      <c r="V978" t="str">
        <f>IFERROR(IF(AND('Дивиденды по годам'!J978&lt;&gt;"",'Дивиденды по годам'!K978&lt;&gt;"",'Дивиденды по годам'!M978&lt;&gt;"",'Дивиденды по годам'!I978&lt;&gt;0),('Дивиденды по годам'!J978+'Дивиденды по годам'!K978)/'Дивиденды по годам'!I978,""),"")</f>
        <v/>
      </c>
      <c r="W978" t="str">
        <f>IFERROR('Дивиденды по годам'!I978,"")</f>
        <v/>
      </c>
      <c r="X978" cm="1">
        <f t="array" ref="X978">IFERROR(AVERAGE(_xlfn._xlws.FILTER(P$2:P$1073,($C$2:$C$1073=$C978)*($E$2:$E$1073=$E978)*(ROW(P$2:P$1073)&lt;&gt;ROW(P978))*(P$2:P$1073&lt;&gt;""))),"")</f>
        <v>27.416076794766717</v>
      </c>
      <c r="Y978" cm="1">
        <f t="array" ref="Y978">IFERROR(AVERAGE(_xlfn._xlws.FILTER(Q$2:Q$1073,($C$2:$C$1073=$C978)*($E$2:$E$1073=$E978)*(ROW(Q$2:Q$1073)&lt;&gt;ROW(Q978))*(Q$2:Q$1073&lt;&gt;""))),"")</f>
        <v>0.20332374906679898</v>
      </c>
      <c r="Z978" cm="1">
        <f t="array" ref="Z978">IFERROR(AVERAGE(_xlfn._xlws.FILTER(R$2:R$1073,($C$2:$C$1073=$C978)*($E$2:$E$1073=$E978)*(ROW(R$2:R$1073)&lt;&gt;ROW(R978))*(R$2:R$1073&lt;&gt;""))),"")</f>
        <v>-0.15846404609198605</v>
      </c>
      <c r="AA978" cm="1">
        <f t="array" ref="AA978">IFERROR(AVERAGE(_xlfn._xlws.FILTER(S$2:S$1073,($C$2:$C$1073=$C978)*($E$2:$E$1073=$E978)*(ROW(S$2:S$1073)&lt;&gt;ROW(S978))*(S$2:S$1073&lt;&gt;""))),"")</f>
        <v>-1.8248333530548653</v>
      </c>
      <c r="AB978" cm="1">
        <f t="array" ref="AB978">IFERROR(AVERAGE(_xlfn._xlws.FILTER(T$2:T$1073,($C$2:$C$1073=$C978)*($E$2:$E$1073=$E978)*(ROW(T$2:T$1073)&lt;&gt;ROW(T978))*(T$2:T$1073&lt;&gt;""))),"")</f>
        <v>1.0800320773341893E-3</v>
      </c>
      <c r="AC978" cm="1">
        <f t="array" ref="AC978">IFERROR(AVERAGE(_xlfn._xlws.FILTER(U$2:U$1073,($C$2:$C$1073=$C978)*($E$2:$E$1073=$E978)*(ROW(U$2:U$1073)&lt;&gt;ROW(U978))*(U$2:U$1073&lt;&gt;""))),"")</f>
        <v>10.852380302974451</v>
      </c>
      <c r="AD978" cm="1">
        <f t="array" ref="AD978">IFERROR(AVERAGE(_xlfn._xlws.FILTER(V$2:V$1073,($C$2:$C$1073=$C978)*($E$2:$E$1073=$E978)*(ROW(V$2:V$1073)&lt;&gt;ROW(V978))*(V$2:V$1073&lt;&gt;""))),"")</f>
        <v>0.64157961513007766</v>
      </c>
      <c r="AE978">
        <f>IF('Дивиденды по годам'!M978&lt;0,1,0)</f>
        <v>0</v>
      </c>
    </row>
    <row r="979" spans="1:31" x14ac:dyDescent="0.2">
      <c r="A979" s="7" t="s">
        <v>2300</v>
      </c>
      <c r="B979" t="str">
        <f t="shared" si="165"/>
        <v>NKHP IV кв. 2024</v>
      </c>
      <c r="C979">
        <v>2024</v>
      </c>
      <c r="D979">
        <f>SUMIFS(Дивиденды!$C:$C,Дивиденды!$A:$A,A979,Дивиденды!$I:$I,C979)</f>
        <v>55.72</v>
      </c>
      <c r="E979">
        <v>7</v>
      </c>
      <c r="F979">
        <f t="shared" si="166"/>
        <v>55.72</v>
      </c>
      <c r="G979">
        <f t="shared" si="167"/>
        <v>1.5574999999999999</v>
      </c>
      <c r="H979">
        <f t="shared" si="168"/>
        <v>1</v>
      </c>
      <c r="I979">
        <f t="shared" si="169"/>
        <v>0.5</v>
      </c>
      <c r="J979">
        <f t="shared" si="170"/>
        <v>0.51908396946564883</v>
      </c>
      <c r="K979">
        <f t="shared" si="175"/>
        <v>6.1688311688311667E-2</v>
      </c>
      <c r="L979">
        <f t="shared" si="171"/>
        <v>1</v>
      </c>
      <c r="M979">
        <f t="shared" si="172"/>
        <v>0.5</v>
      </c>
      <c r="N979">
        <f t="shared" si="173"/>
        <v>0</v>
      </c>
      <c r="O979">
        <f t="shared" si="174"/>
        <v>0.25</v>
      </c>
      <c r="P979">
        <f>IFERROR(LN('Дивиденды по годам'!I979),"")</f>
        <v>23.634425792949131</v>
      </c>
      <c r="Q979">
        <f>IFERROR('Дивиденды по годам'!G979/'Дивиденды по годам'!I979, "")</f>
        <v>0.60637054834383353</v>
      </c>
      <c r="R979">
        <f>IFERROR(IF(AND('Дивиденды по годам'!N979&lt;&gt;"",'Дивиденды по годам'!U979&lt;&gt;"",'Дивиденды по годам'!U979&lt;&gt;0),'Дивиденды по годам'!N979/'Дивиденды по годам'!U979-1,""),"")</f>
        <v>0.20732900249127284</v>
      </c>
      <c r="S979">
        <f>IFERROR(IF(AND('Дивиденды по годам'!L979&lt;&gt;"",'Дивиденды по годам'!I979&lt;&gt;"",'Дивиденды по годам'!J979&lt;&gt;"",'Дивиденды по годам'!K979&lt;&gt;"",('Дивиденды по годам'!I979-'Дивиденды по годам'!J979-'Дивиденды по годам'!K979)&lt;&gt;0),'Дивиденды по годам'!L979/('Дивиденды по годам'!I979-'Дивиденды по годам'!J979-'Дивиденды по годам'!K979),""),"")</f>
        <v>0.99574299788186038</v>
      </c>
      <c r="T979">
        <f>IFERROR(IF(AND('Дивиденды по годам'!Q979&lt;&gt;"",'Дивиденды по годам'!I979&lt;&gt;"",'Дивиденды по годам'!V979&lt;&gt;"",('Дивиденды по годам'!I979+'Дивиденды по годам'!V979)&lt;&gt;0),'Дивиденды по годам'!Q979/(('Дивиденды по годам'!I979+'Дивиденды по годам'!V979)/2),""),"")</f>
        <v>0.36334364609616471</v>
      </c>
      <c r="U979">
        <f>IFERROR(IF(AND('Дивиденды по годам'!J979&lt;&gt;"",'Дивиденды по годам'!K979&lt;&gt;"",'Дивиденды по годам'!M979&lt;&gt;"",'Дивиденды по годам'!M979&lt;&gt;0),('Дивиденды по годам'!J979+'Дивиденды по годам'!K979)/'Дивиденды по годам'!M979,""),"")</f>
        <v>0.15758863143286969</v>
      </c>
      <c r="V979">
        <f>IFERROR(IF(AND('Дивиденды по годам'!J979&lt;&gt;"",'Дивиденды по годам'!K979&lt;&gt;"",'Дивиденды по годам'!M979&lt;&gt;"",'Дивиденды по годам'!I979&lt;&gt;0),('Дивиденды по годам'!J979+'Дивиденды по годам'!K979)/'Дивиденды по годам'!I979,""),"")</f>
        <v>0.13613526183114427</v>
      </c>
      <c r="W979">
        <f>IFERROR('Дивиденды по годам'!I979,"")</f>
        <v>18378104000</v>
      </c>
      <c r="X979" cm="1">
        <f t="array" ref="X979">IFERROR(AVERAGE(_xlfn._xlws.FILTER(P$2:P$1073,($C$2:$C$1073=$C979)*($E$2:$E$1073=$E979)*(ROW(P$2:P$1073)&lt;&gt;ROW(P979))*(P$2:P$1073&lt;&gt;""))),"")</f>
        <v>26.849335608888065</v>
      </c>
      <c r="Y979" cm="1">
        <f t="array" ref="Y979">IFERROR(AVERAGE(_xlfn._xlws.FILTER(Q$2:Q$1073,($C$2:$C$1073=$C979)*($E$2:$E$1073=$E979)*(ROW(Q$2:Q$1073)&lt;&gt;ROW(Q979))*(Q$2:Q$1073&lt;&gt;""))),"")</f>
        <v>0.46267621066438519</v>
      </c>
      <c r="Z979" cm="1">
        <f t="array" ref="Z979">IFERROR(AVERAGE(_xlfn._xlws.FILTER(R$2:R$1073,($C$2:$C$1073=$C979)*($E$2:$E$1073=$E979)*(ROW(R$2:R$1073)&lt;&gt;ROW(R979))*(R$2:R$1073&lt;&gt;""))),"")</f>
        <v>0.10110025079292451</v>
      </c>
      <c r="AA979" cm="1">
        <f t="array" ref="AA979">IFERROR(AVERAGE(_xlfn._xlws.FILTER(S$2:S$1073,($C$2:$C$1073=$C979)*($E$2:$E$1073=$E979)*(ROW(S$2:S$1073)&lt;&gt;ROW(S979))*(S$2:S$1073&lt;&gt;""))),"")</f>
        <v>1.4438919648723774</v>
      </c>
      <c r="AB979" cm="1">
        <f t="array" ref="AB979">IFERROR(AVERAGE(_xlfn._xlws.FILTER(T$2:T$1073,($C$2:$C$1073=$C979)*($E$2:$E$1073=$E979)*(ROW(T$2:T$1073)&lt;&gt;ROW(T979))*(T$2:T$1073&lt;&gt;""))),"")</f>
        <v>0.10006533648544708</v>
      </c>
      <c r="AC979" cm="1">
        <f t="array" ref="AC979">IFERROR(AVERAGE(_xlfn._xlws.FILTER(U$2:U$1073,($C$2:$C$1073=$C979)*($E$2:$E$1073=$E979)*(ROW(U$2:U$1073)&lt;&gt;ROW(U979))*(U$2:U$1073&lt;&gt;""))),"")</f>
        <v>-3.9228142967228781</v>
      </c>
      <c r="AD979" cm="1">
        <f t="array" ref="AD979">IFERROR(AVERAGE(_xlfn._xlws.FILTER(V$2:V$1073,($C$2:$C$1073=$C979)*($E$2:$E$1073=$E979)*(ROW(V$2:V$1073)&lt;&gt;ROW(V979))*(V$2:V$1073&lt;&gt;""))),"")</f>
        <v>0.48176355293694784</v>
      </c>
      <c r="AE979">
        <f>IF('Дивиденды по годам'!M979&lt;0,1,0)</f>
        <v>0</v>
      </c>
    </row>
    <row r="980" spans="1:31" x14ac:dyDescent="0.2">
      <c r="A980" s="7" t="s">
        <v>2300</v>
      </c>
      <c r="B980" t="str">
        <f t="shared" si="165"/>
        <v>NKHP IV кв. 2023</v>
      </c>
      <c r="C980">
        <v>2023</v>
      </c>
      <c r="D980">
        <f>SUMIFS(Дивиденды!$C:$C,Дивиденды!$A:$A,A980,Дивиденды!$I:$I,C980)</f>
        <v>36.68</v>
      </c>
      <c r="E980">
        <v>7</v>
      </c>
      <c r="F980">
        <f t="shared" si="166"/>
        <v>36.68</v>
      </c>
      <c r="G980">
        <f t="shared" si="167"/>
        <v>4.59</v>
      </c>
      <c r="H980">
        <f t="shared" si="168"/>
        <v>1</v>
      </c>
      <c r="I980">
        <f t="shared" si="169"/>
        <v>0.5</v>
      </c>
      <c r="J980">
        <f t="shared" si="170"/>
        <v>1.5088919288645692</v>
      </c>
      <c r="K980">
        <f t="shared" si="175"/>
        <v>0.76568327505827505</v>
      </c>
      <c r="L980">
        <f t="shared" si="171"/>
        <v>1</v>
      </c>
      <c r="M980">
        <f t="shared" si="172"/>
        <v>0.25</v>
      </c>
      <c r="N980">
        <f t="shared" si="173"/>
        <v>0</v>
      </c>
      <c r="O980">
        <f t="shared" si="174"/>
        <v>0.25</v>
      </c>
      <c r="P980">
        <f>IFERROR(LN('Дивиденды по годам'!I980),"")</f>
        <v>23.550437614496474</v>
      </c>
      <c r="Q980">
        <f>IFERROR('Дивиденды по годам'!G980/'Дивиденды по годам'!I980, "")</f>
        <v>0.67520162475115553</v>
      </c>
      <c r="R980">
        <f>IFERROR(IF(AND('Дивиденды по годам'!N980&lt;&gt;"",'Дивиденды по годам'!U980&lt;&gt;"",'Дивиденды по годам'!U980&lt;&gt;0),'Дивиденды по годам'!N980/'Дивиденды по годам'!U980-1,""),"")</f>
        <v>0.86249318450261669</v>
      </c>
      <c r="S980">
        <f>IFERROR(IF(AND('Дивиденды по годам'!L980&lt;&gt;"",'Дивиденды по годам'!I980&lt;&gt;"",'Дивиденды по годам'!J980&lt;&gt;"",'Дивиденды по годам'!K980&lt;&gt;"",('Дивиденды по годам'!I980-'Дивиденды по годам'!J980-'Дивиденды по годам'!K980)&lt;&gt;0),'Дивиденды по годам'!L980/('Дивиденды по годам'!I980-'Дивиденды по годам'!J980-'Дивиденды по годам'!K980),""),"")</f>
        <v>0.99483371347221727</v>
      </c>
      <c r="T980">
        <f>IFERROR(IF(AND('Дивиденды по годам'!Q980&lt;&gt;"",'Дивиденды по годам'!I980&lt;&gt;"",'Дивиденды по годам'!V980&lt;&gt;"",('Дивиденды по годам'!I980+'Дивиденды по годам'!V980)&lt;&gt;0),'Дивиденды по годам'!Q980/(('Дивиденды по годам'!I980+'Дивиденды по годам'!V980)/2),""),"")</f>
        <v>0.33210352614114363</v>
      </c>
      <c r="U980">
        <f>IFERROR(IF(AND('Дивиденды по годам'!J980&lt;&gt;"",'Дивиденды по годам'!K980&lt;&gt;"",'Дивиденды по годам'!M980&lt;&gt;"",'Дивиденды по годам'!M980&lt;&gt;0),('Дивиденды по годам'!J980+'Дивиденды по годам'!K980)/'Дивиденды по годам'!M980,""),"")</f>
        <v>0.29144575544358553</v>
      </c>
      <c r="V980">
        <f>IFERROR(IF(AND('Дивиденды по годам'!J980&lt;&gt;"",'Дивиденды по годам'!K980&lt;&gt;"",'Дивиденды по годам'!M980&lt;&gt;"",'Дивиденды по годам'!I980&lt;&gt;0),('Дивиденды по годам'!J980+'Дивиденды по годам'!K980)/'Дивиденды по годам'!I980,""),"")</f>
        <v>0.22567402015540311</v>
      </c>
      <c r="W980">
        <f>IFERROR('Дивиденды по годам'!I980,"")</f>
        <v>16897603000</v>
      </c>
      <c r="X980" cm="1">
        <f t="array" ref="X980">IFERROR(AVERAGE(_xlfn._xlws.FILTER(P$2:P$1073,($C$2:$C$1073=$C980)*($E$2:$E$1073=$E980)*(ROW(P$2:P$1073)&lt;&gt;ROW(P980))*(P$2:P$1073&lt;&gt;""))),"")</f>
        <v>26.728471620085088</v>
      </c>
      <c r="Y980" cm="1">
        <f t="array" ref="Y980">IFERROR(AVERAGE(_xlfn._xlws.FILTER(Q$2:Q$1073,($C$2:$C$1073=$C980)*($E$2:$E$1073=$E980)*(ROW(Q$2:Q$1073)&lt;&gt;ROW(Q980))*(Q$2:Q$1073&lt;&gt;""))),"")</f>
        <v>0.47080110062369734</v>
      </c>
      <c r="Z980" cm="1">
        <f t="array" ref="Z980">IFERROR(AVERAGE(_xlfn._xlws.FILTER(R$2:R$1073,($C$2:$C$1073=$C980)*($E$2:$E$1073=$E980)*(ROW(R$2:R$1073)&lt;&gt;ROW(R980))*(R$2:R$1073&lt;&gt;""))),"")</f>
        <v>0.2549001852104496</v>
      </c>
      <c r="AA980" cm="1">
        <f t="array" ref="AA980">IFERROR(AVERAGE(_xlfn._xlws.FILTER(S$2:S$1073,($C$2:$C$1073=$C980)*($E$2:$E$1073=$E980)*(ROW(S$2:S$1073)&lt;&gt;ROW(S980))*(S$2:S$1073&lt;&gt;""))),"")</f>
        <v>1.6516091431314526</v>
      </c>
      <c r="AB980" cm="1">
        <f t="array" ref="AB980">IFERROR(AVERAGE(_xlfn._xlws.FILTER(T$2:T$1073,($C$2:$C$1073=$C980)*($E$2:$E$1073=$E980)*(ROW(T$2:T$1073)&lt;&gt;ROW(T980))*(T$2:T$1073&lt;&gt;""))),"")</f>
        <v>0.11655322617085177</v>
      </c>
      <c r="AC980" cm="1">
        <f t="array" ref="AC980">IFERROR(AVERAGE(_xlfn._xlws.FILTER(U$2:U$1073,($C$2:$C$1073=$C980)*($E$2:$E$1073=$E980)*(ROW(U$2:U$1073)&lt;&gt;ROW(U980))*(U$2:U$1073&lt;&gt;""))),"")</f>
        <v>-2.7598238935063826</v>
      </c>
      <c r="AD980" cm="1">
        <f t="array" ref="AD980">IFERROR(AVERAGE(_xlfn._xlws.FILTER(V$2:V$1073,($C$2:$C$1073=$C980)*($E$2:$E$1073=$E980)*(ROW(V$2:V$1073)&lt;&gt;ROW(V980))*(V$2:V$1073&lt;&gt;""))),"")</f>
        <v>0.48929614673673077</v>
      </c>
      <c r="AE980">
        <f>IF('Дивиденды по годам'!M980&lt;0,1,0)</f>
        <v>0</v>
      </c>
    </row>
    <row r="981" spans="1:31" x14ac:dyDescent="0.2">
      <c r="A981" s="7" t="s">
        <v>2300</v>
      </c>
      <c r="B981" t="str">
        <f t="shared" si="165"/>
        <v>NKHP IV кв. 2022</v>
      </c>
      <c r="C981">
        <v>2022</v>
      </c>
      <c r="D981">
        <f>SUMIFS(Дивиденды!$C:$C,Дивиденды!$A:$A,A981,Дивиденды!$I:$I,C981)</f>
        <v>14.62</v>
      </c>
      <c r="E981">
        <v>7</v>
      </c>
      <c r="F981">
        <f t="shared" si="166"/>
        <v>14.62</v>
      </c>
      <c r="G981">
        <f t="shared" si="167"/>
        <v>1.2725</v>
      </c>
      <c r="H981">
        <f t="shared" si="168"/>
        <v>1</v>
      </c>
      <c r="I981">
        <f t="shared" si="169"/>
        <v>0.5</v>
      </c>
      <c r="J981">
        <f t="shared" si="170"/>
        <v>0.53894736842105251</v>
      </c>
      <c r="K981">
        <f t="shared" si="175"/>
        <v>0.37037037037037035</v>
      </c>
      <c r="L981">
        <f t="shared" si="171"/>
        <v>1</v>
      </c>
      <c r="M981">
        <f t="shared" si="172"/>
        <v>0.5</v>
      </c>
      <c r="N981">
        <f t="shared" si="173"/>
        <v>0</v>
      </c>
      <c r="O981">
        <f t="shared" si="174"/>
        <v>0</v>
      </c>
      <c r="P981">
        <f>IFERROR(LN('Дивиденды по годам'!I981),"")</f>
        <v>23.251806124877628</v>
      </c>
      <c r="Q981">
        <f>IFERROR('Дивиденды по годам'!G981/'Дивиденды по годам'!I981, "")</f>
        <v>0.83648439453873669</v>
      </c>
      <c r="R981">
        <f>IFERROR(IF(AND('Дивиденды по годам'!N981&lt;&gt;"",'Дивиденды по годам'!U981&lt;&gt;"",'Дивиденды по годам'!U981&lt;&gt;0),'Дивиденды по годам'!N981/'Дивиденды по годам'!U981-1,""),"")</f>
        <v>-0.22160913374786206</v>
      </c>
      <c r="S981">
        <f>IFERROR(IF(AND('Дивиденды по годам'!L981&lt;&gt;"",'Дивиденды по годам'!I981&lt;&gt;"",'Дивиденды по годам'!J981&lt;&gt;"",'Дивиденды по годам'!K981&lt;&gt;"",('Дивиденды по годам'!I981-'Дивиденды по годам'!J981-'Дивиденды по годам'!K981)&lt;&gt;0),'Дивиденды по годам'!L981/('Дивиденды по годам'!I981-'Дивиденды по годам'!J981-'Дивиденды по годам'!K981),""),"")</f>
        <v>0.99395382484955896</v>
      </c>
      <c r="T981">
        <f>IFERROR(IF(AND('Дивиденды по годам'!Q981&lt;&gt;"",'Дивиденды по годам'!I981&lt;&gt;"",'Дивиденды по годам'!V981&lt;&gt;"",('Дивиденды по годам'!I981+'Дивиденды по годам'!V981)&lt;&gt;0),'Дивиденды по годам'!Q981/(('Дивиденды по годам'!I981+'Дивиденды по годам'!V981)/2),""),"")</f>
        <v>0.16398491023135289</v>
      </c>
      <c r="U981">
        <f>IFERROR(IF(AND('Дивиденды по годам'!J981&lt;&gt;"",'Дивиденды по годам'!K981&lt;&gt;"",'Дивиденды по годам'!M981&lt;&gt;"",'Дивиденды по годам'!M981&lt;&gt;0),('Дивиденды по годам'!J981+'Дивиденды по годам'!K981)/'Дивиденды по годам'!M981,""),"")</f>
        <v>0.12120337463101936</v>
      </c>
      <c r="V981">
        <f>IFERROR(IF(AND('Дивиденды по годам'!J981&lt;&gt;"",'Дивиденды по годам'!K981&lt;&gt;"",'Дивиденды по годам'!M981&lt;&gt;"",'Дивиденды по годам'!I981&lt;&gt;0),('Дивиденды по годам'!J981+'Дивиденды по годам'!K981)/'Дивиденды по годам'!I981,""),"")</f>
        <v>0.10810115040093114</v>
      </c>
      <c r="W981">
        <f>IFERROR('Дивиденды по годам'!I981,"")</f>
        <v>12535195000</v>
      </c>
      <c r="X981" cm="1">
        <f t="array" ref="X981">IFERROR(AVERAGE(_xlfn._xlws.FILTER(P$2:P$1073,($C$2:$C$1073=$C981)*($E$2:$E$1073=$E981)*(ROW(P$2:P$1073)&lt;&gt;ROW(P981))*(P$2:P$1073&lt;&gt;""))),"")</f>
        <v>26.446015425173652</v>
      </c>
      <c r="Y981" cm="1">
        <f t="array" ref="Y981">IFERROR(AVERAGE(_xlfn._xlws.FILTER(Q$2:Q$1073,($C$2:$C$1073=$C981)*($E$2:$E$1073=$E981)*(ROW(Q$2:Q$1073)&lt;&gt;ROW(Q981))*(Q$2:Q$1073&lt;&gt;""))),"")</f>
        <v>0.32694780804393136</v>
      </c>
      <c r="Z981" cm="1">
        <f t="array" ref="Z981">IFERROR(AVERAGE(_xlfn._xlws.FILTER(R$2:R$1073,($C$2:$C$1073=$C981)*($E$2:$E$1073=$E981)*(ROW(R$2:R$1073)&lt;&gt;ROW(R981))*(R$2:R$1073&lt;&gt;""))),"")</f>
        <v>0.13541912908000842</v>
      </c>
      <c r="AA981" cm="1">
        <f t="array" ref="AA981">IFERROR(AVERAGE(_xlfn._xlws.FILTER(S$2:S$1073,($C$2:$C$1073=$C981)*($E$2:$E$1073=$E981)*(ROW(S$2:S$1073)&lt;&gt;ROW(S981))*(S$2:S$1073&lt;&gt;""))),"")</f>
        <v>1.6257437606349079</v>
      </c>
      <c r="AB981" cm="1">
        <f t="array" ref="AB981">IFERROR(AVERAGE(_xlfn._xlws.FILTER(T$2:T$1073,($C$2:$C$1073=$C981)*($E$2:$E$1073=$E981)*(ROW(T$2:T$1073)&lt;&gt;ROW(T981))*(T$2:T$1073&lt;&gt;""))),"")</f>
        <v>0.11337262385621492</v>
      </c>
      <c r="AC981" cm="1">
        <f t="array" ref="AC981">IFERROR(AVERAGE(_xlfn._xlws.FILTER(U$2:U$1073,($C$2:$C$1073=$C981)*($E$2:$E$1073=$E981)*(ROW(U$2:U$1073)&lt;&gt;ROW(U981))*(U$2:U$1073&lt;&gt;""))),"")</f>
        <v>-3.1406383723261135</v>
      </c>
      <c r="AD981" cm="1">
        <f t="array" ref="AD981">IFERROR(AVERAGE(_xlfn._xlws.FILTER(V$2:V$1073,($C$2:$C$1073=$C981)*($E$2:$E$1073=$E981)*(ROW(V$2:V$1073)&lt;&gt;ROW(V981))*(V$2:V$1073&lt;&gt;""))),"")</f>
        <v>0.6109769538074149</v>
      </c>
      <c r="AE981">
        <f>IF('Дивиденды по годам'!M981&lt;0,1,0)</f>
        <v>0</v>
      </c>
    </row>
    <row r="982" spans="1:31" x14ac:dyDescent="0.2">
      <c r="A982" s="7" t="s">
        <v>2300</v>
      </c>
      <c r="B982" t="str">
        <f t="shared" si="165"/>
        <v>NKHP IV кв. 2021</v>
      </c>
      <c r="C982">
        <v>2021</v>
      </c>
      <c r="D982">
        <f>SUMIFS(Дивиденды!$C:$C,Дивиденды!$A:$A,A982,Дивиденды!$I:$I,C982)</f>
        <v>9.5</v>
      </c>
      <c r="E982">
        <v>7</v>
      </c>
      <c r="F982">
        <f t="shared" si="166"/>
        <v>9.5</v>
      </c>
      <c r="G982">
        <f t="shared" si="167"/>
        <v>0.13500000000000001</v>
      </c>
      <c r="H982">
        <f t="shared" si="168"/>
        <v>1</v>
      </c>
      <c r="I982">
        <f t="shared" si="169"/>
        <v>0.25</v>
      </c>
      <c r="J982">
        <f t="shared" si="170"/>
        <v>-0.44735311227457819</v>
      </c>
      <c r="K982">
        <f t="shared" si="175"/>
        <v>1.7500000000000004</v>
      </c>
      <c r="L982">
        <f t="shared" si="171"/>
        <v>0</v>
      </c>
      <c r="M982">
        <f t="shared" si="172"/>
        <v>0.25</v>
      </c>
      <c r="N982">
        <f t="shared" si="173"/>
        <v>1</v>
      </c>
      <c r="O982">
        <f t="shared" si="174"/>
        <v>0.25</v>
      </c>
      <c r="P982">
        <f>IFERROR(LN('Дивиденды по годам'!I982),"")</f>
        <v>23.152167848216131</v>
      </c>
      <c r="Q982">
        <f>IFERROR('Дивиденды по годам'!G982/'Дивиденды по годам'!I982, "")</f>
        <v>0.8682204258842241</v>
      </c>
      <c r="R982">
        <f>IFERROR(IF(AND('Дивиденды по годам'!N982&lt;&gt;"",'Дивиденды по годам'!U982&lt;&gt;"",'Дивиденды по годам'!U982&lt;&gt;0),'Дивиденды по годам'!N982/'Дивиденды по годам'!U982-1,""),"")</f>
        <v>-0.16674126801557232</v>
      </c>
      <c r="S982">
        <f>IFERROR(IF(AND('Дивиденды по годам'!L982&lt;&gt;"",'Дивиденды по годам'!I982&lt;&gt;"",'Дивиденды по годам'!J982&lt;&gt;"",'Дивиденды по годам'!K982&lt;&gt;"",('Дивиденды по годам'!I982-'Дивиденды по годам'!J982-'Дивиденды по годам'!K982)&lt;&gt;0),'Дивиденды по годам'!L982/('Дивиденды по годам'!I982-'Дивиденды по годам'!J982-'Дивиденды по годам'!K982),""),"")</f>
        <v>0.99266247424967757</v>
      </c>
      <c r="T982">
        <f>IFERROR(IF(AND('Дивиденды по годам'!Q982&lt;&gt;"",'Дивиденды по годам'!I982&lt;&gt;"",'Дивиденды по годам'!V982&lt;&gt;"",('Дивиденды по годам'!I982+'Дивиденды по годам'!V982)&lt;&gt;0),'Дивиденды по годам'!Q982/(('Дивиденды по годам'!I982+'Дивиденды по годам'!V982)/2),""),"")</f>
        <v>0.1982252756664534</v>
      </c>
      <c r="U982">
        <f>IFERROR(IF(AND('Дивиденды по годам'!J982&lt;&gt;"",'Дивиденды по годам'!K982&lt;&gt;"",'Дивиденды по годам'!M982&lt;&gt;"",'Дивиденды по годам'!M982&lt;&gt;0),('Дивиденды по годам'!J982+'Дивиденды по годам'!K982)/'Дивиденды по годам'!M982,""),"")</f>
        <v>0.23163197939843946</v>
      </c>
      <c r="V982">
        <f>IFERROR(IF(AND('Дивиденды по годам'!J982&lt;&gt;"",'Дивиденды по годам'!K982&lt;&gt;"",'Дивиденды по годам'!M982&lt;&gt;"",'Дивиденды по годам'!I982&lt;&gt;0),('Дивиденды по годам'!J982+'Дивиденды по годам'!K982)/'Дивиденды по годам'!I982,""),"")</f>
        <v>0.18806914993517337</v>
      </c>
      <c r="W982">
        <f>IFERROR('Дивиденды по годам'!I982,"")</f>
        <v>11346417000</v>
      </c>
      <c r="X982" cm="1">
        <f t="array" ref="X982">IFERROR(AVERAGE(_xlfn._xlws.FILTER(P$2:P$1073,($C$2:$C$1073=$C982)*($E$2:$E$1073=$E982)*(ROW(P$2:P$1073)&lt;&gt;ROW(P982))*(P$2:P$1073&lt;&gt;""))),"")</f>
        <v>26.752628695676936</v>
      </c>
      <c r="Y982" cm="1">
        <f t="array" ref="Y982">IFERROR(AVERAGE(_xlfn._xlws.FILTER(Q$2:Q$1073,($C$2:$C$1073=$C982)*($E$2:$E$1073=$E982)*(ROW(Q$2:Q$1073)&lt;&gt;ROW(Q982))*(Q$2:Q$1073&lt;&gt;""))),"")</f>
        <v>0.45222060798149183</v>
      </c>
      <c r="Z982" cm="1">
        <f t="array" ref="Z982">IFERROR(AVERAGE(_xlfn._xlws.FILTER(R$2:R$1073,($C$2:$C$1073=$C982)*($E$2:$E$1073=$E982)*(ROW(R$2:R$1073)&lt;&gt;ROW(R982))*(R$2:R$1073&lt;&gt;""))),"")</f>
        <v>0.46918449728357597</v>
      </c>
      <c r="AA982" cm="1">
        <f t="array" ref="AA982">IFERROR(AVERAGE(_xlfn._xlws.FILTER(S$2:S$1073,($C$2:$C$1073=$C982)*($E$2:$E$1073=$E982)*(ROW(S$2:S$1073)&lt;&gt;ROW(S982))*(S$2:S$1073&lt;&gt;""))),"")</f>
        <v>1.011516116301991</v>
      </c>
      <c r="AB982" cm="1">
        <f t="array" ref="AB982">IFERROR(AVERAGE(_xlfn._xlws.FILTER(T$2:T$1073,($C$2:$C$1073=$C982)*($E$2:$E$1073=$E982)*(ROW(T$2:T$1073)&lt;&gt;ROW(T982))*(T$2:T$1073&lt;&gt;""))),"")</f>
        <v>0.13554332628985369</v>
      </c>
      <c r="AC982" cm="1">
        <f t="array" ref="AC982">IFERROR(AVERAGE(_xlfn._xlws.FILTER(U$2:U$1073,($C$2:$C$1073=$C982)*($E$2:$E$1073=$E982)*(ROW(U$2:U$1073)&lt;&gt;ROW(U982))*(U$2:U$1073&lt;&gt;""))),"")</f>
        <v>-2.1747321704070228</v>
      </c>
      <c r="AD982" cm="1">
        <f t="array" ref="AD982">IFERROR(AVERAGE(_xlfn._xlws.FILTER(V$2:V$1073,($C$2:$C$1073=$C982)*($E$2:$E$1073=$E982)*(ROW(V$2:V$1073)&lt;&gt;ROW(V982))*(V$2:V$1073&lt;&gt;""))),"")</f>
        <v>0.71234608409121947</v>
      </c>
      <c r="AE982">
        <f>IF('Дивиденды по годам'!M982&lt;0,1,0)</f>
        <v>0</v>
      </c>
    </row>
    <row r="983" spans="1:31" x14ac:dyDescent="0.2">
      <c r="A983" s="7" t="s">
        <v>2300</v>
      </c>
      <c r="B983" t="str">
        <f t="shared" si="165"/>
        <v>NKHP IV кв. 2020</v>
      </c>
      <c r="C983">
        <v>2020</v>
      </c>
      <c r="D983">
        <f>SUMIFS(Дивиденды!$C:$C,Дивиденды!$A:$A,A983,Дивиденды!$I:$I,C983)</f>
        <v>17.189999999999998</v>
      </c>
      <c r="E983">
        <v>7</v>
      </c>
      <c r="F983">
        <f t="shared" si="166"/>
        <v>17.189999999999998</v>
      </c>
      <c r="G983">
        <f t="shared" si="167"/>
        <v>1.6824999999999999</v>
      </c>
      <c r="H983">
        <f t="shared" si="168"/>
        <v>1</v>
      </c>
      <c r="I983">
        <f t="shared" si="169"/>
        <v>0.5</v>
      </c>
      <c r="J983">
        <f t="shared" si="170"/>
        <v>1.3483606557377046</v>
      </c>
      <c r="K983">
        <f t="shared" si="175"/>
        <v>1.1111111111111127E-2</v>
      </c>
      <c r="L983">
        <f t="shared" si="171"/>
        <v>1</v>
      </c>
      <c r="M983">
        <f t="shared" si="172"/>
        <v>0.25</v>
      </c>
      <c r="N983">
        <f t="shared" si="173"/>
        <v>0</v>
      </c>
      <c r="O983">
        <f t="shared" si="174"/>
        <v>0.25</v>
      </c>
      <c r="P983">
        <f>IFERROR(LN('Дивиденды по годам'!I983),"")</f>
        <v>23.264399137914623</v>
      </c>
      <c r="Q983">
        <f>IFERROR('Дивиденды по годам'!G983/'Дивиденды по годам'!I983, "")</f>
        <v>0.7224183552466199</v>
      </c>
      <c r="R983">
        <f>IFERROR(IF(AND('Дивиденды по годам'!N983&lt;&gt;"",'Дивиденды по годам'!U983&lt;&gt;"",'Дивиденды по годам'!U983&lt;&gt;0),'Дивиденды по годам'!N983/'Дивиденды по годам'!U983-1,""),"")</f>
        <v>-0.58737020424244202</v>
      </c>
      <c r="S983">
        <f>IFERROR(IF(AND('Дивиденды по годам'!L983&lt;&gt;"",'Дивиденды по годам'!I983&lt;&gt;"",'Дивиденды по годам'!J983&lt;&gt;"",'Дивиденды по годам'!K983&lt;&gt;"",('Дивиденды по годам'!I983-'Дивиденды по годам'!J983-'Дивиденды по годам'!K983)&lt;&gt;0),'Дивиденды по годам'!L983/('Дивиденды по годам'!I983-'Дивиденды по годам'!J983-'Дивиденды по годам'!K983),""),"")</f>
        <v>0.99142405453934412</v>
      </c>
      <c r="T983">
        <f>IFERROR(IF(AND('Дивиденды по годам'!Q983&lt;&gt;"",'Дивиденды по годам'!I983&lt;&gt;"",'Дивиденды по годам'!V983&lt;&gt;"",('Дивиденды по годам'!I983+'Дивиденды по годам'!V983)&lt;&gt;0),'Дивиденды по годам'!Q983/(('Дивиденды по годам'!I983+'Дивиденды по годам'!V983)/2),""),"")</f>
        <v>0.1696063420541449</v>
      </c>
      <c r="U983">
        <f>IFERROR(IF(AND('Дивиденды по годам'!J983&lt;&gt;"",'Дивиденды по годам'!K983&lt;&gt;"",'Дивиденды по годам'!M983&lt;&gt;"",'Дивиденды по годам'!M983&lt;&gt;0),('Дивиденды по годам'!J983+'Дивиденды по годам'!K983)/'Дивиденды по годам'!M983,""),"")</f>
        <v>0.6104778599478341</v>
      </c>
      <c r="V983">
        <f>IFERROR(IF(AND('Дивиденды по годам'!J983&lt;&gt;"",'Дивиденды по годам'!K983&lt;&gt;"",'Дивиденды по годам'!M983&lt;&gt;"",'Дивиденды по годам'!I983&lt;&gt;0),('Дивиденды по годам'!J983+'Дивиденды по годам'!K983)/'Дивиденды по годам'!I983,""),"")</f>
        <v>0.3790662853121175</v>
      </c>
      <c r="W983">
        <f>IFERROR('Дивиденды по годам'!I983,"")</f>
        <v>12694049000</v>
      </c>
      <c r="X983" cm="1">
        <f t="array" ref="X983">IFERROR(AVERAGE(_xlfn._xlws.FILTER(P$2:P$1073,($C$2:$C$1073=$C983)*($E$2:$E$1073=$E983)*(ROW(P$2:P$1073)&lt;&gt;ROW(P983))*(P$2:P$1073&lt;&gt;""))),"")</f>
        <v>26.302016868074581</v>
      </c>
      <c r="Y983" cm="1">
        <f t="array" ref="Y983">IFERROR(AVERAGE(_xlfn._xlws.FILTER(Q$2:Q$1073,($C$2:$C$1073=$C983)*($E$2:$E$1073=$E983)*(ROW(Q$2:Q$1073)&lt;&gt;ROW(Q983))*(Q$2:Q$1073&lt;&gt;""))),"")</f>
        <v>0.46953895381247501</v>
      </c>
      <c r="Z983" cm="1">
        <f t="array" ref="Z983">IFERROR(AVERAGE(_xlfn._xlws.FILTER(R$2:R$1073,($C$2:$C$1073=$C983)*($E$2:$E$1073=$E983)*(ROW(R$2:R$1073)&lt;&gt;ROW(R983))*(R$2:R$1073&lt;&gt;""))),"")</f>
        <v>-0.13314954815625335</v>
      </c>
      <c r="AA983" cm="1">
        <f t="array" ref="AA983">IFERROR(AVERAGE(_xlfn._xlws.FILTER(S$2:S$1073,($C$2:$C$1073=$C983)*($E$2:$E$1073=$E983)*(ROW(S$2:S$1073)&lt;&gt;ROW(S983))*(S$2:S$1073&lt;&gt;""))),"")</f>
        <v>1.4501278407222185</v>
      </c>
      <c r="AB983" cm="1">
        <f t="array" ref="AB983">IFERROR(AVERAGE(_xlfn._xlws.FILTER(T$2:T$1073,($C$2:$C$1073=$C983)*($E$2:$E$1073=$E983)*(ROW(T$2:T$1073)&lt;&gt;ROW(T983))*(T$2:T$1073&lt;&gt;""))),"")</f>
        <v>2.0572193629564223E-2</v>
      </c>
      <c r="AC983" cm="1">
        <f t="array" ref="AC983">IFERROR(AVERAGE(_xlfn._xlws.FILTER(U$2:U$1073,($C$2:$C$1073=$C983)*($E$2:$E$1073=$E983)*(ROW(U$2:U$1073)&lt;&gt;ROW(U983))*(U$2:U$1073&lt;&gt;""))),"")</f>
        <v>0.5727644942178961</v>
      </c>
      <c r="AD983" cm="1">
        <f t="array" ref="AD983">IFERROR(AVERAGE(_xlfn._xlws.FILTER(V$2:V$1073,($C$2:$C$1073=$C983)*($E$2:$E$1073=$E983)*(ROW(V$2:V$1073)&lt;&gt;ROW(V983))*(V$2:V$1073&lt;&gt;""))),"")</f>
        <v>0.74644536361292724</v>
      </c>
      <c r="AE983">
        <f>IF('Дивиденды по годам'!M983&lt;0,1,0)</f>
        <v>0</v>
      </c>
    </row>
    <row r="984" spans="1:31" x14ac:dyDescent="0.2">
      <c r="A984" s="7" t="s">
        <v>2300</v>
      </c>
      <c r="B984" t="str">
        <f t="shared" si="165"/>
        <v>NKHP IV кв. 2019</v>
      </c>
      <c r="C984">
        <v>2019</v>
      </c>
      <c r="D984">
        <f>SUMIFS(Дивиденды!$C:$C,Дивиденды!$A:$A,A984,Дивиденды!$I:$I,C984)</f>
        <v>7.32</v>
      </c>
      <c r="E984">
        <v>7</v>
      </c>
      <c r="F984">
        <f t="shared" si="166"/>
        <v>7.32</v>
      </c>
      <c r="G984">
        <f t="shared" si="167"/>
        <v>0.33750000000000002</v>
      </c>
      <c r="H984">
        <f t="shared" si="168"/>
        <v>1</v>
      </c>
      <c r="I984">
        <f t="shared" si="169"/>
        <v>0.25</v>
      </c>
      <c r="J984">
        <f t="shared" si="170"/>
        <v>-0.70376365843787936</v>
      </c>
      <c r="K984">
        <f t="shared" si="175"/>
        <v>-0.236328125</v>
      </c>
      <c r="L984">
        <f t="shared" si="171"/>
        <v>0</v>
      </c>
      <c r="M984">
        <f t="shared" si="172"/>
        <v>0.25</v>
      </c>
      <c r="N984">
        <f t="shared" si="173"/>
        <v>1</v>
      </c>
      <c r="O984">
        <f t="shared" si="174"/>
        <v>0.25</v>
      </c>
      <c r="P984">
        <f>IFERROR(LN('Дивиденды по годам'!I984),"")</f>
        <v>23.400206034649745</v>
      </c>
      <c r="Q984">
        <f>IFERROR('Дивиденды по годам'!G984/'Дивиденды по годам'!I984, "")</f>
        <v>0.59039241612446969</v>
      </c>
      <c r="R984">
        <f>IFERROR(IF(AND('Дивиденды по годам'!N984&lt;&gt;"",'Дивиденды по годам'!U984&lt;&gt;"",'Дивиденды по годам'!U984&lt;&gt;0),'Дивиденды по годам'!N984/'Дивиденды по годам'!U984-1,""),"")</f>
        <v>0.36384003365482909</v>
      </c>
      <c r="S984">
        <f>IFERROR(IF(AND('Дивиденды по годам'!L984&lt;&gt;"",'Дивиденды по годам'!I984&lt;&gt;"",'Дивиденды по годам'!J984&lt;&gt;"",'Дивиденды по годам'!K984&lt;&gt;"",('Дивиденды по годам'!I984-'Дивиденды по годам'!J984-'Дивиденды по годам'!K984)&lt;&gt;0),'Дивиденды по годам'!L984/('Дивиденды по годам'!I984-'Дивиденды по годам'!J984-'Дивиденды по годам'!K984),""),"")</f>
        <v>0.98939762173082091</v>
      </c>
      <c r="T984">
        <f>IFERROR(IF(AND('Дивиденды по годам'!Q984&lt;&gt;"",'Дивиденды по годам'!I984&lt;&gt;"",'Дивиденды по годам'!V984&lt;&gt;"",('Дивиденды по годам'!I984+'Дивиденды по годам'!V984)&lt;&gt;0),'Дивиденды по годам'!Q984/(('Дивиденды по годам'!I984+'Дивиденды по годам'!V984)/2),""),"")</f>
        <v>7.3537460389926687E-2</v>
      </c>
      <c r="U984">
        <f>IFERROR(IF(AND('Дивиденды по годам'!J984&lt;&gt;"",'Дивиденды по годам'!K984&lt;&gt;"",'Дивиденды по годам'!M984&lt;&gt;"",'Дивиденды по годам'!M984&lt;&gt;0),('Дивиденды по годам'!J984+'Дивиденды по годам'!K984)/'Дивиденды по годам'!M984,""),"")</f>
        <v>1.28063733159547</v>
      </c>
      <c r="V984">
        <f>IFERROR(IF(AND('Дивиденды по годам'!J984&lt;&gt;"",'Дивиденды по годам'!K984&lt;&gt;"",'Дивиденды по годам'!M984&lt;&gt;"",'Дивиденды по годам'!I984&lt;&gt;0),('Дивиденды по годам'!J984+'Дивиденды по годам'!K984)/'Дивиденды по годам'!I984,""),"")</f>
        <v>0.56152607600243565</v>
      </c>
      <c r="W984">
        <f>IFERROR('Дивиденды по годам'!I984,"")</f>
        <v>14540534000</v>
      </c>
      <c r="X984" cm="1">
        <f t="array" ref="X984">IFERROR(AVERAGE(_xlfn._xlws.FILTER(P$2:P$1073,($C$2:$C$1073=$C984)*($E$2:$E$1073=$E984)*(ROW(P$2:P$1073)&lt;&gt;ROW(P984))*(P$2:P$1073&lt;&gt;""))),"")</f>
        <v>26.320635388501</v>
      </c>
      <c r="Y984" cm="1">
        <f t="array" ref="Y984">IFERROR(AVERAGE(_xlfn._xlws.FILTER(Q$2:Q$1073,($C$2:$C$1073=$C984)*($E$2:$E$1073=$E984)*(ROW(Q$2:Q$1073)&lt;&gt;ROW(Q984))*(Q$2:Q$1073&lt;&gt;""))),"")</f>
        <v>0.43824265256504269</v>
      </c>
      <c r="Z984" cm="1">
        <f t="array" ref="Z984">IFERROR(AVERAGE(_xlfn._xlws.FILTER(R$2:R$1073,($C$2:$C$1073=$C984)*($E$2:$E$1073=$E984)*(ROW(R$2:R$1073)&lt;&gt;ROW(R984))*(R$2:R$1073&lt;&gt;""))),"")</f>
        <v>4.1825885529947482E-2</v>
      </c>
      <c r="AA984" cm="1">
        <f t="array" ref="AA984">IFERROR(AVERAGE(_xlfn._xlws.FILTER(S$2:S$1073,($C$2:$C$1073=$C984)*($E$2:$E$1073=$E984)*(ROW(S$2:S$1073)&lt;&gt;ROW(S984))*(S$2:S$1073&lt;&gt;""))),"")</f>
        <v>-3.7437258968558651</v>
      </c>
      <c r="AB984" cm="1">
        <f t="array" ref="AB984">IFERROR(AVERAGE(_xlfn._xlws.FILTER(T$2:T$1073,($C$2:$C$1073=$C984)*($E$2:$E$1073=$E984)*(ROW(T$2:T$1073)&lt;&gt;ROW(T984))*(T$2:T$1073&lt;&gt;""))),"")</f>
        <v>0.10107087887491074</v>
      </c>
      <c r="AC984" cm="1">
        <f t="array" ref="AC984">IFERROR(AVERAGE(_xlfn._xlws.FILTER(U$2:U$1073,($C$2:$C$1073=$C984)*($E$2:$E$1073=$E984)*(ROW(U$2:U$1073)&lt;&gt;ROW(U984))*(U$2:U$1073&lt;&gt;""))),"")</f>
        <v>122.36871397003094</v>
      </c>
      <c r="AD984" cm="1">
        <f t="array" ref="AD984">IFERROR(AVERAGE(_xlfn._xlws.FILTER(V$2:V$1073,($C$2:$C$1073=$C984)*($E$2:$E$1073=$E984)*(ROW(V$2:V$1073)&lt;&gt;ROW(V984))*(V$2:V$1073&lt;&gt;""))),"")</f>
        <v>0.72006807065475742</v>
      </c>
      <c r="AE984">
        <f>IF('Дивиденды по годам'!M984&lt;0,1,0)</f>
        <v>0</v>
      </c>
    </row>
    <row r="985" spans="1:31" x14ac:dyDescent="0.2">
      <c r="A985" s="7" t="s">
        <v>2300</v>
      </c>
      <c r="B985" t="str">
        <f t="shared" si="165"/>
        <v>NKHP IV кв. 2018</v>
      </c>
      <c r="C985">
        <v>2018</v>
      </c>
      <c r="D985">
        <f>SUMIFS(Дивиденды!$C:$C,Дивиденды!$A:$A,A985,Дивиденды!$I:$I,C985)</f>
        <v>24.71</v>
      </c>
      <c r="E985">
        <v>7</v>
      </c>
      <c r="F985">
        <f t="shared" si="166"/>
        <v>24.71</v>
      </c>
      <c r="G985">
        <f t="shared" si="167"/>
        <v>0.99249999999999994</v>
      </c>
      <c r="H985">
        <f t="shared" si="168"/>
        <v>1</v>
      </c>
      <c r="I985">
        <f t="shared" si="169"/>
        <v>0.5</v>
      </c>
      <c r="J985">
        <f t="shared" si="170"/>
        <v>0.24358329139406137</v>
      </c>
      <c r="K985">
        <f t="shared" si="175"/>
        <v>5.2498048399687719E-2</v>
      </c>
      <c r="L985">
        <f t="shared" si="171"/>
        <v>1</v>
      </c>
      <c r="M985">
        <f t="shared" si="172"/>
        <v>0.25</v>
      </c>
      <c r="N985">
        <f t="shared" si="173"/>
        <v>0</v>
      </c>
      <c r="O985">
        <f t="shared" si="174"/>
        <v>0.25</v>
      </c>
      <c r="P985">
        <f>IFERROR(LN('Дивиденды по годам'!I985),"")</f>
        <v>23.221811879211966</v>
      </c>
      <c r="Q985">
        <f>IFERROR('Дивиденды по годам'!G985/'Дивиденды по годам'!I985, "")</f>
        <v>0.61263865216295488</v>
      </c>
      <c r="R985">
        <f>IFERROR(IF(AND('Дивиденды по годам'!N985&lt;&gt;"",'Дивиденды по годам'!U985&lt;&gt;"",'Дивиденды по годам'!U985&lt;&gt;0),'Дивиденды по годам'!N985/'Дивиденды по годам'!U985-1,""),"")</f>
        <v>1.1420426635898151</v>
      </c>
      <c r="S985">
        <f>IFERROR(IF(AND('Дивиденды по годам'!L985&lt;&gt;"",'Дивиденды по годам'!I985&lt;&gt;"",'Дивиденды по годам'!J985&lt;&gt;"",'Дивиденды по годам'!K985&lt;&gt;"",('Дивиденды по годам'!I985-'Дивиденды по годам'!J985-'Дивиденды по годам'!K985)&lt;&gt;0),'Дивиденды по годам'!L985/('Дивиденды по годам'!I985-'Дивиденды по годам'!J985-'Дивиденды по годам'!K985),""),"")</f>
        <v>0.98865576791932341</v>
      </c>
      <c r="T985">
        <f>IFERROR(IF(AND('Дивиденды по годам'!Q985&lt;&gt;"",'Дивиденды по годам'!I985&lt;&gt;"",'Дивиденды по годам'!V985&lt;&gt;"",('Дивиденды по годам'!I985+'Дивиденды по годам'!V985)&lt;&gt;0),'Дивиденды по годам'!Q985/(('Дивиденды по годам'!I985+'Дивиденды по годам'!V985)/2),""),"")</f>
        <v>0.32355380367904224</v>
      </c>
      <c r="U985">
        <f>IFERROR(IF(AND('Дивиденды по годам'!J985&lt;&gt;"",'Дивиденды по годам'!K985&lt;&gt;"",'Дивиденды по годам'!M985&lt;&gt;"",'Дивиденды по годам'!M985&lt;&gt;0),('Дивиденды по годам'!J985+'Дивиденды по годам'!K985)/'Дивиденды по годам'!M985,""),"")</f>
        <v>0.930154361016854</v>
      </c>
      <c r="V985">
        <f>IFERROR(IF(AND('Дивиденды по годам'!J985&lt;&gt;"",'Дивиденды по годам'!K985&lt;&gt;"",'Дивиденды по годам'!M985&lt;&gt;"",'Дивиденды по годам'!I985&lt;&gt;0),('Дивиденды по годам'!J985+'Дивиденды по годам'!K985)/'Дивиденды по годам'!I985,""),"")</f>
        <v>0.48190672197161744</v>
      </c>
      <c r="W985">
        <f>IFERROR('Дивиденды по годам'!I985,"")</f>
        <v>12164794000</v>
      </c>
      <c r="X985" cm="1">
        <f t="array" ref="X985">IFERROR(AVERAGE(_xlfn._xlws.FILTER(P$2:P$1073,($C$2:$C$1073=$C985)*($E$2:$E$1073=$E985)*(ROW(P$2:P$1073)&lt;&gt;ROW(P985))*(P$2:P$1073&lt;&gt;""))),"")</f>
        <v>25.924098945138319</v>
      </c>
      <c r="Y985" cm="1">
        <f t="array" ref="Y985">IFERROR(AVERAGE(_xlfn._xlws.FILTER(Q$2:Q$1073,($C$2:$C$1073=$C985)*($E$2:$E$1073=$E985)*(ROW(Q$2:Q$1073)&lt;&gt;ROW(Q985))*(Q$2:Q$1073&lt;&gt;""))),"")</f>
        <v>0.5712225898482528</v>
      </c>
      <c r="Z985" cm="1">
        <f t="array" ref="Z985">IFERROR(AVERAGE(_xlfn._xlws.FILTER(R$2:R$1073,($C$2:$C$1073=$C985)*($E$2:$E$1073=$E985)*(ROW(R$2:R$1073)&lt;&gt;ROW(R985))*(R$2:R$1073&lt;&gt;""))),"")</f>
        <v>0.18294348218592482</v>
      </c>
      <c r="AA985" cm="1">
        <f t="array" ref="AA985">IFERROR(AVERAGE(_xlfn._xlws.FILTER(S$2:S$1073,($C$2:$C$1073=$C985)*($E$2:$E$1073=$E985)*(ROW(S$2:S$1073)&lt;&gt;ROW(S985))*(S$2:S$1073&lt;&gt;""))),"")</f>
        <v>1.2782238503859331</v>
      </c>
      <c r="AB985" cm="1">
        <f t="array" ref="AB985">IFERROR(AVERAGE(_xlfn._xlws.FILTER(T$2:T$1073,($C$2:$C$1073=$C985)*($E$2:$E$1073=$E985)*(ROW(T$2:T$1073)&lt;&gt;ROW(T985))*(T$2:T$1073&lt;&gt;""))),"")</f>
        <v>6.4398180404089969E-2</v>
      </c>
      <c r="AC985" cm="1">
        <f t="array" ref="AC985">IFERROR(AVERAGE(_xlfn._xlws.FILTER(U$2:U$1073,($C$2:$C$1073=$C985)*($E$2:$E$1073=$E985)*(ROW(U$2:U$1073)&lt;&gt;ROW(U985))*(U$2:U$1073&lt;&gt;""))),"")</f>
        <v>6.7475770711754128</v>
      </c>
      <c r="AD985" cm="1">
        <f t="array" ref="AD985">IFERROR(AVERAGE(_xlfn._xlws.FILTER(V$2:V$1073,($C$2:$C$1073=$C985)*($E$2:$E$1073=$E985)*(ROW(V$2:V$1073)&lt;&gt;ROW(V985))*(V$2:V$1073&lt;&gt;""))),"")</f>
        <v>0.74204865276414411</v>
      </c>
      <c r="AE985">
        <f>IF('Дивиденды по годам'!M985&lt;0,1,0)</f>
        <v>0</v>
      </c>
    </row>
    <row r="986" spans="1:31" x14ac:dyDescent="0.2">
      <c r="A986" s="7" t="s">
        <v>2300</v>
      </c>
      <c r="B986" t="str">
        <f t="shared" si="165"/>
        <v>NKHP IV кв. 2017</v>
      </c>
      <c r="C986">
        <v>2017</v>
      </c>
      <c r="D986">
        <f>SUMIFS(Дивиденды!$C:$C,Дивиденды!$A:$A,A986,Дивиденды!$I:$I,C986)</f>
        <v>19.87</v>
      </c>
      <c r="E986">
        <v>7</v>
      </c>
      <c r="F986">
        <f t="shared" si="166"/>
        <v>19.87</v>
      </c>
      <c r="G986">
        <f t="shared" si="167"/>
        <v>3.2025000000000001</v>
      </c>
      <c r="H986">
        <f t="shared" si="168"/>
        <v>1</v>
      </c>
      <c r="I986">
        <f t="shared" si="169"/>
        <v>0.25</v>
      </c>
      <c r="J986">
        <f t="shared" si="170"/>
        <v>0.68104906937394249</v>
      </c>
      <c r="K986">
        <f t="shared" si="175"/>
        <v>-0.31679061784897022</v>
      </c>
      <c r="L986">
        <f t="shared" si="171"/>
        <v>1</v>
      </c>
      <c r="M986">
        <f t="shared" si="172"/>
        <v>0</v>
      </c>
      <c r="N986">
        <f t="shared" si="173"/>
        <v>0</v>
      </c>
      <c r="O986">
        <f t="shared" si="174"/>
        <v>0.5</v>
      </c>
      <c r="P986">
        <f>IFERROR(LN('Дивиденды по годам'!I986),"")</f>
        <v>22.902579636310467</v>
      </c>
      <c r="Q986">
        <f>IFERROR('Дивиденды по годам'!G986/'Дивиденды по годам'!I986, "")</f>
        <v>0.50645740533229988</v>
      </c>
      <c r="R986">
        <f>IFERROR(IF(AND('Дивиденды по годам'!N986&lt;&gt;"",'Дивиденды по годам'!U986&lt;&gt;"",'Дивиденды по годам'!U986&lt;&gt;0),'Дивиденды по годам'!N986/'Дивиденды по годам'!U986-1,""),"")</f>
        <v>0.34354230764671922</v>
      </c>
      <c r="S986">
        <f>IFERROR(IF(AND('Дивиденды по годам'!L986&lt;&gt;"",'Дивиденды по годам'!I986&lt;&gt;"",'Дивиденды по годам'!J986&lt;&gt;"",'Дивиденды по годам'!K986&lt;&gt;"",('Дивиденды по годам'!I986-'Дивиденды по годам'!J986-'Дивиденды по годам'!K986)&lt;&gt;0),'Дивиденды по годам'!L986/('Дивиденды по годам'!I986-'Дивиденды по годам'!J986-'Дивиденды по годам'!K986),""),"")</f>
        <v>0.98492336446930562</v>
      </c>
      <c r="T986">
        <f>IFERROR(IF(AND('Дивиденды по годам'!Q986&lt;&gt;"",'Дивиденды по годам'!I986&lt;&gt;"",'Дивиденды по годам'!V986&lt;&gt;"",('Дивиденды по годам'!I986+'Дивиденды по годам'!V986)&lt;&gt;0),'Дивиденды по годам'!Q986/(('Дивиденды по годам'!I986+'Дивиденды по годам'!V986)/2),""),"")</f>
        <v>0.34178842813690252</v>
      </c>
      <c r="U986">
        <f>IFERROR(IF(AND('Дивиденды по годам'!J986&lt;&gt;"",'Дивиденды по годам'!K986&lt;&gt;"",'Дивиденды по годам'!M986&lt;&gt;"",'Дивиденды по годам'!M986&lt;&gt;0),('Дивиденды по годам'!J986+'Дивиденды по годам'!K986)/'Дивиденды по годам'!M986,""),"")</f>
        <v>0.97170061290581589</v>
      </c>
      <c r="V986">
        <f>IFERROR(IF(AND('Дивиденды по годам'!J986&lt;&gt;"",'Дивиденды по годам'!K986&lt;&gt;"",'Дивиденды по годам'!M986&lt;&gt;"",'Дивиденды по годам'!I986&lt;&gt;0),('Дивиденды по годам'!J986+'Дивиденды по годам'!K986)/'Дивиденды по годам'!I986,""),"")</f>
        <v>0.49282360950010623</v>
      </c>
      <c r="W986">
        <f>IFERROR('Дивиденды по годам'!I986,"")</f>
        <v>8840238000</v>
      </c>
      <c r="X986" cm="1">
        <f t="array" ref="X986">IFERROR(AVERAGE(_xlfn._xlws.FILTER(P$2:P$1073,($C$2:$C$1073=$C986)*($E$2:$E$1073=$E986)*(ROW(P$2:P$1073)&lt;&gt;ROW(P986))*(P$2:P$1073&lt;&gt;""))),"")</f>
        <v>25.931649217743434</v>
      </c>
      <c r="Y986" cm="1">
        <f t="array" ref="Y986">IFERROR(AVERAGE(_xlfn._xlws.FILTER(Q$2:Q$1073,($C$2:$C$1073=$C986)*($E$2:$E$1073=$E986)*(ROW(Q$2:Q$1073)&lt;&gt;ROW(Q986))*(Q$2:Q$1073&lt;&gt;""))),"")</f>
        <v>0.52282918549929669</v>
      </c>
      <c r="Z986" cm="1">
        <f t="array" ref="Z986">IFERROR(AVERAGE(_xlfn._xlws.FILTER(R$2:R$1073,($C$2:$C$1073=$C986)*($E$2:$E$1073=$E986)*(ROW(R$2:R$1073)&lt;&gt;ROW(R986))*(R$2:R$1073&lt;&gt;""))),"")</f>
        <v>1.4976131358497485E-2</v>
      </c>
      <c r="AA986" cm="1">
        <f t="array" ref="AA986">IFERROR(AVERAGE(_xlfn._xlws.FILTER(S$2:S$1073,($C$2:$C$1073=$C986)*($E$2:$E$1073=$E986)*(ROW(S$2:S$1073)&lt;&gt;ROW(S986))*(S$2:S$1073&lt;&gt;""))),"")</f>
        <v>0.32449683313137495</v>
      </c>
      <c r="AB986" cm="1">
        <f t="array" ref="AB986">IFERROR(AVERAGE(_xlfn._xlws.FILTER(T$2:T$1073,($C$2:$C$1073=$C986)*($E$2:$E$1073=$E986)*(ROW(T$2:T$1073)&lt;&gt;ROW(T986))*(T$2:T$1073&lt;&gt;""))),"")</f>
        <v>0.12123129389994387</v>
      </c>
      <c r="AC986" cm="1">
        <f t="array" ref="AC986">IFERROR(AVERAGE(_xlfn._xlws.FILTER(U$2:U$1073,($C$2:$C$1073=$C986)*($E$2:$E$1073=$E986)*(ROW(U$2:U$1073)&lt;&gt;ROW(U986))*(U$2:U$1073&lt;&gt;""))),"")</f>
        <v>6.3795212829798684</v>
      </c>
      <c r="AD986" cm="1">
        <f t="array" ref="AD986">IFERROR(AVERAGE(_xlfn._xlws.FILTER(V$2:V$1073,($C$2:$C$1073=$C986)*($E$2:$E$1073=$E986)*(ROW(V$2:V$1073)&lt;&gt;ROW(V986))*(V$2:V$1073&lt;&gt;""))),"")</f>
        <v>0.7278238610004184</v>
      </c>
      <c r="AE986">
        <f>IF('Дивиденды по годам'!M986&lt;0,1,0)</f>
        <v>0</v>
      </c>
    </row>
    <row r="987" spans="1:31" x14ac:dyDescent="0.2">
      <c r="A987" s="7" t="s">
        <v>2300</v>
      </c>
      <c r="B987" t="str">
        <f t="shared" si="165"/>
        <v>NKHP IV кв. 2016</v>
      </c>
      <c r="C987">
        <v>2016</v>
      </c>
      <c r="D987">
        <f>SUMIFS(Дивиденды!$C:$C,Дивиденды!$A:$A,A987,Дивиденды!$I:$I,C987)</f>
        <v>11.82</v>
      </c>
      <c r="E987">
        <v>7</v>
      </c>
      <c r="F987">
        <f t="shared" si="166"/>
        <v>11.82</v>
      </c>
      <c r="G987">
        <f t="shared" si="167"/>
        <v>4.6954750000000001</v>
      </c>
      <c r="H987">
        <f t="shared" si="168"/>
        <v>1</v>
      </c>
      <c r="I987">
        <f t="shared" si="169"/>
        <v>0.5</v>
      </c>
      <c r="J987">
        <f t="shared" si="170"/>
        <v>-0.32068965517241371</v>
      </c>
      <c r="K987">
        <f t="shared" si="175"/>
        <v>0.5</v>
      </c>
      <c r="L987">
        <f t="shared" si="171"/>
        <v>0</v>
      </c>
      <c r="M987">
        <f t="shared" si="172"/>
        <v>0.5</v>
      </c>
      <c r="N987">
        <f t="shared" si="173"/>
        <v>1</v>
      </c>
      <c r="O987">
        <f t="shared" si="174"/>
        <v>0</v>
      </c>
      <c r="P987">
        <f>IFERROR(LN('Дивиденды по годам'!I987),"")</f>
        <v>22.367238500543078</v>
      </c>
      <c r="Q987">
        <f>IFERROR('Дивиденды по годам'!G987/'Дивиденды по годам'!I987, "")</f>
        <v>0.68598022679101722</v>
      </c>
      <c r="R987" t="str">
        <f>IFERROR(IF(AND('Дивиденды по годам'!N987&lt;&gt;"",'Дивиденды по годам'!U987&lt;&gt;"",'Дивиденды по годам'!U987&lt;&gt;0),'Дивиденды по годам'!N987/'Дивиденды по годам'!U987-1,""),"")</f>
        <v/>
      </c>
      <c r="S987">
        <f>IFERROR(IF(AND('Дивиденды по годам'!L987&lt;&gt;"",'Дивиденды по годам'!I987&lt;&gt;"",'Дивиденды по годам'!J987&lt;&gt;"",'Дивиденды по годам'!K987&lt;&gt;"",('Дивиденды по годам'!I987-'Дивиденды по годам'!J987-'Дивиденды по годам'!K987)&lt;&gt;0),'Дивиденды по годам'!L987/('Дивиденды по годам'!I987-'Дивиденды по годам'!J987-'Дивиденды по годам'!K987),""),"")</f>
        <v>0.9789225187335987</v>
      </c>
      <c r="T987" t="str">
        <f>IFERROR(IF(AND('Дивиденды по годам'!Q987&lt;&gt;"",'Дивиденды по годам'!I987&lt;&gt;"",'Дивиденды по годам'!V987&lt;&gt;"",('Дивиденды по годам'!I987+'Дивиденды по годам'!V987)&lt;&gt;0),'Дивиденды по годам'!Q987/(('Дивиденды по годам'!I987+'Дивиденды по годам'!V987)/2),""),"")</f>
        <v/>
      </c>
      <c r="U987">
        <f>IFERROR(IF(AND('Дивиденды по годам'!J987&lt;&gt;"",'Дивиденды по годам'!K987&lt;&gt;"",'Дивиденды по годам'!M987&lt;&gt;"",'Дивиденды по годам'!M987&lt;&gt;0),('Дивиденды по годам'!J987+'Дивиденды по годам'!K987)/'Дивиденды по годам'!M987,""),"")</f>
        <v>0.61383654623282546</v>
      </c>
      <c r="V987">
        <f>IFERROR(IF(AND('Дивиденды по годам'!J987&lt;&gt;"",'Дивиденды по годам'!K987&lt;&gt;"",'Дивиденды по годам'!M987&lt;&gt;"",'Дивиденды по годам'!I987&lt;&gt;0),('Дивиденды по годам'!J987+'Дивиденды по годам'!K987)/'Дивиденды по годам'!I987,""),"")</f>
        <v>0.38035856088753384</v>
      </c>
      <c r="W987">
        <f>IFERROR('Дивиденды по годам'!I987,"")</f>
        <v>5175690000</v>
      </c>
      <c r="X987" cm="1">
        <f t="array" ref="X987">IFERROR(AVERAGE(_xlfn._xlws.FILTER(P$2:P$1073,($C$2:$C$1073=$C987)*($E$2:$E$1073=$E987)*(ROW(P$2:P$1073)&lt;&gt;ROW(P987))*(P$2:P$1073&lt;&gt;""))),"")</f>
        <v>25.909243175968101</v>
      </c>
      <c r="Y987" cm="1">
        <f t="array" ref="Y987">IFERROR(AVERAGE(_xlfn._xlws.FILTER(Q$2:Q$1073,($C$2:$C$1073=$C987)*($E$2:$E$1073=$E987)*(ROW(Q$2:Q$1073)&lt;&gt;ROW(Q987))*(Q$2:Q$1073&lt;&gt;""))),"")</f>
        <v>0.5287555040684222</v>
      </c>
      <c r="Z987" cm="1">
        <f t="array" ref="Z987">IFERROR(AVERAGE(_xlfn._xlws.FILTER(R$2:R$1073,($C$2:$C$1073=$C987)*($E$2:$E$1073=$E987)*(ROW(R$2:R$1073)&lt;&gt;ROW(R987))*(R$2:R$1073&lt;&gt;""))),"")</f>
        <v>9.945660940703209E-2</v>
      </c>
      <c r="AA987" cm="1">
        <f t="array" ref="AA987">IFERROR(AVERAGE(_xlfn._xlws.FILTER(S$2:S$1073,($C$2:$C$1073=$C987)*($E$2:$E$1073=$E987)*(ROW(S$2:S$1073)&lt;&gt;ROW(S987))*(S$2:S$1073&lt;&gt;""))),"")</f>
        <v>1.4638699824415562</v>
      </c>
      <c r="AB987" cm="1">
        <f t="array" ref="AB987">IFERROR(AVERAGE(_xlfn._xlws.FILTER(T$2:T$1073,($C$2:$C$1073=$C987)*($E$2:$E$1073=$E987)*(ROW(T$2:T$1073)&lt;&gt;ROW(T987))*(T$2:T$1073&lt;&gt;""))),"")</f>
        <v>5.9474833999789568E-2</v>
      </c>
      <c r="AC987" cm="1">
        <f t="array" ref="AC987">IFERROR(AVERAGE(_xlfn._xlws.FILTER(U$2:U$1073,($C$2:$C$1073=$C987)*($E$2:$E$1073=$E987)*(ROW(U$2:U$1073)&lt;&gt;ROW(U987))*(U$2:U$1073&lt;&gt;""))),"")</f>
        <v>1.1408422410179027</v>
      </c>
      <c r="AD987" cm="1">
        <f t="array" ref="AD987">IFERROR(AVERAGE(_xlfn._xlws.FILTER(V$2:V$1073,($C$2:$C$1073=$C987)*($E$2:$E$1073=$E987)*(ROW(V$2:V$1073)&lt;&gt;ROW(V987))*(V$2:V$1073&lt;&gt;""))),"")</f>
        <v>0.82842986318409706</v>
      </c>
      <c r="AE987">
        <f>IF('Дивиденды по годам'!M987&lt;0,1,0)</f>
        <v>0</v>
      </c>
    </row>
    <row r="988" spans="1:31" x14ac:dyDescent="0.2">
      <c r="A988" s="7" t="s">
        <v>2300</v>
      </c>
      <c r="B988" t="str">
        <f t="shared" si="165"/>
        <v>NKHP IV кв. 2015</v>
      </c>
      <c r="C988">
        <v>2015</v>
      </c>
      <c r="D988">
        <f>SUMIFS(Дивиденды!$C:$C,Дивиденды!$A:$A,A988,Дивиденды!$I:$I,C988)</f>
        <v>17.399999999999999</v>
      </c>
      <c r="E988">
        <v>7</v>
      </c>
      <c r="F988">
        <f t="shared" si="166"/>
        <v>17.399999999999999</v>
      </c>
      <c r="G988">
        <f t="shared" si="167"/>
        <v>0</v>
      </c>
      <c r="H988">
        <f t="shared" si="168"/>
        <v>1</v>
      </c>
      <c r="I988">
        <f t="shared" si="169"/>
        <v>0</v>
      </c>
      <c r="J988">
        <f t="shared" si="170"/>
        <v>1</v>
      </c>
      <c r="K988">
        <f t="shared" si="175"/>
        <v>-0.25</v>
      </c>
      <c r="L988">
        <f t="shared" si="171"/>
        <v>1</v>
      </c>
      <c r="M988">
        <f t="shared" si="172"/>
        <v>0</v>
      </c>
      <c r="N988">
        <f t="shared" si="173"/>
        <v>0</v>
      </c>
      <c r="O988">
        <f t="shared" si="174"/>
        <v>0.25</v>
      </c>
      <c r="P988" t="str">
        <f>IFERROR(LN('Дивиденды по годам'!I988),"")</f>
        <v/>
      </c>
      <c r="Q988" t="str">
        <f>IFERROR('Дивиденды по годам'!G988/'Дивиденды по годам'!I988, "")</f>
        <v/>
      </c>
      <c r="R988" t="str">
        <f>IFERROR(IF(AND('Дивиденды по годам'!N988&lt;&gt;"",'Дивиденды по годам'!U988&lt;&gt;"",'Дивиденды по годам'!U988&lt;&gt;0),'Дивиденды по годам'!N988/'Дивиденды по годам'!U988-1,""),"")</f>
        <v/>
      </c>
      <c r="S988" t="str">
        <f>IFERROR(IF(AND('Дивиденды по годам'!L988&lt;&gt;"",'Дивиденды по годам'!I988&lt;&gt;"",'Дивиденды по годам'!J988&lt;&gt;"",'Дивиденды по годам'!K988&lt;&gt;"",('Дивиденды по годам'!I988-'Дивиденды по годам'!J988-'Дивиденды по годам'!K988)&lt;&gt;0),'Дивиденды по годам'!L988/('Дивиденды по годам'!I988-'Дивиденды по годам'!J988-'Дивиденды по годам'!K988),""),"")</f>
        <v/>
      </c>
      <c r="T988" t="str">
        <f>IFERROR(IF(AND('Дивиденды по годам'!Q988&lt;&gt;"",'Дивиденды по годам'!I988&lt;&gt;"",'Дивиденды по годам'!V988&lt;&gt;"",('Дивиденды по годам'!I988+'Дивиденды по годам'!V988)&lt;&gt;0),'Дивиденды по годам'!Q988/(('Дивиденды по годам'!I988+'Дивиденды по годам'!V988)/2),""),"")</f>
        <v/>
      </c>
      <c r="U988" t="str">
        <f>IFERROR(IF(AND('Дивиденды по годам'!J988&lt;&gt;"",'Дивиденды по годам'!K988&lt;&gt;"",'Дивиденды по годам'!M988&lt;&gt;"",'Дивиденды по годам'!M988&lt;&gt;0),('Дивиденды по годам'!J988+'Дивиденды по годам'!K988)/'Дивиденды по годам'!M988,""),"")</f>
        <v/>
      </c>
      <c r="V988" t="str">
        <f>IFERROR(IF(AND('Дивиденды по годам'!J988&lt;&gt;"",'Дивиденды по годам'!K988&lt;&gt;"",'Дивиденды по годам'!M988&lt;&gt;"",'Дивиденды по годам'!I988&lt;&gt;0),('Дивиденды по годам'!J988+'Дивиденды по годам'!K988)/'Дивиденды по годам'!I988,""),"")</f>
        <v/>
      </c>
      <c r="W988" t="str">
        <f>IFERROR('Дивиденды по годам'!I988,"")</f>
        <v/>
      </c>
      <c r="X988" cm="1">
        <f t="array" ref="X988">IFERROR(AVERAGE(_xlfn._xlws.FILTER(P$2:P$1073,($C$2:$C$1073=$C988)*($E$2:$E$1073=$E988)*(ROW(P$2:P$1073)&lt;&gt;ROW(P988))*(P$2:P$1073&lt;&gt;""))),"")</f>
        <v>25.946113093409206</v>
      </c>
      <c r="Y988" cm="1">
        <f t="array" ref="Y988">IFERROR(AVERAGE(_xlfn._xlws.FILTER(Q$2:Q$1073,($C$2:$C$1073=$C988)*($E$2:$E$1073=$E988)*(ROW(Q$2:Q$1073)&lt;&gt;ROW(Q988))*(Q$2:Q$1073&lt;&gt;""))),"")</f>
        <v>0.53588363996896138</v>
      </c>
      <c r="Z988" cm="1">
        <f t="array" ref="Z988">IFERROR(AVERAGE(_xlfn._xlws.FILTER(R$2:R$1073,($C$2:$C$1073=$C988)*($E$2:$E$1073=$E988)*(ROW(R$2:R$1073)&lt;&gt;ROW(R988))*(R$2:R$1073&lt;&gt;""))),"")</f>
        <v>0.23188574425603645</v>
      </c>
      <c r="AA988" cm="1">
        <f t="array" ref="AA988">IFERROR(AVERAGE(_xlfn._xlws.FILTER(S$2:S$1073,($C$2:$C$1073=$C988)*($E$2:$E$1073=$E988)*(ROW(S$2:S$1073)&lt;&gt;ROW(S988))*(S$2:S$1073&lt;&gt;""))),"")</f>
        <v>0.87227414330218056</v>
      </c>
      <c r="AB988" cm="1">
        <f t="array" ref="AB988">IFERROR(AVERAGE(_xlfn._xlws.FILTER(T$2:T$1073,($C$2:$C$1073=$C988)*($E$2:$E$1073=$E988)*(ROW(T$2:T$1073)&lt;&gt;ROW(T988))*(T$2:T$1073&lt;&gt;""))),"")</f>
        <v>-4.1087370784105119E-2</v>
      </c>
      <c r="AC988" cm="1">
        <f t="array" ref="AC988">IFERROR(AVERAGE(_xlfn._xlws.FILTER(U$2:U$1073,($C$2:$C$1073=$C988)*($E$2:$E$1073=$E988)*(ROW(U$2:U$1073)&lt;&gt;ROW(U988))*(U$2:U$1073&lt;&gt;""))),"")</f>
        <v>-4.1029699850533428</v>
      </c>
      <c r="AD988" cm="1">
        <f t="array" ref="AD988">IFERROR(AVERAGE(_xlfn._xlws.FILTER(V$2:V$1073,($C$2:$C$1073=$C988)*($E$2:$E$1073=$E988)*(ROW(V$2:V$1073)&lt;&gt;ROW(V988))*(V$2:V$1073&lt;&gt;""))),"")</f>
        <v>0.99797391654671508</v>
      </c>
      <c r="AE988">
        <f>IF('Дивиденды по годам'!M988&lt;0,1,0)</f>
        <v>0</v>
      </c>
    </row>
    <row r="989" spans="1:31" x14ac:dyDescent="0.2">
      <c r="A989" s="7" t="s">
        <v>2300</v>
      </c>
      <c r="B989" t="str">
        <f t="shared" si="165"/>
        <v>NKHP IV кв. 2014</v>
      </c>
      <c r="C989">
        <v>2014</v>
      </c>
      <c r="D989">
        <f>SUMIFS(Дивиденды!$C:$C,Дивиденды!$A:$A,A989,Дивиденды!$I:$I,C989)</f>
        <v>0</v>
      </c>
      <c r="E989">
        <v>7</v>
      </c>
      <c r="F989">
        <f t="shared" si="166"/>
        <v>0</v>
      </c>
      <c r="G989">
        <f t="shared" si="167"/>
        <v>5.7500000000000002E-2</v>
      </c>
      <c r="H989">
        <f t="shared" si="168"/>
        <v>0</v>
      </c>
      <c r="I989">
        <f t="shared" si="169"/>
        <v>0.25</v>
      </c>
      <c r="J989">
        <f t="shared" si="170"/>
        <v>0</v>
      </c>
      <c r="K989">
        <f t="shared" si="175"/>
        <v>1.9572649572649574</v>
      </c>
      <c r="L989">
        <f t="shared" si="171"/>
        <v>0</v>
      </c>
      <c r="M989">
        <f t="shared" si="172"/>
        <v>0.25</v>
      </c>
      <c r="N989">
        <f t="shared" si="173"/>
        <v>0</v>
      </c>
      <c r="O989">
        <f t="shared" si="174"/>
        <v>0.25</v>
      </c>
      <c r="P989" t="str">
        <f>IFERROR(LN('Дивиденды по годам'!I989),"")</f>
        <v/>
      </c>
      <c r="Q989" t="str">
        <f>IFERROR('Дивиденды по годам'!G989/'Дивиденды по годам'!I989, "")</f>
        <v/>
      </c>
      <c r="R989" t="str">
        <f>IFERROR(IF(AND('Дивиденды по годам'!N989&lt;&gt;"",'Дивиденды по годам'!U989&lt;&gt;"",'Дивиденды по годам'!U989&lt;&gt;0),'Дивиденды по годам'!N989/'Дивиденды по годам'!U989-1,""),"")</f>
        <v/>
      </c>
      <c r="S989" t="str">
        <f>IFERROR(IF(AND('Дивиденды по годам'!L989&lt;&gt;"",'Дивиденды по годам'!I989&lt;&gt;"",'Дивиденды по годам'!J989&lt;&gt;"",'Дивиденды по годам'!K989&lt;&gt;"",('Дивиденды по годам'!I989-'Дивиденды по годам'!J989-'Дивиденды по годам'!K989)&lt;&gt;0),'Дивиденды по годам'!L989/('Дивиденды по годам'!I989-'Дивиденды по годам'!J989-'Дивиденды по годам'!K989),""),"")</f>
        <v/>
      </c>
      <c r="T989" t="str">
        <f>IFERROR(IF(AND('Дивиденды по годам'!Q989&lt;&gt;"",'Дивиденды по годам'!I989&lt;&gt;"",'Дивиденды по годам'!V989&lt;&gt;"",('Дивиденды по годам'!I989+'Дивиденды по годам'!V989)&lt;&gt;0),'Дивиденды по годам'!Q989/(('Дивиденды по годам'!I989+'Дивиденды по годам'!V989)/2),""),"")</f>
        <v/>
      </c>
      <c r="U989" t="str">
        <f>IFERROR(IF(AND('Дивиденды по годам'!J989&lt;&gt;"",'Дивиденды по годам'!K989&lt;&gt;"",'Дивиденды по годам'!M989&lt;&gt;"",'Дивиденды по годам'!M989&lt;&gt;0),('Дивиденды по годам'!J989+'Дивиденды по годам'!K989)/'Дивиденды по годам'!M989,""),"")</f>
        <v/>
      </c>
      <c r="V989" t="str">
        <f>IFERROR(IF(AND('Дивиденды по годам'!J989&lt;&gt;"",'Дивиденды по годам'!K989&lt;&gt;"",'Дивиденды по годам'!M989&lt;&gt;"",'Дивиденды по годам'!I989&lt;&gt;0),('Дивиденды по годам'!J989+'Дивиденды по годам'!K989)/'Дивиденды по годам'!I989,""),"")</f>
        <v/>
      </c>
      <c r="W989" t="str">
        <f>IFERROR('Дивиденды по годам'!I989,"")</f>
        <v/>
      </c>
      <c r="X989" cm="1">
        <f t="array" ref="X989">IFERROR(AVERAGE(_xlfn._xlws.FILTER(P$2:P$1073,($C$2:$C$1073=$C989)*($E$2:$E$1073=$E989)*(ROW(P$2:P$1073)&lt;&gt;ROW(P989))*(P$2:P$1073&lt;&gt;""))),"")</f>
        <v>25.705046128923968</v>
      </c>
      <c r="Y989" cm="1">
        <f t="array" ref="Y989">IFERROR(AVERAGE(_xlfn._xlws.FILTER(Q$2:Q$1073,($C$2:$C$1073=$C989)*($E$2:$E$1073=$E989)*(ROW(Q$2:Q$1073)&lt;&gt;ROW(Q989))*(Q$2:Q$1073&lt;&gt;""))),"")</f>
        <v>0.48790239705606331</v>
      </c>
      <c r="Z989" cm="1">
        <f t="array" ref="Z989">IFERROR(AVERAGE(_xlfn._xlws.FILTER(R$2:R$1073,($C$2:$C$1073=$C989)*($E$2:$E$1073=$E989)*(ROW(R$2:R$1073)&lt;&gt;ROW(R989))*(R$2:R$1073&lt;&gt;""))),"")</f>
        <v>0.21667993052031731</v>
      </c>
      <c r="AA989" cm="1">
        <f t="array" ref="AA989">IFERROR(AVERAGE(_xlfn._xlws.FILTER(S$2:S$1073,($C$2:$C$1073=$C989)*($E$2:$E$1073=$E989)*(ROW(S$2:S$1073)&lt;&gt;ROW(S989))*(S$2:S$1073&lt;&gt;""))),"")</f>
        <v>164.14893617021278</v>
      </c>
      <c r="AB989" cm="1">
        <f t="array" ref="AB989">IFERROR(AVERAGE(_xlfn._xlws.FILTER(T$2:T$1073,($C$2:$C$1073=$C989)*($E$2:$E$1073=$E989)*(ROW(T$2:T$1073)&lt;&gt;ROW(T989))*(T$2:T$1073&lt;&gt;""))),"")</f>
        <v>-7.435002008945274E-2</v>
      </c>
      <c r="AC989" cm="1">
        <f t="array" ref="AC989">IFERROR(AVERAGE(_xlfn._xlws.FILTER(U$2:U$1073,($C$2:$C$1073=$C989)*($E$2:$E$1073=$E989)*(ROW(U$2:U$1073)&lt;&gt;ROW(U989))*(U$2:U$1073&lt;&gt;""))),"")</f>
        <v>-388.52357883152689</v>
      </c>
      <c r="AD989" cm="1">
        <f t="array" ref="AD989">IFERROR(AVERAGE(_xlfn._xlws.FILTER(V$2:V$1073,($C$2:$C$1073=$C989)*($E$2:$E$1073=$E989)*(ROW(V$2:V$1073)&lt;&gt;ROW(V989))*(V$2:V$1073&lt;&gt;""))),"")</f>
        <v>0.85807112121005658</v>
      </c>
      <c r="AE989">
        <f>IF('Дивиденды по годам'!M989&lt;0,1,0)</f>
        <v>0</v>
      </c>
    </row>
    <row r="990" spans="1:31" x14ac:dyDescent="0.2">
      <c r="A990" s="7" t="s">
        <v>2300</v>
      </c>
      <c r="B990" t="str">
        <f t="shared" si="165"/>
        <v>NKHP IV кв. 2013</v>
      </c>
      <c r="C990">
        <v>2013</v>
      </c>
      <c r="D990">
        <f>SUMIFS(Дивиденды!$C:$C,Дивиденды!$A:$A,A990,Дивиденды!$I:$I,C990)</f>
        <v>0</v>
      </c>
      <c r="E990">
        <v>7</v>
      </c>
      <c r="F990">
        <f t="shared" si="166"/>
        <v>0</v>
      </c>
      <c r="G990">
        <f t="shared" si="167"/>
        <v>0.63085000000000002</v>
      </c>
      <c r="H990">
        <f t="shared" si="168"/>
        <v>0</v>
      </c>
      <c r="I990">
        <f t="shared" si="169"/>
        <v>0.5</v>
      </c>
      <c r="J990">
        <f t="shared" si="170"/>
        <v>0</v>
      </c>
      <c r="K990">
        <f t="shared" si="175"/>
        <v>0.28667445938047931</v>
      </c>
      <c r="L990">
        <f t="shared" si="171"/>
        <v>0</v>
      </c>
      <c r="M990">
        <f t="shared" si="172"/>
        <v>0.25</v>
      </c>
      <c r="N990">
        <f t="shared" si="173"/>
        <v>0</v>
      </c>
      <c r="O990">
        <f t="shared" si="174"/>
        <v>0.25</v>
      </c>
      <c r="P990" t="str">
        <f>IFERROR(LN('Дивиденды по годам'!I990),"")</f>
        <v/>
      </c>
      <c r="Q990" t="str">
        <f>IFERROR('Дивиденды по годам'!G990/'Дивиденды по годам'!I990, "")</f>
        <v/>
      </c>
      <c r="R990" t="str">
        <f>IFERROR(IF(AND('Дивиденды по годам'!N990&lt;&gt;"",'Дивиденды по годам'!U990&lt;&gt;"",'Дивиденды по годам'!U990&lt;&gt;0),'Дивиденды по годам'!N990/'Дивиденды по годам'!U990-1,""),"")</f>
        <v/>
      </c>
      <c r="S990" t="str">
        <f>IFERROR(IF(AND('Дивиденды по годам'!L990&lt;&gt;"",'Дивиденды по годам'!I990&lt;&gt;"",'Дивиденды по годам'!J990&lt;&gt;"",'Дивиденды по годам'!K990&lt;&gt;"",('Дивиденды по годам'!I990-'Дивиденды по годам'!J990-'Дивиденды по годам'!K990)&lt;&gt;0),'Дивиденды по годам'!L990/('Дивиденды по годам'!I990-'Дивиденды по годам'!J990-'Дивиденды по годам'!K990),""),"")</f>
        <v/>
      </c>
      <c r="T990" t="str">
        <f>IFERROR(IF(AND('Дивиденды по годам'!Q990&lt;&gt;"",'Дивиденды по годам'!I990&lt;&gt;"",'Дивиденды по годам'!V990&lt;&gt;"",('Дивиденды по годам'!I990+'Дивиденды по годам'!V990)&lt;&gt;0),'Дивиденды по годам'!Q990/(('Дивиденды по годам'!I990+'Дивиденды по годам'!V990)/2),""),"")</f>
        <v/>
      </c>
      <c r="U990" t="str">
        <f>IFERROR(IF(AND('Дивиденды по годам'!J990&lt;&gt;"",'Дивиденды по годам'!K990&lt;&gt;"",'Дивиденды по годам'!M990&lt;&gt;"",'Дивиденды по годам'!M990&lt;&gt;0),('Дивиденды по годам'!J990+'Дивиденды по годам'!K990)/'Дивиденды по годам'!M990,""),"")</f>
        <v/>
      </c>
      <c r="V990" t="str">
        <f>IFERROR(IF(AND('Дивиденды по годам'!J990&lt;&gt;"",'Дивиденды по годам'!K990&lt;&gt;"",'Дивиденды по годам'!M990&lt;&gt;"",'Дивиденды по годам'!I990&lt;&gt;0),('Дивиденды по годам'!J990+'Дивиденды по годам'!K990)/'Дивиденды по годам'!I990,""),"")</f>
        <v/>
      </c>
      <c r="W990" t="str">
        <f>IFERROR('Дивиденды по годам'!I990,"")</f>
        <v/>
      </c>
      <c r="X990" cm="1">
        <f t="array" ref="X990">IFERROR(AVERAGE(_xlfn._xlws.FILTER(P$2:P$1073,($C$2:$C$1073=$C990)*($E$2:$E$1073=$E990)*(ROW(P$2:P$1073)&lt;&gt;ROW(P990))*(P$2:P$1073&lt;&gt;""))),"")</f>
        <v>25.642567220223071</v>
      </c>
      <c r="Y990" cm="1">
        <f t="array" ref="Y990">IFERROR(AVERAGE(_xlfn._xlws.FILTER(Q$2:Q$1073,($C$2:$C$1073=$C990)*($E$2:$E$1073=$E990)*(ROW(Q$2:Q$1073)&lt;&gt;ROW(Q990))*(Q$2:Q$1073&lt;&gt;""))),"")</f>
        <v>0.55924455186888244</v>
      </c>
      <c r="Z990" cm="1">
        <f t="array" ref="Z990">IFERROR(AVERAGE(_xlfn._xlws.FILTER(R$2:R$1073,($C$2:$C$1073=$C990)*($E$2:$E$1073=$E990)*(ROW(R$2:R$1073)&lt;&gt;ROW(R990))*(R$2:R$1073&lt;&gt;""))),"")</f>
        <v>1.5495791150054691E-2</v>
      </c>
      <c r="AA990" t="str" cm="1">
        <f t="array" ref="AA990">IFERROR(AVERAGE(_xlfn._xlws.FILTER(S$2:S$1073,($C$2:$C$1073=$C990)*($E$2:$E$1073=$E990)*(ROW(S$2:S$1073)&lt;&gt;ROW(S990))*(S$2:S$1073&lt;&gt;""))),"")</f>
        <v/>
      </c>
      <c r="AB990" cm="1">
        <f t="array" ref="AB990">IFERROR(AVERAGE(_xlfn._xlws.FILTER(T$2:T$1073,($C$2:$C$1073=$C990)*($E$2:$E$1073=$E990)*(ROW(T$2:T$1073)&lt;&gt;ROW(T990))*(T$2:T$1073&lt;&gt;""))),"")</f>
        <v>5.3313915480385282E-3</v>
      </c>
      <c r="AC990" cm="1">
        <f t="array" ref="AC990">IFERROR(AVERAGE(_xlfn._xlws.FILTER(U$2:U$1073,($C$2:$C$1073=$C990)*($E$2:$E$1073=$E990)*(ROW(U$2:U$1073)&lt;&gt;ROW(U990))*(U$2:U$1073&lt;&gt;""))),"")</f>
        <v>2.1099058249129596</v>
      </c>
      <c r="AD990" cm="1">
        <f t="array" ref="AD990">IFERROR(AVERAGE(_xlfn._xlws.FILTER(V$2:V$1073,($C$2:$C$1073=$C990)*($E$2:$E$1073=$E990)*(ROW(V$2:V$1073)&lt;&gt;ROW(V990))*(V$2:V$1073&lt;&gt;""))),"")</f>
        <v>0.66061130877719143</v>
      </c>
      <c r="AE990">
        <f>IF('Дивиденды по годам'!M990&lt;0,1,0)</f>
        <v>0</v>
      </c>
    </row>
    <row r="991" spans="1:31" x14ac:dyDescent="0.2">
      <c r="A991" s="7" t="s">
        <v>2300</v>
      </c>
      <c r="B991" t="str">
        <f t="shared" si="165"/>
        <v>NKHP IV кв. 2012</v>
      </c>
      <c r="C991">
        <v>2012</v>
      </c>
      <c r="D991">
        <f>SUMIFS(Дивиденды!$C:$C,Дивиденды!$A:$A,A991,Дивиденды!$I:$I,C991)</f>
        <v>0</v>
      </c>
      <c r="E991">
        <v>7</v>
      </c>
      <c r="F991">
        <f t="shared" si="166"/>
        <v>0</v>
      </c>
      <c r="G991">
        <f t="shared" si="167"/>
        <v>0.2959</v>
      </c>
      <c r="H991">
        <f t="shared" si="168"/>
        <v>0</v>
      </c>
      <c r="I991">
        <f t="shared" si="169"/>
        <v>0.5</v>
      </c>
      <c r="J991">
        <f t="shared" si="170"/>
        <v>0</v>
      </c>
      <c r="K991">
        <f t="shared" si="175"/>
        <v>-8.8715175737627869E-2</v>
      </c>
      <c r="L991">
        <f t="shared" si="171"/>
        <v>0</v>
      </c>
      <c r="M991">
        <f t="shared" si="172"/>
        <v>0.25</v>
      </c>
      <c r="N991">
        <f t="shared" si="173"/>
        <v>0</v>
      </c>
      <c r="O991">
        <f t="shared" si="174"/>
        <v>0.25</v>
      </c>
      <c r="P991" t="str">
        <f>IFERROR(LN('Дивиденды по годам'!I991),"")</f>
        <v/>
      </c>
      <c r="Q991" t="str">
        <f>IFERROR('Дивиденды по годам'!G991/'Дивиденды по годам'!I991, "")</f>
        <v/>
      </c>
      <c r="R991" t="str">
        <f>IFERROR(IF(AND('Дивиденды по годам'!N991&lt;&gt;"",'Дивиденды по годам'!U991&lt;&gt;"",'Дивиденды по годам'!U991&lt;&gt;0),'Дивиденды по годам'!N991/'Дивиденды по годам'!U991-1,""),"")</f>
        <v/>
      </c>
      <c r="S991" t="str">
        <f>IFERROR(IF(AND('Дивиденды по годам'!L991&lt;&gt;"",'Дивиденды по годам'!I991&lt;&gt;"",'Дивиденды по годам'!J991&lt;&gt;"",'Дивиденды по годам'!K991&lt;&gt;"",('Дивиденды по годам'!I991-'Дивиденды по годам'!J991-'Дивиденды по годам'!K991)&lt;&gt;0),'Дивиденды по годам'!L991/('Дивиденды по годам'!I991-'Дивиденды по годам'!J991-'Дивиденды по годам'!K991),""),"")</f>
        <v/>
      </c>
      <c r="T991" t="str">
        <f>IFERROR(IF(AND('Дивиденды по годам'!Q991&lt;&gt;"",'Дивиденды по годам'!I991&lt;&gt;"",'Дивиденды по годам'!V991&lt;&gt;"",('Дивиденды по годам'!I991+'Дивиденды по годам'!V991)&lt;&gt;0),'Дивиденды по годам'!Q991/(('Дивиденды по годам'!I991+'Дивиденды по годам'!V991)/2),""),"")</f>
        <v/>
      </c>
      <c r="U991" t="str">
        <f>IFERROR(IF(AND('Дивиденды по годам'!J991&lt;&gt;"",'Дивиденды по годам'!K991&lt;&gt;"",'Дивиденды по годам'!M991&lt;&gt;"",'Дивиденды по годам'!M991&lt;&gt;0),('Дивиденды по годам'!J991+'Дивиденды по годам'!K991)/'Дивиденды по годам'!M991,""),"")</f>
        <v/>
      </c>
      <c r="V991" t="str">
        <f>IFERROR(IF(AND('Дивиденды по годам'!J991&lt;&gt;"",'Дивиденды по годам'!K991&lt;&gt;"",'Дивиденды по годам'!M991&lt;&gt;"",'Дивиденды по годам'!I991&lt;&gt;0),('Дивиденды по годам'!J991+'Дивиденды по годам'!K991)/'Дивиденды по годам'!I991,""),"")</f>
        <v/>
      </c>
      <c r="W991" t="str">
        <f>IFERROR('Дивиденды по годам'!I991,"")</f>
        <v/>
      </c>
      <c r="X991" cm="1">
        <f t="array" ref="X991">IFERROR(AVERAGE(_xlfn._xlws.FILTER(P$2:P$1073,($C$2:$C$1073=$C991)*($E$2:$E$1073=$E991)*(ROW(P$2:P$1073)&lt;&gt;ROW(P991))*(P$2:P$1073&lt;&gt;""))),"")</f>
        <v>25.544110610302017</v>
      </c>
      <c r="Y991" cm="1">
        <f t="array" ref="Y991">IFERROR(AVERAGE(_xlfn._xlws.FILTER(Q$2:Q$1073,($C$2:$C$1073=$C991)*($E$2:$E$1073=$E991)*(ROW(Q$2:Q$1073)&lt;&gt;ROW(Q991))*(Q$2:Q$1073&lt;&gt;""))),"")</f>
        <v>0.42679404714034713</v>
      </c>
      <c r="Z991" cm="1">
        <f t="array" ref="Z991">IFERROR(AVERAGE(_xlfn._xlws.FILTER(R$2:R$1073,($C$2:$C$1073=$C991)*($E$2:$E$1073=$E991)*(ROW(R$2:R$1073)&lt;&gt;ROW(R991))*(R$2:R$1073&lt;&gt;""))),"")</f>
        <v>0.29023121275602826</v>
      </c>
      <c r="AA991" t="str" cm="1">
        <f t="array" ref="AA991">IFERROR(AVERAGE(_xlfn._xlws.FILTER(S$2:S$1073,($C$2:$C$1073=$C991)*($E$2:$E$1073=$E991)*(ROW(S$2:S$1073)&lt;&gt;ROW(S991))*(S$2:S$1073&lt;&gt;""))),"")</f>
        <v/>
      </c>
      <c r="AB991" cm="1">
        <f t="array" ref="AB991">IFERROR(AVERAGE(_xlfn._xlws.FILTER(T$2:T$1073,($C$2:$C$1073=$C991)*($E$2:$E$1073=$E991)*(ROW(T$2:T$1073)&lt;&gt;ROW(T991))*(T$2:T$1073&lt;&gt;""))),"")</f>
        <v>3.5480018830902314E-2</v>
      </c>
      <c r="AC991" cm="1">
        <f t="array" ref="AC991">IFERROR(AVERAGE(_xlfn._xlws.FILTER(U$2:U$1073,($C$2:$C$1073=$C991)*($E$2:$E$1073=$E991)*(ROW(U$2:U$1073)&lt;&gt;ROW(U991))*(U$2:U$1073&lt;&gt;""))),"")</f>
        <v>1.8622851550208985</v>
      </c>
      <c r="AD991" cm="1">
        <f t="array" ref="AD991">IFERROR(AVERAGE(_xlfn._xlws.FILTER(V$2:V$1073,($C$2:$C$1073=$C991)*($E$2:$E$1073=$E991)*(ROW(V$2:V$1073)&lt;&gt;ROW(V991))*(V$2:V$1073&lt;&gt;""))),"")</f>
        <v>0.61141690094509304</v>
      </c>
      <c r="AE991">
        <f>IF('Дивиденды по годам'!M991&lt;0,1,0)</f>
        <v>0</v>
      </c>
    </row>
    <row r="992" spans="1:31" x14ac:dyDescent="0.2">
      <c r="A992" s="7" t="s">
        <v>2300</v>
      </c>
      <c r="B992" t="str">
        <f t="shared" si="165"/>
        <v>NKHP IV кв. 2011</v>
      </c>
      <c r="C992">
        <v>2011</v>
      </c>
      <c r="D992">
        <f>SUMIFS(Дивиденды!$C:$C,Дивиденды!$A:$A,A992,Дивиденды!$I:$I,C992)</f>
        <v>0</v>
      </c>
      <c r="E992">
        <v>7</v>
      </c>
      <c r="F992">
        <f t="shared" si="166"/>
        <v>0</v>
      </c>
      <c r="G992">
        <f t="shared" si="167"/>
        <v>0.45837500000000003</v>
      </c>
      <c r="H992">
        <f t="shared" si="168"/>
        <v>0</v>
      </c>
      <c r="I992">
        <f t="shared" si="169"/>
        <v>0.5</v>
      </c>
      <c r="J992">
        <f t="shared" si="170"/>
        <v>0</v>
      </c>
      <c r="K992">
        <f t="shared" si="175"/>
        <v>0.17057239728759471</v>
      </c>
      <c r="L992">
        <f t="shared" si="171"/>
        <v>0</v>
      </c>
      <c r="M992">
        <f t="shared" si="172"/>
        <v>0.5</v>
      </c>
      <c r="N992">
        <f t="shared" si="173"/>
        <v>0</v>
      </c>
      <c r="O992">
        <f t="shared" si="174"/>
        <v>0</v>
      </c>
      <c r="P992" t="str">
        <f>IFERROR(LN('Дивиденды по годам'!I992),"")</f>
        <v/>
      </c>
      <c r="Q992" t="str">
        <f>IFERROR('Дивиденды по годам'!G992/'Дивиденды по годам'!I992, "")</f>
        <v/>
      </c>
      <c r="R992" t="str">
        <f>IFERROR(IF(AND('Дивиденды по годам'!N992&lt;&gt;"",'Дивиденды по годам'!U992&lt;&gt;"",'Дивиденды по годам'!U992&lt;&gt;0),'Дивиденды по годам'!N992/'Дивиденды по годам'!U992-1,""),"")</f>
        <v/>
      </c>
      <c r="S992" t="str">
        <f>IFERROR(IF(AND('Дивиденды по годам'!L992&lt;&gt;"",'Дивиденды по годам'!I992&lt;&gt;"",'Дивиденды по годам'!J992&lt;&gt;"",'Дивиденды по годам'!K992&lt;&gt;"",('Дивиденды по годам'!I992-'Дивиденды по годам'!J992-'Дивиденды по годам'!K992)&lt;&gt;0),'Дивиденды по годам'!L992/('Дивиденды по годам'!I992-'Дивиденды по годам'!J992-'Дивиденды по годам'!K992),""),"")</f>
        <v/>
      </c>
      <c r="T992" t="str">
        <f>IFERROR(IF(AND('Дивиденды по годам'!Q992&lt;&gt;"",'Дивиденды по годам'!I992&lt;&gt;"",'Дивиденды по годам'!V992&lt;&gt;"",('Дивиденды по годам'!I992+'Дивиденды по годам'!V992)&lt;&gt;0),'Дивиденды по годам'!Q992/(('Дивиденды по годам'!I992+'Дивиденды по годам'!V992)/2),""),"")</f>
        <v/>
      </c>
      <c r="U992" t="str">
        <f>IFERROR(IF(AND('Дивиденды по годам'!J992&lt;&gt;"",'Дивиденды по годам'!K992&lt;&gt;"",'Дивиденды по годам'!M992&lt;&gt;"",'Дивиденды по годам'!M992&lt;&gt;0),('Дивиденды по годам'!J992+'Дивиденды по годам'!K992)/'Дивиденды по годам'!M992,""),"")</f>
        <v/>
      </c>
      <c r="V992" t="str">
        <f>IFERROR(IF(AND('Дивиденды по годам'!J992&lt;&gt;"",'Дивиденды по годам'!K992&lt;&gt;"",'Дивиденды по годам'!M992&lt;&gt;"",'Дивиденды по годам'!I992&lt;&gt;0),('Дивиденды по годам'!J992+'Дивиденды по годам'!K992)/'Дивиденды по годам'!I992,""),"")</f>
        <v/>
      </c>
      <c r="W992" t="str">
        <f>IFERROR('Дивиденды по годам'!I992,"")</f>
        <v/>
      </c>
      <c r="X992" cm="1">
        <f t="array" ref="X992">IFERROR(AVERAGE(_xlfn._xlws.FILTER(P$2:P$1073,($C$2:$C$1073=$C992)*($E$2:$E$1073=$E992)*(ROW(P$2:P$1073)&lt;&gt;ROW(P992))*(P$2:P$1073&lt;&gt;""))),"")</f>
        <v>25.392773149157808</v>
      </c>
      <c r="Y992" cm="1">
        <f t="array" ref="Y992">IFERROR(AVERAGE(_xlfn._xlws.FILTER(Q$2:Q$1073,($C$2:$C$1073=$C992)*($E$2:$E$1073=$E992)*(ROW(Q$2:Q$1073)&lt;&gt;ROW(Q992))*(Q$2:Q$1073&lt;&gt;""))),"")</f>
        <v>0.42084121403256064</v>
      </c>
      <c r="Z992" cm="1">
        <f t="array" ref="Z992">IFERROR(AVERAGE(_xlfn._xlws.FILTER(R$2:R$1073,($C$2:$C$1073=$C992)*($E$2:$E$1073=$E992)*(ROW(R$2:R$1073)&lt;&gt;ROW(R992))*(R$2:R$1073&lt;&gt;""))),"")</f>
        <v>0.20536191673520854</v>
      </c>
      <c r="AA992" t="str" cm="1">
        <f t="array" ref="AA992">IFERROR(AVERAGE(_xlfn._xlws.FILTER(S$2:S$1073,($C$2:$C$1073=$C992)*($E$2:$E$1073=$E992)*(ROW(S$2:S$1073)&lt;&gt;ROW(S992))*(S$2:S$1073&lt;&gt;""))),"")</f>
        <v/>
      </c>
      <c r="AB992" cm="1">
        <f t="array" ref="AB992">IFERROR(AVERAGE(_xlfn._xlws.FILTER(T$2:T$1073,($C$2:$C$1073=$C992)*($E$2:$E$1073=$E992)*(ROW(T$2:T$1073)&lt;&gt;ROW(T992))*(T$2:T$1073&lt;&gt;""))),"")</f>
        <v>9.8152461650754155E-2</v>
      </c>
      <c r="AC992" cm="1">
        <f t="array" ref="AC992">IFERROR(AVERAGE(_xlfn._xlws.FILTER(U$2:U$1073,($C$2:$C$1073=$C992)*($E$2:$E$1073=$E992)*(ROW(U$2:U$1073)&lt;&gt;ROW(U992))*(U$2:U$1073&lt;&gt;""))),"")</f>
        <v>2.1314918703687855</v>
      </c>
      <c r="AD992" cm="1">
        <f t="array" ref="AD992">IFERROR(AVERAGE(_xlfn._xlws.FILTER(V$2:V$1073,($C$2:$C$1073=$C992)*($E$2:$E$1073=$E992)*(ROW(V$2:V$1073)&lt;&gt;ROW(V992))*(V$2:V$1073&lt;&gt;""))),"")</f>
        <v>0.62256794205511568</v>
      </c>
      <c r="AE992">
        <f>IF('Дивиденды по годам'!M992&lt;0,1,0)</f>
        <v>0</v>
      </c>
    </row>
    <row r="993" spans="1:31" x14ac:dyDescent="0.2">
      <c r="A993" s="7" t="s">
        <v>2300</v>
      </c>
      <c r="B993" t="str">
        <f t="shared" si="165"/>
        <v>NKHP IV кв. 2010</v>
      </c>
      <c r="C993">
        <v>2010</v>
      </c>
      <c r="D993">
        <f>SUMIFS(Дивиденды!$C:$C,Дивиденды!$A:$A,A993,Дивиденды!$I:$I,C993)</f>
        <v>0</v>
      </c>
      <c r="E993">
        <v>7</v>
      </c>
      <c r="F993">
        <f t="shared" si="166"/>
        <v>0</v>
      </c>
      <c r="G993">
        <f t="shared" si="167"/>
        <v>0.27825</v>
      </c>
      <c r="H993">
        <f t="shared" si="168"/>
        <v>0</v>
      </c>
      <c r="I993">
        <f t="shared" si="169"/>
        <v>0.5</v>
      </c>
      <c r="J993" t="str">
        <f t="shared" si="170"/>
        <v/>
      </c>
      <c r="K993" t="str">
        <f t="shared" si="175"/>
        <v/>
      </c>
      <c r="L993" t="str">
        <f t="shared" si="171"/>
        <v/>
      </c>
      <c r="M993" t="str">
        <f t="shared" si="172"/>
        <v/>
      </c>
      <c r="N993" t="str">
        <f t="shared" si="173"/>
        <v/>
      </c>
      <c r="O993" t="str">
        <f t="shared" si="174"/>
        <v/>
      </c>
      <c r="P993" t="str">
        <f>IFERROR(LN('Дивиденды по годам'!I993),"")</f>
        <v/>
      </c>
      <c r="Q993" t="str">
        <f>IFERROR('Дивиденды по годам'!G993/'Дивиденды по годам'!I993, "")</f>
        <v/>
      </c>
      <c r="R993" t="str">
        <f>IFERROR(IF(AND('Дивиденды по годам'!N993&lt;&gt;"",'Дивиденды по годам'!U993&lt;&gt;"",'Дивиденды по годам'!U993&lt;&gt;0),'Дивиденды по годам'!N993/'Дивиденды по годам'!U993-1,""),"")</f>
        <v/>
      </c>
      <c r="S993" t="str">
        <f>IFERROR(IF(AND('Дивиденды по годам'!L993&lt;&gt;"",'Дивиденды по годам'!I993&lt;&gt;"",'Дивиденды по годам'!J993&lt;&gt;"",'Дивиденды по годам'!K993&lt;&gt;"",('Дивиденды по годам'!I993-'Дивиденды по годам'!J993-'Дивиденды по годам'!K993)&lt;&gt;0),'Дивиденды по годам'!L993/('Дивиденды по годам'!I993-'Дивиденды по годам'!J993-'Дивиденды по годам'!K993),""),"")</f>
        <v/>
      </c>
      <c r="T993" t="str">
        <f>IFERROR(IF(AND('Дивиденды по годам'!Q993&lt;&gt;"",'Дивиденды по годам'!I993&lt;&gt;"",'Дивиденды по годам'!V993&lt;&gt;"",('Дивиденды по годам'!I993+'Дивиденды по годам'!V993)&lt;&gt;0),'Дивиденды по годам'!Q993/(('Дивиденды по годам'!I993+'Дивиденды по годам'!V993)/2),""),"")</f>
        <v/>
      </c>
      <c r="U993" t="str">
        <f>IFERROR(IF(AND('Дивиденды по годам'!J993&lt;&gt;"",'Дивиденды по годам'!K993&lt;&gt;"",'Дивиденды по годам'!M993&lt;&gt;"",'Дивиденды по годам'!M993&lt;&gt;0),('Дивиденды по годам'!J993+'Дивиденды по годам'!K993)/'Дивиденды по годам'!M993,""),"")</f>
        <v/>
      </c>
      <c r="V993" t="str">
        <f>IFERROR(IF(AND('Дивиденды по годам'!J993&lt;&gt;"",'Дивиденды по годам'!K993&lt;&gt;"",'Дивиденды по годам'!M993&lt;&gt;"",'Дивиденды по годам'!I993&lt;&gt;0),('Дивиденды по годам'!J993+'Дивиденды по годам'!K993)/'Дивиденды по годам'!I993,""),"")</f>
        <v/>
      </c>
      <c r="W993" t="str">
        <f>IFERROR('Дивиденды по годам'!I993,"")</f>
        <v/>
      </c>
      <c r="X993" cm="1">
        <f t="array" ref="X993">IFERROR(AVERAGE(_xlfn._xlws.FILTER(P$2:P$1073,($C$2:$C$1073=$C993)*($E$2:$E$1073=$E993)*(ROW(P$2:P$1073)&lt;&gt;ROW(P993))*(P$2:P$1073&lt;&gt;""))),"")</f>
        <v>25.646584513937189</v>
      </c>
      <c r="Y993" cm="1">
        <f t="array" ref="Y993">IFERROR(AVERAGE(_xlfn._xlws.FILTER(Q$2:Q$1073,($C$2:$C$1073=$C993)*($E$2:$E$1073=$E993)*(ROW(Q$2:Q$1073)&lt;&gt;ROW(Q993))*(Q$2:Q$1073&lt;&gt;""))),"")</f>
        <v>0.48343975783821996</v>
      </c>
      <c r="Z993" t="str" cm="1">
        <f t="array" ref="Z993">IFERROR(AVERAGE(_xlfn._xlws.FILTER(R$2:R$1073,($C$2:$C$1073=$C993)*($E$2:$E$1073=$E993)*(ROW(R$2:R$1073)&lt;&gt;ROW(R993))*(R$2:R$1073&lt;&gt;""))),"")</f>
        <v/>
      </c>
      <c r="AA993" t="str" cm="1">
        <f t="array" ref="AA993">IFERROR(AVERAGE(_xlfn._xlws.FILTER(S$2:S$1073,($C$2:$C$1073=$C993)*($E$2:$E$1073=$E993)*(ROW(S$2:S$1073)&lt;&gt;ROW(S993))*(S$2:S$1073&lt;&gt;""))),"")</f>
        <v/>
      </c>
      <c r="AB993" t="str" cm="1">
        <f t="array" ref="AB993">IFERROR(AVERAGE(_xlfn._xlws.FILTER(T$2:T$1073,($C$2:$C$1073=$C993)*($E$2:$E$1073=$E993)*(ROW(T$2:T$1073)&lt;&gt;ROW(T993))*(T$2:T$1073&lt;&gt;""))),"")</f>
        <v/>
      </c>
      <c r="AC993" cm="1">
        <f t="array" ref="AC993">IFERROR(AVERAGE(_xlfn._xlws.FILTER(U$2:U$1073,($C$2:$C$1073=$C993)*($E$2:$E$1073=$E993)*(ROW(U$2:U$1073)&lt;&gt;ROW(U993))*(U$2:U$1073&lt;&gt;""))),"")</f>
        <v>2.9188674344099064</v>
      </c>
      <c r="AD993" cm="1">
        <f t="array" ref="AD993">IFERROR(AVERAGE(_xlfn._xlws.FILTER(V$2:V$1073,($C$2:$C$1073=$C993)*($E$2:$E$1073=$E993)*(ROW(V$2:V$1073)&lt;&gt;ROW(V993))*(V$2:V$1073&lt;&gt;""))),"")</f>
        <v>0.74482423385404006</v>
      </c>
      <c r="AE993">
        <f>IF('Дивиденды по годам'!M993&lt;0,1,0)</f>
        <v>0</v>
      </c>
    </row>
    <row r="994" spans="1:31" x14ac:dyDescent="0.2">
      <c r="A994" s="7" t="s">
        <v>2303</v>
      </c>
      <c r="B994" t="str">
        <f t="shared" si="165"/>
        <v>NMTP IV кв. 2025</v>
      </c>
      <c r="C994">
        <v>2025</v>
      </c>
      <c r="D994">
        <f>SUMIFS(Дивиденды!$C:$C,Дивиденды!$A:$A,A994,Дивиденды!$I:$I,C994)</f>
        <v>0</v>
      </c>
      <c r="E994">
        <v>7</v>
      </c>
      <c r="F994">
        <f t="shared" si="166"/>
        <v>0</v>
      </c>
      <c r="G994">
        <f t="shared" si="167"/>
        <v>3.8849999999999998</v>
      </c>
      <c r="H994">
        <f t="shared" si="168"/>
        <v>0</v>
      </c>
      <c r="I994">
        <f t="shared" si="169"/>
        <v>0.25</v>
      </c>
      <c r="J994">
        <f t="shared" si="170"/>
        <v>-1</v>
      </c>
      <c r="K994">
        <f t="shared" si="175"/>
        <v>-0.43027638190954776</v>
      </c>
      <c r="L994">
        <f t="shared" si="171"/>
        <v>0</v>
      </c>
      <c r="M994">
        <f t="shared" si="172"/>
        <v>0</v>
      </c>
      <c r="N994">
        <f t="shared" si="173"/>
        <v>1</v>
      </c>
      <c r="O994">
        <f t="shared" si="174"/>
        <v>0.5</v>
      </c>
      <c r="P994" t="str">
        <f>IFERROR(LN('Дивиденды по годам'!I994),"")</f>
        <v/>
      </c>
      <c r="Q994" t="str">
        <f>IFERROR('Дивиденды по годам'!G994/'Дивиденды по годам'!I994, "")</f>
        <v/>
      </c>
      <c r="R994" t="str">
        <f>IFERROR(IF(AND('Дивиденды по годам'!N994&lt;&gt;"",'Дивиденды по годам'!U994&lt;&gt;"",'Дивиденды по годам'!U994&lt;&gt;0),'Дивиденды по годам'!N994/'Дивиденды по годам'!U994-1,""),"")</f>
        <v/>
      </c>
      <c r="S994" t="str">
        <f>IFERROR(IF(AND('Дивиденды по годам'!L994&lt;&gt;"",'Дивиденды по годам'!I994&lt;&gt;"",'Дивиденды по годам'!J994&lt;&gt;"",'Дивиденды по годам'!K994&lt;&gt;"",('Дивиденды по годам'!I994-'Дивиденды по годам'!J994-'Дивиденды по годам'!K994)&lt;&gt;0),'Дивиденды по годам'!L994/('Дивиденды по годам'!I994-'Дивиденды по годам'!J994-'Дивиденды по годам'!K994),""),"")</f>
        <v/>
      </c>
      <c r="T994" t="str">
        <f>IFERROR(IF(AND('Дивиденды по годам'!Q994&lt;&gt;"",'Дивиденды по годам'!I994&lt;&gt;"",'Дивиденды по годам'!V994&lt;&gt;"",('Дивиденды по годам'!I994+'Дивиденды по годам'!V994)&lt;&gt;0),'Дивиденды по годам'!Q994/(('Дивиденды по годам'!I994+'Дивиденды по годам'!V994)/2),""),"")</f>
        <v/>
      </c>
      <c r="U994" t="str">
        <f>IFERROR(IF(AND('Дивиденды по годам'!J994&lt;&gt;"",'Дивиденды по годам'!K994&lt;&gt;"",'Дивиденды по годам'!M994&lt;&gt;"",'Дивиденды по годам'!M994&lt;&gt;0),('Дивиденды по годам'!J994+'Дивиденды по годам'!K994)/'Дивиденды по годам'!M994,""),"")</f>
        <v/>
      </c>
      <c r="V994" t="str">
        <f>IFERROR(IF(AND('Дивиденды по годам'!J994&lt;&gt;"",'Дивиденды по годам'!K994&lt;&gt;"",'Дивиденды по годам'!M994&lt;&gt;"",'Дивиденды по годам'!I994&lt;&gt;0),('Дивиденды по годам'!J994+'Дивиденды по годам'!K994)/'Дивиденды по годам'!I994,""),"")</f>
        <v/>
      </c>
      <c r="W994" t="str">
        <f>IFERROR('Дивиденды по годам'!I994,"")</f>
        <v/>
      </c>
      <c r="X994" cm="1">
        <f t="array" ref="X994">IFERROR(AVERAGE(_xlfn._xlws.FILTER(P$2:P$1073,($C$2:$C$1073=$C994)*($E$2:$E$1073=$E994)*(ROW(P$2:P$1073)&lt;&gt;ROW(P994))*(P$2:P$1073&lt;&gt;""))),"")</f>
        <v>27.416076794766717</v>
      </c>
      <c r="Y994" cm="1">
        <f t="array" ref="Y994">IFERROR(AVERAGE(_xlfn._xlws.FILTER(Q$2:Q$1073,($C$2:$C$1073=$C994)*($E$2:$E$1073=$E994)*(ROW(Q$2:Q$1073)&lt;&gt;ROW(Q994))*(Q$2:Q$1073&lt;&gt;""))),"")</f>
        <v>0.20332374906679898</v>
      </c>
      <c r="Z994" cm="1">
        <f t="array" ref="Z994">IFERROR(AVERAGE(_xlfn._xlws.FILTER(R$2:R$1073,($C$2:$C$1073=$C994)*($E$2:$E$1073=$E994)*(ROW(R$2:R$1073)&lt;&gt;ROW(R994))*(R$2:R$1073&lt;&gt;""))),"")</f>
        <v>-0.15846404609198605</v>
      </c>
      <c r="AA994" cm="1">
        <f t="array" ref="AA994">IFERROR(AVERAGE(_xlfn._xlws.FILTER(S$2:S$1073,($C$2:$C$1073=$C994)*($E$2:$E$1073=$E994)*(ROW(S$2:S$1073)&lt;&gt;ROW(S994))*(S$2:S$1073&lt;&gt;""))),"")</f>
        <v>-1.8248333530548653</v>
      </c>
      <c r="AB994" cm="1">
        <f t="array" ref="AB994">IFERROR(AVERAGE(_xlfn._xlws.FILTER(T$2:T$1073,($C$2:$C$1073=$C994)*($E$2:$E$1073=$E994)*(ROW(T$2:T$1073)&lt;&gt;ROW(T994))*(T$2:T$1073&lt;&gt;""))),"")</f>
        <v>1.0800320773341893E-3</v>
      </c>
      <c r="AC994" cm="1">
        <f t="array" ref="AC994">IFERROR(AVERAGE(_xlfn._xlws.FILTER(U$2:U$1073,($C$2:$C$1073=$C994)*($E$2:$E$1073=$E994)*(ROW(U$2:U$1073)&lt;&gt;ROW(U994))*(U$2:U$1073&lt;&gt;""))),"")</f>
        <v>10.852380302974451</v>
      </c>
      <c r="AD994" cm="1">
        <f t="array" ref="AD994">IFERROR(AVERAGE(_xlfn._xlws.FILTER(V$2:V$1073,($C$2:$C$1073=$C994)*($E$2:$E$1073=$E994)*(ROW(V$2:V$1073)&lt;&gt;ROW(V994))*(V$2:V$1073&lt;&gt;""))),"")</f>
        <v>0.64157961513007766</v>
      </c>
      <c r="AE994">
        <f>IF('Дивиденды по годам'!M994&lt;0,1,0)</f>
        <v>0</v>
      </c>
    </row>
    <row r="995" spans="1:31" x14ac:dyDescent="0.2">
      <c r="A995" s="7" t="s">
        <v>2303</v>
      </c>
      <c r="B995" t="str">
        <f t="shared" si="165"/>
        <v>NMTP IV кв. 2024</v>
      </c>
      <c r="C995">
        <v>2024</v>
      </c>
      <c r="D995">
        <f>SUMIFS(Дивиденды!$C:$C,Дивиденды!$A:$A,A995,Дивиденды!$I:$I,C995)</f>
        <v>0.96</v>
      </c>
      <c r="E995">
        <v>7</v>
      </c>
      <c r="F995">
        <f t="shared" si="166"/>
        <v>0.96</v>
      </c>
      <c r="G995">
        <f t="shared" si="167"/>
        <v>15.247499999999999</v>
      </c>
      <c r="H995">
        <f t="shared" si="168"/>
        <v>1</v>
      </c>
      <c r="I995">
        <f t="shared" si="169"/>
        <v>0.5</v>
      </c>
      <c r="J995">
        <f t="shared" si="170"/>
        <v>0.24675324675324667</v>
      </c>
      <c r="K995">
        <f t="shared" si="175"/>
        <v>0.12977099236641221</v>
      </c>
      <c r="L995">
        <f t="shared" si="171"/>
        <v>1</v>
      </c>
      <c r="M995">
        <f t="shared" si="172"/>
        <v>0.5</v>
      </c>
      <c r="N995">
        <f t="shared" si="173"/>
        <v>0</v>
      </c>
      <c r="O995">
        <f t="shared" si="174"/>
        <v>0.25</v>
      </c>
      <c r="P995">
        <f>IFERROR(LN('Дивиденды по годам'!I995),"")</f>
        <v>26.116711548586025</v>
      </c>
      <c r="Q995">
        <f>IFERROR('Дивиденды по годам'!G995/'Дивиденды по годам'!I995, "")</f>
        <v>0.4672031278414257</v>
      </c>
      <c r="R995">
        <f>IFERROR(IF(AND('Дивиденды по годам'!N995&lt;&gt;"",'Дивиденды по годам'!U995&lt;&gt;"",'Дивиденды по годам'!U995&lt;&gt;0),'Дивиденды по годам'!N995/'Дивиденды по годам'!U995-1,""),"")</f>
        <v>5.4444148069114684E-2</v>
      </c>
      <c r="S995">
        <f>IFERROR(IF(AND('Дивиденды по годам'!L995&lt;&gt;"",'Дивиденды по годам'!I995&lt;&gt;"",'Дивиденды по годам'!J995&lt;&gt;"",'Дивиденды по годам'!K995&lt;&gt;"",('Дивиденды по годам'!I995-'Дивиденды по годам'!J995-'Дивиденды по годам'!K995)&lt;&gt;0),'Дивиденды по годам'!L995/('Дивиденды по годам'!I995-'Дивиденды по годам'!J995-'Дивиденды по годам'!K995),""),"")</f>
        <v>0.98272297178903101</v>
      </c>
      <c r="T995">
        <f>IFERROR(IF(AND('Дивиденды по годам'!Q995&lt;&gt;"",'Дивиденды по годам'!I995&lt;&gt;"",'Дивиденды по годам'!V995&lt;&gt;"",('Дивиденды по годам'!I995+'Дивиденды по годам'!V995)&lt;&gt;0),'Дивиденды по годам'!Q995/(('Дивиденды по годам'!I995+'Дивиденды по годам'!V995)/2),""),"")</f>
        <v>0.18333713033741633</v>
      </c>
      <c r="U995">
        <f>IFERROR(IF(AND('Дивиденды по годам'!J995&lt;&gt;"",'Дивиденды по годам'!K995&lt;&gt;"",'Дивиденды по годам'!M995&lt;&gt;"",'Дивиденды по годам'!M995&lt;&gt;0),('Дивиденды по годам'!J995+'Дивиденды по годам'!K995)/'Дивиденды по годам'!M995,""),"")</f>
        <v>0.2847380410022779</v>
      </c>
      <c r="V995">
        <f>IFERROR(IF(AND('Дивиденды по годам'!J995&lt;&gt;"",'Дивиденды по годам'!K995&lt;&gt;"",'Дивиденды по годам'!M995&lt;&gt;"",'Дивиденды по годам'!I995&lt;&gt;0),('Дивиденды по годам'!J995+'Дивиденды по годам'!K995)/'Дивиденды по годам'!I995,""),"")</f>
        <v>0.22163120567375885</v>
      </c>
      <c r="W995">
        <f>IFERROR('Дивиденды по годам'!I995,"")</f>
        <v>219960000000</v>
      </c>
      <c r="X995" cm="1">
        <f t="array" ref="X995">IFERROR(AVERAGE(_xlfn._xlws.FILTER(P$2:P$1073,($C$2:$C$1073=$C995)*($E$2:$E$1073=$E995)*(ROW(P$2:P$1073)&lt;&gt;ROW(P995))*(P$2:P$1073&lt;&gt;""))),"")</f>
        <v>26.228764169978842</v>
      </c>
      <c r="Y995" cm="1">
        <f t="array" ref="Y995">IFERROR(AVERAGE(_xlfn._xlws.FILTER(Q$2:Q$1073,($C$2:$C$1073=$C995)*($E$2:$E$1073=$E995)*(ROW(Q$2:Q$1073)&lt;&gt;ROW(Q995))*(Q$2:Q$1073&lt;&gt;""))),"")</f>
        <v>0.49746806578998715</v>
      </c>
      <c r="Z995" cm="1">
        <f t="array" ref="Z995">IFERROR(AVERAGE(_xlfn._xlws.FILTER(R$2:R$1073,($C$2:$C$1073=$C995)*($E$2:$E$1073=$E995)*(ROW(R$2:R$1073)&lt;&gt;ROW(R995))*(R$2:R$1073&lt;&gt;""))),"")</f>
        <v>0.13932146439846405</v>
      </c>
      <c r="AA995" cm="1">
        <f t="array" ref="AA995">IFERROR(AVERAGE(_xlfn._xlws.FILTER(S$2:S$1073,($C$2:$C$1073=$C995)*($E$2:$E$1073=$E995)*(ROW(S$2:S$1073)&lt;&gt;ROW(S995))*(S$2:S$1073&lt;&gt;""))),"")</f>
        <v>1.4482319735699871</v>
      </c>
      <c r="AB995" cm="1">
        <f t="array" ref="AB995">IFERROR(AVERAGE(_xlfn._xlws.FILTER(T$2:T$1073,($C$2:$C$1073=$C995)*($E$2:$E$1073=$E995)*(ROW(T$2:T$1073)&lt;&gt;ROW(T995))*(T$2:T$1073&lt;&gt;""))),"")</f>
        <v>0.14506696542513417</v>
      </c>
      <c r="AC995" cm="1">
        <f t="array" ref="AC995">IFERROR(AVERAGE(_xlfn._xlws.FILTER(U$2:U$1073,($C$2:$C$1073=$C995)*($E$2:$E$1073=$E995)*(ROW(U$2:U$1073)&lt;&gt;ROW(U995))*(U$2:U$1073&lt;&gt;""))),"")</f>
        <v>-3.9546016491152303</v>
      </c>
      <c r="AD995" cm="1">
        <f t="array" ref="AD995">IFERROR(AVERAGE(_xlfn._xlws.FILTER(V$2:V$1073,($C$2:$C$1073=$C995)*($E$2:$E$1073=$E995)*(ROW(V$2:V$1073)&lt;&gt;ROW(V995))*(V$2:V$1073&lt;&gt;""))),"")</f>
        <v>0.46038956697629418</v>
      </c>
      <c r="AE995">
        <f>IF('Дивиденды по годам'!M995&lt;0,1,0)</f>
        <v>0</v>
      </c>
    </row>
    <row r="996" spans="1:31" x14ac:dyDescent="0.2">
      <c r="A996" s="7" t="s">
        <v>2303</v>
      </c>
      <c r="B996" t="str">
        <f t="shared" si="165"/>
        <v>NMTP IV кв. 2023</v>
      </c>
      <c r="C996">
        <v>2023</v>
      </c>
      <c r="D996">
        <f>SUMIFS(Дивиденды!$C:$C,Дивиденды!$A:$A,A996,Дивиденды!$I:$I,C996)</f>
        <v>0.77</v>
      </c>
      <c r="E996">
        <v>7</v>
      </c>
      <c r="F996">
        <f t="shared" si="166"/>
        <v>0.77</v>
      </c>
      <c r="G996">
        <f t="shared" si="167"/>
        <v>13.567499999999999</v>
      </c>
      <c r="H996">
        <f t="shared" si="168"/>
        <v>1</v>
      </c>
      <c r="I996">
        <f t="shared" si="169"/>
        <v>0.5</v>
      </c>
      <c r="J996">
        <f t="shared" si="170"/>
        <v>-3.7500000000000033E-2</v>
      </c>
      <c r="K996">
        <f t="shared" si="175"/>
        <v>1.1522812572744174</v>
      </c>
      <c r="L996">
        <f t="shared" si="171"/>
        <v>0</v>
      </c>
      <c r="M996">
        <f t="shared" si="172"/>
        <v>0.5</v>
      </c>
      <c r="N996">
        <f t="shared" si="173"/>
        <v>1</v>
      </c>
      <c r="O996">
        <f t="shared" si="174"/>
        <v>0</v>
      </c>
      <c r="P996">
        <f>IFERROR(LN('Дивиденды по годам'!I996),"")</f>
        <v>25.984120144761238</v>
      </c>
      <c r="Q996">
        <f>IFERROR('Дивиденды по годам'!G996/'Дивиденды по годам'!I996, "")</f>
        <v>0.45511975332994198</v>
      </c>
      <c r="R996">
        <f>IFERROR(IF(AND('Дивиденды по годам'!N996&lt;&gt;"",'Дивиденды по годам'!U996&lt;&gt;"",'Дивиденды по годам'!U996&lt;&gt;0),'Дивиденды по годам'!N996/'Дивиденды по годам'!U996-1,""),"")</f>
        <v>0.2259424107548369</v>
      </c>
      <c r="S996" t="str">
        <f>IFERROR(IF(AND('Дивиденды по годам'!L996&lt;&gt;"",'Дивиденды по годам'!I996&lt;&gt;"",'Дивиденды по годам'!J996&lt;&gt;"",'Дивиденды по годам'!K996&lt;&gt;"",('Дивиденды по годам'!I996-'Дивиденды по годам'!J996-'Дивиденды по годам'!K996)&lt;&gt;0),'Дивиденды по годам'!L996/('Дивиденды по годам'!I996-'Дивиденды по годам'!J996-'Дивиденды по годам'!K996),""),"")</f>
        <v/>
      </c>
      <c r="T996">
        <f>IFERROR(IF(AND('Дивиденды по годам'!Q996&lt;&gt;"",'Дивиденды по годам'!I996&lt;&gt;"",'Дивиденды по годам'!V996&lt;&gt;"",('Дивиденды по годам'!I996+'Дивиденды по годам'!V996)&lt;&gt;0),'Дивиденды по годам'!Q996/(('Дивиденды по годам'!I996+'Дивиденды по годам'!V996)/2),""),"")</f>
        <v>0.16243796667732463</v>
      </c>
      <c r="U996">
        <f>IFERROR(IF(AND('Дивиденды по годам'!J996&lt;&gt;"",'Дивиденды по годам'!K996&lt;&gt;"",'Дивиденды по годам'!M996&lt;&gt;"",'Дивиденды по годам'!M996&lt;&gt;0),('Дивиденды по годам'!J996+'Дивиденды по годам'!K996)/'Дивиденды по годам'!M996,""),"")</f>
        <v>0.30615427382009752</v>
      </c>
      <c r="V996">
        <f>IFERROR(IF(AND('Дивиденды по годам'!J996&lt;&gt;"",'Дивиденды по годам'!K996&lt;&gt;"",'Дивиденды по годам'!M996&lt;&gt;"",'Дивиденды по годам'!I996&lt;&gt;0),('Дивиденды по годам'!J996+'Дивиденды по годам'!K996)/'Дивиденды по годам'!I996,""),"")</f>
        <v>0.23439365468268222</v>
      </c>
      <c r="W996">
        <f>IFERROR('Дивиденды по годам'!I996,"")</f>
        <v>192646000000</v>
      </c>
      <c r="X996" cm="1">
        <f t="array" ref="X996">IFERROR(AVERAGE(_xlfn._xlws.FILTER(P$2:P$1073,($C$2:$C$1073=$C996)*($E$2:$E$1073=$E996)*(ROW(P$2:P$1073)&lt;&gt;ROW(P996))*(P$2:P$1073&lt;&gt;""))),"")</f>
        <v>26.120050987518898</v>
      </c>
      <c r="Y996" cm="1">
        <f t="array" ref="Y996">IFERROR(AVERAGE(_xlfn._xlws.FILTER(Q$2:Q$1073,($C$2:$C$1073=$C996)*($E$2:$E$1073=$E996)*(ROW(Q$2:Q$1073)&lt;&gt;ROW(Q996))*(Q$2:Q$1073&lt;&gt;""))),"")</f>
        <v>0.52582156847900074</v>
      </c>
      <c r="Z996" cm="1">
        <f t="array" ref="Z996">IFERROR(AVERAGE(_xlfn._xlws.FILTER(R$2:R$1073,($C$2:$C$1073=$C996)*($E$2:$E$1073=$E996)*(ROW(R$2:R$1073)&lt;&gt;ROW(R996))*(R$2:R$1073&lt;&gt;""))),"")</f>
        <v>0.46708377645970955</v>
      </c>
      <c r="AA996" cm="1">
        <f t="array" ref="AA996">IFERROR(AVERAGE(_xlfn._xlws.FILTER(S$2:S$1073,($C$2:$C$1073=$C996)*($E$2:$E$1073=$E996)*(ROW(S$2:S$1073)&lt;&gt;ROW(S996))*(S$2:S$1073&lt;&gt;""))),"")</f>
        <v>1.4326839999117074</v>
      </c>
      <c r="AB996" cm="1">
        <f t="array" ref="AB996">IFERROR(AVERAGE(_xlfn._xlws.FILTER(T$2:T$1073,($C$2:$C$1073=$C996)*($E$2:$E$1073=$E996)*(ROW(T$2:T$1073)&lt;&gt;ROW(T996))*(T$2:T$1073&lt;&gt;""))),"")</f>
        <v>0.17310841265879143</v>
      </c>
      <c r="AC996" cm="1">
        <f t="array" ref="AC996">IFERROR(AVERAGE(_xlfn._xlws.FILTER(U$2:U$1073,($C$2:$C$1073=$C996)*($E$2:$E$1073=$E996)*(ROW(U$2:U$1073)&lt;&gt;ROW(U996))*(U$2:U$1073&lt;&gt;""))),"")</f>
        <v>-2.7635010231005106</v>
      </c>
      <c r="AD996" cm="1">
        <f t="array" ref="AD996">IFERROR(AVERAGE(_xlfn._xlws.FILTER(V$2:V$1073,($C$2:$C$1073=$C996)*($E$2:$E$1073=$E996)*(ROW(V$2:V$1073)&lt;&gt;ROW(V996))*(V$2:V$1073&lt;&gt;""))),"")</f>
        <v>0.487116238104911</v>
      </c>
      <c r="AE996">
        <f>IF('Дивиденды по годам'!M996&lt;0,1,0)</f>
        <v>0</v>
      </c>
    </row>
    <row r="997" spans="1:31" x14ac:dyDescent="0.2">
      <c r="A997" s="7" t="s">
        <v>2303</v>
      </c>
      <c r="B997" t="str">
        <f t="shared" si="165"/>
        <v>NMTP IV кв. 2022</v>
      </c>
      <c r="C997">
        <v>2022</v>
      </c>
      <c r="D997">
        <f>SUMIFS(Дивиденды!$C:$C,Дивиденды!$A:$A,A997,Дивиденды!$I:$I,C997)</f>
        <v>0.8</v>
      </c>
      <c r="E997">
        <v>7</v>
      </c>
      <c r="F997">
        <f t="shared" si="166"/>
        <v>0.8</v>
      </c>
      <c r="G997">
        <f t="shared" si="167"/>
        <v>4.7275</v>
      </c>
      <c r="H997">
        <f t="shared" si="168"/>
        <v>1</v>
      </c>
      <c r="I997">
        <f t="shared" si="169"/>
        <v>0.5</v>
      </c>
      <c r="J997">
        <f t="shared" si="170"/>
        <v>0.48148148148148145</v>
      </c>
      <c r="K997">
        <f t="shared" si="175"/>
        <v>0.38473684210526315</v>
      </c>
      <c r="L997">
        <f t="shared" si="171"/>
        <v>1</v>
      </c>
      <c r="M997">
        <f t="shared" si="172"/>
        <v>0.5</v>
      </c>
      <c r="N997">
        <f t="shared" si="173"/>
        <v>0</v>
      </c>
      <c r="O997">
        <f t="shared" si="174"/>
        <v>0</v>
      </c>
      <c r="P997">
        <f>IFERROR(LN('Дивиденды по годам'!I997),"")</f>
        <v>25.913624871988649</v>
      </c>
      <c r="Q997">
        <f>IFERROR('Дивиденды по годам'!G997/'Дивиденды по годам'!I997, "")</f>
        <v>0.47955529067079589</v>
      </c>
      <c r="R997" t="str">
        <f>IFERROR(IF(AND('Дивиденды по годам'!N997&lt;&gt;"",'Дивиденды по годам'!U997&lt;&gt;"",'Дивиденды по годам'!U997&lt;&gt;0),'Дивиденды по годам'!N997/'Дивиденды по годам'!U997-1,""),"")</f>
        <v/>
      </c>
      <c r="S997" t="str">
        <f>IFERROR(IF(AND('Дивиденды по годам'!L997&lt;&gt;"",'Дивиденды по годам'!I997&lt;&gt;"",'Дивиденды по годам'!J997&lt;&gt;"",'Дивиденды по годам'!K997&lt;&gt;"",('Дивиденды по годам'!I997-'Дивиденды по годам'!J997-'Дивиденды по годам'!K997)&lt;&gt;0),'Дивиденды по годам'!L997/('Дивиденды по годам'!I997-'Дивиденды по годам'!J997-'Дивиденды по годам'!K997),""),"")</f>
        <v/>
      </c>
      <c r="T997" t="str">
        <f>IFERROR(IF(AND('Дивиденды по годам'!Q997&lt;&gt;"",'Дивиденды по годам'!I997&lt;&gt;"",'Дивиденды по годам'!V997&lt;&gt;"",('Дивиденды по годам'!I997+'Дивиденды по годам'!V997)&lt;&gt;0),'Дивиденды по годам'!Q997/(('Дивиденды по годам'!I997+'Дивиденды по годам'!V997)/2),""),"")</f>
        <v/>
      </c>
      <c r="U997">
        <f>IFERROR(IF(AND('Дивиденды по годам'!J997&lt;&gt;"",'Дивиденды по годам'!K997&lt;&gt;"",'Дивиденды по годам'!M997&lt;&gt;"",'Дивиденды по годам'!M997&lt;&gt;0),('Дивиденды по годам'!J997+'Дивиденды по годам'!K997)/'Дивиденды по годам'!M997,""),"")</f>
        <v>0.37706137726847377</v>
      </c>
      <c r="V997">
        <f>IFERROR(IF(AND('Дивиденды по годам'!J997&lt;&gt;"",'Дивиденды по годам'!K997&lt;&gt;"",'Дивиденды по годам'!M997&lt;&gt;"",'Дивиденды по годам'!I997&lt;&gt;0),('Дивиденды по годам'!J997+'Дивиденды по годам'!K997)/'Дивиденды по годам'!I997,""),"")</f>
        <v>0.27381595584098745</v>
      </c>
      <c r="W997">
        <f>IFERROR('Дивиденды по годам'!I997,"")</f>
        <v>179533000000</v>
      </c>
      <c r="X997" cm="1">
        <f t="array" ref="X997">IFERROR(AVERAGE(_xlfn._xlws.FILTER(P$2:P$1073,($C$2:$C$1073=$C997)*($E$2:$E$1073=$E997)*(ROW(P$2:P$1073)&lt;&gt;ROW(P997))*(P$2:P$1073&lt;&gt;""))),"")</f>
        <v>25.558742509469976</v>
      </c>
      <c r="Y997" cm="1">
        <f t="array" ref="Y997">IFERROR(AVERAGE(_xlfn._xlws.FILTER(Q$2:Q$1073,($C$2:$C$1073=$C997)*($E$2:$E$1073=$E997)*(ROW(Q$2:Q$1073)&lt;&gt;ROW(Q997))*(Q$2:Q$1073&lt;&gt;""))),"")</f>
        <v>0.44592417599991158</v>
      </c>
      <c r="Z997" cm="1">
        <f t="array" ref="Z997">IFERROR(AVERAGE(_xlfn._xlws.FILTER(R$2:R$1073,($C$2:$C$1073=$C997)*($E$2:$E$1073=$E997)*(ROW(R$2:R$1073)&lt;&gt;ROW(R997))*(R$2:R$1073&lt;&gt;""))),"")</f>
        <v>1.6409708137384921E-2</v>
      </c>
      <c r="AA997" cm="1">
        <f t="array" ref="AA997">IFERROR(AVERAGE(_xlfn._xlws.FILTER(S$2:S$1073,($C$2:$C$1073=$C997)*($E$2:$E$1073=$E997)*(ROW(S$2:S$1073)&lt;&gt;ROW(S997))*(S$2:S$1073&lt;&gt;""))),"")</f>
        <v>1.4151471153731248</v>
      </c>
      <c r="AB997" cm="1">
        <f t="array" ref="AB997">IFERROR(AVERAGE(_xlfn._xlws.FILTER(T$2:T$1073,($C$2:$C$1073=$C997)*($E$2:$E$1073=$E997)*(ROW(T$2:T$1073)&lt;&gt;ROW(T997))*(T$2:T$1073&lt;&gt;""))),"")</f>
        <v>0.13024338598126092</v>
      </c>
      <c r="AC997" cm="1">
        <f t="array" ref="AC997">IFERROR(AVERAGE(_xlfn._xlws.FILTER(U$2:U$1073,($C$2:$C$1073=$C997)*($E$2:$E$1073=$E997)*(ROW(U$2:U$1073)&lt;&gt;ROW(U997))*(U$2:U$1073&lt;&gt;""))),"")</f>
        <v>-3.2259243732052649</v>
      </c>
      <c r="AD997" cm="1">
        <f t="array" ref="AD997">IFERROR(AVERAGE(_xlfn._xlws.FILTER(V$2:V$1073,($C$2:$C$1073=$C997)*($E$2:$E$1073=$E997)*(ROW(V$2:V$1073)&lt;&gt;ROW(V997))*(V$2:V$1073&lt;&gt;""))),"")</f>
        <v>0.55573868532739612</v>
      </c>
      <c r="AE997">
        <f>IF('Дивиденды по годам'!M997&lt;0,1,0)</f>
        <v>0</v>
      </c>
    </row>
    <row r="998" spans="1:31" x14ac:dyDescent="0.2">
      <c r="A998" s="7" t="s">
        <v>2303</v>
      </c>
      <c r="B998" t="str">
        <f t="shared" si="165"/>
        <v>NMTP IV кв. 2021</v>
      </c>
      <c r="C998">
        <v>2021</v>
      </c>
      <c r="D998">
        <f>SUMIFS(Дивиденды!$C:$C,Дивиденды!$A:$A,A998,Дивиденды!$I:$I,C998)</f>
        <v>0.54</v>
      </c>
      <c r="E998">
        <v>7</v>
      </c>
      <c r="F998">
        <f t="shared" si="166"/>
        <v>0.54</v>
      </c>
      <c r="G998">
        <f t="shared" si="167"/>
        <v>2.375</v>
      </c>
      <c r="H998">
        <f t="shared" si="168"/>
        <v>1</v>
      </c>
      <c r="I998">
        <f t="shared" si="169"/>
        <v>0.25</v>
      </c>
      <c r="J998">
        <f t="shared" si="170"/>
        <v>8.0000000000000018</v>
      </c>
      <c r="K998">
        <f t="shared" si="175"/>
        <v>-0.36183827806864455</v>
      </c>
      <c r="L998">
        <f t="shared" si="171"/>
        <v>1</v>
      </c>
      <c r="M998">
        <f t="shared" si="172"/>
        <v>0</v>
      </c>
      <c r="N998">
        <f t="shared" si="173"/>
        <v>0</v>
      </c>
      <c r="O998">
        <f t="shared" si="174"/>
        <v>0.5</v>
      </c>
      <c r="P998" t="str">
        <f>IFERROR(LN('Дивиденды по годам'!I998),"")</f>
        <v/>
      </c>
      <c r="Q998" t="str">
        <f>IFERROR('Дивиденды по годам'!G998/'Дивиденды по годам'!I998, "")</f>
        <v/>
      </c>
      <c r="R998" t="str">
        <f>IFERROR(IF(AND('Дивиденды по годам'!N998&lt;&gt;"",'Дивиденды по годам'!U998&lt;&gt;"",'Дивиденды по годам'!U998&lt;&gt;0),'Дивиденды по годам'!N998/'Дивиденды по годам'!U998-1,""),"")</f>
        <v/>
      </c>
      <c r="S998" t="str">
        <f>IFERROR(IF(AND('Дивиденды по годам'!L998&lt;&gt;"",'Дивиденды по годам'!I998&lt;&gt;"",'Дивиденды по годам'!J998&lt;&gt;"",'Дивиденды по годам'!K998&lt;&gt;"",('Дивиденды по годам'!I998-'Дивиденды по годам'!J998-'Дивиденды по годам'!K998)&lt;&gt;0),'Дивиденды по годам'!L998/('Дивиденды по годам'!I998-'Дивиденды по годам'!J998-'Дивиденды по годам'!K998),""),"")</f>
        <v/>
      </c>
      <c r="T998" t="str">
        <f>IFERROR(IF(AND('Дивиденды по годам'!Q998&lt;&gt;"",'Дивиденды по годам'!I998&lt;&gt;"",'Дивиденды по годам'!V998&lt;&gt;"",('Дивиденды по годам'!I998+'Дивиденды по годам'!V998)&lt;&gt;0),'Дивиденды по годам'!Q998/(('Дивиденды по годам'!I998+'Дивиденды по годам'!V998)/2),""),"")</f>
        <v/>
      </c>
      <c r="U998" t="str">
        <f>IFERROR(IF(AND('Дивиденды по годам'!J998&lt;&gt;"",'Дивиденды по годам'!K998&lt;&gt;"",'Дивиденды по годам'!M998&lt;&gt;"",'Дивиденды по годам'!M998&lt;&gt;0),('Дивиденды по годам'!J998+'Дивиденды по годам'!K998)/'Дивиденды по годам'!M998,""),"")</f>
        <v/>
      </c>
      <c r="V998" t="str">
        <f>IFERROR(IF(AND('Дивиденды по годам'!J998&lt;&gt;"",'Дивиденды по годам'!K998&lt;&gt;"",'Дивиденды по годам'!M998&lt;&gt;"",'Дивиденды по годам'!I998&lt;&gt;0),('Дивиденды по годам'!J998+'Дивиденды по годам'!K998)/'Дивиденды по годам'!I998,""),"")</f>
        <v/>
      </c>
      <c r="W998" t="str">
        <f>IFERROR('Дивиденды по годам'!I998,"")</f>
        <v/>
      </c>
      <c r="X998" cm="1">
        <f t="array" ref="X998">IFERROR(AVERAGE(_xlfn._xlws.FILTER(P$2:P$1073,($C$2:$C$1073=$C998)*($E$2:$E$1073=$E998)*(ROW(P$2:P$1073)&lt;&gt;ROW(P998))*(P$2:P$1073&lt;&gt;""))),"")</f>
        <v>25.852513483811734</v>
      </c>
      <c r="Y998" cm="1">
        <f t="array" ref="Y998">IFERROR(AVERAGE(_xlfn._xlws.FILTER(Q$2:Q$1073,($C$2:$C$1073=$C998)*($E$2:$E$1073=$E998)*(ROW(Q$2:Q$1073)&lt;&gt;ROW(Q998))*(Q$2:Q$1073&lt;&gt;""))),"")</f>
        <v>0.55622056245717488</v>
      </c>
      <c r="Z998" cm="1">
        <f t="array" ref="Z998">IFERROR(AVERAGE(_xlfn._xlws.FILTER(R$2:R$1073,($C$2:$C$1073=$C998)*($E$2:$E$1073=$E998)*(ROW(R$2:R$1073)&lt;&gt;ROW(R998))*(R$2:R$1073&lt;&gt;""))),"")</f>
        <v>0.31020305595878894</v>
      </c>
      <c r="AA998" cm="1">
        <f t="array" ref="AA998">IFERROR(AVERAGE(_xlfn._xlws.FILTER(S$2:S$1073,($C$2:$C$1073=$C998)*($E$2:$E$1073=$E998)*(ROW(S$2:S$1073)&lt;&gt;ROW(S998))*(S$2:S$1073&lt;&gt;""))),"")</f>
        <v>1.0052315689512199</v>
      </c>
      <c r="AB998" cm="1">
        <f t="array" ref="AB998">IFERROR(AVERAGE(_xlfn._xlws.FILTER(T$2:T$1073,($C$2:$C$1073=$C998)*($E$2:$E$1073=$E998)*(ROW(T$2:T$1073)&lt;&gt;ROW(T998))*(T$2:T$1073&lt;&gt;""))),"")</f>
        <v>0.15121381363400363</v>
      </c>
      <c r="AC998" cm="1">
        <f t="array" ref="AC998">IFERROR(AVERAGE(_xlfn._xlws.FILTER(U$2:U$1073,($C$2:$C$1073=$C998)*($E$2:$E$1073=$E998)*(ROW(U$2:U$1073)&lt;&gt;ROW(U998))*(U$2:U$1073&lt;&gt;""))),"")</f>
        <v>-1.5731411329556571</v>
      </c>
      <c r="AD998" cm="1">
        <f t="array" ref="AD998">IFERROR(AVERAGE(_xlfn._xlws.FILTER(V$2:V$1073,($C$2:$C$1073=$C998)*($E$2:$E$1073=$E998)*(ROW(V$2:V$1073)&lt;&gt;ROW(V998))*(V$2:V$1073&lt;&gt;""))),"")</f>
        <v>0.5812768505522079</v>
      </c>
      <c r="AE998">
        <f>IF('Дивиденды по годам'!M998&lt;0,1,0)</f>
        <v>0</v>
      </c>
    </row>
    <row r="999" spans="1:31" x14ac:dyDescent="0.2">
      <c r="A999" s="7" t="s">
        <v>2303</v>
      </c>
      <c r="B999" t="str">
        <f t="shared" si="165"/>
        <v>NMTP IV кв. 2020</v>
      </c>
      <c r="C999">
        <v>2020</v>
      </c>
      <c r="D999">
        <f>SUMIFS(Дивиденды!$C:$C,Дивиденды!$A:$A,A999,Дивиденды!$I:$I,C999)</f>
        <v>0.06</v>
      </c>
      <c r="E999">
        <v>7</v>
      </c>
      <c r="F999">
        <f t="shared" si="166"/>
        <v>0.06</v>
      </c>
      <c r="G999">
        <f t="shared" si="167"/>
        <v>5.9649999999999999</v>
      </c>
      <c r="H999">
        <f t="shared" si="168"/>
        <v>1</v>
      </c>
      <c r="I999">
        <f t="shared" si="169"/>
        <v>0.5</v>
      </c>
      <c r="J999">
        <f t="shared" si="170"/>
        <v>-0.95555555555555549</v>
      </c>
      <c r="K999">
        <f t="shared" si="175"/>
        <v>0.58709016393442615</v>
      </c>
      <c r="L999">
        <f t="shared" si="171"/>
        <v>0</v>
      </c>
      <c r="M999">
        <f t="shared" si="172"/>
        <v>0.5</v>
      </c>
      <c r="N999">
        <f t="shared" si="173"/>
        <v>1</v>
      </c>
      <c r="O999">
        <f t="shared" si="174"/>
        <v>0</v>
      </c>
      <c r="P999">
        <f>IFERROR(LN('Дивиденды по годам'!I999),"")</f>
        <v>25.784897833405779</v>
      </c>
      <c r="Q999">
        <f>IFERROR('Дивиденды по годам'!G999/'Дивиденды по годам'!I999, "")</f>
        <v>0.50265971577178925</v>
      </c>
      <c r="R999">
        <f>IFERROR(IF(AND('Дивиденды по годам'!N999&lt;&gt;"",'Дивиденды по годам'!U999&lt;&gt;"",'Дивиденды по годам'!U999&lt;&gt;0),'Дивиденды по годам'!N999/'Дивиденды по годам'!U999-1,""),"")</f>
        <v>-0.18440824835860226</v>
      </c>
      <c r="S999">
        <f>IFERROR(IF(AND('Дивиденды по годам'!L999&lt;&gt;"",'Дивиденды по годам'!I999&lt;&gt;"",'Дивиденды по годам'!J999&lt;&gt;"",'Дивиденды по годам'!K999&lt;&gt;"",('Дивиденды по годам'!I999-'Дивиденды по годам'!J999-'Дивиденды по годам'!K999)&lt;&gt;0),'Дивиденды по годам'!L999/('Дивиденды по годам'!I999-'Дивиденды по годам'!J999-'Дивиденды по годам'!K999),""),"")</f>
        <v>1.6194417652235427</v>
      </c>
      <c r="T999">
        <f>IFERROR(IF(AND('Дивиденды по годам'!Q999&lt;&gt;"",'Дивиденды по годам'!I999&lt;&gt;"",'Дивиденды по годам'!V999&lt;&gt;"",('Дивиденды по годам'!I999+'Дивиденды по годам'!V999)&lt;&gt;0),'Дивиденды по годам'!Q999/(('Дивиденды по годам'!I999+'Дивиденды по годам'!V999)/2),""),"")</f>
        <v>2.7524625796026013E-2</v>
      </c>
      <c r="U999">
        <f>IFERROR(IF(AND('Дивиденды по годам'!J999&lt;&gt;"",'Дивиденды по годам'!K999&lt;&gt;"",'Дивиденды по годам'!M999&lt;&gt;"",'Дивиденды по годам'!M999&lt;&gt;0),('Дивиденды по годам'!J999+'Дивиденды по годам'!K999)/'Дивиденды по годам'!M999,""),"")</f>
        <v>0.96258239540626223</v>
      </c>
      <c r="V999">
        <f>IFERROR(IF(AND('Дивиденды по годам'!J999&lt;&gt;"",'Дивиденды по годам'!K999&lt;&gt;"",'Дивиденды по годам'!M999&lt;&gt;"",'Дивиденды по годам'!I999&lt;&gt;0),('Дивиденды по годам'!J999+'Дивиденды по годам'!K999)/'Дивиденды по годам'!I999,""),"")</f>
        <v>0.49046725256444779</v>
      </c>
      <c r="W999">
        <f>IFERROR('Дивиденды по годам'!I999,"")</f>
        <v>157847913466.51996</v>
      </c>
      <c r="X999" cm="1">
        <f t="array" ref="X999">IFERROR(AVERAGE(_xlfn._xlws.FILTER(P$2:P$1073,($C$2:$C$1073=$C999)*($E$2:$E$1073=$E999)*(ROW(P$2:P$1073)&lt;&gt;ROW(P999))*(P$2:P$1073&lt;&gt;""))),"")</f>
        <v>25.671892194201792</v>
      </c>
      <c r="Y999" cm="1">
        <f t="array" ref="Y999">IFERROR(AVERAGE(_xlfn._xlws.FILTER(Q$2:Q$1073,($C$2:$C$1073=$C999)*($E$2:$E$1073=$E999)*(ROW(Q$2:Q$1073)&lt;&gt;ROW(Q999))*(Q$2:Q$1073&lt;&gt;""))),"")</f>
        <v>0.52447861368118276</v>
      </c>
      <c r="Z999" cm="1">
        <f t="array" ref="Z999">IFERROR(AVERAGE(_xlfn._xlws.FILTER(R$2:R$1073,($C$2:$C$1073=$C999)*($E$2:$E$1073=$E999)*(ROW(R$2:R$1073)&lt;&gt;ROW(R999))*(R$2:R$1073&lt;&gt;""))),"")</f>
        <v>-0.23389003712721329</v>
      </c>
      <c r="AA999" cm="1">
        <f t="array" ref="AA999">IFERROR(AVERAGE(_xlfn._xlws.FILTER(S$2:S$1073,($C$2:$C$1073=$C999)*($E$2:$E$1073=$E999)*(ROW(S$2:S$1073)&lt;&gt;ROW(S999))*(S$2:S$1073&lt;&gt;""))),"")</f>
        <v>1.2407886038274856</v>
      </c>
      <c r="AB999" cm="1">
        <f t="array" ref="AB999">IFERROR(AVERAGE(_xlfn._xlws.FILTER(T$2:T$1073,($C$2:$C$1073=$C999)*($E$2:$E$1073=$E999)*(ROW(T$2:T$1073)&lt;&gt;ROW(T999))*(T$2:T$1073&lt;&gt;""))),"")</f>
        <v>5.6092622694093944E-2</v>
      </c>
      <c r="AC999" cm="1">
        <f t="array" ref="AC999">IFERROR(AVERAGE(_xlfn._xlws.FILTER(U$2:U$1073,($C$2:$C$1073=$C999)*($E$2:$E$1073=$E999)*(ROW(U$2:U$1073)&lt;&gt;ROW(U999))*(U$2:U$1073&lt;&gt;""))),"")</f>
        <v>0.4847383603532891</v>
      </c>
      <c r="AD999" cm="1">
        <f t="array" ref="AD999">IFERROR(AVERAGE(_xlfn._xlws.FILTER(V$2:V$1073,($C$2:$C$1073=$C999)*($E$2:$E$1073=$E999)*(ROW(V$2:V$1073)&lt;&gt;ROW(V999))*(V$2:V$1073&lt;&gt;""))),"")</f>
        <v>0.71859512179984464</v>
      </c>
      <c r="AE999">
        <f>IF('Дивиденды по годам'!M999&lt;0,1,0)</f>
        <v>0</v>
      </c>
    </row>
    <row r="1000" spans="1:31" x14ac:dyDescent="0.2">
      <c r="A1000" s="7" t="s">
        <v>2303</v>
      </c>
      <c r="B1000" t="str">
        <f t="shared" si="165"/>
        <v>NMTP IV кв. 2019</v>
      </c>
      <c r="C1000">
        <v>2019</v>
      </c>
      <c r="D1000">
        <f>SUMIFS(Дивиденды!$C:$C,Дивиденды!$A:$A,A1000,Дивиденды!$I:$I,C1000)</f>
        <v>1.35</v>
      </c>
      <c r="E1000">
        <v>7</v>
      </c>
      <c r="F1000">
        <f t="shared" si="166"/>
        <v>1.35</v>
      </c>
      <c r="G1000">
        <f t="shared" si="167"/>
        <v>1.83</v>
      </c>
      <c r="H1000">
        <f t="shared" si="168"/>
        <v>1</v>
      </c>
      <c r="I1000">
        <f t="shared" si="169"/>
        <v>0.25</v>
      </c>
      <c r="J1000">
        <f t="shared" si="170"/>
        <v>5.4687500000000049E-2</v>
      </c>
      <c r="K1000">
        <f t="shared" si="175"/>
        <v>-0.42594091460946981</v>
      </c>
      <c r="L1000">
        <f t="shared" si="171"/>
        <v>1</v>
      </c>
      <c r="M1000">
        <f t="shared" si="172"/>
        <v>0</v>
      </c>
      <c r="N1000">
        <f t="shared" si="173"/>
        <v>0</v>
      </c>
      <c r="O1000">
        <f t="shared" si="174"/>
        <v>0.5</v>
      </c>
      <c r="P1000">
        <f>IFERROR(LN('Дивиденды по годам'!I1000),"")</f>
        <v>25.995399684722415</v>
      </c>
      <c r="Q1000">
        <f>IFERROR('Дивиденды по годам'!G1000/'Дивиденды по годам'!I1000, "")</f>
        <v>0.41615772575295251</v>
      </c>
      <c r="R1000">
        <f>IFERROR(IF(AND('Дивиденды по годам'!N1000&lt;&gt;"",'Дивиденды по годам'!U1000&lt;&gt;"",'Дивиденды по годам'!U1000&lt;&gt;0),'Дивиденды по годам'!N1000/'Дивиденды по годам'!U1000-1,""),"")</f>
        <v>-6.2801206335265314E-2</v>
      </c>
      <c r="S1000">
        <f>IFERROR(IF(AND('Дивиденды по годам'!L1000&lt;&gt;"",'Дивиденды по годам'!I1000&lt;&gt;"",'Дивиденды по годам'!J1000&lt;&gt;"",'Дивиденды по годам'!K1000&lt;&gt;"",('Дивиденды по годам'!I1000-'Дивиденды по годам'!J1000-'Дивиденды по годам'!K1000)&lt;&gt;0),'Дивиденды по годам'!L1000/('Дивиденды по годам'!I1000-'Дивиденды по годам'!J1000-'Дивиденды по годам'!K1000),""),"")</f>
        <v>1.264551151814838</v>
      </c>
      <c r="T1000">
        <f>IFERROR(IF(AND('Дивиденды по годам'!Q1000&lt;&gt;"",'Дивиденды по годам'!I1000&lt;&gt;"",'Дивиденды по годам'!V1000&lt;&gt;"",('Дивиденды по годам'!I1000+'Дивиденды по годам'!V1000)&lt;&gt;0),'Дивиденды по годам'!Q1000/(('Дивиденды по годам'!I1000+'Дивиденды по годам'!V1000)/2),""),"")</f>
        <v>0.38125035829401982</v>
      </c>
      <c r="U1000">
        <f>IFERROR(IF(AND('Дивиденды по годам'!J1000&lt;&gt;"",'Дивиденды по годам'!K1000&lt;&gt;"",'Дивиденды по годам'!M1000&lt;&gt;"",'Дивиденды по годам'!M1000&lt;&gt;0),('Дивиденды по годам'!J1000+'Дивиденды по годам'!K1000)/'Дивиденды по годам'!M1000,""),"")</f>
        <v>0.82331937707800085</v>
      </c>
      <c r="V1000">
        <f>IFERROR(IF(AND('Дивиденды по годам'!J1000&lt;&gt;"",'Дивиденды по годам'!K1000&lt;&gt;"",'Дивиденды по годам'!M1000&lt;&gt;"",'Дивиденды по годам'!I1000&lt;&gt;0),('Дивиденды по годам'!J1000+'Дивиденды по годам'!K1000)/'Дивиденды по годам'!I1000,""),"")</f>
        <v>0.45154973255285025</v>
      </c>
      <c r="W1000">
        <f>IFERROR('Дивиденды по годам'!I1000,"")</f>
        <v>194831259447.18738</v>
      </c>
      <c r="X1000" cm="1">
        <f t="array" ref="X1000">IFERROR(AVERAGE(_xlfn._xlws.FILTER(P$2:P$1073,($C$2:$C$1073=$C1000)*($E$2:$E$1073=$E1000)*(ROW(P$2:P$1073)&lt;&gt;ROW(P1000))*(P$2:P$1073&lt;&gt;""))),"")</f>
        <v>25.671836975982831</v>
      </c>
      <c r="Y1000" cm="1">
        <f t="array" ref="Y1000">IFERROR(AVERAGE(_xlfn._xlws.FILTER(Q$2:Q$1073,($C$2:$C$1073=$C1000)*($E$2:$E$1073=$E1000)*(ROW(Q$2:Q$1073)&lt;&gt;ROW(Q1000))*(Q$2:Q$1073&lt;&gt;""))),"")</f>
        <v>0.48180132515792196</v>
      </c>
      <c r="Z1000" cm="1">
        <f t="array" ref="Z1000">IFERROR(AVERAGE(_xlfn._xlws.FILTER(R$2:R$1073,($C$2:$C$1073=$C1000)*($E$2:$E$1073=$E1000)*(ROW(R$2:R$1073)&lt;&gt;ROW(R1000))*(R$2:R$1073&lt;&gt;""))),"")</f>
        <v>0.14848619552747108</v>
      </c>
      <c r="AA1000" cm="1">
        <f t="array" ref="AA1000">IFERROR(AVERAGE(_xlfn._xlws.FILTER(S$2:S$1073,($C$2:$C$1073=$C1000)*($E$2:$E$1073=$E1000)*(ROW(S$2:S$1073)&lt;&gt;ROW(S1000))*(S$2:S$1073&lt;&gt;""))),"")</f>
        <v>-3.8354437402172046</v>
      </c>
      <c r="AB1000" cm="1">
        <f t="array" ref="AB1000">IFERROR(AVERAGE(_xlfn._xlws.FILTER(T$2:T$1073,($C$2:$C$1073=$C1000)*($E$2:$E$1073=$E1000)*(ROW(T$2:T$1073)&lt;&gt;ROW(T1000))*(T$2:T$1073&lt;&gt;""))),"")</f>
        <v>2.4142654398887468E-2</v>
      </c>
      <c r="AC1000" cm="1">
        <f t="array" ref="AC1000">IFERROR(AVERAGE(_xlfn._xlws.FILTER(U$2:U$1073,($C$2:$C$1073=$C1000)*($E$2:$E$1073=$E1000)*(ROW(U$2:U$1073)&lt;&gt;ROW(U1000))*(U$2:U$1073&lt;&gt;""))),"")</f>
        <v>122.4830434586603</v>
      </c>
      <c r="AD1000" cm="1">
        <f t="array" ref="AD1000">IFERROR(AVERAGE(_xlfn._xlws.FILTER(V$2:V$1073,($C$2:$C$1073=$C1000)*($E$2:$E$1073=$E1000)*(ROW(V$2:V$1073)&lt;&gt;ROW(V1000))*(V$2:V$1073&lt;&gt;""))),"")</f>
        <v>0.74756215651715374</v>
      </c>
      <c r="AE1000">
        <f>IF('Дивиденды по годам'!M1000&lt;0,1,0)</f>
        <v>0</v>
      </c>
    </row>
    <row r="1001" spans="1:31" x14ac:dyDescent="0.2">
      <c r="A1001" s="7" t="s">
        <v>2303</v>
      </c>
      <c r="B1001" t="str">
        <f t="shared" si="165"/>
        <v>NMTP IV кв. 2018</v>
      </c>
      <c r="C1001">
        <v>2018</v>
      </c>
      <c r="D1001">
        <f>SUMIFS(Дивиденды!$C:$C,Дивиденды!$A:$A,A1001,Дивиденды!$I:$I,C1001)</f>
        <v>1.28</v>
      </c>
      <c r="E1001">
        <v>7</v>
      </c>
      <c r="F1001">
        <f t="shared" si="166"/>
        <v>1.28</v>
      </c>
      <c r="G1001">
        <f t="shared" si="167"/>
        <v>6.8500000000000005</v>
      </c>
      <c r="H1001">
        <f t="shared" si="168"/>
        <v>1</v>
      </c>
      <c r="I1001">
        <f t="shared" si="169"/>
        <v>0.5</v>
      </c>
      <c r="J1001">
        <f t="shared" si="170"/>
        <v>1</v>
      </c>
      <c r="K1001">
        <f t="shared" si="175"/>
        <v>-0.13660612875179695</v>
      </c>
      <c r="L1001">
        <f t="shared" si="171"/>
        <v>1</v>
      </c>
      <c r="M1001">
        <f t="shared" si="172"/>
        <v>0.25</v>
      </c>
      <c r="N1001">
        <f t="shared" si="173"/>
        <v>0</v>
      </c>
      <c r="O1001">
        <f t="shared" si="174"/>
        <v>0.25</v>
      </c>
      <c r="P1001">
        <f>IFERROR(LN('Дивиденды по годам'!I1001),"")</f>
        <v>25.553761048301972</v>
      </c>
      <c r="Q1001">
        <f>IFERROR('Дивиденды по годам'!G1001/'Дивиденды по годам'!I1001, "")</f>
        <v>0.55064388236474959</v>
      </c>
      <c r="R1001">
        <f>IFERROR(IF(AND('Дивиденды по годам'!N1001&lt;&gt;"",'Дивиденды по годам'!U1001&lt;&gt;"",'Дивиденды по годам'!U1001&lt;&gt;0),'Дивиденды по годам'!N1001/'Дивиденды по годам'!U1001-1,""),"")</f>
        <v>0.139746083887758</v>
      </c>
      <c r="S1001">
        <f>IFERROR(IF(AND('Дивиденды по годам'!L1001&lt;&gt;"",'Дивиденды по годам'!I1001&lt;&gt;"",'Дивиденды по годам'!J1001&lt;&gt;"",'Дивиденды по годам'!K1001&lt;&gt;"",('Дивиденды по годам'!I1001-'Дивиденды по годам'!J1001-'Дивиденды по годам'!K1001)&lt;&gt;0),'Дивиденды по годам'!L1001/('Дивиденды по годам'!I1001-'Дивиденды по годам'!J1001-'Дивиденды по годам'!K1001),""),"")</f>
        <v>1.7681488079300118</v>
      </c>
      <c r="T1001">
        <f>IFERROR(IF(AND('Дивиденды по годам'!Q1001&lt;&gt;"",'Дивиденды по годам'!I1001&lt;&gt;"",'Дивиденды по годам'!V1001&lt;&gt;"",('Дивиденды по годам'!I1001+'Дивиденды по годам'!V1001)&lt;&gt;0),'Дивиденды по годам'!Q1001/(('Дивиденды по годам'!I1001+'Дивиденды по годам'!V1001)/2),""),"")</f>
        <v>0.13263351471571716</v>
      </c>
      <c r="U1001">
        <f>IFERROR(IF(AND('Дивиденды по годам'!J1001&lt;&gt;"",'Дивиденды по годам'!K1001&lt;&gt;"",'Дивиденды по годам'!M1001&lt;&gt;"",'Дивиденды по годам'!M1001&lt;&gt;0),('Дивиденды по годам'!J1001+'Дивиденды по годам'!K1001)/'Дивиденды по годам'!M1001,""),"")</f>
        <v>1.7221162725886743</v>
      </c>
      <c r="V1001">
        <f>IFERROR(IF(AND('Дивиденды по годам'!J1001&lt;&gt;"",'Дивиденды по годам'!K1001&lt;&gt;"",'Дивиденды по годам'!M1001&lt;&gt;"",'Дивиденды по годам'!I1001&lt;&gt;0),('Дивиденды по годам'!J1001+'Дивиденды по годам'!K1001)/'Дивиденды по годам'!I1001,""),"")</f>
        <v>0.63263876342467129</v>
      </c>
      <c r="W1001">
        <f>IFERROR('Дивиденды по годам'!I1001,"")</f>
        <v>125272981899.86708</v>
      </c>
      <c r="X1001" cm="1">
        <f t="array" ref="X1001">IFERROR(AVERAGE(_xlfn._xlws.FILTER(P$2:P$1073,($C$2:$C$1073=$C1001)*($E$2:$E$1073=$E1001)*(ROW(P$2:P$1073)&lt;&gt;ROW(P1001))*(P$2:P$1073&lt;&gt;""))),"")</f>
        <v>25.34111165286582</v>
      </c>
      <c r="Y1001" cm="1">
        <f t="array" ref="Y1001">IFERROR(AVERAGE(_xlfn._xlws.FILTER(Q$2:Q$1073,($C$2:$C$1073=$C1001)*($E$2:$E$1073=$E1001)*(ROW(Q$2:Q$1073)&lt;&gt;ROW(Q1001))*(Q$2:Q$1073&lt;&gt;""))),"")</f>
        <v>0.58672128229780418</v>
      </c>
      <c r="Z1001" cm="1">
        <f t="array" ref="Z1001">IFERROR(AVERAGE(_xlfn._xlws.FILTER(R$2:R$1073,($C$2:$C$1073=$C1001)*($E$2:$E$1073=$E1001)*(ROW(R$2:R$1073)&lt;&gt;ROW(R1001))*(R$2:R$1073&lt;&gt;""))),"")</f>
        <v>0.4335176271114391</v>
      </c>
      <c r="AA1001" cm="1">
        <f t="array" ref="AA1001">IFERROR(AVERAGE(_xlfn._xlws.FILTER(S$2:S$1073,($C$2:$C$1073=$C1001)*($E$2:$E$1073=$E1001)*(ROW(S$2:S$1073)&lt;&gt;ROW(S1001))*(S$2:S$1073&lt;&gt;""))),"")</f>
        <v>1.0183928370490369</v>
      </c>
      <c r="AB1001" cm="1">
        <f t="array" ref="AB1001">IFERROR(AVERAGE(_xlfn._xlws.FILTER(T$2:T$1073,($C$2:$C$1073=$C1001)*($E$2:$E$1073=$E1001)*(ROW(T$2:T$1073)&lt;&gt;ROW(T1001))*(T$2:T$1073&lt;&gt;""))),"")</f>
        <v>0.11212825264492124</v>
      </c>
      <c r="AC1001" cm="1">
        <f t="array" ref="AC1001">IFERROR(AVERAGE(_xlfn._xlws.FILTER(U$2:U$1073,($C$2:$C$1073=$C1001)*($E$2:$E$1073=$E1001)*(ROW(U$2:U$1073)&lt;&gt;ROW(U1001))*(U$2:U$1073&lt;&gt;""))),"")</f>
        <v>6.5495865932824575</v>
      </c>
      <c r="AD1001" cm="1">
        <f t="array" ref="AD1001">IFERROR(AVERAGE(_xlfn._xlws.FILTER(V$2:V$1073,($C$2:$C$1073=$C1001)*($E$2:$E$1073=$E1001)*(ROW(V$2:V$1073)&lt;&gt;ROW(V1001))*(V$2:V$1073&lt;&gt;""))),"")</f>
        <v>0.70436564240088073</v>
      </c>
      <c r="AE1001">
        <f>IF('Дивиденды по годам'!M1001&lt;0,1,0)</f>
        <v>0</v>
      </c>
    </row>
    <row r="1002" spans="1:31" x14ac:dyDescent="0.2">
      <c r="A1002" s="7" t="s">
        <v>2303</v>
      </c>
      <c r="B1002" t="str">
        <f t="shared" si="165"/>
        <v>NMTP IV кв. 2017</v>
      </c>
      <c r="C1002">
        <v>2017</v>
      </c>
      <c r="D1002">
        <f>SUMIFS(Дивиденды!$C:$C,Дивиденды!$A:$A,A1002,Дивиденды!$I:$I,C1002)</f>
        <v>0</v>
      </c>
      <c r="E1002">
        <v>7</v>
      </c>
      <c r="F1002">
        <f t="shared" si="166"/>
        <v>0</v>
      </c>
      <c r="G1002">
        <f t="shared" si="167"/>
        <v>8.17</v>
      </c>
      <c r="H1002">
        <f t="shared" si="168"/>
        <v>0</v>
      </c>
      <c r="I1002">
        <f t="shared" si="169"/>
        <v>0.5</v>
      </c>
      <c r="J1002">
        <f t="shared" si="170"/>
        <v>-1</v>
      </c>
      <c r="K1002">
        <f t="shared" si="175"/>
        <v>0.10347164949451537</v>
      </c>
      <c r="L1002">
        <f t="shared" si="171"/>
        <v>0</v>
      </c>
      <c r="M1002">
        <f t="shared" si="172"/>
        <v>0.25</v>
      </c>
      <c r="N1002">
        <f t="shared" si="173"/>
        <v>1</v>
      </c>
      <c r="O1002">
        <f t="shared" si="174"/>
        <v>0.25</v>
      </c>
      <c r="P1002">
        <f>IFERROR(LN('Дивиденды по годам'!I1002),"")</f>
        <v>25.582299364196274</v>
      </c>
      <c r="Q1002">
        <f>IFERROR('Дивиденды по годам'!G1002/'Дивиденды по годам'!I1002, "")</f>
        <v>0.57911777652214469</v>
      </c>
      <c r="R1002">
        <f>IFERROR(IF(AND('Дивиденды по годам'!N1002&lt;&gt;"",'Дивиденды по годам'!U1002&lt;&gt;"",'Дивиденды по годам'!U1002&lt;&gt;0),'Дивиденды по годам'!N1002/'Дивиденды по годам'!U1002-1,""),"")</f>
        <v>-9.570189631116921E-2</v>
      </c>
      <c r="S1002">
        <f>IFERROR(IF(AND('Дивиденды по годам'!L1002&lt;&gt;"",'Дивиденды по годам'!I1002&lt;&gt;"",'Дивиденды по годам'!J1002&lt;&gt;"",'Дивиденды по годам'!K1002&lt;&gt;"",('Дивиденды по годам'!I1002-'Дивиденды по годам'!J1002-'Дивиденды по годам'!K1002)&lt;&gt;0),'Дивиденды по годам'!L1002/('Дивиденды по годам'!I1002-'Дивиденды по годам'!J1002-'Дивиденды по годам'!K1002),""),"")</f>
        <v>1.5012609740576672</v>
      </c>
      <c r="T1002">
        <f>IFERROR(IF(AND('Дивиденды по годам'!Q1002&lt;&gt;"",'Дивиденды по годам'!I1002&lt;&gt;"",'Дивиденды по годам'!V1002&lt;&gt;"",('Дивиденды по годам'!I1002+'Дивиденды по годам'!V1002)&lt;&gt;0),'Дивиденды по годам'!Q1002/(('Дивиденды по годам'!I1002+'Дивиденды по годам'!V1002)/2),""),"")</f>
        <v>0.19595439161262446</v>
      </c>
      <c r="U1002">
        <f>IFERROR(IF(AND('Дивиденды по годам'!J1002&lt;&gt;"",'Дивиденды по годам'!K1002&lt;&gt;"",'Дивиденды по годам'!M1002&lt;&gt;"",'Дивиденды по годам'!M1002&lt;&gt;0),('Дивиденды по годам'!J1002+'Дивиденды по годам'!K1002)/'Дивиденды по годам'!M1002,""),"")</f>
        <v>1.7313686603772418</v>
      </c>
      <c r="V1002">
        <f>IFERROR(IF(AND('Дивиденды по годам'!J1002&lt;&gt;"",'Дивиденды по годам'!K1002&lt;&gt;"",'Дивиденды по годам'!M1002&lt;&gt;"",'Дивиденды по годам'!I1002&lt;&gt;0),('Дивиденды по годам'!J1002+'Дивиденды по годам'!K1002)/'Дивиденды по годам'!I1002,""),"")</f>
        <v>0.63388318299665725</v>
      </c>
      <c r="W1002">
        <f>IFERROR('Дивиденды по годам'!I1002,"")</f>
        <v>128899563971.31612</v>
      </c>
      <c r="X1002" cm="1">
        <f t="array" ref="X1002">IFERROR(AVERAGE(_xlfn._xlws.FILTER(P$2:P$1073,($C$2:$C$1073=$C1002)*($E$2:$E$1073=$E1002)*(ROW(P$2:P$1073)&lt;&gt;ROW(P1002))*(P$2:P$1073&lt;&gt;""))),"")</f>
        <v>25.261719285771981</v>
      </c>
      <c r="Y1002" cm="1">
        <f t="array" ref="Y1002">IFERROR(AVERAGE(_xlfn._xlws.FILTER(Q$2:Q$1073,($C$2:$C$1073=$C1002)*($E$2:$E$1073=$E1002)*(ROW(Q$2:Q$1073)&lt;&gt;ROW(Q1002))*(Q$2:Q$1073&lt;&gt;""))),"")</f>
        <v>0.50466409270183554</v>
      </c>
      <c r="Z1002" cm="1">
        <f t="array" ref="Z1002">IFERROR(AVERAGE(_xlfn._xlws.FILTER(R$2:R$1073,($C$2:$C$1073=$C1002)*($E$2:$E$1073=$E1002)*(ROW(R$2:R$1073)&lt;&gt;ROW(R1002))*(R$2:R$1073&lt;&gt;""))),"")</f>
        <v>0.12478718234796959</v>
      </c>
      <c r="AA1002" cm="1">
        <f t="array" ref="AA1002">IFERROR(AVERAGE(_xlfn._xlws.FILTER(S$2:S$1073,($C$2:$C$1073=$C1002)*($E$2:$E$1073=$E1002)*(ROW(S$2:S$1073)&lt;&gt;ROW(S1002))*(S$2:S$1073&lt;&gt;""))),"")</f>
        <v>0.1523842966019211</v>
      </c>
      <c r="AB1002" cm="1">
        <f t="array" ref="AB1002">IFERROR(AVERAGE(_xlfn._xlws.FILTER(T$2:T$1073,($C$2:$C$1073=$C1002)*($E$2:$E$1073=$E1002)*(ROW(T$2:T$1073)&lt;&gt;ROW(T1002))*(T$2:T$1073&lt;&gt;""))),"")</f>
        <v>0.15768980303101338</v>
      </c>
      <c r="AC1002" cm="1">
        <f t="array" ref="AC1002">IFERROR(AVERAGE(_xlfn._xlws.FILTER(U$2:U$1073,($C$2:$C$1073=$C1002)*($E$2:$E$1073=$E1002)*(ROW(U$2:U$1073)&lt;&gt;ROW(U1002))*(U$2:U$1073&lt;&gt;""))),"")</f>
        <v>6.1896042711120121</v>
      </c>
      <c r="AD1002" cm="1">
        <f t="array" ref="AD1002">IFERROR(AVERAGE(_xlfn._xlws.FILTER(V$2:V$1073,($C$2:$C$1073=$C1002)*($E$2:$E$1073=$E1002)*(ROW(V$2:V$1073)&lt;&gt;ROW(V1002))*(V$2:V$1073&lt;&gt;""))),"")</f>
        <v>0.69255896762628066</v>
      </c>
      <c r="AE1002">
        <f>IF('Дивиденды по годам'!M1002&lt;0,1,0)</f>
        <v>0</v>
      </c>
    </row>
    <row r="1003" spans="1:31" x14ac:dyDescent="0.2">
      <c r="A1003" s="7" t="s">
        <v>2303</v>
      </c>
      <c r="B1003" t="str">
        <f t="shared" si="165"/>
        <v>NMTP IV кв. 2016</v>
      </c>
      <c r="C1003">
        <v>2016</v>
      </c>
      <c r="D1003">
        <f>SUMIFS(Дивиденды!$C:$C,Дивиденды!$A:$A,A1003,Дивиденды!$I:$I,C1003)</f>
        <v>1.3019000000000001</v>
      </c>
      <c r="E1003">
        <v>7</v>
      </c>
      <c r="F1003">
        <f t="shared" si="166"/>
        <v>1.3019000000000001</v>
      </c>
      <c r="G1003">
        <f t="shared" si="167"/>
        <v>7.3250000000000002</v>
      </c>
      <c r="H1003">
        <f t="shared" si="168"/>
        <v>1</v>
      </c>
      <c r="I1003">
        <f t="shared" si="169"/>
        <v>0.5</v>
      </c>
      <c r="J1003">
        <f t="shared" si="170"/>
        <v>1</v>
      </c>
      <c r="K1003">
        <f t="shared" si="175"/>
        <v>0.16982758620689659</v>
      </c>
      <c r="L1003">
        <f t="shared" si="171"/>
        <v>1</v>
      </c>
      <c r="M1003">
        <f t="shared" si="172"/>
        <v>0.25</v>
      </c>
      <c r="N1003">
        <f t="shared" si="173"/>
        <v>0</v>
      </c>
      <c r="O1003">
        <f t="shared" si="174"/>
        <v>0.25</v>
      </c>
      <c r="P1003">
        <f>IFERROR(LN('Дивиденды по годам'!I1003),"")</f>
        <v>25.608719044798129</v>
      </c>
      <c r="Q1003">
        <f>IFERROR('Дивиденды по годам'!G1003/'Дивиденды по годам'!I1003, "")</f>
        <v>0.52454841213440973</v>
      </c>
      <c r="R1003" t="str">
        <f>IFERROR(IF(AND('Дивиденды по годам'!N1003&lt;&gt;"",'Дивиденды по годам'!U1003&lt;&gt;"",'Дивиденды по годам'!U1003&lt;&gt;0),'Дивиденды по годам'!N1003/'Дивиденды по годам'!U1003-1,""),"")</f>
        <v/>
      </c>
      <c r="S1003">
        <f>IFERROR(IF(AND('Дивиденды по годам'!L1003&lt;&gt;"",'Дивиденды по годам'!I1003&lt;&gt;"",'Дивиденды по годам'!J1003&lt;&gt;"",'Дивиденды по годам'!K1003&lt;&gt;"",('Дивиденды по годам'!I1003-'Дивиденды по годам'!J1003-'Дивиденды по годам'!K1003)&lt;&gt;0),'Дивиденды по годам'!L1003/('Дивиденды по годам'!I1003-'Дивиденды по годам'!J1003-'Дивиденды по годам'!K1003),""),"")</f>
        <v>0.96073756720669001</v>
      </c>
      <c r="T1003" t="str">
        <f>IFERROR(IF(AND('Дивиденды по годам'!Q1003&lt;&gt;"",'Дивиденды по годам'!I1003&lt;&gt;"",'Дивиденды по годам'!V1003&lt;&gt;"",('Дивиденды по годам'!I1003+'Дивиденды по годам'!V1003)&lt;&gt;0),'Дивиденды по годам'!Q1003/(('Дивиденды по годам'!I1003+'Дивиденды по годам'!V1003)/2),""),"")</f>
        <v/>
      </c>
      <c r="U1003">
        <f>IFERROR(IF(AND('Дивиденды по годам'!J1003&lt;&gt;"",'Дивиденды по годам'!K1003&lt;&gt;"",'Дивиденды по годам'!M1003&lt;&gt;"",'Дивиденды по годам'!M1003&lt;&gt;0),('Дивиденды по годам'!J1003+'Дивиденды по годам'!K1003)/'Дивиденды по годам'!M1003,""),"")</f>
        <v>2.6900563053069249</v>
      </c>
      <c r="V1003">
        <f>IFERROR(IF(AND('Дивиденды по годам'!J1003&lt;&gt;"",'Дивиденды по годам'!K1003&lt;&gt;"",'Дивиденды по годам'!M1003&lt;&gt;"",'Дивиденды по годам'!I1003&lt;&gt;0),('Дивиденды по годам'!J1003+'Дивиденды по годам'!K1003)/'Дивиденды по годам'!I1003,""),"")</f>
        <v>0.72900142511055155</v>
      </c>
      <c r="W1003">
        <f>IFERROR('Дивиденды по годам'!I1003,"")</f>
        <v>132350434000</v>
      </c>
      <c r="X1003" cm="1">
        <f t="array" ref="X1003">IFERROR(AVERAGE(_xlfn._xlws.FILTER(P$2:P$1073,($C$2:$C$1073=$C1003)*($E$2:$E$1073=$E1003)*(ROW(P$2:P$1073)&lt;&gt;ROW(P1003))*(P$2:P$1073&lt;&gt;""))),"")</f>
        <v>25.098873039904337</v>
      </c>
      <c r="Y1003" cm="1">
        <f t="array" ref="Y1003">IFERROR(AVERAGE(_xlfn._xlws.FILTER(Q$2:Q$1073,($C$2:$C$1073=$C1003)*($E$2:$E$1073=$E1003)*(ROW(Q$2:Q$1073)&lt;&gt;ROW(Q1003))*(Q$2:Q$1073&lt;&gt;""))),"")</f>
        <v>0.56911345773257405</v>
      </c>
      <c r="Z1003" cm="1">
        <f t="array" ref="Z1003">IFERROR(AVERAGE(_xlfn._xlws.FILTER(R$2:R$1073,($C$2:$C$1073=$C1003)*($E$2:$E$1073=$E1003)*(ROW(R$2:R$1073)&lt;&gt;ROW(R1003))*(R$2:R$1073&lt;&gt;""))),"")</f>
        <v>9.945660940703209E-2</v>
      </c>
      <c r="AA1003" cm="1">
        <f t="array" ref="AA1003">IFERROR(AVERAGE(_xlfn._xlws.FILTER(S$2:S$1073,($C$2:$C$1073=$C1003)*($E$2:$E$1073=$E1003)*(ROW(S$2:S$1073)&lt;&gt;ROW(S1003))*(S$2:S$1073&lt;&gt;""))),"")</f>
        <v>1.4699316329505256</v>
      </c>
      <c r="AB1003" cm="1">
        <f t="array" ref="AB1003">IFERROR(AVERAGE(_xlfn._xlws.FILTER(T$2:T$1073,($C$2:$C$1073=$C1003)*($E$2:$E$1073=$E1003)*(ROW(T$2:T$1073)&lt;&gt;ROW(T1003))*(T$2:T$1073&lt;&gt;""))),"")</f>
        <v>5.9474833999789568E-2</v>
      </c>
      <c r="AC1003" cm="1">
        <f t="array" ref="AC1003">IFERROR(AVERAGE(_xlfn._xlws.FILTER(U$2:U$1073,($C$2:$C$1073=$C1003)*($E$2:$E$1073=$E1003)*(ROW(U$2:U$1073)&lt;&gt;ROW(U1003))*(U$2:U$1073&lt;&gt;""))),"")</f>
        <v>0.62178730124937776</v>
      </c>
      <c r="AD1003" cm="1">
        <f t="array" ref="AD1003">IFERROR(AVERAGE(_xlfn._xlws.FILTER(V$2:V$1073,($C$2:$C$1073=$C1003)*($E$2:$E$1073=$E1003)*(ROW(V$2:V$1073)&lt;&gt;ROW(V1003))*(V$2:V$1073&lt;&gt;""))),"")</f>
        <v>0.74126914712834269</v>
      </c>
      <c r="AE1003">
        <f>IF('Дивиденды по годам'!M1003&lt;0,1,0)</f>
        <v>0</v>
      </c>
    </row>
    <row r="1004" spans="1:31" x14ac:dyDescent="0.2">
      <c r="A1004" s="7" t="s">
        <v>2303</v>
      </c>
      <c r="B1004" t="str">
        <f t="shared" si="165"/>
        <v>NMTP IV кв. 2015</v>
      </c>
      <c r="C1004">
        <v>2015</v>
      </c>
      <c r="D1004">
        <f>SUMIFS(Дивиденды!$C:$C,Дивиденды!$A:$A,A1004,Дивиденды!$I:$I,C1004)</f>
        <v>0</v>
      </c>
      <c r="E1004">
        <v>7</v>
      </c>
      <c r="F1004">
        <f t="shared" si="166"/>
        <v>0</v>
      </c>
      <c r="G1004">
        <f t="shared" si="167"/>
        <v>4.3499999999999996</v>
      </c>
      <c r="H1004">
        <f t="shared" si="168"/>
        <v>0</v>
      </c>
      <c r="I1004">
        <f t="shared" si="169"/>
        <v>0.25</v>
      </c>
      <c r="J1004">
        <f t="shared" si="170"/>
        <v>-1</v>
      </c>
      <c r="K1004">
        <f t="shared" si="175"/>
        <v>0.25</v>
      </c>
      <c r="L1004">
        <f t="shared" si="171"/>
        <v>0</v>
      </c>
      <c r="M1004">
        <f t="shared" si="172"/>
        <v>0.25</v>
      </c>
      <c r="N1004">
        <f t="shared" si="173"/>
        <v>1</v>
      </c>
      <c r="O1004">
        <f t="shared" si="174"/>
        <v>0</v>
      </c>
      <c r="P1004" t="str">
        <f>IFERROR(LN('Дивиденды по годам'!I1004),"")</f>
        <v/>
      </c>
      <c r="Q1004" t="str">
        <f>IFERROR('Дивиденды по годам'!G1004/'Дивиденды по годам'!I1004, "")</f>
        <v/>
      </c>
      <c r="R1004" t="str">
        <f>IFERROR(IF(AND('Дивиденды по годам'!N1004&lt;&gt;"",'Дивиденды по годам'!U1004&lt;&gt;"",'Дивиденды по годам'!U1004&lt;&gt;0),'Дивиденды по годам'!N1004/'Дивиденды по годам'!U1004-1,""),"")</f>
        <v/>
      </c>
      <c r="S1004" t="str">
        <f>IFERROR(IF(AND('Дивиденды по годам'!L1004&lt;&gt;"",'Дивиденды по годам'!I1004&lt;&gt;"",'Дивиденды по годам'!J1004&lt;&gt;"",'Дивиденды по годам'!K1004&lt;&gt;"",('Дивиденды по годам'!I1004-'Дивиденды по годам'!J1004-'Дивиденды по годам'!K1004)&lt;&gt;0),'Дивиденды по годам'!L1004/('Дивиденды по годам'!I1004-'Дивиденды по годам'!J1004-'Дивиденды по годам'!K1004),""),"")</f>
        <v/>
      </c>
      <c r="T1004" t="str">
        <f>IFERROR(IF(AND('Дивиденды по годам'!Q1004&lt;&gt;"",'Дивиденды по годам'!I1004&lt;&gt;"",'Дивиденды по годам'!V1004&lt;&gt;"",('Дивиденды по годам'!I1004+'Дивиденды по годам'!V1004)&lt;&gt;0),'Дивиденды по годам'!Q1004/(('Дивиденды по годам'!I1004+'Дивиденды по годам'!V1004)/2),""),"")</f>
        <v/>
      </c>
      <c r="U1004" t="str">
        <f>IFERROR(IF(AND('Дивиденды по годам'!J1004&lt;&gt;"",'Дивиденды по годам'!K1004&lt;&gt;"",'Дивиденды по годам'!M1004&lt;&gt;"",'Дивиденды по годам'!M1004&lt;&gt;0),('Дивиденды по годам'!J1004+'Дивиденды по годам'!K1004)/'Дивиденды по годам'!M1004,""),"")</f>
        <v/>
      </c>
      <c r="V1004" t="str">
        <f>IFERROR(IF(AND('Дивиденды по годам'!J1004&lt;&gt;"",'Дивиденды по годам'!K1004&lt;&gt;"",'Дивиденды по годам'!M1004&lt;&gt;"",'Дивиденды по годам'!I1004&lt;&gt;0),('Дивиденды по годам'!J1004+'Дивиденды по годам'!K1004)/'Дивиденды по годам'!I1004,""),"")</f>
        <v/>
      </c>
      <c r="W1004" t="str">
        <f>IFERROR('Дивиденды по годам'!I1004,"")</f>
        <v/>
      </c>
      <c r="X1004" cm="1">
        <f t="array" ref="X1004">IFERROR(AVERAGE(_xlfn._xlws.FILTER(P$2:P$1073,($C$2:$C$1073=$C1004)*($E$2:$E$1073=$E1004)*(ROW(P$2:P$1073)&lt;&gt;ROW(P1004))*(P$2:P$1073&lt;&gt;""))),"")</f>
        <v>25.946113093409206</v>
      </c>
      <c r="Y1004" cm="1">
        <f t="array" ref="Y1004">IFERROR(AVERAGE(_xlfn._xlws.FILTER(Q$2:Q$1073,($C$2:$C$1073=$C1004)*($E$2:$E$1073=$E1004)*(ROW(Q$2:Q$1073)&lt;&gt;ROW(Q1004))*(Q$2:Q$1073&lt;&gt;""))),"")</f>
        <v>0.53588363996896138</v>
      </c>
      <c r="Z1004" cm="1">
        <f t="array" ref="Z1004">IFERROR(AVERAGE(_xlfn._xlws.FILTER(R$2:R$1073,($C$2:$C$1073=$C1004)*($E$2:$E$1073=$E1004)*(ROW(R$2:R$1073)&lt;&gt;ROW(R1004))*(R$2:R$1073&lt;&gt;""))),"")</f>
        <v>0.23188574425603645</v>
      </c>
      <c r="AA1004" cm="1">
        <f t="array" ref="AA1004">IFERROR(AVERAGE(_xlfn._xlws.FILTER(S$2:S$1073,($C$2:$C$1073=$C1004)*($E$2:$E$1073=$E1004)*(ROW(S$2:S$1073)&lt;&gt;ROW(S1004))*(S$2:S$1073&lt;&gt;""))),"")</f>
        <v>0.87227414330218056</v>
      </c>
      <c r="AB1004" cm="1">
        <f t="array" ref="AB1004">IFERROR(AVERAGE(_xlfn._xlws.FILTER(T$2:T$1073,($C$2:$C$1073=$C1004)*($E$2:$E$1073=$E1004)*(ROW(T$2:T$1073)&lt;&gt;ROW(T1004))*(T$2:T$1073&lt;&gt;""))),"")</f>
        <v>-4.1087370784105119E-2</v>
      </c>
      <c r="AC1004" cm="1">
        <f t="array" ref="AC1004">IFERROR(AVERAGE(_xlfn._xlws.FILTER(U$2:U$1073,($C$2:$C$1073=$C1004)*($E$2:$E$1073=$E1004)*(ROW(U$2:U$1073)&lt;&gt;ROW(U1004))*(U$2:U$1073&lt;&gt;""))),"")</f>
        <v>-4.1029699850533428</v>
      </c>
      <c r="AD1004" cm="1">
        <f t="array" ref="AD1004">IFERROR(AVERAGE(_xlfn._xlws.FILTER(V$2:V$1073,($C$2:$C$1073=$C1004)*($E$2:$E$1073=$E1004)*(ROW(V$2:V$1073)&lt;&gt;ROW(V1004))*(V$2:V$1073&lt;&gt;""))),"")</f>
        <v>0.99797391654671508</v>
      </c>
      <c r="AE1004">
        <f>IF('Дивиденды по годам'!M1004&lt;0,1,0)</f>
        <v>0</v>
      </c>
    </row>
    <row r="1005" spans="1:31" x14ac:dyDescent="0.2">
      <c r="A1005" s="7" t="s">
        <v>2303</v>
      </c>
      <c r="B1005" t="str">
        <f t="shared" si="165"/>
        <v>NMTP IV кв. 2014</v>
      </c>
      <c r="C1005">
        <v>2014</v>
      </c>
      <c r="D1005">
        <f>SUMIFS(Дивиденды!$C:$C,Дивиденды!$A:$A,A1005,Дивиденды!$I:$I,C1005)</f>
        <v>0.23</v>
      </c>
      <c r="E1005">
        <v>7</v>
      </c>
      <c r="F1005">
        <f t="shared" si="166"/>
        <v>0.23</v>
      </c>
      <c r="G1005">
        <f t="shared" si="167"/>
        <v>0</v>
      </c>
      <c r="H1005">
        <f t="shared" si="168"/>
        <v>1</v>
      </c>
      <c r="I1005">
        <f t="shared" si="169"/>
        <v>0</v>
      </c>
      <c r="J1005">
        <f t="shared" si="170"/>
        <v>8.8290598290598297</v>
      </c>
      <c r="K1005">
        <f t="shared" si="175"/>
        <v>-0.25</v>
      </c>
      <c r="L1005">
        <f t="shared" si="171"/>
        <v>1</v>
      </c>
      <c r="M1005">
        <f t="shared" si="172"/>
        <v>0</v>
      </c>
      <c r="N1005">
        <f t="shared" si="173"/>
        <v>0</v>
      </c>
      <c r="O1005">
        <f t="shared" si="174"/>
        <v>0.25</v>
      </c>
      <c r="P1005">
        <f>IFERROR(LN('Дивиденды по годам'!I1005),"")</f>
        <v>25.222439274465138</v>
      </c>
      <c r="Q1005">
        <f>IFERROR('Дивиденды по годам'!G1005/'Дивиденды по годам'!I1005, "")</f>
        <v>0.50137216893192338</v>
      </c>
      <c r="R1005">
        <f>IFERROR(IF(AND('Дивиденды по годам'!N1005&lt;&gt;"",'Дивиденды по годам'!U1005&lt;&gt;"",'Дивиденды по годам'!U1005&lt;&gt;0),'Дивиденды по годам'!N1005/'Дивиденды по годам'!U1005-1,""),"")</f>
        <v>0.25321369505773528</v>
      </c>
      <c r="S1005" t="str">
        <f>IFERROR(IF(AND('Дивиденды по годам'!L1005&lt;&gt;"",'Дивиденды по годам'!I1005&lt;&gt;"",'Дивиденды по годам'!J1005&lt;&gt;"",'Дивиденды по годам'!K1005&lt;&gt;"",('Дивиденды по годам'!I1005-'Дивиденды по годам'!J1005-'Дивиденды по годам'!K1005)&lt;&gt;0),'Дивиденды по годам'!L1005/('Дивиденды по годам'!I1005-'Дивиденды по годам'!J1005-'Дивиденды по годам'!K1005),""),"")</f>
        <v/>
      </c>
      <c r="T1005">
        <f>IFERROR(IF(AND('Дивиденды по годам'!Q1005&lt;&gt;"",'Дивиденды по годам'!I1005&lt;&gt;"",'Дивиденды по годам'!V1005&lt;&gt;"",('Дивиденды по годам'!I1005+'Дивиденды по годам'!V1005)&lt;&gt;0),'Дивиденды по годам'!Q1005/(('Дивиденды по годам'!I1005+'Дивиденды по годам'!V1005)/2),""),"")</f>
        <v>-0.15333104951958584</v>
      </c>
      <c r="U1005">
        <f>IFERROR(IF(AND('Дивиденды по годам'!J1005&lt;&gt;"",'Дивиденды по годам'!K1005&lt;&gt;"",'Дивиденды по годам'!M1005&lt;&gt;"",'Дивиденды по годам'!M1005&lt;&gt;0),('Дивиденды по годам'!J1005+'Дивиденды по годам'!K1005)/'Дивиденды по годам'!M1005,""),"")</f>
        <v>6.8986632536005699</v>
      </c>
      <c r="V1005">
        <f>IFERROR(IF(AND('Дивиденды по годам'!J1005&lt;&gt;"",'Дивиденды по годам'!K1005&lt;&gt;"",'Дивиденды по годам'!M1005&lt;&gt;"",'Дивиденды по годам'!I1005&lt;&gt;0),('Дивиденды по годам'!J1005+'Дивиденды по годам'!K1005)/'Дивиденды по годам'!I1005,""),"")</f>
        <v>0.87339629910869354</v>
      </c>
      <c r="W1005">
        <f>IFERROR('Дивиденды по годам'!I1005,"")</f>
        <v>89942757258.747513</v>
      </c>
      <c r="X1005" cm="1">
        <f t="array" ref="X1005">IFERROR(AVERAGE(_xlfn._xlws.FILTER(P$2:P$1073,($C$2:$C$1073=$C1005)*($E$2:$E$1073=$E1005)*(ROW(P$2:P$1073)&lt;&gt;ROW(P1005))*(P$2:P$1073&lt;&gt;""))),"")</f>
        <v>25.865915080410243</v>
      </c>
      <c r="Y1005" cm="1">
        <f t="array" ref="Y1005">IFERROR(AVERAGE(_xlfn._xlws.FILTER(Q$2:Q$1073,($C$2:$C$1073=$C1005)*($E$2:$E$1073=$E1005)*(ROW(Q$2:Q$1073)&lt;&gt;ROW(Q1005))*(Q$2:Q$1073&lt;&gt;""))),"")</f>
        <v>0.48341247309744323</v>
      </c>
      <c r="Z1005" cm="1">
        <f t="array" ref="Z1005">IFERROR(AVERAGE(_xlfn._xlws.FILTER(R$2:R$1073,($C$2:$C$1073=$C1005)*($E$2:$E$1073=$E1005)*(ROW(R$2:R$1073)&lt;&gt;ROW(R1005))*(R$2:R$1073&lt;&gt;""))),"")</f>
        <v>0.20450200900784465</v>
      </c>
      <c r="AA1005" cm="1">
        <f t="array" ref="AA1005">IFERROR(AVERAGE(_xlfn._xlws.FILTER(S$2:S$1073,($C$2:$C$1073=$C1005)*($E$2:$E$1073=$E1005)*(ROW(S$2:S$1073)&lt;&gt;ROW(S1005))*(S$2:S$1073&lt;&gt;""))),"")</f>
        <v>164.14893617021278</v>
      </c>
      <c r="AB1005" cm="1">
        <f t="array" ref="AB1005">IFERROR(AVERAGE(_xlfn._xlws.FILTER(T$2:T$1073,($C$2:$C$1073=$C1005)*($E$2:$E$1073=$E1005)*(ROW(T$2:T$1073)&lt;&gt;ROW(T1005))*(T$2:T$1073&lt;&gt;""))),"")</f>
        <v>-4.8023010279408383E-2</v>
      </c>
      <c r="AC1005" cm="1">
        <f t="array" ref="AC1005">IFERROR(AVERAGE(_xlfn._xlws.FILTER(U$2:U$1073,($C$2:$C$1073=$C1005)*($E$2:$E$1073=$E1005)*(ROW(U$2:U$1073)&lt;&gt;ROW(U1005))*(U$2:U$1073&lt;&gt;""))),"")</f>
        <v>-520.33099285990272</v>
      </c>
      <c r="AD1005" cm="1">
        <f t="array" ref="AD1005">IFERROR(AVERAGE(_xlfn._xlws.FILTER(V$2:V$1073,($C$2:$C$1073=$C1005)*($E$2:$E$1073=$E1005)*(ROW(V$2:V$1073)&lt;&gt;ROW(V1005))*(V$2:V$1073&lt;&gt;""))),"")</f>
        <v>0.85296272857717759</v>
      </c>
      <c r="AE1005">
        <f>IF('Дивиденды по годам'!M1005&lt;0,1,0)</f>
        <v>0</v>
      </c>
    </row>
    <row r="1006" spans="1:31" x14ac:dyDescent="0.2">
      <c r="A1006" s="7" t="s">
        <v>2303</v>
      </c>
      <c r="B1006" t="str">
        <f t="shared" si="165"/>
        <v>NMTP IV кв. 2013</v>
      </c>
      <c r="C1006">
        <v>2013</v>
      </c>
      <c r="D1006">
        <f>SUMIFS(Дивиденды!$C:$C,Дивиденды!$A:$A,A1006,Дивиденды!$I:$I,C1006)</f>
        <v>2.3400000000000001E-2</v>
      </c>
      <c r="E1006">
        <v>7</v>
      </c>
      <c r="F1006">
        <f t="shared" si="166"/>
        <v>2.3400000000000001E-2</v>
      </c>
      <c r="G1006">
        <f t="shared" si="167"/>
        <v>0.625</v>
      </c>
      <c r="H1006">
        <f t="shared" si="168"/>
        <v>1</v>
      </c>
      <c r="I1006">
        <f t="shared" si="169"/>
        <v>0.25</v>
      </c>
      <c r="J1006">
        <f t="shared" si="170"/>
        <v>-8.4745762711863903E-3</v>
      </c>
      <c r="K1006">
        <f t="shared" si="175"/>
        <v>0.28879310344827591</v>
      </c>
      <c r="L1006">
        <f t="shared" si="171"/>
        <v>0</v>
      </c>
      <c r="M1006">
        <f t="shared" si="172"/>
        <v>0.25</v>
      </c>
      <c r="N1006">
        <f t="shared" si="173"/>
        <v>1</v>
      </c>
      <c r="O1006">
        <f t="shared" si="174"/>
        <v>0</v>
      </c>
      <c r="P1006">
        <f>IFERROR(LN('Дивиденды по годам'!I1006),"")</f>
        <v>25.508319092366641</v>
      </c>
      <c r="Q1006">
        <f>IFERROR('Дивиденды по годам'!G1006/'Дивиденды по годам'!I1006, "")</f>
        <v>0.53583073301410145</v>
      </c>
      <c r="R1006">
        <f>IFERROR(IF(AND('Дивиденды по годам'!N1006&lt;&gt;"",'Дивиденды по годам'!U1006&lt;&gt;"",'Дивиденды по годам'!U1006&lt;&gt;0),'Дивиденды по годам'!N1006/'Дивиденды по годам'!U1006-1,""),"")</f>
        <v>-8.0347762636683195E-2</v>
      </c>
      <c r="S1006" t="str">
        <f>IFERROR(IF(AND('Дивиденды по годам'!L1006&lt;&gt;"",'Дивиденды по годам'!I1006&lt;&gt;"",'Дивиденды по годам'!J1006&lt;&gt;"",'Дивиденды по годам'!K1006&lt;&gt;"",('Дивиденды по годам'!I1006-'Дивиденды по годам'!J1006-'Дивиденды по годам'!K1006)&lt;&gt;0),'Дивиденды по годам'!L1006/('Дивиденды по годам'!I1006-'Дивиденды по годам'!J1006-'Дивиденды по годам'!K1006),""),"")</f>
        <v/>
      </c>
      <c r="T1006">
        <f>IFERROR(IF(AND('Дивиденды по годам'!Q1006&lt;&gt;"",'Дивиденды по годам'!I1006&lt;&gt;"",'Дивиденды по годам'!V1006&lt;&gt;"",('Дивиденды по годам'!I1006+'Дивиденды по годам'!V1006)&lt;&gt;0),'Дивиденды по годам'!Q1006/(('Дивиденды по годам'!I1006+'Дивиденды по годам'!V1006)/2),""),"")</f>
        <v>-2.7715881918954566E-2</v>
      </c>
      <c r="U1006">
        <f>IFERROR(IF(AND('Дивиденды по годам'!J1006&lt;&gt;"",'Дивиденды по годам'!K1006&lt;&gt;"",'Дивиденды по годам'!M1006&lt;&gt;"",'Дивиденды по годам'!M1006&lt;&gt;0),('Дивиденды по годам'!J1006+'Дивиденды по годам'!K1006)/'Дивиденды по годам'!M1006,""),"")</f>
        <v>2.2694970833437349</v>
      </c>
      <c r="V1006">
        <f>IFERROR(IF(AND('Дивиденды по годам'!J1006&lt;&gt;"",'Дивиденды по годам'!K1006&lt;&gt;"",'Дивиденды по годам'!M1006&lt;&gt;"",'Дивиденды по годам'!I1006&lt;&gt;0),('Дивиденды по годам'!J1006+'Дивиденды по годам'!K1006)/'Дивиденды по годам'!I1006,""),"")</f>
        <v>0.69414256244654793</v>
      </c>
      <c r="W1006">
        <f>IFERROR('Дивиденды по годам'!I1006,"")</f>
        <v>119707738000</v>
      </c>
      <c r="X1006" cm="1">
        <f t="array" ref="X1006">IFERROR(AVERAGE(_xlfn._xlws.FILTER(P$2:P$1073,($C$2:$C$1073=$C1006)*($E$2:$E$1073=$E1006)*(ROW(P$2:P$1073)&lt;&gt;ROW(P1006))*(P$2:P$1073&lt;&gt;""))),"")</f>
        <v>25.687316596175211</v>
      </c>
      <c r="Y1006" cm="1">
        <f t="array" ref="Y1006">IFERROR(AVERAGE(_xlfn._xlws.FILTER(Q$2:Q$1073,($C$2:$C$1073=$C1006)*($E$2:$E$1073=$E1006)*(ROW(Q$2:Q$1073)&lt;&gt;ROW(Q1006))*(Q$2:Q$1073&lt;&gt;""))),"")</f>
        <v>0.56704915815380952</v>
      </c>
      <c r="Z1006" cm="1">
        <f t="array" ref="Z1006">IFERROR(AVERAGE(_xlfn._xlws.FILTER(R$2:R$1073,($C$2:$C$1073=$C1006)*($E$2:$E$1073=$E1006)*(ROW(R$2:R$1073)&lt;&gt;ROW(R1006))*(R$2:R$1073&lt;&gt;""))),"")</f>
        <v>6.3417568043423633E-2</v>
      </c>
      <c r="AA1006" t="str" cm="1">
        <f t="array" ref="AA1006">IFERROR(AVERAGE(_xlfn._xlws.FILTER(S$2:S$1073,($C$2:$C$1073=$C1006)*($E$2:$E$1073=$E1006)*(ROW(S$2:S$1073)&lt;&gt;ROW(S1006))*(S$2:S$1073&lt;&gt;""))),"")</f>
        <v/>
      </c>
      <c r="AB1006" cm="1">
        <f t="array" ref="AB1006">IFERROR(AVERAGE(_xlfn._xlws.FILTER(T$2:T$1073,($C$2:$C$1073=$C1006)*($E$2:$E$1073=$E1006)*(ROW(T$2:T$1073)&lt;&gt;ROW(T1006))*(T$2:T$1073&lt;&gt;""))),"")</f>
        <v>2.1855028281535075E-2</v>
      </c>
      <c r="AC1006" cm="1">
        <f t="array" ref="AC1006">IFERROR(AVERAGE(_xlfn._xlws.FILTER(U$2:U$1073,($C$2:$C$1073=$C1006)*($E$2:$E$1073=$E1006)*(ROW(U$2:U$1073)&lt;&gt;ROW(U1006))*(U$2:U$1073&lt;&gt;""))),"")</f>
        <v>2.0567087387693674</v>
      </c>
      <c r="AD1006" cm="1">
        <f t="array" ref="AD1006">IFERROR(AVERAGE(_xlfn._xlws.FILTER(V$2:V$1073,($C$2:$C$1073=$C1006)*($E$2:$E$1073=$E1006)*(ROW(V$2:V$1073)&lt;&gt;ROW(V1006))*(V$2:V$1073&lt;&gt;""))),"")</f>
        <v>0.64943422422073926</v>
      </c>
      <c r="AE1006">
        <f>IF('Дивиденды по годам'!M1006&lt;0,1,0)</f>
        <v>0</v>
      </c>
    </row>
    <row r="1007" spans="1:31" x14ac:dyDescent="0.2">
      <c r="A1007" s="7" t="s">
        <v>2303</v>
      </c>
      <c r="B1007" t="str">
        <f t="shared" si="165"/>
        <v>NMTP IV кв. 2012</v>
      </c>
      <c r="C1007">
        <v>2012</v>
      </c>
      <c r="D1007">
        <f>SUMIFS(Дивиденды!$C:$C,Дивиденды!$A:$A,A1007,Дивиденды!$I:$I,C1007)</f>
        <v>2.3599999999999999E-2</v>
      </c>
      <c r="E1007">
        <v>7</v>
      </c>
      <c r="F1007">
        <f t="shared" si="166"/>
        <v>2.3599999999999999E-2</v>
      </c>
      <c r="G1007">
        <f t="shared" si="167"/>
        <v>0.28999999999999998</v>
      </c>
      <c r="H1007">
        <f t="shared" si="168"/>
        <v>1</v>
      </c>
      <c r="I1007">
        <f t="shared" si="169"/>
        <v>0.25</v>
      </c>
      <c r="J1007">
        <f t="shared" si="170"/>
        <v>4.2553191489361443E-3</v>
      </c>
      <c r="K1007">
        <f t="shared" si="175"/>
        <v>-8.9779005524861899E-2</v>
      </c>
      <c r="L1007">
        <f t="shared" si="171"/>
        <v>1</v>
      </c>
      <c r="M1007">
        <f t="shared" si="172"/>
        <v>0</v>
      </c>
      <c r="N1007">
        <f t="shared" si="173"/>
        <v>0</v>
      </c>
      <c r="O1007">
        <f t="shared" si="174"/>
        <v>0.25</v>
      </c>
      <c r="P1007">
        <f>IFERROR(LN('Дивиденды по годам'!I1007),"")</f>
        <v>25.518409933970869</v>
      </c>
      <c r="Q1007">
        <f>IFERROR('Дивиденды по годам'!G1007/'Дивиденды по годам'!I1007, "")</f>
        <v>0.51964795762021576</v>
      </c>
      <c r="R1007">
        <f>IFERROR(IF(AND('Дивиденды по годам'!N1007&lt;&gt;"",'Дивиденды по годам'!U1007&lt;&gt;"",'Дивиденды по годам'!U1007&lt;&gt;0),'Дивиденды по годам'!N1007/'Дивиденды по годам'!U1007-1,""),"")</f>
        <v>4.1517745243978776E-2</v>
      </c>
      <c r="S1007" t="str">
        <f>IFERROR(IF(AND('Дивиденды по годам'!L1007&lt;&gt;"",'Дивиденды по годам'!I1007&lt;&gt;"",'Дивиденды по годам'!J1007&lt;&gt;"",'Дивиденды по годам'!K1007&lt;&gt;"",('Дивиденды по годам'!I1007-'Дивиденды по годам'!J1007-'Дивиденды по годам'!K1007)&lt;&gt;0),'Дивиденды по годам'!L1007/('Дивиденды по годам'!I1007-'Дивиденды по годам'!J1007-'Дивиденды по годам'!K1007),""),"")</f>
        <v/>
      </c>
      <c r="T1007">
        <f>IFERROR(IF(AND('Дивиденды по годам'!Q1007&lt;&gt;"",'Дивиденды по годам'!I1007&lt;&gt;"",'Дивиденды по годам'!V1007&lt;&gt;"",('Дивиденды по годам'!I1007+'Дивиденды по годам'!V1007)&lt;&gt;0),'Дивиденды по годам'!Q1007/(('Дивиденды по годам'!I1007+'Дивиденды по годам'!V1007)/2),""),"")</f>
        <v>8.4103852160983844E-2</v>
      </c>
      <c r="U1007">
        <f>IFERROR(IF(AND('Дивиденды по годам'!J1007&lt;&gt;"",'Дивиденды по годам'!K1007&lt;&gt;"",'Дивиденды по годам'!M1007&lt;&gt;"",'Дивиденды по годам'!M1007&lt;&gt;0),('Дивиденды по годам'!J1007+'Дивиденды по годам'!K1007)/'Дивиденды по годам'!M1007,""),"")</f>
        <v>1.9972102962006117</v>
      </c>
      <c r="V1007">
        <f>IFERROR(IF(AND('Дивиденды по годам'!J1007&lt;&gt;"",'Дивиденды по годам'!K1007&lt;&gt;"",'Дивиденды по годам'!M1007&lt;&gt;"",'Дивиденды по годам'!I1007&lt;&gt;0),('Дивиденды по годам'!J1007+'Дивиденды по годам'!K1007)/'Дивиденды по годам'!I1007,""),"")</f>
        <v>0.66635641107077426</v>
      </c>
      <c r="W1007">
        <f>IFERROR('Дивиденды по годам'!I1007,"")</f>
        <v>120921805000</v>
      </c>
      <c r="X1007" cm="1">
        <f t="array" ref="X1007">IFERROR(AVERAGE(_xlfn._xlws.FILTER(P$2:P$1073,($C$2:$C$1073=$C1007)*($E$2:$E$1073=$E1007)*(ROW(P$2:P$1073)&lt;&gt;ROW(P1007))*(P$2:P$1073&lt;&gt;""))),"")</f>
        <v>25.556960948467591</v>
      </c>
      <c r="Y1007" cm="1">
        <f t="array" ref="Y1007">IFERROR(AVERAGE(_xlfn._xlws.FILTER(Q$2:Q$1073,($C$2:$C$1073=$C1007)*($E$2:$E$1073=$E1007)*(ROW(Q$2:Q$1073)&lt;&gt;ROW(Q1007))*(Q$2:Q$1073&lt;&gt;""))),"")</f>
        <v>0.38036709190041285</v>
      </c>
      <c r="Z1007" cm="1">
        <f t="array" ref="Z1007">IFERROR(AVERAGE(_xlfn._xlws.FILTER(R$2:R$1073,($C$2:$C$1073=$C1007)*($E$2:$E$1073=$E1007)*(ROW(R$2:R$1073)&lt;&gt;ROW(R1007))*(R$2:R$1073&lt;&gt;""))),"")</f>
        <v>0.414587946512053</v>
      </c>
      <c r="AA1007" t="str" cm="1">
        <f t="array" ref="AA1007">IFERROR(AVERAGE(_xlfn._xlws.FILTER(S$2:S$1073,($C$2:$C$1073=$C1007)*($E$2:$E$1073=$E1007)*(ROW(S$2:S$1073)&lt;&gt;ROW(S1007))*(S$2:S$1073&lt;&gt;""))),"")</f>
        <v/>
      </c>
      <c r="AB1007" cm="1">
        <f t="array" ref="AB1007">IFERROR(AVERAGE(_xlfn._xlws.FILTER(T$2:T$1073,($C$2:$C$1073=$C1007)*($E$2:$E$1073=$E1007)*(ROW(T$2:T$1073)&lt;&gt;ROW(T1007))*(T$2:T$1073&lt;&gt;""))),"")</f>
        <v>1.1168102165861555E-2</v>
      </c>
      <c r="AC1007" cm="1">
        <f t="array" ref="AC1007">IFERROR(AVERAGE(_xlfn._xlws.FILTER(U$2:U$1073,($C$2:$C$1073=$C1007)*($E$2:$E$1073=$E1007)*(ROW(U$2:U$1073)&lt;&gt;ROW(U1007))*(U$2:U$1073&lt;&gt;""))),"")</f>
        <v>1.7948225844310419</v>
      </c>
      <c r="AD1007" cm="1">
        <f t="array" ref="AD1007">IFERROR(AVERAGE(_xlfn._xlws.FILTER(V$2:V$1073,($C$2:$C$1073=$C1007)*($E$2:$E$1073=$E1007)*(ROW(V$2:V$1073)&lt;&gt;ROW(V1007))*(V$2:V$1073&lt;&gt;""))),"")</f>
        <v>0.58394714588225249</v>
      </c>
      <c r="AE1007">
        <f>IF('Дивиденды по годам'!M1007&lt;0,1,0)</f>
        <v>0</v>
      </c>
    </row>
    <row r="1008" spans="1:31" x14ac:dyDescent="0.2">
      <c r="A1008" s="7" t="s">
        <v>2303</v>
      </c>
      <c r="B1008" t="str">
        <f t="shared" si="165"/>
        <v>NMTP IV кв. 2011</v>
      </c>
      <c r="C1008">
        <v>2011</v>
      </c>
      <c r="D1008">
        <f>SUMIFS(Дивиденды!$C:$C,Дивиденды!$A:$A,A1008,Дивиденды!$I:$I,C1008)</f>
        <v>2.35E-2</v>
      </c>
      <c r="E1008">
        <v>7</v>
      </c>
      <c r="F1008">
        <f t="shared" si="166"/>
        <v>2.35E-2</v>
      </c>
      <c r="G1008">
        <f t="shared" si="167"/>
        <v>0.45250000000000001</v>
      </c>
      <c r="H1008">
        <f t="shared" si="168"/>
        <v>1</v>
      </c>
      <c r="I1008">
        <f t="shared" si="169"/>
        <v>0.25</v>
      </c>
      <c r="J1008">
        <f t="shared" si="170"/>
        <v>2.1739130434782629E-2</v>
      </c>
      <c r="K1008">
        <f t="shared" si="175"/>
        <v>0.16513761467889906</v>
      </c>
      <c r="L1008">
        <f t="shared" si="171"/>
        <v>1</v>
      </c>
      <c r="M1008">
        <f t="shared" si="172"/>
        <v>0.25</v>
      </c>
      <c r="N1008">
        <f t="shared" si="173"/>
        <v>0</v>
      </c>
      <c r="O1008">
        <f t="shared" si="174"/>
        <v>0</v>
      </c>
      <c r="P1008">
        <f>IFERROR(LN('Дивиденды по годам'!I1008),"")</f>
        <v>25.447961101248989</v>
      </c>
      <c r="Q1008">
        <f>IFERROR('Дивиденды по годам'!G1008/'Дивиденды по годам'!I1008, "")</f>
        <v>0.51343518002757715</v>
      </c>
      <c r="R1008" t="str">
        <f>IFERROR(IF(AND('Дивиденды по годам'!N1008&lt;&gt;"",'Дивиденды по годам'!U1008&lt;&gt;"",'Дивиденды по годам'!U1008&lt;&gt;0),'Дивиденды по годам'!N1008/'Дивиденды по годам'!U1008-1,""),"")</f>
        <v/>
      </c>
      <c r="S1008" t="str">
        <f>IFERROR(IF(AND('Дивиденды по годам'!L1008&lt;&gt;"",'Дивиденды по годам'!I1008&lt;&gt;"",'Дивиденды по годам'!J1008&lt;&gt;"",'Дивиденды по годам'!K1008&lt;&gt;"",('Дивиденды по годам'!I1008-'Дивиденды по годам'!J1008-'Дивиденды по годам'!K1008)&lt;&gt;0),'Дивиденды по годам'!L1008/('Дивиденды по годам'!I1008-'Дивиденды по годам'!J1008-'Дивиденды по годам'!K1008),""),"")</f>
        <v/>
      </c>
      <c r="T1008" t="str">
        <f>IFERROR(IF(AND('Дивиденды по годам'!Q1008&lt;&gt;"",'Дивиденды по годам'!I1008&lt;&gt;"",'Дивиденды по годам'!V1008&lt;&gt;"",('Дивиденды по годам'!I1008+'Дивиденды по годам'!V1008)&lt;&gt;0),'Дивиденды по годам'!Q1008/(('Дивиденды по годам'!I1008+'Дивиденды по годам'!V1008)/2),""),"")</f>
        <v/>
      </c>
      <c r="U1008">
        <f>IFERROR(IF(AND('Дивиденды по годам'!J1008&lt;&gt;"",'Дивиденды по годам'!K1008&lt;&gt;"",'Дивиденды по годам'!M1008&lt;&gt;"",'Дивиденды по годам'!M1008&lt;&gt;0),('Дивиденды по годам'!J1008+'Дивиденды по годам'!K1008)/'Дивиденды по годам'!M1008,""),"")</f>
        <v>2.9753001270516242</v>
      </c>
      <c r="V1008">
        <f>IFERROR(IF(AND('Дивиденды по годам'!J1008&lt;&gt;"",'Дивиденды по годам'!K1008&lt;&gt;"",'Дивиденды по годам'!M1008&lt;&gt;"",'Дивиденды по годам'!I1008&lt;&gt;0),('Дивиденды по годам'!J1008+'Дивиденды по годам'!K1008)/'Дивиденды по годам'!I1008,""),"")</f>
        <v>0.74844666615356314</v>
      </c>
      <c r="W1008">
        <f>IFERROR('Дивиденды по годам'!I1008,"")</f>
        <v>112696150600.78847</v>
      </c>
      <c r="X1008" cm="1">
        <f t="array" ref="X1008">IFERROR(AVERAGE(_xlfn._xlws.FILTER(P$2:P$1073,($C$2:$C$1073=$C1008)*($E$2:$E$1073=$E1008)*(ROW(P$2:P$1073)&lt;&gt;ROW(P1008))*(P$2:P$1073&lt;&gt;""))),"")</f>
        <v>25.365179173112221</v>
      </c>
      <c r="Y1008" cm="1">
        <f t="array" ref="Y1008">IFERROR(AVERAGE(_xlfn._xlws.FILTER(Q$2:Q$1073,($C$2:$C$1073=$C1008)*($E$2:$E$1073=$E1008)*(ROW(Q$2:Q$1073)&lt;&gt;ROW(Q1008))*(Q$2:Q$1073&lt;&gt;""))),"")</f>
        <v>0.37454423103505247</v>
      </c>
      <c r="Z1008" cm="1">
        <f t="array" ref="Z1008">IFERROR(AVERAGE(_xlfn._xlws.FILTER(R$2:R$1073,($C$2:$C$1073=$C1008)*($E$2:$E$1073=$E1008)*(ROW(R$2:R$1073)&lt;&gt;ROW(R1008))*(R$2:R$1073&lt;&gt;""))),"")</f>
        <v>0.20536191673520854</v>
      </c>
      <c r="AA1008" t="str" cm="1">
        <f t="array" ref="AA1008">IFERROR(AVERAGE(_xlfn._xlws.FILTER(S$2:S$1073,($C$2:$C$1073=$C1008)*($E$2:$E$1073=$E1008)*(ROW(S$2:S$1073)&lt;&gt;ROW(S1008))*(S$2:S$1073&lt;&gt;""))),"")</f>
        <v/>
      </c>
      <c r="AB1008" cm="1">
        <f t="array" ref="AB1008">IFERROR(AVERAGE(_xlfn._xlws.FILTER(T$2:T$1073,($C$2:$C$1073=$C1008)*($E$2:$E$1073=$E1008)*(ROW(T$2:T$1073)&lt;&gt;ROW(T1008))*(T$2:T$1073&lt;&gt;""))),"")</f>
        <v>9.8152461650754155E-2</v>
      </c>
      <c r="AC1008" cm="1">
        <f t="array" ref="AC1008">IFERROR(AVERAGE(_xlfn._xlws.FILTER(U$2:U$1073,($C$2:$C$1073=$C1008)*($E$2:$E$1073=$E1008)*(ROW(U$2:U$1073)&lt;&gt;ROW(U1008))*(U$2:U$1073&lt;&gt;""))),"")</f>
        <v>1.709587742027366</v>
      </c>
      <c r="AD1008" cm="1">
        <f t="array" ref="AD1008">IFERROR(AVERAGE(_xlfn._xlws.FILTER(V$2:V$1073,($C$2:$C$1073=$C1008)*($E$2:$E$1073=$E1008)*(ROW(V$2:V$1073)&lt;&gt;ROW(V1008))*(V$2:V$1073&lt;&gt;""))),"")</f>
        <v>0.559628580005892</v>
      </c>
      <c r="AE1008">
        <f>IF('Дивиденды по годам'!M1008&lt;0,1,0)</f>
        <v>0</v>
      </c>
    </row>
    <row r="1009" spans="1:31" x14ac:dyDescent="0.2">
      <c r="A1009" s="7" t="s">
        <v>2303</v>
      </c>
      <c r="B1009" t="str">
        <f t="shared" si="165"/>
        <v>NMTP IV кв. 2010</v>
      </c>
      <c r="C1009">
        <v>2010</v>
      </c>
      <c r="D1009">
        <f>SUMIFS(Дивиденды!$C:$C,Дивиденды!$A:$A,A1009,Дивиденды!$I:$I,C1009)</f>
        <v>2.3E-2</v>
      </c>
      <c r="E1009">
        <v>7</v>
      </c>
      <c r="F1009">
        <f t="shared" si="166"/>
        <v>2.3E-2</v>
      </c>
      <c r="G1009">
        <f t="shared" si="167"/>
        <v>0.27250000000000002</v>
      </c>
      <c r="H1009">
        <f t="shared" si="168"/>
        <v>1</v>
      </c>
      <c r="I1009">
        <f t="shared" si="169"/>
        <v>0.25</v>
      </c>
      <c r="J1009" t="str">
        <f t="shared" si="170"/>
        <v/>
      </c>
      <c r="K1009" t="str">
        <f t="shared" si="175"/>
        <v/>
      </c>
      <c r="L1009" t="str">
        <f t="shared" si="171"/>
        <v/>
      </c>
      <c r="M1009" t="str">
        <f t="shared" si="172"/>
        <v/>
      </c>
      <c r="N1009" t="str">
        <f t="shared" si="173"/>
        <v/>
      </c>
      <c r="O1009" t="str">
        <f t="shared" si="174"/>
        <v/>
      </c>
      <c r="P1009" t="str">
        <f>IFERROR(LN('Дивиденды по годам'!I1009),"")</f>
        <v/>
      </c>
      <c r="Q1009" t="str">
        <f>IFERROR('Дивиденды по годам'!G1009/'Дивиденды по годам'!I1009, "")</f>
        <v/>
      </c>
      <c r="R1009" t="str">
        <f>IFERROR(IF(AND('Дивиденды по годам'!N1009&lt;&gt;"",'Дивиденды по годам'!U1009&lt;&gt;"",'Дивиденды по годам'!U1009&lt;&gt;0),'Дивиденды по годам'!N1009/'Дивиденды по годам'!U1009-1,""),"")</f>
        <v/>
      </c>
      <c r="S1009" t="str">
        <f>IFERROR(IF(AND('Дивиденды по годам'!L1009&lt;&gt;"",'Дивиденды по годам'!I1009&lt;&gt;"",'Дивиденды по годам'!J1009&lt;&gt;"",'Дивиденды по годам'!K1009&lt;&gt;"",('Дивиденды по годам'!I1009-'Дивиденды по годам'!J1009-'Дивиденды по годам'!K1009)&lt;&gt;0),'Дивиденды по годам'!L1009/('Дивиденды по годам'!I1009-'Дивиденды по годам'!J1009-'Дивиденды по годам'!K1009),""),"")</f>
        <v/>
      </c>
      <c r="T1009" t="str">
        <f>IFERROR(IF(AND('Дивиденды по годам'!Q1009&lt;&gt;"",'Дивиденды по годам'!I1009&lt;&gt;"",'Дивиденды по годам'!V1009&lt;&gt;"",('Дивиденды по годам'!I1009+'Дивиденды по годам'!V1009)&lt;&gt;0),'Дивиденды по годам'!Q1009/(('Дивиденды по годам'!I1009+'Дивиденды по годам'!V1009)/2),""),"")</f>
        <v/>
      </c>
      <c r="U1009" t="str">
        <f>IFERROR(IF(AND('Дивиденды по годам'!J1009&lt;&gt;"",'Дивиденды по годам'!K1009&lt;&gt;"",'Дивиденды по годам'!M1009&lt;&gt;"",'Дивиденды по годам'!M1009&lt;&gt;0),('Дивиденды по годам'!J1009+'Дивиденды по годам'!K1009)/'Дивиденды по годам'!M1009,""),"")</f>
        <v/>
      </c>
      <c r="V1009" t="str">
        <f>IFERROR(IF(AND('Дивиденды по годам'!J1009&lt;&gt;"",'Дивиденды по годам'!K1009&lt;&gt;"",'Дивиденды по годам'!M1009&lt;&gt;"",'Дивиденды по годам'!I1009&lt;&gt;0),('Дивиденды по годам'!J1009+'Дивиденды по годам'!K1009)/'Дивиденды по годам'!I1009,""),"")</f>
        <v/>
      </c>
      <c r="W1009" t="str">
        <f>IFERROR('Дивиденды по годам'!I1009,"")</f>
        <v/>
      </c>
      <c r="X1009" cm="1">
        <f t="array" ref="X1009">IFERROR(AVERAGE(_xlfn._xlws.FILTER(P$2:P$1073,($C$2:$C$1073=$C1009)*($E$2:$E$1073=$E1009)*(ROW(P$2:P$1073)&lt;&gt;ROW(P1009))*(P$2:P$1073&lt;&gt;""))),"")</f>
        <v>25.646584513937189</v>
      </c>
      <c r="Y1009" cm="1">
        <f t="array" ref="Y1009">IFERROR(AVERAGE(_xlfn._xlws.FILTER(Q$2:Q$1073,($C$2:$C$1073=$C1009)*($E$2:$E$1073=$E1009)*(ROW(Q$2:Q$1073)&lt;&gt;ROW(Q1009))*(Q$2:Q$1073&lt;&gt;""))),"")</f>
        <v>0.48343975783821996</v>
      </c>
      <c r="Z1009" t="str" cm="1">
        <f t="array" ref="Z1009">IFERROR(AVERAGE(_xlfn._xlws.FILTER(R$2:R$1073,($C$2:$C$1073=$C1009)*($E$2:$E$1073=$E1009)*(ROW(R$2:R$1073)&lt;&gt;ROW(R1009))*(R$2:R$1073&lt;&gt;""))),"")</f>
        <v/>
      </c>
      <c r="AA1009" t="str" cm="1">
        <f t="array" ref="AA1009">IFERROR(AVERAGE(_xlfn._xlws.FILTER(S$2:S$1073,($C$2:$C$1073=$C1009)*($E$2:$E$1073=$E1009)*(ROW(S$2:S$1073)&lt;&gt;ROW(S1009))*(S$2:S$1073&lt;&gt;""))),"")</f>
        <v/>
      </c>
      <c r="AB1009" t="str" cm="1">
        <f t="array" ref="AB1009">IFERROR(AVERAGE(_xlfn._xlws.FILTER(T$2:T$1073,($C$2:$C$1073=$C1009)*($E$2:$E$1073=$E1009)*(ROW(T$2:T$1073)&lt;&gt;ROW(T1009))*(T$2:T$1073&lt;&gt;""))),"")</f>
        <v/>
      </c>
      <c r="AC1009" cm="1">
        <f t="array" ref="AC1009">IFERROR(AVERAGE(_xlfn._xlws.FILTER(U$2:U$1073,($C$2:$C$1073=$C1009)*($E$2:$E$1073=$E1009)*(ROW(U$2:U$1073)&lt;&gt;ROW(U1009))*(U$2:U$1073&lt;&gt;""))),"")</f>
        <v>2.9188674344099064</v>
      </c>
      <c r="AD1009" cm="1">
        <f t="array" ref="AD1009">IFERROR(AVERAGE(_xlfn._xlws.FILTER(V$2:V$1073,($C$2:$C$1073=$C1009)*($E$2:$E$1073=$E1009)*(ROW(V$2:V$1073)&lt;&gt;ROW(V1009))*(V$2:V$1073&lt;&gt;""))),"")</f>
        <v>0.74482423385404006</v>
      </c>
      <c r="AE1009">
        <f>IF('Дивиденды по годам'!M1009&lt;0,1,0)</f>
        <v>0</v>
      </c>
    </row>
    <row r="1010" spans="1:31" x14ac:dyDescent="0.2">
      <c r="A1010" s="7" t="s">
        <v>2324</v>
      </c>
      <c r="B1010" t="str">
        <f t="shared" si="165"/>
        <v>ETLN IV кв. 2025</v>
      </c>
      <c r="C1010">
        <v>2025</v>
      </c>
      <c r="D1010">
        <f>SUMIFS(Дивиденды!$C:$C,Дивиденды!$A:$A,A1010,Дивиденды!$I:$I,C1010)</f>
        <v>0</v>
      </c>
      <c r="E1010">
        <v>8</v>
      </c>
      <c r="F1010">
        <f t="shared" si="166"/>
        <v>0</v>
      </c>
      <c r="G1010">
        <f t="shared" si="167"/>
        <v>26</v>
      </c>
      <c r="H1010">
        <f t="shared" si="168"/>
        <v>0</v>
      </c>
      <c r="I1010">
        <f t="shared" si="169"/>
        <v>0.33333333333333331</v>
      </c>
      <c r="J1010">
        <f t="shared" si="170"/>
        <v>0</v>
      </c>
      <c r="K1010">
        <f t="shared" si="175"/>
        <v>0.33333333333333331</v>
      </c>
      <c r="L1010">
        <f t="shared" si="171"/>
        <v>0</v>
      </c>
      <c r="M1010">
        <f t="shared" si="172"/>
        <v>0.33333333333333331</v>
      </c>
      <c r="N1010">
        <f t="shared" si="173"/>
        <v>0</v>
      </c>
      <c r="O1010">
        <f t="shared" si="174"/>
        <v>0</v>
      </c>
      <c r="P1010" t="str">
        <f>IFERROR(LN('Дивиденды по годам'!I1010),"")</f>
        <v/>
      </c>
      <c r="Q1010" t="str">
        <f>IFERROR('Дивиденды по годам'!G1010/'Дивиденды по годам'!I1010, "")</f>
        <v/>
      </c>
      <c r="R1010" t="str">
        <f>IFERROR(IF(AND('Дивиденды по годам'!N1010&lt;&gt;"",'Дивиденды по годам'!U1010&lt;&gt;"",'Дивиденды по годам'!U1010&lt;&gt;0),'Дивиденды по годам'!N1010/'Дивиденды по годам'!U1010-1,""),"")</f>
        <v/>
      </c>
      <c r="S1010" t="str">
        <f>IFERROR(IF(AND('Дивиденды по годам'!L1010&lt;&gt;"",'Дивиденды по годам'!I1010&lt;&gt;"",'Дивиденды по годам'!J1010&lt;&gt;"",'Дивиденды по годам'!K1010&lt;&gt;"",('Дивиденды по годам'!I1010-'Дивиденды по годам'!J1010-'Дивиденды по годам'!K1010)&lt;&gt;0),'Дивиденды по годам'!L1010/('Дивиденды по годам'!I1010-'Дивиденды по годам'!J1010-'Дивиденды по годам'!K1010),""),"")</f>
        <v/>
      </c>
      <c r="T1010" t="str">
        <f>IFERROR(IF(AND('Дивиденды по годам'!Q1010&lt;&gt;"",'Дивиденды по годам'!I1010&lt;&gt;"",'Дивиденды по годам'!V1010&lt;&gt;"",('Дивиденды по годам'!I1010+'Дивиденды по годам'!V1010)&lt;&gt;0),'Дивиденды по годам'!Q1010/(('Дивиденды по годам'!I1010+'Дивиденды по годам'!V1010)/2),""),"")</f>
        <v/>
      </c>
      <c r="U1010" t="str">
        <f>IFERROR(IF(AND('Дивиденды по годам'!J1010&lt;&gt;"",'Дивиденды по годам'!K1010&lt;&gt;"",'Дивиденды по годам'!M1010&lt;&gt;"",'Дивиденды по годам'!M1010&lt;&gt;0),('Дивиденды по годам'!J1010+'Дивиденды по годам'!K1010)/'Дивиденды по годам'!M1010,""),"")</f>
        <v/>
      </c>
      <c r="V1010" t="str">
        <f>IFERROR(IF(AND('Дивиденды по годам'!J1010&lt;&gt;"",'Дивиденды по годам'!K1010&lt;&gt;"",'Дивиденды по годам'!M1010&lt;&gt;"",'Дивиденды по годам'!I1010&lt;&gt;0),('Дивиденды по годам'!J1010+'Дивиденды по годам'!K1010)/'Дивиденды по годам'!I1010,""),"")</f>
        <v/>
      </c>
      <c r="W1010" t="str">
        <f>IFERROR('Дивиденды по годам'!I1010,"")</f>
        <v/>
      </c>
      <c r="X1010" t="str" cm="1">
        <f t="array" ref="X1010">IFERROR(AVERAGE(_xlfn._xlws.FILTER(P$2:P$1073,($C$2:$C$1073=$C1010)*($E$2:$E$1073=$E1010)*(ROW(P$2:P$1073)&lt;&gt;ROW(P1010))*(P$2:P$1073&lt;&gt;""))),"")</f>
        <v/>
      </c>
      <c r="Y1010" t="str" cm="1">
        <f t="array" ref="Y1010">IFERROR(AVERAGE(_xlfn._xlws.FILTER(Q$2:Q$1073,($C$2:$C$1073=$C1010)*($E$2:$E$1073=$E1010)*(ROW(Q$2:Q$1073)&lt;&gt;ROW(Q1010))*(Q$2:Q$1073&lt;&gt;""))),"")</f>
        <v/>
      </c>
      <c r="Z1010" t="str" cm="1">
        <f t="array" ref="Z1010">IFERROR(AVERAGE(_xlfn._xlws.FILTER(R$2:R$1073,($C$2:$C$1073=$C1010)*($E$2:$E$1073=$E1010)*(ROW(R$2:R$1073)&lt;&gt;ROW(R1010))*(R$2:R$1073&lt;&gt;""))),"")</f>
        <v/>
      </c>
      <c r="AA1010" t="str" cm="1">
        <f t="array" ref="AA1010">IFERROR(AVERAGE(_xlfn._xlws.FILTER(S$2:S$1073,($C$2:$C$1073=$C1010)*($E$2:$E$1073=$E1010)*(ROW(S$2:S$1073)&lt;&gt;ROW(S1010))*(S$2:S$1073&lt;&gt;""))),"")</f>
        <v/>
      </c>
      <c r="AB1010" t="str" cm="1">
        <f t="array" ref="AB1010">IFERROR(AVERAGE(_xlfn._xlws.FILTER(T$2:T$1073,($C$2:$C$1073=$C1010)*($E$2:$E$1073=$E1010)*(ROW(T$2:T$1073)&lt;&gt;ROW(T1010))*(T$2:T$1073&lt;&gt;""))),"")</f>
        <v/>
      </c>
      <c r="AC1010" t="str" cm="1">
        <f t="array" ref="AC1010">IFERROR(AVERAGE(_xlfn._xlws.FILTER(U$2:U$1073,($C$2:$C$1073=$C1010)*($E$2:$E$1073=$E1010)*(ROW(U$2:U$1073)&lt;&gt;ROW(U1010))*(U$2:U$1073&lt;&gt;""))),"")</f>
        <v/>
      </c>
      <c r="AD1010" t="str" cm="1">
        <f t="array" ref="AD1010">IFERROR(AVERAGE(_xlfn._xlws.FILTER(V$2:V$1073,($C$2:$C$1073=$C1010)*($E$2:$E$1073=$E1010)*(ROW(V$2:V$1073)&lt;&gt;ROW(V1010))*(V$2:V$1073&lt;&gt;""))),"")</f>
        <v/>
      </c>
      <c r="AE1010">
        <f>IF('Дивиденды по годам'!M1010&lt;0,1,0)</f>
        <v>0</v>
      </c>
    </row>
    <row r="1011" spans="1:31" x14ac:dyDescent="0.2">
      <c r="A1011" s="7" t="s">
        <v>2324</v>
      </c>
      <c r="B1011" t="str">
        <f t="shared" si="165"/>
        <v>ETLN IV кв. 2024</v>
      </c>
      <c r="C1011">
        <v>2024</v>
      </c>
      <c r="D1011">
        <f>SUMIFS(Дивиденды!$C:$C,Дивиденды!$A:$A,A1011,Дивиденды!$I:$I,C1011)</f>
        <v>0</v>
      </c>
      <c r="E1011">
        <v>8</v>
      </c>
      <c r="F1011">
        <f t="shared" si="166"/>
        <v>0</v>
      </c>
      <c r="G1011">
        <f t="shared" si="167"/>
        <v>0</v>
      </c>
      <c r="H1011">
        <f t="shared" si="168"/>
        <v>0</v>
      </c>
      <c r="I1011">
        <f t="shared" si="169"/>
        <v>0</v>
      </c>
      <c r="J1011">
        <f t="shared" si="170"/>
        <v>0</v>
      </c>
      <c r="K1011">
        <f t="shared" si="175"/>
        <v>-0.33333333333333331</v>
      </c>
      <c r="L1011">
        <f t="shared" si="171"/>
        <v>0</v>
      </c>
      <c r="M1011">
        <f t="shared" si="172"/>
        <v>0</v>
      </c>
      <c r="N1011">
        <f t="shared" si="173"/>
        <v>0</v>
      </c>
      <c r="O1011">
        <f t="shared" si="174"/>
        <v>0.33333333333333331</v>
      </c>
      <c r="P1011">
        <f>IFERROR(LN('Дивиденды по годам'!I1011),"")</f>
        <v>26.497525414406446</v>
      </c>
      <c r="Q1011">
        <f>IFERROR('Дивиденды по годам'!G1011/'Дивиденды по годам'!I1011, "")</f>
        <v>2.2550061197989475E-2</v>
      </c>
      <c r="R1011">
        <f>IFERROR(IF(AND('Дивиденды по годам'!N1011&lt;&gt;"",'Дивиденды по годам'!U1011&lt;&gt;"",'Дивиденды по годам'!U1011&lt;&gt;0),'Дивиденды по годам'!N1011/'Дивиденды по годам'!U1011-1,""),"")</f>
        <v>0.47476658670360727</v>
      </c>
      <c r="S1011">
        <f>IFERROR(IF(AND('Дивиденды по годам'!L1011&lt;&gt;"",'Дивиденды по годам'!I1011&lt;&gt;"",'Дивиденды по годам'!J1011&lt;&gt;"",'Дивиденды по годам'!K1011&lt;&gt;"",('Дивиденды по годам'!I1011-'Дивиденды по годам'!J1011-'Дивиденды по годам'!K1011)&lt;&gt;0),'Дивиденды по годам'!L1011/('Дивиденды по годам'!I1011-'Дивиденды по годам'!J1011-'Дивиденды по годам'!K1011),""),"")</f>
        <v>0.58052018214092771</v>
      </c>
      <c r="T1011">
        <f>IFERROR(IF(AND('Дивиденды по годам'!Q1011&lt;&gt;"",'Дивиденды по годам'!I1011&lt;&gt;"",'Дивиденды по годам'!V1011&lt;&gt;"",('Дивиденды по годам'!I1011+'Дивиденды по годам'!V1011)&lt;&gt;0),'Дивиденды по годам'!Q1011/(('Дивиденды по годам'!I1011+'Дивиденды по годам'!V1011)/2),""),"")</f>
        <v>-2.374733168812479E-2</v>
      </c>
      <c r="U1011">
        <f>IFERROR(IF(AND('Дивиденды по годам'!J1011&lt;&gt;"",'Дивиденды по годам'!K1011&lt;&gt;"",'Дивиденды по годам'!M1011&lt;&gt;"",'Дивиденды по годам'!M1011&lt;&gt;0),('Дивиденды по годам'!J1011+'Дивиденды по годам'!K1011)/'Дивиденды по годам'!M1011,""),"")</f>
        <v>3.9688353785598518</v>
      </c>
      <c r="V1011">
        <f>IFERROR(IF(AND('Дивиденды по годам'!J1011&lt;&gt;"",'Дивиденды по годам'!K1011&lt;&gt;"",'Дивиденды по годам'!M1011&lt;&gt;"",'Дивиденды по годам'!I1011&lt;&gt;0),('Дивиденды по годам'!J1011+'Дивиденды по годам'!K1011)/'Дивиденды по годам'!I1011,""),"")</f>
        <v>0.79874559654060506</v>
      </c>
      <c r="W1011">
        <f>IFERROR('Дивиденды по годам'!I1011,"")</f>
        <v>321906000000</v>
      </c>
      <c r="X1011" cm="1">
        <f t="array" ref="X1011">IFERROR(AVERAGE(_xlfn._xlws.FILTER(P$2:P$1073,($C$2:$C$1073=$C1011)*($E$2:$E$1073=$E1011)*(ROW(P$2:P$1073)&lt;&gt;ROW(P1011))*(P$2:P$1073&lt;&gt;""))),"")</f>
        <v>27.557876720477079</v>
      </c>
      <c r="Y1011" cm="1">
        <f t="array" ref="Y1011">IFERROR(AVERAGE(_xlfn._xlws.FILTER(Q$2:Q$1073,($C$2:$C$1073=$C1011)*($E$2:$E$1073=$E1011)*(ROW(Q$2:Q$1073)&lt;&gt;ROW(Q1011))*(Q$2:Q$1073&lt;&gt;""))),"")</f>
        <v>5.1159814043502533E-2</v>
      </c>
      <c r="Z1011" cm="1">
        <f t="array" ref="Z1011">IFERROR(AVERAGE(_xlfn._xlws.FILTER(R$2:R$1073,($C$2:$C$1073=$C1011)*($E$2:$E$1073=$E1011)*(ROW(R$2:R$1073)&lt;&gt;ROW(R1011))*(R$2:R$1073&lt;&gt;""))),"")</f>
        <v>0.16478565098143613</v>
      </c>
      <c r="AA1011" cm="1">
        <f t="array" ref="AA1011">IFERROR(AVERAGE(_xlfn._xlws.FILTER(S$2:S$1073,($C$2:$C$1073=$C1011)*($E$2:$E$1073=$E1011)*(ROW(S$2:S$1073)&lt;&gt;ROW(S1011))*(S$2:S$1073&lt;&gt;""))),"")</f>
        <v>0.71559844921298232</v>
      </c>
      <c r="AB1011" cm="1">
        <f t="array" ref="AB1011">IFERROR(AVERAGE(_xlfn._xlws.FILTER(T$2:T$1073,($C$2:$C$1073=$C1011)*($E$2:$E$1073=$E1011)*(ROW(T$2:T$1073)&lt;&gt;ROW(T1011))*(T$2:T$1073&lt;&gt;""))),"")</f>
        <v>2.8291145687074401E-2</v>
      </c>
      <c r="AC1011" cm="1">
        <f t="array" ref="AC1011">IFERROR(AVERAGE(_xlfn._xlws.FILTER(U$2:U$1073,($C$2:$C$1073=$C1011)*($E$2:$E$1073=$E1011)*(ROW(U$2:U$1073)&lt;&gt;ROW(U1011))*(U$2:U$1073&lt;&gt;""))),"")</f>
        <v>7.7158970042537298</v>
      </c>
      <c r="AD1011" cm="1">
        <f t="array" ref="AD1011">IFERROR(AVERAGE(_xlfn._xlws.FILTER(V$2:V$1073,($C$2:$C$1073=$C1011)*($E$2:$E$1073=$E1011)*(ROW(V$2:V$1073)&lt;&gt;ROW(V1011))*(V$2:V$1073&lt;&gt;""))),"")</f>
        <v>0.81268048583778418</v>
      </c>
      <c r="AE1011">
        <f>IF('Дивиденды по годам'!M1011&lt;0,1,0)</f>
        <v>0</v>
      </c>
    </row>
    <row r="1012" spans="1:31" x14ac:dyDescent="0.2">
      <c r="A1012" s="7" t="s">
        <v>2324</v>
      </c>
      <c r="B1012" t="str">
        <f t="shared" si="165"/>
        <v>ETLN IV кв. 2023</v>
      </c>
      <c r="C1012">
        <v>2023</v>
      </c>
      <c r="D1012">
        <f>SUMIFS(Дивиденды!$C:$C,Дивиденды!$A:$A,A1012,Дивиденды!$I:$I,C1012)</f>
        <v>0</v>
      </c>
      <c r="E1012">
        <v>8</v>
      </c>
      <c r="F1012">
        <f t="shared" si="166"/>
        <v>0</v>
      </c>
      <c r="G1012">
        <f t="shared" si="167"/>
        <v>33.333333333333336</v>
      </c>
      <c r="H1012">
        <f t="shared" si="168"/>
        <v>0</v>
      </c>
      <c r="I1012">
        <f t="shared" si="169"/>
        <v>0.33333333333333331</v>
      </c>
      <c r="J1012">
        <f t="shared" si="170"/>
        <v>0</v>
      </c>
      <c r="K1012">
        <f t="shared" si="175"/>
        <v>-0.23931623931623933</v>
      </c>
      <c r="L1012">
        <f t="shared" si="171"/>
        <v>0</v>
      </c>
      <c r="M1012">
        <f t="shared" si="172"/>
        <v>0.33333333333333331</v>
      </c>
      <c r="N1012">
        <f t="shared" si="173"/>
        <v>0</v>
      </c>
      <c r="O1012">
        <f t="shared" si="174"/>
        <v>0.33333333333333331</v>
      </c>
      <c r="P1012">
        <f>IFERROR(LN('Дивиденды по годам'!I1012),"")</f>
        <v>26.285450184471557</v>
      </c>
      <c r="Q1012">
        <f>IFERROR('Дивиденды по годам'!G1012/'Дивиденды по годам'!I1012, "")</f>
        <v>2.3748900691652169E-2</v>
      </c>
      <c r="R1012">
        <f>IFERROR(IF(AND('Дивиденды по годам'!N1012&lt;&gt;"",'Дивиденды по годам'!U1012&lt;&gt;"",'Дивиденды по годам'!U1012&lt;&gt;0),'Дивиденды по годам'!N1012/'Дивиденды по годам'!U1012-1,""),"")</f>
        <v>0.10222702219573954</v>
      </c>
      <c r="S1012">
        <f>IFERROR(IF(AND('Дивиденды по годам'!L1012&lt;&gt;"",'Дивиденды по годам'!I1012&lt;&gt;"",'Дивиденды по годам'!J1012&lt;&gt;"",'Дивиденды по годам'!K1012&lt;&gt;"",('Дивиденды по годам'!I1012-'Дивиденды по годам'!J1012-'Дивиденды по годам'!K1012)&lt;&gt;0),'Дивиденды по годам'!L1012/('Дивиденды по годам'!I1012-'Дивиденды по годам'!J1012-'Дивиденды по годам'!K1012),""),"")</f>
        <v>0.62804869447461598</v>
      </c>
      <c r="T1012">
        <f>IFERROR(IF(AND('Дивиденды по годам'!Q1012&lt;&gt;"",'Дивиденды по годам'!I1012&lt;&gt;"",'Дивиденды по годам'!V1012&lt;&gt;"",('Дивиденды по годам'!I1012+'Дивиденды по годам'!V1012)&lt;&gt;0),'Дивиденды по годам'!Q1012/(('Дивиденды по годам'!I1012+'Дивиденды по годам'!V1012)/2),""),"")</f>
        <v>-1.3256339047589077E-2</v>
      </c>
      <c r="U1012">
        <f>IFERROR(IF(AND('Дивиденды по годам'!J1012&lt;&gt;"",'Дивиденды по годам'!K1012&lt;&gt;"",'Дивиденды по годам'!M1012&lt;&gt;"",'Дивиденды по годам'!M1012&lt;&gt;0),('Дивиденды по годам'!J1012+'Дивиденды по годам'!K1012)/'Дивиденды по годам'!M1012,""),"")</f>
        <v>2.6731178852040456</v>
      </c>
      <c r="V1012">
        <f>IFERROR(IF(AND('Дивиденды по годам'!J1012&lt;&gt;"",'Дивиденды по годам'!K1012&lt;&gt;"",'Дивиденды по годам'!M1012&lt;&gt;"",'Дивиденды по годам'!I1012&lt;&gt;0),('Дивиденды по годам'!J1012+'Дивиденды по годам'!K1012)/'Дивиденды по годам'!I1012,""),"")</f>
        <v>0.72775172721023385</v>
      </c>
      <c r="W1012">
        <f>IFERROR('Дивиденды по годам'!I1012,"")</f>
        <v>260391000000</v>
      </c>
      <c r="X1012" cm="1">
        <f t="array" ref="X1012">IFERROR(AVERAGE(_xlfn._xlws.FILTER(P$2:P$1073,($C$2:$C$1073=$C1012)*($E$2:$E$1073=$E1012)*(ROW(P$2:P$1073)&lt;&gt;ROW(P1012))*(P$2:P$1073&lt;&gt;""))),"")</f>
        <v>27.402665406688897</v>
      </c>
      <c r="Y1012" cm="1">
        <f t="array" ref="Y1012">IFERROR(AVERAGE(_xlfn._xlws.FILTER(Q$2:Q$1073,($C$2:$C$1073=$C1012)*($E$2:$E$1073=$E1012)*(ROW(Q$2:Q$1073)&lt;&gt;ROW(Q1012))*(Q$2:Q$1073&lt;&gt;""))),"")</f>
        <v>4.2212225997471674E-2</v>
      </c>
      <c r="Z1012" cm="1">
        <f t="array" ref="Z1012">IFERROR(AVERAGE(_xlfn._xlws.FILTER(R$2:R$1073,($C$2:$C$1073=$C1012)*($E$2:$E$1073=$E1012)*(ROW(R$2:R$1073)&lt;&gt;ROW(R1012))*(R$2:R$1073&lt;&gt;""))),"")</f>
        <v>0.58564332801649932</v>
      </c>
      <c r="AA1012" cm="1">
        <f t="array" ref="AA1012">IFERROR(AVERAGE(_xlfn._xlws.FILTER(S$2:S$1073,($C$2:$C$1073=$C1012)*($E$2:$E$1073=$E1012)*(ROW(S$2:S$1073)&lt;&gt;ROW(S1012))*(S$2:S$1073&lt;&gt;""))),"")</f>
        <v>0.67459032571709254</v>
      </c>
      <c r="AB1012" cm="1">
        <f t="array" ref="AB1012">IFERROR(AVERAGE(_xlfn._xlws.FILTER(T$2:T$1073,($C$2:$C$1073=$C1012)*($E$2:$E$1073=$E1012)*(ROW(T$2:T$1073)&lt;&gt;ROW(T1012))*(T$2:T$1073&lt;&gt;""))),"")</f>
        <v>5.4365337862660901E-2</v>
      </c>
      <c r="AC1012" cm="1">
        <f t="array" ref="AC1012">IFERROR(AVERAGE(_xlfn._xlws.FILTER(U$2:U$1073,($C$2:$C$1073=$C1012)*($E$2:$E$1073=$E1012)*(ROW(U$2:U$1073)&lt;&gt;ROW(U1012))*(U$2:U$1073&lt;&gt;""))),"")</f>
        <v>8.51954042375651</v>
      </c>
      <c r="AD1012" cm="1">
        <f t="array" ref="AD1012">IFERROR(AVERAGE(_xlfn._xlws.FILTER(V$2:V$1073,($C$2:$C$1073=$C1012)*($E$2:$E$1073=$E1012)*(ROW(V$2:V$1073)&lt;&gt;ROW(V1012))*(V$2:V$1073&lt;&gt;""))),"")</f>
        <v>0.81781626050800016</v>
      </c>
      <c r="AE1012">
        <f>IF('Дивиденды по годам'!M1012&lt;0,1,0)</f>
        <v>0</v>
      </c>
    </row>
    <row r="1013" spans="1:31" x14ac:dyDescent="0.2">
      <c r="A1013" s="7" t="s">
        <v>2324</v>
      </c>
      <c r="B1013" t="str">
        <f t="shared" si="165"/>
        <v>ETLN IV кв. 2022</v>
      </c>
      <c r="C1013">
        <v>2022</v>
      </c>
      <c r="D1013">
        <f>SUMIFS(Дивиденды!$C:$C,Дивиденды!$A:$A,A1013,Дивиденды!$I:$I,C1013)</f>
        <v>0</v>
      </c>
      <c r="E1013">
        <v>8</v>
      </c>
      <c r="F1013">
        <f t="shared" si="166"/>
        <v>0</v>
      </c>
      <c r="G1013">
        <f t="shared" si="167"/>
        <v>53.333333333333336</v>
      </c>
      <c r="H1013">
        <f t="shared" si="168"/>
        <v>0</v>
      </c>
      <c r="I1013">
        <f t="shared" si="169"/>
        <v>0.66666666666666663</v>
      </c>
      <c r="J1013">
        <f t="shared" si="170"/>
        <v>0</v>
      </c>
      <c r="K1013">
        <f t="shared" si="175"/>
        <v>0.33333333333333331</v>
      </c>
      <c r="L1013">
        <f t="shared" si="171"/>
        <v>0</v>
      </c>
      <c r="M1013">
        <f t="shared" si="172"/>
        <v>0.66666666666666663</v>
      </c>
      <c r="N1013">
        <f t="shared" si="173"/>
        <v>0</v>
      </c>
      <c r="O1013">
        <f t="shared" si="174"/>
        <v>0.33333333333333331</v>
      </c>
      <c r="P1013">
        <f>IFERROR(LN('Дивиденды по годам'!I1013),"")</f>
        <v>26.236876018263946</v>
      </c>
      <c r="Q1013">
        <f>IFERROR('Дивиденды по годам'!G1013/'Дивиденды по годам'!I1013, "")</f>
        <v>1.8266846741518676E-2</v>
      </c>
      <c r="R1013">
        <f>IFERROR(IF(AND('Дивиденды по годам'!N1013&lt;&gt;"",'Дивиденды по годам'!U1013&lt;&gt;"",'Дивиденды по годам'!U1013&lt;&gt;0),'Дивиденды по годам'!N1013/'Дивиденды по годам'!U1013-1,""),"")</f>
        <v>-7.5535357708462425E-2</v>
      </c>
      <c r="S1013">
        <f>IFERROR(IF(AND('Дивиденды по годам'!L1013&lt;&gt;"",'Дивиденды по годам'!I1013&lt;&gt;"",'Дивиденды по годам'!J1013&lt;&gt;"",'Дивиденды по годам'!K1013&lt;&gt;"",('Дивиденды по годам'!I1013-'Дивиденды по годам'!J1013-'Дивиденды по годам'!K1013)&lt;&gt;0),'Дивиденды по годам'!L1013/('Дивиденды по годам'!I1013-'Дивиденды по годам'!J1013-'Дивиденды по годам'!K1013),""),"")</f>
        <v>0.64458342881020092</v>
      </c>
      <c r="T1013">
        <f>IFERROR(IF(AND('Дивиденды по годам'!Q1013&lt;&gt;"",'Дивиденды по годам'!I1013&lt;&gt;"",'Дивиденды по годам'!V1013&lt;&gt;"",('Дивиденды по годам'!I1013+'Дивиденды по годам'!V1013)&lt;&gt;0),'Дивиденды по годам'!Q1013/(('Дивиденды по годам'!I1013+'Дивиденды по годам'!V1013)/2),""),"")</f>
        <v>5.5306576935102721E-2</v>
      </c>
      <c r="U1013">
        <f>IFERROR(IF(AND('Дивиденды по годам'!J1013&lt;&gt;"",'Дивиденды по годам'!K1013&lt;&gt;"",'Дивиденды по годам'!M1013&lt;&gt;"",'Дивиденды по годам'!M1013&lt;&gt;0),('Дивиденды по годам'!J1013+'Дивиденды по годам'!K1013)/'Дивиденды по годам'!M1013,""),"")</f>
        <v>2.3434201835851676</v>
      </c>
      <c r="V1013">
        <f>IFERROR(IF(AND('Дивиденды по годам'!J1013&lt;&gt;"",'Дивиденды по годам'!K1013&lt;&gt;"",'Дивиденды по годам'!M1013&lt;&gt;"",'Дивиденды по годам'!I1013&lt;&gt;0),('Дивиденды по годам'!J1013+'Дивиденды по годам'!K1013)/'Дивиденды по годам'!I1013,""),"")</f>
        <v>0.70090507770767396</v>
      </c>
      <c r="W1013">
        <f>IFERROR('Дивиденды по годам'!I1013,"")</f>
        <v>248045000000</v>
      </c>
      <c r="X1013" cm="1">
        <f t="array" ref="X1013">IFERROR(AVERAGE(_xlfn._xlws.FILTER(P$2:P$1073,($C$2:$C$1073=$C1013)*($E$2:$E$1073=$E1013)*(ROW(P$2:P$1073)&lt;&gt;ROW(P1013))*(P$2:P$1073&lt;&gt;""))),"")</f>
        <v>26.746678230244356</v>
      </c>
      <c r="Y1013" cm="1">
        <f t="array" ref="Y1013">IFERROR(AVERAGE(_xlfn._xlws.FILTER(Q$2:Q$1073,($C$2:$C$1073=$C1013)*($E$2:$E$1073=$E1013)*(ROW(Q$2:Q$1073)&lt;&gt;ROW(Q1013))*(Q$2:Q$1073&lt;&gt;""))),"")</f>
        <v>3.9395628383796184E-2</v>
      </c>
      <c r="Z1013" cm="1">
        <f t="array" ref="Z1013">IFERROR(AVERAGE(_xlfn._xlws.FILTER(R$2:R$1073,($C$2:$C$1073=$C1013)*($E$2:$E$1073=$E1013)*(ROW(R$2:R$1073)&lt;&gt;ROW(R1013))*(R$2:R$1073&lt;&gt;""))),"")</f>
        <v>0.46076280842673423</v>
      </c>
      <c r="AA1013" cm="1">
        <f t="array" ref="AA1013">IFERROR(AVERAGE(_xlfn._xlws.FILTER(S$2:S$1073,($C$2:$C$1073=$C1013)*($E$2:$E$1073=$E1013)*(ROW(S$2:S$1073)&lt;&gt;ROW(S1013))*(S$2:S$1073&lt;&gt;""))),"")</f>
        <v>0.66200017508434295</v>
      </c>
      <c r="AB1013" cm="1">
        <f t="array" ref="AB1013">IFERROR(AVERAGE(_xlfn._xlws.FILTER(T$2:T$1073,($C$2:$C$1073=$C1013)*($E$2:$E$1073=$E1013)*(ROW(T$2:T$1073)&lt;&gt;ROW(T1013))*(T$2:T$1073&lt;&gt;""))),"")</f>
        <v>4.2238859273166812E-2</v>
      </c>
      <c r="AC1013" cm="1">
        <f t="array" ref="AC1013">IFERROR(AVERAGE(_xlfn._xlws.FILTER(U$2:U$1073,($C$2:$C$1073=$C1013)*($E$2:$E$1073=$E1013)*(ROW(U$2:U$1073)&lt;&gt;ROW(U1013))*(U$2:U$1073&lt;&gt;""))),"")</f>
        <v>8.7103704289901849</v>
      </c>
      <c r="AD1013" cm="1">
        <f t="array" ref="AD1013">IFERROR(AVERAGE(_xlfn._xlws.FILTER(V$2:V$1073,($C$2:$C$1073=$C1013)*($E$2:$E$1073=$E1013)*(ROW(V$2:V$1073)&lt;&gt;ROW(V1013))*(V$2:V$1073&lt;&gt;""))),"")</f>
        <v>0.85064650050635082</v>
      </c>
      <c r="AE1013">
        <f>IF('Дивиденды по годам'!M1013&lt;0,1,0)</f>
        <v>0</v>
      </c>
    </row>
    <row r="1014" spans="1:31" x14ac:dyDescent="0.2">
      <c r="A1014" s="7" t="s">
        <v>2324</v>
      </c>
      <c r="B1014" t="str">
        <f t="shared" si="165"/>
        <v>ETLN IV кв. 2021</v>
      </c>
      <c r="C1014">
        <v>2021</v>
      </c>
      <c r="D1014">
        <f>SUMIFS(Дивиденды!$C:$C,Дивиденды!$A:$A,A1014,Дивиденды!$I:$I,C1014)</f>
        <v>0</v>
      </c>
      <c r="E1014">
        <v>8</v>
      </c>
      <c r="F1014">
        <f t="shared" si="166"/>
        <v>0</v>
      </c>
      <c r="G1014">
        <f t="shared" si="167"/>
        <v>21.306666666666668</v>
      </c>
      <c r="H1014">
        <f t="shared" si="168"/>
        <v>0</v>
      </c>
      <c r="I1014">
        <f t="shared" si="169"/>
        <v>0.66666666666666663</v>
      </c>
      <c r="J1014">
        <f t="shared" si="170"/>
        <v>0</v>
      </c>
      <c r="K1014">
        <f t="shared" si="175"/>
        <v>-0.49771487542385379</v>
      </c>
      <c r="L1014">
        <f t="shared" si="171"/>
        <v>0</v>
      </c>
      <c r="M1014">
        <f t="shared" si="172"/>
        <v>0</v>
      </c>
      <c r="N1014">
        <f t="shared" si="173"/>
        <v>0</v>
      </c>
      <c r="O1014">
        <f t="shared" si="174"/>
        <v>0.66666666666666663</v>
      </c>
      <c r="P1014">
        <f>IFERROR(LN('Дивиденды по годам'!I1014),"")</f>
        <v>26.126384562853524</v>
      </c>
      <c r="Q1014">
        <f>IFERROR('Дивиденды по годам'!G1014/'Дивиденды по годам'!I1014, "")</f>
        <v>1.823519347315149E-2</v>
      </c>
      <c r="R1014">
        <f>IFERROR(IF(AND('Дивиденды по годам'!N1014&lt;&gt;"",'Дивиденды по годам'!U1014&lt;&gt;"",'Дивиденды по годам'!U1014&lt;&gt;0),'Дивиденды по годам'!N1014/'Дивиденды по годам'!U1014-1,""),"")</f>
        <v>0.1078507405759328</v>
      </c>
      <c r="S1014">
        <f>IFERROR(IF(AND('Дивиденды по годам'!L1014&lt;&gt;"",'Дивиденды по годам'!I1014&lt;&gt;"",'Дивиденды по годам'!J1014&lt;&gt;"",'Дивиденды по годам'!K1014&lt;&gt;"",('Дивиденды по годам'!I1014-'Дивиденды по годам'!J1014-'Дивиденды по годам'!K1014)&lt;&gt;0),'Дивиденды по годам'!L1014/('Дивиденды по годам'!I1014-'Дивиденды по годам'!J1014-'Дивиденды по годам'!K1014),""),"")</f>
        <v>0.57027379400260758</v>
      </c>
      <c r="T1014">
        <f>IFERROR(IF(AND('Дивиденды по годам'!Q1014&lt;&gt;"",'Дивиденды по годам'!I1014&lt;&gt;"",'Дивиденды по годам'!V1014&lt;&gt;"",('Дивиденды по годам'!I1014+'Дивиденды по годам'!V1014)&lt;&gt;0),'Дивиденды по годам'!Q1014/(('Дивиденды по годам'!I1014+'Дивиденды по годам'!V1014)/2),""),"")</f>
        <v>1.471793880332928E-2</v>
      </c>
      <c r="U1014">
        <f>IFERROR(IF(AND('Дивиденды по годам'!J1014&lt;&gt;"",'Дивиденды по годам'!K1014&lt;&gt;"",'Дивиденды по годам'!M1014&lt;&gt;"",'Дивиденды по годам'!M1014&lt;&gt;0),('Дивиденды по годам'!J1014+'Дивиденды по годам'!K1014)/'Дивиденды по годам'!M1014,""),"")</f>
        <v>2.6195893089960887</v>
      </c>
      <c r="V1014">
        <f>IFERROR(IF(AND('Дивиденды по годам'!J1014&lt;&gt;"",'Дивиденды по годам'!K1014&lt;&gt;"",'Дивиденды по годам'!M1014&lt;&gt;"",'Дивиденды по годам'!I1014&lt;&gt;0),('Дивиденды по годам'!J1014+'Дивиденды по годам'!K1014)/'Дивиденды по годам'!I1014,""),"")</f>
        <v>0.7237255625894875</v>
      </c>
      <c r="W1014">
        <f>IFERROR('Дивиденды по годам'!I1014,"")</f>
        <v>222098000000</v>
      </c>
      <c r="X1014" cm="1">
        <f t="array" ref="X1014">IFERROR(AVERAGE(_xlfn._xlws.FILTER(P$2:P$1073,($C$2:$C$1073=$C1014)*($E$2:$E$1073=$E1014)*(ROW(P$2:P$1073)&lt;&gt;ROW(P1014))*(P$2:P$1073&lt;&gt;""))),"")</f>
        <v>26.775072487849553</v>
      </c>
      <c r="Y1014" cm="1">
        <f t="array" ref="Y1014">IFERROR(AVERAGE(_xlfn._xlws.FILTER(Q$2:Q$1073,($C$2:$C$1073=$C1014)*($E$2:$E$1073=$E1014)*(ROW(Q$2:Q$1073)&lt;&gt;ROW(Q1014))*(Q$2:Q$1073&lt;&gt;""))),"")</f>
        <v>3.6971105668930651E-2</v>
      </c>
      <c r="Z1014" cm="1">
        <f t="array" ref="Z1014">IFERROR(AVERAGE(_xlfn._xlws.FILTER(R$2:R$1073,($C$2:$C$1073=$C1014)*($E$2:$E$1073=$E1014)*(ROW(R$2:R$1073)&lt;&gt;ROW(R1014))*(R$2:R$1073&lt;&gt;""))),"")</f>
        <v>0.31141782071639662</v>
      </c>
      <c r="AA1014" cm="1">
        <f t="array" ref="AA1014">IFERROR(AVERAGE(_xlfn._xlws.FILTER(S$2:S$1073,($C$2:$C$1073=$C1014)*($E$2:$E$1073=$E1014)*(ROW(S$2:S$1073)&lt;&gt;ROW(S1014))*(S$2:S$1073&lt;&gt;""))),"")</f>
        <v>0.66560172311950816</v>
      </c>
      <c r="AB1014" cm="1">
        <f t="array" ref="AB1014">IFERROR(AVERAGE(_xlfn._xlws.FILTER(T$2:T$1073,($C$2:$C$1073=$C1014)*($E$2:$E$1073=$E1014)*(ROW(T$2:T$1073)&lt;&gt;ROW(T1014))*(T$2:T$1073&lt;&gt;""))),"")</f>
        <v>7.6086144327216568E-2</v>
      </c>
      <c r="AC1014" cm="1">
        <f t="array" ref="AC1014">IFERROR(AVERAGE(_xlfn._xlws.FILTER(U$2:U$1073,($C$2:$C$1073=$C1014)*($E$2:$E$1073=$E1014)*(ROW(U$2:U$1073)&lt;&gt;ROW(U1014))*(U$2:U$1073&lt;&gt;""))),"")</f>
        <v>5.8194415159028852</v>
      </c>
      <c r="AD1014" cm="1">
        <f t="array" ref="AD1014">IFERROR(AVERAGE(_xlfn._xlws.FILTER(V$2:V$1073,($C$2:$C$1073=$C1014)*($E$2:$E$1073=$E1014)*(ROW(V$2:V$1073)&lt;&gt;ROW(V1014))*(V$2:V$1073&lt;&gt;""))),"")</f>
        <v>0.80306147525916849</v>
      </c>
      <c r="AE1014">
        <f>IF('Дивиденды по годам'!M1014&lt;0,1,0)</f>
        <v>0</v>
      </c>
    </row>
    <row r="1015" spans="1:31" x14ac:dyDescent="0.2">
      <c r="A1015" s="7" t="s">
        <v>2324</v>
      </c>
      <c r="B1015" t="str">
        <f t="shared" si="165"/>
        <v>ETLN IV кв. 2020</v>
      </c>
      <c r="C1015">
        <v>2020</v>
      </c>
      <c r="D1015">
        <f>SUMIFS(Дивиденды!$C:$C,Дивиденды!$A:$A,A1015,Дивиденды!$I:$I,C1015)</f>
        <v>0</v>
      </c>
      <c r="E1015">
        <v>8</v>
      </c>
      <c r="F1015">
        <f t="shared" si="166"/>
        <v>0</v>
      </c>
      <c r="G1015">
        <f t="shared" si="167"/>
        <v>48.406666666666666</v>
      </c>
      <c r="H1015">
        <f t="shared" si="168"/>
        <v>0</v>
      </c>
      <c r="I1015">
        <f t="shared" si="169"/>
        <v>1</v>
      </c>
      <c r="J1015">
        <f t="shared" si="170"/>
        <v>0</v>
      </c>
      <c r="K1015">
        <f t="shared" si="175"/>
        <v>0.98888888888888893</v>
      </c>
      <c r="L1015">
        <f t="shared" si="171"/>
        <v>0</v>
      </c>
      <c r="M1015">
        <f t="shared" si="172"/>
        <v>1</v>
      </c>
      <c r="N1015">
        <f t="shared" si="173"/>
        <v>0</v>
      </c>
      <c r="O1015">
        <f t="shared" si="174"/>
        <v>0</v>
      </c>
      <c r="P1015">
        <f>IFERROR(LN('Дивиденды по годам'!I1015),"")</f>
        <v>25.95179894751681</v>
      </c>
      <c r="Q1015">
        <f>IFERROR('Дивиденды по годам'!G1015/'Дивиденды по годам'!I1015, "")</f>
        <v>1.8807735404972149E-2</v>
      </c>
      <c r="R1015">
        <f>IFERROR(IF(AND('Дивиденды по годам'!N1015&lt;&gt;"",'Дивиденды по годам'!U1015&lt;&gt;"",'Дивиденды по годам'!U1015&lt;&gt;0),'Дивиденды по годам'!N1015/'Дивиденды по годам'!U1015-1,""),"")</f>
        <v>-6.7295150005929116E-2</v>
      </c>
      <c r="S1015">
        <f>IFERROR(IF(AND('Дивиденды по годам'!L1015&lt;&gt;"",'Дивиденды по годам'!I1015&lt;&gt;"",'Дивиденды по годам'!J1015&lt;&gt;"",'Дивиденды по годам'!K1015&lt;&gt;"",('Дивиденды по годам'!I1015-'Дивиденды по годам'!J1015-'Дивиденды по годам'!K1015)&lt;&gt;0),'Дивиденды по годам'!L1015/('Дивиденды по годам'!I1015-'Дивиденды по годам'!J1015-'Дивиденды по годам'!K1015),""),"")</f>
        <v>0.69676737219274376</v>
      </c>
      <c r="T1015">
        <f>IFERROR(IF(AND('Дивиденды по годам'!Q1015&lt;&gt;"",'Дивиденды по годам'!I1015&lt;&gt;"",'Дивиденды по годам'!V1015&lt;&gt;"",('Дивиденды по годам'!I1015+'Дивиденды по годам'!V1015)&lt;&gt;0),'Дивиденды по годам'!Q1015/(('Дивиденды по годам'!I1015+'Дивиденды по годам'!V1015)/2),""),"")</f>
        <v>1.1378656077884554E-2</v>
      </c>
      <c r="U1015">
        <f>IFERROR(IF(AND('Дивиденды по годам'!J1015&lt;&gt;"",'Дивиденды по годам'!K1015&lt;&gt;"",'Дивиденды по годам'!M1015&lt;&gt;"",'Дивиденды по годам'!M1015&lt;&gt;0),('Дивиденды по годам'!J1015+'Дивиденды по годам'!K1015)/'Дивиденды по годам'!M1015,""),"")</f>
        <v>2.6520079102461183</v>
      </c>
      <c r="V1015">
        <f>IFERROR(IF(AND('Дивиденды по годам'!J1015&lt;&gt;"",'Дивиденды по годам'!K1015&lt;&gt;"",'Дивиденды по годам'!M1015&lt;&gt;"",'Дивиденды по годам'!I1015&lt;&gt;0),('Дивиденды по годам'!J1015+'Дивиденды по годам'!K1015)/'Дивиденды по годам'!I1015,""),"")</f>
        <v>0.72617803012025584</v>
      </c>
      <c r="W1015">
        <f>IFERROR('Дивиденды по годам'!I1015,"")</f>
        <v>186519000000</v>
      </c>
      <c r="X1015" cm="1">
        <f t="array" ref="X1015">IFERROR(AVERAGE(_xlfn._xlws.FILTER(P$2:P$1073,($C$2:$C$1073=$C1015)*($E$2:$E$1073=$E1015)*(ROW(P$2:P$1073)&lt;&gt;ROW(P1015))*(P$2:P$1073&lt;&gt;""))),"")</f>
        <v>26.284320282031803</v>
      </c>
      <c r="Y1015" cm="1">
        <f t="array" ref="Y1015">IFERROR(AVERAGE(_xlfn._xlws.FILTER(Q$2:Q$1073,($C$2:$C$1073=$C1015)*($E$2:$E$1073=$E1015)*(ROW(Q$2:Q$1073)&lt;&gt;ROW(Q1015))*(Q$2:Q$1073&lt;&gt;""))),"")</f>
        <v>4.7179029311258995E-2</v>
      </c>
      <c r="Z1015" cm="1">
        <f t="array" ref="Z1015">IFERROR(AVERAGE(_xlfn._xlws.FILTER(R$2:R$1073,($C$2:$C$1073=$C1015)*($E$2:$E$1073=$E1015)*(ROW(R$2:R$1073)&lt;&gt;ROW(R1015))*(R$2:R$1073&lt;&gt;""))),"")</f>
        <v>0.2000985346673565</v>
      </c>
      <c r="AA1015" cm="1">
        <f t="array" ref="AA1015">IFERROR(AVERAGE(_xlfn._xlws.FILTER(S$2:S$1073,($C$2:$C$1073=$C1015)*($E$2:$E$1073=$E1015)*(ROW(S$2:S$1073)&lt;&gt;ROW(S1015))*(S$2:S$1073&lt;&gt;""))),"")</f>
        <v>0.65330727410681666</v>
      </c>
      <c r="AB1015" cm="1">
        <f t="array" ref="AB1015">IFERROR(AVERAGE(_xlfn._xlws.FILTER(T$2:T$1073,($C$2:$C$1073=$C1015)*($E$2:$E$1073=$E1015)*(ROW(T$2:T$1073)&lt;&gt;ROW(T1015))*(T$2:T$1073&lt;&gt;""))),"")</f>
        <v>8.3152930194395569E-2</v>
      </c>
      <c r="AC1015" cm="1">
        <f t="array" ref="AC1015">IFERROR(AVERAGE(_xlfn._xlws.FILTER(U$2:U$1073,($C$2:$C$1073=$C1015)*($E$2:$E$1073=$E1015)*(ROW(U$2:U$1073)&lt;&gt;ROW(U1015))*(U$2:U$1073&lt;&gt;""))),"")</f>
        <v>4.3377171718408958</v>
      </c>
      <c r="AD1015" cm="1">
        <f t="array" ref="AD1015">IFERROR(AVERAGE(_xlfn._xlws.FILTER(V$2:V$1073,($C$2:$C$1073=$C1015)*($E$2:$E$1073=$E1015)*(ROW(V$2:V$1073)&lt;&gt;ROW(V1015))*(V$2:V$1073&lt;&gt;""))),"")</f>
        <v>0.7625122156385703</v>
      </c>
      <c r="AE1015">
        <f>IF('Дивиденды по годам'!M1015&lt;0,1,0)</f>
        <v>0</v>
      </c>
    </row>
    <row r="1016" spans="1:31" x14ac:dyDescent="0.2">
      <c r="A1016" s="7" t="s">
        <v>2324</v>
      </c>
      <c r="B1016" t="str">
        <f t="shared" si="165"/>
        <v>ETLN IV кв. 2019</v>
      </c>
      <c r="C1016">
        <v>2019</v>
      </c>
      <c r="D1016">
        <f>SUMIFS(Дивиденды!$C:$C,Дивиденды!$A:$A,A1016,Дивиденды!$I:$I,C1016)</f>
        <v>0</v>
      </c>
      <c r="E1016">
        <v>8</v>
      </c>
      <c r="F1016">
        <f t="shared" si="166"/>
        <v>0</v>
      </c>
      <c r="G1016">
        <f t="shared" si="167"/>
        <v>10</v>
      </c>
      <c r="H1016">
        <f t="shared" si="168"/>
        <v>0</v>
      </c>
      <c r="I1016">
        <f t="shared" si="169"/>
        <v>0.33333333333333331</v>
      </c>
      <c r="J1016">
        <f t="shared" si="170"/>
        <v>0</v>
      </c>
      <c r="K1016">
        <f t="shared" si="175"/>
        <v>-0.53846153846153844</v>
      </c>
      <c r="L1016">
        <f t="shared" si="171"/>
        <v>0</v>
      </c>
      <c r="M1016">
        <f t="shared" si="172"/>
        <v>0</v>
      </c>
      <c r="N1016">
        <f t="shared" si="173"/>
        <v>0</v>
      </c>
      <c r="O1016">
        <f t="shared" si="174"/>
        <v>0.66666666666666663</v>
      </c>
      <c r="P1016">
        <f>IFERROR(LN('Дивиденды по годам'!I1016),"")</f>
        <v>25.866939068604932</v>
      </c>
      <c r="Q1016">
        <f>IFERROR('Дивиденды по годам'!G1016/'Дивиденды по годам'!I1016, "")</f>
        <v>2.0782752824726865E-2</v>
      </c>
      <c r="R1016">
        <f>IFERROR(IF(AND('Дивиденды по годам'!N1016&lt;&gt;"",'Дивиденды по годам'!U1016&lt;&gt;"",'Дивиденды по годам'!U1016&lt;&gt;0),'Дивиденды по годам'!N1016/'Дивиденды по годам'!U1016-1,""),"")</f>
        <v>0.16595462275498774</v>
      </c>
      <c r="S1016">
        <f>IFERROR(IF(AND('Дивиденды по годам'!L1016&lt;&gt;"",'Дивиденды по годам'!I1016&lt;&gt;"",'Дивиденды по годам'!J1016&lt;&gt;"",'Дивиденды по годам'!K1016&lt;&gt;"",('Дивиденды по годам'!I1016-'Дивиденды по годам'!J1016-'Дивиденды по годам'!K1016)&lt;&gt;0),'Дивиденды по годам'!L1016/('Дивиденды по годам'!I1016-'Дивиденды по годам'!J1016-'Дивиденды по годам'!K1016),""),"")</f>
        <v>0.70543594035301282</v>
      </c>
      <c r="T1016">
        <f>IFERROR(IF(AND('Дивиденды по годам'!Q1016&lt;&gt;"",'Дивиденды по годам'!I1016&lt;&gt;"",'Дивиденды по годам'!V1016&lt;&gt;"",('Дивиденды по годам'!I1016+'Дивиденды по годам'!V1016)&lt;&gt;0),'Дивиденды по годам'!Q1016/(('Дивиденды по годам'!I1016+'Дивиденды по годам'!V1016)/2),""),"")</f>
        <v>1.2321348723978603E-3</v>
      </c>
      <c r="U1016">
        <f>IFERROR(IF(AND('Дивиденды по годам'!J1016&lt;&gt;"",'Дивиденды по годам'!K1016&lt;&gt;"",'Дивиденды по годам'!M1016&lt;&gt;"",'Дивиденды по годам'!M1016&lt;&gt;0),('Дивиденды по годам'!J1016+'Дивиденды по годам'!K1016)/'Дивиденды по годам'!M1016,""),"")</f>
        <v>2.2589774802191114</v>
      </c>
      <c r="V1016">
        <f>IFERROR(IF(AND('Дивиденды по годам'!J1016&lt;&gt;"",'Дивиденды по годам'!K1016&lt;&gt;"",'Дивиденды по годам'!M1016&lt;&gt;"",'Дивиденды по годам'!I1016&lt;&gt;0),('Дивиденды по годам'!J1016+'Дивиденды по годам'!K1016)/'Дивиденды по годам'!I1016,""),"")</f>
        <v>0.69315528994303854</v>
      </c>
      <c r="W1016">
        <f>IFERROR('Дивиденды по годам'!I1016,"")</f>
        <v>171344000000</v>
      </c>
      <c r="X1016" cm="1">
        <f t="array" ref="X1016">IFERROR(AVERAGE(_xlfn._xlws.FILTER(P$2:P$1073,($C$2:$C$1073=$C1016)*($E$2:$E$1073=$E1016)*(ROW(P$2:P$1073)&lt;&gt;ROW(P1016))*(P$2:P$1073&lt;&gt;""))),"")</f>
        <v>26.089418646014039</v>
      </c>
      <c r="Y1016" cm="1">
        <f t="array" ref="Y1016">IFERROR(AVERAGE(_xlfn._xlws.FILTER(Q$2:Q$1073,($C$2:$C$1073=$C1016)*($E$2:$E$1073=$E1016)*(ROW(Q$2:Q$1073)&lt;&gt;ROW(Q1016))*(Q$2:Q$1073&lt;&gt;""))),"")</f>
        <v>5.6408479065261675E-2</v>
      </c>
      <c r="Z1016" cm="1">
        <f t="array" ref="Z1016">IFERROR(AVERAGE(_xlfn._xlws.FILTER(R$2:R$1073,($C$2:$C$1073=$C1016)*($E$2:$E$1073=$E1016)*(ROW(R$2:R$1073)&lt;&gt;ROW(R1016))*(R$2:R$1073&lt;&gt;""))),"")</f>
        <v>7.2461515181666478E-2</v>
      </c>
      <c r="AA1016" cm="1">
        <f t="array" ref="AA1016">IFERROR(AVERAGE(_xlfn._xlws.FILTER(S$2:S$1073,($C$2:$C$1073=$C1016)*($E$2:$E$1073=$E1016)*(ROW(S$2:S$1073)&lt;&gt;ROW(S1016))*(S$2:S$1073&lt;&gt;""))),"")</f>
        <v>0.58031186314283467</v>
      </c>
      <c r="AB1016" cm="1">
        <f t="array" ref="AB1016">IFERROR(AVERAGE(_xlfn._xlws.FILTER(T$2:T$1073,($C$2:$C$1073=$C1016)*($E$2:$E$1073=$E1016)*(ROW(T$2:T$1073)&lt;&gt;ROW(T1016))*(T$2:T$1073&lt;&gt;""))),"")</f>
        <v>5.0094245217913592E-2</v>
      </c>
      <c r="AC1016" cm="1">
        <f t="array" ref="AC1016">IFERROR(AVERAGE(_xlfn._xlws.FILTER(U$2:U$1073,($C$2:$C$1073=$C1016)*($E$2:$E$1073=$E1016)*(ROW(U$2:U$1073)&lt;&gt;ROW(U1016))*(U$2:U$1073&lt;&gt;""))),"")</f>
        <v>6.1286716507772541</v>
      </c>
      <c r="AD1016" cm="1">
        <f t="array" ref="AD1016">IFERROR(AVERAGE(_xlfn._xlws.FILTER(V$2:V$1073,($C$2:$C$1073=$C1016)*($E$2:$E$1073=$E1016)*(ROW(V$2:V$1073)&lt;&gt;ROW(V1016))*(V$2:V$1073&lt;&gt;""))),"")</f>
        <v>0.79260890381455751</v>
      </c>
      <c r="AE1016">
        <f>IF('Дивиденды по годам'!M1016&lt;0,1,0)</f>
        <v>0</v>
      </c>
    </row>
    <row r="1017" spans="1:31" x14ac:dyDescent="0.2">
      <c r="A1017" s="7" t="s">
        <v>2324</v>
      </c>
      <c r="B1017" t="str">
        <f t="shared" si="165"/>
        <v>ETLN IV кв. 2018</v>
      </c>
      <c r="C1017">
        <v>2018</v>
      </c>
      <c r="D1017">
        <f>SUMIFS(Дивиденды!$C:$C,Дивиденды!$A:$A,A1017,Дивиденды!$I:$I,C1017)</f>
        <v>0</v>
      </c>
      <c r="E1017">
        <v>8</v>
      </c>
      <c r="F1017">
        <f t="shared" si="166"/>
        <v>0</v>
      </c>
      <c r="G1017">
        <f t="shared" si="167"/>
        <v>41.14</v>
      </c>
      <c r="H1017">
        <f t="shared" si="168"/>
        <v>0</v>
      </c>
      <c r="I1017">
        <f t="shared" si="169"/>
        <v>0.66666666666666663</v>
      </c>
      <c r="J1017">
        <f t="shared" si="170"/>
        <v>0</v>
      </c>
      <c r="K1017">
        <f t="shared" si="175"/>
        <v>0.33333333333333331</v>
      </c>
      <c r="L1017">
        <f t="shared" si="171"/>
        <v>0</v>
      </c>
      <c r="M1017">
        <f t="shared" si="172"/>
        <v>0.33333333333333331</v>
      </c>
      <c r="N1017">
        <f t="shared" si="173"/>
        <v>0</v>
      </c>
      <c r="O1017">
        <f t="shared" si="174"/>
        <v>0</v>
      </c>
      <c r="P1017">
        <f>IFERROR(LN('Дивиденды по годам'!I1017),"")</f>
        <v>25.595182977064152</v>
      </c>
      <c r="Q1017">
        <f>IFERROR('Дивиденды по годам'!G1017/'Дивиденды по годам'!I1017, "")</f>
        <v>2.4469445742163268E-2</v>
      </c>
      <c r="R1017">
        <f>IFERROR(IF(AND('Дивиденды по годам'!N1017&lt;&gt;"",'Дивиденды по годам'!U1017&lt;&gt;"",'Дивиденды по годам'!U1017&lt;&gt;0),'Дивиденды по годам'!N1017/'Дивиденды по годам'!U1017-1,""),"")</f>
        <v>2.3809186778965152E-2</v>
      </c>
      <c r="S1017">
        <f>IFERROR(IF(AND('Дивиденды по годам'!L1017&lt;&gt;"",'Дивиденды по годам'!I1017&lt;&gt;"",'Дивиденды по годам'!J1017&lt;&gt;"",'Дивиденды по годам'!K1017&lt;&gt;"",('Дивиденды по годам'!I1017-'Дивиденды по годам'!J1017-'Дивиденды по годам'!K1017)&lt;&gt;0),'Дивиденды по годам'!L1017/('Дивиденды по годам'!I1017-'Дивиденды по годам'!J1017-'Дивиденды по годам'!K1017),""),"")</f>
        <v>0.74234812695455454</v>
      </c>
      <c r="T1017">
        <f>IFERROR(IF(AND('Дивиденды по годам'!Q1017&lt;&gt;"",'Дивиденды по годам'!I1017&lt;&gt;"",'Дивиденды по годам'!V1017&lt;&gt;"",('Дивиденды по годам'!I1017+'Дивиденды по годам'!V1017)&lt;&gt;0),'Дивиденды по годам'!Q1017/(('Дивиденды по годам'!I1017+'Дивиденды по годам'!V1017)/2),""),"")</f>
        <v>2.7884122629849578E-4</v>
      </c>
      <c r="U1017">
        <f>IFERROR(IF(AND('Дивиденды по годам'!J1017&lt;&gt;"",'Дивиденды по годам'!K1017&lt;&gt;"",'Дивиденды по годам'!M1017&lt;&gt;"",'Дивиденды по годам'!M1017&lt;&gt;0),('Дивиденды по годам'!J1017+'Дивиденды по годам'!K1017)/'Дивиденды по годам'!M1017,""),"")</f>
        <v>1.1719841639496973</v>
      </c>
      <c r="V1017">
        <f>IFERROR(IF(AND('Дивиденды по годам'!J1017&lt;&gt;"",'Дивиденды по годам'!K1017&lt;&gt;"",'Дивиденды по годам'!M1017&lt;&gt;"",'Дивиденды по годам'!I1017&lt;&gt;0),('Дивиденды по годам'!J1017+'Дивиденды по годам'!K1017)/'Дивиденды по годам'!I1017,""),"")</f>
        <v>0.53959148662413547</v>
      </c>
      <c r="W1017">
        <f>IFERROR('Дивиденды по годам'!I1017,"")</f>
        <v>130571000000</v>
      </c>
      <c r="X1017" cm="1">
        <f t="array" ref="X1017">IFERROR(AVERAGE(_xlfn._xlws.FILTER(P$2:P$1073,($C$2:$C$1073=$C1017)*($E$2:$E$1073=$E1017)*(ROW(P$2:P$1073)&lt;&gt;ROW(P1017))*(P$2:P$1073&lt;&gt;""))),"")</f>
        <v>25.910923030067107</v>
      </c>
      <c r="Y1017" cm="1">
        <f t="array" ref="Y1017">IFERROR(AVERAGE(_xlfn._xlws.FILTER(Q$2:Q$1073,($C$2:$C$1073=$C1017)*($E$2:$E$1073=$E1017)*(ROW(Q$2:Q$1073)&lt;&gt;ROW(Q1017))*(Q$2:Q$1073&lt;&gt;""))),"")</f>
        <v>5.6336105241738758E-2</v>
      </c>
      <c r="Z1017" cm="1">
        <f t="array" ref="Z1017">IFERROR(AVERAGE(_xlfn._xlws.FILTER(R$2:R$1073,($C$2:$C$1073=$C1017)*($E$2:$E$1073=$E1017)*(ROW(R$2:R$1073)&lt;&gt;ROW(R1017))*(R$2:R$1073&lt;&gt;""))),"")</f>
        <v>0.12827356785371927</v>
      </c>
      <c r="AA1017" cm="1">
        <f t="array" ref="AA1017">IFERROR(AVERAGE(_xlfn._xlws.FILTER(S$2:S$1073,($C$2:$C$1073=$C1017)*($E$2:$E$1073=$E1017)*(ROW(S$2:S$1073)&lt;&gt;ROW(S1017))*(S$2:S$1073&lt;&gt;""))),"")</f>
        <v>0.58600670206875471</v>
      </c>
      <c r="AB1017" cm="1">
        <f t="array" ref="AB1017">IFERROR(AVERAGE(_xlfn._xlws.FILTER(T$2:T$1073,($C$2:$C$1073=$C1017)*($E$2:$E$1073=$E1017)*(ROW(T$2:T$1073)&lt;&gt;ROW(T1017))*(T$2:T$1073&lt;&gt;""))),"")</f>
        <v>5.9328540582473187E-2</v>
      </c>
      <c r="AC1017" cm="1">
        <f t="array" ref="AC1017">IFERROR(AVERAGE(_xlfn._xlws.FILTER(U$2:U$1073,($C$2:$C$1073=$C1017)*($E$2:$E$1073=$E1017)*(ROW(U$2:U$1073)&lt;&gt;ROW(U1017))*(U$2:U$1073&lt;&gt;""))),"")</f>
        <v>5.0944657491945513</v>
      </c>
      <c r="AD1017" cm="1">
        <f t="array" ref="AD1017">IFERROR(AVERAGE(_xlfn._xlws.FILTER(V$2:V$1073,($C$2:$C$1073=$C1017)*($E$2:$E$1073=$E1017)*(ROW(V$2:V$1073)&lt;&gt;ROW(V1017))*(V$2:V$1073&lt;&gt;""))),"")</f>
        <v>0.79383839973941173</v>
      </c>
      <c r="AE1017">
        <f>IF('Дивиденды по годам'!M1017&lt;0,1,0)</f>
        <v>0</v>
      </c>
    </row>
    <row r="1018" spans="1:31" x14ac:dyDescent="0.2">
      <c r="A1018" s="7" t="s">
        <v>2324</v>
      </c>
      <c r="B1018" t="str">
        <f t="shared" si="165"/>
        <v>ETLN IV кв. 2017</v>
      </c>
      <c r="C1018">
        <v>2017</v>
      </c>
      <c r="D1018">
        <f>SUMIFS(Дивиденды!$C:$C,Дивиденды!$A:$A,A1018,Дивиденды!$I:$I,C1018)</f>
        <v>0</v>
      </c>
      <c r="E1018">
        <v>8</v>
      </c>
      <c r="F1018">
        <f t="shared" si="166"/>
        <v>0</v>
      </c>
      <c r="G1018">
        <f t="shared" si="167"/>
        <v>26</v>
      </c>
      <c r="H1018">
        <f t="shared" si="168"/>
        <v>0</v>
      </c>
      <c r="I1018">
        <f t="shared" si="169"/>
        <v>0.33333333333333331</v>
      </c>
      <c r="J1018">
        <f t="shared" si="170"/>
        <v>0</v>
      </c>
      <c r="K1018">
        <f t="shared" si="175"/>
        <v>0</v>
      </c>
      <c r="L1018">
        <f t="shared" si="171"/>
        <v>0</v>
      </c>
      <c r="M1018">
        <f t="shared" si="172"/>
        <v>0</v>
      </c>
      <c r="N1018">
        <f t="shared" si="173"/>
        <v>0</v>
      </c>
      <c r="O1018">
        <f t="shared" si="174"/>
        <v>0</v>
      </c>
      <c r="P1018">
        <f>IFERROR(LN('Дивиденды по годам'!I1018),"")</f>
        <v>25.6271544699438</v>
      </c>
      <c r="Q1018">
        <f>IFERROR('Дивиденды по годам'!G1018/'Дивиденды по годам'!I1018, "")</f>
        <v>2.2883549806027609E-2</v>
      </c>
      <c r="R1018" t="str">
        <f>IFERROR(IF(AND('Дивиденды по годам'!N1018&lt;&gt;"",'Дивиденды по годам'!U1018&lt;&gt;"",'Дивиденды по годам'!U1018&lt;&gt;0),'Дивиденды по годам'!N1018/'Дивиденды по годам'!U1018-1,""),"")</f>
        <v/>
      </c>
      <c r="S1018">
        <f>IFERROR(IF(AND('Дивиденды по годам'!L1018&lt;&gt;"",'Дивиденды по годам'!I1018&lt;&gt;"",'Дивиденды по годам'!J1018&lt;&gt;"",'Дивиденды по годам'!K1018&lt;&gt;"",('Дивиденды по годам'!I1018-'Дивиденды по годам'!J1018-'Дивиденды по годам'!K1018)&lt;&gt;0),'Дивиденды по годам'!L1018/('Дивиденды по годам'!I1018-'Дивиденды по годам'!J1018-'Дивиденды по годам'!K1018),""),"")</f>
        <v>0.77544781466443757</v>
      </c>
      <c r="T1018" t="str">
        <f>IFERROR(IF(AND('Дивиденды по годам'!Q1018&lt;&gt;"",'Дивиденды по годам'!I1018&lt;&gt;"",'Дивиденды по годам'!V1018&lt;&gt;"",('Дивиденды по годам'!I1018+'Дивиденды по годам'!V1018)&lt;&gt;0),'Дивиденды по годам'!Q1018/(('Дивиденды по годам'!I1018+'Дивиденды по годам'!V1018)/2),""),"")</f>
        <v/>
      </c>
      <c r="U1018">
        <f>IFERROR(IF(AND('Дивиденды по годам'!J1018&lt;&gt;"",'Дивиденды по годам'!K1018&lt;&gt;"",'Дивиденды по годам'!M1018&lt;&gt;"",'Дивиденды по годам'!M1018&lt;&gt;0),('Дивиденды по годам'!J1018+'Дивиденды по годам'!K1018)/'Дивиденды по годам'!M1018,""),"")</f>
        <v>1.1465329193535547</v>
      </c>
      <c r="V1018">
        <f>IFERROR(IF(AND('Дивиденды по годам'!J1018&lt;&gt;"",'Дивиденды по годам'!K1018&lt;&gt;"",'Дивиденды по годам'!M1018&lt;&gt;"",'Дивиденды по годам'!I1018&lt;&gt;0),('Дивиденды по годам'!J1018+'Дивиденды по годам'!K1018)/'Дивиденды по годам'!I1018,""),"")</f>
        <v>0.53413246496999545</v>
      </c>
      <c r="W1018">
        <f>IFERROR('Дивиденды по годам'!I1018,"")</f>
        <v>134813000000</v>
      </c>
      <c r="X1018" cm="1">
        <f t="array" ref="X1018">IFERROR(AVERAGE(_xlfn._xlws.FILTER(P$2:P$1073,($C$2:$C$1073=$C1018)*($E$2:$E$1073=$E1018)*(ROW(P$2:P$1073)&lt;&gt;ROW(P1018))*(P$2:P$1073&lt;&gt;""))),"")</f>
        <v>25.840550972933006</v>
      </c>
      <c r="Y1018" cm="1">
        <f t="array" ref="Y1018">IFERROR(AVERAGE(_xlfn._xlws.FILTER(Q$2:Q$1073,($C$2:$C$1073=$C1018)*($E$2:$E$1073=$E1018)*(ROW(Q$2:Q$1073)&lt;&gt;ROW(Q1018))*(Q$2:Q$1073&lt;&gt;""))),"")</f>
        <v>6.0059971221023224E-2</v>
      </c>
      <c r="Z1018" cm="1">
        <f t="array" ref="Z1018">IFERROR(AVERAGE(_xlfn._xlws.FILTER(R$2:R$1073,($C$2:$C$1073=$C1018)*($E$2:$E$1073=$E1018)*(ROW(R$2:R$1073)&lt;&gt;ROW(R1018))*(R$2:R$1073&lt;&gt;""))),"")</f>
        <v>1.0050905348428816</v>
      </c>
      <c r="AA1018" cm="1">
        <f t="array" ref="AA1018">IFERROR(AVERAGE(_xlfn._xlws.FILTER(S$2:S$1073,($C$2:$C$1073=$C1018)*($E$2:$E$1073=$E1018)*(ROW(S$2:S$1073)&lt;&gt;ROW(S1018))*(S$2:S$1073&lt;&gt;""))),"")</f>
        <v>0.48690555087507725</v>
      </c>
      <c r="AB1018" cm="1">
        <f t="array" ref="AB1018">IFERROR(AVERAGE(_xlfn._xlws.FILTER(T$2:T$1073,($C$2:$C$1073=$C1018)*($E$2:$E$1073=$E1018)*(ROW(T$2:T$1073)&lt;&gt;ROW(T1018))*(T$2:T$1073&lt;&gt;""))),"")</f>
        <v>5.0776144456165663E-2</v>
      </c>
      <c r="AC1018" cm="1">
        <f t="array" ref="AC1018">IFERROR(AVERAGE(_xlfn._xlws.FILTER(U$2:U$1073,($C$2:$C$1073=$C1018)*($E$2:$E$1073=$E1018)*(ROW(U$2:U$1073)&lt;&gt;ROW(U1018))*(U$2:U$1073&lt;&gt;""))),"")</f>
        <v>6.5585593087466565</v>
      </c>
      <c r="AD1018" cm="1">
        <f t="array" ref="AD1018">IFERROR(AVERAGE(_xlfn._xlws.FILTER(V$2:V$1073,($C$2:$C$1073=$C1018)*($E$2:$E$1073=$E1018)*(ROW(V$2:V$1073)&lt;&gt;ROW(V1018))*(V$2:V$1073&lt;&gt;""))),"")</f>
        <v>0.82132294066791089</v>
      </c>
      <c r="AE1018">
        <f>IF('Дивиденды по годам'!M1018&lt;0,1,0)</f>
        <v>0</v>
      </c>
    </row>
    <row r="1019" spans="1:31" x14ac:dyDescent="0.2">
      <c r="A1019" s="7" t="s">
        <v>2324</v>
      </c>
      <c r="B1019" t="str">
        <f t="shared" si="165"/>
        <v>ETLN IV кв. 2016</v>
      </c>
      <c r="C1019">
        <v>2016</v>
      </c>
      <c r="D1019">
        <f>SUMIFS(Дивиденды!$C:$C,Дивиденды!$A:$A,A1019,Дивиденды!$I:$I,C1019)</f>
        <v>0</v>
      </c>
      <c r="E1019">
        <v>8</v>
      </c>
      <c r="F1019">
        <f t="shared" si="166"/>
        <v>0</v>
      </c>
      <c r="G1019">
        <f t="shared" si="167"/>
        <v>26</v>
      </c>
      <c r="H1019">
        <f t="shared" si="168"/>
        <v>0</v>
      </c>
      <c r="I1019">
        <f t="shared" si="169"/>
        <v>0.33333333333333331</v>
      </c>
      <c r="J1019">
        <f t="shared" si="170"/>
        <v>0</v>
      </c>
      <c r="K1019">
        <f t="shared" si="175"/>
        <v>0</v>
      </c>
      <c r="L1019">
        <f t="shared" si="171"/>
        <v>0</v>
      </c>
      <c r="M1019">
        <f t="shared" si="172"/>
        <v>0</v>
      </c>
      <c r="N1019">
        <f t="shared" si="173"/>
        <v>0</v>
      </c>
      <c r="O1019">
        <f t="shared" si="174"/>
        <v>0</v>
      </c>
      <c r="P1019" t="str">
        <f>IFERROR(LN('Дивиденды по годам'!I1019),"")</f>
        <v/>
      </c>
      <c r="Q1019" t="str">
        <f>IFERROR('Дивиденды по годам'!G1019/'Дивиденды по годам'!I1019, "")</f>
        <v/>
      </c>
      <c r="R1019" t="str">
        <f>IFERROR(IF(AND('Дивиденды по годам'!N1019&lt;&gt;"",'Дивиденды по годам'!U1019&lt;&gt;"",'Дивиденды по годам'!U1019&lt;&gt;0),'Дивиденды по годам'!N1019/'Дивиденды по годам'!U1019-1,""),"")</f>
        <v/>
      </c>
      <c r="S1019" t="str">
        <f>IFERROR(IF(AND('Дивиденды по годам'!L1019&lt;&gt;"",'Дивиденды по годам'!I1019&lt;&gt;"",'Дивиденды по годам'!J1019&lt;&gt;"",'Дивиденды по годам'!K1019&lt;&gt;"",('Дивиденды по годам'!I1019-'Дивиденды по годам'!J1019-'Дивиденды по годам'!K1019)&lt;&gt;0),'Дивиденды по годам'!L1019/('Дивиденды по годам'!I1019-'Дивиденды по годам'!J1019-'Дивиденды по годам'!K1019),""),"")</f>
        <v/>
      </c>
      <c r="T1019" t="str">
        <f>IFERROR(IF(AND('Дивиденды по годам'!Q1019&lt;&gt;"",'Дивиденды по годам'!I1019&lt;&gt;"",'Дивиденды по годам'!V1019&lt;&gt;"",('Дивиденды по годам'!I1019+'Дивиденды по годам'!V1019)&lt;&gt;0),'Дивиденды по годам'!Q1019/(('Дивиденды по годам'!I1019+'Дивиденды по годам'!V1019)/2),""),"")</f>
        <v/>
      </c>
      <c r="U1019" t="str">
        <f>IFERROR(IF(AND('Дивиденды по годам'!J1019&lt;&gt;"",'Дивиденды по годам'!K1019&lt;&gt;"",'Дивиденды по годам'!M1019&lt;&gt;"",'Дивиденды по годам'!M1019&lt;&gt;0),('Дивиденды по годам'!J1019+'Дивиденды по годам'!K1019)/'Дивиденды по годам'!M1019,""),"")</f>
        <v/>
      </c>
      <c r="V1019" t="str">
        <f>IFERROR(IF(AND('Дивиденды по годам'!J1019&lt;&gt;"",'Дивиденды по годам'!K1019&lt;&gt;"",'Дивиденды по годам'!M1019&lt;&gt;"",'Дивиденды по годам'!I1019&lt;&gt;0),('Дивиденды по годам'!J1019+'Дивиденды по годам'!K1019)/'Дивиденды по годам'!I1019,""),"")</f>
        <v/>
      </c>
      <c r="W1019" t="str">
        <f>IFERROR('Дивиденды по годам'!I1019,"")</f>
        <v/>
      </c>
      <c r="X1019" cm="1">
        <f t="array" ref="X1019">IFERROR(AVERAGE(_xlfn._xlws.FILTER(P$2:P$1073,($C$2:$C$1073=$C1019)*($E$2:$E$1073=$E1019)*(ROW(P$2:P$1073)&lt;&gt;ROW(P1019))*(P$2:P$1073&lt;&gt;""))),"")</f>
        <v>25.699952279186757</v>
      </c>
      <c r="Y1019" cm="1">
        <f t="array" ref="Y1019">IFERROR(AVERAGE(_xlfn._xlws.FILTER(Q$2:Q$1073,($C$2:$C$1073=$C1019)*($E$2:$E$1073=$E1019)*(ROW(Q$2:Q$1073)&lt;&gt;ROW(Q1019))*(Q$2:Q$1073&lt;&gt;""))),"")</f>
        <v>6.4027522581928217E-2</v>
      </c>
      <c r="Z1019" cm="1">
        <f t="array" ref="Z1019">IFERROR(AVERAGE(_xlfn._xlws.FILTER(R$2:R$1073,($C$2:$C$1073=$C1019)*($E$2:$E$1073=$E1019)*(ROW(R$2:R$1073)&lt;&gt;ROW(R1019))*(R$2:R$1073&lt;&gt;""))),"")</f>
        <v>0.15233021582257411</v>
      </c>
      <c r="AA1019" cm="1">
        <f t="array" ref="AA1019">IFERROR(AVERAGE(_xlfn._xlws.FILTER(S$2:S$1073,($C$2:$C$1073=$C1019)*($E$2:$E$1073=$E1019)*(ROW(S$2:S$1073)&lt;&gt;ROW(S1019))*(S$2:S$1073&lt;&gt;""))),"")</f>
        <v>0.41692805868432048</v>
      </c>
      <c r="AB1019" cm="1">
        <f t="array" ref="AB1019">IFERROR(AVERAGE(_xlfn._xlws.FILTER(T$2:T$1073,($C$2:$C$1073=$C1019)*($E$2:$E$1073=$E1019)*(ROW(T$2:T$1073)&lt;&gt;ROW(T1019))*(T$2:T$1073&lt;&gt;""))),"")</f>
        <v>6.447697662219809E-2</v>
      </c>
      <c r="AC1019" cm="1">
        <f t="array" ref="AC1019">IFERROR(AVERAGE(_xlfn._xlws.FILTER(U$2:U$1073,($C$2:$C$1073=$C1019)*($E$2:$E$1073=$E1019)*(ROW(U$2:U$1073)&lt;&gt;ROW(U1019))*(U$2:U$1073&lt;&gt;""))),"")</f>
        <v>6.551572274535336</v>
      </c>
      <c r="AD1019" cm="1">
        <f t="array" ref="AD1019">IFERROR(AVERAGE(_xlfn._xlws.FILTER(V$2:V$1073,($C$2:$C$1073=$C1019)*($E$2:$E$1073=$E1019)*(ROW(V$2:V$1073)&lt;&gt;ROW(V1019))*(V$2:V$1073&lt;&gt;""))),"")</f>
        <v>0.82887116539867911</v>
      </c>
      <c r="AE1019">
        <f>IF('Дивиденды по годам'!M1019&lt;0,1,0)</f>
        <v>0</v>
      </c>
    </row>
    <row r="1020" spans="1:31" x14ac:dyDescent="0.2">
      <c r="A1020" s="7" t="s">
        <v>2324</v>
      </c>
      <c r="B1020" t="str">
        <f t="shared" si="165"/>
        <v>ETLN IV кв. 2015</v>
      </c>
      <c r="C1020">
        <v>2015</v>
      </c>
      <c r="D1020">
        <f>SUMIFS(Дивиденды!$C:$C,Дивиденды!$A:$A,A1020,Дивиденды!$I:$I,C1020)</f>
        <v>0</v>
      </c>
      <c r="E1020">
        <v>8</v>
      </c>
      <c r="F1020">
        <f t="shared" si="166"/>
        <v>0</v>
      </c>
      <c r="G1020">
        <f t="shared" si="167"/>
        <v>26</v>
      </c>
      <c r="H1020">
        <f t="shared" si="168"/>
        <v>0</v>
      </c>
      <c r="I1020">
        <f t="shared" si="169"/>
        <v>0.33333333333333331</v>
      </c>
      <c r="J1020">
        <f t="shared" si="170"/>
        <v>0</v>
      </c>
      <c r="K1020">
        <f t="shared" si="175"/>
        <v>-0.33333333333333331</v>
      </c>
      <c r="L1020">
        <f t="shared" si="171"/>
        <v>0</v>
      </c>
      <c r="M1020">
        <f t="shared" si="172"/>
        <v>0</v>
      </c>
      <c r="N1020">
        <f t="shared" si="173"/>
        <v>0</v>
      </c>
      <c r="O1020">
        <f t="shared" si="174"/>
        <v>0.33333333333333331</v>
      </c>
      <c r="P1020" t="str">
        <f>IFERROR(LN('Дивиденды по годам'!I1020),"")</f>
        <v/>
      </c>
      <c r="Q1020" t="str">
        <f>IFERROR('Дивиденды по годам'!G1020/'Дивиденды по годам'!I1020, "")</f>
        <v/>
      </c>
      <c r="R1020" t="str">
        <f>IFERROR(IF(AND('Дивиденды по годам'!N1020&lt;&gt;"",'Дивиденды по годам'!U1020&lt;&gt;"",'Дивиденды по годам'!U1020&lt;&gt;0),'Дивиденды по годам'!N1020/'Дивиденды по годам'!U1020-1,""),"")</f>
        <v/>
      </c>
      <c r="S1020" t="str">
        <f>IFERROR(IF(AND('Дивиденды по годам'!L1020&lt;&gt;"",'Дивиденды по годам'!I1020&lt;&gt;"",'Дивиденды по годам'!J1020&lt;&gt;"",'Дивиденды по годам'!K1020&lt;&gt;"",('Дивиденды по годам'!I1020-'Дивиденды по годам'!J1020-'Дивиденды по годам'!K1020)&lt;&gt;0),'Дивиденды по годам'!L1020/('Дивиденды по годам'!I1020-'Дивиденды по годам'!J1020-'Дивиденды по годам'!K1020),""),"")</f>
        <v/>
      </c>
      <c r="T1020" t="str">
        <f>IFERROR(IF(AND('Дивиденды по годам'!Q1020&lt;&gt;"",'Дивиденды по годам'!I1020&lt;&gt;"",'Дивиденды по годам'!V1020&lt;&gt;"",('Дивиденды по годам'!I1020+'Дивиденды по годам'!V1020)&lt;&gt;0),'Дивиденды по годам'!Q1020/(('Дивиденды по годам'!I1020+'Дивиденды по годам'!V1020)/2),""),"")</f>
        <v/>
      </c>
      <c r="U1020" t="str">
        <f>IFERROR(IF(AND('Дивиденды по годам'!J1020&lt;&gt;"",'Дивиденды по годам'!K1020&lt;&gt;"",'Дивиденды по годам'!M1020&lt;&gt;"",'Дивиденды по годам'!M1020&lt;&gt;0),('Дивиденды по годам'!J1020+'Дивиденды по годам'!K1020)/'Дивиденды по годам'!M1020,""),"")</f>
        <v/>
      </c>
      <c r="V1020" t="str">
        <f>IFERROR(IF(AND('Дивиденды по годам'!J1020&lt;&gt;"",'Дивиденды по годам'!K1020&lt;&gt;"",'Дивиденды по годам'!M1020&lt;&gt;"",'Дивиденды по годам'!I1020&lt;&gt;0),('Дивиденды по годам'!J1020+'Дивиденды по годам'!K1020)/'Дивиденды по годам'!I1020,""),"")</f>
        <v/>
      </c>
      <c r="W1020" t="str">
        <f>IFERROR('Дивиденды по годам'!I1020,"")</f>
        <v/>
      </c>
      <c r="X1020" cm="1">
        <f t="array" ref="X1020">IFERROR(AVERAGE(_xlfn._xlws.FILTER(P$2:P$1073,($C$2:$C$1073=$C1020)*($E$2:$E$1073=$E1020)*(ROW(P$2:P$1073)&lt;&gt;ROW(P1020))*(P$2:P$1073&lt;&gt;""))),"")</f>
        <v>25.71829449059895</v>
      </c>
      <c r="Y1020" cm="1">
        <f t="array" ref="Y1020">IFERROR(AVERAGE(_xlfn._xlws.FILTER(Q$2:Q$1073,($C$2:$C$1073=$C1020)*($E$2:$E$1073=$E1020)*(ROW(Q$2:Q$1073)&lt;&gt;ROW(Q1020))*(Q$2:Q$1073&lt;&gt;""))),"")</f>
        <v>0.1073202909166114</v>
      </c>
      <c r="Z1020" cm="1">
        <f t="array" ref="Z1020">IFERROR(AVERAGE(_xlfn._xlws.FILTER(R$2:R$1073,($C$2:$C$1073=$C1020)*($E$2:$E$1073=$E1020)*(ROW(R$2:R$1073)&lt;&gt;ROW(R1020))*(R$2:R$1073&lt;&gt;""))),"")</f>
        <v>-0.11253408541772025</v>
      </c>
      <c r="AA1020" cm="1">
        <f t="array" ref="AA1020">IFERROR(AVERAGE(_xlfn._xlws.FILTER(S$2:S$1073,($C$2:$C$1073=$C1020)*($E$2:$E$1073=$E1020)*(ROW(S$2:S$1073)&lt;&gt;ROW(S1020))*(S$2:S$1073&lt;&gt;""))),"")</f>
        <v>0.17449271478843911</v>
      </c>
      <c r="AB1020" cm="1">
        <f t="array" ref="AB1020">IFERROR(AVERAGE(_xlfn._xlws.FILTER(T$2:T$1073,($C$2:$C$1073=$C1020)*($E$2:$E$1073=$E1020)*(ROW(T$2:T$1073)&lt;&gt;ROW(T1020))*(T$2:T$1073&lt;&gt;""))),"")</f>
        <v>8.260922764123789E-2</v>
      </c>
      <c r="AC1020" cm="1">
        <f t="array" ref="AC1020">IFERROR(AVERAGE(_xlfn._xlws.FILTER(U$2:U$1073,($C$2:$C$1073=$C1020)*($E$2:$E$1073=$E1020)*(ROW(U$2:U$1073)&lt;&gt;ROW(U1020))*(U$2:U$1073&lt;&gt;""))),"")</f>
        <v>2.1321711086288291</v>
      </c>
      <c r="AD1020" cm="1">
        <f t="array" ref="AD1020">IFERROR(AVERAGE(_xlfn._xlws.FILTER(V$2:V$1073,($C$2:$C$1073=$C1020)*($E$2:$E$1073=$E1020)*(ROW(V$2:V$1073)&lt;&gt;ROW(V1020))*(V$2:V$1073&lt;&gt;""))),"")</f>
        <v>0.68021271047494669</v>
      </c>
      <c r="AE1020">
        <f>IF('Дивиденды по годам'!M1020&lt;0,1,0)</f>
        <v>0</v>
      </c>
    </row>
    <row r="1021" spans="1:31" x14ac:dyDescent="0.2">
      <c r="A1021" s="7" t="s">
        <v>2324</v>
      </c>
      <c r="B1021" t="str">
        <f t="shared" si="165"/>
        <v>ETLN IV кв. 2014</v>
      </c>
      <c r="C1021">
        <v>2014</v>
      </c>
      <c r="D1021">
        <f>SUMIFS(Дивиденды!$C:$C,Дивиденды!$A:$A,A1021,Дивиденды!$I:$I,C1021)</f>
        <v>0</v>
      </c>
      <c r="E1021">
        <v>8</v>
      </c>
      <c r="F1021">
        <f t="shared" si="166"/>
        <v>0</v>
      </c>
      <c r="G1021">
        <f t="shared" si="167"/>
        <v>27.386666666666667</v>
      </c>
      <c r="H1021">
        <f t="shared" si="168"/>
        <v>0</v>
      </c>
      <c r="I1021">
        <f t="shared" si="169"/>
        <v>0.66666666666666663</v>
      </c>
      <c r="J1021">
        <f t="shared" si="170"/>
        <v>0</v>
      </c>
      <c r="K1021">
        <f t="shared" si="175"/>
        <v>0.65</v>
      </c>
      <c r="L1021">
        <f t="shared" si="171"/>
        <v>0</v>
      </c>
      <c r="M1021">
        <f t="shared" si="172"/>
        <v>0.66666666666666663</v>
      </c>
      <c r="N1021">
        <f t="shared" si="173"/>
        <v>0</v>
      </c>
      <c r="O1021">
        <f t="shared" si="174"/>
        <v>0</v>
      </c>
      <c r="P1021" t="str">
        <f>IFERROR(LN('Дивиденды по годам'!I1021),"")</f>
        <v/>
      </c>
      <c r="Q1021" t="str">
        <f>IFERROR('Дивиденды по годам'!G1021/'Дивиденды по годам'!I1021, "")</f>
        <v/>
      </c>
      <c r="R1021" t="str">
        <f>IFERROR(IF(AND('Дивиденды по годам'!N1021&lt;&gt;"",'Дивиденды по годам'!U1021&lt;&gt;"",'Дивиденды по годам'!U1021&lt;&gt;0),'Дивиденды по годам'!N1021/'Дивиденды по годам'!U1021-1,""),"")</f>
        <v/>
      </c>
      <c r="S1021" t="str">
        <f>IFERROR(IF(AND('Дивиденды по годам'!L1021&lt;&gt;"",'Дивиденды по годам'!I1021&lt;&gt;"",'Дивиденды по годам'!J1021&lt;&gt;"",'Дивиденды по годам'!K1021&lt;&gt;"",('Дивиденды по годам'!I1021-'Дивиденды по годам'!J1021-'Дивиденды по годам'!K1021)&lt;&gt;0),'Дивиденды по годам'!L1021/('Дивиденды по годам'!I1021-'Дивиденды по годам'!J1021-'Дивиденды по годам'!K1021),""),"")</f>
        <v/>
      </c>
      <c r="T1021" t="str">
        <f>IFERROR(IF(AND('Дивиденды по годам'!Q1021&lt;&gt;"",'Дивиденды по годам'!I1021&lt;&gt;"",'Дивиденды по годам'!V1021&lt;&gt;"",('Дивиденды по годам'!I1021+'Дивиденды по годам'!V1021)&lt;&gt;0),'Дивиденды по годам'!Q1021/(('Дивиденды по годам'!I1021+'Дивиденды по годам'!V1021)/2),""),"")</f>
        <v/>
      </c>
      <c r="U1021" t="str">
        <f>IFERROR(IF(AND('Дивиденды по годам'!J1021&lt;&gt;"",'Дивиденды по годам'!K1021&lt;&gt;"",'Дивиденды по годам'!M1021&lt;&gt;"",'Дивиденды по годам'!M1021&lt;&gt;0),('Дивиденды по годам'!J1021+'Дивиденды по годам'!K1021)/'Дивиденды по годам'!M1021,""),"")</f>
        <v/>
      </c>
      <c r="V1021" t="str">
        <f>IFERROR(IF(AND('Дивиденды по годам'!J1021&lt;&gt;"",'Дивиденды по годам'!K1021&lt;&gt;"",'Дивиденды по годам'!M1021&lt;&gt;"",'Дивиденды по годам'!I1021&lt;&gt;0),('Дивиденды по годам'!J1021+'Дивиденды по годам'!K1021)/'Дивиденды по годам'!I1021,""),"")</f>
        <v/>
      </c>
      <c r="W1021" t="str">
        <f>IFERROR('Дивиденды по годам'!I1021,"")</f>
        <v/>
      </c>
      <c r="X1021" cm="1">
        <f t="array" ref="X1021">IFERROR(AVERAGE(_xlfn._xlws.FILTER(P$2:P$1073,($C$2:$C$1073=$C1021)*($E$2:$E$1073=$E1021)*(ROW(P$2:P$1073)&lt;&gt;ROW(P1021))*(P$2:P$1073&lt;&gt;""))),"")</f>
        <v>25.657009768650358</v>
      </c>
      <c r="Y1021" cm="1">
        <f t="array" ref="Y1021">IFERROR(AVERAGE(_xlfn._xlws.FILTER(Q$2:Q$1073,($C$2:$C$1073=$C1021)*($E$2:$E$1073=$E1021)*(ROW(Q$2:Q$1073)&lt;&gt;ROW(Q1021))*(Q$2:Q$1073&lt;&gt;""))),"")</f>
        <v>0.11490104687838582</v>
      </c>
      <c r="Z1021" cm="1">
        <f t="array" ref="Z1021">IFERROR(AVERAGE(_xlfn._xlws.FILTER(R$2:R$1073,($C$2:$C$1073=$C1021)*($E$2:$E$1073=$E1021)*(ROW(R$2:R$1073)&lt;&gt;ROW(R1021))*(R$2:R$1073&lt;&gt;""))),"")</f>
        <v>0.19666714088343412</v>
      </c>
      <c r="AA1021" cm="1">
        <f t="array" ref="AA1021">IFERROR(AVERAGE(_xlfn._xlws.FILTER(S$2:S$1073,($C$2:$C$1073=$C1021)*($E$2:$E$1073=$E1021)*(ROW(S$2:S$1073)&lt;&gt;ROW(S1021))*(S$2:S$1073&lt;&gt;""))),"")</f>
        <v>-0.10883273199146221</v>
      </c>
      <c r="AB1021" cm="1">
        <f t="array" ref="AB1021">IFERROR(AVERAGE(_xlfn._xlws.FILTER(T$2:T$1073,($C$2:$C$1073=$C1021)*($E$2:$E$1073=$E1021)*(ROW(T$2:T$1073)&lt;&gt;ROW(T1021))*(T$2:T$1073&lt;&gt;""))),"")</f>
        <v>4.3668835955886089E-2</v>
      </c>
      <c r="AC1021" cm="1">
        <f t="array" ref="AC1021">IFERROR(AVERAGE(_xlfn._xlws.FILTER(U$2:U$1073,($C$2:$C$1073=$C1021)*($E$2:$E$1073=$E1021)*(ROW(U$2:U$1073)&lt;&gt;ROW(U1021))*(U$2:U$1073&lt;&gt;""))),"")</f>
        <v>2.7859159961453743</v>
      </c>
      <c r="AD1021" cm="1">
        <f t="array" ref="AD1021">IFERROR(AVERAGE(_xlfn._xlws.FILTER(V$2:V$1073,($C$2:$C$1073=$C1021)*($E$2:$E$1073=$E1021)*(ROW(V$2:V$1073)&lt;&gt;ROW(V1021))*(V$2:V$1073&lt;&gt;""))),"")</f>
        <v>0.72468486346199645</v>
      </c>
      <c r="AE1021">
        <f>IF('Дивиденды по годам'!M1021&lt;0,1,0)</f>
        <v>0</v>
      </c>
    </row>
    <row r="1022" spans="1:31" x14ac:dyDescent="0.2">
      <c r="A1022" s="7" t="s">
        <v>2324</v>
      </c>
      <c r="B1022" t="str">
        <f t="shared" si="165"/>
        <v>ETLN IV кв. 2013</v>
      </c>
      <c r="C1022">
        <v>2013</v>
      </c>
      <c r="D1022">
        <f>SUMIFS(Дивиденды!$C:$C,Дивиденды!$A:$A,A1022,Дивиденды!$I:$I,C1022)</f>
        <v>0</v>
      </c>
      <c r="E1022">
        <v>8</v>
      </c>
      <c r="F1022">
        <f t="shared" si="166"/>
        <v>0</v>
      </c>
      <c r="G1022">
        <f t="shared" si="167"/>
        <v>13.333333333333334</v>
      </c>
      <c r="H1022">
        <f t="shared" si="168"/>
        <v>0</v>
      </c>
      <c r="I1022">
        <f t="shared" si="169"/>
        <v>0.33333333333333331</v>
      </c>
      <c r="J1022">
        <f t="shared" si="170"/>
        <v>0</v>
      </c>
      <c r="K1022">
        <f t="shared" si="175"/>
        <v>0.33333333333333331</v>
      </c>
      <c r="L1022">
        <f t="shared" si="171"/>
        <v>0</v>
      </c>
      <c r="M1022">
        <f t="shared" si="172"/>
        <v>0.33333333333333331</v>
      </c>
      <c r="N1022">
        <f t="shared" si="173"/>
        <v>0</v>
      </c>
      <c r="O1022">
        <f t="shared" si="174"/>
        <v>0</v>
      </c>
      <c r="P1022" t="str">
        <f>IFERROR(LN('Дивиденды по годам'!I1022),"")</f>
        <v/>
      </c>
      <c r="Q1022" t="str">
        <f>IFERROR('Дивиденды по годам'!G1022/'Дивиденды по годам'!I1022, "")</f>
        <v/>
      </c>
      <c r="R1022" t="str">
        <f>IFERROR(IF(AND('Дивиденды по годам'!N1022&lt;&gt;"",'Дивиденды по годам'!U1022&lt;&gt;"",'Дивиденды по годам'!U1022&lt;&gt;0),'Дивиденды по годам'!N1022/'Дивиденды по годам'!U1022-1,""),"")</f>
        <v/>
      </c>
      <c r="S1022" t="str">
        <f>IFERROR(IF(AND('Дивиденды по годам'!L1022&lt;&gt;"",'Дивиденды по годам'!I1022&lt;&gt;"",'Дивиденды по годам'!J1022&lt;&gt;"",'Дивиденды по годам'!K1022&lt;&gt;"",('Дивиденды по годам'!I1022-'Дивиденды по годам'!J1022-'Дивиденды по годам'!K1022)&lt;&gt;0),'Дивиденды по годам'!L1022/('Дивиденды по годам'!I1022-'Дивиденды по годам'!J1022-'Дивиденды по годам'!K1022),""),"")</f>
        <v/>
      </c>
      <c r="T1022" t="str">
        <f>IFERROR(IF(AND('Дивиденды по годам'!Q1022&lt;&gt;"",'Дивиденды по годам'!I1022&lt;&gt;"",'Дивиденды по годам'!V1022&lt;&gt;"",('Дивиденды по годам'!I1022+'Дивиденды по годам'!V1022)&lt;&gt;0),'Дивиденды по годам'!Q1022/(('Дивиденды по годам'!I1022+'Дивиденды по годам'!V1022)/2),""),"")</f>
        <v/>
      </c>
      <c r="U1022" t="str">
        <f>IFERROR(IF(AND('Дивиденды по годам'!J1022&lt;&gt;"",'Дивиденды по годам'!K1022&lt;&gt;"",'Дивиденды по годам'!M1022&lt;&gt;"",'Дивиденды по годам'!M1022&lt;&gt;0),('Дивиденды по годам'!J1022+'Дивиденды по годам'!K1022)/'Дивиденды по годам'!M1022,""),"")</f>
        <v/>
      </c>
      <c r="V1022" t="str">
        <f>IFERROR(IF(AND('Дивиденды по годам'!J1022&lt;&gt;"",'Дивиденды по годам'!K1022&lt;&gt;"",'Дивиденды по годам'!M1022&lt;&gt;"",'Дивиденды по годам'!I1022&lt;&gt;0),('Дивиденды по годам'!J1022+'Дивиденды по годам'!K1022)/'Дивиденды по годам'!I1022,""),"")</f>
        <v/>
      </c>
      <c r="W1022" t="str">
        <f>IFERROR('Дивиденды по годам'!I1022,"")</f>
        <v/>
      </c>
      <c r="X1022" cm="1">
        <f t="array" ref="X1022">IFERROR(AVERAGE(_xlfn._xlws.FILTER(P$2:P$1073,($C$2:$C$1073=$C1022)*($E$2:$E$1073=$E1022)*(ROW(P$2:P$1073)&lt;&gt;ROW(P1022))*(P$2:P$1073&lt;&gt;""))),"")</f>
        <v>25.628387177159517</v>
      </c>
      <c r="Y1022" cm="1">
        <f t="array" ref="Y1022">IFERROR(AVERAGE(_xlfn._xlws.FILTER(Q$2:Q$1073,($C$2:$C$1073=$C1022)*($E$2:$E$1073=$E1022)*(ROW(Q$2:Q$1073)&lt;&gt;ROW(Q1022))*(Q$2:Q$1073&lt;&gt;""))),"")</f>
        <v>0.17621268031849646</v>
      </c>
      <c r="Z1022" cm="1">
        <f t="array" ref="Z1022">IFERROR(AVERAGE(_xlfn._xlws.FILTER(R$2:R$1073,($C$2:$C$1073=$C1022)*($E$2:$E$1073=$E1022)*(ROW(R$2:R$1073)&lt;&gt;ROW(R1022))*(R$2:R$1073&lt;&gt;""))),"")</f>
        <v>7.1993563878299804E-3</v>
      </c>
      <c r="AA1022" t="str" cm="1">
        <f t="array" ref="AA1022">IFERROR(AVERAGE(_xlfn._xlws.FILTER(S$2:S$1073,($C$2:$C$1073=$C1022)*($E$2:$E$1073=$E1022)*(ROW(S$2:S$1073)&lt;&gt;ROW(S1022))*(S$2:S$1073&lt;&gt;""))),"")</f>
        <v/>
      </c>
      <c r="AB1022" cm="1">
        <f t="array" ref="AB1022">IFERROR(AVERAGE(_xlfn._xlws.FILTER(T$2:T$1073,($C$2:$C$1073=$C1022)*($E$2:$E$1073=$E1022)*(ROW(T$2:T$1073)&lt;&gt;ROW(T1022))*(T$2:T$1073&lt;&gt;""))),"")</f>
        <v>4.8408487374726722E-2</v>
      </c>
      <c r="AC1022" cm="1">
        <f t="array" ref="AC1022">IFERROR(AVERAGE(_xlfn._xlws.FILTER(U$2:U$1073,($C$2:$C$1073=$C1022)*($E$2:$E$1073=$E1022)*(ROW(U$2:U$1073)&lt;&gt;ROW(U1022))*(U$2:U$1073&lt;&gt;""))),"")</f>
        <v>3.1582663547842218</v>
      </c>
      <c r="AD1022" cm="1">
        <f t="array" ref="AD1022">IFERROR(AVERAGE(_xlfn._xlws.FILTER(V$2:V$1073,($C$2:$C$1073=$C1022)*($E$2:$E$1073=$E1022)*(ROW(V$2:V$1073)&lt;&gt;ROW(V1022))*(V$2:V$1073&lt;&gt;""))),"")</f>
        <v>0.72207549175005759</v>
      </c>
      <c r="AE1022">
        <f>IF('Дивиденды по годам'!M1022&lt;0,1,0)</f>
        <v>0</v>
      </c>
    </row>
    <row r="1023" spans="1:31" x14ac:dyDescent="0.2">
      <c r="A1023" s="7" t="s">
        <v>2324</v>
      </c>
      <c r="B1023" t="str">
        <f t="shared" si="165"/>
        <v>ETLN IV кв. 2012</v>
      </c>
      <c r="C1023">
        <v>2012</v>
      </c>
      <c r="D1023">
        <f>SUMIFS(Дивиденды!$C:$C,Дивиденды!$A:$A,A1023,Дивиденды!$I:$I,C1023)</f>
        <v>0</v>
      </c>
      <c r="E1023">
        <v>8</v>
      </c>
      <c r="F1023">
        <f t="shared" si="166"/>
        <v>0</v>
      </c>
      <c r="G1023">
        <f t="shared" si="167"/>
        <v>6.666666666666667</v>
      </c>
      <c r="H1023">
        <f t="shared" si="168"/>
        <v>0</v>
      </c>
      <c r="I1023">
        <f t="shared" si="169"/>
        <v>0.33333333333333331</v>
      </c>
      <c r="J1023">
        <f t="shared" si="170"/>
        <v>0</v>
      </c>
      <c r="K1023">
        <f t="shared" si="175"/>
        <v>0</v>
      </c>
      <c r="L1023">
        <f t="shared" si="171"/>
        <v>0</v>
      </c>
      <c r="M1023">
        <f t="shared" si="172"/>
        <v>0</v>
      </c>
      <c r="N1023">
        <f t="shared" si="173"/>
        <v>0</v>
      </c>
      <c r="O1023">
        <f t="shared" si="174"/>
        <v>0</v>
      </c>
      <c r="P1023" t="str">
        <f>IFERROR(LN('Дивиденды по годам'!I1023),"")</f>
        <v/>
      </c>
      <c r="Q1023" t="str">
        <f>IFERROR('Дивиденды по годам'!G1023/'Дивиденды по годам'!I1023, "")</f>
        <v/>
      </c>
      <c r="R1023" t="str">
        <f>IFERROR(IF(AND('Дивиденды по годам'!N1023&lt;&gt;"",'Дивиденды по годам'!U1023&lt;&gt;"",'Дивиденды по годам'!U1023&lt;&gt;0),'Дивиденды по годам'!N1023/'Дивиденды по годам'!U1023-1,""),"")</f>
        <v/>
      </c>
      <c r="S1023" t="str">
        <f>IFERROR(IF(AND('Дивиденды по годам'!L1023&lt;&gt;"",'Дивиденды по годам'!I1023&lt;&gt;"",'Дивиденды по годам'!J1023&lt;&gt;"",'Дивиденды по годам'!K1023&lt;&gt;"",('Дивиденды по годам'!I1023-'Дивиденды по годам'!J1023-'Дивиденды по годам'!K1023)&lt;&gt;0),'Дивиденды по годам'!L1023/('Дивиденды по годам'!I1023-'Дивиденды по годам'!J1023-'Дивиденды по годам'!K1023),""),"")</f>
        <v/>
      </c>
      <c r="T1023" t="str">
        <f>IFERROR(IF(AND('Дивиденды по годам'!Q1023&lt;&gt;"",'Дивиденды по годам'!I1023&lt;&gt;"",'Дивиденды по годам'!V1023&lt;&gt;"",('Дивиденды по годам'!I1023+'Дивиденды по годам'!V1023)&lt;&gt;0),'Дивиденды по годам'!Q1023/(('Дивиденды по годам'!I1023+'Дивиденды по годам'!V1023)/2),""),"")</f>
        <v/>
      </c>
      <c r="U1023" t="str">
        <f>IFERROR(IF(AND('Дивиденды по годам'!J1023&lt;&gt;"",'Дивиденды по годам'!K1023&lt;&gt;"",'Дивиденды по годам'!M1023&lt;&gt;"",'Дивиденды по годам'!M1023&lt;&gt;0),('Дивиденды по годам'!J1023+'Дивиденды по годам'!K1023)/'Дивиденды по годам'!M1023,""),"")</f>
        <v/>
      </c>
      <c r="V1023" t="str">
        <f>IFERROR(IF(AND('Дивиденды по годам'!J1023&lt;&gt;"",'Дивиденды по годам'!K1023&lt;&gt;"",'Дивиденды по годам'!M1023&lt;&gt;"",'Дивиденды по годам'!I1023&lt;&gt;0),('Дивиденды по годам'!J1023+'Дивиденды по годам'!K1023)/'Дивиденды по годам'!I1023,""),"")</f>
        <v/>
      </c>
      <c r="W1023" t="str">
        <f>IFERROR('Дивиденды по годам'!I1023,"")</f>
        <v/>
      </c>
      <c r="X1023" cm="1">
        <f t="array" ref="X1023">IFERROR(AVERAGE(_xlfn._xlws.FILTER(P$2:P$1073,($C$2:$C$1073=$C1023)*($E$2:$E$1073=$E1023)*(ROW(P$2:P$1073)&lt;&gt;ROW(P1023))*(P$2:P$1073&lt;&gt;""))),"")</f>
        <v>25.606212282602186</v>
      </c>
      <c r="Y1023" cm="1">
        <f t="array" ref="Y1023">IFERROR(AVERAGE(_xlfn._xlws.FILTER(Q$2:Q$1073,($C$2:$C$1073=$C1023)*($E$2:$E$1073=$E1023)*(ROW(Q$2:Q$1073)&lt;&gt;ROW(Q1023))*(Q$2:Q$1073&lt;&gt;""))),"")</f>
        <v>0.18069853124342428</v>
      </c>
      <c r="Z1023" cm="1">
        <f t="array" ref="Z1023">IFERROR(AVERAGE(_xlfn._xlws.FILTER(R$2:R$1073,($C$2:$C$1073=$C1023)*($E$2:$E$1073=$E1023)*(ROW(R$2:R$1073)&lt;&gt;ROW(R1023))*(R$2:R$1073&lt;&gt;""))),"")</f>
        <v>0.30766481921956945</v>
      </c>
      <c r="AA1023" t="str" cm="1">
        <f t="array" ref="AA1023">IFERROR(AVERAGE(_xlfn._xlws.FILTER(S$2:S$1073,($C$2:$C$1073=$C1023)*($E$2:$E$1073=$E1023)*(ROW(S$2:S$1073)&lt;&gt;ROW(S1023))*(S$2:S$1073&lt;&gt;""))),"")</f>
        <v/>
      </c>
      <c r="AB1023" cm="1">
        <f t="array" ref="AB1023">IFERROR(AVERAGE(_xlfn._xlws.FILTER(T$2:T$1073,($C$2:$C$1073=$C1023)*($E$2:$E$1073=$E1023)*(ROW(T$2:T$1073)&lt;&gt;ROW(T1023))*(T$2:T$1073&lt;&gt;""))),"")</f>
        <v>3.0817908617347949E-2</v>
      </c>
      <c r="AC1023" cm="1">
        <f t="array" ref="AC1023">IFERROR(AVERAGE(_xlfn._xlws.FILTER(U$2:U$1073,($C$2:$C$1073=$C1023)*($E$2:$E$1073=$E1023)*(ROW(U$2:U$1073)&lt;&gt;ROW(U1023))*(U$2:U$1073&lt;&gt;""))),"")</f>
        <v>19.123908800423749</v>
      </c>
      <c r="AD1023" cm="1">
        <f t="array" ref="AD1023">IFERROR(AVERAGE(_xlfn._xlws.FILTER(V$2:V$1073,($C$2:$C$1073=$C1023)*($E$2:$E$1073=$E1023)*(ROW(V$2:V$1073)&lt;&gt;ROW(V1023))*(V$2:V$1073&lt;&gt;""))),"")</f>
        <v>0.7810073144896843</v>
      </c>
      <c r="AE1023">
        <f>IF('Дивиденды по годам'!M1023&lt;0,1,0)</f>
        <v>0</v>
      </c>
    </row>
    <row r="1024" spans="1:31" x14ac:dyDescent="0.2">
      <c r="A1024" s="7" t="s">
        <v>2324</v>
      </c>
      <c r="B1024" t="str">
        <f t="shared" si="165"/>
        <v>ETLN IV кв. 2011</v>
      </c>
      <c r="C1024">
        <v>2011</v>
      </c>
      <c r="D1024">
        <f>SUMIFS(Дивиденды!$C:$C,Дивиденды!$A:$A,A1024,Дивиденды!$I:$I,C1024)</f>
        <v>0</v>
      </c>
      <c r="E1024">
        <v>8</v>
      </c>
      <c r="F1024">
        <f t="shared" si="166"/>
        <v>0</v>
      </c>
      <c r="G1024">
        <f t="shared" si="167"/>
        <v>6.666666666666667</v>
      </c>
      <c r="H1024">
        <f t="shared" si="168"/>
        <v>0</v>
      </c>
      <c r="I1024">
        <f t="shared" si="169"/>
        <v>0.33333333333333331</v>
      </c>
      <c r="J1024">
        <f t="shared" si="170"/>
        <v>0</v>
      </c>
      <c r="K1024">
        <f t="shared" si="175"/>
        <v>0.1111111111111111</v>
      </c>
      <c r="L1024">
        <f t="shared" si="171"/>
        <v>0</v>
      </c>
      <c r="M1024">
        <f t="shared" si="172"/>
        <v>0.33333333333333331</v>
      </c>
      <c r="N1024">
        <f t="shared" si="173"/>
        <v>0</v>
      </c>
      <c r="O1024">
        <f t="shared" si="174"/>
        <v>0</v>
      </c>
      <c r="P1024" t="str">
        <f>IFERROR(LN('Дивиденды по годам'!I1024),"")</f>
        <v/>
      </c>
      <c r="Q1024" t="str">
        <f>IFERROR('Дивиденды по годам'!G1024/'Дивиденды по годам'!I1024, "")</f>
        <v/>
      </c>
      <c r="R1024" t="str">
        <f>IFERROR(IF(AND('Дивиденды по годам'!N1024&lt;&gt;"",'Дивиденды по годам'!U1024&lt;&gt;"",'Дивиденды по годам'!U1024&lt;&gt;0),'Дивиденды по годам'!N1024/'Дивиденды по годам'!U1024-1,""),"")</f>
        <v/>
      </c>
      <c r="S1024" t="str">
        <f>IFERROR(IF(AND('Дивиденды по годам'!L1024&lt;&gt;"",'Дивиденды по годам'!I1024&lt;&gt;"",'Дивиденды по годам'!J1024&lt;&gt;"",'Дивиденды по годам'!K1024&lt;&gt;"",('Дивиденды по годам'!I1024-'Дивиденды по годам'!J1024-'Дивиденды по годам'!K1024)&lt;&gt;0),'Дивиденды по годам'!L1024/('Дивиденды по годам'!I1024-'Дивиденды по годам'!J1024-'Дивиденды по годам'!K1024),""),"")</f>
        <v/>
      </c>
      <c r="T1024" t="str">
        <f>IFERROR(IF(AND('Дивиденды по годам'!Q1024&lt;&gt;"",'Дивиденды по годам'!I1024&lt;&gt;"",'Дивиденды по годам'!V1024&lt;&gt;"",('Дивиденды по годам'!I1024+'Дивиденды по годам'!V1024)&lt;&gt;0),'Дивиденды по годам'!Q1024/(('Дивиденды по годам'!I1024+'Дивиденды по годам'!V1024)/2),""),"")</f>
        <v/>
      </c>
      <c r="U1024" t="str">
        <f>IFERROR(IF(AND('Дивиденды по годам'!J1024&lt;&gt;"",'Дивиденды по годам'!K1024&lt;&gt;"",'Дивиденды по годам'!M1024&lt;&gt;"",'Дивиденды по годам'!M1024&lt;&gt;0),('Дивиденды по годам'!J1024+'Дивиденды по годам'!K1024)/'Дивиденды по годам'!M1024,""),"")</f>
        <v/>
      </c>
      <c r="V1024" t="str">
        <f>IFERROR(IF(AND('Дивиденды по годам'!J1024&lt;&gt;"",'Дивиденды по годам'!K1024&lt;&gt;"",'Дивиденды по годам'!M1024&lt;&gt;"",'Дивиденды по годам'!I1024&lt;&gt;0),('Дивиденды по годам'!J1024+'Дивиденды по годам'!K1024)/'Дивиденды по годам'!I1024,""),"")</f>
        <v/>
      </c>
      <c r="W1024" t="str">
        <f>IFERROR('Дивиденды по годам'!I1024,"")</f>
        <v/>
      </c>
      <c r="X1024" cm="1">
        <f t="array" ref="X1024">IFERROR(AVERAGE(_xlfn._xlws.FILTER(P$2:P$1073,($C$2:$C$1073=$C1024)*($E$2:$E$1073=$E1024)*(ROW(P$2:P$1073)&lt;&gt;ROW(P1024))*(P$2:P$1073&lt;&gt;""))),"")</f>
        <v>25.573845912680969</v>
      </c>
      <c r="Y1024" cm="1">
        <f t="array" ref="Y1024">IFERROR(AVERAGE(_xlfn._xlws.FILTER(Q$2:Q$1073,($C$2:$C$1073=$C1024)*($E$2:$E$1073=$E1024)*(ROW(Q$2:Q$1073)&lt;&gt;ROW(Q1024))*(Q$2:Q$1073&lt;&gt;""))),"")</f>
        <v>0.18216029236601219</v>
      </c>
      <c r="Z1024" t="str" cm="1">
        <f t="array" ref="Z1024">IFERROR(AVERAGE(_xlfn._xlws.FILTER(R$2:R$1073,($C$2:$C$1073=$C1024)*($E$2:$E$1073=$E1024)*(ROW(R$2:R$1073)&lt;&gt;ROW(R1024))*(R$2:R$1073&lt;&gt;""))),"")</f>
        <v/>
      </c>
      <c r="AA1024" t="str" cm="1">
        <f t="array" ref="AA1024">IFERROR(AVERAGE(_xlfn._xlws.FILTER(S$2:S$1073,($C$2:$C$1073=$C1024)*($E$2:$E$1073=$E1024)*(ROW(S$2:S$1073)&lt;&gt;ROW(S1024))*(S$2:S$1073&lt;&gt;""))),"")</f>
        <v/>
      </c>
      <c r="AB1024" t="str" cm="1">
        <f t="array" ref="AB1024">IFERROR(AVERAGE(_xlfn._xlws.FILTER(T$2:T$1073,($C$2:$C$1073=$C1024)*($E$2:$E$1073=$E1024)*(ROW(T$2:T$1073)&lt;&gt;ROW(T1024))*(T$2:T$1073&lt;&gt;""))),"")</f>
        <v/>
      </c>
      <c r="AC1024" cm="1">
        <f t="array" ref="AC1024">IFERROR(AVERAGE(_xlfn._xlws.FILTER(U$2:U$1073,($C$2:$C$1073=$C1024)*($E$2:$E$1073=$E1024)*(ROW(U$2:U$1073)&lt;&gt;ROW(U1024))*(U$2:U$1073&lt;&gt;""))),"")</f>
        <v>295.52900390692832</v>
      </c>
      <c r="AD1024" cm="1">
        <f t="array" ref="AD1024">IFERROR(AVERAGE(_xlfn._xlws.FILTER(V$2:V$1073,($C$2:$C$1073=$C1024)*($E$2:$E$1073=$E1024)*(ROW(V$2:V$1073)&lt;&gt;ROW(V1024))*(V$2:V$1073&lt;&gt;""))),"")</f>
        <v>0.7865310774467642</v>
      </c>
      <c r="AE1024">
        <f>IF('Дивиденды по годам'!M1024&lt;0,1,0)</f>
        <v>0</v>
      </c>
    </row>
    <row r="1025" spans="1:31" x14ac:dyDescent="0.2">
      <c r="A1025" s="7" t="s">
        <v>2324</v>
      </c>
      <c r="B1025" t="str">
        <f t="shared" si="165"/>
        <v>ETLN IV кв. 2010</v>
      </c>
      <c r="C1025">
        <v>2010</v>
      </c>
      <c r="D1025">
        <f>SUMIFS(Дивиденды!$C:$C,Дивиденды!$A:$A,A1025,Дивиденды!$I:$I,C1025)</f>
        <v>0</v>
      </c>
      <c r="E1025">
        <v>8</v>
      </c>
      <c r="F1025">
        <f t="shared" si="166"/>
        <v>0</v>
      </c>
      <c r="G1025">
        <f t="shared" si="167"/>
        <v>5</v>
      </c>
      <c r="H1025">
        <f t="shared" si="168"/>
        <v>0</v>
      </c>
      <c r="I1025">
        <f t="shared" si="169"/>
        <v>0.33333333333333331</v>
      </c>
      <c r="J1025" t="str">
        <f t="shared" si="170"/>
        <v/>
      </c>
      <c r="K1025" t="str">
        <f t="shared" si="175"/>
        <v/>
      </c>
      <c r="L1025" t="str">
        <f t="shared" si="171"/>
        <v/>
      </c>
      <c r="M1025" t="str">
        <f t="shared" si="172"/>
        <v/>
      </c>
      <c r="N1025" t="str">
        <f t="shared" si="173"/>
        <v/>
      </c>
      <c r="O1025" t="str">
        <f t="shared" si="174"/>
        <v/>
      </c>
      <c r="P1025" t="str">
        <f>IFERROR(LN('Дивиденды по годам'!I1025),"")</f>
        <v/>
      </c>
      <c r="Q1025" t="str">
        <f>IFERROR('Дивиденды по годам'!G1025/'Дивиденды по годам'!I1025, "")</f>
        <v/>
      </c>
      <c r="R1025" t="str">
        <f>IFERROR(IF(AND('Дивиденды по годам'!N1025&lt;&gt;"",'Дивиденды по годам'!U1025&lt;&gt;"",'Дивиденды по годам'!U1025&lt;&gt;0),'Дивиденды по годам'!N1025/'Дивиденды по годам'!U1025-1,""),"")</f>
        <v/>
      </c>
      <c r="S1025" t="str">
        <f>IFERROR(IF(AND('Дивиденды по годам'!L1025&lt;&gt;"",'Дивиденды по годам'!I1025&lt;&gt;"",'Дивиденды по годам'!J1025&lt;&gt;"",'Дивиденды по годам'!K1025&lt;&gt;"",('Дивиденды по годам'!I1025-'Дивиденды по годам'!J1025-'Дивиденды по годам'!K1025)&lt;&gt;0),'Дивиденды по годам'!L1025/('Дивиденды по годам'!I1025-'Дивиденды по годам'!J1025-'Дивиденды по годам'!K1025),""),"")</f>
        <v/>
      </c>
      <c r="T1025" t="str">
        <f>IFERROR(IF(AND('Дивиденды по годам'!Q1025&lt;&gt;"",'Дивиденды по годам'!I1025&lt;&gt;"",'Дивиденды по годам'!V1025&lt;&gt;"",('Дивиденды по годам'!I1025+'Дивиденды по годам'!V1025)&lt;&gt;0),'Дивиденды по годам'!Q1025/(('Дивиденды по годам'!I1025+'Дивиденды по годам'!V1025)/2),""),"")</f>
        <v/>
      </c>
      <c r="U1025" t="str">
        <f>IFERROR(IF(AND('Дивиденды по годам'!J1025&lt;&gt;"",'Дивиденды по годам'!K1025&lt;&gt;"",'Дивиденды по годам'!M1025&lt;&gt;"",'Дивиденды по годам'!M1025&lt;&gt;0),('Дивиденды по годам'!J1025+'Дивиденды по годам'!K1025)/'Дивиденды по годам'!M1025,""),"")</f>
        <v/>
      </c>
      <c r="V1025" t="str">
        <f>IFERROR(IF(AND('Дивиденды по годам'!J1025&lt;&gt;"",'Дивиденды по годам'!K1025&lt;&gt;"",'Дивиденды по годам'!M1025&lt;&gt;"",'Дивиденды по годам'!I1025&lt;&gt;0),('Дивиденды по годам'!J1025+'Дивиденды по годам'!K1025)/'Дивиденды по годам'!I1025,""),"")</f>
        <v/>
      </c>
      <c r="W1025" t="str">
        <f>IFERROR('Дивиденды по годам'!I1025,"")</f>
        <v/>
      </c>
      <c r="X1025" t="str" cm="1">
        <f t="array" ref="X1025">IFERROR(AVERAGE(_xlfn._xlws.FILTER(P$2:P$1073,($C$2:$C$1073=$C1025)*($E$2:$E$1073=$E1025)*(ROW(P$2:P$1073)&lt;&gt;ROW(P1025))*(P$2:P$1073&lt;&gt;""))),"")</f>
        <v/>
      </c>
      <c r="Y1025" t="str" cm="1">
        <f t="array" ref="Y1025">IFERROR(AVERAGE(_xlfn._xlws.FILTER(Q$2:Q$1073,($C$2:$C$1073=$C1025)*($E$2:$E$1073=$E1025)*(ROW(Q$2:Q$1073)&lt;&gt;ROW(Q1025))*(Q$2:Q$1073&lt;&gt;""))),"")</f>
        <v/>
      </c>
      <c r="Z1025" t="str" cm="1">
        <f t="array" ref="Z1025">IFERROR(AVERAGE(_xlfn._xlws.FILTER(R$2:R$1073,($C$2:$C$1073=$C1025)*($E$2:$E$1073=$E1025)*(ROW(R$2:R$1073)&lt;&gt;ROW(R1025))*(R$2:R$1073&lt;&gt;""))),"")</f>
        <v/>
      </c>
      <c r="AA1025" t="str" cm="1">
        <f t="array" ref="AA1025">IFERROR(AVERAGE(_xlfn._xlws.FILTER(S$2:S$1073,($C$2:$C$1073=$C1025)*($E$2:$E$1073=$E1025)*(ROW(S$2:S$1073)&lt;&gt;ROW(S1025))*(S$2:S$1073&lt;&gt;""))),"")</f>
        <v/>
      </c>
      <c r="AB1025" t="str" cm="1">
        <f t="array" ref="AB1025">IFERROR(AVERAGE(_xlfn._xlws.FILTER(T$2:T$1073,($C$2:$C$1073=$C1025)*($E$2:$E$1073=$E1025)*(ROW(T$2:T$1073)&lt;&gt;ROW(T1025))*(T$2:T$1073&lt;&gt;""))),"")</f>
        <v/>
      </c>
      <c r="AC1025" t="str" cm="1">
        <f t="array" ref="AC1025">IFERROR(AVERAGE(_xlfn._xlws.FILTER(U$2:U$1073,($C$2:$C$1073=$C1025)*($E$2:$E$1073=$E1025)*(ROW(U$2:U$1073)&lt;&gt;ROW(U1025))*(U$2:U$1073&lt;&gt;""))),"")</f>
        <v/>
      </c>
      <c r="AD1025" t="str" cm="1">
        <f t="array" ref="AD1025">IFERROR(AVERAGE(_xlfn._xlws.FILTER(V$2:V$1073,($C$2:$C$1073=$C1025)*($E$2:$E$1073=$E1025)*(ROW(V$2:V$1073)&lt;&gt;ROW(V1025))*(V$2:V$1073&lt;&gt;""))),"")</f>
        <v/>
      </c>
      <c r="AE1025">
        <f>IF('Дивиденды по годам'!M1025&lt;0,1,0)</f>
        <v>0</v>
      </c>
    </row>
    <row r="1026" spans="1:31" x14ac:dyDescent="0.2">
      <c r="A1026" s="7" t="s">
        <v>2306</v>
      </c>
      <c r="B1026" t="str">
        <f t="shared" si="165"/>
        <v>LSRG IV кв. 2025</v>
      </c>
      <c r="C1026">
        <v>2025</v>
      </c>
      <c r="D1026">
        <f>SUMIFS(Дивиденды!$C:$C,Дивиденды!$A:$A,A1026,Дивиденды!$I:$I,C1026)</f>
        <v>78</v>
      </c>
      <c r="E1026">
        <v>8</v>
      </c>
      <c r="F1026">
        <f t="shared" si="166"/>
        <v>78</v>
      </c>
      <c r="G1026">
        <f t="shared" si="167"/>
        <v>0</v>
      </c>
      <c r="H1026">
        <f t="shared" si="168"/>
        <v>1</v>
      </c>
      <c r="I1026">
        <f t="shared" si="169"/>
        <v>0</v>
      </c>
      <c r="J1026">
        <f t="shared" si="170"/>
        <v>1</v>
      </c>
      <c r="K1026">
        <f t="shared" si="175"/>
        <v>0</v>
      </c>
      <c r="L1026">
        <f t="shared" si="171"/>
        <v>1</v>
      </c>
      <c r="M1026">
        <f t="shared" si="172"/>
        <v>0</v>
      </c>
      <c r="N1026">
        <f t="shared" si="173"/>
        <v>0</v>
      </c>
      <c r="O1026">
        <f t="shared" si="174"/>
        <v>0</v>
      </c>
      <c r="P1026" t="str">
        <f>IFERROR(LN('Дивиденды по годам'!I1026),"")</f>
        <v/>
      </c>
      <c r="Q1026" t="str">
        <f>IFERROR('Дивиденды по годам'!G1026/'Дивиденды по годам'!I1026, "")</f>
        <v/>
      </c>
      <c r="R1026" t="str">
        <f>IFERROR(IF(AND('Дивиденды по годам'!N1026&lt;&gt;"",'Дивиденды по годам'!U1026&lt;&gt;"",'Дивиденды по годам'!U1026&lt;&gt;0),'Дивиденды по годам'!N1026/'Дивиденды по годам'!U1026-1,""),"")</f>
        <v/>
      </c>
      <c r="S1026" t="str">
        <f>IFERROR(IF(AND('Дивиденды по годам'!L1026&lt;&gt;"",'Дивиденды по годам'!I1026&lt;&gt;"",'Дивиденды по годам'!J1026&lt;&gt;"",'Дивиденды по годам'!K1026&lt;&gt;"",('Дивиденды по годам'!I1026-'Дивиденды по годам'!J1026-'Дивиденды по годам'!K1026)&lt;&gt;0),'Дивиденды по годам'!L1026/('Дивиденды по годам'!I1026-'Дивиденды по годам'!J1026-'Дивиденды по годам'!K1026),""),"")</f>
        <v/>
      </c>
      <c r="T1026" t="str">
        <f>IFERROR(IF(AND('Дивиденды по годам'!Q1026&lt;&gt;"",'Дивиденды по годам'!I1026&lt;&gt;"",'Дивиденды по годам'!V1026&lt;&gt;"",('Дивиденды по годам'!I1026+'Дивиденды по годам'!V1026)&lt;&gt;0),'Дивиденды по годам'!Q1026/(('Дивиденды по годам'!I1026+'Дивиденды по годам'!V1026)/2),""),"")</f>
        <v/>
      </c>
      <c r="U1026" t="str">
        <f>IFERROR(IF(AND('Дивиденды по годам'!J1026&lt;&gt;"",'Дивиденды по годам'!K1026&lt;&gt;"",'Дивиденды по годам'!M1026&lt;&gt;"",'Дивиденды по годам'!M1026&lt;&gt;0),('Дивиденды по годам'!J1026+'Дивиденды по годам'!K1026)/'Дивиденды по годам'!M1026,""),"")</f>
        <v/>
      </c>
      <c r="V1026" t="str">
        <f>IFERROR(IF(AND('Дивиденды по годам'!J1026&lt;&gt;"",'Дивиденды по годам'!K1026&lt;&gt;"",'Дивиденды по годам'!M1026&lt;&gt;"",'Дивиденды по годам'!I1026&lt;&gt;0),('Дивиденды по годам'!J1026+'Дивиденды по годам'!K1026)/'Дивиденды по годам'!I1026,""),"")</f>
        <v/>
      </c>
      <c r="W1026" t="str">
        <f>IFERROR('Дивиденды по годам'!I1026,"")</f>
        <v/>
      </c>
      <c r="X1026" t="str" cm="1">
        <f t="array" ref="X1026">IFERROR(AVERAGE(_xlfn._xlws.FILTER(P$2:P$1073,($C$2:$C$1073=$C1026)*($E$2:$E$1073=$E1026)*(ROW(P$2:P$1073)&lt;&gt;ROW(P1026))*(P$2:P$1073&lt;&gt;""))),"")</f>
        <v/>
      </c>
      <c r="Y1026" t="str" cm="1">
        <f t="array" ref="Y1026">IFERROR(AVERAGE(_xlfn._xlws.FILTER(Q$2:Q$1073,($C$2:$C$1073=$C1026)*($E$2:$E$1073=$E1026)*(ROW(Q$2:Q$1073)&lt;&gt;ROW(Q1026))*(Q$2:Q$1073&lt;&gt;""))),"")</f>
        <v/>
      </c>
      <c r="Z1026" t="str" cm="1">
        <f t="array" ref="Z1026">IFERROR(AVERAGE(_xlfn._xlws.FILTER(R$2:R$1073,($C$2:$C$1073=$C1026)*($E$2:$E$1073=$E1026)*(ROW(R$2:R$1073)&lt;&gt;ROW(R1026))*(R$2:R$1073&lt;&gt;""))),"")</f>
        <v/>
      </c>
      <c r="AA1026" t="str" cm="1">
        <f t="array" ref="AA1026">IFERROR(AVERAGE(_xlfn._xlws.FILTER(S$2:S$1073,($C$2:$C$1073=$C1026)*($E$2:$E$1073=$E1026)*(ROW(S$2:S$1073)&lt;&gt;ROW(S1026))*(S$2:S$1073&lt;&gt;""))),"")</f>
        <v/>
      </c>
      <c r="AB1026" t="str" cm="1">
        <f t="array" ref="AB1026">IFERROR(AVERAGE(_xlfn._xlws.FILTER(T$2:T$1073,($C$2:$C$1073=$C1026)*($E$2:$E$1073=$E1026)*(ROW(T$2:T$1073)&lt;&gt;ROW(T1026))*(T$2:T$1073&lt;&gt;""))),"")</f>
        <v/>
      </c>
      <c r="AC1026" t="str" cm="1">
        <f t="array" ref="AC1026">IFERROR(AVERAGE(_xlfn._xlws.FILTER(U$2:U$1073,($C$2:$C$1073=$C1026)*($E$2:$E$1073=$E1026)*(ROW(U$2:U$1073)&lt;&gt;ROW(U1026))*(U$2:U$1073&lt;&gt;""))),"")</f>
        <v/>
      </c>
      <c r="AD1026" t="str" cm="1">
        <f t="array" ref="AD1026">IFERROR(AVERAGE(_xlfn._xlws.FILTER(V$2:V$1073,($C$2:$C$1073=$C1026)*($E$2:$E$1073=$E1026)*(ROW(V$2:V$1073)&lt;&gt;ROW(V1026))*(V$2:V$1073&lt;&gt;""))),"")</f>
        <v/>
      </c>
      <c r="AE1026">
        <f>IF('Дивиденды по годам'!M1026&lt;0,1,0)</f>
        <v>0</v>
      </c>
    </row>
    <row r="1027" spans="1:31" x14ac:dyDescent="0.2">
      <c r="A1027" s="7" t="s">
        <v>2306</v>
      </c>
      <c r="B1027" t="str">
        <f t="shared" ref="B1027:B1073" si="176">A1027&amp;" "&amp;
"IV"
&amp;" кв. "&amp;C1027</f>
        <v>LSRG IV кв. 2024</v>
      </c>
      <c r="C1027">
        <v>2024</v>
      </c>
      <c r="D1027">
        <f>SUMIFS(Дивиденды!$C:$C,Дивиденды!$A:$A,A1027,Дивиденды!$I:$I,C1027)</f>
        <v>0</v>
      </c>
      <c r="E1027">
        <v>8</v>
      </c>
      <c r="F1027">
        <f t="shared" ref="F1027:F1073" si="177">D1027</f>
        <v>0</v>
      </c>
      <c r="G1027">
        <f t="shared" ref="G1027:G1073" si="178">AVERAGEIFS($D:$D,$E:$E,E1027,$C:$C,C1027,$A:$A,"&lt;&gt;"&amp;A1027)</f>
        <v>0</v>
      </c>
      <c r="H1027">
        <f t="shared" ref="H1027:H1073" si="179">IF(D1027&gt;0,1,0)</f>
        <v>0</v>
      </c>
      <c r="I1027">
        <f t="shared" ref="I1027:I1073" si="180">IFERROR((COUNTIFS($E:$E,E1027,$C:$C,C1027,$H:$H,1)-H1027)/(COUNTIFS($E:$E,E1027,$C:$C,C1027)-1),0)</f>
        <v>0</v>
      </c>
      <c r="J1027">
        <f t="shared" ref="J1027:J1073" si="181">IF(A1028&lt;&gt;A1027,"",IF(D1027=D1028,0,IF(AND(D1028=0,D1027&lt;&gt;0), 1,(D1027-D1028)/D1028)))</f>
        <v>-1</v>
      </c>
      <c r="K1027">
        <f t="shared" si="175"/>
        <v>0</v>
      </c>
      <c r="L1027">
        <f t="shared" ref="L1027:L1073" si="182">IF(J1027&lt;&gt;"",IF(J1027&gt;0,1,0),"")</f>
        <v>0</v>
      </c>
      <c r="M1027">
        <f t="shared" ref="M1027:M1073" si="183">IFERROR(AVERAGEIFS($L:$L,$E:$E,E1027,$C:$C,C1027,$A:$A,"&lt;&gt;"&amp;A1027),"")</f>
        <v>0</v>
      </c>
      <c r="N1027">
        <f t="shared" ref="N1027:N1073" si="184">IF(J1027&lt;&gt;"",IF(J1027&lt;0,1,0),"")</f>
        <v>1</v>
      </c>
      <c r="O1027">
        <f t="shared" ref="O1027:O1073" si="185">IFERROR(AVERAGEIFS($N:$N,$E:$E,E1027,$C:$C,C1027,$A:$A,"&lt;&gt;"&amp;A1027),"")</f>
        <v>0</v>
      </c>
      <c r="P1027">
        <f>IFERROR(LN('Дивиденды по годам'!I1027),"")</f>
        <v>27.030855952558909</v>
      </c>
      <c r="Q1027">
        <f>IFERROR('Дивиденды по годам'!G1027/'Дивиденды по годам'!I1027, "")</f>
        <v>0.10228877699231485</v>
      </c>
      <c r="R1027">
        <f>IFERROR(IF(AND('Дивиденды по годам'!N1027&lt;&gt;"",'Дивиденды по годам'!U1027&lt;&gt;"",'Дивиденды по годам'!U1027&lt;&gt;0),'Дивиденды по годам'!N1027/'Дивиденды по годам'!U1027-1,""),"")</f>
        <v>1.7134572294714712E-2</v>
      </c>
      <c r="S1027">
        <f>IFERROR(IF(AND('Дивиденды по годам'!L1027&lt;&gt;"",'Дивиденды по годам'!I1027&lt;&gt;"",'Дивиденды по годам'!J1027&lt;&gt;"",'Дивиденды по годам'!K1027&lt;&gt;"",('Дивиденды по годам'!I1027-'Дивиденды по годам'!J1027-'Дивиденды по годам'!K1027)&lt;&gt;0),'Дивиденды по годам'!L1027/('Дивиденды по годам'!I1027-'Дивиденды по годам'!J1027-'Дивиденды по годам'!K1027),""),"")</f>
        <v>0.67582151603166463</v>
      </c>
      <c r="T1027">
        <f>IFERROR(IF(AND('Дивиденды по годам'!Q1027&lt;&gt;"",'Дивиденды по годам'!I1027&lt;&gt;"",'Дивиденды по годам'!V1027&lt;&gt;"",('Дивиденды по годам'!I1027+'Дивиденды по годам'!V1027)&lt;&gt;0),'Дивиденды по годам'!Q1027/(('Дивиденды по годам'!I1027+'Дивиденды по годам'!V1027)/2),""),"")</f>
        <v>5.5837910344598674E-2</v>
      </c>
      <c r="U1027">
        <f>IFERROR(IF(AND('Дивиденды по годам'!J1027&lt;&gt;"",'Дивиденды по годам'!K1027&lt;&gt;"",'Дивиденды по годам'!M1027&lt;&gt;"",'Дивиденды по годам'!M1027&lt;&gt;0),('Дивиденды по годам'!J1027+'Дивиденды по годам'!K1027)/'Дивиденды по годам'!M1027,""),"")</f>
        <v>2.9062660174269603</v>
      </c>
      <c r="V1027">
        <f>IFERROR(IF(AND('Дивиденды по годам'!J1027&lt;&gt;"",'Дивиденды по годам'!K1027&lt;&gt;"",'Дивиденды по годам'!M1027&lt;&gt;"",'Дивиденды по годам'!I1027&lt;&gt;0),('Дивиденды по годам'!J1027+'Дивиденды по годам'!K1027)/'Дивиденды по годам'!I1027,""),"")</f>
        <v>0.744001049713789</v>
      </c>
      <c r="W1027">
        <f>IFERROR('Дивиденды по годам'!I1027,"")</f>
        <v>548721000000</v>
      </c>
      <c r="X1027" cm="1">
        <f t="array" ref="X1027">IFERROR(AVERAGE(_xlfn._xlws.FILTER(P$2:P$1073,($C$2:$C$1073=$C1027)*($E$2:$E$1073=$E1027)*(ROW(P$2:P$1073)&lt;&gt;ROW(P1027))*(P$2:P$1073&lt;&gt;""))),"")</f>
        <v>27.380099874426254</v>
      </c>
      <c r="Y1027" cm="1">
        <f t="array" ref="Y1027">IFERROR(AVERAGE(_xlfn._xlws.FILTER(Q$2:Q$1073,($C$2:$C$1073=$C1027)*($E$2:$E$1073=$E1027)*(ROW(Q$2:Q$1073)&lt;&gt;ROW(Q1027))*(Q$2:Q$1073&lt;&gt;""))),"")</f>
        <v>2.4580242112060741E-2</v>
      </c>
      <c r="Z1027" cm="1">
        <f t="array" ref="Z1027">IFERROR(AVERAGE(_xlfn._xlws.FILTER(R$2:R$1073,($C$2:$C$1073=$C1027)*($E$2:$E$1073=$E1027)*(ROW(R$2:R$1073)&lt;&gt;ROW(R1027))*(R$2:R$1073&lt;&gt;""))),"")</f>
        <v>0.31732965578440031</v>
      </c>
      <c r="AA1027" cm="1">
        <f t="array" ref="AA1027">IFERROR(AVERAGE(_xlfn._xlws.FILTER(S$2:S$1073,($C$2:$C$1073=$C1027)*($E$2:$E$1073=$E1027)*(ROW(S$2:S$1073)&lt;&gt;ROW(S1027))*(S$2:S$1073&lt;&gt;""))),"")</f>
        <v>0.68383133791606987</v>
      </c>
      <c r="AB1027" cm="1">
        <f t="array" ref="AB1027">IFERROR(AVERAGE(_xlfn._xlws.FILTER(T$2:T$1073,($C$2:$C$1073=$C1027)*($E$2:$E$1073=$E1027)*(ROW(T$2:T$1073)&lt;&gt;ROW(T1027))*(T$2:T$1073&lt;&gt;""))),"")</f>
        <v>1.7627316761665793E-3</v>
      </c>
      <c r="AC1027" cm="1">
        <f t="array" ref="AC1027">IFERROR(AVERAGE(_xlfn._xlws.FILTER(U$2:U$1073,($C$2:$C$1073=$C1027)*($E$2:$E$1073=$E1027)*(ROW(U$2:U$1073)&lt;&gt;ROW(U1027))*(U$2:U$1073&lt;&gt;""))),"")</f>
        <v>8.0700867912980261</v>
      </c>
      <c r="AD1027" cm="1">
        <f t="array" ref="AD1027">IFERROR(AVERAGE(_xlfn._xlws.FILTER(V$2:V$1073,($C$2:$C$1073=$C1027)*($E$2:$E$1073=$E1027)*(ROW(V$2:V$1073)&lt;&gt;ROW(V1027))*(V$2:V$1073&lt;&gt;""))),"")</f>
        <v>0.83092866811338961</v>
      </c>
      <c r="AE1027">
        <f>IF('Дивиденды по годам'!M1027&lt;0,1,0)</f>
        <v>0</v>
      </c>
    </row>
    <row r="1028" spans="1:31" x14ac:dyDescent="0.2">
      <c r="A1028" s="7" t="s">
        <v>2306</v>
      </c>
      <c r="B1028" t="str">
        <f t="shared" si="176"/>
        <v>LSRG IV кв. 2023</v>
      </c>
      <c r="C1028">
        <v>2023</v>
      </c>
      <c r="D1028">
        <f>SUMIFS(Дивиденды!$C:$C,Дивиденды!$A:$A,A1028,Дивиденды!$I:$I,C1028)</f>
        <v>100</v>
      </c>
      <c r="E1028">
        <v>8</v>
      </c>
      <c r="F1028">
        <f t="shared" si="177"/>
        <v>100</v>
      </c>
      <c r="G1028">
        <f t="shared" si="178"/>
        <v>0</v>
      </c>
      <c r="H1028">
        <f t="shared" si="179"/>
        <v>1</v>
      </c>
      <c r="I1028">
        <f t="shared" si="180"/>
        <v>0</v>
      </c>
      <c r="J1028">
        <f t="shared" si="181"/>
        <v>0.28205128205128205</v>
      </c>
      <c r="K1028">
        <f t="shared" ref="K1028:K1073" si="186">IFERROR(AVERAGEIFS($J:$J,$E:$E,E1028,$C:$C,C1028,$A:$A,"&lt;&gt;"&amp;A1028),"")</f>
        <v>-0.33333333333333331</v>
      </c>
      <c r="L1028">
        <f t="shared" si="182"/>
        <v>1</v>
      </c>
      <c r="M1028">
        <f t="shared" si="183"/>
        <v>0</v>
      </c>
      <c r="N1028">
        <f t="shared" si="184"/>
        <v>0</v>
      </c>
      <c r="O1028">
        <f t="shared" si="185"/>
        <v>0.33333333333333331</v>
      </c>
      <c r="P1028">
        <f>IFERROR(LN('Дивиденды по годам'!I1028),"")</f>
        <v>26.887845104368061</v>
      </c>
      <c r="Q1028">
        <f>IFERROR('Дивиденды по годам'!G1028/'Дивиденды по годам'!I1028, "")</f>
        <v>7.9596132051867011E-2</v>
      </c>
      <c r="R1028">
        <f>IFERROR(IF(AND('Дивиденды по годам'!N1028&lt;&gt;"",'Дивиденды по годам'!U1028&lt;&gt;"",'Дивиденды по годам'!U1028&lt;&gt;0),'Дивиденды по годам'!N1028/'Дивиденды по годам'!U1028-1,""),"")</f>
        <v>0.68404433561025901</v>
      </c>
      <c r="S1028">
        <f>IFERROR(IF(AND('Дивиденды по годам'!L1028&lt;&gt;"",'Дивиденды по годам'!I1028&lt;&gt;"",'Дивиденды по годам'!J1028&lt;&gt;"",'Дивиденды по годам'!K1028&lt;&gt;"",('Дивиденды по годам'!I1028-'Дивиденды по годам'!J1028-'Дивиденды по годам'!K1028)&lt;&gt;0),'Дивиденды по годам'!L1028/('Дивиденды по годам'!I1028-'Дивиденды по годам'!J1028-'Дивиденды по годам'!K1028),""),"")</f>
        <v>0.65401014544045033</v>
      </c>
      <c r="T1028">
        <f>IFERROR(IF(AND('Дивиденды по годам'!Q1028&lt;&gt;"",'Дивиденды по годам'!I1028&lt;&gt;"",'Дивиденды по годам'!V1028&lt;&gt;"",('Дивиденды по годам'!I1028+'Дивиденды по годам'!V1028)&lt;&gt;0),'Дивиденды по годам'!Q1028/(('Дивиденды по годам'!I1028+'Дивиденды по годам'!V1028)/2),""),"")</f>
        <v>6.3562367615777673E-2</v>
      </c>
      <c r="U1028">
        <f>IFERROR(IF(AND('Дивиденды по годам'!J1028&lt;&gt;"",'Дивиденды по годам'!K1028&lt;&gt;"",'Дивиденды по годам'!M1028&lt;&gt;"",'Дивиденды по годам'!M1028&lt;&gt;0),('Дивиденды по годам'!J1028+'Дивиденды по годам'!K1028)/'Дивиденды по годам'!M1028,""),"")</f>
        <v>3.0076259332288453</v>
      </c>
      <c r="V1028">
        <f>IFERROR(IF(AND('Дивиденды по годам'!J1028&lt;&gt;"",'Дивиденды по годам'!K1028&lt;&gt;"",'Дивиденды по годам'!M1028&lt;&gt;"",'Дивиденды по годам'!I1028&lt;&gt;0),('Дивиденды по годам'!J1028+'Дивиденды по годам'!K1028)/'Дивиденды по годам'!I1028,""),"")</f>
        <v>0.7504757138862197</v>
      </c>
      <c r="W1028">
        <f>IFERROR('Дивиденды по годам'!I1028,"")</f>
        <v>475601000000</v>
      </c>
      <c r="X1028" cm="1">
        <f t="array" ref="X1028">IFERROR(AVERAGE(_xlfn._xlws.FILTER(P$2:P$1073,($C$2:$C$1073=$C1028)*($E$2:$E$1073=$E1028)*(ROW(P$2:P$1073)&lt;&gt;ROW(P1028))*(P$2:P$1073&lt;&gt;""))),"")</f>
        <v>27.201867100056727</v>
      </c>
      <c r="Y1028" cm="1">
        <f t="array" ref="Y1028">IFERROR(AVERAGE(_xlfn._xlws.FILTER(Q$2:Q$1073,($C$2:$C$1073=$C1028)*($E$2:$E$1073=$E1028)*(ROW(Q$2:Q$1073)&lt;&gt;ROW(Q1028))*(Q$2:Q$1073&lt;&gt;""))),"")</f>
        <v>2.3596482210733391E-2</v>
      </c>
      <c r="Z1028" cm="1">
        <f t="array" ref="Z1028">IFERROR(AVERAGE(_xlfn._xlws.FILTER(R$2:R$1073,($C$2:$C$1073=$C1028)*($E$2:$E$1073=$E1028)*(ROW(R$2:R$1073)&lt;&gt;ROW(R1028))*(R$2:R$1073&lt;&gt;""))),"")</f>
        <v>0.29473467130923958</v>
      </c>
      <c r="AA1028" cm="1">
        <f t="array" ref="AA1028">IFERROR(AVERAGE(_xlfn._xlws.FILTER(S$2:S$1073,($C$2:$C$1073=$C1028)*($E$2:$E$1073=$E1028)*(ROW(S$2:S$1073)&lt;&gt;ROW(S1028))*(S$2:S$1073&lt;&gt;""))),"")</f>
        <v>0.66593650872848109</v>
      </c>
      <c r="AB1028" cm="1">
        <f t="array" ref="AB1028">IFERROR(AVERAGE(_xlfn._xlws.FILTER(T$2:T$1073,($C$2:$C$1073=$C1028)*($E$2:$E$1073=$E1028)*(ROW(T$2:T$1073)&lt;&gt;ROW(T1028))*(T$2:T$1073&lt;&gt;""))),"")</f>
        <v>1.5955984530977529E-2</v>
      </c>
      <c r="AC1028" cm="1">
        <f t="array" ref="AC1028">IFERROR(AVERAGE(_xlfn._xlws.FILTER(U$2:U$1073,($C$2:$C$1073=$C1028)*($E$2:$E$1073=$E1028)*(ROW(U$2:U$1073)&lt;&gt;ROW(U1028))*(U$2:U$1073&lt;&gt;""))),"")</f>
        <v>8.4080377410815768</v>
      </c>
      <c r="AD1028" cm="1">
        <f t="array" ref="AD1028">IFERROR(AVERAGE(_xlfn._xlws.FILTER(V$2:V$1073,($C$2:$C$1073=$C1028)*($E$2:$E$1073=$E1028)*(ROW(V$2:V$1073)&lt;&gt;ROW(V1028))*(V$2:V$1073&lt;&gt;""))),"")</f>
        <v>0.8102415982826715</v>
      </c>
      <c r="AE1028">
        <f>IF('Дивиденды по годам'!M1028&lt;0,1,0)</f>
        <v>0</v>
      </c>
    </row>
    <row r="1029" spans="1:31" x14ac:dyDescent="0.2">
      <c r="A1029" s="7" t="s">
        <v>2306</v>
      </c>
      <c r="B1029" t="str">
        <f t="shared" si="176"/>
        <v>LSRG IV кв. 2022</v>
      </c>
      <c r="C1029">
        <v>2022</v>
      </c>
      <c r="D1029">
        <f>SUMIFS(Дивиденды!$C:$C,Дивиденды!$A:$A,A1029,Дивиденды!$I:$I,C1029)</f>
        <v>78</v>
      </c>
      <c r="E1029">
        <v>8</v>
      </c>
      <c r="F1029">
        <f t="shared" si="177"/>
        <v>78</v>
      </c>
      <c r="G1029">
        <f t="shared" si="178"/>
        <v>27.333333333333332</v>
      </c>
      <c r="H1029">
        <f t="shared" si="179"/>
        <v>1</v>
      </c>
      <c r="I1029">
        <f t="shared" si="180"/>
        <v>0.33333333333333331</v>
      </c>
      <c r="J1029">
        <f t="shared" si="181"/>
        <v>1</v>
      </c>
      <c r="K1029">
        <f t="shared" si="186"/>
        <v>0</v>
      </c>
      <c r="L1029">
        <f t="shared" si="182"/>
        <v>1</v>
      </c>
      <c r="M1029">
        <f t="shared" si="183"/>
        <v>0.33333333333333331</v>
      </c>
      <c r="N1029">
        <f t="shared" si="184"/>
        <v>0</v>
      </c>
      <c r="O1029">
        <f t="shared" si="185"/>
        <v>0.33333333333333331</v>
      </c>
      <c r="P1029">
        <f>IFERROR(LN('Дивиденды по годам'!I1029),"")</f>
        <v>26.754470193223252</v>
      </c>
      <c r="Q1029">
        <f>IFERROR('Дивиденды по годам'!G1029/'Дивиденды по годам'!I1029, "")</f>
        <v>7.4257116497203374E-2</v>
      </c>
      <c r="R1029">
        <f>IFERROR(IF(AND('Дивиденды по годам'!N1029&lt;&gt;"",'Дивиденды по годам'!U1029&lt;&gt;"",'Дивиденды по годам'!U1029&lt;&gt;0),'Дивиденды по годам'!N1029/'Дивиденды по годам'!U1029-1,""),"")</f>
        <v>7.0083898402482525E-2</v>
      </c>
      <c r="S1029">
        <f>IFERROR(IF(AND('Дивиденды по годам'!L1029&lt;&gt;"",'Дивиденды по годам'!I1029&lt;&gt;"",'Дивиденды по годам'!J1029&lt;&gt;"",'Дивиденды по годам'!K1029&lt;&gt;"",('Дивиденды по годам'!I1029-'Дивиденды по годам'!J1029-'Дивиденды по годам'!K1029)&lt;&gt;0),'Дивиденды по годам'!L1029/('Дивиденды по годам'!I1029-'Дивиденды по годам'!J1029-'Дивиденды по годам'!K1029),""),"")</f>
        <v>0.77348374500263428</v>
      </c>
      <c r="T1029">
        <f>IFERROR(IF(AND('Дивиденды по годам'!Q1029&lt;&gt;"",'Дивиденды по годам'!I1029&lt;&gt;"",'Дивиденды по годам'!V1029&lt;&gt;"",('Дивиденды по годам'!I1029+'Дивиденды по годам'!V1029)&lt;&gt;0),'Дивиденды по годам'!Q1029/(('Дивиденды по годам'!I1029+'Дивиденды по годам'!V1029)/2),""),"")</f>
        <v>3.4931746770323048E-2</v>
      </c>
      <c r="U1029">
        <f>IFERROR(IF(AND('Дивиденды по годам'!J1029&lt;&gt;"",'Дивиденды по годам'!K1029&lt;&gt;"",'Дивиденды по годам'!M1029&lt;&gt;"",'Дивиденды по годам'!M1029&lt;&gt;0),('Дивиденды по годам'!J1029+'Дивиденды по годам'!K1029)/'Дивиденды по годам'!M1029,""),"")</f>
        <v>3.2997076476482681</v>
      </c>
      <c r="V1029">
        <f>IFERROR(IF(AND('Дивиденды по годам'!J1029&lt;&gt;"",'Дивиденды по годам'!K1029&lt;&gt;"",'Дивиденды по годам'!M1029&lt;&gt;"",'Дивиденды по годам'!I1029&lt;&gt;0),('Дивиденды по годам'!J1029+'Дивиденды по годам'!K1029)/'Дивиденды по годам'!I1029,""),"")</f>
        <v>0.76742604801353143</v>
      </c>
      <c r="W1029">
        <f>IFERROR('Дивиденды по годам'!I1029,"")</f>
        <v>416216000000</v>
      </c>
      <c r="X1029" cm="1">
        <f t="array" ref="X1029">IFERROR(AVERAGE(_xlfn._xlws.FILTER(P$2:P$1073,($C$2:$C$1073=$C1029)*($E$2:$E$1073=$E1029)*(ROW(P$2:P$1073)&lt;&gt;ROW(P1029))*(P$2:P$1073&lt;&gt;""))),"")</f>
        <v>26.487881142764707</v>
      </c>
      <c r="Y1029" cm="1">
        <f t="array" ref="Y1029">IFERROR(AVERAGE(_xlfn._xlws.FILTER(Q$2:Q$1073,($C$2:$C$1073=$C1029)*($E$2:$E$1073=$E1029)*(ROW(Q$2:Q$1073)&lt;&gt;ROW(Q1029))*(Q$2:Q$1073&lt;&gt;""))),"")</f>
        <v>1.1400493505953832E-2</v>
      </c>
      <c r="Z1029" cm="1">
        <f t="array" ref="Z1029">IFERROR(AVERAGE(_xlfn._xlws.FILTER(R$2:R$1073,($C$2:$C$1073=$C1029)*($E$2:$E$1073=$E1029)*(ROW(R$2:R$1073)&lt;&gt;ROW(R1029))*(R$2:R$1073&lt;&gt;""))),"")</f>
        <v>0.38795318037126175</v>
      </c>
      <c r="AA1029" cm="1">
        <f t="array" ref="AA1029">IFERROR(AVERAGE(_xlfn._xlws.FILTER(S$2:S$1073,($C$2:$C$1073=$C1029)*($E$2:$E$1073=$E1029)*(ROW(S$2:S$1073)&lt;&gt;ROW(S1029))*(S$2:S$1073&lt;&gt;""))),"")</f>
        <v>0.59755001698812626</v>
      </c>
      <c r="AB1029" cm="1">
        <f t="array" ref="AB1029">IFERROR(AVERAGE(_xlfn._xlws.FILTER(T$2:T$1073,($C$2:$C$1073=$C1029)*($E$2:$E$1073=$E1029)*(ROW(T$2:T$1073)&lt;&gt;ROW(T1029))*(T$2:T$1073&lt;&gt;""))),"")</f>
        <v>5.2426274355556648E-2</v>
      </c>
      <c r="AC1029" cm="1">
        <f t="array" ref="AC1029">IFERROR(AVERAGE(_xlfn._xlws.FILTER(U$2:U$1073,($C$2:$C$1073=$C1029)*($E$2:$E$1073=$E1029)*(ROW(U$2:U$1073)&lt;&gt;ROW(U1029))*(U$2:U$1073&lt;&gt;""))),"")</f>
        <v>8.2322266969586355</v>
      </c>
      <c r="AD1029" cm="1">
        <f t="array" ref="AD1029">IFERROR(AVERAGE(_xlfn._xlws.FILTER(V$2:V$1073,($C$2:$C$1073=$C1029)*($E$2:$E$1073=$E1029)*(ROW(V$2:V$1073)&lt;&gt;ROW(V1029))*(V$2:V$1073&lt;&gt;""))),"")</f>
        <v>0.81738601535342215</v>
      </c>
      <c r="AE1029">
        <f>IF('Дивиденды по годам'!M1029&lt;0,1,0)</f>
        <v>0</v>
      </c>
    </row>
    <row r="1030" spans="1:31" x14ac:dyDescent="0.2">
      <c r="A1030" s="7" t="s">
        <v>2306</v>
      </c>
      <c r="B1030" t="str">
        <f t="shared" si="176"/>
        <v>LSRG IV кв. 2021</v>
      </c>
      <c r="C1030">
        <v>2021</v>
      </c>
      <c r="D1030">
        <f>SUMIFS(Дивиденды!$C:$C,Дивиденды!$A:$A,A1030,Дивиденды!$I:$I,C1030)</f>
        <v>0</v>
      </c>
      <c r="E1030">
        <v>8</v>
      </c>
      <c r="F1030">
        <f t="shared" si="177"/>
        <v>0</v>
      </c>
      <c r="G1030">
        <f t="shared" si="178"/>
        <v>21.306666666666668</v>
      </c>
      <c r="H1030">
        <f t="shared" si="179"/>
        <v>0</v>
      </c>
      <c r="I1030">
        <f t="shared" si="180"/>
        <v>0.66666666666666663</v>
      </c>
      <c r="J1030">
        <f t="shared" si="181"/>
        <v>-1</v>
      </c>
      <c r="K1030">
        <f t="shared" si="186"/>
        <v>-0.16438154209052039</v>
      </c>
      <c r="L1030">
        <f t="shared" si="182"/>
        <v>0</v>
      </c>
      <c r="M1030">
        <f t="shared" si="183"/>
        <v>0</v>
      </c>
      <c r="N1030">
        <f t="shared" si="184"/>
        <v>1</v>
      </c>
      <c r="O1030">
        <f t="shared" si="185"/>
        <v>0.33333333333333331</v>
      </c>
      <c r="P1030">
        <f>IFERROR(LN('Дивиденды по годам'!I1030),"")</f>
        <v>26.577982395154933</v>
      </c>
      <c r="Q1030">
        <f>IFERROR('Дивиденды по годам'!G1030/'Дивиденды по годам'!I1030, "")</f>
        <v>7.7511780689987278E-2</v>
      </c>
      <c r="R1030">
        <f>IFERROR(IF(AND('Дивиденды по годам'!N1030&lt;&gt;"",'Дивиденды по годам'!U1030&lt;&gt;"",'Дивиденды по годам'!U1030&lt;&gt;0),'Дивиденды по годам'!N1030/'Дивиденды по годам'!U1030-1,""),"")</f>
        <v>0.10557212076034284</v>
      </c>
      <c r="S1030">
        <f>IFERROR(IF(AND('Дивиденды по годам'!L1030&lt;&gt;"",'Дивиденды по годам'!I1030&lt;&gt;"",'Дивиденды по годам'!J1030&lt;&gt;"",'Дивиденды по годам'!K1030&lt;&gt;"",('Дивиденды по годам'!I1030-'Дивиденды по годам'!J1030-'Дивиденды по годам'!K1030)&lt;&gt;0),'Дивиденды по годам'!L1030/('Дивиденды по годам'!I1030-'Дивиденды по годам'!J1030-'Дивиденды по годам'!K1030),""),"")</f>
        <v>0.67483092670444156</v>
      </c>
      <c r="T1030">
        <f>IFERROR(IF(AND('Дивиденды по годам'!Q1030&lt;&gt;"",'Дивиденды по годам'!I1030&lt;&gt;"",'Дивиденды по годам'!V1030&lt;&gt;"",('Дивиденды по годам'!I1030+'Дивиденды по годам'!V1030)&lt;&gt;0),'Дивиденды по годам'!Q1030/(('Дивиденды по годам'!I1030+'Дивиденды по годам'!V1030)/2),""),"")</f>
        <v>5.155231980686889E-2</v>
      </c>
      <c r="U1030">
        <f>IFERROR(IF(AND('Дивиденды по годам'!J1030&lt;&gt;"",'Дивиденды по годам'!K1030&lt;&gt;"",'Дивиденды по годам'!M1030&lt;&gt;"",'Дивиденды по годам'!M1030&lt;&gt;0),('Дивиденды по годам'!J1030+'Дивиденды по годам'!K1030)/'Дивиденды по годам'!M1030,""),"")</f>
        <v>2.7510724999193608</v>
      </c>
      <c r="V1030">
        <f>IFERROR(IF(AND('Дивиденды по годам'!J1030&lt;&gt;"",'Дивиденды по годам'!K1030&lt;&gt;"",'Дивиденды по годам'!M1030&lt;&gt;"",'Дивиденды по годам'!I1030&lt;&gt;0),('Дивиденды по годам'!J1030+'Дивиденды по годам'!K1030)/'Дивиденды по годам'!I1030,""),"")</f>
        <v>0.73340957818823882</v>
      </c>
      <c r="W1030">
        <f>IFERROR('Дивиденды по годам'!I1030,"")</f>
        <v>348876000000</v>
      </c>
      <c r="X1030" cm="1">
        <f t="array" ref="X1030">IFERROR(AVERAGE(_xlfn._xlws.FILTER(P$2:P$1073,($C$2:$C$1073=$C1030)*($E$2:$E$1073=$E1030)*(ROW(P$2:P$1073)&lt;&gt;ROW(P1030))*(P$2:P$1073&lt;&gt;""))),"")</f>
        <v>26.624539877082416</v>
      </c>
      <c r="Y1030" cm="1">
        <f t="array" ref="Y1030">IFERROR(AVERAGE(_xlfn._xlws.FILTER(Q$2:Q$1073,($C$2:$C$1073=$C1030)*($E$2:$E$1073=$E1030)*(ROW(Q$2:Q$1073)&lt;&gt;ROW(Q1030))*(Q$2:Q$1073&lt;&gt;""))),"")</f>
        <v>1.721224326331872E-2</v>
      </c>
      <c r="Z1030" cm="1">
        <f t="array" ref="Z1030">IFERROR(AVERAGE(_xlfn._xlws.FILTER(R$2:R$1073,($C$2:$C$1073=$C1030)*($E$2:$E$1073=$E1030)*(ROW(R$2:R$1073)&lt;&gt;ROW(R1030))*(R$2:R$1073&lt;&gt;""))),"")</f>
        <v>0.31217736065492657</v>
      </c>
      <c r="AA1030" cm="1">
        <f t="array" ref="AA1030">IFERROR(AVERAGE(_xlfn._xlws.FILTER(S$2:S$1073,($C$2:$C$1073=$C1030)*($E$2:$E$1073=$E1030)*(ROW(S$2:S$1073)&lt;&gt;ROW(S1030))*(S$2:S$1073&lt;&gt;""))),"")</f>
        <v>0.63074934555223017</v>
      </c>
      <c r="AB1030" cm="1">
        <f t="array" ref="AB1030">IFERROR(AVERAGE(_xlfn._xlws.FILTER(T$2:T$1073,($C$2:$C$1073=$C1030)*($E$2:$E$1073=$E1030)*(ROW(T$2:T$1073)&lt;&gt;ROW(T1030))*(T$2:T$1073&lt;&gt;""))),"")</f>
        <v>6.3808017326036706E-2</v>
      </c>
      <c r="AC1030" cm="1">
        <f t="array" ref="AC1030">IFERROR(AVERAGE(_xlfn._xlws.FILTER(U$2:U$1073,($C$2:$C$1073=$C1030)*($E$2:$E$1073=$E1030)*(ROW(U$2:U$1073)&lt;&gt;ROW(U1030))*(U$2:U$1073&lt;&gt;""))),"")</f>
        <v>5.7756137855951275</v>
      </c>
      <c r="AD1030" cm="1">
        <f t="array" ref="AD1030">IFERROR(AVERAGE(_xlfn._xlws.FILTER(V$2:V$1073,($C$2:$C$1073=$C1030)*($E$2:$E$1073=$E1030)*(ROW(V$2:V$1073)&lt;&gt;ROW(V1030))*(V$2:V$1073&lt;&gt;""))),"")</f>
        <v>0.79983347005958461</v>
      </c>
      <c r="AE1030">
        <f>IF('Дивиденды по годам'!M1030&lt;0,1,0)</f>
        <v>0</v>
      </c>
    </row>
    <row r="1031" spans="1:31" x14ac:dyDescent="0.2">
      <c r="A1031" s="7" t="s">
        <v>2306</v>
      </c>
      <c r="B1031" t="str">
        <f t="shared" si="176"/>
        <v>LSRG IV кв. 2020</v>
      </c>
      <c r="C1031">
        <v>2020</v>
      </c>
      <c r="D1031">
        <f>SUMIFS(Дивиденды!$C:$C,Дивиденды!$A:$A,A1031,Дивиденды!$I:$I,C1031)</f>
        <v>59</v>
      </c>
      <c r="E1031">
        <v>8</v>
      </c>
      <c r="F1031">
        <f t="shared" si="177"/>
        <v>59</v>
      </c>
      <c r="G1031">
        <f t="shared" si="178"/>
        <v>28.74</v>
      </c>
      <c r="H1031">
        <f t="shared" si="179"/>
        <v>1</v>
      </c>
      <c r="I1031">
        <f t="shared" si="180"/>
        <v>0.66666666666666663</v>
      </c>
      <c r="J1031">
        <f t="shared" si="181"/>
        <v>0.96666666666666667</v>
      </c>
      <c r="K1031">
        <f t="shared" si="186"/>
        <v>0.66666666666666663</v>
      </c>
      <c r="L1031">
        <f t="shared" si="182"/>
        <v>1</v>
      </c>
      <c r="M1031">
        <f t="shared" si="183"/>
        <v>0.66666666666666663</v>
      </c>
      <c r="N1031">
        <f t="shared" si="184"/>
        <v>0</v>
      </c>
      <c r="O1031">
        <f t="shared" si="185"/>
        <v>0</v>
      </c>
      <c r="P1031">
        <f>IFERROR(LN('Дивиденды по годам'!I1031),"")</f>
        <v>26.366608047791196</v>
      </c>
      <c r="Q1031">
        <f>IFERROR('Дивиденды по годам'!G1031/'Дивиденды по годам'!I1031, "")</f>
        <v>7.5770613126538128E-2</v>
      </c>
      <c r="R1031">
        <f>IFERROR(IF(AND('Дивиденды по годам'!N1031&lt;&gt;"",'Дивиденды по годам'!U1031&lt;&gt;"",'Дивиденды по годам'!U1031&lt;&gt;0),'Дивиденды по годам'!N1031/'Дивиденды по годам'!U1031-1,""),"")</f>
        <v>6.8943660696499487E-2</v>
      </c>
      <c r="S1031">
        <f>IFERROR(IF(AND('Дивиденды по годам'!L1031&lt;&gt;"",'Дивиденды по годам'!I1031&lt;&gt;"",'Дивиденды по годам'!J1031&lt;&gt;"",'Дивиденды по годам'!K1031&lt;&gt;"",('Дивиденды по годам'!I1031-'Дивиденды по годам'!J1031-'Дивиденды по годам'!K1031)&lt;&gt;0),'Дивиденды по годам'!L1031/('Дивиденды по годам'!I1031-'Дивиденды по годам'!J1031-'Дивиденды по годам'!K1031),""),"")</f>
        <v>0.54576574219431362</v>
      </c>
      <c r="T1031">
        <f>IFERROR(IF(AND('Дивиденды по годам'!Q1031&lt;&gt;"",'Дивиденды по годам'!I1031&lt;&gt;"",'Дивиденды по годам'!V1031&lt;&gt;"",('Дивиденды по годам'!I1031+'Дивиденды по годам'!V1031)&lt;&gt;0),'Дивиденды по годам'!Q1031/(('Дивиденды по годам'!I1031+'Дивиденды по годам'!V1031)/2),""),"")</f>
        <v>4.3947168377042947E-2</v>
      </c>
      <c r="U1031">
        <f>IFERROR(IF(AND('Дивиденды по годам'!J1031&lt;&gt;"",'Дивиденды по годам'!K1031&lt;&gt;"",'Дивиденды по годам'!M1031&lt;&gt;"",'Дивиденды по годам'!M1031&lt;&gt;0),('Дивиденды по годам'!J1031+'Дивиденды по годам'!K1031)/'Дивиденды по годам'!M1031,""),"")</f>
        <v>2.0787218733647306</v>
      </c>
      <c r="V1031">
        <f>IFERROR(IF(AND('Дивиденды по годам'!J1031&lt;&gt;"",'Дивиденды по годам'!K1031&lt;&gt;"",'Дивиденды по годам'!M1031&lt;&gt;"",'Дивиденды по годам'!I1031&lt;&gt;0),('Дивиденды по годам'!J1031+'Дивиденды по годам'!K1031)/'Дивиденды по годам'!I1031,""),"")</f>
        <v>0.67518988686460935</v>
      </c>
      <c r="W1031">
        <f>IFERROR('Дивиденды по годам'!I1031,"")</f>
        <v>282405000000</v>
      </c>
      <c r="X1031" cm="1">
        <f t="array" ref="X1031">IFERROR(AVERAGE(_xlfn._xlws.FILTER(P$2:P$1073,($C$2:$C$1073=$C1031)*($E$2:$E$1073=$E1031)*(ROW(P$2:P$1073)&lt;&gt;ROW(P1031))*(P$2:P$1073&lt;&gt;""))),"")</f>
        <v>26.146050581940344</v>
      </c>
      <c r="Y1031" cm="1">
        <f t="array" ref="Y1031">IFERROR(AVERAGE(_xlfn._xlws.FILTER(Q$2:Q$1073,($C$2:$C$1073=$C1031)*($E$2:$E$1073=$E1031)*(ROW(Q$2:Q$1073)&lt;&gt;ROW(Q1031))*(Q$2:Q$1073&lt;&gt;""))),"")</f>
        <v>2.8191403404070337E-2</v>
      </c>
      <c r="Z1031" cm="1">
        <f t="array" ref="Z1031">IFERROR(AVERAGE(_xlfn._xlws.FILTER(R$2:R$1073,($C$2:$C$1073=$C1031)*($E$2:$E$1073=$E1031)*(ROW(R$2:R$1073)&lt;&gt;ROW(R1031))*(R$2:R$1073&lt;&gt;""))),"")</f>
        <v>0.15468559776654697</v>
      </c>
      <c r="AA1031" cm="1">
        <f t="array" ref="AA1031">IFERROR(AVERAGE(_xlfn._xlws.FILTER(S$2:S$1073,($C$2:$C$1073=$C1031)*($E$2:$E$1073=$E1031)*(ROW(S$2:S$1073)&lt;&gt;ROW(S1031))*(S$2:S$1073&lt;&gt;""))),"")</f>
        <v>0.70364115077296008</v>
      </c>
      <c r="AB1031" cm="1">
        <f t="array" ref="AB1031">IFERROR(AVERAGE(_xlfn._xlws.FILTER(T$2:T$1073,($C$2:$C$1073=$C1031)*($E$2:$E$1073=$E1031)*(ROW(T$2:T$1073)&lt;&gt;ROW(T1031))*(T$2:T$1073&lt;&gt;""))),"")</f>
        <v>7.2296759428009436E-2</v>
      </c>
      <c r="AC1031" cm="1">
        <f t="array" ref="AC1031">IFERROR(AVERAGE(_xlfn._xlws.FILTER(U$2:U$1073,($C$2:$C$1073=$C1031)*($E$2:$E$1073=$E1031)*(ROW(U$2:U$1073)&lt;&gt;ROW(U1031))*(U$2:U$1073&lt;&gt;""))),"")</f>
        <v>4.5288125174680252</v>
      </c>
      <c r="AD1031" cm="1">
        <f t="array" ref="AD1031">IFERROR(AVERAGE(_xlfn._xlws.FILTER(V$2:V$1073,($C$2:$C$1073=$C1031)*($E$2:$E$1073=$E1031)*(ROW(V$2:V$1073)&lt;&gt;ROW(V1031))*(V$2:V$1073&lt;&gt;""))),"")</f>
        <v>0.77950826339045243</v>
      </c>
      <c r="AE1031">
        <f>IF('Дивиденды по годам'!M1031&lt;0,1,0)</f>
        <v>0</v>
      </c>
    </row>
    <row r="1032" spans="1:31" x14ac:dyDescent="0.2">
      <c r="A1032" s="7" t="s">
        <v>2306</v>
      </c>
      <c r="B1032" t="str">
        <f t="shared" si="176"/>
        <v>LSRG IV кв. 2019</v>
      </c>
      <c r="C1032">
        <v>2019</v>
      </c>
      <c r="D1032">
        <f>SUMIFS(Дивиденды!$C:$C,Дивиденды!$A:$A,A1032,Дивиденды!$I:$I,C1032)</f>
        <v>30</v>
      </c>
      <c r="E1032">
        <v>8</v>
      </c>
      <c r="F1032">
        <f t="shared" si="177"/>
        <v>30</v>
      </c>
      <c r="G1032">
        <f t="shared" si="178"/>
        <v>0</v>
      </c>
      <c r="H1032">
        <f t="shared" si="179"/>
        <v>1</v>
      </c>
      <c r="I1032">
        <f t="shared" si="180"/>
        <v>0</v>
      </c>
      <c r="J1032">
        <f t="shared" si="181"/>
        <v>-0.61538461538461542</v>
      </c>
      <c r="K1032">
        <f t="shared" si="186"/>
        <v>-0.33333333333333331</v>
      </c>
      <c r="L1032">
        <f t="shared" si="182"/>
        <v>0</v>
      </c>
      <c r="M1032">
        <f t="shared" si="183"/>
        <v>0</v>
      </c>
      <c r="N1032">
        <f t="shared" si="184"/>
        <v>1</v>
      </c>
      <c r="O1032">
        <f t="shared" si="185"/>
        <v>0.33333333333333331</v>
      </c>
      <c r="P1032">
        <f>IFERROR(LN('Дивиденды по годам'!I1032),"")</f>
        <v>26.302403034532919</v>
      </c>
      <c r="Q1032">
        <f>IFERROR('Дивиденды по годам'!G1032/'Дивиденды по годам'!I1032, "")</f>
        <v>8.6840127924846036E-2</v>
      </c>
      <c r="R1032">
        <f>IFERROR(IF(AND('Дивиденды по годам'!N1032&lt;&gt;"",'Дивиденды по годам'!U1032&lt;&gt;"",'Дивиденды по годам'!U1032&lt;&gt;0),'Дивиденды по годам'!N1032/'Дивиденды по годам'!U1032-1,""),"")</f>
        <v>-0.24551839099305894</v>
      </c>
      <c r="S1032">
        <f>IFERROR(IF(AND('Дивиденды по годам'!L1032&lt;&gt;"",'Дивиденды по годам'!I1032&lt;&gt;"",'Дивиденды по годам'!J1032&lt;&gt;"",'Дивиденды по годам'!K1032&lt;&gt;"",('Дивиденды по годам'!I1032-'Дивиденды по годам'!J1032-'Дивиденды по годам'!K1032)&lt;&gt;0),'Дивиденды по годам'!L1032/('Дивиденды по годам'!I1032-'Дивиденды по годам'!J1032-'Дивиденды по годам'!K1032),""),"")</f>
        <v>0.50474317721368134</v>
      </c>
      <c r="T1032">
        <f>IFERROR(IF(AND('Дивиденды по годам'!Q1032&lt;&gt;"",'Дивиденды по годам'!I1032&lt;&gt;"",'Дивиденды по годам'!V1032&lt;&gt;"",('Дивиденды по годам'!I1032+'Дивиденды по годам'!V1032)&lt;&gt;0),'Дивиденды по годам'!Q1032/(('Дивиденды по годам'!I1032+'Дивиденды по годам'!V1032)/2),""),"")</f>
        <v>2.8487898650362439E-2</v>
      </c>
      <c r="U1032">
        <f>IFERROR(IF(AND('Дивиденды по годам'!J1032&lt;&gt;"",'Дивиденды по годам'!K1032&lt;&gt;"",'Дивиденды по годам'!M1032&lt;&gt;"",'Дивиденды по годам'!M1032&lt;&gt;0),('Дивиденды по годам'!J1032+'Дивиденды по годам'!K1032)/'Дивиденды по годам'!M1032,""),"")</f>
        <v>2.1562745799070431</v>
      </c>
      <c r="V1032">
        <f>IFERROR(IF(AND('Дивиденды по годам'!J1032&lt;&gt;"",'Дивиденды по годам'!K1032&lt;&gt;"",'Дивиденды по годам'!M1032&lt;&gt;"",'Дивиденды по годам'!I1032&lt;&gt;0),('Дивиденды по годам'!J1032+'Дивиденды по годам'!K1032)/'Дивиденды по годам'!I1032,""),"")</f>
        <v>0.68317078420045085</v>
      </c>
      <c r="W1032">
        <f>IFERROR('Дивиденды по годам'!I1032,"")</f>
        <v>264843000000</v>
      </c>
      <c r="X1032" cm="1">
        <f t="array" ref="X1032">IFERROR(AVERAGE(_xlfn._xlws.FILTER(P$2:P$1073,($C$2:$C$1073=$C1032)*($E$2:$E$1073=$E1032)*(ROW(P$2:P$1073)&lt;&gt;ROW(P1032))*(P$2:P$1073&lt;&gt;""))),"")</f>
        <v>25.944263990704712</v>
      </c>
      <c r="Y1032" cm="1">
        <f t="array" ref="Y1032">IFERROR(AVERAGE(_xlfn._xlws.FILTER(Q$2:Q$1073,($C$2:$C$1073=$C1032)*($E$2:$E$1073=$E1032)*(ROW(Q$2:Q$1073)&lt;&gt;ROW(Q1032))*(Q$2:Q$1073&lt;&gt;""))),"")</f>
        <v>3.4389354031888621E-2</v>
      </c>
      <c r="Z1032" cm="1">
        <f t="array" ref="Z1032">IFERROR(AVERAGE(_xlfn._xlws.FILTER(R$2:R$1073,($C$2:$C$1073=$C1032)*($E$2:$E$1073=$E1032)*(ROW(R$2:R$1073)&lt;&gt;ROW(R1032))*(R$2:R$1073&lt;&gt;""))),"")</f>
        <v>0.20961918643101538</v>
      </c>
      <c r="AA1032" cm="1">
        <f t="array" ref="AA1032">IFERROR(AVERAGE(_xlfn._xlws.FILTER(S$2:S$1073,($C$2:$C$1073=$C1032)*($E$2:$E$1073=$E1032)*(ROW(S$2:S$1073)&lt;&gt;ROW(S1032))*(S$2:S$1073&lt;&gt;""))),"")</f>
        <v>0.64720945085594517</v>
      </c>
      <c r="AB1032" cm="1">
        <f t="array" ref="AB1032">IFERROR(AVERAGE(_xlfn._xlws.FILTER(T$2:T$1073,($C$2:$C$1073=$C1032)*($E$2:$E$1073=$E1032)*(ROW(T$2:T$1073)&lt;&gt;ROW(T1032))*(T$2:T$1073&lt;&gt;""))),"")</f>
        <v>4.1008990625258736E-2</v>
      </c>
      <c r="AC1032" cm="1">
        <f t="array" ref="AC1032">IFERROR(AVERAGE(_xlfn._xlws.FILTER(U$2:U$1073,($C$2:$C$1073=$C1032)*($E$2:$E$1073=$E1032)*(ROW(U$2:U$1073)&lt;&gt;ROW(U1032))*(U$2:U$1073&lt;&gt;""))),"")</f>
        <v>6.1629059508812771</v>
      </c>
      <c r="AD1032" cm="1">
        <f t="array" ref="AD1032">IFERROR(AVERAGE(_xlfn._xlws.FILTER(V$2:V$1073,($C$2:$C$1073=$C1032)*($E$2:$E$1073=$E1032)*(ROW(V$2:V$1073)&lt;&gt;ROW(V1032))*(V$2:V$1073&lt;&gt;""))),"")</f>
        <v>0.79593707239542011</v>
      </c>
      <c r="AE1032">
        <f>IF('Дивиденды по годам'!M1032&lt;0,1,0)</f>
        <v>0</v>
      </c>
    </row>
    <row r="1033" spans="1:31" x14ac:dyDescent="0.2">
      <c r="A1033" s="7" t="s">
        <v>2306</v>
      </c>
      <c r="B1033" t="str">
        <f t="shared" si="176"/>
        <v>LSRG IV кв. 2018</v>
      </c>
      <c r="C1033">
        <v>2018</v>
      </c>
      <c r="D1033">
        <f>SUMIFS(Дивиденды!$C:$C,Дивиденды!$A:$A,A1033,Дивиденды!$I:$I,C1033)</f>
        <v>78</v>
      </c>
      <c r="E1033">
        <v>8</v>
      </c>
      <c r="F1033">
        <f t="shared" si="177"/>
        <v>78</v>
      </c>
      <c r="G1033">
        <f t="shared" si="178"/>
        <v>15.14</v>
      </c>
      <c r="H1033">
        <f t="shared" si="179"/>
        <v>1</v>
      </c>
      <c r="I1033">
        <f t="shared" si="180"/>
        <v>0.33333333333333331</v>
      </c>
      <c r="J1033">
        <f t="shared" si="181"/>
        <v>0</v>
      </c>
      <c r="K1033">
        <f t="shared" si="186"/>
        <v>0.33333333333333331</v>
      </c>
      <c r="L1033">
        <f t="shared" si="182"/>
        <v>0</v>
      </c>
      <c r="M1033">
        <f t="shared" si="183"/>
        <v>0.33333333333333331</v>
      </c>
      <c r="N1033">
        <f t="shared" si="184"/>
        <v>0</v>
      </c>
      <c r="O1033">
        <f t="shared" si="185"/>
        <v>0</v>
      </c>
      <c r="P1033">
        <f>IFERROR(LN('Дивиденды по годам'!I1033),"")</f>
        <v>26.282099607873459</v>
      </c>
      <c r="Q1033">
        <f>IFERROR('Дивиденды по годам'!G1033/'Дивиденды по годам'!I1033, "")</f>
        <v>9.1965937114673241E-2</v>
      </c>
      <c r="R1033">
        <f>IFERROR(IF(AND('Дивиденды по годам'!N1033&lt;&gt;"",'Дивиденды по годам'!U1033&lt;&gt;"",'Дивиденды по годам'!U1033&lt;&gt;0),'Дивиденды по годам'!N1033/'Дивиденды по годам'!U1033-1,""),"")</f>
        <v>5.6912212803442719E-2</v>
      </c>
      <c r="S1033">
        <f>IFERROR(IF(AND('Дивиденды по годам'!L1033&lt;&gt;"",'Дивиденды по годам'!I1033&lt;&gt;"",'Дивиденды по годам'!J1033&lt;&gt;"",'Дивиденды по годам'!K1033&lt;&gt;"",('Дивиденды по годам'!I1033-'Дивиденды по годам'!J1033-'Дивиденды по годам'!K1033)&lt;&gt;0),'Дивиденды по годам'!L1033/('Дивиденды по годам'!I1033-'Дивиденды по годам'!J1033-'Дивиденды по годам'!K1033),""),"")</f>
        <v>0.50651429113368818</v>
      </c>
      <c r="T1033">
        <f>IFERROR(IF(AND('Дивиденды по годам'!Q1033&lt;&gt;"",'Дивиденды по годам'!I1033&lt;&gt;"",'Дивиденды по годам'!V1033&lt;&gt;"",('Дивиденды по годам'!I1033+'Дивиденды по годам'!V1033)&lt;&gt;0),'Дивиденды по годам'!Q1033/(('Дивиденды по годам'!I1033+'Дивиденды по годам'!V1033)/2),""),"")</f>
        <v>6.3513555819923614E-2</v>
      </c>
      <c r="U1033">
        <f>IFERROR(IF(AND('Дивиденды по годам'!J1033&lt;&gt;"",'Дивиденды по годам'!K1033&lt;&gt;"",'Дивиденды по годам'!M1033&lt;&gt;"",'Дивиденды по годам'!M1033&lt;&gt;0),('Дивиденды по годам'!J1033+'Дивиденды по годам'!K1033)/'Дивиденды по годам'!M1033,""),"")</f>
        <v>2.0765947861961043</v>
      </c>
      <c r="V1033">
        <f>IFERROR(IF(AND('Дивиденды по годам'!J1033&lt;&gt;"",'Дивиденды по годам'!K1033&lt;&gt;"",'Дивиденды по годам'!M1033&lt;&gt;"",'Дивиденды по годам'!I1033&lt;&gt;0),('Дивиденды по годам'!J1033+'Дивиденды по годам'!K1033)/'Дивиденды по годам'!I1033,""),"")</f>
        <v>0.67496532059186187</v>
      </c>
      <c r="W1033">
        <f>IFERROR('Дивиденды по годам'!I1033,"")</f>
        <v>259520000000</v>
      </c>
      <c r="X1033" cm="1">
        <f t="array" ref="X1033">IFERROR(AVERAGE(_xlfn._xlws.FILTER(P$2:P$1073,($C$2:$C$1073=$C1033)*($E$2:$E$1073=$E1033)*(ROW(P$2:P$1073)&lt;&gt;ROW(P1033))*(P$2:P$1073&lt;&gt;""))),"")</f>
        <v>25.681950819797336</v>
      </c>
      <c r="Y1033" cm="1">
        <f t="array" ref="Y1033">IFERROR(AVERAGE(_xlfn._xlws.FILTER(Q$2:Q$1073,($C$2:$C$1073=$C1033)*($E$2:$E$1073=$E1033)*(ROW(Q$2:Q$1073)&lt;&gt;ROW(Q1033))*(Q$2:Q$1073&lt;&gt;""))),"")</f>
        <v>3.3837274784235434E-2</v>
      </c>
      <c r="Z1033" cm="1">
        <f t="array" ref="Z1033">IFERROR(AVERAGE(_xlfn._xlws.FILTER(R$2:R$1073,($C$2:$C$1073=$C1033)*($E$2:$E$1073=$E1033)*(ROW(R$2:R$1073)&lt;&gt;ROW(R1033))*(R$2:R$1073&lt;&gt;""))),"")</f>
        <v>0.11723922584556008</v>
      </c>
      <c r="AA1033" cm="1">
        <f t="array" ref="AA1033">IFERROR(AVERAGE(_xlfn._xlws.FILTER(S$2:S$1073,($C$2:$C$1073=$C1033)*($E$2:$E$1073=$E1033)*(ROW(S$2:S$1073)&lt;&gt;ROW(S1033))*(S$2:S$1073&lt;&gt;""))),"")</f>
        <v>0.6646179806757101</v>
      </c>
      <c r="AB1033" cm="1">
        <f t="array" ref="AB1033">IFERROR(AVERAGE(_xlfn._xlws.FILTER(T$2:T$1073,($C$2:$C$1073=$C1033)*($E$2:$E$1073=$E1033)*(ROW(T$2:T$1073)&lt;&gt;ROW(T1033))*(T$2:T$1073&lt;&gt;""))),"")</f>
        <v>3.8250302384598145E-2</v>
      </c>
      <c r="AC1033" cm="1">
        <f t="array" ref="AC1033">IFERROR(AVERAGE(_xlfn._xlws.FILTER(U$2:U$1073,($C$2:$C$1073=$C1033)*($E$2:$E$1073=$E1033)*(ROW(U$2:U$1073)&lt;&gt;ROW(U1033))*(U$2:U$1073&lt;&gt;""))),"")</f>
        <v>4.7929288751124162</v>
      </c>
      <c r="AD1033" cm="1">
        <f t="array" ref="AD1033">IFERROR(AVERAGE(_xlfn._xlws.FILTER(V$2:V$1073,($C$2:$C$1073=$C1033)*($E$2:$E$1073=$E1033)*(ROW(V$2:V$1073)&lt;&gt;ROW(V1033))*(V$2:V$1073&lt;&gt;""))),"")</f>
        <v>0.74871378841683622</v>
      </c>
      <c r="AE1033">
        <f>IF('Дивиденды по годам'!M1033&lt;0,1,0)</f>
        <v>0</v>
      </c>
    </row>
    <row r="1034" spans="1:31" x14ac:dyDescent="0.2">
      <c r="A1034" s="7" t="s">
        <v>2306</v>
      </c>
      <c r="B1034" t="str">
        <f t="shared" si="176"/>
        <v>LSRG IV кв. 2017</v>
      </c>
      <c r="C1034">
        <v>2017</v>
      </c>
      <c r="D1034">
        <f>SUMIFS(Дивиденды!$C:$C,Дивиденды!$A:$A,A1034,Дивиденды!$I:$I,C1034)</f>
        <v>78</v>
      </c>
      <c r="E1034">
        <v>8</v>
      </c>
      <c r="F1034">
        <f t="shared" si="177"/>
        <v>78</v>
      </c>
      <c r="G1034">
        <f t="shared" si="178"/>
        <v>0</v>
      </c>
      <c r="H1034">
        <f t="shared" si="179"/>
        <v>1</v>
      </c>
      <c r="I1034">
        <f t="shared" si="180"/>
        <v>0</v>
      </c>
      <c r="J1034">
        <f t="shared" si="181"/>
        <v>0</v>
      </c>
      <c r="K1034">
        <f t="shared" si="186"/>
        <v>0</v>
      </c>
      <c r="L1034">
        <f t="shared" si="182"/>
        <v>0</v>
      </c>
      <c r="M1034">
        <f t="shared" si="183"/>
        <v>0</v>
      </c>
      <c r="N1034">
        <f t="shared" si="184"/>
        <v>0</v>
      </c>
      <c r="O1034">
        <f t="shared" si="185"/>
        <v>0</v>
      </c>
      <c r="P1034">
        <f>IFERROR(LN('Дивиденды по годам'!I1034),"")</f>
        <v>26.250915564557758</v>
      </c>
      <c r="Q1034">
        <f>IFERROR('Дивиденды по годам'!G1034/'Дивиденды по годам'!I1034, "")</f>
        <v>0.11242208370436331</v>
      </c>
      <c r="R1034">
        <f>IFERROR(IF(AND('Дивиденды по годам'!N1034&lt;&gt;"",'Дивиденды по годам'!U1034&lt;&gt;"",'Дивиденды по годам'!U1034&lt;&gt;0),'Дивиденды по годам'!N1034/'Дивиденды по годам'!U1034-1,""),"")</f>
        <v>0.41216657149849101</v>
      </c>
      <c r="S1034">
        <f>IFERROR(IF(AND('Дивиденды по годам'!L1034&lt;&gt;"",'Дивиденды по годам'!I1034&lt;&gt;"",'Дивиденды по годам'!J1034&lt;&gt;"",'Дивиденды по годам'!K1034&lt;&gt;"",('Дивиденды по годам'!I1034-'Дивиденды по годам'!J1034-'Дивиденды по годам'!K1034)&lt;&gt;0),'Дивиденды по годам'!L1034/('Дивиденды по годам'!I1034-'Дивиденды по годам'!J1034-'Дивиденды по годам'!K1034),""),"")</f>
        <v>0.44487636602350394</v>
      </c>
      <c r="T1034">
        <f>IFERROR(IF(AND('Дивиденды по годам'!Q1034&lt;&gt;"",'Дивиденды по годам'!I1034&lt;&gt;"",'Дивиденды по годам'!V1034&lt;&gt;"",('Дивиденды по годам'!I1034+'Дивиденды по годам'!V1034)&lt;&gt;0),'Дивиденды по годам'!Q1034/(('Дивиденды по годам'!I1034+'Дивиденды по годам'!V1034)/2),""),"")</f>
        <v>6.3922250952530554E-2</v>
      </c>
      <c r="U1034">
        <f>IFERROR(IF(AND('Дивиденды по годам'!J1034&lt;&gt;"",'Дивиденды по годам'!K1034&lt;&gt;"",'Дивиденды по годам'!M1034&lt;&gt;"",'Дивиденды по годам'!M1034&lt;&gt;0),('Дивиденды по годам'!J1034+'Дивиденды по годам'!K1034)/'Дивиденды по годам'!M1034,""),"")</f>
        <v>2.2379358725173448</v>
      </c>
      <c r="V1034">
        <f>IFERROR(IF(AND('Дивиденды по годам'!J1034&lt;&gt;"",'Дивиденды по годам'!K1034&lt;&gt;"",'Дивиденды по годам'!M1034&lt;&gt;"",'Дивиденды по годам'!I1034&lt;&gt;0),('Дивиденды по годам'!J1034+'Дивиденды по годам'!K1034)/'Дивиденды по годам'!I1034,""),"")</f>
        <v>0.69116127083068313</v>
      </c>
      <c r="W1034">
        <f>IFERROR('Дивиденды по годам'!I1034,"")</f>
        <v>251552000000</v>
      </c>
      <c r="X1034" cm="1">
        <f t="array" ref="X1034">IFERROR(AVERAGE(_xlfn._xlws.FILTER(P$2:P$1073,($C$2:$C$1073=$C1034)*($E$2:$E$1073=$E1034)*(ROW(P$2:P$1073)&lt;&gt;ROW(P1034))*(P$2:P$1073&lt;&gt;""))),"")</f>
        <v>25.632630608061685</v>
      </c>
      <c r="Y1034" cm="1">
        <f t="array" ref="Y1034">IFERROR(AVERAGE(_xlfn._xlws.FILTER(Q$2:Q$1073,($C$2:$C$1073=$C1034)*($E$2:$E$1073=$E1034)*(ROW(Q$2:Q$1073)&lt;&gt;ROW(Q1034))*(Q$2:Q$1073&lt;&gt;""))),"")</f>
        <v>3.0213793254911327E-2</v>
      </c>
      <c r="Z1034" cm="1">
        <f t="array" ref="Z1034">IFERROR(AVERAGE(_xlfn._xlws.FILTER(R$2:R$1073,($C$2:$C$1073=$C1034)*($E$2:$E$1073=$E1034)*(ROW(R$2:R$1073)&lt;&gt;ROW(R1034))*(R$2:R$1073&lt;&gt;""))),"")</f>
        <v>1.3015525165150768</v>
      </c>
      <c r="AA1034" cm="1">
        <f t="array" ref="AA1034">IFERROR(AVERAGE(_xlfn._xlws.FILTER(S$2:S$1073,($C$2:$C$1073=$C1034)*($E$2:$E$1073=$E1034)*(ROW(S$2:S$1073)&lt;&gt;ROW(S1034))*(S$2:S$1073&lt;&gt;""))),"")</f>
        <v>0.59709603375538844</v>
      </c>
      <c r="AB1034" cm="1">
        <f t="array" ref="AB1034">IFERROR(AVERAGE(_xlfn._xlws.FILTER(T$2:T$1073,($C$2:$C$1073=$C1034)*($E$2:$E$1073=$E1034)*(ROW(T$2:T$1073)&lt;&gt;ROW(T1034))*(T$2:T$1073&lt;&gt;""))),"")</f>
        <v>4.4203091207983228E-2</v>
      </c>
      <c r="AC1034" cm="1">
        <f t="array" ref="AC1034">IFERROR(AVERAGE(_xlfn._xlws.FILTER(U$2:U$1073,($C$2:$C$1073=$C1034)*($E$2:$E$1073=$E1034)*(ROW(U$2:U$1073)&lt;&gt;ROW(U1034))*(U$2:U$1073&lt;&gt;""))),"")</f>
        <v>6.1947583243587259</v>
      </c>
      <c r="AD1034" cm="1">
        <f t="array" ref="AD1034">IFERROR(AVERAGE(_xlfn._xlws.FILTER(V$2:V$1073,($C$2:$C$1073=$C1034)*($E$2:$E$1073=$E1034)*(ROW(V$2:V$1073)&lt;&gt;ROW(V1034))*(V$2:V$1073&lt;&gt;""))),"")</f>
        <v>0.76898000538101507</v>
      </c>
      <c r="AE1034">
        <f>IF('Дивиденды по годам'!M1034&lt;0,1,0)</f>
        <v>0</v>
      </c>
    </row>
    <row r="1035" spans="1:31" x14ac:dyDescent="0.2">
      <c r="A1035" s="7" t="s">
        <v>2306</v>
      </c>
      <c r="B1035" t="str">
        <f t="shared" si="176"/>
        <v>LSRG IV кв. 2016</v>
      </c>
      <c r="C1035">
        <v>2016</v>
      </c>
      <c r="D1035">
        <f>SUMIFS(Дивиденды!$C:$C,Дивиденды!$A:$A,A1035,Дивиденды!$I:$I,C1035)</f>
        <v>78</v>
      </c>
      <c r="E1035">
        <v>8</v>
      </c>
      <c r="F1035">
        <f t="shared" si="177"/>
        <v>78</v>
      </c>
      <c r="G1035">
        <f t="shared" si="178"/>
        <v>0</v>
      </c>
      <c r="H1035">
        <f t="shared" si="179"/>
        <v>1</v>
      </c>
      <c r="I1035">
        <f t="shared" si="180"/>
        <v>0</v>
      </c>
      <c r="J1035">
        <f t="shared" si="181"/>
        <v>0</v>
      </c>
      <c r="K1035">
        <f t="shared" si="186"/>
        <v>0</v>
      </c>
      <c r="L1035">
        <f t="shared" si="182"/>
        <v>0</v>
      </c>
      <c r="M1035">
        <f t="shared" si="183"/>
        <v>0</v>
      </c>
      <c r="N1035">
        <f t="shared" si="184"/>
        <v>0</v>
      </c>
      <c r="O1035">
        <f t="shared" si="185"/>
        <v>0</v>
      </c>
      <c r="P1035">
        <f>IFERROR(LN('Дивиденды по годам'!I1035),"")</f>
        <v>26.224605676812434</v>
      </c>
      <c r="Q1035">
        <f>IFERROR('Дивиденды по годам'!G1035/'Дивиденды по годам'!I1035, "")</f>
        <v>0.12339400865235491</v>
      </c>
      <c r="R1035">
        <f>IFERROR(IF(AND('Дивиденды по годам'!N1035&lt;&gt;"",'Дивиденды по годам'!U1035&lt;&gt;"",'Дивиденды по годам'!U1035&lt;&gt;0),'Дивиденды по годам'!N1035/'Дивиденды по годам'!U1035-1,""),"")</f>
        <v>0.12946681512320501</v>
      </c>
      <c r="S1035">
        <f>IFERROR(IF(AND('Дивиденды по годам'!L1035&lt;&gt;"",'Дивиденды по годам'!I1035&lt;&gt;"",'Дивиденды по годам'!J1035&lt;&gt;"",'Дивиденды по годам'!K1035&lt;&gt;"",('Дивиденды по годам'!I1035-'Дивиденды по годам'!J1035-'Дивиденды по годам'!K1035)&lt;&gt;0),'Дивиденды по годам'!L1035/('Дивиденды по годам'!I1035-'Дивиденды по годам'!J1035-'Дивиденды по годам'!K1035),""),"")</f>
        <v>0.38932791890036372</v>
      </c>
      <c r="T1035">
        <f>IFERROR(IF(AND('Дивиденды по годам'!Q1035&lt;&gt;"",'Дивиденды по годам'!I1035&lt;&gt;"",'Дивиденды по годам'!V1035&lt;&gt;"",('Дивиденды по годам'!I1035+'Дивиденды по годам'!V1035)&lt;&gt;0),'Дивиденды по годам'!Q1035/(('Дивиденды по годам'!I1035+'Дивиденды по годам'!V1035)/2),""),"")</f>
        <v>4.077866257615545E-2</v>
      </c>
      <c r="U1035">
        <f>IFERROR(IF(AND('Дивиденды по годам'!J1035&lt;&gt;"",'Дивиденды по годам'!K1035&lt;&gt;"",'Дивиденды по годам'!M1035&lt;&gt;"",'Дивиденды по годам'!M1035&lt;&gt;0),('Дивиденды по годам'!J1035+'Дивиденды по годам'!K1035)/'Дивиденды по годам'!M1035,""),"")</f>
        <v>2.5790765275566399</v>
      </c>
      <c r="V1035">
        <f>IFERROR(IF(AND('Дивиденды по годам'!J1035&lt;&gt;"",'Дивиденды по годам'!K1035&lt;&gt;"",'Дивиденды по годам'!M1035&lt;&gt;"",'Дивиденды по годам'!I1035&lt;&gt;0),('Дивиденды по годам'!J1035+'Дивиденды по годам'!K1035)/'Дивиденды по годам'!I1035,""),"")</f>
        <v>0.72059831850461187</v>
      </c>
      <c r="W1035">
        <f>IFERROR('Дивиденды по годам'!I1035,"")</f>
        <v>245020000000</v>
      </c>
      <c r="X1035" cm="1">
        <f t="array" ref="X1035">IFERROR(AVERAGE(_xlfn._xlws.FILTER(P$2:P$1073,($C$2:$C$1073=$C1035)*($E$2:$E$1073=$E1035)*(ROW(P$2:P$1073)&lt;&gt;ROW(P1035))*(P$2:P$1073&lt;&gt;""))),"")</f>
        <v>25.437625580373911</v>
      </c>
      <c r="Y1035" cm="1">
        <f t="array" ref="Y1035">IFERROR(AVERAGE(_xlfn._xlws.FILTER(Q$2:Q$1073,($C$2:$C$1073=$C1035)*($E$2:$E$1073=$E1035)*(ROW(Q$2:Q$1073)&lt;&gt;ROW(Q1035))*(Q$2:Q$1073&lt;&gt;""))),"")</f>
        <v>3.434427954671488E-2</v>
      </c>
      <c r="Z1035" cm="1">
        <f t="array" ref="Z1035">IFERROR(AVERAGE(_xlfn._xlws.FILTER(R$2:R$1073,($C$2:$C$1073=$C1035)*($E$2:$E$1073=$E1035)*(ROW(R$2:R$1073)&lt;&gt;ROW(R1035))*(R$2:R$1073&lt;&gt;""))),"")</f>
        <v>0.17519361652194321</v>
      </c>
      <c r="AA1035" cm="1">
        <f t="array" ref="AA1035">IFERROR(AVERAGE(_xlfn._xlws.FILTER(S$2:S$1073,($C$2:$C$1073=$C1035)*($E$2:$E$1073=$E1035)*(ROW(S$2:S$1073)&lt;&gt;ROW(S1035))*(S$2:S$1073&lt;&gt;""))),"")</f>
        <v>0.43072812857629883</v>
      </c>
      <c r="AB1035" cm="1">
        <f t="array" ref="AB1035">IFERROR(AVERAGE(_xlfn._xlws.FILTER(T$2:T$1073,($C$2:$C$1073=$C1035)*($E$2:$E$1073=$E1035)*(ROW(T$2:T$1073)&lt;&gt;ROW(T1035))*(T$2:T$1073&lt;&gt;""))),"")</f>
        <v>8.8175290668240744E-2</v>
      </c>
      <c r="AC1035" cm="1">
        <f t="array" ref="AC1035">IFERROR(AVERAGE(_xlfn._xlws.FILTER(U$2:U$1073,($C$2:$C$1073=$C1035)*($E$2:$E$1073=$E1035)*(ROW(U$2:U$1073)&lt;&gt;ROW(U1035))*(U$2:U$1073&lt;&gt;""))),"")</f>
        <v>8.537820148024684</v>
      </c>
      <c r="AD1035" cm="1">
        <f t="array" ref="AD1035">IFERROR(AVERAGE(_xlfn._xlws.FILTER(V$2:V$1073,($C$2:$C$1073=$C1035)*($E$2:$E$1073=$E1035)*(ROW(V$2:V$1073)&lt;&gt;ROW(V1035))*(V$2:V$1073&lt;&gt;""))),"")</f>
        <v>0.88300758884571273</v>
      </c>
      <c r="AE1035">
        <f>IF('Дивиденды по годам'!M1035&lt;0,1,0)</f>
        <v>0</v>
      </c>
    </row>
    <row r="1036" spans="1:31" x14ac:dyDescent="0.2">
      <c r="A1036" s="7" t="s">
        <v>2306</v>
      </c>
      <c r="B1036" t="str">
        <f t="shared" si="176"/>
        <v>LSRG IV кв. 2015</v>
      </c>
      <c r="C1036">
        <v>2015</v>
      </c>
      <c r="D1036">
        <f>SUMIFS(Дивиденды!$C:$C,Дивиденды!$A:$A,A1036,Дивиденды!$I:$I,C1036)</f>
        <v>78</v>
      </c>
      <c r="E1036">
        <v>8</v>
      </c>
      <c r="F1036">
        <f t="shared" si="177"/>
        <v>78</v>
      </c>
      <c r="G1036">
        <f t="shared" si="178"/>
        <v>0</v>
      </c>
      <c r="H1036">
        <f t="shared" si="179"/>
        <v>1</v>
      </c>
      <c r="I1036">
        <f t="shared" si="180"/>
        <v>0</v>
      </c>
      <c r="J1036">
        <f t="shared" si="181"/>
        <v>0</v>
      </c>
      <c r="K1036">
        <f t="shared" si="186"/>
        <v>-0.33333333333333331</v>
      </c>
      <c r="L1036">
        <f t="shared" si="182"/>
        <v>0</v>
      </c>
      <c r="M1036">
        <f t="shared" si="183"/>
        <v>0</v>
      </c>
      <c r="N1036">
        <f t="shared" si="184"/>
        <v>0</v>
      </c>
      <c r="O1036">
        <f t="shared" si="185"/>
        <v>0.33333333333333331</v>
      </c>
      <c r="P1036">
        <f>IFERROR(LN('Дивиденды по годам'!I1036),"")</f>
        <v>26.043255126685558</v>
      </c>
      <c r="Q1036">
        <f>IFERROR('Дивиденды по годам'!G1036/'Дивиденды по годам'!I1036, "")</f>
        <v>0.14199169002871503</v>
      </c>
      <c r="R1036">
        <f>IFERROR(IF(AND('Дивиденды по годам'!N1036&lt;&gt;"",'Дивиденды по годам'!U1036&lt;&gt;"",'Дивиденды по годам'!U1036&lt;&gt;0),'Дивиденды по годам'!N1036/'Дивиденды по годам'!U1036-1,""),"")</f>
        <v>-5.9740061139064382E-2</v>
      </c>
      <c r="S1036">
        <f>IFERROR(IF(AND('Дивиденды по годам'!L1036&lt;&gt;"",'Дивиденды по годам'!I1036&lt;&gt;"",'Дивиденды по годам'!J1036&lt;&gt;"",'Дивиденды по годам'!K1036&lt;&gt;"",('Дивиденды по годам'!I1036-'Дивиденды по годам'!J1036-'Дивиденды по годам'!K1036)&lt;&gt;0),'Дивиденды по годам'!L1036/('Дивиденды по годам'!I1036-'Дивиденды по годам'!J1036-'Дивиденды по годам'!K1036),""),"")</f>
        <v>0.37543060012685225</v>
      </c>
      <c r="T1036">
        <f>IFERROR(IF(AND('Дивиденды по годам'!Q1036&lt;&gt;"",'Дивиденды по годам'!I1036&lt;&gt;"",'Дивиденды по годам'!V1036&lt;&gt;"",('Дивиденды по годам'!I1036+'Дивиденды по годам'!V1036)&lt;&gt;0),'Дивиденды по годам'!Q1036/(('Дивиденды по годам'!I1036+'Дивиденды по годам'!V1036)/2),""),"")</f>
        <v>5.2782105216432063E-2</v>
      </c>
      <c r="U1036">
        <f>IFERROR(IF(AND('Дивиденды по годам'!J1036&lt;&gt;"",'Дивиденды по годам'!K1036&lt;&gt;"",'Дивиденды по годам'!M1036&lt;&gt;"",'Дивиденды по годам'!M1036&lt;&gt;0),('Дивиденды по годам'!J1036+'Дивиденды по годам'!K1036)/'Дивиденды по годам'!M1036,""),"")</f>
        <v>2.0058757928523696</v>
      </c>
      <c r="V1036">
        <f>IFERROR(IF(AND('Дивиденды по годам'!J1036&lt;&gt;"",'Дивиденды по годам'!K1036&lt;&gt;"",'Дивиденды по годам'!M1036&lt;&gt;"",'Дивиденды по годам'!I1036&lt;&gt;0),('Дивиденды по годам'!J1036+'Дивиденды по годам'!K1036)/'Дивиденды по годам'!I1036,""),"")</f>
        <v>0.66731825633717601</v>
      </c>
      <c r="W1036">
        <f>IFERROR('Дивиденды по годам'!I1036,"")</f>
        <v>204381693000</v>
      </c>
      <c r="X1036" cm="1">
        <f t="array" ref="X1036">IFERROR(AVERAGE(_xlfn._xlws.FILTER(P$2:P$1073,($C$2:$C$1073=$C1036)*($E$2:$E$1073=$E1036)*(ROW(P$2:P$1073)&lt;&gt;ROW(P1036))*(P$2:P$1073&lt;&gt;""))),"")</f>
        <v>25.393333854512345</v>
      </c>
      <c r="Y1036" cm="1">
        <f t="array" ref="Y1036">IFERROR(AVERAGE(_xlfn._xlws.FILTER(Q$2:Q$1073,($C$2:$C$1073=$C1036)*($E$2:$E$1073=$E1036)*(ROW(Q$2:Q$1073)&lt;&gt;ROW(Q1036))*(Q$2:Q$1073&lt;&gt;""))),"")</f>
        <v>7.2648891804507759E-2</v>
      </c>
      <c r="Z1036" cm="1">
        <f t="array" ref="Z1036">IFERROR(AVERAGE(_xlfn._xlws.FILTER(R$2:R$1073,($C$2:$C$1073=$C1036)*($E$2:$E$1073=$E1036)*(ROW(R$2:R$1073)&lt;&gt;ROW(R1036))*(R$2:R$1073&lt;&gt;""))),"")</f>
        <v>-0.16532810969637612</v>
      </c>
      <c r="AA1036" cm="1">
        <f t="array" ref="AA1036">IFERROR(AVERAGE(_xlfn._xlws.FILTER(S$2:S$1073,($C$2:$C$1073=$C1036)*($E$2:$E$1073=$E1036)*(ROW(S$2:S$1073)&lt;&gt;ROW(S1036))*(S$2:S$1073&lt;&gt;""))),"")</f>
        <v>-2.6445170549974042E-2</v>
      </c>
      <c r="AB1036" cm="1">
        <f t="array" ref="AB1036">IFERROR(AVERAGE(_xlfn._xlws.FILTER(T$2:T$1073,($C$2:$C$1073=$C1036)*($E$2:$E$1073=$E1036)*(ROW(T$2:T$1073)&lt;&gt;ROW(T1036))*(T$2:T$1073&lt;&gt;""))),"")</f>
        <v>0.11243635006604372</v>
      </c>
      <c r="AC1036" cm="1">
        <f t="array" ref="AC1036">IFERROR(AVERAGE(_xlfn._xlws.FILTER(U$2:U$1073,($C$2:$C$1073=$C1036)*($E$2:$E$1073=$E1036)*(ROW(U$2:U$1073)&lt;&gt;ROW(U1036))*(U$2:U$1073&lt;&gt;""))),"")</f>
        <v>2.258466424405289</v>
      </c>
      <c r="AD1036" cm="1">
        <f t="array" ref="AD1036">IFERROR(AVERAGE(_xlfn._xlws.FILTER(V$2:V$1073,($C$2:$C$1073=$C1036)*($E$2:$E$1073=$E1036)*(ROW(V$2:V$1073)&lt;&gt;ROW(V1036))*(V$2:V$1073&lt;&gt;""))),"")</f>
        <v>0.69310716461271726</v>
      </c>
      <c r="AE1036">
        <f>IF('Дивиденды по годам'!M1036&lt;0,1,0)</f>
        <v>0</v>
      </c>
    </row>
    <row r="1037" spans="1:31" x14ac:dyDescent="0.2">
      <c r="A1037" s="7" t="s">
        <v>2306</v>
      </c>
      <c r="B1037" t="str">
        <f t="shared" si="176"/>
        <v>LSRG IV кв. 2014</v>
      </c>
      <c r="C1037">
        <v>2014</v>
      </c>
      <c r="D1037">
        <f>SUMIFS(Дивиденды!$C:$C,Дивиденды!$A:$A,A1037,Дивиденды!$I:$I,C1037)</f>
        <v>78</v>
      </c>
      <c r="E1037">
        <v>8</v>
      </c>
      <c r="F1037">
        <f t="shared" si="177"/>
        <v>78</v>
      </c>
      <c r="G1037">
        <f t="shared" si="178"/>
        <v>1.3866666666666667</v>
      </c>
      <c r="H1037">
        <f t="shared" si="179"/>
        <v>1</v>
      </c>
      <c r="I1037">
        <f t="shared" si="180"/>
        <v>0.33333333333333331</v>
      </c>
      <c r="J1037">
        <f t="shared" si="181"/>
        <v>0.95</v>
      </c>
      <c r="K1037">
        <f t="shared" si="186"/>
        <v>0.33333333333333331</v>
      </c>
      <c r="L1037">
        <f t="shared" si="182"/>
        <v>1</v>
      </c>
      <c r="M1037">
        <f t="shared" si="183"/>
        <v>0.33333333333333331</v>
      </c>
      <c r="N1037">
        <f t="shared" si="184"/>
        <v>0</v>
      </c>
      <c r="O1037">
        <f t="shared" si="185"/>
        <v>0</v>
      </c>
      <c r="P1037">
        <f>IFERROR(LN('Дивиденды по годам'!I1037),"")</f>
        <v>26.016578948068734</v>
      </c>
      <c r="Q1037">
        <f>IFERROR('Дивиденды по годам'!G1037/'Дивиденды по годам'!I1037, "")</f>
        <v>0.14115663433522604</v>
      </c>
      <c r="R1037">
        <f>IFERROR(IF(AND('Дивиденды по годам'!N1037&lt;&gt;"",'Дивиденды по годам'!U1037&lt;&gt;"",'Дивиденды по годам'!U1037&lt;&gt;0),'Дивиденды по годам'!N1037/'Дивиденды по годам'!U1037-1,""),"")</f>
        <v>0.41384816821299331</v>
      </c>
      <c r="S1037">
        <f>IFERROR(IF(AND('Дивиденды по годам'!L1037&lt;&gt;"",'Дивиденды по годам'!I1037&lt;&gt;"",'Дивиденды по годам'!J1037&lt;&gt;"",'Дивиденды по годам'!K1037&lt;&gt;"",('Дивиденды по годам'!I1037-'Дивиденды по годам'!J1037-'Дивиденды по годам'!K1037)&lt;&gt;0),'Дивиденды по годам'!L1037/('Дивиденды по годам'!I1037-'Дивиденды по годам'!J1037-'Дивиденды по годам'!K1037),""),"")</f>
        <v>0.34809252409946667</v>
      </c>
      <c r="T1037">
        <f>IFERROR(IF(AND('Дивиденды по годам'!Q1037&lt;&gt;"",'Дивиденды по годам'!I1037&lt;&gt;"",'Дивиденды по годам'!V1037&lt;&gt;"",('Дивиденды по годам'!I1037+'Дивиденды по годам'!V1037)&lt;&gt;0),'Дивиденды по годам'!Q1037/(('Дивиденды по годам'!I1037+'Дивиденды по годам'!V1037)/2),""),"")</f>
        <v>5.1928037914041304E-2</v>
      </c>
      <c r="U1037">
        <f>IFERROR(IF(AND('Дивиденды по годам'!J1037&lt;&gt;"",'Дивиденды по годам'!K1037&lt;&gt;"",'Дивиденды по годам'!M1037&lt;&gt;"",'Дивиденды по годам'!M1037&lt;&gt;0),('Дивиденды по годам'!J1037+'Дивиденды по годам'!K1037)/'Дивиденды по годам'!M1037,""),"")</f>
        <v>2.0230589429781221</v>
      </c>
      <c r="V1037">
        <f>IFERROR(IF(AND('Дивиденды по годам'!J1037&lt;&gt;"",'Дивиденды по годам'!K1037&lt;&gt;"",'Дивиденды по годам'!M1037&lt;&gt;"",'Дивиденды по годам'!I1037&lt;&gt;0),('Дивиденды по годам'!J1037+'Дивиденды по годам'!K1037)/'Дивиденды по годам'!I1037,""),"")</f>
        <v>0.66920922851247333</v>
      </c>
      <c r="W1037">
        <f>IFERROR('Дивиденды по годам'!I1037,"")</f>
        <v>199001649000</v>
      </c>
      <c r="X1037" cm="1">
        <f t="array" ref="X1037">IFERROR(AVERAGE(_xlfn._xlws.FILTER(P$2:P$1073,($C$2:$C$1073=$C1037)*($E$2:$E$1073=$E1037)*(ROW(P$2:P$1073)&lt;&gt;ROW(P1037))*(P$2:P$1073&lt;&gt;""))),"")</f>
        <v>25.297440589231982</v>
      </c>
      <c r="Y1037" cm="1">
        <f t="array" ref="Y1037">IFERROR(AVERAGE(_xlfn._xlws.FILTER(Q$2:Q$1073,($C$2:$C$1073=$C1037)*($E$2:$E$1073=$E1037)*(ROW(Q$2:Q$1073)&lt;&gt;ROW(Q1037))*(Q$2:Q$1073&lt;&gt;""))),"")</f>
        <v>8.8645459421545572E-2</v>
      </c>
      <c r="Z1037" cm="1">
        <f t="array" ref="Z1037">IFERROR(AVERAGE(_xlfn._xlws.FILTER(R$2:R$1073,($C$2:$C$1073=$C1037)*($E$2:$E$1073=$E1037)*(ROW(R$2:R$1073)&lt;&gt;ROW(R1037))*(R$2:R$1073&lt;&gt;""))),"")</f>
        <v>-2.0513886446125063E-2</v>
      </c>
      <c r="AA1037" cm="1">
        <f t="array" ref="AA1037">IFERROR(AVERAGE(_xlfn._xlws.FILTER(S$2:S$1073,($C$2:$C$1073=$C1037)*($E$2:$E$1073=$E1037)*(ROW(S$2:S$1073)&lt;&gt;ROW(S1037))*(S$2:S$1073&lt;&gt;""))),"")</f>
        <v>-0.56575798808239108</v>
      </c>
      <c r="AB1037" cm="1">
        <f t="array" ref="AB1037">IFERROR(AVERAGE(_xlfn._xlws.FILTER(T$2:T$1073,($C$2:$C$1073=$C1037)*($E$2:$E$1073=$E1037)*(ROW(T$2:T$1073)&lt;&gt;ROW(T1037))*(T$2:T$1073&lt;&gt;""))),"")</f>
        <v>3.5409633997730873E-2</v>
      </c>
      <c r="AC1037" cm="1">
        <f t="array" ref="AC1037">IFERROR(AVERAGE(_xlfn._xlws.FILTER(U$2:U$1073,($C$2:$C$1073=$C1037)*($E$2:$E$1073=$E1037)*(ROW(U$2:U$1073)&lt;&gt;ROW(U1037))*(U$2:U$1073&lt;&gt;""))),"")</f>
        <v>3.5487730493126262</v>
      </c>
      <c r="AD1037" cm="1">
        <f t="array" ref="AD1037">IFERROR(AVERAGE(_xlfn._xlws.FILTER(V$2:V$1073,($C$2:$C$1073=$C1037)*($E$2:$E$1073=$E1037)*(ROW(V$2:V$1073)&lt;&gt;ROW(V1037))*(V$2:V$1073&lt;&gt;""))),"")</f>
        <v>0.78016049841151958</v>
      </c>
      <c r="AE1037">
        <f>IF('Дивиденды по годам'!M1037&lt;0,1,0)</f>
        <v>0</v>
      </c>
    </row>
    <row r="1038" spans="1:31" x14ac:dyDescent="0.2">
      <c r="A1038" s="7" t="s">
        <v>2306</v>
      </c>
      <c r="B1038" t="str">
        <f t="shared" si="176"/>
        <v>LSRG IV кв. 2013</v>
      </c>
      <c r="C1038">
        <v>2013</v>
      </c>
      <c r="D1038">
        <f>SUMIFS(Дивиденды!$C:$C,Дивиденды!$A:$A,A1038,Дивиденды!$I:$I,C1038)</f>
        <v>40</v>
      </c>
      <c r="E1038">
        <v>8</v>
      </c>
      <c r="F1038">
        <f t="shared" si="177"/>
        <v>40</v>
      </c>
      <c r="G1038">
        <f t="shared" si="178"/>
        <v>0</v>
      </c>
      <c r="H1038">
        <f t="shared" si="179"/>
        <v>1</v>
      </c>
      <c r="I1038">
        <f t="shared" si="180"/>
        <v>0</v>
      </c>
      <c r="J1038">
        <f t="shared" si="181"/>
        <v>1</v>
      </c>
      <c r="K1038">
        <f t="shared" si="186"/>
        <v>0</v>
      </c>
      <c r="L1038">
        <f t="shared" si="182"/>
        <v>1</v>
      </c>
      <c r="M1038">
        <f t="shared" si="183"/>
        <v>0</v>
      </c>
      <c r="N1038">
        <f t="shared" si="184"/>
        <v>0</v>
      </c>
      <c r="O1038">
        <f t="shared" si="185"/>
        <v>0</v>
      </c>
      <c r="P1038">
        <f>IFERROR(LN('Дивиденды по годам'!I1038),"")</f>
        <v>25.769362170085564</v>
      </c>
      <c r="Q1038">
        <f>IFERROR('Дивиденды по годам'!G1038/'Дивиденды по годам'!I1038, "")</f>
        <v>0.27523588003885763</v>
      </c>
      <c r="R1038">
        <f>IFERROR(IF(AND('Дивиденды по годам'!N1038&lt;&gt;"",'Дивиденды по годам'!U1038&lt;&gt;"",'Дивиденды по годам'!U1038&lt;&gt;0),'Дивиденды по годам'!N1038/'Дивиденды по годам'!U1038-1,""),"")</f>
        <v>6.8626056301193339E-2</v>
      </c>
      <c r="S1038" t="str">
        <f>IFERROR(IF(AND('Дивиденды по годам'!L1038&lt;&gt;"",'Дивиденды по годам'!I1038&lt;&gt;"",'Дивиденды по годам'!J1038&lt;&gt;"",'Дивиденды по годам'!K1038&lt;&gt;"",('Дивиденды по годам'!I1038-'Дивиденды по годам'!J1038-'Дивиденды по годам'!K1038)&lt;&gt;0),'Дивиденды по годам'!L1038/('Дивиденды по годам'!I1038-'Дивиденды по годам'!J1038-'Дивиденды по годам'!K1038),""),"")</f>
        <v/>
      </c>
      <c r="T1038">
        <f>IFERROR(IF(AND('Дивиденды по годам'!Q1038&lt;&gt;"",'Дивиденды по годам'!I1038&lt;&gt;"",'Дивиденды по годам'!V1038&lt;&gt;"",('Дивиденды по годам'!I1038+'Дивиденды по годам'!V1038)&lt;&gt;0),'Дивиденды по годам'!Q1038/(('Дивиденды по годам'!I1038+'Дивиденды по годам'!V1038)/2),""),"")</f>
        <v>3.5700666673369887E-2</v>
      </c>
      <c r="U1038">
        <f>IFERROR(IF(AND('Дивиденды по годам'!J1038&lt;&gt;"",'Дивиденды по годам'!K1038&lt;&gt;"",'Дивиденды по годам'!M1038&lt;&gt;"",'Дивиденды по годам'!M1038&lt;&gt;0),('Дивиденды по годам'!J1038+'Дивиденды по годам'!K1038)/'Дивиденды по годам'!M1038,""),"")</f>
        <v>1.6320542146840915</v>
      </c>
      <c r="V1038">
        <f>IFERROR(IF(AND('Дивиденды по годам'!J1038&lt;&gt;"",'Дивиденды по годам'!K1038&lt;&gt;"",'Дивиденды по годам'!M1038&lt;&gt;"",'Дивиденды по годам'!I1038&lt;&gt;0),('Дивиденды по годам'!J1038+'Дивиденды по годам'!K1038)/'Дивиденды по годам'!I1038,""),"")</f>
        <v>0.62006861620818721</v>
      </c>
      <c r="W1038">
        <f>IFERROR('Дивиденды по годам'!I1038,"")</f>
        <v>155414592000</v>
      </c>
      <c r="X1038" cm="1">
        <f t="array" ref="X1038">IFERROR(AVERAGE(_xlfn._xlws.FILTER(P$2:P$1073,($C$2:$C$1073=$C1038)*($E$2:$E$1073=$E1038)*(ROW(P$2:P$1073)&lt;&gt;ROW(P1038))*(P$2:P$1073&lt;&gt;""))),"")</f>
        <v>25.487412184233467</v>
      </c>
      <c r="Y1038" cm="1">
        <f t="array" ref="Y1038">IFERROR(AVERAGE(_xlfn._xlws.FILTER(Q$2:Q$1073,($C$2:$C$1073=$C1038)*($E$2:$E$1073=$E1038)*(ROW(Q$2:Q$1073)&lt;&gt;ROW(Q1038))*(Q$2:Q$1073&lt;&gt;""))),"")</f>
        <v>7.718948059813531E-2</v>
      </c>
      <c r="Z1038" cm="1">
        <f t="array" ref="Z1038">IFERROR(AVERAGE(_xlfn._xlws.FILTER(R$2:R$1073,($C$2:$C$1073=$C1038)*($E$2:$E$1073=$E1038)*(ROW(R$2:R$1073)&lt;&gt;ROW(R1038))*(R$2:R$1073&lt;&gt;""))),"")</f>
        <v>-5.4227343525533378E-2</v>
      </c>
      <c r="AA1038" t="str" cm="1">
        <f t="array" ref="AA1038">IFERROR(AVERAGE(_xlfn._xlws.FILTER(S$2:S$1073,($C$2:$C$1073=$C1038)*($E$2:$E$1073=$E1038)*(ROW(S$2:S$1073)&lt;&gt;ROW(S1038))*(S$2:S$1073&lt;&gt;""))),"")</f>
        <v/>
      </c>
      <c r="AB1038" cm="1">
        <f t="array" ref="AB1038">IFERROR(AVERAGE(_xlfn._xlws.FILTER(T$2:T$1073,($C$2:$C$1073=$C1038)*($E$2:$E$1073=$E1038)*(ROW(T$2:T$1073)&lt;&gt;ROW(T1038))*(T$2:T$1073&lt;&gt;""))),"")</f>
        <v>6.1116308076083564E-2</v>
      </c>
      <c r="AC1038" cm="1">
        <f t="array" ref="AC1038">IFERROR(AVERAGE(_xlfn._xlws.FILTER(U$2:U$1073,($C$2:$C$1073=$C1038)*($E$2:$E$1073=$E1038)*(ROW(U$2:U$1073)&lt;&gt;ROW(U1038))*(U$2:U$1073&lt;&gt;""))),"")</f>
        <v>4.6844784948843525</v>
      </c>
      <c r="AD1038" cm="1">
        <f t="array" ref="AD1038">IFERROR(AVERAGE(_xlfn._xlws.FILTER(V$2:V$1073,($C$2:$C$1073=$C1038)*($E$2:$E$1073=$E1038)*(ROW(V$2:V$1073)&lt;&gt;ROW(V1038))*(V$2:V$1073&lt;&gt;""))),"")</f>
        <v>0.82408236729192785</v>
      </c>
      <c r="AE1038">
        <f>IF('Дивиденды по годам'!M1038&lt;0,1,0)</f>
        <v>0</v>
      </c>
    </row>
    <row r="1039" spans="1:31" x14ac:dyDescent="0.2">
      <c r="A1039" s="7" t="s">
        <v>2306</v>
      </c>
      <c r="B1039" t="str">
        <f t="shared" si="176"/>
        <v>LSRG IV кв. 2012</v>
      </c>
      <c r="C1039">
        <v>2012</v>
      </c>
      <c r="D1039">
        <f>SUMIFS(Дивиденды!$C:$C,Дивиденды!$A:$A,A1039,Дивиденды!$I:$I,C1039)</f>
        <v>20</v>
      </c>
      <c r="E1039">
        <v>8</v>
      </c>
      <c r="F1039">
        <f t="shared" si="177"/>
        <v>20</v>
      </c>
      <c r="G1039">
        <f t="shared" si="178"/>
        <v>0</v>
      </c>
      <c r="H1039">
        <f t="shared" si="179"/>
        <v>1</v>
      </c>
      <c r="I1039">
        <f t="shared" si="180"/>
        <v>0</v>
      </c>
      <c r="J1039">
        <f t="shared" si="181"/>
        <v>0</v>
      </c>
      <c r="K1039">
        <f t="shared" si="186"/>
        <v>0</v>
      </c>
      <c r="L1039">
        <f t="shared" si="182"/>
        <v>0</v>
      </c>
      <c r="M1039">
        <f t="shared" si="183"/>
        <v>0</v>
      </c>
      <c r="N1039">
        <f t="shared" si="184"/>
        <v>0</v>
      </c>
      <c r="O1039">
        <f t="shared" si="185"/>
        <v>0</v>
      </c>
      <c r="P1039">
        <f>IFERROR(LN('Дивиденды по годам'!I1039),"")</f>
        <v>25.64890851498329</v>
      </c>
      <c r="Q1039">
        <f>IFERROR('Дивиденды по годам'!G1039/'Дивиденды по годам'!I1039, "")</f>
        <v>0.28965059407948418</v>
      </c>
      <c r="R1039">
        <f>IFERROR(IF(AND('Дивиденды по годам'!N1039&lt;&gt;"",'Дивиденды по годам'!U1039&lt;&gt;"",'Дивиденды по годам'!U1039&lt;&gt;0),'Дивиденды по годам'!N1039/'Дивиденды по годам'!U1039-1,""),"")</f>
        <v>0.1774613598628958</v>
      </c>
      <c r="S1039" t="str">
        <f>IFERROR(IF(AND('Дивиденды по годам'!L1039&lt;&gt;"",'Дивиденды по годам'!I1039&lt;&gt;"",'Дивиденды по годам'!J1039&lt;&gt;"",'Дивиденды по годам'!K1039&lt;&gt;"",('Дивиденды по годам'!I1039-'Дивиденды по годам'!J1039-'Дивиденды по годам'!K1039)&lt;&gt;0),'Дивиденды по годам'!L1039/('Дивиденды по годам'!I1039-'Дивиденды по годам'!J1039-'Дивиденды по годам'!K1039),""),"")</f>
        <v/>
      </c>
      <c r="T1039">
        <f>IFERROR(IF(AND('Дивиденды по годам'!Q1039&lt;&gt;"",'Дивиденды по годам'!I1039&lt;&gt;"",'Дивиденды по годам'!V1039&lt;&gt;"",('Дивиденды по годам'!I1039+'Дивиденды по годам'!V1039)&lt;&gt;0),'Дивиденды по годам'!Q1039/(('Дивиденды по годам'!I1039+'Дивиденды по годам'!V1039)/2),""),"")</f>
        <v>3.7136747603905576E-2</v>
      </c>
      <c r="U1039">
        <f>IFERROR(IF(AND('Дивиденды по годам'!J1039&lt;&gt;"",'Дивиденды по годам'!K1039&lt;&gt;"",'Дивиденды по годам'!M1039&lt;&gt;"",'Дивиденды по годам'!M1039&lt;&gt;0),('Дивиденды по годам'!J1039+'Дивиденды по годам'!K1039)/'Дивиденды по годам'!M1039,""),"")</f>
        <v>1.4298803811165557</v>
      </c>
      <c r="V1039">
        <f>IFERROR(IF(AND('Дивиденды по годам'!J1039&lt;&gt;"",'Дивиденды по годам'!K1039&lt;&gt;"",'Дивиденды по годам'!M1039&lt;&gt;"",'Дивиденды по годам'!I1039&lt;&gt;0),('Дивиденды по годам'!J1039+'Дивиденды по годам'!K1039)/'Дивиденды по годам'!I1039,""),"")</f>
        <v>0.58845710769495185</v>
      </c>
      <c r="W1039">
        <f>IFERROR('Дивиденды по годам'!I1039,"")</f>
        <v>137777860000</v>
      </c>
      <c r="X1039" cm="1">
        <f t="array" ref="X1039">IFERROR(AVERAGE(_xlfn._xlws.FILTER(P$2:P$1073,($C$2:$C$1073=$C1039)*($E$2:$E$1073=$E1039)*(ROW(P$2:P$1073)&lt;&gt;ROW(P1039))*(P$2:P$1073&lt;&gt;""))),"")</f>
        <v>25.563516050221082</v>
      </c>
      <c r="Y1039" cm="1">
        <f t="array" ref="Y1039">IFERROR(AVERAGE(_xlfn._xlws.FILTER(Q$2:Q$1073,($C$2:$C$1073=$C1039)*($E$2:$E$1073=$E1039)*(ROW(Q$2:Q$1073)&lt;&gt;ROW(Q1039))*(Q$2:Q$1073&lt;&gt;""))),"")</f>
        <v>7.1746468407364372E-2</v>
      </c>
      <c r="Z1039" cm="1">
        <f t="array" ref="Z1039">IFERROR(AVERAGE(_xlfn._xlws.FILTER(R$2:R$1073,($C$2:$C$1073=$C1039)*($E$2:$E$1073=$E1039)*(ROW(R$2:R$1073)&lt;&gt;ROW(R1039))*(R$2:R$1073&lt;&gt;""))),"")</f>
        <v>0.43786827857624311</v>
      </c>
      <c r="AA1039" t="str" cm="1">
        <f t="array" ref="AA1039">IFERROR(AVERAGE(_xlfn._xlws.FILTER(S$2:S$1073,($C$2:$C$1073=$C1039)*($E$2:$E$1073=$E1039)*(ROW(S$2:S$1073)&lt;&gt;ROW(S1039))*(S$2:S$1073&lt;&gt;""))),"")</f>
        <v/>
      </c>
      <c r="AB1039" cm="1">
        <f t="array" ref="AB1039">IFERROR(AVERAGE(_xlfn._xlws.FILTER(T$2:T$1073,($C$2:$C$1073=$C1039)*($E$2:$E$1073=$E1039)*(ROW(T$2:T$1073)&lt;&gt;ROW(T1039))*(T$2:T$1073&lt;&gt;""))),"")</f>
        <v>2.4499069630790325E-2</v>
      </c>
      <c r="AC1039" cm="1">
        <f t="array" ref="AC1039">IFERROR(AVERAGE(_xlfn._xlws.FILTER(U$2:U$1073,($C$2:$C$1073=$C1039)*($E$2:$E$1073=$E1039)*(ROW(U$2:U$1073)&lt;&gt;ROW(U1039))*(U$2:U$1073&lt;&gt;""))),"")</f>
        <v>36.817937219730943</v>
      </c>
      <c r="AD1039" cm="1">
        <f t="array" ref="AD1039">IFERROR(AVERAGE(_xlfn._xlws.FILTER(V$2:V$1073,($C$2:$C$1073=$C1039)*($E$2:$E$1073=$E1039)*(ROW(V$2:V$1073)&lt;&gt;ROW(V1039))*(V$2:V$1073&lt;&gt;""))),"")</f>
        <v>0.97355752128441675</v>
      </c>
      <c r="AE1039">
        <f>IF('Дивиденды по годам'!M1039&lt;0,1,0)</f>
        <v>0</v>
      </c>
    </row>
    <row r="1040" spans="1:31" x14ac:dyDescent="0.2">
      <c r="A1040" s="7" t="s">
        <v>2306</v>
      </c>
      <c r="B1040" t="str">
        <f t="shared" si="176"/>
        <v>LSRG IV кв. 2011</v>
      </c>
      <c r="C1040">
        <v>2011</v>
      </c>
      <c r="D1040">
        <f>SUMIFS(Дивиденды!$C:$C,Дивиденды!$A:$A,A1040,Дивиденды!$I:$I,C1040)</f>
        <v>20</v>
      </c>
      <c r="E1040">
        <v>8</v>
      </c>
      <c r="F1040">
        <f t="shared" si="177"/>
        <v>20</v>
      </c>
      <c r="G1040">
        <f t="shared" si="178"/>
        <v>0</v>
      </c>
      <c r="H1040">
        <f t="shared" si="179"/>
        <v>1</v>
      </c>
      <c r="I1040">
        <f t="shared" si="180"/>
        <v>0</v>
      </c>
      <c r="J1040">
        <f t="shared" si="181"/>
        <v>0.33333333333333331</v>
      </c>
      <c r="K1040">
        <f t="shared" si="186"/>
        <v>0</v>
      </c>
      <c r="L1040">
        <f t="shared" si="182"/>
        <v>1</v>
      </c>
      <c r="M1040">
        <f t="shared" si="183"/>
        <v>0</v>
      </c>
      <c r="N1040">
        <f t="shared" si="184"/>
        <v>0</v>
      </c>
      <c r="O1040">
        <f t="shared" si="185"/>
        <v>0</v>
      </c>
      <c r="P1040">
        <f>IFERROR(LN('Дивиденды по годам'!I1040),"")</f>
        <v>25.566367058476462</v>
      </c>
      <c r="Q1040">
        <f>IFERROR('Дивиденды по годам'!G1040/'Дивиденды по годам'!I1040, "")</f>
        <v>0.29425209264511243</v>
      </c>
      <c r="R1040" t="str">
        <f>IFERROR(IF(AND('Дивиденды по годам'!N1040&lt;&gt;"",'Дивиденды по годам'!U1040&lt;&gt;"",'Дивиденды по годам'!U1040&lt;&gt;0),'Дивиденды по годам'!N1040/'Дивиденды по годам'!U1040-1,""),"")</f>
        <v/>
      </c>
      <c r="S1040" t="str">
        <f>IFERROR(IF(AND('Дивиденды по годам'!L1040&lt;&gt;"",'Дивиденды по годам'!I1040&lt;&gt;"",'Дивиденды по годам'!J1040&lt;&gt;"",'Дивиденды по годам'!K1040&lt;&gt;"",('Дивиденды по годам'!I1040-'Дивиденды по годам'!J1040-'Дивиденды по годам'!K1040)&lt;&gt;0),'Дивиденды по годам'!L1040/('Дивиденды по годам'!I1040-'Дивиденды по годам'!J1040-'Дивиденды по годам'!K1040),""),"")</f>
        <v/>
      </c>
      <c r="T1040" t="str">
        <f>IFERROR(IF(AND('Дивиденды по годам'!Q1040&lt;&gt;"",'Дивиденды по годам'!I1040&lt;&gt;"",'Дивиденды по годам'!V1040&lt;&gt;"",('Дивиденды по годам'!I1040+'Дивиденды по годам'!V1040)&lt;&gt;0),'Дивиденды по годам'!Q1040/(('Дивиденды по годам'!I1040+'Дивиденды по годам'!V1040)/2),""),"")</f>
        <v/>
      </c>
      <c r="U1040">
        <f>IFERROR(IF(AND('Дивиденды по годам'!J1040&lt;&gt;"",'Дивиденды по годам'!K1040&lt;&gt;"",'Дивиденды по годам'!M1040&lt;&gt;"",'Дивиденды по годам'!M1040&lt;&gt;0),('Дивиденды по годам'!J1040+'Дивиденды по годам'!K1040)/'Дивиденды по годам'!M1040,""),"")</f>
        <v>1.3515857955080697</v>
      </c>
      <c r="V1040">
        <f>IFERROR(IF(AND('Дивиденды по годам'!J1040&lt;&gt;"",'Дивиденды по годам'!K1040&lt;&gt;"",'Дивиденды по годам'!M1040&lt;&gt;"",'Дивиденды по годам'!I1040&lt;&gt;0),('Дивиденды по годам'!J1040+'Дивиденды по годам'!K1040)/'Дивиденды по годам'!I1040,""),"")</f>
        <v>0.57475504320949267</v>
      </c>
      <c r="W1040">
        <f>IFERROR('Дивиденды по годам'!I1040,"")</f>
        <v>126862170000</v>
      </c>
      <c r="X1040" cm="1">
        <f t="array" ref="X1040">IFERROR(AVERAGE(_xlfn._xlws.FILTER(P$2:P$1073,($C$2:$C$1073=$C1040)*($E$2:$E$1073=$E1040)*(ROW(P$2:P$1073)&lt;&gt;ROW(P1040))*(P$2:P$1073&lt;&gt;""))),"")</f>
        <v>25.581324766885476</v>
      </c>
      <c r="Y1040" cm="1">
        <f t="array" ref="Y1040">IFERROR(AVERAGE(_xlfn._xlws.FILTER(Q$2:Q$1073,($C$2:$C$1073=$C1040)*($E$2:$E$1073=$E1040)*(ROW(Q$2:Q$1073)&lt;&gt;ROW(Q1040))*(Q$2:Q$1073&lt;&gt;""))),"")</f>
        <v>7.006849208691196E-2</v>
      </c>
      <c r="Z1040" t="str" cm="1">
        <f t="array" ref="Z1040">IFERROR(AVERAGE(_xlfn._xlws.FILTER(R$2:R$1073,($C$2:$C$1073=$C1040)*($E$2:$E$1073=$E1040)*(ROW(R$2:R$1073)&lt;&gt;ROW(R1040))*(R$2:R$1073&lt;&gt;""))),"")</f>
        <v/>
      </c>
      <c r="AA1040" t="str" cm="1">
        <f t="array" ref="AA1040">IFERROR(AVERAGE(_xlfn._xlws.FILTER(S$2:S$1073,($C$2:$C$1073=$C1040)*($E$2:$E$1073=$E1040)*(ROW(S$2:S$1073)&lt;&gt;ROW(S1040))*(S$2:S$1073&lt;&gt;""))),"")</f>
        <v/>
      </c>
      <c r="AB1040" t="str" cm="1">
        <f t="array" ref="AB1040">IFERROR(AVERAGE(_xlfn._xlws.FILTER(T$2:T$1073,($C$2:$C$1073=$C1040)*($E$2:$E$1073=$E1040)*(ROW(T$2:T$1073)&lt;&gt;ROW(T1040))*(T$2:T$1073&lt;&gt;""))),"")</f>
        <v/>
      </c>
      <c r="AC1040" cm="1">
        <f t="array" ref="AC1040">IFERROR(AVERAGE(_xlfn._xlws.FILTER(U$2:U$1073,($C$2:$C$1073=$C1040)*($E$2:$E$1073=$E1040)*(ROW(U$2:U$1073)&lt;&gt;ROW(U1040))*(U$2:U$1073&lt;&gt;""))),"")</f>
        <v>589.70642201834858</v>
      </c>
      <c r="AD1040" cm="1">
        <f t="array" ref="AD1040">IFERROR(AVERAGE(_xlfn._xlws.FILTER(V$2:V$1073,($C$2:$C$1073=$C1040)*($E$2:$E$1073=$E1040)*(ROW(V$2:V$1073)&lt;&gt;ROW(V1040))*(V$2:V$1073&lt;&gt;""))),"")</f>
        <v>0.99830711168403563</v>
      </c>
      <c r="AE1040">
        <f>IF('Дивиденды по годам'!M1040&lt;0,1,0)</f>
        <v>0</v>
      </c>
    </row>
    <row r="1041" spans="1:31" x14ac:dyDescent="0.2">
      <c r="A1041" s="7" t="s">
        <v>2306</v>
      </c>
      <c r="B1041" t="str">
        <f t="shared" si="176"/>
        <v>LSRG IV кв. 2010</v>
      </c>
      <c r="C1041">
        <v>2010</v>
      </c>
      <c r="D1041">
        <f>SUMIFS(Дивиденды!$C:$C,Дивиденды!$A:$A,A1041,Дивиденды!$I:$I,C1041)</f>
        <v>15</v>
      </c>
      <c r="E1041">
        <v>8</v>
      </c>
      <c r="F1041">
        <f t="shared" si="177"/>
        <v>15</v>
      </c>
      <c r="G1041">
        <f t="shared" si="178"/>
        <v>0</v>
      </c>
      <c r="H1041">
        <f t="shared" si="179"/>
        <v>1</v>
      </c>
      <c r="I1041">
        <f t="shared" si="180"/>
        <v>0</v>
      </c>
      <c r="J1041" t="str">
        <f t="shared" si="181"/>
        <v/>
      </c>
      <c r="K1041" t="str">
        <f t="shared" si="186"/>
        <v/>
      </c>
      <c r="L1041" t="str">
        <f t="shared" si="182"/>
        <v/>
      </c>
      <c r="M1041" t="str">
        <f t="shared" si="183"/>
        <v/>
      </c>
      <c r="N1041" t="str">
        <f t="shared" si="184"/>
        <v/>
      </c>
      <c r="O1041" t="str">
        <f t="shared" si="185"/>
        <v/>
      </c>
      <c r="P1041" t="str">
        <f>IFERROR(LN('Дивиденды по годам'!I1041),"")</f>
        <v/>
      </c>
      <c r="Q1041" t="str">
        <f>IFERROR('Дивиденды по годам'!G1041/'Дивиденды по годам'!I1041, "")</f>
        <v/>
      </c>
      <c r="R1041" t="str">
        <f>IFERROR(IF(AND('Дивиденды по годам'!N1041&lt;&gt;"",'Дивиденды по годам'!U1041&lt;&gt;"",'Дивиденды по годам'!U1041&lt;&gt;0),'Дивиденды по годам'!N1041/'Дивиденды по годам'!U1041-1,""),"")</f>
        <v/>
      </c>
      <c r="S1041" t="str">
        <f>IFERROR(IF(AND('Дивиденды по годам'!L1041&lt;&gt;"",'Дивиденды по годам'!I1041&lt;&gt;"",'Дивиденды по годам'!J1041&lt;&gt;"",'Дивиденды по годам'!K1041&lt;&gt;"",('Дивиденды по годам'!I1041-'Дивиденды по годам'!J1041-'Дивиденды по годам'!K1041)&lt;&gt;0),'Дивиденды по годам'!L1041/('Дивиденды по годам'!I1041-'Дивиденды по годам'!J1041-'Дивиденды по годам'!K1041),""),"")</f>
        <v/>
      </c>
      <c r="T1041" t="str">
        <f>IFERROR(IF(AND('Дивиденды по годам'!Q1041&lt;&gt;"",'Дивиденды по годам'!I1041&lt;&gt;"",'Дивиденды по годам'!V1041&lt;&gt;"",('Дивиденды по годам'!I1041+'Дивиденды по годам'!V1041)&lt;&gt;0),'Дивиденды по годам'!Q1041/(('Дивиденды по годам'!I1041+'Дивиденды по годам'!V1041)/2),""),"")</f>
        <v/>
      </c>
      <c r="U1041" t="str">
        <f>IFERROR(IF(AND('Дивиденды по годам'!J1041&lt;&gt;"",'Дивиденды по годам'!K1041&lt;&gt;"",'Дивиденды по годам'!M1041&lt;&gt;"",'Дивиденды по годам'!M1041&lt;&gt;0),('Дивиденды по годам'!J1041+'Дивиденды по годам'!K1041)/'Дивиденды по годам'!M1041,""),"")</f>
        <v/>
      </c>
      <c r="V1041" t="str">
        <f>IFERROR(IF(AND('Дивиденды по годам'!J1041&lt;&gt;"",'Дивиденды по годам'!K1041&lt;&gt;"",'Дивиденды по годам'!M1041&lt;&gt;"",'Дивиденды по годам'!I1041&lt;&gt;0),('Дивиденды по годам'!J1041+'Дивиденды по годам'!K1041)/'Дивиденды по годам'!I1041,""),"")</f>
        <v/>
      </c>
      <c r="W1041" t="str">
        <f>IFERROR('Дивиденды по годам'!I1041,"")</f>
        <v/>
      </c>
      <c r="X1041" t="str" cm="1">
        <f t="array" ref="X1041">IFERROR(AVERAGE(_xlfn._xlws.FILTER(P$2:P$1073,($C$2:$C$1073=$C1041)*($E$2:$E$1073=$E1041)*(ROW(P$2:P$1073)&lt;&gt;ROW(P1041))*(P$2:P$1073&lt;&gt;""))),"")</f>
        <v/>
      </c>
      <c r="Y1041" t="str" cm="1">
        <f t="array" ref="Y1041">IFERROR(AVERAGE(_xlfn._xlws.FILTER(Q$2:Q$1073,($C$2:$C$1073=$C1041)*($E$2:$E$1073=$E1041)*(ROW(Q$2:Q$1073)&lt;&gt;ROW(Q1041))*(Q$2:Q$1073&lt;&gt;""))),"")</f>
        <v/>
      </c>
      <c r="Z1041" t="str" cm="1">
        <f t="array" ref="Z1041">IFERROR(AVERAGE(_xlfn._xlws.FILTER(R$2:R$1073,($C$2:$C$1073=$C1041)*($E$2:$E$1073=$E1041)*(ROW(R$2:R$1073)&lt;&gt;ROW(R1041))*(R$2:R$1073&lt;&gt;""))),"")</f>
        <v/>
      </c>
      <c r="AA1041" t="str" cm="1">
        <f t="array" ref="AA1041">IFERROR(AVERAGE(_xlfn._xlws.FILTER(S$2:S$1073,($C$2:$C$1073=$C1041)*($E$2:$E$1073=$E1041)*(ROW(S$2:S$1073)&lt;&gt;ROW(S1041))*(S$2:S$1073&lt;&gt;""))),"")</f>
        <v/>
      </c>
      <c r="AB1041" t="str" cm="1">
        <f t="array" ref="AB1041">IFERROR(AVERAGE(_xlfn._xlws.FILTER(T$2:T$1073,($C$2:$C$1073=$C1041)*($E$2:$E$1073=$E1041)*(ROW(T$2:T$1073)&lt;&gt;ROW(T1041))*(T$2:T$1073&lt;&gt;""))),"")</f>
        <v/>
      </c>
      <c r="AC1041" t="str" cm="1">
        <f t="array" ref="AC1041">IFERROR(AVERAGE(_xlfn._xlws.FILTER(U$2:U$1073,($C$2:$C$1073=$C1041)*($E$2:$E$1073=$E1041)*(ROW(U$2:U$1073)&lt;&gt;ROW(U1041))*(U$2:U$1073&lt;&gt;""))),"")</f>
        <v/>
      </c>
      <c r="AD1041" t="str" cm="1">
        <f t="array" ref="AD1041">IFERROR(AVERAGE(_xlfn._xlws.FILTER(V$2:V$1073,($C$2:$C$1073=$C1041)*($E$2:$E$1073=$E1041)*(ROW(V$2:V$1073)&lt;&gt;ROW(V1041))*(V$2:V$1073&lt;&gt;""))),"")</f>
        <v/>
      </c>
      <c r="AE1041">
        <f>IF('Дивиденды по годам'!M1041&lt;0,1,0)</f>
        <v>0</v>
      </c>
    </row>
    <row r="1042" spans="1:31" x14ac:dyDescent="0.2">
      <c r="A1042" s="7" t="s">
        <v>2309</v>
      </c>
      <c r="B1042" t="str">
        <f t="shared" si="176"/>
        <v>PIKK IV кв. 2025</v>
      </c>
      <c r="C1042">
        <v>2025</v>
      </c>
      <c r="D1042">
        <f>SUMIFS(Дивиденды!$C:$C,Дивиденды!$A:$A,A1042,Дивиденды!$I:$I,C1042)</f>
        <v>0</v>
      </c>
      <c r="E1042">
        <v>8</v>
      </c>
      <c r="F1042">
        <f t="shared" si="177"/>
        <v>0</v>
      </c>
      <c r="G1042">
        <f t="shared" si="178"/>
        <v>26</v>
      </c>
      <c r="H1042">
        <f t="shared" si="179"/>
        <v>0</v>
      </c>
      <c r="I1042">
        <f t="shared" si="180"/>
        <v>0.33333333333333331</v>
      </c>
      <c r="J1042">
        <f t="shared" si="181"/>
        <v>0</v>
      </c>
      <c r="K1042">
        <f t="shared" si="186"/>
        <v>0.33333333333333331</v>
      </c>
      <c r="L1042">
        <f t="shared" si="182"/>
        <v>0</v>
      </c>
      <c r="M1042">
        <f t="shared" si="183"/>
        <v>0.33333333333333331</v>
      </c>
      <c r="N1042">
        <f t="shared" si="184"/>
        <v>0</v>
      </c>
      <c r="O1042">
        <f t="shared" si="185"/>
        <v>0</v>
      </c>
      <c r="P1042" t="str">
        <f>IFERROR(LN('Дивиденды по годам'!I1042),"")</f>
        <v/>
      </c>
      <c r="Q1042" t="str">
        <f>IFERROR('Дивиденды по годам'!G1042/'Дивиденды по годам'!I1042, "")</f>
        <v/>
      </c>
      <c r="R1042" t="str">
        <f>IFERROR(IF(AND('Дивиденды по годам'!N1042&lt;&gt;"",'Дивиденды по годам'!U1042&lt;&gt;"",'Дивиденды по годам'!U1042&lt;&gt;0),'Дивиденды по годам'!N1042/'Дивиденды по годам'!U1042-1,""),"")</f>
        <v/>
      </c>
      <c r="S1042" t="str">
        <f>IFERROR(IF(AND('Дивиденды по годам'!L1042&lt;&gt;"",'Дивиденды по годам'!I1042&lt;&gt;"",'Дивиденды по годам'!J1042&lt;&gt;"",'Дивиденды по годам'!K1042&lt;&gt;"",('Дивиденды по годам'!I1042-'Дивиденды по годам'!J1042-'Дивиденды по годам'!K1042)&lt;&gt;0),'Дивиденды по годам'!L1042/('Дивиденды по годам'!I1042-'Дивиденды по годам'!J1042-'Дивиденды по годам'!K1042),""),"")</f>
        <v/>
      </c>
      <c r="T1042" t="str">
        <f>IFERROR(IF(AND('Дивиденды по годам'!Q1042&lt;&gt;"",'Дивиденды по годам'!I1042&lt;&gt;"",'Дивиденды по годам'!V1042&lt;&gt;"",('Дивиденды по годам'!I1042+'Дивиденды по годам'!V1042)&lt;&gt;0),'Дивиденды по годам'!Q1042/(('Дивиденды по годам'!I1042+'Дивиденды по годам'!V1042)/2),""),"")</f>
        <v/>
      </c>
      <c r="U1042" t="str">
        <f>IFERROR(IF(AND('Дивиденды по годам'!J1042&lt;&gt;"",'Дивиденды по годам'!K1042&lt;&gt;"",'Дивиденды по годам'!M1042&lt;&gt;"",'Дивиденды по годам'!M1042&lt;&gt;0),('Дивиденды по годам'!J1042+'Дивиденды по годам'!K1042)/'Дивиденды по годам'!M1042,""),"")</f>
        <v/>
      </c>
      <c r="V1042" t="str">
        <f>IFERROR(IF(AND('Дивиденды по годам'!J1042&lt;&gt;"",'Дивиденды по годам'!K1042&lt;&gt;"",'Дивиденды по годам'!M1042&lt;&gt;"",'Дивиденды по годам'!I1042&lt;&gt;0),('Дивиденды по годам'!J1042+'Дивиденды по годам'!K1042)/'Дивиденды по годам'!I1042,""),"")</f>
        <v/>
      </c>
      <c r="W1042" t="str">
        <f>IFERROR('Дивиденды по годам'!I1042,"")</f>
        <v/>
      </c>
      <c r="X1042" t="str" cm="1">
        <f t="array" ref="X1042">IFERROR(AVERAGE(_xlfn._xlws.FILTER(P$2:P$1073,($C$2:$C$1073=$C1042)*($E$2:$E$1073=$E1042)*(ROW(P$2:P$1073)&lt;&gt;ROW(P1042))*(P$2:P$1073&lt;&gt;""))),"")</f>
        <v/>
      </c>
      <c r="Y1042" t="str" cm="1">
        <f t="array" ref="Y1042">IFERROR(AVERAGE(_xlfn._xlws.FILTER(Q$2:Q$1073,($C$2:$C$1073=$C1042)*($E$2:$E$1073=$E1042)*(ROW(Q$2:Q$1073)&lt;&gt;ROW(Q1042))*(Q$2:Q$1073&lt;&gt;""))),"")</f>
        <v/>
      </c>
      <c r="Z1042" t="str" cm="1">
        <f t="array" ref="Z1042">IFERROR(AVERAGE(_xlfn._xlws.FILTER(R$2:R$1073,($C$2:$C$1073=$C1042)*($E$2:$E$1073=$E1042)*(ROW(R$2:R$1073)&lt;&gt;ROW(R1042))*(R$2:R$1073&lt;&gt;""))),"")</f>
        <v/>
      </c>
      <c r="AA1042" t="str" cm="1">
        <f t="array" ref="AA1042">IFERROR(AVERAGE(_xlfn._xlws.FILTER(S$2:S$1073,($C$2:$C$1073=$C1042)*($E$2:$E$1073=$E1042)*(ROW(S$2:S$1073)&lt;&gt;ROW(S1042))*(S$2:S$1073&lt;&gt;""))),"")</f>
        <v/>
      </c>
      <c r="AB1042" t="str" cm="1">
        <f t="array" ref="AB1042">IFERROR(AVERAGE(_xlfn._xlws.FILTER(T$2:T$1073,($C$2:$C$1073=$C1042)*($E$2:$E$1073=$E1042)*(ROW(T$2:T$1073)&lt;&gt;ROW(T1042))*(T$2:T$1073&lt;&gt;""))),"")</f>
        <v/>
      </c>
      <c r="AC1042" t="str" cm="1">
        <f t="array" ref="AC1042">IFERROR(AVERAGE(_xlfn._xlws.FILTER(U$2:U$1073,($C$2:$C$1073=$C1042)*($E$2:$E$1073=$E1042)*(ROW(U$2:U$1073)&lt;&gt;ROW(U1042))*(U$2:U$1073&lt;&gt;""))),"")</f>
        <v/>
      </c>
      <c r="AD1042" t="str" cm="1">
        <f t="array" ref="AD1042">IFERROR(AVERAGE(_xlfn._xlws.FILTER(V$2:V$1073,($C$2:$C$1073=$C1042)*($E$2:$E$1073=$E1042)*(ROW(V$2:V$1073)&lt;&gt;ROW(V1042))*(V$2:V$1073&lt;&gt;""))),"")</f>
        <v/>
      </c>
      <c r="AE1042">
        <f>IF('Дивиденды по годам'!M1042&lt;0,1,0)</f>
        <v>0</v>
      </c>
    </row>
    <row r="1043" spans="1:31" x14ac:dyDescent="0.2">
      <c r="A1043" s="7" t="s">
        <v>2309</v>
      </c>
      <c r="B1043" t="str">
        <f t="shared" si="176"/>
        <v>PIKK IV кв. 2024</v>
      </c>
      <c r="C1043">
        <v>2024</v>
      </c>
      <c r="D1043">
        <f>SUMIFS(Дивиденды!$C:$C,Дивиденды!$A:$A,A1043,Дивиденды!$I:$I,C1043)</f>
        <v>0</v>
      </c>
      <c r="E1043">
        <v>8</v>
      </c>
      <c r="F1043">
        <f t="shared" si="177"/>
        <v>0</v>
      </c>
      <c r="G1043">
        <f t="shared" si="178"/>
        <v>0</v>
      </c>
      <c r="H1043">
        <f t="shared" si="179"/>
        <v>0</v>
      </c>
      <c r="I1043">
        <f t="shared" si="180"/>
        <v>0</v>
      </c>
      <c r="J1043">
        <f t="shared" si="181"/>
        <v>0</v>
      </c>
      <c r="K1043">
        <f t="shared" si="186"/>
        <v>-0.33333333333333331</v>
      </c>
      <c r="L1043">
        <f t="shared" si="182"/>
        <v>0</v>
      </c>
      <c r="M1043">
        <f t="shared" si="183"/>
        <v>0</v>
      </c>
      <c r="N1043">
        <f t="shared" si="184"/>
        <v>0</v>
      </c>
      <c r="O1043">
        <f t="shared" si="185"/>
        <v>0.33333333333333331</v>
      </c>
      <c r="P1043">
        <f>IFERROR(LN('Дивиденды по годам'!I1043),"")</f>
        <v>28.051407019920617</v>
      </c>
      <c r="Q1043">
        <f>IFERROR('Дивиденды по годам'!G1043/'Дивиденды по годам'!I1043, "")</f>
        <v>4.2932608408662053E-2</v>
      </c>
      <c r="R1043">
        <f>IFERROR(IF(AND('Дивиденды по годам'!N1043&lt;&gt;"",'Дивиденды по годам'!U1043&lt;&gt;"",'Дивиденды по годам'!U1043&lt;&gt;0),'Дивиденды по годам'!N1043/'Дивиденды по годам'!U1043-1,""),"")</f>
        <v>0.15339508229492904</v>
      </c>
      <c r="S1043">
        <f>IFERROR(IF(AND('Дивиденды по годам'!L1043&lt;&gt;"",'Дивиденды по годам'!I1043&lt;&gt;"",'Дивиденды по годам'!J1043&lt;&gt;"",'Дивиденды по годам'!K1043&lt;&gt;"",('Дивиденды по годам'!I1043-'Дивиденды по годам'!J1043-'Дивиденды по годам'!K1043)&lt;&gt;0),'Дивиденды по годам'!L1043/('Дивиденды по годам'!I1043-'Дивиденды по годам'!J1043-'Дивиденды по годам'!K1043),""),"")</f>
        <v>0.97192378790929224</v>
      </c>
      <c r="T1043">
        <f>IFERROR(IF(AND('Дивиденды по годам'!Q1043&lt;&gt;"",'Дивиденды по годам'!I1043&lt;&gt;"",'Дивиденды по годам'!V1043&lt;&gt;"",('Дивиденды по годам'!I1043+'Дивиденды по годам'!V1043)&lt;&gt;0),'Дивиденды по годам'!Q1043/(('Дивиденды по годам'!I1043+'Дивиденды по годам'!V1043)/2),""),"")</f>
        <v>1.94768509412124E-2</v>
      </c>
      <c r="U1043">
        <f>IFERROR(IF(AND('Дивиденды по годам'!J1043&lt;&gt;"",'Дивиденды по годам'!K1043&lt;&gt;"",'Дивиденды по годам'!M1043&lt;&gt;"",'Дивиденды по годам'!M1043&lt;&gt;0),('Дивиденды по годам'!J1043+'Дивиденды по годам'!K1043)/'Дивиденды по годам'!M1043,""),"")</f>
        <v>2.9809469773230592</v>
      </c>
      <c r="V1043">
        <f>IFERROR(IF(AND('Дивиденды по годам'!J1043&lt;&gt;"",'Дивиденды по годам'!K1043&lt;&gt;"",'Дивиденды по годам'!M1043&lt;&gt;"",'Дивиденды по годам'!I1043&lt;&gt;0),('Дивиденды по годам'!J1043+'Дивиденды по годам'!K1043)/'Дивиденды по годам'!I1043,""),"")</f>
        <v>0.74880348678433339</v>
      </c>
      <c r="W1043">
        <f>IFERROR('Дивиденды по годам'!I1043,"")</f>
        <v>1522549000000</v>
      </c>
      <c r="X1043" cm="1">
        <f t="array" ref="X1043">IFERROR(AVERAGE(_xlfn._xlws.FILTER(P$2:P$1073,($C$2:$C$1073=$C1043)*($E$2:$E$1073=$E1043)*(ROW(P$2:P$1073)&lt;&gt;ROW(P1043))*(P$2:P$1073&lt;&gt;""))),"")</f>
        <v>27.039916185305685</v>
      </c>
      <c r="Y1043" cm="1">
        <f t="array" ref="Y1043">IFERROR(AVERAGE(_xlfn._xlws.FILTER(Q$2:Q$1073,($C$2:$C$1073=$C1043)*($E$2:$E$1073=$E1043)*(ROW(Q$2:Q$1073)&lt;&gt;ROW(Q1043))*(Q$2:Q$1073&lt;&gt;""))),"")</f>
        <v>4.4365631639945009E-2</v>
      </c>
      <c r="Z1043" cm="1">
        <f t="array" ref="Z1043">IFERROR(AVERAGE(_xlfn._xlws.FILTER(R$2:R$1073,($C$2:$C$1073=$C1043)*($E$2:$E$1073=$E1043)*(ROW(R$2:R$1073)&lt;&gt;ROW(R1043))*(R$2:R$1073&lt;&gt;""))),"")</f>
        <v>0.27190948578432889</v>
      </c>
      <c r="AA1043" cm="1">
        <f t="array" ref="AA1043">IFERROR(AVERAGE(_xlfn._xlws.FILTER(S$2:S$1073,($C$2:$C$1073=$C1043)*($E$2:$E$1073=$E1043)*(ROW(S$2:S$1073)&lt;&gt;ROW(S1043))*(S$2:S$1073&lt;&gt;""))),"")</f>
        <v>0.58513058062352741</v>
      </c>
      <c r="AB1043" cm="1">
        <f t="array" ref="AB1043">IFERROR(AVERAGE(_xlfn._xlws.FILTER(T$2:T$1073,($C$2:$C$1073=$C1043)*($E$2:$E$1073=$E1043)*(ROW(T$2:T$1073)&lt;&gt;ROW(T1043))*(T$2:T$1073&lt;&gt;""))),"")</f>
        <v>1.388308481062867E-2</v>
      </c>
      <c r="AC1043" cm="1">
        <f t="array" ref="AC1043">IFERROR(AVERAGE(_xlfn._xlws.FILTER(U$2:U$1073,($C$2:$C$1073=$C1043)*($E$2:$E$1073=$E1043)*(ROW(U$2:U$1073)&lt;&gt;ROW(U1043))*(U$2:U$1073&lt;&gt;""))),"")</f>
        <v>8.0451931379993269</v>
      </c>
      <c r="AD1043" cm="1">
        <f t="array" ref="AD1043">IFERROR(AVERAGE(_xlfn._xlws.FILTER(V$2:V$1073,($C$2:$C$1073=$C1043)*($E$2:$E$1073=$E1043)*(ROW(V$2:V$1073)&lt;&gt;ROW(V1043))*(V$2:V$1073&lt;&gt;""))),"")</f>
        <v>0.82932785575654144</v>
      </c>
      <c r="AE1043">
        <f>IF('Дивиденды по годам'!M1043&lt;0,1,0)</f>
        <v>0</v>
      </c>
    </row>
    <row r="1044" spans="1:31" x14ac:dyDescent="0.2">
      <c r="A1044" s="7" t="s">
        <v>2309</v>
      </c>
      <c r="B1044" t="str">
        <f t="shared" si="176"/>
        <v>PIKK IV кв. 2023</v>
      </c>
      <c r="C1044">
        <v>2023</v>
      </c>
      <c r="D1044">
        <f>SUMIFS(Дивиденды!$C:$C,Дивиденды!$A:$A,A1044,Дивиденды!$I:$I,C1044)</f>
        <v>0</v>
      </c>
      <c r="E1044">
        <v>8</v>
      </c>
      <c r="F1044">
        <f t="shared" si="177"/>
        <v>0</v>
      </c>
      <c r="G1044">
        <f t="shared" si="178"/>
        <v>33.333333333333336</v>
      </c>
      <c r="H1044">
        <f t="shared" si="179"/>
        <v>0</v>
      </c>
      <c r="I1044">
        <f t="shared" si="180"/>
        <v>0.33333333333333331</v>
      </c>
      <c r="J1044">
        <f t="shared" si="181"/>
        <v>0</v>
      </c>
      <c r="K1044">
        <f t="shared" si="186"/>
        <v>-0.23931623931623933</v>
      </c>
      <c r="L1044">
        <f t="shared" si="182"/>
        <v>0</v>
      </c>
      <c r="M1044">
        <f t="shared" si="183"/>
        <v>0.33333333333333331</v>
      </c>
      <c r="N1044">
        <f t="shared" si="184"/>
        <v>0</v>
      </c>
      <c r="O1044">
        <f t="shared" si="185"/>
        <v>0.33333333333333331</v>
      </c>
      <c r="P1044">
        <f>IFERROR(LN('Дивиденды по годам'!I1044),"")</f>
        <v>27.982415743501868</v>
      </c>
      <c r="Q1044">
        <f>IFERROR('Дивиденды по годам'!G1044/'Дивиденды по годам'!I1044, "")</f>
        <v>4.2858510057366114E-2</v>
      </c>
      <c r="R1044" t="str">
        <f>IFERROR(IF(AND('Дивиденды по годам'!N1044&lt;&gt;"",'Дивиденды по годам'!U1044&lt;&gt;"",'Дивиденды по годам'!U1044&lt;&gt;0),'Дивиденды по годам'!N1044/'Дивиденды по годам'!U1044-1,""),"")</f>
        <v/>
      </c>
      <c r="S1044">
        <f>IFERROR(IF(AND('Дивиденды по годам'!L1044&lt;&gt;"",'Дивиденды по годам'!I1044&lt;&gt;"",'Дивиденды по годам'!J1044&lt;&gt;"",'Дивиденды по годам'!K1044&lt;&gt;"",('Дивиденды по годам'!I1044-'Дивиденды по годам'!J1044-'Дивиденды по годам'!K1044)&lt;&gt;0),'Дивиденды по годам'!L1044/('Дивиденды по годам'!I1044-'Дивиденды по годам'!J1044-'Дивиденды по годам'!K1044),""),"")</f>
        <v>0.97299702423125978</v>
      </c>
      <c r="T1044" t="str">
        <f>IFERROR(IF(AND('Дивиденды по годам'!Q1044&lt;&gt;"",'Дивиденды по годам'!I1044&lt;&gt;"",'Дивиденды по годам'!V1044&lt;&gt;"",('Дивиденды по годам'!I1044+'Дивиденды по годам'!V1044)&lt;&gt;0),'Дивиденды по годам'!Q1044/(('Дивиденды по годам'!I1044+'Дивиденды по годам'!V1044)/2),""),"")</f>
        <v/>
      </c>
      <c r="U1044">
        <f>IFERROR(IF(AND('Дивиденды по годам'!J1044&lt;&gt;"",'Дивиденды по годам'!K1044&lt;&gt;"",'Дивиденды по годам'!M1044&lt;&gt;"",'Дивиденды по годам'!M1044&lt;&gt;0),('Дивиденды по годам'!J1044+'Дивиденды по годам'!K1044)/'Дивиденды по годам'!M1044,""),"")</f>
        <v>3.0273430636247696</v>
      </c>
      <c r="V1044">
        <f>IFERROR(IF(AND('Дивиденды по годам'!J1044&lt;&gt;"",'Дивиденды по годам'!K1044&lt;&gt;"",'Дивиденды по годам'!M1044&lt;&gt;"",'Дивиденды по годам'!I1044&lt;&gt;0),('Дивиденды по годам'!J1044+'Дивиденды по годам'!K1044)/'Дивиденды по годам'!I1044,""),"")</f>
        <v>0.7516973388654008</v>
      </c>
      <c r="W1044">
        <f>IFERROR('Дивиденды по годам'!I1044,"")</f>
        <v>1421048000000</v>
      </c>
      <c r="X1044" cm="1">
        <f t="array" ref="X1044">IFERROR(AVERAGE(_xlfn._xlws.FILTER(P$2:P$1073,($C$2:$C$1073=$C1044)*($E$2:$E$1073=$E1044)*(ROW(P$2:P$1073)&lt;&gt;ROW(P1044))*(P$2:P$1073&lt;&gt;""))),"")</f>
        <v>26.837010220345459</v>
      </c>
      <c r="Y1044" cm="1">
        <f t="array" ref="Y1044">IFERROR(AVERAGE(_xlfn._xlws.FILTER(Q$2:Q$1073,($C$2:$C$1073=$C1044)*($E$2:$E$1073=$E1044)*(ROW(Q$2:Q$1073)&lt;&gt;ROW(Q1044))*(Q$2:Q$1073&lt;&gt;""))),"")</f>
        <v>3.5842356208900354E-2</v>
      </c>
      <c r="Z1044" cm="1">
        <f t="array" ref="Z1044">IFERROR(AVERAGE(_xlfn._xlws.FILTER(R$2:R$1073,($C$2:$C$1073=$C1044)*($E$2:$E$1073=$E1044)*(ROW(R$2:R$1073)&lt;&gt;ROW(R1044))*(R$2:R$1073&lt;&gt;""))),"")</f>
        <v>0.42450455940957937</v>
      </c>
      <c r="AA1044" cm="1">
        <f t="array" ref="AA1044">IFERROR(AVERAGE(_xlfn._xlws.FILTER(S$2:S$1073,($C$2:$C$1073=$C1044)*($E$2:$E$1073=$E1044)*(ROW(S$2:S$1073)&lt;&gt;ROW(S1044))*(S$2:S$1073&lt;&gt;""))),"")</f>
        <v>0.55960754913154453</v>
      </c>
      <c r="AB1044" cm="1">
        <f t="array" ref="AB1044">IFERROR(AVERAGE(_xlfn._xlws.FILTER(T$2:T$1073,($C$2:$C$1073=$C1044)*($E$2:$E$1073=$E1044)*(ROW(T$2:T$1073)&lt;&gt;ROW(T1044))*(T$2:T$1073&lt;&gt;""))),"")</f>
        <v>3.1824778892577572E-2</v>
      </c>
      <c r="AC1044" cm="1">
        <f t="array" ref="AC1044">IFERROR(AVERAGE(_xlfn._xlws.FILTER(U$2:U$1073,($C$2:$C$1073=$C1044)*($E$2:$E$1073=$E1044)*(ROW(U$2:U$1073)&lt;&gt;ROW(U1044))*(U$2:U$1073&lt;&gt;""))),"")</f>
        <v>8.4014653642829362</v>
      </c>
      <c r="AD1044" cm="1">
        <f t="array" ref="AD1044">IFERROR(AVERAGE(_xlfn._xlws.FILTER(V$2:V$1073,($C$2:$C$1073=$C1044)*($E$2:$E$1073=$E1044)*(ROW(V$2:V$1073)&lt;&gt;ROW(V1044))*(V$2:V$1073&lt;&gt;""))),"")</f>
        <v>0.80983438995627788</v>
      </c>
      <c r="AE1044">
        <f>IF('Дивиденды по годам'!M1044&lt;0,1,0)</f>
        <v>0</v>
      </c>
    </row>
    <row r="1045" spans="1:31" x14ac:dyDescent="0.2">
      <c r="A1045" s="7" t="s">
        <v>2309</v>
      </c>
      <c r="B1045" t="str">
        <f t="shared" si="176"/>
        <v>PIKK IV кв. 2022</v>
      </c>
      <c r="C1045">
        <v>2022</v>
      </c>
      <c r="D1045">
        <f>SUMIFS(Дивиденды!$C:$C,Дивиденды!$A:$A,A1045,Дивиденды!$I:$I,C1045)</f>
        <v>0</v>
      </c>
      <c r="E1045">
        <v>8</v>
      </c>
      <c r="F1045">
        <f t="shared" si="177"/>
        <v>0</v>
      </c>
      <c r="G1045">
        <f t="shared" si="178"/>
        <v>53.333333333333336</v>
      </c>
      <c r="H1045">
        <f t="shared" si="179"/>
        <v>0</v>
      </c>
      <c r="I1045">
        <f t="shared" si="180"/>
        <v>0.66666666666666663</v>
      </c>
      <c r="J1045">
        <f t="shared" si="181"/>
        <v>-1</v>
      </c>
      <c r="K1045">
        <f t="shared" si="186"/>
        <v>0.66666666666666663</v>
      </c>
      <c r="L1045">
        <f t="shared" si="182"/>
        <v>0</v>
      </c>
      <c r="M1045">
        <f t="shared" si="183"/>
        <v>0.66666666666666663</v>
      </c>
      <c r="N1045">
        <f t="shared" si="184"/>
        <v>1</v>
      </c>
      <c r="O1045">
        <f t="shared" si="185"/>
        <v>0</v>
      </c>
      <c r="P1045" t="str">
        <f>IFERROR(LN('Дивиденды по годам'!I1045),"")</f>
        <v/>
      </c>
      <c r="Q1045" t="str">
        <f>IFERROR('Дивиденды по годам'!G1045/'Дивиденды по годам'!I1045, "")</f>
        <v/>
      </c>
      <c r="R1045" t="str">
        <f>IFERROR(IF(AND('Дивиденды по годам'!N1045&lt;&gt;"",'Дивиденды по годам'!U1045&lt;&gt;"",'Дивиденды по годам'!U1045&lt;&gt;0),'Дивиденды по годам'!N1045/'Дивиденды по годам'!U1045-1,""),"")</f>
        <v/>
      </c>
      <c r="S1045" t="str">
        <f>IFERROR(IF(AND('Дивиденды по годам'!L1045&lt;&gt;"",'Дивиденды по годам'!I1045&lt;&gt;"",'Дивиденды по годам'!J1045&lt;&gt;"",'Дивиденды по годам'!K1045&lt;&gt;"",('Дивиденды по годам'!I1045-'Дивиденды по годам'!J1045-'Дивиденды по годам'!K1045)&lt;&gt;0),'Дивиденды по годам'!L1045/('Дивиденды по годам'!I1045-'Дивиденды по годам'!J1045-'Дивиденды по годам'!K1045),""),"")</f>
        <v/>
      </c>
      <c r="T1045" t="str">
        <f>IFERROR(IF(AND('Дивиденды по годам'!Q1045&lt;&gt;"",'Дивиденды по годам'!I1045&lt;&gt;"",'Дивиденды по годам'!V1045&lt;&gt;"",('Дивиденды по годам'!I1045+'Дивиденды по годам'!V1045)&lt;&gt;0),'Дивиденды по годам'!Q1045/(('Дивиденды по годам'!I1045+'Дивиденды по годам'!V1045)/2),""),"")</f>
        <v/>
      </c>
      <c r="U1045" t="str">
        <f>IFERROR(IF(AND('Дивиденды по годам'!J1045&lt;&gt;"",'Дивиденды по годам'!K1045&lt;&gt;"",'Дивиденды по годам'!M1045&lt;&gt;"",'Дивиденды по годам'!M1045&lt;&gt;0),('Дивиденды по годам'!J1045+'Дивиденды по годам'!K1045)/'Дивиденды по годам'!M1045,""),"")</f>
        <v/>
      </c>
      <c r="V1045" t="str">
        <f>IFERROR(IF(AND('Дивиденды по годам'!J1045&lt;&gt;"",'Дивиденды по годам'!K1045&lt;&gt;"",'Дивиденды по годам'!M1045&lt;&gt;"",'Дивиденды по годам'!I1045&lt;&gt;0),('Дивиденды по годам'!J1045+'Дивиденды по годам'!K1045)/'Дивиденды по годам'!I1045,""),"")</f>
        <v/>
      </c>
      <c r="W1045" t="str">
        <f>IFERROR('Дивиденды по годам'!I1045,"")</f>
        <v/>
      </c>
      <c r="X1045" cm="1">
        <f t="array" ref="X1045">IFERROR(AVERAGE(_xlfn._xlws.FILTER(P$2:P$1073,($C$2:$C$1073=$C1045)*($E$2:$E$1073=$E1045)*(ROW(P$2:P$1073)&lt;&gt;ROW(P1045))*(P$2:P$1073&lt;&gt;""))),"")</f>
        <v>26.576744159584223</v>
      </c>
      <c r="Y1045" cm="1">
        <f t="array" ref="Y1045">IFERROR(AVERAGE(_xlfn._xlws.FILTER(Q$2:Q$1073,($C$2:$C$1073=$C1045)*($E$2:$E$1073=$E1045)*(ROW(Q$2:Q$1073)&lt;&gt;ROW(Q1045))*(Q$2:Q$1073&lt;&gt;""))),"")</f>
        <v>3.2352701169703686E-2</v>
      </c>
      <c r="Z1045" cm="1">
        <f t="array" ref="Z1045">IFERROR(AVERAGE(_xlfn._xlws.FILTER(R$2:R$1073,($C$2:$C$1073=$C1045)*($E$2:$E$1073=$E1045)*(ROW(R$2:R$1073)&lt;&gt;ROW(R1045))*(R$2:R$1073&lt;&gt;""))),"")</f>
        <v>0.28199675304833532</v>
      </c>
      <c r="AA1045" cm="1">
        <f t="array" ref="AA1045">IFERROR(AVERAGE(_xlfn._xlws.FILTER(S$2:S$1073,($C$2:$C$1073=$C1045)*($E$2:$E$1073=$E1045)*(ROW(S$2:S$1073)&lt;&gt;ROW(S1045))*(S$2:S$1073&lt;&gt;""))),"")</f>
        <v>0.65619459299296234</v>
      </c>
      <c r="AB1045" cm="1">
        <f t="array" ref="AB1045">IFERROR(AVERAGE(_xlfn._xlws.FILTER(T$2:T$1073,($C$2:$C$1073=$C1045)*($E$2:$E$1073=$E1045)*(ROW(T$2:T$1073)&lt;&gt;ROW(T1045))*(T$2:T$1073&lt;&gt;""))),"")</f>
        <v>4.6594765160478779E-2</v>
      </c>
      <c r="AC1045" cm="1">
        <f t="array" ref="AC1045">IFERROR(AVERAGE(_xlfn._xlws.FILTER(U$2:U$1073,($C$2:$C$1073=$C1045)*($E$2:$E$1073=$E1045)*(ROW(U$2:U$1073)&lt;&gt;ROW(U1045))*(U$2:U$1073&lt;&gt;""))),"")</f>
        <v>6.5880536805218455</v>
      </c>
      <c r="AD1045" cm="1">
        <f t="array" ref="AD1045">IFERROR(AVERAGE(_xlfn._xlws.FILTER(V$2:V$1073,($C$2:$C$1073=$C1045)*($E$2:$E$1073=$E1045)*(ROW(V$2:V$1073)&lt;&gt;ROW(V1045))*(V$2:V$1073&lt;&gt;""))),"")</f>
        <v>0.80073269290679194</v>
      </c>
      <c r="AE1045">
        <f>IF('Дивиденды по годам'!M1045&lt;0,1,0)</f>
        <v>0</v>
      </c>
    </row>
    <row r="1046" spans="1:31" x14ac:dyDescent="0.2">
      <c r="A1046" s="7" t="s">
        <v>2309</v>
      </c>
      <c r="B1046" t="str">
        <f t="shared" si="176"/>
        <v>PIKK IV кв. 2021</v>
      </c>
      <c r="C1046">
        <v>2021</v>
      </c>
      <c r="D1046">
        <f>SUMIFS(Дивиденды!$C:$C,Дивиденды!$A:$A,A1046,Дивиденды!$I:$I,C1046)</f>
        <v>22.92</v>
      </c>
      <c r="E1046">
        <v>8</v>
      </c>
      <c r="F1046">
        <f t="shared" si="177"/>
        <v>22.92</v>
      </c>
      <c r="G1046">
        <f t="shared" si="178"/>
        <v>13.666666666666666</v>
      </c>
      <c r="H1046">
        <f t="shared" si="179"/>
        <v>1</v>
      </c>
      <c r="I1046">
        <f t="shared" si="180"/>
        <v>0.33333333333333331</v>
      </c>
      <c r="J1046">
        <f t="shared" si="181"/>
        <v>-0.49314462627156119</v>
      </c>
      <c r="K1046">
        <f t="shared" si="186"/>
        <v>-0.33333333333333331</v>
      </c>
      <c r="L1046">
        <f t="shared" si="182"/>
        <v>0</v>
      </c>
      <c r="M1046">
        <f t="shared" si="183"/>
        <v>0</v>
      </c>
      <c r="N1046">
        <f t="shared" si="184"/>
        <v>1</v>
      </c>
      <c r="O1046">
        <f t="shared" si="185"/>
        <v>0.33333333333333331</v>
      </c>
      <c r="P1046">
        <f>IFERROR(LN('Дивиденды по годам'!I1046),"")</f>
        <v>27.690564683027606</v>
      </c>
      <c r="Q1046">
        <f>IFERROR('Дивиденды по годам'!G1046/'Дивиденды по годам'!I1046, "")</f>
        <v>2.8067031484370879E-2</v>
      </c>
      <c r="R1046">
        <f>IFERROR(IF(AND('Дивиденды по годам'!N1046&lt;&gt;"",'Дивиденды по годам'!U1046&lt;&gt;"",'Дивиденды по годам'!U1046&lt;&gt;0),'Дивиденды по годам'!N1046/'Дивиденды по годам'!U1046-1,""),"")</f>
        <v>0.28315634691617508</v>
      </c>
      <c r="S1046">
        <f>IFERROR(IF(AND('Дивиденды по годам'!L1046&lt;&gt;"",'Дивиденды по годам'!I1046&lt;&gt;"",'Дивиденды по годам'!J1046&lt;&gt;"",'Дивиденды по годам'!K1046&lt;&gt;"",('Дивиденды по годам'!I1046-'Дивиденды по годам'!J1046-'Дивиденды по годам'!K1046)&lt;&gt;0),'Дивиденды по годам'!L1046/('Дивиденды по годам'!I1046-'Дивиденды по годам'!J1046-'Дивиденды по годам'!K1046),""),"")</f>
        <v>0.84644550492018877</v>
      </c>
      <c r="T1046">
        <f>IFERROR(IF(AND('Дивиденды по годам'!Q1046&lt;&gt;"",'Дивиденды по годам'!I1046&lt;&gt;"",'Дивиденды по годам'!V1046&lt;&gt;"",('Дивиденды по годам'!I1046+'Дивиденды по годам'!V1046)&lt;&gt;0),'Дивиденды по годам'!Q1046/(('Дивиденды по годам'!I1046+'Дивиденды по годам'!V1046)/2),""),"")</f>
        <v>0.1211407119801656</v>
      </c>
      <c r="U1046">
        <f>IFERROR(IF(AND('Дивиденды по годам'!J1046&lt;&gt;"",'Дивиденды по годам'!K1046&lt;&gt;"",'Дивиденды по годам'!M1046&lt;&gt;"",'Дивиденды по годам'!M1046&lt;&gt;0),('Дивиденды по годам'!J1046+'Дивиденды по годам'!K1046)/'Дивиденды по годам'!M1046,""),"")</f>
        <v>3.0813225098153825</v>
      </c>
      <c r="V1046">
        <f>IFERROR(IF(AND('Дивиденды по годам'!J1046&lt;&gt;"",'Дивиденды по годам'!K1046&lt;&gt;"",'Дивиденды по годам'!M1046&lt;&gt;"",'Дивиденды по годам'!I1046&lt;&gt;0),('Дивиденды по годам'!J1046+'Дивиденды по годам'!K1046)/'Дивиденды по годам'!I1046,""),"")</f>
        <v>0.75498138223699585</v>
      </c>
      <c r="W1046">
        <f>IFERROR('Дивиденды по годам'!I1046,"")</f>
        <v>1061352000000</v>
      </c>
      <c r="X1046" cm="1">
        <f t="array" ref="X1046">IFERROR(AVERAGE(_xlfn._xlws.FILTER(P$2:P$1073,($C$2:$C$1073=$C1046)*($E$2:$E$1073=$E1046)*(ROW(P$2:P$1073)&lt;&gt;ROW(P1046))*(P$2:P$1073&lt;&gt;""))),"")</f>
        <v>26.253679114458194</v>
      </c>
      <c r="Y1046" cm="1">
        <f t="array" ref="Y1046">IFERROR(AVERAGE(_xlfn._xlws.FILTER(Q$2:Q$1073,($C$2:$C$1073=$C1046)*($E$2:$E$1073=$E1046)*(ROW(Q$2:Q$1073)&lt;&gt;ROW(Q1046))*(Q$2:Q$1073&lt;&gt;""))),"")</f>
        <v>3.3693826331857517E-2</v>
      </c>
      <c r="Z1046" cm="1">
        <f t="array" ref="Z1046">IFERROR(AVERAGE(_xlfn._xlws.FILTER(R$2:R$1073,($C$2:$C$1073=$C1046)*($E$2:$E$1073=$E1046)*(ROW(R$2:R$1073)&lt;&gt;ROW(R1046))*(R$2:R$1073&lt;&gt;""))),"")</f>
        <v>0.25298261860298249</v>
      </c>
      <c r="AA1046" cm="1">
        <f t="array" ref="AA1046">IFERROR(AVERAGE(_xlfn._xlws.FILTER(S$2:S$1073,($C$2:$C$1073=$C1046)*($E$2:$E$1073=$E1046)*(ROW(S$2:S$1073)&lt;&gt;ROW(S1046))*(S$2:S$1073&lt;&gt;""))),"")</f>
        <v>0.57354448614698106</v>
      </c>
      <c r="AB1046" cm="1">
        <f t="array" ref="AB1046">IFERROR(AVERAGE(_xlfn._xlws.FILTER(T$2:T$1073,($C$2:$C$1073=$C1046)*($E$2:$E$1073=$E1046)*(ROW(T$2:T$1073)&lt;&gt;ROW(T1046))*(T$2:T$1073&lt;&gt;""))),"")</f>
        <v>4.0611886601604467E-2</v>
      </c>
      <c r="AC1046" cm="1">
        <f t="array" ref="AC1046">IFERROR(AVERAGE(_xlfn._xlws.FILTER(U$2:U$1073,($C$2:$C$1073=$C1046)*($E$2:$E$1073=$E1046)*(ROW(U$2:U$1073)&lt;&gt;ROW(U1046))*(U$2:U$1073&lt;&gt;""))),"")</f>
        <v>5.6655304489631204</v>
      </c>
      <c r="AD1046" cm="1">
        <f t="array" ref="AD1046">IFERROR(AVERAGE(_xlfn._xlws.FILTER(V$2:V$1073,($C$2:$C$1073=$C1046)*($E$2:$E$1073=$E1046)*(ROW(V$2:V$1073)&lt;&gt;ROW(V1046))*(V$2:V$1073&lt;&gt;""))),"")</f>
        <v>0.79264286870999889</v>
      </c>
      <c r="AE1046">
        <f>IF('Дивиденды по годам'!M1046&lt;0,1,0)</f>
        <v>0</v>
      </c>
    </row>
    <row r="1047" spans="1:31" x14ac:dyDescent="0.2">
      <c r="A1047" s="7" t="s">
        <v>2309</v>
      </c>
      <c r="B1047" t="str">
        <f t="shared" si="176"/>
        <v>PIKK IV кв. 2020</v>
      </c>
      <c r="C1047">
        <v>2020</v>
      </c>
      <c r="D1047">
        <f>SUMIFS(Дивиденды!$C:$C,Дивиденды!$A:$A,A1047,Дивиденды!$I:$I,C1047)</f>
        <v>45.22</v>
      </c>
      <c r="E1047">
        <v>8</v>
      </c>
      <c r="F1047">
        <f t="shared" si="177"/>
        <v>45.22</v>
      </c>
      <c r="G1047">
        <f t="shared" si="178"/>
        <v>33.333333333333336</v>
      </c>
      <c r="H1047">
        <f t="shared" si="179"/>
        <v>1</v>
      </c>
      <c r="I1047">
        <f t="shared" si="180"/>
        <v>0.66666666666666663</v>
      </c>
      <c r="J1047">
        <f t="shared" si="181"/>
        <v>1</v>
      </c>
      <c r="K1047">
        <f t="shared" si="186"/>
        <v>0.65555555555555556</v>
      </c>
      <c r="L1047">
        <f t="shared" si="182"/>
        <v>1</v>
      </c>
      <c r="M1047">
        <f t="shared" si="183"/>
        <v>0.66666666666666663</v>
      </c>
      <c r="N1047">
        <f t="shared" si="184"/>
        <v>0</v>
      </c>
      <c r="O1047">
        <f t="shared" si="185"/>
        <v>0</v>
      </c>
      <c r="P1047">
        <f>IFERROR(LN('Дивиденды по годам'!I1047),"")</f>
        <v>27.198402670127823</v>
      </c>
      <c r="Q1047">
        <f>IFERROR('Дивиденды по годам'!G1047/'Дивиденды по годам'!I1047, "")</f>
        <v>5.47866240860162E-2</v>
      </c>
      <c r="R1047">
        <f>IFERROR(IF(AND('Дивиденды по годам'!N1047&lt;&gt;"",'Дивиденды по годам'!U1047&lt;&gt;"",'Дивиденды по годам'!U1047&lt;&gt;0),'Дивиденды по годам'!N1047/'Дивиденды по годам'!U1047-1,""),"")</f>
        <v>0.35464571418390434</v>
      </c>
      <c r="S1047">
        <f>IFERROR(IF(AND('Дивиденды по годам'!L1047&lt;&gt;"",'Дивиденды по годам'!I1047&lt;&gt;"",'Дивиденды по годам'!J1047&lt;&gt;"",'Дивиденды по годам'!K1047&lt;&gt;"",('Дивиденды по годам'!I1047-'Дивиденды по годам'!J1047-'Дивиденды по годам'!K1047)&lt;&gt;0),'Дивиденды по годам'!L1047/('Дивиденды по годам'!I1047-'Дивиденды по годам'!J1047-'Дивиденды по годам'!K1047),""),"")</f>
        <v>0.80819588505356232</v>
      </c>
      <c r="T1047">
        <f>IFERROR(IF(AND('Дивиденды по годам'!Q1047&lt;&gt;"",'Дивиденды по годам'!I1047&lt;&gt;"",'Дивиденды по годам'!V1047&lt;&gt;"",('Дивиденды по годам'!I1047+'Дивиденды по годам'!V1047)&lt;&gt;0),'Дивиденды по годам'!Q1047/(('Дивиденды по годам'!I1047+'Дивиденды по годам'!V1047)/2),""),"")</f>
        <v>0.15434002699830748</v>
      </c>
      <c r="U1047">
        <f>IFERROR(IF(AND('Дивиденды по годам'!J1047&lt;&gt;"",'Дивиденды по годам'!K1047&lt;&gt;"",'Дивиденды по годам'!M1047&lt;&gt;"",'Дивиденды по годам'!M1047&lt;&gt;0),('Дивиденды по годам'!J1047+'Дивиденды по годам'!K1047)/'Дивиденды по годам'!M1047,""),"")</f>
        <v>2.5587978783507301</v>
      </c>
      <c r="V1047">
        <f>IFERROR(IF(AND('Дивиденды по годам'!J1047&lt;&gt;"",'Дивиденды по годам'!K1047&lt;&gt;"",'Дивиденды по годам'!M1047&lt;&gt;"",'Дивиденды по годам'!I1047&lt;&gt;0),('Дивиденды по годам'!J1047+'Дивиденды по годам'!K1047)/'Дивиденды по годам'!I1047,""),"")</f>
        <v>0.71900623913391948</v>
      </c>
      <c r="W1047">
        <f>IFERROR('Дивиденды по годам'!I1047,"")</f>
        <v>648808000000</v>
      </c>
      <c r="X1047" cm="1">
        <f t="array" ref="X1047">IFERROR(AVERAGE(_xlfn._xlws.FILTER(P$2:P$1073,($C$2:$C$1073=$C1047)*($E$2:$E$1073=$E1047)*(ROW(P$2:P$1073)&lt;&gt;ROW(P1047))*(P$2:P$1073&lt;&gt;""))),"")</f>
        <v>25.868785707828135</v>
      </c>
      <c r="Y1047" cm="1">
        <f t="array" ref="Y1047">IFERROR(AVERAGE(_xlfn._xlws.FILTER(Q$2:Q$1073,($C$2:$C$1073=$C1047)*($E$2:$E$1073=$E1047)*(ROW(Q$2:Q$1073)&lt;&gt;ROW(Q1047))*(Q$2:Q$1073&lt;&gt;""))),"")</f>
        <v>3.5186066417577648E-2</v>
      </c>
      <c r="Z1047" cm="1">
        <f t="array" ref="Z1047">IFERROR(AVERAGE(_xlfn._xlws.FILTER(R$2:R$1073,($C$2:$C$1073=$C1047)*($E$2:$E$1073=$E1047)*(ROW(R$2:R$1073)&lt;&gt;ROW(R1047))*(R$2:R$1073&lt;&gt;""))),"")</f>
        <v>5.9451579937412014E-2</v>
      </c>
      <c r="AA1047" cm="1">
        <f t="array" ref="AA1047">IFERROR(AVERAGE(_xlfn._xlws.FILTER(S$2:S$1073,($C$2:$C$1073=$C1047)*($E$2:$E$1073=$E1047)*(ROW(S$2:S$1073)&lt;&gt;ROW(S1047))*(S$2:S$1073&lt;&gt;""))),"")</f>
        <v>0.61616443648654384</v>
      </c>
      <c r="AB1047" cm="1">
        <f t="array" ref="AB1047">IFERROR(AVERAGE(_xlfn._xlws.FILTER(T$2:T$1073,($C$2:$C$1073=$C1047)*($E$2:$E$1073=$E1047)*(ROW(T$2:T$1073)&lt;&gt;ROW(T1047))*(T$2:T$1073&lt;&gt;""))),"")</f>
        <v>3.5499139887587926E-2</v>
      </c>
      <c r="AC1047" cm="1">
        <f t="array" ref="AC1047">IFERROR(AVERAGE(_xlfn._xlws.FILTER(U$2:U$1073,($C$2:$C$1073=$C1047)*($E$2:$E$1073=$E1047)*(ROW(U$2:U$1073)&lt;&gt;ROW(U1047))*(U$2:U$1073&lt;&gt;""))),"")</f>
        <v>4.3687871824726923</v>
      </c>
      <c r="AD1047" cm="1">
        <f t="array" ref="AD1047">IFERROR(AVERAGE(_xlfn._xlws.FILTER(V$2:V$1073,($C$2:$C$1073=$C1047)*($E$2:$E$1073=$E1047)*(ROW(V$2:V$1073)&lt;&gt;ROW(V1047))*(V$2:V$1073&lt;&gt;""))),"")</f>
        <v>0.76490281263401572</v>
      </c>
      <c r="AE1047">
        <f>IF('Дивиденды по годам'!M1047&lt;0,1,0)</f>
        <v>0</v>
      </c>
    </row>
    <row r="1048" spans="1:31" x14ac:dyDescent="0.2">
      <c r="A1048" s="7" t="s">
        <v>2309</v>
      </c>
      <c r="B1048" t="str">
        <f t="shared" si="176"/>
        <v>PIKK IV кв. 2019</v>
      </c>
      <c r="C1048">
        <v>2019</v>
      </c>
      <c r="D1048">
        <f>SUMIFS(Дивиденды!$C:$C,Дивиденды!$A:$A,A1048,Дивиденды!$I:$I,C1048)</f>
        <v>0</v>
      </c>
      <c r="E1048">
        <v>8</v>
      </c>
      <c r="F1048">
        <f t="shared" si="177"/>
        <v>0</v>
      </c>
      <c r="G1048">
        <f t="shared" si="178"/>
        <v>10</v>
      </c>
      <c r="H1048">
        <f t="shared" si="179"/>
        <v>0</v>
      </c>
      <c r="I1048">
        <f t="shared" si="180"/>
        <v>0.33333333333333331</v>
      </c>
      <c r="J1048">
        <f t="shared" si="181"/>
        <v>-1</v>
      </c>
      <c r="K1048">
        <f t="shared" si="186"/>
        <v>-0.20512820512820515</v>
      </c>
      <c r="L1048">
        <f t="shared" si="182"/>
        <v>0</v>
      </c>
      <c r="M1048">
        <f t="shared" si="183"/>
        <v>0</v>
      </c>
      <c r="N1048">
        <f t="shared" si="184"/>
        <v>1</v>
      </c>
      <c r="O1048">
        <f t="shared" si="185"/>
        <v>0.33333333333333331</v>
      </c>
      <c r="P1048">
        <f>IFERROR(LN('Дивиденды по годам'!I1048),"")</f>
        <v>26.88025117844397</v>
      </c>
      <c r="Q1048">
        <f>IFERROR('Дивиденды по годам'!G1048/'Дивиденды по годам'!I1048, "")</f>
        <v>7.2993180128092403E-2</v>
      </c>
      <c r="R1048">
        <f>IFERROR(IF(AND('Дивиденды по годам'!N1048&lt;&gt;"",'Дивиденды по годам'!U1048&lt;&gt;"",'Дивиденды по годам'!U1048&lt;&gt;0),'Дивиденды по годам'!N1048/'Дивиденды по годам'!U1048-1,""),"")</f>
        <v>0.14192067774264827</v>
      </c>
      <c r="S1048">
        <f>IFERROR(IF(AND('Дивиденды по годам'!L1048&lt;&gt;"",'Дивиденды по годам'!I1048&lt;&gt;"",'Дивиденды по годам'!J1048&lt;&gt;"",'Дивиденды по годам'!K1048&lt;&gt;"",('Дивиденды по годам'!I1048-'Дивиденды по годам'!J1048-'Дивиденды по годам'!K1048)&lt;&gt;0),'Дивиденды по годам'!L1048/('Дивиденды по годам'!I1048-'Дивиденды по годам'!J1048-'Дивиденды по годам'!K1048),""),"")</f>
        <v>0.68876033657333524</v>
      </c>
      <c r="T1048">
        <f>IFERROR(IF(AND('Дивиденды по годам'!Q1048&lt;&gt;"",'Дивиденды по годам'!I1048&lt;&gt;"",'Дивиденды по годам'!V1048&lt;&gt;"",('Дивиденды по годам'!I1048+'Дивиденды по годам'!V1048)&lt;&gt;0),'Дивиденды по годам'!Q1048/(('Дивиденды по годам'!I1048+'Дивиденды по годам'!V1048)/2),""),"")</f>
        <v>0.10956724907586864</v>
      </c>
      <c r="U1048">
        <f>IFERROR(IF(AND('Дивиденды по годам'!J1048&lt;&gt;"",'Дивиденды по годам'!K1048&lt;&gt;"",'Дивиденды по годам'!M1048&lt;&gt;"",'Дивиденды по годам'!M1048&lt;&gt;0),('Дивиденды по годам'!J1048+'Дивиденды по годам'!K1048)/'Дивиденды по годам'!M1048,""),"")</f>
        <v>3.2797312490932828</v>
      </c>
      <c r="V1048">
        <f>IFERROR(IF(AND('Дивиденды по годам'!J1048&lt;&gt;"",'Дивиденды по годам'!K1048&lt;&gt;"",'Дивиденды по годам'!M1048&lt;&gt;"",'Дивиденды по годам'!I1048&lt;&gt;0),('Дивиденды по годам'!J1048+'Дивиденды по годам'!K1048)/'Дивиденды по годам'!I1048,""),"")</f>
        <v>0.76634046817499046</v>
      </c>
      <c r="W1048">
        <f>IFERROR('Дивиденды по годам'!I1048,"")</f>
        <v>472003000000</v>
      </c>
      <c r="X1048" cm="1">
        <f t="array" ref="X1048">IFERROR(AVERAGE(_xlfn._xlws.FILTER(P$2:P$1073,($C$2:$C$1073=$C1048)*($E$2:$E$1073=$E1048)*(ROW(P$2:P$1073)&lt;&gt;ROW(P1048))*(P$2:P$1073&lt;&gt;""))),"")</f>
        <v>25.751647942734362</v>
      </c>
      <c r="Y1048" cm="1">
        <f t="array" ref="Y1048">IFERROR(AVERAGE(_xlfn._xlws.FILTER(Q$2:Q$1073,($C$2:$C$1073=$C1048)*($E$2:$E$1073=$E1048)*(ROW(Q$2:Q$1073)&lt;&gt;ROW(Q1048))*(Q$2:Q$1073&lt;&gt;""))),"")</f>
        <v>3.9005003297473168E-2</v>
      </c>
      <c r="Z1048" cm="1">
        <f t="array" ref="Z1048">IFERROR(AVERAGE(_xlfn._xlws.FILTER(R$2:R$1073,($C$2:$C$1073=$C1048)*($E$2:$E$1073=$E1048)*(ROW(R$2:R$1073)&lt;&gt;ROW(R1048))*(R$2:R$1073&lt;&gt;""))),"")</f>
        <v>8.0472830185779623E-2</v>
      </c>
      <c r="AA1048" cm="1">
        <f t="array" ref="AA1048">IFERROR(AVERAGE(_xlfn._xlws.FILTER(S$2:S$1073,($C$2:$C$1073=$C1048)*($E$2:$E$1073=$E1048)*(ROW(S$2:S$1073)&lt;&gt;ROW(S1048))*(S$2:S$1073&lt;&gt;""))),"")</f>
        <v>0.58587039773606053</v>
      </c>
      <c r="AB1048" cm="1">
        <f t="array" ref="AB1048">IFERROR(AVERAGE(_xlfn._xlws.FILTER(T$2:T$1073,($C$2:$C$1073=$C1048)*($E$2:$E$1073=$E1048)*(ROW(T$2:T$1073)&lt;&gt;ROW(T1048))*(T$2:T$1073&lt;&gt;""))),"")</f>
        <v>1.3982540483423338E-2</v>
      </c>
      <c r="AC1048" cm="1">
        <f t="array" ref="AC1048">IFERROR(AVERAGE(_xlfn._xlws.FILTER(U$2:U$1073,($C$2:$C$1073=$C1048)*($E$2:$E$1073=$E1048)*(ROW(U$2:U$1073)&lt;&gt;ROW(U1048))*(U$2:U$1073&lt;&gt;""))),"")</f>
        <v>5.7884203944858639</v>
      </c>
      <c r="AD1048" cm="1">
        <f t="array" ref="AD1048">IFERROR(AVERAGE(_xlfn._xlws.FILTER(V$2:V$1073,($C$2:$C$1073=$C1048)*($E$2:$E$1073=$E1048)*(ROW(V$2:V$1073)&lt;&gt;ROW(V1048))*(V$2:V$1073&lt;&gt;""))),"")</f>
        <v>0.76821384440390672</v>
      </c>
      <c r="AE1048">
        <f>IF('Дивиденды по годам'!M1048&lt;0,1,0)</f>
        <v>0</v>
      </c>
    </row>
    <row r="1049" spans="1:31" x14ac:dyDescent="0.2">
      <c r="A1049" s="7" t="s">
        <v>2309</v>
      </c>
      <c r="B1049" t="str">
        <f t="shared" si="176"/>
        <v>PIKK IV кв. 2018</v>
      </c>
      <c r="C1049">
        <v>2018</v>
      </c>
      <c r="D1049">
        <f>SUMIFS(Дивиденды!$C:$C,Дивиденды!$A:$A,A1049,Дивиденды!$I:$I,C1049)</f>
        <v>45.42</v>
      </c>
      <c r="E1049">
        <v>8</v>
      </c>
      <c r="F1049">
        <f t="shared" si="177"/>
        <v>45.42</v>
      </c>
      <c r="G1049">
        <f t="shared" si="178"/>
        <v>26</v>
      </c>
      <c r="H1049">
        <f t="shared" si="179"/>
        <v>1</v>
      </c>
      <c r="I1049">
        <f t="shared" si="180"/>
        <v>0.33333333333333331</v>
      </c>
      <c r="J1049">
        <f t="shared" si="181"/>
        <v>1</v>
      </c>
      <c r="K1049">
        <f t="shared" si="186"/>
        <v>0</v>
      </c>
      <c r="L1049">
        <f t="shared" si="182"/>
        <v>1</v>
      </c>
      <c r="M1049">
        <f t="shared" si="183"/>
        <v>0</v>
      </c>
      <c r="N1049">
        <f t="shared" si="184"/>
        <v>0</v>
      </c>
      <c r="O1049">
        <f t="shared" si="185"/>
        <v>0</v>
      </c>
      <c r="P1049">
        <f>IFERROR(LN('Дивиденды по годам'!I1049),"")</f>
        <v>26.585398731591049</v>
      </c>
      <c r="Q1049">
        <f>IFERROR('Дивиденды по годам'!G1049/'Дивиденды по годам'!I1049, "")</f>
        <v>7.4512124686675785E-2</v>
      </c>
      <c r="R1049">
        <f>IFERROR(IF(AND('Дивиденды по годам'!N1049&lt;&gt;"",'Дивиденды по годам'!U1049&lt;&gt;"",'Дивиденды по годам'!U1049&lt;&gt;0),'Дивиденды по годам'!N1049/'Дивиденды по годам'!U1049-1,""),"")</f>
        <v>0.40325122477645681</v>
      </c>
      <c r="S1049">
        <f>IFERROR(IF(AND('Дивиденды по годам'!L1049&lt;&gt;"",'Дивиденды по годам'!I1049&lt;&gt;"",'Дивиденды по годам'!J1049&lt;&gt;"",'Дивиденды по годам'!K1049&lt;&gt;"",('Дивиденды по годам'!I1049-'Дивиденды по годам'!J1049-'Дивиденды по годам'!K1049)&lt;&gt;0),'Дивиденды по годам'!L1049/('Дивиденды по годам'!I1049-'Дивиденды по годам'!J1049-'Дивиденды по годам'!K1049),""),"")</f>
        <v>0.49108858605565414</v>
      </c>
      <c r="T1049">
        <f>IFERROR(IF(AND('Дивиденды по годам'!Q1049&lt;&gt;"",'Дивиденды по годам'!I1049&lt;&gt;"",'Дивиденды по годам'!V1049&lt;&gt;"",('Дивиденды по годам'!I1049+'Дивиденды по годам'!V1049)&lt;&gt;0),'Дивиденды по годам'!Q1049/(('Дивиденды по годам'!I1049+'Дивиденды по годам'!V1049)/2),""),"")</f>
        <v>5.825170867019068E-2</v>
      </c>
      <c r="U1049">
        <f>IFERROR(IF(AND('Дивиденды по годам'!J1049&lt;&gt;"",'Дивиденды по годам'!K1049&lt;&gt;"",'Дивиденды по годам'!M1049&lt;&gt;"",'Дивиденды по годам'!M1049&lt;&gt;0),('Дивиденды по годам'!J1049+'Дивиденды по годам'!K1049)/'Дивиденды по годам'!M1049,""),"")</f>
        <v>4.1557553798536038</v>
      </c>
      <c r="V1049">
        <f>IFERROR(IF(AND('Дивиденды по годам'!J1049&lt;&gt;"",'Дивиденды по годам'!K1049&lt;&gt;"",'Дивиденды по годам'!M1049&lt;&gt;"",'Дивиденды по годам'!I1049&lt;&gt;0),('Дивиденды по годам'!J1049+'Дивиденды по годам'!K1049)/'Дивиденды по годам'!I1049,""),"")</f>
        <v>0.80604200038125262</v>
      </c>
      <c r="W1049">
        <f>IFERROR('Дивиденды по годам'!I1049,"")</f>
        <v>351473000000</v>
      </c>
      <c r="X1049" cm="1">
        <f t="array" ref="X1049">IFERROR(AVERAGE(_xlfn._xlws.FILTER(P$2:P$1073,($C$2:$C$1073=$C1049)*($E$2:$E$1073=$E1049)*(ROW(P$2:P$1073)&lt;&gt;ROW(P1049))*(P$2:P$1073&lt;&gt;""))),"")</f>
        <v>25.580851111891473</v>
      </c>
      <c r="Y1049" cm="1">
        <f t="array" ref="Y1049">IFERROR(AVERAGE(_xlfn._xlws.FILTER(Q$2:Q$1073,($C$2:$C$1073=$C1049)*($E$2:$E$1073=$E1049)*(ROW(Q$2:Q$1073)&lt;&gt;ROW(Q1049))*(Q$2:Q$1073&lt;&gt;""))),"")</f>
        <v>3.9655212260234586E-2</v>
      </c>
      <c r="Z1049" cm="1">
        <f t="array" ref="Z1049">IFERROR(AVERAGE(_xlfn._xlws.FILTER(R$2:R$1073,($C$2:$C$1073=$C1049)*($E$2:$E$1073=$E1049)*(ROW(R$2:R$1073)&lt;&gt;ROW(R1049))*(R$2:R$1073&lt;&gt;""))),"")</f>
        <v>1.792888521222058E-3</v>
      </c>
      <c r="AA1049" cm="1">
        <f t="array" ref="AA1049">IFERROR(AVERAGE(_xlfn._xlws.FILTER(S$2:S$1073,($C$2:$C$1073=$C1049)*($E$2:$E$1073=$E1049)*(ROW(S$2:S$1073)&lt;&gt;ROW(S1049))*(S$2:S$1073&lt;&gt;""))),"")</f>
        <v>0.66975988236838813</v>
      </c>
      <c r="AB1049" cm="1">
        <f t="array" ref="AB1049">IFERROR(AVERAGE(_xlfn._xlws.FILTER(T$2:T$1073,($C$2:$C$1073=$C1049)*($E$2:$E$1073=$E1049)*(ROW(T$2:T$1073)&lt;&gt;ROW(T1049))*(T$2:T$1073&lt;&gt;""))),"")</f>
        <v>4.0004251434509121E-2</v>
      </c>
      <c r="AC1049" cm="1">
        <f t="array" ref="AC1049">IFERROR(AVERAGE(_xlfn._xlws.FILTER(U$2:U$1073,($C$2:$C$1073=$C1049)*($E$2:$E$1073=$E1049)*(ROW(U$2:U$1073)&lt;&gt;ROW(U1049))*(U$2:U$1073&lt;&gt;""))),"")</f>
        <v>4.0998753438932489</v>
      </c>
      <c r="AD1049" cm="1">
        <f t="array" ref="AD1049">IFERROR(AVERAGE(_xlfn._xlws.FILTER(V$2:V$1073,($C$2:$C$1073=$C1049)*($E$2:$E$1073=$E1049)*(ROW(V$2:V$1073)&lt;&gt;ROW(V1049))*(V$2:V$1073&lt;&gt;""))),"")</f>
        <v>0.70502156182037268</v>
      </c>
      <c r="AE1049">
        <f>IF('Дивиденды по годам'!M1049&lt;0,1,0)</f>
        <v>0</v>
      </c>
    </row>
    <row r="1050" spans="1:31" x14ac:dyDescent="0.2">
      <c r="A1050" s="7" t="s">
        <v>2309</v>
      </c>
      <c r="B1050" t="str">
        <f t="shared" si="176"/>
        <v>PIKK IV кв. 2017</v>
      </c>
      <c r="C1050">
        <v>2017</v>
      </c>
      <c r="D1050">
        <f>SUMIFS(Дивиденды!$C:$C,Дивиденды!$A:$A,A1050,Дивиденды!$I:$I,C1050)</f>
        <v>0</v>
      </c>
      <c r="E1050">
        <v>8</v>
      </c>
      <c r="F1050">
        <f t="shared" si="177"/>
        <v>0</v>
      </c>
      <c r="G1050">
        <f t="shared" si="178"/>
        <v>26</v>
      </c>
      <c r="H1050">
        <f t="shared" si="179"/>
        <v>0</v>
      </c>
      <c r="I1050">
        <f t="shared" si="180"/>
        <v>0.33333333333333331</v>
      </c>
      <c r="J1050">
        <f t="shared" si="181"/>
        <v>0</v>
      </c>
      <c r="K1050">
        <f t="shared" si="186"/>
        <v>0</v>
      </c>
      <c r="L1050">
        <f t="shared" si="182"/>
        <v>0</v>
      </c>
      <c r="M1050">
        <f t="shared" si="183"/>
        <v>0</v>
      </c>
      <c r="N1050">
        <f t="shared" si="184"/>
        <v>0</v>
      </c>
      <c r="O1050">
        <f t="shared" si="185"/>
        <v>0</v>
      </c>
      <c r="P1050">
        <f>IFERROR(LN('Дивиденды по годам'!I1050),"")</f>
        <v>26.658657263423599</v>
      </c>
      <c r="Q1050">
        <f>IFERROR('Дивиденды по годам'!G1050/'Дивиденды по годам'!I1050, "")</f>
        <v>6.2201867854083152E-2</v>
      </c>
      <c r="R1050">
        <f>IFERROR(IF(AND('Дивиденды по годам'!N1050&lt;&gt;"",'Дивиденды по годам'!U1050&lt;&gt;"",'Дивиденды по годам'!U1050&lt;&gt;0),'Дивиденды по годам'!N1050/'Дивиденды по годам'!U1050-1,""),"")</f>
        <v>1.9145282076884671</v>
      </c>
      <c r="S1050">
        <f>IFERROR(IF(AND('Дивиденды по годам'!L1050&lt;&gt;"",'Дивиденды по годам'!I1050&lt;&gt;"",'Дивиденды по годам'!J1050&lt;&gt;"",'Дивиденды по годам'!K1050&lt;&gt;"",('Дивиденды по годам'!I1050-'Дивиденды по годам'!J1050-'Дивиденды по годам'!K1050)&lt;&gt;0),'Дивиденды по годам'!L1050/('Дивиденды по годам'!I1050-'Дивиденды по годам'!J1050-'Дивиденды по годам'!K1050),""),"")</f>
        <v>0.40585595212652276</v>
      </c>
      <c r="T1050">
        <f>IFERROR(IF(AND('Дивиденды по годам'!Q1050&lt;&gt;"",'Дивиденды по годам'!I1050&lt;&gt;"",'Дивиденды по годам'!V1050&lt;&gt;"",('Дивиденды по годам'!I1050+'Дивиденды по годам'!V1050)&lt;&gt;0),'Дивиденды по годам'!Q1050/(('Дивиденды по годам'!I1050+'Дивиденды по годам'!V1050)/2),""),"")</f>
        <v>6.9433116932546028E-3</v>
      </c>
      <c r="U1050">
        <f>IFERROR(IF(AND('Дивиденды по годам'!J1050&lt;&gt;"",'Дивиденды по годам'!K1050&lt;&gt;"",'Дивиденды по годам'!M1050&lt;&gt;"",'Дивиденды по годам'!M1050&lt;&gt;0),('Дивиденды по годам'!J1050+'Дивиденды по годам'!K1050)/'Дивиденды по годам'!M1050,""),"")</f>
        <v>5.7355560304908453</v>
      </c>
      <c r="V1050">
        <f>IFERROR(IF(AND('Дивиденды по годам'!J1050&lt;&gt;"",'Дивиденды по годам'!K1050&lt;&gt;"",'Дивиденды по годам'!M1050&lt;&gt;"",'Дивиденды по годам'!I1050&lt;&gt;0),('Дивиденды по годам'!J1050+'Дивиденды по годам'!K1050)/'Дивиденды по годам'!I1050,""),"")</f>
        <v>0.85153415761473128</v>
      </c>
      <c r="W1050">
        <f>IFERROR('Дивиденды по годам'!I1050,"")</f>
        <v>378188000000</v>
      </c>
      <c r="X1050" cm="1">
        <f t="array" ref="X1050">IFERROR(AVERAGE(_xlfn._xlws.FILTER(P$2:P$1073,($C$2:$C$1073=$C1050)*($E$2:$E$1073=$E1050)*(ROW(P$2:P$1073)&lt;&gt;ROW(P1050))*(P$2:P$1073&lt;&gt;""))),"")</f>
        <v>25.496716708439738</v>
      </c>
      <c r="Y1050" cm="1">
        <f t="array" ref="Y1050">IFERROR(AVERAGE(_xlfn._xlws.FILTER(Q$2:Q$1073,($C$2:$C$1073=$C1050)*($E$2:$E$1073=$E1050)*(ROW(Q$2:Q$1073)&lt;&gt;ROW(Q1050))*(Q$2:Q$1073&lt;&gt;""))),"")</f>
        <v>4.6953865205004719E-2</v>
      </c>
      <c r="Z1050" cm="1">
        <f t="array" ref="Z1050">IFERROR(AVERAGE(_xlfn._xlws.FILTER(R$2:R$1073,($C$2:$C$1073=$C1050)*($E$2:$E$1073=$E1050)*(ROW(R$2:R$1073)&lt;&gt;ROW(R1050))*(R$2:R$1073&lt;&gt;""))),"")</f>
        <v>0.55037169842008871</v>
      </c>
      <c r="AA1050" cm="1">
        <f t="array" ref="AA1050">IFERROR(AVERAGE(_xlfn._xlws.FILTER(S$2:S$1073,($C$2:$C$1073=$C1050)*($E$2:$E$1073=$E1050)*(ROW(S$2:S$1073)&lt;&gt;ROW(S1050))*(S$2:S$1073&lt;&gt;""))),"")</f>
        <v>0.61010283838771551</v>
      </c>
      <c r="AB1050" cm="1">
        <f t="array" ref="AB1050">IFERROR(AVERAGE(_xlfn._xlws.FILTER(T$2:T$1073,($C$2:$C$1073=$C1050)*($E$2:$E$1073=$E1050)*(ROW(T$2:T$1073)&lt;&gt;ROW(T1050))*(T$2:T$1073&lt;&gt;""))),"")</f>
        <v>7.2692560837621212E-2</v>
      </c>
      <c r="AC1050" cm="1">
        <f t="array" ref="AC1050">IFERROR(AVERAGE(_xlfn._xlws.FILTER(U$2:U$1073,($C$2:$C$1073=$C1050)*($E$2:$E$1073=$E1050)*(ROW(U$2:U$1073)&lt;&gt;ROW(U1050))*(U$2:U$1073&lt;&gt;""))),"")</f>
        <v>5.0288849383675593</v>
      </c>
      <c r="AD1050" cm="1">
        <f t="array" ref="AD1050">IFERROR(AVERAGE(_xlfn._xlws.FILTER(V$2:V$1073,($C$2:$C$1073=$C1050)*($E$2:$E$1073=$E1050)*(ROW(V$2:V$1073)&lt;&gt;ROW(V1050))*(V$2:V$1073&lt;&gt;""))),"")</f>
        <v>0.71552237645299888</v>
      </c>
      <c r="AE1050">
        <f>IF('Дивиденды по годам'!M1050&lt;0,1,0)</f>
        <v>0</v>
      </c>
    </row>
    <row r="1051" spans="1:31" x14ac:dyDescent="0.2">
      <c r="A1051" s="7" t="s">
        <v>2309</v>
      </c>
      <c r="B1051" t="str">
        <f t="shared" si="176"/>
        <v>PIKK IV кв. 2016</v>
      </c>
      <c r="C1051">
        <v>2016</v>
      </c>
      <c r="D1051">
        <f>SUMIFS(Дивиденды!$C:$C,Дивиденды!$A:$A,A1051,Дивиденды!$I:$I,C1051)</f>
        <v>0</v>
      </c>
      <c r="E1051">
        <v>8</v>
      </c>
      <c r="F1051">
        <f t="shared" si="177"/>
        <v>0</v>
      </c>
      <c r="G1051">
        <f t="shared" si="178"/>
        <v>26</v>
      </c>
      <c r="H1051">
        <f t="shared" si="179"/>
        <v>0</v>
      </c>
      <c r="I1051">
        <f t="shared" si="180"/>
        <v>0.33333333333333331</v>
      </c>
      <c r="J1051">
        <f t="shared" si="181"/>
        <v>0</v>
      </c>
      <c r="K1051">
        <f t="shared" si="186"/>
        <v>0</v>
      </c>
      <c r="L1051">
        <f t="shared" si="182"/>
        <v>0</v>
      </c>
      <c r="M1051">
        <f t="shared" si="183"/>
        <v>0</v>
      </c>
      <c r="N1051">
        <f t="shared" si="184"/>
        <v>0</v>
      </c>
      <c r="O1051">
        <f t="shared" si="185"/>
        <v>0</v>
      </c>
      <c r="P1051">
        <f>IFERROR(LN('Дивиденды по годам'!I1051),"")</f>
        <v>26.602356442834171</v>
      </c>
      <c r="Q1051">
        <f>IFERROR('Дивиденды по годам'!G1051/'Дивиденды по годам'!I1051, "")</f>
        <v>6.483087354958543E-2</v>
      </c>
      <c r="R1051">
        <f>IFERROR(IF(AND('Дивиденды по годам'!N1051&lt;&gt;"",'Дивиденды по годам'!U1051&lt;&gt;"",'Дивиденды по годам'!U1051&lt;&gt;0),'Дивиденды по годам'!N1051/'Дивиденды по годам'!U1051-1,""),"")</f>
        <v>0.17519361652194321</v>
      </c>
      <c r="S1051">
        <f>IFERROR(IF(AND('Дивиденды по годам'!L1051&lt;&gt;"",'Дивиденды по годам'!I1051&lt;&gt;"",'Дивиденды по годам'!J1051&lt;&gt;"",'Дивиденды по годам'!K1051&lt;&gt;"",('Дивиденды по годам'!I1051-'Дивиденды по годам'!J1051-'Дивиденды по годам'!K1051)&lt;&gt;0),'Дивиденды по годам'!L1051/('Дивиденды по годам'!I1051-'Дивиденды по годам'!J1051-'Дивиденды по годам'!K1051),""),"")</f>
        <v>0.4050344490858786</v>
      </c>
      <c r="T1051">
        <f>IFERROR(IF(AND('Дивиденды по годам'!Q1051&lt;&gt;"",'Дивиденды по годам'!I1051&lt;&gt;"",'Дивиденды по годам'!V1051&lt;&gt;"",('Дивиденды по годам'!I1051+'Дивиденды по годам'!V1051)&lt;&gt;0),'Дивиденды по годам'!Q1051/(('Дивиденды по годам'!I1051+'Дивиденды по годам'!V1051)/2),""),"")</f>
        <v>8.8175290668240744E-2</v>
      </c>
      <c r="U1051">
        <f>IFERROR(IF(AND('Дивиденды по годам'!J1051&lt;&gt;"",'Дивиденды по годам'!K1051&lt;&gt;"",'Дивиденды по годам'!M1051&lt;&gt;"",'Дивиденды по годам'!M1051&lt;&gt;0),('Дивиденды по годам'!J1051+'Дивиденды по годам'!K1051)/'Дивиденды по годам'!M1051,""),"")</f>
        <v>5.4645653628456214</v>
      </c>
      <c r="V1051">
        <f>IFERROR(IF(AND('Дивиденды по годам'!J1051&lt;&gt;"",'Дивиденды по годам'!K1051&lt;&gt;"",'Дивиденды по годам'!M1051&lt;&gt;"",'Дивиденды по годам'!I1051&lt;&gt;0),('Дивиденды по годам'!J1051+'Дивиденды по годам'!K1051)/'Дивиденды по годам'!I1051,""),"")</f>
        <v>0.84531055935370536</v>
      </c>
      <c r="W1051">
        <f>IFERROR('Дивиденды по годам'!I1051,"")</f>
        <v>357484000000</v>
      </c>
      <c r="X1051" cm="1">
        <f t="array" ref="X1051">IFERROR(AVERAGE(_xlfn._xlws.FILTER(P$2:P$1073,($C$2:$C$1073=$C1051)*($E$2:$E$1073=$E1051)*(ROW(P$2:P$1073)&lt;&gt;ROW(P1051))*(P$2:P$1073&lt;&gt;""))),"")</f>
        <v>25.248750197363044</v>
      </c>
      <c r="Y1051" cm="1">
        <f t="array" ref="Y1051">IFERROR(AVERAGE(_xlfn._xlws.FILTER(Q$2:Q$1073,($C$2:$C$1073=$C1051)*($E$2:$E$1073=$E1051)*(ROW(Q$2:Q$1073)&lt;&gt;ROW(Q1051))*(Q$2:Q$1073&lt;&gt;""))),"")</f>
        <v>6.3625847098099611E-2</v>
      </c>
      <c r="Z1051" cm="1">
        <f t="array" ref="Z1051">IFERROR(AVERAGE(_xlfn._xlws.FILTER(R$2:R$1073,($C$2:$C$1073=$C1051)*($E$2:$E$1073=$E1051)*(ROW(R$2:R$1073)&lt;&gt;ROW(R1051))*(R$2:R$1073&lt;&gt;""))),"")</f>
        <v>0.12946681512320501</v>
      </c>
      <c r="AA1051" cm="1">
        <f t="array" ref="AA1051">IFERROR(AVERAGE(_xlfn._xlws.FILTER(S$2:S$1073,($C$2:$C$1073=$C1051)*($E$2:$E$1073=$E1051)*(ROW(S$2:S$1073)&lt;&gt;ROW(S1051))*(S$2:S$1073&lt;&gt;""))),"")</f>
        <v>0.42287486348354142</v>
      </c>
      <c r="AB1051" cm="1">
        <f t="array" ref="AB1051">IFERROR(AVERAGE(_xlfn._xlws.FILTER(T$2:T$1073,($C$2:$C$1073=$C1051)*($E$2:$E$1073=$E1051)*(ROW(T$2:T$1073)&lt;&gt;ROW(T1051))*(T$2:T$1073&lt;&gt;""))),"")</f>
        <v>4.077866257615545E-2</v>
      </c>
      <c r="AC1051" cm="1">
        <f t="array" ref="AC1051">IFERROR(AVERAGE(_xlfn._xlws.FILTER(U$2:U$1073,($C$2:$C$1073=$C1051)*($E$2:$E$1073=$E1051)*(ROW(U$2:U$1073)&lt;&gt;ROW(U1051))*(U$2:U$1073&lt;&gt;""))),"")</f>
        <v>7.0950757303801932</v>
      </c>
      <c r="AD1051" cm="1">
        <f t="array" ref="AD1051">IFERROR(AVERAGE(_xlfn._xlws.FILTER(V$2:V$1073,($C$2:$C$1073=$C1051)*($E$2:$E$1073=$E1051)*(ROW(V$2:V$1073)&lt;&gt;ROW(V1051))*(V$2:V$1073&lt;&gt;""))),"")</f>
        <v>0.8206514684211661</v>
      </c>
      <c r="AE1051">
        <f>IF('Дивиденды по годам'!M1051&lt;0,1,0)</f>
        <v>0</v>
      </c>
    </row>
    <row r="1052" spans="1:31" x14ac:dyDescent="0.2">
      <c r="A1052" s="7" t="s">
        <v>2309</v>
      </c>
      <c r="B1052" t="str">
        <f t="shared" si="176"/>
        <v>PIKK IV кв. 2015</v>
      </c>
      <c r="C1052">
        <v>2015</v>
      </c>
      <c r="D1052">
        <f>SUMIFS(Дивиденды!$C:$C,Дивиденды!$A:$A,A1052,Дивиденды!$I:$I,C1052)</f>
        <v>0</v>
      </c>
      <c r="E1052">
        <v>8</v>
      </c>
      <c r="F1052">
        <f t="shared" si="177"/>
        <v>0</v>
      </c>
      <c r="G1052">
        <f t="shared" si="178"/>
        <v>26</v>
      </c>
      <c r="H1052">
        <f t="shared" si="179"/>
        <v>0</v>
      </c>
      <c r="I1052">
        <f t="shared" si="180"/>
        <v>0.33333333333333331</v>
      </c>
      <c r="J1052">
        <f t="shared" si="181"/>
        <v>-1</v>
      </c>
      <c r="K1052">
        <f t="shared" si="186"/>
        <v>0</v>
      </c>
      <c r="L1052">
        <f t="shared" si="182"/>
        <v>0</v>
      </c>
      <c r="M1052">
        <f t="shared" si="183"/>
        <v>0</v>
      </c>
      <c r="N1052">
        <f t="shared" si="184"/>
        <v>1</v>
      </c>
      <c r="O1052">
        <f t="shared" si="185"/>
        <v>0</v>
      </c>
      <c r="P1052">
        <f>IFERROR(LN('Дивиденды по годам'!I1052),"")</f>
        <v>25.393333854512345</v>
      </c>
      <c r="Q1052">
        <f>IFERROR('Дивиденды по годам'!G1052/'Дивиденды по годам'!I1052, "")</f>
        <v>7.2648891804507759E-2</v>
      </c>
      <c r="R1052">
        <f>IFERROR(IF(AND('Дивиденды по годам'!N1052&lt;&gt;"",'Дивиденды по годам'!U1052&lt;&gt;"",'Дивиденды по годам'!U1052&lt;&gt;0),'Дивиденды по годам'!N1052/'Дивиденды по годам'!U1052-1,""),"")</f>
        <v>-0.16532810969637612</v>
      </c>
      <c r="S1052">
        <f>IFERROR(IF(AND('Дивиденды по годам'!L1052&lt;&gt;"",'Дивиденды по годам'!I1052&lt;&gt;"",'Дивиденды по годам'!J1052&lt;&gt;"",'Дивиденды по годам'!K1052&lt;&gt;"",('Дивиденды по годам'!I1052-'Дивиденды по годам'!J1052-'Дивиденды по годам'!K1052)&lt;&gt;0),'Дивиденды по годам'!L1052/('Дивиденды по годам'!I1052-'Дивиденды по годам'!J1052-'Дивиденды по годам'!K1052),""),"")</f>
        <v>-2.6445170549974042E-2</v>
      </c>
      <c r="T1052">
        <f>IFERROR(IF(AND('Дивиденды по годам'!Q1052&lt;&gt;"",'Дивиденды по годам'!I1052&lt;&gt;"",'Дивиденды по годам'!V1052&lt;&gt;"",('Дивиденды по годам'!I1052+'Дивиденды по годам'!V1052)&lt;&gt;0),'Дивиденды по годам'!Q1052/(('Дивиденды по годам'!I1052+'Дивиденды по годам'!V1052)/2),""),"")</f>
        <v>0.11243635006604372</v>
      </c>
      <c r="U1052">
        <f>IFERROR(IF(AND('Дивиденды по годам'!J1052&lt;&gt;"",'Дивиденды по годам'!K1052&lt;&gt;"",'Дивиденды по годам'!M1052&lt;&gt;"",'Дивиденды по годам'!M1052&lt;&gt;0),('Дивиденды по годам'!J1052+'Дивиденды по годам'!K1052)/'Дивиденды по годам'!M1052,""),"")</f>
        <v>2.258466424405289</v>
      </c>
      <c r="V1052">
        <f>IFERROR(IF(AND('Дивиденды по годам'!J1052&lt;&gt;"",'Дивиденды по годам'!K1052&lt;&gt;"",'Дивиденды по годам'!M1052&lt;&gt;"",'Дивиденды по годам'!I1052&lt;&gt;0),('Дивиденды по годам'!J1052+'Дивиденды по годам'!K1052)/'Дивиденды по годам'!I1052,""),"")</f>
        <v>0.69310716461271726</v>
      </c>
      <c r="W1052">
        <f>IFERROR('Дивиденды по годам'!I1052,"")</f>
        <v>106705000000</v>
      </c>
      <c r="X1052" cm="1">
        <f t="array" ref="X1052">IFERROR(AVERAGE(_xlfn._xlws.FILTER(P$2:P$1073,($C$2:$C$1073=$C1052)*($E$2:$E$1073=$E1052)*(ROW(P$2:P$1073)&lt;&gt;ROW(P1052))*(P$2:P$1073&lt;&gt;""))),"")</f>
        <v>26.043255126685558</v>
      </c>
      <c r="Y1052" cm="1">
        <f t="array" ref="Y1052">IFERROR(AVERAGE(_xlfn._xlws.FILTER(Q$2:Q$1073,($C$2:$C$1073=$C1052)*($E$2:$E$1073=$E1052)*(ROW(Q$2:Q$1073)&lt;&gt;ROW(Q1052))*(Q$2:Q$1073&lt;&gt;""))),"")</f>
        <v>0.14199169002871503</v>
      </c>
      <c r="Z1052" cm="1">
        <f t="array" ref="Z1052">IFERROR(AVERAGE(_xlfn._xlws.FILTER(R$2:R$1073,($C$2:$C$1073=$C1052)*($E$2:$E$1073=$E1052)*(ROW(R$2:R$1073)&lt;&gt;ROW(R1052))*(R$2:R$1073&lt;&gt;""))),"")</f>
        <v>-5.9740061139064382E-2</v>
      </c>
      <c r="AA1052" cm="1">
        <f t="array" ref="AA1052">IFERROR(AVERAGE(_xlfn._xlws.FILTER(S$2:S$1073,($C$2:$C$1073=$C1052)*($E$2:$E$1073=$E1052)*(ROW(S$2:S$1073)&lt;&gt;ROW(S1052))*(S$2:S$1073&lt;&gt;""))),"")</f>
        <v>0.37543060012685225</v>
      </c>
      <c r="AB1052" cm="1">
        <f t="array" ref="AB1052">IFERROR(AVERAGE(_xlfn._xlws.FILTER(T$2:T$1073,($C$2:$C$1073=$C1052)*($E$2:$E$1073=$E1052)*(ROW(T$2:T$1073)&lt;&gt;ROW(T1052))*(T$2:T$1073&lt;&gt;""))),"")</f>
        <v>5.2782105216432063E-2</v>
      </c>
      <c r="AC1052" cm="1">
        <f t="array" ref="AC1052">IFERROR(AVERAGE(_xlfn._xlws.FILTER(U$2:U$1073,($C$2:$C$1073=$C1052)*($E$2:$E$1073=$E1052)*(ROW(U$2:U$1073)&lt;&gt;ROW(U1052))*(U$2:U$1073&lt;&gt;""))),"")</f>
        <v>2.0058757928523696</v>
      </c>
      <c r="AD1052" cm="1">
        <f t="array" ref="AD1052">IFERROR(AVERAGE(_xlfn._xlws.FILTER(V$2:V$1073,($C$2:$C$1073=$C1052)*($E$2:$E$1073=$E1052)*(ROW(V$2:V$1073)&lt;&gt;ROW(V1052))*(V$2:V$1073&lt;&gt;""))),"")</f>
        <v>0.66731825633717601</v>
      </c>
      <c r="AE1052">
        <f>IF('Дивиденды по годам'!M1052&lt;0,1,0)</f>
        <v>0</v>
      </c>
    </row>
    <row r="1053" spans="1:31" x14ac:dyDescent="0.2">
      <c r="A1053" s="7" t="s">
        <v>2309</v>
      </c>
      <c r="B1053" t="str">
        <f t="shared" si="176"/>
        <v>PIKK IV кв. 2014</v>
      </c>
      <c r="C1053">
        <v>2014</v>
      </c>
      <c r="D1053">
        <f>SUMIFS(Дивиденды!$C:$C,Дивиденды!$A:$A,A1053,Дивиденды!$I:$I,C1053)</f>
        <v>4.16</v>
      </c>
      <c r="E1053">
        <v>8</v>
      </c>
      <c r="F1053">
        <f t="shared" si="177"/>
        <v>4.16</v>
      </c>
      <c r="G1053">
        <f t="shared" si="178"/>
        <v>26</v>
      </c>
      <c r="H1053">
        <f t="shared" si="179"/>
        <v>1</v>
      </c>
      <c r="I1053">
        <f t="shared" si="180"/>
        <v>0.33333333333333331</v>
      </c>
      <c r="J1053">
        <f t="shared" si="181"/>
        <v>1</v>
      </c>
      <c r="K1053">
        <f t="shared" si="186"/>
        <v>0.31666666666666665</v>
      </c>
      <c r="L1053">
        <f t="shared" si="182"/>
        <v>1</v>
      </c>
      <c r="M1053">
        <f t="shared" si="183"/>
        <v>0.33333333333333331</v>
      </c>
      <c r="N1053">
        <f t="shared" si="184"/>
        <v>0</v>
      </c>
      <c r="O1053">
        <f t="shared" si="185"/>
        <v>0</v>
      </c>
      <c r="P1053">
        <f>IFERROR(LN('Дивиденды по годам'!I1053),"")</f>
        <v>25.297440589231982</v>
      </c>
      <c r="Q1053">
        <f>IFERROR('Дивиденды по годам'!G1053/'Дивиденды по годам'!I1053, "")</f>
        <v>8.8645459421545572E-2</v>
      </c>
      <c r="R1053">
        <f>IFERROR(IF(AND('Дивиденды по годам'!N1053&lt;&gt;"",'Дивиденды по годам'!U1053&lt;&gt;"",'Дивиденды по годам'!U1053&lt;&gt;0),'Дивиденды по годам'!N1053/'Дивиденды по годам'!U1053-1,""),"")</f>
        <v>-2.0513886446125063E-2</v>
      </c>
      <c r="S1053">
        <f>IFERROR(IF(AND('Дивиденды по годам'!L1053&lt;&gt;"",'Дивиденды по годам'!I1053&lt;&gt;"",'Дивиденды по годам'!J1053&lt;&gt;"",'Дивиденды по годам'!K1053&lt;&gt;"",('Дивиденды по годам'!I1053-'Дивиденды по годам'!J1053-'Дивиденды по годам'!K1053)&lt;&gt;0),'Дивиденды по годам'!L1053/('Дивиденды по годам'!I1053-'Дивиденды по годам'!J1053-'Дивиденды по годам'!K1053),""),"")</f>
        <v>-0.56575798808239108</v>
      </c>
      <c r="T1053">
        <f>IFERROR(IF(AND('Дивиденды по годам'!Q1053&lt;&gt;"",'Дивиденды по годам'!I1053&lt;&gt;"",'Дивиденды по годам'!V1053&lt;&gt;"",('Дивиденды по годам'!I1053+'Дивиденды по годам'!V1053)&lt;&gt;0),'Дивиденды по годам'!Q1053/(('Дивиденды по годам'!I1053+'Дивиденды по годам'!V1053)/2),""),"")</f>
        <v>3.5409633997730873E-2</v>
      </c>
      <c r="U1053">
        <f>IFERROR(IF(AND('Дивиденды по годам'!J1053&lt;&gt;"",'Дивиденды по годам'!K1053&lt;&gt;"",'Дивиденды по годам'!M1053&lt;&gt;"",'Дивиденды по годам'!M1053&lt;&gt;0),('Дивиденды по годам'!J1053+'Дивиденды по годам'!K1053)/'Дивиденды по годам'!M1053,""),"")</f>
        <v>3.5487730493126262</v>
      </c>
      <c r="V1053">
        <f>IFERROR(IF(AND('Дивиденды по годам'!J1053&lt;&gt;"",'Дивиденды по годам'!K1053&lt;&gt;"",'Дивиденды по годам'!M1053&lt;&gt;"",'Дивиденды по годам'!I1053&lt;&gt;0),('Дивиденды по годам'!J1053+'Дивиденды по годам'!K1053)/'Дивиденды по годам'!I1053,""),"")</f>
        <v>0.78016049841151958</v>
      </c>
      <c r="W1053">
        <f>IFERROR('Дивиденды по годам'!I1053,"")</f>
        <v>96948000000</v>
      </c>
      <c r="X1053" cm="1">
        <f t="array" ref="X1053">IFERROR(AVERAGE(_xlfn._xlws.FILTER(P$2:P$1073,($C$2:$C$1073=$C1053)*($E$2:$E$1073=$E1053)*(ROW(P$2:P$1073)&lt;&gt;ROW(P1053))*(P$2:P$1073&lt;&gt;""))),"")</f>
        <v>26.016578948068734</v>
      </c>
      <c r="Y1053" cm="1">
        <f t="array" ref="Y1053">IFERROR(AVERAGE(_xlfn._xlws.FILTER(Q$2:Q$1073,($C$2:$C$1073=$C1053)*($E$2:$E$1073=$E1053)*(ROW(Q$2:Q$1073)&lt;&gt;ROW(Q1053))*(Q$2:Q$1073&lt;&gt;""))),"")</f>
        <v>0.14115663433522604</v>
      </c>
      <c r="Z1053" cm="1">
        <f t="array" ref="Z1053">IFERROR(AVERAGE(_xlfn._xlws.FILTER(R$2:R$1073,($C$2:$C$1073=$C1053)*($E$2:$E$1073=$E1053)*(ROW(R$2:R$1073)&lt;&gt;ROW(R1053))*(R$2:R$1073&lt;&gt;""))),"")</f>
        <v>0.41384816821299331</v>
      </c>
      <c r="AA1053" cm="1">
        <f t="array" ref="AA1053">IFERROR(AVERAGE(_xlfn._xlws.FILTER(S$2:S$1073,($C$2:$C$1073=$C1053)*($E$2:$E$1073=$E1053)*(ROW(S$2:S$1073)&lt;&gt;ROW(S1053))*(S$2:S$1073&lt;&gt;""))),"")</f>
        <v>0.34809252409946667</v>
      </c>
      <c r="AB1053" cm="1">
        <f t="array" ref="AB1053">IFERROR(AVERAGE(_xlfn._xlws.FILTER(T$2:T$1073,($C$2:$C$1073=$C1053)*($E$2:$E$1073=$E1053)*(ROW(T$2:T$1073)&lt;&gt;ROW(T1053))*(T$2:T$1073&lt;&gt;""))),"")</f>
        <v>5.1928037914041304E-2</v>
      </c>
      <c r="AC1053" cm="1">
        <f t="array" ref="AC1053">IFERROR(AVERAGE(_xlfn._xlws.FILTER(U$2:U$1073,($C$2:$C$1073=$C1053)*($E$2:$E$1073=$E1053)*(ROW(U$2:U$1073)&lt;&gt;ROW(U1053))*(U$2:U$1073&lt;&gt;""))),"")</f>
        <v>2.0230589429781221</v>
      </c>
      <c r="AD1053" cm="1">
        <f t="array" ref="AD1053">IFERROR(AVERAGE(_xlfn._xlws.FILTER(V$2:V$1073,($C$2:$C$1073=$C1053)*($E$2:$E$1073=$E1053)*(ROW(V$2:V$1073)&lt;&gt;ROW(V1053))*(V$2:V$1073&lt;&gt;""))),"")</f>
        <v>0.66920922851247333</v>
      </c>
      <c r="AE1053">
        <f>IF('Дивиденды по годам'!M1053&lt;0,1,0)</f>
        <v>0</v>
      </c>
    </row>
    <row r="1054" spans="1:31" x14ac:dyDescent="0.2">
      <c r="A1054" s="7" t="s">
        <v>2309</v>
      </c>
      <c r="B1054" t="str">
        <f t="shared" si="176"/>
        <v>PIKK IV кв. 2013</v>
      </c>
      <c r="C1054">
        <v>2013</v>
      </c>
      <c r="D1054">
        <f>SUMIFS(Дивиденды!$C:$C,Дивиденды!$A:$A,A1054,Дивиденды!$I:$I,C1054)</f>
        <v>0</v>
      </c>
      <c r="E1054">
        <v>8</v>
      </c>
      <c r="F1054">
        <f t="shared" si="177"/>
        <v>0</v>
      </c>
      <c r="G1054">
        <f t="shared" si="178"/>
        <v>13.333333333333334</v>
      </c>
      <c r="H1054">
        <f t="shared" si="179"/>
        <v>0</v>
      </c>
      <c r="I1054">
        <f t="shared" si="180"/>
        <v>0.33333333333333331</v>
      </c>
      <c r="J1054">
        <f t="shared" si="181"/>
        <v>0</v>
      </c>
      <c r="K1054">
        <f t="shared" si="186"/>
        <v>0.33333333333333331</v>
      </c>
      <c r="L1054">
        <f t="shared" si="182"/>
        <v>0</v>
      </c>
      <c r="M1054">
        <f t="shared" si="183"/>
        <v>0.33333333333333331</v>
      </c>
      <c r="N1054">
        <f t="shared" si="184"/>
        <v>0</v>
      </c>
      <c r="O1054">
        <f t="shared" si="185"/>
        <v>0</v>
      </c>
      <c r="P1054">
        <f>IFERROR(LN('Дивиденды по годам'!I1054),"")</f>
        <v>25.487412184233467</v>
      </c>
      <c r="Q1054">
        <f>IFERROR('Дивиденды по годам'!G1054/'Дивиденды по годам'!I1054, "")</f>
        <v>7.718948059813531E-2</v>
      </c>
      <c r="R1054">
        <f>IFERROR(IF(AND('Дивиденды по годам'!N1054&lt;&gt;"",'Дивиденды по годам'!U1054&lt;&gt;"",'Дивиденды по годам'!U1054&lt;&gt;0),'Дивиденды по годам'!N1054/'Дивиденды по годам'!U1054-1,""),"")</f>
        <v>-5.4227343525533378E-2</v>
      </c>
      <c r="S1054" t="str">
        <f>IFERROR(IF(AND('Дивиденды по годам'!L1054&lt;&gt;"",'Дивиденды по годам'!I1054&lt;&gt;"",'Дивиденды по годам'!J1054&lt;&gt;"",'Дивиденды по годам'!K1054&lt;&gt;"",('Дивиденды по годам'!I1054-'Дивиденды по годам'!J1054-'Дивиденды по годам'!K1054)&lt;&gt;0),'Дивиденды по годам'!L1054/('Дивиденды по годам'!I1054-'Дивиденды по годам'!J1054-'Дивиденды по годам'!K1054),""),"")</f>
        <v/>
      </c>
      <c r="T1054">
        <f>IFERROR(IF(AND('Дивиденды по годам'!Q1054&lt;&gt;"",'Дивиденды по годам'!I1054&lt;&gt;"",'Дивиденды по годам'!V1054&lt;&gt;"",('Дивиденды по годам'!I1054+'Дивиденды по годам'!V1054)&lt;&gt;0),'Дивиденды по годам'!Q1054/(('Дивиденды по годам'!I1054+'Дивиденды по годам'!V1054)/2),""),"")</f>
        <v>6.1116308076083564E-2</v>
      </c>
      <c r="U1054">
        <f>IFERROR(IF(AND('Дивиденды по годам'!J1054&lt;&gt;"",'Дивиденды по годам'!K1054&lt;&gt;"",'Дивиденды по годам'!M1054&lt;&gt;"",'Дивиденды по годам'!M1054&lt;&gt;0),('Дивиденды по годам'!J1054+'Дивиденды по годам'!K1054)/'Дивиденды по годам'!M1054,""),"")</f>
        <v>4.6844784948843525</v>
      </c>
      <c r="V1054">
        <f>IFERROR(IF(AND('Дивиденды по годам'!J1054&lt;&gt;"",'Дивиденды по годам'!K1054&lt;&gt;"",'Дивиденды по годам'!M1054&lt;&gt;"",'Дивиденды по годам'!I1054&lt;&gt;0),('Дивиденды по годам'!J1054+'Дивиденды по годам'!K1054)/'Дивиденды по годам'!I1054,""),"")</f>
        <v>0.82408236729192785</v>
      </c>
      <c r="W1054">
        <f>IFERROR('Дивиденды по годам'!I1054,"")</f>
        <v>117231000000</v>
      </c>
      <c r="X1054" cm="1">
        <f t="array" ref="X1054">IFERROR(AVERAGE(_xlfn._xlws.FILTER(P$2:P$1073,($C$2:$C$1073=$C1054)*($E$2:$E$1073=$E1054)*(ROW(P$2:P$1073)&lt;&gt;ROW(P1054))*(P$2:P$1073&lt;&gt;""))),"")</f>
        <v>25.769362170085564</v>
      </c>
      <c r="Y1054" cm="1">
        <f t="array" ref="Y1054">IFERROR(AVERAGE(_xlfn._xlws.FILTER(Q$2:Q$1073,($C$2:$C$1073=$C1054)*($E$2:$E$1073=$E1054)*(ROW(Q$2:Q$1073)&lt;&gt;ROW(Q1054))*(Q$2:Q$1073&lt;&gt;""))),"")</f>
        <v>0.27523588003885763</v>
      </c>
      <c r="Z1054" cm="1">
        <f t="array" ref="Z1054">IFERROR(AVERAGE(_xlfn._xlws.FILTER(R$2:R$1073,($C$2:$C$1073=$C1054)*($E$2:$E$1073=$E1054)*(ROW(R$2:R$1073)&lt;&gt;ROW(R1054))*(R$2:R$1073&lt;&gt;""))),"")</f>
        <v>6.8626056301193339E-2</v>
      </c>
      <c r="AA1054" t="str" cm="1">
        <f t="array" ref="AA1054">IFERROR(AVERAGE(_xlfn._xlws.FILTER(S$2:S$1073,($C$2:$C$1073=$C1054)*($E$2:$E$1073=$E1054)*(ROW(S$2:S$1073)&lt;&gt;ROW(S1054))*(S$2:S$1073&lt;&gt;""))),"")</f>
        <v/>
      </c>
      <c r="AB1054" cm="1">
        <f t="array" ref="AB1054">IFERROR(AVERAGE(_xlfn._xlws.FILTER(T$2:T$1073,($C$2:$C$1073=$C1054)*($E$2:$E$1073=$E1054)*(ROW(T$2:T$1073)&lt;&gt;ROW(T1054))*(T$2:T$1073&lt;&gt;""))),"")</f>
        <v>3.5700666673369887E-2</v>
      </c>
      <c r="AC1054" cm="1">
        <f t="array" ref="AC1054">IFERROR(AVERAGE(_xlfn._xlws.FILTER(U$2:U$1073,($C$2:$C$1073=$C1054)*($E$2:$E$1073=$E1054)*(ROW(U$2:U$1073)&lt;&gt;ROW(U1054))*(U$2:U$1073&lt;&gt;""))),"")</f>
        <v>1.6320542146840915</v>
      </c>
      <c r="AD1054" cm="1">
        <f t="array" ref="AD1054">IFERROR(AVERAGE(_xlfn._xlws.FILTER(V$2:V$1073,($C$2:$C$1073=$C1054)*($E$2:$E$1073=$E1054)*(ROW(V$2:V$1073)&lt;&gt;ROW(V1054))*(V$2:V$1073&lt;&gt;""))),"")</f>
        <v>0.62006861620818721</v>
      </c>
      <c r="AE1054">
        <f>IF('Дивиденды по годам'!M1054&lt;0,1,0)</f>
        <v>0</v>
      </c>
    </row>
    <row r="1055" spans="1:31" x14ac:dyDescent="0.2">
      <c r="A1055" s="7" t="s">
        <v>2309</v>
      </c>
      <c r="B1055" t="str">
        <f t="shared" si="176"/>
        <v>PIKK IV кв. 2012</v>
      </c>
      <c r="C1055">
        <v>2012</v>
      </c>
      <c r="D1055">
        <f>SUMIFS(Дивиденды!$C:$C,Дивиденды!$A:$A,A1055,Дивиденды!$I:$I,C1055)</f>
        <v>0</v>
      </c>
      <c r="E1055">
        <v>8</v>
      </c>
      <c r="F1055">
        <f t="shared" si="177"/>
        <v>0</v>
      </c>
      <c r="G1055">
        <f t="shared" si="178"/>
        <v>6.666666666666667</v>
      </c>
      <c r="H1055">
        <f t="shared" si="179"/>
        <v>0</v>
      </c>
      <c r="I1055">
        <f t="shared" si="180"/>
        <v>0.33333333333333331</v>
      </c>
      <c r="J1055">
        <f t="shared" si="181"/>
        <v>0</v>
      </c>
      <c r="K1055">
        <f t="shared" si="186"/>
        <v>0</v>
      </c>
      <c r="L1055">
        <f t="shared" si="182"/>
        <v>0</v>
      </c>
      <c r="M1055">
        <f t="shared" si="183"/>
        <v>0</v>
      </c>
      <c r="N1055">
        <f t="shared" si="184"/>
        <v>0</v>
      </c>
      <c r="O1055">
        <f t="shared" si="185"/>
        <v>0</v>
      </c>
      <c r="P1055">
        <f>IFERROR(LN('Дивиденды по годам'!I1055),"")</f>
        <v>25.563516050221082</v>
      </c>
      <c r="Q1055">
        <f>IFERROR('Дивиденды по годам'!G1055/'Дивиденды по годам'!I1055, "")</f>
        <v>7.1746468407364372E-2</v>
      </c>
      <c r="R1055">
        <f>IFERROR(IF(AND('Дивиденды по годам'!N1055&lt;&gt;"",'Дивиденды по годам'!U1055&lt;&gt;"",'Дивиденды по годам'!U1055&lt;&gt;0),'Дивиденды по годам'!N1055/'Дивиденды по годам'!U1055-1,""),"")</f>
        <v>0.43786827857624311</v>
      </c>
      <c r="S1055" t="str">
        <f>IFERROR(IF(AND('Дивиденды по годам'!L1055&lt;&gt;"",'Дивиденды по годам'!I1055&lt;&gt;"",'Дивиденды по годам'!J1055&lt;&gt;"",'Дивиденды по годам'!K1055&lt;&gt;"",('Дивиденды по годам'!I1055-'Дивиденды по годам'!J1055-'Дивиденды по годам'!K1055)&lt;&gt;0),'Дивиденды по годам'!L1055/('Дивиденды по годам'!I1055-'Дивиденды по годам'!J1055-'Дивиденды по годам'!K1055),""),"")</f>
        <v/>
      </c>
      <c r="T1055">
        <f>IFERROR(IF(AND('Дивиденды по годам'!Q1055&lt;&gt;"",'Дивиденды по годам'!I1055&lt;&gt;"",'Дивиденды по годам'!V1055&lt;&gt;"",('Дивиденды по годам'!I1055+'Дивиденды по годам'!V1055)&lt;&gt;0),'Дивиденды по годам'!Q1055/(('Дивиденды по годам'!I1055+'Дивиденды по годам'!V1055)/2),""),"")</f>
        <v>2.4499069630790325E-2</v>
      </c>
      <c r="U1055">
        <f>IFERROR(IF(AND('Дивиденды по годам'!J1055&lt;&gt;"",'Дивиденды по годам'!K1055&lt;&gt;"",'Дивиденды по годам'!M1055&lt;&gt;"",'Дивиденды по годам'!M1055&lt;&gt;0),('Дивиденды по годам'!J1055+'Дивиденды по годам'!K1055)/'Дивиденды по годам'!M1055,""),"")</f>
        <v>36.817937219730943</v>
      </c>
      <c r="V1055">
        <f>IFERROR(IF(AND('Дивиденды по годам'!J1055&lt;&gt;"",'Дивиденды по годам'!K1055&lt;&gt;"",'Дивиденды по годам'!M1055&lt;&gt;"",'Дивиденды по годам'!I1055&lt;&gt;0),('Дивиденды по годам'!J1055+'Дивиденды по годам'!K1055)/'Дивиденды по годам'!I1055,""),"")</f>
        <v>0.97355752128441675</v>
      </c>
      <c r="W1055">
        <f>IFERROR('Дивиденды по годам'!I1055,"")</f>
        <v>126501000000</v>
      </c>
      <c r="X1055" cm="1">
        <f t="array" ref="X1055">IFERROR(AVERAGE(_xlfn._xlws.FILTER(P$2:P$1073,($C$2:$C$1073=$C1055)*($E$2:$E$1073=$E1055)*(ROW(P$2:P$1073)&lt;&gt;ROW(P1055))*(P$2:P$1073&lt;&gt;""))),"")</f>
        <v>25.64890851498329</v>
      </c>
      <c r="Y1055" cm="1">
        <f t="array" ref="Y1055">IFERROR(AVERAGE(_xlfn._xlws.FILTER(Q$2:Q$1073,($C$2:$C$1073=$C1055)*($E$2:$E$1073=$E1055)*(ROW(Q$2:Q$1073)&lt;&gt;ROW(Q1055))*(Q$2:Q$1073&lt;&gt;""))),"")</f>
        <v>0.28965059407948418</v>
      </c>
      <c r="Z1055" cm="1">
        <f t="array" ref="Z1055">IFERROR(AVERAGE(_xlfn._xlws.FILTER(R$2:R$1073,($C$2:$C$1073=$C1055)*($E$2:$E$1073=$E1055)*(ROW(R$2:R$1073)&lt;&gt;ROW(R1055))*(R$2:R$1073&lt;&gt;""))),"")</f>
        <v>0.1774613598628958</v>
      </c>
      <c r="AA1055" t="str" cm="1">
        <f t="array" ref="AA1055">IFERROR(AVERAGE(_xlfn._xlws.FILTER(S$2:S$1073,($C$2:$C$1073=$C1055)*($E$2:$E$1073=$E1055)*(ROW(S$2:S$1073)&lt;&gt;ROW(S1055))*(S$2:S$1073&lt;&gt;""))),"")</f>
        <v/>
      </c>
      <c r="AB1055" cm="1">
        <f t="array" ref="AB1055">IFERROR(AVERAGE(_xlfn._xlws.FILTER(T$2:T$1073,($C$2:$C$1073=$C1055)*($E$2:$E$1073=$E1055)*(ROW(T$2:T$1073)&lt;&gt;ROW(T1055))*(T$2:T$1073&lt;&gt;""))),"")</f>
        <v>3.7136747603905576E-2</v>
      </c>
      <c r="AC1055" cm="1">
        <f t="array" ref="AC1055">IFERROR(AVERAGE(_xlfn._xlws.FILTER(U$2:U$1073,($C$2:$C$1073=$C1055)*($E$2:$E$1073=$E1055)*(ROW(U$2:U$1073)&lt;&gt;ROW(U1055))*(U$2:U$1073&lt;&gt;""))),"")</f>
        <v>1.4298803811165557</v>
      </c>
      <c r="AD1055" cm="1">
        <f t="array" ref="AD1055">IFERROR(AVERAGE(_xlfn._xlws.FILTER(V$2:V$1073,($C$2:$C$1073=$C1055)*($E$2:$E$1073=$E1055)*(ROW(V$2:V$1073)&lt;&gt;ROW(V1055))*(V$2:V$1073&lt;&gt;""))),"")</f>
        <v>0.58845710769495185</v>
      </c>
      <c r="AE1055">
        <f>IF('Дивиденды по годам'!M1055&lt;0,1,0)</f>
        <v>0</v>
      </c>
    </row>
    <row r="1056" spans="1:31" x14ac:dyDescent="0.2">
      <c r="A1056" s="7" t="s">
        <v>2309</v>
      </c>
      <c r="B1056" t="str">
        <f t="shared" si="176"/>
        <v>PIKK IV кв. 2011</v>
      </c>
      <c r="C1056">
        <v>2011</v>
      </c>
      <c r="D1056">
        <f>SUMIFS(Дивиденды!$C:$C,Дивиденды!$A:$A,A1056,Дивиденды!$I:$I,C1056)</f>
        <v>0</v>
      </c>
      <c r="E1056">
        <v>8</v>
      </c>
      <c r="F1056">
        <f t="shared" si="177"/>
        <v>0</v>
      </c>
      <c r="G1056">
        <f t="shared" si="178"/>
        <v>6.666666666666667</v>
      </c>
      <c r="H1056">
        <f t="shared" si="179"/>
        <v>0</v>
      </c>
      <c r="I1056">
        <f t="shared" si="180"/>
        <v>0.33333333333333331</v>
      </c>
      <c r="J1056">
        <f t="shared" si="181"/>
        <v>0</v>
      </c>
      <c r="K1056">
        <f t="shared" si="186"/>
        <v>0.1111111111111111</v>
      </c>
      <c r="L1056">
        <f t="shared" si="182"/>
        <v>0</v>
      </c>
      <c r="M1056">
        <f t="shared" si="183"/>
        <v>0.33333333333333331</v>
      </c>
      <c r="N1056">
        <f t="shared" si="184"/>
        <v>0</v>
      </c>
      <c r="O1056">
        <f t="shared" si="185"/>
        <v>0</v>
      </c>
      <c r="P1056">
        <f>IFERROR(LN('Дивиденды по годам'!I1056),"")</f>
        <v>25.581324766885476</v>
      </c>
      <c r="Q1056">
        <f>IFERROR('Дивиденды по годам'!G1056/'Дивиденды по годам'!I1056, "")</f>
        <v>7.006849208691196E-2</v>
      </c>
      <c r="R1056" t="str">
        <f>IFERROR(IF(AND('Дивиденды по годам'!N1056&lt;&gt;"",'Дивиденды по годам'!U1056&lt;&gt;"",'Дивиденды по годам'!U1056&lt;&gt;0),'Дивиденды по годам'!N1056/'Дивиденды по годам'!U1056-1,""),"")</f>
        <v/>
      </c>
      <c r="S1056" t="str">
        <f>IFERROR(IF(AND('Дивиденды по годам'!L1056&lt;&gt;"",'Дивиденды по годам'!I1056&lt;&gt;"",'Дивиденды по годам'!J1056&lt;&gt;"",'Дивиденды по годам'!K1056&lt;&gt;"",('Дивиденды по годам'!I1056-'Дивиденды по годам'!J1056-'Дивиденды по годам'!K1056)&lt;&gt;0),'Дивиденды по годам'!L1056/('Дивиденды по годам'!I1056-'Дивиденды по годам'!J1056-'Дивиденды по годам'!K1056),""),"")</f>
        <v/>
      </c>
      <c r="T1056" t="str">
        <f>IFERROR(IF(AND('Дивиденды по годам'!Q1056&lt;&gt;"",'Дивиденды по годам'!I1056&lt;&gt;"",'Дивиденды по годам'!V1056&lt;&gt;"",('Дивиденды по годам'!I1056+'Дивиденды по годам'!V1056)&lt;&gt;0),'Дивиденды по годам'!Q1056/(('Дивиденды по годам'!I1056+'Дивиденды по годам'!V1056)/2),""),"")</f>
        <v/>
      </c>
      <c r="U1056">
        <f>IFERROR(IF(AND('Дивиденды по годам'!J1056&lt;&gt;"",'Дивиденды по годам'!K1056&lt;&gt;"",'Дивиденды по годам'!M1056&lt;&gt;"",'Дивиденды по годам'!M1056&lt;&gt;0),('Дивиденды по годам'!J1056+'Дивиденды по годам'!K1056)/'Дивиденды по годам'!M1056,""),"")</f>
        <v>589.70642201834858</v>
      </c>
      <c r="V1056">
        <f>IFERROR(IF(AND('Дивиденды по годам'!J1056&lt;&gt;"",'Дивиденды по годам'!K1056&lt;&gt;"",'Дивиденды по годам'!M1056&lt;&gt;"",'Дивиденды по годам'!I1056&lt;&gt;0),('Дивиденды по годам'!J1056+'Дивиденды по годам'!K1056)/'Дивиденды по годам'!I1056,""),"")</f>
        <v>0.99830711168403563</v>
      </c>
      <c r="W1056">
        <f>IFERROR('Дивиденды по годам'!I1056,"")</f>
        <v>128774000000</v>
      </c>
      <c r="X1056" cm="1">
        <f t="array" ref="X1056">IFERROR(AVERAGE(_xlfn._xlws.FILTER(P$2:P$1073,($C$2:$C$1073=$C1056)*($E$2:$E$1073=$E1056)*(ROW(P$2:P$1073)&lt;&gt;ROW(P1056))*(P$2:P$1073&lt;&gt;""))),"")</f>
        <v>25.566367058476462</v>
      </c>
      <c r="Y1056" cm="1">
        <f t="array" ref="Y1056">IFERROR(AVERAGE(_xlfn._xlws.FILTER(Q$2:Q$1073,($C$2:$C$1073=$C1056)*($E$2:$E$1073=$E1056)*(ROW(Q$2:Q$1073)&lt;&gt;ROW(Q1056))*(Q$2:Q$1073&lt;&gt;""))),"")</f>
        <v>0.29425209264511243</v>
      </c>
      <c r="Z1056" t="str" cm="1">
        <f t="array" ref="Z1056">IFERROR(AVERAGE(_xlfn._xlws.FILTER(R$2:R$1073,($C$2:$C$1073=$C1056)*($E$2:$E$1073=$E1056)*(ROW(R$2:R$1073)&lt;&gt;ROW(R1056))*(R$2:R$1073&lt;&gt;""))),"")</f>
        <v/>
      </c>
      <c r="AA1056" t="str" cm="1">
        <f t="array" ref="AA1056">IFERROR(AVERAGE(_xlfn._xlws.FILTER(S$2:S$1073,($C$2:$C$1073=$C1056)*($E$2:$E$1073=$E1056)*(ROW(S$2:S$1073)&lt;&gt;ROW(S1056))*(S$2:S$1073&lt;&gt;""))),"")</f>
        <v/>
      </c>
      <c r="AB1056" t="str" cm="1">
        <f t="array" ref="AB1056">IFERROR(AVERAGE(_xlfn._xlws.FILTER(T$2:T$1073,($C$2:$C$1073=$C1056)*($E$2:$E$1073=$E1056)*(ROW(T$2:T$1073)&lt;&gt;ROW(T1056))*(T$2:T$1073&lt;&gt;""))),"")</f>
        <v/>
      </c>
      <c r="AC1056" cm="1">
        <f t="array" ref="AC1056">IFERROR(AVERAGE(_xlfn._xlws.FILTER(U$2:U$1073,($C$2:$C$1073=$C1056)*($E$2:$E$1073=$E1056)*(ROW(U$2:U$1073)&lt;&gt;ROW(U1056))*(U$2:U$1073&lt;&gt;""))),"")</f>
        <v>1.3515857955080697</v>
      </c>
      <c r="AD1056" cm="1">
        <f t="array" ref="AD1056">IFERROR(AVERAGE(_xlfn._xlws.FILTER(V$2:V$1073,($C$2:$C$1073=$C1056)*($E$2:$E$1073=$E1056)*(ROW(V$2:V$1073)&lt;&gt;ROW(V1056))*(V$2:V$1073&lt;&gt;""))),"")</f>
        <v>0.57475504320949267</v>
      </c>
      <c r="AE1056">
        <f>IF('Дивиденды по годам'!M1056&lt;0,1,0)</f>
        <v>0</v>
      </c>
    </row>
    <row r="1057" spans="1:31" x14ac:dyDescent="0.2">
      <c r="A1057" s="7" t="s">
        <v>2309</v>
      </c>
      <c r="B1057" t="str">
        <f t="shared" si="176"/>
        <v>PIKK IV кв. 2010</v>
      </c>
      <c r="C1057">
        <v>2010</v>
      </c>
      <c r="D1057">
        <f>SUMIFS(Дивиденды!$C:$C,Дивиденды!$A:$A,A1057,Дивиденды!$I:$I,C1057)</f>
        <v>0</v>
      </c>
      <c r="E1057">
        <v>8</v>
      </c>
      <c r="F1057">
        <f t="shared" si="177"/>
        <v>0</v>
      </c>
      <c r="G1057">
        <f t="shared" si="178"/>
        <v>5</v>
      </c>
      <c r="H1057">
        <f t="shared" si="179"/>
        <v>0</v>
      </c>
      <c r="I1057">
        <f t="shared" si="180"/>
        <v>0.33333333333333331</v>
      </c>
      <c r="J1057" t="str">
        <f t="shared" si="181"/>
        <v/>
      </c>
      <c r="K1057" t="str">
        <f t="shared" si="186"/>
        <v/>
      </c>
      <c r="L1057" t="str">
        <f t="shared" si="182"/>
        <v/>
      </c>
      <c r="M1057" t="str">
        <f t="shared" si="183"/>
        <v/>
      </c>
      <c r="N1057" t="str">
        <f t="shared" si="184"/>
        <v/>
      </c>
      <c r="O1057" t="str">
        <f t="shared" si="185"/>
        <v/>
      </c>
      <c r="P1057" t="str">
        <f>IFERROR(LN('Дивиденды по годам'!I1057),"")</f>
        <v/>
      </c>
      <c r="Q1057" t="str">
        <f>IFERROR('Дивиденды по годам'!G1057/'Дивиденды по годам'!I1057, "")</f>
        <v/>
      </c>
      <c r="R1057" t="str">
        <f>IFERROR(IF(AND('Дивиденды по годам'!N1057&lt;&gt;"",'Дивиденды по годам'!U1057&lt;&gt;"",'Дивиденды по годам'!U1057&lt;&gt;0),'Дивиденды по годам'!N1057/'Дивиденды по годам'!U1057-1,""),"")</f>
        <v/>
      </c>
      <c r="S1057" t="str">
        <f>IFERROR(IF(AND('Дивиденды по годам'!L1057&lt;&gt;"",'Дивиденды по годам'!I1057&lt;&gt;"",'Дивиденды по годам'!J1057&lt;&gt;"",'Дивиденды по годам'!K1057&lt;&gt;"",('Дивиденды по годам'!I1057-'Дивиденды по годам'!J1057-'Дивиденды по годам'!K1057)&lt;&gt;0),'Дивиденды по годам'!L1057/('Дивиденды по годам'!I1057-'Дивиденды по годам'!J1057-'Дивиденды по годам'!K1057),""),"")</f>
        <v/>
      </c>
      <c r="T1057" t="str">
        <f>IFERROR(IF(AND('Дивиденды по годам'!Q1057&lt;&gt;"",'Дивиденды по годам'!I1057&lt;&gt;"",'Дивиденды по годам'!V1057&lt;&gt;"",('Дивиденды по годам'!I1057+'Дивиденды по годам'!V1057)&lt;&gt;0),'Дивиденды по годам'!Q1057/(('Дивиденды по годам'!I1057+'Дивиденды по годам'!V1057)/2),""),"")</f>
        <v/>
      </c>
      <c r="U1057" t="str">
        <f>IFERROR(IF(AND('Дивиденды по годам'!J1057&lt;&gt;"",'Дивиденды по годам'!K1057&lt;&gt;"",'Дивиденды по годам'!M1057&lt;&gt;"",'Дивиденды по годам'!M1057&lt;&gt;0),('Дивиденды по годам'!J1057+'Дивиденды по годам'!K1057)/'Дивиденды по годам'!M1057,""),"")</f>
        <v/>
      </c>
      <c r="V1057" t="str">
        <f>IFERROR(IF(AND('Дивиденды по годам'!J1057&lt;&gt;"",'Дивиденды по годам'!K1057&lt;&gt;"",'Дивиденды по годам'!M1057&lt;&gt;"",'Дивиденды по годам'!I1057&lt;&gt;0),('Дивиденды по годам'!J1057+'Дивиденды по годам'!K1057)/'Дивиденды по годам'!I1057,""),"")</f>
        <v/>
      </c>
      <c r="W1057" t="str">
        <f>IFERROR('Дивиденды по годам'!I1057,"")</f>
        <v/>
      </c>
      <c r="X1057" t="str" cm="1">
        <f t="array" ref="X1057">IFERROR(AVERAGE(_xlfn._xlws.FILTER(P$2:P$1073,($C$2:$C$1073=$C1057)*($E$2:$E$1073=$E1057)*(ROW(P$2:P$1073)&lt;&gt;ROW(P1057))*(P$2:P$1073&lt;&gt;""))),"")</f>
        <v/>
      </c>
      <c r="Y1057" t="str" cm="1">
        <f t="array" ref="Y1057">IFERROR(AVERAGE(_xlfn._xlws.FILTER(Q$2:Q$1073,($C$2:$C$1073=$C1057)*($E$2:$E$1073=$E1057)*(ROW(Q$2:Q$1073)&lt;&gt;ROW(Q1057))*(Q$2:Q$1073&lt;&gt;""))),"")</f>
        <v/>
      </c>
      <c r="Z1057" t="str" cm="1">
        <f t="array" ref="Z1057">IFERROR(AVERAGE(_xlfn._xlws.FILTER(R$2:R$1073,($C$2:$C$1073=$C1057)*($E$2:$E$1073=$E1057)*(ROW(R$2:R$1073)&lt;&gt;ROW(R1057))*(R$2:R$1073&lt;&gt;""))),"")</f>
        <v/>
      </c>
      <c r="AA1057" t="str" cm="1">
        <f t="array" ref="AA1057">IFERROR(AVERAGE(_xlfn._xlws.FILTER(S$2:S$1073,($C$2:$C$1073=$C1057)*($E$2:$E$1073=$E1057)*(ROW(S$2:S$1073)&lt;&gt;ROW(S1057))*(S$2:S$1073&lt;&gt;""))),"")</f>
        <v/>
      </c>
      <c r="AB1057" t="str" cm="1">
        <f t="array" ref="AB1057">IFERROR(AVERAGE(_xlfn._xlws.FILTER(T$2:T$1073,($C$2:$C$1073=$C1057)*($E$2:$E$1073=$E1057)*(ROW(T$2:T$1073)&lt;&gt;ROW(T1057))*(T$2:T$1073&lt;&gt;""))),"")</f>
        <v/>
      </c>
      <c r="AC1057" t="str" cm="1">
        <f t="array" ref="AC1057">IFERROR(AVERAGE(_xlfn._xlws.FILTER(U$2:U$1073,($C$2:$C$1073=$C1057)*($E$2:$E$1073=$E1057)*(ROW(U$2:U$1073)&lt;&gt;ROW(U1057))*(U$2:U$1073&lt;&gt;""))),"")</f>
        <v/>
      </c>
      <c r="AD1057" t="str" cm="1">
        <f t="array" ref="AD1057">IFERROR(AVERAGE(_xlfn._xlws.FILTER(V$2:V$1073,($C$2:$C$1073=$C1057)*($E$2:$E$1073=$E1057)*(ROW(V$2:V$1073)&lt;&gt;ROW(V1057))*(V$2:V$1073&lt;&gt;""))),"")</f>
        <v/>
      </c>
      <c r="AE1057">
        <f>IF('Дивиденды по годам'!M1057&lt;0,1,0)</f>
        <v>0</v>
      </c>
    </row>
    <row r="1058" spans="1:31" x14ac:dyDescent="0.2">
      <c r="A1058" s="7" t="s">
        <v>2311</v>
      </c>
      <c r="B1058" t="str">
        <f t="shared" si="176"/>
        <v>SMLT IV кв. 2025</v>
      </c>
      <c r="C1058">
        <v>2025</v>
      </c>
      <c r="D1058">
        <f>SUMIFS(Дивиденды!$C:$C,Дивиденды!$A:$A,A1058,Дивиденды!$I:$I,C1058)</f>
        <v>0</v>
      </c>
      <c r="E1058">
        <v>8</v>
      </c>
      <c r="F1058">
        <f t="shared" si="177"/>
        <v>0</v>
      </c>
      <c r="G1058">
        <f t="shared" si="178"/>
        <v>26</v>
      </c>
      <c r="H1058">
        <f t="shared" si="179"/>
        <v>0</v>
      </c>
      <c r="I1058">
        <f t="shared" si="180"/>
        <v>0.33333333333333331</v>
      </c>
      <c r="J1058">
        <f t="shared" si="181"/>
        <v>0</v>
      </c>
      <c r="K1058">
        <f t="shared" si="186"/>
        <v>0.33333333333333331</v>
      </c>
      <c r="L1058">
        <f t="shared" si="182"/>
        <v>0</v>
      </c>
      <c r="M1058">
        <f t="shared" si="183"/>
        <v>0.33333333333333331</v>
      </c>
      <c r="N1058">
        <f t="shared" si="184"/>
        <v>0</v>
      </c>
      <c r="O1058">
        <f t="shared" si="185"/>
        <v>0</v>
      </c>
      <c r="P1058" t="str">
        <f>IFERROR(LN('Дивиденды по годам'!I1058),"")</f>
        <v/>
      </c>
      <c r="Q1058" t="str">
        <f>IFERROR('Дивиденды по годам'!G1058/'Дивиденды по годам'!I1058, "")</f>
        <v/>
      </c>
      <c r="R1058" t="str">
        <f>IFERROR(IF(AND('Дивиденды по годам'!N1058&lt;&gt;"",'Дивиденды по годам'!U1058&lt;&gt;"",'Дивиденды по годам'!U1058&lt;&gt;0),'Дивиденды по годам'!N1058/'Дивиденды по годам'!U1058-1,""),"")</f>
        <v/>
      </c>
      <c r="S1058" t="str">
        <f>IFERROR(IF(AND('Дивиденды по годам'!L1058&lt;&gt;"",'Дивиденды по годам'!I1058&lt;&gt;"",'Дивиденды по годам'!J1058&lt;&gt;"",'Дивиденды по годам'!K1058&lt;&gt;"",('Дивиденды по годам'!I1058-'Дивиденды по годам'!J1058-'Дивиденды по годам'!K1058)&lt;&gt;0),'Дивиденды по годам'!L1058/('Дивиденды по годам'!I1058-'Дивиденды по годам'!J1058-'Дивиденды по годам'!K1058),""),"")</f>
        <v/>
      </c>
      <c r="T1058" t="str">
        <f>IFERROR(IF(AND('Дивиденды по годам'!Q1058&lt;&gt;"",'Дивиденды по годам'!I1058&lt;&gt;"",'Дивиденды по годам'!V1058&lt;&gt;"",('Дивиденды по годам'!I1058+'Дивиденды по годам'!V1058)&lt;&gt;0),'Дивиденды по годам'!Q1058/(('Дивиденды по годам'!I1058+'Дивиденды по годам'!V1058)/2),""),"")</f>
        <v/>
      </c>
      <c r="U1058" t="str">
        <f>IFERROR(IF(AND('Дивиденды по годам'!J1058&lt;&gt;"",'Дивиденды по годам'!K1058&lt;&gt;"",'Дивиденды по годам'!M1058&lt;&gt;"",'Дивиденды по годам'!M1058&lt;&gt;0),('Дивиденды по годам'!J1058+'Дивиденды по годам'!K1058)/'Дивиденды по годам'!M1058,""),"")</f>
        <v/>
      </c>
      <c r="V1058" t="str">
        <f>IFERROR(IF(AND('Дивиденды по годам'!J1058&lt;&gt;"",'Дивиденды по годам'!K1058&lt;&gt;"",'Дивиденды по годам'!M1058&lt;&gt;"",'Дивиденды по годам'!I1058&lt;&gt;0),('Дивиденды по годам'!J1058+'Дивиденды по годам'!K1058)/'Дивиденды по годам'!I1058,""),"")</f>
        <v/>
      </c>
      <c r="W1058" t="str">
        <f>IFERROR('Дивиденды по годам'!I1058,"")</f>
        <v/>
      </c>
      <c r="X1058" t="str" cm="1">
        <f t="array" ref="X1058">IFERROR(AVERAGE(_xlfn._xlws.FILTER(P$2:P$1073,($C$2:$C$1073=$C1058)*($E$2:$E$1073=$E1058)*(ROW(P$2:P$1073)&lt;&gt;ROW(P1058))*(P$2:P$1073&lt;&gt;""))),"")</f>
        <v/>
      </c>
      <c r="Y1058" t="str" cm="1">
        <f t="array" ref="Y1058">IFERROR(AVERAGE(_xlfn._xlws.FILTER(Q$2:Q$1073,($C$2:$C$1073=$C1058)*($E$2:$E$1073=$E1058)*(ROW(Q$2:Q$1073)&lt;&gt;ROW(Q1058))*(Q$2:Q$1073&lt;&gt;""))),"")</f>
        <v/>
      </c>
      <c r="Z1058" t="str" cm="1">
        <f t="array" ref="Z1058">IFERROR(AVERAGE(_xlfn._xlws.FILTER(R$2:R$1073,($C$2:$C$1073=$C1058)*($E$2:$E$1073=$E1058)*(ROW(R$2:R$1073)&lt;&gt;ROW(R1058))*(R$2:R$1073&lt;&gt;""))),"")</f>
        <v/>
      </c>
      <c r="AA1058" t="str" cm="1">
        <f t="array" ref="AA1058">IFERROR(AVERAGE(_xlfn._xlws.FILTER(S$2:S$1073,($C$2:$C$1073=$C1058)*($E$2:$E$1073=$E1058)*(ROW(S$2:S$1073)&lt;&gt;ROW(S1058))*(S$2:S$1073&lt;&gt;""))),"")</f>
        <v/>
      </c>
      <c r="AB1058" t="str" cm="1">
        <f t="array" ref="AB1058">IFERROR(AVERAGE(_xlfn._xlws.FILTER(T$2:T$1073,($C$2:$C$1073=$C1058)*($E$2:$E$1073=$E1058)*(ROW(T$2:T$1073)&lt;&gt;ROW(T1058))*(T$2:T$1073&lt;&gt;""))),"")</f>
        <v/>
      </c>
      <c r="AC1058" t="str" cm="1">
        <f t="array" ref="AC1058">IFERROR(AVERAGE(_xlfn._xlws.FILTER(U$2:U$1073,($C$2:$C$1073=$C1058)*($E$2:$E$1073=$E1058)*(ROW(U$2:U$1073)&lt;&gt;ROW(U1058))*(U$2:U$1073&lt;&gt;""))),"")</f>
        <v/>
      </c>
      <c r="AD1058" t="str" cm="1">
        <f t="array" ref="AD1058">IFERROR(AVERAGE(_xlfn._xlws.FILTER(V$2:V$1073,($C$2:$C$1073=$C1058)*($E$2:$E$1073=$E1058)*(ROW(V$2:V$1073)&lt;&gt;ROW(V1058))*(V$2:V$1073&lt;&gt;""))),"")</f>
        <v/>
      </c>
      <c r="AE1058">
        <f>IF('Дивиденды по годам'!M1058&lt;0,1,0)</f>
        <v>0</v>
      </c>
    </row>
    <row r="1059" spans="1:31" x14ac:dyDescent="0.2">
      <c r="A1059" s="7" t="s">
        <v>2311</v>
      </c>
      <c r="B1059" t="str">
        <f t="shared" si="176"/>
        <v>SMLT IV кв. 2024</v>
      </c>
      <c r="C1059">
        <v>2024</v>
      </c>
      <c r="D1059">
        <f>SUMIFS(Дивиденды!$C:$C,Дивиденды!$A:$A,A1059,Дивиденды!$I:$I,C1059)</f>
        <v>0</v>
      </c>
      <c r="E1059">
        <v>8</v>
      </c>
      <c r="F1059">
        <f t="shared" si="177"/>
        <v>0</v>
      </c>
      <c r="G1059">
        <f t="shared" si="178"/>
        <v>0</v>
      </c>
      <c r="H1059">
        <f t="shared" si="179"/>
        <v>0</v>
      </c>
      <c r="I1059">
        <f t="shared" si="180"/>
        <v>0</v>
      </c>
      <c r="J1059">
        <f t="shared" si="181"/>
        <v>0</v>
      </c>
      <c r="K1059">
        <f t="shared" si="186"/>
        <v>-0.33333333333333331</v>
      </c>
      <c r="L1059">
        <f t="shared" si="182"/>
        <v>0</v>
      </c>
      <c r="M1059">
        <f t="shared" si="183"/>
        <v>0</v>
      </c>
      <c r="N1059">
        <f t="shared" si="184"/>
        <v>0</v>
      </c>
      <c r="O1059">
        <f t="shared" si="185"/>
        <v>0.33333333333333331</v>
      </c>
      <c r="P1059">
        <f>IFERROR(LN('Дивиденды по годам'!I1059),"")</f>
        <v>27.591367188951708</v>
      </c>
      <c r="Q1059">
        <f>IFERROR('Дивиденды по годам'!G1059/'Дивиденды по годам'!I1059, "")</f>
        <v>8.2580567295306943E-3</v>
      </c>
      <c r="R1059">
        <f>IFERROR(IF(AND('Дивиденды по годам'!N1059&lt;&gt;"",'Дивиденды по годам'!U1059&lt;&gt;"",'Дивиденды по годам'!U1059&lt;&gt;0),'Дивиденды по годам'!N1059/'Дивиденды по годам'!U1059-1,""),"")</f>
        <v>0.32382729835466462</v>
      </c>
      <c r="S1059">
        <f>IFERROR(IF(AND('Дивиденды по годам'!L1059&lt;&gt;"",'Дивиденды по годам'!I1059&lt;&gt;"",'Дивиденды по годам'!J1059&lt;&gt;"",'Дивиденды по годам'!K1059&lt;&gt;"",('Дивиденды по годам'!I1059-'Дивиденды по годам'!J1059-'Дивиденды по годам'!K1059)&lt;&gt;0),'Дивиденды по годам'!L1059/('Дивиденды по годам'!I1059-'Дивиденды по годам'!J1059-'Дивиденды по годам'!K1059),""),"")</f>
        <v>0.49905004369798989</v>
      </c>
      <c r="T1059">
        <f>IFERROR(IF(AND('Дивиденды по годам'!Q1059&lt;&gt;"",'Дивиденды по годам'!I1059&lt;&gt;"",'Дивиденды по годам'!V1059&lt;&gt;"",('Дивиденды по годам'!I1059+'Дивиденды по годам'!V1059)&lt;&gt;0),'Дивиденды по годам'!Q1059/(('Дивиденды по годам'!I1059+'Дивиденды по годам'!V1059)/2),""),"")</f>
        <v>9.5586757754121277E-3</v>
      </c>
      <c r="U1059">
        <f>IFERROR(IF(AND('Дивиденды по годам'!J1059&lt;&gt;"",'Дивиденды по годам'!K1059&lt;&gt;"",'Дивиденды по годам'!M1059&lt;&gt;"",'Дивиденды по годам'!M1059&lt;&gt;0),('Дивиденды по годам'!J1059+'Дивиденды по годам'!K1059)/'Дивиденды по годам'!M1059,""),"")</f>
        <v>17.26047801801117</v>
      </c>
      <c r="V1059">
        <f>IFERROR(IF(AND('Дивиденды по годам'!J1059&lt;&gt;"",'Дивиденды по годам'!K1059&lt;&gt;"",'Дивиденды по годам'!M1059&lt;&gt;"",'Дивиденды по годам'!I1059&lt;&gt;0),('Дивиденды по годам'!J1059+'Дивиденды по годам'!K1059)/'Дивиденды по годам'!I1059,""),"")</f>
        <v>0.94523692101523016</v>
      </c>
      <c r="W1059">
        <f>IFERROR('Дивиденды по годам'!I1059,"")</f>
        <v>961122000000</v>
      </c>
      <c r="X1059" cm="1">
        <f t="array" ref="X1059">IFERROR(AVERAGE(_xlfn._xlws.FILTER(P$2:P$1073,($C$2:$C$1073=$C1059)*($E$2:$E$1073=$E1059)*(ROW(P$2:P$1073)&lt;&gt;ROW(P1059))*(P$2:P$1073&lt;&gt;""))),"")</f>
        <v>27.193262795628659</v>
      </c>
      <c r="Y1059" cm="1">
        <f t="array" ref="Y1059">IFERROR(AVERAGE(_xlfn._xlws.FILTER(Q$2:Q$1073,($C$2:$C$1073=$C1059)*($E$2:$E$1073=$E1059)*(ROW(Q$2:Q$1073)&lt;&gt;ROW(Q1059))*(Q$2:Q$1073&lt;&gt;""))),"")</f>
        <v>5.5923815532988801E-2</v>
      </c>
      <c r="Z1059" cm="1">
        <f t="array" ref="Z1059">IFERROR(AVERAGE(_xlfn._xlws.FILTER(R$2:R$1073,($C$2:$C$1073=$C1059)*($E$2:$E$1073=$E1059)*(ROW(R$2:R$1073)&lt;&gt;ROW(R1059))*(R$2:R$1073&lt;&gt;""))),"")</f>
        <v>0.21509874709775034</v>
      </c>
      <c r="AA1059" cm="1">
        <f t="array" ref="AA1059">IFERROR(AVERAGE(_xlfn._xlws.FILTER(S$2:S$1073,($C$2:$C$1073=$C1059)*($E$2:$E$1073=$E1059)*(ROW(S$2:S$1073)&lt;&gt;ROW(S1059))*(S$2:S$1073&lt;&gt;""))),"")</f>
        <v>0.74275516202729486</v>
      </c>
      <c r="AB1059" cm="1">
        <f t="array" ref="AB1059">IFERROR(AVERAGE(_xlfn._xlws.FILTER(T$2:T$1073,($C$2:$C$1073=$C1059)*($E$2:$E$1073=$E1059)*(ROW(T$2:T$1073)&lt;&gt;ROW(T1059))*(T$2:T$1073&lt;&gt;""))),"")</f>
        <v>1.7189143199228762E-2</v>
      </c>
      <c r="AC1059" cm="1">
        <f t="array" ref="AC1059">IFERROR(AVERAGE(_xlfn._xlws.FILTER(U$2:U$1073,($C$2:$C$1073=$C1059)*($E$2:$E$1073=$E1059)*(ROW(U$2:U$1073)&lt;&gt;ROW(U1059))*(U$2:U$1073&lt;&gt;""))),"")</f>
        <v>3.2853494577699571</v>
      </c>
      <c r="AD1059" cm="1">
        <f t="array" ref="AD1059">IFERROR(AVERAGE(_xlfn._xlws.FILTER(V$2:V$1073,($C$2:$C$1073=$C1059)*($E$2:$E$1073=$E1059)*(ROW(V$2:V$1073)&lt;&gt;ROW(V1059))*(V$2:V$1073&lt;&gt;""))),"")</f>
        <v>0.76385004434624248</v>
      </c>
      <c r="AE1059">
        <f>IF('Дивиденды по годам'!M1059&lt;0,1,0)</f>
        <v>0</v>
      </c>
    </row>
    <row r="1060" spans="1:31" x14ac:dyDescent="0.2">
      <c r="A1060" s="7" t="s">
        <v>2311</v>
      </c>
      <c r="B1060" t="str">
        <f t="shared" si="176"/>
        <v>SMLT IV кв. 2023</v>
      </c>
      <c r="C1060">
        <v>2023</v>
      </c>
      <c r="D1060">
        <f>SUMIFS(Дивиденды!$C:$C,Дивиденды!$A:$A,A1060,Дивиденды!$I:$I,C1060)</f>
        <v>0</v>
      </c>
      <c r="E1060">
        <v>8</v>
      </c>
      <c r="F1060">
        <f t="shared" si="177"/>
        <v>0</v>
      </c>
      <c r="G1060">
        <f t="shared" si="178"/>
        <v>33.333333333333336</v>
      </c>
      <c r="H1060">
        <f t="shared" si="179"/>
        <v>0</v>
      </c>
      <c r="I1060">
        <f t="shared" si="180"/>
        <v>0.33333333333333331</v>
      </c>
      <c r="J1060">
        <f t="shared" si="181"/>
        <v>-1</v>
      </c>
      <c r="K1060">
        <f t="shared" si="186"/>
        <v>9.4017094017094016E-2</v>
      </c>
      <c r="L1060">
        <f t="shared" si="182"/>
        <v>0</v>
      </c>
      <c r="M1060">
        <f t="shared" si="183"/>
        <v>0.33333333333333331</v>
      </c>
      <c r="N1060">
        <f t="shared" si="184"/>
        <v>1</v>
      </c>
      <c r="O1060">
        <f t="shared" si="185"/>
        <v>0</v>
      </c>
      <c r="P1060">
        <f>IFERROR(LN('Дивиденды по годам'!I1060),"")</f>
        <v>27.337735372196757</v>
      </c>
      <c r="Q1060">
        <f>IFERROR('Дивиденды по годам'!G1060/'Дивиденды по годам'!I1060, "")</f>
        <v>4.1820358831818867E-3</v>
      </c>
      <c r="R1060">
        <f>IFERROR(IF(AND('Дивиденды по годам'!N1060&lt;&gt;"",'Дивиденды по годам'!U1060&lt;&gt;"",'Дивиденды по годам'!U1060&lt;&gt;0),'Дивиденды по годам'!N1060/'Дивиденды по годам'!U1060-1,""),"")</f>
        <v>0.48724232042273963</v>
      </c>
      <c r="S1060">
        <f>IFERROR(IF(AND('Дивиденды по годам'!L1060&lt;&gt;"",'Дивиденды по годам'!I1060&lt;&gt;"",'Дивиденды по годам'!J1060&lt;&gt;"",'Дивиденды по годам'!K1060&lt;&gt;"",('Дивиденды по годам'!I1060-'Дивиденды по годам'!J1060-'Дивиденды по годам'!K1060)&lt;&gt;0),'Дивиденды по годам'!L1060/('Дивиденды по годам'!I1060-'Дивиденды по годам'!J1060-'Дивиденды по годам'!K1060),""),"")</f>
        <v>0.39676380747956741</v>
      </c>
      <c r="T1060">
        <f>IFERROR(IF(AND('Дивиденды по годам'!Q1060&lt;&gt;"",'Дивиденды по годам'!I1060&lt;&gt;"",'Дивиденды по годам'!V1060&lt;&gt;"",('Дивиденды по годам'!I1060+'Дивиденды по годам'!V1060)&lt;&gt;0),'Дивиденды по годам'!Q1060/(('Дивиденды по годам'!I1060+'Дивиденды по годам'!V1060)/2),""),"")</f>
        <v>4.5168308109544135E-2</v>
      </c>
      <c r="U1060">
        <f>IFERROR(IF(AND('Дивиденды по годам'!J1060&lt;&gt;"",'Дивиденды по годам'!K1060&lt;&gt;"",'Дивиденды по годам'!M1060&lt;&gt;"",'Дивиденды по годам'!M1060&lt;&gt;0),('Дивиденды по годам'!J1060+'Дивиденды по годам'!K1060)/'Дивиденды по годам'!M1060,""),"")</f>
        <v>19.523652274415916</v>
      </c>
      <c r="V1060">
        <f>IFERROR(IF(AND('Дивиденды по годам'!J1060&lt;&gt;"",'Дивиденды по годам'!K1060&lt;&gt;"",'Дивиденды по годам'!M1060&lt;&gt;"",'Дивиденды по годам'!I1060&lt;&gt;0),('Дивиденды по годам'!J1060+'Дивиденды по годам'!K1060)/'Дивиденды по годам'!I1060,""),"")</f>
        <v>0.95127572877238009</v>
      </c>
      <c r="W1060">
        <f>IFERROR('Дивиденды по годам'!I1060,"")</f>
        <v>745809000000</v>
      </c>
      <c r="X1060" cm="1">
        <f t="array" ref="X1060">IFERROR(AVERAGE(_xlfn._xlws.FILTER(P$2:P$1073,($C$2:$C$1073=$C1060)*($E$2:$E$1073=$E1060)*(ROW(P$2:P$1073)&lt;&gt;ROW(P1060))*(P$2:P$1073&lt;&gt;""))),"")</f>
        <v>27.051903677447161</v>
      </c>
      <c r="Y1060" cm="1">
        <f t="array" ref="Y1060">IFERROR(AVERAGE(_xlfn._xlws.FILTER(Q$2:Q$1073,($C$2:$C$1073=$C1060)*($E$2:$E$1073=$E1060)*(ROW(Q$2:Q$1073)&lt;&gt;ROW(Q1060))*(Q$2:Q$1073&lt;&gt;""))),"")</f>
        <v>4.8734514266961765E-2</v>
      </c>
      <c r="Z1060" cm="1">
        <f t="array" ref="Z1060">IFERROR(AVERAGE(_xlfn._xlws.FILTER(R$2:R$1073,($C$2:$C$1073=$C1060)*($E$2:$E$1073=$E1060)*(ROW(R$2:R$1073)&lt;&gt;ROW(R1060))*(R$2:R$1073&lt;&gt;""))),"")</f>
        <v>0.39313567890299927</v>
      </c>
      <c r="AA1060" cm="1">
        <f t="array" ref="AA1060">IFERROR(AVERAGE(_xlfn._xlws.FILTER(S$2:S$1073,($C$2:$C$1073=$C1060)*($E$2:$E$1073=$E1060)*(ROW(S$2:S$1073)&lt;&gt;ROW(S1060))*(S$2:S$1073&lt;&gt;""))),"")</f>
        <v>0.75168528804877532</v>
      </c>
      <c r="AB1060" cm="1">
        <f t="array" ref="AB1060">IFERROR(AVERAGE(_xlfn._xlws.FILTER(T$2:T$1073,($C$2:$C$1073=$C1060)*($E$2:$E$1073=$E1060)*(ROW(T$2:T$1073)&lt;&gt;ROW(T1060))*(T$2:T$1073&lt;&gt;""))),"")</f>
        <v>2.5153014284094298E-2</v>
      </c>
      <c r="AC1060" cm="1">
        <f t="array" ref="AC1060">IFERROR(AVERAGE(_xlfn._xlws.FILTER(U$2:U$1073,($C$2:$C$1073=$C1060)*($E$2:$E$1073=$E1060)*(ROW(U$2:U$1073)&lt;&gt;ROW(U1060))*(U$2:U$1073&lt;&gt;""))),"")</f>
        <v>2.9026956273525535</v>
      </c>
      <c r="AD1060" cm="1">
        <f t="array" ref="AD1060">IFERROR(AVERAGE(_xlfn._xlws.FILTER(V$2:V$1073,($C$2:$C$1073=$C1060)*($E$2:$E$1073=$E1060)*(ROW(V$2:V$1073)&lt;&gt;ROW(V1060))*(V$2:V$1073&lt;&gt;""))),"")</f>
        <v>0.74330825998728478</v>
      </c>
      <c r="AE1060">
        <f>IF('Дивиденды по годам'!M1060&lt;0,1,0)</f>
        <v>0</v>
      </c>
    </row>
    <row r="1061" spans="1:31" x14ac:dyDescent="0.2">
      <c r="A1061" s="7" t="s">
        <v>2311</v>
      </c>
      <c r="B1061" t="str">
        <f t="shared" si="176"/>
        <v>SMLT IV кв. 2022</v>
      </c>
      <c r="C1061">
        <v>2022</v>
      </c>
      <c r="D1061">
        <f>SUMIFS(Дивиденды!$C:$C,Дивиденды!$A:$A,A1061,Дивиденды!$I:$I,C1061)</f>
        <v>82</v>
      </c>
      <c r="E1061">
        <v>8</v>
      </c>
      <c r="F1061">
        <f t="shared" si="177"/>
        <v>82</v>
      </c>
      <c r="G1061">
        <f t="shared" si="178"/>
        <v>26</v>
      </c>
      <c r="H1061">
        <f t="shared" si="179"/>
        <v>1</v>
      </c>
      <c r="I1061">
        <f t="shared" si="180"/>
        <v>0.33333333333333331</v>
      </c>
      <c r="J1061">
        <f t="shared" si="181"/>
        <v>1</v>
      </c>
      <c r="K1061">
        <f t="shared" si="186"/>
        <v>0</v>
      </c>
      <c r="L1061">
        <f t="shared" si="182"/>
        <v>1</v>
      </c>
      <c r="M1061">
        <f t="shared" si="183"/>
        <v>0.33333333333333331</v>
      </c>
      <c r="N1061">
        <f t="shared" si="184"/>
        <v>0</v>
      </c>
      <c r="O1061">
        <f t="shared" si="185"/>
        <v>0.33333333333333331</v>
      </c>
      <c r="P1061">
        <f>IFERROR(LN('Дивиденды по годам'!I1061),"")</f>
        <v>26.738886267265464</v>
      </c>
      <c r="Q1061">
        <f>IFERROR('Дивиденды по годам'!G1061/'Дивиденды по годам'!I1061, "")</f>
        <v>4.5341402703889888E-3</v>
      </c>
      <c r="R1061">
        <f>IFERROR(IF(AND('Дивиденды по годам'!N1061&lt;&gt;"",'Дивиденды по годам'!U1061&lt;&gt;"",'Дивиденды по годам'!U1061&lt;&gt;0),'Дивиденды по годам'!N1061/'Дивиденды по годам'!U1061-1,""),"")</f>
        <v>0.85144171845098593</v>
      </c>
      <c r="S1061">
        <f>IFERROR(IF(AND('Дивиденды по годам'!L1061&lt;&gt;"",'Дивиденды по годам'!I1061&lt;&gt;"",'Дивиденды по годам'!J1061&lt;&gt;"",'Дивиденды по годам'!K1061&lt;&gt;"",('Дивиденды по годам'!I1061-'Дивиденды по годам'!J1061-'Дивиденды по годам'!K1061)&lt;&gt;0),'Дивиденды по годам'!L1061/('Дивиденды по годам'!I1061-'Дивиденды по годам'!J1061-'Дивиденды по годам'!K1061),""),"")</f>
        <v>0.55051660516605161</v>
      </c>
      <c r="T1061">
        <f>IFERROR(IF(AND('Дивиденды по годам'!Q1061&lt;&gt;"",'Дивиденды по годам'!I1061&lt;&gt;"",'Дивиденды по годам'!V1061&lt;&gt;"",('Дивиденды по годам'!I1061+'Дивиденды по годам'!V1061)&lt;&gt;0),'Дивиденды по годам'!Q1061/(('Дивиденды по годам'!I1061+'Дивиденды по годам'!V1061)/2),""),"")</f>
        <v>4.9545971776010583E-2</v>
      </c>
      <c r="U1061">
        <f>IFERROR(IF(AND('Дивиденды по годам'!J1061&lt;&gt;"",'Дивиденды по годам'!K1061&lt;&gt;"",'Дивиденды по годам'!M1061&lt;&gt;"",'Дивиденды по годам'!M1061&lt;&gt;0),('Дивиденды по годам'!J1061+'Дивиденды по годам'!K1061)/'Дивиденды по годам'!M1061,""),"")</f>
        <v>14.121033210332103</v>
      </c>
      <c r="V1061">
        <f>IFERROR(IF(AND('Дивиденды по годам'!J1061&lt;&gt;"",'Дивиденды по годам'!K1061&lt;&gt;"",'Дивиденды по годам'!M1061&lt;&gt;"",'Дивиденды по годам'!I1061&lt;&gt;0),('Дивиденды по годам'!J1061+'Дивиденды по годам'!K1061)/'Дивиденды по годам'!I1061,""),"")</f>
        <v>0.93386695299917033</v>
      </c>
      <c r="W1061">
        <f>IFERROR('Дивиденды по годам'!I1061,"")</f>
        <v>409780000000</v>
      </c>
      <c r="X1061" cm="1">
        <f t="array" ref="X1061">IFERROR(AVERAGE(_xlfn._xlws.FILTER(P$2:P$1073,($C$2:$C$1073=$C1061)*($E$2:$E$1073=$E1061)*(ROW(P$2:P$1073)&lt;&gt;ROW(P1061))*(P$2:P$1073&lt;&gt;""))),"")</f>
        <v>26.495673105743599</v>
      </c>
      <c r="Y1061" cm="1">
        <f t="array" ref="Y1061">IFERROR(AVERAGE(_xlfn._xlws.FILTER(Q$2:Q$1073,($C$2:$C$1073=$C1061)*($E$2:$E$1073=$E1061)*(ROW(Q$2:Q$1073)&lt;&gt;ROW(Q1061))*(Q$2:Q$1073&lt;&gt;""))),"")</f>
        <v>4.6261981619361028E-2</v>
      </c>
      <c r="Z1061" cm="1">
        <f t="array" ref="Z1061">IFERROR(AVERAGE(_xlfn._xlws.FILTER(R$2:R$1073,($C$2:$C$1073=$C1061)*($E$2:$E$1073=$E1061)*(ROW(R$2:R$1073)&lt;&gt;ROW(R1061))*(R$2:R$1073&lt;&gt;""))),"")</f>
        <v>-2.72572965298995E-3</v>
      </c>
      <c r="AA1061" cm="1">
        <f t="array" ref="AA1061">IFERROR(AVERAGE(_xlfn._xlws.FILTER(S$2:S$1073,($C$2:$C$1073=$C1061)*($E$2:$E$1073=$E1061)*(ROW(S$2:S$1073)&lt;&gt;ROW(S1061))*(S$2:S$1073&lt;&gt;""))),"")</f>
        <v>0.7090335869064176</v>
      </c>
      <c r="AB1061" cm="1">
        <f t="array" ref="AB1061">IFERROR(AVERAGE(_xlfn._xlws.FILTER(T$2:T$1073,($C$2:$C$1073=$C1061)*($E$2:$E$1073=$E1061)*(ROW(T$2:T$1073)&lt;&gt;ROW(T1061))*(T$2:T$1073&lt;&gt;""))),"")</f>
        <v>4.5119161852712884E-2</v>
      </c>
      <c r="AC1061" cm="1">
        <f t="array" ref="AC1061">IFERROR(AVERAGE(_xlfn._xlws.FILTER(U$2:U$1073,($C$2:$C$1073=$C1061)*($E$2:$E$1073=$E1061)*(ROW(U$2:U$1073)&lt;&gt;ROW(U1061))*(U$2:U$1073&lt;&gt;""))),"")</f>
        <v>2.8215639156167178</v>
      </c>
      <c r="AD1061" cm="1">
        <f t="array" ref="AD1061">IFERROR(AVERAGE(_xlfn._xlws.FILTER(V$2:V$1073,($C$2:$C$1073=$C1061)*($E$2:$E$1073=$E1061)*(ROW(V$2:V$1073)&lt;&gt;ROW(V1061))*(V$2:V$1073&lt;&gt;""))),"")</f>
        <v>0.73416556286060275</v>
      </c>
      <c r="AE1061">
        <f>IF('Дивиденды по годам'!M1061&lt;0,1,0)</f>
        <v>0</v>
      </c>
    </row>
    <row r="1062" spans="1:31" x14ac:dyDescent="0.2">
      <c r="A1062" s="7" t="s">
        <v>2311</v>
      </c>
      <c r="B1062" t="str">
        <f t="shared" si="176"/>
        <v>SMLT IV кв. 2021</v>
      </c>
      <c r="C1062">
        <v>2021</v>
      </c>
      <c r="D1062">
        <f>SUMIFS(Дивиденды!$C:$C,Дивиденды!$A:$A,A1062,Дивиденды!$I:$I,C1062)</f>
        <v>41</v>
      </c>
      <c r="E1062">
        <v>8</v>
      </c>
      <c r="F1062">
        <f t="shared" si="177"/>
        <v>41</v>
      </c>
      <c r="G1062">
        <f t="shared" si="178"/>
        <v>7.6400000000000006</v>
      </c>
      <c r="H1062">
        <f t="shared" si="179"/>
        <v>1</v>
      </c>
      <c r="I1062">
        <f t="shared" si="180"/>
        <v>0.33333333333333331</v>
      </c>
      <c r="J1062">
        <f t="shared" si="181"/>
        <v>0</v>
      </c>
      <c r="K1062">
        <f t="shared" si="186"/>
        <v>-0.49771487542385379</v>
      </c>
      <c r="L1062">
        <f t="shared" si="182"/>
        <v>0</v>
      </c>
      <c r="M1062">
        <f t="shared" si="183"/>
        <v>0</v>
      </c>
      <c r="N1062">
        <f t="shared" si="184"/>
        <v>0</v>
      </c>
      <c r="O1062">
        <f t="shared" si="185"/>
        <v>0.66666666666666663</v>
      </c>
      <c r="P1062">
        <f>IFERROR(LN('Дивиденды по годам'!I1062),"")</f>
        <v>26.056670385366122</v>
      </c>
      <c r="Q1062">
        <f>IFERROR('Дивиденды по годам'!G1062/'Дивиденды по годам'!I1062, "")</f>
        <v>5.3345048324337898E-3</v>
      </c>
      <c r="R1062">
        <f>IFERROR(IF(AND('Дивиденды по годам'!N1062&lt;&gt;"",'Дивиденды по годам'!U1062&lt;&gt;"",'Дивиденды по годам'!U1062&lt;&gt;0),'Дивиденды по годам'!N1062/'Дивиденды по годам'!U1062-1,""),"")</f>
        <v>0.54552499447267189</v>
      </c>
      <c r="S1062">
        <f>IFERROR(IF(AND('Дивиденды по годам'!L1062&lt;&gt;"",'Дивиденды по годам'!I1062&lt;&gt;"",'Дивиденды по годам'!J1062&lt;&gt;"",'Дивиденды по годам'!K1062&lt;&gt;"",('Дивиденды по годам'!I1062-'Дивиденды по годам'!J1062-'Дивиденды по годам'!K1062)&lt;&gt;0),'Дивиденды по годам'!L1062/('Дивиденды по годам'!I1062-'Дивиденды по годам'!J1062-'Дивиденды по годам'!K1062),""),"")</f>
        <v>0.47552873773389409</v>
      </c>
      <c r="T1062">
        <f>IFERROR(IF(AND('Дивиденды по годам'!Q1062&lt;&gt;"",'Дивиденды по годам'!I1062&lt;&gt;"",'Дивиденды по годам'!V1062&lt;&gt;"",('Дивиденды по годам'!I1062+'Дивиденды по годам'!V1062)&lt;&gt;0),'Дивиденды по годам'!Q1062/(('Дивиденды по годам'!I1062+'Дивиденды по годам'!V1062)/2),""),"")</f>
        <v>5.5565401194615227E-2</v>
      </c>
      <c r="U1062">
        <f>IFERROR(IF(AND('Дивиденды по годам'!J1062&lt;&gt;"",'Дивиденды по годам'!K1062&lt;&gt;"",'Дивиденды по годам'!M1062&lt;&gt;"",'Дивиденды по годам'!M1062&lt;&gt;0),('Дивиденды по годам'!J1062+'Дивиденды по годам'!K1062)/'Дивиденды по годам'!M1062,""),"")</f>
        <v>11.625929537973912</v>
      </c>
      <c r="V1062">
        <f>IFERROR(IF(AND('Дивиденды по годам'!J1062&lt;&gt;"",'Дивиденды по годам'!K1062&lt;&gt;"",'Дивиденды по годам'!M1062&lt;&gt;"",'Дивиденды по годам'!I1062&lt;&gt;0),('Дивиденды по годам'!J1062+'Дивиденды по годам'!K1062)/'Дивиденды по годам'!I1062,""),"")</f>
        <v>0.92079346535227047</v>
      </c>
      <c r="W1062">
        <f>IFERROR('Дивиденды по годам'!I1062,"")</f>
        <v>207142000000</v>
      </c>
      <c r="X1062" cm="1">
        <f t="array" ref="X1062">IFERROR(AVERAGE(_xlfn._xlws.FILTER(P$2:P$1073,($C$2:$C$1073=$C1062)*($E$2:$E$1073=$E1062)*(ROW(P$2:P$1073)&lt;&gt;ROW(P1062))*(P$2:P$1073&lt;&gt;""))),"")</f>
        <v>26.798310547012022</v>
      </c>
      <c r="Y1062" cm="1">
        <f t="array" ref="Y1062">IFERROR(AVERAGE(_xlfn._xlws.FILTER(Q$2:Q$1073,($C$2:$C$1073=$C1062)*($E$2:$E$1073=$E1062)*(ROW(Q$2:Q$1073)&lt;&gt;ROW(Q1062))*(Q$2:Q$1073&lt;&gt;""))),"")</f>
        <v>4.1271335215836549E-2</v>
      </c>
      <c r="Z1062" cm="1">
        <f t="array" ref="Z1062">IFERROR(AVERAGE(_xlfn._xlws.FILTER(R$2:R$1073,($C$2:$C$1073=$C1062)*($E$2:$E$1073=$E1062)*(ROW(R$2:R$1073)&lt;&gt;ROW(R1062))*(R$2:R$1073&lt;&gt;""))),"")</f>
        <v>0.1655264027508169</v>
      </c>
      <c r="AA1062" cm="1">
        <f t="array" ref="AA1062">IFERROR(AVERAGE(_xlfn._xlws.FILTER(S$2:S$1073,($C$2:$C$1073=$C1062)*($E$2:$E$1073=$E1062)*(ROW(S$2:S$1073)&lt;&gt;ROW(S1062))*(S$2:S$1073&lt;&gt;""))),"")</f>
        <v>0.69718340854241267</v>
      </c>
      <c r="AB1062" cm="1">
        <f t="array" ref="AB1062">IFERROR(AVERAGE(_xlfn._xlws.FILTER(T$2:T$1073,($C$2:$C$1073=$C1062)*($E$2:$E$1073=$E1062)*(ROW(T$2:T$1073)&lt;&gt;ROW(T1062))*(T$2:T$1073&lt;&gt;""))),"")</f>
        <v>6.2470323530121254E-2</v>
      </c>
      <c r="AC1062" cm="1">
        <f t="array" ref="AC1062">IFERROR(AVERAGE(_xlfn._xlws.FILTER(U$2:U$1073,($C$2:$C$1073=$C1062)*($E$2:$E$1073=$E1062)*(ROW(U$2:U$1073)&lt;&gt;ROW(U1062))*(U$2:U$1073&lt;&gt;""))),"")</f>
        <v>2.8173281062436106</v>
      </c>
      <c r="AD1062" cm="1">
        <f t="array" ref="AD1062">IFERROR(AVERAGE(_xlfn._xlws.FILTER(V$2:V$1073,($C$2:$C$1073=$C1062)*($E$2:$E$1073=$E1062)*(ROW(V$2:V$1073)&lt;&gt;ROW(V1062))*(V$2:V$1073&lt;&gt;""))),"")</f>
        <v>0.73737217433824076</v>
      </c>
      <c r="AE1062">
        <f>IF('Дивиденды по годам'!M1062&lt;0,1,0)</f>
        <v>0</v>
      </c>
    </row>
    <row r="1063" spans="1:31" x14ac:dyDescent="0.2">
      <c r="A1063" s="7" t="s">
        <v>2311</v>
      </c>
      <c r="B1063" t="str">
        <f t="shared" si="176"/>
        <v>SMLT IV кв. 2020</v>
      </c>
      <c r="C1063">
        <v>2020</v>
      </c>
      <c r="D1063">
        <f>SUMIFS(Дивиденды!$C:$C,Дивиденды!$A:$A,A1063,Дивиденды!$I:$I,C1063)</f>
        <v>41</v>
      </c>
      <c r="E1063">
        <v>8</v>
      </c>
      <c r="F1063">
        <f t="shared" si="177"/>
        <v>41</v>
      </c>
      <c r="G1063">
        <f t="shared" si="178"/>
        <v>34.74</v>
      </c>
      <c r="H1063">
        <f t="shared" si="179"/>
        <v>1</v>
      </c>
      <c r="I1063">
        <f t="shared" si="180"/>
        <v>0.66666666666666663</v>
      </c>
      <c r="J1063">
        <f t="shared" si="181"/>
        <v>1</v>
      </c>
      <c r="K1063">
        <f t="shared" si="186"/>
        <v>0.65555555555555556</v>
      </c>
      <c r="L1063">
        <f t="shared" si="182"/>
        <v>1</v>
      </c>
      <c r="M1063">
        <f t="shared" si="183"/>
        <v>0.66666666666666663</v>
      </c>
      <c r="N1063">
        <f t="shared" si="184"/>
        <v>0</v>
      </c>
      <c r="O1063">
        <f t="shared" si="185"/>
        <v>0</v>
      </c>
      <c r="P1063">
        <f>IFERROR(LN('Дивиденды по годам'!I1063),"")</f>
        <v>25.287950128176394</v>
      </c>
      <c r="Q1063">
        <f>IFERROR('Дивиденды по годам'!G1063/'Дивиденды по годам'!I1063, "")</f>
        <v>1.0979850721222661E-2</v>
      </c>
      <c r="R1063">
        <f>IFERROR(IF(AND('Дивиденды по годам'!N1063&lt;&gt;"",'Дивиденды по годам'!U1063&lt;&gt;"",'Дивиденды по годам'!U1063&lt;&gt;0),'Дивиденды по годам'!N1063/'Дивиденды по годам'!U1063-1,""),"")</f>
        <v>0.17670622912166567</v>
      </c>
      <c r="S1063">
        <f>IFERROR(IF(AND('Дивиденды по годам'!L1063&lt;&gt;"",'Дивиденды по годам'!I1063&lt;&gt;"",'Дивиденды по годам'!J1063&lt;&gt;"",'Дивиденды по годам'!K1063&lt;&gt;"",('Дивиденды по годам'!I1063-'Дивиденды по годам'!J1063-'Дивиденды по годам'!K1063)&lt;&gt;0),'Дивиденды по годам'!L1063/('Дивиденды по годам'!I1063-'Дивиденды по годам'!J1063-'Дивиденды по годам'!K1063),""),"")</f>
        <v>0.60596019507257426</v>
      </c>
      <c r="T1063">
        <f>IFERROR(IF(AND('Дивиденды по годам'!Q1063&lt;&gt;"",'Дивиденды по годам'!I1063&lt;&gt;"",'Дивиденды по годам'!V1063&lt;&gt;"",('Дивиденды по годам'!I1063+'Дивиденды по годам'!V1063)&lt;&gt;0),'Дивиденды по годам'!Q1063/(('Дивиденды по годам'!I1063+'Дивиденды по годам'!V1063)/2),""),"")</f>
        <v>5.1171595207836262E-2</v>
      </c>
      <c r="U1063">
        <f>IFERROR(IF(AND('Дивиденды по годам'!J1063&lt;&gt;"",'Дивиденды по годам'!K1063&lt;&gt;"",'Дивиденды по годам'!M1063&lt;&gt;"",'Дивиденды по годам'!M1063&lt;&gt;0),('Дивиденды по годам'!J1063+'Дивиденды по годам'!K1063)/'Дивиденды по годам'!M1063,""),"")</f>
        <v>8.3756317638072275</v>
      </c>
      <c r="V1063">
        <f>IFERROR(IF(AND('Дивиденды по годам'!J1063&lt;&gt;"",'Дивиденды по годам'!K1063&lt;&gt;"",'Дивиденды по годам'!M1063&lt;&gt;"",'Дивиденды по годам'!I1063&lt;&gt;0),('Дивиденды по годам'!J1063+'Дивиденды по годам'!K1063)/'Дивиденды по годам'!I1063,""),"")</f>
        <v>0.89334052091718208</v>
      </c>
      <c r="W1063">
        <f>IFERROR('Дивиденды по годам'!I1063,"")</f>
        <v>96032271000</v>
      </c>
      <c r="X1063" cm="1">
        <f t="array" ref="X1063">IFERROR(AVERAGE(_xlfn._xlws.FILTER(P$2:P$1073,($C$2:$C$1073=$C1063)*($E$2:$E$1073=$E1063)*(ROW(P$2:P$1073)&lt;&gt;ROW(P1063))*(P$2:P$1073&lt;&gt;""))),"")</f>
        <v>26.505603221811942</v>
      </c>
      <c r="Y1063" cm="1">
        <f t="array" ref="Y1063">IFERROR(AVERAGE(_xlfn._xlws.FILTER(Q$2:Q$1073,($C$2:$C$1073=$C1063)*($E$2:$E$1073=$E1063)*(ROW(Q$2:Q$1073)&lt;&gt;ROW(Q1063))*(Q$2:Q$1073&lt;&gt;""))),"")</f>
        <v>4.9788324205842151E-2</v>
      </c>
      <c r="Z1063" cm="1">
        <f t="array" ref="Z1063">IFERROR(AVERAGE(_xlfn._xlws.FILTER(R$2:R$1073,($C$2:$C$1073=$C1063)*($E$2:$E$1073=$E1063)*(ROW(R$2:R$1073)&lt;&gt;ROW(R1063))*(R$2:R$1073&lt;&gt;""))),"")</f>
        <v>0.11876474162482491</v>
      </c>
      <c r="AA1063" cm="1">
        <f t="array" ref="AA1063">IFERROR(AVERAGE(_xlfn._xlws.FILTER(S$2:S$1073,($C$2:$C$1073=$C1063)*($E$2:$E$1073=$E1063)*(ROW(S$2:S$1073)&lt;&gt;ROW(S1063))*(S$2:S$1073&lt;&gt;""))),"")</f>
        <v>0.68357633314687327</v>
      </c>
      <c r="AB1063" cm="1">
        <f t="array" ref="AB1063">IFERROR(AVERAGE(_xlfn._xlws.FILTER(T$2:T$1073,($C$2:$C$1073=$C1063)*($E$2:$E$1073=$E1063)*(ROW(T$2:T$1073)&lt;&gt;ROW(T1063))*(T$2:T$1073&lt;&gt;""))),"")</f>
        <v>6.9888617151078331E-2</v>
      </c>
      <c r="AC1063" cm="1">
        <f t="array" ref="AC1063">IFERROR(AVERAGE(_xlfn._xlws.FILTER(U$2:U$1073,($C$2:$C$1073=$C1063)*($E$2:$E$1073=$E1063)*(ROW(U$2:U$1073)&lt;&gt;ROW(U1063))*(U$2:U$1073&lt;&gt;""))),"")</f>
        <v>2.4298425539871933</v>
      </c>
      <c r="AD1063" cm="1">
        <f t="array" ref="AD1063">IFERROR(AVERAGE(_xlfn._xlws.FILTER(V$2:V$1073,($C$2:$C$1073=$C1063)*($E$2:$E$1073=$E1063)*(ROW(V$2:V$1073)&lt;&gt;ROW(V1063))*(V$2:V$1073&lt;&gt;""))),"")</f>
        <v>0.70679138537292818</v>
      </c>
      <c r="AE1063">
        <f>IF('Дивиденды по годам'!M1063&lt;0,1,0)</f>
        <v>0</v>
      </c>
    </row>
    <row r="1064" spans="1:31" x14ac:dyDescent="0.2">
      <c r="A1064" s="7" t="s">
        <v>2311</v>
      </c>
      <c r="B1064" t="str">
        <f t="shared" si="176"/>
        <v>SMLT IV кв. 2019</v>
      </c>
      <c r="C1064">
        <v>2019</v>
      </c>
      <c r="D1064">
        <f>SUMIFS(Дивиденды!$C:$C,Дивиденды!$A:$A,A1064,Дивиденды!$I:$I,C1064)</f>
        <v>0</v>
      </c>
      <c r="E1064">
        <v>8</v>
      </c>
      <c r="F1064">
        <f t="shared" si="177"/>
        <v>0</v>
      </c>
      <c r="G1064">
        <f t="shared" si="178"/>
        <v>10</v>
      </c>
      <c r="H1064">
        <f t="shared" si="179"/>
        <v>0</v>
      </c>
      <c r="I1064">
        <f t="shared" si="180"/>
        <v>0.33333333333333331</v>
      </c>
      <c r="J1064">
        <f t="shared" si="181"/>
        <v>0</v>
      </c>
      <c r="K1064">
        <f t="shared" si="186"/>
        <v>-0.53846153846153844</v>
      </c>
      <c r="L1064">
        <f t="shared" si="182"/>
        <v>0</v>
      </c>
      <c r="M1064">
        <f t="shared" si="183"/>
        <v>0</v>
      </c>
      <c r="N1064">
        <f t="shared" si="184"/>
        <v>0</v>
      </c>
      <c r="O1064">
        <f t="shared" si="185"/>
        <v>0.66666666666666663</v>
      </c>
      <c r="P1064">
        <f>IFERROR(LN('Дивиденды по годам'!I1064),"")</f>
        <v>25.085601725065228</v>
      </c>
      <c r="Q1064">
        <f>IFERROR('Дивиденды по годам'!G1064/'Дивиденды по годам'!I1064, "")</f>
        <v>9.3921291428465947E-3</v>
      </c>
      <c r="R1064">
        <f>IFERROR(IF(AND('Дивиденды по годам'!N1064&lt;&gt;"",'Дивиденды по годам'!U1064&lt;&gt;"",'Дивиденды по годам'!U1064&lt;&gt;0),'Дивиденды по годам'!N1064/'Дивиденды по годам'!U1064-1,""),"")</f>
        <v>0.32098225879541009</v>
      </c>
      <c r="S1064">
        <f>IFERROR(IF(AND('Дивиденды по годам'!L1064&lt;&gt;"",'Дивиденды по годам'!I1064&lt;&gt;"",'Дивиденды по годам'!J1064&lt;&gt;"",'Дивиденды по годам'!K1064&lt;&gt;"",('Дивиденды по годам'!I1064-'Дивиденды по годам'!J1064-'Дивиденды по годам'!K1064)&lt;&gt;0),'Дивиденды по годам'!L1064/('Дивиденды по годам'!I1064-'Дивиденды по годам'!J1064-'Дивиденды по годам'!K1064),""),"")</f>
        <v>0.54743207564148755</v>
      </c>
      <c r="T1064">
        <f>IFERROR(IF(AND('Дивиденды по годам'!Q1064&lt;&gt;"",'Дивиденды по годам'!I1064&lt;&gt;"",'Дивиденды по годам'!V1064&lt;&gt;"",('Дивиденды по годам'!I1064+'Дивиденды по годам'!V1064)&lt;&gt;0),'Дивиденды по годам'!Q1064/(('Дивиденды по годам'!I1064+'Дивиденды по годам'!V1064)/2),""),"")</f>
        <v>1.2227587927509713E-2</v>
      </c>
      <c r="U1064">
        <f>IFERROR(IF(AND('Дивиденды по годам'!J1064&lt;&gt;"",'Дивиденды по годам'!K1064&lt;&gt;"",'Дивиденды по годам'!M1064&lt;&gt;"",'Дивиденды по годам'!M1064&lt;&gt;0),('Дивиденды по годам'!J1064+'Дивиденды по годам'!K1064)/'Дивиденды по годам'!M1064,""),"")</f>
        <v>12.950009123331435</v>
      </c>
      <c r="V1064">
        <f>IFERROR(IF(AND('Дивиденды по годам'!J1064&lt;&gt;"",'Дивиденды по годам'!K1064&lt;&gt;"",'Дивиденды по годам'!M1064&lt;&gt;"",'Дивиденды по годам'!I1064&lt;&gt;0),('Дивиденды по годам'!J1064+'Дивиденды по годам'!K1064)/'Дивиденды по годам'!I1064,""),"")</f>
        <v>0.92831545906823121</v>
      </c>
      <c r="W1064">
        <f>IFERROR('Дивиденды по годам'!I1064,"")</f>
        <v>78440148000</v>
      </c>
      <c r="X1064" cm="1">
        <f t="array" ref="X1064">IFERROR(AVERAGE(_xlfn._xlws.FILTER(P$2:P$1073,($C$2:$C$1073=$C1064)*($E$2:$E$1073=$E1064)*(ROW(P$2:P$1073)&lt;&gt;ROW(P1064))*(P$2:P$1073&lt;&gt;""))),"")</f>
        <v>26.349864427193939</v>
      </c>
      <c r="Y1064" cm="1">
        <f t="array" ref="Y1064">IFERROR(AVERAGE(_xlfn._xlws.FILTER(Q$2:Q$1073,($C$2:$C$1073=$C1064)*($E$2:$E$1073=$E1064)*(ROW(Q$2:Q$1073)&lt;&gt;ROW(Q1064))*(Q$2:Q$1073&lt;&gt;""))),"")</f>
        <v>6.0205353625888434E-2</v>
      </c>
      <c r="Z1064" cm="1">
        <f t="array" ref="Z1064">IFERROR(AVERAGE(_xlfn._xlws.FILTER(R$2:R$1073,($C$2:$C$1073=$C1064)*($E$2:$E$1073=$E1064)*(ROW(R$2:R$1073)&lt;&gt;ROW(R1064))*(R$2:R$1073&lt;&gt;""))),"")</f>
        <v>2.0785636501525689E-2</v>
      </c>
      <c r="AA1064" cm="1">
        <f t="array" ref="AA1064">IFERROR(AVERAGE(_xlfn._xlws.FILTER(S$2:S$1073,($C$2:$C$1073=$C1064)*($E$2:$E$1073=$E1064)*(ROW(S$2:S$1073)&lt;&gt;ROW(S1064))*(S$2:S$1073&lt;&gt;""))),"")</f>
        <v>0.63297981804667647</v>
      </c>
      <c r="AB1064" cm="1">
        <f t="array" ref="AB1064">IFERROR(AVERAGE(_xlfn._xlws.FILTER(T$2:T$1073,($C$2:$C$1073=$C1064)*($E$2:$E$1073=$E1064)*(ROW(T$2:T$1073)&lt;&gt;ROW(T1064))*(T$2:T$1073&lt;&gt;""))),"")</f>
        <v>4.6429094199542977E-2</v>
      </c>
      <c r="AC1064" cm="1">
        <f t="array" ref="AC1064">IFERROR(AVERAGE(_xlfn._xlws.FILTER(U$2:U$1073,($C$2:$C$1073=$C1064)*($E$2:$E$1073=$E1064)*(ROW(U$2:U$1073)&lt;&gt;ROW(U1064))*(U$2:U$1073&lt;&gt;""))),"")</f>
        <v>2.564994436406479</v>
      </c>
      <c r="AD1064" cm="1">
        <f t="array" ref="AD1064">IFERROR(AVERAGE(_xlfn._xlws.FILTER(V$2:V$1073,($C$2:$C$1073=$C1064)*($E$2:$E$1073=$E1064)*(ROW(V$2:V$1073)&lt;&gt;ROW(V1064))*(V$2:V$1073&lt;&gt;""))),"")</f>
        <v>0.71422218077282651</v>
      </c>
      <c r="AE1064">
        <f>IF('Дивиденды по годам'!M1064&lt;0,1,0)</f>
        <v>0</v>
      </c>
    </row>
    <row r="1065" spans="1:31" x14ac:dyDescent="0.2">
      <c r="A1065" s="7" t="s">
        <v>2311</v>
      </c>
      <c r="B1065" t="str">
        <f t="shared" si="176"/>
        <v>SMLT IV кв. 2018</v>
      </c>
      <c r="C1065">
        <v>2018</v>
      </c>
      <c r="D1065">
        <f>SUMIFS(Дивиденды!$C:$C,Дивиденды!$A:$A,A1065,Дивиденды!$I:$I,C1065)</f>
        <v>0</v>
      </c>
      <c r="E1065">
        <v>8</v>
      </c>
      <c r="F1065">
        <f t="shared" si="177"/>
        <v>0</v>
      </c>
      <c r="G1065">
        <f t="shared" si="178"/>
        <v>41.14</v>
      </c>
      <c r="H1065">
        <f t="shared" si="179"/>
        <v>0</v>
      </c>
      <c r="I1065">
        <f t="shared" si="180"/>
        <v>0.66666666666666663</v>
      </c>
      <c r="J1065">
        <f t="shared" si="181"/>
        <v>0</v>
      </c>
      <c r="K1065">
        <f t="shared" si="186"/>
        <v>0.33333333333333331</v>
      </c>
      <c r="L1065">
        <f t="shared" si="182"/>
        <v>0</v>
      </c>
      <c r="M1065">
        <f t="shared" si="183"/>
        <v>0.33333333333333331</v>
      </c>
      <c r="N1065">
        <f t="shared" si="184"/>
        <v>0</v>
      </c>
      <c r="O1065">
        <f t="shared" si="185"/>
        <v>0</v>
      </c>
      <c r="P1065">
        <f>IFERROR(LN('Дивиденды по годам'!I1065),"")</f>
        <v>24.865270750736808</v>
      </c>
      <c r="Q1065">
        <f>IFERROR('Дивиденды по годам'!G1065/'Дивиденды по годам'!I1065, "")</f>
        <v>2.5302539238672393E-3</v>
      </c>
      <c r="R1065">
        <f>IFERROR(IF(AND('Дивиденды по годам'!N1065&lt;&gt;"",'Дивиденды по годам'!U1065&lt;&gt;"",'Дивиденды по годам'!U1065&lt;&gt;0),'Дивиденды по годам'!N1065/'Дивиденды по годам'!U1065-1,""),"")</f>
        <v>-7.5342734018741697E-2</v>
      </c>
      <c r="S1065">
        <f>IFERROR(IF(AND('Дивиденды по годам'!L1065&lt;&gt;"",'Дивиденды по годам'!I1065&lt;&gt;"",'Дивиденды по годам'!J1065&lt;&gt;"",'Дивиденды по годам'!K1065&lt;&gt;"",('Дивиденды по годам'!I1065-'Дивиденды по годам'!J1065-'Дивиденды по годам'!K1065)&lt;&gt;0),'Дивиденды по годам'!L1065/('Дивиденды по годам'!I1065-'Дивиденды по годам'!J1065-'Дивиденды по годам'!K1065),""),"")</f>
        <v>0.76041722901692177</v>
      </c>
      <c r="T1065">
        <f>IFERROR(IF(AND('Дивиденды по годам'!Q1065&lt;&gt;"",'Дивиденды по годам'!I1065&lt;&gt;"",'Дивиденды по годам'!V1065&lt;&gt;"",('Дивиденды по годам'!I1065+'Дивиденды по годам'!V1065)&lt;&gt;0),'Дивиденды по годам'!Q1065/(('Дивиденды по годам'!I1065+'Дивиденды по годам'!V1065)/2),""),"")</f>
        <v>5.6220357257305252E-2</v>
      </c>
      <c r="U1065">
        <f>IFERROR(IF(AND('Дивиденды по годам'!J1065&lt;&gt;"",'Дивиденды по годам'!K1065&lt;&gt;"",'Дивиденды по годам'!M1065&lt;&gt;"",'Дивиденды по годам'!M1065&lt;&gt;0),('Дивиденды по годам'!J1065+'Дивиденды по годам'!K1065)/'Дивиденды по годам'!M1065,""),"")</f>
        <v>9.0510470815339463</v>
      </c>
      <c r="V1065">
        <f>IFERROR(IF(AND('Дивиденды по годам'!J1065&lt;&gt;"",'Дивиденды по годам'!K1065&lt;&gt;"",'Дивиденды по годам'!M1065&lt;&gt;"",'Дивиденды по годам'!I1065&lt;&gt;0),('Дивиденды по годам'!J1065+'Дивиденды по годам'!K1065)/'Дивиденды по годам'!I1065,""),"")</f>
        <v>0.90050787824512069</v>
      </c>
      <c r="W1065">
        <f>IFERROR('Дивиденды по годам'!I1065,"")</f>
        <v>62928862000</v>
      </c>
      <c r="X1065" cm="1">
        <f t="array" ref="X1065">IFERROR(AVERAGE(_xlfn._xlws.FILTER(P$2:P$1073,($C$2:$C$1073=$C1065)*($E$2:$E$1073=$E1065)*(ROW(P$2:P$1073)&lt;&gt;ROW(P1065))*(P$2:P$1073&lt;&gt;""))),"")</f>
        <v>26.154227105509552</v>
      </c>
      <c r="Y1065" cm="1">
        <f t="array" ref="Y1065">IFERROR(AVERAGE(_xlfn._xlws.FILTER(Q$2:Q$1073,($C$2:$C$1073=$C1065)*($E$2:$E$1073=$E1065)*(ROW(Q$2:Q$1073)&lt;&gt;ROW(Q1065))*(Q$2:Q$1073&lt;&gt;""))),"")</f>
        <v>6.3649169181170764E-2</v>
      </c>
      <c r="Z1065" cm="1">
        <f t="array" ref="Z1065">IFERROR(AVERAGE(_xlfn._xlws.FILTER(R$2:R$1073,($C$2:$C$1073=$C1065)*($E$2:$E$1073=$E1065)*(ROW(R$2:R$1073)&lt;&gt;ROW(R1065))*(R$2:R$1073&lt;&gt;""))),"")</f>
        <v>0.16132420811962156</v>
      </c>
      <c r="AA1065" cm="1">
        <f t="array" ref="AA1065">IFERROR(AVERAGE(_xlfn._xlws.FILTER(S$2:S$1073,($C$2:$C$1073=$C1065)*($E$2:$E$1073=$E1065)*(ROW(S$2:S$1073)&lt;&gt;ROW(S1065))*(S$2:S$1073&lt;&gt;""))),"")</f>
        <v>0.57998366804796564</v>
      </c>
      <c r="AB1065" cm="1">
        <f t="array" ref="AB1065">IFERROR(AVERAGE(_xlfn._xlws.FILTER(T$2:T$1073,($C$2:$C$1073=$C1065)*($E$2:$E$1073=$E1065)*(ROW(T$2:T$1073)&lt;&gt;ROW(T1065))*(T$2:T$1073&lt;&gt;""))),"")</f>
        <v>4.0681368572137597E-2</v>
      </c>
      <c r="AC1065" cm="1">
        <f t="array" ref="AC1065">IFERROR(AVERAGE(_xlfn._xlws.FILTER(U$2:U$1073,($C$2:$C$1073=$C1065)*($E$2:$E$1073=$E1065)*(ROW(U$2:U$1073)&lt;&gt;ROW(U1065))*(U$2:U$1073&lt;&gt;""))),"")</f>
        <v>2.468111443333135</v>
      </c>
      <c r="AD1065" cm="1">
        <f t="array" ref="AD1065">IFERROR(AVERAGE(_xlfn._xlws.FILTER(V$2:V$1073,($C$2:$C$1073=$C1065)*($E$2:$E$1073=$E1065)*(ROW(V$2:V$1073)&lt;&gt;ROW(V1065))*(V$2:V$1073&lt;&gt;""))),"")</f>
        <v>0.67353293586575003</v>
      </c>
      <c r="AE1065">
        <f>IF('Дивиденды по годам'!M1065&lt;0,1,0)</f>
        <v>0</v>
      </c>
    </row>
    <row r="1066" spans="1:31" x14ac:dyDescent="0.2">
      <c r="A1066" s="7" t="s">
        <v>2311</v>
      </c>
      <c r="B1066" t="str">
        <f t="shared" si="176"/>
        <v>SMLT IV кв. 2017</v>
      </c>
      <c r="C1066">
        <v>2017</v>
      </c>
      <c r="D1066">
        <f>SUMIFS(Дивиденды!$C:$C,Дивиденды!$A:$A,A1066,Дивиденды!$I:$I,C1066)</f>
        <v>0</v>
      </c>
      <c r="E1066">
        <v>8</v>
      </c>
      <c r="F1066">
        <f t="shared" si="177"/>
        <v>0</v>
      </c>
      <c r="G1066">
        <f t="shared" si="178"/>
        <v>26</v>
      </c>
      <c r="H1066">
        <f t="shared" si="179"/>
        <v>0</v>
      </c>
      <c r="I1066">
        <f t="shared" si="180"/>
        <v>0.33333333333333331</v>
      </c>
      <c r="J1066">
        <f t="shared" si="181"/>
        <v>0</v>
      </c>
      <c r="K1066">
        <f t="shared" si="186"/>
        <v>0</v>
      </c>
      <c r="L1066">
        <f t="shared" si="182"/>
        <v>0</v>
      </c>
      <c r="M1066">
        <f t="shared" si="183"/>
        <v>0</v>
      </c>
      <c r="N1066">
        <f t="shared" si="184"/>
        <v>0</v>
      </c>
      <c r="O1066">
        <f t="shared" si="185"/>
        <v>0</v>
      </c>
      <c r="P1066">
        <f>IFERROR(LN('Дивиденды по годам'!I1066),"")</f>
        <v>24.612080090817663</v>
      </c>
      <c r="Q1066">
        <f>IFERROR('Дивиденды по годам'!G1066/'Дивиденды по годам'!I1066, "")</f>
        <v>5.5559621046232131E-3</v>
      </c>
      <c r="R1066">
        <f>IFERROR(IF(AND('Дивиденды по годам'!N1066&lt;&gt;"",'Дивиденды по годам'!U1066&lt;&gt;"",'Дивиденды по годам'!U1066&lt;&gt;0),'Дивиденды по годам'!N1066/'Дивиденды по годам'!U1066-1,""),"")</f>
        <v>0.6885768253416864</v>
      </c>
      <c r="S1066">
        <f>IFERROR(IF(AND('Дивиденды по годам'!L1066&lt;&gt;"",'Дивиденды по годам'!I1066&lt;&gt;"",'Дивиденды по годам'!J1066&lt;&gt;"",'Дивиденды по годам'!K1066&lt;&gt;"",('Дивиденды по годам'!I1066-'Дивиденды по годам'!J1066-'Дивиденды по годам'!K1066)&lt;&gt;0),'Дивиденды по годам'!L1066/('Дивиденды по годам'!I1066-'Дивиденды по годам'!J1066-'Дивиденды по годам'!K1066),""),"")</f>
        <v>0.60998433447520495</v>
      </c>
      <c r="T1066">
        <f>IFERROR(IF(AND('Дивиденды по годам'!Q1066&lt;&gt;"",'Дивиденды по годам'!I1066&lt;&gt;"",'Дивиденды по годам'!V1066&lt;&gt;"",('Дивиденды по годам'!I1066+'Дивиденды по годам'!V1066)&lt;&gt;0),'Дивиденды по годам'!Q1066/(('Дивиденды по годам'!I1066+'Дивиденды по годам'!V1066)/2),""),"")</f>
        <v>8.1462870722711855E-2</v>
      </c>
      <c r="U1066">
        <f>IFERROR(IF(AND('Дивиденды по годам'!J1066&lt;&gt;"",'Дивиденды по годам'!K1066&lt;&gt;"",'Дивиденды по годам'!M1066&lt;&gt;"",'Дивиденды по годам'!M1066&lt;&gt;0),('Дивиденды по годам'!J1066+'Дивиденды по годам'!K1066)/'Дивиденды по годам'!M1066,""),"")</f>
        <v>11.702186023231778</v>
      </c>
      <c r="V1066">
        <f>IFERROR(IF(AND('Дивиденды по годам'!J1066&lt;&gt;"",'Дивиденды по годам'!K1066&lt;&gt;"",'Дивиденды по годам'!M1066&lt;&gt;"",'Дивиденды по годам'!I1066&lt;&gt;0),('Дивиденды по годам'!J1066+'Дивиденды по годам'!K1066)/'Дивиденды по годам'!I1066,""),"")</f>
        <v>0.92127339355831817</v>
      </c>
      <c r="W1066">
        <f>IFERROR('Дивиденды по годам'!I1066,"")</f>
        <v>48852925000</v>
      </c>
      <c r="X1066" cm="1">
        <f t="array" ref="X1066">IFERROR(AVERAGE(_xlfn._xlws.FILTER(P$2:P$1073,($C$2:$C$1073=$C1066)*($E$2:$E$1073=$E1066)*(ROW(P$2:P$1073)&lt;&gt;ROW(P1066))*(P$2:P$1073&lt;&gt;""))),"")</f>
        <v>26.178909099308385</v>
      </c>
      <c r="Y1066" cm="1">
        <f t="array" ref="Y1066">IFERROR(AVERAGE(_xlfn._xlws.FILTER(Q$2:Q$1073,($C$2:$C$1073=$C1066)*($E$2:$E$1073=$E1066)*(ROW(Q$2:Q$1073)&lt;&gt;ROW(Q1066))*(Q$2:Q$1073&lt;&gt;""))),"")</f>
        <v>6.5835833788158035E-2</v>
      </c>
      <c r="Z1066" cm="1">
        <f t="array" ref="Z1066">IFERROR(AVERAGE(_xlfn._xlws.FILTER(R$2:R$1073,($C$2:$C$1073=$C1066)*($E$2:$E$1073=$E1066)*(ROW(R$2:R$1073)&lt;&gt;ROW(R1066))*(R$2:R$1073&lt;&gt;""))),"")</f>
        <v>1.1633473895934792</v>
      </c>
      <c r="AA1066" cm="1">
        <f t="array" ref="AA1066">IFERROR(AVERAGE(_xlfn._xlws.FILTER(S$2:S$1073,($C$2:$C$1073=$C1066)*($E$2:$E$1073=$E1066)*(ROW(S$2:S$1073)&lt;&gt;ROW(S1066))*(S$2:S$1073&lt;&gt;""))),"")</f>
        <v>0.54206004427148813</v>
      </c>
      <c r="AB1066" cm="1">
        <f t="array" ref="AB1066">IFERROR(AVERAGE(_xlfn._xlws.FILTER(T$2:T$1073,($C$2:$C$1073=$C1066)*($E$2:$E$1073=$E1066)*(ROW(T$2:T$1073)&lt;&gt;ROW(T1066))*(T$2:T$1073&lt;&gt;""))),"")</f>
        <v>3.5432781322892577E-2</v>
      </c>
      <c r="AC1066" cm="1">
        <f t="array" ref="AC1066">IFERROR(AVERAGE(_xlfn._xlws.FILTER(U$2:U$1073,($C$2:$C$1073=$C1066)*($E$2:$E$1073=$E1066)*(ROW(U$2:U$1073)&lt;&gt;ROW(U1066))*(U$2:U$1073&lt;&gt;""))),"")</f>
        <v>3.0400082741205821</v>
      </c>
      <c r="AD1066" cm="1">
        <f t="array" ref="AD1066">IFERROR(AVERAGE(_xlfn._xlws.FILTER(V$2:V$1073,($C$2:$C$1073=$C1066)*($E$2:$E$1073=$E1066)*(ROW(V$2:V$1073)&lt;&gt;ROW(V1066))*(V$2:V$1073&lt;&gt;""))),"")</f>
        <v>0.69227596447180328</v>
      </c>
      <c r="AE1066">
        <f>IF('Дивиденды по годам'!M1066&lt;0,1,0)</f>
        <v>0</v>
      </c>
    </row>
    <row r="1067" spans="1:31" x14ac:dyDescent="0.2">
      <c r="A1067" s="7" t="s">
        <v>2311</v>
      </c>
      <c r="B1067" t="str">
        <f t="shared" si="176"/>
        <v>SMLT IV кв. 2016</v>
      </c>
      <c r="C1067">
        <v>2016</v>
      </c>
      <c r="D1067">
        <f>SUMIFS(Дивиденды!$C:$C,Дивиденды!$A:$A,A1067,Дивиденды!$I:$I,C1067)</f>
        <v>0</v>
      </c>
      <c r="E1067">
        <v>8</v>
      </c>
      <c r="F1067">
        <f t="shared" si="177"/>
        <v>0</v>
      </c>
      <c r="G1067">
        <f t="shared" si="178"/>
        <v>26</v>
      </c>
      <c r="H1067">
        <f t="shared" si="179"/>
        <v>0</v>
      </c>
      <c r="I1067">
        <f t="shared" si="180"/>
        <v>0.33333333333333331</v>
      </c>
      <c r="J1067">
        <f t="shared" si="181"/>
        <v>0</v>
      </c>
      <c r="K1067">
        <f t="shared" si="186"/>
        <v>0</v>
      </c>
      <c r="L1067">
        <f t="shared" si="182"/>
        <v>0</v>
      </c>
      <c r="M1067">
        <f t="shared" si="183"/>
        <v>0</v>
      </c>
      <c r="N1067">
        <f t="shared" si="184"/>
        <v>0</v>
      </c>
      <c r="O1067">
        <f t="shared" si="185"/>
        <v>0</v>
      </c>
      <c r="P1067">
        <f>IFERROR(LN('Дивиденды по годам'!I1067),"")</f>
        <v>24.272894717913655</v>
      </c>
      <c r="Q1067">
        <f>IFERROR('Дивиденды по годам'!G1067/'Дивиденды по годам'!I1067, "")</f>
        <v>3.8576855438443238E-3</v>
      </c>
      <c r="R1067" t="str">
        <f>IFERROR(IF(AND('Дивиденды по годам'!N1067&lt;&gt;"",'Дивиденды по годам'!U1067&lt;&gt;"",'Дивиденды по годам'!U1067&lt;&gt;0),'Дивиденды по годам'!N1067/'Дивиденды по годам'!U1067-1,""),"")</f>
        <v/>
      </c>
      <c r="S1067">
        <f>IFERROR(IF(AND('Дивиденды по годам'!L1067&lt;&gt;"",'Дивиденды по годам'!I1067&lt;&gt;"",'Дивиденды по годам'!J1067&lt;&gt;"",'Дивиденды по годам'!K1067&lt;&gt;"",('Дивиденды по годам'!I1067-'Дивиденды по годам'!J1067-'Дивиденды по годам'!K1067)&lt;&gt;0),'Дивиденды по годам'!L1067/('Дивиденды по годам'!I1067-'Дивиденды по годам'!J1067-'Дивиденды по годам'!K1067),""),"")</f>
        <v>0.45642180806671906</v>
      </c>
      <c r="T1067" t="str">
        <f>IFERROR(IF(AND('Дивиденды по годам'!Q1067&lt;&gt;"",'Дивиденды по годам'!I1067&lt;&gt;"",'Дивиденды по годам'!V1067&lt;&gt;"",('Дивиденды по годам'!I1067+'Дивиденды по годам'!V1067)&lt;&gt;0),'Дивиденды по годам'!Q1067/(('Дивиденды по годам'!I1067+'Дивиденды по годам'!V1067)/2),""),"")</f>
        <v/>
      </c>
      <c r="U1067">
        <f>IFERROR(IF(AND('Дивиденды по годам'!J1067&lt;&gt;"",'Дивиденды по годам'!K1067&lt;&gt;"",'Дивиденды по годам'!M1067&lt;&gt;"",'Дивиденды по годам'!M1067&lt;&gt;0),('Дивиденды по годам'!J1067+'Дивиденды по годам'!K1067)/'Дивиденды по годам'!M1067,""),"")</f>
        <v>11.611074933203746</v>
      </c>
      <c r="V1067">
        <f>IFERROR(IF(AND('Дивиденды по годам'!J1067&lt;&gt;"",'Дивиденды по годам'!K1067&lt;&gt;"",'Дивиденды по годам'!M1067&lt;&gt;"",'Дивиденды по годам'!I1067&lt;&gt;0),('Дивиденды по годам'!J1067+'Дивиденды по годам'!K1067)/'Дивиденды по годам'!I1067,""),"")</f>
        <v>0.92070461833772022</v>
      </c>
      <c r="W1067">
        <f>IFERROR('Дивиденды по годам'!I1067,"")</f>
        <v>34800400000</v>
      </c>
      <c r="X1067" cm="1">
        <f t="array" ref="X1067">IFERROR(AVERAGE(_xlfn._xlws.FILTER(P$2:P$1073,($C$2:$C$1073=$C1067)*($E$2:$E$1073=$E1067)*(ROW(P$2:P$1073)&lt;&gt;ROW(P1067))*(P$2:P$1073&lt;&gt;""))),"")</f>
        <v>26.413481059823305</v>
      </c>
      <c r="Y1067" cm="1">
        <f t="array" ref="Y1067">IFERROR(AVERAGE(_xlfn._xlws.FILTER(Q$2:Q$1073,($C$2:$C$1073=$C1067)*($E$2:$E$1073=$E1067)*(ROW(Q$2:Q$1073)&lt;&gt;ROW(Q1067))*(Q$2:Q$1073&lt;&gt;""))),"")</f>
        <v>9.4112441100970168E-2</v>
      </c>
      <c r="Z1067" cm="1">
        <f t="array" ref="Z1067">IFERROR(AVERAGE(_xlfn._xlws.FILTER(R$2:R$1073,($C$2:$C$1073=$C1067)*($E$2:$E$1073=$E1067)*(ROW(R$2:R$1073)&lt;&gt;ROW(R1067))*(R$2:R$1073&lt;&gt;""))),"")</f>
        <v>0.15233021582257411</v>
      </c>
      <c r="AA1067" cm="1">
        <f t="array" ref="AA1067">IFERROR(AVERAGE(_xlfn._xlws.FILTER(S$2:S$1073,($C$2:$C$1073=$C1067)*($E$2:$E$1073=$E1067)*(ROW(S$2:S$1073)&lt;&gt;ROW(S1067))*(S$2:S$1073&lt;&gt;""))),"")</f>
        <v>0.39718118399312119</v>
      </c>
      <c r="AB1067" cm="1">
        <f t="array" ref="AB1067">IFERROR(AVERAGE(_xlfn._xlws.FILTER(T$2:T$1073,($C$2:$C$1073=$C1067)*($E$2:$E$1073=$E1067)*(ROW(T$2:T$1073)&lt;&gt;ROW(T1067))*(T$2:T$1073&lt;&gt;""))),"")</f>
        <v>6.447697662219809E-2</v>
      </c>
      <c r="AC1067" cm="1">
        <f t="array" ref="AC1067">IFERROR(AVERAGE(_xlfn._xlws.FILTER(U$2:U$1073,($C$2:$C$1073=$C1067)*($E$2:$E$1073=$E1067)*(ROW(U$2:U$1073)&lt;&gt;ROW(U1067))*(U$2:U$1073&lt;&gt;""))),"")</f>
        <v>4.0218209452011306</v>
      </c>
      <c r="AD1067" cm="1">
        <f t="array" ref="AD1067">IFERROR(AVERAGE(_xlfn._xlws.FILTER(V$2:V$1073,($C$2:$C$1073=$C1067)*($E$2:$E$1073=$E1067)*(ROW(V$2:V$1073)&lt;&gt;ROW(V1067))*(V$2:V$1073&lt;&gt;""))),"")</f>
        <v>0.78295443892915861</v>
      </c>
      <c r="AE1067">
        <f>IF('Дивиденды по годам'!M1067&lt;0,1,0)</f>
        <v>0</v>
      </c>
    </row>
    <row r="1068" spans="1:31" x14ac:dyDescent="0.2">
      <c r="A1068" s="7" t="s">
        <v>2311</v>
      </c>
      <c r="B1068" t="str">
        <f t="shared" si="176"/>
        <v>SMLT IV кв. 2015</v>
      </c>
      <c r="C1068">
        <v>2015</v>
      </c>
      <c r="D1068">
        <f>SUMIFS(Дивиденды!$C:$C,Дивиденды!$A:$A,A1068,Дивиденды!$I:$I,C1068)</f>
        <v>0</v>
      </c>
      <c r="E1068">
        <v>8</v>
      </c>
      <c r="F1068">
        <f t="shared" si="177"/>
        <v>0</v>
      </c>
      <c r="G1068">
        <f t="shared" si="178"/>
        <v>26</v>
      </c>
      <c r="H1068">
        <f t="shared" si="179"/>
        <v>0</v>
      </c>
      <c r="I1068">
        <f t="shared" si="180"/>
        <v>0.33333333333333331</v>
      </c>
      <c r="J1068">
        <f t="shared" si="181"/>
        <v>0</v>
      </c>
      <c r="K1068">
        <f t="shared" si="186"/>
        <v>-0.33333333333333331</v>
      </c>
      <c r="L1068">
        <f t="shared" si="182"/>
        <v>0</v>
      </c>
      <c r="M1068">
        <f t="shared" si="183"/>
        <v>0</v>
      </c>
      <c r="N1068">
        <f t="shared" si="184"/>
        <v>0</v>
      </c>
      <c r="O1068">
        <f t="shared" si="185"/>
        <v>0.33333333333333331</v>
      </c>
      <c r="P1068" t="str">
        <f>IFERROR(LN('Дивиденды по годам'!I1068),"")</f>
        <v/>
      </c>
      <c r="Q1068" t="str">
        <f>IFERROR('Дивиденды по годам'!G1068/'Дивиденды по годам'!I1068, "")</f>
        <v/>
      </c>
      <c r="R1068" t="str">
        <f>IFERROR(IF(AND('Дивиденды по годам'!N1068&lt;&gt;"",'Дивиденды по годам'!U1068&lt;&gt;"",'Дивиденды по годам'!U1068&lt;&gt;0),'Дивиденды по годам'!N1068/'Дивиденды по годам'!U1068-1,""),"")</f>
        <v/>
      </c>
      <c r="S1068" t="str">
        <f>IFERROR(IF(AND('Дивиденды по годам'!L1068&lt;&gt;"",'Дивиденды по годам'!I1068&lt;&gt;"",'Дивиденды по годам'!J1068&lt;&gt;"",'Дивиденды по годам'!K1068&lt;&gt;"",('Дивиденды по годам'!I1068-'Дивиденды по годам'!J1068-'Дивиденды по годам'!K1068)&lt;&gt;0),'Дивиденды по годам'!L1068/('Дивиденды по годам'!I1068-'Дивиденды по годам'!J1068-'Дивиденды по годам'!K1068),""),"")</f>
        <v/>
      </c>
      <c r="T1068" t="str">
        <f>IFERROR(IF(AND('Дивиденды по годам'!Q1068&lt;&gt;"",'Дивиденды по годам'!I1068&lt;&gt;"",'Дивиденды по годам'!V1068&lt;&gt;"",('Дивиденды по годам'!I1068+'Дивиденды по годам'!V1068)&lt;&gt;0),'Дивиденды по годам'!Q1068/(('Дивиденды по годам'!I1068+'Дивиденды по годам'!V1068)/2),""),"")</f>
        <v/>
      </c>
      <c r="U1068" t="str">
        <f>IFERROR(IF(AND('Дивиденды по годам'!J1068&lt;&gt;"",'Дивиденды по годам'!K1068&lt;&gt;"",'Дивиденды по годам'!M1068&lt;&gt;"",'Дивиденды по годам'!M1068&lt;&gt;0),('Дивиденды по годам'!J1068+'Дивиденды по годам'!K1068)/'Дивиденды по годам'!M1068,""),"")</f>
        <v/>
      </c>
      <c r="V1068" t="str">
        <f>IFERROR(IF(AND('Дивиденды по годам'!J1068&lt;&gt;"",'Дивиденды по годам'!K1068&lt;&gt;"",'Дивиденды по годам'!M1068&lt;&gt;"",'Дивиденды по годам'!I1068&lt;&gt;0),('Дивиденды по годам'!J1068+'Дивиденды по годам'!K1068)/'Дивиденды по годам'!I1068,""),"")</f>
        <v/>
      </c>
      <c r="W1068" t="str">
        <f>IFERROR('Дивиденды по годам'!I1068,"")</f>
        <v/>
      </c>
      <c r="X1068" cm="1">
        <f t="array" ref="X1068">IFERROR(AVERAGE(_xlfn._xlws.FILTER(P$2:P$1073,($C$2:$C$1073=$C1068)*($E$2:$E$1073=$E1068)*(ROW(P$2:P$1073)&lt;&gt;ROW(P1068))*(P$2:P$1073&lt;&gt;""))),"")</f>
        <v>25.71829449059895</v>
      </c>
      <c r="Y1068" cm="1">
        <f t="array" ref="Y1068">IFERROR(AVERAGE(_xlfn._xlws.FILTER(Q$2:Q$1073,($C$2:$C$1073=$C1068)*($E$2:$E$1073=$E1068)*(ROW(Q$2:Q$1073)&lt;&gt;ROW(Q1068))*(Q$2:Q$1073&lt;&gt;""))),"")</f>
        <v>0.1073202909166114</v>
      </c>
      <c r="Z1068" cm="1">
        <f t="array" ref="Z1068">IFERROR(AVERAGE(_xlfn._xlws.FILTER(R$2:R$1073,($C$2:$C$1073=$C1068)*($E$2:$E$1073=$E1068)*(ROW(R$2:R$1073)&lt;&gt;ROW(R1068))*(R$2:R$1073&lt;&gt;""))),"")</f>
        <v>-0.11253408541772025</v>
      </c>
      <c r="AA1068" cm="1">
        <f t="array" ref="AA1068">IFERROR(AVERAGE(_xlfn._xlws.FILTER(S$2:S$1073,($C$2:$C$1073=$C1068)*($E$2:$E$1073=$E1068)*(ROW(S$2:S$1073)&lt;&gt;ROW(S1068))*(S$2:S$1073&lt;&gt;""))),"")</f>
        <v>0.17449271478843911</v>
      </c>
      <c r="AB1068" cm="1">
        <f t="array" ref="AB1068">IFERROR(AVERAGE(_xlfn._xlws.FILTER(T$2:T$1073,($C$2:$C$1073=$C1068)*($E$2:$E$1073=$E1068)*(ROW(T$2:T$1073)&lt;&gt;ROW(T1068))*(T$2:T$1073&lt;&gt;""))),"")</f>
        <v>8.260922764123789E-2</v>
      </c>
      <c r="AC1068" cm="1">
        <f t="array" ref="AC1068">IFERROR(AVERAGE(_xlfn._xlws.FILTER(U$2:U$1073,($C$2:$C$1073=$C1068)*($E$2:$E$1073=$E1068)*(ROW(U$2:U$1073)&lt;&gt;ROW(U1068))*(U$2:U$1073&lt;&gt;""))),"")</f>
        <v>2.1321711086288291</v>
      </c>
      <c r="AD1068" cm="1">
        <f t="array" ref="AD1068">IFERROR(AVERAGE(_xlfn._xlws.FILTER(V$2:V$1073,($C$2:$C$1073=$C1068)*($E$2:$E$1073=$E1068)*(ROW(V$2:V$1073)&lt;&gt;ROW(V1068))*(V$2:V$1073&lt;&gt;""))),"")</f>
        <v>0.68021271047494669</v>
      </c>
      <c r="AE1068">
        <f>IF('Дивиденды по годам'!M1068&lt;0,1,0)</f>
        <v>0</v>
      </c>
    </row>
    <row r="1069" spans="1:31" x14ac:dyDescent="0.2">
      <c r="A1069" s="7" t="s">
        <v>2311</v>
      </c>
      <c r="B1069" t="str">
        <f t="shared" si="176"/>
        <v>SMLT IV кв. 2014</v>
      </c>
      <c r="C1069">
        <v>2014</v>
      </c>
      <c r="D1069">
        <f>SUMIFS(Дивиденды!$C:$C,Дивиденды!$A:$A,A1069,Дивиденды!$I:$I,C1069)</f>
        <v>0</v>
      </c>
      <c r="E1069">
        <v>8</v>
      </c>
      <c r="F1069">
        <f t="shared" si="177"/>
        <v>0</v>
      </c>
      <c r="G1069">
        <f t="shared" si="178"/>
        <v>27.386666666666667</v>
      </c>
      <c r="H1069">
        <f t="shared" si="179"/>
        <v>0</v>
      </c>
      <c r="I1069">
        <f t="shared" si="180"/>
        <v>0.66666666666666663</v>
      </c>
      <c r="J1069">
        <f t="shared" si="181"/>
        <v>0</v>
      </c>
      <c r="K1069">
        <f t="shared" si="186"/>
        <v>0.65</v>
      </c>
      <c r="L1069">
        <f t="shared" si="182"/>
        <v>0</v>
      </c>
      <c r="M1069">
        <f t="shared" si="183"/>
        <v>0.66666666666666663</v>
      </c>
      <c r="N1069">
        <f t="shared" si="184"/>
        <v>0</v>
      </c>
      <c r="O1069">
        <f t="shared" si="185"/>
        <v>0</v>
      </c>
      <c r="P1069" t="str">
        <f>IFERROR(LN('Дивиденды по годам'!I1069),"")</f>
        <v/>
      </c>
      <c r="Q1069" t="str">
        <f>IFERROR('Дивиденды по годам'!G1069/'Дивиденды по годам'!I1069, "")</f>
        <v/>
      </c>
      <c r="R1069" t="str">
        <f>IFERROR(IF(AND('Дивиденды по годам'!N1069&lt;&gt;"",'Дивиденды по годам'!U1069&lt;&gt;"",'Дивиденды по годам'!U1069&lt;&gt;0),'Дивиденды по годам'!N1069/'Дивиденды по годам'!U1069-1,""),"")</f>
        <v/>
      </c>
      <c r="S1069" t="str">
        <f>IFERROR(IF(AND('Дивиденды по годам'!L1069&lt;&gt;"",'Дивиденды по годам'!I1069&lt;&gt;"",'Дивиденды по годам'!J1069&lt;&gt;"",'Дивиденды по годам'!K1069&lt;&gt;"",('Дивиденды по годам'!I1069-'Дивиденды по годам'!J1069-'Дивиденды по годам'!K1069)&lt;&gt;0),'Дивиденды по годам'!L1069/('Дивиденды по годам'!I1069-'Дивиденды по годам'!J1069-'Дивиденды по годам'!K1069),""),"")</f>
        <v/>
      </c>
      <c r="T1069" t="str">
        <f>IFERROR(IF(AND('Дивиденды по годам'!Q1069&lt;&gt;"",'Дивиденды по годам'!I1069&lt;&gt;"",'Дивиденды по годам'!V1069&lt;&gt;"",('Дивиденды по годам'!I1069+'Дивиденды по годам'!V1069)&lt;&gt;0),'Дивиденды по годам'!Q1069/(('Дивиденды по годам'!I1069+'Дивиденды по годам'!V1069)/2),""),"")</f>
        <v/>
      </c>
      <c r="U1069" t="str">
        <f>IFERROR(IF(AND('Дивиденды по годам'!J1069&lt;&gt;"",'Дивиденды по годам'!K1069&lt;&gt;"",'Дивиденды по годам'!M1069&lt;&gt;"",'Дивиденды по годам'!M1069&lt;&gt;0),('Дивиденды по годам'!J1069+'Дивиденды по годам'!K1069)/'Дивиденды по годам'!M1069,""),"")</f>
        <v/>
      </c>
      <c r="V1069" t="str">
        <f>IFERROR(IF(AND('Дивиденды по годам'!J1069&lt;&gt;"",'Дивиденды по годам'!K1069&lt;&gt;"",'Дивиденды по годам'!M1069&lt;&gt;"",'Дивиденды по годам'!I1069&lt;&gt;0),('Дивиденды по годам'!J1069+'Дивиденды по годам'!K1069)/'Дивиденды по годам'!I1069,""),"")</f>
        <v/>
      </c>
      <c r="W1069" t="str">
        <f>IFERROR('Дивиденды по годам'!I1069,"")</f>
        <v/>
      </c>
      <c r="X1069" cm="1">
        <f t="array" ref="X1069">IFERROR(AVERAGE(_xlfn._xlws.FILTER(P$2:P$1073,($C$2:$C$1073=$C1069)*($E$2:$E$1073=$E1069)*(ROW(P$2:P$1073)&lt;&gt;ROW(P1069))*(P$2:P$1073&lt;&gt;""))),"")</f>
        <v>25.657009768650358</v>
      </c>
      <c r="Y1069" cm="1">
        <f t="array" ref="Y1069">IFERROR(AVERAGE(_xlfn._xlws.FILTER(Q$2:Q$1073,($C$2:$C$1073=$C1069)*($E$2:$E$1073=$E1069)*(ROW(Q$2:Q$1073)&lt;&gt;ROW(Q1069))*(Q$2:Q$1073&lt;&gt;""))),"")</f>
        <v>0.11490104687838582</v>
      </c>
      <c r="Z1069" cm="1">
        <f t="array" ref="Z1069">IFERROR(AVERAGE(_xlfn._xlws.FILTER(R$2:R$1073,($C$2:$C$1073=$C1069)*($E$2:$E$1073=$E1069)*(ROW(R$2:R$1073)&lt;&gt;ROW(R1069))*(R$2:R$1073&lt;&gt;""))),"")</f>
        <v>0.19666714088343412</v>
      </c>
      <c r="AA1069" cm="1">
        <f t="array" ref="AA1069">IFERROR(AVERAGE(_xlfn._xlws.FILTER(S$2:S$1073,($C$2:$C$1073=$C1069)*($E$2:$E$1073=$E1069)*(ROW(S$2:S$1073)&lt;&gt;ROW(S1069))*(S$2:S$1073&lt;&gt;""))),"")</f>
        <v>-0.10883273199146221</v>
      </c>
      <c r="AB1069" cm="1">
        <f t="array" ref="AB1069">IFERROR(AVERAGE(_xlfn._xlws.FILTER(T$2:T$1073,($C$2:$C$1073=$C1069)*($E$2:$E$1073=$E1069)*(ROW(T$2:T$1073)&lt;&gt;ROW(T1069))*(T$2:T$1073&lt;&gt;""))),"")</f>
        <v>4.3668835955886089E-2</v>
      </c>
      <c r="AC1069" cm="1">
        <f t="array" ref="AC1069">IFERROR(AVERAGE(_xlfn._xlws.FILTER(U$2:U$1073,($C$2:$C$1073=$C1069)*($E$2:$E$1073=$E1069)*(ROW(U$2:U$1073)&lt;&gt;ROW(U1069))*(U$2:U$1073&lt;&gt;""))),"")</f>
        <v>2.7859159961453743</v>
      </c>
      <c r="AD1069" cm="1">
        <f t="array" ref="AD1069">IFERROR(AVERAGE(_xlfn._xlws.FILTER(V$2:V$1073,($C$2:$C$1073=$C1069)*($E$2:$E$1073=$E1069)*(ROW(V$2:V$1073)&lt;&gt;ROW(V1069))*(V$2:V$1073&lt;&gt;""))),"")</f>
        <v>0.72468486346199645</v>
      </c>
      <c r="AE1069">
        <f>IF('Дивиденды по годам'!M1069&lt;0,1,0)</f>
        <v>0</v>
      </c>
    </row>
    <row r="1070" spans="1:31" x14ac:dyDescent="0.2">
      <c r="A1070" s="7" t="s">
        <v>2311</v>
      </c>
      <c r="B1070" t="str">
        <f t="shared" si="176"/>
        <v>SMLT IV кв. 2013</v>
      </c>
      <c r="C1070">
        <v>2013</v>
      </c>
      <c r="D1070">
        <f>SUMIFS(Дивиденды!$C:$C,Дивиденды!$A:$A,A1070,Дивиденды!$I:$I,C1070)</f>
        <v>0</v>
      </c>
      <c r="E1070">
        <v>8</v>
      </c>
      <c r="F1070">
        <f t="shared" si="177"/>
        <v>0</v>
      </c>
      <c r="G1070">
        <f t="shared" si="178"/>
        <v>13.333333333333334</v>
      </c>
      <c r="H1070">
        <f t="shared" si="179"/>
        <v>0</v>
      </c>
      <c r="I1070">
        <f t="shared" si="180"/>
        <v>0.33333333333333331</v>
      </c>
      <c r="J1070">
        <f t="shared" si="181"/>
        <v>0</v>
      </c>
      <c r="K1070">
        <f t="shared" si="186"/>
        <v>0.33333333333333331</v>
      </c>
      <c r="L1070">
        <f t="shared" si="182"/>
        <v>0</v>
      </c>
      <c r="M1070">
        <f t="shared" si="183"/>
        <v>0.33333333333333331</v>
      </c>
      <c r="N1070">
        <f t="shared" si="184"/>
        <v>0</v>
      </c>
      <c r="O1070">
        <f t="shared" si="185"/>
        <v>0</v>
      </c>
      <c r="P1070" t="str">
        <f>IFERROR(LN('Дивиденды по годам'!I1070),"")</f>
        <v/>
      </c>
      <c r="Q1070" t="str">
        <f>IFERROR('Дивиденды по годам'!G1070/'Дивиденды по годам'!I1070, "")</f>
        <v/>
      </c>
      <c r="R1070" t="str">
        <f>IFERROR(IF(AND('Дивиденды по годам'!N1070&lt;&gt;"",'Дивиденды по годам'!U1070&lt;&gt;"",'Дивиденды по годам'!U1070&lt;&gt;0),'Дивиденды по годам'!N1070/'Дивиденды по годам'!U1070-1,""),"")</f>
        <v/>
      </c>
      <c r="S1070" t="str">
        <f>IFERROR(IF(AND('Дивиденды по годам'!L1070&lt;&gt;"",'Дивиденды по годам'!I1070&lt;&gt;"",'Дивиденды по годам'!J1070&lt;&gt;"",'Дивиденды по годам'!K1070&lt;&gt;"",('Дивиденды по годам'!I1070-'Дивиденды по годам'!J1070-'Дивиденды по годам'!K1070)&lt;&gt;0),'Дивиденды по годам'!L1070/('Дивиденды по годам'!I1070-'Дивиденды по годам'!J1070-'Дивиденды по годам'!K1070),""),"")</f>
        <v/>
      </c>
      <c r="T1070" t="str">
        <f>IFERROR(IF(AND('Дивиденды по годам'!Q1070&lt;&gt;"",'Дивиденды по годам'!I1070&lt;&gt;"",'Дивиденды по годам'!V1070&lt;&gt;"",('Дивиденды по годам'!I1070+'Дивиденды по годам'!V1070)&lt;&gt;0),'Дивиденды по годам'!Q1070/(('Дивиденды по годам'!I1070+'Дивиденды по годам'!V1070)/2),""),"")</f>
        <v/>
      </c>
      <c r="U1070" t="str">
        <f>IFERROR(IF(AND('Дивиденды по годам'!J1070&lt;&gt;"",'Дивиденды по годам'!K1070&lt;&gt;"",'Дивиденды по годам'!M1070&lt;&gt;"",'Дивиденды по годам'!M1070&lt;&gt;0),('Дивиденды по годам'!J1070+'Дивиденды по годам'!K1070)/'Дивиденды по годам'!M1070,""),"")</f>
        <v/>
      </c>
      <c r="V1070" t="str">
        <f>IFERROR(IF(AND('Дивиденды по годам'!J1070&lt;&gt;"",'Дивиденды по годам'!K1070&lt;&gt;"",'Дивиденды по годам'!M1070&lt;&gt;"",'Дивиденды по годам'!I1070&lt;&gt;0),('Дивиденды по годам'!J1070+'Дивиденды по годам'!K1070)/'Дивиденды по годам'!I1070,""),"")</f>
        <v/>
      </c>
      <c r="W1070" t="str">
        <f>IFERROR('Дивиденды по годам'!I1070,"")</f>
        <v/>
      </c>
      <c r="X1070" cm="1">
        <f t="array" ref="X1070">IFERROR(AVERAGE(_xlfn._xlws.FILTER(P$2:P$1073,($C$2:$C$1073=$C1070)*($E$2:$E$1073=$E1070)*(ROW(P$2:P$1073)&lt;&gt;ROW(P1070))*(P$2:P$1073&lt;&gt;""))),"")</f>
        <v>25.628387177159517</v>
      </c>
      <c r="Y1070" cm="1">
        <f t="array" ref="Y1070">IFERROR(AVERAGE(_xlfn._xlws.FILTER(Q$2:Q$1073,($C$2:$C$1073=$C1070)*($E$2:$E$1073=$E1070)*(ROW(Q$2:Q$1073)&lt;&gt;ROW(Q1070))*(Q$2:Q$1073&lt;&gt;""))),"")</f>
        <v>0.17621268031849646</v>
      </c>
      <c r="Z1070" cm="1">
        <f t="array" ref="Z1070">IFERROR(AVERAGE(_xlfn._xlws.FILTER(R$2:R$1073,($C$2:$C$1073=$C1070)*($E$2:$E$1073=$E1070)*(ROW(R$2:R$1073)&lt;&gt;ROW(R1070))*(R$2:R$1073&lt;&gt;""))),"")</f>
        <v>7.1993563878299804E-3</v>
      </c>
      <c r="AA1070" t="str" cm="1">
        <f t="array" ref="AA1070">IFERROR(AVERAGE(_xlfn._xlws.FILTER(S$2:S$1073,($C$2:$C$1073=$C1070)*($E$2:$E$1073=$E1070)*(ROW(S$2:S$1073)&lt;&gt;ROW(S1070))*(S$2:S$1073&lt;&gt;""))),"")</f>
        <v/>
      </c>
      <c r="AB1070" cm="1">
        <f t="array" ref="AB1070">IFERROR(AVERAGE(_xlfn._xlws.FILTER(T$2:T$1073,($C$2:$C$1073=$C1070)*($E$2:$E$1073=$E1070)*(ROW(T$2:T$1073)&lt;&gt;ROW(T1070))*(T$2:T$1073&lt;&gt;""))),"")</f>
        <v>4.8408487374726722E-2</v>
      </c>
      <c r="AC1070" cm="1">
        <f t="array" ref="AC1070">IFERROR(AVERAGE(_xlfn._xlws.FILTER(U$2:U$1073,($C$2:$C$1073=$C1070)*($E$2:$E$1073=$E1070)*(ROW(U$2:U$1073)&lt;&gt;ROW(U1070))*(U$2:U$1073&lt;&gt;""))),"")</f>
        <v>3.1582663547842218</v>
      </c>
      <c r="AD1070" cm="1">
        <f t="array" ref="AD1070">IFERROR(AVERAGE(_xlfn._xlws.FILTER(V$2:V$1073,($C$2:$C$1073=$C1070)*($E$2:$E$1073=$E1070)*(ROW(V$2:V$1073)&lt;&gt;ROW(V1070))*(V$2:V$1073&lt;&gt;""))),"")</f>
        <v>0.72207549175005759</v>
      </c>
      <c r="AE1070">
        <f>IF('Дивиденды по годам'!M1070&lt;0,1,0)</f>
        <v>0</v>
      </c>
    </row>
    <row r="1071" spans="1:31" x14ac:dyDescent="0.2">
      <c r="A1071" s="7" t="s">
        <v>2311</v>
      </c>
      <c r="B1071" t="str">
        <f t="shared" si="176"/>
        <v>SMLT IV кв. 2012</v>
      </c>
      <c r="C1071">
        <v>2012</v>
      </c>
      <c r="D1071">
        <f>SUMIFS(Дивиденды!$C:$C,Дивиденды!$A:$A,A1071,Дивиденды!$I:$I,C1071)</f>
        <v>0</v>
      </c>
      <c r="E1071">
        <v>8</v>
      </c>
      <c r="F1071">
        <f t="shared" si="177"/>
        <v>0</v>
      </c>
      <c r="G1071">
        <f t="shared" si="178"/>
        <v>6.666666666666667</v>
      </c>
      <c r="H1071">
        <f t="shared" si="179"/>
        <v>0</v>
      </c>
      <c r="I1071">
        <f t="shared" si="180"/>
        <v>0.33333333333333331</v>
      </c>
      <c r="J1071">
        <f t="shared" si="181"/>
        <v>0</v>
      </c>
      <c r="K1071">
        <f t="shared" si="186"/>
        <v>0</v>
      </c>
      <c r="L1071">
        <f t="shared" si="182"/>
        <v>0</v>
      </c>
      <c r="M1071">
        <f t="shared" si="183"/>
        <v>0</v>
      </c>
      <c r="N1071">
        <f t="shared" si="184"/>
        <v>0</v>
      </c>
      <c r="O1071">
        <f t="shared" si="185"/>
        <v>0</v>
      </c>
      <c r="P1071" t="str">
        <f>IFERROR(LN('Дивиденды по годам'!I1071),"")</f>
        <v/>
      </c>
      <c r="Q1071" t="str">
        <f>IFERROR('Дивиденды по годам'!G1071/'Дивиденды по годам'!I1071, "")</f>
        <v/>
      </c>
      <c r="R1071" t="str">
        <f>IFERROR(IF(AND('Дивиденды по годам'!N1071&lt;&gt;"",'Дивиденды по годам'!U1071&lt;&gt;"",'Дивиденды по годам'!U1071&lt;&gt;0),'Дивиденды по годам'!N1071/'Дивиденды по годам'!U1071-1,""),"")</f>
        <v/>
      </c>
      <c r="S1071" t="str">
        <f>IFERROR(IF(AND('Дивиденды по годам'!L1071&lt;&gt;"",'Дивиденды по годам'!I1071&lt;&gt;"",'Дивиденды по годам'!J1071&lt;&gt;"",'Дивиденды по годам'!K1071&lt;&gt;"",('Дивиденды по годам'!I1071-'Дивиденды по годам'!J1071-'Дивиденды по годам'!K1071)&lt;&gt;0),'Дивиденды по годам'!L1071/('Дивиденды по годам'!I1071-'Дивиденды по годам'!J1071-'Дивиденды по годам'!K1071),""),"")</f>
        <v/>
      </c>
      <c r="T1071" t="str">
        <f>IFERROR(IF(AND('Дивиденды по годам'!Q1071&lt;&gt;"",'Дивиденды по годам'!I1071&lt;&gt;"",'Дивиденды по годам'!V1071&lt;&gt;"",('Дивиденды по годам'!I1071+'Дивиденды по годам'!V1071)&lt;&gt;0),'Дивиденды по годам'!Q1071/(('Дивиденды по годам'!I1071+'Дивиденды по годам'!V1071)/2),""),"")</f>
        <v/>
      </c>
      <c r="U1071" t="str">
        <f>IFERROR(IF(AND('Дивиденды по годам'!J1071&lt;&gt;"",'Дивиденды по годам'!K1071&lt;&gt;"",'Дивиденды по годам'!M1071&lt;&gt;"",'Дивиденды по годам'!M1071&lt;&gt;0),('Дивиденды по годам'!J1071+'Дивиденды по годам'!K1071)/'Дивиденды по годам'!M1071,""),"")</f>
        <v/>
      </c>
      <c r="V1071" t="str">
        <f>IFERROR(IF(AND('Дивиденды по годам'!J1071&lt;&gt;"",'Дивиденды по годам'!K1071&lt;&gt;"",'Дивиденды по годам'!M1071&lt;&gt;"",'Дивиденды по годам'!I1071&lt;&gt;0),('Дивиденды по годам'!J1071+'Дивиденды по годам'!K1071)/'Дивиденды по годам'!I1071,""),"")</f>
        <v/>
      </c>
      <c r="W1071" t="str">
        <f>IFERROR('Дивиденды по годам'!I1071,"")</f>
        <v/>
      </c>
      <c r="X1071" cm="1">
        <f t="array" ref="X1071">IFERROR(AVERAGE(_xlfn._xlws.FILTER(P$2:P$1073,($C$2:$C$1073=$C1071)*($E$2:$E$1073=$E1071)*(ROW(P$2:P$1073)&lt;&gt;ROW(P1071))*(P$2:P$1073&lt;&gt;""))),"")</f>
        <v>25.606212282602186</v>
      </c>
      <c r="Y1071" cm="1">
        <f t="array" ref="Y1071">IFERROR(AVERAGE(_xlfn._xlws.FILTER(Q$2:Q$1073,($C$2:$C$1073=$C1071)*($E$2:$E$1073=$E1071)*(ROW(Q$2:Q$1073)&lt;&gt;ROW(Q1071))*(Q$2:Q$1073&lt;&gt;""))),"")</f>
        <v>0.18069853124342428</v>
      </c>
      <c r="Z1071" cm="1">
        <f t="array" ref="Z1071">IFERROR(AVERAGE(_xlfn._xlws.FILTER(R$2:R$1073,($C$2:$C$1073=$C1071)*($E$2:$E$1073=$E1071)*(ROW(R$2:R$1073)&lt;&gt;ROW(R1071))*(R$2:R$1073&lt;&gt;""))),"")</f>
        <v>0.30766481921956945</v>
      </c>
      <c r="AA1071" t="str" cm="1">
        <f t="array" ref="AA1071">IFERROR(AVERAGE(_xlfn._xlws.FILTER(S$2:S$1073,($C$2:$C$1073=$C1071)*($E$2:$E$1073=$E1071)*(ROW(S$2:S$1073)&lt;&gt;ROW(S1071))*(S$2:S$1073&lt;&gt;""))),"")</f>
        <v/>
      </c>
      <c r="AB1071" cm="1">
        <f t="array" ref="AB1071">IFERROR(AVERAGE(_xlfn._xlws.FILTER(T$2:T$1073,($C$2:$C$1073=$C1071)*($E$2:$E$1073=$E1071)*(ROW(T$2:T$1073)&lt;&gt;ROW(T1071))*(T$2:T$1073&lt;&gt;""))),"")</f>
        <v>3.0817908617347949E-2</v>
      </c>
      <c r="AC1071" cm="1">
        <f t="array" ref="AC1071">IFERROR(AVERAGE(_xlfn._xlws.FILTER(U$2:U$1073,($C$2:$C$1073=$C1071)*($E$2:$E$1073=$E1071)*(ROW(U$2:U$1073)&lt;&gt;ROW(U1071))*(U$2:U$1073&lt;&gt;""))),"")</f>
        <v>19.123908800423749</v>
      </c>
      <c r="AD1071" cm="1">
        <f t="array" ref="AD1071">IFERROR(AVERAGE(_xlfn._xlws.FILTER(V$2:V$1073,($C$2:$C$1073=$C1071)*($E$2:$E$1073=$E1071)*(ROW(V$2:V$1073)&lt;&gt;ROW(V1071))*(V$2:V$1073&lt;&gt;""))),"")</f>
        <v>0.7810073144896843</v>
      </c>
      <c r="AE1071">
        <f>IF('Дивиденды по годам'!M1071&lt;0,1,0)</f>
        <v>0</v>
      </c>
    </row>
    <row r="1072" spans="1:31" x14ac:dyDescent="0.2">
      <c r="A1072" s="7" t="s">
        <v>2311</v>
      </c>
      <c r="B1072" t="str">
        <f t="shared" si="176"/>
        <v>SMLT IV кв. 2011</v>
      </c>
      <c r="C1072">
        <v>2011</v>
      </c>
      <c r="D1072">
        <f>SUMIFS(Дивиденды!$C:$C,Дивиденды!$A:$A,A1072,Дивиденды!$I:$I,C1072)</f>
        <v>0</v>
      </c>
      <c r="E1072">
        <v>8</v>
      </c>
      <c r="F1072">
        <f t="shared" si="177"/>
        <v>0</v>
      </c>
      <c r="G1072">
        <f t="shared" si="178"/>
        <v>6.666666666666667</v>
      </c>
      <c r="H1072">
        <f t="shared" si="179"/>
        <v>0</v>
      </c>
      <c r="I1072">
        <f t="shared" si="180"/>
        <v>0.33333333333333331</v>
      </c>
      <c r="J1072">
        <f t="shared" si="181"/>
        <v>0</v>
      </c>
      <c r="K1072">
        <f t="shared" si="186"/>
        <v>0.1111111111111111</v>
      </c>
      <c r="L1072">
        <f t="shared" si="182"/>
        <v>0</v>
      </c>
      <c r="M1072">
        <f t="shared" si="183"/>
        <v>0.33333333333333331</v>
      </c>
      <c r="N1072">
        <f t="shared" si="184"/>
        <v>0</v>
      </c>
      <c r="O1072">
        <f t="shared" si="185"/>
        <v>0</v>
      </c>
      <c r="P1072" t="str">
        <f>IFERROR(LN('Дивиденды по годам'!I1072),"")</f>
        <v/>
      </c>
      <c r="Q1072" t="str">
        <f>IFERROR('Дивиденды по годам'!G1072/'Дивиденды по годам'!I1072, "")</f>
        <v/>
      </c>
      <c r="R1072" t="str">
        <f>IFERROR(IF(AND('Дивиденды по годам'!N1072&lt;&gt;"",'Дивиденды по годам'!U1072&lt;&gt;"",'Дивиденды по годам'!U1072&lt;&gt;0),'Дивиденды по годам'!N1072/'Дивиденды по годам'!U1072-1,""),"")</f>
        <v/>
      </c>
      <c r="S1072" t="str">
        <f>IFERROR(IF(AND('Дивиденды по годам'!L1072&lt;&gt;"",'Дивиденды по годам'!I1072&lt;&gt;"",'Дивиденды по годам'!J1072&lt;&gt;"",'Дивиденды по годам'!K1072&lt;&gt;"",('Дивиденды по годам'!I1072-'Дивиденды по годам'!J1072-'Дивиденды по годам'!K1072)&lt;&gt;0),'Дивиденды по годам'!L1072/('Дивиденды по годам'!I1072-'Дивиденды по годам'!J1072-'Дивиденды по годам'!K1072),""),"")</f>
        <v/>
      </c>
      <c r="T1072" t="str">
        <f>IFERROR(IF(AND('Дивиденды по годам'!Q1072&lt;&gt;"",'Дивиденды по годам'!I1072&lt;&gt;"",'Дивиденды по годам'!V1072&lt;&gt;"",('Дивиденды по годам'!I1072+'Дивиденды по годам'!V1072)&lt;&gt;0),'Дивиденды по годам'!Q1072/(('Дивиденды по годам'!I1072+'Дивиденды по годам'!V1072)/2),""),"")</f>
        <v/>
      </c>
      <c r="U1072" t="str">
        <f>IFERROR(IF(AND('Дивиденды по годам'!J1072&lt;&gt;"",'Дивиденды по годам'!K1072&lt;&gt;"",'Дивиденды по годам'!M1072&lt;&gt;"",'Дивиденды по годам'!M1072&lt;&gt;0),('Дивиденды по годам'!J1072+'Дивиденды по годам'!K1072)/'Дивиденды по годам'!M1072,""),"")</f>
        <v/>
      </c>
      <c r="V1072" t="str">
        <f>IFERROR(IF(AND('Дивиденды по годам'!J1072&lt;&gt;"",'Дивиденды по годам'!K1072&lt;&gt;"",'Дивиденды по годам'!M1072&lt;&gt;"",'Дивиденды по годам'!I1072&lt;&gt;0),('Дивиденды по годам'!J1072+'Дивиденды по годам'!K1072)/'Дивиденды по годам'!I1072,""),"")</f>
        <v/>
      </c>
      <c r="W1072" t="str">
        <f>IFERROR('Дивиденды по годам'!I1072,"")</f>
        <v/>
      </c>
      <c r="X1072" cm="1">
        <f t="array" ref="X1072">IFERROR(AVERAGE(_xlfn._xlws.FILTER(P$2:P$1073,($C$2:$C$1073=$C1072)*($E$2:$E$1073=$E1072)*(ROW(P$2:P$1073)&lt;&gt;ROW(P1072))*(P$2:P$1073&lt;&gt;""))),"")</f>
        <v>25.573845912680969</v>
      </c>
      <c r="Y1072" cm="1">
        <f t="array" ref="Y1072">IFERROR(AVERAGE(_xlfn._xlws.FILTER(Q$2:Q$1073,($C$2:$C$1073=$C1072)*($E$2:$E$1073=$E1072)*(ROW(Q$2:Q$1073)&lt;&gt;ROW(Q1072))*(Q$2:Q$1073&lt;&gt;""))),"")</f>
        <v>0.18216029236601219</v>
      </c>
      <c r="Z1072" t="str" cm="1">
        <f t="array" ref="Z1072">IFERROR(AVERAGE(_xlfn._xlws.FILTER(R$2:R$1073,($C$2:$C$1073=$C1072)*($E$2:$E$1073=$E1072)*(ROW(R$2:R$1073)&lt;&gt;ROW(R1072))*(R$2:R$1073&lt;&gt;""))),"")</f>
        <v/>
      </c>
      <c r="AA1072" t="str" cm="1">
        <f t="array" ref="AA1072">IFERROR(AVERAGE(_xlfn._xlws.FILTER(S$2:S$1073,($C$2:$C$1073=$C1072)*($E$2:$E$1073=$E1072)*(ROW(S$2:S$1073)&lt;&gt;ROW(S1072))*(S$2:S$1073&lt;&gt;""))),"")</f>
        <v/>
      </c>
      <c r="AB1072" t="str" cm="1">
        <f t="array" ref="AB1072">IFERROR(AVERAGE(_xlfn._xlws.FILTER(T$2:T$1073,($C$2:$C$1073=$C1072)*($E$2:$E$1073=$E1072)*(ROW(T$2:T$1073)&lt;&gt;ROW(T1072))*(T$2:T$1073&lt;&gt;""))),"")</f>
        <v/>
      </c>
      <c r="AC1072" cm="1">
        <f t="array" ref="AC1072">IFERROR(AVERAGE(_xlfn._xlws.FILTER(U$2:U$1073,($C$2:$C$1073=$C1072)*($E$2:$E$1073=$E1072)*(ROW(U$2:U$1073)&lt;&gt;ROW(U1072))*(U$2:U$1073&lt;&gt;""))),"")</f>
        <v>295.52900390692832</v>
      </c>
      <c r="AD1072" cm="1">
        <f t="array" ref="AD1072">IFERROR(AVERAGE(_xlfn._xlws.FILTER(V$2:V$1073,($C$2:$C$1073=$C1072)*($E$2:$E$1073=$E1072)*(ROW(V$2:V$1073)&lt;&gt;ROW(V1072))*(V$2:V$1073&lt;&gt;""))),"")</f>
        <v>0.7865310774467642</v>
      </c>
      <c r="AE1072">
        <f>IF('Дивиденды по годам'!M1072&lt;0,1,0)</f>
        <v>0</v>
      </c>
    </row>
    <row r="1073" spans="1:29" x14ac:dyDescent="0.2">
      <c r="A1073" s="7" t="s">
        <v>2311</v>
      </c>
      <c r="B1073" t="str">
        <f t="shared" si="176"/>
        <v>SMLT IV кв. 2010</v>
      </c>
      <c r="C1073">
        <v>2010</v>
      </c>
      <c r="D1073">
        <f>SUMIFS(Дивиденды!$C:$C,Дивиденды!$A:$A,A1073,Дивиденды!$I:$I,C1073)</f>
        <v>0</v>
      </c>
      <c r="E1073">
        <v>8</v>
      </c>
      <c r="F1073">
        <f t="shared" si="177"/>
        <v>0</v>
      </c>
      <c r="G1073">
        <f t="shared" si="178"/>
        <v>5</v>
      </c>
      <c r="H1073">
        <f t="shared" si="179"/>
        <v>0</v>
      </c>
      <c r="I1073">
        <f t="shared" si="180"/>
        <v>0.33333333333333331</v>
      </c>
      <c r="J1073" t="str">
        <f t="shared" si="181"/>
        <v/>
      </c>
      <c r="K1073" t="str">
        <f t="shared" si="186"/>
        <v/>
      </c>
      <c r="L1073" t="str">
        <f t="shared" si="182"/>
        <v/>
      </c>
      <c r="M1073" t="str">
        <f t="shared" si="183"/>
        <v/>
      </c>
      <c r="N1073" t="str">
        <f t="shared" si="184"/>
        <v/>
      </c>
      <c r="O1073" t="str">
        <f t="shared" si="185"/>
        <v/>
      </c>
      <c r="P1073" t="str">
        <f>IFERROR(LN('Дивиденды по годам'!I1073),"")</f>
        <v/>
      </c>
      <c r="Q1073" t="str">
        <f>IFERROR('Дивиденды по годам'!G1073/'Дивиденды по годам'!I1073, "")</f>
        <v/>
      </c>
      <c r="R1073" t="str">
        <f>IFERROR(IF(AND('Дивиденды по годам'!N1073&lt;&gt;"",'Дивиденды по годам'!U1073&lt;&gt;"",'Дивиденды по годам'!U1073&lt;&gt;0),'Дивиденды по годам'!N1073/'Дивиденды по годам'!U1073-1,""),"")</f>
        <v/>
      </c>
      <c r="S1073" t="str">
        <f>IFERROR(IF(AND('Дивиденды по годам'!L1073&lt;&gt;"",'Дивиденды по годам'!I1073&lt;&gt;"",'Дивиденды по годам'!J1073&lt;&gt;"",'Дивиденды по годам'!K1073&lt;&gt;"",('Дивиденды по годам'!I1073-'Дивиденды по годам'!J1073-'Дивиденды по годам'!K1073)&lt;&gt;0),'Дивиденды по годам'!L1073/('Дивиденды по годам'!I1073-'Дивиденды по годам'!J1073-'Дивиденды по годам'!K1073),""),"")</f>
        <v/>
      </c>
      <c r="T1073" t="str">
        <f>IFERROR(IF(AND('Дивиденды по годам'!Q1073&lt;&gt;"",'Дивиденды по годам'!I1073&lt;&gt;"",'Дивиденды по годам'!V1073&lt;&gt;"",('Дивиденды по годам'!I1073+'Дивиденды по годам'!V1073)&lt;&gt;0),'Дивиденды по годам'!Q1073/(('Дивиденды по годам'!I1073+'Дивиденды по годам'!V1073)/2),""),"")</f>
        <v/>
      </c>
      <c r="U1073" t="str">
        <f>IFERROR(IF(AND('Дивиденды по годам'!J1073&lt;&gt;"",'Дивиденды по годам'!K1073&lt;&gt;"",'Дивиденды по годам'!M1073&lt;&gt;"",'Дивиденды по годам'!M1073&lt;&gt;0),('Дивиденды по годам'!J1073+'Дивиденды по годам'!K1073)/'Дивиденды по годам'!M1073,""),"")</f>
        <v/>
      </c>
      <c r="X1073" t="str" cm="1">
        <f t="array" ref="X1073">IFERROR(AVERAGE(_xlfn._xlws.FILTER(P$2:P$1073,($C$2:$C$1073=$C1073)*($E$2:$E$1073=$E1073)*(ROW(P$2:P$1073)&lt;&gt;ROW(P1073))*(P$2:P$1073&lt;&gt;""))),"")</f>
        <v/>
      </c>
      <c r="Y1073" t="str" cm="1">
        <f t="array" ref="Y1073">IFERROR(AVERAGE(_xlfn._xlws.FILTER(Q$2:Q$1073,($C$2:$C$1073=$C1073)*($E$2:$E$1073=$E1073)*(ROW(Q$2:Q$1073)&lt;&gt;ROW(Q1073))*(Q$2:Q$1073&lt;&gt;""))),"")</f>
        <v/>
      </c>
      <c r="Z1073" t="str" cm="1">
        <f t="array" ref="Z1073">IFERROR(AVERAGE(_xlfn._xlws.FILTER(R$2:R$1073,($C$2:$C$1073=$C1073)*($E$2:$E$1073=$E1073)*(ROW(R$2:R$1073)&lt;&gt;ROW(R1073))*(R$2:R$1073&lt;&gt;""))),"")</f>
        <v/>
      </c>
      <c r="AA1073" t="str" cm="1">
        <f t="array" ref="AA1073">IFERROR(AVERAGE(_xlfn._xlws.FILTER(S$2:S$1073,($C$2:$C$1073=$C1073)*($E$2:$E$1073=$E1073)*(ROW(S$2:S$1073)&lt;&gt;ROW(S1073))*(S$2:S$1073&lt;&gt;""))),"")</f>
        <v/>
      </c>
      <c r="AB1073" t="str" cm="1">
        <f t="array" ref="AB1073">IFERROR(AVERAGE(_xlfn._xlws.FILTER(T$2:T$1073,($C$2:$C$1073=$C1073)*($E$2:$E$1073=$E1073)*(ROW(T$2:T$1073)&lt;&gt;ROW(T1073))*(T$2:T$1073&lt;&gt;""))),"")</f>
        <v/>
      </c>
      <c r="AC1073" t="str" cm="1">
        <f t="array" ref="AC1073">IFERROR(AVERAGE(_xlfn._xlws.FILTER(U$2:U$1073,($C$2:$C$1073=$C1073)*($E$2:$E$1073=$E1073)*(ROW(U$2:U$1073)&lt;&gt;ROW(U1073))*(U$2:U$1073&lt;&gt;""))),"")</f>
        <v/>
      </c>
    </row>
  </sheetData>
  <conditionalFormatting sqref="AE1:AE1048576">
    <cfRule type="cellIs" dxfId="0" priority="3" operator="equal">
      <formula>1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CF04-EC6F-1341-8935-AE2AE87E449B}">
  <dimension ref="A1:V1073"/>
  <sheetViews>
    <sheetView zoomScale="67" workbookViewId="0">
      <selection activeCell="D660" sqref="D660"/>
    </sheetView>
  </sheetViews>
  <sheetFormatPr baseColWidth="10" defaultRowHeight="16" x14ac:dyDescent="0.2"/>
  <cols>
    <col min="2" max="2" width="15.1640625" customWidth="1"/>
    <col min="5" max="5" width="14.33203125" customWidth="1"/>
    <col min="8" max="8" width="15.1640625" customWidth="1"/>
    <col min="10" max="10" width="15.33203125" customWidth="1"/>
    <col min="11" max="11" width="13.5" customWidth="1"/>
    <col min="18" max="18" width="15" customWidth="1"/>
  </cols>
  <sheetData>
    <row r="1" spans="1:22" ht="52" customHeight="1" x14ac:dyDescent="0.2">
      <c r="A1" s="1" t="s">
        <v>2163</v>
      </c>
      <c r="B1" s="1" t="s">
        <v>0</v>
      </c>
      <c r="C1" s="1" t="s">
        <v>2313</v>
      </c>
      <c r="D1" s="1" t="s">
        <v>2165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2" t="s">
        <v>2157</v>
      </c>
      <c r="V1" s="2" t="s">
        <v>2158</v>
      </c>
    </row>
    <row r="2" spans="1:22" x14ac:dyDescent="0.2">
      <c r="A2" s="7" t="s">
        <v>2173</v>
      </c>
      <c r="B2" t="str">
        <f>A2&amp;" "&amp;
"IV"
&amp;" кв. "&amp;C2</f>
        <v>GAZP IV кв. 2025</v>
      </c>
      <c r="C2">
        <v>2025</v>
      </c>
      <c r="D2">
        <f>SUMIFS(Дивиденды!$C:$C,Дивиденды!$A:$A,A2,Дивиденды!$I:$I,C2)</f>
        <v>0</v>
      </c>
      <c r="E2" t="str">
        <f>IFERROR(IF(VLOOKUP($B2,Показатели!$E:$W,2,FALSE)=0,"",VLOOKUP($B2,Показатели!$E:$W,2,FALSE)),"")</f>
        <v/>
      </c>
      <c r="F2" t="str">
        <f>IFERROR(IF(VLOOKUP($B2,Показатели!$E:$W,3,FALSE)=0,"",VLOOKUP($B2,Показатели!$E:$W,3,FALSE)),"")</f>
        <v/>
      </c>
      <c r="G2" t="str">
        <f>IFERROR(IF(VLOOKUP($B2,Показатели!$E:$W,4,FALSE)=0,"",VLOOKUP($B2,Показатели!$E:$W,4,FALSE)),"")</f>
        <v/>
      </c>
      <c r="H2" t="str">
        <f>IFERROR(IF(VLOOKUP($B2,Показатели!$E:$W,5,FALSE)=0,"",VLOOKUP($B2,Показатели!$E:$W,5,FALSE)),"")</f>
        <v/>
      </c>
      <c r="I2" t="str">
        <f>IFERROR(IF(VLOOKUP($B2,Показатели!$E:$W,6,FALSE)=0,"",VLOOKUP($B2,Показатели!$E:$W,6,FALSE)),"")</f>
        <v/>
      </c>
      <c r="J2" t="str">
        <f>IFERROR(IF(VLOOKUP($B2,Показатели!$E:$W,7,FALSE)=0,"",VLOOKUP($B2,Показатели!$E:$W,7,FALSE)),"")</f>
        <v/>
      </c>
      <c r="K2" t="str">
        <f>IFERROR(IF(VLOOKUP($B2,Показатели!$E:$W,8,FALSE)=0,"",VLOOKUP($B2,Показатели!$E:$W,8,FALSE)),"")</f>
        <v/>
      </c>
      <c r="L2" t="str">
        <f>IFERROR(IF(VLOOKUP($B2,Показатели!$E:$W,9,FALSE)=0,"",VLOOKUP($B2,Показатели!$E:$W,9,FALSE)),"")</f>
        <v/>
      </c>
      <c r="M2" t="str">
        <f>IFERROR(IF(VLOOKUP($B2,Показатели!$E:$W,10,FALSE)=0,"",VLOOKUP($B2,Показатели!$E:$W,10,FALSE)),"")</f>
        <v/>
      </c>
      <c r="N2" t="str">
        <f>IFERROR(IF(VLOOKUP($B2,Показатели!$E:$W,11,FALSE)=0,"",VLOOKUP($B2,Показатели!$E:$W,11,FALSE)),"")</f>
        <v/>
      </c>
      <c r="O2" t="str">
        <f>IFERROR(IF(VLOOKUP($B2,Показатели!$E:$W,12,FALSE)=0,"",VLOOKUP($B2,Показатели!$E:$W,12,FALSE)),"")</f>
        <v/>
      </c>
      <c r="P2" t="str">
        <f>IFERROR(IF(VLOOKUP($B2,Показатели!$E:$W,13,FALSE)=0,"",VLOOKUP($B2,Показатели!$E:$W,13,FALSE)),"")</f>
        <v/>
      </c>
      <c r="Q2" t="str">
        <f>IFERROR(IF(VLOOKUP($B2,Показатели!$E:$W,14,FALSE)=0,"",VLOOKUP($B2,Показатели!$E:$W,14,FALSE)),"")</f>
        <v/>
      </c>
      <c r="R2" t="str">
        <f>IFERROR(IF(VLOOKUP($B2,Показатели!$E:$W,15,FALSE)=0,"",VLOOKUP($B2,Показатели!$E:$W,15,FALSE)),"")</f>
        <v/>
      </c>
      <c r="S2" t="str">
        <f>IFERROR(IF(VLOOKUP($B2,Показатели!$E:$W,16,FALSE)=0,"",VLOOKUP($B2,Показатели!$E:$W,16,FALSE)),"")</f>
        <v/>
      </c>
      <c r="T2" t="str">
        <f>IFERROR(IF(VLOOKUP($B2,Показатели!$E:$W,17,FALSE)=0,"",VLOOKUP($B2,Показатели!$E:$W,17,FALSE)),"")</f>
        <v/>
      </c>
      <c r="U2" t="str">
        <f>IFERROR(IF(VLOOKUP($B2,Показатели!$E:$W,18,FALSE)=0,"",VLOOKUP($B2,Показатели!$E:$W,18,FALSE)),"")</f>
        <v/>
      </c>
      <c r="V2" t="str">
        <f>IFERROR(IF(VLOOKUP($B2,Показатели!$E:$W,19,FALSE)=0,"",VLOOKUP($B2,Показатели!$E:$W,19,FALSE)),"")</f>
        <v/>
      </c>
    </row>
    <row r="3" spans="1:22" x14ac:dyDescent="0.2">
      <c r="A3" s="7" t="s">
        <v>2173</v>
      </c>
      <c r="B3" t="str">
        <f t="shared" ref="B3:B66" si="0">A3&amp;" "&amp;
"IV"
&amp;" кв. "&amp;C3</f>
        <v>GAZP IV кв. 2024</v>
      </c>
      <c r="C3">
        <v>2024</v>
      </c>
      <c r="D3">
        <f>SUMIFS(Дивиденды!$C:$C,Дивиденды!$A:$A,A3,Дивиденды!$I:$I,C3)</f>
        <v>0</v>
      </c>
      <c r="E3">
        <f>IFERROR(IF(VLOOKUP($B3,Показатели!$E:$W,2,FALSE)=0,"",VLOOKUP($B3,Показатели!$E:$W,2,FALSE)),"")</f>
        <v>991889000000</v>
      </c>
      <c r="F3">
        <f>IFERROR(IF(VLOOKUP($B3,Показатели!$E:$W,3,FALSE)=0,"",VLOOKUP($B3,Показатели!$E:$W,3,FALSE)),"")</f>
        <v>4368456000000</v>
      </c>
      <c r="G3">
        <f>IFERROR(IF(VLOOKUP($B3,Показатели!$E:$W,4,FALSE)=0,"",VLOOKUP($B3,Показатели!$E:$W,4,FALSE)),"")</f>
        <v>20779950000000</v>
      </c>
      <c r="H3">
        <f>IFERROR(IF(VLOOKUP($B3,Показатели!$E:$W,5,FALSE)=0,"",VLOOKUP($B3,Показатели!$E:$W,5,FALSE)),"")</f>
        <v>138420000000</v>
      </c>
      <c r="I3">
        <f>IFERROR(IF(VLOOKUP($B3,Показатели!$E:$W,6,FALSE)=0,"",VLOOKUP($B3,Показатели!$E:$W,6,FALSE)),"")</f>
        <v>30698255000000</v>
      </c>
      <c r="J3">
        <f>IFERROR(IF(VLOOKUP($B3,Показатели!$E:$W,7,FALSE)=0,"",VLOOKUP($B3,Показатели!$E:$W,7,FALSE)),"")</f>
        <v>4971895000000</v>
      </c>
      <c r="K3">
        <f>IFERROR(IF(VLOOKUP($B3,Показатели!$E:$W,8,FALSE)=0,"",VLOOKUP($B3,Показатели!$E:$W,8,FALSE)),"")</f>
        <v>8065398000000</v>
      </c>
      <c r="L3">
        <f>IFERROR(IF(VLOOKUP($B3,Показатели!$E:$W,9,FALSE)=0,"",VLOOKUP($B3,Показатели!$E:$W,9,FALSE)),"")</f>
        <v>15628372000000</v>
      </c>
      <c r="M3">
        <f>IFERROR(IF(VLOOKUP($B3,Показатели!$E:$W,10,FALSE)=0,"",VLOOKUP($B3,Показатели!$E:$W,10,FALSE)),"")</f>
        <v>17660962000000</v>
      </c>
      <c r="N3">
        <f>IFERROR(IF(VLOOKUP($B3,Показатели!$E:$W,11,FALSE)=0,"",VLOOKUP($B3,Показатели!$E:$W,11,FALSE)),"")</f>
        <v>10714686000000</v>
      </c>
      <c r="O3">
        <f>IFERROR(IF(VLOOKUP($B3,Показатели!$E:$W,12,FALSE)=0,"",VLOOKUP($B3,Показатели!$E:$W,12,FALSE)),"")</f>
        <v>1456390000000</v>
      </c>
      <c r="P3">
        <f>IFERROR(IF(VLOOKUP($B3,Показатели!$E:$W,13,FALSE)=0,"",VLOOKUP($B3,Показатели!$E:$W,13,FALSE)),"")</f>
        <v>1662936000000</v>
      </c>
      <c r="Q3">
        <f>IFERROR(IF(VLOOKUP($B3,Показатели!$E:$W,14,FALSE)=0,"",VLOOKUP($B3,Показатели!$E:$W,14,FALSE)),"")</f>
        <v>1318710000000</v>
      </c>
      <c r="R3">
        <f>IFERROR(IF(VLOOKUP($B3,Показатели!$E:$W,15,FALSE)=0,"",VLOOKUP($B3,Показатели!$E:$W,15,FALSE)),"")</f>
        <v>1377774000000</v>
      </c>
      <c r="S3">
        <f>IFERROR(IF(VLOOKUP($B3,Показатели!$E:$W,16,FALSE)=0,"",VLOOKUP($B3,Показатели!$E:$W,16,FALSE)),"")</f>
        <v>3107875000000</v>
      </c>
      <c r="T3">
        <f>IFERROR(IF(VLOOKUP($B3,Показатели!$E:$W,17,FALSE)=0,"",VLOOKUP($B3,Показатели!$E:$W,17,FALSE)),"")</f>
        <v>-2353789000000</v>
      </c>
      <c r="U3">
        <f>IFERROR(IF(VLOOKUP($B3,Показатели!$E:$W,18,FALSE)=0,"",VLOOKUP($B3,Показатели!$E:$W,18,FALSE)),"")</f>
        <v>8541818000000</v>
      </c>
      <c r="V3">
        <f>IFERROR(IF(VLOOKUP($B3,Показатели!$E:$W,19,FALSE)=0,"",VLOOKUP($B3,Показатели!$E:$W,19,FALSE)),"")</f>
        <v>28713748000000</v>
      </c>
    </row>
    <row r="4" spans="1:22" x14ac:dyDescent="0.2">
      <c r="A4" s="7" t="s">
        <v>2173</v>
      </c>
      <c r="B4" t="str">
        <f t="shared" si="0"/>
        <v>GAZP IV кв. 2023</v>
      </c>
      <c r="C4">
        <v>2023</v>
      </c>
      <c r="D4">
        <f>SUMIFS(Дивиденды!$C:$C,Дивиденды!$A:$A,A4,Дивиденды!$I:$I,C4)</f>
        <v>0</v>
      </c>
      <c r="E4">
        <f>IFERROR(IF(VLOOKUP($B4,Показатели!$E:$W,2,FALSE)=0,"",VLOOKUP($B4,Показатели!$E:$W,2,FALSE)),"")</f>
        <v>1426780000000</v>
      </c>
      <c r="F4">
        <f>IFERROR(IF(VLOOKUP($B4,Показатели!$E:$W,3,FALSE)=0,"",VLOOKUP($B4,Показатели!$E:$W,3,FALSE)),"")</f>
        <v>4780869000000</v>
      </c>
      <c r="G4">
        <f>IFERROR(IF(VLOOKUP($B4,Показатели!$E:$W,4,FALSE)=0,"",VLOOKUP($B4,Показатели!$E:$W,4,FALSE)),"")</f>
        <v>18436207000000</v>
      </c>
      <c r="H4">
        <f>IFERROR(IF(VLOOKUP($B4,Показатели!$E:$W,5,FALSE)=0,"",VLOOKUP($B4,Показатели!$E:$W,5,FALSE)),"")</f>
        <v>147273000000</v>
      </c>
      <c r="I4">
        <f>IFERROR(IF(VLOOKUP($B4,Показатели!$E:$W,6,FALSE)=0,"",VLOOKUP($B4,Показатели!$E:$W,6,FALSE)),"")</f>
        <v>28713748000000</v>
      </c>
      <c r="J4">
        <f>IFERROR(IF(VLOOKUP($B4,Показатели!$E:$W,7,FALSE)=0,"",VLOOKUP($B4,Показатели!$E:$W,7,FALSE)),"")</f>
        <v>4531986000000</v>
      </c>
      <c r="K4">
        <f>IFERROR(IF(VLOOKUP($B4,Показатели!$E:$W,8,FALSE)=0,"",VLOOKUP($B4,Показатели!$E:$W,8,FALSE)),"")</f>
        <v>7729048000000</v>
      </c>
      <c r="L4">
        <f>IFERROR(IF(VLOOKUP($B4,Показатели!$E:$W,9,FALSE)=0,"",VLOOKUP($B4,Показатели!$E:$W,9,FALSE)),"")</f>
        <v>14591946000000</v>
      </c>
      <c r="M4">
        <f>IFERROR(IF(VLOOKUP($B4,Показатели!$E:$W,10,FALSE)=0,"",VLOOKUP($B4,Показатели!$E:$W,10,FALSE)),"")</f>
        <v>16452714000000</v>
      </c>
      <c r="N4">
        <f>IFERROR(IF(VLOOKUP($B4,Показатели!$E:$W,11,FALSE)=0,"",VLOOKUP($B4,Показатели!$E:$W,11,FALSE)),"")</f>
        <v>8541818000000</v>
      </c>
      <c r="O4">
        <f>IFERROR(IF(VLOOKUP($B4,Показатели!$E:$W,12,FALSE)=0,"",VLOOKUP($B4,Показатели!$E:$W,12,FALSE)),"")</f>
        <v>-363689000000</v>
      </c>
      <c r="P4">
        <f>IFERROR(IF(VLOOKUP($B4,Показатели!$E:$W,13,FALSE)=0,"",VLOOKUP($B4,Показатели!$E:$W,13,FALSE)),"")</f>
        <v>-659070000000</v>
      </c>
      <c r="Q4">
        <f>IFERROR(IF(VLOOKUP($B4,Показатели!$E:$W,14,FALSE)=0,"",VLOOKUP($B4,Показатели!$E:$W,14,FALSE)),"")</f>
        <v>-583076000000</v>
      </c>
      <c r="R4">
        <f>IFERROR(IF(VLOOKUP($B4,Показатели!$E:$W,15,FALSE)=0,"",VLOOKUP($B4,Показатели!$E:$W,15,FALSE)),"")</f>
        <v>982058000000</v>
      </c>
      <c r="S4">
        <f>IFERROR(IF(VLOOKUP($B4,Показатели!$E:$W,16,FALSE)=0,"",VLOOKUP($B4,Показатели!$E:$W,16,FALSE)),"")</f>
        <v>1764554000000</v>
      </c>
      <c r="T4">
        <f>IFERROR(IF(VLOOKUP($B4,Показатели!$E:$W,17,FALSE)=0,"",VLOOKUP($B4,Показатели!$E:$W,17,FALSE)),"")</f>
        <v>-2422017000000</v>
      </c>
      <c r="U4">
        <f>IFERROR(IF(VLOOKUP($B4,Показатели!$E:$W,18,FALSE)=0,"",VLOOKUP($B4,Показатели!$E:$W,18,FALSE)),"")</f>
        <v>11673950000000</v>
      </c>
      <c r="V4">
        <f>IFERROR(IF(VLOOKUP($B4,Показатели!$E:$W,19,FALSE)=0,"",VLOOKUP($B4,Показатели!$E:$W,19,FALSE)),"")</f>
        <v>26128929000000</v>
      </c>
    </row>
    <row r="5" spans="1:22" x14ac:dyDescent="0.2">
      <c r="A5" s="7" t="s">
        <v>2173</v>
      </c>
      <c r="B5" t="str">
        <f t="shared" si="0"/>
        <v>GAZP IV кв. 2022</v>
      </c>
      <c r="C5">
        <v>2022</v>
      </c>
      <c r="D5">
        <f>SUMIFS(Дивиденды!$C:$C,Дивиденды!$A:$A,A5,Дивиденды!$I:$I,C5)</f>
        <v>51.03</v>
      </c>
      <c r="E5">
        <f>IFERROR(IF(VLOOKUP($B5,Показатели!$E:$W,2,FALSE)=0,"",VLOOKUP($B5,Показатели!$E:$W,2,FALSE)),"")</f>
        <v>1157587000000</v>
      </c>
      <c r="F5">
        <f>IFERROR(IF(VLOOKUP($B5,Показатели!$E:$W,3,FALSE)=0,"",VLOOKUP($B5,Показатели!$E:$W,3,FALSE)),"")</f>
        <v>4620117000000</v>
      </c>
      <c r="G5">
        <f>IFERROR(IF(VLOOKUP($B5,Показатели!$E:$W,4,FALSE)=0,"",VLOOKUP($B5,Показатели!$E:$W,4,FALSE)),"")</f>
        <v>17419060000000</v>
      </c>
      <c r="H5">
        <f>IFERROR(IF(VLOOKUP($B5,Показатели!$E:$W,5,FALSE)=0,"",VLOOKUP($B5,Показатели!$E:$W,5,FALSE)),"")</f>
        <v>130585000000</v>
      </c>
      <c r="I5">
        <f>IFERROR(IF(VLOOKUP($B5,Показатели!$E:$W,6,FALSE)=0,"",VLOOKUP($B5,Показатели!$E:$W,6,FALSE)),"")</f>
        <v>26128929000000</v>
      </c>
      <c r="J5">
        <f>IFERROR(IF(VLOOKUP($B5,Показатели!$E:$W,7,FALSE)=0,"",VLOOKUP($B5,Показатели!$E:$W,7,FALSE)),"")</f>
        <v>2900860000000</v>
      </c>
      <c r="K5">
        <f>IFERROR(IF(VLOOKUP($B5,Показатели!$E:$W,8,FALSE)=0,"",VLOOKUP($B5,Показатели!$E:$W,8,FALSE)),"")</f>
        <v>6782224000000</v>
      </c>
      <c r="L5">
        <f>IFERROR(IF(VLOOKUP($B5,Показатели!$E:$W,9,FALSE)=0,"",VLOOKUP($B5,Показатели!$E:$W,9,FALSE)),"")</f>
        <v>15126010000000</v>
      </c>
      <c r="M5">
        <f>IFERROR(IF(VLOOKUP($B5,Показатели!$E:$W,10,FALSE)=0,"",VLOOKUP($B5,Показатели!$E:$W,10,FALSE)),"")</f>
        <v>16445845000000</v>
      </c>
      <c r="N5">
        <f>IFERROR(IF(VLOOKUP($B5,Показатели!$E:$W,11,FALSE)=0,"",VLOOKUP($B5,Показатели!$E:$W,11,FALSE)),"")</f>
        <v>11673950000000</v>
      </c>
      <c r="O5">
        <f>IFERROR(IF(VLOOKUP($B5,Показатели!$E:$W,12,FALSE)=0,"",VLOOKUP($B5,Показатели!$E:$W,12,FALSE)),"")</f>
        <v>1935159000000</v>
      </c>
      <c r="P5">
        <f>IFERROR(IF(VLOOKUP($B5,Показатели!$E:$W,13,FALSE)=0,"",VLOOKUP($B5,Показатели!$E:$W,13,FALSE)),"")</f>
        <v>2190558000000</v>
      </c>
      <c r="Q5">
        <f>IFERROR(IF(VLOOKUP($B5,Показатели!$E:$W,14,FALSE)=0,"",VLOOKUP($B5,Показатели!$E:$W,14,FALSE)),"")</f>
        <v>1311645000000</v>
      </c>
      <c r="R5">
        <f>IFERROR(IF(VLOOKUP($B5,Показатели!$E:$W,15,FALSE)=0,"",VLOOKUP($B5,Показатели!$E:$W,15,FALSE)),"")</f>
        <v>862380000000</v>
      </c>
      <c r="S5">
        <f>IFERROR(IF(VLOOKUP($B5,Показатели!$E:$W,16,FALSE)=0,"",VLOOKUP($B5,Показатели!$E:$W,16,FALSE)),"")</f>
        <v>3637555000000</v>
      </c>
      <c r="T5">
        <f>IFERROR(IF(VLOOKUP($B5,Показатели!$E:$W,17,FALSE)=0,"",VLOOKUP($B5,Показатели!$E:$W,17,FALSE)),"")</f>
        <v>-2191642000000</v>
      </c>
      <c r="U5">
        <f>IFERROR(IF(VLOOKUP($B5,Показатели!$E:$W,18,FALSE)=0,"",VLOOKUP($B5,Показатели!$E:$W,18,FALSE)),"")</f>
        <v>10241353000000</v>
      </c>
      <c r="V5">
        <f>IFERROR(IF(VLOOKUP($B5,Показатели!$E:$W,19,FALSE)=0,"",VLOOKUP($B5,Показатели!$E:$W,19,FALSE)),"")</f>
        <v>27047230000000</v>
      </c>
    </row>
    <row r="6" spans="1:22" x14ac:dyDescent="0.2">
      <c r="A6" s="7" t="s">
        <v>2173</v>
      </c>
      <c r="B6" t="str">
        <f t="shared" si="0"/>
        <v>GAZP IV кв. 2021</v>
      </c>
      <c r="C6">
        <v>2021</v>
      </c>
      <c r="D6">
        <f>SUMIFS(Дивиденды!$C:$C,Дивиденды!$A:$A,A6,Дивиденды!$I:$I,C6)</f>
        <v>0</v>
      </c>
      <c r="E6">
        <f>IFERROR(IF(VLOOKUP($B6,Показатели!$E:$W,2,FALSE)=0,"",VLOOKUP($B6,Показатели!$E:$W,2,FALSE)),"")</f>
        <v>2013923000000</v>
      </c>
      <c r="F6">
        <f>IFERROR(IF(VLOOKUP($B6,Показатели!$E:$W,3,FALSE)=0,"",VLOOKUP($B6,Показатели!$E:$W,3,FALSE)),"")</f>
        <v>6214283000000</v>
      </c>
      <c r="G6">
        <f>IFERROR(IF(VLOOKUP($B6,Показатели!$E:$W,4,FALSE)=0,"",VLOOKUP($B6,Показатели!$E:$W,4,FALSE)),"")</f>
        <v>16673568000000</v>
      </c>
      <c r="H6">
        <f>IFERROR(IF(VLOOKUP($B6,Показатели!$E:$W,5,FALSE)=0,"",VLOOKUP($B6,Показатели!$E:$W,5,FALSE)),"")</f>
        <v>120768000000</v>
      </c>
      <c r="I6">
        <f>IFERROR(IF(VLOOKUP($B6,Показатели!$E:$W,6,FALSE)=0,"",VLOOKUP($B6,Показатели!$E:$W,6,FALSE)),"")</f>
        <v>27047230000000</v>
      </c>
      <c r="J6">
        <f>IFERROR(IF(VLOOKUP($B6,Показатели!$E:$W,7,FALSE)=0,"",VLOOKUP($B6,Показатели!$E:$W,7,FALSE)),"")</f>
        <v>4022945000000</v>
      </c>
      <c r="K6">
        <f>IFERROR(IF(VLOOKUP($B6,Показатели!$E:$W,8,FALSE)=0,"",VLOOKUP($B6,Показатели!$E:$W,8,FALSE)),"")</f>
        <v>6157706000000</v>
      </c>
      <c r="L6">
        <f>IFERROR(IF(VLOOKUP($B6,Показатели!$E:$W,9,FALSE)=0,"",VLOOKUP($B6,Показатели!$E:$W,9,FALSE)),"")</f>
        <v>15613466000000</v>
      </c>
      <c r="M6">
        <f>IFERROR(IF(VLOOKUP($B6,Показатели!$E:$W,10,FALSE)=0,"",VLOOKUP($B6,Показатели!$E:$W,10,FALSE)),"")</f>
        <v>16866579000000</v>
      </c>
      <c r="N6">
        <f>IFERROR(IF(VLOOKUP($B6,Показатели!$E:$W,11,FALSE)=0,"",VLOOKUP($B6,Показатели!$E:$W,11,FALSE)),"")</f>
        <v>10241353000000</v>
      </c>
      <c r="O6">
        <f>IFERROR(IF(VLOOKUP($B6,Показатели!$E:$W,12,FALSE)=0,"",VLOOKUP($B6,Показатели!$E:$W,12,FALSE)),"")</f>
        <v>2411261000000</v>
      </c>
      <c r="P6">
        <f>IFERROR(IF(VLOOKUP($B6,Показатели!$E:$W,13,FALSE)=0,"",VLOOKUP($B6,Показатели!$E:$W,13,FALSE)),"")</f>
        <v>2769514000000</v>
      </c>
      <c r="Q6">
        <f>IFERROR(IF(VLOOKUP($B6,Показатели!$E:$W,14,FALSE)=0,"",VLOOKUP($B6,Показатели!$E:$W,14,FALSE)),"")</f>
        <v>2159086000000</v>
      </c>
      <c r="R6">
        <f>IFERROR(IF(VLOOKUP($B6,Показатели!$E:$W,15,FALSE)=0,"",VLOOKUP($B6,Показатели!$E:$W,15,FALSE)),"")</f>
        <v>828027000000</v>
      </c>
      <c r="S6">
        <f>IFERROR(IF(VLOOKUP($B6,Показатели!$E:$W,16,FALSE)=0,"",VLOOKUP($B6,Показатели!$E:$W,16,FALSE)),"")</f>
        <v>3686890000000</v>
      </c>
      <c r="T6">
        <f>IFERROR(IF(VLOOKUP($B6,Показатели!$E:$W,17,FALSE)=0,"",VLOOKUP($B6,Показатели!$E:$W,17,FALSE)),"")</f>
        <v>-1933766000000</v>
      </c>
      <c r="U6">
        <f>IFERROR(IF(VLOOKUP($B6,Показатели!$E:$W,18,FALSE)=0,"",VLOOKUP($B6,Показатели!$E:$W,18,FALSE)),"")</f>
        <v>6321559000000</v>
      </c>
      <c r="V6">
        <f>IFERROR(IF(VLOOKUP($B6,Показатели!$E:$W,19,FALSE)=0,"",VLOOKUP($B6,Показатели!$E:$W,19,FALSE)),"")</f>
        <v>23352185000000</v>
      </c>
    </row>
    <row r="7" spans="1:22" x14ac:dyDescent="0.2">
      <c r="A7" s="7" t="s">
        <v>2173</v>
      </c>
      <c r="B7" t="str">
        <f t="shared" si="0"/>
        <v>GAZP IV кв. 2020</v>
      </c>
      <c r="C7">
        <v>2020</v>
      </c>
      <c r="D7">
        <f>SUMIFS(Дивиденды!$C:$C,Дивиденды!$A:$A,A7,Дивиденды!$I:$I,C7)</f>
        <v>12.55</v>
      </c>
      <c r="E7">
        <f>IFERROR(IF(VLOOKUP($B7,Показатели!$E:$W,2,FALSE)=0,"",VLOOKUP($B7,Показатели!$E:$W,2,FALSE)),"")</f>
        <v>1034919000000</v>
      </c>
      <c r="F7">
        <f>IFERROR(IF(VLOOKUP($B7,Показатели!$E:$W,3,FALSE)=0,"",VLOOKUP($B7,Показатели!$E:$W,3,FALSE)),"")</f>
        <v>3774289000000</v>
      </c>
      <c r="G7">
        <f>IFERROR(IF(VLOOKUP($B7,Показатели!$E:$W,4,FALSE)=0,"",VLOOKUP($B7,Показатели!$E:$W,4,FALSE)),"")</f>
        <v>16103095000000</v>
      </c>
      <c r="H7">
        <f>IFERROR(IF(VLOOKUP($B7,Показатели!$E:$W,5,FALSE)=0,"",VLOOKUP($B7,Показатели!$E:$W,5,FALSE)),"")</f>
        <v>119854000000</v>
      </c>
      <c r="I7">
        <f>IFERROR(IF(VLOOKUP($B7,Показатели!$E:$W,6,FALSE)=0,"",VLOOKUP($B7,Показатели!$E:$W,6,FALSE)),"")</f>
        <v>23352185000000</v>
      </c>
      <c r="J7">
        <f>IFERROR(IF(VLOOKUP($B7,Показатели!$E:$W,7,FALSE)=0,"",VLOOKUP($B7,Показатели!$E:$W,7,FALSE)),"")</f>
        <v>2626964000000</v>
      </c>
      <c r="K7">
        <f>IFERROR(IF(VLOOKUP($B7,Показатели!$E:$W,8,FALSE)=0,"",VLOOKUP($B7,Показатели!$E:$W,8,FALSE)),"")</f>
        <v>5920489000000</v>
      </c>
      <c r="L7">
        <f>IFERROR(IF(VLOOKUP($B7,Показатели!$E:$W,9,FALSE)=0,"",VLOOKUP($B7,Показатели!$E:$W,9,FALSE)),"")</f>
        <v>13717464000000</v>
      </c>
      <c r="M7">
        <f>IFERROR(IF(VLOOKUP($B7,Показатели!$E:$W,10,FALSE)=0,"",VLOOKUP($B7,Показатели!$E:$W,10,FALSE)),"")</f>
        <v>14804732000000</v>
      </c>
      <c r="N7">
        <f>IFERROR(IF(VLOOKUP($B7,Показатели!$E:$W,11,FALSE)=0,"",VLOOKUP($B7,Показатели!$E:$W,11,FALSE)),"")</f>
        <v>6321559000000</v>
      </c>
      <c r="O7">
        <f>IFERROR(IF(VLOOKUP($B7,Показатели!$E:$W,12,FALSE)=0,"",VLOOKUP($B7,Показатели!$E:$W,12,FALSE)),"")</f>
        <v>614851000000</v>
      </c>
      <c r="P7">
        <f>IFERROR(IF(VLOOKUP($B7,Показатели!$E:$W,13,FALSE)=0,"",VLOOKUP($B7,Показатели!$E:$W,13,FALSE)),"")</f>
        <v>133469000000</v>
      </c>
      <c r="Q7">
        <f>IFERROR(IF(VLOOKUP($B7,Показатели!$E:$W,14,FALSE)=0,"",VLOOKUP($B7,Показатели!$E:$W,14,FALSE)),"")</f>
        <v>162407000000</v>
      </c>
      <c r="R7">
        <f>IFERROR(IF(VLOOKUP($B7,Показатели!$E:$W,15,FALSE)=0,"",VLOOKUP($B7,Показатели!$E:$W,15,FALSE)),"")</f>
        <v>798436000000</v>
      </c>
      <c r="S7">
        <f>IFERROR(IF(VLOOKUP($B7,Показатели!$E:$W,16,FALSE)=0,"",VLOOKUP($B7,Показатели!$E:$W,16,FALSE)),"")</f>
        <v>1466541000000</v>
      </c>
      <c r="T7">
        <f>IFERROR(IF(VLOOKUP($B7,Показатели!$E:$W,17,FALSE)=0,"",VLOOKUP($B7,Показатели!$E:$W,17,FALSE)),"")</f>
        <v>-1522565000000</v>
      </c>
      <c r="U7">
        <f>IFERROR(IF(VLOOKUP($B7,Показатели!$E:$W,18,FALSE)=0,"",VLOOKUP($B7,Показатели!$E:$W,18,FALSE)),"")</f>
        <v>7659623000000</v>
      </c>
      <c r="V7">
        <f>IFERROR(IF(VLOOKUP($B7,Показатели!$E:$W,19,FALSE)=0,"",VLOOKUP($B7,Показатели!$E:$W,19,FALSE)),"")</f>
        <v>21882348000000</v>
      </c>
    </row>
    <row r="8" spans="1:22" x14ac:dyDescent="0.2">
      <c r="A8" s="7" t="s">
        <v>2173</v>
      </c>
      <c r="B8" t="str">
        <f t="shared" si="0"/>
        <v>GAZP IV кв. 2019</v>
      </c>
      <c r="C8">
        <v>2019</v>
      </c>
      <c r="D8">
        <f>SUMIFS(Дивиденды!$C:$C,Дивиденды!$A:$A,A8,Дивиденды!$I:$I,C8)</f>
        <v>15.24</v>
      </c>
      <c r="E8">
        <f>IFERROR(IF(VLOOKUP($B8,Показатели!$E:$W,2,FALSE)=0,"",VLOOKUP($B8,Показатели!$E:$W,2,FALSE)),"")</f>
        <v>696057000000</v>
      </c>
      <c r="F8">
        <f>IFERROR(IF(VLOOKUP($B8,Показатели!$E:$W,3,FALSE)=0,"",VLOOKUP($B8,Показатели!$E:$W,3,FALSE)),"")</f>
        <v>3828153000000</v>
      </c>
      <c r="G8">
        <f>IFERROR(IF(VLOOKUP($B8,Показатели!$E:$W,4,FALSE)=0,"",VLOOKUP($B8,Показатели!$E:$W,4,FALSE)),"")</f>
        <v>14856448000000</v>
      </c>
      <c r="H8">
        <f>IFERROR(IF(VLOOKUP($B8,Показатели!$E:$W,5,FALSE)=0,"",VLOOKUP($B8,Показатели!$E:$W,5,FALSE)),"")</f>
        <v>130028000000</v>
      </c>
      <c r="I8">
        <f>IFERROR(IF(VLOOKUP($B8,Показатели!$E:$W,6,FALSE)=0,"",VLOOKUP($B8,Показатели!$E:$W,6,FALSE)),"")</f>
        <v>21882348000000</v>
      </c>
      <c r="J8">
        <f>IFERROR(IF(VLOOKUP($B8,Показатели!$E:$W,7,FALSE)=0,"",VLOOKUP($B8,Показатели!$E:$W,7,FALSE)),"")</f>
        <v>2527476000000</v>
      </c>
      <c r="K8">
        <f>IFERROR(IF(VLOOKUP($B8,Показатели!$E:$W,8,FALSE)=0,"",VLOOKUP($B8,Показатели!$E:$W,8,FALSE)),"")</f>
        <v>4739185000000</v>
      </c>
      <c r="L8">
        <f>IFERROR(IF(VLOOKUP($B8,Показатели!$E:$W,9,FALSE)=0,"",VLOOKUP($B8,Показатели!$E:$W,9,FALSE)),"")</f>
        <v>13779970000000</v>
      </c>
      <c r="M8">
        <f>IFERROR(IF(VLOOKUP($B8,Показатели!$E:$W,10,FALSE)=0,"",VLOOKUP($B8,Показатели!$E:$W,10,FALSE)),"")</f>
        <v>14615687000000</v>
      </c>
      <c r="N8">
        <f>IFERROR(IF(VLOOKUP($B8,Показатели!$E:$W,11,FALSE)=0,"",VLOOKUP($B8,Показатели!$E:$W,11,FALSE)),"")</f>
        <v>7659623000000</v>
      </c>
      <c r="O8">
        <f>IFERROR(IF(VLOOKUP($B8,Показатели!$E:$W,12,FALSE)=0,"",VLOOKUP($B8,Показатели!$E:$W,12,FALSE)),"")</f>
        <v>1119857000000</v>
      </c>
      <c r="P8">
        <f>IFERROR(IF(VLOOKUP($B8,Показатели!$E:$W,13,FALSE)=0,"",VLOOKUP($B8,Показатели!$E:$W,13,FALSE)),"")</f>
        <v>1627065000000</v>
      </c>
      <c r="Q8">
        <f>IFERROR(IF(VLOOKUP($B8,Показатели!$E:$W,14,FALSE)=0,"",VLOOKUP($B8,Показатели!$E:$W,14,FALSE)),"")</f>
        <v>1269517000000</v>
      </c>
      <c r="R8">
        <f>IFERROR(IF(VLOOKUP($B8,Показатели!$E:$W,15,FALSE)=0,"",VLOOKUP($B8,Показатели!$E:$W,15,FALSE)),"")</f>
        <v>715229000000</v>
      </c>
      <c r="S8">
        <f>IFERROR(IF(VLOOKUP($B8,Показатели!$E:$W,16,FALSE)=0,"",VLOOKUP($B8,Показатели!$E:$W,16,FALSE)),"")</f>
        <v>1859679000000</v>
      </c>
      <c r="T8">
        <f>IFERROR(IF(VLOOKUP($B8,Показатели!$E:$W,17,FALSE)=0,"",VLOOKUP($B8,Показатели!$E:$W,17,FALSE)),"")</f>
        <v>-1775923000000</v>
      </c>
      <c r="U8">
        <f>IFERROR(IF(VLOOKUP($B8,Показатели!$E:$W,18,FALSE)=0,"",VLOOKUP($B8,Показатели!$E:$W,18,FALSE)),"")</f>
        <v>8224177000000</v>
      </c>
      <c r="V8">
        <f>IFERROR(IF(VLOOKUP($B8,Показатели!$E:$W,19,FALSE)=0,"",VLOOKUP($B8,Показатели!$E:$W,19,FALSE)),"")</f>
        <v>20810440000000</v>
      </c>
    </row>
    <row r="9" spans="1:22" x14ac:dyDescent="0.2">
      <c r="A9" s="7" t="s">
        <v>2173</v>
      </c>
      <c r="B9" t="str">
        <f t="shared" si="0"/>
        <v>GAZP IV кв. 2018</v>
      </c>
      <c r="C9">
        <v>2018</v>
      </c>
      <c r="D9">
        <f>SUMIFS(Дивиденды!$C:$C,Дивиденды!$A:$A,A9,Дивиденды!$I:$I,C9)</f>
        <v>16.61</v>
      </c>
      <c r="E9">
        <f>IFERROR(IF(VLOOKUP($B9,Показатели!$E:$W,2,FALSE)=0,"",VLOOKUP($B9,Показатели!$E:$W,2,FALSE)),"")</f>
        <v>849419000000</v>
      </c>
      <c r="F9">
        <f>IFERROR(IF(VLOOKUP($B9,Показатели!$E:$W,3,FALSE)=0,"",VLOOKUP($B9,Показатели!$E:$W,3,FALSE)),"")</f>
        <v>4212230000000</v>
      </c>
      <c r="G9">
        <f>IFERROR(IF(VLOOKUP($B9,Показатели!$E:$W,4,FALSE)=0,"",VLOOKUP($B9,Показатели!$E:$W,4,FALSE)),"")</f>
        <v>13809434000000</v>
      </c>
      <c r="H9">
        <f>IFERROR(IF(VLOOKUP($B9,Показатели!$E:$W,5,FALSE)=0,"",VLOOKUP($B9,Показатели!$E:$W,5,FALSE)),"")</f>
        <v>108097000000</v>
      </c>
      <c r="I9">
        <f>IFERROR(IF(VLOOKUP($B9,Показатели!$E:$W,6,FALSE)=0,"",VLOOKUP($B9,Показатели!$E:$W,6,FALSE)),"")</f>
        <v>20810440000000</v>
      </c>
      <c r="J9">
        <f>IFERROR(IF(VLOOKUP($B9,Показатели!$E:$W,7,FALSE)=0,"",VLOOKUP($B9,Показатели!$E:$W,7,FALSE)),"")</f>
        <v>2473695000000</v>
      </c>
      <c r="K9">
        <f>IFERROR(IF(VLOOKUP($B9,Показатели!$E:$W,8,FALSE)=0,"",VLOOKUP($B9,Показатели!$E:$W,8,FALSE)),"")</f>
        <v>4560592000000</v>
      </c>
      <c r="L9">
        <f>IFERROR(IF(VLOOKUP($B9,Показатели!$E:$W,9,FALSE)=0,"",VLOOKUP($B9,Показатели!$E:$W,9,FALSE)),"")</f>
        <v>13210734000000</v>
      </c>
      <c r="M9">
        <f>IFERROR(IF(VLOOKUP($B9,Показатели!$E:$W,10,FALSE)=0,"",VLOOKUP($B9,Показатели!$E:$W,10,FALSE)),"")</f>
        <v>13776153000000</v>
      </c>
      <c r="N9">
        <f>IFERROR(IF(VLOOKUP($B9,Показатели!$E:$W,11,FALSE)=0,"",VLOOKUP($B9,Показатели!$E:$W,11,FALSE)),"")</f>
        <v>8224177000000</v>
      </c>
      <c r="O9">
        <f>IFERROR(IF(VLOOKUP($B9,Показатели!$E:$W,12,FALSE)=0,"",VLOOKUP($B9,Показатели!$E:$W,12,FALSE)),"")</f>
        <v>1930030000000</v>
      </c>
      <c r="P9">
        <f>IFERROR(IF(VLOOKUP($B9,Показатели!$E:$W,13,FALSE)=0,"",VLOOKUP($B9,Показатели!$E:$W,13,FALSE)),"")</f>
        <v>1852562000000</v>
      </c>
      <c r="Q9">
        <f>IFERROR(IF(VLOOKUP($B9,Показатели!$E:$W,14,FALSE)=0,"",VLOOKUP($B9,Показатели!$E:$W,14,FALSE)),"")</f>
        <v>1528996000000</v>
      </c>
      <c r="R9">
        <f>IFERROR(IF(VLOOKUP($B9,Показатели!$E:$W,15,FALSE)=0,"",VLOOKUP($B9,Показатели!$E:$W,15,FALSE)),"")</f>
        <v>647993000000</v>
      </c>
      <c r="S9">
        <f>IFERROR(IF(VLOOKUP($B9,Показатели!$E:$W,16,FALSE)=0,"",VLOOKUP($B9,Показатели!$E:$W,16,FALSE)),"")</f>
        <v>2599284000000</v>
      </c>
      <c r="T9">
        <f>IFERROR(IF(VLOOKUP($B9,Показатели!$E:$W,17,FALSE)=0,"",VLOOKUP($B9,Показатели!$E:$W,17,FALSE)),"")</f>
        <v>-1639474000000</v>
      </c>
      <c r="U9">
        <f>IFERROR(IF(VLOOKUP($B9,Показатели!$E:$W,18,FALSE)=0,"",VLOOKUP($B9,Показатели!$E:$W,18,FALSE)),"")</f>
        <v>6546143000000</v>
      </c>
      <c r="V9">
        <f>IFERROR(IF(VLOOKUP($B9,Показатели!$E:$W,19,FALSE)=0,"",VLOOKUP($B9,Показатели!$E:$W,19,FALSE)),"")</f>
        <v>18238770000000</v>
      </c>
    </row>
    <row r="10" spans="1:22" x14ac:dyDescent="0.2">
      <c r="A10" s="7" t="s">
        <v>2173</v>
      </c>
      <c r="B10" t="str">
        <f t="shared" si="0"/>
        <v>GAZP IV кв. 2017</v>
      </c>
      <c r="C10">
        <v>2017</v>
      </c>
      <c r="D10">
        <f>SUMIFS(Дивиденды!$C:$C,Дивиденды!$A:$A,A10,Дивиденды!$I:$I,C10)</f>
        <v>8.0399999999999991</v>
      </c>
      <c r="E10">
        <f>IFERROR(IF(VLOOKUP($B10,Показатели!$E:$W,2,FALSE)=0,"",VLOOKUP($B10,Показатели!$E:$W,2,FALSE)),"")</f>
        <v>869007000000</v>
      </c>
      <c r="F10">
        <f>IFERROR(IF(VLOOKUP($B10,Показатели!$E:$W,3,FALSE)=0,"",VLOOKUP($B10,Показатели!$E:$W,3,FALSE)),"")</f>
        <v>3469266000000</v>
      </c>
      <c r="G10">
        <f>IFERROR(IF(VLOOKUP($B10,Показатели!$E:$W,4,FALSE)=0,"",VLOOKUP($B10,Показатели!$E:$W,4,FALSE)),"")</f>
        <v>12545079000000</v>
      </c>
      <c r="H10">
        <f>IFERROR(IF(VLOOKUP($B10,Показатели!$E:$W,5,FALSE)=0,"",VLOOKUP($B10,Показатели!$E:$W,5,FALSE)),"")</f>
        <v>105469000000</v>
      </c>
      <c r="I10">
        <f>IFERROR(IF(VLOOKUP($B10,Показатели!$E:$W,6,FALSE)=0,"",VLOOKUP($B10,Показатели!$E:$W,6,FALSE)),"")</f>
        <v>18238770000000</v>
      </c>
      <c r="J10">
        <f>IFERROR(IF(VLOOKUP($B10,Показатели!$E:$W,7,FALSE)=0,"",VLOOKUP($B10,Показатели!$E:$W,7,FALSE)),"")</f>
        <v>2589516000000</v>
      </c>
      <c r="K10">
        <f>IFERROR(IF(VLOOKUP($B10,Показатели!$E:$W,8,FALSE)=0,"",VLOOKUP($B10,Показатели!$E:$W,8,FALSE)),"")</f>
        <v>3633773000000</v>
      </c>
      <c r="L10">
        <f>IFERROR(IF(VLOOKUP($B10,Показатели!$E:$W,9,FALSE)=0,"",VLOOKUP($B10,Показатели!$E:$W,9,FALSE)),"")</f>
        <v>11539811000000</v>
      </c>
      <c r="M10">
        <f>IFERROR(IF(VLOOKUP($B10,Показатели!$E:$W,10,FALSE)=0,"",VLOOKUP($B10,Показатели!$E:$W,10,FALSE)),"")</f>
        <v>12015481000000</v>
      </c>
      <c r="N10">
        <f>IFERROR(IF(VLOOKUP($B10,Показатели!$E:$W,11,FALSE)=0,"",VLOOKUP($B10,Показатели!$E:$W,11,FALSE)),"")</f>
        <v>6546143000000</v>
      </c>
      <c r="O10">
        <f>IFERROR(IF(VLOOKUP($B10,Показатели!$E:$W,12,FALSE)=0,"",VLOOKUP($B10,Показатели!$E:$W,12,FALSE)),"")</f>
        <v>870523000000</v>
      </c>
      <c r="P10">
        <f>IFERROR(IF(VLOOKUP($B10,Показатели!$E:$W,13,FALSE)=0,"",VLOOKUP($B10,Показатели!$E:$W,13,FALSE)),"")</f>
        <v>1018006000000</v>
      </c>
      <c r="Q10">
        <f>IFERROR(IF(VLOOKUP($B10,Показатели!$E:$W,14,FALSE)=0,"",VLOOKUP($B10,Показатели!$E:$W,14,FALSE)),"")</f>
        <v>766879000000</v>
      </c>
      <c r="R10">
        <f>IFERROR(IF(VLOOKUP($B10,Показатели!$E:$W,15,FALSE)=0,"",VLOOKUP($B10,Показатели!$E:$W,15,FALSE)),"")</f>
        <v>613160000000</v>
      </c>
      <c r="S10">
        <f>IFERROR(IF(VLOOKUP($B10,Показатели!$E:$W,16,FALSE)=0,"",VLOOKUP($B10,Показатели!$E:$W,16,FALSE)),"")</f>
        <v>1466910000000</v>
      </c>
      <c r="T10">
        <f>IFERROR(IF(VLOOKUP($B10,Показатели!$E:$W,17,FALSE)=0,"",VLOOKUP($B10,Показатели!$E:$W,17,FALSE)),"")</f>
        <v>-1405780000000</v>
      </c>
      <c r="U10">
        <f>IFERROR(IF(VLOOKUP($B10,Показатели!$E:$W,18,FALSE)=0,"",VLOOKUP($B10,Показатели!$E:$W,18,FALSE)),"")</f>
        <v>6111051000000</v>
      </c>
      <c r="V10">
        <f>IFERROR(IF(VLOOKUP($B10,Показатели!$E:$W,19,FALSE)=0,"",VLOOKUP($B10,Показатели!$E:$W,19,FALSE)),"")</f>
        <v>16918938000000</v>
      </c>
    </row>
    <row r="11" spans="1:22" x14ac:dyDescent="0.2">
      <c r="A11" s="7" t="s">
        <v>2173</v>
      </c>
      <c r="B11" t="str">
        <f t="shared" si="0"/>
        <v>GAZP IV кв. 2016</v>
      </c>
      <c r="C11">
        <v>2016</v>
      </c>
      <c r="D11">
        <f>SUMIFS(Дивиденды!$C:$C,Дивиденды!$A:$A,A11,Дивиденды!$I:$I,C11)</f>
        <v>8.0399999999999991</v>
      </c>
      <c r="E11">
        <f>IFERROR(IF(VLOOKUP($B11,Показатели!$E:$W,2,FALSE)=0,"",VLOOKUP($B11,Показатели!$E:$W,2,FALSE)),"")</f>
        <v>896728000000</v>
      </c>
      <c r="F11">
        <f>IFERROR(IF(VLOOKUP($B11,Показатели!$E:$W,3,FALSE)=0,"",VLOOKUP($B11,Показатели!$E:$W,3,FALSE)),"")</f>
        <v>3234346000000</v>
      </c>
      <c r="G11">
        <f>IFERROR(IF(VLOOKUP($B11,Показатели!$E:$W,4,FALSE)=0,"",VLOOKUP($B11,Показатели!$E:$W,4,FALSE)),"")</f>
        <v>11502747000000</v>
      </c>
      <c r="H11" t="str">
        <f>IFERROR(IF(VLOOKUP($B11,Показатели!$E:$W,5,FALSE)=0,"",VLOOKUP($B11,Показатели!$E:$W,5,FALSE)),"")</f>
        <v/>
      </c>
      <c r="I11">
        <f>IFERROR(IF(VLOOKUP($B11,Показатели!$E:$W,6,FALSE)=0,"",VLOOKUP($B11,Показатели!$E:$W,6,FALSE)),"")</f>
        <v>16918938000000</v>
      </c>
      <c r="J11">
        <f>IFERROR(IF(VLOOKUP($B11,Показатели!$E:$W,7,FALSE)=0,"",VLOOKUP($B11,Показатели!$E:$W,7,FALSE)),"")</f>
        <v>1921808000000</v>
      </c>
      <c r="K11">
        <f>IFERROR(IF(VLOOKUP($B11,Показатели!$E:$W,8,FALSE)=0,"",VLOOKUP($B11,Показатели!$E:$W,8,FALSE)),"")</f>
        <v>3555291000000</v>
      </c>
      <c r="L11">
        <f>IFERROR(IF(VLOOKUP($B11,Показатели!$E:$W,9,FALSE)=0,"",VLOOKUP($B11,Показатели!$E:$W,9,FALSE)),"")</f>
        <v>11005256000000</v>
      </c>
      <c r="M11">
        <f>IFERROR(IF(VLOOKUP($B11,Показатели!$E:$W,10,FALSE)=0,"",VLOOKUP($B11,Показатели!$E:$W,10,FALSE)),"")</f>
        <v>11441839000000</v>
      </c>
      <c r="N11">
        <f>IFERROR(IF(VLOOKUP($B11,Показатели!$E:$W,11,FALSE)=0,"",VLOOKUP($B11,Показатели!$E:$W,11,FALSE)),"")</f>
        <v>6111051000000</v>
      </c>
      <c r="O11">
        <f>IFERROR(IF(VLOOKUP($B11,Показатели!$E:$W,12,FALSE)=0,"",VLOOKUP($B11,Показатели!$E:$W,12,FALSE)),"")</f>
        <v>725580000000</v>
      </c>
      <c r="P11">
        <f>IFERROR(IF(VLOOKUP($B11,Показатели!$E:$W,13,FALSE)=0,"",VLOOKUP($B11,Показатели!$E:$W,13,FALSE)),"")</f>
        <v>1285138000000</v>
      </c>
      <c r="Q11">
        <f>IFERROR(IF(VLOOKUP($B11,Показатели!$E:$W,14,FALSE)=0,"",VLOOKUP($B11,Показатели!$E:$W,14,FALSE)),"")</f>
        <v>997104000000</v>
      </c>
      <c r="R11" t="str">
        <f>IFERROR(IF(VLOOKUP($B11,Показатели!$E:$W,15,FALSE)=0,"",VLOOKUP($B11,Показатели!$E:$W,15,FALSE)),"")</f>
        <v/>
      </c>
      <c r="S11">
        <f>IFERROR(IF(VLOOKUP($B11,Показатели!$E:$W,16,FALSE)=0,"",VLOOKUP($B11,Показатели!$E:$W,16,FALSE)),"")</f>
        <v>1322000000000</v>
      </c>
      <c r="T11">
        <f>IFERROR(IF(VLOOKUP($B11,Показатели!$E:$W,17,FALSE)=0,"",VLOOKUP($B11,Показатели!$E:$W,17,FALSE)),"")</f>
        <v>1369000000000</v>
      </c>
      <c r="U11">
        <f>IFERROR(IF(VLOOKUP($B11,Показатели!$E:$W,18,FALSE)=0,"",VLOOKUP($B11,Показатели!$E:$W,18,FALSE)),"")</f>
        <v>6073318000000</v>
      </c>
      <c r="V11">
        <f>IFERROR(IF(VLOOKUP($B11,Показатели!$E:$W,19,FALSE)=0,"",VLOOKUP($B11,Показатели!$E:$W,19,FALSE)),"")</f>
        <v>17052040000000</v>
      </c>
    </row>
    <row r="12" spans="1:22" x14ac:dyDescent="0.2">
      <c r="A12" s="7" t="s">
        <v>2173</v>
      </c>
      <c r="B12" t="str">
        <f t="shared" si="0"/>
        <v>GAZP IV кв. 2015</v>
      </c>
      <c r="C12">
        <v>2015</v>
      </c>
      <c r="D12">
        <f>SUMIFS(Дивиденды!$C:$C,Дивиденды!$A:$A,A12,Дивиденды!$I:$I,C12)</f>
        <v>7.89</v>
      </c>
      <c r="E12">
        <f>IFERROR(IF(VLOOKUP($B12,Показатели!$E:$W,2,FALSE)=0,"",VLOOKUP($B12,Показатели!$E:$W,2,FALSE)),"")</f>
        <v>1359095000000</v>
      </c>
      <c r="F12">
        <f>IFERROR(IF(VLOOKUP($B12,Показатели!$E:$W,3,FALSE)=0,"",VLOOKUP($B12,Показатели!$E:$W,3,FALSE)),"")</f>
        <v>3993722000000</v>
      </c>
      <c r="G12">
        <f>IFERROR(IF(VLOOKUP($B12,Показатели!$E:$W,4,FALSE)=0,"",VLOOKUP($B12,Показатели!$E:$W,4,FALSE)),"")</f>
        <v>11003881000000</v>
      </c>
      <c r="H12" t="str">
        <f>IFERROR(IF(VLOOKUP($B12,Показатели!$E:$W,5,FALSE)=0,"",VLOOKUP($B12,Показатели!$E:$W,5,FALSE)),"")</f>
        <v/>
      </c>
      <c r="I12">
        <f>IFERROR(IF(VLOOKUP($B12,Показатели!$E:$W,6,FALSE)=0,"",VLOOKUP($B12,Показатели!$E:$W,6,FALSE)),"")</f>
        <v>17052040000000</v>
      </c>
      <c r="J12">
        <f>IFERROR(IF(VLOOKUP($B12,Показатели!$E:$W,7,FALSE)=0,"",VLOOKUP($B12,Показатели!$E:$W,7,FALSE)),"")</f>
        <v>2124701000000</v>
      </c>
      <c r="K12">
        <f>IFERROR(IF(VLOOKUP($B12,Показатели!$E:$W,8,FALSE)=0,"",VLOOKUP($B12,Показатели!$E:$W,8,FALSE)),"")</f>
        <v>4012717000000</v>
      </c>
      <c r="L12">
        <f>IFERROR(IF(VLOOKUP($B12,Показатели!$E:$W,9,FALSE)=0,"",VLOOKUP($B12,Показатели!$E:$W,9,FALSE)),"")</f>
        <v>10368311000000</v>
      </c>
      <c r="M12">
        <f>IFERROR(IF(VLOOKUP($B12,Показатели!$E:$W,10,FALSE)=0,"",VLOOKUP($B12,Показатели!$E:$W,10,FALSE)),"")</f>
        <v>10914622000000</v>
      </c>
      <c r="N12">
        <f>IFERROR(IF(VLOOKUP($B12,Показатели!$E:$W,11,FALSE)=0,"",VLOOKUP($B12,Показатели!$E:$W,11,FALSE)),"")</f>
        <v>6073318000000</v>
      </c>
      <c r="O12">
        <f>IFERROR(IF(VLOOKUP($B12,Показатели!$E:$W,12,FALSE)=0,"",VLOOKUP($B12,Показатели!$E:$W,12,FALSE)),"")</f>
        <v>1228301000000</v>
      </c>
      <c r="P12">
        <f>IFERROR(IF(VLOOKUP($B12,Показатели!$E:$W,13,FALSE)=0,"",VLOOKUP($B12,Показатели!$E:$W,13,FALSE)),"")</f>
        <v>925241000000</v>
      </c>
      <c r="Q12">
        <f>IFERROR(IF(VLOOKUP($B12,Показатели!$E:$W,14,FALSE)=0,"",VLOOKUP($B12,Показатели!$E:$W,14,FALSE)),"")</f>
        <v>805199000000</v>
      </c>
      <c r="R12" t="str">
        <f>IFERROR(IF(VLOOKUP($B12,Показатели!$E:$W,15,FALSE)=0,"",VLOOKUP($B12,Показатели!$E:$W,15,FALSE)),"")</f>
        <v/>
      </c>
      <c r="S12">
        <f>IFERROR(IF(VLOOKUP($B12,Показатели!$E:$W,16,FALSE)=0,"",VLOOKUP($B12,Показатели!$E:$W,16,FALSE)),"")</f>
        <v>1875000000000</v>
      </c>
      <c r="T12">
        <f>IFERROR(IF(VLOOKUP($B12,Показатели!$E:$W,17,FALSE)=0,"",VLOOKUP($B12,Показатели!$E:$W,17,FALSE)),"")</f>
        <v>1641024000000</v>
      </c>
      <c r="U12">
        <f>IFERROR(IF(VLOOKUP($B12,Показатели!$E:$W,18,FALSE)=0,"",VLOOKUP($B12,Показатели!$E:$W,18,FALSE)),"")</f>
        <v>5589811000000</v>
      </c>
      <c r="V12">
        <f>IFERROR(IF(VLOOKUP($B12,Показатели!$E:$W,19,FALSE)=0,"",VLOOKUP($B12,Показатели!$E:$W,19,FALSE)),"")</f>
        <v>15177470000000</v>
      </c>
    </row>
    <row r="13" spans="1:22" x14ac:dyDescent="0.2">
      <c r="A13" s="7" t="s">
        <v>2173</v>
      </c>
      <c r="B13" t="str">
        <f t="shared" si="0"/>
        <v>GAZP IV кв. 2014</v>
      </c>
      <c r="C13">
        <v>2014</v>
      </c>
      <c r="D13">
        <f>SUMIFS(Дивиденды!$C:$C,Дивиденды!$A:$A,A13,Дивиденды!$I:$I,C13)</f>
        <v>7.2</v>
      </c>
      <c r="E13">
        <f>IFERROR(IF(VLOOKUP($B13,Показатели!$E:$W,2,FALSE)=0,"",VLOOKUP($B13,Показатели!$E:$W,2,FALSE)),"")</f>
        <v>1038191000000</v>
      </c>
      <c r="F13">
        <f>IFERROR(IF(VLOOKUP($B13,Показатели!$E:$W,3,FALSE)=0,"",VLOOKUP($B13,Показатели!$E:$W,3,FALSE)),"")</f>
        <v>3461155000000</v>
      </c>
      <c r="G13">
        <f>IFERROR(IF(VLOOKUP($B13,Показатели!$E:$W,4,FALSE)=0,"",VLOOKUP($B13,Показатели!$E:$W,4,FALSE)),"")</f>
        <v>9950209000000</v>
      </c>
      <c r="H13" t="str">
        <f>IFERROR(IF(VLOOKUP($B13,Показатели!$E:$W,5,FALSE)=0,"",VLOOKUP($B13,Показатели!$E:$W,5,FALSE)),"")</f>
        <v/>
      </c>
      <c r="I13">
        <f>IFERROR(IF(VLOOKUP($B13,Показатели!$E:$W,6,FALSE)=0,"",VLOOKUP($B13,Показатели!$E:$W,6,FALSE)),"")</f>
        <v>15177470000000</v>
      </c>
      <c r="J13">
        <f>IFERROR(IF(VLOOKUP($B13,Показатели!$E:$W,7,FALSE)=0,"",VLOOKUP($B13,Показатели!$E:$W,7,FALSE)),"")</f>
        <v>1855947000000</v>
      </c>
      <c r="K13">
        <f>IFERROR(IF(VLOOKUP($B13,Показатели!$E:$W,8,FALSE)=0,"",VLOOKUP($B13,Показатели!$E:$W,8,FALSE)),"")</f>
        <v>3201502000000</v>
      </c>
      <c r="L13">
        <f>IFERROR(IF(VLOOKUP($B13,Показатели!$E:$W,9,FALSE)=0,"",VLOOKUP($B13,Показатели!$E:$W,9,FALSE)),"")</f>
        <v>9595283000000</v>
      </c>
      <c r="M13">
        <f>IFERROR(IF(VLOOKUP($B13,Показатели!$E:$W,10,FALSE)=0,"",VLOOKUP($B13,Показатели!$E:$W,10,FALSE)),"")</f>
        <v>10120021000000</v>
      </c>
      <c r="N13">
        <f>IFERROR(IF(VLOOKUP($B13,Показатели!$E:$W,11,FALSE)=0,"",VLOOKUP($B13,Показатели!$E:$W,11,FALSE)),"")</f>
        <v>5589811000000</v>
      </c>
      <c r="O13">
        <f>IFERROR(IF(VLOOKUP($B13,Показатели!$E:$W,12,FALSE)=0,"",VLOOKUP($B13,Показатели!$E:$W,12,FALSE)),"")</f>
        <v>1310424000000</v>
      </c>
      <c r="P13">
        <f>IFERROR(IF(VLOOKUP($B13,Показатели!$E:$W,13,FALSE)=0,"",VLOOKUP($B13,Показатели!$E:$W,13,FALSE)),"")</f>
        <v>306823000000</v>
      </c>
      <c r="Q13">
        <f>IFERROR(IF(VLOOKUP($B13,Показатели!$E:$W,14,FALSE)=0,"",VLOOKUP($B13,Показатели!$E:$W,14,FALSE)),"")</f>
        <v>157192000000</v>
      </c>
      <c r="R13" t="str">
        <f>IFERROR(IF(VLOOKUP($B13,Показатели!$E:$W,15,FALSE)=0,"",VLOOKUP($B13,Показатели!$E:$W,15,FALSE)),"")</f>
        <v/>
      </c>
      <c r="S13">
        <f>IFERROR(IF(VLOOKUP($B13,Показатели!$E:$W,16,FALSE)=0,"",VLOOKUP($B13,Показатели!$E:$W,16,FALSE)),"")</f>
        <v>1962558000000</v>
      </c>
      <c r="T13">
        <f>IFERROR(IF(VLOOKUP($B13,Показатели!$E:$W,17,FALSE)=0,"",VLOOKUP($B13,Показатели!$E:$W,17,FALSE)),"")</f>
        <v>1262140000000</v>
      </c>
      <c r="U13">
        <f>IFERROR(IF(VLOOKUP($B13,Показатели!$E:$W,18,FALSE)=0,"",VLOOKUP($B13,Показатели!$E:$W,18,FALSE)),"")</f>
        <v>5249965000000</v>
      </c>
      <c r="V13">
        <f>IFERROR(IF(VLOOKUP($B13,Показатели!$E:$W,19,FALSE)=0,"",VLOOKUP($B13,Показатели!$E:$W,19,FALSE)),"")</f>
        <v>13436236000000</v>
      </c>
    </row>
    <row r="14" spans="1:22" x14ac:dyDescent="0.2">
      <c r="A14" s="7" t="s">
        <v>2173</v>
      </c>
      <c r="B14" t="str">
        <f t="shared" si="0"/>
        <v>GAZP IV кв. 2013</v>
      </c>
      <c r="C14">
        <v>2013</v>
      </c>
      <c r="D14">
        <f>SUMIFS(Дивиденды!$C:$C,Дивиденды!$A:$A,A14,Дивиденды!$I:$I,C14)</f>
        <v>7.2</v>
      </c>
      <c r="E14">
        <f>IFERROR(IF(VLOOKUP($B14,Показатели!$E:$W,2,FALSE)=0,"",VLOOKUP($B14,Показатели!$E:$W,2,FALSE)),"")</f>
        <v>689130000000</v>
      </c>
      <c r="F14">
        <f>IFERROR(IF(VLOOKUP($B14,Показатели!$E:$W,3,FALSE)=0,"",VLOOKUP($B14,Показатели!$E:$W,3,FALSE)),"")</f>
        <v>2862670000000</v>
      </c>
      <c r="G14">
        <f>IFERROR(IF(VLOOKUP($B14,Показатели!$E:$W,4,FALSE)=0,"",VLOOKUP($B14,Показатели!$E:$W,4,FALSE)),"")</f>
        <v>8940088000000</v>
      </c>
      <c r="H14" t="str">
        <f>IFERROR(IF(VLOOKUP($B14,Показатели!$E:$W,5,FALSE)=0,"",VLOOKUP($B14,Показатели!$E:$W,5,FALSE)),"")</f>
        <v/>
      </c>
      <c r="I14">
        <f>IFERROR(IF(VLOOKUP($B14,Показатели!$E:$W,6,FALSE)=0,"",VLOOKUP($B14,Показатели!$E:$W,6,FALSE)),"")</f>
        <v>13436236000000</v>
      </c>
      <c r="J14">
        <f>IFERROR(IF(VLOOKUP($B14,Показатели!$E:$W,7,FALSE)=0,"",VLOOKUP($B14,Показатели!$E:$W,7,FALSE)),"")</f>
        <v>1391465000000</v>
      </c>
      <c r="K14">
        <f>IFERROR(IF(VLOOKUP($B14,Показатели!$E:$W,8,FALSE)=0,"",VLOOKUP($B14,Показатели!$E:$W,8,FALSE)),"")</f>
        <v>2410417000000</v>
      </c>
      <c r="L14">
        <f>IFERROR(IF(VLOOKUP($B14,Показатели!$E:$W,9,FALSE)=0,"",VLOOKUP($B14,Показатели!$E:$W,9,FALSE)),"")</f>
        <v>9098315000000</v>
      </c>
      <c r="M14">
        <f>IFERROR(IF(VLOOKUP($B14,Показатели!$E:$W,10,FALSE)=0,"",VLOOKUP($B14,Показатели!$E:$W,10,FALSE)),"")</f>
        <v>9634354000000</v>
      </c>
      <c r="N14">
        <f>IFERROR(IF(VLOOKUP($B14,Показатели!$E:$W,11,FALSE)=0,"",VLOOKUP($B14,Показатели!$E:$W,11,FALSE)),"")</f>
        <v>5249965000000</v>
      </c>
      <c r="O14" t="str">
        <f>IFERROR(IF(VLOOKUP($B14,Показатели!$E:$W,12,FALSE)=0,"",VLOOKUP($B14,Показатели!$E:$W,12,FALSE)),"")</f>
        <v/>
      </c>
      <c r="P14">
        <f>IFERROR(IF(VLOOKUP($B14,Показатели!$E:$W,13,FALSE)=0,"",VLOOKUP($B14,Показатели!$E:$W,13,FALSE)),"")</f>
        <v>1486083000000</v>
      </c>
      <c r="Q14">
        <f>IFERROR(IF(VLOOKUP($B14,Показатели!$E:$W,14,FALSE)=0,"",VLOOKUP($B14,Показатели!$E:$W,14,FALSE)),"")</f>
        <v>1165705000000</v>
      </c>
      <c r="R14" t="str">
        <f>IFERROR(IF(VLOOKUP($B14,Показатели!$E:$W,15,FALSE)=0,"",VLOOKUP($B14,Показатели!$E:$W,15,FALSE)),"")</f>
        <v/>
      </c>
      <c r="S14">
        <f>IFERROR(IF(VLOOKUP($B14,Показатели!$E:$W,16,FALSE)=0,"",VLOOKUP($B14,Показатели!$E:$W,16,FALSE)),"")</f>
        <v>2009000000000</v>
      </c>
      <c r="T14" t="str">
        <f>IFERROR(IF(VLOOKUP($B14,Показатели!$E:$W,17,FALSE)=0,"",VLOOKUP($B14,Показатели!$E:$W,17,FALSE)),"")</f>
        <v/>
      </c>
      <c r="U14">
        <f>IFERROR(IF(VLOOKUP($B14,Показатели!$E:$W,18,FALSE)=0,"",VLOOKUP($B14,Показатели!$E:$W,18,FALSE)),"")</f>
        <v>4764411000000</v>
      </c>
      <c r="V14">
        <f>IFERROR(IF(VLOOKUP($B14,Показатели!$E:$W,19,FALSE)=0,"",VLOOKUP($B14,Показатели!$E:$W,19,FALSE)),"")</f>
        <v>12068139000000</v>
      </c>
    </row>
    <row r="15" spans="1:22" x14ac:dyDescent="0.2">
      <c r="A15" s="7" t="s">
        <v>2173</v>
      </c>
      <c r="B15" t="str">
        <f t="shared" si="0"/>
        <v>GAZP IV кв. 2012</v>
      </c>
      <c r="C15">
        <v>2012</v>
      </c>
      <c r="D15">
        <f>SUMIFS(Дивиденды!$C:$C,Дивиденды!$A:$A,A15,Дивиденды!$I:$I,C15)</f>
        <v>5.99</v>
      </c>
      <c r="E15">
        <f>IFERROR(IF(VLOOKUP($B15,Показатели!$E:$W,2,FALSE)=0,"",VLOOKUP($B15,Показатели!$E:$W,2,FALSE)),"")</f>
        <v>423194000000</v>
      </c>
      <c r="F15">
        <f>IFERROR(IF(VLOOKUP($B15,Показатели!$E:$W,3,FALSE)=0,"",VLOOKUP($B15,Показатели!$E:$W,3,FALSE)),"")</f>
        <v>2408746000000</v>
      </c>
      <c r="G15">
        <f>IFERROR(IF(VLOOKUP($B15,Показатели!$E:$W,4,FALSE)=0,"",VLOOKUP($B15,Показатели!$E:$W,4,FALSE)),"")</f>
        <v>7818392000000</v>
      </c>
      <c r="H15" t="str">
        <f>IFERROR(IF(VLOOKUP($B15,Показатели!$E:$W,5,FALSE)=0,"",VLOOKUP($B15,Показатели!$E:$W,5,FALSE)),"")</f>
        <v/>
      </c>
      <c r="I15">
        <f>IFERROR(IF(VLOOKUP($B15,Показатели!$E:$W,6,FALSE)=0,"",VLOOKUP($B15,Показатели!$E:$W,6,FALSE)),"")</f>
        <v>12068139000000</v>
      </c>
      <c r="J15">
        <f>IFERROR(IF(VLOOKUP($B15,Показатели!$E:$W,7,FALSE)=0,"",VLOOKUP($B15,Показатели!$E:$W,7,FALSE)),"")</f>
        <v>1489817000000</v>
      </c>
      <c r="K15">
        <f>IFERROR(IF(VLOOKUP($B15,Показатели!$E:$W,8,FALSE)=0,"",VLOOKUP($B15,Показатели!$E:$W,8,FALSE)),"")</f>
        <v>1877228000000</v>
      </c>
      <c r="L15">
        <f>IFERROR(IF(VLOOKUP($B15,Показатели!$E:$W,9,FALSE)=0,"",VLOOKUP($B15,Показатели!$E:$W,9,FALSE)),"")</f>
        <v>8170631000000</v>
      </c>
      <c r="M15">
        <f>IFERROR(IF(VLOOKUP($B15,Показатели!$E:$W,10,FALSE)=0,"",VLOOKUP($B15,Показатели!$E:$W,10,FALSE)),"")</f>
        <v>8701094000000</v>
      </c>
      <c r="N15">
        <f>IFERROR(IF(VLOOKUP($B15,Показатели!$E:$W,11,FALSE)=0,"",VLOOKUP($B15,Показатели!$E:$W,11,FALSE)),"")</f>
        <v>4764411000000</v>
      </c>
      <c r="O15">
        <f>IFERROR(IF(VLOOKUP($B15,Показатели!$E:$W,12,FALSE)=0,"",VLOOKUP($B15,Показатели!$E:$W,12,FALSE)),"")</f>
        <v>1289176000000</v>
      </c>
      <c r="P15">
        <f>IFERROR(IF(VLOOKUP($B15,Показатели!$E:$W,13,FALSE)=0,"",VLOOKUP($B15,Показатели!$E:$W,13,FALSE)),"")</f>
        <v>1511955000000</v>
      </c>
      <c r="Q15">
        <f>IFERROR(IF(VLOOKUP($B15,Показатели!$E:$W,14,FALSE)=0,"",VLOOKUP($B15,Показатели!$E:$W,14,FALSE)),"")</f>
        <v>1210566000000</v>
      </c>
      <c r="R15" t="str">
        <f>IFERROR(IF(VLOOKUP($B15,Показатели!$E:$W,15,FALSE)=0,"",VLOOKUP($B15,Показатели!$E:$W,15,FALSE)),"")</f>
        <v/>
      </c>
      <c r="S15" t="str">
        <f>IFERROR(IF(VLOOKUP($B15,Показатели!$E:$W,16,FALSE)=0,"",VLOOKUP($B15,Показатели!$E:$W,16,FALSE)),"")</f>
        <v/>
      </c>
      <c r="T15">
        <f>IFERROR(IF(VLOOKUP($B15,Показатели!$E:$W,17,FALSE)=0,"",VLOOKUP($B15,Показатели!$E:$W,17,FALSE)),"")</f>
        <v>-1339878000000</v>
      </c>
      <c r="U15">
        <f>IFERROR(IF(VLOOKUP($B15,Показатели!$E:$W,18,FALSE)=0,"",VLOOKUP($B15,Показатели!$E:$W,18,FALSE)),"")</f>
        <v>4637090000000</v>
      </c>
      <c r="V15">
        <f>IFERROR(IF(VLOOKUP($B15,Показатели!$E:$W,19,FALSE)=0,"",VLOOKUP($B15,Показатели!$E:$W,19,FALSE)),"")</f>
        <v>10900696000000</v>
      </c>
    </row>
    <row r="16" spans="1:22" x14ac:dyDescent="0.2">
      <c r="A16" s="7" t="s">
        <v>2173</v>
      </c>
      <c r="B16" t="str">
        <f t="shared" si="0"/>
        <v>GAZP IV кв. 2011</v>
      </c>
      <c r="C16">
        <v>2011</v>
      </c>
      <c r="D16">
        <f>SUMIFS(Дивиденды!$C:$C,Дивиденды!$A:$A,A16,Дивиденды!$I:$I,C16)</f>
        <v>8.9700000000000006</v>
      </c>
      <c r="E16">
        <f>IFERROR(IF(VLOOKUP($B16,Показатели!$E:$W,2,FALSE)=0,"",VLOOKUP($B16,Показатели!$E:$W,2,FALSE)),"")</f>
        <v>501344000000</v>
      </c>
      <c r="F16">
        <f>IFERROR(IF(VLOOKUP($B16,Показатели!$E:$W,3,FALSE)=0,"",VLOOKUP($B16,Показатели!$E:$W,3,FALSE)),"")</f>
        <v>2240293000000</v>
      </c>
      <c r="G16">
        <f>IFERROR(IF(VLOOKUP($B16,Показатели!$E:$W,4,FALSE)=0,"",VLOOKUP($B16,Показатели!$E:$W,4,FALSE)),"")</f>
        <v>6718575000000</v>
      </c>
      <c r="H16" t="str">
        <f>IFERROR(IF(VLOOKUP($B16,Показатели!$E:$W,5,FALSE)=0,"",VLOOKUP($B16,Показатели!$E:$W,5,FALSE)),"")</f>
        <v/>
      </c>
      <c r="I16">
        <f>IFERROR(IF(VLOOKUP($B16,Показатели!$E:$W,6,FALSE)=0,"",VLOOKUP($B16,Показатели!$E:$W,6,FALSE)),"")</f>
        <v>10900696000000</v>
      </c>
      <c r="J16">
        <f>IFERROR(IF(VLOOKUP($B16,Показатели!$E:$W,7,FALSE)=0,"",VLOOKUP($B16,Показатели!$E:$W,7,FALSE)),"")</f>
        <v>1309255000000</v>
      </c>
      <c r="K16">
        <f>IFERROR(IF(VLOOKUP($B16,Показатели!$E:$W,8,FALSE)=0,"",VLOOKUP($B16,Показатели!$E:$W,8,FALSE)),"")</f>
        <v>1830450000000</v>
      </c>
      <c r="L16">
        <f>IFERROR(IF(VLOOKUP($B16,Показатели!$E:$W,9,FALSE)=0,"",VLOOKUP($B16,Показатели!$E:$W,9,FALSE)),"")</f>
        <v>7242982000000</v>
      </c>
      <c r="M16">
        <f>IFERROR(IF(VLOOKUP($B16,Показатели!$E:$W,10,FALSE)=0,"",VLOOKUP($B16,Показатели!$E:$W,10,FALSE)),"")</f>
        <v>7760991000000</v>
      </c>
      <c r="N16">
        <f>IFERROR(IF(VLOOKUP($B16,Показатели!$E:$W,11,FALSE)=0,"",VLOOKUP($B16,Показатели!$E:$W,11,FALSE)),"")</f>
        <v>4637090000000</v>
      </c>
      <c r="O16">
        <f>IFERROR(IF(VLOOKUP($B16,Показатели!$E:$W,12,FALSE)=0,"",VLOOKUP($B16,Показатели!$E:$W,12,FALSE)),"")</f>
        <v>1656843000000</v>
      </c>
      <c r="P16">
        <f>IFERROR(IF(VLOOKUP($B16,Показатели!$E:$W,13,FALSE)=0,"",VLOOKUP($B16,Показатели!$E:$W,13,FALSE)),"")</f>
        <v>1679936000000</v>
      </c>
      <c r="Q16">
        <f>IFERROR(IF(VLOOKUP($B16,Показатели!$E:$W,14,FALSE)=0,"",VLOOKUP($B16,Показатели!$E:$W,14,FALSE)),"")</f>
        <v>1342442000000</v>
      </c>
      <c r="R16" t="str">
        <f>IFERROR(IF(VLOOKUP($B16,Показатели!$E:$W,15,FALSE)=0,"",VLOOKUP($B16,Показатели!$E:$W,15,FALSE)),"")</f>
        <v/>
      </c>
      <c r="S16">
        <f>IFERROR(IF(VLOOKUP($B16,Показатели!$E:$W,16,FALSE)=0,"",VLOOKUP($B16,Показатели!$E:$W,16,FALSE)),"")</f>
        <v>1930533000000</v>
      </c>
      <c r="T16" t="str">
        <f>IFERROR(IF(VLOOKUP($B16,Показатели!$E:$W,17,FALSE)=0,"",VLOOKUP($B16,Показатели!$E:$W,17,FALSE)),"")</f>
        <v/>
      </c>
      <c r="U16">
        <f>IFERROR(IF(VLOOKUP($B16,Показатели!$E:$W,18,FALSE)=0,"",VLOOKUP($B16,Показатели!$E:$W,18,FALSE)),"")</f>
        <v>3597054000000</v>
      </c>
      <c r="V16">
        <f>IFERROR(IF(VLOOKUP($B16,Показатели!$E:$W,19,FALSE)=0,"",VLOOKUP($B16,Показатели!$E:$W,19,FALSE)),"")</f>
        <v>9235993000000</v>
      </c>
    </row>
    <row r="17" spans="1:22" x14ac:dyDescent="0.2">
      <c r="A17" s="7" t="s">
        <v>2173</v>
      </c>
      <c r="B17" t="str">
        <f t="shared" si="0"/>
        <v>GAZP IV кв. 2010</v>
      </c>
      <c r="C17">
        <v>2010</v>
      </c>
      <c r="D17">
        <f>SUMIFS(Дивиденды!$C:$C,Дивиденды!$A:$A,A17,Дивиденды!$I:$I,C17)</f>
        <v>3.85</v>
      </c>
      <c r="E17">
        <f>IFERROR(IF(VLOOKUP($B17,Показатели!$E:$W,2,FALSE)=0,"",VLOOKUP($B17,Показатели!$E:$W,2,FALSE)),"")</f>
        <v>440786000000</v>
      </c>
      <c r="F17">
        <f>IFERROR(IF(VLOOKUP($B17,Показатели!$E:$W,3,FALSE)=0,"",VLOOKUP($B17,Показатели!$E:$W,3,FALSE)),"")</f>
        <v>1865895000000</v>
      </c>
      <c r="G17">
        <f>IFERROR(IF(VLOOKUP($B17,Показатели!$E:$W,4,FALSE)=0,"",VLOOKUP($B17,Показатели!$E:$W,4,FALSE)),"")</f>
        <v>5486429000000</v>
      </c>
      <c r="H17" t="str">
        <f>IFERROR(IF(VLOOKUP($B17,Показатели!$E:$W,5,FALSE)=0,"",VLOOKUP($B17,Показатели!$E:$W,5,FALSE)),"")</f>
        <v/>
      </c>
      <c r="I17">
        <f>IFERROR(IF(VLOOKUP($B17,Показатели!$E:$W,6,FALSE)=0,"",VLOOKUP($B17,Показатели!$E:$W,6,FALSE)),"")</f>
        <v>9235993000000</v>
      </c>
      <c r="J17">
        <f>IFERROR(IF(VLOOKUP($B17,Показатели!$E:$W,7,FALSE)=0,"",VLOOKUP($B17,Показатели!$E:$W,7,FALSE)),"")</f>
        <v>1011261000000</v>
      </c>
      <c r="K17">
        <f>IFERROR(IF(VLOOKUP($B17,Показатели!$E:$W,8,FALSE)=0,"",VLOOKUP($B17,Показатели!$E:$W,8,FALSE)),"")</f>
        <v>1688371000000</v>
      </c>
      <c r="L17">
        <f>IFERROR(IF(VLOOKUP($B17,Показатели!$E:$W,9,FALSE)=0,"",VLOOKUP($B17,Показатели!$E:$W,9,FALSE)),"")</f>
        <v>6028543000000</v>
      </c>
      <c r="M17">
        <f>IFERROR(IF(VLOOKUP($B17,Показатели!$E:$W,10,FALSE)=0,"",VLOOKUP($B17,Показатели!$E:$W,10,FALSE)),"")</f>
        <v>6536361000000</v>
      </c>
      <c r="N17">
        <f>IFERROR(IF(VLOOKUP($B17,Показатели!$E:$W,11,FALSE)=0,"",VLOOKUP($B17,Показатели!$E:$W,11,FALSE)),"")</f>
        <v>3597054000000</v>
      </c>
      <c r="O17">
        <f>IFERROR(IF(VLOOKUP($B17,Показатели!$E:$W,12,FALSE)=0,"",VLOOKUP($B17,Показатели!$E:$W,12,FALSE)),"")</f>
        <v>1113822000000</v>
      </c>
      <c r="P17">
        <f>IFERROR(IF(VLOOKUP($B17,Показатели!$E:$W,13,FALSE)=0,"",VLOOKUP($B17,Показатели!$E:$W,13,FALSE)),"")</f>
        <v>1273703000000</v>
      </c>
      <c r="Q17">
        <f>IFERROR(IF(VLOOKUP($B17,Показатели!$E:$W,14,FALSE)=0,"",VLOOKUP($B17,Показатели!$E:$W,14,FALSE)),"")</f>
        <v>997993000000</v>
      </c>
      <c r="R17" t="str">
        <f>IFERROR(IF(VLOOKUP($B17,Показатели!$E:$W,15,FALSE)=0,"",VLOOKUP($B17,Показатели!$E:$W,15,FALSE)),"")</f>
        <v/>
      </c>
      <c r="S17">
        <f>IFERROR(IF(VLOOKUP($B17,Показатели!$E:$W,16,FALSE)=0,"",VLOOKUP($B17,Показатели!$E:$W,16,FALSE)),"")</f>
        <v>1363778000000</v>
      </c>
      <c r="T17" t="str">
        <f>IFERROR(IF(VLOOKUP($B17,Показатели!$E:$W,17,FALSE)=0,"",VLOOKUP($B17,Показатели!$E:$W,17,FALSE)),"")</f>
        <v/>
      </c>
      <c r="U17" t="str">
        <f>IFERROR(IF(VLOOKUP($B17,Показатели!$E:$W,18,FALSE)=0,"",VLOOKUP($B17,Показатели!$E:$W,18,FALSE)),"")</f>
        <v/>
      </c>
      <c r="V17" t="str">
        <f>IFERROR(IF(VLOOKUP($B17,Показатели!$E:$W,19,FALSE)=0,"",VLOOKUP($B17,Показатели!$E:$W,19,FALSE)),"")</f>
        <v/>
      </c>
    </row>
    <row r="18" spans="1:22" x14ac:dyDescent="0.2">
      <c r="A18" s="7" t="s">
        <v>2178</v>
      </c>
      <c r="B18" t="str">
        <f t="shared" si="0"/>
        <v>LKOH IV кв. 2025</v>
      </c>
      <c r="C18">
        <v>2025</v>
      </c>
      <c r="D18">
        <f>SUMIFS(Дивиденды!$C:$C,Дивиденды!$A:$A,A18,Дивиденды!$I:$I,C18)</f>
        <v>397</v>
      </c>
      <c r="E18">
        <f>IFERROR(IF(VLOOKUP($B18,Показатели!$E:$W,2,FALSE)=0,"",VLOOKUP($B18,Показатели!$E:$W,2,FALSE)),"")</f>
        <v>543815000000</v>
      </c>
      <c r="F18">
        <f>IFERROR(IF(VLOOKUP($B18,Показатели!$E:$W,3,FALSE)=0,"",VLOOKUP($B18,Показатели!$E:$W,3,FALSE)),"")</f>
        <v>1128446000000</v>
      </c>
      <c r="G18">
        <f>IFERROR(IF(VLOOKUP($B18,Показатели!$E:$W,4,FALSE)=0,"",VLOOKUP($B18,Показатели!$E:$W,4,FALSE)),"")</f>
        <v>3754828000000</v>
      </c>
      <c r="H18">
        <f>IFERROR(IF(VLOOKUP($B18,Показатели!$E:$W,5,FALSE)=0,"",VLOOKUP($B18,Показатели!$E:$W,5,FALSE)),"")</f>
        <v>93327000000</v>
      </c>
      <c r="I18">
        <f>IFERROR(IF(VLOOKUP($B18,Показатели!$E:$W,6,FALSE)=0,"",VLOOKUP($B18,Показатели!$E:$W,6,FALSE)),"")</f>
        <v>5474421000000</v>
      </c>
      <c r="J18">
        <f>IFERROR(IF(VLOOKUP($B18,Показатели!$E:$W,7,FALSE)=0,"",VLOOKUP($B18,Показатели!$E:$W,7,FALSE)),"")</f>
        <v>1222340000000</v>
      </c>
      <c r="K18">
        <f>IFERROR(IF(VLOOKUP($B18,Показатели!$E:$W,8,FALSE)=0,"",VLOOKUP($B18,Показатели!$E:$W,8,FALSE)),"")</f>
        <v>625628000000</v>
      </c>
      <c r="L18">
        <f>IFERROR(IF(VLOOKUP($B18,Показатели!$E:$W,9,FALSE)=0,"",VLOOKUP($B18,Показатели!$E:$W,9,FALSE)),"")</f>
        <v>4072539000000</v>
      </c>
      <c r="M18">
        <f>IFERROR(IF(VLOOKUP($B18,Показатели!$E:$W,10,FALSE)=0,"",VLOOKUP($B18,Показатели!$E:$W,10,FALSE)),"")</f>
        <v>3626453000000</v>
      </c>
      <c r="N18">
        <f>IFERROR(IF(VLOOKUP($B18,Показатели!$E:$W,11,FALSE)=0,"",VLOOKUP($B18,Показатели!$E:$W,11,FALSE)),"")</f>
        <v>3767768000000</v>
      </c>
      <c r="O18">
        <f>IFERROR(IF(VLOOKUP($B18,Показатели!$E:$W,12,FALSE)=0,"",VLOOKUP($B18,Показатели!$E:$W,12,FALSE)),"")</f>
        <v>526646000000</v>
      </c>
      <c r="P18">
        <f>IFERROR(IF(VLOOKUP($B18,Показатели!$E:$W,13,FALSE)=0,"",VLOOKUP($B18,Показатели!$E:$W,13,FALSE)),"")</f>
        <v>219317000000</v>
      </c>
      <c r="Q18">
        <f>IFERROR(IF(VLOOKUP($B18,Показатели!$E:$W,14,FALSE)=0,"",VLOOKUP($B18,Показатели!$E:$W,14,FALSE)),"")</f>
        <v>-1059859000000</v>
      </c>
      <c r="R18">
        <f>IFERROR(IF(VLOOKUP($B18,Показатели!$E:$W,15,FALSE)=0,"",VLOOKUP($B18,Показатели!$E:$W,15,FALSE)),"")</f>
        <v>522714000000</v>
      </c>
      <c r="S18">
        <f>IFERROR(IF(VLOOKUP($B18,Показатели!$E:$W,16,FALSE)=0,"",VLOOKUP($B18,Показатели!$E:$W,16,FALSE)),"")</f>
        <v>892086000000</v>
      </c>
      <c r="T18">
        <f>IFERROR(IF(VLOOKUP($B18,Показатели!$E:$W,17,FALSE)=0,"",VLOOKUP($B18,Показатели!$E:$W,17,FALSE)),"")</f>
        <v>-774550000000</v>
      </c>
      <c r="U18">
        <f>IFERROR(IF(VLOOKUP($B18,Показатели!$E:$W,18,FALSE)=0,"",VLOOKUP($B18,Показатели!$E:$W,18,FALSE)),"")</f>
        <v>8621561000000</v>
      </c>
      <c r="V18">
        <f>IFERROR(IF(VLOOKUP($B18,Показатели!$E:$W,19,FALSE)=0,"",VLOOKUP($B18,Показатели!$E:$W,19,FALSE)),"")</f>
        <v>9282619000000</v>
      </c>
    </row>
    <row r="19" spans="1:22" x14ac:dyDescent="0.2">
      <c r="A19" s="7" t="s">
        <v>2178</v>
      </c>
      <c r="B19" t="str">
        <f t="shared" si="0"/>
        <v>LKOH IV кв. 2024</v>
      </c>
      <c r="C19">
        <v>2024</v>
      </c>
      <c r="D19">
        <f>SUMIFS(Дивиденды!$C:$C,Дивиденды!$A:$A,A19,Дивиденды!$I:$I,C19)</f>
        <v>1055</v>
      </c>
      <c r="E19">
        <f>IFERROR(IF(VLOOKUP($B19,Показатели!$E:$W,2,FALSE)=0,"",VLOOKUP($B19,Показатели!$E:$W,2,FALSE)),"")</f>
        <v>1426264000000</v>
      </c>
      <c r="F19">
        <f>IFERROR(IF(VLOOKUP($B19,Показатели!$E:$W,3,FALSE)=0,"",VLOOKUP($B19,Показатели!$E:$W,3,FALSE)),"")</f>
        <v>3309453000000</v>
      </c>
      <c r="G19">
        <f>IFERROR(IF(VLOOKUP($B19,Показатели!$E:$W,4,FALSE)=0,"",VLOOKUP($B19,Показатели!$E:$W,4,FALSE)),"")</f>
        <v>5016584000000</v>
      </c>
      <c r="H19">
        <f>IFERROR(IF(VLOOKUP($B19,Показатели!$E:$W,5,FALSE)=0,"",VLOOKUP($B19,Показатели!$E:$W,5,FALSE)),"")</f>
        <v>94622000000</v>
      </c>
      <c r="I19">
        <f>IFERROR(IF(VLOOKUP($B19,Показатели!$E:$W,6,FALSE)=0,"",VLOOKUP($B19,Показатели!$E:$W,6,FALSE)),"")</f>
        <v>9282619000000</v>
      </c>
      <c r="J19">
        <f>IFERROR(IF(VLOOKUP($B19,Показатели!$E:$W,7,FALSE)=0,"",VLOOKUP($B19,Показатели!$E:$W,7,FALSE)),"")</f>
        <v>1486739000000</v>
      </c>
      <c r="K19">
        <f>IFERROR(IF(VLOOKUP($B19,Показатели!$E:$W,8,FALSE)=0,"",VLOOKUP($B19,Показатели!$E:$W,8,FALSE)),"")</f>
        <v>903872000000</v>
      </c>
      <c r="L19">
        <f>IFERROR(IF(VLOOKUP($B19,Показатели!$E:$W,9,FALSE)=0,"",VLOOKUP($B19,Показатели!$E:$W,9,FALSE)),"")</f>
        <v>5713233000000</v>
      </c>
      <c r="M19">
        <f>IFERROR(IF(VLOOKUP($B19,Показатели!$E:$W,10,FALSE)=0,"",VLOOKUP($B19,Показатели!$E:$W,10,FALSE)),"")</f>
        <v>6892008000000</v>
      </c>
      <c r="N19">
        <f>IFERROR(IF(VLOOKUP($B19,Показатели!$E:$W,11,FALSE)=0,"",VLOOKUP($B19,Показатели!$E:$W,11,FALSE)),"")</f>
        <v>8621561000000</v>
      </c>
      <c r="O19">
        <f>IFERROR(IF(VLOOKUP($B19,Показатели!$E:$W,12,FALSE)=0,"",VLOOKUP($B19,Показатели!$E:$W,12,FALSE)),"")</f>
        <v>1191817000000</v>
      </c>
      <c r="P19">
        <f>IFERROR(IF(VLOOKUP($B19,Показатели!$E:$W,13,FALSE)=0,"",VLOOKUP($B19,Показатели!$E:$W,13,FALSE)),"")</f>
        <v>1202833000000</v>
      </c>
      <c r="Q19">
        <f>IFERROR(IF(VLOOKUP($B19,Показатели!$E:$W,14,FALSE)=0,"",VLOOKUP($B19,Показатели!$E:$W,14,FALSE)),"")</f>
        <v>851546000000</v>
      </c>
      <c r="R19">
        <f>IFERROR(IF(VLOOKUP($B19,Показатели!$E:$W,15,FALSE)=0,"",VLOOKUP($B19,Показатели!$E:$W,15,FALSE)),"")</f>
        <v>593446000000</v>
      </c>
      <c r="S19">
        <f>IFERROR(IF(VLOOKUP($B19,Показатели!$E:$W,16,FALSE)=0,"",VLOOKUP($B19,Показатели!$E:$W,16,FALSE)),"")</f>
        <v>1785263000000</v>
      </c>
      <c r="T19">
        <f>IFERROR(IF(VLOOKUP($B19,Показатели!$E:$W,17,FALSE)=0,"",VLOOKUP($B19,Показатели!$E:$W,17,FALSE)),"")</f>
        <v>-779724000000</v>
      </c>
      <c r="U19">
        <f>IFERROR(IF(VLOOKUP($B19,Показатели!$E:$W,18,FALSE)=0,"",VLOOKUP($B19,Показатели!$E:$W,18,FALSE)),"")</f>
        <v>7928303000000</v>
      </c>
      <c r="V19">
        <f>IFERROR(IF(VLOOKUP($B19,Показатели!$E:$W,19,FALSE)=0,"",VLOOKUP($B19,Показатели!$E:$W,19,FALSE)),"")</f>
        <v>8600173000000</v>
      </c>
    </row>
    <row r="20" spans="1:22" x14ac:dyDescent="0.2">
      <c r="A20" s="7" t="s">
        <v>2178</v>
      </c>
      <c r="B20" t="str">
        <f t="shared" si="0"/>
        <v>LKOH IV кв. 2023</v>
      </c>
      <c r="C20">
        <v>2023</v>
      </c>
      <c r="D20">
        <f>SUMIFS(Дивиденды!$C:$C,Дивиденды!$A:$A,A20,Дивиденды!$I:$I,C20)</f>
        <v>945</v>
      </c>
      <c r="E20">
        <f>IFERROR(IF(VLOOKUP($B20,Показатели!$E:$W,2,FALSE)=0,"",VLOOKUP($B20,Показатели!$E:$W,2,FALSE)),"")</f>
        <v>1179673000000</v>
      </c>
      <c r="F20">
        <f>IFERROR(IF(VLOOKUP($B20,Показатели!$E:$W,3,FALSE)=0,"",VLOOKUP($B20,Показатели!$E:$W,3,FALSE)),"")</f>
        <v>2994282000000</v>
      </c>
      <c r="G20">
        <f>IFERROR(IF(VLOOKUP($B20,Показатели!$E:$W,4,FALSE)=0,"",VLOOKUP($B20,Показатели!$E:$W,4,FALSE)),"")</f>
        <v>4723002000000</v>
      </c>
      <c r="H20">
        <f>IFERROR(IF(VLOOKUP($B20,Показатели!$E:$W,5,FALSE)=0,"",VLOOKUP($B20,Показатели!$E:$W,5,FALSE)),"")</f>
        <v>77413000000</v>
      </c>
      <c r="I20">
        <f>IFERROR(IF(VLOOKUP($B20,Показатели!$E:$W,6,FALSE)=0,"",VLOOKUP($B20,Показатели!$E:$W,6,FALSE)),"")</f>
        <v>8600173000000</v>
      </c>
      <c r="J20">
        <f>IFERROR(IF(VLOOKUP($B20,Показатели!$E:$W,7,FALSE)=0,"",VLOOKUP($B20,Показатели!$E:$W,7,FALSE)),"")</f>
        <v>1441830000000</v>
      </c>
      <c r="K20">
        <f>IFERROR(IF(VLOOKUP($B20,Показатели!$E:$W,8,FALSE)=0,"",VLOOKUP($B20,Показатели!$E:$W,8,FALSE)),"")</f>
        <v>757110000000</v>
      </c>
      <c r="L20">
        <f>IFERROR(IF(VLOOKUP($B20,Показатели!$E:$W,9,FALSE)=0,"",VLOOKUP($B20,Показатели!$E:$W,9,FALSE)),"")</f>
        <v>5558875000000</v>
      </c>
      <c r="M20">
        <f>IFERROR(IF(VLOOKUP($B20,Показатели!$E:$W,10,FALSE)=0,"",VLOOKUP($B20,Показатели!$E:$W,10,FALSE)),"")</f>
        <v>6401233000000</v>
      </c>
      <c r="N20">
        <f>IFERROR(IF(VLOOKUP($B20,Показатели!$E:$W,11,FALSE)=0,"",VLOOKUP($B20,Показатели!$E:$W,11,FALSE)),"")</f>
        <v>7928303000000</v>
      </c>
      <c r="O20">
        <f>IFERROR(IF(VLOOKUP($B20,Показатели!$E:$W,12,FALSE)=0,"",VLOOKUP($B20,Показатели!$E:$W,12,FALSE)),"")</f>
        <v>1427697000000</v>
      </c>
      <c r="P20">
        <f>IFERROR(IF(VLOOKUP($B20,Показатели!$E:$W,13,FALSE)=0,"",VLOOKUP($B20,Показатели!$E:$W,13,FALSE)),"")</f>
        <v>1408350000000</v>
      </c>
      <c r="Q20">
        <f>IFERROR(IF(VLOOKUP($B20,Показатели!$E:$W,14,FALSE)=0,"",VLOOKUP($B20,Показатели!$E:$W,14,FALSE)),"")</f>
        <v>1160271000000</v>
      </c>
      <c r="R20">
        <f>IFERROR(IF(VLOOKUP($B20,Показатели!$E:$W,15,FALSE)=0,"",VLOOKUP($B20,Показатели!$E:$W,15,FALSE)),"")</f>
        <v>577367000000</v>
      </c>
      <c r="S20">
        <f>IFERROR(IF(VLOOKUP($B20,Показатели!$E:$W,16,FALSE)=0,"",VLOOKUP($B20,Показатели!$E:$W,16,FALSE)),"")</f>
        <v>2005064000000</v>
      </c>
      <c r="T20" t="str">
        <f>IFERROR(IF(VLOOKUP($B20,Показатели!$E:$W,17,FALSE)=0,"",VLOOKUP($B20,Показатели!$E:$W,17,FALSE)),"")</f>
        <v/>
      </c>
      <c r="U20" t="str">
        <f>IFERROR(IF(VLOOKUP($B20,Показатели!$E:$W,18,FALSE)=0,"",VLOOKUP($B20,Показатели!$E:$W,18,FALSE)),"")</f>
        <v/>
      </c>
      <c r="V20" t="str">
        <f>IFERROR(IF(VLOOKUP($B20,Показатели!$E:$W,19,FALSE)=0,"",VLOOKUP($B20,Показатели!$E:$W,19,FALSE)),"")</f>
        <v/>
      </c>
    </row>
    <row r="21" spans="1:22" x14ac:dyDescent="0.2">
      <c r="A21" s="7" t="s">
        <v>2178</v>
      </c>
      <c r="B21" t="str">
        <f t="shared" si="0"/>
        <v>LKOH IV кв. 2022</v>
      </c>
      <c r="C21">
        <v>2022</v>
      </c>
      <c r="D21">
        <f>SUMIFS(Дивиденды!$C:$C,Дивиденды!$A:$A,A21,Дивиденды!$I:$I,C21)</f>
        <v>1231</v>
      </c>
      <c r="E21" t="str">
        <f>IFERROR(IF(VLOOKUP($B21,Показатели!$E:$W,2,FALSE)=0,"",VLOOKUP($B21,Показатели!$E:$W,2,FALSE)),"")</f>
        <v/>
      </c>
      <c r="F21" t="str">
        <f>IFERROR(IF(VLOOKUP($B21,Показатели!$E:$W,3,FALSE)=0,"",VLOOKUP($B21,Показатели!$E:$W,3,FALSE)),"")</f>
        <v/>
      </c>
      <c r="G21" t="str">
        <f>IFERROR(IF(VLOOKUP($B21,Показатели!$E:$W,4,FALSE)=0,"",VLOOKUP($B21,Показатели!$E:$W,4,FALSE)),"")</f>
        <v/>
      </c>
      <c r="H21" t="str">
        <f>IFERROR(IF(VLOOKUP($B21,Показатели!$E:$W,5,FALSE)=0,"",VLOOKUP($B21,Показатели!$E:$W,5,FALSE)),"")</f>
        <v/>
      </c>
      <c r="I21" t="str">
        <f>IFERROR(IF(VLOOKUP($B21,Показатели!$E:$W,6,FALSE)=0,"",VLOOKUP($B21,Показатели!$E:$W,6,FALSE)),"")</f>
        <v/>
      </c>
      <c r="J21" t="str">
        <f>IFERROR(IF(VLOOKUP($B21,Показатели!$E:$W,7,FALSE)=0,"",VLOOKUP($B21,Показатели!$E:$W,7,FALSE)),"")</f>
        <v/>
      </c>
      <c r="K21" t="str">
        <f>IFERROR(IF(VLOOKUP($B21,Показатели!$E:$W,8,FALSE)=0,"",VLOOKUP($B21,Показатели!$E:$W,8,FALSE)),"")</f>
        <v/>
      </c>
      <c r="L21" t="str">
        <f>IFERROR(IF(VLOOKUP($B21,Показатели!$E:$W,9,FALSE)=0,"",VLOOKUP($B21,Показатели!$E:$W,9,FALSE)),"")</f>
        <v/>
      </c>
      <c r="M21" t="str">
        <f>IFERROR(IF(VLOOKUP($B21,Показатели!$E:$W,10,FALSE)=0,"",VLOOKUP($B21,Показатели!$E:$W,10,FALSE)),"")</f>
        <v/>
      </c>
      <c r="N21" t="str">
        <f>IFERROR(IF(VLOOKUP($B21,Показатели!$E:$W,11,FALSE)=0,"",VLOOKUP($B21,Показатели!$E:$W,11,FALSE)),"")</f>
        <v/>
      </c>
      <c r="O21" t="str">
        <f>IFERROR(IF(VLOOKUP($B21,Показатели!$E:$W,12,FALSE)=0,"",VLOOKUP($B21,Показатели!$E:$W,12,FALSE)),"")</f>
        <v/>
      </c>
      <c r="P21" t="str">
        <f>IFERROR(IF(VLOOKUP($B21,Показатели!$E:$W,13,FALSE)=0,"",VLOOKUP($B21,Показатели!$E:$W,13,FALSE)),"")</f>
        <v/>
      </c>
      <c r="Q21" t="str">
        <f>IFERROR(IF(VLOOKUP($B21,Показатели!$E:$W,14,FALSE)=0,"",VLOOKUP($B21,Показатели!$E:$W,14,FALSE)),"")</f>
        <v/>
      </c>
      <c r="R21" t="str">
        <f>IFERROR(IF(VLOOKUP($B21,Показатели!$E:$W,15,FALSE)=0,"",VLOOKUP($B21,Показатели!$E:$W,15,FALSE)),"")</f>
        <v/>
      </c>
      <c r="S21" t="str">
        <f>IFERROR(IF(VLOOKUP($B21,Показатели!$E:$W,16,FALSE)=0,"",VLOOKUP($B21,Показатели!$E:$W,16,FALSE)),"")</f>
        <v/>
      </c>
      <c r="T21" t="str">
        <f>IFERROR(IF(VLOOKUP($B21,Показатели!$E:$W,17,FALSE)=0,"",VLOOKUP($B21,Показатели!$E:$W,17,FALSE)),"")</f>
        <v/>
      </c>
      <c r="U21" t="str">
        <f>IFERROR(IF(VLOOKUP($B21,Показатели!$E:$W,18,FALSE)=0,"",VLOOKUP($B21,Показатели!$E:$W,18,FALSE)),"")</f>
        <v/>
      </c>
      <c r="V21" t="str">
        <f>IFERROR(IF(VLOOKUP($B21,Показатели!$E:$W,19,FALSE)=0,"",VLOOKUP($B21,Показатели!$E:$W,19,FALSE)),"")</f>
        <v/>
      </c>
    </row>
    <row r="22" spans="1:22" x14ac:dyDescent="0.2">
      <c r="A22" s="7" t="s">
        <v>2178</v>
      </c>
      <c r="B22" t="str">
        <f t="shared" si="0"/>
        <v>LKOH IV кв. 2021</v>
      </c>
      <c r="C22">
        <v>2021</v>
      </c>
      <c r="D22">
        <f>SUMIFS(Дивиденды!$C:$C,Дивиденды!$A:$A,A22,Дивиденды!$I:$I,C22)</f>
        <v>340</v>
      </c>
      <c r="E22">
        <f>IFERROR(IF(VLOOKUP($B22,Показатели!$E:$W,2,FALSE)=0,"",VLOOKUP($B22,Показатели!$E:$W,2,FALSE)),"")</f>
        <v>677482000000</v>
      </c>
      <c r="F22">
        <f>IFERROR(IF(VLOOKUP($B22,Показатели!$E:$W,3,FALSE)=0,"",VLOOKUP($B22,Показатели!$E:$W,3,FALSE)),"")</f>
        <v>2149157000000</v>
      </c>
      <c r="G22">
        <f>IFERROR(IF(VLOOKUP($B22,Показатели!$E:$W,4,FALSE)=0,"",VLOOKUP($B22,Показатели!$E:$W,4,FALSE)),"")</f>
        <v>4263130000000</v>
      </c>
      <c r="H22">
        <f>IFERROR(IF(VLOOKUP($B22,Показатели!$E:$W,5,FALSE)=0,"",VLOOKUP($B22,Показатели!$E:$W,5,FALSE)),"")</f>
        <v>44342000000</v>
      </c>
      <c r="I22">
        <f>IFERROR(IF(VLOOKUP($B22,Показатели!$E:$W,6,FALSE)=0,"",VLOOKUP($B22,Показатели!$E:$W,6,FALSE)),"")</f>
        <v>6864749000000</v>
      </c>
      <c r="J22">
        <f>IFERROR(IF(VLOOKUP($B22,Показатели!$E:$W,7,FALSE)=0,"",VLOOKUP($B22,Показатели!$E:$W,7,FALSE)),"")</f>
        <v>1244680000000</v>
      </c>
      <c r="K22">
        <f>IFERROR(IF(VLOOKUP($B22,Показатели!$E:$W,8,FALSE)=0,"",VLOOKUP($B22,Показатели!$E:$W,8,FALSE)),"")</f>
        <v>1096885000000</v>
      </c>
      <c r="L22">
        <f>IFERROR(IF(VLOOKUP($B22,Показатели!$E:$W,9,FALSE)=0,"",VLOOKUP($B22,Показатели!$E:$W,9,FALSE)),"")</f>
        <v>4280226000000</v>
      </c>
      <c r="M22">
        <f>IFERROR(IF(VLOOKUP($B22,Показатели!$E:$W,10,FALSE)=0,"",VLOOKUP($B22,Показатели!$E:$W,10,FALSE)),"")</f>
        <v>4523184000000</v>
      </c>
      <c r="N22">
        <f>IFERROR(IF(VLOOKUP($B22,Показатели!$E:$W,11,FALSE)=0,"",VLOOKUP($B22,Показатели!$E:$W,11,FALSE)),"")</f>
        <v>9435143000000</v>
      </c>
      <c r="O22">
        <f>IFERROR(IF(VLOOKUP($B22,Показатели!$E:$W,12,FALSE)=0,"",VLOOKUP($B22,Показатели!$E:$W,12,FALSE)),"")</f>
        <v>978945000000</v>
      </c>
      <c r="P22">
        <f>IFERROR(IF(VLOOKUP($B22,Показатели!$E:$W,13,FALSE)=0,"",VLOOKUP($B22,Показатели!$E:$W,13,FALSE)),"")</f>
        <v>966964000000</v>
      </c>
      <c r="Q22">
        <f>IFERROR(IF(VLOOKUP($B22,Показатели!$E:$W,14,FALSE)=0,"",VLOOKUP($B22,Показатели!$E:$W,14,FALSE)),"")</f>
        <v>775513000000</v>
      </c>
      <c r="R22">
        <f>IFERROR(IF(VLOOKUP($B22,Показатели!$E:$W,15,FALSE)=0,"",VLOOKUP($B22,Показатели!$E:$W,15,FALSE)),"")</f>
        <v>425466000000</v>
      </c>
      <c r="S22">
        <f>IFERROR(IF(VLOOKUP($B22,Показатели!$E:$W,16,FALSE)=0,"",VLOOKUP($B22,Показатели!$E:$W,16,FALSE)),"")</f>
        <v>1404411000000</v>
      </c>
      <c r="T22">
        <f>IFERROR(IF(VLOOKUP($B22,Показатели!$E:$W,17,FALSE)=0,"",VLOOKUP($B22,Показатели!$E:$W,17,FALSE)),"")</f>
        <v>-433042000000</v>
      </c>
      <c r="U22">
        <f>IFERROR(IF(VLOOKUP($B22,Показатели!$E:$W,18,FALSE)=0,"",VLOOKUP($B22,Показатели!$E:$W,18,FALSE)),"")</f>
        <v>5639401000000</v>
      </c>
      <c r="V22">
        <f>IFERROR(IF(VLOOKUP($B22,Показатели!$E:$W,19,FALSE)=0,"",VLOOKUP($B22,Показатели!$E:$W,19,FALSE)),"")</f>
        <v>5991579000000</v>
      </c>
    </row>
    <row r="23" spans="1:22" x14ac:dyDescent="0.2">
      <c r="A23" s="7" t="s">
        <v>2178</v>
      </c>
      <c r="B23" t="str">
        <f t="shared" si="0"/>
        <v>LKOH IV кв. 2020</v>
      </c>
      <c r="C23">
        <v>2020</v>
      </c>
      <c r="D23">
        <f>SUMIFS(Дивиденды!$C:$C,Дивиденды!$A:$A,A23,Дивиденды!$I:$I,C23)</f>
        <v>259</v>
      </c>
      <c r="E23">
        <f>IFERROR(IF(VLOOKUP($B23,Показатели!$E:$W,2,FALSE)=0,"",VLOOKUP($B23,Показатели!$E:$W,2,FALSE)),"")</f>
        <v>343832000000</v>
      </c>
      <c r="F23">
        <f>IFERROR(IF(VLOOKUP($B23,Показатели!$E:$W,3,FALSE)=0,"",VLOOKUP($B23,Показатели!$E:$W,3,FALSE)),"")</f>
        <v>1276460000000</v>
      </c>
      <c r="G23">
        <f>IFERROR(IF(VLOOKUP($B23,Показатели!$E:$W,4,FALSE)=0,"",VLOOKUP($B23,Показатели!$E:$W,4,FALSE)),"")</f>
        <v>4264474000000</v>
      </c>
      <c r="H23">
        <f>IFERROR(IF(VLOOKUP($B23,Показатели!$E:$W,5,FALSE)=0,"",VLOOKUP($B23,Показатели!$E:$W,5,FALSE)),"")</f>
        <v>50159000000</v>
      </c>
      <c r="I23">
        <f>IFERROR(IF(VLOOKUP($B23,Показатели!$E:$W,6,FALSE)=0,"",VLOOKUP($B23,Показатели!$E:$W,6,FALSE)),"")</f>
        <v>5991579000000</v>
      </c>
      <c r="J23">
        <f>IFERROR(IF(VLOOKUP($B23,Показатели!$E:$W,7,FALSE)=0,"",VLOOKUP($B23,Показатели!$E:$W,7,FALSE)),"")</f>
        <v>885659000000</v>
      </c>
      <c r="K23">
        <f>IFERROR(IF(VLOOKUP($B23,Показатели!$E:$W,8,FALSE)=0,"",VLOOKUP($B23,Показатели!$E:$W,8,FALSE)),"")</f>
        <v>975154000000</v>
      </c>
      <c r="L23">
        <f>IFERROR(IF(VLOOKUP($B23,Показатели!$E:$W,9,FALSE)=0,"",VLOOKUP($B23,Показатели!$E:$W,9,FALSE)),"")</f>
        <v>3858057000000</v>
      </c>
      <c r="M23">
        <f>IFERROR(IF(VLOOKUP($B23,Показатели!$E:$W,10,FALSE)=0,"",VLOOKUP($B23,Показатели!$E:$W,10,FALSE)),"")</f>
        <v>4130766000000</v>
      </c>
      <c r="N23">
        <f>IFERROR(IF(VLOOKUP($B23,Показатели!$E:$W,11,FALSE)=0,"",VLOOKUP($B23,Показатели!$E:$W,11,FALSE)),"")</f>
        <v>5639401000000</v>
      </c>
      <c r="O23">
        <f>IFERROR(IF(VLOOKUP($B23,Показатели!$E:$W,12,FALSE)=0,"",VLOOKUP($B23,Показатели!$E:$W,12,FALSE)),"")</f>
        <v>281654000000</v>
      </c>
      <c r="P23">
        <f>IFERROR(IF(VLOOKUP($B23,Показатели!$E:$W,13,FALSE)=0,"",VLOOKUP($B23,Показатели!$E:$W,13,FALSE)),"")</f>
        <v>98787000000</v>
      </c>
      <c r="Q23">
        <f>IFERROR(IF(VLOOKUP($B23,Показатели!$E:$W,14,FALSE)=0,"",VLOOKUP($B23,Показатели!$E:$W,14,FALSE)),"")</f>
        <v>16633000000</v>
      </c>
      <c r="R23">
        <f>IFERROR(IF(VLOOKUP($B23,Показатели!$E:$W,15,FALSE)=0,"",VLOOKUP($B23,Показатели!$E:$W,15,FALSE)),"")</f>
        <v>405440000000</v>
      </c>
      <c r="S23">
        <f>IFERROR(IF(VLOOKUP($B23,Показатели!$E:$W,16,FALSE)=0,"",VLOOKUP($B23,Показатели!$E:$W,16,FALSE)),"")</f>
        <v>687094000000</v>
      </c>
      <c r="T23">
        <f>IFERROR(IF(VLOOKUP($B23,Показатели!$E:$W,17,FALSE)=0,"",VLOOKUP($B23,Показатели!$E:$W,17,FALSE)),"")</f>
        <v>-495443000000</v>
      </c>
      <c r="U23">
        <f>IFERROR(IF(VLOOKUP($B23,Показатели!$E:$W,18,FALSE)=0,"",VLOOKUP($B23,Показатели!$E:$W,18,FALSE)),"")</f>
        <v>7841246000000</v>
      </c>
      <c r="V23">
        <f>IFERROR(IF(VLOOKUP($B23,Показатели!$E:$W,19,FALSE)=0,"",VLOOKUP($B23,Показатели!$E:$W,19,FALSE)),"")</f>
        <v>5947050000000</v>
      </c>
    </row>
    <row r="24" spans="1:22" x14ac:dyDescent="0.2">
      <c r="A24" s="7" t="s">
        <v>2178</v>
      </c>
      <c r="B24" t="str">
        <f t="shared" si="0"/>
        <v>LKOH IV кв. 2019</v>
      </c>
      <c r="C24">
        <v>2019</v>
      </c>
      <c r="D24">
        <f>SUMIFS(Дивиденды!$C:$C,Дивиденды!$A:$A,A24,Дивиденды!$I:$I,C24)</f>
        <v>542</v>
      </c>
      <c r="E24">
        <f>IFERROR(IF(VLOOKUP($B24,Показатели!$E:$W,2,FALSE)=0,"",VLOOKUP($B24,Показатели!$E:$W,2,FALSE)),"")</f>
        <v>516032000000</v>
      </c>
      <c r="F24">
        <f>IFERROR(IF(VLOOKUP($B24,Показатели!$E:$W,3,FALSE)=0,"",VLOOKUP($B24,Показатели!$E:$W,3,FALSE)),"")</f>
        <v>1554187000000</v>
      </c>
      <c r="G24">
        <f>IFERROR(IF(VLOOKUP($B24,Показатели!$E:$W,4,FALSE)=0,"",VLOOKUP($B24,Показатели!$E:$W,4,FALSE)),"")</f>
        <v>4026007000000</v>
      </c>
      <c r="H24">
        <f>IFERROR(IF(VLOOKUP($B24,Показатели!$E:$W,5,FALSE)=0,"",VLOOKUP($B24,Показатели!$E:$W,5,FALSE)),"")</f>
        <v>43108000000</v>
      </c>
      <c r="I24">
        <f>IFERROR(IF(VLOOKUP($B24,Показатели!$E:$W,6,FALSE)=0,"",VLOOKUP($B24,Показатели!$E:$W,6,FALSE)),"")</f>
        <v>5947050000000</v>
      </c>
      <c r="J24">
        <f>IFERROR(IF(VLOOKUP($B24,Показатели!$E:$W,7,FALSE)=0,"",VLOOKUP($B24,Показатели!$E:$W,7,FALSE)),"")</f>
        <v>1207677000000</v>
      </c>
      <c r="K24">
        <f>IFERROR(IF(VLOOKUP($B24,Показатели!$E:$W,8,FALSE)=0,"",VLOOKUP($B24,Показатели!$E:$W,8,FALSE)),"")</f>
        <v>765924000000</v>
      </c>
      <c r="L24">
        <f>IFERROR(IF(VLOOKUP($B24,Показатели!$E:$W,9,FALSE)=0,"",VLOOKUP($B24,Показатели!$E:$W,9,FALSE)),"")</f>
        <v>4203138000000</v>
      </c>
      <c r="M24">
        <f>IFERROR(IF(VLOOKUP($B24,Показатели!$E:$W,10,FALSE)=0,"",VLOOKUP($B24,Показатели!$E:$W,10,FALSE)),"")</f>
        <v>3973449000000</v>
      </c>
      <c r="N24">
        <f>IFERROR(IF(VLOOKUP($B24,Показатели!$E:$W,11,FALSE)=0,"",VLOOKUP($B24,Показатели!$E:$W,11,FALSE)),"")</f>
        <v>7841246000000</v>
      </c>
      <c r="O24">
        <f>IFERROR(IF(VLOOKUP($B24,Показатели!$E:$W,12,FALSE)=0,"",VLOOKUP($B24,Показатели!$E:$W,12,FALSE)),"")</f>
        <v>821098000000</v>
      </c>
      <c r="P24">
        <f>IFERROR(IF(VLOOKUP($B24,Показатели!$E:$W,13,FALSE)=0,"",VLOOKUP($B24,Показатели!$E:$W,13,FALSE)),"")</f>
        <v>793354000000</v>
      </c>
      <c r="Q24">
        <f>IFERROR(IF(VLOOKUP($B24,Показатели!$E:$W,14,FALSE)=0,"",VLOOKUP($B24,Показатели!$E:$W,14,FALSE)),"")</f>
        <v>642221000000</v>
      </c>
      <c r="R24">
        <f>IFERROR(IF(VLOOKUP($B24,Показатели!$E:$W,15,FALSE)=0,"",VLOOKUP($B24,Показатели!$E:$W,15,FALSE)),"")</f>
        <v>415094000000</v>
      </c>
      <c r="S24">
        <f>IFERROR(IF(VLOOKUP($B24,Показатели!$E:$W,16,FALSE)=0,"",VLOOKUP($B24,Показатели!$E:$W,16,FALSE)),"")</f>
        <v>1236200000000</v>
      </c>
      <c r="T24">
        <f>IFERROR(IF(VLOOKUP($B24,Показатели!$E:$W,17,FALSE)=0,"",VLOOKUP($B24,Показатели!$E:$W,17,FALSE)),"")</f>
        <v>-449975000000</v>
      </c>
      <c r="U24">
        <f>IFERROR(IF(VLOOKUP($B24,Показатели!$E:$W,18,FALSE)=0,"",VLOOKUP($B24,Показатели!$E:$W,18,FALSE)),"")</f>
        <v>8035889000000</v>
      </c>
      <c r="V24">
        <f>IFERROR(IF(VLOOKUP($B24,Показатели!$E:$W,19,FALSE)=0,"",VLOOKUP($B24,Показатели!$E:$W,19,FALSE)),"")</f>
        <v>5732382000000</v>
      </c>
    </row>
    <row r="25" spans="1:22" x14ac:dyDescent="0.2">
      <c r="A25" s="7" t="s">
        <v>2178</v>
      </c>
      <c r="B25" t="str">
        <f t="shared" si="0"/>
        <v>LKOH IV кв. 2018</v>
      </c>
      <c r="C25">
        <v>2018</v>
      </c>
      <c r="D25">
        <f>SUMIFS(Дивиденды!$C:$C,Дивиденды!$A:$A,A25,Дивиденды!$I:$I,C25)</f>
        <v>250</v>
      </c>
      <c r="E25">
        <f>IFERROR(IF(VLOOKUP($B25,Показатели!$E:$W,2,FALSE)=0,"",VLOOKUP($B25,Показатели!$E:$W,2,FALSE)),"")</f>
        <v>492650000000</v>
      </c>
      <c r="F25">
        <f>IFERROR(IF(VLOOKUP($B25,Показатели!$E:$W,3,FALSE)=0,"",VLOOKUP($B25,Показатели!$E:$W,3,FALSE)),"")</f>
        <v>1478479000000</v>
      </c>
      <c r="G25">
        <f>IFERROR(IF(VLOOKUP($B25,Показатели!$E:$W,4,FALSE)=0,"",VLOOKUP($B25,Показатели!$E:$W,4,FALSE)),"")</f>
        <v>3829164000000</v>
      </c>
      <c r="H25">
        <f>IFERROR(IF(VLOOKUP($B25,Показатели!$E:$W,5,FALSE)=0,"",VLOOKUP($B25,Показатели!$E:$W,5,FALSE)),"")</f>
        <v>41765000000</v>
      </c>
      <c r="I25">
        <f>IFERROR(IF(VLOOKUP($B25,Показатели!$E:$W,6,FALSE)=0,"",VLOOKUP($B25,Показатели!$E:$W,6,FALSE)),"")</f>
        <v>5732382000000</v>
      </c>
      <c r="J25">
        <f>IFERROR(IF(VLOOKUP($B25,Показатели!$E:$W,7,FALSE)=0,"",VLOOKUP($B25,Показатели!$E:$W,7,FALSE)),"")</f>
        <v>914560000000</v>
      </c>
      <c r="K25">
        <f>IFERROR(IF(VLOOKUP($B25,Показатели!$E:$W,8,FALSE)=0,"",VLOOKUP($B25,Показатели!$E:$W,8,FALSE)),"")</f>
        <v>744296000000</v>
      </c>
      <c r="L25">
        <f>IFERROR(IF(VLOOKUP($B25,Показатели!$E:$W,9,FALSE)=0,"",VLOOKUP($B25,Показатели!$E:$W,9,FALSE)),"")</f>
        <v>3963628000000</v>
      </c>
      <c r="M25">
        <f>IFERROR(IF(VLOOKUP($B25,Показатели!$E:$W,10,FALSE)=0,"",VLOOKUP($B25,Показатели!$E:$W,10,FALSE)),"")</f>
        <v>4073526000000</v>
      </c>
      <c r="N25">
        <f>IFERROR(IF(VLOOKUP($B25,Показатели!$E:$W,11,FALSE)=0,"",VLOOKUP($B25,Показатели!$E:$W,11,FALSE)),"")</f>
        <v>8035889000000</v>
      </c>
      <c r="O25">
        <f>IFERROR(IF(VLOOKUP($B25,Показатели!$E:$W,12,FALSE)=0,"",VLOOKUP($B25,Показатели!$E:$W,12,FALSE)),"")</f>
        <v>771715000000</v>
      </c>
      <c r="P25">
        <f>IFERROR(IF(VLOOKUP($B25,Показатели!$E:$W,13,FALSE)=0,"",VLOOKUP($B25,Показатели!$E:$W,13,FALSE)),"")</f>
        <v>773019000000</v>
      </c>
      <c r="Q25">
        <f>IFERROR(IF(VLOOKUP($B25,Показатели!$E:$W,14,FALSE)=0,"",VLOOKUP($B25,Показатели!$E:$W,14,FALSE)),"")</f>
        <v>621102000000</v>
      </c>
      <c r="R25">
        <f>IFERROR(IF(VLOOKUP($B25,Показатели!$E:$W,15,FALSE)=0,"",VLOOKUP($B25,Показатели!$E:$W,15,FALSE)),"")</f>
        <v>343085000000</v>
      </c>
      <c r="S25">
        <f>IFERROR(IF(VLOOKUP($B25,Показатели!$E:$W,16,FALSE)=0,"",VLOOKUP($B25,Показатели!$E:$W,16,FALSE)),"")</f>
        <v>1114800000000</v>
      </c>
      <c r="T25">
        <f>IFERROR(IF(VLOOKUP($B25,Показатели!$E:$W,17,FALSE)=0,"",VLOOKUP($B25,Показатели!$E:$W,17,FALSE)),"")</f>
        <v>-451526000000</v>
      </c>
      <c r="U25">
        <f>IFERROR(IF(VLOOKUP($B25,Показатели!$E:$W,18,FALSE)=0,"",VLOOKUP($B25,Показатели!$E:$W,18,FALSE)),"")</f>
        <v>5936705000000</v>
      </c>
      <c r="V25">
        <f>IFERROR(IF(VLOOKUP($B25,Показатели!$E:$W,19,FALSE)=0,"",VLOOKUP($B25,Показатели!$E:$W,19,FALSE)),"")</f>
        <v>5226215000000</v>
      </c>
    </row>
    <row r="26" spans="1:22" x14ac:dyDescent="0.2">
      <c r="A26" s="7" t="s">
        <v>2178</v>
      </c>
      <c r="B26" t="str">
        <f t="shared" si="0"/>
        <v>LKOH IV кв. 2017</v>
      </c>
      <c r="C26">
        <v>2017</v>
      </c>
      <c r="D26">
        <f>SUMIFS(Дивиденды!$C:$C,Дивиденды!$A:$A,A26,Дивиденды!$I:$I,C26)</f>
        <v>215</v>
      </c>
      <c r="E26">
        <f>IFERROR(IF(VLOOKUP($B26,Показатели!$E:$W,2,FALSE)=0,"",VLOOKUP($B26,Показатели!$E:$W,2,FALSE)),"")</f>
        <v>330390000000</v>
      </c>
      <c r="F26">
        <f>IFERROR(IF(VLOOKUP($B26,Показатели!$E:$W,3,FALSE)=0,"",VLOOKUP($B26,Показатели!$E:$W,3,FALSE)),"")</f>
        <v>1308114000000</v>
      </c>
      <c r="G26">
        <f>IFERROR(IF(VLOOKUP($B26,Показатели!$E:$W,4,FALSE)=0,"",VLOOKUP($B26,Показатели!$E:$W,4,FALSE)),"")</f>
        <v>3575165000000</v>
      </c>
      <c r="H26">
        <f>IFERROR(IF(VLOOKUP($B26,Показатели!$E:$W,5,FALSE)=0,"",VLOOKUP($B26,Показатели!$E:$W,5,FALSE)),"")</f>
        <v>41304000000</v>
      </c>
      <c r="I26">
        <f>IFERROR(IF(VLOOKUP($B26,Показатели!$E:$W,6,FALSE)=0,"",VLOOKUP($B26,Показатели!$E:$W,6,FALSE)),"")</f>
        <v>5226215000000</v>
      </c>
      <c r="J26">
        <f>IFERROR(IF(VLOOKUP($B26,Показатели!$E:$W,7,FALSE)=0,"",VLOOKUP($B26,Показатели!$E:$W,7,FALSE)),"")</f>
        <v>958847000000</v>
      </c>
      <c r="K26">
        <f>IFERROR(IF(VLOOKUP($B26,Показатели!$E:$W,8,FALSE)=0,"",VLOOKUP($B26,Показатели!$E:$W,8,FALSE)),"")</f>
        <v>776969000000</v>
      </c>
      <c r="L26">
        <f>IFERROR(IF(VLOOKUP($B26,Показатели!$E:$W,9,FALSE)=0,"",VLOOKUP($B26,Показатели!$E:$W,9,FALSE)),"")</f>
        <v>3576158000000</v>
      </c>
      <c r="M26">
        <f>IFERROR(IF(VLOOKUP($B26,Показатели!$E:$W,10,FALSE)=0,"",VLOOKUP($B26,Показатели!$E:$W,10,FALSE)),"")</f>
        <v>3490399000000</v>
      </c>
      <c r="N26">
        <f>IFERROR(IF(VLOOKUP($B26,Показатели!$E:$W,11,FALSE)=0,"",VLOOKUP($B26,Показатели!$E:$W,11,FALSE)),"")</f>
        <v>5936705000000</v>
      </c>
      <c r="O26">
        <f>IFERROR(IF(VLOOKUP($B26,Показатели!$E:$W,12,FALSE)=0,"",VLOOKUP($B26,Показатели!$E:$W,12,FALSE)),"")</f>
        <v>506516000000</v>
      </c>
      <c r="P26">
        <f>IFERROR(IF(VLOOKUP($B26,Показатели!$E:$W,13,FALSE)=0,"",VLOOKUP($B26,Показатели!$E:$W,13,FALSE)),"")</f>
        <v>524184000000</v>
      </c>
      <c r="Q26">
        <f>IFERROR(IF(VLOOKUP($B26,Показатели!$E:$W,14,FALSE)=0,"",VLOOKUP($B26,Показатели!$E:$W,14,FALSE)),"")</f>
        <v>420422000000</v>
      </c>
      <c r="R26">
        <f>IFERROR(IF(VLOOKUP($B26,Показатели!$E:$W,15,FALSE)=0,"",VLOOKUP($B26,Показатели!$E:$W,15,FALSE)),"")</f>
        <v>325054000000</v>
      </c>
      <c r="S26">
        <f>IFERROR(IF(VLOOKUP($B26,Показатели!$E:$W,16,FALSE)=0,"",VLOOKUP($B26,Показатели!$E:$W,16,FALSE)),"")</f>
        <v>831600000000</v>
      </c>
      <c r="T26">
        <f>IFERROR(IF(VLOOKUP($B26,Показатели!$E:$W,17,FALSE)=0,"",VLOOKUP($B26,Показатели!$E:$W,17,FALSE)),"")</f>
        <v>511500000000</v>
      </c>
      <c r="U26">
        <f>IFERROR(IF(VLOOKUP($B26,Показатели!$E:$W,18,FALSE)=0,"",VLOOKUP($B26,Показатели!$E:$W,18,FALSE)),"")</f>
        <v>5227045000000</v>
      </c>
      <c r="V26">
        <f>IFERROR(IF(VLOOKUP($B26,Показатели!$E:$W,19,FALSE)=0,"",VLOOKUP($B26,Показатели!$E:$W,19,FALSE)),"")</f>
        <v>5014673000000</v>
      </c>
    </row>
    <row r="27" spans="1:22" x14ac:dyDescent="0.2">
      <c r="A27" s="7" t="s">
        <v>2178</v>
      </c>
      <c r="B27" t="str">
        <f t="shared" si="0"/>
        <v>LKOH IV кв. 2016</v>
      </c>
      <c r="C27">
        <v>2016</v>
      </c>
      <c r="D27">
        <f>SUMIFS(Дивиденды!$C:$C,Дивиденды!$A:$A,A27,Дивиденды!$I:$I,C27)</f>
        <v>195</v>
      </c>
      <c r="E27">
        <f>IFERROR(IF(VLOOKUP($B27,Показатели!$E:$W,2,FALSE)=0,"",VLOOKUP($B27,Показатели!$E:$W,2,FALSE)),"")</f>
        <v>261367000000</v>
      </c>
      <c r="F27">
        <f>IFERROR(IF(VLOOKUP($B27,Показатели!$E:$W,3,FALSE)=0,"",VLOOKUP($B27,Показатели!$E:$W,3,FALSE)),"")</f>
        <v>1255641000000</v>
      </c>
      <c r="G27">
        <f>IFERROR(IF(VLOOKUP($B27,Показатели!$E:$W,4,FALSE)=0,"",VLOOKUP($B27,Показатели!$E:$W,4,FALSE)),"")</f>
        <v>3391366000000</v>
      </c>
      <c r="H27" t="str">
        <f>IFERROR(IF(VLOOKUP($B27,Показатели!$E:$W,5,FALSE)=0,"",VLOOKUP($B27,Показатели!$E:$W,5,FALSE)),"")</f>
        <v/>
      </c>
      <c r="I27">
        <f>IFERROR(IF(VLOOKUP($B27,Показатели!$E:$W,6,FALSE)=0,"",VLOOKUP($B27,Показатели!$E:$W,6,FALSE)),"")</f>
        <v>5014673000000</v>
      </c>
      <c r="J27">
        <f>IFERROR(IF(VLOOKUP($B27,Показатели!$E:$W,7,FALSE)=0,"",VLOOKUP($B27,Показатели!$E:$W,7,FALSE)),"")</f>
        <v>830686000000</v>
      </c>
      <c r="K27">
        <f>IFERROR(IF(VLOOKUP($B27,Показатели!$E:$W,8,FALSE)=0,"",VLOOKUP($B27,Показатели!$E:$W,8,FALSE)),"")</f>
        <v>956323000000</v>
      </c>
      <c r="L27">
        <f>IFERROR(IF(VLOOKUP($B27,Показатели!$E:$W,9,FALSE)=0,"",VLOOKUP($B27,Показатели!$E:$W,9,FALSE)),"")</f>
        <v>3302855000000</v>
      </c>
      <c r="M27">
        <f>IFERROR(IF(VLOOKUP($B27,Показатели!$E:$W,10,FALSE)=0,"",VLOOKUP($B27,Показатели!$E:$W,10,FALSE)),"")</f>
        <v>3227664000000</v>
      </c>
      <c r="N27">
        <f>IFERROR(IF(VLOOKUP($B27,Показатели!$E:$W,11,FALSE)=0,"",VLOOKUP($B27,Показатели!$E:$W,11,FALSE)),"")</f>
        <v>5227045000000</v>
      </c>
      <c r="O27">
        <f>IFERROR(IF(VLOOKUP($B27,Показатели!$E:$W,12,FALSE)=0,"",VLOOKUP($B27,Показатели!$E:$W,12,FALSE)),"")</f>
        <v>419143000000</v>
      </c>
      <c r="P27">
        <f>IFERROR(IF(VLOOKUP($B27,Показатели!$E:$W,13,FALSE)=0,"",VLOOKUP($B27,Показатели!$E:$W,13,FALSE)),"")</f>
        <v>272515000000</v>
      </c>
      <c r="Q27">
        <f>IFERROR(IF(VLOOKUP($B27,Показатели!$E:$W,14,FALSE)=0,"",VLOOKUP($B27,Показатели!$E:$W,14,FALSE)),"")</f>
        <v>207642000000</v>
      </c>
      <c r="R27" t="str">
        <f>IFERROR(IF(VLOOKUP($B27,Показатели!$E:$W,15,FALSE)=0,"",VLOOKUP($B27,Показатели!$E:$W,15,FALSE)),"")</f>
        <v/>
      </c>
      <c r="S27">
        <f>IFERROR(IF(VLOOKUP($B27,Показатели!$E:$W,16,FALSE)=0,"",VLOOKUP($B27,Показатели!$E:$W,16,FALSE)),"")</f>
        <v>731000000000</v>
      </c>
      <c r="T27">
        <f>IFERROR(IF(VLOOKUP($B27,Показатели!$E:$W,17,FALSE)=0,"",VLOOKUP($B27,Показатели!$E:$W,17,FALSE)),"")</f>
        <v>497130000000</v>
      </c>
      <c r="U27">
        <f>IFERROR(IF(VLOOKUP($B27,Показатели!$E:$W,18,FALSE)=0,"",VLOOKUP($B27,Показатели!$E:$W,18,FALSE)),"")</f>
        <v>5749050000000</v>
      </c>
      <c r="V27">
        <f>IFERROR(IF(VLOOKUP($B27,Показатели!$E:$W,19,FALSE)=0,"",VLOOKUP($B27,Показатели!$E:$W,19,FALSE)),"")</f>
        <v>5020607000000</v>
      </c>
    </row>
    <row r="28" spans="1:22" x14ac:dyDescent="0.2">
      <c r="A28" s="7" t="s">
        <v>2178</v>
      </c>
      <c r="B28" t="str">
        <f t="shared" si="0"/>
        <v>LKOH IV кв. 2015</v>
      </c>
      <c r="C28">
        <v>2015</v>
      </c>
      <c r="D28">
        <f>SUMIFS(Дивиденды!$C:$C,Дивиденды!$A:$A,A28,Дивиденды!$I:$I,C28)</f>
        <v>177</v>
      </c>
      <c r="E28">
        <f>IFERROR(IF(VLOOKUP($B28,Показатели!$E:$W,2,FALSE)=0,"",VLOOKUP($B28,Показатели!$E:$W,2,FALSE)),"")</f>
        <v>257263000000</v>
      </c>
      <c r="F28">
        <f>IFERROR(IF(VLOOKUP($B28,Показатели!$E:$W,3,FALSE)=0,"",VLOOKUP($B28,Показатели!$E:$W,3,FALSE)),"")</f>
        <v>1213647000000</v>
      </c>
      <c r="G28">
        <f>IFERROR(IF(VLOOKUP($B28,Показатели!$E:$W,4,FALSE)=0,"",VLOOKUP($B28,Показатели!$E:$W,4,FALSE)),"")</f>
        <v>3411153000000</v>
      </c>
      <c r="H28" t="str">
        <f>IFERROR(IF(VLOOKUP($B28,Показатели!$E:$W,5,FALSE)=0,"",VLOOKUP($B28,Показатели!$E:$W,5,FALSE)),"")</f>
        <v/>
      </c>
      <c r="I28">
        <f>IFERROR(IF(VLOOKUP($B28,Показатели!$E:$W,6,FALSE)=0,"",VLOOKUP($B28,Показатели!$E:$W,6,FALSE)),"")</f>
        <v>5020607000000</v>
      </c>
      <c r="J28">
        <f>IFERROR(IF(VLOOKUP($B28,Показатели!$E:$W,7,FALSE)=0,"",VLOOKUP($B28,Показатели!$E:$W,7,FALSE)),"")</f>
        <v>695168000000</v>
      </c>
      <c r="K28">
        <f>IFERROR(IF(VLOOKUP($B28,Показатели!$E:$W,8,FALSE)=0,"",VLOOKUP($B28,Показатели!$E:$W,8,FALSE)),"")</f>
        <v>1094065000000</v>
      </c>
      <c r="L28">
        <f>IFERROR(IF(VLOOKUP($B28,Показатели!$E:$W,9,FALSE)=0,"",VLOOKUP($B28,Показатели!$E:$W,9,FALSE)),"")</f>
        <v>3229379000000</v>
      </c>
      <c r="M28">
        <f>IFERROR(IF(VLOOKUP($B28,Показатели!$E:$W,10,FALSE)=0,"",VLOOKUP($B28,Показатели!$E:$W,10,FALSE)),"")</f>
        <v>3231374000000</v>
      </c>
      <c r="N28">
        <f>IFERROR(IF(VLOOKUP($B28,Показатели!$E:$W,11,FALSE)=0,"",VLOOKUP($B28,Показатели!$E:$W,11,FALSE)),"")</f>
        <v>5749050000000</v>
      </c>
      <c r="O28">
        <f>IFERROR(IF(VLOOKUP($B28,Показатели!$E:$W,12,FALSE)=0,"",VLOOKUP($B28,Показатели!$E:$W,12,FALSE)),"")</f>
        <v>465729000000</v>
      </c>
      <c r="P28">
        <f>IFERROR(IF(VLOOKUP($B28,Показатели!$E:$W,13,FALSE)=0,"",VLOOKUP($B28,Показатели!$E:$W,13,FALSE)),"")</f>
        <v>389104000000</v>
      </c>
      <c r="Q28">
        <f>IFERROR(IF(VLOOKUP($B28,Показатели!$E:$W,14,FALSE)=0,"",VLOOKUP($B28,Показатели!$E:$W,14,FALSE)),"")</f>
        <v>292745000000</v>
      </c>
      <c r="R28" t="str">
        <f>IFERROR(IF(VLOOKUP($B28,Показатели!$E:$W,15,FALSE)=0,"",VLOOKUP($B28,Показатели!$E:$W,15,FALSE)),"")</f>
        <v/>
      </c>
      <c r="S28">
        <f>IFERROR(IF(VLOOKUP($B28,Показатели!$E:$W,16,FALSE)=0,"",VLOOKUP($B28,Показатели!$E:$W,16,FALSE)),"")</f>
        <v>769000000000</v>
      </c>
      <c r="T28">
        <f>IFERROR(IF(VLOOKUP($B28,Показатели!$E:$W,17,FALSE)=0,"",VLOOKUP($B28,Показатели!$E:$W,17,FALSE)),"")</f>
        <v>600639000000</v>
      </c>
      <c r="U28">
        <f>IFERROR(IF(VLOOKUP($B28,Показатели!$E:$W,18,FALSE)=0,"",VLOOKUP($B28,Показатели!$E:$W,18,FALSE)),"")</f>
        <v>5588131034255.8926</v>
      </c>
      <c r="V28">
        <f>IFERROR(IF(VLOOKUP($B28,Показатели!$E:$W,19,FALSE)=0,"",VLOOKUP($B28,Показатели!$E:$W,19,FALSE)),"")</f>
        <v>4333537145323.1934</v>
      </c>
    </row>
    <row r="29" spans="1:22" x14ac:dyDescent="0.2">
      <c r="A29" s="7" t="s">
        <v>2178</v>
      </c>
      <c r="B29" t="str">
        <f t="shared" si="0"/>
        <v>LKOH IV кв. 2014</v>
      </c>
      <c r="C29">
        <v>2014</v>
      </c>
      <c r="D29">
        <f>SUMIFS(Дивиденды!$C:$C,Дивиденды!$A:$A,A29,Дивиденды!$I:$I,C29)</f>
        <v>154</v>
      </c>
      <c r="E29">
        <f>IFERROR(IF(VLOOKUP($B29,Показатели!$E:$W,2,FALSE)=0,"",VLOOKUP($B29,Показатели!$E:$W,2,FALSE)),"")</f>
        <v>116439584834.98097</v>
      </c>
      <c r="F29">
        <f>IFERROR(IF(VLOOKUP($B29,Показатели!$E:$W,3,FALSE)=0,"",VLOOKUP($B29,Показатели!$E:$W,3,FALSE)),"")</f>
        <v>882173272722.8136</v>
      </c>
      <c r="G29">
        <f>IFERROR(IF(VLOOKUP($B29,Показатели!$E:$W,4,FALSE)=0,"",VLOOKUP($B29,Показатели!$E:$W,4,FALSE)),"")</f>
        <v>3157784173685.5508</v>
      </c>
      <c r="H29" t="str">
        <f>IFERROR(IF(VLOOKUP($B29,Показатели!$E:$W,5,FALSE)=0,"",VLOOKUP($B29,Показатели!$E:$W,5,FALSE)),"")</f>
        <v/>
      </c>
      <c r="I29">
        <f>IFERROR(IF(VLOOKUP($B29,Показатели!$E:$W,6,FALSE)=0,"",VLOOKUP($B29,Показатели!$E:$W,6,FALSE)),"")</f>
        <v>4333537145323.1934</v>
      </c>
      <c r="J29">
        <f>IFERROR(IF(VLOOKUP($B29,Показатели!$E:$W,7,FALSE)=0,"",VLOOKUP($B29,Показатели!$E:$W,7,FALSE)),"")</f>
        <v>550878621729.27747</v>
      </c>
      <c r="K29">
        <f>IFERROR(IF(VLOOKUP($B29,Показатели!$E:$W,8,FALSE)=0,"",VLOOKUP($B29,Показатели!$E:$W,8,FALSE)),"")</f>
        <v>629331923895.05688</v>
      </c>
      <c r="L29">
        <f>IFERROR(IF(VLOOKUP($B29,Показатели!$E:$W,9,FALSE)=0,"",VLOOKUP($B29,Показатели!$E:$W,9,FALSE)),"")</f>
        <v>3268254485529.6572</v>
      </c>
      <c r="M29">
        <f>IFERROR(IF(VLOOKUP($B29,Показатели!$E:$W,10,FALSE)=0,"",VLOOKUP($B29,Показатели!$E:$W,10,FALSE)),"")</f>
        <v>3153326599698.8589</v>
      </c>
      <c r="N29">
        <f>IFERROR(IF(VLOOKUP($B29,Показатели!$E:$W,11,FALSE)=0,"",VLOOKUP($B29,Показатели!$E:$W,11,FALSE)),"")</f>
        <v>5588131034255.8926</v>
      </c>
      <c r="O29">
        <f>IFERROR(IF(VLOOKUP($B29,Показатели!$E:$W,12,FALSE)=0,"",VLOOKUP($B29,Показатели!$E:$W,12,FALSE)),"")</f>
        <v>276214541123.19385</v>
      </c>
      <c r="P29">
        <f>IFERROR(IF(VLOOKUP($B29,Показатели!$E:$W,13,FALSE)=0,"",VLOOKUP($B29,Показатели!$E:$W,13,FALSE)),"")</f>
        <v>262492965546.76804</v>
      </c>
      <c r="Q29">
        <f>IFERROR(IF(VLOOKUP($B29,Показатели!$E:$W,14,FALSE)=0,"",VLOOKUP($B29,Показатели!$E:$W,14,FALSE)),"")</f>
        <v>182721771941.44482</v>
      </c>
      <c r="R29" t="str">
        <f>IFERROR(IF(VLOOKUP($B29,Показатели!$E:$W,15,FALSE)=0,"",VLOOKUP($B29,Показатели!$E:$W,15,FALSE)),"")</f>
        <v/>
      </c>
      <c r="S29">
        <f>IFERROR(IF(VLOOKUP($B29,Показатели!$E:$W,16,FALSE)=0,"",VLOOKUP($B29,Показатели!$E:$W,16,FALSE)),"")</f>
        <v>619486499611.40674</v>
      </c>
      <c r="T29">
        <f>IFERROR(IF(VLOOKUP($B29,Показатели!$E:$W,17,FALSE)=0,"",VLOOKUP($B29,Показатели!$E:$W,17,FALSE)),"")</f>
        <v>563786205534.22046</v>
      </c>
      <c r="U29">
        <f>IFERROR(IF(VLOOKUP($B29,Показатели!$E:$W,18,FALSE)=0,"",VLOOKUP($B29,Показатели!$E:$W,18,FALSE)),"")</f>
        <v>4507226528000</v>
      </c>
      <c r="V29">
        <f>IFERROR(IF(VLOOKUP($B29,Показатели!$E:$W,19,FALSE)=0,"",VLOOKUP($B29,Показатели!$E:$W,19,FALSE)),"")</f>
        <v>3487132431999.9995</v>
      </c>
    </row>
    <row r="30" spans="1:22" x14ac:dyDescent="0.2">
      <c r="A30" s="7" t="s">
        <v>2178</v>
      </c>
      <c r="B30" t="str">
        <f t="shared" si="0"/>
        <v>LKOH IV кв. 2013</v>
      </c>
      <c r="C30">
        <v>2013</v>
      </c>
      <c r="D30">
        <f>SUMIFS(Дивиденды!$C:$C,Дивиденды!$A:$A,A30,Дивиденды!$I:$I,C30)</f>
        <v>110</v>
      </c>
      <c r="E30">
        <f>IFERROR(IF(VLOOKUP($B30,Показатели!$E:$W,2,FALSE)=0,"",VLOOKUP($B30,Показатели!$E:$W,2,FALSE)),"")</f>
        <v>54551167999.999992</v>
      </c>
      <c r="F30">
        <f>IFERROR(IF(VLOOKUP($B30,Показатели!$E:$W,3,FALSE)=0,"",VLOOKUP($B30,Показатели!$E:$W,3,FALSE)),"")</f>
        <v>745458279999.99988</v>
      </c>
      <c r="G30">
        <f>IFERROR(IF(VLOOKUP($B30,Показатели!$E:$W,4,FALSE)=0,"",VLOOKUP($B30,Показатели!$E:$W,4,FALSE)),"")</f>
        <v>2500240624000</v>
      </c>
      <c r="H30" t="str">
        <f>IFERROR(IF(VLOOKUP($B30,Показатели!$E:$W,5,FALSE)=0,"",VLOOKUP($B30,Показатели!$E:$W,5,FALSE)),"")</f>
        <v/>
      </c>
      <c r="I30">
        <f>IFERROR(IF(VLOOKUP($B30,Показатели!$E:$W,6,FALSE)=0,"",VLOOKUP($B30,Показатели!$E:$W,6,FALSE)),"")</f>
        <v>3487132431999.9995</v>
      </c>
      <c r="J30">
        <f>IFERROR(IF(VLOOKUP($B30,Показатели!$E:$W,7,FALSE)=0,"",VLOOKUP($B30,Показатели!$E:$W,7,FALSE)),"")</f>
        <v>417322807999.99994</v>
      </c>
      <c r="K30">
        <f>IFERROR(IF(VLOOKUP($B30,Показатели!$E:$W,8,FALSE)=0,"",VLOOKUP($B30,Показатели!$E:$W,8,FALSE)),"")</f>
        <v>557205768000</v>
      </c>
      <c r="L30">
        <f>IFERROR(IF(VLOOKUP($B30,Показатели!$E:$W,9,FALSE)=0,"",VLOOKUP($B30,Показатели!$E:$W,9,FALSE)),"")</f>
        <v>2604340312000</v>
      </c>
      <c r="M30">
        <f>IFERROR(IF(VLOOKUP($B30,Показатели!$E:$W,10,FALSE)=0,"",VLOOKUP($B30,Показатели!$E:$W,10,FALSE)),"")</f>
        <v>2512635720000</v>
      </c>
      <c r="N30">
        <f>IFERROR(IF(VLOOKUP($B30,Показатели!$E:$W,11,FALSE)=0,"",VLOOKUP($B30,Показатели!$E:$W,11,FALSE)),"")</f>
        <v>4507226528000</v>
      </c>
      <c r="O30" t="str">
        <f>IFERROR(IF(VLOOKUP($B30,Показатели!$E:$W,12,FALSE)=0,"",VLOOKUP($B30,Показатели!$E:$W,12,FALSE)),"")</f>
        <v/>
      </c>
      <c r="P30">
        <f>IFERROR(IF(VLOOKUP($B30,Показатели!$E:$W,13,FALSE)=0,"",VLOOKUP($B30,Показатели!$E:$W,13,FALSE)),"")</f>
        <v>333233712000</v>
      </c>
      <c r="Q30">
        <f>IFERROR(IF(VLOOKUP($B30,Показатели!$E:$W,14,FALSE)=0,"",VLOOKUP($B30,Показатели!$E:$W,14,FALSE)),"")</f>
        <v>243026727999.99997</v>
      </c>
      <c r="R30" t="str">
        <f>IFERROR(IF(VLOOKUP($B30,Показатели!$E:$W,15,FALSE)=0,"",VLOOKUP($B30,Показатели!$E:$W,15,FALSE)),"")</f>
        <v/>
      </c>
      <c r="S30">
        <f>IFERROR(IF(VLOOKUP($B30,Показатели!$E:$W,16,FALSE)=0,"",VLOOKUP($B30,Показатели!$E:$W,16,FALSE)),"")</f>
        <v>531109151999.99994</v>
      </c>
      <c r="T30" t="str">
        <f>IFERROR(IF(VLOOKUP($B30,Показатели!$E:$W,17,FALSE)=0,"",VLOOKUP($B30,Показатели!$E:$W,17,FALSE)),"")</f>
        <v/>
      </c>
      <c r="U30">
        <f>IFERROR(IF(VLOOKUP($B30,Показатели!$E:$W,18,FALSE)=0,"",VLOOKUP($B30,Показатели!$E:$W,18,FALSE)),"")</f>
        <v>4323062694266.6646</v>
      </c>
      <c r="V30">
        <f>IFERROR(IF(VLOOKUP($B30,Показатели!$E:$W,19,FALSE)=0,"",VLOOKUP($B30,Показатели!$E:$W,19,FALSE)),"")</f>
        <v>3074021220565.5156</v>
      </c>
    </row>
    <row r="31" spans="1:22" x14ac:dyDescent="0.2">
      <c r="A31" s="7" t="s">
        <v>2178</v>
      </c>
      <c r="B31" t="str">
        <f t="shared" si="0"/>
        <v>LKOH IV кв. 2012</v>
      </c>
      <c r="C31">
        <v>2012</v>
      </c>
      <c r="D31">
        <f>SUMIFS(Дивиденды!$C:$C,Дивиденды!$A:$A,A31,Дивиденды!$I:$I,C31)</f>
        <v>90</v>
      </c>
      <c r="E31">
        <f>IFERROR(IF(VLOOKUP($B31,Показатели!$E:$W,2,FALSE)=0,"",VLOOKUP($B31,Показатели!$E:$W,2,FALSE)),"")</f>
        <v>90517454721.839035</v>
      </c>
      <c r="F31">
        <f>IFERROR(IF(VLOOKUP($B31,Показатели!$E:$W,3,FALSE)=0,"",VLOOKUP($B31,Показатели!$E:$W,3,FALSE)),"")</f>
        <v>753991138799.99963</v>
      </c>
      <c r="G31">
        <f>IFERROR(IF(VLOOKUP($B31,Показатели!$E:$W,4,FALSE)=0,"",VLOOKUP($B31,Показатели!$E:$W,4,FALSE)),"")</f>
        <v>2077583707673.562</v>
      </c>
      <c r="H31" t="str">
        <f>IFERROR(IF(VLOOKUP($B31,Показатели!$E:$W,5,FALSE)=0,"",VLOOKUP($B31,Показатели!$E:$W,5,FALSE)),"")</f>
        <v/>
      </c>
      <c r="I31">
        <f>IFERROR(IF(VLOOKUP($B31,Показатели!$E:$W,6,FALSE)=0,"",VLOOKUP($B31,Показатели!$E:$W,6,FALSE)),"")</f>
        <v>3074021220565.5156</v>
      </c>
      <c r="J31">
        <f>IFERROR(IF(VLOOKUP($B31,Показатели!$E:$W,7,FALSE)=0,"",VLOOKUP($B31,Показатели!$E:$W,7,FALSE)),"")</f>
        <v>386826995075.86188</v>
      </c>
      <c r="K31">
        <f>IFERROR(IF(VLOOKUP($B31,Показатели!$E:$W,8,FALSE)=0,"",VLOOKUP($B31,Показатели!$E:$W,8,FALSE)),"")</f>
        <v>382695621885.05725</v>
      </c>
      <c r="L31">
        <f>IFERROR(IF(VLOOKUP($B31,Показатели!$E:$W,9,FALSE)=0,"",VLOOKUP($B31,Показатели!$E:$W,9,FALSE)),"")</f>
        <v>2367494279025.2861</v>
      </c>
      <c r="M31">
        <f>IFERROR(IF(VLOOKUP($B31,Показатели!$E:$W,10,FALSE)=0,"",VLOOKUP($B31,Показатели!$E:$W,10,FALSE)),"")</f>
        <v>2304498603604.5967</v>
      </c>
      <c r="N31">
        <f>IFERROR(IF(VLOOKUP($B31,Показатели!$E:$W,11,FALSE)=0,"",VLOOKUP($B31,Показатели!$E:$W,11,FALSE)),"")</f>
        <v>4323062694266.6646</v>
      </c>
      <c r="O31">
        <f>IFERROR(IF(VLOOKUP($B31,Показатели!$E:$W,12,FALSE)=0,"",VLOOKUP($B31,Показатели!$E:$W,12,FALSE)),"")</f>
        <v>437055795448.27563</v>
      </c>
      <c r="P31">
        <f>IFERROR(IF(VLOOKUP($B31,Показатели!$E:$W,13,FALSE)=0,"",VLOOKUP($B31,Показатели!$E:$W,13,FALSE)),"")</f>
        <v>426276949604.59747</v>
      </c>
      <c r="Q31">
        <f>IFERROR(IF(VLOOKUP($B31,Показатели!$E:$W,14,FALSE)=0,"",VLOOKUP($B31,Показатели!$E:$W,14,FALSE)),"")</f>
        <v>339362797816.0918</v>
      </c>
      <c r="R31" t="str">
        <f>IFERROR(IF(VLOOKUP($B31,Показатели!$E:$W,15,FALSE)=0,"",VLOOKUP($B31,Показатели!$E:$W,15,FALSE)),"")</f>
        <v/>
      </c>
      <c r="S31">
        <f>IFERROR(IF(VLOOKUP($B31,Показатели!$E:$W,16,FALSE)=0,"",VLOOKUP($B31,Показатели!$E:$W,16,FALSE)),"")</f>
        <v>587555818827.58594</v>
      </c>
      <c r="T31" t="str">
        <f>IFERROR(IF(VLOOKUP($B31,Показатели!$E:$W,17,FALSE)=0,"",VLOOKUP($B31,Показатели!$E:$W,17,FALSE)),"")</f>
        <v/>
      </c>
      <c r="U31">
        <f>IFERROR(IF(VLOOKUP($B31,Показатели!$E:$W,18,FALSE)=0,"",VLOOKUP($B31,Показатели!$E:$W,18,FALSE)),"")</f>
        <v>3929635386346.1543</v>
      </c>
      <c r="V31">
        <f>IFERROR(IF(VLOOKUP($B31,Показатели!$E:$W,19,FALSE)=0,"",VLOOKUP($B31,Показатели!$E:$W,19,FALSE)),"")</f>
        <v>2681266817446.1538</v>
      </c>
    </row>
    <row r="32" spans="1:22" x14ac:dyDescent="0.2">
      <c r="A32" s="7" t="s">
        <v>2178</v>
      </c>
      <c r="B32" t="str">
        <f t="shared" si="0"/>
        <v>LKOH IV кв. 2011</v>
      </c>
      <c r="C32">
        <v>2011</v>
      </c>
      <c r="D32">
        <f>SUMIFS(Дивиденды!$C:$C,Дивиденды!$A:$A,A32,Дивиденды!$I:$I,C32)</f>
        <v>75</v>
      </c>
      <c r="E32">
        <f>IFERROR(IF(VLOOKUP($B32,Показатели!$E:$W,2,FALSE)=0,"",VLOOKUP($B32,Показатели!$E:$W,2,FALSE)),"")</f>
        <v>80944902496.153854</v>
      </c>
      <c r="F32">
        <f>IFERROR(IF(VLOOKUP($B32,Показатели!$E:$W,3,FALSE)=0,"",VLOOKUP($B32,Показатели!$E:$W,3,FALSE)),"")</f>
        <v>691809884065.38464</v>
      </c>
      <c r="G32">
        <f>IFERROR(IF(VLOOKUP($B32,Показатели!$E:$W,4,FALSE)=0,"",VLOOKUP($B32,Показатели!$E:$W,4,FALSE)),"")</f>
        <v>1670146493457.6924</v>
      </c>
      <c r="H32" t="str">
        <f>IFERROR(IF(VLOOKUP($B32,Показатели!$E:$W,5,FALSE)=0,"",VLOOKUP($B32,Показатели!$E:$W,5,FALSE)),"")</f>
        <v/>
      </c>
      <c r="I32">
        <f>IFERROR(IF(VLOOKUP($B32,Показатели!$E:$W,6,FALSE)=0,"",VLOOKUP($B32,Показатели!$E:$W,6,FALSE)),"")</f>
        <v>2681266817446.1538</v>
      </c>
      <c r="J32">
        <f>IFERROR(IF(VLOOKUP($B32,Показатели!$E:$W,7,FALSE)=0,"",VLOOKUP($B32,Показатели!$E:$W,7,FALSE)),"")</f>
        <v>326602243707.69232</v>
      </c>
      <c r="K32">
        <f>IFERROR(IF(VLOOKUP($B32,Показатели!$E:$W,8,FALSE)=0,"",VLOOKUP($B32,Показатели!$E:$W,8,FALSE)),"")</f>
        <v>370999919976.9231</v>
      </c>
      <c r="L32">
        <f>IFERROR(IF(VLOOKUP($B32,Показатели!$E:$W,9,FALSE)=0,"",VLOOKUP($B32,Показатели!$E:$W,9,FALSE)),"")</f>
        <v>1997601407769.231</v>
      </c>
      <c r="M32">
        <f>IFERROR(IF(VLOOKUP($B32,Показатели!$E:$W,10,FALSE)=0,"",VLOOKUP($B32,Показатели!$E:$W,10,FALSE)),"")</f>
        <v>1983664653761.5386</v>
      </c>
      <c r="N32">
        <f>IFERROR(IF(VLOOKUP($B32,Показатели!$E:$W,11,FALSE)=0,"",VLOOKUP($B32,Показатели!$E:$W,11,FALSE)),"")</f>
        <v>3929635386346.1543</v>
      </c>
      <c r="O32">
        <f>IFERROR(IF(VLOOKUP($B32,Показатели!$E:$W,12,FALSE)=0,"",VLOOKUP($B32,Показатели!$E:$W,12,FALSE)),"")</f>
        <v>386789027365.38464</v>
      </c>
      <c r="P32">
        <f>IFERROR(IF(VLOOKUP($B32,Показатели!$E:$W,13,FALSE)=0,"",VLOOKUP($B32,Показатели!$E:$W,13,FALSE)),"")</f>
        <v>385730539719.23077</v>
      </c>
      <c r="Q32">
        <f>IFERROR(IF(VLOOKUP($B32,Показатели!$E:$W,14,FALSE)=0,"",VLOOKUP($B32,Показатели!$E:$W,14,FALSE)),"")</f>
        <v>288908322530.76923</v>
      </c>
      <c r="R32" t="str">
        <f>IFERROR(IF(VLOOKUP($B32,Показатели!$E:$W,15,FALSE)=0,"",VLOOKUP($B32,Показатели!$E:$W,15,FALSE)),"")</f>
        <v/>
      </c>
      <c r="S32">
        <f>IFERROR(IF(VLOOKUP($B32,Показатели!$E:$W,16,FALSE)=0,"",VLOOKUP($B32,Показатели!$E:$W,16,FALSE)),"")</f>
        <v>573024048219.23083</v>
      </c>
      <c r="T32" t="str">
        <f>IFERROR(IF(VLOOKUP($B32,Показатели!$E:$W,17,FALSE)=0,"",VLOOKUP($B32,Показатели!$E:$W,17,FALSE)),"")</f>
        <v/>
      </c>
      <c r="U32">
        <f>IFERROR(IF(VLOOKUP($B32,Показатели!$E:$W,18,FALSE)=0,"",VLOOKUP($B32,Показатели!$E:$W,18,FALSE)),"")</f>
        <v>3187663363035.3843</v>
      </c>
      <c r="V32">
        <f>IFERROR(IF(VLOOKUP($B32,Показатели!$E:$W,19,FALSE)=0,"",VLOOKUP($B32,Показатели!$E:$W,19,FALSE)),"")</f>
        <v>2551716078853.4614</v>
      </c>
    </row>
    <row r="33" spans="1:22" x14ac:dyDescent="0.2">
      <c r="A33" s="7" t="s">
        <v>2178</v>
      </c>
      <c r="B33" t="str">
        <f t="shared" si="0"/>
        <v>LKOH IV кв. 2010</v>
      </c>
      <c r="C33">
        <v>2010</v>
      </c>
      <c r="D33">
        <f>SUMIFS(Дивиденды!$C:$C,Дивиденды!$A:$A,A33,Дивиденды!$I:$I,C33)</f>
        <v>59</v>
      </c>
      <c r="E33">
        <f>IFERROR(IF(VLOOKUP($B33,Показатели!$E:$W,2,FALSE)=0,"",VLOOKUP($B33,Показатели!$E:$W,2,FALSE)),"")</f>
        <v>71919536221.538452</v>
      </c>
      <c r="F33">
        <f>IFERROR(IF(VLOOKUP($B33,Показатели!$E:$W,3,FALSE)=0,"",VLOOKUP($B33,Показатели!$E:$W,3,FALSE)),"")</f>
        <v>626167685084.23071</v>
      </c>
      <c r="G33">
        <f>IFERROR(IF(VLOOKUP($B33,Показатели!$E:$W,4,FALSE)=0,"",VLOOKUP($B33,Показатели!$E:$W,4,FALSE)),"")</f>
        <v>1659160618347.3076</v>
      </c>
      <c r="H33" t="str">
        <f>IFERROR(IF(VLOOKUP($B33,Показатели!$E:$W,5,FALSE)=0,"",VLOOKUP($B33,Показатели!$E:$W,5,FALSE)),"")</f>
        <v/>
      </c>
      <c r="I33">
        <f>IFERROR(IF(VLOOKUP($B33,Показатели!$E:$W,6,FALSE)=0,"",VLOOKUP($B33,Показатели!$E:$W,6,FALSE)),"")</f>
        <v>2551716078853.4614</v>
      </c>
      <c r="J33">
        <f>IFERROR(IF(VLOOKUP($B33,Показатели!$E:$W,7,FALSE)=0,"",VLOOKUP($B33,Показатели!$E:$W,7,FALSE)),"")</f>
        <v>327252112663.46155</v>
      </c>
      <c r="K33">
        <f>IFERROR(IF(VLOOKUP($B33,Показатели!$E:$W,8,FALSE)=0,"",VLOOKUP($B33,Показатели!$E:$W,8,FALSE)),"")</f>
        <v>414144761789.23077</v>
      </c>
      <c r="L33">
        <f>IFERROR(IF(VLOOKUP($B33,Показатели!$E:$W,9,FALSE)=0,"",VLOOKUP($B33,Показатели!$E:$W,9,FALSE)),"")</f>
        <v>1798352862647.6921</v>
      </c>
      <c r="M33">
        <f>IFERROR(IF(VLOOKUP($B33,Показатели!$E:$W,10,FALSE)=0,"",VLOOKUP($B33,Показатели!$E:$W,10,FALSE)),"")</f>
        <v>1810379947252.3076</v>
      </c>
      <c r="N33">
        <f>IFERROR(IF(VLOOKUP($B33,Показатели!$E:$W,11,FALSE)=0,"",VLOOKUP($B33,Показатели!$E:$W,11,FALSE)),"")</f>
        <v>3187663363035.3843</v>
      </c>
      <c r="O33">
        <f>IFERROR(IF(VLOOKUP($B33,Показатели!$E:$W,12,FALSE)=0,"",VLOOKUP($B33,Показатели!$E:$W,12,FALSE)),"")</f>
        <v>350273653396.53845</v>
      </c>
      <c r="P33">
        <f>IFERROR(IF(VLOOKUP($B33,Показатели!$E:$W,13,FALSE)=0,"",VLOOKUP($B33,Показатели!$E:$W,13,FALSE)),"")</f>
        <v>348360253573.0769</v>
      </c>
      <c r="Q33">
        <f>IFERROR(IF(VLOOKUP($B33,Показатели!$E:$W,14,FALSE)=0,"",VLOOKUP($B33,Показатели!$E:$W,14,FALSE)),"")</f>
        <v>276957031589.61536</v>
      </c>
      <c r="R33" t="str">
        <f>IFERROR(IF(VLOOKUP($B33,Показатели!$E:$W,15,FALSE)=0,"",VLOOKUP($B33,Показатели!$E:$W,15,FALSE)),"")</f>
        <v/>
      </c>
      <c r="S33" t="str">
        <f>IFERROR(IF(VLOOKUP($B33,Показатели!$E:$W,16,FALSE)=0,"",VLOOKUP($B33,Показатели!$E:$W,16,FALSE)),"")</f>
        <v/>
      </c>
      <c r="T33" t="str">
        <f>IFERROR(IF(VLOOKUP($B33,Показатели!$E:$W,17,FALSE)=0,"",VLOOKUP($B33,Показатели!$E:$W,17,FALSE)),"")</f>
        <v/>
      </c>
      <c r="U33">
        <f>IFERROR(IF(VLOOKUP($B33,Показатели!$E:$W,18,FALSE)=0,"",VLOOKUP($B33,Показатели!$E:$W,18,FALSE)),"")</f>
        <v>2573574420000</v>
      </c>
      <c r="V33">
        <f>IFERROR(IF(VLOOKUP($B33,Показатели!$E:$W,19,FALSE)=0,"",VLOOKUP($B33,Показатели!$E:$W,19,FALSE)),"")</f>
        <v>2508063060000</v>
      </c>
    </row>
    <row r="34" spans="1:22" x14ac:dyDescent="0.2">
      <c r="A34" s="7" t="s">
        <v>2182</v>
      </c>
      <c r="B34" t="str">
        <f t="shared" si="0"/>
        <v>NVTK IV кв. 2025</v>
      </c>
      <c r="C34">
        <v>2025</v>
      </c>
      <c r="D34">
        <f>SUMIFS(Дивиденды!$C:$C,Дивиденды!$A:$A,A34,Дивиденды!$I:$I,C34)</f>
        <v>35.5</v>
      </c>
      <c r="E34">
        <f>IFERROR(IF(VLOOKUP($B34,Показатели!$E:$W,2,FALSE)=0,"",VLOOKUP($B34,Показатели!$E:$W,2,FALSE)),"")</f>
        <v>337925000000</v>
      </c>
      <c r="F34">
        <f>IFERROR(IF(VLOOKUP($B34,Показатели!$E:$W,3,FALSE)=0,"",VLOOKUP($B34,Показатели!$E:$W,3,FALSE)),"")</f>
        <v>770433000000</v>
      </c>
      <c r="G34">
        <f>IFERROR(IF(VLOOKUP($B34,Показатели!$E:$W,4,FALSE)=0,"",VLOOKUP($B34,Показатели!$E:$W,4,FALSE)),"")</f>
        <v>1257823000000</v>
      </c>
      <c r="H34" t="str">
        <f>IFERROR(IF(VLOOKUP($B34,Показатели!$E:$W,5,FALSE)=0,"",VLOOKUP($B34,Показатели!$E:$W,5,FALSE)),"")</f>
        <v/>
      </c>
      <c r="I34">
        <f>IFERROR(IF(VLOOKUP($B34,Показатели!$E:$W,6,FALSE)=0,"",VLOOKUP($B34,Показатели!$E:$W,6,FALSE)),"")</f>
        <v>3589106000000</v>
      </c>
      <c r="J34">
        <f>IFERROR(IF(VLOOKUP($B34,Показатели!$E:$W,7,FALSE)=0,"",VLOOKUP($B34,Показатели!$E:$W,7,FALSE)),"")</f>
        <v>423192000000</v>
      </c>
      <c r="K34">
        <f>IFERROR(IF(VLOOKUP($B34,Показатели!$E:$W,8,FALSE)=0,"",VLOOKUP($B34,Показатели!$E:$W,8,FALSE)),"")</f>
        <v>323609000000</v>
      </c>
      <c r="L34" t="str">
        <f>IFERROR(IF(VLOOKUP($B34,Показатели!$E:$W,9,FALSE)=0,"",VLOOKUP($B34,Показатели!$E:$W,9,FALSE)),"")</f>
        <v/>
      </c>
      <c r="M34">
        <f>IFERROR(IF(VLOOKUP($B34,Показатели!$E:$W,10,FALSE)=0,"",VLOOKUP($B34,Показатели!$E:$W,10,FALSE)),"")</f>
        <v>2842305000000</v>
      </c>
      <c r="N34">
        <f>IFERROR(IF(VLOOKUP($B34,Показатели!$E:$W,11,FALSE)=0,"",VLOOKUP($B34,Показатели!$E:$W,11,FALSE)),"")</f>
        <v>1445593000000</v>
      </c>
      <c r="O34">
        <f>IFERROR(IF(VLOOKUP($B34,Показатели!$E:$W,12,FALSE)=0,"",VLOOKUP($B34,Показатели!$E:$W,12,FALSE)),"")</f>
        <v>280957000000</v>
      </c>
      <c r="P34">
        <f>IFERROR(IF(VLOOKUP($B34,Показатели!$E:$W,13,FALSE)=0,"",VLOOKUP($B34,Показатели!$E:$W,13,FALSE)),"")</f>
        <v>239154000000</v>
      </c>
      <c r="Q34">
        <f>IFERROR(IF(VLOOKUP($B34,Показатели!$E:$W,14,FALSE)=0,"",VLOOKUP($B34,Показатели!$E:$W,14,FALSE)),"")</f>
        <v>186033000000</v>
      </c>
      <c r="R34" t="str">
        <f>IFERROR(IF(VLOOKUP($B34,Показатели!$E:$W,15,FALSE)=0,"",VLOOKUP($B34,Показатели!$E:$W,15,FALSE)),"")</f>
        <v/>
      </c>
      <c r="S34">
        <f>IFERROR(IF(VLOOKUP($B34,Показатели!$E:$W,16,FALSE)=0,"",VLOOKUP($B34,Показатели!$E:$W,16,FALSE)),"")</f>
        <v>859306000000</v>
      </c>
      <c r="T34" t="str">
        <f>IFERROR(IF(VLOOKUP($B34,Показатели!$E:$W,17,FALSE)=0,"",VLOOKUP($B34,Показатели!$E:$W,17,FALSE)),"")</f>
        <v/>
      </c>
      <c r="U34">
        <f>IFERROR(IF(VLOOKUP($B34,Показатели!$E:$W,18,FALSE)=0,"",VLOOKUP($B34,Показатели!$E:$W,18,FALSE)),"")</f>
        <v>1545851000000</v>
      </c>
      <c r="V34">
        <f>IFERROR(IF(VLOOKUP($B34,Показатели!$E:$W,19,FALSE)=0,"",VLOOKUP($B34,Показатели!$E:$W,19,FALSE)),"")</f>
        <v>3740785000000</v>
      </c>
    </row>
    <row r="35" spans="1:22" x14ac:dyDescent="0.2">
      <c r="A35" s="7" t="s">
        <v>2182</v>
      </c>
      <c r="B35" t="str">
        <f t="shared" si="0"/>
        <v>NVTK IV кв. 2024</v>
      </c>
      <c r="C35">
        <v>2024</v>
      </c>
      <c r="D35">
        <f>SUMIFS(Дивиденды!$C:$C,Дивиденды!$A:$A,A35,Дивиденды!$I:$I,C35)</f>
        <v>82.15</v>
      </c>
      <c r="E35">
        <f>IFERROR(IF(VLOOKUP($B35,Показатели!$E:$W,2,FALSE)=0,"",VLOOKUP($B35,Показатели!$E:$W,2,FALSE)),"")</f>
        <v>178436000000</v>
      </c>
      <c r="F35">
        <f>IFERROR(IF(VLOOKUP($B35,Показатели!$E:$W,3,FALSE)=0,"",VLOOKUP($B35,Показатели!$E:$W,3,FALSE)),"")</f>
        <v>635128000000</v>
      </c>
      <c r="G35">
        <f>IFERROR(IF(VLOOKUP($B35,Показатели!$E:$W,4,FALSE)=0,"",VLOOKUP($B35,Показатели!$E:$W,4,FALSE)),"")</f>
        <v>1274406000000</v>
      </c>
      <c r="H35" t="str">
        <f>IFERROR(IF(VLOOKUP($B35,Показатели!$E:$W,5,FALSE)=0,"",VLOOKUP($B35,Показатели!$E:$W,5,FALSE)),"")</f>
        <v/>
      </c>
      <c r="I35">
        <f>IFERROR(IF(VLOOKUP($B35,Показатели!$E:$W,6,FALSE)=0,"",VLOOKUP($B35,Показатели!$E:$W,6,FALSE)),"")</f>
        <v>3740785000000</v>
      </c>
      <c r="J35">
        <f>IFERROR(IF(VLOOKUP($B35,Показатели!$E:$W,7,FALSE)=0,"",VLOOKUP($B35,Показатели!$E:$W,7,FALSE)),"")</f>
        <v>495084000000</v>
      </c>
      <c r="K35">
        <f>IFERROR(IF(VLOOKUP($B35,Показатели!$E:$W,8,FALSE)=0,"",VLOOKUP($B35,Показатели!$E:$W,8,FALSE)),"")</f>
        <v>397700000000</v>
      </c>
      <c r="L35" t="str">
        <f>IFERROR(IF(VLOOKUP($B35,Показатели!$E:$W,9,FALSE)=0,"",VLOOKUP($B35,Показатели!$E:$W,9,FALSE)),"")</f>
        <v/>
      </c>
      <c r="M35">
        <f>IFERROR(IF(VLOOKUP($B35,Показатели!$E:$W,10,FALSE)=0,"",VLOOKUP($B35,Показатели!$E:$W,10,FALSE)),"")</f>
        <v>2848001000000</v>
      </c>
      <c r="N35">
        <f>IFERROR(IF(VLOOKUP($B35,Показатели!$E:$W,11,FALSE)=0,"",VLOOKUP($B35,Показатели!$E:$W,11,FALSE)),"")</f>
        <v>1545851000000</v>
      </c>
      <c r="O35">
        <f>IFERROR(IF(VLOOKUP($B35,Показатели!$E:$W,12,FALSE)=0,"",VLOOKUP($B35,Показатели!$E:$W,12,FALSE)),"")</f>
        <v>324782000000</v>
      </c>
      <c r="P35">
        <f>IFERROR(IF(VLOOKUP($B35,Показатели!$E:$W,13,FALSE)=0,"",VLOOKUP($B35,Показатели!$E:$W,13,FALSE)),"")</f>
        <v>573294000000</v>
      </c>
      <c r="Q35">
        <f>IFERROR(IF(VLOOKUP($B35,Показатели!$E:$W,14,FALSE)=0,"",VLOOKUP($B35,Показатели!$E:$W,14,FALSE)),"")</f>
        <v>500211000000</v>
      </c>
      <c r="R35" t="str">
        <f>IFERROR(IF(VLOOKUP($B35,Показатели!$E:$W,15,FALSE)=0,"",VLOOKUP($B35,Показатели!$E:$W,15,FALSE)),"")</f>
        <v/>
      </c>
      <c r="S35">
        <f>IFERROR(IF(VLOOKUP($B35,Показатели!$E:$W,16,FALSE)=0,"",VLOOKUP($B35,Показатели!$E:$W,16,FALSE)),"")</f>
        <v>1007614000000</v>
      </c>
      <c r="T35" t="str">
        <f>IFERROR(IF(VLOOKUP($B35,Показатели!$E:$W,17,FALSE)=0,"",VLOOKUP($B35,Показатели!$E:$W,17,FALSE)),"")</f>
        <v/>
      </c>
      <c r="U35">
        <f>IFERROR(IF(VLOOKUP($B35,Показатели!$E:$W,18,FALSE)=0,"",VLOOKUP($B35,Показатели!$E:$W,18,FALSE)),"")</f>
        <v>1371508000000</v>
      </c>
      <c r="V35">
        <f>IFERROR(IF(VLOOKUP($B35,Показатели!$E:$W,19,FALSE)=0,"",VLOOKUP($B35,Показатели!$E:$W,19,FALSE)),"")</f>
        <v>3219153000000</v>
      </c>
    </row>
    <row r="36" spans="1:22" x14ac:dyDescent="0.2">
      <c r="A36" s="7" t="s">
        <v>2182</v>
      </c>
      <c r="B36" t="str">
        <f t="shared" si="0"/>
        <v>NVTK IV кв. 2023</v>
      </c>
      <c r="C36">
        <v>2023</v>
      </c>
      <c r="D36">
        <f>SUMIFS(Дивиденды!$C:$C,Дивиденды!$A:$A,A36,Дивиденды!$I:$I,C36)</f>
        <v>78.59</v>
      </c>
      <c r="E36">
        <f>IFERROR(IF(VLOOKUP($B36,Показатели!$E:$W,2,FALSE)=0,"",VLOOKUP($B36,Показатели!$E:$W,2,FALSE)),"")</f>
        <v>157661000000</v>
      </c>
      <c r="F36">
        <f>IFERROR(IF(VLOOKUP($B36,Показатели!$E:$W,3,FALSE)=0,"",VLOOKUP($B36,Показатели!$E:$W,3,FALSE)),"")</f>
        <v>562218000000</v>
      </c>
      <c r="G36">
        <f>IFERROR(IF(VLOOKUP($B36,Показатели!$E:$W,4,FALSE)=0,"",VLOOKUP($B36,Показатели!$E:$W,4,FALSE)),"")</f>
        <v>1159138000000</v>
      </c>
      <c r="H36" t="str">
        <f>IFERROR(IF(VLOOKUP($B36,Показатели!$E:$W,5,FALSE)=0,"",VLOOKUP($B36,Показатели!$E:$W,5,FALSE)),"")</f>
        <v/>
      </c>
      <c r="I36">
        <f>IFERROR(IF(VLOOKUP($B36,Показатели!$E:$W,6,FALSE)=0,"",VLOOKUP($B36,Показатели!$E:$W,6,FALSE)),"")</f>
        <v>3219153000000</v>
      </c>
      <c r="J36">
        <f>IFERROR(IF(VLOOKUP($B36,Показатели!$E:$W,7,FALSE)=0,"",VLOOKUP($B36,Показатели!$E:$W,7,FALSE)),"")</f>
        <v>301605000000</v>
      </c>
      <c r="K36">
        <f>IFERROR(IF(VLOOKUP($B36,Показатели!$E:$W,8,FALSE)=0,"",VLOOKUP($B36,Показатели!$E:$W,8,FALSE)),"")</f>
        <v>311916000000</v>
      </c>
      <c r="L36" t="str">
        <f>IFERROR(IF(VLOOKUP($B36,Показатели!$E:$W,9,FALSE)=0,"",VLOOKUP($B36,Показатели!$E:$W,9,FALSE)),"")</f>
        <v/>
      </c>
      <c r="M36">
        <f>IFERROR(IF(VLOOKUP($B36,Показатели!$E:$W,10,FALSE)=0,"",VLOOKUP($B36,Показатели!$E:$W,10,FALSE)),"")</f>
        <v>2605632000000</v>
      </c>
      <c r="N36">
        <f>IFERROR(IF(VLOOKUP($B36,Показатели!$E:$W,11,FALSE)=0,"",VLOOKUP($B36,Показатели!$E:$W,11,FALSE)),"")</f>
        <v>1371508000000</v>
      </c>
      <c r="O36">
        <f>IFERROR(IF(VLOOKUP($B36,Показатели!$E:$W,12,FALSE)=0,"",VLOOKUP($B36,Показатели!$E:$W,12,FALSE)),"")</f>
        <v>367132000000</v>
      </c>
      <c r="P36">
        <f>IFERROR(IF(VLOOKUP($B36,Показатели!$E:$W,13,FALSE)=0,"",VLOOKUP($B36,Показатели!$E:$W,13,FALSE)),"")</f>
        <v>573522000000</v>
      </c>
      <c r="Q36">
        <f>IFERROR(IF(VLOOKUP($B36,Показатели!$E:$W,14,FALSE)=0,"",VLOOKUP($B36,Показатели!$E:$W,14,FALSE)),"")</f>
        <v>469487000000</v>
      </c>
      <c r="R36">
        <f>IFERROR(IF(VLOOKUP($B36,Показатели!$E:$W,15,FALSE)=0,"",VLOOKUP($B36,Показатели!$E:$W,15,FALSE)),"")</f>
        <v>75326000000</v>
      </c>
      <c r="S36">
        <f>IFERROR(IF(VLOOKUP($B36,Показатели!$E:$W,16,FALSE)=0,"",VLOOKUP($B36,Показатели!$E:$W,16,FALSE)),"")</f>
        <v>889835000000</v>
      </c>
      <c r="T36" t="str">
        <f>IFERROR(IF(VLOOKUP($B36,Показатели!$E:$W,17,FALSE)=0,"",VLOOKUP($B36,Показатели!$E:$W,17,FALSE)),"")</f>
        <v/>
      </c>
      <c r="U36" t="str">
        <f>IFERROR(IF(VLOOKUP($B36,Показатели!$E:$W,18,FALSE)=0,"",VLOOKUP($B36,Показатели!$E:$W,18,FALSE)),"")</f>
        <v/>
      </c>
      <c r="V36" t="str">
        <f>IFERROR(IF(VLOOKUP($B36,Показатели!$E:$W,19,FALSE)=0,"",VLOOKUP($B36,Показатели!$E:$W,19,FALSE)),"")</f>
        <v/>
      </c>
    </row>
    <row r="37" spans="1:22" x14ac:dyDescent="0.2">
      <c r="A37" s="7" t="s">
        <v>2182</v>
      </c>
      <c r="B37" t="str">
        <f t="shared" si="0"/>
        <v>NVTK IV кв. 2022</v>
      </c>
      <c r="C37">
        <v>2022</v>
      </c>
      <c r="D37">
        <f>SUMIFS(Дивиденды!$C:$C,Дивиденды!$A:$A,A37,Дивиденды!$I:$I,C37)</f>
        <v>105.58</v>
      </c>
      <c r="E37" t="str">
        <f>IFERROR(IF(VLOOKUP($B37,Показатели!$E:$W,2,FALSE)=0,"",VLOOKUP($B37,Показатели!$E:$W,2,FALSE)),"")</f>
        <v/>
      </c>
      <c r="F37" t="str">
        <f>IFERROR(IF(VLOOKUP($B37,Показатели!$E:$W,3,FALSE)=0,"",VLOOKUP($B37,Показатели!$E:$W,3,FALSE)),"")</f>
        <v/>
      </c>
      <c r="G37" t="str">
        <f>IFERROR(IF(VLOOKUP($B37,Показатели!$E:$W,4,FALSE)=0,"",VLOOKUP($B37,Показатели!$E:$W,4,FALSE)),"")</f>
        <v/>
      </c>
      <c r="H37" t="str">
        <f>IFERROR(IF(VLOOKUP($B37,Показатели!$E:$W,5,FALSE)=0,"",VLOOKUP($B37,Показатели!$E:$W,5,FALSE)),"")</f>
        <v/>
      </c>
      <c r="I37" t="str">
        <f>IFERROR(IF(VLOOKUP($B37,Показатели!$E:$W,6,FALSE)=0,"",VLOOKUP($B37,Показатели!$E:$W,6,FALSE)),"")</f>
        <v/>
      </c>
      <c r="J37" t="str">
        <f>IFERROR(IF(VLOOKUP($B37,Показатели!$E:$W,7,FALSE)=0,"",VLOOKUP($B37,Показатели!$E:$W,7,FALSE)),"")</f>
        <v/>
      </c>
      <c r="K37" t="str">
        <f>IFERROR(IF(VLOOKUP($B37,Показатели!$E:$W,8,FALSE)=0,"",VLOOKUP($B37,Показатели!$E:$W,8,FALSE)),"")</f>
        <v/>
      </c>
      <c r="L37" t="str">
        <f>IFERROR(IF(VLOOKUP($B37,Показатели!$E:$W,9,FALSE)=0,"",VLOOKUP($B37,Показатели!$E:$W,9,FALSE)),"")</f>
        <v/>
      </c>
      <c r="M37" t="str">
        <f>IFERROR(IF(VLOOKUP($B37,Показатели!$E:$W,10,FALSE)=0,"",VLOOKUP($B37,Показатели!$E:$W,10,FALSE)),"")</f>
        <v/>
      </c>
      <c r="N37" t="str">
        <f>IFERROR(IF(VLOOKUP($B37,Показатели!$E:$W,11,FALSE)=0,"",VLOOKUP($B37,Показатели!$E:$W,11,FALSE)),"")</f>
        <v/>
      </c>
      <c r="O37" t="str">
        <f>IFERROR(IF(VLOOKUP($B37,Показатели!$E:$W,12,FALSE)=0,"",VLOOKUP($B37,Показатели!$E:$W,12,FALSE)),"")</f>
        <v/>
      </c>
      <c r="P37" t="str">
        <f>IFERROR(IF(VLOOKUP($B37,Показатели!$E:$W,13,FALSE)=0,"",VLOOKUP($B37,Показатели!$E:$W,13,FALSE)),"")</f>
        <v/>
      </c>
      <c r="Q37" t="str">
        <f>IFERROR(IF(VLOOKUP($B37,Показатели!$E:$W,14,FALSE)=0,"",VLOOKUP($B37,Показатели!$E:$W,14,FALSE)),"")</f>
        <v/>
      </c>
      <c r="R37" t="str">
        <f>IFERROR(IF(VLOOKUP($B37,Показатели!$E:$W,15,FALSE)=0,"",VLOOKUP($B37,Показатели!$E:$W,15,FALSE)),"")</f>
        <v/>
      </c>
      <c r="S37" t="str">
        <f>IFERROR(IF(VLOOKUP($B37,Показатели!$E:$W,16,FALSE)=0,"",VLOOKUP($B37,Показатели!$E:$W,16,FALSE)),"")</f>
        <v/>
      </c>
      <c r="T37" t="str">
        <f>IFERROR(IF(VLOOKUP($B37,Показатели!$E:$W,17,FALSE)=0,"",VLOOKUP($B37,Показатели!$E:$W,17,FALSE)),"")</f>
        <v/>
      </c>
      <c r="U37" t="str">
        <f>IFERROR(IF(VLOOKUP($B37,Показатели!$E:$W,18,FALSE)=0,"",VLOOKUP($B37,Показатели!$E:$W,18,FALSE)),"")</f>
        <v/>
      </c>
      <c r="V37" t="str">
        <f>IFERROR(IF(VLOOKUP($B37,Показатели!$E:$W,19,FALSE)=0,"",VLOOKUP($B37,Показатели!$E:$W,19,FALSE)),"")</f>
        <v/>
      </c>
    </row>
    <row r="38" spans="1:22" x14ac:dyDescent="0.2">
      <c r="A38" s="7" t="s">
        <v>2182</v>
      </c>
      <c r="B38" t="str">
        <f t="shared" si="0"/>
        <v>NVTK IV кв. 2021</v>
      </c>
      <c r="C38">
        <v>2021</v>
      </c>
      <c r="D38">
        <f>SUMIFS(Дивиденды!$C:$C,Дивиденды!$A:$A,A38,Дивиденды!$I:$I,C38)</f>
        <v>71.44</v>
      </c>
      <c r="E38">
        <f>IFERROR(IF(VLOOKUP($B38,Показатели!$E:$W,2,FALSE)=0,"",VLOOKUP($B38,Показатели!$E:$W,2,FALSE)),"")</f>
        <v>45920000000</v>
      </c>
      <c r="F38">
        <f>IFERROR(IF(VLOOKUP($B38,Показатели!$E:$W,3,FALSE)=0,"",VLOOKUP($B38,Показатели!$E:$W,3,FALSE)),"")</f>
        <v>577067000000</v>
      </c>
      <c r="G38">
        <f>IFERROR(IF(VLOOKUP($B38,Показатели!$E:$W,4,FALSE)=0,"",VLOOKUP($B38,Показатели!$E:$W,4,FALSE)),"")</f>
        <v>870541000000</v>
      </c>
      <c r="H38" t="str">
        <f>IFERROR(IF(VLOOKUP($B38,Показатели!$E:$W,5,FALSE)=0,"",VLOOKUP($B38,Показатели!$E:$W,5,FALSE)),"")</f>
        <v/>
      </c>
      <c r="I38">
        <f>IFERROR(IF(VLOOKUP($B38,Показатели!$E:$W,6,FALSE)=0,"",VLOOKUP($B38,Показатели!$E:$W,6,FALSE)),"")</f>
        <v>2457664000000</v>
      </c>
      <c r="J38">
        <f>IFERROR(IF(VLOOKUP($B38,Показатели!$E:$W,7,FALSE)=0,"",VLOOKUP($B38,Показатели!$E:$W,7,FALSE)),"")</f>
        <v>388783000000</v>
      </c>
      <c r="K38">
        <f>IFERROR(IF(VLOOKUP($B38,Показатели!$E:$W,8,FALSE)=0,"",VLOOKUP($B38,Показатели!$E:$W,8,FALSE)),"")</f>
        <v>157412000000</v>
      </c>
      <c r="L38">
        <f>IFERROR(IF(VLOOKUP($B38,Показатели!$E:$W,9,FALSE)=0,"",VLOOKUP($B38,Показатели!$E:$W,9,FALSE)),"")</f>
        <v>1881186000000</v>
      </c>
      <c r="M38">
        <f>IFERROR(IF(VLOOKUP($B38,Показатели!$E:$W,10,FALSE)=0,"",VLOOKUP($B38,Показатели!$E:$W,10,FALSE)),"")</f>
        <v>1911469000000</v>
      </c>
      <c r="N38">
        <f>IFERROR(IF(VLOOKUP($B38,Показатели!$E:$W,11,FALSE)=0,"",VLOOKUP($B38,Показатели!$E:$W,11,FALSE)),"")</f>
        <v>1156724000000</v>
      </c>
      <c r="O38">
        <f>IFERROR(IF(VLOOKUP($B38,Показатели!$E:$W,12,FALSE)=0,"",VLOOKUP($B38,Показатели!$E:$W,12,FALSE)),"")</f>
        <v>279046000000</v>
      </c>
      <c r="P38">
        <f>IFERROR(IF(VLOOKUP($B38,Показатели!$E:$W,13,FALSE)=0,"",VLOOKUP($B38,Показатели!$E:$W,13,FALSE)),"")</f>
        <v>501204000000</v>
      </c>
      <c r="Q38">
        <f>IFERROR(IF(VLOOKUP($B38,Показатели!$E:$W,14,FALSE)=0,"",VLOOKUP($B38,Показатели!$E:$W,14,FALSE)),"")</f>
        <v>451621000000</v>
      </c>
      <c r="R38">
        <f>IFERROR(IF(VLOOKUP($B38,Показатели!$E:$W,15,FALSE)=0,"",VLOOKUP($B38,Показатели!$E:$W,15,FALSE)),"")</f>
        <v>56599000000</v>
      </c>
      <c r="S38">
        <f>IFERROR(IF(VLOOKUP($B38,Показатели!$E:$W,16,FALSE)=0,"",VLOOKUP($B38,Показатели!$E:$W,16,FALSE)),"")</f>
        <v>748337000000</v>
      </c>
      <c r="T38">
        <f>IFERROR(IF(VLOOKUP($B38,Показатели!$E:$W,17,FALSE)=0,"",VLOOKUP($B38,Показатели!$E:$W,17,FALSE)),"")</f>
        <v>-171620000000</v>
      </c>
      <c r="U38">
        <f>IFERROR(IF(VLOOKUP($B38,Показатели!$E:$W,18,FALSE)=0,"",VLOOKUP($B38,Показатели!$E:$W,18,FALSE)),"")</f>
        <v>711812000000</v>
      </c>
      <c r="V38">
        <f>IFERROR(IF(VLOOKUP($B38,Показатели!$E:$W,19,FALSE)=0,"",VLOOKUP($B38,Показатели!$E:$W,19,FALSE)),"")</f>
        <v>2059178000000</v>
      </c>
    </row>
    <row r="39" spans="1:22" x14ac:dyDescent="0.2">
      <c r="A39" s="7" t="s">
        <v>2182</v>
      </c>
      <c r="B39" t="str">
        <f t="shared" si="0"/>
        <v>NVTK IV кв. 2020</v>
      </c>
      <c r="C39">
        <v>2020</v>
      </c>
      <c r="D39">
        <f>SUMIFS(Дивиденды!$C:$C,Дивиденды!$A:$A,A39,Дивиденды!$I:$I,C39)</f>
        <v>35.56</v>
      </c>
      <c r="E39">
        <f>IFERROR(IF(VLOOKUP($B39,Показатели!$E:$W,2,FALSE)=0,"",VLOOKUP($B39,Показатели!$E:$W,2,FALSE)),"")</f>
        <v>119707000000</v>
      </c>
      <c r="F39">
        <f>IFERROR(IF(VLOOKUP($B39,Показатели!$E:$W,3,FALSE)=0,"",VLOOKUP($B39,Показатели!$E:$W,3,FALSE)),"")</f>
        <v>362934000000</v>
      </c>
      <c r="G39">
        <f>IFERROR(IF(VLOOKUP($B39,Показатели!$E:$W,4,FALSE)=0,"",VLOOKUP($B39,Показатели!$E:$W,4,FALSE)),"")</f>
        <v>729407000000</v>
      </c>
      <c r="H39" t="str">
        <f>IFERROR(IF(VLOOKUP($B39,Показатели!$E:$W,5,FALSE)=0,"",VLOOKUP($B39,Показатели!$E:$W,5,FALSE)),"")</f>
        <v/>
      </c>
      <c r="I39">
        <f>IFERROR(IF(VLOOKUP($B39,Показатели!$E:$W,6,FALSE)=0,"",VLOOKUP($B39,Показатели!$E:$W,6,FALSE)),"")</f>
        <v>2059178000000</v>
      </c>
      <c r="J39">
        <f>IFERROR(IF(VLOOKUP($B39,Показатели!$E:$W,7,FALSE)=0,"",VLOOKUP($B39,Показатели!$E:$W,7,FALSE)),"")</f>
        <v>159996000000</v>
      </c>
      <c r="K39">
        <f>IFERROR(IF(VLOOKUP($B39,Показатели!$E:$W,8,FALSE)=0,"",VLOOKUP($B39,Показатели!$E:$W,8,FALSE)),"")</f>
        <v>260755000000</v>
      </c>
      <c r="L39">
        <f>IFERROR(IF(VLOOKUP($B39,Показатели!$E:$W,9,FALSE)=0,"",VLOOKUP($B39,Показатели!$E:$W,9,FALSE)),"")</f>
        <v>1600391000000</v>
      </c>
      <c r="M39">
        <f>IFERROR(IF(VLOOKUP($B39,Показатели!$E:$W,10,FALSE)=0,"",VLOOKUP($B39,Показатели!$E:$W,10,FALSE)),"")</f>
        <v>1638427000000</v>
      </c>
      <c r="N39">
        <f>IFERROR(IF(VLOOKUP($B39,Показатели!$E:$W,11,FALSE)=0,"",VLOOKUP($B39,Показатели!$E:$W,11,FALSE)),"")</f>
        <v>711812000000</v>
      </c>
      <c r="O39">
        <f>IFERROR(IF(VLOOKUP($B39,Показатели!$E:$W,12,FALSE)=0,"",VLOOKUP($B39,Показатели!$E:$W,12,FALSE)),"")</f>
        <v>113012000000</v>
      </c>
      <c r="P39">
        <f>IFERROR(IF(VLOOKUP($B39,Показатели!$E:$W,13,FALSE)=0,"",VLOOKUP($B39,Показатели!$E:$W,13,FALSE)),"")</f>
        <v>129596000000</v>
      </c>
      <c r="Q39">
        <f>IFERROR(IF(VLOOKUP($B39,Показатели!$E:$W,14,FALSE)=0,"",VLOOKUP($B39,Показатели!$E:$W,14,FALSE)),"")</f>
        <v>78586000000</v>
      </c>
      <c r="R39">
        <f>IFERROR(IF(VLOOKUP($B39,Показатели!$E:$W,15,FALSE)=0,"",VLOOKUP($B39,Показатели!$E:$W,15,FALSE)),"")</f>
        <v>39238000000</v>
      </c>
      <c r="S39">
        <f>IFERROR(IF(VLOOKUP($B39,Показатели!$E:$W,16,FALSE)=0,"",VLOOKUP($B39,Показатели!$E:$W,16,FALSE)),"")</f>
        <v>392008000000</v>
      </c>
      <c r="T39">
        <f>IFERROR(IF(VLOOKUP($B39,Показатели!$E:$W,17,FALSE)=0,"",VLOOKUP($B39,Показатели!$E:$W,17,FALSE)),"")</f>
        <v>-208706000000</v>
      </c>
      <c r="U39">
        <f>IFERROR(IF(VLOOKUP($B39,Показатели!$E:$W,18,FALSE)=0,"",VLOOKUP($B39,Показатели!$E:$W,18,FALSE)),"")</f>
        <v>862803000000</v>
      </c>
      <c r="V39">
        <f>IFERROR(IF(VLOOKUP($B39,Показатели!$E:$W,19,FALSE)=0,"",VLOOKUP($B39,Показатели!$E:$W,19,FALSE)),"")</f>
        <v>2012867000000</v>
      </c>
    </row>
    <row r="40" spans="1:22" x14ac:dyDescent="0.2">
      <c r="A40" s="7" t="s">
        <v>2182</v>
      </c>
      <c r="B40" t="str">
        <f t="shared" si="0"/>
        <v>NVTK IV кв. 2019</v>
      </c>
      <c r="C40">
        <v>2019</v>
      </c>
      <c r="D40">
        <f>SUMIFS(Дивиденды!$C:$C,Дивиденды!$A:$A,A40,Дивиденды!$I:$I,C40)</f>
        <v>32.33</v>
      </c>
      <c r="E40">
        <f>IFERROR(IF(VLOOKUP($B40,Показатели!$E:$W,2,FALSE)=0,"",VLOOKUP($B40,Показатели!$E:$W,2,FALSE)),"")</f>
        <v>53240000000</v>
      </c>
      <c r="F40">
        <f>IFERROR(IF(VLOOKUP($B40,Показатели!$E:$W,3,FALSE)=0,"",VLOOKUP($B40,Показатели!$E:$W,3,FALSE)),"")</f>
        <v>496496000000</v>
      </c>
      <c r="G40">
        <f>IFERROR(IF(VLOOKUP($B40,Показатели!$E:$W,4,FALSE)=0,"",VLOOKUP($B40,Показатели!$E:$W,4,FALSE)),"")</f>
        <v>556798000000</v>
      </c>
      <c r="H40" t="str">
        <f>IFERROR(IF(VLOOKUP($B40,Показатели!$E:$W,5,FALSE)=0,"",VLOOKUP($B40,Показатели!$E:$W,5,FALSE)),"")</f>
        <v/>
      </c>
      <c r="I40">
        <f>IFERROR(IF(VLOOKUP($B40,Показатели!$E:$W,6,FALSE)=0,"",VLOOKUP($B40,Показатели!$E:$W,6,FALSE)),"")</f>
        <v>2012867000000</v>
      </c>
      <c r="J40">
        <f>IFERROR(IF(VLOOKUP($B40,Показатели!$E:$W,7,FALSE)=0,"",VLOOKUP($B40,Показатели!$E:$W,7,FALSE)),"")</f>
        <v>117113000000</v>
      </c>
      <c r="K40">
        <f>IFERROR(IF(VLOOKUP($B40,Показатели!$E:$W,8,FALSE)=0,"",VLOOKUP($B40,Показатели!$E:$W,8,FALSE)),"")</f>
        <v>228678000000</v>
      </c>
      <c r="L40">
        <f>IFERROR(IF(VLOOKUP($B40,Показатели!$E:$W,9,FALSE)=0,"",VLOOKUP($B40,Показатели!$E:$W,9,FALSE)),"")</f>
        <v>1618696000000</v>
      </c>
      <c r="M40">
        <f>IFERROR(IF(VLOOKUP($B40,Показатели!$E:$W,10,FALSE)=0,"",VLOOKUP($B40,Показатели!$E:$W,10,FALSE)),"")</f>
        <v>1667076000000</v>
      </c>
      <c r="N40">
        <f>IFERROR(IF(VLOOKUP($B40,Показатели!$E:$W,11,FALSE)=0,"",VLOOKUP($B40,Показатели!$E:$W,11,FALSE)),"")</f>
        <v>862803000000</v>
      </c>
      <c r="O40">
        <f>IFERROR(IF(VLOOKUP($B40,Показатели!$E:$W,12,FALSE)=0,"",VLOOKUP($B40,Показатели!$E:$W,12,FALSE)),"")</f>
        <v>869589000000</v>
      </c>
      <c r="P40">
        <f>IFERROR(IF(VLOOKUP($B40,Показатели!$E:$W,13,FALSE)=0,"",VLOOKUP($B40,Показатели!$E:$W,13,FALSE)),"")</f>
        <v>1003115000000</v>
      </c>
      <c r="Q40">
        <f>IFERROR(IF(VLOOKUP($B40,Показатели!$E:$W,14,FALSE)=0,"",VLOOKUP($B40,Показатели!$E:$W,14,FALSE)),"")</f>
        <v>883461000000</v>
      </c>
      <c r="R40">
        <f>IFERROR(IF(VLOOKUP($B40,Показатели!$E:$W,15,FALSE)=0,"",VLOOKUP($B40,Показатели!$E:$W,15,FALSE)),"")</f>
        <v>32230000000</v>
      </c>
      <c r="S40">
        <f>IFERROR(IF(VLOOKUP($B40,Показатели!$E:$W,16,FALSE)=0,"",VLOOKUP($B40,Показатели!$E:$W,16,FALSE)),"")</f>
        <v>461157000000</v>
      </c>
      <c r="T40">
        <f>IFERROR(IF(VLOOKUP($B40,Показатели!$E:$W,17,FALSE)=0,"",VLOOKUP($B40,Показатели!$E:$W,17,FALSE)),"")</f>
        <v>-162502000000</v>
      </c>
      <c r="U40">
        <f>IFERROR(IF(VLOOKUP($B40,Показатели!$E:$W,18,FALSE)=0,"",VLOOKUP($B40,Показатели!$E:$W,18,FALSE)),"")</f>
        <v>831758000000</v>
      </c>
      <c r="V40">
        <f>IFERROR(IF(VLOOKUP($B40,Показатели!$E:$W,19,FALSE)=0,"",VLOOKUP($B40,Показатели!$E:$W,19,FALSE)),"")</f>
        <v>1216370000000</v>
      </c>
    </row>
    <row r="41" spans="1:22" x14ac:dyDescent="0.2">
      <c r="A41" s="7" t="s">
        <v>2182</v>
      </c>
      <c r="B41" t="str">
        <f t="shared" si="0"/>
        <v>NVTK IV кв. 2018</v>
      </c>
      <c r="C41">
        <v>2018</v>
      </c>
      <c r="D41">
        <f>SUMIFS(Дивиденды!$C:$C,Дивиденды!$A:$A,A41,Дивиденды!$I:$I,C41)</f>
        <v>26.06</v>
      </c>
      <c r="E41">
        <f>IFERROR(IF(VLOOKUP($B41,Показатели!$E:$W,2,FALSE)=0,"",VLOOKUP($B41,Показатели!$E:$W,2,FALSE)),"")</f>
        <v>41472000000</v>
      </c>
      <c r="F41">
        <f>IFERROR(IF(VLOOKUP($B41,Показатели!$E:$W,3,FALSE)=0,"",VLOOKUP($B41,Показатели!$E:$W,3,FALSE)),"")</f>
        <v>293320000000</v>
      </c>
      <c r="G41">
        <f>IFERROR(IF(VLOOKUP($B41,Показатели!$E:$W,4,FALSE)=0,"",VLOOKUP($B41,Показатели!$E:$W,4,FALSE)),"")</f>
        <v>408201000000</v>
      </c>
      <c r="H41" t="str">
        <f>IFERROR(IF(VLOOKUP($B41,Показатели!$E:$W,5,FALSE)=0,"",VLOOKUP($B41,Показатели!$E:$W,5,FALSE)),"")</f>
        <v/>
      </c>
      <c r="I41">
        <f>IFERROR(IF(VLOOKUP($B41,Показатели!$E:$W,6,FALSE)=0,"",VLOOKUP($B41,Показатели!$E:$W,6,FALSE)),"")</f>
        <v>1216370000000</v>
      </c>
      <c r="J41">
        <f>IFERROR(IF(VLOOKUP($B41,Показатели!$E:$W,7,FALSE)=0,"",VLOOKUP($B41,Показатели!$E:$W,7,FALSE)),"")</f>
        <v>107023000000</v>
      </c>
      <c r="K41">
        <f>IFERROR(IF(VLOOKUP($B41,Показатели!$E:$W,8,FALSE)=0,"",VLOOKUP($B41,Показатели!$E:$W,8,FALSE)),"")</f>
        <v>222752000000</v>
      </c>
      <c r="L41">
        <f>IFERROR(IF(VLOOKUP($B41,Показатели!$E:$W,9,FALSE)=0,"",VLOOKUP($B41,Показатели!$E:$W,9,FALSE)),"")</f>
        <v>843094000000</v>
      </c>
      <c r="M41">
        <f>IFERROR(IF(VLOOKUP($B41,Показатели!$E:$W,10,FALSE)=0,"",VLOOKUP($B41,Показатели!$E:$W,10,FALSE)),"")</f>
        <v>886595000000</v>
      </c>
      <c r="N41">
        <f>IFERROR(IF(VLOOKUP($B41,Показатели!$E:$W,11,FALSE)=0,"",VLOOKUP($B41,Показатели!$E:$W,11,FALSE)),"")</f>
        <v>831758000000</v>
      </c>
      <c r="O41">
        <f>IFERROR(IF(VLOOKUP($B41,Показатели!$E:$W,12,FALSE)=0,"",VLOOKUP($B41,Показатели!$E:$W,12,FALSE)),"")</f>
        <v>227184000000</v>
      </c>
      <c r="P41">
        <f>IFERROR(IF(VLOOKUP($B41,Показатели!$E:$W,13,FALSE)=0,"",VLOOKUP($B41,Показатели!$E:$W,13,FALSE)),"")</f>
        <v>228534000000</v>
      </c>
      <c r="Q41">
        <f>IFERROR(IF(VLOOKUP($B41,Показатели!$E:$W,14,FALSE)=0,"",VLOOKUP($B41,Показатели!$E:$W,14,FALSE)),"")</f>
        <v>182947000000</v>
      </c>
      <c r="R41">
        <f>IFERROR(IF(VLOOKUP($B41,Показатели!$E:$W,15,FALSE)=0,"",VLOOKUP($B41,Показатели!$E:$W,15,FALSE)),"")</f>
        <v>33094000000</v>
      </c>
      <c r="S41">
        <f>IFERROR(IF(VLOOKUP($B41,Показатели!$E:$W,16,FALSE)=0,"",VLOOKUP($B41,Показатели!$E:$W,16,FALSE)),"")</f>
        <v>415296000000</v>
      </c>
      <c r="T41">
        <f>IFERROR(IF(VLOOKUP($B41,Показатели!$E:$W,17,FALSE)=0,"",VLOOKUP($B41,Показатели!$E:$W,17,FALSE)),"")</f>
        <v>-73564000000</v>
      </c>
      <c r="U41">
        <f>IFERROR(IF(VLOOKUP($B41,Показатели!$E:$W,18,FALSE)=0,"",VLOOKUP($B41,Показатели!$E:$W,18,FALSE)),"")</f>
        <v>583186000000</v>
      </c>
      <c r="V41">
        <f>IFERROR(IF(VLOOKUP($B41,Показатели!$E:$W,19,FALSE)=0,"",VLOOKUP($B41,Показатели!$E:$W,19,FALSE)),"")</f>
        <v>1044162000000</v>
      </c>
    </row>
    <row r="42" spans="1:22" x14ac:dyDescent="0.2">
      <c r="A42" s="7" t="s">
        <v>2182</v>
      </c>
      <c r="B42" t="str">
        <f t="shared" si="0"/>
        <v>NVTK IV кв. 2017</v>
      </c>
      <c r="C42">
        <v>2017</v>
      </c>
      <c r="D42">
        <f>SUMIFS(Дивиденды!$C:$C,Дивиденды!$A:$A,A42,Дивиденды!$I:$I,C42)</f>
        <v>14.95</v>
      </c>
      <c r="E42">
        <f>IFERROR(IF(VLOOKUP($B42,Показатели!$E:$W,2,FALSE)=0,"",VLOOKUP($B42,Показатели!$E:$W,2,FALSE)),"")</f>
        <v>65943000000</v>
      </c>
      <c r="F42">
        <f>IFERROR(IF(VLOOKUP($B42,Показатели!$E:$W,3,FALSE)=0,"",VLOOKUP($B42,Показатели!$E:$W,3,FALSE)),"")</f>
        <v>153436000000</v>
      </c>
      <c r="G42">
        <f>IFERROR(IF(VLOOKUP($B42,Показатели!$E:$W,4,FALSE)=0,"",VLOOKUP($B42,Показатели!$E:$W,4,FALSE)),"")</f>
        <v>360051000000</v>
      </c>
      <c r="H42" t="str">
        <f>IFERROR(IF(VLOOKUP($B42,Показатели!$E:$W,5,FALSE)=0,"",VLOOKUP($B42,Показатели!$E:$W,5,FALSE)),"")</f>
        <v/>
      </c>
      <c r="I42">
        <f>IFERROR(IF(VLOOKUP($B42,Показатели!$E:$W,6,FALSE)=0,"",VLOOKUP($B42,Показатели!$E:$W,6,FALSE)),"")</f>
        <v>1044162000000</v>
      </c>
      <c r="J42">
        <f>IFERROR(IF(VLOOKUP($B42,Показатели!$E:$W,7,FALSE)=0,"",VLOOKUP($B42,Показатели!$E:$W,7,FALSE)),"")</f>
        <v>83958000000</v>
      </c>
      <c r="K42">
        <f>IFERROR(IF(VLOOKUP($B42,Показатели!$E:$W,8,FALSE)=0,"",VLOOKUP($B42,Показатели!$E:$W,8,FALSE)),"")</f>
        <v>184545000000</v>
      </c>
      <c r="L42">
        <f>IFERROR(IF(VLOOKUP($B42,Показатели!$E:$W,9,FALSE)=0,"",VLOOKUP($B42,Показатели!$E:$W,9,FALSE)),"")</f>
        <v>732168000000</v>
      </c>
      <c r="M42">
        <f>IFERROR(IF(VLOOKUP($B42,Показатели!$E:$W,10,FALSE)=0,"",VLOOKUP($B42,Показатели!$E:$W,10,FALSE)),"")</f>
        <v>775659000000</v>
      </c>
      <c r="N42">
        <f>IFERROR(IF(VLOOKUP($B42,Показатели!$E:$W,11,FALSE)=0,"",VLOOKUP($B42,Показатели!$E:$W,11,FALSE)),"")</f>
        <v>583186000000</v>
      </c>
      <c r="O42">
        <f>IFERROR(IF(VLOOKUP($B42,Показатели!$E:$W,12,FALSE)=0,"",VLOOKUP($B42,Показатели!$E:$W,12,FALSE)),"")</f>
        <v>163751000000</v>
      </c>
      <c r="P42">
        <f>IFERROR(IF(VLOOKUP($B42,Показатели!$E:$W,13,FALSE)=0,"",VLOOKUP($B42,Показатели!$E:$W,13,FALSE)),"")</f>
        <v>200839000000</v>
      </c>
      <c r="Q42">
        <f>IFERROR(IF(VLOOKUP($B42,Показатели!$E:$W,14,FALSE)=0,"",VLOOKUP($B42,Показатели!$E:$W,14,FALSE)),"")</f>
        <v>166470000000</v>
      </c>
      <c r="R42">
        <f>IFERROR(IF(VLOOKUP($B42,Показатели!$E:$W,15,FALSE)=0,"",VLOOKUP($B42,Показатели!$E:$W,15,FALSE)),"")</f>
        <v>34523000000</v>
      </c>
      <c r="S42">
        <f>IFERROR(IF(VLOOKUP($B42,Показатели!$E:$W,16,FALSE)=0,"",VLOOKUP($B42,Показатели!$E:$W,16,FALSE)),"")</f>
        <v>256464000000</v>
      </c>
      <c r="T42">
        <f>IFERROR(IF(VLOOKUP($B42,Показатели!$E:$W,17,FALSE)=0,"",VLOOKUP($B42,Показатели!$E:$W,17,FALSE)),"")</f>
        <v>-25563000000</v>
      </c>
      <c r="U42">
        <f>IFERROR(IF(VLOOKUP($B42,Показатели!$E:$W,18,FALSE)=0,"",VLOOKUP($B42,Показатели!$E:$W,18,FALSE)),"")</f>
        <v>537472000000</v>
      </c>
      <c r="V42">
        <f>IFERROR(IF(VLOOKUP($B42,Показатели!$E:$W,19,FALSE)=0,"",VLOOKUP($B42,Показатели!$E:$W,19,FALSE)),"")</f>
        <v>963834000000</v>
      </c>
    </row>
    <row r="43" spans="1:22" x14ac:dyDescent="0.2">
      <c r="A43" s="7" t="s">
        <v>2182</v>
      </c>
      <c r="B43" t="str">
        <f t="shared" si="0"/>
        <v>NVTK IV кв. 2016</v>
      </c>
      <c r="C43">
        <v>2016</v>
      </c>
      <c r="D43">
        <f>SUMIFS(Дивиденды!$C:$C,Дивиденды!$A:$A,A43,Дивиденды!$I:$I,C43)</f>
        <v>13.9</v>
      </c>
      <c r="E43">
        <f>IFERROR(IF(VLOOKUP($B43,Показатели!$E:$W,2,FALSE)=0,"",VLOOKUP($B43,Показатели!$E:$W,2,FALSE)),"")</f>
        <v>48301000000</v>
      </c>
      <c r="F43">
        <f>IFERROR(IF(VLOOKUP($B43,Показатели!$E:$W,3,FALSE)=0,"",VLOOKUP($B43,Показатели!$E:$W,3,FALSE)),"")</f>
        <v>132760000000</v>
      </c>
      <c r="G43">
        <f>IFERROR(IF(VLOOKUP($B43,Показатели!$E:$W,4,FALSE)=0,"",VLOOKUP($B43,Показатели!$E:$W,4,FALSE)),"")</f>
        <v>331795000000</v>
      </c>
      <c r="H43" t="str">
        <f>IFERROR(IF(VLOOKUP($B43,Показатели!$E:$W,5,FALSE)=0,"",VLOOKUP($B43,Показатели!$E:$W,5,FALSE)),"")</f>
        <v/>
      </c>
      <c r="I43">
        <f>IFERROR(IF(VLOOKUP($B43,Показатели!$E:$W,6,FALSE)=0,"",VLOOKUP($B43,Показатели!$E:$W,6,FALSE)),"")</f>
        <v>963834000000</v>
      </c>
      <c r="J43">
        <f>IFERROR(IF(VLOOKUP($B43,Показатели!$E:$W,7,FALSE)=0,"",VLOOKUP($B43,Показатели!$E:$W,7,FALSE)),"")</f>
        <v>108791000000</v>
      </c>
      <c r="K43">
        <f>IFERROR(IF(VLOOKUP($B43,Показатели!$E:$W,8,FALSE)=0,"",VLOOKUP($B43,Показатели!$E:$W,8,FALSE)),"")</f>
        <v>197323000000</v>
      </c>
      <c r="L43" t="str">
        <f>IFERROR(IF(VLOOKUP($B43,Показатели!$E:$W,9,FALSE)=0,"",VLOOKUP($B43,Показатели!$E:$W,9,FALSE)),"")</f>
        <v/>
      </c>
      <c r="M43">
        <f>IFERROR(IF(VLOOKUP($B43,Показатели!$E:$W,10,FALSE)=0,"",VLOOKUP($B43,Показатели!$E:$W,10,FALSE)),"")</f>
        <v>657720000000</v>
      </c>
      <c r="N43">
        <f>IFERROR(IF(VLOOKUP($B43,Показатели!$E:$W,11,FALSE)=0,"",VLOOKUP($B43,Показатели!$E:$W,11,FALSE)),"")</f>
        <v>537472000000</v>
      </c>
      <c r="O43">
        <f>IFERROR(IF(VLOOKUP($B43,Показатели!$E:$W,12,FALSE)=0,"",VLOOKUP($B43,Показатели!$E:$W,12,FALSE)),"")</f>
        <v>225266000000</v>
      </c>
      <c r="P43">
        <f>IFERROR(IF(VLOOKUP($B43,Показатели!$E:$W,13,FALSE)=0,"",VLOOKUP($B43,Показатели!$E:$W,13,FALSE)),"")</f>
        <v>308164000000</v>
      </c>
      <c r="Q43">
        <f>IFERROR(IF(VLOOKUP($B43,Показатели!$E:$W,14,FALSE)=0,"",VLOOKUP($B43,Показатели!$E:$W,14,FALSE)),"")</f>
        <v>265073000000</v>
      </c>
      <c r="R43" t="str">
        <f>IFERROR(IF(VLOOKUP($B43,Показатели!$E:$W,15,FALSE)=0,"",VLOOKUP($B43,Показатели!$E:$W,15,FALSE)),"")</f>
        <v/>
      </c>
      <c r="S43">
        <f>IFERROR(IF(VLOOKUP($B43,Показатели!$E:$W,16,FALSE)=0,"",VLOOKUP($B43,Показатели!$E:$W,16,FALSE)),"")</f>
        <v>242407000000</v>
      </c>
      <c r="T43">
        <f>IFERROR(IF(VLOOKUP($B43,Показатели!$E:$W,17,FALSE)=0,"",VLOOKUP($B43,Показатели!$E:$W,17,FALSE)),"")</f>
        <v>35400000000</v>
      </c>
      <c r="U43">
        <f>IFERROR(IF(VLOOKUP($B43,Показатели!$E:$W,18,FALSE)=0,"",VLOOKUP($B43,Показатели!$E:$W,18,FALSE)),"")</f>
        <v>475325000000</v>
      </c>
      <c r="V43">
        <f>IFERROR(IF(VLOOKUP($B43,Показатели!$E:$W,19,FALSE)=0,"",VLOOKUP($B43,Показатели!$E:$W,19,FALSE)),"")</f>
        <v>880024000000</v>
      </c>
    </row>
    <row r="44" spans="1:22" x14ac:dyDescent="0.2">
      <c r="A44" s="7" t="s">
        <v>2182</v>
      </c>
      <c r="B44" t="str">
        <f t="shared" si="0"/>
        <v>NVTK IV кв. 2015</v>
      </c>
      <c r="C44">
        <v>2015</v>
      </c>
      <c r="D44">
        <f>SUMIFS(Дивиденды!$C:$C,Дивиденды!$A:$A,A44,Дивиденды!$I:$I,C44)</f>
        <v>13.5</v>
      </c>
      <c r="E44">
        <f>IFERROR(IF(VLOOKUP($B44,Показатели!$E:$W,2,FALSE)=0,"",VLOOKUP($B44,Показатели!$E:$W,2,FALSE)),"")</f>
        <v>29187000000</v>
      </c>
      <c r="F44">
        <f>IFERROR(IF(VLOOKUP($B44,Показатели!$E:$W,3,FALSE)=0,"",VLOOKUP($B44,Показатели!$E:$W,3,FALSE)),"")</f>
        <v>128472000000</v>
      </c>
      <c r="G44">
        <f>IFERROR(IF(VLOOKUP($B44,Показатели!$E:$W,4,FALSE)=0,"",VLOOKUP($B44,Показатели!$E:$W,4,FALSE)),"")</f>
        <v>331712000000</v>
      </c>
      <c r="H44" t="str">
        <f>IFERROR(IF(VLOOKUP($B44,Показатели!$E:$W,5,FALSE)=0,"",VLOOKUP($B44,Показатели!$E:$W,5,FALSE)),"")</f>
        <v/>
      </c>
      <c r="I44">
        <f>IFERROR(IF(VLOOKUP($B44,Показатели!$E:$W,6,FALSE)=0,"",VLOOKUP($B44,Показатели!$E:$W,6,FALSE)),"")</f>
        <v>880024000000</v>
      </c>
      <c r="J44">
        <f>IFERROR(IF(VLOOKUP($B44,Показатели!$E:$W,7,FALSE)=0,"",VLOOKUP($B44,Показатели!$E:$W,7,FALSE)),"")</f>
        <v>169675000000</v>
      </c>
      <c r="K44">
        <f>IFERROR(IF(VLOOKUP($B44,Показатели!$E:$W,8,FALSE)=0,"",VLOOKUP($B44,Показатели!$E:$W,8,FALSE)),"")</f>
        <v>282178000000</v>
      </c>
      <c r="L44">
        <f>IFERROR(IF(VLOOKUP($B44,Показатели!$E:$W,9,FALSE)=0,"",VLOOKUP($B44,Показатели!$E:$W,9,FALSE)),"")</f>
        <v>399861000000</v>
      </c>
      <c r="M44">
        <f>IFERROR(IF(VLOOKUP($B44,Показатели!$E:$W,10,FALSE)=0,"",VLOOKUP($B44,Показатели!$E:$W,10,FALSE)),"")</f>
        <v>428171000000</v>
      </c>
      <c r="N44">
        <f>IFERROR(IF(VLOOKUP($B44,Показатели!$E:$W,11,FALSE)=0,"",VLOOKUP($B44,Показатели!$E:$W,11,FALSE)),"")</f>
        <v>475325000000</v>
      </c>
      <c r="O44">
        <f>IFERROR(IF(VLOOKUP($B44,Показатели!$E:$W,12,FALSE)=0,"",VLOOKUP($B44,Показатели!$E:$W,12,FALSE)),"")</f>
        <v>140730000000</v>
      </c>
      <c r="P44">
        <f>IFERROR(IF(VLOOKUP($B44,Показатели!$E:$W,13,FALSE)=0,"",VLOOKUP($B44,Показатели!$E:$W,13,FALSE)),"")</f>
        <v>92941000000</v>
      </c>
      <c r="Q44">
        <f>IFERROR(IF(VLOOKUP($B44,Показатели!$E:$W,14,FALSE)=0,"",VLOOKUP($B44,Показатели!$E:$W,14,FALSE)),"")</f>
        <v>74119000000</v>
      </c>
      <c r="R44" t="str">
        <f>IFERROR(IF(VLOOKUP($B44,Показатели!$E:$W,15,FALSE)=0,"",VLOOKUP($B44,Показатели!$E:$W,15,FALSE)),"")</f>
        <v/>
      </c>
      <c r="S44">
        <f>IFERROR(IF(VLOOKUP($B44,Показатели!$E:$W,16,FALSE)=0,"",VLOOKUP($B44,Показатели!$E:$W,16,FALSE)),"")</f>
        <v>214466000000</v>
      </c>
      <c r="T44">
        <f>IFERROR(IF(VLOOKUP($B44,Показатели!$E:$W,17,FALSE)=0,"",VLOOKUP($B44,Показатели!$E:$W,17,FALSE)),"")</f>
        <v>59969000000</v>
      </c>
      <c r="U44">
        <f>IFERROR(IF(VLOOKUP($B44,Показатели!$E:$W,18,FALSE)=0,"",VLOOKUP($B44,Показатели!$E:$W,18,FALSE)),"")</f>
        <v>357643000000</v>
      </c>
      <c r="V44">
        <f>IFERROR(IF(VLOOKUP($B44,Показатели!$E:$W,19,FALSE)=0,"",VLOOKUP($B44,Показатели!$E:$W,19,FALSE)),"")</f>
        <v>699139000000</v>
      </c>
    </row>
    <row r="45" spans="1:22" x14ac:dyDescent="0.2">
      <c r="A45" s="7" t="s">
        <v>2182</v>
      </c>
      <c r="B45" t="str">
        <f t="shared" si="0"/>
        <v>NVTK IV кв. 2014</v>
      </c>
      <c r="C45">
        <v>2014</v>
      </c>
      <c r="D45">
        <f>SUMIFS(Дивиденды!$C:$C,Дивиденды!$A:$A,A45,Дивиденды!$I:$I,C45)</f>
        <v>10.3</v>
      </c>
      <c r="E45">
        <f>IFERROR(IF(VLOOKUP($B45,Показатели!$E:$W,2,FALSE)=0,"",VLOOKUP($B45,Показатели!$E:$W,2,FALSE)),"")</f>
        <v>41318000000</v>
      </c>
      <c r="F45">
        <f>IFERROR(IF(VLOOKUP($B45,Показатели!$E:$W,3,FALSE)=0,"",VLOOKUP($B45,Показатели!$E:$W,3,FALSE)),"")</f>
        <v>126591000000</v>
      </c>
      <c r="G45">
        <f>IFERROR(IF(VLOOKUP($B45,Показатели!$E:$W,4,FALSE)=0,"",VLOOKUP($B45,Показатели!$E:$W,4,FALSE)),"")</f>
        <v>291726000000</v>
      </c>
      <c r="H45" t="str">
        <f>IFERROR(IF(VLOOKUP($B45,Показатели!$E:$W,5,FALSE)=0,"",VLOOKUP($B45,Показатели!$E:$W,5,FALSE)),"")</f>
        <v/>
      </c>
      <c r="I45">
        <f>IFERROR(IF(VLOOKUP($B45,Показатели!$E:$W,6,FALSE)=0,"",VLOOKUP($B45,Показатели!$E:$W,6,FALSE)),"")</f>
        <v>699139000000</v>
      </c>
      <c r="J45">
        <f>IFERROR(IF(VLOOKUP($B45,Показатели!$E:$W,7,FALSE)=0,"",VLOOKUP($B45,Показатели!$E:$W,7,FALSE)),"")</f>
        <v>81208000000</v>
      </c>
      <c r="K45">
        <f>IFERROR(IF(VLOOKUP($B45,Показатели!$E:$W,8,FALSE)=0,"",VLOOKUP($B45,Показатели!$E:$W,8,FALSE)),"")</f>
        <v>230807000000</v>
      </c>
      <c r="L45">
        <f>IFERROR(IF(VLOOKUP($B45,Показатели!$E:$W,9,FALSE)=0,"",VLOOKUP($B45,Показатели!$E:$W,9,FALSE)),"")</f>
        <v>352462000000</v>
      </c>
      <c r="M45">
        <f>IFERROR(IF(VLOOKUP($B45,Показатели!$E:$W,10,FALSE)=0,"",VLOOKUP($B45,Показатели!$E:$W,10,FALSE)),"")</f>
        <v>387124000000</v>
      </c>
      <c r="N45">
        <f>IFERROR(IF(VLOOKUP($B45,Показатели!$E:$W,11,FALSE)=0,"",VLOOKUP($B45,Показатели!$E:$W,11,FALSE)),"")</f>
        <v>357643000000</v>
      </c>
      <c r="O45">
        <f>IFERROR(IF(VLOOKUP($B45,Показатели!$E:$W,12,FALSE)=0,"",VLOOKUP($B45,Показатели!$E:$W,12,FALSE)),"")</f>
        <v>127763000000</v>
      </c>
      <c r="P45">
        <f>IFERROR(IF(VLOOKUP($B45,Показатели!$E:$W,13,FALSE)=0,"",VLOOKUP($B45,Показатели!$E:$W,13,FALSE)),"")</f>
        <v>52843000000</v>
      </c>
      <c r="Q45">
        <f>IFERROR(IF(VLOOKUP($B45,Показатели!$E:$W,14,FALSE)=0,"",VLOOKUP($B45,Показатели!$E:$W,14,FALSE)),"")</f>
        <v>36915000000</v>
      </c>
      <c r="R45" t="str">
        <f>IFERROR(IF(VLOOKUP($B45,Показатели!$E:$W,15,FALSE)=0,"",VLOOKUP($B45,Показатели!$E:$W,15,FALSE)),"")</f>
        <v/>
      </c>
      <c r="S45">
        <f>IFERROR(IF(VLOOKUP($B45,Показатели!$E:$W,16,FALSE)=0,"",VLOOKUP($B45,Показатели!$E:$W,16,FALSE)),"")</f>
        <v>159631000000</v>
      </c>
      <c r="T45">
        <f>IFERROR(IF(VLOOKUP($B45,Показатели!$E:$W,17,FALSE)=0,"",VLOOKUP($B45,Показатели!$E:$W,17,FALSE)),"")</f>
        <v>66530000000</v>
      </c>
      <c r="U45">
        <f>IFERROR(IF(VLOOKUP($B45,Показатели!$E:$W,18,FALSE)=0,"",VLOOKUP($B45,Показатели!$E:$W,18,FALSE)),"")</f>
        <v>298158000000</v>
      </c>
      <c r="V45">
        <f>IFERROR(IF(VLOOKUP($B45,Показатели!$E:$W,19,FALSE)=0,"",VLOOKUP($B45,Показатели!$E:$W,19,FALSE)),"")</f>
        <v>597995000000</v>
      </c>
    </row>
    <row r="46" spans="1:22" x14ac:dyDescent="0.2">
      <c r="A46" s="7" t="s">
        <v>2182</v>
      </c>
      <c r="B46" t="str">
        <f t="shared" si="0"/>
        <v>NVTK IV кв. 2013</v>
      </c>
      <c r="C46">
        <v>2013</v>
      </c>
      <c r="D46">
        <f>SUMIFS(Дивиденды!$C:$C,Дивиденды!$A:$A,A46,Дивиденды!$I:$I,C46)</f>
        <v>7.8900000000000006</v>
      </c>
      <c r="E46">
        <f>IFERROR(IF(VLOOKUP($B46,Показатели!$E:$W,2,FALSE)=0,"",VLOOKUP($B46,Показатели!$E:$W,2,FALSE)),"")</f>
        <v>7889000000</v>
      </c>
      <c r="F46">
        <f>IFERROR(IF(VLOOKUP($B46,Показатели!$E:$W,3,FALSE)=0,"",VLOOKUP($B46,Показатели!$E:$W,3,FALSE)),"")</f>
        <v>82426000000</v>
      </c>
      <c r="G46">
        <f>IFERROR(IF(VLOOKUP($B46,Показатели!$E:$W,4,FALSE)=0,"",VLOOKUP($B46,Показатели!$E:$W,4,FALSE)),"")</f>
        <v>243688000000</v>
      </c>
      <c r="H46" t="str">
        <f>IFERROR(IF(VLOOKUP($B46,Показатели!$E:$W,5,FALSE)=0,"",VLOOKUP($B46,Показатели!$E:$W,5,FALSE)),"")</f>
        <v/>
      </c>
      <c r="I46">
        <f>IFERROR(IF(VLOOKUP($B46,Показатели!$E:$W,6,FALSE)=0,"",VLOOKUP($B46,Показатели!$E:$W,6,FALSE)),"")</f>
        <v>597995000000</v>
      </c>
      <c r="J46">
        <f>IFERROR(IF(VLOOKUP($B46,Показатели!$E:$W,7,FALSE)=0,"",VLOOKUP($B46,Показатели!$E:$W,7,FALSE)),"")</f>
        <v>59873000000</v>
      </c>
      <c r="K46">
        <f>IFERROR(IF(VLOOKUP($B46,Показатели!$E:$W,8,FALSE)=0,"",VLOOKUP($B46,Показатели!$E:$W,8,FALSE)),"")</f>
        <v>165065000000</v>
      </c>
      <c r="L46">
        <f>IFERROR(IF(VLOOKUP($B46,Показатели!$E:$W,9,FALSE)=0,"",VLOOKUP($B46,Показатели!$E:$W,9,FALSE)),"")</f>
        <v>334614000000</v>
      </c>
      <c r="M46">
        <f>IFERROR(IF(VLOOKUP($B46,Показатели!$E:$W,10,FALSE)=0,"",VLOOKUP($B46,Показатели!$E:$W,10,FALSE)),"")</f>
        <v>373057000000</v>
      </c>
      <c r="N46">
        <f>IFERROR(IF(VLOOKUP($B46,Показатели!$E:$W,11,FALSE)=0,"",VLOOKUP($B46,Показатели!$E:$W,11,FALSE)),"")</f>
        <v>298158000000</v>
      </c>
      <c r="O46">
        <f>IFERROR(IF(VLOOKUP($B46,Показатели!$E:$W,12,FALSE)=0,"",VLOOKUP($B46,Показатели!$E:$W,12,FALSE)),"")</f>
        <v>143926000000</v>
      </c>
      <c r="P46">
        <f>IFERROR(IF(VLOOKUP($B46,Показатели!$E:$W,13,FALSE)=0,"",VLOOKUP($B46,Показатели!$E:$W,13,FALSE)),"")</f>
        <v>137130000000</v>
      </c>
      <c r="Q46">
        <f>IFERROR(IF(VLOOKUP($B46,Показатели!$E:$W,14,FALSE)=0,"",VLOOKUP($B46,Показатели!$E:$W,14,FALSE)),"")</f>
        <v>109945000000</v>
      </c>
      <c r="R46" t="str">
        <f>IFERROR(IF(VLOOKUP($B46,Показатели!$E:$W,15,FALSE)=0,"",VLOOKUP($B46,Показатели!$E:$W,15,FALSE)),"")</f>
        <v/>
      </c>
      <c r="S46">
        <f>IFERROR(IF(VLOOKUP($B46,Показатели!$E:$W,16,FALSE)=0,"",VLOOKUP($B46,Показатели!$E:$W,16,FALSE)),"")</f>
        <v>121791000000</v>
      </c>
      <c r="T46" t="str">
        <f>IFERROR(IF(VLOOKUP($B46,Показатели!$E:$W,17,FALSE)=0,"",VLOOKUP($B46,Показатели!$E:$W,17,FALSE)),"")</f>
        <v/>
      </c>
      <c r="U46">
        <f>IFERROR(IF(VLOOKUP($B46,Показатели!$E:$W,18,FALSE)=0,"",VLOOKUP($B46,Показатели!$E:$W,18,FALSE)),"")</f>
        <v>210973000000</v>
      </c>
      <c r="V46">
        <f>IFERROR(IF(VLOOKUP($B46,Показатели!$E:$W,19,FALSE)=0,"",VLOOKUP($B46,Показатели!$E:$W,19,FALSE)),"")</f>
        <v>463133000000</v>
      </c>
    </row>
    <row r="47" spans="1:22" x14ac:dyDescent="0.2">
      <c r="A47" s="7" t="s">
        <v>2182</v>
      </c>
      <c r="B47" t="str">
        <f t="shared" si="0"/>
        <v>NVTK IV кв. 2012</v>
      </c>
      <c r="C47">
        <v>2012</v>
      </c>
      <c r="D47">
        <f>SUMIFS(Дивиденды!$C:$C,Дивиденды!$A:$A,A47,Дивиденды!$I:$I,C47)</f>
        <v>6.8599999999999994</v>
      </c>
      <c r="E47">
        <f>IFERROR(IF(VLOOKUP($B47,Показатели!$E:$W,2,FALSE)=0,"",VLOOKUP($B47,Показатели!$E:$W,2,FALSE)),"")</f>
        <v>18420000000</v>
      </c>
      <c r="F47">
        <f>IFERROR(IF(VLOOKUP($B47,Показатели!$E:$W,3,FALSE)=0,"",VLOOKUP($B47,Показатели!$E:$W,3,FALSE)),"")</f>
        <v>58243000000</v>
      </c>
      <c r="G47">
        <f>IFERROR(IF(VLOOKUP($B47,Показатели!$E:$W,4,FALSE)=0,"",VLOOKUP($B47,Показатели!$E:$W,4,FALSE)),"")</f>
        <v>197376000000</v>
      </c>
      <c r="H47" t="str">
        <f>IFERROR(IF(VLOOKUP($B47,Показатели!$E:$W,5,FALSE)=0,"",VLOOKUP($B47,Показатели!$E:$W,5,FALSE)),"")</f>
        <v/>
      </c>
      <c r="I47">
        <f>IFERROR(IF(VLOOKUP($B47,Показатели!$E:$W,6,FALSE)=0,"",VLOOKUP($B47,Показатели!$E:$W,6,FALSE)),"")</f>
        <v>463133000000</v>
      </c>
      <c r="J47">
        <f>IFERROR(IF(VLOOKUP($B47,Показатели!$E:$W,7,FALSE)=0,"",VLOOKUP($B47,Показатели!$E:$W,7,FALSE)),"")</f>
        <v>55130000000</v>
      </c>
      <c r="K47">
        <f>IFERROR(IF(VLOOKUP($B47,Показатели!$E:$W,8,FALSE)=0,"",VLOOKUP($B47,Показатели!$E:$W,8,FALSE)),"")</f>
        <v>116702000000</v>
      </c>
      <c r="L47">
        <f>IFERROR(IF(VLOOKUP($B47,Показатели!$E:$W,9,FALSE)=0,"",VLOOKUP($B47,Показатели!$E:$W,9,FALSE)),"")</f>
        <v>253606000000</v>
      </c>
      <c r="M47">
        <f>IFERROR(IF(VLOOKUP($B47,Показатели!$E:$W,10,FALSE)=0,"",VLOOKUP($B47,Показатели!$E:$W,10,FALSE)),"")</f>
        <v>291301000000</v>
      </c>
      <c r="N47">
        <f>IFERROR(IF(VLOOKUP($B47,Показатели!$E:$W,11,FALSE)=0,"",VLOOKUP($B47,Показатели!$E:$W,11,FALSE)),"")</f>
        <v>210973000000</v>
      </c>
      <c r="O47">
        <f>IFERROR(IF(VLOOKUP($B47,Показатели!$E:$W,12,FALSE)=0,"",VLOOKUP($B47,Показатели!$E:$W,12,FALSE)),"")</f>
        <v>85334000000</v>
      </c>
      <c r="P47">
        <f>IFERROR(IF(VLOOKUP($B47,Показатели!$E:$W,13,FALSE)=0,"",VLOOKUP($B47,Показатели!$E:$W,13,FALSE)),"")</f>
        <v>86215000000</v>
      </c>
      <c r="Q47">
        <f>IFERROR(IF(VLOOKUP($B47,Показатели!$E:$W,14,FALSE)=0,"",VLOOKUP($B47,Показатели!$E:$W,14,FALSE)),"")</f>
        <v>69441000000</v>
      </c>
      <c r="R47" t="str">
        <f>IFERROR(IF(VLOOKUP($B47,Показатели!$E:$W,15,FALSE)=0,"",VLOOKUP($B47,Показатели!$E:$W,15,FALSE)),"")</f>
        <v/>
      </c>
      <c r="S47">
        <f>IFERROR(IF(VLOOKUP($B47,Показатели!$E:$W,16,FALSE)=0,"",VLOOKUP($B47,Показатели!$E:$W,16,FALSE)),"")</f>
        <v>95106000000</v>
      </c>
      <c r="T47" t="str">
        <f>IFERROR(IF(VLOOKUP($B47,Показатели!$E:$W,17,FALSE)=0,"",VLOOKUP($B47,Показатели!$E:$W,17,FALSE)),"")</f>
        <v/>
      </c>
      <c r="U47">
        <f>IFERROR(IF(VLOOKUP($B47,Показатели!$E:$W,18,FALSE)=0,"",VLOOKUP($B47,Показатели!$E:$W,18,FALSE)),"")</f>
        <v>176064000000</v>
      </c>
      <c r="V47">
        <f>IFERROR(IF(VLOOKUP($B47,Показатели!$E:$W,19,FALSE)=0,"",VLOOKUP($B47,Показатели!$E:$W,19,FALSE)),"")</f>
        <v>383432000000</v>
      </c>
    </row>
    <row r="48" spans="1:22" x14ac:dyDescent="0.2">
      <c r="A48" s="7" t="s">
        <v>2182</v>
      </c>
      <c r="B48" t="str">
        <f t="shared" si="0"/>
        <v>NVTK IV кв. 2011</v>
      </c>
      <c r="C48">
        <v>2011</v>
      </c>
      <c r="D48">
        <f>SUMIFS(Дивиденды!$C:$C,Дивиденды!$A:$A,A48,Дивиденды!$I:$I,C48)</f>
        <v>6</v>
      </c>
      <c r="E48">
        <f>IFERROR(IF(VLOOKUP($B48,Показатели!$E:$W,2,FALSE)=0,"",VLOOKUP($B48,Показатели!$E:$W,2,FALSE)),"")</f>
        <v>23831000000</v>
      </c>
      <c r="F48">
        <f>IFERROR(IF(VLOOKUP($B48,Показатели!$E:$W,3,FALSE)=0,"",VLOOKUP($B48,Показатели!$E:$W,3,FALSE)),"")</f>
        <v>58316000000</v>
      </c>
      <c r="G48">
        <f>IFERROR(IF(VLOOKUP($B48,Показатели!$E:$W,4,FALSE)=0,"",VLOOKUP($B48,Показатели!$E:$W,4,FALSE)),"")</f>
        <v>166784000000</v>
      </c>
      <c r="H48" t="str">
        <f>IFERROR(IF(VLOOKUP($B48,Показатели!$E:$W,5,FALSE)=0,"",VLOOKUP($B48,Показатели!$E:$W,5,FALSE)),"")</f>
        <v/>
      </c>
      <c r="I48">
        <f>IFERROR(IF(VLOOKUP($B48,Показатели!$E:$W,6,FALSE)=0,"",VLOOKUP($B48,Показатели!$E:$W,6,FALSE)),"")</f>
        <v>383432000000</v>
      </c>
      <c r="J48">
        <f>IFERROR(IF(VLOOKUP($B48,Показатели!$E:$W,7,FALSE)=0,"",VLOOKUP($B48,Показатели!$E:$W,7,FALSE)),"")</f>
        <v>50114000000</v>
      </c>
      <c r="K48">
        <f>IFERROR(IF(VLOOKUP($B48,Показатели!$E:$W,8,FALSE)=0,"",VLOOKUP($B48,Показатели!$E:$W,8,FALSE)),"")</f>
        <v>91636000000</v>
      </c>
      <c r="L48">
        <f>IFERROR(IF(VLOOKUP($B48,Показатели!$E:$W,9,FALSE)=0,"",VLOOKUP($B48,Показатели!$E:$W,9,FALSE)),"")</f>
        <v>203871000000</v>
      </c>
      <c r="M48">
        <f>IFERROR(IF(VLOOKUP($B48,Показатели!$E:$W,10,FALSE)=0,"",VLOOKUP($B48,Показатели!$E:$W,10,FALSE)),"")</f>
        <v>241682000000</v>
      </c>
      <c r="N48">
        <f>IFERROR(IF(VLOOKUP($B48,Показатели!$E:$W,11,FALSE)=0,"",VLOOKUP($B48,Показатели!$E:$W,11,FALSE)),"")</f>
        <v>176064000000</v>
      </c>
      <c r="O48">
        <f>IFERROR(IF(VLOOKUP($B48,Показатели!$E:$W,12,FALSE)=0,"",VLOOKUP($B48,Показатели!$E:$W,12,FALSE)),"")</f>
        <v>141608000000</v>
      </c>
      <c r="P48">
        <f>IFERROR(IF(VLOOKUP($B48,Показатели!$E:$W,13,FALSE)=0,"",VLOOKUP($B48,Показатели!$E:$W,13,FALSE)),"")</f>
        <v>135025000000</v>
      </c>
      <c r="Q48">
        <f>IFERROR(IF(VLOOKUP($B48,Показатели!$E:$W,14,FALSE)=0,"",VLOOKUP($B48,Показатели!$E:$W,14,FALSE)),"")</f>
        <v>119291000000</v>
      </c>
      <c r="R48" t="str">
        <f>IFERROR(IF(VLOOKUP($B48,Показатели!$E:$W,15,FALSE)=0,"",VLOOKUP($B48,Показатели!$E:$W,15,FALSE)),"")</f>
        <v/>
      </c>
      <c r="S48">
        <f>IFERROR(IF(VLOOKUP($B48,Показатели!$E:$W,16,FALSE)=0,"",VLOOKUP($B48,Показатели!$E:$W,16,FALSE)),"")</f>
        <v>148349000000</v>
      </c>
      <c r="T48" t="str">
        <f>IFERROR(IF(VLOOKUP($B48,Показатели!$E:$W,17,FALSE)=0,"",VLOOKUP($B48,Показатели!$E:$W,17,FALSE)),"")</f>
        <v/>
      </c>
      <c r="U48">
        <f>IFERROR(IF(VLOOKUP($B48,Показатели!$E:$W,18,FALSE)=0,"",VLOOKUP($B48,Показатели!$E:$W,18,FALSE)),"")</f>
        <v>117024000000</v>
      </c>
      <c r="V48">
        <f>IFERROR(IF(VLOOKUP($B48,Показатели!$E:$W,19,FALSE)=0,"",VLOOKUP($B48,Показатели!$E:$W,19,FALSE)),"")</f>
        <v>285173000000</v>
      </c>
    </row>
    <row r="49" spans="1:22" x14ac:dyDescent="0.2">
      <c r="A49" s="7" t="s">
        <v>2182</v>
      </c>
      <c r="B49" t="str">
        <f t="shared" si="0"/>
        <v>NVTK IV кв. 2010</v>
      </c>
      <c r="C49">
        <v>2010</v>
      </c>
      <c r="D49">
        <f>SUMIFS(Дивиденды!$C:$C,Дивиденды!$A:$A,A49,Дивиденды!$I:$I,C49)</f>
        <v>4</v>
      </c>
      <c r="E49">
        <f>IFERROR(IF(VLOOKUP($B49,Показатели!$E:$W,2,FALSE)=0,"",VLOOKUP($B49,Показатели!$E:$W,2,FALSE)),"")</f>
        <v>10238000000</v>
      </c>
      <c r="F49">
        <f>IFERROR(IF(VLOOKUP($B49,Показатели!$E:$W,3,FALSE)=0,"",VLOOKUP($B49,Показатели!$E:$W,3,FALSE)),"")</f>
        <v>29565000000</v>
      </c>
      <c r="G49">
        <f>IFERROR(IF(VLOOKUP($B49,Показатели!$E:$W,4,FALSE)=0,"",VLOOKUP($B49,Показатели!$E:$W,4,FALSE)),"")</f>
        <v>185573000000</v>
      </c>
      <c r="H49" t="str">
        <f>IFERROR(IF(VLOOKUP($B49,Показатели!$E:$W,5,FALSE)=0,"",VLOOKUP($B49,Показатели!$E:$W,5,FALSE)),"")</f>
        <v/>
      </c>
      <c r="I49">
        <f>IFERROR(IF(VLOOKUP($B49,Показатели!$E:$W,6,FALSE)=0,"",VLOOKUP($B49,Показатели!$E:$W,6,FALSE)),"")</f>
        <v>285173000000</v>
      </c>
      <c r="J49">
        <f>IFERROR(IF(VLOOKUP($B49,Показатели!$E:$W,7,FALSE)=0,"",VLOOKUP($B49,Показатели!$E:$W,7,FALSE)),"")</f>
        <v>57441000000</v>
      </c>
      <c r="K49">
        <f>IFERROR(IF(VLOOKUP($B49,Показатели!$E:$W,8,FALSE)=0,"",VLOOKUP($B49,Показатели!$E:$W,8,FALSE)),"")</f>
        <v>59946000000</v>
      </c>
      <c r="L49">
        <f>IFERROR(IF(VLOOKUP($B49,Показатели!$E:$W,9,FALSE)=0,"",VLOOKUP($B49,Показатели!$E:$W,9,FALSE)),"")</f>
        <v>110810000000</v>
      </c>
      <c r="M49">
        <f>IFERROR(IF(VLOOKUP($B49,Показатели!$E:$W,10,FALSE)=0,"",VLOOKUP($B49,Показатели!$E:$W,10,FALSE)),"")</f>
        <v>167786000000</v>
      </c>
      <c r="N49">
        <f>IFERROR(IF(VLOOKUP($B49,Показатели!$E:$W,11,FALSE)=0,"",VLOOKUP($B49,Показатели!$E:$W,11,FALSE)),"")</f>
        <v>117024000000</v>
      </c>
      <c r="O49">
        <f>IFERROR(IF(VLOOKUP($B49,Показатели!$E:$W,12,FALSE)=0,"",VLOOKUP($B49,Показатели!$E:$W,12,FALSE)),"")</f>
        <v>50231000000</v>
      </c>
      <c r="P49">
        <f>IFERROR(IF(VLOOKUP($B49,Показатели!$E:$W,13,FALSE)=0,"",VLOOKUP($B49,Показатели!$E:$W,13,FALSE)),"")</f>
        <v>51082000000</v>
      </c>
      <c r="Q49">
        <f>IFERROR(IF(VLOOKUP($B49,Показатели!$E:$W,14,FALSE)=0,"",VLOOKUP($B49,Показатели!$E:$W,14,FALSE)),"")</f>
        <v>40278000000</v>
      </c>
      <c r="R49" t="str">
        <f>IFERROR(IF(VLOOKUP($B49,Показатели!$E:$W,15,FALSE)=0,"",VLOOKUP($B49,Показатели!$E:$W,15,FALSE)),"")</f>
        <v/>
      </c>
      <c r="S49" t="str">
        <f>IFERROR(IF(VLOOKUP($B49,Показатели!$E:$W,16,FALSE)=0,"",VLOOKUP($B49,Показатели!$E:$W,16,FALSE)),"")</f>
        <v/>
      </c>
      <c r="T49" t="str">
        <f>IFERROR(IF(VLOOKUP($B49,Показатели!$E:$W,17,FALSE)=0,"",VLOOKUP($B49,Показатели!$E:$W,17,FALSE)),"")</f>
        <v/>
      </c>
      <c r="U49" t="str">
        <f>IFERROR(IF(VLOOKUP($B49,Показатели!$E:$W,18,FALSE)=0,"",VLOOKUP($B49,Показатели!$E:$W,18,FALSE)),"")</f>
        <v/>
      </c>
      <c r="V49" t="str">
        <f>IFERROR(IF(VLOOKUP($B49,Показатели!$E:$W,19,FALSE)=0,"",VLOOKUP($B49,Показатели!$E:$W,19,FALSE)),"")</f>
        <v/>
      </c>
    </row>
    <row r="50" spans="1:22" x14ac:dyDescent="0.2">
      <c r="A50" s="7" t="s">
        <v>2314</v>
      </c>
      <c r="B50" t="str">
        <f t="shared" si="0"/>
        <v>RNFT IV кв. 2025</v>
      </c>
      <c r="C50">
        <v>2025</v>
      </c>
      <c r="D50">
        <f>SUMIFS(Дивиденды!$C:$C,Дивиденды!$A:$A,A50,Дивиденды!$I:$I,C50)</f>
        <v>0</v>
      </c>
      <c r="E50">
        <f>IFERROR(IF(VLOOKUP($B50,Показатели!$E:$W,2,FALSE)=0,"",VLOOKUP($B50,Показатели!$E:$W,2,FALSE)),"")</f>
        <v>218242000000</v>
      </c>
      <c r="F50">
        <f>IFERROR(IF(VLOOKUP($B50,Показатели!$E:$W,3,FALSE)=0,"",VLOOKUP($B50,Показатели!$E:$W,3,FALSE)),"")</f>
        <v>49879000000</v>
      </c>
      <c r="G50">
        <f>IFERROR(IF(VLOOKUP($B50,Показатели!$E:$W,4,FALSE)=0,"",VLOOKUP($B50,Показатели!$E:$W,4,FALSE)),"")</f>
        <v>177903000000</v>
      </c>
      <c r="H50" t="str">
        <f>IFERROR(IF(VLOOKUP($B50,Показатели!$E:$W,5,FALSE)=0,"",VLOOKUP($B50,Показатели!$E:$W,5,FALSE)),"")</f>
        <v/>
      </c>
      <c r="I50">
        <f>IFERROR(IF(VLOOKUP($B50,Показатели!$E:$W,6,FALSE)=0,"",VLOOKUP($B50,Показатели!$E:$W,6,FALSE)),"")</f>
        <v>356560000000</v>
      </c>
      <c r="J50">
        <f>IFERROR(IF(VLOOKUP($B50,Показатели!$E:$W,7,FALSE)=0,"",VLOOKUP($B50,Показатели!$E:$W,7,FALSE)),"")</f>
        <v>138074000000</v>
      </c>
      <c r="K50">
        <f>IFERROR(IF(VLOOKUP($B50,Показатели!$E:$W,8,FALSE)=0,"",VLOOKUP($B50,Показатели!$E:$W,8,FALSE)),"")</f>
        <v>74023000000</v>
      </c>
      <c r="L50">
        <f>IFERROR(IF(VLOOKUP($B50,Показатели!$E:$W,9,FALSE)=0,"",VLOOKUP($B50,Показатели!$E:$W,9,FALSE)),"")</f>
        <v>11522000000</v>
      </c>
      <c r="M50">
        <f>IFERROR(IF(VLOOKUP($B50,Показатели!$E:$W,10,FALSE)=0,"",VLOOKUP($B50,Показатели!$E:$W,10,FALSE)),"")</f>
        <v>144463000000</v>
      </c>
      <c r="N50">
        <f>IFERROR(IF(VLOOKUP($B50,Показатели!$E:$W,11,FALSE)=0,"",VLOOKUP($B50,Показатели!$E:$W,11,FALSE)),"")</f>
        <v>218242000000</v>
      </c>
      <c r="O50">
        <f>IFERROR(IF(VLOOKUP($B50,Показатели!$E:$W,12,FALSE)=0,"",VLOOKUP($B50,Показатели!$E:$W,12,FALSE)),"")</f>
        <v>34027000000</v>
      </c>
      <c r="P50">
        <f>IFERROR(IF(VLOOKUP($B50,Показатели!$E:$W,13,FALSE)=0,"",VLOOKUP($B50,Показатели!$E:$W,13,FALSE)),"")</f>
        <v>19641000000</v>
      </c>
      <c r="Q50">
        <f>IFERROR(IF(VLOOKUP($B50,Показатели!$E:$W,14,FALSE)=0,"",VLOOKUP($B50,Показатели!$E:$W,14,FALSE)),"")</f>
        <v>23806000000</v>
      </c>
      <c r="R50" t="str">
        <f>IFERROR(IF(VLOOKUP($B50,Показатели!$E:$W,15,FALSE)=0,"",VLOOKUP($B50,Показатели!$E:$W,15,FALSE)),"")</f>
        <v/>
      </c>
      <c r="S50" t="str">
        <f>IFERROR(IF(VLOOKUP($B50,Показатели!$E:$W,16,FALSE)=0,"",VLOOKUP($B50,Показатели!$E:$W,16,FALSE)),"")</f>
        <v/>
      </c>
      <c r="T50" t="str">
        <f>IFERROR(IF(VLOOKUP($B50,Показатели!$E:$W,17,FALSE)=0,"",VLOOKUP($B50,Показатели!$E:$W,17,FALSE)),"")</f>
        <v/>
      </c>
      <c r="U50">
        <f>IFERROR(IF(VLOOKUP($B50,Показатели!$E:$W,18,FALSE)=0,"",VLOOKUP($B50,Показатели!$E:$W,18,FALSE)),"")</f>
        <v>300108000000</v>
      </c>
      <c r="V50">
        <f>IFERROR(IF(VLOOKUP($B50,Показатели!$E:$W,19,FALSE)=0,"",VLOOKUP($B50,Показатели!$E:$W,19,FALSE)),"")</f>
        <v>352063000000</v>
      </c>
    </row>
    <row r="51" spans="1:22" x14ac:dyDescent="0.2">
      <c r="A51" s="7" t="s">
        <v>2314</v>
      </c>
      <c r="B51" t="str">
        <f t="shared" si="0"/>
        <v>RNFT IV кв. 2024</v>
      </c>
      <c r="C51">
        <v>2024</v>
      </c>
      <c r="D51">
        <f>SUMIFS(Дивиденды!$C:$C,Дивиденды!$A:$A,A51,Дивиденды!$I:$I,C51)</f>
        <v>0</v>
      </c>
      <c r="E51">
        <f>IFERROR(IF(VLOOKUP($B51,Показатели!$E:$W,2,FALSE)=0,"",VLOOKUP($B51,Показатели!$E:$W,2,FALSE)),"")</f>
        <v>2562000000</v>
      </c>
      <c r="F51">
        <f>IFERROR(IF(VLOOKUP($B51,Показатели!$E:$W,3,FALSE)=0,"",VLOOKUP($B51,Показатели!$E:$W,3,FALSE)),"")</f>
        <v>34007000000</v>
      </c>
      <c r="G51">
        <f>IFERROR(IF(VLOOKUP($B51,Показатели!$E:$W,4,FALSE)=0,"",VLOOKUP($B51,Показатели!$E:$W,4,FALSE)),"")</f>
        <v>156140000000</v>
      </c>
      <c r="H51">
        <f>IFERROR(IF(VLOOKUP($B51,Показатели!$E:$W,5,FALSE)=0,"",VLOOKUP($B51,Показатели!$E:$W,5,FALSE)),"")</f>
        <v>9176000000</v>
      </c>
      <c r="I51">
        <f>IFERROR(IF(VLOOKUP($B51,Показатели!$E:$W,6,FALSE)=0,"",VLOOKUP($B51,Показатели!$E:$W,6,FALSE)),"")</f>
        <v>352063000000</v>
      </c>
      <c r="J51">
        <f>IFERROR(IF(VLOOKUP($B51,Показатели!$E:$W,7,FALSE)=0,"",VLOOKUP($B51,Показатели!$E:$W,7,FALSE)),"")</f>
        <v>68636000000</v>
      </c>
      <c r="K51">
        <f>IFERROR(IF(VLOOKUP($B51,Показатели!$E:$W,8,FALSE)=0,"",VLOOKUP($B51,Показатели!$E:$W,8,FALSE)),"")</f>
        <v>152209000000</v>
      </c>
      <c r="L51">
        <f>IFERROR(IF(VLOOKUP($B51,Показатели!$E:$W,9,FALSE)=0,"",VLOOKUP($B51,Показатели!$E:$W,9,FALSE)),"")</f>
        <v>99169000000</v>
      </c>
      <c r="M51">
        <f>IFERROR(IF(VLOOKUP($B51,Показатели!$E:$W,10,FALSE)=0,"",VLOOKUP($B51,Показатели!$E:$W,10,FALSE)),"")</f>
        <v>131218000000</v>
      </c>
      <c r="N51">
        <f>IFERROR(IF(VLOOKUP($B51,Показатели!$E:$W,11,FALSE)=0,"",VLOOKUP($B51,Показатели!$E:$W,11,FALSE)),"")</f>
        <v>300108000000</v>
      </c>
      <c r="O51">
        <f>IFERROR(IF(VLOOKUP($B51,Показатели!$E:$W,12,FALSE)=0,"",VLOOKUP($B51,Показатели!$E:$W,12,FALSE)),"")</f>
        <v>69304000000</v>
      </c>
      <c r="P51">
        <f>IFERROR(IF(VLOOKUP($B51,Показатели!$E:$W,13,FALSE)=0,"",VLOOKUP($B51,Показатели!$E:$W,13,FALSE)),"")</f>
        <v>73772000000</v>
      </c>
      <c r="Q51">
        <f>IFERROR(IF(VLOOKUP($B51,Показатели!$E:$W,14,FALSE)=0,"",VLOOKUP($B51,Показатели!$E:$W,14,FALSE)),"")</f>
        <v>52673000000</v>
      </c>
      <c r="R51">
        <f>IFERROR(IF(VLOOKUP($B51,Показатели!$E:$W,15,FALSE)=0,"",VLOOKUP($B51,Показатели!$E:$W,15,FALSE)),"")</f>
        <v>4943000000</v>
      </c>
      <c r="S51" t="str">
        <f>IFERROR(IF(VLOOKUP($B51,Показатели!$E:$W,16,FALSE)=0,"",VLOOKUP($B51,Показатели!$E:$W,16,FALSE)),"")</f>
        <v/>
      </c>
      <c r="T51">
        <f>IFERROR(IF(VLOOKUP($B51,Показатели!$E:$W,17,FALSE)=0,"",VLOOKUP($B51,Показатели!$E:$W,17,FALSE)),"")</f>
        <v>-27350000000</v>
      </c>
      <c r="U51">
        <f>IFERROR(IF(VLOOKUP($B51,Показатели!$E:$W,18,FALSE)=0,"",VLOOKUP($B51,Показатели!$E:$W,18,FALSE)),"")</f>
        <v>238725000000</v>
      </c>
      <c r="V51">
        <f>IFERROR(IF(VLOOKUP($B51,Показатели!$E:$W,19,FALSE)=0,"",VLOOKUP($B51,Показатели!$E:$W,19,FALSE)),"")</f>
        <v>320728000000</v>
      </c>
    </row>
    <row r="52" spans="1:22" x14ac:dyDescent="0.2">
      <c r="A52" s="7" t="s">
        <v>2314</v>
      </c>
      <c r="B52" t="str">
        <f t="shared" si="0"/>
        <v>RNFT IV кв. 2023</v>
      </c>
      <c r="C52">
        <v>2023</v>
      </c>
      <c r="D52">
        <f>SUMIFS(Дивиденды!$C:$C,Дивиденды!$A:$A,A52,Дивиденды!$I:$I,C52)</f>
        <v>0</v>
      </c>
      <c r="E52">
        <f>IFERROR(IF(VLOOKUP($B52,Показатели!$E:$W,2,FALSE)=0,"",VLOOKUP($B52,Показатели!$E:$W,2,FALSE)),"")</f>
        <v>9690000000</v>
      </c>
      <c r="F52">
        <f>IFERROR(IF(VLOOKUP($B52,Показатели!$E:$W,3,FALSE)=0,"",VLOOKUP($B52,Показатели!$E:$W,3,FALSE)),"")</f>
        <v>50663000000</v>
      </c>
      <c r="G52">
        <f>IFERROR(IF(VLOOKUP($B52,Показатели!$E:$W,4,FALSE)=0,"",VLOOKUP($B52,Показатели!$E:$W,4,FALSE)),"")</f>
        <v>155086000000</v>
      </c>
      <c r="H52">
        <f>IFERROR(IF(VLOOKUP($B52,Показатели!$E:$W,5,FALSE)=0,"",VLOOKUP($B52,Показатели!$E:$W,5,FALSE)),"")</f>
        <v>9944000000</v>
      </c>
      <c r="I52">
        <f>IFERROR(IF(VLOOKUP($B52,Показатели!$E:$W,6,FALSE)=0,"",VLOOKUP($B52,Показатели!$E:$W,6,FALSE)),"")</f>
        <v>320728000000</v>
      </c>
      <c r="J52">
        <f>IFERROR(IF(VLOOKUP($B52,Показатели!$E:$W,7,FALSE)=0,"",VLOOKUP($B52,Показатели!$E:$W,7,FALSE)),"")</f>
        <v>93523000000</v>
      </c>
      <c r="K52">
        <f>IFERROR(IF(VLOOKUP($B52,Показатели!$E:$W,8,FALSE)=0,"",VLOOKUP($B52,Показатели!$E:$W,8,FALSE)),"")</f>
        <v>132160000000</v>
      </c>
      <c r="L52">
        <f>IFERROR(IF(VLOOKUP($B52,Показатели!$E:$W,9,FALSE)=0,"",VLOOKUP($B52,Показатели!$E:$W,9,FALSE)),"")</f>
        <v>53553000000</v>
      </c>
      <c r="M52">
        <f>IFERROR(IF(VLOOKUP($B52,Показатели!$E:$W,10,FALSE)=0,"",VLOOKUP($B52,Показатели!$E:$W,10,FALSE)),"")</f>
        <v>95045000000</v>
      </c>
      <c r="N52">
        <f>IFERROR(IF(VLOOKUP($B52,Показатели!$E:$W,11,FALSE)=0,"",VLOOKUP($B52,Показатели!$E:$W,11,FALSE)),"")</f>
        <v>238725000000</v>
      </c>
      <c r="O52">
        <f>IFERROR(IF(VLOOKUP($B52,Показатели!$E:$W,12,FALSE)=0,"",VLOOKUP($B52,Показатели!$E:$W,12,FALSE)),"")</f>
        <v>24439000000</v>
      </c>
      <c r="P52">
        <f>IFERROR(IF(VLOOKUP($B52,Показатели!$E:$W,13,FALSE)=0,"",VLOOKUP($B52,Показатели!$E:$W,13,FALSE)),"")</f>
        <v>18364000000</v>
      </c>
      <c r="Q52">
        <f>IFERROR(IF(VLOOKUP($B52,Показатели!$E:$W,14,FALSE)=0,"",VLOOKUP($B52,Показатели!$E:$W,14,FALSE)),"")</f>
        <v>5847000000</v>
      </c>
      <c r="R52">
        <f>IFERROR(IF(VLOOKUP($B52,Показатели!$E:$W,15,FALSE)=0,"",VLOOKUP($B52,Показатели!$E:$W,15,FALSE)),"")</f>
        <v>16071000000</v>
      </c>
      <c r="S52" t="str">
        <f>IFERROR(IF(VLOOKUP($B52,Показатели!$E:$W,16,FALSE)=0,"",VLOOKUP($B52,Показатели!$E:$W,16,FALSE)),"")</f>
        <v/>
      </c>
      <c r="T52">
        <f>IFERROR(IF(VLOOKUP($B52,Показатели!$E:$W,17,FALSE)=0,"",VLOOKUP($B52,Показатели!$E:$W,17,FALSE)),"")</f>
        <v>-19287000000</v>
      </c>
      <c r="U52">
        <f>IFERROR(IF(VLOOKUP($B52,Показатели!$E:$W,18,FALSE)=0,"",VLOOKUP($B52,Показатели!$E:$W,18,FALSE)),"")</f>
        <v>290862000000</v>
      </c>
      <c r="V52">
        <f>IFERROR(IF(VLOOKUP($B52,Показатели!$E:$W,19,FALSE)=0,"",VLOOKUP($B52,Показатели!$E:$W,19,FALSE)),"")</f>
        <v>282418000000</v>
      </c>
    </row>
    <row r="53" spans="1:22" x14ac:dyDescent="0.2">
      <c r="A53" s="7" t="s">
        <v>2314</v>
      </c>
      <c r="B53" t="str">
        <f t="shared" si="0"/>
        <v>RNFT IV кв. 2022</v>
      </c>
      <c r="C53">
        <v>2022</v>
      </c>
      <c r="D53">
        <f>SUMIFS(Дивиденды!$C:$C,Дивиденды!$A:$A,A53,Дивиденды!$I:$I,C53)</f>
        <v>0</v>
      </c>
      <c r="E53">
        <f>IFERROR(IF(VLOOKUP($B53,Показатели!$E:$W,2,FALSE)=0,"",VLOOKUP($B53,Показатели!$E:$W,2,FALSE)),"")</f>
        <v>2120000000</v>
      </c>
      <c r="F53">
        <f>IFERROR(IF(VLOOKUP($B53,Показатели!$E:$W,3,FALSE)=0,"",VLOOKUP($B53,Показатели!$E:$W,3,FALSE)),"")</f>
        <v>32717000000</v>
      </c>
      <c r="G53">
        <f>IFERROR(IF(VLOOKUP($B53,Показатели!$E:$W,4,FALSE)=0,"",VLOOKUP($B53,Показатели!$E:$W,4,FALSE)),"")</f>
        <v>153807000000</v>
      </c>
      <c r="H53">
        <f>IFERROR(IF(VLOOKUP($B53,Показатели!$E:$W,5,FALSE)=0,"",VLOOKUP($B53,Показатели!$E:$W,5,FALSE)),"")</f>
        <v>9961000000</v>
      </c>
      <c r="I53">
        <f>IFERROR(IF(VLOOKUP($B53,Показатели!$E:$W,6,FALSE)=0,"",VLOOKUP($B53,Показатели!$E:$W,6,FALSE)),"")</f>
        <v>282418000000</v>
      </c>
      <c r="J53">
        <f>IFERROR(IF(VLOOKUP($B53,Показатели!$E:$W,7,FALSE)=0,"",VLOOKUP($B53,Показатели!$E:$W,7,FALSE)),"")</f>
        <v>71491000000</v>
      </c>
      <c r="K53">
        <f>IFERROR(IF(VLOOKUP($B53,Показатели!$E:$W,8,FALSE)=0,"",VLOOKUP($B53,Показатели!$E:$W,8,FALSE)),"")</f>
        <v>117260000000</v>
      </c>
      <c r="L53">
        <f>IFERROR(IF(VLOOKUP($B53,Показатели!$E:$W,9,FALSE)=0,"",VLOOKUP($B53,Показатели!$E:$W,9,FALSE)),"")</f>
        <v>43804000000</v>
      </c>
      <c r="M53">
        <f>IFERROR(IF(VLOOKUP($B53,Показатели!$E:$W,10,FALSE)=0,"",VLOOKUP($B53,Показатели!$E:$W,10,FALSE)),"")</f>
        <v>93667000000</v>
      </c>
      <c r="N53">
        <f>IFERROR(IF(VLOOKUP($B53,Показатели!$E:$W,11,FALSE)=0,"",VLOOKUP($B53,Показатели!$E:$W,11,FALSE)),"")</f>
        <v>290862000000</v>
      </c>
      <c r="O53">
        <f>IFERROR(IF(VLOOKUP($B53,Показатели!$E:$W,12,FALSE)=0,"",VLOOKUP($B53,Показатели!$E:$W,12,FALSE)),"")</f>
        <v>34011000000</v>
      </c>
      <c r="P53">
        <f>IFERROR(IF(VLOOKUP($B53,Показатели!$E:$W,13,FALSE)=0,"",VLOOKUP($B53,Показатели!$E:$W,13,FALSE)),"")</f>
        <v>26685000000</v>
      </c>
      <c r="Q53">
        <f>IFERROR(IF(VLOOKUP($B53,Показатели!$E:$W,14,FALSE)=0,"",VLOOKUP($B53,Показатели!$E:$W,14,FALSE)),"")</f>
        <v>20137000000</v>
      </c>
      <c r="R53">
        <f>IFERROR(IF(VLOOKUP($B53,Показатели!$E:$W,15,FALSE)=0,"",VLOOKUP($B53,Показатели!$E:$W,15,FALSE)),"")</f>
        <v>15100000000</v>
      </c>
      <c r="S53" t="str">
        <f>IFERROR(IF(VLOOKUP($B53,Показатели!$E:$W,16,FALSE)=0,"",VLOOKUP($B53,Показатели!$E:$W,16,FALSE)),"")</f>
        <v/>
      </c>
      <c r="T53">
        <f>IFERROR(IF(VLOOKUP($B53,Показатели!$E:$W,17,FALSE)=0,"",VLOOKUP($B53,Показатели!$E:$W,17,FALSE)),"")</f>
        <v>-23773000000</v>
      </c>
      <c r="U53">
        <f>IFERROR(IF(VLOOKUP($B53,Показатели!$E:$W,18,FALSE)=0,"",VLOOKUP($B53,Показатели!$E:$W,18,FALSE)),"")</f>
        <v>269371000000</v>
      </c>
      <c r="V53">
        <f>IFERROR(IF(VLOOKUP($B53,Показатели!$E:$W,19,FALSE)=0,"",VLOOKUP($B53,Показатели!$E:$W,19,FALSE)),"")</f>
        <v>286968000000</v>
      </c>
    </row>
    <row r="54" spans="1:22" x14ac:dyDescent="0.2">
      <c r="A54" s="7" t="s">
        <v>2314</v>
      </c>
      <c r="B54" t="str">
        <f t="shared" si="0"/>
        <v>RNFT IV кв. 2021</v>
      </c>
      <c r="C54">
        <v>2021</v>
      </c>
      <c r="D54">
        <f>SUMIFS(Дивиденды!$C:$C,Дивиденды!$A:$A,A54,Дивиденды!$I:$I,C54)</f>
        <v>0</v>
      </c>
      <c r="E54">
        <f>IFERROR(IF(VLOOKUP($B54,Показатели!$E:$W,2,FALSE)=0,"",VLOOKUP($B54,Показатели!$E:$W,2,FALSE)),"")</f>
        <v>8999000000</v>
      </c>
      <c r="F54">
        <f>IFERROR(IF(VLOOKUP($B54,Показатели!$E:$W,3,FALSE)=0,"",VLOOKUP($B54,Показатели!$E:$W,3,FALSE)),"")</f>
        <v>34395000000</v>
      </c>
      <c r="G54">
        <f>IFERROR(IF(VLOOKUP($B54,Показатели!$E:$W,4,FALSE)=0,"",VLOOKUP($B54,Показатели!$E:$W,4,FALSE)),"")</f>
        <v>150820000000</v>
      </c>
      <c r="H54">
        <f>IFERROR(IF(VLOOKUP($B54,Показатели!$E:$W,5,FALSE)=0,"",VLOOKUP($B54,Показатели!$E:$W,5,FALSE)),"")</f>
        <v>11796000000</v>
      </c>
      <c r="I54">
        <f>IFERROR(IF(VLOOKUP($B54,Показатели!$E:$W,6,FALSE)=0,"",VLOOKUP($B54,Показатели!$E:$W,6,FALSE)),"")</f>
        <v>286968000000</v>
      </c>
      <c r="J54">
        <f>IFERROR(IF(VLOOKUP($B54,Показатели!$E:$W,7,FALSE)=0,"",VLOOKUP($B54,Показатели!$E:$W,7,FALSE)),"")</f>
        <v>79319000000</v>
      </c>
      <c r="K54">
        <f>IFERROR(IF(VLOOKUP($B54,Показатели!$E:$W,8,FALSE)=0,"",VLOOKUP($B54,Показатели!$E:$W,8,FALSE)),"")</f>
        <v>130273000000</v>
      </c>
      <c r="L54">
        <f>IFERROR(IF(VLOOKUP($B54,Показатели!$E:$W,9,FALSE)=0,"",VLOOKUP($B54,Показатели!$E:$W,9,FALSE)),"")</f>
        <v>27995000000</v>
      </c>
      <c r="M54">
        <f>IFERROR(IF(VLOOKUP($B54,Показатели!$E:$W,10,FALSE)=0,"",VLOOKUP($B54,Показатели!$E:$W,10,FALSE)),"")</f>
        <v>77376000000</v>
      </c>
      <c r="N54">
        <f>IFERROR(IF(VLOOKUP($B54,Показатели!$E:$W,11,FALSE)=0,"",VLOOKUP($B54,Показатели!$E:$W,11,FALSE)),"")</f>
        <v>269371000000</v>
      </c>
      <c r="O54">
        <f>IFERROR(IF(VLOOKUP($B54,Показатели!$E:$W,12,FALSE)=0,"",VLOOKUP($B54,Показатели!$E:$W,12,FALSE)),"")</f>
        <v>57991000000</v>
      </c>
      <c r="P54">
        <f>IFERROR(IF(VLOOKUP($B54,Показатели!$E:$W,13,FALSE)=0,"",VLOOKUP($B54,Показатели!$E:$W,13,FALSE)),"")</f>
        <v>47228000000</v>
      </c>
      <c r="Q54">
        <f>IFERROR(IF(VLOOKUP($B54,Показатели!$E:$W,14,FALSE)=0,"",VLOOKUP($B54,Показатели!$E:$W,14,FALSE)),"")</f>
        <v>32781000000</v>
      </c>
      <c r="R54">
        <f>IFERROR(IF(VLOOKUP($B54,Показатели!$E:$W,15,FALSE)=0,"",VLOOKUP($B54,Показатели!$E:$W,15,FALSE)),"")</f>
        <v>12361000000</v>
      </c>
      <c r="S54" t="str">
        <f>IFERROR(IF(VLOOKUP($B54,Показатели!$E:$W,16,FALSE)=0,"",VLOOKUP($B54,Показатели!$E:$W,16,FALSE)),"")</f>
        <v/>
      </c>
      <c r="T54">
        <f>IFERROR(IF(VLOOKUP($B54,Показатели!$E:$W,17,FALSE)=0,"",VLOOKUP($B54,Показатели!$E:$W,17,FALSE)),"")</f>
        <v>-18896000000</v>
      </c>
      <c r="U54">
        <f>IFERROR(IF(VLOOKUP($B54,Показатели!$E:$W,18,FALSE)=0,"",VLOOKUP($B54,Показатели!$E:$W,18,FALSE)),"")</f>
        <v>133196000000</v>
      </c>
      <c r="V54">
        <f>IFERROR(IF(VLOOKUP($B54,Показатели!$E:$W,19,FALSE)=0,"",VLOOKUP($B54,Показатели!$E:$W,19,FALSE)),"")</f>
        <v>275295000000</v>
      </c>
    </row>
    <row r="55" spans="1:22" x14ac:dyDescent="0.2">
      <c r="A55" s="7" t="s">
        <v>2314</v>
      </c>
      <c r="B55" t="str">
        <f t="shared" si="0"/>
        <v>RNFT IV кв. 2020</v>
      </c>
      <c r="C55">
        <v>2020</v>
      </c>
      <c r="D55">
        <f>SUMIFS(Дивиденды!$C:$C,Дивиденды!$A:$A,A55,Дивиденды!$I:$I,C55)</f>
        <v>0</v>
      </c>
      <c r="E55">
        <f>IFERROR(IF(VLOOKUP($B55,Показатели!$E:$W,2,FALSE)=0,"",VLOOKUP($B55,Показатели!$E:$W,2,FALSE)),"")</f>
        <v>4231000000</v>
      </c>
      <c r="F55">
        <f>IFERROR(IF(VLOOKUP($B55,Показатели!$E:$W,3,FALSE)=0,"",VLOOKUP($B55,Показатели!$E:$W,3,FALSE)),"")</f>
        <v>25070000000</v>
      </c>
      <c r="G55">
        <f>IFERROR(IF(VLOOKUP($B55,Показатели!$E:$W,4,FALSE)=0,"",VLOOKUP($B55,Показатели!$E:$W,4,FALSE)),"")</f>
        <v>146191000000</v>
      </c>
      <c r="H55">
        <f>IFERROR(IF(VLOOKUP($B55,Показатели!$E:$W,5,FALSE)=0,"",VLOOKUP($B55,Показатели!$E:$W,5,FALSE)),"")</f>
        <v>11812000000</v>
      </c>
      <c r="I55">
        <f>IFERROR(IF(VLOOKUP($B55,Показатели!$E:$W,6,FALSE)=0,"",VLOOKUP($B55,Показатели!$E:$W,6,FALSE)),"")</f>
        <v>275295000000</v>
      </c>
      <c r="J55">
        <f>IFERROR(IF(VLOOKUP($B55,Показатели!$E:$W,7,FALSE)=0,"",VLOOKUP($B55,Показатели!$E:$W,7,FALSE)),"")</f>
        <v>71656000000</v>
      </c>
      <c r="K55">
        <f>IFERROR(IF(VLOOKUP($B55,Показатели!$E:$W,8,FALSE)=0,"",VLOOKUP($B55,Показатели!$E:$W,8,FALSE)),"")</f>
        <v>154636000000</v>
      </c>
      <c r="L55">
        <f>IFERROR(IF(VLOOKUP($B55,Показатели!$E:$W,9,FALSE)=0,"",VLOOKUP($B55,Показатели!$E:$W,9,FALSE)),"")</f>
        <v>16000000</v>
      </c>
      <c r="M55">
        <f>IFERROR(IF(VLOOKUP($B55,Показатели!$E:$W,10,FALSE)=0,"",VLOOKUP($B55,Показатели!$E:$W,10,FALSE)),"")</f>
        <v>49003000000</v>
      </c>
      <c r="N55">
        <f>IFERROR(IF(VLOOKUP($B55,Показатели!$E:$W,11,FALSE)=0,"",VLOOKUP($B55,Показатели!$E:$W,11,FALSE)),"")</f>
        <v>133196000000</v>
      </c>
      <c r="O55">
        <f>IFERROR(IF(VLOOKUP($B55,Показатели!$E:$W,12,FALSE)=0,"",VLOOKUP($B55,Показатели!$E:$W,12,FALSE)),"")</f>
        <v>-19861000000</v>
      </c>
      <c r="P55">
        <f>IFERROR(IF(VLOOKUP($B55,Показатели!$E:$W,13,FALSE)=0,"",VLOOKUP($B55,Показатели!$E:$W,13,FALSE)),"")</f>
        <v>-20298000000</v>
      </c>
      <c r="Q55">
        <f>IFERROR(IF(VLOOKUP($B55,Показатели!$E:$W,14,FALSE)=0,"",VLOOKUP($B55,Показатели!$E:$W,14,FALSE)),"")</f>
        <v>-21300000000</v>
      </c>
      <c r="R55">
        <f>IFERROR(IF(VLOOKUP($B55,Показатели!$E:$W,15,FALSE)=0,"",VLOOKUP($B55,Показатели!$E:$W,15,FALSE)),"")</f>
        <v>14864000000</v>
      </c>
      <c r="S55" t="str">
        <f>IFERROR(IF(VLOOKUP($B55,Показатели!$E:$W,16,FALSE)=0,"",VLOOKUP($B55,Показатели!$E:$W,16,FALSE)),"")</f>
        <v/>
      </c>
      <c r="T55">
        <f>IFERROR(IF(VLOOKUP($B55,Показатели!$E:$W,17,FALSE)=0,"",VLOOKUP($B55,Показатели!$E:$W,17,FALSE)),"")</f>
        <v>-15667000000</v>
      </c>
      <c r="U55">
        <f>IFERROR(IF(VLOOKUP($B55,Показатели!$E:$W,18,FALSE)=0,"",VLOOKUP($B55,Показатели!$E:$W,18,FALSE)),"")</f>
        <v>187127000000</v>
      </c>
      <c r="V55">
        <f>IFERROR(IF(VLOOKUP($B55,Показатели!$E:$W,19,FALSE)=0,"",VLOOKUP($B55,Показатели!$E:$W,19,FALSE)),"")</f>
        <v>280265000000</v>
      </c>
    </row>
    <row r="56" spans="1:22" x14ac:dyDescent="0.2">
      <c r="A56" s="7" t="s">
        <v>2314</v>
      </c>
      <c r="B56" t="str">
        <f t="shared" si="0"/>
        <v>RNFT IV кв. 2019</v>
      </c>
      <c r="C56">
        <v>2019</v>
      </c>
      <c r="D56">
        <f>SUMIFS(Дивиденды!$C:$C,Дивиденды!$A:$A,A56,Дивиденды!$I:$I,C56)</f>
        <v>0</v>
      </c>
      <c r="E56">
        <f>IFERROR(IF(VLOOKUP($B56,Показатели!$E:$W,2,FALSE)=0,"",VLOOKUP($B56,Показатели!$E:$W,2,FALSE)),"")</f>
        <v>2929000000</v>
      </c>
      <c r="F56">
        <f>IFERROR(IF(VLOOKUP($B56,Показатели!$E:$W,3,FALSE)=0,"",VLOOKUP($B56,Показатели!$E:$W,3,FALSE)),"")</f>
        <v>34920000000</v>
      </c>
      <c r="G56">
        <f>IFERROR(IF(VLOOKUP($B56,Показатели!$E:$W,4,FALSE)=0,"",VLOOKUP($B56,Показатели!$E:$W,4,FALSE)),"")</f>
        <v>150931000000</v>
      </c>
      <c r="H56">
        <f>IFERROR(IF(VLOOKUP($B56,Показатели!$E:$W,5,FALSE)=0,"",VLOOKUP($B56,Показатели!$E:$W,5,FALSE)),"")</f>
        <v>13468000000</v>
      </c>
      <c r="I56">
        <f>IFERROR(IF(VLOOKUP($B56,Показатели!$E:$W,6,FALSE)=0,"",VLOOKUP($B56,Показатели!$E:$W,6,FALSE)),"")</f>
        <v>280265000000</v>
      </c>
      <c r="J56">
        <f>IFERROR(IF(VLOOKUP($B56,Показатели!$E:$W,7,FALSE)=0,"",VLOOKUP($B56,Показатели!$E:$W,7,FALSE)),"")</f>
        <v>61024000000</v>
      </c>
      <c r="K56">
        <f>IFERROR(IF(VLOOKUP($B56,Показатели!$E:$W,8,FALSE)=0,"",VLOOKUP($B56,Показатели!$E:$W,8,FALSE)),"")</f>
        <v>142672000000</v>
      </c>
      <c r="L56">
        <f>IFERROR(IF(VLOOKUP($B56,Показатели!$E:$W,9,FALSE)=0,"",VLOOKUP($B56,Показатели!$E:$W,9,FALSE)),"")</f>
        <v>21672000000</v>
      </c>
      <c r="M56">
        <f>IFERROR(IF(VLOOKUP($B56,Показатели!$E:$W,10,FALSE)=0,"",VLOOKUP($B56,Показатели!$E:$W,10,FALSE)),"")</f>
        <v>76569000000</v>
      </c>
      <c r="N56">
        <f>IFERROR(IF(VLOOKUP($B56,Показатели!$E:$W,11,FALSE)=0,"",VLOOKUP($B56,Показатели!$E:$W,11,FALSE)),"")</f>
        <v>187127000000</v>
      </c>
      <c r="O56">
        <f>IFERROR(IF(VLOOKUP($B56,Показатели!$E:$W,12,FALSE)=0,"",VLOOKUP($B56,Показатели!$E:$W,12,FALSE)),"")</f>
        <v>34623000000</v>
      </c>
      <c r="P56">
        <f>IFERROR(IF(VLOOKUP($B56,Показатели!$E:$W,13,FALSE)=0,"",VLOOKUP($B56,Показатели!$E:$W,13,FALSE)),"")</f>
        <v>29166000000</v>
      </c>
      <c r="Q56">
        <f>IFERROR(IF(VLOOKUP($B56,Показатели!$E:$W,14,FALSE)=0,"",VLOOKUP($B56,Показатели!$E:$W,14,FALSE)),"")</f>
        <v>21854000000</v>
      </c>
      <c r="R56">
        <f>IFERROR(IF(VLOOKUP($B56,Показатели!$E:$W,15,FALSE)=0,"",VLOOKUP($B56,Показатели!$E:$W,15,FALSE)),"")</f>
        <v>14544000000</v>
      </c>
      <c r="S56" t="str">
        <f>IFERROR(IF(VLOOKUP($B56,Показатели!$E:$W,16,FALSE)=0,"",VLOOKUP($B56,Показатели!$E:$W,16,FALSE)),"")</f>
        <v/>
      </c>
      <c r="T56">
        <f>IFERROR(IF(VLOOKUP($B56,Показатели!$E:$W,17,FALSE)=0,"",VLOOKUP($B56,Показатели!$E:$W,17,FALSE)),"")</f>
        <v>-21921000000</v>
      </c>
      <c r="U56">
        <f>IFERROR(IF(VLOOKUP($B56,Показатели!$E:$W,18,FALSE)=0,"",VLOOKUP($B56,Показатели!$E:$W,18,FALSE)),"")</f>
        <v>177802000000</v>
      </c>
      <c r="V56">
        <f>IFERROR(IF(VLOOKUP($B56,Показатели!$E:$W,19,FALSE)=0,"",VLOOKUP($B56,Показатели!$E:$W,19,FALSE)),"")</f>
        <v>253048000000</v>
      </c>
    </row>
    <row r="57" spans="1:22" x14ac:dyDescent="0.2">
      <c r="A57" s="7" t="s">
        <v>2314</v>
      </c>
      <c r="B57" t="str">
        <f t="shared" si="0"/>
        <v>RNFT IV кв. 2018</v>
      </c>
      <c r="C57">
        <v>2018</v>
      </c>
      <c r="D57">
        <f>SUMIFS(Дивиденды!$C:$C,Дивиденды!$A:$A,A57,Дивиденды!$I:$I,C57)</f>
        <v>0</v>
      </c>
      <c r="E57">
        <f>IFERROR(IF(VLOOKUP($B57,Показатели!$E:$W,2,FALSE)=0,"",VLOOKUP($B57,Показатели!$E:$W,2,FALSE)),"")</f>
        <v>2897000000</v>
      </c>
      <c r="F57">
        <f>IFERROR(IF(VLOOKUP($B57,Показатели!$E:$W,3,FALSE)=0,"",VLOOKUP($B57,Показатели!$E:$W,3,FALSE)),"")</f>
        <v>23434000000</v>
      </c>
      <c r="G57">
        <f>IFERROR(IF(VLOOKUP($B57,Показатели!$E:$W,4,FALSE)=0,"",VLOOKUP($B57,Показатели!$E:$W,4,FALSE)),"")</f>
        <v>135465000000</v>
      </c>
      <c r="H57">
        <f>IFERROR(IF(VLOOKUP($B57,Показатели!$E:$W,5,FALSE)=0,"",VLOOKUP($B57,Показатели!$E:$W,5,FALSE)),"")</f>
        <v>13480000000</v>
      </c>
      <c r="I57">
        <f>IFERROR(IF(VLOOKUP($B57,Показатели!$E:$W,6,FALSE)=0,"",VLOOKUP($B57,Показатели!$E:$W,6,FALSE)),"")</f>
        <v>253048000000</v>
      </c>
      <c r="J57">
        <f>IFERROR(IF(VLOOKUP($B57,Показатели!$E:$W,7,FALSE)=0,"",VLOOKUP($B57,Показатели!$E:$W,7,FALSE)),"")</f>
        <v>51186000000</v>
      </c>
      <c r="K57">
        <f>IFERROR(IF(VLOOKUP($B57,Показатели!$E:$W,8,FALSE)=0,"",VLOOKUP($B57,Показатели!$E:$W,8,FALSE)),"")</f>
        <v>123934000000</v>
      </c>
      <c r="L57">
        <f>IFERROR(IF(VLOOKUP($B57,Показатели!$E:$W,9,FALSE)=0,"",VLOOKUP($B57,Показатели!$E:$W,9,FALSE)),"")</f>
        <v>50000000</v>
      </c>
      <c r="M57">
        <f>IFERROR(IF(VLOOKUP($B57,Показатели!$E:$W,10,FALSE)=0,"",VLOOKUP($B57,Показатели!$E:$W,10,FALSE)),"")</f>
        <v>77928000000</v>
      </c>
      <c r="N57">
        <f>IFERROR(IF(VLOOKUP($B57,Показатели!$E:$W,11,FALSE)=0,"",VLOOKUP($B57,Показатели!$E:$W,11,FALSE)),"")</f>
        <v>177802000000</v>
      </c>
      <c r="O57">
        <f>IFERROR(IF(VLOOKUP($B57,Показатели!$E:$W,12,FALSE)=0,"",VLOOKUP($B57,Показатели!$E:$W,12,FALSE)),"")</f>
        <v>28651000000</v>
      </c>
      <c r="P57">
        <f>IFERROR(IF(VLOOKUP($B57,Показатели!$E:$W,13,FALSE)=0,"",VLOOKUP($B57,Показатели!$E:$W,13,FALSE)),"")</f>
        <v>21412000000</v>
      </c>
      <c r="Q57">
        <f>IFERROR(IF(VLOOKUP($B57,Показатели!$E:$W,14,FALSE)=0,"",VLOOKUP($B57,Показатели!$E:$W,14,FALSE)),"")</f>
        <v>14773000000</v>
      </c>
      <c r="R57">
        <f>IFERROR(IF(VLOOKUP($B57,Показатели!$E:$W,15,FALSE)=0,"",VLOOKUP($B57,Показатели!$E:$W,15,FALSE)),"")</f>
        <v>13272000000</v>
      </c>
      <c r="S57">
        <f>IFERROR(IF(VLOOKUP($B57,Показатели!$E:$W,16,FALSE)=0,"",VLOOKUP($B57,Показатели!$E:$W,16,FALSE)),"")</f>
        <v>48600000000</v>
      </c>
      <c r="T57">
        <f>IFERROR(IF(VLOOKUP($B57,Показатели!$E:$W,17,FALSE)=0,"",VLOOKUP($B57,Показатели!$E:$W,17,FALSE)),"")</f>
        <v>-24639000000</v>
      </c>
      <c r="U57">
        <f>IFERROR(IF(VLOOKUP($B57,Показатели!$E:$W,18,FALSE)=0,"",VLOOKUP($B57,Показатели!$E:$W,18,FALSE)),"")</f>
        <v>129193000000</v>
      </c>
      <c r="V57">
        <f>IFERROR(IF(VLOOKUP($B57,Показатели!$E:$W,19,FALSE)=0,"",VLOOKUP($B57,Показатели!$E:$W,19,FALSE)),"")</f>
        <v>225043000000</v>
      </c>
    </row>
    <row r="58" spans="1:22" x14ac:dyDescent="0.2">
      <c r="A58" s="7" t="s">
        <v>2314</v>
      </c>
      <c r="B58" t="str">
        <f t="shared" si="0"/>
        <v>RNFT IV кв. 2017</v>
      </c>
      <c r="C58">
        <v>2017</v>
      </c>
      <c r="D58">
        <f>SUMIFS(Дивиденды!$C:$C,Дивиденды!$A:$A,A58,Дивиденды!$I:$I,C58)</f>
        <v>0</v>
      </c>
      <c r="E58">
        <f>IFERROR(IF(VLOOKUP($B58,Показатели!$E:$W,2,FALSE)=0,"",VLOOKUP($B58,Показатели!$E:$W,2,FALSE)),"")</f>
        <v>1962000000</v>
      </c>
      <c r="F58">
        <f>IFERROR(IF(VLOOKUP($B58,Показатели!$E:$W,3,FALSE)=0,"",VLOOKUP($B58,Показатели!$E:$W,3,FALSE)),"")</f>
        <v>22823000000</v>
      </c>
      <c r="G58">
        <f>IFERROR(IF(VLOOKUP($B58,Показатели!$E:$W,4,FALSE)=0,"",VLOOKUP($B58,Показатели!$E:$W,4,FALSE)),"")</f>
        <v>122180000000</v>
      </c>
      <c r="H58">
        <f>IFERROR(IF(VLOOKUP($B58,Показатели!$E:$W,5,FALSE)=0,"",VLOOKUP($B58,Показатели!$E:$W,5,FALSE)),"")</f>
        <v>13543000000</v>
      </c>
      <c r="I58">
        <f>IFERROR(IF(VLOOKUP($B58,Показатели!$E:$W,6,FALSE)=0,"",VLOOKUP($B58,Показатели!$E:$W,6,FALSE)),"")</f>
        <v>225043000000</v>
      </c>
      <c r="J58">
        <f>IFERROR(IF(VLOOKUP($B58,Показатели!$E:$W,7,FALSE)=0,"",VLOOKUP($B58,Показатели!$E:$W,7,FALSE)),"")</f>
        <v>37412000000</v>
      </c>
      <c r="K58">
        <f>IFERROR(IF(VLOOKUP($B58,Показатели!$E:$W,8,FALSE)=0,"",VLOOKUP($B58,Показатели!$E:$W,8,FALSE)),"")</f>
        <v>120805000000</v>
      </c>
      <c r="L58">
        <f>IFERROR(IF(VLOOKUP($B58,Показатели!$E:$W,9,FALSE)=0,"",VLOOKUP($B58,Показатели!$E:$W,9,FALSE)),"")</f>
        <v>-11585000000</v>
      </c>
      <c r="M58">
        <f>IFERROR(IF(VLOOKUP($B58,Показатели!$E:$W,10,FALSE)=0,"",VLOOKUP($B58,Показатели!$E:$W,10,FALSE)),"")</f>
        <v>66826000000</v>
      </c>
      <c r="N58">
        <f>IFERROR(IF(VLOOKUP($B58,Показатели!$E:$W,11,FALSE)=0,"",VLOOKUP($B58,Показатели!$E:$W,11,FALSE)),"")</f>
        <v>129193000000</v>
      </c>
      <c r="O58">
        <f>IFERROR(IF(VLOOKUP($B58,Показатели!$E:$W,12,FALSE)=0,"",VLOOKUP($B58,Показатели!$E:$W,12,FALSE)),"")</f>
        <v>12608000000</v>
      </c>
      <c r="P58">
        <f>IFERROR(IF(VLOOKUP($B58,Показатели!$E:$W,13,FALSE)=0,"",VLOOKUP($B58,Показатели!$E:$W,13,FALSE)),"")</f>
        <v>11281000000</v>
      </c>
      <c r="Q58">
        <f>IFERROR(IF(VLOOKUP($B58,Показатели!$E:$W,14,FALSE)=0,"",VLOOKUP($B58,Показатели!$E:$W,14,FALSE)),"")</f>
        <v>7305000000</v>
      </c>
      <c r="R58">
        <f>IFERROR(IF(VLOOKUP($B58,Показатели!$E:$W,15,FALSE)=0,"",VLOOKUP($B58,Показатели!$E:$W,15,FALSE)),"")</f>
        <v>11904000000</v>
      </c>
      <c r="S58">
        <f>IFERROR(IF(VLOOKUP($B58,Показатели!$E:$W,16,FALSE)=0,"",VLOOKUP($B58,Показатели!$E:$W,16,FALSE)),"")</f>
        <v>29900000000</v>
      </c>
      <c r="T58">
        <f>IFERROR(IF(VLOOKUP($B58,Показатели!$E:$W,17,FALSE)=0,"",VLOOKUP($B58,Показатели!$E:$W,17,FALSE)),"")</f>
        <v>-25781000000</v>
      </c>
      <c r="U58">
        <f>IFERROR(IF(VLOOKUP($B58,Показатели!$E:$W,18,FALSE)=0,"",VLOOKUP($B58,Показатели!$E:$W,18,FALSE)),"")</f>
        <v>105003000000</v>
      </c>
      <c r="V58">
        <f>IFERROR(IF(VLOOKUP($B58,Показатели!$E:$W,19,FALSE)=0,"",VLOOKUP($B58,Показатели!$E:$W,19,FALSE)),"")</f>
        <v>214455000000</v>
      </c>
    </row>
    <row r="59" spans="1:22" x14ac:dyDescent="0.2">
      <c r="A59" s="7" t="s">
        <v>2314</v>
      </c>
      <c r="B59" t="str">
        <f t="shared" si="0"/>
        <v>RNFT IV кв. 2016</v>
      </c>
      <c r="C59">
        <v>2016</v>
      </c>
      <c r="D59">
        <f>SUMIFS(Дивиденды!$C:$C,Дивиденды!$A:$A,A59,Дивиденды!$I:$I,C59)</f>
        <v>0</v>
      </c>
      <c r="E59">
        <f>IFERROR(IF(VLOOKUP($B59,Показатели!$E:$W,2,FALSE)=0,"",VLOOKUP($B59,Показатели!$E:$W,2,FALSE)),"")</f>
        <v>3068000000</v>
      </c>
      <c r="F59">
        <f>IFERROR(IF(VLOOKUP($B59,Показатели!$E:$W,3,FALSE)=0,"",VLOOKUP($B59,Показатели!$E:$W,3,FALSE)),"")</f>
        <v>20581000000</v>
      </c>
      <c r="G59">
        <f>IFERROR(IF(VLOOKUP($B59,Показатели!$E:$W,4,FALSE)=0,"",VLOOKUP($B59,Показатели!$E:$W,4,FALSE)),"")</f>
        <v>112065000000</v>
      </c>
      <c r="H59" t="str">
        <f>IFERROR(IF(VLOOKUP($B59,Показатели!$E:$W,5,FALSE)=0,"",VLOOKUP($B59,Показатели!$E:$W,5,FALSE)),"")</f>
        <v/>
      </c>
      <c r="I59">
        <f>IFERROR(IF(VLOOKUP($B59,Показатели!$E:$W,6,FALSE)=0,"",VLOOKUP($B59,Показатели!$E:$W,6,FALSE)),"")</f>
        <v>214455000000</v>
      </c>
      <c r="J59">
        <f>IFERROR(IF(VLOOKUP($B59,Показатели!$E:$W,7,FALSE)=0,"",VLOOKUP($B59,Показатели!$E:$W,7,FALSE)),"")</f>
        <v>52147000000</v>
      </c>
      <c r="K59">
        <f>IFERROR(IF(VLOOKUP($B59,Показатели!$E:$W,8,FALSE)=0,"",VLOOKUP($B59,Показатели!$E:$W,8,FALSE)),"")</f>
        <v>100601000000</v>
      </c>
      <c r="L59">
        <f>IFERROR(IF(VLOOKUP($B59,Показатели!$E:$W,9,FALSE)=0,"",VLOOKUP($B59,Показатели!$E:$W,9,FALSE)),"")</f>
        <v>-17283000000</v>
      </c>
      <c r="M59">
        <f>IFERROR(IF(VLOOKUP($B59,Показатели!$E:$W,10,FALSE)=0,"",VLOOKUP($B59,Показатели!$E:$W,10,FALSE)),"")</f>
        <v>61707000000</v>
      </c>
      <c r="N59">
        <f>IFERROR(IF(VLOOKUP($B59,Показатели!$E:$W,11,FALSE)=0,"",VLOOKUP($B59,Показатели!$E:$W,11,FALSE)),"")</f>
        <v>105003000000</v>
      </c>
      <c r="O59">
        <f>IFERROR(IF(VLOOKUP($B59,Показатели!$E:$W,12,FALSE)=0,"",VLOOKUP($B59,Показатели!$E:$W,12,FALSE)),"")</f>
        <v>14712000000</v>
      </c>
      <c r="P59">
        <f>IFERROR(IF(VLOOKUP($B59,Показатели!$E:$W,13,FALSE)=0,"",VLOOKUP($B59,Показатели!$E:$W,13,FALSE)),"")</f>
        <v>18809000000</v>
      </c>
      <c r="Q59">
        <f>IFERROR(IF(VLOOKUP($B59,Показатели!$E:$W,14,FALSE)=0,"",VLOOKUP($B59,Показатели!$E:$W,14,FALSE)),"")</f>
        <v>13437000000</v>
      </c>
      <c r="R59" t="str">
        <f>IFERROR(IF(VLOOKUP($B59,Показатели!$E:$W,15,FALSE)=0,"",VLOOKUP($B59,Показатели!$E:$W,15,FALSE)),"")</f>
        <v/>
      </c>
      <c r="S59">
        <f>IFERROR(IF(VLOOKUP($B59,Показатели!$E:$W,16,FALSE)=0,"",VLOOKUP($B59,Показатели!$E:$W,16,FALSE)),"")</f>
        <v>25200000000</v>
      </c>
      <c r="T59">
        <f>IFERROR(IF(VLOOKUP($B59,Показатели!$E:$W,17,FALSE)=0,"",VLOOKUP($B59,Показатели!$E:$W,17,FALSE)),"")</f>
        <v>-17846000000</v>
      </c>
      <c r="U59">
        <f>IFERROR(IF(VLOOKUP($B59,Показатели!$E:$W,18,FALSE)=0,"",VLOOKUP($B59,Показатели!$E:$W,18,FALSE)),"")</f>
        <v>104790000000</v>
      </c>
      <c r="V59">
        <f>IFERROR(IF(VLOOKUP($B59,Показатели!$E:$W,19,FALSE)=0,"",VLOOKUP($B59,Показатели!$E:$W,19,FALSE)),"")</f>
        <v>213862000000</v>
      </c>
    </row>
    <row r="60" spans="1:22" x14ac:dyDescent="0.2">
      <c r="A60" s="7" t="s">
        <v>2314</v>
      </c>
      <c r="B60" t="str">
        <f t="shared" si="0"/>
        <v>RNFT IV кв. 2015</v>
      </c>
      <c r="C60">
        <v>2015</v>
      </c>
      <c r="D60">
        <f>SUMIFS(Дивиденды!$C:$C,Дивиденды!$A:$A,A60,Дивиденды!$I:$I,C60)</f>
        <v>0</v>
      </c>
      <c r="E60">
        <f>IFERROR(IF(VLOOKUP($B60,Показатели!$E:$W,2,FALSE)=0,"",VLOOKUP($B60,Показатели!$E:$W,2,FALSE)),"")</f>
        <v>1943000000</v>
      </c>
      <c r="F60">
        <f>IFERROR(IF(VLOOKUP($B60,Показатели!$E:$W,3,FALSE)=0,"",VLOOKUP($B60,Показатели!$E:$W,3,FALSE)),"")</f>
        <v>15718000000</v>
      </c>
      <c r="G60">
        <f>IFERROR(IF(VLOOKUP($B60,Показатели!$E:$W,4,FALSE)=0,"",VLOOKUP($B60,Показатели!$E:$W,4,FALSE)),"")</f>
        <v>105054000000</v>
      </c>
      <c r="H60" t="str">
        <f>IFERROR(IF(VLOOKUP($B60,Показатели!$E:$W,5,FALSE)=0,"",VLOOKUP($B60,Показатели!$E:$W,5,FALSE)),"")</f>
        <v/>
      </c>
      <c r="I60">
        <f>IFERROR(IF(VLOOKUP($B60,Показатели!$E:$W,6,FALSE)=0,"",VLOOKUP($B60,Показатели!$E:$W,6,FALSE)),"")</f>
        <v>213862000000</v>
      </c>
      <c r="J60">
        <f>IFERROR(IF(VLOOKUP($B60,Показатели!$E:$W,7,FALSE)=0,"",VLOOKUP($B60,Показатели!$E:$W,7,FALSE)),"")</f>
        <v>50258000000</v>
      </c>
      <c r="K60">
        <f>IFERROR(IF(VLOOKUP($B60,Показатели!$E:$W,8,FALSE)=0,"",VLOOKUP($B60,Показатели!$E:$W,8,FALSE)),"")</f>
        <v>186236000000</v>
      </c>
      <c r="L60">
        <f>IFERROR(IF(VLOOKUP($B60,Показатели!$E:$W,9,FALSE)=0,"",VLOOKUP($B60,Показатели!$E:$W,9,FALSE)),"")</f>
        <v>-19001000000</v>
      </c>
      <c r="M60">
        <f>IFERROR(IF(VLOOKUP($B60,Показатели!$E:$W,10,FALSE)=0,"",VLOOKUP($B60,Показатели!$E:$W,10,FALSE)),"")</f>
        <v>-22632000000</v>
      </c>
      <c r="N60">
        <f>IFERROR(IF(VLOOKUP($B60,Показатели!$E:$W,11,FALSE)=0,"",VLOOKUP($B60,Показатели!$E:$W,11,FALSE)),"")</f>
        <v>104790000000</v>
      </c>
      <c r="O60">
        <f>IFERROR(IF(VLOOKUP($B60,Показатели!$E:$W,12,FALSE)=0,"",VLOOKUP($B60,Показатели!$E:$W,12,FALSE)),"")</f>
        <v>9704000000</v>
      </c>
      <c r="P60">
        <f>IFERROR(IF(VLOOKUP($B60,Показатели!$E:$W,13,FALSE)=0,"",VLOOKUP($B60,Показатели!$E:$W,13,FALSE)),"")</f>
        <v>-25985000000</v>
      </c>
      <c r="Q60">
        <f>IFERROR(IF(VLOOKUP($B60,Показатели!$E:$W,14,FALSE)=0,"",VLOOKUP($B60,Показатели!$E:$W,14,FALSE)),"")</f>
        <v>-25960000000</v>
      </c>
      <c r="R60" t="str">
        <f>IFERROR(IF(VLOOKUP($B60,Показатели!$E:$W,15,FALSE)=0,"",VLOOKUP($B60,Показатели!$E:$W,15,FALSE)),"")</f>
        <v/>
      </c>
      <c r="S60" t="str">
        <f>IFERROR(IF(VLOOKUP($B60,Показатели!$E:$W,16,FALSE)=0,"",VLOOKUP($B60,Показатели!$E:$W,16,FALSE)),"")</f>
        <v/>
      </c>
      <c r="T60">
        <f>IFERROR(IF(VLOOKUP($B60,Показатели!$E:$W,17,FALSE)=0,"",VLOOKUP($B60,Показатели!$E:$W,17,FALSE)),"")</f>
        <v>-10077000000</v>
      </c>
      <c r="U60" t="str">
        <f>IFERROR(IF(VLOOKUP($B60,Показатели!$E:$W,18,FALSE)=0,"",VLOOKUP($B60,Показатели!$E:$W,18,FALSE)),"")</f>
        <v/>
      </c>
      <c r="V60" t="str">
        <f>IFERROR(IF(VLOOKUP($B60,Показатели!$E:$W,19,FALSE)=0,"",VLOOKUP($B60,Показатели!$E:$W,19,FALSE)),"")</f>
        <v/>
      </c>
    </row>
    <row r="61" spans="1:22" x14ac:dyDescent="0.2">
      <c r="A61" s="7" t="s">
        <v>2314</v>
      </c>
      <c r="B61" t="str">
        <f t="shared" si="0"/>
        <v>RNFT IV кв. 2014</v>
      </c>
      <c r="C61">
        <v>2014</v>
      </c>
      <c r="D61">
        <f>SUMIFS(Дивиденды!$C:$C,Дивиденды!$A:$A,A61,Дивиденды!$I:$I,C61)</f>
        <v>0</v>
      </c>
      <c r="E61" t="str">
        <f>IFERROR(IF(VLOOKUP($B61,Показатели!$E:$W,2,FALSE)=0,"",VLOOKUP($B61,Показатели!$E:$W,2,FALSE)),"")</f>
        <v/>
      </c>
      <c r="F61" t="str">
        <f>IFERROR(IF(VLOOKUP($B61,Показатели!$E:$W,3,FALSE)=0,"",VLOOKUP($B61,Показатели!$E:$W,3,FALSE)),"")</f>
        <v/>
      </c>
      <c r="G61" t="str">
        <f>IFERROR(IF(VLOOKUP($B61,Показатели!$E:$W,4,FALSE)=0,"",VLOOKUP($B61,Показатели!$E:$W,4,FALSE)),"")</f>
        <v/>
      </c>
      <c r="H61" t="str">
        <f>IFERROR(IF(VLOOKUP($B61,Показатели!$E:$W,5,FALSE)=0,"",VLOOKUP($B61,Показатели!$E:$W,5,FALSE)),"")</f>
        <v/>
      </c>
      <c r="I61" t="str">
        <f>IFERROR(IF(VLOOKUP($B61,Показатели!$E:$W,6,FALSE)=0,"",VLOOKUP($B61,Показатели!$E:$W,6,FALSE)),"")</f>
        <v/>
      </c>
      <c r="J61" t="str">
        <f>IFERROR(IF(VLOOKUP($B61,Показатели!$E:$W,7,FALSE)=0,"",VLOOKUP($B61,Показатели!$E:$W,7,FALSE)),"")</f>
        <v/>
      </c>
      <c r="K61" t="str">
        <f>IFERROR(IF(VLOOKUP($B61,Показатели!$E:$W,8,FALSE)=0,"",VLOOKUP($B61,Показатели!$E:$W,8,FALSE)),"")</f>
        <v/>
      </c>
      <c r="L61" t="str">
        <f>IFERROR(IF(VLOOKUP($B61,Показатели!$E:$W,9,FALSE)=0,"",VLOOKUP($B61,Показатели!$E:$W,9,FALSE)),"")</f>
        <v/>
      </c>
      <c r="M61" t="str">
        <f>IFERROR(IF(VLOOKUP($B61,Показатели!$E:$W,10,FALSE)=0,"",VLOOKUP($B61,Показатели!$E:$W,10,FALSE)),"")</f>
        <v/>
      </c>
      <c r="N61" t="str">
        <f>IFERROR(IF(VLOOKUP($B61,Показатели!$E:$W,11,FALSE)=0,"",VLOOKUP($B61,Показатели!$E:$W,11,FALSE)),"")</f>
        <v/>
      </c>
      <c r="O61" t="str">
        <f>IFERROR(IF(VLOOKUP($B61,Показатели!$E:$W,12,FALSE)=0,"",VLOOKUP($B61,Показатели!$E:$W,12,FALSE)),"")</f>
        <v/>
      </c>
      <c r="P61" t="str">
        <f>IFERROR(IF(VLOOKUP($B61,Показатели!$E:$W,13,FALSE)=0,"",VLOOKUP($B61,Показатели!$E:$W,13,FALSE)),"")</f>
        <v/>
      </c>
      <c r="Q61" t="str">
        <f>IFERROR(IF(VLOOKUP($B61,Показатели!$E:$W,14,FALSE)=0,"",VLOOKUP($B61,Показатели!$E:$W,14,FALSE)),"")</f>
        <v/>
      </c>
      <c r="R61" t="str">
        <f>IFERROR(IF(VLOOKUP($B61,Показатели!$E:$W,15,FALSE)=0,"",VLOOKUP($B61,Показатели!$E:$W,15,FALSE)),"")</f>
        <v/>
      </c>
      <c r="S61" t="str">
        <f>IFERROR(IF(VLOOKUP($B61,Показатели!$E:$W,16,FALSE)=0,"",VLOOKUP($B61,Показатели!$E:$W,16,FALSE)),"")</f>
        <v/>
      </c>
      <c r="T61" t="str">
        <f>IFERROR(IF(VLOOKUP($B61,Показатели!$E:$W,17,FALSE)=0,"",VLOOKUP($B61,Показатели!$E:$W,17,FALSE)),"")</f>
        <v/>
      </c>
      <c r="U61" t="str">
        <f>IFERROR(IF(VLOOKUP($B61,Показатели!$E:$W,18,FALSE)=0,"",VLOOKUP($B61,Показатели!$E:$W,18,FALSE)),"")</f>
        <v/>
      </c>
      <c r="V61" t="str">
        <f>IFERROR(IF(VLOOKUP($B61,Показатели!$E:$W,19,FALSE)=0,"",VLOOKUP($B61,Показатели!$E:$W,19,FALSE)),"")</f>
        <v/>
      </c>
    </row>
    <row r="62" spans="1:22" x14ac:dyDescent="0.2">
      <c r="A62" s="7" t="s">
        <v>2314</v>
      </c>
      <c r="B62" t="str">
        <f t="shared" si="0"/>
        <v>RNFT IV кв. 2013</v>
      </c>
      <c r="C62">
        <v>2013</v>
      </c>
      <c r="D62">
        <f>SUMIFS(Дивиденды!$C:$C,Дивиденды!$A:$A,A62,Дивиденды!$I:$I,C62)</f>
        <v>0</v>
      </c>
      <c r="E62" t="str">
        <f>IFERROR(IF(VLOOKUP($B62,Показатели!$E:$W,2,FALSE)=0,"",VLOOKUP($B62,Показатели!$E:$W,2,FALSE)),"")</f>
        <v/>
      </c>
      <c r="F62" t="str">
        <f>IFERROR(IF(VLOOKUP($B62,Показатели!$E:$W,3,FALSE)=0,"",VLOOKUP($B62,Показатели!$E:$W,3,FALSE)),"")</f>
        <v/>
      </c>
      <c r="G62" t="str">
        <f>IFERROR(IF(VLOOKUP($B62,Показатели!$E:$W,4,FALSE)=0,"",VLOOKUP($B62,Показатели!$E:$W,4,FALSE)),"")</f>
        <v/>
      </c>
      <c r="H62" t="str">
        <f>IFERROR(IF(VLOOKUP($B62,Показатели!$E:$W,5,FALSE)=0,"",VLOOKUP($B62,Показатели!$E:$W,5,FALSE)),"")</f>
        <v/>
      </c>
      <c r="I62" t="str">
        <f>IFERROR(IF(VLOOKUP($B62,Показатели!$E:$W,6,FALSE)=0,"",VLOOKUP($B62,Показатели!$E:$W,6,FALSE)),"")</f>
        <v/>
      </c>
      <c r="J62" t="str">
        <f>IFERROR(IF(VLOOKUP($B62,Показатели!$E:$W,7,FALSE)=0,"",VLOOKUP($B62,Показатели!$E:$W,7,FALSE)),"")</f>
        <v/>
      </c>
      <c r="K62" t="str">
        <f>IFERROR(IF(VLOOKUP($B62,Показатели!$E:$W,8,FALSE)=0,"",VLOOKUP($B62,Показатели!$E:$W,8,FALSE)),"")</f>
        <v/>
      </c>
      <c r="L62" t="str">
        <f>IFERROR(IF(VLOOKUP($B62,Показатели!$E:$W,9,FALSE)=0,"",VLOOKUP($B62,Показатели!$E:$W,9,FALSE)),"")</f>
        <v/>
      </c>
      <c r="M62" t="str">
        <f>IFERROR(IF(VLOOKUP($B62,Показатели!$E:$W,10,FALSE)=0,"",VLOOKUP($B62,Показатели!$E:$W,10,FALSE)),"")</f>
        <v/>
      </c>
      <c r="N62" t="str">
        <f>IFERROR(IF(VLOOKUP($B62,Показатели!$E:$W,11,FALSE)=0,"",VLOOKUP($B62,Показатели!$E:$W,11,FALSE)),"")</f>
        <v/>
      </c>
      <c r="O62" t="str">
        <f>IFERROR(IF(VLOOKUP($B62,Показатели!$E:$W,12,FALSE)=0,"",VLOOKUP($B62,Показатели!$E:$W,12,FALSE)),"")</f>
        <v/>
      </c>
      <c r="P62" t="str">
        <f>IFERROR(IF(VLOOKUP($B62,Показатели!$E:$W,13,FALSE)=0,"",VLOOKUP($B62,Показатели!$E:$W,13,FALSE)),"")</f>
        <v/>
      </c>
      <c r="Q62" t="str">
        <f>IFERROR(IF(VLOOKUP($B62,Показатели!$E:$W,14,FALSE)=0,"",VLOOKUP($B62,Показатели!$E:$W,14,FALSE)),"")</f>
        <v/>
      </c>
      <c r="R62" t="str">
        <f>IFERROR(IF(VLOOKUP($B62,Показатели!$E:$W,15,FALSE)=0,"",VLOOKUP($B62,Показатели!$E:$W,15,FALSE)),"")</f>
        <v/>
      </c>
      <c r="S62" t="str">
        <f>IFERROR(IF(VLOOKUP($B62,Показатели!$E:$W,16,FALSE)=0,"",VLOOKUP($B62,Показатели!$E:$W,16,FALSE)),"")</f>
        <v/>
      </c>
      <c r="T62" t="str">
        <f>IFERROR(IF(VLOOKUP($B62,Показатели!$E:$W,17,FALSE)=0,"",VLOOKUP($B62,Показатели!$E:$W,17,FALSE)),"")</f>
        <v/>
      </c>
      <c r="U62" t="str">
        <f>IFERROR(IF(VLOOKUP($B62,Показатели!$E:$W,18,FALSE)=0,"",VLOOKUP($B62,Показатели!$E:$W,18,FALSE)),"")</f>
        <v/>
      </c>
      <c r="V62" t="str">
        <f>IFERROR(IF(VLOOKUP($B62,Показатели!$E:$W,19,FALSE)=0,"",VLOOKUP($B62,Показатели!$E:$W,19,FALSE)),"")</f>
        <v/>
      </c>
    </row>
    <row r="63" spans="1:22" x14ac:dyDescent="0.2">
      <c r="A63" s="7" t="s">
        <v>2314</v>
      </c>
      <c r="B63" t="str">
        <f t="shared" si="0"/>
        <v>RNFT IV кв. 2012</v>
      </c>
      <c r="C63">
        <v>2012</v>
      </c>
      <c r="D63">
        <f>SUMIFS(Дивиденды!$C:$C,Дивиденды!$A:$A,A63,Дивиденды!$I:$I,C63)</f>
        <v>0</v>
      </c>
      <c r="E63" t="str">
        <f>IFERROR(IF(VLOOKUP($B63,Показатели!$E:$W,2,FALSE)=0,"",VLOOKUP($B63,Показатели!$E:$W,2,FALSE)),"")</f>
        <v/>
      </c>
      <c r="F63" t="str">
        <f>IFERROR(IF(VLOOKUP($B63,Показатели!$E:$W,3,FALSE)=0,"",VLOOKUP($B63,Показатели!$E:$W,3,FALSE)),"")</f>
        <v/>
      </c>
      <c r="G63" t="str">
        <f>IFERROR(IF(VLOOKUP($B63,Показатели!$E:$W,4,FALSE)=0,"",VLOOKUP($B63,Показатели!$E:$W,4,FALSE)),"")</f>
        <v/>
      </c>
      <c r="H63" t="str">
        <f>IFERROR(IF(VLOOKUP($B63,Показатели!$E:$W,5,FALSE)=0,"",VLOOKUP($B63,Показатели!$E:$W,5,FALSE)),"")</f>
        <v/>
      </c>
      <c r="I63" t="str">
        <f>IFERROR(IF(VLOOKUP($B63,Показатели!$E:$W,6,FALSE)=0,"",VLOOKUP($B63,Показатели!$E:$W,6,FALSE)),"")</f>
        <v/>
      </c>
      <c r="J63" t="str">
        <f>IFERROR(IF(VLOOKUP($B63,Показатели!$E:$W,7,FALSE)=0,"",VLOOKUP($B63,Показатели!$E:$W,7,FALSE)),"")</f>
        <v/>
      </c>
      <c r="K63" t="str">
        <f>IFERROR(IF(VLOOKUP($B63,Показатели!$E:$W,8,FALSE)=0,"",VLOOKUP($B63,Показатели!$E:$W,8,FALSE)),"")</f>
        <v/>
      </c>
      <c r="L63" t="str">
        <f>IFERROR(IF(VLOOKUP($B63,Показатели!$E:$W,9,FALSE)=0,"",VLOOKUP($B63,Показатели!$E:$W,9,FALSE)),"")</f>
        <v/>
      </c>
      <c r="M63" t="str">
        <f>IFERROR(IF(VLOOKUP($B63,Показатели!$E:$W,10,FALSE)=0,"",VLOOKUP($B63,Показатели!$E:$W,10,FALSE)),"")</f>
        <v/>
      </c>
      <c r="N63" t="str">
        <f>IFERROR(IF(VLOOKUP($B63,Показатели!$E:$W,11,FALSE)=0,"",VLOOKUP($B63,Показатели!$E:$W,11,FALSE)),"")</f>
        <v/>
      </c>
      <c r="O63" t="str">
        <f>IFERROR(IF(VLOOKUP($B63,Показатели!$E:$W,12,FALSE)=0,"",VLOOKUP($B63,Показатели!$E:$W,12,FALSE)),"")</f>
        <v/>
      </c>
      <c r="P63" t="str">
        <f>IFERROR(IF(VLOOKUP($B63,Показатели!$E:$W,13,FALSE)=0,"",VLOOKUP($B63,Показатели!$E:$W,13,FALSE)),"")</f>
        <v/>
      </c>
      <c r="Q63" t="str">
        <f>IFERROR(IF(VLOOKUP($B63,Показатели!$E:$W,14,FALSE)=0,"",VLOOKUP($B63,Показатели!$E:$W,14,FALSE)),"")</f>
        <v/>
      </c>
      <c r="R63" t="str">
        <f>IFERROR(IF(VLOOKUP($B63,Показатели!$E:$W,15,FALSE)=0,"",VLOOKUP($B63,Показатели!$E:$W,15,FALSE)),"")</f>
        <v/>
      </c>
      <c r="S63" t="str">
        <f>IFERROR(IF(VLOOKUP($B63,Показатели!$E:$W,16,FALSE)=0,"",VLOOKUP($B63,Показатели!$E:$W,16,FALSE)),"")</f>
        <v/>
      </c>
      <c r="T63" t="str">
        <f>IFERROR(IF(VLOOKUP($B63,Показатели!$E:$W,17,FALSE)=0,"",VLOOKUP($B63,Показатели!$E:$W,17,FALSE)),"")</f>
        <v/>
      </c>
      <c r="U63" t="str">
        <f>IFERROR(IF(VLOOKUP($B63,Показатели!$E:$W,18,FALSE)=0,"",VLOOKUP($B63,Показатели!$E:$W,18,FALSE)),"")</f>
        <v/>
      </c>
      <c r="V63" t="str">
        <f>IFERROR(IF(VLOOKUP($B63,Показатели!$E:$W,19,FALSE)=0,"",VLOOKUP($B63,Показатели!$E:$W,19,FALSE)),"")</f>
        <v/>
      </c>
    </row>
    <row r="64" spans="1:22" x14ac:dyDescent="0.2">
      <c r="A64" s="7" t="s">
        <v>2314</v>
      </c>
      <c r="B64" t="str">
        <f t="shared" si="0"/>
        <v>RNFT IV кв. 2011</v>
      </c>
      <c r="C64">
        <v>2011</v>
      </c>
      <c r="D64">
        <f>SUMIFS(Дивиденды!$C:$C,Дивиденды!$A:$A,A64,Дивиденды!$I:$I,C64)</f>
        <v>0</v>
      </c>
      <c r="E64" t="str">
        <f>IFERROR(IF(VLOOKUP($B64,Показатели!$E:$W,2,FALSE)=0,"",VLOOKUP($B64,Показатели!$E:$W,2,FALSE)),"")</f>
        <v/>
      </c>
      <c r="F64" t="str">
        <f>IFERROR(IF(VLOOKUP($B64,Показатели!$E:$W,3,FALSE)=0,"",VLOOKUP($B64,Показатели!$E:$W,3,FALSE)),"")</f>
        <v/>
      </c>
      <c r="G64" t="str">
        <f>IFERROR(IF(VLOOKUP($B64,Показатели!$E:$W,4,FALSE)=0,"",VLOOKUP($B64,Показатели!$E:$W,4,FALSE)),"")</f>
        <v/>
      </c>
      <c r="H64" t="str">
        <f>IFERROR(IF(VLOOKUP($B64,Показатели!$E:$W,5,FALSE)=0,"",VLOOKUP($B64,Показатели!$E:$W,5,FALSE)),"")</f>
        <v/>
      </c>
      <c r="I64" t="str">
        <f>IFERROR(IF(VLOOKUP($B64,Показатели!$E:$W,6,FALSE)=0,"",VLOOKUP($B64,Показатели!$E:$W,6,FALSE)),"")</f>
        <v/>
      </c>
      <c r="J64" t="str">
        <f>IFERROR(IF(VLOOKUP($B64,Показатели!$E:$W,7,FALSE)=0,"",VLOOKUP($B64,Показатели!$E:$W,7,FALSE)),"")</f>
        <v/>
      </c>
      <c r="K64" t="str">
        <f>IFERROR(IF(VLOOKUP($B64,Показатели!$E:$W,8,FALSE)=0,"",VLOOKUP($B64,Показатели!$E:$W,8,FALSE)),"")</f>
        <v/>
      </c>
      <c r="L64" t="str">
        <f>IFERROR(IF(VLOOKUP($B64,Показатели!$E:$W,9,FALSE)=0,"",VLOOKUP($B64,Показатели!$E:$W,9,FALSE)),"")</f>
        <v/>
      </c>
      <c r="M64" t="str">
        <f>IFERROR(IF(VLOOKUP($B64,Показатели!$E:$W,10,FALSE)=0,"",VLOOKUP($B64,Показатели!$E:$W,10,FALSE)),"")</f>
        <v/>
      </c>
      <c r="N64" t="str">
        <f>IFERROR(IF(VLOOKUP($B64,Показатели!$E:$W,11,FALSE)=0,"",VLOOKUP($B64,Показатели!$E:$W,11,FALSE)),"")</f>
        <v/>
      </c>
      <c r="O64" t="str">
        <f>IFERROR(IF(VLOOKUP($B64,Показатели!$E:$W,12,FALSE)=0,"",VLOOKUP($B64,Показатели!$E:$W,12,FALSE)),"")</f>
        <v/>
      </c>
      <c r="P64" t="str">
        <f>IFERROR(IF(VLOOKUP($B64,Показатели!$E:$W,13,FALSE)=0,"",VLOOKUP($B64,Показатели!$E:$W,13,FALSE)),"")</f>
        <v/>
      </c>
      <c r="Q64" t="str">
        <f>IFERROR(IF(VLOOKUP($B64,Показатели!$E:$W,14,FALSE)=0,"",VLOOKUP($B64,Показатели!$E:$W,14,FALSE)),"")</f>
        <v/>
      </c>
      <c r="R64" t="str">
        <f>IFERROR(IF(VLOOKUP($B64,Показатели!$E:$W,15,FALSE)=0,"",VLOOKUP($B64,Показатели!$E:$W,15,FALSE)),"")</f>
        <v/>
      </c>
      <c r="S64" t="str">
        <f>IFERROR(IF(VLOOKUP($B64,Показатели!$E:$W,16,FALSE)=0,"",VLOOKUP($B64,Показатели!$E:$W,16,FALSE)),"")</f>
        <v/>
      </c>
      <c r="T64" t="str">
        <f>IFERROR(IF(VLOOKUP($B64,Показатели!$E:$W,17,FALSE)=0,"",VLOOKUP($B64,Показатели!$E:$W,17,FALSE)),"")</f>
        <v/>
      </c>
      <c r="U64" t="str">
        <f>IFERROR(IF(VLOOKUP($B64,Показатели!$E:$W,18,FALSE)=0,"",VLOOKUP($B64,Показатели!$E:$W,18,FALSE)),"")</f>
        <v/>
      </c>
      <c r="V64" t="str">
        <f>IFERROR(IF(VLOOKUP($B64,Показатели!$E:$W,19,FALSE)=0,"",VLOOKUP($B64,Показатели!$E:$W,19,FALSE)),"")</f>
        <v/>
      </c>
    </row>
    <row r="65" spans="1:22" x14ac:dyDescent="0.2">
      <c r="A65" s="7" t="s">
        <v>2314</v>
      </c>
      <c r="B65" t="str">
        <f t="shared" si="0"/>
        <v>RNFT IV кв. 2010</v>
      </c>
      <c r="C65">
        <v>2010</v>
      </c>
      <c r="D65">
        <f>SUMIFS(Дивиденды!$C:$C,Дивиденды!$A:$A,A65,Дивиденды!$I:$I,C65)</f>
        <v>0</v>
      </c>
      <c r="E65" t="str">
        <f>IFERROR(IF(VLOOKUP($B65,Показатели!$E:$W,2,FALSE)=0,"",VLOOKUP($B65,Показатели!$E:$W,2,FALSE)),"")</f>
        <v/>
      </c>
      <c r="F65" t="str">
        <f>IFERROR(IF(VLOOKUP($B65,Показатели!$E:$W,3,FALSE)=0,"",VLOOKUP($B65,Показатели!$E:$W,3,FALSE)),"")</f>
        <v/>
      </c>
      <c r="G65" t="str">
        <f>IFERROR(IF(VLOOKUP($B65,Показатели!$E:$W,4,FALSE)=0,"",VLOOKUP($B65,Показатели!$E:$W,4,FALSE)),"")</f>
        <v/>
      </c>
      <c r="H65" t="str">
        <f>IFERROR(IF(VLOOKUP($B65,Показатели!$E:$W,5,FALSE)=0,"",VLOOKUP($B65,Показатели!$E:$W,5,FALSE)),"")</f>
        <v/>
      </c>
      <c r="I65" t="str">
        <f>IFERROR(IF(VLOOKUP($B65,Показатели!$E:$W,6,FALSE)=0,"",VLOOKUP($B65,Показатели!$E:$W,6,FALSE)),"")</f>
        <v/>
      </c>
      <c r="J65" t="str">
        <f>IFERROR(IF(VLOOKUP($B65,Показатели!$E:$W,7,FALSE)=0,"",VLOOKUP($B65,Показатели!$E:$W,7,FALSE)),"")</f>
        <v/>
      </c>
      <c r="K65" t="str">
        <f>IFERROR(IF(VLOOKUP($B65,Показатели!$E:$W,8,FALSE)=0,"",VLOOKUP($B65,Показатели!$E:$W,8,FALSE)),"")</f>
        <v/>
      </c>
      <c r="L65" t="str">
        <f>IFERROR(IF(VLOOKUP($B65,Показатели!$E:$W,9,FALSE)=0,"",VLOOKUP($B65,Показатели!$E:$W,9,FALSE)),"")</f>
        <v/>
      </c>
      <c r="M65" t="str">
        <f>IFERROR(IF(VLOOKUP($B65,Показатели!$E:$W,10,FALSE)=0,"",VLOOKUP($B65,Показатели!$E:$W,10,FALSE)),"")</f>
        <v/>
      </c>
      <c r="N65" t="str">
        <f>IFERROR(IF(VLOOKUP($B65,Показатели!$E:$W,11,FALSE)=0,"",VLOOKUP($B65,Показатели!$E:$W,11,FALSE)),"")</f>
        <v/>
      </c>
      <c r="O65" t="str">
        <f>IFERROR(IF(VLOOKUP($B65,Показатели!$E:$W,12,FALSE)=0,"",VLOOKUP($B65,Показатели!$E:$W,12,FALSE)),"")</f>
        <v/>
      </c>
      <c r="P65" t="str">
        <f>IFERROR(IF(VLOOKUP($B65,Показатели!$E:$W,13,FALSE)=0,"",VLOOKUP($B65,Показатели!$E:$W,13,FALSE)),"")</f>
        <v/>
      </c>
      <c r="Q65" t="str">
        <f>IFERROR(IF(VLOOKUP($B65,Показатели!$E:$W,14,FALSE)=0,"",VLOOKUP($B65,Показатели!$E:$W,14,FALSE)),"")</f>
        <v/>
      </c>
      <c r="R65" t="str">
        <f>IFERROR(IF(VLOOKUP($B65,Показатели!$E:$W,15,FALSE)=0,"",VLOOKUP($B65,Показатели!$E:$W,15,FALSE)),"")</f>
        <v/>
      </c>
      <c r="S65" t="str">
        <f>IFERROR(IF(VLOOKUP($B65,Показатели!$E:$W,16,FALSE)=0,"",VLOOKUP($B65,Показатели!$E:$W,16,FALSE)),"")</f>
        <v/>
      </c>
      <c r="T65" t="str">
        <f>IFERROR(IF(VLOOKUP($B65,Показатели!$E:$W,17,FALSE)=0,"",VLOOKUP($B65,Показатели!$E:$W,17,FALSE)),"")</f>
        <v/>
      </c>
      <c r="U65" t="str">
        <f>IFERROR(IF(VLOOKUP($B65,Показатели!$E:$W,18,FALSE)=0,"",VLOOKUP($B65,Показатели!$E:$W,18,FALSE)),"")</f>
        <v/>
      </c>
      <c r="V65" t="str">
        <f>IFERROR(IF(VLOOKUP($B65,Показатели!$E:$W,19,FALSE)=0,"",VLOOKUP($B65,Показатели!$E:$W,19,FALSE)),"")</f>
        <v/>
      </c>
    </row>
    <row r="66" spans="1:22" x14ac:dyDescent="0.2">
      <c r="A66" s="7" t="s">
        <v>2184</v>
      </c>
      <c r="B66" t="str">
        <f t="shared" si="0"/>
        <v>ROSN IV кв. 2025</v>
      </c>
      <c r="C66">
        <v>2025</v>
      </c>
      <c r="D66">
        <f>SUMIFS(Дивиденды!$C:$C,Дивиденды!$A:$A,A66,Дивиденды!$I:$I,C66)</f>
        <v>11.56</v>
      </c>
      <c r="E66" t="str">
        <f>IFERROR(IF(VLOOKUP($B66,Показатели!$E:$W,2,FALSE)=0,"",VLOOKUP($B66,Показатели!$E:$W,2,FALSE)),"")</f>
        <v/>
      </c>
      <c r="F66" t="str">
        <f>IFERROR(IF(VLOOKUP($B66,Показатели!$E:$W,3,FALSE)=0,"",VLOOKUP($B66,Показатели!$E:$W,3,FALSE)),"")</f>
        <v/>
      </c>
      <c r="G66" t="str">
        <f>IFERROR(IF(VLOOKUP($B66,Показатели!$E:$W,4,FALSE)=0,"",VLOOKUP($B66,Показатели!$E:$W,4,FALSE)),"")</f>
        <v/>
      </c>
      <c r="H66" t="str">
        <f>IFERROR(IF(VLOOKUP($B66,Показатели!$E:$W,5,FALSE)=0,"",VLOOKUP($B66,Показатели!$E:$W,5,FALSE)),"")</f>
        <v/>
      </c>
      <c r="I66" t="str">
        <f>IFERROR(IF(VLOOKUP($B66,Показатели!$E:$W,6,FALSE)=0,"",VLOOKUP($B66,Показатели!$E:$W,6,FALSE)),"")</f>
        <v/>
      </c>
      <c r="J66" t="str">
        <f>IFERROR(IF(VLOOKUP($B66,Показатели!$E:$W,7,FALSE)=0,"",VLOOKUP($B66,Показатели!$E:$W,7,FALSE)),"")</f>
        <v/>
      </c>
      <c r="K66" t="str">
        <f>IFERROR(IF(VLOOKUP($B66,Показатели!$E:$W,8,FALSE)=0,"",VLOOKUP($B66,Показатели!$E:$W,8,FALSE)),"")</f>
        <v/>
      </c>
      <c r="L66" t="str">
        <f>IFERROR(IF(VLOOKUP($B66,Показатели!$E:$W,9,FALSE)=0,"",VLOOKUP($B66,Показатели!$E:$W,9,FALSE)),"")</f>
        <v/>
      </c>
      <c r="M66" t="str">
        <f>IFERROR(IF(VLOOKUP($B66,Показатели!$E:$W,10,FALSE)=0,"",VLOOKUP($B66,Показатели!$E:$W,10,FALSE)),"")</f>
        <v/>
      </c>
      <c r="N66" t="str">
        <f>IFERROR(IF(VLOOKUP($B66,Показатели!$E:$W,11,FALSE)=0,"",VLOOKUP($B66,Показатели!$E:$W,11,FALSE)),"")</f>
        <v/>
      </c>
      <c r="O66" t="str">
        <f>IFERROR(IF(VLOOKUP($B66,Показатели!$E:$W,12,FALSE)=0,"",VLOOKUP($B66,Показатели!$E:$W,12,FALSE)),"")</f>
        <v/>
      </c>
      <c r="P66" t="str">
        <f>IFERROR(IF(VLOOKUP($B66,Показатели!$E:$W,13,FALSE)=0,"",VLOOKUP($B66,Показатели!$E:$W,13,FALSE)),"")</f>
        <v/>
      </c>
      <c r="Q66" t="str">
        <f>IFERROR(IF(VLOOKUP($B66,Показатели!$E:$W,14,FALSE)=0,"",VLOOKUP($B66,Показатели!$E:$W,14,FALSE)),"")</f>
        <v/>
      </c>
      <c r="R66" t="str">
        <f>IFERROR(IF(VLOOKUP($B66,Показатели!$E:$W,15,FALSE)=0,"",VLOOKUP($B66,Показатели!$E:$W,15,FALSE)),"")</f>
        <v/>
      </c>
      <c r="S66" t="str">
        <f>IFERROR(IF(VLOOKUP($B66,Показатели!$E:$W,16,FALSE)=0,"",VLOOKUP($B66,Показатели!$E:$W,16,FALSE)),"")</f>
        <v/>
      </c>
      <c r="T66" t="str">
        <f>IFERROR(IF(VLOOKUP($B66,Показатели!$E:$W,17,FALSE)=0,"",VLOOKUP($B66,Показатели!$E:$W,17,FALSE)),"")</f>
        <v/>
      </c>
      <c r="U66" t="str">
        <f>IFERROR(IF(VLOOKUP($B66,Показатели!$E:$W,18,FALSE)=0,"",VLOOKUP($B66,Показатели!$E:$W,18,FALSE)),"")</f>
        <v/>
      </c>
      <c r="V66" t="str">
        <f>IFERROR(IF(VLOOKUP($B66,Показатели!$E:$W,19,FALSE)=0,"",VLOOKUP($B66,Показатели!$E:$W,19,FALSE)),"")</f>
        <v/>
      </c>
    </row>
    <row r="67" spans="1:22" x14ac:dyDescent="0.2">
      <c r="A67" s="7" t="s">
        <v>2184</v>
      </c>
      <c r="B67" t="str">
        <f t="shared" ref="B67:B130" si="1">A67&amp;" "&amp;
"IV"
&amp;" кв. "&amp;C67</f>
        <v>ROSN IV кв. 2024</v>
      </c>
      <c r="C67">
        <v>2024</v>
      </c>
      <c r="D67">
        <f>SUMIFS(Дивиденды!$C:$C,Дивиденды!$A:$A,A67,Дивиденды!$I:$I,C67)</f>
        <v>51.15</v>
      </c>
      <c r="E67" t="str">
        <f>IFERROR(IF(VLOOKUP($B67,Показатели!$E:$W,2,FALSE)=0,"",VLOOKUP($B67,Показатели!$E:$W,2,FALSE)),"")</f>
        <v/>
      </c>
      <c r="F67">
        <f>IFERROR(IF(VLOOKUP($B67,Показатели!$E:$W,3,FALSE)=0,"",VLOOKUP($B67,Показатели!$E:$W,3,FALSE)),"")</f>
        <v>4283000000000</v>
      </c>
      <c r="G67">
        <f>IFERROR(IF(VLOOKUP($B67,Показатели!$E:$W,4,FALSE)=0,"",VLOOKUP($B67,Показатели!$E:$W,4,FALSE)),"")</f>
        <v>13936000000000</v>
      </c>
      <c r="H67" t="str">
        <f>IFERROR(IF(VLOOKUP($B67,Показатели!$E:$W,5,FALSE)=0,"",VLOOKUP($B67,Показатели!$E:$W,5,FALSE)),"")</f>
        <v/>
      </c>
      <c r="I67">
        <f>IFERROR(IF(VLOOKUP($B67,Показатели!$E:$W,6,FALSE)=0,"",VLOOKUP($B67,Показатели!$E:$W,6,FALSE)),"")</f>
        <v>20682000000000</v>
      </c>
      <c r="J67">
        <f>IFERROR(IF(VLOOKUP($B67,Показатели!$E:$W,7,FALSE)=0,"",VLOOKUP($B67,Показатели!$E:$W,7,FALSE)),"")</f>
        <v>5984000000000</v>
      </c>
      <c r="K67">
        <f>IFERROR(IF(VLOOKUP($B67,Показатели!$E:$W,8,FALSE)=0,"",VLOOKUP($B67,Показатели!$E:$W,8,FALSE)),"")</f>
        <v>5541000000000</v>
      </c>
      <c r="L67">
        <f>IFERROR(IF(VLOOKUP($B67,Показатели!$E:$W,9,FALSE)=0,"",VLOOKUP($B67,Показатели!$E:$W,9,FALSE)),"")</f>
        <v>6347000000000</v>
      </c>
      <c r="M67">
        <f>IFERROR(IF(VLOOKUP($B67,Показатели!$E:$W,10,FALSE)=0,"",VLOOKUP($B67,Показатели!$E:$W,10,FALSE)),"")</f>
        <v>9157000000000</v>
      </c>
      <c r="N67">
        <f>IFERROR(IF(VLOOKUP($B67,Показатели!$E:$W,11,FALSE)=0,"",VLOOKUP($B67,Показатели!$E:$W,11,FALSE)),"")</f>
        <v>10139000000000</v>
      </c>
      <c r="O67">
        <f>IFERROR(IF(VLOOKUP($B67,Показатели!$E:$W,12,FALSE)=0,"",VLOOKUP($B67,Показатели!$E:$W,12,FALSE)),"")</f>
        <v>2129000000000</v>
      </c>
      <c r="P67">
        <f>IFERROR(IF(VLOOKUP($B67,Показатели!$E:$W,13,FALSE)=0,"",VLOOKUP($B67,Показатели!$E:$W,13,FALSE)),"")</f>
        <v>1893000000000</v>
      </c>
      <c r="Q67">
        <f>IFERROR(IF(VLOOKUP($B67,Показатели!$E:$W,14,FALSE)=0,"",VLOOKUP($B67,Показатели!$E:$W,14,FALSE)),"")</f>
        <v>1341000000000</v>
      </c>
      <c r="R67" t="str">
        <f>IFERROR(IF(VLOOKUP($B67,Показатели!$E:$W,15,FALSE)=0,"",VLOOKUP($B67,Показатели!$E:$W,15,FALSE)),"")</f>
        <v/>
      </c>
      <c r="S67">
        <f>IFERROR(IF(VLOOKUP($B67,Показатели!$E:$W,16,FALSE)=0,"",VLOOKUP($B67,Показатели!$E:$W,16,FALSE)),"")</f>
        <v>3029000000000</v>
      </c>
      <c r="T67">
        <f>IFERROR(IF(VLOOKUP($B67,Показатели!$E:$W,17,FALSE)=0,"",VLOOKUP($B67,Показатели!$E:$W,17,FALSE)),"")</f>
        <v>-1442000000000</v>
      </c>
      <c r="U67">
        <f>IFERROR(IF(VLOOKUP($B67,Показатели!$E:$W,18,FALSE)=0,"",VLOOKUP($B67,Показатели!$E:$W,18,FALSE)),"")</f>
        <v>9163000000000</v>
      </c>
      <c r="V67">
        <f>IFERROR(IF(VLOOKUP($B67,Показатели!$E:$W,19,FALSE)=0,"",VLOOKUP($B67,Показатели!$E:$W,19,FALSE)),"")</f>
        <v>18787000000000</v>
      </c>
    </row>
    <row r="68" spans="1:22" x14ac:dyDescent="0.2">
      <c r="A68" s="7" t="s">
        <v>2184</v>
      </c>
      <c r="B68" t="str">
        <f t="shared" si="1"/>
        <v>ROSN IV кв. 2023</v>
      </c>
      <c r="C68">
        <v>2023</v>
      </c>
      <c r="D68">
        <f>SUMIFS(Дивиденды!$C:$C,Дивиденды!$A:$A,A68,Дивиденды!$I:$I,C68)</f>
        <v>59.78</v>
      </c>
      <c r="E68" t="str">
        <f>IFERROR(IF(VLOOKUP($B68,Показатели!$E:$W,2,FALSE)=0,"",VLOOKUP($B68,Показатели!$E:$W,2,FALSE)),"")</f>
        <v/>
      </c>
      <c r="F68">
        <f>IFERROR(IF(VLOOKUP($B68,Показатели!$E:$W,3,FALSE)=0,"",VLOOKUP($B68,Показатели!$E:$W,3,FALSE)),"")</f>
        <v>3839000000000</v>
      </c>
      <c r="G68">
        <f>IFERROR(IF(VLOOKUP($B68,Показатели!$E:$W,4,FALSE)=0,"",VLOOKUP($B68,Показатели!$E:$W,4,FALSE)),"")</f>
        <v>12639000000000</v>
      </c>
      <c r="H68" t="str">
        <f>IFERROR(IF(VLOOKUP($B68,Показатели!$E:$W,5,FALSE)=0,"",VLOOKUP($B68,Показатели!$E:$W,5,FALSE)),"")</f>
        <v/>
      </c>
      <c r="I68">
        <f>IFERROR(IF(VLOOKUP($B68,Показатели!$E:$W,6,FALSE)=0,"",VLOOKUP($B68,Показатели!$E:$W,6,FALSE)),"")</f>
        <v>18787000000000</v>
      </c>
      <c r="J68">
        <f>IFERROR(IF(VLOOKUP($B68,Показатели!$E:$W,7,FALSE)=0,"",VLOOKUP($B68,Показатели!$E:$W,7,FALSE)),"")</f>
        <v>4832000000000</v>
      </c>
      <c r="K68">
        <f>IFERROR(IF(VLOOKUP($B68,Показатели!$E:$W,8,FALSE)=0,"",VLOOKUP($B68,Показатели!$E:$W,8,FALSE)),"")</f>
        <v>5541000000000</v>
      </c>
      <c r="L68">
        <f>IFERROR(IF(VLOOKUP($B68,Показатели!$E:$W,9,FALSE)=0,"",VLOOKUP($B68,Показатели!$E:$W,9,FALSE)),"")</f>
        <v>5885000000000</v>
      </c>
      <c r="M68">
        <f>IFERROR(IF(VLOOKUP($B68,Показатели!$E:$W,10,FALSE)=0,"",VLOOKUP($B68,Показатели!$E:$W,10,FALSE)),"")</f>
        <v>8414000000000</v>
      </c>
      <c r="N68">
        <f>IFERROR(IF(VLOOKUP($B68,Показатели!$E:$W,11,FALSE)=0,"",VLOOKUP($B68,Показатели!$E:$W,11,FALSE)),"")</f>
        <v>9163000000000</v>
      </c>
      <c r="O68">
        <f>IFERROR(IF(VLOOKUP($B68,Показатели!$E:$W,12,FALSE)=0,"",VLOOKUP($B68,Показатели!$E:$W,12,FALSE)),"")</f>
        <v>2182000000000</v>
      </c>
      <c r="P68">
        <f>IFERROR(IF(VLOOKUP($B68,Показатели!$E:$W,13,FALSE)=0,"",VLOOKUP($B68,Показатели!$E:$W,13,FALSE)),"")</f>
        <v>1957000000000</v>
      </c>
      <c r="Q68">
        <f>IFERROR(IF(VLOOKUP($B68,Показатели!$E:$W,14,FALSE)=0,"",VLOOKUP($B68,Показатели!$E:$W,14,FALSE)),"")</f>
        <v>1529000000000</v>
      </c>
      <c r="R68" t="str">
        <f>IFERROR(IF(VLOOKUP($B68,Показатели!$E:$W,15,FALSE)=0,"",VLOOKUP($B68,Показатели!$E:$W,15,FALSE)),"")</f>
        <v/>
      </c>
      <c r="S68">
        <f>IFERROR(IF(VLOOKUP($B68,Показатели!$E:$W,16,FALSE)=0,"",VLOOKUP($B68,Показатели!$E:$W,16,FALSE)),"")</f>
        <v>3005000000000</v>
      </c>
      <c r="T68">
        <f>IFERROR(IF(VLOOKUP($B68,Показатели!$E:$W,17,FALSE)=0,"",VLOOKUP($B68,Показатели!$E:$W,17,FALSE)),"")</f>
        <v>-1297000000000</v>
      </c>
      <c r="U68" t="str">
        <f>IFERROR(IF(VLOOKUP($B68,Показатели!$E:$W,18,FALSE)=0,"",VLOOKUP($B68,Показатели!$E:$W,18,FALSE)),"")</f>
        <v/>
      </c>
      <c r="V68" t="str">
        <f>IFERROR(IF(VLOOKUP($B68,Показатели!$E:$W,19,FALSE)=0,"",VLOOKUP($B68,Показатели!$E:$W,19,FALSE)),"")</f>
        <v/>
      </c>
    </row>
    <row r="69" spans="1:22" x14ac:dyDescent="0.2">
      <c r="A69" s="7" t="s">
        <v>2184</v>
      </c>
      <c r="B69" t="str">
        <f t="shared" si="1"/>
        <v>ROSN IV кв. 2022</v>
      </c>
      <c r="C69">
        <v>2022</v>
      </c>
      <c r="D69">
        <f>SUMIFS(Дивиденды!$C:$C,Дивиденды!$A:$A,A69,Дивиденды!$I:$I,C69)</f>
        <v>38.36</v>
      </c>
      <c r="E69" t="str">
        <f>IFERROR(IF(VLOOKUP($B69,Показатели!$E:$W,2,FALSE)=0,"",VLOOKUP($B69,Показатели!$E:$W,2,FALSE)),"")</f>
        <v/>
      </c>
      <c r="F69" t="str">
        <f>IFERROR(IF(VLOOKUP($B69,Показатели!$E:$W,3,FALSE)=0,"",VLOOKUP($B69,Показатели!$E:$W,3,FALSE)),"")</f>
        <v/>
      </c>
      <c r="G69" t="str">
        <f>IFERROR(IF(VLOOKUP($B69,Показатели!$E:$W,4,FALSE)=0,"",VLOOKUP($B69,Показатели!$E:$W,4,FALSE)),"")</f>
        <v/>
      </c>
      <c r="H69" t="str">
        <f>IFERROR(IF(VLOOKUP($B69,Показатели!$E:$W,5,FALSE)=0,"",VLOOKUP($B69,Показатели!$E:$W,5,FALSE)),"")</f>
        <v/>
      </c>
      <c r="I69" t="str">
        <f>IFERROR(IF(VLOOKUP($B69,Показатели!$E:$W,6,FALSE)=0,"",VLOOKUP($B69,Показатели!$E:$W,6,FALSE)),"")</f>
        <v/>
      </c>
      <c r="J69" t="str">
        <f>IFERROR(IF(VLOOKUP($B69,Показатели!$E:$W,7,FALSE)=0,"",VLOOKUP($B69,Показатели!$E:$W,7,FALSE)),"")</f>
        <v/>
      </c>
      <c r="K69" t="str">
        <f>IFERROR(IF(VLOOKUP($B69,Показатели!$E:$W,8,FALSE)=0,"",VLOOKUP($B69,Показатели!$E:$W,8,FALSE)),"")</f>
        <v/>
      </c>
      <c r="L69" t="str">
        <f>IFERROR(IF(VLOOKUP($B69,Показатели!$E:$W,9,FALSE)=0,"",VLOOKUP($B69,Показатели!$E:$W,9,FALSE)),"")</f>
        <v/>
      </c>
      <c r="M69" t="str">
        <f>IFERROR(IF(VLOOKUP($B69,Показатели!$E:$W,10,FALSE)=0,"",VLOOKUP($B69,Показатели!$E:$W,10,FALSE)),"")</f>
        <v/>
      </c>
      <c r="N69" t="str">
        <f>IFERROR(IF(VLOOKUP($B69,Показатели!$E:$W,11,FALSE)=0,"",VLOOKUP($B69,Показатели!$E:$W,11,FALSE)),"")</f>
        <v/>
      </c>
      <c r="O69" t="str">
        <f>IFERROR(IF(VLOOKUP($B69,Показатели!$E:$W,12,FALSE)=0,"",VLOOKUP($B69,Показатели!$E:$W,12,FALSE)),"")</f>
        <v/>
      </c>
      <c r="P69" t="str">
        <f>IFERROR(IF(VLOOKUP($B69,Показатели!$E:$W,13,FALSE)=0,"",VLOOKUP($B69,Показатели!$E:$W,13,FALSE)),"")</f>
        <v/>
      </c>
      <c r="Q69" t="str">
        <f>IFERROR(IF(VLOOKUP($B69,Показатели!$E:$W,14,FALSE)=0,"",VLOOKUP($B69,Показатели!$E:$W,14,FALSE)),"")</f>
        <v/>
      </c>
      <c r="R69" t="str">
        <f>IFERROR(IF(VLOOKUP($B69,Показатели!$E:$W,15,FALSE)=0,"",VLOOKUP($B69,Показатели!$E:$W,15,FALSE)),"")</f>
        <v/>
      </c>
      <c r="S69" t="str">
        <f>IFERROR(IF(VLOOKUP($B69,Показатели!$E:$W,16,FALSE)=0,"",VLOOKUP($B69,Показатели!$E:$W,16,FALSE)),"")</f>
        <v/>
      </c>
      <c r="T69" t="str">
        <f>IFERROR(IF(VLOOKUP($B69,Показатели!$E:$W,17,FALSE)=0,"",VLOOKUP($B69,Показатели!$E:$W,17,FALSE)),"")</f>
        <v/>
      </c>
      <c r="U69" t="str">
        <f>IFERROR(IF(VLOOKUP($B69,Показатели!$E:$W,18,FALSE)=0,"",VLOOKUP($B69,Показатели!$E:$W,18,FALSE)),"")</f>
        <v/>
      </c>
      <c r="V69" t="str">
        <f>IFERROR(IF(VLOOKUP($B69,Показатели!$E:$W,19,FALSE)=0,"",VLOOKUP($B69,Показатели!$E:$W,19,FALSE)),"")</f>
        <v/>
      </c>
    </row>
    <row r="70" spans="1:22" x14ac:dyDescent="0.2">
      <c r="A70" s="7" t="s">
        <v>2184</v>
      </c>
      <c r="B70" t="str">
        <f t="shared" si="1"/>
        <v>ROSN IV кв. 2021</v>
      </c>
      <c r="C70">
        <v>2021</v>
      </c>
      <c r="D70">
        <f>SUMIFS(Дивиденды!$C:$C,Дивиденды!$A:$A,A70,Дивиденды!$I:$I,C70)</f>
        <v>41.66</v>
      </c>
      <c r="E70">
        <f>IFERROR(IF(VLOOKUP($B70,Показатели!$E:$W,2,FALSE)=0,"",VLOOKUP($B70,Показатели!$E:$W,2,FALSE)),"")</f>
        <v>659000000000</v>
      </c>
      <c r="F70">
        <f>IFERROR(IF(VLOOKUP($B70,Показатели!$E:$W,3,FALSE)=0,"",VLOOKUP($B70,Показатели!$E:$W,3,FALSE)),"")</f>
        <v>3535000000000</v>
      </c>
      <c r="G70">
        <f>IFERROR(IF(VLOOKUP($B70,Показатели!$E:$W,4,FALSE)=0,"",VLOOKUP($B70,Показатели!$E:$W,4,FALSE)),"")</f>
        <v>10585000000000</v>
      </c>
      <c r="H70">
        <f>IFERROR(IF(VLOOKUP($B70,Показатели!$E:$W,5,FALSE)=0,"",VLOOKUP($B70,Показатели!$E:$W,5,FALSE)),"")</f>
        <v>168000000000</v>
      </c>
      <c r="I70">
        <f>IFERROR(IF(VLOOKUP($B70,Показатели!$E:$W,6,FALSE)=0,"",VLOOKUP($B70,Показатели!$E:$W,6,FALSE)),"")</f>
        <v>16457000000000</v>
      </c>
      <c r="J70">
        <f>IFERROR(IF(VLOOKUP($B70,Показатели!$E:$W,7,FALSE)=0,"",VLOOKUP($B70,Показатели!$E:$W,7,FALSE)),"")</f>
        <v>3683000000000</v>
      </c>
      <c r="K70">
        <f>IFERROR(IF(VLOOKUP($B70,Показатели!$E:$W,8,FALSE)=0,"",VLOOKUP($B70,Показатели!$E:$W,8,FALSE)),"")</f>
        <v>6285000000000</v>
      </c>
      <c r="L70">
        <f>IFERROR(IF(VLOOKUP($B70,Показатели!$E:$W,9,FALSE)=0,"",VLOOKUP($B70,Показатели!$E:$W,9,FALSE)),"")</f>
        <v>4638000000000</v>
      </c>
      <c r="M70">
        <f>IFERROR(IF(VLOOKUP($B70,Показатели!$E:$W,10,FALSE)=0,"",VLOOKUP($B70,Показатели!$E:$W,10,FALSE)),"")</f>
        <v>6489000000000</v>
      </c>
      <c r="N70">
        <f>IFERROR(IF(VLOOKUP($B70,Показатели!$E:$W,11,FALSE)=0,"",VLOOKUP($B70,Показатели!$E:$W,11,FALSE)),"")</f>
        <v>8761000000000</v>
      </c>
      <c r="O70">
        <f>IFERROR(IF(VLOOKUP($B70,Показатели!$E:$W,12,FALSE)=0,"",VLOOKUP($B70,Показатели!$E:$W,12,FALSE)),"")</f>
        <v>1504000000000</v>
      </c>
      <c r="P70">
        <f>IFERROR(IF(VLOOKUP($B70,Показатели!$E:$W,13,FALSE)=0,"",VLOOKUP($B70,Показатели!$E:$W,13,FALSE)),"")</f>
        <v>1252000000000</v>
      </c>
      <c r="Q70">
        <f>IFERROR(IF(VLOOKUP($B70,Показатели!$E:$W,14,FALSE)=0,"",VLOOKUP($B70,Показатели!$E:$W,14,FALSE)),"")</f>
        <v>1012000000000</v>
      </c>
      <c r="R70">
        <f>IFERROR(IF(VLOOKUP($B70,Показатели!$E:$W,15,FALSE)=0,"",VLOOKUP($B70,Показатели!$E:$W,15,FALSE)),"")</f>
        <v>668000000000</v>
      </c>
      <c r="S70">
        <f>IFERROR(IF(VLOOKUP($B70,Показатели!$E:$W,16,FALSE)=0,"",VLOOKUP($B70,Показатели!$E:$W,16,FALSE)),"")</f>
        <v>2330000000000</v>
      </c>
      <c r="T70">
        <f>IFERROR(IF(VLOOKUP($B70,Показатели!$E:$W,17,FALSE)=0,"",VLOOKUP($B70,Показатели!$E:$W,17,FALSE)),"")</f>
        <v>-1049000000000</v>
      </c>
      <c r="U70">
        <f>IFERROR(IF(VLOOKUP($B70,Показатели!$E:$W,18,FALSE)=0,"",VLOOKUP($B70,Показатели!$E:$W,18,FALSE)),"")</f>
        <v>5757000000000</v>
      </c>
      <c r="V70">
        <f>IFERROR(IF(VLOOKUP($B70,Показатели!$E:$W,19,FALSE)=0,"",VLOOKUP($B70,Показатели!$E:$W,19,FALSE)),"")</f>
        <v>15350000000000</v>
      </c>
    </row>
    <row r="71" spans="1:22" x14ac:dyDescent="0.2">
      <c r="A71" s="7" t="s">
        <v>2184</v>
      </c>
      <c r="B71" t="str">
        <f t="shared" si="1"/>
        <v>ROSN IV кв. 2020</v>
      </c>
      <c r="C71">
        <v>2020</v>
      </c>
      <c r="D71">
        <f>SUMIFS(Дивиденды!$C:$C,Дивиденды!$A:$A,A71,Дивиденды!$I:$I,C71)</f>
        <v>6.94</v>
      </c>
      <c r="E71">
        <f>IFERROR(IF(VLOOKUP($B71,Показатели!$E:$W,2,FALSE)=0,"",VLOOKUP($B71,Показатели!$E:$W,2,FALSE)),"")</f>
        <v>806000000000</v>
      </c>
      <c r="F71">
        <f>IFERROR(IF(VLOOKUP($B71,Показатели!$E:$W,3,FALSE)=0,"",VLOOKUP($B71,Показатели!$E:$W,3,FALSE)),"")</f>
        <v>2922000000000</v>
      </c>
      <c r="G71">
        <f>IFERROR(IF(VLOOKUP($B71,Показатели!$E:$W,4,FALSE)=0,"",VLOOKUP($B71,Показатели!$E:$W,4,FALSE)),"")</f>
        <v>10401000000000</v>
      </c>
      <c r="H71">
        <f>IFERROR(IF(VLOOKUP($B71,Показатели!$E:$W,5,FALSE)=0,"",VLOOKUP($B71,Показатели!$E:$W,5,FALSE)),"")</f>
        <v>162000000000</v>
      </c>
      <c r="I71">
        <f>IFERROR(IF(VLOOKUP($B71,Показатели!$E:$W,6,FALSE)=0,"",VLOOKUP($B71,Показатели!$E:$W,6,FALSE)),"")</f>
        <v>15350000000000</v>
      </c>
      <c r="J71">
        <f>IFERROR(IF(VLOOKUP($B71,Показатели!$E:$W,7,FALSE)=0,"",VLOOKUP($B71,Показатели!$E:$W,7,FALSE)),"")</f>
        <v>3092000000000</v>
      </c>
      <c r="K71">
        <f>IFERROR(IF(VLOOKUP($B71,Показатели!$E:$W,8,FALSE)=0,"",VLOOKUP($B71,Показатели!$E:$W,8,FALSE)),"")</f>
        <v>6771000000000</v>
      </c>
      <c r="L71">
        <f>IFERROR(IF(VLOOKUP($B71,Показатели!$E:$W,9,FALSE)=0,"",VLOOKUP($B71,Показатели!$E:$W,9,FALSE)),"")</f>
        <v>4007000000000</v>
      </c>
      <c r="M71">
        <f>IFERROR(IF(VLOOKUP($B71,Показатели!$E:$W,10,FALSE)=0,"",VLOOKUP($B71,Показатели!$E:$W,10,FALSE)),"")</f>
        <v>5487000000000</v>
      </c>
      <c r="N71">
        <f>IFERROR(IF(VLOOKUP($B71,Показатели!$E:$W,11,FALSE)=0,"",VLOOKUP($B71,Показатели!$E:$W,11,FALSE)),"")</f>
        <v>5757000000000</v>
      </c>
      <c r="O71">
        <f>IFERROR(IF(VLOOKUP($B71,Показатели!$E:$W,12,FALSE)=0,"",VLOOKUP($B71,Показатели!$E:$W,12,FALSE)),"")</f>
        <v>378000000000</v>
      </c>
      <c r="P71">
        <f>IFERROR(IF(VLOOKUP($B71,Показатели!$E:$W,13,FALSE)=0,"",VLOOKUP($B71,Показатели!$E:$W,13,FALSE)),"")</f>
        <v>162000000000</v>
      </c>
      <c r="Q71">
        <f>IFERROR(IF(VLOOKUP($B71,Показатели!$E:$W,14,FALSE)=0,"",VLOOKUP($B71,Показатели!$E:$W,14,FALSE)),"")</f>
        <v>181000000000</v>
      </c>
      <c r="R71">
        <f>IFERROR(IF(VLOOKUP($B71,Показатели!$E:$W,15,FALSE)=0,"",VLOOKUP($B71,Показатели!$E:$W,15,FALSE)),"")</f>
        <v>663000000000</v>
      </c>
      <c r="S71">
        <f>IFERROR(IF(VLOOKUP($B71,Показатели!$E:$W,16,FALSE)=0,"",VLOOKUP($B71,Показатели!$E:$W,16,FALSE)),"")</f>
        <v>1209000000000</v>
      </c>
      <c r="T71">
        <f>IFERROR(IF(VLOOKUP($B71,Показатели!$E:$W,17,FALSE)=0,"",VLOOKUP($B71,Показатели!$E:$W,17,FALSE)),"")</f>
        <v>-785000000000</v>
      </c>
      <c r="U71">
        <f>IFERROR(IF(VLOOKUP($B71,Показатели!$E:$W,18,FALSE)=0,"",VLOOKUP($B71,Показатели!$E:$W,18,FALSE)),"")</f>
        <v>8676000000000</v>
      </c>
      <c r="V71">
        <f>IFERROR(IF(VLOOKUP($B71,Показатели!$E:$W,19,FALSE)=0,"",VLOOKUP($B71,Показатели!$E:$W,19,FALSE)),"")</f>
        <v>12950000000000</v>
      </c>
    </row>
    <row r="72" spans="1:22" x14ac:dyDescent="0.2">
      <c r="A72" s="7" t="s">
        <v>2184</v>
      </c>
      <c r="B72" t="str">
        <f t="shared" si="1"/>
        <v>ROSN IV кв. 2019</v>
      </c>
      <c r="C72">
        <v>2019</v>
      </c>
      <c r="D72">
        <f>SUMIFS(Дивиденды!$C:$C,Дивиденды!$A:$A,A72,Дивиденды!$I:$I,C72)</f>
        <v>33.409999999999997</v>
      </c>
      <c r="E72">
        <f>IFERROR(IF(VLOOKUP($B72,Показатели!$E:$W,2,FALSE)=0,"",VLOOKUP($B72,Показатели!$E:$W,2,FALSE)),"")</f>
        <v>228000000000</v>
      </c>
      <c r="F72">
        <f>IFERROR(IF(VLOOKUP($B72,Показатели!$E:$W,3,FALSE)=0,"",VLOOKUP($B72,Показатели!$E:$W,3,FALSE)),"")</f>
        <v>2396000000000</v>
      </c>
      <c r="G72">
        <f>IFERROR(IF(VLOOKUP($B72,Показатели!$E:$W,4,FALSE)=0,"",VLOOKUP($B72,Показатели!$E:$W,4,FALSE)),"")</f>
        <v>8713000000000</v>
      </c>
      <c r="H72">
        <f>IFERROR(IF(VLOOKUP($B72,Показатели!$E:$W,5,FALSE)=0,"",VLOOKUP($B72,Показатели!$E:$W,5,FALSE)),"")</f>
        <v>154000000000</v>
      </c>
      <c r="I72">
        <f>IFERROR(IF(VLOOKUP($B72,Показатели!$E:$W,6,FALSE)=0,"",VLOOKUP($B72,Показатели!$E:$W,6,FALSE)),"")</f>
        <v>12950000000000</v>
      </c>
      <c r="J72">
        <f>IFERROR(IF(VLOOKUP($B72,Показатели!$E:$W,7,FALSE)=0,"",VLOOKUP($B72,Показатели!$E:$W,7,FALSE)),"")</f>
        <v>2755000000000</v>
      </c>
      <c r="K72">
        <f>IFERROR(IF(VLOOKUP($B72,Показатели!$E:$W,8,FALSE)=0,"",VLOOKUP($B72,Показатели!$E:$W,8,FALSE)),"")</f>
        <v>5043000000000</v>
      </c>
      <c r="L72">
        <f>IFERROR(IF(VLOOKUP($B72,Показатели!$E:$W,9,FALSE)=0,"",VLOOKUP($B72,Показатели!$E:$W,9,FALSE)),"")</f>
        <v>4035000000000</v>
      </c>
      <c r="M72">
        <f>IFERROR(IF(VLOOKUP($B72,Показатели!$E:$W,10,FALSE)=0,"",VLOOKUP($B72,Показатели!$E:$W,10,FALSE)),"")</f>
        <v>5152000000000</v>
      </c>
      <c r="N72">
        <f>IFERROR(IF(VLOOKUP($B72,Показатели!$E:$W,11,FALSE)=0,"",VLOOKUP($B72,Показатели!$E:$W,11,FALSE)),"")</f>
        <v>8676000000000</v>
      </c>
      <c r="O72">
        <f>IFERROR(IF(VLOOKUP($B72,Показатели!$E:$W,12,FALSE)=0,"",VLOOKUP($B72,Показатели!$E:$W,12,FALSE)),"")</f>
        <v>1305000000000</v>
      </c>
      <c r="P72">
        <f>IFERROR(IF(VLOOKUP($B72,Показатели!$E:$W,13,FALSE)=0,"",VLOOKUP($B72,Показатели!$E:$W,13,FALSE)),"")</f>
        <v>997000000000</v>
      </c>
      <c r="Q72">
        <f>IFERROR(IF(VLOOKUP($B72,Показатели!$E:$W,14,FALSE)=0,"",VLOOKUP($B72,Показатели!$E:$W,14,FALSE)),"")</f>
        <v>805000000000</v>
      </c>
      <c r="R72">
        <f>IFERROR(IF(VLOOKUP($B72,Показатели!$E:$W,15,FALSE)=0,"",VLOOKUP($B72,Показатели!$E:$W,15,FALSE)),"")</f>
        <v>687000000000</v>
      </c>
      <c r="S72">
        <f>IFERROR(IF(VLOOKUP($B72,Показатели!$E:$W,16,FALSE)=0,"",VLOOKUP($B72,Показатели!$E:$W,16,FALSE)),"")</f>
        <v>2105000000000</v>
      </c>
      <c r="T72">
        <f>IFERROR(IF(VLOOKUP($B72,Показатели!$E:$W,17,FALSE)=0,"",VLOOKUP($B72,Показатели!$E:$W,17,FALSE)),"")</f>
        <v>-854000000000</v>
      </c>
      <c r="U72">
        <f>IFERROR(IF(VLOOKUP($B72,Показатели!$E:$W,18,FALSE)=0,"",VLOOKUP($B72,Показатели!$E:$W,18,FALSE)),"")</f>
        <v>8238000000000</v>
      </c>
      <c r="V72">
        <f>IFERROR(IF(VLOOKUP($B72,Показатели!$E:$W,19,FALSE)=0,"",VLOOKUP($B72,Показатели!$E:$W,19,FALSE)),"")</f>
        <v>13163000000000</v>
      </c>
    </row>
    <row r="73" spans="1:22" x14ac:dyDescent="0.2">
      <c r="A73" s="7" t="s">
        <v>2184</v>
      </c>
      <c r="B73" t="str">
        <f t="shared" si="1"/>
        <v>ROSN IV кв. 2018</v>
      </c>
      <c r="C73">
        <v>2018</v>
      </c>
      <c r="D73">
        <f>SUMIFS(Дивиденды!$C:$C,Дивиденды!$A:$A,A73,Дивиденды!$I:$I,C73)</f>
        <v>25.91</v>
      </c>
      <c r="E73">
        <f>IFERROR(IF(VLOOKUP($B73,Показатели!$E:$W,2,FALSE)=0,"",VLOOKUP($B73,Показатели!$E:$W,2,FALSE)),"")</f>
        <v>832000000000</v>
      </c>
      <c r="F73">
        <f>IFERROR(IF(VLOOKUP($B73,Показатели!$E:$W,3,FALSE)=0,"",VLOOKUP($B73,Показатели!$E:$W,3,FALSE)),"")</f>
        <v>3022000000000</v>
      </c>
      <c r="G73">
        <f>IFERROR(IF(VLOOKUP($B73,Показатели!$E:$W,4,FALSE)=0,"",VLOOKUP($B73,Показатели!$E:$W,4,FALSE)),"")</f>
        <v>8445000000000</v>
      </c>
      <c r="H73">
        <f>IFERROR(IF(VLOOKUP($B73,Показатели!$E:$W,5,FALSE)=0,"",VLOOKUP($B73,Показатели!$E:$W,5,FALSE)),"")</f>
        <v>160000000000</v>
      </c>
      <c r="I73">
        <f>IFERROR(IF(VLOOKUP($B73,Показатели!$E:$W,6,FALSE)=0,"",VLOOKUP($B73,Показатели!$E:$W,6,FALSE)),"")</f>
        <v>13163000000000</v>
      </c>
      <c r="J73">
        <f>IFERROR(IF(VLOOKUP($B73,Показатели!$E:$W,7,FALSE)=0,"",VLOOKUP($B73,Показатели!$E:$W,7,FALSE)),"")</f>
        <v>2874000000000</v>
      </c>
      <c r="K73">
        <f>IFERROR(IF(VLOOKUP($B73,Показатели!$E:$W,8,FALSE)=0,"",VLOOKUP($B73,Показатели!$E:$W,8,FALSE)),"")</f>
        <v>5612000000000</v>
      </c>
      <c r="L73">
        <f>IFERROR(IF(VLOOKUP($B73,Показатели!$E:$W,9,FALSE)=0,"",VLOOKUP($B73,Показатели!$E:$W,9,FALSE)),"")</f>
        <v>3610000000000</v>
      </c>
      <c r="M73">
        <f>IFERROR(IF(VLOOKUP($B73,Показатели!$E:$W,10,FALSE)=0,"",VLOOKUP($B73,Показатели!$E:$W,10,FALSE)),"")</f>
        <v>4677000000000</v>
      </c>
      <c r="N73">
        <f>IFERROR(IF(VLOOKUP($B73,Показатели!$E:$W,11,FALSE)=0,"",VLOOKUP($B73,Показатели!$E:$W,11,FALSE)),"")</f>
        <v>8238000000000</v>
      </c>
      <c r="O73">
        <f>IFERROR(IF(VLOOKUP($B73,Показатели!$E:$W,12,FALSE)=0,"",VLOOKUP($B73,Показатели!$E:$W,12,FALSE)),"")</f>
        <v>1284000000000</v>
      </c>
      <c r="P73">
        <f>IFERROR(IF(VLOOKUP($B73,Показатели!$E:$W,13,FALSE)=0,"",VLOOKUP($B73,Показатели!$E:$W,13,FALSE)),"")</f>
        <v>832000000000</v>
      </c>
      <c r="Q73">
        <f>IFERROR(IF(VLOOKUP($B73,Показатели!$E:$W,14,FALSE)=0,"",VLOOKUP($B73,Показатели!$E:$W,14,FALSE)),"")</f>
        <v>649000000000</v>
      </c>
      <c r="R73">
        <f>IFERROR(IF(VLOOKUP($B73,Показатели!$E:$W,15,FALSE)=0,"",VLOOKUP($B73,Показатели!$E:$W,15,FALSE)),"")</f>
        <v>635000000000</v>
      </c>
      <c r="S73">
        <f>IFERROR(IF(VLOOKUP($B73,Показатели!$E:$W,16,FALSE)=0,"",VLOOKUP($B73,Показатели!$E:$W,16,FALSE)),"")</f>
        <v>2081000000000</v>
      </c>
      <c r="T73">
        <f>IFERROR(IF(VLOOKUP($B73,Показатели!$E:$W,17,FALSE)=0,"",VLOOKUP($B73,Показатели!$E:$W,17,FALSE)),"")</f>
        <v>-936000000000</v>
      </c>
      <c r="U73">
        <f>IFERROR(IF(VLOOKUP($B73,Показатели!$E:$W,18,FALSE)=0,"",VLOOKUP($B73,Показатели!$E:$W,18,FALSE)),"")</f>
        <v>6014000000000</v>
      </c>
      <c r="V73">
        <f>IFERROR(IF(VLOOKUP($B73,Показатели!$E:$W,19,FALSE)=0,"",VLOOKUP($B73,Показатели!$E:$W,19,FALSE)),"")</f>
        <v>12227000000000</v>
      </c>
    </row>
    <row r="74" spans="1:22" x14ac:dyDescent="0.2">
      <c r="A74" s="7" t="s">
        <v>2184</v>
      </c>
      <c r="B74" t="str">
        <f t="shared" si="1"/>
        <v>ROSN IV кв. 2017</v>
      </c>
      <c r="C74">
        <v>2017</v>
      </c>
      <c r="D74">
        <f>SUMIFS(Дивиденды!$C:$C,Дивиденды!$A:$A,A74,Дивиденды!$I:$I,C74)</f>
        <v>10.48</v>
      </c>
      <c r="E74">
        <f>IFERROR(IF(VLOOKUP($B74,Показатели!$E:$W,2,FALSE)=0,"",VLOOKUP($B74,Показатели!$E:$W,2,FALSE)),"")</f>
        <v>322000000000</v>
      </c>
      <c r="F74">
        <f>IFERROR(IF(VLOOKUP($B74,Показатели!$E:$W,3,FALSE)=0,"",VLOOKUP($B74,Показатели!$E:$W,3,FALSE)),"")</f>
        <v>2292000000000</v>
      </c>
      <c r="G74">
        <f>IFERROR(IF(VLOOKUP($B74,Показатели!$E:$W,4,FALSE)=0,"",VLOOKUP($B74,Показатели!$E:$W,4,FALSE)),"")</f>
        <v>7923000000000</v>
      </c>
      <c r="H74">
        <f>IFERROR(IF(VLOOKUP($B74,Показатели!$E:$W,5,FALSE)=0,"",VLOOKUP($B74,Показатели!$E:$W,5,FALSE)),"")</f>
        <v>336000000000</v>
      </c>
      <c r="I74">
        <f>IFERROR(IF(VLOOKUP($B74,Показатели!$E:$W,6,FALSE)=0,"",VLOOKUP($B74,Показатели!$E:$W,6,FALSE)),"")</f>
        <v>12227000000000</v>
      </c>
      <c r="J74">
        <f>IFERROR(IF(VLOOKUP($B74,Показатели!$E:$W,7,FALSE)=0,"",VLOOKUP($B74,Показатели!$E:$W,7,FALSE)),"")</f>
        <v>3836000000000</v>
      </c>
      <c r="K74">
        <f>IFERROR(IF(VLOOKUP($B74,Показатели!$E:$W,8,FALSE)=0,"",VLOOKUP($B74,Показатели!$E:$W,8,FALSE)),"")</f>
        <v>4208000000000</v>
      </c>
      <c r="L74">
        <f>IFERROR(IF(VLOOKUP($B74,Показатели!$E:$W,9,FALSE)=0,"",VLOOKUP($B74,Показатели!$E:$W,9,FALSE)),"")</f>
        <v>3313000000000</v>
      </c>
      <c r="M74">
        <f>IFERROR(IF(VLOOKUP($B74,Показатели!$E:$W,10,FALSE)=0,"",VLOOKUP($B74,Показатели!$E:$W,10,FALSE)),"")</f>
        <v>4183000000000</v>
      </c>
      <c r="N74">
        <f>IFERROR(IF(VLOOKUP($B74,Показатели!$E:$W,11,FALSE)=0,"",VLOOKUP($B74,Показатели!$E:$W,11,FALSE)),"")</f>
        <v>6014000000000</v>
      </c>
      <c r="O74">
        <f>IFERROR(IF(VLOOKUP($B74,Показатели!$E:$W,12,FALSE)=0,"",VLOOKUP($B74,Показатели!$E:$W,12,FALSE)),"")</f>
        <v>624000000000</v>
      </c>
      <c r="P74">
        <f>IFERROR(IF(VLOOKUP($B74,Показатели!$E:$W,13,FALSE)=0,"",VLOOKUP($B74,Показатели!$E:$W,13,FALSE)),"")</f>
        <v>395000000000</v>
      </c>
      <c r="Q74">
        <f>IFERROR(IF(VLOOKUP($B74,Показатели!$E:$W,14,FALSE)=0,"",VLOOKUP($B74,Показатели!$E:$W,14,FALSE)),"")</f>
        <v>297000000000</v>
      </c>
      <c r="R74">
        <f>IFERROR(IF(VLOOKUP($B74,Показатели!$E:$W,15,FALSE)=0,"",VLOOKUP($B74,Показатели!$E:$W,15,FALSE)),"")</f>
        <v>586000000000</v>
      </c>
      <c r="S74">
        <f>IFERROR(IF(VLOOKUP($B74,Показатели!$E:$W,16,FALSE)=0,"",VLOOKUP($B74,Показатели!$E:$W,16,FALSE)),"")</f>
        <v>1403000000000</v>
      </c>
      <c r="T74">
        <f>IFERROR(IF(VLOOKUP($B74,Показатели!$E:$W,17,FALSE)=0,"",VLOOKUP($B74,Показатели!$E:$W,17,FALSE)),"")</f>
        <v>-922000000000</v>
      </c>
      <c r="U74">
        <f>IFERROR(IF(VLOOKUP($B74,Показатели!$E:$W,18,FALSE)=0,"",VLOOKUP($B74,Показатели!$E:$W,18,FALSE)),"")</f>
        <v>4988000000000</v>
      </c>
      <c r="V74">
        <f>IFERROR(IF(VLOOKUP($B74,Показатели!$E:$W,19,FALSE)=0,"",VLOOKUP($B74,Показатели!$E:$W,19,FALSE)),"")</f>
        <v>11030000000000</v>
      </c>
    </row>
    <row r="75" spans="1:22" x14ac:dyDescent="0.2">
      <c r="A75" s="7" t="s">
        <v>2184</v>
      </c>
      <c r="B75" t="str">
        <f t="shared" si="1"/>
        <v>ROSN IV кв. 2016</v>
      </c>
      <c r="C75">
        <v>2016</v>
      </c>
      <c r="D75">
        <f>SUMIFS(Дивиденды!$C:$C,Дивиденды!$A:$A,A75,Дивиденды!$I:$I,C75)</f>
        <v>5.98</v>
      </c>
      <c r="E75">
        <f>IFERROR(IF(VLOOKUP($B75,Показатели!$E:$W,2,FALSE)=0,"",VLOOKUP($B75,Показатели!$E:$W,2,FALSE)),"")</f>
        <v>790000000000</v>
      </c>
      <c r="F75">
        <f>IFERROR(IF(VLOOKUP($B75,Показатели!$E:$W,3,FALSE)=0,"",VLOOKUP($B75,Показатели!$E:$W,3,FALSE)),"")</f>
        <v>2300000000000</v>
      </c>
      <c r="G75">
        <f>IFERROR(IF(VLOOKUP($B75,Показатели!$E:$W,4,FALSE)=0,"",VLOOKUP($B75,Показатели!$E:$W,4,FALSE)),"")</f>
        <v>7090000000000</v>
      </c>
      <c r="H75" t="str">
        <f>IFERROR(IF(VLOOKUP($B75,Показатели!$E:$W,5,FALSE)=0,"",VLOOKUP($B75,Показатели!$E:$W,5,FALSE)),"")</f>
        <v/>
      </c>
      <c r="I75">
        <f>IFERROR(IF(VLOOKUP($B75,Показатели!$E:$W,6,FALSE)=0,"",VLOOKUP($B75,Показатели!$E:$W,6,FALSE)),"")</f>
        <v>11030000000000</v>
      </c>
      <c r="J75">
        <f>IFERROR(IF(VLOOKUP($B75,Показатели!$E:$W,7,FALSE)=0,"",VLOOKUP($B75,Показатели!$E:$W,7,FALSE)),"")</f>
        <v>2773000000000</v>
      </c>
      <c r="K75">
        <f>IFERROR(IF(VLOOKUP($B75,Показатели!$E:$W,8,FALSE)=0,"",VLOOKUP($B75,Показатели!$E:$W,8,FALSE)),"")</f>
        <v>4531000000000</v>
      </c>
      <c r="L75">
        <f>IFERROR(IF(VLOOKUP($B75,Показатели!$E:$W,9,FALSE)=0,"",VLOOKUP($B75,Показатели!$E:$W,9,FALSE)),"")</f>
        <v>3202000000000</v>
      </c>
      <c r="M75">
        <f>IFERROR(IF(VLOOKUP($B75,Показатели!$E:$W,10,FALSE)=0,"",VLOOKUP($B75,Показатели!$E:$W,10,FALSE)),"")</f>
        <v>3726000000000</v>
      </c>
      <c r="N75">
        <f>IFERROR(IF(VLOOKUP($B75,Показатели!$E:$W,11,FALSE)=0,"",VLOOKUP($B75,Показатели!$E:$W,11,FALSE)),"")</f>
        <v>4988000000000</v>
      </c>
      <c r="O75">
        <f>IFERROR(IF(VLOOKUP($B75,Показатели!$E:$W,12,FALSE)=0,"",VLOOKUP($B75,Показатели!$E:$W,12,FALSE)),"")</f>
        <v>4326000000000</v>
      </c>
      <c r="P75">
        <f>IFERROR(IF(VLOOKUP($B75,Показатели!$E:$W,13,FALSE)=0,"",VLOOKUP($B75,Показатели!$E:$W,13,FALSE)),"")</f>
        <v>317000000000</v>
      </c>
      <c r="Q75">
        <f>IFERROR(IF(VLOOKUP($B75,Показатели!$E:$W,14,FALSE)=0,"",VLOOKUP($B75,Показатели!$E:$W,14,FALSE)),"")</f>
        <v>201000000000</v>
      </c>
      <c r="R75" t="str">
        <f>IFERROR(IF(VLOOKUP($B75,Показатели!$E:$W,15,FALSE)=0,"",VLOOKUP($B75,Показатели!$E:$W,15,FALSE)),"")</f>
        <v/>
      </c>
      <c r="S75">
        <f>IFERROR(IF(VLOOKUP($B75,Показатели!$E:$W,16,FALSE)=0,"",VLOOKUP($B75,Показатели!$E:$W,16,FALSE)),"")</f>
        <v>1278000000000</v>
      </c>
      <c r="T75">
        <f>IFERROR(IF(VLOOKUP($B75,Показатели!$E:$W,17,FALSE)=0,"",VLOOKUP($B75,Показатели!$E:$W,17,FALSE)),"")</f>
        <v>709000000000</v>
      </c>
      <c r="U75">
        <f>IFERROR(IF(VLOOKUP($B75,Показатели!$E:$W,18,FALSE)=0,"",VLOOKUP($B75,Показатели!$E:$W,18,FALSE)),"")</f>
        <v>5150000000000</v>
      </c>
      <c r="V75">
        <f>IFERROR(IF(VLOOKUP($B75,Показатели!$E:$W,19,FALSE)=0,"",VLOOKUP($B75,Показатели!$E:$W,19,FALSE)),"")</f>
        <v>9638000000000</v>
      </c>
    </row>
    <row r="76" spans="1:22" x14ac:dyDescent="0.2">
      <c r="A76" s="7" t="s">
        <v>2184</v>
      </c>
      <c r="B76" t="str">
        <f t="shared" si="1"/>
        <v>ROSN IV кв. 2015</v>
      </c>
      <c r="C76">
        <v>2015</v>
      </c>
      <c r="D76">
        <f>SUMIFS(Дивиденды!$C:$C,Дивиденды!$A:$A,A76,Дивиденды!$I:$I,C76)</f>
        <v>11.75</v>
      </c>
      <c r="E76">
        <f>IFERROR(IF(VLOOKUP($B76,Показатели!$E:$W,2,FALSE)=0,"",VLOOKUP($B76,Показатели!$E:$W,2,FALSE)),"")</f>
        <v>559000000000</v>
      </c>
      <c r="F76">
        <f>IFERROR(IF(VLOOKUP($B76,Показатели!$E:$W,3,FALSE)=0,"",VLOOKUP($B76,Показатели!$E:$W,3,FALSE)),"")</f>
        <v>2404000000000</v>
      </c>
      <c r="G76">
        <f>IFERROR(IF(VLOOKUP($B76,Показатели!$E:$W,4,FALSE)=0,"",VLOOKUP($B76,Показатели!$E:$W,4,FALSE)),"")</f>
        <v>5895000000000</v>
      </c>
      <c r="H76" t="str">
        <f>IFERROR(IF(VLOOKUP($B76,Показатели!$E:$W,5,FALSE)=0,"",VLOOKUP($B76,Показатели!$E:$W,5,FALSE)),"")</f>
        <v/>
      </c>
      <c r="I76">
        <f>IFERROR(IF(VLOOKUP($B76,Показатели!$E:$W,6,FALSE)=0,"",VLOOKUP($B76,Показатели!$E:$W,6,FALSE)),"")</f>
        <v>9638000000000</v>
      </c>
      <c r="J76">
        <f>IFERROR(IF(VLOOKUP($B76,Показатели!$E:$W,7,FALSE)=0,"",VLOOKUP($B76,Показатели!$E:$W,7,FALSE)),"")</f>
        <v>1817000000000</v>
      </c>
      <c r="K76">
        <f>IFERROR(IF(VLOOKUP($B76,Показатели!$E:$W,8,FALSE)=0,"",VLOOKUP($B76,Показатели!$E:$W,8,FALSE)),"")</f>
        <v>4892000000000</v>
      </c>
      <c r="L76">
        <f>IFERROR(IF(VLOOKUP($B76,Показатели!$E:$W,9,FALSE)=0,"",VLOOKUP($B76,Показатели!$E:$W,9,FALSE)),"")</f>
        <v>3146000000000</v>
      </c>
      <c r="M76">
        <f>IFERROR(IF(VLOOKUP($B76,Показатели!$E:$W,10,FALSE)=0,"",VLOOKUP($B76,Показатели!$E:$W,10,FALSE)),"")</f>
        <v>2929000000000</v>
      </c>
      <c r="N76">
        <f>IFERROR(IF(VLOOKUP($B76,Показатели!$E:$W,11,FALSE)=0,"",VLOOKUP($B76,Показатели!$E:$W,11,FALSE)),"")</f>
        <v>5150000000000</v>
      </c>
      <c r="O76">
        <f>IFERROR(IF(VLOOKUP($B76,Показатели!$E:$W,12,FALSE)=0,"",VLOOKUP($B76,Показатели!$E:$W,12,FALSE)),"")</f>
        <v>708000000000</v>
      </c>
      <c r="P76">
        <f>IFERROR(IF(VLOOKUP($B76,Показатели!$E:$W,13,FALSE)=0,"",VLOOKUP($B76,Показатели!$E:$W,13,FALSE)),"")</f>
        <v>460000000000</v>
      </c>
      <c r="Q76">
        <f>IFERROR(IF(VLOOKUP($B76,Показатели!$E:$W,14,FALSE)=0,"",VLOOKUP($B76,Показатели!$E:$W,14,FALSE)),"")</f>
        <v>356000000000</v>
      </c>
      <c r="R76" t="str">
        <f>IFERROR(IF(VLOOKUP($B76,Показатели!$E:$W,15,FALSE)=0,"",VLOOKUP($B76,Показатели!$E:$W,15,FALSE)),"")</f>
        <v/>
      </c>
      <c r="S76">
        <f>IFERROR(IF(VLOOKUP($B76,Показатели!$E:$W,16,FALSE)=0,"",VLOOKUP($B76,Показатели!$E:$W,16,FALSE)),"")</f>
        <v>1245000000000</v>
      </c>
      <c r="T76">
        <f>IFERROR(IF(VLOOKUP($B76,Показатели!$E:$W,17,FALSE)=0,"",VLOOKUP($B76,Показатели!$E:$W,17,FALSE)),"")</f>
        <v>595000000000</v>
      </c>
      <c r="U76">
        <f>IFERROR(IF(VLOOKUP($B76,Показатели!$E:$W,18,FALSE)=0,"",VLOOKUP($B76,Показатели!$E:$W,18,FALSE)),"")</f>
        <v>5503000000000</v>
      </c>
      <c r="V76">
        <f>IFERROR(IF(VLOOKUP($B76,Показатели!$E:$W,19,FALSE)=0,"",VLOOKUP($B76,Показатели!$E:$W,19,FALSE)),"")</f>
        <v>8736000000000</v>
      </c>
    </row>
    <row r="77" spans="1:22" x14ac:dyDescent="0.2">
      <c r="A77" s="7" t="s">
        <v>2184</v>
      </c>
      <c r="B77" t="str">
        <f t="shared" si="1"/>
        <v>ROSN IV кв. 2014</v>
      </c>
      <c r="C77">
        <v>2014</v>
      </c>
      <c r="D77">
        <f>SUMIFS(Дивиденды!$C:$C,Дивиденды!$A:$A,A77,Дивиденды!$I:$I,C77)</f>
        <v>8.2100000000000009</v>
      </c>
      <c r="E77">
        <f>IFERROR(IF(VLOOKUP($B77,Показатели!$E:$W,2,FALSE)=0,"",VLOOKUP($B77,Показатели!$E:$W,2,FALSE)),"")</f>
        <v>216000000000</v>
      </c>
      <c r="F77">
        <f>IFERROR(IF(VLOOKUP($B77,Показатели!$E:$W,3,FALSE)=0,"",VLOOKUP($B77,Показатели!$E:$W,3,FALSE)),"")</f>
        <v>2131000000000</v>
      </c>
      <c r="G77">
        <f>IFERROR(IF(VLOOKUP($B77,Показатели!$E:$W,4,FALSE)=0,"",VLOOKUP($B77,Показатели!$E:$W,4,FALSE)),"")</f>
        <v>5666000000000</v>
      </c>
      <c r="H77" t="str">
        <f>IFERROR(IF(VLOOKUP($B77,Показатели!$E:$W,5,FALSE)=0,"",VLOOKUP($B77,Показатели!$E:$W,5,FALSE)),"")</f>
        <v/>
      </c>
      <c r="I77">
        <f>IFERROR(IF(VLOOKUP($B77,Показатели!$E:$W,6,FALSE)=0,"",VLOOKUP($B77,Показатели!$E:$W,6,FALSE)),"")</f>
        <v>8736000000000</v>
      </c>
      <c r="J77">
        <f>IFERROR(IF(VLOOKUP($B77,Показатели!$E:$W,7,FALSE)=0,"",VLOOKUP($B77,Показатели!$E:$W,7,FALSE)),"")</f>
        <v>2031000000000</v>
      </c>
      <c r="K77">
        <f>IFERROR(IF(VLOOKUP($B77,Показатели!$E:$W,8,FALSE)=0,"",VLOOKUP($B77,Показатели!$E:$W,8,FALSE)),"")</f>
        <v>3824000000000</v>
      </c>
      <c r="L77">
        <f>IFERROR(IF(VLOOKUP($B77,Показатели!$E:$W,9,FALSE)=0,"",VLOOKUP($B77,Показатели!$E:$W,9,FALSE)),"")</f>
        <v>2878000000000</v>
      </c>
      <c r="M77">
        <f>IFERROR(IF(VLOOKUP($B77,Показатели!$E:$W,10,FALSE)=0,"",VLOOKUP($B77,Показатели!$E:$W,10,FALSE)),"")</f>
        <v>2881000000000</v>
      </c>
      <c r="N77">
        <f>IFERROR(IF(VLOOKUP($B77,Показатели!$E:$W,11,FALSE)=0,"",VLOOKUP($B77,Показатели!$E:$W,11,FALSE)),"")</f>
        <v>5503000000000</v>
      </c>
      <c r="O77">
        <f>IFERROR(IF(VLOOKUP($B77,Показатели!$E:$W,12,FALSE)=0,"",VLOOKUP($B77,Показатели!$E:$W,12,FALSE)),"")</f>
        <v>593000000000</v>
      </c>
      <c r="P77">
        <f>IFERROR(IF(VLOOKUP($B77,Показатели!$E:$W,13,FALSE)=0,"",VLOOKUP($B77,Показатели!$E:$W,13,FALSE)),"")</f>
        <v>478000000000</v>
      </c>
      <c r="Q77">
        <f>IFERROR(IF(VLOOKUP($B77,Показатели!$E:$W,14,FALSE)=0,"",VLOOKUP($B77,Показатели!$E:$W,14,FALSE)),"")</f>
        <v>350000000000</v>
      </c>
      <c r="R77" t="str">
        <f>IFERROR(IF(VLOOKUP($B77,Показатели!$E:$W,15,FALSE)=0,"",VLOOKUP($B77,Показатели!$E:$W,15,FALSE)),"")</f>
        <v/>
      </c>
      <c r="S77">
        <f>IFERROR(IF(VLOOKUP($B77,Показатели!$E:$W,16,FALSE)=0,"",VLOOKUP($B77,Показатели!$E:$W,16,FALSE)),"")</f>
        <v>1057000000000</v>
      </c>
      <c r="T77">
        <f>IFERROR(IF(VLOOKUP($B77,Показатели!$E:$W,17,FALSE)=0,"",VLOOKUP($B77,Показатели!$E:$W,17,FALSE)),"")</f>
        <v>533000000000</v>
      </c>
      <c r="U77">
        <f>IFERROR(IF(VLOOKUP($B77,Показатели!$E:$W,18,FALSE)=0,"",VLOOKUP($B77,Показатели!$E:$W,18,FALSE)),"")</f>
        <v>4694000000000</v>
      </c>
      <c r="V77">
        <f>IFERROR(IF(VLOOKUP($B77,Показатели!$E:$W,19,FALSE)=0,"",VLOOKUP($B77,Показатели!$E:$W,19,FALSE)),"")</f>
        <v>7538000000000</v>
      </c>
    </row>
    <row r="78" spans="1:22" x14ac:dyDescent="0.2">
      <c r="A78" s="7" t="s">
        <v>2184</v>
      </c>
      <c r="B78" t="str">
        <f t="shared" si="1"/>
        <v>ROSN IV кв. 2013</v>
      </c>
      <c r="C78">
        <v>2013</v>
      </c>
      <c r="D78">
        <f>SUMIFS(Дивиденды!$C:$C,Дивиденды!$A:$A,A78,Дивиденды!$I:$I,C78)</f>
        <v>12.85</v>
      </c>
      <c r="E78">
        <f>IFERROR(IF(VLOOKUP($B78,Показатели!$E:$W,2,FALSE)=0,"",VLOOKUP($B78,Показатели!$E:$W,2,FALSE)),"")</f>
        <v>275000000000</v>
      </c>
      <c r="F78">
        <f>IFERROR(IF(VLOOKUP($B78,Показатели!$E:$W,3,FALSE)=0,"",VLOOKUP($B78,Показатели!$E:$W,3,FALSE)),"")</f>
        <v>1455000000000</v>
      </c>
      <c r="G78">
        <f>IFERROR(IF(VLOOKUP($B78,Показатели!$E:$W,4,FALSE)=0,"",VLOOKUP($B78,Показатели!$E:$W,4,FALSE)),"")</f>
        <v>5330000000000</v>
      </c>
      <c r="H78" t="str">
        <f>IFERROR(IF(VLOOKUP($B78,Показатели!$E:$W,5,FALSE)=0,"",VLOOKUP($B78,Показатели!$E:$W,5,FALSE)),"")</f>
        <v/>
      </c>
      <c r="I78">
        <f>IFERROR(IF(VLOOKUP($B78,Показатели!$E:$W,6,FALSE)=0,"",VLOOKUP($B78,Показатели!$E:$W,6,FALSE)),"")</f>
        <v>7538000000000</v>
      </c>
      <c r="J78">
        <f>IFERROR(IF(VLOOKUP($B78,Показатели!$E:$W,7,FALSE)=0,"",VLOOKUP($B78,Показатели!$E:$W,7,FALSE)),"")</f>
        <v>1387000000000</v>
      </c>
      <c r="K78">
        <f>IFERROR(IF(VLOOKUP($B78,Показатели!$E:$W,8,FALSE)=0,"",VLOOKUP($B78,Показатели!$E:$W,8,FALSE)),"")</f>
        <v>2986000000000</v>
      </c>
      <c r="L78">
        <f>IFERROR(IF(VLOOKUP($B78,Показатели!$E:$W,9,FALSE)=0,"",VLOOKUP($B78,Показатели!$E:$W,9,FALSE)),"")</f>
        <v>2662000000000</v>
      </c>
      <c r="M78">
        <f>IFERROR(IF(VLOOKUP($B78,Показатели!$E:$W,10,FALSE)=0,"",VLOOKUP($B78,Показатели!$E:$W,10,FALSE)),"")</f>
        <v>3165000000000</v>
      </c>
      <c r="N78">
        <f>IFERROR(IF(VLOOKUP($B78,Показатели!$E:$W,11,FALSE)=0,"",VLOOKUP($B78,Показатели!$E:$W,11,FALSE)),"")</f>
        <v>4694000000000</v>
      </c>
      <c r="O78">
        <f>IFERROR(IF(VLOOKUP($B78,Показатели!$E:$W,12,FALSE)=0,"",VLOOKUP($B78,Показатели!$E:$W,12,FALSE)),"")</f>
        <v>555000000000</v>
      </c>
      <c r="P78">
        <f>IFERROR(IF(VLOOKUP($B78,Показатели!$E:$W,13,FALSE)=0,"",VLOOKUP($B78,Показатели!$E:$W,13,FALSE)),"")</f>
        <v>632000000000</v>
      </c>
      <c r="Q78">
        <f>IFERROR(IF(VLOOKUP($B78,Показатели!$E:$W,14,FALSE)=0,"",VLOOKUP($B78,Показатели!$E:$W,14,FALSE)),"")</f>
        <v>551000000000</v>
      </c>
      <c r="R78" t="str">
        <f>IFERROR(IF(VLOOKUP($B78,Показатели!$E:$W,15,FALSE)=0,"",VLOOKUP($B78,Показатели!$E:$W,15,FALSE)),"")</f>
        <v/>
      </c>
      <c r="S78">
        <f>IFERROR(IF(VLOOKUP($B78,Показатели!$E:$W,16,FALSE)=0,"",VLOOKUP($B78,Показатели!$E:$W,16,FALSE)),"")</f>
        <v>947000000000</v>
      </c>
      <c r="T78" t="str">
        <f>IFERROR(IF(VLOOKUP($B78,Показатели!$E:$W,17,FALSE)=0,"",VLOOKUP($B78,Показатели!$E:$W,17,FALSE)),"")</f>
        <v/>
      </c>
      <c r="U78">
        <f>IFERROR(IF(VLOOKUP($B78,Показатели!$E:$W,18,FALSE)=0,"",VLOOKUP($B78,Показатели!$E:$W,18,FALSE)),"")</f>
        <v>3078000000000</v>
      </c>
      <c r="V78">
        <f>IFERROR(IF(VLOOKUP($B78,Показатели!$E:$W,19,FALSE)=0,"",VLOOKUP($B78,Показатели!$E:$W,19,FALSE)),"")</f>
        <v>3858000000000</v>
      </c>
    </row>
    <row r="79" spans="1:22" x14ac:dyDescent="0.2">
      <c r="A79" s="7" t="s">
        <v>2184</v>
      </c>
      <c r="B79" t="str">
        <f t="shared" si="1"/>
        <v>ROSN IV кв. 2012</v>
      </c>
      <c r="C79">
        <v>2012</v>
      </c>
      <c r="D79">
        <f>SUMIFS(Дивиденды!$C:$C,Дивиденды!$A:$A,A79,Дивиденды!$I:$I,C79)</f>
        <v>8.0500000000000007</v>
      </c>
      <c r="E79">
        <f>IFERROR(IF(VLOOKUP($B79,Показатели!$E:$W,2,FALSE)=0,"",VLOOKUP($B79,Показатели!$E:$W,2,FALSE)),"")</f>
        <v>296000000000</v>
      </c>
      <c r="F79">
        <f>IFERROR(IF(VLOOKUP($B79,Показатели!$E:$W,3,FALSE)=0,"",VLOOKUP($B79,Показатели!$E:$W,3,FALSE)),"")</f>
        <v>920000000000</v>
      </c>
      <c r="G79">
        <f>IFERROR(IF(VLOOKUP($B79,Показатели!$E:$W,4,FALSE)=0,"",VLOOKUP($B79,Показатели!$E:$W,4,FALSE)),"")</f>
        <v>2461000000000</v>
      </c>
      <c r="H79" t="str">
        <f>IFERROR(IF(VLOOKUP($B79,Показатели!$E:$W,5,FALSE)=0,"",VLOOKUP($B79,Показатели!$E:$W,5,FALSE)),"")</f>
        <v/>
      </c>
      <c r="I79">
        <f>IFERROR(IF(VLOOKUP($B79,Показатели!$E:$W,6,FALSE)=0,"",VLOOKUP($B79,Показатели!$E:$W,6,FALSE)),"")</f>
        <v>3858000000000</v>
      </c>
      <c r="J79">
        <f>IFERROR(IF(VLOOKUP($B79,Показатели!$E:$W,7,FALSE)=0,"",VLOOKUP($B79,Показатели!$E:$W,7,FALSE)),"")</f>
        <v>427000000000</v>
      </c>
      <c r="K79">
        <f>IFERROR(IF(VLOOKUP($B79,Показатели!$E:$W,8,FALSE)=0,"",VLOOKUP($B79,Показатели!$E:$W,8,FALSE)),"")</f>
        <v>1165000000000</v>
      </c>
      <c r="L79">
        <f>IFERROR(IF(VLOOKUP($B79,Показатели!$E:$W,9,FALSE)=0,"",VLOOKUP($B79,Показатели!$E:$W,9,FALSE)),"")</f>
        <v>2147000000000</v>
      </c>
      <c r="M79">
        <f>IFERROR(IF(VLOOKUP($B79,Показатели!$E:$W,10,FALSE)=0,"",VLOOKUP($B79,Показатели!$E:$W,10,FALSE)),"")</f>
        <v>2266000000000</v>
      </c>
      <c r="N79">
        <f>IFERROR(IF(VLOOKUP($B79,Показатели!$E:$W,11,FALSE)=0,"",VLOOKUP($B79,Показатели!$E:$W,11,FALSE)),"")</f>
        <v>3078000000000</v>
      </c>
      <c r="O79">
        <f>IFERROR(IF(VLOOKUP($B79,Показатели!$E:$W,12,FALSE)=0,"",VLOOKUP($B79,Показатели!$E:$W,12,FALSE)),"")</f>
        <v>382000000000</v>
      </c>
      <c r="P79">
        <f>IFERROR(IF(VLOOKUP($B79,Показатели!$E:$W,13,FALSE)=0,"",VLOOKUP($B79,Показатели!$E:$W,13,FALSE)),"")</f>
        <v>437000000000</v>
      </c>
      <c r="Q79">
        <f>IFERROR(IF(VLOOKUP($B79,Показатели!$E:$W,14,FALSE)=0,"",VLOOKUP($B79,Показатели!$E:$W,14,FALSE)),"")</f>
        <v>342000000000</v>
      </c>
      <c r="R79" t="str">
        <f>IFERROR(IF(VLOOKUP($B79,Показатели!$E:$W,15,FALSE)=0,"",VLOOKUP($B79,Показатели!$E:$W,15,FALSE)),"")</f>
        <v/>
      </c>
      <c r="S79">
        <f>IFERROR(IF(VLOOKUP($B79,Показатели!$E:$W,16,FALSE)=0,"",VLOOKUP($B79,Показатели!$E:$W,16,FALSE)),"")</f>
        <v>609000000000</v>
      </c>
      <c r="T79" t="str">
        <f>IFERROR(IF(VLOOKUP($B79,Показатели!$E:$W,17,FALSE)=0,"",VLOOKUP($B79,Показатели!$E:$W,17,FALSE)),"")</f>
        <v/>
      </c>
      <c r="U79">
        <f>IFERROR(IF(VLOOKUP($B79,Показатели!$E:$W,18,FALSE)=0,"",VLOOKUP($B79,Показатели!$E:$W,18,FALSE)),"")</f>
        <v>2702000000000</v>
      </c>
      <c r="V79">
        <f>IFERROR(IF(VLOOKUP($B79,Показатели!$E:$W,19,FALSE)=0,"",VLOOKUP($B79,Показатели!$E:$W,19,FALSE)),"")</f>
        <v>3377000000000</v>
      </c>
    </row>
    <row r="80" spans="1:22" x14ac:dyDescent="0.2">
      <c r="A80" s="7" t="s">
        <v>2184</v>
      </c>
      <c r="B80" t="str">
        <f t="shared" si="1"/>
        <v>ROSN IV кв. 2011</v>
      </c>
      <c r="C80">
        <v>2011</v>
      </c>
      <c r="D80">
        <f>SUMIFS(Дивиденды!$C:$C,Дивиденды!$A:$A,A80,Дивиденды!$I:$I,C80)</f>
        <v>7.53</v>
      </c>
      <c r="E80">
        <f>IFERROR(IF(VLOOKUP($B80,Показатели!$E:$W,2,FALSE)=0,"",VLOOKUP($B80,Показатели!$E:$W,2,FALSE)),"")</f>
        <v>166000000000</v>
      </c>
      <c r="F80">
        <f>IFERROR(IF(VLOOKUP($B80,Показатели!$E:$W,3,FALSE)=0,"",VLOOKUP($B80,Показатели!$E:$W,3,FALSE)),"")</f>
        <v>815000000000</v>
      </c>
      <c r="G80">
        <f>IFERROR(IF(VLOOKUP($B80,Показатели!$E:$W,4,FALSE)=0,"",VLOOKUP($B80,Показатели!$E:$W,4,FALSE)),"")</f>
        <v>2231000000000</v>
      </c>
      <c r="H80" t="str">
        <f>IFERROR(IF(VLOOKUP($B80,Показатели!$E:$W,5,FALSE)=0,"",VLOOKUP($B80,Показатели!$E:$W,5,FALSE)),"")</f>
        <v/>
      </c>
      <c r="I80">
        <f>IFERROR(IF(VLOOKUP($B80,Показатели!$E:$W,6,FALSE)=0,"",VLOOKUP($B80,Показатели!$E:$W,6,FALSE)),"")</f>
        <v>3377000000000</v>
      </c>
      <c r="J80">
        <f>IFERROR(IF(VLOOKUP($B80,Показатели!$E:$W,7,FALSE)=0,"",VLOOKUP($B80,Показатели!$E:$W,7,FALSE)),"")</f>
        <v>414000000000</v>
      </c>
      <c r="K80">
        <f>IFERROR(IF(VLOOKUP($B80,Показатели!$E:$W,8,FALSE)=0,"",VLOOKUP($B80,Показатели!$E:$W,8,FALSE)),"")</f>
        <v>894000000000</v>
      </c>
      <c r="L80">
        <f>IFERROR(IF(VLOOKUP($B80,Показатели!$E:$W,9,FALSE)=0,"",VLOOKUP($B80,Показатели!$E:$W,9,FALSE)),"")</f>
        <v>1877000000000</v>
      </c>
      <c r="M80">
        <f>IFERROR(IF(VLOOKUP($B80,Показатели!$E:$W,10,FALSE)=0,"",VLOOKUP($B80,Показатели!$E:$W,10,FALSE)),"")</f>
        <v>2069000000000</v>
      </c>
      <c r="N80">
        <f>IFERROR(IF(VLOOKUP($B80,Показатели!$E:$W,11,FALSE)=0,"",VLOOKUP($B80,Показатели!$E:$W,11,FALSE)),"")</f>
        <v>2702000000000</v>
      </c>
      <c r="O80">
        <f>IFERROR(IF(VLOOKUP($B80,Показатели!$E:$W,12,FALSE)=0,"",VLOOKUP($B80,Показатели!$E:$W,12,FALSE)),"")</f>
        <v>433000000000</v>
      </c>
      <c r="P80">
        <f>IFERROR(IF(VLOOKUP($B80,Показатели!$E:$W,13,FALSE)=0,"",VLOOKUP($B80,Показатели!$E:$W,13,FALSE)),"")</f>
        <v>405000000000</v>
      </c>
      <c r="Q80">
        <f>IFERROR(IF(VLOOKUP($B80,Показатели!$E:$W,14,FALSE)=0,"",VLOOKUP($B80,Показатели!$E:$W,14,FALSE)),"")</f>
        <v>319000000000</v>
      </c>
      <c r="R80" t="str">
        <f>IFERROR(IF(VLOOKUP($B80,Показатели!$E:$W,15,FALSE)=0,"",VLOOKUP($B80,Показатели!$E:$W,15,FALSE)),"")</f>
        <v/>
      </c>
      <c r="S80" t="str">
        <f>IFERROR(IF(VLOOKUP($B80,Показатели!$E:$W,16,FALSE)=0,"",VLOOKUP($B80,Показатели!$E:$W,16,FALSE)),"")</f>
        <v/>
      </c>
      <c r="T80" t="str">
        <f>IFERROR(IF(VLOOKUP($B80,Показатели!$E:$W,17,FALSE)=0,"",VLOOKUP($B80,Показатели!$E:$W,17,FALSE)),"")</f>
        <v/>
      </c>
      <c r="U80">
        <f>IFERROR(IF(VLOOKUP($B80,Показатели!$E:$W,18,FALSE)=0,"",VLOOKUP($B80,Показатели!$E:$W,18,FALSE)),"")</f>
        <v>1915000000000</v>
      </c>
      <c r="V80">
        <f>IFERROR(IF(VLOOKUP($B80,Показатели!$E:$W,19,FALSE)=0,"",VLOOKUP($B80,Показатели!$E:$W,19,FALSE)),"")</f>
        <v>3015000000000</v>
      </c>
    </row>
    <row r="81" spans="1:22" x14ac:dyDescent="0.2">
      <c r="A81" s="7" t="s">
        <v>2184</v>
      </c>
      <c r="B81" t="str">
        <f t="shared" si="1"/>
        <v>ROSN IV кв. 2010</v>
      </c>
      <c r="C81">
        <v>2010</v>
      </c>
      <c r="D81">
        <f>SUMIFS(Дивиденды!$C:$C,Дивиденды!$A:$A,A81,Дивиденды!$I:$I,C81)</f>
        <v>2.76</v>
      </c>
      <c r="E81" t="str">
        <f>IFERROR(IF(VLOOKUP($B81,Показатели!$E:$W,2,FALSE)=0,"",VLOOKUP($B81,Показатели!$E:$W,2,FALSE)),"")</f>
        <v/>
      </c>
      <c r="F81" t="str">
        <f>IFERROR(IF(VLOOKUP($B81,Показатели!$E:$W,3,FALSE)=0,"",VLOOKUP($B81,Показатели!$E:$W,3,FALSE)),"")</f>
        <v/>
      </c>
      <c r="G81" t="str">
        <f>IFERROR(IF(VLOOKUP($B81,Показатели!$E:$W,4,FALSE)=0,"",VLOOKUP($B81,Показатели!$E:$W,4,FALSE)),"")</f>
        <v/>
      </c>
      <c r="H81" t="str">
        <f>IFERROR(IF(VLOOKUP($B81,Показатели!$E:$W,5,FALSE)=0,"",VLOOKUP($B81,Показатели!$E:$W,5,FALSE)),"")</f>
        <v/>
      </c>
      <c r="I81" t="str">
        <f>IFERROR(IF(VLOOKUP($B81,Показатели!$E:$W,6,FALSE)=0,"",VLOOKUP($B81,Показатели!$E:$W,6,FALSE)),"")</f>
        <v/>
      </c>
      <c r="J81" t="str">
        <f>IFERROR(IF(VLOOKUP($B81,Показатели!$E:$W,7,FALSE)=0,"",VLOOKUP($B81,Показатели!$E:$W,7,FALSE)),"")</f>
        <v/>
      </c>
      <c r="K81" t="str">
        <f>IFERROR(IF(VLOOKUP($B81,Показатели!$E:$W,8,FALSE)=0,"",VLOOKUP($B81,Показатели!$E:$W,8,FALSE)),"")</f>
        <v/>
      </c>
      <c r="L81" t="str">
        <f>IFERROR(IF(VLOOKUP($B81,Показатели!$E:$W,9,FALSE)=0,"",VLOOKUP($B81,Показатели!$E:$W,9,FALSE)),"")</f>
        <v/>
      </c>
      <c r="M81" t="str">
        <f>IFERROR(IF(VLOOKUP($B81,Показатели!$E:$W,10,FALSE)=0,"",VLOOKUP($B81,Показатели!$E:$W,10,FALSE)),"")</f>
        <v/>
      </c>
      <c r="N81" t="str">
        <f>IFERROR(IF(VLOOKUP($B81,Показатели!$E:$W,11,FALSE)=0,"",VLOOKUP($B81,Показатели!$E:$W,11,FALSE)),"")</f>
        <v/>
      </c>
      <c r="O81" t="str">
        <f>IFERROR(IF(VLOOKUP($B81,Показатели!$E:$W,12,FALSE)=0,"",VLOOKUP($B81,Показатели!$E:$W,12,FALSE)),"")</f>
        <v/>
      </c>
      <c r="P81" t="str">
        <f>IFERROR(IF(VLOOKUP($B81,Показатели!$E:$W,13,FALSE)=0,"",VLOOKUP($B81,Показатели!$E:$W,13,FALSE)),"")</f>
        <v/>
      </c>
      <c r="Q81" t="str">
        <f>IFERROR(IF(VLOOKUP($B81,Показатели!$E:$W,14,FALSE)=0,"",VLOOKUP($B81,Показатели!$E:$W,14,FALSE)),"")</f>
        <v/>
      </c>
      <c r="R81" t="str">
        <f>IFERROR(IF(VLOOKUP($B81,Показатели!$E:$W,15,FALSE)=0,"",VLOOKUP($B81,Показатели!$E:$W,15,FALSE)),"")</f>
        <v/>
      </c>
      <c r="S81" t="str">
        <f>IFERROR(IF(VLOOKUP($B81,Показатели!$E:$W,16,FALSE)=0,"",VLOOKUP($B81,Показатели!$E:$W,16,FALSE)),"")</f>
        <v/>
      </c>
      <c r="T81" t="str">
        <f>IFERROR(IF(VLOOKUP($B81,Показатели!$E:$W,17,FALSE)=0,"",VLOOKUP($B81,Показатели!$E:$W,17,FALSE)),"")</f>
        <v/>
      </c>
      <c r="U81" t="str">
        <f>IFERROR(IF(VLOOKUP($B81,Показатели!$E:$W,18,FALSE)=0,"",VLOOKUP($B81,Показатели!$E:$W,18,FALSE)),"")</f>
        <v/>
      </c>
      <c r="V81" t="str">
        <f>IFERROR(IF(VLOOKUP($B81,Показатели!$E:$W,19,FALSE)=0,"",VLOOKUP($B81,Показатели!$E:$W,19,FALSE)),"")</f>
        <v/>
      </c>
    </row>
    <row r="82" spans="1:22" x14ac:dyDescent="0.2">
      <c r="A82" s="7" t="s">
        <v>2186</v>
      </c>
      <c r="B82" t="str">
        <f t="shared" si="1"/>
        <v>SNGS IV кв. 2025</v>
      </c>
      <c r="C82">
        <v>2025</v>
      </c>
      <c r="D82">
        <f>SUMIFS(Дивиденды!$C:$C,Дивиденды!$A:$A,A82,Дивиденды!$I:$I,C82)</f>
        <v>0</v>
      </c>
      <c r="E82" t="str">
        <f>IFERROR(IF(VLOOKUP($B82,Показатели!$E:$W,2,FALSE)=0,"",VLOOKUP($B82,Показатели!$E:$W,2,FALSE)),"")</f>
        <v/>
      </c>
      <c r="F82" t="str">
        <f>IFERROR(IF(VLOOKUP($B82,Показатели!$E:$W,3,FALSE)=0,"",VLOOKUP($B82,Показатели!$E:$W,3,FALSE)),"")</f>
        <v/>
      </c>
      <c r="G82" t="str">
        <f>IFERROR(IF(VLOOKUP($B82,Показатели!$E:$W,4,FALSE)=0,"",VLOOKUP($B82,Показатели!$E:$W,4,FALSE)),"")</f>
        <v/>
      </c>
      <c r="H82" t="str">
        <f>IFERROR(IF(VLOOKUP($B82,Показатели!$E:$W,5,FALSE)=0,"",VLOOKUP($B82,Показатели!$E:$W,5,FALSE)),"")</f>
        <v/>
      </c>
      <c r="I82" t="str">
        <f>IFERROR(IF(VLOOKUP($B82,Показатели!$E:$W,6,FALSE)=0,"",VLOOKUP($B82,Показатели!$E:$W,6,FALSE)),"")</f>
        <v/>
      </c>
      <c r="J82" t="str">
        <f>IFERROR(IF(VLOOKUP($B82,Показатели!$E:$W,7,FALSE)=0,"",VLOOKUP($B82,Показатели!$E:$W,7,FALSE)),"")</f>
        <v/>
      </c>
      <c r="K82" t="str">
        <f>IFERROR(IF(VLOOKUP($B82,Показатели!$E:$W,8,FALSE)=0,"",VLOOKUP($B82,Показатели!$E:$W,8,FALSE)),"")</f>
        <v/>
      </c>
      <c r="L82" t="str">
        <f>IFERROR(IF(VLOOKUP($B82,Показатели!$E:$W,9,FALSE)=0,"",VLOOKUP($B82,Показатели!$E:$W,9,FALSE)),"")</f>
        <v/>
      </c>
      <c r="M82" t="str">
        <f>IFERROR(IF(VLOOKUP($B82,Показатели!$E:$W,10,FALSE)=0,"",VLOOKUP($B82,Показатели!$E:$W,10,FALSE)),"")</f>
        <v/>
      </c>
      <c r="N82" t="str">
        <f>IFERROR(IF(VLOOKUP($B82,Показатели!$E:$W,11,FALSE)=0,"",VLOOKUP($B82,Показатели!$E:$W,11,FALSE)),"")</f>
        <v/>
      </c>
      <c r="O82" t="str">
        <f>IFERROR(IF(VLOOKUP($B82,Показатели!$E:$W,12,FALSE)=0,"",VLOOKUP($B82,Показатели!$E:$W,12,FALSE)),"")</f>
        <v/>
      </c>
      <c r="P82" t="str">
        <f>IFERROR(IF(VLOOKUP($B82,Показатели!$E:$W,13,FALSE)=0,"",VLOOKUP($B82,Показатели!$E:$W,13,FALSE)),"")</f>
        <v/>
      </c>
      <c r="Q82" t="str">
        <f>IFERROR(IF(VLOOKUP($B82,Показатели!$E:$W,14,FALSE)=0,"",VLOOKUP($B82,Показатели!$E:$W,14,FALSE)),"")</f>
        <v/>
      </c>
      <c r="R82" t="str">
        <f>IFERROR(IF(VLOOKUP($B82,Показатели!$E:$W,15,FALSE)=0,"",VLOOKUP($B82,Показатели!$E:$W,15,FALSE)),"")</f>
        <v/>
      </c>
      <c r="S82" t="str">
        <f>IFERROR(IF(VLOOKUP($B82,Показатели!$E:$W,16,FALSE)=0,"",VLOOKUP($B82,Показатели!$E:$W,16,FALSE)),"")</f>
        <v/>
      </c>
      <c r="T82" t="str">
        <f>IFERROR(IF(VLOOKUP($B82,Показатели!$E:$W,17,FALSE)=0,"",VLOOKUP($B82,Показатели!$E:$W,17,FALSE)),"")</f>
        <v/>
      </c>
      <c r="U82" t="str">
        <f>IFERROR(IF(VLOOKUP($B82,Показатели!$E:$W,18,FALSE)=0,"",VLOOKUP($B82,Показатели!$E:$W,18,FALSE)),"")</f>
        <v/>
      </c>
      <c r="V82" t="str">
        <f>IFERROR(IF(VLOOKUP($B82,Показатели!$E:$W,19,FALSE)=0,"",VLOOKUP($B82,Показатели!$E:$W,19,FALSE)),"")</f>
        <v/>
      </c>
    </row>
    <row r="83" spans="1:22" x14ac:dyDescent="0.2">
      <c r="A83" s="7" t="s">
        <v>2186</v>
      </c>
      <c r="B83" t="str">
        <f t="shared" si="1"/>
        <v>SNGS IV кв. 2024</v>
      </c>
      <c r="C83">
        <v>2024</v>
      </c>
      <c r="D83">
        <f>SUMIFS(Дивиденды!$C:$C,Дивиденды!$A:$A,A83,Дивиденды!$I:$I,C83)</f>
        <v>0.9</v>
      </c>
      <c r="E83" t="str">
        <f>IFERROR(IF(VLOOKUP($B83,Показатели!$E:$W,2,FALSE)=0,"",VLOOKUP($B83,Показатели!$E:$W,2,FALSE)),"")</f>
        <v/>
      </c>
      <c r="F83" t="str">
        <f>IFERROR(IF(VLOOKUP($B83,Показатели!$E:$W,3,FALSE)=0,"",VLOOKUP($B83,Показатели!$E:$W,3,FALSE)),"")</f>
        <v/>
      </c>
      <c r="G83" t="str">
        <f>IFERROR(IF(VLOOKUP($B83,Показатели!$E:$W,4,FALSE)=0,"",VLOOKUP($B83,Показатели!$E:$W,4,FALSE)),"")</f>
        <v/>
      </c>
      <c r="H83" t="str">
        <f>IFERROR(IF(VLOOKUP($B83,Показатели!$E:$W,5,FALSE)=0,"",VLOOKUP($B83,Показатели!$E:$W,5,FALSE)),"")</f>
        <v/>
      </c>
      <c r="I83" t="str">
        <f>IFERROR(IF(VLOOKUP($B83,Показатели!$E:$W,6,FALSE)=0,"",VLOOKUP($B83,Показатели!$E:$W,6,FALSE)),"")</f>
        <v/>
      </c>
      <c r="J83" t="str">
        <f>IFERROR(IF(VLOOKUP($B83,Показатели!$E:$W,7,FALSE)=0,"",VLOOKUP($B83,Показатели!$E:$W,7,FALSE)),"")</f>
        <v/>
      </c>
      <c r="K83" t="str">
        <f>IFERROR(IF(VLOOKUP($B83,Показатели!$E:$W,8,FALSE)=0,"",VLOOKUP($B83,Показатели!$E:$W,8,FALSE)),"")</f>
        <v/>
      </c>
      <c r="L83" t="str">
        <f>IFERROR(IF(VLOOKUP($B83,Показатели!$E:$W,9,FALSE)=0,"",VLOOKUP($B83,Показатели!$E:$W,9,FALSE)),"")</f>
        <v/>
      </c>
      <c r="M83" t="str">
        <f>IFERROR(IF(VLOOKUP($B83,Показатели!$E:$W,10,FALSE)=0,"",VLOOKUP($B83,Показатели!$E:$W,10,FALSE)),"")</f>
        <v/>
      </c>
      <c r="N83" t="str">
        <f>IFERROR(IF(VLOOKUP($B83,Показатели!$E:$W,11,FALSE)=0,"",VLOOKUP($B83,Показатели!$E:$W,11,FALSE)),"")</f>
        <v/>
      </c>
      <c r="O83" t="str">
        <f>IFERROR(IF(VLOOKUP($B83,Показатели!$E:$W,12,FALSE)=0,"",VLOOKUP($B83,Показатели!$E:$W,12,FALSE)),"")</f>
        <v/>
      </c>
      <c r="P83" t="str">
        <f>IFERROR(IF(VLOOKUP($B83,Показатели!$E:$W,13,FALSE)=0,"",VLOOKUP($B83,Показатели!$E:$W,13,FALSE)),"")</f>
        <v/>
      </c>
      <c r="Q83" t="str">
        <f>IFERROR(IF(VLOOKUP($B83,Показатели!$E:$W,14,FALSE)=0,"",VLOOKUP($B83,Показатели!$E:$W,14,FALSE)),"")</f>
        <v/>
      </c>
      <c r="R83" t="str">
        <f>IFERROR(IF(VLOOKUP($B83,Показатели!$E:$W,15,FALSE)=0,"",VLOOKUP($B83,Показатели!$E:$W,15,FALSE)),"")</f>
        <v/>
      </c>
      <c r="S83" t="str">
        <f>IFERROR(IF(VLOOKUP($B83,Показатели!$E:$W,16,FALSE)=0,"",VLOOKUP($B83,Показатели!$E:$W,16,FALSE)),"")</f>
        <v/>
      </c>
      <c r="T83" t="str">
        <f>IFERROR(IF(VLOOKUP($B83,Показатели!$E:$W,17,FALSE)=0,"",VLOOKUP($B83,Показатели!$E:$W,17,FALSE)),"")</f>
        <v/>
      </c>
      <c r="U83" t="str">
        <f>IFERROR(IF(VLOOKUP($B83,Показатели!$E:$W,18,FALSE)=0,"",VLOOKUP($B83,Показатели!$E:$W,18,FALSE)),"")</f>
        <v/>
      </c>
      <c r="V83" t="str">
        <f>IFERROR(IF(VLOOKUP($B83,Показатели!$E:$W,19,FALSE)=0,"",VLOOKUP($B83,Показатели!$E:$W,19,FALSE)),"")</f>
        <v/>
      </c>
    </row>
    <row r="84" spans="1:22" x14ac:dyDescent="0.2">
      <c r="A84" s="7" t="s">
        <v>2186</v>
      </c>
      <c r="B84" t="str">
        <f t="shared" si="1"/>
        <v>SNGS IV кв. 2023</v>
      </c>
      <c r="C84">
        <v>2023</v>
      </c>
      <c r="D84">
        <f>SUMIFS(Дивиденды!$C:$C,Дивиденды!$A:$A,A84,Дивиденды!$I:$I,C84)</f>
        <v>0.85</v>
      </c>
      <c r="E84">
        <f>IFERROR(IF(VLOOKUP($B84,Показатели!$E:$W,2,FALSE)=0,"",VLOOKUP($B84,Показатели!$E:$W,2,FALSE)),"")</f>
        <v>147671000000</v>
      </c>
      <c r="F84">
        <f>IFERROR(IF(VLOOKUP($B84,Показатели!$E:$W,3,FALSE)=0,"",VLOOKUP($B84,Показатели!$E:$W,3,FALSE)),"")</f>
        <v>2018797000000</v>
      </c>
      <c r="G84">
        <f>IFERROR(IF(VLOOKUP($B84,Показатели!$E:$W,4,FALSE)=0,"",VLOOKUP($B84,Показатели!$E:$W,4,FALSE)),"")</f>
        <v>1786038000000</v>
      </c>
      <c r="H84">
        <f>IFERROR(IF(VLOOKUP($B84,Показатели!$E:$W,5,FALSE)=0,"",VLOOKUP($B84,Показатели!$E:$W,5,FALSE)),"")</f>
        <v>9330000000</v>
      </c>
      <c r="I84">
        <f>IFERROR(IF(VLOOKUP($B84,Показатели!$E:$W,6,FALSE)=0,"",VLOOKUP($B84,Показатели!$E:$W,6,FALSE)),"")</f>
        <v>8039888000000</v>
      </c>
      <c r="J84">
        <f>IFERROR(IF(VLOOKUP($B84,Показатели!$E:$W,7,FALSE)=0,"",VLOOKUP($B84,Показатели!$E:$W,7,FALSE)),"")</f>
        <v>469738000000</v>
      </c>
      <c r="K84">
        <f>IFERROR(IF(VLOOKUP($B84,Показатели!$E:$W,8,FALSE)=0,"",VLOOKUP($B84,Показатели!$E:$W,8,FALSE)),"")</f>
        <v>483409000000</v>
      </c>
      <c r="L84">
        <f>IFERROR(IF(VLOOKUP($B84,Показатели!$E:$W,9,FALSE)=0,"",VLOOKUP($B84,Показатели!$E:$W,9,FALSE)),"")</f>
        <v>6871487000000</v>
      </c>
      <c r="M84">
        <f>IFERROR(IF(VLOOKUP($B84,Показатели!$E:$W,10,FALSE)=0,"",VLOOKUP($B84,Показатели!$E:$W,10,FALSE)),"")</f>
        <v>7086741000000</v>
      </c>
      <c r="N84">
        <f>IFERROR(IF(VLOOKUP($B84,Показатели!$E:$W,11,FALSE)=0,"",VLOOKUP($B84,Показатели!$E:$W,11,FALSE)),"")</f>
        <v>2245468000000</v>
      </c>
      <c r="O84">
        <f>IFERROR(IF(VLOOKUP($B84,Показатели!$E:$W,12,FALSE)=0,"",VLOOKUP($B84,Показатели!$E:$W,12,FALSE)),"")</f>
        <v>534061000000</v>
      </c>
      <c r="P84">
        <f>IFERROR(IF(VLOOKUP($B84,Показатели!$E:$W,13,FALSE)=0,"",VLOOKUP($B84,Показатели!$E:$W,13,FALSE)),"")</f>
        <v>1618248000000</v>
      </c>
      <c r="Q84">
        <f>IFERROR(IF(VLOOKUP($B84,Показатели!$E:$W,14,FALSE)=0,"",VLOOKUP($B84,Показатели!$E:$W,14,FALSE)),"")</f>
        <v>1322113000000</v>
      </c>
      <c r="R84">
        <f>IFERROR(IF(VLOOKUP($B84,Показатели!$E:$W,15,FALSE)=0,"",VLOOKUP($B84,Показатели!$E:$W,15,FALSE)),"")</f>
        <v>101599000000</v>
      </c>
      <c r="S84" t="str">
        <f>IFERROR(IF(VLOOKUP($B84,Показатели!$E:$W,16,FALSE)=0,"",VLOOKUP($B84,Показатели!$E:$W,16,FALSE)),"")</f>
        <v/>
      </c>
      <c r="T84">
        <f>IFERROR(IF(VLOOKUP($B84,Показатели!$E:$W,17,FALSE)=0,"",VLOOKUP($B84,Показатели!$E:$W,17,FALSE)),"")</f>
        <v>-264987000000</v>
      </c>
      <c r="U84">
        <f>IFERROR(IF(VLOOKUP($B84,Показатели!$E:$W,18,FALSE)=0,"",VLOOKUP($B84,Показатели!$E:$W,18,FALSE)),"")</f>
        <v>2355517000000</v>
      </c>
      <c r="V84">
        <f>IFERROR(IF(VLOOKUP($B84,Показатели!$E:$W,19,FALSE)=0,"",VLOOKUP($B84,Показатели!$E:$W,19,FALSE)),"")</f>
        <v>6488679000000</v>
      </c>
    </row>
    <row r="85" spans="1:22" x14ac:dyDescent="0.2">
      <c r="A85" s="7" t="s">
        <v>2186</v>
      </c>
      <c r="B85" t="str">
        <f t="shared" si="1"/>
        <v>SNGS IV кв. 2022</v>
      </c>
      <c r="C85">
        <v>2022</v>
      </c>
      <c r="D85">
        <f>SUMIFS(Дивиденды!$C:$C,Дивиденды!$A:$A,A85,Дивиденды!$I:$I,C85)</f>
        <v>0.8</v>
      </c>
      <c r="E85">
        <f>IFERROR(IF(VLOOKUP($B85,Показатели!$E:$W,2,FALSE)=0,"",VLOOKUP($B85,Показатели!$E:$W,2,FALSE)),"")</f>
        <v>137778000000</v>
      </c>
      <c r="F85">
        <f>IFERROR(IF(VLOOKUP($B85,Показатели!$E:$W,3,FALSE)=0,"",VLOOKUP($B85,Показатели!$E:$W,3,FALSE)),"")</f>
        <v>2704305000000</v>
      </c>
      <c r="G85">
        <f>IFERROR(IF(VLOOKUP($B85,Показатели!$E:$W,4,FALSE)=0,"",VLOOKUP($B85,Показатели!$E:$W,4,FALSE)),"")</f>
        <v>1635064000000</v>
      </c>
      <c r="H85">
        <f>IFERROR(IF(VLOOKUP($B85,Показатели!$E:$W,5,FALSE)=0,"",VLOOKUP($B85,Показатели!$E:$W,5,FALSE)),"")</f>
        <v>9509000000</v>
      </c>
      <c r="I85">
        <f>IFERROR(IF(VLOOKUP($B85,Показатели!$E:$W,6,FALSE)=0,"",VLOOKUP($B85,Показатели!$E:$W,6,FALSE)),"")</f>
        <v>6488679000000</v>
      </c>
      <c r="J85">
        <f>IFERROR(IF(VLOOKUP($B85,Показатели!$E:$W,7,FALSE)=0,"",VLOOKUP($B85,Показатели!$E:$W,7,FALSE)),"")</f>
        <v>339175000000</v>
      </c>
      <c r="K85">
        <f>IFERROR(IF(VLOOKUP($B85,Показатели!$E:$W,8,FALSE)=0,"",VLOOKUP($B85,Показатели!$E:$W,8,FALSE)),"")</f>
        <v>349613000000</v>
      </c>
      <c r="L85">
        <f>IFERROR(IF(VLOOKUP($B85,Показатели!$E:$W,9,FALSE)=0,"",VLOOKUP($B85,Показатели!$E:$W,9,FALSE)),"")</f>
        <v>5585386000000</v>
      </c>
      <c r="M85">
        <f>IFERROR(IF(VLOOKUP($B85,Показатели!$E:$W,10,FALSE)=0,"",VLOOKUP($B85,Показатели!$E:$W,10,FALSE)),"")</f>
        <v>5799891000000</v>
      </c>
      <c r="N85">
        <f>IFERROR(IF(VLOOKUP($B85,Показатели!$E:$W,11,FALSE)=0,"",VLOOKUP($B85,Показатели!$E:$W,11,FALSE)),"")</f>
        <v>2355517000000</v>
      </c>
      <c r="O85">
        <f>IFERROR(IF(VLOOKUP($B85,Показатели!$E:$W,12,FALSE)=0,"",VLOOKUP($B85,Показатели!$E:$W,12,FALSE)),"")</f>
        <v>654623000000</v>
      </c>
      <c r="P85">
        <f>IFERROR(IF(VLOOKUP($B85,Показатели!$E:$W,13,FALSE)=0,"",VLOOKUP($B85,Показатели!$E:$W,13,FALSE)),"")</f>
        <v>420566000000</v>
      </c>
      <c r="Q85">
        <f>IFERROR(IF(VLOOKUP($B85,Показатели!$E:$W,14,FALSE)=0,"",VLOOKUP($B85,Показатели!$E:$W,14,FALSE)),"")</f>
        <v>320560000000</v>
      </c>
      <c r="R85">
        <f>IFERROR(IF(VLOOKUP($B85,Показатели!$E:$W,15,FALSE)=0,"",VLOOKUP($B85,Показатели!$E:$W,15,FALSE)),"")</f>
        <v>88819000000</v>
      </c>
      <c r="S85" t="str">
        <f>IFERROR(IF(VLOOKUP($B85,Показатели!$E:$W,16,FALSE)=0,"",VLOOKUP($B85,Показатели!$E:$W,16,FALSE)),"")</f>
        <v/>
      </c>
      <c r="T85">
        <f>IFERROR(IF(VLOOKUP($B85,Показатели!$E:$W,17,FALSE)=0,"",VLOOKUP($B85,Показатели!$E:$W,17,FALSE)),"")</f>
        <v>-226741000000</v>
      </c>
      <c r="U85" t="str">
        <f>IFERROR(IF(VLOOKUP($B85,Показатели!$E:$W,18,FALSE)=0,"",VLOOKUP($B85,Показатели!$E:$W,18,FALSE)),"")</f>
        <v/>
      </c>
      <c r="V85" t="str">
        <f>IFERROR(IF(VLOOKUP($B85,Показатели!$E:$W,19,FALSE)=0,"",VLOOKUP($B85,Показатели!$E:$W,19,FALSE)),"")</f>
        <v/>
      </c>
    </row>
    <row r="86" spans="1:22" x14ac:dyDescent="0.2">
      <c r="A86" s="7" t="s">
        <v>2186</v>
      </c>
      <c r="B86" t="str">
        <f t="shared" si="1"/>
        <v>SNGS IV кв. 2021</v>
      </c>
      <c r="C86">
        <v>2021</v>
      </c>
      <c r="D86">
        <f>SUMIFS(Дивиденды!$C:$C,Дивиденды!$A:$A,A86,Дивиденды!$I:$I,C86)</f>
        <v>0.8</v>
      </c>
      <c r="E86" t="str">
        <f>IFERROR(IF(VLOOKUP($B86,Показатели!$E:$W,2,FALSE)=0,"",VLOOKUP($B86,Показатели!$E:$W,2,FALSE)),"")</f>
        <v/>
      </c>
      <c r="F86" t="str">
        <f>IFERROR(IF(VLOOKUP($B86,Показатели!$E:$W,3,FALSE)=0,"",VLOOKUP($B86,Показатели!$E:$W,3,FALSE)),"")</f>
        <v/>
      </c>
      <c r="G86" t="str">
        <f>IFERROR(IF(VLOOKUP($B86,Показатели!$E:$W,4,FALSE)=0,"",VLOOKUP($B86,Показатели!$E:$W,4,FALSE)),"")</f>
        <v/>
      </c>
      <c r="H86" t="str">
        <f>IFERROR(IF(VLOOKUP($B86,Показатели!$E:$W,5,FALSE)=0,"",VLOOKUP($B86,Показатели!$E:$W,5,FALSE)),"")</f>
        <v/>
      </c>
      <c r="I86" t="str">
        <f>IFERROR(IF(VLOOKUP($B86,Показатели!$E:$W,6,FALSE)=0,"",VLOOKUP($B86,Показатели!$E:$W,6,FALSE)),"")</f>
        <v/>
      </c>
      <c r="J86" t="str">
        <f>IFERROR(IF(VLOOKUP($B86,Показатели!$E:$W,7,FALSE)=0,"",VLOOKUP($B86,Показатели!$E:$W,7,FALSE)),"")</f>
        <v/>
      </c>
      <c r="K86" t="str">
        <f>IFERROR(IF(VLOOKUP($B86,Показатели!$E:$W,8,FALSE)=0,"",VLOOKUP($B86,Показатели!$E:$W,8,FALSE)),"")</f>
        <v/>
      </c>
      <c r="L86" t="str">
        <f>IFERROR(IF(VLOOKUP($B86,Показатели!$E:$W,9,FALSE)=0,"",VLOOKUP($B86,Показатели!$E:$W,9,FALSE)),"")</f>
        <v/>
      </c>
      <c r="M86" t="str">
        <f>IFERROR(IF(VLOOKUP($B86,Показатели!$E:$W,10,FALSE)=0,"",VLOOKUP($B86,Показатели!$E:$W,10,FALSE)),"")</f>
        <v/>
      </c>
      <c r="N86" t="str">
        <f>IFERROR(IF(VLOOKUP($B86,Показатели!$E:$W,11,FALSE)=0,"",VLOOKUP($B86,Показатели!$E:$W,11,FALSE)),"")</f>
        <v/>
      </c>
      <c r="O86" t="str">
        <f>IFERROR(IF(VLOOKUP($B86,Показатели!$E:$W,12,FALSE)=0,"",VLOOKUP($B86,Показатели!$E:$W,12,FALSE)),"")</f>
        <v/>
      </c>
      <c r="P86" t="str">
        <f>IFERROR(IF(VLOOKUP($B86,Показатели!$E:$W,13,FALSE)=0,"",VLOOKUP($B86,Показатели!$E:$W,13,FALSE)),"")</f>
        <v/>
      </c>
      <c r="Q86" t="str">
        <f>IFERROR(IF(VLOOKUP($B86,Показатели!$E:$W,14,FALSE)=0,"",VLOOKUP($B86,Показатели!$E:$W,14,FALSE)),"")</f>
        <v/>
      </c>
      <c r="R86" t="str">
        <f>IFERROR(IF(VLOOKUP($B86,Показатели!$E:$W,15,FALSE)=0,"",VLOOKUP($B86,Показатели!$E:$W,15,FALSE)),"")</f>
        <v/>
      </c>
      <c r="S86" t="str">
        <f>IFERROR(IF(VLOOKUP($B86,Показатели!$E:$W,16,FALSE)=0,"",VLOOKUP($B86,Показатели!$E:$W,16,FALSE)),"")</f>
        <v/>
      </c>
      <c r="T86" t="str">
        <f>IFERROR(IF(VLOOKUP($B86,Показатели!$E:$W,17,FALSE)=0,"",VLOOKUP($B86,Показатели!$E:$W,17,FALSE)),"")</f>
        <v/>
      </c>
      <c r="U86" t="str">
        <f>IFERROR(IF(VLOOKUP($B86,Показатели!$E:$W,18,FALSE)=0,"",VLOOKUP($B86,Показатели!$E:$W,18,FALSE)),"")</f>
        <v/>
      </c>
      <c r="V86" t="str">
        <f>IFERROR(IF(VLOOKUP($B86,Показатели!$E:$W,19,FALSE)=0,"",VLOOKUP($B86,Показатели!$E:$W,19,FALSE)),"")</f>
        <v/>
      </c>
    </row>
    <row r="87" spans="1:22" x14ac:dyDescent="0.2">
      <c r="A87" s="7" t="s">
        <v>2186</v>
      </c>
      <c r="B87" t="str">
        <f t="shared" si="1"/>
        <v>SNGS IV кв. 2020</v>
      </c>
      <c r="C87">
        <v>2020</v>
      </c>
      <c r="D87">
        <f>SUMIFS(Дивиденды!$C:$C,Дивиденды!$A:$A,A87,Дивиденды!$I:$I,C87)</f>
        <v>0.7</v>
      </c>
      <c r="E87">
        <f>IFERROR(IF(VLOOKUP($B87,Показатели!$E:$W,2,FALSE)=0,"",VLOOKUP($B87,Показатели!$E:$W,2,FALSE)),"")</f>
        <v>179634000000</v>
      </c>
      <c r="F87">
        <f>IFERROR(IF(VLOOKUP($B87,Показатели!$E:$W,3,FALSE)=0,"",VLOOKUP($B87,Показатели!$E:$W,3,FALSE)),"")</f>
        <v>1659455000000</v>
      </c>
      <c r="G87">
        <f>IFERROR(IF(VLOOKUP($B87,Показатели!$E:$W,4,FALSE)=0,"",VLOOKUP($B87,Показатели!$E:$W,4,FALSE)),"")</f>
        <v>1726984000000</v>
      </c>
      <c r="H87">
        <f>IFERROR(IF(VLOOKUP($B87,Показатели!$E:$W,5,FALSE)=0,"",VLOOKUP($B87,Показатели!$E:$W,5,FALSE)),"")</f>
        <v>9332000000</v>
      </c>
      <c r="I87">
        <f>IFERROR(IF(VLOOKUP($B87,Показатели!$E:$W,6,FALSE)=0,"",VLOOKUP($B87,Показатели!$E:$W,6,FALSE)),"")</f>
        <v>5875687000000</v>
      </c>
      <c r="J87">
        <f>IFERROR(IF(VLOOKUP($B87,Показатели!$E:$W,7,FALSE)=0,"",VLOOKUP($B87,Показатели!$E:$W,7,FALSE)),"")</f>
        <v>233712000000</v>
      </c>
      <c r="K87">
        <f>IFERROR(IF(VLOOKUP($B87,Показатели!$E:$W,8,FALSE)=0,"",VLOOKUP($B87,Показатели!$E:$W,8,FALSE)),"")</f>
        <v>481567000000</v>
      </c>
      <c r="L87">
        <f>IFERROR(IF(VLOOKUP($B87,Показатели!$E:$W,9,FALSE)=0,"",VLOOKUP($B87,Показатели!$E:$W,9,FALSE)),"")</f>
        <v>4946566000000</v>
      </c>
      <c r="M87">
        <f>IFERROR(IF(VLOOKUP($B87,Показатели!$E:$W,10,FALSE)=0,"",VLOOKUP($B87,Показатели!$E:$W,10,FALSE)),"")</f>
        <v>5160408000000</v>
      </c>
      <c r="N87">
        <f>IFERROR(IF(VLOOKUP($B87,Показатели!$E:$W,11,FALSE)=0,"",VLOOKUP($B87,Показатели!$E:$W,11,FALSE)),"")</f>
        <v>1075222000000</v>
      </c>
      <c r="O87">
        <f>IFERROR(IF(VLOOKUP($B87,Показатели!$E:$W,12,FALSE)=0,"",VLOOKUP($B87,Показатели!$E:$W,12,FALSE)),"")</f>
        <v>165063000000</v>
      </c>
      <c r="P87">
        <f>IFERROR(IF(VLOOKUP($B87,Показатели!$E:$W,13,FALSE)=0,"",VLOOKUP($B87,Показатели!$E:$W,13,FALSE)),"")</f>
        <v>889309000000</v>
      </c>
      <c r="Q87">
        <f>IFERROR(IF(VLOOKUP($B87,Показатели!$E:$W,14,FALSE)=0,"",VLOOKUP($B87,Показатели!$E:$W,14,FALSE)),"")</f>
        <v>742909000000</v>
      </c>
      <c r="R87">
        <f>IFERROR(IF(VLOOKUP($B87,Показатели!$E:$W,15,FALSE)=0,"",VLOOKUP($B87,Показатели!$E:$W,15,FALSE)),"")</f>
        <v>83777000000</v>
      </c>
      <c r="S87" t="str">
        <f>IFERROR(IF(VLOOKUP($B87,Показатели!$E:$W,16,FALSE)=0,"",VLOOKUP($B87,Показатели!$E:$W,16,FALSE)),"")</f>
        <v/>
      </c>
      <c r="T87">
        <f>IFERROR(IF(VLOOKUP($B87,Показатели!$E:$W,17,FALSE)=0,"",VLOOKUP($B87,Показатели!$E:$W,17,FALSE)),"")</f>
        <v>-171292000000</v>
      </c>
      <c r="U87">
        <f>IFERROR(IF(VLOOKUP($B87,Показатели!$E:$W,18,FALSE)=0,"",VLOOKUP($B87,Показатели!$E:$W,18,FALSE)),"")</f>
        <v>1570876000000</v>
      </c>
      <c r="V87">
        <f>IFERROR(IF(VLOOKUP($B87,Показатели!$E:$W,19,FALSE)=0,"",VLOOKUP($B87,Показатели!$E:$W,19,FALSE)),"")</f>
        <v>5267896000000</v>
      </c>
    </row>
    <row r="88" spans="1:22" x14ac:dyDescent="0.2">
      <c r="A88" s="7" t="s">
        <v>2186</v>
      </c>
      <c r="B88" t="str">
        <f t="shared" si="1"/>
        <v>SNGS IV кв. 2019</v>
      </c>
      <c r="C88">
        <v>2019</v>
      </c>
      <c r="D88">
        <f>SUMIFS(Дивиденды!$C:$C,Дивиденды!$A:$A,A88,Дивиденды!$I:$I,C88)</f>
        <v>0.65</v>
      </c>
      <c r="E88">
        <f>IFERROR(IF(VLOOKUP($B88,Показатели!$E:$W,2,FALSE)=0,"",VLOOKUP($B88,Показатели!$E:$W,2,FALSE)),"")</f>
        <v>398685000000</v>
      </c>
      <c r="F88">
        <f>IFERROR(IF(VLOOKUP($B88,Показатели!$E:$W,3,FALSE)=0,"",VLOOKUP($B88,Показатели!$E:$W,3,FALSE)),"")</f>
        <v>1468990000000</v>
      </c>
      <c r="G88">
        <f>IFERROR(IF(VLOOKUP($B88,Показатели!$E:$W,4,FALSE)=0,"",VLOOKUP($B88,Показатели!$E:$W,4,FALSE)),"")</f>
        <v>1591986000000</v>
      </c>
      <c r="H88">
        <f>IFERROR(IF(VLOOKUP($B88,Показатели!$E:$W,5,FALSE)=0,"",VLOOKUP($B88,Показатели!$E:$W,5,FALSE)),"")</f>
        <v>9302000000</v>
      </c>
      <c r="I88">
        <f>IFERROR(IF(VLOOKUP($B88,Показатели!$E:$W,6,FALSE)=0,"",VLOOKUP($B88,Показатели!$E:$W,6,FALSE)),"")</f>
        <v>5267896000000</v>
      </c>
      <c r="J88">
        <f>IFERROR(IF(VLOOKUP($B88,Показатели!$E:$W,7,FALSE)=0,"",VLOOKUP($B88,Показатели!$E:$W,7,FALSE)),"")</f>
        <v>398744000000</v>
      </c>
      <c r="K88">
        <f>IFERROR(IF(VLOOKUP($B88,Показатели!$E:$W,8,FALSE)=0,"",VLOOKUP($B88,Показатели!$E:$W,8,FALSE)),"")</f>
        <v>419774000000</v>
      </c>
      <c r="L88">
        <f>IFERROR(IF(VLOOKUP($B88,Показатели!$E:$W,9,FALSE)=0,"",VLOOKUP($B88,Показатели!$E:$W,9,FALSE)),"")</f>
        <v>4235364000000</v>
      </c>
      <c r="M88">
        <f>IFERROR(IF(VLOOKUP($B88,Показатели!$E:$W,10,FALSE)=0,"",VLOOKUP($B88,Показатели!$E:$W,10,FALSE)),"")</f>
        <v>4449378000000</v>
      </c>
      <c r="N88">
        <f>IFERROR(IF(VLOOKUP($B88,Показатели!$E:$W,11,FALSE)=0,"",VLOOKUP($B88,Показатели!$E:$W,11,FALSE)),"")</f>
        <v>1570876000000</v>
      </c>
      <c r="O88">
        <f>IFERROR(IF(VLOOKUP($B88,Показатели!$E:$W,12,FALSE)=0,"",VLOOKUP($B88,Показатели!$E:$W,12,FALSE)),"")</f>
        <v>393007000000</v>
      </c>
      <c r="P88">
        <f>IFERROR(IF(VLOOKUP($B88,Показатели!$E:$W,13,FALSE)=0,"",VLOOKUP($B88,Показатели!$E:$W,13,FALSE)),"")</f>
        <v>132935000000</v>
      </c>
      <c r="Q88">
        <f>IFERROR(IF(VLOOKUP($B88,Показатели!$E:$W,14,FALSE)=0,"",VLOOKUP($B88,Показатели!$E:$W,14,FALSE)),"")</f>
        <v>106197000000</v>
      </c>
      <c r="R88">
        <f>IFERROR(IF(VLOOKUP($B88,Показатели!$E:$W,15,FALSE)=0,"",VLOOKUP($B88,Показатели!$E:$W,15,FALSE)),"")</f>
        <v>71072000000</v>
      </c>
      <c r="S88" t="str">
        <f>IFERROR(IF(VLOOKUP($B88,Показатели!$E:$W,16,FALSE)=0,"",VLOOKUP($B88,Показатели!$E:$W,16,FALSE)),"")</f>
        <v/>
      </c>
      <c r="T88">
        <f>IFERROR(IF(VLOOKUP($B88,Показатели!$E:$W,17,FALSE)=0,"",VLOOKUP($B88,Показатели!$E:$W,17,FALSE)),"")</f>
        <v>-159215000000</v>
      </c>
      <c r="U88">
        <f>IFERROR(IF(VLOOKUP($B88,Показатели!$E:$W,18,FALSE)=0,"",VLOOKUP($B88,Показатели!$E:$W,18,FALSE)),"")</f>
        <v>1555959000000</v>
      </c>
      <c r="V88">
        <f>IFERROR(IF(VLOOKUP($B88,Показатели!$E:$W,19,FALSE)=0,"",VLOOKUP($B88,Показатели!$E:$W,19,FALSE)),"")</f>
        <v>5135791000000</v>
      </c>
    </row>
    <row r="89" spans="1:22" x14ac:dyDescent="0.2">
      <c r="A89" s="7" t="s">
        <v>2186</v>
      </c>
      <c r="B89" t="str">
        <f t="shared" si="1"/>
        <v>SNGS IV кв. 2018</v>
      </c>
      <c r="C89">
        <v>2018</v>
      </c>
      <c r="D89">
        <f>SUMIFS(Дивиденды!$C:$C,Дивиденды!$A:$A,A89,Дивиденды!$I:$I,C89)</f>
        <v>0.65</v>
      </c>
      <c r="E89">
        <f>IFERROR(IF(VLOOKUP($B89,Показатели!$E:$W,2,FALSE)=0,"",VLOOKUP($B89,Показатели!$E:$W,2,FALSE)),"")</f>
        <v>262440000000</v>
      </c>
      <c r="F89">
        <f>IFERROR(IF(VLOOKUP($B89,Показатели!$E:$W,3,FALSE)=0,"",VLOOKUP($B89,Показатели!$E:$W,3,FALSE)),"")</f>
        <v>1354886000000</v>
      </c>
      <c r="G89">
        <f>IFERROR(IF(VLOOKUP($B89,Показатели!$E:$W,4,FALSE)=0,"",VLOOKUP($B89,Показатели!$E:$W,4,FALSE)),"")</f>
        <v>1472101000000</v>
      </c>
      <c r="H89">
        <f>IFERROR(IF(VLOOKUP($B89,Показатели!$E:$W,5,FALSE)=0,"",VLOOKUP($B89,Показатели!$E:$W,5,FALSE)),"")</f>
        <v>8749000000</v>
      </c>
      <c r="I89">
        <f>IFERROR(IF(VLOOKUP($B89,Показатели!$E:$W,6,FALSE)=0,"",VLOOKUP($B89,Показатели!$E:$W,6,FALSE)),"")</f>
        <v>5135791000000</v>
      </c>
      <c r="J89">
        <f>IFERROR(IF(VLOOKUP($B89,Показатели!$E:$W,7,FALSE)=0,"",VLOOKUP($B89,Показатели!$E:$W,7,FALSE)),"")</f>
        <v>372643000000</v>
      </c>
      <c r="K89">
        <f>IFERROR(IF(VLOOKUP($B89,Показатели!$E:$W,8,FALSE)=0,"",VLOOKUP($B89,Показатели!$E:$W,8,FALSE)),"")</f>
        <v>336804000000</v>
      </c>
      <c r="L89">
        <f>IFERROR(IF(VLOOKUP($B89,Показатели!$E:$W,9,FALSE)=0,"",VLOOKUP($B89,Показатели!$E:$W,9,FALSE)),"")</f>
        <v>4214571000000</v>
      </c>
      <c r="M89">
        <f>IFERROR(IF(VLOOKUP($B89,Показатели!$E:$W,10,FALSE)=0,"",VLOOKUP($B89,Показатели!$E:$W,10,FALSE)),"")</f>
        <v>4426344000000</v>
      </c>
      <c r="N89">
        <f>IFERROR(IF(VLOOKUP($B89,Показатели!$E:$W,11,FALSE)=0,"",VLOOKUP($B89,Показатели!$E:$W,11,FALSE)),"")</f>
        <v>1555959000000</v>
      </c>
      <c r="O89">
        <f>IFERROR(IF(VLOOKUP($B89,Показатели!$E:$W,12,FALSE)=0,"",VLOOKUP($B89,Показатели!$E:$W,12,FALSE)),"")</f>
        <v>415194000000</v>
      </c>
      <c r="P89">
        <f>IFERROR(IF(VLOOKUP($B89,Показатели!$E:$W,13,FALSE)=0,"",VLOOKUP($B89,Показатели!$E:$W,13,FALSE)),"")</f>
        <v>1038895000000</v>
      </c>
      <c r="Q89">
        <f>IFERROR(IF(VLOOKUP($B89,Показатели!$E:$W,14,FALSE)=0,"",VLOOKUP($B89,Показатели!$E:$W,14,FALSE)),"")</f>
        <v>850361000000</v>
      </c>
      <c r="R89">
        <f>IFERROR(IF(VLOOKUP($B89,Показатели!$E:$W,15,FALSE)=0,"",VLOOKUP($B89,Показатели!$E:$W,15,FALSE)),"")</f>
        <v>66643000000</v>
      </c>
      <c r="S89" t="str">
        <f>IFERROR(IF(VLOOKUP($B89,Показатели!$E:$W,16,FALSE)=0,"",VLOOKUP($B89,Показатели!$E:$W,16,FALSE)),"")</f>
        <v/>
      </c>
      <c r="T89">
        <f>IFERROR(IF(VLOOKUP($B89,Показатели!$E:$W,17,FALSE)=0,"",VLOOKUP($B89,Показатели!$E:$W,17,FALSE)),"")</f>
        <v>-450000000</v>
      </c>
      <c r="U89">
        <f>IFERROR(IF(VLOOKUP($B89,Показатели!$E:$W,18,FALSE)=0,"",VLOOKUP($B89,Показатели!$E:$W,18,FALSE)),"")</f>
        <v>1175019000000</v>
      </c>
      <c r="V89">
        <f>IFERROR(IF(VLOOKUP($B89,Показатели!$E:$W,19,FALSE)=0,"",VLOOKUP($B89,Показатели!$E:$W,19,FALSE)),"")</f>
        <v>4239690000000</v>
      </c>
    </row>
    <row r="90" spans="1:22" x14ac:dyDescent="0.2">
      <c r="A90" s="7" t="s">
        <v>2186</v>
      </c>
      <c r="B90" t="str">
        <f t="shared" si="1"/>
        <v>SNGS IV кв. 2017</v>
      </c>
      <c r="C90">
        <v>2017</v>
      </c>
      <c r="D90">
        <f>SUMIFS(Дивиденды!$C:$C,Дивиденды!$A:$A,A90,Дивиденды!$I:$I,C90)</f>
        <v>0.65</v>
      </c>
      <c r="E90">
        <f>IFERROR(IF(VLOOKUP($B90,Показатели!$E:$W,2,FALSE)=0,"",VLOOKUP($B90,Показатели!$E:$W,2,FALSE)),"")</f>
        <v>217501000000</v>
      </c>
      <c r="F90">
        <f>IFERROR(IF(VLOOKUP($B90,Показатели!$E:$W,3,FALSE)=0,"",VLOOKUP($B90,Показатели!$E:$W,3,FALSE)),"")</f>
        <v>1268273000000</v>
      </c>
      <c r="G90">
        <f>IFERROR(IF(VLOOKUP($B90,Показатели!$E:$W,4,FALSE)=0,"",VLOOKUP($B90,Показатели!$E:$W,4,FALSE)),"")</f>
        <v>1430760000000</v>
      </c>
      <c r="H90">
        <f>IFERROR(IF(VLOOKUP($B90,Показатели!$E:$W,5,FALSE)=0,"",VLOOKUP($B90,Показатели!$E:$W,5,FALSE)),"")</f>
        <v>9081000000</v>
      </c>
      <c r="I90">
        <f>IFERROR(IF(VLOOKUP($B90,Показатели!$E:$W,6,FALSE)=0,"",VLOOKUP($B90,Показатели!$E:$W,6,FALSE)),"")</f>
        <v>4239690000000</v>
      </c>
      <c r="J90">
        <f>IFERROR(IF(VLOOKUP($B90,Показатели!$E:$W,7,FALSE)=0,"",VLOOKUP($B90,Показатели!$E:$W,7,FALSE)),"")</f>
        <v>323771000000</v>
      </c>
      <c r="K90">
        <f>IFERROR(IF(VLOOKUP($B90,Показатели!$E:$W,8,FALSE)=0,"",VLOOKUP($B90,Показатели!$E:$W,8,FALSE)),"")</f>
        <v>302722000000</v>
      </c>
      <c r="L90">
        <f>IFERROR(IF(VLOOKUP($B90,Показатели!$E:$W,9,FALSE)=0,"",VLOOKUP($B90,Показатели!$E:$W,9,FALSE)),"")</f>
        <v>3400441000000</v>
      </c>
      <c r="M90">
        <f>IFERROR(IF(VLOOKUP($B90,Показатели!$E:$W,10,FALSE)=0,"",VLOOKUP($B90,Показатели!$E:$W,10,FALSE)),"")</f>
        <v>3613197000000</v>
      </c>
      <c r="N90">
        <f>IFERROR(IF(VLOOKUP($B90,Показатели!$E:$W,11,FALSE)=0,"",VLOOKUP($B90,Показатели!$E:$W,11,FALSE)),"")</f>
        <v>1175019000000</v>
      </c>
      <c r="O90">
        <f>IFERROR(IF(VLOOKUP($B90,Показатели!$E:$W,12,FALSE)=0,"",VLOOKUP($B90,Показатели!$E:$W,12,FALSE)),"")</f>
        <v>272387000000</v>
      </c>
      <c r="P90">
        <f>IFERROR(IF(VLOOKUP($B90,Показатели!$E:$W,13,FALSE)=0,"",VLOOKUP($B90,Показатели!$E:$W,13,FALSE)),"")</f>
        <v>246433000000</v>
      </c>
      <c r="Q90">
        <f>IFERROR(IF(VLOOKUP($B90,Показатели!$E:$W,14,FALSE)=0,"",VLOOKUP($B90,Показатели!$E:$W,14,FALSE)),"")</f>
        <v>194718000000</v>
      </c>
      <c r="R90">
        <f>IFERROR(IF(VLOOKUP($B90,Показатели!$E:$W,15,FALSE)=0,"",VLOOKUP($B90,Показатели!$E:$W,15,FALSE)),"")</f>
        <v>66296000000</v>
      </c>
      <c r="S90" t="str">
        <f>IFERROR(IF(VLOOKUP($B90,Показатели!$E:$W,16,FALSE)=0,"",VLOOKUP($B90,Показатели!$E:$W,16,FALSE)),"")</f>
        <v/>
      </c>
      <c r="T90">
        <f>IFERROR(IF(VLOOKUP($B90,Показатели!$E:$W,17,FALSE)=0,"",VLOOKUP($B90,Показатели!$E:$W,17,FALSE)),"")</f>
        <v>-5781000000</v>
      </c>
      <c r="U90">
        <f>IFERROR(IF(VLOOKUP($B90,Показатели!$E:$W,18,FALSE)=0,"",VLOOKUP($B90,Показатели!$E:$W,18,FALSE)),"")</f>
        <v>1020833000000</v>
      </c>
      <c r="V90">
        <f>IFERROR(IF(VLOOKUP($B90,Показатели!$E:$W,19,FALSE)=0,"",VLOOKUP($B90,Показатели!$E:$W,19,FALSE)),"")</f>
        <v>3921585000000</v>
      </c>
    </row>
    <row r="91" spans="1:22" x14ac:dyDescent="0.2">
      <c r="A91" s="7" t="s">
        <v>2186</v>
      </c>
      <c r="B91" t="str">
        <f t="shared" si="1"/>
        <v>SNGS IV кв. 2016</v>
      </c>
      <c r="C91">
        <v>2016</v>
      </c>
      <c r="D91">
        <f>SUMIFS(Дивиденды!$C:$C,Дивиденды!$A:$A,A91,Дивиденды!$I:$I,C91)</f>
        <v>0.6</v>
      </c>
      <c r="E91">
        <f>IFERROR(IF(VLOOKUP($B91,Показатели!$E:$W,2,FALSE)=0,"",VLOOKUP($B91,Показатели!$E:$W,2,FALSE)),"")</f>
        <v>107453000000</v>
      </c>
      <c r="F91">
        <f>IFERROR(IF(VLOOKUP($B91,Показатели!$E:$W,3,FALSE)=0,"",VLOOKUP($B91,Показатели!$E:$W,3,FALSE)),"")</f>
        <v>814939000000</v>
      </c>
      <c r="G91">
        <f>IFERROR(IF(VLOOKUP($B91,Показатели!$E:$W,4,FALSE)=0,"",VLOOKUP($B91,Показатели!$E:$W,4,FALSE)),"")</f>
        <v>1331593000000</v>
      </c>
      <c r="H91" t="str">
        <f>IFERROR(IF(VLOOKUP($B91,Показатели!$E:$W,5,FALSE)=0,"",VLOOKUP($B91,Показатели!$E:$W,5,FALSE)),"")</f>
        <v/>
      </c>
      <c r="I91">
        <f>IFERROR(IF(VLOOKUP($B91,Показатели!$E:$W,6,FALSE)=0,"",VLOOKUP($B91,Показатели!$E:$W,6,FALSE)),"")</f>
        <v>3921585000000</v>
      </c>
      <c r="J91">
        <f>IFERROR(IF(VLOOKUP($B91,Показатели!$E:$W,7,FALSE)=0,"",VLOOKUP($B91,Показатели!$E:$W,7,FALSE)),"")</f>
        <v>212399000000</v>
      </c>
      <c r="K91">
        <f>IFERROR(IF(VLOOKUP($B91,Показатели!$E:$W,8,FALSE)=0,"",VLOOKUP($B91,Показатели!$E:$W,8,FALSE)),"")</f>
        <v>263774000000</v>
      </c>
      <c r="L91">
        <f>IFERROR(IF(VLOOKUP($B91,Показатели!$E:$W,9,FALSE)=0,"",VLOOKUP($B91,Показатели!$E:$W,9,FALSE)),"")</f>
        <v>3232704000000</v>
      </c>
      <c r="M91">
        <f>IFERROR(IF(VLOOKUP($B91,Показатели!$E:$W,10,FALSE)=0,"",VLOOKUP($B91,Показатели!$E:$W,10,FALSE)),"")</f>
        <v>3445412000000</v>
      </c>
      <c r="N91">
        <f>IFERROR(IF(VLOOKUP($B91,Показатели!$E:$W,11,FALSE)=0,"",VLOOKUP($B91,Показатели!$E:$W,11,FALSE)),"")</f>
        <v>1020833000000</v>
      </c>
      <c r="O91">
        <f>IFERROR(IF(VLOOKUP($B91,Показатели!$E:$W,12,FALSE)=0,"",VLOOKUP($B91,Показатели!$E:$W,12,FALSE)),"")</f>
        <v>260529000000</v>
      </c>
      <c r="P91">
        <f>IFERROR(IF(VLOOKUP($B91,Показатели!$E:$W,13,FALSE)=0,"",VLOOKUP($B91,Показатели!$E:$W,13,FALSE)),"")</f>
        <v>-72197000000</v>
      </c>
      <c r="Q91">
        <f>IFERROR(IF(VLOOKUP($B91,Показатели!$E:$W,14,FALSE)=0,"",VLOOKUP($B91,Показатели!$E:$W,14,FALSE)),"")</f>
        <v>-62033000000</v>
      </c>
      <c r="R91" t="str">
        <f>IFERROR(IF(VLOOKUP($B91,Показатели!$E:$W,15,FALSE)=0,"",VLOOKUP($B91,Показатели!$E:$W,15,FALSE)),"")</f>
        <v/>
      </c>
      <c r="S91" t="str">
        <f>IFERROR(IF(VLOOKUP($B91,Показатели!$E:$W,16,FALSE)=0,"",VLOOKUP($B91,Показатели!$E:$W,16,FALSE)),"")</f>
        <v/>
      </c>
      <c r="T91">
        <f>IFERROR(IF(VLOOKUP($B91,Показатели!$E:$W,17,FALSE)=0,"",VLOOKUP($B91,Показатели!$E:$W,17,FALSE)),"")</f>
        <v>-2810000000</v>
      </c>
      <c r="U91" t="str">
        <f>IFERROR(IF(VLOOKUP($B91,Показатели!$E:$W,18,FALSE)=0,"",VLOOKUP($B91,Показатели!$E:$W,18,FALSE)),"")</f>
        <v/>
      </c>
      <c r="V91" t="str">
        <f>IFERROR(IF(VLOOKUP($B91,Показатели!$E:$W,19,FALSE)=0,"",VLOOKUP($B91,Показатели!$E:$W,19,FALSE)),"")</f>
        <v/>
      </c>
    </row>
    <row r="92" spans="1:22" x14ac:dyDescent="0.2">
      <c r="A92" s="7" t="s">
        <v>2186</v>
      </c>
      <c r="B92" t="str">
        <f t="shared" si="1"/>
        <v>SNGS IV кв. 2015</v>
      </c>
      <c r="C92">
        <v>2015</v>
      </c>
      <c r="D92">
        <f>SUMIFS(Дивиденды!$C:$C,Дивиденды!$A:$A,A92,Дивиденды!$I:$I,C92)</f>
        <v>0.6</v>
      </c>
      <c r="E92" t="str">
        <f>IFERROR(IF(VLOOKUP($B92,Показатели!$E:$W,2,FALSE)=0,"",VLOOKUP($B92,Показатели!$E:$W,2,FALSE)),"")</f>
        <v/>
      </c>
      <c r="F92" t="str">
        <f>IFERROR(IF(VLOOKUP($B92,Показатели!$E:$W,3,FALSE)=0,"",VLOOKUP($B92,Показатели!$E:$W,3,FALSE)),"")</f>
        <v/>
      </c>
      <c r="G92" t="str">
        <f>IFERROR(IF(VLOOKUP($B92,Показатели!$E:$W,4,FALSE)=0,"",VLOOKUP($B92,Показатели!$E:$W,4,FALSE)),"")</f>
        <v/>
      </c>
      <c r="H92" t="str">
        <f>IFERROR(IF(VLOOKUP($B92,Показатели!$E:$W,5,FALSE)=0,"",VLOOKUP($B92,Показатели!$E:$W,5,FALSE)),"")</f>
        <v/>
      </c>
      <c r="I92" t="str">
        <f>IFERROR(IF(VLOOKUP($B92,Показатели!$E:$W,6,FALSE)=0,"",VLOOKUP($B92,Показатели!$E:$W,6,FALSE)),"")</f>
        <v/>
      </c>
      <c r="J92" t="str">
        <f>IFERROR(IF(VLOOKUP($B92,Показатели!$E:$W,7,FALSE)=0,"",VLOOKUP($B92,Показатели!$E:$W,7,FALSE)),"")</f>
        <v/>
      </c>
      <c r="K92" t="str">
        <f>IFERROR(IF(VLOOKUP($B92,Показатели!$E:$W,8,FALSE)=0,"",VLOOKUP($B92,Показатели!$E:$W,8,FALSE)),"")</f>
        <v/>
      </c>
      <c r="L92" t="str">
        <f>IFERROR(IF(VLOOKUP($B92,Показатели!$E:$W,9,FALSE)=0,"",VLOOKUP($B92,Показатели!$E:$W,9,FALSE)),"")</f>
        <v/>
      </c>
      <c r="M92" t="str">
        <f>IFERROR(IF(VLOOKUP($B92,Показатели!$E:$W,10,FALSE)=0,"",VLOOKUP($B92,Показатели!$E:$W,10,FALSE)),"")</f>
        <v/>
      </c>
      <c r="N92" t="str">
        <f>IFERROR(IF(VLOOKUP($B92,Показатели!$E:$W,11,FALSE)=0,"",VLOOKUP($B92,Показатели!$E:$W,11,FALSE)),"")</f>
        <v/>
      </c>
      <c r="O92" t="str">
        <f>IFERROR(IF(VLOOKUP($B92,Показатели!$E:$W,12,FALSE)=0,"",VLOOKUP($B92,Показатели!$E:$W,12,FALSE)),"")</f>
        <v/>
      </c>
      <c r="P92" t="str">
        <f>IFERROR(IF(VLOOKUP($B92,Показатели!$E:$W,13,FALSE)=0,"",VLOOKUP($B92,Показатели!$E:$W,13,FALSE)),"")</f>
        <v/>
      </c>
      <c r="Q92" t="str">
        <f>IFERROR(IF(VLOOKUP($B92,Показатели!$E:$W,14,FALSE)=0,"",VLOOKUP($B92,Показатели!$E:$W,14,FALSE)),"")</f>
        <v/>
      </c>
      <c r="R92" t="str">
        <f>IFERROR(IF(VLOOKUP($B92,Показатели!$E:$W,15,FALSE)=0,"",VLOOKUP($B92,Показатели!$E:$W,15,FALSE)),"")</f>
        <v/>
      </c>
      <c r="S92" t="str">
        <f>IFERROR(IF(VLOOKUP($B92,Показатели!$E:$W,16,FALSE)=0,"",VLOOKUP($B92,Показатели!$E:$W,16,FALSE)),"")</f>
        <v/>
      </c>
      <c r="T92" t="str">
        <f>IFERROR(IF(VLOOKUP($B92,Показатели!$E:$W,17,FALSE)=0,"",VLOOKUP($B92,Показатели!$E:$W,17,FALSE)),"")</f>
        <v/>
      </c>
      <c r="U92" t="str">
        <f>IFERROR(IF(VLOOKUP($B92,Показатели!$E:$W,18,FALSE)=0,"",VLOOKUP($B92,Показатели!$E:$W,18,FALSE)),"")</f>
        <v/>
      </c>
      <c r="V92" t="str">
        <f>IFERROR(IF(VLOOKUP($B92,Показатели!$E:$W,19,FALSE)=0,"",VLOOKUP($B92,Показатели!$E:$W,19,FALSE)),"")</f>
        <v/>
      </c>
    </row>
    <row r="93" spans="1:22" x14ac:dyDescent="0.2">
      <c r="A93" s="7" t="s">
        <v>2186</v>
      </c>
      <c r="B93" t="str">
        <f t="shared" si="1"/>
        <v>SNGS IV кв. 2014</v>
      </c>
      <c r="C93">
        <v>2014</v>
      </c>
      <c r="D93">
        <f>SUMIFS(Дивиденды!$C:$C,Дивиденды!$A:$A,A93,Дивиденды!$I:$I,C93)</f>
        <v>0.65</v>
      </c>
      <c r="E93" t="str">
        <f>IFERROR(IF(VLOOKUP($B93,Показатели!$E:$W,2,FALSE)=0,"",VLOOKUP($B93,Показатели!$E:$W,2,FALSE)),"")</f>
        <v/>
      </c>
      <c r="F93" t="str">
        <f>IFERROR(IF(VLOOKUP($B93,Показатели!$E:$W,3,FALSE)=0,"",VLOOKUP($B93,Показатели!$E:$W,3,FALSE)),"")</f>
        <v/>
      </c>
      <c r="G93" t="str">
        <f>IFERROR(IF(VLOOKUP($B93,Показатели!$E:$W,4,FALSE)=0,"",VLOOKUP($B93,Показатели!$E:$W,4,FALSE)),"")</f>
        <v/>
      </c>
      <c r="H93" t="str">
        <f>IFERROR(IF(VLOOKUP($B93,Показатели!$E:$W,5,FALSE)=0,"",VLOOKUP($B93,Показатели!$E:$W,5,FALSE)),"")</f>
        <v/>
      </c>
      <c r="I93" t="str">
        <f>IFERROR(IF(VLOOKUP($B93,Показатели!$E:$W,6,FALSE)=0,"",VLOOKUP($B93,Показатели!$E:$W,6,FALSE)),"")</f>
        <v/>
      </c>
      <c r="J93" t="str">
        <f>IFERROR(IF(VLOOKUP($B93,Показатели!$E:$W,7,FALSE)=0,"",VLOOKUP($B93,Показатели!$E:$W,7,FALSE)),"")</f>
        <v/>
      </c>
      <c r="K93" t="str">
        <f>IFERROR(IF(VLOOKUP($B93,Показатели!$E:$W,8,FALSE)=0,"",VLOOKUP($B93,Показатели!$E:$W,8,FALSE)),"")</f>
        <v/>
      </c>
      <c r="L93" t="str">
        <f>IFERROR(IF(VLOOKUP($B93,Показатели!$E:$W,9,FALSE)=0,"",VLOOKUP($B93,Показатели!$E:$W,9,FALSE)),"")</f>
        <v/>
      </c>
      <c r="M93" t="str">
        <f>IFERROR(IF(VLOOKUP($B93,Показатели!$E:$W,10,FALSE)=0,"",VLOOKUP($B93,Показатели!$E:$W,10,FALSE)),"")</f>
        <v/>
      </c>
      <c r="N93" t="str">
        <f>IFERROR(IF(VLOOKUP($B93,Показатели!$E:$W,11,FALSE)=0,"",VLOOKUP($B93,Показатели!$E:$W,11,FALSE)),"")</f>
        <v/>
      </c>
      <c r="O93" t="str">
        <f>IFERROR(IF(VLOOKUP($B93,Показатели!$E:$W,12,FALSE)=0,"",VLOOKUP($B93,Показатели!$E:$W,12,FALSE)),"")</f>
        <v/>
      </c>
      <c r="P93" t="str">
        <f>IFERROR(IF(VLOOKUP($B93,Показатели!$E:$W,13,FALSE)=0,"",VLOOKUP($B93,Показатели!$E:$W,13,FALSE)),"")</f>
        <v/>
      </c>
      <c r="Q93" t="str">
        <f>IFERROR(IF(VLOOKUP($B93,Показатели!$E:$W,14,FALSE)=0,"",VLOOKUP($B93,Показатели!$E:$W,14,FALSE)),"")</f>
        <v/>
      </c>
      <c r="R93" t="str">
        <f>IFERROR(IF(VLOOKUP($B93,Показатели!$E:$W,15,FALSE)=0,"",VLOOKUP($B93,Показатели!$E:$W,15,FALSE)),"")</f>
        <v/>
      </c>
      <c r="S93" t="str">
        <f>IFERROR(IF(VLOOKUP($B93,Показатели!$E:$W,16,FALSE)=0,"",VLOOKUP($B93,Показатели!$E:$W,16,FALSE)),"")</f>
        <v/>
      </c>
      <c r="T93" t="str">
        <f>IFERROR(IF(VLOOKUP($B93,Показатели!$E:$W,17,FALSE)=0,"",VLOOKUP($B93,Показатели!$E:$W,17,FALSE)),"")</f>
        <v/>
      </c>
      <c r="U93" t="str">
        <f>IFERROR(IF(VLOOKUP($B93,Показатели!$E:$W,18,FALSE)=0,"",VLOOKUP($B93,Показатели!$E:$W,18,FALSE)),"")</f>
        <v/>
      </c>
      <c r="V93" t="str">
        <f>IFERROR(IF(VLOOKUP($B93,Показатели!$E:$W,19,FALSE)=0,"",VLOOKUP($B93,Показатели!$E:$W,19,FALSE)),"")</f>
        <v/>
      </c>
    </row>
    <row r="94" spans="1:22" x14ac:dyDescent="0.2">
      <c r="A94" s="7" t="s">
        <v>2186</v>
      </c>
      <c r="B94" t="str">
        <f t="shared" si="1"/>
        <v>SNGS IV кв. 2013</v>
      </c>
      <c r="C94">
        <v>2013</v>
      </c>
      <c r="D94">
        <f>SUMIFS(Дивиденды!$C:$C,Дивиденды!$A:$A,A94,Дивиденды!$I:$I,C94)</f>
        <v>0.6</v>
      </c>
      <c r="E94" t="str">
        <f>IFERROR(IF(VLOOKUP($B94,Показатели!$E:$W,2,FALSE)=0,"",VLOOKUP($B94,Показатели!$E:$W,2,FALSE)),"")</f>
        <v/>
      </c>
      <c r="F94" t="str">
        <f>IFERROR(IF(VLOOKUP($B94,Показатели!$E:$W,3,FALSE)=0,"",VLOOKUP($B94,Показатели!$E:$W,3,FALSE)),"")</f>
        <v/>
      </c>
      <c r="G94" t="str">
        <f>IFERROR(IF(VLOOKUP($B94,Показатели!$E:$W,4,FALSE)=0,"",VLOOKUP($B94,Показатели!$E:$W,4,FALSE)),"")</f>
        <v/>
      </c>
      <c r="H94" t="str">
        <f>IFERROR(IF(VLOOKUP($B94,Показатели!$E:$W,5,FALSE)=0,"",VLOOKUP($B94,Показатели!$E:$W,5,FALSE)),"")</f>
        <v/>
      </c>
      <c r="I94" t="str">
        <f>IFERROR(IF(VLOOKUP($B94,Показатели!$E:$W,6,FALSE)=0,"",VLOOKUP($B94,Показатели!$E:$W,6,FALSE)),"")</f>
        <v/>
      </c>
      <c r="J94" t="str">
        <f>IFERROR(IF(VLOOKUP($B94,Показатели!$E:$W,7,FALSE)=0,"",VLOOKUP($B94,Показатели!$E:$W,7,FALSE)),"")</f>
        <v/>
      </c>
      <c r="K94" t="str">
        <f>IFERROR(IF(VLOOKUP($B94,Показатели!$E:$W,8,FALSE)=0,"",VLOOKUP($B94,Показатели!$E:$W,8,FALSE)),"")</f>
        <v/>
      </c>
      <c r="L94" t="str">
        <f>IFERROR(IF(VLOOKUP($B94,Показатели!$E:$W,9,FALSE)=0,"",VLOOKUP($B94,Показатели!$E:$W,9,FALSE)),"")</f>
        <v/>
      </c>
      <c r="M94" t="str">
        <f>IFERROR(IF(VLOOKUP($B94,Показатели!$E:$W,10,FALSE)=0,"",VLOOKUP($B94,Показатели!$E:$W,10,FALSE)),"")</f>
        <v/>
      </c>
      <c r="N94" t="str">
        <f>IFERROR(IF(VLOOKUP($B94,Показатели!$E:$W,11,FALSE)=0,"",VLOOKUP($B94,Показатели!$E:$W,11,FALSE)),"")</f>
        <v/>
      </c>
      <c r="O94" t="str">
        <f>IFERROR(IF(VLOOKUP($B94,Показатели!$E:$W,12,FALSE)=0,"",VLOOKUP($B94,Показатели!$E:$W,12,FALSE)),"")</f>
        <v/>
      </c>
      <c r="P94" t="str">
        <f>IFERROR(IF(VLOOKUP($B94,Показатели!$E:$W,13,FALSE)=0,"",VLOOKUP($B94,Показатели!$E:$W,13,FALSE)),"")</f>
        <v/>
      </c>
      <c r="Q94" t="str">
        <f>IFERROR(IF(VLOOKUP($B94,Показатели!$E:$W,14,FALSE)=0,"",VLOOKUP($B94,Показатели!$E:$W,14,FALSE)),"")</f>
        <v/>
      </c>
      <c r="R94" t="str">
        <f>IFERROR(IF(VLOOKUP($B94,Показатели!$E:$W,15,FALSE)=0,"",VLOOKUP($B94,Показатели!$E:$W,15,FALSE)),"")</f>
        <v/>
      </c>
      <c r="S94" t="str">
        <f>IFERROR(IF(VLOOKUP($B94,Показатели!$E:$W,16,FALSE)=0,"",VLOOKUP($B94,Показатели!$E:$W,16,FALSE)),"")</f>
        <v/>
      </c>
      <c r="T94" t="str">
        <f>IFERROR(IF(VLOOKUP($B94,Показатели!$E:$W,17,FALSE)=0,"",VLOOKUP($B94,Показатели!$E:$W,17,FALSE)),"")</f>
        <v/>
      </c>
      <c r="U94" t="str">
        <f>IFERROR(IF(VLOOKUP($B94,Показатели!$E:$W,18,FALSE)=0,"",VLOOKUP($B94,Показатели!$E:$W,18,FALSE)),"")</f>
        <v/>
      </c>
      <c r="V94" t="str">
        <f>IFERROR(IF(VLOOKUP($B94,Показатели!$E:$W,19,FALSE)=0,"",VLOOKUP($B94,Показатели!$E:$W,19,FALSE)),"")</f>
        <v/>
      </c>
    </row>
    <row r="95" spans="1:22" x14ac:dyDescent="0.2">
      <c r="A95" s="7" t="s">
        <v>2186</v>
      </c>
      <c r="B95" t="str">
        <f t="shared" si="1"/>
        <v>SNGS IV кв. 2012</v>
      </c>
      <c r="C95">
        <v>2012</v>
      </c>
      <c r="D95">
        <f>SUMIFS(Дивиденды!$C:$C,Дивиденды!$A:$A,A95,Дивиденды!$I:$I,C95)</f>
        <v>0.5</v>
      </c>
      <c r="E95" t="str">
        <f>IFERROR(IF(VLOOKUP($B95,Показатели!$E:$W,2,FALSE)=0,"",VLOOKUP($B95,Показатели!$E:$W,2,FALSE)),"")</f>
        <v/>
      </c>
      <c r="F95" t="str">
        <f>IFERROR(IF(VLOOKUP($B95,Показатели!$E:$W,3,FALSE)=0,"",VLOOKUP($B95,Показатели!$E:$W,3,FALSE)),"")</f>
        <v/>
      </c>
      <c r="G95" t="str">
        <f>IFERROR(IF(VLOOKUP($B95,Показатели!$E:$W,4,FALSE)=0,"",VLOOKUP($B95,Показатели!$E:$W,4,FALSE)),"")</f>
        <v/>
      </c>
      <c r="H95" t="str">
        <f>IFERROR(IF(VLOOKUP($B95,Показатели!$E:$W,5,FALSE)=0,"",VLOOKUP($B95,Показатели!$E:$W,5,FALSE)),"")</f>
        <v/>
      </c>
      <c r="I95" t="str">
        <f>IFERROR(IF(VLOOKUP($B95,Показатели!$E:$W,6,FALSE)=0,"",VLOOKUP($B95,Показатели!$E:$W,6,FALSE)),"")</f>
        <v/>
      </c>
      <c r="J95" t="str">
        <f>IFERROR(IF(VLOOKUP($B95,Показатели!$E:$W,7,FALSE)=0,"",VLOOKUP($B95,Показатели!$E:$W,7,FALSE)),"")</f>
        <v/>
      </c>
      <c r="K95" t="str">
        <f>IFERROR(IF(VLOOKUP($B95,Показатели!$E:$W,8,FALSE)=0,"",VLOOKUP($B95,Показатели!$E:$W,8,FALSE)),"")</f>
        <v/>
      </c>
      <c r="L95" t="str">
        <f>IFERROR(IF(VLOOKUP($B95,Показатели!$E:$W,9,FALSE)=0,"",VLOOKUP($B95,Показатели!$E:$W,9,FALSE)),"")</f>
        <v/>
      </c>
      <c r="M95" t="str">
        <f>IFERROR(IF(VLOOKUP($B95,Показатели!$E:$W,10,FALSE)=0,"",VLOOKUP($B95,Показатели!$E:$W,10,FALSE)),"")</f>
        <v/>
      </c>
      <c r="N95" t="str">
        <f>IFERROR(IF(VLOOKUP($B95,Показатели!$E:$W,11,FALSE)=0,"",VLOOKUP($B95,Показатели!$E:$W,11,FALSE)),"")</f>
        <v/>
      </c>
      <c r="O95" t="str">
        <f>IFERROR(IF(VLOOKUP($B95,Показатели!$E:$W,12,FALSE)=0,"",VLOOKUP($B95,Показатели!$E:$W,12,FALSE)),"")</f>
        <v/>
      </c>
      <c r="P95" t="str">
        <f>IFERROR(IF(VLOOKUP($B95,Показатели!$E:$W,13,FALSE)=0,"",VLOOKUP($B95,Показатели!$E:$W,13,FALSE)),"")</f>
        <v/>
      </c>
      <c r="Q95" t="str">
        <f>IFERROR(IF(VLOOKUP($B95,Показатели!$E:$W,14,FALSE)=0,"",VLOOKUP($B95,Показатели!$E:$W,14,FALSE)),"")</f>
        <v/>
      </c>
      <c r="R95" t="str">
        <f>IFERROR(IF(VLOOKUP($B95,Показатели!$E:$W,15,FALSE)=0,"",VLOOKUP($B95,Показатели!$E:$W,15,FALSE)),"")</f>
        <v/>
      </c>
      <c r="S95" t="str">
        <f>IFERROR(IF(VLOOKUP($B95,Показатели!$E:$W,16,FALSE)=0,"",VLOOKUP($B95,Показатели!$E:$W,16,FALSE)),"")</f>
        <v/>
      </c>
      <c r="T95" t="str">
        <f>IFERROR(IF(VLOOKUP($B95,Показатели!$E:$W,17,FALSE)=0,"",VLOOKUP($B95,Показатели!$E:$W,17,FALSE)),"")</f>
        <v/>
      </c>
      <c r="U95" t="str">
        <f>IFERROR(IF(VLOOKUP($B95,Показатели!$E:$W,18,FALSE)=0,"",VLOOKUP($B95,Показатели!$E:$W,18,FALSE)),"")</f>
        <v/>
      </c>
      <c r="V95" t="str">
        <f>IFERROR(IF(VLOOKUP($B95,Показатели!$E:$W,19,FALSE)=0,"",VLOOKUP($B95,Показатели!$E:$W,19,FALSE)),"")</f>
        <v/>
      </c>
    </row>
    <row r="96" spans="1:22" x14ac:dyDescent="0.2">
      <c r="A96" s="7" t="s">
        <v>2186</v>
      </c>
      <c r="B96" t="str">
        <f t="shared" si="1"/>
        <v>SNGS IV кв. 2011</v>
      </c>
      <c r="C96">
        <v>2011</v>
      </c>
      <c r="D96">
        <f>SUMIFS(Дивиденды!$C:$C,Дивиденды!$A:$A,A96,Дивиденды!$I:$I,C96)</f>
        <v>0.6</v>
      </c>
      <c r="E96" t="str">
        <f>IFERROR(IF(VLOOKUP($B96,Показатели!$E:$W,2,FALSE)=0,"",VLOOKUP($B96,Показатели!$E:$W,2,FALSE)),"")</f>
        <v/>
      </c>
      <c r="F96" t="str">
        <f>IFERROR(IF(VLOOKUP($B96,Показатели!$E:$W,3,FALSE)=0,"",VLOOKUP($B96,Показатели!$E:$W,3,FALSE)),"")</f>
        <v/>
      </c>
      <c r="G96" t="str">
        <f>IFERROR(IF(VLOOKUP($B96,Показатели!$E:$W,4,FALSE)=0,"",VLOOKUP($B96,Показатели!$E:$W,4,FALSE)),"")</f>
        <v/>
      </c>
      <c r="H96" t="str">
        <f>IFERROR(IF(VLOOKUP($B96,Показатели!$E:$W,5,FALSE)=0,"",VLOOKUP($B96,Показатели!$E:$W,5,FALSE)),"")</f>
        <v/>
      </c>
      <c r="I96" t="str">
        <f>IFERROR(IF(VLOOKUP($B96,Показатели!$E:$W,6,FALSE)=0,"",VLOOKUP($B96,Показатели!$E:$W,6,FALSE)),"")</f>
        <v/>
      </c>
      <c r="J96" t="str">
        <f>IFERROR(IF(VLOOKUP($B96,Показатели!$E:$W,7,FALSE)=0,"",VLOOKUP($B96,Показатели!$E:$W,7,FALSE)),"")</f>
        <v/>
      </c>
      <c r="K96" t="str">
        <f>IFERROR(IF(VLOOKUP($B96,Показатели!$E:$W,8,FALSE)=0,"",VLOOKUP($B96,Показатели!$E:$W,8,FALSE)),"")</f>
        <v/>
      </c>
      <c r="L96" t="str">
        <f>IFERROR(IF(VLOOKUP($B96,Показатели!$E:$W,9,FALSE)=0,"",VLOOKUP($B96,Показатели!$E:$W,9,FALSE)),"")</f>
        <v/>
      </c>
      <c r="M96" t="str">
        <f>IFERROR(IF(VLOOKUP($B96,Показатели!$E:$W,10,FALSE)=0,"",VLOOKUP($B96,Показатели!$E:$W,10,FALSE)),"")</f>
        <v/>
      </c>
      <c r="N96" t="str">
        <f>IFERROR(IF(VLOOKUP($B96,Показатели!$E:$W,11,FALSE)=0,"",VLOOKUP($B96,Показатели!$E:$W,11,FALSE)),"")</f>
        <v/>
      </c>
      <c r="O96" t="str">
        <f>IFERROR(IF(VLOOKUP($B96,Показатели!$E:$W,12,FALSE)=0,"",VLOOKUP($B96,Показатели!$E:$W,12,FALSE)),"")</f>
        <v/>
      </c>
      <c r="P96" t="str">
        <f>IFERROR(IF(VLOOKUP($B96,Показатели!$E:$W,13,FALSE)=0,"",VLOOKUP($B96,Показатели!$E:$W,13,FALSE)),"")</f>
        <v/>
      </c>
      <c r="Q96" t="str">
        <f>IFERROR(IF(VLOOKUP($B96,Показатели!$E:$W,14,FALSE)=0,"",VLOOKUP($B96,Показатели!$E:$W,14,FALSE)),"")</f>
        <v/>
      </c>
      <c r="R96" t="str">
        <f>IFERROR(IF(VLOOKUP($B96,Показатели!$E:$W,15,FALSE)=0,"",VLOOKUP($B96,Показатели!$E:$W,15,FALSE)),"")</f>
        <v/>
      </c>
      <c r="S96" t="str">
        <f>IFERROR(IF(VLOOKUP($B96,Показатели!$E:$W,16,FALSE)=0,"",VLOOKUP($B96,Показатели!$E:$W,16,FALSE)),"")</f>
        <v/>
      </c>
      <c r="T96" t="str">
        <f>IFERROR(IF(VLOOKUP($B96,Показатели!$E:$W,17,FALSE)=0,"",VLOOKUP($B96,Показатели!$E:$W,17,FALSE)),"")</f>
        <v/>
      </c>
      <c r="U96" t="str">
        <f>IFERROR(IF(VLOOKUP($B96,Показатели!$E:$W,18,FALSE)=0,"",VLOOKUP($B96,Показатели!$E:$W,18,FALSE)),"")</f>
        <v/>
      </c>
      <c r="V96" t="str">
        <f>IFERROR(IF(VLOOKUP($B96,Показатели!$E:$W,19,FALSE)=0,"",VLOOKUP($B96,Показатели!$E:$W,19,FALSE)),"")</f>
        <v/>
      </c>
    </row>
    <row r="97" spans="1:22" x14ac:dyDescent="0.2">
      <c r="A97" s="7" t="s">
        <v>2186</v>
      </c>
      <c r="B97" t="str">
        <f t="shared" si="1"/>
        <v>SNGS IV кв. 2010</v>
      </c>
      <c r="C97">
        <v>2010</v>
      </c>
      <c r="D97">
        <f>SUMIFS(Дивиденды!$C:$C,Дивиденды!$A:$A,A97,Дивиденды!$I:$I,C97)</f>
        <v>0.5</v>
      </c>
      <c r="E97" t="str">
        <f>IFERROR(IF(VLOOKUP($B97,Показатели!$E:$W,2,FALSE)=0,"",VLOOKUP($B97,Показатели!$E:$W,2,FALSE)),"")</f>
        <v/>
      </c>
      <c r="F97" t="str">
        <f>IFERROR(IF(VLOOKUP($B97,Показатели!$E:$W,3,FALSE)=0,"",VLOOKUP($B97,Показатели!$E:$W,3,FALSE)),"")</f>
        <v/>
      </c>
      <c r="G97" t="str">
        <f>IFERROR(IF(VLOOKUP($B97,Показатели!$E:$W,4,FALSE)=0,"",VLOOKUP($B97,Показатели!$E:$W,4,FALSE)),"")</f>
        <v/>
      </c>
      <c r="H97" t="str">
        <f>IFERROR(IF(VLOOKUP($B97,Показатели!$E:$W,5,FALSE)=0,"",VLOOKUP($B97,Показатели!$E:$W,5,FALSE)),"")</f>
        <v/>
      </c>
      <c r="I97" t="str">
        <f>IFERROR(IF(VLOOKUP($B97,Показатели!$E:$W,6,FALSE)=0,"",VLOOKUP($B97,Показатели!$E:$W,6,FALSE)),"")</f>
        <v/>
      </c>
      <c r="J97" t="str">
        <f>IFERROR(IF(VLOOKUP($B97,Показатели!$E:$W,7,FALSE)=0,"",VLOOKUP($B97,Показатели!$E:$W,7,FALSE)),"")</f>
        <v/>
      </c>
      <c r="K97" t="str">
        <f>IFERROR(IF(VLOOKUP($B97,Показатели!$E:$W,8,FALSE)=0,"",VLOOKUP($B97,Показатели!$E:$W,8,FALSE)),"")</f>
        <v/>
      </c>
      <c r="L97" t="str">
        <f>IFERROR(IF(VLOOKUP($B97,Показатели!$E:$W,9,FALSE)=0,"",VLOOKUP($B97,Показатели!$E:$W,9,FALSE)),"")</f>
        <v/>
      </c>
      <c r="M97" t="str">
        <f>IFERROR(IF(VLOOKUP($B97,Показатели!$E:$W,10,FALSE)=0,"",VLOOKUP($B97,Показатели!$E:$W,10,FALSE)),"")</f>
        <v/>
      </c>
      <c r="N97" t="str">
        <f>IFERROR(IF(VLOOKUP($B97,Показатели!$E:$W,11,FALSE)=0,"",VLOOKUP($B97,Показатели!$E:$W,11,FALSE)),"")</f>
        <v/>
      </c>
      <c r="O97" t="str">
        <f>IFERROR(IF(VLOOKUP($B97,Показатели!$E:$W,12,FALSE)=0,"",VLOOKUP($B97,Показатели!$E:$W,12,FALSE)),"")</f>
        <v/>
      </c>
      <c r="P97" t="str">
        <f>IFERROR(IF(VLOOKUP($B97,Показатели!$E:$W,13,FALSE)=0,"",VLOOKUP($B97,Показатели!$E:$W,13,FALSE)),"")</f>
        <v/>
      </c>
      <c r="Q97" t="str">
        <f>IFERROR(IF(VLOOKUP($B97,Показатели!$E:$W,14,FALSE)=0,"",VLOOKUP($B97,Показатели!$E:$W,14,FALSE)),"")</f>
        <v/>
      </c>
      <c r="R97" t="str">
        <f>IFERROR(IF(VLOOKUP($B97,Показатели!$E:$W,15,FALSE)=0,"",VLOOKUP($B97,Показатели!$E:$W,15,FALSE)),"")</f>
        <v/>
      </c>
      <c r="S97" t="str">
        <f>IFERROR(IF(VLOOKUP($B97,Показатели!$E:$W,16,FALSE)=0,"",VLOOKUP($B97,Показатели!$E:$W,16,FALSE)),"")</f>
        <v/>
      </c>
      <c r="T97" t="str">
        <f>IFERROR(IF(VLOOKUP($B97,Показатели!$E:$W,17,FALSE)=0,"",VLOOKUP($B97,Показатели!$E:$W,17,FALSE)),"")</f>
        <v/>
      </c>
      <c r="U97" t="str">
        <f>IFERROR(IF(VLOOKUP($B97,Показатели!$E:$W,18,FALSE)=0,"",VLOOKUP($B97,Показатели!$E:$W,18,FALSE)),"")</f>
        <v/>
      </c>
      <c r="V97" t="str">
        <f>IFERROR(IF(VLOOKUP($B97,Показатели!$E:$W,19,FALSE)=0,"",VLOOKUP($B97,Показатели!$E:$W,19,FALSE)),"")</f>
        <v/>
      </c>
    </row>
    <row r="98" spans="1:22" x14ac:dyDescent="0.2">
      <c r="A98" s="7" t="s">
        <v>2188</v>
      </c>
      <c r="B98" t="str">
        <f t="shared" si="1"/>
        <v>TATN IV кв. 2025</v>
      </c>
      <c r="C98">
        <v>2025</v>
      </c>
      <c r="D98">
        <f>SUMIFS(Дивиденды!$C:$C,Дивиденды!$A:$A,A98,Дивиденды!$I:$I,C98)</f>
        <v>22.48</v>
      </c>
      <c r="E98">
        <f>IFERROR(IF(VLOOKUP($B98,Показатели!$E:$W,2,FALSE)=0,"",VLOOKUP($B98,Показатели!$E:$W,2,FALSE)),"")</f>
        <v>66949000000</v>
      </c>
      <c r="F98">
        <f>IFERROR(IF(VLOOKUP($B98,Показатели!$E:$W,3,FALSE)=0,"",VLOOKUP($B98,Показатели!$E:$W,3,FALSE)),"")</f>
        <v>535419000000</v>
      </c>
      <c r="G98">
        <f>IFERROR(IF(VLOOKUP($B98,Показатели!$E:$W,4,FALSE)=0,"",VLOOKUP($B98,Показатели!$E:$W,4,FALSE)),"")</f>
        <v>1283493000000</v>
      </c>
      <c r="H98">
        <f>IFERROR(IF(VLOOKUP($B98,Показатели!$E:$W,5,FALSE)=0,"",VLOOKUP($B98,Показатели!$E:$W,5,FALSE)),"")</f>
        <v>31783000000</v>
      </c>
      <c r="I98">
        <f>IFERROR(IF(VLOOKUP($B98,Показатели!$E:$W,6,FALSE)=0,"",VLOOKUP($B98,Показатели!$E:$W,6,FALSE)),"")</f>
        <v>2133858000000</v>
      </c>
      <c r="J98">
        <f>IFERROR(IF(VLOOKUP($B98,Показатели!$E:$W,7,FALSE)=0,"",VLOOKUP($B98,Показатели!$E:$W,7,FALSE)),"")</f>
        <v>591000000000</v>
      </c>
      <c r="K98">
        <f>IFERROR(IF(VLOOKUP($B98,Показатели!$E:$W,8,FALSE)=0,"",VLOOKUP($B98,Показатели!$E:$W,8,FALSE)),"")</f>
        <v>218180000000</v>
      </c>
      <c r="L98">
        <f>IFERROR(IF(VLOOKUP($B98,Показатели!$E:$W,9,FALSE)=0,"",VLOOKUP($B98,Показатели!$E:$W,9,FALSE)),"")</f>
        <v>1229842000000</v>
      </c>
      <c r="M98">
        <f>IFERROR(IF(VLOOKUP($B98,Показатели!$E:$W,10,FALSE)=0,"",VLOOKUP($B98,Показатели!$E:$W,10,FALSE)),"")</f>
        <v>1324678000000</v>
      </c>
      <c r="N98">
        <f>IFERROR(IF(VLOOKUP($B98,Показатели!$E:$W,11,FALSE)=0,"",VLOOKUP($B98,Показатели!$E:$W,11,FALSE)),"")</f>
        <v>1818134000000</v>
      </c>
      <c r="O98">
        <f>IFERROR(IF(VLOOKUP($B98,Показатели!$E:$W,12,FALSE)=0,"",VLOOKUP($B98,Показатели!$E:$W,12,FALSE)),"")</f>
        <v>254308000000</v>
      </c>
      <c r="P98">
        <f>IFERROR(IF(VLOOKUP($B98,Показатели!$E:$W,13,FALSE)=0,"",VLOOKUP($B98,Показатели!$E:$W,13,FALSE)),"")</f>
        <v>221940000000</v>
      </c>
      <c r="Q98">
        <f>IFERROR(IF(VLOOKUP($B98,Показатели!$E:$W,14,FALSE)=0,"",VLOOKUP($B98,Показатели!$E:$W,14,FALSE)),"")</f>
        <v>152048000000</v>
      </c>
      <c r="R98">
        <f>IFERROR(IF(VLOOKUP($B98,Показатели!$E:$W,15,FALSE)=0,"",VLOOKUP($B98,Показатели!$E:$W,15,FALSE)),"")</f>
        <v>73207000000</v>
      </c>
      <c r="S98" t="str">
        <f>IFERROR(IF(VLOOKUP($B98,Показатели!$E:$W,16,FALSE)=0,"",VLOOKUP($B98,Показатели!$E:$W,16,FALSE)),"")</f>
        <v/>
      </c>
      <c r="T98">
        <f>IFERROR(IF(VLOOKUP($B98,Показатели!$E:$W,17,FALSE)=0,"",VLOOKUP($B98,Показатели!$E:$W,17,FALSE)),"")</f>
        <v>-141455000000</v>
      </c>
      <c r="U98">
        <f>IFERROR(IF(VLOOKUP($B98,Показатели!$E:$W,18,FALSE)=0,"",VLOOKUP($B98,Показатели!$E:$W,18,FALSE)),"")</f>
        <v>2030371000000</v>
      </c>
      <c r="V98">
        <f>IFERROR(IF(VLOOKUP($B98,Показатели!$E:$W,19,FALSE)=0,"",VLOOKUP($B98,Показатели!$E:$W,19,FALSE)),"")</f>
        <v>2204909000000</v>
      </c>
    </row>
    <row r="99" spans="1:22" x14ac:dyDescent="0.2">
      <c r="A99" s="7" t="s">
        <v>2188</v>
      </c>
      <c r="B99" t="str">
        <f t="shared" si="1"/>
        <v>TATN IV кв. 2024</v>
      </c>
      <c r="C99">
        <v>2024</v>
      </c>
      <c r="D99">
        <f>SUMIFS(Дивиденды!$C:$C,Дивиденды!$A:$A,A99,Дивиденды!$I:$I,C99)</f>
        <v>98.7</v>
      </c>
      <c r="E99">
        <f>IFERROR(IF(VLOOKUP($B99,Показатели!$E:$W,2,FALSE)=0,"",VLOOKUP($B99,Показатели!$E:$W,2,FALSE)),"")</f>
        <v>117454000000</v>
      </c>
      <c r="F99">
        <f>IFERROR(IF(VLOOKUP($B99,Показатели!$E:$W,3,FALSE)=0,"",VLOOKUP($B99,Показатели!$E:$W,3,FALSE)),"")</f>
        <v>641922000000</v>
      </c>
      <c r="G99">
        <f>IFERROR(IF(VLOOKUP($B99,Показатели!$E:$W,4,FALSE)=0,"",VLOOKUP($B99,Показатели!$E:$W,4,FALSE)),"")</f>
        <v>1238124000000</v>
      </c>
      <c r="H99">
        <f>IFERROR(IF(VLOOKUP($B99,Показатели!$E:$W,5,FALSE)=0,"",VLOOKUP($B99,Показатели!$E:$W,5,FALSE)),"")</f>
        <v>27366000000</v>
      </c>
      <c r="I99">
        <f>IFERROR(IF(VLOOKUP($B99,Показатели!$E:$W,6,FALSE)=0,"",VLOOKUP($B99,Показатели!$E:$W,6,FALSE)),"")</f>
        <v>2204909000000</v>
      </c>
      <c r="J99">
        <f>IFERROR(IF(VLOOKUP($B99,Показатели!$E:$W,7,FALSE)=0,"",VLOOKUP($B99,Показатели!$E:$W,7,FALSE)),"")</f>
        <v>664840000000</v>
      </c>
      <c r="K99">
        <f>IFERROR(IF(VLOOKUP($B99,Показатели!$E:$W,8,FALSE)=0,"",VLOOKUP($B99,Показатели!$E:$W,8,FALSE)),"")</f>
        <v>209825000000</v>
      </c>
      <c r="L99">
        <f>IFERROR(IF(VLOOKUP($B99,Показатели!$E:$W,9,FALSE)=0,"",VLOOKUP($B99,Показатели!$E:$W,9,FALSE)),"")</f>
        <v>1218834000000</v>
      </c>
      <c r="M99">
        <f>IFERROR(IF(VLOOKUP($B99,Показатели!$E:$W,10,FALSE)=0,"",VLOOKUP($B99,Показатели!$E:$W,10,FALSE)),"")</f>
        <v>1330244000000</v>
      </c>
      <c r="N99">
        <f>IFERROR(IF(VLOOKUP($B99,Показатели!$E:$W,11,FALSE)=0,"",VLOOKUP($B99,Показатели!$E:$W,11,FALSE)),"")</f>
        <v>2030371000000</v>
      </c>
      <c r="O99">
        <f>IFERROR(IF(VLOOKUP($B99,Показатели!$E:$W,12,FALSE)=0,"",VLOOKUP($B99,Показатели!$E:$W,12,FALSE)),"")</f>
        <v>403007000000</v>
      </c>
      <c r="P99">
        <f>IFERROR(IF(VLOOKUP($B99,Показатели!$E:$W,13,FALSE)=0,"",VLOOKUP($B99,Показатели!$E:$W,13,FALSE)),"")</f>
        <v>421148000000</v>
      </c>
      <c r="Q99">
        <f>IFERROR(IF(VLOOKUP($B99,Показатели!$E:$W,14,FALSE)=0,"",VLOOKUP($B99,Показатели!$E:$W,14,FALSE)),"")</f>
        <v>308929000000</v>
      </c>
      <c r="R99">
        <f>IFERROR(IF(VLOOKUP($B99,Показатели!$E:$W,15,FALSE)=0,"",VLOOKUP($B99,Показатели!$E:$W,15,FALSE)),"")</f>
        <v>62238000000</v>
      </c>
      <c r="S99">
        <f>IFERROR(IF(VLOOKUP($B99,Показатели!$E:$W,16,FALSE)=0,"",VLOOKUP($B99,Показатели!$E:$W,16,FALSE)),"")</f>
        <v>478372000000</v>
      </c>
      <c r="T99">
        <f>IFERROR(IF(VLOOKUP($B99,Показатели!$E:$W,17,FALSE)=0,"",VLOOKUP($B99,Показатели!$E:$W,17,FALSE)),"")</f>
        <v>-174692000000</v>
      </c>
      <c r="U99">
        <f>IFERROR(IF(VLOOKUP($B99,Показатели!$E:$W,18,FALSE)=0,"",VLOOKUP($B99,Показатели!$E:$W,18,FALSE)),"")</f>
        <v>1589082000000</v>
      </c>
      <c r="V99">
        <f>IFERROR(IF(VLOOKUP($B99,Показатели!$E:$W,19,FALSE)=0,"",VLOOKUP($B99,Показатели!$E:$W,19,FALSE)),"")</f>
        <v>2045173000000</v>
      </c>
    </row>
    <row r="100" spans="1:22" x14ac:dyDescent="0.2">
      <c r="A100" s="7" t="s">
        <v>2188</v>
      </c>
      <c r="B100" t="str">
        <f t="shared" si="1"/>
        <v>TATN IV кв. 2023</v>
      </c>
      <c r="C100">
        <v>2023</v>
      </c>
      <c r="D100">
        <f>SUMIFS(Дивиденды!$C:$C,Дивиденды!$A:$A,A100,Дивиденды!$I:$I,C100)</f>
        <v>87.88</v>
      </c>
      <c r="E100">
        <f>IFERROR(IF(VLOOKUP($B100,Показатели!$E:$W,2,FALSE)=0,"",VLOOKUP($B100,Показатели!$E:$W,2,FALSE)),"")</f>
        <v>85018000000</v>
      </c>
      <c r="F100">
        <f>IFERROR(IF(VLOOKUP($B100,Показатели!$E:$W,3,FALSE)=0,"",VLOOKUP($B100,Показатели!$E:$W,3,FALSE)),"")</f>
        <v>589623000000</v>
      </c>
      <c r="G100">
        <f>IFERROR(IF(VLOOKUP($B100,Показатели!$E:$W,4,FALSE)=0,"",VLOOKUP($B100,Показатели!$E:$W,4,FALSE)),"")</f>
        <v>1131481000000</v>
      </c>
      <c r="H100" t="str">
        <f>IFERROR(IF(VLOOKUP($B100,Показатели!$E:$W,5,FALSE)=0,"",VLOOKUP($B100,Показатели!$E:$W,5,FALSE)),"")</f>
        <v/>
      </c>
      <c r="I100">
        <f>IFERROR(IF(VLOOKUP($B100,Показатели!$E:$W,6,FALSE)=0,"",VLOOKUP($B100,Показатели!$E:$W,6,FALSE)),"")</f>
        <v>2045173000000</v>
      </c>
      <c r="J100">
        <f>IFERROR(IF(VLOOKUP($B100,Показатели!$E:$W,7,FALSE)=0,"",VLOOKUP($B100,Показатели!$E:$W,7,FALSE)),"")</f>
        <v>671912000000</v>
      </c>
      <c r="K100">
        <f>IFERROR(IF(VLOOKUP($B100,Показатели!$E:$W,8,FALSE)=0,"",VLOOKUP($B100,Показатели!$E:$W,8,FALSE)),"")</f>
        <v>176091000000</v>
      </c>
      <c r="L100">
        <f>IFERROR(IF(VLOOKUP($B100,Показатели!$E:$W,9,FALSE)=0,"",VLOOKUP($B100,Показатели!$E:$W,9,FALSE)),"")</f>
        <v>1094451000000</v>
      </c>
      <c r="M100">
        <f>IFERROR(IF(VLOOKUP($B100,Показатели!$E:$W,10,FALSE)=0,"",VLOOKUP($B100,Показатели!$E:$W,10,FALSE)),"")</f>
        <v>1197170000000</v>
      </c>
      <c r="N100">
        <f>IFERROR(IF(VLOOKUP($B100,Показатели!$E:$W,11,FALSE)=0,"",VLOOKUP($B100,Показатели!$E:$W,11,FALSE)),"")</f>
        <v>1589082000000</v>
      </c>
      <c r="O100">
        <f>IFERROR(IF(VLOOKUP($B100,Показатели!$E:$W,12,FALSE)=0,"",VLOOKUP($B100,Показатели!$E:$W,12,FALSE)),"")</f>
        <v>356643000000</v>
      </c>
      <c r="P100">
        <f>IFERROR(IF(VLOOKUP($B100,Показатели!$E:$W,13,FALSE)=0,"",VLOOKUP($B100,Показатели!$E:$W,13,FALSE)),"")</f>
        <v>365507000000</v>
      </c>
      <c r="Q100">
        <f>IFERROR(IF(VLOOKUP($B100,Показатели!$E:$W,14,FALSE)=0,"",VLOOKUP($B100,Показатели!$E:$W,14,FALSE)),"")</f>
        <v>286263000000</v>
      </c>
      <c r="R100">
        <f>IFERROR(IF(VLOOKUP($B100,Показатели!$E:$W,15,FALSE)=0,"",VLOOKUP($B100,Показатели!$E:$W,15,FALSE)),"")</f>
        <v>60647000000</v>
      </c>
      <c r="S100">
        <f>IFERROR(IF(VLOOKUP($B100,Показатели!$E:$W,16,FALSE)=0,"",VLOOKUP($B100,Показатели!$E:$W,16,FALSE)),"")</f>
        <v>391730000000</v>
      </c>
      <c r="T100">
        <f>IFERROR(IF(VLOOKUP($B100,Показатели!$E:$W,17,FALSE)=0,"",VLOOKUP($B100,Показатели!$E:$W,17,FALSE)),"")</f>
        <v>-223599000000</v>
      </c>
      <c r="U100">
        <f>IFERROR(IF(VLOOKUP($B100,Показатели!$E:$W,18,FALSE)=0,"",VLOOKUP($B100,Показатели!$E:$W,18,FALSE)),"")</f>
        <v>1427147000000</v>
      </c>
      <c r="V100">
        <f>IFERROR(IF(VLOOKUP($B100,Показатели!$E:$W,19,FALSE)=0,"",VLOOKUP($B100,Показатели!$E:$W,19,FALSE)),"")</f>
        <v>1675837000000</v>
      </c>
    </row>
    <row r="101" spans="1:22" x14ac:dyDescent="0.2">
      <c r="A101" s="7" t="s">
        <v>2188</v>
      </c>
      <c r="B101" t="str">
        <f t="shared" si="1"/>
        <v>TATN IV кв. 2022</v>
      </c>
      <c r="C101">
        <v>2022</v>
      </c>
      <c r="D101">
        <f>SUMIFS(Дивиденды!$C:$C,Дивиденды!$A:$A,A101,Дивиденды!$I:$I,C101)</f>
        <v>67.28</v>
      </c>
      <c r="E101">
        <f>IFERROR(IF(VLOOKUP($B101,Показатели!$E:$W,2,FALSE)=0,"",VLOOKUP($B101,Показатели!$E:$W,2,FALSE)),"")</f>
        <v>167864000000</v>
      </c>
      <c r="F101">
        <f>IFERROR(IF(VLOOKUP($B101,Показатели!$E:$W,3,FALSE)=0,"",VLOOKUP($B101,Показатели!$E:$W,3,FALSE)),"")</f>
        <v>456426000000</v>
      </c>
      <c r="G101">
        <f>IFERROR(IF(VLOOKUP($B101,Показатели!$E:$W,4,FALSE)=0,"",VLOOKUP($B101,Показатели!$E:$W,4,FALSE)),"")</f>
        <v>975172000000</v>
      </c>
      <c r="H101" t="str">
        <f>IFERROR(IF(VLOOKUP($B101,Показатели!$E:$W,5,FALSE)=0,"",VLOOKUP($B101,Показатели!$E:$W,5,FALSE)),"")</f>
        <v/>
      </c>
      <c r="I101">
        <f>IFERROR(IF(VLOOKUP($B101,Показатели!$E:$W,6,FALSE)=0,"",VLOOKUP($B101,Показатели!$E:$W,6,FALSE)),"")</f>
        <v>1675837000000</v>
      </c>
      <c r="J101">
        <f>IFERROR(IF(VLOOKUP($B101,Показатели!$E:$W,7,FALSE)=0,"",VLOOKUP($B101,Показатели!$E:$W,7,FALSE)),"")</f>
        <v>415054000000</v>
      </c>
      <c r="K101">
        <f>IFERROR(IF(VLOOKUP($B101,Показатели!$E:$W,8,FALSE)=0,"",VLOOKUP($B101,Показатели!$E:$W,8,FALSE)),"")</f>
        <v>156339000000</v>
      </c>
      <c r="L101">
        <f>IFERROR(IF(VLOOKUP($B101,Показатели!$E:$W,9,FALSE)=0,"",VLOOKUP($B101,Показатели!$E:$W,9,FALSE)),"")</f>
        <v>1010027000000</v>
      </c>
      <c r="M101">
        <f>IFERROR(IF(VLOOKUP($B101,Показатели!$E:$W,10,FALSE)=0,"",VLOOKUP($B101,Показатели!$E:$W,10,FALSE)),"")</f>
        <v>1104444000000</v>
      </c>
      <c r="N101">
        <f>IFERROR(IF(VLOOKUP($B101,Показатели!$E:$W,11,FALSE)=0,"",VLOOKUP($B101,Показатели!$E:$W,11,FALSE)),"")</f>
        <v>1427147000000</v>
      </c>
      <c r="O101">
        <f>IFERROR(IF(VLOOKUP($B101,Показатели!$E:$W,12,FALSE)=0,"",VLOOKUP($B101,Показатели!$E:$W,12,FALSE)),"")</f>
        <v>400390000000</v>
      </c>
      <c r="P101">
        <f>IFERROR(IF(VLOOKUP($B101,Показатели!$E:$W,13,FALSE)=0,"",VLOOKUP($B101,Показатели!$E:$W,13,FALSE)),"")</f>
        <v>379968000000</v>
      </c>
      <c r="Q101">
        <f>IFERROR(IF(VLOOKUP($B101,Показатели!$E:$W,14,FALSE)=0,"",VLOOKUP($B101,Показатели!$E:$W,14,FALSE)),"")</f>
        <v>299238000000</v>
      </c>
      <c r="R101">
        <f>IFERROR(IF(VLOOKUP($B101,Показатели!$E:$W,15,FALSE)=0,"",VLOOKUP($B101,Показатели!$E:$W,15,FALSE)),"")</f>
        <v>48547000000</v>
      </c>
      <c r="S101">
        <f>IFERROR(IF(VLOOKUP($B101,Показатели!$E:$W,16,FALSE)=0,"",VLOOKUP($B101,Показатели!$E:$W,16,FALSE)),"")</f>
        <v>447120000000</v>
      </c>
      <c r="T101">
        <f>IFERROR(IF(VLOOKUP($B101,Показатели!$E:$W,17,FALSE)=0,"",VLOOKUP($B101,Показатели!$E:$W,17,FALSE)),"")</f>
        <v>-160895000000</v>
      </c>
      <c r="U101">
        <f>IFERROR(IF(VLOOKUP($B101,Показатели!$E:$W,18,FALSE)=0,"",VLOOKUP($B101,Показатели!$E:$W,18,FALSE)),"")</f>
        <v>1265380000000</v>
      </c>
      <c r="V101">
        <f>IFERROR(IF(VLOOKUP($B101,Показатели!$E:$W,19,FALSE)=0,"",VLOOKUP($B101,Показатели!$E:$W,19,FALSE)),"")</f>
        <v>1502289000000</v>
      </c>
    </row>
    <row r="102" spans="1:22" x14ac:dyDescent="0.2">
      <c r="A102" s="7" t="s">
        <v>2188</v>
      </c>
      <c r="B102" t="str">
        <f t="shared" si="1"/>
        <v>TATN IV кв. 2021</v>
      </c>
      <c r="C102">
        <v>2021</v>
      </c>
      <c r="D102">
        <f>SUMIFS(Дивиденды!$C:$C,Дивиденды!$A:$A,A102,Дивиденды!$I:$I,C102)</f>
        <v>42.64</v>
      </c>
      <c r="E102">
        <f>IFERROR(IF(VLOOKUP($B102,Показатели!$E:$W,2,FALSE)=0,"",VLOOKUP($B102,Показатели!$E:$W,2,FALSE)),"")</f>
        <v>66487000000</v>
      </c>
      <c r="F102">
        <f>IFERROR(IF(VLOOKUP($B102,Показатели!$E:$W,3,FALSE)=0,"",VLOOKUP($B102,Показатели!$E:$W,3,FALSE)),"")</f>
        <v>412242000000</v>
      </c>
      <c r="G102">
        <f>IFERROR(IF(VLOOKUP($B102,Показатели!$E:$W,4,FALSE)=0,"",VLOOKUP($B102,Показатели!$E:$W,4,FALSE)),"")</f>
        <v>879782000000</v>
      </c>
      <c r="H102" t="str">
        <f>IFERROR(IF(VLOOKUP($B102,Показатели!$E:$W,5,FALSE)=0,"",VLOOKUP($B102,Показатели!$E:$W,5,FALSE)),"")</f>
        <v/>
      </c>
      <c r="I102">
        <f>IFERROR(IF(VLOOKUP($B102,Показатели!$E:$W,6,FALSE)=0,"",VLOOKUP($B102,Показатели!$E:$W,6,FALSE)),"")</f>
        <v>1502289000000</v>
      </c>
      <c r="J102">
        <f>IFERROR(IF(VLOOKUP($B102,Показатели!$E:$W,7,FALSE)=0,"",VLOOKUP($B102,Показатели!$E:$W,7,FALSE)),"")</f>
        <v>422114000000</v>
      </c>
      <c r="K102">
        <f>IFERROR(IF(VLOOKUP($B102,Показатели!$E:$W,8,FALSE)=0,"",VLOOKUP($B102,Показатели!$E:$W,8,FALSE)),"")</f>
        <v>136800000000</v>
      </c>
      <c r="L102">
        <f>IFERROR(IF(VLOOKUP($B102,Показатели!$E:$W,9,FALSE)=0,"",VLOOKUP($B102,Показатели!$E:$W,9,FALSE)),"")</f>
        <v>850198000000</v>
      </c>
      <c r="M102">
        <f>IFERROR(IF(VLOOKUP($B102,Показатели!$E:$W,10,FALSE)=0,"",VLOOKUP($B102,Показатели!$E:$W,10,FALSE)),"")</f>
        <v>943375000000</v>
      </c>
      <c r="N102">
        <f>IFERROR(IF(VLOOKUP($B102,Показатели!$E:$W,11,FALSE)=0,"",VLOOKUP($B102,Показатели!$E:$W,11,FALSE)),"")</f>
        <v>1265380000000</v>
      </c>
      <c r="O102">
        <f>IFERROR(IF(VLOOKUP($B102,Показатели!$E:$W,12,FALSE)=0,"",VLOOKUP($B102,Показатели!$E:$W,12,FALSE)),"")</f>
        <v>256802000000</v>
      </c>
      <c r="P102">
        <f>IFERROR(IF(VLOOKUP($B102,Показатели!$E:$W,13,FALSE)=0,"",VLOOKUP($B102,Показатели!$E:$W,13,FALSE)),"")</f>
        <v>257306000000</v>
      </c>
      <c r="Q102">
        <f>IFERROR(IF(VLOOKUP($B102,Показатели!$E:$W,14,FALSE)=0,"",VLOOKUP($B102,Показатели!$E:$W,14,FALSE)),"")</f>
        <v>198886000000</v>
      </c>
      <c r="R102">
        <f>IFERROR(IF(VLOOKUP($B102,Показатели!$E:$W,15,FALSE)=0,"",VLOOKUP($B102,Показатели!$E:$W,15,FALSE)),"")</f>
        <v>42663000000</v>
      </c>
      <c r="S102">
        <f>IFERROR(IF(VLOOKUP($B102,Показатели!$E:$W,16,FALSE)=0,"",VLOOKUP($B102,Показатели!$E:$W,16,FALSE)),"")</f>
        <v>293179000000</v>
      </c>
      <c r="T102">
        <f>IFERROR(IF(VLOOKUP($B102,Показатели!$E:$W,17,FALSE)=0,"",VLOOKUP($B102,Показатели!$E:$W,17,FALSE)),"")</f>
        <v>-119106000000</v>
      </c>
      <c r="U102">
        <f>IFERROR(IF(VLOOKUP($B102,Показатели!$E:$W,18,FALSE)=0,"",VLOOKUP($B102,Показатели!$E:$W,18,FALSE)),"")</f>
        <v>720677000000</v>
      </c>
      <c r="V102">
        <f>IFERROR(IF(VLOOKUP($B102,Показатели!$E:$W,19,FALSE)=0,"",VLOOKUP($B102,Показатели!$E:$W,19,FALSE)),"")</f>
        <v>1263441000000</v>
      </c>
    </row>
    <row r="103" spans="1:22" x14ac:dyDescent="0.2">
      <c r="A103" s="7" t="s">
        <v>2188</v>
      </c>
      <c r="B103" t="str">
        <f t="shared" si="1"/>
        <v>TATN IV кв. 2020</v>
      </c>
      <c r="C103">
        <v>2020</v>
      </c>
      <c r="D103">
        <f>SUMIFS(Дивиденды!$C:$C,Дивиденды!$A:$A,A103,Дивиденды!$I:$I,C103)</f>
        <v>22.240000000000002</v>
      </c>
      <c r="E103">
        <f>IFERROR(IF(VLOOKUP($B103,Показатели!$E:$W,2,FALSE)=0,"",VLOOKUP($B103,Показатели!$E:$W,2,FALSE)),"")</f>
        <v>40105000000</v>
      </c>
      <c r="F103">
        <f>IFERROR(IF(VLOOKUP($B103,Показатели!$E:$W,3,FALSE)=0,"",VLOOKUP($B103,Показатели!$E:$W,3,FALSE)),"")</f>
        <v>258995000000</v>
      </c>
      <c r="G103">
        <f>IFERROR(IF(VLOOKUP($B103,Показатели!$E:$W,4,FALSE)=0,"",VLOOKUP($B103,Показатели!$E:$W,4,FALSE)),"")</f>
        <v>826569000000</v>
      </c>
      <c r="H103" t="str">
        <f>IFERROR(IF(VLOOKUP($B103,Показатели!$E:$W,5,FALSE)=0,"",VLOOKUP($B103,Показатели!$E:$W,5,FALSE)),"")</f>
        <v/>
      </c>
      <c r="I103">
        <f>IFERROR(IF(VLOOKUP($B103,Показатели!$E:$W,6,FALSE)=0,"",VLOOKUP($B103,Показатели!$E:$W,6,FALSE)),"")</f>
        <v>1263441000000</v>
      </c>
      <c r="J103">
        <f>IFERROR(IF(VLOOKUP($B103,Показатели!$E:$W,7,FALSE)=0,"",VLOOKUP($B103,Показатели!$E:$W,7,FALSE)),"")</f>
        <v>291511000000</v>
      </c>
      <c r="K103">
        <f>IFERROR(IF(VLOOKUP($B103,Показатели!$E:$W,8,FALSE)=0,"",VLOOKUP($B103,Показатели!$E:$W,8,FALSE)),"")</f>
        <v>140340000000</v>
      </c>
      <c r="L103">
        <f>IFERROR(IF(VLOOKUP($B103,Показатели!$E:$W,9,FALSE)=0,"",VLOOKUP($B103,Показатели!$E:$W,9,FALSE)),"")</f>
        <v>739641000000</v>
      </c>
      <c r="M103">
        <f>IFERROR(IF(VLOOKUP($B103,Показатели!$E:$W,10,FALSE)=0,"",VLOOKUP($B103,Показатели!$E:$W,10,FALSE)),"")</f>
        <v>831590000000</v>
      </c>
      <c r="N103">
        <f>IFERROR(IF(VLOOKUP($B103,Показатели!$E:$W,11,FALSE)=0,"",VLOOKUP($B103,Показатели!$E:$W,11,FALSE)),"")</f>
        <v>720677000000</v>
      </c>
      <c r="O103">
        <f>IFERROR(IF(VLOOKUP($B103,Показатели!$E:$W,12,FALSE)=0,"",VLOOKUP($B103,Показатели!$E:$W,12,FALSE)),"")</f>
        <v>138090000000</v>
      </c>
      <c r="P103">
        <f>IFERROR(IF(VLOOKUP($B103,Показатели!$E:$W,13,FALSE)=0,"",VLOOKUP($B103,Показатели!$E:$W,13,FALSE)),"")</f>
        <v>137045000000</v>
      </c>
      <c r="Q103">
        <f>IFERROR(IF(VLOOKUP($B103,Показатели!$E:$W,14,FALSE)=0,"",VLOOKUP($B103,Показатели!$E:$W,14,FALSE)),"")</f>
        <v>102573000000</v>
      </c>
      <c r="R103">
        <f>IFERROR(IF(VLOOKUP($B103,Показатели!$E:$W,15,FALSE)=0,"",VLOOKUP($B103,Показатели!$E:$W,15,FALSE)),"")</f>
        <v>40865000000</v>
      </c>
      <c r="S103">
        <f>IFERROR(IF(VLOOKUP($B103,Показатели!$E:$W,16,FALSE)=0,"",VLOOKUP($B103,Показатели!$E:$W,16,FALSE)),"")</f>
        <v>179871000000</v>
      </c>
      <c r="T103">
        <f>IFERROR(IF(VLOOKUP($B103,Показатели!$E:$W,17,FALSE)=0,"",VLOOKUP($B103,Показатели!$E:$W,17,FALSE)),"")</f>
        <v>-104668000000</v>
      </c>
      <c r="U103">
        <f>IFERROR(IF(VLOOKUP($B103,Показатели!$E:$W,18,FALSE)=0,"",VLOOKUP($B103,Показатели!$E:$W,18,FALSE)),"")</f>
        <v>932296000000</v>
      </c>
      <c r="V103">
        <f>IFERROR(IF(VLOOKUP($B103,Показатели!$E:$W,19,FALSE)=0,"",VLOOKUP($B103,Показатели!$E:$W,19,FALSE)),"")</f>
        <v>1238639000000</v>
      </c>
    </row>
    <row r="104" spans="1:22" x14ac:dyDescent="0.2">
      <c r="A104" s="7" t="s">
        <v>2188</v>
      </c>
      <c r="B104" t="str">
        <f t="shared" si="1"/>
        <v>TATN IV кв. 2019</v>
      </c>
      <c r="C104">
        <v>2019</v>
      </c>
      <c r="D104">
        <f>SUMIFS(Дивиденды!$C:$C,Дивиденды!$A:$A,A104,Дивиденды!$I:$I,C104)</f>
        <v>64.47</v>
      </c>
      <c r="E104">
        <f>IFERROR(IF(VLOOKUP($B104,Показатели!$E:$W,2,FALSE)=0,"",VLOOKUP($B104,Показатели!$E:$W,2,FALSE)),"")</f>
        <v>25157000000</v>
      </c>
      <c r="F104">
        <f>IFERROR(IF(VLOOKUP($B104,Показатели!$E:$W,3,FALSE)=0,"",VLOOKUP($B104,Показатели!$E:$W,3,FALSE)),"")</f>
        <v>253127000000</v>
      </c>
      <c r="G104">
        <f>IFERROR(IF(VLOOKUP($B104,Показатели!$E:$W,4,FALSE)=0,"",VLOOKUP($B104,Показатели!$E:$W,4,FALSE)),"")</f>
        <v>768735000000</v>
      </c>
      <c r="H104" t="str">
        <f>IFERROR(IF(VLOOKUP($B104,Показатели!$E:$W,5,FALSE)=0,"",VLOOKUP($B104,Показатели!$E:$W,5,FALSE)),"")</f>
        <v/>
      </c>
      <c r="I104">
        <f>IFERROR(IF(VLOOKUP($B104,Показатели!$E:$W,6,FALSE)=0,"",VLOOKUP($B104,Показатели!$E:$W,6,FALSE)),"")</f>
        <v>1238639000000</v>
      </c>
      <c r="J104">
        <f>IFERROR(IF(VLOOKUP($B104,Показатели!$E:$W,7,FALSE)=0,"",VLOOKUP($B104,Показатели!$E:$W,7,FALSE)),"")</f>
        <v>358093000000</v>
      </c>
      <c r="K104">
        <f>IFERROR(IF(VLOOKUP($B104,Показатели!$E:$W,8,FALSE)=0,"",VLOOKUP($B104,Показатели!$E:$W,8,FALSE)),"")</f>
        <v>128416000000</v>
      </c>
      <c r="L104">
        <f>IFERROR(IF(VLOOKUP($B104,Показатели!$E:$W,9,FALSE)=0,"",VLOOKUP($B104,Показатели!$E:$W,9,FALSE)),"")</f>
        <v>658614000000</v>
      </c>
      <c r="M104">
        <f>IFERROR(IF(VLOOKUP($B104,Показатели!$E:$W,10,FALSE)=0,"",VLOOKUP($B104,Показатели!$E:$W,10,FALSE)),"")</f>
        <v>752130000000</v>
      </c>
      <c r="N104">
        <f>IFERROR(IF(VLOOKUP($B104,Показатели!$E:$W,11,FALSE)=0,"",VLOOKUP($B104,Показатели!$E:$W,11,FALSE)),"")</f>
        <v>932296000000</v>
      </c>
      <c r="O104">
        <f>IFERROR(IF(VLOOKUP($B104,Показатели!$E:$W,12,FALSE)=0,"",VLOOKUP($B104,Показатели!$E:$W,12,FALSE)),"")</f>
        <v>254326000000</v>
      </c>
      <c r="P104">
        <f>IFERROR(IF(VLOOKUP($B104,Показатели!$E:$W,13,FALSE)=0,"",VLOOKUP($B104,Показатели!$E:$W,13,FALSE)),"")</f>
        <v>252342000000</v>
      </c>
      <c r="Q104">
        <f>IFERROR(IF(VLOOKUP($B104,Показатели!$E:$W,14,FALSE)=0,"",VLOOKUP($B104,Показатели!$E:$W,14,FALSE)),"")</f>
        <v>192818000000</v>
      </c>
      <c r="R104">
        <f>IFERROR(IF(VLOOKUP($B104,Показатели!$E:$W,15,FALSE)=0,"",VLOOKUP($B104,Показатели!$E:$W,15,FALSE)),"")</f>
        <v>35165000000</v>
      </c>
      <c r="S104">
        <f>IFERROR(IF(VLOOKUP($B104,Показатели!$E:$W,16,FALSE)=0,"",VLOOKUP($B104,Показатели!$E:$W,16,FALSE)),"")</f>
        <v>290800000000</v>
      </c>
      <c r="T104">
        <f>IFERROR(IF(VLOOKUP($B104,Показатели!$E:$W,17,FALSE)=0,"",VLOOKUP($B104,Показатели!$E:$W,17,FALSE)),"")</f>
        <v>-95994000000</v>
      </c>
      <c r="U104">
        <f>IFERROR(IF(VLOOKUP($B104,Показатели!$E:$W,18,FALSE)=0,"",VLOOKUP($B104,Показатели!$E:$W,18,FALSE)),"")</f>
        <v>910534000000</v>
      </c>
      <c r="V104">
        <f>IFERROR(IF(VLOOKUP($B104,Показатели!$E:$W,19,FALSE)=0,"",VLOOKUP($B104,Показатели!$E:$W,19,FALSE)),"")</f>
        <v>1201288000000</v>
      </c>
    </row>
    <row r="105" spans="1:22" x14ac:dyDescent="0.2">
      <c r="A105" s="7" t="s">
        <v>2188</v>
      </c>
      <c r="B105" t="str">
        <f t="shared" si="1"/>
        <v>TATN IV кв. 2018</v>
      </c>
      <c r="C105">
        <v>2018</v>
      </c>
      <c r="D105">
        <f>SUMIFS(Дивиденды!$C:$C,Дивиденды!$A:$A,A105,Дивиденды!$I:$I,C105)</f>
        <v>84.91</v>
      </c>
      <c r="E105">
        <f>IFERROR(IF(VLOOKUP($B105,Показатели!$E:$W,2,FALSE)=0,"",VLOOKUP($B105,Показатели!$E:$W,2,FALSE)),"")</f>
        <v>67364000000</v>
      </c>
      <c r="F105">
        <f>IFERROR(IF(VLOOKUP($B105,Показатели!$E:$W,3,FALSE)=0,"",VLOOKUP($B105,Показатели!$E:$W,3,FALSE)),"")</f>
        <v>311732000000</v>
      </c>
      <c r="G105">
        <f>IFERROR(IF(VLOOKUP($B105,Показатели!$E:$W,4,FALSE)=0,"",VLOOKUP($B105,Показатели!$E:$W,4,FALSE)),"")</f>
        <v>701922000000</v>
      </c>
      <c r="H105" t="str">
        <f>IFERROR(IF(VLOOKUP($B105,Показатели!$E:$W,5,FALSE)=0,"",VLOOKUP($B105,Показатели!$E:$W,5,FALSE)),"")</f>
        <v/>
      </c>
      <c r="I105">
        <f>IFERROR(IF(VLOOKUP($B105,Показатели!$E:$W,6,FALSE)=0,"",VLOOKUP($B105,Показатели!$E:$W,6,FALSE)),"")</f>
        <v>1201288000000</v>
      </c>
      <c r="J105">
        <f>IFERROR(IF(VLOOKUP($B105,Показатели!$E:$W,7,FALSE)=0,"",VLOOKUP($B105,Показатели!$E:$W,7,FALSE)),"")</f>
        <v>346820000000</v>
      </c>
      <c r="K105">
        <f>IFERROR(IF(VLOOKUP($B105,Показатели!$E:$W,8,FALSE)=0,"",VLOOKUP($B105,Показатели!$E:$W,8,FALSE)),"")</f>
        <v>77687000000</v>
      </c>
      <c r="L105">
        <f>IFERROR(IF(VLOOKUP($B105,Показатели!$E:$W,9,FALSE)=0,"",VLOOKUP($B105,Показатели!$E:$W,9,FALSE)),"")</f>
        <v>683508000000</v>
      </c>
      <c r="M105">
        <f>IFERROR(IF(VLOOKUP($B105,Показатели!$E:$W,10,FALSE)=0,"",VLOOKUP($B105,Показатели!$E:$W,10,FALSE)),"")</f>
        <v>776781000000</v>
      </c>
      <c r="N105">
        <f>IFERROR(IF(VLOOKUP($B105,Показатели!$E:$W,11,FALSE)=0,"",VLOOKUP($B105,Показатели!$E:$W,11,FALSE)),"")</f>
        <v>910534000000</v>
      </c>
      <c r="O105">
        <f>IFERROR(IF(VLOOKUP($B105,Показатели!$E:$W,12,FALSE)=0,"",VLOOKUP($B105,Показатели!$E:$W,12,FALSE)),"")</f>
        <v>263421000000</v>
      </c>
      <c r="P105">
        <f>IFERROR(IF(VLOOKUP($B105,Показатели!$E:$W,13,FALSE)=0,"",VLOOKUP($B105,Показатели!$E:$W,13,FALSE)),"")</f>
        <v>273789000000</v>
      </c>
      <c r="Q105">
        <f>IFERROR(IF(VLOOKUP($B105,Показатели!$E:$W,14,FALSE)=0,"",VLOOKUP($B105,Показатели!$E:$W,14,FALSE)),"")</f>
        <v>211548000000</v>
      </c>
      <c r="R105">
        <f>IFERROR(IF(VLOOKUP($B105,Показатели!$E:$W,15,FALSE)=0,"",VLOOKUP($B105,Показатели!$E:$W,15,FALSE)),"")</f>
        <v>30520000000</v>
      </c>
      <c r="S105">
        <f>IFERROR(IF(VLOOKUP($B105,Показатели!$E:$W,16,FALSE)=0,"",VLOOKUP($B105,Показатели!$E:$W,16,FALSE)),"")</f>
        <v>294010000000</v>
      </c>
      <c r="T105">
        <f>IFERROR(IF(VLOOKUP($B105,Показатели!$E:$W,17,FALSE)=0,"",VLOOKUP($B105,Показатели!$E:$W,17,FALSE)),"")</f>
        <v>-97945000000</v>
      </c>
      <c r="U105">
        <f>IFERROR(IF(VLOOKUP($B105,Показатели!$E:$W,18,FALSE)=0,"",VLOOKUP($B105,Показатели!$E:$W,18,FALSE)),"")</f>
        <v>681159000000</v>
      </c>
      <c r="V105">
        <f>IFERROR(IF(VLOOKUP($B105,Показатели!$E:$W,19,FALSE)=0,"",VLOOKUP($B105,Показатели!$E:$W,19,FALSE)),"")</f>
        <v>1107454000000</v>
      </c>
    </row>
    <row r="106" spans="1:22" x14ac:dyDescent="0.2">
      <c r="A106" s="7" t="s">
        <v>2188</v>
      </c>
      <c r="B106" t="str">
        <f t="shared" si="1"/>
        <v>TATN IV кв. 2017</v>
      </c>
      <c r="C106">
        <v>2017</v>
      </c>
      <c r="D106">
        <f>SUMIFS(Дивиденды!$C:$C,Дивиденды!$A:$A,A106,Дивиденды!$I:$I,C106)</f>
        <v>39.94</v>
      </c>
      <c r="E106">
        <f>IFERROR(IF(VLOOKUP($B106,Показатели!$E:$W,2,FALSE)=0,"",VLOOKUP($B106,Показатели!$E:$W,2,FALSE)),"")</f>
        <v>42797000000</v>
      </c>
      <c r="F106">
        <f>IFERROR(IF(VLOOKUP($B106,Показатели!$E:$W,3,FALSE)=0,"",VLOOKUP($B106,Показатели!$E:$W,3,FALSE)),"")</f>
        <v>285381000000</v>
      </c>
      <c r="G106">
        <f>IFERROR(IF(VLOOKUP($B106,Показатели!$E:$W,4,FALSE)=0,"",VLOOKUP($B106,Показатели!$E:$W,4,FALSE)),"")</f>
        <v>651460000000</v>
      </c>
      <c r="H106" t="str">
        <f>IFERROR(IF(VLOOKUP($B106,Показатели!$E:$W,5,FALSE)=0,"",VLOOKUP($B106,Показатели!$E:$W,5,FALSE)),"")</f>
        <v/>
      </c>
      <c r="I106">
        <f>IFERROR(IF(VLOOKUP($B106,Показатели!$E:$W,6,FALSE)=0,"",VLOOKUP($B106,Показатели!$E:$W,6,FALSE)),"")</f>
        <v>1107454000000</v>
      </c>
      <c r="J106">
        <f>IFERROR(IF(VLOOKUP($B106,Показатели!$E:$W,7,FALSE)=0,"",VLOOKUP($B106,Показатели!$E:$W,7,FALSE)),"")</f>
        <v>306296000000</v>
      </c>
      <c r="K106">
        <f>IFERROR(IF(VLOOKUP($B106,Показатели!$E:$W,8,FALSE)=0,"",VLOOKUP($B106,Показатели!$E:$W,8,FALSE)),"")</f>
        <v>82429000000</v>
      </c>
      <c r="L106">
        <f>IFERROR(IF(VLOOKUP($B106,Показатели!$E:$W,9,FALSE)=0,"",VLOOKUP($B106,Показатели!$E:$W,9,FALSE)),"")</f>
        <v>624254000000</v>
      </c>
      <c r="M106">
        <f>IFERROR(IF(VLOOKUP($B106,Показатели!$E:$W,10,FALSE)=0,"",VLOOKUP($B106,Показатели!$E:$W,10,FALSE)),"")</f>
        <v>718729000000</v>
      </c>
      <c r="N106">
        <f>IFERROR(IF(VLOOKUP($B106,Показатели!$E:$W,11,FALSE)=0,"",VLOOKUP($B106,Показатели!$E:$W,11,FALSE)),"")</f>
        <v>681159000000</v>
      </c>
      <c r="O106">
        <f>IFERROR(IF(VLOOKUP($B106,Показатели!$E:$W,12,FALSE)=0,"",VLOOKUP($B106,Показатели!$E:$W,12,FALSE)),"")</f>
        <v>162575000000</v>
      </c>
      <c r="P106">
        <f>IFERROR(IF(VLOOKUP($B106,Показатели!$E:$W,13,FALSE)=0,"",VLOOKUP($B106,Показатели!$E:$W,13,FALSE)),"")</f>
        <v>163538000000</v>
      </c>
      <c r="Q106">
        <f>IFERROR(IF(VLOOKUP($B106,Показатели!$E:$W,14,FALSE)=0,"",VLOOKUP($B106,Показатели!$E:$W,14,FALSE)),"")</f>
        <v>123892000000</v>
      </c>
      <c r="R106">
        <f>IFERROR(IF(VLOOKUP($B106,Показатели!$E:$W,15,FALSE)=0,"",VLOOKUP($B106,Показатели!$E:$W,15,FALSE)),"")</f>
        <v>24885000000</v>
      </c>
      <c r="S106">
        <f>IFERROR(IF(VLOOKUP($B106,Показатели!$E:$W,16,FALSE)=0,"",VLOOKUP($B106,Показатели!$E:$W,16,FALSE)),"")</f>
        <v>185309000000</v>
      </c>
      <c r="T106">
        <f>IFERROR(IF(VLOOKUP($B106,Показатели!$E:$W,17,FALSE)=0,"",VLOOKUP($B106,Показатели!$E:$W,17,FALSE)),"")</f>
        <v>-84986000000</v>
      </c>
      <c r="U106">
        <f>IFERROR(IF(VLOOKUP($B106,Показатели!$E:$W,18,FALSE)=0,"",VLOOKUP($B106,Показатели!$E:$W,18,FALSE)),"")</f>
        <v>580127000000</v>
      </c>
      <c r="V106">
        <f>IFERROR(IF(VLOOKUP($B106,Показатели!$E:$W,19,FALSE)=0,"",VLOOKUP($B106,Показатели!$E:$W,19,FALSE)),"")</f>
        <v>1094597000000</v>
      </c>
    </row>
    <row r="107" spans="1:22" x14ac:dyDescent="0.2">
      <c r="A107" s="7" t="s">
        <v>2188</v>
      </c>
      <c r="B107" t="str">
        <f t="shared" si="1"/>
        <v>TATN IV кв. 2016</v>
      </c>
      <c r="C107">
        <v>2016</v>
      </c>
      <c r="D107">
        <f>SUMIFS(Дивиденды!$C:$C,Дивиденды!$A:$A,A107,Дивиденды!$I:$I,C107)</f>
        <v>22.81</v>
      </c>
      <c r="E107">
        <f>IFERROR(IF(VLOOKUP($B107,Показатели!$E:$W,2,FALSE)=0,"",VLOOKUP($B107,Показатели!$E:$W,2,FALSE)),"")</f>
        <v>77106000000</v>
      </c>
      <c r="F107">
        <f>IFERROR(IF(VLOOKUP($B107,Показатели!$E:$W,3,FALSE)=0,"",VLOOKUP($B107,Показатели!$E:$W,3,FALSE)),"")</f>
        <v>332496000000</v>
      </c>
      <c r="G107">
        <f>IFERROR(IF(VLOOKUP($B107,Показатели!$E:$W,4,FALSE)=0,"",VLOOKUP($B107,Показатели!$E:$W,4,FALSE)),"")</f>
        <v>583614000000</v>
      </c>
      <c r="H107" t="str">
        <f>IFERROR(IF(VLOOKUP($B107,Показатели!$E:$W,5,FALSE)=0,"",VLOOKUP($B107,Показатели!$E:$W,5,FALSE)),"")</f>
        <v/>
      </c>
      <c r="I107">
        <f>IFERROR(IF(VLOOKUP($B107,Показатели!$E:$W,6,FALSE)=0,"",VLOOKUP($B107,Показатели!$E:$W,6,FALSE)),"")</f>
        <v>1094597000000</v>
      </c>
      <c r="J107">
        <f>IFERROR(IF(VLOOKUP($B107,Показатели!$E:$W,7,FALSE)=0,"",VLOOKUP($B107,Показатели!$E:$W,7,FALSE)),"")</f>
        <v>286363000000</v>
      </c>
      <c r="K107">
        <f>IFERROR(IF(VLOOKUP($B107,Показатели!$E:$W,8,FALSE)=0,"",VLOOKUP($B107,Показатели!$E:$W,8,FALSE)),"")</f>
        <v>99330000000</v>
      </c>
      <c r="L107">
        <f>IFERROR(IF(VLOOKUP($B107,Показатели!$E:$W,9,FALSE)=0,"",VLOOKUP($B107,Показатели!$E:$W,9,FALSE)),"")</f>
        <v>615477000000</v>
      </c>
      <c r="M107">
        <f>IFERROR(IF(VLOOKUP($B107,Показатели!$E:$W,10,FALSE)=0,"",VLOOKUP($B107,Показатели!$E:$W,10,FALSE)),"")</f>
        <v>708904000000</v>
      </c>
      <c r="N107">
        <f>IFERROR(IF(VLOOKUP($B107,Показатели!$E:$W,11,FALSE)=0,"",VLOOKUP($B107,Показатели!$E:$W,11,FALSE)),"")</f>
        <v>580127000000</v>
      </c>
      <c r="O107">
        <f>IFERROR(IF(VLOOKUP($B107,Показатели!$E:$W,12,FALSE)=0,"",VLOOKUP($B107,Показатели!$E:$W,12,FALSE)),"")</f>
        <v>144084000000</v>
      </c>
      <c r="P107">
        <f>IFERROR(IF(VLOOKUP($B107,Показатели!$E:$W,13,FALSE)=0,"",VLOOKUP($B107,Показатели!$E:$W,13,FALSE)),"")</f>
        <v>140971000000</v>
      </c>
      <c r="Q107">
        <f>IFERROR(IF(VLOOKUP($B107,Показатели!$E:$W,14,FALSE)=0,"",VLOOKUP($B107,Показатели!$E:$W,14,FALSE)),"")</f>
        <v>106130000000</v>
      </c>
      <c r="R107" t="str">
        <f>IFERROR(IF(VLOOKUP($B107,Показатели!$E:$W,15,FALSE)=0,"",VLOOKUP($B107,Показатели!$E:$W,15,FALSE)),"")</f>
        <v/>
      </c>
      <c r="S107">
        <f>IFERROR(IF(VLOOKUP($B107,Показатели!$E:$W,16,FALSE)=0,"",VLOOKUP($B107,Показатели!$E:$W,16,FALSE)),"")</f>
        <v>165647000000</v>
      </c>
      <c r="T107">
        <f>IFERROR(IF(VLOOKUP($B107,Показатели!$E:$W,17,FALSE)=0,"",VLOOKUP($B107,Показатели!$E:$W,17,FALSE)),"")</f>
        <v>-95669000000</v>
      </c>
      <c r="U107">
        <f>IFERROR(IF(VLOOKUP($B107,Показатели!$E:$W,18,FALSE)=0,"",VLOOKUP($B107,Показатели!$E:$W,18,FALSE)),"")</f>
        <v>552712000000</v>
      </c>
      <c r="V107">
        <f>IFERROR(IF(VLOOKUP($B107,Показатели!$E:$W,19,FALSE)=0,"",VLOOKUP($B107,Показатели!$E:$W,19,FALSE)),"")</f>
        <v>798691000000</v>
      </c>
    </row>
    <row r="108" spans="1:22" x14ac:dyDescent="0.2">
      <c r="A108" s="7" t="s">
        <v>2188</v>
      </c>
      <c r="B108" t="str">
        <f t="shared" si="1"/>
        <v>TATN IV кв. 2015</v>
      </c>
      <c r="C108">
        <v>2015</v>
      </c>
      <c r="D108">
        <f>SUMIFS(Дивиденды!$C:$C,Дивиденды!$A:$A,A108,Дивиденды!$I:$I,C108)</f>
        <v>10.96</v>
      </c>
      <c r="E108">
        <f>IFERROR(IF(VLOOKUP($B108,Показатели!$E:$W,2,FALSE)=0,"",VLOOKUP($B108,Показатели!$E:$W,2,FALSE)),"")</f>
        <v>24918000000</v>
      </c>
      <c r="F108">
        <f>IFERROR(IF(VLOOKUP($B108,Показатели!$E:$W,3,FALSE)=0,"",VLOOKUP($B108,Показатели!$E:$W,3,FALSE)),"")</f>
        <v>179229000000</v>
      </c>
      <c r="G108">
        <f>IFERROR(IF(VLOOKUP($B108,Показатели!$E:$W,4,FALSE)=0,"",VLOOKUP($B108,Показатели!$E:$W,4,FALSE)),"")</f>
        <v>557778000000</v>
      </c>
      <c r="H108" t="str">
        <f>IFERROR(IF(VLOOKUP($B108,Показатели!$E:$W,5,FALSE)=0,"",VLOOKUP($B108,Показатели!$E:$W,5,FALSE)),"")</f>
        <v/>
      </c>
      <c r="I108">
        <f>IFERROR(IF(VLOOKUP($B108,Показатели!$E:$W,6,FALSE)=0,"",VLOOKUP($B108,Показатели!$E:$W,6,FALSE)),"")</f>
        <v>798691000000</v>
      </c>
      <c r="J108">
        <f>IFERROR(IF(VLOOKUP($B108,Показатели!$E:$W,7,FALSE)=0,"",VLOOKUP($B108,Показатели!$E:$W,7,FALSE)),"")</f>
        <v>68911000000</v>
      </c>
      <c r="K108">
        <f>IFERROR(IF(VLOOKUP($B108,Показатели!$E:$W,8,FALSE)=0,"",VLOOKUP($B108,Показатели!$E:$W,8,FALSE)),"")</f>
        <v>72122000000</v>
      </c>
      <c r="L108">
        <f>IFERROR(IF(VLOOKUP($B108,Показатели!$E:$W,9,FALSE)=0,"",VLOOKUP($B108,Показатели!$E:$W,9,FALSE)),"")</f>
        <v>532821000000</v>
      </c>
      <c r="M108">
        <f>IFERROR(IF(VLOOKUP($B108,Показатели!$E:$W,10,FALSE)=0,"",VLOOKUP($B108,Показатели!$E:$W,10,FALSE)),"")</f>
        <v>657658000000</v>
      </c>
      <c r="N108">
        <f>IFERROR(IF(VLOOKUP($B108,Показатели!$E:$W,11,FALSE)=0,"",VLOOKUP($B108,Показатели!$E:$W,11,FALSE)),"")</f>
        <v>552712000000</v>
      </c>
      <c r="O108" t="str">
        <f>IFERROR(IF(VLOOKUP($B108,Показатели!$E:$W,12,FALSE)=0,"",VLOOKUP($B108,Показатели!$E:$W,12,FALSE)),"")</f>
        <v/>
      </c>
      <c r="P108">
        <f>IFERROR(IF(VLOOKUP($B108,Показатели!$E:$W,13,FALSE)=0,"",VLOOKUP($B108,Показатели!$E:$W,13,FALSE)),"")</f>
        <v>137628000000</v>
      </c>
      <c r="Q108">
        <f>IFERROR(IF(VLOOKUP($B108,Показатели!$E:$W,14,FALSE)=0,"",VLOOKUP($B108,Показатели!$E:$W,14,FALSE)),"")</f>
        <v>105772000000</v>
      </c>
      <c r="R108" t="str">
        <f>IFERROR(IF(VLOOKUP($B108,Показатели!$E:$W,15,FALSE)=0,"",VLOOKUP($B108,Показатели!$E:$W,15,FALSE)),"")</f>
        <v/>
      </c>
      <c r="S108">
        <f>IFERROR(IF(VLOOKUP($B108,Показатели!$E:$W,16,FALSE)=0,"",VLOOKUP($B108,Показатели!$E:$W,16,FALSE)),"")</f>
        <v>155553000000</v>
      </c>
      <c r="T108">
        <f>IFERROR(IF(VLOOKUP($B108,Показатели!$E:$W,17,FALSE)=0,"",VLOOKUP($B108,Показатели!$E:$W,17,FALSE)),"")</f>
        <v>-92872000000</v>
      </c>
      <c r="U108">
        <f>IFERROR(IF(VLOOKUP($B108,Показатели!$E:$W,18,FALSE)=0,"",VLOOKUP($B108,Показатели!$E:$W,18,FALSE)),"")</f>
        <v>476360000000</v>
      </c>
      <c r="V108">
        <f>IFERROR(IF(VLOOKUP($B108,Показатели!$E:$W,19,FALSE)=0,"",VLOOKUP($B108,Показатели!$E:$W,19,FALSE)),"")</f>
        <v>732934000000</v>
      </c>
    </row>
    <row r="109" spans="1:22" x14ac:dyDescent="0.2">
      <c r="A109" s="7" t="s">
        <v>2188</v>
      </c>
      <c r="B109" t="str">
        <f t="shared" si="1"/>
        <v>TATN IV кв. 2014</v>
      </c>
      <c r="C109">
        <v>2014</v>
      </c>
      <c r="D109">
        <f>SUMIFS(Дивиденды!$C:$C,Дивиденды!$A:$A,A109,Дивиденды!$I:$I,C109)</f>
        <v>10.58</v>
      </c>
      <c r="E109">
        <f>IFERROR(IF(VLOOKUP($B109,Показатели!$E:$W,2,FALSE)=0,"",VLOOKUP($B109,Показатели!$E:$W,2,FALSE)),"")</f>
        <v>41548000000</v>
      </c>
      <c r="F109">
        <f>IFERROR(IF(VLOOKUP($B109,Показатели!$E:$W,3,FALSE)=0,"",VLOOKUP($B109,Показатели!$E:$W,3,FALSE)),"")</f>
        <v>180602000000</v>
      </c>
      <c r="G109">
        <f>IFERROR(IF(VLOOKUP($B109,Показатели!$E:$W,4,FALSE)=0,"",VLOOKUP($B109,Показатели!$E:$W,4,FALSE)),"")</f>
        <v>507586000000</v>
      </c>
      <c r="H109" t="str">
        <f>IFERROR(IF(VLOOKUP($B109,Показатели!$E:$W,5,FALSE)=0,"",VLOOKUP($B109,Показатели!$E:$W,5,FALSE)),"")</f>
        <v/>
      </c>
      <c r="I109">
        <f>IFERROR(IF(VLOOKUP($B109,Показатели!$E:$W,6,FALSE)=0,"",VLOOKUP($B109,Показатели!$E:$W,6,FALSE)),"")</f>
        <v>732934000000</v>
      </c>
      <c r="J109">
        <f>IFERROR(IF(VLOOKUP($B109,Показатели!$E:$W,7,FALSE)=0,"",VLOOKUP($B109,Показатели!$E:$W,7,FALSE)),"")</f>
        <v>68464000000</v>
      </c>
      <c r="K109">
        <f>IFERROR(IF(VLOOKUP($B109,Показатели!$E:$W,8,FALSE)=0,"",VLOOKUP($B109,Показатели!$E:$W,8,FALSE)),"")</f>
        <v>82226000000</v>
      </c>
      <c r="L109">
        <f>IFERROR(IF(VLOOKUP($B109,Показатели!$E:$W,9,FALSE)=0,"",VLOOKUP($B109,Показатели!$E:$W,9,FALSE)),"")</f>
        <v>457915000000</v>
      </c>
      <c r="M109">
        <f>IFERROR(IF(VLOOKUP($B109,Показатели!$E:$W,10,FALSE)=0,"",VLOOKUP($B109,Показатели!$E:$W,10,FALSE)),"")</f>
        <v>582244000000</v>
      </c>
      <c r="N109">
        <f>IFERROR(IF(VLOOKUP($B109,Показатели!$E:$W,11,FALSE)=0,"",VLOOKUP($B109,Показатели!$E:$W,11,FALSE)),"")</f>
        <v>476360000000</v>
      </c>
      <c r="O109" t="str">
        <f>IFERROR(IF(VLOOKUP($B109,Показатели!$E:$W,12,FALSE)=0,"",VLOOKUP($B109,Показатели!$E:$W,12,FALSE)),"")</f>
        <v/>
      </c>
      <c r="P109">
        <f>IFERROR(IF(VLOOKUP($B109,Показатели!$E:$W,13,FALSE)=0,"",VLOOKUP($B109,Показатели!$E:$W,13,FALSE)),"")</f>
        <v>123973000000</v>
      </c>
      <c r="Q109">
        <f>IFERROR(IF(VLOOKUP($B109,Показатели!$E:$W,14,FALSE)=0,"",VLOOKUP($B109,Показатели!$E:$W,14,FALSE)),"")</f>
        <v>97677000000</v>
      </c>
      <c r="R109" t="str">
        <f>IFERROR(IF(VLOOKUP($B109,Показатели!$E:$W,15,FALSE)=0,"",VLOOKUP($B109,Показатели!$E:$W,15,FALSE)),"")</f>
        <v/>
      </c>
      <c r="S109">
        <f>IFERROR(IF(VLOOKUP($B109,Показатели!$E:$W,16,FALSE)=0,"",VLOOKUP($B109,Показатели!$E:$W,16,FALSE)),"")</f>
        <v>127654000000</v>
      </c>
      <c r="T109" t="str">
        <f>IFERROR(IF(VLOOKUP($B109,Показатели!$E:$W,17,FALSE)=0,"",VLOOKUP($B109,Показатели!$E:$W,17,FALSE)),"")</f>
        <v/>
      </c>
      <c r="U109">
        <f>IFERROR(IF(VLOOKUP($B109,Показатели!$E:$W,18,FALSE)=0,"",VLOOKUP($B109,Показатели!$E:$W,18,FALSE)),"")</f>
        <v>454983000000</v>
      </c>
      <c r="V109">
        <f>IFERROR(IF(VLOOKUP($B109,Показатели!$E:$W,19,FALSE)=0,"",VLOOKUP($B109,Показатели!$E:$W,19,FALSE)),"")</f>
        <v>674089000000</v>
      </c>
    </row>
    <row r="110" spans="1:22" x14ac:dyDescent="0.2">
      <c r="A110" s="7" t="s">
        <v>2188</v>
      </c>
      <c r="B110" t="str">
        <f t="shared" si="1"/>
        <v>TATN IV кв. 2013</v>
      </c>
      <c r="C110">
        <v>2013</v>
      </c>
      <c r="D110">
        <f>SUMIFS(Дивиденды!$C:$C,Дивиденды!$A:$A,A110,Дивиденды!$I:$I,C110)</f>
        <v>8.23</v>
      </c>
      <c r="E110">
        <f>IFERROR(IF(VLOOKUP($B110,Показатели!$E:$W,2,FALSE)=0,"",VLOOKUP($B110,Показатели!$E:$W,2,FALSE)),"")</f>
        <v>29535000000</v>
      </c>
      <c r="F110">
        <f>IFERROR(IF(VLOOKUP($B110,Показатели!$E:$W,3,FALSE)=0,"",VLOOKUP($B110,Показатели!$E:$W,3,FALSE)),"")</f>
        <v>151998000000</v>
      </c>
      <c r="G110">
        <f>IFERROR(IF(VLOOKUP($B110,Показатели!$E:$W,4,FALSE)=0,"",VLOOKUP($B110,Показатели!$E:$W,4,FALSE)),"")</f>
        <v>481883000000</v>
      </c>
      <c r="H110" t="str">
        <f>IFERROR(IF(VLOOKUP($B110,Показатели!$E:$W,5,FALSE)=0,"",VLOOKUP($B110,Показатели!$E:$W,5,FALSE)),"")</f>
        <v/>
      </c>
      <c r="I110">
        <f>IFERROR(IF(VLOOKUP($B110,Показатели!$E:$W,6,FALSE)=0,"",VLOOKUP($B110,Показатели!$E:$W,6,FALSE)),"")</f>
        <v>674089000000</v>
      </c>
      <c r="J110">
        <f>IFERROR(IF(VLOOKUP($B110,Показатели!$E:$W,7,FALSE)=0,"",VLOOKUP($B110,Показатели!$E:$W,7,FALSE)),"")</f>
        <v>83173000000</v>
      </c>
      <c r="K110">
        <f>IFERROR(IF(VLOOKUP($B110,Показатели!$E:$W,8,FALSE)=0,"",VLOOKUP($B110,Показатели!$E:$W,8,FALSE)),"")</f>
        <v>86934000000</v>
      </c>
      <c r="L110">
        <f>IFERROR(IF(VLOOKUP($B110,Показатели!$E:$W,9,FALSE)=0,"",VLOOKUP($B110,Показатели!$E:$W,9,FALSE)),"")</f>
        <v>384376000000</v>
      </c>
      <c r="M110">
        <f>IFERROR(IF(VLOOKUP($B110,Показатели!$E:$W,10,FALSE)=0,"",VLOOKUP($B110,Показатели!$E:$W,10,FALSE)),"")</f>
        <v>503982000000</v>
      </c>
      <c r="N110">
        <f>IFERROR(IF(VLOOKUP($B110,Показатели!$E:$W,11,FALSE)=0,"",VLOOKUP($B110,Показатели!$E:$W,11,FALSE)),"")</f>
        <v>454983000000</v>
      </c>
      <c r="O110" t="str">
        <f>IFERROR(IF(VLOOKUP($B110,Показатели!$E:$W,12,FALSE)=0,"",VLOOKUP($B110,Показатели!$E:$W,12,FALSE)),"")</f>
        <v/>
      </c>
      <c r="P110">
        <f>IFERROR(IF(VLOOKUP($B110,Показатели!$E:$W,13,FALSE)=0,"",VLOOKUP($B110,Показатели!$E:$W,13,FALSE)),"")</f>
        <v>101291000000</v>
      </c>
      <c r="Q110">
        <f>IFERROR(IF(VLOOKUP($B110,Показатели!$E:$W,14,FALSE)=0,"",VLOOKUP($B110,Показатели!$E:$W,14,FALSE)),"")</f>
        <v>78344000000</v>
      </c>
      <c r="R110" t="str">
        <f>IFERROR(IF(VLOOKUP($B110,Показатели!$E:$W,15,FALSE)=0,"",VLOOKUP($B110,Показатели!$E:$W,15,FALSE)),"")</f>
        <v/>
      </c>
      <c r="S110">
        <f>IFERROR(IF(VLOOKUP($B110,Показатели!$E:$W,16,FALSE)=0,"",VLOOKUP($B110,Показатели!$E:$W,16,FALSE)),"")</f>
        <v>123732000000</v>
      </c>
      <c r="T110" t="str">
        <f>IFERROR(IF(VLOOKUP($B110,Показатели!$E:$W,17,FALSE)=0,"",VLOOKUP($B110,Показатели!$E:$W,17,FALSE)),"")</f>
        <v/>
      </c>
      <c r="U110">
        <f>IFERROR(IF(VLOOKUP($B110,Показатели!$E:$W,18,FALSE)=0,"",VLOOKUP($B110,Показатели!$E:$W,18,FALSE)),"")</f>
        <v>444099000000</v>
      </c>
      <c r="V110">
        <f>IFERROR(IF(VLOOKUP($B110,Показатели!$E:$W,19,FALSE)=0,"",VLOOKUP($B110,Показатели!$E:$W,19,FALSE)),"")</f>
        <v>630607000000</v>
      </c>
    </row>
    <row r="111" spans="1:22" x14ac:dyDescent="0.2">
      <c r="A111" s="7" t="s">
        <v>2188</v>
      </c>
      <c r="B111" t="str">
        <f t="shared" si="1"/>
        <v>TATN IV кв. 2012</v>
      </c>
      <c r="C111">
        <v>2012</v>
      </c>
      <c r="D111">
        <f>SUMIFS(Дивиденды!$C:$C,Дивиденды!$A:$A,A111,Дивиденды!$I:$I,C111)</f>
        <v>8.6</v>
      </c>
      <c r="E111">
        <f>IFERROR(IF(VLOOKUP($B111,Показатели!$E:$W,2,FALSE)=0,"",VLOOKUP($B111,Показатели!$E:$W,2,FALSE)),"")</f>
        <v>13083000000</v>
      </c>
      <c r="F111">
        <f>IFERROR(IF(VLOOKUP($B111,Показатели!$E:$W,3,FALSE)=0,"",VLOOKUP($B111,Показатели!$E:$W,3,FALSE)),"")</f>
        <v>140332000000</v>
      </c>
      <c r="G111">
        <f>IFERROR(IF(VLOOKUP($B111,Показатели!$E:$W,4,FALSE)=0,"",VLOOKUP($B111,Показатели!$E:$W,4,FALSE)),"")</f>
        <v>448903000000</v>
      </c>
      <c r="H111" t="str">
        <f>IFERROR(IF(VLOOKUP($B111,Показатели!$E:$W,5,FALSE)=0,"",VLOOKUP($B111,Показатели!$E:$W,5,FALSE)),"")</f>
        <v/>
      </c>
      <c r="I111">
        <f>IFERROR(IF(VLOOKUP($B111,Показатели!$E:$W,6,FALSE)=0,"",VLOOKUP($B111,Показатели!$E:$W,6,FALSE)),"")</f>
        <v>630607000000</v>
      </c>
      <c r="J111">
        <f>IFERROR(IF(VLOOKUP($B111,Показатели!$E:$W,7,FALSE)=0,"",VLOOKUP($B111,Показатели!$E:$W,7,FALSE)),"")</f>
        <v>76550000000</v>
      </c>
      <c r="K111">
        <f>IFERROR(IF(VLOOKUP($B111,Показатели!$E:$W,8,FALSE)=0,"",VLOOKUP($B111,Показатели!$E:$W,8,FALSE)),"")</f>
        <v>107824000000</v>
      </c>
      <c r="L111">
        <f>IFERROR(IF(VLOOKUP($B111,Показатели!$E:$W,9,FALSE)=0,"",VLOOKUP($B111,Показатели!$E:$W,9,FALSE)),"")</f>
        <v>333072000000</v>
      </c>
      <c r="M111">
        <f>IFERROR(IF(VLOOKUP($B111,Показатели!$E:$W,10,FALSE)=0,"",VLOOKUP($B111,Показатели!$E:$W,10,FALSE)),"")</f>
        <v>446233000000</v>
      </c>
      <c r="N111">
        <f>IFERROR(IF(VLOOKUP($B111,Показатели!$E:$W,11,FALSE)=0,"",VLOOKUP($B111,Показатели!$E:$W,11,FALSE)),"")</f>
        <v>444099000000</v>
      </c>
      <c r="O111" t="str">
        <f>IFERROR(IF(VLOOKUP($B111,Показатели!$E:$W,12,FALSE)=0,"",VLOOKUP($B111,Показатели!$E:$W,12,FALSE)),"")</f>
        <v/>
      </c>
      <c r="P111">
        <f>IFERROR(IF(VLOOKUP($B111,Показатели!$E:$W,13,FALSE)=0,"",VLOOKUP($B111,Показатели!$E:$W,13,FALSE)),"")</f>
        <v>101818000000</v>
      </c>
      <c r="Q111">
        <f>IFERROR(IF(VLOOKUP($B111,Показатели!$E:$W,14,FALSE)=0,"",VLOOKUP($B111,Показатели!$E:$W,14,FALSE)),"")</f>
        <v>78448000000</v>
      </c>
      <c r="R111" t="str">
        <f>IFERROR(IF(VLOOKUP($B111,Показатели!$E:$W,15,FALSE)=0,"",VLOOKUP($B111,Показатели!$E:$W,15,FALSE)),"")</f>
        <v/>
      </c>
      <c r="S111">
        <f>IFERROR(IF(VLOOKUP($B111,Показатели!$E:$W,16,FALSE)=0,"",VLOOKUP($B111,Показатели!$E:$W,16,FALSE)),"")</f>
        <v>119445000000</v>
      </c>
      <c r="T111" t="str">
        <f>IFERROR(IF(VLOOKUP($B111,Показатели!$E:$W,17,FALSE)=0,"",VLOOKUP($B111,Показатели!$E:$W,17,FALSE)),"")</f>
        <v/>
      </c>
      <c r="U111">
        <f>IFERROR(IF(VLOOKUP($B111,Показатели!$E:$W,18,FALSE)=0,"",VLOOKUP($B111,Показатели!$E:$W,18,FALSE)),"")</f>
        <v>615867000000</v>
      </c>
      <c r="V111">
        <f>IFERROR(IF(VLOOKUP($B111,Показатели!$E:$W,19,FALSE)=0,"",VLOOKUP($B111,Показатели!$E:$W,19,FALSE)),"")</f>
        <v>627823000000</v>
      </c>
    </row>
    <row r="112" spans="1:22" x14ac:dyDescent="0.2">
      <c r="A112" s="7" t="s">
        <v>2188</v>
      </c>
      <c r="B112" t="str">
        <f t="shared" si="1"/>
        <v>TATN IV кв. 2011</v>
      </c>
      <c r="C112">
        <v>2011</v>
      </c>
      <c r="D112">
        <f>SUMIFS(Дивиденды!$C:$C,Дивиденды!$A:$A,A112,Дивиденды!$I:$I,C112)</f>
        <v>7.08</v>
      </c>
      <c r="E112">
        <f>IFERROR(IF(VLOOKUP($B112,Показатели!$E:$W,2,FALSE)=0,"",VLOOKUP($B112,Показатели!$E:$W,2,FALSE)),"")</f>
        <v>17044000000</v>
      </c>
      <c r="F112">
        <f>IFERROR(IF(VLOOKUP($B112,Показатели!$E:$W,3,FALSE)=0,"",VLOOKUP($B112,Показатели!$E:$W,3,FALSE)),"")</f>
        <v>155600000000</v>
      </c>
      <c r="G112">
        <f>IFERROR(IF(VLOOKUP($B112,Показатели!$E:$W,4,FALSE)=0,"",VLOOKUP($B112,Показатели!$E:$W,4,FALSE)),"")</f>
        <v>430781000000</v>
      </c>
      <c r="H112" t="str">
        <f>IFERROR(IF(VLOOKUP($B112,Показатели!$E:$W,5,FALSE)=0,"",VLOOKUP($B112,Показатели!$E:$W,5,FALSE)),"")</f>
        <v/>
      </c>
      <c r="I112">
        <f>IFERROR(IF(VLOOKUP($B112,Показатели!$E:$W,6,FALSE)=0,"",VLOOKUP($B112,Показатели!$E:$W,6,FALSE)),"")</f>
        <v>627823000000</v>
      </c>
      <c r="J112">
        <f>IFERROR(IF(VLOOKUP($B112,Показатели!$E:$W,7,FALSE)=0,"",VLOOKUP($B112,Показатели!$E:$W,7,FALSE)),"")</f>
        <v>97061000000</v>
      </c>
      <c r="K112">
        <f>IFERROR(IF(VLOOKUP($B112,Показатели!$E:$W,8,FALSE)=0,"",VLOOKUP($B112,Показатели!$E:$W,8,FALSE)),"")</f>
        <v>127351000000</v>
      </c>
      <c r="L112">
        <f>IFERROR(IF(VLOOKUP($B112,Показатели!$E:$W,9,FALSE)=0,"",VLOOKUP($B112,Показатели!$E:$W,9,FALSE)),"")</f>
        <v>291029000000</v>
      </c>
      <c r="M112">
        <f>IFERROR(IF(VLOOKUP($B112,Показатели!$E:$W,10,FALSE)=0,"",VLOOKUP($B112,Показатели!$E:$W,10,FALSE)),"")</f>
        <v>403411000000</v>
      </c>
      <c r="N112">
        <f>IFERROR(IF(VLOOKUP($B112,Показатели!$E:$W,11,FALSE)=0,"",VLOOKUP($B112,Показатели!$E:$W,11,FALSE)),"")</f>
        <v>615867000000</v>
      </c>
      <c r="O112">
        <f>IFERROR(IF(VLOOKUP($B112,Показатели!$E:$W,12,FALSE)=0,"",VLOOKUP($B112,Показатели!$E:$W,12,FALSE)),"")</f>
        <v>90644000000</v>
      </c>
      <c r="P112">
        <f>IFERROR(IF(VLOOKUP($B112,Показатели!$E:$W,13,FALSE)=0,"",VLOOKUP($B112,Показатели!$E:$W,13,FALSE)),"")</f>
        <v>85909000000</v>
      </c>
      <c r="Q112">
        <f>IFERROR(IF(VLOOKUP($B112,Показатели!$E:$W,14,FALSE)=0,"",VLOOKUP($B112,Показатели!$E:$W,14,FALSE)),"")</f>
        <v>63973000000</v>
      </c>
      <c r="R112" t="str">
        <f>IFERROR(IF(VLOOKUP($B112,Показатели!$E:$W,15,FALSE)=0,"",VLOOKUP($B112,Показатели!$E:$W,15,FALSE)),"")</f>
        <v/>
      </c>
      <c r="S112">
        <f>IFERROR(IF(VLOOKUP($B112,Показатели!$E:$W,16,FALSE)=0,"",VLOOKUP($B112,Показатели!$E:$W,16,FALSE)),"")</f>
        <v>96057000000</v>
      </c>
      <c r="T112" t="str">
        <f>IFERROR(IF(VLOOKUP($B112,Показатели!$E:$W,17,FALSE)=0,"",VLOOKUP($B112,Показатели!$E:$W,17,FALSE)),"")</f>
        <v/>
      </c>
      <c r="U112">
        <f>IFERROR(IF(VLOOKUP($B112,Показатели!$E:$W,18,FALSE)=0,"",VLOOKUP($B112,Показатели!$E:$W,18,FALSE)),"")</f>
        <v>468032000000</v>
      </c>
      <c r="V112">
        <f>IFERROR(IF(VLOOKUP($B112,Показатели!$E:$W,19,FALSE)=0,"",VLOOKUP($B112,Показатели!$E:$W,19,FALSE)),"")</f>
        <v>567179000000</v>
      </c>
    </row>
    <row r="113" spans="1:22" x14ac:dyDescent="0.2">
      <c r="A113" s="7" t="s">
        <v>2188</v>
      </c>
      <c r="B113" t="str">
        <f t="shared" si="1"/>
        <v>TATN IV кв. 2010</v>
      </c>
      <c r="C113">
        <v>2010</v>
      </c>
      <c r="D113">
        <f>SUMIFS(Дивиденды!$C:$C,Дивиденды!$A:$A,A113,Дивиденды!$I:$I,C113)</f>
        <v>5.0199999999999996</v>
      </c>
      <c r="E113" t="str">
        <f>IFERROR(IF(VLOOKUP($B113,Показатели!$E:$W,2,FALSE)=0,"",VLOOKUP($B113,Показатели!$E:$W,2,FALSE)),"")</f>
        <v/>
      </c>
      <c r="F113" t="str">
        <f>IFERROR(IF(VLOOKUP($B113,Показатели!$E:$W,3,FALSE)=0,"",VLOOKUP($B113,Показатели!$E:$W,3,FALSE)),"")</f>
        <v/>
      </c>
      <c r="G113" t="str">
        <f>IFERROR(IF(VLOOKUP($B113,Показатели!$E:$W,4,FALSE)=0,"",VLOOKUP($B113,Показатели!$E:$W,4,FALSE)),"")</f>
        <v/>
      </c>
      <c r="H113" t="str">
        <f>IFERROR(IF(VLOOKUP($B113,Показатели!$E:$W,5,FALSE)=0,"",VLOOKUP($B113,Показатели!$E:$W,5,FALSE)),"")</f>
        <v/>
      </c>
      <c r="I113" t="str">
        <f>IFERROR(IF(VLOOKUP($B113,Показатели!$E:$W,6,FALSE)=0,"",VLOOKUP($B113,Показатели!$E:$W,6,FALSE)),"")</f>
        <v/>
      </c>
      <c r="J113" t="str">
        <f>IFERROR(IF(VLOOKUP($B113,Показатели!$E:$W,7,FALSE)=0,"",VLOOKUP($B113,Показатели!$E:$W,7,FALSE)),"")</f>
        <v/>
      </c>
      <c r="K113" t="str">
        <f>IFERROR(IF(VLOOKUP($B113,Показатели!$E:$W,8,FALSE)=0,"",VLOOKUP($B113,Показатели!$E:$W,8,FALSE)),"")</f>
        <v/>
      </c>
      <c r="L113" t="str">
        <f>IFERROR(IF(VLOOKUP($B113,Показатели!$E:$W,9,FALSE)=0,"",VLOOKUP($B113,Показатели!$E:$W,9,FALSE)),"")</f>
        <v/>
      </c>
      <c r="M113" t="str">
        <f>IFERROR(IF(VLOOKUP($B113,Показатели!$E:$W,10,FALSE)=0,"",VLOOKUP($B113,Показатели!$E:$W,10,FALSE)),"")</f>
        <v/>
      </c>
      <c r="N113" t="str">
        <f>IFERROR(IF(VLOOKUP($B113,Показатели!$E:$W,11,FALSE)=0,"",VLOOKUP($B113,Показатели!$E:$W,11,FALSE)),"")</f>
        <v/>
      </c>
      <c r="O113" t="str">
        <f>IFERROR(IF(VLOOKUP($B113,Показатели!$E:$W,12,FALSE)=0,"",VLOOKUP($B113,Показатели!$E:$W,12,FALSE)),"")</f>
        <v/>
      </c>
      <c r="P113" t="str">
        <f>IFERROR(IF(VLOOKUP($B113,Показатели!$E:$W,13,FALSE)=0,"",VLOOKUP($B113,Показатели!$E:$W,13,FALSE)),"")</f>
        <v/>
      </c>
      <c r="Q113" t="str">
        <f>IFERROR(IF(VLOOKUP($B113,Показатели!$E:$W,14,FALSE)=0,"",VLOOKUP($B113,Показатели!$E:$W,14,FALSE)),"")</f>
        <v/>
      </c>
      <c r="R113" t="str">
        <f>IFERROR(IF(VLOOKUP($B113,Показатели!$E:$W,15,FALSE)=0,"",VLOOKUP($B113,Показатели!$E:$W,15,FALSE)),"")</f>
        <v/>
      </c>
      <c r="S113" t="str">
        <f>IFERROR(IF(VLOOKUP($B113,Показатели!$E:$W,16,FALSE)=0,"",VLOOKUP($B113,Показатели!$E:$W,16,FALSE)),"")</f>
        <v/>
      </c>
      <c r="T113" t="str">
        <f>IFERROR(IF(VLOOKUP($B113,Показатели!$E:$W,17,FALSE)=0,"",VLOOKUP($B113,Показатели!$E:$W,17,FALSE)),"")</f>
        <v/>
      </c>
      <c r="U113" t="str">
        <f>IFERROR(IF(VLOOKUP($B113,Показатели!$E:$W,18,FALSE)=0,"",VLOOKUP($B113,Показатели!$E:$W,18,FALSE)),"")</f>
        <v/>
      </c>
      <c r="V113" t="str">
        <f>IFERROR(IF(VLOOKUP($B113,Показатели!$E:$W,19,FALSE)=0,"",VLOOKUP($B113,Показатели!$E:$W,19,FALSE)),"")</f>
        <v/>
      </c>
    </row>
    <row r="114" spans="1:22" x14ac:dyDescent="0.2">
      <c r="A114" s="7" t="s">
        <v>2190</v>
      </c>
      <c r="B114" t="str">
        <f t="shared" si="1"/>
        <v>ELFV IV кв. 2025</v>
      </c>
      <c r="C114">
        <v>2025</v>
      </c>
      <c r="D114">
        <f>SUMIFS(Дивиденды!$C:$C,Дивиденды!$A:$A,A114,Дивиденды!$I:$I,C114)</f>
        <v>0</v>
      </c>
      <c r="E114" t="str">
        <f>IFERROR(IF(VLOOKUP($B114,Показатели!$E:$W,2,FALSE)=0,"",VLOOKUP($B114,Показатели!$E:$W,2,FALSE)),"")</f>
        <v/>
      </c>
      <c r="F114" t="str">
        <f>IFERROR(IF(VLOOKUP($B114,Показатели!$E:$W,3,FALSE)=0,"",VLOOKUP($B114,Показатели!$E:$W,3,FALSE)),"")</f>
        <v/>
      </c>
      <c r="G114" t="str">
        <f>IFERROR(IF(VLOOKUP($B114,Показатели!$E:$W,4,FALSE)=0,"",VLOOKUP($B114,Показатели!$E:$W,4,FALSE)),"")</f>
        <v/>
      </c>
      <c r="H114" t="str">
        <f>IFERROR(IF(VLOOKUP($B114,Показатели!$E:$W,5,FALSE)=0,"",VLOOKUP($B114,Показатели!$E:$W,5,FALSE)),"")</f>
        <v/>
      </c>
      <c r="I114" t="str">
        <f>IFERROR(IF(VLOOKUP($B114,Показатели!$E:$W,6,FALSE)=0,"",VLOOKUP($B114,Показатели!$E:$W,6,FALSE)),"")</f>
        <v/>
      </c>
      <c r="J114" t="str">
        <f>IFERROR(IF(VLOOKUP($B114,Показатели!$E:$W,7,FALSE)=0,"",VLOOKUP($B114,Показатели!$E:$W,7,FALSE)),"")</f>
        <v/>
      </c>
      <c r="K114" t="str">
        <f>IFERROR(IF(VLOOKUP($B114,Показатели!$E:$W,8,FALSE)=0,"",VLOOKUP($B114,Показатели!$E:$W,8,FALSE)),"")</f>
        <v/>
      </c>
      <c r="L114" t="str">
        <f>IFERROR(IF(VLOOKUP($B114,Показатели!$E:$W,9,FALSE)=0,"",VLOOKUP($B114,Показатели!$E:$W,9,FALSE)),"")</f>
        <v/>
      </c>
      <c r="M114" t="str">
        <f>IFERROR(IF(VLOOKUP($B114,Показатели!$E:$W,10,FALSE)=0,"",VLOOKUP($B114,Показатели!$E:$W,10,FALSE)),"")</f>
        <v/>
      </c>
      <c r="N114" t="str">
        <f>IFERROR(IF(VLOOKUP($B114,Показатели!$E:$W,11,FALSE)=0,"",VLOOKUP($B114,Показатели!$E:$W,11,FALSE)),"")</f>
        <v/>
      </c>
      <c r="O114" t="str">
        <f>IFERROR(IF(VLOOKUP($B114,Показатели!$E:$W,12,FALSE)=0,"",VLOOKUP($B114,Показатели!$E:$W,12,FALSE)),"")</f>
        <v/>
      </c>
      <c r="P114" t="str">
        <f>IFERROR(IF(VLOOKUP($B114,Показатели!$E:$W,13,FALSE)=0,"",VLOOKUP($B114,Показатели!$E:$W,13,FALSE)),"")</f>
        <v/>
      </c>
      <c r="Q114" t="str">
        <f>IFERROR(IF(VLOOKUP($B114,Показатели!$E:$W,14,FALSE)=0,"",VLOOKUP($B114,Показатели!$E:$W,14,FALSE)),"")</f>
        <v/>
      </c>
      <c r="R114" t="str">
        <f>IFERROR(IF(VLOOKUP($B114,Показатели!$E:$W,15,FALSE)=0,"",VLOOKUP($B114,Показатели!$E:$W,15,FALSE)),"")</f>
        <v/>
      </c>
      <c r="S114" t="str">
        <f>IFERROR(IF(VLOOKUP($B114,Показатели!$E:$W,16,FALSE)=0,"",VLOOKUP($B114,Показатели!$E:$W,16,FALSE)),"")</f>
        <v/>
      </c>
      <c r="T114" t="str">
        <f>IFERROR(IF(VLOOKUP($B114,Показатели!$E:$W,17,FALSE)=0,"",VLOOKUP($B114,Показатели!$E:$W,17,FALSE)),"")</f>
        <v/>
      </c>
      <c r="U114" t="str">
        <f>IFERROR(IF(VLOOKUP($B114,Показатели!$E:$W,18,FALSE)=0,"",VLOOKUP($B114,Показатели!$E:$W,18,FALSE)),"")</f>
        <v/>
      </c>
      <c r="V114" t="str">
        <f>IFERROR(IF(VLOOKUP($B114,Показатели!$E:$W,19,FALSE)=0,"",VLOOKUP($B114,Показатели!$E:$W,19,FALSE)),"")</f>
        <v/>
      </c>
    </row>
    <row r="115" spans="1:22" x14ac:dyDescent="0.2">
      <c r="A115" s="7" t="s">
        <v>2190</v>
      </c>
      <c r="B115" t="str">
        <f t="shared" si="1"/>
        <v>ELFV IV кв. 2024</v>
      </c>
      <c r="C115">
        <v>2024</v>
      </c>
      <c r="D115">
        <f>SUMIFS(Дивиденды!$C:$C,Дивиденды!$A:$A,A115,Дивиденды!$I:$I,C115)</f>
        <v>0</v>
      </c>
      <c r="E115">
        <f>IFERROR(IF(VLOOKUP($B115,Показатели!$E:$W,2,FALSE)=0,"",VLOOKUP($B115,Показатели!$E:$W,2,FALSE)),"")</f>
        <v>5472781000</v>
      </c>
      <c r="F115">
        <f>IFERROR(IF(VLOOKUP($B115,Показатели!$E:$W,3,FALSE)=0,"",VLOOKUP($B115,Показатели!$E:$W,3,FALSE)),"")</f>
        <v>13715707000</v>
      </c>
      <c r="G115">
        <f>IFERROR(IF(VLOOKUP($B115,Показатели!$E:$W,4,FALSE)=0,"",VLOOKUP($B115,Показатели!$E:$W,4,FALSE)),"")</f>
        <v>55680516000</v>
      </c>
      <c r="H115">
        <f>IFERROR(IF(VLOOKUP($B115,Показатели!$E:$W,5,FALSE)=0,"",VLOOKUP($B115,Показатели!$E:$W,5,FALSE)),"")</f>
        <v>246355000</v>
      </c>
      <c r="I115">
        <f>IFERROR(IF(VLOOKUP($B115,Показатели!$E:$W,6,FALSE)=0,"",VLOOKUP($B115,Показатели!$E:$W,6,FALSE)),"")</f>
        <v>73740752000</v>
      </c>
      <c r="J115">
        <f>IFERROR(IF(VLOOKUP($B115,Показатели!$E:$W,7,FALSE)=0,"",VLOOKUP($B115,Показатели!$E:$W,7,FALSE)),"")</f>
        <v>14391742000</v>
      </c>
      <c r="K115">
        <f>IFERROR(IF(VLOOKUP($B115,Показатели!$E:$W,8,FALSE)=0,"",VLOOKUP($B115,Показатели!$E:$W,8,FALSE)),"")</f>
        <v>25316275000</v>
      </c>
      <c r="L115">
        <f>IFERROR(IF(VLOOKUP($B115,Показатели!$E:$W,9,FALSE)=0,"",VLOOKUP($B115,Показатели!$E:$W,9,FALSE)),"")</f>
        <v>-8013423000</v>
      </c>
      <c r="M115">
        <f>IFERROR(IF(VLOOKUP($B115,Показатели!$E:$W,10,FALSE)=0,"",VLOOKUP($B115,Показатели!$E:$W,10,FALSE)),"")</f>
        <v>34032735000</v>
      </c>
      <c r="N115">
        <f>IFERROR(IF(VLOOKUP($B115,Показатели!$E:$W,11,FALSE)=0,"",VLOOKUP($B115,Показатели!$E:$W,11,FALSE)),"")</f>
        <v>68556678000</v>
      </c>
      <c r="O115">
        <f>IFERROR(IF(VLOOKUP($B115,Показатели!$E:$W,12,FALSE)=0,"",VLOOKUP($B115,Показатели!$E:$W,12,FALSE)),"")</f>
        <v>9489235000</v>
      </c>
      <c r="P115">
        <f>IFERROR(IF(VLOOKUP($B115,Показатели!$E:$W,13,FALSE)=0,"",VLOOKUP($B115,Показатели!$E:$W,13,FALSE)),"")</f>
        <v>4944994000</v>
      </c>
      <c r="Q115">
        <f>IFERROR(IF(VLOOKUP($B115,Показатели!$E:$W,14,FALSE)=0,"",VLOOKUP($B115,Показатели!$E:$W,14,FALSE)),"")</f>
        <v>4542481000</v>
      </c>
      <c r="R115">
        <f>IFERROR(IF(VLOOKUP($B115,Показатели!$E:$W,15,FALSE)=0,"",VLOOKUP($B115,Показатели!$E:$W,15,FALSE)),"")</f>
        <v>3163218000</v>
      </c>
      <c r="S115">
        <f>IFERROR(IF(VLOOKUP($B115,Показатели!$E:$W,16,FALSE)=0,"",VLOOKUP($B115,Показатели!$E:$W,16,FALSE)),"")</f>
        <v>13529000000</v>
      </c>
      <c r="T115">
        <f>IFERROR(IF(VLOOKUP($B115,Показатели!$E:$W,17,FALSE)=0,"",VLOOKUP($B115,Показатели!$E:$W,17,FALSE)),"")</f>
        <v>-6789864000</v>
      </c>
      <c r="U115">
        <f>IFERROR(IF(VLOOKUP($B115,Показатели!$E:$W,18,FALSE)=0,"",VLOOKUP($B115,Показатели!$E:$W,18,FALSE)),"")</f>
        <v>60815177000</v>
      </c>
      <c r="V115">
        <f>IFERROR(IF(VLOOKUP($B115,Показатели!$E:$W,19,FALSE)=0,"",VLOOKUP($B115,Показатели!$E:$W,19,FALSE)),"")</f>
        <v>66977551000</v>
      </c>
    </row>
    <row r="116" spans="1:22" x14ac:dyDescent="0.2">
      <c r="A116" s="7" t="s">
        <v>2190</v>
      </c>
      <c r="B116" t="str">
        <f t="shared" si="1"/>
        <v>ELFV IV кв. 2023</v>
      </c>
      <c r="C116">
        <v>2023</v>
      </c>
      <c r="D116">
        <f>SUMIFS(Дивиденды!$C:$C,Дивиденды!$A:$A,A116,Дивиденды!$I:$I,C116)</f>
        <v>0</v>
      </c>
      <c r="E116">
        <f>IFERROR(IF(VLOOKUP($B116,Показатели!$E:$W,2,FALSE)=0,"",VLOOKUP($B116,Показатели!$E:$W,2,FALSE)),"")</f>
        <v>908654000</v>
      </c>
      <c r="F116">
        <f>IFERROR(IF(VLOOKUP($B116,Показатели!$E:$W,3,FALSE)=0,"",VLOOKUP($B116,Показатели!$E:$W,3,FALSE)),"")</f>
        <v>9502667000</v>
      </c>
      <c r="G116">
        <f>IFERROR(IF(VLOOKUP($B116,Показатели!$E:$W,4,FALSE)=0,"",VLOOKUP($B116,Показатели!$E:$W,4,FALSE)),"")</f>
        <v>52686990000</v>
      </c>
      <c r="H116">
        <f>IFERROR(IF(VLOOKUP($B116,Показатели!$E:$W,5,FALSE)=0,"",VLOOKUP($B116,Показатели!$E:$W,5,FALSE)),"")</f>
        <v>431195000</v>
      </c>
      <c r="I116">
        <f>IFERROR(IF(VLOOKUP($B116,Показатели!$E:$W,6,FALSE)=0,"",VLOOKUP($B116,Показатели!$E:$W,6,FALSE)),"")</f>
        <v>66977551000</v>
      </c>
      <c r="J116">
        <f>IFERROR(IF(VLOOKUP($B116,Показатели!$E:$W,7,FALSE)=0,"",VLOOKUP($B116,Показатели!$E:$W,7,FALSE)),"")</f>
        <v>13193674000</v>
      </c>
      <c r="K116">
        <f>IFERROR(IF(VLOOKUP($B116,Показатели!$E:$W,8,FALSE)=0,"",VLOOKUP($B116,Показатели!$E:$W,8,FALSE)),"")</f>
        <v>24315370000</v>
      </c>
      <c r="L116">
        <f>IFERROR(IF(VLOOKUP($B116,Показатели!$E:$W,9,FALSE)=0,"",VLOOKUP($B116,Показатели!$E:$W,9,FALSE)),"")</f>
        <v>-12580600000</v>
      </c>
      <c r="M116">
        <f>IFERROR(IF(VLOOKUP($B116,Показатели!$E:$W,10,FALSE)=0,"",VLOOKUP($B116,Показатели!$E:$W,10,FALSE)),"")</f>
        <v>29468507000</v>
      </c>
      <c r="N116">
        <f>IFERROR(IF(VLOOKUP($B116,Показатели!$E:$W,11,FALSE)=0,"",VLOOKUP($B116,Показатели!$E:$W,11,FALSE)),"")</f>
        <v>60815177000</v>
      </c>
      <c r="O116">
        <f>IFERROR(IF(VLOOKUP($B116,Показатели!$E:$W,12,FALSE)=0,"",VLOOKUP($B116,Показатели!$E:$W,12,FALSE)),"")</f>
        <v>8596355000</v>
      </c>
      <c r="P116">
        <f>IFERROR(IF(VLOOKUP($B116,Показатели!$E:$W,13,FALSE)=0,"",VLOOKUP($B116,Показатели!$E:$W,13,FALSE)),"")</f>
        <v>5864053000</v>
      </c>
      <c r="Q116">
        <f>IFERROR(IF(VLOOKUP($B116,Показатели!$E:$W,14,FALSE)=0,"",VLOOKUP($B116,Показатели!$E:$W,14,FALSE)),"")</f>
        <v>4624393000</v>
      </c>
      <c r="R116">
        <f>IFERROR(IF(VLOOKUP($B116,Показатели!$E:$W,15,FALSE)=0,"",VLOOKUP($B116,Показатели!$E:$W,15,FALSE)),"")</f>
        <v>3210009000</v>
      </c>
      <c r="S116">
        <f>IFERROR(IF(VLOOKUP($B116,Показатели!$E:$W,16,FALSE)=0,"",VLOOKUP($B116,Показатели!$E:$W,16,FALSE)),"")</f>
        <v>12141000000</v>
      </c>
      <c r="T116">
        <f>IFERROR(IF(VLOOKUP($B116,Показатели!$E:$W,17,FALSE)=0,"",VLOOKUP($B116,Показатели!$E:$W,17,FALSE)),"")</f>
        <v>-9443523000</v>
      </c>
      <c r="U116">
        <f>IFERROR(IF(VLOOKUP($B116,Показатели!$E:$W,18,FALSE)=0,"",VLOOKUP($B116,Показатели!$E:$W,18,FALSE)),"")</f>
        <v>50481443000</v>
      </c>
      <c r="V116">
        <f>IFERROR(IF(VLOOKUP($B116,Показатели!$E:$W,19,FALSE)=0,"",VLOOKUP($B116,Показатели!$E:$W,19,FALSE)),"")</f>
        <v>65354880000</v>
      </c>
    </row>
    <row r="117" spans="1:22" x14ac:dyDescent="0.2">
      <c r="A117" s="7" t="s">
        <v>2190</v>
      </c>
      <c r="B117" t="str">
        <f t="shared" si="1"/>
        <v>ELFV IV кв. 2022</v>
      </c>
      <c r="C117">
        <v>2022</v>
      </c>
      <c r="D117">
        <f>SUMIFS(Дивиденды!$C:$C,Дивиденды!$A:$A,A117,Дивиденды!$I:$I,C117)</f>
        <v>0</v>
      </c>
      <c r="E117">
        <f>IFERROR(IF(VLOOKUP($B117,Показатели!$E:$W,2,FALSE)=0,"",VLOOKUP($B117,Показатели!$E:$W,2,FALSE)),"")</f>
        <v>4582088000</v>
      </c>
      <c r="F117">
        <f>IFERROR(IF(VLOOKUP($B117,Показатели!$E:$W,3,FALSE)=0,"",VLOOKUP($B117,Показатели!$E:$W,3,FALSE)),"")</f>
        <v>13434999000</v>
      </c>
      <c r="G117">
        <f>IFERROR(IF(VLOOKUP($B117,Показатели!$E:$W,4,FALSE)=0,"",VLOOKUP($B117,Показатели!$E:$W,4,FALSE)),"")</f>
        <v>46612687000</v>
      </c>
      <c r="H117">
        <f>IFERROR(IF(VLOOKUP($B117,Показатели!$E:$W,5,FALSE)=0,"",VLOOKUP($B117,Показатели!$E:$W,5,FALSE)),"")</f>
        <v>550411000</v>
      </c>
      <c r="I117">
        <f>IFERROR(IF(VLOOKUP($B117,Показатели!$E:$W,6,FALSE)=0,"",VLOOKUP($B117,Показатели!$E:$W,6,FALSE)),"")</f>
        <v>65354880000</v>
      </c>
      <c r="J117">
        <f>IFERROR(IF(VLOOKUP($B117,Показатели!$E:$W,7,FALSE)=0,"",VLOOKUP($B117,Показатели!$E:$W,7,FALSE)),"")</f>
        <v>14478760000</v>
      </c>
      <c r="K117">
        <f>IFERROR(IF(VLOOKUP($B117,Показатели!$E:$W,8,FALSE)=0,"",VLOOKUP($B117,Показатели!$E:$W,8,FALSE)),"")</f>
        <v>26044871000</v>
      </c>
      <c r="L117">
        <f>IFERROR(IF(VLOOKUP($B117,Показатели!$E:$W,9,FALSE)=0,"",VLOOKUP($B117,Показатели!$E:$W,9,FALSE)),"")</f>
        <v>-17207184000</v>
      </c>
      <c r="M117">
        <f>IFERROR(IF(VLOOKUP($B117,Показатели!$E:$W,10,FALSE)=0,"",VLOOKUP($B117,Показатели!$E:$W,10,FALSE)),"")</f>
        <v>24831249000</v>
      </c>
      <c r="N117">
        <f>IFERROR(IF(VLOOKUP($B117,Показатели!$E:$W,11,FALSE)=0,"",VLOOKUP($B117,Показатели!$E:$W,11,FALSE)),"")</f>
        <v>50481443000</v>
      </c>
      <c r="O117">
        <f>IFERROR(IF(VLOOKUP($B117,Показатели!$E:$W,12,FALSE)=0,"",VLOOKUP($B117,Показатели!$E:$W,12,FALSE)),"")</f>
        <v>-23578520000</v>
      </c>
      <c r="P117">
        <f>IFERROR(IF(VLOOKUP($B117,Показатели!$E:$W,13,FALSE)=0,"",VLOOKUP($B117,Показатели!$E:$W,13,FALSE)),"")</f>
        <v>-25123985000</v>
      </c>
      <c r="Q117">
        <f>IFERROR(IF(VLOOKUP($B117,Показатели!$E:$W,14,FALSE)=0,"",VLOOKUP($B117,Показатели!$E:$W,14,FALSE)),"")</f>
        <v>-20218327000</v>
      </c>
      <c r="R117">
        <f>IFERROR(IF(VLOOKUP($B117,Показатели!$E:$W,15,FALSE)=0,"",VLOOKUP($B117,Показатели!$E:$W,15,FALSE)),"")</f>
        <v>3446317000</v>
      </c>
      <c r="S117" t="str">
        <f>IFERROR(IF(VLOOKUP($B117,Показатели!$E:$W,16,FALSE)=0,"",VLOOKUP($B117,Показатели!$E:$W,16,FALSE)),"")</f>
        <v/>
      </c>
      <c r="T117">
        <f>IFERROR(IF(VLOOKUP($B117,Показатели!$E:$W,17,FALSE)=0,"",VLOOKUP($B117,Показатели!$E:$W,17,FALSE)),"")</f>
        <v>-7852378000</v>
      </c>
      <c r="U117">
        <f>IFERROR(IF(VLOOKUP($B117,Показатели!$E:$W,18,FALSE)=0,"",VLOOKUP($B117,Показатели!$E:$W,18,FALSE)),"")</f>
        <v>48248917000</v>
      </c>
      <c r="V117">
        <f>IFERROR(IF(VLOOKUP($B117,Показатели!$E:$W,19,FALSE)=0,"",VLOOKUP($B117,Показатели!$E:$W,19,FALSE)),"")</f>
        <v>91520317000</v>
      </c>
    </row>
    <row r="118" spans="1:22" x14ac:dyDescent="0.2">
      <c r="A118" s="7" t="s">
        <v>2190</v>
      </c>
      <c r="B118" t="str">
        <f t="shared" si="1"/>
        <v>ELFV IV кв. 2021</v>
      </c>
      <c r="C118">
        <v>2021</v>
      </c>
      <c r="D118">
        <f>SUMIFS(Дивиденды!$C:$C,Дивиденды!$A:$A,A118,Дивиденды!$I:$I,C118)</f>
        <v>0</v>
      </c>
      <c r="E118">
        <f>IFERROR(IF(VLOOKUP($B118,Показатели!$E:$W,2,FALSE)=0,"",VLOOKUP($B118,Показатели!$E:$W,2,FALSE)),"")</f>
        <v>10218278000</v>
      </c>
      <c r="F118">
        <f>IFERROR(IF(VLOOKUP($B118,Показатели!$E:$W,3,FALSE)=0,"",VLOOKUP($B118,Показатели!$E:$W,3,FALSE)),"")</f>
        <v>19022777000</v>
      </c>
      <c r="G118">
        <f>IFERROR(IF(VLOOKUP($B118,Показатели!$E:$W,4,FALSE)=0,"",VLOOKUP($B118,Показатели!$E:$W,4,FALSE)),"")</f>
        <v>69778627000</v>
      </c>
      <c r="H118">
        <f>IFERROR(IF(VLOOKUP($B118,Показатели!$E:$W,5,FALSE)=0,"",VLOOKUP($B118,Показатели!$E:$W,5,FALSE)),"")</f>
        <v>723200000</v>
      </c>
      <c r="I118">
        <f>IFERROR(IF(VLOOKUP($B118,Показатели!$E:$W,6,FALSE)=0,"",VLOOKUP($B118,Показатели!$E:$W,6,FALSE)),"")</f>
        <v>91520317000</v>
      </c>
      <c r="J118">
        <f>IFERROR(IF(VLOOKUP($B118,Показатели!$E:$W,7,FALSE)=0,"",VLOOKUP($B118,Показатели!$E:$W,7,FALSE)),"")</f>
        <v>16650151000</v>
      </c>
      <c r="K118">
        <f>IFERROR(IF(VLOOKUP($B118,Показатели!$E:$W,8,FALSE)=0,"",VLOOKUP($B118,Показатели!$E:$W,8,FALSE)),"")</f>
        <v>31971783000</v>
      </c>
      <c r="L118">
        <f>IFERROR(IF(VLOOKUP($B118,Показатели!$E:$W,9,FALSE)=0,"",VLOOKUP($B118,Показатели!$E:$W,9,FALSE)),"")</f>
        <v>993118000</v>
      </c>
      <c r="M118">
        <f>IFERROR(IF(VLOOKUP($B118,Показатели!$E:$W,10,FALSE)=0,"",VLOOKUP($B118,Показатели!$E:$W,10,FALSE)),"")</f>
        <v>42898383000</v>
      </c>
      <c r="N118">
        <f>IFERROR(IF(VLOOKUP($B118,Показатели!$E:$W,11,FALSE)=0,"",VLOOKUP($B118,Показатели!$E:$W,11,FALSE)),"")</f>
        <v>48248917000</v>
      </c>
      <c r="O118">
        <f>IFERROR(IF(VLOOKUP($B118,Показатели!$E:$W,12,FALSE)=0,"",VLOOKUP($B118,Показатели!$E:$W,12,FALSE)),"")</f>
        <v>3456714000</v>
      </c>
      <c r="P118">
        <f>IFERROR(IF(VLOOKUP($B118,Показатели!$E:$W,13,FALSE)=0,"",VLOOKUP($B118,Показатели!$E:$W,13,FALSE)),"")</f>
        <v>3244621000</v>
      </c>
      <c r="Q118">
        <f>IFERROR(IF(VLOOKUP($B118,Показатели!$E:$W,14,FALSE)=0,"",VLOOKUP($B118,Показатели!$E:$W,14,FALSE)),"")</f>
        <v>2579762000</v>
      </c>
      <c r="R118">
        <f>IFERROR(IF(VLOOKUP($B118,Показатели!$E:$W,15,FALSE)=0,"",VLOOKUP($B118,Показатели!$E:$W,15,FALSE)),"")</f>
        <v>2775014000</v>
      </c>
      <c r="S118" t="str">
        <f>IFERROR(IF(VLOOKUP($B118,Показатели!$E:$W,16,FALSE)=0,"",VLOOKUP($B118,Показатели!$E:$W,16,FALSE)),"")</f>
        <v/>
      </c>
      <c r="T118">
        <f>IFERROR(IF(VLOOKUP($B118,Показатели!$E:$W,17,FALSE)=0,"",VLOOKUP($B118,Показатели!$E:$W,17,FALSE)),"")</f>
        <v>-17925878000</v>
      </c>
      <c r="U118">
        <f>IFERROR(IF(VLOOKUP($B118,Показатели!$E:$W,18,FALSE)=0,"",VLOOKUP($B118,Показатели!$E:$W,18,FALSE)),"")</f>
        <v>44036827000</v>
      </c>
      <c r="V118">
        <f>IFERROR(IF(VLOOKUP($B118,Показатели!$E:$W,19,FALSE)=0,"",VLOOKUP($B118,Показатели!$E:$W,19,FALSE)),"")</f>
        <v>76737171000</v>
      </c>
    </row>
    <row r="119" spans="1:22" x14ac:dyDescent="0.2">
      <c r="A119" s="7" t="s">
        <v>2190</v>
      </c>
      <c r="B119" t="str">
        <f t="shared" si="1"/>
        <v>ELFV IV кв. 2020</v>
      </c>
      <c r="C119">
        <v>2020</v>
      </c>
      <c r="D119">
        <f>SUMIFS(Дивиденды!$C:$C,Дивиденды!$A:$A,A119,Дивиденды!$I:$I,C119)</f>
        <v>0</v>
      </c>
      <c r="E119">
        <f>IFERROR(IF(VLOOKUP($B119,Показатели!$E:$W,2,FALSE)=0,"",VLOOKUP($B119,Показатели!$E:$W,2,FALSE)),"")</f>
        <v>11646180000</v>
      </c>
      <c r="F119">
        <f>IFERROR(IF(VLOOKUP($B119,Показатели!$E:$W,3,FALSE)=0,"",VLOOKUP($B119,Показатели!$E:$W,3,FALSE)),"")</f>
        <v>20336396000</v>
      </c>
      <c r="G119">
        <f>IFERROR(IF(VLOOKUP($B119,Показатели!$E:$W,4,FALSE)=0,"",VLOOKUP($B119,Показатели!$E:$W,4,FALSE)),"")</f>
        <v>53077215000</v>
      </c>
      <c r="H119">
        <f>IFERROR(IF(VLOOKUP($B119,Показатели!$E:$W,5,FALSE)=0,"",VLOOKUP($B119,Показатели!$E:$W,5,FALSE)),"")</f>
        <v>628339000</v>
      </c>
      <c r="I119">
        <f>IFERROR(IF(VLOOKUP($B119,Показатели!$E:$W,6,FALSE)=0,"",VLOOKUP($B119,Показатели!$E:$W,6,FALSE)),"")</f>
        <v>76737171000</v>
      </c>
      <c r="J119">
        <f>IFERROR(IF(VLOOKUP($B119,Показатели!$E:$W,7,FALSE)=0,"",VLOOKUP($B119,Показатели!$E:$W,7,FALSE)),"")</f>
        <v>14344841000</v>
      </c>
      <c r="K119">
        <f>IFERROR(IF(VLOOKUP($B119,Показатели!$E:$W,8,FALSE)=0,"",VLOOKUP($B119,Показатели!$E:$W,8,FALSE)),"")</f>
        <v>21830737000</v>
      </c>
      <c r="L119">
        <f>IFERROR(IF(VLOOKUP($B119,Показатели!$E:$W,9,FALSE)=0,"",VLOOKUP($B119,Показатели!$E:$W,9,FALSE)),"")</f>
        <v>-1733982000</v>
      </c>
      <c r="M119">
        <f>IFERROR(IF(VLOOKUP($B119,Показатели!$E:$W,10,FALSE)=0,"",VLOOKUP($B119,Показатели!$E:$W,10,FALSE)),"")</f>
        <v>40561593000</v>
      </c>
      <c r="N119">
        <f>IFERROR(IF(VLOOKUP($B119,Показатели!$E:$W,11,FALSE)=0,"",VLOOKUP($B119,Показатели!$E:$W,11,FALSE)),"")</f>
        <v>44036827000</v>
      </c>
      <c r="O119">
        <f>IFERROR(IF(VLOOKUP($B119,Показатели!$E:$W,12,FALSE)=0,"",VLOOKUP($B119,Показатели!$E:$W,12,FALSE)),"")</f>
        <v>5532385000</v>
      </c>
      <c r="P119">
        <f>IFERROR(IF(VLOOKUP($B119,Показатели!$E:$W,13,FALSE)=0,"",VLOOKUP($B119,Показатели!$E:$W,13,FALSE)),"")</f>
        <v>4572167000</v>
      </c>
      <c r="Q119">
        <f>IFERROR(IF(VLOOKUP($B119,Показатели!$E:$W,14,FALSE)=0,"",VLOOKUP($B119,Показатели!$E:$W,14,FALSE)),"")</f>
        <v>3624916000</v>
      </c>
      <c r="R119">
        <f>IFERROR(IF(VLOOKUP($B119,Показатели!$E:$W,15,FALSE)=0,"",VLOOKUP($B119,Показатели!$E:$W,15,FALSE)),"")</f>
        <v>2409950000</v>
      </c>
      <c r="S119" t="str">
        <f>IFERROR(IF(VLOOKUP($B119,Показатели!$E:$W,16,FALSE)=0,"",VLOOKUP($B119,Показатели!$E:$W,16,FALSE)),"")</f>
        <v/>
      </c>
      <c r="T119">
        <f>IFERROR(IF(VLOOKUP($B119,Показатели!$E:$W,17,FALSE)=0,"",VLOOKUP($B119,Показатели!$E:$W,17,FALSE)),"")</f>
        <v>-14032551000</v>
      </c>
      <c r="U119">
        <f>IFERROR(IF(VLOOKUP($B119,Показатели!$E:$W,18,FALSE)=0,"",VLOOKUP($B119,Показатели!$E:$W,18,FALSE)),"")</f>
        <v>65834843000</v>
      </c>
      <c r="V119">
        <f>IFERROR(IF(VLOOKUP($B119,Показатели!$E:$W,19,FALSE)=0,"",VLOOKUP($B119,Показатели!$E:$W,19,FALSE)),"")</f>
        <v>70046665000</v>
      </c>
    </row>
    <row r="120" spans="1:22" x14ac:dyDescent="0.2">
      <c r="A120" s="7" t="s">
        <v>2190</v>
      </c>
      <c r="B120" t="str">
        <f t="shared" si="1"/>
        <v>ELFV IV кв. 2019</v>
      </c>
      <c r="C120">
        <v>2019</v>
      </c>
      <c r="D120">
        <f>SUMIFS(Дивиденды!$C:$C,Дивиденды!$A:$A,A120,Дивиденды!$I:$I,C120)</f>
        <v>8.5000000000000006E-2</v>
      </c>
      <c r="E120">
        <f>IFERROR(IF(VLOOKUP($B120,Показатели!$E:$W,2,FALSE)=0,"",VLOOKUP($B120,Показатели!$E:$W,2,FALSE)),"")</f>
        <v>11144720000</v>
      </c>
      <c r="F120">
        <f>IFERROR(IF(VLOOKUP($B120,Показатели!$E:$W,3,FALSE)=0,"",VLOOKUP($B120,Показатели!$E:$W,3,FALSE)),"")</f>
        <v>25956472000</v>
      </c>
      <c r="G120">
        <f>IFERROR(IF(VLOOKUP($B120,Показатели!$E:$W,4,FALSE)=0,"",VLOOKUP($B120,Показатели!$E:$W,4,FALSE)),"")</f>
        <v>41095594000</v>
      </c>
      <c r="H120">
        <f>IFERROR(IF(VLOOKUP($B120,Показатели!$E:$W,5,FALSE)=0,"",VLOOKUP($B120,Показатели!$E:$W,5,FALSE)),"")</f>
        <v>315010000</v>
      </c>
      <c r="I120">
        <f>IFERROR(IF(VLOOKUP($B120,Показатели!$E:$W,6,FALSE)=0,"",VLOOKUP($B120,Показатели!$E:$W,6,FALSE)),"")</f>
        <v>70046665000</v>
      </c>
      <c r="J120">
        <f>IFERROR(IF(VLOOKUP($B120,Показатели!$E:$W,7,FALSE)=0,"",VLOOKUP($B120,Показатели!$E:$W,7,FALSE)),"")</f>
        <v>16289676000</v>
      </c>
      <c r="K120">
        <f>IFERROR(IF(VLOOKUP($B120,Показатели!$E:$W,8,FALSE)=0,"",VLOOKUP($B120,Показатели!$E:$W,8,FALSE)),"")</f>
        <v>15530210000</v>
      </c>
      <c r="L120">
        <f>IFERROR(IF(VLOOKUP($B120,Показатели!$E:$W,9,FALSE)=0,"",VLOOKUP($B120,Показатели!$E:$W,9,FALSE)),"")</f>
        <v>-2344626000</v>
      </c>
      <c r="M120">
        <f>IFERROR(IF(VLOOKUP($B120,Показатели!$E:$W,10,FALSE)=0,"",VLOOKUP($B120,Показатели!$E:$W,10,FALSE)),"")</f>
        <v>38226779000</v>
      </c>
      <c r="N120">
        <f>IFERROR(IF(VLOOKUP($B120,Показатели!$E:$W,11,FALSE)=0,"",VLOOKUP($B120,Показатели!$E:$W,11,FALSE)),"")</f>
        <v>65834843000</v>
      </c>
      <c r="O120">
        <f>IFERROR(IF(VLOOKUP($B120,Показатели!$E:$W,12,FALSE)=0,"",VLOOKUP($B120,Показатели!$E:$W,12,FALSE)),"")</f>
        <v>2842094000</v>
      </c>
      <c r="P120">
        <f>IFERROR(IF(VLOOKUP($B120,Показатели!$E:$W,13,FALSE)=0,"",VLOOKUP($B120,Показатели!$E:$W,13,FALSE)),"")</f>
        <v>1126994000</v>
      </c>
      <c r="Q120">
        <f>IFERROR(IF(VLOOKUP($B120,Показатели!$E:$W,14,FALSE)=0,"",VLOOKUP($B120,Показатели!$E:$W,14,FALSE)),"")</f>
        <v>895651000</v>
      </c>
      <c r="R120">
        <f>IFERROR(IF(VLOOKUP($B120,Показатели!$E:$W,15,FALSE)=0,"",VLOOKUP($B120,Показатели!$E:$W,15,FALSE)),"")</f>
        <v>3384877000</v>
      </c>
      <c r="S120" t="str">
        <f>IFERROR(IF(VLOOKUP($B120,Показатели!$E:$W,16,FALSE)=0,"",VLOOKUP($B120,Показатели!$E:$W,16,FALSE)),"")</f>
        <v/>
      </c>
      <c r="T120">
        <f>IFERROR(IF(VLOOKUP($B120,Показатели!$E:$W,17,FALSE)=0,"",VLOOKUP($B120,Показатели!$E:$W,17,FALSE)),"")</f>
        <v>-9513357000</v>
      </c>
      <c r="U120">
        <f>IFERROR(IF(VLOOKUP($B120,Показатели!$E:$W,18,FALSE)=0,"",VLOOKUP($B120,Показатели!$E:$W,18,FALSE)),"")</f>
        <v>73264973000</v>
      </c>
      <c r="V120">
        <f>IFERROR(IF(VLOOKUP($B120,Показатели!$E:$W,19,FALSE)=0,"",VLOOKUP($B120,Показатели!$E:$W,19,FALSE)),"")</f>
        <v>83861945000</v>
      </c>
    </row>
    <row r="121" spans="1:22" x14ac:dyDescent="0.2">
      <c r="A121" s="7" t="s">
        <v>2190</v>
      </c>
      <c r="B121" t="str">
        <f t="shared" si="1"/>
        <v>ELFV IV кв. 2018</v>
      </c>
      <c r="C121">
        <v>2018</v>
      </c>
      <c r="D121">
        <f>SUMIFS(Дивиденды!$C:$C,Дивиденды!$A:$A,A121,Дивиденды!$I:$I,C121)</f>
        <v>0.14000000000000001</v>
      </c>
      <c r="E121">
        <f>IFERROR(IF(VLOOKUP($B121,Показатели!$E:$W,2,FALSE)=0,"",VLOOKUP($B121,Показатели!$E:$W,2,FALSE)),"")</f>
        <v>6090470000</v>
      </c>
      <c r="F121">
        <f>IFERROR(IF(VLOOKUP($B121,Показатели!$E:$W,3,FALSE)=0,"",VLOOKUP($B121,Показатели!$E:$W,3,FALSE)),"")</f>
        <v>18050551000</v>
      </c>
      <c r="G121">
        <f>IFERROR(IF(VLOOKUP($B121,Показатели!$E:$W,4,FALSE)=0,"",VLOOKUP($B121,Показатели!$E:$W,4,FALSE)),"")</f>
        <v>62986329000</v>
      </c>
      <c r="H121">
        <f>IFERROR(IF(VLOOKUP($B121,Показатели!$E:$W,5,FALSE)=0,"",VLOOKUP($B121,Показатели!$E:$W,5,FALSE)),"")</f>
        <v>260720000</v>
      </c>
      <c r="I121">
        <f>IFERROR(IF(VLOOKUP($B121,Показатели!$E:$W,6,FALSE)=0,"",VLOOKUP($B121,Показатели!$E:$W,6,FALSE)),"")</f>
        <v>83861945000</v>
      </c>
      <c r="J121">
        <f>IFERROR(IF(VLOOKUP($B121,Показатели!$E:$W,7,FALSE)=0,"",VLOOKUP($B121,Показатели!$E:$W,7,FALSE)),"")</f>
        <v>19883401000</v>
      </c>
      <c r="K121">
        <f>IFERROR(IF(VLOOKUP($B121,Показатели!$E:$W,8,FALSE)=0,"",VLOOKUP($B121,Показатели!$E:$W,8,FALSE)),"")</f>
        <v>19462250000</v>
      </c>
      <c r="L121">
        <f>IFERROR(IF(VLOOKUP($B121,Показатели!$E:$W,9,FALSE)=0,"",VLOOKUP($B121,Показатели!$E:$W,9,FALSE)),"")</f>
        <v>1986789000</v>
      </c>
      <c r="M121">
        <f>IFERROR(IF(VLOOKUP($B121,Показатели!$E:$W,10,FALSE)=0,"",VLOOKUP($B121,Показатели!$E:$W,10,FALSE)),"")</f>
        <v>44516294000</v>
      </c>
      <c r="N121">
        <f>IFERROR(IF(VLOOKUP($B121,Показатели!$E:$W,11,FALSE)=0,"",VLOOKUP($B121,Показатели!$E:$W,11,FALSE)),"")</f>
        <v>73264973000</v>
      </c>
      <c r="O121">
        <f>IFERROR(IF(VLOOKUP($B121,Показатели!$E:$W,12,FALSE)=0,"",VLOOKUP($B121,Показатели!$E:$W,12,FALSE)),"")</f>
        <v>12535977000</v>
      </c>
      <c r="P121">
        <f>IFERROR(IF(VLOOKUP($B121,Показатели!$E:$W,13,FALSE)=0,"",VLOOKUP($B121,Показатели!$E:$W,13,FALSE)),"")</f>
        <v>9868097000</v>
      </c>
      <c r="Q121">
        <f>IFERROR(IF(VLOOKUP($B121,Показатели!$E:$W,14,FALSE)=0,"",VLOOKUP($B121,Показатели!$E:$W,14,FALSE)),"")</f>
        <v>7698604000</v>
      </c>
      <c r="R121">
        <f>IFERROR(IF(VLOOKUP($B121,Показатели!$E:$W,15,FALSE)=0,"",VLOOKUP($B121,Показатели!$E:$W,15,FALSE)),"")</f>
        <v>3869460000</v>
      </c>
      <c r="S121" t="str">
        <f>IFERROR(IF(VLOOKUP($B121,Показатели!$E:$W,16,FALSE)=0,"",VLOOKUP($B121,Показатели!$E:$W,16,FALSE)),"")</f>
        <v/>
      </c>
      <c r="T121">
        <f>IFERROR(IF(VLOOKUP($B121,Показатели!$E:$W,17,FALSE)=0,"",VLOOKUP($B121,Показатели!$E:$W,17,FALSE)),"")</f>
        <v>-6409038000</v>
      </c>
      <c r="U121">
        <f>IFERROR(IF(VLOOKUP($B121,Показатели!$E:$W,18,FALSE)=0,"",VLOOKUP($B121,Показатели!$E:$W,18,FALSE)),"")</f>
        <v>74399944000</v>
      </c>
      <c r="V121">
        <f>IFERROR(IF(VLOOKUP($B121,Показатели!$E:$W,19,FALSE)=0,"",VLOOKUP($B121,Показатели!$E:$W,19,FALSE)),"")</f>
        <v>80990678000</v>
      </c>
    </row>
    <row r="122" spans="1:22" x14ac:dyDescent="0.2">
      <c r="A122" s="7" t="s">
        <v>2190</v>
      </c>
      <c r="B122" t="str">
        <f t="shared" si="1"/>
        <v>ELFV IV кв. 2017</v>
      </c>
      <c r="C122">
        <v>2017</v>
      </c>
      <c r="D122">
        <f>SUMIFS(Дивиденды!$C:$C,Дивиденды!$A:$A,A122,Дивиденды!$I:$I,C122)</f>
        <v>0.14000000000000001</v>
      </c>
      <c r="E122">
        <f>IFERROR(IF(VLOOKUP($B122,Показатели!$E:$W,2,FALSE)=0,"",VLOOKUP($B122,Показатели!$E:$W,2,FALSE)),"")</f>
        <v>5979050000</v>
      </c>
      <c r="F122">
        <f>IFERROR(IF(VLOOKUP($B122,Показатели!$E:$W,3,FALSE)=0,"",VLOOKUP($B122,Показатели!$E:$W,3,FALSE)),"")</f>
        <v>17468404000</v>
      </c>
      <c r="G122">
        <f>IFERROR(IF(VLOOKUP($B122,Показатели!$E:$W,4,FALSE)=0,"",VLOOKUP($B122,Показатели!$E:$W,4,FALSE)),"")</f>
        <v>60232616000</v>
      </c>
      <c r="H122">
        <f>IFERROR(IF(VLOOKUP($B122,Показатели!$E:$W,5,FALSE)=0,"",VLOOKUP($B122,Показатели!$E:$W,5,FALSE)),"")</f>
        <v>288290000</v>
      </c>
      <c r="I122">
        <f>IFERROR(IF(VLOOKUP($B122,Показатели!$E:$W,6,FALSE)=0,"",VLOOKUP($B122,Показатели!$E:$W,6,FALSE)),"")</f>
        <v>80990678000</v>
      </c>
      <c r="J122">
        <f>IFERROR(IF(VLOOKUP($B122,Показатели!$E:$W,7,FALSE)=0,"",VLOOKUP($B122,Показатели!$E:$W,7,FALSE)),"")</f>
        <v>25618231000</v>
      </c>
      <c r="K122">
        <f>IFERROR(IF(VLOOKUP($B122,Показатели!$E:$W,8,FALSE)=0,"",VLOOKUP($B122,Показатели!$E:$W,8,FALSE)),"")</f>
        <v>14062544000</v>
      </c>
      <c r="L122">
        <f>IFERROR(IF(VLOOKUP($B122,Показатели!$E:$W,9,FALSE)=0,"",VLOOKUP($B122,Показатели!$E:$W,9,FALSE)),"")</f>
        <v>-582412000</v>
      </c>
      <c r="M122">
        <f>IFERROR(IF(VLOOKUP($B122,Показатели!$E:$W,10,FALSE)=0,"",VLOOKUP($B122,Показатели!$E:$W,10,FALSE)),"")</f>
        <v>41309903000</v>
      </c>
      <c r="N122">
        <f>IFERROR(IF(VLOOKUP($B122,Показатели!$E:$W,11,FALSE)=0,"",VLOOKUP($B122,Показатели!$E:$W,11,FALSE)),"")</f>
        <v>74399944000</v>
      </c>
      <c r="O122">
        <f>IFERROR(IF(VLOOKUP($B122,Показатели!$E:$W,12,FALSE)=0,"",VLOOKUP($B122,Показатели!$E:$W,12,FALSE)),"")</f>
        <v>13970017000</v>
      </c>
      <c r="P122">
        <f>IFERROR(IF(VLOOKUP($B122,Показатели!$E:$W,13,FALSE)=0,"",VLOOKUP($B122,Показатели!$E:$W,13,FALSE)),"")</f>
        <v>10932547000</v>
      </c>
      <c r="Q122">
        <f>IFERROR(IF(VLOOKUP($B122,Показатели!$E:$W,14,FALSE)=0,"",VLOOKUP($B122,Показатели!$E:$W,14,FALSE)),"")</f>
        <v>8544260000</v>
      </c>
      <c r="R122">
        <f>IFERROR(IF(VLOOKUP($B122,Показатели!$E:$W,15,FALSE)=0,"",VLOOKUP($B122,Показатели!$E:$W,15,FALSE)),"")</f>
        <v>3497787000</v>
      </c>
      <c r="S122" t="str">
        <f>IFERROR(IF(VLOOKUP($B122,Показатели!$E:$W,16,FALSE)=0,"",VLOOKUP($B122,Показатели!$E:$W,16,FALSE)),"")</f>
        <v/>
      </c>
      <c r="T122">
        <f>IFERROR(IF(VLOOKUP($B122,Показатели!$E:$W,17,FALSE)=0,"",VLOOKUP($B122,Показатели!$E:$W,17,FALSE)),"")</f>
        <v>-6209892000</v>
      </c>
      <c r="U122">
        <f>IFERROR(IF(VLOOKUP($B122,Показатели!$E:$W,18,FALSE)=0,"",VLOOKUP($B122,Показатели!$E:$W,18,FALSE)),"")</f>
        <v>72211396000</v>
      </c>
      <c r="V122">
        <f>IFERROR(IF(VLOOKUP($B122,Показатели!$E:$W,19,FALSE)=0,"",VLOOKUP($B122,Показатели!$E:$W,19,FALSE)),"")</f>
        <v>77308497000</v>
      </c>
    </row>
    <row r="123" spans="1:22" x14ac:dyDescent="0.2">
      <c r="A123" s="7" t="s">
        <v>2190</v>
      </c>
      <c r="B123" t="str">
        <f t="shared" si="1"/>
        <v>ELFV IV кв. 2016</v>
      </c>
      <c r="C123">
        <v>2016</v>
      </c>
      <c r="D123">
        <f>SUMIFS(Дивиденды!$C:$C,Дивиденды!$A:$A,A123,Дивиденды!$I:$I,C123)</f>
        <v>6.8199999999999997E-2</v>
      </c>
      <c r="E123">
        <f>IFERROR(IF(VLOOKUP($B123,Показатели!$E:$W,2,FALSE)=0,"",VLOOKUP($B123,Показатели!$E:$W,2,FALSE)),"")</f>
        <v>5750770000</v>
      </c>
      <c r="F123">
        <f>IFERROR(IF(VLOOKUP($B123,Показатели!$E:$W,3,FALSE)=0,"",VLOOKUP($B123,Показатели!$E:$W,3,FALSE)),"")</f>
        <v>16373754000</v>
      </c>
      <c r="G123">
        <f>IFERROR(IF(VLOOKUP($B123,Показатели!$E:$W,4,FALSE)=0,"",VLOOKUP($B123,Показатели!$E:$W,4,FALSE)),"")</f>
        <v>56517784000</v>
      </c>
      <c r="H123" t="str">
        <f>IFERROR(IF(VLOOKUP($B123,Показатели!$E:$W,5,FALSE)=0,"",VLOOKUP($B123,Показатели!$E:$W,5,FALSE)),"")</f>
        <v/>
      </c>
      <c r="I123">
        <f>IFERROR(IF(VLOOKUP($B123,Показатели!$E:$W,6,FALSE)=0,"",VLOOKUP($B123,Показатели!$E:$W,6,FALSE)),"")</f>
        <v>77308497000</v>
      </c>
      <c r="J123">
        <f>IFERROR(IF(VLOOKUP($B123,Показатели!$E:$W,7,FALSE)=0,"",VLOOKUP($B123,Показатели!$E:$W,7,FALSE)),"")</f>
        <v>15454118000</v>
      </c>
      <c r="K123">
        <f>IFERROR(IF(VLOOKUP($B123,Показатели!$E:$W,8,FALSE)=0,"",VLOOKUP($B123,Показатели!$E:$W,8,FALSE)),"")</f>
        <v>26577116000</v>
      </c>
      <c r="L123">
        <f>IFERROR(IF(VLOOKUP($B123,Показатели!$E:$W,9,FALSE)=0,"",VLOOKUP($B123,Показатели!$E:$W,9,FALSE)),"")</f>
        <v>-6689046000</v>
      </c>
      <c r="M123">
        <f>IFERROR(IF(VLOOKUP($B123,Показатели!$E:$W,10,FALSE)=0,"",VLOOKUP($B123,Показатели!$E:$W,10,FALSE)),"")</f>
        <v>35277263000</v>
      </c>
      <c r="N123">
        <f>IFERROR(IF(VLOOKUP($B123,Показатели!$E:$W,11,FALSE)=0,"",VLOOKUP($B123,Показатели!$E:$W,11,FALSE)),"")</f>
        <v>72211396000</v>
      </c>
      <c r="O123">
        <f>IFERROR(IF(VLOOKUP($B123,Показатели!$E:$W,12,FALSE)=0,"",VLOOKUP($B123,Показатели!$E:$W,12,FALSE)),"")</f>
        <v>10333967000</v>
      </c>
      <c r="P123">
        <f>IFERROR(IF(VLOOKUP($B123,Показатели!$E:$W,13,FALSE)=0,"",VLOOKUP($B123,Показатели!$E:$W,13,FALSE)),"")</f>
        <v>5497554000</v>
      </c>
      <c r="Q123">
        <f>IFERROR(IF(VLOOKUP($B123,Показатели!$E:$W,14,FALSE)=0,"",VLOOKUP($B123,Показатели!$E:$W,14,FALSE)),"")</f>
        <v>4386882000</v>
      </c>
      <c r="R123" t="str">
        <f>IFERROR(IF(VLOOKUP($B123,Показатели!$E:$W,15,FALSE)=0,"",VLOOKUP($B123,Показатели!$E:$W,15,FALSE)),"")</f>
        <v/>
      </c>
      <c r="S123">
        <f>IFERROR(IF(VLOOKUP($B123,Показатели!$E:$W,16,FALSE)=0,"",VLOOKUP($B123,Показатели!$E:$W,16,FALSE)),"")</f>
        <v>13909000000</v>
      </c>
      <c r="T123">
        <f>IFERROR(IF(VLOOKUP($B123,Показатели!$E:$W,17,FALSE)=0,"",VLOOKUP($B123,Показатели!$E:$W,17,FALSE)),"")</f>
        <v>8534995000</v>
      </c>
      <c r="U123">
        <f>IFERROR(IF(VLOOKUP($B123,Показатели!$E:$W,18,FALSE)=0,"",VLOOKUP($B123,Показатели!$E:$W,18,FALSE)),"")</f>
        <v>70992133000</v>
      </c>
      <c r="V123">
        <f>IFERROR(IF(VLOOKUP($B123,Показатели!$E:$W,19,FALSE)=0,"",VLOOKUP($B123,Показатели!$E:$W,19,FALSE)),"")</f>
        <v>86362062000</v>
      </c>
    </row>
    <row r="124" spans="1:22" x14ac:dyDescent="0.2">
      <c r="A124" s="7" t="s">
        <v>2190</v>
      </c>
      <c r="B124" t="str">
        <f t="shared" si="1"/>
        <v>ELFV IV кв. 2015</v>
      </c>
      <c r="C124">
        <v>2015</v>
      </c>
      <c r="D124">
        <f>SUMIFS(Дивиденды!$C:$C,Дивиденды!$A:$A,A124,Дивиденды!$I:$I,C124)</f>
        <v>0</v>
      </c>
      <c r="E124">
        <f>IFERROR(IF(VLOOKUP($B124,Показатели!$E:$W,2,FALSE)=0,"",VLOOKUP($B124,Показатели!$E:$W,2,FALSE)),"")</f>
        <v>10445150000</v>
      </c>
      <c r="F124">
        <f>IFERROR(IF(VLOOKUP($B124,Показатели!$E:$W,3,FALSE)=0,"",VLOOKUP($B124,Показатели!$E:$W,3,FALSE)),"")</f>
        <v>28325148000</v>
      </c>
      <c r="G124">
        <f>IFERROR(IF(VLOOKUP($B124,Показатели!$E:$W,4,FALSE)=0,"",VLOOKUP($B124,Показатели!$E:$W,4,FALSE)),"")</f>
        <v>51887794000</v>
      </c>
      <c r="H124" t="str">
        <f>IFERROR(IF(VLOOKUP($B124,Показатели!$E:$W,5,FALSE)=0,"",VLOOKUP($B124,Показатели!$E:$W,5,FALSE)),"")</f>
        <v/>
      </c>
      <c r="I124">
        <f>IFERROR(IF(VLOOKUP($B124,Показатели!$E:$W,6,FALSE)=0,"",VLOOKUP($B124,Показатели!$E:$W,6,FALSE)),"")</f>
        <v>86362062000</v>
      </c>
      <c r="J124">
        <f>IFERROR(IF(VLOOKUP($B124,Показатели!$E:$W,7,FALSE)=0,"",VLOOKUP($B124,Показатели!$E:$W,7,FALSE)),"")</f>
        <v>20907095000</v>
      </c>
      <c r="K124">
        <f>IFERROR(IF(VLOOKUP($B124,Показатели!$E:$W,8,FALSE)=0,"",VLOOKUP($B124,Показатели!$E:$W,8,FALSE)),"")</f>
        <v>34424677000</v>
      </c>
      <c r="L124">
        <f>IFERROR(IF(VLOOKUP($B124,Показатели!$E:$W,9,FALSE)=0,"",VLOOKUP($B124,Показатели!$E:$W,9,FALSE)),"")</f>
        <v>-10909549000</v>
      </c>
      <c r="M124">
        <f>IFERROR(IF(VLOOKUP($B124,Показатели!$E:$W,10,FALSE)=0,"",VLOOKUP($B124,Показатели!$E:$W,10,FALSE)),"")</f>
        <v>31030290000</v>
      </c>
      <c r="N124">
        <f>IFERROR(IF(VLOOKUP($B124,Показатели!$E:$W,11,FALSE)=0,"",VLOOKUP($B124,Показатели!$E:$W,11,FALSE)),"")</f>
        <v>70992133000</v>
      </c>
      <c r="O124">
        <f>IFERROR(IF(VLOOKUP($B124,Показатели!$E:$W,12,FALSE)=0,"",VLOOKUP($B124,Показатели!$E:$W,12,FALSE)),"")</f>
        <v>-54682416000</v>
      </c>
      <c r="P124">
        <f>IFERROR(IF(VLOOKUP($B124,Показатели!$E:$W,13,FALSE)=0,"",VLOOKUP($B124,Показатели!$E:$W,13,FALSE)),"")</f>
        <v>-60488793000</v>
      </c>
      <c r="Q124">
        <f>IFERROR(IF(VLOOKUP($B124,Показатели!$E:$W,14,FALSE)=0,"",VLOOKUP($B124,Показатели!$E:$W,14,FALSE)),"")</f>
        <v>-48629447000</v>
      </c>
      <c r="R124" t="str">
        <f>IFERROR(IF(VLOOKUP($B124,Показатели!$E:$W,15,FALSE)=0,"",VLOOKUP($B124,Показатели!$E:$W,15,FALSE)),"")</f>
        <v/>
      </c>
      <c r="S124">
        <f>IFERROR(IF(VLOOKUP($B124,Показатели!$E:$W,16,FALSE)=0,"",VLOOKUP($B124,Показатели!$E:$W,16,FALSE)),"")</f>
        <v>10821000000</v>
      </c>
      <c r="T124">
        <f>IFERROR(IF(VLOOKUP($B124,Показатели!$E:$W,17,FALSE)=0,"",VLOOKUP($B124,Показатели!$E:$W,17,FALSE)),"")</f>
        <v>8074000000</v>
      </c>
      <c r="U124">
        <f>IFERROR(IF(VLOOKUP($B124,Показатели!$E:$W,18,FALSE)=0,"",VLOOKUP($B124,Показатели!$E:$W,18,FALSE)),"")</f>
        <v>74405168000</v>
      </c>
      <c r="V124">
        <f>IFERROR(IF(VLOOKUP($B124,Показатели!$E:$W,19,FALSE)=0,"",VLOOKUP($B124,Показатели!$E:$W,19,FALSE)),"")</f>
        <v>141367028000</v>
      </c>
    </row>
    <row r="125" spans="1:22" x14ac:dyDescent="0.2">
      <c r="A125" s="7" t="s">
        <v>2190</v>
      </c>
      <c r="B125" t="str">
        <f t="shared" si="1"/>
        <v>ELFV IV кв. 2014</v>
      </c>
      <c r="C125">
        <v>2014</v>
      </c>
      <c r="D125">
        <f>SUMIFS(Дивиденды!$C:$C,Дивиденды!$A:$A,A125,Дивиденды!$I:$I,C125)</f>
        <v>8.0699999999999994E-2</v>
      </c>
      <c r="E125">
        <f>IFERROR(IF(VLOOKUP($B125,Показатели!$E:$W,2,FALSE)=0,"",VLOOKUP($B125,Показатели!$E:$W,2,FALSE)),"")</f>
        <v>7557580000</v>
      </c>
      <c r="F125">
        <f>IFERROR(IF(VLOOKUP($B125,Показатели!$E:$W,3,FALSE)=0,"",VLOOKUP($B125,Показатели!$E:$W,3,FALSE)),"")</f>
        <v>26807906000</v>
      </c>
      <c r="G125">
        <f>IFERROR(IF(VLOOKUP($B125,Показатели!$E:$W,4,FALSE)=0,"",VLOOKUP($B125,Показатели!$E:$W,4,FALSE)),"")</f>
        <v>110641596000</v>
      </c>
      <c r="H125" t="str">
        <f>IFERROR(IF(VLOOKUP($B125,Показатели!$E:$W,5,FALSE)=0,"",VLOOKUP($B125,Показатели!$E:$W,5,FALSE)),"")</f>
        <v/>
      </c>
      <c r="I125">
        <f>IFERROR(IF(VLOOKUP($B125,Показатели!$E:$W,6,FALSE)=0,"",VLOOKUP($B125,Показатели!$E:$W,6,FALSE)),"")</f>
        <v>141367028000</v>
      </c>
      <c r="J125">
        <f>IFERROR(IF(VLOOKUP($B125,Показатели!$E:$W,7,FALSE)=0,"",VLOOKUP($B125,Показатели!$E:$W,7,FALSE)),"")</f>
        <v>23496095000</v>
      </c>
      <c r="K125">
        <f>IFERROR(IF(VLOOKUP($B125,Показатели!$E:$W,8,FALSE)=0,"",VLOOKUP($B125,Показатели!$E:$W,8,FALSE)),"")</f>
        <v>34154365000</v>
      </c>
      <c r="L125">
        <f>IFERROR(IF(VLOOKUP($B125,Показатели!$E:$W,9,FALSE)=0,"",VLOOKUP($B125,Показатели!$E:$W,9,FALSE)),"")</f>
        <v>41005043000</v>
      </c>
      <c r="M125">
        <f>IFERROR(IF(VLOOKUP($B125,Показатели!$E:$W,10,FALSE)=0,"",VLOOKUP($B125,Показатели!$E:$W,10,FALSE)),"")</f>
        <v>83716568000</v>
      </c>
      <c r="N125">
        <f>IFERROR(IF(VLOOKUP($B125,Показатели!$E:$W,11,FALSE)=0,"",VLOOKUP($B125,Показатели!$E:$W,11,FALSE)),"")</f>
        <v>74405168000</v>
      </c>
      <c r="O125">
        <f>IFERROR(IF(VLOOKUP($B125,Показатели!$E:$W,12,FALSE)=0,"",VLOOKUP($B125,Показатели!$E:$W,12,FALSE)),"")</f>
        <v>9778320000</v>
      </c>
      <c r="P125">
        <f>IFERROR(IF(VLOOKUP($B125,Показатели!$E:$W,13,FALSE)=0,"",VLOOKUP($B125,Показатели!$E:$W,13,FALSE)),"")</f>
        <v>7062573000</v>
      </c>
      <c r="Q125">
        <f>IFERROR(IF(VLOOKUP($B125,Показатели!$E:$W,14,FALSE)=0,"",VLOOKUP($B125,Показатели!$E:$W,14,FALSE)),"")</f>
        <v>5581828000</v>
      </c>
      <c r="R125" t="str">
        <f>IFERROR(IF(VLOOKUP($B125,Показатели!$E:$W,15,FALSE)=0,"",VLOOKUP($B125,Показатели!$E:$W,15,FALSE)),"")</f>
        <v/>
      </c>
      <c r="S125">
        <f>IFERROR(IF(VLOOKUP($B125,Показатели!$E:$W,16,FALSE)=0,"",VLOOKUP($B125,Показатели!$E:$W,16,FALSE)),"")</f>
        <v>15757000000</v>
      </c>
      <c r="T125">
        <f>IFERROR(IF(VLOOKUP($B125,Показатели!$E:$W,17,FALSE)=0,"",VLOOKUP($B125,Показатели!$E:$W,17,FALSE)),"")</f>
        <v>10489000000</v>
      </c>
      <c r="U125">
        <f>IFERROR(IF(VLOOKUP($B125,Показатели!$E:$W,18,FALSE)=0,"",VLOOKUP($B125,Показатели!$E:$W,18,FALSE)),"")</f>
        <v>69722598000</v>
      </c>
      <c r="V125">
        <f>IFERROR(IF(VLOOKUP($B125,Показатели!$E:$W,19,FALSE)=0,"",VLOOKUP($B125,Показатели!$E:$W,19,FALSE)),"")</f>
        <v>132599761000</v>
      </c>
    </row>
    <row r="126" spans="1:22" x14ac:dyDescent="0.2">
      <c r="A126" s="7" t="s">
        <v>2190</v>
      </c>
      <c r="B126" t="str">
        <f t="shared" si="1"/>
        <v>ELFV IV кв. 2013</v>
      </c>
      <c r="C126">
        <v>2013</v>
      </c>
      <c r="D126">
        <f>SUMIFS(Дивиденды!$C:$C,Дивиденды!$A:$A,A126,Дивиденды!$I:$I,C126)</f>
        <v>5.5899999999999998E-2</v>
      </c>
      <c r="E126">
        <f>IFERROR(IF(VLOOKUP($B126,Показатели!$E:$W,2,FALSE)=0,"",VLOOKUP($B126,Показатели!$E:$W,2,FALSE)),"")</f>
        <v>8618040000</v>
      </c>
      <c r="F126">
        <f>IFERROR(IF(VLOOKUP($B126,Показатели!$E:$W,3,FALSE)=0,"",VLOOKUP($B126,Показатели!$E:$W,3,FALSE)),"")</f>
        <v>21604410000</v>
      </c>
      <c r="G126">
        <f>IFERROR(IF(VLOOKUP($B126,Показатели!$E:$W,4,FALSE)=0,"",VLOOKUP($B126,Показатели!$E:$W,4,FALSE)),"")</f>
        <v>109822570000</v>
      </c>
      <c r="H126" t="str">
        <f>IFERROR(IF(VLOOKUP($B126,Показатели!$E:$W,5,FALSE)=0,"",VLOOKUP($B126,Показатели!$E:$W,5,FALSE)),"")</f>
        <v/>
      </c>
      <c r="I126">
        <f>IFERROR(IF(VLOOKUP($B126,Показатели!$E:$W,6,FALSE)=0,"",VLOOKUP($B126,Показатели!$E:$W,6,FALSE)),"")</f>
        <v>132599761000</v>
      </c>
      <c r="J126">
        <f>IFERROR(IF(VLOOKUP($B126,Показатели!$E:$W,7,FALSE)=0,"",VLOOKUP($B126,Показатели!$E:$W,7,FALSE)),"")</f>
        <v>21005352000</v>
      </c>
      <c r="K126">
        <f>IFERROR(IF(VLOOKUP($B126,Показатели!$E:$W,8,FALSE)=0,"",VLOOKUP($B126,Показатели!$E:$W,8,FALSE)),"")</f>
        <v>33490805000</v>
      </c>
      <c r="L126">
        <f>IFERROR(IF(VLOOKUP($B126,Показатели!$E:$W,9,FALSE)=0,"",VLOOKUP($B126,Показатели!$E:$W,9,FALSE)),"")</f>
        <v>36212889000</v>
      </c>
      <c r="M126">
        <f>IFERROR(IF(VLOOKUP($B126,Показатели!$E:$W,10,FALSE)=0,"",VLOOKUP($B126,Показатели!$E:$W,10,FALSE)),"")</f>
        <v>78103604000</v>
      </c>
      <c r="N126">
        <f>IFERROR(IF(VLOOKUP($B126,Показатели!$E:$W,11,FALSE)=0,"",VLOOKUP($B126,Показатели!$E:$W,11,FALSE)),"")</f>
        <v>69722598000</v>
      </c>
      <c r="O126">
        <f>IFERROR(IF(VLOOKUP($B126,Показатели!$E:$W,12,FALSE)=0,"",VLOOKUP($B126,Показатели!$E:$W,12,FALSE)),"")</f>
        <v>9852322000</v>
      </c>
      <c r="P126">
        <f>IFERROR(IF(VLOOKUP($B126,Показатели!$E:$W,13,FALSE)=0,"",VLOOKUP($B126,Показатели!$E:$W,13,FALSE)),"")</f>
        <v>6685932000</v>
      </c>
      <c r="Q126">
        <f>IFERROR(IF(VLOOKUP($B126,Показатели!$E:$W,14,FALSE)=0,"",VLOOKUP($B126,Показатели!$E:$W,14,FALSE)),"")</f>
        <v>4938892000</v>
      </c>
      <c r="R126" t="str">
        <f>IFERROR(IF(VLOOKUP($B126,Показатели!$E:$W,15,FALSE)=0,"",VLOOKUP($B126,Показатели!$E:$W,15,FALSE)),"")</f>
        <v/>
      </c>
      <c r="S126">
        <f>IFERROR(IF(VLOOKUP($B126,Показатели!$E:$W,16,FALSE)=0,"",VLOOKUP($B126,Показатели!$E:$W,16,FALSE)),"")</f>
        <v>16848000000</v>
      </c>
      <c r="T126" t="str">
        <f>IFERROR(IF(VLOOKUP($B126,Показатели!$E:$W,17,FALSE)=0,"",VLOOKUP($B126,Показатели!$E:$W,17,FALSE)),"")</f>
        <v/>
      </c>
      <c r="U126">
        <f>IFERROR(IF(VLOOKUP($B126,Показатели!$E:$W,18,FALSE)=0,"",VLOOKUP($B126,Показатели!$E:$W,18,FALSE)),"")</f>
        <v>66545961000</v>
      </c>
      <c r="V126">
        <f>IFERROR(IF(VLOOKUP($B126,Показатели!$E:$W,19,FALSE)=0,"",VLOOKUP($B126,Показатели!$E:$W,19,FALSE)),"")</f>
        <v>127863836000</v>
      </c>
    </row>
    <row r="127" spans="1:22" x14ac:dyDescent="0.2">
      <c r="A127" s="7" t="s">
        <v>2190</v>
      </c>
      <c r="B127" t="str">
        <f t="shared" si="1"/>
        <v>ELFV IV кв. 2012</v>
      </c>
      <c r="C127">
        <v>2012</v>
      </c>
      <c r="D127">
        <f>SUMIFS(Дивиденды!$C:$C,Дивиденды!$A:$A,A127,Дивиденды!$I:$I,C127)</f>
        <v>0</v>
      </c>
      <c r="E127">
        <f>IFERROR(IF(VLOOKUP($B127,Показатели!$E:$W,2,FALSE)=0,"",VLOOKUP($B127,Показатели!$E:$W,2,FALSE)),"")</f>
        <v>5350480000</v>
      </c>
      <c r="F127">
        <f>IFERROR(IF(VLOOKUP($B127,Показатели!$E:$W,3,FALSE)=0,"",VLOOKUP($B127,Показатели!$E:$W,3,FALSE)),"")</f>
        <v>18306457000</v>
      </c>
      <c r="G127">
        <f>IFERROR(IF(VLOOKUP($B127,Показатели!$E:$W,4,FALSE)=0,"",VLOOKUP($B127,Показатели!$E:$W,4,FALSE)),"")</f>
        <v>108132493000</v>
      </c>
      <c r="H127" t="str">
        <f>IFERROR(IF(VLOOKUP($B127,Показатели!$E:$W,5,FALSE)=0,"",VLOOKUP($B127,Показатели!$E:$W,5,FALSE)),"")</f>
        <v/>
      </c>
      <c r="I127">
        <f>IFERROR(IF(VLOOKUP($B127,Показатели!$E:$W,6,FALSE)=0,"",VLOOKUP($B127,Показатели!$E:$W,6,FALSE)),"")</f>
        <v>127863836000</v>
      </c>
      <c r="J127">
        <f>IFERROR(IF(VLOOKUP($B127,Показатели!$E:$W,7,FALSE)=0,"",VLOOKUP($B127,Показатели!$E:$W,7,FALSE)),"")</f>
        <v>17459600000</v>
      </c>
      <c r="K127">
        <f>IFERROR(IF(VLOOKUP($B127,Показатели!$E:$W,8,FALSE)=0,"",VLOOKUP($B127,Показатели!$E:$W,8,FALSE)),"")</f>
        <v>34863468000</v>
      </c>
      <c r="L127">
        <f>IFERROR(IF(VLOOKUP($B127,Показатели!$E:$W,9,FALSE)=0,"",VLOOKUP($B127,Показатели!$E:$W,9,FALSE)),"")</f>
        <v>33778453000</v>
      </c>
      <c r="M127">
        <f>IFERROR(IF(VLOOKUP($B127,Показатели!$E:$W,10,FALSE)=0,"",VLOOKUP($B127,Показатели!$E:$W,10,FALSE)),"")</f>
        <v>75540768000</v>
      </c>
      <c r="N127">
        <f>IFERROR(IF(VLOOKUP($B127,Показатели!$E:$W,11,FALSE)=0,"",VLOOKUP($B127,Показатели!$E:$W,11,FALSE)),"")</f>
        <v>66545961000</v>
      </c>
      <c r="O127">
        <f>IFERROR(IF(VLOOKUP($B127,Показатели!$E:$W,12,FALSE)=0,"",VLOOKUP($B127,Показатели!$E:$W,12,FALSE)),"")</f>
        <v>9679392000</v>
      </c>
      <c r="P127">
        <f>IFERROR(IF(VLOOKUP($B127,Показатели!$E:$W,13,FALSE)=0,"",VLOOKUP($B127,Показатели!$E:$W,13,FALSE)),"")</f>
        <v>7039651000</v>
      </c>
      <c r="Q127">
        <f>IFERROR(IF(VLOOKUP($B127,Показатели!$E:$W,14,FALSE)=0,"",VLOOKUP($B127,Показатели!$E:$W,14,FALSE)),"")</f>
        <v>5552902000</v>
      </c>
      <c r="R127" t="str">
        <f>IFERROR(IF(VLOOKUP($B127,Показатели!$E:$W,15,FALSE)=0,"",VLOOKUP($B127,Показатели!$E:$W,15,FALSE)),"")</f>
        <v/>
      </c>
      <c r="S127">
        <f>IFERROR(IF(VLOOKUP($B127,Показатели!$E:$W,16,FALSE)=0,"",VLOOKUP($B127,Показатели!$E:$W,16,FALSE)),"")</f>
        <v>15021000000</v>
      </c>
      <c r="T127" t="str">
        <f>IFERROR(IF(VLOOKUP($B127,Показатели!$E:$W,17,FALSE)=0,"",VLOOKUP($B127,Показатели!$E:$W,17,FALSE)),"")</f>
        <v/>
      </c>
      <c r="U127">
        <f>IFERROR(IF(VLOOKUP($B127,Показатели!$E:$W,18,FALSE)=0,"",VLOOKUP($B127,Показатели!$E:$W,18,FALSE)),"")</f>
        <v>60102491000</v>
      </c>
      <c r="V127">
        <f>IFERROR(IF(VLOOKUP($B127,Показатели!$E:$W,19,FALSE)=0,"",VLOOKUP($B127,Показатели!$E:$W,19,FALSE)),"")</f>
        <v>118976291000</v>
      </c>
    </row>
    <row r="128" spans="1:22" x14ac:dyDescent="0.2">
      <c r="A128" s="7" t="s">
        <v>2190</v>
      </c>
      <c r="B128" t="str">
        <f t="shared" si="1"/>
        <v>ELFV IV кв. 2011</v>
      </c>
      <c r="C128">
        <v>2011</v>
      </c>
      <c r="D128">
        <f>SUMIFS(Дивиденды!$C:$C,Дивиденды!$A:$A,A128,Дивиденды!$I:$I,C128)</f>
        <v>0</v>
      </c>
      <c r="E128">
        <f>IFERROR(IF(VLOOKUP($B128,Показатели!$E:$W,2,FALSE)=0,"",VLOOKUP($B128,Показатели!$E:$W,2,FALSE)),"")</f>
        <v>4736990000</v>
      </c>
      <c r="F128">
        <f>IFERROR(IF(VLOOKUP($B128,Показатели!$E:$W,3,FALSE)=0,"",VLOOKUP($B128,Показатели!$E:$W,3,FALSE)),"")</f>
        <v>16271568000</v>
      </c>
      <c r="G128">
        <f>IFERROR(IF(VLOOKUP($B128,Показатели!$E:$W,4,FALSE)=0,"",VLOOKUP($B128,Показатели!$E:$W,4,FALSE)),"")</f>
        <v>101003887000</v>
      </c>
      <c r="H128" t="str">
        <f>IFERROR(IF(VLOOKUP($B128,Показатели!$E:$W,5,FALSE)=0,"",VLOOKUP($B128,Показатели!$E:$W,5,FALSE)),"")</f>
        <v/>
      </c>
      <c r="I128">
        <f>IFERROR(IF(VLOOKUP($B128,Показатели!$E:$W,6,FALSE)=0,"",VLOOKUP($B128,Показатели!$E:$W,6,FALSE)),"")</f>
        <v>118976291000</v>
      </c>
      <c r="J128">
        <f>IFERROR(IF(VLOOKUP($B128,Показатели!$E:$W,7,FALSE)=0,"",VLOOKUP($B128,Показатели!$E:$W,7,FALSE)),"")</f>
        <v>9335838000</v>
      </c>
      <c r="K128">
        <f>IFERROR(IF(VLOOKUP($B128,Показатели!$E:$W,8,FALSE)=0,"",VLOOKUP($B128,Показатели!$E:$W,8,FALSE)),"")</f>
        <v>39485086000</v>
      </c>
      <c r="L128">
        <f>IFERROR(IF(VLOOKUP($B128,Показатели!$E:$W,9,FALSE)=0,"",VLOOKUP($B128,Показатели!$E:$W,9,FALSE)),"")</f>
        <v>27956949000</v>
      </c>
      <c r="M128">
        <f>IFERROR(IF(VLOOKUP($B128,Показатели!$E:$W,10,FALSE)=0,"",VLOOKUP($B128,Показатели!$E:$W,10,FALSE)),"")</f>
        <v>70155367000</v>
      </c>
      <c r="N128">
        <f>IFERROR(IF(VLOOKUP($B128,Показатели!$E:$W,11,FALSE)=0,"",VLOOKUP($B128,Показатели!$E:$W,11,FALSE)),"")</f>
        <v>60102491000</v>
      </c>
      <c r="O128">
        <f>IFERROR(IF(VLOOKUP($B128,Показатели!$E:$W,12,FALSE)=0,"",VLOOKUP($B128,Показатели!$E:$W,12,FALSE)),"")</f>
        <v>8724063000</v>
      </c>
      <c r="P128">
        <f>IFERROR(IF(VLOOKUP($B128,Показатели!$E:$W,13,FALSE)=0,"",VLOOKUP($B128,Показатели!$E:$W,13,FALSE)),"")</f>
        <v>6271743000</v>
      </c>
      <c r="Q128">
        <f>IFERROR(IF(VLOOKUP($B128,Показатели!$E:$W,14,FALSE)=0,"",VLOOKUP($B128,Показатели!$E:$W,14,FALSE)),"")</f>
        <v>4963583000</v>
      </c>
      <c r="R128" t="str">
        <f>IFERROR(IF(VLOOKUP($B128,Показатели!$E:$W,15,FALSE)=0,"",VLOOKUP($B128,Показатели!$E:$W,15,FALSE)),"")</f>
        <v/>
      </c>
      <c r="S128">
        <f>IFERROR(IF(VLOOKUP($B128,Показатели!$E:$W,16,FALSE)=0,"",VLOOKUP($B128,Показатели!$E:$W,16,FALSE)),"")</f>
        <v>13550000000</v>
      </c>
      <c r="T128" t="str">
        <f>IFERROR(IF(VLOOKUP($B128,Показатели!$E:$W,17,FALSE)=0,"",VLOOKUP($B128,Показатели!$E:$W,17,FALSE)),"")</f>
        <v/>
      </c>
      <c r="U128">
        <f>IFERROR(IF(VLOOKUP($B128,Показатели!$E:$W,18,FALSE)=0,"",VLOOKUP($B128,Показатели!$E:$W,18,FALSE)),"")</f>
        <v>52560582000</v>
      </c>
      <c r="V128">
        <f>IFERROR(IF(VLOOKUP($B128,Показатели!$E:$W,19,FALSE)=0,"",VLOOKUP($B128,Показатели!$E:$W,19,FALSE)),"")</f>
        <v>100581528000</v>
      </c>
    </row>
    <row r="129" spans="1:22" x14ac:dyDescent="0.2">
      <c r="A129" s="7" t="s">
        <v>2190</v>
      </c>
      <c r="B129" t="str">
        <f t="shared" si="1"/>
        <v>ELFV IV кв. 2010</v>
      </c>
      <c r="C129">
        <v>2010</v>
      </c>
      <c r="D129">
        <f>SUMIFS(Дивиденды!$C:$C,Дивиденды!$A:$A,A129,Дивиденды!$I:$I,C129)</f>
        <v>0</v>
      </c>
      <c r="E129" t="str">
        <f>IFERROR(IF(VLOOKUP($B129,Показатели!$E:$W,2,FALSE)=0,"",VLOOKUP($B129,Показатели!$E:$W,2,FALSE)),"")</f>
        <v/>
      </c>
      <c r="F129" t="str">
        <f>IFERROR(IF(VLOOKUP($B129,Показатели!$E:$W,3,FALSE)=0,"",VLOOKUP($B129,Показатели!$E:$W,3,FALSE)),"")</f>
        <v/>
      </c>
      <c r="G129" t="str">
        <f>IFERROR(IF(VLOOKUP($B129,Показатели!$E:$W,4,FALSE)=0,"",VLOOKUP($B129,Показатели!$E:$W,4,FALSE)),"")</f>
        <v/>
      </c>
      <c r="H129" t="str">
        <f>IFERROR(IF(VLOOKUP($B129,Показатели!$E:$W,5,FALSE)=0,"",VLOOKUP($B129,Показатели!$E:$W,5,FALSE)),"")</f>
        <v/>
      </c>
      <c r="I129" t="str">
        <f>IFERROR(IF(VLOOKUP($B129,Показатели!$E:$W,6,FALSE)=0,"",VLOOKUP($B129,Показатели!$E:$W,6,FALSE)),"")</f>
        <v/>
      </c>
      <c r="J129" t="str">
        <f>IFERROR(IF(VLOOKUP($B129,Показатели!$E:$W,7,FALSE)=0,"",VLOOKUP($B129,Показатели!$E:$W,7,FALSE)),"")</f>
        <v/>
      </c>
      <c r="K129" t="str">
        <f>IFERROR(IF(VLOOKUP($B129,Показатели!$E:$W,8,FALSE)=0,"",VLOOKUP($B129,Показатели!$E:$W,8,FALSE)),"")</f>
        <v/>
      </c>
      <c r="L129" t="str">
        <f>IFERROR(IF(VLOOKUP($B129,Показатели!$E:$W,9,FALSE)=0,"",VLOOKUP($B129,Показатели!$E:$W,9,FALSE)),"")</f>
        <v/>
      </c>
      <c r="M129" t="str">
        <f>IFERROR(IF(VLOOKUP($B129,Показатели!$E:$W,10,FALSE)=0,"",VLOOKUP($B129,Показатели!$E:$W,10,FALSE)),"")</f>
        <v/>
      </c>
      <c r="N129" t="str">
        <f>IFERROR(IF(VLOOKUP($B129,Показатели!$E:$W,11,FALSE)=0,"",VLOOKUP($B129,Показатели!$E:$W,11,FALSE)),"")</f>
        <v/>
      </c>
      <c r="O129" t="str">
        <f>IFERROR(IF(VLOOKUP($B129,Показатели!$E:$W,12,FALSE)=0,"",VLOOKUP($B129,Показатели!$E:$W,12,FALSE)),"")</f>
        <v/>
      </c>
      <c r="P129" t="str">
        <f>IFERROR(IF(VLOOKUP($B129,Показатели!$E:$W,13,FALSE)=0,"",VLOOKUP($B129,Показатели!$E:$W,13,FALSE)),"")</f>
        <v/>
      </c>
      <c r="Q129" t="str">
        <f>IFERROR(IF(VLOOKUP($B129,Показатели!$E:$W,14,FALSE)=0,"",VLOOKUP($B129,Показатели!$E:$W,14,FALSE)),"")</f>
        <v/>
      </c>
      <c r="R129" t="str">
        <f>IFERROR(IF(VLOOKUP($B129,Показатели!$E:$W,15,FALSE)=0,"",VLOOKUP($B129,Показатели!$E:$W,15,FALSE)),"")</f>
        <v/>
      </c>
      <c r="S129" t="str">
        <f>IFERROR(IF(VLOOKUP($B129,Показатели!$E:$W,16,FALSE)=0,"",VLOOKUP($B129,Показатели!$E:$W,16,FALSE)),"")</f>
        <v/>
      </c>
      <c r="T129" t="str">
        <f>IFERROR(IF(VLOOKUP($B129,Показатели!$E:$W,17,FALSE)=0,"",VLOOKUP($B129,Показатели!$E:$W,17,FALSE)),"")</f>
        <v/>
      </c>
      <c r="U129" t="str">
        <f>IFERROR(IF(VLOOKUP($B129,Показатели!$E:$W,18,FALSE)=0,"",VLOOKUP($B129,Показатели!$E:$W,18,FALSE)),"")</f>
        <v/>
      </c>
      <c r="V129" t="str">
        <f>IFERROR(IF(VLOOKUP($B129,Показатели!$E:$W,19,FALSE)=0,"",VLOOKUP($B129,Показатели!$E:$W,19,FALSE)),"")</f>
        <v/>
      </c>
    </row>
    <row r="130" spans="1:22" x14ac:dyDescent="0.2">
      <c r="A130" s="7" t="s">
        <v>2193</v>
      </c>
      <c r="B130" t="str">
        <f t="shared" si="1"/>
        <v>FEES IV кв. 2025</v>
      </c>
      <c r="C130">
        <v>2025</v>
      </c>
      <c r="D130">
        <f>SUMIFS(Дивиденды!$C:$C,Дивиденды!$A:$A,A130,Дивиденды!$I:$I,C130)</f>
        <v>0</v>
      </c>
      <c r="E130" t="str">
        <f>IFERROR(IF(VLOOKUP($B130,Показатели!$E:$W,2,FALSE)=0,"",VLOOKUP($B130,Показатели!$E:$W,2,FALSE)),"")</f>
        <v/>
      </c>
      <c r="F130" t="str">
        <f>IFERROR(IF(VLOOKUP($B130,Показатели!$E:$W,3,FALSE)=0,"",VLOOKUP($B130,Показатели!$E:$W,3,FALSE)),"")</f>
        <v/>
      </c>
      <c r="G130" t="str">
        <f>IFERROR(IF(VLOOKUP($B130,Показатели!$E:$W,4,FALSE)=0,"",VLOOKUP($B130,Показатели!$E:$W,4,FALSE)),"")</f>
        <v/>
      </c>
      <c r="H130" t="str">
        <f>IFERROR(IF(VLOOKUP($B130,Показатели!$E:$W,5,FALSE)=0,"",VLOOKUP($B130,Показатели!$E:$W,5,FALSE)),"")</f>
        <v/>
      </c>
      <c r="I130" t="str">
        <f>IFERROR(IF(VLOOKUP($B130,Показатели!$E:$W,6,FALSE)=0,"",VLOOKUP($B130,Показатели!$E:$W,6,FALSE)),"")</f>
        <v/>
      </c>
      <c r="J130" t="str">
        <f>IFERROR(IF(VLOOKUP($B130,Показатели!$E:$W,7,FALSE)=0,"",VLOOKUP($B130,Показатели!$E:$W,7,FALSE)),"")</f>
        <v/>
      </c>
      <c r="K130" t="str">
        <f>IFERROR(IF(VLOOKUP($B130,Показатели!$E:$W,8,FALSE)=0,"",VLOOKUP($B130,Показатели!$E:$W,8,FALSE)),"")</f>
        <v/>
      </c>
      <c r="L130" t="str">
        <f>IFERROR(IF(VLOOKUP($B130,Показатели!$E:$W,9,FALSE)=0,"",VLOOKUP($B130,Показатели!$E:$W,9,FALSE)),"")</f>
        <v/>
      </c>
      <c r="M130" t="str">
        <f>IFERROR(IF(VLOOKUP($B130,Показатели!$E:$W,10,FALSE)=0,"",VLOOKUP($B130,Показатели!$E:$W,10,FALSE)),"")</f>
        <v/>
      </c>
      <c r="N130" t="str">
        <f>IFERROR(IF(VLOOKUP($B130,Показатели!$E:$W,11,FALSE)=0,"",VLOOKUP($B130,Показатели!$E:$W,11,FALSE)),"")</f>
        <v/>
      </c>
      <c r="O130" t="str">
        <f>IFERROR(IF(VLOOKUP($B130,Показатели!$E:$W,12,FALSE)=0,"",VLOOKUP($B130,Показатели!$E:$W,12,FALSE)),"")</f>
        <v/>
      </c>
      <c r="P130" t="str">
        <f>IFERROR(IF(VLOOKUP($B130,Показатели!$E:$W,13,FALSE)=0,"",VLOOKUP($B130,Показатели!$E:$W,13,FALSE)),"")</f>
        <v/>
      </c>
      <c r="Q130" t="str">
        <f>IFERROR(IF(VLOOKUP($B130,Показатели!$E:$W,14,FALSE)=0,"",VLOOKUP($B130,Показатели!$E:$W,14,FALSE)),"")</f>
        <v/>
      </c>
      <c r="R130" t="str">
        <f>IFERROR(IF(VLOOKUP($B130,Показатели!$E:$W,15,FALSE)=0,"",VLOOKUP($B130,Показатели!$E:$W,15,FALSE)),"")</f>
        <v/>
      </c>
      <c r="S130" t="str">
        <f>IFERROR(IF(VLOOKUP($B130,Показатели!$E:$W,16,FALSE)=0,"",VLOOKUP($B130,Показатели!$E:$W,16,FALSE)),"")</f>
        <v/>
      </c>
      <c r="T130" t="str">
        <f>IFERROR(IF(VLOOKUP($B130,Показатели!$E:$W,17,FALSE)=0,"",VLOOKUP($B130,Показатели!$E:$W,17,FALSE)),"")</f>
        <v/>
      </c>
      <c r="U130" t="str">
        <f>IFERROR(IF(VLOOKUP($B130,Показатели!$E:$W,18,FALSE)=0,"",VLOOKUP($B130,Показатели!$E:$W,18,FALSE)),"")</f>
        <v/>
      </c>
      <c r="V130" t="str">
        <f>IFERROR(IF(VLOOKUP($B130,Показатели!$E:$W,19,FALSE)=0,"",VLOOKUP($B130,Показатели!$E:$W,19,FALSE)),"")</f>
        <v/>
      </c>
    </row>
    <row r="131" spans="1:22" x14ac:dyDescent="0.2">
      <c r="A131" s="7" t="s">
        <v>2193</v>
      </c>
      <c r="B131" t="str">
        <f t="shared" ref="B131:B194" si="2">A131&amp;" "&amp;
"IV"
&amp;" кв. "&amp;C131</f>
        <v>FEES IV кв. 2024</v>
      </c>
      <c r="C131">
        <v>2024</v>
      </c>
      <c r="D131">
        <f>SUMIFS(Дивиденды!$C:$C,Дивиденды!$A:$A,A131,Дивиденды!$I:$I,C131)</f>
        <v>0</v>
      </c>
      <c r="E131">
        <f>IFERROR(IF(VLOOKUP($B131,Показатели!$E:$W,2,FALSE)=0,"",VLOOKUP($B131,Показатели!$E:$W,2,FALSE)),"")</f>
        <v>226861000000</v>
      </c>
      <c r="F131">
        <f>IFERROR(IF(VLOOKUP($B131,Показатели!$E:$W,3,FALSE)=0,"",VLOOKUP($B131,Показатели!$E:$W,3,FALSE)),"")</f>
        <v>553207000000</v>
      </c>
      <c r="G131">
        <f>IFERROR(IF(VLOOKUP($B131,Показатели!$E:$W,4,FALSE)=0,"",VLOOKUP($B131,Показатели!$E:$W,4,FALSE)),"")</f>
        <v>2708910000000</v>
      </c>
      <c r="H131">
        <f>IFERROR(IF(VLOOKUP($B131,Показатели!$E:$W,5,FALSE)=0,"",VLOOKUP($B131,Показатели!$E:$W,5,FALSE)),"")</f>
        <v>31135000000</v>
      </c>
      <c r="I131">
        <f>IFERROR(IF(VLOOKUP($B131,Показатели!$E:$W,6,FALSE)=0,"",VLOOKUP($B131,Показатели!$E:$W,6,FALSE)),"")</f>
        <v>3445757000000</v>
      </c>
      <c r="J131">
        <f>IFERROR(IF(VLOOKUP($B131,Показатели!$E:$W,7,FALSE)=0,"",VLOOKUP($B131,Показатели!$E:$W,7,FALSE)),"")</f>
        <v>905057000000</v>
      </c>
      <c r="K131">
        <f>IFERROR(IF(VLOOKUP($B131,Показатели!$E:$W,8,FALSE)=0,"",VLOOKUP($B131,Показатели!$E:$W,8,FALSE)),"")</f>
        <v>817334000000</v>
      </c>
      <c r="L131">
        <f>IFERROR(IF(VLOOKUP($B131,Показатели!$E:$W,9,FALSE)=0,"",VLOOKUP($B131,Показатели!$E:$W,9,FALSE)),"")</f>
        <v>367030000000</v>
      </c>
      <c r="M131">
        <f>IFERROR(IF(VLOOKUP($B131,Показатели!$E:$W,10,FALSE)=0,"",VLOOKUP($B131,Показатели!$E:$W,10,FALSE)),"")</f>
        <v>1723366000000</v>
      </c>
      <c r="N131">
        <f>IFERROR(IF(VLOOKUP($B131,Показатели!$E:$W,11,FALSE)=0,"",VLOOKUP($B131,Показатели!$E:$W,11,FALSE)),"")</f>
        <v>1505655000000</v>
      </c>
      <c r="O131">
        <f>IFERROR(IF(VLOOKUP($B131,Показатели!$E:$W,12,FALSE)=0,"",VLOOKUP($B131,Показатели!$E:$W,12,FALSE)),"")</f>
        <v>-93097000000</v>
      </c>
      <c r="P131">
        <f>IFERROR(IF(VLOOKUP($B131,Показатели!$E:$W,13,FALSE)=0,"",VLOOKUP($B131,Показатели!$E:$W,13,FALSE)),"")</f>
        <v>-105873000000</v>
      </c>
      <c r="Q131">
        <f>IFERROR(IF(VLOOKUP($B131,Показатели!$E:$W,14,FALSE)=0,"",VLOOKUP($B131,Показатели!$E:$W,14,FALSE)),"")</f>
        <v>-116863000000</v>
      </c>
      <c r="R131">
        <f>IFERROR(IF(VLOOKUP($B131,Показатели!$E:$W,15,FALSE)=0,"",VLOOKUP($B131,Показатели!$E:$W,15,FALSE)),"")</f>
        <v>178603000000</v>
      </c>
      <c r="S131">
        <f>IFERROR(IF(VLOOKUP($B131,Показатели!$E:$W,16,FALSE)=0,"",VLOOKUP($B131,Показатели!$E:$W,16,FALSE)),"")</f>
        <v>434257000000</v>
      </c>
      <c r="T131">
        <f>IFERROR(IF(VLOOKUP($B131,Показатели!$E:$W,17,FALSE)=0,"",VLOOKUP($B131,Показатели!$E:$W,17,FALSE)),"")</f>
        <v>-553720000000</v>
      </c>
      <c r="U131">
        <f>IFERROR(IF(VLOOKUP($B131,Показатели!$E:$W,18,FALSE)=0,"",VLOOKUP($B131,Показатели!$E:$W,18,FALSE)),"")</f>
        <v>1378679000000</v>
      </c>
      <c r="V131">
        <f>IFERROR(IF(VLOOKUP($B131,Показатели!$E:$W,19,FALSE)=0,"",VLOOKUP($B131,Показатели!$E:$W,19,FALSE)),"")</f>
        <v>3290802000000</v>
      </c>
    </row>
    <row r="132" spans="1:22" x14ac:dyDescent="0.2">
      <c r="A132" s="7" t="s">
        <v>2193</v>
      </c>
      <c r="B132" t="str">
        <f t="shared" si="2"/>
        <v>FEES IV кв. 2023</v>
      </c>
      <c r="C132">
        <v>2023</v>
      </c>
      <c r="D132">
        <f>SUMIFS(Дивиденды!$C:$C,Дивиденды!$A:$A,A132,Дивиденды!$I:$I,C132)</f>
        <v>0</v>
      </c>
      <c r="E132">
        <f>IFERROR(IF(VLOOKUP($B132,Показатели!$E:$W,2,FALSE)=0,"",VLOOKUP($B132,Показатели!$E:$W,2,FALSE)),"")</f>
        <v>166115000000</v>
      </c>
      <c r="F132">
        <f>IFERROR(IF(VLOOKUP($B132,Показатели!$E:$W,3,FALSE)=0,"",VLOOKUP($B132,Показатели!$E:$W,3,FALSE)),"")</f>
        <v>453028000000</v>
      </c>
      <c r="G132">
        <f>IFERROR(IF(VLOOKUP($B132,Показатели!$E:$W,4,FALSE)=0,"",VLOOKUP($B132,Показатели!$E:$W,4,FALSE)),"")</f>
        <v>2651474000000</v>
      </c>
      <c r="H132">
        <f>IFERROR(IF(VLOOKUP($B132,Показатели!$E:$W,5,FALSE)=0,"",VLOOKUP($B132,Показатели!$E:$W,5,FALSE)),"")</f>
        <v>28642000000</v>
      </c>
      <c r="I132">
        <f>IFERROR(IF(VLOOKUP($B132,Показатели!$E:$W,6,FALSE)=0,"",VLOOKUP($B132,Показатели!$E:$W,6,FALSE)),"")</f>
        <v>3290802000000</v>
      </c>
      <c r="J132">
        <f>IFERROR(IF(VLOOKUP($B132,Показатели!$E:$W,7,FALSE)=0,"",VLOOKUP($B132,Показатели!$E:$W,7,FALSE)),"")</f>
        <v>676243000000</v>
      </c>
      <c r="K132">
        <f>IFERROR(IF(VLOOKUP($B132,Показатели!$E:$W,8,FALSE)=0,"",VLOOKUP($B132,Показатели!$E:$W,8,FALSE)),"")</f>
        <v>762643000000</v>
      </c>
      <c r="L132">
        <f>IFERROR(IF(VLOOKUP($B132,Показатели!$E:$W,9,FALSE)=0,"",VLOOKUP($B132,Показатели!$E:$W,9,FALSE)),"")</f>
        <v>516697000000</v>
      </c>
      <c r="M132">
        <f>IFERROR(IF(VLOOKUP($B132,Показатели!$E:$W,10,FALSE)=0,"",VLOOKUP($B132,Показатели!$E:$W,10,FALSE)),"")</f>
        <v>1851916000000</v>
      </c>
      <c r="N132">
        <f>IFERROR(IF(VLOOKUP($B132,Показатели!$E:$W,11,FALSE)=0,"",VLOOKUP($B132,Показатели!$E:$W,11,FALSE)),"")</f>
        <v>1378679000000</v>
      </c>
      <c r="O132">
        <f>IFERROR(IF(VLOOKUP($B132,Показатели!$E:$W,12,FALSE)=0,"",VLOOKUP($B132,Показатели!$E:$W,12,FALSE)),"")</f>
        <v>222284000000</v>
      </c>
      <c r="P132">
        <f>IFERROR(IF(VLOOKUP($B132,Показатели!$E:$W,13,FALSE)=0,"",VLOOKUP($B132,Показатели!$E:$W,13,FALSE)),"")</f>
        <v>214985000000</v>
      </c>
      <c r="Q132">
        <f>IFERROR(IF(VLOOKUP($B132,Показатели!$E:$W,14,FALSE)=0,"",VLOOKUP($B132,Показатели!$E:$W,14,FALSE)),"")</f>
        <v>161321000000</v>
      </c>
      <c r="R132">
        <f>IFERROR(IF(VLOOKUP($B132,Показатели!$E:$W,15,FALSE)=0,"",VLOOKUP($B132,Показатели!$E:$W,15,FALSE)),"")</f>
        <v>161944000000</v>
      </c>
      <c r="S132">
        <f>IFERROR(IF(VLOOKUP($B132,Показатели!$E:$W,16,FALSE)=0,"",VLOOKUP($B132,Показатели!$E:$W,16,FALSE)),"")</f>
        <v>779333000000</v>
      </c>
      <c r="T132">
        <f>IFERROR(IF(VLOOKUP($B132,Показатели!$E:$W,17,FALSE)=0,"",VLOOKUP($B132,Показатели!$E:$W,17,FALSE)),"")</f>
        <v>-468698000000</v>
      </c>
      <c r="U132">
        <f>IFERROR(IF(VLOOKUP($B132,Показатели!$E:$W,18,FALSE)=0,"",VLOOKUP($B132,Показатели!$E:$W,18,FALSE)),"")</f>
        <v>1181518000000</v>
      </c>
      <c r="V132">
        <f>IFERROR(IF(VLOOKUP($B132,Показатели!$E:$W,19,FALSE)=0,"",VLOOKUP($B132,Показатели!$E:$W,19,FALSE)),"")</f>
        <v>2924269000000</v>
      </c>
    </row>
    <row r="133" spans="1:22" x14ac:dyDescent="0.2">
      <c r="A133" s="7" t="s">
        <v>2193</v>
      </c>
      <c r="B133" t="str">
        <f t="shared" si="2"/>
        <v>FEES IV кв. 2022</v>
      </c>
      <c r="C133">
        <v>2022</v>
      </c>
      <c r="D133">
        <f>SUMIFS(Дивиденды!$C:$C,Дивиденды!$A:$A,A133,Дивиденды!$I:$I,C133)</f>
        <v>0</v>
      </c>
      <c r="E133">
        <f>IFERROR(IF(VLOOKUP($B133,Показатели!$E:$W,2,FALSE)=0,"",VLOOKUP($B133,Показатели!$E:$W,2,FALSE)),"")</f>
        <v>128264000000</v>
      </c>
      <c r="F133">
        <f>IFERROR(IF(VLOOKUP($B133,Показатели!$E:$W,3,FALSE)=0,"",VLOOKUP($B133,Показатели!$E:$W,3,FALSE)),"")</f>
        <v>406041000000</v>
      </c>
      <c r="G133">
        <f>IFERROR(IF(VLOOKUP($B133,Показатели!$E:$W,4,FALSE)=0,"",VLOOKUP($B133,Показатели!$E:$W,4,FALSE)),"")</f>
        <v>2306995000000</v>
      </c>
      <c r="H133">
        <f>IFERROR(IF(VLOOKUP($B133,Показатели!$E:$W,5,FALSE)=0,"",VLOOKUP($B133,Показатели!$E:$W,5,FALSE)),"")</f>
        <v>23373000000</v>
      </c>
      <c r="I133">
        <f>IFERROR(IF(VLOOKUP($B133,Показатели!$E:$W,6,FALSE)=0,"",VLOOKUP($B133,Показатели!$E:$W,6,FALSE)),"")</f>
        <v>2924269000000</v>
      </c>
      <c r="J133">
        <f>IFERROR(IF(VLOOKUP($B133,Показатели!$E:$W,7,FALSE)=0,"",VLOOKUP($B133,Показатели!$E:$W,7,FALSE)),"")</f>
        <v>659958000000</v>
      </c>
      <c r="K133">
        <f>IFERROR(IF(VLOOKUP($B133,Показатели!$E:$W,8,FALSE)=0,"",VLOOKUP($B133,Показатели!$E:$W,8,FALSE)),"")</f>
        <v>657059000000</v>
      </c>
      <c r="L133">
        <f>IFERROR(IF(VLOOKUP($B133,Показатели!$E:$W,9,FALSE)=0,"",VLOOKUP($B133,Показатели!$E:$W,9,FALSE)),"")</f>
        <v>775827000000</v>
      </c>
      <c r="M133">
        <f>IFERROR(IF(VLOOKUP($B133,Показатели!$E:$W,10,FALSE)=0,"",VLOOKUP($B133,Показатели!$E:$W,10,FALSE)),"")</f>
        <v>1607252000000</v>
      </c>
      <c r="N133">
        <f>IFERROR(IF(VLOOKUP($B133,Показатели!$E:$W,11,FALSE)=0,"",VLOOKUP($B133,Показатели!$E:$W,11,FALSE)),"")</f>
        <v>1181518000000</v>
      </c>
      <c r="O133">
        <f>IFERROR(IF(VLOOKUP($B133,Показатели!$E:$W,12,FALSE)=0,"",VLOOKUP($B133,Показатели!$E:$W,12,FALSE)),"")</f>
        <v>182007000000</v>
      </c>
      <c r="P133">
        <f>IFERROR(IF(VLOOKUP($B133,Показатели!$E:$W,13,FALSE)=0,"",VLOOKUP($B133,Показатели!$E:$W,13,FALSE)),"")</f>
        <v>172504000000</v>
      </c>
      <c r="Q133">
        <f>IFERROR(IF(VLOOKUP($B133,Показатели!$E:$W,14,FALSE)=0,"",VLOOKUP($B133,Показатели!$E:$W,14,FALSE)),"")</f>
        <v>132825000000</v>
      </c>
      <c r="R133">
        <f>IFERROR(IF(VLOOKUP($B133,Показатели!$E:$W,15,FALSE)=0,"",VLOOKUP($B133,Показатели!$E:$W,15,FALSE)),"")</f>
        <v>150367000000</v>
      </c>
      <c r="S133">
        <f>IFERROR(IF(VLOOKUP($B133,Показатели!$E:$W,16,FALSE)=0,"",VLOOKUP($B133,Показатели!$E:$W,16,FALSE)),"")</f>
        <v>384780000000</v>
      </c>
      <c r="T133">
        <f>IFERROR(IF(VLOOKUP($B133,Показатели!$E:$W,17,FALSE)=0,"",VLOOKUP($B133,Показатели!$E:$W,17,FALSE)),"")</f>
        <v>-362771000000</v>
      </c>
      <c r="U133" t="str">
        <f>IFERROR(IF(VLOOKUP($B133,Показатели!$E:$W,18,FALSE)=0,"",VLOOKUP($B133,Показатели!$E:$W,18,FALSE)),"")</f>
        <v/>
      </c>
      <c r="V133" t="str">
        <f>IFERROR(IF(VLOOKUP($B133,Показатели!$E:$W,19,FALSE)=0,"",VLOOKUP($B133,Показатели!$E:$W,19,FALSE)),"")</f>
        <v/>
      </c>
    </row>
    <row r="134" spans="1:22" x14ac:dyDescent="0.2">
      <c r="A134" s="7" t="s">
        <v>2193</v>
      </c>
      <c r="B134" t="str">
        <f t="shared" si="2"/>
        <v>FEES IV кв. 2021</v>
      </c>
      <c r="C134">
        <v>2021</v>
      </c>
      <c r="D134">
        <f>SUMIFS(Дивиденды!$C:$C,Дивиденды!$A:$A,A134,Дивиденды!$I:$I,C134)</f>
        <v>0</v>
      </c>
      <c r="E134" t="str">
        <f>IFERROR(IF(VLOOKUP($B134,Показатели!$E:$W,2,FALSE)=0,"",VLOOKUP($B134,Показатели!$E:$W,2,FALSE)),"")</f>
        <v/>
      </c>
      <c r="F134" t="str">
        <f>IFERROR(IF(VLOOKUP($B134,Показатели!$E:$W,3,FALSE)=0,"",VLOOKUP($B134,Показатели!$E:$W,3,FALSE)),"")</f>
        <v/>
      </c>
      <c r="G134" t="str">
        <f>IFERROR(IF(VLOOKUP($B134,Показатели!$E:$W,4,FALSE)=0,"",VLOOKUP($B134,Показатели!$E:$W,4,FALSE)),"")</f>
        <v/>
      </c>
      <c r="H134" t="str">
        <f>IFERROR(IF(VLOOKUP($B134,Показатели!$E:$W,5,FALSE)=0,"",VLOOKUP($B134,Показатели!$E:$W,5,FALSE)),"")</f>
        <v/>
      </c>
      <c r="I134" t="str">
        <f>IFERROR(IF(VLOOKUP($B134,Показатели!$E:$W,6,FALSE)=0,"",VLOOKUP($B134,Показатели!$E:$W,6,FALSE)),"")</f>
        <v/>
      </c>
      <c r="J134" t="str">
        <f>IFERROR(IF(VLOOKUP($B134,Показатели!$E:$W,7,FALSE)=0,"",VLOOKUP($B134,Показатели!$E:$W,7,FALSE)),"")</f>
        <v/>
      </c>
      <c r="K134" t="str">
        <f>IFERROR(IF(VLOOKUP($B134,Показатели!$E:$W,8,FALSE)=0,"",VLOOKUP($B134,Показатели!$E:$W,8,FALSE)),"")</f>
        <v/>
      </c>
      <c r="L134" t="str">
        <f>IFERROR(IF(VLOOKUP($B134,Показатели!$E:$W,9,FALSE)=0,"",VLOOKUP($B134,Показатели!$E:$W,9,FALSE)),"")</f>
        <v/>
      </c>
      <c r="M134" t="str">
        <f>IFERROR(IF(VLOOKUP($B134,Показатели!$E:$W,10,FALSE)=0,"",VLOOKUP($B134,Показатели!$E:$W,10,FALSE)),"")</f>
        <v/>
      </c>
      <c r="N134" t="str">
        <f>IFERROR(IF(VLOOKUP($B134,Показатели!$E:$W,11,FALSE)=0,"",VLOOKUP($B134,Показатели!$E:$W,11,FALSE)),"")</f>
        <v/>
      </c>
      <c r="O134" t="str">
        <f>IFERROR(IF(VLOOKUP($B134,Показатели!$E:$W,12,FALSE)=0,"",VLOOKUP($B134,Показатели!$E:$W,12,FALSE)),"")</f>
        <v/>
      </c>
      <c r="P134" t="str">
        <f>IFERROR(IF(VLOOKUP($B134,Показатели!$E:$W,13,FALSE)=0,"",VLOOKUP($B134,Показатели!$E:$W,13,FALSE)),"")</f>
        <v/>
      </c>
      <c r="Q134" t="str">
        <f>IFERROR(IF(VLOOKUP($B134,Показатели!$E:$W,14,FALSE)=0,"",VLOOKUP($B134,Показатели!$E:$W,14,FALSE)),"")</f>
        <v/>
      </c>
      <c r="R134" t="str">
        <f>IFERROR(IF(VLOOKUP($B134,Показатели!$E:$W,15,FALSE)=0,"",VLOOKUP($B134,Показатели!$E:$W,15,FALSE)),"")</f>
        <v/>
      </c>
      <c r="S134" t="str">
        <f>IFERROR(IF(VLOOKUP($B134,Показатели!$E:$W,16,FALSE)=0,"",VLOOKUP($B134,Показатели!$E:$W,16,FALSE)),"")</f>
        <v/>
      </c>
      <c r="T134" t="str">
        <f>IFERROR(IF(VLOOKUP($B134,Показатели!$E:$W,17,FALSE)=0,"",VLOOKUP($B134,Показатели!$E:$W,17,FALSE)),"")</f>
        <v/>
      </c>
      <c r="U134" t="str">
        <f>IFERROR(IF(VLOOKUP($B134,Показатели!$E:$W,18,FALSE)=0,"",VLOOKUP($B134,Показатели!$E:$W,18,FALSE)),"")</f>
        <v/>
      </c>
      <c r="V134" t="str">
        <f>IFERROR(IF(VLOOKUP($B134,Показатели!$E:$W,19,FALSE)=0,"",VLOOKUP($B134,Показатели!$E:$W,19,FALSE)),"")</f>
        <v/>
      </c>
    </row>
    <row r="135" spans="1:22" x14ac:dyDescent="0.2">
      <c r="A135" s="7" t="s">
        <v>2193</v>
      </c>
      <c r="B135" t="str">
        <f t="shared" si="2"/>
        <v>FEES IV кв. 2020</v>
      </c>
      <c r="C135">
        <v>2020</v>
      </c>
      <c r="D135">
        <f>SUMIFS(Дивиденды!$C:$C,Дивиденды!$A:$A,A135,Дивиденды!$I:$I,C135)</f>
        <v>1.61E-2</v>
      </c>
      <c r="E135">
        <f>IFERROR(IF(VLOOKUP($B135,Показатели!$E:$W,2,FALSE)=0,"",VLOOKUP($B135,Показатели!$E:$W,2,FALSE)),"")</f>
        <v>30096000000</v>
      </c>
      <c r="F135">
        <f>IFERROR(IF(VLOOKUP($B135,Показатели!$E:$W,3,FALSE)=0,"",VLOOKUP($B135,Показатели!$E:$W,3,FALSE)),"")</f>
        <v>114431000000</v>
      </c>
      <c r="G135">
        <f>IFERROR(IF(VLOOKUP($B135,Показатели!$E:$W,4,FALSE)=0,"",VLOOKUP($B135,Показатели!$E:$W,4,FALSE)),"")</f>
        <v>1069114000000</v>
      </c>
      <c r="H135">
        <f>IFERROR(IF(VLOOKUP($B135,Показатели!$E:$W,5,FALSE)=0,"",VLOOKUP($B135,Показатели!$E:$W,5,FALSE)),"")</f>
        <v>7684000000</v>
      </c>
      <c r="I135">
        <f>IFERROR(IF(VLOOKUP($B135,Показатели!$E:$W,6,FALSE)=0,"",VLOOKUP($B135,Показатели!$E:$W,6,FALSE)),"")</f>
        <v>1340158000000</v>
      </c>
      <c r="J135">
        <f>IFERROR(IF(VLOOKUP($B135,Показатели!$E:$W,7,FALSE)=0,"",VLOOKUP($B135,Показатели!$E:$W,7,FALSE)),"")</f>
        <v>84224000000</v>
      </c>
      <c r="K135">
        <f>IFERROR(IF(VLOOKUP($B135,Показатели!$E:$W,8,FALSE)=0,"",VLOOKUP($B135,Показатели!$E:$W,8,FALSE)),"")</f>
        <v>304948000000</v>
      </c>
      <c r="L135">
        <f>IFERROR(IF(VLOOKUP($B135,Показатели!$E:$W,9,FALSE)=0,"",VLOOKUP($B135,Показатели!$E:$W,9,FALSE)),"")</f>
        <v>274948000000</v>
      </c>
      <c r="M135">
        <f>IFERROR(IF(VLOOKUP($B135,Показатели!$E:$W,10,FALSE)=0,"",VLOOKUP($B135,Показатели!$E:$W,10,FALSE)),"")</f>
        <v>950986000000</v>
      </c>
      <c r="N135">
        <f>IFERROR(IF(VLOOKUP($B135,Показатели!$E:$W,11,FALSE)=0,"",VLOOKUP($B135,Показатели!$E:$W,11,FALSE)),"")</f>
        <v>237304000000</v>
      </c>
      <c r="O135">
        <f>IFERROR(IF(VLOOKUP($B135,Показатели!$E:$W,12,FALSE)=0,"",VLOOKUP($B135,Показатели!$E:$W,12,FALSE)),"")</f>
        <v>69737000000</v>
      </c>
      <c r="P135">
        <f>IFERROR(IF(VLOOKUP($B135,Показатели!$E:$W,13,FALSE)=0,"",VLOOKUP($B135,Показатели!$E:$W,13,FALSE)),"")</f>
        <v>75746000000</v>
      </c>
      <c r="Q135">
        <f>IFERROR(IF(VLOOKUP($B135,Показатели!$E:$W,14,FALSE)=0,"",VLOOKUP($B135,Показатели!$E:$W,14,FALSE)),"")</f>
        <v>59390000000</v>
      </c>
      <c r="R135">
        <f>IFERROR(IF(VLOOKUP($B135,Показатели!$E:$W,15,FALSE)=0,"",VLOOKUP($B135,Показатели!$E:$W,15,FALSE)),"")</f>
        <v>40964000000</v>
      </c>
      <c r="S135">
        <f>IFERROR(IF(VLOOKUP($B135,Показатели!$E:$W,16,FALSE)=0,"",VLOOKUP($B135,Показатели!$E:$W,16,FALSE)),"")</f>
        <v>133000000000</v>
      </c>
      <c r="T135">
        <f>IFERROR(IF(VLOOKUP($B135,Показатели!$E:$W,17,FALSE)=0,"",VLOOKUP($B135,Показатели!$E:$W,17,FALSE)),"")</f>
        <v>-92335000000</v>
      </c>
      <c r="U135">
        <f>IFERROR(IF(VLOOKUP($B135,Показатели!$E:$W,18,FALSE)=0,"",VLOOKUP($B135,Показатели!$E:$W,18,FALSE)),"")</f>
        <v>249611000000</v>
      </c>
      <c r="V135">
        <f>IFERROR(IF(VLOOKUP($B135,Показатели!$E:$W,19,FALSE)=0,"",VLOOKUP($B135,Показатели!$E:$W,19,FALSE)),"")</f>
        <v>1290341000000</v>
      </c>
    </row>
    <row r="136" spans="1:22" x14ac:dyDescent="0.2">
      <c r="A136" s="7" t="s">
        <v>2193</v>
      </c>
      <c r="B136" t="str">
        <f t="shared" si="2"/>
        <v>FEES IV кв. 2019</v>
      </c>
      <c r="C136">
        <v>2019</v>
      </c>
      <c r="D136">
        <f>SUMIFS(Дивиденды!$C:$C,Дивиденды!$A:$A,A136,Дивиденды!$I:$I,C136)</f>
        <v>1.8304000000000001E-2</v>
      </c>
      <c r="E136">
        <f>IFERROR(IF(VLOOKUP($B136,Показатели!$E:$W,2,FALSE)=0,"",VLOOKUP($B136,Показатели!$E:$W,2,FALSE)),"")</f>
        <v>37077000000</v>
      </c>
      <c r="F136">
        <f>IFERROR(IF(VLOOKUP($B136,Показатели!$E:$W,3,FALSE)=0,"",VLOOKUP($B136,Показатели!$E:$W,3,FALSE)),"")</f>
        <v>124639000000</v>
      </c>
      <c r="G136">
        <f>IFERROR(IF(VLOOKUP($B136,Показатели!$E:$W,4,FALSE)=0,"",VLOOKUP($B136,Показатели!$E:$W,4,FALSE)),"")</f>
        <v>1024901000000</v>
      </c>
      <c r="H136">
        <f>IFERROR(IF(VLOOKUP($B136,Показатели!$E:$W,5,FALSE)=0,"",VLOOKUP($B136,Показатели!$E:$W,5,FALSE)),"")</f>
        <v>6609000000</v>
      </c>
      <c r="I136">
        <f>IFERROR(IF(VLOOKUP($B136,Показатели!$E:$W,6,FALSE)=0,"",VLOOKUP($B136,Показатели!$E:$W,6,FALSE)),"")</f>
        <v>1290341000000</v>
      </c>
      <c r="J136">
        <f>IFERROR(IF(VLOOKUP($B136,Показатели!$E:$W,7,FALSE)=0,"",VLOOKUP($B136,Показатели!$E:$W,7,FALSE)),"")</f>
        <v>101226000000</v>
      </c>
      <c r="K136">
        <f>IFERROR(IF(VLOOKUP($B136,Показатели!$E:$W,8,FALSE)=0,"",VLOOKUP($B136,Показатели!$E:$W,8,FALSE)),"")</f>
        <v>287331000000</v>
      </c>
      <c r="L136">
        <f>IFERROR(IF(VLOOKUP($B136,Показатели!$E:$W,9,FALSE)=0,"",VLOOKUP($B136,Показатели!$E:$W,9,FALSE)),"")</f>
        <v>227558000000</v>
      </c>
      <c r="M136">
        <f>IFERROR(IF(VLOOKUP($B136,Показатели!$E:$W,10,FALSE)=0,"",VLOOKUP($B136,Показатели!$E:$W,10,FALSE)),"")</f>
        <v>901784000000</v>
      </c>
      <c r="N136">
        <f>IFERROR(IF(VLOOKUP($B136,Показатели!$E:$W,11,FALSE)=0,"",VLOOKUP($B136,Показатели!$E:$W,11,FALSE)),"")</f>
        <v>249611000000</v>
      </c>
      <c r="O136">
        <f>IFERROR(IF(VLOOKUP($B136,Показатели!$E:$W,12,FALSE)=0,"",VLOOKUP($B136,Показатели!$E:$W,12,FALSE)),"")</f>
        <v>102714000000</v>
      </c>
      <c r="P136">
        <f>IFERROR(IF(VLOOKUP($B136,Показатели!$E:$W,13,FALSE)=0,"",VLOOKUP($B136,Показатели!$E:$W,13,FALSE)),"")</f>
        <v>109696000000</v>
      </c>
      <c r="Q136">
        <f>IFERROR(IF(VLOOKUP($B136,Показатели!$E:$W,14,FALSE)=0,"",VLOOKUP($B136,Показатели!$E:$W,14,FALSE)),"")</f>
        <v>86638000000</v>
      </c>
      <c r="R136">
        <f>IFERROR(IF(VLOOKUP($B136,Показатели!$E:$W,15,FALSE)=0,"",VLOOKUP($B136,Показатели!$E:$W,15,FALSE)),"")</f>
        <v>37868000000</v>
      </c>
      <c r="S136">
        <f>IFERROR(IF(VLOOKUP($B136,Показатели!$E:$W,16,FALSE)=0,"",VLOOKUP($B136,Показатели!$E:$W,16,FALSE)),"")</f>
        <v>136200000000</v>
      </c>
      <c r="T136">
        <f>IFERROR(IF(VLOOKUP($B136,Показатели!$E:$W,17,FALSE)=0,"",VLOOKUP($B136,Показатели!$E:$W,17,FALSE)),"")</f>
        <v>-94509000000</v>
      </c>
      <c r="U136">
        <f>IFERROR(IF(VLOOKUP($B136,Показатели!$E:$W,18,FALSE)=0,"",VLOOKUP($B136,Показатели!$E:$W,18,FALSE)),"")</f>
        <v>253979000000</v>
      </c>
      <c r="V136">
        <f>IFERROR(IF(VLOOKUP($B136,Показатели!$E:$W,19,FALSE)=0,"",VLOOKUP($B136,Показатели!$E:$W,19,FALSE)),"")</f>
        <v>1209042000000</v>
      </c>
    </row>
    <row r="137" spans="1:22" x14ac:dyDescent="0.2">
      <c r="A137" s="7" t="s">
        <v>2193</v>
      </c>
      <c r="B137" t="str">
        <f t="shared" si="2"/>
        <v>FEES IV кв. 2018</v>
      </c>
      <c r="C137">
        <v>2018</v>
      </c>
      <c r="D137">
        <f>SUMIFS(Дивиденды!$C:$C,Дивиденды!$A:$A,A137,Дивиденды!$I:$I,C137)</f>
        <v>1.6E-2</v>
      </c>
      <c r="E137">
        <f>IFERROR(IF(VLOOKUP($B137,Показатели!$E:$W,2,FALSE)=0,"",VLOOKUP($B137,Показатели!$E:$W,2,FALSE)),"")</f>
        <v>37618000000</v>
      </c>
      <c r="F137">
        <f>IFERROR(IF(VLOOKUP($B137,Показатели!$E:$W,3,FALSE)=0,"",VLOOKUP($B137,Показатели!$E:$W,3,FALSE)),"")</f>
        <v>151517000000</v>
      </c>
      <c r="G137">
        <f>IFERROR(IF(VLOOKUP($B137,Показатели!$E:$W,4,FALSE)=0,"",VLOOKUP($B137,Показатели!$E:$W,4,FALSE)),"")</f>
        <v>937277000000</v>
      </c>
      <c r="H137">
        <f>IFERROR(IF(VLOOKUP($B137,Показатели!$E:$W,5,FALSE)=0,"",VLOOKUP($B137,Показатели!$E:$W,5,FALSE)),"")</f>
        <v>6638000000</v>
      </c>
      <c r="I137">
        <f>IFERROR(IF(VLOOKUP($B137,Показатели!$E:$W,6,FALSE)=0,"",VLOOKUP($B137,Показатели!$E:$W,6,FALSE)),"")</f>
        <v>1209042000000</v>
      </c>
      <c r="J137">
        <f>IFERROR(IF(VLOOKUP($B137,Показатели!$E:$W,7,FALSE)=0,"",VLOOKUP($B137,Показатели!$E:$W,7,FALSE)),"")</f>
        <v>93891000000</v>
      </c>
      <c r="K137">
        <f>IFERROR(IF(VLOOKUP($B137,Показатели!$E:$W,8,FALSE)=0,"",VLOOKUP($B137,Показатели!$E:$W,8,FALSE)),"")</f>
        <v>275989000000</v>
      </c>
      <c r="L137">
        <f>IFERROR(IF(VLOOKUP($B137,Показатели!$E:$W,9,FALSE)=0,"",VLOOKUP($B137,Показатели!$E:$W,9,FALSE)),"")</f>
        <v>170699000000</v>
      </c>
      <c r="M137">
        <f>IFERROR(IF(VLOOKUP($B137,Показатели!$E:$W,10,FALSE)=0,"",VLOOKUP($B137,Показатели!$E:$W,10,FALSE)),"")</f>
        <v>839162000000</v>
      </c>
      <c r="N137">
        <f>IFERROR(IF(VLOOKUP($B137,Показатели!$E:$W,11,FALSE)=0,"",VLOOKUP($B137,Показатели!$E:$W,11,FALSE)),"")</f>
        <v>253979000000</v>
      </c>
      <c r="O137">
        <f>IFERROR(IF(VLOOKUP($B137,Показатели!$E:$W,12,FALSE)=0,"",VLOOKUP($B137,Показатели!$E:$W,12,FALSE)),"")</f>
        <v>106857000000</v>
      </c>
      <c r="P137">
        <f>IFERROR(IF(VLOOKUP($B137,Показатели!$E:$W,13,FALSE)=0,"",VLOOKUP($B137,Показатели!$E:$W,13,FALSE)),"")</f>
        <v>115101000000</v>
      </c>
      <c r="Q137">
        <f>IFERROR(IF(VLOOKUP($B137,Показатели!$E:$W,14,FALSE)=0,"",VLOOKUP($B137,Показатели!$E:$W,14,FALSE)),"")</f>
        <v>92845000000</v>
      </c>
      <c r="R137">
        <f>IFERROR(IF(VLOOKUP($B137,Показатели!$E:$W,15,FALSE)=0,"",VLOOKUP($B137,Показатели!$E:$W,15,FALSE)),"")</f>
        <v>33500000000</v>
      </c>
      <c r="S137">
        <f>IFERROR(IF(VLOOKUP($B137,Показатели!$E:$W,16,FALSE)=0,"",VLOOKUP($B137,Показатели!$E:$W,16,FALSE)),"")</f>
        <v>133600000000</v>
      </c>
      <c r="T137">
        <f>IFERROR(IF(VLOOKUP($B137,Показатели!$E:$W,17,FALSE)=0,"",VLOOKUP($B137,Показатели!$E:$W,17,FALSE)),"")</f>
        <v>-90990000000</v>
      </c>
      <c r="U137">
        <f>IFERROR(IF(VLOOKUP($B137,Показатели!$E:$W,18,FALSE)=0,"",VLOOKUP($B137,Показатели!$E:$W,18,FALSE)),"")</f>
        <v>242186000000</v>
      </c>
      <c r="V137">
        <f>IFERROR(IF(VLOOKUP($B137,Показатели!$E:$W,19,FALSE)=0,"",VLOOKUP($B137,Показатели!$E:$W,19,FALSE)),"")</f>
        <v>1183825000000</v>
      </c>
    </row>
    <row r="138" spans="1:22" x14ac:dyDescent="0.2">
      <c r="A138" s="7" t="s">
        <v>2193</v>
      </c>
      <c r="B138" t="str">
        <f t="shared" si="2"/>
        <v>FEES IV кв. 2017</v>
      </c>
      <c r="C138">
        <v>2017</v>
      </c>
      <c r="D138">
        <f>SUMIFS(Дивиденды!$C:$C,Дивиденды!$A:$A,A138,Дивиденды!$I:$I,C138)</f>
        <v>1.5916E-2</v>
      </c>
      <c r="E138">
        <f>IFERROR(IF(VLOOKUP($B138,Показатели!$E:$W,2,FALSE)=0,"",VLOOKUP($B138,Показатели!$E:$W,2,FALSE)),"")</f>
        <v>42535000000</v>
      </c>
      <c r="F138">
        <f>IFERROR(IF(VLOOKUP($B138,Показатели!$E:$W,3,FALSE)=0,"",VLOOKUP($B138,Показатели!$E:$W,3,FALSE)),"")</f>
        <v>104201000000</v>
      </c>
      <c r="G138">
        <f>IFERROR(IF(VLOOKUP($B138,Показатели!$E:$W,4,FALSE)=0,"",VLOOKUP($B138,Показатели!$E:$W,4,FALSE)),"")</f>
        <v>934417000000</v>
      </c>
      <c r="H138">
        <f>IFERROR(IF(VLOOKUP($B138,Показатели!$E:$W,5,FALSE)=0,"",VLOOKUP($B138,Показатели!$E:$W,5,FALSE)),"")</f>
        <v>6303000000</v>
      </c>
      <c r="I138">
        <f>IFERROR(IF(VLOOKUP($B138,Показатели!$E:$W,6,FALSE)=0,"",VLOOKUP($B138,Показатели!$E:$W,6,FALSE)),"")</f>
        <v>1183825000000</v>
      </c>
      <c r="J138">
        <f>IFERROR(IF(VLOOKUP($B138,Показатели!$E:$W,7,FALSE)=0,"",VLOOKUP($B138,Показатели!$E:$W,7,FALSE)),"")</f>
        <v>88718000000</v>
      </c>
      <c r="K138">
        <f>IFERROR(IF(VLOOKUP($B138,Показатели!$E:$W,8,FALSE)=0,"",VLOOKUP($B138,Показатели!$E:$W,8,FALSE)),"")</f>
        <v>293339000000</v>
      </c>
      <c r="L138">
        <f>IFERROR(IF(VLOOKUP($B138,Показатели!$E:$W,9,FALSE)=0,"",VLOOKUP($B138,Показатели!$E:$W,9,FALSE)),"")</f>
        <v>-144118000000</v>
      </c>
      <c r="M138">
        <f>IFERROR(IF(VLOOKUP($B138,Показатели!$E:$W,10,FALSE)=0,"",VLOOKUP($B138,Показатели!$E:$W,10,FALSE)),"")</f>
        <v>801768000000</v>
      </c>
      <c r="N138">
        <f>IFERROR(IF(VLOOKUP($B138,Показатели!$E:$W,11,FALSE)=0,"",VLOOKUP($B138,Показатели!$E:$W,11,FALSE)),"")</f>
        <v>242186000000</v>
      </c>
      <c r="O138">
        <f>IFERROR(IF(VLOOKUP($B138,Показатели!$E:$W,12,FALSE)=0,"",VLOOKUP($B138,Показатели!$E:$W,12,FALSE)),"")</f>
        <v>83021000000</v>
      </c>
      <c r="P138">
        <f>IFERROR(IF(VLOOKUP($B138,Показатели!$E:$W,13,FALSE)=0,"",VLOOKUP($B138,Показатели!$E:$W,13,FALSE)),"")</f>
        <v>91135000000</v>
      </c>
      <c r="Q138">
        <f>IFERROR(IF(VLOOKUP($B138,Показатели!$E:$W,14,FALSE)=0,"",VLOOKUP($B138,Показатели!$E:$W,14,FALSE)),"")</f>
        <v>72650000000</v>
      </c>
      <c r="R138">
        <f>IFERROR(IF(VLOOKUP($B138,Показатели!$E:$W,15,FALSE)=0,"",VLOOKUP($B138,Показатели!$E:$W,15,FALSE)),"")</f>
        <v>45972000000</v>
      </c>
      <c r="S138" t="str">
        <f>IFERROR(IF(VLOOKUP($B138,Показатели!$E:$W,16,FALSE)=0,"",VLOOKUP($B138,Показатели!$E:$W,16,FALSE)),"")</f>
        <v/>
      </c>
      <c r="T138">
        <f>IFERROR(IF(VLOOKUP($B138,Показатели!$E:$W,17,FALSE)=0,"",VLOOKUP($B138,Показатели!$E:$W,17,FALSE)),"")</f>
        <v>-87981000000</v>
      </c>
      <c r="U138">
        <f>IFERROR(IF(VLOOKUP($B138,Показатели!$E:$W,18,FALSE)=0,"",VLOOKUP($B138,Показатели!$E:$W,18,FALSE)),"")</f>
        <v>255603000000</v>
      </c>
      <c r="V138">
        <f>IFERROR(IF(VLOOKUP($B138,Показатели!$E:$W,19,FALSE)=0,"",VLOOKUP($B138,Показатели!$E:$W,19,FALSE)),"")</f>
        <v>1097110000000</v>
      </c>
    </row>
    <row r="139" spans="1:22" x14ac:dyDescent="0.2">
      <c r="A139" s="7" t="s">
        <v>2193</v>
      </c>
      <c r="B139" t="str">
        <f t="shared" si="2"/>
        <v>FEES IV кв. 2016</v>
      </c>
      <c r="C139">
        <v>2016</v>
      </c>
      <c r="D139">
        <f>SUMIFS(Дивиденды!$C:$C,Дивиденды!$A:$A,A139,Дивиденды!$I:$I,C139)</f>
        <v>1.43E-2</v>
      </c>
      <c r="E139">
        <f>IFERROR(IF(VLOOKUP($B139,Показатели!$E:$W,2,FALSE)=0,"",VLOOKUP($B139,Показатели!$E:$W,2,FALSE)),"")</f>
        <v>44404000000</v>
      </c>
      <c r="F139">
        <f>IFERROR(IF(VLOOKUP($B139,Показатели!$E:$W,3,FALSE)=0,"",VLOOKUP($B139,Показатели!$E:$W,3,FALSE)),"")</f>
        <v>118386000000</v>
      </c>
      <c r="G139">
        <f>IFERROR(IF(VLOOKUP($B139,Показатели!$E:$W,4,FALSE)=0,"",VLOOKUP($B139,Показатели!$E:$W,4,FALSE)),"")</f>
        <v>84665000000</v>
      </c>
      <c r="H139" t="str">
        <f>IFERROR(IF(VLOOKUP($B139,Показатели!$E:$W,5,FALSE)=0,"",VLOOKUP($B139,Показатели!$E:$W,5,FALSE)),"")</f>
        <v/>
      </c>
      <c r="I139">
        <f>IFERROR(IF(VLOOKUP($B139,Показатели!$E:$W,6,FALSE)=0,"",VLOOKUP($B139,Показатели!$E:$W,6,FALSE)),"")</f>
        <v>1097110000000</v>
      </c>
      <c r="J139">
        <f>IFERROR(IF(VLOOKUP($B139,Показатели!$E:$W,7,FALSE)=0,"",VLOOKUP($B139,Показатели!$E:$W,7,FALSE)),"")</f>
        <v>99428000000</v>
      </c>
      <c r="K139">
        <f>IFERROR(IF(VLOOKUP($B139,Показатели!$E:$W,8,FALSE)=0,"",VLOOKUP($B139,Показатели!$E:$W,8,FALSE)),"")</f>
        <v>269265000000</v>
      </c>
      <c r="L139" t="str">
        <f>IFERROR(IF(VLOOKUP($B139,Показатели!$E:$W,9,FALSE)=0,"",VLOOKUP($B139,Показатели!$E:$W,9,FALSE)),"")</f>
        <v/>
      </c>
      <c r="M139">
        <f>IFERROR(IF(VLOOKUP($B139,Показатели!$E:$W,10,FALSE)=0,"",VLOOKUP($B139,Показатели!$E:$W,10,FALSE)),"")</f>
        <v>728417000000</v>
      </c>
      <c r="N139">
        <f>IFERROR(IF(VLOOKUP($B139,Показатели!$E:$W,11,FALSE)=0,"",VLOOKUP($B139,Показатели!$E:$W,11,FALSE)),"")</f>
        <v>255603000000</v>
      </c>
      <c r="O139">
        <f>IFERROR(IF(VLOOKUP($B139,Показатели!$E:$W,12,FALSE)=0,"",VLOOKUP($B139,Показатели!$E:$W,12,FALSE)),"")</f>
        <v>79847000000</v>
      </c>
      <c r="P139">
        <f>IFERROR(IF(VLOOKUP($B139,Показатели!$E:$W,13,FALSE)=0,"",VLOOKUP($B139,Показатели!$E:$W,13,FALSE)),"")</f>
        <v>78484000000</v>
      </c>
      <c r="Q139">
        <f>IFERROR(IF(VLOOKUP($B139,Показатели!$E:$W,14,FALSE)=0,"",VLOOKUP($B139,Показатели!$E:$W,14,FALSE)),"")</f>
        <v>68382000000</v>
      </c>
      <c r="R139" t="str">
        <f>IFERROR(IF(VLOOKUP($B139,Показатели!$E:$W,15,FALSE)=0,"",VLOOKUP($B139,Показатели!$E:$W,15,FALSE)),"")</f>
        <v/>
      </c>
      <c r="S139">
        <f>IFERROR(IF(VLOOKUP($B139,Показатели!$E:$W,16,FALSE)=0,"",VLOOKUP($B139,Показатели!$E:$W,16,FALSE)),"")</f>
        <v>116700000000</v>
      </c>
      <c r="T139">
        <f>IFERROR(IF(VLOOKUP($B139,Показатели!$E:$W,17,FALSE)=0,"",VLOOKUP($B139,Показатели!$E:$W,17,FALSE)),"")</f>
        <v>79774000000</v>
      </c>
      <c r="U139">
        <f>IFERROR(IF(VLOOKUP($B139,Показатели!$E:$W,18,FALSE)=0,"",VLOOKUP($B139,Показатели!$E:$W,18,FALSE)),"")</f>
        <v>187041000000</v>
      </c>
      <c r="V139">
        <f>IFERROR(IF(VLOOKUP($B139,Показатели!$E:$W,19,FALSE)=0,"",VLOOKUP($B139,Показатели!$E:$W,19,FALSE)),"")</f>
        <v>995328000000</v>
      </c>
    </row>
    <row r="140" spans="1:22" x14ac:dyDescent="0.2">
      <c r="A140" s="7" t="s">
        <v>2193</v>
      </c>
      <c r="B140" t="str">
        <f t="shared" si="2"/>
        <v>FEES IV кв. 2015</v>
      </c>
      <c r="C140">
        <v>2015</v>
      </c>
      <c r="D140">
        <f>SUMIFS(Дивиденды!$C:$C,Дивиденды!$A:$A,A140,Дивиденды!$I:$I,C140)</f>
        <v>1.3299999999999999E-2</v>
      </c>
      <c r="E140">
        <f>IFERROR(IF(VLOOKUP($B140,Показатели!$E:$W,2,FALSE)=0,"",VLOOKUP($B140,Показатели!$E:$W,2,FALSE)),"")</f>
        <v>28176000000</v>
      </c>
      <c r="F140">
        <f>IFERROR(IF(VLOOKUP($B140,Показатели!$E:$W,3,FALSE)=0,"",VLOOKUP($B140,Показатели!$E:$W,3,FALSE)),"")</f>
        <v>125261000000</v>
      </c>
      <c r="G140">
        <f>IFERROR(IF(VLOOKUP($B140,Показатели!$E:$W,4,FALSE)=0,"",VLOOKUP($B140,Показатели!$E:$W,4,FALSE)),"")</f>
        <v>821114000000</v>
      </c>
      <c r="H140" t="str">
        <f>IFERROR(IF(VLOOKUP($B140,Показатели!$E:$W,5,FALSE)=0,"",VLOOKUP($B140,Показатели!$E:$W,5,FALSE)),"")</f>
        <v/>
      </c>
      <c r="I140">
        <f>IFERROR(IF(VLOOKUP($B140,Показатели!$E:$W,6,FALSE)=0,"",VLOOKUP($B140,Показатели!$E:$W,6,FALSE)),"")</f>
        <v>995328000000</v>
      </c>
      <c r="J140">
        <f>IFERROR(IF(VLOOKUP($B140,Показатели!$E:$W,7,FALSE)=0,"",VLOOKUP($B140,Показатели!$E:$W,7,FALSE)),"")</f>
        <v>102563000000</v>
      </c>
      <c r="K140">
        <f>IFERROR(IF(VLOOKUP($B140,Показатели!$E:$W,8,FALSE)=0,"",VLOOKUP($B140,Показатели!$E:$W,8,FALSE)),"")</f>
        <v>273127000000</v>
      </c>
      <c r="L140" t="str">
        <f>IFERROR(IF(VLOOKUP($B140,Показатели!$E:$W,9,FALSE)=0,"",VLOOKUP($B140,Показатели!$E:$W,9,FALSE)),"")</f>
        <v/>
      </c>
      <c r="M140">
        <f>IFERROR(IF(VLOOKUP($B140,Показатели!$E:$W,10,FALSE)=0,"",VLOOKUP($B140,Показатели!$E:$W,10,FALSE)),"")</f>
        <v>619638000000</v>
      </c>
      <c r="N140">
        <f>IFERROR(IF(VLOOKUP($B140,Показатели!$E:$W,11,FALSE)=0,"",VLOOKUP($B140,Показатели!$E:$W,11,FALSE)),"")</f>
        <v>187041000000</v>
      </c>
      <c r="O140">
        <f>IFERROR(IF(VLOOKUP($B140,Показатели!$E:$W,12,FALSE)=0,"",VLOOKUP($B140,Показатели!$E:$W,12,FALSE)),"")</f>
        <v>57229000000</v>
      </c>
      <c r="P140">
        <f>IFERROR(IF(VLOOKUP($B140,Показатели!$E:$W,13,FALSE)=0,"",VLOOKUP($B140,Показатели!$E:$W,13,FALSE)),"")</f>
        <v>56287000000</v>
      </c>
      <c r="Q140">
        <f>IFERROR(IF(VLOOKUP($B140,Показатели!$E:$W,14,FALSE)=0,"",VLOOKUP($B140,Показатели!$E:$W,14,FALSE)),"")</f>
        <v>44098000000</v>
      </c>
      <c r="R140" t="str">
        <f>IFERROR(IF(VLOOKUP($B140,Показатели!$E:$W,15,FALSE)=0,"",VLOOKUP($B140,Показатели!$E:$W,15,FALSE)),"")</f>
        <v/>
      </c>
      <c r="S140">
        <f>IFERROR(IF(VLOOKUP($B140,Показатели!$E:$W,16,FALSE)=0,"",VLOOKUP($B140,Показатели!$E:$W,16,FALSE)),"")</f>
        <v>109700000000</v>
      </c>
      <c r="T140">
        <f>IFERROR(IF(VLOOKUP($B140,Показатели!$E:$W,17,FALSE)=0,"",VLOOKUP($B140,Показатели!$E:$W,17,FALSE)),"")</f>
        <v>76500000000</v>
      </c>
      <c r="U140">
        <f>IFERROR(IF(VLOOKUP($B140,Показатели!$E:$W,18,FALSE)=0,"",VLOOKUP($B140,Показатели!$E:$W,18,FALSE)),"")</f>
        <v>173353000000</v>
      </c>
      <c r="V140">
        <f>IFERROR(IF(VLOOKUP($B140,Показатели!$E:$W,19,FALSE)=0,"",VLOOKUP($B140,Показатели!$E:$W,19,FALSE)),"")</f>
        <v>935175000000</v>
      </c>
    </row>
    <row r="141" spans="1:22" x14ac:dyDescent="0.2">
      <c r="A141" s="7" t="s">
        <v>2193</v>
      </c>
      <c r="B141" t="str">
        <f t="shared" si="2"/>
        <v>FEES IV кв. 2014</v>
      </c>
      <c r="C141">
        <v>2014</v>
      </c>
      <c r="D141">
        <f>SUMIFS(Дивиденды!$C:$C,Дивиденды!$A:$A,A141,Дивиденды!$I:$I,C141)</f>
        <v>1.008E-3</v>
      </c>
      <c r="E141">
        <f>IFERROR(IF(VLOOKUP($B141,Показатели!$E:$W,2,FALSE)=0,"",VLOOKUP($B141,Показатели!$E:$W,2,FALSE)),"")</f>
        <v>42068000000</v>
      </c>
      <c r="F141">
        <f>IFERROR(IF(VLOOKUP($B141,Показатели!$E:$W,3,FALSE)=0,"",VLOOKUP($B141,Показатели!$E:$W,3,FALSE)),"")</f>
        <v>110821000000</v>
      </c>
      <c r="G141">
        <f>IFERROR(IF(VLOOKUP($B141,Показатели!$E:$W,4,FALSE)=0,"",VLOOKUP($B141,Показатели!$E:$W,4,FALSE)),"")</f>
        <v>795029000000</v>
      </c>
      <c r="H141" t="str">
        <f>IFERROR(IF(VLOOKUP($B141,Показатели!$E:$W,5,FALSE)=0,"",VLOOKUP($B141,Показатели!$E:$W,5,FALSE)),"")</f>
        <v/>
      </c>
      <c r="I141">
        <f>IFERROR(IF(VLOOKUP($B141,Показатели!$E:$W,6,FALSE)=0,"",VLOOKUP($B141,Показатели!$E:$W,6,FALSE)),"")</f>
        <v>935175000000</v>
      </c>
      <c r="J141">
        <f>IFERROR(IF(VLOOKUP($B141,Показатели!$E:$W,7,FALSE)=0,"",VLOOKUP($B141,Показатели!$E:$W,7,FALSE)),"")</f>
        <v>119113000000</v>
      </c>
      <c r="K141">
        <f>IFERROR(IF(VLOOKUP($B141,Показатели!$E:$W,8,FALSE)=0,"",VLOOKUP($B141,Показатели!$E:$W,8,FALSE)),"")</f>
        <v>242831000000</v>
      </c>
      <c r="L141" t="str">
        <f>IFERROR(IF(VLOOKUP($B141,Показатели!$E:$W,9,FALSE)=0,"",VLOOKUP($B141,Показатели!$E:$W,9,FALSE)),"")</f>
        <v/>
      </c>
      <c r="M141">
        <f>IFERROR(IF(VLOOKUP($B141,Показатели!$E:$W,10,FALSE)=0,"",VLOOKUP($B141,Показатели!$E:$W,10,FALSE)),"")</f>
        <v>573231000000</v>
      </c>
      <c r="N141">
        <f>IFERROR(IF(VLOOKUP($B141,Показатели!$E:$W,11,FALSE)=0,"",VLOOKUP($B141,Показатели!$E:$W,11,FALSE)),"")</f>
        <v>173353000000</v>
      </c>
      <c r="O141">
        <f>IFERROR(IF(VLOOKUP($B141,Показатели!$E:$W,12,FALSE)=0,"",VLOOKUP($B141,Показатели!$E:$W,12,FALSE)),"")</f>
        <v>-15326000000</v>
      </c>
      <c r="P141">
        <f>IFERROR(IF(VLOOKUP($B141,Показатели!$E:$W,13,FALSE)=0,"",VLOOKUP($B141,Показатели!$E:$W,13,FALSE)),"")</f>
        <v>-22513000000</v>
      </c>
      <c r="Q141">
        <f>IFERROR(IF(VLOOKUP($B141,Показатели!$E:$W,14,FALSE)=0,"",VLOOKUP($B141,Показатели!$E:$W,14,FALSE)),"")</f>
        <v>-20601000000</v>
      </c>
      <c r="R141" t="str">
        <f>IFERROR(IF(VLOOKUP($B141,Показатели!$E:$W,15,FALSE)=0,"",VLOOKUP($B141,Показатели!$E:$W,15,FALSE)),"")</f>
        <v/>
      </c>
      <c r="S141">
        <f>IFERROR(IF(VLOOKUP($B141,Показатели!$E:$W,16,FALSE)=0,"",VLOOKUP($B141,Показатели!$E:$W,16,FALSE)),"")</f>
        <v>107700000000</v>
      </c>
      <c r="T141">
        <f>IFERROR(IF(VLOOKUP($B141,Показатели!$E:$W,17,FALSE)=0,"",VLOOKUP($B141,Показатели!$E:$W,17,FALSE)),"")</f>
        <v>74400000000</v>
      </c>
      <c r="U141">
        <f>IFERROR(IF(VLOOKUP($B141,Показатели!$E:$W,18,FALSE)=0,"",VLOOKUP($B141,Показатели!$E:$W,18,FALSE)),"")</f>
        <v>157970000000</v>
      </c>
      <c r="V141">
        <f>IFERROR(IF(VLOOKUP($B141,Показатели!$E:$W,19,FALSE)=0,"",VLOOKUP($B141,Показатели!$E:$W,19,FALSE)),"")</f>
        <v>918502000000</v>
      </c>
    </row>
    <row r="142" spans="1:22" x14ac:dyDescent="0.2">
      <c r="A142" s="7" t="s">
        <v>2193</v>
      </c>
      <c r="B142" t="str">
        <f t="shared" si="2"/>
        <v>FEES IV кв. 2013</v>
      </c>
      <c r="C142">
        <v>2013</v>
      </c>
      <c r="D142">
        <f>SUMIFS(Дивиденды!$C:$C,Дивиденды!$A:$A,A142,Дивиденды!$I:$I,C142)</f>
        <v>0</v>
      </c>
      <c r="E142">
        <f>IFERROR(IF(VLOOKUP($B142,Показатели!$E:$W,2,FALSE)=0,"",VLOOKUP($B142,Показатели!$E:$W,2,FALSE)),"")</f>
        <v>21627000000</v>
      </c>
      <c r="F142">
        <f>IFERROR(IF(VLOOKUP($B142,Показатели!$E:$W,3,FALSE)=0,"",VLOOKUP($B142,Показатели!$E:$W,3,FALSE)),"")</f>
        <v>122352000000</v>
      </c>
      <c r="G142">
        <f>IFERROR(IF(VLOOKUP($B142,Показатели!$E:$W,4,FALSE)=0,"",VLOOKUP($B142,Показатели!$E:$W,4,FALSE)),"")</f>
        <v>749710000000</v>
      </c>
      <c r="H142" t="str">
        <f>IFERROR(IF(VLOOKUP($B142,Показатели!$E:$W,5,FALSE)=0,"",VLOOKUP($B142,Показатели!$E:$W,5,FALSE)),"")</f>
        <v/>
      </c>
      <c r="I142">
        <f>IFERROR(IF(VLOOKUP($B142,Показатели!$E:$W,6,FALSE)=0,"",VLOOKUP($B142,Показатели!$E:$W,6,FALSE)),"")</f>
        <v>918502000000</v>
      </c>
      <c r="J142">
        <f>IFERROR(IF(VLOOKUP($B142,Показатели!$E:$W,7,FALSE)=0,"",VLOOKUP($B142,Показатели!$E:$W,7,FALSE)),"")</f>
        <v>103817000000</v>
      </c>
      <c r="K142">
        <f>IFERROR(IF(VLOOKUP($B142,Показатели!$E:$W,8,FALSE)=0,"",VLOOKUP($B142,Показатели!$E:$W,8,FALSE)),"")</f>
        <v>266388000000</v>
      </c>
      <c r="L142" t="str">
        <f>IFERROR(IF(VLOOKUP($B142,Показатели!$E:$W,9,FALSE)=0,"",VLOOKUP($B142,Показатели!$E:$W,9,FALSE)),"")</f>
        <v/>
      </c>
      <c r="M142">
        <f>IFERROR(IF(VLOOKUP($B142,Показатели!$E:$W,10,FALSE)=0,"",VLOOKUP($B142,Показатели!$E:$W,10,FALSE)),"")</f>
        <v>548297000000</v>
      </c>
      <c r="N142">
        <f>IFERROR(IF(VLOOKUP($B142,Показатели!$E:$W,11,FALSE)=0,"",VLOOKUP($B142,Показатели!$E:$W,11,FALSE)),"")</f>
        <v>157970000000</v>
      </c>
      <c r="O142">
        <f>IFERROR(IF(VLOOKUP($B142,Показатели!$E:$W,12,FALSE)=0,"",VLOOKUP($B142,Показатели!$E:$W,12,FALSE)),"")</f>
        <v>-262546000000</v>
      </c>
      <c r="P142">
        <f>IFERROR(IF(VLOOKUP($B142,Показатели!$E:$W,13,FALSE)=0,"",VLOOKUP($B142,Показатели!$E:$W,13,FALSE)),"")</f>
        <v>-289914000000</v>
      </c>
      <c r="Q142">
        <f>IFERROR(IF(VLOOKUP($B142,Показатели!$E:$W,14,FALSE)=0,"",VLOOKUP($B142,Показатели!$E:$W,14,FALSE)),"")</f>
        <v>-234771000000</v>
      </c>
      <c r="R142" t="str">
        <f>IFERROR(IF(VLOOKUP($B142,Показатели!$E:$W,15,FALSE)=0,"",VLOOKUP($B142,Показатели!$E:$W,15,FALSE)),"")</f>
        <v/>
      </c>
      <c r="S142">
        <f>IFERROR(IF(VLOOKUP($B142,Показатели!$E:$W,16,FALSE)=0,"",VLOOKUP($B142,Показатели!$E:$W,16,FALSE)),"")</f>
        <v>92551000000</v>
      </c>
      <c r="T142" t="str">
        <f>IFERROR(IF(VLOOKUP($B142,Показатели!$E:$W,17,FALSE)=0,"",VLOOKUP($B142,Показатели!$E:$W,17,FALSE)),"")</f>
        <v/>
      </c>
      <c r="U142">
        <f>IFERROR(IF(VLOOKUP($B142,Показатели!$E:$W,18,FALSE)=0,"",VLOOKUP($B142,Показатели!$E:$W,18,FALSE)),"")</f>
        <v>143856000000</v>
      </c>
      <c r="V142">
        <f>IFERROR(IF(VLOOKUP($B142,Показатели!$E:$W,19,FALSE)=0,"",VLOOKUP($B142,Показатели!$E:$W,19,FALSE)),"")</f>
        <v>1260241000000</v>
      </c>
    </row>
    <row r="143" spans="1:22" x14ac:dyDescent="0.2">
      <c r="A143" s="7" t="s">
        <v>2193</v>
      </c>
      <c r="B143" t="str">
        <f t="shared" si="2"/>
        <v>FEES IV кв. 2012</v>
      </c>
      <c r="C143">
        <v>2012</v>
      </c>
      <c r="D143">
        <f>SUMIFS(Дивиденды!$C:$C,Дивиденды!$A:$A,A143,Дивиденды!$I:$I,C143)</f>
        <v>0</v>
      </c>
      <c r="E143">
        <f>IFERROR(IF(VLOOKUP($B143,Показатели!$E:$W,2,FALSE)=0,"",VLOOKUP($B143,Показатели!$E:$W,2,FALSE)),"")</f>
        <v>24056000000</v>
      </c>
      <c r="F143">
        <f>IFERROR(IF(VLOOKUP($B143,Показатели!$E:$W,3,FALSE)=0,"",VLOOKUP($B143,Показатели!$E:$W,3,FALSE)),"")</f>
        <v>96412000000</v>
      </c>
      <c r="G143">
        <f>IFERROR(IF(VLOOKUP($B143,Показатели!$E:$W,4,FALSE)=0,"",VLOOKUP($B143,Показатели!$E:$W,4,FALSE)),"")</f>
        <v>1096535000000</v>
      </c>
      <c r="H143" t="str">
        <f>IFERROR(IF(VLOOKUP($B143,Показатели!$E:$W,5,FALSE)=0,"",VLOOKUP($B143,Показатели!$E:$W,5,FALSE)),"")</f>
        <v/>
      </c>
      <c r="I143">
        <f>IFERROR(IF(VLOOKUP($B143,Показатели!$E:$W,6,FALSE)=0,"",VLOOKUP($B143,Показатели!$E:$W,6,FALSE)),"")</f>
        <v>1260241000000</v>
      </c>
      <c r="J143">
        <f>IFERROR(IF(VLOOKUP($B143,Показатели!$E:$W,7,FALSE)=0,"",VLOOKUP($B143,Показатели!$E:$W,7,FALSE)),"")</f>
        <v>73466000000</v>
      </c>
      <c r="K143">
        <f>IFERROR(IF(VLOOKUP($B143,Показатели!$E:$W,8,FALSE)=0,"",VLOOKUP($B143,Показатели!$E:$W,8,FALSE)),"")</f>
        <v>278979000000</v>
      </c>
      <c r="L143" t="str">
        <f>IFERROR(IF(VLOOKUP($B143,Показатели!$E:$W,9,FALSE)=0,"",VLOOKUP($B143,Показатели!$E:$W,9,FALSE)),"")</f>
        <v/>
      </c>
      <c r="M143">
        <f>IFERROR(IF(VLOOKUP($B143,Показатели!$E:$W,10,FALSE)=0,"",VLOOKUP($B143,Показатели!$E:$W,10,FALSE)),"")</f>
        <v>907796000000</v>
      </c>
      <c r="N143">
        <f>IFERROR(IF(VLOOKUP($B143,Показатели!$E:$W,11,FALSE)=0,"",VLOOKUP($B143,Показатели!$E:$W,11,FALSE)),"")</f>
        <v>143856000000</v>
      </c>
      <c r="O143">
        <f>IFERROR(IF(VLOOKUP($B143,Показатели!$E:$W,12,FALSE)=0,"",VLOOKUP($B143,Показатели!$E:$W,12,FALSE)),"")</f>
        <v>33279000000</v>
      </c>
      <c r="P143">
        <f>IFERROR(IF(VLOOKUP($B143,Показатели!$E:$W,13,FALSE)=0,"",VLOOKUP($B143,Показатели!$E:$W,13,FALSE)),"")</f>
        <v>8799000000</v>
      </c>
      <c r="Q143">
        <f>IFERROR(IF(VLOOKUP($B143,Показатели!$E:$W,14,FALSE)=0,"",VLOOKUP($B143,Показатели!$E:$W,14,FALSE)),"")</f>
        <v>7043000000</v>
      </c>
      <c r="R143" t="str">
        <f>IFERROR(IF(VLOOKUP($B143,Показатели!$E:$W,15,FALSE)=0,"",VLOOKUP($B143,Показатели!$E:$W,15,FALSE)),"")</f>
        <v/>
      </c>
      <c r="S143">
        <f>IFERROR(IF(VLOOKUP($B143,Показатели!$E:$W,16,FALSE)=0,"",VLOOKUP($B143,Показатели!$E:$W,16,FALSE)),"")</f>
        <v>82133000000</v>
      </c>
      <c r="T143" t="str">
        <f>IFERROR(IF(VLOOKUP($B143,Показатели!$E:$W,17,FALSE)=0,"",VLOOKUP($B143,Показатели!$E:$W,17,FALSE)),"")</f>
        <v/>
      </c>
      <c r="U143">
        <f>IFERROR(IF(VLOOKUP($B143,Показатели!$E:$W,18,FALSE)=0,"",VLOOKUP($B143,Показатели!$E:$W,18,FALSE)),"")</f>
        <v>139571000000</v>
      </c>
      <c r="V143">
        <f>IFERROR(IF(VLOOKUP($B143,Показатели!$E:$W,19,FALSE)=0,"",VLOOKUP($B143,Показатели!$E:$W,19,FALSE)),"")</f>
        <v>1163677000000</v>
      </c>
    </row>
    <row r="144" spans="1:22" x14ac:dyDescent="0.2">
      <c r="A144" s="7" t="s">
        <v>2193</v>
      </c>
      <c r="B144" t="str">
        <f t="shared" si="2"/>
        <v>FEES IV кв. 2011</v>
      </c>
      <c r="C144">
        <v>2011</v>
      </c>
      <c r="D144">
        <f>SUMIFS(Дивиденды!$C:$C,Дивиденды!$A:$A,A144,Дивиденды!$I:$I,C144)</f>
        <v>0</v>
      </c>
      <c r="E144">
        <f>IFERROR(IF(VLOOKUP($B144,Показатели!$E:$W,2,FALSE)=0,"",VLOOKUP($B144,Показатели!$E:$W,2,FALSE)),"")</f>
        <v>25627000000</v>
      </c>
      <c r="F144">
        <f>IFERROR(IF(VLOOKUP($B144,Показатели!$E:$W,3,FALSE)=0,"",VLOOKUP($B144,Показатели!$E:$W,3,FALSE)),"")</f>
        <v>89171000000</v>
      </c>
      <c r="G144">
        <f>IFERROR(IF(VLOOKUP($B144,Показатели!$E:$W,4,FALSE)=0,"",VLOOKUP($B144,Показатели!$E:$W,4,FALSE)),"")</f>
        <v>980677000000</v>
      </c>
      <c r="H144" t="str">
        <f>IFERROR(IF(VLOOKUP($B144,Показатели!$E:$W,5,FALSE)=0,"",VLOOKUP($B144,Показатели!$E:$W,5,FALSE)),"")</f>
        <v/>
      </c>
      <c r="I144">
        <f>IFERROR(IF(VLOOKUP($B144,Показатели!$E:$W,6,FALSE)=0,"",VLOOKUP($B144,Показатели!$E:$W,6,FALSE)),"")</f>
        <v>1163677000000</v>
      </c>
      <c r="J144">
        <f>IFERROR(IF(VLOOKUP($B144,Показатели!$E:$W,7,FALSE)=0,"",VLOOKUP($B144,Показатели!$E:$W,7,FALSE)),"")</f>
        <v>49534000000</v>
      </c>
      <c r="K144">
        <f>IFERROR(IF(VLOOKUP($B144,Показатели!$E:$W,8,FALSE)=0,"",VLOOKUP($B144,Показатели!$E:$W,8,FALSE)),"")</f>
        <v>216036000000</v>
      </c>
      <c r="L144" t="str">
        <f>IFERROR(IF(VLOOKUP($B144,Показатели!$E:$W,9,FALSE)=0,"",VLOOKUP($B144,Показатели!$E:$W,9,FALSE)),"")</f>
        <v/>
      </c>
      <c r="M144">
        <f>IFERROR(IF(VLOOKUP($B144,Показатели!$E:$W,10,FALSE)=0,"",VLOOKUP($B144,Показатели!$E:$W,10,FALSE)),"")</f>
        <v>898107000000</v>
      </c>
      <c r="N144">
        <f>IFERROR(IF(VLOOKUP($B144,Показатели!$E:$W,11,FALSE)=0,"",VLOOKUP($B144,Показатели!$E:$W,11,FALSE)),"")</f>
        <v>139571000000</v>
      </c>
      <c r="O144">
        <f>IFERROR(IF(VLOOKUP($B144,Показатели!$E:$W,12,FALSE)=0,"",VLOOKUP($B144,Показатели!$E:$W,12,FALSE)),"")</f>
        <v>71837000000</v>
      </c>
      <c r="P144">
        <f>IFERROR(IF(VLOOKUP($B144,Показатели!$E:$W,13,FALSE)=0,"",VLOOKUP($B144,Показатели!$E:$W,13,FALSE)),"")</f>
        <v>62863000000</v>
      </c>
      <c r="Q144">
        <f>IFERROR(IF(VLOOKUP($B144,Показатели!$E:$W,14,FALSE)=0,"",VLOOKUP($B144,Показатели!$E:$W,14,FALSE)),"")</f>
        <v>48988000000</v>
      </c>
      <c r="R144" t="str">
        <f>IFERROR(IF(VLOOKUP($B144,Показатели!$E:$W,15,FALSE)=0,"",VLOOKUP($B144,Показатели!$E:$W,15,FALSE)),"")</f>
        <v/>
      </c>
      <c r="S144">
        <f>IFERROR(IF(VLOOKUP($B144,Показатели!$E:$W,16,FALSE)=0,"",VLOOKUP($B144,Показатели!$E:$W,16,FALSE)),"")</f>
        <v>83760000000</v>
      </c>
      <c r="T144" t="str">
        <f>IFERROR(IF(VLOOKUP($B144,Показатели!$E:$W,17,FALSE)=0,"",VLOOKUP($B144,Показатели!$E:$W,17,FALSE)),"")</f>
        <v/>
      </c>
      <c r="U144" t="str">
        <f>IFERROR(IF(VLOOKUP($B144,Показатели!$E:$W,18,FALSE)=0,"",VLOOKUP($B144,Показатели!$E:$W,18,FALSE)),"")</f>
        <v/>
      </c>
      <c r="V144" t="str">
        <f>IFERROR(IF(VLOOKUP($B144,Показатели!$E:$W,19,FALSE)=0,"",VLOOKUP($B144,Показатели!$E:$W,19,FALSE)),"")</f>
        <v/>
      </c>
    </row>
    <row r="145" spans="1:22" x14ac:dyDescent="0.2">
      <c r="A145" s="7" t="s">
        <v>2193</v>
      </c>
      <c r="B145" t="str">
        <f t="shared" si="2"/>
        <v>FEES IV кв. 2010</v>
      </c>
      <c r="C145">
        <v>2010</v>
      </c>
      <c r="D145">
        <f>SUMIFS(Дивиденды!$C:$C,Дивиденды!$A:$A,A145,Дивиденды!$I:$I,C145)</f>
        <v>2.052E-3</v>
      </c>
      <c r="E145" t="str">
        <f>IFERROR(IF(VLOOKUP($B145,Показатели!$E:$W,2,FALSE)=0,"",VLOOKUP($B145,Показатели!$E:$W,2,FALSE)),"")</f>
        <v/>
      </c>
      <c r="F145" t="str">
        <f>IFERROR(IF(VLOOKUP($B145,Показатели!$E:$W,3,FALSE)=0,"",VLOOKUP($B145,Показатели!$E:$W,3,FALSE)),"")</f>
        <v/>
      </c>
      <c r="G145" t="str">
        <f>IFERROR(IF(VLOOKUP($B145,Показатели!$E:$W,4,FALSE)=0,"",VLOOKUP($B145,Показатели!$E:$W,4,FALSE)),"")</f>
        <v/>
      </c>
      <c r="H145" t="str">
        <f>IFERROR(IF(VLOOKUP($B145,Показатели!$E:$W,5,FALSE)=0,"",VLOOKUP($B145,Показатели!$E:$W,5,FALSE)),"")</f>
        <v/>
      </c>
      <c r="I145" t="str">
        <f>IFERROR(IF(VLOOKUP($B145,Показатели!$E:$W,6,FALSE)=0,"",VLOOKUP($B145,Показатели!$E:$W,6,FALSE)),"")</f>
        <v/>
      </c>
      <c r="J145" t="str">
        <f>IFERROR(IF(VLOOKUP($B145,Показатели!$E:$W,7,FALSE)=0,"",VLOOKUP($B145,Показатели!$E:$W,7,FALSE)),"")</f>
        <v/>
      </c>
      <c r="K145" t="str">
        <f>IFERROR(IF(VLOOKUP($B145,Показатели!$E:$W,8,FALSE)=0,"",VLOOKUP($B145,Показатели!$E:$W,8,FALSE)),"")</f>
        <v/>
      </c>
      <c r="L145" t="str">
        <f>IFERROR(IF(VLOOKUP($B145,Показатели!$E:$W,9,FALSE)=0,"",VLOOKUP($B145,Показатели!$E:$W,9,FALSE)),"")</f>
        <v/>
      </c>
      <c r="M145" t="str">
        <f>IFERROR(IF(VLOOKUP($B145,Показатели!$E:$W,10,FALSE)=0,"",VLOOKUP($B145,Показатели!$E:$W,10,FALSE)),"")</f>
        <v/>
      </c>
      <c r="N145" t="str">
        <f>IFERROR(IF(VLOOKUP($B145,Показатели!$E:$W,11,FALSE)=0,"",VLOOKUP($B145,Показатели!$E:$W,11,FALSE)),"")</f>
        <v/>
      </c>
      <c r="O145" t="str">
        <f>IFERROR(IF(VLOOKUP($B145,Показатели!$E:$W,12,FALSE)=0,"",VLOOKUP($B145,Показатели!$E:$W,12,FALSE)),"")</f>
        <v/>
      </c>
      <c r="P145" t="str">
        <f>IFERROR(IF(VLOOKUP($B145,Показатели!$E:$W,13,FALSE)=0,"",VLOOKUP($B145,Показатели!$E:$W,13,FALSE)),"")</f>
        <v/>
      </c>
      <c r="Q145" t="str">
        <f>IFERROR(IF(VLOOKUP($B145,Показатели!$E:$W,14,FALSE)=0,"",VLOOKUP($B145,Показатели!$E:$W,14,FALSE)),"")</f>
        <v/>
      </c>
      <c r="R145" t="str">
        <f>IFERROR(IF(VLOOKUP($B145,Показатели!$E:$W,15,FALSE)=0,"",VLOOKUP($B145,Показатели!$E:$W,15,FALSE)),"")</f>
        <v/>
      </c>
      <c r="S145" t="str">
        <f>IFERROR(IF(VLOOKUP($B145,Показатели!$E:$W,16,FALSE)=0,"",VLOOKUP($B145,Показатели!$E:$W,16,FALSE)),"")</f>
        <v/>
      </c>
      <c r="T145" t="str">
        <f>IFERROR(IF(VLOOKUP($B145,Показатели!$E:$W,17,FALSE)=0,"",VLOOKUP($B145,Показатели!$E:$W,17,FALSE)),"")</f>
        <v/>
      </c>
      <c r="U145" t="str">
        <f>IFERROR(IF(VLOOKUP($B145,Показатели!$E:$W,18,FALSE)=0,"",VLOOKUP($B145,Показатели!$E:$W,18,FALSE)),"")</f>
        <v/>
      </c>
      <c r="V145" t="str">
        <f>IFERROR(IF(VLOOKUP($B145,Показатели!$E:$W,19,FALSE)=0,"",VLOOKUP($B145,Показатели!$E:$W,19,FALSE)),"")</f>
        <v/>
      </c>
    </row>
    <row r="146" spans="1:22" x14ac:dyDescent="0.2">
      <c r="A146" s="7" t="s">
        <v>2196</v>
      </c>
      <c r="B146" t="str">
        <f t="shared" si="2"/>
        <v>HYDR IV кв. 2025</v>
      </c>
      <c r="C146">
        <v>2025</v>
      </c>
      <c r="D146">
        <f>SUMIFS(Дивиденды!$C:$C,Дивиденды!$A:$A,A146,Дивиденды!$I:$I,C146)</f>
        <v>0</v>
      </c>
      <c r="E146">
        <f>IFERROR(IF(VLOOKUP($B146,Показатели!$E:$W,2,FALSE)=0,"",VLOOKUP($B146,Показатели!$E:$W,2,FALSE)),"")</f>
        <v>68199000000</v>
      </c>
      <c r="F146">
        <f>IFERROR(IF(VLOOKUP($B146,Показатели!$E:$W,3,FALSE)=0,"",VLOOKUP($B146,Показатели!$E:$W,3,FALSE)),"")</f>
        <v>279826000000</v>
      </c>
      <c r="G146">
        <f>IFERROR(IF(VLOOKUP($B146,Показатели!$E:$W,4,FALSE)=0,"",VLOOKUP($B146,Показатели!$E:$W,4,FALSE)),"")</f>
        <v>1372817000000</v>
      </c>
      <c r="H146" t="str">
        <f>IFERROR(IF(VLOOKUP($B146,Показатели!$E:$W,5,FALSE)=0,"",VLOOKUP($B146,Показатели!$E:$W,5,FALSE)),"")</f>
        <v/>
      </c>
      <c r="I146">
        <f>IFERROR(IF(VLOOKUP($B146,Показатели!$E:$W,6,FALSE)=0,"",VLOOKUP($B146,Показатели!$E:$W,6,FALSE)),"")</f>
        <v>1756059000000</v>
      </c>
      <c r="J146">
        <f>IFERROR(IF(VLOOKUP($B146,Показатели!$E:$W,7,FALSE)=0,"",VLOOKUP($B146,Показатели!$E:$W,7,FALSE)),"")</f>
        <v>451324000000</v>
      </c>
      <c r="K146">
        <f>IFERROR(IF(VLOOKUP($B146,Показатели!$E:$W,8,FALSE)=0,"",VLOOKUP($B146,Показатели!$E:$W,8,FALSE)),"")</f>
        <v>601142000000</v>
      </c>
      <c r="L146">
        <f>IFERROR(IF(VLOOKUP($B146,Показатели!$E:$W,9,FALSE)=0,"",VLOOKUP($B146,Показатели!$E:$W,9,FALSE)),"")</f>
        <v>214340000000</v>
      </c>
      <c r="M146">
        <f>IFERROR(IF(VLOOKUP($B146,Показатели!$E:$W,10,FALSE)=0,"",VLOOKUP($B146,Показатели!$E:$W,10,FALSE)),"")</f>
        <v>703593000000</v>
      </c>
      <c r="N146">
        <f>IFERROR(IF(VLOOKUP($B146,Показатели!$E:$W,11,FALSE)=0,"",VLOOKUP($B146,Показатели!$E:$W,11,FALSE)),"")</f>
        <v>663772000000</v>
      </c>
      <c r="O146">
        <f>IFERROR(IF(VLOOKUP($B146,Показатели!$E:$W,12,FALSE)=0,"",VLOOKUP($B146,Показатели!$E:$W,12,FALSE)),"")</f>
        <v>216613000000</v>
      </c>
      <c r="P146">
        <f>IFERROR(IF(VLOOKUP($B146,Показатели!$E:$W,13,FALSE)=0,"",VLOOKUP($B146,Показатели!$E:$W,13,FALSE)),"")</f>
        <v>175713000000</v>
      </c>
      <c r="Q146">
        <f>IFERROR(IF(VLOOKUP($B146,Показатели!$E:$W,14,FALSE)=0,"",VLOOKUP($B146,Показатели!$E:$W,14,FALSE)),"")</f>
        <v>117839000000</v>
      </c>
      <c r="R146">
        <f>IFERROR(IF(VLOOKUP($B146,Показатели!$E:$W,15,FALSE)=0,"",VLOOKUP($B146,Показатели!$E:$W,15,FALSE)),"")</f>
        <v>41229000000</v>
      </c>
      <c r="S146">
        <f>IFERROR(IF(VLOOKUP($B146,Показатели!$E:$W,16,FALSE)=0,"",VLOOKUP($B146,Показатели!$E:$W,16,FALSE)),"")</f>
        <v>219707000000</v>
      </c>
      <c r="T146">
        <f>IFERROR(IF(VLOOKUP($B146,Показатели!$E:$W,17,FALSE)=0,"",VLOOKUP($B146,Показатели!$E:$W,17,FALSE)),"")</f>
        <v>-270901000000</v>
      </c>
      <c r="U146">
        <f>IFERROR(IF(VLOOKUP($B146,Показатели!$E:$W,18,FALSE)=0,"",VLOOKUP($B146,Показатели!$E:$W,18,FALSE)),"")</f>
        <v>579817000000</v>
      </c>
      <c r="V146">
        <f>IFERROR(IF(VLOOKUP($B146,Показатели!$E:$W,19,FALSE)=0,"",VLOOKUP($B146,Показатели!$E:$W,19,FALSE)),"")</f>
        <v>1365732000000</v>
      </c>
    </row>
    <row r="147" spans="1:22" x14ac:dyDescent="0.2">
      <c r="A147" s="7" t="s">
        <v>2196</v>
      </c>
      <c r="B147" t="str">
        <f t="shared" si="2"/>
        <v>HYDR IV кв. 2024</v>
      </c>
      <c r="C147">
        <v>2024</v>
      </c>
      <c r="D147">
        <f>SUMIFS(Дивиденды!$C:$C,Дивиденды!$A:$A,A147,Дивиденды!$I:$I,C147)</f>
        <v>0</v>
      </c>
      <c r="E147">
        <f>IFERROR(IF(VLOOKUP($B147,Показатели!$E:$W,2,FALSE)=0,"",VLOOKUP($B147,Показатели!$E:$W,2,FALSE)),"")</f>
        <v>91265000000</v>
      </c>
      <c r="F147">
        <f>IFERROR(IF(VLOOKUP($B147,Показатели!$E:$W,3,FALSE)=0,"",VLOOKUP($B147,Показатели!$E:$W,3,FALSE)),"")</f>
        <v>267336000000</v>
      </c>
      <c r="G147">
        <f>IFERROR(IF(VLOOKUP($B147,Показатели!$E:$W,4,FALSE)=0,"",VLOOKUP($B147,Показатели!$E:$W,4,FALSE)),"")</f>
        <v>1021976000000</v>
      </c>
      <c r="H147" t="str">
        <f>IFERROR(IF(VLOOKUP($B147,Показатели!$E:$W,5,FALSE)=0,"",VLOOKUP($B147,Показатели!$E:$W,5,FALSE)),"")</f>
        <v/>
      </c>
      <c r="I147">
        <f>IFERROR(IF(VLOOKUP($B147,Показатели!$E:$W,6,FALSE)=0,"",VLOOKUP($B147,Показатели!$E:$W,6,FALSE)),"")</f>
        <v>1365732000000</v>
      </c>
      <c r="J147">
        <f>IFERROR(IF(VLOOKUP($B147,Показатели!$E:$W,7,FALSE)=0,"",VLOOKUP($B147,Показатели!$E:$W,7,FALSE)),"")</f>
        <v>299278000000</v>
      </c>
      <c r="K147">
        <f>IFERROR(IF(VLOOKUP($B147,Показатели!$E:$W,8,FALSE)=0,"",VLOOKUP($B147,Показатели!$E:$W,8,FALSE)),"")</f>
        <v>481150000000</v>
      </c>
      <c r="L147">
        <f>IFERROR(IF(VLOOKUP($B147,Показатели!$E:$W,9,FALSE)=0,"",VLOOKUP($B147,Показатели!$E:$W,9,FALSE)),"")</f>
        <v>98961000000</v>
      </c>
      <c r="M147">
        <f>IFERROR(IF(VLOOKUP($B147,Показатели!$E:$W,10,FALSE)=0,"",VLOOKUP($B147,Показатели!$E:$W,10,FALSE)),"")</f>
        <v>585304000000</v>
      </c>
      <c r="N147">
        <f>IFERROR(IF(VLOOKUP($B147,Показатели!$E:$W,11,FALSE)=0,"",VLOOKUP($B147,Показатели!$E:$W,11,FALSE)),"")</f>
        <v>579817000000</v>
      </c>
      <c r="O147">
        <f>IFERROR(IF(VLOOKUP($B147,Показатели!$E:$W,12,FALSE)=0,"",VLOOKUP($B147,Показатели!$E:$W,12,FALSE)),"")</f>
        <v>12190000000</v>
      </c>
      <c r="P147">
        <f>IFERROR(IF(VLOOKUP($B147,Показатели!$E:$W,13,FALSE)=0,"",VLOOKUP($B147,Показатели!$E:$W,13,FALSE)),"")</f>
        <v>-26407000000</v>
      </c>
      <c r="Q147">
        <f>IFERROR(IF(VLOOKUP($B147,Показатели!$E:$W,14,FALSE)=0,"",VLOOKUP($B147,Показатели!$E:$W,14,FALSE)),"")</f>
        <v>-61162000000</v>
      </c>
      <c r="R147">
        <f>IFERROR(IF(VLOOKUP($B147,Показатели!$E:$W,15,FALSE)=0,"",VLOOKUP($B147,Показатели!$E:$W,15,FALSE)),"")</f>
        <v>39535000000</v>
      </c>
      <c r="S147">
        <f>IFERROR(IF(VLOOKUP($B147,Показатели!$E:$W,16,FALSE)=0,"",VLOOKUP($B147,Показатели!$E:$W,16,FALSE)),"")</f>
        <v>150809000000</v>
      </c>
      <c r="T147">
        <f>IFERROR(IF(VLOOKUP($B147,Показатели!$E:$W,17,FALSE)=0,"",VLOOKUP($B147,Показатели!$E:$W,17,FALSE)),"")</f>
        <v>-199349000000</v>
      </c>
      <c r="U147">
        <f>IFERROR(IF(VLOOKUP($B147,Показатели!$E:$W,18,FALSE)=0,"",VLOOKUP($B147,Показатели!$E:$W,18,FALSE)),"")</f>
        <v>510325000000</v>
      </c>
      <c r="V147">
        <f>IFERROR(IF(VLOOKUP($B147,Показатели!$E:$W,19,FALSE)=0,"",VLOOKUP($B147,Показатели!$E:$W,19,FALSE)),"")</f>
        <v>1164353000000</v>
      </c>
    </row>
    <row r="148" spans="1:22" x14ac:dyDescent="0.2">
      <c r="A148" s="7" t="s">
        <v>2196</v>
      </c>
      <c r="B148" t="str">
        <f t="shared" si="2"/>
        <v>HYDR IV кв. 2023</v>
      </c>
      <c r="C148">
        <v>2023</v>
      </c>
      <c r="D148">
        <f>SUMIFS(Дивиденды!$C:$C,Дивиденды!$A:$A,A148,Дивиденды!$I:$I,C148)</f>
        <v>0</v>
      </c>
      <c r="E148">
        <f>IFERROR(IF(VLOOKUP($B148,Показатели!$E:$W,2,FALSE)=0,"",VLOOKUP($B148,Показатели!$E:$W,2,FALSE)),"")</f>
        <v>32364000000</v>
      </c>
      <c r="F148">
        <f>IFERROR(IF(VLOOKUP($B148,Показатели!$E:$W,3,FALSE)=0,"",VLOOKUP($B148,Показатели!$E:$W,3,FALSE)),"")</f>
        <v>179106000000</v>
      </c>
      <c r="G148">
        <f>IFERROR(IF(VLOOKUP($B148,Показатели!$E:$W,4,FALSE)=0,"",VLOOKUP($B148,Показатели!$E:$W,4,FALSE)),"")</f>
        <v>920989000000</v>
      </c>
      <c r="H148" t="str">
        <f>IFERROR(IF(VLOOKUP($B148,Показатели!$E:$W,5,FALSE)=0,"",VLOOKUP($B148,Показатели!$E:$W,5,FALSE)),"")</f>
        <v/>
      </c>
      <c r="I148">
        <f>IFERROR(IF(VLOOKUP($B148,Показатели!$E:$W,6,FALSE)=0,"",VLOOKUP($B148,Показатели!$E:$W,6,FALSE)),"")</f>
        <v>1164353000000</v>
      </c>
      <c r="J148">
        <f>IFERROR(IF(VLOOKUP($B148,Показатели!$E:$W,7,FALSE)=0,"",VLOOKUP($B148,Показатели!$E:$W,7,FALSE)),"")</f>
        <v>174379000000</v>
      </c>
      <c r="K148">
        <f>IFERROR(IF(VLOOKUP($B148,Показатели!$E:$W,8,FALSE)=0,"",VLOOKUP($B148,Показатели!$E:$W,8,FALSE)),"")</f>
        <v>344766000000</v>
      </c>
      <c r="L148">
        <f>IFERROR(IF(VLOOKUP($B148,Показатели!$E:$W,9,FALSE)=0,"",VLOOKUP($B148,Показатели!$E:$W,9,FALSE)),"")</f>
        <v>151002000000</v>
      </c>
      <c r="M148">
        <f>IFERROR(IF(VLOOKUP($B148,Показатели!$E:$W,10,FALSE)=0,"",VLOOKUP($B148,Показатели!$E:$W,10,FALSE)),"")</f>
        <v>645208000000</v>
      </c>
      <c r="N148">
        <f>IFERROR(IF(VLOOKUP($B148,Показатели!$E:$W,11,FALSE)=0,"",VLOOKUP($B148,Показатели!$E:$W,11,FALSE)),"")</f>
        <v>510325000000</v>
      </c>
      <c r="O148">
        <f>IFERROR(IF(VLOOKUP($B148,Показатели!$E:$W,12,FALSE)=0,"",VLOOKUP($B148,Показатели!$E:$W,12,FALSE)),"")</f>
        <v>65480000000</v>
      </c>
      <c r="P148">
        <f>IFERROR(IF(VLOOKUP($B148,Показатели!$E:$W,13,FALSE)=0,"",VLOOKUP($B148,Показатели!$E:$W,13,FALSE)),"")</f>
        <v>52065000000</v>
      </c>
      <c r="Q148">
        <f>IFERROR(IF(VLOOKUP($B148,Показатели!$E:$W,14,FALSE)=0,"",VLOOKUP($B148,Показатели!$E:$W,14,FALSE)),"")</f>
        <v>32104000000</v>
      </c>
      <c r="R148">
        <f>IFERROR(IF(VLOOKUP($B148,Показатели!$E:$W,15,FALSE)=0,"",VLOOKUP($B148,Показатели!$E:$W,15,FALSE)),"")</f>
        <v>34760000000</v>
      </c>
      <c r="S148">
        <f>IFERROR(IF(VLOOKUP($B148,Показатели!$E:$W,16,FALSE)=0,"",VLOOKUP($B148,Показатели!$E:$W,16,FALSE)),"")</f>
        <v>131473000000</v>
      </c>
      <c r="T148">
        <f>IFERROR(IF(VLOOKUP($B148,Показатели!$E:$W,17,FALSE)=0,"",VLOOKUP($B148,Показатели!$E:$W,17,FALSE)),"")</f>
        <v>-192702000000</v>
      </c>
      <c r="U148">
        <f>IFERROR(IF(VLOOKUP($B148,Показатели!$E:$W,18,FALSE)=0,"",VLOOKUP($B148,Показатели!$E:$W,18,FALSE)),"")</f>
        <v>418558000000</v>
      </c>
      <c r="V148">
        <f>IFERROR(IF(VLOOKUP($B148,Показатели!$E:$W,19,FALSE)=0,"",VLOOKUP($B148,Показатели!$E:$W,19,FALSE)),"")</f>
        <v>993400000000</v>
      </c>
    </row>
    <row r="149" spans="1:22" x14ac:dyDescent="0.2">
      <c r="A149" s="7" t="s">
        <v>2196</v>
      </c>
      <c r="B149" t="str">
        <f t="shared" si="2"/>
        <v>HYDR IV кв. 2022</v>
      </c>
      <c r="C149">
        <v>2022</v>
      </c>
      <c r="D149">
        <f>SUMIFS(Дивиденды!$C:$C,Дивиденды!$A:$A,A149,Дивиденды!$I:$I,C149)</f>
        <v>5.0299999999999997E-2</v>
      </c>
      <c r="E149">
        <f>IFERROR(IF(VLOOKUP($B149,Показатели!$E:$W,2,FALSE)=0,"",VLOOKUP($B149,Показатели!$E:$W,2,FALSE)),"")</f>
        <v>36923000000</v>
      </c>
      <c r="F149">
        <f>IFERROR(IF(VLOOKUP($B149,Показатели!$E:$W,3,FALSE)=0,"",VLOOKUP($B149,Показатели!$E:$W,3,FALSE)),"")</f>
        <v>164298000000</v>
      </c>
      <c r="G149">
        <f>IFERROR(IF(VLOOKUP($B149,Показатели!$E:$W,4,FALSE)=0,"",VLOOKUP($B149,Показатели!$E:$W,4,FALSE)),"")</f>
        <v>771729000000</v>
      </c>
      <c r="H149" t="str">
        <f>IFERROR(IF(VLOOKUP($B149,Показатели!$E:$W,5,FALSE)=0,"",VLOOKUP($B149,Показатели!$E:$W,5,FALSE)),"")</f>
        <v/>
      </c>
      <c r="I149">
        <f>IFERROR(IF(VLOOKUP($B149,Показатели!$E:$W,6,FALSE)=0,"",VLOOKUP($B149,Показатели!$E:$W,6,FALSE)),"")</f>
        <v>993400000000</v>
      </c>
      <c r="J149">
        <f>IFERROR(IF(VLOOKUP($B149,Показатели!$E:$W,7,FALSE)=0,"",VLOOKUP($B149,Показатели!$E:$W,7,FALSE)),"")</f>
        <v>174211000000</v>
      </c>
      <c r="K149">
        <f>IFERROR(IF(VLOOKUP($B149,Показатели!$E:$W,8,FALSE)=0,"",VLOOKUP($B149,Показатели!$E:$W,8,FALSE)),"")</f>
        <v>188998000000</v>
      </c>
      <c r="L149">
        <f>IFERROR(IF(VLOOKUP($B149,Показатели!$E:$W,9,FALSE)=0,"",VLOOKUP($B149,Показатели!$E:$W,9,FALSE)),"")</f>
        <v>139709000000</v>
      </c>
      <c r="M149">
        <f>IFERROR(IF(VLOOKUP($B149,Показатели!$E:$W,10,FALSE)=0,"",VLOOKUP($B149,Показатели!$E:$W,10,FALSE)),"")</f>
        <v>630191000000</v>
      </c>
      <c r="N149">
        <f>IFERROR(IF(VLOOKUP($B149,Показатели!$E:$W,11,FALSE)=0,"",VLOOKUP($B149,Показатели!$E:$W,11,FALSE)),"")</f>
        <v>418558000000</v>
      </c>
      <c r="O149">
        <f>IFERROR(IF(VLOOKUP($B149,Показатели!$E:$W,12,FALSE)=0,"",VLOOKUP($B149,Показатели!$E:$W,12,FALSE)),"")</f>
        <v>37802000000</v>
      </c>
      <c r="P149">
        <f>IFERROR(IF(VLOOKUP($B149,Показатели!$E:$W,13,FALSE)=0,"",VLOOKUP($B149,Показатели!$E:$W,13,FALSE)),"")</f>
        <v>34944000000</v>
      </c>
      <c r="Q149">
        <f>IFERROR(IF(VLOOKUP($B149,Показатели!$E:$W,14,FALSE)=0,"",VLOOKUP($B149,Показатели!$E:$W,14,FALSE)),"")</f>
        <v>19325000000</v>
      </c>
      <c r="R149">
        <f>IFERROR(IF(VLOOKUP($B149,Показатели!$E:$W,15,FALSE)=0,"",VLOOKUP($B149,Показатели!$E:$W,15,FALSE)),"")</f>
        <v>31633000000</v>
      </c>
      <c r="S149">
        <f>IFERROR(IF(VLOOKUP($B149,Показатели!$E:$W,16,FALSE)=0,"",VLOOKUP($B149,Показатели!$E:$W,16,FALSE)),"")</f>
        <v>91609000000</v>
      </c>
      <c r="T149">
        <f>IFERROR(IF(VLOOKUP($B149,Показатели!$E:$W,17,FALSE)=0,"",VLOOKUP($B149,Показатели!$E:$W,17,FALSE)),"")</f>
        <v>-112078000000</v>
      </c>
      <c r="U149">
        <f>IFERROR(IF(VLOOKUP($B149,Показатели!$E:$W,18,FALSE)=0,"",VLOOKUP($B149,Показатели!$E:$W,18,FALSE)),"")</f>
        <v>406033000000</v>
      </c>
      <c r="V149">
        <f>IFERROR(IF(VLOOKUP($B149,Показатели!$E:$W,19,FALSE)=0,"",VLOOKUP($B149,Показатели!$E:$W,19,FALSE)),"")</f>
        <v>930487000000</v>
      </c>
    </row>
    <row r="150" spans="1:22" x14ac:dyDescent="0.2">
      <c r="A150" s="7" t="s">
        <v>2196</v>
      </c>
      <c r="B150" t="str">
        <f t="shared" si="2"/>
        <v>HYDR IV кв. 2021</v>
      </c>
      <c r="C150">
        <v>2021</v>
      </c>
      <c r="D150">
        <f>SUMIFS(Дивиденды!$C:$C,Дивиденды!$A:$A,A150,Дивиденды!$I:$I,C150)</f>
        <v>5.2999999999999999E-2</v>
      </c>
      <c r="E150">
        <f>IFERROR(IF(VLOOKUP($B150,Показатели!$E:$W,2,FALSE)=0,"",VLOOKUP($B150,Показатели!$E:$W,2,FALSE)),"")</f>
        <v>59806000000</v>
      </c>
      <c r="F150">
        <f>IFERROR(IF(VLOOKUP($B150,Показатели!$E:$W,3,FALSE)=0,"",VLOOKUP($B150,Показатели!$E:$W,3,FALSE)),"")</f>
        <v>173071000000</v>
      </c>
      <c r="G150">
        <f>IFERROR(IF(VLOOKUP($B150,Показатели!$E:$W,4,FALSE)=0,"",VLOOKUP($B150,Показатели!$E:$W,4,FALSE)),"")</f>
        <v>702164000000</v>
      </c>
      <c r="H150" t="str">
        <f>IFERROR(IF(VLOOKUP($B150,Показатели!$E:$W,5,FALSE)=0,"",VLOOKUP($B150,Показатели!$E:$W,5,FALSE)),"")</f>
        <v/>
      </c>
      <c r="I150">
        <f>IFERROR(IF(VLOOKUP($B150,Показатели!$E:$W,6,FALSE)=0,"",VLOOKUP($B150,Показатели!$E:$W,6,FALSE)),"")</f>
        <v>930487000000</v>
      </c>
      <c r="J150">
        <f>IFERROR(IF(VLOOKUP($B150,Показатели!$E:$W,7,FALSE)=0,"",VLOOKUP($B150,Показатели!$E:$W,7,FALSE)),"")</f>
        <v>153785000000</v>
      </c>
      <c r="K150">
        <f>IFERROR(IF(VLOOKUP($B150,Показатели!$E:$W,8,FALSE)=0,"",VLOOKUP($B150,Показатели!$E:$W,8,FALSE)),"")</f>
        <v>147349000000</v>
      </c>
      <c r="L150">
        <f>IFERROR(IF(VLOOKUP($B150,Показатели!$E:$W,9,FALSE)=0,"",VLOOKUP($B150,Показатели!$E:$W,9,FALSE)),"")</f>
        <v>145773000000</v>
      </c>
      <c r="M150">
        <f>IFERROR(IF(VLOOKUP($B150,Показатели!$E:$W,10,FALSE)=0,"",VLOOKUP($B150,Показатели!$E:$W,10,FALSE)),"")</f>
        <v>629353000000</v>
      </c>
      <c r="N150">
        <f>IFERROR(IF(VLOOKUP($B150,Показатели!$E:$W,11,FALSE)=0,"",VLOOKUP($B150,Показатели!$E:$W,11,FALSE)),"")</f>
        <v>406033000000</v>
      </c>
      <c r="O150">
        <f>IFERROR(IF(VLOOKUP($B150,Показатели!$E:$W,12,FALSE)=0,"",VLOOKUP($B150,Показатели!$E:$W,12,FALSE)),"")</f>
        <v>57289000000</v>
      </c>
      <c r="P150">
        <f>IFERROR(IF(VLOOKUP($B150,Показатели!$E:$W,13,FALSE)=0,"",VLOOKUP($B150,Показатели!$E:$W,13,FALSE)),"")</f>
        <v>54904000000</v>
      </c>
      <c r="Q150">
        <f>IFERROR(IF(VLOOKUP($B150,Показатели!$E:$W,14,FALSE)=0,"",VLOOKUP($B150,Показатели!$E:$W,14,FALSE)),"")</f>
        <v>42078000000</v>
      </c>
      <c r="R150">
        <f>IFERROR(IF(VLOOKUP($B150,Показатели!$E:$W,15,FALSE)=0,"",VLOOKUP($B150,Показатели!$E:$W,15,FALSE)),"")</f>
        <v>31339000000</v>
      </c>
      <c r="S150">
        <f>IFERROR(IF(VLOOKUP($B150,Показатели!$E:$W,16,FALSE)=0,"",VLOOKUP($B150,Показатели!$E:$W,16,FALSE)),"")</f>
        <v>122187000000</v>
      </c>
      <c r="T150">
        <f>IFERROR(IF(VLOOKUP($B150,Показатели!$E:$W,17,FALSE)=0,"",VLOOKUP($B150,Показатели!$E:$W,17,FALSE)),"")</f>
        <v>-77253000000</v>
      </c>
      <c r="U150">
        <f>IFERROR(IF(VLOOKUP($B150,Показатели!$E:$W,18,FALSE)=0,"",VLOOKUP($B150,Показатели!$E:$W,18,FALSE)),"")</f>
        <v>382845000000</v>
      </c>
      <c r="V150">
        <f>IFERROR(IF(VLOOKUP($B150,Показатели!$E:$W,19,FALSE)=0,"",VLOOKUP($B150,Показатели!$E:$W,19,FALSE)),"")</f>
        <v>942035000000</v>
      </c>
    </row>
    <row r="151" spans="1:22" x14ac:dyDescent="0.2">
      <c r="A151" s="7" t="s">
        <v>2196</v>
      </c>
      <c r="B151" t="str">
        <f t="shared" si="2"/>
        <v>HYDR IV кв. 2020</v>
      </c>
      <c r="C151">
        <v>2020</v>
      </c>
      <c r="D151">
        <f>SUMIFS(Дивиденды!$C:$C,Дивиденды!$A:$A,A151,Дивиденды!$I:$I,C151)</f>
        <v>5.2999999999999999E-2</v>
      </c>
      <c r="E151">
        <f>IFERROR(IF(VLOOKUP($B151,Показатели!$E:$W,2,FALSE)=0,"",VLOOKUP($B151,Показатели!$E:$W,2,FALSE)),"")</f>
        <v>58291000000</v>
      </c>
      <c r="F151">
        <f>IFERROR(IF(VLOOKUP($B151,Показатели!$E:$W,3,FALSE)=0,"",VLOOKUP($B151,Показатели!$E:$W,3,FALSE)),"")</f>
        <v>206309000000</v>
      </c>
      <c r="G151">
        <f>IFERROR(IF(VLOOKUP($B151,Показатели!$E:$W,4,FALSE)=0,"",VLOOKUP($B151,Показатели!$E:$W,4,FALSE)),"")</f>
        <v>682652000000</v>
      </c>
      <c r="H151" t="str">
        <f>IFERROR(IF(VLOOKUP($B151,Показатели!$E:$W,5,FALSE)=0,"",VLOOKUP($B151,Показатели!$E:$W,5,FALSE)),"")</f>
        <v/>
      </c>
      <c r="I151">
        <f>IFERROR(IF(VLOOKUP($B151,Показатели!$E:$W,6,FALSE)=0,"",VLOOKUP($B151,Показатели!$E:$W,6,FALSE)),"")</f>
        <v>942035000000</v>
      </c>
      <c r="J151">
        <f>IFERROR(IF(VLOOKUP($B151,Показатели!$E:$W,7,FALSE)=0,"",VLOOKUP($B151,Показатели!$E:$W,7,FALSE)),"")</f>
        <v>147743000000</v>
      </c>
      <c r="K151">
        <f>IFERROR(IF(VLOOKUP($B151,Показатели!$E:$W,8,FALSE)=0,"",VLOOKUP($B151,Показатели!$E:$W,8,FALSE)),"")</f>
        <v>185352000000</v>
      </c>
      <c r="L151">
        <f>IFERROR(IF(VLOOKUP($B151,Показатели!$E:$W,9,FALSE)=0,"",VLOOKUP($B151,Показатели!$E:$W,9,FALSE)),"")</f>
        <v>125709000000</v>
      </c>
      <c r="M151">
        <f>IFERROR(IF(VLOOKUP($B151,Показатели!$E:$W,10,FALSE)=0,"",VLOOKUP($B151,Показатели!$E:$W,10,FALSE)),"")</f>
        <v>608940000000</v>
      </c>
      <c r="N151">
        <f>IFERROR(IF(VLOOKUP($B151,Показатели!$E:$W,11,FALSE)=0,"",VLOOKUP($B151,Показатели!$E:$W,11,FALSE)),"")</f>
        <v>382845000000</v>
      </c>
      <c r="O151">
        <f>IFERROR(IF(VLOOKUP($B151,Показатели!$E:$W,12,FALSE)=0,"",VLOOKUP($B151,Показатели!$E:$W,12,FALSE)),"")</f>
        <v>59170000000</v>
      </c>
      <c r="P151">
        <f>IFERROR(IF(VLOOKUP($B151,Показатели!$E:$W,13,FALSE)=0,"",VLOOKUP($B151,Показатели!$E:$W,13,FALSE)),"")</f>
        <v>65813000000</v>
      </c>
      <c r="Q151">
        <f>IFERROR(IF(VLOOKUP($B151,Показатели!$E:$W,14,FALSE)=0,"",VLOOKUP($B151,Показатели!$E:$W,14,FALSE)),"")</f>
        <v>46607000000</v>
      </c>
      <c r="R151">
        <f>IFERROR(IF(VLOOKUP($B151,Показатели!$E:$W,15,FALSE)=0,"",VLOOKUP($B151,Показатели!$E:$W,15,FALSE)),"")</f>
        <v>28902000000</v>
      </c>
      <c r="S151">
        <f>IFERROR(IF(VLOOKUP($B151,Показатели!$E:$W,16,FALSE)=0,"",VLOOKUP($B151,Показатели!$E:$W,16,FALSE)),"")</f>
        <v>120268000000</v>
      </c>
      <c r="T151">
        <f>IFERROR(IF(VLOOKUP($B151,Показатели!$E:$W,17,FALSE)=0,"",VLOOKUP($B151,Показатели!$E:$W,17,FALSE)),"")</f>
        <v>-58519000000</v>
      </c>
      <c r="U151">
        <f>IFERROR(IF(VLOOKUP($B151,Показатели!$E:$W,18,FALSE)=0,"",VLOOKUP($B151,Показатели!$E:$W,18,FALSE)),"")</f>
        <v>366642000000</v>
      </c>
      <c r="V151">
        <f>IFERROR(IF(VLOOKUP($B151,Показатели!$E:$W,19,FALSE)=0,"",VLOOKUP($B151,Показатели!$E:$W,19,FALSE)),"")</f>
        <v>925119000000</v>
      </c>
    </row>
    <row r="152" spans="1:22" x14ac:dyDescent="0.2">
      <c r="A152" s="7" t="s">
        <v>2196</v>
      </c>
      <c r="B152" t="str">
        <f t="shared" si="2"/>
        <v>HYDR IV кв. 2019</v>
      </c>
      <c r="C152">
        <v>2019</v>
      </c>
      <c r="D152">
        <f>SUMIFS(Дивиденды!$C:$C,Дивиденды!$A:$A,A152,Дивиденды!$I:$I,C152)</f>
        <v>3.5700000000000003E-2</v>
      </c>
      <c r="E152">
        <f>IFERROR(IF(VLOOKUP($B152,Показатели!$E:$W,2,FALSE)=0,"",VLOOKUP($B152,Показатели!$E:$W,2,FALSE)),"")</f>
        <v>41047000000</v>
      </c>
      <c r="F152">
        <f>IFERROR(IF(VLOOKUP($B152,Показатели!$E:$W,3,FALSE)=0,"",VLOOKUP($B152,Показатели!$E:$W,3,FALSE)),"")</f>
        <v>191331000000</v>
      </c>
      <c r="G152">
        <f>IFERROR(IF(VLOOKUP($B152,Показатели!$E:$W,4,FALSE)=0,"",VLOOKUP($B152,Показатели!$E:$W,4,FALSE)),"")</f>
        <v>677862000000</v>
      </c>
      <c r="H152" t="str">
        <f>IFERROR(IF(VLOOKUP($B152,Показатели!$E:$W,5,FALSE)=0,"",VLOOKUP($B152,Показатели!$E:$W,5,FALSE)),"")</f>
        <v/>
      </c>
      <c r="I152">
        <f>IFERROR(IF(VLOOKUP($B152,Показатели!$E:$W,6,FALSE)=0,"",VLOOKUP($B152,Показатели!$E:$W,6,FALSE)),"")</f>
        <v>925119000000</v>
      </c>
      <c r="J152">
        <f>IFERROR(IF(VLOOKUP($B152,Показатели!$E:$W,7,FALSE)=0,"",VLOOKUP($B152,Показатели!$E:$W,7,FALSE)),"")</f>
        <v>126585000000</v>
      </c>
      <c r="K152">
        <f>IFERROR(IF(VLOOKUP($B152,Показатели!$E:$W,8,FALSE)=0,"",VLOOKUP($B152,Показатели!$E:$W,8,FALSE)),"")</f>
        <v>228659000000</v>
      </c>
      <c r="L152">
        <f>IFERROR(IF(VLOOKUP($B152,Показатели!$E:$W,9,FALSE)=0,"",VLOOKUP($B152,Показатели!$E:$W,9,FALSE)),"")</f>
        <v>104786000000</v>
      </c>
      <c r="M152">
        <f>IFERROR(IF(VLOOKUP($B152,Показатели!$E:$W,10,FALSE)=0,"",VLOOKUP($B152,Показатели!$E:$W,10,FALSE)),"")</f>
        <v>569875000000</v>
      </c>
      <c r="N152">
        <f>IFERROR(IF(VLOOKUP($B152,Показатели!$E:$W,11,FALSE)=0,"",VLOOKUP($B152,Показатели!$E:$W,11,FALSE)),"")</f>
        <v>366642000000</v>
      </c>
      <c r="O152">
        <f>IFERROR(IF(VLOOKUP($B152,Показатели!$E:$W,12,FALSE)=0,"",VLOOKUP($B152,Показатели!$E:$W,12,FALSE)),"")</f>
        <v>11156000000</v>
      </c>
      <c r="P152">
        <f>IFERROR(IF(VLOOKUP($B152,Показатели!$E:$W,13,FALSE)=0,"",VLOOKUP($B152,Показатели!$E:$W,13,FALSE)),"")</f>
        <v>7859000000</v>
      </c>
      <c r="Q152">
        <f>IFERROR(IF(VLOOKUP($B152,Показатели!$E:$W,14,FALSE)=0,"",VLOOKUP($B152,Показатели!$E:$W,14,FALSE)),"")</f>
        <v>643000000</v>
      </c>
      <c r="R152">
        <f>IFERROR(IF(VLOOKUP($B152,Показатели!$E:$W,15,FALSE)=0,"",VLOOKUP($B152,Показатели!$E:$W,15,FALSE)),"")</f>
        <v>25686000000</v>
      </c>
      <c r="S152">
        <f>IFERROR(IF(VLOOKUP($B152,Показатели!$E:$W,16,FALSE)=0,"",VLOOKUP($B152,Показатели!$E:$W,16,FALSE)),"")</f>
        <v>97544000000</v>
      </c>
      <c r="T152">
        <f>IFERROR(IF(VLOOKUP($B152,Показатели!$E:$W,17,FALSE)=0,"",VLOOKUP($B152,Показатели!$E:$W,17,FALSE)),"")</f>
        <v>-74782000000</v>
      </c>
      <c r="U152">
        <f>IFERROR(IF(VLOOKUP($B152,Показатели!$E:$W,18,FALSE)=0,"",VLOOKUP($B152,Показатели!$E:$W,18,FALSE)),"")</f>
        <v>358770000000</v>
      </c>
      <c r="V152">
        <f>IFERROR(IF(VLOOKUP($B152,Показатели!$E:$W,19,FALSE)=0,"",VLOOKUP($B152,Показатели!$E:$W,19,FALSE)),"")</f>
        <v>931931000000</v>
      </c>
    </row>
    <row r="153" spans="1:22" x14ac:dyDescent="0.2">
      <c r="A153" s="7" t="s">
        <v>2196</v>
      </c>
      <c r="B153" t="str">
        <f t="shared" si="2"/>
        <v>HYDR IV кв. 2018</v>
      </c>
      <c r="C153">
        <v>2018</v>
      </c>
      <c r="D153">
        <f>SUMIFS(Дивиденды!$C:$C,Дивиденды!$A:$A,A153,Дивиденды!$I:$I,C153)</f>
        <v>3.6700000000000003E-2</v>
      </c>
      <c r="E153">
        <f>IFERROR(IF(VLOOKUP($B153,Показатели!$E:$W,2,FALSE)=0,"",VLOOKUP($B153,Показатели!$E:$W,2,FALSE)),"")</f>
        <v>65432000000</v>
      </c>
      <c r="F153">
        <f>IFERROR(IF(VLOOKUP($B153,Показатели!$E:$W,3,FALSE)=0,"",VLOOKUP($B153,Показатели!$E:$W,3,FALSE)),"")</f>
        <v>209402000000</v>
      </c>
      <c r="G153">
        <f>IFERROR(IF(VLOOKUP($B153,Показатели!$E:$W,4,FALSE)=0,"",VLOOKUP($B153,Показатели!$E:$W,4,FALSE)),"")</f>
        <v>669424000000</v>
      </c>
      <c r="H153" t="str">
        <f>IFERROR(IF(VLOOKUP($B153,Показатели!$E:$W,5,FALSE)=0,"",VLOOKUP($B153,Показатели!$E:$W,5,FALSE)),"")</f>
        <v/>
      </c>
      <c r="I153">
        <f>IFERROR(IF(VLOOKUP($B153,Показатели!$E:$W,6,FALSE)=0,"",VLOOKUP($B153,Показатели!$E:$W,6,FALSE)),"")</f>
        <v>931931000000</v>
      </c>
      <c r="J153">
        <f>IFERROR(IF(VLOOKUP($B153,Показатели!$E:$W,7,FALSE)=0,"",VLOOKUP($B153,Показатели!$E:$W,7,FALSE)),"")</f>
        <v>120078000000</v>
      </c>
      <c r="K153">
        <f>IFERROR(IF(VLOOKUP($B153,Показатели!$E:$W,8,FALSE)=0,"",VLOOKUP($B153,Показатели!$E:$W,8,FALSE)),"")</f>
        <v>225634000000</v>
      </c>
      <c r="L153">
        <f>IFERROR(IF(VLOOKUP($B153,Показатели!$E:$W,9,FALSE)=0,"",VLOOKUP($B153,Показатели!$E:$W,9,FALSE)),"")</f>
        <v>115523000000</v>
      </c>
      <c r="M153">
        <f>IFERROR(IF(VLOOKUP($B153,Показатели!$E:$W,10,FALSE)=0,"",VLOOKUP($B153,Показатели!$E:$W,10,FALSE)),"")</f>
        <v>586219000000</v>
      </c>
      <c r="N153">
        <f>IFERROR(IF(VLOOKUP($B153,Показатели!$E:$W,11,FALSE)=0,"",VLOOKUP($B153,Показатели!$E:$W,11,FALSE)),"")</f>
        <v>358770000000</v>
      </c>
      <c r="O153">
        <f>IFERROR(IF(VLOOKUP($B153,Показатели!$E:$W,12,FALSE)=0,"",VLOOKUP($B153,Показатели!$E:$W,12,FALSE)),"")</f>
        <v>61420000000</v>
      </c>
      <c r="P153">
        <f>IFERROR(IF(VLOOKUP($B153,Показатели!$E:$W,13,FALSE)=0,"",VLOOKUP($B153,Показатели!$E:$W,13,FALSE)),"")</f>
        <v>47859000000</v>
      </c>
      <c r="Q153">
        <f>IFERROR(IF(VLOOKUP($B153,Показатели!$E:$W,14,FALSE)=0,"",VLOOKUP($B153,Показатели!$E:$W,14,FALSE)),"")</f>
        <v>31837000000</v>
      </c>
      <c r="R153">
        <f>IFERROR(IF(VLOOKUP($B153,Показатели!$E:$W,15,FALSE)=0,"",VLOOKUP($B153,Показатели!$E:$W,15,FALSE)),"")</f>
        <v>22310000000</v>
      </c>
      <c r="S153">
        <f>IFERROR(IF(VLOOKUP($B153,Показатели!$E:$W,16,FALSE)=0,"",VLOOKUP($B153,Показатели!$E:$W,16,FALSE)),"")</f>
        <v>109673000000</v>
      </c>
      <c r="T153">
        <f>IFERROR(IF(VLOOKUP($B153,Показатели!$E:$W,17,FALSE)=0,"",VLOOKUP($B153,Показатели!$E:$W,17,FALSE)),"")</f>
        <v>-67423000000</v>
      </c>
      <c r="U153">
        <f>IFERROR(IF(VLOOKUP($B153,Показатели!$E:$W,18,FALSE)=0,"",VLOOKUP($B153,Показатели!$E:$W,18,FALSE)),"")</f>
        <v>348119000000</v>
      </c>
      <c r="V153">
        <f>IFERROR(IF(VLOOKUP($B153,Показатели!$E:$W,19,FALSE)=0,"",VLOOKUP($B153,Показатели!$E:$W,19,FALSE)),"")</f>
        <v>1028251000000</v>
      </c>
    </row>
    <row r="154" spans="1:22" x14ac:dyDescent="0.2">
      <c r="A154" s="7" t="s">
        <v>2196</v>
      </c>
      <c r="B154" t="str">
        <f t="shared" si="2"/>
        <v>HYDR IV кв. 2017</v>
      </c>
      <c r="C154">
        <v>2017</v>
      </c>
      <c r="D154">
        <f>SUMIFS(Дивиденды!$C:$C,Дивиденды!$A:$A,A154,Дивиденды!$I:$I,C154)</f>
        <v>2.63E-2</v>
      </c>
      <c r="E154">
        <f>IFERROR(IF(VLOOKUP($B154,Показатели!$E:$W,2,FALSE)=0,"",VLOOKUP($B154,Показатели!$E:$W,2,FALSE)),"")</f>
        <v>70156000000</v>
      </c>
      <c r="F154">
        <f>IFERROR(IF(VLOOKUP($B154,Показатели!$E:$W,3,FALSE)=0,"",VLOOKUP($B154,Показатели!$E:$W,3,FALSE)),"")</f>
        <v>155119000000</v>
      </c>
      <c r="G154">
        <f>IFERROR(IF(VLOOKUP($B154,Показатели!$E:$W,4,FALSE)=0,"",VLOOKUP($B154,Показатели!$E:$W,4,FALSE)),"")</f>
        <v>799855000000</v>
      </c>
      <c r="H154" t="str">
        <f>IFERROR(IF(VLOOKUP($B154,Показатели!$E:$W,5,FALSE)=0,"",VLOOKUP($B154,Показатели!$E:$W,5,FALSE)),"")</f>
        <v/>
      </c>
      <c r="I154">
        <f>IFERROR(IF(VLOOKUP($B154,Показатели!$E:$W,6,FALSE)=0,"",VLOOKUP($B154,Показатели!$E:$W,6,FALSE)),"")</f>
        <v>1028251000000</v>
      </c>
      <c r="J154">
        <f>IFERROR(IF(VLOOKUP($B154,Показатели!$E:$W,7,FALSE)=0,"",VLOOKUP($B154,Показатели!$E:$W,7,FALSE)),"")</f>
        <v>151248000000</v>
      </c>
      <c r="K154">
        <f>IFERROR(IF(VLOOKUP($B154,Показатели!$E:$W,8,FALSE)=0,"",VLOOKUP($B154,Показатели!$E:$W,8,FALSE)),"")</f>
        <v>181439000000</v>
      </c>
      <c r="L154">
        <f>IFERROR(IF(VLOOKUP($B154,Показатели!$E:$W,9,FALSE)=0,"",VLOOKUP($B154,Показатели!$E:$W,9,FALSE)),"")</f>
        <v>231967000000</v>
      </c>
      <c r="M154">
        <f>IFERROR(IF(VLOOKUP($B154,Показатели!$E:$W,10,FALSE)=0,"",VLOOKUP($B154,Показатели!$E:$W,10,FALSE)),"")</f>
        <v>695564000000</v>
      </c>
      <c r="N154">
        <f>IFERROR(IF(VLOOKUP($B154,Показатели!$E:$W,11,FALSE)=0,"",VLOOKUP($B154,Показатели!$E:$W,11,FALSE)),"")</f>
        <v>348119000000</v>
      </c>
      <c r="O154">
        <f>IFERROR(IF(VLOOKUP($B154,Показатели!$E:$W,12,FALSE)=0,"",VLOOKUP($B154,Показатели!$E:$W,12,FALSE)),"")</f>
        <v>47792000000</v>
      </c>
      <c r="P154">
        <f>IFERROR(IF(VLOOKUP($B154,Показатели!$E:$W,13,FALSE)=0,"",VLOOKUP($B154,Показатели!$E:$W,13,FALSE)),"")</f>
        <v>35519000000</v>
      </c>
      <c r="Q154">
        <f>IFERROR(IF(VLOOKUP($B154,Показатели!$E:$W,14,FALSE)=0,"",VLOOKUP($B154,Показатели!$E:$W,14,FALSE)),"")</f>
        <v>22451000000</v>
      </c>
      <c r="R154">
        <f>IFERROR(IF(VLOOKUP($B154,Показатели!$E:$W,15,FALSE)=0,"",VLOOKUP($B154,Показатели!$E:$W,15,FALSE)),"")</f>
        <v>25023000000</v>
      </c>
      <c r="S154">
        <f>IFERROR(IF(VLOOKUP($B154,Показатели!$E:$W,16,FALSE)=0,"",VLOOKUP($B154,Показатели!$E:$W,16,FALSE)),"")</f>
        <v>104038000000</v>
      </c>
      <c r="T154">
        <f>IFERROR(IF(VLOOKUP($B154,Показатели!$E:$W,17,FALSE)=0,"",VLOOKUP($B154,Показатели!$E:$W,17,FALSE)),"")</f>
        <v>-71693000000</v>
      </c>
      <c r="U154">
        <f>IFERROR(IF(VLOOKUP($B154,Показатели!$E:$W,18,FALSE)=0,"",VLOOKUP($B154,Показатели!$E:$W,18,FALSE)),"")</f>
        <v>374072000000</v>
      </c>
      <c r="V154">
        <f>IFERROR(IF(VLOOKUP($B154,Показатели!$E:$W,19,FALSE)=0,"",VLOOKUP($B154,Показатели!$E:$W,19,FALSE)),"")</f>
        <v>983446000000</v>
      </c>
    </row>
    <row r="155" spans="1:22" x14ac:dyDescent="0.2">
      <c r="A155" s="7" t="s">
        <v>2196</v>
      </c>
      <c r="B155" t="str">
        <f t="shared" si="2"/>
        <v>HYDR IV кв. 2016</v>
      </c>
      <c r="C155">
        <v>2016</v>
      </c>
      <c r="D155">
        <f>SUMIFS(Дивиденды!$C:$C,Дивиденды!$A:$A,A155,Дивиденды!$I:$I,C155)</f>
        <v>4.6600000000000003E-2</v>
      </c>
      <c r="E155">
        <f>IFERROR(IF(VLOOKUP($B155,Показатели!$E:$W,2,FALSE)=0,"",VLOOKUP($B155,Показатели!$E:$W,2,FALSE)),"")</f>
        <v>67354000000</v>
      </c>
      <c r="F155">
        <f>IFERROR(IF(VLOOKUP($B155,Показатели!$E:$W,3,FALSE)=0,"",VLOOKUP($B155,Показатели!$E:$W,3,FALSE)),"")</f>
        <v>148453000000</v>
      </c>
      <c r="G155">
        <f>IFERROR(IF(VLOOKUP($B155,Показатели!$E:$W,4,FALSE)=0,"",VLOOKUP($B155,Показатели!$E:$W,4,FALSE)),"")</f>
        <v>765047000000</v>
      </c>
      <c r="H155" t="str">
        <f>IFERROR(IF(VLOOKUP($B155,Показатели!$E:$W,5,FALSE)=0,"",VLOOKUP($B155,Показатели!$E:$W,5,FALSE)),"")</f>
        <v/>
      </c>
      <c r="I155">
        <f>IFERROR(IF(VLOOKUP($B155,Показатели!$E:$W,6,FALSE)=0,"",VLOOKUP($B155,Показатели!$E:$W,6,FALSE)),"")</f>
        <v>983446000000</v>
      </c>
      <c r="J155">
        <f>IFERROR(IF(VLOOKUP($B155,Показатели!$E:$W,7,FALSE)=0,"",VLOOKUP($B155,Показатели!$E:$W,7,FALSE)),"")</f>
        <v>116656000000</v>
      </c>
      <c r="K155">
        <f>IFERROR(IF(VLOOKUP($B155,Показатели!$E:$W,8,FALSE)=0,"",VLOOKUP($B155,Показатели!$E:$W,8,FALSE)),"")</f>
        <v>215858000000</v>
      </c>
      <c r="L155">
        <f>IFERROR(IF(VLOOKUP($B155,Показатели!$E:$W,9,FALSE)=0,"",VLOOKUP($B155,Показатели!$E:$W,9,FALSE)),"")</f>
        <v>243790000000</v>
      </c>
      <c r="M155">
        <f>IFERROR(IF(VLOOKUP($B155,Показатели!$E:$W,10,FALSE)=0,"",VLOOKUP($B155,Показатели!$E:$W,10,FALSE)),"")</f>
        <v>650932000000</v>
      </c>
      <c r="N155">
        <f>IFERROR(IF(VLOOKUP($B155,Показатели!$E:$W,11,FALSE)=0,"",VLOOKUP($B155,Показатели!$E:$W,11,FALSE)),"")</f>
        <v>374072000000</v>
      </c>
      <c r="O155">
        <f>IFERROR(IF(VLOOKUP($B155,Показатели!$E:$W,12,FALSE)=0,"",VLOOKUP($B155,Показатели!$E:$W,12,FALSE)),"")</f>
        <v>47539000000</v>
      </c>
      <c r="P155">
        <f>IFERROR(IF(VLOOKUP($B155,Показатели!$E:$W,13,FALSE)=0,"",VLOOKUP($B155,Показатели!$E:$W,13,FALSE)),"")</f>
        <v>55123000000</v>
      </c>
      <c r="Q155">
        <f>IFERROR(IF(VLOOKUP($B155,Показатели!$E:$W,14,FALSE)=0,"",VLOOKUP($B155,Показатели!$E:$W,14,FALSE)),"")</f>
        <v>39751000000</v>
      </c>
      <c r="R155" t="str">
        <f>IFERROR(IF(VLOOKUP($B155,Показатели!$E:$W,15,FALSE)=0,"",VLOOKUP($B155,Показатели!$E:$W,15,FALSE)),"")</f>
        <v/>
      </c>
      <c r="S155">
        <f>IFERROR(IF(VLOOKUP($B155,Показатели!$E:$W,16,FALSE)=0,"",VLOOKUP($B155,Показатели!$E:$W,16,FALSE)),"")</f>
        <v>100341000000</v>
      </c>
      <c r="T155">
        <f>IFERROR(IF(VLOOKUP($B155,Показатели!$E:$W,17,FALSE)=0,"",VLOOKUP($B155,Показатели!$E:$W,17,FALSE)),"")</f>
        <v>81065000000</v>
      </c>
      <c r="U155">
        <f>IFERROR(IF(VLOOKUP($B155,Показатели!$E:$W,18,FALSE)=0,"",VLOOKUP($B155,Показатели!$E:$W,18,FALSE)),"")</f>
        <v>347512000000</v>
      </c>
      <c r="V155">
        <f>IFERROR(IF(VLOOKUP($B155,Показатели!$E:$W,19,FALSE)=0,"",VLOOKUP($B155,Показатели!$E:$W,19,FALSE)),"")</f>
        <v>938137000000</v>
      </c>
    </row>
    <row r="156" spans="1:22" x14ac:dyDescent="0.2">
      <c r="A156" s="7" t="s">
        <v>2196</v>
      </c>
      <c r="B156" t="str">
        <f t="shared" si="2"/>
        <v>HYDR IV кв. 2015</v>
      </c>
      <c r="C156">
        <v>2015</v>
      </c>
      <c r="D156">
        <f>SUMIFS(Дивиденды!$C:$C,Дивиденды!$A:$A,A156,Дивиденды!$I:$I,C156)</f>
        <v>3.8899999999999997E-2</v>
      </c>
      <c r="E156">
        <f>IFERROR(IF(VLOOKUP($B156,Показатели!$E:$W,2,FALSE)=0,"",VLOOKUP($B156,Показатели!$E:$W,2,FALSE)),"")</f>
        <v>48025000000</v>
      </c>
      <c r="F156">
        <f>IFERROR(IF(VLOOKUP($B156,Показатели!$E:$W,3,FALSE)=0,"",VLOOKUP($B156,Показатели!$E:$W,3,FALSE)),"")</f>
        <v>146428000000</v>
      </c>
      <c r="G156">
        <f>IFERROR(IF(VLOOKUP($B156,Показатели!$E:$W,4,FALSE)=0,"",VLOOKUP($B156,Показатели!$E:$W,4,FALSE)),"")</f>
        <v>744585000000</v>
      </c>
      <c r="H156" t="str">
        <f>IFERROR(IF(VLOOKUP($B156,Показатели!$E:$W,5,FALSE)=0,"",VLOOKUP($B156,Показатели!$E:$W,5,FALSE)),"")</f>
        <v/>
      </c>
      <c r="I156">
        <f>IFERROR(IF(VLOOKUP($B156,Показатели!$E:$W,6,FALSE)=0,"",VLOOKUP($B156,Показатели!$E:$W,6,FALSE)),"")</f>
        <v>938137000000</v>
      </c>
      <c r="J156">
        <f>IFERROR(IF(VLOOKUP($B156,Показатели!$E:$W,7,FALSE)=0,"",VLOOKUP($B156,Показатели!$E:$W,7,FALSE)),"")</f>
        <v>137454000000</v>
      </c>
      <c r="K156">
        <f>IFERROR(IF(VLOOKUP($B156,Показатели!$E:$W,8,FALSE)=0,"",VLOOKUP($B156,Показатели!$E:$W,8,FALSE)),"")</f>
        <v>186764000000</v>
      </c>
      <c r="L156">
        <f>IFERROR(IF(VLOOKUP($B156,Показатели!$E:$W,9,FALSE)=0,"",VLOOKUP($B156,Показатели!$E:$W,9,FALSE)),"")</f>
        <v>203114000000</v>
      </c>
      <c r="M156">
        <f>IFERROR(IF(VLOOKUP($B156,Показатели!$E:$W,10,FALSE)=0,"",VLOOKUP($B156,Показатели!$E:$W,10,FALSE)),"")</f>
        <v>613919000000</v>
      </c>
      <c r="N156">
        <f>IFERROR(IF(VLOOKUP($B156,Показатели!$E:$W,11,FALSE)=0,"",VLOOKUP($B156,Показатели!$E:$W,11,FALSE)),"")</f>
        <v>347512000000</v>
      </c>
      <c r="O156">
        <f>IFERROR(IF(VLOOKUP($B156,Показатели!$E:$W,12,FALSE)=0,"",VLOOKUP($B156,Показатели!$E:$W,12,FALSE)),"")</f>
        <v>34681000000</v>
      </c>
      <c r="P156">
        <f>IFERROR(IF(VLOOKUP($B156,Показатели!$E:$W,13,FALSE)=0,"",VLOOKUP($B156,Показатели!$E:$W,13,FALSE)),"")</f>
        <v>37678000000</v>
      </c>
      <c r="Q156">
        <f>IFERROR(IF(VLOOKUP($B156,Показатели!$E:$W,14,FALSE)=0,"",VLOOKUP($B156,Показатели!$E:$W,14,FALSE)),"")</f>
        <v>27159000000</v>
      </c>
      <c r="R156" t="str">
        <f>IFERROR(IF(VLOOKUP($B156,Показатели!$E:$W,15,FALSE)=0,"",VLOOKUP($B156,Показатели!$E:$W,15,FALSE)),"")</f>
        <v/>
      </c>
      <c r="S156">
        <f>IFERROR(IF(VLOOKUP($B156,Показатели!$E:$W,16,FALSE)=0,"",VLOOKUP($B156,Показатели!$E:$W,16,FALSE)),"")</f>
        <v>73383000000</v>
      </c>
      <c r="T156">
        <f>IFERROR(IF(VLOOKUP($B156,Показатели!$E:$W,17,FALSE)=0,"",VLOOKUP($B156,Показатели!$E:$W,17,FALSE)),"")</f>
        <v>101835000000</v>
      </c>
      <c r="U156">
        <f>IFERROR(IF(VLOOKUP($B156,Показатели!$E:$W,18,FALSE)=0,"",VLOOKUP($B156,Показатели!$E:$W,18,FALSE)),"")</f>
        <v>329560000000</v>
      </c>
      <c r="V156">
        <f>IFERROR(IF(VLOOKUP($B156,Показатели!$E:$W,19,FALSE)=0,"",VLOOKUP($B156,Показатели!$E:$W,19,FALSE)),"")</f>
        <v>883770000000</v>
      </c>
    </row>
    <row r="157" spans="1:22" x14ac:dyDescent="0.2">
      <c r="A157" s="7" t="s">
        <v>2196</v>
      </c>
      <c r="B157" t="str">
        <f t="shared" si="2"/>
        <v>HYDR IV кв. 2014</v>
      </c>
      <c r="C157">
        <v>2014</v>
      </c>
      <c r="D157">
        <f>SUMIFS(Дивиденды!$C:$C,Дивиденды!$A:$A,A157,Дивиденды!$I:$I,C157)</f>
        <v>1.5599999999999999E-2</v>
      </c>
      <c r="E157">
        <f>IFERROR(IF(VLOOKUP($B157,Показатели!$E:$W,2,FALSE)=0,"",VLOOKUP($B157,Показатели!$E:$W,2,FALSE)),"")</f>
        <v>34394000000</v>
      </c>
      <c r="F157">
        <f>IFERROR(IF(VLOOKUP($B157,Показатели!$E:$W,3,FALSE)=0,"",VLOOKUP($B157,Показатели!$E:$W,3,FALSE)),"")</f>
        <v>149040000000</v>
      </c>
      <c r="G157">
        <f>IFERROR(IF(VLOOKUP($B157,Показатели!$E:$W,4,FALSE)=0,"",VLOOKUP($B157,Показатели!$E:$W,4,FALSE)),"")</f>
        <v>686190000000</v>
      </c>
      <c r="H157" t="str">
        <f>IFERROR(IF(VLOOKUP($B157,Показатели!$E:$W,5,FALSE)=0,"",VLOOKUP($B157,Показатели!$E:$W,5,FALSE)),"")</f>
        <v/>
      </c>
      <c r="I157">
        <f>IFERROR(IF(VLOOKUP($B157,Показатели!$E:$W,6,FALSE)=0,"",VLOOKUP($B157,Показатели!$E:$W,6,FALSE)),"")</f>
        <v>883770000000</v>
      </c>
      <c r="J157">
        <f>IFERROR(IF(VLOOKUP($B157,Показатели!$E:$W,7,FALSE)=0,"",VLOOKUP($B157,Показатели!$E:$W,7,FALSE)),"")</f>
        <v>122346000000</v>
      </c>
      <c r="K157">
        <f>IFERROR(IF(VLOOKUP($B157,Показатели!$E:$W,8,FALSE)=0,"",VLOOKUP($B157,Показатели!$E:$W,8,FALSE)),"")</f>
        <v>166273000000</v>
      </c>
      <c r="L157">
        <f>IFERROR(IF(VLOOKUP($B157,Показатели!$E:$W,9,FALSE)=0,"",VLOOKUP($B157,Показатели!$E:$W,9,FALSE)),"")</f>
        <v>179556000000</v>
      </c>
      <c r="M157">
        <f>IFERROR(IF(VLOOKUP($B157,Показатели!$E:$W,10,FALSE)=0,"",VLOOKUP($B157,Показатели!$E:$W,10,FALSE)),"")</f>
        <v>595151000000</v>
      </c>
      <c r="N157">
        <f>IFERROR(IF(VLOOKUP($B157,Показатели!$E:$W,11,FALSE)=0,"",VLOOKUP($B157,Показатели!$E:$W,11,FALSE)),"")</f>
        <v>329560000000</v>
      </c>
      <c r="O157">
        <f>IFERROR(IF(VLOOKUP($B157,Показатели!$E:$W,12,FALSE)=0,"",VLOOKUP($B157,Показатели!$E:$W,12,FALSE)),"")</f>
        <v>33882000000</v>
      </c>
      <c r="P157">
        <f>IFERROR(IF(VLOOKUP($B157,Показатели!$E:$W,13,FALSE)=0,"",VLOOKUP($B157,Показатели!$E:$W,13,FALSE)),"")</f>
        <v>32191000000</v>
      </c>
      <c r="Q157">
        <f>IFERROR(IF(VLOOKUP($B157,Показатели!$E:$W,14,FALSE)=0,"",VLOOKUP($B157,Показатели!$E:$W,14,FALSE)),"")</f>
        <v>24131000000</v>
      </c>
      <c r="R157" t="str">
        <f>IFERROR(IF(VLOOKUP($B157,Показатели!$E:$W,15,FALSE)=0,"",VLOOKUP($B157,Показатели!$E:$W,15,FALSE)),"")</f>
        <v/>
      </c>
      <c r="S157">
        <f>IFERROR(IF(VLOOKUP($B157,Показатели!$E:$W,16,FALSE)=0,"",VLOOKUP($B157,Показатели!$E:$W,16,FALSE)),"")</f>
        <v>73249000000</v>
      </c>
      <c r="T157">
        <f>IFERROR(IF(VLOOKUP($B157,Показатели!$E:$W,17,FALSE)=0,"",VLOOKUP($B157,Показатели!$E:$W,17,FALSE)),"")</f>
        <v>93022000000</v>
      </c>
      <c r="U157">
        <f>IFERROR(IF(VLOOKUP($B157,Показатели!$E:$W,18,FALSE)=0,"",VLOOKUP($B157,Показатели!$E:$W,18,FALSE)),"")</f>
        <v>313632000000</v>
      </c>
      <c r="V157">
        <f>IFERROR(IF(VLOOKUP($B157,Показатели!$E:$W,19,FALSE)=0,"",VLOOKUP($B157,Показатели!$E:$W,19,FALSE)),"")</f>
        <v>852046000000</v>
      </c>
    </row>
    <row r="158" spans="1:22" x14ac:dyDescent="0.2">
      <c r="A158" s="7" t="s">
        <v>2196</v>
      </c>
      <c r="B158" t="str">
        <f t="shared" si="2"/>
        <v>HYDR IV кв. 2013</v>
      </c>
      <c r="C158">
        <v>2013</v>
      </c>
      <c r="D158">
        <f>SUMIFS(Дивиденды!$C:$C,Дивиденды!$A:$A,A158,Дивиденды!$I:$I,C158)</f>
        <v>1.3599999999999999E-2</v>
      </c>
      <c r="E158">
        <f>IFERROR(IF(VLOOKUP($B158,Показатели!$E:$W,2,FALSE)=0,"",VLOOKUP($B158,Показатели!$E:$W,2,FALSE)),"")</f>
        <v>34472000000</v>
      </c>
      <c r="F158">
        <f>IFERROR(IF(VLOOKUP($B158,Показатели!$E:$W,3,FALSE)=0,"",VLOOKUP($B158,Показатели!$E:$W,3,FALSE)),"")</f>
        <v>157129000000</v>
      </c>
      <c r="G158">
        <f>IFERROR(IF(VLOOKUP($B158,Показатели!$E:$W,4,FALSE)=0,"",VLOOKUP($B158,Показатели!$E:$W,4,FALSE)),"")</f>
        <v>633846000000</v>
      </c>
      <c r="H158" t="str">
        <f>IFERROR(IF(VLOOKUP($B158,Показатели!$E:$W,5,FALSE)=0,"",VLOOKUP($B158,Показатели!$E:$W,5,FALSE)),"")</f>
        <v/>
      </c>
      <c r="I158">
        <f>IFERROR(IF(VLOOKUP($B158,Показатели!$E:$W,6,FALSE)=0,"",VLOOKUP($B158,Показатели!$E:$W,6,FALSE)),"")</f>
        <v>852046000000</v>
      </c>
      <c r="J158">
        <f>IFERROR(IF(VLOOKUP($B158,Показатели!$E:$W,7,FALSE)=0,"",VLOOKUP($B158,Показатели!$E:$W,7,FALSE)),"")</f>
        <v>80419000000</v>
      </c>
      <c r="K158">
        <f>IFERROR(IF(VLOOKUP($B158,Показатели!$E:$W,8,FALSE)=0,"",VLOOKUP($B158,Показатели!$E:$W,8,FALSE)),"")</f>
        <v>174920000000</v>
      </c>
      <c r="L158" t="str">
        <f>IFERROR(IF(VLOOKUP($B158,Показатели!$E:$W,9,FALSE)=0,"",VLOOKUP($B158,Показатели!$E:$W,9,FALSE)),"")</f>
        <v/>
      </c>
      <c r="M158">
        <f>IFERROR(IF(VLOOKUP($B158,Показатели!$E:$W,10,FALSE)=0,"",VLOOKUP($B158,Показатели!$E:$W,10,FALSE)),"")</f>
        <v>596707000000</v>
      </c>
      <c r="N158">
        <f>IFERROR(IF(VLOOKUP($B158,Показатели!$E:$W,11,FALSE)=0,"",VLOOKUP($B158,Показатели!$E:$W,11,FALSE)),"")</f>
        <v>313632000000</v>
      </c>
      <c r="O158">
        <f>IFERROR(IF(VLOOKUP($B158,Показатели!$E:$W,12,FALSE)=0,"",VLOOKUP($B158,Показатели!$E:$W,12,FALSE)),"")</f>
        <v>22844000000</v>
      </c>
      <c r="P158">
        <f>IFERROR(IF(VLOOKUP($B158,Показатели!$E:$W,13,FALSE)=0,"",VLOOKUP($B158,Показатели!$E:$W,13,FALSE)),"")</f>
        <v>25185000000</v>
      </c>
      <c r="Q158">
        <f>IFERROR(IF(VLOOKUP($B158,Показатели!$E:$W,14,FALSE)=0,"",VLOOKUP($B158,Показатели!$E:$W,14,FALSE)),"")</f>
        <v>20993000000</v>
      </c>
      <c r="R158" t="str">
        <f>IFERROR(IF(VLOOKUP($B158,Показатели!$E:$W,15,FALSE)=0,"",VLOOKUP($B158,Показатели!$E:$W,15,FALSE)),"")</f>
        <v/>
      </c>
      <c r="S158">
        <f>IFERROR(IF(VLOOKUP($B158,Показатели!$E:$W,16,FALSE)=0,"",VLOOKUP($B158,Показатели!$E:$W,16,FALSE)),"")</f>
        <v>79171000000</v>
      </c>
      <c r="T158" t="str">
        <f>IFERROR(IF(VLOOKUP($B158,Показатели!$E:$W,17,FALSE)=0,"",VLOOKUP($B158,Показатели!$E:$W,17,FALSE)),"")</f>
        <v/>
      </c>
      <c r="U158">
        <f>IFERROR(IF(VLOOKUP($B158,Показатели!$E:$W,18,FALSE)=0,"",VLOOKUP($B158,Показатели!$E:$W,18,FALSE)),"")</f>
        <v>260892000000</v>
      </c>
      <c r="V158">
        <f>IFERROR(IF(VLOOKUP($B158,Показатели!$E:$W,19,FALSE)=0,"",VLOOKUP($B158,Показатели!$E:$W,19,FALSE)),"")</f>
        <v>854747000000</v>
      </c>
    </row>
    <row r="159" spans="1:22" x14ac:dyDescent="0.2">
      <c r="A159" s="7" t="s">
        <v>2196</v>
      </c>
      <c r="B159" t="str">
        <f t="shared" si="2"/>
        <v>HYDR IV кв. 2012</v>
      </c>
      <c r="C159">
        <v>2012</v>
      </c>
      <c r="D159">
        <f>SUMIFS(Дивиденды!$C:$C,Дивиденды!$A:$A,A159,Дивиденды!$I:$I,C159)</f>
        <v>9.5560000000000003E-3</v>
      </c>
      <c r="E159">
        <f>IFERROR(IF(VLOOKUP($B159,Показатели!$E:$W,2,FALSE)=0,"",VLOOKUP($B159,Показатели!$E:$W,2,FALSE)),"")</f>
        <v>39819000000</v>
      </c>
      <c r="F159">
        <f>IFERROR(IF(VLOOKUP($B159,Показатели!$E:$W,3,FALSE)=0,"",VLOOKUP($B159,Показатели!$E:$W,3,FALSE)),"")</f>
        <v>162696000000</v>
      </c>
      <c r="G159">
        <f>IFERROR(IF(VLOOKUP($B159,Показатели!$E:$W,4,FALSE)=0,"",VLOOKUP($B159,Показатели!$E:$W,4,FALSE)),"")</f>
        <v>604461000000</v>
      </c>
      <c r="H159" t="str">
        <f>IFERROR(IF(VLOOKUP($B159,Показатели!$E:$W,5,FALSE)=0,"",VLOOKUP($B159,Показатели!$E:$W,5,FALSE)),"")</f>
        <v/>
      </c>
      <c r="I159">
        <f>IFERROR(IF(VLOOKUP($B159,Показатели!$E:$W,6,FALSE)=0,"",VLOOKUP($B159,Показатели!$E:$W,6,FALSE)),"")</f>
        <v>854747000000</v>
      </c>
      <c r="J159">
        <f>IFERROR(IF(VLOOKUP($B159,Показатели!$E:$W,7,FALSE)=0,"",VLOOKUP($B159,Показатели!$E:$W,7,FALSE)),"")</f>
        <v>178972000000</v>
      </c>
      <c r="K159">
        <f>IFERROR(IF(VLOOKUP($B159,Показатели!$E:$W,8,FALSE)=0,"",VLOOKUP($B159,Показатели!$E:$W,8,FALSE)),"")</f>
        <v>120986000000</v>
      </c>
      <c r="L159" t="str">
        <f>IFERROR(IF(VLOOKUP($B159,Показатели!$E:$W,9,FALSE)=0,"",VLOOKUP($B159,Показатели!$E:$W,9,FALSE)),"")</f>
        <v/>
      </c>
      <c r="M159">
        <f>IFERROR(IF(VLOOKUP($B159,Показатели!$E:$W,10,FALSE)=0,"",VLOOKUP($B159,Показатели!$E:$W,10,FALSE)),"")</f>
        <v>538395000000</v>
      </c>
      <c r="N159">
        <f>IFERROR(IF(VLOOKUP($B159,Показатели!$E:$W,11,FALSE)=0,"",VLOOKUP($B159,Показатели!$E:$W,11,FALSE)),"")</f>
        <v>260892000000</v>
      </c>
      <c r="O159" t="str">
        <f>IFERROR(IF(VLOOKUP($B159,Показатели!$E:$W,12,FALSE)=0,"",VLOOKUP($B159,Показатели!$E:$W,12,FALSE)),"")</f>
        <v/>
      </c>
      <c r="P159">
        <f>IFERROR(IF(VLOOKUP($B159,Показатели!$E:$W,13,FALSE)=0,"",VLOOKUP($B159,Показатели!$E:$W,13,FALSE)),"")</f>
        <v>-18058000000</v>
      </c>
      <c r="Q159">
        <f>IFERROR(IF(VLOOKUP($B159,Показатели!$E:$W,14,FALSE)=0,"",VLOOKUP($B159,Показатели!$E:$W,14,FALSE)),"")</f>
        <v>-25539000000</v>
      </c>
      <c r="R159" t="str">
        <f>IFERROR(IF(VLOOKUP($B159,Показатели!$E:$W,15,FALSE)=0,"",VLOOKUP($B159,Показатели!$E:$W,15,FALSE)),"")</f>
        <v/>
      </c>
      <c r="S159" t="str">
        <f>IFERROR(IF(VLOOKUP($B159,Показатели!$E:$W,16,FALSE)=0,"",VLOOKUP($B159,Показатели!$E:$W,16,FALSE)),"")</f>
        <v/>
      </c>
      <c r="T159" t="str">
        <f>IFERROR(IF(VLOOKUP($B159,Показатели!$E:$W,17,FALSE)=0,"",VLOOKUP($B159,Показатели!$E:$W,17,FALSE)),"")</f>
        <v/>
      </c>
      <c r="U159">
        <f>IFERROR(IF(VLOOKUP($B159,Показатели!$E:$W,18,FALSE)=0,"",VLOOKUP($B159,Показатели!$E:$W,18,FALSE)),"")</f>
        <v>362599000000</v>
      </c>
      <c r="V159">
        <f>IFERROR(IF(VLOOKUP($B159,Показатели!$E:$W,19,FALSE)=0,"",VLOOKUP($B159,Показатели!$E:$W,19,FALSE)),"")</f>
        <v>811783000000</v>
      </c>
    </row>
    <row r="160" spans="1:22" x14ac:dyDescent="0.2">
      <c r="A160" s="7" t="s">
        <v>2196</v>
      </c>
      <c r="B160" t="str">
        <f t="shared" si="2"/>
        <v>HYDR IV кв. 2011</v>
      </c>
      <c r="C160">
        <v>2011</v>
      </c>
      <c r="D160">
        <f>SUMIFS(Дивиденды!$C:$C,Дивиденды!$A:$A,A160,Дивиденды!$I:$I,C160)</f>
        <v>7.8930000000000007E-3</v>
      </c>
      <c r="E160">
        <f>IFERROR(IF(VLOOKUP($B160,Показатели!$E:$W,2,FALSE)=0,"",VLOOKUP($B160,Показатели!$E:$W,2,FALSE)),"")</f>
        <v>47337000000</v>
      </c>
      <c r="F160">
        <f>IFERROR(IF(VLOOKUP($B160,Показатели!$E:$W,3,FALSE)=0,"",VLOOKUP($B160,Показатели!$E:$W,3,FALSE)),"")</f>
        <v>125124000000</v>
      </c>
      <c r="G160">
        <f>IFERROR(IF(VLOOKUP($B160,Показатели!$E:$W,4,FALSE)=0,"",VLOOKUP($B160,Показатели!$E:$W,4,FALSE)),"")</f>
        <v>568629000000</v>
      </c>
      <c r="H160" t="str">
        <f>IFERROR(IF(VLOOKUP($B160,Показатели!$E:$W,5,FALSE)=0,"",VLOOKUP($B160,Показатели!$E:$W,5,FALSE)),"")</f>
        <v/>
      </c>
      <c r="I160">
        <f>IFERROR(IF(VLOOKUP($B160,Показатели!$E:$W,6,FALSE)=0,"",VLOOKUP($B160,Показатели!$E:$W,6,FALSE)),"")</f>
        <v>811783000000</v>
      </c>
      <c r="J160">
        <f>IFERROR(IF(VLOOKUP($B160,Показатели!$E:$W,7,FALSE)=0,"",VLOOKUP($B160,Показатели!$E:$W,7,FALSE)),"")</f>
        <v>113066000000</v>
      </c>
      <c r="K160">
        <f>IFERROR(IF(VLOOKUP($B160,Показатели!$E:$W,8,FALSE)=0,"",VLOOKUP($B160,Показатели!$E:$W,8,FALSE)),"")</f>
        <v>159965000000</v>
      </c>
      <c r="L160" t="str">
        <f>IFERROR(IF(VLOOKUP($B160,Показатели!$E:$W,9,FALSE)=0,"",VLOOKUP($B160,Показатели!$E:$W,9,FALSE)),"")</f>
        <v/>
      </c>
      <c r="M160">
        <f>IFERROR(IF(VLOOKUP($B160,Показатели!$E:$W,10,FALSE)=0,"",VLOOKUP($B160,Показатели!$E:$W,10,FALSE)),"")</f>
        <v>525659000000</v>
      </c>
      <c r="N160">
        <f>IFERROR(IF(VLOOKUP($B160,Показатели!$E:$W,11,FALSE)=0,"",VLOOKUP($B160,Показатели!$E:$W,11,FALSE)),"")</f>
        <v>362599000000</v>
      </c>
      <c r="O160">
        <f>IFERROR(IF(VLOOKUP($B160,Показатели!$E:$W,12,FALSE)=0,"",VLOOKUP($B160,Показатели!$E:$W,12,FALSE)),"")</f>
        <v>51116000000</v>
      </c>
      <c r="P160">
        <f>IFERROR(IF(VLOOKUP($B160,Показатели!$E:$W,13,FALSE)=0,"",VLOOKUP($B160,Показатели!$E:$W,13,FALSE)),"")</f>
        <v>43712000000</v>
      </c>
      <c r="Q160">
        <f>IFERROR(IF(VLOOKUP($B160,Показатели!$E:$W,14,FALSE)=0,"",VLOOKUP($B160,Показатели!$E:$W,14,FALSE)),"")</f>
        <v>29493000000</v>
      </c>
      <c r="R160" t="str">
        <f>IFERROR(IF(VLOOKUP($B160,Показатели!$E:$W,15,FALSE)=0,"",VLOOKUP($B160,Показатели!$E:$W,15,FALSE)),"")</f>
        <v/>
      </c>
      <c r="S160" t="str">
        <f>IFERROR(IF(VLOOKUP($B160,Показатели!$E:$W,16,FALSE)=0,"",VLOOKUP($B160,Показатели!$E:$W,16,FALSE)),"")</f>
        <v/>
      </c>
      <c r="T160" t="str">
        <f>IFERROR(IF(VLOOKUP($B160,Показатели!$E:$W,17,FALSE)=0,"",VLOOKUP($B160,Показатели!$E:$W,17,FALSE)),"")</f>
        <v/>
      </c>
      <c r="U160" t="str">
        <f>IFERROR(IF(VLOOKUP($B160,Показатели!$E:$W,18,FALSE)=0,"",VLOOKUP($B160,Показатели!$E:$W,18,FALSE)),"")</f>
        <v/>
      </c>
      <c r="V160" t="str">
        <f>IFERROR(IF(VLOOKUP($B160,Показатели!$E:$W,19,FALSE)=0,"",VLOOKUP($B160,Показатели!$E:$W,19,FALSE)),"")</f>
        <v/>
      </c>
    </row>
    <row r="161" spans="1:22" x14ac:dyDescent="0.2">
      <c r="A161" s="7" t="s">
        <v>2196</v>
      </c>
      <c r="B161" t="str">
        <f t="shared" si="2"/>
        <v>HYDR IV кв. 2010</v>
      </c>
      <c r="C161">
        <v>2010</v>
      </c>
      <c r="D161">
        <f>SUMIFS(Дивиденды!$C:$C,Дивиденды!$A:$A,A161,Дивиденды!$I:$I,C161)</f>
        <v>8.6009999999999993E-3</v>
      </c>
      <c r="E161" t="str">
        <f>IFERROR(IF(VLOOKUP($B161,Показатели!$E:$W,2,FALSE)=0,"",VLOOKUP($B161,Показатели!$E:$W,2,FALSE)),"")</f>
        <v/>
      </c>
      <c r="F161" t="str">
        <f>IFERROR(IF(VLOOKUP($B161,Показатели!$E:$W,3,FALSE)=0,"",VLOOKUP($B161,Показатели!$E:$W,3,FALSE)),"")</f>
        <v/>
      </c>
      <c r="G161" t="str">
        <f>IFERROR(IF(VLOOKUP($B161,Показатели!$E:$W,4,FALSE)=0,"",VLOOKUP($B161,Показатели!$E:$W,4,FALSE)),"")</f>
        <v/>
      </c>
      <c r="H161" t="str">
        <f>IFERROR(IF(VLOOKUP($B161,Показатели!$E:$W,5,FALSE)=0,"",VLOOKUP($B161,Показатели!$E:$W,5,FALSE)),"")</f>
        <v/>
      </c>
      <c r="I161" t="str">
        <f>IFERROR(IF(VLOOKUP($B161,Показатели!$E:$W,6,FALSE)=0,"",VLOOKUP($B161,Показатели!$E:$W,6,FALSE)),"")</f>
        <v/>
      </c>
      <c r="J161" t="str">
        <f>IFERROR(IF(VLOOKUP($B161,Показатели!$E:$W,7,FALSE)=0,"",VLOOKUP($B161,Показатели!$E:$W,7,FALSE)),"")</f>
        <v/>
      </c>
      <c r="K161" t="str">
        <f>IFERROR(IF(VLOOKUP($B161,Показатели!$E:$W,8,FALSE)=0,"",VLOOKUP($B161,Показатели!$E:$W,8,FALSE)),"")</f>
        <v/>
      </c>
      <c r="L161" t="str">
        <f>IFERROR(IF(VLOOKUP($B161,Показатели!$E:$W,9,FALSE)=0,"",VLOOKUP($B161,Показатели!$E:$W,9,FALSE)),"")</f>
        <v/>
      </c>
      <c r="M161" t="str">
        <f>IFERROR(IF(VLOOKUP($B161,Показатели!$E:$W,10,FALSE)=0,"",VLOOKUP($B161,Показатели!$E:$W,10,FALSE)),"")</f>
        <v/>
      </c>
      <c r="N161" t="str">
        <f>IFERROR(IF(VLOOKUP($B161,Показатели!$E:$W,11,FALSE)=0,"",VLOOKUP($B161,Показатели!$E:$W,11,FALSE)),"")</f>
        <v/>
      </c>
      <c r="O161" t="str">
        <f>IFERROR(IF(VLOOKUP($B161,Показатели!$E:$W,12,FALSE)=0,"",VLOOKUP($B161,Показатели!$E:$W,12,FALSE)),"")</f>
        <v/>
      </c>
      <c r="P161" t="str">
        <f>IFERROR(IF(VLOOKUP($B161,Показатели!$E:$W,13,FALSE)=0,"",VLOOKUP($B161,Показатели!$E:$W,13,FALSE)),"")</f>
        <v/>
      </c>
      <c r="Q161" t="str">
        <f>IFERROR(IF(VLOOKUP($B161,Показатели!$E:$W,14,FALSE)=0,"",VLOOKUP($B161,Показатели!$E:$W,14,FALSE)),"")</f>
        <v/>
      </c>
      <c r="R161" t="str">
        <f>IFERROR(IF(VLOOKUP($B161,Показатели!$E:$W,15,FALSE)=0,"",VLOOKUP($B161,Показатели!$E:$W,15,FALSE)),"")</f>
        <v/>
      </c>
      <c r="S161" t="str">
        <f>IFERROR(IF(VLOOKUP($B161,Показатели!$E:$W,16,FALSE)=0,"",VLOOKUP($B161,Показатели!$E:$W,16,FALSE)),"")</f>
        <v/>
      </c>
      <c r="T161" t="str">
        <f>IFERROR(IF(VLOOKUP($B161,Показатели!$E:$W,17,FALSE)=0,"",VLOOKUP($B161,Показатели!$E:$W,17,FALSE)),"")</f>
        <v/>
      </c>
      <c r="U161" t="str">
        <f>IFERROR(IF(VLOOKUP($B161,Показатели!$E:$W,18,FALSE)=0,"",VLOOKUP($B161,Показатели!$E:$W,18,FALSE)),"")</f>
        <v/>
      </c>
      <c r="V161" t="str">
        <f>IFERROR(IF(VLOOKUP($B161,Показатели!$E:$W,19,FALSE)=0,"",VLOOKUP($B161,Показатели!$E:$W,19,FALSE)),"")</f>
        <v/>
      </c>
    </row>
    <row r="162" spans="1:22" x14ac:dyDescent="0.2">
      <c r="A162" s="7" t="s">
        <v>2198</v>
      </c>
      <c r="B162" t="str">
        <f t="shared" si="2"/>
        <v>IRAO IV кв. 2025</v>
      </c>
      <c r="C162">
        <v>2025</v>
      </c>
      <c r="D162">
        <f>SUMIFS(Дивиденды!$C:$C,Дивиденды!$A:$A,A162,Дивиденды!$I:$I,C162)</f>
        <v>0</v>
      </c>
      <c r="E162">
        <f>IFERROR(IF(VLOOKUP($B162,Показатели!$E:$W,2,FALSE)=0,"",VLOOKUP($B162,Показатели!$E:$W,2,FALSE)),"")</f>
        <v>266511000000</v>
      </c>
      <c r="F162">
        <f>IFERROR(IF(VLOOKUP($B162,Показатели!$E:$W,3,FALSE)=0,"",VLOOKUP($B162,Показатели!$E:$W,3,FALSE)),"")</f>
        <v>778698000000</v>
      </c>
      <c r="G162">
        <f>IFERROR(IF(VLOOKUP($B162,Показатели!$E:$W,4,FALSE)=0,"",VLOOKUP($B162,Показатели!$E:$W,4,FALSE)),"")</f>
        <v>613471000000</v>
      </c>
      <c r="H162">
        <f>IFERROR(IF(VLOOKUP($B162,Показатели!$E:$W,5,FALSE)=0,"",VLOOKUP($B162,Показатели!$E:$W,5,FALSE)),"")</f>
        <v>83404000000</v>
      </c>
      <c r="I162">
        <f>IFERROR(IF(VLOOKUP($B162,Показатели!$E:$W,6,FALSE)=0,"",VLOOKUP($B162,Показатели!$E:$W,6,FALSE)),"")</f>
        <v>1577153000000</v>
      </c>
      <c r="J162">
        <f>IFERROR(IF(VLOOKUP($B162,Показатели!$E:$W,7,FALSE)=0,"",VLOOKUP($B162,Показатели!$E:$W,7,FALSE)),"")</f>
        <v>331000000000</v>
      </c>
      <c r="K162">
        <f>IFERROR(IF(VLOOKUP($B162,Показатели!$E:$W,8,FALSE)=0,"",VLOOKUP($B162,Показатели!$E:$W,8,FALSE)),"")</f>
        <v>107348000000</v>
      </c>
      <c r="L162">
        <f>IFERROR(IF(VLOOKUP($B162,Показатели!$E:$W,9,FALSE)=0,"",VLOOKUP($B162,Показатели!$E:$W,9,FALSE)),"")</f>
        <v>853254000000</v>
      </c>
      <c r="M162">
        <f>IFERROR(IF(VLOOKUP($B162,Показатели!$E:$W,10,FALSE)=0,"",VLOOKUP($B162,Показатели!$E:$W,10,FALSE)),"")</f>
        <v>1138805000000</v>
      </c>
      <c r="N162">
        <f>IFERROR(IF(VLOOKUP($B162,Показатели!$E:$W,11,FALSE)=0,"",VLOOKUP($B162,Показатели!$E:$W,11,FALSE)),"")</f>
        <v>1760626000000</v>
      </c>
      <c r="O162">
        <f>IFERROR(IF(VLOOKUP($B162,Показатели!$E:$W,12,FALSE)=0,"",VLOOKUP($B162,Показатели!$E:$W,12,FALSE)),"")</f>
        <v>106800000000</v>
      </c>
      <c r="P162">
        <f>IFERROR(IF(VLOOKUP($B162,Показатели!$E:$W,13,FALSE)=0,"",VLOOKUP($B162,Показатели!$E:$W,13,FALSE)),"")</f>
        <v>184785000000</v>
      </c>
      <c r="Q162">
        <f>IFERROR(IF(VLOOKUP($B162,Показатели!$E:$W,14,FALSE)=0,"",VLOOKUP($B162,Показатели!$E:$W,14,FALSE)),"")</f>
        <v>133834000000</v>
      </c>
      <c r="R162">
        <f>IFERROR(IF(VLOOKUP($B162,Показатели!$E:$W,15,FALSE)=0,"",VLOOKUP($B162,Показатели!$E:$W,15,FALSE)),"")</f>
        <v>42272000000</v>
      </c>
      <c r="S162">
        <f>IFERROR(IF(VLOOKUP($B162,Показатели!$E:$W,16,FALSE)=0,"",VLOOKUP($B162,Показатели!$E:$W,16,FALSE)),"")</f>
        <v>181544000000</v>
      </c>
      <c r="T162">
        <f>IFERROR(IF(VLOOKUP($B162,Показатели!$E:$W,17,FALSE)=0,"",VLOOKUP($B162,Показатели!$E:$W,17,FALSE)),"")</f>
        <v>-189944000000</v>
      </c>
      <c r="U162">
        <f>IFERROR(IF(VLOOKUP($B162,Показатели!$E:$W,18,FALSE)=0,"",VLOOKUP($B162,Показатели!$E:$W,18,FALSE)),"")</f>
        <v>1548447000000</v>
      </c>
      <c r="V162">
        <f>IFERROR(IF(VLOOKUP($B162,Показатели!$E:$W,19,FALSE)=0,"",VLOOKUP($B162,Показатели!$E:$W,19,FALSE)),"")</f>
        <v>1460989000000</v>
      </c>
    </row>
    <row r="163" spans="1:22" x14ac:dyDescent="0.2">
      <c r="A163" s="7" t="s">
        <v>2198</v>
      </c>
      <c r="B163" t="str">
        <f t="shared" si="2"/>
        <v>IRAO IV кв. 2024</v>
      </c>
      <c r="C163">
        <v>2024</v>
      </c>
      <c r="D163">
        <f>SUMIFS(Дивиденды!$C:$C,Дивиденды!$A:$A,A163,Дивиденды!$I:$I,C163)</f>
        <v>0.35</v>
      </c>
      <c r="E163">
        <f>IFERROR(IF(VLOOKUP($B163,Показатели!$E:$W,2,FALSE)=0,"",VLOOKUP($B163,Показатели!$E:$W,2,FALSE)),"")</f>
        <v>312088000000</v>
      </c>
      <c r="F163">
        <f>IFERROR(IF(VLOOKUP($B163,Показатели!$E:$W,3,FALSE)=0,"",VLOOKUP($B163,Показатели!$E:$W,3,FALSE)),"")</f>
        <v>826740000000</v>
      </c>
      <c r="G163">
        <f>IFERROR(IF(VLOOKUP($B163,Показатели!$E:$W,4,FALSE)=0,"",VLOOKUP($B163,Показатели!$E:$W,4,FALSE)),"")</f>
        <v>473470000000</v>
      </c>
      <c r="H163">
        <f>IFERROR(IF(VLOOKUP($B163,Показатели!$E:$W,5,FALSE)=0,"",VLOOKUP($B163,Показатели!$E:$W,5,FALSE)),"")</f>
        <v>80297000000</v>
      </c>
      <c r="I163">
        <f>IFERROR(IF(VLOOKUP($B163,Показатели!$E:$W,6,FALSE)=0,"",VLOOKUP($B163,Показатели!$E:$W,6,FALSE)),"")</f>
        <v>1460989000000</v>
      </c>
      <c r="J163">
        <f>IFERROR(IF(VLOOKUP($B163,Показатели!$E:$W,7,FALSE)=0,"",VLOOKUP($B163,Показатели!$E:$W,7,FALSE)),"")</f>
        <v>311934000000</v>
      </c>
      <c r="K163">
        <f>IFERROR(IF(VLOOKUP($B163,Показатели!$E:$W,8,FALSE)=0,"",VLOOKUP($B163,Показатели!$E:$W,8,FALSE)),"")</f>
        <v>109919000000</v>
      </c>
      <c r="L163">
        <f>IFERROR(IF(VLOOKUP($B163,Показатели!$E:$W,9,FALSE)=0,"",VLOOKUP($B163,Показатели!$E:$W,9,FALSE)),"")</f>
        <v>745840000000</v>
      </c>
      <c r="M163">
        <f>IFERROR(IF(VLOOKUP($B163,Показатели!$E:$W,10,FALSE)=0,"",VLOOKUP($B163,Показатели!$E:$W,10,FALSE)),"")</f>
        <v>1039136000000</v>
      </c>
      <c r="N163">
        <f>IFERROR(IF(VLOOKUP($B163,Показатели!$E:$W,11,FALSE)=0,"",VLOOKUP($B163,Показатели!$E:$W,11,FALSE)),"")</f>
        <v>1548447000000</v>
      </c>
      <c r="O163">
        <f>IFERROR(IF(VLOOKUP($B163,Показатели!$E:$W,12,FALSE)=0,"",VLOOKUP($B163,Показатели!$E:$W,12,FALSE)),"")</f>
        <v>108005000000</v>
      </c>
      <c r="P163">
        <f>IFERROR(IF(VLOOKUP($B163,Показатели!$E:$W,13,FALSE)=0,"",VLOOKUP($B163,Показатели!$E:$W,13,FALSE)),"")</f>
        <v>182272000000</v>
      </c>
      <c r="Q163">
        <f>IFERROR(IF(VLOOKUP($B163,Показатели!$E:$W,14,FALSE)=0,"",VLOOKUP($B163,Показатели!$E:$W,14,FALSE)),"")</f>
        <v>147462000000</v>
      </c>
      <c r="R163">
        <f>IFERROR(IF(VLOOKUP($B163,Показатели!$E:$W,15,FALSE)=0,"",VLOOKUP($B163,Показатели!$E:$W,15,FALSE)),"")</f>
        <v>35862000000</v>
      </c>
      <c r="S163">
        <f>IFERROR(IF(VLOOKUP($B163,Показатели!$E:$W,16,FALSE)=0,"",VLOOKUP($B163,Показатели!$E:$W,16,FALSE)),"")</f>
        <v>173303000000</v>
      </c>
      <c r="T163">
        <f>IFERROR(IF(VLOOKUP($B163,Показатели!$E:$W,17,FALSE)=0,"",VLOOKUP($B163,Показатели!$E:$W,17,FALSE)),"")</f>
        <v>-115026000000</v>
      </c>
      <c r="U163">
        <f>IFERROR(IF(VLOOKUP($B163,Показатели!$E:$W,18,FALSE)=0,"",VLOOKUP($B163,Показатели!$E:$W,18,FALSE)),"")</f>
        <v>1359799000000</v>
      </c>
      <c r="V163">
        <f>IFERROR(IF(VLOOKUP($B163,Показатели!$E:$W,19,FALSE)=0,"",VLOOKUP($B163,Показатели!$E:$W,19,FALSE)),"")</f>
        <v>1299183000000</v>
      </c>
    </row>
    <row r="164" spans="1:22" x14ac:dyDescent="0.2">
      <c r="A164" s="7" t="s">
        <v>2198</v>
      </c>
      <c r="B164" t="str">
        <f t="shared" si="2"/>
        <v>IRAO IV кв. 2023</v>
      </c>
      <c r="C164">
        <v>2023</v>
      </c>
      <c r="D164">
        <f>SUMIFS(Дивиденды!$C:$C,Дивиденды!$A:$A,A164,Дивиденды!$I:$I,C164)</f>
        <v>0.33</v>
      </c>
      <c r="E164">
        <f>IFERROR(IF(VLOOKUP($B164,Показатели!$E:$W,2,FALSE)=0,"",VLOOKUP($B164,Показатели!$E:$W,2,FALSE)),"")</f>
        <v>403005000000</v>
      </c>
      <c r="F164">
        <f>IFERROR(IF(VLOOKUP($B164,Показатели!$E:$W,3,FALSE)=0,"",VLOOKUP($B164,Показатели!$E:$W,3,FALSE)),"")</f>
        <v>778716000000</v>
      </c>
      <c r="G164">
        <f>IFERROR(IF(VLOOKUP($B164,Показатели!$E:$W,4,FALSE)=0,"",VLOOKUP($B164,Показатели!$E:$W,4,FALSE)),"")</f>
        <v>377205000000</v>
      </c>
      <c r="H164">
        <f>IFERROR(IF(VLOOKUP($B164,Показатели!$E:$W,5,FALSE)=0,"",VLOOKUP($B164,Показатели!$E:$W,5,FALSE)),"")</f>
        <v>69404000000</v>
      </c>
      <c r="I164">
        <f>IFERROR(IF(VLOOKUP($B164,Показатели!$E:$W,6,FALSE)=0,"",VLOOKUP($B164,Показатели!$E:$W,6,FALSE)),"")</f>
        <v>1299183000000</v>
      </c>
      <c r="J164">
        <f>IFERROR(IF(VLOOKUP($B164,Показатели!$E:$W,7,FALSE)=0,"",VLOOKUP($B164,Показатели!$E:$W,7,FALSE)),"")</f>
        <v>256917000000</v>
      </c>
      <c r="K164">
        <f>IFERROR(IF(VLOOKUP($B164,Показатели!$E:$W,8,FALSE)=0,"",VLOOKUP($B164,Показатели!$E:$W,8,FALSE)),"")</f>
        <v>112869000000</v>
      </c>
      <c r="L164">
        <f>IFERROR(IF(VLOOKUP($B164,Показатели!$E:$W,9,FALSE)=0,"",VLOOKUP($B164,Показатели!$E:$W,9,FALSE)),"")</f>
        <v>629342000000</v>
      </c>
      <c r="M164">
        <f>IFERROR(IF(VLOOKUP($B164,Показатели!$E:$W,10,FALSE)=0,"",VLOOKUP($B164,Показатели!$E:$W,10,FALSE)),"")</f>
        <v>929397000000</v>
      </c>
      <c r="N164">
        <f>IFERROR(IF(VLOOKUP($B164,Показатели!$E:$W,11,FALSE)=0,"",VLOOKUP($B164,Показатели!$E:$W,11,FALSE)),"")</f>
        <v>1359799000000</v>
      </c>
      <c r="O164">
        <f>IFERROR(IF(VLOOKUP($B164,Показатели!$E:$W,12,FALSE)=0,"",VLOOKUP($B164,Показатели!$E:$W,12,FALSE)),"")</f>
        <v>124884000000</v>
      </c>
      <c r="P164">
        <f>IFERROR(IF(VLOOKUP($B164,Показатели!$E:$W,13,FALSE)=0,"",VLOOKUP($B164,Показатели!$E:$W,13,FALSE)),"")</f>
        <v>168231000000</v>
      </c>
      <c r="Q164">
        <f>IFERROR(IF(VLOOKUP($B164,Показатели!$E:$W,14,FALSE)=0,"",VLOOKUP($B164,Показатели!$E:$W,14,FALSE)),"")</f>
        <v>135927000000</v>
      </c>
      <c r="R164">
        <f>IFERROR(IF(VLOOKUP($B164,Показатели!$E:$W,15,FALSE)=0,"",VLOOKUP($B164,Показатели!$E:$W,15,FALSE)),"")</f>
        <v>30409000000</v>
      </c>
      <c r="S164">
        <f>IFERROR(IF(VLOOKUP($B164,Показатели!$E:$W,16,FALSE)=0,"",VLOOKUP($B164,Показатели!$E:$W,16,FALSE)),"")</f>
        <v>182425000000</v>
      </c>
      <c r="T164">
        <f>IFERROR(IF(VLOOKUP($B164,Показатели!$E:$W,17,FALSE)=0,"",VLOOKUP($B164,Показатели!$E:$W,17,FALSE)),"")</f>
        <v>-66857000000</v>
      </c>
      <c r="U164">
        <f>IFERROR(IF(VLOOKUP($B164,Показатели!$E:$W,18,FALSE)=0,"",VLOOKUP($B164,Показатели!$E:$W,18,FALSE)),"")</f>
        <v>1264996000000</v>
      </c>
      <c r="V164">
        <f>IFERROR(IF(VLOOKUP($B164,Показатели!$E:$W,19,FALSE)=0,"",VLOOKUP($B164,Показатели!$E:$W,19,FALSE)),"")</f>
        <v>1121971000000</v>
      </c>
    </row>
    <row r="165" spans="1:22" x14ac:dyDescent="0.2">
      <c r="A165" s="7" t="s">
        <v>2198</v>
      </c>
      <c r="B165" t="str">
        <f t="shared" si="2"/>
        <v>IRAO IV кв. 2022</v>
      </c>
      <c r="C165">
        <v>2022</v>
      </c>
      <c r="D165">
        <f>SUMIFS(Дивиденды!$C:$C,Дивиденды!$A:$A,A165,Дивиденды!$I:$I,C165)</f>
        <v>0.28000000000000003</v>
      </c>
      <c r="E165">
        <f>IFERROR(IF(VLOOKUP($B165,Показатели!$E:$W,2,FALSE)=0,"",VLOOKUP($B165,Показатели!$E:$W,2,FALSE)),"")</f>
        <v>257569000000</v>
      </c>
      <c r="F165">
        <f>IFERROR(IF(VLOOKUP($B165,Показатели!$E:$W,3,FALSE)=0,"",VLOOKUP($B165,Показатели!$E:$W,3,FALSE)),"")</f>
        <v>659681000000</v>
      </c>
      <c r="G165">
        <f>IFERROR(IF(VLOOKUP($B165,Показатели!$E:$W,4,FALSE)=0,"",VLOOKUP($B165,Показатели!$E:$W,4,FALSE)),"")</f>
        <v>342539000000</v>
      </c>
      <c r="H165">
        <f>IFERROR(IF(VLOOKUP($B165,Показатели!$E:$W,5,FALSE)=0,"",VLOOKUP($B165,Показатели!$E:$W,5,FALSE)),"")</f>
        <v>62075000000</v>
      </c>
      <c r="I165">
        <f>IFERROR(IF(VLOOKUP($B165,Показатели!$E:$W,6,FALSE)=0,"",VLOOKUP($B165,Показатели!$E:$W,6,FALSE)),"")</f>
        <v>1121971000000</v>
      </c>
      <c r="J165">
        <f>IFERROR(IF(VLOOKUP($B165,Показатели!$E:$W,7,FALSE)=0,"",VLOOKUP($B165,Показатели!$E:$W,7,FALSE)),"")</f>
        <v>219129000000</v>
      </c>
      <c r="K165">
        <f>IFERROR(IF(VLOOKUP($B165,Показатели!$E:$W,8,FALSE)=0,"",VLOOKUP($B165,Показатели!$E:$W,8,FALSE)),"")</f>
        <v>98158000000</v>
      </c>
      <c r="L165">
        <f>IFERROR(IF(VLOOKUP($B165,Показатели!$E:$W,9,FALSE)=0,"",VLOOKUP($B165,Показатели!$E:$W,9,FALSE)),"")</f>
        <v>518299000000</v>
      </c>
      <c r="M165">
        <f>IFERROR(IF(VLOOKUP($B165,Показатели!$E:$W,10,FALSE)=0,"",VLOOKUP($B165,Показатели!$E:$W,10,FALSE)),"")</f>
        <v>804684000000</v>
      </c>
      <c r="N165">
        <f>IFERROR(IF(VLOOKUP($B165,Показатели!$E:$W,11,FALSE)=0,"",VLOOKUP($B165,Показатели!$E:$W,11,FALSE)),"")</f>
        <v>1264996000000</v>
      </c>
      <c r="O165">
        <f>IFERROR(IF(VLOOKUP($B165,Показатели!$E:$W,12,FALSE)=0,"",VLOOKUP($B165,Показатели!$E:$W,12,FALSE)),"")</f>
        <v>108419000000</v>
      </c>
      <c r="P165">
        <f>IFERROR(IF(VLOOKUP($B165,Показатели!$E:$W,13,FALSE)=0,"",VLOOKUP($B165,Показатели!$E:$W,13,FALSE)),"")</f>
        <v>145951000000</v>
      </c>
      <c r="Q165">
        <f>IFERROR(IF(VLOOKUP($B165,Показатели!$E:$W,14,FALSE)=0,"",VLOOKUP($B165,Показатели!$E:$W,14,FALSE)),"")</f>
        <v>117446000000</v>
      </c>
      <c r="R165">
        <f>IFERROR(IF(VLOOKUP($B165,Показатели!$E:$W,15,FALSE)=0,"",VLOOKUP($B165,Показатели!$E:$W,15,FALSE)),"")</f>
        <v>26236000000</v>
      </c>
      <c r="S165">
        <f>IFERROR(IF(VLOOKUP($B165,Показатели!$E:$W,16,FALSE)=0,"",VLOOKUP($B165,Показатели!$E:$W,16,FALSE)),"")</f>
        <v>183275000000</v>
      </c>
      <c r="T165">
        <f>IFERROR(IF(VLOOKUP($B165,Показатели!$E:$W,17,FALSE)=0,"",VLOOKUP($B165,Показатели!$E:$W,17,FALSE)),"")</f>
        <v>-54920000000</v>
      </c>
      <c r="U165" t="str">
        <f>IFERROR(IF(VLOOKUP($B165,Показатели!$E:$W,18,FALSE)=0,"",VLOOKUP($B165,Показатели!$E:$W,18,FALSE)),"")</f>
        <v/>
      </c>
      <c r="V165" t="str">
        <f>IFERROR(IF(VLOOKUP($B165,Показатели!$E:$W,19,FALSE)=0,"",VLOOKUP($B165,Показатели!$E:$W,19,FALSE)),"")</f>
        <v/>
      </c>
    </row>
    <row r="166" spans="1:22" x14ac:dyDescent="0.2">
      <c r="A166" s="7" t="s">
        <v>2198</v>
      </c>
      <c r="B166" t="str">
        <f t="shared" si="2"/>
        <v>IRAO IV кв. 2021</v>
      </c>
      <c r="C166">
        <v>2021</v>
      </c>
      <c r="D166">
        <f>SUMIFS(Дивиденды!$C:$C,Дивиденды!$A:$A,A166,Дивиденды!$I:$I,C166)</f>
        <v>0.24</v>
      </c>
      <c r="E166" t="str">
        <f>IFERROR(IF(VLOOKUP($B166,Показатели!$E:$W,2,FALSE)=0,"",VLOOKUP($B166,Показатели!$E:$W,2,FALSE)),"")</f>
        <v/>
      </c>
      <c r="F166" t="str">
        <f>IFERROR(IF(VLOOKUP($B166,Показатели!$E:$W,3,FALSE)=0,"",VLOOKUP($B166,Показатели!$E:$W,3,FALSE)),"")</f>
        <v/>
      </c>
      <c r="G166" t="str">
        <f>IFERROR(IF(VLOOKUP($B166,Показатели!$E:$W,4,FALSE)=0,"",VLOOKUP($B166,Показатели!$E:$W,4,FALSE)),"")</f>
        <v/>
      </c>
      <c r="H166" t="str">
        <f>IFERROR(IF(VLOOKUP($B166,Показатели!$E:$W,5,FALSE)=0,"",VLOOKUP($B166,Показатели!$E:$W,5,FALSE)),"")</f>
        <v/>
      </c>
      <c r="I166" t="str">
        <f>IFERROR(IF(VLOOKUP($B166,Показатели!$E:$W,6,FALSE)=0,"",VLOOKUP($B166,Показатели!$E:$W,6,FALSE)),"")</f>
        <v/>
      </c>
      <c r="J166" t="str">
        <f>IFERROR(IF(VLOOKUP($B166,Показатели!$E:$W,7,FALSE)=0,"",VLOOKUP($B166,Показатели!$E:$W,7,FALSE)),"")</f>
        <v/>
      </c>
      <c r="K166" t="str">
        <f>IFERROR(IF(VLOOKUP($B166,Показатели!$E:$W,8,FALSE)=0,"",VLOOKUP($B166,Показатели!$E:$W,8,FALSE)),"")</f>
        <v/>
      </c>
      <c r="L166" t="str">
        <f>IFERROR(IF(VLOOKUP($B166,Показатели!$E:$W,9,FALSE)=0,"",VLOOKUP($B166,Показатели!$E:$W,9,FALSE)),"")</f>
        <v/>
      </c>
      <c r="M166" t="str">
        <f>IFERROR(IF(VLOOKUP($B166,Показатели!$E:$W,10,FALSE)=0,"",VLOOKUP($B166,Показатели!$E:$W,10,FALSE)),"")</f>
        <v/>
      </c>
      <c r="N166" t="str">
        <f>IFERROR(IF(VLOOKUP($B166,Показатели!$E:$W,11,FALSE)=0,"",VLOOKUP($B166,Показатели!$E:$W,11,FALSE)),"")</f>
        <v/>
      </c>
      <c r="O166" t="str">
        <f>IFERROR(IF(VLOOKUP($B166,Показатели!$E:$W,12,FALSE)=0,"",VLOOKUP($B166,Показатели!$E:$W,12,FALSE)),"")</f>
        <v/>
      </c>
      <c r="P166" t="str">
        <f>IFERROR(IF(VLOOKUP($B166,Показатели!$E:$W,13,FALSE)=0,"",VLOOKUP($B166,Показатели!$E:$W,13,FALSE)),"")</f>
        <v/>
      </c>
      <c r="Q166" t="str">
        <f>IFERROR(IF(VLOOKUP($B166,Показатели!$E:$W,14,FALSE)=0,"",VLOOKUP($B166,Показатели!$E:$W,14,FALSE)),"")</f>
        <v/>
      </c>
      <c r="R166" t="str">
        <f>IFERROR(IF(VLOOKUP($B166,Показатели!$E:$W,15,FALSE)=0,"",VLOOKUP($B166,Показатели!$E:$W,15,FALSE)),"")</f>
        <v/>
      </c>
      <c r="S166" t="str">
        <f>IFERROR(IF(VLOOKUP($B166,Показатели!$E:$W,16,FALSE)=0,"",VLOOKUP($B166,Показатели!$E:$W,16,FALSE)),"")</f>
        <v/>
      </c>
      <c r="T166" t="str">
        <f>IFERROR(IF(VLOOKUP($B166,Показатели!$E:$W,17,FALSE)=0,"",VLOOKUP($B166,Показатели!$E:$W,17,FALSE)),"")</f>
        <v/>
      </c>
      <c r="U166" t="str">
        <f>IFERROR(IF(VLOOKUP($B166,Показатели!$E:$W,18,FALSE)=0,"",VLOOKUP($B166,Показатели!$E:$W,18,FALSE)),"")</f>
        <v/>
      </c>
      <c r="V166" t="str">
        <f>IFERROR(IF(VLOOKUP($B166,Показатели!$E:$W,19,FALSE)=0,"",VLOOKUP($B166,Показатели!$E:$W,19,FALSE)),"")</f>
        <v/>
      </c>
    </row>
    <row r="167" spans="1:22" x14ac:dyDescent="0.2">
      <c r="A167" s="7" t="s">
        <v>2198</v>
      </c>
      <c r="B167" t="str">
        <f t="shared" si="2"/>
        <v>IRAO IV кв. 2020</v>
      </c>
      <c r="C167">
        <v>2020</v>
      </c>
      <c r="D167">
        <f>SUMIFS(Дивиденды!$C:$C,Дивиденды!$A:$A,A167,Дивиденды!$I:$I,C167)</f>
        <v>0.18</v>
      </c>
      <c r="E167">
        <f>IFERROR(IF(VLOOKUP($B167,Показатели!$E:$W,2,FALSE)=0,"",VLOOKUP($B167,Показатели!$E:$W,2,FALSE)),"")</f>
        <v>181116000000</v>
      </c>
      <c r="F167">
        <f>IFERROR(IF(VLOOKUP($B167,Показатели!$E:$W,3,FALSE)=0,"",VLOOKUP($B167,Показатели!$E:$W,3,FALSE)),"")</f>
        <v>451229000000</v>
      </c>
      <c r="G167">
        <f>IFERROR(IF(VLOOKUP($B167,Показатели!$E:$W,4,FALSE)=0,"",VLOOKUP($B167,Показатели!$E:$W,4,FALSE)),"")</f>
        <v>358218000000</v>
      </c>
      <c r="H167">
        <f>IFERROR(IF(VLOOKUP($B167,Показатели!$E:$W,5,FALSE)=0,"",VLOOKUP($B167,Показатели!$E:$W,5,FALSE)),"")</f>
        <v>17687000000</v>
      </c>
      <c r="I167">
        <f>IFERROR(IF(VLOOKUP($B167,Показатели!$E:$W,6,FALSE)=0,"",VLOOKUP($B167,Показатели!$E:$W,6,FALSE)),"")</f>
        <v>865243000000</v>
      </c>
      <c r="J167">
        <f>IFERROR(IF(VLOOKUP($B167,Показатели!$E:$W,7,FALSE)=0,"",VLOOKUP($B167,Показатели!$E:$W,7,FALSE)),"")</f>
        <v>140516000000</v>
      </c>
      <c r="K167">
        <f>IFERROR(IF(VLOOKUP($B167,Показатели!$E:$W,8,FALSE)=0,"",VLOOKUP($B167,Показатели!$E:$W,8,FALSE)),"")</f>
        <v>108630000000</v>
      </c>
      <c r="L167">
        <f>IFERROR(IF(VLOOKUP($B167,Показатели!$E:$W,9,FALSE)=0,"",VLOOKUP($B167,Показатели!$E:$W,9,FALSE)),"")</f>
        <v>338548000000</v>
      </c>
      <c r="M167">
        <f>IFERROR(IF(VLOOKUP($B167,Показатели!$E:$W,10,FALSE)=0,"",VLOOKUP($B167,Показатели!$E:$W,10,FALSE)),"")</f>
        <v>616097000000</v>
      </c>
      <c r="N167">
        <f>IFERROR(IF(VLOOKUP($B167,Показатели!$E:$W,11,FALSE)=0,"",VLOOKUP($B167,Показатели!$E:$W,11,FALSE)),"")</f>
        <v>986292000000</v>
      </c>
      <c r="O167">
        <f>IFERROR(IF(VLOOKUP($B167,Показатели!$E:$W,12,FALSE)=0,"",VLOOKUP($B167,Показатели!$E:$W,12,FALSE)),"")</f>
        <v>80540000000</v>
      </c>
      <c r="P167">
        <f>IFERROR(IF(VLOOKUP($B167,Показатели!$E:$W,13,FALSE)=0,"",VLOOKUP($B167,Показатели!$E:$W,13,FALSE)),"")</f>
        <v>96201000000</v>
      </c>
      <c r="Q167">
        <f>IFERROR(IF(VLOOKUP($B167,Показатели!$E:$W,14,FALSE)=0,"",VLOOKUP($B167,Показатели!$E:$W,14,FALSE)),"")</f>
        <v>75465000000</v>
      </c>
      <c r="R167">
        <f>IFERROR(IF(VLOOKUP($B167,Показатели!$E:$W,15,FALSE)=0,"",VLOOKUP($B167,Показатели!$E:$W,15,FALSE)),"")</f>
        <v>28969000000</v>
      </c>
      <c r="S167">
        <f>IFERROR(IF(VLOOKUP($B167,Показатели!$E:$W,16,FALSE)=0,"",VLOOKUP($B167,Показатели!$E:$W,16,FALSE)),"")</f>
        <v>122273000000</v>
      </c>
      <c r="T167">
        <f>IFERROR(IF(VLOOKUP($B167,Показатели!$E:$W,17,FALSE)=0,"",VLOOKUP($B167,Показатели!$E:$W,17,FALSE)),"")</f>
        <v>-28546000000</v>
      </c>
      <c r="U167">
        <f>IFERROR(IF(VLOOKUP($B167,Показатели!$E:$W,18,FALSE)=0,"",VLOOKUP($B167,Показатели!$E:$W,18,FALSE)),"")</f>
        <v>1032120000000</v>
      </c>
      <c r="V167">
        <f>IFERROR(IF(VLOOKUP($B167,Показатели!$E:$W,19,FALSE)=0,"",VLOOKUP($B167,Показатели!$E:$W,19,FALSE)),"")</f>
        <v>751009000000</v>
      </c>
    </row>
    <row r="168" spans="1:22" x14ac:dyDescent="0.2">
      <c r="A168" s="7" t="s">
        <v>2198</v>
      </c>
      <c r="B168" t="str">
        <f t="shared" si="2"/>
        <v>IRAO IV кв. 2019</v>
      </c>
      <c r="C168">
        <v>2019</v>
      </c>
      <c r="D168">
        <f>SUMIFS(Дивиденды!$C:$C,Дивиденды!$A:$A,A168,Дивиденды!$I:$I,C168)</f>
        <v>0.2</v>
      </c>
      <c r="E168">
        <f>IFERROR(IF(VLOOKUP($B168,Показатели!$E:$W,2,FALSE)=0,"",VLOOKUP($B168,Показатели!$E:$W,2,FALSE)),"")</f>
        <v>95924000000</v>
      </c>
      <c r="F168">
        <f>IFERROR(IF(VLOOKUP($B168,Показатели!$E:$W,3,FALSE)=0,"",VLOOKUP($B168,Показатели!$E:$W,3,FALSE)),"")</f>
        <v>382237000000</v>
      </c>
      <c r="G168">
        <f>IFERROR(IF(VLOOKUP($B168,Показатели!$E:$W,4,FALSE)=0,"",VLOOKUP($B168,Показатели!$E:$W,4,FALSE)),"")</f>
        <v>327980000000</v>
      </c>
      <c r="H168">
        <f>IFERROR(IF(VLOOKUP($B168,Показатели!$E:$W,5,FALSE)=0,"",VLOOKUP($B168,Показатели!$E:$W,5,FALSE)),"")</f>
        <v>9804000000</v>
      </c>
      <c r="I168">
        <f>IFERROR(IF(VLOOKUP($B168,Показатели!$E:$W,6,FALSE)=0,"",VLOOKUP($B168,Показатели!$E:$W,6,FALSE)),"")</f>
        <v>751009000000</v>
      </c>
      <c r="J168">
        <f>IFERROR(IF(VLOOKUP($B168,Показатели!$E:$W,7,FALSE)=0,"",VLOOKUP($B168,Показатели!$E:$W,7,FALSE)),"")</f>
        <v>127687000000</v>
      </c>
      <c r="K168">
        <f>IFERROR(IF(VLOOKUP($B168,Показатели!$E:$W,8,FALSE)=0,"",VLOOKUP($B168,Показатели!$E:$W,8,FALSE)),"")</f>
        <v>70543000000</v>
      </c>
      <c r="L168">
        <f>IFERROR(IF(VLOOKUP($B168,Показатели!$E:$W,9,FALSE)=0,"",VLOOKUP($B168,Показатели!$E:$W,9,FALSE)),"")</f>
        <v>278731000000</v>
      </c>
      <c r="M168">
        <f>IFERROR(IF(VLOOKUP($B168,Показатели!$E:$W,10,FALSE)=0,"",VLOOKUP($B168,Показатели!$E:$W,10,FALSE)),"")</f>
        <v>552779000000</v>
      </c>
      <c r="N168">
        <f>IFERROR(IF(VLOOKUP($B168,Показатели!$E:$W,11,FALSE)=0,"",VLOOKUP($B168,Показатели!$E:$W,11,FALSE)),"")</f>
        <v>1032120000000</v>
      </c>
      <c r="O168">
        <f>IFERROR(IF(VLOOKUP($B168,Показатели!$E:$W,12,FALSE)=0,"",VLOOKUP($B168,Показатели!$E:$W,12,FALSE)),"")</f>
        <v>98307000000</v>
      </c>
      <c r="P168">
        <f>IFERROR(IF(VLOOKUP($B168,Показатели!$E:$W,13,FALSE)=0,"",VLOOKUP($B168,Показатели!$E:$W,13,FALSE)),"")</f>
        <v>103781000000</v>
      </c>
      <c r="Q168">
        <f>IFERROR(IF(VLOOKUP($B168,Показатели!$E:$W,14,FALSE)=0,"",VLOOKUP($B168,Показатели!$E:$W,14,FALSE)),"")</f>
        <v>81930000000</v>
      </c>
      <c r="R168">
        <f>IFERROR(IF(VLOOKUP($B168,Показатели!$E:$W,15,FALSE)=0,"",VLOOKUP($B168,Показатели!$E:$W,15,FALSE)),"")</f>
        <v>28002000000</v>
      </c>
      <c r="S168">
        <f>IFERROR(IF(VLOOKUP($B168,Показатели!$E:$W,16,FALSE)=0,"",VLOOKUP($B168,Показатели!$E:$W,16,FALSE)),"")</f>
        <v>141547000000</v>
      </c>
      <c r="T168">
        <f>IFERROR(IF(VLOOKUP($B168,Показатели!$E:$W,17,FALSE)=0,"",VLOOKUP($B168,Показатели!$E:$W,17,FALSE)),"")</f>
        <v>-24466000000</v>
      </c>
      <c r="U168">
        <f>IFERROR(IF(VLOOKUP($B168,Показатели!$E:$W,18,FALSE)=0,"",VLOOKUP($B168,Показатели!$E:$W,18,FALSE)),"")</f>
        <v>962582000000</v>
      </c>
      <c r="V168">
        <f>IFERROR(IF(VLOOKUP($B168,Показатели!$E:$W,19,FALSE)=0,"",VLOOKUP($B168,Показатели!$E:$W,19,FALSE)),"")</f>
        <v>728587000000</v>
      </c>
    </row>
    <row r="169" spans="1:22" x14ac:dyDescent="0.2">
      <c r="A169" s="7" t="s">
        <v>2198</v>
      </c>
      <c r="B169" t="str">
        <f t="shared" si="2"/>
        <v>IRAO IV кв. 2018</v>
      </c>
      <c r="C169">
        <v>2018</v>
      </c>
      <c r="D169">
        <f>SUMIFS(Дивиденды!$C:$C,Дивиденды!$A:$A,A169,Дивиденды!$I:$I,C169)</f>
        <v>0.17</v>
      </c>
      <c r="E169">
        <f>IFERROR(IF(VLOOKUP($B169,Показатели!$E:$W,2,FALSE)=0,"",VLOOKUP($B169,Показатели!$E:$W,2,FALSE)),"")</f>
        <v>153747000000</v>
      </c>
      <c r="F169">
        <f>IFERROR(IF(VLOOKUP($B169,Показатели!$E:$W,3,FALSE)=0,"",VLOOKUP($B169,Показатели!$E:$W,3,FALSE)),"")</f>
        <v>359945000000</v>
      </c>
      <c r="G169">
        <f>IFERROR(IF(VLOOKUP($B169,Показатели!$E:$W,4,FALSE)=0,"",VLOOKUP($B169,Показатели!$E:$W,4,FALSE)),"")</f>
        <v>322976000000</v>
      </c>
      <c r="H169">
        <f>IFERROR(IF(VLOOKUP($B169,Показатели!$E:$W,5,FALSE)=0,"",VLOOKUP($B169,Показатели!$E:$W,5,FALSE)),"")</f>
        <v>13849000000</v>
      </c>
      <c r="I169">
        <f>IFERROR(IF(VLOOKUP($B169,Показатели!$E:$W,6,FALSE)=0,"",VLOOKUP($B169,Показатели!$E:$W,6,FALSE)),"")</f>
        <v>728587000000</v>
      </c>
      <c r="J169">
        <f>IFERROR(IF(VLOOKUP($B169,Показатели!$E:$W,7,FALSE)=0,"",VLOOKUP($B169,Показатели!$E:$W,7,FALSE)),"")</f>
        <v>178255000000</v>
      </c>
      <c r="K169">
        <f>IFERROR(IF(VLOOKUP($B169,Показатели!$E:$W,8,FALSE)=0,"",VLOOKUP($B169,Показатели!$E:$W,8,FALSE)),"")</f>
        <v>64854000000</v>
      </c>
      <c r="L169">
        <f>IFERROR(IF(VLOOKUP($B169,Показатели!$E:$W,9,FALSE)=0,"",VLOOKUP($B169,Показатели!$E:$W,9,FALSE)),"")</f>
        <v>207778000000</v>
      </c>
      <c r="M169">
        <f>IFERROR(IF(VLOOKUP($B169,Показатели!$E:$W,10,FALSE)=0,"",VLOOKUP($B169,Показатели!$E:$W,10,FALSE)),"")</f>
        <v>485478000000</v>
      </c>
      <c r="N169">
        <f>IFERROR(IF(VLOOKUP($B169,Показатели!$E:$W,11,FALSE)=0,"",VLOOKUP($B169,Показатели!$E:$W,11,FALSE)),"")</f>
        <v>962582000000</v>
      </c>
      <c r="O169">
        <f>IFERROR(IF(VLOOKUP($B169,Показатели!$E:$W,12,FALSE)=0,"",VLOOKUP($B169,Показатели!$E:$W,12,FALSE)),"")</f>
        <v>87289000000</v>
      </c>
      <c r="P169">
        <f>IFERROR(IF(VLOOKUP($B169,Показатели!$E:$W,13,FALSE)=0,"",VLOOKUP($B169,Показатели!$E:$W,13,FALSE)),"")</f>
        <v>92178000000</v>
      </c>
      <c r="Q169">
        <f>IFERROR(IF(VLOOKUP($B169,Показатели!$E:$W,14,FALSE)=0,"",VLOOKUP($B169,Показатели!$E:$W,14,FALSE)),"")</f>
        <v>71675000000</v>
      </c>
      <c r="R169">
        <f>IFERROR(IF(VLOOKUP($B169,Показатели!$E:$W,15,FALSE)=0,"",VLOOKUP($B169,Показатели!$E:$W,15,FALSE)),"")</f>
        <v>26601000000</v>
      </c>
      <c r="S169">
        <f>IFERROR(IF(VLOOKUP($B169,Показатели!$E:$W,16,FALSE)=0,"",VLOOKUP($B169,Показатели!$E:$W,16,FALSE)),"")</f>
        <v>121300000000</v>
      </c>
      <c r="T169">
        <f>IFERROR(IF(VLOOKUP($B169,Показатели!$E:$W,17,FALSE)=0,"",VLOOKUP($B169,Показатели!$E:$W,17,FALSE)),"")</f>
        <v>-25770000000</v>
      </c>
      <c r="U169">
        <f>IFERROR(IF(VLOOKUP($B169,Показатели!$E:$W,18,FALSE)=0,"",VLOOKUP($B169,Показатели!$E:$W,18,FALSE)),"")</f>
        <v>917049000000</v>
      </c>
      <c r="V169">
        <f>IFERROR(IF(VLOOKUP($B169,Показатели!$E:$W,19,FALSE)=0,"",VLOOKUP($B169,Показатели!$E:$W,19,FALSE)),"")</f>
        <v>625056000000</v>
      </c>
    </row>
    <row r="170" spans="1:22" x14ac:dyDescent="0.2">
      <c r="A170" s="7" t="s">
        <v>2198</v>
      </c>
      <c r="B170" t="str">
        <f t="shared" si="2"/>
        <v>IRAO IV кв. 2017</v>
      </c>
      <c r="C170">
        <v>2017</v>
      </c>
      <c r="D170">
        <f>SUMIFS(Дивиденды!$C:$C,Дивиденды!$A:$A,A170,Дивиденды!$I:$I,C170)</f>
        <v>0.13</v>
      </c>
      <c r="E170">
        <f>IFERROR(IF(VLOOKUP($B170,Показатели!$E:$W,2,FALSE)=0,"",VLOOKUP($B170,Показатели!$E:$W,2,FALSE)),"")</f>
        <v>142062000000</v>
      </c>
      <c r="F170">
        <f>IFERROR(IF(VLOOKUP($B170,Показатели!$E:$W,3,FALSE)=0,"",VLOOKUP($B170,Показатели!$E:$W,3,FALSE)),"")</f>
        <v>292755000000</v>
      </c>
      <c r="G170">
        <f>IFERROR(IF(VLOOKUP($B170,Показатели!$E:$W,4,FALSE)=0,"",VLOOKUP($B170,Показатели!$E:$W,4,FALSE)),"")</f>
        <v>275261000000</v>
      </c>
      <c r="H170">
        <f>IFERROR(IF(VLOOKUP($B170,Показатели!$E:$W,5,FALSE)=0,"",VLOOKUP($B170,Показатели!$E:$W,5,FALSE)),"")</f>
        <v>13183000000</v>
      </c>
      <c r="I170">
        <f>IFERROR(IF(VLOOKUP($B170,Показатели!$E:$W,6,FALSE)=0,"",VLOOKUP($B170,Показатели!$E:$W,6,FALSE)),"")</f>
        <v>625056000000</v>
      </c>
      <c r="J170">
        <f>IFERROR(IF(VLOOKUP($B170,Показатели!$E:$W,7,FALSE)=0,"",VLOOKUP($B170,Показатели!$E:$W,7,FALSE)),"")</f>
        <v>141758000000</v>
      </c>
      <c r="K170">
        <f>IFERROR(IF(VLOOKUP($B170,Показатели!$E:$W,8,FALSE)=0,"",VLOOKUP($B170,Показатели!$E:$W,8,FALSE)),"")</f>
        <v>23889000000</v>
      </c>
      <c r="L170">
        <f>IFERROR(IF(VLOOKUP($B170,Показатели!$E:$W,9,FALSE)=0,"",VLOOKUP($B170,Показатели!$E:$W,9,FALSE)),"")</f>
        <v>149968000000</v>
      </c>
      <c r="M170">
        <f>IFERROR(IF(VLOOKUP($B170,Показатели!$E:$W,10,FALSE)=0,"",VLOOKUP($B170,Показатели!$E:$W,10,FALSE)),"")</f>
        <v>459409000000</v>
      </c>
      <c r="N170">
        <f>IFERROR(IF(VLOOKUP($B170,Показатели!$E:$W,11,FALSE)=0,"",VLOOKUP($B170,Показатели!$E:$W,11,FALSE)),"")</f>
        <v>917049000000</v>
      </c>
      <c r="O170">
        <f>IFERROR(IF(VLOOKUP($B170,Показатели!$E:$W,12,FALSE)=0,"",VLOOKUP($B170,Показатели!$E:$W,12,FALSE)),"")</f>
        <v>56120000000</v>
      </c>
      <c r="P170">
        <f>IFERROR(IF(VLOOKUP($B170,Показатели!$E:$W,13,FALSE)=0,"",VLOOKUP($B170,Показатели!$E:$W,13,FALSE)),"")</f>
        <v>64982000000</v>
      </c>
      <c r="Q170">
        <f>IFERROR(IF(VLOOKUP($B170,Показатели!$E:$W,14,FALSE)=0,"",VLOOKUP($B170,Показатели!$E:$W,14,FALSE)),"")</f>
        <v>54448000000</v>
      </c>
      <c r="R170">
        <f>IFERROR(IF(VLOOKUP($B170,Показатели!$E:$W,15,FALSE)=0,"",VLOOKUP($B170,Показатели!$E:$W,15,FALSE)),"")</f>
        <v>21048000000</v>
      </c>
      <c r="S170">
        <f>IFERROR(IF(VLOOKUP($B170,Показатели!$E:$W,16,FALSE)=0,"",VLOOKUP($B170,Показатели!$E:$W,16,FALSE)),"")</f>
        <v>95500000000</v>
      </c>
      <c r="T170">
        <f>IFERROR(IF(VLOOKUP($B170,Показатели!$E:$W,17,FALSE)=0,"",VLOOKUP($B170,Показатели!$E:$W,17,FALSE)),"")</f>
        <v>-31508000000</v>
      </c>
      <c r="U170">
        <f>IFERROR(IF(VLOOKUP($B170,Показатели!$E:$W,18,FALSE)=0,"",VLOOKUP($B170,Показатели!$E:$W,18,FALSE)),"")</f>
        <v>868182000000</v>
      </c>
      <c r="V170">
        <f>IFERROR(IF(VLOOKUP($B170,Показатели!$E:$W,19,FALSE)=0,"",VLOOKUP($B170,Показатели!$E:$W,19,FALSE)),"")</f>
        <v>571594000000</v>
      </c>
    </row>
    <row r="171" spans="1:22" x14ac:dyDescent="0.2">
      <c r="A171" s="7" t="s">
        <v>2198</v>
      </c>
      <c r="B171" t="str">
        <f t="shared" si="2"/>
        <v>IRAO IV кв. 2016</v>
      </c>
      <c r="C171">
        <v>2016</v>
      </c>
      <c r="D171">
        <f>SUMIFS(Дивиденды!$C:$C,Дивиденды!$A:$A,A171,Дивиденды!$I:$I,C171)</f>
        <v>0.15</v>
      </c>
      <c r="E171">
        <f>IFERROR(IF(VLOOKUP($B171,Показатели!$E:$W,2,FALSE)=0,"",VLOOKUP($B171,Показатели!$E:$W,2,FALSE)),"")</f>
        <v>95988000000</v>
      </c>
      <c r="F171">
        <f>IFERROR(IF(VLOOKUP($B171,Показатели!$E:$W,3,FALSE)=0,"",VLOOKUP($B171,Показатели!$E:$W,3,FALSE)),"")</f>
        <v>222534000000</v>
      </c>
      <c r="G171">
        <f>IFERROR(IF(VLOOKUP($B171,Показатели!$E:$W,4,FALSE)=0,"",VLOOKUP($B171,Показатели!$E:$W,4,FALSE)),"")</f>
        <v>280499000000</v>
      </c>
      <c r="H171" t="str">
        <f>IFERROR(IF(VLOOKUP($B171,Показатели!$E:$W,5,FALSE)=0,"",VLOOKUP($B171,Показатели!$E:$W,5,FALSE)),"")</f>
        <v/>
      </c>
      <c r="I171">
        <f>IFERROR(IF(VLOOKUP($B171,Показатели!$E:$W,6,FALSE)=0,"",VLOOKUP($B171,Показатели!$E:$W,6,FALSE)),"")</f>
        <v>571594000000</v>
      </c>
      <c r="J171">
        <f>IFERROR(IF(VLOOKUP($B171,Показатели!$E:$W,7,FALSE)=0,"",VLOOKUP($B171,Показатели!$E:$W,7,FALSE)),"")</f>
        <v>125544000000</v>
      </c>
      <c r="K171">
        <f>IFERROR(IF(VLOOKUP($B171,Показатели!$E:$W,8,FALSE)=0,"",VLOOKUP($B171,Показатели!$E:$W,8,FALSE)),"")</f>
        <v>26824000000</v>
      </c>
      <c r="L171">
        <f>IFERROR(IF(VLOOKUP($B171,Показатели!$E:$W,9,FALSE)=0,"",VLOOKUP($B171,Показатели!$E:$W,9,FALSE)),"")</f>
        <v>107879000000</v>
      </c>
      <c r="M171">
        <f>IFERROR(IF(VLOOKUP($B171,Показатели!$E:$W,10,FALSE)=0,"",VLOOKUP($B171,Показатели!$E:$W,10,FALSE)),"")</f>
        <v>419226000000</v>
      </c>
      <c r="N171">
        <f>IFERROR(IF(VLOOKUP($B171,Показатели!$E:$W,11,FALSE)=0,"",VLOOKUP($B171,Показатели!$E:$W,11,FALSE)),"")</f>
        <v>868182000000</v>
      </c>
      <c r="O171">
        <f>IFERROR(IF(VLOOKUP($B171,Показатели!$E:$W,12,FALSE)=0,"",VLOOKUP($B171,Показатели!$E:$W,12,FALSE)),"")</f>
        <v>77260000000</v>
      </c>
      <c r="P171">
        <f>IFERROR(IF(VLOOKUP($B171,Показатели!$E:$W,13,FALSE)=0,"",VLOOKUP($B171,Показатели!$E:$W,13,FALSE)),"")</f>
        <v>68548000000</v>
      </c>
      <c r="Q171">
        <f>IFERROR(IF(VLOOKUP($B171,Показатели!$E:$W,14,FALSE)=0,"",VLOOKUP($B171,Показатели!$E:$W,14,FALSE)),"")</f>
        <v>61312000000</v>
      </c>
      <c r="R171" t="str">
        <f>IFERROR(IF(VLOOKUP($B171,Показатели!$E:$W,15,FALSE)=0,"",VLOOKUP($B171,Показатели!$E:$W,15,FALSE)),"")</f>
        <v/>
      </c>
      <c r="S171">
        <f>IFERROR(IF(VLOOKUP($B171,Показатели!$E:$W,16,FALSE)=0,"",VLOOKUP($B171,Показатели!$E:$W,16,FALSE)),"")</f>
        <v>93500000000</v>
      </c>
      <c r="T171">
        <f>IFERROR(IF(VLOOKUP($B171,Показатели!$E:$W,17,FALSE)=0,"",VLOOKUP($B171,Показатели!$E:$W,17,FALSE)),"")</f>
        <v>-34746000000</v>
      </c>
      <c r="U171" t="str">
        <f>IFERROR(IF(VLOOKUP($B171,Показатели!$E:$W,18,FALSE)=0,"",VLOOKUP($B171,Показатели!$E:$W,18,FALSE)),"")</f>
        <v/>
      </c>
      <c r="V171" t="str">
        <f>IFERROR(IF(VLOOKUP($B171,Показатели!$E:$W,19,FALSE)=0,"",VLOOKUP($B171,Показатели!$E:$W,19,FALSE)),"")</f>
        <v/>
      </c>
    </row>
    <row r="172" spans="1:22" x14ac:dyDescent="0.2">
      <c r="A172" s="7" t="s">
        <v>2198</v>
      </c>
      <c r="B172" t="str">
        <f t="shared" si="2"/>
        <v>IRAO IV кв. 2015</v>
      </c>
      <c r="C172">
        <v>2015</v>
      </c>
      <c r="D172">
        <f>SUMIFS(Дивиденды!$C:$C,Дивиденды!$A:$A,A172,Дивиденды!$I:$I,C172)</f>
        <v>1.78E-2</v>
      </c>
      <c r="E172" t="str">
        <f>IFERROR(IF(VLOOKUP($B172,Показатели!$E:$W,2,FALSE)=0,"",VLOOKUP($B172,Показатели!$E:$W,2,FALSE)),"")</f>
        <v/>
      </c>
      <c r="F172" t="str">
        <f>IFERROR(IF(VLOOKUP($B172,Показатели!$E:$W,3,FALSE)=0,"",VLOOKUP($B172,Показатели!$E:$W,3,FALSE)),"")</f>
        <v/>
      </c>
      <c r="G172" t="str">
        <f>IFERROR(IF(VLOOKUP($B172,Показатели!$E:$W,4,FALSE)=0,"",VLOOKUP($B172,Показатели!$E:$W,4,FALSE)),"")</f>
        <v/>
      </c>
      <c r="H172" t="str">
        <f>IFERROR(IF(VLOOKUP($B172,Показатели!$E:$W,5,FALSE)=0,"",VLOOKUP($B172,Показатели!$E:$W,5,FALSE)),"")</f>
        <v/>
      </c>
      <c r="I172" t="str">
        <f>IFERROR(IF(VLOOKUP($B172,Показатели!$E:$W,6,FALSE)=0,"",VLOOKUP($B172,Показатели!$E:$W,6,FALSE)),"")</f>
        <v/>
      </c>
      <c r="J172" t="str">
        <f>IFERROR(IF(VLOOKUP($B172,Показатели!$E:$W,7,FALSE)=0,"",VLOOKUP($B172,Показатели!$E:$W,7,FALSE)),"")</f>
        <v/>
      </c>
      <c r="K172" t="str">
        <f>IFERROR(IF(VLOOKUP($B172,Показатели!$E:$W,8,FALSE)=0,"",VLOOKUP($B172,Показатели!$E:$W,8,FALSE)),"")</f>
        <v/>
      </c>
      <c r="L172" t="str">
        <f>IFERROR(IF(VLOOKUP($B172,Показатели!$E:$W,9,FALSE)=0,"",VLOOKUP($B172,Показатели!$E:$W,9,FALSE)),"")</f>
        <v/>
      </c>
      <c r="M172" t="str">
        <f>IFERROR(IF(VLOOKUP($B172,Показатели!$E:$W,10,FALSE)=0,"",VLOOKUP($B172,Показатели!$E:$W,10,FALSE)),"")</f>
        <v/>
      </c>
      <c r="N172" t="str">
        <f>IFERROR(IF(VLOOKUP($B172,Показатели!$E:$W,11,FALSE)=0,"",VLOOKUP($B172,Показатели!$E:$W,11,FALSE)),"")</f>
        <v/>
      </c>
      <c r="O172" t="str">
        <f>IFERROR(IF(VLOOKUP($B172,Показатели!$E:$W,12,FALSE)=0,"",VLOOKUP($B172,Показатели!$E:$W,12,FALSE)),"")</f>
        <v/>
      </c>
      <c r="P172" t="str">
        <f>IFERROR(IF(VLOOKUP($B172,Показатели!$E:$W,13,FALSE)=0,"",VLOOKUP($B172,Показатели!$E:$W,13,FALSE)),"")</f>
        <v/>
      </c>
      <c r="Q172" t="str">
        <f>IFERROR(IF(VLOOKUP($B172,Показатели!$E:$W,14,FALSE)=0,"",VLOOKUP($B172,Показатели!$E:$W,14,FALSE)),"")</f>
        <v/>
      </c>
      <c r="R172" t="str">
        <f>IFERROR(IF(VLOOKUP($B172,Показатели!$E:$W,15,FALSE)=0,"",VLOOKUP($B172,Показатели!$E:$W,15,FALSE)),"")</f>
        <v/>
      </c>
      <c r="S172" t="str">
        <f>IFERROR(IF(VLOOKUP($B172,Показатели!$E:$W,16,FALSE)=0,"",VLOOKUP($B172,Показатели!$E:$W,16,FALSE)),"")</f>
        <v/>
      </c>
      <c r="T172" t="str">
        <f>IFERROR(IF(VLOOKUP($B172,Показатели!$E:$W,17,FALSE)=0,"",VLOOKUP($B172,Показатели!$E:$W,17,FALSE)),"")</f>
        <v/>
      </c>
      <c r="U172" t="str">
        <f>IFERROR(IF(VLOOKUP($B172,Показатели!$E:$W,18,FALSE)=0,"",VLOOKUP($B172,Показатели!$E:$W,18,FALSE)),"")</f>
        <v/>
      </c>
      <c r="V172" t="str">
        <f>IFERROR(IF(VLOOKUP($B172,Показатели!$E:$W,19,FALSE)=0,"",VLOOKUP($B172,Показатели!$E:$W,19,FALSE)),"")</f>
        <v/>
      </c>
    </row>
    <row r="173" spans="1:22" x14ac:dyDescent="0.2">
      <c r="A173" s="7" t="s">
        <v>2198</v>
      </c>
      <c r="B173" t="str">
        <f t="shared" si="2"/>
        <v>IRAO IV кв. 2014</v>
      </c>
      <c r="C173">
        <v>2014</v>
      </c>
      <c r="D173">
        <f>SUMIFS(Дивиденды!$C:$C,Дивиденды!$A:$A,A173,Дивиденды!$I:$I,C173)</f>
        <v>1.0399999999999999E-3</v>
      </c>
      <c r="E173">
        <f>IFERROR(IF(VLOOKUP($B173,Показатели!$E:$W,2,FALSE)=0,"",VLOOKUP($B173,Показатели!$E:$W,2,FALSE)),"")</f>
        <v>75599000000</v>
      </c>
      <c r="F173">
        <f>IFERROR(IF(VLOOKUP($B173,Показатели!$E:$W,3,FALSE)=0,"",VLOOKUP($B173,Показатели!$E:$W,3,FALSE)),"")</f>
        <v>220362000000</v>
      </c>
      <c r="G173">
        <f>IFERROR(IF(VLOOKUP($B173,Показатели!$E:$W,4,FALSE)=0,"",VLOOKUP($B173,Показатели!$E:$W,4,FALSE)),"")</f>
        <v>298625000000</v>
      </c>
      <c r="H173" t="str">
        <f>IFERROR(IF(VLOOKUP($B173,Показатели!$E:$W,5,FALSE)=0,"",VLOOKUP($B173,Показатели!$E:$W,5,FALSE)),"")</f>
        <v/>
      </c>
      <c r="I173">
        <f>IFERROR(IF(VLOOKUP($B173,Показатели!$E:$W,6,FALSE)=0,"",VLOOKUP($B173,Показатели!$E:$W,6,FALSE)),"")</f>
        <v>585498000000</v>
      </c>
      <c r="J173">
        <f>IFERROR(IF(VLOOKUP($B173,Показатели!$E:$W,7,FALSE)=0,"",VLOOKUP($B173,Показатели!$E:$W,7,FALSE)),"")</f>
        <v>146582000000</v>
      </c>
      <c r="K173">
        <f>IFERROR(IF(VLOOKUP($B173,Показатели!$E:$W,8,FALSE)=0,"",VLOOKUP($B173,Показатели!$E:$W,8,FALSE)),"")</f>
        <v>90667000000</v>
      </c>
      <c r="L173" t="str">
        <f>IFERROR(IF(VLOOKUP($B173,Показатели!$E:$W,9,FALSE)=0,"",VLOOKUP($B173,Показатели!$E:$W,9,FALSE)),"")</f>
        <v/>
      </c>
      <c r="M173">
        <f>IFERROR(IF(VLOOKUP($B173,Показатели!$E:$W,10,FALSE)=0,"",VLOOKUP($B173,Показатели!$E:$W,10,FALSE)),"")</f>
        <v>348249000000</v>
      </c>
      <c r="N173">
        <f>IFERROR(IF(VLOOKUP($B173,Показатели!$E:$W,11,FALSE)=0,"",VLOOKUP($B173,Показатели!$E:$W,11,FALSE)),"")</f>
        <v>741101000000</v>
      </c>
      <c r="O173">
        <f>IFERROR(IF(VLOOKUP($B173,Показатели!$E:$W,12,FALSE)=0,"",VLOOKUP($B173,Показатели!$E:$W,12,FALSE)),"")</f>
        <v>19946000000</v>
      </c>
      <c r="P173">
        <f>IFERROR(IF(VLOOKUP($B173,Показатели!$E:$W,13,FALSE)=0,"",VLOOKUP($B173,Показатели!$E:$W,13,FALSE)),"")</f>
        <v>16998000000</v>
      </c>
      <c r="Q173">
        <f>IFERROR(IF(VLOOKUP($B173,Показатели!$E:$W,14,FALSE)=0,"",VLOOKUP($B173,Показатели!$E:$W,14,FALSE)),"")</f>
        <v>9774000000</v>
      </c>
      <c r="R173" t="str">
        <f>IFERROR(IF(VLOOKUP($B173,Показатели!$E:$W,15,FALSE)=0,"",VLOOKUP($B173,Показатели!$E:$W,15,FALSE)),"")</f>
        <v/>
      </c>
      <c r="S173">
        <f>IFERROR(IF(VLOOKUP($B173,Показатели!$E:$W,16,FALSE)=0,"",VLOOKUP($B173,Показатели!$E:$W,16,FALSE)),"")</f>
        <v>57800000000</v>
      </c>
      <c r="T173" t="str">
        <f>IFERROR(IF(VLOOKUP($B173,Показатели!$E:$W,17,FALSE)=0,"",VLOOKUP($B173,Показатели!$E:$W,17,FALSE)),"")</f>
        <v/>
      </c>
      <c r="U173">
        <f>IFERROR(IF(VLOOKUP($B173,Показатели!$E:$W,18,FALSE)=0,"",VLOOKUP($B173,Показатели!$E:$W,18,FALSE)),"")</f>
        <v>662321000000</v>
      </c>
      <c r="V173">
        <f>IFERROR(IF(VLOOKUP($B173,Показатели!$E:$W,19,FALSE)=0,"",VLOOKUP($B173,Показатели!$E:$W,19,FALSE)),"")</f>
        <v>512566000000</v>
      </c>
    </row>
    <row r="174" spans="1:22" x14ac:dyDescent="0.2">
      <c r="A174" s="7" t="s">
        <v>2198</v>
      </c>
      <c r="B174" t="str">
        <f t="shared" si="2"/>
        <v>IRAO IV кв. 2013</v>
      </c>
      <c r="C174">
        <v>2013</v>
      </c>
      <c r="D174">
        <f>SUMIFS(Дивиденды!$C:$C,Дивиденды!$A:$A,A174,Дивиденды!$I:$I,C174)</f>
        <v>0</v>
      </c>
      <c r="E174">
        <f>IFERROR(IF(VLOOKUP($B174,Показатели!$E:$W,2,FALSE)=0,"",VLOOKUP($B174,Показатели!$E:$W,2,FALSE)),"")</f>
        <v>39882000000</v>
      </c>
      <c r="F174">
        <f>IFERROR(IF(VLOOKUP($B174,Показатели!$E:$W,3,FALSE)=0,"",VLOOKUP($B174,Показатели!$E:$W,3,FALSE)),"")</f>
        <v>169731000000</v>
      </c>
      <c r="G174">
        <f>IFERROR(IF(VLOOKUP($B174,Показатели!$E:$W,4,FALSE)=0,"",VLOOKUP($B174,Показатели!$E:$W,4,FALSE)),"")</f>
        <v>285789000000</v>
      </c>
      <c r="H174" t="str">
        <f>IFERROR(IF(VLOOKUP($B174,Показатели!$E:$W,5,FALSE)=0,"",VLOOKUP($B174,Показатели!$E:$W,5,FALSE)),"")</f>
        <v/>
      </c>
      <c r="I174">
        <f>IFERROR(IF(VLOOKUP($B174,Показатели!$E:$W,6,FALSE)=0,"",VLOOKUP($B174,Показатели!$E:$W,6,FALSE)),"")</f>
        <v>512566000000</v>
      </c>
      <c r="J174">
        <f>IFERROR(IF(VLOOKUP($B174,Показатели!$E:$W,7,FALSE)=0,"",VLOOKUP($B174,Показатели!$E:$W,7,FALSE)),"")</f>
        <v>115811000000</v>
      </c>
      <c r="K174">
        <f>IFERROR(IF(VLOOKUP($B174,Показатели!$E:$W,8,FALSE)=0,"",VLOOKUP($B174,Показатели!$E:$W,8,FALSE)),"")</f>
        <v>62166000000</v>
      </c>
      <c r="L174" t="str">
        <f>IFERROR(IF(VLOOKUP($B174,Показатели!$E:$W,9,FALSE)=0,"",VLOOKUP($B174,Показатели!$E:$W,9,FALSE)),"")</f>
        <v/>
      </c>
      <c r="M174">
        <f>IFERROR(IF(VLOOKUP($B174,Показатели!$E:$W,10,FALSE)=0,"",VLOOKUP($B174,Показатели!$E:$W,10,FALSE)),"")</f>
        <v>334589000000</v>
      </c>
      <c r="N174">
        <f>IFERROR(IF(VLOOKUP($B174,Показатели!$E:$W,11,FALSE)=0,"",VLOOKUP($B174,Показатели!$E:$W,11,FALSE)),"")</f>
        <v>662321000000</v>
      </c>
      <c r="O174">
        <f>IFERROR(IF(VLOOKUP($B174,Показатели!$E:$W,12,FALSE)=0,"",VLOOKUP($B174,Показатели!$E:$W,12,FALSE)),"")</f>
        <v>-18473000000</v>
      </c>
      <c r="P174">
        <f>IFERROR(IF(VLOOKUP($B174,Показатели!$E:$W,13,FALSE)=0,"",VLOOKUP($B174,Показатели!$E:$W,13,FALSE)),"")</f>
        <v>-27098000000</v>
      </c>
      <c r="Q174">
        <f>IFERROR(IF(VLOOKUP($B174,Показатели!$E:$W,14,FALSE)=0,"",VLOOKUP($B174,Показатели!$E:$W,14,FALSE)),"")</f>
        <v>-24030000000</v>
      </c>
      <c r="R174" t="str">
        <f>IFERROR(IF(VLOOKUP($B174,Показатели!$E:$W,15,FALSE)=0,"",VLOOKUP($B174,Показатели!$E:$W,15,FALSE)),"")</f>
        <v/>
      </c>
      <c r="S174">
        <f>IFERROR(IF(VLOOKUP($B174,Показатели!$E:$W,16,FALSE)=0,"",VLOOKUP($B174,Показатели!$E:$W,16,FALSE)),"")</f>
        <v>39200000000</v>
      </c>
      <c r="T174" t="str">
        <f>IFERROR(IF(VLOOKUP($B174,Показатели!$E:$W,17,FALSE)=0,"",VLOOKUP($B174,Показатели!$E:$W,17,FALSE)),"")</f>
        <v/>
      </c>
      <c r="U174">
        <f>IFERROR(IF(VLOOKUP($B174,Показатели!$E:$W,18,FALSE)=0,"",VLOOKUP($B174,Показатели!$E:$W,18,FALSE)),"")</f>
        <v>556189000000</v>
      </c>
      <c r="V174">
        <f>IFERROR(IF(VLOOKUP($B174,Показатели!$E:$W,19,FALSE)=0,"",VLOOKUP($B174,Показатели!$E:$W,19,FALSE)),"")</f>
        <v>528634000000</v>
      </c>
    </row>
    <row r="175" spans="1:22" x14ac:dyDescent="0.2">
      <c r="A175" s="7" t="s">
        <v>2198</v>
      </c>
      <c r="B175" t="str">
        <f t="shared" si="2"/>
        <v>IRAO IV кв. 2012</v>
      </c>
      <c r="C175">
        <v>2012</v>
      </c>
      <c r="D175">
        <f>SUMIFS(Дивиденды!$C:$C,Дивиденды!$A:$A,A175,Дивиденды!$I:$I,C175)</f>
        <v>0</v>
      </c>
      <c r="E175">
        <f>IFERROR(IF(VLOOKUP($B175,Показатели!$E:$W,2,FALSE)=0,"",VLOOKUP($B175,Показатели!$E:$W,2,FALSE)),"")</f>
        <v>48049000000</v>
      </c>
      <c r="F175">
        <f>IFERROR(IF(VLOOKUP($B175,Показатели!$E:$W,3,FALSE)=0,"",VLOOKUP($B175,Показатели!$E:$W,3,FALSE)),"")</f>
        <v>170614000000</v>
      </c>
      <c r="G175">
        <f>IFERROR(IF(VLOOKUP($B175,Показатели!$E:$W,4,FALSE)=0,"",VLOOKUP($B175,Показатели!$E:$W,4,FALSE)),"")</f>
        <v>282761000000</v>
      </c>
      <c r="H175" t="str">
        <f>IFERROR(IF(VLOOKUP($B175,Показатели!$E:$W,5,FALSE)=0,"",VLOOKUP($B175,Показатели!$E:$W,5,FALSE)),"")</f>
        <v/>
      </c>
      <c r="I175">
        <f>IFERROR(IF(VLOOKUP($B175,Показатели!$E:$W,6,FALSE)=0,"",VLOOKUP($B175,Показатели!$E:$W,6,FALSE)),"")</f>
        <v>528634000000</v>
      </c>
      <c r="J175">
        <f>IFERROR(IF(VLOOKUP($B175,Показатели!$E:$W,7,FALSE)=0,"",VLOOKUP($B175,Показатели!$E:$W,7,FALSE)),"")</f>
        <v>105974000000</v>
      </c>
      <c r="K175">
        <f>IFERROR(IF(VLOOKUP($B175,Показатели!$E:$W,8,FALSE)=0,"",VLOOKUP($B175,Показатели!$E:$W,8,FALSE)),"")</f>
        <v>68822000000</v>
      </c>
      <c r="L175" t="str">
        <f>IFERROR(IF(VLOOKUP($B175,Показатели!$E:$W,9,FALSE)=0,"",VLOOKUP($B175,Показатели!$E:$W,9,FALSE)),"")</f>
        <v/>
      </c>
      <c r="M175">
        <f>IFERROR(IF(VLOOKUP($B175,Показатели!$E:$W,10,FALSE)=0,"",VLOOKUP($B175,Показатели!$E:$W,10,FALSE)),"")</f>
        <v>353838000000</v>
      </c>
      <c r="N175">
        <f>IFERROR(IF(VLOOKUP($B175,Показатели!$E:$W,11,FALSE)=0,"",VLOOKUP($B175,Показатели!$E:$W,11,FALSE)),"")</f>
        <v>556189000000</v>
      </c>
      <c r="O175">
        <f>IFERROR(IF(VLOOKUP($B175,Показатели!$E:$W,12,FALSE)=0,"",VLOOKUP($B175,Показатели!$E:$W,12,FALSE)),"")</f>
        <v>-31738000000</v>
      </c>
      <c r="P175">
        <f>IFERROR(IF(VLOOKUP($B175,Показатели!$E:$W,13,FALSE)=0,"",VLOOKUP($B175,Показатели!$E:$W,13,FALSE)),"")</f>
        <v>-24273000000</v>
      </c>
      <c r="Q175">
        <f>IFERROR(IF(VLOOKUP($B175,Показатели!$E:$W,14,FALSE)=0,"",VLOOKUP($B175,Показатели!$E:$W,14,FALSE)),"")</f>
        <v>-22355000000</v>
      </c>
      <c r="R175" t="str">
        <f>IFERROR(IF(VLOOKUP($B175,Показатели!$E:$W,15,FALSE)=0,"",VLOOKUP($B175,Показатели!$E:$W,15,FALSE)),"")</f>
        <v/>
      </c>
      <c r="S175">
        <f>IFERROR(IF(VLOOKUP($B175,Показатели!$E:$W,16,FALSE)=0,"",VLOOKUP($B175,Показатели!$E:$W,16,FALSE)),"")</f>
        <v>26493000000</v>
      </c>
      <c r="T175" t="str">
        <f>IFERROR(IF(VLOOKUP($B175,Показатели!$E:$W,17,FALSE)=0,"",VLOOKUP($B175,Показатели!$E:$W,17,FALSE)),"")</f>
        <v/>
      </c>
      <c r="U175">
        <f>IFERROR(IF(VLOOKUP($B175,Показатели!$E:$W,18,FALSE)=0,"",VLOOKUP($B175,Показатели!$E:$W,18,FALSE)),"")</f>
        <v>536244000000</v>
      </c>
      <c r="V175">
        <f>IFERROR(IF(VLOOKUP($B175,Показатели!$E:$W,19,FALSE)=0,"",VLOOKUP($B175,Показатели!$E:$W,19,FALSE)),"")</f>
        <v>531916000000</v>
      </c>
    </row>
    <row r="176" spans="1:22" x14ac:dyDescent="0.2">
      <c r="A176" s="7" t="s">
        <v>2198</v>
      </c>
      <c r="B176" t="str">
        <f t="shared" si="2"/>
        <v>IRAO IV кв. 2011</v>
      </c>
      <c r="C176">
        <v>2011</v>
      </c>
      <c r="D176">
        <f>SUMIFS(Дивиденды!$C:$C,Дивиденды!$A:$A,A176,Дивиденды!$I:$I,C176)</f>
        <v>0</v>
      </c>
      <c r="E176">
        <f>IFERROR(IF(VLOOKUP($B176,Показатели!$E:$W,2,FALSE)=0,"",VLOOKUP($B176,Показатели!$E:$W,2,FALSE)),"")</f>
        <v>43518000000</v>
      </c>
      <c r="F176">
        <f>IFERROR(IF(VLOOKUP($B176,Показатели!$E:$W,3,FALSE)=0,"",VLOOKUP($B176,Показатели!$E:$W,3,FALSE)),"")</f>
        <v>203825000000</v>
      </c>
      <c r="G176">
        <f>IFERROR(IF(VLOOKUP($B176,Показатели!$E:$W,4,FALSE)=0,"",VLOOKUP($B176,Показатели!$E:$W,4,FALSE)),"")</f>
        <v>227525000000</v>
      </c>
      <c r="H176" t="str">
        <f>IFERROR(IF(VLOOKUP($B176,Показатели!$E:$W,5,FALSE)=0,"",VLOOKUP($B176,Показатели!$E:$W,5,FALSE)),"")</f>
        <v/>
      </c>
      <c r="I176">
        <f>IFERROR(IF(VLOOKUP($B176,Показатели!$E:$W,6,FALSE)=0,"",VLOOKUP($B176,Показатели!$E:$W,6,FALSE)),"")</f>
        <v>531916000000</v>
      </c>
      <c r="J176">
        <f>IFERROR(IF(VLOOKUP($B176,Показатели!$E:$W,7,FALSE)=0,"",VLOOKUP($B176,Показатели!$E:$W,7,FALSE)),"")</f>
        <v>65459000000</v>
      </c>
      <c r="K176">
        <f>IFERROR(IF(VLOOKUP($B176,Показатели!$E:$W,8,FALSE)=0,"",VLOOKUP($B176,Показатели!$E:$W,8,FALSE)),"")</f>
        <v>75800000000</v>
      </c>
      <c r="L176" t="str">
        <f>IFERROR(IF(VLOOKUP($B176,Показатели!$E:$W,9,FALSE)=0,"",VLOOKUP($B176,Показатели!$E:$W,9,FALSE)),"")</f>
        <v/>
      </c>
      <c r="M176">
        <f>IFERROR(IF(VLOOKUP($B176,Показатели!$E:$W,10,FALSE)=0,"",VLOOKUP($B176,Показатели!$E:$W,10,FALSE)),"")</f>
        <v>390657000000</v>
      </c>
      <c r="N176">
        <f>IFERROR(IF(VLOOKUP($B176,Показатели!$E:$W,11,FALSE)=0,"",VLOOKUP($B176,Показатели!$E:$W,11,FALSE)),"")</f>
        <v>536244000000</v>
      </c>
      <c r="O176">
        <f>IFERROR(IF(VLOOKUP($B176,Показатели!$E:$W,12,FALSE)=0,"",VLOOKUP($B176,Показатели!$E:$W,12,FALSE)),"")</f>
        <v>-4483000000</v>
      </c>
      <c r="P176">
        <f>IFERROR(IF(VLOOKUP($B176,Показатели!$E:$W,13,FALSE)=0,"",VLOOKUP($B176,Показатели!$E:$W,13,FALSE)),"")</f>
        <v>51824000000</v>
      </c>
      <c r="Q176">
        <f>IFERROR(IF(VLOOKUP($B176,Показатели!$E:$W,14,FALSE)=0,"",VLOOKUP($B176,Показатели!$E:$W,14,FALSE)),"")</f>
        <v>41457000000</v>
      </c>
      <c r="R176" t="str">
        <f>IFERROR(IF(VLOOKUP($B176,Показатели!$E:$W,15,FALSE)=0,"",VLOOKUP($B176,Показатели!$E:$W,15,FALSE)),"")</f>
        <v/>
      </c>
      <c r="S176">
        <f>IFERROR(IF(VLOOKUP($B176,Показатели!$E:$W,16,FALSE)=0,"",VLOOKUP($B176,Показатели!$E:$W,16,FALSE)),"")</f>
        <v>41657000000</v>
      </c>
      <c r="T176" t="str">
        <f>IFERROR(IF(VLOOKUP($B176,Показатели!$E:$W,17,FALSE)=0,"",VLOOKUP($B176,Показатели!$E:$W,17,FALSE)),"")</f>
        <v/>
      </c>
      <c r="U176" t="str">
        <f>IFERROR(IF(VLOOKUP($B176,Показатели!$E:$W,18,FALSE)=0,"",VLOOKUP($B176,Показатели!$E:$W,18,FALSE)),"")</f>
        <v/>
      </c>
      <c r="V176" t="str">
        <f>IFERROR(IF(VLOOKUP($B176,Показатели!$E:$W,19,FALSE)=0,"",VLOOKUP($B176,Показатели!$E:$W,19,FALSE)),"")</f>
        <v/>
      </c>
    </row>
    <row r="177" spans="1:22" x14ac:dyDescent="0.2">
      <c r="A177" s="7" t="s">
        <v>2198</v>
      </c>
      <c r="B177" t="str">
        <f t="shared" si="2"/>
        <v>IRAO IV кв. 2010</v>
      </c>
      <c r="C177">
        <v>2010</v>
      </c>
      <c r="D177">
        <f>SUMIFS(Дивиденды!$C:$C,Дивиденды!$A:$A,A177,Дивиденды!$I:$I,C177)</f>
        <v>1.5E-5</v>
      </c>
      <c r="E177" t="str">
        <f>IFERROR(IF(VLOOKUP($B177,Показатели!$E:$W,2,FALSE)=0,"",VLOOKUP($B177,Показатели!$E:$W,2,FALSE)),"")</f>
        <v/>
      </c>
      <c r="F177" t="str">
        <f>IFERROR(IF(VLOOKUP($B177,Показатели!$E:$W,3,FALSE)=0,"",VLOOKUP($B177,Показатели!$E:$W,3,FALSE)),"")</f>
        <v/>
      </c>
      <c r="G177" t="str">
        <f>IFERROR(IF(VLOOKUP($B177,Показатели!$E:$W,4,FALSE)=0,"",VLOOKUP($B177,Показатели!$E:$W,4,FALSE)),"")</f>
        <v/>
      </c>
      <c r="H177" t="str">
        <f>IFERROR(IF(VLOOKUP($B177,Показатели!$E:$W,5,FALSE)=0,"",VLOOKUP($B177,Показатели!$E:$W,5,FALSE)),"")</f>
        <v/>
      </c>
      <c r="I177" t="str">
        <f>IFERROR(IF(VLOOKUP($B177,Показатели!$E:$W,6,FALSE)=0,"",VLOOKUP($B177,Показатели!$E:$W,6,FALSE)),"")</f>
        <v/>
      </c>
      <c r="J177" t="str">
        <f>IFERROR(IF(VLOOKUP($B177,Показатели!$E:$W,7,FALSE)=0,"",VLOOKUP($B177,Показатели!$E:$W,7,FALSE)),"")</f>
        <v/>
      </c>
      <c r="K177" t="str">
        <f>IFERROR(IF(VLOOKUP($B177,Показатели!$E:$W,8,FALSE)=0,"",VLOOKUP($B177,Показатели!$E:$W,8,FALSE)),"")</f>
        <v/>
      </c>
      <c r="L177" t="str">
        <f>IFERROR(IF(VLOOKUP($B177,Показатели!$E:$W,9,FALSE)=0,"",VLOOKUP($B177,Показатели!$E:$W,9,FALSE)),"")</f>
        <v/>
      </c>
      <c r="M177" t="str">
        <f>IFERROR(IF(VLOOKUP($B177,Показатели!$E:$W,10,FALSE)=0,"",VLOOKUP($B177,Показатели!$E:$W,10,FALSE)),"")</f>
        <v/>
      </c>
      <c r="N177" t="str">
        <f>IFERROR(IF(VLOOKUP($B177,Показатели!$E:$W,11,FALSE)=0,"",VLOOKUP($B177,Показатели!$E:$W,11,FALSE)),"")</f>
        <v/>
      </c>
      <c r="O177" t="str">
        <f>IFERROR(IF(VLOOKUP($B177,Показатели!$E:$W,12,FALSE)=0,"",VLOOKUP($B177,Показатели!$E:$W,12,FALSE)),"")</f>
        <v/>
      </c>
      <c r="P177" t="str">
        <f>IFERROR(IF(VLOOKUP($B177,Показатели!$E:$W,13,FALSE)=0,"",VLOOKUP($B177,Показатели!$E:$W,13,FALSE)),"")</f>
        <v/>
      </c>
      <c r="Q177" t="str">
        <f>IFERROR(IF(VLOOKUP($B177,Показатели!$E:$W,14,FALSE)=0,"",VLOOKUP($B177,Показатели!$E:$W,14,FALSE)),"")</f>
        <v/>
      </c>
      <c r="R177" t="str">
        <f>IFERROR(IF(VLOOKUP($B177,Показатели!$E:$W,15,FALSE)=0,"",VLOOKUP($B177,Показатели!$E:$W,15,FALSE)),"")</f>
        <v/>
      </c>
      <c r="S177" t="str">
        <f>IFERROR(IF(VLOOKUP($B177,Показатели!$E:$W,16,FALSE)=0,"",VLOOKUP($B177,Показатели!$E:$W,16,FALSE)),"")</f>
        <v/>
      </c>
      <c r="T177" t="str">
        <f>IFERROR(IF(VLOOKUP($B177,Показатели!$E:$W,17,FALSE)=0,"",VLOOKUP($B177,Показатели!$E:$W,17,FALSE)),"")</f>
        <v/>
      </c>
      <c r="U177" t="str">
        <f>IFERROR(IF(VLOOKUP($B177,Показатели!$E:$W,18,FALSE)=0,"",VLOOKUP($B177,Показатели!$E:$W,18,FALSE)),"")</f>
        <v/>
      </c>
      <c r="V177" t="str">
        <f>IFERROR(IF(VLOOKUP($B177,Показатели!$E:$W,19,FALSE)=0,"",VLOOKUP($B177,Показатели!$E:$W,19,FALSE)),"")</f>
        <v/>
      </c>
    </row>
    <row r="178" spans="1:22" x14ac:dyDescent="0.2">
      <c r="A178" s="7" t="s">
        <v>2200</v>
      </c>
      <c r="B178" t="str">
        <f t="shared" si="2"/>
        <v>MRKC IV кв. 2025</v>
      </c>
      <c r="C178">
        <v>2025</v>
      </c>
      <c r="D178">
        <f>SUMIFS(Дивиденды!$C:$C,Дивиденды!$A:$A,A178,Дивиденды!$I:$I,C178)</f>
        <v>0</v>
      </c>
      <c r="E178">
        <f>IFERROR(IF(VLOOKUP($B178,Показатели!$E:$W,2,FALSE)=0,"",VLOOKUP($B178,Показатели!$E:$W,2,FALSE)),"")</f>
        <v>7672356000</v>
      </c>
      <c r="F178">
        <f>IFERROR(IF(VLOOKUP($B178,Показатели!$E:$W,3,FALSE)=0,"",VLOOKUP($B178,Показатели!$E:$W,3,FALSE)),"")</f>
        <v>29323183000</v>
      </c>
      <c r="G178">
        <f>IFERROR(IF(VLOOKUP($B178,Показатели!$E:$W,4,FALSE)=0,"",VLOOKUP($B178,Показатели!$E:$W,4,FALSE)),"")</f>
        <v>132823020000</v>
      </c>
      <c r="H178">
        <f>IFERROR(IF(VLOOKUP($B178,Показатели!$E:$W,5,FALSE)=0,"",VLOOKUP($B178,Показатели!$E:$W,5,FALSE)),"")</f>
        <v>3052632000</v>
      </c>
      <c r="I178">
        <f>IFERROR(IF(VLOOKUP($B178,Показатели!$E:$W,6,FALSE)=0,"",VLOOKUP($B178,Показатели!$E:$W,6,FALSE)),"")</f>
        <v>173999417000</v>
      </c>
      <c r="J178">
        <f>IFERROR(IF(VLOOKUP($B178,Показатели!$E:$W,7,FALSE)=0,"",VLOOKUP($B178,Показатели!$E:$W,7,FALSE)),"")</f>
        <v>56001000000</v>
      </c>
      <c r="K178">
        <f>IFERROR(IF(VLOOKUP($B178,Показатели!$E:$W,8,FALSE)=0,"",VLOOKUP($B178,Показатели!$E:$W,8,FALSE)),"")</f>
        <v>44760455000</v>
      </c>
      <c r="L178">
        <f>IFERROR(IF(VLOOKUP($B178,Показатели!$E:$W,9,FALSE)=0,"",VLOOKUP($B178,Показатели!$E:$W,9,FALSE)),"")</f>
        <v>69218349000</v>
      </c>
      <c r="M178">
        <f>IFERROR(IF(VLOOKUP($B178,Показатели!$E:$W,10,FALSE)=0,"",VLOOKUP($B178,Показатели!$E:$W,10,FALSE)),"")</f>
        <v>73237962000</v>
      </c>
      <c r="N178">
        <f>IFERROR(IF(VLOOKUP($B178,Показатели!$E:$W,11,FALSE)=0,"",VLOOKUP($B178,Показатели!$E:$W,11,FALSE)),"")</f>
        <v>152956712000</v>
      </c>
      <c r="O178">
        <f>IFERROR(IF(VLOOKUP($B178,Показатели!$E:$W,12,FALSE)=0,"",VLOOKUP($B178,Показатели!$E:$W,12,FALSE)),"")</f>
        <v>22808866000</v>
      </c>
      <c r="P178">
        <f>IFERROR(IF(VLOOKUP($B178,Показатели!$E:$W,13,FALSE)=0,"",VLOOKUP($B178,Показатели!$E:$W,13,FALSE)),"")</f>
        <v>16642095000</v>
      </c>
      <c r="Q178">
        <f>IFERROR(IF(VLOOKUP($B178,Показатели!$E:$W,14,FALSE)=0,"",VLOOKUP($B178,Показатели!$E:$W,14,FALSE)),"")</f>
        <v>11602389000</v>
      </c>
      <c r="R178">
        <f>IFERROR(IF(VLOOKUP($B178,Показатели!$E:$W,15,FALSE)=0,"",VLOOKUP($B178,Показатели!$E:$W,15,FALSE)),"")</f>
        <v>13385308000</v>
      </c>
      <c r="S178">
        <f>IFERROR(IF(VLOOKUP($B178,Показатели!$E:$W,16,FALSE)=0,"",VLOOKUP($B178,Показатели!$E:$W,16,FALSE)),"")</f>
        <v>43342334000</v>
      </c>
      <c r="T178">
        <f>IFERROR(IF(VLOOKUP($B178,Показатели!$E:$W,17,FALSE)=0,"",VLOOKUP($B178,Показатели!$E:$W,17,FALSE)),"")</f>
        <v>-26227866000</v>
      </c>
      <c r="U178">
        <f>IFERROR(IF(VLOOKUP($B178,Показатели!$E:$W,18,FALSE)=0,"",VLOOKUP($B178,Показатели!$E:$W,18,FALSE)),"")</f>
        <v>138151147000</v>
      </c>
      <c r="V178">
        <f>IFERROR(IF(VLOOKUP($B178,Показатели!$E:$W,19,FALSE)=0,"",VLOOKUP($B178,Показатели!$E:$W,19,FALSE)),"")</f>
        <v>158878431000</v>
      </c>
    </row>
    <row r="179" spans="1:22" x14ac:dyDescent="0.2">
      <c r="A179" s="7" t="s">
        <v>2200</v>
      </c>
      <c r="B179" t="str">
        <f t="shared" si="2"/>
        <v>MRKC IV кв. 2024</v>
      </c>
      <c r="C179">
        <v>2024</v>
      </c>
      <c r="D179">
        <f>SUMIFS(Дивиденды!$C:$C,Дивиденды!$A:$A,A179,Дивиденды!$I:$I,C179)</f>
        <v>6.7599999999999993E-2</v>
      </c>
      <c r="E179">
        <f>IFERROR(IF(VLOOKUP($B179,Показатели!$E:$W,2,FALSE)=0,"",VLOOKUP($B179,Показатели!$E:$W,2,FALSE)),"")</f>
        <v>5088988000</v>
      </c>
      <c r="F179">
        <f>IFERROR(IF(VLOOKUP($B179,Показатели!$E:$W,3,FALSE)=0,"",VLOOKUP($B179,Показатели!$E:$W,3,FALSE)),"")</f>
        <v>24277063000</v>
      </c>
      <c r="G179">
        <f>IFERROR(IF(VLOOKUP($B179,Показатели!$E:$W,4,FALSE)=0,"",VLOOKUP($B179,Показатели!$E:$W,4,FALSE)),"")</f>
        <v>121769257000</v>
      </c>
      <c r="H179">
        <f>IFERROR(IF(VLOOKUP($B179,Показатели!$E:$W,5,FALSE)=0,"",VLOOKUP($B179,Показатели!$E:$W,5,FALSE)),"")</f>
        <v>2623924000</v>
      </c>
      <c r="I179">
        <f>IFERROR(IF(VLOOKUP($B179,Показатели!$E:$W,6,FALSE)=0,"",VLOOKUP($B179,Показатели!$E:$W,6,FALSE)),"")</f>
        <v>158878431000</v>
      </c>
      <c r="J179">
        <f>IFERROR(IF(VLOOKUP($B179,Показатели!$E:$W,7,FALSE)=0,"",VLOOKUP($B179,Показатели!$E:$W,7,FALSE)),"")</f>
        <v>43481486000</v>
      </c>
      <c r="K179">
        <f>IFERROR(IF(VLOOKUP($B179,Показатели!$E:$W,8,FALSE)=0,"",VLOOKUP($B179,Показатели!$E:$W,8,FALSE)),"")</f>
        <v>50578810000</v>
      </c>
      <c r="L179">
        <f>IFERROR(IF(VLOOKUP($B179,Показатели!$E:$W,9,FALSE)=0,"",VLOOKUP($B179,Показатели!$E:$W,9,FALSE)),"")</f>
        <v>60439076000</v>
      </c>
      <c r="M179">
        <f>IFERROR(IF(VLOOKUP($B179,Показатели!$E:$W,10,FALSE)=0,"",VLOOKUP($B179,Показатели!$E:$W,10,FALSE)),"")</f>
        <v>64818135000</v>
      </c>
      <c r="N179">
        <f>IFERROR(IF(VLOOKUP($B179,Показатели!$E:$W,11,FALSE)=0,"",VLOOKUP($B179,Показатели!$E:$W,11,FALSE)),"")</f>
        <v>138151147000</v>
      </c>
      <c r="O179">
        <f>IFERROR(IF(VLOOKUP($B179,Показатели!$E:$W,12,FALSE)=0,"",VLOOKUP($B179,Показатели!$E:$W,12,FALSE)),"")</f>
        <v>17606017000</v>
      </c>
      <c r="P179">
        <f>IFERROR(IF(VLOOKUP($B179,Показатели!$E:$W,13,FALSE)=0,"",VLOOKUP($B179,Показатели!$E:$W,13,FALSE)),"")</f>
        <v>12361310000</v>
      </c>
      <c r="Q179">
        <f>IFERROR(IF(VLOOKUP($B179,Показатели!$E:$W,14,FALSE)=0,"",VLOOKUP($B179,Показатели!$E:$W,14,FALSE)),"")</f>
        <v>6560627000</v>
      </c>
      <c r="R179">
        <f>IFERROR(IF(VLOOKUP($B179,Показатели!$E:$W,15,FALSE)=0,"",VLOOKUP($B179,Показатели!$E:$W,15,FALSE)),"")</f>
        <v>12615166000</v>
      </c>
      <c r="S179">
        <f>IFERROR(IF(VLOOKUP($B179,Показатели!$E:$W,16,FALSE)=0,"",VLOOKUP($B179,Показатели!$E:$W,16,FALSE)),"")</f>
        <v>35333249000</v>
      </c>
      <c r="T179">
        <f>IFERROR(IF(VLOOKUP($B179,Показатели!$E:$W,17,FALSE)=0,"",VLOOKUP($B179,Показатели!$E:$W,17,FALSE)),"")</f>
        <v>-24290056000</v>
      </c>
      <c r="U179">
        <f>IFERROR(IF(VLOOKUP($B179,Показатели!$E:$W,18,FALSE)=0,"",VLOOKUP($B179,Показатели!$E:$W,18,FALSE)),"")</f>
        <v>128454108000</v>
      </c>
      <c r="V179">
        <f>IFERROR(IF(VLOOKUP($B179,Показатели!$E:$W,19,FALSE)=0,"",VLOOKUP($B179,Показатели!$E:$W,19,FALSE)),"")</f>
        <v>148754288000</v>
      </c>
    </row>
    <row r="180" spans="1:22" x14ac:dyDescent="0.2">
      <c r="A180" s="7" t="s">
        <v>2200</v>
      </c>
      <c r="B180" t="str">
        <f t="shared" si="2"/>
        <v>MRKC IV кв. 2023</v>
      </c>
      <c r="C180">
        <v>2023</v>
      </c>
      <c r="D180">
        <f>SUMIFS(Дивиденды!$C:$C,Дивиденды!$A:$A,A180,Дивиденды!$I:$I,C180)</f>
        <v>6.6199999999999995E-2</v>
      </c>
      <c r="E180">
        <f>IFERROR(IF(VLOOKUP($B180,Показатели!$E:$W,2,FALSE)=0,"",VLOOKUP($B180,Показатели!$E:$W,2,FALSE)),"")</f>
        <v>7809829000</v>
      </c>
      <c r="F180">
        <f>IFERROR(IF(VLOOKUP($B180,Показатели!$E:$W,3,FALSE)=0,"",VLOOKUP($B180,Показатели!$E:$W,3,FALSE)),"")</f>
        <v>26545287000</v>
      </c>
      <c r="G180">
        <f>IFERROR(IF(VLOOKUP($B180,Показатели!$E:$W,4,FALSE)=0,"",VLOOKUP($B180,Показатели!$E:$W,4,FALSE)),"")</f>
        <v>108901174000</v>
      </c>
      <c r="H180">
        <f>IFERROR(IF(VLOOKUP($B180,Показатели!$E:$W,5,FALSE)=0,"",VLOOKUP($B180,Показатели!$E:$W,5,FALSE)),"")</f>
        <v>3253483000</v>
      </c>
      <c r="I180">
        <f>IFERROR(IF(VLOOKUP($B180,Показатели!$E:$W,6,FALSE)=0,"",VLOOKUP($B180,Показатели!$E:$W,6,FALSE)),"")</f>
        <v>148754288000</v>
      </c>
      <c r="J180">
        <f>IFERROR(IF(VLOOKUP($B180,Показатели!$E:$W,7,FALSE)=0,"",VLOOKUP($B180,Показатели!$E:$W,7,FALSE)),"")</f>
        <v>42808736000</v>
      </c>
      <c r="K180">
        <f>IFERROR(IF(VLOOKUP($B180,Показатели!$E:$W,8,FALSE)=0,"",VLOOKUP($B180,Показатели!$E:$W,8,FALSE)),"")</f>
        <v>45301072000</v>
      </c>
      <c r="L180">
        <f>IFERROR(IF(VLOOKUP($B180,Показатели!$E:$W,9,FALSE)=0,"",VLOOKUP($B180,Показатели!$E:$W,9,FALSE)),"")</f>
        <v>56308288000</v>
      </c>
      <c r="M180">
        <f>IFERROR(IF(VLOOKUP($B180,Показатели!$E:$W,10,FALSE)=0,"",VLOOKUP($B180,Показатели!$E:$W,10,FALSE)),"")</f>
        <v>60644480000</v>
      </c>
      <c r="N180">
        <f>IFERROR(IF(VLOOKUP($B180,Показатели!$E:$W,11,FALSE)=0,"",VLOOKUP($B180,Показатели!$E:$W,11,FALSE)),"")</f>
        <v>128454108000</v>
      </c>
      <c r="O180">
        <f>IFERROR(IF(VLOOKUP($B180,Показатели!$E:$W,12,FALSE)=0,"",VLOOKUP($B180,Показатели!$E:$W,12,FALSE)),"")</f>
        <v>13754831000</v>
      </c>
      <c r="P180">
        <f>IFERROR(IF(VLOOKUP($B180,Показатели!$E:$W,13,FALSE)=0,"",VLOOKUP($B180,Показатели!$E:$W,13,FALSE)),"")</f>
        <v>11025994000</v>
      </c>
      <c r="Q180">
        <f>IFERROR(IF(VLOOKUP($B180,Показатели!$E:$W,14,FALSE)=0,"",VLOOKUP($B180,Показатели!$E:$W,14,FALSE)),"")</f>
        <v>7916238000</v>
      </c>
      <c r="R180">
        <f>IFERROR(IF(VLOOKUP($B180,Показатели!$E:$W,15,FALSE)=0,"",VLOOKUP($B180,Показатели!$E:$W,15,FALSE)),"")</f>
        <v>12345512000</v>
      </c>
      <c r="S180">
        <f>IFERROR(IF(VLOOKUP($B180,Показатели!$E:$W,16,FALSE)=0,"",VLOOKUP($B180,Показатели!$E:$W,16,FALSE)),"")</f>
        <v>29393781000</v>
      </c>
      <c r="T180">
        <f>IFERROR(IF(VLOOKUP($B180,Показатели!$E:$W,17,FALSE)=0,"",VLOOKUP($B180,Показатели!$E:$W,17,FALSE)),"")</f>
        <v>-20127416000</v>
      </c>
      <c r="U180">
        <f>IFERROR(IF(VLOOKUP($B180,Показатели!$E:$W,18,FALSE)=0,"",VLOOKUP($B180,Показатели!$E:$W,18,FALSE)),"")</f>
        <v>114588934000</v>
      </c>
      <c r="V180">
        <f>IFERROR(IF(VLOOKUP($B180,Показатели!$E:$W,19,FALSE)=0,"",VLOOKUP($B180,Показатели!$E:$W,19,FALSE)),"")</f>
        <v>139803807000</v>
      </c>
    </row>
    <row r="181" spans="1:22" x14ac:dyDescent="0.2">
      <c r="A181" s="7" t="s">
        <v>2200</v>
      </c>
      <c r="B181" t="str">
        <f t="shared" si="2"/>
        <v>MRKC IV кв. 2022</v>
      </c>
      <c r="C181">
        <v>2022</v>
      </c>
      <c r="D181">
        <f>SUMIFS(Дивиденды!$C:$C,Дивиденды!$A:$A,A181,Дивиденды!$I:$I,C181)</f>
        <v>4.5200000000000004E-2</v>
      </c>
      <c r="E181">
        <f>IFERROR(IF(VLOOKUP($B181,Показатели!$E:$W,2,FALSE)=0,"",VLOOKUP($B181,Показатели!$E:$W,2,FALSE)),"")</f>
        <v>6505927000</v>
      </c>
      <c r="F181">
        <f>IFERROR(IF(VLOOKUP($B181,Показатели!$E:$W,3,FALSE)=0,"",VLOOKUP($B181,Показатели!$E:$W,3,FALSE)),"")</f>
        <v>26258489000</v>
      </c>
      <c r="G181">
        <f>IFERROR(IF(VLOOKUP($B181,Показатели!$E:$W,4,FALSE)=0,"",VLOOKUP($B181,Показатели!$E:$W,4,FALSE)),"")</f>
        <v>102626844000</v>
      </c>
      <c r="H181">
        <f>IFERROR(IF(VLOOKUP($B181,Показатели!$E:$W,5,FALSE)=0,"",VLOOKUP($B181,Показатели!$E:$W,5,FALSE)),"")</f>
        <v>2451676000</v>
      </c>
      <c r="I181">
        <f>IFERROR(IF(VLOOKUP($B181,Показатели!$E:$W,6,FALSE)=0,"",VLOOKUP($B181,Показатели!$E:$W,6,FALSE)),"")</f>
        <v>139803807000</v>
      </c>
      <c r="J181">
        <f>IFERROR(IF(VLOOKUP($B181,Показатели!$E:$W,7,FALSE)=0,"",VLOOKUP($B181,Показатели!$E:$W,7,FALSE)),"")</f>
        <v>50244044000</v>
      </c>
      <c r="K181">
        <f>IFERROR(IF(VLOOKUP($B181,Показатели!$E:$W,8,FALSE)=0,"",VLOOKUP($B181,Показатели!$E:$W,8,FALSE)),"")</f>
        <v>36713194000</v>
      </c>
      <c r="L181">
        <f>IFERROR(IF(VLOOKUP($B181,Показатели!$E:$W,9,FALSE)=0,"",VLOOKUP($B181,Показатели!$E:$W,9,FALSE)),"")</f>
        <v>48899818000</v>
      </c>
      <c r="M181">
        <f>IFERROR(IF(VLOOKUP($B181,Показатели!$E:$W,10,FALSE)=0,"",VLOOKUP($B181,Показатели!$E:$W,10,FALSE)),"")</f>
        <v>52846569000</v>
      </c>
      <c r="N181">
        <f>IFERROR(IF(VLOOKUP($B181,Показатели!$E:$W,11,FALSE)=0,"",VLOOKUP($B181,Показатели!$E:$W,11,FALSE)),"")</f>
        <v>114588934000</v>
      </c>
      <c r="O181">
        <f>IFERROR(IF(VLOOKUP($B181,Показатели!$E:$W,12,FALSE)=0,"",VLOOKUP($B181,Показатели!$E:$W,12,FALSE)),"")</f>
        <v>11900122000</v>
      </c>
      <c r="P181">
        <f>IFERROR(IF(VLOOKUP($B181,Показатели!$E:$W,13,FALSE)=0,"",VLOOKUP($B181,Показатели!$E:$W,13,FALSE)),"")</f>
        <v>7608176000</v>
      </c>
      <c r="Q181">
        <f>IFERROR(IF(VLOOKUP($B181,Показатели!$E:$W,14,FALSE)=0,"",VLOOKUP($B181,Показатели!$E:$W,14,FALSE)),"")</f>
        <v>4905655000</v>
      </c>
      <c r="R181">
        <f>IFERROR(IF(VLOOKUP($B181,Показатели!$E:$W,15,FALSE)=0,"",VLOOKUP($B181,Показатели!$E:$W,15,FALSE)),"")</f>
        <v>12574553000</v>
      </c>
      <c r="S181">
        <f>IFERROR(IF(VLOOKUP($B181,Показатели!$E:$W,16,FALSE)=0,"",VLOOKUP($B181,Показатели!$E:$W,16,FALSE)),"")</f>
        <v>25978290000</v>
      </c>
      <c r="T181">
        <f>IFERROR(IF(VLOOKUP($B181,Показатели!$E:$W,17,FALSE)=0,"",VLOOKUP($B181,Показатели!$E:$W,17,FALSE)),"")</f>
        <v>-14485172000</v>
      </c>
      <c r="U181">
        <f>IFERROR(IF(VLOOKUP($B181,Показатели!$E:$W,18,FALSE)=0,"",VLOOKUP($B181,Показатели!$E:$W,18,FALSE)),"")</f>
        <v>108101278000</v>
      </c>
      <c r="V181">
        <f>IFERROR(IF(VLOOKUP($B181,Показатели!$E:$W,19,FALSE)=0,"",VLOOKUP($B181,Показатели!$E:$W,19,FALSE)),"")</f>
        <v>130349711000</v>
      </c>
    </row>
    <row r="182" spans="1:22" x14ac:dyDescent="0.2">
      <c r="A182" s="7" t="s">
        <v>2200</v>
      </c>
      <c r="B182" t="str">
        <f t="shared" si="2"/>
        <v>MRKC IV кв. 2021</v>
      </c>
      <c r="C182">
        <v>2021</v>
      </c>
      <c r="D182">
        <f>SUMIFS(Дивиденды!$C:$C,Дивиденды!$A:$A,A182,Дивиденды!$I:$I,C182)</f>
        <v>3.3799999999999997E-2</v>
      </c>
      <c r="E182">
        <f>IFERROR(IF(VLOOKUP($B182,Показатели!$E:$W,2,FALSE)=0,"",VLOOKUP($B182,Показатели!$E:$W,2,FALSE)),"")</f>
        <v>1881546000</v>
      </c>
      <c r="F182">
        <f>IFERROR(IF(VLOOKUP($B182,Показатели!$E:$W,3,FALSE)=0,"",VLOOKUP($B182,Показатели!$E:$W,3,FALSE)),"")</f>
        <v>18805562000</v>
      </c>
      <c r="G182">
        <f>IFERROR(IF(VLOOKUP($B182,Показатели!$E:$W,4,FALSE)=0,"",VLOOKUP($B182,Показатели!$E:$W,4,FALSE)),"")</f>
        <v>100269568000</v>
      </c>
      <c r="H182">
        <f>IFERROR(IF(VLOOKUP($B182,Показатели!$E:$W,5,FALSE)=0,"",VLOOKUP($B182,Показатели!$E:$W,5,FALSE)),"")</f>
        <v>2345248000</v>
      </c>
      <c r="I182">
        <f>IFERROR(IF(VLOOKUP($B182,Показатели!$E:$W,6,FALSE)=0,"",VLOOKUP($B182,Показатели!$E:$W,6,FALSE)),"")</f>
        <v>130349711000</v>
      </c>
      <c r="J182">
        <f>IFERROR(IF(VLOOKUP($B182,Показатели!$E:$W,7,FALSE)=0,"",VLOOKUP($B182,Показатели!$E:$W,7,FALSE)),"")</f>
        <v>30798511000</v>
      </c>
      <c r="K182">
        <f>IFERROR(IF(VLOOKUP($B182,Показатели!$E:$W,8,FALSE)=0,"",VLOOKUP($B182,Показатели!$E:$W,8,FALSE)),"")</f>
        <v>48329703000</v>
      </c>
      <c r="L182">
        <f>IFERROR(IF(VLOOKUP($B182,Показатели!$E:$W,9,FALSE)=0,"",VLOOKUP($B182,Показатели!$E:$W,9,FALSE)),"")</f>
        <v>46743299000</v>
      </c>
      <c r="M182">
        <f>IFERROR(IF(VLOOKUP($B182,Показатели!$E:$W,10,FALSE)=0,"",VLOOKUP($B182,Показатели!$E:$W,10,FALSE)),"")</f>
        <v>51221497000</v>
      </c>
      <c r="N182">
        <f>IFERROR(IF(VLOOKUP($B182,Показатели!$E:$W,11,FALSE)=0,"",VLOOKUP($B182,Показатели!$E:$W,11,FALSE)),"")</f>
        <v>108101278000</v>
      </c>
      <c r="O182">
        <f>IFERROR(IF(VLOOKUP($B182,Показатели!$E:$W,12,FALSE)=0,"",VLOOKUP($B182,Показатели!$E:$W,12,FALSE)),"")</f>
        <v>10126728000</v>
      </c>
      <c r="P182">
        <f>IFERROR(IF(VLOOKUP($B182,Показатели!$E:$W,13,FALSE)=0,"",VLOOKUP($B182,Показатели!$E:$W,13,FALSE)),"")</f>
        <v>6409194000</v>
      </c>
      <c r="Q182">
        <f>IFERROR(IF(VLOOKUP($B182,Показатели!$E:$W,14,FALSE)=0,"",VLOOKUP($B182,Показатели!$E:$W,14,FALSE)),"")</f>
        <v>4372618000</v>
      </c>
      <c r="R182">
        <f>IFERROR(IF(VLOOKUP($B182,Показатели!$E:$W,15,FALSE)=0,"",VLOOKUP($B182,Показатели!$E:$W,15,FALSE)),"")</f>
        <v>12499771000</v>
      </c>
      <c r="S182">
        <f>IFERROR(IF(VLOOKUP($B182,Показатели!$E:$W,16,FALSE)=0,"",VLOOKUP($B182,Показатели!$E:$W,16,FALSE)),"")</f>
        <v>22992998000</v>
      </c>
      <c r="T182">
        <f>IFERROR(IF(VLOOKUP($B182,Показатели!$E:$W,17,FALSE)=0,"",VLOOKUP($B182,Показатели!$E:$W,17,FALSE)),"")</f>
        <v>-16039836000</v>
      </c>
      <c r="U182">
        <f>IFERROR(IF(VLOOKUP($B182,Показатели!$E:$W,18,FALSE)=0,"",VLOOKUP($B182,Показатели!$E:$W,18,FALSE)),"")</f>
        <v>97638836000</v>
      </c>
      <c r="V182">
        <f>IFERROR(IF(VLOOKUP($B182,Показатели!$E:$W,19,FALSE)=0,"",VLOOKUP($B182,Показатели!$E:$W,19,FALSE)),"")</f>
        <v>121996294000</v>
      </c>
    </row>
    <row r="183" spans="1:22" x14ac:dyDescent="0.2">
      <c r="A183" s="7" t="s">
        <v>2200</v>
      </c>
      <c r="B183" t="str">
        <f t="shared" si="2"/>
        <v>MRKC IV кв. 2020</v>
      </c>
      <c r="C183">
        <v>2020</v>
      </c>
      <c r="D183">
        <f>SUMIFS(Дивиденды!$C:$C,Дивиденды!$A:$A,A183,Дивиденды!$I:$I,C183)</f>
        <v>3.3500000000000002E-2</v>
      </c>
      <c r="E183">
        <f>IFERROR(IF(VLOOKUP($B183,Показатели!$E:$W,2,FALSE)=0,"",VLOOKUP($B183,Показатели!$E:$W,2,FALSE)),"")</f>
        <v>1406311000</v>
      </c>
      <c r="F183">
        <f>IFERROR(IF(VLOOKUP($B183,Показатели!$E:$W,3,FALSE)=0,"",VLOOKUP($B183,Показатели!$E:$W,3,FALSE)),"")</f>
        <v>19795836000</v>
      </c>
      <c r="G183">
        <f>IFERROR(IF(VLOOKUP($B183,Показатели!$E:$W,4,FALSE)=0,"",VLOOKUP($B183,Показатели!$E:$W,4,FALSE)),"")</f>
        <v>96105195000</v>
      </c>
      <c r="H183">
        <f>IFERROR(IF(VLOOKUP($B183,Показатели!$E:$W,5,FALSE)=0,"",VLOOKUP($B183,Показатели!$E:$W,5,FALSE)),"")</f>
        <v>2331958000</v>
      </c>
      <c r="I183">
        <f>IFERROR(IF(VLOOKUP($B183,Показатели!$E:$W,6,FALSE)=0,"",VLOOKUP($B183,Показатели!$E:$W,6,FALSE)),"")</f>
        <v>121996294000</v>
      </c>
      <c r="J183">
        <f>IFERROR(IF(VLOOKUP($B183,Показатели!$E:$W,7,FALSE)=0,"",VLOOKUP($B183,Показатели!$E:$W,7,FALSE)),"")</f>
        <v>33049104000</v>
      </c>
      <c r="K183">
        <f>IFERROR(IF(VLOOKUP($B183,Показатели!$E:$W,8,FALSE)=0,"",VLOOKUP($B183,Показатели!$E:$W,8,FALSE)),"")</f>
        <v>41081247000</v>
      </c>
      <c r="L183">
        <f>IFERROR(IF(VLOOKUP($B183,Показатели!$E:$W,9,FALSE)=0,"",VLOOKUP($B183,Показатели!$E:$W,9,FALSE)),"")</f>
        <v>43900420000</v>
      </c>
      <c r="M183">
        <f>IFERROR(IF(VLOOKUP($B183,Показатели!$E:$W,10,FALSE)=0,"",VLOOKUP($B183,Показатели!$E:$W,10,FALSE)),"")</f>
        <v>47865943000</v>
      </c>
      <c r="N183">
        <f>IFERROR(IF(VLOOKUP($B183,Показатели!$E:$W,11,FALSE)=0,"",VLOOKUP($B183,Показатели!$E:$W,11,FALSE)),"")</f>
        <v>97638836000</v>
      </c>
      <c r="O183">
        <f>IFERROR(IF(VLOOKUP($B183,Показатели!$E:$W,12,FALSE)=0,"",VLOOKUP($B183,Показатели!$E:$W,12,FALSE)),"")</f>
        <v>5025091000</v>
      </c>
      <c r="P183">
        <f>IFERROR(IF(VLOOKUP($B183,Показатели!$E:$W,13,FALSE)=0,"",VLOOKUP($B183,Показатели!$E:$W,13,FALSE)),"")</f>
        <v>3313834000</v>
      </c>
      <c r="Q183">
        <f>IFERROR(IF(VLOOKUP($B183,Показатели!$E:$W,14,FALSE)=0,"",VLOOKUP($B183,Показатели!$E:$W,14,FALSE)),"")</f>
        <v>2156322000</v>
      </c>
      <c r="R183">
        <f>IFERROR(IF(VLOOKUP($B183,Показатели!$E:$W,15,FALSE)=0,"",VLOOKUP($B183,Показатели!$E:$W,15,FALSE)),"")</f>
        <v>11736288000</v>
      </c>
      <c r="S183">
        <f>IFERROR(IF(VLOOKUP($B183,Показатели!$E:$W,16,FALSE)=0,"",VLOOKUP($B183,Показатели!$E:$W,16,FALSE)),"")</f>
        <v>21983913000</v>
      </c>
      <c r="T183">
        <f>IFERROR(IF(VLOOKUP($B183,Показатели!$E:$W,17,FALSE)=0,"",VLOOKUP($B183,Показатели!$E:$W,17,FALSE)),"")</f>
        <v>-13641733000</v>
      </c>
      <c r="U183">
        <f>IFERROR(IF(VLOOKUP($B183,Показатели!$E:$W,18,FALSE)=0,"",VLOOKUP($B183,Показатели!$E:$W,18,FALSE)),"")</f>
        <v>94641562000</v>
      </c>
      <c r="V183">
        <f>IFERROR(IF(VLOOKUP($B183,Показатели!$E:$W,19,FALSE)=0,"",VLOOKUP($B183,Показатели!$E:$W,19,FALSE)),"")</f>
        <v>118396419000</v>
      </c>
    </row>
    <row r="184" spans="1:22" x14ac:dyDescent="0.2">
      <c r="A184" s="7" t="s">
        <v>2200</v>
      </c>
      <c r="B184" t="str">
        <f t="shared" si="2"/>
        <v>MRKC IV кв. 2019</v>
      </c>
      <c r="C184">
        <v>2019</v>
      </c>
      <c r="D184">
        <f>SUMIFS(Дивиденды!$C:$C,Дивиденды!$A:$A,A184,Дивиденды!$I:$I,C184)</f>
        <v>2.01E-2</v>
      </c>
      <c r="E184">
        <f>IFERROR(IF(VLOOKUP($B184,Показатели!$E:$W,2,FALSE)=0,"",VLOOKUP($B184,Показатели!$E:$W,2,FALSE)),"")</f>
        <v>1517108000</v>
      </c>
      <c r="F184">
        <f>IFERROR(IF(VLOOKUP($B184,Показатели!$E:$W,3,FALSE)=0,"",VLOOKUP($B184,Показатели!$E:$W,3,FALSE)),"")</f>
        <v>17945994000</v>
      </c>
      <c r="G184">
        <f>IFERROR(IF(VLOOKUP($B184,Показатели!$E:$W,4,FALSE)=0,"",VLOOKUP($B184,Показатели!$E:$W,4,FALSE)),"")</f>
        <v>94313194000</v>
      </c>
      <c r="H184">
        <f>IFERROR(IF(VLOOKUP($B184,Показатели!$E:$W,5,FALSE)=0,"",VLOOKUP($B184,Показатели!$E:$W,5,FALSE)),"")</f>
        <v>2476115000</v>
      </c>
      <c r="I184">
        <f>IFERROR(IF(VLOOKUP($B184,Показатели!$E:$W,6,FALSE)=0,"",VLOOKUP($B184,Показатели!$E:$W,6,FALSE)),"")</f>
        <v>118396419000</v>
      </c>
      <c r="J184">
        <f>IFERROR(IF(VLOOKUP($B184,Показатели!$E:$W,7,FALSE)=0,"",VLOOKUP($B184,Показатели!$E:$W,7,FALSE)),"")</f>
        <v>24620861000</v>
      </c>
      <c r="K184">
        <f>IFERROR(IF(VLOOKUP($B184,Показатели!$E:$W,8,FALSE)=0,"",VLOOKUP($B184,Показатели!$E:$W,8,FALSE)),"")</f>
        <v>47688402000</v>
      </c>
      <c r="L184">
        <f>IFERROR(IF(VLOOKUP($B184,Показатели!$E:$W,9,FALSE)=0,"",VLOOKUP($B184,Показатели!$E:$W,9,FALSE)),"")</f>
        <v>41944315000</v>
      </c>
      <c r="M184">
        <f>IFERROR(IF(VLOOKUP($B184,Показатели!$E:$W,10,FALSE)=0,"",VLOOKUP($B184,Показатели!$E:$W,10,FALSE)),"")</f>
        <v>46087156000</v>
      </c>
      <c r="N184">
        <f>IFERROR(IF(VLOOKUP($B184,Показатели!$E:$W,11,FALSE)=0,"",VLOOKUP($B184,Показатели!$E:$W,11,FALSE)),"")</f>
        <v>94641562000</v>
      </c>
      <c r="O184">
        <f>IFERROR(IF(VLOOKUP($B184,Показатели!$E:$W,12,FALSE)=0,"",VLOOKUP($B184,Показатели!$E:$W,12,FALSE)),"")</f>
        <v>8117518000</v>
      </c>
      <c r="P184">
        <f>IFERROR(IF(VLOOKUP($B184,Показатели!$E:$W,13,FALSE)=0,"",VLOOKUP($B184,Показатели!$E:$W,13,FALSE)),"")</f>
        <v>4661340000</v>
      </c>
      <c r="Q184">
        <f>IFERROR(IF(VLOOKUP($B184,Показатели!$E:$W,14,FALSE)=0,"",VLOOKUP($B184,Показатели!$E:$W,14,FALSE)),"")</f>
        <v>3153194000</v>
      </c>
      <c r="R184">
        <f>IFERROR(IF(VLOOKUP($B184,Показатели!$E:$W,15,FALSE)=0,"",VLOOKUP($B184,Показатели!$E:$W,15,FALSE)),"")</f>
        <v>10848219000</v>
      </c>
      <c r="S184">
        <f>IFERROR(IF(VLOOKUP($B184,Показатели!$E:$W,16,FALSE)=0,"",VLOOKUP($B184,Показатели!$E:$W,16,FALSE)),"")</f>
        <v>16287495000</v>
      </c>
      <c r="T184">
        <f>IFERROR(IF(VLOOKUP($B184,Показатели!$E:$W,17,FALSE)=0,"",VLOOKUP($B184,Показатели!$E:$W,17,FALSE)),"")</f>
        <v>-11997997000</v>
      </c>
      <c r="U184">
        <f>IFERROR(IF(VLOOKUP($B184,Показатели!$E:$W,18,FALSE)=0,"",VLOOKUP($B184,Показатели!$E:$W,18,FALSE)),"")</f>
        <v>93935259000</v>
      </c>
      <c r="V184">
        <f>IFERROR(IF(VLOOKUP($B184,Показатели!$E:$W,19,FALSE)=0,"",VLOOKUP($B184,Показатели!$E:$W,19,FALSE)),"")</f>
        <v>108125465000</v>
      </c>
    </row>
    <row r="185" spans="1:22" x14ac:dyDescent="0.2">
      <c r="A185" s="7" t="s">
        <v>2200</v>
      </c>
      <c r="B185" t="str">
        <f t="shared" si="2"/>
        <v>MRKC IV кв. 2018</v>
      </c>
      <c r="C185">
        <v>2018</v>
      </c>
      <c r="D185">
        <f>SUMIFS(Дивиденды!$C:$C,Дивиденды!$A:$A,A185,Дивиденды!$I:$I,C185)</f>
        <v>2.0799999999999999E-2</v>
      </c>
      <c r="E185">
        <f>IFERROR(IF(VLOOKUP($B185,Показатели!$E:$W,2,FALSE)=0,"",VLOOKUP($B185,Показатели!$E:$W,2,FALSE)),"")</f>
        <v>787053000</v>
      </c>
      <c r="F185">
        <f>IFERROR(IF(VLOOKUP($B185,Показатели!$E:$W,3,FALSE)=0,"",VLOOKUP($B185,Показатели!$E:$W,3,FALSE)),"")</f>
        <v>16154525000</v>
      </c>
      <c r="G185">
        <f>IFERROR(IF(VLOOKUP($B185,Показатели!$E:$W,4,FALSE)=0,"",VLOOKUP($B185,Показатели!$E:$W,4,FALSE)),"")</f>
        <v>87860303000</v>
      </c>
      <c r="H185">
        <f>IFERROR(IF(VLOOKUP($B185,Показатели!$E:$W,5,FALSE)=0,"",VLOOKUP($B185,Показатели!$E:$W,5,FALSE)),"")</f>
        <v>2784394000</v>
      </c>
      <c r="I185">
        <f>IFERROR(IF(VLOOKUP($B185,Показатели!$E:$W,6,FALSE)=0,"",VLOOKUP($B185,Показатели!$E:$W,6,FALSE)),"")</f>
        <v>108125465000</v>
      </c>
      <c r="J185">
        <f>IFERROR(IF(VLOOKUP($B185,Показатели!$E:$W,7,FALSE)=0,"",VLOOKUP($B185,Показатели!$E:$W,7,FALSE)),"")</f>
        <v>26396667000</v>
      </c>
      <c r="K185">
        <f>IFERROR(IF(VLOOKUP($B185,Показатели!$E:$W,8,FALSE)=0,"",VLOOKUP($B185,Показатели!$E:$W,8,FALSE)),"")</f>
        <v>36865824000</v>
      </c>
      <c r="L185">
        <f>IFERROR(IF(VLOOKUP($B185,Показатели!$E:$W,9,FALSE)=0,"",VLOOKUP($B185,Показатели!$E:$W,9,FALSE)),"")</f>
        <v>40580643000</v>
      </c>
      <c r="M185">
        <f>IFERROR(IF(VLOOKUP($B185,Показатели!$E:$W,10,FALSE)=0,"",VLOOKUP($B185,Показатели!$E:$W,10,FALSE)),"")</f>
        <v>44862974000</v>
      </c>
      <c r="N185">
        <f>IFERROR(IF(VLOOKUP($B185,Показатели!$E:$W,11,FALSE)=0,"",VLOOKUP($B185,Показатели!$E:$W,11,FALSE)),"")</f>
        <v>93935259000</v>
      </c>
      <c r="O185">
        <f>IFERROR(IF(VLOOKUP($B185,Показатели!$E:$W,12,FALSE)=0,"",VLOOKUP($B185,Показатели!$E:$W,12,FALSE)),"")</f>
        <v>7376054000</v>
      </c>
      <c r="P185">
        <f>IFERROR(IF(VLOOKUP($B185,Показатели!$E:$W,13,FALSE)=0,"",VLOOKUP($B185,Показатели!$E:$W,13,FALSE)),"")</f>
        <v>4095455000</v>
      </c>
      <c r="Q185">
        <f>IFERROR(IF(VLOOKUP($B185,Показатели!$E:$W,14,FALSE)=0,"",VLOOKUP($B185,Показатели!$E:$W,14,FALSE)),"")</f>
        <v>2995842000</v>
      </c>
      <c r="R185">
        <f>IFERROR(IF(VLOOKUP($B185,Показатели!$E:$W,15,FALSE)=0,"",VLOOKUP($B185,Показатели!$E:$W,15,FALSE)),"")</f>
        <v>9909297000</v>
      </c>
      <c r="S185">
        <f>IFERROR(IF(VLOOKUP($B185,Показатели!$E:$W,16,FALSE)=0,"",VLOOKUP($B185,Показатели!$E:$W,16,FALSE)),"")</f>
        <v>16764872000</v>
      </c>
      <c r="T185">
        <f>IFERROR(IF(VLOOKUP($B185,Показатели!$E:$W,17,FALSE)=0,"",VLOOKUP($B185,Показатели!$E:$W,17,FALSE)),"")</f>
        <v>-13098407000</v>
      </c>
      <c r="U185">
        <f>IFERROR(IF(VLOOKUP($B185,Показатели!$E:$W,18,FALSE)=0,"",VLOOKUP($B185,Показатели!$E:$W,18,FALSE)),"")</f>
        <v>91115571000</v>
      </c>
      <c r="V185">
        <f>IFERROR(IF(VLOOKUP($B185,Показатели!$E:$W,19,FALSE)=0,"",VLOOKUP($B185,Показатели!$E:$W,19,FALSE)),"")</f>
        <v>105078716000</v>
      </c>
    </row>
    <row r="186" spans="1:22" x14ac:dyDescent="0.2">
      <c r="A186" s="7" t="s">
        <v>2200</v>
      </c>
      <c r="B186" t="str">
        <f t="shared" si="2"/>
        <v>MRKC IV кв. 2017</v>
      </c>
      <c r="C186">
        <v>2017</v>
      </c>
      <c r="D186">
        <f>SUMIFS(Дивиденды!$C:$C,Дивиденды!$A:$A,A186,Дивиденды!$I:$I,C186)</f>
        <v>2.0799999999999999E-2</v>
      </c>
      <c r="E186">
        <f>IFERROR(IF(VLOOKUP($B186,Показатели!$E:$W,2,FALSE)=0,"",VLOOKUP($B186,Показатели!$E:$W,2,FALSE)),"")</f>
        <v>1362307000</v>
      </c>
      <c r="F186">
        <f>IFERROR(IF(VLOOKUP($B186,Показатели!$E:$W,3,FALSE)=0,"",VLOOKUP($B186,Показатели!$E:$W,3,FALSE)),"")</f>
        <v>15208075000</v>
      </c>
      <c r="G186">
        <f>IFERROR(IF(VLOOKUP($B186,Показатели!$E:$W,4,FALSE)=0,"",VLOOKUP($B186,Показатели!$E:$W,4,FALSE)),"")</f>
        <v>85721289000</v>
      </c>
      <c r="H186">
        <f>IFERROR(IF(VLOOKUP($B186,Показатели!$E:$W,5,FALSE)=0,"",VLOOKUP($B186,Показатели!$E:$W,5,FALSE)),"")</f>
        <v>2380170000</v>
      </c>
      <c r="I186">
        <f>IFERROR(IF(VLOOKUP($B186,Показатели!$E:$W,6,FALSE)=0,"",VLOOKUP($B186,Показатели!$E:$W,6,FALSE)),"")</f>
        <v>105078716000</v>
      </c>
      <c r="J186">
        <f>IFERROR(IF(VLOOKUP($B186,Показатели!$E:$W,7,FALSE)=0,"",VLOOKUP($B186,Показатели!$E:$W,7,FALSE)),"")</f>
        <v>18891416000</v>
      </c>
      <c r="K186">
        <f>IFERROR(IF(VLOOKUP($B186,Показатели!$E:$W,8,FALSE)=0,"",VLOOKUP($B186,Показатели!$E:$W,8,FALSE)),"")</f>
        <v>42024785000</v>
      </c>
      <c r="L186">
        <f>IFERROR(IF(VLOOKUP($B186,Показатели!$E:$W,9,FALSE)=0,"",VLOOKUP($B186,Показатели!$E:$W,9,FALSE)),"")</f>
        <v>40060231000</v>
      </c>
      <c r="M186">
        <f>IFERROR(IF(VLOOKUP($B186,Показатели!$E:$W,10,FALSE)=0,"",VLOOKUP($B186,Показатели!$E:$W,10,FALSE)),"")</f>
        <v>44162515000</v>
      </c>
      <c r="N186">
        <f>IFERROR(IF(VLOOKUP($B186,Показатели!$E:$W,11,FALSE)=0,"",VLOOKUP($B186,Показатели!$E:$W,11,FALSE)),"")</f>
        <v>91115571000</v>
      </c>
      <c r="O186">
        <f>IFERROR(IF(VLOOKUP($B186,Показатели!$E:$W,12,FALSE)=0,"",VLOOKUP($B186,Показатели!$E:$W,12,FALSE)),"")</f>
        <v>9145532000</v>
      </c>
      <c r="P186">
        <f>IFERROR(IF(VLOOKUP($B186,Показатели!$E:$W,13,FALSE)=0,"",VLOOKUP($B186,Показатели!$E:$W,13,FALSE)),"")</f>
        <v>5360570000</v>
      </c>
      <c r="Q186">
        <f>IFERROR(IF(VLOOKUP($B186,Показатели!$E:$W,14,FALSE)=0,"",VLOOKUP($B186,Показатели!$E:$W,14,FALSE)),"")</f>
        <v>3022797000</v>
      </c>
      <c r="R186">
        <f>IFERROR(IF(VLOOKUP($B186,Показатели!$E:$W,15,FALSE)=0,"",VLOOKUP($B186,Показатели!$E:$W,15,FALSE)),"")</f>
        <v>9634052000</v>
      </c>
      <c r="S186">
        <f>IFERROR(IF(VLOOKUP($B186,Показатели!$E:$W,16,FALSE)=0,"",VLOOKUP($B186,Показатели!$E:$W,16,FALSE)),"")</f>
        <v>19522281000</v>
      </c>
      <c r="T186">
        <f>IFERROR(IF(VLOOKUP($B186,Показатели!$E:$W,17,FALSE)=0,"",VLOOKUP($B186,Показатели!$E:$W,17,FALSE)),"")</f>
        <v>-12259626000</v>
      </c>
      <c r="U186">
        <f>IFERROR(IF(VLOOKUP($B186,Показатели!$E:$W,18,FALSE)=0,"",VLOOKUP($B186,Показатели!$E:$W,18,FALSE)),"")</f>
        <v>86294863000</v>
      </c>
      <c r="V186">
        <f>IFERROR(IF(VLOOKUP($B186,Показатели!$E:$W,19,FALSE)=0,"",VLOOKUP($B186,Показатели!$E:$W,19,FALSE)),"")</f>
        <v>107042166000</v>
      </c>
    </row>
    <row r="187" spans="1:22" x14ac:dyDescent="0.2">
      <c r="A187" s="7" t="s">
        <v>2200</v>
      </c>
      <c r="B187" t="str">
        <f t="shared" si="2"/>
        <v>MRKC IV кв. 2016</v>
      </c>
      <c r="C187">
        <v>2016</v>
      </c>
      <c r="D187">
        <f>SUMIFS(Дивиденды!$C:$C,Дивиденды!$A:$A,A187,Дивиденды!$I:$I,C187)</f>
        <v>4.4200000000000003E-2</v>
      </c>
      <c r="E187">
        <f>IFERROR(IF(VLOOKUP($B187,Показатели!$E:$W,2,FALSE)=0,"",VLOOKUP($B187,Показатели!$E:$W,2,FALSE)),"")</f>
        <v>2567305000</v>
      </c>
      <c r="F187">
        <f>IFERROR(IF(VLOOKUP($B187,Показатели!$E:$W,3,FALSE)=0,"",VLOOKUP($B187,Показатели!$E:$W,3,FALSE)),"")</f>
        <v>20026329000</v>
      </c>
      <c r="G187">
        <f>IFERROR(IF(VLOOKUP($B187,Показатели!$E:$W,4,FALSE)=0,"",VLOOKUP($B187,Показатели!$E:$W,4,FALSE)),"")</f>
        <v>83790818000</v>
      </c>
      <c r="H187" t="str">
        <f>IFERROR(IF(VLOOKUP($B187,Показатели!$E:$W,5,FALSE)=0,"",VLOOKUP($B187,Показатели!$E:$W,5,FALSE)),"")</f>
        <v/>
      </c>
      <c r="I187">
        <f>IFERROR(IF(VLOOKUP($B187,Показатели!$E:$W,6,FALSE)=0,"",VLOOKUP($B187,Показатели!$E:$W,6,FALSE)),"")</f>
        <v>107042166000</v>
      </c>
      <c r="J187">
        <f>IFERROR(IF(VLOOKUP($B187,Показатели!$E:$W,7,FALSE)=0,"",VLOOKUP($B187,Показатели!$E:$W,7,FALSE)),"")</f>
        <v>16846793000</v>
      </c>
      <c r="K187">
        <f>IFERROR(IF(VLOOKUP($B187,Показатели!$E:$W,8,FALSE)=0,"",VLOOKUP($B187,Показатели!$E:$W,8,FALSE)),"")</f>
        <v>46941643000</v>
      </c>
      <c r="L187">
        <f>IFERROR(IF(VLOOKUP($B187,Показатели!$E:$W,9,FALSE)=0,"",VLOOKUP($B187,Показатели!$E:$W,9,FALSE)),"")</f>
        <v>38947905000</v>
      </c>
      <c r="M187">
        <f>IFERROR(IF(VLOOKUP($B187,Показатели!$E:$W,10,FALSE)=0,"",VLOOKUP($B187,Показатели!$E:$W,10,FALSE)),"")</f>
        <v>43253730000</v>
      </c>
      <c r="N187">
        <f>IFERROR(IF(VLOOKUP($B187,Показатели!$E:$W,11,FALSE)=0,"",VLOOKUP($B187,Показатели!$E:$W,11,FALSE)),"")</f>
        <v>86294863000</v>
      </c>
      <c r="O187">
        <f>IFERROR(IF(VLOOKUP($B187,Показатели!$E:$W,12,FALSE)=0,"",VLOOKUP($B187,Показатели!$E:$W,12,FALSE)),"")</f>
        <v>9245116000</v>
      </c>
      <c r="P187">
        <f>IFERROR(IF(VLOOKUP($B187,Показатели!$E:$W,13,FALSE)=0,"",VLOOKUP($B187,Показатели!$E:$W,13,FALSE)),"")</f>
        <v>4748887000</v>
      </c>
      <c r="Q187">
        <f>IFERROR(IF(VLOOKUP($B187,Показатели!$E:$W,14,FALSE)=0,"",VLOOKUP($B187,Показатели!$E:$W,14,FALSE)),"")</f>
        <v>4762293000</v>
      </c>
      <c r="R187" t="str">
        <f>IFERROR(IF(VLOOKUP($B187,Показатели!$E:$W,15,FALSE)=0,"",VLOOKUP($B187,Показатели!$E:$W,15,FALSE)),"")</f>
        <v/>
      </c>
      <c r="S187">
        <f>IFERROR(IF(VLOOKUP($B187,Показатели!$E:$W,16,FALSE)=0,"",VLOOKUP($B187,Показатели!$E:$W,16,FALSE)),"")</f>
        <v>17900000000</v>
      </c>
      <c r="T187">
        <f>IFERROR(IF(VLOOKUP($B187,Показатели!$E:$W,17,FALSE)=0,"",VLOOKUP($B187,Показатели!$E:$W,17,FALSE)),"")</f>
        <v>13420343000</v>
      </c>
      <c r="U187">
        <f>IFERROR(IF(VLOOKUP($B187,Показатели!$E:$W,18,FALSE)=0,"",VLOOKUP($B187,Показатели!$E:$W,18,FALSE)),"")</f>
        <v>80830287000</v>
      </c>
      <c r="V187">
        <f>IFERROR(IF(VLOOKUP($B187,Показатели!$E:$W,19,FALSE)=0,"",VLOOKUP($B187,Показатели!$E:$W,19,FALSE)),"")</f>
        <v>100448970000</v>
      </c>
    </row>
    <row r="188" spans="1:22" x14ac:dyDescent="0.2">
      <c r="A188" s="7" t="s">
        <v>2200</v>
      </c>
      <c r="B188" t="str">
        <f t="shared" si="2"/>
        <v>MRKC IV кв. 2015</v>
      </c>
      <c r="C188">
        <v>2015</v>
      </c>
      <c r="D188">
        <f>SUMIFS(Дивиденды!$C:$C,Дивиденды!$A:$A,A188,Дивиденды!$I:$I,C188)</f>
        <v>1.0800000000000001E-2</v>
      </c>
      <c r="E188">
        <f>IFERROR(IF(VLOOKUP($B188,Показатели!$E:$W,2,FALSE)=0,"",VLOOKUP($B188,Показатели!$E:$W,2,FALSE)),"")</f>
        <v>123220000</v>
      </c>
      <c r="F188">
        <f>IFERROR(IF(VLOOKUP($B188,Показатели!$E:$W,3,FALSE)=0,"",VLOOKUP($B188,Показатели!$E:$W,3,FALSE)),"")</f>
        <v>20273536000</v>
      </c>
      <c r="G188">
        <f>IFERROR(IF(VLOOKUP($B188,Показатели!$E:$W,4,FALSE)=0,"",VLOOKUP($B188,Показатели!$E:$W,4,FALSE)),"")</f>
        <v>77639154000</v>
      </c>
      <c r="H188" t="str">
        <f>IFERROR(IF(VLOOKUP($B188,Показатели!$E:$W,5,FALSE)=0,"",VLOOKUP($B188,Показатели!$E:$W,5,FALSE)),"")</f>
        <v/>
      </c>
      <c r="I188">
        <f>IFERROR(IF(VLOOKUP($B188,Показатели!$E:$W,6,FALSE)=0,"",VLOOKUP($B188,Показатели!$E:$W,6,FALSE)),"")</f>
        <v>100448970000</v>
      </c>
      <c r="J188">
        <f>IFERROR(IF(VLOOKUP($B188,Показатели!$E:$W,7,FALSE)=0,"",VLOOKUP($B188,Показатели!$E:$W,7,FALSE)),"")</f>
        <v>13223887000</v>
      </c>
      <c r="K188">
        <f>IFERROR(IF(VLOOKUP($B188,Показатели!$E:$W,8,FALSE)=0,"",VLOOKUP($B188,Показатели!$E:$W,8,FALSE)),"")</f>
        <v>48338740000</v>
      </c>
      <c r="L188">
        <f>IFERROR(IF(VLOOKUP($B188,Показатели!$E:$W,9,FALSE)=0,"",VLOOKUP($B188,Показатели!$E:$W,9,FALSE)),"")</f>
        <v>34672186000</v>
      </c>
      <c r="M188">
        <f>IFERROR(IF(VLOOKUP($B188,Показатели!$E:$W,10,FALSE)=0,"",VLOOKUP($B188,Показатели!$E:$W,10,FALSE)),"")</f>
        <v>38886343000</v>
      </c>
      <c r="N188">
        <f>IFERROR(IF(VLOOKUP($B188,Показатели!$E:$W,11,FALSE)=0,"",VLOOKUP($B188,Показатели!$E:$W,11,FALSE)),"")</f>
        <v>80830287000</v>
      </c>
      <c r="O188">
        <f>IFERROR(IF(VLOOKUP($B188,Показатели!$E:$W,12,FALSE)=0,"",VLOOKUP($B188,Показатели!$E:$W,12,FALSE)),"")</f>
        <v>7074323000</v>
      </c>
      <c r="P188">
        <f>IFERROR(IF(VLOOKUP($B188,Показатели!$E:$W,13,FALSE)=0,"",VLOOKUP($B188,Показатели!$E:$W,13,FALSE)),"")</f>
        <v>2800767000</v>
      </c>
      <c r="Q188">
        <f>IFERROR(IF(VLOOKUP($B188,Показатели!$E:$W,14,FALSE)=0,"",VLOOKUP($B188,Показатели!$E:$W,14,FALSE)),"")</f>
        <v>880947000</v>
      </c>
      <c r="R188" t="str">
        <f>IFERROR(IF(VLOOKUP($B188,Показатели!$E:$W,15,FALSE)=0,"",VLOOKUP($B188,Показатели!$E:$W,15,FALSE)),"")</f>
        <v/>
      </c>
      <c r="S188">
        <f>IFERROR(IF(VLOOKUP($B188,Показатели!$E:$W,16,FALSE)=0,"",VLOOKUP($B188,Показатели!$E:$W,16,FALSE)),"")</f>
        <v>15200000000</v>
      </c>
      <c r="T188">
        <f>IFERROR(IF(VLOOKUP($B188,Показатели!$E:$W,17,FALSE)=0,"",VLOOKUP($B188,Показатели!$E:$W,17,FALSE)),"")</f>
        <v>12991287000</v>
      </c>
      <c r="U188">
        <f>IFERROR(IF(VLOOKUP($B188,Показатели!$E:$W,18,FALSE)=0,"",VLOOKUP($B188,Показатели!$E:$W,18,FALSE)),"")</f>
        <v>86991622000</v>
      </c>
      <c r="V188">
        <f>IFERROR(IF(VLOOKUP($B188,Показатели!$E:$W,19,FALSE)=0,"",VLOOKUP($B188,Показатели!$E:$W,19,FALSE)),"")</f>
        <v>93793994000</v>
      </c>
    </row>
    <row r="189" spans="1:22" x14ac:dyDescent="0.2">
      <c r="A189" s="7" t="s">
        <v>2200</v>
      </c>
      <c r="B189" t="str">
        <f t="shared" si="2"/>
        <v>MRKC IV кв. 2014</v>
      </c>
      <c r="C189">
        <v>2014</v>
      </c>
      <c r="D189">
        <f>SUMIFS(Дивиденды!$C:$C,Дивиденды!$A:$A,A189,Дивиденды!$I:$I,C189)</f>
        <v>1.9699999999999999E-2</v>
      </c>
      <c r="E189">
        <f>IFERROR(IF(VLOOKUP($B189,Показатели!$E:$W,2,FALSE)=0,"",VLOOKUP($B189,Показатели!$E:$W,2,FALSE)),"")</f>
        <v>395836000</v>
      </c>
      <c r="F189">
        <f>IFERROR(IF(VLOOKUP($B189,Показатели!$E:$W,3,FALSE)=0,"",VLOOKUP($B189,Показатели!$E:$W,3,FALSE)),"")</f>
        <v>19479121000</v>
      </c>
      <c r="G189">
        <f>IFERROR(IF(VLOOKUP($B189,Показатели!$E:$W,4,FALSE)=0,"",VLOOKUP($B189,Показатели!$E:$W,4,FALSE)),"")</f>
        <v>73086442000</v>
      </c>
      <c r="H189" t="str">
        <f>IFERROR(IF(VLOOKUP($B189,Показатели!$E:$W,5,FALSE)=0,"",VLOOKUP($B189,Показатели!$E:$W,5,FALSE)),"")</f>
        <v/>
      </c>
      <c r="I189">
        <f>IFERROR(IF(VLOOKUP($B189,Показатели!$E:$W,6,FALSE)=0,"",VLOOKUP($B189,Показатели!$E:$W,6,FALSE)),"")</f>
        <v>93793994000</v>
      </c>
      <c r="J189">
        <f>IFERROR(IF(VLOOKUP($B189,Показатели!$E:$W,7,FALSE)=0,"",VLOOKUP($B189,Показатели!$E:$W,7,FALSE)),"")</f>
        <v>20539198000</v>
      </c>
      <c r="K189">
        <f>IFERROR(IF(VLOOKUP($B189,Показатели!$E:$W,8,FALSE)=0,"",VLOOKUP($B189,Показатели!$E:$W,8,FALSE)),"")</f>
        <v>34323134000</v>
      </c>
      <c r="L189">
        <f>IFERROR(IF(VLOOKUP($B189,Показатели!$E:$W,9,FALSE)=0,"",VLOOKUP($B189,Показатели!$E:$W,9,FALSE)),"")</f>
        <v>34647003000</v>
      </c>
      <c r="M189">
        <f>IFERROR(IF(VLOOKUP($B189,Показатели!$E:$W,10,FALSE)=0,"",VLOOKUP($B189,Показатели!$E:$W,10,FALSE)),"")</f>
        <v>38931662000</v>
      </c>
      <c r="N189">
        <f>IFERROR(IF(VLOOKUP($B189,Показатели!$E:$W,11,FALSE)=0,"",VLOOKUP($B189,Показатели!$E:$W,11,FALSE)),"")</f>
        <v>86991622000</v>
      </c>
      <c r="O189">
        <f>IFERROR(IF(VLOOKUP($B189,Показатели!$E:$W,12,FALSE)=0,"",VLOOKUP($B189,Показатели!$E:$W,12,FALSE)),"")</f>
        <v>-749041000</v>
      </c>
      <c r="P189">
        <f>IFERROR(IF(VLOOKUP($B189,Показатели!$E:$W,13,FALSE)=0,"",VLOOKUP($B189,Показатели!$E:$W,13,FALSE)),"")</f>
        <v>-3398338000</v>
      </c>
      <c r="Q189">
        <f>IFERROR(IF(VLOOKUP($B189,Показатели!$E:$W,14,FALSE)=0,"",VLOOKUP($B189,Показатели!$E:$W,14,FALSE)),"")</f>
        <v>-3284521000</v>
      </c>
      <c r="R189" t="str">
        <f>IFERROR(IF(VLOOKUP($B189,Показатели!$E:$W,15,FALSE)=0,"",VLOOKUP($B189,Показатели!$E:$W,15,FALSE)),"")</f>
        <v/>
      </c>
      <c r="S189">
        <f>IFERROR(IF(VLOOKUP($B189,Показатели!$E:$W,16,FALSE)=0,"",VLOOKUP($B189,Показатели!$E:$W,16,FALSE)),"")</f>
        <v>7800000000</v>
      </c>
      <c r="T189">
        <f>IFERROR(IF(VLOOKUP($B189,Показатели!$E:$W,17,FALSE)=0,"",VLOOKUP($B189,Показатели!$E:$W,17,FALSE)),"")</f>
        <v>12381236000</v>
      </c>
      <c r="U189">
        <f>IFERROR(IF(VLOOKUP($B189,Показатели!$E:$W,18,FALSE)=0,"",VLOOKUP($B189,Показатели!$E:$W,18,FALSE)),"")</f>
        <v>93296538000</v>
      </c>
      <c r="V189">
        <f>IFERROR(IF(VLOOKUP($B189,Показатели!$E:$W,19,FALSE)=0,"",VLOOKUP($B189,Показатели!$E:$W,19,FALSE)),"")</f>
        <v>96046624000</v>
      </c>
    </row>
    <row r="190" spans="1:22" x14ac:dyDescent="0.2">
      <c r="A190" s="7" t="s">
        <v>2200</v>
      </c>
      <c r="B190" t="str">
        <f t="shared" si="2"/>
        <v>MRKC IV кв. 2013</v>
      </c>
      <c r="C190">
        <v>2013</v>
      </c>
      <c r="D190">
        <f>SUMIFS(Дивиденды!$C:$C,Дивиденды!$A:$A,A190,Дивиденды!$I:$I,C190)</f>
        <v>1.8E-3</v>
      </c>
      <c r="E190">
        <f>IFERROR(IF(VLOOKUP($B190,Показатели!$E:$W,2,FALSE)=0,"",VLOOKUP($B190,Показатели!$E:$W,2,FALSE)),"")</f>
        <v>1114942000</v>
      </c>
      <c r="F190">
        <f>IFERROR(IF(VLOOKUP($B190,Показатели!$E:$W,3,FALSE)=0,"",VLOOKUP($B190,Показатели!$E:$W,3,FALSE)),"")</f>
        <v>16708050000</v>
      </c>
      <c r="G190">
        <f>IFERROR(IF(VLOOKUP($B190,Показатели!$E:$W,4,FALSE)=0,"",VLOOKUP($B190,Показатели!$E:$W,4,FALSE)),"")</f>
        <v>78073742000</v>
      </c>
      <c r="H190" t="str">
        <f>IFERROR(IF(VLOOKUP($B190,Показатели!$E:$W,5,FALSE)=0,"",VLOOKUP($B190,Показатели!$E:$W,5,FALSE)),"")</f>
        <v/>
      </c>
      <c r="I190">
        <f>IFERROR(IF(VLOOKUP($B190,Показатели!$E:$W,6,FALSE)=0,"",VLOOKUP($B190,Показатели!$E:$W,6,FALSE)),"")</f>
        <v>96046624000</v>
      </c>
      <c r="J190">
        <f>IFERROR(IF(VLOOKUP($B190,Показатели!$E:$W,7,FALSE)=0,"",VLOOKUP($B190,Показатели!$E:$W,7,FALSE)),"")</f>
        <v>14863141000</v>
      </c>
      <c r="K190">
        <f>IFERROR(IF(VLOOKUP($B190,Показатели!$E:$W,8,FALSE)=0,"",VLOOKUP($B190,Показатели!$E:$W,8,FALSE)),"")</f>
        <v>39429504000</v>
      </c>
      <c r="L190" t="str">
        <f>IFERROR(IF(VLOOKUP($B190,Показатели!$E:$W,9,FALSE)=0,"",VLOOKUP($B190,Показатели!$E:$W,9,FALSE)),"")</f>
        <v/>
      </c>
      <c r="M190">
        <f>IFERROR(IF(VLOOKUP($B190,Показатели!$E:$W,10,FALSE)=0,"",VLOOKUP($B190,Показатели!$E:$W,10,FALSE)),"")</f>
        <v>41753979000</v>
      </c>
      <c r="N190">
        <f>IFERROR(IF(VLOOKUP($B190,Показатели!$E:$W,11,FALSE)=0,"",VLOOKUP($B190,Показатели!$E:$W,11,FALSE)),"")</f>
        <v>93296538000</v>
      </c>
      <c r="O190">
        <f>IFERROR(IF(VLOOKUP($B190,Показатели!$E:$W,12,FALSE)=0,"",VLOOKUP($B190,Показатели!$E:$W,12,FALSE)),"")</f>
        <v>3395410000</v>
      </c>
      <c r="P190">
        <f>IFERROR(IF(VLOOKUP($B190,Показатели!$E:$W,13,FALSE)=0,"",VLOOKUP($B190,Показатели!$E:$W,13,FALSE)),"")</f>
        <v>1048583000</v>
      </c>
      <c r="Q190">
        <f>IFERROR(IF(VLOOKUP($B190,Показатели!$E:$W,14,FALSE)=0,"",VLOOKUP($B190,Показатели!$E:$W,14,FALSE)),"")</f>
        <v>266247000</v>
      </c>
      <c r="R190" t="str">
        <f>IFERROR(IF(VLOOKUP($B190,Показатели!$E:$W,15,FALSE)=0,"",VLOOKUP($B190,Показатели!$E:$W,15,FALSE)),"")</f>
        <v/>
      </c>
      <c r="S190" t="str">
        <f>IFERROR(IF(VLOOKUP($B190,Показатели!$E:$W,16,FALSE)=0,"",VLOOKUP($B190,Показатели!$E:$W,16,FALSE)),"")</f>
        <v/>
      </c>
      <c r="T190" t="str">
        <f>IFERROR(IF(VLOOKUP($B190,Показатели!$E:$W,17,FALSE)=0,"",VLOOKUP($B190,Показатели!$E:$W,17,FALSE)),"")</f>
        <v/>
      </c>
      <c r="U190">
        <f>IFERROR(IF(VLOOKUP($B190,Показатели!$E:$W,18,FALSE)=0,"",VLOOKUP($B190,Показатели!$E:$W,18,FALSE)),"")</f>
        <v>69984035000</v>
      </c>
      <c r="V190">
        <f>IFERROR(IF(VLOOKUP($B190,Показатели!$E:$W,19,FALSE)=0,"",VLOOKUP($B190,Показатели!$E:$W,19,FALSE)),"")</f>
        <v>89571058000</v>
      </c>
    </row>
    <row r="191" spans="1:22" x14ac:dyDescent="0.2">
      <c r="A191" s="7" t="s">
        <v>2200</v>
      </c>
      <c r="B191" t="str">
        <f t="shared" si="2"/>
        <v>MRKC IV кв. 2012</v>
      </c>
      <c r="C191">
        <v>2012</v>
      </c>
      <c r="D191">
        <f>SUMIFS(Дивиденды!$C:$C,Дивиденды!$A:$A,A191,Дивиденды!$I:$I,C191)</f>
        <v>2.0400000000000001E-2</v>
      </c>
      <c r="E191">
        <f>IFERROR(IF(VLOOKUP($B191,Показатели!$E:$W,2,FALSE)=0,"",VLOOKUP($B191,Показатели!$E:$W,2,FALSE)),"")</f>
        <v>971592000</v>
      </c>
      <c r="F191">
        <f>IFERROR(IF(VLOOKUP($B191,Показатели!$E:$W,3,FALSE)=0,"",VLOOKUP($B191,Показатели!$E:$W,3,FALSE)),"")</f>
        <v>16808922999.999998</v>
      </c>
      <c r="G191">
        <f>IFERROR(IF(VLOOKUP($B191,Показатели!$E:$W,4,FALSE)=0,"",VLOOKUP($B191,Показатели!$E:$W,4,FALSE)),"")</f>
        <v>71360324000</v>
      </c>
      <c r="H191" t="str">
        <f>IFERROR(IF(VLOOKUP($B191,Показатели!$E:$W,5,FALSE)=0,"",VLOOKUP($B191,Показатели!$E:$W,5,FALSE)),"")</f>
        <v/>
      </c>
      <c r="I191">
        <f>IFERROR(IF(VLOOKUP($B191,Показатели!$E:$W,6,FALSE)=0,"",VLOOKUP($B191,Показатели!$E:$W,6,FALSE)),"")</f>
        <v>89571058000</v>
      </c>
      <c r="J191">
        <f>IFERROR(IF(VLOOKUP($B191,Показатели!$E:$W,7,FALSE)=0,"",VLOOKUP($B191,Показатели!$E:$W,7,FALSE)),"")</f>
        <v>13559464000</v>
      </c>
      <c r="K191">
        <f>IFERROR(IF(VLOOKUP($B191,Показатели!$E:$W,8,FALSE)=0,"",VLOOKUP($B191,Показатели!$E:$W,8,FALSE)),"")</f>
        <v>33427788999.999996</v>
      </c>
      <c r="L191" t="str">
        <f>IFERROR(IF(VLOOKUP($B191,Показатели!$E:$W,9,FALSE)=0,"",VLOOKUP($B191,Показатели!$E:$W,9,FALSE)),"")</f>
        <v/>
      </c>
      <c r="M191">
        <f>IFERROR(IF(VLOOKUP($B191,Показатели!$E:$W,10,FALSE)=0,"",VLOOKUP($B191,Показатели!$E:$W,10,FALSE)),"")</f>
        <v>42583805000</v>
      </c>
      <c r="N191">
        <f>IFERROR(IF(VLOOKUP($B191,Показатели!$E:$W,11,FALSE)=0,"",VLOOKUP($B191,Показатели!$E:$W,11,FALSE)),"")</f>
        <v>69984035000</v>
      </c>
      <c r="O191">
        <f>IFERROR(IF(VLOOKUP($B191,Показатели!$E:$W,12,FALSE)=0,"",VLOOKUP($B191,Показатели!$E:$W,12,FALSE)),"")</f>
        <v>7555774000</v>
      </c>
      <c r="P191">
        <f>IFERROR(IF(VLOOKUP($B191,Показатели!$E:$W,13,FALSE)=0,"",VLOOKUP($B191,Показатели!$E:$W,13,FALSE)),"")</f>
        <v>5744119000</v>
      </c>
      <c r="Q191">
        <f>IFERROR(IF(VLOOKUP($B191,Показатели!$E:$W,14,FALSE)=0,"",VLOOKUP($B191,Показатели!$E:$W,14,FALSE)),"")</f>
        <v>4428256000</v>
      </c>
      <c r="R191" t="str">
        <f>IFERROR(IF(VLOOKUP($B191,Показатели!$E:$W,15,FALSE)=0,"",VLOOKUP($B191,Показатели!$E:$W,15,FALSE)),"")</f>
        <v/>
      </c>
      <c r="S191">
        <f>IFERROR(IF(VLOOKUP($B191,Показатели!$E:$W,16,FALSE)=0,"",VLOOKUP($B191,Показатели!$E:$W,16,FALSE)),"")</f>
        <v>14845489000</v>
      </c>
      <c r="T191" t="str">
        <f>IFERROR(IF(VLOOKUP($B191,Показатели!$E:$W,17,FALSE)=0,"",VLOOKUP($B191,Показатели!$E:$W,17,FALSE)),"")</f>
        <v/>
      </c>
      <c r="U191">
        <f>IFERROR(IF(VLOOKUP($B191,Показатели!$E:$W,18,FALSE)=0,"",VLOOKUP($B191,Показатели!$E:$W,18,FALSE)),"")</f>
        <v>69041226000</v>
      </c>
      <c r="V191">
        <f>IFERROR(IF(VLOOKUP($B191,Показатели!$E:$W,19,FALSE)=0,"",VLOOKUP($B191,Показатели!$E:$W,19,FALSE)),"")</f>
        <v>76816795000</v>
      </c>
    </row>
    <row r="192" spans="1:22" x14ac:dyDescent="0.2">
      <c r="A192" s="7" t="s">
        <v>2200</v>
      </c>
      <c r="B192" t="str">
        <f t="shared" si="2"/>
        <v>MRKC IV кв. 2011</v>
      </c>
      <c r="C192">
        <v>2011</v>
      </c>
      <c r="D192">
        <f>SUMIFS(Дивиденды!$C:$C,Дивиденды!$A:$A,A192,Дивиденды!$I:$I,C192)</f>
        <v>0.01</v>
      </c>
      <c r="E192">
        <f>IFERROR(IF(VLOOKUP($B192,Показатели!$E:$W,2,FALSE)=0,"",VLOOKUP($B192,Показатели!$E:$W,2,FALSE)),"")</f>
        <v>2646152000</v>
      </c>
      <c r="F192">
        <f>IFERROR(IF(VLOOKUP($B192,Показатели!$E:$W,3,FALSE)=0,"",VLOOKUP($B192,Показатели!$E:$W,3,FALSE)),"")</f>
        <v>12967930000</v>
      </c>
      <c r="G192">
        <f>IFERROR(IF(VLOOKUP($B192,Показатели!$E:$W,4,FALSE)=0,"",VLOOKUP($B192,Показатели!$E:$W,4,FALSE)),"")</f>
        <v>62195991000</v>
      </c>
      <c r="H192" t="str">
        <f>IFERROR(IF(VLOOKUP($B192,Показатели!$E:$W,5,FALSE)=0,"",VLOOKUP($B192,Показатели!$E:$W,5,FALSE)),"")</f>
        <v/>
      </c>
      <c r="I192">
        <f>IFERROR(IF(VLOOKUP($B192,Показатели!$E:$W,6,FALSE)=0,"",VLOOKUP($B192,Показатели!$E:$W,6,FALSE)),"")</f>
        <v>76816795000</v>
      </c>
      <c r="J192">
        <f>IFERROR(IF(VLOOKUP($B192,Показатели!$E:$W,7,FALSE)=0,"",VLOOKUP($B192,Показатели!$E:$W,7,FALSE)),"")</f>
        <v>11325242000</v>
      </c>
      <c r="K192">
        <f>IFERROR(IF(VLOOKUP($B192,Показатели!$E:$W,8,FALSE)=0,"",VLOOKUP($B192,Показатели!$E:$W,8,FALSE)),"")</f>
        <v>26913825000</v>
      </c>
      <c r="L192" t="str">
        <f>IFERROR(IF(VLOOKUP($B192,Показатели!$E:$W,9,FALSE)=0,"",VLOOKUP($B192,Показатели!$E:$W,9,FALSE)),"")</f>
        <v/>
      </c>
      <c r="M192">
        <f>IFERROR(IF(VLOOKUP($B192,Показатели!$E:$W,10,FALSE)=0,"",VLOOKUP($B192,Показатели!$E:$W,10,FALSE)),"")</f>
        <v>38577728000</v>
      </c>
      <c r="N192">
        <f>IFERROR(IF(VLOOKUP($B192,Показатели!$E:$W,11,FALSE)=0,"",VLOOKUP($B192,Показатели!$E:$W,11,FALSE)),"")</f>
        <v>69041226000</v>
      </c>
      <c r="O192">
        <f>IFERROR(IF(VLOOKUP($B192,Показатели!$E:$W,12,FALSE)=0,"",VLOOKUP($B192,Показатели!$E:$W,12,FALSE)),"")</f>
        <v>8931806000</v>
      </c>
      <c r="P192">
        <f>IFERROR(IF(VLOOKUP($B192,Показатели!$E:$W,13,FALSE)=0,"",VLOOKUP($B192,Показатели!$E:$W,13,FALSE)),"")</f>
        <v>7375517000</v>
      </c>
      <c r="Q192">
        <f>IFERROR(IF(VLOOKUP($B192,Показатели!$E:$W,14,FALSE)=0,"",VLOOKUP($B192,Показатели!$E:$W,14,FALSE)),"")</f>
        <v>5534203000</v>
      </c>
      <c r="R192" t="str">
        <f>IFERROR(IF(VLOOKUP($B192,Показатели!$E:$W,15,FALSE)=0,"",VLOOKUP($B192,Показатели!$E:$W,15,FALSE)),"")</f>
        <v/>
      </c>
      <c r="S192">
        <f>IFERROR(IF(VLOOKUP($B192,Показатели!$E:$W,16,FALSE)=0,"",VLOOKUP($B192,Показатели!$E:$W,16,FALSE)),"")</f>
        <v>14800000000</v>
      </c>
      <c r="T192" t="str">
        <f>IFERROR(IF(VLOOKUP($B192,Показатели!$E:$W,17,FALSE)=0,"",VLOOKUP($B192,Показатели!$E:$W,17,FALSE)),"")</f>
        <v/>
      </c>
      <c r="U192" t="str">
        <f>IFERROR(IF(VLOOKUP($B192,Показатели!$E:$W,18,FALSE)=0,"",VLOOKUP($B192,Показатели!$E:$W,18,FALSE)),"")</f>
        <v/>
      </c>
      <c r="V192" t="str">
        <f>IFERROR(IF(VLOOKUP($B192,Показатели!$E:$W,19,FALSE)=0,"",VLOOKUP($B192,Показатели!$E:$W,19,FALSE)),"")</f>
        <v/>
      </c>
    </row>
    <row r="193" spans="1:22" x14ac:dyDescent="0.2">
      <c r="A193" s="7" t="s">
        <v>2200</v>
      </c>
      <c r="B193" t="str">
        <f t="shared" si="2"/>
        <v>MRKC IV кв. 2010</v>
      </c>
      <c r="C193">
        <v>2010</v>
      </c>
      <c r="D193">
        <f>SUMIFS(Дивиденды!$C:$C,Дивиденды!$A:$A,A193,Дивиденды!$I:$I,C193)</f>
        <v>1.4500000000000001E-2</v>
      </c>
      <c r="E193" t="str">
        <f>IFERROR(IF(VLOOKUP($B193,Показатели!$E:$W,2,FALSE)=0,"",VLOOKUP($B193,Показатели!$E:$W,2,FALSE)),"")</f>
        <v/>
      </c>
      <c r="F193" t="str">
        <f>IFERROR(IF(VLOOKUP($B193,Показатели!$E:$W,3,FALSE)=0,"",VLOOKUP($B193,Показатели!$E:$W,3,FALSE)),"")</f>
        <v/>
      </c>
      <c r="G193" t="str">
        <f>IFERROR(IF(VLOOKUP($B193,Показатели!$E:$W,4,FALSE)=0,"",VLOOKUP($B193,Показатели!$E:$W,4,FALSE)),"")</f>
        <v/>
      </c>
      <c r="H193" t="str">
        <f>IFERROR(IF(VLOOKUP($B193,Показатели!$E:$W,5,FALSE)=0,"",VLOOKUP($B193,Показатели!$E:$W,5,FALSE)),"")</f>
        <v/>
      </c>
      <c r="I193" t="str">
        <f>IFERROR(IF(VLOOKUP($B193,Показатели!$E:$W,6,FALSE)=0,"",VLOOKUP($B193,Показатели!$E:$W,6,FALSE)),"")</f>
        <v/>
      </c>
      <c r="J193" t="str">
        <f>IFERROR(IF(VLOOKUP($B193,Показатели!$E:$W,7,FALSE)=0,"",VLOOKUP($B193,Показатели!$E:$W,7,FALSE)),"")</f>
        <v/>
      </c>
      <c r="K193" t="str">
        <f>IFERROR(IF(VLOOKUP($B193,Показатели!$E:$W,8,FALSE)=0,"",VLOOKUP($B193,Показатели!$E:$W,8,FALSE)),"")</f>
        <v/>
      </c>
      <c r="L193" t="str">
        <f>IFERROR(IF(VLOOKUP($B193,Показатели!$E:$W,9,FALSE)=0,"",VLOOKUP($B193,Показатели!$E:$W,9,FALSE)),"")</f>
        <v/>
      </c>
      <c r="M193" t="str">
        <f>IFERROR(IF(VLOOKUP($B193,Показатели!$E:$W,10,FALSE)=0,"",VLOOKUP($B193,Показатели!$E:$W,10,FALSE)),"")</f>
        <v/>
      </c>
      <c r="N193" t="str">
        <f>IFERROR(IF(VLOOKUP($B193,Показатели!$E:$W,11,FALSE)=0,"",VLOOKUP($B193,Показатели!$E:$W,11,FALSE)),"")</f>
        <v/>
      </c>
      <c r="O193" t="str">
        <f>IFERROR(IF(VLOOKUP($B193,Показатели!$E:$W,12,FALSE)=0,"",VLOOKUP($B193,Показатели!$E:$W,12,FALSE)),"")</f>
        <v/>
      </c>
      <c r="P193" t="str">
        <f>IFERROR(IF(VLOOKUP($B193,Показатели!$E:$W,13,FALSE)=0,"",VLOOKUP($B193,Показатели!$E:$W,13,FALSE)),"")</f>
        <v/>
      </c>
      <c r="Q193" t="str">
        <f>IFERROR(IF(VLOOKUP($B193,Показатели!$E:$W,14,FALSE)=0,"",VLOOKUP($B193,Показатели!$E:$W,14,FALSE)),"")</f>
        <v/>
      </c>
      <c r="R193" t="str">
        <f>IFERROR(IF(VLOOKUP($B193,Показатели!$E:$W,15,FALSE)=0,"",VLOOKUP($B193,Показатели!$E:$W,15,FALSE)),"")</f>
        <v/>
      </c>
      <c r="S193" t="str">
        <f>IFERROR(IF(VLOOKUP($B193,Показатели!$E:$W,16,FALSE)=0,"",VLOOKUP($B193,Показатели!$E:$W,16,FALSE)),"")</f>
        <v/>
      </c>
      <c r="T193" t="str">
        <f>IFERROR(IF(VLOOKUP($B193,Показатели!$E:$W,17,FALSE)=0,"",VLOOKUP($B193,Показатели!$E:$W,17,FALSE)),"")</f>
        <v/>
      </c>
      <c r="U193" t="str">
        <f>IFERROR(IF(VLOOKUP($B193,Показатели!$E:$W,18,FALSE)=0,"",VLOOKUP($B193,Показатели!$E:$W,18,FALSE)),"")</f>
        <v/>
      </c>
      <c r="V193" t="str">
        <f>IFERROR(IF(VLOOKUP($B193,Показатели!$E:$W,19,FALSE)=0,"",VLOOKUP($B193,Показатели!$E:$W,19,FALSE)),"")</f>
        <v/>
      </c>
    </row>
    <row r="194" spans="1:22" x14ac:dyDescent="0.2">
      <c r="A194" s="7" t="s">
        <v>2202</v>
      </c>
      <c r="B194" t="str">
        <f t="shared" si="2"/>
        <v>MRKP IV кв. 2025</v>
      </c>
      <c r="C194">
        <v>2025</v>
      </c>
      <c r="D194">
        <f>SUMIFS(Дивиденды!$C:$C,Дивиденды!$A:$A,A194,Дивиденды!$I:$I,C194)</f>
        <v>0</v>
      </c>
      <c r="E194">
        <f>IFERROR(IF(VLOOKUP($B194,Показатели!$E:$W,2,FALSE)=0,"",VLOOKUP($B194,Показатели!$E:$W,2,FALSE)),"")</f>
        <v>27847148000</v>
      </c>
      <c r="F194">
        <f>IFERROR(IF(VLOOKUP($B194,Показатели!$E:$W,3,FALSE)=0,"",VLOOKUP($B194,Показатели!$E:$W,3,FALSE)),"")</f>
        <v>55579067000</v>
      </c>
      <c r="G194">
        <f>IFERROR(IF(VLOOKUP($B194,Показатели!$E:$W,4,FALSE)=0,"",VLOOKUP($B194,Показатели!$E:$W,4,FALSE)),"")</f>
        <v>144177333000</v>
      </c>
      <c r="H194">
        <f>IFERROR(IF(VLOOKUP($B194,Показатели!$E:$W,5,FALSE)=0,"",VLOOKUP($B194,Показатели!$E:$W,5,FALSE)),"")</f>
        <v>2298493000</v>
      </c>
      <c r="I194">
        <f>IFERROR(IF(VLOOKUP($B194,Показатели!$E:$W,6,FALSE)=0,"",VLOOKUP($B194,Показатели!$E:$W,6,FALSE)),"")</f>
        <v>211098814000</v>
      </c>
      <c r="J194">
        <f>IFERROR(IF(VLOOKUP($B194,Показатели!$E:$W,7,FALSE)=0,"",VLOOKUP($B194,Показатели!$E:$W,7,FALSE)),"")</f>
        <v>67258885000</v>
      </c>
      <c r="K194">
        <f>IFERROR(IF(VLOOKUP($B194,Показатели!$E:$W,8,FALSE)=0,"",VLOOKUP($B194,Показатели!$E:$W,8,FALSE)),"")</f>
        <v>26348110000</v>
      </c>
      <c r="L194">
        <f>IFERROR(IF(VLOOKUP($B194,Показатели!$E:$W,9,FALSE)=0,"",VLOOKUP($B194,Показатели!$E:$W,9,FALSE)),"")</f>
        <v>106991151000</v>
      </c>
      <c r="M194">
        <f>IFERROR(IF(VLOOKUP($B194,Показатели!$E:$W,10,FALSE)=0,"",VLOOKUP($B194,Показатели!$E:$W,10,FALSE)),"")</f>
        <v>117491819000</v>
      </c>
      <c r="N194">
        <f>IFERROR(IF(VLOOKUP($B194,Показатели!$E:$W,11,FALSE)=0,"",VLOOKUP($B194,Показатели!$E:$W,11,FALSE)),"")</f>
        <v>166059787000</v>
      </c>
      <c r="O194">
        <f>IFERROR(IF(VLOOKUP($B194,Показатели!$E:$W,12,FALSE)=0,"",VLOOKUP($B194,Показатели!$E:$W,12,FALSE)),"")</f>
        <v>33538346000</v>
      </c>
      <c r="P194">
        <f>IFERROR(IF(VLOOKUP($B194,Показатели!$E:$W,13,FALSE)=0,"",VLOOKUP($B194,Показатели!$E:$W,13,FALSE)),"")</f>
        <v>32761179000</v>
      </c>
      <c r="Q194">
        <f>IFERROR(IF(VLOOKUP($B194,Показатели!$E:$W,14,FALSE)=0,"",VLOOKUP($B194,Показатели!$E:$W,14,FALSE)),"")</f>
        <v>23558501000</v>
      </c>
      <c r="R194">
        <f>IFERROR(IF(VLOOKUP($B194,Показатели!$E:$W,15,FALSE)=0,"",VLOOKUP($B194,Показатели!$E:$W,15,FALSE)),"")</f>
        <v>14380704000</v>
      </c>
      <c r="S194">
        <f>IFERROR(IF(VLOOKUP($B194,Показатели!$E:$W,16,FALSE)=0,"",VLOOKUP($B194,Показатели!$E:$W,16,FALSE)),"")</f>
        <v>47858239000</v>
      </c>
      <c r="T194">
        <f>IFERROR(IF(VLOOKUP($B194,Показатели!$E:$W,17,FALSE)=0,"",VLOOKUP($B194,Показатели!$E:$W,17,FALSE)),"")</f>
        <v>-30609959000</v>
      </c>
      <c r="U194">
        <f>IFERROR(IF(VLOOKUP($B194,Показатели!$E:$W,18,FALSE)=0,"",VLOOKUP($B194,Показатели!$E:$W,18,FALSE)),"")</f>
        <v>143565871000</v>
      </c>
      <c r="V194">
        <f>IFERROR(IF(VLOOKUP($B194,Показатели!$E:$W,19,FALSE)=0,"",VLOOKUP($B194,Показатели!$E:$W,19,FALSE)),"")</f>
        <v>187536192000</v>
      </c>
    </row>
    <row r="195" spans="1:22" x14ac:dyDescent="0.2">
      <c r="A195" s="7" t="s">
        <v>2202</v>
      </c>
      <c r="B195" t="str">
        <f t="shared" ref="B195:B258" si="3">A195&amp;" "&amp;
"IV"
&amp;" кв. "&amp;C195</f>
        <v>MRKP IV кв. 2024</v>
      </c>
      <c r="C195">
        <v>2024</v>
      </c>
      <c r="D195">
        <f>SUMIFS(Дивиденды!$C:$C,Дивиденды!$A:$A,A195,Дивиденды!$I:$I,C195)</f>
        <v>5.0200000000000002E-2</v>
      </c>
      <c r="E195">
        <f>IFERROR(IF(VLOOKUP($B195,Показатели!$E:$W,2,FALSE)=0,"",VLOOKUP($B195,Показатели!$E:$W,2,FALSE)),"")</f>
        <v>21352666000</v>
      </c>
      <c r="F195">
        <f>IFERROR(IF(VLOOKUP($B195,Показатели!$E:$W,3,FALSE)=0,"",VLOOKUP($B195,Показатели!$E:$W,3,FALSE)),"")</f>
        <v>49259114000</v>
      </c>
      <c r="G195">
        <f>IFERROR(IF(VLOOKUP($B195,Показатели!$E:$W,4,FALSE)=0,"",VLOOKUP($B195,Показатели!$E:$W,4,FALSE)),"")</f>
        <v>124331101000</v>
      </c>
      <c r="H195">
        <f>IFERROR(IF(VLOOKUP($B195,Показатели!$E:$W,5,FALSE)=0,"",VLOOKUP($B195,Показатели!$E:$W,5,FALSE)),"")</f>
        <v>1804541000</v>
      </c>
      <c r="I195">
        <f>IFERROR(IF(VLOOKUP($B195,Показатели!$E:$W,6,FALSE)=0,"",VLOOKUP($B195,Показатели!$E:$W,6,FALSE)),"")</f>
        <v>187536192000</v>
      </c>
      <c r="J195">
        <f>IFERROR(IF(VLOOKUP($B195,Показатели!$E:$W,7,FALSE)=0,"",VLOOKUP($B195,Показатели!$E:$W,7,FALSE)),"")</f>
        <v>56907464000</v>
      </c>
      <c r="K195">
        <f>IFERROR(IF(VLOOKUP($B195,Показатели!$E:$W,8,FALSE)=0,"",VLOOKUP($B195,Показатели!$E:$W,8,FALSE)),"")</f>
        <v>30963022000</v>
      </c>
      <c r="L195">
        <f>IFERROR(IF(VLOOKUP($B195,Показатели!$E:$W,9,FALSE)=0,"",VLOOKUP($B195,Показатели!$E:$W,9,FALSE)),"")</f>
        <v>89031831000</v>
      </c>
      <c r="M195">
        <f>IFERROR(IF(VLOOKUP($B195,Показатели!$E:$W,10,FALSE)=0,"",VLOOKUP($B195,Показатели!$E:$W,10,FALSE)),"")</f>
        <v>99665706000</v>
      </c>
      <c r="N195">
        <f>IFERROR(IF(VLOOKUP($B195,Показатели!$E:$W,11,FALSE)=0,"",VLOOKUP($B195,Показатели!$E:$W,11,FALSE)),"")</f>
        <v>143565871000</v>
      </c>
      <c r="O195">
        <f>IFERROR(IF(VLOOKUP($B195,Показатели!$E:$W,12,FALSE)=0,"",VLOOKUP($B195,Показатели!$E:$W,12,FALSE)),"")</f>
        <v>21684850000</v>
      </c>
      <c r="P195">
        <f>IFERROR(IF(VLOOKUP($B195,Показатели!$E:$W,13,FALSE)=0,"",VLOOKUP($B195,Показатели!$E:$W,13,FALSE)),"")</f>
        <v>21232193000</v>
      </c>
      <c r="Q195">
        <f>IFERROR(IF(VLOOKUP($B195,Показатели!$E:$W,14,FALSE)=0,"",VLOOKUP($B195,Показатели!$E:$W,14,FALSE)),"")</f>
        <v>16433157000</v>
      </c>
      <c r="R195">
        <f>IFERROR(IF(VLOOKUP($B195,Показатели!$E:$W,15,FALSE)=0,"",VLOOKUP($B195,Показатели!$E:$W,15,FALSE)),"")</f>
        <v>13208942000</v>
      </c>
      <c r="S195">
        <f>IFERROR(IF(VLOOKUP($B195,Показатели!$E:$W,16,FALSE)=0,"",VLOOKUP($B195,Показатели!$E:$W,16,FALSE)),"")</f>
        <v>37025199000</v>
      </c>
      <c r="T195">
        <f>IFERROR(IF(VLOOKUP($B195,Показатели!$E:$W,17,FALSE)=0,"",VLOOKUP($B195,Показатели!$E:$W,17,FALSE)),"")</f>
        <v>-25495586000</v>
      </c>
      <c r="U195">
        <f>IFERROR(IF(VLOOKUP($B195,Показатели!$E:$W,18,FALSE)=0,"",VLOOKUP($B195,Показатели!$E:$W,18,FALSE)),"")</f>
        <v>132028653000</v>
      </c>
      <c r="V195">
        <f>IFERROR(IF(VLOOKUP($B195,Показатели!$E:$W,19,FALSE)=0,"",VLOOKUP($B195,Показатели!$E:$W,19,FALSE)),"")</f>
        <v>168154074000</v>
      </c>
    </row>
    <row r="196" spans="1:22" x14ac:dyDescent="0.2">
      <c r="A196" s="7" t="s">
        <v>2202</v>
      </c>
      <c r="B196" t="str">
        <f t="shared" si="3"/>
        <v>MRKP IV кв. 2023</v>
      </c>
      <c r="C196">
        <v>2023</v>
      </c>
      <c r="D196">
        <f>SUMIFS(Дивиденды!$C:$C,Дивиденды!$A:$A,A196,Дивиденды!$I:$I,C196)</f>
        <v>3.8800000000000001E-2</v>
      </c>
      <c r="E196">
        <f>IFERROR(IF(VLOOKUP($B196,Показатели!$E:$W,2,FALSE)=0,"",VLOOKUP($B196,Показатели!$E:$W,2,FALSE)),"")</f>
        <v>14632501000</v>
      </c>
      <c r="F196">
        <f>IFERROR(IF(VLOOKUP($B196,Показатели!$E:$W,3,FALSE)=0,"",VLOOKUP($B196,Показатели!$E:$W,3,FALSE)),"")</f>
        <v>37635085000</v>
      </c>
      <c r="G196">
        <f>IFERROR(IF(VLOOKUP($B196,Показатели!$E:$W,4,FALSE)=0,"",VLOOKUP($B196,Показатели!$E:$W,4,FALSE)),"")</f>
        <v>113047461000</v>
      </c>
      <c r="H196">
        <f>IFERROR(IF(VLOOKUP($B196,Показатели!$E:$W,5,FALSE)=0,"",VLOOKUP($B196,Показатели!$E:$W,5,FALSE)),"")</f>
        <v>1712936000</v>
      </c>
      <c r="I196">
        <f>IFERROR(IF(VLOOKUP($B196,Показатели!$E:$W,6,FALSE)=0,"",VLOOKUP($B196,Показатели!$E:$W,6,FALSE)),"")</f>
        <v>168154074000</v>
      </c>
      <c r="J196">
        <f>IFERROR(IF(VLOOKUP($B196,Показатели!$E:$W,7,FALSE)=0,"",VLOOKUP($B196,Показатели!$E:$W,7,FALSE)),"")</f>
        <v>40491137000</v>
      </c>
      <c r="K196">
        <f>IFERROR(IF(VLOOKUP($B196,Показатели!$E:$W,8,FALSE)=0,"",VLOOKUP($B196,Показатели!$E:$W,8,FALSE)),"")</f>
        <v>40318846000</v>
      </c>
      <c r="L196">
        <f>IFERROR(IF(VLOOKUP($B196,Показатели!$E:$W,9,FALSE)=0,"",VLOOKUP($B196,Показатели!$E:$W,9,FALSE)),"")</f>
        <v>76949865000</v>
      </c>
      <c r="M196">
        <f>IFERROR(IF(VLOOKUP($B196,Показатели!$E:$W,10,FALSE)=0,"",VLOOKUP($B196,Показатели!$E:$W,10,FALSE)),"")</f>
        <v>87344091000</v>
      </c>
      <c r="N196">
        <f>IFERROR(IF(VLOOKUP($B196,Показатели!$E:$W,11,FALSE)=0,"",VLOOKUP($B196,Показатели!$E:$W,11,FALSE)),"")</f>
        <v>132028653000</v>
      </c>
      <c r="O196">
        <f>IFERROR(IF(VLOOKUP($B196,Показатели!$E:$W,12,FALSE)=0,"",VLOOKUP($B196,Показатели!$E:$W,12,FALSE)),"")</f>
        <v>21112953000</v>
      </c>
      <c r="P196">
        <f>IFERROR(IF(VLOOKUP($B196,Показатели!$E:$W,13,FALSE)=0,"",VLOOKUP($B196,Показатели!$E:$W,13,FALSE)),"")</f>
        <v>18956232000</v>
      </c>
      <c r="Q196">
        <f>IFERROR(IF(VLOOKUP($B196,Показатели!$E:$W,14,FALSE)=0,"",VLOOKUP($B196,Показатели!$E:$W,14,FALSE)),"")</f>
        <v>14022619000</v>
      </c>
      <c r="R196">
        <f>IFERROR(IF(VLOOKUP($B196,Показатели!$E:$W,15,FALSE)=0,"",VLOOKUP($B196,Показатели!$E:$W,15,FALSE)),"")</f>
        <v>12020396000</v>
      </c>
      <c r="S196">
        <f>IFERROR(IF(VLOOKUP($B196,Показатели!$E:$W,16,FALSE)=0,"",VLOOKUP($B196,Показатели!$E:$W,16,FALSE)),"")</f>
        <v>34453392000</v>
      </c>
      <c r="T196">
        <f>IFERROR(IF(VLOOKUP($B196,Показатели!$E:$W,17,FALSE)=0,"",VLOOKUP($B196,Показатели!$E:$W,17,FALSE)),"")</f>
        <v>-27064415000</v>
      </c>
      <c r="U196">
        <f>IFERROR(IF(VLOOKUP($B196,Показатели!$E:$W,18,FALSE)=0,"",VLOOKUP($B196,Показатели!$E:$W,18,FALSE)),"")</f>
        <v>114010994000</v>
      </c>
      <c r="V196">
        <f>IFERROR(IF(VLOOKUP($B196,Показатели!$E:$W,19,FALSE)=0,"",VLOOKUP($B196,Показатели!$E:$W,19,FALSE)),"")</f>
        <v>151766302000</v>
      </c>
    </row>
    <row r="197" spans="1:22" x14ac:dyDescent="0.2">
      <c r="A197" s="7" t="s">
        <v>2202</v>
      </c>
      <c r="B197" t="str">
        <f t="shared" si="3"/>
        <v>MRKP IV кв. 2022</v>
      </c>
      <c r="C197">
        <v>2022</v>
      </c>
      <c r="D197">
        <f>SUMIFS(Дивиденды!$C:$C,Дивиденды!$A:$A,A197,Дивиденды!$I:$I,C197)</f>
        <v>3.2240000000000005E-2</v>
      </c>
      <c r="E197">
        <f>IFERROR(IF(VLOOKUP($B197,Показатели!$E:$W,2,FALSE)=0,"",VLOOKUP($B197,Показатели!$E:$W,2,FALSE)),"")</f>
        <v>8283798000</v>
      </c>
      <c r="F197">
        <f>IFERROR(IF(VLOOKUP($B197,Показатели!$E:$W,3,FALSE)=0,"",VLOOKUP($B197,Показатели!$E:$W,3,FALSE)),"")</f>
        <v>30823394000</v>
      </c>
      <c r="G197">
        <f>IFERROR(IF(VLOOKUP($B197,Показатели!$E:$W,4,FALSE)=0,"",VLOOKUP($B197,Показатели!$E:$W,4,FALSE)),"")</f>
        <v>99190754000</v>
      </c>
      <c r="H197">
        <f>IFERROR(IF(VLOOKUP($B197,Показатели!$E:$W,5,FALSE)=0,"",VLOOKUP($B197,Показатели!$E:$W,5,FALSE)),"")</f>
        <v>752232000</v>
      </c>
      <c r="I197">
        <f>IFERROR(IF(VLOOKUP($B197,Показатели!$E:$W,6,FALSE)=0,"",VLOOKUP($B197,Показатели!$E:$W,6,FALSE)),"")</f>
        <v>151766302000</v>
      </c>
      <c r="J197">
        <f>IFERROR(IF(VLOOKUP($B197,Показатели!$E:$W,7,FALSE)=0,"",VLOOKUP($B197,Показатели!$E:$W,7,FALSE)),"")</f>
        <v>55487186000</v>
      </c>
      <c r="K197">
        <f>IFERROR(IF(VLOOKUP($B197,Показатели!$E:$W,8,FALSE)=0,"",VLOOKUP($B197,Показатели!$E:$W,8,FALSE)),"")</f>
        <v>22965732000</v>
      </c>
      <c r="L197">
        <f>IFERROR(IF(VLOOKUP($B197,Показатели!$E:$W,9,FALSE)=0,"",VLOOKUP($B197,Показатели!$E:$W,9,FALSE)),"")</f>
        <v>63143848000</v>
      </c>
      <c r="M197">
        <f>IFERROR(IF(VLOOKUP($B197,Показатели!$E:$W,10,FALSE)=0,"",VLOOKUP($B197,Показатели!$E:$W,10,FALSE)),"")</f>
        <v>73313384000</v>
      </c>
      <c r="N197">
        <f>IFERROR(IF(VLOOKUP($B197,Показатели!$E:$W,11,FALSE)=0,"",VLOOKUP($B197,Показатели!$E:$W,11,FALSE)),"")</f>
        <v>114010994000</v>
      </c>
      <c r="O197">
        <f>IFERROR(IF(VLOOKUP($B197,Показатели!$E:$W,12,FALSE)=0,"",VLOOKUP($B197,Показатели!$E:$W,12,FALSE)),"")</f>
        <v>16551258000</v>
      </c>
      <c r="P197">
        <f>IFERROR(IF(VLOOKUP($B197,Показатели!$E:$W,13,FALSE)=0,"",VLOOKUP($B197,Показатели!$E:$W,13,FALSE)),"")</f>
        <v>14378136000</v>
      </c>
      <c r="Q197">
        <f>IFERROR(IF(VLOOKUP($B197,Показатели!$E:$W,14,FALSE)=0,"",VLOOKUP($B197,Показатели!$E:$W,14,FALSE)),"")</f>
        <v>11045008000</v>
      </c>
      <c r="R197">
        <f>IFERROR(IF(VLOOKUP($B197,Показатели!$E:$W,15,FALSE)=0,"",VLOOKUP($B197,Показатели!$E:$W,15,FALSE)),"")</f>
        <v>10668765000</v>
      </c>
      <c r="S197">
        <f>IFERROR(IF(VLOOKUP($B197,Показатели!$E:$W,16,FALSE)=0,"",VLOOKUP($B197,Показатели!$E:$W,16,FALSE)),"")</f>
        <v>28027154000</v>
      </c>
      <c r="T197">
        <f>IFERROR(IF(VLOOKUP($B197,Показатели!$E:$W,17,FALSE)=0,"",VLOOKUP($B197,Показатели!$E:$W,17,FALSE)),"")</f>
        <v>-17915265000</v>
      </c>
      <c r="U197">
        <f>IFERROR(IF(VLOOKUP($B197,Показатели!$E:$W,18,FALSE)=0,"",VLOOKUP($B197,Показатели!$E:$W,18,FALSE)),"")</f>
        <v>106686770000</v>
      </c>
      <c r="V197">
        <f>IFERROR(IF(VLOOKUP($B197,Показатели!$E:$W,19,FALSE)=0,"",VLOOKUP($B197,Показатели!$E:$W,19,FALSE)),"")</f>
        <v>130482454000</v>
      </c>
    </row>
    <row r="198" spans="1:22" x14ac:dyDescent="0.2">
      <c r="A198" s="7" t="s">
        <v>2202</v>
      </c>
      <c r="B198" t="str">
        <f t="shared" si="3"/>
        <v>MRKP IV кв. 2021</v>
      </c>
      <c r="C198">
        <v>2021</v>
      </c>
      <c r="D198">
        <f>SUMIFS(Дивиденды!$C:$C,Дивиденды!$A:$A,A198,Дивиденды!$I:$I,C198)</f>
        <v>2.7799999999999998E-2</v>
      </c>
      <c r="E198">
        <f>IFERROR(IF(VLOOKUP($B198,Показатели!$E:$W,2,FALSE)=0,"",VLOOKUP($B198,Показатели!$E:$W,2,FALSE)),"")</f>
        <v>391137000</v>
      </c>
      <c r="F198">
        <f>IFERROR(IF(VLOOKUP($B198,Показатели!$E:$W,3,FALSE)=0,"",VLOOKUP($B198,Показатели!$E:$W,3,FALSE)),"")</f>
        <v>19322473000</v>
      </c>
      <c r="G198">
        <f>IFERROR(IF(VLOOKUP($B198,Показатели!$E:$W,4,FALSE)=0,"",VLOOKUP($B198,Показатели!$E:$W,4,FALSE)),"")</f>
        <v>91814560000</v>
      </c>
      <c r="H198">
        <f>IFERROR(IF(VLOOKUP($B198,Показатели!$E:$W,5,FALSE)=0,"",VLOOKUP($B198,Показатели!$E:$W,5,FALSE)),"")</f>
        <v>924779000</v>
      </c>
      <c r="I198">
        <f>IFERROR(IF(VLOOKUP($B198,Показатели!$E:$W,6,FALSE)=0,"",VLOOKUP($B198,Показатели!$E:$W,6,FALSE)),"")</f>
        <v>130482454000</v>
      </c>
      <c r="J198">
        <f>IFERROR(IF(VLOOKUP($B198,Показатели!$E:$W,7,FALSE)=0,"",VLOOKUP($B198,Показатели!$E:$W,7,FALSE)),"")</f>
        <v>32608778000</v>
      </c>
      <c r="K198">
        <f>IFERROR(IF(VLOOKUP($B198,Показатели!$E:$W,8,FALSE)=0,"",VLOOKUP($B198,Показатели!$E:$W,8,FALSE)),"")</f>
        <v>29264748000</v>
      </c>
      <c r="L198">
        <f>IFERROR(IF(VLOOKUP($B198,Показатели!$E:$W,9,FALSE)=0,"",VLOOKUP($B198,Показатели!$E:$W,9,FALSE)),"")</f>
        <v>58511792000</v>
      </c>
      <c r="M198">
        <f>IFERROR(IF(VLOOKUP($B198,Показатели!$E:$W,10,FALSE)=0,"",VLOOKUP($B198,Показатели!$E:$W,10,FALSE)),"")</f>
        <v>68608928000</v>
      </c>
      <c r="N198">
        <f>IFERROR(IF(VLOOKUP($B198,Показатели!$E:$W,11,FALSE)=0,"",VLOOKUP($B198,Показатели!$E:$W,11,FALSE)),"")</f>
        <v>106686770000</v>
      </c>
      <c r="O198">
        <f>IFERROR(IF(VLOOKUP($B198,Показатели!$E:$W,12,FALSE)=0,"",VLOOKUP($B198,Показатели!$E:$W,12,FALSE)),"")</f>
        <v>16499336000</v>
      </c>
      <c r="P198">
        <f>IFERROR(IF(VLOOKUP($B198,Показатели!$E:$W,13,FALSE)=0,"",VLOOKUP($B198,Показатели!$E:$W,13,FALSE)),"")</f>
        <v>12923890000</v>
      </c>
      <c r="Q198">
        <f>IFERROR(IF(VLOOKUP($B198,Показатели!$E:$W,14,FALSE)=0,"",VLOOKUP($B198,Показатели!$E:$W,14,FALSE)),"")</f>
        <v>9952294000</v>
      </c>
      <c r="R198">
        <f>IFERROR(IF(VLOOKUP($B198,Показатели!$E:$W,15,FALSE)=0,"",VLOOKUP($B198,Показатели!$E:$W,15,FALSE)),"")</f>
        <v>9554617000</v>
      </c>
      <c r="S198">
        <f>IFERROR(IF(VLOOKUP($B198,Показатели!$E:$W,16,FALSE)=0,"",VLOOKUP($B198,Показатели!$E:$W,16,FALSE)),"")</f>
        <v>25324639000</v>
      </c>
      <c r="T198">
        <f>IFERROR(IF(VLOOKUP($B198,Показатели!$E:$W,17,FALSE)=0,"",VLOOKUP($B198,Показатели!$E:$W,17,FALSE)),"")</f>
        <v>-17451586000</v>
      </c>
      <c r="U198">
        <f>IFERROR(IF(VLOOKUP($B198,Показатели!$E:$W,18,FALSE)=0,"",VLOOKUP($B198,Показатели!$E:$W,18,FALSE)),"")</f>
        <v>96739852000</v>
      </c>
      <c r="V198">
        <f>IFERROR(IF(VLOOKUP($B198,Показатели!$E:$W,19,FALSE)=0,"",VLOOKUP($B198,Показатели!$E:$W,19,FALSE)),"")</f>
        <v>118235604000</v>
      </c>
    </row>
    <row r="199" spans="1:22" x14ac:dyDescent="0.2">
      <c r="A199" s="7" t="s">
        <v>2202</v>
      </c>
      <c r="B199" t="str">
        <f t="shared" si="3"/>
        <v>MRKP IV кв. 2020</v>
      </c>
      <c r="C199">
        <v>2020</v>
      </c>
      <c r="D199">
        <f>SUMIFS(Дивиденды!$C:$C,Дивиденды!$A:$A,A199,Дивиденды!$I:$I,C199)</f>
        <v>2.5899999999999999E-2</v>
      </c>
      <c r="E199">
        <f>IFERROR(IF(VLOOKUP($B199,Показатели!$E:$W,2,FALSE)=0,"",VLOOKUP($B199,Показатели!$E:$W,2,FALSE)),"")</f>
        <v>1763483000</v>
      </c>
      <c r="F199">
        <f>IFERROR(IF(VLOOKUP($B199,Показатели!$E:$W,3,FALSE)=0,"",VLOOKUP($B199,Показатели!$E:$W,3,FALSE)),"")</f>
        <v>20502851000</v>
      </c>
      <c r="G199">
        <f>IFERROR(IF(VLOOKUP($B199,Показатели!$E:$W,4,FALSE)=0,"",VLOOKUP($B199,Показатели!$E:$W,4,FALSE)),"")</f>
        <v>82261986000</v>
      </c>
      <c r="H199">
        <f>IFERROR(IF(VLOOKUP($B199,Показатели!$E:$W,5,FALSE)=0,"",VLOOKUP($B199,Показатели!$E:$W,5,FALSE)),"")</f>
        <v>915451000</v>
      </c>
      <c r="I199">
        <f>IFERROR(IF(VLOOKUP($B199,Показатели!$E:$W,6,FALSE)=0,"",VLOOKUP($B199,Показатели!$E:$W,6,FALSE)),"")</f>
        <v>118235604000</v>
      </c>
      <c r="J199">
        <f>IFERROR(IF(VLOOKUP($B199,Показатели!$E:$W,7,FALSE)=0,"",VLOOKUP($B199,Показатели!$E:$W,7,FALSE)),"")</f>
        <v>29845783000</v>
      </c>
      <c r="K199">
        <f>IFERROR(IF(VLOOKUP($B199,Показатели!$E:$W,8,FALSE)=0,"",VLOOKUP($B199,Показатели!$E:$W,8,FALSE)),"")</f>
        <v>27001939000</v>
      </c>
      <c r="L199">
        <f>IFERROR(IF(VLOOKUP($B199,Показатели!$E:$W,9,FALSE)=0,"",VLOOKUP($B199,Показатели!$E:$W,9,FALSE)),"")</f>
        <v>51447477000</v>
      </c>
      <c r="M199">
        <f>IFERROR(IF(VLOOKUP($B199,Показатели!$E:$W,10,FALSE)=0,"",VLOOKUP($B199,Показатели!$E:$W,10,FALSE)),"")</f>
        <v>61387882000</v>
      </c>
      <c r="N199">
        <f>IFERROR(IF(VLOOKUP($B199,Показатели!$E:$W,11,FALSE)=0,"",VLOOKUP($B199,Показатели!$E:$W,11,FALSE)),"")</f>
        <v>96739852000</v>
      </c>
      <c r="O199">
        <f>IFERROR(IF(VLOOKUP($B199,Показатели!$E:$W,12,FALSE)=0,"",VLOOKUP($B199,Показатели!$E:$W,12,FALSE)),"")</f>
        <v>11687881000</v>
      </c>
      <c r="P199">
        <f>IFERROR(IF(VLOOKUP($B199,Показатели!$E:$W,13,FALSE)=0,"",VLOOKUP($B199,Показатели!$E:$W,13,FALSE)),"")</f>
        <v>8232840000</v>
      </c>
      <c r="Q199">
        <f>IFERROR(IF(VLOOKUP($B199,Показатели!$E:$W,14,FALSE)=0,"",VLOOKUP($B199,Показатели!$E:$W,14,FALSE)),"")</f>
        <v>6429135000</v>
      </c>
      <c r="R199">
        <f>IFERROR(IF(VLOOKUP($B199,Показатели!$E:$W,15,FALSE)=0,"",VLOOKUP($B199,Показатели!$E:$W,15,FALSE)),"")</f>
        <v>8521106000</v>
      </c>
      <c r="S199">
        <f>IFERROR(IF(VLOOKUP($B199,Показатели!$E:$W,16,FALSE)=0,"",VLOOKUP($B199,Показатели!$E:$W,16,FALSE)),"")</f>
        <v>20071595000</v>
      </c>
      <c r="T199">
        <f>IFERROR(IF(VLOOKUP($B199,Показатели!$E:$W,17,FALSE)=0,"",VLOOKUP($B199,Показатели!$E:$W,17,FALSE)),"")</f>
        <v>-12217586000</v>
      </c>
      <c r="U199">
        <f>IFERROR(IF(VLOOKUP($B199,Показатели!$E:$W,18,FALSE)=0,"",VLOOKUP($B199,Показатели!$E:$W,18,FALSE)),"")</f>
        <v>96534027000</v>
      </c>
      <c r="V199">
        <f>IFERROR(IF(VLOOKUP($B199,Показатели!$E:$W,19,FALSE)=0,"",VLOOKUP($B199,Показатели!$E:$W,19,FALSE)),"")</f>
        <v>109406792000</v>
      </c>
    </row>
    <row r="200" spans="1:22" x14ac:dyDescent="0.2">
      <c r="A200" s="7" t="s">
        <v>2202</v>
      </c>
      <c r="B200" t="str">
        <f t="shared" si="3"/>
        <v>MRKP IV кв. 2019</v>
      </c>
      <c r="C200">
        <v>2019</v>
      </c>
      <c r="D200">
        <f>SUMIFS(Дивиденды!$C:$C,Дивиденды!$A:$A,A200,Дивиденды!$I:$I,C200)</f>
        <v>1.6299999999999999E-2</v>
      </c>
      <c r="E200">
        <f>IFERROR(IF(VLOOKUP($B200,Показатели!$E:$W,2,FALSE)=0,"",VLOOKUP($B200,Показатели!$E:$W,2,FALSE)),"")</f>
        <v>2057384000</v>
      </c>
      <c r="F200">
        <f>IFERROR(IF(VLOOKUP($B200,Показатели!$E:$W,3,FALSE)=0,"",VLOOKUP($B200,Показатели!$E:$W,3,FALSE)),"")</f>
        <v>28483513000</v>
      </c>
      <c r="G200">
        <f>IFERROR(IF(VLOOKUP($B200,Показатели!$E:$W,4,FALSE)=0,"",VLOOKUP($B200,Показатели!$E:$W,4,FALSE)),"")</f>
        <v>77277693000</v>
      </c>
      <c r="H200">
        <f>IFERROR(IF(VLOOKUP($B200,Показатели!$E:$W,5,FALSE)=0,"",VLOOKUP($B200,Показатели!$E:$W,5,FALSE)),"")</f>
        <v>932515000</v>
      </c>
      <c r="I200">
        <f>IFERROR(IF(VLOOKUP($B200,Показатели!$E:$W,6,FALSE)=0,"",VLOOKUP($B200,Показатели!$E:$W,6,FALSE)),"")</f>
        <v>109406792000</v>
      </c>
      <c r="J200">
        <f>IFERROR(IF(VLOOKUP($B200,Показатели!$E:$W,7,FALSE)=0,"",VLOOKUP($B200,Показатели!$E:$W,7,FALSE)),"")</f>
        <v>28345159000</v>
      </c>
      <c r="K200">
        <f>IFERROR(IF(VLOOKUP($B200,Показатели!$E:$W,8,FALSE)=0,"",VLOOKUP($B200,Показатели!$E:$W,8,FALSE)),"")</f>
        <v>26113938000</v>
      </c>
      <c r="L200">
        <f>IFERROR(IF(VLOOKUP($B200,Показатели!$E:$W,9,FALSE)=0,"",VLOOKUP($B200,Показатели!$E:$W,9,FALSE)),"")</f>
        <v>45005427000</v>
      </c>
      <c r="M200">
        <f>IFERROR(IF(VLOOKUP($B200,Показатели!$E:$W,10,FALSE)=0,"",VLOOKUP($B200,Показатели!$E:$W,10,FALSE)),"")</f>
        <v>54947695000</v>
      </c>
      <c r="N200">
        <f>IFERROR(IF(VLOOKUP($B200,Показатели!$E:$W,11,FALSE)=0,"",VLOOKUP($B200,Показатели!$E:$W,11,FALSE)),"")</f>
        <v>96534027000</v>
      </c>
      <c r="O200">
        <f>IFERROR(IF(VLOOKUP($B200,Показатели!$E:$W,12,FALSE)=0,"",VLOOKUP($B200,Показатели!$E:$W,12,FALSE)),"")</f>
        <v>10679591000</v>
      </c>
      <c r="P200">
        <f>IFERROR(IF(VLOOKUP($B200,Показатели!$E:$W,13,FALSE)=0,"",VLOOKUP($B200,Показатели!$E:$W,13,FALSE)),"")</f>
        <v>8752205000</v>
      </c>
      <c r="Q200">
        <f>IFERROR(IF(VLOOKUP($B200,Показатели!$E:$W,14,FALSE)=0,"",VLOOKUP($B200,Показатели!$E:$W,14,FALSE)),"")</f>
        <v>6686587000</v>
      </c>
      <c r="R200">
        <f>IFERROR(IF(VLOOKUP($B200,Показатели!$E:$W,15,FALSE)=0,"",VLOOKUP($B200,Показатели!$E:$W,15,FALSE)),"")</f>
        <v>7683758000</v>
      </c>
      <c r="S200">
        <f>IFERROR(IF(VLOOKUP($B200,Показатели!$E:$W,16,FALSE)=0,"",VLOOKUP($B200,Показатели!$E:$W,16,FALSE)),"")</f>
        <v>17158189000</v>
      </c>
      <c r="T200">
        <f>IFERROR(IF(VLOOKUP($B200,Показатели!$E:$W,17,FALSE)=0,"",VLOOKUP($B200,Показатели!$E:$W,17,FALSE)),"")</f>
        <v>-13024157000</v>
      </c>
      <c r="U200">
        <f>IFERROR(IF(VLOOKUP($B200,Показатели!$E:$W,18,FALSE)=0,"",VLOOKUP($B200,Показатели!$E:$W,18,FALSE)),"")</f>
        <v>94212826000</v>
      </c>
      <c r="V200">
        <f>IFERROR(IF(VLOOKUP($B200,Показатели!$E:$W,19,FALSE)=0,"",VLOOKUP($B200,Показатели!$E:$W,19,FALSE)),"")</f>
        <v>103649510000</v>
      </c>
    </row>
    <row r="201" spans="1:22" x14ac:dyDescent="0.2">
      <c r="A201" s="7" t="s">
        <v>2202</v>
      </c>
      <c r="B201" t="str">
        <f t="shared" si="3"/>
        <v>MRKP IV кв. 2018</v>
      </c>
      <c r="C201">
        <v>2018</v>
      </c>
      <c r="D201">
        <f>SUMIFS(Дивиденды!$C:$C,Дивиденды!$A:$A,A201,Дивиденды!$I:$I,C201)</f>
        <v>4.07E-2</v>
      </c>
      <c r="E201">
        <f>IFERROR(IF(VLOOKUP($B201,Показатели!$E:$W,2,FALSE)=0,"",VLOOKUP($B201,Показатели!$E:$W,2,FALSE)),"")</f>
        <v>6672387000</v>
      </c>
      <c r="F201">
        <f>IFERROR(IF(VLOOKUP($B201,Показатели!$E:$W,3,FALSE)=0,"",VLOOKUP($B201,Показатели!$E:$W,3,FALSE)),"")</f>
        <v>28226657000</v>
      </c>
      <c r="G201">
        <f>IFERROR(IF(VLOOKUP($B201,Показатели!$E:$W,4,FALSE)=0,"",VLOOKUP($B201,Показатели!$E:$W,4,FALSE)),"")</f>
        <v>71298437000</v>
      </c>
      <c r="H201" t="str">
        <f>IFERROR(IF(VLOOKUP($B201,Показатели!$E:$W,5,FALSE)=0,"",VLOOKUP($B201,Показатели!$E:$W,5,FALSE)),"")</f>
        <v/>
      </c>
      <c r="I201">
        <f>IFERROR(IF(VLOOKUP($B201,Показатели!$E:$W,6,FALSE)=0,"",VLOOKUP($B201,Показатели!$E:$W,6,FALSE)),"")</f>
        <v>103649510000</v>
      </c>
      <c r="J201">
        <f>IFERROR(IF(VLOOKUP($B201,Показатели!$E:$W,7,FALSE)=0,"",VLOOKUP($B201,Показатели!$E:$W,7,FALSE)),"")</f>
        <v>25808298000</v>
      </c>
      <c r="K201">
        <f>IFERROR(IF(VLOOKUP($B201,Показатели!$E:$W,8,FALSE)=0,"",VLOOKUP($B201,Показатели!$E:$W,8,FALSE)),"")</f>
        <v>23161304000</v>
      </c>
      <c r="L201">
        <f>IFERROR(IF(VLOOKUP($B201,Показатели!$E:$W,9,FALSE)=0,"",VLOOKUP($B201,Показатели!$E:$W,9,FALSE)),"")</f>
        <v>44741148000</v>
      </c>
      <c r="M201">
        <f>IFERROR(IF(VLOOKUP($B201,Показатели!$E:$W,10,FALSE)=0,"",VLOOKUP($B201,Показатели!$E:$W,10,FALSE)),"")</f>
        <v>54679908000</v>
      </c>
      <c r="N201">
        <f>IFERROR(IF(VLOOKUP($B201,Показатели!$E:$W,11,FALSE)=0,"",VLOOKUP($B201,Показатели!$E:$W,11,FALSE)),"")</f>
        <v>94212826000</v>
      </c>
      <c r="O201">
        <f>IFERROR(IF(VLOOKUP($B201,Показатели!$E:$W,12,FALSE)=0,"",VLOOKUP($B201,Показатели!$E:$W,12,FALSE)),"")</f>
        <v>17089780000</v>
      </c>
      <c r="P201">
        <f>IFERROR(IF(VLOOKUP($B201,Показатели!$E:$W,13,FALSE)=0,"",VLOOKUP($B201,Показатели!$E:$W,13,FALSE)),"")</f>
        <v>15570833000</v>
      </c>
      <c r="Q201">
        <f>IFERROR(IF(VLOOKUP($B201,Показатели!$E:$W,14,FALSE)=0,"",VLOOKUP($B201,Показатели!$E:$W,14,FALSE)),"")</f>
        <v>11721465000</v>
      </c>
      <c r="R201">
        <f>IFERROR(IF(VLOOKUP($B201,Показатели!$E:$W,15,FALSE)=0,"",VLOOKUP($B201,Показатели!$E:$W,15,FALSE)),"")</f>
        <v>6969464000</v>
      </c>
      <c r="S201">
        <f>IFERROR(IF(VLOOKUP($B201,Показатели!$E:$W,16,FALSE)=0,"",VLOOKUP($B201,Показатели!$E:$W,16,FALSE)),"")</f>
        <v>22155339000</v>
      </c>
      <c r="T201">
        <f>IFERROR(IF(VLOOKUP($B201,Показатели!$E:$W,17,FALSE)=0,"",VLOOKUP($B201,Показатели!$E:$W,17,FALSE)),"")</f>
        <v>-13119612000</v>
      </c>
      <c r="U201">
        <f>IFERROR(IF(VLOOKUP($B201,Показатели!$E:$W,18,FALSE)=0,"",VLOOKUP($B201,Показатели!$E:$W,18,FALSE)),"")</f>
        <v>91002193000</v>
      </c>
      <c r="V201">
        <f>IFERROR(IF(VLOOKUP($B201,Показатели!$E:$W,19,FALSE)=0,"",VLOOKUP($B201,Показатели!$E:$W,19,FALSE)),"")</f>
        <v>89903006000</v>
      </c>
    </row>
    <row r="202" spans="1:22" x14ac:dyDescent="0.2">
      <c r="A202" s="7" t="s">
        <v>2202</v>
      </c>
      <c r="B202" t="str">
        <f t="shared" si="3"/>
        <v>MRKP IV кв. 2017</v>
      </c>
      <c r="C202">
        <v>2017</v>
      </c>
      <c r="D202">
        <f>SUMIFS(Дивиденды!$C:$C,Дивиденды!$A:$A,A202,Дивиденды!$I:$I,C202)</f>
        <v>4.02E-2</v>
      </c>
      <c r="E202">
        <f>IFERROR(IF(VLOOKUP($B202,Показатели!$E:$W,2,FALSE)=0,"",VLOOKUP($B202,Показатели!$E:$W,2,FALSE)),"")</f>
        <v>3815884000</v>
      </c>
      <c r="F202">
        <f>IFERROR(IF(VLOOKUP($B202,Показатели!$E:$W,3,FALSE)=0,"",VLOOKUP($B202,Показатели!$E:$W,3,FALSE)),"")</f>
        <v>18087673000</v>
      </c>
      <c r="G202">
        <f>IFERROR(IF(VLOOKUP($B202,Показатели!$E:$W,4,FALSE)=0,"",VLOOKUP($B202,Показатели!$E:$W,4,FALSE)),"")</f>
        <v>64781771000</v>
      </c>
      <c r="H202">
        <f>IFERROR(IF(VLOOKUP($B202,Показатели!$E:$W,5,FALSE)=0,"",VLOOKUP($B202,Показатели!$E:$W,5,FALSE)),"")</f>
        <v>910793000</v>
      </c>
      <c r="I202">
        <f>IFERROR(IF(VLOOKUP($B202,Показатели!$E:$W,6,FALSE)=0,"",VLOOKUP($B202,Показатели!$E:$W,6,FALSE)),"")</f>
        <v>89903006000</v>
      </c>
      <c r="J202">
        <f>IFERROR(IF(VLOOKUP($B202,Показатели!$E:$W,7,FALSE)=0,"",VLOOKUP($B202,Показатели!$E:$W,7,FALSE)),"")</f>
        <v>10073091000</v>
      </c>
      <c r="K202">
        <f>IFERROR(IF(VLOOKUP($B202,Показатели!$E:$W,8,FALSE)=0,"",VLOOKUP($B202,Показатели!$E:$W,8,FALSE)),"")</f>
        <v>32708633000</v>
      </c>
      <c r="L202">
        <f>IFERROR(IF(VLOOKUP($B202,Показатели!$E:$W,9,FALSE)=0,"",VLOOKUP($B202,Показатели!$E:$W,9,FALSE)),"")</f>
        <v>37547953000</v>
      </c>
      <c r="M202">
        <f>IFERROR(IF(VLOOKUP($B202,Показатели!$E:$W,10,FALSE)=0,"",VLOOKUP($B202,Показатели!$E:$W,10,FALSE)),"")</f>
        <v>47121282000</v>
      </c>
      <c r="N202">
        <f>IFERROR(IF(VLOOKUP($B202,Показатели!$E:$W,11,FALSE)=0,"",VLOOKUP($B202,Показатели!$E:$W,11,FALSE)),"")</f>
        <v>91002193000</v>
      </c>
      <c r="O202">
        <f>IFERROR(IF(VLOOKUP($B202,Показатели!$E:$W,12,FALSE)=0,"",VLOOKUP($B202,Показатели!$E:$W,12,FALSE)),"")</f>
        <v>16988587000</v>
      </c>
      <c r="P202">
        <f>IFERROR(IF(VLOOKUP($B202,Показатели!$E:$W,13,FALSE)=0,"",VLOOKUP($B202,Показатели!$E:$W,13,FALSE)),"")</f>
        <v>14623397000</v>
      </c>
      <c r="Q202">
        <f>IFERROR(IF(VLOOKUP($B202,Показатели!$E:$W,14,FALSE)=0,"",VLOOKUP($B202,Показатели!$E:$W,14,FALSE)),"")</f>
        <v>11352660000</v>
      </c>
      <c r="R202">
        <f>IFERROR(IF(VLOOKUP($B202,Показатели!$E:$W,15,FALSE)=0,"",VLOOKUP($B202,Показатели!$E:$W,15,FALSE)),"")</f>
        <v>6645166000</v>
      </c>
      <c r="S202">
        <f>IFERROR(IF(VLOOKUP($B202,Показатели!$E:$W,16,FALSE)=0,"",VLOOKUP($B202,Показатели!$E:$W,16,FALSE)),"")</f>
        <v>23479496000</v>
      </c>
      <c r="T202">
        <f>IFERROR(IF(VLOOKUP($B202,Показатели!$E:$W,17,FALSE)=0,"",VLOOKUP($B202,Показатели!$E:$W,17,FALSE)),"")</f>
        <v>-9912347000</v>
      </c>
      <c r="U202">
        <f>IFERROR(IF(VLOOKUP($B202,Показатели!$E:$W,18,FALSE)=0,"",VLOOKUP($B202,Показатели!$E:$W,18,FALSE)),"")</f>
        <v>78386082000</v>
      </c>
      <c r="V202">
        <f>IFERROR(IF(VLOOKUP($B202,Показатели!$E:$W,19,FALSE)=0,"",VLOOKUP($B202,Показатели!$E:$W,19,FALSE)),"")</f>
        <v>79797632000</v>
      </c>
    </row>
    <row r="203" spans="1:22" x14ac:dyDescent="0.2">
      <c r="A203" s="7" t="s">
        <v>2202</v>
      </c>
      <c r="B203" t="str">
        <f t="shared" si="3"/>
        <v>MRKP IV кв. 2016</v>
      </c>
      <c r="C203">
        <v>2016</v>
      </c>
      <c r="D203">
        <f>SUMIFS(Дивиденды!$C:$C,Дивиденды!$A:$A,A203,Дивиденды!$I:$I,C203)</f>
        <v>1.18E-2</v>
      </c>
      <c r="E203">
        <f>IFERROR(IF(VLOOKUP($B203,Показатели!$E:$W,2,FALSE)=0,"",VLOOKUP($B203,Показатели!$E:$W,2,FALSE)),"")</f>
        <v>1710467000</v>
      </c>
      <c r="F203">
        <f>IFERROR(IF(VLOOKUP($B203,Показатели!$E:$W,3,FALSE)=0,"",VLOOKUP($B203,Показатели!$E:$W,3,FALSE)),"")</f>
        <v>16822106000</v>
      </c>
      <c r="G203">
        <f>IFERROR(IF(VLOOKUP($B203,Показатели!$E:$W,4,FALSE)=0,"",VLOOKUP($B203,Показатели!$E:$W,4,FALSE)),"")</f>
        <v>61805291000</v>
      </c>
      <c r="H203" t="str">
        <f>IFERROR(IF(VLOOKUP($B203,Показатели!$E:$W,5,FALSE)=0,"",VLOOKUP($B203,Показатели!$E:$W,5,FALSE)),"")</f>
        <v/>
      </c>
      <c r="I203">
        <f>IFERROR(IF(VLOOKUP($B203,Показатели!$E:$W,6,FALSE)=0,"",VLOOKUP($B203,Показатели!$E:$W,6,FALSE)),"")</f>
        <v>79797632000</v>
      </c>
      <c r="J203">
        <f>IFERROR(IF(VLOOKUP($B203,Показатели!$E:$W,7,FALSE)=0,"",VLOOKUP($B203,Показатели!$E:$W,7,FALSE)),"")</f>
        <v>16331089000</v>
      </c>
      <c r="K203">
        <f>IFERROR(IF(VLOOKUP($B203,Показатели!$E:$W,8,FALSE)=0,"",VLOOKUP($B203,Показатели!$E:$W,8,FALSE)),"")</f>
        <v>26013220000</v>
      </c>
      <c r="L203">
        <f>IFERROR(IF(VLOOKUP($B203,Показатели!$E:$W,9,FALSE)=0,"",VLOOKUP($B203,Показатели!$E:$W,9,FALSE)),"")</f>
        <v>27506830000</v>
      </c>
      <c r="M203">
        <f>IFERROR(IF(VLOOKUP($B203,Показатели!$E:$W,10,FALSE)=0,"",VLOOKUP($B203,Показатели!$E:$W,10,FALSE)),"")</f>
        <v>37453323000</v>
      </c>
      <c r="N203">
        <f>IFERROR(IF(VLOOKUP($B203,Показатели!$E:$W,11,FALSE)=0,"",VLOOKUP($B203,Показатели!$E:$W,11,FALSE)),"")</f>
        <v>78386082000</v>
      </c>
      <c r="O203">
        <f>IFERROR(IF(VLOOKUP($B203,Показатели!$E:$W,12,FALSE)=0,"",VLOOKUP($B203,Показатели!$E:$W,12,FALSE)),"")</f>
        <v>7405408000</v>
      </c>
      <c r="P203">
        <f>IFERROR(IF(VLOOKUP($B203,Показатели!$E:$W,13,FALSE)=0,"",VLOOKUP($B203,Показатели!$E:$W,13,FALSE)),"")</f>
        <v>4904579000</v>
      </c>
      <c r="Q203">
        <f>IFERROR(IF(VLOOKUP($B203,Показатели!$E:$W,14,FALSE)=0,"",VLOOKUP($B203,Показатели!$E:$W,14,FALSE)),"")</f>
        <v>3612063000</v>
      </c>
      <c r="R203" t="str">
        <f>IFERROR(IF(VLOOKUP($B203,Показатели!$E:$W,15,FALSE)=0,"",VLOOKUP($B203,Показатели!$E:$W,15,FALSE)),"")</f>
        <v/>
      </c>
      <c r="S203">
        <f>IFERROR(IF(VLOOKUP($B203,Показатели!$E:$W,16,FALSE)=0,"",VLOOKUP($B203,Показатели!$E:$W,16,FALSE)),"")</f>
        <v>13212000000</v>
      </c>
      <c r="T203">
        <f>IFERROR(IF(VLOOKUP($B203,Показатели!$E:$W,17,FALSE)=0,"",VLOOKUP($B203,Показатели!$E:$W,17,FALSE)),"")</f>
        <v>-7583928000</v>
      </c>
      <c r="U203">
        <f>IFERROR(IF(VLOOKUP($B203,Показатели!$E:$W,18,FALSE)=0,"",VLOOKUP($B203,Показатели!$E:$W,18,FALSE)),"")</f>
        <v>69217283000</v>
      </c>
      <c r="V203">
        <f>IFERROR(IF(VLOOKUP($B203,Показатели!$E:$W,19,FALSE)=0,"",VLOOKUP($B203,Показатели!$E:$W,19,FALSE)),"")</f>
        <v>78771520000</v>
      </c>
    </row>
    <row r="204" spans="1:22" x14ac:dyDescent="0.2">
      <c r="A204" s="7" t="s">
        <v>2202</v>
      </c>
      <c r="B204" t="str">
        <f t="shared" si="3"/>
        <v>MRKP IV кв. 2015</v>
      </c>
      <c r="C204">
        <v>2015</v>
      </c>
      <c r="D204">
        <f>SUMIFS(Дивиденды!$C:$C,Дивиденды!$A:$A,A204,Дивиденды!$I:$I,C204)</f>
        <v>8.3639999999999999E-3</v>
      </c>
      <c r="E204">
        <f>IFERROR(IF(VLOOKUP($B204,Показатели!$E:$W,2,FALSE)=0,"",VLOOKUP($B204,Показатели!$E:$W,2,FALSE)),"")</f>
        <v>2230432000</v>
      </c>
      <c r="F204">
        <f>IFERROR(IF(VLOOKUP($B204,Показатели!$E:$W,3,FALSE)=0,"",VLOOKUP($B204,Показатели!$E:$W,3,FALSE)),"")</f>
        <v>17609516000</v>
      </c>
      <c r="G204">
        <f>IFERROR(IF(VLOOKUP($B204,Показатели!$E:$W,4,FALSE)=0,"",VLOOKUP($B204,Показатели!$E:$W,4,FALSE)),"")</f>
        <v>60006125000</v>
      </c>
      <c r="H204" t="str">
        <f>IFERROR(IF(VLOOKUP($B204,Показатели!$E:$W,5,FALSE)=0,"",VLOOKUP($B204,Показатели!$E:$W,5,FALSE)),"")</f>
        <v/>
      </c>
      <c r="I204">
        <f>IFERROR(IF(VLOOKUP($B204,Показатели!$E:$W,6,FALSE)=0,"",VLOOKUP($B204,Показатели!$E:$W,6,FALSE)),"")</f>
        <v>78771520000</v>
      </c>
      <c r="J204">
        <f>IFERROR(IF(VLOOKUP($B204,Показатели!$E:$W,7,FALSE)=0,"",VLOOKUP($B204,Показатели!$E:$W,7,FALSE)),"")</f>
        <v>21749393000</v>
      </c>
      <c r="K204">
        <f>IFERROR(IF(VLOOKUP($B204,Показатели!$E:$W,8,FALSE)=0,"",VLOOKUP($B204,Показатели!$E:$W,8,FALSE)),"")</f>
        <v>22273764000</v>
      </c>
      <c r="L204">
        <f>IFERROR(IF(VLOOKUP($B204,Показатели!$E:$W,9,FALSE)=0,"",VLOOKUP($B204,Показатели!$E:$W,9,FALSE)),"")</f>
        <v>23454115000</v>
      </c>
      <c r="M204">
        <f>IFERROR(IF(VLOOKUP($B204,Показатели!$E:$W,10,FALSE)=0,"",VLOOKUP($B204,Показатели!$E:$W,10,FALSE)),"")</f>
        <v>34748363000</v>
      </c>
      <c r="N204">
        <f>IFERROR(IF(VLOOKUP($B204,Показатели!$E:$W,11,FALSE)=0,"",VLOOKUP($B204,Показатели!$E:$W,11,FALSE)),"")</f>
        <v>69217283000</v>
      </c>
      <c r="O204">
        <f>IFERROR(IF(VLOOKUP($B204,Показатели!$E:$W,12,FALSE)=0,"",VLOOKUP($B204,Показатели!$E:$W,12,FALSE)),"")</f>
        <v>6763308000</v>
      </c>
      <c r="P204">
        <f>IFERROR(IF(VLOOKUP($B204,Показатели!$E:$W,13,FALSE)=0,"",VLOOKUP($B204,Показатели!$E:$W,13,FALSE)),"")</f>
        <v>4561527000</v>
      </c>
      <c r="Q204">
        <f>IFERROR(IF(VLOOKUP($B204,Показатели!$E:$W,14,FALSE)=0,"",VLOOKUP($B204,Показатели!$E:$W,14,FALSE)),"")</f>
        <v>3414280000</v>
      </c>
      <c r="R204" t="str">
        <f>IFERROR(IF(VLOOKUP($B204,Показатели!$E:$W,15,FALSE)=0,"",VLOOKUP($B204,Показатели!$E:$W,15,FALSE)),"")</f>
        <v/>
      </c>
      <c r="S204" t="str">
        <f>IFERROR(IF(VLOOKUP($B204,Показатели!$E:$W,16,FALSE)=0,"",VLOOKUP($B204,Показатели!$E:$W,16,FALSE)),"")</f>
        <v/>
      </c>
      <c r="T204">
        <f>IFERROR(IF(VLOOKUP($B204,Показатели!$E:$W,17,FALSE)=0,"",VLOOKUP($B204,Показатели!$E:$W,17,FALSE)),"")</f>
        <v>-5247601000</v>
      </c>
      <c r="U204">
        <f>IFERROR(IF(VLOOKUP($B204,Показатели!$E:$W,18,FALSE)=0,"",VLOOKUP($B204,Показатели!$E:$W,18,FALSE)),"")</f>
        <v>69773619000</v>
      </c>
      <c r="V204">
        <f>IFERROR(IF(VLOOKUP($B204,Показатели!$E:$W,19,FALSE)=0,"",VLOOKUP($B204,Показатели!$E:$W,19,FALSE)),"")</f>
        <v>78175494000</v>
      </c>
    </row>
    <row r="205" spans="1:22" x14ac:dyDescent="0.2">
      <c r="A205" s="7" t="s">
        <v>2202</v>
      </c>
      <c r="B205" t="str">
        <f t="shared" si="3"/>
        <v>MRKP IV кв. 2014</v>
      </c>
      <c r="C205">
        <v>2014</v>
      </c>
      <c r="D205">
        <f>SUMIFS(Дивиденды!$C:$C,Дивиденды!$A:$A,A205,Дивиденды!$I:$I,C205)</f>
        <v>3.0999999999999999E-3</v>
      </c>
      <c r="E205">
        <f>IFERROR(IF(VLOOKUP($B205,Показатели!$E:$W,2,FALSE)=0,"",VLOOKUP($B205,Показатели!$E:$W,2,FALSE)),"")</f>
        <v>2300653000</v>
      </c>
      <c r="F205">
        <f>IFERROR(IF(VLOOKUP($B205,Показатели!$E:$W,3,FALSE)=0,"",VLOOKUP($B205,Показатели!$E:$W,3,FALSE)),"")</f>
        <v>18606596000</v>
      </c>
      <c r="G205">
        <f>IFERROR(IF(VLOOKUP($B205,Показатели!$E:$W,4,FALSE)=0,"",VLOOKUP($B205,Показатели!$E:$W,4,FALSE)),"")</f>
        <v>58437584000</v>
      </c>
      <c r="H205" t="str">
        <f>IFERROR(IF(VLOOKUP($B205,Показатели!$E:$W,5,FALSE)=0,"",VLOOKUP($B205,Показатели!$E:$W,5,FALSE)),"")</f>
        <v/>
      </c>
      <c r="I205">
        <f>IFERROR(IF(VLOOKUP($B205,Показатели!$E:$W,6,FALSE)=0,"",VLOOKUP($B205,Показатели!$E:$W,6,FALSE)),"")</f>
        <v>78175494000</v>
      </c>
      <c r="J205">
        <f>IFERROR(IF(VLOOKUP($B205,Показатели!$E:$W,7,FALSE)=0,"",VLOOKUP($B205,Показатели!$E:$W,7,FALSE)),"")</f>
        <v>18573934000</v>
      </c>
      <c r="K205">
        <f>IFERROR(IF(VLOOKUP($B205,Показатели!$E:$W,8,FALSE)=0,"",VLOOKUP($B205,Показатели!$E:$W,8,FALSE)),"")</f>
        <v>27351146000</v>
      </c>
      <c r="L205" t="str">
        <f>IFERROR(IF(VLOOKUP($B205,Показатели!$E:$W,9,FALSE)=0,"",VLOOKUP($B205,Показатели!$E:$W,9,FALSE)),"")</f>
        <v/>
      </c>
      <c r="M205">
        <f>IFERROR(IF(VLOOKUP($B205,Показатели!$E:$W,10,FALSE)=0,"",VLOOKUP($B205,Показатели!$E:$W,10,FALSE)),"")</f>
        <v>32250414000</v>
      </c>
      <c r="N205">
        <f>IFERROR(IF(VLOOKUP($B205,Показатели!$E:$W,11,FALSE)=0,"",VLOOKUP($B205,Показатели!$E:$W,11,FALSE)),"")</f>
        <v>69773619000</v>
      </c>
      <c r="O205">
        <f>IFERROR(IF(VLOOKUP($B205,Показатели!$E:$W,12,FALSE)=0,"",VLOOKUP($B205,Показатели!$E:$W,12,FALSE)),"")</f>
        <v>923272000</v>
      </c>
      <c r="P205">
        <f>IFERROR(IF(VLOOKUP($B205,Показатели!$E:$W,13,FALSE)=0,"",VLOOKUP($B205,Показатели!$E:$W,13,FALSE)),"")</f>
        <v>-943322000</v>
      </c>
      <c r="Q205">
        <f>IFERROR(IF(VLOOKUP($B205,Показатели!$E:$W,14,FALSE)=0,"",VLOOKUP($B205,Показатели!$E:$W,14,FALSE)),"")</f>
        <v>-1629613000</v>
      </c>
      <c r="R205" t="str">
        <f>IFERROR(IF(VLOOKUP($B205,Показатели!$E:$W,15,FALSE)=0,"",VLOOKUP($B205,Показатели!$E:$W,15,FALSE)),"")</f>
        <v/>
      </c>
      <c r="S205" t="str">
        <f>IFERROR(IF(VLOOKUP($B205,Показатели!$E:$W,16,FALSE)=0,"",VLOOKUP($B205,Показатели!$E:$W,16,FALSE)),"")</f>
        <v/>
      </c>
      <c r="T205" t="str">
        <f>IFERROR(IF(VLOOKUP($B205,Показатели!$E:$W,17,FALSE)=0,"",VLOOKUP($B205,Показатели!$E:$W,17,FALSE)),"")</f>
        <v/>
      </c>
      <c r="U205">
        <f>IFERROR(IF(VLOOKUP($B205,Показатели!$E:$W,18,FALSE)=0,"",VLOOKUP($B205,Показатели!$E:$W,18,FALSE)),"")</f>
        <v>77554395000</v>
      </c>
      <c r="V205">
        <f>IFERROR(IF(VLOOKUP($B205,Показатели!$E:$W,19,FALSE)=0,"",VLOOKUP($B205,Показатели!$E:$W,19,FALSE)),"")</f>
        <v>76889773000</v>
      </c>
    </row>
    <row r="206" spans="1:22" x14ac:dyDescent="0.2">
      <c r="A206" s="7" t="s">
        <v>2202</v>
      </c>
      <c r="B206" t="str">
        <f t="shared" si="3"/>
        <v>MRKP IV кв. 2013</v>
      </c>
      <c r="C206">
        <v>2013</v>
      </c>
      <c r="D206">
        <f>SUMIFS(Дивиденды!$C:$C,Дивиденды!$A:$A,A206,Дивиденды!$I:$I,C206)</f>
        <v>5.6299999999999996E-3</v>
      </c>
      <c r="E206">
        <f>IFERROR(IF(VLOOKUP($B206,Показатели!$E:$W,2,FALSE)=0,"",VLOOKUP($B206,Показатели!$E:$W,2,FALSE)),"")</f>
        <v>1380280000</v>
      </c>
      <c r="F206">
        <f>IFERROR(IF(VLOOKUP($B206,Показатели!$E:$W,3,FALSE)=0,"",VLOOKUP($B206,Показатели!$E:$W,3,FALSE)),"")</f>
        <v>15939260000</v>
      </c>
      <c r="G206">
        <f>IFERROR(IF(VLOOKUP($B206,Показатели!$E:$W,4,FALSE)=0,"",VLOOKUP($B206,Показатели!$E:$W,4,FALSE)),"")</f>
        <v>59794442000</v>
      </c>
      <c r="H206" t="str">
        <f>IFERROR(IF(VLOOKUP($B206,Показатели!$E:$W,5,FALSE)=0,"",VLOOKUP($B206,Показатели!$E:$W,5,FALSE)),"")</f>
        <v/>
      </c>
      <c r="I206">
        <f>IFERROR(IF(VLOOKUP($B206,Показатели!$E:$W,6,FALSE)=0,"",VLOOKUP($B206,Показатели!$E:$W,6,FALSE)),"")</f>
        <v>76889773000</v>
      </c>
      <c r="J206">
        <f>IFERROR(IF(VLOOKUP($B206,Показатели!$E:$W,7,FALSE)=0,"",VLOOKUP($B206,Показатели!$E:$W,7,FALSE)),"")</f>
        <v>12610635000</v>
      </c>
      <c r="K206">
        <f>IFERROR(IF(VLOOKUP($B206,Показатели!$E:$W,8,FALSE)=0,"",VLOOKUP($B206,Показатели!$E:$W,8,FALSE)),"")</f>
        <v>29823181000</v>
      </c>
      <c r="L206" t="str">
        <f>IFERROR(IF(VLOOKUP($B206,Показатели!$E:$W,9,FALSE)=0,"",VLOOKUP($B206,Показатели!$E:$W,9,FALSE)),"")</f>
        <v/>
      </c>
      <c r="M206">
        <f>IFERROR(IF(VLOOKUP($B206,Показатели!$E:$W,10,FALSE)=0,"",VLOOKUP($B206,Показатели!$E:$W,10,FALSE)),"")</f>
        <v>34455957000</v>
      </c>
      <c r="N206">
        <f>IFERROR(IF(VLOOKUP($B206,Показатели!$E:$W,11,FALSE)=0,"",VLOOKUP($B206,Показатели!$E:$W,11,FALSE)),"")</f>
        <v>77554395000</v>
      </c>
      <c r="O206">
        <f>IFERROR(IF(VLOOKUP($B206,Показатели!$E:$W,12,FALSE)=0,"",VLOOKUP($B206,Показатели!$E:$W,12,FALSE)),"")</f>
        <v>4238005000</v>
      </c>
      <c r="P206">
        <f>IFERROR(IF(VLOOKUP($B206,Показатели!$E:$W,13,FALSE)=0,"",VLOOKUP($B206,Показатели!$E:$W,13,FALSE)),"")</f>
        <v>2322757000</v>
      </c>
      <c r="Q206">
        <f>IFERROR(IF(VLOOKUP($B206,Показатели!$E:$W,14,FALSE)=0,"",VLOOKUP($B206,Показатели!$E:$W,14,FALSE)),"")</f>
        <v>1751535000</v>
      </c>
      <c r="R206" t="str">
        <f>IFERROR(IF(VLOOKUP($B206,Показатели!$E:$W,15,FALSE)=0,"",VLOOKUP($B206,Показатели!$E:$W,15,FALSE)),"")</f>
        <v/>
      </c>
      <c r="S206">
        <f>IFERROR(IF(VLOOKUP($B206,Показатели!$E:$W,16,FALSE)=0,"",VLOOKUP($B206,Показатели!$E:$W,16,FALSE)),"")</f>
        <v>9698000</v>
      </c>
      <c r="T206" t="str">
        <f>IFERROR(IF(VLOOKUP($B206,Показатели!$E:$W,17,FALSE)=0,"",VLOOKUP($B206,Показатели!$E:$W,17,FALSE)),"")</f>
        <v/>
      </c>
      <c r="U206">
        <f>IFERROR(IF(VLOOKUP($B206,Показатели!$E:$W,18,FALSE)=0,"",VLOOKUP($B206,Показатели!$E:$W,18,FALSE)),"")</f>
        <v>60081658000</v>
      </c>
      <c r="V206">
        <f>IFERROR(IF(VLOOKUP($B206,Показатели!$E:$W,19,FALSE)=0,"",VLOOKUP($B206,Показатели!$E:$W,19,FALSE)),"")</f>
        <v>73309165000</v>
      </c>
    </row>
    <row r="207" spans="1:22" x14ac:dyDescent="0.2">
      <c r="A207" s="7" t="s">
        <v>2202</v>
      </c>
      <c r="B207" t="str">
        <f t="shared" si="3"/>
        <v>MRKP IV кв. 2012</v>
      </c>
      <c r="C207">
        <v>2012</v>
      </c>
      <c r="D207">
        <f>SUMIFS(Дивиденды!$C:$C,Дивиденды!$A:$A,A207,Дивиденды!$I:$I,C207)</f>
        <v>4.2500000000000003E-3</v>
      </c>
      <c r="E207">
        <f>IFERROR(IF(VLOOKUP($B207,Показатели!$E:$W,2,FALSE)=0,"",VLOOKUP($B207,Показатели!$E:$W,2,FALSE)),"")</f>
        <v>2606256000</v>
      </c>
      <c r="F207">
        <f>IFERROR(IF(VLOOKUP($B207,Показатели!$E:$W,3,FALSE)=0,"",VLOOKUP($B207,Показатели!$E:$W,3,FALSE)),"")</f>
        <v>14155262000</v>
      </c>
      <c r="G207">
        <f>IFERROR(IF(VLOOKUP($B207,Показатели!$E:$W,4,FALSE)=0,"",VLOOKUP($B207,Показатели!$E:$W,4,FALSE)),"")</f>
        <v>57998354000</v>
      </c>
      <c r="H207" t="str">
        <f>IFERROR(IF(VLOOKUP($B207,Показатели!$E:$W,5,FALSE)=0,"",VLOOKUP($B207,Показатели!$E:$W,5,FALSE)),"")</f>
        <v/>
      </c>
      <c r="I207">
        <f>IFERROR(IF(VLOOKUP($B207,Показатели!$E:$W,6,FALSE)=0,"",VLOOKUP($B207,Показатели!$E:$W,6,FALSE)),"")</f>
        <v>73309165000</v>
      </c>
      <c r="J207">
        <f>IFERROR(IF(VLOOKUP($B207,Показатели!$E:$W,7,FALSE)=0,"",VLOOKUP($B207,Показатели!$E:$W,7,FALSE)),"")</f>
        <v>10248848000</v>
      </c>
      <c r="K207">
        <f>IFERROR(IF(VLOOKUP($B207,Показатели!$E:$W,8,FALSE)=0,"",VLOOKUP($B207,Показатели!$E:$W,8,FALSE)),"")</f>
        <v>28705633000</v>
      </c>
      <c r="L207" t="str">
        <f>IFERROR(IF(VLOOKUP($B207,Показатели!$E:$W,9,FALSE)=0,"",VLOOKUP($B207,Показатели!$E:$W,9,FALSE)),"")</f>
        <v/>
      </c>
      <c r="M207">
        <f>IFERROR(IF(VLOOKUP($B207,Показатели!$E:$W,10,FALSE)=0,"",VLOOKUP($B207,Показатели!$E:$W,10,FALSE)),"")</f>
        <v>34354684000</v>
      </c>
      <c r="N207">
        <f>IFERROR(IF(VLOOKUP($B207,Показатели!$E:$W,11,FALSE)=0,"",VLOOKUP($B207,Показатели!$E:$W,11,FALSE)),"")</f>
        <v>60081658000</v>
      </c>
      <c r="O207">
        <f>IFERROR(IF(VLOOKUP($B207,Показатели!$E:$W,12,FALSE)=0,"",VLOOKUP($B207,Показатели!$E:$W,12,FALSE)),"")</f>
        <v>3596232000</v>
      </c>
      <c r="P207">
        <f>IFERROR(IF(VLOOKUP($B207,Показатели!$E:$W,13,FALSE)=0,"",VLOOKUP($B207,Показатели!$E:$W,13,FALSE)),"")</f>
        <v>2072437000</v>
      </c>
      <c r="Q207">
        <f>IFERROR(IF(VLOOKUP($B207,Показатели!$E:$W,14,FALSE)=0,"",VLOOKUP($B207,Показатели!$E:$W,14,FALSE)),"")</f>
        <v>1543553000</v>
      </c>
      <c r="R207" t="str">
        <f>IFERROR(IF(VLOOKUP($B207,Показатели!$E:$W,15,FALSE)=0,"",VLOOKUP($B207,Показатели!$E:$W,15,FALSE)),"")</f>
        <v/>
      </c>
      <c r="S207">
        <f>IFERROR(IF(VLOOKUP($B207,Показатели!$E:$W,16,FALSE)=0,"",VLOOKUP($B207,Показатели!$E:$W,16,FALSE)),"")</f>
        <v>9265000000</v>
      </c>
      <c r="T207" t="str">
        <f>IFERROR(IF(VLOOKUP($B207,Показатели!$E:$W,17,FALSE)=0,"",VLOOKUP($B207,Показатели!$E:$W,17,FALSE)),"")</f>
        <v/>
      </c>
      <c r="U207" t="str">
        <f>IFERROR(IF(VLOOKUP($B207,Показатели!$E:$W,18,FALSE)=0,"",VLOOKUP($B207,Показатели!$E:$W,18,FALSE)),"")</f>
        <v/>
      </c>
      <c r="V207" t="str">
        <f>IFERROR(IF(VLOOKUP($B207,Показатели!$E:$W,19,FALSE)=0,"",VLOOKUP($B207,Показатели!$E:$W,19,FALSE)),"")</f>
        <v/>
      </c>
    </row>
    <row r="208" spans="1:22" x14ac:dyDescent="0.2">
      <c r="A208" s="7" t="s">
        <v>2202</v>
      </c>
      <c r="B208" t="str">
        <f t="shared" si="3"/>
        <v>MRKP IV кв. 2011</v>
      </c>
      <c r="C208">
        <v>2011</v>
      </c>
      <c r="D208">
        <f>SUMIFS(Дивиденды!$C:$C,Дивиденды!$A:$A,A208,Дивиденды!$I:$I,C208)</f>
        <v>2.8E-3</v>
      </c>
      <c r="E208" t="str">
        <f>IFERROR(IF(VLOOKUP($B208,Показатели!$E:$W,2,FALSE)=0,"",VLOOKUP($B208,Показатели!$E:$W,2,FALSE)),"")</f>
        <v/>
      </c>
      <c r="F208" t="str">
        <f>IFERROR(IF(VLOOKUP($B208,Показатели!$E:$W,3,FALSE)=0,"",VLOOKUP($B208,Показатели!$E:$W,3,FALSE)),"")</f>
        <v/>
      </c>
      <c r="G208" t="str">
        <f>IFERROR(IF(VLOOKUP($B208,Показатели!$E:$W,4,FALSE)=0,"",VLOOKUP($B208,Показатели!$E:$W,4,FALSE)),"")</f>
        <v/>
      </c>
      <c r="H208" t="str">
        <f>IFERROR(IF(VLOOKUP($B208,Показатели!$E:$W,5,FALSE)=0,"",VLOOKUP($B208,Показатели!$E:$W,5,FALSE)),"")</f>
        <v/>
      </c>
      <c r="I208" t="str">
        <f>IFERROR(IF(VLOOKUP($B208,Показатели!$E:$W,6,FALSE)=0,"",VLOOKUP($B208,Показатели!$E:$W,6,FALSE)),"")</f>
        <v/>
      </c>
      <c r="J208" t="str">
        <f>IFERROR(IF(VLOOKUP($B208,Показатели!$E:$W,7,FALSE)=0,"",VLOOKUP($B208,Показатели!$E:$W,7,FALSE)),"")</f>
        <v/>
      </c>
      <c r="K208" t="str">
        <f>IFERROR(IF(VLOOKUP($B208,Показатели!$E:$W,8,FALSE)=0,"",VLOOKUP($B208,Показатели!$E:$W,8,FALSE)),"")</f>
        <v/>
      </c>
      <c r="L208" t="str">
        <f>IFERROR(IF(VLOOKUP($B208,Показатели!$E:$W,9,FALSE)=0,"",VLOOKUP($B208,Показатели!$E:$W,9,FALSE)),"")</f>
        <v/>
      </c>
      <c r="M208" t="str">
        <f>IFERROR(IF(VLOOKUP($B208,Показатели!$E:$W,10,FALSE)=0,"",VLOOKUP($B208,Показатели!$E:$W,10,FALSE)),"")</f>
        <v/>
      </c>
      <c r="N208" t="str">
        <f>IFERROR(IF(VLOOKUP($B208,Показатели!$E:$W,11,FALSE)=0,"",VLOOKUP($B208,Показатели!$E:$W,11,FALSE)),"")</f>
        <v/>
      </c>
      <c r="O208" t="str">
        <f>IFERROR(IF(VLOOKUP($B208,Показатели!$E:$W,12,FALSE)=0,"",VLOOKUP($B208,Показатели!$E:$W,12,FALSE)),"")</f>
        <v/>
      </c>
      <c r="P208" t="str">
        <f>IFERROR(IF(VLOOKUP($B208,Показатели!$E:$W,13,FALSE)=0,"",VLOOKUP($B208,Показатели!$E:$W,13,FALSE)),"")</f>
        <v/>
      </c>
      <c r="Q208" t="str">
        <f>IFERROR(IF(VLOOKUP($B208,Показатели!$E:$W,14,FALSE)=0,"",VLOOKUP($B208,Показатели!$E:$W,14,FALSE)),"")</f>
        <v/>
      </c>
      <c r="R208" t="str">
        <f>IFERROR(IF(VLOOKUP($B208,Показатели!$E:$W,15,FALSE)=0,"",VLOOKUP($B208,Показатели!$E:$W,15,FALSE)),"")</f>
        <v/>
      </c>
      <c r="S208" t="str">
        <f>IFERROR(IF(VLOOKUP($B208,Показатели!$E:$W,16,FALSE)=0,"",VLOOKUP($B208,Показатели!$E:$W,16,FALSE)),"")</f>
        <v/>
      </c>
      <c r="T208" t="str">
        <f>IFERROR(IF(VLOOKUP($B208,Показатели!$E:$W,17,FALSE)=0,"",VLOOKUP($B208,Показатели!$E:$W,17,FALSE)),"")</f>
        <v/>
      </c>
      <c r="U208" t="str">
        <f>IFERROR(IF(VLOOKUP($B208,Показатели!$E:$W,18,FALSE)=0,"",VLOOKUP($B208,Показатели!$E:$W,18,FALSE)),"")</f>
        <v/>
      </c>
      <c r="V208" t="str">
        <f>IFERROR(IF(VLOOKUP($B208,Показатели!$E:$W,19,FALSE)=0,"",VLOOKUP($B208,Показатели!$E:$W,19,FALSE)),"")</f>
        <v/>
      </c>
    </row>
    <row r="209" spans="1:22" x14ac:dyDescent="0.2">
      <c r="A209" s="7" t="s">
        <v>2202</v>
      </c>
      <c r="B209" t="str">
        <f t="shared" si="3"/>
        <v>MRKP IV кв. 2010</v>
      </c>
      <c r="C209">
        <v>2010</v>
      </c>
      <c r="D209">
        <f>SUMIFS(Дивиденды!$C:$C,Дивиденды!$A:$A,A209,Дивиденды!$I:$I,C209)</f>
        <v>1.2509999999999999E-3</v>
      </c>
      <c r="E209">
        <f>IFERROR(IF(VLOOKUP($B209,Показатели!$E:$W,2,FALSE)=0,"",VLOOKUP($B209,Показатели!$E:$W,2,FALSE)),"")</f>
        <v>3178751000</v>
      </c>
      <c r="F209">
        <f>IFERROR(IF(VLOOKUP($B209,Показатели!$E:$W,3,FALSE)=0,"",VLOOKUP($B209,Показатели!$E:$W,3,FALSE)),"")</f>
        <v>8983761000</v>
      </c>
      <c r="G209">
        <f>IFERROR(IF(VLOOKUP($B209,Показатели!$E:$W,4,FALSE)=0,"",VLOOKUP($B209,Показатели!$E:$W,4,FALSE)),"")</f>
        <v>45135110000</v>
      </c>
      <c r="H209" t="str">
        <f>IFERROR(IF(VLOOKUP($B209,Показатели!$E:$W,5,FALSE)=0,"",VLOOKUP($B209,Показатели!$E:$W,5,FALSE)),"")</f>
        <v/>
      </c>
      <c r="I209">
        <f>IFERROR(IF(VLOOKUP($B209,Показатели!$E:$W,6,FALSE)=0,"",VLOOKUP($B209,Показатели!$E:$W,6,FALSE)),"")</f>
        <v>55019202000</v>
      </c>
      <c r="J209">
        <f>IFERROR(IF(VLOOKUP($B209,Показатели!$E:$W,7,FALSE)=0,"",VLOOKUP($B209,Показатели!$E:$W,7,FALSE)),"")</f>
        <v>8243597000</v>
      </c>
      <c r="K209">
        <f>IFERROR(IF(VLOOKUP($B209,Показатели!$E:$W,8,FALSE)=0,"",VLOOKUP($B209,Показатели!$E:$W,8,FALSE)),"")</f>
        <v>18017075000</v>
      </c>
      <c r="L209" t="str">
        <f>IFERROR(IF(VLOOKUP($B209,Показатели!$E:$W,9,FALSE)=0,"",VLOOKUP($B209,Показатели!$E:$W,9,FALSE)),"")</f>
        <v/>
      </c>
      <c r="M209">
        <f>IFERROR(IF(VLOOKUP($B209,Показатели!$E:$W,10,FALSE)=0,"",VLOOKUP($B209,Показатели!$E:$W,10,FALSE)),"")</f>
        <v>28758530000</v>
      </c>
      <c r="N209">
        <f>IFERROR(IF(VLOOKUP($B209,Показатели!$E:$W,11,FALSE)=0,"",VLOOKUP($B209,Показатели!$E:$W,11,FALSE)),"")</f>
        <v>54629510000</v>
      </c>
      <c r="O209">
        <f>IFERROR(IF(VLOOKUP($B209,Показатели!$E:$W,12,FALSE)=0,"",VLOOKUP($B209,Показатели!$E:$W,12,FALSE)),"")</f>
        <v>2260243000</v>
      </c>
      <c r="P209">
        <f>IFERROR(IF(VLOOKUP($B209,Показатели!$E:$W,13,FALSE)=0,"",VLOOKUP($B209,Показатели!$E:$W,13,FALSE)),"")</f>
        <v>1215830000</v>
      </c>
      <c r="Q209">
        <f>IFERROR(IF(VLOOKUP($B209,Показатели!$E:$W,14,FALSE)=0,"",VLOOKUP($B209,Показатели!$E:$W,14,FALSE)),"")</f>
        <v>834887000</v>
      </c>
      <c r="R209" t="str">
        <f>IFERROR(IF(VLOOKUP($B209,Показатели!$E:$W,15,FALSE)=0,"",VLOOKUP($B209,Показатели!$E:$W,15,FALSE)),"")</f>
        <v/>
      </c>
      <c r="S209">
        <f>IFERROR(IF(VLOOKUP($B209,Показатели!$E:$W,16,FALSE)=0,"",VLOOKUP($B209,Показатели!$E:$W,16,FALSE)),"")</f>
        <v>5900000000</v>
      </c>
      <c r="T209" t="str">
        <f>IFERROR(IF(VLOOKUP($B209,Показатели!$E:$W,17,FALSE)=0,"",VLOOKUP($B209,Показатели!$E:$W,17,FALSE)),"")</f>
        <v/>
      </c>
      <c r="U209" t="str">
        <f>IFERROR(IF(VLOOKUP($B209,Показатели!$E:$W,18,FALSE)=0,"",VLOOKUP($B209,Показатели!$E:$W,18,FALSE)),"")</f>
        <v/>
      </c>
      <c r="V209" t="str">
        <f>IFERROR(IF(VLOOKUP($B209,Показатели!$E:$W,19,FALSE)=0,"",VLOOKUP($B209,Показатели!$E:$W,19,FALSE)),"")</f>
        <v/>
      </c>
    </row>
    <row r="210" spans="1:22" x14ac:dyDescent="0.2">
      <c r="A210" s="7" t="s">
        <v>2204</v>
      </c>
      <c r="B210" t="str">
        <f t="shared" si="3"/>
        <v>MRKU IV кв. 2025</v>
      </c>
      <c r="C210">
        <v>2025</v>
      </c>
      <c r="D210">
        <f>SUMIFS(Дивиденды!$C:$C,Дивиденды!$A:$A,A210,Дивиденды!$I:$I,C210)</f>
        <v>0</v>
      </c>
      <c r="E210">
        <f>IFERROR(IF(VLOOKUP($B210,Показатели!$E:$W,2,FALSE)=0,"",VLOOKUP($B210,Показатели!$E:$W,2,FALSE)),"")</f>
        <v>11705517000</v>
      </c>
      <c r="F210">
        <f>IFERROR(IF(VLOOKUP($B210,Показатели!$E:$W,3,FALSE)=0,"",VLOOKUP($B210,Показатели!$E:$W,3,FALSE)),"")</f>
        <v>26056862000</v>
      </c>
      <c r="G210">
        <f>IFERROR(IF(VLOOKUP($B210,Показатели!$E:$W,4,FALSE)=0,"",VLOOKUP($B210,Показатели!$E:$W,4,FALSE)),"")</f>
        <v>118936312000</v>
      </c>
      <c r="H210">
        <f>IFERROR(IF(VLOOKUP($B210,Показатели!$E:$W,5,FALSE)=0,"",VLOOKUP($B210,Показатели!$E:$W,5,FALSE)),"")</f>
        <v>2107946000</v>
      </c>
      <c r="I210">
        <f>IFERROR(IF(VLOOKUP($B210,Показатели!$E:$W,6,FALSE)=0,"",VLOOKUP($B210,Показатели!$E:$W,6,FALSE)),"")</f>
        <v>158275787000</v>
      </c>
      <c r="J210">
        <f>IFERROR(IF(VLOOKUP($B210,Показатели!$E:$W,7,FALSE)=0,"",VLOOKUP($B210,Показатели!$E:$W,7,FALSE)),"")</f>
        <v>43521455000</v>
      </c>
      <c r="K210">
        <f>IFERROR(IF(VLOOKUP($B210,Показатели!$E:$W,8,FALSE)=0,"",VLOOKUP($B210,Показатели!$E:$W,8,FALSE)),"")</f>
        <v>31980628000</v>
      </c>
      <c r="L210">
        <f>IFERROR(IF(VLOOKUP($B210,Показатели!$E:$W,9,FALSE)=0,"",VLOOKUP($B210,Показатели!$E:$W,9,FALSE)),"")</f>
        <v>66569883000</v>
      </c>
      <c r="M210">
        <f>IFERROR(IF(VLOOKUP($B210,Показатели!$E:$W,10,FALSE)=0,"",VLOOKUP($B210,Показатели!$E:$W,10,FALSE)),"")</f>
        <v>82773704000</v>
      </c>
      <c r="N210">
        <f>IFERROR(IF(VLOOKUP($B210,Показатели!$E:$W,11,FALSE)=0,"",VLOOKUP($B210,Показатели!$E:$W,11,FALSE)),"")</f>
        <v>129836251000</v>
      </c>
      <c r="O210">
        <f>IFERROR(IF(VLOOKUP($B210,Показатели!$E:$W,12,FALSE)=0,"",VLOOKUP($B210,Показатели!$E:$W,12,FALSE)),"")</f>
        <v>20837307000</v>
      </c>
      <c r="P210">
        <f>IFERROR(IF(VLOOKUP($B210,Показатели!$E:$W,13,FALSE)=0,"",VLOOKUP($B210,Показатели!$E:$W,13,FALSE)),"")</f>
        <v>18030079000</v>
      </c>
      <c r="Q210">
        <f>IFERROR(IF(VLOOKUP($B210,Показатели!$E:$W,14,FALSE)=0,"",VLOOKUP($B210,Показатели!$E:$W,14,FALSE)),"")</f>
        <v>13298079000</v>
      </c>
      <c r="R210">
        <f>IFERROR(IF(VLOOKUP($B210,Показатели!$E:$W,15,FALSE)=0,"",VLOOKUP($B210,Показатели!$E:$W,15,FALSE)),"")</f>
        <v>9154935000</v>
      </c>
      <c r="S210">
        <f>IFERROR(IF(VLOOKUP($B210,Показатели!$E:$W,16,FALSE)=0,"",VLOOKUP($B210,Показатели!$E:$W,16,FALSE)),"")</f>
        <v>34260884000</v>
      </c>
      <c r="T210">
        <f>IFERROR(IF(VLOOKUP($B210,Показатели!$E:$W,17,FALSE)=0,"",VLOOKUP($B210,Показатели!$E:$W,17,FALSE)),"")</f>
        <v>17486052000</v>
      </c>
      <c r="U210">
        <f>IFERROR(IF(VLOOKUP($B210,Показатели!$E:$W,18,FALSE)=0,"",VLOOKUP($B210,Показатели!$E:$W,18,FALSE)),"")</f>
        <v>115298849000</v>
      </c>
      <c r="V210">
        <f>IFERROR(IF(VLOOKUP($B210,Показатели!$E:$W,19,FALSE)=0,"",VLOOKUP($B210,Показатели!$E:$W,19,FALSE)),"")</f>
        <v>137898069000</v>
      </c>
    </row>
    <row r="211" spans="1:22" x14ac:dyDescent="0.2">
      <c r="A211" s="7" t="s">
        <v>2204</v>
      </c>
      <c r="B211" t="str">
        <f t="shared" si="3"/>
        <v>MRKU IV кв. 2024</v>
      </c>
      <c r="C211">
        <v>2024</v>
      </c>
      <c r="D211">
        <f>SUMIFS(Дивиденды!$C:$C,Дивиденды!$A:$A,A211,Дивиденды!$I:$I,C211)</f>
        <v>7.5800000000000006E-2</v>
      </c>
      <c r="E211">
        <f>IFERROR(IF(VLOOKUP($B211,Показатели!$E:$W,2,FALSE)=0,"",VLOOKUP($B211,Показатели!$E:$W,2,FALSE)),"")</f>
        <v>7531408000</v>
      </c>
      <c r="F211">
        <f>IFERROR(IF(VLOOKUP($B211,Показатели!$E:$W,3,FALSE)=0,"",VLOOKUP($B211,Показатели!$E:$W,3,FALSE)),"")</f>
        <v>19889253000</v>
      </c>
      <c r="G211">
        <f>IFERROR(IF(VLOOKUP($B211,Показатели!$E:$W,4,FALSE)=0,"",VLOOKUP($B211,Показатели!$E:$W,4,FALSE)),"")</f>
        <v>106977487000</v>
      </c>
      <c r="H211">
        <f>IFERROR(IF(VLOOKUP($B211,Показатели!$E:$W,5,FALSE)=0,"",VLOOKUP($B211,Показатели!$E:$W,5,FALSE)),"")</f>
        <v>2007283000</v>
      </c>
      <c r="I211">
        <f>IFERROR(IF(VLOOKUP($B211,Показатели!$E:$W,6,FALSE)=0,"",VLOOKUP($B211,Показатели!$E:$W,6,FALSE)),"")</f>
        <v>137898069000</v>
      </c>
      <c r="J211">
        <f>IFERROR(IF(VLOOKUP($B211,Показатели!$E:$W,7,FALSE)=0,"",VLOOKUP($B211,Показатели!$E:$W,7,FALSE)),"")</f>
        <v>37139801000</v>
      </c>
      <c r="K211">
        <f>IFERROR(IF(VLOOKUP($B211,Показатели!$E:$W,8,FALSE)=0,"",VLOOKUP($B211,Показатели!$E:$W,8,FALSE)),"")</f>
        <v>30739147000</v>
      </c>
      <c r="L211">
        <f>IFERROR(IF(VLOOKUP($B211,Показатели!$E:$W,9,FALSE)=0,"",VLOOKUP($B211,Показатели!$E:$W,9,FALSE)),"")</f>
        <v>56644557000</v>
      </c>
      <c r="M211">
        <f>IFERROR(IF(VLOOKUP($B211,Показатели!$E:$W,10,FALSE)=0,"",VLOOKUP($B211,Показатели!$E:$W,10,FALSE)),"")</f>
        <v>70019121000</v>
      </c>
      <c r="N211">
        <f>IFERROR(IF(VLOOKUP($B211,Показатели!$E:$W,11,FALSE)=0,"",VLOOKUP($B211,Показатели!$E:$W,11,FALSE)),"")</f>
        <v>115298849000</v>
      </c>
      <c r="O211">
        <f>IFERROR(IF(VLOOKUP($B211,Показатели!$E:$W,12,FALSE)=0,"",VLOOKUP($B211,Показатели!$E:$W,12,FALSE)),"")</f>
        <v>15895448000</v>
      </c>
      <c r="P211">
        <f>IFERROR(IF(VLOOKUP($B211,Показатели!$E:$W,13,FALSE)=0,"",VLOOKUP($B211,Показатели!$E:$W,13,FALSE)),"")</f>
        <v>14215787000</v>
      </c>
      <c r="Q211">
        <f>IFERROR(IF(VLOOKUP($B211,Показатели!$E:$W,14,FALSE)=0,"",VLOOKUP($B211,Показатели!$E:$W,14,FALSE)),"")</f>
        <v>12650708000</v>
      </c>
      <c r="R211">
        <f>IFERROR(IF(VLOOKUP($B211,Показатели!$E:$W,15,FALSE)=0,"",VLOOKUP($B211,Показатели!$E:$W,15,FALSE)),"")</f>
        <v>8923231000</v>
      </c>
      <c r="S211">
        <f>IFERROR(IF(VLOOKUP($B211,Показатели!$E:$W,16,FALSE)=0,"",VLOOKUP($B211,Показатели!$E:$W,16,FALSE)),"")</f>
        <v>28567235000</v>
      </c>
      <c r="T211">
        <f>IFERROR(IF(VLOOKUP($B211,Показатели!$E:$W,17,FALSE)=0,"",VLOOKUP($B211,Показатели!$E:$W,17,FALSE)),"")</f>
        <v>-19926199000</v>
      </c>
      <c r="U211">
        <f>IFERROR(IF(VLOOKUP($B211,Показатели!$E:$W,18,FALSE)=0,"",VLOOKUP($B211,Показатели!$E:$W,18,FALSE)),"")</f>
        <v>106103561000</v>
      </c>
      <c r="V211">
        <f>IFERROR(IF(VLOOKUP($B211,Показатели!$E:$W,19,FALSE)=0,"",VLOOKUP($B211,Показатели!$E:$W,19,FALSE)),"")</f>
        <v>123053320000</v>
      </c>
    </row>
    <row r="212" spans="1:22" x14ac:dyDescent="0.2">
      <c r="A212" s="7" t="s">
        <v>2204</v>
      </c>
      <c r="B212" t="str">
        <f t="shared" si="3"/>
        <v>MRKU IV кв. 2023</v>
      </c>
      <c r="C212">
        <v>2023</v>
      </c>
      <c r="D212">
        <f>SUMIFS(Дивиденды!$C:$C,Дивиденды!$A:$A,A212,Дивиденды!$I:$I,C212)</f>
        <v>5.4399999999999997E-2</v>
      </c>
      <c r="E212">
        <f>IFERROR(IF(VLOOKUP($B212,Показатели!$E:$W,2,FALSE)=0,"",VLOOKUP($B212,Показатели!$E:$W,2,FALSE)),"")</f>
        <v>3445684000</v>
      </c>
      <c r="F212">
        <f>IFERROR(IF(VLOOKUP($B212,Показатели!$E:$W,3,FALSE)=0,"",VLOOKUP($B212,Показатели!$E:$W,3,FALSE)),"")</f>
        <v>18633467000</v>
      </c>
      <c r="G212">
        <f>IFERROR(IF(VLOOKUP($B212,Показатели!$E:$W,4,FALSE)=0,"",VLOOKUP($B212,Показатели!$E:$W,4,FALSE)),"")</f>
        <v>93242874000</v>
      </c>
      <c r="H212">
        <f>IFERROR(IF(VLOOKUP($B212,Показатели!$E:$W,5,FALSE)=0,"",VLOOKUP($B212,Показатели!$E:$W,5,FALSE)),"")</f>
        <v>2599916000</v>
      </c>
      <c r="I212">
        <f>IFERROR(IF(VLOOKUP($B212,Показатели!$E:$W,6,FALSE)=0,"",VLOOKUP($B212,Показатели!$E:$W,6,FALSE)),"")</f>
        <v>123053320000</v>
      </c>
      <c r="J212">
        <f>IFERROR(IF(VLOOKUP($B212,Показатели!$E:$W,7,FALSE)=0,"",VLOOKUP($B212,Показатели!$E:$W,7,FALSE)),"")</f>
        <v>23056451000</v>
      </c>
      <c r="K212">
        <f>IFERROR(IF(VLOOKUP($B212,Показатели!$E:$W,8,FALSE)=0,"",VLOOKUP($B212,Показатели!$E:$W,8,FALSE)),"")</f>
        <v>34568921000</v>
      </c>
      <c r="L212">
        <f>IFERROR(IF(VLOOKUP($B212,Показатели!$E:$W,9,FALSE)=0,"",VLOOKUP($B212,Показатели!$E:$W,9,FALSE)),"")</f>
        <v>52354373000</v>
      </c>
      <c r="M212">
        <f>IFERROR(IF(VLOOKUP($B212,Показатели!$E:$W,10,FALSE)=0,"",VLOOKUP($B212,Показатели!$E:$W,10,FALSE)),"")</f>
        <v>65427948000</v>
      </c>
      <c r="N212">
        <f>IFERROR(IF(VLOOKUP($B212,Показатели!$E:$W,11,FALSE)=0,"",VLOOKUP($B212,Показатели!$E:$W,11,FALSE)),"")</f>
        <v>106103561000</v>
      </c>
      <c r="O212">
        <f>IFERROR(IF(VLOOKUP($B212,Показатели!$E:$W,12,FALSE)=0,"",VLOOKUP($B212,Показатели!$E:$W,12,FALSE)),"")</f>
        <v>14486096000</v>
      </c>
      <c r="P212">
        <f>IFERROR(IF(VLOOKUP($B212,Показатели!$E:$W,13,FALSE)=0,"",VLOOKUP($B212,Показатели!$E:$W,13,FALSE)),"")</f>
        <v>13180937000</v>
      </c>
      <c r="Q212">
        <f>IFERROR(IF(VLOOKUP($B212,Показатели!$E:$W,14,FALSE)=0,"",VLOOKUP($B212,Показатели!$E:$W,14,FALSE)),"")</f>
        <v>11854873000</v>
      </c>
      <c r="R212">
        <f>IFERROR(IF(VLOOKUP($B212,Показатели!$E:$W,15,FALSE)=0,"",VLOOKUP($B212,Показатели!$E:$W,15,FALSE)),"")</f>
        <v>8233131000</v>
      </c>
      <c r="S212">
        <f>IFERROR(IF(VLOOKUP($B212,Показатели!$E:$W,16,FALSE)=0,"",VLOOKUP($B212,Показатели!$E:$W,16,FALSE)),"")</f>
        <v>26804811000</v>
      </c>
      <c r="T212">
        <f>IFERROR(IF(VLOOKUP($B212,Показатели!$E:$W,17,FALSE)=0,"",VLOOKUP($B212,Показатели!$E:$W,17,FALSE)),"")</f>
        <v>-21242839000</v>
      </c>
      <c r="U212">
        <f>IFERROR(IF(VLOOKUP($B212,Показатели!$E:$W,18,FALSE)=0,"",VLOOKUP($B212,Показатели!$E:$W,18,FALSE)),"")</f>
        <v>102983768000</v>
      </c>
      <c r="V212">
        <f>IFERROR(IF(VLOOKUP($B212,Показатели!$E:$W,19,FALSE)=0,"",VLOOKUP($B212,Показатели!$E:$W,19,FALSE)),"")</f>
        <v>106996438000</v>
      </c>
    </row>
    <row r="213" spans="1:22" x14ac:dyDescent="0.2">
      <c r="A213" s="7" t="s">
        <v>2204</v>
      </c>
      <c r="B213" t="str">
        <f t="shared" si="3"/>
        <v>MRKU IV кв. 2022</v>
      </c>
      <c r="C213">
        <v>2022</v>
      </c>
      <c r="D213">
        <f>SUMIFS(Дивиденды!$C:$C,Дивиденды!$A:$A,A213,Дивиденды!$I:$I,C213)</f>
        <v>2.3939999999999999E-2</v>
      </c>
      <c r="E213">
        <f>IFERROR(IF(VLOOKUP($B213,Показатели!$E:$W,2,FALSE)=0,"",VLOOKUP($B213,Показатели!$E:$W,2,FALSE)),"")</f>
        <v>3732950000</v>
      </c>
      <c r="F213">
        <f>IFERROR(IF(VLOOKUP($B213,Показатели!$E:$W,3,FALSE)=0,"",VLOOKUP($B213,Показатели!$E:$W,3,FALSE)),"")</f>
        <v>15597425000</v>
      </c>
      <c r="G213">
        <f>IFERROR(IF(VLOOKUP($B213,Показатели!$E:$W,4,FALSE)=0,"",VLOOKUP($B213,Показатели!$E:$W,4,FALSE)),"")</f>
        <v>82347472000</v>
      </c>
      <c r="H213">
        <f>IFERROR(IF(VLOOKUP($B213,Показатели!$E:$W,5,FALSE)=0,"",VLOOKUP($B213,Показатели!$E:$W,5,FALSE)),"")</f>
        <v>2432326000</v>
      </c>
      <c r="I213">
        <f>IFERROR(IF(VLOOKUP($B213,Показатели!$E:$W,6,FALSE)=0,"",VLOOKUP($B213,Показатели!$E:$W,6,FALSE)),"")</f>
        <v>106996438000</v>
      </c>
      <c r="J213">
        <f>IFERROR(IF(VLOOKUP($B213,Показатели!$E:$W,7,FALSE)=0,"",VLOOKUP($B213,Показатели!$E:$W,7,FALSE)),"")</f>
        <v>32501952000</v>
      </c>
      <c r="K213">
        <f>IFERROR(IF(VLOOKUP($B213,Показатели!$E:$W,8,FALSE)=0,"",VLOOKUP($B213,Показатели!$E:$W,8,FALSE)),"")</f>
        <v>22393552000</v>
      </c>
      <c r="L213">
        <f>IFERROR(IF(VLOOKUP($B213,Показатели!$E:$W,9,FALSE)=0,"",VLOOKUP($B213,Показатели!$E:$W,9,FALSE)),"")</f>
        <v>41199914000</v>
      </c>
      <c r="M213">
        <f>IFERROR(IF(VLOOKUP($B213,Показатели!$E:$W,10,FALSE)=0,"",VLOOKUP($B213,Показатели!$E:$W,10,FALSE)),"")</f>
        <v>52100934000</v>
      </c>
      <c r="N213">
        <f>IFERROR(IF(VLOOKUP($B213,Показатели!$E:$W,11,FALSE)=0,"",VLOOKUP($B213,Показатели!$E:$W,11,FALSE)),"")</f>
        <v>102983768000</v>
      </c>
      <c r="O213">
        <f>IFERROR(IF(VLOOKUP($B213,Показатели!$E:$W,12,FALSE)=0,"",VLOOKUP($B213,Показатели!$E:$W,12,FALSE)),"")</f>
        <v>7231212000</v>
      </c>
      <c r="P213">
        <f>IFERROR(IF(VLOOKUP($B213,Показатели!$E:$W,13,FALSE)=0,"",VLOOKUP($B213,Показатели!$E:$W,13,FALSE)),"")</f>
        <v>5840227000</v>
      </c>
      <c r="Q213">
        <f>IFERROR(IF(VLOOKUP($B213,Показатели!$E:$W,14,FALSE)=0,"",VLOOKUP($B213,Показатели!$E:$W,14,FALSE)),"")</f>
        <v>4276476000</v>
      </c>
      <c r="R213">
        <f>IFERROR(IF(VLOOKUP($B213,Показатели!$E:$W,15,FALSE)=0,"",VLOOKUP($B213,Показатели!$E:$W,15,FALSE)),"")</f>
        <v>8293696000</v>
      </c>
      <c r="S213">
        <f>IFERROR(IF(VLOOKUP($B213,Показатели!$E:$W,16,FALSE)=0,"",VLOOKUP($B213,Показатели!$E:$W,16,FALSE)),"")</f>
        <v>17297054000</v>
      </c>
      <c r="T213">
        <f>IFERROR(IF(VLOOKUP($B213,Показатели!$E:$W,17,FALSE)=0,"",VLOOKUP($B213,Показатели!$E:$W,17,FALSE)),"")</f>
        <v>-12821717000</v>
      </c>
      <c r="U213">
        <f>IFERROR(IF(VLOOKUP($B213,Показатели!$E:$W,18,FALSE)=0,"",VLOOKUP($B213,Показатели!$E:$W,18,FALSE)),"")</f>
        <v>96514083000</v>
      </c>
      <c r="V213">
        <f>IFERROR(IF(VLOOKUP($B213,Показатели!$E:$W,19,FALSE)=0,"",VLOOKUP($B213,Показатели!$E:$W,19,FALSE)),"")</f>
        <v>101577933000</v>
      </c>
    </row>
    <row r="214" spans="1:22" x14ac:dyDescent="0.2">
      <c r="A214" s="7" t="s">
        <v>2204</v>
      </c>
      <c r="B214" t="str">
        <f t="shared" si="3"/>
        <v>MRKU IV кв. 2021</v>
      </c>
      <c r="C214">
        <v>2021</v>
      </c>
      <c r="D214">
        <f>SUMIFS(Дивиденды!$C:$C,Дивиденды!$A:$A,A214,Дивиденды!$I:$I,C214)</f>
        <v>2.4899999999999999E-2</v>
      </c>
      <c r="E214">
        <f>IFERROR(IF(VLOOKUP($B214,Показатели!$E:$W,2,FALSE)=0,"",VLOOKUP($B214,Показатели!$E:$W,2,FALSE)),"")</f>
        <v>3195830000</v>
      </c>
      <c r="F214">
        <f>IFERROR(IF(VLOOKUP($B214,Показатели!$E:$W,3,FALSE)=0,"",VLOOKUP($B214,Показатели!$E:$W,3,FALSE)),"")</f>
        <v>12827122000</v>
      </c>
      <c r="G214">
        <f>IFERROR(IF(VLOOKUP($B214,Показатели!$E:$W,4,FALSE)=0,"",VLOOKUP($B214,Показатели!$E:$W,4,FALSE)),"")</f>
        <v>79171197000</v>
      </c>
      <c r="H214">
        <f>IFERROR(IF(VLOOKUP($B214,Показатели!$E:$W,5,FALSE)=0,"",VLOOKUP($B214,Показатели!$E:$W,5,FALSE)),"")</f>
        <v>2354848000</v>
      </c>
      <c r="I214">
        <f>IFERROR(IF(VLOOKUP($B214,Показатели!$E:$W,6,FALSE)=0,"",VLOOKUP($B214,Показатели!$E:$W,6,FALSE)),"")</f>
        <v>101577933000</v>
      </c>
      <c r="J214">
        <f>IFERROR(IF(VLOOKUP($B214,Показатели!$E:$W,7,FALSE)=0,"",VLOOKUP($B214,Показатели!$E:$W,7,FALSE)),"")</f>
        <v>26133994000</v>
      </c>
      <c r="K214">
        <f>IFERROR(IF(VLOOKUP($B214,Показатели!$E:$W,8,FALSE)=0,"",VLOOKUP($B214,Показатели!$E:$W,8,FALSE)),"")</f>
        <v>22673401000</v>
      </c>
      <c r="L214">
        <f>IFERROR(IF(VLOOKUP($B214,Показатели!$E:$W,9,FALSE)=0,"",VLOOKUP($B214,Показатели!$E:$W,9,FALSE)),"")</f>
        <v>40909874000</v>
      </c>
      <c r="M214">
        <f>IFERROR(IF(VLOOKUP($B214,Показатели!$E:$W,10,FALSE)=0,"",VLOOKUP($B214,Показатели!$E:$W,10,FALSE)),"")</f>
        <v>52770538000</v>
      </c>
      <c r="N214">
        <f>IFERROR(IF(VLOOKUP($B214,Показатели!$E:$W,11,FALSE)=0,"",VLOOKUP($B214,Показатели!$E:$W,11,FALSE)),"")</f>
        <v>96514083000</v>
      </c>
      <c r="O214">
        <f>IFERROR(IF(VLOOKUP($B214,Показатели!$E:$W,12,FALSE)=0,"",VLOOKUP($B214,Показатели!$E:$W,12,FALSE)),"")</f>
        <v>5568201000</v>
      </c>
      <c r="P214">
        <f>IFERROR(IF(VLOOKUP($B214,Показатели!$E:$W,13,FALSE)=0,"",VLOOKUP($B214,Показатели!$E:$W,13,FALSE)),"")</f>
        <v>4971879000</v>
      </c>
      <c r="Q214">
        <f>IFERROR(IF(VLOOKUP($B214,Показатели!$E:$W,14,FALSE)=0,"",VLOOKUP($B214,Показатели!$E:$W,14,FALSE)),"")</f>
        <v>3839898000</v>
      </c>
      <c r="R214">
        <f>IFERROR(IF(VLOOKUP($B214,Показатели!$E:$W,15,FALSE)=0,"",VLOOKUP($B214,Показатели!$E:$W,15,FALSE)),"")</f>
        <v>7944268000</v>
      </c>
      <c r="S214">
        <f>IFERROR(IF(VLOOKUP($B214,Показатели!$E:$W,16,FALSE)=0,"",VLOOKUP($B214,Показатели!$E:$W,16,FALSE)),"")</f>
        <v>16350483000</v>
      </c>
      <c r="T214">
        <f>IFERROR(IF(VLOOKUP($B214,Показатели!$E:$W,17,FALSE)=0,"",VLOOKUP($B214,Показатели!$E:$W,17,FALSE)),"")</f>
        <v>-13428408000</v>
      </c>
      <c r="U214">
        <f>IFERROR(IF(VLOOKUP($B214,Показатели!$E:$W,18,FALSE)=0,"",VLOOKUP($B214,Показатели!$E:$W,18,FALSE)),"")</f>
        <v>88620965000</v>
      </c>
      <c r="V214">
        <f>IFERROR(IF(VLOOKUP($B214,Показатели!$E:$W,19,FALSE)=0,"",VLOOKUP($B214,Показатели!$E:$W,19,FALSE)),"")</f>
        <v>93823202000</v>
      </c>
    </row>
    <row r="215" spans="1:22" x14ac:dyDescent="0.2">
      <c r="A215" s="7" t="s">
        <v>2204</v>
      </c>
      <c r="B215" t="str">
        <f t="shared" si="3"/>
        <v>MRKU IV кв. 2020</v>
      </c>
      <c r="C215">
        <v>2020</v>
      </c>
      <c r="D215">
        <f>SUMIFS(Дивиденды!$C:$C,Дивиденды!$A:$A,A215,Дивиденды!$I:$I,C215)</f>
        <v>0</v>
      </c>
      <c r="E215">
        <f>IFERROR(IF(VLOOKUP($B215,Показатели!$E:$W,2,FALSE)=0,"",VLOOKUP($B215,Показатели!$E:$W,2,FALSE)),"")</f>
        <v>2210397000</v>
      </c>
      <c r="F215">
        <f>IFERROR(IF(VLOOKUP($B215,Показатели!$E:$W,3,FALSE)=0,"",VLOOKUP($B215,Показатели!$E:$W,3,FALSE)),"")</f>
        <v>10530187000</v>
      </c>
      <c r="G215">
        <f>IFERROR(IF(VLOOKUP($B215,Показатели!$E:$W,4,FALSE)=0,"",VLOOKUP($B215,Показатели!$E:$W,4,FALSE)),"")</f>
        <v>74495397000</v>
      </c>
      <c r="H215">
        <f>IFERROR(IF(VLOOKUP($B215,Показатели!$E:$W,5,FALSE)=0,"",VLOOKUP($B215,Показатели!$E:$W,5,FALSE)),"")</f>
        <v>2239668000</v>
      </c>
      <c r="I215">
        <f>IFERROR(IF(VLOOKUP($B215,Показатели!$E:$W,6,FALSE)=0,"",VLOOKUP($B215,Показатели!$E:$W,6,FALSE)),"")</f>
        <v>93823202000</v>
      </c>
      <c r="J215">
        <f>IFERROR(IF(VLOOKUP($B215,Показатели!$E:$W,7,FALSE)=0,"",VLOOKUP($B215,Показатели!$E:$W,7,FALSE)),"")</f>
        <v>18052238000</v>
      </c>
      <c r="K215">
        <f>IFERROR(IF(VLOOKUP($B215,Показатели!$E:$W,8,FALSE)=0,"",VLOOKUP($B215,Показатели!$E:$W,8,FALSE)),"")</f>
        <v>27833166000</v>
      </c>
      <c r="L215">
        <f>IFERROR(IF(VLOOKUP($B215,Показатели!$E:$W,9,FALSE)=0,"",VLOOKUP($B215,Показатели!$E:$W,9,FALSE)),"")</f>
        <v>37135013000</v>
      </c>
      <c r="M215">
        <f>IFERROR(IF(VLOOKUP($B215,Показатели!$E:$W,10,FALSE)=0,"",VLOOKUP($B215,Показатели!$E:$W,10,FALSE)),"")</f>
        <v>47937798000</v>
      </c>
      <c r="N215">
        <f>IFERROR(IF(VLOOKUP($B215,Показатели!$E:$W,11,FALSE)=0,"",VLOOKUP($B215,Показатели!$E:$W,11,FALSE)),"")</f>
        <v>88620965000</v>
      </c>
      <c r="O215">
        <f>IFERROR(IF(VLOOKUP($B215,Показатели!$E:$W,12,FALSE)=0,"",VLOOKUP($B215,Показатели!$E:$W,12,FALSE)),"")</f>
        <v>1751808000</v>
      </c>
      <c r="P215">
        <f>IFERROR(IF(VLOOKUP($B215,Показатели!$E:$W,13,FALSE)=0,"",VLOOKUP($B215,Показатели!$E:$W,13,FALSE)),"")</f>
        <v>789356000</v>
      </c>
      <c r="Q215">
        <f>IFERROR(IF(VLOOKUP($B215,Показатели!$E:$W,14,FALSE)=0,"",VLOOKUP($B215,Показатели!$E:$W,14,FALSE)),"")</f>
        <v>621910000</v>
      </c>
      <c r="R215">
        <f>IFERROR(IF(VLOOKUP($B215,Показатели!$E:$W,15,FALSE)=0,"",VLOOKUP($B215,Показатели!$E:$W,15,FALSE)),"")</f>
        <v>7649258000</v>
      </c>
      <c r="S215">
        <f>IFERROR(IF(VLOOKUP($B215,Показатели!$E:$W,16,FALSE)=0,"",VLOOKUP($B215,Показатели!$E:$W,16,FALSE)),"")</f>
        <v>10315769000</v>
      </c>
      <c r="T215">
        <f>IFERROR(IF(VLOOKUP($B215,Показатели!$E:$W,17,FALSE)=0,"",VLOOKUP($B215,Показатели!$E:$W,17,FALSE)),"")</f>
        <v>-11117369000</v>
      </c>
      <c r="U215">
        <f>IFERROR(IF(VLOOKUP($B215,Показатели!$E:$W,18,FALSE)=0,"",VLOOKUP($B215,Показатели!$E:$W,18,FALSE)),"")</f>
        <v>106148635000</v>
      </c>
      <c r="V215">
        <f>IFERROR(IF(VLOOKUP($B215,Показатели!$E:$W,19,FALSE)=0,"",VLOOKUP($B215,Показатели!$E:$W,19,FALSE)),"")</f>
        <v>91038848000</v>
      </c>
    </row>
    <row r="216" spans="1:22" x14ac:dyDescent="0.2">
      <c r="A216" s="7" t="s">
        <v>2204</v>
      </c>
      <c r="B216" t="str">
        <f t="shared" si="3"/>
        <v>MRKU IV кв. 2019</v>
      </c>
      <c r="C216">
        <v>2019</v>
      </c>
      <c r="D216">
        <f>SUMIFS(Дивиденды!$C:$C,Дивиденды!$A:$A,A216,Дивиденды!$I:$I,C216)</f>
        <v>1.0500000000000001E-2</v>
      </c>
      <c r="E216">
        <f>IFERROR(IF(VLOOKUP($B216,Показатели!$E:$W,2,FALSE)=0,"",VLOOKUP($B216,Показатели!$E:$W,2,FALSE)),"")</f>
        <v>2256582000</v>
      </c>
      <c r="F216">
        <f>IFERROR(IF(VLOOKUP($B216,Показатели!$E:$W,3,FALSE)=0,"",VLOOKUP($B216,Показатели!$E:$W,3,FALSE)),"")</f>
        <v>12492257000</v>
      </c>
      <c r="G216">
        <f>IFERROR(IF(VLOOKUP($B216,Показатели!$E:$W,4,FALSE)=0,"",VLOOKUP($B216,Показатели!$E:$W,4,FALSE)),"")</f>
        <v>70222403000</v>
      </c>
      <c r="H216">
        <f>IFERROR(IF(VLOOKUP($B216,Показатели!$E:$W,5,FALSE)=0,"",VLOOKUP($B216,Показатели!$E:$W,5,FALSE)),"")</f>
        <v>1945719000</v>
      </c>
      <c r="I216">
        <f>IFERROR(IF(VLOOKUP($B216,Показатели!$E:$W,6,FALSE)=0,"",VLOOKUP($B216,Показатели!$E:$W,6,FALSE)),"")</f>
        <v>91038848000</v>
      </c>
      <c r="J216">
        <f>IFERROR(IF(VLOOKUP($B216,Показатели!$E:$W,7,FALSE)=0,"",VLOOKUP($B216,Показатели!$E:$W,7,FALSE)),"")</f>
        <v>17306605000</v>
      </c>
      <c r="K216">
        <f>IFERROR(IF(VLOOKUP($B216,Показатели!$E:$W,8,FALSE)=0,"",VLOOKUP($B216,Показатели!$E:$W,8,FALSE)),"")</f>
        <v>26191835000</v>
      </c>
      <c r="L216">
        <f>IFERROR(IF(VLOOKUP($B216,Показатели!$E:$W,9,FALSE)=0,"",VLOOKUP($B216,Показатели!$E:$W,9,FALSE)),"")</f>
        <v>37293969000</v>
      </c>
      <c r="M216">
        <f>IFERROR(IF(VLOOKUP($B216,Показатели!$E:$W,10,FALSE)=0,"",VLOOKUP($B216,Показатели!$E:$W,10,FALSE)),"")</f>
        <v>47540408000</v>
      </c>
      <c r="N216">
        <f>IFERROR(IF(VLOOKUP($B216,Показатели!$E:$W,11,FALSE)=0,"",VLOOKUP($B216,Показатели!$E:$W,11,FALSE)),"")</f>
        <v>106148635000</v>
      </c>
      <c r="O216">
        <f>IFERROR(IF(VLOOKUP($B216,Показатели!$E:$W,12,FALSE)=0,"",VLOOKUP($B216,Показатели!$E:$W,12,FALSE)),"")</f>
        <v>4412240000</v>
      </c>
      <c r="P216">
        <f>IFERROR(IF(VLOOKUP($B216,Показатели!$E:$W,13,FALSE)=0,"",VLOOKUP($B216,Показатели!$E:$W,13,FALSE)),"")</f>
        <v>3768876000</v>
      </c>
      <c r="Q216">
        <f>IFERROR(IF(VLOOKUP($B216,Показатели!$E:$W,14,FALSE)=0,"",VLOOKUP($B216,Показатели!$E:$W,14,FALSE)),"")</f>
        <v>2761123000</v>
      </c>
      <c r="R216">
        <f>IFERROR(IF(VLOOKUP($B216,Показатели!$E:$W,15,FALSE)=0,"",VLOOKUP($B216,Показатели!$E:$W,15,FALSE)),"")</f>
        <v>7089535000</v>
      </c>
      <c r="S216">
        <f>IFERROR(IF(VLOOKUP($B216,Показатели!$E:$W,16,FALSE)=0,"",VLOOKUP($B216,Показатели!$E:$W,16,FALSE)),"")</f>
        <v>12153503000</v>
      </c>
      <c r="T216">
        <f>IFERROR(IF(VLOOKUP($B216,Показатели!$E:$W,17,FALSE)=0,"",VLOOKUP($B216,Показатели!$E:$W,17,FALSE)),"")</f>
        <v>-10070281000</v>
      </c>
      <c r="U216">
        <f>IFERROR(IF(VLOOKUP($B216,Показатели!$E:$W,18,FALSE)=0,"",VLOOKUP($B216,Показатели!$E:$W,18,FALSE)),"")</f>
        <v>100302694000</v>
      </c>
      <c r="V216">
        <f>IFERROR(IF(VLOOKUP($B216,Показатели!$E:$W,19,FALSE)=0,"",VLOOKUP($B216,Показатели!$E:$W,19,FALSE)),"")</f>
        <v>81576650000</v>
      </c>
    </row>
    <row r="217" spans="1:22" x14ac:dyDescent="0.2">
      <c r="A217" s="7" t="s">
        <v>2204</v>
      </c>
      <c r="B217" t="str">
        <f t="shared" si="3"/>
        <v>MRKU IV кв. 2018</v>
      </c>
      <c r="C217">
        <v>2018</v>
      </c>
      <c r="D217">
        <f>SUMIFS(Дивиденды!$C:$C,Дивиденды!$A:$A,A217,Дивиденды!$I:$I,C217)</f>
        <v>3.0000000000000001E-3</v>
      </c>
      <c r="E217">
        <f>IFERROR(IF(VLOOKUP($B217,Показатели!$E:$W,2,FALSE)=0,"",VLOOKUP($B217,Показатели!$E:$W,2,FALSE)),"")</f>
        <v>2139969000</v>
      </c>
      <c r="F217">
        <f>IFERROR(IF(VLOOKUP($B217,Показатели!$E:$W,3,FALSE)=0,"",VLOOKUP($B217,Показатели!$E:$W,3,FALSE)),"")</f>
        <v>14427278000</v>
      </c>
      <c r="G217">
        <f>IFERROR(IF(VLOOKUP($B217,Показатели!$E:$W,4,FALSE)=0,"",VLOOKUP($B217,Показатели!$E:$W,4,FALSE)),"")</f>
        <v>63139233000</v>
      </c>
      <c r="H217">
        <f>IFERROR(IF(VLOOKUP($B217,Показатели!$E:$W,5,FALSE)=0,"",VLOOKUP($B217,Показатели!$E:$W,5,FALSE)),"")</f>
        <v>1257549000</v>
      </c>
      <c r="I217">
        <f>IFERROR(IF(VLOOKUP($B217,Показатели!$E:$W,6,FALSE)=0,"",VLOOKUP($B217,Показатели!$E:$W,6,FALSE)),"")</f>
        <v>81576650000</v>
      </c>
      <c r="J217">
        <f>IFERROR(IF(VLOOKUP($B217,Показатели!$E:$W,7,FALSE)=0,"",VLOOKUP($B217,Показатели!$E:$W,7,FALSE)),"")</f>
        <v>21932320000</v>
      </c>
      <c r="K217">
        <f>IFERROR(IF(VLOOKUP($B217,Показатели!$E:$W,8,FALSE)=0,"",VLOOKUP($B217,Показатели!$E:$W,8,FALSE)),"")</f>
        <v>14509307000</v>
      </c>
      <c r="L217">
        <f>IFERROR(IF(VLOOKUP($B217,Показатели!$E:$W,9,FALSE)=0,"",VLOOKUP($B217,Показатели!$E:$W,9,FALSE)),"")</f>
        <v>35168845000</v>
      </c>
      <c r="M217">
        <f>IFERROR(IF(VLOOKUP($B217,Показатели!$E:$W,10,FALSE)=0,"",VLOOKUP($B217,Показатели!$E:$W,10,FALSE)),"")</f>
        <v>45135023000</v>
      </c>
      <c r="N217">
        <f>IFERROR(IF(VLOOKUP($B217,Показатели!$E:$W,11,FALSE)=0,"",VLOOKUP($B217,Показатели!$E:$W,11,FALSE)),"")</f>
        <v>100302694000</v>
      </c>
      <c r="O217">
        <f>IFERROR(IF(VLOOKUP($B217,Показатели!$E:$W,12,FALSE)=0,"",VLOOKUP($B217,Показатели!$E:$W,12,FALSE)),"")</f>
        <v>1925433000</v>
      </c>
      <c r="P217">
        <f>IFERROR(IF(VLOOKUP($B217,Показатели!$E:$W,13,FALSE)=0,"",VLOOKUP($B217,Показатели!$E:$W,13,FALSE)),"")</f>
        <v>1149116000</v>
      </c>
      <c r="Q217">
        <f>IFERROR(IF(VLOOKUP($B217,Показатели!$E:$W,14,FALSE)=0,"",VLOOKUP($B217,Показатели!$E:$W,14,FALSE)),"")</f>
        <v>640826000</v>
      </c>
      <c r="R217">
        <f>IFERROR(IF(VLOOKUP($B217,Показатели!$E:$W,15,FALSE)=0,"",VLOOKUP($B217,Показатели!$E:$W,15,FALSE)),"")</f>
        <v>6437449000</v>
      </c>
      <c r="S217">
        <f>IFERROR(IF(VLOOKUP($B217,Показатели!$E:$W,16,FALSE)=0,"",VLOOKUP($B217,Показатели!$E:$W,16,FALSE)),"")</f>
        <v>8622106000</v>
      </c>
      <c r="T217">
        <f>IFERROR(IF(VLOOKUP($B217,Показатели!$E:$W,17,FALSE)=0,"",VLOOKUP($B217,Показатели!$E:$W,17,FALSE)),"")</f>
        <v>-7964893000</v>
      </c>
      <c r="U217">
        <f>IFERROR(IF(VLOOKUP($B217,Показатели!$E:$W,18,FALSE)=0,"",VLOOKUP($B217,Показатели!$E:$W,18,FALSE)),"")</f>
        <v>81162309000</v>
      </c>
      <c r="V217">
        <f>IFERROR(IF(VLOOKUP($B217,Показатели!$E:$W,19,FALSE)=0,"",VLOOKUP($B217,Показатели!$E:$W,19,FALSE)),"")</f>
        <v>76925485000</v>
      </c>
    </row>
    <row r="218" spans="1:22" x14ac:dyDescent="0.2">
      <c r="A218" s="7" t="s">
        <v>2204</v>
      </c>
      <c r="B218" t="str">
        <f t="shared" si="3"/>
        <v>MRKU IV кв. 2017</v>
      </c>
      <c r="C218">
        <v>2017</v>
      </c>
      <c r="D218">
        <f>SUMIFS(Дивиденды!$C:$C,Дивиденды!$A:$A,A218,Дивиденды!$I:$I,C218)</f>
        <v>2.1600000000000001E-2</v>
      </c>
      <c r="E218">
        <f>IFERROR(IF(VLOOKUP($B218,Показатели!$E:$W,2,FALSE)=0,"",VLOOKUP($B218,Показатели!$E:$W,2,FALSE)),"")</f>
        <v>1463774000</v>
      </c>
      <c r="F218">
        <f>IFERROR(IF(VLOOKUP($B218,Показатели!$E:$W,3,FALSE)=0,"",VLOOKUP($B218,Показатели!$E:$W,3,FALSE)),"")</f>
        <v>12160108000</v>
      </c>
      <c r="G218">
        <f>IFERROR(IF(VLOOKUP($B218,Показатели!$E:$W,4,FALSE)=0,"",VLOOKUP($B218,Показатели!$E:$W,4,FALSE)),"")</f>
        <v>61487787000</v>
      </c>
      <c r="H218">
        <f>IFERROR(IF(VLOOKUP($B218,Показатели!$E:$W,5,FALSE)=0,"",VLOOKUP($B218,Показатели!$E:$W,5,FALSE)),"")</f>
        <v>525446000</v>
      </c>
      <c r="I218">
        <f>IFERROR(IF(VLOOKUP($B218,Показатели!$E:$W,6,FALSE)=0,"",VLOOKUP($B218,Показатели!$E:$W,6,FALSE)),"")</f>
        <v>76925485000</v>
      </c>
      <c r="J218">
        <f>IFERROR(IF(VLOOKUP($B218,Показатели!$E:$W,7,FALSE)=0,"",VLOOKUP($B218,Показатели!$E:$W,7,FALSE)),"")</f>
        <v>12065782000</v>
      </c>
      <c r="K218">
        <f>IFERROR(IF(VLOOKUP($B218,Показатели!$E:$W,8,FALSE)=0,"",VLOOKUP($B218,Показатели!$E:$W,8,FALSE)),"")</f>
        <v>18795527000</v>
      </c>
      <c r="L218">
        <f>IFERROR(IF(VLOOKUP($B218,Показатели!$E:$W,9,FALSE)=0,"",VLOOKUP($B218,Показатели!$E:$W,9,FALSE)),"")</f>
        <v>36729337000</v>
      </c>
      <c r="M218">
        <f>IFERROR(IF(VLOOKUP($B218,Показатели!$E:$W,10,FALSE)=0,"",VLOOKUP($B218,Показатели!$E:$W,10,FALSE)),"")</f>
        <v>46064176000</v>
      </c>
      <c r="N218">
        <f>IFERROR(IF(VLOOKUP($B218,Показатели!$E:$W,11,FALSE)=0,"",VLOOKUP($B218,Показатели!$E:$W,11,FALSE)),"")</f>
        <v>81162309000</v>
      </c>
      <c r="O218">
        <f>IFERROR(IF(VLOOKUP($B218,Показатели!$E:$W,12,FALSE)=0,"",VLOOKUP($B218,Показатели!$E:$W,12,FALSE)),"")</f>
        <v>6090201000</v>
      </c>
      <c r="P218">
        <f>IFERROR(IF(VLOOKUP($B218,Показатели!$E:$W,13,FALSE)=0,"",VLOOKUP($B218,Показатели!$E:$W,13,FALSE)),"")</f>
        <v>5287601000</v>
      </c>
      <c r="Q218">
        <f>IFERROR(IF(VLOOKUP($B218,Показатели!$E:$W,14,FALSE)=0,"",VLOOKUP($B218,Показатели!$E:$W,14,FALSE)),"")</f>
        <v>4155371000</v>
      </c>
      <c r="R218">
        <f>IFERROR(IF(VLOOKUP($B218,Показатели!$E:$W,15,FALSE)=0,"",VLOOKUP($B218,Показатели!$E:$W,15,FALSE)),"")</f>
        <v>6135361000</v>
      </c>
      <c r="S218">
        <f>IFERROR(IF(VLOOKUP($B218,Показатели!$E:$W,16,FALSE)=0,"",VLOOKUP($B218,Показатели!$E:$W,16,FALSE)),"")</f>
        <v>13925497000</v>
      </c>
      <c r="T218">
        <f>IFERROR(IF(VLOOKUP($B218,Показатели!$E:$W,17,FALSE)=0,"",VLOOKUP($B218,Показатели!$E:$W,17,FALSE)),"")</f>
        <v>-6537391000</v>
      </c>
      <c r="U218">
        <f>IFERROR(IF(VLOOKUP($B218,Показатели!$E:$W,18,FALSE)=0,"",VLOOKUP($B218,Показатели!$E:$W,18,FALSE)),"")</f>
        <v>74725582000</v>
      </c>
      <c r="V218">
        <f>IFERROR(IF(VLOOKUP($B218,Показатели!$E:$W,19,FALSE)=0,"",VLOOKUP($B218,Показатели!$E:$W,19,FALSE)),"")</f>
        <v>75565002000</v>
      </c>
    </row>
    <row r="219" spans="1:22" x14ac:dyDescent="0.2">
      <c r="A219" s="7" t="s">
        <v>2204</v>
      </c>
      <c r="B219" t="str">
        <f t="shared" si="3"/>
        <v>MRKU IV кв. 2016</v>
      </c>
      <c r="C219">
        <v>2016</v>
      </c>
      <c r="D219">
        <f>SUMIFS(Дивиденды!$C:$C,Дивиденды!$A:$A,A219,Дивиденды!$I:$I,C219)</f>
        <v>8.3000000000000001E-3</v>
      </c>
      <c r="E219">
        <f>IFERROR(IF(VLOOKUP($B219,Показатели!$E:$W,2,FALSE)=0,"",VLOOKUP($B219,Показатели!$E:$W,2,FALSE)),"")</f>
        <v>1270720000</v>
      </c>
      <c r="F219">
        <f>IFERROR(IF(VLOOKUP($B219,Показатели!$E:$W,3,FALSE)=0,"",VLOOKUP($B219,Показатели!$E:$W,3,FALSE)),"")</f>
        <v>12683310000</v>
      </c>
      <c r="G219">
        <f>IFERROR(IF(VLOOKUP($B219,Показатели!$E:$W,4,FALSE)=0,"",VLOOKUP($B219,Показатели!$E:$W,4,FALSE)),"")</f>
        <v>60515637000</v>
      </c>
      <c r="H219" t="str">
        <f>IFERROR(IF(VLOOKUP($B219,Показатели!$E:$W,5,FALSE)=0,"",VLOOKUP($B219,Показатели!$E:$W,5,FALSE)),"")</f>
        <v/>
      </c>
      <c r="I219">
        <f>IFERROR(IF(VLOOKUP($B219,Показатели!$E:$W,6,FALSE)=0,"",VLOOKUP($B219,Показатели!$E:$W,6,FALSE)),"")</f>
        <v>75565002000</v>
      </c>
      <c r="J219">
        <f>IFERROR(IF(VLOOKUP($B219,Показатели!$E:$W,7,FALSE)=0,"",VLOOKUP($B219,Показатели!$E:$W,7,FALSE)),"")</f>
        <v>14209184000</v>
      </c>
      <c r="K219">
        <f>IFERROR(IF(VLOOKUP($B219,Показатели!$E:$W,8,FALSE)=0,"",VLOOKUP($B219,Показатели!$E:$W,8,FALSE)),"")</f>
        <v>19234623000</v>
      </c>
      <c r="L219">
        <f>IFERROR(IF(VLOOKUP($B219,Показатели!$E:$W,9,FALSE)=0,"",VLOOKUP($B219,Показатели!$E:$W,9,FALSE)),"")</f>
        <v>33356865000</v>
      </c>
      <c r="M219">
        <f>IFERROR(IF(VLOOKUP($B219,Показатели!$E:$W,10,FALSE)=0,"",VLOOKUP($B219,Показатели!$E:$W,10,FALSE)),"")</f>
        <v>42121195000</v>
      </c>
      <c r="N219">
        <f>IFERROR(IF(VLOOKUP($B219,Показатели!$E:$W,11,FALSE)=0,"",VLOOKUP($B219,Показатели!$E:$W,11,FALSE)),"")</f>
        <v>74725582000</v>
      </c>
      <c r="O219">
        <f>IFERROR(IF(VLOOKUP($B219,Показатели!$E:$W,12,FALSE)=0,"",VLOOKUP($B219,Показатели!$E:$W,12,FALSE)),"")</f>
        <v>3256721000</v>
      </c>
      <c r="P219">
        <f>IFERROR(IF(VLOOKUP($B219,Показатели!$E:$W,13,FALSE)=0,"",VLOOKUP($B219,Показатели!$E:$W,13,FALSE)),"")</f>
        <v>2369389000</v>
      </c>
      <c r="Q219">
        <f>IFERROR(IF(VLOOKUP($B219,Показатели!$E:$W,14,FALSE)=0,"",VLOOKUP($B219,Показатели!$E:$W,14,FALSE)),"")</f>
        <v>1331958000</v>
      </c>
      <c r="R219" t="str">
        <f>IFERROR(IF(VLOOKUP($B219,Показатели!$E:$W,15,FALSE)=0,"",VLOOKUP($B219,Показатели!$E:$W,15,FALSE)),"")</f>
        <v/>
      </c>
      <c r="S219">
        <f>IFERROR(IF(VLOOKUP($B219,Показатели!$E:$W,16,FALSE)=0,"",VLOOKUP($B219,Показатели!$E:$W,16,FALSE)),"")</f>
        <v>10447297000</v>
      </c>
      <c r="T219">
        <f>IFERROR(IF(VLOOKUP($B219,Показатели!$E:$W,17,FALSE)=0,"",VLOOKUP($B219,Показатели!$E:$W,17,FALSE)),"")</f>
        <v>5429000000</v>
      </c>
      <c r="U219">
        <f>IFERROR(IF(VLOOKUP($B219,Показатели!$E:$W,18,FALSE)=0,"",VLOOKUP($B219,Показатели!$E:$W,18,FALSE)),"")</f>
        <v>69671656000</v>
      </c>
      <c r="V219">
        <f>IFERROR(IF(VLOOKUP($B219,Показатели!$E:$W,19,FALSE)=0,"",VLOOKUP($B219,Показатели!$E:$W,19,FALSE)),"")</f>
        <v>77358753000</v>
      </c>
    </row>
    <row r="220" spans="1:22" x14ac:dyDescent="0.2">
      <c r="A220" s="7" t="s">
        <v>2204</v>
      </c>
      <c r="B220" t="str">
        <f t="shared" si="3"/>
        <v>MRKU IV кв. 2015</v>
      </c>
      <c r="C220">
        <v>2015</v>
      </c>
      <c r="D220">
        <f>SUMIFS(Дивиденды!$C:$C,Дивиденды!$A:$A,A220,Дивиденды!$I:$I,C220)</f>
        <v>1.4200000000000001E-2</v>
      </c>
      <c r="E220">
        <f>IFERROR(IF(VLOOKUP($B220,Показатели!$E:$W,2,FALSE)=0,"",VLOOKUP($B220,Показатели!$E:$W,2,FALSE)),"")</f>
        <v>4291372000</v>
      </c>
      <c r="F220">
        <f>IFERROR(IF(VLOOKUP($B220,Показатели!$E:$W,3,FALSE)=0,"",VLOOKUP($B220,Показатели!$E:$W,3,FALSE)),"")</f>
        <v>15204810000</v>
      </c>
      <c r="G220">
        <f>IFERROR(IF(VLOOKUP($B220,Показатели!$E:$W,4,FALSE)=0,"",VLOOKUP($B220,Показатели!$E:$W,4,FALSE)),"")</f>
        <v>60912946000</v>
      </c>
      <c r="H220" t="str">
        <f>IFERROR(IF(VLOOKUP($B220,Показатели!$E:$W,5,FALSE)=0,"",VLOOKUP($B220,Показатели!$E:$W,5,FALSE)),"")</f>
        <v/>
      </c>
      <c r="I220">
        <f>IFERROR(IF(VLOOKUP($B220,Показатели!$E:$W,6,FALSE)=0,"",VLOOKUP($B220,Показатели!$E:$W,6,FALSE)),"")</f>
        <v>77358753000</v>
      </c>
      <c r="J220">
        <f>IFERROR(IF(VLOOKUP($B220,Показатели!$E:$W,7,FALSE)=0,"",VLOOKUP($B220,Показатели!$E:$W,7,FALSE)),"")</f>
        <v>21972190000</v>
      </c>
      <c r="K220">
        <f>IFERROR(IF(VLOOKUP($B220,Показатели!$E:$W,8,FALSE)=0,"",VLOOKUP($B220,Показатели!$E:$W,8,FALSE)),"")</f>
        <v>14026893000</v>
      </c>
      <c r="L220">
        <f>IFERROR(IF(VLOOKUP($B220,Показатели!$E:$W,9,FALSE)=0,"",VLOOKUP($B220,Показатели!$E:$W,9,FALSE)),"")</f>
        <v>33235620000</v>
      </c>
      <c r="M220">
        <f>IFERROR(IF(VLOOKUP($B220,Показатели!$E:$W,10,FALSE)=0,"",VLOOKUP($B220,Показатели!$E:$W,10,FALSE)),"")</f>
        <v>41359670000</v>
      </c>
      <c r="N220">
        <f>IFERROR(IF(VLOOKUP($B220,Показатели!$E:$W,11,FALSE)=0,"",VLOOKUP($B220,Показатели!$E:$W,11,FALSE)),"")</f>
        <v>69671656000</v>
      </c>
      <c r="O220">
        <f>IFERROR(IF(VLOOKUP($B220,Показатели!$E:$W,12,FALSE)=0,"",VLOOKUP($B220,Показатели!$E:$W,12,FALSE)),"")</f>
        <v>2675597000</v>
      </c>
      <c r="P220">
        <f>IFERROR(IF(VLOOKUP($B220,Показатели!$E:$W,13,FALSE)=0,"",VLOOKUP($B220,Показатели!$E:$W,13,FALSE)),"")</f>
        <v>1925142000</v>
      </c>
      <c r="Q220">
        <f>IFERROR(IF(VLOOKUP($B220,Показатели!$E:$W,14,FALSE)=0,"",VLOOKUP($B220,Показатели!$E:$W,14,FALSE)),"")</f>
        <v>1477781000</v>
      </c>
      <c r="R220" t="str">
        <f>IFERROR(IF(VLOOKUP($B220,Показатели!$E:$W,15,FALSE)=0,"",VLOOKUP($B220,Показатели!$E:$W,15,FALSE)),"")</f>
        <v/>
      </c>
      <c r="S220">
        <f>IFERROR(IF(VLOOKUP($B220,Показатели!$E:$W,16,FALSE)=0,"",VLOOKUP($B220,Показатели!$E:$W,16,FALSE)),"")</f>
        <v>8452839000</v>
      </c>
      <c r="T220">
        <f>IFERROR(IF(VLOOKUP($B220,Показатели!$E:$W,17,FALSE)=0,"",VLOOKUP($B220,Показатели!$E:$W,17,FALSE)),"")</f>
        <v>6274000000</v>
      </c>
      <c r="U220">
        <f>IFERROR(IF(VLOOKUP($B220,Показатели!$E:$W,18,FALSE)=0,"",VLOOKUP($B220,Показатели!$E:$W,18,FALSE)),"")</f>
        <v>68975197000</v>
      </c>
      <c r="V220">
        <f>IFERROR(IF(VLOOKUP($B220,Показатели!$E:$W,19,FALSE)=0,"",VLOOKUP($B220,Показатели!$E:$W,19,FALSE)),"")</f>
        <v>76722782000</v>
      </c>
    </row>
    <row r="221" spans="1:22" x14ac:dyDescent="0.2">
      <c r="A221" s="7" t="s">
        <v>2204</v>
      </c>
      <c r="B221" t="str">
        <f t="shared" si="3"/>
        <v>MRKU IV кв. 2014</v>
      </c>
      <c r="C221">
        <v>2014</v>
      </c>
      <c r="D221">
        <f>SUMIFS(Дивиденды!$C:$C,Дивиденды!$A:$A,A221,Дивиденды!$I:$I,C221)</f>
        <v>5.7999999999999996E-3</v>
      </c>
      <c r="E221">
        <f>IFERROR(IF(VLOOKUP($B221,Показатели!$E:$W,2,FALSE)=0,"",VLOOKUP($B221,Показатели!$E:$W,2,FALSE)),"")</f>
        <v>3665014000</v>
      </c>
      <c r="F221">
        <f>IFERROR(IF(VLOOKUP($B221,Показатели!$E:$W,3,FALSE)=0,"",VLOOKUP($B221,Показатели!$E:$W,3,FALSE)),"")</f>
        <v>13950809000</v>
      </c>
      <c r="G221">
        <f>IFERROR(IF(VLOOKUP($B221,Показатели!$E:$W,4,FALSE)=0,"",VLOOKUP($B221,Показатели!$E:$W,4,FALSE)),"")</f>
        <v>62074688000</v>
      </c>
      <c r="H221" t="str">
        <f>IFERROR(IF(VLOOKUP($B221,Показатели!$E:$W,5,FALSE)=0,"",VLOOKUP($B221,Показатели!$E:$W,5,FALSE)),"")</f>
        <v/>
      </c>
      <c r="I221">
        <f>IFERROR(IF(VLOOKUP($B221,Показатели!$E:$W,6,FALSE)=0,"",VLOOKUP($B221,Показатели!$E:$W,6,FALSE)),"")</f>
        <v>76722782000</v>
      </c>
      <c r="J221">
        <f>IFERROR(IF(VLOOKUP($B221,Показатели!$E:$W,7,FALSE)=0,"",VLOOKUP($B221,Показатели!$E:$W,7,FALSE)),"")</f>
        <v>16453363000</v>
      </c>
      <c r="K221">
        <f>IFERROR(IF(VLOOKUP($B221,Показатели!$E:$W,8,FALSE)=0,"",VLOOKUP($B221,Показатели!$E:$W,8,FALSE)),"")</f>
        <v>18428558000</v>
      </c>
      <c r="L221">
        <f>IFERROR(IF(VLOOKUP($B221,Показатели!$E:$W,9,FALSE)=0,"",VLOOKUP($B221,Показатели!$E:$W,9,FALSE)),"")</f>
        <v>33201695000</v>
      </c>
      <c r="M221">
        <f>IFERROR(IF(VLOOKUP($B221,Показатели!$E:$W,10,FALSE)=0,"",VLOOKUP($B221,Показатели!$E:$W,10,FALSE)),"")</f>
        <v>41840861000</v>
      </c>
      <c r="N221">
        <f>IFERROR(IF(VLOOKUP($B221,Показатели!$E:$W,11,FALSE)=0,"",VLOOKUP($B221,Показатели!$E:$W,11,FALSE)),"")</f>
        <v>68975197000</v>
      </c>
      <c r="O221">
        <f>IFERROR(IF(VLOOKUP($B221,Показатели!$E:$W,12,FALSE)=0,"",VLOOKUP($B221,Показатели!$E:$W,12,FALSE)),"")</f>
        <v>3069828000</v>
      </c>
      <c r="P221">
        <f>IFERROR(IF(VLOOKUP($B221,Показатели!$E:$W,13,FALSE)=0,"",VLOOKUP($B221,Показатели!$E:$W,13,FALSE)),"")</f>
        <v>2380829000</v>
      </c>
      <c r="Q221">
        <f>IFERROR(IF(VLOOKUP($B221,Показатели!$E:$W,14,FALSE)=0,"",VLOOKUP($B221,Показатели!$E:$W,14,FALSE)),"")</f>
        <v>2054634000</v>
      </c>
      <c r="R221" t="str">
        <f>IFERROR(IF(VLOOKUP($B221,Показатели!$E:$W,15,FALSE)=0,"",VLOOKUP($B221,Показатели!$E:$W,15,FALSE)),"")</f>
        <v/>
      </c>
      <c r="S221">
        <f>IFERROR(IF(VLOOKUP($B221,Показатели!$E:$W,16,FALSE)=0,"",VLOOKUP($B221,Показатели!$E:$W,16,FALSE)),"")</f>
        <v>7234320000</v>
      </c>
      <c r="T221">
        <f>IFERROR(IF(VLOOKUP($B221,Показатели!$E:$W,17,FALSE)=0,"",VLOOKUP($B221,Показатели!$E:$W,17,FALSE)),"")</f>
        <v>7166000000</v>
      </c>
      <c r="U221">
        <f>IFERROR(IF(VLOOKUP($B221,Показатели!$E:$W,18,FALSE)=0,"",VLOOKUP($B221,Показатели!$E:$W,18,FALSE)),"")</f>
        <v>65523246000</v>
      </c>
      <c r="V221">
        <f>IFERROR(IF(VLOOKUP($B221,Показатели!$E:$W,19,FALSE)=0,"",VLOOKUP($B221,Показатели!$E:$W,19,FALSE)),"")</f>
        <v>70567135000</v>
      </c>
    </row>
    <row r="222" spans="1:22" x14ac:dyDescent="0.2">
      <c r="A222" s="7" t="s">
        <v>2204</v>
      </c>
      <c r="B222" t="str">
        <f t="shared" si="3"/>
        <v>MRKU IV кв. 2013</v>
      </c>
      <c r="C222">
        <v>2013</v>
      </c>
      <c r="D222">
        <f>SUMIFS(Дивиденды!$C:$C,Дивиденды!$A:$A,A222,Дивиденды!$I:$I,C222)</f>
        <v>1.0200000000000001E-3</v>
      </c>
      <c r="E222">
        <f>IFERROR(IF(VLOOKUP($B222,Показатели!$E:$W,2,FALSE)=0,"",VLOOKUP($B222,Показатели!$E:$W,2,FALSE)),"")</f>
        <v>1992380000</v>
      </c>
      <c r="F222">
        <f>IFERROR(IF(VLOOKUP($B222,Показатели!$E:$W,3,FALSE)=0,"",VLOOKUP($B222,Показатели!$E:$W,3,FALSE)),"")</f>
        <v>11398848000</v>
      </c>
      <c r="G222">
        <f>IFERROR(IF(VLOOKUP($B222,Показатели!$E:$W,4,FALSE)=0,"",VLOOKUP($B222,Показатели!$E:$W,4,FALSE)),"")</f>
        <v>58335777000</v>
      </c>
      <c r="H222" t="str">
        <f>IFERROR(IF(VLOOKUP($B222,Показатели!$E:$W,5,FALSE)=0,"",VLOOKUP($B222,Показатели!$E:$W,5,FALSE)),"")</f>
        <v/>
      </c>
      <c r="I222">
        <f>IFERROR(IF(VLOOKUP($B222,Показатели!$E:$W,6,FALSE)=0,"",VLOOKUP($B222,Показатели!$E:$W,6,FALSE)),"")</f>
        <v>70567135000</v>
      </c>
      <c r="J222">
        <f>IFERROR(IF(VLOOKUP($B222,Показатели!$E:$W,7,FALSE)=0,"",VLOOKUP($B222,Показатели!$E:$W,7,FALSE)),"")</f>
        <v>10404926000</v>
      </c>
      <c r="K222">
        <f>IFERROR(IF(VLOOKUP($B222,Показатели!$E:$W,8,FALSE)=0,"",VLOOKUP($B222,Показатели!$E:$W,8,FALSE)),"")</f>
        <v>20198130000</v>
      </c>
      <c r="L222" t="str">
        <f>IFERROR(IF(VLOOKUP($B222,Показатели!$E:$W,9,FALSE)=0,"",VLOOKUP($B222,Показатели!$E:$W,9,FALSE)),"")</f>
        <v/>
      </c>
      <c r="M222">
        <f>IFERROR(IF(VLOOKUP($B222,Показатели!$E:$W,10,FALSE)=0,"",VLOOKUP($B222,Показатели!$E:$W,10,FALSE)),"")</f>
        <v>39964079000</v>
      </c>
      <c r="N222">
        <f>IFERROR(IF(VLOOKUP($B222,Показатели!$E:$W,11,FALSE)=0,"",VLOOKUP($B222,Показатели!$E:$W,11,FALSE)),"")</f>
        <v>65523246000</v>
      </c>
      <c r="O222">
        <f>IFERROR(IF(VLOOKUP($B222,Показатели!$E:$W,12,FALSE)=0,"",VLOOKUP($B222,Показатели!$E:$W,12,FALSE)),"")</f>
        <v>226027000</v>
      </c>
      <c r="P222">
        <f>IFERROR(IF(VLOOKUP($B222,Показатели!$E:$W,13,FALSE)=0,"",VLOOKUP($B222,Показатели!$E:$W,13,FALSE)),"")</f>
        <v>-992607000</v>
      </c>
      <c r="Q222">
        <f>IFERROR(IF(VLOOKUP($B222,Показатели!$E:$W,14,FALSE)=0,"",VLOOKUP($B222,Показатели!$E:$W,14,FALSE)),"")</f>
        <v>-1099879000</v>
      </c>
      <c r="R222" t="str">
        <f>IFERROR(IF(VLOOKUP($B222,Показатели!$E:$W,15,FALSE)=0,"",VLOOKUP($B222,Показатели!$E:$W,15,FALSE)),"")</f>
        <v/>
      </c>
      <c r="S222" t="str">
        <f>IFERROR(IF(VLOOKUP($B222,Показатели!$E:$W,16,FALSE)=0,"",VLOOKUP($B222,Показатели!$E:$W,16,FALSE)),"")</f>
        <v/>
      </c>
      <c r="T222" t="str">
        <f>IFERROR(IF(VLOOKUP($B222,Показатели!$E:$W,17,FALSE)=0,"",VLOOKUP($B222,Показатели!$E:$W,17,FALSE)),"")</f>
        <v/>
      </c>
      <c r="U222">
        <f>IFERROR(IF(VLOOKUP($B222,Показатели!$E:$W,18,FALSE)=0,"",VLOOKUP($B222,Показатели!$E:$W,18,FALSE)),"")</f>
        <v>59430818000</v>
      </c>
      <c r="V222">
        <f>IFERROR(IF(VLOOKUP($B222,Показатели!$E:$W,19,FALSE)=0,"",VLOOKUP($B222,Показатели!$E:$W,19,FALSE)),"")</f>
        <v>66825316000</v>
      </c>
    </row>
    <row r="223" spans="1:22" x14ac:dyDescent="0.2">
      <c r="A223" s="7" t="s">
        <v>2204</v>
      </c>
      <c r="B223" t="str">
        <f t="shared" si="3"/>
        <v>MRKU IV кв. 2012</v>
      </c>
      <c r="C223">
        <v>2012</v>
      </c>
      <c r="D223">
        <f>SUMIFS(Дивиденды!$C:$C,Дивиденды!$A:$A,A223,Дивиденды!$I:$I,C223)</f>
        <v>1.7899999999999999E-3</v>
      </c>
      <c r="E223">
        <f>IFERROR(IF(VLOOKUP($B223,Показатели!$E:$W,2,FALSE)=0,"",VLOOKUP($B223,Показатели!$E:$W,2,FALSE)),"")</f>
        <v>2593982000</v>
      </c>
      <c r="F223">
        <f>IFERROR(IF(VLOOKUP($B223,Показатели!$E:$W,3,FALSE)=0,"",VLOOKUP($B223,Показатели!$E:$W,3,FALSE)),"")</f>
        <v>10520551000</v>
      </c>
      <c r="G223">
        <f>IFERROR(IF(VLOOKUP($B223,Показатели!$E:$W,4,FALSE)=0,"",VLOOKUP($B223,Показатели!$E:$W,4,FALSE)),"")</f>
        <v>54843634000</v>
      </c>
      <c r="H223" t="str">
        <f>IFERROR(IF(VLOOKUP($B223,Показатели!$E:$W,5,FALSE)=0,"",VLOOKUP($B223,Показатели!$E:$W,5,FALSE)),"")</f>
        <v/>
      </c>
      <c r="I223">
        <f>IFERROR(IF(VLOOKUP($B223,Показатели!$E:$W,6,FALSE)=0,"",VLOOKUP($B223,Показатели!$E:$W,6,FALSE)),"")</f>
        <v>66825316000</v>
      </c>
      <c r="J223">
        <f>IFERROR(IF(VLOOKUP($B223,Показатели!$E:$W,7,FALSE)=0,"",VLOOKUP($B223,Показатели!$E:$W,7,FALSE)),"")</f>
        <v>9446936000</v>
      </c>
      <c r="K223">
        <f>IFERROR(IF(VLOOKUP($B223,Показатели!$E:$W,8,FALSE)=0,"",VLOOKUP($B223,Показатели!$E:$W,8,FALSE)),"")</f>
        <v>14921051000</v>
      </c>
      <c r="L223" t="str">
        <f>IFERROR(IF(VLOOKUP($B223,Показатели!$E:$W,9,FALSE)=0,"",VLOOKUP($B223,Показатели!$E:$W,9,FALSE)),"")</f>
        <v/>
      </c>
      <c r="M223">
        <f>IFERROR(IF(VLOOKUP($B223,Показатели!$E:$W,10,FALSE)=0,"",VLOOKUP($B223,Показатели!$E:$W,10,FALSE)),"")</f>
        <v>42457329000</v>
      </c>
      <c r="N223">
        <f>IFERROR(IF(VLOOKUP($B223,Показатели!$E:$W,11,FALSE)=0,"",VLOOKUP($B223,Показатели!$E:$W,11,FALSE)),"")</f>
        <v>59430818000</v>
      </c>
      <c r="O223">
        <f>IFERROR(IF(VLOOKUP($B223,Показатели!$E:$W,12,FALSE)=0,"",VLOOKUP($B223,Показатели!$E:$W,12,FALSE)),"")</f>
        <v>503001000</v>
      </c>
      <c r="P223">
        <f>IFERROR(IF(VLOOKUP($B223,Показатели!$E:$W,13,FALSE)=0,"",VLOOKUP($B223,Показатели!$E:$W,13,FALSE)),"")</f>
        <v>589403000</v>
      </c>
      <c r="Q223">
        <f>IFERROR(IF(VLOOKUP($B223,Показатели!$E:$W,14,FALSE)=0,"",VLOOKUP($B223,Показатели!$E:$W,14,FALSE)),"")</f>
        <v>245764000</v>
      </c>
      <c r="R223" t="str">
        <f>IFERROR(IF(VLOOKUP($B223,Показатели!$E:$W,15,FALSE)=0,"",VLOOKUP($B223,Показатели!$E:$W,15,FALSE)),"")</f>
        <v/>
      </c>
      <c r="S223" t="str">
        <f>IFERROR(IF(VLOOKUP($B223,Показатели!$E:$W,16,FALSE)=0,"",VLOOKUP($B223,Показатели!$E:$W,16,FALSE)),"")</f>
        <v/>
      </c>
      <c r="T223" t="str">
        <f>IFERROR(IF(VLOOKUP($B223,Показатели!$E:$W,17,FALSE)=0,"",VLOOKUP($B223,Показатели!$E:$W,17,FALSE)),"")</f>
        <v/>
      </c>
      <c r="U223">
        <f>IFERROR(IF(VLOOKUP($B223,Показатели!$E:$W,18,FALSE)=0,"",VLOOKUP($B223,Показатели!$E:$W,18,FALSE)),"")</f>
        <v>62000160000</v>
      </c>
      <c r="V223">
        <f>IFERROR(IF(VLOOKUP($B223,Показатели!$E:$W,19,FALSE)=0,"",VLOOKUP($B223,Показатели!$E:$W,19,FALSE)),"")</f>
        <v>64246438000</v>
      </c>
    </row>
    <row r="224" spans="1:22" x14ac:dyDescent="0.2">
      <c r="A224" s="7" t="s">
        <v>2204</v>
      </c>
      <c r="B224" t="str">
        <f t="shared" si="3"/>
        <v>MRKU IV кв. 2011</v>
      </c>
      <c r="C224">
        <v>2011</v>
      </c>
      <c r="D224">
        <f>SUMIFS(Дивиденды!$C:$C,Дивиденды!$A:$A,A224,Дивиденды!$I:$I,C224)</f>
        <v>2.8E-3</v>
      </c>
      <c r="E224">
        <f>IFERROR(IF(VLOOKUP($B224,Показатели!$E:$W,2,FALSE)=0,"",VLOOKUP($B224,Показатели!$E:$W,2,FALSE)),"")</f>
        <v>1429881000</v>
      </c>
      <c r="F224">
        <f>IFERROR(IF(VLOOKUP($B224,Показатели!$E:$W,3,FALSE)=0,"",VLOOKUP($B224,Показатели!$E:$W,3,FALSE)),"")</f>
        <v>9553394000</v>
      </c>
      <c r="G224">
        <f>IFERROR(IF(VLOOKUP($B224,Показатели!$E:$W,4,FALSE)=0,"",VLOOKUP($B224,Показатели!$E:$W,4,FALSE)),"")</f>
        <v>52998691000</v>
      </c>
      <c r="H224" t="str">
        <f>IFERROR(IF(VLOOKUP($B224,Показатели!$E:$W,5,FALSE)=0,"",VLOOKUP($B224,Показатели!$E:$W,5,FALSE)),"")</f>
        <v/>
      </c>
      <c r="I224">
        <f>IFERROR(IF(VLOOKUP($B224,Показатели!$E:$W,6,FALSE)=0,"",VLOOKUP($B224,Показатели!$E:$W,6,FALSE)),"")</f>
        <v>64246438000</v>
      </c>
      <c r="J224">
        <f>IFERROR(IF(VLOOKUP($B224,Показатели!$E:$W,7,FALSE)=0,"",VLOOKUP($B224,Показатели!$E:$W,7,FALSE)),"")</f>
        <v>8948004000</v>
      </c>
      <c r="K224">
        <f>IFERROR(IF(VLOOKUP($B224,Показатели!$E:$W,8,FALSE)=0,"",VLOOKUP($B224,Показатели!$E:$W,8,FALSE)),"")</f>
        <v>12806876000</v>
      </c>
      <c r="L224" t="str">
        <f>IFERROR(IF(VLOOKUP($B224,Показатели!$E:$W,9,FALSE)=0,"",VLOOKUP($B224,Показатели!$E:$W,9,FALSE)),"")</f>
        <v/>
      </c>
      <c r="M224">
        <f>IFERROR(IF(VLOOKUP($B224,Показатели!$E:$W,10,FALSE)=0,"",VLOOKUP($B224,Показатели!$E:$W,10,FALSE)),"")</f>
        <v>42491558000</v>
      </c>
      <c r="N224">
        <f>IFERROR(IF(VLOOKUP($B224,Показатели!$E:$W,11,FALSE)=0,"",VLOOKUP($B224,Показатели!$E:$W,11,FALSE)),"")</f>
        <v>62000160000</v>
      </c>
      <c r="O224">
        <f>IFERROR(IF(VLOOKUP($B224,Показатели!$E:$W,12,FALSE)=0,"",VLOOKUP($B224,Показатели!$E:$W,12,FALSE)),"")</f>
        <v>4089606000</v>
      </c>
      <c r="P224">
        <f>IFERROR(IF(VLOOKUP($B224,Показатели!$E:$W,13,FALSE)=0,"",VLOOKUP($B224,Показатели!$E:$W,13,FALSE)),"")</f>
        <v>4115181000</v>
      </c>
      <c r="Q224">
        <f>IFERROR(IF(VLOOKUP($B224,Показатели!$E:$W,14,FALSE)=0,"",VLOOKUP($B224,Показатели!$E:$W,14,FALSE)),"")</f>
        <v>3270951000</v>
      </c>
      <c r="R224" t="str">
        <f>IFERROR(IF(VLOOKUP($B224,Показатели!$E:$W,15,FALSE)=0,"",VLOOKUP($B224,Показатели!$E:$W,15,FALSE)),"")</f>
        <v/>
      </c>
      <c r="S224" t="str">
        <f>IFERROR(IF(VLOOKUP($B224,Показатели!$E:$W,16,FALSE)=0,"",VLOOKUP($B224,Показатели!$E:$W,16,FALSE)),"")</f>
        <v/>
      </c>
      <c r="T224" t="str">
        <f>IFERROR(IF(VLOOKUP($B224,Показатели!$E:$W,17,FALSE)=0,"",VLOOKUP($B224,Показатели!$E:$W,17,FALSE)),"")</f>
        <v/>
      </c>
      <c r="U224" t="str">
        <f>IFERROR(IF(VLOOKUP($B224,Показатели!$E:$W,18,FALSE)=0,"",VLOOKUP($B224,Показатели!$E:$W,18,FALSE)),"")</f>
        <v/>
      </c>
      <c r="V224" t="str">
        <f>IFERROR(IF(VLOOKUP($B224,Показатели!$E:$W,19,FALSE)=0,"",VLOOKUP($B224,Показатели!$E:$W,19,FALSE)),"")</f>
        <v/>
      </c>
    </row>
    <row r="225" spans="1:22" x14ac:dyDescent="0.2">
      <c r="A225" s="7" t="s">
        <v>2204</v>
      </c>
      <c r="B225" t="str">
        <f t="shared" si="3"/>
        <v>MRKU IV кв. 2010</v>
      </c>
      <c r="C225">
        <v>2010</v>
      </c>
      <c r="D225">
        <f>SUMIFS(Дивиденды!$C:$C,Дивиденды!$A:$A,A225,Дивиденды!$I:$I,C225)</f>
        <v>2.8E-3</v>
      </c>
      <c r="E225" t="str">
        <f>IFERROR(IF(VLOOKUP($B225,Показатели!$E:$W,2,FALSE)=0,"",VLOOKUP($B225,Показатели!$E:$W,2,FALSE)),"")</f>
        <v/>
      </c>
      <c r="F225" t="str">
        <f>IFERROR(IF(VLOOKUP($B225,Показатели!$E:$W,3,FALSE)=0,"",VLOOKUP($B225,Показатели!$E:$W,3,FALSE)),"")</f>
        <v/>
      </c>
      <c r="G225" t="str">
        <f>IFERROR(IF(VLOOKUP($B225,Показатели!$E:$W,4,FALSE)=0,"",VLOOKUP($B225,Показатели!$E:$W,4,FALSE)),"")</f>
        <v/>
      </c>
      <c r="H225" t="str">
        <f>IFERROR(IF(VLOOKUP($B225,Показатели!$E:$W,5,FALSE)=0,"",VLOOKUP($B225,Показатели!$E:$W,5,FALSE)),"")</f>
        <v/>
      </c>
      <c r="I225" t="str">
        <f>IFERROR(IF(VLOOKUP($B225,Показатели!$E:$W,6,FALSE)=0,"",VLOOKUP($B225,Показатели!$E:$W,6,FALSE)),"")</f>
        <v/>
      </c>
      <c r="J225" t="str">
        <f>IFERROR(IF(VLOOKUP($B225,Показатели!$E:$W,7,FALSE)=0,"",VLOOKUP($B225,Показатели!$E:$W,7,FALSE)),"")</f>
        <v/>
      </c>
      <c r="K225" t="str">
        <f>IFERROR(IF(VLOOKUP($B225,Показатели!$E:$W,8,FALSE)=0,"",VLOOKUP($B225,Показатели!$E:$W,8,FALSE)),"")</f>
        <v/>
      </c>
      <c r="L225" t="str">
        <f>IFERROR(IF(VLOOKUP($B225,Показатели!$E:$W,9,FALSE)=0,"",VLOOKUP($B225,Показатели!$E:$W,9,FALSE)),"")</f>
        <v/>
      </c>
      <c r="M225" t="str">
        <f>IFERROR(IF(VLOOKUP($B225,Показатели!$E:$W,10,FALSE)=0,"",VLOOKUP($B225,Показатели!$E:$W,10,FALSE)),"")</f>
        <v/>
      </c>
      <c r="N225" t="str">
        <f>IFERROR(IF(VLOOKUP($B225,Показатели!$E:$W,11,FALSE)=0,"",VLOOKUP($B225,Показатели!$E:$W,11,FALSE)),"")</f>
        <v/>
      </c>
      <c r="O225" t="str">
        <f>IFERROR(IF(VLOOKUP($B225,Показатели!$E:$W,12,FALSE)=0,"",VLOOKUP($B225,Показатели!$E:$W,12,FALSE)),"")</f>
        <v/>
      </c>
      <c r="P225" t="str">
        <f>IFERROR(IF(VLOOKUP($B225,Показатели!$E:$W,13,FALSE)=0,"",VLOOKUP($B225,Показатели!$E:$W,13,FALSE)),"")</f>
        <v/>
      </c>
      <c r="Q225" t="str">
        <f>IFERROR(IF(VLOOKUP($B225,Показатели!$E:$W,14,FALSE)=0,"",VLOOKUP($B225,Показатели!$E:$W,14,FALSE)),"")</f>
        <v/>
      </c>
      <c r="R225" t="str">
        <f>IFERROR(IF(VLOOKUP($B225,Показатели!$E:$W,15,FALSE)=0,"",VLOOKUP($B225,Показатели!$E:$W,15,FALSE)),"")</f>
        <v/>
      </c>
      <c r="S225" t="str">
        <f>IFERROR(IF(VLOOKUP($B225,Показатели!$E:$W,16,FALSE)=0,"",VLOOKUP($B225,Показатели!$E:$W,16,FALSE)),"")</f>
        <v/>
      </c>
      <c r="T225" t="str">
        <f>IFERROR(IF(VLOOKUP($B225,Показатели!$E:$W,17,FALSE)=0,"",VLOOKUP($B225,Показатели!$E:$W,17,FALSE)),"")</f>
        <v/>
      </c>
      <c r="U225" t="str">
        <f>IFERROR(IF(VLOOKUP($B225,Показатели!$E:$W,18,FALSE)=0,"",VLOOKUP($B225,Показатели!$E:$W,18,FALSE)),"")</f>
        <v/>
      </c>
      <c r="V225" t="str">
        <f>IFERROR(IF(VLOOKUP($B225,Показатели!$E:$W,19,FALSE)=0,"",VLOOKUP($B225,Показатели!$E:$W,19,FALSE)),"")</f>
        <v/>
      </c>
    </row>
    <row r="226" spans="1:22" x14ac:dyDescent="0.2">
      <c r="A226" s="7" t="s">
        <v>2206</v>
      </c>
      <c r="B226" t="str">
        <f t="shared" si="3"/>
        <v>MRKV IV кв. 2025</v>
      </c>
      <c r="C226">
        <v>2025</v>
      </c>
      <c r="D226">
        <f>SUMIFS(Дивиденды!$C:$C,Дивиденды!$A:$A,A226,Дивиденды!$I:$I,C226)</f>
        <v>0</v>
      </c>
      <c r="E226">
        <f>IFERROR(IF(VLOOKUP($B226,Показатели!$E:$W,2,FALSE)=0,"",VLOOKUP($B226,Показатели!$E:$W,2,FALSE)),"")</f>
        <v>6333840000</v>
      </c>
      <c r="F226">
        <f>IFERROR(IF(VLOOKUP($B226,Показатели!$E:$W,3,FALSE)=0,"",VLOOKUP($B226,Показатели!$E:$W,3,FALSE)),"")</f>
        <v>21219171000</v>
      </c>
      <c r="G226">
        <f>IFERROR(IF(VLOOKUP($B226,Показатели!$E:$W,4,FALSE)=0,"",VLOOKUP($B226,Показатели!$E:$W,4,FALSE)),"")</f>
        <v>74383783000</v>
      </c>
      <c r="H226">
        <f>IFERROR(IF(VLOOKUP($B226,Показатели!$E:$W,5,FALSE)=0,"",VLOOKUP($B226,Показатели!$E:$W,5,FALSE)),"")</f>
        <v>1205899000</v>
      </c>
      <c r="I226">
        <f>IFERROR(IF(VLOOKUP($B226,Показатели!$E:$W,6,FALSE)=0,"",VLOOKUP($B226,Показатели!$E:$W,6,FALSE)),"")</f>
        <v>100409512000</v>
      </c>
      <c r="J226">
        <f>IFERROR(IF(VLOOKUP($B226,Показатели!$E:$W,7,FALSE)=0,"",VLOOKUP($B226,Показатели!$E:$W,7,FALSE)),"")</f>
        <v>23810978000</v>
      </c>
      <c r="K226">
        <f>IFERROR(IF(VLOOKUP($B226,Показатели!$E:$W,8,FALSE)=0,"",VLOOKUP($B226,Показатели!$E:$W,8,FALSE)),"")</f>
        <v>22008039000</v>
      </c>
      <c r="L226">
        <f>IFERROR(IF(VLOOKUP($B226,Показатели!$E:$W,9,FALSE)=0,"",VLOOKUP($B226,Показатели!$E:$W,9,FALSE)),"")</f>
        <v>36780639000</v>
      </c>
      <c r="M226">
        <f>IFERROR(IF(VLOOKUP($B226,Показатели!$E:$W,10,FALSE)=0,"",VLOOKUP($B226,Показатели!$E:$W,10,FALSE)),"")</f>
        <v>54590495000</v>
      </c>
      <c r="N226">
        <f>IFERROR(IF(VLOOKUP($B226,Показатели!$E:$W,11,FALSE)=0,"",VLOOKUP($B226,Показатели!$E:$W,11,FALSE)),"")</f>
        <v>129253532000</v>
      </c>
      <c r="O226">
        <f>IFERROR(IF(VLOOKUP($B226,Показатели!$E:$W,12,FALSE)=0,"",VLOOKUP($B226,Показатели!$E:$W,12,FALSE)),"")</f>
        <v>15368441000</v>
      </c>
      <c r="P226">
        <f>IFERROR(IF(VLOOKUP($B226,Показатели!$E:$W,13,FALSE)=0,"",VLOOKUP($B226,Показатели!$E:$W,13,FALSE)),"")</f>
        <v>15255695000</v>
      </c>
      <c r="Q226">
        <f>IFERROR(IF(VLOOKUP($B226,Показатели!$E:$W,14,FALSE)=0,"",VLOOKUP($B226,Показатели!$E:$W,14,FALSE)),"")</f>
        <v>11326454000</v>
      </c>
      <c r="R226">
        <f>IFERROR(IF(VLOOKUP($B226,Показатели!$E:$W,15,FALSE)=0,"",VLOOKUP($B226,Показатели!$E:$W,15,FALSE)),"")</f>
        <v>6939310000</v>
      </c>
      <c r="S226">
        <f>IFERROR(IF(VLOOKUP($B226,Показатели!$E:$W,16,FALSE)=0,"",VLOOKUP($B226,Показатели!$E:$W,16,FALSE)),"")</f>
        <v>23464141000</v>
      </c>
      <c r="T226">
        <f>IFERROR(IF(VLOOKUP($B226,Показатели!$E:$W,17,FALSE)=0,"",VLOOKUP($B226,Показатели!$E:$W,17,FALSE)),"")</f>
        <v>-16617539000</v>
      </c>
      <c r="U226">
        <f>IFERROR(IF(VLOOKUP($B226,Показатели!$E:$W,18,FALSE)=0,"",VLOOKUP($B226,Показатели!$E:$W,18,FALSE)),"")</f>
        <v>83411189000</v>
      </c>
      <c r="V226">
        <f>IFERROR(IF(VLOOKUP($B226,Показатели!$E:$W,19,FALSE)=0,"",VLOOKUP($B226,Показатели!$E:$W,19,FALSE)),"")</f>
        <v>80870839000</v>
      </c>
    </row>
    <row r="227" spans="1:22" x14ac:dyDescent="0.2">
      <c r="A227" s="7" t="s">
        <v>2206</v>
      </c>
      <c r="B227" t="str">
        <f t="shared" si="3"/>
        <v>MRKV IV кв. 2024</v>
      </c>
      <c r="C227">
        <v>2024</v>
      </c>
      <c r="D227">
        <f>SUMIFS(Дивиденды!$C:$C,Дивиденды!$A:$A,A227,Дивиденды!$I:$I,C227)</f>
        <v>7.4000000000000003E-3</v>
      </c>
      <c r="E227">
        <f>IFERROR(IF(VLOOKUP($B227,Показатели!$E:$W,2,FALSE)=0,"",VLOOKUP($B227,Показатели!$E:$W,2,FALSE)),"")</f>
        <v>4813129000</v>
      </c>
      <c r="F227">
        <f>IFERROR(IF(VLOOKUP($B227,Показатели!$E:$W,3,FALSE)=0,"",VLOOKUP($B227,Показатели!$E:$W,3,FALSE)),"")</f>
        <v>13722675000</v>
      </c>
      <c r="G227">
        <f>IFERROR(IF(VLOOKUP($B227,Показатели!$E:$W,4,FALSE)=0,"",VLOOKUP($B227,Показатели!$E:$W,4,FALSE)),"")</f>
        <v>62940680000</v>
      </c>
      <c r="H227">
        <f>IFERROR(IF(VLOOKUP($B227,Показатели!$E:$W,5,FALSE)=0,"",VLOOKUP($B227,Показатели!$E:$W,5,FALSE)),"")</f>
        <v>517144000</v>
      </c>
      <c r="I227">
        <f>IFERROR(IF(VLOOKUP($B227,Показатели!$E:$W,6,FALSE)=0,"",VLOOKUP($B227,Показатели!$E:$W,6,FALSE)),"")</f>
        <v>80870839000</v>
      </c>
      <c r="J227">
        <f>IFERROR(IF(VLOOKUP($B227,Показатели!$E:$W,7,FALSE)=0,"",VLOOKUP($B227,Показатели!$E:$W,7,FALSE)),"")</f>
        <v>17281543000</v>
      </c>
      <c r="K227">
        <f>IFERROR(IF(VLOOKUP($B227,Показатели!$E:$W,8,FALSE)=0,"",VLOOKUP($B227,Показатели!$E:$W,8,FALSE)),"")</f>
        <v>18652637000</v>
      </c>
      <c r="L227">
        <f>IFERROR(IF(VLOOKUP($B227,Показатели!$E:$W,9,FALSE)=0,"",VLOOKUP($B227,Показатели!$E:$W,9,FALSE)),"")</f>
        <v>26846820000</v>
      </c>
      <c r="M227">
        <f>IFERROR(IF(VLOOKUP($B227,Показатели!$E:$W,10,FALSE)=0,"",VLOOKUP($B227,Показатели!$E:$W,10,FALSE)),"")</f>
        <v>44936659000</v>
      </c>
      <c r="N227">
        <f>IFERROR(IF(VLOOKUP($B227,Показатели!$E:$W,11,FALSE)=0,"",VLOOKUP($B227,Показатели!$E:$W,11,FALSE)),"")</f>
        <v>83411189000</v>
      </c>
      <c r="O227">
        <f>IFERROR(IF(VLOOKUP($B227,Показатели!$E:$W,12,FALSE)=0,"",VLOOKUP($B227,Показатели!$E:$W,12,FALSE)),"")</f>
        <v>6955025000</v>
      </c>
      <c r="P227">
        <f>IFERROR(IF(VLOOKUP($B227,Показатели!$E:$W,13,FALSE)=0,"",VLOOKUP($B227,Показатели!$E:$W,13,FALSE)),"")</f>
        <v>5914498000</v>
      </c>
      <c r="Q227">
        <f>IFERROR(IF(VLOOKUP($B227,Показатели!$E:$W,14,FALSE)=0,"",VLOOKUP($B227,Показатели!$E:$W,14,FALSE)),"")</f>
        <v>3629647000</v>
      </c>
      <c r="R227">
        <f>IFERROR(IF(VLOOKUP($B227,Показатели!$E:$W,15,FALSE)=0,"",VLOOKUP($B227,Показатели!$E:$W,15,FALSE)),"")</f>
        <v>6377415000</v>
      </c>
      <c r="S227">
        <f>IFERROR(IF(VLOOKUP($B227,Показатели!$E:$W,16,FALSE)=0,"",VLOOKUP($B227,Показатели!$E:$W,16,FALSE)),"")</f>
        <v>14495839000</v>
      </c>
      <c r="T227">
        <f>IFERROR(IF(VLOOKUP($B227,Показатели!$E:$W,17,FALSE)=0,"",VLOOKUP($B227,Показатели!$E:$W,17,FALSE)),"")</f>
        <v>-11393964000</v>
      </c>
      <c r="U227">
        <f>IFERROR(IF(VLOOKUP($B227,Показатели!$E:$W,18,FALSE)=0,"",VLOOKUP($B227,Показатели!$E:$W,18,FALSE)),"")</f>
        <v>77044745000</v>
      </c>
      <c r="V227">
        <f>IFERROR(IF(VLOOKUP($B227,Показатели!$E:$W,19,FALSE)=0,"",VLOOKUP($B227,Показатели!$E:$W,19,FALSE)),"")</f>
        <v>71736263000</v>
      </c>
    </row>
    <row r="228" spans="1:22" x14ac:dyDescent="0.2">
      <c r="A228" s="7" t="s">
        <v>2206</v>
      </c>
      <c r="B228" t="str">
        <f t="shared" si="3"/>
        <v>MRKV IV кв. 2023</v>
      </c>
      <c r="C228">
        <v>2023</v>
      </c>
      <c r="D228">
        <f>SUMIFS(Дивиденды!$C:$C,Дивиденды!$A:$A,A228,Дивиденды!$I:$I,C228)</f>
        <v>6.1999999999999998E-3</v>
      </c>
      <c r="E228">
        <f>IFERROR(IF(VLOOKUP($B228,Показатели!$E:$W,2,FALSE)=0,"",VLOOKUP($B228,Показатели!$E:$W,2,FALSE)),"")</f>
        <v>2855306000</v>
      </c>
      <c r="F228">
        <f>IFERROR(IF(VLOOKUP($B228,Показатели!$E:$W,3,FALSE)=0,"",VLOOKUP($B228,Показатели!$E:$W,3,FALSE)),"")</f>
        <v>10463376000</v>
      </c>
      <c r="G228">
        <f>IFERROR(IF(VLOOKUP($B228,Показатели!$E:$W,4,FALSE)=0,"",VLOOKUP($B228,Показатели!$E:$W,4,FALSE)),"")</f>
        <v>57967454000</v>
      </c>
      <c r="H228">
        <f>IFERROR(IF(VLOOKUP($B228,Показатели!$E:$W,5,FALSE)=0,"",VLOOKUP($B228,Показатели!$E:$W,5,FALSE)),"")</f>
        <v>406604000</v>
      </c>
      <c r="I228">
        <f>IFERROR(IF(VLOOKUP($B228,Показатели!$E:$W,6,FALSE)=0,"",VLOOKUP($B228,Показатели!$E:$W,6,FALSE)),"")</f>
        <v>71736263000</v>
      </c>
      <c r="J228">
        <f>IFERROR(IF(VLOOKUP($B228,Показатели!$E:$W,7,FALSE)=0,"",VLOOKUP($B228,Показатели!$E:$W,7,FALSE)),"")</f>
        <v>14478844000</v>
      </c>
      <c r="K228">
        <f>IFERROR(IF(VLOOKUP($B228,Показатели!$E:$W,8,FALSE)=0,"",VLOOKUP($B228,Показатели!$E:$W,8,FALSE)),"")</f>
        <v>15119328000</v>
      </c>
      <c r="L228">
        <f>IFERROR(IF(VLOOKUP($B228,Показатели!$E:$W,9,FALSE)=0,"",VLOOKUP($B228,Показатели!$E:$W,9,FALSE)),"")</f>
        <v>24384683000</v>
      </c>
      <c r="M228">
        <f>IFERROR(IF(VLOOKUP($B228,Показатели!$E:$W,10,FALSE)=0,"",VLOOKUP($B228,Показатели!$E:$W,10,FALSE)),"")</f>
        <v>42138091000</v>
      </c>
      <c r="N228">
        <f>IFERROR(IF(VLOOKUP($B228,Показатели!$E:$W,11,FALSE)=0,"",VLOOKUP($B228,Показатели!$E:$W,11,FALSE)),"")</f>
        <v>77044745000</v>
      </c>
      <c r="O228">
        <f>IFERROR(IF(VLOOKUP($B228,Показатели!$E:$W,12,FALSE)=0,"",VLOOKUP($B228,Показатели!$E:$W,12,FALSE)),"")</f>
        <v>4528149000</v>
      </c>
      <c r="P228">
        <f>IFERROR(IF(VLOOKUP($B228,Показатели!$E:$W,13,FALSE)=0,"",VLOOKUP($B228,Показатели!$E:$W,13,FALSE)),"")</f>
        <v>3841284000</v>
      </c>
      <c r="Q228">
        <f>IFERROR(IF(VLOOKUP($B228,Показатели!$E:$W,14,FALSE)=0,"",VLOOKUP($B228,Показатели!$E:$W,14,FALSE)),"")</f>
        <v>2972193000</v>
      </c>
      <c r="R228">
        <f>IFERROR(IF(VLOOKUP($B228,Показатели!$E:$W,15,FALSE)=0,"",VLOOKUP($B228,Показатели!$E:$W,15,FALSE)),"")</f>
        <v>6202413000</v>
      </c>
      <c r="S228">
        <f>IFERROR(IF(VLOOKUP($B228,Показатели!$E:$W,16,FALSE)=0,"",VLOOKUP($B228,Показатели!$E:$W,16,FALSE)),"")</f>
        <v>10744516000</v>
      </c>
      <c r="T228">
        <f>IFERROR(IF(VLOOKUP($B228,Показатели!$E:$W,17,FALSE)=0,"",VLOOKUP($B228,Показатели!$E:$W,17,FALSE)),"")</f>
        <v>-8598452000</v>
      </c>
      <c r="U228">
        <f>IFERROR(IF(VLOOKUP($B228,Показатели!$E:$W,18,FALSE)=0,"",VLOOKUP($B228,Показатели!$E:$W,18,FALSE)),"")</f>
        <v>66800787000</v>
      </c>
      <c r="V228">
        <f>IFERROR(IF(VLOOKUP($B228,Показатели!$E:$W,19,FALSE)=0,"",VLOOKUP($B228,Показатели!$E:$W,19,FALSE)),"")</f>
        <v>67610686000</v>
      </c>
    </row>
    <row r="229" spans="1:22" x14ac:dyDescent="0.2">
      <c r="A229" s="7" t="s">
        <v>2206</v>
      </c>
      <c r="B229" t="str">
        <f t="shared" si="3"/>
        <v>MRKV IV кв. 2022</v>
      </c>
      <c r="C229">
        <v>2022</v>
      </c>
      <c r="D229">
        <f>SUMIFS(Дивиденды!$C:$C,Дивиденды!$A:$A,A229,Дивиденды!$I:$I,C229)</f>
        <v>0</v>
      </c>
      <c r="E229">
        <f>IFERROR(IF(VLOOKUP($B229,Показатели!$E:$W,2,FALSE)=0,"",VLOOKUP($B229,Показатели!$E:$W,2,FALSE)),"")</f>
        <v>378657000</v>
      </c>
      <c r="F229">
        <f>IFERROR(IF(VLOOKUP($B229,Показатели!$E:$W,3,FALSE)=0,"",VLOOKUP($B229,Показатели!$E:$W,3,FALSE)),"")</f>
        <v>9580410000</v>
      </c>
      <c r="G229">
        <f>IFERROR(IF(VLOOKUP($B229,Показатели!$E:$W,4,FALSE)=0,"",VLOOKUP($B229,Показатели!$E:$W,4,FALSE)),"")</f>
        <v>53979138000</v>
      </c>
      <c r="H229">
        <f>IFERROR(IF(VLOOKUP($B229,Показатели!$E:$W,5,FALSE)=0,"",VLOOKUP($B229,Показатели!$E:$W,5,FALSE)),"")</f>
        <v>293782000</v>
      </c>
      <c r="I229">
        <f>IFERROR(IF(VLOOKUP($B229,Показатели!$E:$W,6,FALSE)=0,"",VLOOKUP($B229,Показатели!$E:$W,6,FALSE)),"")</f>
        <v>67610686000</v>
      </c>
      <c r="J229">
        <f>IFERROR(IF(VLOOKUP($B229,Показатели!$E:$W,7,FALSE)=0,"",VLOOKUP($B229,Показатели!$E:$W,7,FALSE)),"")</f>
        <v>18088728000</v>
      </c>
      <c r="K229">
        <f>IFERROR(IF(VLOOKUP($B229,Показатели!$E:$W,8,FALSE)=0,"",VLOOKUP($B229,Показатели!$E:$W,8,FALSE)),"")</f>
        <v>10476344000</v>
      </c>
      <c r="L229">
        <f>IFERROR(IF(VLOOKUP($B229,Показатели!$E:$W,9,FALSE)=0,"",VLOOKUP($B229,Показатели!$E:$W,9,FALSE)),"")</f>
        <v>21404924000</v>
      </c>
      <c r="M229">
        <f>IFERROR(IF(VLOOKUP($B229,Показатели!$E:$W,10,FALSE)=0,"",VLOOKUP($B229,Показатели!$E:$W,10,FALSE)),"")</f>
        <v>39045614000</v>
      </c>
      <c r="N229">
        <f>IFERROR(IF(VLOOKUP($B229,Показатели!$E:$W,11,FALSE)=0,"",VLOOKUP($B229,Показатели!$E:$W,11,FALSE)),"")</f>
        <v>66800787000</v>
      </c>
      <c r="O229">
        <f>IFERROR(IF(VLOOKUP($B229,Показатели!$E:$W,12,FALSE)=0,"",VLOOKUP($B229,Показатели!$E:$W,12,FALSE)),"")</f>
        <v>551900000</v>
      </c>
      <c r="P229">
        <f>IFERROR(IF(VLOOKUP($B229,Показатели!$E:$W,13,FALSE)=0,"",VLOOKUP($B229,Показатели!$E:$W,13,FALSE)),"")</f>
        <v>-495739000</v>
      </c>
      <c r="Q229">
        <f>IFERROR(IF(VLOOKUP($B229,Показатели!$E:$W,14,FALSE)=0,"",VLOOKUP($B229,Показатели!$E:$W,14,FALSE)),"")</f>
        <v>-471490000</v>
      </c>
      <c r="R229">
        <f>IFERROR(IF(VLOOKUP($B229,Показатели!$E:$W,15,FALSE)=0,"",VLOOKUP($B229,Показатели!$E:$W,15,FALSE)),"")</f>
        <v>6112988000</v>
      </c>
      <c r="S229">
        <f>IFERROR(IF(VLOOKUP($B229,Показатели!$E:$W,16,FALSE)=0,"",VLOOKUP($B229,Показатели!$E:$W,16,FALSE)),"")</f>
        <v>7028044000</v>
      </c>
      <c r="T229">
        <f>IFERROR(IF(VLOOKUP($B229,Показатели!$E:$W,17,FALSE)=0,"",VLOOKUP($B229,Показатели!$E:$W,17,FALSE)),"")</f>
        <v>-8393698000</v>
      </c>
      <c r="U229">
        <f>IFERROR(IF(VLOOKUP($B229,Показатели!$E:$W,18,FALSE)=0,"",VLOOKUP($B229,Показатели!$E:$W,18,FALSE)),"")</f>
        <v>64903605000</v>
      </c>
      <c r="V229">
        <f>IFERROR(IF(VLOOKUP($B229,Показатели!$E:$W,19,FALSE)=0,"",VLOOKUP($B229,Показатели!$E:$W,19,FALSE)),"")</f>
        <v>64830787000</v>
      </c>
    </row>
    <row r="230" spans="1:22" x14ac:dyDescent="0.2">
      <c r="A230" s="7" t="s">
        <v>2206</v>
      </c>
      <c r="B230" t="str">
        <f t="shared" si="3"/>
        <v>MRKV IV кв. 2021</v>
      </c>
      <c r="C230">
        <v>2021</v>
      </c>
      <c r="D230">
        <f>SUMIFS(Дивиденды!$C:$C,Дивиденды!$A:$A,A230,Дивиденды!$I:$I,C230)</f>
        <v>3.2299999999999999E-4</v>
      </c>
      <c r="E230">
        <f>IFERROR(IF(VLOOKUP($B230,Показатели!$E:$W,2,FALSE)=0,"",VLOOKUP($B230,Показатели!$E:$W,2,FALSE)),"")</f>
        <v>805792000</v>
      </c>
      <c r="F230">
        <f>IFERROR(IF(VLOOKUP($B230,Показатели!$E:$W,3,FALSE)=0,"",VLOOKUP($B230,Показатели!$E:$W,3,FALSE)),"")</f>
        <v>8506823000</v>
      </c>
      <c r="G230">
        <f>IFERROR(IF(VLOOKUP($B230,Показатели!$E:$W,4,FALSE)=0,"",VLOOKUP($B230,Показатели!$E:$W,4,FALSE)),"")</f>
        <v>52016303000</v>
      </c>
      <c r="H230">
        <f>IFERROR(IF(VLOOKUP($B230,Показатели!$E:$W,5,FALSE)=0,"",VLOOKUP($B230,Показатели!$E:$W,5,FALSE)),"")</f>
        <v>259353000</v>
      </c>
      <c r="I230">
        <f>IFERROR(IF(VLOOKUP($B230,Показатели!$E:$W,6,FALSE)=0,"",VLOOKUP($B230,Показатели!$E:$W,6,FALSE)),"")</f>
        <v>64830787000</v>
      </c>
      <c r="J230">
        <f>IFERROR(IF(VLOOKUP($B230,Показатели!$E:$W,7,FALSE)=0,"",VLOOKUP($B230,Показатели!$E:$W,7,FALSE)),"")</f>
        <v>10438549000</v>
      </c>
      <c r="K230">
        <f>IFERROR(IF(VLOOKUP($B230,Показатели!$E:$W,8,FALSE)=0,"",VLOOKUP($B230,Показатели!$E:$W,8,FALSE)),"")</f>
        <v>14692723000</v>
      </c>
      <c r="L230">
        <f>IFERROR(IF(VLOOKUP($B230,Показатели!$E:$W,9,FALSE)=0,"",VLOOKUP($B230,Показатели!$E:$W,9,FALSE)),"")</f>
        <v>21922370000</v>
      </c>
      <c r="M230">
        <f>IFERROR(IF(VLOOKUP($B230,Показатели!$E:$W,10,FALSE)=0,"",VLOOKUP($B230,Показатели!$E:$W,10,FALSE)),"")</f>
        <v>39699515000</v>
      </c>
      <c r="N230">
        <f>IFERROR(IF(VLOOKUP($B230,Показатели!$E:$W,11,FALSE)=0,"",VLOOKUP($B230,Показатели!$E:$W,11,FALSE)),"")</f>
        <v>64903605000</v>
      </c>
      <c r="O230">
        <f>IFERROR(IF(VLOOKUP($B230,Показатели!$E:$W,12,FALSE)=0,"",VLOOKUP($B230,Показатели!$E:$W,12,FALSE)),"")</f>
        <v>1695172000</v>
      </c>
      <c r="P230">
        <f>IFERROR(IF(VLOOKUP($B230,Показатели!$E:$W,13,FALSE)=0,"",VLOOKUP($B230,Показатели!$E:$W,13,FALSE)),"")</f>
        <v>1341042000</v>
      </c>
      <c r="Q230">
        <f>IFERROR(IF(VLOOKUP($B230,Показатели!$E:$W,14,FALSE)=0,"",VLOOKUP($B230,Показатели!$E:$W,14,FALSE)),"")</f>
        <v>982914000</v>
      </c>
      <c r="R230">
        <f>IFERROR(IF(VLOOKUP($B230,Показатели!$E:$W,15,FALSE)=0,"",VLOOKUP($B230,Показатели!$E:$W,15,FALSE)),"")</f>
        <v>5704853000</v>
      </c>
      <c r="S230">
        <f>IFERROR(IF(VLOOKUP($B230,Показатели!$E:$W,16,FALSE)=0,"",VLOOKUP($B230,Показатели!$E:$W,16,FALSE)),"")</f>
        <v>6897330000</v>
      </c>
      <c r="T230">
        <f>IFERROR(IF(VLOOKUP($B230,Показатели!$E:$W,17,FALSE)=0,"",VLOOKUP($B230,Показатели!$E:$W,17,FALSE)),"")</f>
        <v>-7164261000</v>
      </c>
      <c r="U230">
        <f>IFERROR(IF(VLOOKUP($B230,Показатели!$E:$W,18,FALSE)=0,"",VLOOKUP($B230,Показатели!$E:$W,18,FALSE)),"")</f>
        <v>60391792000</v>
      </c>
      <c r="V230">
        <f>IFERROR(IF(VLOOKUP($B230,Показатели!$E:$W,19,FALSE)=0,"",VLOOKUP($B230,Показатели!$E:$W,19,FALSE)),"")</f>
        <v>61486820000</v>
      </c>
    </row>
    <row r="231" spans="1:22" x14ac:dyDescent="0.2">
      <c r="A231" s="7" t="s">
        <v>2206</v>
      </c>
      <c r="B231" t="str">
        <f t="shared" si="3"/>
        <v>MRKV IV кв. 2020</v>
      </c>
      <c r="C231">
        <v>2020</v>
      </c>
      <c r="D231">
        <f>SUMIFS(Дивиденды!$C:$C,Дивиденды!$A:$A,A231,Дивиденды!$I:$I,C231)</f>
        <v>0</v>
      </c>
      <c r="E231">
        <f>IFERROR(IF(VLOOKUP($B231,Показатели!$E:$W,2,FALSE)=0,"",VLOOKUP($B231,Показатели!$E:$W,2,FALSE)),"")</f>
        <v>563757000</v>
      </c>
      <c r="F231">
        <f>IFERROR(IF(VLOOKUP($B231,Показатели!$E:$W,3,FALSE)=0,"",VLOOKUP($B231,Показатели!$E:$W,3,FALSE)),"")</f>
        <v>8471088000</v>
      </c>
      <c r="G231">
        <f>IFERROR(IF(VLOOKUP($B231,Показатели!$E:$W,4,FALSE)=0,"",VLOOKUP($B231,Показатели!$E:$W,4,FALSE)),"")</f>
        <v>48781004000</v>
      </c>
      <c r="H231">
        <f>IFERROR(IF(VLOOKUP($B231,Показатели!$E:$W,5,FALSE)=0,"",VLOOKUP($B231,Показатели!$E:$W,5,FALSE)),"")</f>
        <v>288345000</v>
      </c>
      <c r="I231">
        <f>IFERROR(IF(VLOOKUP($B231,Показатели!$E:$W,6,FALSE)=0,"",VLOOKUP($B231,Показатели!$E:$W,6,FALSE)),"")</f>
        <v>61486820000</v>
      </c>
      <c r="J231">
        <f>IFERROR(IF(VLOOKUP($B231,Показатели!$E:$W,7,FALSE)=0,"",VLOOKUP($B231,Показатели!$E:$W,7,FALSE)),"")</f>
        <v>8952834000</v>
      </c>
      <c r="K231">
        <f>IFERROR(IF(VLOOKUP($B231,Показатели!$E:$W,8,FALSE)=0,"",VLOOKUP($B231,Показатели!$E:$W,8,FALSE)),"")</f>
        <v>13993188000</v>
      </c>
      <c r="L231">
        <f>IFERROR(IF(VLOOKUP($B231,Показатели!$E:$W,9,FALSE)=0,"",VLOOKUP($B231,Показатели!$E:$W,9,FALSE)),"")</f>
        <v>20919807000</v>
      </c>
      <c r="M231">
        <f>IFERROR(IF(VLOOKUP($B231,Показатели!$E:$W,10,FALSE)=0,"",VLOOKUP($B231,Показатели!$E:$W,10,FALSE)),"")</f>
        <v>38540798000</v>
      </c>
      <c r="N231">
        <f>IFERROR(IF(VLOOKUP($B231,Показатели!$E:$W,11,FALSE)=0,"",VLOOKUP($B231,Показатели!$E:$W,11,FALSE)),"")</f>
        <v>60391792000</v>
      </c>
      <c r="O231">
        <f>IFERROR(IF(VLOOKUP($B231,Показатели!$E:$W,12,FALSE)=0,"",VLOOKUP($B231,Показатели!$E:$W,12,FALSE)),"")</f>
        <v>288645000</v>
      </c>
      <c r="P231">
        <f>IFERROR(IF(VLOOKUP($B231,Показатели!$E:$W,13,FALSE)=0,"",VLOOKUP($B231,Показатели!$E:$W,13,FALSE)),"")</f>
        <v>-17203000</v>
      </c>
      <c r="Q231">
        <f>IFERROR(IF(VLOOKUP($B231,Показатели!$E:$W,14,FALSE)=0,"",VLOOKUP($B231,Показатели!$E:$W,14,FALSE)),"")</f>
        <v>-117216000</v>
      </c>
      <c r="R231">
        <f>IFERROR(IF(VLOOKUP($B231,Показатели!$E:$W,15,FALSE)=0,"",VLOOKUP($B231,Показатели!$E:$W,15,FALSE)),"")</f>
        <v>5276826000</v>
      </c>
      <c r="S231">
        <f>IFERROR(IF(VLOOKUP($B231,Показатели!$E:$W,16,FALSE)=0,"",VLOOKUP($B231,Показатели!$E:$W,16,FALSE)),"")</f>
        <v>5113232000</v>
      </c>
      <c r="T231">
        <f>IFERROR(IF(VLOOKUP($B231,Показатели!$E:$W,17,FALSE)=0,"",VLOOKUP($B231,Показатели!$E:$W,17,FALSE)),"")</f>
        <v>-7787972000</v>
      </c>
      <c r="U231">
        <f>IFERROR(IF(VLOOKUP($B231,Показатели!$E:$W,18,FALSE)=0,"",VLOOKUP($B231,Показатели!$E:$W,18,FALSE)),"")</f>
        <v>62975762000</v>
      </c>
      <c r="V231">
        <f>IFERROR(IF(VLOOKUP($B231,Показатели!$E:$W,19,FALSE)=0,"",VLOOKUP($B231,Показатели!$E:$W,19,FALSE)),"")</f>
        <v>58724701000</v>
      </c>
    </row>
    <row r="232" spans="1:22" x14ac:dyDescent="0.2">
      <c r="A232" s="7" t="s">
        <v>2206</v>
      </c>
      <c r="B232" t="str">
        <f t="shared" si="3"/>
        <v>MRKV IV кв. 2019</v>
      </c>
      <c r="C232">
        <v>2019</v>
      </c>
      <c r="D232">
        <f>SUMIFS(Дивиденды!$C:$C,Дивиденды!$A:$A,A232,Дивиденды!$I:$I,C232)</f>
        <v>6.463E-3</v>
      </c>
      <c r="E232">
        <f>IFERROR(IF(VLOOKUP($B232,Показатели!$E:$W,2,FALSE)=0,"",VLOOKUP($B232,Показатели!$E:$W,2,FALSE)),"")</f>
        <v>970860000</v>
      </c>
      <c r="F232">
        <f>IFERROR(IF(VLOOKUP($B232,Показатели!$E:$W,3,FALSE)=0,"",VLOOKUP($B232,Показатели!$E:$W,3,FALSE)),"")</f>
        <v>9183442000</v>
      </c>
      <c r="G232">
        <f>IFERROR(IF(VLOOKUP($B232,Показатели!$E:$W,4,FALSE)=0,"",VLOOKUP($B232,Показатели!$E:$W,4,FALSE)),"")</f>
        <v>45634205000</v>
      </c>
      <c r="H232">
        <f>IFERROR(IF(VLOOKUP($B232,Показатели!$E:$W,5,FALSE)=0,"",VLOOKUP($B232,Показатели!$E:$W,5,FALSE)),"")</f>
        <v>234610000</v>
      </c>
      <c r="I232">
        <f>IFERROR(IF(VLOOKUP($B232,Показатели!$E:$W,6,FALSE)=0,"",VLOOKUP($B232,Показатели!$E:$W,6,FALSE)),"")</f>
        <v>58724701000</v>
      </c>
      <c r="J232">
        <f>IFERROR(IF(VLOOKUP($B232,Показатели!$E:$W,7,FALSE)=0,"",VLOOKUP($B232,Показатели!$E:$W,7,FALSE)),"")</f>
        <v>8776305000</v>
      </c>
      <c r="K232">
        <f>IFERROR(IF(VLOOKUP($B232,Показатели!$E:$W,8,FALSE)=0,"",VLOOKUP($B232,Показатели!$E:$W,8,FALSE)),"")</f>
        <v>11044962000</v>
      </c>
      <c r="L232">
        <f>IFERROR(IF(VLOOKUP($B232,Показатели!$E:$W,9,FALSE)=0,"",VLOOKUP($B232,Показатели!$E:$W,9,FALSE)),"")</f>
        <v>21228754000</v>
      </c>
      <c r="M232">
        <f>IFERROR(IF(VLOOKUP($B232,Показатели!$E:$W,10,FALSE)=0,"",VLOOKUP($B232,Показатели!$E:$W,10,FALSE)),"")</f>
        <v>38903434000</v>
      </c>
      <c r="N232">
        <f>IFERROR(IF(VLOOKUP($B232,Показатели!$E:$W,11,FALSE)=0,"",VLOOKUP($B232,Показатели!$E:$W,11,FALSE)),"")</f>
        <v>62975762000</v>
      </c>
      <c r="O232">
        <f>IFERROR(IF(VLOOKUP($B232,Показатели!$E:$W,12,FALSE)=0,"",VLOOKUP($B232,Показатели!$E:$W,12,FALSE)),"")</f>
        <v>5087905000</v>
      </c>
      <c r="P232">
        <f>IFERROR(IF(VLOOKUP($B232,Показатели!$E:$W,13,FALSE)=0,"",VLOOKUP($B232,Показатели!$E:$W,13,FALSE)),"")</f>
        <v>4941426000</v>
      </c>
      <c r="Q232">
        <f>IFERROR(IF(VLOOKUP($B232,Показатели!$E:$W,14,FALSE)=0,"",VLOOKUP($B232,Показатели!$E:$W,14,FALSE)),"")</f>
        <v>3912739000</v>
      </c>
      <c r="R232">
        <f>IFERROR(IF(VLOOKUP($B232,Показатели!$E:$W,15,FALSE)=0,"",VLOOKUP($B232,Показатели!$E:$W,15,FALSE)),"")</f>
        <v>4837796000</v>
      </c>
      <c r="S232">
        <f>IFERROR(IF(VLOOKUP($B232,Показатели!$E:$W,16,FALSE)=0,"",VLOOKUP($B232,Показатели!$E:$W,16,FALSE)),"")</f>
        <v>9462770000</v>
      </c>
      <c r="T232">
        <f>IFERROR(IF(VLOOKUP($B232,Показатели!$E:$W,17,FALSE)=0,"",VLOOKUP($B232,Показатели!$E:$W,17,FALSE)),"")</f>
        <v>-8025249000</v>
      </c>
      <c r="U232">
        <f>IFERROR(IF(VLOOKUP($B232,Показатели!$E:$W,18,FALSE)=0,"",VLOOKUP($B232,Показатели!$E:$W,18,FALSE)),"")</f>
        <v>63686149000</v>
      </c>
      <c r="V232">
        <f>IFERROR(IF(VLOOKUP($B232,Показатели!$E:$W,19,FALSE)=0,"",VLOOKUP($B232,Показатели!$E:$W,19,FALSE)),"")</f>
        <v>53566451000</v>
      </c>
    </row>
    <row r="233" spans="1:22" x14ac:dyDescent="0.2">
      <c r="A233" s="7" t="s">
        <v>2206</v>
      </c>
      <c r="B233" t="str">
        <f t="shared" si="3"/>
        <v>MRKV IV кв. 2018</v>
      </c>
      <c r="C233">
        <v>2018</v>
      </c>
      <c r="D233">
        <f>SUMIFS(Дивиденды!$C:$C,Дивиденды!$A:$A,A233,Дивиденды!$I:$I,C233)</f>
        <v>1.32E-2</v>
      </c>
      <c r="E233">
        <f>IFERROR(IF(VLOOKUP($B233,Показатели!$E:$W,2,FALSE)=0,"",VLOOKUP($B233,Показатели!$E:$W,2,FALSE)),"")</f>
        <v>1951998000</v>
      </c>
      <c r="F233">
        <f>IFERROR(IF(VLOOKUP($B233,Показатели!$E:$W,3,FALSE)=0,"",VLOOKUP($B233,Показатели!$E:$W,3,FALSE)),"")</f>
        <v>11229953000</v>
      </c>
      <c r="G233">
        <f>IFERROR(IF(VLOOKUP($B233,Показатели!$E:$W,4,FALSE)=0,"",VLOOKUP($B233,Показатели!$E:$W,4,FALSE)),"")</f>
        <v>41068666000</v>
      </c>
      <c r="H233">
        <f>IFERROR(IF(VLOOKUP($B233,Показатели!$E:$W,5,FALSE)=0,"",VLOOKUP($B233,Показатели!$E:$W,5,FALSE)),"")</f>
        <v>250757000</v>
      </c>
      <c r="I233">
        <f>IFERROR(IF(VLOOKUP($B233,Показатели!$E:$W,6,FALSE)=0,"",VLOOKUP($B233,Показатели!$E:$W,6,FALSE)),"")</f>
        <v>53566451000</v>
      </c>
      <c r="J233">
        <f>IFERROR(IF(VLOOKUP($B233,Показатели!$E:$W,7,FALSE)=0,"",VLOOKUP($B233,Показатели!$E:$W,7,FALSE)),"")</f>
        <v>6675931000</v>
      </c>
      <c r="K233">
        <f>IFERROR(IF(VLOOKUP($B233,Показатели!$E:$W,8,FALSE)=0,"",VLOOKUP($B233,Показатели!$E:$W,8,FALSE)),"")</f>
        <v>8131808000</v>
      </c>
      <c r="L233">
        <f>IFERROR(IF(VLOOKUP($B233,Показатели!$E:$W,9,FALSE)=0,"",VLOOKUP($B233,Показатели!$E:$W,9,FALSE)),"")</f>
        <v>20813096000</v>
      </c>
      <c r="M233">
        <f>IFERROR(IF(VLOOKUP($B233,Показатели!$E:$W,10,FALSE)=0,"",VLOOKUP($B233,Показатели!$E:$W,10,FALSE)),"")</f>
        <v>38758712000</v>
      </c>
      <c r="N233">
        <f>IFERROR(IF(VLOOKUP($B233,Показатели!$E:$W,11,FALSE)=0,"",VLOOKUP($B233,Показатели!$E:$W,11,FALSE)),"")</f>
        <v>63686149000</v>
      </c>
      <c r="O233">
        <f>IFERROR(IF(VLOOKUP($B233,Показатели!$E:$W,12,FALSE)=0,"",VLOOKUP($B233,Показатели!$E:$W,12,FALSE)),"")</f>
        <v>7183896000</v>
      </c>
      <c r="P233">
        <f>IFERROR(IF(VLOOKUP($B233,Показатели!$E:$W,13,FALSE)=0,"",VLOOKUP($B233,Показатели!$E:$W,13,FALSE)),"")</f>
        <v>7292523000</v>
      </c>
      <c r="Q233">
        <f>IFERROR(IF(VLOOKUP($B233,Показатели!$E:$W,14,FALSE)=0,"",VLOOKUP($B233,Показатели!$E:$W,14,FALSE)),"")</f>
        <v>5710200000</v>
      </c>
      <c r="R233">
        <f>IFERROR(IF(VLOOKUP($B233,Показатели!$E:$W,15,FALSE)=0,"",VLOOKUP($B233,Показатели!$E:$W,15,FALSE)),"")</f>
        <v>4645911000</v>
      </c>
      <c r="S233">
        <f>IFERROR(IF(VLOOKUP($B233,Показатели!$E:$W,16,FALSE)=0,"",VLOOKUP($B233,Показатели!$E:$W,16,FALSE)),"")</f>
        <v>11370369000</v>
      </c>
      <c r="T233">
        <f>IFERROR(IF(VLOOKUP($B233,Показатели!$E:$W,17,FALSE)=0,"",VLOOKUP($B233,Показатели!$E:$W,17,FALSE)),"")</f>
        <v>-6592355000</v>
      </c>
      <c r="U233">
        <f>IFERROR(IF(VLOOKUP($B233,Показатели!$E:$W,18,FALSE)=0,"",VLOOKUP($B233,Показатели!$E:$W,18,FALSE)),"")</f>
        <v>59250059000</v>
      </c>
      <c r="V233">
        <f>IFERROR(IF(VLOOKUP($B233,Показатели!$E:$W,19,FALSE)=0,"",VLOOKUP($B233,Показатели!$E:$W,19,FALSE)),"")</f>
        <v>52369733000</v>
      </c>
    </row>
    <row r="234" spans="1:22" x14ac:dyDescent="0.2">
      <c r="A234" s="7" t="s">
        <v>2206</v>
      </c>
      <c r="B234" t="str">
        <f t="shared" si="3"/>
        <v>MRKV IV кв. 2017</v>
      </c>
      <c r="C234">
        <v>2017</v>
      </c>
      <c r="D234">
        <f>SUMIFS(Дивиденды!$C:$C,Дивиденды!$A:$A,A234,Дивиденды!$I:$I,C234)</f>
        <v>1.4800000000000001E-2</v>
      </c>
      <c r="E234">
        <f>IFERROR(IF(VLOOKUP($B234,Показатели!$E:$W,2,FALSE)=0,"",VLOOKUP($B234,Показатели!$E:$W,2,FALSE)),"")</f>
        <v>3847013000</v>
      </c>
      <c r="F234">
        <f>IFERROR(IF(VLOOKUP($B234,Показатели!$E:$W,3,FALSE)=0,"",VLOOKUP($B234,Показатели!$E:$W,3,FALSE)),"")</f>
        <v>13072769000</v>
      </c>
      <c r="G234">
        <f>IFERROR(IF(VLOOKUP($B234,Показатели!$E:$W,4,FALSE)=0,"",VLOOKUP($B234,Показатели!$E:$W,4,FALSE)),"")</f>
        <v>38451916000</v>
      </c>
      <c r="H234">
        <f>IFERROR(IF(VLOOKUP($B234,Показатели!$E:$W,5,FALSE)=0,"",VLOOKUP($B234,Показатели!$E:$W,5,FALSE)),"")</f>
        <v>178793000</v>
      </c>
      <c r="I234">
        <f>IFERROR(IF(VLOOKUP($B234,Показатели!$E:$W,6,FALSE)=0,"",VLOOKUP($B234,Показатели!$E:$W,6,FALSE)),"")</f>
        <v>52369733000</v>
      </c>
      <c r="J234">
        <f>IFERROR(IF(VLOOKUP($B234,Показатели!$E:$W,7,FALSE)=0,"",VLOOKUP($B234,Показатели!$E:$W,7,FALSE)),"")</f>
        <v>7009706000</v>
      </c>
      <c r="K234">
        <f>IFERROR(IF(VLOOKUP($B234,Показатели!$E:$W,8,FALSE)=0,"",VLOOKUP($B234,Показатели!$E:$W,8,FALSE)),"")</f>
        <v>9519793000</v>
      </c>
      <c r="L234">
        <f>IFERROR(IF(VLOOKUP($B234,Показатели!$E:$W,9,FALSE)=0,"",VLOOKUP($B234,Показатели!$E:$W,9,FALSE)),"")</f>
        <v>17897546000</v>
      </c>
      <c r="M234">
        <f>IFERROR(IF(VLOOKUP($B234,Показатели!$E:$W,10,FALSE)=0,"",VLOOKUP($B234,Показатели!$E:$W,10,FALSE)),"")</f>
        <v>35840234000</v>
      </c>
      <c r="N234">
        <f>IFERROR(IF(VLOOKUP($B234,Показатели!$E:$W,11,FALSE)=0,"",VLOOKUP($B234,Показатели!$E:$W,11,FALSE)),"")</f>
        <v>59250059000</v>
      </c>
      <c r="O234">
        <f>IFERROR(IF(VLOOKUP($B234,Показатели!$E:$W,12,FALSE)=0,"",VLOOKUP($B234,Показатели!$E:$W,12,FALSE)),"")</f>
        <v>7572163000</v>
      </c>
      <c r="P234">
        <f>IFERROR(IF(VLOOKUP($B234,Показатели!$E:$W,13,FALSE)=0,"",VLOOKUP($B234,Показатели!$E:$W,13,FALSE)),"")</f>
        <v>7190086000</v>
      </c>
      <c r="Q234">
        <f>IFERROR(IF(VLOOKUP($B234,Показатели!$E:$W,14,FALSE)=0,"",VLOOKUP($B234,Показатели!$E:$W,14,FALSE)),"")</f>
        <v>5589649000</v>
      </c>
      <c r="R234">
        <f>IFERROR(IF(VLOOKUP($B234,Показатели!$E:$W,15,FALSE)=0,"",VLOOKUP($B234,Показатели!$E:$W,15,FALSE)),"")</f>
        <v>4424165000</v>
      </c>
      <c r="S234">
        <f>IFERROR(IF(VLOOKUP($B234,Показатели!$E:$W,16,FALSE)=0,"",VLOOKUP($B234,Показатели!$E:$W,16,FALSE)),"")</f>
        <v>12042881000</v>
      </c>
      <c r="T234">
        <f>IFERROR(IF(VLOOKUP($B234,Показатели!$E:$W,17,FALSE)=0,"",VLOOKUP($B234,Показатели!$E:$W,17,FALSE)),"")</f>
        <v>-3870010000</v>
      </c>
      <c r="U234">
        <f>IFERROR(IF(VLOOKUP($B234,Показатели!$E:$W,18,FALSE)=0,"",VLOOKUP($B234,Показатели!$E:$W,18,FALSE)),"")</f>
        <v>53336415000</v>
      </c>
      <c r="V234">
        <f>IFERROR(IF(VLOOKUP($B234,Показатели!$E:$W,19,FALSE)=0,"",VLOOKUP($B234,Показатели!$E:$W,19,FALSE)),"")</f>
        <v>51080001000</v>
      </c>
    </row>
    <row r="235" spans="1:22" x14ac:dyDescent="0.2">
      <c r="A235" s="7" t="s">
        <v>2206</v>
      </c>
      <c r="B235" t="str">
        <f t="shared" si="3"/>
        <v>MRKV IV кв. 2016</v>
      </c>
      <c r="C235">
        <v>2016</v>
      </c>
      <c r="D235">
        <f>SUMIFS(Дивиденды!$C:$C,Дивиденды!$A:$A,A235,Дивиденды!$I:$I,C235)</f>
        <v>7.0439999999999999E-3</v>
      </c>
      <c r="E235">
        <f>IFERROR(IF(VLOOKUP($B235,Показатели!$E:$W,2,FALSE)=0,"",VLOOKUP($B235,Показатели!$E:$W,2,FALSE)),"")</f>
        <v>2265917000</v>
      </c>
      <c r="F235">
        <f>IFERROR(IF(VLOOKUP($B235,Показатели!$E:$W,3,FALSE)=0,"",VLOOKUP($B235,Показатели!$E:$W,3,FALSE)),"")</f>
        <v>11514488000</v>
      </c>
      <c r="G235">
        <f>IFERROR(IF(VLOOKUP($B235,Показатели!$E:$W,4,FALSE)=0,"",VLOOKUP($B235,Показатели!$E:$W,4,FALSE)),"")</f>
        <v>38752263000</v>
      </c>
      <c r="H235" t="str">
        <f>IFERROR(IF(VLOOKUP($B235,Показатели!$E:$W,5,FALSE)=0,"",VLOOKUP($B235,Показатели!$E:$W,5,FALSE)),"")</f>
        <v/>
      </c>
      <c r="I235">
        <f>IFERROR(IF(VLOOKUP($B235,Показатели!$E:$W,6,FALSE)=0,"",VLOOKUP($B235,Показатели!$E:$W,6,FALSE)),"")</f>
        <v>51080001000</v>
      </c>
      <c r="J235">
        <f>IFERROR(IF(VLOOKUP($B235,Показатели!$E:$W,7,FALSE)=0,"",VLOOKUP($B235,Показатели!$E:$W,7,FALSE)),"")</f>
        <v>6416195000</v>
      </c>
      <c r="K235">
        <f>IFERROR(IF(VLOOKUP($B235,Показатели!$E:$W,8,FALSE)=0,"",VLOOKUP($B235,Показатели!$E:$W,8,FALSE)),"")</f>
        <v>13238415000</v>
      </c>
      <c r="L235">
        <f>IFERROR(IF(VLOOKUP($B235,Показатели!$E:$W,9,FALSE)=0,"",VLOOKUP($B235,Показатели!$E:$W,9,FALSE)),"")</f>
        <v>13616531000</v>
      </c>
      <c r="M235">
        <f>IFERROR(IF(VLOOKUP($B235,Показатели!$E:$W,10,FALSE)=0,"",VLOOKUP($B235,Показатели!$E:$W,10,FALSE)),"")</f>
        <v>31425391000</v>
      </c>
      <c r="N235">
        <f>IFERROR(IF(VLOOKUP($B235,Показатели!$E:$W,11,FALSE)=0,"",VLOOKUP($B235,Показатели!$E:$W,11,FALSE)),"")</f>
        <v>53336415000</v>
      </c>
      <c r="O235">
        <f>IFERROR(IF(VLOOKUP($B235,Показатели!$E:$W,12,FALSE)=0,"",VLOOKUP($B235,Показатели!$E:$W,12,FALSE)),"")</f>
        <v>5176928000</v>
      </c>
      <c r="P235">
        <f>IFERROR(IF(VLOOKUP($B235,Показатели!$E:$W,13,FALSE)=0,"",VLOOKUP($B235,Показатели!$E:$W,13,FALSE)),"")</f>
        <v>4177095000</v>
      </c>
      <c r="Q235">
        <f>IFERROR(IF(VLOOKUP($B235,Показатели!$E:$W,14,FALSE)=0,"",VLOOKUP($B235,Показатели!$E:$W,14,FALSE)),"")</f>
        <v>2803756000</v>
      </c>
      <c r="R235" t="str">
        <f>IFERROR(IF(VLOOKUP($B235,Показатели!$E:$W,15,FALSE)=0,"",VLOOKUP($B235,Показатели!$E:$W,15,FALSE)),"")</f>
        <v/>
      </c>
      <c r="S235">
        <f>IFERROR(IF(VLOOKUP($B235,Показатели!$E:$W,16,FALSE)=0,"",VLOOKUP($B235,Показатели!$E:$W,16,FALSE)),"")</f>
        <v>9470077000</v>
      </c>
      <c r="T235">
        <f>IFERROR(IF(VLOOKUP($B235,Показатели!$E:$W,17,FALSE)=0,"",VLOOKUP($B235,Показатели!$E:$W,17,FALSE)),"")</f>
        <v>-2924341000</v>
      </c>
      <c r="U235">
        <f>IFERROR(IF(VLOOKUP($B235,Показатели!$E:$W,18,FALSE)=0,"",VLOOKUP($B235,Показатели!$E:$W,18,FALSE)),"")</f>
        <v>47990986000</v>
      </c>
      <c r="V235">
        <f>IFERROR(IF(VLOOKUP($B235,Показатели!$E:$W,19,FALSE)=0,"",VLOOKUP($B235,Показатели!$E:$W,19,FALSE)),"")</f>
        <v>51036335000</v>
      </c>
    </row>
    <row r="236" spans="1:22" x14ac:dyDescent="0.2">
      <c r="A236" s="7" t="s">
        <v>2206</v>
      </c>
      <c r="B236" t="str">
        <f t="shared" si="3"/>
        <v>MRKV IV кв. 2015</v>
      </c>
      <c r="C236">
        <v>2015</v>
      </c>
      <c r="D236">
        <f>SUMIFS(Дивиденды!$C:$C,Дивиденды!$A:$A,A236,Дивиденды!$I:$I,C236)</f>
        <v>1.2999999999999999E-3</v>
      </c>
      <c r="E236">
        <f>IFERROR(IF(VLOOKUP($B236,Показатели!$E:$W,2,FALSE)=0,"",VLOOKUP($B236,Показатели!$E:$W,2,FALSE)),"")</f>
        <v>1958398000</v>
      </c>
      <c r="F236">
        <f>IFERROR(IF(VLOOKUP($B236,Показатели!$E:$W,3,FALSE)=0,"",VLOOKUP($B236,Показатели!$E:$W,3,FALSE)),"")</f>
        <v>10221384000</v>
      </c>
      <c r="G236">
        <f>IFERROR(IF(VLOOKUP($B236,Показатели!$E:$W,4,FALSE)=0,"",VLOOKUP($B236,Показатели!$E:$W,4,FALSE)),"")</f>
        <v>39983252000</v>
      </c>
      <c r="H236" t="str">
        <f>IFERROR(IF(VLOOKUP($B236,Показатели!$E:$W,5,FALSE)=0,"",VLOOKUP($B236,Показатели!$E:$W,5,FALSE)),"")</f>
        <v/>
      </c>
      <c r="I236">
        <f>IFERROR(IF(VLOOKUP($B236,Показатели!$E:$W,6,FALSE)=0,"",VLOOKUP($B236,Показатели!$E:$W,6,FALSE)),"")</f>
        <v>51036335000</v>
      </c>
      <c r="J236">
        <f>IFERROR(IF(VLOOKUP($B236,Показатели!$E:$W,7,FALSE)=0,"",VLOOKUP($B236,Показатели!$E:$W,7,FALSE)),"")</f>
        <v>9530305000</v>
      </c>
      <c r="K236">
        <f>IFERROR(IF(VLOOKUP($B236,Показатели!$E:$W,8,FALSE)=0,"",VLOOKUP($B236,Показатели!$E:$W,8,FALSE)),"")</f>
        <v>13320724000</v>
      </c>
      <c r="L236">
        <f>IFERROR(IF(VLOOKUP($B236,Показатели!$E:$W,9,FALSE)=0,"",VLOOKUP($B236,Показатели!$E:$W,9,FALSE)),"")</f>
        <v>11041379000</v>
      </c>
      <c r="M236">
        <f>IFERROR(IF(VLOOKUP($B236,Показатели!$E:$W,10,FALSE)=0,"",VLOOKUP($B236,Показатели!$E:$W,10,FALSE)),"")</f>
        <v>28185306000</v>
      </c>
      <c r="N236">
        <f>IFERROR(IF(VLOOKUP($B236,Показатели!$E:$W,11,FALSE)=0,"",VLOOKUP($B236,Показатели!$E:$W,11,FALSE)),"")</f>
        <v>47990986000</v>
      </c>
      <c r="O236">
        <f>IFERROR(IF(VLOOKUP($B236,Показатели!$E:$W,12,FALSE)=0,"",VLOOKUP($B236,Показатели!$E:$W,12,FALSE)),"")</f>
        <v>177750000</v>
      </c>
      <c r="P236">
        <f>IFERROR(IF(VLOOKUP($B236,Показатели!$E:$W,13,FALSE)=0,"",VLOOKUP($B236,Показатели!$E:$W,13,FALSE)),"")</f>
        <v>1701878000</v>
      </c>
      <c r="Q236">
        <f>IFERROR(IF(VLOOKUP($B236,Показатели!$E:$W,14,FALSE)=0,"",VLOOKUP($B236,Показатели!$E:$W,14,FALSE)),"")</f>
        <v>1267984000</v>
      </c>
      <c r="R236" t="str">
        <f>IFERROR(IF(VLOOKUP($B236,Показатели!$E:$W,15,FALSE)=0,"",VLOOKUP($B236,Показатели!$E:$W,15,FALSE)),"")</f>
        <v/>
      </c>
      <c r="S236">
        <f>IFERROR(IF(VLOOKUP($B236,Показатели!$E:$W,16,FALSE)=0,"",VLOOKUP($B236,Показатели!$E:$W,16,FALSE)),"")</f>
        <v>7729995000</v>
      </c>
      <c r="T236">
        <f>IFERROR(IF(VLOOKUP($B236,Показатели!$E:$W,17,FALSE)=0,"",VLOOKUP($B236,Показатели!$E:$W,17,FALSE)),"")</f>
        <v>-2749040000</v>
      </c>
      <c r="U236" t="str">
        <f>IFERROR(IF(VLOOKUP($B236,Показатели!$E:$W,18,FALSE)=0,"",VLOOKUP($B236,Показатели!$E:$W,18,FALSE)),"")</f>
        <v/>
      </c>
      <c r="V236" t="str">
        <f>IFERROR(IF(VLOOKUP($B236,Показатели!$E:$W,19,FALSE)=0,"",VLOOKUP($B236,Показатели!$E:$W,19,FALSE)),"")</f>
        <v/>
      </c>
    </row>
    <row r="237" spans="1:22" x14ac:dyDescent="0.2">
      <c r="A237" s="7" t="s">
        <v>2206</v>
      </c>
      <c r="B237" t="str">
        <f t="shared" si="3"/>
        <v>MRKV IV кв. 2014</v>
      </c>
      <c r="C237">
        <v>2014</v>
      </c>
      <c r="D237">
        <f>SUMIFS(Дивиденды!$C:$C,Дивиденды!$A:$A,A237,Дивиденды!$I:$I,C237)</f>
        <v>1E-4</v>
      </c>
      <c r="E237" t="str">
        <f>IFERROR(IF(VLOOKUP($B237,Показатели!$E:$W,2,FALSE)=0,"",VLOOKUP($B237,Показатели!$E:$W,2,FALSE)),"")</f>
        <v/>
      </c>
      <c r="F237" t="str">
        <f>IFERROR(IF(VLOOKUP($B237,Показатели!$E:$W,3,FALSE)=0,"",VLOOKUP($B237,Показатели!$E:$W,3,FALSE)),"")</f>
        <v/>
      </c>
      <c r="G237" t="str">
        <f>IFERROR(IF(VLOOKUP($B237,Показатели!$E:$W,4,FALSE)=0,"",VLOOKUP($B237,Показатели!$E:$W,4,FALSE)),"")</f>
        <v/>
      </c>
      <c r="H237" t="str">
        <f>IFERROR(IF(VLOOKUP($B237,Показатели!$E:$W,5,FALSE)=0,"",VLOOKUP($B237,Показатели!$E:$W,5,FALSE)),"")</f>
        <v/>
      </c>
      <c r="I237" t="str">
        <f>IFERROR(IF(VLOOKUP($B237,Показатели!$E:$W,6,FALSE)=0,"",VLOOKUP($B237,Показатели!$E:$W,6,FALSE)),"")</f>
        <v/>
      </c>
      <c r="J237" t="str">
        <f>IFERROR(IF(VLOOKUP($B237,Показатели!$E:$W,7,FALSE)=0,"",VLOOKUP($B237,Показатели!$E:$W,7,FALSE)),"")</f>
        <v/>
      </c>
      <c r="K237" t="str">
        <f>IFERROR(IF(VLOOKUP($B237,Показатели!$E:$W,8,FALSE)=0,"",VLOOKUP($B237,Показатели!$E:$W,8,FALSE)),"")</f>
        <v/>
      </c>
      <c r="L237" t="str">
        <f>IFERROR(IF(VLOOKUP($B237,Показатели!$E:$W,9,FALSE)=0,"",VLOOKUP($B237,Показатели!$E:$W,9,FALSE)),"")</f>
        <v/>
      </c>
      <c r="M237" t="str">
        <f>IFERROR(IF(VLOOKUP($B237,Показатели!$E:$W,10,FALSE)=0,"",VLOOKUP($B237,Показатели!$E:$W,10,FALSE)),"")</f>
        <v/>
      </c>
      <c r="N237" t="str">
        <f>IFERROR(IF(VLOOKUP($B237,Показатели!$E:$W,11,FALSE)=0,"",VLOOKUP($B237,Показатели!$E:$W,11,FALSE)),"")</f>
        <v/>
      </c>
      <c r="O237" t="str">
        <f>IFERROR(IF(VLOOKUP($B237,Показатели!$E:$W,12,FALSE)=0,"",VLOOKUP($B237,Показатели!$E:$W,12,FALSE)),"")</f>
        <v/>
      </c>
      <c r="P237" t="str">
        <f>IFERROR(IF(VLOOKUP($B237,Показатели!$E:$W,13,FALSE)=0,"",VLOOKUP($B237,Показатели!$E:$W,13,FALSE)),"")</f>
        <v/>
      </c>
      <c r="Q237" t="str">
        <f>IFERROR(IF(VLOOKUP($B237,Показатели!$E:$W,14,FALSE)=0,"",VLOOKUP($B237,Показатели!$E:$W,14,FALSE)),"")</f>
        <v/>
      </c>
      <c r="R237" t="str">
        <f>IFERROR(IF(VLOOKUP($B237,Показатели!$E:$W,15,FALSE)=0,"",VLOOKUP($B237,Показатели!$E:$W,15,FALSE)),"")</f>
        <v/>
      </c>
      <c r="S237" t="str">
        <f>IFERROR(IF(VLOOKUP($B237,Показатели!$E:$W,16,FALSE)=0,"",VLOOKUP($B237,Показатели!$E:$W,16,FALSE)),"")</f>
        <v/>
      </c>
      <c r="T237" t="str">
        <f>IFERROR(IF(VLOOKUP($B237,Показатели!$E:$W,17,FALSE)=0,"",VLOOKUP($B237,Показатели!$E:$W,17,FALSE)),"")</f>
        <v/>
      </c>
      <c r="U237" t="str">
        <f>IFERROR(IF(VLOOKUP($B237,Показатели!$E:$W,18,FALSE)=0,"",VLOOKUP($B237,Показатели!$E:$W,18,FALSE)),"")</f>
        <v/>
      </c>
      <c r="V237" t="str">
        <f>IFERROR(IF(VLOOKUP($B237,Показатели!$E:$W,19,FALSE)=0,"",VLOOKUP($B237,Показатели!$E:$W,19,FALSE)),"")</f>
        <v/>
      </c>
    </row>
    <row r="238" spans="1:22" x14ac:dyDescent="0.2">
      <c r="A238" s="7" t="s">
        <v>2206</v>
      </c>
      <c r="B238" t="str">
        <f t="shared" si="3"/>
        <v>MRKV IV кв. 2013</v>
      </c>
      <c r="C238">
        <v>2013</v>
      </c>
      <c r="D238">
        <f>SUMIFS(Дивиденды!$C:$C,Дивиденды!$A:$A,A238,Дивиденды!$I:$I,C238)</f>
        <v>1E-4</v>
      </c>
      <c r="E238" t="str">
        <f>IFERROR(IF(VLOOKUP($B238,Показатели!$E:$W,2,FALSE)=0,"",VLOOKUP($B238,Показатели!$E:$W,2,FALSE)),"")</f>
        <v/>
      </c>
      <c r="F238" t="str">
        <f>IFERROR(IF(VLOOKUP($B238,Показатели!$E:$W,3,FALSE)=0,"",VLOOKUP($B238,Показатели!$E:$W,3,FALSE)),"")</f>
        <v/>
      </c>
      <c r="G238" t="str">
        <f>IFERROR(IF(VLOOKUP($B238,Показатели!$E:$W,4,FALSE)=0,"",VLOOKUP($B238,Показатели!$E:$W,4,FALSE)),"")</f>
        <v/>
      </c>
      <c r="H238" t="str">
        <f>IFERROR(IF(VLOOKUP($B238,Показатели!$E:$W,5,FALSE)=0,"",VLOOKUP($B238,Показатели!$E:$W,5,FALSE)),"")</f>
        <v/>
      </c>
      <c r="I238" t="str">
        <f>IFERROR(IF(VLOOKUP($B238,Показатели!$E:$W,6,FALSE)=0,"",VLOOKUP($B238,Показатели!$E:$W,6,FALSE)),"")</f>
        <v/>
      </c>
      <c r="J238" t="str">
        <f>IFERROR(IF(VLOOKUP($B238,Показатели!$E:$W,7,FALSE)=0,"",VLOOKUP($B238,Показатели!$E:$W,7,FALSE)),"")</f>
        <v/>
      </c>
      <c r="K238" t="str">
        <f>IFERROR(IF(VLOOKUP($B238,Показатели!$E:$W,8,FALSE)=0,"",VLOOKUP($B238,Показатели!$E:$W,8,FALSE)),"")</f>
        <v/>
      </c>
      <c r="L238" t="str">
        <f>IFERROR(IF(VLOOKUP($B238,Показатели!$E:$W,9,FALSE)=0,"",VLOOKUP($B238,Показатели!$E:$W,9,FALSE)),"")</f>
        <v/>
      </c>
      <c r="M238" t="str">
        <f>IFERROR(IF(VLOOKUP($B238,Показатели!$E:$W,10,FALSE)=0,"",VLOOKUP($B238,Показатели!$E:$W,10,FALSE)),"")</f>
        <v/>
      </c>
      <c r="N238" t="str">
        <f>IFERROR(IF(VLOOKUP($B238,Показатели!$E:$W,11,FALSE)=0,"",VLOOKUP($B238,Показатели!$E:$W,11,FALSE)),"")</f>
        <v/>
      </c>
      <c r="O238" t="str">
        <f>IFERROR(IF(VLOOKUP($B238,Показатели!$E:$W,12,FALSE)=0,"",VLOOKUP($B238,Показатели!$E:$W,12,FALSE)),"")</f>
        <v/>
      </c>
      <c r="P238" t="str">
        <f>IFERROR(IF(VLOOKUP($B238,Показатели!$E:$W,13,FALSE)=0,"",VLOOKUP($B238,Показатели!$E:$W,13,FALSE)),"")</f>
        <v/>
      </c>
      <c r="Q238" t="str">
        <f>IFERROR(IF(VLOOKUP($B238,Показатели!$E:$W,14,FALSE)=0,"",VLOOKUP($B238,Показатели!$E:$W,14,FALSE)),"")</f>
        <v/>
      </c>
      <c r="R238" t="str">
        <f>IFERROR(IF(VLOOKUP($B238,Показатели!$E:$W,15,FALSE)=0,"",VLOOKUP($B238,Показатели!$E:$W,15,FALSE)),"")</f>
        <v/>
      </c>
      <c r="S238" t="str">
        <f>IFERROR(IF(VLOOKUP($B238,Показатели!$E:$W,16,FALSE)=0,"",VLOOKUP($B238,Показатели!$E:$W,16,FALSE)),"")</f>
        <v/>
      </c>
      <c r="T238" t="str">
        <f>IFERROR(IF(VLOOKUP($B238,Показатели!$E:$W,17,FALSE)=0,"",VLOOKUP($B238,Показатели!$E:$W,17,FALSE)),"")</f>
        <v/>
      </c>
      <c r="U238" t="str">
        <f>IFERROR(IF(VLOOKUP($B238,Показатели!$E:$W,18,FALSE)=0,"",VLOOKUP($B238,Показатели!$E:$W,18,FALSE)),"")</f>
        <v/>
      </c>
      <c r="V238" t="str">
        <f>IFERROR(IF(VLOOKUP($B238,Показатели!$E:$W,19,FALSE)=0,"",VLOOKUP($B238,Показатели!$E:$W,19,FALSE)),"")</f>
        <v/>
      </c>
    </row>
    <row r="239" spans="1:22" x14ac:dyDescent="0.2">
      <c r="A239" s="7" t="s">
        <v>2206</v>
      </c>
      <c r="B239" t="str">
        <f t="shared" si="3"/>
        <v>MRKV IV кв. 2012</v>
      </c>
      <c r="C239">
        <v>2012</v>
      </c>
      <c r="D239">
        <f>SUMIFS(Дивиденды!$C:$C,Дивиденды!$A:$A,A239,Дивиденды!$I:$I,C239)</f>
        <v>1.6299999999999999E-3</v>
      </c>
      <c r="E239" t="str">
        <f>IFERROR(IF(VLOOKUP($B239,Показатели!$E:$W,2,FALSE)=0,"",VLOOKUP($B239,Показатели!$E:$W,2,FALSE)),"")</f>
        <v/>
      </c>
      <c r="F239" t="str">
        <f>IFERROR(IF(VLOOKUP($B239,Показатели!$E:$W,3,FALSE)=0,"",VLOOKUP($B239,Показатели!$E:$W,3,FALSE)),"")</f>
        <v/>
      </c>
      <c r="G239" t="str">
        <f>IFERROR(IF(VLOOKUP($B239,Показатели!$E:$W,4,FALSE)=0,"",VLOOKUP($B239,Показатели!$E:$W,4,FALSE)),"")</f>
        <v/>
      </c>
      <c r="H239" t="str">
        <f>IFERROR(IF(VLOOKUP($B239,Показатели!$E:$W,5,FALSE)=0,"",VLOOKUP($B239,Показатели!$E:$W,5,FALSE)),"")</f>
        <v/>
      </c>
      <c r="I239" t="str">
        <f>IFERROR(IF(VLOOKUP($B239,Показатели!$E:$W,6,FALSE)=0,"",VLOOKUP($B239,Показатели!$E:$W,6,FALSE)),"")</f>
        <v/>
      </c>
      <c r="J239" t="str">
        <f>IFERROR(IF(VLOOKUP($B239,Показатели!$E:$W,7,FALSE)=0,"",VLOOKUP($B239,Показатели!$E:$W,7,FALSE)),"")</f>
        <v/>
      </c>
      <c r="K239" t="str">
        <f>IFERROR(IF(VLOOKUP($B239,Показатели!$E:$W,8,FALSE)=0,"",VLOOKUP($B239,Показатели!$E:$W,8,FALSE)),"")</f>
        <v/>
      </c>
      <c r="L239" t="str">
        <f>IFERROR(IF(VLOOKUP($B239,Показатели!$E:$W,9,FALSE)=0,"",VLOOKUP($B239,Показатели!$E:$W,9,FALSE)),"")</f>
        <v/>
      </c>
      <c r="M239" t="str">
        <f>IFERROR(IF(VLOOKUP($B239,Показатели!$E:$W,10,FALSE)=0,"",VLOOKUP($B239,Показатели!$E:$W,10,FALSE)),"")</f>
        <v/>
      </c>
      <c r="N239" t="str">
        <f>IFERROR(IF(VLOOKUP($B239,Показатели!$E:$W,11,FALSE)=0,"",VLOOKUP($B239,Показатели!$E:$W,11,FALSE)),"")</f>
        <v/>
      </c>
      <c r="O239" t="str">
        <f>IFERROR(IF(VLOOKUP($B239,Показатели!$E:$W,12,FALSE)=0,"",VLOOKUP($B239,Показатели!$E:$W,12,FALSE)),"")</f>
        <v/>
      </c>
      <c r="P239" t="str">
        <f>IFERROR(IF(VLOOKUP($B239,Показатели!$E:$W,13,FALSE)=0,"",VLOOKUP($B239,Показатели!$E:$W,13,FALSE)),"")</f>
        <v/>
      </c>
      <c r="Q239" t="str">
        <f>IFERROR(IF(VLOOKUP($B239,Показатели!$E:$W,14,FALSE)=0,"",VLOOKUP($B239,Показатели!$E:$W,14,FALSE)),"")</f>
        <v/>
      </c>
      <c r="R239" t="str">
        <f>IFERROR(IF(VLOOKUP($B239,Показатели!$E:$W,15,FALSE)=0,"",VLOOKUP($B239,Показатели!$E:$W,15,FALSE)),"")</f>
        <v/>
      </c>
      <c r="S239" t="str">
        <f>IFERROR(IF(VLOOKUP($B239,Показатели!$E:$W,16,FALSE)=0,"",VLOOKUP($B239,Показатели!$E:$W,16,FALSE)),"")</f>
        <v/>
      </c>
      <c r="T239" t="str">
        <f>IFERROR(IF(VLOOKUP($B239,Показатели!$E:$W,17,FALSE)=0,"",VLOOKUP($B239,Показатели!$E:$W,17,FALSE)),"")</f>
        <v/>
      </c>
      <c r="U239" t="str">
        <f>IFERROR(IF(VLOOKUP($B239,Показатели!$E:$W,18,FALSE)=0,"",VLOOKUP($B239,Показатели!$E:$W,18,FALSE)),"")</f>
        <v/>
      </c>
      <c r="V239" t="str">
        <f>IFERROR(IF(VLOOKUP($B239,Показатели!$E:$W,19,FALSE)=0,"",VLOOKUP($B239,Показатели!$E:$W,19,FALSE)),"")</f>
        <v/>
      </c>
    </row>
    <row r="240" spans="1:22" x14ac:dyDescent="0.2">
      <c r="A240" s="7" t="s">
        <v>2206</v>
      </c>
      <c r="B240" t="str">
        <f t="shared" si="3"/>
        <v>MRKV IV кв. 2011</v>
      </c>
      <c r="C240">
        <v>2011</v>
      </c>
      <c r="D240">
        <f>SUMIFS(Дивиденды!$C:$C,Дивиденды!$A:$A,A240,Дивиденды!$I:$I,C240)</f>
        <v>1.1199999999999999E-3</v>
      </c>
      <c r="E240" t="str">
        <f>IFERROR(IF(VLOOKUP($B240,Показатели!$E:$W,2,FALSE)=0,"",VLOOKUP($B240,Показатели!$E:$W,2,FALSE)),"")</f>
        <v/>
      </c>
      <c r="F240" t="str">
        <f>IFERROR(IF(VLOOKUP($B240,Показатели!$E:$W,3,FALSE)=0,"",VLOOKUP($B240,Показатели!$E:$W,3,FALSE)),"")</f>
        <v/>
      </c>
      <c r="G240" t="str">
        <f>IFERROR(IF(VLOOKUP($B240,Показатели!$E:$W,4,FALSE)=0,"",VLOOKUP($B240,Показатели!$E:$W,4,FALSE)),"")</f>
        <v/>
      </c>
      <c r="H240" t="str">
        <f>IFERROR(IF(VLOOKUP($B240,Показатели!$E:$W,5,FALSE)=0,"",VLOOKUP($B240,Показатели!$E:$W,5,FALSE)),"")</f>
        <v/>
      </c>
      <c r="I240" t="str">
        <f>IFERROR(IF(VLOOKUP($B240,Показатели!$E:$W,6,FALSE)=0,"",VLOOKUP($B240,Показатели!$E:$W,6,FALSE)),"")</f>
        <v/>
      </c>
      <c r="J240" t="str">
        <f>IFERROR(IF(VLOOKUP($B240,Показатели!$E:$W,7,FALSE)=0,"",VLOOKUP($B240,Показатели!$E:$W,7,FALSE)),"")</f>
        <v/>
      </c>
      <c r="K240" t="str">
        <f>IFERROR(IF(VLOOKUP($B240,Показатели!$E:$W,8,FALSE)=0,"",VLOOKUP($B240,Показатели!$E:$W,8,FALSE)),"")</f>
        <v/>
      </c>
      <c r="L240" t="str">
        <f>IFERROR(IF(VLOOKUP($B240,Показатели!$E:$W,9,FALSE)=0,"",VLOOKUP($B240,Показатели!$E:$W,9,FALSE)),"")</f>
        <v/>
      </c>
      <c r="M240" t="str">
        <f>IFERROR(IF(VLOOKUP($B240,Показатели!$E:$W,10,FALSE)=0,"",VLOOKUP($B240,Показатели!$E:$W,10,FALSE)),"")</f>
        <v/>
      </c>
      <c r="N240" t="str">
        <f>IFERROR(IF(VLOOKUP($B240,Показатели!$E:$W,11,FALSE)=0,"",VLOOKUP($B240,Показатели!$E:$W,11,FALSE)),"")</f>
        <v/>
      </c>
      <c r="O240" t="str">
        <f>IFERROR(IF(VLOOKUP($B240,Показатели!$E:$W,12,FALSE)=0,"",VLOOKUP($B240,Показатели!$E:$W,12,FALSE)),"")</f>
        <v/>
      </c>
      <c r="P240" t="str">
        <f>IFERROR(IF(VLOOKUP($B240,Показатели!$E:$W,13,FALSE)=0,"",VLOOKUP($B240,Показатели!$E:$W,13,FALSE)),"")</f>
        <v/>
      </c>
      <c r="Q240" t="str">
        <f>IFERROR(IF(VLOOKUP($B240,Показатели!$E:$W,14,FALSE)=0,"",VLOOKUP($B240,Показатели!$E:$W,14,FALSE)),"")</f>
        <v/>
      </c>
      <c r="R240" t="str">
        <f>IFERROR(IF(VLOOKUP($B240,Показатели!$E:$W,15,FALSE)=0,"",VLOOKUP($B240,Показатели!$E:$W,15,FALSE)),"")</f>
        <v/>
      </c>
      <c r="S240" t="str">
        <f>IFERROR(IF(VLOOKUP($B240,Показатели!$E:$W,16,FALSE)=0,"",VLOOKUP($B240,Показатели!$E:$W,16,FALSE)),"")</f>
        <v/>
      </c>
      <c r="T240" t="str">
        <f>IFERROR(IF(VLOOKUP($B240,Показатели!$E:$W,17,FALSE)=0,"",VLOOKUP($B240,Показатели!$E:$W,17,FALSE)),"")</f>
        <v/>
      </c>
      <c r="U240" t="str">
        <f>IFERROR(IF(VLOOKUP($B240,Показатели!$E:$W,18,FALSE)=0,"",VLOOKUP($B240,Показатели!$E:$W,18,FALSE)),"")</f>
        <v/>
      </c>
      <c r="V240" t="str">
        <f>IFERROR(IF(VLOOKUP($B240,Показатели!$E:$W,19,FALSE)=0,"",VLOOKUP($B240,Показатели!$E:$W,19,FALSE)),"")</f>
        <v/>
      </c>
    </row>
    <row r="241" spans="1:22" x14ac:dyDescent="0.2">
      <c r="A241" s="7" t="s">
        <v>2206</v>
      </c>
      <c r="B241" t="str">
        <f t="shared" si="3"/>
        <v>MRKV IV кв. 2010</v>
      </c>
      <c r="C241">
        <v>2010</v>
      </c>
      <c r="D241">
        <f>SUMIFS(Дивиденды!$C:$C,Дивиденды!$A:$A,A241,Дивиденды!$I:$I,C241)</f>
        <v>0</v>
      </c>
      <c r="E241" t="str">
        <f>IFERROR(IF(VLOOKUP($B241,Показатели!$E:$W,2,FALSE)=0,"",VLOOKUP($B241,Показатели!$E:$W,2,FALSE)),"")</f>
        <v/>
      </c>
      <c r="F241" t="str">
        <f>IFERROR(IF(VLOOKUP($B241,Показатели!$E:$W,3,FALSE)=0,"",VLOOKUP($B241,Показатели!$E:$W,3,FALSE)),"")</f>
        <v/>
      </c>
      <c r="G241" t="str">
        <f>IFERROR(IF(VLOOKUP($B241,Показатели!$E:$W,4,FALSE)=0,"",VLOOKUP($B241,Показатели!$E:$W,4,FALSE)),"")</f>
        <v/>
      </c>
      <c r="H241" t="str">
        <f>IFERROR(IF(VLOOKUP($B241,Показатели!$E:$W,5,FALSE)=0,"",VLOOKUP($B241,Показатели!$E:$W,5,FALSE)),"")</f>
        <v/>
      </c>
      <c r="I241" t="str">
        <f>IFERROR(IF(VLOOKUP($B241,Показатели!$E:$W,6,FALSE)=0,"",VLOOKUP($B241,Показатели!$E:$W,6,FALSE)),"")</f>
        <v/>
      </c>
      <c r="J241" t="str">
        <f>IFERROR(IF(VLOOKUP($B241,Показатели!$E:$W,7,FALSE)=0,"",VLOOKUP($B241,Показатели!$E:$W,7,FALSE)),"")</f>
        <v/>
      </c>
      <c r="K241" t="str">
        <f>IFERROR(IF(VLOOKUP($B241,Показатели!$E:$W,8,FALSE)=0,"",VLOOKUP($B241,Показатели!$E:$W,8,FALSE)),"")</f>
        <v/>
      </c>
      <c r="L241" t="str">
        <f>IFERROR(IF(VLOOKUP($B241,Показатели!$E:$W,9,FALSE)=0,"",VLOOKUP($B241,Показатели!$E:$W,9,FALSE)),"")</f>
        <v/>
      </c>
      <c r="M241" t="str">
        <f>IFERROR(IF(VLOOKUP($B241,Показатели!$E:$W,10,FALSE)=0,"",VLOOKUP($B241,Показатели!$E:$W,10,FALSE)),"")</f>
        <v/>
      </c>
      <c r="N241" t="str">
        <f>IFERROR(IF(VLOOKUP($B241,Показатели!$E:$W,11,FALSE)=0,"",VLOOKUP($B241,Показатели!$E:$W,11,FALSE)),"")</f>
        <v/>
      </c>
      <c r="O241" t="str">
        <f>IFERROR(IF(VLOOKUP($B241,Показатели!$E:$W,12,FALSE)=0,"",VLOOKUP($B241,Показатели!$E:$W,12,FALSE)),"")</f>
        <v/>
      </c>
      <c r="P241" t="str">
        <f>IFERROR(IF(VLOOKUP($B241,Показатели!$E:$W,13,FALSE)=0,"",VLOOKUP($B241,Показатели!$E:$W,13,FALSE)),"")</f>
        <v/>
      </c>
      <c r="Q241" t="str">
        <f>IFERROR(IF(VLOOKUP($B241,Показатели!$E:$W,14,FALSE)=0,"",VLOOKUP($B241,Показатели!$E:$W,14,FALSE)),"")</f>
        <v/>
      </c>
      <c r="R241" t="str">
        <f>IFERROR(IF(VLOOKUP($B241,Показатели!$E:$W,15,FALSE)=0,"",VLOOKUP($B241,Показатели!$E:$W,15,FALSE)),"")</f>
        <v/>
      </c>
      <c r="S241" t="str">
        <f>IFERROR(IF(VLOOKUP($B241,Показатели!$E:$W,16,FALSE)=0,"",VLOOKUP($B241,Показатели!$E:$W,16,FALSE)),"")</f>
        <v/>
      </c>
      <c r="T241" t="str">
        <f>IFERROR(IF(VLOOKUP($B241,Показатели!$E:$W,17,FALSE)=0,"",VLOOKUP($B241,Показатели!$E:$W,17,FALSE)),"")</f>
        <v/>
      </c>
      <c r="U241" t="str">
        <f>IFERROR(IF(VLOOKUP($B241,Показатели!$E:$W,18,FALSE)=0,"",VLOOKUP($B241,Показатели!$E:$W,18,FALSE)),"")</f>
        <v/>
      </c>
      <c r="V241" t="str">
        <f>IFERROR(IF(VLOOKUP($B241,Показатели!$E:$W,19,FALSE)=0,"",VLOOKUP($B241,Показатели!$E:$W,19,FALSE)),"")</f>
        <v/>
      </c>
    </row>
    <row r="242" spans="1:22" x14ac:dyDescent="0.2">
      <c r="A242" s="7" t="s">
        <v>2208</v>
      </c>
      <c r="B242" t="str">
        <f t="shared" si="3"/>
        <v>MSNG IV кв. 2025</v>
      </c>
      <c r="C242">
        <v>2025</v>
      </c>
      <c r="D242">
        <f>SUMIFS(Дивиденды!$C:$C,Дивиденды!$A:$A,A242,Дивиденды!$I:$I,C242)</f>
        <v>0</v>
      </c>
      <c r="E242" t="str">
        <f>IFERROR(IF(VLOOKUP($B242,Показатели!$E:$W,2,FALSE)=0,"",VLOOKUP($B242,Показатели!$E:$W,2,FALSE)),"")</f>
        <v/>
      </c>
      <c r="F242" t="str">
        <f>IFERROR(IF(VLOOKUP($B242,Показатели!$E:$W,3,FALSE)=0,"",VLOOKUP($B242,Показатели!$E:$W,3,FALSE)),"")</f>
        <v/>
      </c>
      <c r="G242" t="str">
        <f>IFERROR(IF(VLOOKUP($B242,Показатели!$E:$W,4,FALSE)=0,"",VLOOKUP($B242,Показатели!$E:$W,4,FALSE)),"")</f>
        <v/>
      </c>
      <c r="H242" t="str">
        <f>IFERROR(IF(VLOOKUP($B242,Показатели!$E:$W,5,FALSE)=0,"",VLOOKUP($B242,Показатели!$E:$W,5,FALSE)),"")</f>
        <v/>
      </c>
      <c r="I242" t="str">
        <f>IFERROR(IF(VLOOKUP($B242,Показатели!$E:$W,6,FALSE)=0,"",VLOOKUP($B242,Показатели!$E:$W,6,FALSE)),"")</f>
        <v/>
      </c>
      <c r="J242" t="str">
        <f>IFERROR(IF(VLOOKUP($B242,Показатели!$E:$W,7,FALSE)=0,"",VLOOKUP($B242,Показатели!$E:$W,7,FALSE)),"")</f>
        <v/>
      </c>
      <c r="K242" t="str">
        <f>IFERROR(IF(VLOOKUP($B242,Показатели!$E:$W,8,FALSE)=0,"",VLOOKUP($B242,Показатели!$E:$W,8,FALSE)),"")</f>
        <v/>
      </c>
      <c r="L242" t="str">
        <f>IFERROR(IF(VLOOKUP($B242,Показатели!$E:$W,9,FALSE)=0,"",VLOOKUP($B242,Показатели!$E:$W,9,FALSE)),"")</f>
        <v/>
      </c>
      <c r="M242" t="str">
        <f>IFERROR(IF(VLOOKUP($B242,Показатели!$E:$W,10,FALSE)=0,"",VLOOKUP($B242,Показатели!$E:$W,10,FALSE)),"")</f>
        <v/>
      </c>
      <c r="N242" t="str">
        <f>IFERROR(IF(VLOOKUP($B242,Показатели!$E:$W,11,FALSE)=0,"",VLOOKUP($B242,Показатели!$E:$W,11,FALSE)),"")</f>
        <v/>
      </c>
      <c r="O242" t="str">
        <f>IFERROR(IF(VLOOKUP($B242,Показатели!$E:$W,12,FALSE)=0,"",VLOOKUP($B242,Показатели!$E:$W,12,FALSE)),"")</f>
        <v/>
      </c>
      <c r="P242" t="str">
        <f>IFERROR(IF(VLOOKUP($B242,Показатели!$E:$W,13,FALSE)=0,"",VLOOKUP($B242,Показатели!$E:$W,13,FALSE)),"")</f>
        <v/>
      </c>
      <c r="Q242" t="str">
        <f>IFERROR(IF(VLOOKUP($B242,Показатели!$E:$W,14,FALSE)=0,"",VLOOKUP($B242,Показатели!$E:$W,14,FALSE)),"")</f>
        <v/>
      </c>
      <c r="R242" t="str">
        <f>IFERROR(IF(VLOOKUP($B242,Показатели!$E:$W,15,FALSE)=0,"",VLOOKUP($B242,Показатели!$E:$W,15,FALSE)),"")</f>
        <v/>
      </c>
      <c r="S242" t="str">
        <f>IFERROR(IF(VLOOKUP($B242,Показатели!$E:$W,16,FALSE)=0,"",VLOOKUP($B242,Показатели!$E:$W,16,FALSE)),"")</f>
        <v/>
      </c>
      <c r="T242" t="str">
        <f>IFERROR(IF(VLOOKUP($B242,Показатели!$E:$W,17,FALSE)=0,"",VLOOKUP($B242,Показатели!$E:$W,17,FALSE)),"")</f>
        <v/>
      </c>
      <c r="U242" t="str">
        <f>IFERROR(IF(VLOOKUP($B242,Показатели!$E:$W,18,FALSE)=0,"",VLOOKUP($B242,Показатели!$E:$W,18,FALSE)),"")</f>
        <v/>
      </c>
      <c r="V242" t="str">
        <f>IFERROR(IF(VLOOKUP($B242,Показатели!$E:$W,19,FALSE)=0,"",VLOOKUP($B242,Показатели!$E:$W,19,FALSE)),"")</f>
        <v/>
      </c>
    </row>
    <row r="243" spans="1:22" x14ac:dyDescent="0.2">
      <c r="A243" s="7" t="s">
        <v>2208</v>
      </c>
      <c r="B243" t="str">
        <f t="shared" si="3"/>
        <v>MSNG IV кв. 2024</v>
      </c>
      <c r="C243">
        <v>2024</v>
      </c>
      <c r="D243">
        <f>SUMIFS(Дивиденды!$C:$C,Дивиденды!$A:$A,A243,Дивиденды!$I:$I,C243)</f>
        <v>0</v>
      </c>
      <c r="E243" t="str">
        <f>IFERROR(IF(VLOOKUP($B243,Показатели!$E:$W,2,FALSE)=0,"",VLOOKUP($B243,Показатели!$E:$W,2,FALSE)),"")</f>
        <v/>
      </c>
      <c r="F243" t="str">
        <f>IFERROR(IF(VLOOKUP($B243,Показатели!$E:$W,3,FALSE)=0,"",VLOOKUP($B243,Показатели!$E:$W,3,FALSE)),"")</f>
        <v/>
      </c>
      <c r="G243" t="str">
        <f>IFERROR(IF(VLOOKUP($B243,Показатели!$E:$W,4,FALSE)=0,"",VLOOKUP($B243,Показатели!$E:$W,4,FALSE)),"")</f>
        <v/>
      </c>
      <c r="H243" t="str">
        <f>IFERROR(IF(VLOOKUP($B243,Показатели!$E:$W,5,FALSE)=0,"",VLOOKUP($B243,Показатели!$E:$W,5,FALSE)),"")</f>
        <v/>
      </c>
      <c r="I243" t="str">
        <f>IFERROR(IF(VLOOKUP($B243,Показатели!$E:$W,6,FALSE)=0,"",VLOOKUP($B243,Показатели!$E:$W,6,FALSE)),"")</f>
        <v/>
      </c>
      <c r="J243" t="str">
        <f>IFERROR(IF(VLOOKUP($B243,Показатели!$E:$W,7,FALSE)=0,"",VLOOKUP($B243,Показатели!$E:$W,7,FALSE)),"")</f>
        <v/>
      </c>
      <c r="K243" t="str">
        <f>IFERROR(IF(VLOOKUP($B243,Показатели!$E:$W,8,FALSE)=0,"",VLOOKUP($B243,Показатели!$E:$W,8,FALSE)),"")</f>
        <v/>
      </c>
      <c r="L243" t="str">
        <f>IFERROR(IF(VLOOKUP($B243,Показатели!$E:$W,9,FALSE)=0,"",VLOOKUP($B243,Показатели!$E:$W,9,FALSE)),"")</f>
        <v/>
      </c>
      <c r="M243" t="str">
        <f>IFERROR(IF(VLOOKUP($B243,Показатели!$E:$W,10,FALSE)=0,"",VLOOKUP($B243,Показатели!$E:$W,10,FALSE)),"")</f>
        <v/>
      </c>
      <c r="N243" t="str">
        <f>IFERROR(IF(VLOOKUP($B243,Показатели!$E:$W,11,FALSE)=0,"",VLOOKUP($B243,Показатели!$E:$W,11,FALSE)),"")</f>
        <v/>
      </c>
      <c r="O243" t="str">
        <f>IFERROR(IF(VLOOKUP($B243,Показатели!$E:$W,12,FALSE)=0,"",VLOOKUP($B243,Показатели!$E:$W,12,FALSE)),"")</f>
        <v/>
      </c>
      <c r="P243" t="str">
        <f>IFERROR(IF(VLOOKUP($B243,Показатели!$E:$W,13,FALSE)=0,"",VLOOKUP($B243,Показатели!$E:$W,13,FALSE)),"")</f>
        <v/>
      </c>
      <c r="Q243" t="str">
        <f>IFERROR(IF(VLOOKUP($B243,Показатели!$E:$W,14,FALSE)=0,"",VLOOKUP($B243,Показатели!$E:$W,14,FALSE)),"")</f>
        <v/>
      </c>
      <c r="R243" t="str">
        <f>IFERROR(IF(VLOOKUP($B243,Показатели!$E:$W,15,FALSE)=0,"",VLOOKUP($B243,Показатели!$E:$W,15,FALSE)),"")</f>
        <v/>
      </c>
      <c r="S243" t="str">
        <f>IFERROR(IF(VLOOKUP($B243,Показатели!$E:$W,16,FALSE)=0,"",VLOOKUP($B243,Показатели!$E:$W,16,FALSE)),"")</f>
        <v/>
      </c>
      <c r="T243" t="str">
        <f>IFERROR(IF(VLOOKUP($B243,Показатели!$E:$W,17,FALSE)=0,"",VLOOKUP($B243,Показатели!$E:$W,17,FALSE)),"")</f>
        <v/>
      </c>
      <c r="U243" t="str">
        <f>IFERROR(IF(VLOOKUP($B243,Показатели!$E:$W,18,FALSE)=0,"",VLOOKUP($B243,Показатели!$E:$W,18,FALSE)),"")</f>
        <v/>
      </c>
      <c r="V243" t="str">
        <f>IFERROR(IF(VLOOKUP($B243,Показатели!$E:$W,19,FALSE)=0,"",VLOOKUP($B243,Показатели!$E:$W,19,FALSE)),"")</f>
        <v/>
      </c>
    </row>
    <row r="244" spans="1:22" x14ac:dyDescent="0.2">
      <c r="A244" s="7" t="s">
        <v>2208</v>
      </c>
      <c r="B244" t="str">
        <f t="shared" si="3"/>
        <v>MSNG IV кв. 2023</v>
      </c>
      <c r="C244">
        <v>2023</v>
      </c>
      <c r="D244">
        <f>SUMIFS(Дивиденды!$C:$C,Дивиденды!$A:$A,A244,Дивиденды!$I:$I,C244)</f>
        <v>0.16</v>
      </c>
      <c r="E244" t="str">
        <f>IFERROR(IF(VLOOKUP($B244,Показатели!$E:$W,2,FALSE)=0,"",VLOOKUP($B244,Показатели!$E:$W,2,FALSE)),"")</f>
        <v/>
      </c>
      <c r="F244" t="str">
        <f>IFERROR(IF(VLOOKUP($B244,Показатели!$E:$W,3,FALSE)=0,"",VLOOKUP($B244,Показатели!$E:$W,3,FALSE)),"")</f>
        <v/>
      </c>
      <c r="G244" t="str">
        <f>IFERROR(IF(VLOOKUP($B244,Показатели!$E:$W,4,FALSE)=0,"",VLOOKUP($B244,Показатели!$E:$W,4,FALSE)),"")</f>
        <v/>
      </c>
      <c r="H244" t="str">
        <f>IFERROR(IF(VLOOKUP($B244,Показатели!$E:$W,5,FALSE)=0,"",VLOOKUP($B244,Показатели!$E:$W,5,FALSE)),"")</f>
        <v/>
      </c>
      <c r="I244" t="str">
        <f>IFERROR(IF(VLOOKUP($B244,Показатели!$E:$W,6,FALSE)=0,"",VLOOKUP($B244,Показатели!$E:$W,6,FALSE)),"")</f>
        <v/>
      </c>
      <c r="J244" t="str">
        <f>IFERROR(IF(VLOOKUP($B244,Показатели!$E:$W,7,FALSE)=0,"",VLOOKUP($B244,Показатели!$E:$W,7,FALSE)),"")</f>
        <v/>
      </c>
      <c r="K244" t="str">
        <f>IFERROR(IF(VLOOKUP($B244,Показатели!$E:$W,8,FALSE)=0,"",VLOOKUP($B244,Показатели!$E:$W,8,FALSE)),"")</f>
        <v/>
      </c>
      <c r="L244" t="str">
        <f>IFERROR(IF(VLOOKUP($B244,Показатели!$E:$W,9,FALSE)=0,"",VLOOKUP($B244,Показатели!$E:$W,9,FALSE)),"")</f>
        <v/>
      </c>
      <c r="M244" t="str">
        <f>IFERROR(IF(VLOOKUP($B244,Показатели!$E:$W,10,FALSE)=0,"",VLOOKUP($B244,Показатели!$E:$W,10,FALSE)),"")</f>
        <v/>
      </c>
      <c r="N244" t="str">
        <f>IFERROR(IF(VLOOKUP($B244,Показатели!$E:$W,11,FALSE)=0,"",VLOOKUP($B244,Показатели!$E:$W,11,FALSE)),"")</f>
        <v/>
      </c>
      <c r="O244" t="str">
        <f>IFERROR(IF(VLOOKUP($B244,Показатели!$E:$W,12,FALSE)=0,"",VLOOKUP($B244,Показатели!$E:$W,12,FALSE)),"")</f>
        <v/>
      </c>
      <c r="P244" t="str">
        <f>IFERROR(IF(VLOOKUP($B244,Показатели!$E:$W,13,FALSE)=0,"",VLOOKUP($B244,Показатели!$E:$W,13,FALSE)),"")</f>
        <v/>
      </c>
      <c r="Q244" t="str">
        <f>IFERROR(IF(VLOOKUP($B244,Показатели!$E:$W,14,FALSE)=0,"",VLOOKUP($B244,Показатели!$E:$W,14,FALSE)),"")</f>
        <v/>
      </c>
      <c r="R244" t="str">
        <f>IFERROR(IF(VLOOKUP($B244,Показатели!$E:$W,15,FALSE)=0,"",VLOOKUP($B244,Показатели!$E:$W,15,FALSE)),"")</f>
        <v/>
      </c>
      <c r="S244" t="str">
        <f>IFERROR(IF(VLOOKUP($B244,Показатели!$E:$W,16,FALSE)=0,"",VLOOKUP($B244,Показатели!$E:$W,16,FALSE)),"")</f>
        <v/>
      </c>
      <c r="T244" t="str">
        <f>IFERROR(IF(VLOOKUP($B244,Показатели!$E:$W,17,FALSE)=0,"",VLOOKUP($B244,Показатели!$E:$W,17,FALSE)),"")</f>
        <v/>
      </c>
      <c r="U244" t="str">
        <f>IFERROR(IF(VLOOKUP($B244,Показатели!$E:$W,18,FALSE)=0,"",VLOOKUP($B244,Показатели!$E:$W,18,FALSE)),"")</f>
        <v/>
      </c>
      <c r="V244" t="str">
        <f>IFERROR(IF(VLOOKUP($B244,Показатели!$E:$W,19,FALSE)=0,"",VLOOKUP($B244,Показатели!$E:$W,19,FALSE)),"")</f>
        <v/>
      </c>
    </row>
    <row r="245" spans="1:22" x14ac:dyDescent="0.2">
      <c r="A245" s="7" t="s">
        <v>2208</v>
      </c>
      <c r="B245" t="str">
        <f t="shared" si="3"/>
        <v>MSNG IV кв. 2022</v>
      </c>
      <c r="C245">
        <v>2022</v>
      </c>
      <c r="D245">
        <f>SUMIFS(Дивиденды!$C:$C,Дивиденды!$A:$A,A245,Дивиденды!$I:$I,C245)</f>
        <v>0.19</v>
      </c>
      <c r="E245" t="str">
        <f>IFERROR(IF(VLOOKUP($B245,Показатели!$E:$W,2,FALSE)=0,"",VLOOKUP($B245,Показатели!$E:$W,2,FALSE)),"")</f>
        <v/>
      </c>
      <c r="F245" t="str">
        <f>IFERROR(IF(VLOOKUP($B245,Показатели!$E:$W,3,FALSE)=0,"",VLOOKUP($B245,Показатели!$E:$W,3,FALSE)),"")</f>
        <v/>
      </c>
      <c r="G245" t="str">
        <f>IFERROR(IF(VLOOKUP($B245,Показатели!$E:$W,4,FALSE)=0,"",VLOOKUP($B245,Показатели!$E:$W,4,FALSE)),"")</f>
        <v/>
      </c>
      <c r="H245" t="str">
        <f>IFERROR(IF(VLOOKUP($B245,Показатели!$E:$W,5,FALSE)=0,"",VLOOKUP($B245,Показатели!$E:$W,5,FALSE)),"")</f>
        <v/>
      </c>
      <c r="I245" t="str">
        <f>IFERROR(IF(VLOOKUP($B245,Показатели!$E:$W,6,FALSE)=0,"",VLOOKUP($B245,Показатели!$E:$W,6,FALSE)),"")</f>
        <v/>
      </c>
      <c r="J245" t="str">
        <f>IFERROR(IF(VLOOKUP($B245,Показатели!$E:$W,7,FALSE)=0,"",VLOOKUP($B245,Показатели!$E:$W,7,FALSE)),"")</f>
        <v/>
      </c>
      <c r="K245" t="str">
        <f>IFERROR(IF(VLOOKUP($B245,Показатели!$E:$W,8,FALSE)=0,"",VLOOKUP($B245,Показатели!$E:$W,8,FALSE)),"")</f>
        <v/>
      </c>
      <c r="L245" t="str">
        <f>IFERROR(IF(VLOOKUP($B245,Показатели!$E:$W,9,FALSE)=0,"",VLOOKUP($B245,Показатели!$E:$W,9,FALSE)),"")</f>
        <v/>
      </c>
      <c r="M245" t="str">
        <f>IFERROR(IF(VLOOKUP($B245,Показатели!$E:$W,10,FALSE)=0,"",VLOOKUP($B245,Показатели!$E:$W,10,FALSE)),"")</f>
        <v/>
      </c>
      <c r="N245" t="str">
        <f>IFERROR(IF(VLOOKUP($B245,Показатели!$E:$W,11,FALSE)=0,"",VLOOKUP($B245,Показатели!$E:$W,11,FALSE)),"")</f>
        <v/>
      </c>
      <c r="O245" t="str">
        <f>IFERROR(IF(VLOOKUP($B245,Показатели!$E:$W,12,FALSE)=0,"",VLOOKUP($B245,Показатели!$E:$W,12,FALSE)),"")</f>
        <v/>
      </c>
      <c r="P245" t="str">
        <f>IFERROR(IF(VLOOKUP($B245,Показатели!$E:$W,13,FALSE)=0,"",VLOOKUP($B245,Показатели!$E:$W,13,FALSE)),"")</f>
        <v/>
      </c>
      <c r="Q245" t="str">
        <f>IFERROR(IF(VLOOKUP($B245,Показатели!$E:$W,14,FALSE)=0,"",VLOOKUP($B245,Показатели!$E:$W,14,FALSE)),"")</f>
        <v/>
      </c>
      <c r="R245" t="str">
        <f>IFERROR(IF(VLOOKUP($B245,Показатели!$E:$W,15,FALSE)=0,"",VLOOKUP($B245,Показатели!$E:$W,15,FALSE)),"")</f>
        <v/>
      </c>
      <c r="S245" t="str">
        <f>IFERROR(IF(VLOOKUP($B245,Показатели!$E:$W,16,FALSE)=0,"",VLOOKUP($B245,Показатели!$E:$W,16,FALSE)),"")</f>
        <v/>
      </c>
      <c r="T245" t="str">
        <f>IFERROR(IF(VLOOKUP($B245,Показатели!$E:$W,17,FALSE)=0,"",VLOOKUP($B245,Показатели!$E:$W,17,FALSE)),"")</f>
        <v/>
      </c>
      <c r="U245" t="str">
        <f>IFERROR(IF(VLOOKUP($B245,Показатели!$E:$W,18,FALSE)=0,"",VLOOKUP($B245,Показатели!$E:$W,18,FALSE)),"")</f>
        <v/>
      </c>
      <c r="V245" t="str">
        <f>IFERROR(IF(VLOOKUP($B245,Показатели!$E:$W,19,FALSE)=0,"",VLOOKUP($B245,Показатели!$E:$W,19,FALSE)),"")</f>
        <v/>
      </c>
    </row>
    <row r="246" spans="1:22" x14ac:dyDescent="0.2">
      <c r="A246" s="7" t="s">
        <v>2208</v>
      </c>
      <c r="B246" t="str">
        <f t="shared" si="3"/>
        <v>MSNG IV кв. 2021</v>
      </c>
      <c r="C246">
        <v>2021</v>
      </c>
      <c r="D246">
        <f>SUMIFS(Дивиденды!$C:$C,Дивиденды!$A:$A,A246,Дивиденды!$I:$I,C246)</f>
        <v>0.22</v>
      </c>
      <c r="E246">
        <f>IFERROR(IF(VLOOKUP($B246,Показатели!$E:$W,2,FALSE)=0,"",VLOOKUP($B246,Показатели!$E:$W,2,FALSE)),"")</f>
        <v>68000000</v>
      </c>
      <c r="F246">
        <f>IFERROR(IF(VLOOKUP($B246,Показатели!$E:$W,3,FALSE)=0,"",VLOOKUP($B246,Показатели!$E:$W,3,FALSE)),"")</f>
        <v>93838000000</v>
      </c>
      <c r="G246">
        <f>IFERROR(IF(VLOOKUP($B246,Показатели!$E:$W,4,FALSE)=0,"",VLOOKUP($B246,Показатели!$E:$W,4,FALSE)),"")</f>
        <v>247368000000</v>
      </c>
      <c r="H246">
        <f>IFERROR(IF(VLOOKUP($B246,Показатели!$E:$W,5,FALSE)=0,"",VLOOKUP($B246,Показатели!$E:$W,5,FALSE)),"")</f>
        <v>1110000000</v>
      </c>
      <c r="I246">
        <f>IFERROR(IF(VLOOKUP($B246,Показатели!$E:$W,6,FALSE)=0,"",VLOOKUP($B246,Показатели!$E:$W,6,FALSE)),"")</f>
        <v>379058000000</v>
      </c>
      <c r="J246">
        <f>IFERROR(IF(VLOOKUP($B246,Показатели!$E:$W,7,FALSE)=0,"",VLOOKUP($B246,Показатели!$E:$W,7,FALSE)),"")</f>
        <v>27851000000</v>
      </c>
      <c r="K246">
        <f>IFERROR(IF(VLOOKUP($B246,Показатели!$E:$W,8,FALSE)=0,"",VLOOKUP($B246,Показатели!$E:$W,8,FALSE)),"")</f>
        <v>35243000000</v>
      </c>
      <c r="L246">
        <f>IFERROR(IF(VLOOKUP($B246,Показатели!$E:$W,9,FALSE)=0,"",VLOOKUP($B246,Показатели!$E:$W,9,FALSE)),"")</f>
        <v>-37187000000</v>
      </c>
      <c r="M246">
        <f>IFERROR(IF(VLOOKUP($B246,Показатели!$E:$W,10,FALSE)=0,"",VLOOKUP($B246,Показатели!$E:$W,10,FALSE)),"")</f>
        <v>315964000000</v>
      </c>
      <c r="N246">
        <f>IFERROR(IF(VLOOKUP($B246,Показатели!$E:$W,11,FALSE)=0,"",VLOOKUP($B246,Показатели!$E:$W,11,FALSE)),"")</f>
        <v>225158000000</v>
      </c>
      <c r="O246">
        <f>IFERROR(IF(VLOOKUP($B246,Показатели!$E:$W,12,FALSE)=0,"",VLOOKUP($B246,Показатели!$E:$W,12,FALSE)),"")</f>
        <v>2586000000</v>
      </c>
      <c r="P246">
        <f>IFERROR(IF(VLOOKUP($B246,Показатели!$E:$W,13,FALSE)=0,"",VLOOKUP($B246,Показатели!$E:$W,13,FALSE)),"")</f>
        <v>4123000000</v>
      </c>
      <c r="Q246">
        <f>IFERROR(IF(VLOOKUP($B246,Показатели!$E:$W,14,FALSE)=0,"",VLOOKUP($B246,Показатели!$E:$W,14,FALSE)),"")</f>
        <v>2894000000</v>
      </c>
      <c r="R246">
        <f>IFERROR(IF(VLOOKUP($B246,Показатели!$E:$W,15,FALSE)=0,"",VLOOKUP($B246,Показатели!$E:$W,15,FALSE)),"")</f>
        <v>24093000000</v>
      </c>
      <c r="S246">
        <f>IFERROR(IF(VLOOKUP($B246,Показатели!$E:$W,16,FALSE)=0,"",VLOOKUP($B246,Показатели!$E:$W,16,FALSE)),"")</f>
        <v>39774000000</v>
      </c>
      <c r="T246">
        <f>IFERROR(IF(VLOOKUP($B246,Показатели!$E:$W,17,FALSE)=0,"",VLOOKUP($B246,Показатели!$E:$W,17,FALSE)),"")</f>
        <v>-22661000000</v>
      </c>
      <c r="U246">
        <f>IFERROR(IF(VLOOKUP($B246,Показатели!$E:$W,18,FALSE)=0,"",VLOOKUP($B246,Показатели!$E:$W,18,FALSE)),"")</f>
        <v>180908000000</v>
      </c>
      <c r="V246">
        <f>IFERROR(IF(VLOOKUP($B246,Показатели!$E:$W,19,FALSE)=0,"",VLOOKUP($B246,Показатели!$E:$W,19,FALSE)),"")</f>
        <v>406991000000</v>
      </c>
    </row>
    <row r="247" spans="1:22" x14ac:dyDescent="0.2">
      <c r="A247" s="7" t="s">
        <v>2208</v>
      </c>
      <c r="B247" t="str">
        <f t="shared" si="3"/>
        <v>MSNG IV кв. 2020</v>
      </c>
      <c r="C247">
        <v>2020</v>
      </c>
      <c r="D247">
        <f>SUMIFS(Дивиденды!$C:$C,Дивиденды!$A:$A,A247,Дивиденды!$I:$I,C247)</f>
        <v>0.18</v>
      </c>
      <c r="E247">
        <f>IFERROR(IF(VLOOKUP($B247,Показатели!$E:$W,2,FALSE)=0,"",VLOOKUP($B247,Показатели!$E:$W,2,FALSE)),"")</f>
        <v>7679000000</v>
      </c>
      <c r="F247">
        <f>IFERROR(IF(VLOOKUP($B247,Показатели!$E:$W,3,FALSE)=0,"",VLOOKUP($B247,Показатели!$E:$W,3,FALSE)),"")</f>
        <v>92993000000</v>
      </c>
      <c r="G247">
        <f>IFERROR(IF(VLOOKUP($B247,Показатели!$E:$W,4,FALSE)=0,"",VLOOKUP($B247,Показатели!$E:$W,4,FALSE)),"")</f>
        <v>275107000000</v>
      </c>
      <c r="H247">
        <f>IFERROR(IF(VLOOKUP($B247,Показатели!$E:$W,5,FALSE)=0,"",VLOOKUP($B247,Показатели!$E:$W,5,FALSE)),"")</f>
        <v>872000000</v>
      </c>
      <c r="I247">
        <f>IFERROR(IF(VLOOKUP($B247,Показатели!$E:$W,6,FALSE)=0,"",VLOOKUP($B247,Показатели!$E:$W,6,FALSE)),"")</f>
        <v>406991000000</v>
      </c>
      <c r="J247">
        <f>IFERROR(IF(VLOOKUP($B247,Показатели!$E:$W,7,FALSE)=0,"",VLOOKUP($B247,Показатели!$E:$W,7,FALSE)),"")</f>
        <v>20488000000</v>
      </c>
      <c r="K247">
        <f>IFERROR(IF(VLOOKUP($B247,Показатели!$E:$W,8,FALSE)=0,"",VLOOKUP($B247,Показатели!$E:$W,8,FALSE)),"")</f>
        <v>56712000000</v>
      </c>
      <c r="L247">
        <f>IFERROR(IF(VLOOKUP($B247,Показатели!$E:$W,9,FALSE)=0,"",VLOOKUP($B247,Показатели!$E:$W,9,FALSE)),"")</f>
        <v>-37284000000</v>
      </c>
      <c r="M247">
        <f>IFERROR(IF(VLOOKUP($B247,Показатели!$E:$W,10,FALSE)=0,"",VLOOKUP($B247,Показатели!$E:$W,10,FALSE)),"")</f>
        <v>329791000000</v>
      </c>
      <c r="N247">
        <f>IFERROR(IF(VLOOKUP($B247,Показатели!$E:$W,11,FALSE)=0,"",VLOOKUP($B247,Показатели!$E:$W,11,FALSE)),"")</f>
        <v>180908000000</v>
      </c>
      <c r="O247">
        <f>IFERROR(IF(VLOOKUP($B247,Показатели!$E:$W,12,FALSE)=0,"",VLOOKUP($B247,Показатели!$E:$W,12,FALSE)),"")</f>
        <v>7598000000</v>
      </c>
      <c r="P247">
        <f>IFERROR(IF(VLOOKUP($B247,Показатели!$E:$W,13,FALSE)=0,"",VLOOKUP($B247,Показатели!$E:$W,13,FALSE)),"")</f>
        <v>10170000000</v>
      </c>
      <c r="Q247">
        <f>IFERROR(IF(VLOOKUP($B247,Показатели!$E:$W,14,FALSE)=0,"",VLOOKUP($B247,Показатели!$E:$W,14,FALSE)),"")</f>
        <v>8045000000</v>
      </c>
      <c r="R247">
        <f>IFERROR(IF(VLOOKUP($B247,Показатели!$E:$W,15,FALSE)=0,"",VLOOKUP($B247,Показатели!$E:$W,15,FALSE)),"")</f>
        <v>22874000000</v>
      </c>
      <c r="S247">
        <f>IFERROR(IF(VLOOKUP($B247,Показатели!$E:$W,16,FALSE)=0,"",VLOOKUP($B247,Показатели!$E:$W,16,FALSE)),"")</f>
        <v>32125000000</v>
      </c>
      <c r="T247">
        <f>IFERROR(IF(VLOOKUP($B247,Показатели!$E:$W,17,FALSE)=0,"",VLOOKUP($B247,Показатели!$E:$W,17,FALSE)),"")</f>
        <v>-15883000000</v>
      </c>
      <c r="U247">
        <f>IFERROR(IF(VLOOKUP($B247,Показатели!$E:$W,18,FALSE)=0,"",VLOOKUP($B247,Показатели!$E:$W,18,FALSE)),"")</f>
        <v>189777000000</v>
      </c>
      <c r="V247">
        <f>IFERROR(IF(VLOOKUP($B247,Показатели!$E:$W,19,FALSE)=0,"",VLOOKUP($B247,Показатели!$E:$W,19,FALSE)),"")</f>
        <v>412681000000</v>
      </c>
    </row>
    <row r="248" spans="1:22" x14ac:dyDescent="0.2">
      <c r="A248" s="7" t="s">
        <v>2208</v>
      </c>
      <c r="B248" t="str">
        <f t="shared" si="3"/>
        <v>MSNG IV кв. 2019</v>
      </c>
      <c r="C248">
        <v>2019</v>
      </c>
      <c r="D248">
        <f>SUMIFS(Дивиденды!$C:$C,Дивиденды!$A:$A,A248,Дивиденды!$I:$I,C248)</f>
        <v>0.12</v>
      </c>
      <c r="E248">
        <f>IFERROR(IF(VLOOKUP($B248,Показатели!$E:$W,2,FALSE)=0,"",VLOOKUP($B248,Показатели!$E:$W,2,FALSE)),"")</f>
        <v>11658000000</v>
      </c>
      <c r="F248">
        <f>IFERROR(IF(VLOOKUP($B248,Показатели!$E:$W,3,FALSE)=0,"",VLOOKUP($B248,Показатели!$E:$W,3,FALSE)),"")</f>
        <v>91743000000</v>
      </c>
      <c r="G248">
        <f>IFERROR(IF(VLOOKUP($B248,Показатели!$E:$W,4,FALSE)=0,"",VLOOKUP($B248,Показатели!$E:$W,4,FALSE)),"")</f>
        <v>270759000000</v>
      </c>
      <c r="H248">
        <f>IFERROR(IF(VLOOKUP($B248,Показатели!$E:$W,5,FALSE)=0,"",VLOOKUP($B248,Показатели!$E:$W,5,FALSE)),"")</f>
        <v>580000000</v>
      </c>
      <c r="I248">
        <f>IFERROR(IF(VLOOKUP($B248,Показатели!$E:$W,6,FALSE)=0,"",VLOOKUP($B248,Показатели!$E:$W,6,FALSE)),"")</f>
        <v>412681000000</v>
      </c>
      <c r="J248">
        <f>IFERROR(IF(VLOOKUP($B248,Показатели!$E:$W,7,FALSE)=0,"",VLOOKUP($B248,Показатели!$E:$W,7,FALSE)),"")</f>
        <v>16994000000</v>
      </c>
      <c r="K248">
        <f>IFERROR(IF(VLOOKUP($B248,Показатели!$E:$W,8,FALSE)=0,"",VLOOKUP($B248,Показатели!$E:$W,8,FALSE)),"")</f>
        <v>69237000000</v>
      </c>
      <c r="L248">
        <f>IFERROR(IF(VLOOKUP($B248,Показатели!$E:$W,9,FALSE)=0,"",VLOOKUP($B248,Показатели!$E:$W,9,FALSE)),"")</f>
        <v>-41545000000</v>
      </c>
      <c r="M248">
        <f>IFERROR(IF(VLOOKUP($B248,Показатели!$E:$W,10,FALSE)=0,"",VLOOKUP($B248,Показатели!$E:$W,10,FALSE)),"")</f>
        <v>326450000000</v>
      </c>
      <c r="N248">
        <f>IFERROR(IF(VLOOKUP($B248,Показатели!$E:$W,11,FALSE)=0,"",VLOOKUP($B248,Показатели!$E:$W,11,FALSE)),"")</f>
        <v>189777000000</v>
      </c>
      <c r="O248">
        <f>IFERROR(IF(VLOOKUP($B248,Показатели!$E:$W,12,FALSE)=0,"",VLOOKUP($B248,Показатели!$E:$W,12,FALSE)),"")</f>
        <v>6613000000</v>
      </c>
      <c r="P248">
        <f>IFERROR(IF(VLOOKUP($B248,Показатели!$E:$W,13,FALSE)=0,"",VLOOKUP($B248,Показатели!$E:$W,13,FALSE)),"")</f>
        <v>10611000000</v>
      </c>
      <c r="Q248">
        <f>IFERROR(IF(VLOOKUP($B248,Показатели!$E:$W,14,FALSE)=0,"",VLOOKUP($B248,Показатели!$E:$W,14,FALSE)),"")</f>
        <v>9599000000</v>
      </c>
      <c r="R248">
        <f>IFERROR(IF(VLOOKUP($B248,Показатели!$E:$W,15,FALSE)=0,"",VLOOKUP($B248,Показатели!$E:$W,15,FALSE)),"")</f>
        <v>15359000000</v>
      </c>
      <c r="S248">
        <f>IFERROR(IF(VLOOKUP($B248,Показатели!$E:$W,16,FALSE)=0,"",VLOOKUP($B248,Показатели!$E:$W,16,FALSE)),"")</f>
        <v>21972000000</v>
      </c>
      <c r="T248">
        <f>IFERROR(IF(VLOOKUP($B248,Показатели!$E:$W,17,FALSE)=0,"",VLOOKUP($B248,Показатели!$E:$W,17,FALSE)),"")</f>
        <v>-15890000000</v>
      </c>
      <c r="U248">
        <f>IFERROR(IF(VLOOKUP($B248,Показатели!$E:$W,18,FALSE)=0,"",VLOOKUP($B248,Показатели!$E:$W,18,FALSE)),"")</f>
        <v>198870000000</v>
      </c>
      <c r="V248">
        <f>IFERROR(IF(VLOOKUP($B248,Показатели!$E:$W,19,FALSE)=0,"",VLOOKUP($B248,Показатели!$E:$W,19,FALSE)),"")</f>
        <v>328159000000</v>
      </c>
    </row>
    <row r="249" spans="1:22" x14ac:dyDescent="0.2">
      <c r="A249" s="7" t="s">
        <v>2208</v>
      </c>
      <c r="B249" t="str">
        <f t="shared" si="3"/>
        <v>MSNG IV кв. 2018</v>
      </c>
      <c r="C249">
        <v>2018</v>
      </c>
      <c r="D249">
        <f>SUMIFS(Дивиденды!$C:$C,Дивиденды!$A:$A,A249,Дивиденды!$I:$I,C249)</f>
        <v>0.21</v>
      </c>
      <c r="E249">
        <f>IFERROR(IF(VLOOKUP($B249,Показатели!$E:$W,2,FALSE)=0,"",VLOOKUP($B249,Показатели!$E:$W,2,FALSE)),"")</f>
        <v>16220000000</v>
      </c>
      <c r="F249">
        <f>IFERROR(IF(VLOOKUP($B249,Показатели!$E:$W,3,FALSE)=0,"",VLOOKUP($B249,Показатели!$E:$W,3,FALSE)),"")</f>
        <v>83913000000</v>
      </c>
      <c r="G249">
        <f>IFERROR(IF(VLOOKUP($B249,Показатели!$E:$W,4,FALSE)=0,"",VLOOKUP($B249,Показатели!$E:$W,4,FALSE)),"")</f>
        <v>209691000000</v>
      </c>
      <c r="H249">
        <f>IFERROR(IF(VLOOKUP($B249,Показатели!$E:$W,5,FALSE)=0,"",VLOOKUP($B249,Показатели!$E:$W,5,FALSE)),"")</f>
        <v>696000000</v>
      </c>
      <c r="I249">
        <f>IFERROR(IF(VLOOKUP($B249,Показатели!$E:$W,6,FALSE)=0,"",VLOOKUP($B249,Показатели!$E:$W,6,FALSE)),"")</f>
        <v>328159000000</v>
      </c>
      <c r="J249">
        <f>IFERROR(IF(VLOOKUP($B249,Показатели!$E:$W,7,FALSE)=0,"",VLOOKUP($B249,Показатели!$E:$W,7,FALSE)),"")</f>
        <v>17711000000</v>
      </c>
      <c r="K249">
        <f>IFERROR(IF(VLOOKUP($B249,Показатели!$E:$W,8,FALSE)=0,"",VLOOKUP($B249,Показатели!$E:$W,8,FALSE)),"")</f>
        <v>33421000000</v>
      </c>
      <c r="L249">
        <f>IFERROR(IF(VLOOKUP($B249,Показатели!$E:$W,9,FALSE)=0,"",VLOOKUP($B249,Показатели!$E:$W,9,FALSE)),"")</f>
        <v>-41715000000</v>
      </c>
      <c r="M249">
        <f>IFERROR(IF(VLOOKUP($B249,Показатели!$E:$W,10,FALSE)=0,"",VLOOKUP($B249,Показатели!$E:$W,10,FALSE)),"")</f>
        <v>277027000000</v>
      </c>
      <c r="N249">
        <f>IFERROR(IF(VLOOKUP($B249,Показатели!$E:$W,11,FALSE)=0,"",VLOOKUP($B249,Показатели!$E:$W,11,FALSE)),"")</f>
        <v>198870000000</v>
      </c>
      <c r="O249">
        <f>IFERROR(IF(VLOOKUP($B249,Показатели!$E:$W,12,FALSE)=0,"",VLOOKUP($B249,Показатели!$E:$W,12,FALSE)),"")</f>
        <v>25908000000</v>
      </c>
      <c r="P249">
        <f>IFERROR(IF(VLOOKUP($B249,Показатели!$E:$W,13,FALSE)=0,"",VLOOKUP($B249,Показатели!$E:$W,13,FALSE)),"")</f>
        <v>27262000000</v>
      </c>
      <c r="Q249">
        <f>IFERROR(IF(VLOOKUP($B249,Показатели!$E:$W,14,FALSE)=0,"",VLOOKUP($B249,Показатели!$E:$W,14,FALSE)),"")</f>
        <v>21405000000</v>
      </c>
      <c r="R249">
        <f>IFERROR(IF(VLOOKUP($B249,Показатели!$E:$W,15,FALSE)=0,"",VLOOKUP($B249,Показатели!$E:$W,15,FALSE)),"")</f>
        <v>15177000000</v>
      </c>
      <c r="S249">
        <f>IFERROR(IF(VLOOKUP($B249,Показатели!$E:$W,16,FALSE)=0,"",VLOOKUP($B249,Показатели!$E:$W,16,FALSE)),"")</f>
        <v>43782000000</v>
      </c>
      <c r="T249">
        <f>IFERROR(IF(VLOOKUP($B249,Показатели!$E:$W,17,FALSE)=0,"",VLOOKUP($B249,Показатели!$E:$W,17,FALSE)),"")</f>
        <v>-16675000000</v>
      </c>
      <c r="U249">
        <f>IFERROR(IF(VLOOKUP($B249,Показатели!$E:$W,18,FALSE)=0,"",VLOOKUP($B249,Показатели!$E:$W,18,FALSE)),"")</f>
        <v>196056000000</v>
      </c>
      <c r="V249">
        <f>IFERROR(IF(VLOOKUP($B249,Показатели!$E:$W,19,FALSE)=0,"",VLOOKUP($B249,Показатели!$E:$W,19,FALSE)),"")</f>
        <v>334847000000</v>
      </c>
    </row>
    <row r="250" spans="1:22" x14ac:dyDescent="0.2">
      <c r="A250" s="7" t="s">
        <v>2208</v>
      </c>
      <c r="B250" t="str">
        <f t="shared" si="3"/>
        <v>MSNG IV кв. 2017</v>
      </c>
      <c r="C250">
        <v>2017</v>
      </c>
      <c r="D250">
        <f>SUMIFS(Дивиденды!$C:$C,Дивиденды!$A:$A,A250,Дивиденды!$I:$I,C250)</f>
        <v>0.17</v>
      </c>
      <c r="E250">
        <f>IFERROR(IF(VLOOKUP($B250,Показатели!$E:$W,2,FALSE)=0,"",VLOOKUP($B250,Показатели!$E:$W,2,FALSE)),"")</f>
        <v>20627000000</v>
      </c>
      <c r="F250">
        <f>IFERROR(IF(VLOOKUP($B250,Показатели!$E:$W,3,FALSE)=0,"",VLOOKUP($B250,Показатели!$E:$W,3,FALSE)),"")</f>
        <v>87254000000</v>
      </c>
      <c r="G250">
        <f>IFERROR(IF(VLOOKUP($B250,Показатели!$E:$W,4,FALSE)=0,"",VLOOKUP($B250,Показатели!$E:$W,4,FALSE)),"")</f>
        <v>215994000000</v>
      </c>
      <c r="H250">
        <f>IFERROR(IF(VLOOKUP($B250,Показатели!$E:$W,5,FALSE)=0,"",VLOOKUP($B250,Показатели!$E:$W,5,FALSE)),"")</f>
        <v>493000000</v>
      </c>
      <c r="I250">
        <f>IFERROR(IF(VLOOKUP($B250,Показатели!$E:$W,6,FALSE)=0,"",VLOOKUP($B250,Показатели!$E:$W,6,FALSE)),"")</f>
        <v>334847000000</v>
      </c>
      <c r="J250">
        <f>IFERROR(IF(VLOOKUP($B250,Показатели!$E:$W,7,FALSE)=0,"",VLOOKUP($B250,Показатели!$E:$W,7,FALSE)),"")</f>
        <v>29152000000</v>
      </c>
      <c r="K250">
        <f>IFERROR(IF(VLOOKUP($B250,Показатели!$E:$W,8,FALSE)=0,"",VLOOKUP($B250,Показатели!$E:$W,8,FALSE)),"")</f>
        <v>39343000000</v>
      </c>
      <c r="L250">
        <f>IFERROR(IF(VLOOKUP($B250,Показатели!$E:$W,9,FALSE)=0,"",VLOOKUP($B250,Показатели!$E:$W,9,FALSE)),"")</f>
        <v>-55320000000</v>
      </c>
      <c r="M250">
        <f>IFERROR(IF(VLOOKUP($B250,Показатели!$E:$W,10,FALSE)=0,"",VLOOKUP($B250,Показатели!$E:$W,10,FALSE)),"")</f>
        <v>266352000000</v>
      </c>
      <c r="N250">
        <f>IFERROR(IF(VLOOKUP($B250,Показатели!$E:$W,11,FALSE)=0,"",VLOOKUP($B250,Показатели!$E:$W,11,FALSE)),"")</f>
        <v>196056000000</v>
      </c>
      <c r="O250">
        <f>IFERROR(IF(VLOOKUP($B250,Показатели!$E:$W,12,FALSE)=0,"",VLOOKUP($B250,Показатели!$E:$W,12,FALSE)),"")</f>
        <v>29210000000</v>
      </c>
      <c r="P250">
        <f>IFERROR(IF(VLOOKUP($B250,Показатели!$E:$W,13,FALSE)=0,"",VLOOKUP($B250,Показатели!$E:$W,13,FALSE)),"")</f>
        <v>30112000000</v>
      </c>
      <c r="Q250">
        <f>IFERROR(IF(VLOOKUP($B250,Показатели!$E:$W,14,FALSE)=0,"",VLOOKUP($B250,Показатели!$E:$W,14,FALSE)),"")</f>
        <v>24802000000</v>
      </c>
      <c r="R250">
        <f>IFERROR(IF(VLOOKUP($B250,Показатели!$E:$W,15,FALSE)=0,"",VLOOKUP($B250,Показатели!$E:$W,15,FALSE)),"")</f>
        <v>15117000000</v>
      </c>
      <c r="S250">
        <f>IFERROR(IF(VLOOKUP($B250,Показатели!$E:$W,16,FALSE)=0,"",VLOOKUP($B250,Показатели!$E:$W,16,FALSE)),"")</f>
        <v>44093000000</v>
      </c>
      <c r="T250">
        <f>IFERROR(IF(VLOOKUP($B250,Показатели!$E:$W,17,FALSE)=0,"",VLOOKUP($B250,Показатели!$E:$W,17,FALSE)),"")</f>
        <v>-15239000000</v>
      </c>
      <c r="U250">
        <f>IFERROR(IF(VLOOKUP($B250,Показатели!$E:$W,18,FALSE)=0,"",VLOOKUP($B250,Показатели!$E:$W,18,FALSE)),"")</f>
        <v>190656000000</v>
      </c>
      <c r="V250">
        <f>IFERROR(IF(VLOOKUP($B250,Показатели!$E:$W,19,FALSE)=0,"",VLOOKUP($B250,Показатели!$E:$W,19,FALSE)),"")</f>
        <v>341274000000</v>
      </c>
    </row>
    <row r="251" spans="1:22" x14ac:dyDescent="0.2">
      <c r="A251" s="7" t="s">
        <v>2208</v>
      </c>
      <c r="B251" t="str">
        <f t="shared" si="3"/>
        <v>MSNG IV кв. 2016</v>
      </c>
      <c r="C251">
        <v>2016</v>
      </c>
      <c r="D251">
        <f>SUMIFS(Дивиденды!$C:$C,Дивиденды!$A:$A,A251,Дивиденды!$I:$I,C251)</f>
        <v>8.48E-2</v>
      </c>
      <c r="E251">
        <f>IFERROR(IF(VLOOKUP($B251,Показатели!$E:$W,2,FALSE)=0,"",VLOOKUP($B251,Показатели!$E:$W,2,FALSE)),"")</f>
        <v>10097000000</v>
      </c>
      <c r="F251">
        <f>IFERROR(IF(VLOOKUP($B251,Показатели!$E:$W,3,FALSE)=0,"",VLOOKUP($B251,Показатели!$E:$W,3,FALSE)),"")</f>
        <v>83818000000</v>
      </c>
      <c r="G251">
        <f>IFERROR(IF(VLOOKUP($B251,Показатели!$E:$W,4,FALSE)=0,"",VLOOKUP($B251,Показатели!$E:$W,4,FALSE)),"")</f>
        <v>222659000000</v>
      </c>
      <c r="H251" t="str">
        <f>IFERROR(IF(VLOOKUP($B251,Показатели!$E:$W,5,FALSE)=0,"",VLOOKUP($B251,Показатели!$E:$W,5,FALSE)),"")</f>
        <v/>
      </c>
      <c r="I251">
        <f>IFERROR(IF(VLOOKUP($B251,Показатели!$E:$W,6,FALSE)=0,"",VLOOKUP($B251,Показатели!$E:$W,6,FALSE)),"")</f>
        <v>341274000000</v>
      </c>
      <c r="J251">
        <f>IFERROR(IF(VLOOKUP($B251,Показатели!$E:$W,7,FALSE)=0,"",VLOOKUP($B251,Показатели!$E:$W,7,FALSE)),"")</f>
        <v>45360000000</v>
      </c>
      <c r="K251">
        <f>IFERROR(IF(VLOOKUP($B251,Показатели!$E:$W,8,FALSE)=0,"",VLOOKUP($B251,Показатели!$E:$W,8,FALSE)),"")</f>
        <v>50481000000</v>
      </c>
      <c r="L251">
        <f>IFERROR(IF(VLOOKUP($B251,Показатели!$E:$W,9,FALSE)=0,"",VLOOKUP($B251,Показатели!$E:$W,9,FALSE)),"")</f>
        <v>-76475000000</v>
      </c>
      <c r="M251">
        <f>IFERROR(IF(VLOOKUP($B251,Показатели!$E:$W,10,FALSE)=0,"",VLOOKUP($B251,Показатели!$E:$W,10,FALSE)),"")</f>
        <v>245433000000</v>
      </c>
      <c r="N251">
        <f>IFERROR(IF(VLOOKUP($B251,Показатели!$E:$W,11,FALSE)=0,"",VLOOKUP($B251,Показатели!$E:$W,11,FALSE)),"")</f>
        <v>190656000000</v>
      </c>
      <c r="O251">
        <f>IFERROR(IF(VLOOKUP($B251,Показатели!$E:$W,12,FALSE)=0,"",VLOOKUP($B251,Показатели!$E:$W,12,FALSE)),"")</f>
        <v>15636000000</v>
      </c>
      <c r="P251">
        <f>IFERROR(IF(VLOOKUP($B251,Показатели!$E:$W,13,FALSE)=0,"",VLOOKUP($B251,Показатели!$E:$W,13,FALSE)),"")</f>
        <v>20449000000</v>
      </c>
      <c r="Q251">
        <f>IFERROR(IF(VLOOKUP($B251,Показатели!$E:$W,14,FALSE)=0,"",VLOOKUP($B251,Показатели!$E:$W,14,FALSE)),"")</f>
        <v>13438000000</v>
      </c>
      <c r="R251" t="str">
        <f>IFERROR(IF(VLOOKUP($B251,Показатели!$E:$W,15,FALSE)=0,"",VLOOKUP($B251,Показатели!$E:$W,15,FALSE)),"")</f>
        <v/>
      </c>
      <c r="S251">
        <f>IFERROR(IF(VLOOKUP($B251,Показатели!$E:$W,16,FALSE)=0,"",VLOOKUP($B251,Показатели!$E:$W,16,FALSE)),"")</f>
        <v>10635000000</v>
      </c>
      <c r="T251">
        <f>IFERROR(IF(VLOOKUP($B251,Показатели!$E:$W,17,FALSE)=0,"",VLOOKUP($B251,Показатели!$E:$W,17,FALSE)),"")</f>
        <v>-8192000000</v>
      </c>
      <c r="U251">
        <f>IFERROR(IF(VLOOKUP($B251,Показатели!$E:$W,18,FALSE)=0,"",VLOOKUP($B251,Показатели!$E:$W,18,FALSE)),"")</f>
        <v>171163000000</v>
      </c>
      <c r="V251">
        <f>IFERROR(IF(VLOOKUP($B251,Показатели!$E:$W,19,FALSE)=0,"",VLOOKUP($B251,Показатели!$E:$W,19,FALSE)),"")</f>
        <v>330407000000</v>
      </c>
    </row>
    <row r="252" spans="1:22" x14ac:dyDescent="0.2">
      <c r="A252" s="7" t="s">
        <v>2208</v>
      </c>
      <c r="B252" t="str">
        <f t="shared" si="3"/>
        <v>MSNG IV кв. 2015</v>
      </c>
      <c r="C252">
        <v>2015</v>
      </c>
      <c r="D252">
        <f>SUMIFS(Дивиденды!$C:$C,Дивиденды!$A:$A,A252,Дивиденды!$I:$I,C252)</f>
        <v>5.67E-2</v>
      </c>
      <c r="E252">
        <f>IFERROR(IF(VLOOKUP($B252,Показатели!$E:$W,2,FALSE)=0,"",VLOOKUP($B252,Показатели!$E:$W,2,FALSE)),"")</f>
        <v>5666000000</v>
      </c>
      <c r="F252">
        <f>IFERROR(IF(VLOOKUP($B252,Показатели!$E:$W,3,FALSE)=0,"",VLOOKUP($B252,Показатели!$E:$W,3,FALSE)),"")</f>
        <v>65654000000</v>
      </c>
      <c r="G252">
        <f>IFERROR(IF(VLOOKUP($B252,Показатели!$E:$W,4,FALSE)=0,"",VLOOKUP($B252,Показатели!$E:$W,4,FALSE)),"")</f>
        <v>229348000000</v>
      </c>
      <c r="H252" t="str">
        <f>IFERROR(IF(VLOOKUP($B252,Показатели!$E:$W,5,FALSE)=0,"",VLOOKUP($B252,Показатели!$E:$W,5,FALSE)),"")</f>
        <v/>
      </c>
      <c r="I252">
        <f>IFERROR(IF(VLOOKUP($B252,Показатели!$E:$W,6,FALSE)=0,"",VLOOKUP($B252,Показатели!$E:$W,6,FALSE)),"")</f>
        <v>330407000000</v>
      </c>
      <c r="J252">
        <f>IFERROR(IF(VLOOKUP($B252,Показатели!$E:$W,7,FALSE)=0,"",VLOOKUP($B252,Показатели!$E:$W,7,FALSE)),"")</f>
        <v>19724000000</v>
      </c>
      <c r="K252">
        <f>IFERROR(IF(VLOOKUP($B252,Показатели!$E:$W,8,FALSE)=0,"",VLOOKUP($B252,Показатели!$E:$W,8,FALSE)),"")</f>
        <v>78814000000</v>
      </c>
      <c r="L252" t="str">
        <f>IFERROR(IF(VLOOKUP($B252,Показатели!$E:$W,9,FALSE)=0,"",VLOOKUP($B252,Показатели!$E:$W,9,FALSE)),"")</f>
        <v/>
      </c>
      <c r="M252">
        <f>IFERROR(IF(VLOOKUP($B252,Показатели!$E:$W,10,FALSE)=0,"",VLOOKUP($B252,Показатели!$E:$W,10,FALSE)),"")</f>
        <v>231869000000</v>
      </c>
      <c r="N252">
        <f>IFERROR(IF(VLOOKUP($B252,Показатели!$E:$W,11,FALSE)=0,"",VLOOKUP($B252,Показатели!$E:$W,11,FALSE)),"")</f>
        <v>171163000000</v>
      </c>
      <c r="O252">
        <f>IFERROR(IF(VLOOKUP($B252,Показатели!$E:$W,12,FALSE)=0,"",VLOOKUP($B252,Показатели!$E:$W,12,FALSE)),"")</f>
        <v>-454000000</v>
      </c>
      <c r="P252">
        <f>IFERROR(IF(VLOOKUP($B252,Показатели!$E:$W,13,FALSE)=0,"",VLOOKUP($B252,Показатели!$E:$W,13,FALSE)),"")</f>
        <v>-2397000000</v>
      </c>
      <c r="Q252">
        <f>IFERROR(IF(VLOOKUP($B252,Показатели!$E:$W,14,FALSE)=0,"",VLOOKUP($B252,Показатели!$E:$W,14,FALSE)),"")</f>
        <v>-1778000000</v>
      </c>
      <c r="R252" t="str">
        <f>IFERROR(IF(VLOOKUP($B252,Показатели!$E:$W,15,FALSE)=0,"",VLOOKUP($B252,Показатели!$E:$W,15,FALSE)),"")</f>
        <v/>
      </c>
      <c r="S252" t="str">
        <f>IFERROR(IF(VLOOKUP($B252,Показатели!$E:$W,16,FALSE)=0,"",VLOOKUP($B252,Показатели!$E:$W,16,FALSE)),"")</f>
        <v/>
      </c>
      <c r="T252" t="str">
        <f>IFERROR(IF(VLOOKUP($B252,Показатели!$E:$W,17,FALSE)=0,"",VLOOKUP($B252,Показатели!$E:$W,17,FALSE)),"")</f>
        <v/>
      </c>
      <c r="U252">
        <f>IFERROR(IF(VLOOKUP($B252,Показатели!$E:$W,18,FALSE)=0,"",VLOOKUP($B252,Показатели!$E:$W,18,FALSE)),"")</f>
        <v>161432000000</v>
      </c>
      <c r="V252">
        <f>IFERROR(IF(VLOOKUP($B252,Показатели!$E:$W,19,FALSE)=0,"",VLOOKUP($B252,Показатели!$E:$W,19,FALSE)),"")</f>
        <v>348071000000</v>
      </c>
    </row>
    <row r="253" spans="1:22" x14ac:dyDescent="0.2">
      <c r="A253" s="7" t="s">
        <v>2208</v>
      </c>
      <c r="B253" t="str">
        <f t="shared" si="3"/>
        <v>MSNG IV кв. 2014</v>
      </c>
      <c r="C253">
        <v>2014</v>
      </c>
      <c r="D253">
        <f>SUMIFS(Дивиденды!$C:$C,Дивиденды!$A:$A,A253,Дивиденды!$I:$I,C253)</f>
        <v>0.01</v>
      </c>
      <c r="E253">
        <f>IFERROR(IF(VLOOKUP($B253,Показатели!$E:$W,2,FALSE)=0,"",VLOOKUP($B253,Показатели!$E:$W,2,FALSE)),"")</f>
        <v>9677000000</v>
      </c>
      <c r="F253">
        <f>IFERROR(IF(VLOOKUP($B253,Показатели!$E:$W,3,FALSE)=0,"",VLOOKUP($B253,Показатели!$E:$W,3,FALSE)),"")</f>
        <v>61920000000</v>
      </c>
      <c r="G253">
        <f>IFERROR(IF(VLOOKUP($B253,Показатели!$E:$W,4,FALSE)=0,"",VLOOKUP($B253,Показатели!$E:$W,4,FALSE)),"")</f>
        <v>263287000000</v>
      </c>
      <c r="H253" t="str">
        <f>IFERROR(IF(VLOOKUP($B253,Показатели!$E:$W,5,FALSE)=0,"",VLOOKUP($B253,Показатели!$E:$W,5,FALSE)),"")</f>
        <v/>
      </c>
      <c r="I253">
        <f>IFERROR(IF(VLOOKUP($B253,Показатели!$E:$W,6,FALSE)=0,"",VLOOKUP($B253,Показатели!$E:$W,6,FALSE)),"")</f>
        <v>348071000000</v>
      </c>
      <c r="J253">
        <f>IFERROR(IF(VLOOKUP($B253,Показатели!$E:$W,7,FALSE)=0,"",VLOOKUP($B253,Показатели!$E:$W,7,FALSE)),"")</f>
        <v>22713000000</v>
      </c>
      <c r="K253">
        <f>IFERROR(IF(VLOOKUP($B253,Показатели!$E:$W,8,FALSE)=0,"",VLOOKUP($B253,Показатели!$E:$W,8,FALSE)),"")</f>
        <v>83663000000</v>
      </c>
      <c r="L253" t="str">
        <f>IFERROR(IF(VLOOKUP($B253,Показатели!$E:$W,9,FALSE)=0,"",VLOOKUP($B253,Показатели!$E:$W,9,FALSE)),"")</f>
        <v/>
      </c>
      <c r="M253">
        <f>IFERROR(IF(VLOOKUP($B253,Показатели!$E:$W,10,FALSE)=0,"",VLOOKUP($B253,Показатели!$E:$W,10,FALSE)),"")</f>
        <v>241695000000</v>
      </c>
      <c r="N253">
        <f>IFERROR(IF(VLOOKUP($B253,Показатели!$E:$W,11,FALSE)=0,"",VLOOKUP($B253,Показатели!$E:$W,11,FALSE)),"")</f>
        <v>161432000000</v>
      </c>
      <c r="O253">
        <f>IFERROR(IF(VLOOKUP($B253,Показатели!$E:$W,12,FALSE)=0,"",VLOOKUP($B253,Показатели!$E:$W,12,FALSE)),"")</f>
        <v>1571000000</v>
      </c>
      <c r="P253">
        <f>IFERROR(IF(VLOOKUP($B253,Показатели!$E:$W,13,FALSE)=0,"",VLOOKUP($B253,Показатели!$E:$W,13,FALSE)),"")</f>
        <v>-3304000000</v>
      </c>
      <c r="Q253">
        <f>IFERROR(IF(VLOOKUP($B253,Показатели!$E:$W,14,FALSE)=0,"",VLOOKUP($B253,Показатели!$E:$W,14,FALSE)),"")</f>
        <v>-2740000000</v>
      </c>
      <c r="R253" t="str">
        <f>IFERROR(IF(VLOOKUP($B253,Показатели!$E:$W,15,FALSE)=0,"",VLOOKUP($B253,Показатели!$E:$W,15,FALSE)),"")</f>
        <v/>
      </c>
      <c r="S253">
        <f>IFERROR(IF(VLOOKUP($B253,Показатели!$E:$W,16,FALSE)=0,"",VLOOKUP($B253,Показатели!$E:$W,16,FALSE)),"")</f>
        <v>17040000000</v>
      </c>
      <c r="T253" t="str">
        <f>IFERROR(IF(VLOOKUP($B253,Показатели!$E:$W,17,FALSE)=0,"",VLOOKUP($B253,Показатели!$E:$W,17,FALSE)),"")</f>
        <v/>
      </c>
      <c r="U253">
        <f>IFERROR(IF(VLOOKUP($B253,Показатели!$E:$W,18,FALSE)=0,"",VLOOKUP($B253,Показатели!$E:$W,18,FALSE)),"")</f>
        <v>156663000000</v>
      </c>
      <c r="V253">
        <f>IFERROR(IF(VLOOKUP($B253,Показатели!$E:$W,19,FALSE)=0,"",VLOOKUP($B253,Показатели!$E:$W,19,FALSE)),"")</f>
        <v>338956000000</v>
      </c>
    </row>
    <row r="254" spans="1:22" x14ac:dyDescent="0.2">
      <c r="A254" s="7" t="s">
        <v>2208</v>
      </c>
      <c r="B254" t="str">
        <f t="shared" si="3"/>
        <v>MSNG IV кв. 2013</v>
      </c>
      <c r="C254">
        <v>2013</v>
      </c>
      <c r="D254">
        <f>SUMIFS(Дивиденды!$C:$C,Дивиденды!$A:$A,A254,Дивиденды!$I:$I,C254)</f>
        <v>0.04</v>
      </c>
      <c r="E254">
        <f>IFERROR(IF(VLOOKUP($B254,Показатели!$E:$W,2,FALSE)=0,"",VLOOKUP($B254,Показатели!$E:$W,2,FALSE)),"")</f>
        <v>2871000000</v>
      </c>
      <c r="F254">
        <f>IFERROR(IF(VLOOKUP($B254,Показатели!$E:$W,3,FALSE)=0,"",VLOOKUP($B254,Показатели!$E:$W,3,FALSE)),"")</f>
        <v>46641000000</v>
      </c>
      <c r="G254">
        <f>IFERROR(IF(VLOOKUP($B254,Показатели!$E:$W,4,FALSE)=0,"",VLOOKUP($B254,Показатели!$E:$W,4,FALSE)),"")</f>
        <v>273766000000</v>
      </c>
      <c r="H254" t="str">
        <f>IFERROR(IF(VLOOKUP($B254,Показатели!$E:$W,5,FALSE)=0,"",VLOOKUP($B254,Показатели!$E:$W,5,FALSE)),"")</f>
        <v/>
      </c>
      <c r="I254">
        <f>IFERROR(IF(VLOOKUP($B254,Показатели!$E:$W,6,FALSE)=0,"",VLOOKUP($B254,Показатели!$E:$W,6,FALSE)),"")</f>
        <v>338956000000</v>
      </c>
      <c r="J254">
        <f>IFERROR(IF(VLOOKUP($B254,Показатели!$E:$W,7,FALSE)=0,"",VLOOKUP($B254,Показатели!$E:$W,7,FALSE)),"")</f>
        <v>21548000000</v>
      </c>
      <c r="K254">
        <f>IFERROR(IF(VLOOKUP($B254,Показатели!$E:$W,8,FALSE)=0,"",VLOOKUP($B254,Показатели!$E:$W,8,FALSE)),"")</f>
        <v>58285000000</v>
      </c>
      <c r="L254" t="str">
        <f>IFERROR(IF(VLOOKUP($B254,Показатели!$E:$W,9,FALSE)=0,"",VLOOKUP($B254,Показатели!$E:$W,9,FALSE)),"")</f>
        <v/>
      </c>
      <c r="M254">
        <f>IFERROR(IF(VLOOKUP($B254,Показатели!$E:$W,10,FALSE)=0,"",VLOOKUP($B254,Показатели!$E:$W,10,FALSE)),"")</f>
        <v>259123000000</v>
      </c>
      <c r="N254">
        <f>IFERROR(IF(VLOOKUP($B254,Показатели!$E:$W,11,FALSE)=0,"",VLOOKUP($B254,Показатели!$E:$W,11,FALSE)),"")</f>
        <v>156663000000</v>
      </c>
      <c r="O254">
        <f>IFERROR(IF(VLOOKUP($B254,Показатели!$E:$W,12,FALSE)=0,"",VLOOKUP($B254,Показатели!$E:$W,12,FALSE)),"")</f>
        <v>9878000000</v>
      </c>
      <c r="P254">
        <f>IFERROR(IF(VLOOKUP($B254,Показатели!$E:$W,13,FALSE)=0,"",VLOOKUP($B254,Показатели!$E:$W,13,FALSE)),"")</f>
        <v>9189000000</v>
      </c>
      <c r="Q254">
        <f>IFERROR(IF(VLOOKUP($B254,Показатели!$E:$W,14,FALSE)=0,"",VLOOKUP($B254,Показатели!$E:$W,14,FALSE)),"")</f>
        <v>7484000000</v>
      </c>
      <c r="R254" t="str">
        <f>IFERROR(IF(VLOOKUP($B254,Показатели!$E:$W,15,FALSE)=0,"",VLOOKUP($B254,Показатели!$E:$W,15,FALSE)),"")</f>
        <v/>
      </c>
      <c r="S254">
        <f>IFERROR(IF(VLOOKUP($B254,Показатели!$E:$W,16,FALSE)=0,"",VLOOKUP($B254,Показатели!$E:$W,16,FALSE)),"")</f>
        <v>20250000000</v>
      </c>
      <c r="T254" t="str">
        <f>IFERROR(IF(VLOOKUP($B254,Показатели!$E:$W,17,FALSE)=0,"",VLOOKUP($B254,Показатели!$E:$W,17,FALSE)),"")</f>
        <v/>
      </c>
      <c r="U254">
        <f>IFERROR(IF(VLOOKUP($B254,Показатели!$E:$W,18,FALSE)=0,"",VLOOKUP($B254,Показатели!$E:$W,18,FALSE)),"")</f>
        <v>157139000000</v>
      </c>
      <c r="V254">
        <f>IFERROR(IF(VLOOKUP($B254,Показатели!$E:$W,19,FALSE)=0,"",VLOOKUP($B254,Показатели!$E:$W,19,FALSE)),"")</f>
        <v>267744000000</v>
      </c>
    </row>
    <row r="255" spans="1:22" x14ac:dyDescent="0.2">
      <c r="A255" s="7" t="s">
        <v>2208</v>
      </c>
      <c r="B255" t="str">
        <f t="shared" si="3"/>
        <v>MSNG IV кв. 2012</v>
      </c>
      <c r="C255">
        <v>2012</v>
      </c>
      <c r="D255">
        <f>SUMIFS(Дивиденды!$C:$C,Дивиденды!$A:$A,A255,Дивиденды!$I:$I,C255)</f>
        <v>0.03</v>
      </c>
      <c r="E255">
        <f>IFERROR(IF(VLOOKUP($B255,Показатели!$E:$W,2,FALSE)=0,"",VLOOKUP($B255,Показатели!$E:$W,2,FALSE)),"")</f>
        <v>12632000000</v>
      </c>
      <c r="F255">
        <f>IFERROR(IF(VLOOKUP($B255,Показатели!$E:$W,3,FALSE)=0,"",VLOOKUP($B255,Показатели!$E:$W,3,FALSE)),"")</f>
        <v>55584000000</v>
      </c>
      <c r="G255">
        <f>IFERROR(IF(VLOOKUP($B255,Показатели!$E:$W,4,FALSE)=0,"",VLOOKUP($B255,Показатели!$E:$W,4,FALSE)),"")</f>
        <v>190387000000</v>
      </c>
      <c r="H255" t="str">
        <f>IFERROR(IF(VLOOKUP($B255,Показатели!$E:$W,5,FALSE)=0,"",VLOOKUP($B255,Показатели!$E:$W,5,FALSE)),"")</f>
        <v/>
      </c>
      <c r="I255">
        <f>IFERROR(IF(VLOOKUP($B255,Показатели!$E:$W,6,FALSE)=0,"",VLOOKUP($B255,Показатели!$E:$W,6,FALSE)),"")</f>
        <v>267744000000</v>
      </c>
      <c r="J255">
        <f>IFERROR(IF(VLOOKUP($B255,Показатели!$E:$W,7,FALSE)=0,"",VLOOKUP($B255,Показатели!$E:$W,7,FALSE)),"")</f>
        <v>18189000000</v>
      </c>
      <c r="K255">
        <f>IFERROR(IF(VLOOKUP($B255,Показатели!$E:$W,8,FALSE)=0,"",VLOOKUP($B255,Показатели!$E:$W,8,FALSE)),"")</f>
        <v>43919000000</v>
      </c>
      <c r="L255" t="str">
        <f>IFERROR(IF(VLOOKUP($B255,Показатели!$E:$W,9,FALSE)=0,"",VLOOKUP($B255,Показатели!$E:$W,9,FALSE)),"")</f>
        <v/>
      </c>
      <c r="M255">
        <f>IFERROR(IF(VLOOKUP($B255,Показатели!$E:$W,10,FALSE)=0,"",VLOOKUP($B255,Показатели!$E:$W,10,FALSE)),"")</f>
        <v>205636000000</v>
      </c>
      <c r="N255">
        <f>IFERROR(IF(VLOOKUP($B255,Показатели!$E:$W,11,FALSE)=0,"",VLOOKUP($B255,Показатели!$E:$W,11,FALSE)),"")</f>
        <v>157139000000</v>
      </c>
      <c r="O255">
        <f>IFERROR(IF(VLOOKUP($B255,Показатели!$E:$W,12,FALSE)=0,"",VLOOKUP($B255,Показатели!$E:$W,12,FALSE)),"")</f>
        <v>6534000000</v>
      </c>
      <c r="P255">
        <f>IFERROR(IF(VLOOKUP($B255,Показатели!$E:$W,13,FALSE)=0,"",VLOOKUP($B255,Показатели!$E:$W,13,FALSE)),"")</f>
        <v>8014000000</v>
      </c>
      <c r="Q255">
        <f>IFERROR(IF(VLOOKUP($B255,Показатели!$E:$W,14,FALSE)=0,"",VLOOKUP($B255,Показатели!$E:$W,14,FALSE)),"")</f>
        <v>6316000000</v>
      </c>
      <c r="R255" t="str">
        <f>IFERROR(IF(VLOOKUP($B255,Показатели!$E:$W,15,FALSE)=0,"",VLOOKUP($B255,Показатели!$E:$W,15,FALSE)),"")</f>
        <v/>
      </c>
      <c r="S255">
        <f>IFERROR(IF(VLOOKUP($B255,Показатели!$E:$W,16,FALSE)=0,"",VLOOKUP($B255,Показатели!$E:$W,16,FALSE)),"")</f>
        <v>20250000000</v>
      </c>
      <c r="T255" t="str">
        <f>IFERROR(IF(VLOOKUP($B255,Показатели!$E:$W,17,FALSE)=0,"",VLOOKUP($B255,Показатели!$E:$W,17,FALSE)),"")</f>
        <v/>
      </c>
      <c r="U255">
        <f>IFERROR(IF(VLOOKUP($B255,Показатели!$E:$W,18,FALSE)=0,"",VLOOKUP($B255,Показатели!$E:$W,18,FALSE)),"")</f>
        <v>161119000000</v>
      </c>
      <c r="V255">
        <f>IFERROR(IF(VLOOKUP($B255,Показатели!$E:$W,19,FALSE)=0,"",VLOOKUP($B255,Показатели!$E:$W,19,FALSE)),"")</f>
        <v>262421000000</v>
      </c>
    </row>
    <row r="256" spans="1:22" x14ac:dyDescent="0.2">
      <c r="A256" s="7" t="s">
        <v>2208</v>
      </c>
      <c r="B256" t="str">
        <f t="shared" si="3"/>
        <v>MSNG IV кв. 2011</v>
      </c>
      <c r="C256">
        <v>2011</v>
      </c>
      <c r="D256">
        <f>SUMIFS(Дивиденды!$C:$C,Дивиденды!$A:$A,A256,Дивиденды!$I:$I,C256)</f>
        <v>0.03</v>
      </c>
      <c r="E256">
        <f>IFERROR(IF(VLOOKUP($B256,Показатели!$E:$W,2,FALSE)=0,"",VLOOKUP($B256,Показатели!$E:$W,2,FALSE)),"")</f>
        <v>25572000000</v>
      </c>
      <c r="F256">
        <f>IFERROR(IF(VLOOKUP($B256,Показатели!$E:$W,3,FALSE)=0,"",VLOOKUP($B256,Показатели!$E:$W,3,FALSE)),"")</f>
        <v>62618000000</v>
      </c>
      <c r="G256">
        <f>IFERROR(IF(VLOOKUP($B256,Показатели!$E:$W,4,FALSE)=0,"",VLOOKUP($B256,Показатели!$E:$W,4,FALSE)),"")</f>
        <v>185295000000</v>
      </c>
      <c r="H256" t="str">
        <f>IFERROR(IF(VLOOKUP($B256,Показатели!$E:$W,5,FALSE)=0,"",VLOOKUP($B256,Показатели!$E:$W,5,FALSE)),"")</f>
        <v/>
      </c>
      <c r="I256">
        <f>IFERROR(IF(VLOOKUP($B256,Показатели!$E:$W,6,FALSE)=0,"",VLOOKUP($B256,Показатели!$E:$W,6,FALSE)),"")</f>
        <v>262421000000</v>
      </c>
      <c r="J256">
        <f>IFERROR(IF(VLOOKUP($B256,Показатели!$E:$W,7,FALSE)=0,"",VLOOKUP($B256,Показатели!$E:$W,7,FALSE)),"")</f>
        <v>25136000000</v>
      </c>
      <c r="K256">
        <f>IFERROR(IF(VLOOKUP($B256,Показатели!$E:$W,8,FALSE)=0,"",VLOOKUP($B256,Показатели!$E:$W,8,FALSE)),"")</f>
        <v>37252000000</v>
      </c>
      <c r="L256" t="str">
        <f>IFERROR(IF(VLOOKUP($B256,Показатели!$E:$W,9,FALSE)=0,"",VLOOKUP($B256,Показатели!$E:$W,9,FALSE)),"")</f>
        <v/>
      </c>
      <c r="M256">
        <f>IFERROR(IF(VLOOKUP($B256,Показатели!$E:$W,10,FALSE)=0,"",VLOOKUP($B256,Показатели!$E:$W,10,FALSE)),"")</f>
        <v>200033000000</v>
      </c>
      <c r="N256">
        <f>IFERROR(IF(VLOOKUP($B256,Показатели!$E:$W,11,FALSE)=0,"",VLOOKUP($B256,Показатели!$E:$W,11,FALSE)),"")</f>
        <v>161119000000</v>
      </c>
      <c r="O256">
        <f>IFERROR(IF(VLOOKUP($B256,Показатели!$E:$W,12,FALSE)=0,"",VLOOKUP($B256,Показатели!$E:$W,12,FALSE)),"")</f>
        <v>10887000000</v>
      </c>
      <c r="P256">
        <f>IFERROR(IF(VLOOKUP($B256,Показатели!$E:$W,13,FALSE)=0,"",VLOOKUP($B256,Показатели!$E:$W,13,FALSE)),"")</f>
        <v>11966000000</v>
      </c>
      <c r="Q256">
        <f>IFERROR(IF(VLOOKUP($B256,Показатели!$E:$W,14,FALSE)=0,"",VLOOKUP($B256,Показатели!$E:$W,14,FALSE)),"")</f>
        <v>9892000000</v>
      </c>
      <c r="R256" t="str">
        <f>IFERROR(IF(VLOOKUP($B256,Показатели!$E:$W,15,FALSE)=0,"",VLOOKUP($B256,Показатели!$E:$W,15,FALSE)),"")</f>
        <v/>
      </c>
      <c r="S256" t="str">
        <f>IFERROR(IF(VLOOKUP($B256,Показатели!$E:$W,16,FALSE)=0,"",VLOOKUP($B256,Показатели!$E:$W,16,FALSE)),"")</f>
        <v/>
      </c>
      <c r="T256" t="str">
        <f>IFERROR(IF(VLOOKUP($B256,Показатели!$E:$W,17,FALSE)=0,"",VLOOKUP($B256,Показатели!$E:$W,17,FALSE)),"")</f>
        <v/>
      </c>
      <c r="U256" t="str">
        <f>IFERROR(IF(VLOOKUP($B256,Показатели!$E:$W,18,FALSE)=0,"",VLOOKUP($B256,Показатели!$E:$W,18,FALSE)),"")</f>
        <v/>
      </c>
      <c r="V256" t="str">
        <f>IFERROR(IF(VLOOKUP($B256,Показатели!$E:$W,19,FALSE)=0,"",VLOOKUP($B256,Показатели!$E:$W,19,FALSE)),"")</f>
        <v/>
      </c>
    </row>
    <row r="257" spans="1:22" x14ac:dyDescent="0.2">
      <c r="A257" s="7" t="s">
        <v>2208</v>
      </c>
      <c r="B257" t="str">
        <f t="shared" si="3"/>
        <v>MSNG IV кв. 2010</v>
      </c>
      <c r="C257">
        <v>2010</v>
      </c>
      <c r="D257">
        <f>SUMIFS(Дивиденды!$C:$C,Дивиденды!$A:$A,A257,Дивиденды!$I:$I,C257)</f>
        <v>0.02</v>
      </c>
      <c r="E257" t="str">
        <f>IFERROR(IF(VLOOKUP($B257,Показатели!$E:$W,2,FALSE)=0,"",VLOOKUP($B257,Показатели!$E:$W,2,FALSE)),"")</f>
        <v/>
      </c>
      <c r="F257" t="str">
        <f>IFERROR(IF(VLOOKUP($B257,Показатели!$E:$W,3,FALSE)=0,"",VLOOKUP($B257,Показатели!$E:$W,3,FALSE)),"")</f>
        <v/>
      </c>
      <c r="G257" t="str">
        <f>IFERROR(IF(VLOOKUP($B257,Показатели!$E:$W,4,FALSE)=0,"",VLOOKUP($B257,Показатели!$E:$W,4,FALSE)),"")</f>
        <v/>
      </c>
      <c r="H257" t="str">
        <f>IFERROR(IF(VLOOKUP($B257,Показатели!$E:$W,5,FALSE)=0,"",VLOOKUP($B257,Показатели!$E:$W,5,FALSE)),"")</f>
        <v/>
      </c>
      <c r="I257" t="str">
        <f>IFERROR(IF(VLOOKUP($B257,Показатели!$E:$W,6,FALSE)=0,"",VLOOKUP($B257,Показатели!$E:$W,6,FALSE)),"")</f>
        <v/>
      </c>
      <c r="J257" t="str">
        <f>IFERROR(IF(VLOOKUP($B257,Показатели!$E:$W,7,FALSE)=0,"",VLOOKUP($B257,Показатели!$E:$W,7,FALSE)),"")</f>
        <v/>
      </c>
      <c r="K257" t="str">
        <f>IFERROR(IF(VLOOKUP($B257,Показатели!$E:$W,8,FALSE)=0,"",VLOOKUP($B257,Показатели!$E:$W,8,FALSE)),"")</f>
        <v/>
      </c>
      <c r="L257" t="str">
        <f>IFERROR(IF(VLOOKUP($B257,Показатели!$E:$W,9,FALSE)=0,"",VLOOKUP($B257,Показатели!$E:$W,9,FALSE)),"")</f>
        <v/>
      </c>
      <c r="M257" t="str">
        <f>IFERROR(IF(VLOOKUP($B257,Показатели!$E:$W,10,FALSE)=0,"",VLOOKUP($B257,Показатели!$E:$W,10,FALSE)),"")</f>
        <v/>
      </c>
      <c r="N257" t="str">
        <f>IFERROR(IF(VLOOKUP($B257,Показатели!$E:$W,11,FALSE)=0,"",VLOOKUP($B257,Показатели!$E:$W,11,FALSE)),"")</f>
        <v/>
      </c>
      <c r="O257" t="str">
        <f>IFERROR(IF(VLOOKUP($B257,Показатели!$E:$W,12,FALSE)=0,"",VLOOKUP($B257,Показатели!$E:$W,12,FALSE)),"")</f>
        <v/>
      </c>
      <c r="P257" t="str">
        <f>IFERROR(IF(VLOOKUP($B257,Показатели!$E:$W,13,FALSE)=0,"",VLOOKUP($B257,Показатели!$E:$W,13,FALSE)),"")</f>
        <v/>
      </c>
      <c r="Q257" t="str">
        <f>IFERROR(IF(VLOOKUP($B257,Показатели!$E:$W,14,FALSE)=0,"",VLOOKUP($B257,Показатели!$E:$W,14,FALSE)),"")</f>
        <v/>
      </c>
      <c r="R257" t="str">
        <f>IFERROR(IF(VLOOKUP($B257,Показатели!$E:$W,15,FALSE)=0,"",VLOOKUP($B257,Показатели!$E:$W,15,FALSE)),"")</f>
        <v/>
      </c>
      <c r="S257" t="str">
        <f>IFERROR(IF(VLOOKUP($B257,Показатели!$E:$W,16,FALSE)=0,"",VLOOKUP($B257,Показатели!$E:$W,16,FALSE)),"")</f>
        <v/>
      </c>
      <c r="T257" t="str">
        <f>IFERROR(IF(VLOOKUP($B257,Показатели!$E:$W,17,FALSE)=0,"",VLOOKUP($B257,Показатели!$E:$W,17,FALSE)),"")</f>
        <v/>
      </c>
      <c r="U257" t="str">
        <f>IFERROR(IF(VLOOKUP($B257,Показатели!$E:$W,18,FALSE)=0,"",VLOOKUP($B257,Показатели!$E:$W,18,FALSE)),"")</f>
        <v/>
      </c>
      <c r="V257" t="str">
        <f>IFERROR(IF(VLOOKUP($B257,Показатели!$E:$W,19,FALSE)=0,"",VLOOKUP($B257,Показатели!$E:$W,19,FALSE)),"")</f>
        <v/>
      </c>
    </row>
    <row r="258" spans="1:22" x14ac:dyDescent="0.2">
      <c r="A258" s="7" t="s">
        <v>2210</v>
      </c>
      <c r="B258" t="str">
        <f t="shared" si="3"/>
        <v>MSRS IV кв. 2025</v>
      </c>
      <c r="C258">
        <v>2025</v>
      </c>
      <c r="D258">
        <f>SUMIFS(Дивиденды!$C:$C,Дивиденды!$A:$A,A258,Дивиденды!$I:$I,C258)</f>
        <v>0</v>
      </c>
      <c r="E258">
        <f>IFERROR(IF(VLOOKUP($B258,Показатели!$E:$W,2,FALSE)=0,"",VLOOKUP($B258,Показатели!$E:$W,2,FALSE)),"")</f>
        <v>13523341000</v>
      </c>
      <c r="F258">
        <f>IFERROR(IF(VLOOKUP($B258,Показатели!$E:$W,3,FALSE)=0,"",VLOOKUP($B258,Показатели!$E:$W,3,FALSE)),"")</f>
        <v>61315084000</v>
      </c>
      <c r="G258">
        <f>IFERROR(IF(VLOOKUP($B258,Показатели!$E:$W,4,FALSE)=0,"",VLOOKUP($B258,Показатели!$E:$W,4,FALSE)),"")</f>
        <v>499875233000</v>
      </c>
      <c r="H258">
        <f>IFERROR(IF(VLOOKUP($B258,Показатели!$E:$W,5,FALSE)=0,"",VLOOKUP($B258,Показатели!$E:$W,5,FALSE)),"")</f>
        <v>5870558000</v>
      </c>
      <c r="I258">
        <f>IFERROR(IF(VLOOKUP($B258,Показатели!$E:$W,6,FALSE)=0,"",VLOOKUP($B258,Показатели!$E:$W,6,FALSE)),"")</f>
        <v>577378851000</v>
      </c>
      <c r="J258">
        <f>IFERROR(IF(VLOOKUP($B258,Показатели!$E:$W,7,FALSE)=0,"",VLOOKUP($B258,Показатели!$E:$W,7,FALSE)),"")</f>
        <v>204817515000</v>
      </c>
      <c r="K258">
        <f>IFERROR(IF(VLOOKUP($B258,Показатели!$E:$W,8,FALSE)=0,"",VLOOKUP($B258,Показатели!$E:$W,8,FALSE)),"")</f>
        <v>115121951000</v>
      </c>
      <c r="L258">
        <f>IFERROR(IF(VLOOKUP($B258,Показатели!$E:$W,9,FALSE)=0,"",VLOOKUP($B258,Показатели!$E:$W,9,FALSE)),"")</f>
        <v>233085839000</v>
      </c>
      <c r="M258">
        <f>IFERROR(IF(VLOOKUP($B258,Показатели!$E:$W,10,FALSE)=0,"",VLOOKUP($B258,Показатели!$E:$W,10,FALSE)),"")</f>
        <v>257439385000</v>
      </c>
      <c r="N258">
        <f>IFERROR(IF(VLOOKUP($B258,Показатели!$E:$W,11,FALSE)=0,"",VLOOKUP($B258,Показатели!$E:$W,11,FALSE)),"")</f>
        <v>284955827000</v>
      </c>
      <c r="O258">
        <f>IFERROR(IF(VLOOKUP($B258,Показатели!$E:$W,12,FALSE)=0,"",VLOOKUP($B258,Показатели!$E:$W,12,FALSE)),"")</f>
        <v>62989003000</v>
      </c>
      <c r="P258">
        <f>IFERROR(IF(VLOOKUP($B258,Показатели!$E:$W,13,FALSE)=0,"",VLOOKUP($B258,Показатели!$E:$W,13,FALSE)),"")</f>
        <v>54568791000</v>
      </c>
      <c r="Q258">
        <f>IFERROR(IF(VLOOKUP($B258,Показатели!$E:$W,14,FALSE)=0,"",VLOOKUP($B258,Показатели!$E:$W,14,FALSE)),"")</f>
        <v>41777667000</v>
      </c>
      <c r="R258">
        <f>IFERROR(IF(VLOOKUP($B258,Показатели!$E:$W,15,FALSE)=0,"",VLOOKUP($B258,Показатели!$E:$W,15,FALSE)),"")</f>
        <v>29677364000</v>
      </c>
      <c r="S258" t="str">
        <f>IFERROR(IF(VLOOKUP($B258,Показатели!$E:$W,16,FALSE)=0,"",VLOOKUP($B258,Показатели!$E:$W,16,FALSE)),"")</f>
        <v/>
      </c>
      <c r="T258">
        <f>IFERROR(IF(VLOOKUP($B258,Показатели!$E:$W,17,FALSE)=0,"",VLOOKUP($B258,Показатели!$E:$W,17,FALSE)),"")</f>
        <v>-101384970000</v>
      </c>
      <c r="U258">
        <f>IFERROR(IF(VLOOKUP($B258,Показатели!$E:$W,18,FALSE)=0,"",VLOOKUP($B258,Показатели!$E:$W,18,FALSE)),"")</f>
        <v>248986973000</v>
      </c>
      <c r="V258">
        <f>IFERROR(IF(VLOOKUP($B258,Показатели!$E:$W,19,FALSE)=0,"",VLOOKUP($B258,Показатели!$E:$W,19,FALSE)),"")</f>
        <v>500361923000</v>
      </c>
    </row>
    <row r="259" spans="1:22" x14ac:dyDescent="0.2">
      <c r="A259" s="7" t="s">
        <v>2210</v>
      </c>
      <c r="B259" t="str">
        <f t="shared" ref="B259:B322" si="4">A259&amp;" "&amp;
"IV"
&amp;" кв. "&amp;C259</f>
        <v>MSRS IV кв. 2024</v>
      </c>
      <c r="C259">
        <v>2024</v>
      </c>
      <c r="D259">
        <f>SUMIFS(Дивиденды!$C:$C,Дивиденды!$A:$A,A259,Дивиденды!$I:$I,C259)</f>
        <v>0.15</v>
      </c>
      <c r="E259">
        <f>IFERROR(IF(VLOOKUP($B259,Показатели!$E:$W,2,FALSE)=0,"",VLOOKUP($B259,Показатели!$E:$W,2,FALSE)),"")</f>
        <v>17707412000</v>
      </c>
      <c r="F259">
        <f>IFERROR(IF(VLOOKUP($B259,Показатели!$E:$W,3,FALSE)=0,"",VLOOKUP($B259,Показатели!$E:$W,3,FALSE)),"")</f>
        <v>59112167000</v>
      </c>
      <c r="G259">
        <f>IFERROR(IF(VLOOKUP($B259,Показатели!$E:$W,4,FALSE)=0,"",VLOOKUP($B259,Показатели!$E:$W,4,FALSE)),"")</f>
        <v>424415017000</v>
      </c>
      <c r="H259">
        <f>IFERROR(IF(VLOOKUP($B259,Показатели!$E:$W,5,FALSE)=0,"",VLOOKUP($B259,Показатели!$E:$W,5,FALSE)),"")</f>
        <v>6239870000</v>
      </c>
      <c r="I259">
        <f>IFERROR(IF(VLOOKUP($B259,Показатели!$E:$W,6,FALSE)=0,"",VLOOKUP($B259,Показатели!$E:$W,6,FALSE)),"")</f>
        <v>500361923000</v>
      </c>
      <c r="J259">
        <f>IFERROR(IF(VLOOKUP($B259,Показатели!$E:$W,7,FALSE)=0,"",VLOOKUP($B259,Показатели!$E:$W,7,FALSE)),"")</f>
        <v>156740233000</v>
      </c>
      <c r="K259">
        <f>IFERROR(IF(VLOOKUP($B259,Показатели!$E:$W,8,FALSE)=0,"",VLOOKUP($B259,Показатели!$E:$W,8,FALSE)),"")</f>
        <v>120430411000</v>
      </c>
      <c r="L259">
        <f>IFERROR(IF(VLOOKUP($B259,Показатели!$E:$W,9,FALSE)=0,"",VLOOKUP($B259,Показатели!$E:$W,9,FALSE)),"")</f>
        <v>198837733000</v>
      </c>
      <c r="M259">
        <f>IFERROR(IF(VLOOKUP($B259,Показатели!$E:$W,10,FALSE)=0,"",VLOOKUP($B259,Показатели!$E:$W,10,FALSE)),"")</f>
        <v>223191279000</v>
      </c>
      <c r="N259">
        <f>IFERROR(IF(VLOOKUP($B259,Показатели!$E:$W,11,FALSE)=0,"",VLOOKUP($B259,Показатели!$E:$W,11,FALSE)),"")</f>
        <v>248986973000</v>
      </c>
      <c r="O259">
        <f>IFERROR(IF(VLOOKUP($B259,Показатели!$E:$W,12,FALSE)=0,"",VLOOKUP($B259,Показатели!$E:$W,12,FALSE)),"")</f>
        <v>26035192000</v>
      </c>
      <c r="P259">
        <f>IFERROR(IF(VLOOKUP($B259,Показатели!$E:$W,13,FALSE)=0,"",VLOOKUP($B259,Показатели!$E:$W,13,FALSE)),"")</f>
        <v>21722735000</v>
      </c>
      <c r="Q259">
        <f>IFERROR(IF(VLOOKUP($B259,Показатели!$E:$W,14,FALSE)=0,"",VLOOKUP($B259,Показатели!$E:$W,14,FALSE)),"")</f>
        <v>13568351000</v>
      </c>
      <c r="R259">
        <f>IFERROR(IF(VLOOKUP($B259,Показатели!$E:$W,15,FALSE)=0,"",VLOOKUP($B259,Показатели!$E:$W,15,FALSE)),"")</f>
        <v>27202504000</v>
      </c>
      <c r="S259">
        <f>IFERROR(IF(VLOOKUP($B259,Показатели!$E:$W,16,FALSE)=0,"",VLOOKUP($B259,Показатели!$E:$W,16,FALSE)),"")</f>
        <v>76296740000</v>
      </c>
      <c r="T259">
        <f>IFERROR(IF(VLOOKUP($B259,Показатели!$E:$W,17,FALSE)=0,"",VLOOKUP($B259,Показатели!$E:$W,17,FALSE)),"")</f>
        <v>-79485553000</v>
      </c>
      <c r="U259">
        <f>IFERROR(IF(VLOOKUP($B259,Показатели!$E:$W,18,FALSE)=0,"",VLOOKUP($B259,Показатели!$E:$W,18,FALSE)),"")</f>
        <v>229309394000</v>
      </c>
      <c r="V259">
        <f>IFERROR(IF(VLOOKUP($B259,Показатели!$E:$W,19,FALSE)=0,"",VLOOKUP($B259,Показатели!$E:$W,19,FALSE)),"")</f>
        <v>418567675000</v>
      </c>
    </row>
    <row r="260" spans="1:22" x14ac:dyDescent="0.2">
      <c r="A260" s="7" t="s">
        <v>2210</v>
      </c>
      <c r="B260" t="str">
        <f t="shared" si="4"/>
        <v>MSRS IV кв. 2023</v>
      </c>
      <c r="C260">
        <v>2023</v>
      </c>
      <c r="D260">
        <f>SUMIFS(Дивиденды!$C:$C,Дивиденды!$A:$A,A260,Дивиденды!$I:$I,C260)</f>
        <v>0.14000000000000001</v>
      </c>
      <c r="E260">
        <f>IFERROR(IF(VLOOKUP($B260,Показатели!$E:$W,2,FALSE)=0,"",VLOOKUP($B260,Показатели!$E:$W,2,FALSE)),"")</f>
        <v>5269540000</v>
      </c>
      <c r="F260">
        <f>IFERROR(IF(VLOOKUP($B260,Показатели!$E:$W,3,FALSE)=0,"",VLOOKUP($B260,Показатели!$E:$W,3,FALSE)),"")</f>
        <v>38004533000</v>
      </c>
      <c r="G260">
        <f>IFERROR(IF(VLOOKUP($B260,Показатели!$E:$W,4,FALSE)=0,"",VLOOKUP($B260,Показатели!$E:$W,4,FALSE)),"")</f>
        <v>364835222000</v>
      </c>
      <c r="H260">
        <f>IFERROR(IF(VLOOKUP($B260,Показатели!$E:$W,5,FALSE)=0,"",VLOOKUP($B260,Показатели!$E:$W,5,FALSE)),"")</f>
        <v>6808795000</v>
      </c>
      <c r="I260">
        <f>IFERROR(IF(VLOOKUP($B260,Показатели!$E:$W,6,FALSE)=0,"",VLOOKUP($B260,Показатели!$E:$W,6,FALSE)),"")</f>
        <v>418567675000</v>
      </c>
      <c r="J260">
        <f>IFERROR(IF(VLOOKUP($B260,Показатели!$E:$W,7,FALSE)=0,"",VLOOKUP($B260,Показатели!$E:$W,7,FALSE)),"")</f>
        <v>112556221000</v>
      </c>
      <c r="K260">
        <f>IFERROR(IF(VLOOKUP($B260,Показатели!$E:$W,8,FALSE)=0,"",VLOOKUP($B260,Показатели!$E:$W,8,FALSE)),"")</f>
        <v>89738869000</v>
      </c>
      <c r="L260">
        <f>IFERROR(IF(VLOOKUP($B260,Показатели!$E:$W,9,FALSE)=0,"",VLOOKUP($B260,Показатели!$E:$W,9,FALSE)),"")</f>
        <v>191919039000</v>
      </c>
      <c r="M260">
        <f>IFERROR(IF(VLOOKUP($B260,Показатели!$E:$W,10,FALSE)=0,"",VLOOKUP($B260,Показатели!$E:$W,10,FALSE)),"")</f>
        <v>216272585000</v>
      </c>
      <c r="N260">
        <f>IFERROR(IF(VLOOKUP($B260,Показатели!$E:$W,11,FALSE)=0,"",VLOOKUP($B260,Показатели!$E:$W,11,FALSE)),"")</f>
        <v>229309394000</v>
      </c>
      <c r="O260">
        <f>IFERROR(IF(VLOOKUP($B260,Показатели!$E:$W,12,FALSE)=0,"",VLOOKUP($B260,Показатели!$E:$W,12,FALSE)),"")</f>
        <v>35123817000</v>
      </c>
      <c r="P260">
        <f>IFERROR(IF(VLOOKUP($B260,Показатели!$E:$W,13,FALSE)=0,"",VLOOKUP($B260,Показатели!$E:$W,13,FALSE)),"")</f>
        <v>34526753000</v>
      </c>
      <c r="Q260">
        <f>IFERROR(IF(VLOOKUP($B260,Показатели!$E:$W,14,FALSE)=0,"",VLOOKUP($B260,Показатели!$E:$W,14,FALSE)),"")</f>
        <v>26288777000</v>
      </c>
      <c r="R260">
        <f>IFERROR(IF(VLOOKUP($B260,Показатели!$E:$W,15,FALSE)=0,"",VLOOKUP($B260,Показатели!$E:$W,15,FALSE)),"")</f>
        <v>23772460000</v>
      </c>
      <c r="S260">
        <f>IFERROR(IF(VLOOKUP($B260,Показатели!$E:$W,16,FALSE)=0,"",VLOOKUP($B260,Показатели!$E:$W,16,FALSE)),"")</f>
        <v>59482700000</v>
      </c>
      <c r="T260">
        <f>IFERROR(IF(VLOOKUP($B260,Показатели!$E:$W,17,FALSE)=0,"",VLOOKUP($B260,Показатели!$E:$W,17,FALSE)),"")</f>
        <v>-60814269000</v>
      </c>
      <c r="U260">
        <f>IFERROR(IF(VLOOKUP($B260,Показатели!$E:$W,18,FALSE)=0,"",VLOOKUP($B260,Показатели!$E:$W,18,FALSE)),"")</f>
        <v>199664789000</v>
      </c>
      <c r="V260">
        <f>IFERROR(IF(VLOOKUP($B260,Показатели!$E:$W,19,FALSE)=0,"",VLOOKUP($B260,Показатели!$E:$W,19,FALSE)),"")</f>
        <v>388502729000</v>
      </c>
    </row>
    <row r="261" spans="1:22" x14ac:dyDescent="0.2">
      <c r="A261" s="7" t="s">
        <v>2210</v>
      </c>
      <c r="B261" t="str">
        <f t="shared" si="4"/>
        <v>MSRS IV кв. 2022</v>
      </c>
      <c r="C261">
        <v>2022</v>
      </c>
      <c r="D261">
        <f>SUMIFS(Дивиденды!$C:$C,Дивиденды!$A:$A,A261,Дивиденды!$I:$I,C261)</f>
        <v>9.7000000000000003E-2</v>
      </c>
      <c r="E261">
        <f>IFERROR(IF(VLOOKUP($B261,Показатели!$E:$W,2,FALSE)=0,"",VLOOKUP($B261,Показатели!$E:$W,2,FALSE)),"")</f>
        <v>15464193000</v>
      </c>
      <c r="F261">
        <f>IFERROR(IF(VLOOKUP($B261,Показатели!$E:$W,3,FALSE)=0,"",VLOOKUP($B261,Показатели!$E:$W,3,FALSE)),"")</f>
        <v>47168399000</v>
      </c>
      <c r="G261">
        <f>IFERROR(IF(VLOOKUP($B261,Показатели!$E:$W,4,FALSE)=0,"",VLOOKUP($B261,Показатели!$E:$W,4,FALSE)),"")</f>
        <v>328040963000</v>
      </c>
      <c r="H261">
        <f>IFERROR(IF(VLOOKUP($B261,Показатели!$E:$W,5,FALSE)=0,"",VLOOKUP($B261,Показатели!$E:$W,5,FALSE)),"")</f>
        <v>5981780000</v>
      </c>
      <c r="I261">
        <f>IFERROR(IF(VLOOKUP($B261,Показатели!$E:$W,6,FALSE)=0,"",VLOOKUP($B261,Показатели!$E:$W,6,FALSE)),"")</f>
        <v>388502729000</v>
      </c>
      <c r="J261">
        <f>IFERROR(IF(VLOOKUP($B261,Показатели!$E:$W,7,FALSE)=0,"",VLOOKUP($B261,Показатели!$E:$W,7,FALSE)),"")</f>
        <v>125808579000</v>
      </c>
      <c r="K261">
        <f>IFERROR(IF(VLOOKUP($B261,Показатели!$E:$W,8,FALSE)=0,"",VLOOKUP($B261,Показатели!$E:$W,8,FALSE)),"")</f>
        <v>72350974000</v>
      </c>
      <c r="L261">
        <f>IFERROR(IF(VLOOKUP($B261,Показатели!$E:$W,9,FALSE)=0,"",VLOOKUP($B261,Показатели!$E:$W,9,FALSE)),"")</f>
        <v>165989630000</v>
      </c>
      <c r="M261">
        <f>IFERROR(IF(VLOOKUP($B261,Показатели!$E:$W,10,FALSE)=0,"",VLOOKUP($B261,Показатели!$E:$W,10,FALSE)),"")</f>
        <v>190343176000</v>
      </c>
      <c r="N261">
        <f>IFERROR(IF(VLOOKUP($B261,Показатели!$E:$W,11,FALSE)=0,"",VLOOKUP($B261,Показатели!$E:$W,11,FALSE)),"")</f>
        <v>199664789000</v>
      </c>
      <c r="O261">
        <f>IFERROR(IF(VLOOKUP($B261,Показатели!$E:$W,12,FALSE)=0,"",VLOOKUP($B261,Показатели!$E:$W,12,FALSE)),"")</f>
        <v>19263631000</v>
      </c>
      <c r="P261">
        <f>IFERROR(IF(VLOOKUP($B261,Показатели!$E:$W,13,FALSE)=0,"",VLOOKUP($B261,Показатели!$E:$W,13,FALSE)),"")</f>
        <v>17229016000</v>
      </c>
      <c r="Q261">
        <f>IFERROR(IF(VLOOKUP($B261,Показатели!$E:$W,14,FALSE)=0,"",VLOOKUP($B261,Показатели!$E:$W,14,FALSE)),"")</f>
        <v>13451169000</v>
      </c>
      <c r="R261">
        <f>IFERROR(IF(VLOOKUP($B261,Показатели!$E:$W,15,FALSE)=0,"",VLOOKUP($B261,Показатели!$E:$W,15,FALSE)),"")</f>
        <v>23849531000</v>
      </c>
      <c r="S261" t="str">
        <f>IFERROR(IF(VLOOKUP($B261,Показатели!$E:$W,16,FALSE)=0,"",VLOOKUP($B261,Показатели!$E:$W,16,FALSE)),"")</f>
        <v/>
      </c>
      <c r="T261">
        <f>IFERROR(IF(VLOOKUP($B261,Показатели!$E:$W,17,FALSE)=0,"",VLOOKUP($B261,Показатели!$E:$W,17,FALSE)),"")</f>
        <v>-41166506000</v>
      </c>
      <c r="U261">
        <f>IFERROR(IF(VLOOKUP($B261,Показатели!$E:$W,18,FALSE)=0,"",VLOOKUP($B261,Показатели!$E:$W,18,FALSE)),"")</f>
        <v>184705502000</v>
      </c>
      <c r="V261">
        <f>IFERROR(IF(VLOOKUP($B261,Показатели!$E:$W,19,FALSE)=0,"",VLOOKUP($B261,Показатели!$E:$W,19,FALSE)),"")</f>
        <v>382384888000</v>
      </c>
    </row>
    <row r="262" spans="1:22" x14ac:dyDescent="0.2">
      <c r="A262" s="7" t="s">
        <v>2210</v>
      </c>
      <c r="B262" t="str">
        <f t="shared" si="4"/>
        <v>MSRS IV кв. 2021</v>
      </c>
      <c r="C262">
        <v>2021</v>
      </c>
      <c r="D262">
        <f>SUMIFS(Дивиденды!$C:$C,Дивиденды!$A:$A,A262,Дивиденды!$I:$I,C262)</f>
        <v>9.5000000000000001E-2</v>
      </c>
      <c r="E262">
        <f>IFERROR(IF(VLOOKUP($B262,Показатели!$E:$W,2,FALSE)=0,"",VLOOKUP($B262,Показатели!$E:$W,2,FALSE)),"")</f>
        <v>10654224000</v>
      </c>
      <c r="F262">
        <f>IFERROR(IF(VLOOKUP($B262,Показатели!$E:$W,3,FALSE)=0,"",VLOOKUP($B262,Показатели!$E:$W,3,FALSE)),"")</f>
        <v>38407099000</v>
      </c>
      <c r="G262">
        <f>IFERROR(IF(VLOOKUP($B262,Показатели!$E:$W,4,FALSE)=0,"",VLOOKUP($B262,Показатели!$E:$W,4,FALSE)),"")</f>
        <v>331683107000</v>
      </c>
      <c r="H262">
        <f>IFERROR(IF(VLOOKUP($B262,Показатели!$E:$W,5,FALSE)=0,"",VLOOKUP($B262,Показатели!$E:$W,5,FALSE)),"")</f>
        <v>5524779000</v>
      </c>
      <c r="I262">
        <f>IFERROR(IF(VLOOKUP($B262,Показатели!$E:$W,6,FALSE)=0,"",VLOOKUP($B262,Показатели!$E:$W,6,FALSE)),"")</f>
        <v>382384888000</v>
      </c>
      <c r="J262">
        <f>IFERROR(IF(VLOOKUP($B262,Показатели!$E:$W,7,FALSE)=0,"",VLOOKUP($B262,Показатели!$E:$W,7,FALSE)),"")</f>
        <v>92273011000</v>
      </c>
      <c r="K262">
        <f>IFERROR(IF(VLOOKUP($B262,Показатели!$E:$W,8,FALSE)=0,"",VLOOKUP($B262,Показатели!$E:$W,8,FALSE)),"")</f>
        <v>104521754000</v>
      </c>
      <c r="L262">
        <f>IFERROR(IF(VLOOKUP($B262,Показатели!$E:$W,9,FALSE)=0,"",VLOOKUP($B262,Показатели!$E:$W,9,FALSE)),"")</f>
        <v>161236577000</v>
      </c>
      <c r="M262">
        <f>IFERROR(IF(VLOOKUP($B262,Показатели!$E:$W,10,FALSE)=0,"",VLOOKUP($B262,Показатели!$E:$W,10,FALSE)),"")</f>
        <v>185590123000</v>
      </c>
      <c r="N262">
        <f>IFERROR(IF(VLOOKUP($B262,Показатели!$E:$W,11,FALSE)=0,"",VLOOKUP($B262,Показатели!$E:$W,11,FALSE)),"")</f>
        <v>184705502000</v>
      </c>
      <c r="O262">
        <f>IFERROR(IF(VLOOKUP($B262,Показатели!$E:$W,12,FALSE)=0,"",VLOOKUP($B262,Показатели!$E:$W,12,FALSE)),"")</f>
        <v>17109043000</v>
      </c>
      <c r="P262">
        <f>IFERROR(IF(VLOOKUP($B262,Показатели!$E:$W,13,FALSE)=0,"",VLOOKUP($B262,Показатели!$E:$W,13,FALSE)),"")</f>
        <v>13864368000</v>
      </c>
      <c r="Q262">
        <f>IFERROR(IF(VLOOKUP($B262,Показатели!$E:$W,14,FALSE)=0,"",VLOOKUP($B262,Показатели!$E:$W,14,FALSE)),"")</f>
        <v>10457730000</v>
      </c>
      <c r="R262">
        <f>IFERROR(IF(VLOOKUP($B262,Показатели!$E:$W,15,FALSE)=0,"",VLOOKUP($B262,Показатели!$E:$W,15,FALSE)),"")</f>
        <v>23159939000</v>
      </c>
      <c r="S262">
        <f>IFERROR(IF(VLOOKUP($B262,Показатели!$E:$W,16,FALSE)=0,"",VLOOKUP($B262,Показатели!$E:$W,16,FALSE)),"")</f>
        <v>40500084000</v>
      </c>
      <c r="T262">
        <f>IFERROR(IF(VLOOKUP($B262,Показатели!$E:$W,17,FALSE)=0,"",VLOOKUP($B262,Показатели!$E:$W,17,FALSE)),"")</f>
        <v>-32734721000</v>
      </c>
      <c r="U262">
        <f>IFERROR(IF(VLOOKUP($B262,Показатели!$E:$W,18,FALSE)=0,"",VLOOKUP($B262,Показатели!$E:$W,18,FALSE)),"")</f>
        <v>164090481000</v>
      </c>
      <c r="V262">
        <f>IFERROR(IF(VLOOKUP($B262,Показатели!$E:$W,19,FALSE)=0,"",VLOOKUP($B262,Показатели!$E:$W,19,FALSE)),"")</f>
        <v>357267841000</v>
      </c>
    </row>
    <row r="263" spans="1:22" x14ac:dyDescent="0.2">
      <c r="A263" s="7" t="s">
        <v>2210</v>
      </c>
      <c r="B263" t="str">
        <f t="shared" si="4"/>
        <v>MSRS IV кв. 2020</v>
      </c>
      <c r="C263">
        <v>2020</v>
      </c>
      <c r="D263">
        <f>SUMIFS(Дивиденды!$C:$C,Дивиденды!$A:$A,A263,Дивиденды!$I:$I,C263)</f>
        <v>4.9299999999999997E-2</v>
      </c>
      <c r="E263">
        <f>IFERROR(IF(VLOOKUP($B263,Показатели!$E:$W,2,FALSE)=0,"",VLOOKUP($B263,Показатели!$E:$W,2,FALSE)),"")</f>
        <v>1335885000</v>
      </c>
      <c r="F263">
        <f>IFERROR(IF(VLOOKUP($B263,Показатели!$E:$W,3,FALSE)=0,"",VLOOKUP($B263,Показатели!$E:$W,3,FALSE)),"")</f>
        <v>26144875000</v>
      </c>
      <c r="G263">
        <f>IFERROR(IF(VLOOKUP($B263,Показатели!$E:$W,4,FALSE)=0,"",VLOOKUP($B263,Показатели!$E:$W,4,FALSE)),"")</f>
        <v>320436180000</v>
      </c>
      <c r="H263">
        <f>IFERROR(IF(VLOOKUP($B263,Показатели!$E:$W,5,FALSE)=0,"",VLOOKUP($B263,Показатели!$E:$W,5,FALSE)),"")</f>
        <v>4674085000</v>
      </c>
      <c r="I263">
        <f>IFERROR(IF(VLOOKUP($B263,Показатели!$E:$W,6,FALSE)=0,"",VLOOKUP($B263,Показатели!$E:$W,6,FALSE)),"")</f>
        <v>357267841000</v>
      </c>
      <c r="J263">
        <f>IFERROR(IF(VLOOKUP($B263,Показатели!$E:$W,7,FALSE)=0,"",VLOOKUP($B263,Показатели!$E:$W,7,FALSE)),"")</f>
        <v>62903297000</v>
      </c>
      <c r="K263">
        <f>IFERROR(IF(VLOOKUP($B263,Показатели!$E:$W,8,FALSE)=0,"",VLOOKUP($B263,Показатели!$E:$W,8,FALSE)),"")</f>
        <v>116948150000</v>
      </c>
      <c r="L263">
        <f>IFERROR(IF(VLOOKUP($B263,Показатели!$E:$W,9,FALSE)=0,"",VLOOKUP($B263,Показатели!$E:$W,9,FALSE)),"")</f>
        <v>153062848000</v>
      </c>
      <c r="M263">
        <f>IFERROR(IF(VLOOKUP($B263,Показатели!$E:$W,10,FALSE)=0,"",VLOOKUP($B263,Показатели!$E:$W,10,FALSE)),"")</f>
        <v>177416394000</v>
      </c>
      <c r="N263">
        <f>IFERROR(IF(VLOOKUP($B263,Показатели!$E:$W,11,FALSE)=0,"",VLOOKUP($B263,Показатели!$E:$W,11,FALSE)),"")</f>
        <v>164090481000</v>
      </c>
      <c r="O263">
        <f>IFERROR(IF(VLOOKUP($B263,Показатели!$E:$W,12,FALSE)=0,"",VLOOKUP($B263,Показатели!$E:$W,12,FALSE)),"")</f>
        <v>10965100000</v>
      </c>
      <c r="P263">
        <f>IFERROR(IF(VLOOKUP($B263,Показатели!$E:$W,13,FALSE)=0,"",VLOOKUP($B263,Показатели!$E:$W,13,FALSE)),"")</f>
        <v>6614260000</v>
      </c>
      <c r="Q263">
        <f>IFERROR(IF(VLOOKUP($B263,Показатели!$E:$W,14,FALSE)=0,"",VLOOKUP($B263,Показатели!$E:$W,14,FALSE)),"")</f>
        <v>4754826000</v>
      </c>
      <c r="R263">
        <f>IFERROR(IF(VLOOKUP($B263,Показатели!$E:$W,15,FALSE)=0,"",VLOOKUP($B263,Показатели!$E:$W,15,FALSE)),"")</f>
        <v>22711095000</v>
      </c>
      <c r="S263">
        <f>IFERROR(IF(VLOOKUP($B263,Показатели!$E:$W,16,FALSE)=0,"",VLOOKUP($B263,Показатели!$E:$W,16,FALSE)),"")</f>
        <v>33676000000</v>
      </c>
      <c r="T263">
        <f>IFERROR(IF(VLOOKUP($B263,Показатели!$E:$W,17,FALSE)=0,"",VLOOKUP($B263,Показатели!$E:$W,17,FALSE)),"")</f>
        <v>-28814795000</v>
      </c>
      <c r="U263">
        <f>IFERROR(IF(VLOOKUP($B263,Показатели!$E:$W,18,FALSE)=0,"",VLOOKUP($B263,Показатели!$E:$W,18,FALSE)),"")</f>
        <v>161462996000</v>
      </c>
      <c r="V263">
        <f>IFERROR(IF(VLOOKUP($B263,Показатели!$E:$W,19,FALSE)=0,"",VLOOKUP($B263,Показатели!$E:$W,19,FALSE)),"")</f>
        <v>346710892000</v>
      </c>
    </row>
    <row r="264" spans="1:22" x14ac:dyDescent="0.2">
      <c r="A264" s="7" t="s">
        <v>2210</v>
      </c>
      <c r="B264" t="str">
        <f t="shared" si="4"/>
        <v>MSRS IV кв. 2019</v>
      </c>
      <c r="C264">
        <v>2019</v>
      </c>
      <c r="D264">
        <f>SUMIFS(Дивиденды!$C:$C,Дивиденды!$A:$A,A264,Дивиденды!$I:$I,C264)</f>
        <v>6.7900000000000002E-2</v>
      </c>
      <c r="E264">
        <f>IFERROR(IF(VLOOKUP($B264,Показатели!$E:$W,2,FALSE)=0,"",VLOOKUP($B264,Показатели!$E:$W,2,FALSE)),"")</f>
        <v>1991498000</v>
      </c>
      <c r="F264">
        <f>IFERROR(IF(VLOOKUP($B264,Показатели!$E:$W,3,FALSE)=0,"",VLOOKUP($B264,Показатели!$E:$W,3,FALSE)),"")</f>
        <v>23963848000</v>
      </c>
      <c r="G264">
        <f>IFERROR(IF(VLOOKUP($B264,Показатели!$E:$W,4,FALSE)=0,"",VLOOKUP($B264,Показатели!$E:$W,4,FALSE)),"")</f>
        <v>312916945000</v>
      </c>
      <c r="H264">
        <f>IFERROR(IF(VLOOKUP($B264,Показатели!$E:$W,5,FALSE)=0,"",VLOOKUP($B264,Показатели!$E:$W,5,FALSE)),"")</f>
        <v>3614040000</v>
      </c>
      <c r="I264">
        <f>IFERROR(IF(VLOOKUP($B264,Показатели!$E:$W,6,FALSE)=0,"",VLOOKUP($B264,Показатели!$E:$W,6,FALSE)),"")</f>
        <v>346710892000</v>
      </c>
      <c r="J264">
        <f>IFERROR(IF(VLOOKUP($B264,Показатели!$E:$W,7,FALSE)=0,"",VLOOKUP($B264,Показатели!$E:$W,7,FALSE)),"")</f>
        <v>70648409000</v>
      </c>
      <c r="K264">
        <f>IFERROR(IF(VLOOKUP($B264,Показатели!$E:$W,8,FALSE)=0,"",VLOOKUP($B264,Показатели!$E:$W,8,FALSE)),"")</f>
        <v>102127226000</v>
      </c>
      <c r="L264">
        <f>IFERROR(IF(VLOOKUP($B264,Показатели!$E:$W,9,FALSE)=0,"",VLOOKUP($B264,Показатели!$E:$W,9,FALSE)),"")</f>
        <v>149581711000</v>
      </c>
      <c r="M264">
        <f>IFERROR(IF(VLOOKUP($B264,Показатели!$E:$W,10,FALSE)=0,"",VLOOKUP($B264,Показатели!$E:$W,10,FALSE)),"")</f>
        <v>173935257000</v>
      </c>
      <c r="N264">
        <f>IFERROR(IF(VLOOKUP($B264,Показатели!$E:$W,11,FALSE)=0,"",VLOOKUP($B264,Показатели!$E:$W,11,FALSE)),"")</f>
        <v>161462996000</v>
      </c>
      <c r="O264">
        <f>IFERROR(IF(VLOOKUP($B264,Показатели!$E:$W,12,FALSE)=0,"",VLOOKUP($B264,Показатели!$E:$W,12,FALSE)),"")</f>
        <v>16792940000</v>
      </c>
      <c r="P264">
        <f>IFERROR(IF(VLOOKUP($B264,Показатели!$E:$W,13,FALSE)=0,"",VLOOKUP($B264,Показатели!$E:$W,13,FALSE)),"")</f>
        <v>11705157000</v>
      </c>
      <c r="Q264">
        <f>IFERROR(IF(VLOOKUP($B264,Показатели!$E:$W,14,FALSE)=0,"",VLOOKUP($B264,Показатели!$E:$W,14,FALSE)),"")</f>
        <v>8106831000</v>
      </c>
      <c r="R264">
        <f>IFERROR(IF(VLOOKUP($B264,Показатели!$E:$W,15,FALSE)=0,"",VLOOKUP($B264,Показатели!$E:$W,15,FALSE)),"")</f>
        <v>22730245000</v>
      </c>
      <c r="S264">
        <f>IFERROR(IF(VLOOKUP($B264,Показатели!$E:$W,16,FALSE)=0,"",VLOOKUP($B264,Показатели!$E:$W,16,FALSE)),"")</f>
        <v>39970000000</v>
      </c>
      <c r="T264">
        <f>IFERROR(IF(VLOOKUP($B264,Показатели!$E:$W,17,FALSE)=0,"",VLOOKUP($B264,Показатели!$E:$W,17,FALSE)),"")</f>
        <v>-27494021000</v>
      </c>
      <c r="U264">
        <f>IFERROR(IF(VLOOKUP($B264,Показатели!$E:$W,18,FALSE)=0,"",VLOOKUP($B264,Показатели!$E:$W,18,FALSE)),"")</f>
        <v>159484659000</v>
      </c>
      <c r="V264">
        <f>IFERROR(IF(VLOOKUP($B264,Показатели!$E:$W,19,FALSE)=0,"",VLOOKUP($B264,Показатели!$E:$W,19,FALSE)),"")</f>
        <v>338100532000</v>
      </c>
    </row>
    <row r="265" spans="1:22" x14ac:dyDescent="0.2">
      <c r="A265" s="7" t="s">
        <v>2210</v>
      </c>
      <c r="B265" t="str">
        <f t="shared" si="4"/>
        <v>MSRS IV кв. 2018</v>
      </c>
      <c r="C265">
        <v>2018</v>
      </c>
      <c r="D265">
        <f>SUMIFS(Дивиденды!$C:$C,Дивиденды!$A:$A,A265,Дивиденды!$I:$I,C265)</f>
        <v>5.8999999999999997E-2</v>
      </c>
      <c r="E265">
        <f>IFERROR(IF(VLOOKUP($B265,Показатели!$E:$W,2,FALSE)=0,"",VLOOKUP($B265,Показатели!$E:$W,2,FALSE)),"")</f>
        <v>7093564000</v>
      </c>
      <c r="F265">
        <f>IFERROR(IF(VLOOKUP($B265,Показатели!$E:$W,3,FALSE)=0,"",VLOOKUP($B265,Показатели!$E:$W,3,FALSE)),"")</f>
        <v>26956961000</v>
      </c>
      <c r="G265">
        <f>IFERROR(IF(VLOOKUP($B265,Показатели!$E:$W,4,FALSE)=0,"",VLOOKUP($B265,Показатели!$E:$W,4,FALSE)),"")</f>
        <v>305232690000</v>
      </c>
      <c r="H265">
        <f>IFERROR(IF(VLOOKUP($B265,Показатели!$E:$W,5,FALSE)=0,"",VLOOKUP($B265,Показатели!$E:$W,5,FALSE)),"")</f>
        <v>3618124000</v>
      </c>
      <c r="I265">
        <f>IFERROR(IF(VLOOKUP($B265,Показатели!$E:$W,6,FALSE)=0,"",VLOOKUP($B265,Показатели!$E:$W,6,FALSE)),"")</f>
        <v>338100532000</v>
      </c>
      <c r="J265">
        <f>IFERROR(IF(VLOOKUP($B265,Показатели!$E:$W,7,FALSE)=0,"",VLOOKUP($B265,Показатели!$E:$W,7,FALSE)),"")</f>
        <v>68942562000</v>
      </c>
      <c r="K265">
        <f>IFERROR(IF(VLOOKUP($B265,Показатели!$E:$W,8,FALSE)=0,"",VLOOKUP($B265,Показатели!$E:$W,8,FALSE)),"")</f>
        <v>97751832000</v>
      </c>
      <c r="L265">
        <f>IFERROR(IF(VLOOKUP($B265,Показатели!$E:$W,9,FALSE)=0,"",VLOOKUP($B265,Показатели!$E:$W,9,FALSE)),"")</f>
        <v>147052592000</v>
      </c>
      <c r="M265">
        <f>IFERROR(IF(VLOOKUP($B265,Показатели!$E:$W,10,FALSE)=0,"",VLOOKUP($B265,Показатели!$E:$W,10,FALSE)),"")</f>
        <v>171406138000</v>
      </c>
      <c r="N265">
        <f>IFERROR(IF(VLOOKUP($B265,Показатели!$E:$W,11,FALSE)=0,"",VLOOKUP($B265,Показатели!$E:$W,11,FALSE)),"")</f>
        <v>159484659000</v>
      </c>
      <c r="O265">
        <f>IFERROR(IF(VLOOKUP($B265,Показатели!$E:$W,12,FALSE)=0,"",VLOOKUP($B265,Показатели!$E:$W,12,FALSE)),"")</f>
        <v>16782208000</v>
      </c>
      <c r="P265">
        <f>IFERROR(IF(VLOOKUP($B265,Показатели!$E:$W,13,FALSE)=0,"",VLOOKUP($B265,Показатели!$E:$W,13,FALSE)),"")</f>
        <v>11244794000</v>
      </c>
      <c r="Q265">
        <f>IFERROR(IF(VLOOKUP($B265,Показатели!$E:$W,14,FALSE)=0,"",VLOOKUP($B265,Показатели!$E:$W,14,FALSE)),"")</f>
        <v>6586499000</v>
      </c>
      <c r="R265">
        <f>IFERROR(IF(VLOOKUP($B265,Показатели!$E:$W,15,FALSE)=0,"",VLOOKUP($B265,Показатели!$E:$W,15,FALSE)),"")</f>
        <v>20910577000</v>
      </c>
      <c r="S265" t="str">
        <f>IFERROR(IF(VLOOKUP($B265,Показатели!$E:$W,16,FALSE)=0,"",VLOOKUP($B265,Показатели!$E:$W,16,FALSE)),"")</f>
        <v/>
      </c>
      <c r="T265">
        <f>IFERROR(IF(VLOOKUP($B265,Показатели!$E:$W,17,FALSE)=0,"",VLOOKUP($B265,Показатели!$E:$W,17,FALSE)),"")</f>
        <v>-24276063000</v>
      </c>
      <c r="U265">
        <f>IFERROR(IF(VLOOKUP($B265,Показатели!$E:$W,18,FALSE)=0,"",VLOOKUP($B265,Показатели!$E:$W,18,FALSE)),"")</f>
        <v>150494410000</v>
      </c>
      <c r="V265">
        <f>IFERROR(IF(VLOOKUP($B265,Показатели!$E:$W,19,FALSE)=0,"",VLOOKUP($B265,Показатели!$E:$W,19,FALSE)),"")</f>
        <v>339052891000</v>
      </c>
    </row>
    <row r="266" spans="1:22" x14ac:dyDescent="0.2">
      <c r="A266" s="7" t="s">
        <v>2210</v>
      </c>
      <c r="B266" t="str">
        <f t="shared" si="4"/>
        <v>MSRS IV кв. 2017</v>
      </c>
      <c r="C266">
        <v>2017</v>
      </c>
      <c r="D266">
        <f>SUMIFS(Дивиденды!$C:$C,Дивиденды!$A:$A,A266,Дивиденды!$I:$I,C266)</f>
        <v>3.1600000000000003E-2</v>
      </c>
      <c r="E266">
        <f>IFERROR(IF(VLOOKUP($B266,Показатели!$E:$W,2,FALSE)=0,"",VLOOKUP($B266,Показатели!$E:$W,2,FALSE)),"")</f>
        <v>721624000</v>
      </c>
      <c r="F266">
        <f>IFERROR(IF(VLOOKUP($B266,Показатели!$E:$W,3,FALSE)=0,"",VLOOKUP($B266,Показатели!$E:$W,3,FALSE)),"")</f>
        <v>27169300000</v>
      </c>
      <c r="G266">
        <f>IFERROR(IF(VLOOKUP($B266,Показатели!$E:$W,4,FALSE)=0,"",VLOOKUP($B266,Показатели!$E:$W,4,FALSE)),"")</f>
        <v>306856984000</v>
      </c>
      <c r="H266">
        <f>IFERROR(IF(VLOOKUP($B266,Показатели!$E:$W,5,FALSE)=0,"",VLOOKUP($B266,Показатели!$E:$W,5,FALSE)),"")</f>
        <v>3045069000</v>
      </c>
      <c r="I266">
        <f>IFERROR(IF(VLOOKUP($B266,Показатели!$E:$W,6,FALSE)=0,"",VLOOKUP($B266,Показатели!$E:$W,6,FALSE)),"")</f>
        <v>339052891000</v>
      </c>
      <c r="J266">
        <f>IFERROR(IF(VLOOKUP($B266,Показатели!$E:$W,7,FALSE)=0,"",VLOOKUP($B266,Показатели!$E:$W,7,FALSE)),"")</f>
        <v>55257265000</v>
      </c>
      <c r="K266">
        <f>IFERROR(IF(VLOOKUP($B266,Показатели!$E:$W,8,FALSE)=0,"",VLOOKUP($B266,Показатели!$E:$W,8,FALSE)),"")</f>
        <v>110252518000</v>
      </c>
      <c r="L266">
        <f>IFERROR(IF(VLOOKUP($B266,Показатели!$E:$W,9,FALSE)=0,"",VLOOKUP($B266,Показатели!$E:$W,9,FALSE)),"")</f>
        <v>149189562000</v>
      </c>
      <c r="M266">
        <f>IFERROR(IF(VLOOKUP($B266,Показатели!$E:$W,10,FALSE)=0,"",VLOOKUP($B266,Показатели!$E:$W,10,FALSE)),"")</f>
        <v>173543108000</v>
      </c>
      <c r="N266">
        <f>IFERROR(IF(VLOOKUP($B266,Показатели!$E:$W,11,FALSE)=0,"",VLOOKUP($B266,Показатели!$E:$W,11,FALSE)),"")</f>
        <v>150494410000</v>
      </c>
      <c r="O266">
        <f>IFERROR(IF(VLOOKUP($B266,Показатели!$E:$W,12,FALSE)=0,"",VLOOKUP($B266,Показатели!$E:$W,12,FALSE)),"")</f>
        <v>9610250000</v>
      </c>
      <c r="P266">
        <f>IFERROR(IF(VLOOKUP($B266,Показатели!$E:$W,13,FALSE)=0,"",VLOOKUP($B266,Показатели!$E:$W,13,FALSE)),"")</f>
        <v>3947008000</v>
      </c>
      <c r="Q266">
        <f>IFERROR(IF(VLOOKUP($B266,Показатели!$E:$W,14,FALSE)=0,"",VLOOKUP($B266,Показатели!$E:$W,14,FALSE)),"")</f>
        <v>3080975000</v>
      </c>
      <c r="R266">
        <f>IFERROR(IF(VLOOKUP($B266,Показатели!$E:$W,15,FALSE)=0,"",VLOOKUP($B266,Показатели!$E:$W,15,FALSE)),"")</f>
        <v>20847851000</v>
      </c>
      <c r="S266">
        <f>IFERROR(IF(VLOOKUP($B266,Показатели!$E:$W,16,FALSE)=0,"",VLOOKUP($B266,Показатели!$E:$W,16,FALSE)),"")</f>
        <v>40415000000</v>
      </c>
      <c r="T266">
        <f>IFERROR(IF(VLOOKUP($B266,Показатели!$E:$W,17,FALSE)=0,"",VLOOKUP($B266,Показатели!$E:$W,17,FALSE)),"")</f>
        <v>-27051493000</v>
      </c>
      <c r="U266">
        <f>IFERROR(IF(VLOOKUP($B266,Показатели!$E:$W,18,FALSE)=0,"",VLOOKUP($B266,Показатели!$E:$W,18,FALSE)),"")</f>
        <v>143353717000</v>
      </c>
      <c r="V266">
        <f>IFERROR(IF(VLOOKUP($B266,Показатели!$E:$W,19,FALSE)=0,"",VLOOKUP($B266,Показатели!$E:$W,19,FALSE)),"")</f>
        <v>338515648000</v>
      </c>
    </row>
    <row r="267" spans="1:22" x14ac:dyDescent="0.2">
      <c r="A267" s="7" t="s">
        <v>2210</v>
      </c>
      <c r="B267" t="str">
        <f t="shared" si="4"/>
        <v>MSRS IV кв. 2016</v>
      </c>
      <c r="C267">
        <v>2016</v>
      </c>
      <c r="D267">
        <f>SUMIFS(Дивиденды!$C:$C,Дивиденды!$A:$A,A267,Дивиденды!$I:$I,C267)</f>
        <v>3.1199999999999999E-2</v>
      </c>
      <c r="E267">
        <f>IFERROR(IF(VLOOKUP($B267,Показатели!$E:$W,2,FALSE)=0,"",VLOOKUP($B267,Показатели!$E:$W,2,FALSE)),"")</f>
        <v>784507000</v>
      </c>
      <c r="F267">
        <f>IFERROR(IF(VLOOKUP($B267,Показатели!$E:$W,3,FALSE)=0,"",VLOOKUP($B267,Показатели!$E:$W,3,FALSE)),"")</f>
        <v>28542417000</v>
      </c>
      <c r="G267">
        <f>IFERROR(IF(VLOOKUP($B267,Показатели!$E:$W,4,FALSE)=0,"",VLOOKUP($B267,Показатели!$E:$W,4,FALSE)),"")</f>
        <v>303383007000</v>
      </c>
      <c r="H267" t="str">
        <f>IFERROR(IF(VLOOKUP($B267,Показатели!$E:$W,5,FALSE)=0,"",VLOOKUP($B267,Показатели!$E:$W,5,FALSE)),"")</f>
        <v/>
      </c>
      <c r="I267">
        <f>IFERROR(IF(VLOOKUP($B267,Показатели!$E:$W,6,FALSE)=0,"",VLOOKUP($B267,Показатели!$E:$W,6,FALSE)),"")</f>
        <v>338515648000</v>
      </c>
      <c r="J267">
        <f>IFERROR(IF(VLOOKUP($B267,Показатели!$E:$W,7,FALSE)=0,"",VLOOKUP($B267,Показатели!$E:$W,7,FALSE)),"")</f>
        <v>72053383000</v>
      </c>
      <c r="K267">
        <f>IFERROR(IF(VLOOKUP($B267,Показатели!$E:$W,8,FALSE)=0,"",VLOOKUP($B267,Показатели!$E:$W,8,FALSE)),"")</f>
        <v>93896851000</v>
      </c>
      <c r="L267">
        <f>IFERROR(IF(VLOOKUP($B267,Показатели!$E:$W,9,FALSE)=0,"",VLOOKUP($B267,Показатели!$E:$W,9,FALSE)),"")</f>
        <v>129630980000</v>
      </c>
      <c r="M267">
        <f>IFERROR(IF(VLOOKUP($B267,Показатели!$E:$W,10,FALSE)=0,"",VLOOKUP($B267,Показатели!$E:$W,10,FALSE)),"")</f>
        <v>172565414000</v>
      </c>
      <c r="N267">
        <f>IFERROR(IF(VLOOKUP($B267,Показатели!$E:$W,11,FALSE)=0,"",VLOOKUP($B267,Показатели!$E:$W,11,FALSE)),"")</f>
        <v>143353717000</v>
      </c>
      <c r="O267">
        <f>IFERROR(IF(VLOOKUP($B267,Показатели!$E:$W,12,FALSE)=0,"",VLOOKUP($B267,Показатели!$E:$W,12,FALSE)),"")</f>
        <v>16286728000</v>
      </c>
      <c r="P267">
        <f>IFERROR(IF(VLOOKUP($B267,Показатели!$E:$W,13,FALSE)=0,"",VLOOKUP($B267,Показатели!$E:$W,13,FALSE)),"")</f>
        <v>10269952000</v>
      </c>
      <c r="Q267">
        <f>IFERROR(IF(VLOOKUP($B267,Показатели!$E:$W,14,FALSE)=0,"",VLOOKUP($B267,Показатели!$E:$W,14,FALSE)),"")</f>
        <v>9394691000</v>
      </c>
      <c r="R267" t="str">
        <f>IFERROR(IF(VLOOKUP($B267,Показатели!$E:$W,15,FALSE)=0,"",VLOOKUP($B267,Показатели!$E:$W,15,FALSE)),"")</f>
        <v/>
      </c>
      <c r="S267">
        <f>IFERROR(IF(VLOOKUP($B267,Показатели!$E:$W,16,FALSE)=0,"",VLOOKUP($B267,Показатели!$E:$W,16,FALSE)),"")</f>
        <v>37850000000</v>
      </c>
      <c r="T267" t="str">
        <f>IFERROR(IF(VLOOKUP($B267,Показатели!$E:$W,17,FALSE)=0,"",VLOOKUP($B267,Показатели!$E:$W,17,FALSE)),"")</f>
        <v/>
      </c>
      <c r="U267">
        <f>IFERROR(IF(VLOOKUP($B267,Показатели!$E:$W,18,FALSE)=0,"",VLOOKUP($B267,Показатели!$E:$W,18,FALSE)),"")</f>
        <v>132355657000</v>
      </c>
      <c r="V267">
        <f>IFERROR(IF(VLOOKUP($B267,Показатели!$E:$W,19,FALSE)=0,"",VLOOKUP($B267,Показатели!$E:$W,19,FALSE)),"")</f>
        <v>325617907000</v>
      </c>
    </row>
    <row r="268" spans="1:22" x14ac:dyDescent="0.2">
      <c r="A268" s="7" t="s">
        <v>2210</v>
      </c>
      <c r="B268" t="str">
        <f t="shared" si="4"/>
        <v>MSRS IV кв. 2015</v>
      </c>
      <c r="C268">
        <v>2015</v>
      </c>
      <c r="D268">
        <f>SUMIFS(Дивиденды!$C:$C,Дивиденды!$A:$A,A268,Дивиденды!$I:$I,C268)</f>
        <v>0.13</v>
      </c>
      <c r="E268">
        <f>IFERROR(IF(VLOOKUP($B268,Показатели!$E:$W,2,FALSE)=0,"",VLOOKUP($B268,Показатели!$E:$W,2,FALSE)),"")</f>
        <v>400645000</v>
      </c>
      <c r="F268">
        <f>IFERROR(IF(VLOOKUP($B268,Показатели!$E:$W,3,FALSE)=0,"",VLOOKUP($B268,Показатели!$E:$W,3,FALSE)),"")</f>
        <v>29148955000</v>
      </c>
      <c r="G268">
        <f>IFERROR(IF(VLOOKUP($B268,Показатели!$E:$W,4,FALSE)=0,"",VLOOKUP($B268,Показатели!$E:$W,4,FALSE)),"")</f>
        <v>289911674000</v>
      </c>
      <c r="H268" t="str">
        <f>IFERROR(IF(VLOOKUP($B268,Показатели!$E:$W,5,FALSE)=0,"",VLOOKUP($B268,Показатели!$E:$W,5,FALSE)),"")</f>
        <v/>
      </c>
      <c r="I268">
        <f>IFERROR(IF(VLOOKUP($B268,Показатели!$E:$W,6,FALSE)=0,"",VLOOKUP($B268,Показатели!$E:$W,6,FALSE)),"")</f>
        <v>325617907000</v>
      </c>
      <c r="J268">
        <f>IFERROR(IF(VLOOKUP($B268,Показатели!$E:$W,7,FALSE)=0,"",VLOOKUP($B268,Показатели!$E:$W,7,FALSE)),"")</f>
        <v>61792205000</v>
      </c>
      <c r="K268">
        <f>IFERROR(IF(VLOOKUP($B268,Показатели!$E:$W,8,FALSE)=0,"",VLOOKUP($B268,Показатели!$E:$W,8,FALSE)),"")</f>
        <v>94592997000</v>
      </c>
      <c r="L268">
        <f>IFERROR(IF(VLOOKUP($B268,Показатели!$E:$W,9,FALSE)=0,"",VLOOKUP($B268,Показатели!$E:$W,9,FALSE)),"")</f>
        <v>126298271000</v>
      </c>
      <c r="M268">
        <f>IFERROR(IF(VLOOKUP($B268,Показатели!$E:$W,10,FALSE)=0,"",VLOOKUP($B268,Показатели!$E:$W,10,FALSE)),"")</f>
        <v>169232705000</v>
      </c>
      <c r="N268">
        <f>IFERROR(IF(VLOOKUP($B268,Показатели!$E:$W,11,FALSE)=0,"",VLOOKUP($B268,Показатели!$E:$W,11,FALSE)),"")</f>
        <v>132355657000</v>
      </c>
      <c r="O268">
        <f>IFERROR(IF(VLOOKUP($B268,Показатели!$E:$W,12,FALSE)=0,"",VLOOKUP($B268,Показатели!$E:$W,12,FALSE)),"")</f>
        <v>23898222000</v>
      </c>
      <c r="P268">
        <f>IFERROR(IF(VLOOKUP($B268,Показатели!$E:$W,13,FALSE)=0,"",VLOOKUP($B268,Показатели!$E:$W,13,FALSE)),"")</f>
        <v>19640443000</v>
      </c>
      <c r="Q268">
        <f>IFERROR(IF(VLOOKUP($B268,Показатели!$E:$W,14,FALSE)=0,"",VLOOKUP($B268,Показатели!$E:$W,14,FALSE)),"")</f>
        <v>12630793000</v>
      </c>
      <c r="R268" t="str">
        <f>IFERROR(IF(VLOOKUP($B268,Показатели!$E:$W,15,FALSE)=0,"",VLOOKUP($B268,Показатели!$E:$W,15,FALSE)),"")</f>
        <v/>
      </c>
      <c r="S268">
        <f>IFERROR(IF(VLOOKUP($B268,Показатели!$E:$W,16,FALSE)=0,"",VLOOKUP($B268,Показатели!$E:$W,16,FALSE)),"")</f>
        <v>44668000000</v>
      </c>
      <c r="T268" t="str">
        <f>IFERROR(IF(VLOOKUP($B268,Показатели!$E:$W,17,FALSE)=0,"",VLOOKUP($B268,Показатели!$E:$W,17,FALSE)),"")</f>
        <v/>
      </c>
      <c r="U268">
        <f>IFERROR(IF(VLOOKUP($B268,Показатели!$E:$W,18,FALSE)=0,"",VLOOKUP($B268,Показатели!$E:$W,18,FALSE)),"")</f>
        <v>128018249000</v>
      </c>
      <c r="V268">
        <f>IFERROR(IF(VLOOKUP($B268,Показатели!$E:$W,19,FALSE)=0,"",VLOOKUP($B268,Показатели!$E:$W,19,FALSE)),"")</f>
        <v>310583387000</v>
      </c>
    </row>
    <row r="269" spans="1:22" x14ac:dyDescent="0.2">
      <c r="A269" s="7" t="s">
        <v>2210</v>
      </c>
      <c r="B269" t="str">
        <f t="shared" si="4"/>
        <v>MSRS IV кв. 2014</v>
      </c>
      <c r="C269">
        <v>2014</v>
      </c>
      <c r="D269">
        <f>SUMIFS(Дивиденды!$C:$C,Дивиденды!$A:$A,A269,Дивиденды!$I:$I,C269)</f>
        <v>4.2200000000000001E-2</v>
      </c>
      <c r="E269">
        <f>IFERROR(IF(VLOOKUP($B269,Показатели!$E:$W,2,FALSE)=0,"",VLOOKUP($B269,Показатели!$E:$W,2,FALSE)),"")</f>
        <v>4305289000</v>
      </c>
      <c r="F269">
        <f>IFERROR(IF(VLOOKUP($B269,Показатели!$E:$W,3,FALSE)=0,"",VLOOKUP($B269,Показатели!$E:$W,3,FALSE)),"")</f>
        <v>30557853000</v>
      </c>
      <c r="G269">
        <f>IFERROR(IF(VLOOKUP($B269,Показатели!$E:$W,4,FALSE)=0,"",VLOOKUP($B269,Показатели!$E:$W,4,FALSE)),"")</f>
        <v>273668067000</v>
      </c>
      <c r="H269" t="str">
        <f>IFERROR(IF(VLOOKUP($B269,Показатели!$E:$W,5,FALSE)=0,"",VLOOKUP($B269,Показатели!$E:$W,5,FALSE)),"")</f>
        <v/>
      </c>
      <c r="I269">
        <f>IFERROR(IF(VLOOKUP($B269,Показатели!$E:$W,6,FALSE)=0,"",VLOOKUP($B269,Показатели!$E:$W,6,FALSE)),"")</f>
        <v>310583387000</v>
      </c>
      <c r="J269">
        <f>IFERROR(IF(VLOOKUP($B269,Показатели!$E:$W,7,FALSE)=0,"",VLOOKUP($B269,Показатели!$E:$W,7,FALSE)),"")</f>
        <v>76393058000</v>
      </c>
      <c r="K269">
        <f>IFERROR(IF(VLOOKUP($B269,Показатели!$E:$W,8,FALSE)=0,"",VLOOKUP($B269,Показатели!$E:$W,8,FALSE)),"")</f>
        <v>75164660000</v>
      </c>
      <c r="L269">
        <f>IFERROR(IF(VLOOKUP($B269,Показатели!$E:$W,9,FALSE)=0,"",VLOOKUP($B269,Показатели!$E:$W,9,FALSE)),"")</f>
        <v>115659250000</v>
      </c>
      <c r="M269">
        <f>IFERROR(IF(VLOOKUP($B269,Показатели!$E:$W,10,FALSE)=0,"",VLOOKUP($B269,Показатели!$E:$W,10,FALSE)),"")</f>
        <v>159025669000</v>
      </c>
      <c r="N269">
        <f>IFERROR(IF(VLOOKUP($B269,Показатели!$E:$W,11,FALSE)=0,"",VLOOKUP($B269,Показатели!$E:$W,11,FALSE)),"")</f>
        <v>128018249000</v>
      </c>
      <c r="O269">
        <f>IFERROR(IF(VLOOKUP($B269,Показатели!$E:$W,12,FALSE)=0,"",VLOOKUP($B269,Показатели!$E:$W,12,FALSE)),"")</f>
        <v>14399278000</v>
      </c>
      <c r="P269">
        <f>IFERROR(IF(VLOOKUP($B269,Показатели!$E:$W,13,FALSE)=0,"",VLOOKUP($B269,Показатели!$E:$W,13,FALSE)),"")</f>
        <v>11405635000</v>
      </c>
      <c r="Q269">
        <f>IFERROR(IF(VLOOKUP($B269,Показатели!$E:$W,14,FALSE)=0,"",VLOOKUP($B269,Показатели!$E:$W,14,FALSE)),"")</f>
        <v>8078357000</v>
      </c>
      <c r="R269" t="str">
        <f>IFERROR(IF(VLOOKUP($B269,Показатели!$E:$W,15,FALSE)=0,"",VLOOKUP($B269,Показатели!$E:$W,15,FALSE)),"")</f>
        <v/>
      </c>
      <c r="S269">
        <f>IFERROR(IF(VLOOKUP($B269,Показатели!$E:$W,16,FALSE)=0,"",VLOOKUP($B269,Показатели!$E:$W,16,FALSE)),"")</f>
        <v>35000000000</v>
      </c>
      <c r="T269" t="str">
        <f>IFERROR(IF(VLOOKUP($B269,Показатели!$E:$W,17,FALSE)=0,"",VLOOKUP($B269,Показатели!$E:$W,17,FALSE)),"")</f>
        <v/>
      </c>
      <c r="U269">
        <f>IFERROR(IF(VLOOKUP($B269,Показатели!$E:$W,18,FALSE)=0,"",VLOOKUP($B269,Показатели!$E:$W,18,FALSE)),"")</f>
        <v>129125139000</v>
      </c>
      <c r="V269">
        <f>IFERROR(IF(VLOOKUP($B269,Показатели!$E:$W,19,FALSE)=0,"",VLOOKUP($B269,Показатели!$E:$W,19,FALSE)),"")</f>
        <v>286301352000</v>
      </c>
    </row>
    <row r="270" spans="1:22" x14ac:dyDescent="0.2">
      <c r="A270" s="7" t="s">
        <v>2210</v>
      </c>
      <c r="B270" t="str">
        <f t="shared" si="4"/>
        <v>MSRS IV кв. 2013</v>
      </c>
      <c r="C270">
        <v>2013</v>
      </c>
      <c r="D270">
        <f>SUMIFS(Дивиденды!$C:$C,Дивиденды!$A:$A,A270,Дивиденды!$I:$I,C270)</f>
        <v>5.9799999999999999E-2</v>
      </c>
      <c r="E270">
        <f>IFERROR(IF(VLOOKUP($B270,Показатели!$E:$W,2,FALSE)=0,"",VLOOKUP($B270,Показатели!$E:$W,2,FALSE)),"")</f>
        <v>1596266000</v>
      </c>
      <c r="F270">
        <f>IFERROR(IF(VLOOKUP($B270,Показатели!$E:$W,3,FALSE)=0,"",VLOOKUP($B270,Показатели!$E:$W,3,FALSE)),"")</f>
        <v>26399271000</v>
      </c>
      <c r="G270">
        <f>IFERROR(IF(VLOOKUP($B270,Показатели!$E:$W,4,FALSE)=0,"",VLOOKUP($B270,Показатели!$E:$W,4,FALSE)),"")</f>
        <v>253234087000</v>
      </c>
      <c r="H270" t="str">
        <f>IFERROR(IF(VLOOKUP($B270,Показатели!$E:$W,5,FALSE)=0,"",VLOOKUP($B270,Показатели!$E:$W,5,FALSE)),"")</f>
        <v/>
      </c>
      <c r="I270">
        <f>IFERROR(IF(VLOOKUP($B270,Показатели!$E:$W,6,FALSE)=0,"",VLOOKUP($B270,Показатели!$E:$W,6,FALSE)),"")</f>
        <v>286301352000</v>
      </c>
      <c r="J270">
        <f>IFERROR(IF(VLOOKUP($B270,Показатели!$E:$W,7,FALSE)=0,"",VLOOKUP($B270,Показатели!$E:$W,7,FALSE)),"")</f>
        <v>58821899000</v>
      </c>
      <c r="K270">
        <f>IFERROR(IF(VLOOKUP($B270,Показатели!$E:$W,8,FALSE)=0,"",VLOOKUP($B270,Показатели!$E:$W,8,FALSE)),"")</f>
        <v>73901791000</v>
      </c>
      <c r="L270" t="str">
        <f>IFERROR(IF(VLOOKUP($B270,Показатели!$E:$W,9,FALSE)=0,"",VLOOKUP($B270,Показатели!$E:$W,9,FALSE)),"")</f>
        <v/>
      </c>
      <c r="M270">
        <f>IFERROR(IF(VLOOKUP($B270,Показатели!$E:$W,10,FALSE)=0,"",VLOOKUP($B270,Показатели!$E:$W,10,FALSE)),"")</f>
        <v>153577662000</v>
      </c>
      <c r="N270">
        <f>IFERROR(IF(VLOOKUP($B270,Показатели!$E:$W,11,FALSE)=0,"",VLOOKUP($B270,Показатели!$E:$W,11,FALSE)),"")</f>
        <v>129125139000</v>
      </c>
      <c r="O270">
        <f>IFERROR(IF(VLOOKUP($B270,Показатели!$E:$W,12,FALSE)=0,"",VLOOKUP($B270,Показатели!$E:$W,12,FALSE)),"")</f>
        <v>26527692000</v>
      </c>
      <c r="P270">
        <f>IFERROR(IF(VLOOKUP($B270,Показатели!$E:$W,13,FALSE)=0,"",VLOOKUP($B270,Показатели!$E:$W,13,FALSE)),"")</f>
        <v>24371280000</v>
      </c>
      <c r="Q270">
        <f>IFERROR(IF(VLOOKUP($B270,Показатели!$E:$W,14,FALSE)=0,"",VLOOKUP($B270,Показатели!$E:$W,14,FALSE)),"")</f>
        <v>19473084000</v>
      </c>
      <c r="R270" t="str">
        <f>IFERROR(IF(VLOOKUP($B270,Показатели!$E:$W,15,FALSE)=0,"",VLOOKUP($B270,Показатели!$E:$W,15,FALSE)),"")</f>
        <v/>
      </c>
      <c r="S270">
        <f>IFERROR(IF(VLOOKUP($B270,Показатели!$E:$W,16,FALSE)=0,"",VLOOKUP($B270,Показатели!$E:$W,16,FALSE)),"")</f>
        <v>44446000000</v>
      </c>
      <c r="T270" t="str">
        <f>IFERROR(IF(VLOOKUP($B270,Показатели!$E:$W,17,FALSE)=0,"",VLOOKUP($B270,Показатели!$E:$W,17,FALSE)),"")</f>
        <v/>
      </c>
      <c r="U270">
        <f>IFERROR(IF(VLOOKUP($B270,Показатели!$E:$W,18,FALSE)=0,"",VLOOKUP($B270,Показатели!$E:$W,18,FALSE)),"")</f>
        <v>125324329000</v>
      </c>
      <c r="V270">
        <f>IFERROR(IF(VLOOKUP($B270,Показатели!$E:$W,19,FALSE)=0,"",VLOOKUP($B270,Показатели!$E:$W,19,FALSE)),"")</f>
        <v>269056541000</v>
      </c>
    </row>
    <row r="271" spans="1:22" x14ac:dyDescent="0.2">
      <c r="A271" s="7" t="s">
        <v>2210</v>
      </c>
      <c r="B271" t="str">
        <f t="shared" si="4"/>
        <v>MSRS IV кв. 2012</v>
      </c>
      <c r="C271">
        <v>2012</v>
      </c>
      <c r="D271">
        <f>SUMIFS(Дивиденды!$C:$C,Дивиденды!$A:$A,A271,Дивиденды!$I:$I,C271)</f>
        <v>8.8200000000000001E-2</v>
      </c>
      <c r="E271">
        <f>IFERROR(IF(VLOOKUP($B271,Показатели!$E:$W,2,FALSE)=0,"",VLOOKUP($B271,Показатели!$E:$W,2,FALSE)),"")</f>
        <v>8331910000</v>
      </c>
      <c r="F271">
        <f>IFERROR(IF(VLOOKUP($B271,Показатели!$E:$W,3,FALSE)=0,"",VLOOKUP($B271,Показатели!$E:$W,3,FALSE)),"")</f>
        <v>30541492000</v>
      </c>
      <c r="G271">
        <f>IFERROR(IF(VLOOKUP($B271,Показатели!$E:$W,4,FALSE)=0,"",VLOOKUP($B271,Показатели!$E:$W,4,FALSE)),"")</f>
        <v>226647139000</v>
      </c>
      <c r="H271" t="str">
        <f>IFERROR(IF(VLOOKUP($B271,Показатели!$E:$W,5,FALSE)=0,"",VLOOKUP($B271,Показатели!$E:$W,5,FALSE)),"")</f>
        <v/>
      </c>
      <c r="I271">
        <f>IFERROR(IF(VLOOKUP($B271,Показатели!$E:$W,6,FALSE)=0,"",VLOOKUP($B271,Показатели!$E:$W,6,FALSE)),"")</f>
        <v>269056541000</v>
      </c>
      <c r="J271">
        <f>IFERROR(IF(VLOOKUP($B271,Показатели!$E:$W,7,FALSE)=0,"",VLOOKUP($B271,Показатели!$E:$W,7,FALSE)),"")</f>
        <v>57592516000</v>
      </c>
      <c r="K271">
        <f>IFERROR(IF(VLOOKUP($B271,Показатели!$E:$W,8,FALSE)=0,"",VLOOKUP($B271,Показатели!$E:$W,8,FALSE)),"")</f>
        <v>70869585000</v>
      </c>
      <c r="L271" t="str">
        <f>IFERROR(IF(VLOOKUP($B271,Показатели!$E:$W,9,FALSE)=0,"",VLOOKUP($B271,Показатели!$E:$W,9,FALSE)),"")</f>
        <v/>
      </c>
      <c r="M271">
        <f>IFERROR(IF(VLOOKUP($B271,Показатели!$E:$W,10,FALSE)=0,"",VLOOKUP($B271,Показатели!$E:$W,10,FALSE)),"")</f>
        <v>140594440000</v>
      </c>
      <c r="N271">
        <f>IFERROR(IF(VLOOKUP($B271,Показатели!$E:$W,11,FALSE)=0,"",VLOOKUP($B271,Показатели!$E:$W,11,FALSE)),"")</f>
        <v>125324329000</v>
      </c>
      <c r="O271">
        <f>IFERROR(IF(VLOOKUP($B271,Показатели!$E:$W,12,FALSE)=0,"",VLOOKUP($B271,Показатели!$E:$W,12,FALSE)),"")</f>
        <v>26185615000</v>
      </c>
      <c r="P271">
        <f>IFERROR(IF(VLOOKUP($B271,Показатели!$E:$W,13,FALSE)=0,"",VLOOKUP($B271,Показатели!$E:$W,13,FALSE)),"")</f>
        <v>25396524000</v>
      </c>
      <c r="Q271">
        <f>IFERROR(IF(VLOOKUP($B271,Показатели!$E:$W,14,FALSE)=0,"",VLOOKUP($B271,Показатели!$E:$W,14,FALSE)),"")</f>
        <v>18949884000</v>
      </c>
      <c r="R271" t="str">
        <f>IFERROR(IF(VLOOKUP($B271,Показатели!$E:$W,15,FALSE)=0,"",VLOOKUP($B271,Показатели!$E:$W,15,FALSE)),"")</f>
        <v/>
      </c>
      <c r="S271" t="str">
        <f>IFERROR(IF(VLOOKUP($B271,Показатели!$E:$W,16,FALSE)=0,"",VLOOKUP($B271,Показатели!$E:$W,16,FALSE)),"")</f>
        <v/>
      </c>
      <c r="T271" t="str">
        <f>IFERROR(IF(VLOOKUP($B271,Показатели!$E:$W,17,FALSE)=0,"",VLOOKUP($B271,Показатели!$E:$W,17,FALSE)),"")</f>
        <v/>
      </c>
      <c r="U271">
        <f>IFERROR(IF(VLOOKUP($B271,Показатели!$E:$W,18,FALSE)=0,"",VLOOKUP($B271,Показатели!$E:$W,18,FALSE)),"")</f>
        <v>129365994000</v>
      </c>
      <c r="V271">
        <f>IFERROR(IF(VLOOKUP($B271,Показатели!$E:$W,19,FALSE)=0,"",VLOOKUP($B271,Показатели!$E:$W,19,FALSE)),"")</f>
        <v>249558806000</v>
      </c>
    </row>
    <row r="272" spans="1:22" x14ac:dyDescent="0.2">
      <c r="A272" s="7" t="s">
        <v>2210</v>
      </c>
      <c r="B272" t="str">
        <f t="shared" si="4"/>
        <v>MSRS IV кв. 2011</v>
      </c>
      <c r="C272">
        <v>2011</v>
      </c>
      <c r="D272">
        <f>SUMIFS(Дивиденды!$C:$C,Дивиденды!$A:$A,A272,Дивиденды!$I:$I,C272)</f>
        <v>2.5000000000000001E-2</v>
      </c>
      <c r="E272">
        <f>IFERROR(IF(VLOOKUP($B272,Показатели!$E:$W,2,FALSE)=0,"",VLOOKUP($B272,Показатели!$E:$W,2,FALSE)),"")</f>
        <v>3944875000</v>
      </c>
      <c r="F272">
        <f>IFERROR(IF(VLOOKUP($B272,Показатели!$E:$W,3,FALSE)=0,"",VLOOKUP($B272,Показатели!$E:$W,3,FALSE)),"")</f>
        <v>28782372000</v>
      </c>
      <c r="G272">
        <f>IFERROR(IF(VLOOKUP($B272,Показатели!$E:$W,4,FALSE)=0,"",VLOOKUP($B272,Показатели!$E:$W,4,FALSE)),"")</f>
        <v>205734239000</v>
      </c>
      <c r="H272" t="str">
        <f>IFERROR(IF(VLOOKUP($B272,Показатели!$E:$W,5,FALSE)=0,"",VLOOKUP($B272,Показатели!$E:$W,5,FALSE)),"")</f>
        <v/>
      </c>
      <c r="I272">
        <f>IFERROR(IF(VLOOKUP($B272,Показатели!$E:$W,6,FALSE)=0,"",VLOOKUP($B272,Показатели!$E:$W,6,FALSE)),"")</f>
        <v>249558806000</v>
      </c>
      <c r="J272">
        <f>IFERROR(IF(VLOOKUP($B272,Показатели!$E:$W,7,FALSE)=0,"",VLOOKUP($B272,Показатели!$E:$W,7,FALSE)),"")</f>
        <v>55068976000</v>
      </c>
      <c r="K272">
        <f>IFERROR(IF(VLOOKUP($B272,Показатели!$E:$W,8,FALSE)=0,"",VLOOKUP($B272,Показатели!$E:$W,8,FALSE)),"")</f>
        <v>71576597000</v>
      </c>
      <c r="L272" t="str">
        <f>IFERROR(IF(VLOOKUP($B272,Показатели!$E:$W,9,FALSE)=0,"",VLOOKUP($B272,Показатели!$E:$W,9,FALSE)),"")</f>
        <v/>
      </c>
      <c r="M272">
        <f>IFERROR(IF(VLOOKUP($B272,Показатели!$E:$W,10,FALSE)=0,"",VLOOKUP($B272,Показатели!$E:$W,10,FALSE)),"")</f>
        <v>122913233000</v>
      </c>
      <c r="N272">
        <f>IFERROR(IF(VLOOKUP($B272,Показатели!$E:$W,11,FALSE)=0,"",VLOOKUP($B272,Показатели!$E:$W,11,FALSE)),"")</f>
        <v>129365994000</v>
      </c>
      <c r="O272">
        <f>IFERROR(IF(VLOOKUP($B272,Показатели!$E:$W,12,FALSE)=0,"",VLOOKUP($B272,Показатели!$E:$W,12,FALSE)),"")</f>
        <v>25109737000</v>
      </c>
      <c r="P272">
        <f>IFERROR(IF(VLOOKUP($B272,Показатели!$E:$W,13,FALSE)=0,"",VLOOKUP($B272,Показатели!$E:$W,13,FALSE)),"")</f>
        <v>23444592000</v>
      </c>
      <c r="Q272">
        <f>IFERROR(IF(VLOOKUP($B272,Показатели!$E:$W,14,FALSE)=0,"",VLOOKUP($B272,Показатели!$E:$W,14,FALSE)),"")</f>
        <v>18042560000</v>
      </c>
      <c r="R272" t="str">
        <f>IFERROR(IF(VLOOKUP($B272,Показатели!$E:$W,15,FALSE)=0,"",VLOOKUP($B272,Показатели!$E:$W,15,FALSE)),"")</f>
        <v/>
      </c>
      <c r="S272">
        <f>IFERROR(IF(VLOOKUP($B272,Показатели!$E:$W,16,FALSE)=0,"",VLOOKUP($B272,Показатели!$E:$W,16,FALSE)),"")</f>
        <v>41800000000</v>
      </c>
      <c r="T272" t="str">
        <f>IFERROR(IF(VLOOKUP($B272,Показатели!$E:$W,17,FALSE)=0,"",VLOOKUP($B272,Показатели!$E:$W,17,FALSE)),"")</f>
        <v/>
      </c>
      <c r="U272" t="str">
        <f>IFERROR(IF(VLOOKUP($B272,Показатели!$E:$W,18,FALSE)=0,"",VLOOKUP($B272,Показатели!$E:$W,18,FALSE)),"")</f>
        <v/>
      </c>
      <c r="V272" t="str">
        <f>IFERROR(IF(VLOOKUP($B272,Показатели!$E:$W,19,FALSE)=0,"",VLOOKUP($B272,Показатели!$E:$W,19,FALSE)),"")</f>
        <v/>
      </c>
    </row>
    <row r="273" spans="1:22" x14ac:dyDescent="0.2">
      <c r="A273" s="7" t="s">
        <v>2210</v>
      </c>
      <c r="B273" t="str">
        <f t="shared" si="4"/>
        <v>MSRS IV кв. 2010</v>
      </c>
      <c r="C273">
        <v>2010</v>
      </c>
      <c r="D273">
        <f>SUMIFS(Дивиденды!$C:$C,Дивиденды!$A:$A,A273,Дивиденды!$I:$I,C273)</f>
        <v>2.46E-2</v>
      </c>
      <c r="E273" t="str">
        <f>IFERROR(IF(VLOOKUP($B273,Показатели!$E:$W,2,FALSE)=0,"",VLOOKUP($B273,Показатели!$E:$W,2,FALSE)),"")</f>
        <v/>
      </c>
      <c r="F273" t="str">
        <f>IFERROR(IF(VLOOKUP($B273,Показатели!$E:$W,3,FALSE)=0,"",VLOOKUP($B273,Показатели!$E:$W,3,FALSE)),"")</f>
        <v/>
      </c>
      <c r="G273" t="str">
        <f>IFERROR(IF(VLOOKUP($B273,Показатели!$E:$W,4,FALSE)=0,"",VLOOKUP($B273,Показатели!$E:$W,4,FALSE)),"")</f>
        <v/>
      </c>
      <c r="H273" t="str">
        <f>IFERROR(IF(VLOOKUP($B273,Показатели!$E:$W,5,FALSE)=0,"",VLOOKUP($B273,Показатели!$E:$W,5,FALSE)),"")</f>
        <v/>
      </c>
      <c r="I273" t="str">
        <f>IFERROR(IF(VLOOKUP($B273,Показатели!$E:$W,6,FALSE)=0,"",VLOOKUP($B273,Показатели!$E:$W,6,FALSE)),"")</f>
        <v/>
      </c>
      <c r="J273" t="str">
        <f>IFERROR(IF(VLOOKUP($B273,Показатели!$E:$W,7,FALSE)=0,"",VLOOKUP($B273,Показатели!$E:$W,7,FALSE)),"")</f>
        <v/>
      </c>
      <c r="K273" t="str">
        <f>IFERROR(IF(VLOOKUP($B273,Показатели!$E:$W,8,FALSE)=0,"",VLOOKUP($B273,Показатели!$E:$W,8,FALSE)),"")</f>
        <v/>
      </c>
      <c r="L273" t="str">
        <f>IFERROR(IF(VLOOKUP($B273,Показатели!$E:$W,9,FALSE)=0,"",VLOOKUP($B273,Показатели!$E:$W,9,FALSE)),"")</f>
        <v/>
      </c>
      <c r="M273" t="str">
        <f>IFERROR(IF(VLOOKUP($B273,Показатели!$E:$W,10,FALSE)=0,"",VLOOKUP($B273,Показатели!$E:$W,10,FALSE)),"")</f>
        <v/>
      </c>
      <c r="N273" t="str">
        <f>IFERROR(IF(VLOOKUP($B273,Показатели!$E:$W,11,FALSE)=0,"",VLOOKUP($B273,Показатели!$E:$W,11,FALSE)),"")</f>
        <v/>
      </c>
      <c r="O273" t="str">
        <f>IFERROR(IF(VLOOKUP($B273,Показатели!$E:$W,12,FALSE)=0,"",VLOOKUP($B273,Показатели!$E:$W,12,FALSE)),"")</f>
        <v/>
      </c>
      <c r="P273" t="str">
        <f>IFERROR(IF(VLOOKUP($B273,Показатели!$E:$W,13,FALSE)=0,"",VLOOKUP($B273,Показатели!$E:$W,13,FALSE)),"")</f>
        <v/>
      </c>
      <c r="Q273" t="str">
        <f>IFERROR(IF(VLOOKUP($B273,Показатели!$E:$W,14,FALSE)=0,"",VLOOKUP($B273,Показатели!$E:$W,14,FALSE)),"")</f>
        <v/>
      </c>
      <c r="R273" t="str">
        <f>IFERROR(IF(VLOOKUP($B273,Показатели!$E:$W,15,FALSE)=0,"",VLOOKUP($B273,Показатели!$E:$W,15,FALSE)),"")</f>
        <v/>
      </c>
      <c r="S273" t="str">
        <f>IFERROR(IF(VLOOKUP($B273,Показатели!$E:$W,16,FALSE)=0,"",VLOOKUP($B273,Показатели!$E:$W,16,FALSE)),"")</f>
        <v/>
      </c>
      <c r="T273" t="str">
        <f>IFERROR(IF(VLOOKUP($B273,Показатели!$E:$W,17,FALSE)=0,"",VLOOKUP($B273,Показатели!$E:$W,17,FALSE)),"")</f>
        <v/>
      </c>
      <c r="U273" t="str">
        <f>IFERROR(IF(VLOOKUP($B273,Показатели!$E:$W,18,FALSE)=0,"",VLOOKUP($B273,Показатели!$E:$W,18,FALSE)),"")</f>
        <v/>
      </c>
      <c r="V273" t="str">
        <f>IFERROR(IF(VLOOKUP($B273,Показатели!$E:$W,19,FALSE)=0,"",VLOOKUP($B273,Показатели!$E:$W,19,FALSE)),"")</f>
        <v/>
      </c>
    </row>
    <row r="274" spans="1:22" x14ac:dyDescent="0.2">
      <c r="A274" s="7" t="s">
        <v>2212</v>
      </c>
      <c r="B274" t="str">
        <f t="shared" si="4"/>
        <v>OGKB IV кв. 2025</v>
      </c>
      <c r="C274">
        <v>2025</v>
      </c>
      <c r="D274">
        <f>SUMIFS(Дивиденды!$C:$C,Дивиденды!$A:$A,A274,Дивиденды!$I:$I,C274)</f>
        <v>0</v>
      </c>
      <c r="E274" t="str">
        <f>IFERROR(IF(VLOOKUP($B274,Показатели!$E:$W,2,FALSE)=0,"",VLOOKUP($B274,Показатели!$E:$W,2,FALSE)),"")</f>
        <v/>
      </c>
      <c r="F274" t="str">
        <f>IFERROR(IF(VLOOKUP($B274,Показатели!$E:$W,3,FALSE)=0,"",VLOOKUP($B274,Показатели!$E:$W,3,FALSE)),"")</f>
        <v/>
      </c>
      <c r="G274" t="str">
        <f>IFERROR(IF(VLOOKUP($B274,Показатели!$E:$W,4,FALSE)=0,"",VLOOKUP($B274,Показатели!$E:$W,4,FALSE)),"")</f>
        <v/>
      </c>
      <c r="H274" t="str">
        <f>IFERROR(IF(VLOOKUP($B274,Показатели!$E:$W,5,FALSE)=0,"",VLOOKUP($B274,Показатели!$E:$W,5,FALSE)),"")</f>
        <v/>
      </c>
      <c r="I274" t="str">
        <f>IFERROR(IF(VLOOKUP($B274,Показатели!$E:$W,6,FALSE)=0,"",VLOOKUP($B274,Показатели!$E:$W,6,FALSE)),"")</f>
        <v/>
      </c>
      <c r="J274" t="str">
        <f>IFERROR(IF(VLOOKUP($B274,Показатели!$E:$W,7,FALSE)=0,"",VLOOKUP($B274,Показатели!$E:$W,7,FALSE)),"")</f>
        <v/>
      </c>
      <c r="K274" t="str">
        <f>IFERROR(IF(VLOOKUP($B274,Показатели!$E:$W,8,FALSE)=0,"",VLOOKUP($B274,Показатели!$E:$W,8,FALSE)),"")</f>
        <v/>
      </c>
      <c r="L274" t="str">
        <f>IFERROR(IF(VLOOKUP($B274,Показатели!$E:$W,9,FALSE)=0,"",VLOOKUP($B274,Показатели!$E:$W,9,FALSE)),"")</f>
        <v/>
      </c>
      <c r="M274" t="str">
        <f>IFERROR(IF(VLOOKUP($B274,Показатели!$E:$W,10,FALSE)=0,"",VLOOKUP($B274,Показатели!$E:$W,10,FALSE)),"")</f>
        <v/>
      </c>
      <c r="N274" t="str">
        <f>IFERROR(IF(VLOOKUP($B274,Показатели!$E:$W,11,FALSE)=0,"",VLOOKUP($B274,Показатели!$E:$W,11,FALSE)),"")</f>
        <v/>
      </c>
      <c r="O274" t="str">
        <f>IFERROR(IF(VLOOKUP($B274,Показатели!$E:$W,12,FALSE)=0,"",VLOOKUP($B274,Показатели!$E:$W,12,FALSE)),"")</f>
        <v/>
      </c>
      <c r="P274" t="str">
        <f>IFERROR(IF(VLOOKUP($B274,Показатели!$E:$W,13,FALSE)=0,"",VLOOKUP($B274,Показатели!$E:$W,13,FALSE)),"")</f>
        <v/>
      </c>
      <c r="Q274" t="str">
        <f>IFERROR(IF(VLOOKUP($B274,Показатели!$E:$W,14,FALSE)=0,"",VLOOKUP($B274,Показатели!$E:$W,14,FALSE)),"")</f>
        <v/>
      </c>
      <c r="R274" t="str">
        <f>IFERROR(IF(VLOOKUP($B274,Показатели!$E:$W,15,FALSE)=0,"",VLOOKUP($B274,Показатели!$E:$W,15,FALSE)),"")</f>
        <v/>
      </c>
      <c r="S274" t="str">
        <f>IFERROR(IF(VLOOKUP($B274,Показатели!$E:$W,16,FALSE)=0,"",VLOOKUP($B274,Показатели!$E:$W,16,FALSE)),"")</f>
        <v/>
      </c>
      <c r="T274" t="str">
        <f>IFERROR(IF(VLOOKUP($B274,Показатели!$E:$W,17,FALSE)=0,"",VLOOKUP($B274,Показатели!$E:$W,17,FALSE)),"")</f>
        <v/>
      </c>
      <c r="U274" t="str">
        <f>IFERROR(IF(VLOOKUP($B274,Показатели!$E:$W,18,FALSE)=0,"",VLOOKUP($B274,Показатели!$E:$W,18,FALSE)),"")</f>
        <v/>
      </c>
      <c r="V274" t="str">
        <f>IFERROR(IF(VLOOKUP($B274,Показатели!$E:$W,19,FALSE)=0,"",VLOOKUP($B274,Показатели!$E:$W,19,FALSE)),"")</f>
        <v/>
      </c>
    </row>
    <row r="275" spans="1:22" x14ac:dyDescent="0.2">
      <c r="A275" s="7" t="s">
        <v>2212</v>
      </c>
      <c r="B275" t="str">
        <f t="shared" si="4"/>
        <v>OGKB IV кв. 2024</v>
      </c>
      <c r="C275">
        <v>2024</v>
      </c>
      <c r="D275">
        <f>SUMIFS(Дивиденды!$C:$C,Дивиденды!$A:$A,A275,Дивиденды!$I:$I,C275)</f>
        <v>5.9799999999999999E-2</v>
      </c>
      <c r="E275" t="str">
        <f>IFERROR(IF(VLOOKUP($B275,Показатели!$E:$W,2,FALSE)=0,"",VLOOKUP($B275,Показатели!$E:$W,2,FALSE)),"")</f>
        <v/>
      </c>
      <c r="F275" t="str">
        <f>IFERROR(IF(VLOOKUP($B275,Показатели!$E:$W,3,FALSE)=0,"",VLOOKUP($B275,Показатели!$E:$W,3,FALSE)),"")</f>
        <v/>
      </c>
      <c r="G275" t="str">
        <f>IFERROR(IF(VLOOKUP($B275,Показатели!$E:$W,4,FALSE)=0,"",VLOOKUP($B275,Показатели!$E:$W,4,FALSE)),"")</f>
        <v/>
      </c>
      <c r="H275" t="str">
        <f>IFERROR(IF(VLOOKUP($B275,Показатели!$E:$W,5,FALSE)=0,"",VLOOKUP($B275,Показатели!$E:$W,5,FALSE)),"")</f>
        <v/>
      </c>
      <c r="I275" t="str">
        <f>IFERROR(IF(VLOOKUP($B275,Показатели!$E:$W,6,FALSE)=0,"",VLOOKUP($B275,Показатели!$E:$W,6,FALSE)),"")</f>
        <v/>
      </c>
      <c r="J275" t="str">
        <f>IFERROR(IF(VLOOKUP($B275,Показатели!$E:$W,7,FALSE)=0,"",VLOOKUP($B275,Показатели!$E:$W,7,FALSE)),"")</f>
        <v/>
      </c>
      <c r="K275" t="str">
        <f>IFERROR(IF(VLOOKUP($B275,Показатели!$E:$W,8,FALSE)=0,"",VLOOKUP($B275,Показатели!$E:$W,8,FALSE)),"")</f>
        <v/>
      </c>
      <c r="L275" t="str">
        <f>IFERROR(IF(VLOOKUP($B275,Показатели!$E:$W,9,FALSE)=0,"",VLOOKUP($B275,Показатели!$E:$W,9,FALSE)),"")</f>
        <v/>
      </c>
      <c r="M275" t="str">
        <f>IFERROR(IF(VLOOKUP($B275,Показатели!$E:$W,10,FALSE)=0,"",VLOOKUP($B275,Показатели!$E:$W,10,FALSE)),"")</f>
        <v/>
      </c>
      <c r="N275" t="str">
        <f>IFERROR(IF(VLOOKUP($B275,Показатели!$E:$W,11,FALSE)=0,"",VLOOKUP($B275,Показатели!$E:$W,11,FALSE)),"")</f>
        <v/>
      </c>
      <c r="O275" t="str">
        <f>IFERROR(IF(VLOOKUP($B275,Показатели!$E:$W,12,FALSE)=0,"",VLOOKUP($B275,Показатели!$E:$W,12,FALSE)),"")</f>
        <v/>
      </c>
      <c r="P275" t="str">
        <f>IFERROR(IF(VLOOKUP($B275,Показатели!$E:$W,13,FALSE)=0,"",VLOOKUP($B275,Показатели!$E:$W,13,FALSE)),"")</f>
        <v/>
      </c>
      <c r="Q275" t="str">
        <f>IFERROR(IF(VLOOKUP($B275,Показатели!$E:$W,14,FALSE)=0,"",VLOOKUP($B275,Показатели!$E:$W,14,FALSE)),"")</f>
        <v/>
      </c>
      <c r="R275" t="str">
        <f>IFERROR(IF(VLOOKUP($B275,Показатели!$E:$W,15,FALSE)=0,"",VLOOKUP($B275,Показатели!$E:$W,15,FALSE)),"")</f>
        <v/>
      </c>
      <c r="S275" t="str">
        <f>IFERROR(IF(VLOOKUP($B275,Показатели!$E:$W,16,FALSE)=0,"",VLOOKUP($B275,Показатели!$E:$W,16,FALSE)),"")</f>
        <v/>
      </c>
      <c r="T275" t="str">
        <f>IFERROR(IF(VLOOKUP($B275,Показатели!$E:$W,17,FALSE)=0,"",VLOOKUP($B275,Показатели!$E:$W,17,FALSE)),"")</f>
        <v/>
      </c>
      <c r="U275" t="str">
        <f>IFERROR(IF(VLOOKUP($B275,Показатели!$E:$W,18,FALSE)=0,"",VLOOKUP($B275,Показатели!$E:$W,18,FALSE)),"")</f>
        <v/>
      </c>
      <c r="V275" t="str">
        <f>IFERROR(IF(VLOOKUP($B275,Показатели!$E:$W,19,FALSE)=0,"",VLOOKUP($B275,Показатели!$E:$W,19,FALSE)),"")</f>
        <v/>
      </c>
    </row>
    <row r="276" spans="1:22" x14ac:dyDescent="0.2">
      <c r="A276" s="7" t="s">
        <v>2212</v>
      </c>
      <c r="B276" t="str">
        <f t="shared" si="4"/>
        <v>OGKB IV кв. 2023</v>
      </c>
      <c r="C276">
        <v>2023</v>
      </c>
      <c r="D276">
        <f>SUMIFS(Дивиденды!$C:$C,Дивиденды!$A:$A,A276,Дивиденды!$I:$I,C276)</f>
        <v>0</v>
      </c>
      <c r="E276" t="str">
        <f>IFERROR(IF(VLOOKUP($B276,Показатели!$E:$W,2,FALSE)=0,"",VLOOKUP($B276,Показатели!$E:$W,2,FALSE)),"")</f>
        <v/>
      </c>
      <c r="F276" t="str">
        <f>IFERROR(IF(VLOOKUP($B276,Показатели!$E:$W,3,FALSE)=0,"",VLOOKUP($B276,Показатели!$E:$W,3,FALSE)),"")</f>
        <v/>
      </c>
      <c r="G276" t="str">
        <f>IFERROR(IF(VLOOKUP($B276,Показатели!$E:$W,4,FALSE)=0,"",VLOOKUP($B276,Показатели!$E:$W,4,FALSE)),"")</f>
        <v/>
      </c>
      <c r="H276" t="str">
        <f>IFERROR(IF(VLOOKUP($B276,Показатели!$E:$W,5,FALSE)=0,"",VLOOKUP($B276,Показатели!$E:$W,5,FALSE)),"")</f>
        <v/>
      </c>
      <c r="I276" t="str">
        <f>IFERROR(IF(VLOOKUP($B276,Показатели!$E:$W,6,FALSE)=0,"",VLOOKUP($B276,Показатели!$E:$W,6,FALSE)),"")</f>
        <v/>
      </c>
      <c r="J276" t="str">
        <f>IFERROR(IF(VLOOKUP($B276,Показатели!$E:$W,7,FALSE)=0,"",VLOOKUP($B276,Показатели!$E:$W,7,FALSE)),"")</f>
        <v/>
      </c>
      <c r="K276" t="str">
        <f>IFERROR(IF(VLOOKUP($B276,Показатели!$E:$W,8,FALSE)=0,"",VLOOKUP($B276,Показатели!$E:$W,8,FALSE)),"")</f>
        <v/>
      </c>
      <c r="L276" t="str">
        <f>IFERROR(IF(VLOOKUP($B276,Показатели!$E:$W,9,FALSE)=0,"",VLOOKUP($B276,Показатели!$E:$W,9,FALSE)),"")</f>
        <v/>
      </c>
      <c r="M276" t="str">
        <f>IFERROR(IF(VLOOKUP($B276,Показатели!$E:$W,10,FALSE)=0,"",VLOOKUP($B276,Показатели!$E:$W,10,FALSE)),"")</f>
        <v/>
      </c>
      <c r="N276" t="str">
        <f>IFERROR(IF(VLOOKUP($B276,Показатели!$E:$W,11,FALSE)=0,"",VLOOKUP($B276,Показатели!$E:$W,11,FALSE)),"")</f>
        <v/>
      </c>
      <c r="O276" t="str">
        <f>IFERROR(IF(VLOOKUP($B276,Показатели!$E:$W,12,FALSE)=0,"",VLOOKUP($B276,Показатели!$E:$W,12,FALSE)),"")</f>
        <v/>
      </c>
      <c r="P276" t="str">
        <f>IFERROR(IF(VLOOKUP($B276,Показатели!$E:$W,13,FALSE)=0,"",VLOOKUP($B276,Показатели!$E:$W,13,FALSE)),"")</f>
        <v/>
      </c>
      <c r="Q276" t="str">
        <f>IFERROR(IF(VLOOKUP($B276,Показатели!$E:$W,14,FALSE)=0,"",VLOOKUP($B276,Показатели!$E:$W,14,FALSE)),"")</f>
        <v/>
      </c>
      <c r="R276" t="str">
        <f>IFERROR(IF(VLOOKUP($B276,Показатели!$E:$W,15,FALSE)=0,"",VLOOKUP($B276,Показатели!$E:$W,15,FALSE)),"")</f>
        <v/>
      </c>
      <c r="S276" t="str">
        <f>IFERROR(IF(VLOOKUP($B276,Показатели!$E:$W,16,FALSE)=0,"",VLOOKUP($B276,Показатели!$E:$W,16,FALSE)),"")</f>
        <v/>
      </c>
      <c r="T276" t="str">
        <f>IFERROR(IF(VLOOKUP($B276,Показатели!$E:$W,17,FALSE)=0,"",VLOOKUP($B276,Показатели!$E:$W,17,FALSE)),"")</f>
        <v/>
      </c>
      <c r="U276" t="str">
        <f>IFERROR(IF(VLOOKUP($B276,Показатели!$E:$W,18,FALSE)=0,"",VLOOKUP($B276,Показатели!$E:$W,18,FALSE)),"")</f>
        <v/>
      </c>
      <c r="V276" t="str">
        <f>IFERROR(IF(VLOOKUP($B276,Показатели!$E:$W,19,FALSE)=0,"",VLOOKUP($B276,Показатели!$E:$W,19,FALSE)),"")</f>
        <v/>
      </c>
    </row>
    <row r="277" spans="1:22" x14ac:dyDescent="0.2">
      <c r="A277" s="7" t="s">
        <v>2212</v>
      </c>
      <c r="B277" t="str">
        <f t="shared" si="4"/>
        <v>OGKB IV кв. 2022</v>
      </c>
      <c r="C277">
        <v>2022</v>
      </c>
      <c r="D277">
        <f>SUMIFS(Дивиденды!$C:$C,Дивиденды!$A:$A,A277,Дивиденды!$I:$I,C277)</f>
        <v>5.8099999999999999E-2</v>
      </c>
      <c r="E277" t="str">
        <f>IFERROR(IF(VLOOKUP($B277,Показатели!$E:$W,2,FALSE)=0,"",VLOOKUP($B277,Показатели!$E:$W,2,FALSE)),"")</f>
        <v/>
      </c>
      <c r="F277" t="str">
        <f>IFERROR(IF(VLOOKUP($B277,Показатели!$E:$W,3,FALSE)=0,"",VLOOKUP($B277,Показатели!$E:$W,3,FALSE)),"")</f>
        <v/>
      </c>
      <c r="G277" t="str">
        <f>IFERROR(IF(VLOOKUP($B277,Показатели!$E:$W,4,FALSE)=0,"",VLOOKUP($B277,Показатели!$E:$W,4,FALSE)),"")</f>
        <v/>
      </c>
      <c r="H277" t="str">
        <f>IFERROR(IF(VLOOKUP($B277,Показатели!$E:$W,5,FALSE)=0,"",VLOOKUP($B277,Показатели!$E:$W,5,FALSE)),"")</f>
        <v/>
      </c>
      <c r="I277" t="str">
        <f>IFERROR(IF(VLOOKUP($B277,Показатели!$E:$W,6,FALSE)=0,"",VLOOKUP($B277,Показатели!$E:$W,6,FALSE)),"")</f>
        <v/>
      </c>
      <c r="J277" t="str">
        <f>IFERROR(IF(VLOOKUP($B277,Показатели!$E:$W,7,FALSE)=0,"",VLOOKUP($B277,Показатели!$E:$W,7,FALSE)),"")</f>
        <v/>
      </c>
      <c r="K277" t="str">
        <f>IFERROR(IF(VLOOKUP($B277,Показатели!$E:$W,8,FALSE)=0,"",VLOOKUP($B277,Показатели!$E:$W,8,FALSE)),"")</f>
        <v/>
      </c>
      <c r="L277" t="str">
        <f>IFERROR(IF(VLOOKUP($B277,Показатели!$E:$W,9,FALSE)=0,"",VLOOKUP($B277,Показатели!$E:$W,9,FALSE)),"")</f>
        <v/>
      </c>
      <c r="M277" t="str">
        <f>IFERROR(IF(VLOOKUP($B277,Показатели!$E:$W,10,FALSE)=0,"",VLOOKUP($B277,Показатели!$E:$W,10,FALSE)),"")</f>
        <v/>
      </c>
      <c r="N277" t="str">
        <f>IFERROR(IF(VLOOKUP($B277,Показатели!$E:$W,11,FALSE)=0,"",VLOOKUP($B277,Показатели!$E:$W,11,FALSE)),"")</f>
        <v/>
      </c>
      <c r="O277" t="str">
        <f>IFERROR(IF(VLOOKUP($B277,Показатели!$E:$W,12,FALSE)=0,"",VLOOKUP($B277,Показатели!$E:$W,12,FALSE)),"")</f>
        <v/>
      </c>
      <c r="P277" t="str">
        <f>IFERROR(IF(VLOOKUP($B277,Показатели!$E:$W,13,FALSE)=0,"",VLOOKUP($B277,Показатели!$E:$W,13,FALSE)),"")</f>
        <v/>
      </c>
      <c r="Q277" t="str">
        <f>IFERROR(IF(VLOOKUP($B277,Показатели!$E:$W,14,FALSE)=0,"",VLOOKUP($B277,Показатели!$E:$W,14,FALSE)),"")</f>
        <v/>
      </c>
      <c r="R277" t="str">
        <f>IFERROR(IF(VLOOKUP($B277,Показатели!$E:$W,15,FALSE)=0,"",VLOOKUP($B277,Показатели!$E:$W,15,FALSE)),"")</f>
        <v/>
      </c>
      <c r="S277" t="str">
        <f>IFERROR(IF(VLOOKUP($B277,Показатели!$E:$W,16,FALSE)=0,"",VLOOKUP($B277,Показатели!$E:$W,16,FALSE)),"")</f>
        <v/>
      </c>
      <c r="T277" t="str">
        <f>IFERROR(IF(VLOOKUP($B277,Показатели!$E:$W,17,FALSE)=0,"",VLOOKUP($B277,Показатели!$E:$W,17,FALSE)),"")</f>
        <v/>
      </c>
      <c r="U277" t="str">
        <f>IFERROR(IF(VLOOKUP($B277,Показатели!$E:$W,18,FALSE)=0,"",VLOOKUP($B277,Показатели!$E:$W,18,FALSE)),"")</f>
        <v/>
      </c>
      <c r="V277" t="str">
        <f>IFERROR(IF(VLOOKUP($B277,Показатели!$E:$W,19,FALSE)=0,"",VLOOKUP($B277,Показатели!$E:$W,19,FALSE)),"")</f>
        <v/>
      </c>
    </row>
    <row r="278" spans="1:22" x14ac:dyDescent="0.2">
      <c r="A278" s="7" t="s">
        <v>2212</v>
      </c>
      <c r="B278" t="str">
        <f t="shared" si="4"/>
        <v>OGKB IV кв. 2021</v>
      </c>
      <c r="C278">
        <v>2021</v>
      </c>
      <c r="D278">
        <f>SUMIFS(Дивиденды!$C:$C,Дивиденды!$A:$A,A278,Дивиденды!$I:$I,C278)</f>
        <v>9.6600000000000005E-2</v>
      </c>
      <c r="E278">
        <f>IFERROR(IF(VLOOKUP($B278,Показатели!$E:$W,2,FALSE)=0,"",VLOOKUP($B278,Показатели!$E:$W,2,FALSE)),"")</f>
        <v>70000000</v>
      </c>
      <c r="F278">
        <f>IFERROR(IF(VLOOKUP($B278,Показатели!$E:$W,3,FALSE)=0,"",VLOOKUP($B278,Показатели!$E:$W,3,FALSE)),"")</f>
        <v>40759000000</v>
      </c>
      <c r="G278">
        <f>IFERROR(IF(VLOOKUP($B278,Показатели!$E:$W,4,FALSE)=0,"",VLOOKUP($B278,Показатели!$E:$W,4,FALSE)),"")</f>
        <v>147745000000</v>
      </c>
      <c r="H278">
        <f>IFERROR(IF(VLOOKUP($B278,Показатели!$E:$W,5,FALSE)=0,"",VLOOKUP($B278,Показатели!$E:$W,5,FALSE)),"")</f>
        <v>338000000</v>
      </c>
      <c r="I278">
        <f>IFERROR(IF(VLOOKUP($B278,Показатели!$E:$W,6,FALSE)=0,"",VLOOKUP($B278,Показатели!$E:$W,6,FALSE)),"")</f>
        <v>210134000000</v>
      </c>
      <c r="J278">
        <f>IFERROR(IF(VLOOKUP($B278,Показатели!$E:$W,7,FALSE)=0,"",VLOOKUP($B278,Показатели!$E:$W,7,FALSE)),"")</f>
        <v>13893000000</v>
      </c>
      <c r="K278">
        <f>IFERROR(IF(VLOOKUP($B278,Показатели!$E:$W,8,FALSE)=0,"",VLOOKUP($B278,Показатели!$E:$W,8,FALSE)),"")</f>
        <v>53445000000</v>
      </c>
      <c r="L278">
        <f>IFERROR(IF(VLOOKUP($B278,Показатели!$E:$W,9,FALSE)=0,"",VLOOKUP($B278,Показатели!$E:$W,9,FALSE)),"")</f>
        <v>75877000000</v>
      </c>
      <c r="M278">
        <f>IFERROR(IF(VLOOKUP($B278,Показатели!$E:$W,10,FALSE)=0,"",VLOOKUP($B278,Показатели!$E:$W,10,FALSE)),"")</f>
        <v>142796000000</v>
      </c>
      <c r="N278">
        <f>IFERROR(IF(VLOOKUP($B278,Показатели!$E:$W,11,FALSE)=0,"",VLOOKUP($B278,Показатели!$E:$W,11,FALSE)),"")</f>
        <v>141574000000</v>
      </c>
      <c r="O278">
        <f>IFERROR(IF(VLOOKUP($B278,Показатели!$E:$W,12,FALSE)=0,"",VLOOKUP($B278,Показатели!$E:$W,12,FALSE)),"")</f>
        <v>7703000000</v>
      </c>
      <c r="P278">
        <f>IFERROR(IF(VLOOKUP($B278,Показатели!$E:$W,13,FALSE)=0,"",VLOOKUP($B278,Показатели!$E:$W,13,FALSE)),"")</f>
        <v>5616000000</v>
      </c>
      <c r="Q278">
        <f>IFERROR(IF(VLOOKUP($B278,Показатели!$E:$W,14,FALSE)=0,"",VLOOKUP($B278,Показатели!$E:$W,14,FALSE)),"")</f>
        <v>4435000000</v>
      </c>
      <c r="R278">
        <f>IFERROR(IF(VLOOKUP($B278,Показатели!$E:$W,15,FALSE)=0,"",VLOOKUP($B278,Показатели!$E:$W,15,FALSE)),"")</f>
        <v>13114000000</v>
      </c>
      <c r="S278">
        <f>IFERROR(IF(VLOOKUP($B278,Показатели!$E:$W,16,FALSE)=0,"",VLOOKUP($B278,Показатели!$E:$W,16,FALSE)),"")</f>
        <v>39543000000</v>
      </c>
      <c r="T278">
        <f>IFERROR(IF(VLOOKUP($B278,Показатели!$E:$W,17,FALSE)=0,"",VLOOKUP($B278,Показатели!$E:$W,17,FALSE)),"")</f>
        <v>-14832000000</v>
      </c>
      <c r="U278">
        <f>IFERROR(IF(VLOOKUP($B278,Показатели!$E:$W,18,FALSE)=0,"",VLOOKUP($B278,Показатели!$E:$W,18,FALSE)),"")</f>
        <v>120687000000</v>
      </c>
      <c r="V278">
        <f>IFERROR(IF(VLOOKUP($B278,Показатели!$E:$W,19,FALSE)=0,"",VLOOKUP($B278,Показатели!$E:$W,19,FALSE)),"")</f>
        <v>224431000000</v>
      </c>
    </row>
    <row r="279" spans="1:22" x14ac:dyDescent="0.2">
      <c r="A279" s="7" t="s">
        <v>2212</v>
      </c>
      <c r="B279" t="str">
        <f t="shared" si="4"/>
        <v>OGKB IV кв. 2020</v>
      </c>
      <c r="C279">
        <v>2020</v>
      </c>
      <c r="D279">
        <f>SUMIFS(Дивиденды!$C:$C,Дивиденды!$A:$A,A279,Дивиденды!$I:$I,C279)</f>
        <v>0.06</v>
      </c>
      <c r="E279">
        <f>IFERROR(IF(VLOOKUP($B279,Показатели!$E:$W,2,FALSE)=0,"",VLOOKUP($B279,Показатели!$E:$W,2,FALSE)),"")</f>
        <v>7000000</v>
      </c>
      <c r="F279">
        <f>IFERROR(IF(VLOOKUP($B279,Показатели!$E:$W,3,FALSE)=0,"",VLOOKUP($B279,Показатели!$E:$W,3,FALSE)),"")</f>
        <v>41467000000</v>
      </c>
      <c r="G279">
        <f>IFERROR(IF(VLOOKUP($B279,Показатели!$E:$W,4,FALSE)=0,"",VLOOKUP($B279,Показатели!$E:$W,4,FALSE)),"")</f>
        <v>160851000000</v>
      </c>
      <c r="H279">
        <f>IFERROR(IF(VLOOKUP($B279,Показатели!$E:$W,5,FALSE)=0,"",VLOOKUP($B279,Показатели!$E:$W,5,FALSE)),"")</f>
        <v>376000000</v>
      </c>
      <c r="I279">
        <f>IFERROR(IF(VLOOKUP($B279,Показатели!$E:$W,6,FALSE)=0,"",VLOOKUP($B279,Показатели!$E:$W,6,FALSE)),"")</f>
        <v>224431000000</v>
      </c>
      <c r="J279">
        <f>IFERROR(IF(VLOOKUP($B279,Показатели!$E:$W,7,FALSE)=0,"",VLOOKUP($B279,Показатели!$E:$W,7,FALSE)),"")</f>
        <v>18432000000</v>
      </c>
      <c r="K279">
        <f>IFERROR(IF(VLOOKUP($B279,Показатели!$E:$W,8,FALSE)=0,"",VLOOKUP($B279,Показатели!$E:$W,8,FALSE)),"")</f>
        <v>61354000000</v>
      </c>
      <c r="L279">
        <f>IFERROR(IF(VLOOKUP($B279,Показатели!$E:$W,9,FALSE)=0,"",VLOOKUP($B279,Показатели!$E:$W,9,FALSE)),"")</f>
        <v>77726000000</v>
      </c>
      <c r="M279">
        <f>IFERROR(IF(VLOOKUP($B279,Показатели!$E:$W,10,FALSE)=0,"",VLOOKUP($B279,Показатели!$E:$W,10,FALSE)),"")</f>
        <v>144645000000</v>
      </c>
      <c r="N279">
        <f>IFERROR(IF(VLOOKUP($B279,Показатели!$E:$W,11,FALSE)=0,"",VLOOKUP($B279,Показатели!$E:$W,11,FALSE)),"")</f>
        <v>120687000000</v>
      </c>
      <c r="O279">
        <f>IFERROR(IF(VLOOKUP($B279,Показатели!$E:$W,12,FALSE)=0,"",VLOOKUP($B279,Показатели!$E:$W,12,FALSE)),"")</f>
        <v>18384000000</v>
      </c>
      <c r="P279">
        <f>IFERROR(IF(VLOOKUP($B279,Показатели!$E:$W,13,FALSE)=0,"",VLOOKUP($B279,Показатели!$E:$W,13,FALSE)),"")</f>
        <v>17162000000</v>
      </c>
      <c r="Q279">
        <f>IFERROR(IF(VLOOKUP($B279,Показатели!$E:$W,14,FALSE)=0,"",VLOOKUP($B279,Показатели!$E:$W,14,FALSE)),"")</f>
        <v>13265000000</v>
      </c>
      <c r="R279">
        <f>IFERROR(IF(VLOOKUP($B279,Показатели!$E:$W,15,FALSE)=0,"",VLOOKUP($B279,Показатели!$E:$W,15,FALSE)),"")</f>
        <v>13185000000</v>
      </c>
      <c r="S279">
        <f>IFERROR(IF(VLOOKUP($B279,Показатели!$E:$W,16,FALSE)=0,"",VLOOKUP($B279,Показатели!$E:$W,16,FALSE)),"")</f>
        <v>31569000000</v>
      </c>
      <c r="T279">
        <f>IFERROR(IF(VLOOKUP($B279,Показатели!$E:$W,17,FALSE)=0,"",VLOOKUP($B279,Показатели!$E:$W,17,FALSE)),"")</f>
        <v>-6910000000</v>
      </c>
      <c r="U279">
        <f>IFERROR(IF(VLOOKUP($B279,Показатели!$E:$W,18,FALSE)=0,"",VLOOKUP($B279,Показатели!$E:$W,18,FALSE)),"")</f>
        <v>134579000000</v>
      </c>
      <c r="V279">
        <f>IFERROR(IF(VLOOKUP($B279,Показатели!$E:$W,19,FALSE)=0,"",VLOOKUP($B279,Показатели!$E:$W,19,FALSE)),"")</f>
        <v>225903000000</v>
      </c>
    </row>
    <row r="280" spans="1:22" x14ac:dyDescent="0.2">
      <c r="A280" s="7" t="s">
        <v>2212</v>
      </c>
      <c r="B280" t="str">
        <f t="shared" si="4"/>
        <v>OGKB IV кв. 2019</v>
      </c>
      <c r="C280">
        <v>2019</v>
      </c>
      <c r="D280">
        <f>SUMIFS(Дивиденды!$C:$C,Дивиденды!$A:$A,A280,Дивиденды!$I:$I,C280)</f>
        <v>5.4399999999999997E-2</v>
      </c>
      <c r="E280">
        <f>IFERROR(IF(VLOOKUP($B280,Показатели!$E:$W,2,FALSE)=0,"",VLOOKUP($B280,Показатели!$E:$W,2,FALSE)),"")</f>
        <v>92000000</v>
      </c>
      <c r="F280">
        <f>IFERROR(IF(VLOOKUP($B280,Показатели!$E:$W,3,FALSE)=0,"",VLOOKUP($B280,Показатели!$E:$W,3,FALSE)),"")</f>
        <v>41449000000</v>
      </c>
      <c r="G280">
        <f>IFERROR(IF(VLOOKUP($B280,Показатели!$E:$W,4,FALSE)=0,"",VLOOKUP($B280,Показатели!$E:$W,4,FALSE)),"")</f>
        <v>162476000000</v>
      </c>
      <c r="H280">
        <f>IFERROR(IF(VLOOKUP($B280,Показатели!$E:$W,5,FALSE)=0,"",VLOOKUP($B280,Показатели!$E:$W,5,FALSE)),"")</f>
        <v>442000000</v>
      </c>
      <c r="I280">
        <f>IFERROR(IF(VLOOKUP($B280,Показатели!$E:$W,6,FALSE)=0,"",VLOOKUP($B280,Показатели!$E:$W,6,FALSE)),"")</f>
        <v>225903000000</v>
      </c>
      <c r="J280">
        <f>IFERROR(IF(VLOOKUP($B280,Показатели!$E:$W,7,FALSE)=0,"",VLOOKUP($B280,Показатели!$E:$W,7,FALSE)),"")</f>
        <v>37220000000</v>
      </c>
      <c r="K280">
        <f>IFERROR(IF(VLOOKUP($B280,Показатели!$E:$W,8,FALSE)=0,"",VLOOKUP($B280,Показатели!$E:$W,8,FALSE)),"")</f>
        <v>51342000000</v>
      </c>
      <c r="L280">
        <f>IFERROR(IF(VLOOKUP($B280,Показатели!$E:$W,9,FALSE)=0,"",VLOOKUP($B280,Показатели!$E:$W,9,FALSE)),"")</f>
        <v>70423000000</v>
      </c>
      <c r="M280">
        <f>IFERROR(IF(VLOOKUP($B280,Показатели!$E:$W,10,FALSE)=0,"",VLOOKUP($B280,Показатели!$E:$W,10,FALSE)),"")</f>
        <v>137341000000</v>
      </c>
      <c r="N280">
        <f>IFERROR(IF(VLOOKUP($B280,Показатели!$E:$W,11,FALSE)=0,"",VLOOKUP($B280,Показатели!$E:$W,11,FALSE)),"")</f>
        <v>134579000000</v>
      </c>
      <c r="O280">
        <f>IFERROR(IF(VLOOKUP($B280,Показатели!$E:$W,12,FALSE)=0,"",VLOOKUP($B280,Показатели!$E:$W,12,FALSE)),"")</f>
        <v>17838000000</v>
      </c>
      <c r="P280">
        <f>IFERROR(IF(VLOOKUP($B280,Показатели!$E:$W,13,FALSE)=0,"",VLOOKUP($B280,Показатели!$E:$W,13,FALSE)),"")</f>
        <v>15054000000</v>
      </c>
      <c r="Q280">
        <f>IFERROR(IF(VLOOKUP($B280,Показатели!$E:$W,14,FALSE)=0,"",VLOOKUP($B280,Показатели!$E:$W,14,FALSE)),"")</f>
        <v>12025000000</v>
      </c>
      <c r="R280">
        <f>IFERROR(IF(VLOOKUP($B280,Показатели!$E:$W,15,FALSE)=0,"",VLOOKUP($B280,Показатели!$E:$W,15,FALSE)),"")</f>
        <v>13365000000</v>
      </c>
      <c r="S280">
        <f>IFERROR(IF(VLOOKUP($B280,Показатели!$E:$W,16,FALSE)=0,"",VLOOKUP($B280,Показатели!$E:$W,16,FALSE)),"")</f>
        <v>31203000000</v>
      </c>
      <c r="T280">
        <f>IFERROR(IF(VLOOKUP($B280,Показатели!$E:$W,17,FALSE)=0,"",VLOOKUP($B280,Показатели!$E:$W,17,FALSE)),"")</f>
        <v>-9092000000</v>
      </c>
      <c r="U280">
        <f>IFERROR(IF(VLOOKUP($B280,Показатели!$E:$W,18,FALSE)=0,"",VLOOKUP($B280,Показатели!$E:$W,18,FALSE)),"")</f>
        <v>143227002000</v>
      </c>
      <c r="V280">
        <f>IFERROR(IF(VLOOKUP($B280,Показатели!$E:$W,19,FALSE)=0,"",VLOOKUP($B280,Показатели!$E:$W,19,FALSE)),"")</f>
        <v>213381420000</v>
      </c>
    </row>
    <row r="281" spans="1:22" x14ac:dyDescent="0.2">
      <c r="A281" s="7" t="s">
        <v>2212</v>
      </c>
      <c r="B281" t="str">
        <f t="shared" si="4"/>
        <v>OGKB IV кв. 2018</v>
      </c>
      <c r="C281">
        <v>2018</v>
      </c>
      <c r="D281">
        <f>SUMIFS(Дивиденды!$C:$C,Дивиденды!$A:$A,A281,Дивиденды!$I:$I,C281)</f>
        <v>3.6799999999999999E-2</v>
      </c>
      <c r="E281">
        <f>IFERROR(IF(VLOOKUP($B281,Показатели!$E:$W,2,FALSE)=0,"",VLOOKUP($B281,Показатели!$E:$W,2,FALSE)),"")</f>
        <v>6577568000</v>
      </c>
      <c r="F281">
        <f>IFERROR(IF(VLOOKUP($B281,Показатели!$E:$W,3,FALSE)=0,"",VLOOKUP($B281,Показатели!$E:$W,3,FALSE)),"")</f>
        <v>34941795000</v>
      </c>
      <c r="G281">
        <f>IFERROR(IF(VLOOKUP($B281,Показатели!$E:$W,4,FALSE)=0,"",VLOOKUP($B281,Показатели!$E:$W,4,FALSE)),"")</f>
        <v>176494377000</v>
      </c>
      <c r="H281">
        <f>IFERROR(IF(VLOOKUP($B281,Показатели!$E:$W,5,FALSE)=0,"",VLOOKUP($B281,Показатели!$E:$W,5,FALSE)),"")</f>
        <v>615685000</v>
      </c>
      <c r="I281">
        <f>IFERROR(IF(VLOOKUP($B281,Показатели!$E:$W,6,FALSE)=0,"",VLOOKUP($B281,Показатели!$E:$W,6,FALSE)),"")</f>
        <v>213381420000</v>
      </c>
      <c r="J281">
        <f>IFERROR(IF(VLOOKUP($B281,Показатели!$E:$W,7,FALSE)=0,"",VLOOKUP($B281,Показатели!$E:$W,7,FALSE)),"")</f>
        <v>27185529000</v>
      </c>
      <c r="K281">
        <f>IFERROR(IF(VLOOKUP($B281,Показатели!$E:$W,8,FALSE)=0,"",VLOOKUP($B281,Показатели!$E:$W,8,FALSE)),"")</f>
        <v>58880319000</v>
      </c>
      <c r="L281">
        <f>IFERROR(IF(VLOOKUP($B281,Показатели!$E:$W,9,FALSE)=0,"",VLOOKUP($B281,Показатели!$E:$W,9,FALSE)),"")</f>
        <v>62586843000</v>
      </c>
      <c r="M281">
        <f>IFERROR(IF(VLOOKUP($B281,Показатели!$E:$W,10,FALSE)=0,"",VLOOKUP($B281,Показатели!$E:$W,10,FALSE)),"")</f>
        <v>127315572000</v>
      </c>
      <c r="N281">
        <f>IFERROR(IF(VLOOKUP($B281,Показатели!$E:$W,11,FALSE)=0,"",VLOOKUP($B281,Показатели!$E:$W,11,FALSE)),"")</f>
        <v>143227002000</v>
      </c>
      <c r="O281">
        <f>IFERROR(IF(VLOOKUP($B281,Показатели!$E:$W,12,FALSE)=0,"",VLOOKUP($B281,Показатели!$E:$W,12,FALSE)),"")</f>
        <v>13986011000</v>
      </c>
      <c r="P281">
        <f>IFERROR(IF(VLOOKUP($B281,Показатели!$E:$W,13,FALSE)=0,"",VLOOKUP($B281,Показатели!$E:$W,13,FALSE)),"")</f>
        <v>10392386000</v>
      </c>
      <c r="Q281">
        <f>IFERROR(IF(VLOOKUP($B281,Показатели!$E:$W,14,FALSE)=0,"",VLOOKUP($B281,Показатели!$E:$W,14,FALSE)),"")</f>
        <v>8304825000</v>
      </c>
      <c r="R281">
        <f>IFERROR(IF(VLOOKUP($B281,Показатели!$E:$W,15,FALSE)=0,"",VLOOKUP($B281,Показатели!$E:$W,15,FALSE)),"")</f>
        <v>12970321000</v>
      </c>
      <c r="S281">
        <f>IFERROR(IF(VLOOKUP($B281,Показатели!$E:$W,16,FALSE)=0,"",VLOOKUP($B281,Показатели!$E:$W,16,FALSE)),"")</f>
        <v>26936000000</v>
      </c>
      <c r="T281">
        <f>IFERROR(IF(VLOOKUP($B281,Показатели!$E:$W,17,FALSE)=0,"",VLOOKUP($B281,Показатели!$E:$W,17,FALSE)),"")</f>
        <v>-9045736000</v>
      </c>
      <c r="U281">
        <f>IFERROR(IF(VLOOKUP($B281,Показатели!$E:$W,18,FALSE)=0,"",VLOOKUP($B281,Показатели!$E:$W,18,FALSE)),"")</f>
        <v>141307552000</v>
      </c>
      <c r="V281">
        <f>IFERROR(IF(VLOOKUP($B281,Показатели!$E:$W,19,FALSE)=0,"",VLOOKUP($B281,Показатели!$E:$W,19,FALSE)),"")</f>
        <v>216059784000</v>
      </c>
    </row>
    <row r="282" spans="1:22" x14ac:dyDescent="0.2">
      <c r="A282" s="7" t="s">
        <v>2212</v>
      </c>
      <c r="B282" t="str">
        <f t="shared" si="4"/>
        <v>OGKB IV кв. 2017</v>
      </c>
      <c r="C282">
        <v>2017</v>
      </c>
      <c r="D282">
        <f>SUMIFS(Дивиденды!$C:$C,Дивиденды!$A:$A,A282,Дивиденды!$I:$I,C282)</f>
        <v>1.6299999999999999E-2</v>
      </c>
      <c r="E282">
        <f>IFERROR(IF(VLOOKUP($B282,Показатели!$E:$W,2,FALSE)=0,"",VLOOKUP($B282,Показатели!$E:$W,2,FALSE)),"")</f>
        <v>5140926000</v>
      </c>
      <c r="F282">
        <f>IFERROR(IF(VLOOKUP($B282,Показатели!$E:$W,3,FALSE)=0,"",VLOOKUP($B282,Показатели!$E:$W,3,FALSE)),"")</f>
        <v>29808432000</v>
      </c>
      <c r="G282">
        <f>IFERROR(IF(VLOOKUP($B282,Показатели!$E:$W,4,FALSE)=0,"",VLOOKUP($B282,Показатели!$E:$W,4,FALSE)),"")</f>
        <v>184267282000</v>
      </c>
      <c r="H282">
        <f>IFERROR(IF(VLOOKUP($B282,Показатели!$E:$W,5,FALSE)=0,"",VLOOKUP($B282,Показатели!$E:$W,5,FALSE)),"")</f>
        <v>718174000</v>
      </c>
      <c r="I282">
        <f>IFERROR(IF(VLOOKUP($B282,Показатели!$E:$W,6,FALSE)=0,"",VLOOKUP($B282,Показатели!$E:$W,6,FALSE)),"")</f>
        <v>216059784000</v>
      </c>
      <c r="J282">
        <f>IFERROR(IF(VLOOKUP($B282,Показатели!$E:$W,7,FALSE)=0,"",VLOOKUP($B282,Показатели!$E:$W,7,FALSE)),"")</f>
        <v>21504680000</v>
      </c>
      <c r="K282">
        <f>IFERROR(IF(VLOOKUP($B282,Показатели!$E:$W,8,FALSE)=0,"",VLOOKUP($B282,Показатели!$E:$W,8,FALSE)),"")</f>
        <v>73542506000</v>
      </c>
      <c r="L282">
        <f>IFERROR(IF(VLOOKUP($B282,Показатели!$E:$W,9,FALSE)=0,"",VLOOKUP($B282,Показатели!$E:$W,9,FALSE)),"")</f>
        <v>56398279000</v>
      </c>
      <c r="M282">
        <f>IFERROR(IF(VLOOKUP($B282,Показатели!$E:$W,10,FALSE)=0,"",VLOOKUP($B282,Показатели!$E:$W,10,FALSE)),"")</f>
        <v>121012598000</v>
      </c>
      <c r="N282">
        <f>IFERROR(IF(VLOOKUP($B282,Показатели!$E:$W,11,FALSE)=0,"",VLOOKUP($B282,Показатели!$E:$W,11,FALSE)),"")</f>
        <v>141307552000</v>
      </c>
      <c r="O282">
        <f>IFERROR(IF(VLOOKUP($B282,Показатели!$E:$W,12,FALSE)=0,"",VLOOKUP($B282,Показатели!$E:$W,12,FALSE)),"")</f>
        <v>15551354000</v>
      </c>
      <c r="P282">
        <f>IFERROR(IF(VLOOKUP($B282,Показатели!$E:$W,13,FALSE)=0,"",VLOOKUP($B282,Показатели!$E:$W,13,FALSE)),"")</f>
        <v>10147714000</v>
      </c>
      <c r="Q282">
        <f>IFERROR(IF(VLOOKUP($B282,Показатели!$E:$W,14,FALSE)=0,"",VLOOKUP($B282,Показатели!$E:$W,14,FALSE)),"")</f>
        <v>7200861000</v>
      </c>
      <c r="R282">
        <f>IFERROR(IF(VLOOKUP($B282,Показатели!$E:$W,15,FALSE)=0,"",VLOOKUP($B282,Показатели!$E:$W,15,FALSE)),"")</f>
        <v>11265422000</v>
      </c>
      <c r="S282">
        <f>IFERROR(IF(VLOOKUP($B282,Показатели!$E:$W,16,FALSE)=0,"",VLOOKUP($B282,Показатели!$E:$W,16,FALSE)),"")</f>
        <v>26816000000</v>
      </c>
      <c r="T282">
        <f>IFERROR(IF(VLOOKUP($B282,Показатели!$E:$W,17,FALSE)=0,"",VLOOKUP($B282,Показатели!$E:$W,17,FALSE)),"")</f>
        <v>-10239200000</v>
      </c>
      <c r="U282">
        <f>IFERROR(IF(VLOOKUP($B282,Показатели!$E:$W,18,FALSE)=0,"",VLOOKUP($B282,Показатели!$E:$W,18,FALSE)),"")</f>
        <v>134397876000</v>
      </c>
      <c r="V282">
        <f>IFERROR(IF(VLOOKUP($B282,Показатели!$E:$W,19,FALSE)=0,"",VLOOKUP($B282,Показатели!$E:$W,19,FALSE)),"")</f>
        <v>216408036000</v>
      </c>
    </row>
    <row r="283" spans="1:22" x14ac:dyDescent="0.2">
      <c r="A283" s="7" t="s">
        <v>2212</v>
      </c>
      <c r="B283" t="str">
        <f t="shared" si="4"/>
        <v>OGKB IV кв. 2016</v>
      </c>
      <c r="C283">
        <v>2016</v>
      </c>
      <c r="D283">
        <f>SUMIFS(Дивиденды!$C:$C,Дивиденды!$A:$A,A283,Дивиденды!$I:$I,C283)</f>
        <v>8.2529999999999999E-3</v>
      </c>
      <c r="E283">
        <f>IFERROR(IF(VLOOKUP($B283,Показатели!$E:$W,2,FALSE)=0,"",VLOOKUP($B283,Показатели!$E:$W,2,FALSE)),"")</f>
        <v>4538684000</v>
      </c>
      <c r="F283">
        <f>IFERROR(IF(VLOOKUP($B283,Показатели!$E:$W,3,FALSE)=0,"",VLOOKUP($B283,Показатели!$E:$W,3,FALSE)),"")</f>
        <v>29563681000</v>
      </c>
      <c r="G283">
        <f>IFERROR(IF(VLOOKUP($B283,Показатели!$E:$W,4,FALSE)=0,"",VLOOKUP($B283,Показатели!$E:$W,4,FALSE)),"")</f>
        <v>184799186000</v>
      </c>
      <c r="H283" t="str">
        <f>IFERROR(IF(VLOOKUP($B283,Показатели!$E:$W,5,FALSE)=0,"",VLOOKUP($B283,Показатели!$E:$W,5,FALSE)),"")</f>
        <v/>
      </c>
      <c r="I283">
        <f>IFERROR(IF(VLOOKUP($B283,Показатели!$E:$W,6,FALSE)=0,"",VLOOKUP($B283,Показатели!$E:$W,6,FALSE)),"")</f>
        <v>216408036000</v>
      </c>
      <c r="J283">
        <f>IFERROR(IF(VLOOKUP($B283,Показатели!$E:$W,7,FALSE)=0,"",VLOOKUP($B283,Показатели!$E:$W,7,FALSE)),"")</f>
        <v>49694182000</v>
      </c>
      <c r="K283">
        <f>IFERROR(IF(VLOOKUP($B283,Показатели!$E:$W,8,FALSE)=0,"",VLOOKUP($B283,Показатели!$E:$W,8,FALSE)),"")</f>
        <v>51922954000</v>
      </c>
      <c r="L283">
        <f>IFERROR(IF(VLOOKUP($B283,Показатели!$E:$W,9,FALSE)=0,"",VLOOKUP($B283,Показатели!$E:$W,9,FALSE)),"")</f>
        <v>50317063000</v>
      </c>
      <c r="M283">
        <f>IFERROR(IF(VLOOKUP($B283,Показатели!$E:$W,10,FALSE)=0,"",VLOOKUP($B283,Показатели!$E:$W,10,FALSE)),"")</f>
        <v>114790900000</v>
      </c>
      <c r="N283">
        <f>IFERROR(IF(VLOOKUP($B283,Показатели!$E:$W,11,FALSE)=0,"",VLOOKUP($B283,Показатели!$E:$W,11,FALSE)),"")</f>
        <v>134397876000</v>
      </c>
      <c r="O283">
        <f>IFERROR(IF(VLOOKUP($B283,Показатели!$E:$W,12,FALSE)=0,"",VLOOKUP($B283,Показатели!$E:$W,12,FALSE)),"")</f>
        <v>9389245000</v>
      </c>
      <c r="P283">
        <f>IFERROR(IF(VLOOKUP($B283,Показатели!$E:$W,13,FALSE)=0,"",VLOOKUP($B283,Показатели!$E:$W,13,FALSE)),"")</f>
        <v>4967041000</v>
      </c>
      <c r="Q283">
        <f>IFERROR(IF(VLOOKUP($B283,Показатели!$E:$W,14,FALSE)=0,"",VLOOKUP($B283,Показатели!$E:$W,14,FALSE)),"")</f>
        <v>3052589000</v>
      </c>
      <c r="R283" t="str">
        <f>IFERROR(IF(VLOOKUP($B283,Показатели!$E:$W,15,FALSE)=0,"",VLOOKUP($B283,Показатели!$E:$W,15,FALSE)),"")</f>
        <v/>
      </c>
      <c r="S283">
        <f>IFERROR(IF(VLOOKUP($B283,Показатели!$E:$W,16,FALSE)=0,"",VLOOKUP($B283,Показатели!$E:$W,16,FALSE)),"")</f>
        <v>18923000000</v>
      </c>
      <c r="T283" t="str">
        <f>IFERROR(IF(VLOOKUP($B283,Показатели!$E:$W,17,FALSE)=0,"",VLOOKUP($B283,Показатели!$E:$W,17,FALSE)),"")</f>
        <v/>
      </c>
      <c r="U283">
        <f>IFERROR(IF(VLOOKUP($B283,Показатели!$E:$W,18,FALSE)=0,"",VLOOKUP($B283,Показатели!$E:$W,18,FALSE)),"")</f>
        <v>112233374000</v>
      </c>
      <c r="V283">
        <f>IFERROR(IF(VLOOKUP($B283,Показатели!$E:$W,19,FALSE)=0,"",VLOOKUP($B283,Показатели!$E:$W,19,FALSE)),"")</f>
        <v>215377045000</v>
      </c>
    </row>
    <row r="284" spans="1:22" x14ac:dyDescent="0.2">
      <c r="A284" s="7" t="s">
        <v>2212</v>
      </c>
      <c r="B284" t="str">
        <f t="shared" si="4"/>
        <v>OGKB IV кв. 2015</v>
      </c>
      <c r="C284">
        <v>2015</v>
      </c>
      <c r="D284">
        <f>SUMIFS(Дивиденды!$C:$C,Дивиденды!$A:$A,A284,Дивиденды!$I:$I,C284)</f>
        <v>5.6740000000000002E-3</v>
      </c>
      <c r="E284">
        <f>IFERROR(IF(VLOOKUP($B284,Показатели!$E:$W,2,FALSE)=0,"",VLOOKUP($B284,Показатели!$E:$W,2,FALSE)),"")</f>
        <v>7544369000</v>
      </c>
      <c r="F284">
        <f>IFERROR(IF(VLOOKUP($B284,Показатели!$E:$W,3,FALSE)=0,"",VLOOKUP($B284,Показатели!$E:$W,3,FALSE)),"")</f>
        <v>34896273000</v>
      </c>
      <c r="G284">
        <f>IFERROR(IF(VLOOKUP($B284,Показатели!$E:$W,4,FALSE)=0,"",VLOOKUP($B284,Показатели!$E:$W,4,FALSE)),"")</f>
        <v>178397832000</v>
      </c>
      <c r="H284" t="str">
        <f>IFERROR(IF(VLOOKUP($B284,Показатели!$E:$W,5,FALSE)=0,"",VLOOKUP($B284,Показатели!$E:$W,5,FALSE)),"")</f>
        <v/>
      </c>
      <c r="I284">
        <f>IFERROR(IF(VLOOKUP($B284,Показатели!$E:$W,6,FALSE)=0,"",VLOOKUP($B284,Показатели!$E:$W,6,FALSE)),"")</f>
        <v>215377045000</v>
      </c>
      <c r="J284">
        <f>IFERROR(IF(VLOOKUP($B284,Показатели!$E:$W,7,FALSE)=0,"",VLOOKUP($B284,Показатели!$E:$W,7,FALSE)),"")</f>
        <v>49651023000</v>
      </c>
      <c r="K284">
        <f>IFERROR(IF(VLOOKUP($B284,Показатели!$E:$W,8,FALSE)=0,"",VLOOKUP($B284,Показатели!$E:$W,8,FALSE)),"")</f>
        <v>50524960000</v>
      </c>
      <c r="L284">
        <f>IFERROR(IF(VLOOKUP($B284,Показатели!$E:$W,9,FALSE)=0,"",VLOOKUP($B284,Показатели!$E:$W,9,FALSE)),"")</f>
        <v>48832446000</v>
      </c>
      <c r="M284">
        <f>IFERROR(IF(VLOOKUP($B284,Показатели!$E:$W,10,FALSE)=0,"",VLOOKUP($B284,Показатели!$E:$W,10,FALSE)),"")</f>
        <v>115201062000</v>
      </c>
      <c r="N284">
        <f>IFERROR(IF(VLOOKUP($B284,Показатели!$E:$W,11,FALSE)=0,"",VLOOKUP($B284,Показатели!$E:$W,11,FALSE)),"")</f>
        <v>112233374000</v>
      </c>
      <c r="O284">
        <f>IFERROR(IF(VLOOKUP($B284,Показатели!$E:$W,12,FALSE)=0,"",VLOOKUP($B284,Показатели!$E:$W,12,FALSE)),"")</f>
        <v>3918490000</v>
      </c>
      <c r="P284">
        <f>IFERROR(IF(VLOOKUP($B284,Показатели!$E:$W,13,FALSE)=0,"",VLOOKUP($B284,Показатели!$E:$W,13,FALSE)),"")</f>
        <v>3381924000</v>
      </c>
      <c r="Q284">
        <f>IFERROR(IF(VLOOKUP($B284,Показатели!$E:$W,14,FALSE)=0,"",VLOOKUP($B284,Показатели!$E:$W,14,FALSE)),"")</f>
        <v>2596623000</v>
      </c>
      <c r="R284" t="str">
        <f>IFERROR(IF(VLOOKUP($B284,Показатели!$E:$W,15,FALSE)=0,"",VLOOKUP($B284,Показатели!$E:$W,15,FALSE)),"")</f>
        <v/>
      </c>
      <c r="S284">
        <f>IFERROR(IF(VLOOKUP($B284,Показатели!$E:$W,16,FALSE)=0,"",VLOOKUP($B284,Показатели!$E:$W,16,FALSE)),"")</f>
        <v>10111000000</v>
      </c>
      <c r="T284" t="str">
        <f>IFERROR(IF(VLOOKUP($B284,Показатели!$E:$W,17,FALSE)=0,"",VLOOKUP($B284,Показатели!$E:$W,17,FALSE)),"")</f>
        <v/>
      </c>
      <c r="U284">
        <f>IFERROR(IF(VLOOKUP($B284,Показатели!$E:$W,18,FALSE)=0,"",VLOOKUP($B284,Показатели!$E:$W,18,FALSE)),"")</f>
        <v>116038297000</v>
      </c>
      <c r="V284">
        <f>IFERROR(IF(VLOOKUP($B284,Показатели!$E:$W,19,FALSE)=0,"",VLOOKUP($B284,Показатели!$E:$W,19,FALSE)),"")</f>
        <v>181365108000</v>
      </c>
    </row>
    <row r="285" spans="1:22" x14ac:dyDescent="0.2">
      <c r="A285" s="7" t="s">
        <v>2212</v>
      </c>
      <c r="B285" t="str">
        <f t="shared" si="4"/>
        <v>OGKB IV кв. 2014</v>
      </c>
      <c r="C285">
        <v>2014</v>
      </c>
      <c r="D285">
        <f>SUMIFS(Дивиденды!$C:$C,Дивиденды!$A:$A,A285,Дивиденды!$I:$I,C285)</f>
        <v>8.1419999999999999E-3</v>
      </c>
      <c r="E285">
        <f>IFERROR(IF(VLOOKUP($B285,Показатели!$E:$W,2,FALSE)=0,"",VLOOKUP($B285,Показатели!$E:$W,2,FALSE)),"")</f>
        <v>13055599000</v>
      </c>
      <c r="F285">
        <f>IFERROR(IF(VLOOKUP($B285,Показатели!$E:$W,3,FALSE)=0,"",VLOOKUP($B285,Показатели!$E:$W,3,FALSE)),"")</f>
        <v>34660478000</v>
      </c>
      <c r="G285">
        <f>IFERROR(IF(VLOOKUP($B285,Показатели!$E:$W,4,FALSE)=0,"",VLOOKUP($B285,Показатели!$E:$W,4,FALSE)),"")</f>
        <v>142756234000</v>
      </c>
      <c r="H285" t="str">
        <f>IFERROR(IF(VLOOKUP($B285,Показатели!$E:$W,5,FALSE)=0,"",VLOOKUP($B285,Показатели!$E:$W,5,FALSE)),"")</f>
        <v/>
      </c>
      <c r="I285">
        <f>IFERROR(IF(VLOOKUP($B285,Показатели!$E:$W,6,FALSE)=0,"",VLOOKUP($B285,Показатели!$E:$W,6,FALSE)),"")</f>
        <v>181365108000</v>
      </c>
      <c r="J285">
        <f>IFERROR(IF(VLOOKUP($B285,Показатели!$E:$W,7,FALSE)=0,"",VLOOKUP($B285,Показатели!$E:$W,7,FALSE)),"")</f>
        <v>19139813000</v>
      </c>
      <c r="K285">
        <f>IFERROR(IF(VLOOKUP($B285,Показатели!$E:$W,8,FALSE)=0,"",VLOOKUP($B285,Показатели!$E:$W,8,FALSE)),"")</f>
        <v>50619542000</v>
      </c>
      <c r="L285">
        <f>IFERROR(IF(VLOOKUP($B285,Показатели!$E:$W,9,FALSE)=0,"",VLOOKUP($B285,Показатели!$E:$W,9,FALSE)),"")</f>
        <v>47509382000</v>
      </c>
      <c r="M285">
        <f>IFERROR(IF(VLOOKUP($B285,Показатели!$E:$W,10,FALSE)=0,"",VLOOKUP($B285,Показатели!$E:$W,10,FALSE)),"")</f>
        <v>111605753000</v>
      </c>
      <c r="N285">
        <f>IFERROR(IF(VLOOKUP($B285,Показатели!$E:$W,11,FALSE)=0,"",VLOOKUP($B285,Показатели!$E:$W,11,FALSE)),"")</f>
        <v>116038297000</v>
      </c>
      <c r="O285">
        <f>IFERROR(IF(VLOOKUP($B285,Показатели!$E:$W,12,FALSE)=0,"",VLOOKUP($B285,Показатели!$E:$W,12,FALSE)),"")</f>
        <v>-691798000</v>
      </c>
      <c r="P285">
        <f>IFERROR(IF(VLOOKUP($B285,Показатели!$E:$W,13,FALSE)=0,"",VLOOKUP($B285,Показатели!$E:$W,13,FALSE)),"")</f>
        <v>-487466000</v>
      </c>
      <c r="Q285">
        <f>IFERROR(IF(VLOOKUP($B285,Показатели!$E:$W,14,FALSE)=0,"",VLOOKUP($B285,Показатели!$E:$W,14,FALSE)),"")</f>
        <v>-1432604000</v>
      </c>
      <c r="R285" t="str">
        <f>IFERROR(IF(VLOOKUP($B285,Показатели!$E:$W,15,FALSE)=0,"",VLOOKUP($B285,Показатели!$E:$W,15,FALSE)),"")</f>
        <v/>
      </c>
      <c r="S285" t="str">
        <f>IFERROR(IF(VLOOKUP($B285,Показатели!$E:$W,16,FALSE)=0,"",VLOOKUP($B285,Показатели!$E:$W,16,FALSE)),"")</f>
        <v/>
      </c>
      <c r="T285" t="str">
        <f>IFERROR(IF(VLOOKUP($B285,Показатели!$E:$W,17,FALSE)=0,"",VLOOKUP($B285,Показатели!$E:$W,17,FALSE)),"")</f>
        <v/>
      </c>
      <c r="U285" t="str">
        <f>IFERROR(IF(VLOOKUP($B285,Показатели!$E:$W,18,FALSE)=0,"",VLOOKUP($B285,Показатели!$E:$W,18,FALSE)),"")</f>
        <v/>
      </c>
      <c r="V285" t="str">
        <f>IFERROR(IF(VLOOKUP($B285,Показатели!$E:$W,19,FALSE)=0,"",VLOOKUP($B285,Показатели!$E:$W,19,FALSE)),"")</f>
        <v/>
      </c>
    </row>
    <row r="286" spans="1:22" x14ac:dyDescent="0.2">
      <c r="A286" s="7" t="s">
        <v>2212</v>
      </c>
      <c r="B286" t="str">
        <f t="shared" si="4"/>
        <v>OGKB IV кв. 2013</v>
      </c>
      <c r="C286">
        <v>2013</v>
      </c>
      <c r="D286">
        <f>SUMIFS(Дивиденды!$C:$C,Дивиденды!$A:$A,A286,Дивиденды!$I:$I,C286)</f>
        <v>0</v>
      </c>
      <c r="E286" t="str">
        <f>IFERROR(IF(VLOOKUP($B286,Показатели!$E:$W,2,FALSE)=0,"",VLOOKUP($B286,Показатели!$E:$W,2,FALSE)),"")</f>
        <v/>
      </c>
      <c r="F286" t="str">
        <f>IFERROR(IF(VLOOKUP($B286,Показатели!$E:$W,3,FALSE)=0,"",VLOOKUP($B286,Показатели!$E:$W,3,FALSE)),"")</f>
        <v/>
      </c>
      <c r="G286" t="str">
        <f>IFERROR(IF(VLOOKUP($B286,Показатели!$E:$W,4,FALSE)=0,"",VLOOKUP($B286,Показатели!$E:$W,4,FALSE)),"")</f>
        <v/>
      </c>
      <c r="H286" t="str">
        <f>IFERROR(IF(VLOOKUP($B286,Показатели!$E:$W,5,FALSE)=0,"",VLOOKUP($B286,Показатели!$E:$W,5,FALSE)),"")</f>
        <v/>
      </c>
      <c r="I286" t="str">
        <f>IFERROR(IF(VLOOKUP($B286,Показатели!$E:$W,6,FALSE)=0,"",VLOOKUP($B286,Показатели!$E:$W,6,FALSE)),"")</f>
        <v/>
      </c>
      <c r="J286" t="str">
        <f>IFERROR(IF(VLOOKUP($B286,Показатели!$E:$W,7,FALSE)=0,"",VLOOKUP($B286,Показатели!$E:$W,7,FALSE)),"")</f>
        <v/>
      </c>
      <c r="K286" t="str">
        <f>IFERROR(IF(VLOOKUP($B286,Показатели!$E:$W,8,FALSE)=0,"",VLOOKUP($B286,Показатели!$E:$W,8,FALSE)),"")</f>
        <v/>
      </c>
      <c r="L286" t="str">
        <f>IFERROR(IF(VLOOKUP($B286,Показатели!$E:$W,9,FALSE)=0,"",VLOOKUP($B286,Показатели!$E:$W,9,FALSE)),"")</f>
        <v/>
      </c>
      <c r="M286" t="str">
        <f>IFERROR(IF(VLOOKUP($B286,Показатели!$E:$W,10,FALSE)=0,"",VLOOKUP($B286,Показатели!$E:$W,10,FALSE)),"")</f>
        <v/>
      </c>
      <c r="N286" t="str">
        <f>IFERROR(IF(VLOOKUP($B286,Показатели!$E:$W,11,FALSE)=0,"",VLOOKUP($B286,Показатели!$E:$W,11,FALSE)),"")</f>
        <v/>
      </c>
      <c r="O286" t="str">
        <f>IFERROR(IF(VLOOKUP($B286,Показатели!$E:$W,12,FALSE)=0,"",VLOOKUP($B286,Показатели!$E:$W,12,FALSE)),"")</f>
        <v/>
      </c>
      <c r="P286" t="str">
        <f>IFERROR(IF(VLOOKUP($B286,Показатели!$E:$W,13,FALSE)=0,"",VLOOKUP($B286,Показатели!$E:$W,13,FALSE)),"")</f>
        <v/>
      </c>
      <c r="Q286" t="str">
        <f>IFERROR(IF(VLOOKUP($B286,Показатели!$E:$W,14,FALSE)=0,"",VLOOKUP($B286,Показатели!$E:$W,14,FALSE)),"")</f>
        <v/>
      </c>
      <c r="R286" t="str">
        <f>IFERROR(IF(VLOOKUP($B286,Показатели!$E:$W,15,FALSE)=0,"",VLOOKUP($B286,Показатели!$E:$W,15,FALSE)),"")</f>
        <v/>
      </c>
      <c r="S286" t="str">
        <f>IFERROR(IF(VLOOKUP($B286,Показатели!$E:$W,16,FALSE)=0,"",VLOOKUP($B286,Показатели!$E:$W,16,FALSE)),"")</f>
        <v/>
      </c>
      <c r="T286" t="str">
        <f>IFERROR(IF(VLOOKUP($B286,Показатели!$E:$W,17,FALSE)=0,"",VLOOKUP($B286,Показатели!$E:$W,17,FALSE)),"")</f>
        <v/>
      </c>
      <c r="U286" t="str">
        <f>IFERROR(IF(VLOOKUP($B286,Показатели!$E:$W,18,FALSE)=0,"",VLOOKUP($B286,Показатели!$E:$W,18,FALSE)),"")</f>
        <v/>
      </c>
      <c r="V286" t="str">
        <f>IFERROR(IF(VLOOKUP($B286,Показатели!$E:$W,19,FALSE)=0,"",VLOOKUP($B286,Показатели!$E:$W,19,FALSE)),"")</f>
        <v/>
      </c>
    </row>
    <row r="287" spans="1:22" x14ac:dyDescent="0.2">
      <c r="A287" s="7" t="s">
        <v>2212</v>
      </c>
      <c r="B287" t="str">
        <f t="shared" si="4"/>
        <v>OGKB IV кв. 2012</v>
      </c>
      <c r="C287">
        <v>2012</v>
      </c>
      <c r="D287">
        <f>SUMIFS(Дивиденды!$C:$C,Дивиденды!$A:$A,A287,Дивиденды!$I:$I,C287)</f>
        <v>0</v>
      </c>
      <c r="E287">
        <f>IFERROR(IF(VLOOKUP($B287,Показатели!$E:$W,2,FALSE)=0,"",VLOOKUP($B287,Показатели!$E:$W,2,FALSE)),"")</f>
        <v>3760344000</v>
      </c>
      <c r="F287">
        <f>IFERROR(IF(VLOOKUP($B287,Показатели!$E:$W,3,FALSE)=0,"",VLOOKUP($B287,Показатели!$E:$W,3,FALSE)),"")</f>
        <v>29236914000</v>
      </c>
      <c r="G287">
        <f>IFERROR(IF(VLOOKUP($B287,Показатели!$E:$W,4,FALSE)=0,"",VLOOKUP($B287,Показатели!$E:$W,4,FALSE)),"")</f>
        <v>114100762000</v>
      </c>
      <c r="H287" t="str">
        <f>IFERROR(IF(VLOOKUP($B287,Показатели!$E:$W,5,FALSE)=0,"",VLOOKUP($B287,Показатели!$E:$W,5,FALSE)),"")</f>
        <v/>
      </c>
      <c r="I287">
        <f>IFERROR(IF(VLOOKUP($B287,Показатели!$E:$W,6,FALSE)=0,"",VLOOKUP($B287,Показатели!$E:$W,6,FALSE)),"")</f>
        <v>149632070000</v>
      </c>
      <c r="J287">
        <f>IFERROR(IF(VLOOKUP($B287,Показатели!$E:$W,7,FALSE)=0,"",VLOOKUP($B287,Показатели!$E:$W,7,FALSE)),"")</f>
        <v>11315707000</v>
      </c>
      <c r="K287">
        <f>IFERROR(IF(VLOOKUP($B287,Показатели!$E:$W,8,FALSE)=0,"",VLOOKUP($B287,Показатели!$E:$W,8,FALSE)),"")</f>
        <v>29572111000</v>
      </c>
      <c r="L287" t="str">
        <f>IFERROR(IF(VLOOKUP($B287,Показатели!$E:$W,9,FALSE)=0,"",VLOOKUP($B287,Показатели!$E:$W,9,FALSE)),"")</f>
        <v/>
      </c>
      <c r="M287">
        <f>IFERROR(IF(VLOOKUP($B287,Показатели!$E:$W,10,FALSE)=0,"",VLOOKUP($B287,Показатели!$E:$W,10,FALSE)),"")</f>
        <v>108744252000</v>
      </c>
      <c r="N287">
        <f>IFERROR(IF(VLOOKUP($B287,Показатели!$E:$W,11,FALSE)=0,"",VLOOKUP($B287,Показатели!$E:$W,11,FALSE)),"")</f>
        <v>104213387000</v>
      </c>
      <c r="O287">
        <f>IFERROR(IF(VLOOKUP($B287,Показатели!$E:$W,12,FALSE)=0,"",VLOOKUP($B287,Показатели!$E:$W,12,FALSE)),"")</f>
        <v>104213387000</v>
      </c>
      <c r="P287">
        <f>IFERROR(IF(VLOOKUP($B287,Показатели!$E:$W,13,FALSE)=0,"",VLOOKUP($B287,Показатели!$E:$W,13,FALSE)),"")</f>
        <v>3953331000</v>
      </c>
      <c r="Q287" t="str">
        <f>IFERROR(IF(VLOOKUP($B287,Показатели!$E:$W,14,FALSE)=0,"",VLOOKUP($B287,Показатели!$E:$W,14,FALSE)),"")</f>
        <v/>
      </c>
      <c r="R287" t="str">
        <f>IFERROR(IF(VLOOKUP($B287,Показатели!$E:$W,15,FALSE)=0,"",VLOOKUP($B287,Показатели!$E:$W,15,FALSE)),"")</f>
        <v/>
      </c>
      <c r="S287">
        <f>IFERROR(IF(VLOOKUP($B287,Показатели!$E:$W,16,FALSE)=0,"",VLOOKUP($B287,Показатели!$E:$W,16,FALSE)),"")</f>
        <v>10563000000</v>
      </c>
      <c r="T287" t="str">
        <f>IFERROR(IF(VLOOKUP($B287,Показатели!$E:$W,17,FALSE)=0,"",VLOOKUP($B287,Показатели!$E:$W,17,FALSE)),"")</f>
        <v/>
      </c>
      <c r="U287">
        <f>IFERROR(IF(VLOOKUP($B287,Показатели!$E:$W,18,FALSE)=0,"",VLOOKUP($B287,Показатели!$E:$W,18,FALSE)),"")</f>
        <v>104895639000</v>
      </c>
      <c r="V287">
        <f>IFERROR(IF(VLOOKUP($B287,Показатели!$E:$W,19,FALSE)=0,"",VLOOKUP($B287,Показатели!$E:$W,19,FALSE)),"")</f>
        <v>132002774000</v>
      </c>
    </row>
    <row r="288" spans="1:22" x14ac:dyDescent="0.2">
      <c r="A288" s="7" t="s">
        <v>2212</v>
      </c>
      <c r="B288" t="str">
        <f t="shared" si="4"/>
        <v>OGKB IV кв. 2011</v>
      </c>
      <c r="C288">
        <v>2011</v>
      </c>
      <c r="D288">
        <f>SUMIFS(Дивиденды!$C:$C,Дивиденды!$A:$A,A288,Дивиденды!$I:$I,C288)</f>
        <v>9.990000000000001E-4</v>
      </c>
      <c r="E288">
        <f>IFERROR(IF(VLOOKUP($B288,Показатели!$E:$W,2,FALSE)=0,"",VLOOKUP($B288,Показатели!$E:$W,2,FALSE)),"")</f>
        <v>359116000</v>
      </c>
      <c r="F288">
        <f>IFERROR(IF(VLOOKUP($B288,Показатели!$E:$W,3,FALSE)=0,"",VLOOKUP($B288,Показатели!$E:$W,3,FALSE)),"")</f>
        <v>20996922000</v>
      </c>
      <c r="G288">
        <f>IFERROR(IF(VLOOKUP($B288,Показатели!$E:$W,4,FALSE)=0,"",VLOOKUP($B288,Показатели!$E:$W,4,FALSE)),"")</f>
        <v>106497335000</v>
      </c>
      <c r="H288" t="str">
        <f>IFERROR(IF(VLOOKUP($B288,Показатели!$E:$W,5,FALSE)=0,"",VLOOKUP($B288,Показатели!$E:$W,5,FALSE)),"")</f>
        <v/>
      </c>
      <c r="I288">
        <f>IFERROR(IF(VLOOKUP($B288,Показатели!$E:$W,6,FALSE)=0,"",VLOOKUP($B288,Показатели!$E:$W,6,FALSE)),"")</f>
        <v>132002774000</v>
      </c>
      <c r="J288">
        <f>IFERROR(IF(VLOOKUP($B288,Показатели!$E:$W,7,FALSE)=0,"",VLOOKUP($B288,Показатели!$E:$W,7,FALSE)),"")</f>
        <v>13680864000</v>
      </c>
      <c r="K288">
        <f>IFERROR(IF(VLOOKUP($B288,Показатели!$E:$W,8,FALSE)=0,"",VLOOKUP($B288,Показатели!$E:$W,8,FALSE)),"")</f>
        <v>35847587000</v>
      </c>
      <c r="L288" t="str">
        <f>IFERROR(IF(VLOOKUP($B288,Показатели!$E:$W,9,FALSE)=0,"",VLOOKUP($B288,Показатели!$E:$W,9,FALSE)),"")</f>
        <v/>
      </c>
      <c r="M288">
        <f>IFERROR(IF(VLOOKUP($B288,Показатели!$E:$W,10,FALSE)=0,"",VLOOKUP($B288,Показатели!$E:$W,10,FALSE)),"")</f>
        <v>82474323000</v>
      </c>
      <c r="N288">
        <f>IFERROR(IF(VLOOKUP($B288,Показатели!$E:$W,11,FALSE)=0,"",VLOOKUP($B288,Показатели!$E:$W,11,FALSE)),"")</f>
        <v>104895639000</v>
      </c>
      <c r="O288">
        <f>IFERROR(IF(VLOOKUP($B288,Показатели!$E:$W,12,FALSE)=0,"",VLOOKUP($B288,Показатели!$E:$W,12,FALSE)),"")</f>
        <v>2217912000</v>
      </c>
      <c r="P288">
        <f>IFERROR(IF(VLOOKUP($B288,Показатели!$E:$W,13,FALSE)=0,"",VLOOKUP($B288,Показатели!$E:$W,13,FALSE)),"")</f>
        <v>422363000</v>
      </c>
      <c r="Q288">
        <f>IFERROR(IF(VLOOKUP($B288,Показатели!$E:$W,14,FALSE)=0,"",VLOOKUP($B288,Показатели!$E:$W,14,FALSE)),"")</f>
        <v>10150000</v>
      </c>
      <c r="R288" t="str">
        <f>IFERROR(IF(VLOOKUP($B288,Показатели!$E:$W,15,FALSE)=0,"",VLOOKUP($B288,Показатели!$E:$W,15,FALSE)),"")</f>
        <v/>
      </c>
      <c r="S288">
        <f>IFERROR(IF(VLOOKUP($B288,Показатели!$E:$W,16,FALSE)=0,"",VLOOKUP($B288,Показатели!$E:$W,16,FALSE)),"")</f>
        <v>5900000000</v>
      </c>
      <c r="T288" t="str">
        <f>IFERROR(IF(VLOOKUP($B288,Показатели!$E:$W,17,FALSE)=0,"",VLOOKUP($B288,Показатели!$E:$W,17,FALSE)),"")</f>
        <v/>
      </c>
      <c r="U288" t="str">
        <f>IFERROR(IF(VLOOKUP($B288,Показатели!$E:$W,18,FALSE)=0,"",VLOOKUP($B288,Показатели!$E:$W,18,FALSE)),"")</f>
        <v/>
      </c>
      <c r="V288" t="str">
        <f>IFERROR(IF(VLOOKUP($B288,Показатели!$E:$W,19,FALSE)=0,"",VLOOKUP($B288,Показатели!$E:$W,19,FALSE)),"")</f>
        <v/>
      </c>
    </row>
    <row r="289" spans="1:22" x14ac:dyDescent="0.2">
      <c r="A289" s="7" t="s">
        <v>2212</v>
      </c>
      <c r="B289" t="str">
        <f t="shared" si="4"/>
        <v>OGKB IV кв. 2010</v>
      </c>
      <c r="C289">
        <v>2010</v>
      </c>
      <c r="D289">
        <f>SUMIFS(Дивиденды!$C:$C,Дивиденды!$A:$A,A289,Дивиденды!$I:$I,C289)</f>
        <v>4.8760000000000001E-3</v>
      </c>
      <c r="E289" t="str">
        <f>IFERROR(IF(VLOOKUP($B289,Показатели!$E:$W,2,FALSE)=0,"",VLOOKUP($B289,Показатели!$E:$W,2,FALSE)),"")</f>
        <v/>
      </c>
      <c r="F289" t="str">
        <f>IFERROR(IF(VLOOKUP($B289,Показатели!$E:$W,3,FALSE)=0,"",VLOOKUP($B289,Показатели!$E:$W,3,FALSE)),"")</f>
        <v/>
      </c>
      <c r="G289" t="str">
        <f>IFERROR(IF(VLOOKUP($B289,Показатели!$E:$W,4,FALSE)=0,"",VLOOKUP($B289,Показатели!$E:$W,4,FALSE)),"")</f>
        <v/>
      </c>
      <c r="H289" t="str">
        <f>IFERROR(IF(VLOOKUP($B289,Показатели!$E:$W,5,FALSE)=0,"",VLOOKUP($B289,Показатели!$E:$W,5,FALSE)),"")</f>
        <v/>
      </c>
      <c r="I289" t="str">
        <f>IFERROR(IF(VLOOKUP($B289,Показатели!$E:$W,6,FALSE)=0,"",VLOOKUP($B289,Показатели!$E:$W,6,FALSE)),"")</f>
        <v/>
      </c>
      <c r="J289" t="str">
        <f>IFERROR(IF(VLOOKUP($B289,Показатели!$E:$W,7,FALSE)=0,"",VLOOKUP($B289,Показатели!$E:$W,7,FALSE)),"")</f>
        <v/>
      </c>
      <c r="K289" t="str">
        <f>IFERROR(IF(VLOOKUP($B289,Показатели!$E:$W,8,FALSE)=0,"",VLOOKUP($B289,Показатели!$E:$W,8,FALSE)),"")</f>
        <v/>
      </c>
      <c r="L289" t="str">
        <f>IFERROR(IF(VLOOKUP($B289,Показатели!$E:$W,9,FALSE)=0,"",VLOOKUP($B289,Показатели!$E:$W,9,FALSE)),"")</f>
        <v/>
      </c>
      <c r="M289" t="str">
        <f>IFERROR(IF(VLOOKUP($B289,Показатели!$E:$W,10,FALSE)=0,"",VLOOKUP($B289,Показатели!$E:$W,10,FALSE)),"")</f>
        <v/>
      </c>
      <c r="N289" t="str">
        <f>IFERROR(IF(VLOOKUP($B289,Показатели!$E:$W,11,FALSE)=0,"",VLOOKUP($B289,Показатели!$E:$W,11,FALSE)),"")</f>
        <v/>
      </c>
      <c r="O289" t="str">
        <f>IFERROR(IF(VLOOKUP($B289,Показатели!$E:$W,12,FALSE)=0,"",VLOOKUP($B289,Показатели!$E:$W,12,FALSE)),"")</f>
        <v/>
      </c>
      <c r="P289" t="str">
        <f>IFERROR(IF(VLOOKUP($B289,Показатели!$E:$W,13,FALSE)=0,"",VLOOKUP($B289,Показатели!$E:$W,13,FALSE)),"")</f>
        <v/>
      </c>
      <c r="Q289" t="str">
        <f>IFERROR(IF(VLOOKUP($B289,Показатели!$E:$W,14,FALSE)=0,"",VLOOKUP($B289,Показатели!$E:$W,14,FALSE)),"")</f>
        <v/>
      </c>
      <c r="R289" t="str">
        <f>IFERROR(IF(VLOOKUP($B289,Показатели!$E:$W,15,FALSE)=0,"",VLOOKUP($B289,Показатели!$E:$W,15,FALSE)),"")</f>
        <v/>
      </c>
      <c r="S289" t="str">
        <f>IFERROR(IF(VLOOKUP($B289,Показатели!$E:$W,16,FALSE)=0,"",VLOOKUP($B289,Показатели!$E:$W,16,FALSE)),"")</f>
        <v/>
      </c>
      <c r="T289" t="str">
        <f>IFERROR(IF(VLOOKUP($B289,Показатели!$E:$W,17,FALSE)=0,"",VLOOKUP($B289,Показатели!$E:$W,17,FALSE)),"")</f>
        <v/>
      </c>
      <c r="U289" t="str">
        <f>IFERROR(IF(VLOOKUP($B289,Показатели!$E:$W,18,FALSE)=0,"",VLOOKUP($B289,Показатели!$E:$W,18,FALSE)),"")</f>
        <v/>
      </c>
      <c r="V289" t="str">
        <f>IFERROR(IF(VLOOKUP($B289,Показатели!$E:$W,19,FALSE)=0,"",VLOOKUP($B289,Показатели!$E:$W,19,FALSE)),"")</f>
        <v/>
      </c>
    </row>
    <row r="290" spans="1:22" x14ac:dyDescent="0.2">
      <c r="A290" s="7" t="s">
        <v>2214</v>
      </c>
      <c r="B290" t="str">
        <f t="shared" si="4"/>
        <v>TGKA IV кв. 2025</v>
      </c>
      <c r="C290">
        <v>2025</v>
      </c>
      <c r="D290">
        <f>SUMIFS(Дивиденды!$C:$C,Дивиденды!$A:$A,A290,Дивиденды!$I:$I,C290)</f>
        <v>0</v>
      </c>
      <c r="E290" t="str">
        <f>IFERROR(IF(VLOOKUP($B290,Показатели!$E:$W,2,FALSE)=0,"",VLOOKUP($B290,Показатели!$E:$W,2,FALSE)),"")</f>
        <v/>
      </c>
      <c r="F290" t="str">
        <f>IFERROR(IF(VLOOKUP($B290,Показатели!$E:$W,3,FALSE)=0,"",VLOOKUP($B290,Показатели!$E:$W,3,FALSE)),"")</f>
        <v/>
      </c>
      <c r="G290" t="str">
        <f>IFERROR(IF(VLOOKUP($B290,Показатели!$E:$W,4,FALSE)=0,"",VLOOKUP($B290,Показатели!$E:$W,4,FALSE)),"")</f>
        <v/>
      </c>
      <c r="H290" t="str">
        <f>IFERROR(IF(VLOOKUP($B290,Показатели!$E:$W,5,FALSE)=0,"",VLOOKUP($B290,Показатели!$E:$W,5,FALSE)),"")</f>
        <v/>
      </c>
      <c r="I290" t="str">
        <f>IFERROR(IF(VLOOKUP($B290,Показатели!$E:$W,6,FALSE)=0,"",VLOOKUP($B290,Показатели!$E:$W,6,FALSE)),"")</f>
        <v/>
      </c>
      <c r="J290" t="str">
        <f>IFERROR(IF(VLOOKUP($B290,Показатели!$E:$W,7,FALSE)=0,"",VLOOKUP($B290,Показатели!$E:$W,7,FALSE)),"")</f>
        <v/>
      </c>
      <c r="K290" t="str">
        <f>IFERROR(IF(VLOOKUP($B290,Показатели!$E:$W,8,FALSE)=0,"",VLOOKUP($B290,Показатели!$E:$W,8,FALSE)),"")</f>
        <v/>
      </c>
      <c r="L290" t="str">
        <f>IFERROR(IF(VLOOKUP($B290,Показатели!$E:$W,9,FALSE)=0,"",VLOOKUP($B290,Показатели!$E:$W,9,FALSE)),"")</f>
        <v/>
      </c>
      <c r="M290" t="str">
        <f>IFERROR(IF(VLOOKUP($B290,Показатели!$E:$W,10,FALSE)=0,"",VLOOKUP($B290,Показатели!$E:$W,10,FALSE)),"")</f>
        <v/>
      </c>
      <c r="N290" t="str">
        <f>IFERROR(IF(VLOOKUP($B290,Показатели!$E:$W,11,FALSE)=0,"",VLOOKUP($B290,Показатели!$E:$W,11,FALSE)),"")</f>
        <v/>
      </c>
      <c r="O290" t="str">
        <f>IFERROR(IF(VLOOKUP($B290,Показатели!$E:$W,12,FALSE)=0,"",VLOOKUP($B290,Показатели!$E:$W,12,FALSE)),"")</f>
        <v/>
      </c>
      <c r="P290" t="str">
        <f>IFERROR(IF(VLOOKUP($B290,Показатели!$E:$W,13,FALSE)=0,"",VLOOKUP($B290,Показатели!$E:$W,13,FALSE)),"")</f>
        <v/>
      </c>
      <c r="Q290" t="str">
        <f>IFERROR(IF(VLOOKUP($B290,Показатели!$E:$W,14,FALSE)=0,"",VLOOKUP($B290,Показатели!$E:$W,14,FALSE)),"")</f>
        <v/>
      </c>
      <c r="R290" t="str">
        <f>IFERROR(IF(VLOOKUP($B290,Показатели!$E:$W,15,FALSE)=0,"",VLOOKUP($B290,Показатели!$E:$W,15,FALSE)),"")</f>
        <v/>
      </c>
      <c r="S290" t="str">
        <f>IFERROR(IF(VLOOKUP($B290,Показатели!$E:$W,16,FALSE)=0,"",VLOOKUP($B290,Показатели!$E:$W,16,FALSE)),"")</f>
        <v/>
      </c>
      <c r="T290" t="str">
        <f>IFERROR(IF(VLOOKUP($B290,Показатели!$E:$W,17,FALSE)=0,"",VLOOKUP($B290,Показатели!$E:$W,17,FALSE)),"")</f>
        <v/>
      </c>
      <c r="U290" t="str">
        <f>IFERROR(IF(VLOOKUP($B290,Показатели!$E:$W,18,FALSE)=0,"",VLOOKUP($B290,Показатели!$E:$W,18,FALSE)),"")</f>
        <v/>
      </c>
      <c r="V290" t="str">
        <f>IFERROR(IF(VLOOKUP($B290,Показатели!$E:$W,19,FALSE)=0,"",VLOOKUP($B290,Показатели!$E:$W,19,FALSE)),"")</f>
        <v/>
      </c>
    </row>
    <row r="291" spans="1:22" x14ac:dyDescent="0.2">
      <c r="A291" s="7" t="s">
        <v>2214</v>
      </c>
      <c r="B291" t="str">
        <f t="shared" si="4"/>
        <v>TGKA IV кв. 2024</v>
      </c>
      <c r="C291">
        <v>2024</v>
      </c>
      <c r="D291">
        <f>SUMIFS(Дивиденды!$C:$C,Дивиденды!$A:$A,A291,Дивиденды!$I:$I,C291)</f>
        <v>0</v>
      </c>
      <c r="E291" t="str">
        <f>IFERROR(IF(VLOOKUP($B291,Показатели!$E:$W,2,FALSE)=0,"",VLOOKUP($B291,Показатели!$E:$W,2,FALSE)),"")</f>
        <v/>
      </c>
      <c r="F291" t="str">
        <f>IFERROR(IF(VLOOKUP($B291,Показатели!$E:$W,3,FALSE)=0,"",VLOOKUP($B291,Показатели!$E:$W,3,FALSE)),"")</f>
        <v/>
      </c>
      <c r="G291" t="str">
        <f>IFERROR(IF(VLOOKUP($B291,Показатели!$E:$W,4,FALSE)=0,"",VLOOKUP($B291,Показатели!$E:$W,4,FALSE)),"")</f>
        <v/>
      </c>
      <c r="H291" t="str">
        <f>IFERROR(IF(VLOOKUP($B291,Показатели!$E:$W,5,FALSE)=0,"",VLOOKUP($B291,Показатели!$E:$W,5,FALSE)),"")</f>
        <v/>
      </c>
      <c r="I291" t="str">
        <f>IFERROR(IF(VLOOKUP($B291,Показатели!$E:$W,6,FALSE)=0,"",VLOOKUP($B291,Показатели!$E:$W,6,FALSE)),"")</f>
        <v/>
      </c>
      <c r="J291" t="str">
        <f>IFERROR(IF(VLOOKUP($B291,Показатели!$E:$W,7,FALSE)=0,"",VLOOKUP($B291,Показатели!$E:$W,7,FALSE)),"")</f>
        <v/>
      </c>
      <c r="K291" t="str">
        <f>IFERROR(IF(VLOOKUP($B291,Показатели!$E:$W,8,FALSE)=0,"",VLOOKUP($B291,Показатели!$E:$W,8,FALSE)),"")</f>
        <v/>
      </c>
      <c r="L291" t="str">
        <f>IFERROR(IF(VLOOKUP($B291,Показатели!$E:$W,9,FALSE)=0,"",VLOOKUP($B291,Показатели!$E:$W,9,FALSE)),"")</f>
        <v/>
      </c>
      <c r="M291" t="str">
        <f>IFERROR(IF(VLOOKUP($B291,Показатели!$E:$W,10,FALSE)=0,"",VLOOKUP($B291,Показатели!$E:$W,10,FALSE)),"")</f>
        <v/>
      </c>
      <c r="N291" t="str">
        <f>IFERROR(IF(VLOOKUP($B291,Показатели!$E:$W,11,FALSE)=0,"",VLOOKUP($B291,Показатели!$E:$W,11,FALSE)),"")</f>
        <v/>
      </c>
      <c r="O291" t="str">
        <f>IFERROR(IF(VLOOKUP($B291,Показатели!$E:$W,12,FALSE)=0,"",VLOOKUP($B291,Показатели!$E:$W,12,FALSE)),"")</f>
        <v/>
      </c>
      <c r="P291" t="str">
        <f>IFERROR(IF(VLOOKUP($B291,Показатели!$E:$W,13,FALSE)=0,"",VLOOKUP($B291,Показатели!$E:$W,13,FALSE)),"")</f>
        <v/>
      </c>
      <c r="Q291" t="str">
        <f>IFERROR(IF(VLOOKUP($B291,Показатели!$E:$W,14,FALSE)=0,"",VLOOKUP($B291,Показатели!$E:$W,14,FALSE)),"")</f>
        <v/>
      </c>
      <c r="R291" t="str">
        <f>IFERROR(IF(VLOOKUP($B291,Показатели!$E:$W,15,FALSE)=0,"",VLOOKUP($B291,Показатели!$E:$W,15,FALSE)),"")</f>
        <v/>
      </c>
      <c r="S291" t="str">
        <f>IFERROR(IF(VLOOKUP($B291,Показатели!$E:$W,16,FALSE)=0,"",VLOOKUP($B291,Показатели!$E:$W,16,FALSE)),"")</f>
        <v/>
      </c>
      <c r="T291" t="str">
        <f>IFERROR(IF(VLOOKUP($B291,Показатели!$E:$W,17,FALSE)=0,"",VLOOKUP($B291,Показатели!$E:$W,17,FALSE)),"")</f>
        <v/>
      </c>
      <c r="U291" t="str">
        <f>IFERROR(IF(VLOOKUP($B291,Показатели!$E:$W,18,FALSE)=0,"",VLOOKUP($B291,Показатели!$E:$W,18,FALSE)),"")</f>
        <v/>
      </c>
      <c r="V291" t="str">
        <f>IFERROR(IF(VLOOKUP($B291,Показатели!$E:$W,19,FALSE)=0,"",VLOOKUP($B291,Показатели!$E:$W,19,FALSE)),"")</f>
        <v/>
      </c>
    </row>
    <row r="292" spans="1:22" x14ac:dyDescent="0.2">
      <c r="A292" s="7" t="s">
        <v>2214</v>
      </c>
      <c r="B292" t="str">
        <f t="shared" si="4"/>
        <v>TGKA IV кв. 2023</v>
      </c>
      <c r="C292">
        <v>2023</v>
      </c>
      <c r="D292">
        <f>SUMIFS(Дивиденды!$C:$C,Дивиденды!$A:$A,A292,Дивиденды!$I:$I,C292)</f>
        <v>0</v>
      </c>
      <c r="E292" t="str">
        <f>IFERROR(IF(VLOOKUP($B292,Показатели!$E:$W,2,FALSE)=0,"",VLOOKUP($B292,Показатели!$E:$W,2,FALSE)),"")</f>
        <v/>
      </c>
      <c r="F292" t="str">
        <f>IFERROR(IF(VLOOKUP($B292,Показатели!$E:$W,3,FALSE)=0,"",VLOOKUP($B292,Показатели!$E:$W,3,FALSE)),"")</f>
        <v/>
      </c>
      <c r="G292" t="str">
        <f>IFERROR(IF(VLOOKUP($B292,Показатели!$E:$W,4,FALSE)=0,"",VLOOKUP($B292,Показатели!$E:$W,4,FALSE)),"")</f>
        <v/>
      </c>
      <c r="H292" t="str">
        <f>IFERROR(IF(VLOOKUP($B292,Показатели!$E:$W,5,FALSE)=0,"",VLOOKUP($B292,Показатели!$E:$W,5,FALSE)),"")</f>
        <v/>
      </c>
      <c r="I292" t="str">
        <f>IFERROR(IF(VLOOKUP($B292,Показатели!$E:$W,6,FALSE)=0,"",VLOOKUP($B292,Показатели!$E:$W,6,FALSE)),"")</f>
        <v/>
      </c>
      <c r="J292" t="str">
        <f>IFERROR(IF(VLOOKUP($B292,Показатели!$E:$W,7,FALSE)=0,"",VLOOKUP($B292,Показатели!$E:$W,7,FALSE)),"")</f>
        <v/>
      </c>
      <c r="K292" t="str">
        <f>IFERROR(IF(VLOOKUP($B292,Показатели!$E:$W,8,FALSE)=0,"",VLOOKUP($B292,Показатели!$E:$W,8,FALSE)),"")</f>
        <v/>
      </c>
      <c r="L292" t="str">
        <f>IFERROR(IF(VLOOKUP($B292,Показатели!$E:$W,9,FALSE)=0,"",VLOOKUP($B292,Показатели!$E:$W,9,FALSE)),"")</f>
        <v/>
      </c>
      <c r="M292" t="str">
        <f>IFERROR(IF(VLOOKUP($B292,Показатели!$E:$W,10,FALSE)=0,"",VLOOKUP($B292,Показатели!$E:$W,10,FALSE)),"")</f>
        <v/>
      </c>
      <c r="N292" t="str">
        <f>IFERROR(IF(VLOOKUP($B292,Показатели!$E:$W,11,FALSE)=0,"",VLOOKUP($B292,Показатели!$E:$W,11,FALSE)),"")</f>
        <v/>
      </c>
      <c r="O292" t="str">
        <f>IFERROR(IF(VLOOKUP($B292,Показатели!$E:$W,12,FALSE)=0,"",VLOOKUP($B292,Показатели!$E:$W,12,FALSE)),"")</f>
        <v/>
      </c>
      <c r="P292" t="str">
        <f>IFERROR(IF(VLOOKUP($B292,Показатели!$E:$W,13,FALSE)=0,"",VLOOKUP($B292,Показатели!$E:$W,13,FALSE)),"")</f>
        <v/>
      </c>
      <c r="Q292" t="str">
        <f>IFERROR(IF(VLOOKUP($B292,Показатели!$E:$W,14,FALSE)=0,"",VLOOKUP($B292,Показатели!$E:$W,14,FALSE)),"")</f>
        <v/>
      </c>
      <c r="R292" t="str">
        <f>IFERROR(IF(VLOOKUP($B292,Показатели!$E:$W,15,FALSE)=0,"",VLOOKUP($B292,Показатели!$E:$W,15,FALSE)),"")</f>
        <v/>
      </c>
      <c r="S292" t="str">
        <f>IFERROR(IF(VLOOKUP($B292,Показатели!$E:$W,16,FALSE)=0,"",VLOOKUP($B292,Показатели!$E:$W,16,FALSE)),"")</f>
        <v/>
      </c>
      <c r="T292" t="str">
        <f>IFERROR(IF(VLOOKUP($B292,Показатели!$E:$W,17,FALSE)=0,"",VLOOKUP($B292,Показатели!$E:$W,17,FALSE)),"")</f>
        <v/>
      </c>
      <c r="U292" t="str">
        <f>IFERROR(IF(VLOOKUP($B292,Показатели!$E:$W,18,FALSE)=0,"",VLOOKUP($B292,Показатели!$E:$W,18,FALSE)),"")</f>
        <v/>
      </c>
      <c r="V292" t="str">
        <f>IFERROR(IF(VLOOKUP($B292,Показатели!$E:$W,19,FALSE)=0,"",VLOOKUP($B292,Показатели!$E:$W,19,FALSE)),"")</f>
        <v/>
      </c>
    </row>
    <row r="293" spans="1:22" x14ac:dyDescent="0.2">
      <c r="A293" s="7" t="s">
        <v>2214</v>
      </c>
      <c r="B293" t="str">
        <f t="shared" si="4"/>
        <v>TGKA IV кв. 2022</v>
      </c>
      <c r="C293">
        <v>2022</v>
      </c>
      <c r="D293">
        <f>SUMIFS(Дивиденды!$C:$C,Дивиденды!$A:$A,A293,Дивиденды!$I:$I,C293)</f>
        <v>0</v>
      </c>
      <c r="E293" t="str">
        <f>IFERROR(IF(VLOOKUP($B293,Показатели!$E:$W,2,FALSE)=0,"",VLOOKUP($B293,Показатели!$E:$W,2,FALSE)),"")</f>
        <v/>
      </c>
      <c r="F293" t="str">
        <f>IFERROR(IF(VLOOKUP($B293,Показатели!$E:$W,3,FALSE)=0,"",VLOOKUP($B293,Показатели!$E:$W,3,FALSE)),"")</f>
        <v/>
      </c>
      <c r="G293" t="str">
        <f>IFERROR(IF(VLOOKUP($B293,Показатели!$E:$W,4,FALSE)=0,"",VLOOKUP($B293,Показатели!$E:$W,4,FALSE)),"")</f>
        <v/>
      </c>
      <c r="H293" t="str">
        <f>IFERROR(IF(VLOOKUP($B293,Показатели!$E:$W,5,FALSE)=0,"",VLOOKUP($B293,Показатели!$E:$W,5,FALSE)),"")</f>
        <v/>
      </c>
      <c r="I293" t="str">
        <f>IFERROR(IF(VLOOKUP($B293,Показатели!$E:$W,6,FALSE)=0,"",VLOOKUP($B293,Показатели!$E:$W,6,FALSE)),"")</f>
        <v/>
      </c>
      <c r="J293" t="str">
        <f>IFERROR(IF(VLOOKUP($B293,Показатели!$E:$W,7,FALSE)=0,"",VLOOKUP($B293,Показатели!$E:$W,7,FALSE)),"")</f>
        <v/>
      </c>
      <c r="K293" t="str">
        <f>IFERROR(IF(VLOOKUP($B293,Показатели!$E:$W,8,FALSE)=0,"",VLOOKUP($B293,Показатели!$E:$W,8,FALSE)),"")</f>
        <v/>
      </c>
      <c r="L293" t="str">
        <f>IFERROR(IF(VLOOKUP($B293,Показатели!$E:$W,9,FALSE)=0,"",VLOOKUP($B293,Показатели!$E:$W,9,FALSE)),"")</f>
        <v/>
      </c>
      <c r="M293" t="str">
        <f>IFERROR(IF(VLOOKUP($B293,Показатели!$E:$W,10,FALSE)=0,"",VLOOKUP($B293,Показатели!$E:$W,10,FALSE)),"")</f>
        <v/>
      </c>
      <c r="N293" t="str">
        <f>IFERROR(IF(VLOOKUP($B293,Показатели!$E:$W,11,FALSE)=0,"",VLOOKUP($B293,Показатели!$E:$W,11,FALSE)),"")</f>
        <v/>
      </c>
      <c r="O293" t="str">
        <f>IFERROR(IF(VLOOKUP($B293,Показатели!$E:$W,12,FALSE)=0,"",VLOOKUP($B293,Показатели!$E:$W,12,FALSE)),"")</f>
        <v/>
      </c>
      <c r="P293" t="str">
        <f>IFERROR(IF(VLOOKUP($B293,Показатели!$E:$W,13,FALSE)=0,"",VLOOKUP($B293,Показатели!$E:$W,13,FALSE)),"")</f>
        <v/>
      </c>
      <c r="Q293" t="str">
        <f>IFERROR(IF(VLOOKUP($B293,Показатели!$E:$W,14,FALSE)=0,"",VLOOKUP($B293,Показатели!$E:$W,14,FALSE)),"")</f>
        <v/>
      </c>
      <c r="R293" t="str">
        <f>IFERROR(IF(VLOOKUP($B293,Показатели!$E:$W,15,FALSE)=0,"",VLOOKUP($B293,Показатели!$E:$W,15,FALSE)),"")</f>
        <v/>
      </c>
      <c r="S293" t="str">
        <f>IFERROR(IF(VLOOKUP($B293,Показатели!$E:$W,16,FALSE)=0,"",VLOOKUP($B293,Показатели!$E:$W,16,FALSE)),"")</f>
        <v/>
      </c>
      <c r="T293" t="str">
        <f>IFERROR(IF(VLOOKUP($B293,Показатели!$E:$W,17,FALSE)=0,"",VLOOKUP($B293,Показатели!$E:$W,17,FALSE)),"")</f>
        <v/>
      </c>
      <c r="U293" t="str">
        <f>IFERROR(IF(VLOOKUP($B293,Показатели!$E:$W,18,FALSE)=0,"",VLOOKUP($B293,Показатели!$E:$W,18,FALSE)),"")</f>
        <v/>
      </c>
      <c r="V293" t="str">
        <f>IFERROR(IF(VLOOKUP($B293,Показатели!$E:$W,19,FALSE)=0,"",VLOOKUP($B293,Показатели!$E:$W,19,FALSE)),"")</f>
        <v/>
      </c>
    </row>
    <row r="294" spans="1:22" x14ac:dyDescent="0.2">
      <c r="A294" s="7" t="s">
        <v>2214</v>
      </c>
      <c r="B294" t="str">
        <f t="shared" si="4"/>
        <v>TGKA IV кв. 2021</v>
      </c>
      <c r="C294">
        <v>2021</v>
      </c>
      <c r="D294">
        <f>SUMIFS(Дивиденды!$C:$C,Дивиденды!$A:$A,A294,Дивиденды!$I:$I,C294)</f>
        <v>0</v>
      </c>
      <c r="E294">
        <f>IFERROR(IF(VLOOKUP($B294,Показатели!$E:$W,2,FALSE)=0,"",VLOOKUP($B294,Показатели!$E:$W,2,FALSE)),"")</f>
        <v>2653000000</v>
      </c>
      <c r="F294">
        <f>IFERROR(IF(VLOOKUP($B294,Показатели!$E:$W,3,FALSE)=0,"",VLOOKUP($B294,Показатели!$E:$W,3,FALSE)),"")</f>
        <v>33432000000</v>
      </c>
      <c r="G294">
        <f>IFERROR(IF(VLOOKUP($B294,Показатели!$E:$W,4,FALSE)=0,"",VLOOKUP($B294,Показатели!$E:$W,4,FALSE)),"")</f>
        <v>154637000000</v>
      </c>
      <c r="H294">
        <f>IFERROR(IF(VLOOKUP($B294,Показатели!$E:$W,5,FALSE)=0,"",VLOOKUP($B294,Показатели!$E:$W,5,FALSE)),"")</f>
        <v>4063000000</v>
      </c>
      <c r="I294">
        <f>IFERROR(IF(VLOOKUP($B294,Показатели!$E:$W,6,FALSE)=0,"",VLOOKUP($B294,Показатели!$E:$W,6,FALSE)),"")</f>
        <v>194813000000</v>
      </c>
      <c r="J294">
        <f>IFERROR(IF(VLOOKUP($B294,Показатели!$E:$W,7,FALSE)=0,"",VLOOKUP($B294,Показатели!$E:$W,7,FALSE)),"")</f>
        <v>20494000000</v>
      </c>
      <c r="K294">
        <f>IFERROR(IF(VLOOKUP($B294,Показатели!$E:$W,8,FALSE)=0,"",VLOOKUP($B294,Показатели!$E:$W,8,FALSE)),"")</f>
        <v>29136000000</v>
      </c>
      <c r="L294">
        <f>IFERROR(IF(VLOOKUP($B294,Показатели!$E:$W,9,FALSE)=0,"",VLOOKUP($B294,Показатели!$E:$W,9,FALSE)),"")</f>
        <v>70576000000</v>
      </c>
      <c r="M294">
        <f>IFERROR(IF(VLOOKUP($B294,Показатели!$E:$W,10,FALSE)=0,"",VLOOKUP($B294,Показатели!$E:$W,10,FALSE)),"")</f>
        <v>145183000000</v>
      </c>
      <c r="N294">
        <f>IFERROR(IF(VLOOKUP($B294,Показатели!$E:$W,11,FALSE)=0,"",VLOOKUP($B294,Показатели!$E:$W,11,FALSE)),"")</f>
        <v>102280000000</v>
      </c>
      <c r="O294">
        <f>IFERROR(IF(VLOOKUP($B294,Показатели!$E:$W,12,FALSE)=0,"",VLOOKUP($B294,Показатели!$E:$W,12,FALSE)),"")</f>
        <v>9513000000</v>
      </c>
      <c r="P294">
        <f>IFERROR(IF(VLOOKUP($B294,Показатели!$E:$W,13,FALSE)=0,"",VLOOKUP($B294,Показатели!$E:$W,13,FALSE)),"")</f>
        <v>8889000000</v>
      </c>
      <c r="Q294">
        <f>IFERROR(IF(VLOOKUP($B294,Показатели!$E:$W,14,FALSE)=0,"",VLOOKUP($B294,Показатели!$E:$W,14,FALSE)),"")</f>
        <v>7114000000</v>
      </c>
      <c r="R294">
        <f>IFERROR(IF(VLOOKUP($B294,Показатели!$E:$W,15,FALSE)=0,"",VLOOKUP($B294,Показатели!$E:$W,15,FALSE)),"")</f>
        <v>11658000000</v>
      </c>
      <c r="S294">
        <f>IFERROR(IF(VLOOKUP($B294,Показатели!$E:$W,16,FALSE)=0,"",VLOOKUP($B294,Показатели!$E:$W,16,FALSE)),"")</f>
        <v>21171000000</v>
      </c>
      <c r="T294">
        <f>IFERROR(IF(VLOOKUP($B294,Показатели!$E:$W,17,FALSE)=0,"",VLOOKUP($B294,Показатели!$E:$W,17,FALSE)),"")</f>
        <v>-17067000000</v>
      </c>
      <c r="U294">
        <f>IFERROR(IF(VLOOKUP($B294,Показатели!$E:$W,18,FALSE)=0,"",VLOOKUP($B294,Показатели!$E:$W,18,FALSE)),"")</f>
        <v>88889000000</v>
      </c>
      <c r="V294">
        <f>IFERROR(IF(VLOOKUP($B294,Показатели!$E:$W,19,FALSE)=0,"",VLOOKUP($B294,Показатели!$E:$W,19,FALSE)),"")</f>
        <v>190787000000</v>
      </c>
    </row>
    <row r="295" spans="1:22" x14ac:dyDescent="0.2">
      <c r="A295" s="7" t="s">
        <v>2214</v>
      </c>
      <c r="B295" t="str">
        <f t="shared" si="4"/>
        <v>TGKA IV кв. 2020</v>
      </c>
      <c r="C295">
        <v>2020</v>
      </c>
      <c r="D295">
        <f>SUMIFS(Дивиденды!$C:$C,Дивиденды!$A:$A,A295,Дивиденды!$I:$I,C295)</f>
        <v>1.0709999999999999E-3</v>
      </c>
      <c r="E295">
        <f>IFERROR(IF(VLOOKUP($B295,Показатели!$E:$W,2,FALSE)=0,"",VLOOKUP($B295,Показатели!$E:$W,2,FALSE)),"")</f>
        <v>1036000000</v>
      </c>
      <c r="F295">
        <f>IFERROR(IF(VLOOKUP($B295,Показатели!$E:$W,3,FALSE)=0,"",VLOOKUP($B295,Показатели!$E:$W,3,FALSE)),"")</f>
        <v>33687000000</v>
      </c>
      <c r="G295">
        <f>IFERROR(IF(VLOOKUP($B295,Показатели!$E:$W,4,FALSE)=0,"",VLOOKUP($B295,Показатели!$E:$W,4,FALSE)),"")</f>
        <v>151135000000</v>
      </c>
      <c r="H295">
        <f>IFERROR(IF(VLOOKUP($B295,Показатели!$E:$W,5,FALSE)=0,"",VLOOKUP($B295,Показатели!$E:$W,5,FALSE)),"")</f>
        <v>3859000000</v>
      </c>
      <c r="I295">
        <f>IFERROR(IF(VLOOKUP($B295,Показатели!$E:$W,6,FALSE)=0,"",VLOOKUP($B295,Показатели!$E:$W,6,FALSE)),"")</f>
        <v>190787000000</v>
      </c>
      <c r="J295">
        <f>IFERROR(IF(VLOOKUP($B295,Показатели!$E:$W,7,FALSE)=0,"",VLOOKUP($B295,Показатели!$E:$W,7,FALSE)),"")</f>
        <v>25246000000</v>
      </c>
      <c r="K295">
        <f>IFERROR(IF(VLOOKUP($B295,Показатели!$E:$W,8,FALSE)=0,"",VLOOKUP($B295,Показатели!$E:$W,8,FALSE)),"")</f>
        <v>26583000000</v>
      </c>
      <c r="L295">
        <f>IFERROR(IF(VLOOKUP($B295,Показатели!$E:$W,9,FALSE)=0,"",VLOOKUP($B295,Показатели!$E:$W,9,FALSE)),"")</f>
        <v>66803000000</v>
      </c>
      <c r="M295">
        <f>IFERROR(IF(VLOOKUP($B295,Показатели!$E:$W,10,FALSE)=0,"",VLOOKUP($B295,Показатели!$E:$W,10,FALSE)),"")</f>
        <v>138958000000</v>
      </c>
      <c r="N295">
        <f>IFERROR(IF(VLOOKUP($B295,Показатели!$E:$W,11,FALSE)=0,"",VLOOKUP($B295,Показатели!$E:$W,11,FALSE)),"")</f>
        <v>88889000000</v>
      </c>
      <c r="O295">
        <f>IFERROR(IF(VLOOKUP($B295,Показатели!$E:$W,12,FALSE)=0,"",VLOOKUP($B295,Показатели!$E:$W,12,FALSE)),"")</f>
        <v>10824000000</v>
      </c>
      <c r="P295">
        <f>IFERROR(IF(VLOOKUP($B295,Показатели!$E:$W,13,FALSE)=0,"",VLOOKUP($B295,Показатели!$E:$W,13,FALSE)),"")</f>
        <v>10235000000</v>
      </c>
      <c r="Q295">
        <f>IFERROR(IF(VLOOKUP($B295,Показатели!$E:$W,14,FALSE)=0,"",VLOOKUP($B295,Показатели!$E:$W,14,FALSE)),"")</f>
        <v>8253000000</v>
      </c>
      <c r="R295">
        <f>IFERROR(IF(VLOOKUP($B295,Показатели!$E:$W,15,FALSE)=0,"",VLOOKUP($B295,Показатели!$E:$W,15,FALSE)),"")</f>
        <v>11111000000</v>
      </c>
      <c r="S295">
        <f>IFERROR(IF(VLOOKUP($B295,Показатели!$E:$W,16,FALSE)=0,"",VLOOKUP($B295,Показатели!$E:$W,16,FALSE)),"")</f>
        <v>23229000000</v>
      </c>
      <c r="T295">
        <f>IFERROR(IF(VLOOKUP($B295,Показатели!$E:$W,17,FALSE)=0,"",VLOOKUP($B295,Показатели!$E:$W,17,FALSE)),"")</f>
        <v>-13922000000</v>
      </c>
      <c r="U295">
        <f>IFERROR(IF(VLOOKUP($B295,Показатели!$E:$W,18,FALSE)=0,"",VLOOKUP($B295,Показатели!$E:$W,18,FALSE)),"")</f>
        <v>97255648000</v>
      </c>
      <c r="V295">
        <f>IFERROR(IF(VLOOKUP($B295,Показатели!$E:$W,19,FALSE)=0,"",VLOOKUP($B295,Показатели!$E:$W,19,FALSE)),"")</f>
        <v>182504209000</v>
      </c>
    </row>
    <row r="296" spans="1:22" x14ac:dyDescent="0.2">
      <c r="A296" s="7" t="s">
        <v>2214</v>
      </c>
      <c r="B296" t="str">
        <f t="shared" si="4"/>
        <v>TGKA IV кв. 2019</v>
      </c>
      <c r="C296">
        <v>2019</v>
      </c>
      <c r="D296">
        <f>SUMIFS(Дивиденды!$C:$C,Дивиденды!$A:$A,A296,Дивиденды!$I:$I,C296)</f>
        <v>1.0369999999999999E-3</v>
      </c>
      <c r="E296">
        <f>IFERROR(IF(VLOOKUP($B296,Показатели!$E:$W,2,FALSE)=0,"",VLOOKUP($B296,Показатели!$E:$W,2,FALSE)),"")</f>
        <v>880717000</v>
      </c>
      <c r="F296">
        <f>IFERROR(IF(VLOOKUP($B296,Показатели!$E:$W,3,FALSE)=0,"",VLOOKUP($B296,Показатели!$E:$W,3,FALSE)),"")</f>
        <v>28375377000</v>
      </c>
      <c r="G296">
        <f>IFERROR(IF(VLOOKUP($B296,Показатели!$E:$W,4,FALSE)=0,"",VLOOKUP($B296,Показатели!$E:$W,4,FALSE)),"")</f>
        <v>148606618000</v>
      </c>
      <c r="H296">
        <f>IFERROR(IF(VLOOKUP($B296,Показатели!$E:$W,5,FALSE)=0,"",VLOOKUP($B296,Показатели!$E:$W,5,FALSE)),"")</f>
        <v>3107630000</v>
      </c>
      <c r="I296">
        <f>IFERROR(IF(VLOOKUP($B296,Показатели!$E:$W,6,FALSE)=0,"",VLOOKUP($B296,Показатели!$E:$W,6,FALSE)),"")</f>
        <v>182504209000</v>
      </c>
      <c r="J296">
        <f>IFERROR(IF(VLOOKUP($B296,Показатели!$E:$W,7,FALSE)=0,"",VLOOKUP($B296,Показатели!$E:$W,7,FALSE)),"")</f>
        <v>27790314000</v>
      </c>
      <c r="K296">
        <f>IFERROR(IF(VLOOKUP($B296,Показатели!$E:$W,8,FALSE)=0,"",VLOOKUP($B296,Показатели!$E:$W,8,FALSE)),"")</f>
        <v>23040624000</v>
      </c>
      <c r="L296">
        <f>IFERROR(IF(VLOOKUP($B296,Показатели!$E:$W,9,FALSE)=0,"",VLOOKUP($B296,Показатели!$E:$W,9,FALSE)),"")</f>
        <v>68649133000</v>
      </c>
      <c r="M296">
        <f>IFERROR(IF(VLOOKUP($B296,Показатели!$E:$W,10,FALSE)=0,"",VLOOKUP($B296,Показатели!$E:$W,10,FALSE)),"")</f>
        <v>131673271000</v>
      </c>
      <c r="N296">
        <f>IFERROR(IF(VLOOKUP($B296,Показатели!$E:$W,11,FALSE)=0,"",VLOOKUP($B296,Показатели!$E:$W,11,FALSE)),"")</f>
        <v>97255648000</v>
      </c>
      <c r="O296">
        <f>IFERROR(IF(VLOOKUP($B296,Показатели!$E:$W,12,FALSE)=0,"",VLOOKUP($B296,Показатели!$E:$W,12,FALSE)),"")</f>
        <v>12148547000</v>
      </c>
      <c r="P296">
        <f>IFERROR(IF(VLOOKUP($B296,Показатели!$E:$W,13,FALSE)=0,"",VLOOKUP($B296,Показатели!$E:$W,13,FALSE)),"")</f>
        <v>10338611000</v>
      </c>
      <c r="Q296">
        <f>IFERROR(IF(VLOOKUP($B296,Показатели!$E:$W,14,FALSE)=0,"",VLOOKUP($B296,Показатели!$E:$W,14,FALSE)),"")</f>
        <v>7990226000</v>
      </c>
      <c r="R296">
        <f>IFERROR(IF(VLOOKUP($B296,Показатели!$E:$W,15,FALSE)=0,"",VLOOKUP($B296,Показатели!$E:$W,15,FALSE)),"")</f>
        <v>10351111000</v>
      </c>
      <c r="S296">
        <f>IFERROR(IF(VLOOKUP($B296,Показатели!$E:$W,16,FALSE)=0,"",VLOOKUP($B296,Показатели!$E:$W,16,FALSE)),"")</f>
        <v>22500000000</v>
      </c>
      <c r="T296">
        <f>IFERROR(IF(VLOOKUP($B296,Показатели!$E:$W,17,FALSE)=0,"",VLOOKUP($B296,Показатели!$E:$W,17,FALSE)),"")</f>
        <v>-13624216000</v>
      </c>
      <c r="U296">
        <f>IFERROR(IF(VLOOKUP($B296,Показатели!$E:$W,18,FALSE)=0,"",VLOOKUP($B296,Показатели!$E:$W,18,FALSE)),"")</f>
        <v>92455180000</v>
      </c>
      <c r="V296">
        <f>IFERROR(IF(VLOOKUP($B296,Показатели!$E:$W,19,FALSE)=0,"",VLOOKUP($B296,Показатели!$E:$W,19,FALSE)),"")</f>
        <v>167911792000</v>
      </c>
    </row>
    <row r="297" spans="1:22" x14ac:dyDescent="0.2">
      <c r="A297" s="7" t="s">
        <v>2214</v>
      </c>
      <c r="B297" t="str">
        <f t="shared" si="4"/>
        <v>TGKA IV кв. 2018</v>
      </c>
      <c r="C297">
        <v>2018</v>
      </c>
      <c r="D297">
        <f>SUMIFS(Дивиденды!$C:$C,Дивиденды!$A:$A,A297,Дивиденды!$I:$I,C297)</f>
        <v>6.4499999999999996E-4</v>
      </c>
      <c r="E297">
        <f>IFERROR(IF(VLOOKUP($B297,Показатели!$E:$W,2,FALSE)=0,"",VLOOKUP($B297,Показатели!$E:$W,2,FALSE)),"")</f>
        <v>6866953000</v>
      </c>
      <c r="F297">
        <f>IFERROR(IF(VLOOKUP($B297,Показатели!$E:$W,3,FALSE)=0,"",VLOOKUP($B297,Показатели!$E:$W,3,FALSE)),"")</f>
        <v>25852607000</v>
      </c>
      <c r="G297">
        <f>IFERROR(IF(VLOOKUP($B297,Показатели!$E:$W,4,FALSE)=0,"",VLOOKUP($B297,Показатели!$E:$W,4,FALSE)),"")</f>
        <v>138343333000</v>
      </c>
      <c r="H297">
        <f>IFERROR(IF(VLOOKUP($B297,Показатели!$E:$W,5,FALSE)=0,"",VLOOKUP($B297,Показатели!$E:$W,5,FALSE)),"")</f>
        <v>2258148000</v>
      </c>
      <c r="I297">
        <f>IFERROR(IF(VLOOKUP($B297,Показатели!$E:$W,6,FALSE)=0,"",VLOOKUP($B297,Показатели!$E:$W,6,FALSE)),"")</f>
        <v>167911792000</v>
      </c>
      <c r="J297">
        <f>IFERROR(IF(VLOOKUP($B297,Показатели!$E:$W,7,FALSE)=0,"",VLOOKUP($B297,Показатели!$E:$W,7,FALSE)),"")</f>
        <v>19668709000</v>
      </c>
      <c r="K297">
        <f>IFERROR(IF(VLOOKUP($B297,Показатели!$E:$W,8,FALSE)=0,"",VLOOKUP($B297,Показатели!$E:$W,8,FALSE)),"")</f>
        <v>23400540000</v>
      </c>
      <c r="L297">
        <f>IFERROR(IF(VLOOKUP($B297,Показатели!$E:$W,9,FALSE)=0,"",VLOOKUP($B297,Показатели!$E:$W,9,FALSE)),"")</f>
        <v>61638117000</v>
      </c>
      <c r="M297">
        <f>IFERROR(IF(VLOOKUP($B297,Показатели!$E:$W,10,FALSE)=0,"",VLOOKUP($B297,Показатели!$E:$W,10,FALSE)),"")</f>
        <v>124842543000</v>
      </c>
      <c r="N297">
        <f>IFERROR(IF(VLOOKUP($B297,Показатели!$E:$W,11,FALSE)=0,"",VLOOKUP($B297,Показатели!$E:$W,11,FALSE)),"")</f>
        <v>92455180000</v>
      </c>
      <c r="O297">
        <f>IFERROR(IF(VLOOKUP($B297,Показатели!$E:$W,12,FALSE)=0,"",VLOOKUP($B297,Показатели!$E:$W,12,FALSE)),"")</f>
        <v>12948138000</v>
      </c>
      <c r="P297">
        <f>IFERROR(IF(VLOOKUP($B297,Показатели!$E:$W,13,FALSE)=0,"",VLOOKUP($B297,Показатели!$E:$W,13,FALSE)),"")</f>
        <v>12315719000</v>
      </c>
      <c r="Q297">
        <f>IFERROR(IF(VLOOKUP($B297,Показатели!$E:$W,14,FALSE)=0,"",VLOOKUP($B297,Показатели!$E:$W,14,FALSE)),"")</f>
        <v>10421402000</v>
      </c>
      <c r="R297">
        <f>IFERROR(IF(VLOOKUP($B297,Показатели!$E:$W,15,FALSE)=0,"",VLOOKUP($B297,Показатели!$E:$W,15,FALSE)),"")</f>
        <v>7962519000</v>
      </c>
      <c r="S297">
        <f>IFERROR(IF(VLOOKUP($B297,Показатели!$E:$W,16,FALSE)=0,"",VLOOKUP($B297,Показатели!$E:$W,16,FALSE)),"")</f>
        <v>20926000000</v>
      </c>
      <c r="T297">
        <f>IFERROR(IF(VLOOKUP($B297,Показатели!$E:$W,17,FALSE)=0,"",VLOOKUP($B297,Показатели!$E:$W,17,FALSE)),"")</f>
        <v>-11394904000</v>
      </c>
      <c r="U297">
        <f>IFERROR(IF(VLOOKUP($B297,Показатели!$E:$W,18,FALSE)=0,"",VLOOKUP($B297,Показатели!$E:$W,18,FALSE)),"")</f>
        <v>87394702000</v>
      </c>
      <c r="V297">
        <f>IFERROR(IF(VLOOKUP($B297,Показатели!$E:$W,19,FALSE)=0,"",VLOOKUP($B297,Показатели!$E:$W,19,FALSE)),"")</f>
        <v>163787703000</v>
      </c>
    </row>
    <row r="298" spans="1:22" x14ac:dyDescent="0.2">
      <c r="A298" s="7" t="s">
        <v>2214</v>
      </c>
      <c r="B298" t="str">
        <f t="shared" si="4"/>
        <v>TGKA IV кв. 2017</v>
      </c>
      <c r="C298">
        <v>2017</v>
      </c>
      <c r="D298">
        <f>SUMIFS(Дивиденды!$C:$C,Дивиденды!$A:$A,A298,Дивиденды!$I:$I,C298)</f>
        <v>4.8999999999999998E-4</v>
      </c>
      <c r="E298">
        <f>IFERROR(IF(VLOOKUP($B298,Показатели!$E:$W,2,FALSE)=0,"",VLOOKUP($B298,Показатели!$E:$W,2,FALSE)),"")</f>
        <v>6975598000</v>
      </c>
      <c r="F298">
        <f>IFERROR(IF(VLOOKUP($B298,Показатели!$E:$W,3,FALSE)=0,"",VLOOKUP($B298,Показатели!$E:$W,3,FALSE)),"")</f>
        <v>26832439000</v>
      </c>
      <c r="G298">
        <f>IFERROR(IF(VLOOKUP($B298,Показатели!$E:$W,4,FALSE)=0,"",VLOOKUP($B298,Показатели!$E:$W,4,FALSE)),"")</f>
        <v>133411806000</v>
      </c>
      <c r="H298">
        <f>IFERROR(IF(VLOOKUP($B298,Показатели!$E:$W,5,FALSE)=0,"",VLOOKUP($B298,Показатели!$E:$W,5,FALSE)),"")</f>
        <v>1417030000</v>
      </c>
      <c r="I298">
        <f>IFERROR(IF(VLOOKUP($B298,Показатели!$E:$W,6,FALSE)=0,"",VLOOKUP($B298,Показатели!$E:$W,6,FALSE)),"")</f>
        <v>163787703000</v>
      </c>
      <c r="J298">
        <f>IFERROR(IF(VLOOKUP($B298,Показатели!$E:$W,7,FALSE)=0,"",VLOOKUP($B298,Показатели!$E:$W,7,FALSE)),"")</f>
        <v>18698224000</v>
      </c>
      <c r="K298">
        <f>IFERROR(IF(VLOOKUP($B298,Показатели!$E:$W,8,FALSE)=0,"",VLOOKUP($B298,Показатели!$E:$W,8,FALSE)),"")</f>
        <v>28630240000</v>
      </c>
      <c r="L298">
        <f>IFERROR(IF(VLOOKUP($B298,Показатели!$E:$W,9,FALSE)=0,"",VLOOKUP($B298,Показатели!$E:$W,9,FALSE)),"")</f>
        <v>53740611000</v>
      </c>
      <c r="M298">
        <f>IFERROR(IF(VLOOKUP($B298,Показатели!$E:$W,10,FALSE)=0,"",VLOOKUP($B298,Показатели!$E:$W,10,FALSE)),"")</f>
        <v>116459239000</v>
      </c>
      <c r="N298">
        <f>IFERROR(IF(VLOOKUP($B298,Показатели!$E:$W,11,FALSE)=0,"",VLOOKUP($B298,Показатели!$E:$W,11,FALSE)),"")</f>
        <v>87394702000</v>
      </c>
      <c r="O298">
        <f>IFERROR(IF(VLOOKUP($B298,Показатели!$E:$W,12,FALSE)=0,"",VLOOKUP($B298,Показатели!$E:$W,12,FALSE)),"")</f>
        <v>11985817000</v>
      </c>
      <c r="P298">
        <f>IFERROR(IF(VLOOKUP($B298,Показатели!$E:$W,13,FALSE)=0,"",VLOOKUP($B298,Показатели!$E:$W,13,FALSE)),"")</f>
        <v>10519525000</v>
      </c>
      <c r="Q298">
        <f>IFERROR(IF(VLOOKUP($B298,Показатели!$E:$W,14,FALSE)=0,"",VLOOKUP($B298,Показатели!$E:$W,14,FALSE)),"")</f>
        <v>7927499000</v>
      </c>
      <c r="R298">
        <f>IFERROR(IF(VLOOKUP($B298,Показатели!$E:$W,15,FALSE)=0,"",VLOOKUP($B298,Показатели!$E:$W,15,FALSE)),"")</f>
        <v>8438333000</v>
      </c>
      <c r="S298">
        <f>IFERROR(IF(VLOOKUP($B298,Показатели!$E:$W,16,FALSE)=0,"",VLOOKUP($B298,Показатели!$E:$W,16,FALSE)),"")</f>
        <v>20440000000</v>
      </c>
      <c r="T298">
        <f>IFERROR(IF(VLOOKUP($B298,Показатели!$E:$W,17,FALSE)=0,"",VLOOKUP($B298,Показатели!$E:$W,17,FALSE)),"")</f>
        <v>-10281175000</v>
      </c>
      <c r="U298">
        <f>IFERROR(IF(VLOOKUP($B298,Показатели!$E:$W,18,FALSE)=0,"",VLOOKUP($B298,Показатели!$E:$W,18,FALSE)),"")</f>
        <v>78891102000</v>
      </c>
      <c r="V298">
        <f>IFERROR(IF(VLOOKUP($B298,Показатели!$E:$W,19,FALSE)=0,"",VLOOKUP($B298,Показатели!$E:$W,19,FALSE)),"")</f>
        <v>159770954000</v>
      </c>
    </row>
    <row r="299" spans="1:22" x14ac:dyDescent="0.2">
      <c r="A299" s="7" t="s">
        <v>2214</v>
      </c>
      <c r="B299" t="str">
        <f t="shared" si="4"/>
        <v>TGKA IV кв. 2016</v>
      </c>
      <c r="C299">
        <v>2016</v>
      </c>
      <c r="D299">
        <f>SUMIFS(Дивиденды!$C:$C,Дивиденды!$A:$A,A299,Дивиденды!$I:$I,C299)</f>
        <v>3.4499999999999998E-4</v>
      </c>
      <c r="E299">
        <f>IFERROR(IF(VLOOKUP($B299,Показатели!$E:$W,2,FALSE)=0,"",VLOOKUP($B299,Показатели!$E:$W,2,FALSE)),"")</f>
        <v>3354882000</v>
      </c>
      <c r="F299">
        <f>IFERROR(IF(VLOOKUP($B299,Показатели!$E:$W,3,FALSE)=0,"",VLOOKUP($B299,Показатели!$E:$W,3,FALSE)),"")</f>
        <v>24184154000</v>
      </c>
      <c r="G299">
        <f>IFERROR(IF(VLOOKUP($B299,Показатели!$E:$W,4,FALSE)=0,"",VLOOKUP($B299,Показатели!$E:$W,4,FALSE)),"")</f>
        <v>132468741000</v>
      </c>
      <c r="H299" t="str">
        <f>IFERROR(IF(VLOOKUP($B299,Показатели!$E:$W,5,FALSE)=0,"",VLOOKUP($B299,Показатели!$E:$W,5,FALSE)),"")</f>
        <v/>
      </c>
      <c r="I299">
        <f>IFERROR(IF(VLOOKUP($B299,Показатели!$E:$W,6,FALSE)=0,"",VLOOKUP($B299,Показатели!$E:$W,6,FALSE)),"")</f>
        <v>159770954000</v>
      </c>
      <c r="J299">
        <f>IFERROR(IF(VLOOKUP($B299,Показатели!$E:$W,7,FALSE)=0,"",VLOOKUP($B299,Показатели!$E:$W,7,FALSE)),"")</f>
        <v>20772823000</v>
      </c>
      <c r="K299">
        <f>IFERROR(IF(VLOOKUP($B299,Показатели!$E:$W,8,FALSE)=0,"",VLOOKUP($B299,Показатели!$E:$W,8,FALSE)),"")</f>
        <v>29014259000</v>
      </c>
      <c r="L299">
        <f>IFERROR(IF(VLOOKUP($B299,Показатели!$E:$W,9,FALSE)=0,"",VLOOKUP($B299,Показатели!$E:$W,9,FALSE)),"")</f>
        <v>47464616000</v>
      </c>
      <c r="M299">
        <f>IFERROR(IF(VLOOKUP($B299,Показатели!$E:$W,10,FALSE)=0,"",VLOOKUP($B299,Показатели!$E:$W,10,FALSE)),"")</f>
        <v>109983872000</v>
      </c>
      <c r="N299">
        <f>IFERROR(IF(VLOOKUP($B299,Показатели!$E:$W,11,FALSE)=0,"",VLOOKUP($B299,Показатели!$E:$W,11,FALSE)),"")</f>
        <v>78891102000</v>
      </c>
      <c r="O299">
        <f>IFERROR(IF(VLOOKUP($B299,Показатели!$E:$W,12,FALSE)=0,"",VLOOKUP($B299,Показатели!$E:$W,12,FALSE)),"")</f>
        <v>8600927000</v>
      </c>
      <c r="P299">
        <f>IFERROR(IF(VLOOKUP($B299,Показатели!$E:$W,13,FALSE)=0,"",VLOOKUP($B299,Показатели!$E:$W,13,FALSE)),"")</f>
        <v>6466470000</v>
      </c>
      <c r="Q299">
        <f>IFERROR(IF(VLOOKUP($B299,Показатели!$E:$W,14,FALSE)=0,"",VLOOKUP($B299,Показатели!$E:$W,14,FALSE)),"")</f>
        <v>5324173000</v>
      </c>
      <c r="R299" t="str">
        <f>IFERROR(IF(VLOOKUP($B299,Показатели!$E:$W,15,FALSE)=0,"",VLOOKUP($B299,Показатели!$E:$W,15,FALSE)),"")</f>
        <v/>
      </c>
      <c r="S299" t="str">
        <f>IFERROR(IF(VLOOKUP($B299,Показатели!$E:$W,16,FALSE)=0,"",VLOOKUP($B299,Показатели!$E:$W,16,FALSE)),"")</f>
        <v/>
      </c>
      <c r="T299">
        <f>IFERROR(IF(VLOOKUP($B299,Показатели!$E:$W,17,FALSE)=0,"",VLOOKUP($B299,Показатели!$E:$W,17,FALSE)),"")</f>
        <v>-9218408000</v>
      </c>
      <c r="U299" t="str">
        <f>IFERROR(IF(VLOOKUP($B299,Показатели!$E:$W,18,FALSE)=0,"",VLOOKUP($B299,Показатели!$E:$W,18,FALSE)),"")</f>
        <v/>
      </c>
      <c r="V299" t="str">
        <f>IFERROR(IF(VLOOKUP($B299,Показатели!$E:$W,19,FALSE)=0,"",VLOOKUP($B299,Показатели!$E:$W,19,FALSE)),"")</f>
        <v/>
      </c>
    </row>
    <row r="300" spans="1:22" x14ac:dyDescent="0.2">
      <c r="A300" s="7" t="s">
        <v>2214</v>
      </c>
      <c r="B300" t="str">
        <f t="shared" si="4"/>
        <v>TGKA IV кв. 2015</v>
      </c>
      <c r="C300">
        <v>2015</v>
      </c>
      <c r="D300">
        <f>SUMIFS(Дивиденды!$C:$C,Дивиденды!$A:$A,A300,Дивиденды!$I:$I,C300)</f>
        <v>2.43E-4</v>
      </c>
      <c r="E300" t="str">
        <f>IFERROR(IF(VLOOKUP($B300,Показатели!$E:$W,2,FALSE)=0,"",VLOOKUP($B300,Показатели!$E:$W,2,FALSE)),"")</f>
        <v/>
      </c>
      <c r="F300" t="str">
        <f>IFERROR(IF(VLOOKUP($B300,Показатели!$E:$W,3,FALSE)=0,"",VLOOKUP($B300,Показатели!$E:$W,3,FALSE)),"")</f>
        <v/>
      </c>
      <c r="G300" t="str">
        <f>IFERROR(IF(VLOOKUP($B300,Показатели!$E:$W,4,FALSE)=0,"",VLOOKUP($B300,Показатели!$E:$W,4,FALSE)),"")</f>
        <v/>
      </c>
      <c r="H300" t="str">
        <f>IFERROR(IF(VLOOKUP($B300,Показатели!$E:$W,5,FALSE)=0,"",VLOOKUP($B300,Показатели!$E:$W,5,FALSE)),"")</f>
        <v/>
      </c>
      <c r="I300" t="str">
        <f>IFERROR(IF(VLOOKUP($B300,Показатели!$E:$W,6,FALSE)=0,"",VLOOKUP($B300,Показатели!$E:$W,6,FALSE)),"")</f>
        <v/>
      </c>
      <c r="J300" t="str">
        <f>IFERROR(IF(VLOOKUP($B300,Показатели!$E:$W,7,FALSE)=0,"",VLOOKUP($B300,Показатели!$E:$W,7,FALSE)),"")</f>
        <v/>
      </c>
      <c r="K300" t="str">
        <f>IFERROR(IF(VLOOKUP($B300,Показатели!$E:$W,8,FALSE)=0,"",VLOOKUP($B300,Показатели!$E:$W,8,FALSE)),"")</f>
        <v/>
      </c>
      <c r="L300" t="str">
        <f>IFERROR(IF(VLOOKUP($B300,Показатели!$E:$W,9,FALSE)=0,"",VLOOKUP($B300,Показатели!$E:$W,9,FALSE)),"")</f>
        <v/>
      </c>
      <c r="M300" t="str">
        <f>IFERROR(IF(VLOOKUP($B300,Показатели!$E:$W,10,FALSE)=0,"",VLOOKUP($B300,Показатели!$E:$W,10,FALSE)),"")</f>
        <v/>
      </c>
      <c r="N300" t="str">
        <f>IFERROR(IF(VLOOKUP($B300,Показатели!$E:$W,11,FALSE)=0,"",VLOOKUP($B300,Показатели!$E:$W,11,FALSE)),"")</f>
        <v/>
      </c>
      <c r="O300" t="str">
        <f>IFERROR(IF(VLOOKUP($B300,Показатели!$E:$W,12,FALSE)=0,"",VLOOKUP($B300,Показатели!$E:$W,12,FALSE)),"")</f>
        <v/>
      </c>
      <c r="P300" t="str">
        <f>IFERROR(IF(VLOOKUP($B300,Показатели!$E:$W,13,FALSE)=0,"",VLOOKUP($B300,Показатели!$E:$W,13,FALSE)),"")</f>
        <v/>
      </c>
      <c r="Q300" t="str">
        <f>IFERROR(IF(VLOOKUP($B300,Показатели!$E:$W,14,FALSE)=0,"",VLOOKUP($B300,Показатели!$E:$W,14,FALSE)),"")</f>
        <v/>
      </c>
      <c r="R300" t="str">
        <f>IFERROR(IF(VLOOKUP($B300,Показатели!$E:$W,15,FALSE)=0,"",VLOOKUP($B300,Показатели!$E:$W,15,FALSE)),"")</f>
        <v/>
      </c>
      <c r="S300" t="str">
        <f>IFERROR(IF(VLOOKUP($B300,Показатели!$E:$W,16,FALSE)=0,"",VLOOKUP($B300,Показатели!$E:$W,16,FALSE)),"")</f>
        <v/>
      </c>
      <c r="T300" t="str">
        <f>IFERROR(IF(VLOOKUP($B300,Показатели!$E:$W,17,FALSE)=0,"",VLOOKUP($B300,Показатели!$E:$W,17,FALSE)),"")</f>
        <v/>
      </c>
      <c r="U300" t="str">
        <f>IFERROR(IF(VLOOKUP($B300,Показатели!$E:$W,18,FALSE)=0,"",VLOOKUP($B300,Показатели!$E:$W,18,FALSE)),"")</f>
        <v/>
      </c>
      <c r="V300" t="str">
        <f>IFERROR(IF(VLOOKUP($B300,Показатели!$E:$W,19,FALSE)=0,"",VLOOKUP($B300,Показатели!$E:$W,19,FALSE)),"")</f>
        <v/>
      </c>
    </row>
    <row r="301" spans="1:22" x14ac:dyDescent="0.2">
      <c r="A301" s="7" t="s">
        <v>2214</v>
      </c>
      <c r="B301" t="str">
        <f t="shared" si="4"/>
        <v>TGKA IV кв. 2014</v>
      </c>
      <c r="C301">
        <v>2014</v>
      </c>
      <c r="D301">
        <f>SUMIFS(Дивиденды!$C:$C,Дивиденды!$A:$A,A301,Дивиденды!$I:$I,C301)</f>
        <v>2.2499999999999999E-4</v>
      </c>
      <c r="E301" t="str">
        <f>IFERROR(IF(VLOOKUP($B301,Показатели!$E:$W,2,FALSE)=0,"",VLOOKUP($B301,Показатели!$E:$W,2,FALSE)),"")</f>
        <v/>
      </c>
      <c r="F301" t="str">
        <f>IFERROR(IF(VLOOKUP($B301,Показатели!$E:$W,3,FALSE)=0,"",VLOOKUP($B301,Показатели!$E:$W,3,FALSE)),"")</f>
        <v/>
      </c>
      <c r="G301" t="str">
        <f>IFERROR(IF(VLOOKUP($B301,Показатели!$E:$W,4,FALSE)=0,"",VLOOKUP($B301,Показатели!$E:$W,4,FALSE)),"")</f>
        <v/>
      </c>
      <c r="H301" t="str">
        <f>IFERROR(IF(VLOOKUP($B301,Показатели!$E:$W,5,FALSE)=0,"",VLOOKUP($B301,Показатели!$E:$W,5,FALSE)),"")</f>
        <v/>
      </c>
      <c r="I301" t="str">
        <f>IFERROR(IF(VLOOKUP($B301,Показатели!$E:$W,6,FALSE)=0,"",VLOOKUP($B301,Показатели!$E:$W,6,FALSE)),"")</f>
        <v/>
      </c>
      <c r="J301" t="str">
        <f>IFERROR(IF(VLOOKUP($B301,Показатели!$E:$W,7,FALSE)=0,"",VLOOKUP($B301,Показатели!$E:$W,7,FALSE)),"")</f>
        <v/>
      </c>
      <c r="K301" t="str">
        <f>IFERROR(IF(VLOOKUP($B301,Показатели!$E:$W,8,FALSE)=0,"",VLOOKUP($B301,Показатели!$E:$W,8,FALSE)),"")</f>
        <v/>
      </c>
      <c r="L301" t="str">
        <f>IFERROR(IF(VLOOKUP($B301,Показатели!$E:$W,9,FALSE)=0,"",VLOOKUP($B301,Показатели!$E:$W,9,FALSE)),"")</f>
        <v/>
      </c>
      <c r="M301" t="str">
        <f>IFERROR(IF(VLOOKUP($B301,Показатели!$E:$W,10,FALSE)=0,"",VLOOKUP($B301,Показатели!$E:$W,10,FALSE)),"")</f>
        <v/>
      </c>
      <c r="N301" t="str">
        <f>IFERROR(IF(VLOOKUP($B301,Показатели!$E:$W,11,FALSE)=0,"",VLOOKUP($B301,Показатели!$E:$W,11,FALSE)),"")</f>
        <v/>
      </c>
      <c r="O301" t="str">
        <f>IFERROR(IF(VLOOKUP($B301,Показатели!$E:$W,12,FALSE)=0,"",VLOOKUP($B301,Показатели!$E:$W,12,FALSE)),"")</f>
        <v/>
      </c>
      <c r="P301" t="str">
        <f>IFERROR(IF(VLOOKUP($B301,Показатели!$E:$W,13,FALSE)=0,"",VLOOKUP($B301,Показатели!$E:$W,13,FALSE)),"")</f>
        <v/>
      </c>
      <c r="Q301" t="str">
        <f>IFERROR(IF(VLOOKUP($B301,Показатели!$E:$W,14,FALSE)=0,"",VLOOKUP($B301,Показатели!$E:$W,14,FALSE)),"")</f>
        <v/>
      </c>
      <c r="R301" t="str">
        <f>IFERROR(IF(VLOOKUP($B301,Показатели!$E:$W,15,FALSE)=0,"",VLOOKUP($B301,Показатели!$E:$W,15,FALSE)),"")</f>
        <v/>
      </c>
      <c r="S301" t="str">
        <f>IFERROR(IF(VLOOKUP($B301,Показатели!$E:$W,16,FALSE)=0,"",VLOOKUP($B301,Показатели!$E:$W,16,FALSE)),"")</f>
        <v/>
      </c>
      <c r="T301" t="str">
        <f>IFERROR(IF(VLOOKUP($B301,Показатели!$E:$W,17,FALSE)=0,"",VLOOKUP($B301,Показатели!$E:$W,17,FALSE)),"")</f>
        <v/>
      </c>
      <c r="U301" t="str">
        <f>IFERROR(IF(VLOOKUP($B301,Показатели!$E:$W,18,FALSE)=0,"",VLOOKUP($B301,Показатели!$E:$W,18,FALSE)),"")</f>
        <v/>
      </c>
      <c r="V301" t="str">
        <f>IFERROR(IF(VLOOKUP($B301,Показатели!$E:$W,19,FALSE)=0,"",VLOOKUP($B301,Показатели!$E:$W,19,FALSE)),"")</f>
        <v/>
      </c>
    </row>
    <row r="302" spans="1:22" x14ac:dyDescent="0.2">
      <c r="A302" s="7" t="s">
        <v>2214</v>
      </c>
      <c r="B302" t="str">
        <f t="shared" si="4"/>
        <v>TGKA IV кв. 2013</v>
      </c>
      <c r="C302">
        <v>2013</v>
      </c>
      <c r="D302">
        <f>SUMIFS(Дивиденды!$C:$C,Дивиденды!$A:$A,A302,Дивиденды!$I:$I,C302)</f>
        <v>1.6699999999999999E-4</v>
      </c>
      <c r="E302">
        <f>IFERROR(IF(VLOOKUP($B302,Показатели!$E:$W,2,FALSE)=0,"",VLOOKUP($B302,Показатели!$E:$W,2,FALSE)),"")</f>
        <v>243005000</v>
      </c>
      <c r="F302">
        <f>IFERROR(IF(VLOOKUP($B302,Показатели!$E:$W,3,FALSE)=0,"",VLOOKUP($B302,Показатели!$E:$W,3,FALSE)),"")</f>
        <v>18862269000</v>
      </c>
      <c r="G302">
        <f>IFERROR(IF(VLOOKUP($B302,Показатели!$E:$W,4,FALSE)=0,"",VLOOKUP($B302,Показатели!$E:$W,4,FALSE)),"")</f>
        <v>130188242000</v>
      </c>
      <c r="H302" t="str">
        <f>IFERROR(IF(VLOOKUP($B302,Показатели!$E:$W,5,FALSE)=0,"",VLOOKUP($B302,Показатели!$E:$W,5,FALSE)),"")</f>
        <v/>
      </c>
      <c r="I302">
        <f>IFERROR(IF(VLOOKUP($B302,Показатели!$E:$W,6,FALSE)=0,"",VLOOKUP($B302,Показатели!$E:$W,6,FALSE)),"")</f>
        <v>150601768000</v>
      </c>
      <c r="J302">
        <f>IFERROR(IF(VLOOKUP($B302,Показатели!$E:$W,7,FALSE)=0,"",VLOOKUP($B302,Показатели!$E:$W,7,FALSE)),"")</f>
        <v>20439480000</v>
      </c>
      <c r="K302">
        <f>IFERROR(IF(VLOOKUP($B302,Показатели!$E:$W,8,FALSE)=0,"",VLOOKUP($B302,Показатели!$E:$W,8,FALSE)),"")</f>
        <v>33047408000</v>
      </c>
      <c r="L302" t="str">
        <f>IFERROR(IF(VLOOKUP($B302,Показатели!$E:$W,9,FALSE)=0,"",VLOOKUP($B302,Показатели!$E:$W,9,FALSE)),"")</f>
        <v/>
      </c>
      <c r="M302">
        <f>IFERROR(IF(VLOOKUP($B302,Показатели!$E:$W,10,FALSE)=0,"",VLOOKUP($B302,Показатели!$E:$W,10,FALSE)),"")</f>
        <v>97114880000</v>
      </c>
      <c r="N302">
        <f>IFERROR(IF(VLOOKUP($B302,Показатели!$E:$W,11,FALSE)=0,"",VLOOKUP($B302,Показатели!$E:$W,11,FALSE)),"")</f>
        <v>42819556000</v>
      </c>
      <c r="O302">
        <f>IFERROR(IF(VLOOKUP($B302,Показатели!$E:$W,12,FALSE)=0,"",VLOOKUP($B302,Показатели!$E:$W,12,FALSE)),"")</f>
        <v>9890996000</v>
      </c>
      <c r="P302">
        <f>IFERROR(IF(VLOOKUP($B302,Показатели!$E:$W,13,FALSE)=0,"",VLOOKUP($B302,Показатели!$E:$W,13,FALSE)),"")</f>
        <v>7897400000</v>
      </c>
      <c r="Q302">
        <f>IFERROR(IF(VLOOKUP($B302,Показатели!$E:$W,14,FALSE)=0,"",VLOOKUP($B302,Показатели!$E:$W,14,FALSE)),"")</f>
        <v>6767539000</v>
      </c>
      <c r="R302" t="str">
        <f>IFERROR(IF(VLOOKUP($B302,Показатели!$E:$W,15,FALSE)=0,"",VLOOKUP($B302,Показатели!$E:$W,15,FALSE)),"")</f>
        <v/>
      </c>
      <c r="S302">
        <f>IFERROR(IF(VLOOKUP($B302,Показатели!$E:$W,16,FALSE)=0,"",VLOOKUP($B302,Показатели!$E:$W,16,FALSE)),"")</f>
        <v>16298000000</v>
      </c>
      <c r="T302" t="str">
        <f>IFERROR(IF(VLOOKUP($B302,Показатели!$E:$W,17,FALSE)=0,"",VLOOKUP($B302,Показатели!$E:$W,17,FALSE)),"")</f>
        <v/>
      </c>
      <c r="U302">
        <f>IFERROR(IF(VLOOKUP($B302,Показатели!$E:$W,18,FALSE)=0,"",VLOOKUP($B302,Показатели!$E:$W,18,FALSE)),"")</f>
        <v>62483802000</v>
      </c>
      <c r="V302">
        <f>IFERROR(IF(VLOOKUP($B302,Показатели!$E:$W,19,FALSE)=0,"",VLOOKUP($B302,Показатели!$E:$W,19,FALSE)),"")</f>
        <v>147935886000</v>
      </c>
    </row>
    <row r="303" spans="1:22" x14ac:dyDescent="0.2">
      <c r="A303" s="7" t="s">
        <v>2214</v>
      </c>
      <c r="B303" t="str">
        <f t="shared" si="4"/>
        <v>TGKA IV кв. 2012</v>
      </c>
      <c r="C303">
        <v>2012</v>
      </c>
      <c r="D303">
        <f>SUMIFS(Дивиденды!$C:$C,Дивиденды!$A:$A,A303,Дивиденды!$I:$I,C303)</f>
        <v>1.22E-4</v>
      </c>
      <c r="E303">
        <f>IFERROR(IF(VLOOKUP($B303,Показатели!$E:$W,2,FALSE)=0,"",VLOOKUP($B303,Показатели!$E:$W,2,FALSE)),"")</f>
        <v>719975000</v>
      </c>
      <c r="F303">
        <f>IFERROR(IF(VLOOKUP($B303,Показатели!$E:$W,3,FALSE)=0,"",VLOOKUP($B303,Показатели!$E:$W,3,FALSE)),"")</f>
        <v>17289229000</v>
      </c>
      <c r="G303">
        <f>IFERROR(IF(VLOOKUP($B303,Показатели!$E:$W,4,FALSE)=0,"",VLOOKUP($B303,Показатели!$E:$W,4,FALSE)),"")</f>
        <v>129056534000</v>
      </c>
      <c r="H303" t="str">
        <f>IFERROR(IF(VLOOKUP($B303,Показатели!$E:$W,5,FALSE)=0,"",VLOOKUP($B303,Показатели!$E:$W,5,FALSE)),"")</f>
        <v/>
      </c>
      <c r="I303">
        <f>IFERROR(IF(VLOOKUP($B303,Показатели!$E:$W,6,FALSE)=0,"",VLOOKUP($B303,Показатели!$E:$W,6,FALSE)),"")</f>
        <v>147935886000</v>
      </c>
      <c r="J303">
        <f>IFERROR(IF(VLOOKUP($B303,Показатели!$E:$W,7,FALSE)=0,"",VLOOKUP($B303,Показатели!$E:$W,7,FALSE)),"")</f>
        <v>19922890000</v>
      </c>
      <c r="K303">
        <f>IFERROR(IF(VLOOKUP($B303,Показатели!$E:$W,8,FALSE)=0,"",VLOOKUP($B303,Показатели!$E:$W,8,FALSE)),"")</f>
        <v>37243616000</v>
      </c>
      <c r="L303" t="str">
        <f>IFERROR(IF(VLOOKUP($B303,Показатели!$E:$W,9,FALSE)=0,"",VLOOKUP($B303,Показатели!$E:$W,9,FALSE)),"")</f>
        <v/>
      </c>
      <c r="M303">
        <f>IFERROR(IF(VLOOKUP($B303,Показатели!$E:$W,10,FALSE)=0,"",VLOOKUP($B303,Показатели!$E:$W,10,FALSE)),"")</f>
        <v>90769380000</v>
      </c>
      <c r="N303">
        <f>IFERROR(IF(VLOOKUP($B303,Показатели!$E:$W,11,FALSE)=0,"",VLOOKUP($B303,Показатели!$E:$W,11,FALSE)),"")</f>
        <v>62483802000</v>
      </c>
      <c r="O303">
        <f>IFERROR(IF(VLOOKUP($B303,Показатели!$E:$W,12,FALSE)=0,"",VLOOKUP($B303,Показатели!$E:$W,12,FALSE)),"")</f>
        <v>9858626000</v>
      </c>
      <c r="P303">
        <f>IFERROR(IF(VLOOKUP($B303,Показатели!$E:$W,13,FALSE)=0,"",VLOOKUP($B303,Показатели!$E:$W,13,FALSE)),"")</f>
        <v>8117878000</v>
      </c>
      <c r="Q303">
        <f>IFERROR(IF(VLOOKUP($B303,Показатели!$E:$W,14,FALSE)=0,"",VLOOKUP($B303,Показатели!$E:$W,14,FALSE)),"")</f>
        <v>6241890000</v>
      </c>
      <c r="R303" t="str">
        <f>IFERROR(IF(VLOOKUP($B303,Показатели!$E:$W,15,FALSE)=0,"",VLOOKUP($B303,Показатели!$E:$W,15,FALSE)),"")</f>
        <v/>
      </c>
      <c r="S303">
        <f>IFERROR(IF(VLOOKUP($B303,Показатели!$E:$W,16,FALSE)=0,"",VLOOKUP($B303,Показатели!$E:$W,16,FALSE)),"")</f>
        <v>15445000000</v>
      </c>
      <c r="T303" t="str">
        <f>IFERROR(IF(VLOOKUP($B303,Показатели!$E:$W,17,FALSE)=0,"",VLOOKUP($B303,Показатели!$E:$W,17,FALSE)),"")</f>
        <v/>
      </c>
      <c r="U303">
        <f>IFERROR(IF(VLOOKUP($B303,Показатели!$E:$W,18,FALSE)=0,"",VLOOKUP($B303,Показатели!$E:$W,18,FALSE)),"")</f>
        <v>60251760000</v>
      </c>
      <c r="V303">
        <f>IFERROR(IF(VLOOKUP($B303,Показатели!$E:$W,19,FALSE)=0,"",VLOOKUP($B303,Показатели!$E:$W,19,FALSE)),"")</f>
        <v>137942135000</v>
      </c>
    </row>
    <row r="304" spans="1:22" x14ac:dyDescent="0.2">
      <c r="A304" s="7" t="s">
        <v>2214</v>
      </c>
      <c r="B304" t="str">
        <f t="shared" si="4"/>
        <v>TGKA IV кв. 2011</v>
      </c>
      <c r="C304">
        <v>2011</v>
      </c>
      <c r="D304">
        <f>SUMIFS(Дивиденды!$C:$C,Дивиденды!$A:$A,A304,Дивиденды!$I:$I,C304)</f>
        <v>4.8999999999999998E-5</v>
      </c>
      <c r="E304">
        <f>IFERROR(IF(VLOOKUP($B304,Показатели!$E:$W,2,FALSE)=0,"",VLOOKUP($B304,Показатели!$E:$W,2,FALSE)),"")</f>
        <v>375545000</v>
      </c>
      <c r="F304">
        <f>IFERROR(IF(VLOOKUP($B304,Показатели!$E:$W,3,FALSE)=0,"",VLOOKUP($B304,Показатели!$E:$W,3,FALSE)),"")</f>
        <v>16002170000</v>
      </c>
      <c r="G304">
        <f>IFERROR(IF(VLOOKUP($B304,Показатели!$E:$W,4,FALSE)=0,"",VLOOKUP($B304,Показатели!$E:$W,4,FALSE)),"")</f>
        <v>120655949000</v>
      </c>
      <c r="H304" t="str">
        <f>IFERROR(IF(VLOOKUP($B304,Показатели!$E:$W,5,FALSE)=0,"",VLOOKUP($B304,Показатели!$E:$W,5,FALSE)),"")</f>
        <v/>
      </c>
      <c r="I304">
        <f>IFERROR(IF(VLOOKUP($B304,Показатели!$E:$W,6,FALSE)=0,"",VLOOKUP($B304,Показатели!$E:$W,6,FALSE)),"")</f>
        <v>137942135000</v>
      </c>
      <c r="J304">
        <f>IFERROR(IF(VLOOKUP($B304,Показатели!$E:$W,7,FALSE)=0,"",VLOOKUP($B304,Показатели!$E:$W,7,FALSE)),"")</f>
        <v>21257209000</v>
      </c>
      <c r="K304">
        <f>IFERROR(IF(VLOOKUP($B304,Показатели!$E:$W,8,FALSE)=0,"",VLOOKUP($B304,Показатели!$E:$W,8,FALSE)),"")</f>
        <v>31978351000</v>
      </c>
      <c r="L304" t="str">
        <f>IFERROR(IF(VLOOKUP($B304,Показатели!$E:$W,9,FALSE)=0,"",VLOOKUP($B304,Показатели!$E:$W,9,FALSE)),"")</f>
        <v/>
      </c>
      <c r="M304">
        <f>IFERROR(IF(VLOOKUP($B304,Показатели!$E:$W,10,FALSE)=0,"",VLOOKUP($B304,Показатели!$E:$W,10,FALSE)),"")</f>
        <v>84706575000</v>
      </c>
      <c r="N304">
        <f>IFERROR(IF(VLOOKUP($B304,Показатели!$E:$W,11,FALSE)=0,"",VLOOKUP($B304,Показатели!$E:$W,11,FALSE)),"")</f>
        <v>60251760000</v>
      </c>
      <c r="O304">
        <f>IFERROR(IF(VLOOKUP($B304,Показатели!$E:$W,12,FALSE)=0,"",VLOOKUP($B304,Показатели!$E:$W,12,FALSE)),"")</f>
        <v>7017175000</v>
      </c>
      <c r="P304">
        <f>IFERROR(IF(VLOOKUP($B304,Показатели!$E:$W,13,FALSE)=0,"",VLOOKUP($B304,Показатели!$E:$W,13,FALSE)),"")</f>
        <v>5286063000</v>
      </c>
      <c r="Q304">
        <f>IFERROR(IF(VLOOKUP($B304,Показатели!$E:$W,14,FALSE)=0,"",VLOOKUP($B304,Показатели!$E:$W,14,FALSE)),"")</f>
        <v>3901766000</v>
      </c>
      <c r="R304" t="str">
        <f>IFERROR(IF(VLOOKUP($B304,Показатели!$E:$W,15,FALSE)=0,"",VLOOKUP($B304,Показатели!$E:$W,15,FALSE)),"")</f>
        <v/>
      </c>
      <c r="S304">
        <f>IFERROR(IF(VLOOKUP($B304,Показатели!$E:$W,16,FALSE)=0,"",VLOOKUP($B304,Показатели!$E:$W,16,FALSE)),"")</f>
        <v>11837000</v>
      </c>
      <c r="T304" t="str">
        <f>IFERROR(IF(VLOOKUP($B304,Показатели!$E:$W,17,FALSE)=0,"",VLOOKUP($B304,Показатели!$E:$W,17,FALSE)),"")</f>
        <v/>
      </c>
      <c r="U304" t="str">
        <f>IFERROR(IF(VLOOKUP($B304,Показатели!$E:$W,18,FALSE)=0,"",VLOOKUP($B304,Показатели!$E:$W,18,FALSE)),"")</f>
        <v/>
      </c>
      <c r="V304" t="str">
        <f>IFERROR(IF(VLOOKUP($B304,Показатели!$E:$W,19,FALSE)=0,"",VLOOKUP($B304,Показатели!$E:$W,19,FALSE)),"")</f>
        <v/>
      </c>
    </row>
    <row r="305" spans="1:22" x14ac:dyDescent="0.2">
      <c r="A305" s="7" t="s">
        <v>2214</v>
      </c>
      <c r="B305" t="str">
        <f t="shared" si="4"/>
        <v>TGKA IV кв. 2010</v>
      </c>
      <c r="C305">
        <v>2010</v>
      </c>
      <c r="D305">
        <f>SUMIFS(Дивиденды!$C:$C,Дивиденды!$A:$A,A305,Дивиденды!$I:$I,C305)</f>
        <v>4.6999999999999997E-5</v>
      </c>
      <c r="E305" t="str">
        <f>IFERROR(IF(VLOOKUP($B305,Показатели!$E:$W,2,FALSE)=0,"",VLOOKUP($B305,Показатели!$E:$W,2,FALSE)),"")</f>
        <v/>
      </c>
      <c r="F305" t="str">
        <f>IFERROR(IF(VLOOKUP($B305,Показатели!$E:$W,3,FALSE)=0,"",VLOOKUP($B305,Показатели!$E:$W,3,FALSE)),"")</f>
        <v/>
      </c>
      <c r="G305" t="str">
        <f>IFERROR(IF(VLOOKUP($B305,Показатели!$E:$W,4,FALSE)=0,"",VLOOKUP($B305,Показатели!$E:$W,4,FALSE)),"")</f>
        <v/>
      </c>
      <c r="H305" t="str">
        <f>IFERROR(IF(VLOOKUP($B305,Показатели!$E:$W,5,FALSE)=0,"",VLOOKUP($B305,Показатели!$E:$W,5,FALSE)),"")</f>
        <v/>
      </c>
      <c r="I305" t="str">
        <f>IFERROR(IF(VLOOKUP($B305,Показатели!$E:$W,6,FALSE)=0,"",VLOOKUP($B305,Показатели!$E:$W,6,FALSE)),"")</f>
        <v/>
      </c>
      <c r="J305" t="str">
        <f>IFERROR(IF(VLOOKUP($B305,Показатели!$E:$W,7,FALSE)=0,"",VLOOKUP($B305,Показатели!$E:$W,7,FALSE)),"")</f>
        <v/>
      </c>
      <c r="K305" t="str">
        <f>IFERROR(IF(VLOOKUP($B305,Показатели!$E:$W,8,FALSE)=0,"",VLOOKUP($B305,Показатели!$E:$W,8,FALSE)),"")</f>
        <v/>
      </c>
      <c r="L305" t="str">
        <f>IFERROR(IF(VLOOKUP($B305,Показатели!$E:$W,9,FALSE)=0,"",VLOOKUP($B305,Показатели!$E:$W,9,FALSE)),"")</f>
        <v/>
      </c>
      <c r="M305" t="str">
        <f>IFERROR(IF(VLOOKUP($B305,Показатели!$E:$W,10,FALSE)=0,"",VLOOKUP($B305,Показатели!$E:$W,10,FALSE)),"")</f>
        <v/>
      </c>
      <c r="N305" t="str">
        <f>IFERROR(IF(VLOOKUP($B305,Показатели!$E:$W,11,FALSE)=0,"",VLOOKUP($B305,Показатели!$E:$W,11,FALSE)),"")</f>
        <v/>
      </c>
      <c r="O305" t="str">
        <f>IFERROR(IF(VLOOKUP($B305,Показатели!$E:$W,12,FALSE)=0,"",VLOOKUP($B305,Показатели!$E:$W,12,FALSE)),"")</f>
        <v/>
      </c>
      <c r="P305" t="str">
        <f>IFERROR(IF(VLOOKUP($B305,Показатели!$E:$W,13,FALSE)=0,"",VLOOKUP($B305,Показатели!$E:$W,13,FALSE)),"")</f>
        <v/>
      </c>
      <c r="Q305" t="str">
        <f>IFERROR(IF(VLOOKUP($B305,Показатели!$E:$W,14,FALSE)=0,"",VLOOKUP($B305,Показатели!$E:$W,14,FALSE)),"")</f>
        <v/>
      </c>
      <c r="R305" t="str">
        <f>IFERROR(IF(VLOOKUP($B305,Показатели!$E:$W,15,FALSE)=0,"",VLOOKUP($B305,Показатели!$E:$W,15,FALSE)),"")</f>
        <v/>
      </c>
      <c r="S305" t="str">
        <f>IFERROR(IF(VLOOKUP($B305,Показатели!$E:$W,16,FALSE)=0,"",VLOOKUP($B305,Показатели!$E:$W,16,FALSE)),"")</f>
        <v/>
      </c>
      <c r="T305" t="str">
        <f>IFERROR(IF(VLOOKUP($B305,Показатели!$E:$W,17,FALSE)=0,"",VLOOKUP($B305,Показатели!$E:$W,17,FALSE)),"")</f>
        <v/>
      </c>
      <c r="U305" t="str">
        <f>IFERROR(IF(VLOOKUP($B305,Показатели!$E:$W,18,FALSE)=0,"",VLOOKUP($B305,Показатели!$E:$W,18,FALSE)),"")</f>
        <v/>
      </c>
      <c r="V305" t="str">
        <f>IFERROR(IF(VLOOKUP($B305,Показатели!$E:$W,19,FALSE)=0,"",VLOOKUP($B305,Показатели!$E:$W,19,FALSE)),"")</f>
        <v/>
      </c>
    </row>
    <row r="306" spans="1:22" x14ac:dyDescent="0.2">
      <c r="A306" s="7" t="s">
        <v>2216</v>
      </c>
      <c r="B306" t="str">
        <f t="shared" si="4"/>
        <v>UPRO IV кв. 2025</v>
      </c>
      <c r="C306">
        <v>2025</v>
      </c>
      <c r="D306">
        <f>SUMIFS(Дивиденды!$C:$C,Дивиденды!$A:$A,A306,Дивиденды!$I:$I,C306)</f>
        <v>0</v>
      </c>
      <c r="E306" t="str">
        <f>IFERROR(IF(VLOOKUP($B306,Показатели!$E:$W,2,FALSE)=0,"",VLOOKUP($B306,Показатели!$E:$W,2,FALSE)),"")</f>
        <v/>
      </c>
      <c r="F306">
        <f>IFERROR(IF(VLOOKUP($B306,Показатели!$E:$W,3,FALSE)=0,"",VLOOKUP($B306,Показатели!$E:$W,3,FALSE)),"")</f>
        <v>129885101000</v>
      </c>
      <c r="G306">
        <f>IFERROR(IF(VLOOKUP($B306,Показатели!$E:$W,4,FALSE)=0,"",VLOOKUP($B306,Показатели!$E:$W,4,FALSE)),"")</f>
        <v>106420816000</v>
      </c>
      <c r="H306" t="str">
        <f>IFERROR(IF(VLOOKUP($B306,Показатели!$E:$W,5,FALSE)=0,"",VLOOKUP($B306,Показатели!$E:$W,5,FALSE)),"")</f>
        <v/>
      </c>
      <c r="I306">
        <f>IFERROR(IF(VLOOKUP($B306,Показатели!$E:$W,6,FALSE)=0,"",VLOOKUP($B306,Показатели!$E:$W,6,FALSE)),"")</f>
        <v>238780590000</v>
      </c>
      <c r="J306">
        <f>IFERROR(IF(VLOOKUP($B306,Показатели!$E:$W,7,FALSE)=0,"",VLOOKUP($B306,Показатели!$E:$W,7,FALSE)),"")</f>
        <v>10851202000</v>
      </c>
      <c r="K306">
        <f>IFERROR(IF(VLOOKUP($B306,Показатели!$E:$W,8,FALSE)=0,"",VLOOKUP($B306,Показатели!$E:$W,8,FALSE)),"")</f>
        <v>4200927000</v>
      </c>
      <c r="L306" t="str">
        <f>IFERROR(IF(VLOOKUP($B306,Показатели!$E:$W,9,FALSE)=0,"",VLOOKUP($B306,Показатели!$E:$W,9,FALSE)),"")</f>
        <v/>
      </c>
      <c r="M306">
        <f>IFERROR(IF(VLOOKUP($B306,Показатели!$E:$W,10,FALSE)=0,"",VLOOKUP($B306,Показатели!$E:$W,10,FALSE)),"")</f>
        <v>223728461000</v>
      </c>
      <c r="N306">
        <f>IFERROR(IF(VLOOKUP($B306,Показатели!$E:$W,11,FALSE)=0,"",VLOOKUP($B306,Показатели!$E:$W,11,FALSE)),"")</f>
        <v>134304063000</v>
      </c>
      <c r="O306">
        <f>IFERROR(IF(VLOOKUP($B306,Показатели!$E:$W,12,FALSE)=0,"",VLOOKUP($B306,Показатели!$E:$W,12,FALSE)),"")</f>
        <v>31246868000</v>
      </c>
      <c r="P306">
        <f>IFERROR(IF(VLOOKUP($B306,Показатели!$E:$W,13,FALSE)=0,"",VLOOKUP($B306,Показатели!$E:$W,13,FALSE)),"")</f>
        <v>50863519000</v>
      </c>
      <c r="Q306">
        <f>IFERROR(IF(VLOOKUP($B306,Показатели!$E:$W,14,FALSE)=0,"",VLOOKUP($B306,Показатели!$E:$W,14,FALSE)),"")</f>
        <v>39385545000</v>
      </c>
      <c r="R306" t="str">
        <f>IFERROR(IF(VLOOKUP($B306,Показатели!$E:$W,15,FALSE)=0,"",VLOOKUP($B306,Показатели!$E:$W,15,FALSE)),"")</f>
        <v/>
      </c>
      <c r="S306" t="str">
        <f>IFERROR(IF(VLOOKUP($B306,Показатели!$E:$W,16,FALSE)=0,"",VLOOKUP($B306,Показатели!$E:$W,16,FALSE)),"")</f>
        <v/>
      </c>
      <c r="T306" t="str">
        <f>IFERROR(IF(VLOOKUP($B306,Показатели!$E:$W,17,FALSE)=0,"",VLOOKUP($B306,Показатели!$E:$W,17,FALSE)),"")</f>
        <v/>
      </c>
      <c r="U306">
        <f>IFERROR(IF(VLOOKUP($B306,Показатели!$E:$W,18,FALSE)=0,"",VLOOKUP($B306,Показатели!$E:$W,18,FALSE)),"")</f>
        <v>128250902000</v>
      </c>
      <c r="V306">
        <f>IFERROR(IF(VLOOKUP($B306,Показатели!$E:$W,19,FALSE)=0,"",VLOOKUP($B306,Показатели!$E:$W,19,FALSE)),"")</f>
        <v>197150055000</v>
      </c>
    </row>
    <row r="307" spans="1:22" x14ac:dyDescent="0.2">
      <c r="A307" s="7" t="s">
        <v>2216</v>
      </c>
      <c r="B307" t="str">
        <f t="shared" si="4"/>
        <v>UPRO IV кв. 2024</v>
      </c>
      <c r="C307">
        <v>2024</v>
      </c>
      <c r="D307">
        <f>SUMIFS(Дивиденды!$C:$C,Дивиденды!$A:$A,A307,Дивиденды!$I:$I,C307)</f>
        <v>0</v>
      </c>
      <c r="E307">
        <f>IFERROR(IF(VLOOKUP($B307,Показатели!$E:$W,2,FALSE)=0,"",VLOOKUP($B307,Показатели!$E:$W,2,FALSE)),"")</f>
        <v>27100815000</v>
      </c>
      <c r="F307">
        <f>IFERROR(IF(VLOOKUP($B307,Показатели!$E:$W,3,FALSE)=0,"",VLOOKUP($B307,Показатели!$E:$W,3,FALSE)),"")</f>
        <v>106908058000</v>
      </c>
      <c r="G307">
        <f>IFERROR(IF(VLOOKUP($B307,Показатели!$E:$W,4,FALSE)=0,"",VLOOKUP($B307,Показатели!$E:$W,4,FALSE)),"")</f>
        <v>87625501000</v>
      </c>
      <c r="H307">
        <f>IFERROR(IF(VLOOKUP($B307,Показатели!$E:$W,5,FALSE)=0,"",VLOOKUP($B307,Показатели!$E:$W,5,FALSE)),"")</f>
        <v>838620000</v>
      </c>
      <c r="I307">
        <f>IFERROR(IF(VLOOKUP($B307,Показатели!$E:$W,6,FALSE)=0,"",VLOOKUP($B307,Показатели!$E:$W,6,FALSE)),"")</f>
        <v>197150055000</v>
      </c>
      <c r="J307">
        <f>IFERROR(IF(VLOOKUP($B307,Показатели!$E:$W,7,FALSE)=0,"",VLOOKUP($B307,Показатели!$E:$W,7,FALSE)),"")</f>
        <v>9476038000</v>
      </c>
      <c r="K307">
        <f>IFERROR(IF(VLOOKUP($B307,Показатели!$E:$W,8,FALSE)=0,"",VLOOKUP($B307,Показатели!$E:$W,8,FALSE)),"")</f>
        <v>3549313000</v>
      </c>
      <c r="L307">
        <f>IFERROR(IF(VLOOKUP($B307,Показатели!$E:$W,9,FALSE)=0,"",VLOOKUP($B307,Показатели!$E:$W,9,FALSE)),"")</f>
        <v>118360842000</v>
      </c>
      <c r="M307">
        <f>IFERROR(IF(VLOOKUP($B307,Показатели!$E:$W,10,FALSE)=0,"",VLOOKUP($B307,Показатели!$E:$W,10,FALSE)),"")</f>
        <v>184124704000</v>
      </c>
      <c r="N307">
        <f>IFERROR(IF(VLOOKUP($B307,Показатели!$E:$W,11,FALSE)=0,"",VLOOKUP($B307,Показатели!$E:$W,11,FALSE)),"")</f>
        <v>128250902000</v>
      </c>
      <c r="O307">
        <f>IFERROR(IF(VLOOKUP($B307,Показатели!$E:$W,12,FALSE)=0,"",VLOOKUP($B307,Показатели!$E:$W,12,FALSE)),"")</f>
        <v>27739356000</v>
      </c>
      <c r="P307">
        <f>IFERROR(IF(VLOOKUP($B307,Показатели!$E:$W,13,FALSE)=0,"",VLOOKUP($B307,Показатели!$E:$W,13,FALSE)),"")</f>
        <v>39736680000</v>
      </c>
      <c r="Q307">
        <f>IFERROR(IF(VLOOKUP($B307,Показатели!$E:$W,14,FALSE)=0,"",VLOOKUP($B307,Показатели!$E:$W,14,FALSE)),"")</f>
        <v>31927474000</v>
      </c>
      <c r="R307">
        <f>IFERROR(IF(VLOOKUP($B307,Показатели!$E:$W,15,FALSE)=0,"",VLOOKUP($B307,Показатели!$E:$W,15,FALSE)),"")</f>
        <v>5783691000</v>
      </c>
      <c r="S307">
        <f>IFERROR(IF(VLOOKUP($B307,Показатели!$E:$W,16,FALSE)=0,"",VLOOKUP($B307,Показатели!$E:$W,16,FALSE)),"")</f>
        <v>49106322000</v>
      </c>
      <c r="T307">
        <f>IFERROR(IF(VLOOKUP($B307,Показатели!$E:$W,17,FALSE)=0,"",VLOOKUP($B307,Показатели!$E:$W,17,FALSE)),"")</f>
        <v>-13236343000</v>
      </c>
      <c r="U307">
        <f>IFERROR(IF(VLOOKUP($B307,Показатели!$E:$W,18,FALSE)=0,"",VLOOKUP($B307,Показатели!$E:$W,18,FALSE)),"")</f>
        <v>118631946000</v>
      </c>
      <c r="V307">
        <f>IFERROR(IF(VLOOKUP($B307,Показатели!$E:$W,19,FALSE)=0,"",VLOOKUP($B307,Показатели!$E:$W,19,FALSE)),"")</f>
        <v>166251904000</v>
      </c>
    </row>
    <row r="308" spans="1:22" x14ac:dyDescent="0.2">
      <c r="A308" s="7" t="s">
        <v>2216</v>
      </c>
      <c r="B308" t="str">
        <f t="shared" si="4"/>
        <v>UPRO IV кв. 2023</v>
      </c>
      <c r="C308">
        <v>2023</v>
      </c>
      <c r="D308">
        <f>SUMIFS(Дивиденды!$C:$C,Дивиденды!$A:$A,A308,Дивиденды!$I:$I,C308)</f>
        <v>0</v>
      </c>
      <c r="E308">
        <f>IFERROR(IF(VLOOKUP($B308,Показатели!$E:$W,2,FALSE)=0,"",VLOOKUP($B308,Показатели!$E:$W,2,FALSE)),"")</f>
        <v>50136997000</v>
      </c>
      <c r="F308">
        <f>IFERROR(IF(VLOOKUP($B308,Показатели!$E:$W,3,FALSE)=0,"",VLOOKUP($B308,Показатели!$E:$W,3,FALSE)),"")</f>
        <v>66314877000</v>
      </c>
      <c r="G308">
        <f>IFERROR(IF(VLOOKUP($B308,Показатели!$E:$W,4,FALSE)=0,"",VLOOKUP($B308,Показатели!$E:$W,4,FALSE)),"")</f>
        <v>95439443000</v>
      </c>
      <c r="H308">
        <f>IFERROR(IF(VLOOKUP($B308,Показатели!$E:$W,5,FALSE)=0,"",VLOOKUP($B308,Показатели!$E:$W,5,FALSE)),"")</f>
        <v>714979000</v>
      </c>
      <c r="I308">
        <f>IFERROR(IF(VLOOKUP($B308,Показатели!$E:$W,6,FALSE)=0,"",VLOOKUP($B308,Показатели!$E:$W,6,FALSE)),"")</f>
        <v>166251904000</v>
      </c>
      <c r="J308">
        <f>IFERROR(IF(VLOOKUP($B308,Показатели!$E:$W,7,FALSE)=0,"",VLOOKUP($B308,Показатели!$E:$W,7,FALSE)),"")</f>
        <v>8937980000</v>
      </c>
      <c r="K308">
        <f>IFERROR(IF(VLOOKUP($B308,Показатели!$E:$W,8,FALSE)=0,"",VLOOKUP($B308,Показатели!$E:$W,8,FALSE)),"")</f>
        <v>4818369000</v>
      </c>
      <c r="L308">
        <f>IFERROR(IF(VLOOKUP($B308,Показатели!$E:$W,9,FALSE)=0,"",VLOOKUP($B308,Показатели!$E:$W,9,FALSE)),"")</f>
        <v>86433368000</v>
      </c>
      <c r="M308">
        <f>IFERROR(IF(VLOOKUP($B308,Показатели!$E:$W,10,FALSE)=0,"",VLOOKUP($B308,Показатели!$E:$W,10,FALSE)),"")</f>
        <v>152495555000</v>
      </c>
      <c r="N308">
        <f>IFERROR(IF(VLOOKUP($B308,Показатели!$E:$W,11,FALSE)=0,"",VLOOKUP($B308,Показатели!$E:$W,11,FALSE)),"")</f>
        <v>118631946000</v>
      </c>
      <c r="O308">
        <f>IFERROR(IF(VLOOKUP($B308,Показатели!$E:$W,12,FALSE)=0,"",VLOOKUP($B308,Показатели!$E:$W,12,FALSE)),"")</f>
        <v>23527274000</v>
      </c>
      <c r="P308">
        <f>IFERROR(IF(VLOOKUP($B308,Показатели!$E:$W,13,FALSE)=0,"",VLOOKUP($B308,Показатели!$E:$W,13,FALSE)),"")</f>
        <v>27599631000</v>
      </c>
      <c r="Q308">
        <f>IFERROR(IF(VLOOKUP($B308,Показатели!$E:$W,14,FALSE)=0,"",VLOOKUP($B308,Показатели!$E:$W,14,FALSE)),"")</f>
        <v>22042856000</v>
      </c>
      <c r="R308">
        <f>IFERROR(IF(VLOOKUP($B308,Показатели!$E:$W,15,FALSE)=0,"",VLOOKUP($B308,Показатели!$E:$W,15,FALSE)),"")</f>
        <v>8129864000</v>
      </c>
      <c r="S308">
        <f>IFERROR(IF(VLOOKUP($B308,Показатели!$E:$W,16,FALSE)=0,"",VLOOKUP($B308,Показатели!$E:$W,16,FALSE)),"")</f>
        <v>44249555000</v>
      </c>
      <c r="T308">
        <f>IFERROR(IF(VLOOKUP($B308,Показатели!$E:$W,17,FALSE)=0,"",VLOOKUP($B308,Показатели!$E:$W,17,FALSE)),"")</f>
        <v>-14193504000</v>
      </c>
      <c r="U308">
        <f>IFERROR(IF(VLOOKUP($B308,Показатели!$E:$W,18,FALSE)=0,"",VLOOKUP($B308,Показатели!$E:$W,18,FALSE)),"")</f>
        <v>105798884000</v>
      </c>
      <c r="V308">
        <f>IFERROR(IF(VLOOKUP($B308,Показатели!$E:$W,19,FALSE)=0,"",VLOOKUP($B308,Показатели!$E:$W,19,FALSE)),"")</f>
        <v>146366579000</v>
      </c>
    </row>
    <row r="309" spans="1:22" x14ac:dyDescent="0.2">
      <c r="A309" s="7" t="s">
        <v>2216</v>
      </c>
      <c r="B309" t="str">
        <f t="shared" si="4"/>
        <v>UPRO IV кв. 2022</v>
      </c>
      <c r="C309">
        <v>2022</v>
      </c>
      <c r="D309">
        <f>SUMIFS(Дивиденды!$C:$C,Дивиденды!$A:$A,A309,Дивиденды!$I:$I,C309)</f>
        <v>0</v>
      </c>
      <c r="E309">
        <f>IFERROR(IF(VLOOKUP($B309,Показатели!$E:$W,2,FALSE)=0,"",VLOOKUP($B309,Показатели!$E:$W,2,FALSE)),"")</f>
        <v>27077433000</v>
      </c>
      <c r="F309">
        <f>IFERROR(IF(VLOOKUP($B309,Показатели!$E:$W,3,FALSE)=0,"",VLOOKUP($B309,Показатели!$E:$W,3,FALSE)),"")</f>
        <v>41256309000</v>
      </c>
      <c r="G309">
        <f>IFERROR(IF(VLOOKUP($B309,Показатели!$E:$W,4,FALSE)=0,"",VLOOKUP($B309,Показатели!$E:$W,4,FALSE)),"")</f>
        <v>102010250000</v>
      </c>
      <c r="H309">
        <f>IFERROR(IF(VLOOKUP($B309,Показатели!$E:$W,5,FALSE)=0,"",VLOOKUP($B309,Показатели!$E:$W,5,FALSE)),"")</f>
        <v>699915000</v>
      </c>
      <c r="I309">
        <f>IFERROR(IF(VLOOKUP($B309,Показатели!$E:$W,6,FALSE)=0,"",VLOOKUP($B309,Показатели!$E:$W,6,FALSE)),"")</f>
        <v>146366579000</v>
      </c>
      <c r="J309">
        <f>IFERROR(IF(VLOOKUP($B309,Показатели!$E:$W,7,FALSE)=0,"",VLOOKUP($B309,Показатели!$E:$W,7,FALSE)),"")</f>
        <v>10245946000</v>
      </c>
      <c r="K309">
        <f>IFERROR(IF(VLOOKUP($B309,Показатели!$E:$W,8,FALSE)=0,"",VLOOKUP($B309,Показатели!$E:$W,8,FALSE)),"")</f>
        <v>6410510000</v>
      </c>
      <c r="L309">
        <f>IFERROR(IF(VLOOKUP($B309,Показатели!$E:$W,9,FALSE)=0,"",VLOOKUP($B309,Показатели!$E:$W,9,FALSE)),"")</f>
        <v>64390512000</v>
      </c>
      <c r="M309">
        <f>IFERROR(IF(VLOOKUP($B309,Показатели!$E:$W,10,FALSE)=0,"",VLOOKUP($B309,Показатели!$E:$W,10,FALSE)),"")</f>
        <v>129710123000</v>
      </c>
      <c r="N309">
        <f>IFERROR(IF(VLOOKUP($B309,Показатели!$E:$W,11,FALSE)=0,"",VLOOKUP($B309,Показатели!$E:$W,11,FALSE)),"")</f>
        <v>105798884000</v>
      </c>
      <c r="O309">
        <f>IFERROR(IF(VLOOKUP($B309,Показатели!$E:$W,12,FALSE)=0,"",VLOOKUP($B309,Показатели!$E:$W,12,FALSE)),"")</f>
        <v>25220877000</v>
      </c>
      <c r="P309">
        <f>IFERROR(IF(VLOOKUP($B309,Показатели!$E:$W,13,FALSE)=0,"",VLOOKUP($B309,Показатели!$E:$W,13,FALSE)),"")</f>
        <v>26315408000</v>
      </c>
      <c r="Q309">
        <f>IFERROR(IF(VLOOKUP($B309,Показатели!$E:$W,14,FALSE)=0,"",VLOOKUP($B309,Показатели!$E:$W,14,FALSE)),"")</f>
        <v>21267722000</v>
      </c>
      <c r="R309">
        <f>IFERROR(IF(VLOOKUP($B309,Показатели!$E:$W,15,FALSE)=0,"",VLOOKUP($B309,Показатели!$E:$W,15,FALSE)),"")</f>
        <v>7566371000</v>
      </c>
      <c r="S309">
        <f>IFERROR(IF(VLOOKUP($B309,Показатели!$E:$W,16,FALSE)=0,"",VLOOKUP($B309,Показатели!$E:$W,16,FALSE)),"")</f>
        <v>42040943000</v>
      </c>
      <c r="T309">
        <f>IFERROR(IF(VLOOKUP($B309,Показатели!$E:$W,17,FALSE)=0,"",VLOOKUP($B309,Показатели!$E:$W,17,FALSE)),"")</f>
        <v>-5895396000</v>
      </c>
      <c r="U309">
        <f>IFERROR(IF(VLOOKUP($B309,Показатели!$E:$W,18,FALSE)=0,"",VLOOKUP($B309,Показатели!$E:$W,18,FALSE)),"")</f>
        <v>88129314000</v>
      </c>
      <c r="V309">
        <f>IFERROR(IF(VLOOKUP($B309,Показатели!$E:$W,19,FALSE)=0,"",VLOOKUP($B309,Показатели!$E:$W,19,FALSE)),"")</f>
        <v>127448256000</v>
      </c>
    </row>
    <row r="310" spans="1:22" x14ac:dyDescent="0.2">
      <c r="A310" s="7" t="s">
        <v>2216</v>
      </c>
      <c r="B310" t="str">
        <f t="shared" si="4"/>
        <v>UPRO IV кв. 2021</v>
      </c>
      <c r="C310">
        <v>2021</v>
      </c>
      <c r="D310">
        <f>SUMIFS(Дивиденды!$C:$C,Дивиденды!$A:$A,A310,Дивиденды!$I:$I,C310)</f>
        <v>0.19</v>
      </c>
      <c r="E310">
        <f>IFERROR(IF(VLOOKUP($B310,Показатели!$E:$W,2,FALSE)=0,"",VLOOKUP($B310,Показатели!$E:$W,2,FALSE)),"")</f>
        <v>29737000</v>
      </c>
      <c r="F310">
        <f>IFERROR(IF(VLOOKUP($B310,Показатели!$E:$W,3,FALSE)=0,"",VLOOKUP($B310,Показатели!$E:$W,3,FALSE)),"")</f>
        <v>13169549000</v>
      </c>
      <c r="G310">
        <f>IFERROR(IF(VLOOKUP($B310,Показатели!$E:$W,4,FALSE)=0,"",VLOOKUP($B310,Показатели!$E:$W,4,FALSE)),"")</f>
        <v>112286380000</v>
      </c>
      <c r="H310">
        <f>IFERROR(IF(VLOOKUP($B310,Показатели!$E:$W,5,FALSE)=0,"",VLOOKUP($B310,Показатели!$E:$W,5,FALSE)),"")</f>
        <v>604688000</v>
      </c>
      <c r="I310">
        <f>IFERROR(IF(VLOOKUP($B310,Показатели!$E:$W,6,FALSE)=0,"",VLOOKUP($B310,Показатели!$E:$W,6,FALSE)),"")</f>
        <v>127448256000</v>
      </c>
      <c r="J310">
        <f>IFERROR(IF(VLOOKUP($B310,Показатели!$E:$W,7,FALSE)=0,"",VLOOKUP($B310,Показатели!$E:$W,7,FALSE)),"")</f>
        <v>12290050000</v>
      </c>
      <c r="K310">
        <f>IFERROR(IF(VLOOKUP($B310,Показатели!$E:$W,8,FALSE)=0,"",VLOOKUP($B310,Показатели!$E:$W,8,FALSE)),"")</f>
        <v>6505137000</v>
      </c>
      <c r="L310">
        <f>IFERROR(IF(VLOOKUP($B310,Показатели!$E:$W,9,FALSE)=0,"",VLOOKUP($B310,Показатели!$E:$W,9,FALSE)),"")</f>
        <v>43122790000</v>
      </c>
      <c r="M310">
        <f>IFERROR(IF(VLOOKUP($B310,Показатели!$E:$W,10,FALSE)=0,"",VLOOKUP($B310,Показатели!$E:$W,10,FALSE)),"")</f>
        <v>108653069000</v>
      </c>
      <c r="N310">
        <f>IFERROR(IF(VLOOKUP($B310,Показатели!$E:$W,11,FALSE)=0,"",VLOOKUP($B310,Показатели!$E:$W,11,FALSE)),"")</f>
        <v>88129314000</v>
      </c>
      <c r="O310">
        <f>IFERROR(IF(VLOOKUP($B310,Показатели!$E:$W,12,FALSE)=0,"",VLOOKUP($B310,Показатели!$E:$W,12,FALSE)),"")</f>
        <v>10021831000</v>
      </c>
      <c r="P310">
        <f>IFERROR(IF(VLOOKUP($B310,Показатели!$E:$W,13,FALSE)=0,"",VLOOKUP($B310,Показатели!$E:$W,13,FALSE)),"")</f>
        <v>10292496000</v>
      </c>
      <c r="Q310">
        <f>IFERROR(IF(VLOOKUP($B310,Показатели!$E:$W,14,FALSE)=0,"",VLOOKUP($B310,Показатели!$E:$W,14,FALSE)),"")</f>
        <v>8232855000</v>
      </c>
      <c r="R310">
        <f>IFERROR(IF(VLOOKUP($B310,Показатели!$E:$W,15,FALSE)=0,"",VLOOKUP($B310,Показатели!$E:$W,15,FALSE)),"")</f>
        <v>7876780000</v>
      </c>
      <c r="S310">
        <f>IFERROR(IF(VLOOKUP($B310,Показатели!$E:$W,16,FALSE)=0,"",VLOOKUP($B310,Показатели!$E:$W,16,FALSE)),"")</f>
        <v>29876333000</v>
      </c>
      <c r="T310">
        <f>IFERROR(IF(VLOOKUP($B310,Показатели!$E:$W,17,FALSE)=0,"",VLOOKUP($B310,Показатели!$E:$W,17,FALSE)),"")</f>
        <v>-11245906000</v>
      </c>
      <c r="U310">
        <f>IFERROR(IF(VLOOKUP($B310,Показатели!$E:$W,18,FALSE)=0,"",VLOOKUP($B310,Показатели!$E:$W,18,FALSE)),"")</f>
        <v>75316709000</v>
      </c>
      <c r="V310">
        <f>IFERROR(IF(VLOOKUP($B310,Показатели!$E:$W,19,FALSE)=0,"",VLOOKUP($B310,Показатели!$E:$W,19,FALSE)),"")</f>
        <v>135270962000</v>
      </c>
    </row>
    <row r="311" spans="1:22" x14ac:dyDescent="0.2">
      <c r="A311" s="7" t="s">
        <v>2216</v>
      </c>
      <c r="B311" t="str">
        <f t="shared" si="4"/>
        <v>UPRO IV кв. 2020</v>
      </c>
      <c r="C311">
        <v>2020</v>
      </c>
      <c r="D311">
        <f>SUMIFS(Дивиденды!$C:$C,Дивиденды!$A:$A,A311,Дивиденды!$I:$I,C311)</f>
        <v>0.24</v>
      </c>
      <c r="E311">
        <f>IFERROR(IF(VLOOKUP($B311,Показатели!$E:$W,2,FALSE)=0,"",VLOOKUP($B311,Показатели!$E:$W,2,FALSE)),"")</f>
        <v>192360000</v>
      </c>
      <c r="F311">
        <f>IFERROR(IF(VLOOKUP($B311,Показатели!$E:$W,3,FALSE)=0,"",VLOOKUP($B311,Показатели!$E:$W,3,FALSE)),"")</f>
        <v>11643029000</v>
      </c>
      <c r="G311">
        <f>IFERROR(IF(VLOOKUP($B311,Показатели!$E:$W,4,FALSE)=0,"",VLOOKUP($B311,Показатели!$E:$W,4,FALSE)),"")</f>
        <v>122271484000</v>
      </c>
      <c r="H311">
        <f>IFERROR(IF(VLOOKUP($B311,Показатели!$E:$W,5,FALSE)=0,"",VLOOKUP($B311,Показатели!$E:$W,5,FALSE)),"")</f>
        <v>353298000</v>
      </c>
      <c r="I311">
        <f>IFERROR(IF(VLOOKUP($B311,Показатели!$E:$W,6,FALSE)=0,"",VLOOKUP($B311,Показатели!$E:$W,6,FALSE)),"")</f>
        <v>135270962000</v>
      </c>
      <c r="J311">
        <f>IFERROR(IF(VLOOKUP($B311,Показатели!$E:$W,7,FALSE)=0,"",VLOOKUP($B311,Показатели!$E:$W,7,FALSE)),"")</f>
        <v>8601745000</v>
      </c>
      <c r="K311">
        <f>IFERROR(IF(VLOOKUP($B311,Показатели!$E:$W,8,FALSE)=0,"",VLOOKUP($B311,Показатели!$E:$W,8,FALSE)),"")</f>
        <v>6124776000</v>
      </c>
      <c r="L311">
        <f>IFERROR(IF(VLOOKUP($B311,Показатели!$E:$W,9,FALSE)=0,"",VLOOKUP($B311,Показатели!$E:$W,9,FALSE)),"")</f>
        <v>54889935000</v>
      </c>
      <c r="M311">
        <f>IFERROR(IF(VLOOKUP($B311,Показатели!$E:$W,10,FALSE)=0,"",VLOOKUP($B311,Показатели!$E:$W,10,FALSE)),"")</f>
        <v>120544441000</v>
      </c>
      <c r="N311">
        <f>IFERROR(IF(VLOOKUP($B311,Показатели!$E:$W,11,FALSE)=0,"",VLOOKUP($B311,Показатели!$E:$W,11,FALSE)),"")</f>
        <v>75316709000</v>
      </c>
      <c r="O311">
        <f>IFERROR(IF(VLOOKUP($B311,Показатели!$E:$W,12,FALSE)=0,"",VLOOKUP($B311,Показатели!$E:$W,12,FALSE)),"")</f>
        <v>16838970000</v>
      </c>
      <c r="P311">
        <f>IFERROR(IF(VLOOKUP($B311,Показатели!$E:$W,13,FALSE)=0,"",VLOOKUP($B311,Показатели!$E:$W,13,FALSE)),"")</f>
        <v>17027426000</v>
      </c>
      <c r="Q311">
        <f>IFERROR(IF(VLOOKUP($B311,Показатели!$E:$W,14,FALSE)=0,"",VLOOKUP($B311,Показатели!$E:$W,14,FALSE)),"")</f>
        <v>13749717000</v>
      </c>
      <c r="R311">
        <f>IFERROR(IF(VLOOKUP($B311,Показатели!$E:$W,15,FALSE)=0,"",VLOOKUP($B311,Показатели!$E:$W,15,FALSE)),"")</f>
        <v>6139908000</v>
      </c>
      <c r="S311">
        <f>IFERROR(IF(VLOOKUP($B311,Показатели!$E:$W,16,FALSE)=0,"",VLOOKUP($B311,Показатели!$E:$W,16,FALSE)),"")</f>
        <v>26413218000</v>
      </c>
      <c r="T311">
        <f>IFERROR(IF(VLOOKUP($B311,Показатели!$E:$W,17,FALSE)=0,"",VLOOKUP($B311,Показатели!$E:$W,17,FALSE)),"")</f>
        <v>-9999328000</v>
      </c>
      <c r="U311">
        <f>IFERROR(IF(VLOOKUP($B311,Показатели!$E:$W,18,FALSE)=0,"",VLOOKUP($B311,Показатели!$E:$W,18,FALSE)),"")</f>
        <v>80279710000</v>
      </c>
      <c r="V311">
        <f>IFERROR(IF(VLOOKUP($B311,Показатели!$E:$W,19,FALSE)=0,"",VLOOKUP($B311,Показатели!$E:$W,19,FALSE)),"")</f>
        <v>136588532000</v>
      </c>
    </row>
    <row r="312" spans="1:22" x14ac:dyDescent="0.2">
      <c r="A312" s="7" t="s">
        <v>2216</v>
      </c>
      <c r="B312" t="str">
        <f t="shared" si="4"/>
        <v>UPRO IV кв. 2019</v>
      </c>
      <c r="C312">
        <v>2019</v>
      </c>
      <c r="D312">
        <f>SUMIFS(Дивиденды!$C:$C,Дивиденды!$A:$A,A312,Дивиденды!$I:$I,C312)</f>
        <v>0.22</v>
      </c>
      <c r="E312">
        <f>IFERROR(IF(VLOOKUP($B312,Показатели!$E:$W,2,FALSE)=0,"",VLOOKUP($B312,Показатели!$E:$W,2,FALSE)),"")</f>
        <v>3093529000</v>
      </c>
      <c r="F312">
        <f>IFERROR(IF(VLOOKUP($B312,Показатели!$E:$W,3,FALSE)=0,"",VLOOKUP($B312,Показатели!$E:$W,3,FALSE)),"")</f>
        <v>14474381000</v>
      </c>
      <c r="G312">
        <f>IFERROR(IF(VLOOKUP($B312,Показатели!$E:$W,4,FALSE)=0,"",VLOOKUP($B312,Показатели!$E:$W,4,FALSE)),"")</f>
        <v>121159059000</v>
      </c>
      <c r="H312">
        <f>IFERROR(IF(VLOOKUP($B312,Показатели!$E:$W,5,FALSE)=0,"",VLOOKUP($B312,Показатели!$E:$W,5,FALSE)),"")</f>
        <v>307966000</v>
      </c>
      <c r="I312">
        <f>IFERROR(IF(VLOOKUP($B312,Показатели!$E:$W,6,FALSE)=0,"",VLOOKUP($B312,Показатели!$E:$W,6,FALSE)),"")</f>
        <v>136588532000</v>
      </c>
      <c r="J312">
        <f>IFERROR(IF(VLOOKUP($B312,Показатели!$E:$W,7,FALSE)=0,"",VLOOKUP($B312,Показатели!$E:$W,7,FALSE)),"")</f>
        <v>9802876000</v>
      </c>
      <c r="K312">
        <f>IFERROR(IF(VLOOKUP($B312,Показатели!$E:$W,8,FALSE)=0,"",VLOOKUP($B312,Показатели!$E:$W,8,FALSE)),"")</f>
        <v>6140110000</v>
      </c>
      <c r="L312">
        <f>IFERROR(IF(VLOOKUP($B312,Показатели!$E:$W,9,FALSE)=0,"",VLOOKUP($B312,Показатели!$E:$W,9,FALSE)),"")</f>
        <v>55140218000</v>
      </c>
      <c r="M312">
        <f>IFERROR(IF(VLOOKUP($B312,Показатели!$E:$W,10,FALSE)=0,"",VLOOKUP($B312,Показатели!$E:$W,10,FALSE)),"")</f>
        <v>120645546000</v>
      </c>
      <c r="N312">
        <f>IFERROR(IF(VLOOKUP($B312,Показатели!$E:$W,11,FALSE)=0,"",VLOOKUP($B312,Показатели!$E:$W,11,FALSE)),"")</f>
        <v>80279710000</v>
      </c>
      <c r="O312">
        <f>IFERROR(IF(VLOOKUP($B312,Показатели!$E:$W,12,FALSE)=0,"",VLOOKUP($B312,Показатели!$E:$W,12,FALSE)),"")</f>
        <v>22493909000</v>
      </c>
      <c r="P312">
        <f>IFERROR(IF(VLOOKUP($B312,Показатели!$E:$W,13,FALSE)=0,"",VLOOKUP($B312,Показатели!$E:$W,13,FALSE)),"")</f>
        <v>23057828000</v>
      </c>
      <c r="Q312">
        <f>IFERROR(IF(VLOOKUP($B312,Показатели!$E:$W,14,FALSE)=0,"",VLOOKUP($B312,Показатели!$E:$W,14,FALSE)),"")</f>
        <v>18856247000</v>
      </c>
      <c r="R312">
        <f>IFERROR(IF(VLOOKUP($B312,Показатели!$E:$W,15,FALSE)=0,"",VLOOKUP($B312,Показатели!$E:$W,15,FALSE)),"")</f>
        <v>5909496000</v>
      </c>
      <c r="S312">
        <f>IFERROR(IF(VLOOKUP($B312,Показатели!$E:$W,16,FALSE)=0,"",VLOOKUP($B312,Показатели!$E:$W,16,FALSE)),"")</f>
        <v>29284224000</v>
      </c>
      <c r="T312">
        <f>IFERROR(IF(VLOOKUP($B312,Показатели!$E:$W,17,FALSE)=0,"",VLOOKUP($B312,Показатели!$E:$W,17,FALSE)),"")</f>
        <v>-14393167000</v>
      </c>
      <c r="U312">
        <f>IFERROR(IF(VLOOKUP($B312,Показатели!$E:$W,18,FALSE)=0,"",VLOOKUP($B312,Показатели!$E:$W,18,FALSE)),"")</f>
        <v>77777008000</v>
      </c>
      <c r="V312">
        <f>IFERROR(IF(VLOOKUP($B312,Показатели!$E:$W,19,FALSE)=0,"",VLOOKUP($B312,Показатели!$E:$W,19,FALSE)),"")</f>
        <v>131025499000</v>
      </c>
    </row>
    <row r="313" spans="1:22" x14ac:dyDescent="0.2">
      <c r="A313" s="7" t="s">
        <v>2216</v>
      </c>
      <c r="B313" t="str">
        <f t="shared" si="4"/>
        <v>UPRO IV кв. 2018</v>
      </c>
      <c r="C313">
        <v>2018</v>
      </c>
      <c r="D313">
        <f>SUMIFS(Дивиденды!$C:$C,Дивиденды!$A:$A,A313,Дивиденды!$I:$I,C313)</f>
        <v>0.22</v>
      </c>
      <c r="E313">
        <f>IFERROR(IF(VLOOKUP($B313,Показатели!$E:$W,2,FALSE)=0,"",VLOOKUP($B313,Показатели!$E:$W,2,FALSE)),"")</f>
        <v>4788075000</v>
      </c>
      <c r="F313">
        <f>IFERROR(IF(VLOOKUP($B313,Показатели!$E:$W,3,FALSE)=0,"",VLOOKUP($B313,Показатели!$E:$W,3,FALSE)),"")</f>
        <v>15907050000</v>
      </c>
      <c r="G313">
        <f>IFERROR(IF(VLOOKUP($B313,Показатели!$E:$W,4,FALSE)=0,"",VLOOKUP($B313,Показатели!$E:$W,4,FALSE)),"")</f>
        <v>113931935000</v>
      </c>
      <c r="H313">
        <f>IFERROR(IF(VLOOKUP($B313,Показатели!$E:$W,5,FALSE)=0,"",VLOOKUP($B313,Показатели!$E:$W,5,FALSE)),"")</f>
        <v>349446000</v>
      </c>
      <c r="I313">
        <f>IFERROR(IF(VLOOKUP($B313,Показатели!$E:$W,6,FALSE)=0,"",VLOOKUP($B313,Показатели!$E:$W,6,FALSE)),"")</f>
        <v>131025499000</v>
      </c>
      <c r="J313">
        <f>IFERROR(IF(VLOOKUP($B313,Показатели!$E:$W,7,FALSE)=0,"",VLOOKUP($B313,Показатели!$E:$W,7,FALSE)),"")</f>
        <v>7820506000</v>
      </c>
      <c r="K313">
        <f>IFERROR(IF(VLOOKUP($B313,Показатели!$E:$W,8,FALSE)=0,"",VLOOKUP($B313,Показатели!$E:$W,8,FALSE)),"")</f>
        <v>6970653000</v>
      </c>
      <c r="L313">
        <f>IFERROR(IF(VLOOKUP($B313,Показатели!$E:$W,9,FALSE)=0,"",VLOOKUP($B313,Показатели!$E:$W,9,FALSE)),"")</f>
        <v>50283971000</v>
      </c>
      <c r="M313">
        <f>IFERROR(IF(VLOOKUP($B313,Показатели!$E:$W,10,FALSE)=0,"",VLOOKUP($B313,Показатели!$E:$W,10,FALSE)),"")</f>
        <v>116234340000</v>
      </c>
      <c r="N313">
        <f>IFERROR(IF(VLOOKUP($B313,Показатели!$E:$W,11,FALSE)=0,"",VLOOKUP($B313,Показатели!$E:$W,11,FALSE)),"")</f>
        <v>77777008000</v>
      </c>
      <c r="O313">
        <f>IFERROR(IF(VLOOKUP($B313,Показатели!$E:$W,12,FALSE)=0,"",VLOOKUP($B313,Показатели!$E:$W,12,FALSE)),"")</f>
        <v>19946053000</v>
      </c>
      <c r="P313">
        <f>IFERROR(IF(VLOOKUP($B313,Показатели!$E:$W,13,FALSE)=0,"",VLOOKUP($B313,Показатели!$E:$W,13,FALSE)),"")</f>
        <v>20444426000</v>
      </c>
      <c r="Q313">
        <f>IFERROR(IF(VLOOKUP($B313,Показатели!$E:$W,14,FALSE)=0,"",VLOOKUP($B313,Показатели!$E:$W,14,FALSE)),"")</f>
        <v>16619914000</v>
      </c>
      <c r="R313">
        <f>IFERROR(IF(VLOOKUP($B313,Показатели!$E:$W,15,FALSE)=0,"",VLOOKUP($B313,Показатели!$E:$W,15,FALSE)),"")</f>
        <v>6059304000</v>
      </c>
      <c r="S313">
        <f>IFERROR(IF(VLOOKUP($B313,Показатели!$E:$W,16,FALSE)=0,"",VLOOKUP($B313,Показатели!$E:$W,16,FALSE)),"")</f>
        <v>27761439000</v>
      </c>
      <c r="T313">
        <f>IFERROR(IF(VLOOKUP($B313,Показатели!$E:$W,17,FALSE)=0,"",VLOOKUP($B313,Показатели!$E:$W,17,FALSE)),"")</f>
        <v>-13926652000</v>
      </c>
      <c r="U313">
        <f>IFERROR(IF(VLOOKUP($B313,Показатели!$E:$W,18,FALSE)=0,"",VLOOKUP($B313,Показатели!$E:$W,18,FALSE)),"")</f>
        <v>76521542000</v>
      </c>
      <c r="V313">
        <f>IFERROR(IF(VLOOKUP($B313,Показатели!$E:$W,19,FALSE)=0,"",VLOOKUP($B313,Показатели!$E:$W,19,FALSE)),"")</f>
        <v>126019740000</v>
      </c>
    </row>
    <row r="314" spans="1:22" x14ac:dyDescent="0.2">
      <c r="A314" s="7" t="s">
        <v>2216</v>
      </c>
      <c r="B314" t="str">
        <f t="shared" si="4"/>
        <v>UPRO IV кв. 2017</v>
      </c>
      <c r="C314">
        <v>2017</v>
      </c>
      <c r="D314">
        <f>SUMIFS(Дивиденды!$C:$C,Дивиденды!$A:$A,A314,Дивиденды!$I:$I,C314)</f>
        <v>0.23730000000000001</v>
      </c>
      <c r="E314">
        <f>IFERROR(IF(VLOOKUP($B314,Показатели!$E:$W,2,FALSE)=0,"",VLOOKUP($B314,Показатели!$E:$W,2,FALSE)),"")</f>
        <v>3058326000</v>
      </c>
      <c r="F314">
        <f>IFERROR(IF(VLOOKUP($B314,Показатели!$E:$W,3,FALSE)=0,"",VLOOKUP($B314,Показатели!$E:$W,3,FALSE)),"")</f>
        <v>18557460000</v>
      </c>
      <c r="G314">
        <f>IFERROR(IF(VLOOKUP($B314,Показатели!$E:$W,4,FALSE)=0,"",VLOOKUP($B314,Показатели!$E:$W,4,FALSE)),"")</f>
        <v>106213511000</v>
      </c>
      <c r="H314">
        <f>IFERROR(IF(VLOOKUP($B314,Показатели!$E:$W,5,FALSE)=0,"",VLOOKUP($B314,Показатели!$E:$W,5,FALSE)),"")</f>
        <v>337742000</v>
      </c>
      <c r="I314">
        <f>IFERROR(IF(VLOOKUP($B314,Показатели!$E:$W,6,FALSE)=0,"",VLOOKUP($B314,Показатели!$E:$W,6,FALSE)),"")</f>
        <v>126019740000</v>
      </c>
      <c r="J314">
        <f>IFERROR(IF(VLOOKUP($B314,Показатели!$E:$W,7,FALSE)=0,"",VLOOKUP($B314,Показатели!$E:$W,7,FALSE)),"")</f>
        <v>6375009000</v>
      </c>
      <c r="K314">
        <f>IFERROR(IF(VLOOKUP($B314,Показатели!$E:$W,8,FALSE)=0,"",VLOOKUP($B314,Показатели!$E:$W,8,FALSE)),"")</f>
        <v>6097256000</v>
      </c>
      <c r="L314">
        <f>IFERROR(IF(VLOOKUP($B314,Показатели!$E:$W,9,FALSE)=0,"",VLOOKUP($B314,Показатели!$E:$W,9,FALSE)),"")</f>
        <v>47677914000</v>
      </c>
      <c r="M314">
        <f>IFERROR(IF(VLOOKUP($B314,Показатели!$E:$W,10,FALSE)=0,"",VLOOKUP($B314,Показатели!$E:$W,10,FALSE)),"")</f>
        <v>113547475000</v>
      </c>
      <c r="N314">
        <f>IFERROR(IF(VLOOKUP($B314,Показатели!$E:$W,11,FALSE)=0,"",VLOOKUP($B314,Показатели!$E:$W,11,FALSE)),"")</f>
        <v>76521542000</v>
      </c>
      <c r="O314">
        <f>IFERROR(IF(VLOOKUP($B314,Показатели!$E:$W,12,FALSE)=0,"",VLOOKUP($B314,Показатели!$E:$W,12,FALSE)),"")</f>
        <v>41186661000</v>
      </c>
      <c r="P314">
        <f>IFERROR(IF(VLOOKUP($B314,Показатели!$E:$W,13,FALSE)=0,"",VLOOKUP($B314,Показатели!$E:$W,13,FALSE)),"")</f>
        <v>40965749000</v>
      </c>
      <c r="Q314">
        <f>IFERROR(IF(VLOOKUP($B314,Показатели!$E:$W,14,FALSE)=0,"",VLOOKUP($B314,Показатели!$E:$W,14,FALSE)),"")</f>
        <v>33605484000</v>
      </c>
      <c r="R314">
        <f>IFERROR(IF(VLOOKUP($B314,Показатели!$E:$W,15,FALSE)=0,"",VLOOKUP($B314,Показатели!$E:$W,15,FALSE)),"")</f>
        <v>5954354000</v>
      </c>
      <c r="S314">
        <f>IFERROR(IF(VLOOKUP($B314,Показатели!$E:$W,16,FALSE)=0,"",VLOOKUP($B314,Показатели!$E:$W,16,FALSE)),"")</f>
        <v>47475315000</v>
      </c>
      <c r="T314">
        <f>IFERROR(IF(VLOOKUP($B314,Показатели!$E:$W,17,FALSE)=0,"",VLOOKUP($B314,Показатели!$E:$W,17,FALSE)),"")</f>
        <v>-14708097000</v>
      </c>
      <c r="U314">
        <f>IFERROR(IF(VLOOKUP($B314,Показатели!$E:$W,18,FALSE)=0,"",VLOOKUP($B314,Показатели!$E:$W,18,FALSE)),"")</f>
        <v>78031936000</v>
      </c>
      <c r="V314">
        <f>IFERROR(IF(VLOOKUP($B314,Показатели!$E:$W,19,FALSE)=0,"",VLOOKUP($B314,Показатели!$E:$W,19,FALSE)),"")</f>
        <v>109138793000</v>
      </c>
    </row>
    <row r="315" spans="1:22" x14ac:dyDescent="0.2">
      <c r="A315" s="7" t="s">
        <v>2216</v>
      </c>
      <c r="B315" t="str">
        <f t="shared" si="4"/>
        <v>UPRO IV кв. 2016</v>
      </c>
      <c r="C315">
        <v>2016</v>
      </c>
      <c r="D315">
        <f>SUMIFS(Дивиденды!$C:$C,Дивиденды!$A:$A,A315,Дивиденды!$I:$I,C315)</f>
        <v>0.2137</v>
      </c>
      <c r="E315">
        <f>IFERROR(IF(VLOOKUP($B315,Показатели!$E:$W,2,FALSE)=0,"",VLOOKUP($B315,Показатели!$E:$W,2,FALSE)),"")</f>
        <v>1724888000</v>
      </c>
      <c r="F315">
        <f>IFERROR(IF(VLOOKUP($B315,Показатели!$E:$W,3,FALSE)=0,"",VLOOKUP($B315,Показатели!$E:$W,3,FALSE)),"")</f>
        <v>10054313000</v>
      </c>
      <c r="G315">
        <f>IFERROR(IF(VLOOKUP($B315,Показатели!$E:$W,4,FALSE)=0,"",VLOOKUP($B315,Показатели!$E:$W,4,FALSE)),"")</f>
        <v>96701223000</v>
      </c>
      <c r="H315" t="str">
        <f>IFERROR(IF(VLOOKUP($B315,Показатели!$E:$W,5,FALSE)=0,"",VLOOKUP($B315,Показатели!$E:$W,5,FALSE)),"")</f>
        <v/>
      </c>
      <c r="I315">
        <f>IFERROR(IF(VLOOKUP($B315,Показатели!$E:$W,6,FALSE)=0,"",VLOOKUP($B315,Показатели!$E:$W,6,FALSE)),"")</f>
        <v>109138793000</v>
      </c>
      <c r="J315">
        <f>IFERROR(IF(VLOOKUP($B315,Показатели!$E:$W,7,FALSE)=0,"",VLOOKUP($B315,Показатели!$E:$W,7,FALSE)),"")</f>
        <v>8577515000</v>
      </c>
      <c r="K315">
        <f>IFERROR(IF(VLOOKUP($B315,Показатели!$E:$W,8,FALSE)=0,"",VLOOKUP($B315,Показатели!$E:$W,8,FALSE)),"")</f>
        <v>6048971000</v>
      </c>
      <c r="L315">
        <f>IFERROR(IF(VLOOKUP($B315,Показатели!$E:$W,9,FALSE)=0,"",VLOOKUP($B315,Показатели!$E:$W,9,FALSE)),"")</f>
        <v>27868063000</v>
      </c>
      <c r="M315">
        <f>IFERROR(IF(VLOOKUP($B315,Показатели!$E:$W,10,FALSE)=0,"",VLOOKUP($B315,Показатели!$E:$W,10,FALSE)),"")</f>
        <v>94512307000</v>
      </c>
      <c r="N315">
        <f>IFERROR(IF(VLOOKUP($B315,Показатели!$E:$W,11,FALSE)=0,"",VLOOKUP($B315,Показатели!$E:$W,11,FALSE)),"")</f>
        <v>78031936000</v>
      </c>
      <c r="O315">
        <f>IFERROR(IF(VLOOKUP($B315,Показатели!$E:$W,12,FALSE)=0,"",VLOOKUP($B315,Показатели!$E:$W,12,FALSE)),"")</f>
        <v>6718171000</v>
      </c>
      <c r="P315">
        <f>IFERROR(IF(VLOOKUP($B315,Показатели!$E:$W,13,FALSE)=0,"",VLOOKUP($B315,Показатели!$E:$W,13,FALSE)),"")</f>
        <v>7220354000</v>
      </c>
      <c r="Q315">
        <f>IFERROR(IF(VLOOKUP($B315,Показатели!$E:$W,14,FALSE)=0,"",VLOOKUP($B315,Показатели!$E:$W,14,FALSE)),"")</f>
        <v>5166809000</v>
      </c>
      <c r="R315" t="str">
        <f>IFERROR(IF(VLOOKUP($B315,Показатели!$E:$W,15,FALSE)=0,"",VLOOKUP($B315,Показатели!$E:$W,15,FALSE)),"")</f>
        <v/>
      </c>
      <c r="S315">
        <f>IFERROR(IF(VLOOKUP($B315,Показатели!$E:$W,16,FALSE)=0,"",VLOOKUP($B315,Показатели!$E:$W,16,FALSE)),"")</f>
        <v>17671063000</v>
      </c>
      <c r="T315">
        <f>IFERROR(IF(VLOOKUP($B315,Показатели!$E:$W,17,FALSE)=0,"",VLOOKUP($B315,Показатели!$E:$W,17,FALSE)),"")</f>
        <v>-13668702000</v>
      </c>
      <c r="U315">
        <f>IFERROR(IF(VLOOKUP($B315,Показатели!$E:$W,18,FALSE)=0,"",VLOOKUP($B315,Показатели!$E:$W,18,FALSE)),"")</f>
        <v>76705554000</v>
      </c>
      <c r="V315">
        <f>IFERROR(IF(VLOOKUP($B315,Показатели!$E:$W,19,FALSE)=0,"",VLOOKUP($B315,Показатели!$E:$W,19,FALSE)),"")</f>
        <v>126765157000</v>
      </c>
    </row>
    <row r="316" spans="1:22" x14ac:dyDescent="0.2">
      <c r="A316" s="7" t="s">
        <v>2216</v>
      </c>
      <c r="B316" t="str">
        <f t="shared" si="4"/>
        <v>UPRO IV кв. 2015</v>
      </c>
      <c r="C316">
        <v>2015</v>
      </c>
      <c r="D316">
        <f>SUMIFS(Дивиденды!$C:$C,Дивиденды!$A:$A,A316,Дивиденды!$I:$I,C316)</f>
        <v>0.2</v>
      </c>
      <c r="E316">
        <f>IFERROR(IF(VLOOKUP($B316,Показатели!$E:$W,2,FALSE)=0,"",VLOOKUP($B316,Показатели!$E:$W,2,FALSE)),"")</f>
        <v>9363083000</v>
      </c>
      <c r="F316">
        <f>IFERROR(IF(VLOOKUP($B316,Показатели!$E:$W,3,FALSE)=0,"",VLOOKUP($B316,Показатели!$E:$W,3,FALSE)),"")</f>
        <v>18809807000</v>
      </c>
      <c r="G316">
        <f>IFERROR(IF(VLOOKUP($B316,Показатели!$E:$W,4,FALSE)=0,"",VLOOKUP($B316,Показатели!$E:$W,4,FALSE)),"")</f>
        <v>105902885000</v>
      </c>
      <c r="H316" t="str">
        <f>IFERROR(IF(VLOOKUP($B316,Показатели!$E:$W,5,FALSE)=0,"",VLOOKUP($B316,Показатели!$E:$W,5,FALSE)),"")</f>
        <v/>
      </c>
      <c r="I316">
        <f>IFERROR(IF(VLOOKUP($B316,Показатели!$E:$W,6,FALSE)=0,"",VLOOKUP($B316,Показатели!$E:$W,6,FALSE)),"")</f>
        <v>126765157000</v>
      </c>
      <c r="J316">
        <f>IFERROR(IF(VLOOKUP($B316,Показатели!$E:$W,7,FALSE)=0,"",VLOOKUP($B316,Показатели!$E:$W,7,FALSE)),"")</f>
        <v>8904845000</v>
      </c>
      <c r="K316">
        <f>IFERROR(IF(VLOOKUP($B316,Показатели!$E:$W,8,FALSE)=0,"",VLOOKUP($B316,Показатели!$E:$W,8,FALSE)),"")</f>
        <v>7752677000</v>
      </c>
      <c r="L316" t="str">
        <f>IFERROR(IF(VLOOKUP($B316,Показатели!$E:$W,9,FALSE)=0,"",VLOOKUP($B316,Показатели!$E:$W,9,FALSE)),"")</f>
        <v/>
      </c>
      <c r="M316">
        <f>IFERROR(IF(VLOOKUP($B316,Показатели!$E:$W,10,FALSE)=0,"",VLOOKUP($B316,Показатели!$E:$W,10,FALSE)),"")</f>
        <v>110107635000</v>
      </c>
      <c r="N316">
        <f>IFERROR(IF(VLOOKUP($B316,Показатели!$E:$W,11,FALSE)=0,"",VLOOKUP($B316,Показатели!$E:$W,11,FALSE)),"")</f>
        <v>76705554000</v>
      </c>
      <c r="O316">
        <f>IFERROR(IF(VLOOKUP($B316,Показатели!$E:$W,12,FALSE)=0,"",VLOOKUP($B316,Показатели!$E:$W,12,FALSE)),"")</f>
        <v>16714934000</v>
      </c>
      <c r="P316">
        <f>IFERROR(IF(VLOOKUP($B316,Показатели!$E:$W,13,FALSE)=0,"",VLOOKUP($B316,Показатели!$E:$W,13,FALSE)),"")</f>
        <v>17421272000</v>
      </c>
      <c r="Q316">
        <f>IFERROR(IF(VLOOKUP($B316,Показатели!$E:$W,14,FALSE)=0,"",VLOOKUP($B316,Показатели!$E:$W,14,FALSE)),"")</f>
        <v>13790485000</v>
      </c>
      <c r="R316" t="str">
        <f>IFERROR(IF(VLOOKUP($B316,Показатели!$E:$W,15,FALSE)=0,"",VLOOKUP($B316,Показатели!$E:$W,15,FALSE)),"")</f>
        <v/>
      </c>
      <c r="S316" t="str">
        <f>IFERROR(IF(VLOOKUP($B316,Показатели!$E:$W,16,FALSE)=0,"",VLOOKUP($B316,Показатели!$E:$W,16,FALSE)),"")</f>
        <v/>
      </c>
      <c r="T316" t="str">
        <f>IFERROR(IF(VLOOKUP($B316,Показатели!$E:$W,17,FALSE)=0,"",VLOOKUP($B316,Показатели!$E:$W,17,FALSE)),"")</f>
        <v/>
      </c>
      <c r="U316">
        <f>IFERROR(IF(VLOOKUP($B316,Показатели!$E:$W,18,FALSE)=0,"",VLOOKUP($B316,Показатели!$E:$W,18,FALSE)),"")</f>
        <v>77693134000</v>
      </c>
      <c r="V316">
        <f>IFERROR(IF(VLOOKUP($B316,Показатели!$E:$W,19,FALSE)=0,"",VLOOKUP($B316,Показатели!$E:$W,19,FALSE)),"")</f>
        <v>127699405000</v>
      </c>
    </row>
    <row r="317" spans="1:22" x14ac:dyDescent="0.2">
      <c r="A317" s="7" t="s">
        <v>2216</v>
      </c>
      <c r="B317" t="str">
        <f t="shared" si="4"/>
        <v>UPRO IV кв. 2014</v>
      </c>
      <c r="C317">
        <v>2014</v>
      </c>
      <c r="D317">
        <f>SUMIFS(Дивиденды!$C:$C,Дивиденды!$A:$A,A317,Дивиденды!$I:$I,C317)</f>
        <v>0.28000000000000003</v>
      </c>
      <c r="E317">
        <f>IFERROR(IF(VLOOKUP($B317,Показатели!$E:$W,2,FALSE)=0,"",VLOOKUP($B317,Показатели!$E:$W,2,FALSE)),"")</f>
        <v>13100785000</v>
      </c>
      <c r="F317">
        <f>IFERROR(IF(VLOOKUP($B317,Показатели!$E:$W,3,FALSE)=0,"",VLOOKUP($B317,Показатели!$E:$W,3,FALSE)),"")</f>
        <v>22202824000</v>
      </c>
      <c r="G317">
        <f>IFERROR(IF(VLOOKUP($B317,Показатели!$E:$W,4,FALSE)=0,"",VLOOKUP($B317,Показатели!$E:$W,4,FALSE)),"")</f>
        <v>102996512000</v>
      </c>
      <c r="H317" t="str">
        <f>IFERROR(IF(VLOOKUP($B317,Показатели!$E:$W,5,FALSE)=0,"",VLOOKUP($B317,Показатели!$E:$W,5,FALSE)),"")</f>
        <v/>
      </c>
      <c r="I317">
        <f>IFERROR(IF(VLOOKUP($B317,Показатели!$E:$W,6,FALSE)=0,"",VLOOKUP($B317,Показатели!$E:$W,6,FALSE)),"")</f>
        <v>127699405000</v>
      </c>
      <c r="J317">
        <f>IFERROR(IF(VLOOKUP($B317,Показатели!$E:$W,7,FALSE)=0,"",VLOOKUP($B317,Показатели!$E:$W,7,FALSE)),"")</f>
        <v>7074127000</v>
      </c>
      <c r="K317">
        <f>IFERROR(IF(VLOOKUP($B317,Показатели!$E:$W,8,FALSE)=0,"",VLOOKUP($B317,Показатели!$E:$W,8,FALSE)),"")</f>
        <v>6631096000</v>
      </c>
      <c r="L317" t="str">
        <f>IFERROR(IF(VLOOKUP($B317,Показатели!$E:$W,9,FALSE)=0,"",VLOOKUP($B317,Показатели!$E:$W,9,FALSE)),"")</f>
        <v/>
      </c>
      <c r="M317">
        <f>IFERROR(IF(VLOOKUP($B317,Показатели!$E:$W,10,FALSE)=0,"",VLOOKUP($B317,Показатели!$E:$W,10,FALSE)),"")</f>
        <v>113994182000</v>
      </c>
      <c r="N317">
        <f>IFERROR(IF(VLOOKUP($B317,Показатели!$E:$W,11,FALSE)=0,"",VLOOKUP($B317,Показатели!$E:$W,11,FALSE)),"")</f>
        <v>77693134000</v>
      </c>
      <c r="O317">
        <f>IFERROR(IF(VLOOKUP($B317,Показатели!$E:$W,12,FALSE)=0,"",VLOOKUP($B317,Показатели!$E:$W,12,FALSE)),"")</f>
        <v>19020686000</v>
      </c>
      <c r="P317">
        <f>IFERROR(IF(VLOOKUP($B317,Показатели!$E:$W,13,FALSE)=0,"",VLOOKUP($B317,Показатели!$E:$W,13,FALSE)),"")</f>
        <v>20937102000</v>
      </c>
      <c r="Q317">
        <f>IFERROR(IF(VLOOKUP($B317,Показатели!$E:$W,14,FALSE)=0,"",VLOOKUP($B317,Показатели!$E:$W,14,FALSE)),"")</f>
        <v>16884930000</v>
      </c>
      <c r="R317" t="str">
        <f>IFERROR(IF(VLOOKUP($B317,Показатели!$E:$W,15,FALSE)=0,"",VLOOKUP($B317,Показатели!$E:$W,15,FALSE)),"")</f>
        <v/>
      </c>
      <c r="S317">
        <f>IFERROR(IF(VLOOKUP($B317,Показатели!$E:$W,16,FALSE)=0,"",VLOOKUP($B317,Показатели!$E:$W,16,FALSE)),"")</f>
        <v>26200000000</v>
      </c>
      <c r="T317" t="str">
        <f>IFERROR(IF(VLOOKUP($B317,Показатели!$E:$W,17,FALSE)=0,"",VLOOKUP($B317,Показатели!$E:$W,17,FALSE)),"")</f>
        <v/>
      </c>
      <c r="U317">
        <f>IFERROR(IF(VLOOKUP($B317,Показатели!$E:$W,18,FALSE)=0,"",VLOOKUP($B317,Показатели!$E:$W,18,FALSE)),"")</f>
        <v>78780504000</v>
      </c>
      <c r="V317">
        <f>IFERROR(IF(VLOOKUP($B317,Показатели!$E:$W,19,FALSE)=0,"",VLOOKUP($B317,Показатели!$E:$W,19,FALSE)),"")</f>
        <v>130743490000</v>
      </c>
    </row>
    <row r="318" spans="1:22" x14ac:dyDescent="0.2">
      <c r="A318" s="7" t="s">
        <v>2216</v>
      </c>
      <c r="B318" t="str">
        <f t="shared" si="4"/>
        <v>UPRO IV кв. 2013</v>
      </c>
      <c r="C318">
        <v>2013</v>
      </c>
      <c r="D318">
        <f>SUMIFS(Дивиденды!$C:$C,Дивиденды!$A:$A,A318,Дивиденды!$I:$I,C318)</f>
        <v>0.37929999999999997</v>
      </c>
      <c r="E318">
        <f>IFERROR(IF(VLOOKUP($B318,Показатели!$E:$W,2,FALSE)=0,"",VLOOKUP($B318,Показатели!$E:$W,2,FALSE)),"")</f>
        <v>18026997000</v>
      </c>
      <c r="F318">
        <f>IFERROR(IF(VLOOKUP($B318,Показатели!$E:$W,3,FALSE)=0,"",VLOOKUP($B318,Показатели!$E:$W,3,FALSE)),"")</f>
        <v>36828086000</v>
      </c>
      <c r="G318">
        <f>IFERROR(IF(VLOOKUP($B318,Показатели!$E:$W,4,FALSE)=0,"",VLOOKUP($B318,Показатели!$E:$W,4,FALSE)),"")</f>
        <v>90416319000</v>
      </c>
      <c r="H318" t="str">
        <f>IFERROR(IF(VLOOKUP($B318,Показатели!$E:$W,5,FALSE)=0,"",VLOOKUP($B318,Показатели!$E:$W,5,FALSE)),"")</f>
        <v/>
      </c>
      <c r="I318">
        <f>IFERROR(IF(VLOOKUP($B318,Показатели!$E:$W,6,FALSE)=0,"",VLOOKUP($B318,Показатели!$E:$W,6,FALSE)),"")</f>
        <v>130743490000</v>
      </c>
      <c r="J318">
        <f>IFERROR(IF(VLOOKUP($B318,Показатели!$E:$W,7,FALSE)=0,"",VLOOKUP($B318,Показатели!$E:$W,7,FALSE)),"")</f>
        <v>5205241000</v>
      </c>
      <c r="K318">
        <f>IFERROR(IF(VLOOKUP($B318,Показатели!$E:$W,8,FALSE)=0,"",VLOOKUP($B318,Показатели!$E:$W,8,FALSE)),"")</f>
        <v>6191258000</v>
      </c>
      <c r="L318" t="str">
        <f>IFERROR(IF(VLOOKUP($B318,Показатели!$E:$W,9,FALSE)=0,"",VLOOKUP($B318,Показатели!$E:$W,9,FALSE)),"")</f>
        <v/>
      </c>
      <c r="M318">
        <f>IFERROR(IF(VLOOKUP($B318,Показатели!$E:$W,10,FALSE)=0,"",VLOOKUP($B318,Показатели!$E:$W,10,FALSE)),"")</f>
        <v>119346991000</v>
      </c>
      <c r="N318">
        <f>IFERROR(IF(VLOOKUP($B318,Показатели!$E:$W,11,FALSE)=0,"",VLOOKUP($B318,Показатели!$E:$W,11,FALSE)),"")</f>
        <v>78780504000</v>
      </c>
      <c r="O318">
        <f>IFERROR(IF(VLOOKUP($B318,Показатели!$E:$W,12,FALSE)=0,"",VLOOKUP($B318,Показатели!$E:$W,12,FALSE)),"")</f>
        <v>15738501000</v>
      </c>
      <c r="P318">
        <f>IFERROR(IF(VLOOKUP($B318,Показатели!$E:$W,13,FALSE)=0,"",VLOOKUP($B318,Показатели!$E:$W,13,FALSE)),"")</f>
        <v>17814254000</v>
      </c>
      <c r="Q318">
        <f>IFERROR(IF(VLOOKUP($B318,Показатели!$E:$W,14,FALSE)=0,"",VLOOKUP($B318,Показатели!$E:$W,14,FALSE)),"")</f>
        <v>14431931000</v>
      </c>
      <c r="R318" t="str">
        <f>IFERROR(IF(VLOOKUP($B318,Показатели!$E:$W,15,FALSE)=0,"",VLOOKUP($B318,Показатели!$E:$W,15,FALSE)),"")</f>
        <v/>
      </c>
      <c r="S318">
        <f>IFERROR(IF(VLOOKUP($B318,Показатели!$E:$W,16,FALSE)=0,"",VLOOKUP($B318,Показатели!$E:$W,16,FALSE)),"")</f>
        <v>29100000000</v>
      </c>
      <c r="T318" t="str">
        <f>IFERROR(IF(VLOOKUP($B318,Показатели!$E:$W,17,FALSE)=0,"",VLOOKUP($B318,Показатели!$E:$W,17,FALSE)),"")</f>
        <v/>
      </c>
      <c r="U318" t="str">
        <f>IFERROR(IF(VLOOKUP($B318,Показатели!$E:$W,18,FALSE)=0,"",VLOOKUP($B318,Показатели!$E:$W,18,FALSE)),"")</f>
        <v/>
      </c>
      <c r="V318" t="str">
        <f>IFERROR(IF(VLOOKUP($B318,Показатели!$E:$W,19,FALSE)=0,"",VLOOKUP($B318,Показатели!$E:$W,19,FALSE)),"")</f>
        <v/>
      </c>
    </row>
    <row r="319" spans="1:22" x14ac:dyDescent="0.2">
      <c r="A319" s="7" t="s">
        <v>2216</v>
      </c>
      <c r="B319" t="str">
        <f t="shared" si="4"/>
        <v>UPRO IV кв. 2012</v>
      </c>
      <c r="C319">
        <v>2012</v>
      </c>
      <c r="D319">
        <f>SUMIFS(Дивиденды!$C:$C,Дивиденды!$A:$A,A319,Дивиденды!$I:$I,C319)</f>
        <v>0.28999999999999998</v>
      </c>
      <c r="E319" t="str">
        <f>IFERROR(IF(VLOOKUP($B319,Показатели!$E:$W,2,FALSE)=0,"",VLOOKUP($B319,Показатели!$E:$W,2,FALSE)),"")</f>
        <v/>
      </c>
      <c r="F319" t="str">
        <f>IFERROR(IF(VLOOKUP($B319,Показатели!$E:$W,3,FALSE)=0,"",VLOOKUP($B319,Показатели!$E:$W,3,FALSE)),"")</f>
        <v/>
      </c>
      <c r="G319" t="str">
        <f>IFERROR(IF(VLOOKUP($B319,Показатели!$E:$W,4,FALSE)=0,"",VLOOKUP($B319,Показатели!$E:$W,4,FALSE)),"")</f>
        <v/>
      </c>
      <c r="H319" t="str">
        <f>IFERROR(IF(VLOOKUP($B319,Показатели!$E:$W,5,FALSE)=0,"",VLOOKUP($B319,Показатели!$E:$W,5,FALSE)),"")</f>
        <v/>
      </c>
      <c r="I319" t="str">
        <f>IFERROR(IF(VLOOKUP($B319,Показатели!$E:$W,6,FALSE)=0,"",VLOOKUP($B319,Показатели!$E:$W,6,FALSE)),"")</f>
        <v/>
      </c>
      <c r="J319" t="str">
        <f>IFERROR(IF(VLOOKUP($B319,Показатели!$E:$W,7,FALSE)=0,"",VLOOKUP($B319,Показатели!$E:$W,7,FALSE)),"")</f>
        <v/>
      </c>
      <c r="K319" t="str">
        <f>IFERROR(IF(VLOOKUP($B319,Показатели!$E:$W,8,FALSE)=0,"",VLOOKUP($B319,Показатели!$E:$W,8,FALSE)),"")</f>
        <v/>
      </c>
      <c r="L319" t="str">
        <f>IFERROR(IF(VLOOKUP($B319,Показатели!$E:$W,9,FALSE)=0,"",VLOOKUP($B319,Показатели!$E:$W,9,FALSE)),"")</f>
        <v/>
      </c>
      <c r="M319" t="str">
        <f>IFERROR(IF(VLOOKUP($B319,Показатели!$E:$W,10,FALSE)=0,"",VLOOKUP($B319,Показатели!$E:$W,10,FALSE)),"")</f>
        <v/>
      </c>
      <c r="N319" t="str">
        <f>IFERROR(IF(VLOOKUP($B319,Показатели!$E:$W,11,FALSE)=0,"",VLOOKUP($B319,Показатели!$E:$W,11,FALSE)),"")</f>
        <v/>
      </c>
      <c r="O319" t="str">
        <f>IFERROR(IF(VLOOKUP($B319,Показатели!$E:$W,12,FALSE)=0,"",VLOOKUP($B319,Показатели!$E:$W,12,FALSE)),"")</f>
        <v/>
      </c>
      <c r="P319" t="str">
        <f>IFERROR(IF(VLOOKUP($B319,Показатели!$E:$W,13,FALSE)=0,"",VLOOKUP($B319,Показатели!$E:$W,13,FALSE)),"")</f>
        <v/>
      </c>
      <c r="Q319" t="str">
        <f>IFERROR(IF(VLOOKUP($B319,Показатели!$E:$W,14,FALSE)=0,"",VLOOKUP($B319,Показатели!$E:$W,14,FALSE)),"")</f>
        <v/>
      </c>
      <c r="R319" t="str">
        <f>IFERROR(IF(VLOOKUP($B319,Показатели!$E:$W,15,FALSE)=0,"",VLOOKUP($B319,Показатели!$E:$W,15,FALSE)),"")</f>
        <v/>
      </c>
      <c r="S319" t="str">
        <f>IFERROR(IF(VLOOKUP($B319,Показатели!$E:$W,16,FALSE)=0,"",VLOOKUP($B319,Показатели!$E:$W,16,FALSE)),"")</f>
        <v/>
      </c>
      <c r="T319" t="str">
        <f>IFERROR(IF(VLOOKUP($B319,Показатели!$E:$W,17,FALSE)=0,"",VLOOKUP($B319,Показатели!$E:$W,17,FALSE)),"")</f>
        <v/>
      </c>
      <c r="U319" t="str">
        <f>IFERROR(IF(VLOOKUP($B319,Показатели!$E:$W,18,FALSE)=0,"",VLOOKUP($B319,Показатели!$E:$W,18,FALSE)),"")</f>
        <v/>
      </c>
      <c r="V319" t="str">
        <f>IFERROR(IF(VLOOKUP($B319,Показатели!$E:$W,19,FALSE)=0,"",VLOOKUP($B319,Показатели!$E:$W,19,FALSE)),"")</f>
        <v/>
      </c>
    </row>
    <row r="320" spans="1:22" x14ac:dyDescent="0.2">
      <c r="A320" s="7" t="s">
        <v>2216</v>
      </c>
      <c r="B320" t="str">
        <f t="shared" si="4"/>
        <v>UPRO IV кв. 2011</v>
      </c>
      <c r="C320">
        <v>2011</v>
      </c>
      <c r="D320">
        <f>SUMIFS(Дивиденды!$C:$C,Дивиденды!$A:$A,A320,Дивиденды!$I:$I,C320)</f>
        <v>5.79E-2</v>
      </c>
      <c r="E320" t="str">
        <f>IFERROR(IF(VLOOKUP($B320,Показатели!$E:$W,2,FALSE)=0,"",VLOOKUP($B320,Показатели!$E:$W,2,FALSE)),"")</f>
        <v/>
      </c>
      <c r="F320" t="str">
        <f>IFERROR(IF(VLOOKUP($B320,Показатели!$E:$W,3,FALSE)=0,"",VLOOKUP($B320,Показатели!$E:$W,3,FALSE)),"")</f>
        <v/>
      </c>
      <c r="G320" t="str">
        <f>IFERROR(IF(VLOOKUP($B320,Показатели!$E:$W,4,FALSE)=0,"",VLOOKUP($B320,Показатели!$E:$W,4,FALSE)),"")</f>
        <v/>
      </c>
      <c r="H320" t="str">
        <f>IFERROR(IF(VLOOKUP($B320,Показатели!$E:$W,5,FALSE)=0,"",VLOOKUP($B320,Показатели!$E:$W,5,FALSE)),"")</f>
        <v/>
      </c>
      <c r="I320" t="str">
        <f>IFERROR(IF(VLOOKUP($B320,Показатели!$E:$W,6,FALSE)=0,"",VLOOKUP($B320,Показатели!$E:$W,6,FALSE)),"")</f>
        <v/>
      </c>
      <c r="J320" t="str">
        <f>IFERROR(IF(VLOOKUP($B320,Показатели!$E:$W,7,FALSE)=0,"",VLOOKUP($B320,Показатели!$E:$W,7,FALSE)),"")</f>
        <v/>
      </c>
      <c r="K320" t="str">
        <f>IFERROR(IF(VLOOKUP($B320,Показатели!$E:$W,8,FALSE)=0,"",VLOOKUP($B320,Показатели!$E:$W,8,FALSE)),"")</f>
        <v/>
      </c>
      <c r="L320" t="str">
        <f>IFERROR(IF(VLOOKUP($B320,Показатели!$E:$W,9,FALSE)=0,"",VLOOKUP($B320,Показатели!$E:$W,9,FALSE)),"")</f>
        <v/>
      </c>
      <c r="M320" t="str">
        <f>IFERROR(IF(VLOOKUP($B320,Показатели!$E:$W,10,FALSE)=0,"",VLOOKUP($B320,Показатели!$E:$W,10,FALSE)),"")</f>
        <v/>
      </c>
      <c r="N320" t="str">
        <f>IFERROR(IF(VLOOKUP($B320,Показатели!$E:$W,11,FALSE)=0,"",VLOOKUP($B320,Показатели!$E:$W,11,FALSE)),"")</f>
        <v/>
      </c>
      <c r="O320" t="str">
        <f>IFERROR(IF(VLOOKUP($B320,Показатели!$E:$W,12,FALSE)=0,"",VLOOKUP($B320,Показатели!$E:$W,12,FALSE)),"")</f>
        <v/>
      </c>
      <c r="P320" t="str">
        <f>IFERROR(IF(VLOOKUP($B320,Показатели!$E:$W,13,FALSE)=0,"",VLOOKUP($B320,Показатели!$E:$W,13,FALSE)),"")</f>
        <v/>
      </c>
      <c r="Q320" t="str">
        <f>IFERROR(IF(VLOOKUP($B320,Показатели!$E:$W,14,FALSE)=0,"",VLOOKUP($B320,Показатели!$E:$W,14,FALSE)),"")</f>
        <v/>
      </c>
      <c r="R320" t="str">
        <f>IFERROR(IF(VLOOKUP($B320,Показатели!$E:$W,15,FALSE)=0,"",VLOOKUP($B320,Показатели!$E:$W,15,FALSE)),"")</f>
        <v/>
      </c>
      <c r="S320" t="str">
        <f>IFERROR(IF(VLOOKUP($B320,Показатели!$E:$W,16,FALSE)=0,"",VLOOKUP($B320,Показатели!$E:$W,16,FALSE)),"")</f>
        <v/>
      </c>
      <c r="T320" t="str">
        <f>IFERROR(IF(VLOOKUP($B320,Показатели!$E:$W,17,FALSE)=0,"",VLOOKUP($B320,Показатели!$E:$W,17,FALSE)),"")</f>
        <v/>
      </c>
      <c r="U320" t="str">
        <f>IFERROR(IF(VLOOKUP($B320,Показатели!$E:$W,18,FALSE)=0,"",VLOOKUP($B320,Показатели!$E:$W,18,FALSE)),"")</f>
        <v/>
      </c>
      <c r="V320" t="str">
        <f>IFERROR(IF(VLOOKUP($B320,Показатели!$E:$W,19,FALSE)=0,"",VLOOKUP($B320,Показатели!$E:$W,19,FALSE)),"")</f>
        <v/>
      </c>
    </row>
    <row r="321" spans="1:22" x14ac:dyDescent="0.2">
      <c r="A321" s="7" t="s">
        <v>2216</v>
      </c>
      <c r="B321" t="str">
        <f t="shared" si="4"/>
        <v>UPRO IV кв. 2010</v>
      </c>
      <c r="C321">
        <v>2010</v>
      </c>
      <c r="D321">
        <f>SUMIFS(Дивиденды!$C:$C,Дивиденды!$A:$A,A321,Дивиденды!$I:$I,C321)</f>
        <v>0</v>
      </c>
      <c r="E321" t="str">
        <f>IFERROR(IF(VLOOKUP($B321,Показатели!$E:$W,2,FALSE)=0,"",VLOOKUP($B321,Показатели!$E:$W,2,FALSE)),"")</f>
        <v/>
      </c>
      <c r="F321" t="str">
        <f>IFERROR(IF(VLOOKUP($B321,Показатели!$E:$W,3,FALSE)=0,"",VLOOKUP($B321,Показатели!$E:$W,3,FALSE)),"")</f>
        <v/>
      </c>
      <c r="G321" t="str">
        <f>IFERROR(IF(VLOOKUP($B321,Показатели!$E:$W,4,FALSE)=0,"",VLOOKUP($B321,Показатели!$E:$W,4,FALSE)),"")</f>
        <v/>
      </c>
      <c r="H321" t="str">
        <f>IFERROR(IF(VLOOKUP($B321,Показатели!$E:$W,5,FALSE)=0,"",VLOOKUP($B321,Показатели!$E:$W,5,FALSE)),"")</f>
        <v/>
      </c>
      <c r="I321" t="str">
        <f>IFERROR(IF(VLOOKUP($B321,Показатели!$E:$W,6,FALSE)=0,"",VLOOKUP($B321,Показатели!$E:$W,6,FALSE)),"")</f>
        <v/>
      </c>
      <c r="J321" t="str">
        <f>IFERROR(IF(VLOOKUP($B321,Показатели!$E:$W,7,FALSE)=0,"",VLOOKUP($B321,Показатели!$E:$W,7,FALSE)),"")</f>
        <v/>
      </c>
      <c r="K321" t="str">
        <f>IFERROR(IF(VLOOKUP($B321,Показатели!$E:$W,8,FALSE)=0,"",VLOOKUP($B321,Показатели!$E:$W,8,FALSE)),"")</f>
        <v/>
      </c>
      <c r="L321" t="str">
        <f>IFERROR(IF(VLOOKUP($B321,Показатели!$E:$W,9,FALSE)=0,"",VLOOKUP($B321,Показатели!$E:$W,9,FALSE)),"")</f>
        <v/>
      </c>
      <c r="M321" t="str">
        <f>IFERROR(IF(VLOOKUP($B321,Показатели!$E:$W,10,FALSE)=0,"",VLOOKUP($B321,Показатели!$E:$W,10,FALSE)),"")</f>
        <v/>
      </c>
      <c r="N321" t="str">
        <f>IFERROR(IF(VLOOKUP($B321,Показатели!$E:$W,11,FALSE)=0,"",VLOOKUP($B321,Показатели!$E:$W,11,FALSE)),"")</f>
        <v/>
      </c>
      <c r="O321" t="str">
        <f>IFERROR(IF(VLOOKUP($B321,Показатели!$E:$W,12,FALSE)=0,"",VLOOKUP($B321,Показатели!$E:$W,12,FALSE)),"")</f>
        <v/>
      </c>
      <c r="P321" t="str">
        <f>IFERROR(IF(VLOOKUP($B321,Показатели!$E:$W,13,FALSE)=0,"",VLOOKUP($B321,Показатели!$E:$W,13,FALSE)),"")</f>
        <v/>
      </c>
      <c r="Q321" t="str">
        <f>IFERROR(IF(VLOOKUP($B321,Показатели!$E:$W,14,FALSE)=0,"",VLOOKUP($B321,Показатели!$E:$W,14,FALSE)),"")</f>
        <v/>
      </c>
      <c r="R321" t="str">
        <f>IFERROR(IF(VLOOKUP($B321,Показатели!$E:$W,15,FALSE)=0,"",VLOOKUP($B321,Показатели!$E:$W,15,FALSE)),"")</f>
        <v/>
      </c>
      <c r="S321" t="str">
        <f>IFERROR(IF(VLOOKUP($B321,Показатели!$E:$W,16,FALSE)=0,"",VLOOKUP($B321,Показатели!$E:$W,16,FALSE)),"")</f>
        <v/>
      </c>
      <c r="T321" t="str">
        <f>IFERROR(IF(VLOOKUP($B321,Показатели!$E:$W,17,FALSE)=0,"",VLOOKUP($B321,Показатели!$E:$W,17,FALSE)),"")</f>
        <v/>
      </c>
      <c r="U321" t="str">
        <f>IFERROR(IF(VLOOKUP($B321,Показатели!$E:$W,18,FALSE)=0,"",VLOOKUP($B321,Показатели!$E:$W,18,FALSE)),"")</f>
        <v/>
      </c>
      <c r="V321" t="str">
        <f>IFERROR(IF(VLOOKUP($B321,Показатели!$E:$W,19,FALSE)=0,"",VLOOKUP($B321,Показатели!$E:$W,19,FALSE)),"")</f>
        <v/>
      </c>
    </row>
    <row r="322" spans="1:22" x14ac:dyDescent="0.2">
      <c r="A322" s="7" t="s">
        <v>2218</v>
      </c>
      <c r="B322" t="str">
        <f t="shared" si="4"/>
        <v>ALRS IV кв. 2025</v>
      </c>
      <c r="C322">
        <v>2025</v>
      </c>
      <c r="D322">
        <f>SUMIFS(Дивиденды!$C:$C,Дивиденды!$A:$A,A322,Дивиденды!$I:$I,C322)</f>
        <v>0</v>
      </c>
      <c r="E322">
        <f>IFERROR(IF(VLOOKUP($B322,Показатели!$E:$W,2,FALSE)=0,"",VLOOKUP($B322,Показатели!$E:$W,2,FALSE)),"")</f>
        <v>38787000000</v>
      </c>
      <c r="F322">
        <f>IFERROR(IF(VLOOKUP($B322,Показатели!$E:$W,3,FALSE)=0,"",VLOOKUP($B322,Показатели!$E:$W,3,FALSE)),"")</f>
        <v>376865000000</v>
      </c>
      <c r="G322">
        <f>IFERROR(IF(VLOOKUP($B322,Показатели!$E:$W,4,FALSE)=0,"",VLOOKUP($B322,Показатели!$E:$W,4,FALSE)),"")</f>
        <v>310543000000</v>
      </c>
      <c r="H322">
        <f>IFERROR(IF(VLOOKUP($B322,Показатели!$E:$W,5,FALSE)=0,"",VLOOKUP($B322,Показатели!$E:$W,5,FALSE)),"")</f>
        <v>5889000000</v>
      </c>
      <c r="I322">
        <f>IFERROR(IF(VLOOKUP($B322,Показатели!$E:$W,6,FALSE)=0,"",VLOOKUP($B322,Показатели!$E:$W,6,FALSE)),"")</f>
        <v>699482000000</v>
      </c>
      <c r="J322">
        <f>IFERROR(IF(VLOOKUP($B322,Показатели!$E:$W,7,FALSE)=0,"",VLOOKUP($B322,Показатели!$E:$W,7,FALSE)),"")</f>
        <v>137000000000</v>
      </c>
      <c r="K322">
        <f>IFERROR(IF(VLOOKUP($B322,Показатели!$E:$W,8,FALSE)=0,"",VLOOKUP($B322,Показатели!$E:$W,8,FALSE)),"")</f>
        <v>155768000000</v>
      </c>
      <c r="L322">
        <f>IFERROR(IF(VLOOKUP($B322,Показатели!$E:$W,9,FALSE)=0,"",VLOOKUP($B322,Показатели!$E:$W,9,FALSE)),"")</f>
        <v>383794000000</v>
      </c>
      <c r="M322">
        <f>IFERROR(IF(VLOOKUP($B322,Показатели!$E:$W,10,FALSE)=0,"",VLOOKUP($B322,Показатели!$E:$W,10,FALSE)),"")</f>
        <v>406714000000</v>
      </c>
      <c r="N322">
        <f>IFERROR(IF(VLOOKUP($B322,Показатели!$E:$W,11,FALSE)=0,"",VLOOKUP($B322,Показатели!$E:$W,11,FALSE)),"")</f>
        <v>235089000000</v>
      </c>
      <c r="O322" t="str">
        <f>IFERROR(IF(VLOOKUP($B322,Показатели!$E:$W,12,FALSE)=0,"",VLOOKUP($B322,Показатели!$E:$W,12,FALSE)),"")</f>
        <v/>
      </c>
      <c r="P322">
        <f>IFERROR(IF(VLOOKUP($B322,Показатели!$E:$W,13,FALSE)=0,"",VLOOKUP($B322,Показатели!$E:$W,13,FALSE)),"")</f>
        <v>40807000000</v>
      </c>
      <c r="Q322">
        <f>IFERROR(IF(VLOOKUP($B322,Показатели!$E:$W,14,FALSE)=0,"",VLOOKUP($B322,Показатели!$E:$W,14,FALSE)),"")</f>
        <v>36239000000</v>
      </c>
      <c r="R322">
        <f>IFERROR(IF(VLOOKUP($B322,Показатели!$E:$W,15,FALSE)=0,"",VLOOKUP($B322,Показатели!$E:$W,15,FALSE)),"")</f>
        <v>36276000000</v>
      </c>
      <c r="S322">
        <f>IFERROR(IF(VLOOKUP($B322,Показатели!$E:$W,16,FALSE)=0,"",VLOOKUP($B322,Показатели!$E:$W,16,FALSE)),"")</f>
        <v>57823000000</v>
      </c>
      <c r="T322">
        <f>IFERROR(IF(VLOOKUP($B322,Показатели!$E:$W,17,FALSE)=0,"",VLOOKUP($B322,Показатели!$E:$W,17,FALSE)),"")</f>
        <v>-49419000000</v>
      </c>
      <c r="U322">
        <f>IFERROR(IF(VLOOKUP($B322,Показатели!$E:$W,18,FALSE)=0,"",VLOOKUP($B322,Показатели!$E:$W,18,FALSE)),"")</f>
        <v>239067000000</v>
      </c>
      <c r="V322">
        <f>IFERROR(IF(VLOOKUP($B322,Показатели!$E:$W,19,FALSE)=0,"",VLOOKUP($B322,Показатели!$E:$W,19,FALSE)),"")</f>
        <v>658735000000</v>
      </c>
    </row>
    <row r="323" spans="1:22" x14ac:dyDescent="0.2">
      <c r="A323" s="7" t="s">
        <v>2218</v>
      </c>
      <c r="B323" t="str">
        <f t="shared" ref="B323:B386" si="5">A323&amp;" "&amp;
"IV"
&amp;" кв. "&amp;C323</f>
        <v>ALRS IV кв. 2024</v>
      </c>
      <c r="C323">
        <v>2024</v>
      </c>
      <c r="D323">
        <f>SUMIFS(Дивиденды!$C:$C,Дивиденды!$A:$A,A323,Дивиденды!$I:$I,C323)</f>
        <v>2.4900000000000002</v>
      </c>
      <c r="E323">
        <f>IFERROR(IF(VLOOKUP($B323,Показатели!$E:$W,2,FALSE)=0,"",VLOOKUP($B323,Показатели!$E:$W,2,FALSE)),"")</f>
        <v>81127000000</v>
      </c>
      <c r="F323">
        <f>IFERROR(IF(VLOOKUP($B323,Показатели!$E:$W,3,FALSE)=0,"",VLOOKUP($B323,Показатели!$E:$W,3,FALSE)),"")</f>
        <v>346866000000</v>
      </c>
      <c r="G323">
        <f>IFERROR(IF(VLOOKUP($B323,Показатели!$E:$W,4,FALSE)=0,"",VLOOKUP($B323,Показатели!$E:$W,4,FALSE)),"")</f>
        <v>302848000000</v>
      </c>
      <c r="H323">
        <f>IFERROR(IF(VLOOKUP($B323,Показатели!$E:$W,5,FALSE)=0,"",VLOOKUP($B323,Показатели!$E:$W,5,FALSE)),"")</f>
        <v>4749000000</v>
      </c>
      <c r="I323">
        <f>IFERROR(IF(VLOOKUP($B323,Показатели!$E:$W,6,FALSE)=0,"",VLOOKUP($B323,Показатели!$E:$W,6,FALSE)),"")</f>
        <v>658735000000</v>
      </c>
      <c r="J323">
        <f>IFERROR(IF(VLOOKUP($B323,Показатели!$E:$W,7,FALSE)=0,"",VLOOKUP($B323,Показатели!$E:$W,7,FALSE)),"")</f>
        <v>126484000000</v>
      </c>
      <c r="K323">
        <f>IFERROR(IF(VLOOKUP($B323,Показатели!$E:$W,8,FALSE)=0,"",VLOOKUP($B323,Показатели!$E:$W,8,FALSE)),"")</f>
        <v>163298000000</v>
      </c>
      <c r="L323">
        <f>IFERROR(IF(VLOOKUP($B323,Показатели!$E:$W,9,FALSE)=0,"",VLOOKUP($B323,Показатели!$E:$W,9,FALSE)),"")</f>
        <v>348337000000</v>
      </c>
      <c r="M323">
        <f>IFERROR(IF(VLOOKUP($B323,Показатели!$E:$W,10,FALSE)=0,"",VLOOKUP($B323,Показатели!$E:$W,10,FALSE)),"")</f>
        <v>368953000000</v>
      </c>
      <c r="N323">
        <f>IFERROR(IF(VLOOKUP($B323,Показатели!$E:$W,11,FALSE)=0,"",VLOOKUP($B323,Показатели!$E:$W,11,FALSE)),"")</f>
        <v>239067000000</v>
      </c>
      <c r="O323" t="str">
        <f>IFERROR(IF(VLOOKUP($B323,Показатели!$E:$W,12,FALSE)=0,"",VLOOKUP($B323,Показатели!$E:$W,12,FALSE)),"")</f>
        <v/>
      </c>
      <c r="P323">
        <f>IFERROR(IF(VLOOKUP($B323,Показатели!$E:$W,13,FALSE)=0,"",VLOOKUP($B323,Показатели!$E:$W,13,FALSE)),"")</f>
        <v>32503000000</v>
      </c>
      <c r="Q323">
        <f>IFERROR(IF(VLOOKUP($B323,Показатели!$E:$W,14,FALSE)=0,"",VLOOKUP($B323,Показатели!$E:$W,14,FALSE)),"")</f>
        <v>19246000000</v>
      </c>
      <c r="R323">
        <f>IFERROR(IF(VLOOKUP($B323,Показатели!$E:$W,15,FALSE)=0,"",VLOOKUP($B323,Показатели!$E:$W,15,FALSE)),"")</f>
        <v>34034000000</v>
      </c>
      <c r="S323">
        <f>IFERROR(IF(VLOOKUP($B323,Показатели!$E:$W,16,FALSE)=0,"",VLOOKUP($B323,Показатели!$E:$W,16,FALSE)),"")</f>
        <v>78638000000</v>
      </c>
      <c r="T323">
        <f>IFERROR(IF(VLOOKUP($B323,Показатели!$E:$W,17,FALSE)=0,"",VLOOKUP($B323,Показатели!$E:$W,17,FALSE)),"")</f>
        <v>-58915000000</v>
      </c>
      <c r="U323">
        <f>IFERROR(IF(VLOOKUP($B323,Показатели!$E:$W,18,FALSE)=0,"",VLOOKUP($B323,Показатели!$E:$W,18,FALSE)),"")</f>
        <v>322567000000</v>
      </c>
      <c r="V323">
        <f>IFERROR(IF(VLOOKUP($B323,Показатели!$E:$W,19,FALSE)=0,"",VLOOKUP($B323,Показатели!$E:$W,19,FALSE)),"")</f>
        <v>596617000000</v>
      </c>
    </row>
    <row r="324" spans="1:22" x14ac:dyDescent="0.2">
      <c r="A324" s="7" t="s">
        <v>2218</v>
      </c>
      <c r="B324" t="str">
        <f t="shared" si="5"/>
        <v>ALRS IV кв. 2023</v>
      </c>
      <c r="C324">
        <v>2023</v>
      </c>
      <c r="D324">
        <f>SUMIFS(Дивиденды!$C:$C,Дивиденды!$A:$A,A324,Дивиденды!$I:$I,C324)</f>
        <v>5.79</v>
      </c>
      <c r="E324">
        <f>IFERROR(IF(VLOOKUP($B324,Показатели!$E:$W,2,FALSE)=0,"",VLOOKUP($B324,Показатели!$E:$W,2,FALSE)),"")</f>
        <v>36437000000</v>
      </c>
      <c r="F324">
        <f>IFERROR(IF(VLOOKUP($B324,Показатели!$E:$W,3,FALSE)=0,"",VLOOKUP($B324,Показатели!$E:$W,3,FALSE)),"")</f>
        <v>297385000000</v>
      </c>
      <c r="G324">
        <f>IFERROR(IF(VLOOKUP($B324,Показатели!$E:$W,4,FALSE)=0,"",VLOOKUP($B324,Показатели!$E:$W,4,FALSE)),"")</f>
        <v>282887000000</v>
      </c>
      <c r="H324">
        <f>IFERROR(IF(VLOOKUP($B324,Показатели!$E:$W,5,FALSE)=0,"",VLOOKUP($B324,Показатели!$E:$W,5,FALSE)),"")</f>
        <v>1439000000</v>
      </c>
      <c r="I324">
        <f>IFERROR(IF(VLOOKUP($B324,Показатели!$E:$W,6,FALSE)=0,"",VLOOKUP($B324,Показатели!$E:$W,6,FALSE)),"")</f>
        <v>596617000000</v>
      </c>
      <c r="J324">
        <f>IFERROR(IF(VLOOKUP($B324,Показатели!$E:$W,7,FALSE)=0,"",VLOOKUP($B324,Показатели!$E:$W,7,FALSE)),"")</f>
        <v>104372000000</v>
      </c>
      <c r="K324">
        <f>IFERROR(IF(VLOOKUP($B324,Показатели!$E:$W,8,FALSE)=0,"",VLOOKUP($B324,Показатели!$E:$W,8,FALSE)),"")</f>
        <v>110386000000</v>
      </c>
      <c r="L324">
        <f>IFERROR(IF(VLOOKUP($B324,Показатели!$E:$W,9,FALSE)=0,"",VLOOKUP($B324,Показатели!$E:$W,9,FALSE)),"")</f>
        <v>359208000000</v>
      </c>
      <c r="M324">
        <f>IFERROR(IF(VLOOKUP($B324,Показатели!$E:$W,10,FALSE)=0,"",VLOOKUP($B324,Показатели!$E:$W,10,FALSE)),"")</f>
        <v>381859000000</v>
      </c>
      <c r="N324">
        <f>IFERROR(IF(VLOOKUP($B324,Показатели!$E:$W,11,FALSE)=0,"",VLOOKUP($B324,Показатели!$E:$W,11,FALSE)),"")</f>
        <v>322567000000</v>
      </c>
      <c r="O324" t="str">
        <f>IFERROR(IF(VLOOKUP($B324,Показатели!$E:$W,12,FALSE)=0,"",VLOOKUP($B324,Показатели!$E:$W,12,FALSE)),"")</f>
        <v/>
      </c>
      <c r="P324">
        <f>IFERROR(IF(VLOOKUP($B324,Показатели!$E:$W,13,FALSE)=0,"",VLOOKUP($B324,Показатели!$E:$W,13,FALSE)),"")</f>
        <v>108195000000</v>
      </c>
      <c r="Q324">
        <f>IFERROR(IF(VLOOKUP($B324,Показатели!$E:$W,14,FALSE)=0,"",VLOOKUP($B324,Показатели!$E:$W,14,FALSE)),"")</f>
        <v>85182000000</v>
      </c>
      <c r="R324">
        <f>IFERROR(IF(VLOOKUP($B324,Показатели!$E:$W,15,FALSE)=0,"",VLOOKUP($B324,Показатели!$E:$W,15,FALSE)),"")</f>
        <v>28879000000</v>
      </c>
      <c r="S324" t="str">
        <f>IFERROR(IF(VLOOKUP($B324,Показатели!$E:$W,16,FALSE)=0,"",VLOOKUP($B324,Показатели!$E:$W,16,FALSE)),"")</f>
        <v/>
      </c>
      <c r="T324">
        <f>IFERROR(IF(VLOOKUP($B324,Показатели!$E:$W,17,FALSE)=0,"",VLOOKUP($B324,Показатели!$E:$W,17,FALSE)),"")</f>
        <v>-63663000000</v>
      </c>
      <c r="U324">
        <f>IFERROR(IF(VLOOKUP($B324,Показатели!$E:$W,18,FALSE)=0,"",VLOOKUP($B324,Показатели!$E:$W,18,FALSE)),"")</f>
        <v>295439000000</v>
      </c>
      <c r="V324">
        <f>IFERROR(IF(VLOOKUP($B324,Показатели!$E:$W,19,FALSE)=0,"",VLOOKUP($B324,Показатели!$E:$W,19,FALSE)),"")</f>
        <v>520633000000</v>
      </c>
    </row>
    <row r="325" spans="1:22" x14ac:dyDescent="0.2">
      <c r="A325" s="7" t="s">
        <v>2218</v>
      </c>
      <c r="B325" t="str">
        <f t="shared" si="5"/>
        <v>ALRS IV кв. 2022</v>
      </c>
      <c r="C325">
        <v>2022</v>
      </c>
      <c r="D325">
        <f>SUMIFS(Дивиденды!$C:$C,Дивиденды!$A:$A,A325,Дивиденды!$I:$I,C325)</f>
        <v>0</v>
      </c>
      <c r="E325">
        <f>IFERROR(IF(VLOOKUP($B325,Показатели!$E:$W,2,FALSE)=0,"",VLOOKUP($B325,Показатели!$E:$W,2,FALSE)),"")</f>
        <v>26618000000</v>
      </c>
      <c r="F325">
        <f>IFERROR(IF(VLOOKUP($B325,Показатели!$E:$W,3,FALSE)=0,"",VLOOKUP($B325,Показатели!$E:$W,3,FALSE)),"")</f>
        <v>252575000000</v>
      </c>
      <c r="G325">
        <f>IFERROR(IF(VLOOKUP($B325,Показатели!$E:$W,4,FALSE)=0,"",VLOOKUP($B325,Показатели!$E:$W,4,FALSE)),"")</f>
        <v>247951000000</v>
      </c>
      <c r="H325">
        <f>IFERROR(IF(VLOOKUP($B325,Показатели!$E:$W,5,FALSE)=0,"",VLOOKUP($B325,Показатели!$E:$W,5,FALSE)),"")</f>
        <v>1439000000</v>
      </c>
      <c r="I325">
        <f>IFERROR(IF(VLOOKUP($B325,Показатели!$E:$W,6,FALSE)=0,"",VLOOKUP($B325,Показатели!$E:$W,6,FALSE)),"")</f>
        <v>520633000000</v>
      </c>
      <c r="J325">
        <f>IFERROR(IF(VLOOKUP($B325,Показатели!$E:$W,7,FALSE)=0,"",VLOOKUP($B325,Показатели!$E:$W,7,FALSE)),"")</f>
        <v>62142000000</v>
      </c>
      <c r="K325">
        <f>IFERROR(IF(VLOOKUP($B325,Показатели!$E:$W,8,FALSE)=0,"",VLOOKUP($B325,Показатели!$E:$W,8,FALSE)),"")</f>
        <v>136198000000</v>
      </c>
      <c r="L325">
        <f>IFERROR(IF(VLOOKUP($B325,Показатели!$E:$W,9,FALSE)=0,"",VLOOKUP($B325,Показатели!$E:$W,9,FALSE)),"")</f>
        <v>299526000000</v>
      </c>
      <c r="M325">
        <f>IFERROR(IF(VLOOKUP($B325,Показатели!$E:$W,10,FALSE)=0,"",VLOOKUP($B325,Показатели!$E:$W,10,FALSE)),"")</f>
        <v>322293000000</v>
      </c>
      <c r="N325">
        <f>IFERROR(IF(VLOOKUP($B325,Показатели!$E:$W,11,FALSE)=0,"",VLOOKUP($B325,Показатели!$E:$W,11,FALSE)),"")</f>
        <v>295439000000</v>
      </c>
      <c r="O325" t="str">
        <f>IFERROR(IF(VLOOKUP($B325,Показатели!$E:$W,12,FALSE)=0,"",VLOOKUP($B325,Показатели!$E:$W,12,FALSE)),"")</f>
        <v/>
      </c>
      <c r="P325">
        <f>IFERROR(IF(VLOOKUP($B325,Показатели!$E:$W,13,FALSE)=0,"",VLOOKUP($B325,Показатели!$E:$W,13,FALSE)),"")</f>
        <v>125837000000</v>
      </c>
      <c r="Q325">
        <f>IFERROR(IF(VLOOKUP($B325,Показатели!$E:$W,14,FALSE)=0,"",VLOOKUP($B325,Показатели!$E:$W,14,FALSE)),"")</f>
        <v>100486000000</v>
      </c>
      <c r="R325">
        <f>IFERROR(IF(VLOOKUP($B325,Показатели!$E:$W,15,FALSE)=0,"",VLOOKUP($B325,Показатели!$E:$W,15,FALSE)),"")</f>
        <v>22591000000</v>
      </c>
      <c r="S325" t="str">
        <f>IFERROR(IF(VLOOKUP($B325,Показатели!$E:$W,16,FALSE)=0,"",VLOOKUP($B325,Показатели!$E:$W,16,FALSE)),"")</f>
        <v/>
      </c>
      <c r="T325">
        <f>IFERROR(IF(VLOOKUP($B325,Показатели!$E:$W,17,FALSE)=0,"",VLOOKUP($B325,Показатели!$E:$W,17,FALSE)),"")</f>
        <v>-40870000000</v>
      </c>
      <c r="U325">
        <f>IFERROR(IF(VLOOKUP($B325,Показатели!$E:$W,18,FALSE)=0,"",VLOOKUP($B325,Показатели!$E:$W,18,FALSE)),"")</f>
        <v>332004000000</v>
      </c>
      <c r="V325">
        <f>IFERROR(IF(VLOOKUP($B325,Показатели!$E:$W,19,FALSE)=0,"",VLOOKUP($B325,Показатели!$E:$W,19,FALSE)),"")</f>
        <v>423738000000</v>
      </c>
    </row>
    <row r="326" spans="1:22" x14ac:dyDescent="0.2">
      <c r="A326" s="7" t="s">
        <v>2218</v>
      </c>
      <c r="B326" t="str">
        <f t="shared" si="5"/>
        <v>ALRS IV кв. 2021</v>
      </c>
      <c r="C326">
        <v>2021</v>
      </c>
      <c r="D326">
        <f>SUMIFS(Дивиденды!$C:$C,Дивиденды!$A:$A,A326,Дивиденды!$I:$I,C326)</f>
        <v>8.7899999999999991</v>
      </c>
      <c r="E326">
        <f>IFERROR(IF(VLOOKUP($B326,Показатели!$E:$W,2,FALSE)=0,"",VLOOKUP($B326,Показатели!$E:$W,2,FALSE)),"")</f>
        <v>29534000000</v>
      </c>
      <c r="F326">
        <f>IFERROR(IF(VLOOKUP($B326,Показатели!$E:$W,3,FALSE)=0,"",VLOOKUP($B326,Показатели!$E:$W,3,FALSE)),"")</f>
        <v>167375000000</v>
      </c>
      <c r="G326">
        <f>IFERROR(IF(VLOOKUP($B326,Показатели!$E:$W,4,FALSE)=0,"",VLOOKUP($B326,Показатели!$E:$W,4,FALSE)),"")</f>
        <v>229903000000</v>
      </c>
      <c r="H326">
        <f>IFERROR(IF(VLOOKUP($B326,Показатели!$E:$W,5,FALSE)=0,"",VLOOKUP($B326,Показатели!$E:$W,5,FALSE)),"")</f>
        <v>1439000000</v>
      </c>
      <c r="I326">
        <f>IFERROR(IF(VLOOKUP($B326,Показатели!$E:$W,6,FALSE)=0,"",VLOOKUP($B326,Показатели!$E:$W,6,FALSE)),"")</f>
        <v>423738000000</v>
      </c>
      <c r="J326">
        <f>IFERROR(IF(VLOOKUP($B326,Показатели!$E:$W,7,FALSE)=0,"",VLOOKUP($B326,Показатели!$E:$W,7,FALSE)),"")</f>
        <v>53364000000</v>
      </c>
      <c r="K326">
        <f>IFERROR(IF(VLOOKUP($B326,Показатели!$E:$W,8,FALSE)=0,"",VLOOKUP($B326,Показатели!$E:$W,8,FALSE)),"")</f>
        <v>146875000000</v>
      </c>
      <c r="L326">
        <f>IFERROR(IF(VLOOKUP($B326,Показатели!$E:$W,9,FALSE)=0,"",VLOOKUP($B326,Показатели!$E:$W,9,FALSE)),"")</f>
        <v>200909000000</v>
      </c>
      <c r="M326">
        <f>IFERROR(IF(VLOOKUP($B326,Показатели!$E:$W,10,FALSE)=0,"",VLOOKUP($B326,Показатели!$E:$W,10,FALSE)),"")</f>
        <v>223499000000</v>
      </c>
      <c r="N326">
        <f>IFERROR(IF(VLOOKUP($B326,Показатели!$E:$W,11,FALSE)=0,"",VLOOKUP($B326,Показатели!$E:$W,11,FALSE)),"")</f>
        <v>332004000000</v>
      </c>
      <c r="O326">
        <f>IFERROR(IF(VLOOKUP($B326,Показатели!$E:$W,12,FALSE)=0,"",VLOOKUP($B326,Показатели!$E:$W,12,FALSE)),"")</f>
        <v>114778000000</v>
      </c>
      <c r="P326">
        <f>IFERROR(IF(VLOOKUP($B326,Показатели!$E:$W,13,FALSE)=0,"",VLOOKUP($B326,Показатели!$E:$W,13,FALSE)),"")</f>
        <v>116663000000</v>
      </c>
      <c r="Q326">
        <f>IFERROR(IF(VLOOKUP($B326,Показатели!$E:$W,14,FALSE)=0,"",VLOOKUP($B326,Показатели!$E:$W,14,FALSE)),"")</f>
        <v>91319000000</v>
      </c>
      <c r="R326">
        <f>IFERROR(IF(VLOOKUP($B326,Показатели!$E:$W,15,FALSE)=0,"",VLOOKUP($B326,Показатели!$E:$W,15,FALSE)),"")</f>
        <v>24301000000</v>
      </c>
      <c r="S326">
        <f>IFERROR(IF(VLOOKUP($B326,Показатели!$E:$W,16,FALSE)=0,"",VLOOKUP($B326,Показатели!$E:$W,16,FALSE)),"")</f>
        <v>139486000000</v>
      </c>
      <c r="T326">
        <f>IFERROR(IF(VLOOKUP($B326,Показатели!$E:$W,17,FALSE)=0,"",VLOOKUP($B326,Показатели!$E:$W,17,FALSE)),"")</f>
        <v>-18951000000</v>
      </c>
      <c r="U326">
        <f>IFERROR(IF(VLOOKUP($B326,Показатели!$E:$W,18,FALSE)=0,"",VLOOKUP($B326,Показатели!$E:$W,18,FALSE)),"")</f>
        <v>221484000000</v>
      </c>
      <c r="V326">
        <f>IFERROR(IF(VLOOKUP($B326,Показатели!$E:$W,19,FALSE)=0,"",VLOOKUP($B326,Показатели!$E:$W,19,FALSE)),"")</f>
        <v>518886000000</v>
      </c>
    </row>
    <row r="327" spans="1:22" x14ac:dyDescent="0.2">
      <c r="A327" s="7" t="s">
        <v>2218</v>
      </c>
      <c r="B327" t="str">
        <f t="shared" si="5"/>
        <v>ALRS IV кв. 2020</v>
      </c>
      <c r="C327">
        <v>2020</v>
      </c>
      <c r="D327">
        <f>SUMIFS(Дивиденды!$C:$C,Дивиденды!$A:$A,A327,Дивиденды!$I:$I,C327)</f>
        <v>9.5399999999999991</v>
      </c>
      <c r="E327">
        <f>IFERROR(IF(VLOOKUP($B327,Показатели!$E:$W,2,FALSE)=0,"",VLOOKUP($B327,Показатели!$E:$W,2,FALSE)),"")</f>
        <v>86872000000</v>
      </c>
      <c r="F327">
        <f>IFERROR(IF(VLOOKUP($B327,Показатели!$E:$W,3,FALSE)=0,"",VLOOKUP($B327,Показатели!$E:$W,3,FALSE)),"")</f>
        <v>271272000000</v>
      </c>
      <c r="G327">
        <f>IFERROR(IF(VLOOKUP($B327,Показатели!$E:$W,4,FALSE)=0,"",VLOOKUP($B327,Показатели!$E:$W,4,FALSE)),"")</f>
        <v>225653000000</v>
      </c>
      <c r="H327">
        <f>IFERROR(IF(VLOOKUP($B327,Показатели!$E:$W,5,FALSE)=0,"",VLOOKUP($B327,Показатели!$E:$W,5,FALSE)),"")</f>
        <v>1439000000</v>
      </c>
      <c r="I327">
        <f>IFERROR(IF(VLOOKUP($B327,Показатели!$E:$W,6,FALSE)=0,"",VLOOKUP($B327,Показатели!$E:$W,6,FALSE)),"")</f>
        <v>518886000000</v>
      </c>
      <c r="J327">
        <f>IFERROR(IF(VLOOKUP($B327,Показатели!$E:$W,7,FALSE)=0,"",VLOOKUP($B327,Показатели!$E:$W,7,FALSE)),"")</f>
        <v>96671000000</v>
      </c>
      <c r="K327">
        <f>IFERROR(IF(VLOOKUP($B327,Показатели!$E:$W,8,FALSE)=0,"",VLOOKUP($B327,Показатели!$E:$W,8,FALSE)),"")</f>
        <v>157141000000</v>
      </c>
      <c r="L327">
        <f>IFERROR(IF(VLOOKUP($B327,Показатели!$E:$W,9,FALSE)=0,"",VLOOKUP($B327,Показатели!$E:$W,9,FALSE)),"")</f>
        <v>241583000000</v>
      </c>
      <c r="M327">
        <f>IFERROR(IF(VLOOKUP($B327,Показатели!$E:$W,10,FALSE)=0,"",VLOOKUP($B327,Показатели!$E:$W,10,FALSE)),"")</f>
        <v>265074000000</v>
      </c>
      <c r="N327">
        <f>IFERROR(IF(VLOOKUP($B327,Показатели!$E:$W,11,FALSE)=0,"",VLOOKUP($B327,Показатели!$E:$W,11,FALSE)),"")</f>
        <v>221484000000</v>
      </c>
      <c r="O327">
        <f>IFERROR(IF(VLOOKUP($B327,Показатели!$E:$W,12,FALSE)=0,"",VLOOKUP($B327,Показатели!$E:$W,12,FALSE)),"")</f>
        <v>69463000000</v>
      </c>
      <c r="P327">
        <f>IFERROR(IF(VLOOKUP($B327,Показатели!$E:$W,13,FALSE)=0,"",VLOOKUP($B327,Показатели!$E:$W,13,FALSE)),"")</f>
        <v>44087000000</v>
      </c>
      <c r="Q327">
        <f>IFERROR(IF(VLOOKUP($B327,Показатели!$E:$W,14,FALSE)=0,"",VLOOKUP($B327,Показатели!$E:$W,14,FALSE)),"")</f>
        <v>32245000000</v>
      </c>
      <c r="R327">
        <f>IFERROR(IF(VLOOKUP($B327,Показатели!$E:$W,15,FALSE)=0,"",VLOOKUP($B327,Показатели!$E:$W,15,FALSE)),"")</f>
        <v>23507000000</v>
      </c>
      <c r="S327">
        <f>IFERROR(IF(VLOOKUP($B327,Показатели!$E:$W,16,FALSE)=0,"",VLOOKUP($B327,Показатели!$E:$W,16,FALSE)),"")</f>
        <v>87644000000</v>
      </c>
      <c r="T327">
        <f>IFERROR(IF(VLOOKUP($B327,Показатели!$E:$W,17,FALSE)=0,"",VLOOKUP($B327,Показатели!$E:$W,17,FALSE)),"")</f>
        <v>-17006000000</v>
      </c>
      <c r="U327">
        <f>IFERROR(IF(VLOOKUP($B327,Показатели!$E:$W,18,FALSE)=0,"",VLOOKUP($B327,Показатели!$E:$W,18,FALSE)),"")</f>
        <v>232856000000</v>
      </c>
      <c r="V327">
        <f>IFERROR(IF(VLOOKUP($B327,Показатели!$E:$W,19,FALSE)=0,"",VLOOKUP($B327,Показатели!$E:$W,19,FALSE)),"")</f>
        <v>430098000000</v>
      </c>
    </row>
    <row r="328" spans="1:22" x14ac:dyDescent="0.2">
      <c r="A328" s="7" t="s">
        <v>2218</v>
      </c>
      <c r="B328" t="str">
        <f t="shared" si="5"/>
        <v>ALRS IV кв. 2019</v>
      </c>
      <c r="C328">
        <v>2019</v>
      </c>
      <c r="D328">
        <f>SUMIFS(Дивиденды!$C:$C,Дивиденды!$A:$A,A328,Дивиденды!$I:$I,C328)</f>
        <v>6.47</v>
      </c>
      <c r="E328">
        <f>IFERROR(IF(VLOOKUP($B328,Показатели!$E:$W,2,FALSE)=0,"",VLOOKUP($B328,Показатели!$E:$W,2,FALSE)),"")</f>
        <v>13315000000</v>
      </c>
      <c r="F328">
        <f>IFERROR(IF(VLOOKUP($B328,Показатели!$E:$W,3,FALSE)=0,"",VLOOKUP($B328,Показатели!$E:$W,3,FALSE)),"")</f>
        <v>178733000000</v>
      </c>
      <c r="G328">
        <f>IFERROR(IF(VLOOKUP($B328,Показатели!$E:$W,4,FALSE)=0,"",VLOOKUP($B328,Показатели!$E:$W,4,FALSE)),"")</f>
        <v>226261000000</v>
      </c>
      <c r="H328">
        <f>IFERROR(IF(VLOOKUP($B328,Показатели!$E:$W,5,FALSE)=0,"",VLOOKUP($B328,Показатели!$E:$W,5,FALSE)),"")</f>
        <v>1439000000</v>
      </c>
      <c r="I328">
        <f>IFERROR(IF(VLOOKUP($B328,Показатели!$E:$W,6,FALSE)=0,"",VLOOKUP($B328,Показатели!$E:$W,6,FALSE)),"")</f>
        <v>430098000000</v>
      </c>
      <c r="J328">
        <f>IFERROR(IF(VLOOKUP($B328,Показатели!$E:$W,7,FALSE)=0,"",VLOOKUP($B328,Показатели!$E:$W,7,FALSE)),"")</f>
        <v>64187000000</v>
      </c>
      <c r="K328">
        <f>IFERROR(IF(VLOOKUP($B328,Показатели!$E:$W,8,FALSE)=0,"",VLOOKUP($B328,Показатели!$E:$W,8,FALSE)),"")</f>
        <v>111945000000</v>
      </c>
      <c r="L328">
        <f>IFERROR(IF(VLOOKUP($B328,Показатели!$E:$W,9,FALSE)=0,"",VLOOKUP($B328,Показатели!$E:$W,9,FALSE)),"")</f>
        <v>230737000000</v>
      </c>
      <c r="M328">
        <f>IFERROR(IF(VLOOKUP($B328,Показатели!$E:$W,10,FALSE)=0,"",VLOOKUP($B328,Показатели!$E:$W,10,FALSE)),"")</f>
        <v>253966000000</v>
      </c>
      <c r="N328">
        <f>IFERROR(IF(VLOOKUP($B328,Показатели!$E:$W,11,FALSE)=0,"",VLOOKUP($B328,Показатели!$E:$W,11,FALSE)),"")</f>
        <v>232856000000</v>
      </c>
      <c r="O328">
        <f>IFERROR(IF(VLOOKUP($B328,Показатели!$E:$W,12,FALSE)=0,"",VLOOKUP($B328,Показатели!$E:$W,12,FALSE)),"")</f>
        <v>75143000000</v>
      </c>
      <c r="P328">
        <f>IFERROR(IF(VLOOKUP($B328,Показатели!$E:$W,13,FALSE)=0,"",VLOOKUP($B328,Показатели!$E:$W,13,FALSE)),"")</f>
        <v>81456000000</v>
      </c>
      <c r="Q328">
        <f>IFERROR(IF(VLOOKUP($B328,Показатели!$E:$W,14,FALSE)=0,"",VLOOKUP($B328,Показатели!$E:$W,14,FALSE)),"")</f>
        <v>62730000000</v>
      </c>
      <c r="R328">
        <f>IFERROR(IF(VLOOKUP($B328,Показатели!$E:$W,15,FALSE)=0,"",VLOOKUP($B328,Показатели!$E:$W,15,FALSE)),"")</f>
        <v>24511000000</v>
      </c>
      <c r="S328">
        <f>IFERROR(IF(VLOOKUP($B328,Показатели!$E:$W,16,FALSE)=0,"",VLOOKUP($B328,Показатели!$E:$W,16,FALSE)),"")</f>
        <v>107054000000</v>
      </c>
      <c r="T328">
        <f>IFERROR(IF(VLOOKUP($B328,Показатели!$E:$W,17,FALSE)=0,"",VLOOKUP($B328,Показатели!$E:$W,17,FALSE)),"")</f>
        <v>-19974000000</v>
      </c>
      <c r="U328">
        <f>IFERROR(IF(VLOOKUP($B328,Показатели!$E:$W,18,FALSE)=0,"",VLOOKUP($B328,Показатели!$E:$W,18,FALSE)),"")</f>
        <v>293870000000</v>
      </c>
      <c r="V328">
        <f>IFERROR(IF(VLOOKUP($B328,Показатели!$E:$W,19,FALSE)=0,"",VLOOKUP($B328,Показатели!$E:$W,19,FALSE)),"")</f>
        <v>411192000000</v>
      </c>
    </row>
    <row r="329" spans="1:22" x14ac:dyDescent="0.2">
      <c r="A329" s="7" t="s">
        <v>2218</v>
      </c>
      <c r="B329" t="str">
        <f t="shared" si="5"/>
        <v>ALRS IV кв. 2018</v>
      </c>
      <c r="C329">
        <v>2018</v>
      </c>
      <c r="D329">
        <f>SUMIFS(Дивиденды!$C:$C,Дивиденды!$A:$A,A329,Дивиденды!$I:$I,C329)</f>
        <v>10.039999999999999</v>
      </c>
      <c r="E329">
        <f>IFERROR(IF(VLOOKUP($B329,Показатели!$E:$W,2,FALSE)=0,"",VLOOKUP($B329,Показатели!$E:$W,2,FALSE)),"")</f>
        <v>27437000000</v>
      </c>
      <c r="F329">
        <f>IFERROR(IF(VLOOKUP($B329,Показатели!$E:$W,3,FALSE)=0,"",VLOOKUP($B329,Показатели!$E:$W,3,FALSE)),"")</f>
        <v>154750000000</v>
      </c>
      <c r="G329">
        <f>IFERROR(IF(VLOOKUP($B329,Показатели!$E:$W,4,FALSE)=0,"",VLOOKUP($B329,Показатели!$E:$W,4,FALSE)),"")</f>
        <v>234873000000</v>
      </c>
      <c r="H329">
        <f>IFERROR(IF(VLOOKUP($B329,Показатели!$E:$W,5,FALSE)=0,"",VLOOKUP($B329,Показатели!$E:$W,5,FALSE)),"")</f>
        <v>1439000000</v>
      </c>
      <c r="I329">
        <f>IFERROR(IF(VLOOKUP($B329,Показатели!$E:$W,6,FALSE)=0,"",VLOOKUP($B329,Показатели!$E:$W,6,FALSE)),"")</f>
        <v>411192000000</v>
      </c>
      <c r="J329">
        <f>IFERROR(IF(VLOOKUP($B329,Показатели!$E:$W,7,FALSE)=0,"",VLOOKUP($B329,Показатели!$E:$W,7,FALSE)),"")</f>
        <v>74581000000</v>
      </c>
      <c r="K329">
        <f>IFERROR(IF(VLOOKUP($B329,Показатели!$E:$W,8,FALSE)=0,"",VLOOKUP($B329,Показатели!$E:$W,8,FALSE)),"")</f>
        <v>89034000000</v>
      </c>
      <c r="L329">
        <f>IFERROR(IF(VLOOKUP($B329,Показатели!$E:$W,9,FALSE)=0,"",VLOOKUP($B329,Показатели!$E:$W,9,FALSE)),"")</f>
        <v>224976000000</v>
      </c>
      <c r="M329">
        <f>IFERROR(IF(VLOOKUP($B329,Показатели!$E:$W,10,FALSE)=0,"",VLOOKUP($B329,Показатели!$E:$W,10,FALSE)),"")</f>
        <v>247577000000</v>
      </c>
      <c r="N329">
        <f>IFERROR(IF(VLOOKUP($B329,Показатели!$E:$W,11,FALSE)=0,"",VLOOKUP($B329,Показатели!$E:$W,11,FALSE)),"")</f>
        <v>293870000000</v>
      </c>
      <c r="O329">
        <f>IFERROR(IF(VLOOKUP($B329,Показатели!$E:$W,12,FALSE)=0,"",VLOOKUP($B329,Показатели!$E:$W,12,FALSE)),"")</f>
        <v>127095000000</v>
      </c>
      <c r="P329">
        <f>IFERROR(IF(VLOOKUP($B329,Показатели!$E:$W,13,FALSE)=0,"",VLOOKUP($B329,Показатели!$E:$W,13,FALSE)),"")</f>
        <v>114612000000</v>
      </c>
      <c r="Q329">
        <f>IFERROR(IF(VLOOKUP($B329,Показатели!$E:$W,14,FALSE)=0,"",VLOOKUP($B329,Показатели!$E:$W,14,FALSE)),"")</f>
        <v>90404000000</v>
      </c>
      <c r="R329">
        <f>IFERROR(IF(VLOOKUP($B329,Показатели!$E:$W,15,FALSE)=0,"",VLOOKUP($B329,Показатели!$E:$W,15,FALSE)),"")</f>
        <v>21642000000</v>
      </c>
      <c r="S329">
        <f>IFERROR(IF(VLOOKUP($B329,Показатели!$E:$W,16,FALSE)=0,"",VLOOKUP($B329,Показатели!$E:$W,16,FALSE)),"")</f>
        <v>155972000000</v>
      </c>
      <c r="T329">
        <f>IFERROR(IF(VLOOKUP($B329,Показатели!$E:$W,17,FALSE)=0,"",VLOOKUP($B329,Показатели!$E:$W,17,FALSE)),"")</f>
        <v>-27816000000</v>
      </c>
      <c r="U329">
        <f>IFERROR(IF(VLOOKUP($B329,Показатели!$E:$W,18,FALSE)=0,"",VLOOKUP($B329,Показатели!$E:$W,18,FALSE)),"")</f>
        <v>269706000000</v>
      </c>
      <c r="V329">
        <f>IFERROR(IF(VLOOKUP($B329,Показатели!$E:$W,19,FALSE)=0,"",VLOOKUP($B329,Показатели!$E:$W,19,FALSE)),"")</f>
        <v>427781000000</v>
      </c>
    </row>
    <row r="330" spans="1:22" x14ac:dyDescent="0.2">
      <c r="A330" s="7" t="s">
        <v>2218</v>
      </c>
      <c r="B330" t="str">
        <f t="shared" si="5"/>
        <v>ALRS IV кв. 2017</v>
      </c>
      <c r="C330">
        <v>2017</v>
      </c>
      <c r="D330">
        <f>SUMIFS(Дивиденды!$C:$C,Дивиденды!$A:$A,A330,Дивиденды!$I:$I,C330)</f>
        <v>5.24</v>
      </c>
      <c r="E330">
        <f>IFERROR(IF(VLOOKUP($B330,Показатели!$E:$W,2,FALSE)=0,"",VLOOKUP($B330,Показатели!$E:$W,2,FALSE)),"")</f>
        <v>7381000000</v>
      </c>
      <c r="F330">
        <f>IFERROR(IF(VLOOKUP($B330,Показатели!$E:$W,3,FALSE)=0,"",VLOOKUP($B330,Показатели!$E:$W,3,FALSE)),"")</f>
        <v>168526000000</v>
      </c>
      <c r="G330">
        <f>IFERROR(IF(VLOOKUP($B330,Показатели!$E:$W,4,FALSE)=0,"",VLOOKUP($B330,Показатели!$E:$W,4,FALSE)),"")</f>
        <v>236589000000</v>
      </c>
      <c r="H330">
        <f>IFERROR(IF(VLOOKUP($B330,Показатели!$E:$W,5,FALSE)=0,"",VLOOKUP($B330,Показатели!$E:$W,5,FALSE)),"")</f>
        <v>1439000000</v>
      </c>
      <c r="I330">
        <f>IFERROR(IF(VLOOKUP($B330,Показатели!$E:$W,6,FALSE)=0,"",VLOOKUP($B330,Показатели!$E:$W,6,FALSE)),"")</f>
        <v>427781000000</v>
      </c>
      <c r="J330">
        <f>IFERROR(IF(VLOOKUP($B330,Показатели!$E:$W,7,FALSE)=0,"",VLOOKUP($B330,Показатели!$E:$W,7,FALSE)),"")</f>
        <v>75655000000</v>
      </c>
      <c r="K330">
        <f>IFERROR(IF(VLOOKUP($B330,Показатели!$E:$W,8,FALSE)=0,"",VLOOKUP($B330,Показатели!$E:$W,8,FALSE)),"")</f>
        <v>85639000000</v>
      </c>
      <c r="L330">
        <f>IFERROR(IF(VLOOKUP($B330,Показатели!$E:$W,9,FALSE)=0,"",VLOOKUP($B330,Показатели!$E:$W,9,FALSE)),"")</f>
        <v>243921000000</v>
      </c>
      <c r="M330">
        <f>IFERROR(IF(VLOOKUP($B330,Показатели!$E:$W,10,FALSE)=0,"",VLOOKUP($B330,Показатели!$E:$W,10,FALSE)),"")</f>
        <v>266487000000</v>
      </c>
      <c r="N330">
        <f>IFERROR(IF(VLOOKUP($B330,Показатели!$E:$W,11,FALSE)=0,"",VLOOKUP($B330,Показатели!$E:$W,11,FALSE)),"")</f>
        <v>269706000000</v>
      </c>
      <c r="O330">
        <f>IFERROR(IF(VLOOKUP($B330,Показатели!$E:$W,12,FALSE)=0,"",VLOOKUP($B330,Показатели!$E:$W,12,FALSE)),"")</f>
        <v>99083000000</v>
      </c>
      <c r="P330">
        <f>IFERROR(IF(VLOOKUP($B330,Показатели!$E:$W,13,FALSE)=0,"",VLOOKUP($B330,Показатели!$E:$W,13,FALSE)),"")</f>
        <v>100790000000</v>
      </c>
      <c r="Q330">
        <f>IFERROR(IF(VLOOKUP($B330,Показатели!$E:$W,14,FALSE)=0,"",VLOOKUP($B330,Показатели!$E:$W,14,FALSE)),"")</f>
        <v>78616000000</v>
      </c>
      <c r="R330">
        <f>IFERROR(IF(VLOOKUP($B330,Показатели!$E:$W,15,FALSE)=0,"",VLOOKUP($B330,Показатели!$E:$W,15,FALSE)),"")</f>
        <v>23962000000</v>
      </c>
      <c r="S330" t="str">
        <f>IFERROR(IF(VLOOKUP($B330,Показатели!$E:$W,16,FALSE)=0,"",VLOOKUP($B330,Показатели!$E:$W,16,FALSE)),"")</f>
        <v/>
      </c>
      <c r="T330">
        <f>IFERROR(IF(VLOOKUP($B330,Показатели!$E:$W,17,FALSE)=0,"",VLOOKUP($B330,Показатели!$E:$W,17,FALSE)),"")</f>
        <v>-26944000000</v>
      </c>
      <c r="U330">
        <f>IFERROR(IF(VLOOKUP($B330,Показатели!$E:$W,18,FALSE)=0,"",VLOOKUP($B330,Показатели!$E:$W,18,FALSE)),"")</f>
        <v>317090000000</v>
      </c>
      <c r="V330">
        <f>IFERROR(IF(VLOOKUP($B330,Показатели!$E:$W,19,FALSE)=0,"",VLOOKUP($B330,Показатели!$E:$W,19,FALSE)),"")</f>
        <v>472714000000</v>
      </c>
    </row>
    <row r="331" spans="1:22" x14ac:dyDescent="0.2">
      <c r="A331" s="7" t="s">
        <v>2218</v>
      </c>
      <c r="B331" t="str">
        <f t="shared" si="5"/>
        <v>ALRS IV кв. 2016</v>
      </c>
      <c r="C331">
        <v>2016</v>
      </c>
      <c r="D331">
        <f>SUMIFS(Дивиденды!$C:$C,Дивиденды!$A:$A,A331,Дивиденды!$I:$I,C331)</f>
        <v>8.93</v>
      </c>
      <c r="E331">
        <f>IFERROR(IF(VLOOKUP($B331,Показатели!$E:$W,2,FALSE)=0,"",VLOOKUP($B331,Показатели!$E:$W,2,FALSE)),"")</f>
        <v>30410000000</v>
      </c>
      <c r="F331">
        <f>IFERROR(IF(VLOOKUP($B331,Показатели!$E:$W,3,FALSE)=0,"",VLOOKUP($B331,Показатели!$E:$W,3,FALSE)),"")</f>
        <v>172856000000</v>
      </c>
      <c r="G331">
        <f>IFERROR(IF(VLOOKUP($B331,Показатели!$E:$W,4,FALSE)=0,"",VLOOKUP($B331,Показатели!$E:$W,4,FALSE)),"")</f>
        <v>288874000000</v>
      </c>
      <c r="H331" t="str">
        <f>IFERROR(IF(VLOOKUP($B331,Показатели!$E:$W,5,FALSE)=0,"",VLOOKUP($B331,Показатели!$E:$W,5,FALSE)),"")</f>
        <v/>
      </c>
      <c r="I331">
        <f>IFERROR(IF(VLOOKUP($B331,Показатели!$E:$W,6,FALSE)=0,"",VLOOKUP($B331,Показатели!$E:$W,6,FALSE)),"")</f>
        <v>472714000000</v>
      </c>
      <c r="J331">
        <f>IFERROR(IF(VLOOKUP($B331,Показатели!$E:$W,7,FALSE)=0,"",VLOOKUP($B331,Показатели!$E:$W,7,FALSE)),"")</f>
        <v>36412000000</v>
      </c>
      <c r="K331">
        <f>IFERROR(IF(VLOOKUP($B331,Показатели!$E:$W,8,FALSE)=0,"",VLOOKUP($B331,Показатели!$E:$W,8,FALSE)),"")</f>
        <v>179332000000</v>
      </c>
      <c r="L331">
        <f>IFERROR(IF(VLOOKUP($B331,Показатели!$E:$W,9,FALSE)=0,"",VLOOKUP($B331,Показатели!$E:$W,9,FALSE)),"")</f>
        <v>234298000000</v>
      </c>
      <c r="M331">
        <f>IFERROR(IF(VLOOKUP($B331,Показатели!$E:$W,10,FALSE)=0,"",VLOOKUP($B331,Показатели!$E:$W,10,FALSE)),"")</f>
        <v>256970000000</v>
      </c>
      <c r="N331">
        <f>IFERROR(IF(VLOOKUP($B331,Показатели!$E:$W,11,FALSE)=0,"",VLOOKUP($B331,Показатели!$E:$W,11,FALSE)),"")</f>
        <v>317090000000</v>
      </c>
      <c r="O331">
        <f>IFERROR(IF(VLOOKUP($B331,Показатели!$E:$W,12,FALSE)=0,"",VLOOKUP($B331,Показатели!$E:$W,12,FALSE)),"")</f>
        <v>142965000000</v>
      </c>
      <c r="P331">
        <f>IFERROR(IF(VLOOKUP($B331,Показатели!$E:$W,13,FALSE)=0,"",VLOOKUP($B331,Показатели!$E:$W,13,FALSE)),"")</f>
        <v>169739000000</v>
      </c>
      <c r="Q331">
        <f>IFERROR(IF(VLOOKUP($B331,Показатели!$E:$W,14,FALSE)=0,"",VLOOKUP($B331,Показатели!$E:$W,14,FALSE)),"")</f>
        <v>133471000000</v>
      </c>
      <c r="R331" t="str">
        <f>IFERROR(IF(VLOOKUP($B331,Показатели!$E:$W,15,FALSE)=0,"",VLOOKUP($B331,Показатели!$E:$W,15,FALSE)),"")</f>
        <v/>
      </c>
      <c r="S331">
        <f>IFERROR(IF(VLOOKUP($B331,Показатели!$E:$W,16,FALSE)=0,"",VLOOKUP($B331,Показатели!$E:$W,16,FALSE)),"")</f>
        <v>176418000000</v>
      </c>
      <c r="T331">
        <f>IFERROR(IF(VLOOKUP($B331,Показатели!$E:$W,17,FALSE)=0,"",VLOOKUP($B331,Показатели!$E:$W,17,FALSE)),"")</f>
        <v>31752000000</v>
      </c>
      <c r="U331">
        <f>IFERROR(IF(VLOOKUP($B331,Показатели!$E:$W,18,FALSE)=0,"",VLOOKUP($B331,Показатели!$E:$W,18,FALSE)),"")</f>
        <v>224524000000</v>
      </c>
      <c r="V331">
        <f>IFERROR(IF(VLOOKUP($B331,Показатели!$E:$W,19,FALSE)=0,"",VLOOKUP($B331,Показатели!$E:$W,19,FALSE)),"")</f>
        <v>435065000000</v>
      </c>
    </row>
    <row r="332" spans="1:22" x14ac:dyDescent="0.2">
      <c r="A332" s="7" t="s">
        <v>2218</v>
      </c>
      <c r="B332" t="str">
        <f t="shared" si="5"/>
        <v>ALRS IV кв. 2015</v>
      </c>
      <c r="C332">
        <v>2015</v>
      </c>
      <c r="D332">
        <f>SUMIFS(Дивиденды!$C:$C,Дивиденды!$A:$A,A332,Дивиденды!$I:$I,C332)</f>
        <v>2.09</v>
      </c>
      <c r="E332">
        <f>IFERROR(IF(VLOOKUP($B332,Показатели!$E:$W,2,FALSE)=0,"",VLOOKUP($B332,Показатели!$E:$W,2,FALSE)),"")</f>
        <v>20503000000</v>
      </c>
      <c r="F332">
        <f>IFERROR(IF(VLOOKUP($B332,Показатели!$E:$W,3,FALSE)=0,"",VLOOKUP($B332,Показатели!$E:$W,3,FALSE)),"")</f>
        <v>136689000000</v>
      </c>
      <c r="G332">
        <f>IFERROR(IF(VLOOKUP($B332,Показатели!$E:$W,4,FALSE)=0,"",VLOOKUP($B332,Показатели!$E:$W,4,FALSE)),"")</f>
        <v>283963000000</v>
      </c>
      <c r="H332" t="str">
        <f>IFERROR(IF(VLOOKUP($B332,Показатели!$E:$W,5,FALSE)=0,"",VLOOKUP($B332,Показатели!$E:$W,5,FALSE)),"")</f>
        <v/>
      </c>
      <c r="I332">
        <f>IFERROR(IF(VLOOKUP($B332,Показатели!$E:$W,6,FALSE)=0,"",VLOOKUP($B332,Показатели!$E:$W,6,FALSE)),"")</f>
        <v>435065000000</v>
      </c>
      <c r="J332">
        <f>IFERROR(IF(VLOOKUP($B332,Показатели!$E:$W,7,FALSE)=0,"",VLOOKUP($B332,Показатели!$E:$W,7,FALSE)),"")</f>
        <v>55750000000</v>
      </c>
      <c r="K332">
        <f>IFERROR(IF(VLOOKUP($B332,Показатели!$E:$W,8,FALSE)=0,"",VLOOKUP($B332,Показатели!$E:$W,8,FALSE)),"")</f>
        <v>227830000000</v>
      </c>
      <c r="L332">
        <f>IFERROR(IF(VLOOKUP($B332,Показатели!$E:$W,9,FALSE)=0,"",VLOOKUP($B332,Показатели!$E:$W,9,FALSE)),"")</f>
        <v>128853000000</v>
      </c>
      <c r="M332">
        <f>IFERROR(IF(VLOOKUP($B332,Показатели!$E:$W,10,FALSE)=0,"",VLOOKUP($B332,Показатели!$E:$W,10,FALSE)),"")</f>
        <v>151485000000</v>
      </c>
      <c r="N332">
        <f>IFERROR(IF(VLOOKUP($B332,Показатели!$E:$W,11,FALSE)=0,"",VLOOKUP($B332,Показатели!$E:$W,11,FALSE)),"")</f>
        <v>224524000000</v>
      </c>
      <c r="O332">
        <f>IFERROR(IF(VLOOKUP($B332,Показатели!$E:$W,12,FALSE)=0,"",VLOOKUP($B332,Показатели!$E:$W,12,FALSE)),"")</f>
        <v>97169000000</v>
      </c>
      <c r="P332">
        <f>IFERROR(IF(VLOOKUP($B332,Показатели!$E:$W,13,FALSE)=0,"",VLOOKUP($B332,Показатели!$E:$W,13,FALSE)),"")</f>
        <v>41316000000</v>
      </c>
      <c r="Q332">
        <f>IFERROR(IF(VLOOKUP($B332,Показатели!$E:$W,14,FALSE)=0,"",VLOOKUP($B332,Показатели!$E:$W,14,FALSE)),"")</f>
        <v>32192000000</v>
      </c>
      <c r="R332" t="str">
        <f>IFERROR(IF(VLOOKUP($B332,Показатели!$E:$W,15,FALSE)=0,"",VLOOKUP($B332,Показатели!$E:$W,15,FALSE)),"")</f>
        <v/>
      </c>
      <c r="S332">
        <f>IFERROR(IF(VLOOKUP($B332,Показатели!$E:$W,16,FALSE)=0,"",VLOOKUP($B332,Показатели!$E:$W,16,FALSE)),"")</f>
        <v>118500000000</v>
      </c>
      <c r="T332">
        <f>IFERROR(IF(VLOOKUP($B332,Показатели!$E:$W,17,FALSE)=0,"",VLOOKUP($B332,Показатели!$E:$W,17,FALSE)),"")</f>
        <v>34241000000</v>
      </c>
      <c r="U332">
        <f>IFERROR(IF(VLOOKUP($B332,Показатели!$E:$W,18,FALSE)=0,"",VLOOKUP($B332,Показатели!$E:$W,18,FALSE)),"")</f>
        <v>207159000000</v>
      </c>
      <c r="V332">
        <f>IFERROR(IF(VLOOKUP($B332,Показатели!$E:$W,19,FALSE)=0,"",VLOOKUP($B332,Показатели!$E:$W,19,FALSE)),"")</f>
        <v>388249000000</v>
      </c>
    </row>
    <row r="333" spans="1:22" x14ac:dyDescent="0.2">
      <c r="A333" s="7" t="s">
        <v>2218</v>
      </c>
      <c r="B333" t="str">
        <f t="shared" si="5"/>
        <v>ALRS IV кв. 2014</v>
      </c>
      <c r="C333">
        <v>2014</v>
      </c>
      <c r="D333">
        <f>SUMIFS(Дивиденды!$C:$C,Дивиденды!$A:$A,A333,Дивиденды!$I:$I,C333)</f>
        <v>1.47</v>
      </c>
      <c r="E333">
        <f>IFERROR(IF(VLOOKUP($B333,Показатели!$E:$W,2,FALSE)=0,"",VLOOKUP($B333,Показатели!$E:$W,2,FALSE)),"")</f>
        <v>21693000000</v>
      </c>
      <c r="F333">
        <f>IFERROR(IF(VLOOKUP($B333,Показатели!$E:$W,3,FALSE)=0,"",VLOOKUP($B333,Показатели!$E:$W,3,FALSE)),"")</f>
        <v>104093000000</v>
      </c>
      <c r="G333">
        <f>IFERROR(IF(VLOOKUP($B333,Показатели!$E:$W,4,FALSE)=0,"",VLOOKUP($B333,Показатели!$E:$W,4,FALSE)),"")</f>
        <v>271618000000</v>
      </c>
      <c r="H333" t="str">
        <f>IFERROR(IF(VLOOKUP($B333,Показатели!$E:$W,5,FALSE)=0,"",VLOOKUP($B333,Показатели!$E:$W,5,FALSE)),"")</f>
        <v/>
      </c>
      <c r="I333">
        <f>IFERROR(IF(VLOOKUP($B333,Показатели!$E:$W,6,FALSE)=0,"",VLOOKUP($B333,Показатели!$E:$W,6,FALSE)),"")</f>
        <v>388249000000</v>
      </c>
      <c r="J333">
        <f>IFERROR(IF(VLOOKUP($B333,Показатели!$E:$W,7,FALSE)=0,"",VLOOKUP($B333,Показатели!$E:$W,7,FALSE)),"")</f>
        <v>53276000000</v>
      </c>
      <c r="K333">
        <f>IFERROR(IF(VLOOKUP($B333,Показатели!$E:$W,8,FALSE)=0,"",VLOOKUP($B333,Показатели!$E:$W,8,FALSE)),"")</f>
        <v>197799000000</v>
      </c>
      <c r="L333">
        <f>IFERROR(IF(VLOOKUP($B333,Показатели!$E:$W,9,FALSE)=0,"",VLOOKUP($B333,Показатели!$E:$W,9,FALSE)),"")</f>
        <v>114147000000</v>
      </c>
      <c r="M333">
        <f>IFERROR(IF(VLOOKUP($B333,Показатели!$E:$W,10,FALSE)=0,"",VLOOKUP($B333,Показатели!$E:$W,10,FALSE)),"")</f>
        <v>137174000000</v>
      </c>
      <c r="N333">
        <f>IFERROR(IF(VLOOKUP($B333,Показатели!$E:$W,11,FALSE)=0,"",VLOOKUP($B333,Показатели!$E:$W,11,FALSE)),"")</f>
        <v>207159000000</v>
      </c>
      <c r="O333">
        <f>IFERROR(IF(VLOOKUP($B333,Показатели!$E:$W,12,FALSE)=0,"",VLOOKUP($B333,Показатели!$E:$W,12,FALSE)),"")</f>
        <v>74376000000</v>
      </c>
      <c r="P333">
        <f>IFERROR(IF(VLOOKUP($B333,Показатели!$E:$W,13,FALSE)=0,"",VLOOKUP($B333,Показатели!$E:$W,13,FALSE)),"")</f>
        <v>-7797000000</v>
      </c>
      <c r="Q333">
        <f>IFERROR(IF(VLOOKUP($B333,Показатели!$E:$W,14,FALSE)=0,"",VLOOKUP($B333,Показатели!$E:$W,14,FALSE)),"")</f>
        <v>-16832000000</v>
      </c>
      <c r="R333" t="str">
        <f>IFERROR(IF(VLOOKUP($B333,Показатели!$E:$W,15,FALSE)=0,"",VLOOKUP($B333,Показатели!$E:$W,15,FALSE)),"")</f>
        <v/>
      </c>
      <c r="S333">
        <f>IFERROR(IF(VLOOKUP($B333,Показатели!$E:$W,16,FALSE)=0,"",VLOOKUP($B333,Показатели!$E:$W,16,FALSE)),"")</f>
        <v>93900000000</v>
      </c>
      <c r="T333">
        <f>IFERROR(IF(VLOOKUP($B333,Показатели!$E:$W,17,FALSE)=0,"",VLOOKUP($B333,Показатели!$E:$W,17,FALSE)),"")</f>
        <v>36056000000</v>
      </c>
      <c r="U333">
        <f>IFERROR(IF(VLOOKUP($B333,Показатели!$E:$W,18,FALSE)=0,"",VLOOKUP($B333,Показатели!$E:$W,18,FALSE)),"")</f>
        <v>168505000000</v>
      </c>
      <c r="V333">
        <f>IFERROR(IF(VLOOKUP($B333,Показатели!$E:$W,19,FALSE)=0,"",VLOOKUP($B333,Показатели!$E:$W,19,FALSE)),"")</f>
        <v>354871000000</v>
      </c>
    </row>
    <row r="334" spans="1:22" x14ac:dyDescent="0.2">
      <c r="A334" s="7" t="s">
        <v>2218</v>
      </c>
      <c r="B334" t="str">
        <f t="shared" si="5"/>
        <v>ALRS IV кв. 2013</v>
      </c>
      <c r="C334">
        <v>2013</v>
      </c>
      <c r="D334">
        <f>SUMIFS(Дивиденды!$C:$C,Дивиденды!$A:$A,A334,Дивиденды!$I:$I,C334)</f>
        <v>1.47</v>
      </c>
      <c r="E334">
        <f>IFERROR(IF(VLOOKUP($B334,Показатели!$E:$W,2,FALSE)=0,"",VLOOKUP($B334,Показатели!$E:$W,2,FALSE)),"")</f>
        <v>9270000000</v>
      </c>
      <c r="F334">
        <f>IFERROR(IF(VLOOKUP($B334,Показатели!$E:$W,3,FALSE)=0,"",VLOOKUP($B334,Показатели!$E:$W,3,FALSE)),"")</f>
        <v>129669000000</v>
      </c>
      <c r="G334">
        <f>IFERROR(IF(VLOOKUP($B334,Показатели!$E:$W,4,FALSE)=0,"",VLOOKUP($B334,Показатели!$E:$W,4,FALSE)),"")</f>
        <v>215277000000</v>
      </c>
      <c r="H334" t="str">
        <f>IFERROR(IF(VLOOKUP($B334,Показатели!$E:$W,5,FALSE)=0,"",VLOOKUP($B334,Показатели!$E:$W,5,FALSE)),"")</f>
        <v/>
      </c>
      <c r="I334">
        <f>IFERROR(IF(VLOOKUP($B334,Показатели!$E:$W,6,FALSE)=0,"",VLOOKUP($B334,Показатели!$E:$W,6,FALSE)),"")</f>
        <v>354871000000</v>
      </c>
      <c r="J334">
        <f>IFERROR(IF(VLOOKUP($B334,Показатели!$E:$W,7,FALSE)=0,"",VLOOKUP($B334,Показатели!$E:$W,7,FALSE)),"")</f>
        <v>93707000000</v>
      </c>
      <c r="K334">
        <f>IFERROR(IF(VLOOKUP($B334,Показатели!$E:$W,8,FALSE)=0,"",VLOOKUP($B334,Показатели!$E:$W,8,FALSE)),"")</f>
        <v>101703000000</v>
      </c>
      <c r="L334" t="str">
        <f>IFERROR(IF(VLOOKUP($B334,Показатели!$E:$W,9,FALSE)=0,"",VLOOKUP($B334,Показатели!$E:$W,9,FALSE)),"")</f>
        <v/>
      </c>
      <c r="M334">
        <f>IFERROR(IF(VLOOKUP($B334,Показатели!$E:$W,10,FALSE)=0,"",VLOOKUP($B334,Показатели!$E:$W,10,FALSE)),"")</f>
        <v>159461000000</v>
      </c>
      <c r="N334">
        <f>IFERROR(IF(VLOOKUP($B334,Показатели!$E:$W,11,FALSE)=0,"",VLOOKUP($B334,Показатели!$E:$W,11,FALSE)),"")</f>
        <v>168505000000</v>
      </c>
      <c r="O334">
        <f>IFERROR(IF(VLOOKUP($B334,Показатели!$E:$W,12,FALSE)=0,"",VLOOKUP($B334,Показатели!$E:$W,12,FALSE)),"")</f>
        <v>56871000000</v>
      </c>
      <c r="P334">
        <f>IFERROR(IF(VLOOKUP($B334,Показатели!$E:$W,13,FALSE)=0,"",VLOOKUP($B334,Показатели!$E:$W,13,FALSE)),"")</f>
        <v>41501000000</v>
      </c>
      <c r="Q334">
        <f>IFERROR(IF(VLOOKUP($B334,Показатели!$E:$W,14,FALSE)=0,"",VLOOKUP($B334,Показатели!$E:$W,14,FALSE)),"")</f>
        <v>31837000000</v>
      </c>
      <c r="R334" t="str">
        <f>IFERROR(IF(VLOOKUP($B334,Показатели!$E:$W,15,FALSE)=0,"",VLOOKUP($B334,Показатели!$E:$W,15,FALSE)),"")</f>
        <v/>
      </c>
      <c r="S334">
        <f>IFERROR(IF(VLOOKUP($B334,Показатели!$E:$W,16,FALSE)=0,"",VLOOKUP($B334,Показатели!$E:$W,16,FALSE)),"")</f>
        <v>69100000000</v>
      </c>
      <c r="T334" t="str">
        <f>IFERROR(IF(VLOOKUP($B334,Показатели!$E:$W,17,FALSE)=0,"",VLOOKUP($B334,Показатели!$E:$W,17,FALSE)),"")</f>
        <v/>
      </c>
      <c r="U334">
        <f>IFERROR(IF(VLOOKUP($B334,Показатели!$E:$W,18,FALSE)=0,"",VLOOKUP($B334,Показатели!$E:$W,18,FALSE)),"")</f>
        <v>150880000000</v>
      </c>
      <c r="V334">
        <f>IFERROR(IF(VLOOKUP($B334,Показатели!$E:$W,19,FALSE)=0,"",VLOOKUP($B334,Показатели!$E:$W,19,FALSE)),"")</f>
        <v>304709000000</v>
      </c>
    </row>
    <row r="335" spans="1:22" x14ac:dyDescent="0.2">
      <c r="A335" s="7" t="s">
        <v>2218</v>
      </c>
      <c r="B335" t="str">
        <f t="shared" si="5"/>
        <v>ALRS IV кв. 2012</v>
      </c>
      <c r="C335">
        <v>2012</v>
      </c>
      <c r="D335">
        <f>SUMIFS(Дивиденды!$C:$C,Дивиденды!$A:$A,A335,Дивиденды!$I:$I,C335)</f>
        <v>1.1100000000000001</v>
      </c>
      <c r="E335">
        <f>IFERROR(IF(VLOOKUP($B335,Показатели!$E:$W,2,FALSE)=0,"",VLOOKUP($B335,Показатели!$E:$W,2,FALSE)),"")</f>
        <v>6242000000</v>
      </c>
      <c r="F335">
        <f>IFERROR(IF(VLOOKUP($B335,Показатели!$E:$W,3,FALSE)=0,"",VLOOKUP($B335,Показатели!$E:$W,3,FALSE)),"")</f>
        <v>73691000000</v>
      </c>
      <c r="G335">
        <f>IFERROR(IF(VLOOKUP($B335,Показатели!$E:$W,4,FALSE)=0,"",VLOOKUP($B335,Показатели!$E:$W,4,FALSE)),"")</f>
        <v>224746000000</v>
      </c>
      <c r="H335" t="str">
        <f>IFERROR(IF(VLOOKUP($B335,Показатели!$E:$W,5,FALSE)=0,"",VLOOKUP($B335,Показатели!$E:$W,5,FALSE)),"")</f>
        <v/>
      </c>
      <c r="I335">
        <f>IFERROR(IF(VLOOKUP($B335,Показатели!$E:$W,6,FALSE)=0,"",VLOOKUP($B335,Показатели!$E:$W,6,FALSE)),"")</f>
        <v>304709000000</v>
      </c>
      <c r="J335">
        <f>IFERROR(IF(VLOOKUP($B335,Показатели!$E:$W,7,FALSE)=0,"",VLOOKUP($B335,Показатели!$E:$W,7,FALSE)),"")</f>
        <v>57230000000</v>
      </c>
      <c r="K335">
        <f>IFERROR(IF(VLOOKUP($B335,Показатели!$E:$W,8,FALSE)=0,"",VLOOKUP($B335,Показатели!$E:$W,8,FALSE)),"")</f>
        <v>109630000000</v>
      </c>
      <c r="L335" t="str">
        <f>IFERROR(IF(VLOOKUP($B335,Показатели!$E:$W,9,FALSE)=0,"",VLOOKUP($B335,Показатели!$E:$W,9,FALSE)),"")</f>
        <v/>
      </c>
      <c r="M335">
        <f>IFERROR(IF(VLOOKUP($B335,Показатели!$E:$W,10,FALSE)=0,"",VLOOKUP($B335,Показатели!$E:$W,10,FALSE)),"")</f>
        <v>137849000000</v>
      </c>
      <c r="N335">
        <f>IFERROR(IF(VLOOKUP($B335,Показатели!$E:$W,11,FALSE)=0,"",VLOOKUP($B335,Показатели!$E:$W,11,FALSE)),"")</f>
        <v>150880000000</v>
      </c>
      <c r="O335">
        <f>IFERROR(IF(VLOOKUP($B335,Показатели!$E:$W,12,FALSE)=0,"",VLOOKUP($B335,Показатели!$E:$W,12,FALSE)),"")</f>
        <v>49039000000</v>
      </c>
      <c r="P335">
        <f>IFERROR(IF(VLOOKUP($B335,Показатели!$E:$W,13,FALSE)=0,"",VLOOKUP($B335,Показатели!$E:$W,13,FALSE)),"")</f>
        <v>44151000000</v>
      </c>
      <c r="Q335">
        <f>IFERROR(IF(VLOOKUP($B335,Показатели!$E:$W,14,FALSE)=0,"",VLOOKUP($B335,Показатели!$E:$W,14,FALSE)),"")</f>
        <v>33634000000</v>
      </c>
      <c r="R335" t="str">
        <f>IFERROR(IF(VLOOKUP($B335,Показатели!$E:$W,15,FALSE)=0,"",VLOOKUP($B335,Показатели!$E:$W,15,FALSE)),"")</f>
        <v/>
      </c>
      <c r="S335">
        <f>IFERROR(IF(VLOOKUP($B335,Показатели!$E:$W,16,FALSE)=0,"",VLOOKUP($B335,Показатели!$E:$W,16,FALSE)),"")</f>
        <v>61950000000</v>
      </c>
      <c r="T335" t="str">
        <f>IFERROR(IF(VLOOKUP($B335,Показатели!$E:$W,17,FALSE)=0,"",VLOOKUP($B335,Показатели!$E:$W,17,FALSE)),"")</f>
        <v/>
      </c>
      <c r="U335">
        <f>IFERROR(IF(VLOOKUP($B335,Показатели!$E:$W,18,FALSE)=0,"",VLOOKUP($B335,Показатели!$E:$W,18,FALSE)),"")</f>
        <v>137732000000</v>
      </c>
      <c r="V335">
        <f>IFERROR(IF(VLOOKUP($B335,Показатели!$E:$W,19,FALSE)=0,"",VLOOKUP($B335,Показатели!$E:$W,19,FALSE)),"")</f>
        <v>240964000000</v>
      </c>
    </row>
    <row r="336" spans="1:22" x14ac:dyDescent="0.2">
      <c r="A336" s="7" t="s">
        <v>2218</v>
      </c>
      <c r="B336" t="str">
        <f t="shared" si="5"/>
        <v>ALRS IV кв. 2011</v>
      </c>
      <c r="C336">
        <v>2011</v>
      </c>
      <c r="D336">
        <f>SUMIFS(Дивиденды!$C:$C,Дивиденды!$A:$A,A336,Дивиденды!$I:$I,C336)</f>
        <v>1.01</v>
      </c>
      <c r="E336">
        <f>IFERROR(IF(VLOOKUP($B336,Показатели!$E:$W,2,FALSE)=0,"",VLOOKUP($B336,Показатели!$E:$W,2,FALSE)),"")</f>
        <v>12014000000</v>
      </c>
      <c r="F336">
        <f>IFERROR(IF(VLOOKUP($B336,Показатели!$E:$W,3,FALSE)=0,"",VLOOKUP($B336,Показатели!$E:$W,3,FALSE)),"")</f>
        <v>65414000000</v>
      </c>
      <c r="G336">
        <f>IFERROR(IF(VLOOKUP($B336,Показатели!$E:$W,4,FALSE)=0,"",VLOOKUP($B336,Показатели!$E:$W,4,FALSE)),"")</f>
        <v>169534000000</v>
      </c>
      <c r="H336" t="str">
        <f>IFERROR(IF(VLOOKUP($B336,Показатели!$E:$W,5,FALSE)=0,"",VLOOKUP($B336,Показатели!$E:$W,5,FALSE)),"")</f>
        <v/>
      </c>
      <c r="I336">
        <f>IFERROR(IF(VLOOKUP($B336,Показатели!$E:$W,6,FALSE)=0,"",VLOOKUP($B336,Показатели!$E:$W,6,FALSE)),"")</f>
        <v>240964000000</v>
      </c>
      <c r="J336">
        <f>IFERROR(IF(VLOOKUP($B336,Показатели!$E:$W,7,FALSE)=0,"",VLOOKUP($B336,Показатели!$E:$W,7,FALSE)),"")</f>
        <v>43310000000</v>
      </c>
      <c r="K336">
        <f>IFERROR(IF(VLOOKUP($B336,Показатели!$E:$W,8,FALSE)=0,"",VLOOKUP($B336,Показатели!$E:$W,8,FALSE)),"")</f>
        <v>84557000000</v>
      </c>
      <c r="L336" t="str">
        <f>IFERROR(IF(VLOOKUP($B336,Показатели!$E:$W,9,FALSE)=0,"",VLOOKUP($B336,Показатели!$E:$W,9,FALSE)),"")</f>
        <v/>
      </c>
      <c r="M336">
        <f>IFERROR(IF(VLOOKUP($B336,Показатели!$E:$W,10,FALSE)=0,"",VLOOKUP($B336,Показатели!$E:$W,10,FALSE)),"")</f>
        <v>113097000000</v>
      </c>
      <c r="N336">
        <f>IFERROR(IF(VLOOKUP($B336,Показатели!$E:$W,11,FALSE)=0,"",VLOOKUP($B336,Показатели!$E:$W,11,FALSE)),"")</f>
        <v>137732000000</v>
      </c>
      <c r="O336">
        <f>IFERROR(IF(VLOOKUP($B336,Показатели!$E:$W,12,FALSE)=0,"",VLOOKUP($B336,Показатели!$E:$W,12,FALSE)),"")</f>
        <v>47263000000</v>
      </c>
      <c r="P336">
        <f>IFERROR(IF(VLOOKUP($B336,Показатели!$E:$W,13,FALSE)=0,"",VLOOKUP($B336,Показатели!$E:$W,13,FALSE)),"")</f>
        <v>38313000000</v>
      </c>
      <c r="Q336">
        <f>IFERROR(IF(VLOOKUP($B336,Показатели!$E:$W,14,FALSE)=0,"",VLOOKUP($B336,Показатели!$E:$W,14,FALSE)),"")</f>
        <v>26658000000</v>
      </c>
      <c r="R336" t="str">
        <f>IFERROR(IF(VLOOKUP($B336,Показатели!$E:$W,15,FALSE)=0,"",VLOOKUP($B336,Показатели!$E:$W,15,FALSE)),"")</f>
        <v/>
      </c>
      <c r="S336">
        <f>IFERROR(IF(VLOOKUP($B336,Показатели!$E:$W,16,FALSE)=0,"",VLOOKUP($B336,Показатели!$E:$W,16,FALSE)),"")</f>
        <v>65217000000</v>
      </c>
      <c r="T336" t="str">
        <f>IFERROR(IF(VLOOKUP($B336,Показатели!$E:$W,17,FALSE)=0,"",VLOOKUP($B336,Показатели!$E:$W,17,FALSE)),"")</f>
        <v/>
      </c>
      <c r="U336">
        <f>IFERROR(IF(VLOOKUP($B336,Показатели!$E:$W,18,FALSE)=0,"",VLOOKUP($B336,Показатели!$E:$W,18,FALSE)),"")</f>
        <v>113394000000</v>
      </c>
      <c r="V336">
        <f>IFERROR(IF(VLOOKUP($B336,Показатели!$E:$W,19,FALSE)=0,"",VLOOKUP($B336,Показатели!$E:$W,19,FALSE)),"")</f>
        <v>222427000000</v>
      </c>
    </row>
    <row r="337" spans="1:22" x14ac:dyDescent="0.2">
      <c r="A337" s="7" t="s">
        <v>2218</v>
      </c>
      <c r="B337" t="str">
        <f t="shared" si="5"/>
        <v>ALRS IV кв. 2010</v>
      </c>
      <c r="C337">
        <v>2010</v>
      </c>
      <c r="D337">
        <f>SUMIFS(Дивиденды!$C:$C,Дивиденды!$A:$A,A337,Дивиденды!$I:$I,C337)</f>
        <v>0.25</v>
      </c>
      <c r="E337">
        <f>IFERROR(IF(VLOOKUP($B337,Показатели!$E:$W,2,FALSE)=0,"",VLOOKUP($B337,Показатели!$E:$W,2,FALSE)),"")</f>
        <v>4136000000</v>
      </c>
      <c r="F337">
        <f>IFERROR(IF(VLOOKUP($B337,Показатели!$E:$W,3,FALSE)=0,"",VLOOKUP($B337,Показатели!$E:$W,3,FALSE)),"")</f>
        <v>49105000000</v>
      </c>
      <c r="G337">
        <f>IFERROR(IF(VLOOKUP($B337,Показатели!$E:$W,4,FALSE)=0,"",VLOOKUP($B337,Показатели!$E:$W,4,FALSE)),"")</f>
        <v>168020000000</v>
      </c>
      <c r="H337" t="str">
        <f>IFERROR(IF(VLOOKUP($B337,Показатели!$E:$W,5,FALSE)=0,"",VLOOKUP($B337,Показатели!$E:$W,5,FALSE)),"")</f>
        <v/>
      </c>
      <c r="I337">
        <f>IFERROR(IF(VLOOKUP($B337,Показатели!$E:$W,6,FALSE)=0,"",VLOOKUP($B337,Показатели!$E:$W,6,FALSE)),"")</f>
        <v>222427000000</v>
      </c>
      <c r="J337">
        <f>IFERROR(IF(VLOOKUP($B337,Показатели!$E:$W,7,FALSE)=0,"",VLOOKUP($B337,Показатели!$E:$W,7,FALSE)),"")</f>
        <v>30882000000</v>
      </c>
      <c r="K337">
        <f>IFERROR(IF(VLOOKUP($B337,Показатели!$E:$W,8,FALSE)=0,"",VLOOKUP($B337,Показатели!$E:$W,8,FALSE)),"")</f>
        <v>98935000000</v>
      </c>
      <c r="L337" t="str">
        <f>IFERROR(IF(VLOOKUP($B337,Показатели!$E:$W,9,FALSE)=0,"",VLOOKUP($B337,Показатели!$E:$W,9,FALSE)),"")</f>
        <v/>
      </c>
      <c r="M337">
        <f>IFERROR(IF(VLOOKUP($B337,Показатели!$E:$W,10,FALSE)=0,"",VLOOKUP($B337,Показатели!$E:$W,10,FALSE)),"")</f>
        <v>92610000000</v>
      </c>
      <c r="N337">
        <f>IFERROR(IF(VLOOKUP($B337,Показатели!$E:$W,11,FALSE)=0,"",VLOOKUP($B337,Показатели!$E:$W,11,FALSE)),"")</f>
        <v>113394000000</v>
      </c>
      <c r="O337">
        <f>IFERROR(IF(VLOOKUP($B337,Показатели!$E:$W,12,FALSE)=0,"",VLOOKUP($B337,Показатели!$E:$W,12,FALSE)),"")</f>
        <v>27138000000</v>
      </c>
      <c r="P337">
        <f>IFERROR(IF(VLOOKUP($B337,Показатели!$E:$W,13,FALSE)=0,"",VLOOKUP($B337,Показатели!$E:$W,13,FALSE)),"")</f>
        <v>15976000000</v>
      </c>
      <c r="Q337">
        <f>IFERROR(IF(VLOOKUP($B337,Показатели!$E:$W,14,FALSE)=0,"",VLOOKUP($B337,Показатели!$E:$W,14,FALSE)),"")</f>
        <v>11788000000</v>
      </c>
      <c r="R337" t="str">
        <f>IFERROR(IF(VLOOKUP($B337,Показатели!$E:$W,15,FALSE)=0,"",VLOOKUP($B337,Показатели!$E:$W,15,FALSE)),"")</f>
        <v/>
      </c>
      <c r="S337">
        <f>IFERROR(IF(VLOOKUP($B337,Показатели!$E:$W,16,FALSE)=0,"",VLOOKUP($B337,Показатели!$E:$W,16,FALSE)),"")</f>
        <v>34814000000</v>
      </c>
      <c r="T337" t="str">
        <f>IFERROR(IF(VLOOKUP($B337,Показатели!$E:$W,17,FALSE)=0,"",VLOOKUP($B337,Показатели!$E:$W,17,FALSE)),"")</f>
        <v/>
      </c>
      <c r="U337" t="str">
        <f>IFERROR(IF(VLOOKUP($B337,Показатели!$E:$W,18,FALSE)=0,"",VLOOKUP($B337,Показатели!$E:$W,18,FALSE)),"")</f>
        <v/>
      </c>
      <c r="V337" t="str">
        <f>IFERROR(IF(VLOOKUP($B337,Показатели!$E:$W,19,FALSE)=0,"",VLOOKUP($B337,Показатели!$E:$W,19,FALSE)),"")</f>
        <v/>
      </c>
    </row>
    <row r="338" spans="1:22" x14ac:dyDescent="0.2">
      <c r="A338" s="7" t="s">
        <v>2221</v>
      </c>
      <c r="B338" t="str">
        <f t="shared" si="5"/>
        <v>CHMF IV кв. 2025</v>
      </c>
      <c r="C338">
        <v>2025</v>
      </c>
      <c r="D338">
        <f>SUMIFS(Дивиденды!$C:$C,Дивиденды!$A:$A,A338,Дивиденды!$I:$I,C338)</f>
        <v>0</v>
      </c>
      <c r="E338">
        <f>IFERROR(IF(VLOOKUP($B338,Показатели!$E:$W,2,FALSE)=0,"",VLOOKUP($B338,Показатели!$E:$W,2,FALSE)),"")</f>
        <v>38394000000</v>
      </c>
      <c r="F338">
        <f>IFERROR(IF(VLOOKUP($B338,Показатели!$E:$W,3,FALSE)=0,"",VLOOKUP($B338,Показатели!$E:$W,3,FALSE)),"")</f>
        <v>231835000000</v>
      </c>
      <c r="G338">
        <f>IFERROR(IF(VLOOKUP($B338,Показатели!$E:$W,4,FALSE)=0,"",VLOOKUP($B338,Показатели!$E:$W,4,FALSE)),"")</f>
        <v>575725000000</v>
      </c>
      <c r="H338">
        <f>IFERROR(IF(VLOOKUP($B338,Показатели!$E:$W,5,FALSE)=0,"",VLOOKUP($B338,Показатели!$E:$W,5,FALSE)),"")</f>
        <v>26037000000</v>
      </c>
      <c r="I338">
        <f>IFERROR(IF(VLOOKUP($B338,Показатели!$E:$W,6,FALSE)=0,"",VLOOKUP($B338,Показатели!$E:$W,6,FALSE)),"")</f>
        <v>853226000000</v>
      </c>
      <c r="J338">
        <f>IFERROR(IF(VLOOKUP($B338,Показатели!$E:$W,7,FALSE)=0,"",VLOOKUP($B338,Показатели!$E:$W,7,FALSE)),"")</f>
        <v>242429000000</v>
      </c>
      <c r="K338">
        <f>IFERROR(IF(VLOOKUP($B338,Показатели!$E:$W,8,FALSE)=0,"",VLOOKUP($B338,Показатели!$E:$W,8,FALSE)),"")</f>
        <v>82490000000</v>
      </c>
      <c r="L338">
        <f>IFERROR(IF(VLOOKUP($B338,Показатели!$E:$W,9,FALSE)=0,"",VLOOKUP($B338,Показатели!$E:$W,9,FALSE)),"")</f>
        <v>440505000000</v>
      </c>
      <c r="M338">
        <f>IFERROR(IF(VLOOKUP($B338,Показатели!$E:$W,10,FALSE)=0,"",VLOOKUP($B338,Показатели!$E:$W,10,FALSE)),"")</f>
        <v>528307000000</v>
      </c>
      <c r="N338">
        <f>IFERROR(IF(VLOOKUP($B338,Показатели!$E:$W,11,FALSE)=0,"",VLOOKUP($B338,Показатели!$E:$W,11,FALSE)),"")</f>
        <v>712896000000</v>
      </c>
      <c r="O338">
        <f>IFERROR(IF(VLOOKUP($B338,Показатели!$E:$W,12,FALSE)=0,"",VLOOKUP($B338,Показатели!$E:$W,12,FALSE)),"")</f>
        <v>90230000000</v>
      </c>
      <c r="P338">
        <f>IFERROR(IF(VLOOKUP($B338,Показатели!$E:$W,13,FALSE)=0,"",VLOOKUP($B338,Показатели!$E:$W,13,FALSE)),"")</f>
        <v>37344000000</v>
      </c>
      <c r="Q338">
        <f>IFERROR(IF(VLOOKUP($B338,Показатели!$E:$W,14,FALSE)=0,"",VLOOKUP($B338,Показатели!$E:$W,14,FALSE)),"")</f>
        <v>31991000000</v>
      </c>
      <c r="R338">
        <f>IFERROR(IF(VLOOKUP($B338,Показатели!$E:$W,15,FALSE)=0,"",VLOOKUP($B338,Показатели!$E:$W,15,FALSE)),"")</f>
        <v>44338000000</v>
      </c>
      <c r="S338">
        <f>IFERROR(IF(VLOOKUP($B338,Показатели!$E:$W,16,FALSE)=0,"",VLOOKUP($B338,Показатели!$E:$W,16,FALSE)),"")</f>
        <v>137612000000</v>
      </c>
      <c r="T338">
        <f>IFERROR(IF(VLOOKUP($B338,Показатели!$E:$W,17,FALSE)=0,"",VLOOKUP($B338,Показатели!$E:$W,17,FALSE)),"")</f>
        <v>-173489000000</v>
      </c>
      <c r="U338">
        <f>IFERROR(IF(VLOOKUP($B338,Показатели!$E:$W,18,FALSE)=0,"",VLOOKUP($B338,Показатели!$E:$W,18,FALSE)),"")</f>
        <v>829779000000</v>
      </c>
      <c r="V338">
        <f>IFERROR(IF(VLOOKUP($B338,Показатели!$E:$W,19,FALSE)=0,"",VLOOKUP($B338,Показатели!$E:$W,19,FALSE)),"")</f>
        <v>861780000000</v>
      </c>
    </row>
    <row r="339" spans="1:22" x14ac:dyDescent="0.2">
      <c r="A339" s="7" t="s">
        <v>2221</v>
      </c>
      <c r="B339" t="str">
        <f t="shared" si="5"/>
        <v>CHMF IV кв. 2024</v>
      </c>
      <c r="C339">
        <v>2024</v>
      </c>
      <c r="D339">
        <f>SUMIFS(Дивиденды!$C:$C,Дивиденды!$A:$A,A339,Дивиденды!$I:$I,C339)</f>
        <v>118.42</v>
      </c>
      <c r="E339">
        <f>IFERROR(IF(VLOOKUP($B339,Показатели!$E:$W,2,FALSE)=0,"",VLOOKUP($B339,Показатели!$E:$W,2,FALSE)),"")</f>
        <v>128571000000</v>
      </c>
      <c r="F339">
        <f>IFERROR(IF(VLOOKUP($B339,Показатели!$E:$W,3,FALSE)=0,"",VLOOKUP($B339,Показатели!$E:$W,3,FALSE)),"")</f>
        <v>354085000000</v>
      </c>
      <c r="G339">
        <f>IFERROR(IF(VLOOKUP($B339,Показатели!$E:$W,4,FALSE)=0,"",VLOOKUP($B339,Показатели!$E:$W,4,FALSE)),"")</f>
        <v>468286000000</v>
      </c>
      <c r="H339">
        <f>IFERROR(IF(VLOOKUP($B339,Показатели!$E:$W,5,FALSE)=0,"",VLOOKUP($B339,Показатели!$E:$W,5,FALSE)),"")</f>
        <v>23745000000</v>
      </c>
      <c r="I339">
        <f>IFERROR(IF(VLOOKUP($B339,Показатели!$E:$W,6,FALSE)=0,"",VLOOKUP($B339,Показатели!$E:$W,6,FALSE)),"")</f>
        <v>861780000000</v>
      </c>
      <c r="J339">
        <f>IFERROR(IF(VLOOKUP($B339,Показатели!$E:$W,7,FALSE)=0,"",VLOOKUP($B339,Показатели!$E:$W,7,FALSE)),"")</f>
        <v>245959000000</v>
      </c>
      <c r="K339">
        <f>IFERROR(IF(VLOOKUP($B339,Показатели!$E:$W,8,FALSE)=0,"",VLOOKUP($B339,Показатели!$E:$W,8,FALSE)),"")</f>
        <v>119297000000</v>
      </c>
      <c r="L339">
        <f>IFERROR(IF(VLOOKUP($B339,Показатели!$E:$W,9,FALSE)=0,"",VLOOKUP($B339,Показатели!$E:$W,9,FALSE)),"")</f>
        <v>408674000000</v>
      </c>
      <c r="M339">
        <f>IFERROR(IF(VLOOKUP($B339,Показатели!$E:$W,10,FALSE)=0,"",VLOOKUP($B339,Показатели!$E:$W,10,FALSE)),"")</f>
        <v>496524000000</v>
      </c>
      <c r="N339">
        <f>IFERROR(IF(VLOOKUP($B339,Показатели!$E:$W,11,FALSE)=0,"",VLOOKUP($B339,Показатели!$E:$W,11,FALSE)),"")</f>
        <v>829779000000</v>
      </c>
      <c r="O339">
        <f>IFERROR(IF(VLOOKUP($B339,Показатели!$E:$W,12,FALSE)=0,"",VLOOKUP($B339,Показатели!$E:$W,12,FALSE)),"")</f>
        <v>192234000000</v>
      </c>
      <c r="P339">
        <f>IFERROR(IF(VLOOKUP($B339,Показатели!$E:$W,13,FALSE)=0,"",VLOOKUP($B339,Показатели!$E:$W,13,FALSE)),"")</f>
        <v>189140000000</v>
      </c>
      <c r="Q339">
        <f>IFERROR(IF(VLOOKUP($B339,Показатели!$E:$W,14,FALSE)=0,"",VLOOKUP($B339,Показатели!$E:$W,14,FALSE)),"")</f>
        <v>149554000000</v>
      </c>
      <c r="R339">
        <f>IFERROR(IF(VLOOKUP($B339,Показатели!$E:$W,15,FALSE)=0,"",VLOOKUP($B339,Показатели!$E:$W,15,FALSE)),"")</f>
        <v>40800000000</v>
      </c>
      <c r="S339">
        <f>IFERROR(IF(VLOOKUP($B339,Показатели!$E:$W,16,FALSE)=0,"",VLOOKUP($B339,Показатели!$E:$W,16,FALSE)),"")</f>
        <v>237880000000</v>
      </c>
      <c r="T339">
        <f>IFERROR(IF(VLOOKUP($B339,Показатели!$E:$W,17,FALSE)=0,"",VLOOKUP($B339,Показатели!$E:$W,17,FALSE)),"")</f>
        <v>-118460000000</v>
      </c>
      <c r="U339">
        <f>IFERROR(IF(VLOOKUP($B339,Показатели!$E:$W,18,FALSE)=0,"",VLOOKUP($B339,Показатели!$E:$W,18,FALSE)),"")</f>
        <v>728314000000</v>
      </c>
      <c r="V339">
        <f>IFERROR(IF(VLOOKUP($B339,Показатели!$E:$W,19,FALSE)=0,"",VLOOKUP($B339,Показатели!$E:$W,19,FALSE)),"")</f>
        <v>994115000000</v>
      </c>
    </row>
    <row r="340" spans="1:22" x14ac:dyDescent="0.2">
      <c r="A340" s="7" t="s">
        <v>2221</v>
      </c>
      <c r="B340" t="str">
        <f t="shared" si="5"/>
        <v>CHMF IV кв. 2023</v>
      </c>
      <c r="C340">
        <v>2023</v>
      </c>
      <c r="D340">
        <f>SUMIFS(Дивиденды!$C:$C,Дивиденды!$A:$A,A340,Дивиденды!$I:$I,C340)</f>
        <v>191.51</v>
      </c>
      <c r="E340">
        <f>IFERROR(IF(VLOOKUP($B340,Показатели!$E:$W,2,FALSE)=0,"",VLOOKUP($B340,Показатели!$E:$W,2,FALSE)),"")</f>
        <v>373568000000</v>
      </c>
      <c r="F340">
        <f>IFERROR(IF(VLOOKUP($B340,Показатели!$E:$W,3,FALSE)=0,"",VLOOKUP($B340,Показатели!$E:$W,3,FALSE)),"")</f>
        <v>568769000000</v>
      </c>
      <c r="G340">
        <f>IFERROR(IF(VLOOKUP($B340,Показатели!$E:$W,4,FALSE)=0,"",VLOOKUP($B340,Показатели!$E:$W,4,FALSE)),"")</f>
        <v>386361000000</v>
      </c>
      <c r="H340">
        <f>IFERROR(IF(VLOOKUP($B340,Показатели!$E:$W,5,FALSE)=0,"",VLOOKUP($B340,Показатели!$E:$W,5,FALSE)),"")</f>
        <v>16846000000</v>
      </c>
      <c r="I340">
        <f>IFERROR(IF(VLOOKUP($B340,Показатели!$E:$W,6,FALSE)=0,"",VLOOKUP($B340,Показатели!$E:$W,6,FALSE)),"")</f>
        <v>994115000000</v>
      </c>
      <c r="J340">
        <f>IFERROR(IF(VLOOKUP($B340,Показатели!$E:$W,7,FALSE)=0,"",VLOOKUP($B340,Показатели!$E:$W,7,FALSE)),"")</f>
        <v>279226000000</v>
      </c>
      <c r="K340">
        <f>IFERROR(IF(VLOOKUP($B340,Показатели!$E:$W,8,FALSE)=0,"",VLOOKUP($B340,Показатели!$E:$W,8,FALSE)),"")</f>
        <v>101061000000</v>
      </c>
      <c r="L340">
        <f>IFERROR(IF(VLOOKUP($B340,Показатели!$E:$W,9,FALSE)=0,"",VLOOKUP($B340,Показатели!$E:$W,9,FALSE)),"")</f>
        <v>523813000000</v>
      </c>
      <c r="M340">
        <f>IFERROR(IF(VLOOKUP($B340,Показатели!$E:$W,10,FALSE)=0,"",VLOOKUP($B340,Показатели!$E:$W,10,FALSE)),"")</f>
        <v>613828000000</v>
      </c>
      <c r="N340">
        <f>IFERROR(IF(VLOOKUP($B340,Показатели!$E:$W,11,FALSE)=0,"",VLOOKUP($B340,Показатели!$E:$W,11,FALSE)),"")</f>
        <v>728314000000</v>
      </c>
      <c r="O340">
        <f>IFERROR(IF(VLOOKUP($B340,Показатели!$E:$W,12,FALSE)=0,"",VLOOKUP($B340,Показатели!$E:$W,12,FALSE)),"")</f>
        <v>223700000000</v>
      </c>
      <c r="P340">
        <f>IFERROR(IF(VLOOKUP($B340,Показатели!$E:$W,13,FALSE)=0,"",VLOOKUP($B340,Показатели!$E:$W,13,FALSE)),"")</f>
        <v>239346000000</v>
      </c>
      <c r="Q340">
        <f>IFERROR(IF(VLOOKUP($B340,Показатели!$E:$W,14,FALSE)=0,"",VLOOKUP($B340,Показатели!$E:$W,14,FALSE)),"")</f>
        <v>193875000000</v>
      </c>
      <c r="R340">
        <f>IFERROR(IF(VLOOKUP($B340,Показатели!$E:$W,15,FALSE)=0,"",VLOOKUP($B340,Показатели!$E:$W,15,FALSE)),"")</f>
        <v>34734000000</v>
      </c>
      <c r="S340">
        <f>IFERROR(IF(VLOOKUP($B340,Показатели!$E:$W,16,FALSE)=0,"",VLOOKUP($B340,Показатели!$E:$W,16,FALSE)),"")</f>
        <v>262229000000</v>
      </c>
      <c r="T340">
        <f>IFERROR(IF(VLOOKUP($B340,Показатели!$E:$W,17,FALSE)=0,"",VLOOKUP($B340,Показатели!$E:$W,17,FALSE)),"")</f>
        <v>-72629000000</v>
      </c>
      <c r="U340">
        <f>IFERROR(IF(VLOOKUP($B340,Показатели!$E:$W,18,FALSE)=0,"",VLOOKUP($B340,Показатели!$E:$W,18,FALSE)),"")</f>
        <v>682226000000</v>
      </c>
      <c r="V340">
        <f>IFERROR(IF(VLOOKUP($B340,Показатели!$E:$W,19,FALSE)=0,"",VLOOKUP($B340,Показатели!$E:$W,19,FALSE)),"")</f>
        <v>729835000000</v>
      </c>
    </row>
    <row r="341" spans="1:22" x14ac:dyDescent="0.2">
      <c r="A341" s="7" t="s">
        <v>2221</v>
      </c>
      <c r="B341" t="str">
        <f t="shared" si="5"/>
        <v>CHMF IV кв. 2022</v>
      </c>
      <c r="C341">
        <v>2022</v>
      </c>
      <c r="D341">
        <f>SUMIFS(Дивиденды!$C:$C,Дивиденды!$A:$A,A341,Дивиденды!$I:$I,C341)</f>
        <v>0</v>
      </c>
      <c r="E341">
        <f>IFERROR(IF(VLOOKUP($B341,Показатели!$E:$W,2,FALSE)=0,"",VLOOKUP($B341,Показатели!$E:$W,2,FALSE)),"")</f>
        <v>186219000000</v>
      </c>
      <c r="F341">
        <f>IFERROR(IF(VLOOKUP($B341,Показатели!$E:$W,3,FALSE)=0,"",VLOOKUP($B341,Показатели!$E:$W,3,FALSE)),"")</f>
        <v>341404000000</v>
      </c>
      <c r="G341">
        <f>IFERROR(IF(VLOOKUP($B341,Показатели!$E:$W,4,FALSE)=0,"",VLOOKUP($B341,Показатели!$E:$W,4,FALSE)),"")</f>
        <v>345546000000</v>
      </c>
      <c r="H341">
        <f>IFERROR(IF(VLOOKUP($B341,Показатели!$E:$W,5,FALSE)=0,"",VLOOKUP($B341,Показатели!$E:$W,5,FALSE)),"")</f>
        <v>16942000000</v>
      </c>
      <c r="I341">
        <f>IFERROR(IF(VLOOKUP($B341,Показатели!$E:$W,6,FALSE)=0,"",VLOOKUP($B341,Показатели!$E:$W,6,FALSE)),"")</f>
        <v>729835000000</v>
      </c>
      <c r="J341">
        <f>IFERROR(IF(VLOOKUP($B341,Показатели!$E:$W,7,FALSE)=0,"",VLOOKUP($B341,Показатели!$E:$W,7,FALSE)),"")</f>
        <v>152020000000</v>
      </c>
      <c r="K341">
        <f>IFERROR(IF(VLOOKUP($B341,Показатели!$E:$W,8,FALSE)=0,"",VLOOKUP($B341,Показатели!$E:$W,8,FALSE)),"")</f>
        <v>149538000000</v>
      </c>
      <c r="L341">
        <f>IFERROR(IF(VLOOKUP($B341,Показатели!$E:$W,9,FALSE)=0,"",VLOOKUP($B341,Показатели!$E:$W,9,FALSE)),"")</f>
        <v>326954000000</v>
      </c>
      <c r="M341">
        <f>IFERROR(IF(VLOOKUP($B341,Показатели!$E:$W,10,FALSE)=0,"",VLOOKUP($B341,Показатели!$E:$W,10,FALSE)),"")</f>
        <v>428277000000</v>
      </c>
      <c r="N341">
        <f>IFERROR(IF(VLOOKUP($B341,Показатели!$E:$W,11,FALSE)=0,"",VLOOKUP($B341,Показатели!$E:$W,11,FALSE)),"")</f>
        <v>682226000000</v>
      </c>
      <c r="O341">
        <f>IFERROR(IF(VLOOKUP($B341,Показатели!$E:$W,12,FALSE)=0,"",VLOOKUP($B341,Показатели!$E:$W,12,FALSE)),"")</f>
        <v>174821000000</v>
      </c>
      <c r="P341">
        <f>IFERROR(IF(VLOOKUP($B341,Показатели!$E:$W,13,FALSE)=0,"",VLOOKUP($B341,Показатели!$E:$W,13,FALSE)),"")</f>
        <v>137455000000</v>
      </c>
      <c r="Q341">
        <f>IFERROR(IF(VLOOKUP($B341,Показатели!$E:$W,14,FALSE)=0,"",VLOOKUP($B341,Показатели!$E:$W,14,FALSE)),"")</f>
        <v>108361000000</v>
      </c>
      <c r="R341">
        <f>IFERROR(IF(VLOOKUP($B341,Показатели!$E:$W,15,FALSE)=0,"",VLOOKUP($B341,Показатели!$E:$W,15,FALSE)),"")</f>
        <v>36336000000</v>
      </c>
      <c r="S341">
        <f>IFERROR(IF(VLOOKUP($B341,Показатели!$E:$W,16,FALSE)=0,"",VLOOKUP($B341,Показатели!$E:$W,16,FALSE)),"")</f>
        <v>214298000000</v>
      </c>
      <c r="T341">
        <f>IFERROR(IF(VLOOKUP($B341,Показатели!$E:$W,17,FALSE)=0,"",VLOOKUP($B341,Показатели!$E:$W,17,FALSE)),"")</f>
        <v>-67870000000</v>
      </c>
      <c r="U341">
        <f>IFERROR(IF(VLOOKUP($B341,Показатели!$E:$W,18,FALSE)=0,"",VLOOKUP($B341,Показатели!$E:$W,18,FALSE)),"")</f>
        <v>858602663064.00012</v>
      </c>
      <c r="V341">
        <f>IFERROR(IF(VLOOKUP($B341,Показатели!$E:$W,19,FALSE)=0,"",VLOOKUP($B341,Показатели!$E:$W,19,FALSE)),"")</f>
        <v>639488561904.00012</v>
      </c>
    </row>
    <row r="342" spans="1:22" x14ac:dyDescent="0.2">
      <c r="A342" s="7" t="s">
        <v>2221</v>
      </c>
      <c r="B342" t="str">
        <f t="shared" si="5"/>
        <v>CHMF IV кв. 2021</v>
      </c>
      <c r="C342">
        <v>2021</v>
      </c>
      <c r="D342">
        <f>SUMIFS(Дивиденды!$C:$C,Дивиденды!$A:$A,A342,Дивиденды!$I:$I,C342)</f>
        <v>217.15</v>
      </c>
      <c r="E342">
        <f>IFERROR(IF(VLOOKUP($B342,Показатели!$E:$W,2,FALSE)=0,"",VLOOKUP($B342,Показатели!$E:$W,2,FALSE)),"")</f>
        <v>30838280904.000004</v>
      </c>
      <c r="F342">
        <f>IFERROR(IF(VLOOKUP($B342,Показатели!$E:$W,3,FALSE)=0,"",VLOOKUP($B342,Показатели!$E:$W,3,FALSE)),"")</f>
        <v>235270999528.36368</v>
      </c>
      <c r="G342">
        <f>IFERROR(IF(VLOOKUP($B342,Показатели!$E:$W,4,FALSE)=0,"",VLOOKUP($B342,Показатели!$E:$W,4,FALSE)),"")</f>
        <v>365632823349.81824</v>
      </c>
      <c r="H342">
        <f>IFERROR(IF(VLOOKUP($B342,Показатели!$E:$W,5,FALSE)=0,"",VLOOKUP($B342,Показатели!$E:$W,5,FALSE)),"")</f>
        <v>19698136366.909096</v>
      </c>
      <c r="I342">
        <f>IFERROR(IF(VLOOKUP($B342,Показатели!$E:$W,6,FALSE)=0,"",VLOOKUP($B342,Показатели!$E:$W,6,FALSE)),"")</f>
        <v>639488561904.00012</v>
      </c>
      <c r="J342">
        <f>IFERROR(IF(VLOOKUP($B342,Показатели!$E:$W,7,FALSE)=0,"",VLOOKUP($B342,Показатели!$E:$W,7,FALSE)),"")</f>
        <v>193366349878.90912</v>
      </c>
      <c r="K342">
        <f>IFERROR(IF(VLOOKUP($B342,Показатели!$E:$W,8,FALSE)=0,"",VLOOKUP($B342,Показатели!$E:$W,8,FALSE)),"")</f>
        <v>135599905027.63638</v>
      </c>
      <c r="L342">
        <f>IFERROR(IF(VLOOKUP($B342,Показатели!$E:$W,9,FALSE)=0,"",VLOOKUP($B342,Показатели!$E:$W,9,FALSE)),"")</f>
        <v>270978482680.36368</v>
      </c>
      <c r="M342">
        <f>IFERROR(IF(VLOOKUP($B342,Показатели!$E:$W,10,FALSE)=0,"",VLOOKUP($B342,Показатели!$E:$W,10,FALSE)),"")</f>
        <v>310522306997.45459</v>
      </c>
      <c r="N342">
        <f>IFERROR(IF(VLOOKUP($B342,Показатели!$E:$W,11,FALSE)=0,"",VLOOKUP($B342,Показатели!$E:$W,11,FALSE)),"")</f>
        <v>858602663064.00012</v>
      </c>
      <c r="O342">
        <f>IFERROR(IF(VLOOKUP($B342,Показатели!$E:$W,12,FALSE)=0,"",VLOOKUP($B342,Показатели!$E:$W,12,FALSE)),"")</f>
        <v>397725292711.63641</v>
      </c>
      <c r="P342">
        <f>IFERROR(IF(VLOOKUP($B342,Показатели!$E:$W,13,FALSE)=0,"",VLOOKUP($B342,Показатели!$E:$W,13,FALSE)),"")</f>
        <v>370870904556.00006</v>
      </c>
      <c r="Q342">
        <f>IFERROR(IF(VLOOKUP($B342,Показатели!$E:$W,14,FALSE)=0,"",VLOOKUP($B342,Показатели!$E:$W,14,FALSE)),"")</f>
        <v>300636350918.18188</v>
      </c>
      <c r="R342">
        <f>IFERROR(IF(VLOOKUP($B342,Показатели!$E:$W,15,FALSE)=0,"",VLOOKUP($B342,Показатели!$E:$W,15,FALSE)),"")</f>
        <v>40798012774.909096</v>
      </c>
      <c r="S342">
        <f>IFERROR(IF(VLOOKUP($B342,Показатели!$E:$W,16,FALSE)=0,"",VLOOKUP($B342,Показатели!$E:$W,16,FALSE)),"")</f>
        <v>441031682402.18188</v>
      </c>
      <c r="T342">
        <f>IFERROR(IF(VLOOKUP($B342,Показатели!$E:$W,17,FALSE)=0,"",VLOOKUP($B342,Показатели!$E:$W,17,FALSE)),"")</f>
        <v>-78792545467.636383</v>
      </c>
      <c r="U342">
        <f>IFERROR(IF(VLOOKUP($B342,Показатели!$E:$W,18,FALSE)=0,"",VLOOKUP($B342,Показатели!$E:$W,18,FALSE)),"")</f>
        <v>487573181535.88879</v>
      </c>
      <c r="V342">
        <f>IFERROR(IF(VLOOKUP($B342,Показатели!$E:$W,19,FALSE)=0,"",VLOOKUP($B342,Показатели!$E:$W,19,FALSE)),"")</f>
        <v>534711039537.28253</v>
      </c>
    </row>
    <row r="343" spans="1:22" x14ac:dyDescent="0.2">
      <c r="A343" s="7" t="s">
        <v>2221</v>
      </c>
      <c r="B343" t="str">
        <f t="shared" si="5"/>
        <v>CHMF IV кв. 2020</v>
      </c>
      <c r="C343">
        <v>2020</v>
      </c>
      <c r="D343">
        <f>SUMIFS(Дивиденды!$C:$C,Дивиденды!$A:$A,A343,Дивиденды!$I:$I,C343)</f>
        <v>116.4</v>
      </c>
      <c r="E343">
        <f>IFERROR(IF(VLOOKUP($B343,Показатели!$E:$W,2,FALSE)=0,"",VLOOKUP($B343,Показатели!$E:$W,2,FALSE)),"")</f>
        <v>42149342354.006989</v>
      </c>
      <c r="F343">
        <f>IFERROR(IF(VLOOKUP($B343,Показатели!$E:$W,3,FALSE)=0,"",VLOOKUP($B343,Показатели!$E:$W,3,FALSE)),"")</f>
        <v>161078447280.83633</v>
      </c>
      <c r="G343">
        <f>IFERROR(IF(VLOOKUP($B343,Показатели!$E:$W,4,FALSE)=0,"",VLOOKUP($B343,Показатели!$E:$W,4,FALSE)),"")</f>
        <v>343123119746.34167</v>
      </c>
      <c r="H343">
        <f>IFERROR(IF(VLOOKUP($B343,Показатели!$E:$W,5,FALSE)=0,"",VLOOKUP($B343,Показатели!$E:$W,5,FALSE)),"")</f>
        <v>18218926712.195133</v>
      </c>
      <c r="I343">
        <f>IFERROR(IF(VLOOKUP($B343,Показатели!$E:$W,6,FALSE)=0,"",VLOOKUP($B343,Показатели!$E:$W,6,FALSE)),"")</f>
        <v>534711039537.28253</v>
      </c>
      <c r="J343">
        <f>IFERROR(IF(VLOOKUP($B343,Показатели!$E:$W,7,FALSE)=0,"",VLOOKUP($B343,Показатели!$E:$W,7,FALSE)),"")</f>
        <v>127966270954.7039</v>
      </c>
      <c r="K343">
        <f>IFERROR(IF(VLOOKUP($B343,Показатели!$E:$W,8,FALSE)=0,"",VLOOKUP($B343,Показатели!$E:$W,8,FALSE)),"")</f>
        <v>208360899938.67606</v>
      </c>
      <c r="L343">
        <f>IFERROR(IF(VLOOKUP($B343,Показатели!$E:$W,9,FALSE)=0,"",VLOOKUP($B343,Показатели!$E:$W,9,FALSE)),"")</f>
        <v>164837908348.43216</v>
      </c>
      <c r="M343">
        <f>IFERROR(IF(VLOOKUP($B343,Показатели!$E:$W,10,FALSE)=0,"",VLOOKUP($B343,Показатели!$E:$W,10,FALSE)),"")</f>
        <v>198383868643.90256</v>
      </c>
      <c r="N343">
        <f>IFERROR(IF(VLOOKUP($B343,Показатели!$E:$W,11,FALSE)=0,"",VLOOKUP($B343,Показатели!$E:$W,11,FALSE)),"")</f>
        <v>487573181535.88879</v>
      </c>
      <c r="O343">
        <f>IFERROR(IF(VLOOKUP($B343,Показатели!$E:$W,12,FALSE)=0,"",VLOOKUP($B343,Показатели!$E:$W,12,FALSE)),"")</f>
        <v>139533843470.38336</v>
      </c>
      <c r="P343">
        <f>IFERROR(IF(VLOOKUP($B343,Показатели!$E:$W,13,FALSE)=0,"",VLOOKUP($B343,Показатели!$E:$W,13,FALSE)),"")</f>
        <v>94637202643.902496</v>
      </c>
      <c r="Q343">
        <f>IFERROR(IF(VLOOKUP($B343,Показатели!$E:$W,14,FALSE)=0,"",VLOOKUP($B343,Показатели!$E:$W,14,FALSE)),"")</f>
        <v>73454085474.564499</v>
      </c>
      <c r="R343">
        <f>IFERROR(IF(VLOOKUP($B343,Показатели!$E:$W,15,FALSE)=0,"",VLOOKUP($B343,Показатели!$E:$W,15,FALSE)),"")</f>
        <v>33256770982.578415</v>
      </c>
      <c r="S343">
        <f>IFERROR(IF(VLOOKUP($B343,Показатели!$E:$W,16,FALSE)=0,"",VLOOKUP($B343,Показатели!$E:$W,16,FALSE)),"")</f>
        <v>175104128956.09766</v>
      </c>
      <c r="T343">
        <f>IFERROR(IF(VLOOKUP($B343,Показатели!$E:$W,17,FALSE)=0,"",VLOOKUP($B343,Показатели!$E:$W,17,FALSE)),"")</f>
        <v>-95938554551.916428</v>
      </c>
      <c r="U343">
        <f>IFERROR(IF(VLOOKUP($B343,Показатели!$E:$W,18,FALSE)=0,"",VLOOKUP($B343,Показатели!$E:$W,18,FALSE)),"")</f>
        <v>527668937718.74963</v>
      </c>
      <c r="V343">
        <f>IFERROR(IF(VLOOKUP($B343,Показатели!$E:$W,19,FALSE)=0,"",VLOOKUP($B343,Показатели!$E:$W,19,FALSE)),"")</f>
        <v>531873728812.49963</v>
      </c>
    </row>
    <row r="344" spans="1:22" x14ac:dyDescent="0.2">
      <c r="A344" s="7" t="s">
        <v>2221</v>
      </c>
      <c r="B344" t="str">
        <f t="shared" si="5"/>
        <v>CHMF IV кв. 2019</v>
      </c>
      <c r="C344">
        <v>2019</v>
      </c>
      <c r="D344">
        <f>SUMIFS(Дивиденды!$C:$C,Дивиденды!$A:$A,A344,Дивиденды!$I:$I,C344)</f>
        <v>115.88000000000001</v>
      </c>
      <c r="E344">
        <f>IFERROR(IF(VLOOKUP($B344,Показатели!$E:$W,2,FALSE)=0,"",VLOOKUP($B344,Показатели!$E:$W,2,FALSE)),"")</f>
        <v>69928910343.749954</v>
      </c>
      <c r="F344">
        <f>IFERROR(IF(VLOOKUP($B344,Показатели!$E:$W,3,FALSE)=0,"",VLOOKUP($B344,Показатели!$E:$W,3,FALSE)),"")</f>
        <v>200212745156.24985</v>
      </c>
      <c r="G344">
        <f>IFERROR(IF(VLOOKUP($B344,Показатели!$E:$W,4,FALSE)=0,"",VLOOKUP($B344,Показатели!$E:$W,4,FALSE)),"")</f>
        <v>302098067812.49982</v>
      </c>
      <c r="H344">
        <f>IFERROR(IF(VLOOKUP($B344,Показатели!$E:$W,5,FALSE)=0,"",VLOOKUP($B344,Показатели!$E:$W,5,FALSE)),"")</f>
        <v>18048257156.249989</v>
      </c>
      <c r="I344">
        <f>IFERROR(IF(VLOOKUP($B344,Показатели!$E:$W,6,FALSE)=0,"",VLOOKUP($B344,Показатели!$E:$W,6,FALSE)),"")</f>
        <v>531873728812.49963</v>
      </c>
      <c r="J344">
        <f>IFERROR(IF(VLOOKUP($B344,Показатели!$E:$W,7,FALSE)=0,"",VLOOKUP($B344,Показатели!$E:$W,7,FALSE)),"")</f>
        <v>102596902687.49992</v>
      </c>
      <c r="K344">
        <f>IFERROR(IF(VLOOKUP($B344,Показатели!$E:$W,8,FALSE)=0,"",VLOOKUP($B344,Показатели!$E:$W,8,FALSE)),"")</f>
        <v>204288158062.49985</v>
      </c>
      <c r="L344">
        <f>IFERROR(IF(VLOOKUP($B344,Показатели!$E:$W,9,FALSE)=0,"",VLOOKUP($B344,Показатели!$E:$W,9,FALSE)),"")</f>
        <v>160623019781.24988</v>
      </c>
      <c r="M344">
        <f>IFERROR(IF(VLOOKUP($B344,Показатели!$E:$W,10,FALSE)=0,"",VLOOKUP($B344,Показатели!$E:$W,10,FALSE)),"")</f>
        <v>224988668062.49985</v>
      </c>
      <c r="N344">
        <f>IFERROR(IF(VLOOKUP($B344,Показатели!$E:$W,11,FALSE)=0,"",VLOOKUP($B344,Показатели!$E:$W,11,FALSE)),"")</f>
        <v>527668937718.74963</v>
      </c>
      <c r="O344">
        <f>IFERROR(IF(VLOOKUP($B344,Показатели!$E:$W,12,FALSE)=0,"",VLOOKUP($B344,Показатели!$E:$W,12,FALSE)),"")</f>
        <v>150531521156.24991</v>
      </c>
      <c r="P344">
        <f>IFERROR(IF(VLOOKUP($B344,Показатели!$E:$W,13,FALSE)=0,"",VLOOKUP($B344,Показатели!$E:$W,13,FALSE)),"")</f>
        <v>144386057249.99991</v>
      </c>
      <c r="Q344">
        <f>IFERROR(IF(VLOOKUP($B344,Показатели!$E:$W,14,FALSE)=0,"",VLOOKUP($B344,Показатели!$E:$W,14,FALSE)),"")</f>
        <v>114305628656.24992</v>
      </c>
      <c r="R344">
        <f>IFERROR(IF(VLOOKUP($B344,Показатели!$E:$W,15,FALSE)=0,"",VLOOKUP($B344,Показатели!$E:$W,15,FALSE)),"")</f>
        <v>30015739499.999981</v>
      </c>
      <c r="S344">
        <f>IFERROR(IF(VLOOKUP($B344,Показатели!$E:$W,16,FALSE)=0,"",VLOOKUP($B344,Показатели!$E:$W,16,FALSE)),"")</f>
        <v>181452907968.74988</v>
      </c>
      <c r="T344">
        <f>IFERROR(IF(VLOOKUP($B344,Показатели!$E:$W,17,FALSE)=0,"",VLOOKUP($B344,Показатели!$E:$W,17,FALSE)),"")</f>
        <v>-78791316187.499939</v>
      </c>
      <c r="U344">
        <f>IFERROR(IF(VLOOKUP($B344,Показатели!$E:$W,18,FALSE)=0,"",VLOOKUP($B344,Показатели!$E:$W,18,FALSE)),"")</f>
        <v>539416935009.96667</v>
      </c>
      <c r="V344">
        <f>IFERROR(IF(VLOOKUP($B344,Показатели!$E:$W,19,FALSE)=0,"",VLOOKUP($B344,Показатели!$E:$W,19,FALSE)),"")</f>
        <v>369293132429.90027</v>
      </c>
    </row>
    <row r="345" spans="1:22" x14ac:dyDescent="0.2">
      <c r="A345" s="7" t="s">
        <v>2221</v>
      </c>
      <c r="B345" t="str">
        <f t="shared" si="5"/>
        <v>CHMF IV кв. 2018</v>
      </c>
      <c r="C345">
        <v>2018</v>
      </c>
      <c r="D345">
        <f>SUMIFS(Дивиденды!$C:$C,Дивиденды!$A:$A,A345,Дивиденды!$I:$I,C345)</f>
        <v>160.72999999999996</v>
      </c>
      <c r="E345">
        <f>IFERROR(IF(VLOOKUP($B345,Показатели!$E:$W,2,FALSE)=0,"",VLOOKUP($B345,Показатели!$E:$W,2,FALSE)),"")</f>
        <v>14334156314.950163</v>
      </c>
      <c r="F345">
        <f>IFERROR(IF(VLOOKUP($B345,Показатели!$E:$W,3,FALSE)=0,"",VLOOKUP($B345,Показатели!$E:$W,3,FALSE)),"")</f>
        <v>130264788967.44183</v>
      </c>
      <c r="G345">
        <f>IFERROR(IF(VLOOKUP($B345,Показатели!$E:$W,4,FALSE)=0,"",VLOOKUP($B345,Показатели!$E:$W,4,FALSE)),"")</f>
        <v>218092930949.83386</v>
      </c>
      <c r="H345">
        <f>IFERROR(IF(VLOOKUP($B345,Показатели!$E:$W,5,FALSE)=0,"",VLOOKUP($B345,Показатели!$E:$W,5,FALSE)),"")</f>
        <v>13328250608.637871</v>
      </c>
      <c r="I345">
        <f>IFERROR(IF(VLOOKUP($B345,Показатели!$E:$W,6,FALSE)=0,"",VLOOKUP($B345,Показатели!$E:$W,6,FALSE)),"")</f>
        <v>369293132429.90027</v>
      </c>
      <c r="J345">
        <f>IFERROR(IF(VLOOKUP($B345,Показатели!$E:$W,7,FALSE)=0,"",VLOOKUP($B345,Показатели!$E:$W,7,FALSE)),"")</f>
        <v>70602006761.794006</v>
      </c>
      <c r="K345">
        <f>IFERROR(IF(VLOOKUP($B345,Показатели!$E:$W,8,FALSE)=0,"",VLOOKUP($B345,Показатели!$E:$W,8,FALSE)),"")</f>
        <v>117690967638.53819</v>
      </c>
      <c r="L345">
        <f>IFERROR(IF(VLOOKUP($B345,Показатели!$E:$W,9,FALSE)=0,"",VLOOKUP($B345,Показатели!$E:$W,9,FALSE)),"")</f>
        <v>142964348509.63452</v>
      </c>
      <c r="M345">
        <f>IFERROR(IF(VLOOKUP($B345,Показатели!$E:$W,10,FALSE)=0,"",VLOOKUP($B345,Показатели!$E:$W,10,FALSE)),"")</f>
        <v>181000158029.56808</v>
      </c>
      <c r="N345">
        <f>IFERROR(IF(VLOOKUP($B345,Показатели!$E:$W,11,FALSE)=0,"",VLOOKUP($B345,Показатели!$E:$W,11,FALSE)),"")</f>
        <v>539416935009.96667</v>
      </c>
      <c r="O345">
        <f>IFERROR(IF(VLOOKUP($B345,Показатели!$E:$W,12,FALSE)=0,"",VLOOKUP($B345,Показатели!$E:$W,12,FALSE)),"")</f>
        <v>170186671686.71094</v>
      </c>
      <c r="P345">
        <f>IFERROR(IF(VLOOKUP($B345,Показатели!$E:$W,13,FALSE)=0,"",VLOOKUP($B345,Показатели!$E:$W,13,FALSE)),"")</f>
        <v>158367279637.5415</v>
      </c>
      <c r="Q345">
        <f>IFERROR(IF(VLOOKUP($B345,Показатели!$E:$W,14,FALSE)=0,"",VLOOKUP($B345,Показатели!$E:$W,14,FALSE)),"")</f>
        <v>128944537727.90695</v>
      </c>
      <c r="R345">
        <f>IFERROR(IF(VLOOKUP($B345,Показатели!$E:$W,15,FALSE)=0,"",VLOOKUP($B345,Показатели!$E:$W,15,FALSE)),"")</f>
        <v>25461988191.029896</v>
      </c>
      <c r="S345">
        <f>IFERROR(IF(VLOOKUP($B345,Показатели!$E:$W,16,FALSE)=0,"",VLOOKUP($B345,Показатели!$E:$W,16,FALSE)),"")</f>
        <v>197534733077.07639</v>
      </c>
      <c r="T345">
        <f>IFERROR(IF(VLOOKUP($B345,Показатели!$E:$W,17,FALSE)=0,"",VLOOKUP($B345,Показатели!$E:$W,17,FALSE)),"")</f>
        <v>-41053526638.870422</v>
      </c>
      <c r="U345">
        <f>IFERROR(IF(VLOOKUP($B345,Показатели!$E:$W,18,FALSE)=0,"",VLOOKUP($B345,Показатели!$E:$W,18,FALSE)),"")</f>
        <v>457639248095.04932</v>
      </c>
      <c r="V345">
        <f>IFERROR(IF(VLOOKUP($B345,Показатели!$E:$W,19,FALSE)=0,"",VLOOKUP($B345,Показатели!$E:$W,19,FALSE)),"")</f>
        <v>420377336839.60376</v>
      </c>
    </row>
    <row r="346" spans="1:22" x14ac:dyDescent="0.2">
      <c r="A346" s="7" t="s">
        <v>2221</v>
      </c>
      <c r="B346" t="str">
        <f t="shared" si="5"/>
        <v>CHMF IV кв. 2017</v>
      </c>
      <c r="C346">
        <v>2017</v>
      </c>
      <c r="D346">
        <f>SUMIFS(Дивиденды!$C:$C,Дивиденды!$A:$A,A346,Дивиденды!$I:$I,C346)</f>
        <v>110.05</v>
      </c>
      <c r="E346">
        <f>IFERROR(IF(VLOOKUP($B346,Показатели!$E:$W,2,FALSE)=0,"",VLOOKUP($B346,Показатели!$E:$W,2,FALSE)),"")</f>
        <v>60120548520.131989</v>
      </c>
      <c r="F346">
        <f>IFERROR(IF(VLOOKUP($B346,Показатели!$E:$W,3,FALSE)=0,"",VLOOKUP($B346,Показатели!$E:$W,3,FALSE)),"")</f>
        <v>172139533687.12863</v>
      </c>
      <c r="G346">
        <f>IFERROR(IF(VLOOKUP($B346,Показатели!$E:$W,4,FALSE)=0,"",VLOOKUP($B346,Показатели!$E:$W,4,FALSE)),"")</f>
        <v>215815858460.72598</v>
      </c>
      <c r="H346">
        <f>IFERROR(IF(VLOOKUP($B346,Показатели!$E:$W,5,FALSE)=0,"",VLOOKUP($B346,Показатели!$E:$W,5,FALSE)),"")</f>
        <v>14053396889.76897</v>
      </c>
      <c r="I346">
        <f>IFERROR(IF(VLOOKUP($B346,Показатели!$E:$W,6,FALSE)=0,"",VLOOKUP($B346,Показатели!$E:$W,6,FALSE)),"")</f>
        <v>420377336839.60376</v>
      </c>
      <c r="J346">
        <f>IFERROR(IF(VLOOKUP($B346,Показатели!$E:$W,7,FALSE)=0,"",VLOOKUP($B346,Показатели!$E:$W,7,FALSE)),"")</f>
        <v>97382459775.577515</v>
      </c>
      <c r="K346">
        <f>IFERROR(IF(VLOOKUP($B346,Показатели!$E:$W,8,FALSE)=0,"",VLOOKUP($B346,Показатели!$E:$W,8,FALSE)),"")</f>
        <v>124847812203.30028</v>
      </c>
      <c r="L346">
        <f>IFERROR(IF(VLOOKUP($B346,Показатели!$E:$W,9,FALSE)=0,"",VLOOKUP($B346,Показатели!$E:$W,9,FALSE)),"")</f>
        <v>127996706112.21117</v>
      </c>
      <c r="M346">
        <f>IFERROR(IF(VLOOKUP($B346,Показатели!$E:$W,10,FALSE)=0,"",VLOOKUP($B346,Показатели!$E:$W,10,FALSE)),"")</f>
        <v>198147064860.72598</v>
      </c>
      <c r="N346">
        <f>IFERROR(IF(VLOOKUP($B346,Показатели!$E:$W,11,FALSE)=0,"",VLOOKUP($B346,Показатели!$E:$W,11,FALSE)),"")</f>
        <v>457639248095.04932</v>
      </c>
      <c r="O346">
        <f>IFERROR(IF(VLOOKUP($B346,Показатели!$E:$W,12,FALSE)=0,"",VLOOKUP($B346,Показатели!$E:$W,12,FALSE)),"")</f>
        <v>126072382056.76562</v>
      </c>
      <c r="P346">
        <f>IFERROR(IF(VLOOKUP($B346,Показатели!$E:$W,13,FALSE)=0,"",VLOOKUP($B346,Показатели!$E:$W,13,FALSE)),"")</f>
        <v>102863867691.08907</v>
      </c>
      <c r="Q346">
        <f>IFERROR(IF(VLOOKUP($B346,Показатели!$E:$W,14,FALSE)=0,"",VLOOKUP($B346,Показатели!$E:$W,14,FALSE)),"")</f>
        <v>79013911973.597321</v>
      </c>
      <c r="R346">
        <f>IFERROR(IF(VLOOKUP($B346,Показатели!$E:$W,15,FALSE)=0,"",VLOOKUP($B346,Показатели!$E:$W,15,FALSE)),"")</f>
        <v>23558391466.666656</v>
      </c>
      <c r="S346">
        <f>IFERROR(IF(VLOOKUP($B346,Показатели!$E:$W,16,FALSE)=0,"",VLOOKUP($B346,Показатели!$E:$W,16,FALSE)),"")</f>
        <v>150272214875.24747</v>
      </c>
      <c r="T346">
        <f>IFERROR(IF(VLOOKUP($B346,Показатели!$E:$W,17,FALSE)=0,"",VLOOKUP($B346,Показатели!$E:$W,17,FALSE)),"")</f>
        <v>34462894447.524742</v>
      </c>
      <c r="U346">
        <f>IFERROR(IF(VLOOKUP($B346,Показатели!$E:$W,18,FALSE)=0,"",VLOOKUP($B346,Показатели!$E:$W,18,FALSE)),"")</f>
        <v>396693660472.34009</v>
      </c>
      <c r="V346">
        <f>IFERROR(IF(VLOOKUP($B346,Показатели!$E:$W,19,FALSE)=0,"",VLOOKUP($B346,Показатели!$E:$W,19,FALSE)),"")</f>
        <v>434713488986.16986</v>
      </c>
    </row>
    <row r="347" spans="1:22" x14ac:dyDescent="0.2">
      <c r="A347" s="7" t="s">
        <v>2221</v>
      </c>
      <c r="B347" t="str">
        <f t="shared" si="5"/>
        <v>CHMF IV кв. 2016</v>
      </c>
      <c r="C347">
        <v>2016</v>
      </c>
      <c r="D347">
        <f>SUMIFS(Дивиденды!$C:$C,Дивиденды!$A:$A,A347,Дивиденды!$I:$I,C347)</f>
        <v>80.600000000000009</v>
      </c>
      <c r="E347">
        <f>IFERROR(IF(VLOOKUP($B347,Показатели!$E:$W,2,FALSE)=0,"",VLOOKUP($B347,Показатели!$E:$W,2,FALSE)),"")</f>
        <v>77380744453.191422</v>
      </c>
      <c r="F347">
        <f>IFERROR(IF(VLOOKUP($B347,Показатели!$E:$W,3,FALSE)=0,"",VLOOKUP($B347,Показатели!$E:$W,3,FALSE)),"")</f>
        <v>188288674544.68069</v>
      </c>
      <c r="G347">
        <f>IFERROR(IF(VLOOKUP($B347,Показатели!$E:$W,4,FALSE)=0,"",VLOOKUP($B347,Показатели!$E:$W,4,FALSE)),"")</f>
        <v>210215453952.12747</v>
      </c>
      <c r="H347" t="str">
        <f>IFERROR(IF(VLOOKUP($B347,Показатели!$E:$W,5,FALSE)=0,"",VLOOKUP($B347,Показатели!$E:$W,5,FALSE)),"")</f>
        <v/>
      </c>
      <c r="I347">
        <f>IFERROR(IF(VLOOKUP($B347,Показатели!$E:$W,6,FALSE)=0,"",VLOOKUP($B347,Показатели!$E:$W,6,FALSE)),"")</f>
        <v>434713488986.16986</v>
      </c>
      <c r="J347">
        <f>IFERROR(IF(VLOOKUP($B347,Показатели!$E:$W,7,FALSE)=0,"",VLOOKUP($B347,Показатели!$E:$W,7,FALSE)),"")</f>
        <v>120429650812.76585</v>
      </c>
      <c r="K347">
        <f>IFERROR(IF(VLOOKUP($B347,Показатели!$E:$W,8,FALSE)=0,"",VLOOKUP($B347,Показатели!$E:$W,8,FALSE)),"")</f>
        <v>110371495121.2765</v>
      </c>
      <c r="L347">
        <f>IFERROR(IF(VLOOKUP($B347,Показатели!$E:$W,9,FALSE)=0,"",VLOOKUP($B347,Показатели!$E:$W,9,FALSE)),"")</f>
        <v>164283209627.65942</v>
      </c>
      <c r="M347">
        <f>IFERROR(IF(VLOOKUP($B347,Показатели!$E:$W,10,FALSE)=0,"",VLOOKUP($B347,Показатели!$E:$W,10,FALSE)),"")</f>
        <v>203912343052.1275</v>
      </c>
      <c r="N347">
        <f>IFERROR(IF(VLOOKUP($B347,Показатели!$E:$W,11,FALSE)=0,"",VLOOKUP($B347,Показатели!$E:$W,11,FALSE)),"")</f>
        <v>396693660472.34009</v>
      </c>
      <c r="O347">
        <f>IFERROR(IF(VLOOKUP($B347,Показатели!$E:$W,12,FALSE)=0,"",VLOOKUP($B347,Показатели!$E:$W,12,FALSE)),"")</f>
        <v>101721481226.59566</v>
      </c>
      <c r="P347">
        <f>IFERROR(IF(VLOOKUP($B347,Показатели!$E:$W,13,FALSE)=0,"",VLOOKUP($B347,Показатели!$E:$W,13,FALSE)),"")</f>
        <v>115132355481.91479</v>
      </c>
      <c r="Q347">
        <f>IFERROR(IF(VLOOKUP($B347,Показатели!$E:$W,14,FALSE)=0,"",VLOOKUP($B347,Показатели!$E:$W,14,FALSE)),"")</f>
        <v>108628081468.08502</v>
      </c>
      <c r="R347" t="str">
        <f>IFERROR(IF(VLOOKUP($B347,Показатели!$E:$W,15,FALSE)=0,"",VLOOKUP($B347,Показатели!$E:$W,15,FALSE)),"")</f>
        <v/>
      </c>
      <c r="S347">
        <f>IFERROR(IF(VLOOKUP($B347,Показатели!$E:$W,16,FALSE)=0,"",VLOOKUP($B347,Показатели!$E:$W,16,FALSE)),"")</f>
        <v>128140903509.57436</v>
      </c>
      <c r="T347">
        <f>IFERROR(IF(VLOOKUP($B347,Показатели!$E:$W,17,FALSE)=0,"",VLOOKUP($B347,Показатели!$E:$W,17,FALSE)),"")</f>
        <v>36879904202.127632</v>
      </c>
      <c r="U347">
        <f>IFERROR(IF(VLOOKUP($B347,Показатели!$E:$W,18,FALSE)=0,"",VLOOKUP($B347,Показатели!$E:$W,18,FALSE)),"")</f>
        <v>391751224468.03638</v>
      </c>
      <c r="V347">
        <f>IFERROR(IF(VLOOKUP($B347,Показатели!$E:$W,19,FALSE)=0,"",VLOOKUP($B347,Показатели!$E:$W,19,FALSE)),"")</f>
        <v>359341556507.76624</v>
      </c>
    </row>
    <row r="348" spans="1:22" x14ac:dyDescent="0.2">
      <c r="A348" s="7" t="s">
        <v>2221</v>
      </c>
      <c r="B348" t="str">
        <f t="shared" si="5"/>
        <v>CHMF IV кв. 2015</v>
      </c>
      <c r="C348">
        <v>2015</v>
      </c>
      <c r="D348">
        <f>SUMIFS(Дивиденды!$C:$C,Дивиденды!$A:$A,A348,Дивиденды!$I:$I,C348)</f>
        <v>58.879999999999995</v>
      </c>
      <c r="E348">
        <f>IFERROR(IF(VLOOKUP($B348,Показатели!$E:$W,2,FALSE)=0,"",VLOOKUP($B348,Показатели!$E:$W,2,FALSE)),"")</f>
        <v>100889313814.94026</v>
      </c>
      <c r="F348">
        <f>IFERROR(IF(VLOOKUP($B348,Показатели!$E:$W,3,FALSE)=0,"",VLOOKUP($B348,Показатели!$E:$W,3,FALSE)),"")</f>
        <v>179890145724.24936</v>
      </c>
      <c r="G348">
        <f>IFERROR(IF(VLOOKUP($B348,Показатели!$E:$W,4,FALSE)=0,"",VLOOKUP($B348,Показатели!$E:$W,4,FALSE)),"")</f>
        <v>159902195226.68573</v>
      </c>
      <c r="H348" t="str">
        <f>IFERROR(IF(VLOOKUP($B348,Показатели!$E:$W,5,FALSE)=0,"",VLOOKUP($B348,Показатели!$E:$W,5,FALSE)),"")</f>
        <v/>
      </c>
      <c r="I348">
        <f>IFERROR(IF(VLOOKUP($B348,Показатели!$E:$W,6,FALSE)=0,"",VLOOKUP($B348,Показатели!$E:$W,6,FALSE)),"")</f>
        <v>359341556507.76624</v>
      </c>
      <c r="J348">
        <f>IFERROR(IF(VLOOKUP($B348,Показатели!$E:$W,7,FALSE)=0,"",VLOOKUP($B348,Показатели!$E:$W,7,FALSE)),"")</f>
        <v>79440853103.532471</v>
      </c>
      <c r="K348">
        <f>IFERROR(IF(VLOOKUP($B348,Показатели!$E:$W,8,FALSE)=0,"",VLOOKUP($B348,Показатели!$E:$W,8,FALSE)),"")</f>
        <v>140999536424.61819</v>
      </c>
      <c r="L348">
        <f>IFERROR(IF(VLOOKUP($B348,Показатели!$E:$W,9,FALSE)=0,"",VLOOKUP($B348,Показатели!$E:$W,9,FALSE)),"")</f>
        <v>107685877260.9039</v>
      </c>
      <c r="M348">
        <f>IFERROR(IF(VLOOKUP($B348,Показатели!$E:$W,10,FALSE)=0,"",VLOOKUP($B348,Показатели!$E:$W,10,FALSE)),"")</f>
        <v>138901166979.6156</v>
      </c>
      <c r="N348">
        <f>IFERROR(IF(VLOOKUP($B348,Показатели!$E:$W,11,FALSE)=0,"",VLOOKUP($B348,Показатели!$E:$W,11,FALSE)),"")</f>
        <v>391751224468.03638</v>
      </c>
      <c r="O348">
        <f>IFERROR(IF(VLOOKUP($B348,Показатели!$E:$W,12,FALSE)=0,"",VLOOKUP($B348,Показатели!$E:$W,12,FALSE)),"")</f>
        <v>104294516806.7065</v>
      </c>
      <c r="P348">
        <f>IFERROR(IF(VLOOKUP($B348,Показатели!$E:$W,13,FALSE)=0,"",VLOOKUP($B348,Показатели!$E:$W,13,FALSE)),"")</f>
        <v>44254776358.051949</v>
      </c>
      <c r="Q348">
        <f>IFERROR(IF(VLOOKUP($B348,Показатели!$E:$W,14,FALSE)=0,"",VLOOKUP($B348,Показатели!$E:$W,14,FALSE)),"")</f>
        <v>34450891000.176628</v>
      </c>
      <c r="R348" t="str">
        <f>IFERROR(IF(VLOOKUP($B348,Показатели!$E:$W,15,FALSE)=0,"",VLOOKUP($B348,Показатели!$E:$W,15,FALSE)),"")</f>
        <v/>
      </c>
      <c r="S348">
        <f>IFERROR(IF(VLOOKUP($B348,Показатели!$E:$W,16,FALSE)=0,"",VLOOKUP($B348,Показатели!$E:$W,16,FALSE)),"")</f>
        <v>128380348425.97403</v>
      </c>
      <c r="T348">
        <f>IFERROR(IF(VLOOKUP($B348,Показатели!$E:$W,17,FALSE)=0,"",VLOOKUP($B348,Показатели!$E:$W,17,FALSE)),"")</f>
        <v>29459798704.285717</v>
      </c>
      <c r="U348">
        <f>IFERROR(IF(VLOOKUP($B348,Показатели!$E:$W,18,FALSE)=0,"",VLOOKUP($B348,Показатели!$E:$W,18,FALSE)),"")</f>
        <v>321581984891.66345</v>
      </c>
      <c r="V348">
        <f>IFERROR(IF(VLOOKUP($B348,Показатели!$E:$W,19,FALSE)=0,"",VLOOKUP($B348,Показатели!$E:$W,19,FALSE)),"")</f>
        <v>293066574006.69122</v>
      </c>
    </row>
    <row r="349" spans="1:22" x14ac:dyDescent="0.2">
      <c r="A349" s="7" t="s">
        <v>2221</v>
      </c>
      <c r="B349" t="str">
        <f t="shared" si="5"/>
        <v>CHMF IV кв. 2014</v>
      </c>
      <c r="C349">
        <v>2014</v>
      </c>
      <c r="D349">
        <f>SUMIFS(Дивиденды!$C:$C,Дивиденды!$A:$A,A349,Дивиденды!$I:$I,C349)</f>
        <v>73.680000000000007</v>
      </c>
      <c r="E349">
        <f>IFERROR(IF(VLOOKUP($B349,Показатели!$E:$W,2,FALSE)=0,"",VLOOKUP($B349,Показатели!$E:$W,2,FALSE)),"")</f>
        <v>73517992532.252838</v>
      </c>
      <c r="F349">
        <f>IFERROR(IF(VLOOKUP($B349,Показатели!$E:$W,3,FALSE)=0,"",VLOOKUP($B349,Показатели!$E:$W,3,FALSE)),"")</f>
        <v>140321211895.49161</v>
      </c>
      <c r="G349">
        <f>IFERROR(IF(VLOOKUP($B349,Показатели!$E:$W,4,FALSE)=0,"",VLOOKUP($B349,Показатели!$E:$W,4,FALSE)),"")</f>
        <v>129319958057.84865</v>
      </c>
      <c r="H349" t="str">
        <f>IFERROR(IF(VLOOKUP($B349,Показатели!$E:$W,5,FALSE)=0,"",VLOOKUP($B349,Показатели!$E:$W,5,FALSE)),"")</f>
        <v/>
      </c>
      <c r="I349">
        <f>IFERROR(IF(VLOOKUP($B349,Показатели!$E:$W,6,FALSE)=0,"",VLOOKUP($B349,Показатели!$E:$W,6,FALSE)),"")</f>
        <v>293066574006.69122</v>
      </c>
      <c r="J349">
        <f>IFERROR(IF(VLOOKUP($B349,Показатели!$E:$W,7,FALSE)=0,"",VLOOKUP($B349,Показатели!$E:$W,7,FALSE)),"")</f>
        <v>67227502883.745995</v>
      </c>
      <c r="K349">
        <f>IFERROR(IF(VLOOKUP($B349,Показатели!$E:$W,8,FALSE)=0,"",VLOOKUP($B349,Показатели!$E:$W,8,FALSE)),"")</f>
        <v>115850448599.992</v>
      </c>
      <c r="L349">
        <f>IFERROR(IF(VLOOKUP($B349,Показатели!$E:$W,9,FALSE)=0,"",VLOOKUP($B349,Показатели!$E:$W,9,FALSE)),"")</f>
        <v>76133813232.182495</v>
      </c>
      <c r="M349">
        <f>IFERROR(IF(VLOOKUP($B349,Показатели!$E:$W,10,FALSE)=0,"",VLOOKUP($B349,Показатели!$E:$W,10,FALSE)),"")</f>
        <v>109988622522.95322</v>
      </c>
      <c r="N349">
        <f>IFERROR(IF(VLOOKUP($B349,Показатели!$E:$W,11,FALSE)=0,"",VLOOKUP($B349,Показатели!$E:$W,11,FALSE)),"")</f>
        <v>321581984891.66345</v>
      </c>
      <c r="O349">
        <f>IFERROR(IF(VLOOKUP($B349,Показатели!$E:$W,12,FALSE)=0,"",VLOOKUP($B349,Показатели!$E:$W,12,FALSE)),"")</f>
        <v>61796627307.438011</v>
      </c>
      <c r="P349">
        <f>IFERROR(IF(VLOOKUP($B349,Показатели!$E:$W,13,FALSE)=0,"",VLOOKUP($B349,Показатели!$E:$W,13,FALSE)),"")</f>
        <v>46536994898.038773</v>
      </c>
      <c r="Q349">
        <f>IFERROR(IF(VLOOKUP($B349,Показатели!$E:$W,14,FALSE)=0,"",VLOOKUP($B349,Показатели!$E:$W,14,FALSE)),"")</f>
        <v>-31565205483.64106</v>
      </c>
      <c r="R349" t="str">
        <f>IFERROR(IF(VLOOKUP($B349,Показатели!$E:$W,15,FALSE)=0,"",VLOOKUP($B349,Показатели!$E:$W,15,FALSE)),"")</f>
        <v/>
      </c>
      <c r="S349">
        <f>IFERROR(IF(VLOOKUP($B349,Показатели!$E:$W,16,FALSE)=0,"",VLOOKUP($B349,Показатели!$E:$W,16,FALSE)),"")</f>
        <v>85391612979.8479</v>
      </c>
      <c r="T349">
        <f>IFERROR(IF(VLOOKUP($B349,Показатели!$E:$W,17,FALSE)=0,"",VLOOKUP($B349,Показатели!$E:$W,17,FALSE)),"")</f>
        <v>32174032567.197334</v>
      </c>
      <c r="U349">
        <f>IFERROR(IF(VLOOKUP($B349,Показатели!$E:$W,18,FALSE)=0,"",VLOOKUP($B349,Показатели!$E:$W,18,FALSE)),"")</f>
        <v>419512884447.99994</v>
      </c>
      <c r="V349">
        <f>IFERROR(IF(VLOOKUP($B349,Показатели!$E:$W,19,FALSE)=0,"",VLOOKUP($B349,Показатели!$E:$W,19,FALSE)),"")</f>
        <v>463102677127.99994</v>
      </c>
    </row>
    <row r="350" spans="1:22" x14ac:dyDescent="0.2">
      <c r="A350" s="7" t="s">
        <v>2221</v>
      </c>
      <c r="B350" t="str">
        <f t="shared" si="5"/>
        <v>CHMF IV кв. 2013</v>
      </c>
      <c r="C350">
        <v>2013</v>
      </c>
      <c r="D350">
        <f>SUMIFS(Дивиденды!$C:$C,Дивиденды!$A:$A,A350,Дивиденды!$I:$I,C350)</f>
        <v>8.3000000000000007</v>
      </c>
      <c r="E350">
        <f>IFERROR(IF(VLOOKUP($B350,Показатели!$E:$W,2,FALSE)=0,"",VLOOKUP($B350,Показатели!$E:$W,2,FALSE)),"")</f>
        <v>33009447071.999996</v>
      </c>
      <c r="F350">
        <f>IFERROR(IF(VLOOKUP($B350,Показатели!$E:$W,3,FALSE)=0,"",VLOOKUP($B350,Показатели!$E:$W,3,FALSE)),"")</f>
        <v>156338676704</v>
      </c>
      <c r="G350">
        <f>IFERROR(IF(VLOOKUP($B350,Показатели!$E:$W,4,FALSE)=0,"",VLOOKUP($B350,Показатели!$E:$W,4,FALSE)),"")</f>
        <v>263011573887.99997</v>
      </c>
      <c r="H350" t="str">
        <f>IFERROR(IF(VLOOKUP($B350,Показатели!$E:$W,5,FALSE)=0,"",VLOOKUP($B350,Показатели!$E:$W,5,FALSE)),"")</f>
        <v/>
      </c>
      <c r="I350">
        <f>IFERROR(IF(VLOOKUP($B350,Показатели!$E:$W,6,FALSE)=0,"",VLOOKUP($B350,Показатели!$E:$W,6,FALSE)),"")</f>
        <v>463102677127.99994</v>
      </c>
      <c r="J350">
        <f>IFERROR(IF(VLOOKUP($B350,Показатели!$E:$W,7,FALSE)=0,"",VLOOKUP($B350,Показатели!$E:$W,7,FALSE)),"")</f>
        <v>158819639608</v>
      </c>
      <c r="K350">
        <f>IFERROR(IF(VLOOKUP($B350,Показатели!$E:$W,8,FALSE)=0,"",VLOOKUP($B350,Показатели!$E:$W,8,FALSE)),"")</f>
        <v>223056189047.99997</v>
      </c>
      <c r="L350" t="str">
        <f>IFERROR(IF(VLOOKUP($B350,Показатели!$E:$W,9,FALSE)=0,"",VLOOKUP($B350,Показатели!$E:$W,9,FALSE)),"")</f>
        <v/>
      </c>
      <c r="M350">
        <f>IFERROR(IF(VLOOKUP($B350,Показатели!$E:$W,10,FALSE)=0,"",VLOOKUP($B350,Показатели!$E:$W,10,FALSE)),"")</f>
        <v>81226848472</v>
      </c>
      <c r="N350">
        <f>IFERROR(IF(VLOOKUP($B350,Показатели!$E:$W,11,FALSE)=0,"",VLOOKUP($B350,Показатели!$E:$W,11,FALSE)),"")</f>
        <v>419512884447.99994</v>
      </c>
      <c r="O350">
        <f>IFERROR(IF(VLOOKUP($B350,Показатели!$E:$W,12,FALSE)=0,"",VLOOKUP($B350,Показатели!$E:$W,12,FALSE)),"")</f>
        <v>40095968808</v>
      </c>
      <c r="P350">
        <f>IFERROR(IF(VLOOKUP($B350,Показатели!$E:$W,13,FALSE)=0,"",VLOOKUP($B350,Показатели!$E:$W,13,FALSE)),"")</f>
        <v>3689532559.9999995</v>
      </c>
      <c r="Q350">
        <f>IFERROR(IF(VLOOKUP($B350,Показатели!$E:$W,14,FALSE)=0,"",VLOOKUP($B350,Показатели!$E:$W,14,FALSE)),"")</f>
        <v>2842364391.9999995</v>
      </c>
      <c r="R350" t="str">
        <f>IFERROR(IF(VLOOKUP($B350,Показатели!$E:$W,15,FALSE)=0,"",VLOOKUP($B350,Показатели!$E:$W,15,FALSE)),"")</f>
        <v/>
      </c>
      <c r="S350">
        <f>IFERROR(IF(VLOOKUP($B350,Показатели!$E:$W,16,FALSE)=0,"",VLOOKUP($B350,Показатели!$E:$W,16,FALSE)),"")</f>
        <v>65735431999.999992</v>
      </c>
      <c r="T350" t="str">
        <f>IFERROR(IF(VLOOKUP($B350,Показатели!$E:$W,17,FALSE)=0,"",VLOOKUP($B350,Показатели!$E:$W,17,FALSE)),"")</f>
        <v/>
      </c>
      <c r="U350">
        <f>IFERROR(IF(VLOOKUP($B350,Показатели!$E:$W,18,FALSE)=0,"",VLOOKUP($B350,Показатели!$E:$W,18,FALSE)),"")</f>
        <v>432259830306.96527</v>
      </c>
      <c r="V350">
        <f>IFERROR(IF(VLOOKUP($B350,Показатели!$E:$W,19,FALSE)=0,"",VLOOKUP($B350,Показатели!$E:$W,19,FALSE)),"")</f>
        <v>487912533482.73535</v>
      </c>
    </row>
    <row r="351" spans="1:22" x14ac:dyDescent="0.2">
      <c r="A351" s="7" t="s">
        <v>2221</v>
      </c>
      <c r="B351" t="str">
        <f t="shared" si="5"/>
        <v>CHMF IV кв. 2012</v>
      </c>
      <c r="C351">
        <v>2012</v>
      </c>
      <c r="D351">
        <f>SUMIFS(Дивиденды!$C:$C,Дивиденды!$A:$A,A351,Дивиденды!$I:$I,C351)</f>
        <v>10.66</v>
      </c>
      <c r="E351">
        <f>IFERROR(IF(VLOOKUP($B351,Показатели!$E:$W,2,FALSE)=0,"",VLOOKUP($B351,Показатели!$E:$W,2,FALSE)),"")</f>
        <v>53623204924.482727</v>
      </c>
      <c r="F351">
        <f>IFERROR(IF(VLOOKUP($B351,Показатели!$E:$W,3,FALSE)=0,"",VLOOKUP($B351,Показатели!$E:$W,3,FALSE)),"")</f>
        <v>176956156900.88266</v>
      </c>
      <c r="G351">
        <f>IFERROR(IF(VLOOKUP($B351,Показатели!$E:$W,4,FALSE)=0,"",VLOOKUP($B351,Показатели!$E:$W,4,FALSE)),"")</f>
        <v>262876822157.34698</v>
      </c>
      <c r="H351" t="str">
        <f>IFERROR(IF(VLOOKUP($B351,Показатели!$E:$W,5,FALSE)=0,"",VLOOKUP($B351,Показатели!$E:$W,5,FALSE)),"")</f>
        <v/>
      </c>
      <c r="I351">
        <f>IFERROR(IF(VLOOKUP($B351,Показатели!$E:$W,6,FALSE)=0,"",VLOOKUP($B351,Показатели!$E:$W,6,FALSE)),"")</f>
        <v>487912533482.73535</v>
      </c>
      <c r="J351">
        <f>IFERROR(IF(VLOOKUP($B351,Показатели!$E:$W,7,FALSE)=0,"",VLOOKUP($B351,Показатели!$E:$W,7,FALSE)),"")</f>
        <v>104671663525.36087</v>
      </c>
      <c r="K351">
        <f>IFERROR(IF(VLOOKUP($B351,Показатели!$E:$W,8,FALSE)=0,"",VLOOKUP($B351,Показатели!$E:$W,8,FALSE)),"")</f>
        <v>159114091796.91946</v>
      </c>
      <c r="L351" t="str">
        <f>IFERROR(IF(VLOOKUP($B351,Показатели!$E:$W,9,FALSE)=0,"",VLOOKUP($B351,Показатели!$E:$W,9,FALSE)),"")</f>
        <v/>
      </c>
      <c r="M351">
        <f>IFERROR(IF(VLOOKUP($B351,Показатели!$E:$W,10,FALSE)=0,"",VLOOKUP($B351,Показатели!$E:$W,10,FALSE)),"")</f>
        <v>224126778160.45505</v>
      </c>
      <c r="N351">
        <f>IFERROR(IF(VLOOKUP($B351,Показатели!$E:$W,11,FALSE)=0,"",VLOOKUP($B351,Показатели!$E:$W,11,FALSE)),"")</f>
        <v>432259830306.96527</v>
      </c>
      <c r="O351">
        <f>IFERROR(IF(VLOOKUP($B351,Показатели!$E:$W,12,FALSE)=0,"",VLOOKUP($B351,Показатели!$E:$W,12,FALSE)),"")</f>
        <v>42582125603.535606</v>
      </c>
      <c r="P351">
        <f>IFERROR(IF(VLOOKUP($B351,Показатели!$E:$W,13,FALSE)=0,"",VLOOKUP($B351,Показатели!$E:$W,13,FALSE)),"")</f>
        <v>32209831732.197685</v>
      </c>
      <c r="Q351">
        <f>IFERROR(IF(VLOOKUP($B351,Показатели!$E:$W,14,FALSE)=0,"",VLOOKUP($B351,Показатели!$E:$W,14,FALSE)),"")</f>
        <v>24025208685.737919</v>
      </c>
      <c r="R351" t="str">
        <f>IFERROR(IF(VLOOKUP($B351,Показатели!$E:$W,15,FALSE)=0,"",VLOOKUP($B351,Показатели!$E:$W,15,FALSE)),"")</f>
        <v/>
      </c>
      <c r="S351">
        <f>IFERROR(IF(VLOOKUP($B351,Показатели!$E:$W,16,FALSE)=0,"",VLOOKUP($B351,Показатели!$E:$W,16,FALSE)),"")</f>
        <v>65822404445.976974</v>
      </c>
      <c r="T351" t="str">
        <f>IFERROR(IF(VLOOKUP($B351,Показатели!$E:$W,17,FALSE)=0,"",VLOOKUP($B351,Показатели!$E:$W,17,FALSE)),"")</f>
        <v/>
      </c>
      <c r="U351">
        <f>IFERROR(IF(VLOOKUP($B351,Показатели!$E:$W,18,FALSE)=0,"",VLOOKUP($B351,Показатели!$E:$W,18,FALSE)),"")</f>
        <v>464923057112.30774</v>
      </c>
      <c r="V351">
        <f>IFERROR(IF(VLOOKUP($B351,Показатели!$E:$W,19,FALSE)=0,"",VLOOKUP($B351,Показатели!$E:$W,19,FALSE)),"")</f>
        <v>526591458852.70386</v>
      </c>
    </row>
    <row r="352" spans="1:22" x14ac:dyDescent="0.2">
      <c r="A352" s="7" t="s">
        <v>2221</v>
      </c>
      <c r="B352" t="str">
        <f t="shared" si="5"/>
        <v>CHMF IV кв. 2011</v>
      </c>
      <c r="C352">
        <v>2011</v>
      </c>
      <c r="D352">
        <f>SUMIFS(Дивиденды!$C:$C,Дивиденды!$A:$A,A352,Дивиденды!$I:$I,C352)</f>
        <v>15.19</v>
      </c>
      <c r="E352">
        <f>IFERROR(IF(VLOOKUP($B352,Показатели!$E:$W,2,FALSE)=0,"",VLOOKUP($B352,Показатели!$E:$W,2,FALSE)),"")</f>
        <v>54792554198.284622</v>
      </c>
      <c r="F352">
        <f>IFERROR(IF(VLOOKUP($B352,Показатели!$E:$W,3,FALSE)=0,"",VLOOKUP($B352,Показатели!$E:$W,3,FALSE)),"")</f>
        <v>262557154970.03079</v>
      </c>
      <c r="G352">
        <f>IFERROR(IF(VLOOKUP($B352,Показатели!$E:$W,4,FALSE)=0,"",VLOOKUP($B352,Показатели!$E:$W,4,FALSE)),"")</f>
        <v>219441954093.85385</v>
      </c>
      <c r="H352" t="str">
        <f>IFERROR(IF(VLOOKUP($B352,Показатели!$E:$W,5,FALSE)=0,"",VLOOKUP($B352,Показатели!$E:$W,5,FALSE)),"")</f>
        <v/>
      </c>
      <c r="I352">
        <f>IFERROR(IF(VLOOKUP($B352,Показатели!$E:$W,6,FALSE)=0,"",VLOOKUP($B352,Показатели!$E:$W,6,FALSE)),"")</f>
        <v>526591458852.70386</v>
      </c>
      <c r="J352">
        <f>IFERROR(IF(VLOOKUP($B352,Показатели!$E:$W,7,FALSE)=0,"",VLOOKUP($B352,Показатели!$E:$W,7,FALSE)),"")</f>
        <v>157885134592.82309</v>
      </c>
      <c r="K352">
        <f>IFERROR(IF(VLOOKUP($B352,Показатели!$E:$W,8,FALSE)=0,"",VLOOKUP($B352,Показатели!$E:$W,8,FALSE)),"")</f>
        <v>160909821846.57693</v>
      </c>
      <c r="L352" t="str">
        <f>IFERROR(IF(VLOOKUP($B352,Показатели!$E:$W,9,FALSE)=0,"",VLOOKUP($B352,Показатели!$E:$W,9,FALSE)),"")</f>
        <v/>
      </c>
      <c r="M352">
        <f>IFERROR(IF(VLOOKUP($B352,Показатели!$E:$W,10,FALSE)=0,"",VLOOKUP($B352,Показатели!$E:$W,10,FALSE)),"")</f>
        <v>207796502413.30386</v>
      </c>
      <c r="N352">
        <f>IFERROR(IF(VLOOKUP($B352,Показатели!$E:$W,11,FALSE)=0,"",VLOOKUP($B352,Показатели!$E:$W,11,FALSE)),"")</f>
        <v>464923057112.30774</v>
      </c>
      <c r="O352">
        <f>IFERROR(IF(VLOOKUP($B352,Показатели!$E:$W,12,FALSE)=0,"",VLOOKUP($B352,Показатели!$E:$W,12,FALSE)),"")</f>
        <v>85777398442.234619</v>
      </c>
      <c r="P352">
        <f>IFERROR(IF(VLOOKUP($B352,Показатели!$E:$W,13,FALSE)=0,"",VLOOKUP($B352,Показатели!$E:$W,13,FALSE)),"")</f>
        <v>71417749217.469238</v>
      </c>
      <c r="Q352">
        <f>IFERROR(IF(VLOOKUP($B352,Показатели!$E:$W,14,FALSE)=0,"",VLOOKUP($B352,Показатели!$E:$W,14,FALSE)),"")</f>
        <v>63913101208.67308</v>
      </c>
      <c r="R352" t="str">
        <f>IFERROR(IF(VLOOKUP($B352,Показатели!$E:$W,15,FALSE)=0,"",VLOOKUP($B352,Показатели!$E:$W,15,FALSE)),"")</f>
        <v/>
      </c>
      <c r="S352">
        <f>IFERROR(IF(VLOOKUP($B352,Показатели!$E:$W,16,FALSE)=0,"",VLOOKUP($B352,Показатели!$E:$W,16,FALSE)),"")</f>
        <v>105378325661.53847</v>
      </c>
      <c r="T352" t="str">
        <f>IFERROR(IF(VLOOKUP($B352,Показатели!$E:$W,17,FALSE)=0,"",VLOOKUP($B352,Показатели!$E:$W,17,FALSE)),"")</f>
        <v/>
      </c>
      <c r="U352" t="str">
        <f>IFERROR(IF(VLOOKUP($B352,Показатели!$E:$W,18,FALSE)=0,"",VLOOKUP($B352,Показатели!$E:$W,18,FALSE)),"")</f>
        <v/>
      </c>
      <c r="V352" t="str">
        <f>IFERROR(IF(VLOOKUP($B352,Показатели!$E:$W,19,FALSE)=0,"",VLOOKUP($B352,Показатели!$E:$W,19,FALSE)),"")</f>
        <v/>
      </c>
    </row>
    <row r="353" spans="1:22" x14ac:dyDescent="0.2">
      <c r="A353" s="7" t="s">
        <v>2221</v>
      </c>
      <c r="B353" t="str">
        <f t="shared" si="5"/>
        <v>CHMF IV кв. 2010</v>
      </c>
      <c r="C353">
        <v>2010</v>
      </c>
      <c r="D353">
        <f>SUMIFS(Дивиденды!$C:$C,Дивиденды!$A:$A,A353,Дивиденды!$I:$I,C353)</f>
        <v>6.71</v>
      </c>
      <c r="E353" t="str">
        <f>IFERROR(IF(VLOOKUP($B353,Показатели!$E:$W,2,FALSE)=0,"",VLOOKUP($B353,Показатели!$E:$W,2,FALSE)),"")</f>
        <v/>
      </c>
      <c r="F353" t="str">
        <f>IFERROR(IF(VLOOKUP($B353,Показатели!$E:$W,3,FALSE)=0,"",VLOOKUP($B353,Показатели!$E:$W,3,FALSE)),"")</f>
        <v/>
      </c>
      <c r="G353" t="str">
        <f>IFERROR(IF(VLOOKUP($B353,Показатели!$E:$W,4,FALSE)=0,"",VLOOKUP($B353,Показатели!$E:$W,4,FALSE)),"")</f>
        <v/>
      </c>
      <c r="H353" t="str">
        <f>IFERROR(IF(VLOOKUP($B353,Показатели!$E:$W,5,FALSE)=0,"",VLOOKUP($B353,Показатели!$E:$W,5,FALSE)),"")</f>
        <v/>
      </c>
      <c r="I353" t="str">
        <f>IFERROR(IF(VLOOKUP($B353,Показатели!$E:$W,6,FALSE)=0,"",VLOOKUP($B353,Показатели!$E:$W,6,FALSE)),"")</f>
        <v/>
      </c>
      <c r="J353" t="str">
        <f>IFERROR(IF(VLOOKUP($B353,Показатели!$E:$W,7,FALSE)=0,"",VLOOKUP($B353,Показатели!$E:$W,7,FALSE)),"")</f>
        <v/>
      </c>
      <c r="K353" t="str">
        <f>IFERROR(IF(VLOOKUP($B353,Показатели!$E:$W,8,FALSE)=0,"",VLOOKUP($B353,Показатели!$E:$W,8,FALSE)),"")</f>
        <v/>
      </c>
      <c r="L353" t="str">
        <f>IFERROR(IF(VLOOKUP($B353,Показатели!$E:$W,9,FALSE)=0,"",VLOOKUP($B353,Показатели!$E:$W,9,FALSE)),"")</f>
        <v/>
      </c>
      <c r="M353" t="str">
        <f>IFERROR(IF(VLOOKUP($B353,Показатели!$E:$W,10,FALSE)=0,"",VLOOKUP($B353,Показатели!$E:$W,10,FALSE)),"")</f>
        <v/>
      </c>
      <c r="N353" t="str">
        <f>IFERROR(IF(VLOOKUP($B353,Показатели!$E:$W,11,FALSE)=0,"",VLOOKUP($B353,Показатели!$E:$W,11,FALSE)),"")</f>
        <v/>
      </c>
      <c r="O353" t="str">
        <f>IFERROR(IF(VLOOKUP($B353,Показатели!$E:$W,12,FALSE)=0,"",VLOOKUP($B353,Показатели!$E:$W,12,FALSE)),"")</f>
        <v/>
      </c>
      <c r="P353" t="str">
        <f>IFERROR(IF(VLOOKUP($B353,Показатели!$E:$W,13,FALSE)=0,"",VLOOKUP($B353,Показатели!$E:$W,13,FALSE)),"")</f>
        <v/>
      </c>
      <c r="Q353" t="str">
        <f>IFERROR(IF(VLOOKUP($B353,Показатели!$E:$W,14,FALSE)=0,"",VLOOKUP($B353,Показатели!$E:$W,14,FALSE)),"")</f>
        <v/>
      </c>
      <c r="R353" t="str">
        <f>IFERROR(IF(VLOOKUP($B353,Показатели!$E:$W,15,FALSE)=0,"",VLOOKUP($B353,Показатели!$E:$W,15,FALSE)),"")</f>
        <v/>
      </c>
      <c r="S353" t="str">
        <f>IFERROR(IF(VLOOKUP($B353,Показатели!$E:$W,16,FALSE)=0,"",VLOOKUP($B353,Показатели!$E:$W,16,FALSE)),"")</f>
        <v/>
      </c>
      <c r="T353" t="str">
        <f>IFERROR(IF(VLOOKUP($B353,Показатели!$E:$W,17,FALSE)=0,"",VLOOKUP($B353,Показатели!$E:$W,17,FALSE)),"")</f>
        <v/>
      </c>
      <c r="U353" t="str">
        <f>IFERROR(IF(VLOOKUP($B353,Показатели!$E:$W,18,FALSE)=0,"",VLOOKUP($B353,Показатели!$E:$W,18,FALSE)),"")</f>
        <v/>
      </c>
      <c r="V353" t="str">
        <f>IFERROR(IF(VLOOKUP($B353,Показатели!$E:$W,19,FALSE)=0,"",VLOOKUP($B353,Показатели!$E:$W,19,FALSE)),"")</f>
        <v/>
      </c>
    </row>
    <row r="354" spans="1:22" x14ac:dyDescent="0.2">
      <c r="A354" s="7" t="s">
        <v>2315</v>
      </c>
      <c r="B354" t="str">
        <f t="shared" si="5"/>
        <v>GMKN IV кв. 2025</v>
      </c>
      <c r="C354">
        <v>2025</v>
      </c>
      <c r="D354">
        <f>SUMIFS(Дивиденды!$C:$C,Дивиденды!$A:$A,A354,Дивиденды!$I:$I,C354)</f>
        <v>0</v>
      </c>
      <c r="E354">
        <f>IFERROR(IF(VLOOKUP($B354,Показатели!$E:$W,2,FALSE)=0,"",VLOOKUP($B354,Показатели!$E:$W,2,FALSE)),"")</f>
        <v>175368142117.41568</v>
      </c>
      <c r="F354">
        <f>IFERROR(IF(VLOOKUP($B354,Показатели!$E:$W,3,FALSE)=0,"",VLOOKUP($B354,Показатели!$E:$W,3,FALSE)),"")</f>
        <v>643849228324.71887</v>
      </c>
      <c r="G354">
        <f>IFERROR(IF(VLOOKUP($B354,Показатели!$E:$W,4,FALSE)=0,"",VLOOKUP($B354,Показатели!$E:$W,4,FALSE)),"")</f>
        <v>1839533536332.3027</v>
      </c>
      <c r="H354">
        <f>IFERROR(IF(VLOOKUP($B354,Показатели!$E:$W,5,FALSE)=0,"",VLOOKUP($B354,Показатели!$E:$W,5,FALSE)),"")</f>
        <v>23315802370.78651</v>
      </c>
      <c r="I354">
        <f>IFERROR(IF(VLOOKUP($B354,Показатели!$E:$W,6,FALSE)=0,"",VLOOKUP($B354,Показатели!$E:$W,6,FALSE)),"")</f>
        <v>2602709710361.7969</v>
      </c>
      <c r="J354">
        <f>IFERROR(IF(VLOOKUP($B354,Показатели!$E:$W,7,FALSE)=0,"",VLOOKUP($B354,Показатели!$E:$W,7,FALSE)),"")</f>
        <v>552168162573.87622</v>
      </c>
      <c r="K354">
        <f>IFERROR(IF(VLOOKUP($B354,Показатели!$E:$W,8,FALSE)=0,"",VLOOKUP($B354,Показатели!$E:$W,8,FALSE)),"")</f>
        <v>930966680376.40417</v>
      </c>
      <c r="L354">
        <f>IFERROR(IF(VLOOKUP($B354,Показатели!$E:$W,9,FALSE)=0,"",VLOOKUP($B354,Показатели!$E:$W,9,FALSE)),"")</f>
        <v>1246895802500.5615</v>
      </c>
      <c r="M354">
        <f>IFERROR(IF(VLOOKUP($B354,Показатели!$E:$W,10,FALSE)=0,"",VLOOKUP($B354,Показатели!$E:$W,10,FALSE)),"")</f>
        <v>1119574867411.5166</v>
      </c>
      <c r="N354">
        <f>IFERROR(IF(VLOOKUP($B354,Показатели!$E:$W,11,FALSE)=0,"",VLOOKUP($B354,Показатели!$E:$W,11,FALSE)),"")</f>
        <v>1146054957246.9097</v>
      </c>
      <c r="O354">
        <f>IFERROR(IF(VLOOKUP($B354,Показатели!$E:$W,12,FALSE)=0,"",VLOOKUP($B354,Показатели!$E:$W,12,FALSE)),"")</f>
        <v>327920106200.56171</v>
      </c>
      <c r="P354">
        <f>IFERROR(IF(VLOOKUP($B354,Показатели!$E:$W,13,FALSE)=0,"",VLOOKUP($B354,Показатели!$E:$W,13,FALSE)),"")</f>
        <v>273627594965.73026</v>
      </c>
      <c r="Q354">
        <f>IFERROR(IF(VLOOKUP($B354,Показатели!$E:$W,14,FALSE)=0,"",VLOOKUP($B354,Показатели!$E:$W,14,FALSE)),"")</f>
        <v>205678685199.43814</v>
      </c>
      <c r="R354">
        <f>IFERROR(IF(VLOOKUP($B354,Показатели!$E:$W,15,FALSE)=0,"",VLOOKUP($B354,Показатели!$E:$W,15,FALSE)),"")</f>
        <v>117494989804.21346</v>
      </c>
      <c r="S354">
        <f>IFERROR(IF(VLOOKUP($B354,Показатели!$E:$W,16,FALSE)=0,"",VLOOKUP($B354,Показатели!$E:$W,16,FALSE)),"")</f>
        <v>471978456562.9212</v>
      </c>
      <c r="T354">
        <f>IFERROR(IF(VLOOKUP($B354,Показатели!$E:$W,17,FALSE)=0,"",VLOOKUP($B354,Показатели!$E:$W,17,FALSE)),"")</f>
        <v>-218835459394.38196</v>
      </c>
      <c r="U354">
        <f>IFERROR(IF(VLOOKUP($B354,Показатели!$E:$W,18,FALSE)=0,"",VLOOKUP($B354,Показатели!$E:$W,18,FALSE)),"")</f>
        <v>1160739347185.595</v>
      </c>
      <c r="V354">
        <f>IFERROR(IF(VLOOKUP($B354,Показатели!$E:$W,19,FALSE)=0,"",VLOOKUP($B354,Показатели!$E:$W,19,FALSE)),"")</f>
        <v>2145538944897.5059</v>
      </c>
    </row>
    <row r="355" spans="1:22" x14ac:dyDescent="0.2">
      <c r="A355" s="7" t="s">
        <v>2315</v>
      </c>
      <c r="B355" t="str">
        <f t="shared" si="5"/>
        <v>GMKN IV кв. 2024</v>
      </c>
      <c r="C355">
        <v>2024</v>
      </c>
      <c r="D355">
        <f>SUMIFS(Дивиденды!$C:$C,Дивиденды!$A:$A,A355,Дивиденды!$I:$I,C355)</f>
        <v>0</v>
      </c>
      <c r="E355">
        <f>IFERROR(IF(VLOOKUP($B355,Показатели!$E:$W,2,FALSE)=0,"",VLOOKUP($B355,Показатели!$E:$W,2,FALSE)),"")</f>
        <v>168716959758.44867</v>
      </c>
      <c r="F355">
        <f>IFERROR(IF(VLOOKUP($B355,Показатели!$E:$W,3,FALSE)=0,"",VLOOKUP($B355,Показатели!$E:$W,3,FALSE)),"")</f>
        <v>633846097445.98303</v>
      </c>
      <c r="G355">
        <f>IFERROR(IF(VLOOKUP($B355,Показатели!$E:$W,4,FALSE)=0,"",VLOOKUP($B355,Показатели!$E:$W,4,FALSE)),"")</f>
        <v>1413166587746.2598</v>
      </c>
      <c r="H355">
        <f>IFERROR(IF(VLOOKUP($B355,Показатели!$E:$W,5,FALSE)=0,"",VLOOKUP($B355,Показатели!$E:$W,5,FALSE)),"")</f>
        <v>19075572837.673122</v>
      </c>
      <c r="I355">
        <f>IFERROR(IF(VLOOKUP($B355,Показатели!$E:$W,6,FALSE)=0,"",VLOOKUP($B355,Показатели!$E:$W,6,FALSE)),"")</f>
        <v>2145538944897.5059</v>
      </c>
      <c r="J355">
        <f>IFERROR(IF(VLOOKUP($B355,Показатели!$E:$W,7,FALSE)=0,"",VLOOKUP($B355,Показатели!$E:$W,7,FALSE)),"")</f>
        <v>548098619544.59808</v>
      </c>
      <c r="K355">
        <f>IFERROR(IF(VLOOKUP($B355,Показатели!$E:$W,8,FALSE)=0,"",VLOOKUP($B355,Показатели!$E:$W,8,FALSE)),"")</f>
        <v>847659192990.5813</v>
      </c>
      <c r="L355">
        <f>IFERROR(IF(VLOOKUP($B355,Показатели!$E:$W,9,FALSE)=0,"",VLOOKUP($B355,Показатели!$E:$W,9,FALSE)),"")</f>
        <v>1170277133604.4316</v>
      </c>
      <c r="M355">
        <f>IFERROR(IF(VLOOKUP($B355,Показатели!$E:$W,10,FALSE)=0,"",VLOOKUP($B355,Показатели!$E:$W,10,FALSE)),"")</f>
        <v>749781132362.32654</v>
      </c>
      <c r="N355">
        <f>IFERROR(IF(VLOOKUP($B355,Показатели!$E:$W,11,FALSE)=0,"",VLOOKUP($B355,Показатели!$E:$W,11,FALSE)),"")</f>
        <v>1160739347185.595</v>
      </c>
      <c r="O355">
        <f>IFERROR(IF(VLOOKUP($B355,Показатели!$E:$W,12,FALSE)=0,"",VLOOKUP($B355,Показатели!$E:$W,12,FALSE)),"")</f>
        <v>330951928746.81427</v>
      </c>
      <c r="P355">
        <f>IFERROR(IF(VLOOKUP($B355,Показатели!$E:$W,13,FALSE)=0,"",VLOOKUP($B355,Показатели!$E:$W,13,FALSE)),"")</f>
        <v>222610083018.28244</v>
      </c>
      <c r="Q355">
        <f>IFERROR(IF(VLOOKUP($B355,Показатели!$E:$W,14,FALSE)=0,"",VLOOKUP($B355,Показатели!$E:$W,14,FALSE)),"")</f>
        <v>168068760681.44037</v>
      </c>
      <c r="R355">
        <f>IFERROR(IF(VLOOKUP($B355,Показатели!$E:$W,15,FALSE)=0,"",VLOOKUP($B355,Показатели!$E:$W,15,FALSE)),"")</f>
        <v>109360444278.11629</v>
      </c>
      <c r="S355">
        <f>IFERROR(IF(VLOOKUP($B355,Показатели!$E:$W,16,FALSE)=0,"",VLOOKUP($B355,Показатели!$E:$W,16,FALSE)),"")</f>
        <v>481148914876.4541</v>
      </c>
      <c r="T355">
        <f>IFERROR(IF(VLOOKUP($B355,Показатели!$E:$W,17,FALSE)=0,"",VLOOKUP($B355,Показатели!$E:$W,17,FALSE)),"")</f>
        <v>-225758478535.17996</v>
      </c>
      <c r="U355">
        <f>IFERROR(IF(VLOOKUP($B355,Показатели!$E:$W,18,FALSE)=0,"",VLOOKUP($B355,Показатели!$E:$W,18,FALSE)),"")</f>
        <v>1230825085187.5005</v>
      </c>
      <c r="V355">
        <f>IFERROR(IF(VLOOKUP($B355,Показатели!$E:$W,19,FALSE)=0,"",VLOOKUP($B355,Показатели!$E:$W,19,FALSE)),"")</f>
        <v>2014217191250.0007</v>
      </c>
    </row>
    <row r="356" spans="1:22" x14ac:dyDescent="0.2">
      <c r="A356" s="7" t="s">
        <v>2315</v>
      </c>
      <c r="B356" t="str">
        <f t="shared" si="5"/>
        <v>GMKN IV кв. 2023</v>
      </c>
      <c r="C356">
        <v>2023</v>
      </c>
      <c r="D356">
        <f>SUMIFS(Дивиденды!$C:$C,Дивиденды!$A:$A,A356,Дивиденды!$I:$I,C356)</f>
        <v>0</v>
      </c>
      <c r="E356">
        <f>IFERROR(IF(VLOOKUP($B356,Показатели!$E:$W,2,FALSE)=0,"",VLOOKUP($B356,Показатели!$E:$W,2,FALSE)),"")</f>
        <v>182714612895.8334</v>
      </c>
      <c r="F356">
        <f>IFERROR(IF(VLOOKUP($B356,Показатели!$E:$W,3,FALSE)=0,"",VLOOKUP($B356,Показатели!$E:$W,3,FALSE)),"")</f>
        <v>627157871847.22241</v>
      </c>
      <c r="G356">
        <f>IFERROR(IF(VLOOKUP($B356,Показатели!$E:$W,4,FALSE)=0,"",VLOOKUP($B356,Показатели!$E:$W,4,FALSE)),"")</f>
        <v>1296769770159.7227</v>
      </c>
      <c r="H356">
        <f>IFERROR(IF(VLOOKUP($B356,Показатели!$E:$W,5,FALSE)=0,"",VLOOKUP($B356,Показатели!$E:$W,5,FALSE)),"")</f>
        <v>20330097180.555561</v>
      </c>
      <c r="I356">
        <f>IFERROR(IF(VLOOKUP($B356,Показатели!$E:$W,6,FALSE)=0,"",VLOOKUP($B356,Показатели!$E:$W,6,FALSE)),"")</f>
        <v>2014217191250.0007</v>
      </c>
      <c r="J356">
        <f>IFERROR(IF(VLOOKUP($B356,Показатели!$E:$W,7,FALSE)=0,"",VLOOKUP($B356,Показатели!$E:$W,7,FALSE)),"")</f>
        <v>754349110090.27808</v>
      </c>
      <c r="K356">
        <f>IFERROR(IF(VLOOKUP($B356,Показатели!$E:$W,8,FALSE)=0,"",VLOOKUP($B356,Показатели!$E:$W,8,FALSE)),"")</f>
        <v>611098803486.11133</v>
      </c>
      <c r="L356">
        <f>IFERROR(IF(VLOOKUP($B356,Показатели!$E:$W,9,FALSE)=0,"",VLOOKUP($B356,Показатели!$E:$W,9,FALSE)),"")</f>
        <v>967302607027.77808</v>
      </c>
      <c r="M356">
        <f>IFERROR(IF(VLOOKUP($B356,Показатели!$E:$W,10,FALSE)=0,"",VLOOKUP($B356,Показатели!$E:$W,10,FALSE)),"")</f>
        <v>648769277673.61133</v>
      </c>
      <c r="N356">
        <f>IFERROR(IF(VLOOKUP($B356,Показатели!$E:$W,11,FALSE)=0,"",VLOOKUP($B356,Показатели!$E:$W,11,FALSE)),"")</f>
        <v>1230825085187.5005</v>
      </c>
      <c r="O356">
        <f>IFERROR(IF(VLOOKUP($B356,Показатели!$E:$W,12,FALSE)=0,"",VLOOKUP($B356,Показатели!$E:$W,12,FALSE)),"")</f>
        <v>473229993194.44458</v>
      </c>
      <c r="P356">
        <f>IFERROR(IF(VLOOKUP($B356,Показатели!$E:$W,13,FALSE)=0,"",VLOOKUP($B356,Показатели!$E:$W,13,FALSE)),"")</f>
        <v>301876316958.33344</v>
      </c>
      <c r="Q356">
        <f>IFERROR(IF(VLOOKUP($B356,Показатели!$E:$W,14,FALSE)=0,"",VLOOKUP($B356,Показатели!$E:$W,14,FALSE)),"")</f>
        <v>245157054236.11121</v>
      </c>
      <c r="R356">
        <f>IFERROR(IF(VLOOKUP($B356,Показатели!$E:$W,15,FALSE)=0,"",VLOOKUP($B356,Показатели!$E:$W,15,FALSE)),"")</f>
        <v>99514971493.055588</v>
      </c>
      <c r="S356">
        <f>IFERROR(IF(VLOOKUP($B356,Показатели!$E:$W,16,FALSE)=0,"",VLOOKUP($B356,Показатели!$E:$W,16,FALSE)),"")</f>
        <v>588035247861.11133</v>
      </c>
      <c r="T356">
        <f>IFERROR(IF(VLOOKUP($B356,Показатели!$E:$W,17,FALSE)=0,"",VLOOKUP($B356,Показатели!$E:$W,17,FALSE)),"")</f>
        <v>-259507711069.44452</v>
      </c>
      <c r="U356">
        <f>IFERROR(IF(VLOOKUP($B356,Показатели!$E:$W,18,FALSE)=0,"",VLOOKUP($B356,Показатели!$E:$W,18,FALSE)),"")</f>
        <v>1148894748929.9993</v>
      </c>
      <c r="V356">
        <f>IFERROR(IF(VLOOKUP($B356,Показатели!$E:$W,19,FALSE)=0,"",VLOOKUP($B356,Показатели!$E:$W,19,FALSE)),"")</f>
        <v>1756087938412.4988</v>
      </c>
    </row>
    <row r="357" spans="1:22" x14ac:dyDescent="0.2">
      <c r="A357" s="7" t="s">
        <v>2315</v>
      </c>
      <c r="B357" t="str">
        <f t="shared" si="5"/>
        <v>GMKN IV кв. 2022</v>
      </c>
      <c r="C357">
        <v>2022</v>
      </c>
      <c r="D357">
        <f>SUMIFS(Дивиденды!$C:$C,Дивиденды!$A:$A,A357,Дивиденды!$I:$I,C357)</f>
        <v>0</v>
      </c>
      <c r="E357">
        <f>IFERROR(IF(VLOOKUP($B357,Показатели!$E:$W,2,FALSE)=0,"",VLOOKUP($B357,Показатели!$E:$W,2,FALSE)),"")</f>
        <v>128123958134.99991</v>
      </c>
      <c r="F357">
        <f>IFERROR(IF(VLOOKUP($B357,Показатели!$E:$W,3,FALSE)=0,"",VLOOKUP($B357,Показатели!$E:$W,3,FALSE)),"")</f>
        <v>572064622852.49963</v>
      </c>
      <c r="G357">
        <f>IFERROR(IF(VLOOKUP($B357,Показатели!$E:$W,4,FALSE)=0,"",VLOOKUP($B357,Показатели!$E:$W,4,FALSE)),"")</f>
        <v>1107230635019.9993</v>
      </c>
      <c r="H357">
        <f>IFERROR(IF(VLOOKUP($B357,Показатели!$E:$W,5,FALSE)=0,"",VLOOKUP($B357,Показатели!$E:$W,5,FALSE)),"")</f>
        <v>20559742484.999985</v>
      </c>
      <c r="I357">
        <f>IFERROR(IF(VLOOKUP($B357,Показатели!$E:$W,6,FALSE)=0,"",VLOOKUP($B357,Показатели!$E:$W,6,FALSE)),"")</f>
        <v>1756087938412.4988</v>
      </c>
      <c r="J357">
        <f>IFERROR(IF(VLOOKUP($B357,Показатели!$E:$W,7,FALSE)=0,"",VLOOKUP($B357,Показатели!$E:$W,7,FALSE)),"")</f>
        <v>523456489957.49963</v>
      </c>
      <c r="K357">
        <f>IFERROR(IF(VLOOKUP($B357,Показатели!$E:$W,8,FALSE)=0,"",VLOOKUP($B357,Показатели!$E:$W,8,FALSE)),"")</f>
        <v>649401932332.49951</v>
      </c>
      <c r="L357">
        <f>IFERROR(IF(VLOOKUP($B357,Показатели!$E:$W,9,FALSE)=0,"",VLOOKUP($B357,Показатели!$E:$W,9,FALSE)),"")</f>
        <v>711285395639.99951</v>
      </c>
      <c r="M357">
        <f>IFERROR(IF(VLOOKUP($B357,Показатели!$E:$W,10,FALSE)=0,"",VLOOKUP($B357,Показатели!$E:$W,10,FALSE)),"")</f>
        <v>583229516122.49963</v>
      </c>
      <c r="N357">
        <f>IFERROR(IF(VLOOKUP($B357,Показатели!$E:$W,11,FALSE)=0,"",VLOOKUP($B357,Показатели!$E:$W,11,FALSE)),"")</f>
        <v>1148894748929.9993</v>
      </c>
      <c r="O357">
        <f>IFERROR(IF(VLOOKUP($B357,Показатели!$E:$W,12,FALSE)=0,"",VLOOKUP($B357,Показатели!$E:$W,12,FALSE)),"")</f>
        <v>516103999267.49963</v>
      </c>
      <c r="P357">
        <f>IFERROR(IF(VLOOKUP($B357,Показатели!$E:$W,13,FALSE)=0,"",VLOOKUP($B357,Показатели!$E:$W,13,FALSE)),"")</f>
        <v>502352118532.49963</v>
      </c>
      <c r="Q357">
        <f>IFERROR(IF(VLOOKUP($B357,Показатели!$E:$W,14,FALSE)=0,"",VLOOKUP($B357,Показатели!$E:$W,14,FALSE)),"")</f>
        <v>398532226844.99969</v>
      </c>
      <c r="R357">
        <f>IFERROR(IF(VLOOKUP($B357,Показатели!$E:$W,15,FALSE)=0,"",VLOOKUP($B357,Показатели!$E:$W,15,FALSE)),"")</f>
        <v>69848661554.999954</v>
      </c>
      <c r="S357">
        <f>IFERROR(IF(VLOOKUP($B357,Показатели!$E:$W,16,FALSE)=0,"",VLOOKUP($B357,Показатели!$E:$W,16,FALSE)),"")</f>
        <v>592079736397.49951</v>
      </c>
      <c r="T357">
        <f>IFERROR(IF(VLOOKUP($B357,Показатели!$E:$W,17,FALSE)=0,"",VLOOKUP($B357,Показатели!$E:$W,17,FALSE)),"")</f>
        <v>-292601898014.99976</v>
      </c>
      <c r="U357">
        <f>IFERROR(IF(VLOOKUP($B357,Показатели!$E:$W,18,FALSE)=0,"",VLOOKUP($B357,Показатели!$E:$W,18,FALSE)),"")</f>
        <v>1317045432292.3638</v>
      </c>
      <c r="V357">
        <f>IFERROR(IF(VLOOKUP($B357,Показатели!$E:$W,19,FALSE)=0,"",VLOOKUP($B357,Показатели!$E:$W,19,FALSE)),"")</f>
        <v>1728935676998.1821</v>
      </c>
    </row>
    <row r="358" spans="1:22" x14ac:dyDescent="0.2">
      <c r="A358" s="7" t="s">
        <v>2315</v>
      </c>
      <c r="B358" t="str">
        <f t="shared" si="5"/>
        <v>GMKN IV кв. 2021</v>
      </c>
      <c r="C358">
        <v>2021</v>
      </c>
      <c r="D358">
        <f>SUMIFS(Дивиденды!$C:$C,Дивиденды!$A:$A,A358,Дивиденды!$I:$I,C358)</f>
        <v>0</v>
      </c>
      <c r="E358">
        <f>IFERROR(IF(VLOOKUP($B358,Показатели!$E:$W,2,FALSE)=0,"",VLOOKUP($B358,Показатели!$E:$W,2,FALSE)),"")</f>
        <v>409234316206.90918</v>
      </c>
      <c r="F358">
        <f>IFERROR(IF(VLOOKUP($B358,Показатели!$E:$W,3,FALSE)=0,"",VLOOKUP($B358,Показатели!$E:$W,3,FALSE)),"")</f>
        <v>728167063450.90918</v>
      </c>
      <c r="G358">
        <f>IFERROR(IF(VLOOKUP($B358,Показатели!$E:$W,4,FALSE)=0,"",VLOOKUP($B358,Показатели!$E:$W,4,FALSE)),"")</f>
        <v>936878777990.18201</v>
      </c>
      <c r="H358">
        <f>IFERROR(IF(VLOOKUP($B358,Показатели!$E:$W,5,FALSE)=0,"",VLOOKUP($B358,Показатели!$E:$W,5,FALSE)),"")</f>
        <v>19550584783.636368</v>
      </c>
      <c r="I358">
        <f>IFERROR(IF(VLOOKUP($B358,Показатели!$E:$W,6,FALSE)=0,"",VLOOKUP($B358,Показатели!$E:$W,6,FALSE)),"")</f>
        <v>1728935676998.1821</v>
      </c>
      <c r="J358">
        <f>IFERROR(IF(VLOOKUP($B358,Показатели!$E:$W,7,FALSE)=0,"",VLOOKUP($B358,Показатели!$E:$W,7,FALSE)),"")</f>
        <v>596329723796.72742</v>
      </c>
      <c r="K358">
        <f>IFERROR(IF(VLOOKUP($B358,Показатели!$E:$W,8,FALSE)=0,"",VLOOKUP($B358,Показатели!$E:$W,8,FALSE)),"")</f>
        <v>779367462846.54565</v>
      </c>
      <c r="L358">
        <f>IFERROR(IF(VLOOKUP($B358,Показатели!$E:$W,9,FALSE)=0,"",VLOOKUP($B358,Показатели!$E:$W,9,FALSE)),"")</f>
        <v>603781078752.00012</v>
      </c>
      <c r="M358">
        <f>IFERROR(IF(VLOOKUP($B358,Показатели!$E:$W,10,FALSE)=0,"",VLOOKUP($B358,Показатели!$E:$W,10,FALSE)),"")</f>
        <v>353238490354.90918</v>
      </c>
      <c r="N358">
        <f>IFERROR(IF(VLOOKUP($B358,Показатели!$E:$W,11,FALSE)=0,"",VLOOKUP($B358,Показатели!$E:$W,11,FALSE)),"")</f>
        <v>1317045432292.3638</v>
      </c>
      <c r="O358">
        <f>IFERROR(IF(VLOOKUP($B358,Показатели!$E:$W,12,FALSE)=0,"",VLOOKUP($B358,Показатели!$E:$W,12,FALSE)),"")</f>
        <v>703525949044.36377</v>
      </c>
      <c r="P358">
        <f>IFERROR(IF(VLOOKUP($B358,Показатели!$E:$W,13,FALSE)=0,"",VLOOKUP($B358,Показатели!$E:$W,13,FALSE)),"")</f>
        <v>685008225343.63647</v>
      </c>
      <c r="Q358">
        <f>IFERROR(IF(VLOOKUP($B358,Показатели!$E:$W,14,FALSE)=0,"",VLOOKUP($B358,Показатели!$E:$W,14,FALSE)),"")</f>
        <v>514512370872.00012</v>
      </c>
      <c r="R358">
        <f>IFERROR(IF(VLOOKUP($B358,Показатели!$E:$W,15,FALSE)=0,"",VLOOKUP($B358,Показатели!$E:$W,15,FALSE)),"")</f>
        <v>68463934638.545464</v>
      </c>
      <c r="S358">
        <f>IFERROR(IF(VLOOKUP($B358,Показатели!$E:$W,16,FALSE)=0,"",VLOOKUP($B358,Показатели!$E:$W,16,FALSE)),"")</f>
        <v>775531121681.45471</v>
      </c>
      <c r="T358">
        <f>IFERROR(IF(VLOOKUP($B358,Показатели!$E:$W,17,FALSE)=0,"",VLOOKUP($B358,Показатели!$E:$W,17,FALSE)),"")</f>
        <v>-203916288082.90912</v>
      </c>
      <c r="U358">
        <f>IFERROR(IF(VLOOKUP($B358,Показатели!$E:$W,18,FALSE)=0,"",VLOOKUP($B358,Показатели!$E:$W,18,FALSE)),"")</f>
        <v>1123861967226.4814</v>
      </c>
      <c r="V358">
        <f>IFERROR(IF(VLOOKUP($B358,Показатели!$E:$W,19,FALSE)=0,"",VLOOKUP($B358,Показатели!$E:$W,19,FALSE)),"")</f>
        <v>1496988478185.3667</v>
      </c>
    </row>
    <row r="359" spans="1:22" x14ac:dyDescent="0.2">
      <c r="A359" s="7" t="s">
        <v>2315</v>
      </c>
      <c r="B359" t="str">
        <f t="shared" si="5"/>
        <v>GMKN IV кв. 2020</v>
      </c>
      <c r="C359">
        <v>2020</v>
      </c>
      <c r="D359">
        <f>SUMIFS(Дивиденды!$C:$C,Дивиденды!$A:$A,A359,Дивиденды!$I:$I,C359)</f>
        <v>0</v>
      </c>
      <c r="E359">
        <f>IFERROR(IF(VLOOKUP($B359,Показатели!$E:$W,2,FALSE)=0,"",VLOOKUP($B359,Показатели!$E:$W,2,FALSE)),"")</f>
        <v>375295430805.57513</v>
      </c>
      <c r="F359">
        <f>IFERROR(IF(VLOOKUP($B359,Показатели!$E:$W,3,FALSE)=0,"",VLOOKUP($B359,Показатели!$E:$W,3,FALSE)),"")</f>
        <v>618792832260.62756</v>
      </c>
      <c r="G359">
        <f>IFERROR(IF(VLOOKUP($B359,Показатели!$E:$W,4,FALSE)=0,"",VLOOKUP($B359,Показатели!$E:$W,4,FALSE)),"")</f>
        <v>778063846335.88892</v>
      </c>
      <c r="H359">
        <f>IFERROR(IF(VLOOKUP($B359,Показатели!$E:$W,5,FALSE)=0,"",VLOOKUP($B359,Показатели!$E:$W,5,FALSE)),"")</f>
        <v>16050006865.505236</v>
      </c>
      <c r="I359">
        <f>IFERROR(IF(VLOOKUP($B359,Показатели!$E:$W,6,FALSE)=0,"",VLOOKUP($B359,Показатели!$E:$W,6,FALSE)),"")</f>
        <v>1496988478185.3667</v>
      </c>
      <c r="J359">
        <f>IFERROR(IF(VLOOKUP($B359,Показатели!$E:$W,7,FALSE)=0,"",VLOOKUP($B359,Показатели!$E:$W,7,FALSE)),"")</f>
        <v>391273140342.85736</v>
      </c>
      <c r="K359">
        <f>IFERROR(IF(VLOOKUP($B359,Показатели!$E:$W,8,FALSE)=0,"",VLOOKUP($B359,Показатели!$E:$W,8,FALSE)),"")</f>
        <v>767725328400.00037</v>
      </c>
      <c r="L359">
        <f>IFERROR(IF(VLOOKUP($B359,Показатели!$E:$W,9,FALSE)=0,"",VLOOKUP($B359,Показатели!$E:$W,9,FALSE)),"")</f>
        <v>599344850968.64148</v>
      </c>
      <c r="M359">
        <f>IFERROR(IF(VLOOKUP($B359,Показатели!$E:$W,10,FALSE)=0,"",VLOOKUP($B359,Показатели!$E:$W,10,FALSE)),"")</f>
        <v>337990009442.50891</v>
      </c>
      <c r="N359">
        <f>IFERROR(IF(VLOOKUP($B359,Показатели!$E:$W,11,FALSE)=0,"",VLOOKUP($B359,Показатели!$E:$W,11,FALSE)),"")</f>
        <v>1123861967226.4814</v>
      </c>
      <c r="O359">
        <f>IFERROR(IF(VLOOKUP($B359,Показатели!$E:$W,12,FALSE)=0,"",VLOOKUP($B359,Показатели!$E:$W,12,FALSE)),"")</f>
        <v>462702900627.17798</v>
      </c>
      <c r="P359">
        <f>IFERROR(IF(VLOOKUP($B359,Показатели!$E:$W,13,FALSE)=0,"",VLOOKUP($B359,Показатели!$E:$W,13,FALSE)),"")</f>
        <v>331049465933.1012</v>
      </c>
      <c r="Q359">
        <f>IFERROR(IF(VLOOKUP($B359,Показатели!$E:$W,14,FALSE)=0,"",VLOOKUP($B359,Показатели!$E:$W,14,FALSE)),"")</f>
        <v>262728490762.36948</v>
      </c>
      <c r="R359">
        <f>IFERROR(IF(VLOOKUP($B359,Показатели!$E:$W,15,FALSE)=0,"",VLOOKUP($B359,Показатели!$E:$W,15,FALSE)),"")</f>
        <v>68176380514.285751</v>
      </c>
      <c r="S359">
        <f>IFERROR(IF(VLOOKUP($B359,Показатели!$E:$W,16,FALSE)=0,"",VLOOKUP($B359,Показатели!$E:$W,16,FALSE)),"")</f>
        <v>553146858234.14661</v>
      </c>
      <c r="T359">
        <f>IFERROR(IF(VLOOKUP($B359,Показатели!$E:$W,17,FALSE)=0,"",VLOOKUP($B359,Показатели!$E:$W,17,FALSE)),"")</f>
        <v>-127243297672.47394</v>
      </c>
      <c r="U359">
        <f>IFERROR(IF(VLOOKUP($B359,Показатели!$E:$W,18,FALSE)=0,"",VLOOKUP($B359,Показатели!$E:$W,18,FALSE)),"")</f>
        <v>877378178531.24939</v>
      </c>
      <c r="V359">
        <f>IFERROR(IF(VLOOKUP($B359,Показатели!$E:$W,19,FALSE)=0,"",VLOOKUP($B359,Показатели!$E:$W,19,FALSE)),"")</f>
        <v>1259755411687.499</v>
      </c>
    </row>
    <row r="360" spans="1:22" x14ac:dyDescent="0.2">
      <c r="A360" s="7" t="s">
        <v>2315</v>
      </c>
      <c r="B360" t="str">
        <f t="shared" si="5"/>
        <v>GMKN IV кв. 2019</v>
      </c>
      <c r="C360">
        <v>2019</v>
      </c>
      <c r="D360">
        <f>SUMIFS(Дивиденды!$C:$C,Дивиденды!$A:$A,A360,Дивиденды!$I:$I,C360)</f>
        <v>0</v>
      </c>
      <c r="E360">
        <f>IFERROR(IF(VLOOKUP($B360,Показатели!$E:$W,2,FALSE)=0,"",VLOOKUP($B360,Показатели!$E:$W,2,FALSE)),"")</f>
        <v>180094436999.99988</v>
      </c>
      <c r="F360">
        <f>IFERROR(IF(VLOOKUP($B360,Показатели!$E:$W,3,FALSE)=0,"",VLOOKUP($B360,Показатели!$E:$W,3,FALSE)),"")</f>
        <v>425330791406.24969</v>
      </c>
      <c r="G360">
        <f>IFERROR(IF(VLOOKUP($B360,Показатели!$E:$W,4,FALSE)=0,"",VLOOKUP($B360,Показатели!$E:$W,4,FALSE)),"")</f>
        <v>775816301343.74951</v>
      </c>
      <c r="H360">
        <f>IFERROR(IF(VLOOKUP($B360,Показатели!$E:$W,5,FALSE)=0,"",VLOOKUP($B360,Показатели!$E:$W,5,FALSE)),"")</f>
        <v>13908155156.24999</v>
      </c>
      <c r="I360">
        <f>IFERROR(IF(VLOOKUP($B360,Показатели!$E:$W,6,FALSE)=0,"",VLOOKUP($B360,Показатели!$E:$W,6,FALSE)),"")</f>
        <v>1259755411687.499</v>
      </c>
      <c r="J360">
        <f>IFERROR(IF(VLOOKUP($B360,Показатели!$E:$W,7,FALSE)=0,"",VLOOKUP($B360,Показатели!$E:$W,7,FALSE)),"")</f>
        <v>350744266312.49976</v>
      </c>
      <c r="K360">
        <f>IFERROR(IF(VLOOKUP($B360,Показатели!$E:$W,8,FALSE)=0,"",VLOOKUP($B360,Показатели!$E:$W,8,FALSE)),"")</f>
        <v>631689000468.74951</v>
      </c>
      <c r="L360">
        <f>IFERROR(IF(VLOOKUP($B360,Показатели!$E:$W,9,FALSE)=0,"",VLOOKUP($B360,Показатели!$E:$W,9,FALSE)),"")</f>
        <v>482063126624.99969</v>
      </c>
      <c r="M360">
        <f>IFERROR(IF(VLOOKUP($B360,Показатели!$E:$W,10,FALSE)=0,"",VLOOKUP($B360,Показатели!$E:$W,10,FALSE)),"")</f>
        <v>277322144906.24982</v>
      </c>
      <c r="N360">
        <f>IFERROR(IF(VLOOKUP($B360,Показатели!$E:$W,11,FALSE)=0,"",VLOOKUP($B360,Показатели!$E:$W,11,FALSE)),"")</f>
        <v>877378178531.24939</v>
      </c>
      <c r="O360">
        <f>IFERROR(IF(VLOOKUP($B360,Показатели!$E:$W,12,FALSE)=0,"",VLOOKUP($B360,Показатели!$E:$W,12,FALSE)),"")</f>
        <v>455152463624.99969</v>
      </c>
      <c r="P360">
        <f>IFERROR(IF(VLOOKUP($B360,Показатели!$E:$W,13,FALSE)=0,"",VLOOKUP($B360,Показатели!$E:$W,13,FALSE)),"")</f>
        <v>486720741374.99963</v>
      </c>
      <c r="Q360">
        <f>IFERROR(IF(VLOOKUP($B360,Показатели!$E:$W,14,FALSE)=0,"",VLOOKUP($B360,Показатели!$E:$W,14,FALSE)),"")</f>
        <v>385935133312.49976</v>
      </c>
      <c r="R360">
        <f>IFERROR(IF(VLOOKUP($B360,Показатели!$E:$W,15,FALSE)=0,"",VLOOKUP($B360,Показатели!$E:$W,15,FALSE)),"")</f>
        <v>58931764406.249962</v>
      </c>
      <c r="S360">
        <f>IFERROR(IF(VLOOKUP($B360,Показатели!$E:$W,16,FALSE)=0,"",VLOOKUP($B360,Показатели!$E:$W,16,FALSE)),"")</f>
        <v>512531689781.24963</v>
      </c>
      <c r="T360">
        <f>IFERROR(IF(VLOOKUP($B360,Показатели!$E:$W,17,FALSE)=0,"",VLOOKUP($B360,Показатели!$E:$W,17,FALSE)),"")</f>
        <v>-85648360124.999939</v>
      </c>
      <c r="U360">
        <f>IFERROR(IF(VLOOKUP($B360,Показатели!$E:$W,18,FALSE)=0,"",VLOOKUP($B360,Показатели!$E:$W,18,FALSE)),"")</f>
        <v>733682474541.52808</v>
      </c>
      <c r="V360">
        <f>IFERROR(IF(VLOOKUP($B360,Показатели!$E:$W,19,FALSE)=0,"",VLOOKUP($B360,Показатели!$E:$W,19,FALSE)),"")</f>
        <v>958816745435.54797</v>
      </c>
    </row>
    <row r="361" spans="1:22" x14ac:dyDescent="0.2">
      <c r="A361" s="7" t="s">
        <v>2315</v>
      </c>
      <c r="B361" t="str">
        <f t="shared" si="5"/>
        <v>GMKN IV кв. 2018</v>
      </c>
      <c r="C361">
        <v>2018</v>
      </c>
      <c r="D361">
        <f>SUMIFS(Дивиденды!$C:$C,Дивиденды!$A:$A,A361,Дивиденды!$I:$I,C361)</f>
        <v>0</v>
      </c>
      <c r="E361">
        <f>IFERROR(IF(VLOOKUP($B361,Показатели!$E:$W,2,FALSE)=0,"",VLOOKUP($B361,Показатели!$E:$W,2,FALSE)),"")</f>
        <v>87262320022.591354</v>
      </c>
      <c r="F361">
        <f>IFERROR(IF(VLOOKUP($B361,Показатели!$E:$W,3,FALSE)=0,"",VLOOKUP($B361,Показатели!$E:$W,3,FALSE)),"")</f>
        <v>286305911659.13617</v>
      </c>
      <c r="G361">
        <f>IFERROR(IF(VLOOKUP($B361,Показатели!$E:$W,4,FALSE)=0,"",VLOOKUP($B361,Показатели!$E:$W,4,FALSE)),"")</f>
        <v>624541705406.64441</v>
      </c>
      <c r="H361">
        <f>IFERROR(IF(VLOOKUP($B361,Показатели!$E:$W,5,FALSE)=0,"",VLOOKUP($B361,Показатели!$E:$W,5,FALSE)),"")</f>
        <v>10247664383.056477</v>
      </c>
      <c r="I361">
        <f>IFERROR(IF(VLOOKUP($B361,Показатели!$E:$W,6,FALSE)=0,"",VLOOKUP($B361,Показатели!$E:$W,6,FALSE)),"")</f>
        <v>958816745435.54797</v>
      </c>
      <c r="J361">
        <f>IFERROR(IF(VLOOKUP($B361,Показатели!$E:$W,7,FALSE)=0,"",VLOOKUP($B361,Показатели!$E:$W,7,FALSE)),"")</f>
        <v>148245353467.77405</v>
      </c>
      <c r="K361">
        <f>IFERROR(IF(VLOOKUP($B361,Показатели!$E:$W,8,FALSE)=0,"",VLOOKUP($B361,Показатели!$E:$W,8,FALSE)),"")</f>
        <v>592226984591.36206</v>
      </c>
      <c r="L361">
        <f>IFERROR(IF(VLOOKUP($B361,Показатели!$E:$W,9,FALSE)=0,"",VLOOKUP($B361,Показатели!$E:$W,9,FALSE)),"")</f>
        <v>459321693144.8504</v>
      </c>
      <c r="M361">
        <f>IFERROR(IF(VLOOKUP($B361,Показатели!$E:$W,10,FALSE)=0,"",VLOOKUP($B361,Показатели!$E:$W,10,FALSE)),"")</f>
        <v>218344407376.41193</v>
      </c>
      <c r="N361">
        <f>IFERROR(IF(VLOOKUP($B361,Показатели!$E:$W,11,FALSE)=0,"",VLOOKUP($B361,Показатели!$E:$W,11,FALSE)),"")</f>
        <v>733682474541.52808</v>
      </c>
      <c r="O361">
        <f>IFERROR(IF(VLOOKUP($B361,Показатели!$E:$W,12,FALSE)=0,"",VLOOKUP($B361,Показатели!$E:$W,12,FALSE)),"")</f>
        <v>340499081586.71088</v>
      </c>
      <c r="P361">
        <f>IFERROR(IF(VLOOKUP($B361,Показатели!$E:$W,13,FALSE)=0,"",VLOOKUP($B361,Показатели!$E:$W,13,FALSE)),"")</f>
        <v>245315254126.91025</v>
      </c>
      <c r="Q361">
        <f>IFERROR(IF(VLOOKUP($B361,Показатели!$E:$W,14,FALSE)=0,"",VLOOKUP($B361,Показатели!$E:$W,14,FALSE)),"")</f>
        <v>192316597225.58136</v>
      </c>
      <c r="R361">
        <f>IFERROR(IF(VLOOKUP($B361,Показатели!$E:$W,15,FALSE)=0,"",VLOOKUP($B361,Показатели!$E:$W,15,FALSE)),"")</f>
        <v>48094866583.056473</v>
      </c>
      <c r="S361">
        <f>IFERROR(IF(VLOOKUP($B361,Показатели!$E:$W,16,FALSE)=0,"",VLOOKUP($B361,Показатели!$E:$W,16,FALSE)),"")</f>
        <v>391737403501.99329</v>
      </c>
      <c r="T361">
        <f>IFERROR(IF(VLOOKUP($B361,Показатели!$E:$W,17,FALSE)=0,"",VLOOKUP($B361,Показатели!$E:$W,17,FALSE)),"")</f>
        <v>-97635722618.936859</v>
      </c>
      <c r="U361">
        <f>IFERROR(IF(VLOOKUP($B361,Показатели!$E:$W,18,FALSE)=0,"",VLOOKUP($B361,Показатели!$E:$W,18,FALSE)),"")</f>
        <v>533329327609.24072</v>
      </c>
      <c r="V361">
        <f>IFERROR(IF(VLOOKUP($B361,Показатели!$E:$W,19,FALSE)=0,"",VLOOKUP($B361,Показатели!$E:$W,19,FALSE)),"")</f>
        <v>970034262495.04907</v>
      </c>
    </row>
    <row r="362" spans="1:22" x14ac:dyDescent="0.2">
      <c r="A362" s="7" t="s">
        <v>2315</v>
      </c>
      <c r="B362" t="str">
        <f t="shared" si="5"/>
        <v>GMKN IV кв. 2017</v>
      </c>
      <c r="C362">
        <v>2017</v>
      </c>
      <c r="D362">
        <f>SUMIFS(Дивиденды!$C:$C,Дивиденды!$A:$A,A362,Дивиденды!$I:$I,C362)</f>
        <v>0</v>
      </c>
      <c r="E362">
        <f>IFERROR(IF(VLOOKUP($B362,Показатели!$E:$W,2,FALSE)=0,"",VLOOKUP($B362,Показатели!$E:$W,2,FALSE)),"")</f>
        <v>49682548340.59404</v>
      </c>
      <c r="F362">
        <f>IFERROR(IF(VLOOKUP($B362,Показатели!$E:$W,3,FALSE)=0,"",VLOOKUP($B362,Показатели!$E:$W,3,FALSE)),"")</f>
        <v>263923959846.86459</v>
      </c>
      <c r="G362">
        <f>IFERROR(IF(VLOOKUP($B362,Показатели!$E:$W,4,FALSE)=0,"",VLOOKUP($B362,Показатели!$E:$W,4,FALSE)),"")</f>
        <v>639108837808.58057</v>
      </c>
      <c r="H362">
        <f>IFERROR(IF(VLOOKUP($B362,Показатели!$E:$W,5,FALSE)=0,"",VLOOKUP($B362,Показатели!$E:$W,5,FALSE)),"")</f>
        <v>8630301824.4224396</v>
      </c>
      <c r="I362">
        <f>IFERROR(IF(VLOOKUP($B362,Показатели!$E:$W,6,FALSE)=0,"",VLOOKUP($B362,Показатели!$E:$W,6,FALSE)),"")</f>
        <v>970034262495.04907</v>
      </c>
      <c r="J362">
        <f>IFERROR(IF(VLOOKUP($B362,Показатели!$E:$W,7,FALSE)=0,"",VLOOKUP($B362,Показатели!$E:$W,7,FALSE)),"")</f>
        <v>137151823588.11876</v>
      </c>
      <c r="K362">
        <f>IFERROR(IF(VLOOKUP($B362,Показатели!$E:$W,8,FALSE)=0,"",VLOOKUP($B362,Показатели!$E:$W,8,FALSE)),"")</f>
        <v>561261182838.28357</v>
      </c>
      <c r="L362">
        <f>IFERROR(IF(VLOOKUP($B362,Показатели!$E:$W,9,FALSE)=0,"",VLOOKUP($B362,Показатели!$E:$W,9,FALSE)),"")</f>
        <v>440670208697.02954</v>
      </c>
      <c r="M362">
        <f>IFERROR(IF(VLOOKUP($B362,Показатели!$E:$W,10,FALSE)=0,"",VLOOKUP($B362,Показатели!$E:$W,10,FALSE)),"")</f>
        <v>271621256068.64676</v>
      </c>
      <c r="N362">
        <f>IFERROR(IF(VLOOKUP($B362,Показатели!$E:$W,11,FALSE)=0,"",VLOOKUP($B362,Показатели!$E:$W,11,FALSE)),"")</f>
        <v>533329327609.24072</v>
      </c>
      <c r="O362">
        <f>IFERROR(IF(VLOOKUP($B362,Показатели!$E:$W,12,FALSE)=0,"",VLOOKUP($B362,Показатели!$E:$W,12,FALSE)),"")</f>
        <v>182111031065.34647</v>
      </c>
      <c r="P362">
        <f>IFERROR(IF(VLOOKUP($B362,Показатели!$E:$W,13,FALSE)=0,"",VLOOKUP($B362,Показатели!$E:$W,13,FALSE)),"")</f>
        <v>165841745869.30685</v>
      </c>
      <c r="Q362">
        <f>IFERROR(IF(VLOOKUP($B362,Показатели!$E:$W,14,FALSE)=0,"",VLOOKUP($B362,Показатели!$E:$W,14,FALSE)),"")</f>
        <v>123798180900.32999</v>
      </c>
      <c r="R362">
        <f>IFERROR(IF(VLOOKUP($B362,Показатели!$E:$W,15,FALSE)=0,"",VLOOKUP($B362,Показатели!$E:$W,15,FALSE)),"")</f>
        <v>37611788356.435631</v>
      </c>
      <c r="S362">
        <f>IFERROR(IF(VLOOKUP($B362,Показатели!$E:$W,16,FALSE)=0,"",VLOOKUP($B362,Показатели!$E:$W,16,FALSE)),"")</f>
        <v>232959836409.24081</v>
      </c>
      <c r="T362">
        <f>IFERROR(IF(VLOOKUP($B362,Показатели!$E:$W,17,FALSE)=0,"",VLOOKUP($B362,Показатели!$E:$W,17,FALSE)),"")</f>
        <v>116742326030.36299</v>
      </c>
      <c r="U362">
        <f>IFERROR(IF(VLOOKUP($B362,Показатели!$E:$W,18,FALSE)=0,"",VLOOKUP($B362,Показатели!$E:$W,18,FALSE)),"")</f>
        <v>553802052373.40381</v>
      </c>
      <c r="V362">
        <f>IFERROR(IF(VLOOKUP($B362,Показатели!$E:$W,19,FALSE)=0,"",VLOOKUP($B362,Показатели!$E:$W,19,FALSE)),"")</f>
        <v>1103513788098.9353</v>
      </c>
    </row>
    <row r="363" spans="1:22" x14ac:dyDescent="0.2">
      <c r="A363" s="7" t="s">
        <v>2315</v>
      </c>
      <c r="B363" t="str">
        <f t="shared" si="5"/>
        <v>GMKN IV кв. 2016</v>
      </c>
      <c r="C363">
        <v>2016</v>
      </c>
      <c r="D363">
        <f>SUMIFS(Дивиденды!$C:$C,Дивиденды!$A:$A,A363,Дивиденды!$I:$I,C363)</f>
        <v>0</v>
      </c>
      <c r="E363">
        <f>IFERROR(IF(VLOOKUP($B363,Показатели!$E:$W,2,FALSE)=0,"",VLOOKUP($B363,Показатели!$E:$W,2,FALSE)),"")</f>
        <v>221346479584.04236</v>
      </c>
      <c r="F363">
        <f>IFERROR(IF(VLOOKUP($B363,Показатели!$E:$W,3,FALSE)=0,"",VLOOKUP($B363,Показатели!$E:$W,3,FALSE)),"")</f>
        <v>402728553887.2337</v>
      </c>
      <c r="G363">
        <f>IFERROR(IF(VLOOKUP($B363,Показатели!$E:$W,4,FALSE)=0,"",VLOOKUP($B363,Показатели!$E:$W,4,FALSE)),"")</f>
        <v>603891667717.02075</v>
      </c>
      <c r="H363" t="str">
        <f>IFERROR(IF(VLOOKUP($B363,Показатели!$E:$W,5,FALSE)=0,"",VLOOKUP($B363,Показатели!$E:$W,5,FALSE)),"")</f>
        <v/>
      </c>
      <c r="I363">
        <f>IFERROR(IF(VLOOKUP($B363,Показатели!$E:$W,6,FALSE)=0,"",VLOOKUP($B363,Показатели!$E:$W,6,FALSE)),"")</f>
        <v>1103513788098.9353</v>
      </c>
      <c r="J363">
        <f>IFERROR(IF(VLOOKUP($B363,Показатели!$E:$W,7,FALSE)=0,"",VLOOKUP($B363,Показатели!$E:$W,7,FALSE)),"")</f>
        <v>266608180195.74445</v>
      </c>
      <c r="K363">
        <f>IFERROR(IF(VLOOKUP($B363,Показатели!$E:$W,8,FALSE)=0,"",VLOOKUP($B363,Показатели!$E:$W,8,FALSE)),"")</f>
        <v>575661777409.57397</v>
      </c>
      <c r="L363">
        <f>IFERROR(IF(VLOOKUP($B363,Показатели!$E:$W,9,FALSE)=0,"",VLOOKUP($B363,Показатели!$E:$W,9,FALSE)),"")</f>
        <v>492179085170.21234</v>
      </c>
      <c r="M363">
        <f>IFERROR(IF(VLOOKUP($B363,Показатели!$E:$W,10,FALSE)=0,"",VLOOKUP($B363,Показатели!$E:$W,10,FALSE)),"")</f>
        <v>261243830493.61679</v>
      </c>
      <c r="N363">
        <f>IFERROR(IF(VLOOKUP($B363,Показатели!$E:$W,11,FALSE)=0,"",VLOOKUP($B363,Показатели!$E:$W,11,FALSE)),"")</f>
        <v>553802052373.40381</v>
      </c>
      <c r="O363">
        <f>IFERROR(IF(VLOOKUP($B363,Показатели!$E:$W,12,FALSE)=0,"",VLOOKUP($B363,Показатели!$E:$W,12,FALSE)),"")</f>
        <v>220005392158.51047</v>
      </c>
      <c r="P363">
        <f>IFERROR(IF(VLOOKUP($B363,Показатели!$E:$W,13,FALSE)=0,"",VLOOKUP($B363,Показатели!$E:$W,13,FALSE)),"")</f>
        <v>219670120302.12747</v>
      </c>
      <c r="Q363">
        <f>IFERROR(IF(VLOOKUP($B363,Показатели!$E:$W,14,FALSE)=0,"",VLOOKUP($B363,Показатели!$E:$W,14,FALSE)),"")</f>
        <v>169714613701.06369</v>
      </c>
      <c r="R363" t="str">
        <f>IFERROR(IF(VLOOKUP($B363,Показатели!$E:$W,15,FALSE)=0,"",VLOOKUP($B363,Показатели!$E:$W,15,FALSE)),"")</f>
        <v/>
      </c>
      <c r="S363">
        <f>IFERROR(IF(VLOOKUP($B363,Показатели!$E:$W,16,FALSE)=0,"",VLOOKUP($B363,Показатели!$E:$W,16,FALSE)),"")</f>
        <v>261512047978.72318</v>
      </c>
      <c r="T363">
        <f>IFERROR(IF(VLOOKUP($B363,Показатели!$E:$W,17,FALSE)=0,"",VLOOKUP($B363,Показатели!$E:$W,17,FALSE)),"")</f>
        <v>113657159313.8297</v>
      </c>
      <c r="U363">
        <f>IFERROR(IF(VLOOKUP($B363,Показатели!$E:$W,18,FALSE)=0,"",VLOOKUP($B363,Показатели!$E:$W,18,FALSE)),"")</f>
        <v>523198919968.83118</v>
      </c>
      <c r="V363">
        <f>IFERROR(IF(VLOOKUP($B363,Показатели!$E:$W,19,FALSE)=0,"",VLOOKUP($B363,Показатели!$E:$W,19,FALSE)),"")</f>
        <v>818975972711.68835</v>
      </c>
    </row>
    <row r="364" spans="1:22" x14ac:dyDescent="0.2">
      <c r="A364" s="7" t="s">
        <v>2315</v>
      </c>
      <c r="B364" t="str">
        <f t="shared" si="5"/>
        <v>GMKN IV кв. 2015</v>
      </c>
      <c r="C364">
        <v>2015</v>
      </c>
      <c r="D364">
        <f>SUMIFS(Дивиденды!$C:$C,Дивиденды!$A:$A,A364,Дивиденды!$I:$I,C364)</f>
        <v>0</v>
      </c>
      <c r="E364">
        <f>IFERROR(IF(VLOOKUP($B364,Показатели!$E:$W,2,FALSE)=0,"",VLOOKUP($B364,Показатели!$E:$W,2,FALSE)),"")</f>
        <v>248308173911.68832</v>
      </c>
      <c r="F364">
        <f>IFERROR(IF(VLOOKUP($B364,Показатели!$E:$W,3,FALSE)=0,"",VLOOKUP($B364,Показатели!$E:$W,3,FALSE)),"")</f>
        <v>405782351298.70129</v>
      </c>
      <c r="G364">
        <f>IFERROR(IF(VLOOKUP($B364,Показатели!$E:$W,4,FALSE)=0,"",VLOOKUP($B364,Показатели!$E:$W,4,FALSE)),"")</f>
        <v>391511062566.23376</v>
      </c>
      <c r="H364" t="str">
        <f>IFERROR(IF(VLOOKUP($B364,Показатели!$E:$W,5,FALSE)=0,"",VLOOKUP($B364,Показатели!$E:$W,5,FALSE)),"")</f>
        <v/>
      </c>
      <c r="I364">
        <f>IFERROR(IF(VLOOKUP($B364,Показатели!$E:$W,6,FALSE)=0,"",VLOOKUP($B364,Показатели!$E:$W,6,FALSE)),"")</f>
        <v>818975972711.68835</v>
      </c>
      <c r="J364">
        <f>IFERROR(IF(VLOOKUP($B364,Показатели!$E:$W,7,FALSE)=0,"",VLOOKUP($B364,Показатели!$E:$W,7,FALSE)),"")</f>
        <v>206780561205.19482</v>
      </c>
      <c r="K364">
        <f>IFERROR(IF(VLOOKUP($B364,Показатели!$E:$W,8,FALSE)=0,"",VLOOKUP($B364,Показатели!$E:$W,8,FALSE)),"")</f>
        <v>473708785651.94806</v>
      </c>
      <c r="L364">
        <f>IFERROR(IF(VLOOKUP($B364,Показатели!$E:$W,9,FALSE)=0,"",VLOOKUP($B364,Показатели!$E:$W,9,FALSE)),"")</f>
        <v>399534834342.85718</v>
      </c>
      <c r="M364">
        <f>IFERROR(IF(VLOOKUP($B364,Показатели!$E:$W,10,FALSE)=0,"",VLOOKUP($B364,Показатели!$E:$W,10,FALSE)),"")</f>
        <v>138486625854.54547</v>
      </c>
      <c r="N364">
        <f>IFERROR(IF(VLOOKUP($B364,Показатели!$E:$W,11,FALSE)=0,"",VLOOKUP($B364,Показатели!$E:$W,11,FALSE)),"")</f>
        <v>523198919968.83118</v>
      </c>
      <c r="O364">
        <f>IFERROR(IF(VLOOKUP($B364,Показатели!$E:$W,12,FALSE)=0,"",VLOOKUP($B364,Показатели!$E:$W,12,FALSE)),"")</f>
        <v>214743082815.58441</v>
      </c>
      <c r="P364">
        <f>IFERROR(IF(VLOOKUP($B364,Показатели!$E:$W,13,FALSE)=0,"",VLOOKUP($B364,Показатели!$E:$W,13,FALSE)),"")</f>
        <v>137445373028.57144</v>
      </c>
      <c r="Q364">
        <f>IFERROR(IF(VLOOKUP($B364,Показатели!$E:$W,14,FALSE)=0,"",VLOOKUP($B364,Показатели!$E:$W,14,FALSE)),"")</f>
        <v>105105285257.14287</v>
      </c>
      <c r="R364" t="str">
        <f>IFERROR(IF(VLOOKUP($B364,Показатели!$E:$W,15,FALSE)=0,"",VLOOKUP($B364,Показатели!$E:$W,15,FALSE)),"")</f>
        <v/>
      </c>
      <c r="S364">
        <f>IFERROR(IF(VLOOKUP($B364,Показатели!$E:$W,16,FALSE)=0,"",VLOOKUP($B364,Показатели!$E:$W,16,FALSE)),"")</f>
        <v>263375714805.19482</v>
      </c>
      <c r="T364">
        <f>IFERROR(IF(VLOOKUP($B364,Показатели!$E:$W,17,FALSE)=0,"",VLOOKUP($B364,Показатели!$E:$W,17,FALSE)),"")</f>
        <v>101307774950.64935</v>
      </c>
      <c r="U364">
        <f>IFERROR(IF(VLOOKUP($B364,Показатели!$E:$W,18,FALSE)=0,"",VLOOKUP($B364,Показатели!$E:$W,18,FALSE)),"")</f>
        <v>422345444860.83643</v>
      </c>
      <c r="V364">
        <f>IFERROR(IF(VLOOKUP($B364,Показатели!$E:$W,19,FALSE)=0,"",VLOOKUP($B364,Показатели!$E:$W,19,FALSE)),"")</f>
        <v>509675133487.07214</v>
      </c>
    </row>
    <row r="365" spans="1:22" x14ac:dyDescent="0.2">
      <c r="A365" s="7" t="s">
        <v>2315</v>
      </c>
      <c r="B365" t="str">
        <f t="shared" si="5"/>
        <v>GMKN IV кв. 2014</v>
      </c>
      <c r="C365">
        <v>2014</v>
      </c>
      <c r="D365">
        <f>SUMIFS(Дивиденды!$C:$C,Дивиденды!$A:$A,A365,Дивиденды!$I:$I,C365)</f>
        <v>0</v>
      </c>
      <c r="E365">
        <f>IFERROR(IF(VLOOKUP($B365,Показатели!$E:$W,2,FALSE)=0,"",VLOOKUP($B365,Показатели!$E:$W,2,FALSE)),"")</f>
        <v>108260905607.22432</v>
      </c>
      <c r="F365">
        <f>IFERROR(IF(VLOOKUP($B365,Показатели!$E:$W,3,FALSE)=0,"",VLOOKUP($B365,Показатели!$E:$W,3,FALSE)),"")</f>
        <v>220359200994.29654</v>
      </c>
      <c r="G365">
        <f>IFERROR(IF(VLOOKUP($B365,Показатели!$E:$W,4,FALSE)=0,"",VLOOKUP($B365,Показатели!$E:$W,4,FALSE)),"")</f>
        <v>271756967136.50186</v>
      </c>
      <c r="H365" t="str">
        <f>IFERROR(IF(VLOOKUP($B365,Показатели!$E:$W,5,FALSE)=0,"",VLOOKUP($B365,Показатели!$E:$W,5,FALSE)),"")</f>
        <v/>
      </c>
      <c r="I365">
        <f>IFERROR(IF(VLOOKUP($B365,Показатели!$E:$W,6,FALSE)=0,"",VLOOKUP($B365,Показатели!$E:$W,6,FALSE)),"")</f>
        <v>509675133487.07214</v>
      </c>
      <c r="J365">
        <f>IFERROR(IF(VLOOKUP($B365,Показатели!$E:$W,7,FALSE)=0,"",VLOOKUP($B365,Показатели!$E:$W,7,FALSE)),"")</f>
        <v>239313580815.96954</v>
      </c>
      <c r="K365">
        <f>IFERROR(IF(VLOOKUP($B365,Показатели!$E:$W,8,FALSE)=0,"",VLOOKUP($B365,Показатели!$E:$W,8,FALSE)),"")</f>
        <v>84577621208.365005</v>
      </c>
      <c r="L365">
        <f>IFERROR(IF(VLOOKUP($B365,Показатели!$E:$W,9,FALSE)=0,"",VLOOKUP($B365,Показатели!$E:$W,9,FALSE)),"")</f>
        <v>321526749735.74139</v>
      </c>
      <c r="M365">
        <f>IFERROR(IF(VLOOKUP($B365,Показатели!$E:$W,10,FALSE)=0,"",VLOOKUP($B365,Показатели!$E:$W,10,FALSE)),"")</f>
        <v>185783931462.73761</v>
      </c>
      <c r="N365">
        <f>IFERROR(IF(VLOOKUP($B365,Показатели!$E:$W,11,FALSE)=0,"",VLOOKUP($B365,Показатели!$E:$W,11,FALSE)),"")</f>
        <v>422345444860.83643</v>
      </c>
      <c r="O365">
        <f>IFERROR(IF(VLOOKUP($B365,Показатели!$E:$W,12,FALSE)=0,"",VLOOKUP($B365,Показатели!$E:$W,12,FALSE)),"")</f>
        <v>183962140355.13306</v>
      </c>
      <c r="P365">
        <f>IFERROR(IF(VLOOKUP($B365,Показатели!$E:$W,13,FALSE)=0,"",VLOOKUP($B365,Показатели!$E:$W,13,FALSE)),"")</f>
        <v>103105624387.83269</v>
      </c>
      <c r="Q365">
        <f>IFERROR(IF(VLOOKUP($B365,Показатели!$E:$W,14,FALSE)=0,"",VLOOKUP($B365,Показатели!$E:$W,14,FALSE)),"")</f>
        <v>77523025855.51329</v>
      </c>
      <c r="R365" t="str">
        <f>IFERROR(IF(VLOOKUP($B365,Показатели!$E:$W,15,FALSE)=0,"",VLOOKUP($B365,Показатели!$E:$W,15,FALSE)),"")</f>
        <v/>
      </c>
      <c r="S365">
        <f>IFERROR(IF(VLOOKUP($B365,Показатели!$E:$W,16,FALSE)=0,"",VLOOKUP($B365,Показатели!$E:$W,16,FALSE)),"")</f>
        <v>220940623688.21289</v>
      </c>
      <c r="T365">
        <f>IFERROR(IF(VLOOKUP($B365,Показатели!$E:$W,17,FALSE)=0,"",VLOOKUP($B365,Показатели!$E:$W,17,FALSE)),"")</f>
        <v>50312443780.228127</v>
      </c>
      <c r="U365">
        <f>IFERROR(IF(VLOOKUP($B365,Показатели!$E:$W,18,FALSE)=0,"",VLOOKUP($B365,Показатели!$E:$W,18,FALSE)),"")</f>
        <v>366085495999.99994</v>
      </c>
      <c r="V365">
        <f>IFERROR(IF(VLOOKUP($B365,Показатели!$E:$W,19,FALSE)=0,"",VLOOKUP($B365,Показатели!$E:$W,19,FALSE)),"")</f>
        <v>598437784000</v>
      </c>
    </row>
    <row r="366" spans="1:22" x14ac:dyDescent="0.2">
      <c r="A366" s="7" t="s">
        <v>2315</v>
      </c>
      <c r="B366" t="str">
        <f t="shared" si="5"/>
        <v>GMKN IV кв. 2013</v>
      </c>
      <c r="C366">
        <v>2013</v>
      </c>
      <c r="D366">
        <f>SUMIFS(Дивиденды!$C:$C,Дивиденды!$A:$A,A366,Дивиденды!$I:$I,C366)</f>
        <v>0</v>
      </c>
      <c r="E366">
        <f>IFERROR(IF(VLOOKUP($B366,Показатели!$E:$W,2,FALSE)=0,"",VLOOKUP($B366,Показатели!$E:$W,2,FALSE)),"")</f>
        <v>51651543999.999992</v>
      </c>
      <c r="F366">
        <f>IFERROR(IF(VLOOKUP($B366,Показатели!$E:$W,3,FALSE)=0,"",VLOOKUP($B366,Показатели!$E:$W,3,FALSE)),"")</f>
        <v>206861087999.99997</v>
      </c>
      <c r="G366">
        <f>IFERROR(IF(VLOOKUP($B366,Показатели!$E:$W,4,FALSE)=0,"",VLOOKUP($B366,Показатели!$E:$W,4,FALSE)),"")</f>
        <v>357577807999.99994</v>
      </c>
      <c r="H366" t="str">
        <f>IFERROR(IF(VLOOKUP($B366,Показатели!$E:$W,5,FALSE)=0,"",VLOOKUP($B366,Показатели!$E:$W,5,FALSE)),"")</f>
        <v/>
      </c>
      <c r="I366">
        <f>IFERROR(IF(VLOOKUP($B366,Показатели!$E:$W,6,FALSE)=0,"",VLOOKUP($B366,Показатели!$E:$W,6,FALSE)),"")</f>
        <v>598437784000</v>
      </c>
      <c r="J366">
        <f>IFERROR(IF(VLOOKUP($B366,Показатели!$E:$W,7,FALSE)=0,"",VLOOKUP($B366,Показатели!$E:$W,7,FALSE)),"")</f>
        <v>73223472000</v>
      </c>
      <c r="K366">
        <f>IFERROR(IF(VLOOKUP($B366,Показатели!$E:$W,8,FALSE)=0,"",VLOOKUP($B366,Показатели!$E:$W,8,FALSE)),"")</f>
        <v>214540311999.99997</v>
      </c>
      <c r="L366" t="str">
        <f>IFERROR(IF(VLOOKUP($B366,Показатели!$E:$W,9,FALSE)=0,"",VLOOKUP($B366,Показатели!$E:$W,9,FALSE)),"")</f>
        <v/>
      </c>
      <c r="M366">
        <f>IFERROR(IF(VLOOKUP($B366,Показатели!$E:$W,10,FALSE)=0,"",VLOOKUP($B366,Показатели!$E:$W,10,FALSE)),"")</f>
        <v>310674000000</v>
      </c>
      <c r="N366">
        <f>IFERROR(IF(VLOOKUP($B366,Показатели!$E:$W,11,FALSE)=0,"",VLOOKUP($B366,Показатели!$E:$W,11,FALSE)),"")</f>
        <v>366085495999.99994</v>
      </c>
      <c r="O366">
        <f>IFERROR(IF(VLOOKUP($B366,Показатели!$E:$W,12,FALSE)=0,"",VLOOKUP($B366,Показатели!$E:$W,12,FALSE)),"")</f>
        <v>78895264000</v>
      </c>
      <c r="P366">
        <f>IFERROR(IF(VLOOKUP($B366,Показатели!$E:$W,13,FALSE)=0,"",VLOOKUP($B366,Показатели!$E:$W,13,FALSE)),"")</f>
        <v>42379120000</v>
      </c>
      <c r="Q366">
        <f>IFERROR(IF(VLOOKUP($B366,Показатели!$E:$W,14,FALSE)=0,"",VLOOKUP($B366,Показатели!$E:$W,14,FALSE)),"")</f>
        <v>24375959999.999996</v>
      </c>
      <c r="R366" t="str">
        <f>IFERROR(IF(VLOOKUP($B366,Показатели!$E:$W,15,FALSE)=0,"",VLOOKUP($B366,Показатели!$E:$W,15,FALSE)),"")</f>
        <v/>
      </c>
      <c r="S366">
        <f>IFERROR(IF(VLOOKUP($B366,Показатели!$E:$W,16,FALSE)=0,"",VLOOKUP($B366,Показатели!$E:$W,16,FALSE)),"")</f>
        <v>133828799999.99998</v>
      </c>
      <c r="T366" t="str">
        <f>IFERROR(IF(VLOOKUP($B366,Показатели!$E:$W,17,FALSE)=0,"",VLOOKUP($B366,Показатели!$E:$W,17,FALSE)),"")</f>
        <v/>
      </c>
      <c r="U366">
        <f>IFERROR(IF(VLOOKUP($B366,Показатели!$E:$W,18,FALSE)=0,"",VLOOKUP($B366,Показатели!$E:$W,18,FALSE)),"")</f>
        <v>375120000000</v>
      </c>
      <c r="V366">
        <f>IFERROR(IF(VLOOKUP($B366,Показатели!$E:$W,19,FALSE)=0,"",VLOOKUP($B366,Показатели!$E:$W,19,FALSE)),"")</f>
        <v>637046000000</v>
      </c>
    </row>
    <row r="367" spans="1:22" x14ac:dyDescent="0.2">
      <c r="A367" s="7" t="s">
        <v>2315</v>
      </c>
      <c r="B367" t="str">
        <f t="shared" si="5"/>
        <v>GMKN IV кв. 2012</v>
      </c>
      <c r="C367">
        <v>2012</v>
      </c>
      <c r="D367">
        <f>SUMIFS(Дивиденды!$C:$C,Дивиденды!$A:$A,A367,Дивиденды!$I:$I,C367)</f>
        <v>0</v>
      </c>
      <c r="E367">
        <f>IFERROR(IF(VLOOKUP($B367,Показатели!$E:$W,2,FALSE)=0,"",VLOOKUP($B367,Показатели!$E:$W,2,FALSE)),"")</f>
        <v>31487000000</v>
      </c>
      <c r="F367">
        <f>IFERROR(IF(VLOOKUP($B367,Показатели!$E:$W,3,FALSE)=0,"",VLOOKUP($B367,Показатели!$E:$W,3,FALSE)),"")</f>
        <v>206935000000</v>
      </c>
      <c r="G367">
        <f>IFERROR(IF(VLOOKUP($B367,Показатели!$E:$W,4,FALSE)=0,"",VLOOKUP($B367,Показатели!$E:$W,4,FALSE)),"")</f>
        <v>2237000000</v>
      </c>
      <c r="H367" t="str">
        <f>IFERROR(IF(VLOOKUP($B367,Показатели!$E:$W,5,FALSE)=0,"",VLOOKUP($B367,Показатели!$E:$W,5,FALSE)),"")</f>
        <v/>
      </c>
      <c r="I367">
        <f>IFERROR(IF(VLOOKUP($B367,Показатели!$E:$W,6,FALSE)=0,"",VLOOKUP($B367,Показатели!$E:$W,6,FALSE)),"")</f>
        <v>637046000000</v>
      </c>
      <c r="J367">
        <f>IFERROR(IF(VLOOKUP($B367,Показатели!$E:$W,7,FALSE)=0,"",VLOOKUP($B367,Показатели!$E:$W,7,FALSE)),"")</f>
        <v>120553000000</v>
      </c>
      <c r="K367">
        <f>IFERROR(IF(VLOOKUP($B367,Показатели!$E:$W,8,FALSE)=0,"",VLOOKUP($B367,Показатели!$E:$W,8,FALSE)),"")</f>
        <v>123473000000</v>
      </c>
      <c r="L367" t="str">
        <f>IFERROR(IF(VLOOKUP($B367,Показатели!$E:$W,9,FALSE)=0,"",VLOOKUP($B367,Показатели!$E:$W,9,FALSE)),"")</f>
        <v/>
      </c>
      <c r="M367">
        <f>IFERROR(IF(VLOOKUP($B367,Показатели!$E:$W,10,FALSE)=0,"",VLOOKUP($B367,Показатели!$E:$W,10,FALSE)),"")</f>
        <v>393020000000</v>
      </c>
      <c r="N367">
        <f>IFERROR(IF(VLOOKUP($B367,Показатели!$E:$W,11,FALSE)=0,"",VLOOKUP($B367,Показатели!$E:$W,11,FALSE)),"")</f>
        <v>375120000000</v>
      </c>
      <c r="O367">
        <f>IFERROR(IF(VLOOKUP($B367,Показатели!$E:$W,12,FALSE)=0,"",VLOOKUP($B367,Показатели!$E:$W,12,FALSE)),"")</f>
        <v>120370000000</v>
      </c>
      <c r="P367">
        <f>IFERROR(IF(VLOOKUP($B367,Показатели!$E:$W,13,FALSE)=0,"",VLOOKUP($B367,Показатели!$E:$W,13,FALSE)),"")</f>
        <v>98433000000</v>
      </c>
      <c r="Q367">
        <f>IFERROR(IF(VLOOKUP($B367,Показатели!$E:$W,14,FALSE)=0,"",VLOOKUP($B367,Показатели!$E:$W,14,FALSE)),"")</f>
        <v>67355000000</v>
      </c>
      <c r="R367" t="str">
        <f>IFERROR(IF(VLOOKUP($B367,Показатели!$E:$W,15,FALSE)=0,"",VLOOKUP($B367,Показатели!$E:$W,15,FALSE)),"")</f>
        <v/>
      </c>
      <c r="S367" t="str">
        <f>IFERROR(IF(VLOOKUP($B367,Показатели!$E:$W,16,FALSE)=0,"",VLOOKUP($B367,Показатели!$E:$W,16,FALSE)),"")</f>
        <v/>
      </c>
      <c r="T367" t="str">
        <f>IFERROR(IF(VLOOKUP($B367,Показатели!$E:$W,17,FALSE)=0,"",VLOOKUP($B367,Показатели!$E:$W,17,FALSE)),"")</f>
        <v/>
      </c>
      <c r="U367">
        <f>IFERROR(IF(VLOOKUP($B367,Показатели!$E:$W,18,FALSE)=0,"",VLOOKUP($B367,Показатели!$E:$W,18,FALSE)),"")</f>
        <v>415221181638.46155</v>
      </c>
      <c r="V367">
        <f>IFERROR(IF(VLOOKUP($B367,Показатели!$E:$W,19,FALSE)=0,"",VLOOKUP($B367,Показатели!$E:$W,19,FALSE)),"")</f>
        <v>556058843446.15393</v>
      </c>
    </row>
    <row r="368" spans="1:22" x14ac:dyDescent="0.2">
      <c r="A368" s="7" t="s">
        <v>2315</v>
      </c>
      <c r="B368" t="str">
        <f t="shared" si="5"/>
        <v>GMKN IV кв. 2011</v>
      </c>
      <c r="C368">
        <v>2011</v>
      </c>
      <c r="D368">
        <f>SUMIFS(Дивиденды!$C:$C,Дивиденды!$A:$A,A368,Дивиденды!$I:$I,C368)</f>
        <v>0</v>
      </c>
      <c r="E368">
        <f>IFERROR(IF(VLOOKUP($B368,Показатели!$E:$W,2,FALSE)=0,"",VLOOKUP($B368,Показатели!$E:$W,2,FALSE)),"")</f>
        <v>47837761119.230774</v>
      </c>
      <c r="F368">
        <f>IFERROR(IF(VLOOKUP($B368,Показатели!$E:$W,3,FALSE)=0,"",VLOOKUP($B368,Показатели!$E:$W,3,FALSE)),"")</f>
        <v>193144592988.46155</v>
      </c>
      <c r="G368">
        <f>IFERROR(IF(VLOOKUP($B368,Показатели!$E:$W,4,FALSE)=0,"",VLOOKUP($B368,Показатели!$E:$W,4,FALSE)),"")</f>
        <v>281822335788.46155</v>
      </c>
      <c r="H368" t="str">
        <f>IFERROR(IF(VLOOKUP($B368,Показатели!$E:$W,5,FALSE)=0,"",VLOOKUP($B368,Показатели!$E:$W,5,FALSE)),"")</f>
        <v/>
      </c>
      <c r="I368">
        <f>IFERROR(IF(VLOOKUP($B368,Показатели!$E:$W,6,FALSE)=0,"",VLOOKUP($B368,Показатели!$E:$W,6,FALSE)),"")</f>
        <v>556058843446.15393</v>
      </c>
      <c r="J368">
        <f>IFERROR(IF(VLOOKUP($B368,Показатели!$E:$W,7,FALSE)=0,"",VLOOKUP($B368,Показатели!$E:$W,7,FALSE)),"")</f>
        <v>112611324576.92308</v>
      </c>
      <c r="K368">
        <f>IFERROR(IF(VLOOKUP($B368,Показатели!$E:$W,8,FALSE)=0,"",VLOOKUP($B368,Показатели!$E:$W,8,FALSE)),"")</f>
        <v>113493397615.38463</v>
      </c>
      <c r="L368" t="str">
        <f>IFERROR(IF(VLOOKUP($B368,Показатели!$E:$W,9,FALSE)=0,"",VLOOKUP($B368,Показатели!$E:$W,9,FALSE)),"")</f>
        <v/>
      </c>
      <c r="M368">
        <f>IFERROR(IF(VLOOKUP($B368,Показатели!$E:$W,10,FALSE)=0,"",VLOOKUP($B368,Показатели!$E:$W,10,FALSE)),"")</f>
        <v>329954121253.84619</v>
      </c>
      <c r="N368">
        <f>IFERROR(IF(VLOOKUP($B368,Показатели!$E:$W,11,FALSE)=0,"",VLOOKUP($B368,Показатели!$E:$W,11,FALSE)),"")</f>
        <v>415221181638.46155</v>
      </c>
      <c r="O368">
        <f>IFERROR(IF(VLOOKUP($B368,Показатели!$E:$W,12,FALSE)=0,"",VLOOKUP($B368,Показатели!$E:$W,12,FALSE)),"")</f>
        <v>183324179826.9231</v>
      </c>
      <c r="P368">
        <f>IFERROR(IF(VLOOKUP($B368,Показатели!$E:$W,13,FALSE)=0,"",VLOOKUP($B368,Показатели!$E:$W,13,FALSE)),"")</f>
        <v>166006145838.46155</v>
      </c>
      <c r="Q368">
        <f>IFERROR(IF(VLOOKUP($B368,Показатели!$E:$W,14,FALSE)=0,"",VLOOKUP($B368,Показатели!$E:$W,14,FALSE)),"")</f>
        <v>106613227915.38463</v>
      </c>
      <c r="R368" t="str">
        <f>IFERROR(IF(VLOOKUP($B368,Показатели!$E:$W,15,FALSE)=0,"",VLOOKUP($B368,Показатели!$E:$W,15,FALSE)),"")</f>
        <v/>
      </c>
      <c r="S368">
        <f>IFERROR(IF(VLOOKUP($B368,Показатели!$E:$W,16,FALSE)=0,"",VLOOKUP($B368,Показатели!$E:$W,16,FALSE)),"")</f>
        <v>212844224180.76926</v>
      </c>
      <c r="T368" t="str">
        <f>IFERROR(IF(VLOOKUP($B368,Показатели!$E:$W,17,FALSE)=0,"",VLOOKUP($B368,Показатели!$E:$W,17,FALSE)),"")</f>
        <v/>
      </c>
      <c r="U368" t="str">
        <f>IFERROR(IF(VLOOKUP($B368,Показатели!$E:$W,18,FALSE)=0,"",VLOOKUP($B368,Показатели!$E:$W,18,FALSE)),"")</f>
        <v/>
      </c>
      <c r="V368" t="str">
        <f>IFERROR(IF(VLOOKUP($B368,Показатели!$E:$W,19,FALSE)=0,"",VLOOKUP($B368,Показатели!$E:$W,19,FALSE)),"")</f>
        <v/>
      </c>
    </row>
    <row r="369" spans="1:22" x14ac:dyDescent="0.2">
      <c r="A369" s="7" t="s">
        <v>2315</v>
      </c>
      <c r="B369" t="str">
        <f t="shared" si="5"/>
        <v>GMKN IV кв. 2010</v>
      </c>
      <c r="C369">
        <v>2010</v>
      </c>
      <c r="D369">
        <f>SUMIFS(Дивиденды!$C:$C,Дивиденды!$A:$A,A369,Дивиденды!$I:$I,C369)</f>
        <v>0</v>
      </c>
      <c r="E369" t="str">
        <f>IFERROR(IF(VLOOKUP($B369,Показатели!$E:$W,2,FALSE)=0,"",VLOOKUP($B369,Показатели!$E:$W,2,FALSE)),"")</f>
        <v/>
      </c>
      <c r="F369" t="str">
        <f>IFERROR(IF(VLOOKUP($B369,Показатели!$E:$W,3,FALSE)=0,"",VLOOKUP($B369,Показатели!$E:$W,3,FALSE)),"")</f>
        <v/>
      </c>
      <c r="G369" t="str">
        <f>IFERROR(IF(VLOOKUP($B369,Показатели!$E:$W,4,FALSE)=0,"",VLOOKUP($B369,Показатели!$E:$W,4,FALSE)),"")</f>
        <v/>
      </c>
      <c r="H369" t="str">
        <f>IFERROR(IF(VLOOKUP($B369,Показатели!$E:$W,5,FALSE)=0,"",VLOOKUP($B369,Показатели!$E:$W,5,FALSE)),"")</f>
        <v/>
      </c>
      <c r="I369" t="str">
        <f>IFERROR(IF(VLOOKUP($B369,Показатели!$E:$W,6,FALSE)=0,"",VLOOKUP($B369,Показатели!$E:$W,6,FALSE)),"")</f>
        <v/>
      </c>
      <c r="J369" t="str">
        <f>IFERROR(IF(VLOOKUP($B369,Показатели!$E:$W,7,FALSE)=0,"",VLOOKUP($B369,Показатели!$E:$W,7,FALSE)),"")</f>
        <v/>
      </c>
      <c r="K369" t="str">
        <f>IFERROR(IF(VLOOKUP($B369,Показатели!$E:$W,8,FALSE)=0,"",VLOOKUP($B369,Показатели!$E:$W,8,FALSE)),"")</f>
        <v/>
      </c>
      <c r="L369" t="str">
        <f>IFERROR(IF(VLOOKUP($B369,Показатели!$E:$W,9,FALSE)=0,"",VLOOKUP($B369,Показатели!$E:$W,9,FALSE)),"")</f>
        <v/>
      </c>
      <c r="M369" t="str">
        <f>IFERROR(IF(VLOOKUP($B369,Показатели!$E:$W,10,FALSE)=0,"",VLOOKUP($B369,Показатели!$E:$W,10,FALSE)),"")</f>
        <v/>
      </c>
      <c r="N369" t="str">
        <f>IFERROR(IF(VLOOKUP($B369,Показатели!$E:$W,11,FALSE)=0,"",VLOOKUP($B369,Показатели!$E:$W,11,FALSE)),"")</f>
        <v/>
      </c>
      <c r="O369" t="str">
        <f>IFERROR(IF(VLOOKUP($B369,Показатели!$E:$W,12,FALSE)=0,"",VLOOKUP($B369,Показатели!$E:$W,12,FALSE)),"")</f>
        <v/>
      </c>
      <c r="P369" t="str">
        <f>IFERROR(IF(VLOOKUP($B369,Показатели!$E:$W,13,FALSE)=0,"",VLOOKUP($B369,Показатели!$E:$W,13,FALSE)),"")</f>
        <v/>
      </c>
      <c r="Q369" t="str">
        <f>IFERROR(IF(VLOOKUP($B369,Показатели!$E:$W,14,FALSE)=0,"",VLOOKUP($B369,Показатели!$E:$W,14,FALSE)),"")</f>
        <v/>
      </c>
      <c r="R369" t="str">
        <f>IFERROR(IF(VLOOKUP($B369,Показатели!$E:$W,15,FALSE)=0,"",VLOOKUP($B369,Показатели!$E:$W,15,FALSE)),"")</f>
        <v/>
      </c>
      <c r="S369" t="str">
        <f>IFERROR(IF(VLOOKUP($B369,Показатели!$E:$W,16,FALSE)=0,"",VLOOKUP($B369,Показатели!$E:$W,16,FALSE)),"")</f>
        <v/>
      </c>
      <c r="T369" t="str">
        <f>IFERROR(IF(VLOOKUP($B369,Показатели!$E:$W,17,FALSE)=0,"",VLOOKUP($B369,Показатели!$E:$W,17,FALSE)),"")</f>
        <v/>
      </c>
      <c r="U369" t="str">
        <f>IFERROR(IF(VLOOKUP($B369,Показатели!$E:$W,18,FALSE)=0,"",VLOOKUP($B369,Показатели!$E:$W,18,FALSE)),"")</f>
        <v/>
      </c>
      <c r="V369" t="str">
        <f>IFERROR(IF(VLOOKUP($B369,Показатели!$E:$W,19,FALSE)=0,"",VLOOKUP($B369,Показатели!$E:$W,19,FALSE)),"")</f>
        <v/>
      </c>
    </row>
    <row r="370" spans="1:22" x14ac:dyDescent="0.2">
      <c r="A370" s="7" t="s">
        <v>2224</v>
      </c>
      <c r="B370" t="str">
        <f t="shared" si="5"/>
        <v>MAGN IV кв. 2025</v>
      </c>
      <c r="C370">
        <v>2025</v>
      </c>
      <c r="D370">
        <f>SUMIFS(Дивиденды!$C:$C,Дивиденды!$A:$A,A370,Дивиденды!$I:$I,C370)</f>
        <v>0</v>
      </c>
      <c r="E370">
        <f>IFERROR(IF(VLOOKUP($B370,Показатели!$E:$W,2,FALSE)=0,"",VLOOKUP($B370,Показатели!$E:$W,2,FALSE)),"")</f>
        <v>38107000000</v>
      </c>
      <c r="F370">
        <f>IFERROR(IF(VLOOKUP($B370,Показатели!$E:$W,3,FALSE)=0,"",VLOOKUP($B370,Показатели!$E:$W,3,FALSE)),"")</f>
        <v>324231000000</v>
      </c>
      <c r="G370">
        <f>IFERROR(IF(VLOOKUP($B370,Показатели!$E:$W,4,FALSE)=0,"",VLOOKUP($B370,Показатели!$E:$W,4,FALSE)),"")</f>
        <v>529833000000</v>
      </c>
      <c r="H370">
        <f>IFERROR(IF(VLOOKUP($B370,Показатели!$E:$W,5,FALSE)=0,"",VLOOKUP($B370,Показатели!$E:$W,5,FALSE)),"")</f>
        <v>6031000000</v>
      </c>
      <c r="I370">
        <f>IFERROR(IF(VLOOKUP($B370,Показатели!$E:$W,6,FALSE)=0,"",VLOOKUP($B370,Показатели!$E:$W,6,FALSE)),"")</f>
        <v>877943000000</v>
      </c>
      <c r="J370">
        <f>IFERROR(IF(VLOOKUP($B370,Показатели!$E:$W,7,FALSE)=0,"",VLOOKUP($B370,Показатели!$E:$W,7,FALSE)),"")</f>
        <v>149083000000</v>
      </c>
      <c r="K370">
        <f>IFERROR(IF(VLOOKUP($B370,Показатели!$E:$W,8,FALSE)=0,"",VLOOKUP($B370,Показатели!$E:$W,8,FALSE)),"")</f>
        <v>64141000000</v>
      </c>
      <c r="L370">
        <f>IFERROR(IF(VLOOKUP($B370,Показатели!$E:$W,9,FALSE)=0,"",VLOOKUP($B370,Показатели!$E:$W,9,FALSE)),"")</f>
        <v>605562000000</v>
      </c>
      <c r="M370">
        <f>IFERROR(IF(VLOOKUP($B370,Показатели!$E:$W,10,FALSE)=0,"",VLOOKUP($B370,Показатели!$E:$W,10,FALSE)),"")</f>
        <v>664719000000</v>
      </c>
      <c r="N370">
        <f>IFERROR(IF(VLOOKUP($B370,Показатели!$E:$W,11,FALSE)=0,"",VLOOKUP($B370,Показатели!$E:$W,11,FALSE)),"")</f>
        <v>609865000000</v>
      </c>
      <c r="O370">
        <f>IFERROR(IF(VLOOKUP($B370,Показатели!$E:$W,12,FALSE)=0,"",VLOOKUP($B370,Показатели!$E:$W,12,FALSE)),"")</f>
        <v>21444000000</v>
      </c>
      <c r="P370">
        <f>IFERROR(IF(VLOOKUP($B370,Показатели!$E:$W,13,FALSE)=0,"",VLOOKUP($B370,Показатели!$E:$W,13,FALSE)),"")</f>
        <v>-10739000000</v>
      </c>
      <c r="Q370">
        <f>IFERROR(IF(VLOOKUP($B370,Показатели!$E:$W,14,FALSE)=0,"",VLOOKUP($B370,Показатели!$E:$W,14,FALSE)),"")</f>
        <v>-14855000000</v>
      </c>
      <c r="R370">
        <f>IFERROR(IF(VLOOKUP($B370,Показатели!$E:$W,15,FALSE)=0,"",VLOOKUP($B370,Показатели!$E:$W,15,FALSE)),"")</f>
        <v>60064000000</v>
      </c>
      <c r="S370">
        <f>IFERROR(IF(VLOOKUP($B370,Показатели!$E:$W,16,FALSE)=0,"",VLOOKUP($B370,Показатели!$E:$W,16,FALSE)),"")</f>
        <v>80757000000</v>
      </c>
      <c r="T370">
        <f>IFERROR(IF(VLOOKUP($B370,Показатели!$E:$W,17,FALSE)=0,"",VLOOKUP($B370,Показатели!$E:$W,17,FALSE)),"")</f>
        <v>-89921000000</v>
      </c>
      <c r="U370">
        <f>IFERROR(IF(VLOOKUP($B370,Показатели!$E:$W,18,FALSE)=0,"",VLOOKUP($B370,Показатели!$E:$W,18,FALSE)),"")</f>
        <v>768466000000</v>
      </c>
      <c r="V370">
        <f>IFERROR(IF(VLOOKUP($B370,Показатели!$E:$W,19,FALSE)=0,"",VLOOKUP($B370,Показатели!$E:$W,19,FALSE)),"")</f>
        <v>913176000000</v>
      </c>
    </row>
    <row r="371" spans="1:22" x14ac:dyDescent="0.2">
      <c r="A371" s="7" t="s">
        <v>2224</v>
      </c>
      <c r="B371" t="str">
        <f t="shared" si="5"/>
        <v>MAGN IV кв. 2024</v>
      </c>
      <c r="C371">
        <v>2024</v>
      </c>
      <c r="D371">
        <f>SUMIFS(Дивиденды!$C:$C,Дивиденды!$A:$A,A371,Дивиденды!$I:$I,C371)</f>
        <v>2.4900000000000002</v>
      </c>
      <c r="E371">
        <f>IFERROR(IF(VLOOKUP($B371,Показатели!$E:$W,2,FALSE)=0,"",VLOOKUP($B371,Показатели!$E:$W,2,FALSE)),"")</f>
        <v>114435000000</v>
      </c>
      <c r="F371">
        <f>IFERROR(IF(VLOOKUP($B371,Показатели!$E:$W,3,FALSE)=0,"",VLOOKUP($B371,Показатели!$E:$W,3,FALSE)),"")</f>
        <v>352600000000</v>
      </c>
      <c r="G371">
        <f>IFERROR(IF(VLOOKUP($B371,Показатели!$E:$W,4,FALSE)=0,"",VLOOKUP($B371,Показатели!$E:$W,4,FALSE)),"")</f>
        <v>540812000000</v>
      </c>
      <c r="H371">
        <f>IFERROR(IF(VLOOKUP($B371,Показатели!$E:$W,5,FALSE)=0,"",VLOOKUP($B371,Показатели!$E:$W,5,FALSE)),"")</f>
        <v>5344000000</v>
      </c>
      <c r="I371">
        <f>IFERROR(IF(VLOOKUP($B371,Показатели!$E:$W,6,FALSE)=0,"",VLOOKUP($B371,Показатели!$E:$W,6,FALSE)),"")</f>
        <v>913176000000</v>
      </c>
      <c r="J371">
        <f>IFERROR(IF(VLOOKUP($B371,Показатели!$E:$W,7,FALSE)=0,"",VLOOKUP($B371,Показатели!$E:$W,7,FALSE)),"")</f>
        <v>158694000000</v>
      </c>
      <c r="K371">
        <f>IFERROR(IF(VLOOKUP($B371,Показатели!$E:$W,8,FALSE)=0,"",VLOOKUP($B371,Показатели!$E:$W,8,FALSE)),"")</f>
        <v>64670000000</v>
      </c>
      <c r="L371">
        <f>IFERROR(IF(VLOOKUP($B371,Показатели!$E:$W,9,FALSE)=0,"",VLOOKUP($B371,Показатели!$E:$W,9,FALSE)),"")</f>
        <v>618899000000</v>
      </c>
      <c r="M371">
        <f>IFERROR(IF(VLOOKUP($B371,Показатели!$E:$W,10,FALSE)=0,"",VLOOKUP($B371,Показатели!$E:$W,10,FALSE)),"")</f>
        <v>689812000000</v>
      </c>
      <c r="N371">
        <f>IFERROR(IF(VLOOKUP($B371,Показатели!$E:$W,11,FALSE)=0,"",VLOOKUP($B371,Показатели!$E:$W,11,FALSE)),"")</f>
        <v>768466000000</v>
      </c>
      <c r="O371">
        <f>IFERROR(IF(VLOOKUP($B371,Показатели!$E:$W,12,FALSE)=0,"",VLOOKUP($B371,Показатели!$E:$W,12,FALSE)),"")</f>
        <v>99699000000</v>
      </c>
      <c r="P371">
        <f>IFERROR(IF(VLOOKUP($B371,Показатели!$E:$W,13,FALSE)=0,"",VLOOKUP($B371,Показатели!$E:$W,13,FALSE)),"")</f>
        <v>109758000000</v>
      </c>
      <c r="Q371">
        <f>IFERROR(IF(VLOOKUP($B371,Показатели!$E:$W,14,FALSE)=0,"",VLOOKUP($B371,Показатели!$E:$W,14,FALSE)),"")</f>
        <v>79740000000</v>
      </c>
      <c r="R371">
        <f>IFERROR(IF(VLOOKUP($B371,Показатели!$E:$W,15,FALSE)=0,"",VLOOKUP($B371,Показатели!$E:$W,15,FALSE)),"")</f>
        <v>54290000000</v>
      </c>
      <c r="S371">
        <f>IFERROR(IF(VLOOKUP($B371,Показатели!$E:$W,16,FALSE)=0,"",VLOOKUP($B371,Показатели!$E:$W,16,FALSE)),"")</f>
        <v>153023000000</v>
      </c>
      <c r="T371">
        <f>IFERROR(IF(VLOOKUP($B371,Показатели!$E:$W,17,FALSE)=0,"",VLOOKUP($B371,Показатели!$E:$W,17,FALSE)),"")</f>
        <v>-101244000000</v>
      </c>
      <c r="U371">
        <f>IFERROR(IF(VLOOKUP($B371,Показатели!$E:$W,18,FALSE)=0,"",VLOOKUP($B371,Показатели!$E:$W,18,FALSE)),"")</f>
        <v>763390000000</v>
      </c>
      <c r="V371">
        <f>IFERROR(IF(VLOOKUP($B371,Показатели!$E:$W,19,FALSE)=0,"",VLOOKUP($B371,Показатели!$E:$W,19,FALSE)),"")</f>
        <v>902002000000</v>
      </c>
    </row>
    <row r="372" spans="1:22" x14ac:dyDescent="0.2">
      <c r="A372" s="7" t="s">
        <v>2224</v>
      </c>
      <c r="B372" t="str">
        <f t="shared" si="5"/>
        <v>MAGN IV кв. 2023</v>
      </c>
      <c r="C372">
        <v>2023</v>
      </c>
      <c r="D372">
        <f>SUMIFS(Дивиденды!$C:$C,Дивиденды!$A:$A,A372,Дивиденды!$I:$I,C372)</f>
        <v>2.75</v>
      </c>
      <c r="E372">
        <f>IFERROR(IF(VLOOKUP($B372,Показатели!$E:$W,2,FALSE)=0,"",VLOOKUP($B372,Показатели!$E:$W,2,FALSE)),"")</f>
        <v>161809000000</v>
      </c>
      <c r="F372">
        <f>IFERROR(IF(VLOOKUP($B372,Показатели!$E:$W,3,FALSE)=0,"",VLOOKUP($B372,Показатели!$E:$W,3,FALSE)),"")</f>
        <v>397724000000</v>
      </c>
      <c r="G372">
        <f>IFERROR(IF(VLOOKUP($B372,Показатели!$E:$W,4,FALSE)=0,"",VLOOKUP($B372,Показатели!$E:$W,4,FALSE)),"")</f>
        <v>487714000000</v>
      </c>
      <c r="H372">
        <f>IFERROR(IF(VLOOKUP($B372,Показатели!$E:$W,5,FALSE)=0,"",VLOOKUP($B372,Показатели!$E:$W,5,FALSE)),"")</f>
        <v>3824000000</v>
      </c>
      <c r="I372">
        <f>IFERROR(IF(VLOOKUP($B372,Показатели!$E:$W,6,FALSE)=0,"",VLOOKUP($B372,Показатели!$E:$W,6,FALSE)),"")</f>
        <v>902002000000</v>
      </c>
      <c r="J372">
        <f>IFERROR(IF(VLOOKUP($B372,Показатели!$E:$W,7,FALSE)=0,"",VLOOKUP($B372,Показатели!$E:$W,7,FALSE)),"")</f>
        <v>183741000000</v>
      </c>
      <c r="K372">
        <f>IFERROR(IF(VLOOKUP($B372,Показатели!$E:$W,8,FALSE)=0,"",VLOOKUP($B372,Показатели!$E:$W,8,FALSE)),"")</f>
        <v>54952000000</v>
      </c>
      <c r="L372">
        <f>IFERROR(IF(VLOOKUP($B372,Показатели!$E:$W,9,FALSE)=0,"",VLOOKUP($B372,Показатели!$E:$W,9,FALSE)),"")</f>
        <v>597778000000</v>
      </c>
      <c r="M372">
        <f>IFERROR(IF(VLOOKUP($B372,Показатели!$E:$W,10,FALSE)=0,"",VLOOKUP($B372,Показатели!$E:$W,10,FALSE)),"")</f>
        <v>663309000000</v>
      </c>
      <c r="N372">
        <f>IFERROR(IF(VLOOKUP($B372,Показатели!$E:$W,11,FALSE)=0,"",VLOOKUP($B372,Показатели!$E:$W,11,FALSE)),"")</f>
        <v>763390000000</v>
      </c>
      <c r="O372">
        <f>IFERROR(IF(VLOOKUP($B372,Показатели!$E:$W,12,FALSE)=0,"",VLOOKUP($B372,Показатели!$E:$W,12,FALSE)),"")</f>
        <v>146184000000</v>
      </c>
      <c r="P372">
        <f>IFERROR(IF(VLOOKUP($B372,Показатели!$E:$W,13,FALSE)=0,"",VLOOKUP($B372,Показатели!$E:$W,13,FALSE)),"")</f>
        <v>147341000000</v>
      </c>
      <c r="Q372">
        <f>IFERROR(IF(VLOOKUP($B372,Показатели!$E:$W,14,FALSE)=0,"",VLOOKUP($B372,Показатели!$E:$W,14,FALSE)),"")</f>
        <v>118360000000</v>
      </c>
      <c r="R372">
        <f>IFERROR(IF(VLOOKUP($B372,Показатели!$E:$W,15,FALSE)=0,"",VLOOKUP($B372,Показатели!$E:$W,15,FALSE)),"")</f>
        <v>48348000000</v>
      </c>
      <c r="S372">
        <f>IFERROR(IF(VLOOKUP($B372,Показатели!$E:$W,16,FALSE)=0,"",VLOOKUP($B372,Показатели!$E:$W,16,FALSE)),"")</f>
        <v>195597000000</v>
      </c>
      <c r="T372">
        <f>IFERROR(IF(VLOOKUP($B372,Показатели!$E:$W,17,FALSE)=0,"",VLOOKUP($B372,Показатели!$E:$W,17,FALSE)),"")</f>
        <v>-94859000000</v>
      </c>
      <c r="U372">
        <f>IFERROR(IF(VLOOKUP($B372,Показатели!$E:$W,18,FALSE)=0,"",VLOOKUP($B372,Показатели!$E:$W,18,FALSE)),"")</f>
        <v>699817000000</v>
      </c>
      <c r="V372">
        <f>IFERROR(IF(VLOOKUP($B372,Показатели!$E:$W,19,FALSE)=0,"",VLOOKUP($B372,Показатели!$E:$W,19,FALSE)),"")</f>
        <v>737785000000</v>
      </c>
    </row>
    <row r="373" spans="1:22" x14ac:dyDescent="0.2">
      <c r="A373" s="7" t="s">
        <v>2224</v>
      </c>
      <c r="B373" t="str">
        <f t="shared" si="5"/>
        <v>MAGN IV кв. 2022</v>
      </c>
      <c r="C373">
        <v>2022</v>
      </c>
      <c r="D373">
        <f>SUMIFS(Дивиденды!$C:$C,Дивиденды!$A:$A,A373,Дивиденды!$I:$I,C373)</f>
        <v>0</v>
      </c>
      <c r="E373">
        <f>IFERROR(IF(VLOOKUP($B373,Показатели!$E:$W,2,FALSE)=0,"",VLOOKUP($B373,Показатели!$E:$W,2,FALSE)),"")</f>
        <v>144214000000</v>
      </c>
      <c r="F373">
        <f>IFERROR(IF(VLOOKUP($B373,Показатели!$E:$W,3,FALSE)=0,"",VLOOKUP($B373,Показатели!$E:$W,3,FALSE)),"")</f>
        <v>315876000000</v>
      </c>
      <c r="G373">
        <f>IFERROR(IF(VLOOKUP($B373,Показатели!$E:$W,4,FALSE)=0,"",VLOOKUP($B373,Показатели!$E:$W,4,FALSE)),"")</f>
        <v>409275000000</v>
      </c>
      <c r="H373">
        <f>IFERROR(IF(VLOOKUP($B373,Показатели!$E:$W,5,FALSE)=0,"",VLOOKUP($B373,Показатели!$E:$W,5,FALSE)),"")</f>
        <v>2645000000</v>
      </c>
      <c r="I373">
        <f>IFERROR(IF(VLOOKUP($B373,Показатели!$E:$W,6,FALSE)=0,"",VLOOKUP($B373,Показатели!$E:$W,6,FALSE)),"")</f>
        <v>737785000000</v>
      </c>
      <c r="J373">
        <f>IFERROR(IF(VLOOKUP($B373,Показатели!$E:$W,7,FALSE)=0,"",VLOOKUP($B373,Показатели!$E:$W,7,FALSE)),"")</f>
        <v>139271000000</v>
      </c>
      <c r="K373">
        <f>IFERROR(IF(VLOOKUP($B373,Показатели!$E:$W,8,FALSE)=0,"",VLOOKUP($B373,Показатели!$E:$W,8,FALSE)),"")</f>
        <v>63080000000</v>
      </c>
      <c r="L373">
        <f>IFERROR(IF(VLOOKUP($B373,Показатели!$E:$W,9,FALSE)=0,"",VLOOKUP($B373,Показатели!$E:$W,9,FALSE)),"")</f>
        <v>478665000000</v>
      </c>
      <c r="M373">
        <f>IFERROR(IF(VLOOKUP($B373,Показатели!$E:$W,10,FALSE)=0,"",VLOOKUP($B373,Показатели!$E:$W,10,FALSE)),"")</f>
        <v>535434000000</v>
      </c>
      <c r="N373">
        <f>IFERROR(IF(VLOOKUP($B373,Показатели!$E:$W,11,FALSE)=0,"",VLOOKUP($B373,Показатели!$E:$W,11,FALSE)),"")</f>
        <v>699817000000</v>
      </c>
      <c r="O373">
        <f>IFERROR(IF(VLOOKUP($B373,Показатели!$E:$W,12,FALSE)=0,"",VLOOKUP($B373,Показатели!$E:$W,12,FALSE)),"")</f>
        <v>109928000000</v>
      </c>
      <c r="P373">
        <f>IFERROR(IF(VLOOKUP($B373,Показатели!$E:$W,13,FALSE)=0,"",VLOOKUP($B373,Показатели!$E:$W,13,FALSE)),"")</f>
        <v>89341000000</v>
      </c>
      <c r="Q373">
        <f>IFERROR(IF(VLOOKUP($B373,Показатели!$E:$W,14,FALSE)=0,"",VLOOKUP($B373,Показатели!$E:$W,14,FALSE)),"")</f>
        <v>70368000000</v>
      </c>
      <c r="R373">
        <f>IFERROR(IF(VLOOKUP($B373,Показатели!$E:$W,15,FALSE)=0,"",VLOOKUP($B373,Показатели!$E:$W,15,FALSE)),"")</f>
        <v>43607000000</v>
      </c>
      <c r="S373" t="str">
        <f>IFERROR(IF(VLOOKUP($B373,Показатели!$E:$W,16,FALSE)=0,"",VLOOKUP($B373,Показатели!$E:$W,16,FALSE)),"")</f>
        <v/>
      </c>
      <c r="T373">
        <f>IFERROR(IF(VLOOKUP($B373,Показатели!$E:$W,17,FALSE)=0,"",VLOOKUP($B373,Показатели!$E:$W,17,FALSE)),"")</f>
        <v>-79477000000</v>
      </c>
      <c r="U373">
        <f>IFERROR(IF(VLOOKUP($B373,Показатели!$E:$W,18,FALSE)=0,"",VLOOKUP($B373,Показатели!$E:$W,18,FALSE)),"")</f>
        <v>875644870932.00012</v>
      </c>
      <c r="V373">
        <f>IFERROR(IF(VLOOKUP($B373,Показатели!$E:$W,19,FALSE)=0,"",VLOOKUP($B373,Показатели!$E:$W,19,FALSE)),"")</f>
        <v>716731815747.27283</v>
      </c>
    </row>
    <row r="374" spans="1:22" x14ac:dyDescent="0.2">
      <c r="A374" s="7" t="s">
        <v>2224</v>
      </c>
      <c r="B374" t="str">
        <f t="shared" si="5"/>
        <v>MAGN IV кв. 2021</v>
      </c>
      <c r="C374">
        <v>2021</v>
      </c>
      <c r="D374">
        <f>SUMIFS(Дивиденды!$C:$C,Дивиденды!$A:$A,A374,Дивиденды!$I:$I,C374)</f>
        <v>7.99</v>
      </c>
      <c r="E374">
        <f>IFERROR(IF(VLOOKUP($B374,Показатели!$E:$W,2,FALSE)=0,"",VLOOKUP($B374,Показатели!$E:$W,2,FALSE)),"")</f>
        <v>62192992349.454559</v>
      </c>
      <c r="F374">
        <f>IFERROR(IF(VLOOKUP($B374,Показатели!$E:$W,3,FALSE)=0,"",VLOOKUP($B374,Показатели!$E:$W,3,FALSE)),"")</f>
        <v>312588029163.27277</v>
      </c>
      <c r="G374">
        <f>IFERROR(IF(VLOOKUP($B374,Показатели!$E:$W,4,FALSE)=0,"",VLOOKUP($B374,Показатели!$E:$W,4,FALSE)),"")</f>
        <v>395290691587.63641</v>
      </c>
      <c r="H374">
        <f>IFERROR(IF(VLOOKUP($B374,Показатели!$E:$W,5,FALSE)=0,"",VLOOKUP($B374,Показатели!$E:$W,5,FALSE)),"")</f>
        <v>2803480082.1818185</v>
      </c>
      <c r="I374">
        <f>IFERROR(IF(VLOOKUP($B374,Показатели!$E:$W,6,FALSE)=0,"",VLOOKUP($B374,Показатели!$E:$W,6,FALSE)),"")</f>
        <v>716731815747.27283</v>
      </c>
      <c r="J374">
        <f>IFERROR(IF(VLOOKUP($B374,Показатели!$E:$W,7,FALSE)=0,"",VLOOKUP($B374,Показатели!$E:$W,7,FALSE)),"")</f>
        <v>168430132305.81821</v>
      </c>
      <c r="K374">
        <f>IFERROR(IF(VLOOKUP($B374,Показатели!$E:$W,8,FALSE)=0,"",VLOOKUP($B374,Показатели!$E:$W,8,FALSE)),"")</f>
        <v>81300922383.272736</v>
      </c>
      <c r="L374">
        <f>IFERROR(IF(VLOOKUP($B374,Показатели!$E:$W,9,FALSE)=0,"",VLOOKUP($B374,Показатели!$E:$W,9,FALSE)),"")</f>
        <v>832264705449.81836</v>
      </c>
      <c r="M374">
        <f>IFERROR(IF(VLOOKUP($B374,Показатели!$E:$W,10,FALSE)=0,"",VLOOKUP($B374,Показатели!$E:$W,10,FALSE)),"")</f>
        <v>467000761058.18188</v>
      </c>
      <c r="N374">
        <f>IFERROR(IF(VLOOKUP($B374,Показатели!$E:$W,11,FALSE)=0,"",VLOOKUP($B374,Показатели!$E:$W,11,FALSE)),"")</f>
        <v>875644870932.00012</v>
      </c>
      <c r="O374">
        <f>IFERROR(IF(VLOOKUP($B374,Показатели!$E:$W,12,FALSE)=0,"",VLOOKUP($B374,Показатели!$E:$W,12,FALSE)),"")</f>
        <v>276880546011.27277</v>
      </c>
      <c r="P374">
        <f>IFERROR(IF(VLOOKUP($B374,Показатели!$E:$W,13,FALSE)=0,"",VLOOKUP($B374,Показатели!$E:$W,13,FALSE)),"")</f>
        <v>293996529670.90912</v>
      </c>
      <c r="Q374">
        <f>IFERROR(IF(VLOOKUP($B374,Показатели!$E:$W,14,FALSE)=0,"",VLOOKUP($B374,Показатели!$E:$W,14,FALSE)),"")</f>
        <v>230254245697.09094</v>
      </c>
      <c r="R374">
        <f>IFERROR(IF(VLOOKUP($B374,Показатели!$E:$W,15,FALSE)=0,"",VLOOKUP($B374,Показатели!$E:$W,15,FALSE)),"")</f>
        <v>37551877942.909096</v>
      </c>
      <c r="S374">
        <f>IFERROR(IF(VLOOKUP($B374,Показатели!$E:$W,16,FALSE)=0,"",VLOOKUP($B374,Показатели!$E:$W,16,FALSE)),"")</f>
        <v>316498146120.00006</v>
      </c>
      <c r="T374">
        <f>IFERROR(IF(VLOOKUP($B374,Показатели!$E:$W,17,FALSE)=0,"",VLOOKUP($B374,Показатели!$E:$W,17,FALSE)),"")</f>
        <v>-83514196132.363647</v>
      </c>
      <c r="U374">
        <f>IFERROR(IF(VLOOKUP($B374,Показатели!$E:$W,18,FALSE)=0,"",VLOOKUP($B374,Показатели!$E:$W,18,FALSE)),"")</f>
        <v>462341413986.06299</v>
      </c>
      <c r="V374">
        <f>IFERROR(IF(VLOOKUP($B374,Показатели!$E:$W,19,FALSE)=0,"",VLOOKUP($B374,Показатели!$E:$W,19,FALSE)),"")</f>
        <v>541651583046.69019</v>
      </c>
    </row>
    <row r="375" spans="1:22" x14ac:dyDescent="0.2">
      <c r="A375" s="7" t="s">
        <v>2224</v>
      </c>
      <c r="B375" t="str">
        <f t="shared" si="5"/>
        <v>MAGN IV кв. 2020</v>
      </c>
      <c r="C375">
        <v>2020</v>
      </c>
      <c r="D375">
        <f>SUMIFS(Дивиденды!$C:$C,Дивиденды!$A:$A,A375,Дивиденды!$I:$I,C375)</f>
        <v>3.95</v>
      </c>
      <c r="E375">
        <f>IFERROR(IF(VLOOKUP($B375,Показатели!$E:$W,2,FALSE)=0,"",VLOOKUP($B375,Показатели!$E:$W,2,FALSE)),"")</f>
        <v>62031107615.331047</v>
      </c>
      <c r="F375">
        <f>IFERROR(IF(VLOOKUP($B375,Показатели!$E:$W,3,FALSE)=0,"",VLOOKUP($B375,Показатели!$E:$W,3,FALSE)),"")</f>
        <v>206119682763.76318</v>
      </c>
      <c r="G375">
        <f>IFERROR(IF(VLOOKUP($B375,Показатели!$E:$W,4,FALSE)=0,"",VLOOKUP($B375,Показатели!$E:$W,4,FALSE)),"")</f>
        <v>328302167460.62738</v>
      </c>
      <c r="H375">
        <f>IFERROR(IF(VLOOKUP($B375,Показатели!$E:$W,5,FALSE)=0,"",VLOOKUP($B375,Показатели!$E:$W,5,FALSE)),"")</f>
        <v>2891893128.9198623</v>
      </c>
      <c r="I375">
        <f>IFERROR(IF(VLOOKUP($B375,Показатели!$E:$W,6,FALSE)=0,"",VLOOKUP($B375,Показатели!$E:$W,6,FALSE)),"")</f>
        <v>541651583046.69019</v>
      </c>
      <c r="J375">
        <f>IFERROR(IF(VLOOKUP($B375,Показатели!$E:$W,7,FALSE)=0,"",VLOOKUP($B375,Показатели!$E:$W,7,FALSE)),"")</f>
        <v>131942624006.96872</v>
      </c>
      <c r="K375">
        <f>IFERROR(IF(VLOOKUP($B375,Показатели!$E:$W,8,FALSE)=0,"",VLOOKUP($B375,Показатели!$E:$W,8,FALSE)),"")</f>
        <v>77068951885.714325</v>
      </c>
      <c r="L375">
        <f>IFERROR(IF(VLOOKUP($B375,Показатели!$E:$W,9,FALSE)=0,"",VLOOKUP($B375,Показатели!$E:$W,9,FALSE)),"")</f>
        <v>688415159339.37317</v>
      </c>
      <c r="M375">
        <f>IFERROR(IF(VLOOKUP($B375,Показатели!$E:$W,10,FALSE)=0,"",VLOOKUP($B375,Показатели!$E:$W,10,FALSE)),"")</f>
        <v>332640007154.00714</v>
      </c>
      <c r="N375">
        <f>IFERROR(IF(VLOOKUP($B375,Показатели!$E:$W,11,FALSE)=0,"",VLOOKUP($B375,Показатели!$E:$W,11,FALSE)),"")</f>
        <v>462341413986.06299</v>
      </c>
      <c r="O375">
        <f>IFERROR(IF(VLOOKUP($B375,Показатели!$E:$W,12,FALSE)=0,"",VLOOKUP($B375,Показатели!$E:$W,12,FALSE)),"")</f>
        <v>68104083186.062752</v>
      </c>
      <c r="P375">
        <f>IFERROR(IF(VLOOKUP($B375,Показатели!$E:$W,13,FALSE)=0,"",VLOOKUP($B375,Показатели!$E:$W,13,FALSE)),"")</f>
        <v>57114889296.167282</v>
      </c>
      <c r="Q375">
        <f>IFERROR(IF(VLOOKUP($B375,Показатели!$E:$W,14,FALSE)=0,"",VLOOKUP($B375,Показатели!$E:$W,14,FALSE)),"")</f>
        <v>43667586246.689919</v>
      </c>
      <c r="R375">
        <f>IFERROR(IF(VLOOKUP($B375,Показатели!$E:$W,15,FALSE)=0,"",VLOOKUP($B375,Показатели!$E:$W,15,FALSE)),"")</f>
        <v>34991906859.930336</v>
      </c>
      <c r="S375">
        <f>IFERROR(IF(VLOOKUP($B375,Показатели!$E:$W,16,FALSE)=0,"",VLOOKUP($B375,Показатели!$E:$W,16,FALSE)),"")</f>
        <v>107867613708.71086</v>
      </c>
      <c r="T375">
        <f>IFERROR(IF(VLOOKUP($B375,Показатели!$E:$W,17,FALSE)=0,"",VLOOKUP($B375,Показатели!$E:$W,17,FALSE)),"")</f>
        <v>-50174345786.759605</v>
      </c>
      <c r="U375">
        <f>IFERROR(IF(VLOOKUP($B375,Показатели!$E:$W,18,FALSE)=0,"",VLOOKUP($B375,Показатели!$E:$W,18,FALSE)),"")</f>
        <v>489437683312.49963</v>
      </c>
      <c r="V375">
        <f>IFERROR(IF(VLOOKUP($B375,Показатели!$E:$W,19,FALSE)=0,"",VLOOKUP($B375,Показатели!$E:$W,19,FALSE)),"")</f>
        <v>535884452624.99963</v>
      </c>
    </row>
    <row r="376" spans="1:22" x14ac:dyDescent="0.2">
      <c r="A376" s="7" t="s">
        <v>2224</v>
      </c>
      <c r="B376" t="str">
        <f t="shared" si="5"/>
        <v>MAGN IV кв. 2019</v>
      </c>
      <c r="C376">
        <v>2019</v>
      </c>
      <c r="D376">
        <f>SUMIFS(Дивиденды!$C:$C,Дивиденды!$A:$A,A376,Дивиденды!$I:$I,C376)</f>
        <v>5.34</v>
      </c>
      <c r="E376">
        <f>IFERROR(IF(VLOOKUP($B376,Показатели!$E:$W,2,FALSE)=0,"",VLOOKUP($B376,Показатели!$E:$W,2,FALSE)),"")</f>
        <v>71481448593.749954</v>
      </c>
      <c r="F376">
        <f>IFERROR(IF(VLOOKUP($B376,Показатели!$E:$W,3,FALSE)=0,"",VLOOKUP($B376,Показатели!$E:$W,3,FALSE)),"")</f>
        <v>193485079406.24988</v>
      </c>
      <c r="G376">
        <f>IFERROR(IF(VLOOKUP($B376,Показатели!$E:$W,4,FALSE)=0,"",VLOOKUP($B376,Показатели!$E:$W,4,FALSE)),"")</f>
        <v>335089505624.99976</v>
      </c>
      <c r="H376">
        <f>IFERROR(IF(VLOOKUP($B376,Показатели!$E:$W,5,FALSE)=0,"",VLOOKUP($B376,Показатели!$E:$W,5,FALSE)),"")</f>
        <v>3040387406.2499981</v>
      </c>
      <c r="I376">
        <f>IFERROR(IF(VLOOKUP($B376,Показатели!$E:$W,6,FALSE)=0,"",VLOOKUP($B376,Показатели!$E:$W,6,FALSE)),"")</f>
        <v>535884452624.99963</v>
      </c>
      <c r="J376">
        <f>IFERROR(IF(VLOOKUP($B376,Показатели!$E:$W,7,FALSE)=0,"",VLOOKUP($B376,Показатели!$E:$W,7,FALSE)),"")</f>
        <v>101238431718.74992</v>
      </c>
      <c r="K376">
        <f>IFERROR(IF(VLOOKUP($B376,Показатели!$E:$W,8,FALSE)=0,"",VLOOKUP($B376,Показатели!$E:$W,8,FALSE)),"")</f>
        <v>77626912499.999939</v>
      </c>
      <c r="L376">
        <f>IFERROR(IF(VLOOKUP($B376,Показатели!$E:$W,9,FALSE)=0,"",VLOOKUP($B376,Показатели!$E:$W,9,FALSE)),"")</f>
        <v>621015299999.99951</v>
      </c>
      <c r="M376">
        <f>IFERROR(IF(VLOOKUP($B376,Показатели!$E:$W,10,FALSE)=0,"",VLOOKUP($B376,Показатели!$E:$W,10,FALSE)),"")</f>
        <v>357019108406.24976</v>
      </c>
      <c r="N376">
        <f>IFERROR(IF(VLOOKUP($B376,Показатели!$E:$W,11,FALSE)=0,"",VLOOKUP($B376,Показатели!$E:$W,11,FALSE)),"")</f>
        <v>489437683312.49963</v>
      </c>
      <c r="O376">
        <f>IFERROR(IF(VLOOKUP($B376,Показатели!$E:$W,12,FALSE)=0,"",VLOOKUP($B376,Показатели!$E:$W,12,FALSE)),"")</f>
        <v>82413905437.499939</v>
      </c>
      <c r="P376">
        <f>IFERROR(IF(VLOOKUP($B376,Показатели!$E:$W,13,FALSE)=0,"",VLOOKUP($B376,Показатели!$E:$W,13,FALSE)),"")</f>
        <v>70834557656.249954</v>
      </c>
      <c r="Q376">
        <f>IFERROR(IF(VLOOKUP($B376,Показатели!$E:$W,14,FALSE)=0,"",VLOOKUP($B376,Показатели!$E:$W,14,FALSE)),"")</f>
        <v>55373864249.999962</v>
      </c>
      <c r="R376">
        <f>IFERROR(IF(VLOOKUP($B376,Показатели!$E:$W,15,FALSE)=0,"",VLOOKUP($B376,Показатели!$E:$W,15,FALSE)),"")</f>
        <v>32991437812.499977</v>
      </c>
      <c r="S376">
        <f>IFERROR(IF(VLOOKUP($B376,Показатели!$E:$W,16,FALSE)=0,"",VLOOKUP($B376,Показатели!$E:$W,16,FALSE)),"")</f>
        <v>116246301468.74992</v>
      </c>
      <c r="T376">
        <f>IFERROR(IF(VLOOKUP($B376,Показатели!$E:$W,17,FALSE)=0,"",VLOOKUP($B376,Показатели!$E:$W,17,FALSE)),"")</f>
        <v>-55438553343.749962</v>
      </c>
      <c r="U376">
        <f>IFERROR(IF(VLOOKUP($B376,Показатели!$E:$W,18,FALSE)=0,"",VLOOKUP($B376,Показатели!$E:$W,18,FALSE)),"")</f>
        <v>516406841978.073</v>
      </c>
      <c r="V376">
        <f>IFERROR(IF(VLOOKUP($B376,Показатели!$E:$W,19,FALSE)=0,"",VLOOKUP($B376,Показатели!$E:$W,19,FALSE)),"")</f>
        <v>452971913373.75409</v>
      </c>
    </row>
    <row r="377" spans="1:22" x14ac:dyDescent="0.2">
      <c r="A377" s="7" t="s">
        <v>2224</v>
      </c>
      <c r="B377" t="str">
        <f t="shared" si="5"/>
        <v>MAGN IV кв. 2018</v>
      </c>
      <c r="C377">
        <v>2018</v>
      </c>
      <c r="D377">
        <f>SUMIFS(Дивиденды!$C:$C,Дивиденды!$A:$A,A377,Дивиденды!$I:$I,C377)</f>
        <v>5.9</v>
      </c>
      <c r="E377">
        <f>IFERROR(IF(VLOOKUP($B377,Показатели!$E:$W,2,FALSE)=0,"",VLOOKUP($B377,Показатели!$E:$W,2,FALSE)),"")</f>
        <v>46460269810.298996</v>
      </c>
      <c r="F377">
        <f>IFERROR(IF(VLOOKUP($B377,Показатели!$E:$W,3,FALSE)=0,"",VLOOKUP($B377,Показатели!$E:$W,3,FALSE)),"")</f>
        <v>172261352205.98004</v>
      </c>
      <c r="G377">
        <f>IFERROR(IF(VLOOKUP($B377,Показатели!$E:$W,4,FALSE)=0,"",VLOOKUP($B377,Показатели!$E:$W,4,FALSE)),"")</f>
        <v>274737996036.5448</v>
      </c>
      <c r="H377">
        <f>IFERROR(IF(VLOOKUP($B377,Показатели!$E:$W,5,FALSE)=0,"",VLOOKUP($B377,Показатели!$E:$W,5,FALSE)),"")</f>
        <v>1508858559.4684384</v>
      </c>
      <c r="I377">
        <f>IFERROR(IF(VLOOKUP($B377,Показатели!$E:$W,6,FALSE)=0,"",VLOOKUP($B377,Показатели!$E:$W,6,FALSE)),"")</f>
        <v>452971913373.75409</v>
      </c>
      <c r="J377">
        <f>IFERROR(IF(VLOOKUP($B377,Показатели!$E:$W,7,FALSE)=0,"",VLOOKUP($B377,Показатели!$E:$W,7,FALSE)),"")</f>
        <v>88142487515.614609</v>
      </c>
      <c r="K377">
        <f>IFERROR(IF(VLOOKUP($B377,Показатели!$E:$W,8,FALSE)=0,"",VLOOKUP($B377,Показатели!$E:$W,8,FALSE)),"")</f>
        <v>49918070675.747498</v>
      </c>
      <c r="L377">
        <f>IFERROR(IF(VLOOKUP($B377,Показатели!$E:$W,9,FALSE)=0,"",VLOOKUP($B377,Показатели!$E:$W,9,FALSE)),"")</f>
        <v>607441308399.33545</v>
      </c>
      <c r="M377">
        <f>IFERROR(IF(VLOOKUP($B377,Показатели!$E:$W,10,FALSE)=0,"",VLOOKUP($B377,Показатели!$E:$W,10,FALSE)),"")</f>
        <v>314911355182.39197</v>
      </c>
      <c r="N377">
        <f>IFERROR(IF(VLOOKUP($B377,Показатели!$E:$W,11,FALSE)=0,"",VLOOKUP($B377,Показатели!$E:$W,11,FALSE)),"")</f>
        <v>516406841978.073</v>
      </c>
      <c r="O377">
        <f>IFERROR(IF(VLOOKUP($B377,Показатели!$E:$W,12,FALSE)=0,"",VLOOKUP($B377,Показатели!$E:$W,12,FALSE)),"")</f>
        <v>115239072479.40198</v>
      </c>
      <c r="P377">
        <f>IFERROR(IF(VLOOKUP($B377,Показатели!$E:$W,13,FALSE)=0,"",VLOOKUP($B377,Показатели!$E:$W,13,FALSE)),"")</f>
        <v>111592664294.01991</v>
      </c>
      <c r="Q377">
        <f>IFERROR(IF(VLOOKUP($B377,Показатели!$E:$W,14,FALSE)=0,"",VLOOKUP($B377,Показатели!$E:$W,14,FALSE)),"")</f>
        <v>82798613450.830551</v>
      </c>
      <c r="R377">
        <f>IFERROR(IF(VLOOKUP($B377,Показатели!$E:$W,15,FALSE)=0,"",VLOOKUP($B377,Показатели!$E:$W,15,FALSE)),"")</f>
        <v>35583914360.797333</v>
      </c>
      <c r="S377">
        <f>IFERROR(IF(VLOOKUP($B377,Показатели!$E:$W,16,FALSE)=0,"",VLOOKUP($B377,Показатели!$E:$W,16,FALSE)),"")</f>
        <v>152017499866.44516</v>
      </c>
      <c r="T377">
        <f>IFERROR(IF(VLOOKUP($B377,Показатели!$E:$W,17,FALSE)=0,"",VLOOKUP($B377,Показатели!$E:$W,17,FALSE)),"")</f>
        <v>-54696122780.730888</v>
      </c>
      <c r="U377">
        <f>IFERROR(IF(VLOOKUP($B377,Показатели!$E:$W,18,FALSE)=0,"",VLOOKUP($B377,Показатели!$E:$W,18,FALSE)),"")</f>
        <v>440028767345.21436</v>
      </c>
      <c r="V377">
        <f>IFERROR(IF(VLOOKUP($B377,Показатели!$E:$W,19,FALSE)=0,"",VLOOKUP($B377,Показатели!$E:$W,19,FALSE)),"")</f>
        <v>462071024707.59058</v>
      </c>
    </row>
    <row r="378" spans="1:22" x14ac:dyDescent="0.2">
      <c r="A378" s="7" t="s">
        <v>2224</v>
      </c>
      <c r="B378" t="str">
        <f t="shared" si="5"/>
        <v>MAGN IV кв. 2017</v>
      </c>
      <c r="C378">
        <v>2017</v>
      </c>
      <c r="D378">
        <f>SUMIFS(Дивиденды!$C:$C,Дивиденды!$A:$A,A378,Дивиденды!$I:$I,C378)</f>
        <v>2.79</v>
      </c>
      <c r="E378">
        <f>IFERROR(IF(VLOOKUP($B378,Показатели!$E:$W,2,FALSE)=0,"",VLOOKUP($B378,Показатели!$E:$W,2,FALSE)),"")</f>
        <v>32421944691.749161</v>
      </c>
      <c r="F378">
        <f>IFERROR(IF(VLOOKUP($B378,Показатели!$E:$W,3,FALSE)=0,"",VLOOKUP($B378,Показатели!$E:$W,3,FALSE)),"")</f>
        <v>170098583931.35306</v>
      </c>
      <c r="G378">
        <f>IFERROR(IF(VLOOKUP($B378,Показатели!$E:$W,4,FALSE)=0,"",VLOOKUP($B378,Показатели!$E:$W,4,FALSE)),"")</f>
        <v>284216831704.29028</v>
      </c>
      <c r="H378">
        <f>IFERROR(IF(VLOOKUP($B378,Показатели!$E:$W,5,FALSE)=0,"",VLOOKUP($B378,Показатели!$E:$W,5,FALSE)),"")</f>
        <v>1574446954.4554448</v>
      </c>
      <c r="I378">
        <f>IFERROR(IF(VLOOKUP($B378,Показатели!$E:$W,6,FALSE)=0,"",VLOOKUP($B378,Показатели!$E:$W,6,FALSE)),"")</f>
        <v>462071024707.59058</v>
      </c>
      <c r="J378">
        <f>IFERROR(IF(VLOOKUP($B378,Показатели!$E:$W,7,FALSE)=0,"",VLOOKUP($B378,Показатели!$E:$W,7,FALSE)),"")</f>
        <v>92250928961.056061</v>
      </c>
      <c r="K378">
        <f>IFERROR(IF(VLOOKUP($B378,Показатели!$E:$W,8,FALSE)=0,"",VLOOKUP($B378,Показатели!$E:$W,8,FALSE)),"")</f>
        <v>49274358389.438927</v>
      </c>
      <c r="L378">
        <f>IFERROR(IF(VLOOKUP($B378,Показатели!$E:$W,9,FALSE)=0,"",VLOOKUP($B378,Показатели!$E:$W,9,FALSE)),"")</f>
        <v>539918679677.88757</v>
      </c>
      <c r="M378">
        <f>IFERROR(IF(VLOOKUP($B378,Показатели!$E:$W,10,FALSE)=0,"",VLOOKUP($B378,Показатели!$E:$W,10,FALSE)),"")</f>
        <v>320545737357.09558</v>
      </c>
      <c r="N378">
        <f>IFERROR(IF(VLOOKUP($B378,Показатели!$E:$W,11,FALSE)=0,"",VLOOKUP($B378,Показатели!$E:$W,11,FALSE)),"")</f>
        <v>440028767345.21436</v>
      </c>
      <c r="O378">
        <f>IFERROR(IF(VLOOKUP($B378,Показатели!$E:$W,12,FALSE)=0,"",VLOOKUP($B378,Показатели!$E:$W,12,FALSE)),"")</f>
        <v>84845196990.098969</v>
      </c>
      <c r="P378">
        <f>IFERROR(IF(VLOOKUP($B378,Показатели!$E:$W,13,FALSE)=0,"",VLOOKUP($B378,Показатели!$E:$W,13,FALSE)),"")</f>
        <v>87177710996.699631</v>
      </c>
      <c r="Q378">
        <f>IFERROR(IF(VLOOKUP($B378,Показатели!$E:$W,14,FALSE)=0,"",VLOOKUP($B378,Показатели!$E:$W,14,FALSE)),"")</f>
        <v>69333978846.20459</v>
      </c>
      <c r="R378">
        <f>IFERROR(IF(VLOOKUP($B378,Показатели!$E:$W,15,FALSE)=0,"",VLOOKUP($B378,Показатели!$E:$W,15,FALSE)),"")</f>
        <v>31722190489.768963</v>
      </c>
      <c r="S378">
        <f>IFERROR(IF(VLOOKUP($B378,Показатели!$E:$W,16,FALSE)=0,"",VLOOKUP($B378,Показатели!$E:$W,16,FALSE)),"")</f>
        <v>118491711535.31348</v>
      </c>
      <c r="T378">
        <f>IFERROR(IF(VLOOKUP($B378,Показатели!$E:$W,17,FALSE)=0,"",VLOOKUP($B378,Показатели!$E:$W,17,FALSE)),"")</f>
        <v>-39302861011.221107</v>
      </c>
      <c r="U378">
        <f>IFERROR(IF(VLOOKUP($B378,Показатели!$E:$W,18,FALSE)=0,"",VLOOKUP($B378,Показатели!$E:$W,18,FALSE)),"")</f>
        <v>377516110287.2337</v>
      </c>
      <c r="V378">
        <f>IFERROR(IF(VLOOKUP($B378,Показатели!$E:$W,19,FALSE)=0,"",VLOOKUP($B378,Показатели!$E:$W,19,FALSE)),"")</f>
        <v>435920467669.14856</v>
      </c>
    </row>
    <row r="379" spans="1:22" x14ac:dyDescent="0.2">
      <c r="A379" s="7" t="s">
        <v>2224</v>
      </c>
      <c r="B379" t="str">
        <f t="shared" si="5"/>
        <v>MAGN IV кв. 2016</v>
      </c>
      <c r="C379">
        <v>2016</v>
      </c>
      <c r="D379">
        <f>SUMIFS(Дивиденды!$C:$C,Дивиденды!$A:$A,A379,Дивиденды!$I:$I,C379)</f>
        <v>1.96</v>
      </c>
      <c r="E379">
        <f>IFERROR(IF(VLOOKUP($B379,Показатели!$E:$W,2,FALSE)=0,"",VLOOKUP($B379,Показатели!$E:$W,2,FALSE)),"")</f>
        <v>17836462759.574451</v>
      </c>
      <c r="F379">
        <f>IFERROR(IF(VLOOKUP($B379,Показатели!$E:$W,3,FALSE)=0,"",VLOOKUP($B379,Показатели!$E:$W,3,FALSE)),"")</f>
        <v>136723863032.97861</v>
      </c>
      <c r="G379">
        <f>IFERROR(IF(VLOOKUP($B379,Показатели!$E:$W,4,FALSE)=0,"",VLOOKUP($B379,Показатели!$E:$W,4,FALSE)),"")</f>
        <v>291351243196.80829</v>
      </c>
      <c r="H379" t="str">
        <f>IFERROR(IF(VLOOKUP($B379,Показатели!$E:$W,5,FALSE)=0,"",VLOOKUP($B379,Показатели!$E:$W,5,FALSE)),"")</f>
        <v/>
      </c>
      <c r="I379">
        <f>IFERROR(IF(VLOOKUP($B379,Показатели!$E:$W,6,FALSE)=0,"",VLOOKUP($B379,Показатели!$E:$W,6,FALSE)),"")</f>
        <v>435920467669.14856</v>
      </c>
      <c r="J379">
        <f>IFERROR(IF(VLOOKUP($B379,Показатели!$E:$W,7,FALSE)=0,"",VLOOKUP($B379,Показатели!$E:$W,7,FALSE)),"")</f>
        <v>71547014152.127594</v>
      </c>
      <c r="K379">
        <f>IFERROR(IF(VLOOKUP($B379,Показатели!$E:$W,8,FALSE)=0,"",VLOOKUP($B379,Показатели!$E:$W,8,FALSE)),"")</f>
        <v>48480310432.978683</v>
      </c>
      <c r="L379">
        <f>IFERROR(IF(VLOOKUP($B379,Показатели!$E:$W,9,FALSE)=0,"",VLOOKUP($B379,Показатели!$E:$W,9,FALSE)),"")</f>
        <v>583574193220.21228</v>
      </c>
      <c r="M379">
        <f>IFERROR(IF(VLOOKUP($B379,Показатели!$E:$W,10,FALSE)=0,"",VLOOKUP($B379,Показатели!$E:$W,10,FALSE)),"")</f>
        <v>315893143084.0423</v>
      </c>
      <c r="N379">
        <f>IFERROR(IF(VLOOKUP($B379,Показатели!$E:$W,11,FALSE)=0,"",VLOOKUP($B379,Показатели!$E:$W,11,FALSE)),"")</f>
        <v>377516110287.2337</v>
      </c>
      <c r="O379">
        <f>IFERROR(IF(VLOOKUP($B379,Показатели!$E:$W,12,FALSE)=0,"",VLOOKUP($B379,Показатели!$E:$W,12,FALSE)),"")</f>
        <v>98033490806.382889</v>
      </c>
      <c r="P379">
        <f>IFERROR(IF(VLOOKUP($B379,Показатели!$E:$W,13,FALSE)=0,"",VLOOKUP($B379,Показатели!$E:$W,13,FALSE)),"")</f>
        <v>89986966253.191406</v>
      </c>
      <c r="Q379">
        <f>IFERROR(IF(VLOOKUP($B379,Показатели!$E:$W,14,FALSE)=0,"",VLOOKUP($B379,Показатели!$E:$W,14,FALSE)),"")</f>
        <v>74497406488.297806</v>
      </c>
      <c r="R379" t="str">
        <f>IFERROR(IF(VLOOKUP($B379,Показатели!$E:$W,15,FALSE)=0,"",VLOOKUP($B379,Показатели!$E:$W,15,FALSE)),"")</f>
        <v/>
      </c>
      <c r="S379">
        <f>IFERROR(IF(VLOOKUP($B379,Показатели!$E:$W,16,FALSE)=0,"",VLOOKUP($B379,Показатели!$E:$W,16,FALSE)),"")</f>
        <v>131158350217.02116</v>
      </c>
      <c r="T379">
        <f>IFERROR(IF(VLOOKUP($B379,Показатели!$E:$W,17,FALSE)=0,"",VLOOKUP($B379,Показатели!$E:$W,17,FALSE)),"")</f>
        <v>31046173901.063805</v>
      </c>
      <c r="U379">
        <f>IFERROR(IF(VLOOKUP($B379,Показатели!$E:$W,18,FALSE)=0,"",VLOOKUP($B379,Показатели!$E:$W,18,FALSE)),"")</f>
        <v>357639720638.96106</v>
      </c>
      <c r="V379">
        <f>IFERROR(IF(VLOOKUP($B379,Показатели!$E:$W,19,FALSE)=0,"",VLOOKUP($B379,Показатели!$E:$W,19,FALSE)),"")</f>
        <v>377117273501.29871</v>
      </c>
    </row>
    <row r="380" spans="1:22" x14ac:dyDescent="0.2">
      <c r="A380" s="7" t="s">
        <v>2224</v>
      </c>
      <c r="B380" t="str">
        <f t="shared" si="5"/>
        <v>MAGN IV кв. 2015</v>
      </c>
      <c r="C380">
        <v>2015</v>
      </c>
      <c r="D380">
        <f>SUMIFS(Дивиденды!$C:$C,Дивиденды!$A:$A,A380,Дивиденды!$I:$I,C380)</f>
        <v>0.8899999999999999</v>
      </c>
      <c r="E380">
        <f>IFERROR(IF(VLOOKUP($B380,Показатели!$E:$W,2,FALSE)=0,"",VLOOKUP($B380,Показатели!$E:$W,2,FALSE)),"")</f>
        <v>22601311340.259743</v>
      </c>
      <c r="F380">
        <f>IFERROR(IF(VLOOKUP($B380,Показатели!$E:$W,3,FALSE)=0,"",VLOOKUP($B380,Показатели!$E:$W,3,FALSE)),"")</f>
        <v>126420343106.49352</v>
      </c>
      <c r="G380">
        <f>IFERROR(IF(VLOOKUP($B380,Показатели!$E:$W,4,FALSE)=0,"",VLOOKUP($B380,Показатели!$E:$W,4,FALSE)),"")</f>
        <v>230545625703.89612</v>
      </c>
      <c r="H380" t="str">
        <f>IFERROR(IF(VLOOKUP($B380,Показатели!$E:$W,5,FALSE)=0,"",VLOOKUP($B380,Показатели!$E:$W,5,FALSE)),"")</f>
        <v/>
      </c>
      <c r="I380">
        <f>IFERROR(IF(VLOOKUP($B380,Показатели!$E:$W,6,FALSE)=0,"",VLOOKUP($B380,Показатели!$E:$W,6,FALSE)),"")</f>
        <v>377117273501.29871</v>
      </c>
      <c r="J380">
        <f>IFERROR(IF(VLOOKUP($B380,Показатели!$E:$W,7,FALSE)=0,"",VLOOKUP($B380,Показатели!$E:$W,7,FALSE)),"")</f>
        <v>87036486218.181824</v>
      </c>
      <c r="K380">
        <f>IFERROR(IF(VLOOKUP($B380,Показатели!$E:$W,8,FALSE)=0,"",VLOOKUP($B380,Показатели!$E:$W,8,FALSE)),"")</f>
        <v>86730235387.012985</v>
      </c>
      <c r="L380">
        <f>IFERROR(IF(VLOOKUP($B380,Показатели!$E:$W,9,FALSE)=0,"",VLOOKUP($B380,Показатели!$E:$W,9,FALSE)),"")</f>
        <v>476036291968.83118</v>
      </c>
      <c r="M380">
        <f>IFERROR(IF(VLOOKUP($B380,Показатели!$E:$W,10,FALSE)=0,"",VLOOKUP($B380,Показатели!$E:$W,10,FALSE)),"")</f>
        <v>203350551896.10391</v>
      </c>
      <c r="N380">
        <f>IFERROR(IF(VLOOKUP($B380,Показатели!$E:$W,11,FALSE)=0,"",VLOOKUP($B380,Показатели!$E:$W,11,FALSE)),"")</f>
        <v>357639720638.96106</v>
      </c>
      <c r="O380">
        <f>IFERROR(IF(VLOOKUP($B380,Показатели!$E:$W,12,FALSE)=0,"",VLOOKUP($B380,Показатели!$E:$W,12,FALSE)),"")</f>
        <v>68355185516.883118</v>
      </c>
      <c r="P380">
        <f>IFERROR(IF(VLOOKUP($B380,Показатели!$E:$W,13,FALSE)=0,"",VLOOKUP($B380,Показатели!$E:$W,13,FALSE)),"")</f>
        <v>37546351901.298706</v>
      </c>
      <c r="Q380">
        <f>IFERROR(IF(VLOOKUP($B380,Показатели!$E:$W,14,FALSE)=0,"",VLOOKUP($B380,Показатели!$E:$W,14,FALSE)),"")</f>
        <v>25786319984.415585</v>
      </c>
      <c r="R380" t="str">
        <f>IFERROR(IF(VLOOKUP($B380,Показатели!$E:$W,15,FALSE)=0,"",VLOOKUP($B380,Показатели!$E:$W,15,FALSE)),"")</f>
        <v/>
      </c>
      <c r="S380">
        <f>IFERROR(IF(VLOOKUP($B380,Показатели!$E:$W,16,FALSE)=0,"",VLOOKUP($B380,Показатели!$E:$W,16,FALSE)),"")</f>
        <v>102165277277.92209</v>
      </c>
      <c r="T380">
        <f>IFERROR(IF(VLOOKUP($B380,Показатели!$E:$W,17,FALSE)=0,"",VLOOKUP($B380,Показатели!$E:$W,17,FALSE)),"")</f>
        <v>21315057849.350651</v>
      </c>
      <c r="U380">
        <f>IFERROR(IF(VLOOKUP($B380,Показатели!$E:$W,18,FALSE)=0,"",VLOOKUP($B380,Показатели!$E:$W,18,FALSE)),"")</f>
        <v>308231550801.52087</v>
      </c>
      <c r="V380">
        <f>IFERROR(IF(VLOOKUP($B380,Показатели!$E:$W,19,FALSE)=0,"",VLOOKUP($B380,Показатели!$E:$W,19,FALSE)),"")</f>
        <v>304549207073.38397</v>
      </c>
    </row>
    <row r="381" spans="1:22" x14ac:dyDescent="0.2">
      <c r="A381" s="7" t="s">
        <v>2224</v>
      </c>
      <c r="B381" t="str">
        <f t="shared" si="5"/>
        <v>MAGN IV кв. 2014</v>
      </c>
      <c r="C381">
        <v>2014</v>
      </c>
      <c r="D381">
        <f>SUMIFS(Дивиденды!$C:$C,Дивиденды!$A:$A,A381,Дивиденды!$I:$I,C381)</f>
        <v>0.57999999999999996</v>
      </c>
      <c r="E381">
        <f>IFERROR(IF(VLOOKUP($B381,Показатели!$E:$W,2,FALSE)=0,"",VLOOKUP($B381,Показатели!$E:$W,2,FALSE)),"")</f>
        <v>12675014727.376425</v>
      </c>
      <c r="F381">
        <f>IFERROR(IF(VLOOKUP($B381,Показатели!$E:$W,3,FALSE)=0,"",VLOOKUP($B381,Показатели!$E:$W,3,FALSE)),"")</f>
        <v>87601019216.730026</v>
      </c>
      <c r="G381">
        <f>IFERROR(IF(VLOOKUP($B381,Показатели!$E:$W,4,FALSE)=0,"",VLOOKUP($B381,Показатели!$E:$W,4,FALSE)),"")</f>
        <v>196598393569.58173</v>
      </c>
      <c r="H381" t="str">
        <f>IFERROR(IF(VLOOKUP($B381,Показатели!$E:$W,5,FALSE)=0,"",VLOOKUP($B381,Показатели!$E:$W,5,FALSE)),"")</f>
        <v/>
      </c>
      <c r="I381">
        <f>IFERROR(IF(VLOOKUP($B381,Показатели!$E:$W,6,FALSE)=0,"",VLOOKUP($B381,Показатели!$E:$W,6,FALSE)),"")</f>
        <v>304549207073.38397</v>
      </c>
      <c r="J381">
        <f>IFERROR(IF(VLOOKUP($B381,Показатели!$E:$W,7,FALSE)=0,"",VLOOKUP($B381,Показатели!$E:$W,7,FALSE)),"")</f>
        <v>62328512787.832687</v>
      </c>
      <c r="K381">
        <f>IFERROR(IF(VLOOKUP($B381,Показатели!$E:$W,8,FALSE)=0,"",VLOOKUP($B381,Показатели!$E:$W,8,FALSE)),"")</f>
        <v>89422810324.334595</v>
      </c>
      <c r="L381">
        <f>IFERROR(IF(VLOOKUP($B381,Показатели!$E:$W,9,FALSE)=0,"",VLOOKUP($B381,Показатели!$E:$W,9,FALSE)),"")</f>
        <v>289083363415.20911</v>
      </c>
      <c r="M381">
        <f>IFERROR(IF(VLOOKUP($B381,Показатели!$E:$W,10,FALSE)=0,"",VLOOKUP($B381,Показатели!$E:$W,10,FALSE)),"")</f>
        <v>152797883961.21671</v>
      </c>
      <c r="N381">
        <f>IFERROR(IF(VLOOKUP($B381,Показатели!$E:$W,11,FALSE)=0,"",VLOOKUP($B381,Показатели!$E:$W,11,FALSE)),"")</f>
        <v>308231550801.52087</v>
      </c>
      <c r="O381">
        <f>IFERROR(IF(VLOOKUP($B381,Показатели!$E:$W,12,FALSE)=0,"",VLOOKUP($B381,Показатели!$E:$W,12,FALSE)),"")</f>
        <v>31125494880.98859</v>
      </c>
      <c r="P381">
        <f>IFERROR(IF(VLOOKUP($B381,Показатели!$E:$W,13,FALSE)=0,"",VLOOKUP($B381,Показатели!$E:$W,13,FALSE)),"")</f>
        <v>-2093121698.0988591</v>
      </c>
      <c r="Q381">
        <f>IFERROR(IF(VLOOKUP($B381,Показатели!$E:$W,14,FALSE)=0,"",VLOOKUP($B381,Показатели!$E:$W,14,FALSE)),"")</f>
        <v>-1705506568.8212924</v>
      </c>
      <c r="R381" t="str">
        <f>IFERROR(IF(VLOOKUP($B381,Показатели!$E:$W,15,FALSE)=0,"",VLOOKUP($B381,Показатели!$E:$W,15,FALSE)),"")</f>
        <v/>
      </c>
      <c r="S381">
        <f>IFERROR(IF(VLOOKUP($B381,Показатели!$E:$W,16,FALSE)=0,"",VLOOKUP($B381,Показатели!$E:$W,16,FALSE)),"")</f>
        <v>62289751274.90493</v>
      </c>
      <c r="T381" t="str">
        <f>IFERROR(IF(VLOOKUP($B381,Показатели!$E:$W,17,FALSE)=0,"",VLOOKUP($B381,Показатели!$E:$W,17,FALSE)),"")</f>
        <v/>
      </c>
      <c r="U381">
        <f>IFERROR(IF(VLOOKUP($B381,Показатели!$E:$W,18,FALSE)=0,"",VLOOKUP($B381,Показатели!$E:$W,18,FALSE)),"")</f>
        <v>260485000000</v>
      </c>
      <c r="V381">
        <f>IFERROR(IF(VLOOKUP($B381,Показатели!$E:$W,19,FALSE)=0,"",VLOOKUP($B381,Показатели!$E:$W,19,FALSE)),"")</f>
        <v>397570000000</v>
      </c>
    </row>
    <row r="382" spans="1:22" x14ac:dyDescent="0.2">
      <c r="A382" s="7" t="s">
        <v>2224</v>
      </c>
      <c r="B382" t="str">
        <f t="shared" si="5"/>
        <v>MAGN IV кв. 2013</v>
      </c>
      <c r="C382">
        <v>2013</v>
      </c>
      <c r="D382">
        <f>SUMIFS(Дивиденды!$C:$C,Дивиденды!$A:$A,A382,Дивиденды!$I:$I,C382)</f>
        <v>0</v>
      </c>
      <c r="E382">
        <f>IFERROR(IF(VLOOKUP($B382,Показатели!$E:$W,2,FALSE)=0,"",VLOOKUP($B382,Показатели!$E:$W,2,FALSE)),"")</f>
        <v>5040000000</v>
      </c>
      <c r="F382">
        <f>IFERROR(IF(VLOOKUP($B382,Показатели!$E:$W,3,FALSE)=0,"",VLOOKUP($B382,Показатели!$E:$W,3,FALSE)),"")</f>
        <v>81033000000</v>
      </c>
      <c r="G382">
        <f>IFERROR(IF(VLOOKUP($B382,Показатели!$E:$W,4,FALSE)=0,"",VLOOKUP($B382,Показатели!$E:$W,4,FALSE)),"")</f>
        <v>282040000000</v>
      </c>
      <c r="H382" t="str">
        <f>IFERROR(IF(VLOOKUP($B382,Показатели!$E:$W,5,FALSE)=0,"",VLOOKUP($B382,Показатели!$E:$W,5,FALSE)),"")</f>
        <v/>
      </c>
      <c r="I382">
        <f>IFERROR(IF(VLOOKUP($B382,Показатели!$E:$W,6,FALSE)=0,"",VLOOKUP($B382,Показатели!$E:$W,6,FALSE)),"")</f>
        <v>397570000000</v>
      </c>
      <c r="J382">
        <f>IFERROR(IF(VLOOKUP($B382,Показатели!$E:$W,7,FALSE)=0,"",VLOOKUP($B382,Показатели!$E:$W,7,FALSE)),"")</f>
        <v>67584000000</v>
      </c>
      <c r="K382">
        <f>IFERROR(IF(VLOOKUP($B382,Показатели!$E:$W,8,FALSE)=0,"",VLOOKUP($B382,Показатели!$E:$W,8,FALSE)),"")</f>
        <v>105454000000</v>
      </c>
      <c r="L382" t="str">
        <f>IFERROR(IF(VLOOKUP($B382,Показатели!$E:$W,9,FALSE)=0,"",VLOOKUP($B382,Показатели!$E:$W,9,FALSE)),"")</f>
        <v/>
      </c>
      <c r="M382">
        <f>IFERROR(IF(VLOOKUP($B382,Показатели!$E:$W,10,FALSE)=0,"",VLOOKUP($B382,Показатели!$E:$W,10,FALSE)),"")</f>
        <v>224532000000</v>
      </c>
      <c r="N382">
        <f>IFERROR(IF(VLOOKUP($B382,Показатели!$E:$W,11,FALSE)=0,"",VLOOKUP($B382,Показатели!$E:$W,11,FALSE)),"")</f>
        <v>260485000000</v>
      </c>
      <c r="O382">
        <f>IFERROR(IF(VLOOKUP($B382,Показатели!$E:$W,12,FALSE)=0,"",VLOOKUP($B382,Показатели!$E:$W,12,FALSE)),"")</f>
        <v>5534000000</v>
      </c>
      <c r="P382">
        <f>IFERROR(IF(VLOOKUP($B382,Показатели!$E:$W,13,FALSE)=0,"",VLOOKUP($B382,Показатели!$E:$W,13,FALSE)),"")</f>
        <v>89099000000</v>
      </c>
      <c r="Q382">
        <f>IFERROR(IF(VLOOKUP($B382,Показатели!$E:$W,14,FALSE)=0,"",VLOOKUP($B382,Показатели!$E:$W,14,FALSE)),"")</f>
        <v>-79366000000</v>
      </c>
      <c r="R382" t="str">
        <f>IFERROR(IF(VLOOKUP($B382,Показатели!$E:$W,15,FALSE)=0,"",VLOOKUP($B382,Показатели!$E:$W,15,FALSE)),"")</f>
        <v/>
      </c>
      <c r="S382" t="str">
        <f>IFERROR(IF(VLOOKUP($B382,Показатели!$E:$W,16,FALSE)=0,"",VLOOKUP($B382,Показатели!$E:$W,16,FALSE)),"")</f>
        <v/>
      </c>
      <c r="T382" t="str">
        <f>IFERROR(IF(VLOOKUP($B382,Показатели!$E:$W,17,FALSE)=0,"",VLOOKUP($B382,Показатели!$E:$W,17,FALSE)),"")</f>
        <v/>
      </c>
      <c r="U382">
        <f>IFERROR(IF(VLOOKUP($B382,Показатели!$E:$W,18,FALSE)=0,"",VLOOKUP($B382,Показатели!$E:$W,18,FALSE)),"")</f>
        <v>289885000000</v>
      </c>
      <c r="V382">
        <f>IFERROR(IF(VLOOKUP($B382,Показатели!$E:$W,19,FALSE)=0,"",VLOOKUP($B382,Показатели!$E:$W,19,FALSE)),"")</f>
        <v>494837000000</v>
      </c>
    </row>
    <row r="383" spans="1:22" x14ac:dyDescent="0.2">
      <c r="A383" s="7" t="s">
        <v>2224</v>
      </c>
      <c r="B383" t="str">
        <f t="shared" si="5"/>
        <v>MAGN IV кв. 2012</v>
      </c>
      <c r="C383">
        <v>2012</v>
      </c>
      <c r="D383">
        <f>SUMIFS(Дивиденды!$C:$C,Дивиденды!$A:$A,A383,Дивиденды!$I:$I,C383)</f>
        <v>0.28000000000000003</v>
      </c>
      <c r="E383">
        <f>IFERROR(IF(VLOOKUP($B383,Показатели!$E:$W,2,FALSE)=0,"",VLOOKUP($B383,Показатели!$E:$W,2,FALSE)),"")</f>
        <v>10995000000</v>
      </c>
      <c r="F383">
        <f>IFERROR(IF(VLOOKUP($B383,Показатели!$E:$W,3,FALSE)=0,"",VLOOKUP($B383,Показатели!$E:$W,3,FALSE)),"")</f>
        <v>94124000000</v>
      </c>
      <c r="G383">
        <f>IFERROR(IF(VLOOKUP($B383,Показатели!$E:$W,4,FALSE)=0,"",VLOOKUP($B383,Показатели!$E:$W,4,FALSE)),"")</f>
        <v>359332000000</v>
      </c>
      <c r="H383" t="str">
        <f>IFERROR(IF(VLOOKUP($B383,Показатели!$E:$W,5,FALSE)=0,"",VLOOKUP($B383,Показатели!$E:$W,5,FALSE)),"")</f>
        <v/>
      </c>
      <c r="I383">
        <f>IFERROR(IF(VLOOKUP($B383,Показатели!$E:$W,6,FALSE)=0,"",VLOOKUP($B383,Показатели!$E:$W,6,FALSE)),"")</f>
        <v>494837000000</v>
      </c>
      <c r="J383">
        <f>IFERROR(IF(VLOOKUP($B383,Показатели!$E:$W,7,FALSE)=0,"",VLOOKUP($B383,Показатели!$E:$W,7,FALSE)),"")</f>
        <v>88068000000</v>
      </c>
      <c r="K383">
        <f>IFERROR(IF(VLOOKUP($B383,Показатели!$E:$W,8,FALSE)=0,"",VLOOKUP($B383,Показатели!$E:$W,8,FALSE)),"")</f>
        <v>108521000000</v>
      </c>
      <c r="L383" t="str">
        <f>IFERROR(IF(VLOOKUP($B383,Показатели!$E:$W,9,FALSE)=0,"",VLOOKUP($B383,Показатели!$E:$W,9,FALSE)),"")</f>
        <v/>
      </c>
      <c r="M383">
        <f>IFERROR(IF(VLOOKUP($B383,Показатели!$E:$W,10,FALSE)=0,"",VLOOKUP($B383,Показатели!$E:$W,10,FALSE)),"")</f>
        <v>298248000000</v>
      </c>
      <c r="N383">
        <f>IFERROR(IF(VLOOKUP($B383,Показатели!$E:$W,11,FALSE)=0,"",VLOOKUP($B383,Показатели!$E:$W,11,FALSE)),"")</f>
        <v>289885000000</v>
      </c>
      <c r="O383">
        <f>IFERROR(IF(VLOOKUP($B383,Показатели!$E:$W,12,FALSE)=0,"",VLOOKUP($B383,Показатели!$E:$W,12,FALSE)),"")</f>
        <v>8264000000</v>
      </c>
      <c r="P383">
        <f>IFERROR(IF(VLOOKUP($B383,Показатели!$E:$W,13,FALSE)=0,"",VLOOKUP($B383,Показатели!$E:$W,13,FALSE)),"")</f>
        <v>-1981000000</v>
      </c>
      <c r="Q383">
        <f>IFERROR(IF(VLOOKUP($B383,Показатели!$E:$W,14,FALSE)=0,"",VLOOKUP($B383,Показатели!$E:$W,14,FALSE)),"")</f>
        <v>-2945000000</v>
      </c>
      <c r="R383" t="str">
        <f>IFERROR(IF(VLOOKUP($B383,Показатели!$E:$W,15,FALSE)=0,"",VLOOKUP($B383,Показатели!$E:$W,15,FALSE)),"")</f>
        <v/>
      </c>
      <c r="S383" t="str">
        <f>IFERROR(IF(VLOOKUP($B383,Показатели!$E:$W,16,FALSE)=0,"",VLOOKUP($B383,Показатели!$E:$W,16,FALSE)),"")</f>
        <v/>
      </c>
      <c r="T383" t="str">
        <f>IFERROR(IF(VLOOKUP($B383,Показатели!$E:$W,17,FALSE)=0,"",VLOOKUP($B383,Показатели!$E:$W,17,FALSE)),"")</f>
        <v/>
      </c>
      <c r="U383">
        <f>IFERROR(IF(VLOOKUP($B383,Показатели!$E:$W,18,FALSE)=0,"",VLOOKUP($B383,Показатели!$E:$W,18,FALSE)),"")</f>
        <v>273619056530.76926</v>
      </c>
      <c r="V383">
        <f>IFERROR(IF(VLOOKUP($B383,Показатели!$E:$W,19,FALSE)=0,"",VLOOKUP($B383,Показатели!$E:$W,19,FALSE)),"")</f>
        <v>479112672057.69232</v>
      </c>
    </row>
    <row r="384" spans="1:22" x14ac:dyDescent="0.2">
      <c r="A384" s="7" t="s">
        <v>2224</v>
      </c>
      <c r="B384" t="str">
        <f t="shared" si="5"/>
        <v>MAGN IV кв. 2011</v>
      </c>
      <c r="C384">
        <v>2011</v>
      </c>
      <c r="D384">
        <f>SUMIFS(Дивиденды!$C:$C,Дивиденды!$A:$A,A384,Дивиденды!$I:$I,C384)</f>
        <v>0</v>
      </c>
      <c r="E384">
        <f>IFERROR(IF(VLOOKUP($B384,Показатели!$E:$W,2,FALSE)=0,"",VLOOKUP($B384,Показатели!$E:$W,2,FALSE)),"")</f>
        <v>12466632276.923079</v>
      </c>
      <c r="F384">
        <f>IFERROR(IF(VLOOKUP($B384,Показатели!$E:$W,3,FALSE)=0,"",VLOOKUP($B384,Показатели!$E:$W,3,FALSE)),"")</f>
        <v>96028351453.846161</v>
      </c>
      <c r="G384">
        <f>IFERROR(IF(VLOOKUP($B384,Показатели!$E:$W,4,FALSE)=0,"",VLOOKUP($B384,Показатели!$E:$W,4,FALSE)),"")</f>
        <v>346713508984.61542</v>
      </c>
      <c r="H384" t="str">
        <f>IFERROR(IF(VLOOKUP($B384,Показатели!$E:$W,5,FALSE)=0,"",VLOOKUP($B384,Показатели!$E:$W,5,FALSE)),"")</f>
        <v/>
      </c>
      <c r="I384">
        <f>IFERROR(IF(VLOOKUP($B384,Показатели!$E:$W,6,FALSE)=0,"",VLOOKUP($B384,Показатели!$E:$W,6,FALSE)),"")</f>
        <v>479112672057.69232</v>
      </c>
      <c r="J384">
        <f>IFERROR(IF(VLOOKUP($B384,Показатели!$E:$W,7,FALSE)=0,"",VLOOKUP($B384,Показатели!$E:$W,7,FALSE)),"")</f>
        <v>75005610703.846161</v>
      </c>
      <c r="K384">
        <f>IFERROR(IF(VLOOKUP($B384,Показатели!$E:$W,8,FALSE)=0,"",VLOOKUP($B384,Показатели!$E:$W,8,FALSE)),"")</f>
        <v>126312859107.69232</v>
      </c>
      <c r="L384" t="str">
        <f>IFERROR(IF(VLOOKUP($B384,Показатели!$E:$W,9,FALSE)=0,"",VLOOKUP($B384,Показатели!$E:$W,9,FALSE)),"")</f>
        <v/>
      </c>
      <c r="M384">
        <f>IFERROR(IF(VLOOKUP($B384,Показатели!$E:$W,10,FALSE)=0,"",VLOOKUP($B384,Показатели!$E:$W,10,FALSE)),"")</f>
        <v>277794202246.15387</v>
      </c>
      <c r="N384">
        <f>IFERROR(IF(VLOOKUP($B384,Показатели!$E:$W,11,FALSE)=0,"",VLOOKUP($B384,Показатели!$E:$W,11,FALSE)),"")</f>
        <v>273619056530.76926</v>
      </c>
      <c r="O384">
        <f>IFERROR(IF(VLOOKUP($B384,Показатели!$E:$W,12,FALSE)=0,"",VLOOKUP($B384,Показатели!$E:$W,12,FALSE)),"")</f>
        <v>10731888634.615385</v>
      </c>
      <c r="P384">
        <f>IFERROR(IF(VLOOKUP($B384,Показатели!$E:$W,13,FALSE)=0,"",VLOOKUP($B384,Показатели!$E:$W,13,FALSE)),"")</f>
        <v>-4145743280.7692308</v>
      </c>
      <c r="Q384">
        <f>IFERROR(IF(VLOOKUP($B384,Показатели!$E:$W,14,FALSE)=0,"",VLOOKUP($B384,Показатели!$E:$W,14,FALSE)),"")</f>
        <v>-3675304326.9230771</v>
      </c>
      <c r="R384" t="str">
        <f>IFERROR(IF(VLOOKUP($B384,Показатели!$E:$W,15,FALSE)=0,"",VLOOKUP($B384,Показатели!$E:$W,15,FALSE)),"")</f>
        <v/>
      </c>
      <c r="S384">
        <f>IFERROR(IF(VLOOKUP($B384,Показатели!$E:$W,16,FALSE)=0,"",VLOOKUP($B384,Показатели!$E:$W,16,FALSE)),"")</f>
        <v>39281652646.153847</v>
      </c>
      <c r="T384" t="str">
        <f>IFERROR(IF(VLOOKUP($B384,Показатели!$E:$W,17,FALSE)=0,"",VLOOKUP($B384,Показатели!$E:$W,17,FALSE)),"")</f>
        <v/>
      </c>
      <c r="U384" t="str">
        <f>IFERROR(IF(VLOOKUP($B384,Показатели!$E:$W,18,FALSE)=0,"",VLOOKUP($B384,Показатели!$E:$W,18,FALSE)),"")</f>
        <v/>
      </c>
      <c r="V384" t="str">
        <f>IFERROR(IF(VLOOKUP($B384,Показатели!$E:$W,19,FALSE)=0,"",VLOOKUP($B384,Показатели!$E:$W,19,FALSE)),"")</f>
        <v/>
      </c>
    </row>
    <row r="385" spans="1:22" x14ac:dyDescent="0.2">
      <c r="A385" s="7" t="s">
        <v>2224</v>
      </c>
      <c r="B385" t="str">
        <f t="shared" si="5"/>
        <v>MAGN IV кв. 2010</v>
      </c>
      <c r="C385">
        <v>2010</v>
      </c>
      <c r="D385">
        <f>SUMIFS(Дивиденды!$C:$C,Дивиденды!$A:$A,A385,Дивиденды!$I:$I,C385)</f>
        <v>0.33</v>
      </c>
      <c r="E385" t="str">
        <f>IFERROR(IF(VLOOKUP($B385,Показатели!$E:$W,2,FALSE)=0,"",VLOOKUP($B385,Показатели!$E:$W,2,FALSE)),"")</f>
        <v/>
      </c>
      <c r="F385" t="str">
        <f>IFERROR(IF(VLOOKUP($B385,Показатели!$E:$W,3,FALSE)=0,"",VLOOKUP($B385,Показатели!$E:$W,3,FALSE)),"")</f>
        <v/>
      </c>
      <c r="G385" t="str">
        <f>IFERROR(IF(VLOOKUP($B385,Показатели!$E:$W,4,FALSE)=0,"",VLOOKUP($B385,Показатели!$E:$W,4,FALSE)),"")</f>
        <v/>
      </c>
      <c r="H385" t="str">
        <f>IFERROR(IF(VLOOKUP($B385,Показатели!$E:$W,5,FALSE)=0,"",VLOOKUP($B385,Показатели!$E:$W,5,FALSE)),"")</f>
        <v/>
      </c>
      <c r="I385" t="str">
        <f>IFERROR(IF(VLOOKUP($B385,Показатели!$E:$W,6,FALSE)=0,"",VLOOKUP($B385,Показатели!$E:$W,6,FALSE)),"")</f>
        <v/>
      </c>
      <c r="J385" t="str">
        <f>IFERROR(IF(VLOOKUP($B385,Показатели!$E:$W,7,FALSE)=0,"",VLOOKUP($B385,Показатели!$E:$W,7,FALSE)),"")</f>
        <v/>
      </c>
      <c r="K385" t="str">
        <f>IFERROR(IF(VLOOKUP($B385,Показатели!$E:$W,8,FALSE)=0,"",VLOOKUP($B385,Показатели!$E:$W,8,FALSE)),"")</f>
        <v/>
      </c>
      <c r="L385" t="str">
        <f>IFERROR(IF(VLOOKUP($B385,Показатели!$E:$W,9,FALSE)=0,"",VLOOKUP($B385,Показатели!$E:$W,9,FALSE)),"")</f>
        <v/>
      </c>
      <c r="M385" t="str">
        <f>IFERROR(IF(VLOOKUP($B385,Показатели!$E:$W,10,FALSE)=0,"",VLOOKUP($B385,Показатели!$E:$W,10,FALSE)),"")</f>
        <v/>
      </c>
      <c r="N385" t="str">
        <f>IFERROR(IF(VLOOKUP($B385,Показатели!$E:$W,11,FALSE)=0,"",VLOOKUP($B385,Показатели!$E:$W,11,FALSE)),"")</f>
        <v/>
      </c>
      <c r="O385" t="str">
        <f>IFERROR(IF(VLOOKUP($B385,Показатели!$E:$W,12,FALSE)=0,"",VLOOKUP($B385,Показатели!$E:$W,12,FALSE)),"")</f>
        <v/>
      </c>
      <c r="P385" t="str">
        <f>IFERROR(IF(VLOOKUP($B385,Показатели!$E:$W,13,FALSE)=0,"",VLOOKUP($B385,Показатели!$E:$W,13,FALSE)),"")</f>
        <v/>
      </c>
      <c r="Q385" t="str">
        <f>IFERROR(IF(VLOOKUP($B385,Показатели!$E:$W,14,FALSE)=0,"",VLOOKUP($B385,Показатели!$E:$W,14,FALSE)),"")</f>
        <v/>
      </c>
      <c r="R385" t="str">
        <f>IFERROR(IF(VLOOKUP($B385,Показатели!$E:$W,15,FALSE)=0,"",VLOOKUP($B385,Показатели!$E:$W,15,FALSE)),"")</f>
        <v/>
      </c>
      <c r="S385" t="str">
        <f>IFERROR(IF(VLOOKUP($B385,Показатели!$E:$W,16,FALSE)=0,"",VLOOKUP($B385,Показатели!$E:$W,16,FALSE)),"")</f>
        <v/>
      </c>
      <c r="T385" t="str">
        <f>IFERROR(IF(VLOOKUP($B385,Показатели!$E:$W,17,FALSE)=0,"",VLOOKUP($B385,Показатели!$E:$W,17,FALSE)),"")</f>
        <v/>
      </c>
      <c r="U385" t="str">
        <f>IFERROR(IF(VLOOKUP($B385,Показатели!$E:$W,18,FALSE)=0,"",VLOOKUP($B385,Показатели!$E:$W,18,FALSE)),"")</f>
        <v/>
      </c>
      <c r="V385" t="str">
        <f>IFERROR(IF(VLOOKUP($B385,Показатели!$E:$W,19,FALSE)=0,"",VLOOKUP($B385,Показатели!$E:$W,19,FALSE)),"")</f>
        <v/>
      </c>
    </row>
    <row r="386" spans="1:22" x14ac:dyDescent="0.2">
      <c r="A386" s="7" t="s">
        <v>2226</v>
      </c>
      <c r="B386" t="str">
        <f t="shared" si="5"/>
        <v>MTLR IV кв. 2025</v>
      </c>
      <c r="C386">
        <v>2025</v>
      </c>
      <c r="D386">
        <f>SUMIFS(Дивиденды!$C:$C,Дивиденды!$A:$A,A386,Дивиденды!$I:$I,C386)</f>
        <v>0</v>
      </c>
      <c r="E386" t="str">
        <f>IFERROR(IF(VLOOKUP($B386,Показатели!$E:$W,2,FALSE)=0,"",VLOOKUP($B386,Показатели!$E:$W,2,FALSE)),"")</f>
        <v/>
      </c>
      <c r="F386" t="str">
        <f>IFERROR(IF(VLOOKUP($B386,Показатели!$E:$W,3,FALSE)=0,"",VLOOKUP($B386,Показатели!$E:$W,3,FALSE)),"")</f>
        <v/>
      </c>
      <c r="G386" t="str">
        <f>IFERROR(IF(VLOOKUP($B386,Показатели!$E:$W,4,FALSE)=0,"",VLOOKUP($B386,Показатели!$E:$W,4,FALSE)),"")</f>
        <v/>
      </c>
      <c r="H386" t="str">
        <f>IFERROR(IF(VLOOKUP($B386,Показатели!$E:$W,5,FALSE)=0,"",VLOOKUP($B386,Показатели!$E:$W,5,FALSE)),"")</f>
        <v/>
      </c>
      <c r="I386" t="str">
        <f>IFERROR(IF(VLOOKUP($B386,Показатели!$E:$W,6,FALSE)=0,"",VLOOKUP($B386,Показатели!$E:$W,6,FALSE)),"")</f>
        <v/>
      </c>
      <c r="J386" t="str">
        <f>IFERROR(IF(VLOOKUP($B386,Показатели!$E:$W,7,FALSE)=0,"",VLOOKUP($B386,Показатели!$E:$W,7,FALSE)),"")</f>
        <v/>
      </c>
      <c r="K386" t="str">
        <f>IFERROR(IF(VLOOKUP($B386,Показатели!$E:$W,8,FALSE)=0,"",VLOOKUP($B386,Показатели!$E:$W,8,FALSE)),"")</f>
        <v/>
      </c>
      <c r="L386" t="str">
        <f>IFERROR(IF(VLOOKUP($B386,Показатели!$E:$W,9,FALSE)=0,"",VLOOKUP($B386,Показатели!$E:$W,9,FALSE)),"")</f>
        <v/>
      </c>
      <c r="M386" t="str">
        <f>IFERROR(IF(VLOOKUP($B386,Показатели!$E:$W,10,FALSE)=0,"",VLOOKUP($B386,Показатели!$E:$W,10,FALSE)),"")</f>
        <v/>
      </c>
      <c r="N386" t="str">
        <f>IFERROR(IF(VLOOKUP($B386,Показатели!$E:$W,11,FALSE)=0,"",VLOOKUP($B386,Показатели!$E:$W,11,FALSE)),"")</f>
        <v/>
      </c>
      <c r="O386" t="str">
        <f>IFERROR(IF(VLOOKUP($B386,Показатели!$E:$W,12,FALSE)=0,"",VLOOKUP($B386,Показатели!$E:$W,12,FALSE)),"")</f>
        <v/>
      </c>
      <c r="P386" t="str">
        <f>IFERROR(IF(VLOOKUP($B386,Показатели!$E:$W,13,FALSE)=0,"",VLOOKUP($B386,Показатели!$E:$W,13,FALSE)),"")</f>
        <v/>
      </c>
      <c r="Q386" t="str">
        <f>IFERROR(IF(VLOOKUP($B386,Показатели!$E:$W,14,FALSE)=0,"",VLOOKUP($B386,Показатели!$E:$W,14,FALSE)),"")</f>
        <v/>
      </c>
      <c r="R386" t="str">
        <f>IFERROR(IF(VLOOKUP($B386,Показатели!$E:$W,15,FALSE)=0,"",VLOOKUP($B386,Показатели!$E:$W,15,FALSE)),"")</f>
        <v/>
      </c>
      <c r="S386" t="str">
        <f>IFERROR(IF(VLOOKUP($B386,Показатели!$E:$W,16,FALSE)=0,"",VLOOKUP($B386,Показатели!$E:$W,16,FALSE)),"")</f>
        <v/>
      </c>
      <c r="T386" t="str">
        <f>IFERROR(IF(VLOOKUP($B386,Показатели!$E:$W,17,FALSE)=0,"",VLOOKUP($B386,Показатели!$E:$W,17,FALSE)),"")</f>
        <v/>
      </c>
      <c r="U386" t="str">
        <f>IFERROR(IF(VLOOKUP($B386,Показатели!$E:$W,18,FALSE)=0,"",VLOOKUP($B386,Показатели!$E:$W,18,FALSE)),"")</f>
        <v/>
      </c>
      <c r="V386" t="str">
        <f>IFERROR(IF(VLOOKUP($B386,Показатели!$E:$W,19,FALSE)=0,"",VLOOKUP($B386,Показатели!$E:$W,19,FALSE)),"")</f>
        <v/>
      </c>
    </row>
    <row r="387" spans="1:22" x14ac:dyDescent="0.2">
      <c r="A387" s="7" t="s">
        <v>2226</v>
      </c>
      <c r="B387" t="str">
        <f t="shared" ref="B387:B450" si="6">A387&amp;" "&amp;
"IV"
&amp;" кв. "&amp;C387</f>
        <v>MTLR IV кв. 2024</v>
      </c>
      <c r="C387">
        <v>2024</v>
      </c>
      <c r="D387">
        <f>SUMIFS(Дивиденды!$C:$C,Дивиденды!$A:$A,A387,Дивиденды!$I:$I,C387)</f>
        <v>0</v>
      </c>
      <c r="E387">
        <f>IFERROR(IF(VLOOKUP($B387,Показатели!$E:$W,2,FALSE)=0,"",VLOOKUP($B387,Показатели!$E:$W,2,FALSE)),"")</f>
        <v>797000000</v>
      </c>
      <c r="F387">
        <f>IFERROR(IF(VLOOKUP($B387,Показатели!$E:$W,3,FALSE)=0,"",VLOOKUP($B387,Показатели!$E:$W,3,FALSE)),"")</f>
        <v>105277000000</v>
      </c>
      <c r="G387">
        <f>IFERROR(IF(VLOOKUP($B387,Показатели!$E:$W,4,FALSE)=0,"",VLOOKUP($B387,Показатели!$E:$W,4,FALSE)),"")</f>
        <v>109630000000</v>
      </c>
      <c r="H387">
        <f>IFERROR(IF(VLOOKUP($B387,Показатели!$E:$W,5,FALSE)=0,"",VLOOKUP($B387,Показатели!$E:$W,5,FALSE)),"")</f>
        <v>3633000000</v>
      </c>
      <c r="I387">
        <f>IFERROR(IF(VLOOKUP($B387,Показатели!$E:$W,6,FALSE)=0,"",VLOOKUP($B387,Показатели!$E:$W,6,FALSE)),"")</f>
        <v>256772000000</v>
      </c>
      <c r="J387">
        <f>IFERROR(IF(VLOOKUP($B387,Показатели!$E:$W,7,FALSE)=0,"",VLOOKUP($B387,Показатели!$E:$W,7,FALSE)),"")</f>
        <v>336538000000</v>
      </c>
      <c r="K387">
        <f>IFERROR(IF(VLOOKUP($B387,Показатели!$E:$W,8,FALSE)=0,"",VLOOKUP($B387,Показатели!$E:$W,8,FALSE)),"")</f>
        <v>20074000000</v>
      </c>
      <c r="L387">
        <f>IFERROR(IF(VLOOKUP($B387,Показатели!$E:$W,9,FALSE)=0,"",VLOOKUP($B387,Показатели!$E:$W,9,FALSE)),"")</f>
        <v>-144720000000</v>
      </c>
      <c r="M387">
        <f>IFERROR(IF(VLOOKUP($B387,Показатели!$E:$W,10,FALSE)=0,"",VLOOKUP($B387,Показатели!$E:$W,10,FALSE)),"")</f>
        <v>-99840000000</v>
      </c>
      <c r="N387">
        <f>IFERROR(IF(VLOOKUP($B387,Показатели!$E:$W,11,FALSE)=0,"",VLOOKUP($B387,Показатели!$E:$W,11,FALSE)),"")</f>
        <v>387477000000</v>
      </c>
      <c r="O387">
        <f>IFERROR(IF(VLOOKUP($B387,Показатели!$E:$W,12,FALSE)=0,"",VLOOKUP($B387,Показатели!$E:$W,12,FALSE)),"")</f>
        <v>14155000000</v>
      </c>
      <c r="P387">
        <f>IFERROR(IF(VLOOKUP($B387,Показатели!$E:$W,13,FALSE)=0,"",VLOOKUP($B387,Показатели!$E:$W,13,FALSE)),"")</f>
        <v>-34047000000</v>
      </c>
      <c r="Q387">
        <f>IFERROR(IF(VLOOKUP($B387,Показатели!$E:$W,14,FALSE)=0,"",VLOOKUP($B387,Показатели!$E:$W,14,FALSE)),"")</f>
        <v>-36271000000</v>
      </c>
      <c r="R387">
        <f>IFERROR(IF(VLOOKUP($B387,Показатели!$E:$W,15,FALSE)=0,"",VLOOKUP($B387,Показатели!$E:$W,15,FALSE)),"")</f>
        <v>27152000000</v>
      </c>
      <c r="S387">
        <f>IFERROR(IF(VLOOKUP($B387,Показатели!$E:$W,16,FALSE)=0,"",VLOOKUP($B387,Показатели!$E:$W,16,FALSE)),"")</f>
        <v>55902000000</v>
      </c>
      <c r="T387">
        <f>IFERROR(IF(VLOOKUP($B387,Показатели!$E:$W,17,FALSE)=0,"",VLOOKUP($B387,Показатели!$E:$W,17,FALSE)),"")</f>
        <v>-17322000000</v>
      </c>
      <c r="U387">
        <f>IFERROR(IF(VLOOKUP($B387,Показатели!$E:$W,18,FALSE)=0,"",VLOOKUP($B387,Показатели!$E:$W,18,FALSE)),"")</f>
        <v>405884000000</v>
      </c>
      <c r="V387">
        <f>IFERROR(IF(VLOOKUP($B387,Показатели!$E:$W,19,FALSE)=0,"",VLOOKUP($B387,Показатели!$E:$W,19,FALSE)),"")</f>
        <v>271856000000</v>
      </c>
    </row>
    <row r="388" spans="1:22" x14ac:dyDescent="0.2">
      <c r="A388" s="7" t="s">
        <v>2226</v>
      </c>
      <c r="B388" t="str">
        <f t="shared" si="6"/>
        <v>MTLR IV кв. 2023</v>
      </c>
      <c r="C388">
        <v>2023</v>
      </c>
      <c r="D388">
        <f>SUMIFS(Дивиденды!$C:$C,Дивиденды!$A:$A,A388,Дивиденды!$I:$I,C388)</f>
        <v>0</v>
      </c>
      <c r="E388">
        <f>IFERROR(IF(VLOOKUP($B388,Показатели!$E:$W,2,FALSE)=0,"",VLOOKUP($B388,Показатели!$E:$W,2,FALSE)),"")</f>
        <v>7227000000</v>
      </c>
      <c r="F388">
        <f>IFERROR(IF(VLOOKUP($B388,Показатели!$E:$W,3,FALSE)=0,"",VLOOKUP($B388,Показатели!$E:$W,3,FALSE)),"")</f>
        <v>119159000000</v>
      </c>
      <c r="G388">
        <f>IFERROR(IF(VLOOKUP($B388,Показатели!$E:$W,4,FALSE)=0,"",VLOOKUP($B388,Показатели!$E:$W,4,FALSE)),"")</f>
        <v>98241000000</v>
      </c>
      <c r="H388">
        <f>IFERROR(IF(VLOOKUP($B388,Показатели!$E:$W,5,FALSE)=0,"",VLOOKUP($B388,Показатели!$E:$W,5,FALSE)),"")</f>
        <v>4187000000</v>
      </c>
      <c r="I388">
        <f>IFERROR(IF(VLOOKUP($B388,Показатели!$E:$W,6,FALSE)=0,"",VLOOKUP($B388,Показатели!$E:$W,6,FALSE)),"")</f>
        <v>271856000000</v>
      </c>
      <c r="J388">
        <f>IFERROR(IF(VLOOKUP($B388,Показатели!$E:$W,7,FALSE)=0,"",VLOOKUP($B388,Показатели!$E:$W,7,FALSE)),"")</f>
        <v>181606000000</v>
      </c>
      <c r="K388">
        <f>IFERROR(IF(VLOOKUP($B388,Показатели!$E:$W,8,FALSE)=0,"",VLOOKUP($B388,Показатели!$E:$W,8,FALSE)),"")</f>
        <v>150734000000</v>
      </c>
      <c r="L388">
        <f>IFERROR(IF(VLOOKUP($B388,Показатели!$E:$W,9,FALSE)=0,"",VLOOKUP($B388,Показатели!$E:$W,9,FALSE)),"")</f>
        <v>-107445000000</v>
      </c>
      <c r="M388">
        <f>IFERROR(IF(VLOOKUP($B388,Показатели!$E:$W,10,FALSE)=0,"",VLOOKUP($B388,Показатели!$E:$W,10,FALSE)),"")</f>
        <v>-60484000000</v>
      </c>
      <c r="N388">
        <f>IFERROR(IF(VLOOKUP($B388,Показатели!$E:$W,11,FALSE)=0,"",VLOOKUP($B388,Показатели!$E:$W,11,FALSE)),"")</f>
        <v>405884000000</v>
      </c>
      <c r="O388">
        <f>IFERROR(IF(VLOOKUP($B388,Показатели!$E:$W,12,FALSE)=0,"",VLOOKUP($B388,Показатели!$E:$W,12,FALSE)),"")</f>
        <v>64848000000</v>
      </c>
      <c r="P388">
        <f>IFERROR(IF(VLOOKUP($B388,Показатели!$E:$W,13,FALSE)=0,"",VLOOKUP($B388,Показатели!$E:$W,13,FALSE)),"")</f>
        <v>24968000000</v>
      </c>
      <c r="Q388">
        <f>IFERROR(IF(VLOOKUP($B388,Показатели!$E:$W,14,FALSE)=0,"",VLOOKUP($B388,Показатели!$E:$W,14,FALSE)),"")</f>
        <v>24247000000</v>
      </c>
      <c r="R388">
        <f>IFERROR(IF(VLOOKUP($B388,Показатели!$E:$W,15,FALSE)=0,"",VLOOKUP($B388,Показатели!$E:$W,15,FALSE)),"")</f>
        <v>23960000000</v>
      </c>
      <c r="S388">
        <f>IFERROR(IF(VLOOKUP($B388,Показатели!$E:$W,16,FALSE)=0,"",VLOOKUP($B388,Показатели!$E:$W,16,FALSE)),"")</f>
        <v>86345000000</v>
      </c>
      <c r="T388">
        <f>IFERROR(IF(VLOOKUP($B388,Показатели!$E:$W,17,FALSE)=0,"",VLOOKUP($B388,Показатели!$E:$W,17,FALSE)),"")</f>
        <v>-23344000000</v>
      </c>
      <c r="U388">
        <f>IFERROR(IF(VLOOKUP($B388,Показатели!$E:$W,18,FALSE)=0,"",VLOOKUP($B388,Показатели!$E:$W,18,FALSE)),"")</f>
        <v>434045000000</v>
      </c>
      <c r="V388">
        <f>IFERROR(IF(VLOOKUP($B388,Показатели!$E:$W,19,FALSE)=0,"",VLOOKUP($B388,Показатели!$E:$W,19,FALSE)),"")</f>
        <v>253113000000</v>
      </c>
    </row>
    <row r="389" spans="1:22" x14ac:dyDescent="0.2">
      <c r="A389" s="7" t="s">
        <v>2226</v>
      </c>
      <c r="B389" t="str">
        <f t="shared" si="6"/>
        <v>MTLR IV кв. 2022</v>
      </c>
      <c r="C389">
        <v>2022</v>
      </c>
      <c r="D389">
        <f>SUMIFS(Дивиденды!$C:$C,Дивиденды!$A:$A,A389,Дивиденды!$I:$I,C389)</f>
        <v>0</v>
      </c>
      <c r="E389">
        <f>IFERROR(IF(VLOOKUP($B389,Показатели!$E:$W,2,FALSE)=0,"",VLOOKUP($B389,Показатели!$E:$W,2,FALSE)),"")</f>
        <v>23700000000</v>
      </c>
      <c r="F389">
        <f>IFERROR(IF(VLOOKUP($B389,Показатели!$E:$W,3,FALSE)=0,"",VLOOKUP($B389,Показатели!$E:$W,3,FALSE)),"")</f>
        <v>118908000000</v>
      </c>
      <c r="G389">
        <f>IFERROR(IF(VLOOKUP($B389,Показатели!$E:$W,4,FALSE)=0,"",VLOOKUP($B389,Показатели!$E:$W,4,FALSE)),"")</f>
        <v>79246000000</v>
      </c>
      <c r="H389">
        <f>IFERROR(IF(VLOOKUP($B389,Показатели!$E:$W,5,FALSE)=0,"",VLOOKUP($B389,Показатели!$E:$W,5,FALSE)),"")</f>
        <v>10601000000</v>
      </c>
      <c r="I389">
        <f>IFERROR(IF(VLOOKUP($B389,Показатели!$E:$W,6,FALSE)=0,"",VLOOKUP($B389,Показатели!$E:$W,6,FALSE)),"")</f>
        <v>253113000000</v>
      </c>
      <c r="J389">
        <f>IFERROR(IF(VLOOKUP($B389,Показатели!$E:$W,7,FALSE)=0,"",VLOOKUP($B389,Показатели!$E:$W,7,FALSE)),"")</f>
        <v>308611000000</v>
      </c>
      <c r="K389">
        <f>IFERROR(IF(VLOOKUP($B389,Показатели!$E:$W,8,FALSE)=0,"",VLOOKUP($B389,Показатели!$E:$W,8,FALSE)),"")</f>
        <v>26758000000</v>
      </c>
      <c r="L389">
        <f>IFERROR(IF(VLOOKUP($B389,Показатели!$E:$W,9,FALSE)=0,"",VLOOKUP($B389,Показатели!$E:$W,9,FALSE)),"")</f>
        <v>-129766000000</v>
      </c>
      <c r="M389">
        <f>IFERROR(IF(VLOOKUP($B389,Показатели!$E:$W,10,FALSE)=0,"",VLOOKUP($B389,Показатели!$E:$W,10,FALSE)),"")</f>
        <v>-82256000000</v>
      </c>
      <c r="N389">
        <f>IFERROR(IF(VLOOKUP($B389,Показатели!$E:$W,11,FALSE)=0,"",VLOOKUP($B389,Показатели!$E:$W,11,FALSE)),"")</f>
        <v>434045000000</v>
      </c>
      <c r="O389">
        <f>IFERROR(IF(VLOOKUP($B389,Показатели!$E:$W,12,FALSE)=0,"",VLOOKUP($B389,Показатели!$E:$W,12,FALSE)),"")</f>
        <v>97337000000</v>
      </c>
      <c r="P389">
        <f>IFERROR(IF(VLOOKUP($B389,Показатели!$E:$W,13,FALSE)=0,"",VLOOKUP($B389,Показатели!$E:$W,13,FALSE)),"")</f>
        <v>79635000000</v>
      </c>
      <c r="Q389">
        <f>IFERROR(IF(VLOOKUP($B389,Показатели!$E:$W,14,FALSE)=0,"",VLOOKUP($B389,Показатели!$E:$W,14,FALSE)),"")</f>
        <v>65171000000</v>
      </c>
      <c r="R389">
        <f>IFERROR(IF(VLOOKUP($B389,Показатели!$E:$W,15,FALSE)=0,"",VLOOKUP($B389,Показатели!$E:$W,15,FALSE)),"")</f>
        <v>16818000000</v>
      </c>
      <c r="S389">
        <f>IFERROR(IF(VLOOKUP($B389,Показатели!$E:$W,16,FALSE)=0,"",VLOOKUP($B389,Показатели!$E:$W,16,FALSE)),"")</f>
        <v>115115000000</v>
      </c>
      <c r="T389">
        <f>IFERROR(IF(VLOOKUP($B389,Показатели!$E:$W,17,FALSE)=0,"",VLOOKUP($B389,Показатели!$E:$W,17,FALSE)),"")</f>
        <v>-12551000000</v>
      </c>
      <c r="U389">
        <f>IFERROR(IF(VLOOKUP($B389,Показатели!$E:$W,18,FALSE)=0,"",VLOOKUP($B389,Показатели!$E:$W,18,FALSE)),"")</f>
        <v>402074000000</v>
      </c>
      <c r="V389">
        <f>IFERROR(IF(VLOOKUP($B389,Показатели!$E:$W,19,FALSE)=0,"",VLOOKUP($B389,Показатели!$E:$W,19,FALSE)),"")</f>
        <v>237530000000</v>
      </c>
    </row>
    <row r="390" spans="1:22" x14ac:dyDescent="0.2">
      <c r="A390" s="7" t="s">
        <v>2226</v>
      </c>
      <c r="B390" t="str">
        <f t="shared" si="6"/>
        <v>MTLR IV кв. 2021</v>
      </c>
      <c r="C390">
        <v>2021</v>
      </c>
      <c r="D390">
        <f>SUMIFS(Дивиденды!$C:$C,Дивиденды!$A:$A,A390,Дивиденды!$I:$I,C390)</f>
        <v>0</v>
      </c>
      <c r="E390">
        <f>IFERROR(IF(VLOOKUP($B390,Показатели!$E:$W,2,FALSE)=0,"",VLOOKUP($B390,Показатели!$E:$W,2,FALSE)),"")</f>
        <v>17701000000</v>
      </c>
      <c r="F390">
        <f>IFERROR(IF(VLOOKUP($B390,Показатели!$E:$W,3,FALSE)=0,"",VLOOKUP($B390,Показатели!$E:$W,3,FALSE)),"")</f>
        <v>114937000000</v>
      </c>
      <c r="G390">
        <f>IFERROR(IF(VLOOKUP($B390,Показатели!$E:$W,4,FALSE)=0,"",VLOOKUP($B390,Показатели!$E:$W,4,FALSE)),"")</f>
        <v>75509000000</v>
      </c>
      <c r="H390">
        <f>IFERROR(IF(VLOOKUP($B390,Показатели!$E:$W,5,FALSE)=0,"",VLOOKUP($B390,Показатели!$E:$W,5,FALSE)),"")</f>
        <v>10684000000</v>
      </c>
      <c r="I390">
        <f>IFERROR(IF(VLOOKUP($B390,Показатели!$E:$W,6,FALSE)=0,"",VLOOKUP($B390,Показатели!$E:$W,6,FALSE)),"")</f>
        <v>237530000000</v>
      </c>
      <c r="J390">
        <f>IFERROR(IF(VLOOKUP($B390,Показатели!$E:$W,7,FALSE)=0,"",VLOOKUP($B390,Показатели!$E:$W,7,FALSE)),"")</f>
        <v>363439000000</v>
      </c>
      <c r="K390">
        <f>IFERROR(IF(VLOOKUP($B390,Показатели!$E:$W,8,FALSE)=0,"",VLOOKUP($B390,Показатели!$E:$W,8,FALSE)),"")</f>
        <v>21369000000</v>
      </c>
      <c r="L390">
        <f>IFERROR(IF(VLOOKUP($B390,Показатели!$E:$W,9,FALSE)=0,"",VLOOKUP($B390,Показатели!$E:$W,9,FALSE)),"")</f>
        <v>-192714000000</v>
      </c>
      <c r="M390">
        <f>IFERROR(IF(VLOOKUP($B390,Показатели!$E:$W,10,FALSE)=0,"",VLOOKUP($B390,Показатели!$E:$W,10,FALSE)),"")</f>
        <v>-147278000000</v>
      </c>
      <c r="N390">
        <f>IFERROR(IF(VLOOKUP($B390,Показатели!$E:$W,11,FALSE)=0,"",VLOOKUP($B390,Показатели!$E:$W,11,FALSE)),"")</f>
        <v>402074000000</v>
      </c>
      <c r="O390">
        <f>IFERROR(IF(VLOOKUP($B390,Показатели!$E:$W,12,FALSE)=0,"",VLOOKUP($B390,Показатели!$E:$W,12,FALSE)),"")</f>
        <v>102666000000</v>
      </c>
      <c r="P390">
        <f>IFERROR(IF(VLOOKUP($B390,Показатели!$E:$W,13,FALSE)=0,"",VLOOKUP($B390,Показатели!$E:$W,13,FALSE)),"")</f>
        <v>89130000000</v>
      </c>
      <c r="Q390">
        <f>IFERROR(IF(VLOOKUP($B390,Показатели!$E:$W,14,FALSE)=0,"",VLOOKUP($B390,Показатели!$E:$W,14,FALSE)),"")</f>
        <v>82619000000</v>
      </c>
      <c r="R390">
        <f>IFERROR(IF(VLOOKUP($B390,Показатели!$E:$W,15,FALSE)=0,"",VLOOKUP($B390,Показатели!$E:$W,15,FALSE)),"")</f>
        <v>16659000000</v>
      </c>
      <c r="S390">
        <f>IFERROR(IF(VLOOKUP($B390,Показатели!$E:$W,16,FALSE)=0,"",VLOOKUP($B390,Показатели!$E:$W,16,FALSE)),"")</f>
        <v>118907000000</v>
      </c>
      <c r="T390">
        <f>IFERROR(IF(VLOOKUP($B390,Показатели!$E:$W,17,FALSE)=0,"",VLOOKUP($B390,Показатели!$E:$W,17,FALSE)),"")</f>
        <v>-6208000000</v>
      </c>
      <c r="U390">
        <f>IFERROR(IF(VLOOKUP($B390,Показатели!$E:$W,18,FALSE)=0,"",VLOOKUP($B390,Показатели!$E:$W,18,FALSE)),"")</f>
        <v>265454000000</v>
      </c>
      <c r="V390">
        <f>IFERROR(IF(VLOOKUP($B390,Показатели!$E:$W,19,FALSE)=0,"",VLOOKUP($B390,Показатели!$E:$W,19,FALSE)),"")</f>
        <v>193840000000</v>
      </c>
    </row>
    <row r="391" spans="1:22" x14ac:dyDescent="0.2">
      <c r="A391" s="7" t="s">
        <v>2226</v>
      </c>
      <c r="B391" t="str">
        <f t="shared" si="6"/>
        <v>MTLR IV кв. 2020</v>
      </c>
      <c r="C391">
        <v>2020</v>
      </c>
      <c r="D391">
        <f>SUMIFS(Дивиденды!$C:$C,Дивиденды!$A:$A,A391,Дивиденды!$I:$I,C391)</f>
        <v>0</v>
      </c>
      <c r="E391">
        <f>IFERROR(IF(VLOOKUP($B391,Показатели!$E:$W,2,FALSE)=0,"",VLOOKUP($B391,Показатели!$E:$W,2,FALSE)),"")</f>
        <v>1706000000</v>
      </c>
      <c r="F391">
        <f>IFERROR(IF(VLOOKUP($B391,Показатели!$E:$W,3,FALSE)=0,"",VLOOKUP($B391,Показатели!$E:$W,3,FALSE)),"")</f>
        <v>68856000000</v>
      </c>
      <c r="G391">
        <f>IFERROR(IF(VLOOKUP($B391,Показатели!$E:$W,4,FALSE)=0,"",VLOOKUP($B391,Показатели!$E:$W,4,FALSE)),"")</f>
        <v>81345000000</v>
      </c>
      <c r="H391">
        <f>IFERROR(IF(VLOOKUP($B391,Показатели!$E:$W,5,FALSE)=0,"",VLOOKUP($B391,Показатели!$E:$W,5,FALSE)),"")</f>
        <v>10383000000</v>
      </c>
      <c r="I391">
        <f>IFERROR(IF(VLOOKUP($B391,Показатели!$E:$W,6,FALSE)=0,"",VLOOKUP($B391,Показатели!$E:$W,6,FALSE)),"")</f>
        <v>193840000000</v>
      </c>
      <c r="J391">
        <f>IFERROR(IF(VLOOKUP($B391,Показатели!$E:$W,7,FALSE)=0,"",VLOOKUP($B391,Показатели!$E:$W,7,FALSE)),"")</f>
        <v>399343000000</v>
      </c>
      <c r="K391">
        <f>IFERROR(IF(VLOOKUP($B391,Показатели!$E:$W,8,FALSE)=0,"",VLOOKUP($B391,Показатели!$E:$W,8,FALSE)),"")</f>
        <v>25168000000</v>
      </c>
      <c r="L391">
        <f>IFERROR(IF(VLOOKUP($B391,Показатели!$E:$W,9,FALSE)=0,"",VLOOKUP($B391,Показатели!$E:$W,9,FALSE)),"")</f>
        <v>-273186000000</v>
      </c>
      <c r="M391">
        <f>IFERROR(IF(VLOOKUP($B391,Показатели!$E:$W,10,FALSE)=0,"",VLOOKUP($B391,Показатели!$E:$W,10,FALSE)),"")</f>
        <v>-230671000000</v>
      </c>
      <c r="N391">
        <f>IFERROR(IF(VLOOKUP($B391,Показатели!$E:$W,11,FALSE)=0,"",VLOOKUP($B391,Показатели!$E:$W,11,FALSE)),"")</f>
        <v>265454000000</v>
      </c>
      <c r="O391">
        <f>IFERROR(IF(VLOOKUP($B391,Показатели!$E:$W,12,FALSE)=0,"",VLOOKUP($B391,Показатели!$E:$W,12,FALSE)),"")</f>
        <v>19925000000</v>
      </c>
      <c r="P391">
        <f>IFERROR(IF(VLOOKUP($B391,Показатели!$E:$W,13,FALSE)=0,"",VLOOKUP($B391,Показатели!$E:$W,13,FALSE)),"")</f>
        <v>-37625000000</v>
      </c>
      <c r="Q391">
        <f>IFERROR(IF(VLOOKUP($B391,Показатели!$E:$W,14,FALSE)=0,"",VLOOKUP($B391,Показатели!$E:$W,14,FALSE)),"")</f>
        <v>1456000000</v>
      </c>
      <c r="R391">
        <f>IFERROR(IF(VLOOKUP($B391,Показатели!$E:$W,15,FALSE)=0,"",VLOOKUP($B391,Показатели!$E:$W,15,FALSE)),"")</f>
        <v>19168000000</v>
      </c>
      <c r="S391">
        <f>IFERROR(IF(VLOOKUP($B391,Показатели!$E:$W,16,FALSE)=0,"",VLOOKUP($B391,Показатели!$E:$W,16,FALSE)),"")</f>
        <v>41051000000</v>
      </c>
      <c r="T391">
        <f>IFERROR(IF(VLOOKUP($B391,Показатели!$E:$W,17,FALSE)=0,"",VLOOKUP($B391,Показатели!$E:$W,17,FALSE)),"")</f>
        <v>-4826000000</v>
      </c>
      <c r="U391">
        <f>IFERROR(IF(VLOOKUP($B391,Показатели!$E:$W,18,FALSE)=0,"",VLOOKUP($B391,Показатели!$E:$W,18,FALSE)),"")</f>
        <v>296567000000</v>
      </c>
      <c r="V391">
        <f>IFERROR(IF(VLOOKUP($B391,Показатели!$E:$W,19,FALSE)=0,"",VLOOKUP($B391,Показатели!$E:$W,19,FALSE)),"")</f>
        <v>312505000000</v>
      </c>
    </row>
    <row r="392" spans="1:22" x14ac:dyDescent="0.2">
      <c r="A392" s="7" t="s">
        <v>2226</v>
      </c>
      <c r="B392" t="str">
        <f t="shared" si="6"/>
        <v>MTLR IV кв. 2019</v>
      </c>
      <c r="C392">
        <v>2019</v>
      </c>
      <c r="D392">
        <f>SUMIFS(Дивиденды!$C:$C,Дивиденды!$A:$A,A392,Дивиденды!$I:$I,C392)</f>
        <v>0</v>
      </c>
      <c r="E392">
        <f>IFERROR(IF(VLOOKUP($B392,Показатели!$E:$W,2,FALSE)=0,"",VLOOKUP($B392,Показатели!$E:$W,2,FALSE)),"")</f>
        <v>3509000000</v>
      </c>
      <c r="F392">
        <f>IFERROR(IF(VLOOKUP($B392,Показатели!$E:$W,3,FALSE)=0,"",VLOOKUP($B392,Показатели!$E:$W,3,FALSE)),"")</f>
        <v>66032000000</v>
      </c>
      <c r="G392">
        <f>IFERROR(IF(VLOOKUP($B392,Показатели!$E:$W,4,FALSE)=0,"",VLOOKUP($B392,Показатели!$E:$W,4,FALSE)),"")</f>
        <v>196992000000</v>
      </c>
      <c r="H392">
        <f>IFERROR(IF(VLOOKUP($B392,Показатели!$E:$W,5,FALSE)=0,"",VLOOKUP($B392,Показатели!$E:$W,5,FALSE)),"")</f>
        <v>13652000000</v>
      </c>
      <c r="I392">
        <f>IFERROR(IF(VLOOKUP($B392,Показатели!$E:$W,6,FALSE)=0,"",VLOOKUP($B392,Показатели!$E:$W,6,FALSE)),"")</f>
        <v>312505000000</v>
      </c>
      <c r="J392">
        <f>IFERROR(IF(VLOOKUP($B392,Показатели!$E:$W,7,FALSE)=0,"",VLOOKUP($B392,Показатели!$E:$W,7,FALSE)),"")</f>
        <v>459439000000</v>
      </c>
      <c r="K392">
        <f>IFERROR(IF(VLOOKUP($B392,Показатели!$E:$W,8,FALSE)=0,"",VLOOKUP($B392,Показатели!$E:$W,8,FALSE)),"")</f>
        <v>86663000000</v>
      </c>
      <c r="L392">
        <f>IFERROR(IF(VLOOKUP($B392,Показатели!$E:$W,9,FALSE)=0,"",VLOOKUP($B392,Показатели!$E:$W,9,FALSE)),"")</f>
        <v>-273754000000</v>
      </c>
      <c r="M392">
        <f>IFERROR(IF(VLOOKUP($B392,Показатели!$E:$W,10,FALSE)=0,"",VLOOKUP($B392,Показатели!$E:$W,10,FALSE)),"")</f>
        <v>-233597000000</v>
      </c>
      <c r="N392">
        <f>IFERROR(IF(VLOOKUP($B392,Показатели!$E:$W,11,FALSE)=0,"",VLOOKUP($B392,Показатели!$E:$W,11,FALSE)),"")</f>
        <v>296567000000</v>
      </c>
      <c r="O392">
        <f>IFERROR(IF(VLOOKUP($B392,Показатели!$E:$W,12,FALSE)=0,"",VLOOKUP($B392,Показатели!$E:$W,12,FALSE)),"")</f>
        <v>31498000000</v>
      </c>
      <c r="P392">
        <f>IFERROR(IF(VLOOKUP($B392,Показатели!$E:$W,13,FALSE)=0,"",VLOOKUP($B392,Показатели!$E:$W,13,FALSE)),"")</f>
        <v>12272000000</v>
      </c>
      <c r="Q392">
        <f>IFERROR(IF(VLOOKUP($B392,Показатели!$E:$W,14,FALSE)=0,"",VLOOKUP($B392,Показатели!$E:$W,14,FALSE)),"")</f>
        <v>4285000000</v>
      </c>
      <c r="R392">
        <f>IFERROR(IF(VLOOKUP($B392,Показатели!$E:$W,15,FALSE)=0,"",VLOOKUP($B392,Показатели!$E:$W,15,FALSE)),"")</f>
        <v>18056000000</v>
      </c>
      <c r="S392">
        <f>IFERROR(IF(VLOOKUP($B392,Показатели!$E:$W,16,FALSE)=0,"",VLOOKUP($B392,Показатели!$E:$W,16,FALSE)),"")</f>
        <v>53428000000</v>
      </c>
      <c r="T392">
        <f>IFERROR(IF(VLOOKUP($B392,Показатели!$E:$W,17,FALSE)=0,"",VLOOKUP($B392,Показатели!$E:$W,17,FALSE)),"")</f>
        <v>-6282000000</v>
      </c>
      <c r="U392">
        <f>IFERROR(IF(VLOOKUP($B392,Показатели!$E:$W,18,FALSE)=0,"",VLOOKUP($B392,Показатели!$E:$W,18,FALSE)),"")</f>
        <v>312574000000</v>
      </c>
      <c r="V392">
        <f>IFERROR(IF(VLOOKUP($B392,Показатели!$E:$W,19,FALSE)=0,"",VLOOKUP($B392,Показатели!$E:$W,19,FALSE)),"")</f>
        <v>317625000000</v>
      </c>
    </row>
    <row r="393" spans="1:22" x14ac:dyDescent="0.2">
      <c r="A393" s="7" t="s">
        <v>2226</v>
      </c>
      <c r="B393" t="str">
        <f t="shared" si="6"/>
        <v>MTLR IV кв. 2018</v>
      </c>
      <c r="C393">
        <v>2018</v>
      </c>
      <c r="D393">
        <f>SUMIFS(Дивиденды!$C:$C,Дивиденды!$A:$A,A393,Дивиденды!$I:$I,C393)</f>
        <v>0</v>
      </c>
      <c r="E393">
        <f>IFERROR(IF(VLOOKUP($B393,Показатели!$E:$W,2,FALSE)=0,"",VLOOKUP($B393,Показатели!$E:$W,2,FALSE)),"")</f>
        <v>1803000000</v>
      </c>
      <c r="F393">
        <f>IFERROR(IF(VLOOKUP($B393,Показатели!$E:$W,3,FALSE)=0,"",VLOOKUP($B393,Показатели!$E:$W,3,FALSE)),"")</f>
        <v>72140000000</v>
      </c>
      <c r="G393">
        <f>IFERROR(IF(VLOOKUP($B393,Показатели!$E:$W,4,FALSE)=0,"",VLOOKUP($B393,Показатели!$E:$W,4,FALSE)),"")</f>
        <v>189879000000</v>
      </c>
      <c r="H393">
        <f>IFERROR(IF(VLOOKUP($B393,Показатели!$E:$W,5,FALSE)=0,"",VLOOKUP($B393,Показатели!$E:$W,5,FALSE)),"")</f>
        <v>16883000000</v>
      </c>
      <c r="I393">
        <f>IFERROR(IF(VLOOKUP($B393,Показатели!$E:$W,6,FALSE)=0,"",VLOOKUP($B393,Показатели!$E:$W,6,FALSE)),"")</f>
        <v>317625000000</v>
      </c>
      <c r="J393">
        <f>IFERROR(IF(VLOOKUP($B393,Показатели!$E:$W,7,FALSE)=0,"",VLOOKUP($B393,Показатели!$E:$W,7,FALSE)),"")</f>
        <v>476195000000</v>
      </c>
      <c r="K393">
        <f>IFERROR(IF(VLOOKUP($B393,Показатели!$E:$W,8,FALSE)=0,"",VLOOKUP($B393,Показатели!$E:$W,8,FALSE)),"")</f>
        <v>74625000000</v>
      </c>
      <c r="L393">
        <f>IFERROR(IF(VLOOKUP($B393,Показатели!$E:$W,9,FALSE)=0,"",VLOOKUP($B393,Показатели!$E:$W,9,FALSE)),"")</f>
        <v>-274186000000</v>
      </c>
      <c r="M393">
        <f>IFERROR(IF(VLOOKUP($B393,Показатели!$E:$W,10,FALSE)=0,"",VLOOKUP($B393,Показатели!$E:$W,10,FALSE)),"")</f>
        <v>-233195000000</v>
      </c>
      <c r="N393">
        <f>IFERROR(IF(VLOOKUP($B393,Показатели!$E:$W,11,FALSE)=0,"",VLOOKUP($B393,Показатели!$E:$W,11,FALSE)),"")</f>
        <v>312574000000</v>
      </c>
      <c r="O393">
        <f>IFERROR(IF(VLOOKUP($B393,Показатели!$E:$W,12,FALSE)=0,"",VLOOKUP($B393,Показатели!$E:$W,12,FALSE)),"")</f>
        <v>49780000000</v>
      </c>
      <c r="P393">
        <f>IFERROR(IF(VLOOKUP($B393,Показатели!$E:$W,13,FALSE)=0,"",VLOOKUP($B393,Показатели!$E:$W,13,FALSE)),"")</f>
        <v>16217000000</v>
      </c>
      <c r="Q393">
        <f>IFERROR(IF(VLOOKUP($B393,Показатели!$E:$W,14,FALSE)=0,"",VLOOKUP($B393,Показатели!$E:$W,14,FALSE)),"")</f>
        <v>13536000000</v>
      </c>
      <c r="R393">
        <f>IFERROR(IF(VLOOKUP($B393,Показатели!$E:$W,15,FALSE)=0,"",VLOOKUP($B393,Показатели!$E:$W,15,FALSE)),"")</f>
        <v>21081000000</v>
      </c>
      <c r="S393">
        <f>IFERROR(IF(VLOOKUP($B393,Показатели!$E:$W,16,FALSE)=0,"",VLOOKUP($B393,Показатели!$E:$W,16,FALSE)),"")</f>
        <v>75700000000</v>
      </c>
      <c r="T393">
        <f>IFERROR(IF(VLOOKUP($B393,Показатели!$E:$W,17,FALSE)=0,"",VLOOKUP($B393,Показатели!$E:$W,17,FALSE)),"")</f>
        <v>-5622000000</v>
      </c>
      <c r="U393">
        <f>IFERROR(IF(VLOOKUP($B393,Показатели!$E:$W,18,FALSE)=0,"",VLOOKUP($B393,Показатели!$E:$W,18,FALSE)),"")</f>
        <v>299113000000</v>
      </c>
      <c r="V393">
        <f>IFERROR(IF(VLOOKUP($B393,Показатели!$E:$W,19,FALSE)=0,"",VLOOKUP($B393,Показатели!$E:$W,19,FALSE)),"")</f>
        <v>319127000000</v>
      </c>
    </row>
    <row r="394" spans="1:22" x14ac:dyDescent="0.2">
      <c r="A394" s="7" t="s">
        <v>2226</v>
      </c>
      <c r="B394" t="str">
        <f t="shared" si="6"/>
        <v>MTLR IV кв. 2017</v>
      </c>
      <c r="C394">
        <v>2017</v>
      </c>
      <c r="D394">
        <f>SUMIFS(Дивиденды!$C:$C,Дивиденды!$A:$A,A394,Дивиденды!$I:$I,C394)</f>
        <v>0</v>
      </c>
      <c r="E394">
        <f>IFERROR(IF(VLOOKUP($B394,Показатели!$E:$W,2,FALSE)=0,"",VLOOKUP($B394,Показатели!$E:$W,2,FALSE)),"")</f>
        <v>2452000000</v>
      </c>
      <c r="F394">
        <f>IFERROR(IF(VLOOKUP($B394,Показатели!$E:$W,3,FALSE)=0,"",VLOOKUP($B394,Показатели!$E:$W,3,FALSE)),"")</f>
        <v>67462000000</v>
      </c>
      <c r="G394">
        <f>IFERROR(IF(VLOOKUP($B394,Показатели!$E:$W,4,FALSE)=0,"",VLOOKUP($B394,Показатели!$E:$W,4,FALSE)),"")</f>
        <v>197875000000</v>
      </c>
      <c r="H394">
        <f>IFERROR(IF(VLOOKUP($B394,Показатели!$E:$W,5,FALSE)=0,"",VLOOKUP($B394,Показатели!$E:$W,5,FALSE)),"")</f>
        <v>19211000000</v>
      </c>
      <c r="I394">
        <f>IFERROR(IF(VLOOKUP($B394,Показатели!$E:$W,6,FALSE)=0,"",VLOOKUP($B394,Показатели!$E:$W,6,FALSE)),"")</f>
        <v>319127000000</v>
      </c>
      <c r="J394">
        <f>IFERROR(IF(VLOOKUP($B394,Показатели!$E:$W,7,FALSE)=0,"",VLOOKUP($B394,Показатели!$E:$W,7,FALSE)),"")</f>
        <v>484148000000</v>
      </c>
      <c r="K394">
        <f>IFERROR(IF(VLOOKUP($B394,Показатели!$E:$W,8,FALSE)=0,"",VLOOKUP($B394,Показатели!$E:$W,8,FALSE)),"")</f>
        <v>79112000000</v>
      </c>
      <c r="L394">
        <f>IFERROR(IF(VLOOKUP($B394,Показатели!$E:$W,9,FALSE)=0,"",VLOOKUP($B394,Показатели!$E:$W,9,FALSE)),"")</f>
        <v>-283743000000</v>
      </c>
      <c r="M394">
        <f>IFERROR(IF(VLOOKUP($B394,Показатели!$E:$W,10,FALSE)=0,"",VLOOKUP($B394,Показатели!$E:$W,10,FALSE)),"")</f>
        <v>-244133000000</v>
      </c>
      <c r="N394">
        <f>IFERROR(IF(VLOOKUP($B394,Показатели!$E:$W,11,FALSE)=0,"",VLOOKUP($B394,Показатели!$E:$W,11,FALSE)),"")</f>
        <v>299113000000</v>
      </c>
      <c r="O394">
        <f>IFERROR(IF(VLOOKUP($B394,Показатели!$E:$W,12,FALSE)=0,"",VLOOKUP($B394,Показатели!$E:$W,12,FALSE)),"")</f>
        <v>57167000000</v>
      </c>
      <c r="P394">
        <f>IFERROR(IF(VLOOKUP($B394,Показатели!$E:$W,13,FALSE)=0,"",VLOOKUP($B394,Показатели!$E:$W,13,FALSE)),"")</f>
        <v>15720000000</v>
      </c>
      <c r="Q394">
        <f>IFERROR(IF(VLOOKUP($B394,Показатели!$E:$W,14,FALSE)=0,"",VLOOKUP($B394,Показатели!$E:$W,14,FALSE)),"")</f>
        <v>12570000000</v>
      </c>
      <c r="R394">
        <f>IFERROR(IF(VLOOKUP($B394,Показатели!$E:$W,15,FALSE)=0,"",VLOOKUP($B394,Показатели!$E:$W,15,FALSE)),"")</f>
        <v>20308000000</v>
      </c>
      <c r="S394">
        <f>IFERROR(IF(VLOOKUP($B394,Показатели!$E:$W,16,FALSE)=0,"",VLOOKUP($B394,Показатели!$E:$W,16,FALSE)),"")</f>
        <v>81100000000</v>
      </c>
      <c r="T394">
        <f>IFERROR(IF(VLOOKUP($B394,Показатели!$E:$W,17,FALSE)=0,"",VLOOKUP($B394,Показатели!$E:$W,17,FALSE)),"")</f>
        <v>-7231000000</v>
      </c>
      <c r="U394">
        <f>IFERROR(IF(VLOOKUP($B394,Показатели!$E:$W,18,FALSE)=0,"",VLOOKUP($B394,Показатели!$E:$W,18,FALSE)),"")</f>
        <v>276009000000</v>
      </c>
      <c r="V394">
        <f>IFERROR(IF(VLOOKUP($B394,Показатели!$E:$W,19,FALSE)=0,"",VLOOKUP($B394,Показатели!$E:$W,19,FALSE)),"")</f>
        <v>325465000000</v>
      </c>
    </row>
    <row r="395" spans="1:22" x14ac:dyDescent="0.2">
      <c r="A395" s="7" t="s">
        <v>2226</v>
      </c>
      <c r="B395" t="str">
        <f t="shared" si="6"/>
        <v>MTLR IV кв. 2016</v>
      </c>
      <c r="C395">
        <v>2016</v>
      </c>
      <c r="D395">
        <f>SUMIFS(Дивиденды!$C:$C,Дивиденды!$A:$A,A395,Дивиденды!$I:$I,C395)</f>
        <v>0</v>
      </c>
      <c r="E395">
        <f>IFERROR(IF(VLOOKUP($B395,Показатели!$E:$W,2,FALSE)=0,"",VLOOKUP($B395,Показатели!$E:$W,2,FALSE)),"")</f>
        <v>1689000000</v>
      </c>
      <c r="F395">
        <f>IFERROR(IF(VLOOKUP($B395,Показатели!$E:$W,3,FALSE)=0,"",VLOOKUP($B395,Показатели!$E:$W,3,FALSE)),"")</f>
        <v>63765000000</v>
      </c>
      <c r="G395">
        <f>IFERROR(IF(VLOOKUP($B395,Показатели!$E:$W,4,FALSE)=0,"",VLOOKUP($B395,Показатели!$E:$W,4,FALSE)),"")</f>
        <v>204353000000</v>
      </c>
      <c r="H395" t="str">
        <f>IFERROR(IF(VLOOKUP($B395,Показатели!$E:$W,5,FALSE)=0,"",VLOOKUP($B395,Показатели!$E:$W,5,FALSE)),"")</f>
        <v/>
      </c>
      <c r="I395">
        <f>IFERROR(IF(VLOOKUP($B395,Показатели!$E:$W,6,FALSE)=0,"",VLOOKUP($B395,Показатели!$E:$W,6,FALSE)),"")</f>
        <v>325465000000</v>
      </c>
      <c r="J395">
        <f>IFERROR(IF(VLOOKUP($B395,Показатели!$E:$W,7,FALSE)=0,"",VLOOKUP($B395,Показатели!$E:$W,7,FALSE)),"")</f>
        <v>505346000000</v>
      </c>
      <c r="K395">
        <f>IFERROR(IF(VLOOKUP($B395,Показатели!$E:$W,8,FALSE)=0,"",VLOOKUP($B395,Показатели!$E:$W,8,FALSE)),"")</f>
        <v>72707000000</v>
      </c>
      <c r="L395">
        <f>IFERROR(IF(VLOOKUP($B395,Показатели!$E:$W,9,FALSE)=0,"",VLOOKUP($B395,Показатели!$E:$W,9,FALSE)),"")</f>
        <v>-294444000000</v>
      </c>
      <c r="M395">
        <f>IFERROR(IF(VLOOKUP($B395,Показатели!$E:$W,10,FALSE)=0,"",VLOOKUP($B395,Показатели!$E:$W,10,FALSE)),"")</f>
        <v>-252588000000</v>
      </c>
      <c r="N395">
        <f>IFERROR(IF(VLOOKUP($B395,Показатели!$E:$W,11,FALSE)=0,"",VLOOKUP($B395,Показатели!$E:$W,11,FALSE)),"")</f>
        <v>276009000000</v>
      </c>
      <c r="O395">
        <f>IFERROR(IF(VLOOKUP($B395,Показатели!$E:$W,12,FALSE)=0,"",VLOOKUP($B395,Показатели!$E:$W,12,FALSE)),"")</f>
        <v>42690000000</v>
      </c>
      <c r="P395">
        <f>IFERROR(IF(VLOOKUP($B395,Показатели!$E:$W,13,FALSE)=0,"",VLOOKUP($B395,Показатели!$E:$W,13,FALSE)),"")</f>
        <v>14151000000</v>
      </c>
      <c r="Q395">
        <f>IFERROR(IF(VLOOKUP($B395,Показатели!$E:$W,14,FALSE)=0,"",VLOOKUP($B395,Показатели!$E:$W,14,FALSE)),"")</f>
        <v>9258000000</v>
      </c>
      <c r="R395" t="str">
        <f>IFERROR(IF(VLOOKUP($B395,Показатели!$E:$W,15,FALSE)=0,"",VLOOKUP($B395,Показатели!$E:$W,15,FALSE)),"")</f>
        <v/>
      </c>
      <c r="S395">
        <f>IFERROR(IF(VLOOKUP($B395,Показатели!$E:$W,16,FALSE)=0,"",VLOOKUP($B395,Показатели!$E:$W,16,FALSE)),"")</f>
        <v>66200000000</v>
      </c>
      <c r="T395" t="str">
        <f>IFERROR(IF(VLOOKUP($B395,Показатели!$E:$W,17,FALSE)=0,"",VLOOKUP($B395,Показатели!$E:$W,17,FALSE)),"")</f>
        <v/>
      </c>
      <c r="U395">
        <f>IFERROR(IF(VLOOKUP($B395,Показатели!$E:$W,18,FALSE)=0,"",VLOOKUP($B395,Показатели!$E:$W,18,FALSE)),"")</f>
        <v>254141000000</v>
      </c>
      <c r="V395">
        <f>IFERROR(IF(VLOOKUP($B395,Показатели!$E:$W,19,FALSE)=0,"",VLOOKUP($B395,Показатели!$E:$W,19,FALSE)),"")</f>
        <v>342072000000</v>
      </c>
    </row>
    <row r="396" spans="1:22" x14ac:dyDescent="0.2">
      <c r="A396" s="7" t="s">
        <v>2226</v>
      </c>
      <c r="B396" t="str">
        <f t="shared" si="6"/>
        <v>MTLR IV кв. 2015</v>
      </c>
      <c r="C396">
        <v>2015</v>
      </c>
      <c r="D396">
        <f>SUMIFS(Дивиденды!$C:$C,Дивиденды!$A:$A,A396,Дивиденды!$I:$I,C396)</f>
        <v>0</v>
      </c>
      <c r="E396">
        <f>IFERROR(IF(VLOOKUP($B396,Показатели!$E:$W,2,FALSE)=0,"",VLOOKUP($B396,Показатели!$E:$W,2,FALSE)),"")</f>
        <v>3079000000</v>
      </c>
      <c r="F396">
        <f>IFERROR(IF(VLOOKUP($B396,Показатели!$E:$W,3,FALSE)=0,"",VLOOKUP($B396,Показатели!$E:$W,3,FALSE)),"")</f>
        <v>63120000000</v>
      </c>
      <c r="G396">
        <f>IFERROR(IF(VLOOKUP($B396,Показатели!$E:$W,4,FALSE)=0,"",VLOOKUP($B396,Показатели!$E:$W,4,FALSE)),"")</f>
        <v>215844000000</v>
      </c>
      <c r="H396" t="str">
        <f>IFERROR(IF(VLOOKUP($B396,Показатели!$E:$W,5,FALSE)=0,"",VLOOKUP($B396,Показатели!$E:$W,5,FALSE)),"")</f>
        <v/>
      </c>
      <c r="I396">
        <f>IFERROR(IF(VLOOKUP($B396,Показатели!$E:$W,6,FALSE)=0,"",VLOOKUP($B396,Показатели!$E:$W,6,FALSE)),"")</f>
        <v>342072000000</v>
      </c>
      <c r="J396">
        <f>IFERROR(IF(VLOOKUP($B396,Показатели!$E:$W,7,FALSE)=0,"",VLOOKUP($B396,Показатели!$E:$W,7,FALSE)),"")</f>
        <v>580536000000</v>
      </c>
      <c r="K396">
        <f>IFERROR(IF(VLOOKUP($B396,Показатели!$E:$W,8,FALSE)=0,"",VLOOKUP($B396,Показатели!$E:$W,8,FALSE)),"")</f>
        <v>23390000000</v>
      </c>
      <c r="L396" t="str">
        <f>IFERROR(IF(VLOOKUP($B396,Показатели!$E:$W,9,FALSE)=0,"",VLOOKUP($B396,Показатели!$E:$W,9,FALSE)),"")</f>
        <v/>
      </c>
      <c r="M396">
        <f>IFERROR(IF(VLOOKUP($B396,Показатели!$E:$W,10,FALSE)=0,"",VLOOKUP($B396,Показатели!$E:$W,10,FALSE)),"")</f>
        <v>-261854000000</v>
      </c>
      <c r="N396">
        <f>IFERROR(IF(VLOOKUP($B396,Показатели!$E:$W,11,FALSE)=0,"",VLOOKUP($B396,Показатели!$E:$W,11,FALSE)),"")</f>
        <v>254141000000</v>
      </c>
      <c r="O396">
        <f>IFERROR(IF(VLOOKUP($B396,Показатели!$E:$W,12,FALSE)=0,"",VLOOKUP($B396,Показатели!$E:$W,12,FALSE)),"")</f>
        <v>24068000000</v>
      </c>
      <c r="P396">
        <f>IFERROR(IF(VLOOKUP($B396,Показатели!$E:$W,13,FALSE)=0,"",VLOOKUP($B396,Показатели!$E:$W,13,FALSE)),"")</f>
        <v>-107128000000</v>
      </c>
      <c r="Q396">
        <f>IFERROR(IF(VLOOKUP($B396,Показатели!$E:$W,14,FALSE)=0,"",VLOOKUP($B396,Показатели!$E:$W,14,FALSE)),"")</f>
        <v>-114450000000</v>
      </c>
      <c r="R396" t="str">
        <f>IFERROR(IF(VLOOKUP($B396,Показатели!$E:$W,15,FALSE)=0,"",VLOOKUP($B396,Показатели!$E:$W,15,FALSE)),"")</f>
        <v/>
      </c>
      <c r="S396">
        <f>IFERROR(IF(VLOOKUP($B396,Показатели!$E:$W,16,FALSE)=0,"",VLOOKUP($B396,Показатели!$E:$W,16,FALSE)),"")</f>
        <v>45730000000</v>
      </c>
      <c r="T396" t="str">
        <f>IFERROR(IF(VLOOKUP($B396,Показатели!$E:$W,17,FALSE)=0,"",VLOOKUP($B396,Показатели!$E:$W,17,FALSE)),"")</f>
        <v/>
      </c>
      <c r="U396">
        <f>IFERROR(IF(VLOOKUP($B396,Показатели!$E:$W,18,FALSE)=0,"",VLOOKUP($B396,Показатели!$E:$W,18,FALSE)),"")</f>
        <v>248297220382.69693</v>
      </c>
      <c r="V396">
        <f>IFERROR(IF(VLOOKUP($B396,Показатели!$E:$W,19,FALSE)=0,"",VLOOKUP($B396,Показатели!$E:$W,19,FALSE)),"")</f>
        <v>260225029425.36499</v>
      </c>
    </row>
    <row r="397" spans="1:22" x14ac:dyDescent="0.2">
      <c r="A397" s="7" t="s">
        <v>2226</v>
      </c>
      <c r="B397" t="str">
        <f t="shared" si="6"/>
        <v>MTLR IV кв. 2014</v>
      </c>
      <c r="C397">
        <v>2014</v>
      </c>
      <c r="D397">
        <f>SUMIFS(Дивиденды!$C:$C,Дивиденды!$A:$A,A397,Дивиденды!$I:$I,C397)</f>
        <v>0</v>
      </c>
      <c r="E397">
        <f>IFERROR(IF(VLOOKUP($B397,Показатели!$E:$W,2,FALSE)=0,"",VLOOKUP($B397,Показатели!$E:$W,2,FALSE)),"")</f>
        <v>2744315115.2851706</v>
      </c>
      <c r="F397">
        <f>IFERROR(IF(VLOOKUP($B397,Показатели!$E:$W,3,FALSE)=0,"",VLOOKUP($B397,Показатели!$E:$W,3,FALSE)),"")</f>
        <v>59393646074.994667</v>
      </c>
      <c r="G397">
        <f>IFERROR(IF(VLOOKUP($B397,Показатели!$E:$W,4,FALSE)=0,"",VLOOKUP($B397,Показатели!$E:$W,4,FALSE)),"")</f>
        <v>152891958153.09238</v>
      </c>
      <c r="H397" t="str">
        <f>IFERROR(IF(VLOOKUP($B397,Показатели!$E:$W,5,FALSE)=0,"",VLOOKUP($B397,Показатели!$E:$W,5,FALSE)),"")</f>
        <v/>
      </c>
      <c r="I397">
        <f>IFERROR(IF(VLOOKUP($B397,Показатели!$E:$W,6,FALSE)=0,"",VLOOKUP($B397,Показатели!$E:$W,6,FALSE)),"")</f>
        <v>260225029425.36499</v>
      </c>
      <c r="J397">
        <f>IFERROR(IF(VLOOKUP($B397,Показатели!$E:$W,7,FALSE)=0,"",VLOOKUP($B397,Показатели!$E:$W,7,FALSE)),"")</f>
        <v>342014883862.45282</v>
      </c>
      <c r="K397">
        <f>IFERROR(IF(VLOOKUP($B397,Показатели!$E:$W,8,FALSE)=0,"",VLOOKUP($B397,Показатели!$E:$W,8,FALSE)),"")</f>
        <v>3150845862.8714824</v>
      </c>
      <c r="L397" t="str">
        <f>IFERROR(IF(VLOOKUP($B397,Показатели!$E:$W,9,FALSE)=0,"",VLOOKUP($B397,Показатели!$E:$W,9,FALSE)),"")</f>
        <v/>
      </c>
      <c r="M397">
        <f>IFERROR(IF(VLOOKUP($B397,Показатели!$E:$W,10,FALSE)=0,"",VLOOKUP($B397,Показатели!$E:$W,10,FALSE)),"")</f>
        <v>-84940700299.959305</v>
      </c>
      <c r="N397">
        <f>IFERROR(IF(VLOOKUP($B397,Показатели!$E:$W,11,FALSE)=0,"",VLOOKUP($B397,Показатели!$E:$W,11,FALSE)),"")</f>
        <v>248297220382.69693</v>
      </c>
      <c r="O397">
        <f>IFERROR(IF(VLOOKUP($B397,Показатели!$E:$W,12,FALSE)=0,"",VLOOKUP($B397,Показатели!$E:$W,12,FALSE)),"")</f>
        <v>4900540556.4304171</v>
      </c>
      <c r="P397">
        <f>IFERROR(IF(VLOOKUP($B397,Показатели!$E:$W,13,FALSE)=0,"",VLOOKUP($B397,Показатели!$E:$W,13,FALSE)),"")</f>
        <v>-111863943279.91101</v>
      </c>
      <c r="Q397">
        <f>IFERROR(IF(VLOOKUP($B397,Показатели!$E:$W,14,FALSE)=0,"",VLOOKUP($B397,Показатели!$E:$W,14,FALSE)),"")</f>
        <v>-168989885802.5802</v>
      </c>
      <c r="R397" t="str">
        <f>IFERROR(IF(VLOOKUP($B397,Показатели!$E:$W,15,FALSE)=0,"",VLOOKUP($B397,Показатели!$E:$W,15,FALSE)),"")</f>
        <v/>
      </c>
      <c r="S397">
        <f>IFERROR(IF(VLOOKUP($B397,Показатели!$E:$W,16,FALSE)=0,"",VLOOKUP($B397,Показатели!$E:$W,16,FALSE)),"")</f>
        <v>27481912665.779465</v>
      </c>
      <c r="T397" t="str">
        <f>IFERROR(IF(VLOOKUP($B397,Показатели!$E:$W,17,FALSE)=0,"",VLOOKUP($B397,Показатели!$E:$W,17,FALSE)),"")</f>
        <v/>
      </c>
      <c r="U397">
        <f>IFERROR(IF(VLOOKUP($B397,Показатели!$E:$W,18,FALSE)=0,"",VLOOKUP($B397,Показатели!$E:$W,18,FALSE)),"")</f>
        <v>273279397383.99997</v>
      </c>
      <c r="V397">
        <f>IFERROR(IF(VLOOKUP($B397,Показатели!$E:$W,19,FALSE)=0,"",VLOOKUP($B397,Показатели!$E:$W,19,FALSE)),"")</f>
        <v>440822826639.99994</v>
      </c>
    </row>
    <row r="398" spans="1:22" x14ac:dyDescent="0.2">
      <c r="A398" s="7" t="s">
        <v>2226</v>
      </c>
      <c r="B398" t="str">
        <f t="shared" si="6"/>
        <v>MTLR IV кв. 2013</v>
      </c>
      <c r="C398">
        <v>2013</v>
      </c>
      <c r="D398">
        <f>SUMIFS(Дивиденды!$C:$C,Дивиденды!$A:$A,A398,Дивиденды!$I:$I,C398)</f>
        <v>0</v>
      </c>
      <c r="E398">
        <f>IFERROR(IF(VLOOKUP($B398,Показатели!$E:$W,2,FALSE)=0,"",VLOOKUP($B398,Показатели!$E:$W,2,FALSE)),"")</f>
        <v>8556280599.999999</v>
      </c>
      <c r="F398">
        <f>IFERROR(IF(VLOOKUP($B398,Показатели!$E:$W,3,FALSE)=0,"",VLOOKUP($B398,Показатели!$E:$W,3,FALSE)),"")</f>
        <v>90896457231.999985</v>
      </c>
      <c r="G398">
        <f>IFERROR(IF(VLOOKUP($B398,Показатели!$E:$W,4,FALSE)=0,"",VLOOKUP($B398,Показатели!$E:$W,4,FALSE)),"")</f>
        <v>217830142543.99997</v>
      </c>
      <c r="H398" t="str">
        <f>IFERROR(IF(VLOOKUP($B398,Показатели!$E:$W,5,FALSE)=0,"",VLOOKUP($B398,Показатели!$E:$W,5,FALSE)),"")</f>
        <v/>
      </c>
      <c r="I398">
        <f>IFERROR(IF(VLOOKUP($B398,Показатели!$E:$W,6,FALSE)=0,"",VLOOKUP($B398,Показатели!$E:$W,6,FALSE)),"")</f>
        <v>440822826639.99994</v>
      </c>
      <c r="J398">
        <f>IFERROR(IF(VLOOKUP($B398,Показатели!$E:$W,7,FALSE)=0,"",VLOOKUP($B398,Показатели!$E:$W,7,FALSE)),"")</f>
        <v>114502582991.99998</v>
      </c>
      <c r="K398">
        <f>IFERROR(IF(VLOOKUP($B398,Показатели!$E:$W,8,FALSE)=0,"",VLOOKUP($B398,Показатели!$E:$W,8,FALSE)),"")</f>
        <v>300452411168</v>
      </c>
      <c r="L398" t="str">
        <f>IFERROR(IF(VLOOKUP($B398,Показатели!$E:$W,9,FALSE)=0,"",VLOOKUP($B398,Показатели!$E:$W,9,FALSE)),"")</f>
        <v/>
      </c>
      <c r="M398">
        <f>IFERROR(IF(VLOOKUP($B398,Показатели!$E:$W,10,FALSE)=0,"",VLOOKUP($B398,Показатели!$E:$W,10,FALSE)),"")</f>
        <v>25867832479.999996</v>
      </c>
      <c r="N398">
        <f>IFERROR(IF(VLOOKUP($B398,Показатели!$E:$W,11,FALSE)=0,"",VLOOKUP($B398,Показатели!$E:$W,11,FALSE)),"")</f>
        <v>273279397383.99997</v>
      </c>
      <c r="O398">
        <f>IFERROR(IF(VLOOKUP($B398,Показатели!$E:$W,12,FALSE)=0,"",VLOOKUP($B398,Показатели!$E:$W,12,FALSE)),"")</f>
        <v>-16859274263.999998</v>
      </c>
      <c r="P398">
        <f>IFERROR(IF(VLOOKUP($B398,Показатели!$E:$W,13,FALSE)=0,"",VLOOKUP($B398,Показатели!$E:$W,13,FALSE)),"")</f>
        <v>-49847914143.999992</v>
      </c>
      <c r="Q398">
        <f>IFERROR(IF(VLOOKUP($B398,Показатели!$E:$W,14,FALSE)=0,"",VLOOKUP($B398,Показатели!$E:$W,14,FALSE)),"")</f>
        <v>-93107054095.999985</v>
      </c>
      <c r="R398" t="str">
        <f>IFERROR(IF(VLOOKUP($B398,Показатели!$E:$W,15,FALSE)=0,"",VLOOKUP($B398,Показатели!$E:$W,15,FALSE)),"")</f>
        <v/>
      </c>
      <c r="S398" t="str">
        <f>IFERROR(IF(VLOOKUP($B398,Показатели!$E:$W,16,FALSE)=0,"",VLOOKUP($B398,Показатели!$E:$W,16,FALSE)),"")</f>
        <v/>
      </c>
      <c r="T398" t="str">
        <f>IFERROR(IF(VLOOKUP($B398,Показатели!$E:$W,17,FALSE)=0,"",VLOOKUP($B398,Показатели!$E:$W,17,FALSE)),"")</f>
        <v/>
      </c>
      <c r="U398">
        <f>IFERROR(IF(VLOOKUP($B398,Показатели!$E:$W,18,FALSE)=0,"",VLOOKUP($B398,Показатели!$E:$W,18,FALSE)),"")</f>
        <v>350232751310.66187</v>
      </c>
      <c r="V398">
        <f>IFERROR(IF(VLOOKUP($B398,Показатели!$E:$W,19,FALSE)=0,"",VLOOKUP($B398,Показатели!$E:$W,19,FALSE)),"")</f>
        <v>549668424190.70776</v>
      </c>
    </row>
    <row r="399" spans="1:22" x14ac:dyDescent="0.2">
      <c r="A399" s="7" t="s">
        <v>2226</v>
      </c>
      <c r="B399" t="str">
        <f t="shared" si="6"/>
        <v>MTLR IV кв. 2012</v>
      </c>
      <c r="C399">
        <v>2012</v>
      </c>
      <c r="D399">
        <f>SUMIFS(Дивиденды!$C:$C,Дивиденды!$A:$A,A399,Дивиденды!$I:$I,C399)</f>
        <v>0</v>
      </c>
      <c r="E399">
        <f>IFERROR(IF(VLOOKUP($B399,Показатели!$E:$W,2,FALSE)=0,"",VLOOKUP($B399,Показатели!$E:$W,2,FALSE)),"")</f>
        <v>9162267470.7770061</v>
      </c>
      <c r="F399">
        <f>IFERROR(IF(VLOOKUP($B399,Показатели!$E:$W,3,FALSE)=0,"",VLOOKUP($B399,Показатели!$E:$W,3,FALSE)),"")</f>
        <v>129769445029.93556</v>
      </c>
      <c r="G399">
        <f>IFERROR(IF(VLOOKUP($B399,Показатели!$E:$W,4,FALSE)=0,"",VLOOKUP($B399,Показатели!$E:$W,4,FALSE)),"")</f>
        <v>242254995218.05505</v>
      </c>
      <c r="H399" t="str">
        <f>IFERROR(IF(VLOOKUP($B399,Показатели!$E:$W,5,FALSE)=0,"",VLOOKUP($B399,Показатели!$E:$W,5,FALSE)),"")</f>
        <v/>
      </c>
      <c r="I399">
        <f>IFERROR(IF(VLOOKUP($B399,Показатели!$E:$W,6,FALSE)=0,"",VLOOKUP($B399,Показатели!$E:$W,6,FALSE)),"")</f>
        <v>549668424190.70776</v>
      </c>
      <c r="J399">
        <f>IFERROR(IF(VLOOKUP($B399,Показатели!$E:$W,7,FALSE)=0,"",VLOOKUP($B399,Показатели!$E:$W,7,FALSE)),"")</f>
        <v>116688585619.15855</v>
      </c>
      <c r="K399">
        <f>IFERROR(IF(VLOOKUP($B399,Показатели!$E:$W,8,FALSE)=0,"",VLOOKUP($B399,Показатели!$E:$W,8,FALSE)),"")</f>
        <v>323027627786.25732</v>
      </c>
      <c r="L399" t="str">
        <f>IFERROR(IF(VLOOKUP($B399,Показатели!$E:$W,9,FALSE)=0,"",VLOOKUP($B399,Показатели!$E:$W,9,FALSE)),"")</f>
        <v/>
      </c>
      <c r="M399">
        <f>IFERROR(IF(VLOOKUP($B399,Показатели!$E:$W,10,FALSE)=0,"",VLOOKUP($B399,Показатели!$E:$W,10,FALSE)),"")</f>
        <v>109952210785.2919</v>
      </c>
      <c r="N399">
        <f>IFERROR(IF(VLOOKUP($B399,Показатели!$E:$W,11,FALSE)=0,"",VLOOKUP($B399,Показатели!$E:$W,11,FALSE)),"")</f>
        <v>350232751310.66187</v>
      </c>
      <c r="O399">
        <f>IFERROR(IF(VLOOKUP($B399,Показатели!$E:$W,12,FALSE)=0,"",VLOOKUP($B399,Показатели!$E:$W,12,FALSE)),"")</f>
        <v>-27890651907.471249</v>
      </c>
      <c r="P399">
        <f>IFERROR(IF(VLOOKUP($B399,Показатели!$E:$W,13,FALSE)=0,"",VLOOKUP($B399,Показатели!$E:$W,13,FALSE)),"")</f>
        <v>-42783040805.025261</v>
      </c>
      <c r="Q399">
        <f>IFERROR(IF(VLOOKUP($B399,Показатели!$E:$W,14,FALSE)=0,"",VLOOKUP($B399,Показатели!$E:$W,14,FALSE)),"")</f>
        <v>-51716250035.885033</v>
      </c>
      <c r="R399" t="str">
        <f>IFERROR(IF(VLOOKUP($B399,Показатели!$E:$W,15,FALSE)=0,"",VLOOKUP($B399,Показатели!$E:$W,15,FALSE)),"")</f>
        <v/>
      </c>
      <c r="S399">
        <f>IFERROR(IF(VLOOKUP($B399,Показатели!$E:$W,16,FALSE)=0,"",VLOOKUP($B399,Показатели!$E:$W,16,FALSE)),"")</f>
        <v>41377566283.287331</v>
      </c>
      <c r="T399" t="str">
        <f>IFERROR(IF(VLOOKUP($B399,Показатели!$E:$W,17,FALSE)=0,"",VLOOKUP($B399,Показатели!$E:$W,17,FALSE)),"")</f>
        <v/>
      </c>
      <c r="U399">
        <f>IFERROR(IF(VLOOKUP($B399,Показатели!$E:$W,18,FALSE)=0,"",VLOOKUP($B399,Показатели!$E:$W,18,FALSE)),"")</f>
        <v>368891324378.48077</v>
      </c>
      <c r="V399">
        <f>IFERROR(IF(VLOOKUP($B399,Показатели!$E:$W,19,FALSE)=0,"",VLOOKUP($B399,Показатели!$E:$W,19,FALSE)),"")</f>
        <v>567650371061.61926</v>
      </c>
    </row>
    <row r="400" spans="1:22" x14ac:dyDescent="0.2">
      <c r="A400" s="7" t="s">
        <v>2226</v>
      </c>
      <c r="B400" t="str">
        <f t="shared" si="6"/>
        <v>MTLR IV кв. 2011</v>
      </c>
      <c r="C400">
        <v>2011</v>
      </c>
      <c r="D400">
        <f>SUMIFS(Дивиденды!$C:$C,Дивиденды!$A:$A,A400,Дивиденды!$I:$I,C400)</f>
        <v>8.06</v>
      </c>
      <c r="E400">
        <f>IFERROR(IF(VLOOKUP($B400,Показатели!$E:$W,2,FALSE)=0,"",VLOOKUP($B400,Показатели!$E:$W,2,FALSE)),"")</f>
        <v>18916908980.411541</v>
      </c>
      <c r="F400">
        <f>IFERROR(IF(VLOOKUP($B400,Показатели!$E:$W,3,FALSE)=0,"",VLOOKUP($B400,Показатели!$E:$W,3,FALSE)),"")</f>
        <v>178551135603.63461</v>
      </c>
      <c r="G400">
        <f>IFERROR(IF(VLOOKUP($B400,Показатели!$E:$W,4,FALSE)=0,"",VLOOKUP($B400,Показатели!$E:$W,4,FALSE)),"")</f>
        <v>208060536276.15002</v>
      </c>
      <c r="H400" t="str">
        <f>IFERROR(IF(VLOOKUP($B400,Показатели!$E:$W,5,FALSE)=0,"",VLOOKUP($B400,Показатели!$E:$W,5,FALSE)),"")</f>
        <v/>
      </c>
      <c r="I400">
        <f>IFERROR(IF(VLOOKUP($B400,Показатели!$E:$W,6,FALSE)=0,"",VLOOKUP($B400,Показатели!$E:$W,6,FALSE)),"")</f>
        <v>567650371061.61926</v>
      </c>
      <c r="J400">
        <f>IFERROR(IF(VLOOKUP($B400,Показатели!$E:$W,7,FALSE)=0,"",VLOOKUP($B400,Показатели!$E:$W,7,FALSE)),"")</f>
        <v>139344488568.18463</v>
      </c>
      <c r="K400">
        <f>IFERROR(IF(VLOOKUP($B400,Показатели!$E:$W,8,FALSE)=0,"",VLOOKUP($B400,Показатели!$E:$W,8,FALSE)),"")</f>
        <v>270552235588.21155</v>
      </c>
      <c r="L400" t="str">
        <f>IFERROR(IF(VLOOKUP($B400,Показатели!$E:$W,9,FALSE)=0,"",VLOOKUP($B400,Показатели!$E:$W,9,FALSE)),"")</f>
        <v/>
      </c>
      <c r="M400">
        <f>IFERROR(IF(VLOOKUP($B400,Показатели!$E:$W,10,FALSE)=0,"",VLOOKUP($B400,Показатели!$E:$W,10,FALSE)),"")</f>
        <v>157753646905.22308</v>
      </c>
      <c r="N400">
        <f>IFERROR(IF(VLOOKUP($B400,Показатели!$E:$W,11,FALSE)=0,"",VLOOKUP($B400,Показатели!$E:$W,11,FALSE)),"")</f>
        <v>368891324378.48077</v>
      </c>
      <c r="O400">
        <f>IFERROR(IF(VLOOKUP($B400,Показатели!$E:$W,12,FALSE)=0,"",VLOOKUP($B400,Показатели!$E:$W,12,FALSE)),"")</f>
        <v>53855351594.919235</v>
      </c>
      <c r="P400">
        <f>IFERROR(IF(VLOOKUP($B400,Показатели!$E:$W,13,FALSE)=0,"",VLOOKUP($B400,Показатели!$E:$W,13,FALSE)),"")</f>
        <v>34204646053.811543</v>
      </c>
      <c r="Q400">
        <f>IFERROR(IF(VLOOKUP($B400,Показатели!$E:$W,14,FALSE)=0,"",VLOOKUP($B400,Показатели!$E:$W,14,FALSE)),"")</f>
        <v>23623297884.426926</v>
      </c>
      <c r="R400" t="str">
        <f>IFERROR(IF(VLOOKUP($B400,Показатели!$E:$W,15,FALSE)=0,"",VLOOKUP($B400,Показатели!$E:$W,15,FALSE)),"")</f>
        <v/>
      </c>
      <c r="S400" t="str">
        <f>IFERROR(IF(VLOOKUP($B400,Показатели!$E:$W,16,FALSE)=0,"",VLOOKUP($B400,Показатели!$E:$W,16,FALSE)),"")</f>
        <v/>
      </c>
      <c r="T400" t="str">
        <f>IFERROR(IF(VLOOKUP($B400,Показатели!$E:$W,17,FALSE)=0,"",VLOOKUP($B400,Показатели!$E:$W,17,FALSE)),"")</f>
        <v/>
      </c>
      <c r="U400" t="str">
        <f>IFERROR(IF(VLOOKUP($B400,Показатели!$E:$W,18,FALSE)=0,"",VLOOKUP($B400,Показатели!$E:$W,18,FALSE)),"")</f>
        <v/>
      </c>
      <c r="V400" t="str">
        <f>IFERROR(IF(VLOOKUP($B400,Показатели!$E:$W,19,FALSE)=0,"",VLOOKUP($B400,Показатели!$E:$W,19,FALSE)),"")</f>
        <v/>
      </c>
    </row>
    <row r="401" spans="1:22" x14ac:dyDescent="0.2">
      <c r="A401" s="7" t="s">
        <v>2226</v>
      </c>
      <c r="B401" t="str">
        <f t="shared" si="6"/>
        <v>MTLR IV кв. 2010</v>
      </c>
      <c r="C401">
        <v>2010</v>
      </c>
      <c r="D401">
        <f>SUMIFS(Дивиденды!$C:$C,Дивиденды!$A:$A,A401,Дивиденды!$I:$I,C401)</f>
        <v>8.73</v>
      </c>
      <c r="E401" t="str">
        <f>IFERROR(IF(VLOOKUP($B401,Показатели!$E:$W,2,FALSE)=0,"",VLOOKUP($B401,Показатели!$E:$W,2,FALSE)),"")</f>
        <v/>
      </c>
      <c r="F401" t="str">
        <f>IFERROR(IF(VLOOKUP($B401,Показатели!$E:$W,3,FALSE)=0,"",VLOOKUP($B401,Показатели!$E:$W,3,FALSE)),"")</f>
        <v/>
      </c>
      <c r="G401" t="str">
        <f>IFERROR(IF(VLOOKUP($B401,Показатели!$E:$W,4,FALSE)=0,"",VLOOKUP($B401,Показатели!$E:$W,4,FALSE)),"")</f>
        <v/>
      </c>
      <c r="H401" t="str">
        <f>IFERROR(IF(VLOOKUP($B401,Показатели!$E:$W,5,FALSE)=0,"",VLOOKUP($B401,Показатели!$E:$W,5,FALSE)),"")</f>
        <v/>
      </c>
      <c r="I401" t="str">
        <f>IFERROR(IF(VLOOKUP($B401,Показатели!$E:$W,6,FALSE)=0,"",VLOOKUP($B401,Показатели!$E:$W,6,FALSE)),"")</f>
        <v/>
      </c>
      <c r="J401" t="str">
        <f>IFERROR(IF(VLOOKUP($B401,Показатели!$E:$W,7,FALSE)=0,"",VLOOKUP($B401,Показатели!$E:$W,7,FALSE)),"")</f>
        <v/>
      </c>
      <c r="K401" t="str">
        <f>IFERROR(IF(VLOOKUP($B401,Показатели!$E:$W,8,FALSE)=0,"",VLOOKUP($B401,Показатели!$E:$W,8,FALSE)),"")</f>
        <v/>
      </c>
      <c r="L401" t="str">
        <f>IFERROR(IF(VLOOKUP($B401,Показатели!$E:$W,9,FALSE)=0,"",VLOOKUP($B401,Показатели!$E:$W,9,FALSE)),"")</f>
        <v/>
      </c>
      <c r="M401" t="str">
        <f>IFERROR(IF(VLOOKUP($B401,Показатели!$E:$W,10,FALSE)=0,"",VLOOKUP($B401,Показатели!$E:$W,10,FALSE)),"")</f>
        <v/>
      </c>
      <c r="N401" t="str">
        <f>IFERROR(IF(VLOOKUP($B401,Показатели!$E:$W,11,FALSE)=0,"",VLOOKUP($B401,Показатели!$E:$W,11,FALSE)),"")</f>
        <v/>
      </c>
      <c r="O401" t="str">
        <f>IFERROR(IF(VLOOKUP($B401,Показатели!$E:$W,12,FALSE)=0,"",VLOOKUP($B401,Показатели!$E:$W,12,FALSE)),"")</f>
        <v/>
      </c>
      <c r="P401" t="str">
        <f>IFERROR(IF(VLOOKUP($B401,Показатели!$E:$W,13,FALSE)=0,"",VLOOKUP($B401,Показатели!$E:$W,13,FALSE)),"")</f>
        <v/>
      </c>
      <c r="Q401" t="str">
        <f>IFERROR(IF(VLOOKUP($B401,Показатели!$E:$W,14,FALSE)=0,"",VLOOKUP($B401,Показатели!$E:$W,14,FALSE)),"")</f>
        <v/>
      </c>
      <c r="R401" t="str">
        <f>IFERROR(IF(VLOOKUP($B401,Показатели!$E:$W,15,FALSE)=0,"",VLOOKUP($B401,Показатели!$E:$W,15,FALSE)),"")</f>
        <v/>
      </c>
      <c r="S401" t="str">
        <f>IFERROR(IF(VLOOKUP($B401,Показатели!$E:$W,16,FALSE)=0,"",VLOOKUP($B401,Показатели!$E:$W,16,FALSE)),"")</f>
        <v/>
      </c>
      <c r="T401" t="str">
        <f>IFERROR(IF(VLOOKUP($B401,Показатели!$E:$W,17,FALSE)=0,"",VLOOKUP($B401,Показатели!$E:$W,17,FALSE)),"")</f>
        <v/>
      </c>
      <c r="U401" t="str">
        <f>IFERROR(IF(VLOOKUP($B401,Показатели!$E:$W,18,FALSE)=0,"",VLOOKUP($B401,Показатели!$E:$W,18,FALSE)),"")</f>
        <v/>
      </c>
      <c r="V401" t="str">
        <f>IFERROR(IF(VLOOKUP($B401,Показатели!$E:$W,19,FALSE)=0,"",VLOOKUP($B401,Показатели!$E:$W,19,FALSE)),"")</f>
        <v/>
      </c>
    </row>
    <row r="402" spans="1:22" x14ac:dyDescent="0.2">
      <c r="A402" s="7" t="s">
        <v>2228</v>
      </c>
      <c r="B402" t="str">
        <f t="shared" si="6"/>
        <v>NLMK IV кв. 2025</v>
      </c>
      <c r="C402">
        <v>2025</v>
      </c>
      <c r="D402">
        <f>SUMIFS(Дивиденды!$C:$C,Дивиденды!$A:$A,A402,Дивиденды!$I:$I,C402)</f>
        <v>0</v>
      </c>
      <c r="E402" t="str">
        <f>IFERROR(IF(VLOOKUP($B402,Показатели!$E:$W,2,FALSE)=0,"",VLOOKUP($B402,Показатели!$E:$W,2,FALSE)),"")</f>
        <v/>
      </c>
      <c r="F402" t="str">
        <f>IFERROR(IF(VLOOKUP($B402,Показатели!$E:$W,3,FALSE)=0,"",VLOOKUP($B402,Показатели!$E:$W,3,FALSE)),"")</f>
        <v/>
      </c>
      <c r="G402" t="str">
        <f>IFERROR(IF(VLOOKUP($B402,Показатели!$E:$W,4,FALSE)=0,"",VLOOKUP($B402,Показатели!$E:$W,4,FALSE)),"")</f>
        <v/>
      </c>
      <c r="H402" t="str">
        <f>IFERROR(IF(VLOOKUP($B402,Показатели!$E:$W,5,FALSE)=0,"",VLOOKUP($B402,Показатели!$E:$W,5,FALSE)),"")</f>
        <v/>
      </c>
      <c r="I402" t="str">
        <f>IFERROR(IF(VLOOKUP($B402,Показатели!$E:$W,6,FALSE)=0,"",VLOOKUP($B402,Показатели!$E:$W,6,FALSE)),"")</f>
        <v/>
      </c>
      <c r="J402" t="str">
        <f>IFERROR(IF(VLOOKUP($B402,Показатели!$E:$W,7,FALSE)=0,"",VLOOKUP($B402,Показатели!$E:$W,7,FALSE)),"")</f>
        <v/>
      </c>
      <c r="K402" t="str">
        <f>IFERROR(IF(VLOOKUP($B402,Показатели!$E:$W,8,FALSE)=0,"",VLOOKUP($B402,Показатели!$E:$W,8,FALSE)),"")</f>
        <v/>
      </c>
      <c r="L402" t="str">
        <f>IFERROR(IF(VLOOKUP($B402,Показатели!$E:$W,9,FALSE)=0,"",VLOOKUP($B402,Показатели!$E:$W,9,FALSE)),"")</f>
        <v/>
      </c>
      <c r="M402" t="str">
        <f>IFERROR(IF(VLOOKUP($B402,Показатели!$E:$W,10,FALSE)=0,"",VLOOKUP($B402,Показатели!$E:$W,10,FALSE)),"")</f>
        <v/>
      </c>
      <c r="N402" t="str">
        <f>IFERROR(IF(VLOOKUP($B402,Показатели!$E:$W,11,FALSE)=0,"",VLOOKUP($B402,Показатели!$E:$W,11,FALSE)),"")</f>
        <v/>
      </c>
      <c r="O402" t="str">
        <f>IFERROR(IF(VLOOKUP($B402,Показатели!$E:$W,12,FALSE)=0,"",VLOOKUP($B402,Показатели!$E:$W,12,FALSE)),"")</f>
        <v/>
      </c>
      <c r="P402" t="str">
        <f>IFERROR(IF(VLOOKUP($B402,Показатели!$E:$W,13,FALSE)=0,"",VLOOKUP($B402,Показатели!$E:$W,13,FALSE)),"")</f>
        <v/>
      </c>
      <c r="Q402" t="str">
        <f>IFERROR(IF(VLOOKUP($B402,Показатели!$E:$W,14,FALSE)=0,"",VLOOKUP($B402,Показатели!$E:$W,14,FALSE)),"")</f>
        <v/>
      </c>
      <c r="R402" t="str">
        <f>IFERROR(IF(VLOOKUP($B402,Показатели!$E:$W,15,FALSE)=0,"",VLOOKUP($B402,Показатели!$E:$W,15,FALSE)),"")</f>
        <v/>
      </c>
      <c r="S402" t="str">
        <f>IFERROR(IF(VLOOKUP($B402,Показатели!$E:$W,16,FALSE)=0,"",VLOOKUP($B402,Показатели!$E:$W,16,FALSE)),"")</f>
        <v/>
      </c>
      <c r="T402" t="str">
        <f>IFERROR(IF(VLOOKUP($B402,Показатели!$E:$W,17,FALSE)=0,"",VLOOKUP($B402,Показатели!$E:$W,17,FALSE)),"")</f>
        <v/>
      </c>
      <c r="U402" t="str">
        <f>IFERROR(IF(VLOOKUP($B402,Показатели!$E:$W,18,FALSE)=0,"",VLOOKUP($B402,Показатели!$E:$W,18,FALSE)),"")</f>
        <v/>
      </c>
      <c r="V402" t="str">
        <f>IFERROR(IF(VLOOKUP($B402,Показатели!$E:$W,19,FALSE)=0,"",VLOOKUP($B402,Показатели!$E:$W,19,FALSE)),"")</f>
        <v/>
      </c>
    </row>
    <row r="403" spans="1:22" x14ac:dyDescent="0.2">
      <c r="A403" s="7" t="s">
        <v>2228</v>
      </c>
      <c r="B403" t="str">
        <f t="shared" si="6"/>
        <v>NLMK IV кв. 2024</v>
      </c>
      <c r="C403">
        <v>2024</v>
      </c>
      <c r="D403">
        <f>SUMIFS(Дивиденды!$C:$C,Дивиденды!$A:$A,A403,Дивиденды!$I:$I,C403)</f>
        <v>0</v>
      </c>
      <c r="E403">
        <f>IFERROR(IF(VLOOKUP($B403,Показатели!$E:$W,2,FALSE)=0,"",VLOOKUP($B403,Показатели!$E:$W,2,FALSE)),"")</f>
        <v>87683000000</v>
      </c>
      <c r="F403">
        <f>IFERROR(IF(VLOOKUP($B403,Показатели!$E:$W,3,FALSE)=0,"",VLOOKUP($B403,Показатели!$E:$W,3,FALSE)),"")</f>
        <v>506286000000</v>
      </c>
      <c r="G403">
        <f>IFERROR(IF(VLOOKUP($B403,Показатели!$E:$W,4,FALSE)=0,"",VLOOKUP($B403,Показатели!$E:$W,4,FALSE)),"")</f>
        <v>556492000000</v>
      </c>
      <c r="H403">
        <f>IFERROR(IF(VLOOKUP($B403,Показатели!$E:$W,5,FALSE)=0,"",VLOOKUP($B403,Показатели!$E:$W,5,FALSE)),"")</f>
        <v>29089000000</v>
      </c>
      <c r="I403">
        <f>IFERROR(IF(VLOOKUP($B403,Показатели!$E:$W,6,FALSE)=0,"",VLOOKUP($B403,Показатели!$E:$W,6,FALSE)),"")</f>
        <v>1130870000000</v>
      </c>
      <c r="J403">
        <f>IFERROR(IF(VLOOKUP($B403,Показатели!$E:$W,7,FALSE)=0,"",VLOOKUP($B403,Показатели!$E:$W,7,FALSE)),"")</f>
        <v>139974000000</v>
      </c>
      <c r="K403">
        <f>IFERROR(IF(VLOOKUP($B403,Показатели!$E:$W,8,FALSE)=0,"",VLOOKUP($B403,Показатели!$E:$W,8,FALSE)),"")</f>
        <v>130983000000</v>
      </c>
      <c r="L403">
        <f>IFERROR(IF(VLOOKUP($B403,Показатели!$E:$W,9,FALSE)=0,"",VLOOKUP($B403,Показатели!$E:$W,9,FALSE)),"")</f>
        <v>817550000000</v>
      </c>
      <c r="M403">
        <f>IFERROR(IF(VLOOKUP($B403,Показатели!$E:$W,10,FALSE)=0,"",VLOOKUP($B403,Показатели!$E:$W,10,FALSE)),"")</f>
        <v>859913000000</v>
      </c>
      <c r="N403">
        <f>IFERROR(IF(VLOOKUP($B403,Показатели!$E:$W,11,FALSE)=0,"",VLOOKUP($B403,Показатели!$E:$W,11,FALSE)),"")</f>
        <v>979593000000</v>
      </c>
      <c r="O403">
        <f>IFERROR(IF(VLOOKUP($B403,Показатели!$E:$W,12,FALSE)=0,"",VLOOKUP($B403,Показатели!$E:$W,12,FALSE)),"")</f>
        <v>206222000000</v>
      </c>
      <c r="P403">
        <f>IFERROR(IF(VLOOKUP($B403,Показатели!$E:$W,13,FALSE)=0,"",VLOOKUP($B403,Показатели!$E:$W,13,FALSE)),"")</f>
        <v>173989000000</v>
      </c>
      <c r="Q403">
        <f>IFERROR(IF(VLOOKUP($B403,Показатели!$E:$W,14,FALSE)=0,"",VLOOKUP($B403,Показатели!$E:$W,14,FALSE)),"")</f>
        <v>121857000000</v>
      </c>
      <c r="R403">
        <f>IFERROR(IF(VLOOKUP($B403,Показатели!$E:$W,15,FALSE)=0,"",VLOOKUP($B403,Показатели!$E:$W,15,FALSE)),"")</f>
        <v>50665000000</v>
      </c>
      <c r="S403">
        <f>IFERROR(IF(VLOOKUP($B403,Показатели!$E:$W,16,FALSE)=0,"",VLOOKUP($B403,Показатели!$E:$W,16,FALSE)),"")</f>
        <v>256887000000</v>
      </c>
      <c r="T403">
        <f>IFERROR(IF(VLOOKUP($B403,Показатели!$E:$W,17,FALSE)=0,"",VLOOKUP($B403,Показатели!$E:$W,17,FALSE)),"")</f>
        <v>-113391000000</v>
      </c>
      <c r="U403">
        <f>IFERROR(IF(VLOOKUP($B403,Показатели!$E:$W,18,FALSE)=0,"",VLOOKUP($B403,Показатели!$E:$W,18,FALSE)),"")</f>
        <v>933435000000</v>
      </c>
      <c r="V403">
        <f>IFERROR(IF(VLOOKUP($B403,Показатели!$E:$W,19,FALSE)=0,"",VLOOKUP($B403,Показатели!$E:$W,19,FALSE)),"")</f>
        <v>1123752000000</v>
      </c>
    </row>
    <row r="404" spans="1:22" x14ac:dyDescent="0.2">
      <c r="A404" s="7" t="s">
        <v>2228</v>
      </c>
      <c r="B404" t="str">
        <f t="shared" si="6"/>
        <v>NLMK IV кв. 2023</v>
      </c>
      <c r="C404">
        <v>2023</v>
      </c>
      <c r="D404">
        <f>SUMIFS(Дивиденды!$C:$C,Дивиденды!$A:$A,A404,Дивиденды!$I:$I,C404)</f>
        <v>25.43</v>
      </c>
      <c r="E404">
        <f>IFERROR(IF(VLOOKUP($B404,Показатели!$E:$W,2,FALSE)=0,"",VLOOKUP($B404,Показатели!$E:$W,2,FALSE)),"")</f>
        <v>204633000000</v>
      </c>
      <c r="F404">
        <f>IFERROR(IF(VLOOKUP($B404,Показатели!$E:$W,3,FALSE)=0,"",VLOOKUP($B404,Показатели!$E:$W,3,FALSE)),"")</f>
        <v>597642000000</v>
      </c>
      <c r="G404">
        <f>IFERROR(IF(VLOOKUP($B404,Показатели!$E:$W,4,FALSE)=0,"",VLOOKUP($B404,Показатели!$E:$W,4,FALSE)),"")</f>
        <v>485265000000</v>
      </c>
      <c r="H404">
        <f>IFERROR(IF(VLOOKUP($B404,Показатели!$E:$W,5,FALSE)=0,"",VLOOKUP($B404,Показатели!$E:$W,5,FALSE)),"")</f>
        <v>28714000000</v>
      </c>
      <c r="I404">
        <f>IFERROR(IF(VLOOKUP($B404,Показатели!$E:$W,6,FALSE)=0,"",VLOOKUP($B404,Показатели!$E:$W,6,FALSE)),"")</f>
        <v>1123752000000</v>
      </c>
      <c r="J404">
        <f>IFERROR(IF(VLOOKUP($B404,Показатели!$E:$W,7,FALSE)=0,"",VLOOKUP($B404,Показатели!$E:$W,7,FALSE)),"")</f>
        <v>155092000000</v>
      </c>
      <c r="K404">
        <f>IFERROR(IF(VLOOKUP($B404,Показатели!$E:$W,8,FALSE)=0,"",VLOOKUP($B404,Показатели!$E:$W,8,FALSE)),"")</f>
        <v>104811000000</v>
      </c>
      <c r="L404">
        <f>IFERROR(IF(VLOOKUP($B404,Показатели!$E:$W,9,FALSE)=0,"",VLOOKUP($B404,Показатели!$E:$W,9,FALSE)),"")</f>
        <v>848179000000</v>
      </c>
      <c r="M404">
        <f>IFERROR(IF(VLOOKUP($B404,Показатели!$E:$W,10,FALSE)=0,"",VLOOKUP($B404,Показатели!$E:$W,10,FALSE)),"")</f>
        <v>863849000000</v>
      </c>
      <c r="N404">
        <f>IFERROR(IF(VLOOKUP($B404,Показатели!$E:$W,11,FALSE)=0,"",VLOOKUP($B404,Показатели!$E:$W,11,FALSE)),"")</f>
        <v>933435000000</v>
      </c>
      <c r="O404">
        <f>IFERROR(IF(VLOOKUP($B404,Показатели!$E:$W,12,FALSE)=0,"",VLOOKUP($B404,Показатели!$E:$W,12,FALSE)),"")</f>
        <v>227849000000</v>
      </c>
      <c r="P404">
        <f>IFERROR(IF(VLOOKUP($B404,Показатели!$E:$W,13,FALSE)=0,"",VLOOKUP($B404,Показатели!$E:$W,13,FALSE)),"")</f>
        <v>201816000000</v>
      </c>
      <c r="Q404">
        <f>IFERROR(IF(VLOOKUP($B404,Показатели!$E:$W,14,FALSE)=0,"",VLOOKUP($B404,Показатели!$E:$W,14,FALSE)),"")</f>
        <v>209373000000</v>
      </c>
      <c r="R404">
        <f>IFERROR(IF(VLOOKUP($B404,Показатели!$E:$W,15,FALSE)=0,"",VLOOKUP($B404,Показатели!$E:$W,15,FALSE)),"")</f>
        <v>45436000000</v>
      </c>
      <c r="S404">
        <f>IFERROR(IF(VLOOKUP($B404,Показатели!$E:$W,16,FALSE)=0,"",VLOOKUP($B404,Показатели!$E:$W,16,FALSE)),"")</f>
        <v>273285000000</v>
      </c>
      <c r="T404" t="str">
        <f>IFERROR(IF(VLOOKUP($B404,Показатели!$E:$W,17,FALSE)=0,"",VLOOKUP($B404,Показатели!$E:$W,17,FALSE)),"")</f>
        <v/>
      </c>
      <c r="U404">
        <f>IFERROR(IF(VLOOKUP($B404,Показатели!$E:$W,18,FALSE)=0,"",VLOOKUP($B404,Показатели!$E:$W,18,FALSE)),"")</f>
        <v>900823000000</v>
      </c>
      <c r="V404">
        <f>IFERROR(IF(VLOOKUP($B404,Показатели!$E:$W,19,FALSE)=0,"",VLOOKUP($B404,Показатели!$E:$W,19,FALSE)),"")</f>
        <v>950594000000</v>
      </c>
    </row>
    <row r="405" spans="1:22" x14ac:dyDescent="0.2">
      <c r="A405" s="7" t="s">
        <v>2228</v>
      </c>
      <c r="B405" t="str">
        <f t="shared" si="6"/>
        <v>NLMK IV кв. 2022</v>
      </c>
      <c r="C405">
        <v>2022</v>
      </c>
      <c r="D405">
        <f>SUMIFS(Дивиденды!$C:$C,Дивиденды!$A:$A,A405,Дивиденды!$I:$I,C405)</f>
        <v>0</v>
      </c>
      <c r="E405">
        <f>IFERROR(IF(VLOOKUP($B405,Показатели!$E:$W,2,FALSE)=0,"",VLOOKUP($B405,Показатели!$E:$W,2,FALSE)),"")</f>
        <v>125378000000</v>
      </c>
      <c r="F405">
        <f>IFERROR(IF(VLOOKUP($B405,Показатели!$E:$W,3,FALSE)=0,"",VLOOKUP($B405,Показатели!$E:$W,3,FALSE)),"")</f>
        <v>410478000000</v>
      </c>
      <c r="G405">
        <f>IFERROR(IF(VLOOKUP($B405,Показатели!$E:$W,4,FALSE)=0,"",VLOOKUP($B405,Показатели!$E:$W,4,FALSE)),"")</f>
        <v>476628000000</v>
      </c>
      <c r="H405">
        <f>IFERROR(IF(VLOOKUP($B405,Показатели!$E:$W,5,FALSE)=0,"",VLOOKUP($B405,Показатели!$E:$W,5,FALSE)),"")</f>
        <v>26649000000</v>
      </c>
      <c r="I405">
        <f>IFERROR(IF(VLOOKUP($B405,Показатели!$E:$W,6,FALSE)=0,"",VLOOKUP($B405,Показатели!$E:$W,6,FALSE)),"")</f>
        <v>950594000000</v>
      </c>
      <c r="J405">
        <f>IFERROR(IF(VLOOKUP($B405,Показатели!$E:$W,7,FALSE)=0,"",VLOOKUP($B405,Показатели!$E:$W,7,FALSE)),"")</f>
        <v>187223000000</v>
      </c>
      <c r="K405">
        <f>IFERROR(IF(VLOOKUP($B405,Показатели!$E:$W,8,FALSE)=0,"",VLOOKUP($B405,Показатели!$E:$W,8,FALSE)),"")</f>
        <v>136936000000</v>
      </c>
      <c r="L405">
        <f>IFERROR(IF(VLOOKUP($B405,Показатели!$E:$W,9,FALSE)=0,"",VLOOKUP($B405,Показатели!$E:$W,9,FALSE)),"")</f>
        <v>639148000000</v>
      </c>
      <c r="M405">
        <f>IFERROR(IF(VLOOKUP($B405,Показатели!$E:$W,10,FALSE)=0,"",VLOOKUP($B405,Показатели!$E:$W,10,FALSE)),"")</f>
        <v>626435000000</v>
      </c>
      <c r="N405">
        <f>IFERROR(IF(VLOOKUP($B405,Показатели!$E:$W,11,FALSE)=0,"",VLOOKUP($B405,Показатели!$E:$W,11,FALSE)),"")</f>
        <v>900823000000</v>
      </c>
      <c r="O405">
        <f>IFERROR(IF(VLOOKUP($B405,Показатели!$E:$W,12,FALSE)=0,"",VLOOKUP($B405,Показатели!$E:$W,12,FALSE)),"")</f>
        <v>201701000000</v>
      </c>
      <c r="P405">
        <f>IFERROR(IF(VLOOKUP($B405,Показатели!$E:$W,13,FALSE)=0,"",VLOOKUP($B405,Показатели!$E:$W,13,FALSE)),"")</f>
        <v>204299000000</v>
      </c>
      <c r="Q405">
        <f>IFERROR(IF(VLOOKUP($B405,Показатели!$E:$W,14,FALSE)=0,"",VLOOKUP($B405,Показатели!$E:$W,14,FALSE)),"")</f>
        <v>166441000000</v>
      </c>
      <c r="R405">
        <f>IFERROR(IF(VLOOKUP($B405,Показатели!$E:$W,15,FALSE)=0,"",VLOOKUP($B405,Показатели!$E:$W,15,FALSE)),"")</f>
        <v>42096000000</v>
      </c>
      <c r="S405">
        <f>IFERROR(IF(VLOOKUP($B405,Показатели!$E:$W,16,FALSE)=0,"",VLOOKUP($B405,Показатели!$E:$W,16,FALSE)),"")</f>
        <v>243797000000</v>
      </c>
      <c r="T405" t="str">
        <f>IFERROR(IF(VLOOKUP($B405,Показатели!$E:$W,17,FALSE)=0,"",VLOOKUP($B405,Показатели!$E:$W,17,FALSE)),"")</f>
        <v/>
      </c>
      <c r="U405">
        <f>IFERROR(IF(VLOOKUP($B405,Показатели!$E:$W,18,FALSE)=0,"",VLOOKUP($B405,Показатели!$E:$W,18,FALSE)),"")</f>
        <v>1194872721342.5457</v>
      </c>
      <c r="V405">
        <f>IFERROR(IF(VLOOKUP($B405,Показатели!$E:$W,19,FALSE)=0,"",VLOOKUP($B405,Показатели!$E:$W,19,FALSE)),"")</f>
        <v>897187402089.81836</v>
      </c>
    </row>
    <row r="406" spans="1:22" x14ac:dyDescent="0.2">
      <c r="A406" s="7" t="s">
        <v>2228</v>
      </c>
      <c r="B406" t="str">
        <f t="shared" si="6"/>
        <v>NLMK IV кв. 2021</v>
      </c>
      <c r="C406">
        <v>2021</v>
      </c>
      <c r="D406">
        <f>SUMIFS(Дивиденды!$C:$C,Дивиденды!$A:$A,A406,Дивиденды!$I:$I,C406)</f>
        <v>34.659999999999997</v>
      </c>
      <c r="E406">
        <f>IFERROR(IF(VLOOKUP($B406,Показатели!$E:$W,2,FALSE)=0,"",VLOOKUP($B406,Показатели!$E:$W,2,FALSE)),"")</f>
        <v>39912703275.272736</v>
      </c>
      <c r="F406">
        <f>IFERROR(IF(VLOOKUP($B406,Показатели!$E:$W,3,FALSE)=0,"",VLOOKUP($B406,Показатели!$E:$W,3,FALSE)),"")</f>
        <v>396839983212.00006</v>
      </c>
      <c r="G406">
        <f>IFERROR(IF(VLOOKUP($B406,Показатели!$E:$W,4,FALSE)=0,"",VLOOKUP($B406,Показатели!$E:$W,4,FALSE)),"")</f>
        <v>456229495479.27283</v>
      </c>
      <c r="H406">
        <f>IFERROR(IF(VLOOKUP($B406,Показатели!$E:$W,5,FALSE)=0,"",VLOOKUP($B406,Показатели!$E:$W,5,FALSE)),"")</f>
        <v>25600199697.818188</v>
      </c>
      <c r="I406">
        <f>IFERROR(IF(VLOOKUP($B406,Показатели!$E:$W,6,FALSE)=0,"",VLOOKUP($B406,Показатели!$E:$W,6,FALSE)),"")</f>
        <v>897187402089.81836</v>
      </c>
      <c r="J406">
        <f>IFERROR(IF(VLOOKUP($B406,Показатели!$E:$W,7,FALSE)=0,"",VLOOKUP($B406,Показатели!$E:$W,7,FALSE)),"")</f>
        <v>244345421899.63641</v>
      </c>
      <c r="K406">
        <f>IFERROR(IF(VLOOKUP($B406,Показатели!$E:$W,8,FALSE)=0,"",VLOOKUP($B406,Показатели!$E:$W,8,FALSE)),"")</f>
        <v>177578330468.72729</v>
      </c>
      <c r="L406">
        <f>IFERROR(IF(VLOOKUP($B406,Показатели!$E:$W,9,FALSE)=0,"",VLOOKUP($B406,Показатели!$E:$W,9,FALSE)),"")</f>
        <v>979963840305.81836</v>
      </c>
      <c r="M406">
        <f>IFERROR(IF(VLOOKUP($B406,Показатели!$E:$W,10,FALSE)=0,"",VLOOKUP($B406,Показатели!$E:$W,10,FALSE)),"")</f>
        <v>475263649721.45465</v>
      </c>
      <c r="N406">
        <f>IFERROR(IF(VLOOKUP($B406,Показатели!$E:$W,11,FALSE)=0,"",VLOOKUP($B406,Показатели!$E:$W,11,FALSE)),"")</f>
        <v>1194872721342.5457</v>
      </c>
      <c r="O406">
        <f>IFERROR(IF(VLOOKUP($B406,Показатели!$E:$W,12,FALSE)=0,"",VLOOKUP($B406,Показатели!$E:$W,12,FALSE)),"")</f>
        <v>491936978631.27283</v>
      </c>
      <c r="P406">
        <f>IFERROR(IF(VLOOKUP($B406,Показатели!$E:$W,13,FALSE)=0,"",VLOOKUP($B406,Показатели!$E:$W,13,FALSE)),"")</f>
        <v>467295864224.72736</v>
      </c>
      <c r="Q406">
        <f>IFERROR(IF(VLOOKUP($B406,Показатели!$E:$W,14,FALSE)=0,"",VLOOKUP($B406,Показатели!$E:$W,14,FALSE)),"")</f>
        <v>372862850930.18188</v>
      </c>
      <c r="R406">
        <f>IFERROR(IF(VLOOKUP($B406,Показатели!$E:$W,15,FALSE)=0,"",VLOOKUP($B406,Показатели!$E:$W,15,FALSE)),"")</f>
        <v>43896596023.636368</v>
      </c>
      <c r="S406">
        <f>IFERROR(IF(VLOOKUP($B406,Показатели!$E:$W,16,FALSE)=0,"",VLOOKUP($B406,Показатели!$E:$W,16,FALSE)),"")</f>
        <v>535833574654.90918</v>
      </c>
      <c r="T406">
        <f>IFERROR(IF(VLOOKUP($B406,Показатели!$E:$W,17,FALSE)=0,"",VLOOKUP($B406,Показатели!$E:$W,17,FALSE)),"")</f>
        <v>-89785138421.454559</v>
      </c>
      <c r="U406">
        <f>IFERROR(IF(VLOOKUP($B406,Показатели!$E:$W,18,FALSE)=0,"",VLOOKUP($B406,Показатели!$E:$W,18,FALSE)),"")</f>
        <v>668388799421.60315</v>
      </c>
      <c r="V406">
        <f>IFERROR(IF(VLOOKUP($B406,Показатели!$E:$W,19,FALSE)=0,"",VLOOKUP($B406,Показатели!$E:$W,19,FALSE)),"")</f>
        <v>712996250935.19202</v>
      </c>
    </row>
    <row r="407" spans="1:22" x14ac:dyDescent="0.2">
      <c r="A407" s="7" t="s">
        <v>2228</v>
      </c>
      <c r="B407" t="str">
        <f t="shared" si="6"/>
        <v>NLMK IV кв. 2020</v>
      </c>
      <c r="C407">
        <v>2020</v>
      </c>
      <c r="D407">
        <f>SUMIFS(Дивиденды!$C:$C,Дивиденды!$A:$A,A407,Дивиденды!$I:$I,C407)</f>
        <v>21.64</v>
      </c>
      <c r="E407">
        <f>IFERROR(IF(VLOOKUP($B407,Показатели!$E:$W,2,FALSE)=0,"",VLOOKUP($B407,Показатели!$E:$W,2,FALSE)),"")</f>
        <v>60874350363.7631</v>
      </c>
      <c r="F407">
        <f>IFERROR(IF(VLOOKUP($B407,Показатели!$E:$W,3,FALSE)=0,"",VLOOKUP($B407,Показатели!$E:$W,3,FALSE)),"")</f>
        <v>258101461756.09769</v>
      </c>
      <c r="G407">
        <f>IFERROR(IF(VLOOKUP($B407,Показатели!$E:$W,4,FALSE)=0,"",VLOOKUP($B407,Показатели!$E:$W,4,FALSE)),"")</f>
        <v>409130580413.9375</v>
      </c>
      <c r="H407">
        <f>IFERROR(IF(VLOOKUP($B407,Показатели!$E:$W,5,FALSE)=0,"",VLOOKUP($B407,Показатели!$E:$W,5,FALSE)),"")</f>
        <v>26822308770.73172</v>
      </c>
      <c r="I407">
        <f>IFERROR(IF(VLOOKUP($B407,Показатели!$E:$W,6,FALSE)=0,"",VLOOKUP($B407,Показатели!$E:$W,6,FALSE)),"")</f>
        <v>712996250935.19202</v>
      </c>
      <c r="J407">
        <f>IFERROR(IF(VLOOKUP($B407,Показатели!$E:$W,7,FALSE)=0,"",VLOOKUP($B407,Показатели!$E:$W,7,FALSE)),"")</f>
        <v>164982503004.87814</v>
      </c>
      <c r="K407">
        <f>IFERROR(IF(VLOOKUP($B407,Показатели!$E:$W,8,FALSE)=0,"",VLOOKUP($B407,Показатели!$E:$W,8,FALSE)),"")</f>
        <v>205252114825.08722</v>
      </c>
      <c r="L407">
        <f>IFERROR(IF(VLOOKUP($B407,Показатели!$E:$W,9,FALSE)=0,"",VLOOKUP($B407,Показатели!$E:$W,9,FALSE)),"")</f>
        <v>841613197843.90295</v>
      </c>
      <c r="M407">
        <f>IFERROR(IF(VLOOKUP($B407,Показатели!$E:$W,10,FALSE)=0,"",VLOOKUP($B407,Показатели!$E:$W,10,FALSE)),"")</f>
        <v>342761633105.22668</v>
      </c>
      <c r="N407">
        <f>IFERROR(IF(VLOOKUP($B407,Показатели!$E:$W,11,FALSE)=0,"",VLOOKUP($B407,Показатели!$E:$W,11,FALSE)),"")</f>
        <v>668388799421.60315</v>
      </c>
      <c r="O407">
        <f>IFERROR(IF(VLOOKUP($B407,Показатели!$E:$W,12,FALSE)=0,"",VLOOKUP($B407,Показатели!$E:$W,12,FALSE)),"")</f>
        <v>149727766749.82587</v>
      </c>
      <c r="P407">
        <f>IFERROR(IF(VLOOKUP($B407,Показатели!$E:$W,13,FALSE)=0,"",VLOOKUP($B407,Показатели!$E:$W,13,FALSE)),"")</f>
        <v>114229778592.33456</v>
      </c>
      <c r="Q407">
        <f>IFERROR(IF(VLOOKUP($B407,Показатели!$E:$W,14,FALSE)=0,"",VLOOKUP($B407,Показатели!$E:$W,14,FALSE)),"")</f>
        <v>89431795011.846741</v>
      </c>
      <c r="R407">
        <f>IFERROR(IF(VLOOKUP($B407,Показатели!$E:$W,15,FALSE)=0,"",VLOOKUP($B407,Показатели!$E:$W,15,FALSE)),"")</f>
        <v>41498666400.000023</v>
      </c>
      <c r="S407">
        <f>IFERROR(IF(VLOOKUP($B407,Показатели!$E:$W,16,FALSE)=0,"",VLOOKUP($B407,Показатели!$E:$W,16,FALSE)),"")</f>
        <v>191226433149.8259</v>
      </c>
      <c r="T407">
        <f>IFERROR(IF(VLOOKUP($B407,Показатели!$E:$W,17,FALSE)=0,"",VLOOKUP($B407,Показатели!$E:$W,17,FALSE)),"")</f>
        <v>-81262196922.648132</v>
      </c>
      <c r="U407">
        <f>IFERROR(IF(VLOOKUP($B407,Показатели!$E:$W,18,FALSE)=0,"",VLOOKUP($B407,Показатели!$E:$W,18,FALSE)),"")</f>
        <v>682728695437.49951</v>
      </c>
      <c r="V407">
        <f>IFERROR(IF(VLOOKUP($B407,Показатели!$E:$W,19,FALSE)=0,"",VLOOKUP($B407,Показатели!$E:$W,19,FALSE)),"")</f>
        <v>678200458874.99951</v>
      </c>
    </row>
    <row r="408" spans="1:22" x14ac:dyDescent="0.2">
      <c r="A408" s="7" t="s">
        <v>2228</v>
      </c>
      <c r="B408" t="str">
        <f t="shared" si="6"/>
        <v>NLMK IV кв. 2019</v>
      </c>
      <c r="C408">
        <v>2019</v>
      </c>
      <c r="D408">
        <f>SUMIFS(Дивиденды!$C:$C,Дивиденды!$A:$A,A408,Дивиденды!$I:$I,C408)</f>
        <v>17.36</v>
      </c>
      <c r="E408">
        <f>IFERROR(IF(VLOOKUP($B408,Показатели!$E:$W,2,FALSE)=0,"",VLOOKUP($B408,Показатели!$E:$W,2,FALSE)),"")</f>
        <v>46123323843.749969</v>
      </c>
      <c r="F408">
        <f>IFERROR(IF(VLOOKUP($B408,Показатели!$E:$W,3,FALSE)=0,"",VLOOKUP($B408,Показатели!$E:$W,3,FALSE)),"")</f>
        <v>239026201406.24985</v>
      </c>
      <c r="G408">
        <f>IFERROR(IF(VLOOKUP($B408,Показатели!$E:$W,4,FALSE)=0,"",VLOOKUP($B408,Показатели!$E:$W,4,FALSE)),"")</f>
        <v>390657437156.24976</v>
      </c>
      <c r="H408">
        <f>IFERROR(IF(VLOOKUP($B408,Показатели!$E:$W,5,FALSE)=0,"",VLOOKUP($B408,Показатели!$E:$W,5,FALSE)),"")</f>
        <v>26522528437.499981</v>
      </c>
      <c r="I408">
        <f>IFERROR(IF(VLOOKUP($B408,Показатели!$E:$W,6,FALSE)=0,"",VLOOKUP($B408,Показатели!$E:$W,6,FALSE)),"")</f>
        <v>678200458874.99951</v>
      </c>
      <c r="J408">
        <f>IFERROR(IF(VLOOKUP($B408,Показатели!$E:$W,7,FALSE)=0,"",VLOOKUP($B408,Показатели!$E:$W,7,FALSE)),"")</f>
        <v>125626220062.49991</v>
      </c>
      <c r="K408">
        <f>IFERROR(IF(VLOOKUP($B408,Показатели!$E:$W,8,FALSE)=0,"",VLOOKUP($B408,Показатели!$E:$W,8,FALSE)),"")</f>
        <v>167868198281.24988</v>
      </c>
      <c r="L408">
        <f>IFERROR(IF(VLOOKUP($B408,Показатели!$E:$W,9,FALSE)=0,"",VLOOKUP($B408,Показатели!$E:$W,9,FALSE)),"")</f>
        <v>765918869999.99951</v>
      </c>
      <c r="M408">
        <f>IFERROR(IF(VLOOKUP($B408,Показатели!$E:$W,10,FALSE)=0,"",VLOOKUP($B408,Показатели!$E:$W,10,FALSE)),"")</f>
        <v>384706040531.24976</v>
      </c>
      <c r="N408">
        <f>IFERROR(IF(VLOOKUP($B408,Показатели!$E:$W,11,FALSE)=0,"",VLOOKUP($B408,Показатели!$E:$W,11,FALSE)),"")</f>
        <v>682728695437.49951</v>
      </c>
      <c r="O408">
        <f>IFERROR(IF(VLOOKUP($B408,Показатели!$E:$W,12,FALSE)=0,"",VLOOKUP($B408,Показатели!$E:$W,12,FALSE)),"")</f>
        <v>129507565687.49991</v>
      </c>
      <c r="P408">
        <f>IFERROR(IF(VLOOKUP($B408,Показатели!$E:$W,13,FALSE)=0,"",VLOOKUP($B408,Показатели!$E:$W,13,FALSE)),"")</f>
        <v>116052234187.49992</v>
      </c>
      <c r="Q408">
        <f>IFERROR(IF(VLOOKUP($B408,Показатели!$E:$W,14,FALSE)=0,"",VLOOKUP($B408,Показатели!$E:$W,14,FALSE)),"")</f>
        <v>86748074718.749939</v>
      </c>
      <c r="R408">
        <f>IFERROR(IF(VLOOKUP($B408,Показатели!$E:$W,15,FALSE)=0,"",VLOOKUP($B408,Показатели!$E:$W,15,FALSE)),"")</f>
        <v>36355270687.499977</v>
      </c>
      <c r="S408">
        <f>IFERROR(IF(VLOOKUP($B408,Показатели!$E:$W,16,FALSE)=0,"",VLOOKUP($B408,Показатели!$E:$W,16,FALSE)),"")</f>
        <v>165862836374.99988</v>
      </c>
      <c r="T408">
        <f>IFERROR(IF(VLOOKUP($B408,Показатели!$E:$W,17,FALSE)=0,"",VLOOKUP($B408,Показатели!$E:$W,17,FALSE)),"")</f>
        <v>-69864221249.999954</v>
      </c>
      <c r="U408">
        <f>IFERROR(IF(VLOOKUP($B408,Показатели!$E:$W,18,FALSE)=0,"",VLOOKUP($B408,Показатели!$E:$W,18,FALSE)),"")</f>
        <v>757321258639.86694</v>
      </c>
      <c r="V408">
        <f>IFERROR(IF(VLOOKUP($B408,Показатели!$E:$W,19,FALSE)=0,"",VLOOKUP($B408,Показатели!$E:$W,19,FALSE)),"")</f>
        <v>625170396473.0896</v>
      </c>
    </row>
    <row r="409" spans="1:22" x14ac:dyDescent="0.2">
      <c r="A409" s="7" t="s">
        <v>2228</v>
      </c>
      <c r="B409" t="str">
        <f t="shared" si="6"/>
        <v>NLMK IV кв. 2018</v>
      </c>
      <c r="C409">
        <v>2018</v>
      </c>
      <c r="D409">
        <f>SUMIFS(Дивиденды!$C:$C,Дивиденды!$A:$A,A409,Дивиденды!$I:$I,C409)</f>
        <v>22.810000000000002</v>
      </c>
      <c r="E409">
        <f>IFERROR(IF(VLOOKUP($B409,Показатели!$E:$W,2,FALSE)=0,"",VLOOKUP($B409,Показатели!$E:$W,2,FALSE)),"")</f>
        <v>74122676733.887024</v>
      </c>
      <c r="F409">
        <f>IFERROR(IF(VLOOKUP($B409,Показатели!$E:$W,3,FALSE)=0,"",VLOOKUP($B409,Показатели!$E:$W,3,FALSE)),"")</f>
        <v>273480613903.65445</v>
      </c>
      <c r="G409">
        <f>IFERROR(IF(VLOOKUP($B409,Показатели!$E:$W,4,FALSE)=0,"",VLOOKUP($B409,Показатели!$E:$W,4,FALSE)),"")</f>
        <v>301645973680.39862</v>
      </c>
      <c r="H409">
        <f>IFERROR(IF(VLOOKUP($B409,Показатели!$E:$W,5,FALSE)=0,"",VLOOKUP($B409,Показатели!$E:$W,5,FALSE)),"")</f>
        <v>24456082484.717602</v>
      </c>
      <c r="I409">
        <f>IFERROR(IF(VLOOKUP($B409,Показатели!$E:$W,6,FALSE)=0,"",VLOOKUP($B409,Показатели!$E:$W,6,FALSE)),"")</f>
        <v>625170396473.0896</v>
      </c>
      <c r="J409">
        <f>IFERROR(IF(VLOOKUP($B409,Показатели!$E:$W,7,FALSE)=0,"",VLOOKUP($B409,Показатели!$E:$W,7,FALSE)),"")</f>
        <v>130327658074.08635</v>
      </c>
      <c r="K409">
        <f>IFERROR(IF(VLOOKUP($B409,Показатели!$E:$W,8,FALSE)=0,"",VLOOKUP($B409,Показатели!$E:$W,8,FALSE)),"")</f>
        <v>128064370234.8837</v>
      </c>
      <c r="L409">
        <f>IFERROR(IF(VLOOKUP($B409,Показатели!$E:$W,9,FALSE)=0,"",VLOOKUP($B409,Показатели!$E:$W,9,FALSE)),"")</f>
        <v>777690849192.69092</v>
      </c>
      <c r="M409">
        <f>IFERROR(IF(VLOOKUP($B409,Показатели!$E:$W,10,FALSE)=0,"",VLOOKUP($B409,Показатели!$E:$W,10,FALSE)),"")</f>
        <v>366778368164.11951</v>
      </c>
      <c r="N409">
        <f>IFERROR(IF(VLOOKUP($B409,Показатели!$E:$W,11,FALSE)=0,"",VLOOKUP($B409,Показатели!$E:$W,11,FALSE)),"")</f>
        <v>757321258639.86694</v>
      </c>
      <c r="O409">
        <f>IFERROR(IF(VLOOKUP($B409,Показатели!$E:$W,12,FALSE)=0,"",VLOOKUP($B409,Показатели!$E:$W,12,FALSE)),"")</f>
        <v>189361749213.289</v>
      </c>
      <c r="P409">
        <f>IFERROR(IF(VLOOKUP($B409,Показатели!$E:$W,13,FALSE)=0,"",VLOOKUP($B409,Показатели!$E:$W,13,FALSE)),"")</f>
        <v>171569792032.89035</v>
      </c>
      <c r="Q409">
        <f>IFERROR(IF(VLOOKUP($B409,Показатели!$E:$W,14,FALSE)=0,"",VLOOKUP($B409,Показатели!$E:$W,14,FALSE)),"")</f>
        <v>141015406203.65445</v>
      </c>
      <c r="R409">
        <f>IFERROR(IF(VLOOKUP($B409,Показатели!$E:$W,15,FALSE)=0,"",VLOOKUP($B409,Показатели!$E:$W,15,FALSE)),"")</f>
        <v>36275474533.887039</v>
      </c>
      <c r="S409">
        <f>IFERROR(IF(VLOOKUP($B409,Показатели!$E:$W,16,FALSE)=0,"",VLOOKUP($B409,Показатели!$E:$W,16,FALSE)),"")</f>
        <v>225637223747.17603</v>
      </c>
      <c r="T409">
        <f>IFERROR(IF(VLOOKUP($B409,Показатели!$E:$W,17,FALSE)=0,"",VLOOKUP($B409,Показатели!$E:$W,17,FALSE)),"")</f>
        <v>-42750992518.272415</v>
      </c>
      <c r="U409">
        <f>IFERROR(IF(VLOOKUP($B409,Показатели!$E:$W,18,FALSE)=0,"",VLOOKUP($B409,Показатели!$E:$W,18,FALSE)),"")</f>
        <v>586918836910.89087</v>
      </c>
      <c r="V409">
        <f>IFERROR(IF(VLOOKUP($B409,Показатели!$E:$W,19,FALSE)=0,"",VLOOKUP($B409,Показатели!$E:$W,19,FALSE)),"")</f>
        <v>641208100414.52124</v>
      </c>
    </row>
    <row r="410" spans="1:22" x14ac:dyDescent="0.2">
      <c r="A410" s="7" t="s">
        <v>2228</v>
      </c>
      <c r="B410" t="str">
        <f t="shared" si="6"/>
        <v>NLMK IV кв. 2017</v>
      </c>
      <c r="C410">
        <v>2017</v>
      </c>
      <c r="D410">
        <f>SUMIFS(Дивиденды!$C:$C,Дивиденды!$A:$A,A410,Дивиденды!$I:$I,C410)</f>
        <v>14.04</v>
      </c>
      <c r="E410">
        <f>IFERROR(IF(VLOOKUP($B410,Показатели!$E:$W,2,FALSE)=0,"",VLOOKUP($B410,Показатели!$E:$W,2,FALSE)),"")</f>
        <v>17552167899.66996</v>
      </c>
      <c r="F410">
        <f>IFERROR(IF(VLOOKUP($B410,Показатели!$E:$W,3,FALSE)=0,"",VLOOKUP($B410,Показатели!$E:$W,3,FALSE)),"")</f>
        <v>274711837127.39264</v>
      </c>
      <c r="G410">
        <f>IFERROR(IF(VLOOKUP($B410,Показатели!$E:$W,4,FALSE)=0,"",VLOOKUP($B410,Показатели!$E:$W,4,FALSE)),"")</f>
        <v>323578005565.67645</v>
      </c>
      <c r="H410">
        <f>IFERROR(IF(VLOOKUP($B410,Показатели!$E:$W,5,FALSE)=0,"",VLOOKUP($B410,Показатели!$E:$W,5,FALSE)),"")</f>
        <v>23325140066.006592</v>
      </c>
      <c r="I410">
        <f>IFERROR(IF(VLOOKUP($B410,Показатели!$E:$W,6,FALSE)=0,"",VLOOKUP($B410,Показатели!$E:$W,6,FALSE)),"")</f>
        <v>641208100414.52124</v>
      </c>
      <c r="J410">
        <f>IFERROR(IF(VLOOKUP($B410,Показатели!$E:$W,7,FALSE)=0,"",VLOOKUP($B410,Показатели!$E:$W,7,FALSE)),"")</f>
        <v>116567387479.86794</v>
      </c>
      <c r="K410">
        <f>IFERROR(IF(VLOOKUP($B410,Показатели!$E:$W,8,FALSE)=0,"",VLOOKUP($B410,Показатели!$E:$W,8,FALSE)),"")</f>
        <v>137093510737.95374</v>
      </c>
      <c r="L410">
        <f>IFERROR(IF(VLOOKUP($B410,Показатели!$E:$W,9,FALSE)=0,"",VLOOKUP($B410,Показатели!$E:$W,9,FALSE)),"")</f>
        <v>701445274634.98315</v>
      </c>
      <c r="M410">
        <f>IFERROR(IF(VLOOKUP($B410,Показатели!$E:$W,10,FALSE)=0,"",VLOOKUP($B410,Показатели!$E:$W,10,FALSE)),"")</f>
        <v>387547202196.69952</v>
      </c>
      <c r="N410">
        <f>IFERROR(IF(VLOOKUP($B410,Показатели!$E:$W,11,FALSE)=0,"",VLOOKUP($B410,Показатели!$E:$W,11,FALSE)),"")</f>
        <v>586918836910.89087</v>
      </c>
      <c r="O410">
        <f>IFERROR(IF(VLOOKUP($B410,Показатели!$E:$W,12,FALSE)=0,"",VLOOKUP($B410,Показатели!$E:$W,12,FALSE)),"")</f>
        <v>118433398685.14847</v>
      </c>
      <c r="P410">
        <f>IFERROR(IF(VLOOKUP($B410,Показатели!$E:$W,13,FALSE)=0,"",VLOOKUP($B410,Показатели!$E:$W,13,FALSE)),"")</f>
        <v>106304325850.82504</v>
      </c>
      <c r="Q410">
        <f>IFERROR(IF(VLOOKUP($B410,Показатели!$E:$W,14,FALSE)=0,"",VLOOKUP($B410,Показатели!$E:$W,14,FALSE)),"")</f>
        <v>84670258439.603928</v>
      </c>
      <c r="R410">
        <f>IFERROR(IF(VLOOKUP($B410,Показатели!$E:$W,15,FALSE)=0,"",VLOOKUP($B410,Показатели!$E:$W,15,FALSE)),"")</f>
        <v>36387218502.970284</v>
      </c>
      <c r="S410">
        <f>IFERROR(IF(VLOOKUP($B410,Показатели!$E:$W,16,FALSE)=0,"",VLOOKUP($B410,Показатели!$E:$W,16,FALSE)),"")</f>
        <v>154820617188.11874</v>
      </c>
      <c r="T410">
        <f>IFERROR(IF(VLOOKUP($B410,Показатели!$E:$W,17,FALSE)=0,"",VLOOKUP($B410,Показатели!$E:$W,17,FALSE)),"")</f>
        <v>-34521207297.689758</v>
      </c>
      <c r="U410">
        <f>IFERROR(IF(VLOOKUP($B410,Показатели!$E:$W,18,FALSE)=0,"",VLOOKUP($B410,Показатели!$E:$W,18,FALSE)),"")</f>
        <v>512054000816.59534</v>
      </c>
      <c r="V410">
        <f>IFERROR(IF(VLOOKUP($B410,Показатели!$E:$W,19,FALSE)=0,"",VLOOKUP($B410,Показатели!$E:$W,19,FALSE)),"")</f>
        <v>686563002063.93555</v>
      </c>
    </row>
    <row r="411" spans="1:22" x14ac:dyDescent="0.2">
      <c r="A411" s="7" t="s">
        <v>2228</v>
      </c>
      <c r="B411" t="str">
        <f t="shared" si="6"/>
        <v>NLMK IV кв. 2016</v>
      </c>
      <c r="C411">
        <v>2016</v>
      </c>
      <c r="D411">
        <f>SUMIFS(Дивиденды!$C:$C,Дивиденды!$A:$A,A411,Дивиденды!$I:$I,C411)</f>
        <v>9.2199999999999989</v>
      </c>
      <c r="E411">
        <f>IFERROR(IF(VLOOKUP($B411,Показатели!$E:$W,2,FALSE)=0,"",VLOOKUP($B411,Показатели!$E:$W,2,FALSE)),"")</f>
        <v>40883050167.340393</v>
      </c>
      <c r="F411">
        <f>IFERROR(IF(VLOOKUP($B411,Показатели!$E:$W,3,FALSE)=0,"",VLOOKUP($B411,Показатели!$E:$W,3,FALSE)),"")</f>
        <v>275103969036.48914</v>
      </c>
      <c r="G411">
        <f>IFERROR(IF(VLOOKUP($B411,Показатели!$E:$W,4,FALSE)=0,"",VLOOKUP($B411,Показатели!$E:$W,4,FALSE)),"")</f>
        <v>357272395598.82947</v>
      </c>
      <c r="H411" t="str">
        <f>IFERROR(IF(VLOOKUP($B411,Показатели!$E:$W,5,FALSE)=0,"",VLOOKUP($B411,Показатели!$E:$W,5,FALSE)),"")</f>
        <v/>
      </c>
      <c r="I411">
        <f>IFERROR(IF(VLOOKUP($B411,Показатели!$E:$W,6,FALSE)=0,"",VLOOKUP($B411,Показатели!$E:$W,6,FALSE)),"")</f>
        <v>686563002063.93555</v>
      </c>
      <c r="J411">
        <f>IFERROR(IF(VLOOKUP($B411,Показатели!$E:$W,7,FALSE)=0,"",VLOOKUP($B411,Показатели!$E:$W,7,FALSE)),"")</f>
        <v>115923597062.97862</v>
      </c>
      <c r="K411">
        <f>IFERROR(IF(VLOOKUP($B411,Показатели!$E:$W,8,FALSE)=0,"",VLOOKUP($B411,Показатели!$E:$W,8,FALSE)),"")</f>
        <v>147472678748.61688</v>
      </c>
      <c r="L411">
        <f>IFERROR(IF(VLOOKUP($B411,Показатели!$E:$W,9,FALSE)=0,"",VLOOKUP($B411,Показатели!$E:$W,9,FALSE)),"")</f>
        <v>807287692110.31848</v>
      </c>
      <c r="M411">
        <f>IFERROR(IF(VLOOKUP($B411,Показатели!$E:$W,10,FALSE)=0,"",VLOOKUP($B411,Показатели!$E:$W,10,FALSE)),"")</f>
        <v>423166726252.34009</v>
      </c>
      <c r="N411">
        <f>IFERROR(IF(VLOOKUP($B411,Показатели!$E:$W,11,FALSE)=0,"",VLOOKUP($B411,Показатели!$E:$W,11,FALSE)),"")</f>
        <v>512054000816.59534</v>
      </c>
      <c r="O411">
        <f>IFERROR(IF(VLOOKUP($B411,Показатели!$E:$W,12,FALSE)=0,"",VLOOKUP($B411,Показатели!$E:$W,12,FALSE)),"")</f>
        <v>99810431645.212677</v>
      </c>
      <c r="P411">
        <f>IFERROR(IF(VLOOKUP($B411,Показатели!$E:$W,13,FALSE)=0,"",VLOOKUP($B411,Показатели!$E:$W,13,FALSE)),"")</f>
        <v>78601134010.425461</v>
      </c>
      <c r="Q411">
        <f>IFERROR(IF(VLOOKUP($B411,Показатели!$E:$W,14,FALSE)=0,"",VLOOKUP($B411,Показатели!$E:$W,14,FALSE)),"")</f>
        <v>62950643754.468033</v>
      </c>
      <c r="R411" t="str">
        <f>IFERROR(IF(VLOOKUP($B411,Показатели!$E:$W,15,FALSE)=0,"",VLOOKUP($B411,Показатели!$E:$W,15,FALSE)),"")</f>
        <v/>
      </c>
      <c r="S411">
        <f>IFERROR(IF(VLOOKUP($B411,Показатели!$E:$W,16,FALSE)=0,"",VLOOKUP($B411,Показатели!$E:$W,16,FALSE)),"")</f>
        <v>130219589019.14883</v>
      </c>
      <c r="T411">
        <f>IFERROR(IF(VLOOKUP($B411,Показатели!$E:$W,17,FALSE)=0,"",VLOOKUP($B411,Показатели!$E:$W,17,FALSE)),"")</f>
        <v>37483393543.616989</v>
      </c>
      <c r="U411">
        <f>IFERROR(IF(VLOOKUP($B411,Показатели!$E:$W,18,FALSE)=0,"",VLOOKUP($B411,Показатели!$E:$W,18,FALSE)),"")</f>
        <v>490509706249.87018</v>
      </c>
      <c r="V411">
        <f>IFERROR(IF(VLOOKUP($B411,Показатели!$E:$W,19,FALSE)=0,"",VLOOKUP($B411,Показатели!$E:$W,19,FALSE)),"")</f>
        <v>546314732705.45459</v>
      </c>
    </row>
    <row r="412" spans="1:22" x14ac:dyDescent="0.2">
      <c r="A412" s="7" t="s">
        <v>2228</v>
      </c>
      <c r="B412" t="str">
        <f t="shared" si="6"/>
        <v>NLMK IV кв. 2015</v>
      </c>
      <c r="C412">
        <v>2015</v>
      </c>
      <c r="D412">
        <f>SUMIFS(Дивиденды!$C:$C,Дивиденды!$A:$A,A412,Дивиденды!$I:$I,C412)</f>
        <v>6.9499999999999993</v>
      </c>
      <c r="E412">
        <f>IFERROR(IF(VLOOKUP($B412,Показатели!$E:$W,2,FALSE)=0,"",VLOOKUP($B412,Показатели!$E:$W,2,FALSE)),"")</f>
        <v>21008807018.18182</v>
      </c>
      <c r="F412">
        <f>IFERROR(IF(VLOOKUP($B412,Показатели!$E:$W,3,FALSE)=0,"",VLOOKUP($B412,Показатели!$E:$W,3,FALSE)),"")</f>
        <v>227887368489.35065</v>
      </c>
      <c r="G412">
        <f>IFERROR(IF(VLOOKUP($B412,Показатели!$E:$W,4,FALSE)=0,"",VLOOKUP($B412,Показатели!$E:$W,4,FALSE)),"")</f>
        <v>272704115122.59741</v>
      </c>
      <c r="H412" t="str">
        <f>IFERROR(IF(VLOOKUP($B412,Показатели!$E:$W,5,FALSE)=0,"",VLOOKUP($B412,Показатели!$E:$W,5,FALSE)),"")</f>
        <v/>
      </c>
      <c r="I412">
        <f>IFERROR(IF(VLOOKUP($B412,Показатели!$E:$W,6,FALSE)=0,"",VLOOKUP($B412,Показатели!$E:$W,6,FALSE)),"")</f>
        <v>546314732705.45459</v>
      </c>
      <c r="J412">
        <f>IFERROR(IF(VLOOKUP($B412,Показатели!$E:$W,7,FALSE)=0,"",VLOOKUP($B412,Показатели!$E:$W,7,FALSE)),"")</f>
        <v>80476593414.545456</v>
      </c>
      <c r="K412">
        <f>IFERROR(IF(VLOOKUP($B412,Показатели!$E:$W,8,FALSE)=0,"",VLOOKUP($B412,Показатели!$E:$W,8,FALSE)),"")</f>
        <v>151153160231.68832</v>
      </c>
      <c r="L412">
        <f>IFERROR(IF(VLOOKUP($B412,Показатели!$E:$W,9,FALSE)=0,"",VLOOKUP($B412,Показатели!$E:$W,9,FALSE)),"")</f>
        <v>727860225422.33765</v>
      </c>
      <c r="M412">
        <f>IFERROR(IF(VLOOKUP($B412,Показатели!$E:$W,10,FALSE)=0,"",VLOOKUP($B412,Показатели!$E:$W,10,FALSE)),"")</f>
        <v>314684979059.22076</v>
      </c>
      <c r="N412">
        <f>IFERROR(IF(VLOOKUP($B412,Показатели!$E:$W,11,FALSE)=0,"",VLOOKUP($B412,Показатели!$E:$W,11,FALSE)),"")</f>
        <v>490509706249.87018</v>
      </c>
      <c r="O412">
        <f>IFERROR(IF(VLOOKUP($B412,Показатели!$E:$W,12,FALSE)=0,"",VLOOKUP($B412,Показатели!$E:$W,12,FALSE)),"")</f>
        <v>85033605782.337662</v>
      </c>
      <c r="P412">
        <f>IFERROR(IF(VLOOKUP($B412,Показатели!$E:$W,13,FALSE)=0,"",VLOOKUP($B412,Показатели!$E:$W,13,FALSE)),"")</f>
        <v>80917594611.428574</v>
      </c>
      <c r="Q412">
        <f>IFERROR(IF(VLOOKUP($B412,Показатели!$E:$W,14,FALSE)=0,"",VLOOKUP($B412,Показатели!$E:$W,14,FALSE)),"")</f>
        <v>59302410947.532471</v>
      </c>
      <c r="R412" t="str">
        <f>IFERROR(IF(VLOOKUP($B412,Показатели!$E:$W,15,FALSE)=0,"",VLOOKUP($B412,Показатели!$E:$W,15,FALSE)),"")</f>
        <v/>
      </c>
      <c r="S412">
        <f>IFERROR(IF(VLOOKUP($B412,Показатели!$E:$W,16,FALSE)=0,"",VLOOKUP($B412,Показатели!$E:$W,16,FALSE)),"")</f>
        <v>119315323823.37663</v>
      </c>
      <c r="T412">
        <f>IFERROR(IF(VLOOKUP($B412,Показатели!$E:$W,17,FALSE)=0,"",VLOOKUP($B412,Показатели!$E:$W,17,FALSE)),"")</f>
        <v>36443848909.090912</v>
      </c>
      <c r="U412">
        <f>IFERROR(IF(VLOOKUP($B412,Показатели!$E:$W,18,FALSE)=0,"",VLOOKUP($B412,Показатели!$E:$W,18,FALSE)),"")</f>
        <v>402954842972.67444</v>
      </c>
      <c r="V412">
        <f>IFERROR(IF(VLOOKUP($B412,Показатели!$E:$W,19,FALSE)=0,"",VLOOKUP($B412,Показатели!$E:$W,19,FALSE)),"")</f>
        <v>403342884478.59424</v>
      </c>
    </row>
    <row r="413" spans="1:22" x14ac:dyDescent="0.2">
      <c r="A413" s="7" t="s">
        <v>2228</v>
      </c>
      <c r="B413" t="str">
        <f t="shared" si="6"/>
        <v>NLMK IV кв. 2014</v>
      </c>
      <c r="C413">
        <v>2014</v>
      </c>
      <c r="D413">
        <f>SUMIFS(Дивиденды!$C:$C,Дивиденды!$A:$A,A413,Дивиденды!$I:$I,C413)</f>
        <v>2.44</v>
      </c>
      <c r="E413">
        <f>IFERROR(IF(VLOOKUP($B413,Показатели!$E:$W,2,FALSE)=0,"",VLOOKUP($B413,Показатели!$E:$W,2,FALSE)),"")</f>
        <v>21288210515.05323</v>
      </c>
      <c r="F413">
        <f>IFERROR(IF(VLOOKUP($B413,Показатели!$E:$W,3,FALSE)=0,"",VLOOKUP($B413,Показатели!$E:$W,3,FALSE)),"")</f>
        <v>151766788955.82544</v>
      </c>
      <c r="G413">
        <f>IFERROR(IF(VLOOKUP($B413,Показатели!$E:$W,4,FALSE)=0,"",VLOOKUP($B413,Показатели!$E:$W,4,FALSE)),"")</f>
        <v>227400966286.36917</v>
      </c>
      <c r="H413" t="str">
        <f>IFERROR(IF(VLOOKUP($B413,Показатели!$E:$W,5,FALSE)=0,"",VLOOKUP($B413,Показатели!$E:$W,5,FALSE)),"")</f>
        <v/>
      </c>
      <c r="I413">
        <f>IFERROR(IF(VLOOKUP($B413,Показатели!$E:$W,6,FALSE)=0,"",VLOOKUP($B413,Показатели!$E:$W,6,FALSE)),"")</f>
        <v>403342884478.59424</v>
      </c>
      <c r="J413">
        <f>IFERROR(IF(VLOOKUP($B413,Показатели!$E:$W,7,FALSE)=0,"",VLOOKUP($B413,Показатели!$E:$W,7,FALSE)),"")</f>
        <v>62796713102.487061</v>
      </c>
      <c r="K413">
        <f>IFERROR(IF(VLOOKUP($B413,Показатели!$E:$W,8,FALSE)=0,"",VLOOKUP($B413,Показатели!$E:$W,8,FALSE)),"")</f>
        <v>95460536147.039536</v>
      </c>
      <c r="L413">
        <f>IFERROR(IF(VLOOKUP($B413,Показатели!$E:$W,9,FALSE)=0,"",VLOOKUP($B413,Показатели!$E:$W,9,FALSE)),"")</f>
        <v>474881597876.21704</v>
      </c>
      <c r="M413">
        <f>IFERROR(IF(VLOOKUP($B413,Показатели!$E:$W,10,FALSE)=0,"",VLOOKUP($B413,Показатели!$E:$W,10,FALSE)),"")</f>
        <v>245085635229.06766</v>
      </c>
      <c r="N413">
        <f>IFERROR(IF(VLOOKUP($B413,Показатели!$E:$W,11,FALSE)=0,"",VLOOKUP($B413,Показатели!$E:$W,11,FALSE)),"")</f>
        <v>402954842972.67444</v>
      </c>
      <c r="O413">
        <f>IFERROR(IF(VLOOKUP($B413,Показатели!$E:$W,12,FALSE)=0,"",VLOOKUP($B413,Показатели!$E:$W,12,FALSE)),"")</f>
        <v>57521736331.174515</v>
      </c>
      <c r="P413">
        <f>IFERROR(IF(VLOOKUP($B413,Показатели!$E:$W,13,FALSE)=0,"",VLOOKUP($B413,Показатели!$E:$W,13,FALSE)),"")</f>
        <v>68626677215.899231</v>
      </c>
      <c r="Q413">
        <f>IFERROR(IF(VLOOKUP($B413,Показатели!$E:$W,14,FALSE)=0,"",VLOOKUP($B413,Показатели!$E:$W,14,FALSE)),"")</f>
        <v>52877758228.81292</v>
      </c>
      <c r="R413" t="str">
        <f>IFERROR(IF(VLOOKUP($B413,Показатели!$E:$W,15,FALSE)=0,"",VLOOKUP($B413,Показатели!$E:$W,15,FALSE)),"")</f>
        <v/>
      </c>
      <c r="S413">
        <f>IFERROR(IF(VLOOKUP($B413,Показатели!$E:$W,16,FALSE)=0,"",VLOOKUP($B413,Показатели!$E:$W,16,FALSE)),"")</f>
        <v>92368685306.844086</v>
      </c>
      <c r="T413">
        <f>IFERROR(IF(VLOOKUP($B413,Показатели!$E:$W,17,FALSE)=0,"",VLOOKUP($B413,Показатели!$E:$W,17,FALSE)),"")</f>
        <v>21722688313.460453</v>
      </c>
      <c r="U413">
        <f>IFERROR(IF(VLOOKUP($B413,Показатели!$E:$W,18,FALSE)=0,"",VLOOKUP($B413,Показатели!$E:$W,18,FALSE)),"")</f>
        <v>347618459888</v>
      </c>
      <c r="V413">
        <f>IFERROR(IF(VLOOKUP($B413,Показатели!$E:$W,19,FALSE)=0,"",VLOOKUP($B413,Показатели!$E:$W,19,FALSE)),"")</f>
        <v>518875956983.99994</v>
      </c>
    </row>
    <row r="414" spans="1:22" x14ac:dyDescent="0.2">
      <c r="A414" s="7" t="s">
        <v>2228</v>
      </c>
      <c r="B414" t="str">
        <f t="shared" si="6"/>
        <v>NLMK IV кв. 2013</v>
      </c>
      <c r="C414">
        <v>2013</v>
      </c>
      <c r="D414">
        <f>SUMIFS(Дивиденды!$C:$C,Дивиденды!$A:$A,A414,Дивиденды!$I:$I,C414)</f>
        <v>0.67</v>
      </c>
      <c r="E414">
        <f>IFERROR(IF(VLOOKUP($B414,Показатели!$E:$W,2,FALSE)=0,"",VLOOKUP($B414,Показатели!$E:$W,2,FALSE)),"")</f>
        <v>30907825087.999996</v>
      </c>
      <c r="F414">
        <f>IFERROR(IF(VLOOKUP($B414,Показатели!$E:$W,3,FALSE)=0,"",VLOOKUP($B414,Показатели!$E:$W,3,FALSE)),"")</f>
        <v>162565890088</v>
      </c>
      <c r="G414">
        <f>IFERROR(IF(VLOOKUP($B414,Показатели!$E:$W,4,FALSE)=0,"",VLOOKUP($B414,Показатели!$E:$W,4,FALSE)),"")</f>
        <v>318735464544</v>
      </c>
      <c r="H414" t="str">
        <f>IFERROR(IF(VLOOKUP($B414,Показатели!$E:$W,5,FALSE)=0,"",VLOOKUP($B414,Показатели!$E:$W,5,FALSE)),"")</f>
        <v/>
      </c>
      <c r="I414">
        <f>IFERROR(IF(VLOOKUP($B414,Показатели!$E:$W,6,FALSE)=0,"",VLOOKUP($B414,Показатели!$E:$W,6,FALSE)),"")</f>
        <v>518875956983.99994</v>
      </c>
      <c r="J414">
        <f>IFERROR(IF(VLOOKUP($B414,Показатели!$E:$W,7,FALSE)=0,"",VLOOKUP($B414,Показатели!$E:$W,7,FALSE)),"")</f>
        <v>73814485472</v>
      </c>
      <c r="K414">
        <f>IFERROR(IF(VLOOKUP($B414,Показатели!$E:$W,8,FALSE)=0,"",VLOOKUP($B414,Показатели!$E:$W,8,FALSE)),"")</f>
        <v>117664957535.99998</v>
      </c>
      <c r="L414">
        <f>IFERROR(IF(VLOOKUP($B414,Показатели!$E:$W,9,FALSE)=0,"",VLOOKUP($B414,Показатели!$E:$W,9,FALSE)),"")</f>
        <v>371390533359.99994</v>
      </c>
      <c r="M414">
        <f>IFERROR(IF(VLOOKUP($B414,Показатели!$E:$W,10,FALSE)=0,"",VLOOKUP($B414,Показатели!$E:$W,10,FALSE)),"")</f>
        <v>327396513976</v>
      </c>
      <c r="N414">
        <f>IFERROR(IF(VLOOKUP($B414,Показатели!$E:$W,11,FALSE)=0,"",VLOOKUP($B414,Показатели!$E:$W,11,FALSE)),"")</f>
        <v>347618459888</v>
      </c>
      <c r="O414">
        <f>IFERROR(IF(VLOOKUP($B414,Показатели!$E:$W,12,FALSE)=0,"",VLOOKUP($B414,Показатели!$E:$W,12,FALSE)),"")</f>
        <v>20514553024</v>
      </c>
      <c r="P414">
        <f>IFERROR(IF(VLOOKUP($B414,Показатели!$E:$W,13,FALSE)=0,"",VLOOKUP($B414,Показатели!$E:$W,13,FALSE)),"")</f>
        <v>15405638583.999998</v>
      </c>
      <c r="Q414">
        <f>IFERROR(IF(VLOOKUP($B414,Показатели!$E:$W,14,FALSE)=0,"",VLOOKUP($B414,Показатели!$E:$W,14,FALSE)),"")</f>
        <v>6614520303.999999</v>
      </c>
      <c r="R414">
        <f>IFERROR(IF(VLOOKUP($B414,Показатели!$E:$W,15,FALSE)=0,"",VLOOKUP($B414,Показатели!$E:$W,15,FALSE)),"")</f>
        <v>27451345823.999996</v>
      </c>
      <c r="S414" t="str">
        <f>IFERROR(IF(VLOOKUP($B414,Показатели!$E:$W,16,FALSE)=0,"",VLOOKUP($B414,Показатели!$E:$W,16,FALSE)),"")</f>
        <v/>
      </c>
      <c r="T414">
        <f>IFERROR(IF(VLOOKUP($B414,Показатели!$E:$W,17,FALSE)=0,"",VLOOKUP($B414,Показатели!$E:$W,17,FALSE)),"")</f>
        <v>-24098424559.999996</v>
      </c>
      <c r="U414">
        <f>IFERROR(IF(VLOOKUP($B414,Показатели!$E:$W,18,FALSE)=0,"",VLOOKUP($B414,Показатели!$E:$W,18,FALSE)),"")</f>
        <v>377619686318.41821</v>
      </c>
      <c r="V414">
        <f>IFERROR(IF(VLOOKUP($B414,Показатели!$E:$W,19,FALSE)=0,"",VLOOKUP($B414,Показатели!$E:$W,19,FALSE)),"")</f>
        <v>403449714892.36761</v>
      </c>
    </row>
    <row r="415" spans="1:22" x14ac:dyDescent="0.2">
      <c r="A415" s="7" t="s">
        <v>2228</v>
      </c>
      <c r="B415" t="str">
        <f t="shared" si="6"/>
        <v>NLMK IV кв. 2012</v>
      </c>
      <c r="C415">
        <v>2012</v>
      </c>
      <c r="D415">
        <f>SUMIFS(Дивиденды!$C:$C,Дивиденды!$A:$A,A415,Дивиденды!$I:$I,C415)</f>
        <v>0.62</v>
      </c>
      <c r="E415">
        <f>IFERROR(IF(VLOOKUP($B415,Показатели!$E:$W,2,FALSE)=0,"",VLOOKUP($B415,Показатели!$E:$W,2,FALSE)),"")</f>
        <v>29548544012.280445</v>
      </c>
      <c r="F415">
        <f>IFERROR(IF(VLOOKUP($B415,Показатели!$E:$W,3,FALSE)=0,"",VLOOKUP($B415,Показатели!$E:$W,3,FALSE)),"")</f>
        <v>169895422677.10336</v>
      </c>
      <c r="G415">
        <f>IFERROR(IF(VLOOKUP($B415,Показатели!$E:$W,4,FALSE)=0,"",VLOOKUP($B415,Показатели!$E:$W,4,FALSE)),"")</f>
        <v>365087802534.71704</v>
      </c>
      <c r="H415" t="str">
        <f>IFERROR(IF(VLOOKUP($B415,Показатели!$E:$W,5,FALSE)=0,"",VLOOKUP($B415,Показатели!$E:$W,5,FALSE)),"")</f>
        <v/>
      </c>
      <c r="I415">
        <f>IFERROR(IF(VLOOKUP($B415,Показатели!$E:$W,6,FALSE)=0,"",VLOOKUP($B415,Показатели!$E:$W,6,FALSE)),"")</f>
        <v>403449714892.36761</v>
      </c>
      <c r="J415">
        <f>IFERROR(IF(VLOOKUP($B415,Показатели!$E:$W,7,FALSE)=0,"",VLOOKUP($B415,Показатели!$E:$W,7,FALSE)),"")</f>
        <v>102572180433.48041</v>
      </c>
      <c r="K415">
        <f>IFERROR(IF(VLOOKUP($B415,Показатели!$E:$W,8,FALSE)=0,"",VLOOKUP($B415,Показатели!$E:$W,8,FALSE)),"")</f>
        <v>126275763269.46201</v>
      </c>
      <c r="L415" t="str">
        <f>IFERROR(IF(VLOOKUP($B415,Показатели!$E:$W,9,FALSE)=0,"",VLOOKUP($B415,Показатели!$E:$W,9,FALSE)),"")</f>
        <v/>
      </c>
      <c r="M415">
        <f>IFERROR(IF(VLOOKUP($B415,Показатели!$E:$W,10,FALSE)=0,"",VLOOKUP($B415,Показатели!$E:$W,10,FALSE)),"")</f>
        <v>228847943702.94241</v>
      </c>
      <c r="N415">
        <f>IFERROR(IF(VLOOKUP($B415,Показатели!$E:$W,11,FALSE)=0,"",VLOOKUP($B415,Показатели!$E:$W,11,FALSE)),"")</f>
        <v>377619686318.41821</v>
      </c>
      <c r="O415">
        <f>IFERROR(IF(VLOOKUP($B415,Показатели!$E:$W,12,FALSE)=0,"",VLOOKUP($B415,Показатели!$E:$W,12,FALSE)),"")</f>
        <v>89909832233.227539</v>
      </c>
      <c r="P415">
        <f>IFERROR(IF(VLOOKUP($B415,Показатели!$E:$W,13,FALSE)=0,"",VLOOKUP($B415,Показатели!$E:$W,13,FALSE)),"")</f>
        <v>28418535787.204582</v>
      </c>
      <c r="Q415">
        <f>IFERROR(IF(VLOOKUP($B415,Показатели!$E:$W,14,FALSE)=0,"",VLOOKUP($B415,Показатели!$E:$W,14,FALSE)),"")</f>
        <v>18961853616.409184</v>
      </c>
      <c r="R415" t="str">
        <f>IFERROR(IF(VLOOKUP($B415,Показатели!$E:$W,15,FALSE)=0,"",VLOOKUP($B415,Показатели!$E:$W,15,FALSE)),"")</f>
        <v/>
      </c>
      <c r="S415">
        <f>IFERROR(IF(VLOOKUP($B415,Показатели!$E:$W,16,FALSE)=0,"",VLOOKUP($B415,Показатели!$E:$W,16,FALSE)),"")</f>
        <v>59019617011.494225</v>
      </c>
      <c r="T415" t="str">
        <f>IFERROR(IF(VLOOKUP($B415,Показатели!$E:$W,17,FALSE)=0,"",VLOOKUP($B415,Показатели!$E:$W,17,FALSE)),"")</f>
        <v/>
      </c>
      <c r="U415">
        <f>IFERROR(IF(VLOOKUP($B415,Показатели!$E:$W,18,FALSE)=0,"",VLOOKUP($B415,Показатели!$E:$W,18,FALSE)),"")</f>
        <v>344848100922.87695</v>
      </c>
      <c r="V415">
        <f>IFERROR(IF(VLOOKUP($B415,Показатели!$E:$W,19,FALSE)=0,"",VLOOKUP($B415,Показатели!$E:$W,19,FALSE)),"")</f>
        <v>507402988986.18463</v>
      </c>
    </row>
    <row r="416" spans="1:22" x14ac:dyDescent="0.2">
      <c r="A416" s="7" t="s">
        <v>2228</v>
      </c>
      <c r="B416" t="str">
        <f t="shared" si="6"/>
        <v>NLMK IV кв. 2011</v>
      </c>
      <c r="C416">
        <v>2011</v>
      </c>
      <c r="D416">
        <f>SUMIFS(Дивиденды!$C:$C,Дивиденды!$A:$A,A416,Дивиденды!$I:$I,C416)</f>
        <v>2</v>
      </c>
      <c r="E416">
        <f>IFERROR(IF(VLOOKUP($B416,Показатели!$E:$W,2,FALSE)=0,"",VLOOKUP($B416,Показатели!$E:$W,2,FALSE)),"")</f>
        <v>23438709399.911541</v>
      </c>
      <c r="F416">
        <f>IFERROR(IF(VLOOKUP($B416,Показатели!$E:$W,3,FALSE)=0,"",VLOOKUP($B416,Показатели!$E:$W,3,FALSE)),"")</f>
        <v>161824061148.50769</v>
      </c>
      <c r="G416">
        <f>IFERROR(IF(VLOOKUP($B416,Показатели!$E:$W,4,FALSE)=0,"",VLOOKUP($B416,Показатели!$E:$W,4,FALSE)),"")</f>
        <v>310778676665.86157</v>
      </c>
      <c r="H416" t="str">
        <f>IFERROR(IF(VLOOKUP($B416,Показатели!$E:$W,5,FALSE)=0,"",VLOOKUP($B416,Показатели!$E:$W,5,FALSE)),"")</f>
        <v/>
      </c>
      <c r="I416">
        <f>IFERROR(IF(VLOOKUP($B416,Показатели!$E:$W,6,FALSE)=0,"",VLOOKUP($B416,Показатели!$E:$W,6,FALSE)),"")</f>
        <v>507402988986.18463</v>
      </c>
      <c r="J416">
        <f>IFERROR(IF(VLOOKUP($B416,Показатели!$E:$W,7,FALSE)=0,"",VLOOKUP($B416,Показатели!$E:$W,7,FALSE)),"")</f>
        <v>86441276013.41539</v>
      </c>
      <c r="K416">
        <f>IFERROR(IF(VLOOKUP($B416,Показатели!$E:$W,8,FALSE)=0,"",VLOOKUP($B416,Показатели!$E:$W,8,FALSE)),"")</f>
        <v>123845377392.33463</v>
      </c>
      <c r="L416" t="str">
        <f>IFERROR(IF(VLOOKUP($B416,Показатели!$E:$W,9,FALSE)=0,"",VLOOKUP($B416,Показатели!$E:$W,9,FALSE)),"")</f>
        <v/>
      </c>
      <c r="M416">
        <f>IFERROR(IF(VLOOKUP($B416,Показатели!$E:$W,10,FALSE)=0,"",VLOOKUP($B416,Показатели!$E:$W,10,FALSE)),"")</f>
        <v>297116335580.43463</v>
      </c>
      <c r="N416">
        <f>IFERROR(IF(VLOOKUP($B416,Показатели!$E:$W,11,FALSE)=0,"",VLOOKUP($B416,Показатели!$E:$W,11,FALSE)),"")</f>
        <v>344848100922.87695</v>
      </c>
      <c r="O416">
        <f>IFERROR(IF(VLOOKUP($B416,Показатели!$E:$W,12,FALSE)=0,"",VLOOKUP($B416,Показатели!$E:$W,12,FALSE)),"")</f>
        <v>48975017887.719231</v>
      </c>
      <c r="P416">
        <f>IFERROR(IF(VLOOKUP($B416,Показатели!$E:$W,13,FALSE)=0,"",VLOOKUP($B416,Показатели!$E:$W,13,FALSE)),"")</f>
        <v>49459717022.353851</v>
      </c>
      <c r="Q416">
        <f>IFERROR(IF(VLOOKUP($B416,Показатели!$E:$W,14,FALSE)=0,"",VLOOKUP($B416,Показатели!$E:$W,14,FALSE)),"")</f>
        <v>38676021297.946159</v>
      </c>
      <c r="R416" t="str">
        <f>IFERROR(IF(VLOOKUP($B416,Показатели!$E:$W,15,FALSE)=0,"",VLOOKUP($B416,Показатели!$E:$W,15,FALSE)),"")</f>
        <v/>
      </c>
      <c r="S416">
        <f>IFERROR(IF(VLOOKUP($B416,Показатели!$E:$W,16,FALSE)=0,"",VLOOKUP($B416,Показатели!$E:$W,16,FALSE)),"")</f>
        <v>67096355792.307693</v>
      </c>
      <c r="T416" t="str">
        <f>IFERROR(IF(VLOOKUP($B416,Показатели!$E:$W,17,FALSE)=0,"",VLOOKUP($B416,Показатели!$E:$W,17,FALSE)),"")</f>
        <v/>
      </c>
      <c r="U416" t="str">
        <f>IFERROR(IF(VLOOKUP($B416,Показатели!$E:$W,18,FALSE)=0,"",VLOOKUP($B416,Показатели!$E:$W,18,FALSE)),"")</f>
        <v/>
      </c>
      <c r="V416" t="str">
        <f>IFERROR(IF(VLOOKUP($B416,Показатели!$E:$W,19,FALSE)=0,"",VLOOKUP($B416,Показатели!$E:$W,19,FALSE)),"")</f>
        <v/>
      </c>
    </row>
    <row r="417" spans="1:22" x14ac:dyDescent="0.2">
      <c r="A417" s="7" t="s">
        <v>2228</v>
      </c>
      <c r="B417" t="str">
        <f t="shared" si="6"/>
        <v>NLMK IV кв. 2010</v>
      </c>
      <c r="C417">
        <v>2010</v>
      </c>
      <c r="D417">
        <f>SUMIFS(Дивиденды!$C:$C,Дивиденды!$A:$A,A417,Дивиденды!$I:$I,C417)</f>
        <v>1.8199999999999998</v>
      </c>
      <c r="E417" t="str">
        <f>IFERROR(IF(VLOOKUP($B417,Показатели!$E:$W,2,FALSE)=0,"",VLOOKUP($B417,Показатели!$E:$W,2,FALSE)),"")</f>
        <v/>
      </c>
      <c r="F417" t="str">
        <f>IFERROR(IF(VLOOKUP($B417,Показатели!$E:$W,3,FALSE)=0,"",VLOOKUP($B417,Показатели!$E:$W,3,FALSE)),"")</f>
        <v/>
      </c>
      <c r="G417" t="str">
        <f>IFERROR(IF(VLOOKUP($B417,Показатели!$E:$W,4,FALSE)=0,"",VLOOKUP($B417,Показатели!$E:$W,4,FALSE)),"")</f>
        <v/>
      </c>
      <c r="H417" t="str">
        <f>IFERROR(IF(VLOOKUP($B417,Показатели!$E:$W,5,FALSE)=0,"",VLOOKUP($B417,Показатели!$E:$W,5,FALSE)),"")</f>
        <v/>
      </c>
      <c r="I417" t="str">
        <f>IFERROR(IF(VLOOKUP($B417,Показатели!$E:$W,6,FALSE)=0,"",VLOOKUP($B417,Показатели!$E:$W,6,FALSE)),"")</f>
        <v/>
      </c>
      <c r="J417" t="str">
        <f>IFERROR(IF(VLOOKUP($B417,Показатели!$E:$W,7,FALSE)=0,"",VLOOKUP($B417,Показатели!$E:$W,7,FALSE)),"")</f>
        <v/>
      </c>
      <c r="K417" t="str">
        <f>IFERROR(IF(VLOOKUP($B417,Показатели!$E:$W,8,FALSE)=0,"",VLOOKUP($B417,Показатели!$E:$W,8,FALSE)),"")</f>
        <v/>
      </c>
      <c r="L417" t="str">
        <f>IFERROR(IF(VLOOKUP($B417,Показатели!$E:$W,9,FALSE)=0,"",VLOOKUP($B417,Показатели!$E:$W,9,FALSE)),"")</f>
        <v/>
      </c>
      <c r="M417" t="str">
        <f>IFERROR(IF(VLOOKUP($B417,Показатели!$E:$W,10,FALSE)=0,"",VLOOKUP($B417,Показатели!$E:$W,10,FALSE)),"")</f>
        <v/>
      </c>
      <c r="N417" t="str">
        <f>IFERROR(IF(VLOOKUP($B417,Показатели!$E:$W,11,FALSE)=0,"",VLOOKUP($B417,Показатели!$E:$W,11,FALSE)),"")</f>
        <v/>
      </c>
      <c r="O417" t="str">
        <f>IFERROR(IF(VLOOKUP($B417,Показатели!$E:$W,12,FALSE)=0,"",VLOOKUP($B417,Показатели!$E:$W,12,FALSE)),"")</f>
        <v/>
      </c>
      <c r="P417" t="str">
        <f>IFERROR(IF(VLOOKUP($B417,Показатели!$E:$W,13,FALSE)=0,"",VLOOKUP($B417,Показатели!$E:$W,13,FALSE)),"")</f>
        <v/>
      </c>
      <c r="Q417" t="str">
        <f>IFERROR(IF(VLOOKUP($B417,Показатели!$E:$W,14,FALSE)=0,"",VLOOKUP($B417,Показатели!$E:$W,14,FALSE)),"")</f>
        <v/>
      </c>
      <c r="R417" t="str">
        <f>IFERROR(IF(VLOOKUP($B417,Показатели!$E:$W,15,FALSE)=0,"",VLOOKUP($B417,Показатели!$E:$W,15,FALSE)),"")</f>
        <v/>
      </c>
      <c r="S417" t="str">
        <f>IFERROR(IF(VLOOKUP($B417,Показатели!$E:$W,16,FALSE)=0,"",VLOOKUP($B417,Показатели!$E:$W,16,FALSE)),"")</f>
        <v/>
      </c>
      <c r="T417" t="str">
        <f>IFERROR(IF(VLOOKUP($B417,Показатели!$E:$W,17,FALSE)=0,"",VLOOKUP($B417,Показатели!$E:$W,17,FALSE)),"")</f>
        <v/>
      </c>
      <c r="U417" t="str">
        <f>IFERROR(IF(VLOOKUP($B417,Показатели!$E:$W,18,FALSE)=0,"",VLOOKUP($B417,Показатели!$E:$W,18,FALSE)),"")</f>
        <v/>
      </c>
      <c r="V417" t="str">
        <f>IFERROR(IF(VLOOKUP($B417,Показатели!$E:$W,19,FALSE)=0,"",VLOOKUP($B417,Показатели!$E:$W,19,FALSE)),"")</f>
        <v/>
      </c>
    </row>
    <row r="418" spans="1:22" x14ac:dyDescent="0.2">
      <c r="A418" s="7" t="s">
        <v>2231</v>
      </c>
      <c r="B418" t="str">
        <f t="shared" si="6"/>
        <v>PLZL IV кв. 2025</v>
      </c>
      <c r="C418">
        <v>2025</v>
      </c>
      <c r="D418">
        <f>SUMIFS(Дивиденды!$C:$C,Дивиденды!$A:$A,A418,Дивиденды!$I:$I,C418)</f>
        <v>106.85</v>
      </c>
      <c r="E418">
        <f>IFERROR(IF(VLOOKUP($B418,Показатели!$E:$W,2,FALSE)=0,"",VLOOKUP($B418,Показатели!$E:$W,2,FALSE)),"")</f>
        <v>139061000000</v>
      </c>
      <c r="F418">
        <f>IFERROR(IF(VLOOKUP($B418,Показатели!$E:$W,3,FALSE)=0,"",VLOOKUP($B418,Показатели!$E:$W,3,FALSE)),"")</f>
        <v>405585000000</v>
      </c>
      <c r="G418">
        <f>IFERROR(IF(VLOOKUP($B418,Показатели!$E:$W,4,FALSE)=0,"",VLOOKUP($B418,Показатели!$E:$W,4,FALSE)),"")</f>
        <v>690010000000</v>
      </c>
      <c r="H418">
        <f>IFERROR(IF(VLOOKUP($B418,Показатели!$E:$W,5,FALSE)=0,"",VLOOKUP($B418,Показатели!$E:$W,5,FALSE)),"")</f>
        <v>9668000000</v>
      </c>
      <c r="I418">
        <f>IFERROR(IF(VLOOKUP($B418,Показатели!$E:$W,6,FALSE)=0,"",VLOOKUP($B418,Показатели!$E:$W,6,FALSE)),"")</f>
        <v>1250409000000</v>
      </c>
      <c r="J418">
        <f>IFERROR(IF(VLOOKUP($B418,Показатели!$E:$W,7,FALSE)=0,"",VLOOKUP($B418,Показатели!$E:$W,7,FALSE)),"")</f>
        <v>91361000000</v>
      </c>
      <c r="K418">
        <f>IFERROR(IF(VLOOKUP($B418,Показатели!$E:$W,8,FALSE)=0,"",VLOOKUP($B418,Показатели!$E:$W,8,FALSE)),"")</f>
        <v>887129000000</v>
      </c>
      <c r="L418">
        <f>IFERROR(IF(VLOOKUP($B418,Показатели!$E:$W,9,FALSE)=0,"",VLOOKUP($B418,Показатели!$E:$W,9,FALSE)),"")</f>
        <v>756307000000</v>
      </c>
      <c r="M418">
        <f>IFERROR(IF(VLOOKUP($B418,Показатели!$E:$W,10,FALSE)=0,"",VLOOKUP($B418,Показатели!$E:$W,10,FALSE)),"")</f>
        <v>271919000000</v>
      </c>
      <c r="N418">
        <f>IFERROR(IF(VLOOKUP($B418,Показатели!$E:$W,11,FALSE)=0,"",VLOOKUP($B418,Показатели!$E:$W,11,FALSE)),"")</f>
        <v>712773000000</v>
      </c>
      <c r="O418">
        <f>IFERROR(IF(VLOOKUP($B418,Показатели!$E:$W,12,FALSE)=0,"",VLOOKUP($B418,Показатели!$E:$W,12,FALSE)),"")</f>
        <v>418055000000</v>
      </c>
      <c r="P418">
        <f>IFERROR(IF(VLOOKUP($B418,Показатели!$E:$W,13,FALSE)=0,"",VLOOKUP($B418,Показатели!$E:$W,13,FALSE)),"")</f>
        <v>428282000000</v>
      </c>
      <c r="Q418">
        <f>IFERROR(IF(VLOOKUP($B418,Показатели!$E:$W,14,FALSE)=0,"",VLOOKUP($B418,Показатели!$E:$W,14,FALSE)),"")</f>
        <v>314142000000</v>
      </c>
      <c r="R418">
        <f>IFERROR(IF(VLOOKUP($B418,Показатели!$E:$W,15,FALSE)=0,"",VLOOKUP($B418,Показатели!$E:$W,15,FALSE)),"")</f>
        <v>44306000000</v>
      </c>
      <c r="S418">
        <f>IFERROR(IF(VLOOKUP($B418,Показатели!$E:$W,16,FALSE)=0,"",VLOOKUP($B418,Показатели!$E:$W,16,FALSE)),"")</f>
        <v>517793000000</v>
      </c>
      <c r="T418">
        <f>IFERROR(IF(VLOOKUP($B418,Показатели!$E:$W,17,FALSE)=0,"",VLOOKUP($B418,Показатели!$E:$W,17,FALSE)),"")</f>
        <v>-215464000000</v>
      </c>
      <c r="U418">
        <f>IFERROR(IF(VLOOKUP($B418,Показатели!$E:$W,18,FALSE)=0,"",VLOOKUP($B418,Показатели!$E:$W,18,FALSE)),"")</f>
        <v>694768000000</v>
      </c>
      <c r="V418">
        <f>IFERROR(IF(VLOOKUP($B418,Показатели!$E:$W,19,FALSE)=0,"",VLOOKUP($B418,Показатели!$E:$W,19,FALSE)),"")</f>
        <v>1151895000000</v>
      </c>
    </row>
    <row r="419" spans="1:22" x14ac:dyDescent="0.2">
      <c r="A419" s="7" t="s">
        <v>2231</v>
      </c>
      <c r="B419" t="str">
        <f t="shared" si="6"/>
        <v>PLZL IV кв. 2024</v>
      </c>
      <c r="C419">
        <v>2024</v>
      </c>
      <c r="D419">
        <f>SUMIFS(Дивиденды!$C:$C,Дивиденды!$A:$A,A419,Дивиденды!$I:$I,C419)</f>
        <v>203.18</v>
      </c>
      <c r="E419">
        <f>IFERROR(IF(VLOOKUP($B419,Показатели!$E:$W,2,FALSE)=0,"",VLOOKUP($B419,Показатели!$E:$W,2,FALSE)),"")</f>
        <v>160387000000</v>
      </c>
      <c r="F419">
        <f>IFERROR(IF(VLOOKUP($B419,Показатели!$E:$W,3,FALSE)=0,"",VLOOKUP($B419,Показатели!$E:$W,3,FALSE)),"")</f>
        <v>490222000000</v>
      </c>
      <c r="G419">
        <f>IFERROR(IF(VLOOKUP($B419,Показатели!$E:$W,4,FALSE)=0,"",VLOOKUP($B419,Показатели!$E:$W,4,FALSE)),"")</f>
        <v>519583000000</v>
      </c>
      <c r="H419">
        <f>IFERROR(IF(VLOOKUP($B419,Показатели!$E:$W,5,FALSE)=0,"",VLOOKUP($B419,Показатели!$E:$W,5,FALSE)),"")</f>
        <v>8856000000</v>
      </c>
      <c r="I419">
        <f>IFERROR(IF(VLOOKUP($B419,Показатели!$E:$W,6,FALSE)=0,"",VLOOKUP($B419,Показатели!$E:$W,6,FALSE)),"")</f>
        <v>1151895000000</v>
      </c>
      <c r="J419">
        <f>IFERROR(IF(VLOOKUP($B419,Показатели!$E:$W,7,FALSE)=0,"",VLOOKUP($B419,Показатели!$E:$W,7,FALSE)),"")</f>
        <v>105502000000</v>
      </c>
      <c r="K419">
        <f>IFERROR(IF(VLOOKUP($B419,Показатели!$E:$W,8,FALSE)=0,"",VLOOKUP($B419,Показатели!$E:$W,8,FALSE)),"")</f>
        <v>919378000000</v>
      </c>
      <c r="L419">
        <f>IFERROR(IF(VLOOKUP($B419,Показатели!$E:$W,9,FALSE)=0,"",VLOOKUP($B419,Показатели!$E:$W,9,FALSE)),"")</f>
        <v>612781000000</v>
      </c>
      <c r="M419">
        <f>IFERROR(IF(VLOOKUP($B419,Показатели!$E:$W,10,FALSE)=0,"",VLOOKUP($B419,Показатели!$E:$W,10,FALSE)),"")</f>
        <v>127015000000</v>
      </c>
      <c r="N419">
        <f>IFERROR(IF(VLOOKUP($B419,Показатели!$E:$W,11,FALSE)=0,"",VLOOKUP($B419,Показатели!$E:$W,11,FALSE)),"")</f>
        <v>694768000000</v>
      </c>
      <c r="O419">
        <f>IFERROR(IF(VLOOKUP($B419,Показатели!$E:$W,12,FALSE)=0,"",VLOOKUP($B419,Показатели!$E:$W,12,FALSE)),"")</f>
        <v>451024000000</v>
      </c>
      <c r="P419">
        <f>IFERROR(IF(VLOOKUP($B419,Показатели!$E:$W,13,FALSE)=0,"",VLOOKUP($B419,Показатели!$E:$W,13,FALSE)),"")</f>
        <v>377062000000</v>
      </c>
      <c r="Q419">
        <f>IFERROR(IF(VLOOKUP($B419,Показатели!$E:$W,14,FALSE)=0,"",VLOOKUP($B419,Показатели!$E:$W,14,FALSE)),"")</f>
        <v>305538000000</v>
      </c>
      <c r="R419">
        <f>IFERROR(IF(VLOOKUP($B419,Показатели!$E:$W,15,FALSE)=0,"",VLOOKUP($B419,Показатели!$E:$W,15,FALSE)),"")</f>
        <v>45259000000</v>
      </c>
      <c r="S419">
        <f>IFERROR(IF(VLOOKUP($B419,Показатели!$E:$W,16,FALSE)=0,"",VLOOKUP($B419,Показатели!$E:$W,16,FALSE)),"")</f>
        <v>538690000000</v>
      </c>
      <c r="T419">
        <f>IFERROR(IF(VLOOKUP($B419,Показатели!$E:$W,17,FALSE)=0,"",VLOOKUP($B419,Показатели!$E:$W,17,FALSE)),"")</f>
        <v>-137757000000</v>
      </c>
      <c r="U419">
        <f>IFERROR(IF(VLOOKUP($B419,Показатели!$E:$W,18,FALSE)=0,"",VLOOKUP($B419,Показатели!$E:$W,18,FALSE)),"")</f>
        <v>469607000000</v>
      </c>
      <c r="V419">
        <f>IFERROR(IF(VLOOKUP($B419,Показатели!$E:$W,19,FALSE)=0,"",VLOOKUP($B419,Показатели!$E:$W,19,FALSE)),"")</f>
        <v>832800000000</v>
      </c>
    </row>
    <row r="420" spans="1:22" x14ac:dyDescent="0.2">
      <c r="A420" s="7" t="s">
        <v>2231</v>
      </c>
      <c r="B420" t="str">
        <f t="shared" si="6"/>
        <v>PLZL IV кв. 2023</v>
      </c>
      <c r="C420">
        <v>2023</v>
      </c>
      <c r="D420">
        <f>SUMIFS(Дивиденды!$C:$C,Дивиденды!$A:$A,A420,Дивиденды!$I:$I,C420)</f>
        <v>0</v>
      </c>
      <c r="E420">
        <f>IFERROR(IF(VLOOKUP($B420,Показатели!$E:$W,2,FALSE)=0,"",VLOOKUP($B420,Показатели!$E:$W,2,FALSE)),"")</f>
        <v>153437000000</v>
      </c>
      <c r="F420">
        <f>IFERROR(IF(VLOOKUP($B420,Показатели!$E:$W,3,FALSE)=0,"",VLOOKUP($B420,Показатели!$E:$W,3,FALSE)),"")</f>
        <v>276556000000</v>
      </c>
      <c r="G420">
        <f>IFERROR(IF(VLOOKUP($B420,Показатели!$E:$W,4,FALSE)=0,"",VLOOKUP($B420,Показатели!$E:$W,4,FALSE)),"")</f>
        <v>439386000000</v>
      </c>
      <c r="H420">
        <f>IFERROR(IF(VLOOKUP($B420,Показатели!$E:$W,5,FALSE)=0,"",VLOOKUP($B420,Показатели!$E:$W,5,FALSE)),"")</f>
        <v>10965000000</v>
      </c>
      <c r="I420">
        <f>IFERROR(IF(VLOOKUP($B420,Показатели!$E:$W,6,FALSE)=0,"",VLOOKUP($B420,Показатели!$E:$W,6,FALSE)),"")</f>
        <v>832800000000</v>
      </c>
      <c r="J420">
        <f>IFERROR(IF(VLOOKUP($B420,Показатели!$E:$W,7,FALSE)=0,"",VLOOKUP($B420,Показатели!$E:$W,7,FALSE)),"")</f>
        <v>134084000000</v>
      </c>
      <c r="K420">
        <f>IFERROR(IF(VLOOKUP($B420,Показатели!$E:$W,8,FALSE)=0,"",VLOOKUP($B420,Показатели!$E:$W,8,FALSE)),"")</f>
        <v>754872000000</v>
      </c>
      <c r="L420">
        <f>IFERROR(IF(VLOOKUP($B420,Показатели!$E:$W,9,FALSE)=0,"",VLOOKUP($B420,Показатели!$E:$W,9,FALSE)),"")</f>
        <v>432942000000</v>
      </c>
      <c r="M420">
        <f>IFERROR(IF(VLOOKUP($B420,Показатели!$E:$W,10,FALSE)=0,"",VLOOKUP($B420,Показатели!$E:$W,10,FALSE)),"")</f>
        <v>-56156000000</v>
      </c>
      <c r="N420">
        <f>IFERROR(IF(VLOOKUP($B420,Показатели!$E:$W,11,FALSE)=0,"",VLOOKUP($B420,Показатели!$E:$W,11,FALSE)),"")</f>
        <v>469607000000</v>
      </c>
      <c r="O420">
        <f>IFERROR(IF(VLOOKUP($B420,Показатели!$E:$W,12,FALSE)=0,"",VLOOKUP($B420,Показатели!$E:$W,12,FALSE)),"")</f>
        <v>275455000000</v>
      </c>
      <c r="P420">
        <f>IFERROR(IF(VLOOKUP($B420,Показатели!$E:$W,13,FALSE)=0,"",VLOOKUP($B420,Показатели!$E:$W,13,FALSE)),"")</f>
        <v>186798000000</v>
      </c>
      <c r="Q420">
        <f>IFERROR(IF(VLOOKUP($B420,Показатели!$E:$W,14,FALSE)=0,"",VLOOKUP($B420,Показатели!$E:$W,14,FALSE)),"")</f>
        <v>151390000000</v>
      </c>
      <c r="R420">
        <f>IFERROR(IF(VLOOKUP($B420,Показатели!$E:$W,15,FALSE)=0,"",VLOOKUP($B420,Показатели!$E:$W,15,FALSE)),"")</f>
        <v>41376000000</v>
      </c>
      <c r="S420">
        <f>IFERROR(IF(VLOOKUP($B420,Показатели!$E:$W,16,FALSE)=0,"",VLOOKUP($B420,Показатели!$E:$W,16,FALSE)),"")</f>
        <v>336443000000</v>
      </c>
      <c r="T420">
        <f>IFERROR(IF(VLOOKUP($B420,Показатели!$E:$W,17,FALSE)=0,"",VLOOKUP($B420,Показатели!$E:$W,17,FALSE)),"")</f>
        <v>-102655000000</v>
      </c>
      <c r="U420">
        <f>IFERROR(IF(VLOOKUP($B420,Показатели!$E:$W,18,FALSE)=0,"",VLOOKUP($B420,Показатели!$E:$W,18,FALSE)),"")</f>
        <v>294067000000</v>
      </c>
      <c r="V420">
        <f>IFERROR(IF(VLOOKUP($B420,Показатели!$E:$W,19,FALSE)=0,"",VLOOKUP($B420,Показатели!$E:$W,19,FALSE)),"")</f>
        <v>699209000000</v>
      </c>
    </row>
    <row r="421" spans="1:22" x14ac:dyDescent="0.2">
      <c r="A421" s="7" t="s">
        <v>2231</v>
      </c>
      <c r="B421" t="str">
        <f t="shared" si="6"/>
        <v>PLZL IV кв. 2022</v>
      </c>
      <c r="C421">
        <v>2022</v>
      </c>
      <c r="D421">
        <f>SUMIFS(Дивиденды!$C:$C,Дивиденды!$A:$A,A421,Дивиденды!$I:$I,C421)</f>
        <v>0</v>
      </c>
      <c r="E421">
        <f>IFERROR(IF(VLOOKUP($B421,Показатели!$E:$W,2,FALSE)=0,"",VLOOKUP($B421,Показатели!$E:$W,2,FALSE)),"")</f>
        <v>92614000000</v>
      </c>
      <c r="F421">
        <f>IFERROR(IF(VLOOKUP($B421,Показатели!$E:$W,3,FALSE)=0,"",VLOOKUP($B421,Показатели!$E:$W,3,FALSE)),"")</f>
        <v>189860000000</v>
      </c>
      <c r="G421">
        <f>IFERROR(IF(VLOOKUP($B421,Показатели!$E:$W,4,FALSE)=0,"",VLOOKUP($B421,Показатели!$E:$W,4,FALSE)),"")</f>
        <v>405931000000</v>
      </c>
      <c r="H421">
        <f>IFERROR(IF(VLOOKUP($B421,Показатели!$E:$W,5,FALSE)=0,"",VLOOKUP($B421,Показатели!$E:$W,5,FALSE)),"")</f>
        <v>13425000000</v>
      </c>
      <c r="I421">
        <f>IFERROR(IF(VLOOKUP($B421,Показатели!$E:$W,6,FALSE)=0,"",VLOOKUP($B421,Показатели!$E:$W,6,FALSE)),"")</f>
        <v>699209000000</v>
      </c>
      <c r="J421">
        <f>IFERROR(IF(VLOOKUP($B421,Показатели!$E:$W,7,FALSE)=0,"",VLOOKUP($B421,Показатели!$E:$W,7,FALSE)),"")</f>
        <v>58113000000</v>
      </c>
      <c r="K421">
        <f>IFERROR(IF(VLOOKUP($B421,Показатели!$E:$W,8,FALSE)=0,"",VLOOKUP($B421,Показатели!$E:$W,8,FALSE)),"")</f>
        <v>268107000000</v>
      </c>
      <c r="L421">
        <f>IFERROR(IF(VLOOKUP($B421,Показатели!$E:$W,9,FALSE)=0,"",VLOOKUP($B421,Показатели!$E:$W,9,FALSE)),"")</f>
        <v>281693000000</v>
      </c>
      <c r="M421">
        <f>IFERROR(IF(VLOOKUP($B421,Показатели!$E:$W,10,FALSE)=0,"",VLOOKUP($B421,Показатели!$E:$W,10,FALSE)),"")</f>
        <v>372989000000</v>
      </c>
      <c r="N421">
        <f>IFERROR(IF(VLOOKUP($B421,Показатели!$E:$W,11,FALSE)=0,"",VLOOKUP($B421,Показатели!$E:$W,11,FALSE)),"")</f>
        <v>294067000000</v>
      </c>
      <c r="O421">
        <f>IFERROR(IF(VLOOKUP($B421,Показатели!$E:$W,12,FALSE)=0,"",VLOOKUP($B421,Показатели!$E:$W,12,FALSE)),"")</f>
        <v>137191000000</v>
      </c>
      <c r="P421">
        <f>IFERROR(IF(VLOOKUP($B421,Показатели!$E:$W,13,FALSE)=0,"",VLOOKUP($B421,Показатели!$E:$W,13,FALSE)),"")</f>
        <v>136625000000</v>
      </c>
      <c r="Q421">
        <f>IFERROR(IF(VLOOKUP($B421,Показатели!$E:$W,14,FALSE)=0,"",VLOOKUP($B421,Показатели!$E:$W,14,FALSE)),"")</f>
        <v>111849000000</v>
      </c>
      <c r="R421">
        <f>IFERROR(IF(VLOOKUP($B421,Показатели!$E:$W,15,FALSE)=0,"",VLOOKUP($B421,Показатели!$E:$W,15,FALSE)),"")</f>
        <v>29814000000</v>
      </c>
      <c r="S421">
        <f>IFERROR(IF(VLOOKUP($B421,Показатели!$E:$W,16,FALSE)=0,"",VLOOKUP($B421,Показатели!$E:$W,16,FALSE)),"")</f>
        <v>182869000000</v>
      </c>
      <c r="T421">
        <f>IFERROR(IF(VLOOKUP($B421,Показатели!$E:$W,17,FALSE)=0,"",VLOOKUP($B421,Показатели!$E:$W,17,FALSE)),"")</f>
        <v>-90744000000</v>
      </c>
      <c r="U421">
        <f>IFERROR(IF(VLOOKUP($B421,Показатели!$E:$W,18,FALSE)=0,"",VLOOKUP($B421,Показатели!$E:$W,18,FALSE)),"")</f>
        <v>365178000000</v>
      </c>
      <c r="V421">
        <f>IFERROR(IF(VLOOKUP($B421,Показатели!$E:$W,19,FALSE)=0,"",VLOOKUP($B421,Показатели!$E:$W,19,FALSE)),"")</f>
        <v>595137000000</v>
      </c>
    </row>
    <row r="422" spans="1:22" x14ac:dyDescent="0.2">
      <c r="A422" s="7" t="s">
        <v>2231</v>
      </c>
      <c r="B422" t="str">
        <f t="shared" si="6"/>
        <v>PLZL IV кв. 2021</v>
      </c>
      <c r="C422">
        <v>2021</v>
      </c>
      <c r="D422">
        <f>SUMIFS(Дивиденды!$C:$C,Дивиденды!$A:$A,A422,Дивиденды!$I:$I,C422)</f>
        <v>26.75</v>
      </c>
      <c r="E422">
        <f>IFERROR(IF(VLOOKUP($B422,Показатели!$E:$W,2,FALSE)=0,"",VLOOKUP($B422,Показатели!$E:$W,2,FALSE)),"")</f>
        <v>99774000000</v>
      </c>
      <c r="F422">
        <f>IFERROR(IF(VLOOKUP($B422,Показатели!$E:$W,3,FALSE)=0,"",VLOOKUP($B422,Показатели!$E:$W,3,FALSE)),"")</f>
        <v>167107000000</v>
      </c>
      <c r="G422">
        <f>IFERROR(IF(VLOOKUP($B422,Показатели!$E:$W,4,FALSE)=0,"",VLOOKUP($B422,Показатели!$E:$W,4,FALSE)),"")</f>
        <v>355814000000</v>
      </c>
      <c r="H422">
        <f>IFERROR(IF(VLOOKUP($B422,Показатели!$E:$W,5,FALSE)=0,"",VLOOKUP($B422,Показатели!$E:$W,5,FALSE)),"")</f>
        <v>11982000000</v>
      </c>
      <c r="I422">
        <f>IFERROR(IF(VLOOKUP($B422,Показатели!$E:$W,6,FALSE)=0,"",VLOOKUP($B422,Показатели!$E:$W,6,FALSE)),"")</f>
        <v>595137000000</v>
      </c>
      <c r="J422">
        <f>IFERROR(IF(VLOOKUP($B422,Показатели!$E:$W,7,FALSE)=0,"",VLOOKUP($B422,Показатели!$E:$W,7,FALSE)),"")</f>
        <v>75445000000</v>
      </c>
      <c r="K422">
        <f>IFERROR(IF(VLOOKUP($B422,Показатели!$E:$W,8,FALSE)=0,"",VLOOKUP($B422,Показатели!$E:$W,8,FALSE)),"")</f>
        <v>259714000000</v>
      </c>
      <c r="L422">
        <f>IFERROR(IF(VLOOKUP($B422,Показатели!$E:$W,9,FALSE)=0,"",VLOOKUP($B422,Показатели!$E:$W,9,FALSE)),"")</f>
        <v>172812000000</v>
      </c>
      <c r="M422">
        <f>IFERROR(IF(VLOOKUP($B422,Показатели!$E:$W,10,FALSE)=0,"",VLOOKUP($B422,Показатели!$E:$W,10,FALSE)),"")</f>
        <v>259978000000</v>
      </c>
      <c r="N422">
        <f>IFERROR(IF(VLOOKUP($B422,Показатели!$E:$W,11,FALSE)=0,"",VLOOKUP($B422,Показатели!$E:$W,11,FALSE)),"")</f>
        <v>365178000000</v>
      </c>
      <c r="O422">
        <f>IFERROR(IF(VLOOKUP($B422,Показатели!$E:$W,12,FALSE)=0,"",VLOOKUP($B422,Показатели!$E:$W,12,FALSE)),"")</f>
        <v>217491000000</v>
      </c>
      <c r="P422">
        <f>IFERROR(IF(VLOOKUP($B422,Показатели!$E:$W,13,FALSE)=0,"",VLOOKUP($B422,Показатели!$E:$W,13,FALSE)),"")</f>
        <v>202788000000</v>
      </c>
      <c r="Q422">
        <f>IFERROR(IF(VLOOKUP($B422,Показатели!$E:$W,14,FALSE)=0,"",VLOOKUP($B422,Показатели!$E:$W,14,FALSE)),"")</f>
        <v>167421000000</v>
      </c>
      <c r="R422">
        <f>IFERROR(IF(VLOOKUP($B422,Показатели!$E:$W,15,FALSE)=0,"",VLOOKUP($B422,Показатели!$E:$W,15,FALSE)),"")</f>
        <v>26298000000</v>
      </c>
      <c r="S422">
        <f>IFERROR(IF(VLOOKUP($B422,Показатели!$E:$W,16,FALSE)=0,"",VLOOKUP($B422,Показатели!$E:$W,16,FALSE)),"")</f>
        <v>258610000000</v>
      </c>
      <c r="T422">
        <f>IFERROR(IF(VLOOKUP($B422,Показатели!$E:$W,17,FALSE)=0,"",VLOOKUP($B422,Показатели!$E:$W,17,FALSE)),"")</f>
        <v>-83103000000</v>
      </c>
      <c r="U422">
        <f>IFERROR(IF(VLOOKUP($B422,Показатели!$E:$W,18,FALSE)=0,"",VLOOKUP($B422,Показатели!$E:$W,18,FALSE)),"")</f>
        <v>364216000000</v>
      </c>
      <c r="V422">
        <f>IFERROR(IF(VLOOKUP($B422,Показатели!$E:$W,19,FALSE)=0,"",VLOOKUP($B422,Показатели!$E:$W,19,FALSE)),"")</f>
        <v>538877000000</v>
      </c>
    </row>
    <row r="423" spans="1:22" x14ac:dyDescent="0.2">
      <c r="A423" s="7" t="s">
        <v>2231</v>
      </c>
      <c r="B423" t="str">
        <f t="shared" si="6"/>
        <v>PLZL IV кв. 2020</v>
      </c>
      <c r="C423">
        <v>2020</v>
      </c>
      <c r="D423">
        <f>SUMIFS(Дивиденды!$C:$C,Дивиденды!$A:$A,A423,Дивиденды!$I:$I,C423)</f>
        <v>62.739999999999995</v>
      </c>
      <c r="E423">
        <f>IFERROR(IF(VLOOKUP($B423,Показатели!$E:$W,2,FALSE)=0,"",VLOOKUP($B423,Показатели!$E:$W,2,FALSE)),"")</f>
        <v>106777000000</v>
      </c>
      <c r="F423">
        <f>IFERROR(IF(VLOOKUP($B423,Показатели!$E:$W,3,FALSE)=0,"",VLOOKUP($B423,Показатели!$E:$W,3,FALSE)),"")</f>
        <v>174986000000</v>
      </c>
      <c r="G423">
        <f>IFERROR(IF(VLOOKUP($B423,Показатели!$E:$W,4,FALSE)=0,"",VLOOKUP($B423,Показатели!$E:$W,4,FALSE)),"")</f>
        <v>304427000000</v>
      </c>
      <c r="H423">
        <f>IFERROR(IF(VLOOKUP($B423,Показатели!$E:$W,5,FALSE)=0,"",VLOOKUP($B423,Показатели!$E:$W,5,FALSE)),"")</f>
        <v>9765000000</v>
      </c>
      <c r="I423">
        <f>IFERROR(IF(VLOOKUP($B423,Показатели!$E:$W,6,FALSE)=0,"",VLOOKUP($B423,Показатели!$E:$W,6,FALSE)),"")</f>
        <v>538877000000</v>
      </c>
      <c r="J423">
        <f>IFERROR(IF(VLOOKUP($B423,Показатели!$E:$W,7,FALSE)=0,"",VLOOKUP($B423,Показатели!$E:$W,7,FALSE)),"")</f>
        <v>59857000000</v>
      </c>
      <c r="K423">
        <f>IFERROR(IF(VLOOKUP($B423,Показатели!$E:$W,8,FALSE)=0,"",VLOOKUP($B423,Показатели!$E:$W,8,FALSE)),"")</f>
        <v>298360000000</v>
      </c>
      <c r="L423">
        <f>IFERROR(IF(VLOOKUP($B423,Показатели!$E:$W,9,FALSE)=0,"",VLOOKUP($B423,Показатели!$E:$W,9,FALSE)),"")</f>
        <v>93390000000</v>
      </c>
      <c r="M423">
        <f>IFERROR(IF(VLOOKUP($B423,Показатели!$E:$W,10,FALSE)=0,"",VLOOKUP($B423,Показатели!$E:$W,10,FALSE)),"")</f>
        <v>180660000000</v>
      </c>
      <c r="N423">
        <f>IFERROR(IF(VLOOKUP($B423,Показатели!$E:$W,11,FALSE)=0,"",VLOOKUP($B423,Показатели!$E:$W,11,FALSE)),"")</f>
        <v>364216000000</v>
      </c>
      <c r="O423">
        <f>IFERROR(IF(VLOOKUP($B423,Показатели!$E:$W,12,FALSE)=0,"",VLOOKUP($B423,Показатели!$E:$W,12,FALSE)),"")</f>
        <v>224065000000</v>
      </c>
      <c r="P423">
        <f>IFERROR(IF(VLOOKUP($B423,Показатели!$E:$W,13,FALSE)=0,"",VLOOKUP($B423,Показатели!$E:$W,13,FALSE)),"")</f>
        <v>153672000000</v>
      </c>
      <c r="Q423">
        <f>IFERROR(IF(VLOOKUP($B423,Показатели!$E:$W,14,FALSE)=0,"",VLOOKUP($B423,Показатели!$E:$W,14,FALSE)),"")</f>
        <v>122628000000</v>
      </c>
      <c r="R423">
        <f>IFERROR(IF(VLOOKUP($B423,Показатели!$E:$W,15,FALSE)=0,"",VLOOKUP($B423,Показатели!$E:$W,15,FALSE)),"")</f>
        <v>25174000000</v>
      </c>
      <c r="S423">
        <f>IFERROR(IF(VLOOKUP($B423,Показатели!$E:$W,16,FALSE)=0,"",VLOOKUP($B423,Показатели!$E:$W,16,FALSE)),"")</f>
        <v>269512000000</v>
      </c>
      <c r="T423">
        <f>IFERROR(IF(VLOOKUP($B423,Показатели!$E:$W,17,FALSE)=0,"",VLOOKUP($B423,Показатели!$E:$W,17,FALSE)),"")</f>
        <v>-56012000000</v>
      </c>
      <c r="U423">
        <f>IFERROR(IF(VLOOKUP($B423,Показатели!$E:$W,18,FALSE)=0,"",VLOOKUP($B423,Показатели!$E:$W,18,FALSE)),"")</f>
        <v>257760000000</v>
      </c>
      <c r="V423">
        <f>IFERROR(IF(VLOOKUP($B423,Показатели!$E:$W,19,FALSE)=0,"",VLOOKUP($B423,Показатели!$E:$W,19,FALSE)),"")</f>
        <v>515480000000</v>
      </c>
    </row>
    <row r="424" spans="1:22" x14ac:dyDescent="0.2">
      <c r="A424" s="7" t="s">
        <v>2231</v>
      </c>
      <c r="B424" t="str">
        <f t="shared" si="6"/>
        <v>PLZL IV кв. 2019</v>
      </c>
      <c r="C424">
        <v>2019</v>
      </c>
      <c r="D424">
        <f>SUMIFS(Дивиденды!$C:$C,Дивиденды!$A:$A,A424,Дивиденды!$I:$I,C424)</f>
        <v>40.78</v>
      </c>
      <c r="E424">
        <f>IFERROR(IF(VLOOKUP($B424,Показатели!$E:$W,2,FALSE)=0,"",VLOOKUP($B424,Показатели!$E:$W,2,FALSE)),"")</f>
        <v>111483000000</v>
      </c>
      <c r="F424">
        <f>IFERROR(IF(VLOOKUP($B424,Показатели!$E:$W,3,FALSE)=0,"",VLOOKUP($B424,Показатели!$E:$W,3,FALSE)),"")</f>
        <v>174893000000</v>
      </c>
      <c r="G424">
        <f>IFERROR(IF(VLOOKUP($B424,Показатели!$E:$W,4,FALSE)=0,"",VLOOKUP($B424,Показатели!$E:$W,4,FALSE)),"")</f>
        <v>289719000000</v>
      </c>
      <c r="H424">
        <f>IFERROR(IF(VLOOKUP($B424,Показатели!$E:$W,5,FALSE)=0,"",VLOOKUP($B424,Показатели!$E:$W,5,FALSE)),"")</f>
        <v>7586000000</v>
      </c>
      <c r="I424">
        <f>IFERROR(IF(VLOOKUP($B424,Показатели!$E:$W,6,FALSE)=0,"",VLOOKUP($B424,Показатели!$E:$W,6,FALSE)),"")</f>
        <v>515480000000</v>
      </c>
      <c r="J424">
        <f>IFERROR(IF(VLOOKUP($B424,Показатели!$E:$W,7,FALSE)=0,"",VLOOKUP($B424,Показатели!$E:$W,7,FALSE)),"")</f>
        <v>77533000000</v>
      </c>
      <c r="K424">
        <f>IFERROR(IF(VLOOKUP($B424,Показатели!$E:$W,8,FALSE)=0,"",VLOOKUP($B424,Показатели!$E:$W,8,FALSE)),"")</f>
        <v>319506000000</v>
      </c>
      <c r="L424">
        <f>IFERROR(IF(VLOOKUP($B424,Показатели!$E:$W,9,FALSE)=0,"",VLOOKUP($B424,Показатели!$E:$W,9,FALSE)),"")</f>
        <v>43745000000</v>
      </c>
      <c r="M424">
        <f>IFERROR(IF(VLOOKUP($B424,Показатели!$E:$W,10,FALSE)=0,"",VLOOKUP($B424,Показатели!$E:$W,10,FALSE)),"")</f>
        <v>118441000000</v>
      </c>
      <c r="N424">
        <f>IFERROR(IF(VLOOKUP($B424,Показатели!$E:$W,11,FALSE)=0,"",VLOOKUP($B424,Показатели!$E:$W,11,FALSE)),"")</f>
        <v>257760000000</v>
      </c>
      <c r="O424">
        <f>IFERROR(IF(VLOOKUP($B424,Показатели!$E:$W,12,FALSE)=0,"",VLOOKUP($B424,Показатели!$E:$W,12,FALSE)),"")</f>
        <v>142359000000</v>
      </c>
      <c r="P424">
        <f>IFERROR(IF(VLOOKUP($B424,Показатели!$E:$W,13,FALSE)=0,"",VLOOKUP($B424,Показатели!$E:$W,13,FALSE)),"")</f>
        <v>152941000000</v>
      </c>
      <c r="Q424">
        <f>IFERROR(IF(VLOOKUP($B424,Показатели!$E:$W,14,FALSE)=0,"",VLOOKUP($B424,Показатели!$E:$W,14,FALSE)),"")</f>
        <v>124969000000</v>
      </c>
      <c r="R424">
        <f>IFERROR(IF(VLOOKUP($B424,Показатели!$E:$W,15,FALSE)=0,"",VLOOKUP($B424,Показатели!$E:$W,15,FALSE)),"")</f>
        <v>23674000000</v>
      </c>
      <c r="S424">
        <f>IFERROR(IF(VLOOKUP($B424,Показатели!$E:$W,16,FALSE)=0,"",VLOOKUP($B424,Показатели!$E:$W,16,FALSE)),"")</f>
        <v>172237000000</v>
      </c>
      <c r="T424">
        <f>IFERROR(IF(VLOOKUP($B424,Показатели!$E:$W,17,FALSE)=0,"",VLOOKUP($B424,Показатели!$E:$W,17,FALSE)),"")</f>
        <v>-49653000000</v>
      </c>
      <c r="U424">
        <f>IFERROR(IF(VLOOKUP($B424,Показатели!$E:$W,18,FALSE)=0,"",VLOOKUP($B424,Показатели!$E:$W,18,FALSE)),"")</f>
        <v>184692000000</v>
      </c>
      <c r="V424">
        <f>IFERROR(IF(VLOOKUP($B424,Показатели!$E:$W,19,FALSE)=0,"",VLOOKUP($B424,Показатели!$E:$W,19,FALSE)),"")</f>
        <v>418278000000</v>
      </c>
    </row>
    <row r="425" spans="1:22" x14ac:dyDescent="0.2">
      <c r="A425" s="7" t="s">
        <v>2231</v>
      </c>
      <c r="B425" t="str">
        <f t="shared" si="6"/>
        <v>PLZL IV кв. 2018</v>
      </c>
      <c r="C425">
        <v>2018</v>
      </c>
      <c r="D425">
        <f>SUMIFS(Дивиденды!$C:$C,Дивиденды!$A:$A,A425,Дивиденды!$I:$I,C425)</f>
        <v>27.47</v>
      </c>
      <c r="E425">
        <f>IFERROR(IF(VLOOKUP($B425,Показатели!$E:$W,2,FALSE)=0,"",VLOOKUP($B425,Показатели!$E:$W,2,FALSE)),"")</f>
        <v>62263000000</v>
      </c>
      <c r="F425">
        <f>IFERROR(IF(VLOOKUP($B425,Показатели!$E:$W,3,FALSE)=0,"",VLOOKUP($B425,Показатели!$E:$W,3,FALSE)),"")</f>
        <v>121985000000</v>
      </c>
      <c r="G425">
        <f>IFERROR(IF(VLOOKUP($B425,Показатели!$E:$W,4,FALSE)=0,"",VLOOKUP($B425,Показатели!$E:$W,4,FALSE)),"")</f>
        <v>258456000000</v>
      </c>
      <c r="H425" t="str">
        <f>IFERROR(IF(VLOOKUP($B425,Показатели!$E:$W,5,FALSE)=0,"",VLOOKUP($B425,Показатели!$E:$W,5,FALSE)),"")</f>
        <v/>
      </c>
      <c r="I425">
        <f>IFERROR(IF(VLOOKUP($B425,Показатели!$E:$W,6,FALSE)=0,"",VLOOKUP($B425,Показатели!$E:$W,6,FALSE)),"")</f>
        <v>418278000000</v>
      </c>
      <c r="J425">
        <f>IFERROR(IF(VLOOKUP($B425,Показатели!$E:$W,7,FALSE)=0,"",VLOOKUP($B425,Показатели!$E:$W,7,FALSE)),"")</f>
        <v>63810000000</v>
      </c>
      <c r="K425">
        <f>IFERROR(IF(VLOOKUP($B425,Показатели!$E:$W,8,FALSE)=0,"",VLOOKUP($B425,Показатели!$E:$W,8,FALSE)),"")</f>
        <v>323336000000</v>
      </c>
      <c r="L425">
        <f>IFERROR(IF(VLOOKUP($B425,Показатели!$E:$W,9,FALSE)=0,"",VLOOKUP($B425,Показатели!$E:$W,9,FALSE)),"")</f>
        <v>-38691000000</v>
      </c>
      <c r="M425">
        <f>IFERROR(IF(VLOOKUP($B425,Показатели!$E:$W,10,FALSE)=0,"",VLOOKUP($B425,Показатели!$E:$W,10,FALSE)),"")</f>
        <v>31132000000</v>
      </c>
      <c r="N425">
        <f>IFERROR(IF(VLOOKUP($B425,Показатели!$E:$W,11,FALSE)=0,"",VLOOKUP($B425,Показатели!$E:$W,11,FALSE)),"")</f>
        <v>184692000000</v>
      </c>
      <c r="O425">
        <f>IFERROR(IF(VLOOKUP($B425,Показатели!$E:$W,12,FALSE)=0,"",VLOOKUP($B425,Показатели!$E:$W,12,FALSE)),"")</f>
        <v>96601000000</v>
      </c>
      <c r="P425">
        <f>IFERROR(IF(VLOOKUP($B425,Показатели!$E:$W,13,FALSE)=0,"",VLOOKUP($B425,Показатели!$E:$W,13,FALSE)),"")</f>
        <v>34194000000</v>
      </c>
      <c r="Q425">
        <f>IFERROR(IF(VLOOKUP($B425,Показатели!$E:$W,14,FALSE)=0,"",VLOOKUP($B425,Показатели!$E:$W,14,FALSE)),"")</f>
        <v>29266000000</v>
      </c>
      <c r="R425">
        <f>IFERROR(IF(VLOOKUP($B425,Показатели!$E:$W,15,FALSE)=0,"",VLOOKUP($B425,Показатели!$E:$W,15,FALSE)),"")</f>
        <v>15066000000</v>
      </c>
      <c r="S425">
        <f>IFERROR(IF(VLOOKUP($B425,Показатели!$E:$W,16,FALSE)=0,"",VLOOKUP($B425,Показатели!$E:$W,16,FALSE)),"")</f>
        <v>118381000000</v>
      </c>
      <c r="T425">
        <f>IFERROR(IF(VLOOKUP($B425,Показатели!$E:$W,17,FALSE)=0,"",VLOOKUP($B425,Показатели!$E:$W,17,FALSE)),"")</f>
        <v>-51086000000</v>
      </c>
      <c r="U425">
        <f>IFERROR(IF(VLOOKUP($B425,Показатели!$E:$W,18,FALSE)=0,"",VLOOKUP($B425,Показатели!$E:$W,18,FALSE)),"")</f>
        <v>158669265299.00983</v>
      </c>
      <c r="V425">
        <f>IFERROR(IF(VLOOKUP($B425,Показатели!$E:$W,19,FALSE)=0,"",VLOOKUP($B425,Показатели!$E:$W,19,FALSE)),"")</f>
        <v>375942945013.86121</v>
      </c>
    </row>
    <row r="426" spans="1:22" x14ac:dyDescent="0.2">
      <c r="A426" s="7" t="s">
        <v>2231</v>
      </c>
      <c r="B426" t="str">
        <f t="shared" si="6"/>
        <v>PLZL IV кв. 2017</v>
      </c>
      <c r="C426">
        <v>2017</v>
      </c>
      <c r="D426">
        <f>SUMIFS(Дивиденды!$C:$C,Дивиденды!$A:$A,A426,Дивиденды!$I:$I,C426)</f>
        <v>25.14</v>
      </c>
      <c r="E426">
        <f>IFERROR(IF(VLOOKUP($B426,Показатели!$E:$W,2,FALSE)=0,"",VLOOKUP($B426,Показатели!$E:$W,2,FALSE)),"")</f>
        <v>70208671598.67984</v>
      </c>
      <c r="F426">
        <f>IFERROR(IF(VLOOKUP($B426,Показатели!$E:$W,3,FALSE)=0,"",VLOOKUP($B426,Показатели!$E:$W,3,FALSE)),"")</f>
        <v>110152973961.71613</v>
      </c>
      <c r="G426">
        <f>IFERROR(IF(VLOOKUP($B426,Показатели!$E:$W,4,FALSE)=0,"",VLOOKUP($B426,Показатели!$E:$W,4,FALSE)),"")</f>
        <v>233542964910.89099</v>
      </c>
      <c r="H426" t="str">
        <f>IFERROR(IF(VLOOKUP($B426,Показатели!$E:$W,5,FALSE)=0,"",VLOOKUP($B426,Показатели!$E:$W,5,FALSE)),"")</f>
        <v/>
      </c>
      <c r="I426">
        <f>IFERROR(IF(VLOOKUP($B426,Показатели!$E:$W,6,FALSE)=0,"",VLOOKUP($B426,Показатели!$E:$W,6,FALSE)),"")</f>
        <v>375942945013.86121</v>
      </c>
      <c r="J426">
        <f>IFERROR(IF(VLOOKUP($B426,Показатели!$E:$W,7,FALSE)=0,"",VLOOKUP($B426,Показатели!$E:$W,7,FALSE)),"")</f>
        <v>24316458518.811871</v>
      </c>
      <c r="K426">
        <f>IFERROR(IF(VLOOKUP($B426,Показатели!$E:$W,8,FALSE)=0,"",VLOOKUP($B426,Показатели!$E:$W,8,FALSE)),"")</f>
        <v>313373256786.79852</v>
      </c>
      <c r="L426">
        <f>IFERROR(IF(VLOOKUP($B426,Показатели!$E:$W,9,FALSE)=0,"",VLOOKUP($B426,Показатели!$E:$W,9,FALSE)),"")</f>
        <v>83095811485.148483</v>
      </c>
      <c r="M426">
        <f>IFERROR(IF(VLOOKUP($B426,Показатели!$E:$W,10,FALSE)=0,"",VLOOKUP($B426,Показатели!$E:$W,10,FALSE)),"")</f>
        <v>38253229708.250809</v>
      </c>
      <c r="N426">
        <f>IFERROR(IF(VLOOKUP($B426,Показатели!$E:$W,11,FALSE)=0,"",VLOOKUP($B426,Показатели!$E:$W,11,FALSE)),"")</f>
        <v>158669265299.00983</v>
      </c>
      <c r="O426">
        <f>IFERROR(IF(VLOOKUP($B426,Показатели!$E:$W,12,FALSE)=0,"",VLOOKUP($B426,Показатели!$E:$W,12,FALSE)),"")</f>
        <v>84845196990.098969</v>
      </c>
      <c r="P426">
        <f>IFERROR(IF(VLOOKUP($B426,Показатели!$E:$W,13,FALSE)=0,"",VLOOKUP($B426,Показатели!$E:$W,13,FALSE)),"")</f>
        <v>89276973602.640228</v>
      </c>
      <c r="Q426">
        <f>IFERROR(IF(VLOOKUP($B426,Показатели!$E:$W,14,FALSE)=0,"",VLOOKUP($B426,Показатели!$E:$W,14,FALSE)),"")</f>
        <v>72366247054.785446</v>
      </c>
      <c r="R426">
        <f>IFERROR(IF(VLOOKUP($B426,Показатели!$E:$W,15,FALSE)=0,"",VLOOKUP($B426,Показатели!$E:$W,15,FALSE)),"")</f>
        <v>10379687329.372932</v>
      </c>
      <c r="S426">
        <f>IFERROR(IF(VLOOKUP($B426,Показатели!$E:$W,16,FALSE)=0,"",VLOOKUP($B426,Показатели!$E:$W,16,FALSE)),"")</f>
        <v>99248470980.858047</v>
      </c>
      <c r="T426">
        <f>IFERROR(IF(VLOOKUP($B426,Показатели!$E:$W,17,FALSE)=0,"",VLOOKUP($B426,Показатели!$E:$W,17,FALSE)),"")</f>
        <v>-48457978487.128693</v>
      </c>
      <c r="U426">
        <f>IFERROR(IF(VLOOKUP($B426,Показатели!$E:$W,18,FALSE)=0,"",VLOOKUP($B426,Показатели!$E:$W,18,FALSE)),"")</f>
        <v>163273000000</v>
      </c>
      <c r="V426">
        <f>IFERROR(IF(VLOOKUP($B426,Показатели!$E:$W,19,FALSE)=0,"",VLOOKUP($B426,Показатели!$E:$W,19,FALSE)),"")</f>
        <v>343696000000</v>
      </c>
    </row>
    <row r="427" spans="1:22" x14ac:dyDescent="0.2">
      <c r="A427" s="7" t="s">
        <v>2231</v>
      </c>
      <c r="B427" t="str">
        <f t="shared" si="6"/>
        <v>PLZL IV кв. 2016</v>
      </c>
      <c r="C427">
        <v>2016</v>
      </c>
      <c r="D427">
        <f>SUMIFS(Дивиденды!$C:$C,Дивиденды!$A:$A,A427,Дивиденды!$I:$I,C427)</f>
        <v>15.24</v>
      </c>
      <c r="E427">
        <f>IFERROR(IF(VLOOKUP($B427,Показатели!$E:$W,2,FALSE)=0,"",VLOOKUP($B427,Показатели!$E:$W,2,FALSE)),"")</f>
        <v>105536000000</v>
      </c>
      <c r="F427">
        <f>IFERROR(IF(VLOOKUP($B427,Показатели!$E:$W,3,FALSE)=0,"",VLOOKUP($B427,Показатели!$E:$W,3,FALSE)),"")</f>
        <v>139236000000</v>
      </c>
      <c r="G427">
        <f>IFERROR(IF(VLOOKUP($B427,Показатели!$E:$W,4,FALSE)=0,"",VLOOKUP($B427,Показатели!$E:$W,4,FALSE)),"")</f>
        <v>178198000000</v>
      </c>
      <c r="H427" t="str">
        <f>IFERROR(IF(VLOOKUP($B427,Показатели!$E:$W,5,FALSE)=0,"",VLOOKUP($B427,Показатели!$E:$W,5,FALSE)),"")</f>
        <v/>
      </c>
      <c r="I427">
        <f>IFERROR(IF(VLOOKUP($B427,Показатели!$E:$W,6,FALSE)=0,"",VLOOKUP($B427,Показатели!$E:$W,6,FALSE)),"")</f>
        <v>343696000000</v>
      </c>
      <c r="J427">
        <f>IFERROR(IF(VLOOKUP($B427,Показатели!$E:$W,7,FALSE)=0,"",VLOOKUP($B427,Показатели!$E:$W,7,FALSE)),"")</f>
        <v>36300000000</v>
      </c>
      <c r="K427">
        <f>IFERROR(IF(VLOOKUP($B427,Показатели!$E:$W,8,FALSE)=0,"",VLOOKUP($B427,Показатели!$E:$W,8,FALSE)),"")</f>
        <v>332525000000</v>
      </c>
      <c r="L427">
        <f>IFERROR(IF(VLOOKUP($B427,Показатели!$E:$W,9,FALSE)=0,"",VLOOKUP($B427,Показатели!$E:$W,9,FALSE)),"")</f>
        <v>165346000000</v>
      </c>
      <c r="M427">
        <f>IFERROR(IF(VLOOKUP($B427,Показатели!$E:$W,10,FALSE)=0,"",VLOOKUP($B427,Показатели!$E:$W,10,FALSE)),"")</f>
        <v>-25129000000</v>
      </c>
      <c r="N427">
        <f>IFERROR(IF(VLOOKUP($B427,Показатели!$E:$W,11,FALSE)=0,"",VLOOKUP($B427,Показатели!$E:$W,11,FALSE)),"")</f>
        <v>163273000000</v>
      </c>
      <c r="O427">
        <f>IFERROR(IF(VLOOKUP($B427,Показатели!$E:$W,12,FALSE)=0,"",VLOOKUP($B427,Показатели!$E:$W,12,FALSE)),"")</f>
        <v>90816000000</v>
      </c>
      <c r="P427">
        <f>IFERROR(IF(VLOOKUP($B427,Показатели!$E:$W,13,FALSE)=0,"",VLOOKUP($B427,Показатели!$E:$W,13,FALSE)),"")</f>
        <v>117104000000</v>
      </c>
      <c r="Q427">
        <f>IFERROR(IF(VLOOKUP($B427,Показатели!$E:$W,14,FALSE)=0,"",VLOOKUP($B427,Показатели!$E:$W,14,FALSE)),"")</f>
        <v>95263000000</v>
      </c>
      <c r="R427">
        <f>IFERROR(IF(VLOOKUP($B427,Показатели!$E:$W,15,FALSE)=0,"",VLOOKUP($B427,Показатели!$E:$W,15,FALSE)),"")</f>
        <v>9854000000</v>
      </c>
      <c r="S427" t="str">
        <f>IFERROR(IF(VLOOKUP($B427,Показатели!$E:$W,16,FALSE)=0,"",VLOOKUP($B427,Показатели!$E:$W,16,FALSE)),"")</f>
        <v/>
      </c>
      <c r="T427">
        <f>IFERROR(IF(VLOOKUP($B427,Показатели!$E:$W,17,FALSE)=0,"",VLOOKUP($B427,Показатели!$E:$W,17,FALSE)),"")</f>
        <v>-26760000000</v>
      </c>
      <c r="U427">
        <f>IFERROR(IF(VLOOKUP($B427,Показатели!$E:$W,18,FALSE)=0,"",VLOOKUP($B427,Показатели!$E:$W,18,FALSE)),"")</f>
        <v>134076613885.71429</v>
      </c>
      <c r="V427">
        <f>IFERROR(IF(VLOOKUP($B427,Показатели!$E:$W,19,FALSE)=0,"",VLOOKUP($B427,Показатели!$E:$W,19,FALSE)),"")</f>
        <v>302330820529.87012</v>
      </c>
    </row>
    <row r="428" spans="1:22" x14ac:dyDescent="0.2">
      <c r="A428" s="7" t="s">
        <v>2231</v>
      </c>
      <c r="B428" t="str">
        <f t="shared" si="6"/>
        <v>PLZL IV кв. 2015</v>
      </c>
      <c r="C428">
        <v>2015</v>
      </c>
      <c r="D428">
        <f>SUMIFS(Дивиденды!$C:$C,Дивиденды!$A:$A,A428,Дивиденды!$I:$I,C428)</f>
        <v>0</v>
      </c>
      <c r="E428">
        <f>IFERROR(IF(VLOOKUP($B428,Показатели!$E:$W,2,FALSE)=0,"",VLOOKUP($B428,Показатели!$E:$W,2,FALSE)),"")</f>
        <v>124889088950.64935</v>
      </c>
      <c r="F428">
        <f>IFERROR(IF(VLOOKUP($B428,Показатели!$E:$W,3,FALSE)=0,"",VLOOKUP($B428,Показатели!$E:$W,3,FALSE)),"")</f>
        <v>150859159433.76624</v>
      </c>
      <c r="G428">
        <f>IFERROR(IF(VLOOKUP($B428,Показатели!$E:$W,4,FALSE)=0,"",VLOOKUP($B428,Показатели!$E:$W,4,FALSE)),"")</f>
        <v>123909086290.9091</v>
      </c>
      <c r="H428" t="str">
        <f>IFERROR(IF(VLOOKUP($B428,Показатели!$E:$W,5,FALSE)=0,"",VLOOKUP($B428,Показатели!$E:$W,5,FALSE)),"")</f>
        <v/>
      </c>
      <c r="I428">
        <f>IFERROR(IF(VLOOKUP($B428,Показатели!$E:$W,6,FALSE)=0,"",VLOOKUP($B428,Показатели!$E:$W,6,FALSE)),"")</f>
        <v>302330820529.87012</v>
      </c>
      <c r="J428">
        <f>IFERROR(IF(VLOOKUP($B428,Показатели!$E:$W,7,FALSE)=0,"",VLOOKUP($B428,Показатели!$E:$W,7,FALSE)),"")</f>
        <v>13291286072.727274</v>
      </c>
      <c r="K428">
        <f>IFERROR(IF(VLOOKUP($B428,Показатели!$E:$W,8,FALSE)=0,"",VLOOKUP($B428,Показатели!$E:$W,8,FALSE)),"")</f>
        <v>174072972436.36365</v>
      </c>
      <c r="L428">
        <f>IFERROR(IF(VLOOKUP($B428,Показатели!$E:$W,9,FALSE)=0,"",VLOOKUP($B428,Показатели!$E:$W,9,FALSE)),"")</f>
        <v>129054100254.54546</v>
      </c>
      <c r="M428">
        <f>IFERROR(IF(VLOOKUP($B428,Показатели!$E:$W,10,FALSE)=0,"",VLOOKUP($B428,Показатели!$E:$W,10,FALSE)),"")</f>
        <v>114966562020.77922</v>
      </c>
      <c r="N428">
        <f>IFERROR(IF(VLOOKUP($B428,Показатели!$E:$W,11,FALSE)=0,"",VLOOKUP($B428,Показатели!$E:$W,11,FALSE)),"")</f>
        <v>134076613885.71429</v>
      </c>
      <c r="O428">
        <f>IFERROR(IF(VLOOKUP($B428,Показатели!$E:$W,12,FALSE)=0,"",VLOOKUP($B428,Показатели!$E:$W,12,FALSE)),"")</f>
        <v>69886439672.72728</v>
      </c>
      <c r="P428">
        <f>IFERROR(IF(VLOOKUP($B428,Показатели!$E:$W,13,FALSE)=0,"",VLOOKUP($B428,Показатели!$E:$W,13,FALSE)),"")</f>
        <v>80421468264.935074</v>
      </c>
      <c r="Q428">
        <f>IFERROR(IF(VLOOKUP($B428,Показатели!$E:$W,14,FALSE)=0,"",VLOOKUP($B428,Показатели!$E:$W,14,FALSE)),"")</f>
        <v>68538936015.584419</v>
      </c>
      <c r="R428" t="str">
        <f>IFERROR(IF(VLOOKUP($B428,Показатели!$E:$W,15,FALSE)=0,"",VLOOKUP($B428,Показатели!$E:$W,15,FALSE)),"")</f>
        <v/>
      </c>
      <c r="S428">
        <f>IFERROR(IF(VLOOKUP($B428,Показатели!$E:$W,16,FALSE)=0,"",VLOOKUP($B428,Показатели!$E:$W,16,FALSE)),"")</f>
        <v>77665210784.415588</v>
      </c>
      <c r="T428">
        <f>IFERROR(IF(VLOOKUP($B428,Показатели!$E:$W,17,FALSE)=0,"",VLOOKUP($B428,Показатели!$E:$W,17,FALSE)),"")</f>
        <v>16415044550.649351</v>
      </c>
      <c r="U428">
        <f>IFERROR(IF(VLOOKUP($B428,Показатели!$E:$W,18,FALSE)=0,"",VLOOKUP($B428,Показатели!$E:$W,18,FALSE)),"")</f>
        <v>86787027445.247131</v>
      </c>
      <c r="V428">
        <f>IFERROR(IF(VLOOKUP($B428,Показатели!$E:$W,19,FALSE)=0,"",VLOOKUP($B428,Показатели!$E:$W,19,FALSE)),"")</f>
        <v>186597923234.22049</v>
      </c>
    </row>
    <row r="429" spans="1:22" x14ac:dyDescent="0.2">
      <c r="A429" s="7" t="s">
        <v>2231</v>
      </c>
      <c r="B429" t="str">
        <f t="shared" si="6"/>
        <v>PLZL IV кв. 2014</v>
      </c>
      <c r="C429">
        <v>2014</v>
      </c>
      <c r="D429">
        <f>SUMIFS(Дивиденды!$C:$C,Дивиденды!$A:$A,A429,Дивиденды!$I:$I,C429)</f>
        <v>0</v>
      </c>
      <c r="E429">
        <f>IFERROR(IF(VLOOKUP($B429,Показатели!$E:$W,2,FALSE)=0,"",VLOOKUP($B429,Показатели!$E:$W,2,FALSE)),"")</f>
        <v>47172761233.079842</v>
      </c>
      <c r="F429">
        <f>IFERROR(IF(VLOOKUP($B429,Показатели!$E:$W,3,FALSE)=0,"",VLOOKUP($B429,Показатели!$E:$W,3,FALSE)),"")</f>
        <v>78065687036.501892</v>
      </c>
      <c r="G429">
        <f>IFERROR(IF(VLOOKUP($B429,Показатели!$E:$W,4,FALSE)=0,"",VLOOKUP($B429,Показатели!$E:$W,4,FALSE)),"")</f>
        <v>36823437281.368813</v>
      </c>
      <c r="H429" t="str">
        <f>IFERROR(IF(VLOOKUP($B429,Показатели!$E:$W,5,FALSE)=0,"",VLOOKUP($B429,Показатели!$E:$W,5,FALSE)),"")</f>
        <v/>
      </c>
      <c r="I429">
        <f>IFERROR(IF(VLOOKUP($B429,Показатели!$E:$W,6,FALSE)=0,"",VLOOKUP($B429,Показатели!$E:$W,6,FALSE)),"")</f>
        <v>186597923234.22049</v>
      </c>
      <c r="J429">
        <f>IFERROR(IF(VLOOKUP($B429,Показатели!$E:$W,7,FALSE)=0,"",VLOOKUP($B429,Показатели!$E:$W,7,FALSE)),"")</f>
        <v>32055771191.254749</v>
      </c>
      <c r="K429">
        <f>IFERROR(IF(VLOOKUP($B429,Показатели!$E:$W,8,FALSE)=0,"",VLOOKUP($B429,Показатели!$E:$W,8,FALSE)),"")</f>
        <v>91748501099.999985</v>
      </c>
      <c r="L429">
        <f>IFERROR(IF(VLOOKUP($B429,Показатели!$E:$W,9,FALSE)=0,"",VLOOKUP($B429,Показатели!$E:$W,9,FALSE)),"")</f>
        <v>48761983263.117867</v>
      </c>
      <c r="M429">
        <f>IFERROR(IF(VLOOKUP($B429,Показатели!$E:$W,10,FALSE)=0,"",VLOOKUP($B429,Показатели!$E:$W,10,FALSE)),"")</f>
        <v>62793650942.965767</v>
      </c>
      <c r="N429">
        <f>IFERROR(IF(VLOOKUP($B429,Показатели!$E:$W,11,FALSE)=0,"",VLOOKUP($B429,Показатели!$E:$W,11,FALSE)),"")</f>
        <v>86787027445.247131</v>
      </c>
      <c r="O429">
        <f>IFERROR(IF(VLOOKUP($B429,Показатели!$E:$W,12,FALSE)=0,"",VLOOKUP($B429,Показатели!$E:$W,12,FALSE)),"")</f>
        <v>32792239936.882126</v>
      </c>
      <c r="P429">
        <f>IFERROR(IF(VLOOKUP($B429,Показатели!$E:$W,13,FALSE)=0,"",VLOOKUP($B429,Показатели!$E:$W,13,FALSE)),"")</f>
        <v>1550460517.110266</v>
      </c>
      <c r="Q429">
        <f>IFERROR(IF(VLOOKUP($B429,Показатели!$E:$W,14,FALSE)=0,"",VLOOKUP($B429,Показатели!$E:$W,14,FALSE)),"")</f>
        <v>-7054595352.8517103</v>
      </c>
      <c r="R429" t="str">
        <f>IFERROR(IF(VLOOKUP($B429,Показатели!$E:$W,15,FALSE)=0,"",VLOOKUP($B429,Показатели!$E:$W,15,FALSE)),"")</f>
        <v/>
      </c>
      <c r="S429">
        <f>IFERROR(IF(VLOOKUP($B429,Показатели!$E:$W,16,FALSE)=0,"",VLOOKUP($B429,Показатели!$E:$W,16,FALSE)),"")</f>
        <v>39187889569.961967</v>
      </c>
      <c r="T429">
        <f>IFERROR(IF(VLOOKUP($B429,Показатели!$E:$W,17,FALSE)=0,"",VLOOKUP($B429,Показатели!$E:$W,17,FALSE)),"")</f>
        <v>20349794287.072239</v>
      </c>
      <c r="U429">
        <f>IFERROR(IF(VLOOKUP($B429,Показатели!$E:$W,18,FALSE)=0,"",VLOOKUP($B429,Показатели!$E:$W,18,FALSE)),"")</f>
        <v>74126000000</v>
      </c>
      <c r="V429">
        <f>IFERROR(IF(VLOOKUP($B429,Показатели!$E:$W,19,FALSE)=0,"",VLOOKUP($B429,Показатели!$E:$W,19,FALSE)),"")</f>
        <v>190395000000</v>
      </c>
    </row>
    <row r="430" spans="1:22" x14ac:dyDescent="0.2">
      <c r="A430" s="7" t="s">
        <v>2231</v>
      </c>
      <c r="B430" t="str">
        <f t="shared" si="6"/>
        <v>PLZL IV кв. 2013</v>
      </c>
      <c r="C430">
        <v>2013</v>
      </c>
      <c r="D430">
        <f>SUMIFS(Дивиденды!$C:$C,Дивиденды!$A:$A,A430,Дивиденды!$I:$I,C430)</f>
        <v>0</v>
      </c>
      <c r="E430">
        <f>IFERROR(IF(VLOOKUP($B430,Показатели!$E:$W,2,FALSE)=0,"",VLOOKUP($B430,Показатели!$E:$W,2,FALSE)),"")</f>
        <v>25899000000</v>
      </c>
      <c r="F430">
        <f>IFERROR(IF(VLOOKUP($B430,Показатели!$E:$W,3,FALSE)=0,"",VLOOKUP($B430,Показатели!$E:$W,3,FALSE)),"")</f>
        <v>65282000000</v>
      </c>
      <c r="G430">
        <f>IFERROR(IF(VLOOKUP($B430,Показатели!$E:$W,4,FALSE)=0,"",VLOOKUP($B430,Показатели!$E:$W,4,FALSE)),"")</f>
        <v>49277000000</v>
      </c>
      <c r="H430" t="str">
        <f>IFERROR(IF(VLOOKUP($B430,Показатели!$E:$W,5,FALSE)=0,"",VLOOKUP($B430,Показатели!$E:$W,5,FALSE)),"")</f>
        <v/>
      </c>
      <c r="I430">
        <f>IFERROR(IF(VLOOKUP($B430,Показатели!$E:$W,6,FALSE)=0,"",VLOOKUP($B430,Показатели!$E:$W,6,FALSE)),"")</f>
        <v>190395000000</v>
      </c>
      <c r="J430">
        <f>IFERROR(IF(VLOOKUP($B430,Показатели!$E:$W,7,FALSE)=0,"",VLOOKUP($B430,Показатели!$E:$W,7,FALSE)),"")</f>
        <v>17544000000</v>
      </c>
      <c r="K430">
        <f>IFERROR(IF(VLOOKUP($B430,Показатели!$E:$W,8,FALSE)=0,"",VLOOKUP($B430,Показатели!$E:$W,8,FALSE)),"")</f>
        <v>37892000000</v>
      </c>
      <c r="L430" t="str">
        <f>IFERROR(IF(VLOOKUP($B430,Показатели!$E:$W,9,FALSE)=0,"",VLOOKUP($B430,Показатели!$E:$W,9,FALSE)),"")</f>
        <v/>
      </c>
      <c r="M430">
        <f>IFERROR(IF(VLOOKUP($B430,Показатели!$E:$W,10,FALSE)=0,"",VLOOKUP($B430,Показатели!$E:$W,10,FALSE)),"")</f>
        <v>134959000000</v>
      </c>
      <c r="N430">
        <f>IFERROR(IF(VLOOKUP($B430,Показатели!$E:$W,11,FALSE)=0,"",VLOOKUP($B430,Показатели!$E:$W,11,FALSE)),"")</f>
        <v>74126000000</v>
      </c>
      <c r="O430">
        <f>IFERROR(IF(VLOOKUP($B430,Показатели!$E:$W,12,FALSE)=0,"",VLOOKUP($B430,Показатели!$E:$W,12,FALSE)),"")</f>
        <v>8273000000</v>
      </c>
      <c r="P430">
        <f>IFERROR(IF(VLOOKUP($B430,Показатели!$E:$W,13,FALSE)=0,"",VLOOKUP($B430,Показатели!$E:$W,13,FALSE)),"")</f>
        <v>2300000000</v>
      </c>
      <c r="Q430">
        <f>IFERROR(IF(VLOOKUP($B430,Показатели!$E:$W,14,FALSE)=0,"",VLOOKUP($B430,Показатели!$E:$W,14,FALSE)),"")</f>
        <v>-807000000</v>
      </c>
      <c r="R430" t="str">
        <f>IFERROR(IF(VLOOKUP($B430,Показатели!$E:$W,15,FALSE)=0,"",VLOOKUP($B430,Показатели!$E:$W,15,FALSE)),"")</f>
        <v/>
      </c>
      <c r="S430">
        <f>IFERROR(IF(VLOOKUP($B430,Показатели!$E:$W,16,FALSE)=0,"",VLOOKUP($B430,Показатели!$E:$W,16,FALSE)),"")</f>
        <v>910000000</v>
      </c>
      <c r="T430" t="str">
        <f>IFERROR(IF(VLOOKUP($B430,Показатели!$E:$W,17,FALSE)=0,"",VLOOKUP($B430,Показатели!$E:$W,17,FALSE)),"")</f>
        <v/>
      </c>
      <c r="U430">
        <f>IFERROR(IF(VLOOKUP($B430,Показатели!$E:$W,18,FALSE)=0,"",VLOOKUP($B430,Показатели!$E:$W,18,FALSE)),"")</f>
        <v>83327000000</v>
      </c>
      <c r="V430">
        <f>IFERROR(IF(VLOOKUP($B430,Показатели!$E:$W,19,FALSE)=0,"",VLOOKUP($B430,Показатели!$E:$W,19,FALSE)),"")</f>
        <v>171120000000</v>
      </c>
    </row>
    <row r="431" spans="1:22" x14ac:dyDescent="0.2">
      <c r="A431" s="7" t="s">
        <v>2231</v>
      </c>
      <c r="B431" t="str">
        <f t="shared" si="6"/>
        <v>PLZL IV кв. 2012</v>
      </c>
      <c r="C431">
        <v>2012</v>
      </c>
      <c r="D431">
        <f>SUMIFS(Дивиденды!$C:$C,Дивиденды!$A:$A,A431,Дивиденды!$I:$I,C431)</f>
        <v>6.3</v>
      </c>
      <c r="E431">
        <f>IFERROR(IF(VLOOKUP($B431,Показатели!$E:$W,2,FALSE)=0,"",VLOOKUP($B431,Показатели!$E:$W,2,FALSE)),"")</f>
        <v>27044000000</v>
      </c>
      <c r="F431">
        <f>IFERROR(IF(VLOOKUP($B431,Показатели!$E:$W,3,FALSE)=0,"",VLOOKUP($B431,Показатели!$E:$W,3,FALSE)),"")</f>
        <v>72707000000</v>
      </c>
      <c r="G431">
        <f>IFERROR(IF(VLOOKUP($B431,Показатели!$E:$W,4,FALSE)=0,"",VLOOKUP($B431,Показатели!$E:$W,4,FALSE)),"")</f>
        <v>59230000000</v>
      </c>
      <c r="H431" t="str">
        <f>IFERROR(IF(VLOOKUP($B431,Показатели!$E:$W,5,FALSE)=0,"",VLOOKUP($B431,Показатели!$E:$W,5,FALSE)),"")</f>
        <v/>
      </c>
      <c r="I431">
        <f>IFERROR(IF(VLOOKUP($B431,Показатели!$E:$W,6,FALSE)=0,"",VLOOKUP($B431,Показатели!$E:$W,6,FALSE)),"")</f>
        <v>171120000000</v>
      </c>
      <c r="J431">
        <f>IFERROR(IF(VLOOKUP($B431,Показатели!$E:$W,7,FALSE)=0,"",VLOOKUP($B431,Показатели!$E:$W,7,FALSE)),"")</f>
        <v>24463000000</v>
      </c>
      <c r="K431">
        <f>IFERROR(IF(VLOOKUP($B431,Показатели!$E:$W,8,FALSE)=0,"",VLOOKUP($B431,Показатели!$E:$W,8,FALSE)),"")</f>
        <v>10681000000</v>
      </c>
      <c r="L431" t="str">
        <f>IFERROR(IF(VLOOKUP($B431,Показатели!$E:$W,9,FALSE)=0,"",VLOOKUP($B431,Показатели!$E:$W,9,FALSE)),"")</f>
        <v/>
      </c>
      <c r="M431">
        <f>IFERROR(IF(VLOOKUP($B431,Показатели!$E:$W,10,FALSE)=0,"",VLOOKUP($B431,Показатели!$E:$W,10,FALSE)),"")</f>
        <v>135976000000</v>
      </c>
      <c r="N431">
        <f>IFERROR(IF(VLOOKUP($B431,Показатели!$E:$W,11,FALSE)=0,"",VLOOKUP($B431,Показатели!$E:$W,11,FALSE)),"")</f>
        <v>83327000000</v>
      </c>
      <c r="O431">
        <f>IFERROR(IF(VLOOKUP($B431,Показатели!$E:$W,12,FALSE)=0,"",VLOOKUP($B431,Показатели!$E:$W,12,FALSE)),"")</f>
        <v>37248000000</v>
      </c>
      <c r="P431">
        <f>IFERROR(IF(VLOOKUP($B431,Показатели!$E:$W,13,FALSE)=0,"",VLOOKUP($B431,Показатели!$E:$W,13,FALSE)),"")</f>
        <v>35182000000</v>
      </c>
      <c r="Q431">
        <f>IFERROR(IF(VLOOKUP($B431,Показатели!$E:$W,14,FALSE)=0,"",VLOOKUP($B431,Показатели!$E:$W,14,FALSE)),"")</f>
        <v>27733000000</v>
      </c>
      <c r="R431" t="str">
        <f>IFERROR(IF(VLOOKUP($B431,Показатели!$E:$W,15,FALSE)=0,"",VLOOKUP($B431,Показатели!$E:$W,15,FALSE)),"")</f>
        <v/>
      </c>
      <c r="S431" t="str">
        <f>IFERROR(IF(VLOOKUP($B431,Показатели!$E:$W,16,FALSE)=0,"",VLOOKUP($B431,Показатели!$E:$W,16,FALSE)),"")</f>
        <v/>
      </c>
      <c r="T431" t="str">
        <f>IFERROR(IF(VLOOKUP($B431,Показатели!$E:$W,17,FALSE)=0,"",VLOOKUP($B431,Показатели!$E:$W,17,FALSE)),"")</f>
        <v/>
      </c>
      <c r="U431">
        <f>IFERROR(IF(VLOOKUP($B431,Показатели!$E:$W,18,FALSE)=0,"",VLOOKUP($B431,Показатели!$E:$W,18,FALSE)),"")</f>
        <v>70645523674.730774</v>
      </c>
      <c r="V431">
        <f>IFERROR(IF(VLOOKUP($B431,Показатели!$E:$W,19,FALSE)=0,"",VLOOKUP($B431,Показатели!$E:$W,19,FALSE)),"")</f>
        <v>124049195069.08847</v>
      </c>
    </row>
    <row r="432" spans="1:22" x14ac:dyDescent="0.2">
      <c r="A432" s="7" t="s">
        <v>2231</v>
      </c>
      <c r="B432" t="str">
        <f t="shared" si="6"/>
        <v>PLZL IV кв. 2011</v>
      </c>
      <c r="C432">
        <v>2011</v>
      </c>
      <c r="D432">
        <f>SUMIFS(Дивиденды!$C:$C,Дивиденды!$A:$A,A432,Дивиденды!$I:$I,C432)</f>
        <v>2.62</v>
      </c>
      <c r="E432">
        <f>IFERROR(IF(VLOOKUP($B432,Показатели!$E:$W,2,FALSE)=0,"",VLOOKUP($B432,Показатели!$E:$W,2,FALSE)),"")</f>
        <v>19330571833.015385</v>
      </c>
      <c r="F432">
        <f>IFERROR(IF(VLOOKUP($B432,Показатели!$E:$W,3,FALSE)=0,"",VLOOKUP($B432,Показатели!$E:$W,3,FALSE)),"")</f>
        <v>43716157237.280769</v>
      </c>
      <c r="G432">
        <f>IFERROR(IF(VLOOKUP($B432,Показатели!$E:$W,4,FALSE)=0,"",VLOOKUP($B432,Показатели!$E:$W,4,FALSE)),"")</f>
        <v>60463666384.465385</v>
      </c>
      <c r="H432" t="str">
        <f>IFERROR(IF(VLOOKUP($B432,Показатели!$E:$W,5,FALSE)=0,"",VLOOKUP($B432,Показатели!$E:$W,5,FALSE)),"")</f>
        <v/>
      </c>
      <c r="I432">
        <f>IFERROR(IF(VLOOKUP($B432,Показатели!$E:$W,6,FALSE)=0,"",VLOOKUP($B432,Показатели!$E:$W,6,FALSE)),"")</f>
        <v>124049195069.08847</v>
      </c>
      <c r="J432">
        <f>IFERROR(IF(VLOOKUP($B432,Показатели!$E:$W,7,FALSE)=0,"",VLOOKUP($B432,Показатели!$E:$W,7,FALSE)),"")</f>
        <v>40820517269.053848</v>
      </c>
      <c r="K432">
        <f>IFERROR(IF(VLOOKUP($B432,Показатели!$E:$W,8,FALSE)=0,"",VLOOKUP($B432,Показатели!$E:$W,8,FALSE)),"")</f>
        <v>14044749150.034616</v>
      </c>
      <c r="L432" t="str">
        <f>IFERROR(IF(VLOOKUP($B432,Показатели!$E:$W,9,FALSE)=0,"",VLOOKUP($B432,Показатели!$E:$W,9,FALSE)),"")</f>
        <v/>
      </c>
      <c r="M432">
        <f>IFERROR(IF(VLOOKUP($B432,Показатели!$E:$W,10,FALSE)=0,"",VLOOKUP($B432,Показатели!$E:$W,10,FALSE)),"")</f>
        <v>83228677800.034622</v>
      </c>
      <c r="N432">
        <f>IFERROR(IF(VLOOKUP($B432,Показатели!$E:$W,11,FALSE)=0,"",VLOOKUP($B432,Показатели!$E:$W,11,FALSE)),"")</f>
        <v>70645523674.730774</v>
      </c>
      <c r="O432">
        <f>IFERROR(IF(VLOOKUP($B432,Показатели!$E:$W,12,FALSE)=0,"",VLOOKUP($B432,Показатели!$E:$W,12,FALSE)),"")</f>
        <v>24658469399.930771</v>
      </c>
      <c r="P432">
        <f>IFERROR(IF(VLOOKUP($B432,Показатели!$E:$W,13,FALSE)=0,"",VLOOKUP($B432,Показатели!$E:$W,13,FALSE)),"")</f>
        <v>22494832443.888462</v>
      </c>
      <c r="Q432">
        <f>IFERROR(IF(VLOOKUP($B432,Показатели!$E:$W,14,FALSE)=0,"",VLOOKUP($B432,Показатели!$E:$W,14,FALSE)),"")</f>
        <v>16406999551.903847</v>
      </c>
      <c r="R432" t="str">
        <f>IFERROR(IF(VLOOKUP($B432,Показатели!$E:$W,15,FALSE)=0,"",VLOOKUP($B432,Показатели!$E:$W,15,FALSE)),"")</f>
        <v/>
      </c>
      <c r="S432" t="str">
        <f>IFERROR(IF(VLOOKUP($B432,Показатели!$E:$W,16,FALSE)=0,"",VLOOKUP($B432,Показатели!$E:$W,16,FALSE)),"")</f>
        <v/>
      </c>
      <c r="T432" t="str">
        <f>IFERROR(IF(VLOOKUP($B432,Показатели!$E:$W,17,FALSE)=0,"",VLOOKUP($B432,Показатели!$E:$W,17,FALSE)),"")</f>
        <v/>
      </c>
      <c r="U432" t="str">
        <f>IFERROR(IF(VLOOKUP($B432,Показатели!$E:$W,18,FALSE)=0,"",VLOOKUP($B432,Показатели!$E:$W,18,FALSE)),"")</f>
        <v/>
      </c>
      <c r="V432" t="str">
        <f>IFERROR(IF(VLOOKUP($B432,Показатели!$E:$W,19,FALSE)=0,"",VLOOKUP($B432,Показатели!$E:$W,19,FALSE)),"")</f>
        <v/>
      </c>
    </row>
    <row r="433" spans="1:22" x14ac:dyDescent="0.2">
      <c r="A433" s="7" t="s">
        <v>2231</v>
      </c>
      <c r="B433" t="str">
        <f t="shared" si="6"/>
        <v>PLZL IV кв. 2010</v>
      </c>
      <c r="C433">
        <v>2010</v>
      </c>
      <c r="D433">
        <f>SUMIFS(Дивиденды!$C:$C,Дивиденды!$A:$A,A433,Дивиденды!$I:$I,C433)</f>
        <v>12.1</v>
      </c>
      <c r="E433" t="str">
        <f>IFERROR(IF(VLOOKUP($B433,Показатели!$E:$W,2,FALSE)=0,"",VLOOKUP($B433,Показатели!$E:$W,2,FALSE)),"")</f>
        <v/>
      </c>
      <c r="F433" t="str">
        <f>IFERROR(IF(VLOOKUP($B433,Показатели!$E:$W,3,FALSE)=0,"",VLOOKUP($B433,Показатели!$E:$W,3,FALSE)),"")</f>
        <v/>
      </c>
      <c r="G433" t="str">
        <f>IFERROR(IF(VLOOKUP($B433,Показатели!$E:$W,4,FALSE)=0,"",VLOOKUP($B433,Показатели!$E:$W,4,FALSE)),"")</f>
        <v/>
      </c>
      <c r="H433" t="str">
        <f>IFERROR(IF(VLOOKUP($B433,Показатели!$E:$W,5,FALSE)=0,"",VLOOKUP($B433,Показатели!$E:$W,5,FALSE)),"")</f>
        <v/>
      </c>
      <c r="I433" t="str">
        <f>IFERROR(IF(VLOOKUP($B433,Показатели!$E:$W,6,FALSE)=0,"",VLOOKUP($B433,Показатели!$E:$W,6,FALSE)),"")</f>
        <v/>
      </c>
      <c r="J433" t="str">
        <f>IFERROR(IF(VLOOKUP($B433,Показатели!$E:$W,7,FALSE)=0,"",VLOOKUP($B433,Показатели!$E:$W,7,FALSE)),"")</f>
        <v/>
      </c>
      <c r="K433" t="str">
        <f>IFERROR(IF(VLOOKUP($B433,Показатели!$E:$W,8,FALSE)=0,"",VLOOKUP($B433,Показатели!$E:$W,8,FALSE)),"")</f>
        <v/>
      </c>
      <c r="L433" t="str">
        <f>IFERROR(IF(VLOOKUP($B433,Показатели!$E:$W,9,FALSE)=0,"",VLOOKUP($B433,Показатели!$E:$W,9,FALSE)),"")</f>
        <v/>
      </c>
      <c r="M433" t="str">
        <f>IFERROR(IF(VLOOKUP($B433,Показатели!$E:$W,10,FALSE)=0,"",VLOOKUP($B433,Показатели!$E:$W,10,FALSE)),"")</f>
        <v/>
      </c>
      <c r="N433" t="str">
        <f>IFERROR(IF(VLOOKUP($B433,Показатели!$E:$W,11,FALSE)=0,"",VLOOKUP($B433,Показатели!$E:$W,11,FALSE)),"")</f>
        <v/>
      </c>
      <c r="O433" t="str">
        <f>IFERROR(IF(VLOOKUP($B433,Показатели!$E:$W,12,FALSE)=0,"",VLOOKUP($B433,Показатели!$E:$W,12,FALSE)),"")</f>
        <v/>
      </c>
      <c r="P433" t="str">
        <f>IFERROR(IF(VLOOKUP($B433,Показатели!$E:$W,13,FALSE)=0,"",VLOOKUP($B433,Показатели!$E:$W,13,FALSE)),"")</f>
        <v/>
      </c>
      <c r="Q433" t="str">
        <f>IFERROR(IF(VLOOKUP($B433,Показатели!$E:$W,14,FALSE)=0,"",VLOOKUP($B433,Показатели!$E:$W,14,FALSE)),"")</f>
        <v/>
      </c>
      <c r="R433" t="str">
        <f>IFERROR(IF(VLOOKUP($B433,Показатели!$E:$W,15,FALSE)=0,"",VLOOKUP($B433,Показатели!$E:$W,15,FALSE)),"")</f>
        <v/>
      </c>
      <c r="S433" t="str">
        <f>IFERROR(IF(VLOOKUP($B433,Показатели!$E:$W,16,FALSE)=0,"",VLOOKUP($B433,Показатели!$E:$W,16,FALSE)),"")</f>
        <v/>
      </c>
      <c r="T433" t="str">
        <f>IFERROR(IF(VLOOKUP($B433,Показатели!$E:$W,17,FALSE)=0,"",VLOOKUP($B433,Показатели!$E:$W,17,FALSE)),"")</f>
        <v/>
      </c>
      <c r="U433" t="str">
        <f>IFERROR(IF(VLOOKUP($B433,Показатели!$E:$W,18,FALSE)=0,"",VLOOKUP($B433,Показатели!$E:$W,18,FALSE)),"")</f>
        <v/>
      </c>
      <c r="V433" t="str">
        <f>IFERROR(IF(VLOOKUP($B433,Показатели!$E:$W,19,FALSE)=0,"",VLOOKUP($B433,Показатели!$E:$W,19,FALSE)),"")</f>
        <v/>
      </c>
    </row>
    <row r="434" spans="1:22" x14ac:dyDescent="0.2">
      <c r="A434" s="7" t="s">
        <v>2234</v>
      </c>
      <c r="B434" t="str">
        <f t="shared" si="6"/>
        <v>RASP IV кв. 2025</v>
      </c>
      <c r="C434">
        <v>2025</v>
      </c>
      <c r="D434">
        <f>SUMIFS(Дивиденды!$C:$C,Дивиденды!$A:$A,A434,Дивиденды!$I:$I,C434)</f>
        <v>0</v>
      </c>
      <c r="E434">
        <f>IFERROR(IF(VLOOKUP($B434,Показатели!$E:$W,2,FALSE)=0,"",VLOOKUP($B434,Показатели!$E:$W,2,FALSE)),"")</f>
        <v>10892000000</v>
      </c>
      <c r="F434">
        <f>IFERROR(IF(VLOOKUP($B434,Показатели!$E:$W,3,FALSE)=0,"",VLOOKUP($B434,Показатели!$E:$W,3,FALSE)),"")</f>
        <v>79174000000</v>
      </c>
      <c r="G434">
        <f>IFERROR(IF(VLOOKUP($B434,Показатели!$E:$W,4,FALSE)=0,"",VLOOKUP($B434,Показатели!$E:$W,4,FALSE)),"")</f>
        <v>119053000000</v>
      </c>
      <c r="H434" t="str">
        <f>IFERROR(IF(VLOOKUP($B434,Показатели!$E:$W,5,FALSE)=0,"",VLOOKUP($B434,Показатели!$E:$W,5,FALSE)),"")</f>
        <v/>
      </c>
      <c r="I434">
        <f>IFERROR(IF(VLOOKUP($B434,Показатели!$E:$W,6,FALSE)=0,"",VLOOKUP($B434,Показатели!$E:$W,6,FALSE)),"")</f>
        <v>203414000000</v>
      </c>
      <c r="J434">
        <f>IFERROR(IF(VLOOKUP($B434,Показатели!$E:$W,7,FALSE)=0,"",VLOOKUP($B434,Показатели!$E:$W,7,FALSE)),"")</f>
        <v>39948000000</v>
      </c>
      <c r="K434">
        <f>IFERROR(IF(VLOOKUP($B434,Показатели!$E:$W,8,FALSE)=0,"",VLOOKUP($B434,Показатели!$E:$W,8,FALSE)),"")</f>
        <v>26001000000</v>
      </c>
      <c r="L434">
        <f>IFERROR(IF(VLOOKUP($B434,Показатели!$E:$W,9,FALSE)=0,"",VLOOKUP($B434,Показатели!$E:$W,9,FALSE)),"")</f>
        <v>132743000000</v>
      </c>
      <c r="M434">
        <f>IFERROR(IF(VLOOKUP($B434,Показатели!$E:$W,10,FALSE)=0,"",VLOOKUP($B434,Показатели!$E:$W,10,FALSE)),"")</f>
        <v>137465000000</v>
      </c>
      <c r="N434">
        <f>IFERROR(IF(VLOOKUP($B434,Показатели!$E:$W,11,FALSE)=0,"",VLOOKUP($B434,Показатели!$E:$W,11,FALSE)),"")</f>
        <v>119238000000</v>
      </c>
      <c r="O434">
        <f>IFERROR(IF(VLOOKUP($B434,Показатели!$E:$W,12,FALSE)=0,"",VLOOKUP($B434,Показатели!$E:$W,12,FALSE)),"")</f>
        <v>-62169000000</v>
      </c>
      <c r="P434">
        <f>IFERROR(IF(VLOOKUP($B434,Показатели!$E:$W,13,FALSE)=0,"",VLOOKUP($B434,Показатели!$E:$W,13,FALSE)),"")</f>
        <v>-61676000000</v>
      </c>
      <c r="Q434">
        <f>IFERROR(IF(VLOOKUP($B434,Показатели!$E:$W,14,FALSE)=0,"",VLOOKUP($B434,Показатели!$E:$W,14,FALSE)),"")</f>
        <v>-53045000000</v>
      </c>
      <c r="R434">
        <f>IFERROR(IF(VLOOKUP($B434,Показатели!$E:$W,15,FALSE)=0,"",VLOOKUP($B434,Показатели!$E:$W,15,FALSE)),"")</f>
        <v>23267000000</v>
      </c>
      <c r="S434">
        <f>IFERROR(IF(VLOOKUP($B434,Показатели!$E:$W,16,FALSE)=0,"",VLOOKUP($B434,Показатели!$E:$W,16,FALSE)),"")</f>
        <v>-16584000000</v>
      </c>
      <c r="T434">
        <f>IFERROR(IF(VLOOKUP($B434,Показатели!$E:$W,17,FALSE)=0,"",VLOOKUP($B434,Показатели!$E:$W,17,FALSE)),"")</f>
        <v>-21673000000</v>
      </c>
      <c r="U434">
        <f>IFERROR(IF(VLOOKUP($B434,Показатели!$E:$W,18,FALSE)=0,"",VLOOKUP($B434,Показатели!$E:$W,18,FALSE)),"")</f>
        <v>161401570175.06918</v>
      </c>
      <c r="V434">
        <f>IFERROR(IF(VLOOKUP($B434,Показатели!$E:$W,19,FALSE)=0,"",VLOOKUP($B434,Показатели!$E:$W,19,FALSE)),"")</f>
        <v>228721674315.78937</v>
      </c>
    </row>
    <row r="435" spans="1:22" x14ac:dyDescent="0.2">
      <c r="A435" s="7" t="s">
        <v>2234</v>
      </c>
      <c r="B435" t="str">
        <f t="shared" si="6"/>
        <v>RASP IV кв. 2024</v>
      </c>
      <c r="C435">
        <v>2024</v>
      </c>
      <c r="D435">
        <f>SUMIFS(Дивиденды!$C:$C,Дивиденды!$A:$A,A435,Дивиденды!$I:$I,C435)</f>
        <v>0</v>
      </c>
      <c r="E435">
        <f>IFERROR(IF(VLOOKUP($B435,Показатели!$E:$W,2,FALSE)=0,"",VLOOKUP($B435,Показатели!$E:$W,2,FALSE)),"")</f>
        <v>3981794330.1939039</v>
      </c>
      <c r="F435">
        <f>IFERROR(IF(VLOOKUP($B435,Показатели!$E:$W,3,FALSE)=0,"",VLOOKUP($B435,Показатели!$E:$W,3,FALSE)),"")</f>
        <v>107138047442.65923</v>
      </c>
      <c r="G435">
        <f>IFERROR(IF(VLOOKUP($B435,Показатели!$E:$W,4,FALSE)=0,"",VLOOKUP($B435,Показатели!$E:$W,4,FALSE)),"")</f>
        <v>118713030960.66476</v>
      </c>
      <c r="H435" t="str">
        <f>IFERROR(IF(VLOOKUP($B435,Показатели!$E:$W,5,FALSE)=0,"",VLOOKUP($B435,Показатели!$E:$W,5,FALSE)),"")</f>
        <v/>
      </c>
      <c r="I435">
        <f>IFERROR(IF(VLOOKUP($B435,Показатели!$E:$W,6,FALSE)=0,"",VLOOKUP($B435,Показатели!$E:$W,6,FALSE)),"")</f>
        <v>228721674315.78937</v>
      </c>
      <c r="J435">
        <f>IFERROR(IF(VLOOKUP($B435,Показатели!$E:$W,7,FALSE)=0,"",VLOOKUP($B435,Показатели!$E:$W,7,FALSE)),"")</f>
        <v>30280156883.102478</v>
      </c>
      <c r="K435">
        <f>IFERROR(IF(VLOOKUP($B435,Показатели!$E:$W,8,FALSE)=0,"",VLOOKUP($B435,Показатели!$E:$W,8,FALSE)),"")</f>
        <v>24446365190.027691</v>
      </c>
      <c r="L435">
        <f>IFERROR(IF(VLOOKUP($B435,Показатели!$E:$W,9,FALSE)=0,"",VLOOKUP($B435,Показатели!$E:$W,9,FALSE)),"")</f>
        <v>281133199685.31842</v>
      </c>
      <c r="M435">
        <f>IFERROR(IF(VLOOKUP($B435,Показатели!$E:$W,10,FALSE)=0,"",VLOOKUP($B435,Показатели!$E:$W,10,FALSE)),"")</f>
        <v>173995152242.65921</v>
      </c>
      <c r="N435">
        <f>IFERROR(IF(VLOOKUP($B435,Показатели!$E:$W,11,FALSE)=0,"",VLOOKUP($B435,Показатели!$E:$W,11,FALSE)),"")</f>
        <v>161401570175.06918</v>
      </c>
      <c r="O435">
        <f>IFERROR(IF(VLOOKUP($B435,Показатели!$E:$W,12,FALSE)=0,"",VLOOKUP($B435,Показатели!$E:$W,12,FALSE)),"")</f>
        <v>-10556384968.421047</v>
      </c>
      <c r="P435">
        <f>IFERROR(IF(VLOOKUP($B435,Показатели!$E:$W,13,FALSE)=0,"",VLOOKUP($B435,Показатели!$E:$W,13,FALSE)),"")</f>
        <v>-8704387605.540163</v>
      </c>
      <c r="Q435">
        <f>IFERROR(IF(VLOOKUP($B435,Показатели!$E:$W,14,FALSE)=0,"",VLOOKUP($B435,Показатели!$E:$W,14,FALSE)),"")</f>
        <v>-12315782463.157888</v>
      </c>
      <c r="R435">
        <f>IFERROR(IF(VLOOKUP($B435,Показатели!$E:$W,15,FALSE)=0,"",VLOOKUP($B435,Показатели!$E:$W,15,FALSE)),"")</f>
        <v>17871774551.800545</v>
      </c>
      <c r="S435">
        <f>IFERROR(IF(VLOOKUP($B435,Показатели!$E:$W,16,FALSE)=0,"",VLOOKUP($B435,Показатели!$E:$W,16,FALSE)),"")</f>
        <v>26946561629.916885</v>
      </c>
      <c r="T435">
        <f>IFERROR(IF(VLOOKUP($B435,Показатели!$E:$W,17,FALSE)=0,"",VLOOKUP($B435,Показатели!$E:$W,17,FALSE)),"")</f>
        <v>-26853961761.772842</v>
      </c>
      <c r="U435">
        <f>IFERROR(IF(VLOOKUP($B435,Показатели!$E:$W,18,FALSE)=0,"",VLOOKUP($B435,Показатели!$E:$W,18,FALSE)),"")</f>
        <v>188779473819.44452</v>
      </c>
      <c r="V435">
        <f>IFERROR(IF(VLOOKUP($B435,Показатели!$E:$W,19,FALSE)=0,"",VLOOKUP($B435,Показатели!$E:$W,19,FALSE)),"")</f>
        <v>247890512680.55563</v>
      </c>
    </row>
    <row r="436" spans="1:22" x14ac:dyDescent="0.2">
      <c r="A436" s="7" t="s">
        <v>2234</v>
      </c>
      <c r="B436" t="str">
        <f t="shared" si="6"/>
        <v>RASP IV кв. 2023</v>
      </c>
      <c r="C436">
        <v>2023</v>
      </c>
      <c r="D436">
        <f>SUMIFS(Дивиденды!$C:$C,Дивиденды!$A:$A,A436,Дивиденды!$I:$I,C436)</f>
        <v>0</v>
      </c>
      <c r="E436">
        <f>IFERROR(IF(VLOOKUP($B436,Показатели!$E:$W,2,FALSE)=0,"",VLOOKUP($B436,Показатели!$E:$W,2,FALSE)),"")</f>
        <v>5808599194.4444466</v>
      </c>
      <c r="F436">
        <f>IFERROR(IF(VLOOKUP($B436,Показатели!$E:$W,3,FALSE)=0,"",VLOOKUP($B436,Показатели!$E:$W,3,FALSE)),"")</f>
        <v>105494411840.27782</v>
      </c>
      <c r="G436">
        <f>IFERROR(IF(VLOOKUP($B436,Показатели!$E:$W,4,FALSE)=0,"",VLOOKUP($B436,Показатели!$E:$W,4,FALSE)),"")</f>
        <v>129668434958.33337</v>
      </c>
      <c r="H436" t="str">
        <f>IFERROR(IF(VLOOKUP($B436,Показатели!$E:$W,5,FALSE)=0,"",VLOOKUP($B436,Показатели!$E:$W,5,FALSE)),"")</f>
        <v/>
      </c>
      <c r="I436">
        <f>IFERROR(IF(VLOOKUP($B436,Показатели!$E:$W,6,FALSE)=0,"",VLOOKUP($B436,Показатели!$E:$W,6,FALSE)),"")</f>
        <v>247890512680.55563</v>
      </c>
      <c r="J436">
        <f>IFERROR(IF(VLOOKUP($B436,Показатели!$E:$W,7,FALSE)=0,"",VLOOKUP($B436,Показатели!$E:$W,7,FALSE)),"")</f>
        <v>33399445368.055569</v>
      </c>
      <c r="K436">
        <f>IFERROR(IF(VLOOKUP($B436,Показатели!$E:$W,8,FALSE)=0,"",VLOOKUP($B436,Показатели!$E:$W,8,FALSE)),"")</f>
        <v>21611405826.388897</v>
      </c>
      <c r="L436">
        <f>IFERROR(IF(VLOOKUP($B436,Показатели!$E:$W,9,FALSE)=0,"",VLOOKUP($B436,Показатели!$E:$W,9,FALSE)),"")</f>
        <v>270526965423.61121</v>
      </c>
      <c r="M436">
        <f>IFERROR(IF(VLOOKUP($B436,Показатели!$E:$W,10,FALSE)=0,"",VLOOKUP($B436,Показатели!$E:$W,10,FALSE)),"")</f>
        <v>192879661486.11118</v>
      </c>
      <c r="N436">
        <f>IFERROR(IF(VLOOKUP($B436,Показатели!$E:$W,11,FALSE)=0,"",VLOOKUP($B436,Показатели!$E:$W,11,FALSE)),"")</f>
        <v>188779473819.44452</v>
      </c>
      <c r="O436">
        <f>IFERROR(IF(VLOOKUP($B436,Показатели!$E:$W,12,FALSE)=0,"",VLOOKUP($B436,Показатели!$E:$W,12,FALSE)),"")</f>
        <v>44333279145.833351</v>
      </c>
      <c r="P436">
        <f>IFERROR(IF(VLOOKUP($B436,Показатели!$E:$W,13,FALSE)=0,"",VLOOKUP($B436,Показатели!$E:$W,13,FALSE)),"")</f>
        <v>48177205083.333351</v>
      </c>
      <c r="Q436">
        <f>IFERROR(IF(VLOOKUP($B436,Показатели!$E:$W,14,FALSE)=0,"",VLOOKUP($B436,Показатели!$E:$W,14,FALSE)),"")</f>
        <v>37585053611.111122</v>
      </c>
      <c r="R436">
        <f>IFERROR(IF(VLOOKUP($B436,Показатели!$E:$W,15,FALSE)=0,"",VLOOKUP($B436,Показатели!$E:$W,15,FALSE)),"")</f>
        <v>16400750666.666672</v>
      </c>
      <c r="S436">
        <f>IFERROR(IF(VLOOKUP($B436,Показатели!$E:$W,16,FALSE)=0,"",VLOOKUP($B436,Показатели!$E:$W,16,FALSE)),"")</f>
        <v>58854777131.944466</v>
      </c>
      <c r="T436">
        <f>IFERROR(IF(VLOOKUP($B436,Показатели!$E:$W,17,FALSE)=0,"",VLOOKUP($B436,Показатели!$E:$W,17,FALSE)),"")</f>
        <v>-18365423923.611118</v>
      </c>
      <c r="U436">
        <f>IFERROR(IF(VLOOKUP($B436,Показатели!$E:$W,18,FALSE)=0,"",VLOOKUP($B436,Показатели!$E:$W,18,FALSE)),"")</f>
        <v>193479430934.99985</v>
      </c>
      <c r="V436">
        <f>IFERROR(IF(VLOOKUP($B436,Показатели!$E:$W,19,FALSE)=0,"",VLOOKUP($B436,Показатели!$E:$W,19,FALSE)),"")</f>
        <v>211996814894.99985</v>
      </c>
    </row>
    <row r="437" spans="1:22" x14ac:dyDescent="0.2">
      <c r="A437" s="7" t="s">
        <v>2234</v>
      </c>
      <c r="B437" t="str">
        <f t="shared" si="6"/>
        <v>RASP IV кв. 2022</v>
      </c>
      <c r="C437">
        <v>2022</v>
      </c>
      <c r="D437">
        <f>SUMIFS(Дивиденды!$C:$C,Дивиденды!$A:$A,A437,Дивиденды!$I:$I,C437)</f>
        <v>0</v>
      </c>
      <c r="E437">
        <f>IFERROR(IF(VLOOKUP($B437,Показатели!$E:$W,2,FALSE)=0,"",VLOOKUP($B437,Показатели!$E:$W,2,FALSE)),"")</f>
        <v>26210267737.499981</v>
      </c>
      <c r="F437">
        <f>IFERROR(IF(VLOOKUP($B437,Показатели!$E:$W,3,FALSE)=0,"",VLOOKUP($B437,Показатели!$E:$W,3,FALSE)),"")</f>
        <v>82647441644.999939</v>
      </c>
      <c r="G437">
        <f>IFERROR(IF(VLOOKUP($B437,Показатели!$E:$W,4,FALSE)=0,"",VLOOKUP($B437,Показатели!$E:$W,4,FALSE)),"")</f>
        <v>126966621637.49991</v>
      </c>
      <c r="H437" t="str">
        <f>IFERROR(IF(VLOOKUP($B437,Показатели!$E:$W,5,FALSE)=0,"",VLOOKUP($B437,Показатели!$E:$W,5,FALSE)),"")</f>
        <v/>
      </c>
      <c r="I437">
        <f>IFERROR(IF(VLOOKUP($B437,Показатели!$E:$W,6,FALSE)=0,"",VLOOKUP($B437,Показатели!$E:$W,6,FALSE)),"")</f>
        <v>211996814894.99985</v>
      </c>
      <c r="J437">
        <f>IFERROR(IF(VLOOKUP($B437,Показатели!$E:$W,7,FALSE)=0,"",VLOOKUP($B437,Показатели!$E:$W,7,FALSE)),"")</f>
        <v>27435682852.499981</v>
      </c>
      <c r="K437">
        <f>IFERROR(IF(VLOOKUP($B437,Показатели!$E:$W,8,FALSE)=0,"",VLOOKUP($B437,Показатели!$E:$W,8,FALSE)),"")</f>
        <v>22602101009.999985</v>
      </c>
      <c r="L437">
        <f>IFERROR(IF(VLOOKUP($B437,Показатели!$E:$W,9,FALSE)=0,"",VLOOKUP($B437,Показатели!$E:$W,9,FALSE)),"")</f>
        <v>185446154069.99988</v>
      </c>
      <c r="M437">
        <f>IFERROR(IF(VLOOKUP($B437,Показатели!$E:$W,10,FALSE)=0,"",VLOOKUP($B437,Показатели!$E:$W,10,FALSE)),"")</f>
        <v>161959031032.49988</v>
      </c>
      <c r="N437">
        <f>IFERROR(IF(VLOOKUP($B437,Показатели!$E:$W,11,FALSE)=0,"",VLOOKUP($B437,Показатели!$E:$W,11,FALSE)),"")</f>
        <v>193479430934.99985</v>
      </c>
      <c r="O437">
        <f>IFERROR(IF(VLOOKUP($B437,Показатели!$E:$W,12,FALSE)=0,"",VLOOKUP($B437,Показатели!$E:$W,12,FALSE)),"")</f>
        <v>68078617499.999947</v>
      </c>
      <c r="P437">
        <f>IFERROR(IF(VLOOKUP($B437,Показатели!$E:$W,13,FALSE)=0,"",VLOOKUP($B437,Показатели!$E:$W,13,FALSE)),"")</f>
        <v>68010538882.499947</v>
      </c>
      <c r="Q437">
        <f>IFERROR(IF(VLOOKUP($B437,Показатели!$E:$W,14,FALSE)=0,"",VLOOKUP($B437,Показатели!$E:$W,14,FALSE)),"")</f>
        <v>53237478884.999962</v>
      </c>
      <c r="R437">
        <f>IFERROR(IF(VLOOKUP($B437,Показатели!$E:$W,15,FALSE)=0,"",VLOOKUP($B437,Показатели!$E:$W,15,FALSE)),"")</f>
        <v>13956116587.49999</v>
      </c>
      <c r="S437">
        <f>IFERROR(IF(VLOOKUP($B437,Показатели!$E:$W,16,FALSE)=0,"",VLOOKUP($B437,Показатели!$E:$W,16,FALSE)),"")</f>
        <v>88161809662.499939</v>
      </c>
      <c r="T437">
        <f>IFERROR(IF(VLOOKUP($B437,Показатели!$E:$W,17,FALSE)=0,"",VLOOKUP($B437,Показатели!$E:$W,17,FALSE)),"")</f>
        <v>-15726160642.499989</v>
      </c>
      <c r="U437">
        <f>IFERROR(IF(VLOOKUP($B437,Показатели!$E:$W,18,FALSE)=0,"",VLOOKUP($B437,Показатели!$E:$W,18,FALSE)),"")</f>
        <v>154781610853.09094</v>
      </c>
      <c r="V437">
        <f>IFERROR(IF(VLOOKUP($B437,Показатели!$E:$W,19,FALSE)=0,"",VLOOKUP($B437,Показатели!$E:$W,19,FALSE)),"")</f>
        <v>210261006163.63641</v>
      </c>
    </row>
    <row r="438" spans="1:22" x14ac:dyDescent="0.2">
      <c r="A438" s="7" t="s">
        <v>2234</v>
      </c>
      <c r="B438" t="str">
        <f t="shared" si="6"/>
        <v>RASP IV кв. 2021</v>
      </c>
      <c r="C438">
        <v>2021</v>
      </c>
      <c r="D438">
        <f>SUMIFS(Дивиденды!$C:$C,Дивиденды!$A:$A,A438,Дивиденды!$I:$I,C438)</f>
        <v>51</v>
      </c>
      <c r="E438">
        <f>IFERROR(IF(VLOOKUP($B438,Показатели!$E:$W,2,FALSE)=0,"",VLOOKUP($B438,Показатели!$E:$W,2,FALSE)),"")</f>
        <v>29510316654.54546</v>
      </c>
      <c r="F438">
        <f>IFERROR(IF(VLOOKUP($B438,Показатели!$E:$W,3,FALSE)=0,"",VLOOKUP($B438,Показатели!$E:$W,3,FALSE)),"")</f>
        <v>79161424425.818192</v>
      </c>
      <c r="G438">
        <f>IFERROR(IF(VLOOKUP($B438,Показатели!$E:$W,4,FALSE)=0,"",VLOOKUP($B438,Показатели!$E:$W,4,FALSE)),"")</f>
        <v>128074774280.72729</v>
      </c>
      <c r="H438" t="str">
        <f>IFERROR(IF(VLOOKUP($B438,Показатели!$E:$W,5,FALSE)=0,"",VLOOKUP($B438,Показатели!$E:$W,5,FALSE)),"")</f>
        <v/>
      </c>
      <c r="I438">
        <f>IFERROR(IF(VLOOKUP($B438,Показатели!$E:$W,6,FALSE)=0,"",VLOOKUP($B438,Показатели!$E:$W,6,FALSE)),"")</f>
        <v>210261006163.63641</v>
      </c>
      <c r="J438">
        <f>IFERROR(IF(VLOOKUP($B438,Показатели!$E:$W,7,FALSE)=0,"",VLOOKUP($B438,Показатели!$E:$W,7,FALSE)),"")</f>
        <v>49134677229.818192</v>
      </c>
      <c r="K438">
        <f>IFERROR(IF(VLOOKUP($B438,Показатели!$E:$W,8,FALSE)=0,"",VLOOKUP($B438,Показатели!$E:$W,8,FALSE)),"")</f>
        <v>54225206852.72728</v>
      </c>
      <c r="L438">
        <f>IFERROR(IF(VLOOKUP($B438,Показатели!$E:$W,9,FALSE)=0,"",VLOOKUP($B438,Показатели!$E:$W,9,FALSE)),"")</f>
        <v>142461053649.81821</v>
      </c>
      <c r="M438">
        <f>IFERROR(IF(VLOOKUP($B438,Показатели!$E:$W,10,FALSE)=0,"",VLOOKUP($B438,Показатели!$E:$W,10,FALSE)),"")</f>
        <v>106901122081.09093</v>
      </c>
      <c r="N438">
        <f>IFERROR(IF(VLOOKUP($B438,Показатели!$E:$W,11,FALSE)=0,"",VLOOKUP($B438,Показатели!$E:$W,11,FALSE)),"")</f>
        <v>154781610853.09094</v>
      </c>
      <c r="O438">
        <f>IFERROR(IF(VLOOKUP($B438,Показатели!$E:$W,12,FALSE)=0,"",VLOOKUP($B438,Показатели!$E:$W,12,FALSE)),"")</f>
        <v>82702662424.363647</v>
      </c>
      <c r="P438">
        <f>IFERROR(IF(VLOOKUP($B438,Показатели!$E:$W,13,FALSE)=0,"",VLOOKUP($B438,Показатели!$E:$W,13,FALSE)),"")</f>
        <v>80415612883.636383</v>
      </c>
      <c r="Q438">
        <f>IFERROR(IF(VLOOKUP($B438,Показатели!$E:$W,14,FALSE)=0,"",VLOOKUP($B438,Показатели!$E:$W,14,FALSE)),"")</f>
        <v>64553817681.818192</v>
      </c>
      <c r="R438">
        <f>IFERROR(IF(VLOOKUP($B438,Показатели!$E:$W,15,FALSE)=0,"",VLOOKUP($B438,Показатели!$E:$W,15,FALSE)),"")</f>
        <v>15788019410.181822</v>
      </c>
      <c r="S438">
        <f>IFERROR(IF(VLOOKUP($B438,Показатели!$E:$W,16,FALSE)=0,"",VLOOKUP($B438,Показатели!$E:$W,16,FALSE)),"")</f>
        <v>98269354459.636383</v>
      </c>
      <c r="T438">
        <f>IFERROR(IF(VLOOKUP($B438,Показатели!$E:$W,17,FALSE)=0,"",VLOOKUP($B438,Показатели!$E:$W,17,FALSE)),"")</f>
        <v>-16083122576.727276</v>
      </c>
      <c r="U438">
        <f>IFERROR(IF(VLOOKUP($B438,Показатели!$E:$W,18,FALSE)=0,"",VLOOKUP($B438,Показатели!$E:$W,18,FALSE)),"")</f>
        <v>44752046170.034866</v>
      </c>
      <c r="V438">
        <f>IFERROR(IF(VLOOKUP($B438,Показатели!$E:$W,19,FALSE)=0,"",VLOOKUP($B438,Показатели!$E:$W,19,FALSE)),"")</f>
        <v>197805490018.11856</v>
      </c>
    </row>
    <row r="439" spans="1:22" x14ac:dyDescent="0.2">
      <c r="A439" s="7" t="s">
        <v>2234</v>
      </c>
      <c r="B439" t="str">
        <f t="shared" si="6"/>
        <v>RASP IV кв. 2020</v>
      </c>
      <c r="C439">
        <v>2020</v>
      </c>
      <c r="D439">
        <f>SUMIFS(Дивиденды!$C:$C,Дивиденды!$A:$A,A439,Дивиденды!$I:$I,C439)</f>
        <v>8.4</v>
      </c>
      <c r="E439">
        <f>IFERROR(IF(VLOOKUP($B439,Показатели!$E:$W,2,FALSE)=0,"",VLOOKUP($B439,Показатели!$E:$W,2,FALSE)),"")</f>
        <v>41787855712.892006</v>
      </c>
      <c r="F439">
        <f>IFERROR(IF(VLOOKUP($B439,Показатели!$E:$W,3,FALSE)=0,"",VLOOKUP($B439,Показатели!$E:$W,3,FALSE)),"")</f>
        <v>66441244636.93383</v>
      </c>
      <c r="G439">
        <f>IFERROR(IF(VLOOKUP($B439,Показатели!$E:$W,4,FALSE)=0,"",VLOOKUP($B439,Показатели!$E:$W,4,FALSE)),"")</f>
        <v>129773704160.27881</v>
      </c>
      <c r="H439" t="str">
        <f>IFERROR(IF(VLOOKUP($B439,Показатели!$E:$W,5,FALSE)=0,"",VLOOKUP($B439,Показатели!$E:$W,5,FALSE)),"")</f>
        <v/>
      </c>
      <c r="I439">
        <f>IFERROR(IF(VLOOKUP($B439,Показатели!$E:$W,6,FALSE)=0,"",VLOOKUP($B439,Показатели!$E:$W,6,FALSE)),"")</f>
        <v>197805490018.11856</v>
      </c>
      <c r="J439">
        <f>IFERROR(IF(VLOOKUP($B439,Показатели!$E:$W,7,FALSE)=0,"",VLOOKUP($B439,Показатели!$E:$W,7,FALSE)),"")</f>
        <v>94781797300.34848</v>
      </c>
      <c r="K439">
        <f>IFERROR(IF(VLOOKUP($B439,Показатели!$E:$W,8,FALSE)=0,"",VLOOKUP($B439,Показатели!$E:$W,8,FALSE)),"")</f>
        <v>25376362206.27179</v>
      </c>
      <c r="L439">
        <f>IFERROR(IF(VLOOKUP($B439,Показатели!$E:$W,9,FALSE)=0,"",VLOOKUP($B439,Показатели!$E:$W,9,FALSE)),"")</f>
        <v>109024370960.27881</v>
      </c>
      <c r="M439">
        <f>IFERROR(IF(VLOOKUP($B439,Показатели!$E:$W,10,FALSE)=0,"",VLOOKUP($B439,Показатели!$E:$W,10,FALSE)),"")</f>
        <v>77647330511.498306</v>
      </c>
      <c r="N439">
        <f>IFERROR(IF(VLOOKUP($B439,Показатели!$E:$W,11,FALSE)=0,"",VLOOKUP($B439,Показатели!$E:$W,11,FALSE)),"")</f>
        <v>44752046170.034866</v>
      </c>
      <c r="O439">
        <f>IFERROR(IF(VLOOKUP($B439,Показатели!$E:$W,12,FALSE)=0,"",VLOOKUP($B439,Показатели!$E:$W,12,FALSE)),"")</f>
        <v>15905412209.059242</v>
      </c>
      <c r="P439">
        <f>IFERROR(IF(VLOOKUP($B439,Показатели!$E:$W,13,FALSE)=0,"",VLOOKUP($B439,Показатели!$E:$W,13,FALSE)),"")</f>
        <v>16194601521.951229</v>
      </c>
      <c r="Q439">
        <f>IFERROR(IF(VLOOKUP($B439,Показатели!$E:$W,14,FALSE)=0,"",VLOOKUP($B439,Показатели!$E:$W,14,FALSE)),"")</f>
        <v>12796627095.47039</v>
      </c>
      <c r="R439">
        <f>IFERROR(IF(VLOOKUP($B439,Показатели!$E:$W,15,FALSE)=0,"",VLOOKUP($B439,Показатели!$E:$W,15,FALSE)),"")</f>
        <v>4988515647.3867626</v>
      </c>
      <c r="S439">
        <f>IFERROR(IF(VLOOKUP($B439,Показатели!$E:$W,16,FALSE)=0,"",VLOOKUP($B439,Показатели!$E:$W,16,FALSE)),"")</f>
        <v>14242573659.930321</v>
      </c>
      <c r="T439">
        <f>IFERROR(IF(VLOOKUP($B439,Показатели!$E:$W,17,FALSE)=0,"",VLOOKUP($B439,Показатели!$E:$W,17,FALSE)),"")</f>
        <v>-4337839693.3797932</v>
      </c>
      <c r="U439">
        <f>IFERROR(IF(VLOOKUP($B439,Показатели!$E:$W,18,FALSE)=0,"",VLOOKUP($B439,Показатели!$E:$W,18,FALSE)),"")</f>
        <v>64430337374.999954</v>
      </c>
      <c r="V439">
        <f>IFERROR(IF(VLOOKUP($B439,Показатели!$E:$W,19,FALSE)=0,"",VLOOKUP($B439,Показатели!$E:$W,19,FALSE)),"")</f>
        <v>105572600999.99992</v>
      </c>
    </row>
    <row r="440" spans="1:22" x14ac:dyDescent="0.2">
      <c r="A440" s="7" t="s">
        <v>2234</v>
      </c>
      <c r="B440" t="str">
        <f t="shared" si="6"/>
        <v>RASP IV кв. 2019</v>
      </c>
      <c r="C440">
        <v>2019</v>
      </c>
      <c r="D440">
        <f>SUMIFS(Дивиденды!$C:$C,Дивиденды!$A:$A,A440,Дивиденды!$I:$I,C440)</f>
        <v>5.33</v>
      </c>
      <c r="E440">
        <f>IFERROR(IF(VLOOKUP($B440,Показатели!$E:$W,2,FALSE)=0,"",VLOOKUP($B440,Показатели!$E:$W,2,FALSE)),"")</f>
        <v>36937472531.249977</v>
      </c>
      <c r="F440">
        <f>IFERROR(IF(VLOOKUP($B440,Показатели!$E:$W,3,FALSE)=0,"",VLOOKUP($B440,Показатели!$E:$W,3,FALSE)),"")</f>
        <v>71352070406.249954</v>
      </c>
      <c r="G440">
        <f>IFERROR(IF(VLOOKUP($B440,Показатели!$E:$W,4,FALSE)=0,"",VLOOKUP($B440,Показатели!$E:$W,4,FALSE)),"")</f>
        <v>33573639656.249977</v>
      </c>
      <c r="H440" t="str">
        <f>IFERROR(IF(VLOOKUP($B440,Показатели!$E:$W,5,FALSE)=0,"",VLOOKUP($B440,Показатели!$E:$W,5,FALSE)),"")</f>
        <v/>
      </c>
      <c r="I440">
        <f>IFERROR(IF(VLOOKUP($B440,Показатели!$E:$W,6,FALSE)=0,"",VLOOKUP($B440,Показатели!$E:$W,6,FALSE)),"")</f>
        <v>105572600999.99992</v>
      </c>
      <c r="J440">
        <f>IFERROR(IF(VLOOKUP($B440,Показатели!$E:$W,7,FALSE)=0,"",VLOOKUP($B440,Показатели!$E:$W,7,FALSE)),"")</f>
        <v>21153333656.249985</v>
      </c>
      <c r="K440">
        <f>IFERROR(IF(VLOOKUP($B440,Показатели!$E:$W,8,FALSE)=0,"",VLOOKUP($B440,Показатели!$E:$W,8,FALSE)),"")</f>
        <v>6080774812.4999962</v>
      </c>
      <c r="L440">
        <f>IFERROR(IF(VLOOKUP($B440,Показатели!$E:$W,9,FALSE)=0,"",VLOOKUP($B440,Показатели!$E:$W,9,FALSE)),"")</f>
        <v>93540429562.499939</v>
      </c>
      <c r="M440">
        <f>IFERROR(IF(VLOOKUP($B440,Показатели!$E:$W,10,FALSE)=0,"",VLOOKUP($B440,Показатели!$E:$W,10,FALSE)),"")</f>
        <v>78338492531.249939</v>
      </c>
      <c r="N440">
        <f>IFERROR(IF(VLOOKUP($B440,Показатели!$E:$W,11,FALSE)=0,"",VLOOKUP($B440,Показатели!$E:$W,11,FALSE)),"")</f>
        <v>64430337374.999954</v>
      </c>
      <c r="O440">
        <f>IFERROR(IF(VLOOKUP($B440,Показатели!$E:$W,12,FALSE)=0,"",VLOOKUP($B440,Показатели!$E:$W,12,FALSE)),"")</f>
        <v>15719449781.249989</v>
      </c>
      <c r="P440">
        <f>IFERROR(IF(VLOOKUP($B440,Показатели!$E:$W,13,FALSE)=0,"",VLOOKUP($B440,Показатели!$E:$W,13,FALSE)),"")</f>
        <v>17142609843.749989</v>
      </c>
      <c r="Q440">
        <f>IFERROR(IF(VLOOKUP($B440,Показатели!$E:$W,14,FALSE)=0,"",VLOOKUP($B440,Показатели!$E:$W,14,FALSE)),"")</f>
        <v>13455331499.99999</v>
      </c>
      <c r="R440">
        <f>IFERROR(IF(VLOOKUP($B440,Показатели!$E:$W,15,FALSE)=0,"",VLOOKUP($B440,Показатели!$E:$W,15,FALSE)),"")</f>
        <v>3493211062.4999976</v>
      </c>
      <c r="S440">
        <f>IFERROR(IF(VLOOKUP($B440,Показатели!$E:$W,16,FALSE)=0,"",VLOOKUP($B440,Показатели!$E:$W,16,FALSE)),"")</f>
        <v>30921386812.499977</v>
      </c>
      <c r="T440">
        <f>IFERROR(IF(VLOOKUP($B440,Показатели!$E:$W,17,FALSE)=0,"",VLOOKUP($B440,Показатели!$E:$W,17,FALSE)),"")</f>
        <v>-4916371124.9999962</v>
      </c>
      <c r="U440">
        <f>IFERROR(IF(VLOOKUP($B440,Показатели!$E:$W,18,FALSE)=0,"",VLOOKUP($B440,Показатели!$E:$W,18,FALSE)),"")</f>
        <v>68212980709.302315</v>
      </c>
      <c r="V440">
        <f>IFERROR(IF(VLOOKUP($B440,Показатели!$E:$W,19,FALSE)=0,"",VLOOKUP($B440,Показатели!$E:$W,19,FALSE)),"")</f>
        <v>98138675472.093002</v>
      </c>
    </row>
    <row r="441" spans="1:22" x14ac:dyDescent="0.2">
      <c r="A441" s="7" t="s">
        <v>2234</v>
      </c>
      <c r="B441" t="str">
        <f t="shared" si="6"/>
        <v>RASP IV кв. 2018</v>
      </c>
      <c r="C441">
        <v>2018</v>
      </c>
      <c r="D441">
        <f>SUMIFS(Дивиденды!$C:$C,Дивиденды!$A:$A,A441,Дивиденды!$I:$I,C441)</f>
        <v>0</v>
      </c>
      <c r="E441">
        <f>IFERROR(IF(VLOOKUP($B441,Показатели!$E:$W,2,FALSE)=0,"",VLOOKUP($B441,Показатели!$E:$W,2,FALSE)),"")</f>
        <v>4212230145.1827235</v>
      </c>
      <c r="F441">
        <f>IFERROR(IF(VLOOKUP($B441,Показатели!$E:$W,3,FALSE)=0,"",VLOOKUP($B441,Показатели!$E:$W,3,FALSE)),"")</f>
        <v>54947599207.30896</v>
      </c>
      <c r="G441">
        <f>IFERROR(IF(VLOOKUP($B441,Показатели!$E:$W,4,FALSE)=0,"",VLOOKUP($B441,Показатели!$E:$W,4,FALSE)),"")</f>
        <v>35835390787.375412</v>
      </c>
      <c r="H441" t="str">
        <f>IFERROR(IF(VLOOKUP($B441,Показатели!$E:$W,5,FALSE)=0,"",VLOOKUP($B441,Показатели!$E:$W,5,FALSE)),"")</f>
        <v/>
      </c>
      <c r="I441">
        <f>IFERROR(IF(VLOOKUP($B441,Показатели!$E:$W,6,FALSE)=0,"",VLOOKUP($B441,Показатели!$E:$W,6,FALSE)),"")</f>
        <v>98138675472.093002</v>
      </c>
      <c r="J441">
        <f>IFERROR(IF(VLOOKUP($B441,Показатели!$E:$W,7,FALSE)=0,"",VLOOKUP($B441,Показатели!$E:$W,7,FALSE)),"")</f>
        <v>34263663121.262451</v>
      </c>
      <c r="K441">
        <f>IFERROR(IF(VLOOKUP($B441,Показатели!$E:$W,8,FALSE)=0,"",VLOOKUP($B441,Показатели!$E:$W,8,FALSE)),"")</f>
        <v>4023622825.2491689</v>
      </c>
      <c r="L441">
        <f>IFERROR(IF(VLOOKUP($B441,Показатели!$E:$W,9,FALSE)=0,"",VLOOKUP($B441,Показатели!$E:$W,9,FALSE)),"")</f>
        <v>79718027225.249161</v>
      </c>
      <c r="M441">
        <f>IFERROR(IF(VLOOKUP($B441,Показатели!$E:$W,10,FALSE)=0,"",VLOOKUP($B441,Показатели!$E:$W,10,FALSE)),"")</f>
        <v>59851389525.581383</v>
      </c>
      <c r="N441">
        <f>IFERROR(IF(VLOOKUP($B441,Показатели!$E:$W,11,FALSE)=0,"",VLOOKUP($B441,Показатели!$E:$W,11,FALSE)),"")</f>
        <v>68212980709.302315</v>
      </c>
      <c r="O441">
        <f>IFERROR(IF(VLOOKUP($B441,Показатели!$E:$W,12,FALSE)=0,"",VLOOKUP($B441,Показатели!$E:$W,12,FALSE)),"")</f>
        <v>35143830614.285706</v>
      </c>
      <c r="P441">
        <f>IFERROR(IF(VLOOKUP($B441,Показатели!$E:$W,13,FALSE)=0,"",VLOOKUP($B441,Показатели!$E:$W,13,FALSE)),"")</f>
        <v>35583914360.797333</v>
      </c>
      <c r="Q441">
        <f>IFERROR(IF(VLOOKUP($B441,Показатели!$E:$W,14,FALSE)=0,"",VLOOKUP($B441,Показатели!$E:$W,14,FALSE)),"")</f>
        <v>28165359776.744183</v>
      </c>
      <c r="R441">
        <f>IFERROR(IF(VLOOKUP($B441,Показатели!$E:$W,15,FALSE)=0,"",VLOOKUP($B441,Показатели!$E:$W,15,FALSE)),"")</f>
        <v>3080586225.5813947</v>
      </c>
      <c r="S441">
        <f>IFERROR(IF(VLOOKUP($B441,Показатели!$E:$W,16,FALSE)=0,"",VLOOKUP($B441,Показатели!$E:$W,16,FALSE)),"")</f>
        <v>37029903813.621254</v>
      </c>
      <c r="T441">
        <f>IFERROR(IF(VLOOKUP($B441,Показатели!$E:$W,17,FALSE)=0,"",VLOOKUP($B441,Показатели!$E:$W,17,FALSE)),"")</f>
        <v>-3332062652.1594677</v>
      </c>
      <c r="U441">
        <f>IFERROR(IF(VLOOKUP($B441,Показатели!$E:$W,18,FALSE)=0,"",VLOOKUP($B441,Показатели!$E:$W,18,FALSE)),"")</f>
        <v>50615553943.234306</v>
      </c>
      <c r="V441">
        <f>IFERROR(IF(VLOOKUP($B441,Показатели!$E:$W,19,FALSE)=0,"",VLOOKUP($B441,Показатели!$E:$W,19,FALSE)),"")</f>
        <v>78255844921.452118</v>
      </c>
    </row>
    <row r="442" spans="1:22" x14ac:dyDescent="0.2">
      <c r="A442" s="7" t="s">
        <v>2234</v>
      </c>
      <c r="B442" t="str">
        <f t="shared" si="6"/>
        <v>RASP IV кв. 2017</v>
      </c>
      <c r="C442">
        <v>2017</v>
      </c>
      <c r="D442">
        <f>SUMIFS(Дивиденды!$C:$C,Дивиденды!$A:$A,A442,Дивиденды!$I:$I,C442)</f>
        <v>0</v>
      </c>
      <c r="E442">
        <f>IFERROR(IF(VLOOKUP($B442,Показатели!$E:$W,2,FALSE)=0,"",VLOOKUP($B442,Показатели!$E:$W,2,FALSE)),"")</f>
        <v>2624078257.4257417</v>
      </c>
      <c r="F442">
        <f>IFERROR(IF(VLOOKUP($B442,Показатели!$E:$W,3,FALSE)=0,"",VLOOKUP($B442,Показатели!$E:$W,3,FALSE)),"")</f>
        <v>34462894447.524742</v>
      </c>
      <c r="G442">
        <f>IFERROR(IF(VLOOKUP($B442,Показатели!$E:$W,4,FALSE)=0,"",VLOOKUP($B442,Показатели!$E:$W,4,FALSE)),"")</f>
        <v>40352492314.191406</v>
      </c>
      <c r="H442" t="str">
        <f>IFERROR(IF(VLOOKUP($B442,Показатели!$E:$W,5,FALSE)=0,"",VLOOKUP($B442,Показатели!$E:$W,5,FALSE)),"")</f>
        <v/>
      </c>
      <c r="I442">
        <f>IFERROR(IF(VLOOKUP($B442,Показатели!$E:$W,6,FALSE)=0,"",VLOOKUP($B442,Показатели!$E:$W,6,FALSE)),"")</f>
        <v>78255844921.452118</v>
      </c>
      <c r="J442">
        <f>IFERROR(IF(VLOOKUP($B442,Показатели!$E:$W,7,FALSE)=0,"",VLOOKUP($B442,Показатели!$E:$W,7,FALSE)),"")</f>
        <v>34987710099.009888</v>
      </c>
      <c r="K442">
        <f>IFERROR(IF(VLOOKUP($B442,Показатели!$E:$W,8,FALSE)=0,"",VLOOKUP($B442,Показатели!$E:$W,8,FALSE)),"")</f>
        <v>4665028013.2013178</v>
      </c>
      <c r="L442">
        <f>IFERROR(IF(VLOOKUP($B442,Показатели!$E:$W,9,FALSE)=0,"",VLOOKUP($B442,Показатели!$E:$W,9,FALSE)),"")</f>
        <v>47758224285.148499</v>
      </c>
      <c r="M442">
        <f>IFERROR(IF(VLOOKUP($B442,Показатели!$E:$W,10,FALSE)=0,"",VLOOKUP($B442,Показатели!$E:$W,10,FALSE)),"")</f>
        <v>38603106809.240906</v>
      </c>
      <c r="N442">
        <f>IFERROR(IF(VLOOKUP($B442,Показатели!$E:$W,11,FALSE)=0,"",VLOOKUP($B442,Показатели!$E:$W,11,FALSE)),"")</f>
        <v>50615553943.234306</v>
      </c>
      <c r="O442">
        <f>IFERROR(IF(VLOOKUP($B442,Показатели!$E:$W,12,FALSE)=0,"",VLOOKUP($B442,Показатели!$E:$W,12,FALSE)),"")</f>
        <v>24608022769.636955</v>
      </c>
      <c r="P442">
        <f>IFERROR(IF(VLOOKUP($B442,Показатели!$E:$W,13,FALSE)=0,"",VLOOKUP($B442,Показатели!$E:$W,13,FALSE)),"")</f>
        <v>23325140066.006592</v>
      </c>
      <c r="Q442">
        <f>IFERROR(IF(VLOOKUP($B442,Показатели!$E:$W,14,FALSE)=0,"",VLOOKUP($B442,Показатели!$E:$W,14,FALSE)),"")</f>
        <v>18601799202.640255</v>
      </c>
      <c r="R442">
        <f>IFERROR(IF(VLOOKUP($B442,Показатели!$E:$W,15,FALSE)=0,"",VLOOKUP($B442,Показатели!$E:$W,15,FALSE)),"")</f>
        <v>2973955358.4158401</v>
      </c>
      <c r="S442">
        <f>IFERROR(IF(VLOOKUP($B442,Показатели!$E:$W,16,FALSE)=0,"",VLOOKUP($B442,Показатели!$E:$W,16,FALSE)),"")</f>
        <v>26532346825.082497</v>
      </c>
      <c r="T442">
        <f>IFERROR(IF(VLOOKUP($B442,Показатели!$E:$W,17,FALSE)=0,"",VLOOKUP($B442,Показатели!$E:$W,17,FALSE)),"")</f>
        <v>-3557083860.0660052</v>
      </c>
      <c r="U442">
        <f>IFERROR(IF(VLOOKUP($B442,Показатели!$E:$W,18,FALSE)=0,"",VLOOKUP($B442,Показатели!$E:$W,18,FALSE)),"")</f>
        <v>33661294380.851036</v>
      </c>
      <c r="V442">
        <f>IFERROR(IF(VLOOKUP($B442,Показатели!$E:$W,19,FALSE)=0,"",VLOOKUP($B442,Показатели!$E:$W,19,FALSE)),"")</f>
        <v>92602086732.978653</v>
      </c>
    </row>
    <row r="443" spans="1:22" x14ac:dyDescent="0.2">
      <c r="A443" s="7" t="s">
        <v>2234</v>
      </c>
      <c r="B443" t="str">
        <f t="shared" si="6"/>
        <v>RASP IV кв. 2016</v>
      </c>
      <c r="C443">
        <v>2016</v>
      </c>
      <c r="D443">
        <f>SUMIFS(Дивиденды!$C:$C,Дивиденды!$A:$A,A443,Дивиденды!$I:$I,C443)</f>
        <v>0</v>
      </c>
      <c r="E443">
        <f>IFERROR(IF(VLOOKUP($B443,Показатели!$E:$W,2,FALSE)=0,"",VLOOKUP($B443,Показатели!$E:$W,2,FALSE)),"")</f>
        <v>2346902994.6808491</v>
      </c>
      <c r="F443">
        <f>IFERROR(IF(VLOOKUP($B443,Показатели!$E:$W,3,FALSE)=0,"",VLOOKUP($B443,Показатели!$E:$W,3,FALSE)),"")</f>
        <v>43719450072.340385</v>
      </c>
      <c r="G443">
        <f>IFERROR(IF(VLOOKUP($B443,Показатели!$E:$W,4,FALSE)=0,"",VLOOKUP($B443,Показатели!$E:$W,4,FALSE)),"")</f>
        <v>42445417018.085068</v>
      </c>
      <c r="H443" t="str">
        <f>IFERROR(IF(VLOOKUP($B443,Показатели!$E:$W,5,FALSE)=0,"",VLOOKUP($B443,Показатели!$E:$W,5,FALSE)),"")</f>
        <v/>
      </c>
      <c r="I443">
        <f>IFERROR(IF(VLOOKUP($B443,Показатели!$E:$W,6,FALSE)=0,"",VLOOKUP($B443,Показатели!$E:$W,6,FALSE)),"")</f>
        <v>92602086732.978653</v>
      </c>
      <c r="J443">
        <f>IFERROR(IF(VLOOKUP($B443,Показатели!$E:$W,7,FALSE)=0,"",VLOOKUP($B443,Показатели!$E:$W,7,FALSE)),"")</f>
        <v>63567543970.212715</v>
      </c>
      <c r="K443">
        <f>IFERROR(IF(VLOOKUP($B443,Показатели!$E:$W,8,FALSE)=0,"",VLOOKUP($B443,Показатели!$E:$W,8,FALSE)),"")</f>
        <v>7375980840.4255257</v>
      </c>
      <c r="L443">
        <f>IFERROR(IF(VLOOKUP($B443,Показатели!$E:$W,9,FALSE)=0,"",VLOOKUP($B443,Показатели!$E:$W,9,FALSE)),"")</f>
        <v>33594240009.57444</v>
      </c>
      <c r="M443">
        <f>IFERROR(IF(VLOOKUP($B443,Показатели!$E:$W,10,FALSE)=0,"",VLOOKUP($B443,Показатели!$E:$W,10,FALSE)),"")</f>
        <v>21658561922.340408</v>
      </c>
      <c r="N443">
        <f>IFERROR(IF(VLOOKUP($B443,Показатели!$E:$W,11,FALSE)=0,"",VLOOKUP($B443,Показатели!$E:$W,11,FALSE)),"")</f>
        <v>33661294380.851036</v>
      </c>
      <c r="O443">
        <f>IFERROR(IF(VLOOKUP($B443,Показатели!$E:$W,12,FALSE)=0,"",VLOOKUP($B443,Показатели!$E:$W,12,FALSE)),"")</f>
        <v>18171734615.957432</v>
      </c>
      <c r="P443">
        <f>IFERROR(IF(VLOOKUP($B443,Показатели!$E:$W,13,FALSE)=0,"",VLOOKUP($B443,Показатели!$E:$W,13,FALSE)),"")</f>
        <v>15623668507.446795</v>
      </c>
      <c r="Q443">
        <f>IFERROR(IF(VLOOKUP($B443,Показатели!$E:$W,14,FALSE)=0,"",VLOOKUP($B443,Показатели!$E:$W,14,FALSE)),"")</f>
        <v>12405058686.170202</v>
      </c>
      <c r="R443" t="str">
        <f>IFERROR(IF(VLOOKUP($B443,Показатели!$E:$W,15,FALSE)=0,"",VLOOKUP($B443,Показатели!$E:$W,15,FALSE)),"")</f>
        <v/>
      </c>
      <c r="S443">
        <f>IFERROR(IF(VLOOKUP($B443,Показатели!$E:$W,16,FALSE)=0,"",VLOOKUP($B443,Показатели!$E:$W,16,FALSE)),"")</f>
        <v>13679091740.42552</v>
      </c>
      <c r="T443" t="str">
        <f>IFERROR(IF(VLOOKUP($B443,Показатели!$E:$W,17,FALSE)=0,"",VLOOKUP($B443,Показатели!$E:$W,17,FALSE)),"")</f>
        <v/>
      </c>
      <c r="U443">
        <f>IFERROR(IF(VLOOKUP($B443,Показатели!$E:$W,18,FALSE)=0,"",VLOOKUP($B443,Показатели!$E:$W,18,FALSE)),"")</f>
        <v>25663819651.948051</v>
      </c>
      <c r="V443">
        <f>IFERROR(IF(VLOOKUP($B443,Показатели!$E:$W,19,FALSE)=0,"",VLOOKUP($B443,Показатели!$E:$W,19,FALSE)),"")</f>
        <v>54390147615.584419</v>
      </c>
    </row>
    <row r="444" spans="1:22" x14ac:dyDescent="0.2">
      <c r="A444" s="7" t="s">
        <v>2234</v>
      </c>
      <c r="B444" t="str">
        <f t="shared" si="6"/>
        <v>RASP IV кв. 2015</v>
      </c>
      <c r="C444">
        <v>2015</v>
      </c>
      <c r="D444">
        <f>SUMIFS(Дивиденды!$C:$C,Дивиденды!$A:$A,A444,Дивиденды!$I:$I,C444)</f>
        <v>0</v>
      </c>
      <c r="E444">
        <f>IFERROR(IF(VLOOKUP($B444,Показатели!$E:$W,2,FALSE)=0,"",VLOOKUP($B444,Показатели!$E:$W,2,FALSE)),"")</f>
        <v>2940007979.2207794</v>
      </c>
      <c r="F444">
        <f>IFERROR(IF(VLOOKUP($B444,Показатели!$E:$W,3,FALSE)=0,"",VLOOKUP($B444,Показатели!$E:$W,3,FALSE)),"")</f>
        <v>17211296711.688313</v>
      </c>
      <c r="G444">
        <f>IFERROR(IF(VLOOKUP($B444,Показатели!$E:$W,4,FALSE)=0,"",VLOOKUP($B444,Показатели!$E:$W,4,FALSE)),"")</f>
        <v>30563832950.649353</v>
      </c>
      <c r="H444" t="str">
        <f>IFERROR(IF(VLOOKUP($B444,Показатели!$E:$W,5,FALSE)=0,"",VLOOKUP($B444,Показатели!$E:$W,5,FALSE)),"")</f>
        <v/>
      </c>
      <c r="I444">
        <f>IFERROR(IF(VLOOKUP($B444,Показатели!$E:$W,6,FALSE)=0,"",VLOOKUP($B444,Показатели!$E:$W,6,FALSE)),"")</f>
        <v>54390147615.584419</v>
      </c>
      <c r="J444">
        <f>IFERROR(IF(VLOOKUP($B444,Показатели!$E:$W,7,FALSE)=0,"",VLOOKUP($B444,Показатели!$E:$W,7,FALSE)),"")</f>
        <v>15251291392.207792</v>
      </c>
      <c r="K444">
        <f>IFERROR(IF(VLOOKUP($B444,Показатели!$E:$W,8,FALSE)=0,"",VLOOKUP($B444,Показатели!$E:$W,8,FALSE)),"")</f>
        <v>32891339267.532471</v>
      </c>
      <c r="L444">
        <f>IFERROR(IF(VLOOKUP($B444,Показатели!$E:$W,9,FALSE)=0,"",VLOOKUP($B444,Показатели!$E:$W,9,FALSE)),"")</f>
        <v>19355052529.870132</v>
      </c>
      <c r="M444">
        <f>IFERROR(IF(VLOOKUP($B444,Показатели!$E:$W,10,FALSE)=0,"",VLOOKUP($B444,Показатели!$E:$W,10,FALSE)),"")</f>
        <v>6247516955.8441563</v>
      </c>
      <c r="N444">
        <f>IFERROR(IF(VLOOKUP($B444,Показатели!$E:$W,11,FALSE)=0,"",VLOOKUP($B444,Показатели!$E:$W,11,FALSE)),"")</f>
        <v>25663819651.948051</v>
      </c>
      <c r="O444">
        <f>IFERROR(IF(VLOOKUP($B444,Показатели!$E:$W,12,FALSE)=0,"",VLOOKUP($B444,Показатели!$E:$W,12,FALSE)),"")</f>
        <v>-7288769781.818182</v>
      </c>
      <c r="P444">
        <f>IFERROR(IF(VLOOKUP($B444,Показатели!$E:$W,13,FALSE)=0,"",VLOOKUP($B444,Показатели!$E:$W,13,FALSE)),"")</f>
        <v>-9555025932.4675331</v>
      </c>
      <c r="Q444">
        <f>IFERROR(IF(VLOOKUP($B444,Показатели!$E:$W,14,FALSE)=0,"",VLOOKUP($B444,Показатели!$E:$W,14,FALSE)),"")</f>
        <v>-7717520945.454546</v>
      </c>
      <c r="R444" t="str">
        <f>IFERROR(IF(VLOOKUP($B444,Показатели!$E:$W,15,FALSE)=0,"",VLOOKUP($B444,Показатели!$E:$W,15,FALSE)),"")</f>
        <v/>
      </c>
      <c r="S444">
        <f>IFERROR(IF(VLOOKUP($B444,Показатели!$E:$W,16,FALSE)=0,"",VLOOKUP($B444,Показатели!$E:$W,16,FALSE)),"")</f>
        <v>3797510306.4935069</v>
      </c>
      <c r="T444" t="str">
        <f>IFERROR(IF(VLOOKUP($B444,Показатели!$E:$W,17,FALSE)=0,"",VLOOKUP($B444,Показатели!$E:$W,17,FALSE)),"")</f>
        <v/>
      </c>
      <c r="U444">
        <f>IFERROR(IF(VLOOKUP($B444,Показатели!$E:$W,18,FALSE)=0,"",VLOOKUP($B444,Показатели!$E:$W,18,FALSE)),"")</f>
        <v>17186428455.525093</v>
      </c>
      <c r="V444">
        <f>IFERROR(IF(VLOOKUP($B444,Показатели!$E:$W,19,FALSE)=0,"",VLOOKUP($B444,Показатели!$E:$W,19,FALSE)),"")</f>
        <v>37326600480.684021</v>
      </c>
    </row>
    <row r="445" spans="1:22" x14ac:dyDescent="0.2">
      <c r="A445" s="7" t="s">
        <v>2234</v>
      </c>
      <c r="B445" t="str">
        <f t="shared" si="6"/>
        <v>RASP IV кв. 2014</v>
      </c>
      <c r="C445">
        <v>2014</v>
      </c>
      <c r="D445">
        <f>SUMIFS(Дивиденды!$C:$C,Дивиденды!$A:$A,A445,Дивиденды!$I:$I,C445)</f>
        <v>0</v>
      </c>
      <c r="E445">
        <f>IFERROR(IF(VLOOKUP($B445,Показатели!$E:$W,2,FALSE)=0,"",VLOOKUP($B445,Показатели!$E:$W,2,FALSE)),"")</f>
        <v>1027955322.8441063</v>
      </c>
      <c r="F445">
        <f>IFERROR(IF(VLOOKUP($B445,Показатели!$E:$W,3,FALSE)=0,"",VLOOKUP($B445,Показатели!$E:$W,3,FALSE)),"")</f>
        <v>4556415844.657794</v>
      </c>
      <c r="G445">
        <f>IFERROR(IF(VLOOKUP($B445,Показатели!$E:$W,4,FALSE)=0,"",VLOOKUP($B445,Показатели!$E:$W,4,FALSE)),"")</f>
        <v>28494014529.836117</v>
      </c>
      <c r="H445" t="str">
        <f>IFERROR(IF(VLOOKUP($B445,Показатели!$E:$W,5,FALSE)=0,"",VLOOKUP($B445,Показатели!$E:$W,5,FALSE)),"")</f>
        <v/>
      </c>
      <c r="I445">
        <f>IFERROR(IF(VLOOKUP($B445,Показатели!$E:$W,6,FALSE)=0,"",VLOOKUP($B445,Показатели!$E:$W,6,FALSE)),"")</f>
        <v>37326600480.684021</v>
      </c>
      <c r="J445">
        <f>IFERROR(IF(VLOOKUP($B445,Показатели!$E:$W,7,FALSE)=0,"",VLOOKUP($B445,Показатели!$E:$W,7,FALSE)),"")</f>
        <v>4145543807.6235733</v>
      </c>
      <c r="K445">
        <f>IFERROR(IF(VLOOKUP($B445,Показатели!$E:$W,8,FALSE)=0,"",VLOOKUP($B445,Показатели!$E:$W,8,FALSE)),"")</f>
        <v>22189376929.110641</v>
      </c>
      <c r="L445">
        <f>IFERROR(IF(VLOOKUP($B445,Показатели!$E:$W,9,FALSE)=0,"",VLOOKUP($B445,Показатели!$E:$W,9,FALSE)),"")</f>
        <v>17138713033.111025</v>
      </c>
      <c r="M445">
        <f>IFERROR(IF(VLOOKUP($B445,Показатели!$E:$W,10,FALSE)=0,"",VLOOKUP($B445,Показатели!$E:$W,10,FALSE)),"")</f>
        <v>10991679743.949808</v>
      </c>
      <c r="N445">
        <f>IFERROR(IF(VLOOKUP($B445,Показатели!$E:$W,11,FALSE)=0,"",VLOOKUP($B445,Показатели!$E:$W,11,FALSE)),"")</f>
        <v>17186428455.525093</v>
      </c>
      <c r="O445">
        <f>IFERROR(IF(VLOOKUP($B445,Показатели!$E:$W,12,FALSE)=0,"",VLOOKUP($B445,Показатели!$E:$W,12,FALSE)),"")</f>
        <v>-13545830876.811405</v>
      </c>
      <c r="P445">
        <f>IFERROR(IF(VLOOKUP($B445,Показатели!$E:$W,13,FALSE)=0,"",VLOOKUP($B445,Показатели!$E:$W,13,FALSE)),"")</f>
        <v>-15062142501.032316</v>
      </c>
      <c r="Q445">
        <f>IFERROR(IF(VLOOKUP($B445,Показатели!$E:$W,14,FALSE)=0,"",VLOOKUP($B445,Показатели!$E:$W,14,FALSE)),"")</f>
        <v>-11855751390.135359</v>
      </c>
      <c r="R445" t="str">
        <f>IFERROR(IF(VLOOKUP($B445,Показатели!$E:$W,15,FALSE)=0,"",VLOOKUP($B445,Показатели!$E:$W,15,FALSE)),"")</f>
        <v/>
      </c>
      <c r="S445">
        <f>IFERROR(IF(VLOOKUP($B445,Показатели!$E:$W,16,FALSE)=0,"",VLOOKUP($B445,Показатели!$E:$W,16,FALSE)),"")</f>
        <v>1689924440.6243343</v>
      </c>
      <c r="T445" t="str">
        <f>IFERROR(IF(VLOOKUP($B445,Показатели!$E:$W,17,FALSE)=0,"",VLOOKUP($B445,Показатели!$E:$W,17,FALSE)),"")</f>
        <v/>
      </c>
      <c r="U445">
        <f>IFERROR(IF(VLOOKUP($B445,Показатели!$E:$W,18,FALSE)=0,"",VLOOKUP($B445,Показатели!$E:$W,18,FALSE)),"")</f>
        <v>17379454064</v>
      </c>
      <c r="V445">
        <f>IFERROR(IF(VLOOKUP($B445,Показатели!$E:$W,19,FALSE)=0,"",VLOOKUP($B445,Показатели!$E:$W,19,FALSE)),"")</f>
        <v>52859285191.999992</v>
      </c>
    </row>
    <row r="446" spans="1:22" x14ac:dyDescent="0.2">
      <c r="A446" s="7" t="s">
        <v>2234</v>
      </c>
      <c r="B446" t="str">
        <f t="shared" si="6"/>
        <v>RASP IV кв. 2013</v>
      </c>
      <c r="C446">
        <v>2013</v>
      </c>
      <c r="D446">
        <f>SUMIFS(Дивиденды!$C:$C,Дивиденды!$A:$A,A446,Дивиденды!$I:$I,C446)</f>
        <v>0</v>
      </c>
      <c r="E446">
        <f>IFERROR(IF(VLOOKUP($B446,Показатели!$E:$W,2,FALSE)=0,"",VLOOKUP($B446,Показатели!$E:$W,2,FALSE)),"")</f>
        <v>180222783.99999997</v>
      </c>
      <c r="F446">
        <f>IFERROR(IF(VLOOKUP($B446,Показатели!$E:$W,3,FALSE)=0,"",VLOOKUP($B446,Показатели!$E:$W,3,FALSE)),"")</f>
        <v>5725355383.999999</v>
      </c>
      <c r="G446">
        <f>IFERROR(IF(VLOOKUP($B446,Показатели!$E:$W,4,FALSE)=0,"",VLOOKUP($B446,Показатели!$E:$W,4,FALSE)),"")</f>
        <v>43772373399.999992</v>
      </c>
      <c r="H446" t="str">
        <f>IFERROR(IF(VLOOKUP($B446,Показатели!$E:$W,5,FALSE)=0,"",VLOOKUP($B446,Показатели!$E:$W,5,FALSE)),"")</f>
        <v/>
      </c>
      <c r="I446">
        <f>IFERROR(IF(VLOOKUP($B446,Показатели!$E:$W,6,FALSE)=0,"",VLOOKUP($B446,Показатели!$E:$W,6,FALSE)),"")</f>
        <v>52859285191.999992</v>
      </c>
      <c r="J446">
        <f>IFERROR(IF(VLOOKUP($B446,Показатели!$E:$W,7,FALSE)=0,"",VLOOKUP($B446,Показатели!$E:$W,7,FALSE)),"")</f>
        <v>3405082631.9999995</v>
      </c>
      <c r="K446">
        <f>IFERROR(IF(VLOOKUP($B446,Показатели!$E:$W,8,FALSE)=0,"",VLOOKUP($B446,Показатели!$E:$W,8,FALSE)),"")</f>
        <v>21219798936</v>
      </c>
      <c r="L446" t="str">
        <f>IFERROR(IF(VLOOKUP($B446,Показатели!$E:$W,9,FALSE)=0,"",VLOOKUP($B446,Показатели!$E:$W,9,FALSE)),"")</f>
        <v/>
      </c>
      <c r="M446">
        <f>IFERROR(IF(VLOOKUP($B446,Показатели!$E:$W,10,FALSE)=0,"",VLOOKUP($B446,Показатели!$E:$W,10,FALSE)),"")</f>
        <v>28234403623.999996</v>
      </c>
      <c r="N446">
        <f>IFERROR(IF(VLOOKUP($B446,Показатели!$E:$W,11,FALSE)=0,"",VLOOKUP($B446,Показатели!$E:$W,11,FALSE)),"")</f>
        <v>17379454064</v>
      </c>
      <c r="O446">
        <f>IFERROR(IF(VLOOKUP($B446,Показатели!$E:$W,12,FALSE)=0,"",VLOOKUP($B446,Показатели!$E:$W,12,FALSE)),"")</f>
        <v>-3513452095.9999995</v>
      </c>
      <c r="P446">
        <f>IFERROR(IF(VLOOKUP($B446,Показатели!$E:$W,13,FALSE)=0,"",VLOOKUP($B446,Показатели!$E:$W,13,FALSE)),"")</f>
        <v>-4809775208</v>
      </c>
      <c r="Q446">
        <f>IFERROR(IF(VLOOKUP($B446,Показатели!$E:$W,14,FALSE)=0,"",VLOOKUP($B446,Показатели!$E:$W,14,FALSE)),"")</f>
        <v>-4019834783.9999995</v>
      </c>
      <c r="R446" t="str">
        <f>IFERROR(IF(VLOOKUP($B446,Показатели!$E:$W,15,FALSE)=0,"",VLOOKUP($B446,Показатели!$E:$W,15,FALSE)),"")</f>
        <v/>
      </c>
      <c r="S446">
        <f>IFERROR(IF(VLOOKUP($B446,Показатели!$E:$W,16,FALSE)=0,"",VLOOKUP($B446,Показатели!$E:$W,16,FALSE)),"")</f>
        <v>894709255.99999988</v>
      </c>
      <c r="T446" t="str">
        <f>IFERROR(IF(VLOOKUP($B446,Показатели!$E:$W,17,FALSE)=0,"",VLOOKUP($B446,Показатели!$E:$W,17,FALSE)),"")</f>
        <v/>
      </c>
      <c r="U446">
        <f>IFERROR(IF(VLOOKUP($B446,Показатели!$E:$W,18,FALSE)=0,"",VLOOKUP($B446,Показатели!$E:$W,18,FALSE)),"")</f>
        <v>16530152206.666658</v>
      </c>
      <c r="V446">
        <f>IFERROR(IF(VLOOKUP($B446,Показатели!$E:$W,19,FALSE)=0,"",VLOOKUP($B446,Показатели!$E:$W,19,FALSE)),"")</f>
        <v>60009251736.951691</v>
      </c>
    </row>
    <row r="447" spans="1:22" x14ac:dyDescent="0.2">
      <c r="A447" s="7" t="s">
        <v>2234</v>
      </c>
      <c r="B447" t="str">
        <f t="shared" si="6"/>
        <v>RASP IV кв. 2012</v>
      </c>
      <c r="C447">
        <v>2012</v>
      </c>
      <c r="D447">
        <f>SUMIFS(Дивиденды!$C:$C,Дивиденды!$A:$A,A447,Дивиденды!$I:$I,C447)</f>
        <v>0</v>
      </c>
      <c r="E447">
        <f>IFERROR(IF(VLOOKUP($B447,Показатели!$E:$W,2,FALSE)=0,"",VLOOKUP($B447,Показатели!$E:$W,2,FALSE)),"")</f>
        <v>240147715.32413781</v>
      </c>
      <c r="F447">
        <f>IFERROR(IF(VLOOKUP($B447,Показатели!$E:$W,3,FALSE)=0,"",VLOOKUP($B447,Показатели!$E:$W,3,FALSE)),"")</f>
        <v>11422283920.92873</v>
      </c>
      <c r="G447">
        <f>IFERROR(IF(VLOOKUP($B447,Показатели!$E:$W,4,FALSE)=0,"",VLOOKUP($B447,Показатели!$E:$W,4,FALSE)),"")</f>
        <v>46380969846.914917</v>
      </c>
      <c r="H447" t="str">
        <f>IFERROR(IF(VLOOKUP($B447,Показатели!$E:$W,5,FALSE)=0,"",VLOOKUP($B447,Показатели!$E:$W,5,FALSE)),"")</f>
        <v/>
      </c>
      <c r="I447">
        <f>IFERROR(IF(VLOOKUP($B447,Показатели!$E:$W,6,FALSE)=0,"",VLOOKUP($B447,Показатели!$E:$W,6,FALSE)),"")</f>
        <v>60009251736.951691</v>
      </c>
      <c r="J447">
        <f>IFERROR(IF(VLOOKUP($B447,Показатели!$E:$W,7,FALSE)=0,"",VLOOKUP($B447,Показатели!$E:$W,7,FALSE)),"")</f>
        <v>3330756554.5655155</v>
      </c>
      <c r="K447">
        <f>IFERROR(IF(VLOOKUP($B447,Показатели!$E:$W,8,FALSE)=0,"",VLOOKUP($B447,Показатели!$E:$W,8,FALSE)),"")</f>
        <v>22617839323.664356</v>
      </c>
      <c r="L447" t="str">
        <f>IFERROR(IF(VLOOKUP($B447,Показатели!$E:$W,9,FALSE)=0,"",VLOOKUP($B447,Показатели!$E:$W,9,FALSE)),"")</f>
        <v/>
      </c>
      <c r="M447">
        <f>IFERROR(IF(VLOOKUP($B447,Показатели!$E:$W,10,FALSE)=0,"",VLOOKUP($B447,Показатели!$E:$W,10,FALSE)),"")</f>
        <v>34060655858.721821</v>
      </c>
      <c r="N447">
        <f>IFERROR(IF(VLOOKUP($B447,Показатели!$E:$W,11,FALSE)=0,"",VLOOKUP($B447,Показатели!$E:$W,11,FALSE)),"")</f>
        <v>16530152206.666658</v>
      </c>
      <c r="O447">
        <f>IFERROR(IF(VLOOKUP($B447,Показатели!$E:$W,12,FALSE)=0,"",VLOOKUP($B447,Показатели!$E:$W,12,FALSE)),"")</f>
        <v>129936346.2942528</v>
      </c>
      <c r="P447">
        <f>IFERROR(IF(VLOOKUP($B447,Показатели!$E:$W,13,FALSE)=0,"",VLOOKUP($B447,Показатели!$E:$W,13,FALSE)),"")</f>
        <v>-945711705.21839035</v>
      </c>
      <c r="Q447">
        <f>IFERROR(IF(VLOOKUP($B447,Показатели!$E:$W,14,FALSE)=0,"",VLOOKUP($B447,Показатели!$E:$W,14,FALSE)),"")</f>
        <v>-962578890.50114894</v>
      </c>
      <c r="R447" t="str">
        <f>IFERROR(IF(VLOOKUP($B447,Показатели!$E:$W,15,FALSE)=0,"",VLOOKUP($B447,Показатели!$E:$W,15,FALSE)),"")</f>
        <v/>
      </c>
      <c r="S447">
        <f>IFERROR(IF(VLOOKUP($B447,Показатели!$E:$W,16,FALSE)=0,"",VLOOKUP($B447,Показатели!$E:$W,16,FALSE)),"")</f>
        <v>4375496964.5379286</v>
      </c>
      <c r="T447" t="str">
        <f>IFERROR(IF(VLOOKUP($B447,Показатели!$E:$W,17,FALSE)=0,"",VLOOKUP($B447,Показатели!$E:$W,17,FALSE)),"")</f>
        <v/>
      </c>
      <c r="U447">
        <f>IFERROR(IF(VLOOKUP($B447,Показатели!$E:$W,18,FALSE)=0,"",VLOOKUP($B447,Показатели!$E:$W,18,FALSE)),"")</f>
        <v>21349137176.665386</v>
      </c>
      <c r="V447">
        <f>IFERROR(IF(VLOOKUP($B447,Показатели!$E:$W,19,FALSE)=0,"",VLOOKUP($B447,Показатели!$E:$W,19,FALSE)),"")</f>
        <v>58161661571.123077</v>
      </c>
    </row>
    <row r="448" spans="1:22" x14ac:dyDescent="0.2">
      <c r="A448" s="7" t="s">
        <v>2234</v>
      </c>
      <c r="B448" t="str">
        <f t="shared" si="6"/>
        <v>RASP IV кв. 2011</v>
      </c>
      <c r="C448">
        <v>2011</v>
      </c>
      <c r="D448">
        <f>SUMIFS(Дивиденды!$C:$C,Дивиденды!$A:$A,A448,Дивиденды!$I:$I,C448)</f>
        <v>5</v>
      </c>
      <c r="E448">
        <f>IFERROR(IF(VLOOKUP($B448,Показатели!$E:$W,2,FALSE)=0,"",VLOOKUP($B448,Показатели!$E:$W,2,FALSE)),"")</f>
        <v>5295378474.2307692</v>
      </c>
      <c r="F448">
        <f>IFERROR(IF(VLOOKUP($B448,Показатели!$E:$W,3,FALSE)=0,"",VLOOKUP($B448,Показатели!$E:$W,3,FALSE)),"")</f>
        <v>13580425902.588463</v>
      </c>
      <c r="G448">
        <f>IFERROR(IF(VLOOKUP($B448,Показатели!$E:$W,4,FALSE)=0,"",VLOOKUP($B448,Показатели!$E:$W,4,FALSE)),"")</f>
        <v>42979861469.642311</v>
      </c>
      <c r="H448" t="str">
        <f>IFERROR(IF(VLOOKUP($B448,Показатели!$E:$W,5,FALSE)=0,"",VLOOKUP($B448,Показатели!$E:$W,5,FALSE)),"")</f>
        <v/>
      </c>
      <c r="I448">
        <f>IFERROR(IF(VLOOKUP($B448,Показатели!$E:$W,6,FALSE)=0,"",VLOOKUP($B448,Показатели!$E:$W,6,FALSE)),"")</f>
        <v>58161661571.123077</v>
      </c>
      <c r="J448">
        <f>IFERROR(IF(VLOOKUP($B448,Показатели!$E:$W,7,FALSE)=0,"",VLOOKUP($B448,Показатели!$E:$W,7,FALSE)),"")</f>
        <v>21927100833.900002</v>
      </c>
      <c r="K448">
        <f>IFERROR(IF(VLOOKUP($B448,Показатели!$E:$W,8,FALSE)=0,"",VLOOKUP($B448,Показатели!$E:$W,8,FALSE)),"")</f>
        <v>5012144821.5807695</v>
      </c>
      <c r="L448" t="str">
        <f>IFERROR(IF(VLOOKUP($B448,Показатели!$E:$W,9,FALSE)=0,"",VLOOKUP($B448,Показатели!$E:$W,9,FALSE)),"")</f>
        <v/>
      </c>
      <c r="M448">
        <f>IFERROR(IF(VLOOKUP($B448,Показатели!$E:$W,10,FALSE)=0,"",VLOOKUP($B448,Показатели!$E:$W,10,FALSE)),"")</f>
        <v>31222415915.642311</v>
      </c>
      <c r="N448">
        <f>IFERROR(IF(VLOOKUP($B448,Показатели!$E:$W,11,FALSE)=0,"",VLOOKUP($B448,Показатели!$E:$W,11,FALSE)),"")</f>
        <v>21349137176.665386</v>
      </c>
      <c r="O448">
        <f>IFERROR(IF(VLOOKUP($B448,Показатели!$E:$W,12,FALSE)=0,"",VLOOKUP($B448,Показатели!$E:$W,12,FALSE)),"")</f>
        <v>5543299802.9076929</v>
      </c>
      <c r="P448">
        <f>IFERROR(IF(VLOOKUP($B448,Показатели!$E:$W,13,FALSE)=0,"",VLOOKUP($B448,Показатели!$E:$W,13,FALSE)),"")</f>
        <v>5212698828.092308</v>
      </c>
      <c r="Q448">
        <f>IFERROR(IF(VLOOKUP($B448,Показатели!$E:$W,14,FALSE)=0,"",VLOOKUP($B448,Показатели!$E:$W,14,FALSE)),"")</f>
        <v>3990410218.6961541</v>
      </c>
      <c r="R448" t="str">
        <f>IFERROR(IF(VLOOKUP($B448,Показатели!$E:$W,15,FALSE)=0,"",VLOOKUP($B448,Показатели!$E:$W,15,FALSE)),"")</f>
        <v/>
      </c>
      <c r="S448" t="str">
        <f>IFERROR(IF(VLOOKUP($B448,Показатели!$E:$W,16,FALSE)=0,"",VLOOKUP($B448,Показатели!$E:$W,16,FALSE)),"")</f>
        <v/>
      </c>
      <c r="T448" t="str">
        <f>IFERROR(IF(VLOOKUP($B448,Показатели!$E:$W,17,FALSE)=0,"",VLOOKUP($B448,Показатели!$E:$W,17,FALSE)),"")</f>
        <v/>
      </c>
      <c r="U448" t="str">
        <f>IFERROR(IF(VLOOKUP($B448,Показатели!$E:$W,18,FALSE)=0,"",VLOOKUP($B448,Показатели!$E:$W,18,FALSE)),"")</f>
        <v/>
      </c>
      <c r="V448" t="str">
        <f>IFERROR(IF(VLOOKUP($B448,Показатели!$E:$W,19,FALSE)=0,"",VLOOKUP($B448,Показатели!$E:$W,19,FALSE)),"")</f>
        <v/>
      </c>
    </row>
    <row r="449" spans="1:22" x14ac:dyDescent="0.2">
      <c r="A449" s="7" t="s">
        <v>2234</v>
      </c>
      <c r="B449" t="str">
        <f t="shared" si="6"/>
        <v>RASP IV кв. 2010</v>
      </c>
      <c r="C449">
        <v>2010</v>
      </c>
      <c r="D449">
        <f>SUMIFS(Дивиденды!$C:$C,Дивиденды!$A:$A,A449,Дивиденды!$I:$I,C449)</f>
        <v>0</v>
      </c>
      <c r="E449" t="str">
        <f>IFERROR(IF(VLOOKUP($B449,Показатели!$E:$W,2,FALSE)=0,"",VLOOKUP($B449,Показатели!$E:$W,2,FALSE)),"")</f>
        <v/>
      </c>
      <c r="F449" t="str">
        <f>IFERROR(IF(VLOOKUP($B449,Показатели!$E:$W,3,FALSE)=0,"",VLOOKUP($B449,Показатели!$E:$W,3,FALSE)),"")</f>
        <v/>
      </c>
      <c r="G449" t="str">
        <f>IFERROR(IF(VLOOKUP($B449,Показатели!$E:$W,4,FALSE)=0,"",VLOOKUP($B449,Показатели!$E:$W,4,FALSE)),"")</f>
        <v/>
      </c>
      <c r="H449" t="str">
        <f>IFERROR(IF(VLOOKUP($B449,Показатели!$E:$W,5,FALSE)=0,"",VLOOKUP($B449,Показатели!$E:$W,5,FALSE)),"")</f>
        <v/>
      </c>
      <c r="I449" t="str">
        <f>IFERROR(IF(VLOOKUP($B449,Показатели!$E:$W,6,FALSE)=0,"",VLOOKUP($B449,Показатели!$E:$W,6,FALSE)),"")</f>
        <v/>
      </c>
      <c r="J449" t="str">
        <f>IFERROR(IF(VLOOKUP($B449,Показатели!$E:$W,7,FALSE)=0,"",VLOOKUP($B449,Показатели!$E:$W,7,FALSE)),"")</f>
        <v/>
      </c>
      <c r="K449" t="str">
        <f>IFERROR(IF(VLOOKUP($B449,Показатели!$E:$W,8,FALSE)=0,"",VLOOKUP($B449,Показатели!$E:$W,8,FALSE)),"")</f>
        <v/>
      </c>
      <c r="L449" t="str">
        <f>IFERROR(IF(VLOOKUP($B449,Показатели!$E:$W,9,FALSE)=0,"",VLOOKUP($B449,Показатели!$E:$W,9,FALSE)),"")</f>
        <v/>
      </c>
      <c r="M449" t="str">
        <f>IFERROR(IF(VLOOKUP($B449,Показатели!$E:$W,10,FALSE)=0,"",VLOOKUP($B449,Показатели!$E:$W,10,FALSE)),"")</f>
        <v/>
      </c>
      <c r="N449" t="str">
        <f>IFERROR(IF(VLOOKUP($B449,Показатели!$E:$W,11,FALSE)=0,"",VLOOKUP($B449,Показатели!$E:$W,11,FALSE)),"")</f>
        <v/>
      </c>
      <c r="O449" t="str">
        <f>IFERROR(IF(VLOOKUP($B449,Показатели!$E:$W,12,FALSE)=0,"",VLOOKUP($B449,Показатели!$E:$W,12,FALSE)),"")</f>
        <v/>
      </c>
      <c r="P449" t="str">
        <f>IFERROR(IF(VLOOKUP($B449,Показатели!$E:$W,13,FALSE)=0,"",VLOOKUP($B449,Показатели!$E:$W,13,FALSE)),"")</f>
        <v/>
      </c>
      <c r="Q449" t="str">
        <f>IFERROR(IF(VLOOKUP($B449,Показатели!$E:$W,14,FALSE)=0,"",VLOOKUP($B449,Показатели!$E:$W,14,FALSE)),"")</f>
        <v/>
      </c>
      <c r="R449" t="str">
        <f>IFERROR(IF(VLOOKUP($B449,Показатели!$E:$W,15,FALSE)=0,"",VLOOKUP($B449,Показатели!$E:$W,15,FALSE)),"")</f>
        <v/>
      </c>
      <c r="S449" t="str">
        <f>IFERROR(IF(VLOOKUP($B449,Показатели!$E:$W,16,FALSE)=0,"",VLOOKUP($B449,Показатели!$E:$W,16,FALSE)),"")</f>
        <v/>
      </c>
      <c r="T449" t="str">
        <f>IFERROR(IF(VLOOKUP($B449,Показатели!$E:$W,17,FALSE)=0,"",VLOOKUP($B449,Показатели!$E:$W,17,FALSE)),"")</f>
        <v/>
      </c>
      <c r="U449" t="str">
        <f>IFERROR(IF(VLOOKUP($B449,Показатели!$E:$W,18,FALSE)=0,"",VLOOKUP($B449,Показатели!$E:$W,18,FALSE)),"")</f>
        <v/>
      </c>
      <c r="V449" t="str">
        <f>IFERROR(IF(VLOOKUP($B449,Показатели!$E:$W,19,FALSE)=0,"",VLOOKUP($B449,Показатели!$E:$W,19,FALSE)),"")</f>
        <v/>
      </c>
    </row>
    <row r="450" spans="1:22" x14ac:dyDescent="0.2">
      <c r="A450" s="7" t="s">
        <v>2237</v>
      </c>
      <c r="B450" t="str">
        <f t="shared" si="6"/>
        <v>RUAL IV кв. 2025</v>
      </c>
      <c r="C450">
        <v>2025</v>
      </c>
      <c r="D450">
        <f>SUMIFS(Дивиденды!$C:$C,Дивиденды!$A:$A,A450,Дивиденды!$I:$I,C450)</f>
        <v>0</v>
      </c>
      <c r="E450">
        <f>IFERROR(IF(VLOOKUP($B450,Показатели!$E:$W,2,FALSE)=0,"",VLOOKUP($B450,Показатели!$E:$W,2,FALSE)),"")</f>
        <v>128903078821.34828</v>
      </c>
      <c r="F450">
        <f>IFERROR(IF(VLOOKUP($B450,Показатели!$E:$W,3,FALSE)=0,"",VLOOKUP($B450,Показатели!$E:$W,3,FALSE)),"")</f>
        <v>687233274878.93237</v>
      </c>
      <c r="G450">
        <f>IFERROR(IF(VLOOKUP($B450,Показатели!$E:$W,4,FALSE)=0,"",VLOOKUP($B450,Показатели!$E:$W,4,FALSE)),"")</f>
        <v>585476451674.99988</v>
      </c>
      <c r="H450">
        <f>IFERROR(IF(VLOOKUP($B450,Показатели!$E:$W,5,FALSE)=0,"",VLOOKUP($B450,Показатели!$E:$W,5,FALSE)),"")</f>
        <v>195602927746.34827</v>
      </c>
      <c r="I450">
        <f>IFERROR(IF(VLOOKUP($B450,Показатели!$E:$W,6,FALSE)=0,"",VLOOKUP($B450,Показатели!$E:$W,6,FALSE)),"")</f>
        <v>2086431229294.3813</v>
      </c>
      <c r="J450">
        <f>IFERROR(IF(VLOOKUP($B450,Показатели!$E:$W,7,FALSE)=0,"",VLOOKUP($B450,Показатели!$E:$W,7,FALSE)),"")</f>
        <v>777415467620.22449</v>
      </c>
      <c r="K450">
        <f>IFERROR(IF(VLOOKUP($B450,Показатели!$E:$W,8,FALSE)=0,"",VLOOKUP($B450,Показатели!$E:$W,8,FALSE)),"")</f>
        <v>332583266674.71899</v>
      </c>
      <c r="L450">
        <f>IFERROR(IF(VLOOKUP($B450,Показатели!$E:$W,9,FALSE)=0,"",VLOOKUP($B450,Показатели!$E:$W,9,FALSE)),"")</f>
        <v>264134732571.91003</v>
      </c>
      <c r="M450">
        <f>IFERROR(IF(VLOOKUP($B450,Показатели!$E:$W,10,FALSE)=0,"",VLOOKUP($B450,Показатели!$E:$W,10,FALSE)),"")</f>
        <v>976432494999.43787</v>
      </c>
      <c r="N450">
        <f>IFERROR(IF(VLOOKUP($B450,Показатели!$E:$W,11,FALSE)=0,"",VLOOKUP($B450,Показатели!$E:$W,11,FALSE)),"")</f>
        <v>1233405945414.6064</v>
      </c>
      <c r="O450">
        <f>IFERROR(IF(VLOOKUP($B450,Показатели!$E:$W,12,FALSE)=0,"",VLOOKUP($B450,Показатели!$E:$W,12,FALSE)),"")</f>
        <v>10492111066.85393</v>
      </c>
      <c r="P450">
        <f>IFERROR(IF(VLOOKUP($B450,Показатели!$E:$W,13,FALSE)=0,"",VLOOKUP($B450,Показатели!$E:$W,13,FALSE)),"")</f>
        <v>-19901702737.921341</v>
      </c>
      <c r="Q450">
        <f>IFERROR(IF(VLOOKUP($B450,Показатели!$E:$W,14,FALSE)=0,"",VLOOKUP($B450,Показатели!$E:$W,14,FALSE)),"")</f>
        <v>-37888178852.528076</v>
      </c>
      <c r="R450">
        <f>IFERROR(IF(VLOOKUP($B450,Показатели!$E:$W,15,FALSE)=0,"",VLOOKUP($B450,Показатели!$E:$W,15,FALSE)),"")</f>
        <v>57040445085.674141</v>
      </c>
      <c r="S450">
        <f>IFERROR(IF(VLOOKUP($B450,Показатели!$E:$W,16,FALSE)=0,"",VLOOKUP($B450,Показатели!$E:$W,16,FALSE)),"")</f>
        <v>87684071058.70784</v>
      </c>
      <c r="T450">
        <f>IFERROR(IF(VLOOKUP($B450,Показатели!$E:$W,17,FALSE)=0,"",VLOOKUP($B450,Показатели!$E:$W,17,FALSE)),"")</f>
        <v>-122990857505.89883</v>
      </c>
      <c r="U450">
        <f>IFERROR(IF(VLOOKUP($B450,Показатели!$E:$W,18,FALSE)=0,"",VLOOKUP($B450,Показатели!$E:$W,18,FALSE)),"")</f>
        <v>1118791606916.343</v>
      </c>
      <c r="V450">
        <f>IFERROR(IF(VLOOKUP($B450,Показатели!$E:$W,19,FALSE)=0,"",VLOOKUP($B450,Показатели!$E:$W,19,FALSE)),"")</f>
        <v>2055809672665.927</v>
      </c>
    </row>
    <row r="451" spans="1:22" x14ac:dyDescent="0.2">
      <c r="A451" s="7" t="s">
        <v>2237</v>
      </c>
      <c r="B451" t="str">
        <f t="shared" ref="B451:B514" si="7">A451&amp;" "&amp;
"IV"
&amp;" кв. "&amp;C451</f>
        <v>RUAL IV кв. 2024</v>
      </c>
      <c r="C451">
        <v>2024</v>
      </c>
      <c r="D451">
        <f>SUMIFS(Дивиденды!$C:$C,Дивиденды!$A:$A,A451,Дивиденды!$I:$I,C451)</f>
        <v>0</v>
      </c>
      <c r="E451">
        <f>IFERROR(IF(VLOOKUP($B451,Показатели!$E:$W,2,FALSE)=0,"",VLOOKUP($B451,Показатели!$E:$W,2,FALSE)),"")</f>
        <v>139177601820.49857</v>
      </c>
      <c r="F451">
        <f>IFERROR(IF(VLOOKUP($B451,Показатели!$E:$W,3,FALSE)=0,"",VLOOKUP($B451,Показатели!$E:$W,3,FALSE)),"")</f>
        <v>774227497552.35425</v>
      </c>
      <c r="G451">
        <f>IFERROR(IF(VLOOKUP($B451,Показатели!$E:$W,4,FALSE)=0,"",VLOOKUP($B451,Показатели!$E:$W,4,FALSE)),"")</f>
        <v>556062208204.98584</v>
      </c>
      <c r="H451">
        <f>IFERROR(IF(VLOOKUP($B451,Показатели!$E:$W,5,FALSE)=0,"",VLOOKUP($B451,Показатели!$E:$W,5,FALSE)),"")</f>
        <v>203812309785.04147</v>
      </c>
      <c r="I451">
        <f>IFERROR(IF(VLOOKUP($B451,Показатели!$E:$W,6,FALSE)=0,"",VLOOKUP($B451,Показатели!$E:$W,6,FALSE)),"")</f>
        <v>2055809672665.927</v>
      </c>
      <c r="J451">
        <f>IFERROR(IF(VLOOKUP($B451,Показатели!$E:$W,7,FALSE)=0,"",VLOOKUP($B451,Показатели!$E:$W,7,FALSE)),"")</f>
        <v>625882508785.59534</v>
      </c>
      <c r="K451">
        <f>IFERROR(IF(VLOOKUP($B451,Показатели!$E:$W,8,FALSE)=0,"",VLOOKUP($B451,Показатели!$E:$W,8,FALSE)),"")</f>
        <v>391327042776.73114</v>
      </c>
      <c r="L451">
        <f>IFERROR(IF(VLOOKUP($B451,Показатели!$E:$W,9,FALSE)=0,"",VLOOKUP($B451,Показатели!$E:$W,9,FALSE)),"")</f>
        <v>335859721758.44861</v>
      </c>
      <c r="M451">
        <f>IFERROR(IF(VLOOKUP($B451,Показатели!$E:$W,10,FALSE)=0,"",VLOOKUP($B451,Показатели!$E:$W,10,FALSE)),"")</f>
        <v>1038600121103.6006</v>
      </c>
      <c r="N451">
        <f>IFERROR(IF(VLOOKUP($B451,Показатели!$E:$W,11,FALSE)=0,"",VLOOKUP($B451,Показатели!$E:$W,11,FALSE)),"")</f>
        <v>1118791606916.343</v>
      </c>
      <c r="O451">
        <f>IFERROR(IF(VLOOKUP($B451,Показатели!$E:$W,12,FALSE)=0,"",VLOOKUP($B451,Показатели!$E:$W,12,FALSE)),"")</f>
        <v>34076751477.008293</v>
      </c>
      <c r="P451">
        <f>IFERROR(IF(VLOOKUP($B451,Показатели!$E:$W,13,FALSE)=0,"",VLOOKUP($B451,Показатели!$E:$W,13,FALSE)),"")</f>
        <v>79450686867.589996</v>
      </c>
      <c r="Q451">
        <f>IFERROR(IF(VLOOKUP($B451,Показатели!$E:$W,14,FALSE)=0,"",VLOOKUP($B451,Показатели!$E:$W,14,FALSE)),"")</f>
        <v>74357694119.667557</v>
      </c>
      <c r="R451">
        <f>IFERROR(IF(VLOOKUP($B451,Показатели!$E:$W,15,FALSE)=0,"",VLOOKUP($B451,Показатели!$E:$W,15,FALSE)),"")</f>
        <v>49818729061.495819</v>
      </c>
      <c r="S451">
        <f>IFERROR(IF(VLOOKUP($B451,Показатели!$E:$W,16,FALSE)=0,"",VLOOKUP($B451,Показатели!$E:$W,16,FALSE)),"")</f>
        <v>138344203007.20215</v>
      </c>
      <c r="T451">
        <f>IFERROR(IF(VLOOKUP($B451,Показатели!$E:$W,17,FALSE)=0,"",VLOOKUP($B451,Показатели!$E:$W,17,FALSE)),"")</f>
        <v>-126491419884.76448</v>
      </c>
      <c r="U451">
        <f>IFERROR(IF(VLOOKUP($B451,Показатели!$E:$W,18,FALSE)=0,"",VLOOKUP($B451,Показатели!$E:$W,18,FALSE)),"")</f>
        <v>1043241499437.5004</v>
      </c>
      <c r="V451">
        <f>IFERROR(IF(VLOOKUP($B451,Показатели!$E:$W,19,FALSE)=0,"",VLOOKUP($B451,Показатели!$E:$W,19,FALSE)),"")</f>
        <v>1833467251611.1118</v>
      </c>
    </row>
    <row r="452" spans="1:22" x14ac:dyDescent="0.2">
      <c r="A452" s="7" t="s">
        <v>2237</v>
      </c>
      <c r="B452" t="str">
        <f t="shared" si="7"/>
        <v>RUAL IV кв. 2023</v>
      </c>
      <c r="C452">
        <v>2023</v>
      </c>
      <c r="D452">
        <f>SUMIFS(Дивиденды!$C:$C,Дивиденды!$A:$A,A452,Дивиденды!$I:$I,C452)</f>
        <v>0</v>
      </c>
      <c r="E452">
        <f>IFERROR(IF(VLOOKUP($B452,Показатели!$E:$W,2,FALSE)=0,"",VLOOKUP($B452,Показатели!$E:$W,2,FALSE)),"")</f>
        <v>178272742923.61118</v>
      </c>
      <c r="F452">
        <f>IFERROR(IF(VLOOKUP($B452,Показатели!$E:$W,3,FALSE)=0,"",VLOOKUP($B452,Показатели!$E:$W,3,FALSE)),"")</f>
        <v>678410217680.55579</v>
      </c>
      <c r="G452">
        <f>IFERROR(IF(VLOOKUP($B452,Показатели!$E:$W,4,FALSE)=0,"",VLOOKUP($B452,Показатели!$E:$W,4,FALSE)),"")</f>
        <v>495951866513.88904</v>
      </c>
      <c r="H452">
        <f>IFERROR(IF(VLOOKUP($B452,Показатели!$E:$W,5,FALSE)=0,"",VLOOKUP($B452,Показатели!$E:$W,5,FALSE)),"")</f>
        <v>199627887020.8334</v>
      </c>
      <c r="I452">
        <f>IFERROR(IF(VLOOKUP($B452,Показатели!$E:$W,6,FALSE)=0,"",VLOOKUP($B452,Показатели!$E:$W,6,FALSE)),"")</f>
        <v>1833467251611.1118</v>
      </c>
      <c r="J452">
        <f>IFERROR(IF(VLOOKUP($B452,Показатели!$E:$W,7,FALSE)=0,"",VLOOKUP($B452,Показатели!$E:$W,7,FALSE)),"")</f>
        <v>317679123590.27789</v>
      </c>
      <c r="K452">
        <f>IFERROR(IF(VLOOKUP($B452,Показатели!$E:$W,8,FALSE)=0,"",VLOOKUP($B452,Показатели!$E:$W,8,FALSE)),"")</f>
        <v>574795058520.8335</v>
      </c>
      <c r="L452">
        <f>IFERROR(IF(VLOOKUP($B452,Показатели!$E:$W,9,FALSE)=0,"",VLOOKUP($B452,Показатели!$E:$W,9,FALSE)),"")</f>
        <v>256432570319.44452</v>
      </c>
      <c r="M452">
        <f>IFERROR(IF(VLOOKUP($B452,Показатели!$E:$W,10,FALSE)=0,"",VLOOKUP($B452,Показатели!$E:$W,10,FALSE)),"")</f>
        <v>940993069500.00037</v>
      </c>
      <c r="N452">
        <f>IFERROR(IF(VLOOKUP($B452,Показатели!$E:$W,11,FALSE)=0,"",VLOOKUP($B452,Показатели!$E:$W,11,FALSE)),"")</f>
        <v>1043241499437.5004</v>
      </c>
      <c r="O452">
        <f>IFERROR(IF(VLOOKUP($B452,Показатели!$E:$W,12,FALSE)=0,"",VLOOKUP($B452,Показатели!$E:$W,12,FALSE)),"")</f>
        <v>-6748225534.7222242</v>
      </c>
      <c r="P452">
        <f>IFERROR(IF(VLOOKUP($B452,Показатели!$E:$W,13,FALSE)=0,"",VLOOKUP($B452,Показатели!$E:$W,13,FALSE)),"")</f>
        <v>20842620638.888897</v>
      </c>
      <c r="Q452">
        <f>IFERROR(IF(VLOOKUP($B452,Показатели!$E:$W,14,FALSE)=0,"",VLOOKUP($B452,Показатели!$E:$W,14,FALSE)),"")</f>
        <v>24088602541.666676</v>
      </c>
      <c r="R452">
        <f>IFERROR(IF(VLOOKUP($B452,Показатели!$E:$W,15,FALSE)=0,"",VLOOKUP($B452,Показатели!$E:$W,15,FALSE)),"")</f>
        <v>46127111250.000015</v>
      </c>
      <c r="S452">
        <f>IFERROR(IF(VLOOKUP($B452,Показатели!$E:$W,16,FALSE)=0,"",VLOOKUP($B452,Показатели!$E:$W,16,FALSE)),"")</f>
        <v>67140573041.666687</v>
      </c>
      <c r="T452">
        <f>IFERROR(IF(VLOOKUP($B452,Показатели!$E:$W,17,FALSE)=0,"",VLOOKUP($B452,Показатели!$E:$W,17,FALSE)),"")</f>
        <v>-90204128666.666702</v>
      </c>
      <c r="U452">
        <f>IFERROR(IF(VLOOKUP($B452,Показатели!$E:$W,18,FALSE)=0,"",VLOOKUP($B452,Показатели!$E:$W,18,FALSE)),"")</f>
        <v>951330600944.99927</v>
      </c>
      <c r="V452">
        <f>IFERROR(IF(VLOOKUP($B452,Показатели!$E:$W,19,FALSE)=0,"",VLOOKUP($B452,Показатели!$E:$W,19,FALSE)),"")</f>
        <v>1676844427642.4988</v>
      </c>
    </row>
    <row r="453" spans="1:22" x14ac:dyDescent="0.2">
      <c r="A453" s="7" t="s">
        <v>2237</v>
      </c>
      <c r="B453" t="str">
        <f t="shared" si="7"/>
        <v>RUAL IV кв. 2022</v>
      </c>
      <c r="C453">
        <v>2022</v>
      </c>
      <c r="D453">
        <f>SUMIFS(Дивиденды!$C:$C,Дивиденды!$A:$A,A453,Дивиденды!$I:$I,C453)</f>
        <v>0.02</v>
      </c>
      <c r="E453">
        <f>IFERROR(IF(VLOOKUP($B453,Показатели!$E:$W,2,FALSE)=0,"",VLOOKUP($B453,Показатели!$E:$W,2,FALSE)),"")</f>
        <v>217579261529.99985</v>
      </c>
      <c r="F453">
        <f>IFERROR(IF(VLOOKUP($B453,Показатели!$E:$W,3,FALSE)=0,"",VLOOKUP($B453,Показатели!$E:$W,3,FALSE)),"")</f>
        <v>688615216012.49951</v>
      </c>
      <c r="G453">
        <f>IFERROR(IF(VLOOKUP($B453,Показатели!$E:$W,4,FALSE)=0,"",VLOOKUP($B453,Показатели!$E:$W,4,FALSE)),"")</f>
        <v>396830261407.49969</v>
      </c>
      <c r="H453">
        <f>IFERROR(IF(VLOOKUP($B453,Показатели!$E:$W,5,FALSE)=0,"",VLOOKUP($B453,Показатели!$E:$W,5,FALSE)),"")</f>
        <v>177344798587.49988</v>
      </c>
      <c r="I453">
        <f>IFERROR(IF(VLOOKUP($B453,Показатели!$E:$W,6,FALSE)=0,"",VLOOKUP($B453,Показатели!$E:$W,6,FALSE)),"")</f>
        <v>1676844427642.4988</v>
      </c>
      <c r="J453">
        <f>IFERROR(IF(VLOOKUP($B453,Показатели!$E:$W,7,FALSE)=0,"",VLOOKUP($B453,Показатели!$E:$W,7,FALSE)),"")</f>
        <v>312548932942.49976</v>
      </c>
      <c r="K453">
        <f>IFERROR(IF(VLOOKUP($B453,Показатели!$E:$W,8,FALSE)=0,"",VLOOKUP($B453,Показатели!$E:$W,8,FALSE)),"")</f>
        <v>526451949127.49963</v>
      </c>
      <c r="L453">
        <f>IFERROR(IF(VLOOKUP($B453,Показатели!$E:$W,9,FALSE)=0,"",VLOOKUP($B453,Показатели!$E:$W,9,FALSE)),"")</f>
        <v>185173839599.99988</v>
      </c>
      <c r="M453">
        <f>IFERROR(IF(VLOOKUP($B453,Показатели!$E:$W,10,FALSE)=0,"",VLOOKUP($B453,Показатели!$E:$W,10,FALSE)),"")</f>
        <v>837843545572.49939</v>
      </c>
      <c r="N453">
        <f>IFERROR(IF(VLOOKUP($B453,Показатели!$E:$W,11,FALSE)=0,"",VLOOKUP($B453,Показатели!$E:$W,11,FALSE)),"")</f>
        <v>951330600944.99927</v>
      </c>
      <c r="O453">
        <f>IFERROR(IF(VLOOKUP($B453,Показатели!$E:$W,12,FALSE)=0,"",VLOOKUP($B453,Показатели!$E:$W,12,FALSE)),"")</f>
        <v>89591460629.999939</v>
      </c>
      <c r="P453">
        <f>IFERROR(IF(VLOOKUP($B453,Показатели!$E:$W,13,FALSE)=0,"",VLOOKUP($B453,Показатели!$E:$W,13,FALSE)),"")</f>
        <v>147458285504.99988</v>
      </c>
      <c r="Q453">
        <f>IFERROR(IF(VLOOKUP($B453,Показатели!$E:$W,14,FALSE)=0,"",VLOOKUP($B453,Показатели!$E:$W,14,FALSE)),"")</f>
        <v>122064961177.49991</v>
      </c>
      <c r="R453">
        <f>IFERROR(IF(VLOOKUP($B453,Показатели!$E:$W,15,FALSE)=0,"",VLOOKUP($B453,Показатели!$E:$W,15,FALSE)),"")</f>
        <v>34243544602.499973</v>
      </c>
      <c r="S453">
        <f>IFERROR(IF(VLOOKUP($B453,Показатели!$E:$W,16,FALSE)=0,"",VLOOKUP($B453,Показатели!$E:$W,16,FALSE)),"")</f>
        <v>138063436289.99991</v>
      </c>
      <c r="T453">
        <f>IFERROR(IF(VLOOKUP($B453,Показатели!$E:$W,17,FALSE)=0,"",VLOOKUP($B453,Показатели!$E:$W,17,FALSE)),"")</f>
        <v>-84349407082.499939</v>
      </c>
      <c r="U453">
        <f>IFERROR(IF(VLOOKUP($B453,Показатели!$E:$W,18,FALSE)=0,"",VLOOKUP($B453,Показатели!$E:$W,18,FALSE)),"")</f>
        <v>884866844886.54565</v>
      </c>
      <c r="V453">
        <f>IFERROR(IF(VLOOKUP($B453,Показатели!$E:$W,19,FALSE)=0,"",VLOOKUP($B453,Показатели!$E:$W,19,FALSE)),"")</f>
        <v>1542356699949.8184</v>
      </c>
    </row>
    <row r="454" spans="1:22" x14ac:dyDescent="0.2">
      <c r="A454" s="7" t="s">
        <v>2237</v>
      </c>
      <c r="B454" t="str">
        <f t="shared" si="7"/>
        <v>RUAL IV кв. 2021</v>
      </c>
      <c r="C454">
        <v>2021</v>
      </c>
      <c r="D454">
        <f>SUMIFS(Дивиденды!$C:$C,Дивиденды!$A:$A,A454,Дивиденды!$I:$I,C454)</f>
        <v>0</v>
      </c>
      <c r="E454">
        <f>IFERROR(IF(VLOOKUP($B454,Показатели!$E:$W,2,FALSE)=0,"",VLOOKUP($B454,Показатели!$E:$W,2,FALSE)),"")</f>
        <v>146371170606.54547</v>
      </c>
      <c r="F454">
        <f>IFERROR(IF(VLOOKUP($B454,Показатели!$E:$W,3,FALSE)=0,"",VLOOKUP($B454,Показатели!$E:$W,3,FALSE)),"")</f>
        <v>622372578244.36377</v>
      </c>
      <c r="G454">
        <f>IFERROR(IF(VLOOKUP($B454,Показатели!$E:$W,4,FALSE)=0,"",VLOOKUP($B454,Показатели!$E:$W,4,FALSE)),"")</f>
        <v>394700485254.54553</v>
      </c>
      <c r="H454">
        <f>IFERROR(IF(VLOOKUP($B454,Показатели!$E:$W,5,FALSE)=0,"",VLOOKUP($B454,Показатели!$E:$W,5,FALSE)),"")</f>
        <v>177873433635.27277</v>
      </c>
      <c r="I454">
        <f>IFERROR(IF(VLOOKUP($B454,Показатели!$E:$W,6,FALSE)=0,"",VLOOKUP($B454,Показатели!$E:$W,6,FALSE)),"")</f>
        <v>1542356699949.8184</v>
      </c>
      <c r="J454">
        <f>IFERROR(IF(VLOOKUP($B454,Показатели!$E:$W,7,FALSE)=0,"",VLOOKUP($B454,Показатели!$E:$W,7,FALSE)),"")</f>
        <v>338778435194.18188</v>
      </c>
      <c r="K454">
        <f>IFERROR(IF(VLOOKUP($B454,Показатели!$E:$W,8,FALSE)=0,"",VLOOKUP($B454,Показатели!$E:$W,8,FALSE)),"")</f>
        <v>427161833574.54553</v>
      </c>
      <c r="L454">
        <f>IFERROR(IF(VLOOKUP($B454,Показатели!$E:$W,9,FALSE)=0,"",VLOOKUP($B454,Показатели!$E:$W,9,FALSE)),"")</f>
        <v>90817999504.363647</v>
      </c>
      <c r="M454">
        <f>IFERROR(IF(VLOOKUP($B454,Показатели!$E:$W,10,FALSE)=0,"",VLOOKUP($B454,Показатели!$E:$W,10,FALSE)),"")</f>
        <v>776416431181.09106</v>
      </c>
      <c r="N454">
        <f>IFERROR(IF(VLOOKUP($B454,Показатели!$E:$W,11,FALSE)=0,"",VLOOKUP($B454,Показатели!$E:$W,11,FALSE)),"")</f>
        <v>884866844886.54565</v>
      </c>
      <c r="O454">
        <f>IFERROR(IF(VLOOKUP($B454,Показатели!$E:$W,12,FALSE)=0,"",VLOOKUP($B454,Показатели!$E:$W,12,FALSE)),"")</f>
        <v>153379870812.00003</v>
      </c>
      <c r="P454">
        <f>IFERROR(IF(VLOOKUP($B454,Показатели!$E:$W,13,FALSE)=0,"",VLOOKUP($B454,Показатели!$E:$W,13,FALSE)),"")</f>
        <v>268617657348.00006</v>
      </c>
      <c r="Q454">
        <f>IFERROR(IF(VLOOKUP($B454,Показатели!$E:$W,14,FALSE)=0,"",VLOOKUP($B454,Показатели!$E:$W,14,FALSE)),"")</f>
        <v>237926928027.27277</v>
      </c>
      <c r="R454">
        <f>IFERROR(IF(VLOOKUP($B454,Показатели!$E:$W,15,FALSE)=0,"",VLOOKUP($B454,Показатели!$E:$W,15,FALSE)),"")</f>
        <v>43970371815.272736</v>
      </c>
      <c r="S454">
        <f>IFERROR(IF(VLOOKUP($B454,Показатели!$E:$W,16,FALSE)=0,"",VLOOKUP($B454,Показатели!$E:$W,16,FALSE)),"")</f>
        <v>213433365204.00003</v>
      </c>
      <c r="T454">
        <f>IFERROR(IF(VLOOKUP($B454,Показатели!$E:$W,17,FALSE)=0,"",VLOOKUP($B454,Показатели!$E:$W,17,FALSE)),"")</f>
        <v>-87940743630.545471</v>
      </c>
      <c r="U454">
        <f>IFERROR(IF(VLOOKUP($B454,Показатели!$E:$W,18,FALSE)=0,"",VLOOKUP($B454,Показатели!$E:$W,18,FALSE)),"")</f>
        <v>619298913558.18848</v>
      </c>
      <c r="V454">
        <f>IFERROR(IF(VLOOKUP($B454,Показатели!$E:$W,19,FALSE)=0,"",VLOOKUP($B454,Показатели!$E:$W,19,FALSE)),"")</f>
        <v>1256382969859.2341</v>
      </c>
    </row>
    <row r="455" spans="1:22" x14ac:dyDescent="0.2">
      <c r="A455" s="7" t="s">
        <v>2237</v>
      </c>
      <c r="B455" t="str">
        <f t="shared" si="7"/>
        <v>RUAL IV кв. 2020</v>
      </c>
      <c r="C455">
        <v>2020</v>
      </c>
      <c r="D455">
        <f>SUMIFS(Дивиденды!$C:$C,Дивиденды!$A:$A,A455,Дивиденды!$I:$I,C455)</f>
        <v>0</v>
      </c>
      <c r="E455">
        <f>IFERROR(IF(VLOOKUP($B455,Показатели!$E:$W,2,FALSE)=0,"",VLOOKUP($B455,Показатели!$E:$W,2,FALSE)),"")</f>
        <v>161150744609.05933</v>
      </c>
      <c r="F455">
        <f>IFERROR(IF(VLOOKUP($B455,Показатели!$E:$W,3,FALSE)=0,"",VLOOKUP($B455,Показатели!$E:$W,3,FALSE)),"")</f>
        <v>424891397966.55078</v>
      </c>
      <c r="G455">
        <f>IFERROR(IF(VLOOKUP($B455,Показатели!$E:$W,4,FALSE)=0,"",VLOOKUP($B455,Показатели!$E:$W,4,FALSE)),"")</f>
        <v>351003528522.64825</v>
      </c>
      <c r="H455">
        <f>IFERROR(IF(VLOOKUP($B455,Показатели!$E:$W,5,FALSE)=0,"",VLOOKUP($B455,Показатели!$E:$W,5,FALSE)),"")</f>
        <v>174019669032.75272</v>
      </c>
      <c r="I455">
        <f>IFERROR(IF(VLOOKUP($B455,Показатели!$E:$W,6,FALSE)=0,"",VLOOKUP($B455,Показатели!$E:$W,6,FALSE)),"")</f>
        <v>1256382969859.2341</v>
      </c>
      <c r="J455">
        <f>IFERROR(IF(VLOOKUP($B455,Показатели!$E:$W,7,FALSE)=0,"",VLOOKUP($B455,Показатели!$E:$W,7,FALSE)),"")</f>
        <v>201781843070.38339</v>
      </c>
      <c r="K455">
        <f>IFERROR(IF(VLOOKUP($B455,Показатели!$E:$W,8,FALSE)=0,"",VLOOKUP($B455,Показатели!$E:$W,8,FALSE)),"")</f>
        <v>581559708225.7843</v>
      </c>
      <c r="L455">
        <f>IFERROR(IF(VLOOKUP($B455,Показатели!$E:$W,9,FALSE)=0,"",VLOOKUP($B455,Показатели!$E:$W,9,FALSE)),"")</f>
        <v>-153487227817.42169</v>
      </c>
      <c r="M455">
        <f>IFERROR(IF(VLOOKUP($B455,Показатели!$E:$W,10,FALSE)=0,"",VLOOKUP($B455,Показатели!$E:$W,10,FALSE)),"")</f>
        <v>473041418563.06647</v>
      </c>
      <c r="N455">
        <f>IFERROR(IF(VLOOKUP($B455,Показатели!$E:$W,11,FALSE)=0,"",VLOOKUP($B455,Показатели!$E:$W,11,FALSE)),"")</f>
        <v>619298913558.18848</v>
      </c>
      <c r="O455">
        <f>IFERROR(IF(VLOOKUP($B455,Показатели!$E:$W,12,FALSE)=0,"",VLOOKUP($B455,Показатели!$E:$W,12,FALSE)),"")</f>
        <v>20170954574.216038</v>
      </c>
      <c r="P455">
        <f>IFERROR(IF(VLOOKUP($B455,Показатели!$E:$W,13,FALSE)=0,"",VLOOKUP($B455,Показатели!$E:$W,13,FALSE)),"")</f>
        <v>51764887007.665535</v>
      </c>
      <c r="Q455">
        <f>IFERROR(IF(VLOOKUP($B455,Показатели!$E:$W,14,FALSE)=0,"",VLOOKUP($B455,Показатели!$E:$W,14,FALSE)),"")</f>
        <v>54873672121.254387</v>
      </c>
      <c r="R455">
        <f>IFERROR(IF(VLOOKUP($B455,Показатели!$E:$W,15,FALSE)=0,"",VLOOKUP($B455,Показатели!$E:$W,15,FALSE)),"")</f>
        <v>41209477087.10804</v>
      </c>
      <c r="S455">
        <f>IFERROR(IF(VLOOKUP($B455,Показатели!$E:$W,16,FALSE)=0,"",VLOOKUP($B455,Показатели!$E:$W,16,FALSE)),"")</f>
        <v>62970972882.229996</v>
      </c>
      <c r="T455">
        <f>IFERROR(IF(VLOOKUP($B455,Показатели!$E:$W,17,FALSE)=0,"",VLOOKUP($B455,Показатели!$E:$W,17,FALSE)),"")</f>
        <v>-64850703416.027908</v>
      </c>
      <c r="U455">
        <f>IFERROR(IF(VLOOKUP($B455,Показатели!$E:$W,18,FALSE)=0,"",VLOOKUP($B455,Показатели!$E:$W,18,FALSE)),"")</f>
        <v>628195789406.24951</v>
      </c>
      <c r="V455">
        <f>IFERROR(IF(VLOOKUP($B455,Показатели!$E:$W,19,FALSE)=0,"",VLOOKUP($B455,Показатели!$E:$W,19,FALSE)),"")</f>
        <v>1152371516062.4993</v>
      </c>
    </row>
    <row r="456" spans="1:22" x14ac:dyDescent="0.2">
      <c r="A456" s="7" t="s">
        <v>2237</v>
      </c>
      <c r="B456" t="str">
        <f t="shared" si="7"/>
        <v>RUAL IV кв. 2019</v>
      </c>
      <c r="C456">
        <v>2019</v>
      </c>
      <c r="D456">
        <f>SUMIFS(Дивиденды!$C:$C,Дивиденды!$A:$A,A456,Дивиденды!$I:$I,C456)</f>
        <v>0</v>
      </c>
      <c r="E456">
        <f>IFERROR(IF(VLOOKUP($B456,Показатели!$E:$W,2,FALSE)=0,"",VLOOKUP($B456,Показатели!$E:$W,2,FALSE)),"")</f>
        <v>115211275968.74992</v>
      </c>
      <c r="F456">
        <f>IFERROR(IF(VLOOKUP($B456,Показатели!$E:$W,3,FALSE)=0,"",VLOOKUP($B456,Показатели!$E:$W,3,FALSE)),"")</f>
        <v>405471239624.99969</v>
      </c>
      <c r="G456">
        <f>IFERROR(IF(VLOOKUP($B456,Показатели!$E:$W,4,FALSE)=0,"",VLOOKUP($B456,Показатели!$E:$W,4,FALSE)),"")</f>
        <v>291036232781.24982</v>
      </c>
      <c r="H456">
        <f>IFERROR(IF(VLOOKUP($B456,Показатели!$E:$W,5,FALSE)=0,"",VLOOKUP($B456,Показатели!$E:$W,5,FALSE)),"")</f>
        <v>165410012718.74988</v>
      </c>
      <c r="I456">
        <f>IFERROR(IF(VLOOKUP($B456,Показатели!$E:$W,6,FALSE)=0,"",VLOOKUP($B456,Показатели!$E:$W,6,FALSE)),"")</f>
        <v>1152371516062.4993</v>
      </c>
      <c r="J456">
        <f>IFERROR(IF(VLOOKUP($B456,Показатели!$E:$W,7,FALSE)=0,"",VLOOKUP($B456,Показатели!$E:$W,7,FALSE)),"")</f>
        <v>154606934062.49988</v>
      </c>
      <c r="K456">
        <f>IFERROR(IF(VLOOKUP($B456,Показатели!$E:$W,8,FALSE)=0,"",VLOOKUP($B456,Показатели!$E:$W,8,FALSE)),"")</f>
        <v>561307266468.74963</v>
      </c>
      <c r="L456">
        <f>IFERROR(IF(VLOOKUP($B456,Показатели!$E:$W,9,FALSE)=0,"",VLOOKUP($B456,Показатели!$E:$W,9,FALSE)),"")</f>
        <v>-186433968187.49988</v>
      </c>
      <c r="M456">
        <f>IFERROR(IF(VLOOKUP($B456,Показатели!$E:$W,10,FALSE)=0,"",VLOOKUP($B456,Показатели!$E:$W,10,FALSE)),"")</f>
        <v>436457315531.24969</v>
      </c>
      <c r="N456">
        <f>IFERROR(IF(VLOOKUP($B456,Показатели!$E:$W,11,FALSE)=0,"",VLOOKUP($B456,Показатели!$E:$W,11,FALSE)),"")</f>
        <v>628195789406.24951</v>
      </c>
      <c r="O456">
        <f>IFERROR(IF(VLOOKUP($B456,Показатели!$E:$W,12,FALSE)=0,"",VLOOKUP($B456,Показатели!$E:$W,12,FALSE)),"")</f>
        <v>5627951156.2499962</v>
      </c>
      <c r="P456">
        <f>IFERROR(IF(VLOOKUP($B456,Показатели!$E:$W,13,FALSE)=0,"",VLOOKUP($B456,Показатели!$E:$W,13,FALSE)),"")</f>
        <v>68182304812.499954</v>
      </c>
      <c r="Q456">
        <f>IFERROR(IF(VLOOKUP($B456,Показатели!$E:$W,14,FALSE)=0,"",VLOOKUP($B456,Показатели!$E:$W,14,FALSE)),"")</f>
        <v>62101529999.999954</v>
      </c>
      <c r="R456">
        <f>IFERROR(IF(VLOOKUP($B456,Показатели!$E:$W,15,FALSE)=0,"",VLOOKUP($B456,Показатели!$E:$W,15,FALSE)),"")</f>
        <v>36614027062.499977</v>
      </c>
      <c r="S456">
        <f>IFERROR(IF(VLOOKUP($B456,Показатели!$E:$W,16,FALSE)=0,"",VLOOKUP($B456,Показатели!$E:$W,16,FALSE)),"")</f>
        <v>62489664562.499954</v>
      </c>
      <c r="T456">
        <f>IFERROR(IF(VLOOKUP($B456,Показатели!$E:$W,17,FALSE)=0,"",VLOOKUP($B456,Показатели!$E:$W,17,FALSE)),"")</f>
        <v>-54856351499.999962</v>
      </c>
      <c r="U456">
        <f>IFERROR(IF(VLOOKUP($B456,Показатели!$E:$W,18,FALSE)=0,"",VLOOKUP($B456,Показатели!$E:$W,18,FALSE)),"")</f>
        <v>646294416305.64771</v>
      </c>
      <c r="V456">
        <f>IFERROR(IF(VLOOKUP($B456,Показатели!$E:$W,19,FALSE)=0,"",VLOOKUP($B456,Показатели!$E:$W,19,FALSE)),"")</f>
        <v>991885895530.56458</v>
      </c>
    </row>
    <row r="457" spans="1:22" x14ac:dyDescent="0.2">
      <c r="A457" s="7" t="s">
        <v>2237</v>
      </c>
      <c r="B457" t="str">
        <f t="shared" si="7"/>
        <v>RUAL IV кв. 2018</v>
      </c>
      <c r="C457">
        <v>2018</v>
      </c>
      <c r="D457">
        <f>SUMIFS(Дивиденды!$C:$C,Дивиденды!$A:$A,A457,Дивиденды!$I:$I,C457)</f>
        <v>0</v>
      </c>
      <c r="E457">
        <f>IFERROR(IF(VLOOKUP($B457,Показатели!$E:$W,2,FALSE)=0,"",VLOOKUP($B457,Показатели!$E:$W,2,FALSE)),"")</f>
        <v>53061526007.973412</v>
      </c>
      <c r="F457">
        <f>IFERROR(IF(VLOOKUP($B457,Показатели!$E:$W,3,FALSE)=0,"",VLOOKUP($B457,Показатели!$E:$W,3,FALSE)),"")</f>
        <v>318494894261.12952</v>
      </c>
      <c r="G457">
        <f>IFERROR(IF(VLOOKUP($B457,Показатели!$E:$W,4,FALSE)=0,"",VLOOKUP($B457,Показатели!$E:$W,4,FALSE)),"")</f>
        <v>277944320475.41522</v>
      </c>
      <c r="H457">
        <f>IFERROR(IF(VLOOKUP($B457,Показатели!$E:$W,5,FALSE)=0,"",VLOOKUP($B457,Показатели!$E:$W,5,FALSE)),"")</f>
        <v>151451677906.6445</v>
      </c>
      <c r="I457">
        <f>IFERROR(IF(VLOOKUP($B457,Показатели!$E:$W,6,FALSE)=0,"",VLOOKUP($B457,Показатели!$E:$W,6,FALSE)),"")</f>
        <v>991885895530.56458</v>
      </c>
      <c r="J457">
        <f>IFERROR(IF(VLOOKUP($B457,Показатели!$E:$W,7,FALSE)=0,"",VLOOKUP($B457,Показатели!$E:$W,7,FALSE)),"")</f>
        <v>141706966376.74417</v>
      </c>
      <c r="K457">
        <f>IFERROR(IF(VLOOKUP($B457,Показатели!$E:$W,8,FALSE)=0,"",VLOOKUP($B457,Показатели!$E:$W,8,FALSE)),"")</f>
        <v>522693752642.52484</v>
      </c>
      <c r="L457">
        <f>IFERROR(IF(VLOOKUP($B457,Показатели!$E:$W,9,FALSE)=0,"",VLOOKUP($B457,Показатели!$E:$W,9,FALSE)),"")</f>
        <v>-241543107728.23917</v>
      </c>
      <c r="M457">
        <f>IFERROR(IF(VLOOKUP($B457,Показатели!$E:$W,10,FALSE)=0,"",VLOOKUP($B457,Показатели!$E:$W,10,FALSE)),"")</f>
        <v>327485176511.29559</v>
      </c>
      <c r="N457">
        <f>IFERROR(IF(VLOOKUP($B457,Показатели!$E:$W,11,FALSE)=0,"",VLOOKUP($B457,Показатели!$E:$W,11,FALSE)),"")</f>
        <v>646294416305.64771</v>
      </c>
      <c r="O457">
        <f>IFERROR(IF(VLOOKUP($B457,Показатели!$E:$W,12,FALSE)=0,"",VLOOKUP($B457,Показатели!$E:$W,12,FALSE)),"")</f>
        <v>93109146940.53154</v>
      </c>
      <c r="P457">
        <f>IFERROR(IF(VLOOKUP($B457,Показатели!$E:$W,13,FALSE)=0,"",VLOOKUP($B457,Показатели!$E:$W,13,FALSE)),"")</f>
        <v>122783365276.74417</v>
      </c>
      <c r="Q457">
        <f>IFERROR(IF(VLOOKUP($B457,Показатели!$E:$W,14,FALSE)=0,"",VLOOKUP($B457,Показатели!$E:$W,14,FALSE)),"")</f>
        <v>106751743082.39201</v>
      </c>
      <c r="R457">
        <f>IFERROR(IF(VLOOKUP($B457,Показатели!$E:$W,15,FALSE)=0,"",VLOOKUP($B457,Показатели!$E:$W,15,FALSE)),"")</f>
        <v>32251851708.637867</v>
      </c>
      <c r="S457">
        <f>IFERROR(IF(VLOOKUP($B457,Показатели!$E:$W,16,FALSE)=0,"",VLOOKUP($B457,Показатели!$E:$W,16,FALSE)),"")</f>
        <v>135985877672.093</v>
      </c>
      <c r="T457">
        <f>IFERROR(IF(VLOOKUP($B457,Показатели!$E:$W,17,FALSE)=0,"",VLOOKUP($B457,Показатели!$E:$W,17,FALSE)),"")</f>
        <v>-52432834941.528229</v>
      </c>
      <c r="U457">
        <f>IFERROR(IF(VLOOKUP($B457,Показатели!$E:$W,18,FALSE)=0,"",VLOOKUP($B457,Показатели!$E:$W,18,FALSE)),"")</f>
        <v>581320803295.04932</v>
      </c>
      <c r="V457">
        <f>IFERROR(IF(VLOOKUP($B457,Показатели!$E:$W,19,FALSE)=0,"",VLOOKUP($B457,Показатели!$E:$W,19,FALSE)),"")</f>
        <v>919826898502.96997</v>
      </c>
    </row>
    <row r="458" spans="1:22" x14ac:dyDescent="0.2">
      <c r="A458" s="7" t="s">
        <v>2237</v>
      </c>
      <c r="B458" t="str">
        <f t="shared" si="7"/>
        <v>RUAL IV кв. 2017</v>
      </c>
      <c r="C458">
        <v>2017</v>
      </c>
      <c r="D458">
        <f>SUMIFS(Дивиденды!$C:$C,Дивиденды!$A:$A,A458,Дивиденды!$I:$I,C458)</f>
        <v>1.1487631482508245</v>
      </c>
      <c r="E458">
        <f>IFERROR(IF(VLOOKUP($B458,Показатели!$E:$W,2,FALSE)=0,"",VLOOKUP($B458,Показатели!$E:$W,2,FALSE)),"")</f>
        <v>48457978487.128693</v>
      </c>
      <c r="F458">
        <f>IFERROR(IF(VLOOKUP($B458,Показатели!$E:$W,3,FALSE)=0,"",VLOOKUP($B458,Показатели!$E:$W,3,FALSE)),"")</f>
        <v>249695624406.60056</v>
      </c>
      <c r="G458">
        <f>IFERROR(IF(VLOOKUP($B458,Показатели!$E:$W,4,FALSE)=0,"",VLOOKUP($B458,Показатели!$E:$W,4,FALSE)),"")</f>
        <v>252086451263.36624</v>
      </c>
      <c r="H458">
        <f>IFERROR(IF(VLOOKUP($B458,Показатели!$E:$W,5,FALSE)=0,"",VLOOKUP($B458,Показатели!$E:$W,5,FALSE)),"")</f>
        <v>148814393621.12204</v>
      </c>
      <c r="I458">
        <f>IFERROR(IF(VLOOKUP($B458,Показатели!$E:$W,6,FALSE)=0,"",VLOOKUP($B458,Показатели!$E:$W,6,FALSE)),"")</f>
        <v>919826898502.96997</v>
      </c>
      <c r="J458">
        <f>IFERROR(IF(VLOOKUP($B458,Показатели!$E:$W,7,FALSE)=0,"",VLOOKUP($B458,Показатели!$E:$W,7,FALSE)),"")</f>
        <v>144149365607.92075</v>
      </c>
      <c r="K458">
        <f>IFERROR(IF(VLOOKUP($B458,Показатели!$E:$W,8,FALSE)=0,"",VLOOKUP($B458,Показатели!$E:$W,8,FALSE)),"")</f>
        <v>516535226761.71594</v>
      </c>
      <c r="L458">
        <f>IFERROR(IF(VLOOKUP($B458,Показатели!$E:$W,9,FALSE)=0,"",VLOOKUP($B458,Показатели!$E:$W,9,FALSE)),"")</f>
        <v>-323053189914.19128</v>
      </c>
      <c r="M458">
        <f>IFERROR(IF(VLOOKUP($B458,Показатели!$E:$W,10,FALSE)=0,"",VLOOKUP($B458,Показатели!$E:$W,10,FALSE)),"")</f>
        <v>259142306133.33322</v>
      </c>
      <c r="N458">
        <f>IFERROR(IF(VLOOKUP($B458,Показатели!$E:$W,11,FALSE)=0,"",VLOOKUP($B458,Показатели!$E:$W,11,FALSE)),"")</f>
        <v>581320803295.04932</v>
      </c>
      <c r="O458">
        <f>IFERROR(IF(VLOOKUP($B458,Показатели!$E:$W,12,FALSE)=0,"",VLOOKUP($B458,Показатели!$E:$W,12,FALSE)),"")</f>
        <v>88810470801.320099</v>
      </c>
      <c r="P458">
        <f>IFERROR(IF(VLOOKUP($B458,Показатели!$E:$W,13,FALSE)=0,"",VLOOKUP($B458,Показатели!$E:$W,13,FALSE)),"")</f>
        <v>75106951012.541229</v>
      </c>
      <c r="Q458">
        <f>IFERROR(IF(VLOOKUP($B458,Показатели!$E:$W,14,FALSE)=0,"",VLOOKUP($B458,Показатели!$E:$W,14,FALSE)),"")</f>
        <v>71258302901.650131</v>
      </c>
      <c r="R458">
        <f>IFERROR(IF(VLOOKUP($B458,Показатели!$E:$W,15,FALSE)=0,"",VLOOKUP($B458,Показатели!$E:$W,15,FALSE)),"")</f>
        <v>28456670880.528042</v>
      </c>
      <c r="S458">
        <f>IFERROR(IF(VLOOKUP($B458,Показатели!$E:$W,16,FALSE)=0,"",VLOOKUP($B458,Показатели!$E:$W,16,FALSE)),"")</f>
        <v>123623242349.83493</v>
      </c>
      <c r="T458">
        <f>IFERROR(IF(VLOOKUP($B458,Показатели!$E:$W,17,FALSE)=0,"",VLOOKUP($B458,Показатели!$E:$W,17,FALSE)),"")</f>
        <v>-49099419838.943878</v>
      </c>
      <c r="U458">
        <f>IFERROR(IF(VLOOKUP($B458,Показатели!$E:$W,18,FALSE)=0,"",VLOOKUP($B458,Показатели!$E:$W,18,FALSE)),"")</f>
        <v>535295045901.06335</v>
      </c>
      <c r="V458">
        <f>IFERROR(IF(VLOOKUP($B458,Показатели!$E:$W,19,FALSE)=0,"",VLOOKUP($B458,Показатели!$E:$W,19,FALSE)),"")</f>
        <v>969069773689.36084</v>
      </c>
    </row>
    <row r="459" spans="1:22" x14ac:dyDescent="0.2">
      <c r="A459" s="7" t="s">
        <v>2237</v>
      </c>
      <c r="B459" t="str">
        <f t="shared" si="7"/>
        <v>RUAL IV кв. 2016</v>
      </c>
      <c r="C459">
        <v>2016</v>
      </c>
      <c r="D459">
        <f>SUMIFS(Дивиденды!$C:$C,Дивиденды!$A:$A,A459,Дивиденды!$I:$I,C459)</f>
        <v>1.106397126063829</v>
      </c>
      <c r="E459">
        <f>IFERROR(IF(VLOOKUP($B459,Показатели!$E:$W,2,FALSE)=0,"",VLOOKUP($B459,Показатели!$E:$W,2,FALSE)),"")</f>
        <v>36477577974.468056</v>
      </c>
      <c r="F459">
        <f>IFERROR(IF(VLOOKUP($B459,Показатели!$E:$W,3,FALSE)=0,"",VLOOKUP($B459,Показатели!$E:$W,3,FALSE)),"")</f>
        <v>242468606536.17001</v>
      </c>
      <c r="G459">
        <f>IFERROR(IF(VLOOKUP($B459,Показатели!$E:$W,4,FALSE)=0,"",VLOOKUP($B459,Показатели!$E:$W,4,FALSE)),"")</f>
        <v>272576019239.36148</v>
      </c>
      <c r="H459" t="str">
        <f>IFERROR(IF(VLOOKUP($B459,Показатели!$E:$W,5,FALSE)=0,"",VLOOKUP($B459,Показатели!$E:$W,5,FALSE)),"")</f>
        <v/>
      </c>
      <c r="I459">
        <f>IFERROR(IF(VLOOKUP($B459,Показатели!$E:$W,6,FALSE)=0,"",VLOOKUP($B459,Показатели!$E:$W,6,FALSE)),"")</f>
        <v>969069773689.36084</v>
      </c>
      <c r="J459">
        <f>IFERROR(IF(VLOOKUP($B459,Показатели!$E:$W,7,FALSE)=0,"",VLOOKUP($B459,Показатели!$E:$W,7,FALSE)),"")</f>
        <v>171592136096.80838</v>
      </c>
      <c r="K459">
        <f>IFERROR(IF(VLOOKUP($B459,Показатели!$E:$W,8,FALSE)=0,"",VLOOKUP($B459,Показатели!$E:$W,8,FALSE)),"")</f>
        <v>576265266751.06335</v>
      </c>
      <c r="L459">
        <f>IFERROR(IF(VLOOKUP($B459,Показатели!$E:$W,9,FALSE)=0,"",VLOOKUP($B459,Показатели!$E:$W,9,FALSE)),"")</f>
        <v>-433372401560.63794</v>
      </c>
      <c r="M459">
        <f>IFERROR(IF(VLOOKUP($B459,Показатели!$E:$W,10,FALSE)=0,"",VLOOKUP($B459,Показатели!$E:$W,10,FALSE)),"")</f>
        <v>221212370841.48917</v>
      </c>
      <c r="N459">
        <f>IFERROR(IF(VLOOKUP($B459,Показатели!$E:$W,11,FALSE)=0,"",VLOOKUP($B459,Показатели!$E:$W,11,FALSE)),"")</f>
        <v>535295045901.06335</v>
      </c>
      <c r="O459">
        <f>IFERROR(IF(VLOOKUP($B459,Показатели!$E:$W,12,FALSE)=0,"",VLOOKUP($B459,Показатели!$E:$W,12,FALSE)),"")</f>
        <v>71614068523.40419</v>
      </c>
      <c r="P459">
        <f>IFERROR(IF(VLOOKUP($B459,Показатели!$E:$W,13,FALSE)=0,"",VLOOKUP($B459,Показатели!$E:$W,13,FALSE)),"")</f>
        <v>90791618708.510559</v>
      </c>
      <c r="Q459">
        <f>IFERROR(IF(VLOOKUP($B459,Показатели!$E:$W,14,FALSE)=0,"",VLOOKUP($B459,Показатели!$E:$W,14,FALSE)),"")</f>
        <v>79057103735.106323</v>
      </c>
      <c r="R459" t="str">
        <f>IFERROR(IF(VLOOKUP($B459,Показатели!$E:$W,15,FALSE)=0,"",VLOOKUP($B459,Показатели!$E:$W,15,FALSE)),"")</f>
        <v/>
      </c>
      <c r="S459">
        <f>IFERROR(IF(VLOOKUP($B459,Показатели!$E:$W,16,FALSE)=0,"",VLOOKUP($B459,Показатели!$E:$W,16,FALSE)),"")</f>
        <v>99843958830.850983</v>
      </c>
      <c r="T459">
        <f>IFERROR(IF(VLOOKUP($B459,Показатели!$E:$W,17,FALSE)=0,"",VLOOKUP($B459,Показатели!$E:$W,17,FALSE)),"")</f>
        <v>38556263484.042519</v>
      </c>
      <c r="U459">
        <f>IFERROR(IF(VLOOKUP($B459,Показатели!$E:$W,18,FALSE)=0,"",VLOOKUP($B459,Показатели!$E:$W,18,FALSE)),"")</f>
        <v>531651442909.09094</v>
      </c>
      <c r="V459">
        <f>IFERROR(IF(VLOOKUP($B459,Показатели!$E:$W,19,FALSE)=0,"",VLOOKUP($B459,Показатели!$E:$W,19,FALSE)),"")</f>
        <v>784553379288.31177</v>
      </c>
    </row>
    <row r="460" spans="1:22" x14ac:dyDescent="0.2">
      <c r="A460" s="7" t="s">
        <v>2237</v>
      </c>
      <c r="B460" t="str">
        <f t="shared" si="7"/>
        <v>RUAL IV кв. 2015</v>
      </c>
      <c r="C460">
        <v>2015</v>
      </c>
      <c r="D460">
        <f>SUMIFS(Дивиденды!$C:$C,Дивиденды!$A:$A,A460,Дивиденды!$I:$I,C460)</f>
        <v>1.0106277428571429</v>
      </c>
      <c r="E460">
        <f>IFERROR(IF(VLOOKUP($B460,Показатели!$E:$W,2,FALSE)=0,"",VLOOKUP($B460,Показатели!$E:$W,2,FALSE)),"")</f>
        <v>31115084446.75325</v>
      </c>
      <c r="F460">
        <f>IFERROR(IF(VLOOKUP($B460,Показатели!$E:$W,3,FALSE)=0,"",VLOOKUP($B460,Показатели!$E:$W,3,FALSE)),"")</f>
        <v>201758047574.02597</v>
      </c>
      <c r="G460">
        <f>IFERROR(IF(VLOOKUP($B460,Показатели!$E:$W,4,FALSE)=0,"",VLOOKUP($B460,Показатели!$E:$W,4,FALSE)),"")</f>
        <v>236058140664.93509</v>
      </c>
      <c r="H460" t="str">
        <f>IFERROR(IF(VLOOKUP($B460,Показатели!$E:$W,5,FALSE)=0,"",VLOOKUP($B460,Показатели!$E:$W,5,FALSE)),"")</f>
        <v/>
      </c>
      <c r="I460">
        <f>IFERROR(IF(VLOOKUP($B460,Показатели!$E:$W,6,FALSE)=0,"",VLOOKUP($B460,Показатели!$E:$W,6,FALSE)),"")</f>
        <v>784553379288.31177</v>
      </c>
      <c r="J460">
        <f>IFERROR(IF(VLOOKUP($B460,Показатели!$E:$W,7,FALSE)=0,"",VLOOKUP($B460,Показатели!$E:$W,7,FALSE)),"")</f>
        <v>172235467449.35065</v>
      </c>
      <c r="K460">
        <f>IFERROR(IF(VLOOKUP($B460,Показатели!$E:$W,8,FALSE)=0,"",VLOOKUP($B460,Показатели!$E:$W,8,FALSE)),"")</f>
        <v>527118930607.79224</v>
      </c>
      <c r="L460">
        <f>IFERROR(IF(VLOOKUP($B460,Показатели!$E:$W,9,FALSE)=0,"",VLOOKUP($B460,Показатели!$E:$W,9,FALSE)),"")</f>
        <v>-452761228800</v>
      </c>
      <c r="M460">
        <f>IFERROR(IF(VLOOKUP($B460,Показатели!$E:$W,10,FALSE)=0,"",VLOOKUP($B460,Показатели!$E:$W,10,FALSE)),"")</f>
        <v>85198981231.168839</v>
      </c>
      <c r="N460">
        <f>IFERROR(IF(VLOOKUP($B460,Показатели!$E:$W,11,FALSE)=0,"",VLOOKUP($B460,Показатели!$E:$W,11,FALSE)),"")</f>
        <v>531651442909.09094</v>
      </c>
      <c r="O460">
        <f>IFERROR(IF(VLOOKUP($B460,Показатели!$E:$W,12,FALSE)=0,"",VLOOKUP($B460,Показатели!$E:$W,12,FALSE)),"")</f>
        <v>86301484223.376633</v>
      </c>
      <c r="P460">
        <f>IFERROR(IF(VLOOKUP($B460,Показатели!$E:$W,13,FALSE)=0,"",VLOOKUP($B460,Показатели!$E:$W,13,FALSE)),"")</f>
        <v>46733876836.36364</v>
      </c>
      <c r="Q460">
        <f>IFERROR(IF(VLOOKUP($B460,Показатели!$E:$W,14,FALSE)=0,"",VLOOKUP($B460,Показатели!$E:$W,14,FALSE)),"")</f>
        <v>34177592758.441559</v>
      </c>
      <c r="R460" t="str">
        <f>IFERROR(IF(VLOOKUP($B460,Показатели!$E:$W,15,FALSE)=0,"",VLOOKUP($B460,Показатели!$E:$W,15,FALSE)),"")</f>
        <v/>
      </c>
      <c r="S460">
        <f>IFERROR(IF(VLOOKUP($B460,Показатели!$E:$W,16,FALSE)=0,"",VLOOKUP($B460,Показатели!$E:$W,16,FALSE)),"")</f>
        <v>123419084961.03897</v>
      </c>
      <c r="T460">
        <f>IFERROR(IF(VLOOKUP($B460,Показатели!$E:$W,17,FALSE)=0,"",VLOOKUP($B460,Показатели!$E:$W,17,FALSE)),"")</f>
        <v>31972586774.025974</v>
      </c>
      <c r="U460">
        <f>IFERROR(IF(VLOOKUP($B460,Показатели!$E:$W,18,FALSE)=0,"",VLOOKUP($B460,Показатели!$E:$W,18,FALSE)),"")</f>
        <v>362691476465.01898</v>
      </c>
      <c r="V460">
        <f>IFERROR(IF(VLOOKUP($B460,Показатели!$E:$W,19,FALSE)=0,"",VLOOKUP($B460,Показатели!$E:$W,19,FALSE)),"")</f>
        <v>575879797567.68054</v>
      </c>
    </row>
    <row r="461" spans="1:22" x14ac:dyDescent="0.2">
      <c r="A461" s="7" t="s">
        <v>2237</v>
      </c>
      <c r="B461" t="str">
        <f t="shared" si="7"/>
        <v>RUAL IV кв. 2014</v>
      </c>
      <c r="C461">
        <v>2014</v>
      </c>
      <c r="D461">
        <f>SUMIFS(Дивиденды!$C:$C,Дивиденды!$A:$A,A461,Дивиденды!$I:$I,C461)</f>
        <v>0</v>
      </c>
      <c r="E461">
        <f>IFERROR(IF(VLOOKUP($B461,Показатели!$E:$W,2,FALSE)=0,"",VLOOKUP($B461,Показатели!$E:$W,2,FALSE)),"")</f>
        <v>22094062368.821289</v>
      </c>
      <c r="F461">
        <f>IFERROR(IF(VLOOKUP($B461,Показатели!$E:$W,3,FALSE)=0,"",VLOOKUP($B461,Показатели!$E:$W,3,FALSE)),"")</f>
        <v>127370331480.60835</v>
      </c>
      <c r="G461">
        <f>IFERROR(IF(VLOOKUP($B461,Показатели!$E:$W,4,FALSE)=0,"",VLOOKUP($B461,Показатели!$E:$W,4,FALSE)),"")</f>
        <v>153224260603.42203</v>
      </c>
      <c r="H461" t="str">
        <f>IFERROR(IF(VLOOKUP($B461,Показатели!$E:$W,5,FALSE)=0,"",VLOOKUP($B461,Показатели!$E:$W,5,FALSE)),"")</f>
        <v/>
      </c>
      <c r="I461">
        <f>IFERROR(IF(VLOOKUP($B461,Показатели!$E:$W,6,FALSE)=0,"",VLOOKUP($B461,Показатели!$E:$W,6,FALSE)),"")</f>
        <v>575879797567.68054</v>
      </c>
      <c r="J461">
        <f>IFERROR(IF(VLOOKUP($B461,Показатели!$E:$W,7,FALSE)=0,"",VLOOKUP($B461,Показатели!$E:$W,7,FALSE)),"")</f>
        <v>86825788958.174896</v>
      </c>
      <c r="K461">
        <f>IFERROR(IF(VLOOKUP($B461,Показатели!$E:$W,8,FALSE)=0,"",VLOOKUP($B461,Показатели!$E:$W,8,FALSE)),"")</f>
        <v>402344504190.11401</v>
      </c>
      <c r="L461">
        <f>IFERROR(IF(VLOOKUP($B461,Показатели!$E:$W,9,FALSE)=0,"",VLOOKUP($B461,Показатели!$E:$W,9,FALSE)),"")</f>
        <v>-298463649543.7262</v>
      </c>
      <c r="M461">
        <f>IFERROR(IF(VLOOKUP($B461,Показатели!$E:$W,10,FALSE)=0,"",VLOOKUP($B461,Показатели!$E:$W,10,FALSE)),"")</f>
        <v>86709504419.391617</v>
      </c>
      <c r="N461">
        <f>IFERROR(IF(VLOOKUP($B461,Показатели!$E:$W,11,FALSE)=0,"",VLOOKUP($B461,Показатели!$E:$W,11,FALSE)),"")</f>
        <v>362691476465.01898</v>
      </c>
      <c r="O461">
        <f>IFERROR(IF(VLOOKUP($B461,Показатели!$E:$W,12,FALSE)=0,"",VLOOKUP($B461,Показатели!$E:$W,12,FALSE)),"")</f>
        <v>36513345177.946762</v>
      </c>
      <c r="P461">
        <f>IFERROR(IF(VLOOKUP($B461,Показатели!$E:$W,13,FALSE)=0,"",VLOOKUP($B461,Показатели!$E:$W,13,FALSE)),"")</f>
        <v>5697942400.3802271</v>
      </c>
      <c r="Q461">
        <f>IFERROR(IF(VLOOKUP($B461,Показатели!$E:$W,14,FALSE)=0,"",VLOOKUP($B461,Показатели!$E:$W,14,FALSE)),"")</f>
        <v>-3527297676.4258552</v>
      </c>
      <c r="R461" t="str">
        <f>IFERROR(IF(VLOOKUP($B461,Показатели!$E:$W,15,FALSE)=0,"",VLOOKUP($B461,Показатели!$E:$W,15,FALSE)),"")</f>
        <v/>
      </c>
      <c r="S461">
        <f>IFERROR(IF(VLOOKUP($B461,Показатели!$E:$W,16,FALSE)=0,"",VLOOKUP($B461,Показатели!$E:$W,16,FALSE)),"")</f>
        <v>58684930572.623566</v>
      </c>
      <c r="T461">
        <f>IFERROR(IF(VLOOKUP($B461,Показатели!$E:$W,17,FALSE)=0,"",VLOOKUP($B461,Показатели!$E:$W,17,FALSE)),"")</f>
        <v>18566764692.395435</v>
      </c>
      <c r="U461" t="str">
        <f>IFERROR(IF(VLOOKUP($B461,Показатели!$E:$W,18,FALSE)=0,"",VLOOKUP($B461,Показатели!$E:$W,18,FALSE)),"")</f>
        <v/>
      </c>
      <c r="V461" t="str">
        <f>IFERROR(IF(VLOOKUP($B461,Показатели!$E:$W,19,FALSE)=0,"",VLOOKUP($B461,Показатели!$E:$W,19,FALSE)),"")</f>
        <v/>
      </c>
    </row>
    <row r="462" spans="1:22" x14ac:dyDescent="0.2">
      <c r="A462" s="7" t="s">
        <v>2237</v>
      </c>
      <c r="B462" t="str">
        <f t="shared" si="7"/>
        <v>RUAL IV кв. 2013</v>
      </c>
      <c r="C462">
        <v>2013</v>
      </c>
      <c r="D462">
        <f>SUMIFS(Дивиденды!$C:$C,Дивиденды!$A:$A,A462,Дивиденды!$I:$I,C462)</f>
        <v>0</v>
      </c>
      <c r="E462" t="str">
        <f>IFERROR(IF(VLOOKUP($B462,Показатели!$E:$W,2,FALSE)=0,"",VLOOKUP($B462,Показатели!$E:$W,2,FALSE)),"")</f>
        <v/>
      </c>
      <c r="F462" t="str">
        <f>IFERROR(IF(VLOOKUP($B462,Показатели!$E:$W,3,FALSE)=0,"",VLOOKUP($B462,Показатели!$E:$W,3,FALSE)),"")</f>
        <v/>
      </c>
      <c r="G462" t="str">
        <f>IFERROR(IF(VLOOKUP($B462,Показатели!$E:$W,4,FALSE)=0,"",VLOOKUP($B462,Показатели!$E:$W,4,FALSE)),"")</f>
        <v/>
      </c>
      <c r="H462" t="str">
        <f>IFERROR(IF(VLOOKUP($B462,Показатели!$E:$W,5,FALSE)=0,"",VLOOKUP($B462,Показатели!$E:$W,5,FALSE)),"")</f>
        <v/>
      </c>
      <c r="I462" t="str">
        <f>IFERROR(IF(VLOOKUP($B462,Показатели!$E:$W,6,FALSE)=0,"",VLOOKUP($B462,Показатели!$E:$W,6,FALSE)),"")</f>
        <v/>
      </c>
      <c r="J462" t="str">
        <f>IFERROR(IF(VLOOKUP($B462,Показатели!$E:$W,7,FALSE)=0,"",VLOOKUP($B462,Показатели!$E:$W,7,FALSE)),"")</f>
        <v/>
      </c>
      <c r="K462" t="str">
        <f>IFERROR(IF(VLOOKUP($B462,Показатели!$E:$W,8,FALSE)=0,"",VLOOKUP($B462,Показатели!$E:$W,8,FALSE)),"")</f>
        <v/>
      </c>
      <c r="L462" t="str">
        <f>IFERROR(IF(VLOOKUP($B462,Показатели!$E:$W,9,FALSE)=0,"",VLOOKUP($B462,Показатели!$E:$W,9,FALSE)),"")</f>
        <v/>
      </c>
      <c r="M462" t="str">
        <f>IFERROR(IF(VLOOKUP($B462,Показатели!$E:$W,10,FALSE)=0,"",VLOOKUP($B462,Показатели!$E:$W,10,FALSE)),"")</f>
        <v/>
      </c>
      <c r="N462" t="str">
        <f>IFERROR(IF(VLOOKUP($B462,Показатели!$E:$W,11,FALSE)=0,"",VLOOKUP($B462,Показатели!$E:$W,11,FALSE)),"")</f>
        <v/>
      </c>
      <c r="O462" t="str">
        <f>IFERROR(IF(VLOOKUP($B462,Показатели!$E:$W,12,FALSE)=0,"",VLOOKUP($B462,Показатели!$E:$W,12,FALSE)),"")</f>
        <v/>
      </c>
      <c r="P462" t="str">
        <f>IFERROR(IF(VLOOKUP($B462,Показатели!$E:$W,13,FALSE)=0,"",VLOOKUP($B462,Показатели!$E:$W,13,FALSE)),"")</f>
        <v/>
      </c>
      <c r="Q462" t="str">
        <f>IFERROR(IF(VLOOKUP($B462,Показатели!$E:$W,14,FALSE)=0,"",VLOOKUP($B462,Показатели!$E:$W,14,FALSE)),"")</f>
        <v/>
      </c>
      <c r="R462" t="str">
        <f>IFERROR(IF(VLOOKUP($B462,Показатели!$E:$W,15,FALSE)=0,"",VLOOKUP($B462,Показатели!$E:$W,15,FALSE)),"")</f>
        <v/>
      </c>
      <c r="S462" t="str">
        <f>IFERROR(IF(VLOOKUP($B462,Показатели!$E:$W,16,FALSE)=0,"",VLOOKUP($B462,Показатели!$E:$W,16,FALSE)),"")</f>
        <v/>
      </c>
      <c r="T462" t="str">
        <f>IFERROR(IF(VLOOKUP($B462,Показатели!$E:$W,17,FALSE)=0,"",VLOOKUP($B462,Показатели!$E:$W,17,FALSE)),"")</f>
        <v/>
      </c>
      <c r="U462" t="str">
        <f>IFERROR(IF(VLOOKUP($B462,Показатели!$E:$W,18,FALSE)=0,"",VLOOKUP($B462,Показатели!$E:$W,18,FALSE)),"")</f>
        <v/>
      </c>
      <c r="V462" t="str">
        <f>IFERROR(IF(VLOOKUP($B462,Показатели!$E:$W,19,FALSE)=0,"",VLOOKUP($B462,Показатели!$E:$W,19,FALSE)),"")</f>
        <v/>
      </c>
    </row>
    <row r="463" spans="1:22" x14ac:dyDescent="0.2">
      <c r="A463" s="7" t="s">
        <v>2237</v>
      </c>
      <c r="B463" t="str">
        <f t="shared" si="7"/>
        <v>RUAL IV кв. 2012</v>
      </c>
      <c r="C463">
        <v>2012</v>
      </c>
      <c r="D463">
        <f>SUMIFS(Дивиденды!$C:$C,Дивиденды!$A:$A,A463,Дивиденды!$I:$I,C463)</f>
        <v>0</v>
      </c>
      <c r="E463" t="str">
        <f>IFERROR(IF(VLOOKUP($B463,Показатели!$E:$W,2,FALSE)=0,"",VLOOKUP($B463,Показатели!$E:$W,2,FALSE)),"")</f>
        <v/>
      </c>
      <c r="F463" t="str">
        <f>IFERROR(IF(VLOOKUP($B463,Показатели!$E:$W,3,FALSE)=0,"",VLOOKUP($B463,Показатели!$E:$W,3,FALSE)),"")</f>
        <v/>
      </c>
      <c r="G463" t="str">
        <f>IFERROR(IF(VLOOKUP($B463,Показатели!$E:$W,4,FALSE)=0,"",VLOOKUP($B463,Показатели!$E:$W,4,FALSE)),"")</f>
        <v/>
      </c>
      <c r="H463" t="str">
        <f>IFERROR(IF(VLOOKUP($B463,Показатели!$E:$W,5,FALSE)=0,"",VLOOKUP($B463,Показатели!$E:$W,5,FALSE)),"")</f>
        <v/>
      </c>
      <c r="I463" t="str">
        <f>IFERROR(IF(VLOOKUP($B463,Показатели!$E:$W,6,FALSE)=0,"",VLOOKUP($B463,Показатели!$E:$W,6,FALSE)),"")</f>
        <v/>
      </c>
      <c r="J463" t="str">
        <f>IFERROR(IF(VLOOKUP($B463,Показатели!$E:$W,7,FALSE)=0,"",VLOOKUP($B463,Показатели!$E:$W,7,FALSE)),"")</f>
        <v/>
      </c>
      <c r="K463" t="str">
        <f>IFERROR(IF(VLOOKUP($B463,Показатели!$E:$W,8,FALSE)=0,"",VLOOKUP($B463,Показатели!$E:$W,8,FALSE)),"")</f>
        <v/>
      </c>
      <c r="L463" t="str">
        <f>IFERROR(IF(VLOOKUP($B463,Показатели!$E:$W,9,FALSE)=0,"",VLOOKUP($B463,Показатели!$E:$W,9,FALSE)),"")</f>
        <v/>
      </c>
      <c r="M463" t="str">
        <f>IFERROR(IF(VLOOKUP($B463,Показатели!$E:$W,10,FALSE)=0,"",VLOOKUP($B463,Показатели!$E:$W,10,FALSE)),"")</f>
        <v/>
      </c>
      <c r="N463" t="str">
        <f>IFERROR(IF(VLOOKUP($B463,Показатели!$E:$W,11,FALSE)=0,"",VLOOKUP($B463,Показатели!$E:$W,11,FALSE)),"")</f>
        <v/>
      </c>
      <c r="O463" t="str">
        <f>IFERROR(IF(VLOOKUP($B463,Показатели!$E:$W,12,FALSE)=0,"",VLOOKUP($B463,Показатели!$E:$W,12,FALSE)),"")</f>
        <v/>
      </c>
      <c r="P463" t="str">
        <f>IFERROR(IF(VLOOKUP($B463,Показатели!$E:$W,13,FALSE)=0,"",VLOOKUP($B463,Показатели!$E:$W,13,FALSE)),"")</f>
        <v/>
      </c>
      <c r="Q463" t="str">
        <f>IFERROR(IF(VLOOKUP($B463,Показатели!$E:$W,14,FALSE)=0,"",VLOOKUP($B463,Показатели!$E:$W,14,FALSE)),"")</f>
        <v/>
      </c>
      <c r="R463" t="str">
        <f>IFERROR(IF(VLOOKUP($B463,Показатели!$E:$W,15,FALSE)=0,"",VLOOKUP($B463,Показатели!$E:$W,15,FALSE)),"")</f>
        <v/>
      </c>
      <c r="S463" t="str">
        <f>IFERROR(IF(VLOOKUP($B463,Показатели!$E:$W,16,FALSE)=0,"",VLOOKUP($B463,Показатели!$E:$W,16,FALSE)),"")</f>
        <v/>
      </c>
      <c r="T463" t="str">
        <f>IFERROR(IF(VLOOKUP($B463,Показатели!$E:$W,17,FALSE)=0,"",VLOOKUP($B463,Показатели!$E:$W,17,FALSE)),"")</f>
        <v/>
      </c>
      <c r="U463" t="str">
        <f>IFERROR(IF(VLOOKUP($B463,Показатели!$E:$W,18,FALSE)=0,"",VLOOKUP($B463,Показатели!$E:$W,18,FALSE)),"")</f>
        <v/>
      </c>
      <c r="V463" t="str">
        <f>IFERROR(IF(VLOOKUP($B463,Показатели!$E:$W,19,FALSE)=0,"",VLOOKUP($B463,Показатели!$E:$W,19,FALSE)),"")</f>
        <v/>
      </c>
    </row>
    <row r="464" spans="1:22" x14ac:dyDescent="0.2">
      <c r="A464" s="7" t="s">
        <v>2237</v>
      </c>
      <c r="B464" t="str">
        <f t="shared" si="7"/>
        <v>RUAL IV кв. 2011</v>
      </c>
      <c r="C464">
        <v>2011</v>
      </c>
      <c r="D464">
        <f>SUMIFS(Дивиденды!$C:$C,Дивиденды!$A:$A,A464,Дивиденды!$I:$I,C464)</f>
        <v>0</v>
      </c>
      <c r="E464" t="str">
        <f>IFERROR(IF(VLOOKUP($B464,Показатели!$E:$W,2,FALSE)=0,"",VLOOKUP($B464,Показатели!$E:$W,2,FALSE)),"")</f>
        <v/>
      </c>
      <c r="F464" t="str">
        <f>IFERROR(IF(VLOOKUP($B464,Показатели!$E:$W,3,FALSE)=0,"",VLOOKUP($B464,Показатели!$E:$W,3,FALSE)),"")</f>
        <v/>
      </c>
      <c r="G464" t="str">
        <f>IFERROR(IF(VLOOKUP($B464,Показатели!$E:$W,4,FALSE)=0,"",VLOOKUP($B464,Показатели!$E:$W,4,FALSE)),"")</f>
        <v/>
      </c>
      <c r="H464" t="str">
        <f>IFERROR(IF(VLOOKUP($B464,Показатели!$E:$W,5,FALSE)=0,"",VLOOKUP($B464,Показатели!$E:$W,5,FALSE)),"")</f>
        <v/>
      </c>
      <c r="I464" t="str">
        <f>IFERROR(IF(VLOOKUP($B464,Показатели!$E:$W,6,FALSE)=0,"",VLOOKUP($B464,Показатели!$E:$W,6,FALSE)),"")</f>
        <v/>
      </c>
      <c r="J464" t="str">
        <f>IFERROR(IF(VLOOKUP($B464,Показатели!$E:$W,7,FALSE)=0,"",VLOOKUP($B464,Показатели!$E:$W,7,FALSE)),"")</f>
        <v/>
      </c>
      <c r="K464" t="str">
        <f>IFERROR(IF(VLOOKUP($B464,Показатели!$E:$W,8,FALSE)=0,"",VLOOKUP($B464,Показатели!$E:$W,8,FALSE)),"")</f>
        <v/>
      </c>
      <c r="L464" t="str">
        <f>IFERROR(IF(VLOOKUP($B464,Показатели!$E:$W,9,FALSE)=0,"",VLOOKUP($B464,Показатели!$E:$W,9,FALSE)),"")</f>
        <v/>
      </c>
      <c r="M464" t="str">
        <f>IFERROR(IF(VLOOKUP($B464,Показатели!$E:$W,10,FALSE)=0,"",VLOOKUP($B464,Показатели!$E:$W,10,FALSE)),"")</f>
        <v/>
      </c>
      <c r="N464" t="str">
        <f>IFERROR(IF(VLOOKUP($B464,Показатели!$E:$W,11,FALSE)=0,"",VLOOKUP($B464,Показатели!$E:$W,11,FALSE)),"")</f>
        <v/>
      </c>
      <c r="O464" t="str">
        <f>IFERROR(IF(VLOOKUP($B464,Показатели!$E:$W,12,FALSE)=0,"",VLOOKUP($B464,Показатели!$E:$W,12,FALSE)),"")</f>
        <v/>
      </c>
      <c r="P464" t="str">
        <f>IFERROR(IF(VLOOKUP($B464,Показатели!$E:$W,13,FALSE)=0,"",VLOOKUP($B464,Показатели!$E:$W,13,FALSE)),"")</f>
        <v/>
      </c>
      <c r="Q464" t="str">
        <f>IFERROR(IF(VLOOKUP($B464,Показатели!$E:$W,14,FALSE)=0,"",VLOOKUP($B464,Показатели!$E:$W,14,FALSE)),"")</f>
        <v/>
      </c>
      <c r="R464" t="str">
        <f>IFERROR(IF(VLOOKUP($B464,Показатели!$E:$W,15,FALSE)=0,"",VLOOKUP($B464,Показатели!$E:$W,15,FALSE)),"")</f>
        <v/>
      </c>
      <c r="S464" t="str">
        <f>IFERROR(IF(VLOOKUP($B464,Показатели!$E:$W,16,FALSE)=0,"",VLOOKUP($B464,Показатели!$E:$W,16,FALSE)),"")</f>
        <v/>
      </c>
      <c r="T464" t="str">
        <f>IFERROR(IF(VLOOKUP($B464,Показатели!$E:$W,17,FALSE)=0,"",VLOOKUP($B464,Показатели!$E:$W,17,FALSE)),"")</f>
        <v/>
      </c>
      <c r="U464" t="str">
        <f>IFERROR(IF(VLOOKUP($B464,Показатели!$E:$W,18,FALSE)=0,"",VLOOKUP($B464,Показатели!$E:$W,18,FALSE)),"")</f>
        <v/>
      </c>
      <c r="V464" t="str">
        <f>IFERROR(IF(VLOOKUP($B464,Показатели!$E:$W,19,FALSE)=0,"",VLOOKUP($B464,Показатели!$E:$W,19,FALSE)),"")</f>
        <v/>
      </c>
    </row>
    <row r="465" spans="1:22" x14ac:dyDescent="0.2">
      <c r="A465" s="7" t="s">
        <v>2237</v>
      </c>
      <c r="B465" t="str">
        <f t="shared" si="7"/>
        <v>RUAL IV кв. 2010</v>
      </c>
      <c r="C465">
        <v>2010</v>
      </c>
      <c r="D465">
        <f>SUMIFS(Дивиденды!$C:$C,Дивиденды!$A:$A,A465,Дивиденды!$I:$I,C465)</f>
        <v>0</v>
      </c>
      <c r="E465" t="str">
        <f>IFERROR(IF(VLOOKUP($B465,Показатели!$E:$W,2,FALSE)=0,"",VLOOKUP($B465,Показатели!$E:$W,2,FALSE)),"")</f>
        <v/>
      </c>
      <c r="F465" t="str">
        <f>IFERROR(IF(VLOOKUP($B465,Показатели!$E:$W,3,FALSE)=0,"",VLOOKUP($B465,Показатели!$E:$W,3,FALSE)),"")</f>
        <v/>
      </c>
      <c r="G465" t="str">
        <f>IFERROR(IF(VLOOKUP($B465,Показатели!$E:$W,4,FALSE)=0,"",VLOOKUP($B465,Показатели!$E:$W,4,FALSE)),"")</f>
        <v/>
      </c>
      <c r="H465" t="str">
        <f>IFERROR(IF(VLOOKUP($B465,Показатели!$E:$W,5,FALSE)=0,"",VLOOKUP($B465,Показатели!$E:$W,5,FALSE)),"")</f>
        <v/>
      </c>
      <c r="I465" t="str">
        <f>IFERROR(IF(VLOOKUP($B465,Показатели!$E:$W,6,FALSE)=0,"",VLOOKUP($B465,Показатели!$E:$W,6,FALSE)),"")</f>
        <v/>
      </c>
      <c r="J465" t="str">
        <f>IFERROR(IF(VLOOKUP($B465,Показатели!$E:$W,7,FALSE)=0,"",VLOOKUP($B465,Показатели!$E:$W,7,FALSE)),"")</f>
        <v/>
      </c>
      <c r="K465" t="str">
        <f>IFERROR(IF(VLOOKUP($B465,Показатели!$E:$W,8,FALSE)=0,"",VLOOKUP($B465,Показатели!$E:$W,8,FALSE)),"")</f>
        <v/>
      </c>
      <c r="L465" t="str">
        <f>IFERROR(IF(VLOOKUP($B465,Показатели!$E:$W,9,FALSE)=0,"",VLOOKUP($B465,Показатели!$E:$W,9,FALSE)),"")</f>
        <v/>
      </c>
      <c r="M465" t="str">
        <f>IFERROR(IF(VLOOKUP($B465,Показатели!$E:$W,10,FALSE)=0,"",VLOOKUP($B465,Показатели!$E:$W,10,FALSE)),"")</f>
        <v/>
      </c>
      <c r="N465" t="str">
        <f>IFERROR(IF(VLOOKUP($B465,Показатели!$E:$W,11,FALSE)=0,"",VLOOKUP($B465,Показатели!$E:$W,11,FALSE)),"")</f>
        <v/>
      </c>
      <c r="O465" t="str">
        <f>IFERROR(IF(VLOOKUP($B465,Показатели!$E:$W,12,FALSE)=0,"",VLOOKUP($B465,Показатели!$E:$W,12,FALSE)),"")</f>
        <v/>
      </c>
      <c r="P465" t="str">
        <f>IFERROR(IF(VLOOKUP($B465,Показатели!$E:$W,13,FALSE)=0,"",VLOOKUP($B465,Показатели!$E:$W,13,FALSE)),"")</f>
        <v/>
      </c>
      <c r="Q465" t="str">
        <f>IFERROR(IF(VLOOKUP($B465,Показатели!$E:$W,14,FALSE)=0,"",VLOOKUP($B465,Показатели!$E:$W,14,FALSE)),"")</f>
        <v/>
      </c>
      <c r="R465" t="str">
        <f>IFERROR(IF(VLOOKUP($B465,Показатели!$E:$W,15,FALSE)=0,"",VLOOKUP($B465,Показатели!$E:$W,15,FALSE)),"")</f>
        <v/>
      </c>
      <c r="S465" t="str">
        <f>IFERROR(IF(VLOOKUP($B465,Показатели!$E:$W,16,FALSE)=0,"",VLOOKUP($B465,Показатели!$E:$W,16,FALSE)),"")</f>
        <v/>
      </c>
      <c r="T465" t="str">
        <f>IFERROR(IF(VLOOKUP($B465,Показатели!$E:$W,17,FALSE)=0,"",VLOOKUP($B465,Показатели!$E:$W,17,FALSE)),"")</f>
        <v/>
      </c>
      <c r="U465" t="str">
        <f>IFERROR(IF(VLOOKUP($B465,Показатели!$E:$W,18,FALSE)=0,"",VLOOKUP($B465,Показатели!$E:$W,18,FALSE)),"")</f>
        <v/>
      </c>
      <c r="V465" t="str">
        <f>IFERROR(IF(VLOOKUP($B465,Показатели!$E:$W,19,FALSE)=0,"",VLOOKUP($B465,Показатели!$E:$W,19,FALSE)),"")</f>
        <v/>
      </c>
    </row>
    <row r="466" spans="1:22" x14ac:dyDescent="0.2">
      <c r="A466" s="7" t="s">
        <v>2240</v>
      </c>
      <c r="B466" t="str">
        <f t="shared" si="7"/>
        <v>SELG IV кв. 2025</v>
      </c>
      <c r="C466">
        <v>2025</v>
      </c>
      <c r="D466">
        <f>SUMIFS(Дивиденды!$C:$C,Дивиденды!$A:$A,A466,Дивиденды!$I:$I,C466)</f>
        <v>0</v>
      </c>
      <c r="E466" t="str">
        <f>IFERROR(IF(VLOOKUP($B466,Показатели!$E:$W,2,FALSE)=0,"",VLOOKUP($B466,Показатели!$E:$W,2,FALSE)),"")</f>
        <v/>
      </c>
      <c r="F466" t="str">
        <f>IFERROR(IF(VLOOKUP($B466,Показатели!$E:$W,3,FALSE)=0,"",VLOOKUP($B466,Показатели!$E:$W,3,FALSE)),"")</f>
        <v/>
      </c>
      <c r="G466" t="str">
        <f>IFERROR(IF(VLOOKUP($B466,Показатели!$E:$W,4,FALSE)=0,"",VLOOKUP($B466,Показатели!$E:$W,4,FALSE)),"")</f>
        <v/>
      </c>
      <c r="H466" t="str">
        <f>IFERROR(IF(VLOOKUP($B466,Показатели!$E:$W,5,FALSE)=0,"",VLOOKUP($B466,Показатели!$E:$W,5,FALSE)),"")</f>
        <v/>
      </c>
      <c r="I466" t="str">
        <f>IFERROR(IF(VLOOKUP($B466,Показатели!$E:$W,6,FALSE)=0,"",VLOOKUP($B466,Показатели!$E:$W,6,FALSE)),"")</f>
        <v/>
      </c>
      <c r="J466" t="str">
        <f>IFERROR(IF(VLOOKUP($B466,Показатели!$E:$W,7,FALSE)=0,"",VLOOKUP($B466,Показатели!$E:$W,7,FALSE)),"")</f>
        <v/>
      </c>
      <c r="K466" t="str">
        <f>IFERROR(IF(VLOOKUP($B466,Показатели!$E:$W,8,FALSE)=0,"",VLOOKUP($B466,Показатели!$E:$W,8,FALSE)),"")</f>
        <v/>
      </c>
      <c r="L466" t="str">
        <f>IFERROR(IF(VLOOKUP($B466,Показатели!$E:$W,9,FALSE)=0,"",VLOOKUP($B466,Показатели!$E:$W,9,FALSE)),"")</f>
        <v/>
      </c>
      <c r="M466" t="str">
        <f>IFERROR(IF(VLOOKUP($B466,Показатели!$E:$W,10,FALSE)=0,"",VLOOKUP($B466,Показатели!$E:$W,10,FALSE)),"")</f>
        <v/>
      </c>
      <c r="N466" t="str">
        <f>IFERROR(IF(VLOOKUP($B466,Показатели!$E:$W,11,FALSE)=0,"",VLOOKUP($B466,Показатели!$E:$W,11,FALSE)),"")</f>
        <v/>
      </c>
      <c r="O466" t="str">
        <f>IFERROR(IF(VLOOKUP($B466,Показатели!$E:$W,12,FALSE)=0,"",VLOOKUP($B466,Показатели!$E:$W,12,FALSE)),"")</f>
        <v/>
      </c>
      <c r="P466" t="str">
        <f>IFERROR(IF(VLOOKUP($B466,Показатели!$E:$W,13,FALSE)=0,"",VLOOKUP($B466,Показатели!$E:$W,13,FALSE)),"")</f>
        <v/>
      </c>
      <c r="Q466" t="str">
        <f>IFERROR(IF(VLOOKUP($B466,Показатели!$E:$W,14,FALSE)=0,"",VLOOKUP($B466,Показатели!$E:$W,14,FALSE)),"")</f>
        <v/>
      </c>
      <c r="R466" t="str">
        <f>IFERROR(IF(VLOOKUP($B466,Показатели!$E:$W,15,FALSE)=0,"",VLOOKUP($B466,Показатели!$E:$W,15,FALSE)),"")</f>
        <v/>
      </c>
      <c r="S466" t="str">
        <f>IFERROR(IF(VLOOKUP($B466,Показатели!$E:$W,16,FALSE)=0,"",VLOOKUP($B466,Показатели!$E:$W,16,FALSE)),"")</f>
        <v/>
      </c>
      <c r="T466" t="str">
        <f>IFERROR(IF(VLOOKUP($B466,Показатели!$E:$W,17,FALSE)=0,"",VLOOKUP($B466,Показатели!$E:$W,17,FALSE)),"")</f>
        <v/>
      </c>
      <c r="U466" t="str">
        <f>IFERROR(IF(VLOOKUP($B466,Показатели!$E:$W,18,FALSE)=0,"",VLOOKUP($B466,Показатели!$E:$W,18,FALSE)),"")</f>
        <v/>
      </c>
      <c r="V466" t="str">
        <f>IFERROR(IF(VLOOKUP($B466,Показатели!$E:$W,19,FALSE)=0,"",VLOOKUP($B466,Показатели!$E:$W,19,FALSE)),"")</f>
        <v/>
      </c>
    </row>
    <row r="467" spans="1:22" x14ac:dyDescent="0.2">
      <c r="A467" s="7" t="s">
        <v>2240</v>
      </c>
      <c r="B467" t="str">
        <f t="shared" si="7"/>
        <v>SELG IV кв. 2024</v>
      </c>
      <c r="C467">
        <v>2024</v>
      </c>
      <c r="D467">
        <f>SUMIFS(Дивиденды!$C:$C,Дивиденды!$A:$A,A467,Дивиденды!$I:$I,C467)</f>
        <v>4</v>
      </c>
      <c r="E467">
        <f>IFERROR(IF(VLOOKUP($B467,Показатели!$E:$W,2,FALSE)=0,"",VLOOKUP($B467,Показатели!$E:$W,2,FALSE)),"")</f>
        <v>8425975000</v>
      </c>
      <c r="F467">
        <f>IFERROR(IF(VLOOKUP($B467,Показатели!$E:$W,3,FALSE)=0,"",VLOOKUP($B467,Показатели!$E:$W,3,FALSE)),"")</f>
        <v>65550943000</v>
      </c>
      <c r="G467">
        <f>IFERROR(IF(VLOOKUP($B467,Показатели!$E:$W,4,FALSE)=0,"",VLOOKUP($B467,Показатели!$E:$W,4,FALSE)),"")</f>
        <v>94335759000</v>
      </c>
      <c r="H467">
        <f>IFERROR(IF(VLOOKUP($B467,Показатели!$E:$W,5,FALSE)=0,"",VLOOKUP($B467,Показатели!$E:$W,5,FALSE)),"")</f>
        <v>1881983000</v>
      </c>
      <c r="I467">
        <f>IFERROR(IF(VLOOKUP($B467,Показатели!$E:$W,6,FALSE)=0,"",VLOOKUP($B467,Показатели!$E:$W,6,FALSE)),"")</f>
        <v>179170970000</v>
      </c>
      <c r="J467">
        <f>IFERROR(IF(VLOOKUP($B467,Показатели!$E:$W,7,FALSE)=0,"",VLOOKUP($B467,Показатели!$E:$W,7,FALSE)),"")</f>
        <v>87448850000</v>
      </c>
      <c r="K467">
        <f>IFERROR(IF(VLOOKUP($B467,Показатели!$E:$W,8,FALSE)=0,"",VLOOKUP($B467,Показатели!$E:$W,8,FALSE)),"")</f>
        <v>70120244000</v>
      </c>
      <c r="L467">
        <f>IFERROR(IF(VLOOKUP($B467,Показатели!$E:$W,9,FALSE)=0,"",VLOOKUP($B467,Показатели!$E:$W,9,FALSE)),"")</f>
        <v>-19483870000</v>
      </c>
      <c r="M467">
        <f>IFERROR(IF(VLOOKUP($B467,Показатели!$E:$W,10,FALSE)=0,"",VLOOKUP($B467,Показатели!$E:$W,10,FALSE)),"")</f>
        <v>21601876000</v>
      </c>
      <c r="N467">
        <f>IFERROR(IF(VLOOKUP($B467,Показатели!$E:$W,11,FALSE)=0,"",VLOOKUP($B467,Показатели!$E:$W,11,FALSE)),"")</f>
        <v>59289035000</v>
      </c>
      <c r="O467">
        <f>IFERROR(IF(VLOOKUP($B467,Показатели!$E:$W,12,FALSE)=0,"",VLOOKUP($B467,Показатели!$E:$W,12,FALSE)),"")</f>
        <v>12890631000</v>
      </c>
      <c r="P467">
        <f>IFERROR(IF(VLOOKUP($B467,Показатели!$E:$W,13,FALSE)=0,"",VLOOKUP($B467,Показатели!$E:$W,13,FALSE)),"")</f>
        <v>-11518333000</v>
      </c>
      <c r="Q467">
        <f>IFERROR(IF(VLOOKUP($B467,Показатели!$E:$W,14,FALSE)=0,"",VLOOKUP($B467,Показатели!$E:$W,14,FALSE)),"")</f>
        <v>-12824787000</v>
      </c>
      <c r="R467">
        <f>IFERROR(IF(VLOOKUP($B467,Показатели!$E:$W,15,FALSE)=0,"",VLOOKUP($B467,Показатели!$E:$W,15,FALSE)),"")</f>
        <v>8320358000</v>
      </c>
      <c r="S467">
        <f>IFERROR(IF(VLOOKUP($B467,Показатели!$E:$W,16,FALSE)=0,"",VLOOKUP($B467,Показатели!$E:$W,16,FALSE)),"")</f>
        <v>23624950000</v>
      </c>
      <c r="T467">
        <f>IFERROR(IF(VLOOKUP($B467,Показатели!$E:$W,17,FALSE)=0,"",VLOOKUP($B467,Показатели!$E:$W,17,FALSE)),"")</f>
        <v>-10969301000</v>
      </c>
      <c r="U467">
        <f>IFERROR(IF(VLOOKUP($B467,Показатели!$E:$W,18,FALSE)=0,"",VLOOKUP($B467,Показатели!$E:$W,18,FALSE)),"")</f>
        <v>55974088000</v>
      </c>
      <c r="V467">
        <f>IFERROR(IF(VLOOKUP($B467,Показатели!$E:$W,19,FALSE)=0,"",VLOOKUP($B467,Показатели!$E:$W,19,FALSE)),"")</f>
        <v>134943905000</v>
      </c>
    </row>
    <row r="468" spans="1:22" x14ac:dyDescent="0.2">
      <c r="A468" s="7" t="s">
        <v>2240</v>
      </c>
      <c r="B468" t="str">
        <f t="shared" si="7"/>
        <v>SELG IV кв. 2023</v>
      </c>
      <c r="C468">
        <v>2023</v>
      </c>
      <c r="D468">
        <f>SUMIFS(Дивиденды!$C:$C,Дивиденды!$A:$A,A468,Дивиденды!$I:$I,C468)</f>
        <v>4</v>
      </c>
      <c r="E468">
        <f>IFERROR(IF(VLOOKUP($B468,Показатели!$E:$W,2,FALSE)=0,"",VLOOKUP($B468,Показатели!$E:$W,2,FALSE)),"")</f>
        <v>10272040000</v>
      </c>
      <c r="F468">
        <f>IFERROR(IF(VLOOKUP($B468,Показатели!$E:$W,3,FALSE)=0,"",VLOOKUP($B468,Показатели!$E:$W,3,FALSE)),"")</f>
        <v>59026930000</v>
      </c>
      <c r="G468">
        <f>IFERROR(IF(VLOOKUP($B468,Показатели!$E:$W,4,FALSE)=0,"",VLOOKUP($B468,Показатели!$E:$W,4,FALSE)),"")</f>
        <v>71250438000</v>
      </c>
      <c r="H468">
        <f>IFERROR(IF(VLOOKUP($B468,Показатели!$E:$W,5,FALSE)=0,"",VLOOKUP($B468,Показатели!$E:$W,5,FALSE)),"")</f>
        <v>1907762000</v>
      </c>
      <c r="I468">
        <f>IFERROR(IF(VLOOKUP($B468,Показатели!$E:$W,6,FALSE)=0,"",VLOOKUP($B468,Показатели!$E:$W,6,FALSE)),"")</f>
        <v>134943905000</v>
      </c>
      <c r="J468">
        <f>IFERROR(IF(VLOOKUP($B468,Показатели!$E:$W,7,FALSE)=0,"",VLOOKUP($B468,Показатели!$E:$W,7,FALSE)),"")</f>
        <v>62338484000</v>
      </c>
      <c r="K468">
        <f>IFERROR(IF(VLOOKUP($B468,Показатели!$E:$W,8,FALSE)=0,"",VLOOKUP($B468,Показатели!$E:$W,8,FALSE)),"")</f>
        <v>46984081000</v>
      </c>
      <c r="L468">
        <f>IFERROR(IF(VLOOKUP($B468,Показатели!$E:$W,9,FALSE)=0,"",VLOOKUP($B468,Показатели!$E:$W,9,FALSE)),"")</f>
        <v>-2262431000</v>
      </c>
      <c r="M468">
        <f>IFERROR(IF(VLOOKUP($B468,Показатели!$E:$W,10,FALSE)=0,"",VLOOKUP($B468,Показатели!$E:$W,10,FALSE)),"")</f>
        <v>25621340000</v>
      </c>
      <c r="N468">
        <f>IFERROR(IF(VLOOKUP($B468,Показатели!$E:$W,11,FALSE)=0,"",VLOOKUP($B468,Показатели!$E:$W,11,FALSE)),"")</f>
        <v>55974088000</v>
      </c>
      <c r="O468">
        <f>IFERROR(IF(VLOOKUP($B468,Показатели!$E:$W,12,FALSE)=0,"",VLOOKUP($B468,Показатели!$E:$W,12,FALSE)),"")</f>
        <v>4934121000</v>
      </c>
      <c r="P468">
        <f>IFERROR(IF(VLOOKUP($B468,Показатели!$E:$W,13,FALSE)=0,"",VLOOKUP($B468,Показатели!$E:$W,13,FALSE)),"")</f>
        <v>-13939116000</v>
      </c>
      <c r="Q468">
        <f>IFERROR(IF(VLOOKUP($B468,Показатели!$E:$W,14,FALSE)=0,"",VLOOKUP($B468,Показатели!$E:$W,14,FALSE)),"")</f>
        <v>-11514894000</v>
      </c>
      <c r="R468">
        <f>IFERROR(IF(VLOOKUP($B468,Показатели!$E:$W,15,FALSE)=0,"",VLOOKUP($B468,Показатели!$E:$W,15,FALSE)),"")</f>
        <v>10093137000</v>
      </c>
      <c r="S468">
        <f>IFERROR(IF(VLOOKUP($B468,Показатели!$E:$W,16,FALSE)=0,"",VLOOKUP($B468,Показатели!$E:$W,16,FALSE)),"")</f>
        <v>18563373000</v>
      </c>
      <c r="T468">
        <f>IFERROR(IF(VLOOKUP($B468,Показатели!$E:$W,17,FALSE)=0,"",VLOOKUP($B468,Показатели!$E:$W,17,FALSE)),"")</f>
        <v>-8938245000</v>
      </c>
      <c r="U468">
        <f>IFERROR(IF(VLOOKUP($B468,Показатели!$E:$W,18,FALSE)=0,"",VLOOKUP($B468,Показатели!$E:$W,18,FALSE)),"")</f>
        <v>34721582000</v>
      </c>
      <c r="V468">
        <f>IFERROR(IF(VLOOKUP($B468,Показатели!$E:$W,19,FALSE)=0,"",VLOOKUP($B468,Показатели!$E:$W,19,FALSE)),"")</f>
        <v>136133383000</v>
      </c>
    </row>
    <row r="469" spans="1:22" x14ac:dyDescent="0.2">
      <c r="A469" s="7" t="s">
        <v>2240</v>
      </c>
      <c r="B469" t="str">
        <f t="shared" si="7"/>
        <v>SELG IV кв. 2022</v>
      </c>
      <c r="C469">
        <v>2022</v>
      </c>
      <c r="D469">
        <f>SUMIFS(Дивиденды!$C:$C,Дивиденды!$A:$A,A469,Дивиденды!$I:$I,C469)</f>
        <v>0</v>
      </c>
      <c r="E469">
        <f>IFERROR(IF(VLOOKUP($B469,Показатели!$E:$W,2,FALSE)=0,"",VLOOKUP($B469,Показатели!$E:$W,2,FALSE)),"")</f>
        <v>18746827000</v>
      </c>
      <c r="F469">
        <f>IFERROR(IF(VLOOKUP($B469,Показатели!$E:$W,3,FALSE)=0,"",VLOOKUP($B469,Показатели!$E:$W,3,FALSE)),"")</f>
        <v>61826419000</v>
      </c>
      <c r="G469">
        <f>IFERROR(IF(VLOOKUP($B469,Показатели!$E:$W,4,FALSE)=0,"",VLOOKUP($B469,Показатели!$E:$W,4,FALSE)),"")</f>
        <v>69601351000</v>
      </c>
      <c r="H469">
        <f>IFERROR(IF(VLOOKUP($B469,Показатели!$E:$W,5,FALSE)=0,"",VLOOKUP($B469,Показатели!$E:$W,5,FALSE)),"")</f>
        <v>1818118000</v>
      </c>
      <c r="I469">
        <f>IFERROR(IF(VLOOKUP($B469,Показатели!$E:$W,6,FALSE)=0,"",VLOOKUP($B469,Показатели!$E:$W,6,FALSE)),"")</f>
        <v>136133383000</v>
      </c>
      <c r="J469">
        <f>IFERROR(IF(VLOOKUP($B469,Показатели!$E:$W,7,FALSE)=0,"",VLOOKUP($B469,Показатели!$E:$W,7,FALSE)),"")</f>
        <v>57867107000</v>
      </c>
      <c r="K469">
        <f>IFERROR(IF(VLOOKUP($B469,Показатели!$E:$W,8,FALSE)=0,"",VLOOKUP($B469,Показатели!$E:$W,8,FALSE)),"")</f>
        <v>39910910000</v>
      </c>
      <c r="L469">
        <f>IFERROR(IF(VLOOKUP($B469,Показатели!$E:$W,9,FALSE)=0,"",VLOOKUP($B469,Показатели!$E:$W,9,FALSE)),"")</f>
        <v>9882442000</v>
      </c>
      <c r="M469">
        <f>IFERROR(IF(VLOOKUP($B469,Показатели!$E:$W,10,FALSE)=0,"",VLOOKUP($B469,Показатели!$E:$W,10,FALSE)),"")</f>
        <v>38355366000</v>
      </c>
      <c r="N469">
        <f>IFERROR(IF(VLOOKUP($B469,Показатели!$E:$W,11,FALSE)=0,"",VLOOKUP($B469,Показатели!$E:$W,11,FALSE)),"")</f>
        <v>34721582000</v>
      </c>
      <c r="O469">
        <f>IFERROR(IF(VLOOKUP($B469,Показатели!$E:$W,12,FALSE)=0,"",VLOOKUP($B469,Показатели!$E:$W,12,FALSE)),"")</f>
        <v>4342320000</v>
      </c>
      <c r="P469">
        <f>IFERROR(IF(VLOOKUP($B469,Показатели!$E:$W,13,FALSE)=0,"",VLOOKUP($B469,Показатели!$E:$W,13,FALSE)),"")</f>
        <v>5408642000</v>
      </c>
      <c r="Q469">
        <f>IFERROR(IF(VLOOKUP($B469,Показатели!$E:$W,14,FALSE)=0,"",VLOOKUP($B469,Показатели!$E:$W,14,FALSE)),"")</f>
        <v>4143200000</v>
      </c>
      <c r="R469">
        <f>IFERROR(IF(VLOOKUP($B469,Показатели!$E:$W,15,FALSE)=0,"",VLOOKUP($B469,Показатели!$E:$W,15,FALSE)),"")</f>
        <v>5949931000</v>
      </c>
      <c r="S469">
        <f>IFERROR(IF(VLOOKUP($B469,Показатели!$E:$W,16,FALSE)=0,"",VLOOKUP($B469,Показатели!$E:$W,16,FALSE)),"")</f>
        <v>11831121000</v>
      </c>
      <c r="T469">
        <f>IFERROR(IF(VLOOKUP($B469,Показатели!$E:$W,17,FALSE)=0,"",VLOOKUP($B469,Показатели!$E:$W,17,FALSE)),"")</f>
        <v>-17963176000</v>
      </c>
      <c r="U469">
        <f>IFERROR(IF(VLOOKUP($B469,Показатели!$E:$W,18,FALSE)=0,"",VLOOKUP($B469,Показатели!$E:$W,18,FALSE)),"")</f>
        <v>35615505000</v>
      </c>
      <c r="V469">
        <f>IFERROR(IF(VLOOKUP($B469,Показатели!$E:$W,19,FALSE)=0,"",VLOOKUP($B469,Показатели!$E:$W,19,FALSE)),"")</f>
        <v>85303960000</v>
      </c>
    </row>
    <row r="470" spans="1:22" x14ac:dyDescent="0.2">
      <c r="A470" s="7" t="s">
        <v>2240</v>
      </c>
      <c r="B470" t="str">
        <f t="shared" si="7"/>
        <v>SELG IV кв. 2021</v>
      </c>
      <c r="C470">
        <v>2021</v>
      </c>
      <c r="D470">
        <f>SUMIFS(Дивиденды!$C:$C,Дивиденды!$A:$A,A470,Дивиденды!$I:$I,C470)</f>
        <v>4.5</v>
      </c>
      <c r="E470">
        <f>IFERROR(IF(VLOOKUP($B470,Показатели!$E:$W,2,FALSE)=0,"",VLOOKUP($B470,Показатели!$E:$W,2,FALSE)),"")</f>
        <v>650406000</v>
      </c>
      <c r="F470">
        <f>IFERROR(IF(VLOOKUP($B470,Показатели!$E:$W,3,FALSE)=0,"",VLOOKUP($B470,Показатели!$E:$W,3,FALSE)),"")</f>
        <v>34831859000</v>
      </c>
      <c r="G470">
        <f>IFERROR(IF(VLOOKUP($B470,Показатели!$E:$W,4,FALSE)=0,"",VLOOKUP($B470,Показатели!$E:$W,4,FALSE)),"")</f>
        <v>46350315000</v>
      </c>
      <c r="H470">
        <f>IFERROR(IF(VLOOKUP($B470,Показатели!$E:$W,5,FALSE)=0,"",VLOOKUP($B470,Показатели!$E:$W,5,FALSE)),"")</f>
        <v>1724472000</v>
      </c>
      <c r="I470">
        <f>IFERROR(IF(VLOOKUP($B470,Показатели!$E:$W,6,FALSE)=0,"",VLOOKUP($B470,Показатели!$E:$W,6,FALSE)),"")</f>
        <v>85303960000</v>
      </c>
      <c r="J470">
        <f>IFERROR(IF(VLOOKUP($B470,Показатели!$E:$W,7,FALSE)=0,"",VLOOKUP($B470,Показатели!$E:$W,7,FALSE)),"")</f>
        <v>15282765000</v>
      </c>
      <c r="K470">
        <f>IFERROR(IF(VLOOKUP($B470,Показатели!$E:$W,8,FALSE)=0,"",VLOOKUP($B470,Показатели!$E:$W,8,FALSE)),"")</f>
        <v>38526571000</v>
      </c>
      <c r="L470">
        <f>IFERROR(IF(VLOOKUP($B470,Показатели!$E:$W,9,FALSE)=0,"",VLOOKUP($B470,Показатели!$E:$W,9,FALSE)),"")</f>
        <v>11156293000</v>
      </c>
      <c r="M470">
        <f>IFERROR(IF(VLOOKUP($B470,Показатели!$E:$W,10,FALSE)=0,"",VLOOKUP($B470,Показатели!$E:$W,10,FALSE)),"")</f>
        <v>31494624000</v>
      </c>
      <c r="N470">
        <f>IFERROR(IF(VLOOKUP($B470,Показатели!$E:$W,11,FALSE)=0,"",VLOOKUP($B470,Показатели!$E:$W,11,FALSE)),"")</f>
        <v>35615505000</v>
      </c>
      <c r="O470">
        <f>IFERROR(IF(VLOOKUP($B470,Показатели!$E:$W,12,FALSE)=0,"",VLOOKUP($B470,Показатели!$E:$W,12,FALSE)),"")</f>
        <v>12335281000</v>
      </c>
      <c r="P470">
        <f>IFERROR(IF(VLOOKUP($B470,Показатели!$E:$W,13,FALSE)=0,"",VLOOKUP($B470,Показатели!$E:$W,13,FALSE)),"")</f>
        <v>11664286000</v>
      </c>
      <c r="Q470">
        <f>IFERROR(IF(VLOOKUP($B470,Показатели!$E:$W,14,FALSE)=0,"",VLOOKUP($B470,Показатели!$E:$W,14,FALSE)),"")</f>
        <v>10397834000</v>
      </c>
      <c r="R470">
        <f>IFERROR(IF(VLOOKUP($B470,Показатели!$E:$W,15,FALSE)=0,"",VLOOKUP($B470,Показатели!$E:$W,15,FALSE)),"")</f>
        <v>6035488000</v>
      </c>
      <c r="S470">
        <f>IFERROR(IF(VLOOKUP($B470,Показатели!$E:$W,16,FALSE)=0,"",VLOOKUP($B470,Показатели!$E:$W,16,FALSE)),"")</f>
        <v>19241704000</v>
      </c>
      <c r="T470">
        <f>IFERROR(IF(VLOOKUP($B470,Показатели!$E:$W,17,FALSE)=0,"",VLOOKUP($B470,Показатели!$E:$W,17,FALSE)),"")</f>
        <v>-8598391000</v>
      </c>
      <c r="U470">
        <f>IFERROR(IF(VLOOKUP($B470,Показатели!$E:$W,18,FALSE)=0,"",VLOOKUP($B470,Показатели!$E:$W,18,FALSE)),"")</f>
        <v>33313789000</v>
      </c>
      <c r="V470">
        <f>IFERROR(IF(VLOOKUP($B470,Показатели!$E:$W,19,FALSE)=0,"",VLOOKUP($B470,Показатели!$E:$W,19,FALSE)),"")</f>
        <v>75404084000</v>
      </c>
    </row>
    <row r="471" spans="1:22" x14ac:dyDescent="0.2">
      <c r="A471" s="7" t="s">
        <v>2240</v>
      </c>
      <c r="B471" t="str">
        <f t="shared" si="7"/>
        <v>SELG IV кв. 2020</v>
      </c>
      <c r="C471">
        <v>2020</v>
      </c>
      <c r="D471">
        <f>SUMIFS(Дивиденды!$C:$C,Дивиденды!$A:$A,A471,Дивиденды!$I:$I,C471)</f>
        <v>4.5</v>
      </c>
      <c r="E471">
        <f>IFERROR(IF(VLOOKUP($B471,Показатели!$E:$W,2,FALSE)=0,"",VLOOKUP($B471,Показатели!$E:$W,2,FALSE)),"")</f>
        <v>3576378000</v>
      </c>
      <c r="F471">
        <f>IFERROR(IF(VLOOKUP($B471,Показатели!$E:$W,3,FALSE)=0,"",VLOOKUP($B471,Показатели!$E:$W,3,FALSE)),"")</f>
        <v>28562394000</v>
      </c>
      <c r="G471">
        <f>IFERROR(IF(VLOOKUP($B471,Показатели!$E:$W,4,FALSE)=0,"",VLOOKUP($B471,Показатели!$E:$W,4,FALSE)),"")</f>
        <v>41794663000</v>
      </c>
      <c r="H471">
        <f>IFERROR(IF(VLOOKUP($B471,Показатели!$E:$W,5,FALSE)=0,"",VLOOKUP($B471,Показатели!$E:$W,5,FALSE)),"")</f>
        <v>2198276000</v>
      </c>
      <c r="I471">
        <f>IFERROR(IF(VLOOKUP($B471,Показатели!$E:$W,6,FALSE)=0,"",VLOOKUP($B471,Показатели!$E:$W,6,FALSE)),"")</f>
        <v>75404084000</v>
      </c>
      <c r="J471">
        <f>IFERROR(IF(VLOOKUP($B471,Показатели!$E:$W,7,FALSE)=0,"",VLOOKUP($B471,Показатели!$E:$W,7,FALSE)),"")</f>
        <v>8497500000</v>
      </c>
      <c r="K471">
        <f>IFERROR(IF(VLOOKUP($B471,Показатели!$E:$W,8,FALSE)=0,"",VLOOKUP($B471,Показатели!$E:$W,8,FALSE)),"")</f>
        <v>43839763000</v>
      </c>
      <c r="L471">
        <f>IFERROR(IF(VLOOKUP($B471,Показатели!$E:$W,9,FALSE)=0,"",VLOOKUP($B471,Показатели!$E:$W,9,FALSE)),"")</f>
        <v>3055718000</v>
      </c>
      <c r="M471">
        <f>IFERROR(IF(VLOOKUP($B471,Показатели!$E:$W,10,FALSE)=0,"",VLOOKUP($B471,Показатели!$E:$W,10,FALSE)),"")</f>
        <v>23066822000</v>
      </c>
      <c r="N471">
        <f>IFERROR(IF(VLOOKUP($B471,Показатели!$E:$W,11,FALSE)=0,"",VLOOKUP($B471,Показатели!$E:$W,11,FALSE)),"")</f>
        <v>33313789000</v>
      </c>
      <c r="O471">
        <f>IFERROR(IF(VLOOKUP($B471,Показатели!$E:$W,12,FALSE)=0,"",VLOOKUP($B471,Показатели!$E:$W,12,FALSE)),"")</f>
        <v>11337837000</v>
      </c>
      <c r="P471">
        <f>IFERROR(IF(VLOOKUP($B471,Показатели!$E:$W,13,FALSE)=0,"",VLOOKUP($B471,Показатели!$E:$W,13,FALSE)),"")</f>
        <v>-2168396000</v>
      </c>
      <c r="Q471">
        <f>IFERROR(IF(VLOOKUP($B471,Показатели!$E:$W,14,FALSE)=0,"",VLOOKUP($B471,Показатели!$E:$W,14,FALSE)),"")</f>
        <v>4384000</v>
      </c>
      <c r="R471">
        <f>IFERROR(IF(VLOOKUP($B471,Показатели!$E:$W,15,FALSE)=0,"",VLOOKUP($B471,Показатели!$E:$W,15,FALSE)),"")</f>
        <v>2491791000</v>
      </c>
      <c r="S471">
        <f>IFERROR(IF(VLOOKUP($B471,Показатели!$E:$W,16,FALSE)=0,"",VLOOKUP($B471,Показатели!$E:$W,16,FALSE)),"")</f>
        <v>14506785000</v>
      </c>
      <c r="T471">
        <f>IFERROR(IF(VLOOKUP($B471,Показатели!$E:$W,17,FALSE)=0,"",VLOOKUP($B471,Показатели!$E:$W,17,FALSE)),"")</f>
        <v>-4347369000</v>
      </c>
      <c r="U471">
        <f>IFERROR(IF(VLOOKUP($B471,Показатели!$E:$W,18,FALSE)=0,"",VLOOKUP($B471,Показатели!$E:$W,18,FALSE)),"")</f>
        <v>22071600000</v>
      </c>
      <c r="V471">
        <f>IFERROR(IF(VLOOKUP($B471,Показатели!$E:$W,19,FALSE)=0,"",VLOOKUP($B471,Показатели!$E:$W,19,FALSE)),"")</f>
        <v>57689206000</v>
      </c>
    </row>
    <row r="472" spans="1:22" x14ac:dyDescent="0.2">
      <c r="A472" s="7" t="s">
        <v>2240</v>
      </c>
      <c r="B472" t="str">
        <f t="shared" si="7"/>
        <v>SELG IV кв. 2019</v>
      </c>
      <c r="C472">
        <v>2019</v>
      </c>
      <c r="D472">
        <f>SUMIFS(Дивиденды!$C:$C,Дивиденды!$A:$A,A472,Дивиденды!$I:$I,C472)</f>
        <v>2.2000000000000002</v>
      </c>
      <c r="E472">
        <f>IFERROR(IF(VLOOKUP($B472,Показатели!$E:$W,2,FALSE)=0,"",VLOOKUP($B472,Показатели!$E:$W,2,FALSE)),"")</f>
        <v>721026000</v>
      </c>
      <c r="F472">
        <f>IFERROR(IF(VLOOKUP($B472,Показатели!$E:$W,3,FALSE)=0,"",VLOOKUP($B472,Показатели!$E:$W,3,FALSE)),"")</f>
        <v>22831075000</v>
      </c>
      <c r="G472">
        <f>IFERROR(IF(VLOOKUP($B472,Показатели!$E:$W,4,FALSE)=0,"",VLOOKUP($B472,Показатели!$E:$W,4,FALSE)),"")</f>
        <v>28863987000</v>
      </c>
      <c r="H472">
        <f>IFERROR(IF(VLOOKUP($B472,Показатели!$E:$W,5,FALSE)=0,"",VLOOKUP($B472,Показатели!$E:$W,5,FALSE)),"")</f>
        <v>2486576000</v>
      </c>
      <c r="I472">
        <f>IFERROR(IF(VLOOKUP($B472,Показатели!$E:$W,6,FALSE)=0,"",VLOOKUP($B472,Показатели!$E:$W,6,FALSE)),"")</f>
        <v>57689206000</v>
      </c>
      <c r="J472">
        <f>IFERROR(IF(VLOOKUP($B472,Показатели!$E:$W,7,FALSE)=0,"",VLOOKUP($B472,Показатели!$E:$W,7,FALSE)),"")</f>
        <v>6452956000</v>
      </c>
      <c r="K472">
        <f>IFERROR(IF(VLOOKUP($B472,Показатели!$E:$W,8,FALSE)=0,"",VLOOKUP($B472,Показатели!$E:$W,8,FALSE)),"")</f>
        <v>29960769000</v>
      </c>
      <c r="L472">
        <f>IFERROR(IF(VLOOKUP($B472,Показатели!$E:$W,9,FALSE)=0,"",VLOOKUP($B472,Показатели!$E:$W,9,FALSE)),"")</f>
        <v>6759544000</v>
      </c>
      <c r="M472">
        <f>IFERROR(IF(VLOOKUP($B472,Показатели!$E:$W,10,FALSE)=0,"",VLOOKUP($B472,Показатели!$E:$W,10,FALSE)),"")</f>
        <v>21275480000</v>
      </c>
      <c r="N472">
        <f>IFERROR(IF(VLOOKUP($B472,Показатели!$E:$W,11,FALSE)=0,"",VLOOKUP($B472,Показатели!$E:$W,11,FALSE)),"")</f>
        <v>22071600000</v>
      </c>
      <c r="O472">
        <f>IFERROR(IF(VLOOKUP($B472,Показатели!$E:$W,12,FALSE)=0,"",VLOOKUP($B472,Показатели!$E:$W,12,FALSE)),"")</f>
        <v>5113672000</v>
      </c>
      <c r="P472">
        <f>IFERROR(IF(VLOOKUP($B472,Показатели!$E:$W,13,FALSE)=0,"",VLOOKUP($B472,Показатели!$E:$W,13,FALSE)),"")</f>
        <v>2447732000</v>
      </c>
      <c r="Q472">
        <f>IFERROR(IF(VLOOKUP($B472,Показатели!$E:$W,14,FALSE)=0,"",VLOOKUP($B472,Показатели!$E:$W,14,FALSE)),"")</f>
        <v>2125947000</v>
      </c>
      <c r="R472">
        <f>IFERROR(IF(VLOOKUP($B472,Показатели!$E:$W,15,FALSE)=0,"",VLOOKUP($B472,Показатели!$E:$W,15,FALSE)),"")</f>
        <v>2094282000</v>
      </c>
      <c r="S472">
        <f>IFERROR(IF(VLOOKUP($B472,Показатели!$E:$W,16,FALSE)=0,"",VLOOKUP($B472,Показатели!$E:$W,16,FALSE)),"")</f>
        <v>9395643000</v>
      </c>
      <c r="T472">
        <f>IFERROR(IF(VLOOKUP($B472,Показатели!$E:$W,17,FALSE)=0,"",VLOOKUP($B472,Показатели!$E:$W,17,FALSE)),"")</f>
        <v>-3071642000</v>
      </c>
      <c r="U472">
        <f>IFERROR(IF(VLOOKUP($B472,Показатели!$E:$W,18,FALSE)=0,"",VLOOKUP($B472,Показатели!$E:$W,18,FALSE)),"")</f>
        <v>15891575000</v>
      </c>
      <c r="V472">
        <f>IFERROR(IF(VLOOKUP($B472,Показатели!$E:$W,19,FALSE)=0,"",VLOOKUP($B472,Показатели!$E:$W,19,FALSE)),"")</f>
        <v>51185929000</v>
      </c>
    </row>
    <row r="473" spans="1:22" x14ac:dyDescent="0.2">
      <c r="A473" s="7" t="s">
        <v>2240</v>
      </c>
      <c r="B473" t="str">
        <f t="shared" si="7"/>
        <v>SELG IV кв. 2018</v>
      </c>
      <c r="C473">
        <v>2018</v>
      </c>
      <c r="D473">
        <f>SUMIFS(Дивиденды!$C:$C,Дивиденды!$A:$A,A473,Дивиденды!$I:$I,C473)</f>
        <v>0</v>
      </c>
      <c r="E473">
        <f>IFERROR(IF(VLOOKUP($B473,Показатели!$E:$W,2,FALSE)=0,"",VLOOKUP($B473,Показатели!$E:$W,2,FALSE)),"")</f>
        <v>2376241000</v>
      </c>
      <c r="F473">
        <f>IFERROR(IF(VLOOKUP($B473,Показатели!$E:$W,3,FALSE)=0,"",VLOOKUP($B473,Показатели!$E:$W,3,FALSE)),"")</f>
        <v>17741966000</v>
      </c>
      <c r="G473">
        <f>IFERROR(IF(VLOOKUP($B473,Показатели!$E:$W,4,FALSE)=0,"",VLOOKUP($B473,Показатели!$E:$W,4,FALSE)),"")</f>
        <v>26708972000</v>
      </c>
      <c r="H473">
        <f>IFERROR(IF(VLOOKUP($B473,Показатели!$E:$W,5,FALSE)=0,"",VLOOKUP($B473,Показатели!$E:$W,5,FALSE)),"")</f>
        <v>2711767000</v>
      </c>
      <c r="I473">
        <f>IFERROR(IF(VLOOKUP($B473,Показатели!$E:$W,6,FALSE)=0,"",VLOOKUP($B473,Показатели!$E:$W,6,FALSE)),"")</f>
        <v>51185929000</v>
      </c>
      <c r="J473">
        <f>IFERROR(IF(VLOOKUP($B473,Показатели!$E:$W,7,FALSE)=0,"",VLOOKUP($B473,Показатели!$E:$W,7,FALSE)),"")</f>
        <v>23647901000</v>
      </c>
      <c r="K473">
        <f>IFERROR(IF(VLOOKUP($B473,Показатели!$E:$W,8,FALSE)=0,"",VLOOKUP($B473,Показатели!$E:$W,8,FALSE)),"")</f>
        <v>8019334000</v>
      </c>
      <c r="L473">
        <f>IFERROR(IF(VLOOKUP($B473,Показатели!$E:$W,9,FALSE)=0,"",VLOOKUP($B473,Показатели!$E:$W,9,FALSE)),"")</f>
        <v>6278434000</v>
      </c>
      <c r="M473">
        <f>IFERROR(IF(VLOOKUP($B473,Показатели!$E:$W,10,FALSE)=0,"",VLOOKUP($B473,Показатели!$E:$W,10,FALSE)),"")</f>
        <v>19518694000</v>
      </c>
      <c r="N473">
        <f>IFERROR(IF(VLOOKUP($B473,Показатели!$E:$W,11,FALSE)=0,"",VLOOKUP($B473,Показатели!$E:$W,11,FALSE)),"")</f>
        <v>15891575000</v>
      </c>
      <c r="O473">
        <f>IFERROR(IF(VLOOKUP($B473,Показатели!$E:$W,12,FALSE)=0,"",VLOOKUP($B473,Показатели!$E:$W,12,FALSE)),"")</f>
        <v>4303399000</v>
      </c>
      <c r="P473">
        <f>IFERROR(IF(VLOOKUP($B473,Показатели!$E:$W,13,FALSE)=0,"",VLOOKUP($B473,Показатели!$E:$W,13,FALSE)),"")</f>
        <v>658235000</v>
      </c>
      <c r="Q473">
        <f>IFERROR(IF(VLOOKUP($B473,Показатели!$E:$W,14,FALSE)=0,"",VLOOKUP($B473,Показатели!$E:$W,14,FALSE)),"")</f>
        <v>728982000</v>
      </c>
      <c r="R473">
        <f>IFERROR(IF(VLOOKUP($B473,Показатели!$E:$W,15,FALSE)=0,"",VLOOKUP($B473,Показатели!$E:$W,15,FALSE)),"")</f>
        <v>1260889000</v>
      </c>
      <c r="S473">
        <f>IFERROR(IF(VLOOKUP($B473,Показатели!$E:$W,16,FALSE)=0,"",VLOOKUP($B473,Показатели!$E:$W,16,FALSE)),"")</f>
        <v>6362370000</v>
      </c>
      <c r="T473">
        <f>IFERROR(IF(VLOOKUP($B473,Показатели!$E:$W,17,FALSE)=0,"",VLOOKUP($B473,Показатели!$E:$W,17,FALSE)),"")</f>
        <v>-2062733000</v>
      </c>
      <c r="U473">
        <f>IFERROR(IF(VLOOKUP($B473,Показатели!$E:$W,18,FALSE)=0,"",VLOOKUP($B473,Показатели!$E:$W,18,FALSE)),"")</f>
        <v>11638005000</v>
      </c>
      <c r="V473">
        <f>IFERROR(IF(VLOOKUP($B473,Показатели!$E:$W,19,FALSE)=0,"",VLOOKUP($B473,Показатели!$E:$W,19,FALSE)),"")</f>
        <v>44474751000</v>
      </c>
    </row>
    <row r="474" spans="1:22" x14ac:dyDescent="0.2">
      <c r="A474" s="7" t="s">
        <v>2240</v>
      </c>
      <c r="B474" t="str">
        <f t="shared" si="7"/>
        <v>SELG IV кв. 2017</v>
      </c>
      <c r="C474">
        <v>2017</v>
      </c>
      <c r="D474">
        <f>SUMIFS(Дивиденды!$C:$C,Дивиденды!$A:$A,A474,Дивиденды!$I:$I,C474)</f>
        <v>0</v>
      </c>
      <c r="E474">
        <f>IFERROR(IF(VLOOKUP($B474,Показатели!$E:$W,2,FALSE)=0,"",VLOOKUP($B474,Показатели!$E:$W,2,FALSE)),"")</f>
        <v>606926000</v>
      </c>
      <c r="F474">
        <f>IFERROR(IF(VLOOKUP($B474,Показатели!$E:$W,3,FALSE)=0,"",VLOOKUP($B474,Показатели!$E:$W,3,FALSE)),"")</f>
        <v>11861567000</v>
      </c>
      <c r="G474">
        <f>IFERROR(IF(VLOOKUP($B474,Показатели!$E:$W,4,FALSE)=0,"",VLOOKUP($B474,Показатели!$E:$W,4,FALSE)),"")</f>
        <v>25801799000</v>
      </c>
      <c r="H474">
        <f>IFERROR(IF(VLOOKUP($B474,Показатели!$E:$W,5,FALSE)=0,"",VLOOKUP($B474,Показатели!$E:$W,5,FALSE)),"")</f>
        <v>2961215000</v>
      </c>
      <c r="I474">
        <f>IFERROR(IF(VLOOKUP($B474,Показатели!$E:$W,6,FALSE)=0,"",VLOOKUP($B474,Показатели!$E:$W,6,FALSE)),"")</f>
        <v>44474751000</v>
      </c>
      <c r="J474">
        <f>IFERROR(IF(VLOOKUP($B474,Показатели!$E:$W,7,FALSE)=0,"",VLOOKUP($B474,Показатели!$E:$W,7,FALSE)),"")</f>
        <v>15888072000</v>
      </c>
      <c r="K474">
        <f>IFERROR(IF(VLOOKUP($B474,Показатели!$E:$W,8,FALSE)=0,"",VLOOKUP($B474,Показатели!$E:$W,8,FALSE)),"")</f>
        <v>9550863000</v>
      </c>
      <c r="L474">
        <f>IFERROR(IF(VLOOKUP($B474,Показатели!$E:$W,9,FALSE)=0,"",VLOOKUP($B474,Показатели!$E:$W,9,FALSE)),"")</f>
        <v>5847067000</v>
      </c>
      <c r="M474">
        <f>IFERROR(IF(VLOOKUP($B474,Показатели!$E:$W,10,FALSE)=0,"",VLOOKUP($B474,Показатели!$E:$W,10,FALSE)),"")</f>
        <v>19035816000</v>
      </c>
      <c r="N474">
        <f>IFERROR(IF(VLOOKUP($B474,Показатели!$E:$W,11,FALSE)=0,"",VLOOKUP($B474,Показатели!$E:$W,11,FALSE)),"")</f>
        <v>11638005000</v>
      </c>
      <c r="O474">
        <f>IFERROR(IF(VLOOKUP($B474,Показатели!$E:$W,12,FALSE)=0,"",VLOOKUP($B474,Показатели!$E:$W,12,FALSE)),"")</f>
        <v>2090162000</v>
      </c>
      <c r="P474">
        <f>IFERROR(IF(VLOOKUP($B474,Показатели!$E:$W,13,FALSE)=0,"",VLOOKUP($B474,Показатели!$E:$W,13,FALSE)),"")</f>
        <v>1799889000</v>
      </c>
      <c r="Q474">
        <f>IFERROR(IF(VLOOKUP($B474,Показатели!$E:$W,14,FALSE)=0,"",VLOOKUP($B474,Показатели!$E:$W,14,FALSE)),"")</f>
        <v>1402440000</v>
      </c>
      <c r="R474">
        <f>IFERROR(IF(VLOOKUP($B474,Показатели!$E:$W,15,FALSE)=0,"",VLOOKUP($B474,Показатели!$E:$W,15,FALSE)),"")</f>
        <v>977399000</v>
      </c>
      <c r="S474">
        <f>IFERROR(IF(VLOOKUP($B474,Показатели!$E:$W,16,FALSE)=0,"",VLOOKUP($B474,Показатели!$E:$W,16,FALSE)),"")</f>
        <v>4618741000</v>
      </c>
      <c r="T474">
        <f>IFERROR(IF(VLOOKUP($B474,Показатели!$E:$W,17,FALSE)=0,"",VLOOKUP($B474,Показатели!$E:$W,17,FALSE)),"")</f>
        <v>1723092000</v>
      </c>
      <c r="U474">
        <f>IFERROR(IF(VLOOKUP($B474,Показатели!$E:$W,18,FALSE)=0,"",VLOOKUP($B474,Показатели!$E:$W,18,FALSE)),"")</f>
        <v>11257279000</v>
      </c>
      <c r="V474">
        <f>IFERROR(IF(VLOOKUP($B474,Показатели!$E:$W,19,FALSE)=0,"",VLOOKUP($B474,Показатели!$E:$W,19,FALSE)),"")</f>
        <v>29830690000</v>
      </c>
    </row>
    <row r="475" spans="1:22" x14ac:dyDescent="0.2">
      <c r="A475" s="7" t="s">
        <v>2240</v>
      </c>
      <c r="B475" t="str">
        <f t="shared" si="7"/>
        <v>SELG IV кв. 2016</v>
      </c>
      <c r="C475">
        <v>2016</v>
      </c>
      <c r="D475">
        <f>SUMIFS(Дивиденды!$C:$C,Дивиденды!$A:$A,A475,Дивиденды!$I:$I,C475)</f>
        <v>0</v>
      </c>
      <c r="E475">
        <f>IFERROR(IF(VLOOKUP($B475,Показатели!$E:$W,2,FALSE)=0,"",VLOOKUP($B475,Показатели!$E:$W,2,FALSE)),"")</f>
        <v>4779000</v>
      </c>
      <c r="F475">
        <f>IFERROR(IF(VLOOKUP($B475,Показатели!$E:$W,3,FALSE)=0,"",VLOOKUP($B475,Показатели!$E:$W,3,FALSE)),"")</f>
        <v>9959047000</v>
      </c>
      <c r="G475">
        <f>IFERROR(IF(VLOOKUP($B475,Показатели!$E:$W,4,FALSE)=0,"",VLOOKUP($B475,Показатели!$E:$W,4,FALSE)),"")</f>
        <v>12056472000</v>
      </c>
      <c r="H475" t="str">
        <f>IFERROR(IF(VLOOKUP($B475,Показатели!$E:$W,5,FALSE)=0,"",VLOOKUP($B475,Показатели!$E:$W,5,FALSE)),"")</f>
        <v/>
      </c>
      <c r="I475">
        <f>IFERROR(IF(VLOOKUP($B475,Показатели!$E:$W,6,FALSE)=0,"",VLOOKUP($B475,Показатели!$E:$W,6,FALSE)),"")</f>
        <v>29830690000</v>
      </c>
      <c r="J475">
        <f>IFERROR(IF(VLOOKUP($B475,Показатели!$E:$W,7,FALSE)=0,"",VLOOKUP($B475,Показатели!$E:$W,7,FALSE)),"")</f>
        <v>9797238000</v>
      </c>
      <c r="K475">
        <f>IFERROR(IF(VLOOKUP($B475,Показатели!$E:$W,8,FALSE)=0,"",VLOOKUP($B475,Показатели!$E:$W,8,FALSE)),"")</f>
        <v>8404189000</v>
      </c>
      <c r="L475">
        <f>IFERROR(IF(VLOOKUP($B475,Показатели!$E:$W,9,FALSE)=0,"",VLOOKUP($B475,Показатели!$E:$W,9,FALSE)),"")</f>
        <v>4118814000</v>
      </c>
      <c r="M475">
        <f>IFERROR(IF(VLOOKUP($B475,Показатели!$E:$W,10,FALSE)=0,"",VLOOKUP($B475,Показатели!$E:$W,10,FALSE)),"")</f>
        <v>11629263000</v>
      </c>
      <c r="N475">
        <f>IFERROR(IF(VLOOKUP($B475,Показатели!$E:$W,11,FALSE)=0,"",VLOOKUP($B475,Показатели!$E:$W,11,FALSE)),"")</f>
        <v>11257279000</v>
      </c>
      <c r="O475">
        <f>IFERROR(IF(VLOOKUP($B475,Показатели!$E:$W,12,FALSE)=0,"",VLOOKUP($B475,Показатели!$E:$W,12,FALSE)),"")</f>
        <v>4214051000</v>
      </c>
      <c r="P475">
        <f>IFERROR(IF(VLOOKUP($B475,Показатели!$E:$W,13,FALSE)=0,"",VLOOKUP($B475,Показатели!$E:$W,13,FALSE)),"")</f>
        <v>4632086000</v>
      </c>
      <c r="Q475">
        <f>IFERROR(IF(VLOOKUP($B475,Показатели!$E:$W,14,FALSE)=0,"",VLOOKUP($B475,Показатели!$E:$W,14,FALSE)),"")</f>
        <v>3696009000</v>
      </c>
      <c r="R475" t="str">
        <f>IFERROR(IF(VLOOKUP($B475,Показатели!$E:$W,15,FALSE)=0,"",VLOOKUP($B475,Показатели!$E:$W,15,FALSE)),"")</f>
        <v/>
      </c>
      <c r="S475">
        <f>IFERROR(IF(VLOOKUP($B475,Показатели!$E:$W,16,FALSE)=0,"",VLOOKUP($B475,Показатели!$E:$W,16,FALSE)),"")</f>
        <v>5045551000</v>
      </c>
      <c r="T475">
        <f>IFERROR(IF(VLOOKUP($B475,Показатели!$E:$W,17,FALSE)=0,"",VLOOKUP($B475,Показатели!$E:$W,17,FALSE)),"")</f>
        <v>-1963127000</v>
      </c>
      <c r="U475">
        <f>IFERROR(IF(VLOOKUP($B475,Показатели!$E:$W,18,FALSE)=0,"",VLOOKUP($B475,Показатели!$E:$W,18,FALSE)),"")</f>
        <v>8092833000</v>
      </c>
      <c r="V475">
        <f>IFERROR(IF(VLOOKUP($B475,Показатели!$E:$W,19,FALSE)=0,"",VLOOKUP($B475,Показатели!$E:$W,19,FALSE)),"")</f>
        <v>26339545000</v>
      </c>
    </row>
    <row r="476" spans="1:22" x14ac:dyDescent="0.2">
      <c r="A476" s="7" t="s">
        <v>2240</v>
      </c>
      <c r="B476" t="str">
        <f t="shared" si="7"/>
        <v>SELG IV кв. 2015</v>
      </c>
      <c r="C476">
        <v>2015</v>
      </c>
      <c r="D476">
        <f>SUMIFS(Дивиденды!$C:$C,Дивиденды!$A:$A,A476,Дивиденды!$I:$I,C476)</f>
        <v>0</v>
      </c>
      <c r="E476">
        <f>IFERROR(IF(VLOOKUP($B476,Показатели!$E:$W,2,FALSE)=0,"",VLOOKUP($B476,Показатели!$E:$W,2,FALSE)),"")</f>
        <v>316725000</v>
      </c>
      <c r="F476">
        <f>IFERROR(IF(VLOOKUP($B476,Показатели!$E:$W,3,FALSE)=0,"",VLOOKUP($B476,Показатели!$E:$W,3,FALSE)),"")</f>
        <v>8930610000</v>
      </c>
      <c r="G476">
        <f>IFERROR(IF(VLOOKUP($B476,Показатели!$E:$W,4,FALSE)=0,"",VLOOKUP($B476,Показатели!$E:$W,4,FALSE)),"")</f>
        <v>10901754000</v>
      </c>
      <c r="H476" t="str">
        <f>IFERROR(IF(VLOOKUP($B476,Показатели!$E:$W,5,FALSE)=0,"",VLOOKUP($B476,Показатели!$E:$W,5,FALSE)),"")</f>
        <v/>
      </c>
      <c r="I476">
        <f>IFERROR(IF(VLOOKUP($B476,Показатели!$E:$W,6,FALSE)=0,"",VLOOKUP($B476,Показатели!$E:$W,6,FALSE)),"")</f>
        <v>26339545000</v>
      </c>
      <c r="J476">
        <f>IFERROR(IF(VLOOKUP($B476,Показатели!$E:$W,7,FALSE)=0,"",VLOOKUP($B476,Показатели!$E:$W,7,FALSE)),"")</f>
        <v>10272997000</v>
      </c>
      <c r="K476">
        <f>IFERROR(IF(VLOOKUP($B476,Показатели!$E:$W,8,FALSE)=0,"",VLOOKUP($B476,Показатели!$E:$W,8,FALSE)),"")</f>
        <v>8721950000</v>
      </c>
      <c r="L476">
        <f>IFERROR(IF(VLOOKUP($B476,Показатели!$E:$W,9,FALSE)=0,"",VLOOKUP($B476,Показатели!$E:$W,9,FALSE)),"")</f>
        <v>418704000</v>
      </c>
      <c r="M476">
        <f>IFERROR(IF(VLOOKUP($B476,Показатели!$E:$W,10,FALSE)=0,"",VLOOKUP($B476,Показатели!$E:$W,10,FALSE)),"")</f>
        <v>7344598000</v>
      </c>
      <c r="N476">
        <f>IFERROR(IF(VLOOKUP($B476,Показатели!$E:$W,11,FALSE)=0,"",VLOOKUP($B476,Показатели!$E:$W,11,FALSE)),"")</f>
        <v>8092833000</v>
      </c>
      <c r="O476">
        <f>IFERROR(IF(VLOOKUP($B476,Показатели!$E:$W,12,FALSE)=0,"",VLOOKUP($B476,Показатели!$E:$W,12,FALSE)),"")</f>
        <v>1307826000</v>
      </c>
      <c r="P476">
        <f>IFERROR(IF(VLOOKUP($B476,Показатели!$E:$W,13,FALSE)=0,"",VLOOKUP($B476,Показатели!$E:$W,13,FALSE)),"")</f>
        <v>-1671764000</v>
      </c>
      <c r="Q476">
        <f>IFERROR(IF(VLOOKUP($B476,Показатели!$E:$W,14,FALSE)=0,"",VLOOKUP($B476,Показатели!$E:$W,14,FALSE)),"")</f>
        <v>-1362422000</v>
      </c>
      <c r="R476" t="str">
        <f>IFERROR(IF(VLOOKUP($B476,Показатели!$E:$W,15,FALSE)=0,"",VLOOKUP($B476,Показатели!$E:$W,15,FALSE)),"")</f>
        <v/>
      </c>
      <c r="S476">
        <f>IFERROR(IF(VLOOKUP($B476,Показатели!$E:$W,16,FALSE)=0,"",VLOOKUP($B476,Показатели!$E:$W,16,FALSE)),"")</f>
        <v>3547176000</v>
      </c>
      <c r="T476">
        <f>IFERROR(IF(VLOOKUP($B476,Показатели!$E:$W,17,FALSE)=0,"",VLOOKUP($B476,Показатели!$E:$W,17,FALSE)),"")</f>
        <v>-2350155000</v>
      </c>
      <c r="U476" t="str">
        <f>IFERROR(IF(VLOOKUP($B476,Показатели!$E:$W,18,FALSE)=0,"",VLOOKUP($B476,Показатели!$E:$W,18,FALSE)),"")</f>
        <v/>
      </c>
      <c r="V476" t="str">
        <f>IFERROR(IF(VLOOKUP($B476,Показатели!$E:$W,19,FALSE)=0,"",VLOOKUP($B476,Показатели!$E:$W,19,FALSE)),"")</f>
        <v/>
      </c>
    </row>
    <row r="477" spans="1:22" x14ac:dyDescent="0.2">
      <c r="A477" s="7" t="s">
        <v>2240</v>
      </c>
      <c r="B477" t="str">
        <f t="shared" si="7"/>
        <v>SELG IV кв. 2014</v>
      </c>
      <c r="C477">
        <v>2014</v>
      </c>
      <c r="D477">
        <f>SUMIFS(Дивиденды!$C:$C,Дивиденды!$A:$A,A477,Дивиденды!$I:$I,C477)</f>
        <v>0</v>
      </c>
      <c r="E477" t="str">
        <f>IFERROR(IF(VLOOKUP($B477,Показатели!$E:$W,2,FALSE)=0,"",VLOOKUP($B477,Показатели!$E:$W,2,FALSE)),"")</f>
        <v/>
      </c>
      <c r="F477" t="str">
        <f>IFERROR(IF(VLOOKUP($B477,Показатели!$E:$W,3,FALSE)=0,"",VLOOKUP($B477,Показатели!$E:$W,3,FALSE)),"")</f>
        <v/>
      </c>
      <c r="G477" t="str">
        <f>IFERROR(IF(VLOOKUP($B477,Показатели!$E:$W,4,FALSE)=0,"",VLOOKUP($B477,Показатели!$E:$W,4,FALSE)),"")</f>
        <v/>
      </c>
      <c r="H477" t="str">
        <f>IFERROR(IF(VLOOKUP($B477,Показатели!$E:$W,5,FALSE)=0,"",VLOOKUP($B477,Показатели!$E:$W,5,FALSE)),"")</f>
        <v/>
      </c>
      <c r="I477" t="str">
        <f>IFERROR(IF(VLOOKUP($B477,Показатели!$E:$W,6,FALSE)=0,"",VLOOKUP($B477,Показатели!$E:$W,6,FALSE)),"")</f>
        <v/>
      </c>
      <c r="J477" t="str">
        <f>IFERROR(IF(VLOOKUP($B477,Показатели!$E:$W,7,FALSE)=0,"",VLOOKUP($B477,Показатели!$E:$W,7,FALSE)),"")</f>
        <v/>
      </c>
      <c r="K477" t="str">
        <f>IFERROR(IF(VLOOKUP($B477,Показатели!$E:$W,8,FALSE)=0,"",VLOOKUP($B477,Показатели!$E:$W,8,FALSE)),"")</f>
        <v/>
      </c>
      <c r="L477" t="str">
        <f>IFERROR(IF(VLOOKUP($B477,Показатели!$E:$W,9,FALSE)=0,"",VLOOKUP($B477,Показатели!$E:$W,9,FALSE)),"")</f>
        <v/>
      </c>
      <c r="M477" t="str">
        <f>IFERROR(IF(VLOOKUP($B477,Показатели!$E:$W,10,FALSE)=0,"",VLOOKUP($B477,Показатели!$E:$W,10,FALSE)),"")</f>
        <v/>
      </c>
      <c r="N477" t="str">
        <f>IFERROR(IF(VLOOKUP($B477,Показатели!$E:$W,11,FALSE)=0,"",VLOOKUP($B477,Показатели!$E:$W,11,FALSE)),"")</f>
        <v/>
      </c>
      <c r="O477" t="str">
        <f>IFERROR(IF(VLOOKUP($B477,Показатели!$E:$W,12,FALSE)=0,"",VLOOKUP($B477,Показатели!$E:$W,12,FALSE)),"")</f>
        <v/>
      </c>
      <c r="P477" t="str">
        <f>IFERROR(IF(VLOOKUP($B477,Показатели!$E:$W,13,FALSE)=0,"",VLOOKUP($B477,Показатели!$E:$W,13,FALSE)),"")</f>
        <v/>
      </c>
      <c r="Q477" t="str">
        <f>IFERROR(IF(VLOOKUP($B477,Показатели!$E:$W,14,FALSE)=0,"",VLOOKUP($B477,Показатели!$E:$W,14,FALSE)),"")</f>
        <v/>
      </c>
      <c r="R477" t="str">
        <f>IFERROR(IF(VLOOKUP($B477,Показатели!$E:$W,15,FALSE)=0,"",VLOOKUP($B477,Показатели!$E:$W,15,FALSE)),"")</f>
        <v/>
      </c>
      <c r="S477" t="str">
        <f>IFERROR(IF(VLOOKUP($B477,Показатели!$E:$W,16,FALSE)=0,"",VLOOKUP($B477,Показатели!$E:$W,16,FALSE)),"")</f>
        <v/>
      </c>
      <c r="T477" t="str">
        <f>IFERROR(IF(VLOOKUP($B477,Показатели!$E:$W,17,FALSE)=0,"",VLOOKUP($B477,Показатели!$E:$W,17,FALSE)),"")</f>
        <v/>
      </c>
      <c r="U477" t="str">
        <f>IFERROR(IF(VLOOKUP($B477,Показатели!$E:$W,18,FALSE)=0,"",VLOOKUP($B477,Показатели!$E:$W,18,FALSE)),"")</f>
        <v/>
      </c>
      <c r="V477" t="str">
        <f>IFERROR(IF(VLOOKUP($B477,Показатели!$E:$W,19,FALSE)=0,"",VLOOKUP($B477,Показатели!$E:$W,19,FALSE)),"")</f>
        <v/>
      </c>
    </row>
    <row r="478" spans="1:22" x14ac:dyDescent="0.2">
      <c r="A478" s="7" t="s">
        <v>2240</v>
      </c>
      <c r="B478" t="str">
        <f t="shared" si="7"/>
        <v>SELG IV кв. 2013</v>
      </c>
      <c r="C478">
        <v>2013</v>
      </c>
      <c r="D478">
        <f>SUMIFS(Дивиденды!$C:$C,Дивиденды!$A:$A,A478,Дивиденды!$I:$I,C478)</f>
        <v>0</v>
      </c>
      <c r="E478" t="str">
        <f>IFERROR(IF(VLOOKUP($B478,Показатели!$E:$W,2,FALSE)=0,"",VLOOKUP($B478,Показатели!$E:$W,2,FALSE)),"")</f>
        <v/>
      </c>
      <c r="F478" t="str">
        <f>IFERROR(IF(VLOOKUP($B478,Показатели!$E:$W,3,FALSE)=0,"",VLOOKUP($B478,Показатели!$E:$W,3,FALSE)),"")</f>
        <v/>
      </c>
      <c r="G478" t="str">
        <f>IFERROR(IF(VLOOKUP($B478,Показатели!$E:$W,4,FALSE)=0,"",VLOOKUP($B478,Показатели!$E:$W,4,FALSE)),"")</f>
        <v/>
      </c>
      <c r="H478" t="str">
        <f>IFERROR(IF(VLOOKUP($B478,Показатели!$E:$W,5,FALSE)=0,"",VLOOKUP($B478,Показатели!$E:$W,5,FALSE)),"")</f>
        <v/>
      </c>
      <c r="I478" t="str">
        <f>IFERROR(IF(VLOOKUP($B478,Показатели!$E:$W,6,FALSE)=0,"",VLOOKUP($B478,Показатели!$E:$W,6,FALSE)),"")</f>
        <v/>
      </c>
      <c r="J478" t="str">
        <f>IFERROR(IF(VLOOKUP($B478,Показатели!$E:$W,7,FALSE)=0,"",VLOOKUP($B478,Показатели!$E:$W,7,FALSE)),"")</f>
        <v/>
      </c>
      <c r="K478" t="str">
        <f>IFERROR(IF(VLOOKUP($B478,Показатели!$E:$W,8,FALSE)=0,"",VLOOKUP($B478,Показатели!$E:$W,8,FALSE)),"")</f>
        <v/>
      </c>
      <c r="L478" t="str">
        <f>IFERROR(IF(VLOOKUP($B478,Показатели!$E:$W,9,FALSE)=0,"",VLOOKUP($B478,Показатели!$E:$W,9,FALSE)),"")</f>
        <v/>
      </c>
      <c r="M478" t="str">
        <f>IFERROR(IF(VLOOKUP($B478,Показатели!$E:$W,10,FALSE)=0,"",VLOOKUP($B478,Показатели!$E:$W,10,FALSE)),"")</f>
        <v/>
      </c>
      <c r="N478" t="str">
        <f>IFERROR(IF(VLOOKUP($B478,Показатели!$E:$W,11,FALSE)=0,"",VLOOKUP($B478,Показатели!$E:$W,11,FALSE)),"")</f>
        <v/>
      </c>
      <c r="O478" t="str">
        <f>IFERROR(IF(VLOOKUP($B478,Показатели!$E:$W,12,FALSE)=0,"",VLOOKUP($B478,Показатели!$E:$W,12,FALSE)),"")</f>
        <v/>
      </c>
      <c r="P478" t="str">
        <f>IFERROR(IF(VLOOKUP($B478,Показатели!$E:$W,13,FALSE)=0,"",VLOOKUP($B478,Показатели!$E:$W,13,FALSE)),"")</f>
        <v/>
      </c>
      <c r="Q478" t="str">
        <f>IFERROR(IF(VLOOKUP($B478,Показатели!$E:$W,14,FALSE)=0,"",VLOOKUP($B478,Показатели!$E:$W,14,FALSE)),"")</f>
        <v/>
      </c>
      <c r="R478" t="str">
        <f>IFERROR(IF(VLOOKUP($B478,Показатели!$E:$W,15,FALSE)=0,"",VLOOKUP($B478,Показатели!$E:$W,15,FALSE)),"")</f>
        <v/>
      </c>
      <c r="S478" t="str">
        <f>IFERROR(IF(VLOOKUP($B478,Показатели!$E:$W,16,FALSE)=0,"",VLOOKUP($B478,Показатели!$E:$W,16,FALSE)),"")</f>
        <v/>
      </c>
      <c r="T478" t="str">
        <f>IFERROR(IF(VLOOKUP($B478,Показатели!$E:$W,17,FALSE)=0,"",VLOOKUP($B478,Показатели!$E:$W,17,FALSE)),"")</f>
        <v/>
      </c>
      <c r="U478" t="str">
        <f>IFERROR(IF(VLOOKUP($B478,Показатели!$E:$W,18,FALSE)=0,"",VLOOKUP($B478,Показатели!$E:$W,18,FALSE)),"")</f>
        <v/>
      </c>
      <c r="V478" t="str">
        <f>IFERROR(IF(VLOOKUP($B478,Показатели!$E:$W,19,FALSE)=0,"",VLOOKUP($B478,Показатели!$E:$W,19,FALSE)),"")</f>
        <v/>
      </c>
    </row>
    <row r="479" spans="1:22" x14ac:dyDescent="0.2">
      <c r="A479" s="7" t="s">
        <v>2240</v>
      </c>
      <c r="B479" t="str">
        <f t="shared" si="7"/>
        <v>SELG IV кв. 2012</v>
      </c>
      <c r="C479">
        <v>2012</v>
      </c>
      <c r="D479">
        <f>SUMIFS(Дивиденды!$C:$C,Дивиденды!$A:$A,A479,Дивиденды!$I:$I,C479)</f>
        <v>0</v>
      </c>
      <c r="E479" t="str">
        <f>IFERROR(IF(VLOOKUP($B479,Показатели!$E:$W,2,FALSE)=0,"",VLOOKUP($B479,Показатели!$E:$W,2,FALSE)),"")</f>
        <v/>
      </c>
      <c r="F479" t="str">
        <f>IFERROR(IF(VLOOKUP($B479,Показатели!$E:$W,3,FALSE)=0,"",VLOOKUP($B479,Показатели!$E:$W,3,FALSE)),"")</f>
        <v/>
      </c>
      <c r="G479" t="str">
        <f>IFERROR(IF(VLOOKUP($B479,Показатели!$E:$W,4,FALSE)=0,"",VLOOKUP($B479,Показатели!$E:$W,4,FALSE)),"")</f>
        <v/>
      </c>
      <c r="H479" t="str">
        <f>IFERROR(IF(VLOOKUP($B479,Показатели!$E:$W,5,FALSE)=0,"",VLOOKUP($B479,Показатели!$E:$W,5,FALSE)),"")</f>
        <v/>
      </c>
      <c r="I479" t="str">
        <f>IFERROR(IF(VLOOKUP($B479,Показатели!$E:$W,6,FALSE)=0,"",VLOOKUP($B479,Показатели!$E:$W,6,FALSE)),"")</f>
        <v/>
      </c>
      <c r="J479" t="str">
        <f>IFERROR(IF(VLOOKUP($B479,Показатели!$E:$W,7,FALSE)=0,"",VLOOKUP($B479,Показатели!$E:$W,7,FALSE)),"")</f>
        <v/>
      </c>
      <c r="K479" t="str">
        <f>IFERROR(IF(VLOOKUP($B479,Показатели!$E:$W,8,FALSE)=0,"",VLOOKUP($B479,Показатели!$E:$W,8,FALSE)),"")</f>
        <v/>
      </c>
      <c r="L479" t="str">
        <f>IFERROR(IF(VLOOKUP($B479,Показатели!$E:$W,9,FALSE)=0,"",VLOOKUP($B479,Показатели!$E:$W,9,FALSE)),"")</f>
        <v/>
      </c>
      <c r="M479" t="str">
        <f>IFERROR(IF(VLOOKUP($B479,Показатели!$E:$W,10,FALSE)=0,"",VLOOKUP($B479,Показатели!$E:$W,10,FALSE)),"")</f>
        <v/>
      </c>
      <c r="N479" t="str">
        <f>IFERROR(IF(VLOOKUP($B479,Показатели!$E:$W,11,FALSE)=0,"",VLOOKUP($B479,Показатели!$E:$W,11,FALSE)),"")</f>
        <v/>
      </c>
      <c r="O479" t="str">
        <f>IFERROR(IF(VLOOKUP($B479,Показатели!$E:$W,12,FALSE)=0,"",VLOOKUP($B479,Показатели!$E:$W,12,FALSE)),"")</f>
        <v/>
      </c>
      <c r="P479" t="str">
        <f>IFERROR(IF(VLOOKUP($B479,Показатели!$E:$W,13,FALSE)=0,"",VLOOKUP($B479,Показатели!$E:$W,13,FALSE)),"")</f>
        <v/>
      </c>
      <c r="Q479" t="str">
        <f>IFERROR(IF(VLOOKUP($B479,Показатели!$E:$W,14,FALSE)=0,"",VLOOKUP($B479,Показатели!$E:$W,14,FALSE)),"")</f>
        <v/>
      </c>
      <c r="R479" t="str">
        <f>IFERROR(IF(VLOOKUP($B479,Показатели!$E:$W,15,FALSE)=0,"",VLOOKUP($B479,Показатели!$E:$W,15,FALSE)),"")</f>
        <v/>
      </c>
      <c r="S479" t="str">
        <f>IFERROR(IF(VLOOKUP($B479,Показатели!$E:$W,16,FALSE)=0,"",VLOOKUP($B479,Показатели!$E:$W,16,FALSE)),"")</f>
        <v/>
      </c>
      <c r="T479" t="str">
        <f>IFERROR(IF(VLOOKUP($B479,Показатели!$E:$W,17,FALSE)=0,"",VLOOKUP($B479,Показатели!$E:$W,17,FALSE)),"")</f>
        <v/>
      </c>
      <c r="U479" t="str">
        <f>IFERROR(IF(VLOOKUP($B479,Показатели!$E:$W,18,FALSE)=0,"",VLOOKUP($B479,Показатели!$E:$W,18,FALSE)),"")</f>
        <v/>
      </c>
      <c r="V479" t="str">
        <f>IFERROR(IF(VLOOKUP($B479,Показатели!$E:$W,19,FALSE)=0,"",VLOOKUP($B479,Показатели!$E:$W,19,FALSE)),"")</f>
        <v/>
      </c>
    </row>
    <row r="480" spans="1:22" x14ac:dyDescent="0.2">
      <c r="A480" s="7" t="s">
        <v>2240</v>
      </c>
      <c r="B480" t="str">
        <f t="shared" si="7"/>
        <v>SELG IV кв. 2011</v>
      </c>
      <c r="C480">
        <v>2011</v>
      </c>
      <c r="D480">
        <f>SUMIFS(Дивиденды!$C:$C,Дивиденды!$A:$A,A480,Дивиденды!$I:$I,C480)</f>
        <v>0.15</v>
      </c>
      <c r="E480" t="str">
        <f>IFERROR(IF(VLOOKUP($B480,Показатели!$E:$W,2,FALSE)=0,"",VLOOKUP($B480,Показатели!$E:$W,2,FALSE)),"")</f>
        <v/>
      </c>
      <c r="F480" t="str">
        <f>IFERROR(IF(VLOOKUP($B480,Показатели!$E:$W,3,FALSE)=0,"",VLOOKUP($B480,Показатели!$E:$W,3,FALSE)),"")</f>
        <v/>
      </c>
      <c r="G480" t="str">
        <f>IFERROR(IF(VLOOKUP($B480,Показатели!$E:$W,4,FALSE)=0,"",VLOOKUP($B480,Показатели!$E:$W,4,FALSE)),"")</f>
        <v/>
      </c>
      <c r="H480" t="str">
        <f>IFERROR(IF(VLOOKUP($B480,Показатели!$E:$W,5,FALSE)=0,"",VLOOKUP($B480,Показатели!$E:$W,5,FALSE)),"")</f>
        <v/>
      </c>
      <c r="I480" t="str">
        <f>IFERROR(IF(VLOOKUP($B480,Показатели!$E:$W,6,FALSE)=0,"",VLOOKUP($B480,Показатели!$E:$W,6,FALSE)),"")</f>
        <v/>
      </c>
      <c r="J480" t="str">
        <f>IFERROR(IF(VLOOKUP($B480,Показатели!$E:$W,7,FALSE)=0,"",VLOOKUP($B480,Показатели!$E:$W,7,FALSE)),"")</f>
        <v/>
      </c>
      <c r="K480" t="str">
        <f>IFERROR(IF(VLOOKUP($B480,Показатели!$E:$W,8,FALSE)=0,"",VLOOKUP($B480,Показатели!$E:$W,8,FALSE)),"")</f>
        <v/>
      </c>
      <c r="L480" t="str">
        <f>IFERROR(IF(VLOOKUP($B480,Показатели!$E:$W,9,FALSE)=0,"",VLOOKUP($B480,Показатели!$E:$W,9,FALSE)),"")</f>
        <v/>
      </c>
      <c r="M480" t="str">
        <f>IFERROR(IF(VLOOKUP($B480,Показатели!$E:$W,10,FALSE)=0,"",VLOOKUP($B480,Показатели!$E:$W,10,FALSE)),"")</f>
        <v/>
      </c>
      <c r="N480" t="str">
        <f>IFERROR(IF(VLOOKUP($B480,Показатели!$E:$W,11,FALSE)=0,"",VLOOKUP($B480,Показатели!$E:$W,11,FALSE)),"")</f>
        <v/>
      </c>
      <c r="O480" t="str">
        <f>IFERROR(IF(VLOOKUP($B480,Показатели!$E:$W,12,FALSE)=0,"",VLOOKUP($B480,Показатели!$E:$W,12,FALSE)),"")</f>
        <v/>
      </c>
      <c r="P480" t="str">
        <f>IFERROR(IF(VLOOKUP($B480,Показатели!$E:$W,13,FALSE)=0,"",VLOOKUP($B480,Показатели!$E:$W,13,FALSE)),"")</f>
        <v/>
      </c>
      <c r="Q480" t="str">
        <f>IFERROR(IF(VLOOKUP($B480,Показатели!$E:$W,14,FALSE)=0,"",VLOOKUP($B480,Показатели!$E:$W,14,FALSE)),"")</f>
        <v/>
      </c>
      <c r="R480" t="str">
        <f>IFERROR(IF(VLOOKUP($B480,Показатели!$E:$W,15,FALSE)=0,"",VLOOKUP($B480,Показатели!$E:$W,15,FALSE)),"")</f>
        <v/>
      </c>
      <c r="S480" t="str">
        <f>IFERROR(IF(VLOOKUP($B480,Показатели!$E:$W,16,FALSE)=0,"",VLOOKUP($B480,Показатели!$E:$W,16,FALSE)),"")</f>
        <v/>
      </c>
      <c r="T480" t="str">
        <f>IFERROR(IF(VLOOKUP($B480,Показатели!$E:$W,17,FALSE)=0,"",VLOOKUP($B480,Показатели!$E:$W,17,FALSE)),"")</f>
        <v/>
      </c>
      <c r="U480" t="str">
        <f>IFERROR(IF(VLOOKUP($B480,Показатели!$E:$W,18,FALSE)=0,"",VLOOKUP($B480,Показатели!$E:$W,18,FALSE)),"")</f>
        <v/>
      </c>
      <c r="V480" t="str">
        <f>IFERROR(IF(VLOOKUP($B480,Показатели!$E:$W,19,FALSE)=0,"",VLOOKUP($B480,Показатели!$E:$W,19,FALSE)),"")</f>
        <v/>
      </c>
    </row>
    <row r="481" spans="1:22" x14ac:dyDescent="0.2">
      <c r="A481" s="7" t="s">
        <v>2240</v>
      </c>
      <c r="B481" t="str">
        <f t="shared" si="7"/>
        <v>SELG IV кв. 2010</v>
      </c>
      <c r="C481">
        <v>2010</v>
      </c>
      <c r="D481">
        <f>SUMIFS(Дивиденды!$C:$C,Дивиденды!$A:$A,A481,Дивиденды!$I:$I,C481)</f>
        <v>0</v>
      </c>
      <c r="E481" t="str">
        <f>IFERROR(IF(VLOOKUP($B481,Показатели!$E:$W,2,FALSE)=0,"",VLOOKUP($B481,Показатели!$E:$W,2,FALSE)),"")</f>
        <v/>
      </c>
      <c r="F481" t="str">
        <f>IFERROR(IF(VLOOKUP($B481,Показатели!$E:$W,3,FALSE)=0,"",VLOOKUP($B481,Показатели!$E:$W,3,FALSE)),"")</f>
        <v/>
      </c>
      <c r="G481" t="str">
        <f>IFERROR(IF(VLOOKUP($B481,Показатели!$E:$W,4,FALSE)=0,"",VLOOKUP($B481,Показатели!$E:$W,4,FALSE)),"")</f>
        <v/>
      </c>
      <c r="H481" t="str">
        <f>IFERROR(IF(VLOOKUP($B481,Показатели!$E:$W,5,FALSE)=0,"",VLOOKUP($B481,Показатели!$E:$W,5,FALSE)),"")</f>
        <v/>
      </c>
      <c r="I481" t="str">
        <f>IFERROR(IF(VLOOKUP($B481,Показатели!$E:$W,6,FALSE)=0,"",VLOOKUP($B481,Показатели!$E:$W,6,FALSE)),"")</f>
        <v/>
      </c>
      <c r="J481" t="str">
        <f>IFERROR(IF(VLOOKUP($B481,Показатели!$E:$W,7,FALSE)=0,"",VLOOKUP($B481,Показатели!$E:$W,7,FALSE)),"")</f>
        <v/>
      </c>
      <c r="K481" t="str">
        <f>IFERROR(IF(VLOOKUP($B481,Показатели!$E:$W,8,FALSE)=0,"",VLOOKUP($B481,Показатели!$E:$W,8,FALSE)),"")</f>
        <v/>
      </c>
      <c r="L481" t="str">
        <f>IFERROR(IF(VLOOKUP($B481,Показатели!$E:$W,9,FALSE)=0,"",VLOOKUP($B481,Показатели!$E:$W,9,FALSE)),"")</f>
        <v/>
      </c>
      <c r="M481" t="str">
        <f>IFERROR(IF(VLOOKUP($B481,Показатели!$E:$W,10,FALSE)=0,"",VLOOKUP($B481,Показатели!$E:$W,10,FALSE)),"")</f>
        <v/>
      </c>
      <c r="N481" t="str">
        <f>IFERROR(IF(VLOOKUP($B481,Показатели!$E:$W,11,FALSE)=0,"",VLOOKUP($B481,Показатели!$E:$W,11,FALSE)),"")</f>
        <v/>
      </c>
      <c r="O481" t="str">
        <f>IFERROR(IF(VLOOKUP($B481,Показатели!$E:$W,12,FALSE)=0,"",VLOOKUP($B481,Показатели!$E:$W,12,FALSE)),"")</f>
        <v/>
      </c>
      <c r="P481" t="str">
        <f>IFERROR(IF(VLOOKUP($B481,Показатели!$E:$W,13,FALSE)=0,"",VLOOKUP($B481,Показатели!$E:$W,13,FALSE)),"")</f>
        <v/>
      </c>
      <c r="Q481" t="str">
        <f>IFERROR(IF(VLOOKUP($B481,Показатели!$E:$W,14,FALSE)=0,"",VLOOKUP($B481,Показатели!$E:$W,14,FALSE)),"")</f>
        <v/>
      </c>
      <c r="R481" t="str">
        <f>IFERROR(IF(VLOOKUP($B481,Показатели!$E:$W,15,FALSE)=0,"",VLOOKUP($B481,Показатели!$E:$W,15,FALSE)),"")</f>
        <v/>
      </c>
      <c r="S481" t="str">
        <f>IFERROR(IF(VLOOKUP($B481,Показатели!$E:$W,16,FALSE)=0,"",VLOOKUP($B481,Показатели!$E:$W,16,FALSE)),"")</f>
        <v/>
      </c>
      <c r="T481" t="str">
        <f>IFERROR(IF(VLOOKUP($B481,Показатели!$E:$W,17,FALSE)=0,"",VLOOKUP($B481,Показатели!$E:$W,17,FALSE)),"")</f>
        <v/>
      </c>
      <c r="U481" t="str">
        <f>IFERROR(IF(VLOOKUP($B481,Показатели!$E:$W,18,FALSE)=0,"",VLOOKUP($B481,Показатели!$E:$W,18,FALSE)),"")</f>
        <v/>
      </c>
      <c r="V481" t="str">
        <f>IFERROR(IF(VLOOKUP($B481,Показатели!$E:$W,19,FALSE)=0,"",VLOOKUP($B481,Показатели!$E:$W,19,FALSE)),"")</f>
        <v/>
      </c>
    </row>
    <row r="482" spans="1:22" x14ac:dyDescent="0.2">
      <c r="A482" s="7" t="s">
        <v>2242</v>
      </c>
      <c r="B482" t="str">
        <f t="shared" si="7"/>
        <v>TRMK IV кв. 2025</v>
      </c>
      <c r="C482">
        <v>2025</v>
      </c>
      <c r="D482">
        <f>SUMIFS(Дивиденды!$C:$C,Дивиденды!$A:$A,A482,Дивиденды!$I:$I,C482)</f>
        <v>0</v>
      </c>
      <c r="E482">
        <f>IFERROR(IF(VLOOKUP($B482,Показатели!$E:$W,2,FALSE)=0,"",VLOOKUP($B482,Показатели!$E:$W,2,FALSE)),"")</f>
        <v>95772000000</v>
      </c>
      <c r="F482">
        <f>IFERROR(IF(VLOOKUP($B482,Показатели!$E:$W,3,FALSE)=0,"",VLOOKUP($B482,Показатели!$E:$W,3,FALSE)),"")</f>
        <v>268363000000</v>
      </c>
      <c r="G482">
        <f>IFERROR(IF(VLOOKUP($B482,Показатели!$E:$W,4,FALSE)=0,"",VLOOKUP($B482,Показатели!$E:$W,4,FALSE)),"")</f>
        <v>230453000000</v>
      </c>
      <c r="H482">
        <f>IFERROR(IF(VLOOKUP($B482,Показатели!$E:$W,5,FALSE)=0,"",VLOOKUP($B482,Показатели!$E:$W,5,FALSE)),"")</f>
        <v>49759000000</v>
      </c>
      <c r="I482">
        <f>IFERROR(IF(VLOOKUP($B482,Показатели!$E:$W,6,FALSE)=0,"",VLOOKUP($B482,Показатели!$E:$W,6,FALSE)),"")</f>
        <v>596497000000</v>
      </c>
      <c r="J482">
        <f>IFERROR(IF(VLOOKUP($B482,Показатели!$E:$W,7,FALSE)=0,"",VLOOKUP($B482,Показатели!$E:$W,7,FALSE)),"")</f>
        <v>290112000000</v>
      </c>
      <c r="K482">
        <f>IFERROR(IF(VLOOKUP($B482,Показатели!$E:$W,8,FALSE)=0,"",VLOOKUP($B482,Показатели!$E:$W,8,FALSE)),"")</f>
        <v>273789000000</v>
      </c>
      <c r="L482">
        <f>IFERROR(IF(VLOOKUP($B482,Показатели!$E:$W,9,FALSE)=0,"",VLOOKUP($B482,Показатели!$E:$W,9,FALSE)),"")</f>
        <v>2467000000</v>
      </c>
      <c r="M482">
        <f>IFERROR(IF(VLOOKUP($B482,Показатели!$E:$W,10,FALSE)=0,"",VLOOKUP($B482,Показатели!$E:$W,10,FALSE)),"")</f>
        <v>32596000000</v>
      </c>
      <c r="N482">
        <f>IFERROR(IF(VLOOKUP($B482,Показатели!$E:$W,11,FALSE)=0,"",VLOOKUP($B482,Показатели!$E:$W,11,FALSE)),"")</f>
        <v>404359000000</v>
      </c>
      <c r="O482">
        <f>IFERROR(IF(VLOOKUP($B482,Показатели!$E:$W,12,FALSE)=0,"",VLOOKUP($B482,Показатели!$E:$W,12,FALSE)),"")</f>
        <v>28646000000</v>
      </c>
      <c r="P482">
        <f>IFERROR(IF(VLOOKUP($B482,Показатели!$E:$W,13,FALSE)=0,"",VLOOKUP($B482,Показатели!$E:$W,13,FALSE)),"")</f>
        <v>-32527000000</v>
      </c>
      <c r="Q482">
        <f>IFERROR(IF(VLOOKUP($B482,Показатели!$E:$W,14,FALSE)=0,"",VLOOKUP($B482,Показатели!$E:$W,14,FALSE)),"")</f>
        <v>-24458000000</v>
      </c>
      <c r="R482">
        <f>IFERROR(IF(VLOOKUP($B482,Показатели!$E:$W,15,FALSE)=0,"",VLOOKUP($B482,Показатели!$E:$W,15,FALSE)),"")</f>
        <v>26709000000</v>
      </c>
      <c r="S482">
        <f>IFERROR(IF(VLOOKUP($B482,Показатели!$E:$W,16,FALSE)=0,"",VLOOKUP($B482,Показатели!$E:$W,16,FALSE)),"")</f>
        <v>74677000000</v>
      </c>
      <c r="T482">
        <f>IFERROR(IF(VLOOKUP($B482,Показатели!$E:$W,17,FALSE)=0,"",VLOOKUP($B482,Показатели!$E:$W,17,FALSE)),"")</f>
        <v>-17891000000</v>
      </c>
      <c r="U482">
        <f>IFERROR(IF(VLOOKUP($B482,Показатели!$E:$W,18,FALSE)=0,"",VLOOKUP($B482,Показатели!$E:$W,18,FALSE)),"")</f>
        <v>532165000000</v>
      </c>
      <c r="V482">
        <f>IFERROR(IF(VLOOKUP($B482,Показатели!$E:$W,19,FALSE)=0,"",VLOOKUP($B482,Показатели!$E:$W,19,FALSE)),"")</f>
        <v>692913000000</v>
      </c>
    </row>
    <row r="483" spans="1:22" x14ac:dyDescent="0.2">
      <c r="A483" s="7" t="s">
        <v>2242</v>
      </c>
      <c r="B483" t="str">
        <f t="shared" si="7"/>
        <v>TRMK IV кв. 2024</v>
      </c>
      <c r="C483">
        <v>2024</v>
      </c>
      <c r="D483">
        <f>SUMIFS(Дивиденды!$C:$C,Дивиденды!$A:$A,A483,Дивиденды!$I:$I,C483)</f>
        <v>0</v>
      </c>
      <c r="E483">
        <f>IFERROR(IF(VLOOKUP($B483,Показатели!$E:$W,2,FALSE)=0,"",VLOOKUP($B483,Показатели!$E:$W,2,FALSE)),"")</f>
        <v>120996000000</v>
      </c>
      <c r="F483">
        <f>IFERROR(IF(VLOOKUP($B483,Показатели!$E:$W,3,FALSE)=0,"",VLOOKUP($B483,Показатели!$E:$W,3,FALSE)),"")</f>
        <v>362516000000</v>
      </c>
      <c r="G483">
        <f>IFERROR(IF(VLOOKUP($B483,Показатели!$E:$W,4,FALSE)=0,"",VLOOKUP($B483,Показатели!$E:$W,4,FALSE)),"")</f>
        <v>236539000000</v>
      </c>
      <c r="H483">
        <f>IFERROR(IF(VLOOKUP($B483,Показатели!$E:$W,5,FALSE)=0,"",VLOOKUP($B483,Показатели!$E:$W,5,FALSE)),"")</f>
        <v>52718000000</v>
      </c>
      <c r="I483">
        <f>IFERROR(IF(VLOOKUP($B483,Показатели!$E:$W,6,FALSE)=0,"",VLOOKUP($B483,Показатели!$E:$W,6,FALSE)),"")</f>
        <v>692913000000</v>
      </c>
      <c r="J483">
        <f>IFERROR(IF(VLOOKUP($B483,Показатели!$E:$W,7,FALSE)=0,"",VLOOKUP($B483,Показатели!$E:$W,7,FALSE)),"")</f>
        <v>329422000000</v>
      </c>
      <c r="K483">
        <f>IFERROR(IF(VLOOKUP($B483,Показатели!$E:$W,8,FALSE)=0,"",VLOOKUP($B483,Показатели!$E:$W,8,FALSE)),"")</f>
        <v>306251000000</v>
      </c>
      <c r="L483">
        <f>IFERROR(IF(VLOOKUP($B483,Показатели!$E:$W,9,FALSE)=0,"",VLOOKUP($B483,Показатели!$E:$W,9,FALSE)),"")</f>
        <v>23568000000</v>
      </c>
      <c r="M483">
        <f>IFERROR(IF(VLOOKUP($B483,Показатели!$E:$W,10,FALSE)=0,"",VLOOKUP($B483,Показатели!$E:$W,10,FALSE)),"")</f>
        <v>57240000000</v>
      </c>
      <c r="N483">
        <f>IFERROR(IF(VLOOKUP($B483,Показатели!$E:$W,11,FALSE)=0,"",VLOOKUP($B483,Показатели!$E:$W,11,FALSE)),"")</f>
        <v>532165000000</v>
      </c>
      <c r="O483">
        <f>IFERROR(IF(VLOOKUP($B483,Показатели!$E:$W,12,FALSE)=0,"",VLOOKUP($B483,Показатели!$E:$W,12,FALSE)),"")</f>
        <v>36357000000</v>
      </c>
      <c r="P483">
        <f>IFERROR(IF(VLOOKUP($B483,Показатели!$E:$W,13,FALSE)=0,"",VLOOKUP($B483,Показатели!$E:$W,13,FALSE)),"")</f>
        <v>-33016000000</v>
      </c>
      <c r="Q483">
        <f>IFERROR(IF(VLOOKUP($B483,Показатели!$E:$W,14,FALSE)=0,"",VLOOKUP($B483,Показатели!$E:$W,14,FALSE)),"")</f>
        <v>-27728000000</v>
      </c>
      <c r="R483">
        <f>IFERROR(IF(VLOOKUP($B483,Показатели!$E:$W,15,FALSE)=0,"",VLOOKUP($B483,Показатели!$E:$W,15,FALSE)),"")</f>
        <v>25773000000</v>
      </c>
      <c r="S483">
        <f>IFERROR(IF(VLOOKUP($B483,Показатели!$E:$W,16,FALSE)=0,"",VLOOKUP($B483,Показатели!$E:$W,16,FALSE)),"")</f>
        <v>92404000000</v>
      </c>
      <c r="T483">
        <f>IFERROR(IF(VLOOKUP($B483,Показатели!$E:$W,17,FALSE)=0,"",VLOOKUP($B483,Показатели!$E:$W,17,FALSE)),"")</f>
        <v>-28821000000</v>
      </c>
      <c r="U483">
        <f>IFERROR(IF(VLOOKUP($B483,Показатели!$E:$W,18,FALSE)=0,"",VLOOKUP($B483,Показатели!$E:$W,18,FALSE)),"")</f>
        <v>544265000000</v>
      </c>
      <c r="V483">
        <f>IFERROR(IF(VLOOKUP($B483,Показатели!$E:$W,19,FALSE)=0,"",VLOOKUP($B483,Показатели!$E:$W,19,FALSE)),"")</f>
        <v>584874000000</v>
      </c>
    </row>
    <row r="484" spans="1:22" x14ac:dyDescent="0.2">
      <c r="A484" s="7" t="s">
        <v>2242</v>
      </c>
      <c r="B484" t="str">
        <f t="shared" si="7"/>
        <v>TRMK IV кв. 2023</v>
      </c>
      <c r="C484">
        <v>2023</v>
      </c>
      <c r="D484">
        <f>SUMIFS(Дивиденды!$C:$C,Дивиденды!$A:$A,A484,Дивиденды!$I:$I,C484)</f>
        <v>22.96</v>
      </c>
      <c r="E484">
        <f>IFERROR(IF(VLOOKUP($B484,Показатели!$E:$W,2,FALSE)=0,"",VLOOKUP($B484,Показатели!$E:$W,2,FALSE)),"")</f>
        <v>69572000000</v>
      </c>
      <c r="F484">
        <f>IFERROR(IF(VLOOKUP($B484,Показатели!$E:$W,3,FALSE)=0,"",VLOOKUP($B484,Показатели!$E:$W,3,FALSE)),"")</f>
        <v>312475000000</v>
      </c>
      <c r="G484">
        <f>IFERROR(IF(VLOOKUP($B484,Показатели!$E:$W,4,FALSE)=0,"",VLOOKUP($B484,Показатели!$E:$W,4,FALSE)),"")</f>
        <v>189409000000</v>
      </c>
      <c r="H484">
        <f>IFERROR(IF(VLOOKUP($B484,Показатели!$E:$W,5,FALSE)=0,"",VLOOKUP($B484,Показатели!$E:$W,5,FALSE)),"")</f>
        <v>48141000000</v>
      </c>
      <c r="I484">
        <f>IFERROR(IF(VLOOKUP($B484,Показатели!$E:$W,6,FALSE)=0,"",VLOOKUP($B484,Показатели!$E:$W,6,FALSE)),"")</f>
        <v>584874000000</v>
      </c>
      <c r="J484">
        <f>IFERROR(IF(VLOOKUP($B484,Показатели!$E:$W,7,FALSE)=0,"",VLOOKUP($B484,Показатели!$E:$W,7,FALSE)),"")</f>
        <v>299657000000</v>
      </c>
      <c r="K484">
        <f>IFERROR(IF(VLOOKUP($B484,Показатели!$E:$W,8,FALSE)=0,"",VLOOKUP($B484,Показатели!$E:$W,8,FALSE)),"")</f>
        <v>198503000000</v>
      </c>
      <c r="L484">
        <f>IFERROR(IF(VLOOKUP($B484,Показатели!$E:$W,9,FALSE)=0,"",VLOOKUP($B484,Показатели!$E:$W,9,FALSE)),"")</f>
        <v>57464000000</v>
      </c>
      <c r="M484">
        <f>IFERROR(IF(VLOOKUP($B484,Показатели!$E:$W,10,FALSE)=0,"",VLOOKUP($B484,Показатели!$E:$W,10,FALSE)),"")</f>
        <v>86714000000</v>
      </c>
      <c r="N484">
        <f>IFERROR(IF(VLOOKUP($B484,Показатели!$E:$W,11,FALSE)=0,"",VLOOKUP($B484,Показатели!$E:$W,11,FALSE)),"")</f>
        <v>544265000000</v>
      </c>
      <c r="O484">
        <f>IFERROR(IF(VLOOKUP($B484,Показатели!$E:$W,12,FALSE)=0,"",VLOOKUP($B484,Показатели!$E:$W,12,FALSE)),"")</f>
        <v>93641000000</v>
      </c>
      <c r="P484">
        <f>IFERROR(IF(VLOOKUP($B484,Показатели!$E:$W,13,FALSE)=0,"",VLOOKUP($B484,Показатели!$E:$W,13,FALSE)),"")</f>
        <v>52605000000</v>
      </c>
      <c r="Q484">
        <f>IFERROR(IF(VLOOKUP($B484,Показатели!$E:$W,14,FALSE)=0,"",VLOOKUP($B484,Показатели!$E:$W,14,FALSE)),"")</f>
        <v>39384000000</v>
      </c>
      <c r="R484">
        <f>IFERROR(IF(VLOOKUP($B484,Показатели!$E:$W,15,FALSE)=0,"",VLOOKUP($B484,Показатели!$E:$W,15,FALSE)),"")</f>
        <v>22560000000</v>
      </c>
      <c r="S484">
        <f>IFERROR(IF(VLOOKUP($B484,Показатели!$E:$W,16,FALSE)=0,"",VLOOKUP($B484,Показатели!$E:$W,16,FALSE)),"")</f>
        <v>130085000000</v>
      </c>
      <c r="T484">
        <f>IFERROR(IF(VLOOKUP($B484,Показатели!$E:$W,17,FALSE)=0,"",VLOOKUP($B484,Показатели!$E:$W,17,FALSE)),"")</f>
        <v>-41230000000</v>
      </c>
      <c r="U484">
        <f>IFERROR(IF(VLOOKUP($B484,Показатели!$E:$W,18,FALSE)=0,"",VLOOKUP($B484,Показатели!$E:$W,18,FALSE)),"")</f>
        <v>629185000000</v>
      </c>
      <c r="V484">
        <f>IFERROR(IF(VLOOKUP($B484,Показатели!$E:$W,19,FALSE)=0,"",VLOOKUP($B484,Показатели!$E:$W,19,FALSE)),"")</f>
        <v>600123000000</v>
      </c>
    </row>
    <row r="485" spans="1:22" x14ac:dyDescent="0.2">
      <c r="A485" s="7" t="s">
        <v>2242</v>
      </c>
      <c r="B485" t="str">
        <f t="shared" si="7"/>
        <v>TRMK IV кв. 2022</v>
      </c>
      <c r="C485">
        <v>2022</v>
      </c>
      <c r="D485">
        <f>SUMIFS(Дивиденды!$C:$C,Дивиденды!$A:$A,A485,Дивиденды!$I:$I,C485)</f>
        <v>17.28</v>
      </c>
      <c r="E485">
        <f>IFERROR(IF(VLOOKUP($B485,Показатели!$E:$W,2,FALSE)=0,"",VLOOKUP($B485,Показатели!$E:$W,2,FALSE)),"")</f>
        <v>44176000000</v>
      </c>
      <c r="F485">
        <f>IFERROR(IF(VLOOKUP($B485,Показатели!$E:$W,3,FALSE)=0,"",VLOOKUP($B485,Показатели!$E:$W,3,FALSE)),"")</f>
        <v>335739000000</v>
      </c>
      <c r="G485">
        <f>IFERROR(IF(VLOOKUP($B485,Показатели!$E:$W,4,FALSE)=0,"",VLOOKUP($B485,Показатели!$E:$W,4,FALSE)),"")</f>
        <v>187731000000</v>
      </c>
      <c r="H485">
        <f>IFERROR(IF(VLOOKUP($B485,Показатели!$E:$W,5,FALSE)=0,"",VLOOKUP($B485,Показатели!$E:$W,5,FALSE)),"")</f>
        <v>49400000000</v>
      </c>
      <c r="I485">
        <f>IFERROR(IF(VLOOKUP($B485,Показатели!$E:$W,6,FALSE)=0,"",VLOOKUP($B485,Показатели!$E:$W,6,FALSE)),"")</f>
        <v>600123000000</v>
      </c>
      <c r="J485">
        <f>IFERROR(IF(VLOOKUP($B485,Показатели!$E:$W,7,FALSE)=0,"",VLOOKUP($B485,Показатели!$E:$W,7,FALSE)),"")</f>
        <v>315831000000</v>
      </c>
      <c r="K485">
        <f>IFERROR(IF(VLOOKUP($B485,Показатели!$E:$W,8,FALSE)=0,"",VLOOKUP($B485,Показатели!$E:$W,8,FALSE)),"")</f>
        <v>216127000000</v>
      </c>
      <c r="L485">
        <f>IFERROR(IF(VLOOKUP($B485,Показатели!$E:$W,9,FALSE)=0,"",VLOOKUP($B485,Показатели!$E:$W,9,FALSE)),"")</f>
        <v>40004000000</v>
      </c>
      <c r="M485">
        <f>IFERROR(IF(VLOOKUP($B485,Показатели!$E:$W,10,FALSE)=0,"",VLOOKUP($B485,Показатели!$E:$W,10,FALSE)),"")</f>
        <v>68165000000</v>
      </c>
      <c r="N485">
        <f>IFERROR(IF(VLOOKUP($B485,Показатели!$E:$W,11,FALSE)=0,"",VLOOKUP($B485,Показатели!$E:$W,11,FALSE)),"")</f>
        <v>629185000000</v>
      </c>
      <c r="O485">
        <f>IFERROR(IF(VLOOKUP($B485,Показатели!$E:$W,12,FALSE)=0,"",VLOOKUP($B485,Показатели!$E:$W,12,FALSE)),"")</f>
        <v>96147000000</v>
      </c>
      <c r="P485">
        <f>IFERROR(IF(VLOOKUP($B485,Показатели!$E:$W,13,FALSE)=0,"",VLOOKUP($B485,Показатели!$E:$W,13,FALSE)),"")</f>
        <v>55126000000</v>
      </c>
      <c r="Q485">
        <f>IFERROR(IF(VLOOKUP($B485,Показатели!$E:$W,14,FALSE)=0,"",VLOOKUP($B485,Показатели!$E:$W,14,FALSE)),"")</f>
        <v>41929000000</v>
      </c>
      <c r="R485">
        <f>IFERROR(IF(VLOOKUP($B485,Показатели!$E:$W,15,FALSE)=0,"",VLOOKUP($B485,Показатели!$E:$W,15,FALSE)),"")</f>
        <v>26479000000</v>
      </c>
      <c r="S485">
        <f>IFERROR(IF(VLOOKUP($B485,Показатели!$E:$W,16,FALSE)=0,"",VLOOKUP($B485,Показатели!$E:$W,16,FALSE)),"")</f>
        <v>130169000000</v>
      </c>
      <c r="T485">
        <f>IFERROR(IF(VLOOKUP($B485,Показатели!$E:$W,17,FALSE)=0,"",VLOOKUP($B485,Показатели!$E:$W,17,FALSE)),"")</f>
        <v>-18859000000</v>
      </c>
      <c r="U485">
        <f>IFERROR(IF(VLOOKUP($B485,Показатели!$E:$W,18,FALSE)=0,"",VLOOKUP($B485,Показатели!$E:$W,18,FALSE)),"")</f>
        <v>428981000000</v>
      </c>
      <c r="V485">
        <f>IFERROR(IF(VLOOKUP($B485,Показатели!$E:$W,19,FALSE)=0,"",VLOOKUP($B485,Показатели!$E:$W,19,FALSE)),"")</f>
        <v>694577000000</v>
      </c>
    </row>
    <row r="486" spans="1:22" x14ac:dyDescent="0.2">
      <c r="A486" s="7" t="s">
        <v>2242</v>
      </c>
      <c r="B486" t="str">
        <f t="shared" si="7"/>
        <v>TRMK IV кв. 2021</v>
      </c>
      <c r="C486">
        <v>2021</v>
      </c>
      <c r="D486">
        <f>SUMIFS(Дивиденды!$C:$C,Дивиденды!$A:$A,A486,Дивиденды!$I:$I,C486)</f>
        <v>17.71</v>
      </c>
      <c r="E486">
        <f>IFERROR(IF(VLOOKUP($B486,Показатели!$E:$W,2,FALSE)=0,"",VLOOKUP($B486,Показатели!$E:$W,2,FALSE)),"")</f>
        <v>96340000000</v>
      </c>
      <c r="F486">
        <f>IFERROR(IF(VLOOKUP($B486,Показатели!$E:$W,3,FALSE)=0,"",VLOOKUP($B486,Показатели!$E:$W,3,FALSE)),"")</f>
        <v>348442000000</v>
      </c>
      <c r="G486">
        <f>IFERROR(IF(VLOOKUP($B486,Показатели!$E:$W,4,FALSE)=0,"",VLOOKUP($B486,Показатели!$E:$W,4,FALSE)),"")</f>
        <v>225278000000</v>
      </c>
      <c r="H486">
        <f>IFERROR(IF(VLOOKUP($B486,Показатели!$E:$W,5,FALSE)=0,"",VLOOKUP($B486,Показатели!$E:$W,5,FALSE)),"")</f>
        <v>70917000000</v>
      </c>
      <c r="I486">
        <f>IFERROR(IF(VLOOKUP($B486,Показатели!$E:$W,6,FALSE)=0,"",VLOOKUP($B486,Показатели!$E:$W,6,FALSE)),"")</f>
        <v>694577000000</v>
      </c>
      <c r="J486">
        <f>IFERROR(IF(VLOOKUP($B486,Показатели!$E:$W,7,FALSE)=0,"",VLOOKUP($B486,Показатели!$E:$W,7,FALSE)),"")</f>
        <v>317539000000</v>
      </c>
      <c r="K486">
        <f>IFERROR(IF(VLOOKUP($B486,Показатели!$E:$W,8,FALSE)=0,"",VLOOKUP($B486,Показатели!$E:$W,8,FALSE)),"")</f>
        <v>327137000000</v>
      </c>
      <c r="L486">
        <f>IFERROR(IF(VLOOKUP($B486,Показатели!$E:$W,9,FALSE)=0,"",VLOOKUP($B486,Показатели!$E:$W,9,FALSE)),"")</f>
        <v>14345000000</v>
      </c>
      <c r="M486">
        <f>IFERROR(IF(VLOOKUP($B486,Показатели!$E:$W,10,FALSE)=0,"",VLOOKUP($B486,Показатели!$E:$W,10,FALSE)),"")</f>
        <v>49901000000</v>
      </c>
      <c r="N486">
        <f>IFERROR(IF(VLOOKUP($B486,Показатели!$E:$W,11,FALSE)=0,"",VLOOKUP($B486,Показатели!$E:$W,11,FALSE)),"")</f>
        <v>428981000000</v>
      </c>
      <c r="O486">
        <f>IFERROR(IF(VLOOKUP($B486,Показатели!$E:$W,12,FALSE)=0,"",VLOOKUP($B486,Показатели!$E:$W,12,FALSE)),"")</f>
        <v>35212000000</v>
      </c>
      <c r="P486">
        <f>IFERROR(IF(VLOOKUP($B486,Показатели!$E:$W,13,FALSE)=0,"",VLOOKUP($B486,Показатели!$E:$W,13,FALSE)),"")</f>
        <v>11609000000</v>
      </c>
      <c r="Q486">
        <f>IFERROR(IF(VLOOKUP($B486,Показатели!$E:$W,14,FALSE)=0,"",VLOOKUP($B486,Показатели!$E:$W,14,FALSE)),"")</f>
        <v>7183000000</v>
      </c>
      <c r="R486">
        <f>IFERROR(IF(VLOOKUP($B486,Показатели!$E:$W,15,FALSE)=0,"",VLOOKUP($B486,Показатели!$E:$W,15,FALSE)),"")</f>
        <v>17799000000</v>
      </c>
      <c r="S486">
        <f>IFERROR(IF(VLOOKUP($B486,Показатели!$E:$W,16,FALSE)=0,"",VLOOKUP($B486,Показатели!$E:$W,16,FALSE)),"")</f>
        <v>60698000000</v>
      </c>
      <c r="T486">
        <f>IFERROR(IF(VLOOKUP($B486,Показатели!$E:$W,17,FALSE)=0,"",VLOOKUP($B486,Показатели!$E:$W,17,FALSE)),"")</f>
        <v>-14536000000</v>
      </c>
      <c r="U486">
        <f>IFERROR(IF(VLOOKUP($B486,Показатели!$E:$W,18,FALSE)=0,"",VLOOKUP($B486,Показатели!$E:$W,18,FALSE)),"")</f>
        <v>222621000000</v>
      </c>
      <c r="V486">
        <f>IFERROR(IF(VLOOKUP($B486,Показатели!$E:$W,19,FALSE)=0,"",VLOOKUP($B486,Показатели!$E:$W,19,FALSE)),"")</f>
        <v>419099000000</v>
      </c>
    </row>
    <row r="487" spans="1:22" x14ac:dyDescent="0.2">
      <c r="A487" s="7" t="s">
        <v>2242</v>
      </c>
      <c r="B487" t="str">
        <f t="shared" si="7"/>
        <v>TRMK IV кв. 2020</v>
      </c>
      <c r="C487">
        <v>2020</v>
      </c>
      <c r="D487">
        <f>SUMIFS(Дивиденды!$C:$C,Дивиденды!$A:$A,A487,Дивиденды!$I:$I,C487)</f>
        <v>12.67</v>
      </c>
      <c r="E487">
        <f>IFERROR(IF(VLOOKUP($B487,Показатели!$E:$W,2,FALSE)=0,"",VLOOKUP($B487,Показатели!$E:$W,2,FALSE)),"")</f>
        <v>73036000000</v>
      </c>
      <c r="F487">
        <f>IFERROR(IF(VLOOKUP($B487,Показатели!$E:$W,3,FALSE)=0,"",VLOOKUP($B487,Показатели!$E:$W,3,FALSE)),"")</f>
        <v>231152000000</v>
      </c>
      <c r="G487">
        <f>IFERROR(IF(VLOOKUP($B487,Показатели!$E:$W,4,FALSE)=0,"",VLOOKUP($B487,Показатели!$E:$W,4,FALSE)),"")</f>
        <v>132735000000</v>
      </c>
      <c r="H487">
        <f>IFERROR(IF(VLOOKUP($B487,Показатели!$E:$W,5,FALSE)=0,"",VLOOKUP($B487,Показатели!$E:$W,5,FALSE)),"")</f>
        <v>4562000000</v>
      </c>
      <c r="I487">
        <f>IFERROR(IF(VLOOKUP($B487,Показатели!$E:$W,6,FALSE)=0,"",VLOOKUP($B487,Показатели!$E:$W,6,FALSE)),"")</f>
        <v>419099000000</v>
      </c>
      <c r="J487">
        <f>IFERROR(IF(VLOOKUP($B487,Показатели!$E:$W,7,FALSE)=0,"",VLOOKUP($B487,Показатели!$E:$W,7,FALSE)),"")</f>
        <v>154775000000</v>
      </c>
      <c r="K487">
        <f>IFERROR(IF(VLOOKUP($B487,Показатели!$E:$W,8,FALSE)=0,"",VLOOKUP($B487,Показатели!$E:$W,8,FALSE)),"")</f>
        <v>192596000000</v>
      </c>
      <c r="L487">
        <f>IFERROR(IF(VLOOKUP($B487,Показатели!$E:$W,9,FALSE)=0,"",VLOOKUP($B487,Показатели!$E:$W,9,FALSE)),"")</f>
        <v>35661000000</v>
      </c>
      <c r="M487">
        <f>IFERROR(IF(VLOOKUP($B487,Показатели!$E:$W,10,FALSE)=0,"",VLOOKUP($B487,Показатели!$E:$W,10,FALSE)),"")</f>
        <v>71728000000</v>
      </c>
      <c r="N487">
        <f>IFERROR(IF(VLOOKUP($B487,Показатели!$E:$W,11,FALSE)=0,"",VLOOKUP($B487,Показатели!$E:$W,11,FALSE)),"")</f>
        <v>222621000000</v>
      </c>
      <c r="O487">
        <f>IFERROR(IF(VLOOKUP($B487,Показатели!$E:$W,12,FALSE)=0,"",VLOOKUP($B487,Показатели!$E:$W,12,FALSE)),"")</f>
        <v>15451000000</v>
      </c>
      <c r="P487">
        <f>IFERROR(IF(VLOOKUP($B487,Показатели!$E:$W,13,FALSE)=0,"",VLOOKUP($B487,Показатели!$E:$W,13,FALSE)),"")</f>
        <v>30358000000</v>
      </c>
      <c r="Q487">
        <f>IFERROR(IF(VLOOKUP($B487,Показатели!$E:$W,14,FALSE)=0,"",VLOOKUP($B487,Показатели!$E:$W,14,FALSE)),"")</f>
        <v>24301000000</v>
      </c>
      <c r="R487">
        <f>IFERROR(IF(VLOOKUP($B487,Показатели!$E:$W,15,FALSE)=0,"",VLOOKUP($B487,Показатели!$E:$W,15,FALSE)),"")</f>
        <v>12651000000</v>
      </c>
      <c r="S487">
        <f>IFERROR(IF(VLOOKUP($B487,Показатели!$E:$W,16,FALSE)=0,"",VLOOKUP($B487,Показатели!$E:$W,16,FALSE)),"")</f>
        <v>42480000000</v>
      </c>
      <c r="T487">
        <f>IFERROR(IF(VLOOKUP($B487,Показатели!$E:$W,17,FALSE)=0,"",VLOOKUP($B487,Показатели!$E:$W,17,FALSE)),"")</f>
        <v>-11081000000</v>
      </c>
      <c r="U487">
        <f>IFERROR(IF(VLOOKUP($B487,Показатели!$E:$W,18,FALSE)=0,"",VLOOKUP($B487,Показатели!$E:$W,18,FALSE)),"")</f>
        <v>308378000000</v>
      </c>
      <c r="V487">
        <f>IFERROR(IF(VLOOKUP($B487,Показатели!$E:$W,19,FALSE)=0,"",VLOOKUP($B487,Показатели!$E:$W,19,FALSE)),"")</f>
        <v>352182000000</v>
      </c>
    </row>
    <row r="488" spans="1:22" x14ac:dyDescent="0.2">
      <c r="A488" s="7" t="s">
        <v>2242</v>
      </c>
      <c r="B488" t="str">
        <f t="shared" si="7"/>
        <v>TRMK IV кв. 2019</v>
      </c>
      <c r="C488">
        <v>2019</v>
      </c>
      <c r="D488">
        <f>SUMIFS(Дивиденды!$C:$C,Дивиденды!$A:$A,A488,Дивиденды!$I:$I,C488)</f>
        <v>2.5499999999999998</v>
      </c>
      <c r="E488">
        <f>IFERROR(IF(VLOOKUP($B488,Показатели!$E:$W,2,FALSE)=0,"",VLOOKUP($B488,Показатели!$E:$W,2,FALSE)),"")</f>
        <v>21899000000</v>
      </c>
      <c r="F488">
        <f>IFERROR(IF(VLOOKUP($B488,Показатели!$E:$W,3,FALSE)=0,"",VLOOKUP($B488,Показатели!$E:$W,3,FALSE)),"")</f>
        <v>213490000000</v>
      </c>
      <c r="G488">
        <f>IFERROR(IF(VLOOKUP($B488,Показатели!$E:$W,4,FALSE)=0,"",VLOOKUP($B488,Показатели!$E:$W,4,FALSE)),"")</f>
        <v>117403000000</v>
      </c>
      <c r="H488">
        <f>IFERROR(IF(VLOOKUP($B488,Показатели!$E:$W,5,FALSE)=0,"",VLOOKUP($B488,Показатели!$E:$W,5,FALSE)),"")</f>
        <v>1810000000</v>
      </c>
      <c r="I488">
        <f>IFERROR(IF(VLOOKUP($B488,Показатели!$E:$W,6,FALSE)=0,"",VLOOKUP($B488,Показатели!$E:$W,6,FALSE)),"")</f>
        <v>352182000000</v>
      </c>
      <c r="J488">
        <f>IFERROR(IF(VLOOKUP($B488,Показатели!$E:$W,7,FALSE)=0,"",VLOOKUP($B488,Показатели!$E:$W,7,FALSE)),"")</f>
        <v>166022000000</v>
      </c>
      <c r="K488">
        <f>IFERROR(IF(VLOOKUP($B488,Показатели!$E:$W,8,FALSE)=0,"",VLOOKUP($B488,Показатели!$E:$W,8,FALSE)),"")</f>
        <v>132565000000</v>
      </c>
      <c r="L488">
        <f>IFERROR(IF(VLOOKUP($B488,Показатели!$E:$W,9,FALSE)=0,"",VLOOKUP($B488,Показатели!$E:$W,9,FALSE)),"")</f>
        <v>14633000000</v>
      </c>
      <c r="M488">
        <f>IFERROR(IF(VLOOKUP($B488,Показатели!$E:$W,10,FALSE)=0,"",VLOOKUP($B488,Показатели!$E:$W,10,FALSE)),"")</f>
        <v>53595000000</v>
      </c>
      <c r="N488">
        <f>IFERROR(IF(VLOOKUP($B488,Показатели!$E:$W,11,FALSE)=0,"",VLOOKUP($B488,Показатели!$E:$W,11,FALSE)),"")</f>
        <v>308378000000</v>
      </c>
      <c r="O488">
        <f>IFERROR(IF(VLOOKUP($B488,Показатели!$E:$W,12,FALSE)=0,"",VLOOKUP($B488,Показатели!$E:$W,12,FALSE)),"")</f>
        <v>25899000000</v>
      </c>
      <c r="P488">
        <f>IFERROR(IF(VLOOKUP($B488,Показатели!$E:$W,13,FALSE)=0,"",VLOOKUP($B488,Показатели!$E:$W,13,FALSE)),"")</f>
        <v>6027000000</v>
      </c>
      <c r="Q488">
        <f>IFERROR(IF(VLOOKUP($B488,Показатели!$E:$W,14,FALSE)=0,"",VLOOKUP($B488,Показатели!$E:$W,14,FALSE)),"")</f>
        <v>3946000000</v>
      </c>
      <c r="R488">
        <f>IFERROR(IF(VLOOKUP($B488,Показатели!$E:$W,15,FALSE)=0,"",VLOOKUP($B488,Показатели!$E:$W,15,FALSE)),"")</f>
        <v>13613000000</v>
      </c>
      <c r="S488">
        <f>IFERROR(IF(VLOOKUP($B488,Показатели!$E:$W,16,FALSE)=0,"",VLOOKUP($B488,Показатели!$E:$W,16,FALSE)),"")</f>
        <v>44138000000</v>
      </c>
      <c r="T488">
        <f>IFERROR(IF(VLOOKUP($B488,Показатели!$E:$W,17,FALSE)=0,"",VLOOKUP($B488,Показатели!$E:$W,17,FALSE)),"")</f>
        <v>-14926000000</v>
      </c>
      <c r="U488">
        <f>IFERROR(IF(VLOOKUP($B488,Показатели!$E:$W,18,FALSE)=0,"",VLOOKUP($B488,Показатели!$E:$W,18,FALSE)),"")</f>
        <v>320555492100.51025</v>
      </c>
      <c r="V488">
        <f>IFERROR(IF(VLOOKUP($B488,Показатели!$E:$W,19,FALSE)=0,"",VLOOKUP($B488,Показатели!$E:$W,19,FALSE)),"")</f>
        <v>314627375427.67871</v>
      </c>
    </row>
    <row r="489" spans="1:22" x14ac:dyDescent="0.2">
      <c r="A489" s="7" t="s">
        <v>2242</v>
      </c>
      <c r="B489" t="str">
        <f t="shared" si="7"/>
        <v>TRMK IV кв. 2018</v>
      </c>
      <c r="C489">
        <v>2018</v>
      </c>
      <c r="D489">
        <f>SUMIFS(Дивиденды!$C:$C,Дивиденды!$A:$A,A489,Дивиденды!$I:$I,C489)</f>
        <v>0</v>
      </c>
      <c r="E489">
        <f>IFERROR(IF(VLOOKUP($B489,Показатели!$E:$W,2,FALSE)=0,"",VLOOKUP($B489,Показатели!$E:$W,2,FALSE)),"")</f>
        <v>24634316402.054813</v>
      </c>
      <c r="F489">
        <f>IFERROR(IF(VLOOKUP($B489,Показатели!$E:$W,3,FALSE)=0,"",VLOOKUP($B489,Показатели!$E:$W,3,FALSE)),"")</f>
        <v>154042325184.14514</v>
      </c>
      <c r="G489">
        <f>IFERROR(IF(VLOOKUP($B489,Показатели!$E:$W,4,FALSE)=0,"",VLOOKUP($B489,Показатели!$E:$W,4,FALSE)),"")</f>
        <v>130465530024.95778</v>
      </c>
      <c r="H489">
        <f>IFERROR(IF(VLOOKUP($B489,Показатели!$E:$W,5,FALSE)=0,"",VLOOKUP($B489,Показатели!$E:$W,5,FALSE)),"")</f>
        <v>16198665410.706642</v>
      </c>
      <c r="I489">
        <f>IFERROR(IF(VLOOKUP($B489,Показатели!$E:$W,6,FALSE)=0,"",VLOOKUP($B489,Показатели!$E:$W,6,FALSE)),"")</f>
        <v>314627375427.67871</v>
      </c>
      <c r="J489">
        <f>IFERROR(IF(VLOOKUP($B489,Показатели!$E:$W,7,FALSE)=0,"",VLOOKUP($B489,Показатели!$E:$W,7,FALSE)),"")</f>
        <v>125448826791.15181</v>
      </c>
      <c r="K489">
        <f>IFERROR(IF(VLOOKUP($B489,Показатели!$E:$W,8,FALSE)=0,"",VLOOKUP($B489,Показатели!$E:$W,8,FALSE)),"")</f>
        <v>137776515567.54218</v>
      </c>
      <c r="L489">
        <f>IFERROR(IF(VLOOKUP($B489,Показатели!$E:$W,9,FALSE)=0,"",VLOOKUP($B489,Показатели!$E:$W,9,FALSE)),"")</f>
        <v>74922937592.365097</v>
      </c>
      <c r="M489">
        <f>IFERROR(IF(VLOOKUP($B489,Показатели!$E:$W,10,FALSE)=0,"",VLOOKUP($B489,Показатели!$E:$W,10,FALSE)),"")</f>
        <v>51402033068.984711</v>
      </c>
      <c r="N489">
        <f>IFERROR(IF(VLOOKUP($B489,Показатели!$E:$W,11,FALSE)=0,"",VLOOKUP($B489,Показатели!$E:$W,11,FALSE)),"")</f>
        <v>320555492100.51025</v>
      </c>
      <c r="O489">
        <f>IFERROR(IF(VLOOKUP($B489,Показатели!$E:$W,12,FALSE)=0,"",VLOOKUP($B489,Показатели!$E:$W,12,FALSE)),"")</f>
        <v>24993927692.061459</v>
      </c>
      <c r="P489">
        <f>IFERROR(IF(VLOOKUP($B489,Показатели!$E:$W,13,FALSE)=0,"",VLOOKUP($B489,Показатели!$E:$W,13,FALSE)),"")</f>
        <v>2817479014.274086</v>
      </c>
      <c r="Q489">
        <f>IFERROR(IF(VLOOKUP($B489,Показатели!$E:$W,14,FALSE)=0,"",VLOOKUP($B489,Показатели!$E:$W,14,FALSE)),"")</f>
        <v>-9870449.7431893665</v>
      </c>
      <c r="R489">
        <f>IFERROR(IF(VLOOKUP($B489,Показатели!$E:$W,15,FALSE)=0,"",VLOOKUP($B489,Показатели!$E:$W,15,FALSE)),"")</f>
        <v>17909836755.35714</v>
      </c>
      <c r="S489">
        <f>IFERROR(IF(VLOOKUP($B489,Показатели!$E:$W,16,FALSE)=0,"",VLOOKUP($B489,Показатели!$E:$W,16,FALSE)),"")</f>
        <v>44021828639.984711</v>
      </c>
      <c r="T489">
        <f>IFERROR(IF(VLOOKUP($B489,Показатели!$E:$W,17,FALSE)=0,"",VLOOKUP($B489,Показатели!$E:$W,17,FALSE)),"")</f>
        <v>-17168924333.551493</v>
      </c>
      <c r="U489">
        <f>IFERROR(IF(VLOOKUP($B489,Показатели!$E:$W,18,FALSE)=0,"",VLOOKUP($B489,Показатели!$E:$W,18,FALSE)),"")</f>
        <v>256206429066.07513</v>
      </c>
      <c r="V489">
        <f>IFERROR(IF(VLOOKUP($B489,Показатели!$E:$W,19,FALSE)=0,"",VLOOKUP($B489,Показатели!$E:$W,19,FALSE)),"")</f>
        <v>322864897721.00842</v>
      </c>
    </row>
    <row r="490" spans="1:22" x14ac:dyDescent="0.2">
      <c r="A490" s="7" t="s">
        <v>2242</v>
      </c>
      <c r="B490" t="str">
        <f t="shared" si="7"/>
        <v>TRMK IV кв. 2017</v>
      </c>
      <c r="C490">
        <v>2017</v>
      </c>
      <c r="D490">
        <f>SUMIFS(Дивиденды!$C:$C,Дивиденды!$A:$A,A490,Дивиденды!$I:$I,C490)</f>
        <v>2.2799999999999998</v>
      </c>
      <c r="E490">
        <f>IFERROR(IF(VLOOKUP($B490,Показатели!$E:$W,2,FALSE)=0,"",VLOOKUP($B490,Показатели!$E:$W,2,FALSE)),"")</f>
        <v>28642397308.303619</v>
      </c>
      <c r="F490">
        <f>IFERROR(IF(VLOOKUP($B490,Показатели!$E:$W,3,FALSE)=0,"",VLOOKUP($B490,Показатели!$E:$W,3,FALSE)),"")</f>
        <v>152987086240.38013</v>
      </c>
      <c r="G490">
        <f>IFERROR(IF(VLOOKUP($B490,Показатели!$E:$W,4,FALSE)=0,"",VLOOKUP($B490,Показатели!$E:$W,4,FALSE)),"")</f>
        <v>141614272759.8468</v>
      </c>
      <c r="H490">
        <f>IFERROR(IF(VLOOKUP($B490,Показатели!$E:$W,5,FALSE)=0,"",VLOOKUP($B490,Показатели!$E:$W,5,FALSE)),"")</f>
        <v>15868792541.106264</v>
      </c>
      <c r="I490">
        <f>IFERROR(IF(VLOOKUP($B490,Показатели!$E:$W,6,FALSE)=0,"",VLOOKUP($B490,Показатели!$E:$W,6,FALSE)),"")</f>
        <v>322864897721.00842</v>
      </c>
      <c r="J490">
        <f>IFERROR(IF(VLOOKUP($B490,Показатели!$E:$W,7,FALSE)=0,"",VLOOKUP($B490,Показатели!$E:$W,7,FALSE)),"")</f>
        <v>101330997798.80128</v>
      </c>
      <c r="K490">
        <f>IFERROR(IF(VLOOKUP($B490,Показатели!$E:$W,8,FALSE)=0,"",VLOOKUP($B490,Показатели!$E:$W,8,FALSE)),"")</f>
        <v>167114073947.05734</v>
      </c>
      <c r="L490">
        <f>IFERROR(IF(VLOOKUP($B490,Показатели!$E:$W,9,FALSE)=0,"",VLOOKUP($B490,Показатели!$E:$W,9,FALSE)),"")</f>
        <v>72163551587.611847</v>
      </c>
      <c r="M490">
        <f>IFERROR(IF(VLOOKUP($B490,Показатели!$E:$W,10,FALSE)=0,"",VLOOKUP($B490,Показатели!$E:$W,10,FALSE)),"")</f>
        <v>54419825975.149811</v>
      </c>
      <c r="N490">
        <f>IFERROR(IF(VLOOKUP($B490,Показатели!$E:$W,11,FALSE)=0,"",VLOOKUP($B490,Показатели!$E:$W,11,FALSE)),"")</f>
        <v>256206429066.07513</v>
      </c>
      <c r="O490">
        <f>IFERROR(IF(VLOOKUP($B490,Показатели!$E:$W,12,FALSE)=0,"",VLOOKUP($B490,Показатели!$E:$W,12,FALSE)),"")</f>
        <v>19157170787.611874</v>
      </c>
      <c r="P490">
        <f>IFERROR(IF(VLOOKUP($B490,Показатели!$E:$W,13,FALSE)=0,"",VLOOKUP($B490,Показатели!$E:$W,13,FALSE)),"")</f>
        <v>4519245887.7887774</v>
      </c>
      <c r="Q490">
        <f>IFERROR(IF(VLOOKUP($B490,Показатели!$E:$W,14,FALSE)=0,"",VLOOKUP($B490,Показатели!$E:$W,14,FALSE)),"")</f>
        <v>1724252666.5293722</v>
      </c>
      <c r="R490">
        <f>IFERROR(IF(VLOOKUP($B490,Показатели!$E:$W,15,FALSE)=0,"",VLOOKUP($B490,Показатели!$E:$W,15,FALSE)),"")</f>
        <v>16624643704.945208</v>
      </c>
      <c r="S490">
        <f>IFERROR(IF(VLOOKUP($B490,Показатели!$E:$W,16,FALSE)=0,"",VLOOKUP($B490,Показатели!$E:$W,16,FALSE)),"")</f>
        <v>35279274349.834969</v>
      </c>
      <c r="T490">
        <f>IFERROR(IF(VLOOKUP($B490,Показатели!$E:$W,17,FALSE)=0,"",VLOOKUP($B490,Показатели!$E:$W,17,FALSE)),"")</f>
        <v>-13739032314.529367</v>
      </c>
      <c r="U490">
        <f>IFERROR(IF(VLOOKUP($B490,Показатели!$E:$W,18,FALSE)=0,"",VLOOKUP($B490,Показатели!$E:$W,18,FALSE)),"")</f>
        <v>223820785884.14874</v>
      </c>
      <c r="V490">
        <f>IFERROR(IF(VLOOKUP($B490,Показатели!$E:$W,19,FALSE)=0,"",VLOOKUP($B490,Показатели!$E:$W,19,FALSE)),"")</f>
        <v>317562796928.82953</v>
      </c>
    </row>
    <row r="491" spans="1:22" x14ac:dyDescent="0.2">
      <c r="A491" s="7" t="s">
        <v>2242</v>
      </c>
      <c r="B491" t="str">
        <f t="shared" si="7"/>
        <v>TRMK IV кв. 2016</v>
      </c>
      <c r="C491">
        <v>2016</v>
      </c>
      <c r="D491">
        <f>SUMIFS(Дивиденды!$C:$C,Дивиденды!$A:$A,A491,Дивиденды!$I:$I,C491)</f>
        <v>3.9</v>
      </c>
      <c r="E491">
        <f>IFERROR(IF(VLOOKUP($B491,Показатели!$E:$W,2,FALSE)=0,"",VLOOKUP($B491,Показатели!$E:$W,2,FALSE)),"")</f>
        <v>18548110801.932964</v>
      </c>
      <c r="F491">
        <f>IFERROR(IF(VLOOKUP($B491,Показатели!$E:$W,3,FALSE)=0,"",VLOOKUP($B491,Показатели!$E:$W,3,FALSE)),"")</f>
        <v>126285777273.83606</v>
      </c>
      <c r="G491">
        <f>IFERROR(IF(VLOOKUP($B491,Показатели!$E:$W,4,FALSE)=0,"",VLOOKUP($B491,Показатели!$E:$W,4,FALSE)),"")</f>
        <v>154059899019.71582</v>
      </c>
      <c r="H491" t="str">
        <f>IFERROR(IF(VLOOKUP($B491,Показатели!$E:$W,5,FALSE)=0,"",VLOOKUP($B491,Показатели!$E:$W,5,FALSE)),"")</f>
        <v/>
      </c>
      <c r="I491">
        <f>IFERROR(IF(VLOOKUP($B491,Показатели!$E:$W,6,FALSE)=0,"",VLOOKUP($B491,Показатели!$E:$W,6,FALSE)),"")</f>
        <v>317562796928.82953</v>
      </c>
      <c r="J491">
        <f>IFERROR(IF(VLOOKUP($B491,Показатели!$E:$W,7,FALSE)=0,"",VLOOKUP($B491,Показатели!$E:$W,7,FALSE)),"")</f>
        <v>70452418595.408447</v>
      </c>
      <c r="K491">
        <f>IFERROR(IF(VLOOKUP($B491,Показатели!$E:$W,8,FALSE)=0,"",VLOOKUP($B491,Показатели!$E:$W,8,FALSE)),"")</f>
        <v>186845396257.32324</v>
      </c>
      <c r="L491">
        <f>IFERROR(IF(VLOOKUP($B491,Показатели!$E:$W,9,FALSE)=0,"",VLOOKUP($B491,Показатели!$E:$W,9,FALSE)),"")</f>
        <v>82997084482.576523</v>
      </c>
      <c r="M491">
        <f>IFERROR(IF(VLOOKUP($B491,Показатели!$E:$W,10,FALSE)=0,"",VLOOKUP($B491,Показатели!$E:$W,10,FALSE)),"")</f>
        <v>60264982076.097824</v>
      </c>
      <c r="N491">
        <f>IFERROR(IF(VLOOKUP($B491,Показатели!$E:$W,11,FALSE)=0,"",VLOOKUP($B491,Показатели!$E:$W,11,FALSE)),"")</f>
        <v>223820785884.14874</v>
      </c>
      <c r="O491">
        <f>IFERROR(IF(VLOOKUP($B491,Показатели!$E:$W,12,FALSE)=0,"",VLOOKUP($B491,Показатели!$E:$W,12,FALSE)),"")</f>
        <v>17874750805.573391</v>
      </c>
      <c r="P491">
        <f>IFERROR(IF(VLOOKUP($B491,Показатели!$E:$W,13,FALSE)=0,"",VLOOKUP($B491,Показатели!$E:$W,13,FALSE)),"")</f>
        <v>11342783336.406374</v>
      </c>
      <c r="Q491">
        <f>IFERROR(IF(VLOOKUP($B491,Показатели!$E:$W,14,FALSE)=0,"",VLOOKUP($B491,Показатели!$E:$W,14,FALSE)),"")</f>
        <v>11105477916.458502</v>
      </c>
      <c r="R491" t="str">
        <f>IFERROR(IF(VLOOKUP($B491,Показатели!$E:$W,15,FALSE)=0,"",VLOOKUP($B491,Показатели!$E:$W,15,FALSE)),"")</f>
        <v/>
      </c>
      <c r="S491">
        <f>IFERROR(IF(VLOOKUP($B491,Показатели!$E:$W,16,FALSE)=0,"",VLOOKUP($B491,Показатели!$E:$W,16,FALSE)),"")</f>
        <v>35538816776.595718</v>
      </c>
      <c r="T491">
        <f>IFERROR(IF(VLOOKUP($B491,Показатели!$E:$W,17,FALSE)=0,"",VLOOKUP($B491,Показатели!$E:$W,17,FALSE)),"")</f>
        <v>11734514973.404245</v>
      </c>
      <c r="U491">
        <f>IFERROR(IF(VLOOKUP($B491,Показатели!$E:$W,18,FALSE)=0,"",VLOOKUP($B491,Показатели!$E:$W,18,FALSE)),"")</f>
        <v>252758610990.23376</v>
      </c>
      <c r="V491">
        <f>IFERROR(IF(VLOOKUP($B491,Показатели!$E:$W,19,FALSE)=0,"",VLOOKUP($B491,Показатели!$E:$W,19,FALSE)),"")</f>
        <v>270213867114.03119</v>
      </c>
    </row>
    <row r="492" spans="1:22" x14ac:dyDescent="0.2">
      <c r="A492" s="7" t="s">
        <v>2242</v>
      </c>
      <c r="B492" t="str">
        <f t="shared" si="7"/>
        <v>TRMK IV кв. 2015</v>
      </c>
      <c r="C492">
        <v>2015</v>
      </c>
      <c r="D492">
        <f>SUMIFS(Дивиденды!$C:$C,Дивиденды!$A:$A,A492,Дивиденды!$I:$I,C492)</f>
        <v>2.42</v>
      </c>
      <c r="E492">
        <f>IFERROR(IF(VLOOKUP($B492,Показатели!$E:$W,2,FALSE)=0,"",VLOOKUP($B492,Показатели!$E:$W,2,FALSE)),"")</f>
        <v>18693856985.376625</v>
      </c>
      <c r="F492">
        <f>IFERROR(IF(VLOOKUP($B492,Показатели!$E:$W,3,FALSE)=0,"",VLOOKUP($B492,Показатели!$E:$W,3,FALSE)),"")</f>
        <v>105022842533.39221</v>
      </c>
      <c r="G492">
        <f>IFERROR(IF(VLOOKUP($B492,Показатели!$E:$W,4,FALSE)=0,"",VLOOKUP($B492,Показатели!$E:$W,4,FALSE)),"")</f>
        <v>129944800171.91689</v>
      </c>
      <c r="H492" t="str">
        <f>IFERROR(IF(VLOOKUP($B492,Показатели!$E:$W,5,FALSE)=0,"",VLOOKUP($B492,Показатели!$E:$W,5,FALSE)),"")</f>
        <v/>
      </c>
      <c r="I492">
        <f>IFERROR(IF(VLOOKUP($B492,Показатели!$E:$W,6,FALSE)=0,"",VLOOKUP($B492,Показатели!$E:$W,6,FALSE)),"")</f>
        <v>270213867114.03119</v>
      </c>
      <c r="J492">
        <f>IFERROR(IF(VLOOKUP($B492,Показатели!$E:$W,7,FALSE)=0,"",VLOOKUP($B492,Показатели!$E:$W,7,FALSE)),"")</f>
        <v>81003651094.987015</v>
      </c>
      <c r="K492">
        <f>IFERROR(IF(VLOOKUP($B492,Показатели!$E:$W,8,FALSE)=0,"",VLOOKUP($B492,Показатели!$E:$W,8,FALSE)),"")</f>
        <v>145438274721.41299</v>
      </c>
      <c r="L492">
        <f>IFERROR(IF(VLOOKUP($B492,Показатели!$E:$W,9,FALSE)=0,"",VLOOKUP($B492,Показатели!$E:$W,9,FALSE)),"")</f>
        <v>67588272185.470131</v>
      </c>
      <c r="M492">
        <f>IFERROR(IF(VLOOKUP($B492,Показатели!$E:$W,10,FALSE)=0,"",VLOOKUP($B492,Показатели!$E:$W,10,FALSE)),"")</f>
        <v>43771941297.631172</v>
      </c>
      <c r="N492">
        <f>IFERROR(IF(VLOOKUP($B492,Показатели!$E:$W,11,FALSE)=0,"",VLOOKUP($B492,Показатели!$E:$W,11,FALSE)),"")</f>
        <v>252758610990.23376</v>
      </c>
      <c r="O492">
        <f>IFERROR(IF(VLOOKUP($B492,Показатели!$E:$W,12,FALSE)=0,"",VLOOKUP($B492,Показатели!$E:$W,12,FALSE)),"")</f>
        <v>19650829582.612988</v>
      </c>
      <c r="P492">
        <f>IFERROR(IF(VLOOKUP($B492,Показатели!$E:$W,13,FALSE)=0,"",VLOOKUP($B492,Показатели!$E:$W,13,FALSE)),"")</f>
        <v>-27131741135.906494</v>
      </c>
      <c r="Q492">
        <f>IFERROR(IF(VLOOKUP($B492,Показатели!$E:$W,14,FALSE)=0,"",VLOOKUP($B492,Показатели!$E:$W,14,FALSE)),"")</f>
        <v>-22540612425.522079</v>
      </c>
      <c r="R492" t="str">
        <f>IFERROR(IF(VLOOKUP($B492,Показатели!$E:$W,15,FALSE)=0,"",VLOOKUP($B492,Показатели!$E:$W,15,FALSE)),"")</f>
        <v/>
      </c>
      <c r="S492">
        <f>IFERROR(IF(VLOOKUP($B492,Показатели!$E:$W,16,FALSE)=0,"",VLOOKUP($B492,Показатели!$E:$W,16,FALSE)),"")</f>
        <v>38955105724.675323</v>
      </c>
      <c r="T492" t="str">
        <f>IFERROR(IF(VLOOKUP($B492,Показатели!$E:$W,17,FALSE)=0,"",VLOOKUP($B492,Показатели!$E:$W,17,FALSE)),"")</f>
        <v/>
      </c>
      <c r="U492">
        <f>IFERROR(IF(VLOOKUP($B492,Показатели!$E:$W,18,FALSE)=0,"",VLOOKUP($B492,Показатели!$E:$W,18,FALSE)),"")</f>
        <v>232915838061.19159</v>
      </c>
      <c r="V492">
        <f>IFERROR(IF(VLOOKUP($B492,Показатели!$E:$W,19,FALSE)=0,"",VLOOKUP($B492,Показатели!$E:$W,19,FALSE)),"")</f>
        <v>218978825995.91327</v>
      </c>
    </row>
    <row r="493" spans="1:22" x14ac:dyDescent="0.2">
      <c r="A493" s="7" t="s">
        <v>2242</v>
      </c>
      <c r="B493" t="str">
        <f t="shared" si="7"/>
        <v>TRMK IV кв. 2014</v>
      </c>
      <c r="C493">
        <v>2014</v>
      </c>
      <c r="D493">
        <f>SUMIFS(Дивиденды!$C:$C,Дивиденды!$A:$A,A493,Дивиденды!$I:$I,C493)</f>
        <v>0.39</v>
      </c>
      <c r="E493">
        <f>IFERROR(IF(VLOOKUP($B493,Показатели!$E:$W,2,FALSE)=0,"",VLOOKUP($B493,Показатели!$E:$W,2,FALSE)),"")</f>
        <v>9802709096.403801</v>
      </c>
      <c r="F493">
        <f>IFERROR(IF(VLOOKUP($B493,Показатели!$E:$W,3,FALSE)=0,"",VLOOKUP($B493,Показатели!$E:$W,3,FALSE)),"")</f>
        <v>83020299903.466522</v>
      </c>
      <c r="G493">
        <f>IFERROR(IF(VLOOKUP($B493,Показатели!$E:$W,4,FALSE)=0,"",VLOOKUP($B493,Показатели!$E:$W,4,FALSE)),"")</f>
        <v>101174138198.64256</v>
      </c>
      <c r="H493" t="str">
        <f>IFERROR(IF(VLOOKUP($B493,Показатели!$E:$W,5,FALSE)=0,"",VLOOKUP($B493,Показатели!$E:$W,5,FALSE)),"")</f>
        <v/>
      </c>
      <c r="I493">
        <f>IFERROR(IF(VLOOKUP($B493,Показатели!$E:$W,6,FALSE)=0,"",VLOOKUP($B493,Показатели!$E:$W,6,FALSE)),"")</f>
        <v>218978825995.91327</v>
      </c>
      <c r="J493">
        <f>IFERROR(IF(VLOOKUP($B493,Показатели!$E:$W,7,FALSE)=0,"",VLOOKUP($B493,Показатели!$E:$W,7,FALSE)),"")</f>
        <v>63703034797.76387</v>
      </c>
      <c r="K493">
        <f>IFERROR(IF(VLOOKUP($B493,Показатели!$E:$W,8,FALSE)=0,"",VLOOKUP($B493,Показатели!$E:$W,8,FALSE)),"")</f>
        <v>106015334878.78059</v>
      </c>
      <c r="L493">
        <f>IFERROR(IF(VLOOKUP($B493,Показатели!$E:$W,9,FALSE)=0,"",VLOOKUP($B493,Показатели!$E:$W,9,FALSE)),"")</f>
        <v>57966485930.507599</v>
      </c>
      <c r="M493">
        <f>IFERROR(IF(VLOOKUP($B493,Показатели!$E:$W,10,FALSE)=0,"",VLOOKUP($B493,Показатели!$E:$W,10,FALSE)),"")</f>
        <v>49260456319.368813</v>
      </c>
      <c r="N493">
        <f>IFERROR(IF(VLOOKUP($B493,Показатели!$E:$W,11,FALSE)=0,"",VLOOKUP($B493,Показатели!$E:$W,11,FALSE)),"")</f>
        <v>232915838061.19159</v>
      </c>
      <c r="O493" t="str">
        <f>IFERROR(IF(VLOOKUP($B493,Показатели!$E:$W,12,FALSE)=0,"",VLOOKUP($B493,Показатели!$E:$W,12,FALSE)),"")</f>
        <v/>
      </c>
      <c r="P493">
        <f>IFERROR(IF(VLOOKUP($B493,Показатели!$E:$W,13,FALSE)=0,"",VLOOKUP($B493,Показатели!$E:$W,13,FALSE)),"")</f>
        <v>-7805522142.8011398</v>
      </c>
      <c r="Q493">
        <f>IFERROR(IF(VLOOKUP($B493,Показатели!$E:$W,14,FALSE)=0,"",VLOOKUP($B493,Показатели!$E:$W,14,FALSE)),"")</f>
        <v>-8397643014.2855501</v>
      </c>
      <c r="R493" t="str">
        <f>IFERROR(IF(VLOOKUP($B493,Показатели!$E:$W,15,FALSE)=0,"",VLOOKUP($B493,Показатели!$E:$W,15,FALSE)),"")</f>
        <v/>
      </c>
      <c r="S493">
        <f>IFERROR(IF(VLOOKUP($B493,Показатели!$E:$W,16,FALSE)=0,"",VLOOKUP($B493,Показатели!$E:$W,16,FALSE)),"")</f>
        <v>31164256393.916344</v>
      </c>
      <c r="T493" t="str">
        <f>IFERROR(IF(VLOOKUP($B493,Показатели!$E:$W,17,FALSE)=0,"",VLOOKUP($B493,Показатели!$E:$W,17,FALSE)),"")</f>
        <v/>
      </c>
      <c r="U493">
        <f>IFERROR(IF(VLOOKUP($B493,Показатели!$E:$W,18,FALSE)=0,"",VLOOKUP($B493,Показатели!$E:$W,18,FALSE)),"")</f>
        <v>204843000000</v>
      </c>
      <c r="V493">
        <f>IFERROR(IF(VLOOKUP($B493,Показатели!$E:$W,19,FALSE)=0,"",VLOOKUP($B493,Показатели!$E:$W,19,FALSE)),"")</f>
        <v>242805000000</v>
      </c>
    </row>
    <row r="494" spans="1:22" x14ac:dyDescent="0.2">
      <c r="A494" s="7" t="s">
        <v>2242</v>
      </c>
      <c r="B494" t="str">
        <f t="shared" si="7"/>
        <v>TRMK IV кв. 2013</v>
      </c>
      <c r="C494">
        <v>2013</v>
      </c>
      <c r="D494">
        <f>SUMIFS(Дивиденды!$C:$C,Дивиденды!$A:$A,A494,Дивиденды!$I:$I,C494)</f>
        <v>1.82</v>
      </c>
      <c r="E494">
        <f>IFERROR(IF(VLOOKUP($B494,Показатели!$E:$W,2,FALSE)=0,"",VLOOKUP($B494,Показатели!$E:$W,2,FALSE)),"")</f>
        <v>3054000000</v>
      </c>
      <c r="F494">
        <f>IFERROR(IF(VLOOKUP($B494,Показатели!$E:$W,3,FALSE)=0,"",VLOOKUP($B494,Показатели!$E:$W,3,FALSE)),"")</f>
        <v>83825000000</v>
      </c>
      <c r="G494">
        <f>IFERROR(IF(VLOOKUP($B494,Показатели!$E:$W,4,FALSE)=0,"",VLOOKUP($B494,Показатели!$E:$W,4,FALSE)),"")</f>
        <v>125855000000</v>
      </c>
      <c r="H494" t="str">
        <f>IFERROR(IF(VLOOKUP($B494,Показатели!$E:$W,5,FALSE)=0,"",VLOOKUP($B494,Показатели!$E:$W,5,FALSE)),"")</f>
        <v/>
      </c>
      <c r="I494">
        <f>IFERROR(IF(VLOOKUP($B494,Показатели!$E:$W,6,FALSE)=0,"",VLOOKUP($B494,Показатели!$E:$W,6,FALSE)),"")</f>
        <v>242805000000</v>
      </c>
      <c r="J494">
        <f>IFERROR(IF(VLOOKUP($B494,Показатели!$E:$W,7,FALSE)=0,"",VLOOKUP($B494,Показатели!$E:$W,7,FALSE)),"")</f>
        <v>51404000000</v>
      </c>
      <c r="K494">
        <f>IFERROR(IF(VLOOKUP($B494,Показатели!$E:$W,8,FALSE)=0,"",VLOOKUP($B494,Показатели!$E:$W,8,FALSE)),"")</f>
        <v>121701000000</v>
      </c>
      <c r="L494" t="str">
        <f>IFERROR(IF(VLOOKUP($B494,Показатели!$E:$W,9,FALSE)=0,"",VLOOKUP($B494,Показатели!$E:$W,9,FALSE)),"")</f>
        <v/>
      </c>
      <c r="M494">
        <f>IFERROR(IF(VLOOKUP($B494,Показатели!$E:$W,10,FALSE)=0,"",VLOOKUP($B494,Показатели!$E:$W,10,FALSE)),"")</f>
        <v>69700000000</v>
      </c>
      <c r="N494">
        <f>IFERROR(IF(VLOOKUP($B494,Показатели!$E:$W,11,FALSE)=0,"",VLOOKUP($B494,Показатели!$E:$W,11,FALSE)),"")</f>
        <v>204843000000</v>
      </c>
      <c r="O494" t="str">
        <f>IFERROR(IF(VLOOKUP($B494,Показатели!$E:$W,12,FALSE)=0,"",VLOOKUP($B494,Показатели!$E:$W,12,FALSE)),"")</f>
        <v/>
      </c>
      <c r="P494">
        <f>IFERROR(IF(VLOOKUP($B494,Показатели!$E:$W,13,FALSE)=0,"",VLOOKUP($B494,Показатели!$E:$W,13,FALSE)),"")</f>
        <v>9930000000</v>
      </c>
      <c r="Q494">
        <f>IFERROR(IF(VLOOKUP($B494,Показатели!$E:$W,14,FALSE)=0,"",VLOOKUP($B494,Показатели!$E:$W,14,FALSE)),"")</f>
        <v>6814000000</v>
      </c>
      <c r="R494" t="str">
        <f>IFERROR(IF(VLOOKUP($B494,Показатели!$E:$W,15,FALSE)=0,"",VLOOKUP($B494,Показатели!$E:$W,15,FALSE)),"")</f>
        <v/>
      </c>
      <c r="S494" t="str">
        <f>IFERROR(IF(VLOOKUP($B494,Показатели!$E:$W,16,FALSE)=0,"",VLOOKUP($B494,Показатели!$E:$W,16,FALSE)),"")</f>
        <v/>
      </c>
      <c r="T494" t="str">
        <f>IFERROR(IF(VLOOKUP($B494,Показатели!$E:$W,17,FALSE)=0,"",VLOOKUP($B494,Показатели!$E:$W,17,FALSE)),"")</f>
        <v/>
      </c>
      <c r="U494">
        <f>IFERROR(IF(VLOOKUP($B494,Показатели!$E:$W,18,FALSE)=0,"",VLOOKUP($B494,Показатели!$E:$W,18,FALSE)),"")</f>
        <v>207740975511.81598</v>
      </c>
      <c r="V494">
        <f>IFERROR(IF(VLOOKUP($B494,Показатели!$E:$W,19,FALSE)=0,"",VLOOKUP($B494,Показатели!$E:$W,19,FALSE)),"")</f>
        <v>2360857802658.9507</v>
      </c>
    </row>
    <row r="495" spans="1:22" x14ac:dyDescent="0.2">
      <c r="A495" s="7" t="s">
        <v>2242</v>
      </c>
      <c r="B495" t="str">
        <f t="shared" si="7"/>
        <v>TRMK IV кв. 2012</v>
      </c>
      <c r="C495">
        <v>2012</v>
      </c>
      <c r="D495">
        <f>SUMIFS(Дивиденды!$C:$C,Дивиденды!$A:$A,A495,Дивиденды!$I:$I,C495)</f>
        <v>2.34</v>
      </c>
      <c r="E495">
        <f>IFERROR(IF(VLOOKUP($B495,Показатели!$E:$W,2,FALSE)=0,"",VLOOKUP($B495,Показатели!$E:$W,2,FALSE)),"")</f>
        <v>6991060012.7494211</v>
      </c>
      <c r="F495">
        <f>IFERROR(IF(VLOOKUP($B495,Показатели!$E:$W,3,FALSE)=0,"",VLOOKUP($B495,Показатели!$E:$W,3,FALSE)),"")</f>
        <v>82939832904.864319</v>
      </c>
      <c r="G495">
        <f>IFERROR(IF(VLOOKUP($B495,Показатели!$E:$W,4,FALSE)=0,"",VLOOKUP($B495,Показатели!$E:$W,4,FALSE)),"")</f>
        <v>118222878220.76315</v>
      </c>
      <c r="H495" t="str">
        <f>IFERROR(IF(VLOOKUP($B495,Показатели!$E:$W,5,FALSE)=0,"",VLOOKUP($B495,Показатели!$E:$W,5,FALSE)),"")</f>
        <v/>
      </c>
      <c r="I495">
        <f>IFERROR(IF(VLOOKUP($B495,Показатели!$E:$W,6,FALSE)=0,"",VLOOKUP($B495,Показатели!$E:$W,6,FALSE)),"")</f>
        <v>2360857802658.9507</v>
      </c>
      <c r="J495">
        <f>IFERROR(IF(VLOOKUP($B495,Показатели!$E:$W,7,FALSE)=0,"",VLOOKUP($B495,Показатели!$E:$W,7,FALSE)),"")</f>
        <v>70675401175.094208</v>
      </c>
      <c r="K495">
        <f>IFERROR(IF(VLOOKUP($B495,Показатели!$E:$W,8,FALSE)=0,"",VLOOKUP($B495,Показатели!$E:$W,8,FALSE)),"")</f>
        <v>100740522151.00684</v>
      </c>
      <c r="L495" t="str">
        <f>IFERROR(IF(VLOOKUP($B495,Показатели!$E:$W,9,FALSE)=0,"",VLOOKUP($B495,Показатели!$E:$W,9,FALSE)),"")</f>
        <v/>
      </c>
      <c r="M495">
        <f>IFERROR(IF(VLOOKUP($B495,Показатели!$E:$W,10,FALSE)=0,"",VLOOKUP($B495,Показатели!$E:$W,10,FALSE)),"")</f>
        <v>64669813451.655136</v>
      </c>
      <c r="N495">
        <f>IFERROR(IF(VLOOKUP($B495,Показатели!$E:$W,11,FALSE)=0,"",VLOOKUP($B495,Показатели!$E:$W,11,FALSE)),"")</f>
        <v>207740975511.81598</v>
      </c>
      <c r="O495" t="str">
        <f>IFERROR(IF(VLOOKUP($B495,Показатели!$E:$W,12,FALSE)=0,"",VLOOKUP($B495,Показатели!$E:$W,12,FALSE)),"")</f>
        <v/>
      </c>
      <c r="P495">
        <f>IFERROR(IF(VLOOKUP($B495,Показатели!$E:$W,13,FALSE)=0,"",VLOOKUP($B495,Показатели!$E:$W,13,FALSE)),"")</f>
        <v>12571582241.880453</v>
      </c>
      <c r="Q495">
        <f>IFERROR(IF(VLOOKUP($B495,Показатели!$E:$W,14,FALSE)=0,"",VLOOKUP($B495,Показатели!$E:$W,14,FALSE)),"")</f>
        <v>8762207656.3080406</v>
      </c>
      <c r="R495" t="str">
        <f>IFERROR(IF(VLOOKUP($B495,Показатели!$E:$W,15,FALSE)=0,"",VLOOKUP($B495,Показатели!$E:$W,15,FALSE)),"")</f>
        <v/>
      </c>
      <c r="S495">
        <f>IFERROR(IF(VLOOKUP($B495,Показатели!$E:$W,16,FALSE)=0,"",VLOOKUP($B495,Показатели!$E:$W,16,FALSE)),"")</f>
        <v>32299727927.793087</v>
      </c>
      <c r="T495" t="str">
        <f>IFERROR(IF(VLOOKUP($B495,Показатели!$E:$W,17,FALSE)=0,"",VLOOKUP($B495,Показатели!$E:$W,17,FALSE)),"")</f>
        <v/>
      </c>
      <c r="U495" t="str">
        <f>IFERROR(IF(VLOOKUP($B495,Показатели!$E:$W,18,FALSE)=0,"",VLOOKUP($B495,Показатели!$E:$W,18,FALSE)),"")</f>
        <v/>
      </c>
      <c r="V495" t="str">
        <f>IFERROR(IF(VLOOKUP($B495,Показатели!$E:$W,19,FALSE)=0,"",VLOOKUP($B495,Показатели!$E:$W,19,FALSE)),"")</f>
        <v/>
      </c>
    </row>
    <row r="496" spans="1:22" x14ac:dyDescent="0.2">
      <c r="A496" s="7" t="s">
        <v>2242</v>
      </c>
      <c r="B496" t="str">
        <f t="shared" si="7"/>
        <v>TRMK IV кв. 2011</v>
      </c>
      <c r="C496">
        <v>2011</v>
      </c>
      <c r="D496">
        <f>SUMIFS(Дивиденды!$C:$C,Дивиденды!$A:$A,A496,Дивиденды!$I:$I,C496)</f>
        <v>3.6300000000000003</v>
      </c>
      <c r="E496" t="str">
        <f>IFERROR(IF(VLOOKUP($B496,Показатели!$E:$W,2,FALSE)=0,"",VLOOKUP($B496,Показатели!$E:$W,2,FALSE)),"")</f>
        <v/>
      </c>
      <c r="F496" t="str">
        <f>IFERROR(IF(VLOOKUP($B496,Показатели!$E:$W,3,FALSE)=0,"",VLOOKUP($B496,Показатели!$E:$W,3,FALSE)),"")</f>
        <v/>
      </c>
      <c r="G496" t="str">
        <f>IFERROR(IF(VLOOKUP($B496,Показатели!$E:$W,4,FALSE)=0,"",VLOOKUP($B496,Показатели!$E:$W,4,FALSE)),"")</f>
        <v/>
      </c>
      <c r="H496" t="str">
        <f>IFERROR(IF(VLOOKUP($B496,Показатели!$E:$W,5,FALSE)=0,"",VLOOKUP($B496,Показатели!$E:$W,5,FALSE)),"")</f>
        <v/>
      </c>
      <c r="I496" t="str">
        <f>IFERROR(IF(VLOOKUP($B496,Показатели!$E:$W,6,FALSE)=0,"",VLOOKUP($B496,Показатели!$E:$W,6,FALSE)),"")</f>
        <v/>
      </c>
      <c r="J496" t="str">
        <f>IFERROR(IF(VLOOKUP($B496,Показатели!$E:$W,7,FALSE)=0,"",VLOOKUP($B496,Показатели!$E:$W,7,FALSE)),"")</f>
        <v/>
      </c>
      <c r="K496" t="str">
        <f>IFERROR(IF(VLOOKUP($B496,Показатели!$E:$W,8,FALSE)=0,"",VLOOKUP($B496,Показатели!$E:$W,8,FALSE)),"")</f>
        <v/>
      </c>
      <c r="L496" t="str">
        <f>IFERROR(IF(VLOOKUP($B496,Показатели!$E:$W,9,FALSE)=0,"",VLOOKUP($B496,Показатели!$E:$W,9,FALSE)),"")</f>
        <v/>
      </c>
      <c r="M496" t="str">
        <f>IFERROR(IF(VLOOKUP($B496,Показатели!$E:$W,10,FALSE)=0,"",VLOOKUP($B496,Показатели!$E:$W,10,FALSE)),"")</f>
        <v/>
      </c>
      <c r="N496" t="str">
        <f>IFERROR(IF(VLOOKUP($B496,Показатели!$E:$W,11,FALSE)=0,"",VLOOKUP($B496,Показатели!$E:$W,11,FALSE)),"")</f>
        <v/>
      </c>
      <c r="O496" t="str">
        <f>IFERROR(IF(VLOOKUP($B496,Показатели!$E:$W,12,FALSE)=0,"",VLOOKUP($B496,Показатели!$E:$W,12,FALSE)),"")</f>
        <v/>
      </c>
      <c r="P496" t="str">
        <f>IFERROR(IF(VLOOKUP($B496,Показатели!$E:$W,13,FALSE)=0,"",VLOOKUP($B496,Показатели!$E:$W,13,FALSE)),"")</f>
        <v/>
      </c>
      <c r="Q496" t="str">
        <f>IFERROR(IF(VLOOKUP($B496,Показатели!$E:$W,14,FALSE)=0,"",VLOOKUP($B496,Показатели!$E:$W,14,FALSE)),"")</f>
        <v/>
      </c>
      <c r="R496" t="str">
        <f>IFERROR(IF(VLOOKUP($B496,Показатели!$E:$W,15,FALSE)=0,"",VLOOKUP($B496,Показатели!$E:$W,15,FALSE)),"")</f>
        <v/>
      </c>
      <c r="S496" t="str">
        <f>IFERROR(IF(VLOOKUP($B496,Показатели!$E:$W,16,FALSE)=0,"",VLOOKUP($B496,Показатели!$E:$W,16,FALSE)),"")</f>
        <v/>
      </c>
      <c r="T496" t="str">
        <f>IFERROR(IF(VLOOKUP($B496,Показатели!$E:$W,17,FALSE)=0,"",VLOOKUP($B496,Показатели!$E:$W,17,FALSE)),"")</f>
        <v/>
      </c>
      <c r="U496" t="str">
        <f>IFERROR(IF(VLOOKUP($B496,Показатели!$E:$W,18,FALSE)=0,"",VLOOKUP($B496,Показатели!$E:$W,18,FALSE)),"")</f>
        <v/>
      </c>
      <c r="V496" t="str">
        <f>IFERROR(IF(VLOOKUP($B496,Показатели!$E:$W,19,FALSE)=0,"",VLOOKUP($B496,Показатели!$E:$W,19,FALSE)),"")</f>
        <v/>
      </c>
    </row>
    <row r="497" spans="1:22" x14ac:dyDescent="0.2">
      <c r="A497" s="7" t="s">
        <v>2242</v>
      </c>
      <c r="B497" t="str">
        <f t="shared" si="7"/>
        <v>TRMK IV кв. 2010</v>
      </c>
      <c r="C497">
        <v>2010</v>
      </c>
      <c r="D497">
        <f>SUMIFS(Дивиденды!$C:$C,Дивиденды!$A:$A,A497,Дивиденды!$I:$I,C497)</f>
        <v>0.85</v>
      </c>
      <c r="E497" t="str">
        <f>IFERROR(IF(VLOOKUP($B497,Показатели!$E:$W,2,FALSE)=0,"",VLOOKUP($B497,Показатели!$E:$W,2,FALSE)),"")</f>
        <v/>
      </c>
      <c r="F497" t="str">
        <f>IFERROR(IF(VLOOKUP($B497,Показатели!$E:$W,3,FALSE)=0,"",VLOOKUP($B497,Показатели!$E:$W,3,FALSE)),"")</f>
        <v/>
      </c>
      <c r="G497" t="str">
        <f>IFERROR(IF(VLOOKUP($B497,Показатели!$E:$W,4,FALSE)=0,"",VLOOKUP($B497,Показатели!$E:$W,4,FALSE)),"")</f>
        <v/>
      </c>
      <c r="H497" t="str">
        <f>IFERROR(IF(VLOOKUP($B497,Показатели!$E:$W,5,FALSE)=0,"",VLOOKUP($B497,Показатели!$E:$W,5,FALSE)),"")</f>
        <v/>
      </c>
      <c r="I497" t="str">
        <f>IFERROR(IF(VLOOKUP($B497,Показатели!$E:$W,6,FALSE)=0,"",VLOOKUP($B497,Показатели!$E:$W,6,FALSE)),"")</f>
        <v/>
      </c>
      <c r="J497" t="str">
        <f>IFERROR(IF(VLOOKUP($B497,Показатели!$E:$W,7,FALSE)=0,"",VLOOKUP($B497,Показатели!$E:$W,7,FALSE)),"")</f>
        <v/>
      </c>
      <c r="K497" t="str">
        <f>IFERROR(IF(VLOOKUP($B497,Показатели!$E:$W,8,FALSE)=0,"",VLOOKUP($B497,Показатели!$E:$W,8,FALSE)),"")</f>
        <v/>
      </c>
      <c r="L497" t="str">
        <f>IFERROR(IF(VLOOKUP($B497,Показатели!$E:$W,9,FALSE)=0,"",VLOOKUP($B497,Показатели!$E:$W,9,FALSE)),"")</f>
        <v/>
      </c>
      <c r="M497" t="str">
        <f>IFERROR(IF(VLOOKUP($B497,Показатели!$E:$W,10,FALSE)=0,"",VLOOKUP($B497,Показатели!$E:$W,10,FALSE)),"")</f>
        <v/>
      </c>
      <c r="N497" t="str">
        <f>IFERROR(IF(VLOOKUP($B497,Показатели!$E:$W,11,FALSE)=0,"",VLOOKUP($B497,Показатели!$E:$W,11,FALSE)),"")</f>
        <v/>
      </c>
      <c r="O497" t="str">
        <f>IFERROR(IF(VLOOKUP($B497,Показатели!$E:$W,12,FALSE)=0,"",VLOOKUP($B497,Показатели!$E:$W,12,FALSE)),"")</f>
        <v/>
      </c>
      <c r="P497" t="str">
        <f>IFERROR(IF(VLOOKUP($B497,Показатели!$E:$W,13,FALSE)=0,"",VLOOKUP($B497,Показатели!$E:$W,13,FALSE)),"")</f>
        <v/>
      </c>
      <c r="Q497" t="str">
        <f>IFERROR(IF(VLOOKUP($B497,Показатели!$E:$W,14,FALSE)=0,"",VLOOKUP($B497,Показатели!$E:$W,14,FALSE)),"")</f>
        <v/>
      </c>
      <c r="R497" t="str">
        <f>IFERROR(IF(VLOOKUP($B497,Показатели!$E:$W,15,FALSE)=0,"",VLOOKUP($B497,Показатели!$E:$W,15,FALSE)),"")</f>
        <v/>
      </c>
      <c r="S497" t="str">
        <f>IFERROR(IF(VLOOKUP($B497,Показатели!$E:$W,16,FALSE)=0,"",VLOOKUP($B497,Показатели!$E:$W,16,FALSE)),"")</f>
        <v/>
      </c>
      <c r="T497" t="str">
        <f>IFERROR(IF(VLOOKUP($B497,Показатели!$E:$W,17,FALSE)=0,"",VLOOKUP($B497,Показатели!$E:$W,17,FALSE)),"")</f>
        <v/>
      </c>
      <c r="U497" t="str">
        <f>IFERROR(IF(VLOOKUP($B497,Показатели!$E:$W,18,FALSE)=0,"",VLOOKUP($B497,Показатели!$E:$W,18,FALSE)),"")</f>
        <v/>
      </c>
      <c r="V497" t="str">
        <f>IFERROR(IF(VLOOKUP($B497,Показатели!$E:$W,19,FALSE)=0,"",VLOOKUP($B497,Показатели!$E:$W,19,FALSE)),"")</f>
        <v/>
      </c>
    </row>
    <row r="498" spans="1:22" x14ac:dyDescent="0.2">
      <c r="A498" s="7" t="s">
        <v>2316</v>
      </c>
      <c r="B498" t="str">
        <f t="shared" si="7"/>
        <v>APTK IV кв. 2025</v>
      </c>
      <c r="C498">
        <v>2025</v>
      </c>
      <c r="D498">
        <f>SUMIFS(Дивиденды!$C:$C,Дивиденды!$A:$A,A498,Дивиденды!$I:$I,C498)</f>
        <v>0</v>
      </c>
      <c r="E498" t="str">
        <f>IFERROR(IF(VLOOKUP($B498,Показатели!$E:$W,2,FALSE)=0,"",VLOOKUP($B498,Показатели!$E:$W,2,FALSE)),"")</f>
        <v/>
      </c>
      <c r="F498" t="str">
        <f>IFERROR(IF(VLOOKUP($B498,Показатели!$E:$W,3,FALSE)=0,"",VLOOKUP($B498,Показатели!$E:$W,3,FALSE)),"")</f>
        <v/>
      </c>
      <c r="G498" t="str">
        <f>IFERROR(IF(VLOOKUP($B498,Показатели!$E:$W,4,FALSE)=0,"",VLOOKUP($B498,Показатели!$E:$W,4,FALSE)),"")</f>
        <v/>
      </c>
      <c r="H498" t="str">
        <f>IFERROR(IF(VLOOKUP($B498,Показатели!$E:$W,5,FALSE)=0,"",VLOOKUP($B498,Показатели!$E:$W,5,FALSE)),"")</f>
        <v/>
      </c>
      <c r="I498" t="str">
        <f>IFERROR(IF(VLOOKUP($B498,Показатели!$E:$W,6,FALSE)=0,"",VLOOKUP($B498,Показатели!$E:$W,6,FALSE)),"")</f>
        <v/>
      </c>
      <c r="J498" t="str">
        <f>IFERROR(IF(VLOOKUP($B498,Показатели!$E:$W,7,FALSE)=0,"",VLOOKUP($B498,Показатели!$E:$W,7,FALSE)),"")</f>
        <v/>
      </c>
      <c r="K498" t="str">
        <f>IFERROR(IF(VLOOKUP($B498,Показатели!$E:$W,8,FALSE)=0,"",VLOOKUP($B498,Показатели!$E:$W,8,FALSE)),"")</f>
        <v/>
      </c>
      <c r="L498" t="str">
        <f>IFERROR(IF(VLOOKUP($B498,Показатели!$E:$W,9,FALSE)=0,"",VLOOKUP($B498,Показатели!$E:$W,9,FALSE)),"")</f>
        <v/>
      </c>
      <c r="M498" t="str">
        <f>IFERROR(IF(VLOOKUP($B498,Показатели!$E:$W,10,FALSE)=0,"",VLOOKUP($B498,Показатели!$E:$W,10,FALSE)),"")</f>
        <v/>
      </c>
      <c r="N498" t="str">
        <f>IFERROR(IF(VLOOKUP($B498,Показатели!$E:$W,11,FALSE)=0,"",VLOOKUP($B498,Показатели!$E:$W,11,FALSE)),"")</f>
        <v/>
      </c>
      <c r="O498" t="str">
        <f>IFERROR(IF(VLOOKUP($B498,Показатели!$E:$W,12,FALSE)=0,"",VLOOKUP($B498,Показатели!$E:$W,12,FALSE)),"")</f>
        <v/>
      </c>
      <c r="P498" t="str">
        <f>IFERROR(IF(VLOOKUP($B498,Показатели!$E:$W,13,FALSE)=0,"",VLOOKUP($B498,Показатели!$E:$W,13,FALSE)),"")</f>
        <v/>
      </c>
      <c r="Q498" t="str">
        <f>IFERROR(IF(VLOOKUP($B498,Показатели!$E:$W,14,FALSE)=0,"",VLOOKUP($B498,Показатели!$E:$W,14,FALSE)),"")</f>
        <v/>
      </c>
      <c r="R498" t="str">
        <f>IFERROR(IF(VLOOKUP($B498,Показатели!$E:$W,15,FALSE)=0,"",VLOOKUP($B498,Показатели!$E:$W,15,FALSE)),"")</f>
        <v/>
      </c>
      <c r="S498" t="str">
        <f>IFERROR(IF(VLOOKUP($B498,Показатели!$E:$W,16,FALSE)=0,"",VLOOKUP($B498,Показатели!$E:$W,16,FALSE)),"")</f>
        <v/>
      </c>
      <c r="T498" t="str">
        <f>IFERROR(IF(VLOOKUP($B498,Показатели!$E:$W,17,FALSE)=0,"",VLOOKUP($B498,Показатели!$E:$W,17,FALSE)),"")</f>
        <v/>
      </c>
      <c r="U498" t="str">
        <f>IFERROR(IF(VLOOKUP($B498,Показатели!$E:$W,18,FALSE)=0,"",VLOOKUP($B498,Показатели!$E:$W,18,FALSE)),"")</f>
        <v/>
      </c>
      <c r="V498" t="str">
        <f>IFERROR(IF(VLOOKUP($B498,Показатели!$E:$W,19,FALSE)=0,"",VLOOKUP($B498,Показатели!$E:$W,19,FALSE)),"")</f>
        <v/>
      </c>
    </row>
    <row r="499" spans="1:22" x14ac:dyDescent="0.2">
      <c r="A499" s="7" t="s">
        <v>2316</v>
      </c>
      <c r="B499" t="str">
        <f t="shared" si="7"/>
        <v>APTK IV кв. 2024</v>
      </c>
      <c r="C499">
        <v>2024</v>
      </c>
      <c r="D499">
        <f>SUMIFS(Дивиденды!$C:$C,Дивиденды!$A:$A,A499,Дивиденды!$I:$I,C499)</f>
        <v>0</v>
      </c>
      <c r="E499">
        <f>IFERROR(IF(VLOOKUP($B499,Показатели!$E:$W,2,FALSE)=0,"",VLOOKUP($B499,Показатели!$E:$W,2,FALSE)),"")</f>
        <v>1955000000</v>
      </c>
      <c r="F499">
        <f>IFERROR(IF(VLOOKUP($B499,Показатели!$E:$W,3,FALSE)=0,"",VLOOKUP($B499,Показатели!$E:$W,3,FALSE)),"")</f>
        <v>21183000000</v>
      </c>
      <c r="G499">
        <f>IFERROR(IF(VLOOKUP($B499,Показатели!$E:$W,4,FALSE)=0,"",VLOOKUP($B499,Показатели!$E:$W,4,FALSE)),"")</f>
        <v>1559000000</v>
      </c>
      <c r="H499">
        <f>IFERROR(IF(VLOOKUP($B499,Показатели!$E:$W,5,FALSE)=0,"",VLOOKUP($B499,Показатели!$E:$W,5,FALSE)),"")</f>
        <v>19598000000</v>
      </c>
      <c r="I499">
        <f>IFERROR(IF(VLOOKUP($B499,Показатели!$E:$W,6,FALSE)=0,"",VLOOKUP($B499,Показатели!$E:$W,6,FALSE)),"")</f>
        <v>60786000000</v>
      </c>
      <c r="J499">
        <f>IFERROR(IF(VLOOKUP($B499,Показатели!$E:$W,7,FALSE)=0,"",VLOOKUP($B499,Показатели!$E:$W,7,FALSE)),"")</f>
        <v>38675000000</v>
      </c>
      <c r="K499">
        <f>IFERROR(IF(VLOOKUP($B499,Показатели!$E:$W,8,FALSE)=0,"",VLOOKUP($B499,Показатели!$E:$W,8,FALSE)),"")</f>
        <v>29675000000</v>
      </c>
      <c r="L499">
        <f>IFERROR(IF(VLOOKUP($B499,Показатели!$E:$W,9,FALSE)=0,"",VLOOKUP($B499,Показатели!$E:$W,9,FALSE)),"")</f>
        <v>-55508000000</v>
      </c>
      <c r="M499">
        <f>IFERROR(IF(VLOOKUP($B499,Показатели!$E:$W,10,FALSE)=0,"",VLOOKUP($B499,Показатели!$E:$W,10,FALSE)),"")</f>
        <v>-7564000000</v>
      </c>
      <c r="N499">
        <f>IFERROR(IF(VLOOKUP($B499,Показатели!$E:$W,11,FALSE)=0,"",VLOOKUP($B499,Показатели!$E:$W,11,FALSE)),"")</f>
        <v>87163000000</v>
      </c>
      <c r="O499" t="str">
        <f>IFERROR(IF(VLOOKUP($B499,Показатели!$E:$W,12,FALSE)=0,"",VLOOKUP($B499,Показатели!$E:$W,12,FALSE)),"")</f>
        <v/>
      </c>
      <c r="P499">
        <f>IFERROR(IF(VLOOKUP($B499,Показатели!$E:$W,13,FALSE)=0,"",VLOOKUP($B499,Показатели!$E:$W,13,FALSE)),"")</f>
        <v>209000000</v>
      </c>
      <c r="Q499">
        <f>IFERROR(IF(VLOOKUP($B499,Показатели!$E:$W,14,FALSE)=0,"",VLOOKUP($B499,Показатели!$E:$W,14,FALSE)),"")</f>
        <v>267000000</v>
      </c>
      <c r="R499">
        <f>IFERROR(IF(VLOOKUP($B499,Показатели!$E:$W,15,FALSE)=0,"",VLOOKUP($B499,Показатели!$E:$W,15,FALSE)),"")</f>
        <v>6598000000</v>
      </c>
      <c r="S499">
        <f>IFERROR(IF(VLOOKUP($B499,Показатели!$E:$W,16,FALSE)=0,"",VLOOKUP($B499,Показатели!$E:$W,16,FALSE)),"")</f>
        <v>13151000000</v>
      </c>
      <c r="T499">
        <f>IFERROR(IF(VLOOKUP($B499,Показатели!$E:$W,17,FALSE)=0,"",VLOOKUP($B499,Показатели!$E:$W,17,FALSE)),"")</f>
        <v>-1508000000</v>
      </c>
      <c r="U499">
        <f>IFERROR(IF(VLOOKUP($B499,Показатели!$E:$W,18,FALSE)=0,"",VLOOKUP($B499,Показатели!$E:$W,18,FALSE)),"")</f>
        <v>67358000000</v>
      </c>
      <c r="V499">
        <f>IFERROR(IF(VLOOKUP($B499,Показатели!$E:$W,19,FALSE)=0,"",VLOOKUP($B499,Показатели!$E:$W,19,FALSE)),"")</f>
        <v>53218000000</v>
      </c>
    </row>
    <row r="500" spans="1:22" x14ac:dyDescent="0.2">
      <c r="A500" s="7" t="s">
        <v>2316</v>
      </c>
      <c r="B500" t="str">
        <f t="shared" si="7"/>
        <v>APTK IV кв. 2023</v>
      </c>
      <c r="C500">
        <v>2023</v>
      </c>
      <c r="D500">
        <f>SUMIFS(Дивиденды!$C:$C,Дивиденды!$A:$A,A500,Дивиденды!$I:$I,C500)</f>
        <v>0</v>
      </c>
      <c r="E500">
        <f>IFERROR(IF(VLOOKUP($B500,Показатели!$E:$W,2,FALSE)=0,"",VLOOKUP($B500,Показатели!$E:$W,2,FALSE)),"")</f>
        <v>2086000000</v>
      </c>
      <c r="F500">
        <f>IFERROR(IF(VLOOKUP($B500,Показатели!$E:$W,3,FALSE)=0,"",VLOOKUP($B500,Показатели!$E:$W,3,FALSE)),"")</f>
        <v>18270000000</v>
      </c>
      <c r="G500">
        <f>IFERROR(IF(VLOOKUP($B500,Показатели!$E:$W,4,FALSE)=0,"",VLOOKUP($B500,Показатели!$E:$W,4,FALSE)),"")</f>
        <v>1804000000</v>
      </c>
      <c r="H500">
        <f>IFERROR(IF(VLOOKUP($B500,Показатели!$E:$W,5,FALSE)=0,"",VLOOKUP($B500,Показатели!$E:$W,5,FALSE)),"")</f>
        <v>17188000000</v>
      </c>
      <c r="I500">
        <f>IFERROR(IF(VLOOKUP($B500,Показатели!$E:$W,6,FALSE)=0,"",VLOOKUP($B500,Показатели!$E:$W,6,FALSE)),"")</f>
        <v>53218000000</v>
      </c>
      <c r="J500">
        <f>IFERROR(IF(VLOOKUP($B500,Показатели!$E:$W,7,FALSE)=0,"",VLOOKUP($B500,Показатели!$E:$W,7,FALSE)),"")</f>
        <v>31723000000</v>
      </c>
      <c r="K500">
        <f>IFERROR(IF(VLOOKUP($B500,Показатели!$E:$W,8,FALSE)=0,"",VLOOKUP($B500,Показатели!$E:$W,8,FALSE)),"")</f>
        <v>28326000000</v>
      </c>
      <c r="L500">
        <f>IFERROR(IF(VLOOKUP($B500,Показатели!$E:$W,9,FALSE)=0,"",VLOOKUP($B500,Показатели!$E:$W,9,FALSE)),"")</f>
        <v>-55775000000</v>
      </c>
      <c r="M500">
        <f>IFERROR(IF(VLOOKUP($B500,Показатели!$E:$W,10,FALSE)=0,"",VLOOKUP($B500,Показатели!$E:$W,10,FALSE)),"")</f>
        <v>-6831000000</v>
      </c>
      <c r="N500">
        <f>IFERROR(IF(VLOOKUP($B500,Показатели!$E:$W,11,FALSE)=0,"",VLOOKUP($B500,Показатели!$E:$W,11,FALSE)),"")</f>
        <v>67358000000</v>
      </c>
      <c r="O500" t="str">
        <f>IFERROR(IF(VLOOKUP($B500,Показатели!$E:$W,12,FALSE)=0,"",VLOOKUP($B500,Показатели!$E:$W,12,FALSE)),"")</f>
        <v/>
      </c>
      <c r="P500">
        <f>IFERROR(IF(VLOOKUP($B500,Показатели!$E:$W,13,FALSE)=0,"",VLOOKUP($B500,Показатели!$E:$W,13,FALSE)),"")</f>
        <v>162000000</v>
      </c>
      <c r="Q500">
        <f>IFERROR(IF(VLOOKUP($B500,Показатели!$E:$W,14,FALSE)=0,"",VLOOKUP($B500,Показатели!$E:$W,14,FALSE)),"")</f>
        <v>120000000</v>
      </c>
      <c r="R500">
        <f>IFERROR(IF(VLOOKUP($B500,Показатели!$E:$W,15,FALSE)=0,"",VLOOKUP($B500,Показатели!$E:$W,15,FALSE)),"")</f>
        <v>6033000000</v>
      </c>
      <c r="S500">
        <f>IFERROR(IF(VLOOKUP($B500,Показатели!$E:$W,16,FALSE)=0,"",VLOOKUP($B500,Показатели!$E:$W,16,FALSE)),"")</f>
        <v>10413000000</v>
      </c>
      <c r="T500">
        <f>IFERROR(IF(VLOOKUP($B500,Показатели!$E:$W,17,FALSE)=0,"",VLOOKUP($B500,Показатели!$E:$W,17,FALSE)),"")</f>
        <v>-1276000000</v>
      </c>
      <c r="U500">
        <f>IFERROR(IF(VLOOKUP($B500,Показатели!$E:$W,18,FALSE)=0,"",VLOOKUP($B500,Показатели!$E:$W,18,FALSE)),"")</f>
        <v>59048000000</v>
      </c>
      <c r="V500">
        <f>IFERROR(IF(VLOOKUP($B500,Показатели!$E:$W,19,FALSE)=0,"",VLOOKUP($B500,Показатели!$E:$W,19,FALSE)),"")</f>
        <v>43618000000</v>
      </c>
    </row>
    <row r="501" spans="1:22" x14ac:dyDescent="0.2">
      <c r="A501" s="7" t="s">
        <v>2316</v>
      </c>
      <c r="B501" t="str">
        <f t="shared" si="7"/>
        <v>APTK IV кв. 2022</v>
      </c>
      <c r="C501">
        <v>2022</v>
      </c>
      <c r="D501">
        <f>SUMIFS(Дивиденды!$C:$C,Дивиденды!$A:$A,A501,Дивиденды!$I:$I,C501)</f>
        <v>0</v>
      </c>
      <c r="E501">
        <f>IFERROR(IF(VLOOKUP($B501,Показатели!$E:$W,2,FALSE)=0,"",VLOOKUP($B501,Показатели!$E:$W,2,FALSE)),"")</f>
        <v>811000000</v>
      </c>
      <c r="F501">
        <f>IFERROR(IF(VLOOKUP($B501,Показатели!$E:$W,3,FALSE)=0,"",VLOOKUP($B501,Показатели!$E:$W,3,FALSE)),"")</f>
        <v>14797000000</v>
      </c>
      <c r="G501">
        <f>IFERROR(IF(VLOOKUP($B501,Показатели!$E:$W,4,FALSE)=0,"",VLOOKUP($B501,Показатели!$E:$W,4,FALSE)),"")</f>
        <v>2059000000</v>
      </c>
      <c r="H501">
        <f>IFERROR(IF(VLOOKUP($B501,Показатели!$E:$W,5,FALSE)=0,"",VLOOKUP($B501,Показатели!$E:$W,5,FALSE)),"")</f>
        <v>13497000000</v>
      </c>
      <c r="I501">
        <f>IFERROR(IF(VLOOKUP($B501,Показатели!$E:$W,6,FALSE)=0,"",VLOOKUP($B501,Показатели!$E:$W,6,FALSE)),"")</f>
        <v>43618000000</v>
      </c>
      <c r="J501">
        <f>IFERROR(IF(VLOOKUP($B501,Показатели!$E:$W,7,FALSE)=0,"",VLOOKUP($B501,Показатели!$E:$W,7,FALSE)),"")</f>
        <v>27534000000</v>
      </c>
      <c r="K501">
        <f>IFERROR(IF(VLOOKUP($B501,Показатели!$E:$W,8,FALSE)=0,"",VLOOKUP($B501,Показатели!$E:$W,8,FALSE)),"")</f>
        <v>22515000000</v>
      </c>
      <c r="L501">
        <f>IFERROR(IF(VLOOKUP($B501,Показатели!$E:$W,9,FALSE)=0,"",VLOOKUP($B501,Показатели!$E:$W,9,FALSE)),"")</f>
        <v>-55895000000</v>
      </c>
      <c r="M501">
        <f>IFERROR(IF(VLOOKUP($B501,Показатели!$E:$W,10,FALSE)=0,"",VLOOKUP($B501,Показатели!$E:$W,10,FALSE)),"")</f>
        <v>-6431000000</v>
      </c>
      <c r="N501">
        <f>IFERROR(IF(VLOOKUP($B501,Показатели!$E:$W,11,FALSE)=0,"",VLOOKUP($B501,Показатели!$E:$W,11,FALSE)),"")</f>
        <v>59048000000</v>
      </c>
      <c r="O501" t="str">
        <f>IFERROR(IF(VLOOKUP($B501,Показатели!$E:$W,12,FALSE)=0,"",VLOOKUP($B501,Показатели!$E:$W,12,FALSE)),"")</f>
        <v/>
      </c>
      <c r="P501">
        <f>IFERROR(IF(VLOOKUP($B501,Показатели!$E:$W,13,FALSE)=0,"",VLOOKUP($B501,Показатели!$E:$W,13,FALSE)),"")</f>
        <v>411000000</v>
      </c>
      <c r="Q501">
        <f>IFERROR(IF(VLOOKUP($B501,Показатели!$E:$W,14,FALSE)=0,"",VLOOKUP($B501,Показатели!$E:$W,14,FALSE)),"")</f>
        <v>223000000</v>
      </c>
      <c r="R501">
        <f>IFERROR(IF(VLOOKUP($B501,Показатели!$E:$W,15,FALSE)=0,"",VLOOKUP($B501,Показатели!$E:$W,15,FALSE)),"")</f>
        <v>5789000000</v>
      </c>
      <c r="S501">
        <f>IFERROR(IF(VLOOKUP($B501,Показатели!$E:$W,16,FALSE)=0,"",VLOOKUP($B501,Показатели!$E:$W,16,FALSE)),"")</f>
        <v>10192000000</v>
      </c>
      <c r="T501">
        <f>IFERROR(IF(VLOOKUP($B501,Показатели!$E:$W,17,FALSE)=0,"",VLOOKUP($B501,Показатели!$E:$W,17,FALSE)),"")</f>
        <v>-1035000000</v>
      </c>
      <c r="U501">
        <f>IFERROR(IF(VLOOKUP($B501,Показатели!$E:$W,18,FALSE)=0,"",VLOOKUP($B501,Показатели!$E:$W,18,FALSE)),"")</f>
        <v>44104000000</v>
      </c>
      <c r="V501">
        <f>IFERROR(IF(VLOOKUP($B501,Показатели!$E:$W,19,FALSE)=0,"",VLOOKUP($B501,Показатели!$E:$W,19,FALSE)),"")</f>
        <v>37831000000</v>
      </c>
    </row>
    <row r="502" spans="1:22" x14ac:dyDescent="0.2">
      <c r="A502" s="7" t="s">
        <v>2316</v>
      </c>
      <c r="B502" t="str">
        <f t="shared" si="7"/>
        <v>APTK IV кв. 2021</v>
      </c>
      <c r="C502">
        <v>2021</v>
      </c>
      <c r="D502">
        <f>SUMIFS(Дивиденды!$C:$C,Дивиденды!$A:$A,A502,Дивиденды!$I:$I,C502)</f>
        <v>0</v>
      </c>
      <c r="E502">
        <f>IFERROR(IF(VLOOKUP($B502,Показатели!$E:$W,2,FALSE)=0,"",VLOOKUP($B502,Показатели!$E:$W,2,FALSE)),"")</f>
        <v>1727000000</v>
      </c>
      <c r="F502">
        <f>IFERROR(IF(VLOOKUP($B502,Показатели!$E:$W,3,FALSE)=0,"",VLOOKUP($B502,Показатели!$E:$W,3,FALSE)),"")</f>
        <v>13500000000</v>
      </c>
      <c r="G502">
        <f>IFERROR(IF(VLOOKUP($B502,Показатели!$E:$W,4,FALSE)=0,"",VLOOKUP($B502,Показатели!$E:$W,4,FALSE)),"")</f>
        <v>2075000000</v>
      </c>
      <c r="H502">
        <f>IFERROR(IF(VLOOKUP($B502,Показатели!$E:$W,5,FALSE)=0,"",VLOOKUP($B502,Показатели!$E:$W,5,FALSE)),"")</f>
        <v>12860000000</v>
      </c>
      <c r="I502">
        <f>IFERROR(IF(VLOOKUP($B502,Показатели!$E:$W,6,FALSE)=0,"",VLOOKUP($B502,Показатели!$E:$W,6,FALSE)),"")</f>
        <v>37831000000</v>
      </c>
      <c r="J502">
        <f>IFERROR(IF(VLOOKUP($B502,Показатели!$E:$W,7,FALSE)=0,"",VLOOKUP($B502,Показатели!$E:$W,7,FALSE)),"")</f>
        <v>28894000000</v>
      </c>
      <c r="K502">
        <f>IFERROR(IF(VLOOKUP($B502,Показатели!$E:$W,8,FALSE)=0,"",VLOOKUP($B502,Показатели!$E:$W,8,FALSE)),"")</f>
        <v>15591000000</v>
      </c>
      <c r="L502">
        <f>IFERROR(IF(VLOOKUP($B502,Показатели!$E:$W,9,FALSE)=0,"",VLOOKUP($B502,Показатели!$E:$W,9,FALSE)),"")</f>
        <v>-56118000000</v>
      </c>
      <c r="M502">
        <f>IFERROR(IF(VLOOKUP($B502,Показатели!$E:$W,10,FALSE)=0,"",VLOOKUP($B502,Показатели!$E:$W,10,FALSE)),"")</f>
        <v>-6654000000</v>
      </c>
      <c r="N502">
        <f>IFERROR(IF(VLOOKUP($B502,Показатели!$E:$W,11,FALSE)=0,"",VLOOKUP($B502,Показатели!$E:$W,11,FALSE)),"")</f>
        <v>44104000000</v>
      </c>
      <c r="O502" t="str">
        <f>IFERROR(IF(VLOOKUP($B502,Показатели!$E:$W,12,FALSE)=0,"",VLOOKUP($B502,Показатели!$E:$W,12,FALSE)),"")</f>
        <v/>
      </c>
      <c r="P502">
        <f>IFERROR(IF(VLOOKUP($B502,Показатели!$E:$W,13,FALSE)=0,"",VLOOKUP($B502,Показатели!$E:$W,13,FALSE)),"")</f>
        <v>-1442000000</v>
      </c>
      <c r="Q502">
        <f>IFERROR(IF(VLOOKUP($B502,Показатели!$E:$W,14,FALSE)=0,"",VLOOKUP($B502,Показатели!$E:$W,14,FALSE)),"")</f>
        <v>-950000000</v>
      </c>
      <c r="R502">
        <f>IFERROR(IF(VLOOKUP($B502,Показатели!$E:$W,15,FALSE)=0,"",VLOOKUP($B502,Показатели!$E:$W,15,FALSE)),"")</f>
        <v>5807000000</v>
      </c>
      <c r="S502">
        <f>IFERROR(IF(VLOOKUP($B502,Показатели!$E:$W,16,FALSE)=0,"",VLOOKUP($B502,Показатели!$E:$W,16,FALSE)),"")</f>
        <v>6795000000</v>
      </c>
      <c r="T502">
        <f>IFERROR(IF(VLOOKUP($B502,Показатели!$E:$W,17,FALSE)=0,"",VLOOKUP($B502,Показатели!$E:$W,17,FALSE)),"")</f>
        <v>-981000000</v>
      </c>
      <c r="U502">
        <f>IFERROR(IF(VLOOKUP($B502,Показатели!$E:$W,18,FALSE)=0,"",VLOOKUP($B502,Показатели!$E:$W,18,FALSE)),"")</f>
        <v>39267000000</v>
      </c>
      <c r="V502">
        <f>IFERROR(IF(VLOOKUP($B502,Показатели!$E:$W,19,FALSE)=0,"",VLOOKUP($B502,Показатели!$E:$W,19,FALSE)),"")</f>
        <v>54428000000</v>
      </c>
    </row>
    <row r="503" spans="1:22" x14ac:dyDescent="0.2">
      <c r="A503" s="7" t="s">
        <v>2316</v>
      </c>
      <c r="B503" t="str">
        <f t="shared" si="7"/>
        <v>APTK IV кв. 2020</v>
      </c>
      <c r="C503">
        <v>2020</v>
      </c>
      <c r="D503">
        <f>SUMIFS(Дивиденды!$C:$C,Дивиденды!$A:$A,A503,Дивиденды!$I:$I,C503)</f>
        <v>0</v>
      </c>
      <c r="E503">
        <f>IFERROR(IF(VLOOKUP($B503,Показатели!$E:$W,2,FALSE)=0,"",VLOOKUP($B503,Показатели!$E:$W,2,FALSE)),"")</f>
        <v>1003000000</v>
      </c>
      <c r="F503">
        <f>IFERROR(IF(VLOOKUP($B503,Показатели!$E:$W,3,FALSE)=0,"",VLOOKUP($B503,Показатели!$E:$W,3,FALSE)),"")</f>
        <v>30336000000</v>
      </c>
      <c r="G503">
        <f>IFERROR(IF(VLOOKUP($B503,Показатели!$E:$W,4,FALSE)=0,"",VLOOKUP($B503,Показатели!$E:$W,4,FALSE)),"")</f>
        <v>2047000000</v>
      </c>
      <c r="H503">
        <f>IFERROR(IF(VLOOKUP($B503,Показатели!$E:$W,5,FALSE)=0,"",VLOOKUP($B503,Показатели!$E:$W,5,FALSE)),"")</f>
        <v>12497000000</v>
      </c>
      <c r="I503">
        <f>IFERROR(IF(VLOOKUP($B503,Показатели!$E:$W,6,FALSE)=0,"",VLOOKUP($B503,Показатели!$E:$W,6,FALSE)),"")</f>
        <v>54428000000</v>
      </c>
      <c r="J503">
        <f>IFERROR(IF(VLOOKUP($B503,Показатели!$E:$W,7,FALSE)=0,"",VLOOKUP($B503,Показатели!$E:$W,7,FALSE)),"")</f>
        <v>24573000000</v>
      </c>
      <c r="K503">
        <f>IFERROR(IF(VLOOKUP($B503,Показатели!$E:$W,8,FALSE)=0,"",VLOOKUP($B503,Показатели!$E:$W,8,FALSE)),"")</f>
        <v>35559000000</v>
      </c>
      <c r="L503">
        <f>IFERROR(IF(VLOOKUP($B503,Показатели!$E:$W,9,FALSE)=0,"",VLOOKUP($B503,Показатели!$E:$W,9,FALSE)),"")</f>
        <v>-55168000000</v>
      </c>
      <c r="M503">
        <f>IFERROR(IF(VLOOKUP($B503,Показатели!$E:$W,10,FALSE)=0,"",VLOOKUP($B503,Показатели!$E:$W,10,FALSE)),"")</f>
        <v>-5704000000</v>
      </c>
      <c r="N503">
        <f>IFERROR(IF(VLOOKUP($B503,Показатели!$E:$W,11,FALSE)=0,"",VLOOKUP($B503,Показатели!$E:$W,11,FALSE)),"")</f>
        <v>39267000000</v>
      </c>
      <c r="O503" t="str">
        <f>IFERROR(IF(VLOOKUP($B503,Показатели!$E:$W,12,FALSE)=0,"",VLOOKUP($B503,Показатели!$E:$W,12,FALSE)),"")</f>
        <v/>
      </c>
      <c r="P503">
        <f>IFERROR(IF(VLOOKUP($B503,Показатели!$E:$W,13,FALSE)=0,"",VLOOKUP($B503,Показатели!$E:$W,13,FALSE)),"")</f>
        <v>-643000000</v>
      </c>
      <c r="Q503">
        <f>IFERROR(IF(VLOOKUP($B503,Показатели!$E:$W,14,FALSE)=0,"",VLOOKUP($B503,Показатели!$E:$W,14,FALSE)),"")</f>
        <v>-992000000</v>
      </c>
      <c r="R503">
        <f>IFERROR(IF(VLOOKUP($B503,Показатели!$E:$W,15,FALSE)=0,"",VLOOKUP($B503,Показатели!$E:$W,15,FALSE)),"")</f>
        <v>5341000000</v>
      </c>
      <c r="S503" t="str">
        <f>IFERROR(IF(VLOOKUP($B503,Показатели!$E:$W,16,FALSE)=0,"",VLOOKUP($B503,Показатели!$E:$W,16,FALSE)),"")</f>
        <v/>
      </c>
      <c r="T503">
        <f>IFERROR(IF(VLOOKUP($B503,Показатели!$E:$W,17,FALSE)=0,"",VLOOKUP($B503,Показатели!$E:$W,17,FALSE)),"")</f>
        <v>-1922000000</v>
      </c>
      <c r="U503">
        <f>IFERROR(IF(VLOOKUP($B503,Показатели!$E:$W,18,FALSE)=0,"",VLOOKUP($B503,Показатели!$E:$W,18,FALSE)),"")</f>
        <v>46049000000</v>
      </c>
      <c r="V503">
        <f>IFERROR(IF(VLOOKUP($B503,Показатели!$E:$W,19,FALSE)=0,"",VLOOKUP($B503,Показатели!$E:$W,19,FALSE)),"")</f>
        <v>32620000000</v>
      </c>
    </row>
    <row r="504" spans="1:22" x14ac:dyDescent="0.2">
      <c r="A504" s="7" t="s">
        <v>2316</v>
      </c>
      <c r="B504" t="str">
        <f t="shared" si="7"/>
        <v>APTK IV кв. 2019</v>
      </c>
      <c r="C504">
        <v>2019</v>
      </c>
      <c r="D504">
        <f>SUMIFS(Дивиденды!$C:$C,Дивиденды!$A:$A,A504,Дивиденды!$I:$I,C504)</f>
        <v>0</v>
      </c>
      <c r="E504">
        <f>IFERROR(IF(VLOOKUP($B504,Показатели!$E:$W,2,FALSE)=0,"",VLOOKUP($B504,Показатели!$E:$W,2,FALSE)),"")</f>
        <v>847000000</v>
      </c>
      <c r="F504">
        <f>IFERROR(IF(VLOOKUP($B504,Показатели!$E:$W,3,FALSE)=0,"",VLOOKUP($B504,Показатели!$E:$W,3,FALSE)),"")</f>
        <v>14230000000</v>
      </c>
      <c r="G504">
        <f>IFERROR(IF(VLOOKUP($B504,Показатели!$E:$W,4,FALSE)=0,"",VLOOKUP($B504,Показатели!$E:$W,4,FALSE)),"")</f>
        <v>1604000000</v>
      </c>
      <c r="H504">
        <f>IFERROR(IF(VLOOKUP($B504,Показатели!$E:$W,5,FALSE)=0,"",VLOOKUP($B504,Показатели!$E:$W,5,FALSE)),"")</f>
        <v>9637000000</v>
      </c>
      <c r="I504">
        <f>IFERROR(IF(VLOOKUP($B504,Показатели!$E:$W,6,FALSE)=0,"",VLOOKUP($B504,Показатели!$E:$W,6,FALSE)),"")</f>
        <v>32620000000</v>
      </c>
      <c r="J504">
        <f>IFERROR(IF(VLOOKUP($B504,Показатели!$E:$W,7,FALSE)=0,"",VLOOKUP($B504,Показатели!$E:$W,7,FALSE)),"")</f>
        <v>26224000000</v>
      </c>
      <c r="K504">
        <f>IFERROR(IF(VLOOKUP($B504,Показатели!$E:$W,8,FALSE)=0,"",VLOOKUP($B504,Показатели!$E:$W,8,FALSE)),"")</f>
        <v>29952000000</v>
      </c>
      <c r="L504">
        <f>IFERROR(IF(VLOOKUP($B504,Показатели!$E:$W,9,FALSE)=0,"",VLOOKUP($B504,Показатели!$E:$W,9,FALSE)),"")</f>
        <v>-61519000000</v>
      </c>
      <c r="M504">
        <f>IFERROR(IF(VLOOKUP($B504,Показатели!$E:$W,10,FALSE)=0,"",VLOOKUP($B504,Показатели!$E:$W,10,FALSE)),"")</f>
        <v>-23556000000</v>
      </c>
      <c r="N504">
        <f>IFERROR(IF(VLOOKUP($B504,Показатели!$E:$W,11,FALSE)=0,"",VLOOKUP($B504,Показатели!$E:$W,11,FALSE)),"")</f>
        <v>46049000000</v>
      </c>
      <c r="O504" t="str">
        <f>IFERROR(IF(VLOOKUP($B504,Показатели!$E:$W,12,FALSE)=0,"",VLOOKUP($B504,Показатели!$E:$W,12,FALSE)),"")</f>
        <v/>
      </c>
      <c r="P504">
        <f>IFERROR(IF(VLOOKUP($B504,Показатели!$E:$W,13,FALSE)=0,"",VLOOKUP($B504,Показатели!$E:$W,13,FALSE)),"")</f>
        <v>-8745000000</v>
      </c>
      <c r="Q504">
        <f>IFERROR(IF(VLOOKUP($B504,Показатели!$E:$W,14,FALSE)=0,"",VLOOKUP($B504,Показатели!$E:$W,14,FALSE)),"")</f>
        <v>-8855000000</v>
      </c>
      <c r="R504">
        <f>IFERROR(IF(VLOOKUP($B504,Показатели!$E:$W,15,FALSE)=0,"",VLOOKUP($B504,Показатели!$E:$W,15,FALSE)),"")</f>
        <v>5151000000</v>
      </c>
      <c r="S504" t="str">
        <f>IFERROR(IF(VLOOKUP($B504,Показатели!$E:$W,16,FALSE)=0,"",VLOOKUP($B504,Показатели!$E:$W,16,FALSE)),"")</f>
        <v/>
      </c>
      <c r="T504">
        <f>IFERROR(IF(VLOOKUP($B504,Показатели!$E:$W,17,FALSE)=0,"",VLOOKUP($B504,Показатели!$E:$W,17,FALSE)),"")</f>
        <v>-2020000000</v>
      </c>
      <c r="U504">
        <f>IFERROR(IF(VLOOKUP($B504,Показатели!$E:$W,18,FALSE)=0,"",VLOOKUP($B504,Показатели!$E:$W,18,FALSE)),"")</f>
        <v>44664000000</v>
      </c>
      <c r="V504">
        <f>IFERROR(IF(VLOOKUP($B504,Показатели!$E:$W,19,FALSE)=0,"",VLOOKUP($B504,Показатели!$E:$W,19,FALSE)),"")</f>
        <v>32719000000</v>
      </c>
    </row>
    <row r="505" spans="1:22" x14ac:dyDescent="0.2">
      <c r="A505" s="7" t="s">
        <v>2316</v>
      </c>
      <c r="B505" t="str">
        <f t="shared" si="7"/>
        <v>APTK IV кв. 2018</v>
      </c>
      <c r="C505">
        <v>2018</v>
      </c>
      <c r="D505">
        <f>SUMIFS(Дивиденды!$C:$C,Дивиденды!$A:$A,A505,Дивиденды!$I:$I,C505)</f>
        <v>0</v>
      </c>
      <c r="E505">
        <f>IFERROR(IF(VLOOKUP($B505,Показатели!$E:$W,2,FALSE)=0,"",VLOOKUP($B505,Показатели!$E:$W,2,FALSE)),"")</f>
        <v>503000000</v>
      </c>
      <c r="F505">
        <f>IFERROR(IF(VLOOKUP($B505,Показатели!$E:$W,3,FALSE)=0,"",VLOOKUP($B505,Показатели!$E:$W,3,FALSE)),"")</f>
        <v>11053000000</v>
      </c>
      <c r="G505">
        <f>IFERROR(IF(VLOOKUP($B505,Показатели!$E:$W,4,FALSE)=0,"",VLOOKUP($B505,Показатели!$E:$W,4,FALSE)),"")</f>
        <v>1050000000</v>
      </c>
      <c r="H505">
        <f>IFERROR(IF(VLOOKUP($B505,Показатели!$E:$W,5,FALSE)=0,"",VLOOKUP($B505,Показатели!$E:$W,5,FALSE)),"")</f>
        <v>11342000000</v>
      </c>
      <c r="I505">
        <f>IFERROR(IF(VLOOKUP($B505,Показатели!$E:$W,6,FALSE)=0,"",VLOOKUP($B505,Показатели!$E:$W,6,FALSE)),"")</f>
        <v>32719000000</v>
      </c>
      <c r="J505">
        <f>IFERROR(IF(VLOOKUP($B505,Показатели!$E:$W,7,FALSE)=0,"",VLOOKUP($B505,Показатели!$E:$W,7,FALSE)),"")</f>
        <v>36794000000</v>
      </c>
      <c r="K505">
        <f>IFERROR(IF(VLOOKUP($B505,Показатели!$E:$W,8,FALSE)=0,"",VLOOKUP($B505,Показатели!$E:$W,8,FALSE)),"")</f>
        <v>32733000000</v>
      </c>
      <c r="L505">
        <f>IFERROR(IF(VLOOKUP($B505,Показатели!$E:$W,9,FALSE)=0,"",VLOOKUP($B505,Показатели!$E:$W,9,FALSE)),"")</f>
        <v>-52664000000</v>
      </c>
      <c r="M505">
        <f>IFERROR(IF(VLOOKUP($B505,Показатели!$E:$W,10,FALSE)=0,"",VLOOKUP($B505,Показатели!$E:$W,10,FALSE)),"")</f>
        <v>-36808000000</v>
      </c>
      <c r="N505">
        <f>IFERROR(IF(VLOOKUP($B505,Показатели!$E:$W,11,FALSE)=0,"",VLOOKUP($B505,Показатели!$E:$W,11,FALSE)),"")</f>
        <v>44664000000</v>
      </c>
      <c r="O505" t="str">
        <f>IFERROR(IF(VLOOKUP($B505,Показатели!$E:$W,12,FALSE)=0,"",VLOOKUP($B505,Показатели!$E:$W,12,FALSE)),"")</f>
        <v/>
      </c>
      <c r="P505">
        <f>IFERROR(IF(VLOOKUP($B505,Показатели!$E:$W,13,FALSE)=0,"",VLOOKUP($B505,Показатели!$E:$W,13,FALSE)),"")</f>
        <v>-22757000000</v>
      </c>
      <c r="Q505">
        <f>IFERROR(IF(VLOOKUP($B505,Показатели!$E:$W,14,FALSE)=0,"",VLOOKUP($B505,Показатели!$E:$W,14,FALSE)),"")</f>
        <v>-22977000000</v>
      </c>
      <c r="R505">
        <f>IFERROR(IF(VLOOKUP($B505,Показатели!$E:$W,15,FALSE)=0,"",VLOOKUP($B505,Показатели!$E:$W,15,FALSE)),"")</f>
        <v>10225000000</v>
      </c>
      <c r="S505" t="str">
        <f>IFERROR(IF(VLOOKUP($B505,Показатели!$E:$W,16,FALSE)=0,"",VLOOKUP($B505,Показатели!$E:$W,16,FALSE)),"")</f>
        <v/>
      </c>
      <c r="T505">
        <f>IFERROR(IF(VLOOKUP($B505,Показатели!$E:$W,17,FALSE)=0,"",VLOOKUP($B505,Показатели!$E:$W,17,FALSE)),"")</f>
        <v>-822000000</v>
      </c>
      <c r="U505">
        <f>IFERROR(IF(VLOOKUP($B505,Показатели!$E:$W,18,FALSE)=0,"",VLOOKUP($B505,Показатели!$E:$W,18,FALSE)),"")</f>
        <v>48253000000</v>
      </c>
      <c r="V505">
        <f>IFERROR(IF(VLOOKUP($B505,Показатели!$E:$W,19,FALSE)=0,"",VLOOKUP($B505,Показатели!$E:$W,19,FALSE)),"")</f>
        <v>39909000000</v>
      </c>
    </row>
    <row r="506" spans="1:22" x14ac:dyDescent="0.2">
      <c r="A506" s="7" t="s">
        <v>2316</v>
      </c>
      <c r="B506" t="str">
        <f t="shared" si="7"/>
        <v>APTK IV кв. 2017</v>
      </c>
      <c r="C506">
        <v>2017</v>
      </c>
      <c r="D506">
        <f>SUMIFS(Дивиденды!$C:$C,Дивиденды!$A:$A,A506,Дивиденды!$I:$I,C506)</f>
        <v>0</v>
      </c>
      <c r="E506">
        <f>IFERROR(IF(VLOOKUP($B506,Показатели!$E:$W,2,FALSE)=0,"",VLOOKUP($B506,Показатели!$E:$W,2,FALSE)),"")</f>
        <v>659000000</v>
      </c>
      <c r="F506">
        <f>IFERROR(IF(VLOOKUP($B506,Показатели!$E:$W,3,FALSE)=0,"",VLOOKUP($B506,Показатели!$E:$W,3,FALSE)),"")</f>
        <v>15753000000</v>
      </c>
      <c r="G506">
        <f>IFERROR(IF(VLOOKUP($B506,Показатели!$E:$W,4,FALSE)=0,"",VLOOKUP($B506,Показатели!$E:$W,4,FALSE)),"")</f>
        <v>781000000</v>
      </c>
      <c r="H506">
        <f>IFERROR(IF(VLOOKUP($B506,Показатели!$E:$W,5,FALSE)=0,"",VLOOKUP($B506,Показатели!$E:$W,5,FALSE)),"")</f>
        <v>22944000000</v>
      </c>
      <c r="I506">
        <f>IFERROR(IF(VLOOKUP($B506,Показатели!$E:$W,6,FALSE)=0,"",VLOOKUP($B506,Показатели!$E:$W,6,FALSE)),"")</f>
        <v>39909000000</v>
      </c>
      <c r="J506">
        <f>IFERROR(IF(VLOOKUP($B506,Показатели!$E:$W,7,FALSE)=0,"",VLOOKUP($B506,Показатели!$E:$W,7,FALSE)),"")</f>
        <v>25123000000</v>
      </c>
      <c r="K506">
        <f>IFERROR(IF(VLOOKUP($B506,Показатели!$E:$W,8,FALSE)=0,"",VLOOKUP($B506,Показатели!$E:$W,8,FALSE)),"")</f>
        <v>28604000000</v>
      </c>
      <c r="L506">
        <f>IFERROR(IF(VLOOKUP($B506,Показатели!$E:$W,9,FALSE)=0,"",VLOOKUP($B506,Показатели!$E:$W,9,FALSE)),"")</f>
        <v>-29687000000</v>
      </c>
      <c r="M506">
        <f>IFERROR(IF(VLOOKUP($B506,Показатели!$E:$W,10,FALSE)=0,"",VLOOKUP($B506,Показатели!$E:$W,10,FALSE)),"")</f>
        <v>-13818000000</v>
      </c>
      <c r="N506">
        <f>IFERROR(IF(VLOOKUP($B506,Показатели!$E:$W,11,FALSE)=0,"",VLOOKUP($B506,Показатели!$E:$W,11,FALSE)),"")</f>
        <v>48253000000</v>
      </c>
      <c r="O506" t="str">
        <f>IFERROR(IF(VLOOKUP($B506,Показатели!$E:$W,12,FALSE)=0,"",VLOOKUP($B506,Показатели!$E:$W,12,FALSE)),"")</f>
        <v/>
      </c>
      <c r="P506">
        <f>IFERROR(IF(VLOOKUP($B506,Показатели!$E:$W,13,FALSE)=0,"",VLOOKUP($B506,Показатели!$E:$W,13,FALSE)),"")</f>
        <v>-13140000000</v>
      </c>
      <c r="Q506">
        <f>IFERROR(IF(VLOOKUP($B506,Показатели!$E:$W,14,FALSE)=0,"",VLOOKUP($B506,Показатели!$E:$W,14,FALSE)),"")</f>
        <v>-13097000000</v>
      </c>
      <c r="R506">
        <f>IFERROR(IF(VLOOKUP($B506,Показатели!$E:$W,15,FALSE)=0,"",VLOOKUP($B506,Показатели!$E:$W,15,FALSE)),"")</f>
        <v>2901000000</v>
      </c>
      <c r="S506" t="str">
        <f>IFERROR(IF(VLOOKUP($B506,Показатели!$E:$W,16,FALSE)=0,"",VLOOKUP($B506,Показатели!$E:$W,16,FALSE)),"")</f>
        <v/>
      </c>
      <c r="T506">
        <f>IFERROR(IF(VLOOKUP($B506,Показатели!$E:$W,17,FALSE)=0,"",VLOOKUP($B506,Показатели!$E:$W,17,FALSE)),"")</f>
        <v>-365000000</v>
      </c>
      <c r="U506">
        <f>IFERROR(IF(VLOOKUP($B506,Показатели!$E:$W,18,FALSE)=0,"",VLOOKUP($B506,Показатели!$E:$W,18,FALSE)),"")</f>
        <v>45947000000</v>
      </c>
      <c r="V506">
        <f>IFERROR(IF(VLOOKUP($B506,Показатели!$E:$W,19,FALSE)=0,"",VLOOKUP($B506,Показатели!$E:$W,19,FALSE)),"")</f>
        <v>44763000000</v>
      </c>
    </row>
    <row r="507" spans="1:22" x14ac:dyDescent="0.2">
      <c r="A507" s="7" t="s">
        <v>2316</v>
      </c>
      <c r="B507" t="str">
        <f t="shared" si="7"/>
        <v>APTK IV кв. 2016</v>
      </c>
      <c r="C507">
        <v>2016</v>
      </c>
      <c r="D507">
        <f>SUMIFS(Дивиденды!$C:$C,Дивиденды!$A:$A,A507,Дивиденды!$I:$I,C507)</f>
        <v>0</v>
      </c>
      <c r="E507">
        <f>IFERROR(IF(VLOOKUP($B507,Показатели!$E:$W,2,FALSE)=0,"",VLOOKUP($B507,Показатели!$E:$W,2,FALSE)),"")</f>
        <v>585000000</v>
      </c>
      <c r="F507">
        <f>IFERROR(IF(VLOOKUP($B507,Показатели!$E:$W,3,FALSE)=0,"",VLOOKUP($B507,Показатели!$E:$W,3,FALSE)),"")</f>
        <v>13133000000</v>
      </c>
      <c r="G507">
        <f>IFERROR(IF(VLOOKUP($B507,Показатели!$E:$W,4,FALSE)=0,"",VLOOKUP($B507,Показатели!$E:$W,4,FALSE)),"")</f>
        <v>1026000000</v>
      </c>
      <c r="H507" t="str">
        <f>IFERROR(IF(VLOOKUP($B507,Показатели!$E:$W,5,FALSE)=0,"",VLOOKUP($B507,Показатели!$E:$W,5,FALSE)),"")</f>
        <v/>
      </c>
      <c r="I507">
        <f>IFERROR(IF(VLOOKUP($B507,Показатели!$E:$W,6,FALSE)=0,"",VLOOKUP($B507,Показатели!$E:$W,6,FALSE)),"")</f>
        <v>44763000000</v>
      </c>
      <c r="J507">
        <f>IFERROR(IF(VLOOKUP($B507,Показатели!$E:$W,7,FALSE)=0,"",VLOOKUP($B507,Показатели!$E:$W,7,FALSE)),"")</f>
        <v>27896000000</v>
      </c>
      <c r="K507">
        <f>IFERROR(IF(VLOOKUP($B507,Показатели!$E:$W,8,FALSE)=0,"",VLOOKUP($B507,Показатели!$E:$W,8,FALSE)),"")</f>
        <v>17398000000</v>
      </c>
      <c r="L507">
        <f>IFERROR(IF(VLOOKUP($B507,Показатели!$E:$W,9,FALSE)=0,"",VLOOKUP($B507,Показатели!$E:$W,9,FALSE)),"")</f>
        <v>-16590000000</v>
      </c>
      <c r="M507">
        <f>IFERROR(IF(VLOOKUP($B507,Показатели!$E:$W,10,FALSE)=0,"",VLOOKUP($B507,Показатели!$E:$W,10,FALSE)),"")</f>
        <v>-531000000</v>
      </c>
      <c r="N507">
        <f>IFERROR(IF(VLOOKUP($B507,Показатели!$E:$W,11,FALSE)=0,"",VLOOKUP($B507,Показатели!$E:$W,11,FALSE)),"")</f>
        <v>45947000000</v>
      </c>
      <c r="O507" t="str">
        <f>IFERROR(IF(VLOOKUP($B507,Показатели!$E:$W,12,FALSE)=0,"",VLOOKUP($B507,Показатели!$E:$W,12,FALSE)),"")</f>
        <v/>
      </c>
      <c r="P507">
        <f>IFERROR(IF(VLOOKUP($B507,Показатели!$E:$W,13,FALSE)=0,"",VLOOKUP($B507,Показатели!$E:$W,13,FALSE)),"")</f>
        <v>-9399000000</v>
      </c>
      <c r="Q507">
        <f>IFERROR(IF(VLOOKUP($B507,Показатели!$E:$W,14,FALSE)=0,"",VLOOKUP($B507,Показатели!$E:$W,14,FALSE)),"")</f>
        <v>-9345000000</v>
      </c>
      <c r="R507" t="str">
        <f>IFERROR(IF(VLOOKUP($B507,Показатели!$E:$W,15,FALSE)=0,"",VLOOKUP($B507,Показатели!$E:$W,15,FALSE)),"")</f>
        <v/>
      </c>
      <c r="S507">
        <f>IFERROR(IF(VLOOKUP($B507,Показатели!$E:$W,16,FALSE)=0,"",VLOOKUP($B507,Показатели!$E:$W,16,FALSE)),"")</f>
        <v>519000000</v>
      </c>
      <c r="T507" t="str">
        <f>IFERROR(IF(VLOOKUP($B507,Показатели!$E:$W,17,FALSE)=0,"",VLOOKUP($B507,Показатели!$E:$W,17,FALSE)),"")</f>
        <v/>
      </c>
      <c r="U507">
        <f>IFERROR(IF(VLOOKUP($B507,Показатели!$E:$W,18,FALSE)=0,"",VLOOKUP($B507,Показатели!$E:$W,18,FALSE)),"")</f>
        <v>31890000000</v>
      </c>
      <c r="V507">
        <f>IFERROR(IF(VLOOKUP($B507,Показатели!$E:$W,19,FALSE)=0,"",VLOOKUP($B507,Показатели!$E:$W,19,FALSE)),"")</f>
        <v>27314000000</v>
      </c>
    </row>
    <row r="508" spans="1:22" x14ac:dyDescent="0.2">
      <c r="A508" s="7" t="s">
        <v>2316</v>
      </c>
      <c r="B508" t="str">
        <f t="shared" si="7"/>
        <v>APTK IV кв. 2015</v>
      </c>
      <c r="C508">
        <v>2015</v>
      </c>
      <c r="D508">
        <f>SUMIFS(Дивиденды!$C:$C,Дивиденды!$A:$A,A508,Дивиденды!$I:$I,C508)</f>
        <v>0</v>
      </c>
      <c r="E508">
        <f>IFERROR(IF(VLOOKUP($B508,Показатели!$E:$W,2,FALSE)=0,"",VLOOKUP($B508,Показатели!$E:$W,2,FALSE)),"")</f>
        <v>284000000</v>
      </c>
      <c r="F508">
        <f>IFERROR(IF(VLOOKUP($B508,Показатели!$E:$W,3,FALSE)=0,"",VLOOKUP($B508,Показатели!$E:$W,3,FALSE)),"")</f>
        <v>9258000000</v>
      </c>
      <c r="G508">
        <f>IFERROR(IF(VLOOKUP($B508,Показатели!$E:$W,4,FALSE)=0,"",VLOOKUP($B508,Показатели!$E:$W,4,FALSE)),"")</f>
        <v>1004000000</v>
      </c>
      <c r="H508" t="str">
        <f>IFERROR(IF(VLOOKUP($B508,Показатели!$E:$W,5,FALSE)=0,"",VLOOKUP($B508,Показатели!$E:$W,5,FALSE)),"")</f>
        <v/>
      </c>
      <c r="I508">
        <f>IFERROR(IF(VLOOKUP($B508,Показатели!$E:$W,6,FALSE)=0,"",VLOOKUP($B508,Показатели!$E:$W,6,FALSE)),"")</f>
        <v>27314000000</v>
      </c>
      <c r="J508">
        <f>IFERROR(IF(VLOOKUP($B508,Показатели!$E:$W,7,FALSE)=0,"",VLOOKUP($B508,Показатели!$E:$W,7,FALSE)),"")</f>
        <v>13191000000</v>
      </c>
      <c r="K508">
        <f>IFERROR(IF(VLOOKUP($B508,Показатели!$E:$W,8,FALSE)=0,"",VLOOKUP($B508,Показатели!$E:$W,8,FALSE)),"")</f>
        <v>12735000000</v>
      </c>
      <c r="L508">
        <f>IFERROR(IF(VLOOKUP($B508,Показатели!$E:$W,9,FALSE)=0,"",VLOOKUP($B508,Показатели!$E:$W,9,FALSE)),"")</f>
        <v>-7245000000</v>
      </c>
      <c r="M508">
        <f>IFERROR(IF(VLOOKUP($B508,Показатели!$E:$W,10,FALSE)=0,"",VLOOKUP($B508,Показатели!$E:$W,10,FALSE)),"")</f>
        <v>1388000000</v>
      </c>
      <c r="N508">
        <f>IFERROR(IF(VLOOKUP($B508,Показатели!$E:$W,11,FALSE)=0,"",VLOOKUP($B508,Показатели!$E:$W,11,FALSE)),"")</f>
        <v>31890000000</v>
      </c>
      <c r="O508">
        <f>IFERROR(IF(VLOOKUP($B508,Показатели!$E:$W,12,FALSE)=0,"",VLOOKUP($B508,Показатели!$E:$W,12,FALSE)),"")</f>
        <v>1024000000</v>
      </c>
      <c r="P508">
        <f>IFERROR(IF(VLOOKUP($B508,Показатели!$E:$W,13,FALSE)=0,"",VLOOKUP($B508,Показатели!$E:$W,13,FALSE)),"")</f>
        <v>-1330000000</v>
      </c>
      <c r="Q508">
        <f>IFERROR(IF(VLOOKUP($B508,Показатели!$E:$W,14,FALSE)=0,"",VLOOKUP($B508,Показатели!$E:$W,14,FALSE)),"")</f>
        <v>-1160000000</v>
      </c>
      <c r="R508" t="str">
        <f>IFERROR(IF(VLOOKUP($B508,Показатели!$E:$W,15,FALSE)=0,"",VLOOKUP($B508,Показатели!$E:$W,15,FALSE)),"")</f>
        <v/>
      </c>
      <c r="S508" t="str">
        <f>IFERROR(IF(VLOOKUP($B508,Показатели!$E:$W,16,FALSE)=0,"",VLOOKUP($B508,Показатели!$E:$W,16,FALSE)),"")</f>
        <v/>
      </c>
      <c r="T508" t="str">
        <f>IFERROR(IF(VLOOKUP($B508,Показатели!$E:$W,17,FALSE)=0,"",VLOOKUP($B508,Показатели!$E:$W,17,FALSE)),"")</f>
        <v/>
      </c>
      <c r="U508">
        <f>IFERROR(IF(VLOOKUP($B508,Показатели!$E:$W,18,FALSE)=0,"",VLOOKUP($B508,Показатели!$E:$W,18,FALSE)),"")</f>
        <v>19071000000</v>
      </c>
      <c r="V508">
        <f>IFERROR(IF(VLOOKUP($B508,Показатели!$E:$W,19,FALSE)=0,"",VLOOKUP($B508,Показатели!$E:$W,19,FALSE)),"")</f>
        <v>32550000000</v>
      </c>
    </row>
    <row r="509" spans="1:22" x14ac:dyDescent="0.2">
      <c r="A509" s="7" t="s">
        <v>2316</v>
      </c>
      <c r="B509" t="str">
        <f t="shared" si="7"/>
        <v>APTK IV кв. 2014</v>
      </c>
      <c r="C509">
        <v>2014</v>
      </c>
      <c r="D509">
        <f>SUMIFS(Дивиденды!$C:$C,Дивиденды!$A:$A,A509,Дивиденды!$I:$I,C509)</f>
        <v>0</v>
      </c>
      <c r="E509">
        <f>IFERROR(IF(VLOOKUP($B509,Показатели!$E:$W,2,FALSE)=0,"",VLOOKUP($B509,Показатели!$E:$W,2,FALSE)),"")</f>
        <v>392000000</v>
      </c>
      <c r="F509">
        <f>IFERROR(IF(VLOOKUP($B509,Показатели!$E:$W,3,FALSE)=0,"",VLOOKUP($B509,Показатели!$E:$W,3,FALSE)),"")</f>
        <v>18453000000</v>
      </c>
      <c r="G509">
        <f>IFERROR(IF(VLOOKUP($B509,Показатели!$E:$W,4,FALSE)=0,"",VLOOKUP($B509,Показатели!$E:$W,4,FALSE)),"")</f>
        <v>1584000000</v>
      </c>
      <c r="H509" t="str">
        <f>IFERROR(IF(VLOOKUP($B509,Показатели!$E:$W,5,FALSE)=0,"",VLOOKUP($B509,Показатели!$E:$W,5,FALSE)),"")</f>
        <v/>
      </c>
      <c r="I509">
        <f>IFERROR(IF(VLOOKUP($B509,Показатели!$E:$W,6,FALSE)=0,"",VLOOKUP($B509,Показатели!$E:$W,6,FALSE)),"")</f>
        <v>32550000000</v>
      </c>
      <c r="J509">
        <f>IFERROR(IF(VLOOKUP($B509,Показатели!$E:$W,7,FALSE)=0,"",VLOOKUP($B509,Показатели!$E:$W,7,FALSE)),"")</f>
        <v>24042000000</v>
      </c>
      <c r="K509">
        <f>IFERROR(IF(VLOOKUP($B509,Показатели!$E:$W,8,FALSE)=0,"",VLOOKUP($B509,Показатели!$E:$W,8,FALSE)),"")</f>
        <v>8266000000</v>
      </c>
      <c r="L509">
        <f>IFERROR(IF(VLOOKUP($B509,Показатели!$E:$W,9,FALSE)=0,"",VLOOKUP($B509,Показатели!$E:$W,9,FALSE)),"")</f>
        <v>-6985000000</v>
      </c>
      <c r="M509">
        <f>IFERROR(IF(VLOOKUP($B509,Показатели!$E:$W,10,FALSE)=0,"",VLOOKUP($B509,Показатели!$E:$W,10,FALSE)),"")</f>
        <v>242000000</v>
      </c>
      <c r="N509">
        <f>IFERROR(IF(VLOOKUP($B509,Показатели!$E:$W,11,FALSE)=0,"",VLOOKUP($B509,Показатели!$E:$W,11,FALSE)),"")</f>
        <v>19071000000</v>
      </c>
      <c r="O509">
        <f>IFERROR(IF(VLOOKUP($B509,Показатели!$E:$W,12,FALSE)=0,"",VLOOKUP($B509,Показатели!$E:$W,12,FALSE)),"")</f>
        <v>837000000</v>
      </c>
      <c r="P509">
        <f>IFERROR(IF(VLOOKUP($B509,Показатели!$E:$W,13,FALSE)=0,"",VLOOKUP($B509,Показатели!$E:$W,13,FALSE)),"")</f>
        <v>-579000000</v>
      </c>
      <c r="Q509">
        <f>IFERROR(IF(VLOOKUP($B509,Показатели!$E:$W,14,FALSE)=0,"",VLOOKUP($B509,Показатели!$E:$W,14,FALSE)),"")</f>
        <v>43000000</v>
      </c>
      <c r="R509">
        <f>IFERROR(IF(VLOOKUP($B509,Показатели!$E:$W,15,FALSE)=0,"",VLOOKUP($B509,Показатели!$E:$W,15,FALSE)),"")</f>
        <v>163000000</v>
      </c>
      <c r="S509" t="str">
        <f>IFERROR(IF(VLOOKUP($B509,Показатели!$E:$W,16,FALSE)=0,"",VLOOKUP($B509,Показатели!$E:$W,16,FALSE)),"")</f>
        <v/>
      </c>
      <c r="T509">
        <f>IFERROR(IF(VLOOKUP($B509,Показатели!$E:$W,17,FALSE)=0,"",VLOOKUP($B509,Показатели!$E:$W,17,FALSE)),"")</f>
        <v>-255000000</v>
      </c>
      <c r="U509">
        <f>IFERROR(IF(VLOOKUP($B509,Показатели!$E:$W,18,FALSE)=0,"",VLOOKUP($B509,Показатели!$E:$W,18,FALSE)),"")</f>
        <v>11911000000</v>
      </c>
      <c r="V509">
        <f>IFERROR(IF(VLOOKUP($B509,Показатели!$E:$W,19,FALSE)=0,"",VLOOKUP($B509,Показатели!$E:$W,19,FALSE)),"")</f>
        <v>3798000000</v>
      </c>
    </row>
    <row r="510" spans="1:22" x14ac:dyDescent="0.2">
      <c r="A510" s="7" t="s">
        <v>2316</v>
      </c>
      <c r="B510" t="str">
        <f t="shared" si="7"/>
        <v>APTK IV кв. 2013</v>
      </c>
      <c r="C510">
        <v>2013</v>
      </c>
      <c r="D510">
        <f>SUMIFS(Дивиденды!$C:$C,Дивиденды!$A:$A,A510,Дивиденды!$I:$I,C510)</f>
        <v>0</v>
      </c>
      <c r="E510">
        <f>IFERROR(IF(VLOOKUP($B510,Показатели!$E:$W,2,FALSE)=0,"",VLOOKUP($B510,Показатели!$E:$W,2,FALSE)),"")</f>
        <v>489000000</v>
      </c>
      <c r="F510">
        <f>IFERROR(IF(VLOOKUP($B510,Показатели!$E:$W,3,FALSE)=0,"",VLOOKUP($B510,Показатели!$E:$W,3,FALSE)),"")</f>
        <v>2662000000</v>
      </c>
      <c r="G510">
        <f>IFERROR(IF(VLOOKUP($B510,Показатели!$E:$W,4,FALSE)=0,"",VLOOKUP($B510,Показатели!$E:$W,4,FALSE)),"")</f>
        <v>1019000000</v>
      </c>
      <c r="H510" t="str">
        <f>IFERROR(IF(VLOOKUP($B510,Показатели!$E:$W,5,FALSE)=0,"",VLOOKUP($B510,Показатели!$E:$W,5,FALSE)),"")</f>
        <v/>
      </c>
      <c r="I510">
        <f>IFERROR(IF(VLOOKUP($B510,Показатели!$E:$W,6,FALSE)=0,"",VLOOKUP($B510,Показатели!$E:$W,6,FALSE)),"")</f>
        <v>3798000000</v>
      </c>
      <c r="J510">
        <f>IFERROR(IF(VLOOKUP($B510,Показатели!$E:$W,7,FALSE)=0,"",VLOOKUP($B510,Показатели!$E:$W,7,FALSE)),"")</f>
        <v>7951000000</v>
      </c>
      <c r="K510">
        <f>IFERROR(IF(VLOOKUP($B510,Показатели!$E:$W,8,FALSE)=0,"",VLOOKUP($B510,Показатели!$E:$W,8,FALSE)),"")</f>
        <v>6485000000</v>
      </c>
      <c r="L510" t="str">
        <f>IFERROR(IF(VLOOKUP($B510,Показатели!$E:$W,9,FALSE)=0,"",VLOOKUP($B510,Показатели!$E:$W,9,FALSE)),"")</f>
        <v/>
      </c>
      <c r="M510">
        <f>IFERROR(IF(VLOOKUP($B510,Показатели!$E:$W,10,FALSE)=0,"",VLOOKUP($B510,Показатели!$E:$W,10,FALSE)),"")</f>
        <v>-10638000000</v>
      </c>
      <c r="N510">
        <f>IFERROR(IF(VLOOKUP($B510,Показатели!$E:$W,11,FALSE)=0,"",VLOOKUP($B510,Показатели!$E:$W,11,FALSE)),"")</f>
        <v>11911000000</v>
      </c>
      <c r="O510">
        <f>IFERROR(IF(VLOOKUP($B510,Показатели!$E:$W,12,FALSE)=0,"",VLOOKUP($B510,Показатели!$E:$W,12,FALSE)),"")</f>
        <v>-7806000000</v>
      </c>
      <c r="P510">
        <f>IFERROR(IF(VLOOKUP($B510,Показатели!$E:$W,13,FALSE)=0,"",VLOOKUP($B510,Показатели!$E:$W,13,FALSE)),"")</f>
        <v>-9884000000</v>
      </c>
      <c r="Q510">
        <f>IFERROR(IF(VLOOKUP($B510,Показатели!$E:$W,14,FALSE)=0,"",VLOOKUP($B510,Показатели!$E:$W,14,FALSE)),"")</f>
        <v>-10054000000</v>
      </c>
      <c r="R510" t="str">
        <f>IFERROR(IF(VLOOKUP($B510,Показатели!$E:$W,15,FALSE)=0,"",VLOOKUP($B510,Показатели!$E:$W,15,FALSE)),"")</f>
        <v/>
      </c>
      <c r="S510" t="str">
        <f>IFERROR(IF(VLOOKUP($B510,Показатели!$E:$W,16,FALSE)=0,"",VLOOKUP($B510,Показатели!$E:$W,16,FALSE)),"")</f>
        <v/>
      </c>
      <c r="T510" t="str">
        <f>IFERROR(IF(VLOOKUP($B510,Показатели!$E:$W,17,FALSE)=0,"",VLOOKUP($B510,Показатели!$E:$W,17,FALSE)),"")</f>
        <v/>
      </c>
      <c r="U510">
        <f>IFERROR(IF(VLOOKUP($B510,Показатели!$E:$W,18,FALSE)=0,"",VLOOKUP($B510,Показатели!$E:$W,18,FALSE)),"")</f>
        <v>14899000000</v>
      </c>
      <c r="V510">
        <f>IFERROR(IF(VLOOKUP($B510,Показатели!$E:$W,19,FALSE)=0,"",VLOOKUP($B510,Показатели!$E:$W,19,FALSE)),"")</f>
        <v>22241000000</v>
      </c>
    </row>
    <row r="511" spans="1:22" x14ac:dyDescent="0.2">
      <c r="A511" s="7" t="s">
        <v>2316</v>
      </c>
      <c r="B511" t="str">
        <f t="shared" si="7"/>
        <v>APTK IV кв. 2012</v>
      </c>
      <c r="C511">
        <v>2012</v>
      </c>
      <c r="D511">
        <f>SUMIFS(Дивиденды!$C:$C,Дивиденды!$A:$A,A511,Дивиденды!$I:$I,C511)</f>
        <v>0</v>
      </c>
      <c r="E511">
        <f>IFERROR(IF(VLOOKUP($B511,Показатели!$E:$W,2,FALSE)=0,"",VLOOKUP($B511,Показатели!$E:$W,2,FALSE)),"")</f>
        <v>838000000</v>
      </c>
      <c r="F511">
        <f>IFERROR(IF(VLOOKUP($B511,Показатели!$E:$W,3,FALSE)=0,"",VLOOKUP($B511,Показатели!$E:$W,3,FALSE)),"")</f>
        <v>12909000000</v>
      </c>
      <c r="G511">
        <f>IFERROR(IF(VLOOKUP($B511,Показатели!$E:$W,4,FALSE)=0,"",VLOOKUP($B511,Показатели!$E:$W,4,FALSE)),"")</f>
        <v>3775000000</v>
      </c>
      <c r="H511" t="str">
        <f>IFERROR(IF(VLOOKUP($B511,Показатели!$E:$W,5,FALSE)=0,"",VLOOKUP($B511,Показатели!$E:$W,5,FALSE)),"")</f>
        <v/>
      </c>
      <c r="I511">
        <f>IFERROR(IF(VLOOKUP($B511,Показатели!$E:$W,6,FALSE)=0,"",VLOOKUP($B511,Показатели!$E:$W,6,FALSE)),"")</f>
        <v>22241000000</v>
      </c>
      <c r="J511">
        <f>IFERROR(IF(VLOOKUP($B511,Показатели!$E:$W,7,FALSE)=0,"",VLOOKUP($B511,Показатели!$E:$W,7,FALSE)),"")</f>
        <v>15837000000</v>
      </c>
      <c r="K511">
        <f>IFERROR(IF(VLOOKUP($B511,Показатели!$E:$W,8,FALSE)=0,"",VLOOKUP($B511,Показатели!$E:$W,8,FALSE)),"")</f>
        <v>2730000000</v>
      </c>
      <c r="L511">
        <f>IFERROR(IF(VLOOKUP($B511,Показатели!$E:$W,9,FALSE)=0,"",VLOOKUP($B511,Показатели!$E:$W,9,FALSE)),"")</f>
        <v>-6485000000</v>
      </c>
      <c r="M511">
        <f>IFERROR(IF(VLOOKUP($B511,Показатели!$E:$W,10,FALSE)=0,"",VLOOKUP($B511,Показатели!$E:$W,10,FALSE)),"")</f>
        <v>3674000000</v>
      </c>
      <c r="N511">
        <f>IFERROR(IF(VLOOKUP($B511,Показатели!$E:$W,11,FALSE)=0,"",VLOOKUP($B511,Показатели!$E:$W,11,FALSE)),"")</f>
        <v>14899000000</v>
      </c>
      <c r="O511">
        <f>IFERROR(IF(VLOOKUP($B511,Показатели!$E:$W,12,FALSE)=0,"",VLOOKUP($B511,Показатели!$E:$W,12,FALSE)),"")</f>
        <v>878000000</v>
      </c>
      <c r="P511">
        <f>IFERROR(IF(VLOOKUP($B511,Показатели!$E:$W,13,FALSE)=0,"",VLOOKUP($B511,Показатели!$E:$W,13,FALSE)),"")</f>
        <v>-267000000</v>
      </c>
      <c r="Q511">
        <f>IFERROR(IF(VLOOKUP($B511,Показатели!$E:$W,14,FALSE)=0,"",VLOOKUP($B511,Показатели!$E:$W,14,FALSE)),"")</f>
        <v>1038000000</v>
      </c>
      <c r="R511">
        <f>IFERROR(IF(VLOOKUP($B511,Показатели!$E:$W,15,FALSE)=0,"",VLOOKUP($B511,Показатели!$E:$W,15,FALSE)),"")</f>
        <v>263000000</v>
      </c>
      <c r="S511" t="str">
        <f>IFERROR(IF(VLOOKUP($B511,Показатели!$E:$W,16,FALSE)=0,"",VLOOKUP($B511,Показатели!$E:$W,16,FALSE)),"")</f>
        <v/>
      </c>
      <c r="T511">
        <f>IFERROR(IF(VLOOKUP($B511,Показатели!$E:$W,17,FALSE)=0,"",VLOOKUP($B511,Показатели!$E:$W,17,FALSE)),"")</f>
        <v>-124000000</v>
      </c>
      <c r="U511">
        <f>IFERROR(IF(VLOOKUP($B511,Показатели!$E:$W,18,FALSE)=0,"",VLOOKUP($B511,Показатели!$E:$W,18,FALSE)),"")</f>
        <v>21594000000</v>
      </c>
      <c r="V511">
        <f>IFERROR(IF(VLOOKUP($B511,Показатели!$E:$W,19,FALSE)=0,"",VLOOKUP($B511,Показатели!$E:$W,19,FALSE)),"")</f>
        <v>21867000000</v>
      </c>
    </row>
    <row r="512" spans="1:22" x14ac:dyDescent="0.2">
      <c r="A512" s="7" t="s">
        <v>2316</v>
      </c>
      <c r="B512" t="str">
        <f t="shared" si="7"/>
        <v>APTK IV кв. 2011</v>
      </c>
      <c r="C512">
        <v>2011</v>
      </c>
      <c r="D512">
        <f>SUMIFS(Дивиденды!$C:$C,Дивиденды!$A:$A,A512,Дивиденды!$I:$I,C512)</f>
        <v>0</v>
      </c>
      <c r="E512">
        <f>IFERROR(IF(VLOOKUP($B512,Показатели!$E:$W,2,FALSE)=0,"",VLOOKUP($B512,Показатели!$E:$W,2,FALSE)),"")</f>
        <v>889000000</v>
      </c>
      <c r="F512">
        <f>IFERROR(IF(VLOOKUP($B512,Показатели!$E:$W,3,FALSE)=0,"",VLOOKUP($B512,Показатели!$E:$W,3,FALSE)),"")</f>
        <v>13016000000</v>
      </c>
      <c r="G512">
        <f>IFERROR(IF(VLOOKUP($B512,Показатели!$E:$W,4,FALSE)=0,"",VLOOKUP($B512,Показатели!$E:$W,4,FALSE)),"")</f>
        <v>3295000000</v>
      </c>
      <c r="H512" t="str">
        <f>IFERROR(IF(VLOOKUP($B512,Показатели!$E:$W,5,FALSE)=0,"",VLOOKUP($B512,Показатели!$E:$W,5,FALSE)),"")</f>
        <v/>
      </c>
      <c r="I512">
        <f>IFERROR(IF(VLOOKUP($B512,Показатели!$E:$W,6,FALSE)=0,"",VLOOKUP($B512,Показатели!$E:$W,6,FALSE)),"")</f>
        <v>21867000000</v>
      </c>
      <c r="J512">
        <f>IFERROR(IF(VLOOKUP($B512,Показатели!$E:$W,7,FALSE)=0,"",VLOOKUP($B512,Показатели!$E:$W,7,FALSE)),"")</f>
        <v>15848000000</v>
      </c>
      <c r="K512">
        <f>IFERROR(IF(VLOOKUP($B512,Показатели!$E:$W,8,FALSE)=0,"",VLOOKUP($B512,Показатели!$E:$W,8,FALSE)),"")</f>
        <v>1821000000</v>
      </c>
      <c r="L512" t="str">
        <f>IFERROR(IF(VLOOKUP($B512,Показатели!$E:$W,9,FALSE)=0,"",VLOOKUP($B512,Показатели!$E:$W,9,FALSE)),"")</f>
        <v/>
      </c>
      <c r="M512">
        <f>IFERROR(IF(VLOOKUP($B512,Показатели!$E:$W,10,FALSE)=0,"",VLOOKUP($B512,Показатели!$E:$W,10,FALSE)),"")</f>
        <v>4198000000</v>
      </c>
      <c r="N512">
        <f>IFERROR(IF(VLOOKUP($B512,Показатели!$E:$W,11,FALSE)=0,"",VLOOKUP($B512,Показатели!$E:$W,11,FALSE)),"")</f>
        <v>21594000000</v>
      </c>
      <c r="O512">
        <f>IFERROR(IF(VLOOKUP($B512,Показатели!$E:$W,12,FALSE)=0,"",VLOOKUP($B512,Показатели!$E:$W,12,FALSE)),"")</f>
        <v>1781000000</v>
      </c>
      <c r="P512">
        <f>IFERROR(IF(VLOOKUP($B512,Показатели!$E:$W,13,FALSE)=0,"",VLOOKUP($B512,Показатели!$E:$W,13,FALSE)),"")</f>
        <v>-23000000</v>
      </c>
      <c r="Q512">
        <f>IFERROR(IF(VLOOKUP($B512,Показатели!$E:$W,14,FALSE)=0,"",VLOOKUP($B512,Показатели!$E:$W,14,FALSE)),"")</f>
        <v>-288000000</v>
      </c>
      <c r="R512" t="str">
        <f>IFERROR(IF(VLOOKUP($B512,Показатели!$E:$W,15,FALSE)=0,"",VLOOKUP($B512,Показатели!$E:$W,15,FALSE)),"")</f>
        <v/>
      </c>
      <c r="S512" t="str">
        <f>IFERROR(IF(VLOOKUP($B512,Показатели!$E:$W,16,FALSE)=0,"",VLOOKUP($B512,Показатели!$E:$W,16,FALSE)),"")</f>
        <v/>
      </c>
      <c r="T512" t="str">
        <f>IFERROR(IF(VLOOKUP($B512,Показатели!$E:$W,17,FALSE)=0,"",VLOOKUP($B512,Показатели!$E:$W,17,FALSE)),"")</f>
        <v/>
      </c>
      <c r="U512">
        <f>IFERROR(IF(VLOOKUP($B512,Показатели!$E:$W,18,FALSE)=0,"",VLOOKUP($B512,Показатели!$E:$W,18,FALSE)),"")</f>
        <v>20381100000</v>
      </c>
      <c r="V512">
        <f>IFERROR(IF(VLOOKUP($B512,Показатели!$E:$W,19,FALSE)=0,"",VLOOKUP($B512,Показатели!$E:$W,19,FALSE)),"")</f>
        <v>18779100000</v>
      </c>
    </row>
    <row r="513" spans="1:22" x14ac:dyDescent="0.2">
      <c r="A513" s="7" t="s">
        <v>2316</v>
      </c>
      <c r="B513" t="str">
        <f t="shared" si="7"/>
        <v>APTK IV кв. 2010</v>
      </c>
      <c r="C513">
        <v>2010</v>
      </c>
      <c r="D513">
        <f>SUMIFS(Дивиденды!$C:$C,Дивиденды!$A:$A,A513,Дивиденды!$I:$I,C513)</f>
        <v>0</v>
      </c>
      <c r="E513">
        <f>IFERROR(IF(VLOOKUP($B513,Показатели!$E:$W,2,FALSE)=0,"",VLOOKUP($B513,Показатели!$E:$W,2,FALSE)),"")</f>
        <v>1021200000</v>
      </c>
      <c r="F513">
        <f>IFERROR(IF(VLOOKUP($B513,Показатели!$E:$W,3,FALSE)=0,"",VLOOKUP($B513,Показатели!$E:$W,3,FALSE)),"")</f>
        <v>10508400000</v>
      </c>
      <c r="G513">
        <f>IFERROR(IF(VLOOKUP($B513,Показатели!$E:$W,4,FALSE)=0,"",VLOOKUP($B513,Показатели!$E:$W,4,FALSE)),"")</f>
        <v>2858600000</v>
      </c>
      <c r="H513" t="str">
        <f>IFERROR(IF(VLOOKUP($B513,Показатели!$E:$W,5,FALSE)=0,"",VLOOKUP($B513,Показатели!$E:$W,5,FALSE)),"")</f>
        <v/>
      </c>
      <c r="I513">
        <f>IFERROR(IF(VLOOKUP($B513,Показатели!$E:$W,6,FALSE)=0,"",VLOOKUP($B513,Показатели!$E:$W,6,FALSE)),"")</f>
        <v>18779100000</v>
      </c>
      <c r="J513">
        <f>IFERROR(IF(VLOOKUP($B513,Показатели!$E:$W,7,FALSE)=0,"",VLOOKUP($B513,Показатели!$E:$W,7,FALSE)),"")</f>
        <v>7980600000</v>
      </c>
      <c r="K513">
        <f>IFERROR(IF(VLOOKUP($B513,Показатели!$E:$W,8,FALSE)=0,"",VLOOKUP($B513,Показатели!$E:$W,8,FALSE)),"")</f>
        <v>5982000000</v>
      </c>
      <c r="L513" t="str">
        <f>IFERROR(IF(VLOOKUP($B513,Показатели!$E:$W,9,FALSE)=0,"",VLOOKUP($B513,Показатели!$E:$W,9,FALSE)),"")</f>
        <v/>
      </c>
      <c r="M513">
        <f>IFERROR(IF(VLOOKUP($B513,Показатели!$E:$W,10,FALSE)=0,"",VLOOKUP($B513,Показатели!$E:$W,10,FALSE)),"")</f>
        <v>4816600000</v>
      </c>
      <c r="N513">
        <f>IFERROR(IF(VLOOKUP($B513,Показатели!$E:$W,11,FALSE)=0,"",VLOOKUP($B513,Показатели!$E:$W,11,FALSE)),"")</f>
        <v>20381100000</v>
      </c>
      <c r="O513">
        <f>IFERROR(IF(VLOOKUP($B513,Показатели!$E:$W,12,FALSE)=0,"",VLOOKUP($B513,Показатели!$E:$W,12,FALSE)),"")</f>
        <v>1261400000</v>
      </c>
      <c r="P513">
        <f>IFERROR(IF(VLOOKUP($B513,Показатели!$E:$W,13,FALSE)=0,"",VLOOKUP($B513,Показатели!$E:$W,13,FALSE)),"")</f>
        <v>-39100000</v>
      </c>
      <c r="Q513">
        <f>IFERROR(IF(VLOOKUP($B513,Показатели!$E:$W,14,FALSE)=0,"",VLOOKUP($B513,Показатели!$E:$W,14,FALSE)),"")</f>
        <v>-432600000</v>
      </c>
      <c r="R513" t="str">
        <f>IFERROR(IF(VLOOKUP($B513,Показатели!$E:$W,15,FALSE)=0,"",VLOOKUP($B513,Показатели!$E:$W,15,FALSE)),"")</f>
        <v/>
      </c>
      <c r="S513" t="str">
        <f>IFERROR(IF(VLOOKUP($B513,Показатели!$E:$W,16,FALSE)=0,"",VLOOKUP($B513,Показатели!$E:$W,16,FALSE)),"")</f>
        <v/>
      </c>
      <c r="T513" t="str">
        <f>IFERROR(IF(VLOOKUP($B513,Показатели!$E:$W,17,FALSE)=0,"",VLOOKUP($B513,Показатели!$E:$W,17,FALSE)),"")</f>
        <v/>
      </c>
      <c r="U513" t="str">
        <f>IFERROR(IF(VLOOKUP($B513,Показатели!$E:$W,18,FALSE)=0,"",VLOOKUP($B513,Показатели!$E:$W,18,FALSE)),"")</f>
        <v/>
      </c>
      <c r="V513" t="str">
        <f>IFERROR(IF(VLOOKUP($B513,Показатели!$E:$W,19,FALSE)=0,"",VLOOKUP($B513,Показатели!$E:$W,19,FALSE)),"")</f>
        <v/>
      </c>
    </row>
    <row r="514" spans="1:22" x14ac:dyDescent="0.2">
      <c r="A514" s="7" t="s">
        <v>2244</v>
      </c>
      <c r="B514" t="str">
        <f t="shared" si="7"/>
        <v>AQUA IV кв. 2025</v>
      </c>
      <c r="C514">
        <v>2025</v>
      </c>
      <c r="D514">
        <f>SUMIFS(Дивиденды!$C:$C,Дивиденды!$A:$A,A514,Дивиденды!$I:$I,C514)</f>
        <v>0</v>
      </c>
      <c r="E514" t="str">
        <f>IFERROR(IF(VLOOKUP($B514,Показатели!$E:$W,2,FALSE)=0,"",VLOOKUP($B514,Показатели!$E:$W,2,FALSE)),"")</f>
        <v/>
      </c>
      <c r="F514" t="str">
        <f>IFERROR(IF(VLOOKUP($B514,Показатели!$E:$W,3,FALSE)=0,"",VLOOKUP($B514,Показатели!$E:$W,3,FALSE)),"")</f>
        <v/>
      </c>
      <c r="G514" t="str">
        <f>IFERROR(IF(VLOOKUP($B514,Показатели!$E:$W,4,FALSE)=0,"",VLOOKUP($B514,Показатели!$E:$W,4,FALSE)),"")</f>
        <v/>
      </c>
      <c r="H514" t="str">
        <f>IFERROR(IF(VLOOKUP($B514,Показатели!$E:$W,5,FALSE)=0,"",VLOOKUP($B514,Показатели!$E:$W,5,FALSE)),"")</f>
        <v/>
      </c>
      <c r="I514" t="str">
        <f>IFERROR(IF(VLOOKUP($B514,Показатели!$E:$W,6,FALSE)=0,"",VLOOKUP($B514,Показатели!$E:$W,6,FALSE)),"")</f>
        <v/>
      </c>
      <c r="J514" t="str">
        <f>IFERROR(IF(VLOOKUP($B514,Показатели!$E:$W,7,FALSE)=0,"",VLOOKUP($B514,Показатели!$E:$W,7,FALSE)),"")</f>
        <v/>
      </c>
      <c r="K514" t="str">
        <f>IFERROR(IF(VLOOKUP($B514,Показатели!$E:$W,8,FALSE)=0,"",VLOOKUP($B514,Показатели!$E:$W,8,FALSE)),"")</f>
        <v/>
      </c>
      <c r="L514" t="str">
        <f>IFERROR(IF(VLOOKUP($B514,Показатели!$E:$W,9,FALSE)=0,"",VLOOKUP($B514,Показатели!$E:$W,9,FALSE)),"")</f>
        <v/>
      </c>
      <c r="M514" t="str">
        <f>IFERROR(IF(VLOOKUP($B514,Показатели!$E:$W,10,FALSE)=0,"",VLOOKUP($B514,Показатели!$E:$W,10,FALSE)),"")</f>
        <v/>
      </c>
      <c r="N514" t="str">
        <f>IFERROR(IF(VLOOKUP($B514,Показатели!$E:$W,11,FALSE)=0,"",VLOOKUP($B514,Показатели!$E:$W,11,FALSE)),"")</f>
        <v/>
      </c>
      <c r="O514" t="str">
        <f>IFERROR(IF(VLOOKUP($B514,Показатели!$E:$W,12,FALSE)=0,"",VLOOKUP($B514,Показатели!$E:$W,12,FALSE)),"")</f>
        <v/>
      </c>
      <c r="P514" t="str">
        <f>IFERROR(IF(VLOOKUP($B514,Показатели!$E:$W,13,FALSE)=0,"",VLOOKUP($B514,Показатели!$E:$W,13,FALSE)),"")</f>
        <v/>
      </c>
      <c r="Q514" t="str">
        <f>IFERROR(IF(VLOOKUP($B514,Показатели!$E:$W,14,FALSE)=0,"",VLOOKUP($B514,Показатели!$E:$W,14,FALSE)),"")</f>
        <v/>
      </c>
      <c r="R514" t="str">
        <f>IFERROR(IF(VLOOKUP($B514,Показатели!$E:$W,15,FALSE)=0,"",VLOOKUP($B514,Показатели!$E:$W,15,FALSE)),"")</f>
        <v/>
      </c>
      <c r="S514" t="str">
        <f>IFERROR(IF(VLOOKUP($B514,Показатели!$E:$W,16,FALSE)=0,"",VLOOKUP($B514,Показатели!$E:$W,16,FALSE)),"")</f>
        <v/>
      </c>
      <c r="T514" t="str">
        <f>IFERROR(IF(VLOOKUP($B514,Показатели!$E:$W,17,FALSE)=0,"",VLOOKUP($B514,Показатели!$E:$W,17,FALSE)),"")</f>
        <v/>
      </c>
      <c r="U514" t="str">
        <f>IFERROR(IF(VLOOKUP($B514,Показатели!$E:$W,18,FALSE)=0,"",VLOOKUP($B514,Показатели!$E:$W,18,FALSE)),"")</f>
        <v/>
      </c>
      <c r="V514" t="str">
        <f>IFERROR(IF(VLOOKUP($B514,Показатели!$E:$W,19,FALSE)=0,"",VLOOKUP($B514,Показатели!$E:$W,19,FALSE)),"")</f>
        <v/>
      </c>
    </row>
    <row r="515" spans="1:22" x14ac:dyDescent="0.2">
      <c r="A515" s="7" t="s">
        <v>2244</v>
      </c>
      <c r="B515" t="str">
        <f t="shared" ref="B515:B578" si="8">A515&amp;" "&amp;
"IV"
&amp;" кв. "&amp;C515</f>
        <v>AQUA IV кв. 2024</v>
      </c>
      <c r="C515">
        <v>2024</v>
      </c>
      <c r="D515">
        <f>SUMIFS(Дивиденды!$C:$C,Дивиденды!$A:$A,A515,Дивиденды!$I:$I,C515)</f>
        <v>50</v>
      </c>
      <c r="E515">
        <f>IFERROR(IF(VLOOKUP($B515,Показатели!$E:$W,2,FALSE)=0,"",VLOOKUP($B515,Показатели!$E:$W,2,FALSE)),"")</f>
        <v>1445200000</v>
      </c>
      <c r="F515">
        <f>IFERROR(IF(VLOOKUP($B515,Показатели!$E:$W,3,FALSE)=0,"",VLOOKUP($B515,Показатели!$E:$W,3,FALSE)),"")</f>
        <v>37268933000</v>
      </c>
      <c r="G515">
        <f>IFERROR(IF(VLOOKUP($B515,Показатели!$E:$W,4,FALSE)=0,"",VLOOKUP($B515,Показатели!$E:$W,4,FALSE)),"")</f>
        <v>17413759000</v>
      </c>
      <c r="H515">
        <f>IFERROR(IF(VLOOKUP($B515,Показатели!$E:$W,5,FALSE)=0,"",VLOOKUP($B515,Показатели!$E:$W,5,FALSE)),"")</f>
        <v>791052000</v>
      </c>
      <c r="I515">
        <f>IFERROR(IF(VLOOKUP($B515,Показатели!$E:$W,6,FALSE)=0,"",VLOOKUP($B515,Показатели!$E:$W,6,FALSE)),"")</f>
        <v>58762478000</v>
      </c>
      <c r="J515">
        <f>IFERROR(IF(VLOOKUP($B515,Показатели!$E:$W,7,FALSE)=0,"",VLOOKUP($B515,Показатели!$E:$W,7,FALSE)),"")</f>
        <v>3899646000</v>
      </c>
      <c r="K515">
        <f>IFERROR(IF(VLOOKUP($B515,Показатели!$E:$W,8,FALSE)=0,"",VLOOKUP($B515,Показатели!$E:$W,8,FALSE)),"")</f>
        <v>12096726000</v>
      </c>
      <c r="L515">
        <f>IFERROR(IF(VLOOKUP($B515,Показатели!$E:$W,9,FALSE)=0,"",VLOOKUP($B515,Показатели!$E:$W,9,FALSE)),"")</f>
        <v>33707401000</v>
      </c>
      <c r="M515">
        <f>IFERROR(IF(VLOOKUP($B515,Показатели!$E:$W,10,FALSE)=0,"",VLOOKUP($B515,Показатели!$E:$W,10,FALSE)),"")</f>
        <v>42766106000</v>
      </c>
      <c r="N515">
        <f>IFERROR(IF(VLOOKUP($B515,Показатели!$E:$W,11,FALSE)=0,"",VLOOKUP($B515,Показатели!$E:$W,11,FALSE)),"")</f>
        <v>31545568000</v>
      </c>
      <c r="O515" t="str">
        <f>IFERROR(IF(VLOOKUP($B515,Показатели!$E:$W,12,FALSE)=0,"",VLOOKUP($B515,Показатели!$E:$W,12,FALSE)),"")</f>
        <v/>
      </c>
      <c r="P515">
        <f>IFERROR(IF(VLOOKUP($B515,Показатели!$E:$W,13,FALSE)=0,"",VLOOKUP($B515,Показатели!$E:$W,13,FALSE)),"")</f>
        <v>7750839000</v>
      </c>
      <c r="Q515">
        <f>IFERROR(IF(VLOOKUP($B515,Показатели!$E:$W,14,FALSE)=0,"",VLOOKUP($B515,Показатели!$E:$W,14,FALSE)),"")</f>
        <v>7761778000</v>
      </c>
      <c r="R515">
        <f>IFERROR(IF(VLOOKUP($B515,Показатели!$E:$W,15,FALSE)=0,"",VLOOKUP($B515,Показатели!$E:$W,15,FALSE)),"")</f>
        <v>1378639000</v>
      </c>
      <c r="S515">
        <f>IFERROR(IF(VLOOKUP($B515,Показатели!$E:$W,16,FALSE)=0,"",VLOOKUP($B515,Показатели!$E:$W,16,FALSE)),"")</f>
        <v>12478330000</v>
      </c>
      <c r="T515">
        <f>IFERROR(IF(VLOOKUP($B515,Показатели!$E:$W,17,FALSE)=0,"",VLOOKUP($B515,Показатели!$E:$W,17,FALSE)),"")</f>
        <v>6177706000</v>
      </c>
      <c r="U515">
        <f>IFERROR(IF(VLOOKUP($B515,Показатели!$E:$W,18,FALSE)=0,"",VLOOKUP($B515,Показатели!$E:$W,18,FALSE)),"")</f>
        <v>28480217000</v>
      </c>
      <c r="V515">
        <f>IFERROR(IF(VLOOKUP($B515,Показатели!$E:$W,19,FALSE)=0,"",VLOOKUP($B515,Показатели!$E:$W,19,FALSE)),"")</f>
        <v>56785756000</v>
      </c>
    </row>
    <row r="516" spans="1:22" x14ac:dyDescent="0.2">
      <c r="A516" s="7" t="s">
        <v>2244</v>
      </c>
      <c r="B516" t="str">
        <f t="shared" si="8"/>
        <v>AQUA IV кв. 2023</v>
      </c>
      <c r="C516">
        <v>2023</v>
      </c>
      <c r="D516">
        <f>SUMIFS(Дивиденды!$C:$C,Дивиденды!$A:$A,A516,Дивиденды!$I:$I,C516)</f>
        <v>45</v>
      </c>
      <c r="E516">
        <f>IFERROR(IF(VLOOKUP($B516,Показатели!$E:$W,2,FALSE)=0,"",VLOOKUP($B516,Показатели!$E:$W,2,FALSE)),"")</f>
        <v>885348000</v>
      </c>
      <c r="F516">
        <f>IFERROR(IF(VLOOKUP($B516,Показатели!$E:$W,3,FALSE)=0,"",VLOOKUP($B516,Показатели!$E:$W,3,FALSE)),"")</f>
        <v>40750675000</v>
      </c>
      <c r="G516">
        <f>IFERROR(IF(VLOOKUP($B516,Показатели!$E:$W,4,FALSE)=0,"",VLOOKUP($B516,Показатели!$E:$W,4,FALSE)),"")</f>
        <v>11683324000</v>
      </c>
      <c r="H516">
        <f>IFERROR(IF(VLOOKUP($B516,Показатели!$E:$W,5,FALSE)=0,"",VLOOKUP($B516,Показатели!$E:$W,5,FALSE)),"")</f>
        <v>780383000</v>
      </c>
      <c r="I516">
        <f>IFERROR(IF(VLOOKUP($B516,Показатели!$E:$W,6,FALSE)=0,"",VLOOKUP($B516,Показатели!$E:$W,6,FALSE)),"")</f>
        <v>56785756000</v>
      </c>
      <c r="J516">
        <f>IFERROR(IF(VLOOKUP($B516,Показатели!$E:$W,7,FALSE)=0,"",VLOOKUP($B516,Показатели!$E:$W,7,FALSE)),"")</f>
        <v>12910213000</v>
      </c>
      <c r="K516">
        <f>IFERROR(IF(VLOOKUP($B516,Показатели!$E:$W,8,FALSE)=0,"",VLOOKUP($B516,Показатели!$E:$W,8,FALSE)),"")</f>
        <v>4174036000</v>
      </c>
      <c r="L516">
        <f>IFERROR(IF(VLOOKUP($B516,Показатели!$E:$W,9,FALSE)=0,"",VLOOKUP($B516,Показатели!$E:$W,9,FALSE)),"")</f>
        <v>30293171000</v>
      </c>
      <c r="M516">
        <f>IFERROR(IF(VLOOKUP($B516,Показатели!$E:$W,10,FALSE)=0,"",VLOOKUP($B516,Показатели!$E:$W,10,FALSE)),"")</f>
        <v>39701507000</v>
      </c>
      <c r="N516">
        <f>IFERROR(IF(VLOOKUP($B516,Показатели!$E:$W,11,FALSE)=0,"",VLOOKUP($B516,Показатели!$E:$W,11,FALSE)),"")</f>
        <v>28480217000</v>
      </c>
      <c r="O516" t="str">
        <f>IFERROR(IF(VLOOKUP($B516,Показатели!$E:$W,12,FALSE)=0,"",VLOOKUP($B516,Показатели!$E:$W,12,FALSE)),"")</f>
        <v/>
      </c>
      <c r="P516">
        <f>IFERROR(IF(VLOOKUP($B516,Показатели!$E:$W,13,FALSE)=0,"",VLOOKUP($B516,Показатели!$E:$W,13,FALSE)),"")</f>
        <v>15957966000</v>
      </c>
      <c r="Q516">
        <f>IFERROR(IF(VLOOKUP($B516,Показатели!$E:$W,14,FALSE)=0,"",VLOOKUP($B516,Показатели!$E:$W,14,FALSE)),"")</f>
        <v>15471194000</v>
      </c>
      <c r="R516">
        <f>IFERROR(IF(VLOOKUP($B516,Показатели!$E:$W,15,FALSE)=0,"",VLOOKUP($B516,Показатели!$E:$W,15,FALSE)),"")</f>
        <v>1250526000</v>
      </c>
      <c r="S516">
        <f>IFERROR(IF(VLOOKUP($B516,Показатели!$E:$W,16,FALSE)=0,"",VLOOKUP($B516,Показатели!$E:$W,16,FALSE)),"")</f>
        <v>12865382000</v>
      </c>
      <c r="T516">
        <f>IFERROR(IF(VLOOKUP($B516,Показатели!$E:$W,17,FALSE)=0,"",VLOOKUP($B516,Показатели!$E:$W,17,FALSE)),"")</f>
        <v>-4630205000</v>
      </c>
      <c r="U516">
        <f>IFERROR(IF(VLOOKUP($B516,Показатели!$E:$W,18,FALSE)=0,"",VLOOKUP($B516,Показатели!$E:$W,18,FALSE)),"")</f>
        <v>23500965000</v>
      </c>
      <c r="V516">
        <f>IFERROR(IF(VLOOKUP($B516,Показатели!$E:$W,19,FALSE)=0,"",VLOOKUP($B516,Показатели!$E:$W,19,FALSE)),"")</f>
        <v>42415376000</v>
      </c>
    </row>
    <row r="517" spans="1:22" x14ac:dyDescent="0.2">
      <c r="A517" s="7" t="s">
        <v>2244</v>
      </c>
      <c r="B517" t="str">
        <f t="shared" si="8"/>
        <v>AQUA IV кв. 2022</v>
      </c>
      <c r="C517">
        <v>2022</v>
      </c>
      <c r="D517">
        <f>SUMIFS(Дивиденды!$C:$C,Дивиденды!$A:$A,A517,Дивиденды!$I:$I,C517)</f>
        <v>40</v>
      </c>
      <c r="E517">
        <f>IFERROR(IF(VLOOKUP($B517,Показатели!$E:$W,2,FALSE)=0,"",VLOOKUP($B517,Показатели!$E:$W,2,FALSE)),"")</f>
        <v>339130000</v>
      </c>
      <c r="F517">
        <f>IFERROR(IF(VLOOKUP($B517,Показатели!$E:$W,3,FALSE)=0,"",VLOOKUP($B517,Показатели!$E:$W,3,FALSE)),"")</f>
        <v>30537820000</v>
      </c>
      <c r="G517">
        <f>IFERROR(IF(VLOOKUP($B517,Показатели!$E:$W,4,FALSE)=0,"",VLOOKUP($B517,Показатели!$E:$W,4,FALSE)),"")</f>
        <v>9638606000</v>
      </c>
      <c r="H517">
        <f>IFERROR(IF(VLOOKUP($B517,Показатели!$E:$W,5,FALSE)=0,"",VLOOKUP($B517,Показатели!$E:$W,5,FALSE)),"")</f>
        <v>445522000</v>
      </c>
      <c r="I517">
        <f>IFERROR(IF(VLOOKUP($B517,Показатели!$E:$W,6,FALSE)=0,"",VLOOKUP($B517,Показатели!$E:$W,6,FALSE)),"")</f>
        <v>42415376000</v>
      </c>
      <c r="J517">
        <f>IFERROR(IF(VLOOKUP($B517,Показатели!$E:$W,7,FALSE)=0,"",VLOOKUP($B517,Показатели!$E:$W,7,FALSE)),"")</f>
        <v>6057423000</v>
      </c>
      <c r="K517">
        <f>IFERROR(IF(VLOOKUP($B517,Показатели!$E:$W,8,FALSE)=0,"",VLOOKUP($B517,Показатели!$E:$W,8,FALSE)),"")</f>
        <v>9083486000</v>
      </c>
      <c r="L517">
        <f>IFERROR(IF(VLOOKUP($B517,Показатели!$E:$W,9,FALSE)=0,"",VLOOKUP($B517,Показатели!$E:$W,9,FALSE)),"")</f>
        <v>18726211000</v>
      </c>
      <c r="M517">
        <f>IFERROR(IF(VLOOKUP($B517,Показатели!$E:$W,10,FALSE)=0,"",VLOOKUP($B517,Показатели!$E:$W,10,FALSE)),"")</f>
        <v>27274467000</v>
      </c>
      <c r="N517">
        <f>IFERROR(IF(VLOOKUP($B517,Показатели!$E:$W,11,FALSE)=0,"",VLOOKUP($B517,Показатели!$E:$W,11,FALSE)),"")</f>
        <v>23500965000</v>
      </c>
      <c r="O517" t="str">
        <f>IFERROR(IF(VLOOKUP($B517,Показатели!$E:$W,12,FALSE)=0,"",VLOOKUP($B517,Показатели!$E:$W,12,FALSE)),"")</f>
        <v/>
      </c>
      <c r="P517">
        <f>IFERROR(IF(VLOOKUP($B517,Показатели!$E:$W,13,FALSE)=0,"",VLOOKUP($B517,Показатели!$E:$W,13,FALSE)),"")</f>
        <v>12256209000</v>
      </c>
      <c r="Q517">
        <f>IFERROR(IF(VLOOKUP($B517,Показатели!$E:$W,14,FALSE)=0,"",VLOOKUP($B517,Показатели!$E:$W,14,FALSE)),"")</f>
        <v>11927393000</v>
      </c>
      <c r="R517">
        <f>IFERROR(IF(VLOOKUP($B517,Показатели!$E:$W,15,FALSE)=0,"",VLOOKUP($B517,Показатели!$E:$W,15,FALSE)),"")</f>
        <v>929337000</v>
      </c>
      <c r="S517">
        <f>IFERROR(IF(VLOOKUP($B517,Показатели!$E:$W,16,FALSE)=0,"",VLOOKUP($B517,Показатели!$E:$W,16,FALSE)),"")</f>
        <v>12932353000</v>
      </c>
      <c r="T517">
        <f>IFERROR(IF(VLOOKUP($B517,Показатели!$E:$W,17,FALSE)=0,"",VLOOKUP($B517,Показатели!$E:$W,17,FALSE)),"")</f>
        <v>-3521374000</v>
      </c>
      <c r="U517">
        <f>IFERROR(IF(VLOOKUP($B517,Показатели!$E:$W,18,FALSE)=0,"",VLOOKUP($B517,Показатели!$E:$W,18,FALSE)),"")</f>
        <v>15904080000</v>
      </c>
      <c r="V517">
        <f>IFERROR(IF(VLOOKUP($B517,Показатели!$E:$W,19,FALSE)=0,"",VLOOKUP($B517,Показатели!$E:$W,19,FALSE)),"")</f>
        <v>28887182000</v>
      </c>
    </row>
    <row r="518" spans="1:22" x14ac:dyDescent="0.2">
      <c r="A518" s="7" t="s">
        <v>2244</v>
      </c>
      <c r="B518" t="str">
        <f t="shared" si="8"/>
        <v>AQUA IV кв. 2021</v>
      </c>
      <c r="C518">
        <v>2021</v>
      </c>
      <c r="D518">
        <f>SUMIFS(Дивиденды!$C:$C,Дивиденды!$A:$A,A518,Дивиденды!$I:$I,C518)</f>
        <v>12</v>
      </c>
      <c r="E518">
        <f>IFERROR(IF(VLOOKUP($B518,Показатели!$E:$W,2,FALSE)=0,"",VLOOKUP($B518,Показатели!$E:$W,2,FALSE)),"")</f>
        <v>298730000</v>
      </c>
      <c r="F518">
        <f>IFERROR(IF(VLOOKUP($B518,Показатели!$E:$W,3,FALSE)=0,"",VLOOKUP($B518,Показатели!$E:$W,3,FALSE)),"")</f>
        <v>19018477000</v>
      </c>
      <c r="G518">
        <f>IFERROR(IF(VLOOKUP($B518,Показатели!$E:$W,4,FALSE)=0,"",VLOOKUP($B518,Показатели!$E:$W,4,FALSE)),"")</f>
        <v>8771811000</v>
      </c>
      <c r="H518">
        <f>IFERROR(IF(VLOOKUP($B518,Показатели!$E:$W,5,FALSE)=0,"",VLOOKUP($B518,Показатели!$E:$W,5,FALSE)),"")</f>
        <v>539314000</v>
      </c>
      <c r="I518">
        <f>IFERROR(IF(VLOOKUP($B518,Показатели!$E:$W,6,FALSE)=0,"",VLOOKUP($B518,Показатели!$E:$W,6,FALSE)),"")</f>
        <v>28887182000</v>
      </c>
      <c r="J518">
        <f>IFERROR(IF(VLOOKUP($B518,Показатели!$E:$W,7,FALSE)=0,"",VLOOKUP($B518,Показатели!$E:$W,7,FALSE)),"")</f>
        <v>5182290000</v>
      </c>
      <c r="K518">
        <f>IFERROR(IF(VLOOKUP($B518,Показатели!$E:$W,8,FALSE)=0,"",VLOOKUP($B518,Показатели!$E:$W,8,FALSE)),"")</f>
        <v>4997654000</v>
      </c>
      <c r="L518">
        <f>IFERROR(IF(VLOOKUP($B518,Показатели!$E:$W,9,FALSE)=0,"",VLOOKUP($B518,Показатели!$E:$W,9,FALSE)),"")</f>
        <v>10094154000</v>
      </c>
      <c r="M518">
        <f>IFERROR(IF(VLOOKUP($B518,Показатели!$E:$W,10,FALSE)=0,"",VLOOKUP($B518,Показатели!$E:$W,10,FALSE)),"")</f>
        <v>18707238000</v>
      </c>
      <c r="N518">
        <f>IFERROR(IF(VLOOKUP($B518,Показатели!$E:$W,11,FALSE)=0,"",VLOOKUP($B518,Показатели!$E:$W,11,FALSE)),"")</f>
        <v>15904080000</v>
      </c>
      <c r="O518" t="str">
        <f>IFERROR(IF(VLOOKUP($B518,Показатели!$E:$W,12,FALSE)=0,"",VLOOKUP($B518,Показатели!$E:$W,12,FALSE)),"")</f>
        <v/>
      </c>
      <c r="P518">
        <f>IFERROR(IF(VLOOKUP($B518,Показатели!$E:$W,13,FALSE)=0,"",VLOOKUP($B518,Показатели!$E:$W,13,FALSE)),"")</f>
        <v>8596775000</v>
      </c>
      <c r="Q518">
        <f>IFERROR(IF(VLOOKUP($B518,Показатели!$E:$W,14,FALSE)=0,"",VLOOKUP($B518,Показатели!$E:$W,14,FALSE)),"")</f>
        <v>8493303000</v>
      </c>
      <c r="R518">
        <f>IFERROR(IF(VLOOKUP($B518,Показатели!$E:$W,15,FALSE)=0,"",VLOOKUP($B518,Показатели!$E:$W,15,FALSE)),"")</f>
        <v>779822000</v>
      </c>
      <c r="S518">
        <f>IFERROR(IF(VLOOKUP($B518,Показатели!$E:$W,16,FALSE)=0,"",VLOOKUP($B518,Показатели!$E:$W,16,FALSE)),"")</f>
        <v>6799977000</v>
      </c>
      <c r="T518">
        <f>IFERROR(IF(VLOOKUP($B518,Показатели!$E:$W,17,FALSE)=0,"",VLOOKUP($B518,Показатели!$E:$W,17,FALSE)),"")</f>
        <v>-3203721000</v>
      </c>
      <c r="U518">
        <f>IFERROR(IF(VLOOKUP($B518,Показатели!$E:$W,18,FALSE)=0,"",VLOOKUP($B518,Показатели!$E:$W,18,FALSE)),"")</f>
        <v>8335917000</v>
      </c>
      <c r="V518">
        <f>IFERROR(IF(VLOOKUP($B518,Показатели!$E:$W,19,FALSE)=0,"",VLOOKUP($B518,Показатели!$E:$W,19,FALSE)),"")</f>
        <v>19813427000</v>
      </c>
    </row>
    <row r="519" spans="1:22" x14ac:dyDescent="0.2">
      <c r="A519" s="7" t="s">
        <v>2244</v>
      </c>
      <c r="B519" t="str">
        <f t="shared" si="8"/>
        <v>AQUA IV кв. 2020</v>
      </c>
      <c r="C519">
        <v>2020</v>
      </c>
      <c r="D519">
        <f>SUMIFS(Дивиденды!$C:$C,Дивиденды!$A:$A,A519,Дивиденды!$I:$I,C519)</f>
        <v>10</v>
      </c>
      <c r="E519">
        <f>IFERROR(IF(VLOOKUP($B519,Показатели!$E:$W,2,FALSE)=0,"",VLOOKUP($B519,Показатели!$E:$W,2,FALSE)),"")</f>
        <v>627884000</v>
      </c>
      <c r="F519">
        <f>IFERROR(IF(VLOOKUP($B519,Показатели!$E:$W,3,FALSE)=0,"",VLOOKUP($B519,Показатели!$E:$W,3,FALSE)),"")</f>
        <v>12552536000</v>
      </c>
      <c r="G519">
        <f>IFERROR(IF(VLOOKUP($B519,Показатели!$E:$W,4,FALSE)=0,"",VLOOKUP($B519,Показатели!$E:$W,4,FALSE)),"")</f>
        <v>6369612000</v>
      </c>
      <c r="H519">
        <f>IFERROR(IF(VLOOKUP($B519,Показатели!$E:$W,5,FALSE)=0,"",VLOOKUP($B519,Показатели!$E:$W,5,FALSE)),"")</f>
        <v>441672000</v>
      </c>
      <c r="I519">
        <f>IFERROR(IF(VLOOKUP($B519,Показатели!$E:$W,6,FALSE)=0,"",VLOOKUP($B519,Показатели!$E:$W,6,FALSE)),"")</f>
        <v>19813427000</v>
      </c>
      <c r="J519">
        <f>IFERROR(IF(VLOOKUP($B519,Показатели!$E:$W,7,FALSE)=0,"",VLOOKUP($B519,Показатели!$E:$W,7,FALSE)),"")</f>
        <v>6354700000</v>
      </c>
      <c r="K519">
        <f>IFERROR(IF(VLOOKUP($B519,Показатели!$E:$W,8,FALSE)=0,"",VLOOKUP($B519,Показатели!$E:$W,8,FALSE)),"")</f>
        <v>1732331000</v>
      </c>
      <c r="L519">
        <f>IFERROR(IF(VLOOKUP($B519,Показатели!$E:$W,9,FALSE)=0,"",VLOOKUP($B519,Показатели!$E:$W,9,FALSE)),"")</f>
        <v>3198756000</v>
      </c>
      <c r="M519">
        <f>IFERROR(IF(VLOOKUP($B519,Показатели!$E:$W,10,FALSE)=0,"",VLOOKUP($B519,Показатели!$E:$W,10,FALSE)),"")</f>
        <v>11726396000</v>
      </c>
      <c r="N519">
        <f>IFERROR(IF(VLOOKUP($B519,Показатели!$E:$W,11,FALSE)=0,"",VLOOKUP($B519,Показатели!$E:$W,11,FALSE)),"")</f>
        <v>8335917000</v>
      </c>
      <c r="O519" t="str">
        <f>IFERROR(IF(VLOOKUP($B519,Показатели!$E:$W,12,FALSE)=0,"",VLOOKUP($B519,Показатели!$E:$W,12,FALSE)),"")</f>
        <v/>
      </c>
      <c r="P519">
        <f>IFERROR(IF(VLOOKUP($B519,Показатели!$E:$W,13,FALSE)=0,"",VLOOKUP($B519,Показатели!$E:$W,13,FALSE)),"")</f>
        <v>3148814000</v>
      </c>
      <c r="Q519">
        <f>IFERROR(IF(VLOOKUP($B519,Показатели!$E:$W,14,FALSE)=0,"",VLOOKUP($B519,Показатели!$E:$W,14,FALSE)),"")</f>
        <v>3112629000</v>
      </c>
      <c r="R519">
        <f>IFERROR(IF(VLOOKUP($B519,Показатели!$E:$W,15,FALSE)=0,"",VLOOKUP($B519,Показатели!$E:$W,15,FALSE)),"")</f>
        <v>498747000</v>
      </c>
      <c r="S519">
        <f>IFERROR(IF(VLOOKUP($B519,Показатели!$E:$W,16,FALSE)=0,"",VLOOKUP($B519,Показатели!$E:$W,16,FALSE)),"")</f>
        <v>3374601000</v>
      </c>
      <c r="T519">
        <f>IFERROR(IF(VLOOKUP($B519,Показатели!$E:$W,17,FALSE)=0,"",VLOOKUP($B519,Показатели!$E:$W,17,FALSE)),"")</f>
        <v>-1840014000</v>
      </c>
      <c r="U519">
        <f>IFERROR(IF(VLOOKUP($B519,Показатели!$E:$W,18,FALSE)=0,"",VLOOKUP($B519,Показатели!$E:$W,18,FALSE)),"")</f>
        <v>8798302000</v>
      </c>
      <c r="V519">
        <f>IFERROR(IF(VLOOKUP($B519,Показатели!$E:$W,19,FALSE)=0,"",VLOOKUP($B519,Показатели!$E:$W,19,FALSE)),"")</f>
        <v>14035540000</v>
      </c>
    </row>
    <row r="520" spans="1:22" x14ac:dyDescent="0.2">
      <c r="A520" s="7" t="s">
        <v>2244</v>
      </c>
      <c r="B520" t="str">
        <f t="shared" si="8"/>
        <v>AQUA IV кв. 2019</v>
      </c>
      <c r="C520">
        <v>2019</v>
      </c>
      <c r="D520">
        <f>SUMIFS(Дивиденды!$C:$C,Дивиденды!$A:$A,A520,Дивиденды!$I:$I,C520)</f>
        <v>0</v>
      </c>
      <c r="E520">
        <f>IFERROR(IF(VLOOKUP($B520,Показатели!$E:$W,2,FALSE)=0,"",VLOOKUP($B520,Показатели!$E:$W,2,FALSE)),"")</f>
        <v>84981000</v>
      </c>
      <c r="F520">
        <f>IFERROR(IF(VLOOKUP($B520,Показатели!$E:$W,3,FALSE)=0,"",VLOOKUP($B520,Показатели!$E:$W,3,FALSE)),"")</f>
        <v>8459729000</v>
      </c>
      <c r="G520">
        <f>IFERROR(IF(VLOOKUP($B520,Показатели!$E:$W,4,FALSE)=0,"",VLOOKUP($B520,Показатели!$E:$W,4,FALSE)),"")</f>
        <v>4783866000</v>
      </c>
      <c r="H520">
        <f>IFERROR(IF(VLOOKUP($B520,Показатели!$E:$W,5,FALSE)=0,"",VLOOKUP($B520,Показатели!$E:$W,5,FALSE)),"")</f>
        <v>49045000</v>
      </c>
      <c r="I520">
        <f>IFERROR(IF(VLOOKUP($B520,Показатели!$E:$W,6,FALSE)=0,"",VLOOKUP($B520,Показатели!$E:$W,6,FALSE)),"")</f>
        <v>14035540000</v>
      </c>
      <c r="J520">
        <f>IFERROR(IF(VLOOKUP($B520,Показатели!$E:$W,7,FALSE)=0,"",VLOOKUP($B520,Показатели!$E:$W,7,FALSE)),"")</f>
        <v>2897705000</v>
      </c>
      <c r="K520">
        <f>IFERROR(IF(VLOOKUP($B520,Показатели!$E:$W,8,FALSE)=0,"",VLOOKUP($B520,Показатели!$E:$W,8,FALSE)),"")</f>
        <v>2073174000</v>
      </c>
      <c r="L520">
        <f>IFERROR(IF(VLOOKUP($B520,Показатели!$E:$W,9,FALSE)=0,"",VLOOKUP($B520,Показатели!$E:$W,9,FALSE)),"")</f>
        <v>527408000</v>
      </c>
      <c r="M520">
        <f>IFERROR(IF(VLOOKUP($B520,Показатели!$E:$W,10,FALSE)=0,"",VLOOKUP($B520,Показатели!$E:$W,10,FALSE)),"")</f>
        <v>9064661000</v>
      </c>
      <c r="N520">
        <f>IFERROR(IF(VLOOKUP($B520,Показатели!$E:$W,11,FALSE)=0,"",VLOOKUP($B520,Показатели!$E:$W,11,FALSE)),"")</f>
        <v>8798302000</v>
      </c>
      <c r="O520" t="str">
        <f>IFERROR(IF(VLOOKUP($B520,Показатели!$E:$W,12,FALSE)=0,"",VLOOKUP($B520,Показатели!$E:$W,12,FALSE)),"")</f>
        <v/>
      </c>
      <c r="P520">
        <f>IFERROR(IF(VLOOKUP($B520,Показатели!$E:$W,13,FALSE)=0,"",VLOOKUP($B520,Показатели!$E:$W,13,FALSE)),"")</f>
        <v>3284574000</v>
      </c>
      <c r="Q520">
        <f>IFERROR(IF(VLOOKUP($B520,Показатели!$E:$W,14,FALSE)=0,"",VLOOKUP($B520,Показатели!$E:$W,14,FALSE)),"")</f>
        <v>3257979000</v>
      </c>
      <c r="R520">
        <f>IFERROR(IF(VLOOKUP($B520,Показатели!$E:$W,15,FALSE)=0,"",VLOOKUP($B520,Показатели!$E:$W,15,FALSE)),"")</f>
        <v>435034000</v>
      </c>
      <c r="S520">
        <f>IFERROR(IF(VLOOKUP($B520,Показатели!$E:$W,16,FALSE)=0,"",VLOOKUP($B520,Показатели!$E:$W,16,FALSE)),"")</f>
        <v>3431909000</v>
      </c>
      <c r="T520">
        <f>IFERROR(IF(VLOOKUP($B520,Показатели!$E:$W,17,FALSE)=0,"",VLOOKUP($B520,Показатели!$E:$W,17,FALSE)),"")</f>
        <v>-2536894000</v>
      </c>
      <c r="U520">
        <f>IFERROR(IF(VLOOKUP($B520,Показатели!$E:$W,18,FALSE)=0,"",VLOOKUP($B520,Показатели!$E:$W,18,FALSE)),"")</f>
        <v>3211572000</v>
      </c>
      <c r="V520">
        <f>IFERROR(IF(VLOOKUP($B520,Показатели!$E:$W,19,FALSE)=0,"",VLOOKUP($B520,Показатели!$E:$W,19,FALSE)),"")</f>
        <v>10952766000</v>
      </c>
    </row>
    <row r="521" spans="1:22" x14ac:dyDescent="0.2">
      <c r="A521" s="7" t="s">
        <v>2244</v>
      </c>
      <c r="B521" t="str">
        <f t="shared" si="8"/>
        <v>AQUA IV кв. 2018</v>
      </c>
      <c r="C521">
        <v>2018</v>
      </c>
      <c r="D521">
        <f>SUMIFS(Дивиденды!$C:$C,Дивиденды!$A:$A,A521,Дивиденды!$I:$I,C521)</f>
        <v>0</v>
      </c>
      <c r="E521">
        <f>IFERROR(IF(VLOOKUP($B521,Показатели!$E:$W,2,FALSE)=0,"",VLOOKUP($B521,Показатели!$E:$W,2,FALSE)),"")</f>
        <v>104702000</v>
      </c>
      <c r="F521">
        <f>IFERROR(IF(VLOOKUP($B521,Показатели!$E:$W,3,FALSE)=0,"",VLOOKUP($B521,Показатели!$E:$W,3,FALSE)),"")</f>
        <v>7136074000</v>
      </c>
      <c r="G521">
        <f>IFERROR(IF(VLOOKUP($B521,Показатели!$E:$W,4,FALSE)=0,"",VLOOKUP($B521,Показатели!$E:$W,4,FALSE)),"")</f>
        <v>3064930000</v>
      </c>
      <c r="H521">
        <f>IFERROR(IF(VLOOKUP($B521,Показатели!$E:$W,5,FALSE)=0,"",VLOOKUP($B521,Показатели!$E:$W,5,FALSE)),"")</f>
        <v>49055000</v>
      </c>
      <c r="I521">
        <f>IFERROR(IF(VLOOKUP($B521,Показатели!$E:$W,6,FALSE)=0,"",VLOOKUP($B521,Показатели!$E:$W,6,FALSE)),"")</f>
        <v>10952766000</v>
      </c>
      <c r="J521">
        <f>IFERROR(IF(VLOOKUP($B521,Показатели!$E:$W,7,FALSE)=0,"",VLOOKUP($B521,Показатели!$E:$W,7,FALSE)),"")</f>
        <v>1280882000</v>
      </c>
      <c r="K521">
        <f>IFERROR(IF(VLOOKUP($B521,Показатели!$E:$W,8,FALSE)=0,"",VLOOKUP($B521,Показатели!$E:$W,8,FALSE)),"")</f>
        <v>3669030000</v>
      </c>
      <c r="L521">
        <f>IFERROR(IF(VLOOKUP($B521,Показатели!$E:$W,9,FALSE)=0,"",VLOOKUP($B521,Показатели!$E:$W,9,FALSE)),"")</f>
        <v>-3534702000</v>
      </c>
      <c r="M521">
        <f>IFERROR(IF(VLOOKUP($B521,Показатели!$E:$W,10,FALSE)=0,"",VLOOKUP($B521,Показатели!$E:$W,10,FALSE)),"")</f>
        <v>6002854000</v>
      </c>
      <c r="N521">
        <f>IFERROR(IF(VLOOKUP($B521,Показатели!$E:$W,11,FALSE)=0,"",VLOOKUP($B521,Показатели!$E:$W,11,FALSE)),"")</f>
        <v>3211572000</v>
      </c>
      <c r="O521" t="str">
        <f>IFERROR(IF(VLOOKUP($B521,Показатели!$E:$W,12,FALSE)=0,"",VLOOKUP($B521,Показатели!$E:$W,12,FALSE)),"")</f>
        <v/>
      </c>
      <c r="P521">
        <f>IFERROR(IF(VLOOKUP($B521,Показатели!$E:$W,13,FALSE)=0,"",VLOOKUP($B521,Показатели!$E:$W,13,FALSE)),"")</f>
        <v>2318671000</v>
      </c>
      <c r="Q521">
        <f>IFERROR(IF(VLOOKUP($B521,Показатели!$E:$W,14,FALSE)=0,"",VLOOKUP($B521,Показатели!$E:$W,14,FALSE)),"")</f>
        <v>2290940000</v>
      </c>
      <c r="R521">
        <f>IFERROR(IF(VLOOKUP($B521,Показатели!$E:$W,15,FALSE)=0,"",VLOOKUP($B521,Показатели!$E:$W,15,FALSE)),"")</f>
        <v>164766000</v>
      </c>
      <c r="S521">
        <f>IFERROR(IF(VLOOKUP($B521,Показатели!$E:$W,16,FALSE)=0,"",VLOOKUP($B521,Показатели!$E:$W,16,FALSE)),"")</f>
        <v>973603000</v>
      </c>
      <c r="T521">
        <f>IFERROR(IF(VLOOKUP($B521,Показатели!$E:$W,17,FALSE)=0,"",VLOOKUP($B521,Показатели!$E:$W,17,FALSE)),"")</f>
        <v>-1274191000</v>
      </c>
      <c r="U521">
        <f>IFERROR(IF(VLOOKUP($B521,Показатели!$E:$W,18,FALSE)=0,"",VLOOKUP($B521,Показатели!$E:$W,18,FALSE)),"")</f>
        <v>5022087000</v>
      </c>
      <c r="V521">
        <f>IFERROR(IF(VLOOKUP($B521,Показатели!$E:$W,19,FALSE)=0,"",VLOOKUP($B521,Показатели!$E:$W,19,FALSE)),"")</f>
        <v>5546745000</v>
      </c>
    </row>
    <row r="522" spans="1:22" x14ac:dyDescent="0.2">
      <c r="A522" s="7" t="s">
        <v>2244</v>
      </c>
      <c r="B522" t="str">
        <f t="shared" si="8"/>
        <v>AQUA IV кв. 2017</v>
      </c>
      <c r="C522">
        <v>2017</v>
      </c>
      <c r="D522">
        <f>SUMIFS(Дивиденды!$C:$C,Дивиденды!$A:$A,A522,Дивиденды!$I:$I,C522)</f>
        <v>0</v>
      </c>
      <c r="E522">
        <f>IFERROR(IF(VLOOKUP($B522,Показатели!$E:$W,2,FALSE)=0,"",VLOOKUP($B522,Показатели!$E:$W,2,FALSE)),"")</f>
        <v>1094110000</v>
      </c>
      <c r="F522">
        <f>IFERROR(IF(VLOOKUP($B522,Показатели!$E:$W,3,FALSE)=0,"",VLOOKUP($B522,Показатели!$E:$W,3,FALSE)),"")</f>
        <v>3307241000</v>
      </c>
      <c r="G522">
        <f>IFERROR(IF(VLOOKUP($B522,Показатели!$E:$W,4,FALSE)=0,"",VLOOKUP($B522,Показатели!$E:$W,4,FALSE)),"")</f>
        <v>2019317000</v>
      </c>
      <c r="H522">
        <f>IFERROR(IF(VLOOKUP($B522,Показатели!$E:$W,5,FALSE)=0,"",VLOOKUP($B522,Показатели!$E:$W,5,FALSE)),"")</f>
        <v>13458000</v>
      </c>
      <c r="I522">
        <f>IFERROR(IF(VLOOKUP($B522,Показатели!$E:$W,6,FALSE)=0,"",VLOOKUP($B522,Показатели!$E:$W,6,FALSE)),"")</f>
        <v>5546745000</v>
      </c>
      <c r="J522">
        <f>IFERROR(IF(VLOOKUP($B522,Показатели!$E:$W,7,FALSE)=0,"",VLOOKUP($B522,Показатели!$E:$W,7,FALSE)),"")</f>
        <v>880456000</v>
      </c>
      <c r="K522">
        <f>IFERROR(IF(VLOOKUP($B522,Показатели!$E:$W,8,FALSE)=0,"",VLOOKUP($B522,Показатели!$E:$W,8,FALSE)),"")</f>
        <v>1152441000</v>
      </c>
      <c r="L522">
        <f>IFERROR(IF(VLOOKUP($B522,Показатели!$E:$W,9,FALSE)=0,"",VLOOKUP($B522,Показатели!$E:$W,9,FALSE)),"")</f>
        <v>-5864822000</v>
      </c>
      <c r="M522">
        <f>IFERROR(IF(VLOOKUP($B522,Показатели!$E:$W,10,FALSE)=0,"",VLOOKUP($B522,Показатели!$E:$W,10,FALSE)),"")</f>
        <v>3513848000</v>
      </c>
      <c r="N522">
        <f>IFERROR(IF(VLOOKUP($B522,Показатели!$E:$W,11,FALSE)=0,"",VLOOKUP($B522,Показатели!$E:$W,11,FALSE)),"")</f>
        <v>5022087000</v>
      </c>
      <c r="O522" t="str">
        <f>IFERROR(IF(VLOOKUP($B522,Показатели!$E:$W,12,FALSE)=0,"",VLOOKUP($B522,Показатели!$E:$W,12,FALSE)),"")</f>
        <v/>
      </c>
      <c r="P522">
        <f>IFERROR(IF(VLOOKUP($B522,Показатели!$E:$W,13,FALSE)=0,"",VLOOKUP($B522,Показатели!$E:$W,13,FALSE)),"")</f>
        <v>372997000</v>
      </c>
      <c r="Q522">
        <f>IFERROR(IF(VLOOKUP($B522,Показатели!$E:$W,14,FALSE)=0,"",VLOOKUP($B522,Показатели!$E:$W,14,FALSE)),"")</f>
        <v>376252000</v>
      </c>
      <c r="R522">
        <f>IFERROR(IF(VLOOKUP($B522,Показатели!$E:$W,15,FALSE)=0,"",VLOOKUP($B522,Показатели!$E:$W,15,FALSE)),"")</f>
        <v>237180000</v>
      </c>
      <c r="S522">
        <f>IFERROR(IF(VLOOKUP($B522,Показатели!$E:$W,16,FALSE)=0,"",VLOOKUP($B522,Показатели!$E:$W,16,FALSE)),"")</f>
        <v>2061385000</v>
      </c>
      <c r="T522">
        <f>IFERROR(IF(VLOOKUP($B522,Показатели!$E:$W,17,FALSE)=0,"",VLOOKUP($B522,Показатели!$E:$W,17,FALSE)),"")</f>
        <v>-571942000</v>
      </c>
      <c r="U522">
        <f>IFERROR(IF(VLOOKUP($B522,Показатели!$E:$W,18,FALSE)=0,"",VLOOKUP($B522,Показатели!$E:$W,18,FALSE)),"")</f>
        <v>2475528000</v>
      </c>
      <c r="V522">
        <f>IFERROR(IF(VLOOKUP($B522,Показатели!$E:$W,19,FALSE)=0,"",VLOOKUP($B522,Показатели!$E:$W,19,FALSE)),"")</f>
        <v>5944949000</v>
      </c>
    </row>
    <row r="523" spans="1:22" x14ac:dyDescent="0.2">
      <c r="A523" s="7" t="s">
        <v>2244</v>
      </c>
      <c r="B523" t="str">
        <f t="shared" si="8"/>
        <v>AQUA IV кв. 2016</v>
      </c>
      <c r="C523">
        <v>2016</v>
      </c>
      <c r="D523">
        <f>SUMIFS(Дивиденды!$C:$C,Дивиденды!$A:$A,A523,Дивиденды!$I:$I,C523)</f>
        <v>0</v>
      </c>
      <c r="E523">
        <f>IFERROR(IF(VLOOKUP($B523,Показатели!$E:$W,2,FALSE)=0,"",VLOOKUP($B523,Показатели!$E:$W,2,FALSE)),"")</f>
        <v>33887000</v>
      </c>
      <c r="F523">
        <f>IFERROR(IF(VLOOKUP($B523,Показатели!$E:$W,3,FALSE)=0,"",VLOOKUP($B523,Показатели!$E:$W,3,FALSE)),"")</f>
        <v>4209359000</v>
      </c>
      <c r="G523">
        <f>IFERROR(IF(VLOOKUP($B523,Показатели!$E:$W,4,FALSE)=0,"",VLOOKUP($B523,Показатели!$E:$W,4,FALSE)),"")</f>
        <v>1722708000</v>
      </c>
      <c r="H523" t="str">
        <f>IFERROR(IF(VLOOKUP($B523,Показатели!$E:$W,5,FALSE)=0,"",VLOOKUP($B523,Показатели!$E:$W,5,FALSE)),"")</f>
        <v/>
      </c>
      <c r="I523">
        <f>IFERROR(IF(VLOOKUP($B523,Показатели!$E:$W,6,FALSE)=0,"",VLOOKUP($B523,Показатели!$E:$W,6,FALSE)),"")</f>
        <v>5944949000</v>
      </c>
      <c r="J523">
        <f>IFERROR(IF(VLOOKUP($B523,Показатели!$E:$W,7,FALSE)=0,"",VLOOKUP($B523,Показатели!$E:$W,7,FALSE)),"")</f>
        <v>3231349000</v>
      </c>
      <c r="K523">
        <f>IFERROR(IF(VLOOKUP($B523,Показатели!$E:$W,8,FALSE)=0,"",VLOOKUP($B523,Показатели!$E:$W,8,FALSE)),"")</f>
        <v>346874000</v>
      </c>
      <c r="L523">
        <f>IFERROR(IF(VLOOKUP($B523,Показатели!$E:$W,9,FALSE)=0,"",VLOOKUP($B523,Показатели!$E:$W,9,FALSE)),"")</f>
        <v>-6241074000</v>
      </c>
      <c r="M523">
        <f>IFERROR(IF(VLOOKUP($B523,Показатели!$E:$W,10,FALSE)=0,"",VLOOKUP($B523,Показатели!$E:$W,10,FALSE)),"")</f>
        <v>2366726000</v>
      </c>
      <c r="N523">
        <f>IFERROR(IF(VLOOKUP($B523,Показатели!$E:$W,11,FALSE)=0,"",VLOOKUP($B523,Показатели!$E:$W,11,FALSE)),"")</f>
        <v>2475528000</v>
      </c>
      <c r="O523" t="str">
        <f>IFERROR(IF(VLOOKUP($B523,Показатели!$E:$W,12,FALSE)=0,"",VLOOKUP($B523,Показатели!$E:$W,12,FALSE)),"")</f>
        <v/>
      </c>
      <c r="P523">
        <f>IFERROR(IF(VLOOKUP($B523,Показатели!$E:$W,13,FALSE)=0,"",VLOOKUP($B523,Показатели!$E:$W,13,FALSE)),"")</f>
        <v>2190646000</v>
      </c>
      <c r="Q523">
        <f>IFERROR(IF(VLOOKUP($B523,Показатели!$E:$W,14,FALSE)=0,"",VLOOKUP($B523,Показатели!$E:$W,14,FALSE)),"")</f>
        <v>2133074000</v>
      </c>
      <c r="R523" t="str">
        <f>IFERROR(IF(VLOOKUP($B523,Показатели!$E:$W,15,FALSE)=0,"",VLOOKUP($B523,Показатели!$E:$W,15,FALSE)),"")</f>
        <v/>
      </c>
      <c r="S523" t="str">
        <f>IFERROR(IF(VLOOKUP($B523,Показатели!$E:$W,16,FALSE)=0,"",VLOOKUP($B523,Показатели!$E:$W,16,FALSE)),"")</f>
        <v/>
      </c>
      <c r="T523">
        <f>IFERROR(IF(VLOOKUP($B523,Показатели!$E:$W,17,FALSE)=0,"",VLOOKUP($B523,Показатели!$E:$W,17,FALSE)),"")</f>
        <v>-150070000</v>
      </c>
      <c r="U523" t="str">
        <f>IFERROR(IF(VLOOKUP($B523,Показатели!$E:$W,18,FALSE)=0,"",VLOOKUP($B523,Показатели!$E:$W,18,FALSE)),"")</f>
        <v/>
      </c>
      <c r="V523" t="str">
        <f>IFERROR(IF(VLOOKUP($B523,Показатели!$E:$W,19,FALSE)=0,"",VLOOKUP($B523,Показатели!$E:$W,19,FALSE)),"")</f>
        <v/>
      </c>
    </row>
    <row r="524" spans="1:22" x14ac:dyDescent="0.2">
      <c r="A524" s="7" t="s">
        <v>2244</v>
      </c>
      <c r="B524" t="str">
        <f t="shared" si="8"/>
        <v>AQUA IV кв. 2015</v>
      </c>
      <c r="C524">
        <v>2015</v>
      </c>
      <c r="D524">
        <f>SUMIFS(Дивиденды!$C:$C,Дивиденды!$A:$A,A524,Дивиденды!$I:$I,C524)</f>
        <v>0</v>
      </c>
      <c r="E524" t="str">
        <f>IFERROR(IF(VLOOKUP($B524,Показатели!$E:$W,2,FALSE)=0,"",VLOOKUP($B524,Показатели!$E:$W,2,FALSE)),"")</f>
        <v/>
      </c>
      <c r="F524" t="str">
        <f>IFERROR(IF(VLOOKUP($B524,Показатели!$E:$W,3,FALSE)=0,"",VLOOKUP($B524,Показатели!$E:$W,3,FALSE)),"")</f>
        <v/>
      </c>
      <c r="G524" t="str">
        <f>IFERROR(IF(VLOOKUP($B524,Показатели!$E:$W,4,FALSE)=0,"",VLOOKUP($B524,Показатели!$E:$W,4,FALSE)),"")</f>
        <v/>
      </c>
      <c r="H524" t="str">
        <f>IFERROR(IF(VLOOKUP($B524,Показатели!$E:$W,5,FALSE)=0,"",VLOOKUP($B524,Показатели!$E:$W,5,FALSE)),"")</f>
        <v/>
      </c>
      <c r="I524" t="str">
        <f>IFERROR(IF(VLOOKUP($B524,Показатели!$E:$W,6,FALSE)=0,"",VLOOKUP($B524,Показатели!$E:$W,6,FALSE)),"")</f>
        <v/>
      </c>
      <c r="J524" t="str">
        <f>IFERROR(IF(VLOOKUP($B524,Показатели!$E:$W,7,FALSE)=0,"",VLOOKUP($B524,Показатели!$E:$W,7,FALSE)),"")</f>
        <v/>
      </c>
      <c r="K524" t="str">
        <f>IFERROR(IF(VLOOKUP($B524,Показатели!$E:$W,8,FALSE)=0,"",VLOOKUP($B524,Показатели!$E:$W,8,FALSE)),"")</f>
        <v/>
      </c>
      <c r="L524" t="str">
        <f>IFERROR(IF(VLOOKUP($B524,Показатели!$E:$W,9,FALSE)=0,"",VLOOKUP($B524,Показатели!$E:$W,9,FALSE)),"")</f>
        <v/>
      </c>
      <c r="M524" t="str">
        <f>IFERROR(IF(VLOOKUP($B524,Показатели!$E:$W,10,FALSE)=0,"",VLOOKUP($B524,Показатели!$E:$W,10,FALSE)),"")</f>
        <v/>
      </c>
      <c r="N524" t="str">
        <f>IFERROR(IF(VLOOKUP($B524,Показатели!$E:$W,11,FALSE)=0,"",VLOOKUP($B524,Показатели!$E:$W,11,FALSE)),"")</f>
        <v/>
      </c>
      <c r="O524" t="str">
        <f>IFERROR(IF(VLOOKUP($B524,Показатели!$E:$W,12,FALSE)=0,"",VLOOKUP($B524,Показатели!$E:$W,12,FALSE)),"")</f>
        <v/>
      </c>
      <c r="P524" t="str">
        <f>IFERROR(IF(VLOOKUP($B524,Показатели!$E:$W,13,FALSE)=0,"",VLOOKUP($B524,Показатели!$E:$W,13,FALSE)),"")</f>
        <v/>
      </c>
      <c r="Q524" t="str">
        <f>IFERROR(IF(VLOOKUP($B524,Показатели!$E:$W,14,FALSE)=0,"",VLOOKUP($B524,Показатели!$E:$W,14,FALSE)),"")</f>
        <v/>
      </c>
      <c r="R524" t="str">
        <f>IFERROR(IF(VLOOKUP($B524,Показатели!$E:$W,15,FALSE)=0,"",VLOOKUP($B524,Показатели!$E:$W,15,FALSE)),"")</f>
        <v/>
      </c>
      <c r="S524" t="str">
        <f>IFERROR(IF(VLOOKUP($B524,Показатели!$E:$W,16,FALSE)=0,"",VLOOKUP($B524,Показатели!$E:$W,16,FALSE)),"")</f>
        <v/>
      </c>
      <c r="T524" t="str">
        <f>IFERROR(IF(VLOOKUP($B524,Показатели!$E:$W,17,FALSE)=0,"",VLOOKUP($B524,Показатели!$E:$W,17,FALSE)),"")</f>
        <v/>
      </c>
      <c r="U524" t="str">
        <f>IFERROR(IF(VLOOKUP($B524,Показатели!$E:$W,18,FALSE)=0,"",VLOOKUP($B524,Показатели!$E:$W,18,FALSE)),"")</f>
        <v/>
      </c>
      <c r="V524" t="str">
        <f>IFERROR(IF(VLOOKUP($B524,Показатели!$E:$W,19,FALSE)=0,"",VLOOKUP($B524,Показатели!$E:$W,19,FALSE)),"")</f>
        <v/>
      </c>
    </row>
    <row r="525" spans="1:22" x14ac:dyDescent="0.2">
      <c r="A525" s="7" t="s">
        <v>2244</v>
      </c>
      <c r="B525" t="str">
        <f t="shared" si="8"/>
        <v>AQUA IV кв. 2014</v>
      </c>
      <c r="C525">
        <v>2014</v>
      </c>
      <c r="D525">
        <f>SUMIFS(Дивиденды!$C:$C,Дивиденды!$A:$A,A525,Дивиденды!$I:$I,C525)</f>
        <v>0</v>
      </c>
      <c r="E525" t="str">
        <f>IFERROR(IF(VLOOKUP($B525,Показатели!$E:$W,2,FALSE)=0,"",VLOOKUP($B525,Показатели!$E:$W,2,FALSE)),"")</f>
        <v/>
      </c>
      <c r="F525" t="str">
        <f>IFERROR(IF(VLOOKUP($B525,Показатели!$E:$W,3,FALSE)=0,"",VLOOKUP($B525,Показатели!$E:$W,3,FALSE)),"")</f>
        <v/>
      </c>
      <c r="G525" t="str">
        <f>IFERROR(IF(VLOOKUP($B525,Показатели!$E:$W,4,FALSE)=0,"",VLOOKUP($B525,Показатели!$E:$W,4,FALSE)),"")</f>
        <v/>
      </c>
      <c r="H525" t="str">
        <f>IFERROR(IF(VLOOKUP($B525,Показатели!$E:$W,5,FALSE)=0,"",VLOOKUP($B525,Показатели!$E:$W,5,FALSE)),"")</f>
        <v/>
      </c>
      <c r="I525" t="str">
        <f>IFERROR(IF(VLOOKUP($B525,Показатели!$E:$W,6,FALSE)=0,"",VLOOKUP($B525,Показатели!$E:$W,6,FALSE)),"")</f>
        <v/>
      </c>
      <c r="J525" t="str">
        <f>IFERROR(IF(VLOOKUP($B525,Показатели!$E:$W,7,FALSE)=0,"",VLOOKUP($B525,Показатели!$E:$W,7,FALSE)),"")</f>
        <v/>
      </c>
      <c r="K525" t="str">
        <f>IFERROR(IF(VLOOKUP($B525,Показатели!$E:$W,8,FALSE)=0,"",VLOOKUP($B525,Показатели!$E:$W,8,FALSE)),"")</f>
        <v/>
      </c>
      <c r="L525" t="str">
        <f>IFERROR(IF(VLOOKUP($B525,Показатели!$E:$W,9,FALSE)=0,"",VLOOKUP($B525,Показатели!$E:$W,9,FALSE)),"")</f>
        <v/>
      </c>
      <c r="M525" t="str">
        <f>IFERROR(IF(VLOOKUP($B525,Показатели!$E:$W,10,FALSE)=0,"",VLOOKUP($B525,Показатели!$E:$W,10,FALSE)),"")</f>
        <v/>
      </c>
      <c r="N525" t="str">
        <f>IFERROR(IF(VLOOKUP($B525,Показатели!$E:$W,11,FALSE)=0,"",VLOOKUP($B525,Показатели!$E:$W,11,FALSE)),"")</f>
        <v/>
      </c>
      <c r="O525" t="str">
        <f>IFERROR(IF(VLOOKUP($B525,Показатели!$E:$W,12,FALSE)=0,"",VLOOKUP($B525,Показатели!$E:$W,12,FALSE)),"")</f>
        <v/>
      </c>
      <c r="P525" t="str">
        <f>IFERROR(IF(VLOOKUP($B525,Показатели!$E:$W,13,FALSE)=0,"",VLOOKUP($B525,Показатели!$E:$W,13,FALSE)),"")</f>
        <v/>
      </c>
      <c r="Q525" t="str">
        <f>IFERROR(IF(VLOOKUP($B525,Показатели!$E:$W,14,FALSE)=0,"",VLOOKUP($B525,Показатели!$E:$W,14,FALSE)),"")</f>
        <v/>
      </c>
      <c r="R525" t="str">
        <f>IFERROR(IF(VLOOKUP($B525,Показатели!$E:$W,15,FALSE)=0,"",VLOOKUP($B525,Показатели!$E:$W,15,FALSE)),"")</f>
        <v/>
      </c>
      <c r="S525" t="str">
        <f>IFERROR(IF(VLOOKUP($B525,Показатели!$E:$W,16,FALSE)=0,"",VLOOKUP($B525,Показатели!$E:$W,16,FALSE)),"")</f>
        <v/>
      </c>
      <c r="T525" t="str">
        <f>IFERROR(IF(VLOOKUP($B525,Показатели!$E:$W,17,FALSE)=0,"",VLOOKUP($B525,Показатели!$E:$W,17,FALSE)),"")</f>
        <v/>
      </c>
      <c r="U525" t="str">
        <f>IFERROR(IF(VLOOKUP($B525,Показатели!$E:$W,18,FALSE)=0,"",VLOOKUP($B525,Показатели!$E:$W,18,FALSE)),"")</f>
        <v/>
      </c>
      <c r="V525" t="str">
        <f>IFERROR(IF(VLOOKUP($B525,Показатели!$E:$W,19,FALSE)=0,"",VLOOKUP($B525,Показатели!$E:$W,19,FALSE)),"")</f>
        <v/>
      </c>
    </row>
    <row r="526" spans="1:22" x14ac:dyDescent="0.2">
      <c r="A526" s="7" t="s">
        <v>2244</v>
      </c>
      <c r="B526" t="str">
        <f t="shared" si="8"/>
        <v>AQUA IV кв. 2013</v>
      </c>
      <c r="C526">
        <v>2013</v>
      </c>
      <c r="D526">
        <f>SUMIFS(Дивиденды!$C:$C,Дивиденды!$A:$A,A526,Дивиденды!$I:$I,C526)</f>
        <v>0</v>
      </c>
      <c r="E526" t="str">
        <f>IFERROR(IF(VLOOKUP($B526,Показатели!$E:$W,2,FALSE)=0,"",VLOOKUP($B526,Показатели!$E:$W,2,FALSE)),"")</f>
        <v/>
      </c>
      <c r="F526" t="str">
        <f>IFERROR(IF(VLOOKUP($B526,Показатели!$E:$W,3,FALSE)=0,"",VLOOKUP($B526,Показатели!$E:$W,3,FALSE)),"")</f>
        <v/>
      </c>
      <c r="G526" t="str">
        <f>IFERROR(IF(VLOOKUP($B526,Показатели!$E:$W,4,FALSE)=0,"",VLOOKUP($B526,Показатели!$E:$W,4,FALSE)),"")</f>
        <v/>
      </c>
      <c r="H526" t="str">
        <f>IFERROR(IF(VLOOKUP($B526,Показатели!$E:$W,5,FALSE)=0,"",VLOOKUP($B526,Показатели!$E:$W,5,FALSE)),"")</f>
        <v/>
      </c>
      <c r="I526" t="str">
        <f>IFERROR(IF(VLOOKUP($B526,Показатели!$E:$W,6,FALSE)=0,"",VLOOKUP($B526,Показатели!$E:$W,6,FALSE)),"")</f>
        <v/>
      </c>
      <c r="J526" t="str">
        <f>IFERROR(IF(VLOOKUP($B526,Показатели!$E:$W,7,FALSE)=0,"",VLOOKUP($B526,Показатели!$E:$W,7,FALSE)),"")</f>
        <v/>
      </c>
      <c r="K526" t="str">
        <f>IFERROR(IF(VLOOKUP($B526,Показатели!$E:$W,8,FALSE)=0,"",VLOOKUP($B526,Показатели!$E:$W,8,FALSE)),"")</f>
        <v/>
      </c>
      <c r="L526" t="str">
        <f>IFERROR(IF(VLOOKUP($B526,Показатели!$E:$W,9,FALSE)=0,"",VLOOKUP($B526,Показатели!$E:$W,9,FALSE)),"")</f>
        <v/>
      </c>
      <c r="M526" t="str">
        <f>IFERROR(IF(VLOOKUP($B526,Показатели!$E:$W,10,FALSE)=0,"",VLOOKUP($B526,Показатели!$E:$W,10,FALSE)),"")</f>
        <v/>
      </c>
      <c r="N526" t="str">
        <f>IFERROR(IF(VLOOKUP($B526,Показатели!$E:$W,11,FALSE)=0,"",VLOOKUP($B526,Показатели!$E:$W,11,FALSE)),"")</f>
        <v/>
      </c>
      <c r="O526" t="str">
        <f>IFERROR(IF(VLOOKUP($B526,Показатели!$E:$W,12,FALSE)=0,"",VLOOKUP($B526,Показатели!$E:$W,12,FALSE)),"")</f>
        <v/>
      </c>
      <c r="P526" t="str">
        <f>IFERROR(IF(VLOOKUP($B526,Показатели!$E:$W,13,FALSE)=0,"",VLOOKUP($B526,Показатели!$E:$W,13,FALSE)),"")</f>
        <v/>
      </c>
      <c r="Q526" t="str">
        <f>IFERROR(IF(VLOOKUP($B526,Показатели!$E:$W,14,FALSE)=0,"",VLOOKUP($B526,Показатели!$E:$W,14,FALSE)),"")</f>
        <v/>
      </c>
      <c r="R526" t="str">
        <f>IFERROR(IF(VLOOKUP($B526,Показатели!$E:$W,15,FALSE)=0,"",VLOOKUP($B526,Показатели!$E:$W,15,FALSE)),"")</f>
        <v/>
      </c>
      <c r="S526" t="str">
        <f>IFERROR(IF(VLOOKUP($B526,Показатели!$E:$W,16,FALSE)=0,"",VLOOKUP($B526,Показатели!$E:$W,16,FALSE)),"")</f>
        <v/>
      </c>
      <c r="T526" t="str">
        <f>IFERROR(IF(VLOOKUP($B526,Показатели!$E:$W,17,FALSE)=0,"",VLOOKUP($B526,Показатели!$E:$W,17,FALSE)),"")</f>
        <v/>
      </c>
      <c r="U526" t="str">
        <f>IFERROR(IF(VLOOKUP($B526,Показатели!$E:$W,18,FALSE)=0,"",VLOOKUP($B526,Показатели!$E:$W,18,FALSE)),"")</f>
        <v/>
      </c>
      <c r="V526" t="str">
        <f>IFERROR(IF(VLOOKUP($B526,Показатели!$E:$W,19,FALSE)=0,"",VLOOKUP($B526,Показатели!$E:$W,19,FALSE)),"")</f>
        <v/>
      </c>
    </row>
    <row r="527" spans="1:22" x14ac:dyDescent="0.2">
      <c r="A527" s="7" t="s">
        <v>2244</v>
      </c>
      <c r="B527" t="str">
        <f t="shared" si="8"/>
        <v>AQUA IV кв. 2012</v>
      </c>
      <c r="C527">
        <v>2012</v>
      </c>
      <c r="D527">
        <f>SUMIFS(Дивиденды!$C:$C,Дивиденды!$A:$A,A527,Дивиденды!$I:$I,C527)</f>
        <v>0</v>
      </c>
      <c r="E527">
        <f>IFERROR(IF(VLOOKUP($B527,Показатели!$E:$W,2,FALSE)=0,"",VLOOKUP($B527,Показатели!$E:$W,2,FALSE)),"")</f>
        <v>640894000</v>
      </c>
      <c r="F527">
        <f>IFERROR(IF(VLOOKUP($B527,Показатели!$E:$W,3,FALSE)=0,"",VLOOKUP($B527,Показатели!$E:$W,3,FALSE)),"")</f>
        <v>5187510000</v>
      </c>
      <c r="G527">
        <f>IFERROR(IF(VLOOKUP($B527,Показатели!$E:$W,4,FALSE)=0,"",VLOOKUP($B527,Показатели!$E:$W,4,FALSE)),"")</f>
        <v>444408000</v>
      </c>
      <c r="H527" t="str">
        <f>IFERROR(IF(VLOOKUP($B527,Показатели!$E:$W,5,FALSE)=0,"",VLOOKUP($B527,Показатели!$E:$W,5,FALSE)),"")</f>
        <v/>
      </c>
      <c r="I527">
        <f>IFERROR(IF(VLOOKUP($B527,Показатели!$E:$W,6,FALSE)=0,"",VLOOKUP($B527,Показатели!$E:$W,6,FALSE)),"")</f>
        <v>5735042000</v>
      </c>
      <c r="J527">
        <f>IFERROR(IF(VLOOKUP($B527,Показатели!$E:$W,7,FALSE)=0,"",VLOOKUP($B527,Показатели!$E:$W,7,FALSE)),"")</f>
        <v>3934674000</v>
      </c>
      <c r="K527">
        <f>IFERROR(IF(VLOOKUP($B527,Показатели!$E:$W,8,FALSE)=0,"",VLOOKUP($B527,Показатели!$E:$W,8,FALSE)),"")</f>
        <v>2011332000</v>
      </c>
      <c r="L527" t="str">
        <f>IFERROR(IF(VLOOKUP($B527,Показатели!$E:$W,9,FALSE)=0,"",VLOOKUP($B527,Показатели!$E:$W,9,FALSE)),"")</f>
        <v/>
      </c>
      <c r="M527">
        <f>IFERROR(IF(VLOOKUP($B527,Показатели!$E:$W,10,FALSE)=0,"",VLOOKUP($B527,Показатели!$E:$W,10,FALSE)),"")</f>
        <v>-210964000</v>
      </c>
      <c r="N527">
        <f>IFERROR(IF(VLOOKUP($B527,Показатели!$E:$W,11,FALSE)=0,"",VLOOKUP($B527,Показатели!$E:$W,11,FALSE)),"")</f>
        <v>16008257000</v>
      </c>
      <c r="O527" t="str">
        <f>IFERROR(IF(VLOOKUP($B527,Показатели!$E:$W,12,FALSE)=0,"",VLOOKUP($B527,Показатели!$E:$W,12,FALSE)),"")</f>
        <v/>
      </c>
      <c r="P527">
        <f>IFERROR(IF(VLOOKUP($B527,Показатели!$E:$W,13,FALSE)=0,"",VLOOKUP($B527,Показатели!$E:$W,13,FALSE)),"")</f>
        <v>-106560000</v>
      </c>
      <c r="Q527">
        <f>IFERROR(IF(VLOOKUP($B527,Показатели!$E:$W,14,FALSE)=0,"",VLOOKUP($B527,Показатели!$E:$W,14,FALSE)),"")</f>
        <v>-102329000</v>
      </c>
      <c r="R527" t="str">
        <f>IFERROR(IF(VLOOKUP($B527,Показатели!$E:$W,15,FALSE)=0,"",VLOOKUP($B527,Показатели!$E:$W,15,FALSE)),"")</f>
        <v/>
      </c>
      <c r="S527">
        <f>IFERROR(IF(VLOOKUP($B527,Показатели!$E:$W,16,FALSE)=0,"",VLOOKUP($B527,Показатели!$E:$W,16,FALSE)),"")</f>
        <v>62700000</v>
      </c>
      <c r="T527" t="str">
        <f>IFERROR(IF(VLOOKUP($B527,Показатели!$E:$W,17,FALSE)=0,"",VLOOKUP($B527,Показатели!$E:$W,17,FALSE)),"")</f>
        <v/>
      </c>
      <c r="U527">
        <f>IFERROR(IF(VLOOKUP($B527,Показатели!$E:$W,18,FALSE)=0,"",VLOOKUP($B527,Показатели!$E:$W,18,FALSE)),"")</f>
        <v>18557606000</v>
      </c>
      <c r="V527">
        <f>IFERROR(IF(VLOOKUP($B527,Показатели!$E:$W,19,FALSE)=0,"",VLOOKUP($B527,Показатели!$E:$W,19,FALSE)),"")</f>
        <v>6670426000</v>
      </c>
    </row>
    <row r="528" spans="1:22" x14ac:dyDescent="0.2">
      <c r="A528" s="7" t="s">
        <v>2244</v>
      </c>
      <c r="B528" t="str">
        <f t="shared" si="8"/>
        <v>AQUA IV кв. 2011</v>
      </c>
      <c r="C528">
        <v>2011</v>
      </c>
      <c r="D528">
        <f>SUMIFS(Дивиденды!$C:$C,Дивиденды!$A:$A,A528,Дивиденды!$I:$I,C528)</f>
        <v>0</v>
      </c>
      <c r="E528">
        <f>IFERROR(IF(VLOOKUP($B528,Показатели!$E:$W,2,FALSE)=0,"",VLOOKUP($B528,Показатели!$E:$W,2,FALSE)),"")</f>
        <v>506443000</v>
      </c>
      <c r="F528">
        <f>IFERROR(IF(VLOOKUP($B528,Показатели!$E:$W,3,FALSE)=0,"",VLOOKUP($B528,Показатели!$E:$W,3,FALSE)),"")</f>
        <v>5074273000</v>
      </c>
      <c r="G528">
        <f>IFERROR(IF(VLOOKUP($B528,Показатели!$E:$W,4,FALSE)=0,"",VLOOKUP($B528,Показатели!$E:$W,4,FALSE)),"")</f>
        <v>1394084000</v>
      </c>
      <c r="H528" t="str">
        <f>IFERROR(IF(VLOOKUP($B528,Показатели!$E:$W,5,FALSE)=0,"",VLOOKUP($B528,Показатели!$E:$W,5,FALSE)),"")</f>
        <v/>
      </c>
      <c r="I528">
        <f>IFERROR(IF(VLOOKUP($B528,Показатели!$E:$W,6,FALSE)=0,"",VLOOKUP($B528,Показатели!$E:$W,6,FALSE)),"")</f>
        <v>6670426000</v>
      </c>
      <c r="J528">
        <f>IFERROR(IF(VLOOKUP($B528,Показатели!$E:$W,7,FALSE)=0,"",VLOOKUP($B528,Показатели!$E:$W,7,FALSE)),"")</f>
        <v>5774650000</v>
      </c>
      <c r="K528" t="str">
        <f>IFERROR(IF(VLOOKUP($B528,Показатели!$E:$W,8,FALSE)=0,"",VLOOKUP($B528,Показатели!$E:$W,8,FALSE)),"")</f>
        <v/>
      </c>
      <c r="L528" t="str">
        <f>IFERROR(IF(VLOOKUP($B528,Показатели!$E:$W,9,FALSE)=0,"",VLOOKUP($B528,Показатели!$E:$W,9,FALSE)),"")</f>
        <v/>
      </c>
      <c r="M528">
        <f>IFERROR(IF(VLOOKUP($B528,Показатели!$E:$W,10,FALSE)=0,"",VLOOKUP($B528,Показатели!$E:$W,10,FALSE)),"")</f>
        <v>895776000</v>
      </c>
      <c r="N528">
        <f>IFERROR(IF(VLOOKUP($B528,Показатели!$E:$W,11,FALSE)=0,"",VLOOKUP($B528,Показатели!$E:$W,11,FALSE)),"")</f>
        <v>18557606000</v>
      </c>
      <c r="O528" t="str">
        <f>IFERROR(IF(VLOOKUP($B528,Показатели!$E:$W,12,FALSE)=0,"",VLOOKUP($B528,Показатели!$E:$W,12,FALSE)),"")</f>
        <v/>
      </c>
      <c r="P528">
        <f>IFERROR(IF(VLOOKUP($B528,Показатели!$E:$W,13,FALSE)=0,"",VLOOKUP($B528,Показатели!$E:$W,13,FALSE)),"")</f>
        <v>-453054000</v>
      </c>
      <c r="Q528">
        <f>IFERROR(IF(VLOOKUP($B528,Показатели!$E:$W,14,FALSE)=0,"",VLOOKUP($B528,Показатели!$E:$W,14,FALSE)),"")</f>
        <v>-486649000</v>
      </c>
      <c r="R528" t="str">
        <f>IFERROR(IF(VLOOKUP($B528,Показатели!$E:$W,15,FALSE)=0,"",VLOOKUP($B528,Показатели!$E:$W,15,FALSE)),"")</f>
        <v/>
      </c>
      <c r="S528">
        <f>IFERROR(IF(VLOOKUP($B528,Показатели!$E:$W,16,FALSE)=0,"",VLOOKUP($B528,Показатели!$E:$W,16,FALSE)),"")</f>
        <v>117100000</v>
      </c>
      <c r="T528" t="str">
        <f>IFERROR(IF(VLOOKUP($B528,Показатели!$E:$W,17,FALSE)=0,"",VLOOKUP($B528,Показатели!$E:$W,17,FALSE)),"")</f>
        <v/>
      </c>
      <c r="U528" t="str">
        <f>IFERROR(IF(VLOOKUP($B528,Показатели!$E:$W,18,FALSE)=0,"",VLOOKUP($B528,Показатели!$E:$W,18,FALSE)),"")</f>
        <v/>
      </c>
      <c r="V528" t="str">
        <f>IFERROR(IF(VLOOKUP($B528,Показатели!$E:$W,19,FALSE)=0,"",VLOOKUP($B528,Показатели!$E:$W,19,FALSE)),"")</f>
        <v/>
      </c>
    </row>
    <row r="529" spans="1:22" x14ac:dyDescent="0.2">
      <c r="A529" s="7" t="s">
        <v>2244</v>
      </c>
      <c r="B529" t="str">
        <f t="shared" si="8"/>
        <v>AQUA IV кв. 2010</v>
      </c>
      <c r="C529">
        <v>2010</v>
      </c>
      <c r="D529">
        <f>SUMIFS(Дивиденды!$C:$C,Дивиденды!$A:$A,A529,Дивиденды!$I:$I,C529)</f>
        <v>0</v>
      </c>
      <c r="E529" t="str">
        <f>IFERROR(IF(VLOOKUP($B529,Показатели!$E:$W,2,FALSE)=0,"",VLOOKUP($B529,Показатели!$E:$W,2,FALSE)),"")</f>
        <v/>
      </c>
      <c r="F529" t="str">
        <f>IFERROR(IF(VLOOKUP($B529,Показатели!$E:$W,3,FALSE)=0,"",VLOOKUP($B529,Показатели!$E:$W,3,FALSE)),"")</f>
        <v/>
      </c>
      <c r="G529" t="str">
        <f>IFERROR(IF(VLOOKUP($B529,Показатели!$E:$W,4,FALSE)=0,"",VLOOKUP($B529,Показатели!$E:$W,4,FALSE)),"")</f>
        <v/>
      </c>
      <c r="H529" t="str">
        <f>IFERROR(IF(VLOOKUP($B529,Показатели!$E:$W,5,FALSE)=0,"",VLOOKUP($B529,Показатели!$E:$W,5,FALSE)),"")</f>
        <v/>
      </c>
      <c r="I529" t="str">
        <f>IFERROR(IF(VLOOKUP($B529,Показатели!$E:$W,6,FALSE)=0,"",VLOOKUP($B529,Показатели!$E:$W,6,FALSE)),"")</f>
        <v/>
      </c>
      <c r="J529" t="str">
        <f>IFERROR(IF(VLOOKUP($B529,Показатели!$E:$W,7,FALSE)=0,"",VLOOKUP($B529,Показатели!$E:$W,7,FALSE)),"")</f>
        <v/>
      </c>
      <c r="K529" t="str">
        <f>IFERROR(IF(VLOOKUP($B529,Показатели!$E:$W,8,FALSE)=0,"",VLOOKUP($B529,Показатели!$E:$W,8,FALSE)),"")</f>
        <v/>
      </c>
      <c r="L529" t="str">
        <f>IFERROR(IF(VLOOKUP($B529,Показатели!$E:$W,9,FALSE)=0,"",VLOOKUP($B529,Показатели!$E:$W,9,FALSE)),"")</f>
        <v/>
      </c>
      <c r="M529" t="str">
        <f>IFERROR(IF(VLOOKUP($B529,Показатели!$E:$W,10,FALSE)=0,"",VLOOKUP($B529,Показатели!$E:$W,10,FALSE)),"")</f>
        <v/>
      </c>
      <c r="N529" t="str">
        <f>IFERROR(IF(VLOOKUP($B529,Показатели!$E:$W,11,FALSE)=0,"",VLOOKUP($B529,Показатели!$E:$W,11,FALSE)),"")</f>
        <v/>
      </c>
      <c r="O529" t="str">
        <f>IFERROR(IF(VLOOKUP($B529,Показатели!$E:$W,12,FALSE)=0,"",VLOOKUP($B529,Показатели!$E:$W,12,FALSE)),"")</f>
        <v/>
      </c>
      <c r="P529" t="str">
        <f>IFERROR(IF(VLOOKUP($B529,Показатели!$E:$W,13,FALSE)=0,"",VLOOKUP($B529,Показатели!$E:$W,13,FALSE)),"")</f>
        <v/>
      </c>
      <c r="Q529" t="str">
        <f>IFERROR(IF(VLOOKUP($B529,Показатели!$E:$W,14,FALSE)=0,"",VLOOKUP($B529,Показатели!$E:$W,14,FALSE)),"")</f>
        <v/>
      </c>
      <c r="R529" t="str">
        <f>IFERROR(IF(VLOOKUP($B529,Показатели!$E:$W,15,FALSE)=0,"",VLOOKUP($B529,Показатели!$E:$W,15,FALSE)),"")</f>
        <v/>
      </c>
      <c r="S529" t="str">
        <f>IFERROR(IF(VLOOKUP($B529,Показатели!$E:$W,16,FALSE)=0,"",VLOOKUP($B529,Показатели!$E:$W,16,FALSE)),"")</f>
        <v/>
      </c>
      <c r="T529" t="str">
        <f>IFERROR(IF(VLOOKUP($B529,Показатели!$E:$W,17,FALSE)=0,"",VLOOKUP($B529,Показатели!$E:$W,17,FALSE)),"")</f>
        <v/>
      </c>
      <c r="U529" t="str">
        <f>IFERROR(IF(VLOOKUP($B529,Показатели!$E:$W,18,FALSE)=0,"",VLOOKUP($B529,Показатели!$E:$W,18,FALSE)),"")</f>
        <v/>
      </c>
      <c r="V529" t="str">
        <f>IFERROR(IF(VLOOKUP($B529,Показатели!$E:$W,19,FALSE)=0,"",VLOOKUP($B529,Показатели!$E:$W,19,FALSE)),"")</f>
        <v/>
      </c>
    </row>
    <row r="530" spans="1:22" x14ac:dyDescent="0.2">
      <c r="A530" s="7" t="s">
        <v>2247</v>
      </c>
      <c r="B530" t="str">
        <f t="shared" si="8"/>
        <v>BELU IV кв. 2025</v>
      </c>
      <c r="C530">
        <v>2025</v>
      </c>
      <c r="D530">
        <f>SUMIFS(Дивиденды!$C:$C,Дивиденды!$A:$A,A530,Дивиденды!$I:$I,C530)</f>
        <v>20</v>
      </c>
      <c r="E530" t="str">
        <f>IFERROR(IF(VLOOKUP($B530,Показатели!$E:$W,2,FALSE)=0,"",VLOOKUP($B530,Показатели!$E:$W,2,FALSE)),"")</f>
        <v/>
      </c>
      <c r="F530" t="str">
        <f>IFERROR(IF(VLOOKUP($B530,Показатели!$E:$W,3,FALSE)=0,"",VLOOKUP($B530,Показатели!$E:$W,3,FALSE)),"")</f>
        <v/>
      </c>
      <c r="G530" t="str">
        <f>IFERROR(IF(VLOOKUP($B530,Показатели!$E:$W,4,FALSE)=0,"",VLOOKUP($B530,Показатели!$E:$W,4,FALSE)),"")</f>
        <v/>
      </c>
      <c r="H530" t="str">
        <f>IFERROR(IF(VLOOKUP($B530,Показатели!$E:$W,5,FALSE)=0,"",VLOOKUP($B530,Показатели!$E:$W,5,FALSE)),"")</f>
        <v/>
      </c>
      <c r="I530" t="str">
        <f>IFERROR(IF(VLOOKUP($B530,Показатели!$E:$W,6,FALSE)=0,"",VLOOKUP($B530,Показатели!$E:$W,6,FALSE)),"")</f>
        <v/>
      </c>
      <c r="J530" t="str">
        <f>IFERROR(IF(VLOOKUP($B530,Показатели!$E:$W,7,FALSE)=0,"",VLOOKUP($B530,Показатели!$E:$W,7,FALSE)),"")</f>
        <v/>
      </c>
      <c r="K530" t="str">
        <f>IFERROR(IF(VLOOKUP($B530,Показатели!$E:$W,8,FALSE)=0,"",VLOOKUP($B530,Показатели!$E:$W,8,FALSE)),"")</f>
        <v/>
      </c>
      <c r="L530" t="str">
        <f>IFERROR(IF(VLOOKUP($B530,Показатели!$E:$W,9,FALSE)=0,"",VLOOKUP($B530,Показатели!$E:$W,9,FALSE)),"")</f>
        <v/>
      </c>
      <c r="M530" t="str">
        <f>IFERROR(IF(VLOOKUP($B530,Показатели!$E:$W,10,FALSE)=0,"",VLOOKUP($B530,Показатели!$E:$W,10,FALSE)),"")</f>
        <v/>
      </c>
      <c r="N530" t="str">
        <f>IFERROR(IF(VLOOKUP($B530,Показатели!$E:$W,11,FALSE)=0,"",VLOOKUP($B530,Показатели!$E:$W,11,FALSE)),"")</f>
        <v/>
      </c>
      <c r="O530" t="str">
        <f>IFERROR(IF(VLOOKUP($B530,Показатели!$E:$W,12,FALSE)=0,"",VLOOKUP($B530,Показатели!$E:$W,12,FALSE)),"")</f>
        <v/>
      </c>
      <c r="P530" t="str">
        <f>IFERROR(IF(VLOOKUP($B530,Показатели!$E:$W,13,FALSE)=0,"",VLOOKUP($B530,Показатели!$E:$W,13,FALSE)),"")</f>
        <v/>
      </c>
      <c r="Q530" t="str">
        <f>IFERROR(IF(VLOOKUP($B530,Показатели!$E:$W,14,FALSE)=0,"",VLOOKUP($B530,Показатели!$E:$W,14,FALSE)),"")</f>
        <v/>
      </c>
      <c r="R530" t="str">
        <f>IFERROR(IF(VLOOKUP($B530,Показатели!$E:$W,15,FALSE)=0,"",VLOOKUP($B530,Показатели!$E:$W,15,FALSE)),"")</f>
        <v/>
      </c>
      <c r="S530" t="str">
        <f>IFERROR(IF(VLOOKUP($B530,Показатели!$E:$W,16,FALSE)=0,"",VLOOKUP($B530,Показатели!$E:$W,16,FALSE)),"")</f>
        <v/>
      </c>
      <c r="T530" t="str">
        <f>IFERROR(IF(VLOOKUP($B530,Показатели!$E:$W,17,FALSE)=0,"",VLOOKUP($B530,Показатели!$E:$W,17,FALSE)),"")</f>
        <v/>
      </c>
      <c r="U530" t="str">
        <f>IFERROR(IF(VLOOKUP($B530,Показатели!$E:$W,18,FALSE)=0,"",VLOOKUP($B530,Показатели!$E:$W,18,FALSE)),"")</f>
        <v/>
      </c>
      <c r="V530" t="str">
        <f>IFERROR(IF(VLOOKUP($B530,Показатели!$E:$W,19,FALSE)=0,"",VLOOKUP($B530,Показатели!$E:$W,19,FALSE)),"")</f>
        <v/>
      </c>
    </row>
    <row r="531" spans="1:22" x14ac:dyDescent="0.2">
      <c r="A531" s="7" t="s">
        <v>2247</v>
      </c>
      <c r="B531" t="str">
        <f t="shared" si="8"/>
        <v>BELU IV кв. 2024</v>
      </c>
      <c r="C531">
        <v>2024</v>
      </c>
      <c r="D531">
        <f>SUMIFS(Дивиденды!$C:$C,Дивиденды!$A:$A,A531,Дивиденды!$I:$I,C531)</f>
        <v>37.5</v>
      </c>
      <c r="E531">
        <f>IFERROR(IF(VLOOKUP($B531,Показатели!$E:$W,2,FALSE)=0,"",VLOOKUP($B531,Показатели!$E:$W,2,FALSE)),"")</f>
        <v>22521000000</v>
      </c>
      <c r="F531">
        <f>IFERROR(IF(VLOOKUP($B531,Показатели!$E:$W,3,FALSE)=0,"",VLOOKUP($B531,Показатели!$E:$W,3,FALSE)),"")</f>
        <v>74380000000</v>
      </c>
      <c r="G531">
        <f>IFERROR(IF(VLOOKUP($B531,Показатели!$E:$W,4,FALSE)=0,"",VLOOKUP($B531,Показатели!$E:$W,4,FALSE)),"")</f>
        <v>35195000000</v>
      </c>
      <c r="H531">
        <f>IFERROR(IF(VLOOKUP($B531,Показатели!$E:$W,5,FALSE)=0,"",VLOOKUP($B531,Показатели!$E:$W,5,FALSE)),"")</f>
        <v>10679000000</v>
      </c>
      <c r="I531">
        <f>IFERROR(IF(VLOOKUP($B531,Показатели!$E:$W,6,FALSE)=0,"",VLOOKUP($B531,Показатели!$E:$W,6,FALSE)),"")</f>
        <v>122861000000</v>
      </c>
      <c r="J531">
        <f>IFERROR(IF(VLOOKUP($B531,Показатели!$E:$W,7,FALSE)=0,"",VLOOKUP($B531,Показатели!$E:$W,7,FALSE)),"")</f>
        <v>42328000000</v>
      </c>
      <c r="K531">
        <f>IFERROR(IF(VLOOKUP($B531,Показатели!$E:$W,8,FALSE)=0,"",VLOOKUP($B531,Показатели!$E:$W,8,FALSE)),"")</f>
        <v>53851000000</v>
      </c>
      <c r="L531">
        <f>IFERROR(IF(VLOOKUP($B531,Показатели!$E:$W,9,FALSE)=0,"",VLOOKUP($B531,Показатели!$E:$W,9,FALSE)),"")</f>
        <v>9326000000</v>
      </c>
      <c r="M531">
        <f>IFERROR(IF(VLOOKUP($B531,Показатели!$E:$W,10,FALSE)=0,"",VLOOKUP($B531,Показатели!$E:$W,10,FALSE)),"")</f>
        <v>26682000000</v>
      </c>
      <c r="N531">
        <f>IFERROR(IF(VLOOKUP($B531,Показатели!$E:$W,11,FALSE)=0,"",VLOOKUP($B531,Показатели!$E:$W,11,FALSE)),"")</f>
        <v>135464000000</v>
      </c>
      <c r="O531">
        <f>IFERROR(IF(VLOOKUP($B531,Показатели!$E:$W,12,FALSE)=0,"",VLOOKUP($B531,Показатели!$E:$W,12,FALSE)),"")</f>
        <v>12345000000</v>
      </c>
      <c r="P531">
        <f>IFERROR(IF(VLOOKUP($B531,Показатели!$E:$W,13,FALSE)=0,"",VLOOKUP($B531,Показатели!$E:$W,13,FALSE)),"")</f>
        <v>6108000000</v>
      </c>
      <c r="Q531">
        <f>IFERROR(IF(VLOOKUP($B531,Показатели!$E:$W,14,FALSE)=0,"",VLOOKUP($B531,Показатели!$E:$W,14,FALSE)),"")</f>
        <v>4588000000</v>
      </c>
      <c r="R531">
        <f>IFERROR(IF(VLOOKUP($B531,Показатели!$E:$W,15,FALSE)=0,"",VLOOKUP($B531,Показатели!$E:$W,15,FALSE)),"")</f>
        <v>6313000000</v>
      </c>
      <c r="S531">
        <f>IFERROR(IF(VLOOKUP($B531,Показатели!$E:$W,16,FALSE)=0,"",VLOOKUP($B531,Показатели!$E:$W,16,FALSE)),"")</f>
        <v>18658000000</v>
      </c>
      <c r="T531">
        <f>IFERROR(IF(VLOOKUP($B531,Показатели!$E:$W,17,FALSE)=0,"",VLOOKUP($B531,Показатели!$E:$W,17,FALSE)),"")</f>
        <v>-3243000000</v>
      </c>
      <c r="U531">
        <f>IFERROR(IF(VLOOKUP($B531,Показатели!$E:$W,18,FALSE)=0,"",VLOOKUP($B531,Показатели!$E:$W,18,FALSE)),"")</f>
        <v>116888000000</v>
      </c>
      <c r="V531">
        <f>IFERROR(IF(VLOOKUP($B531,Показатели!$E:$W,19,FALSE)=0,"",VLOOKUP($B531,Показатели!$E:$W,19,FALSE)),"")</f>
        <v>96244000000</v>
      </c>
    </row>
    <row r="532" spans="1:22" x14ac:dyDescent="0.2">
      <c r="A532" s="7" t="s">
        <v>2247</v>
      </c>
      <c r="B532" t="str">
        <f t="shared" si="8"/>
        <v>BELU IV кв. 2023</v>
      </c>
      <c r="C532">
        <v>2023</v>
      </c>
      <c r="D532">
        <f>SUMIFS(Дивиденды!$C:$C,Дивиденды!$A:$A,A532,Дивиденды!$I:$I,C532)</f>
        <v>680</v>
      </c>
      <c r="E532">
        <f>IFERROR(IF(VLOOKUP($B532,Показатели!$E:$W,2,FALSE)=0,"",VLOOKUP($B532,Показатели!$E:$W,2,FALSE)),"")</f>
        <v>3423000000</v>
      </c>
      <c r="F532">
        <f>IFERROR(IF(VLOOKUP($B532,Показатели!$E:$W,3,FALSE)=0,"",VLOOKUP($B532,Показатели!$E:$W,3,FALSE)),"")</f>
        <v>53858000000</v>
      </c>
      <c r="G532">
        <f>IFERROR(IF(VLOOKUP($B532,Показатели!$E:$W,4,FALSE)=0,"",VLOOKUP($B532,Показатели!$E:$W,4,FALSE)),"")</f>
        <v>29662000000</v>
      </c>
      <c r="H532">
        <f>IFERROR(IF(VLOOKUP($B532,Показатели!$E:$W,5,FALSE)=0,"",VLOOKUP($B532,Показатели!$E:$W,5,FALSE)),"")</f>
        <v>10421000000</v>
      </c>
      <c r="I532">
        <f>IFERROR(IF(VLOOKUP($B532,Показатели!$E:$W,6,FALSE)=0,"",VLOOKUP($B532,Показатели!$E:$W,6,FALSE)),"")</f>
        <v>96244000000</v>
      </c>
      <c r="J532">
        <f>IFERROR(IF(VLOOKUP($B532,Показатели!$E:$W,7,FALSE)=0,"",VLOOKUP($B532,Показатели!$E:$W,7,FALSE)),"")</f>
        <v>40414000000</v>
      </c>
      <c r="K532">
        <f>IFERROR(IF(VLOOKUP($B532,Показатели!$E:$W,8,FALSE)=0,"",VLOOKUP($B532,Показатели!$E:$W,8,FALSE)),"")</f>
        <v>29233000000</v>
      </c>
      <c r="L532">
        <f>IFERROR(IF(VLOOKUP($B532,Показатели!$E:$W,9,FALSE)=0,"",VLOOKUP($B532,Показатели!$E:$W,9,FALSE)),"")</f>
        <v>19891000000</v>
      </c>
      <c r="M532">
        <f>IFERROR(IF(VLOOKUP($B532,Показатели!$E:$W,10,FALSE)=0,"",VLOOKUP($B532,Показатели!$E:$W,10,FALSE)),"")</f>
        <v>26597000000</v>
      </c>
      <c r="N532">
        <f>IFERROR(IF(VLOOKUP($B532,Показатели!$E:$W,11,FALSE)=0,"",VLOOKUP($B532,Показатели!$E:$W,11,FALSE)),"")</f>
        <v>116888000000</v>
      </c>
      <c r="O532">
        <f>IFERROR(IF(VLOOKUP($B532,Показатели!$E:$W,12,FALSE)=0,"",VLOOKUP($B532,Показатели!$E:$W,12,FALSE)),"")</f>
        <v>13934000000</v>
      </c>
      <c r="P532">
        <f>IFERROR(IF(VLOOKUP($B532,Показатели!$E:$W,13,FALSE)=0,"",VLOOKUP($B532,Показатели!$E:$W,13,FALSE)),"")</f>
        <v>10120000000</v>
      </c>
      <c r="Q532">
        <f>IFERROR(IF(VLOOKUP($B532,Показатели!$E:$W,14,FALSE)=0,"",VLOOKUP($B532,Показатели!$E:$W,14,FALSE)),"")</f>
        <v>8064000000</v>
      </c>
      <c r="R532">
        <f>IFERROR(IF(VLOOKUP($B532,Показатели!$E:$W,15,FALSE)=0,"",VLOOKUP($B532,Показатели!$E:$W,15,FALSE)),"")</f>
        <v>5350000000</v>
      </c>
      <c r="S532">
        <f>IFERROR(IF(VLOOKUP($B532,Показатели!$E:$W,16,FALSE)=0,"",VLOOKUP($B532,Показатели!$E:$W,16,FALSE)),"")</f>
        <v>19284000000</v>
      </c>
      <c r="T532">
        <f>IFERROR(IF(VLOOKUP($B532,Показатели!$E:$W,17,FALSE)=0,"",VLOOKUP($B532,Показатели!$E:$W,17,FALSE)),"")</f>
        <v>-2982000000</v>
      </c>
      <c r="U532">
        <f>IFERROR(IF(VLOOKUP($B532,Показатели!$E:$W,18,FALSE)=0,"",VLOOKUP($B532,Показатели!$E:$W,18,FALSE)),"")</f>
        <v>97316000000</v>
      </c>
      <c r="V532">
        <f>IFERROR(IF(VLOOKUP($B532,Показатели!$E:$W,19,FALSE)=0,"",VLOOKUP($B532,Показатели!$E:$W,19,FALSE)),"")</f>
        <v>93139000000</v>
      </c>
    </row>
    <row r="533" spans="1:22" x14ac:dyDescent="0.2">
      <c r="A533" s="7" t="s">
        <v>2247</v>
      </c>
      <c r="B533" t="str">
        <f t="shared" si="8"/>
        <v>BELU IV кв. 2022</v>
      </c>
      <c r="C533">
        <v>2022</v>
      </c>
      <c r="D533">
        <f>SUMIFS(Дивиденды!$C:$C,Дивиденды!$A:$A,A533,Дивиденды!$I:$I,C533)</f>
        <v>625</v>
      </c>
      <c r="E533">
        <f>IFERROR(IF(VLOOKUP($B533,Показатели!$E:$W,2,FALSE)=0,"",VLOOKUP($B533,Показатели!$E:$W,2,FALSE)),"")</f>
        <v>13241000000</v>
      </c>
      <c r="F533">
        <f>IFERROR(IF(VLOOKUP($B533,Показатели!$E:$W,3,FALSE)=0,"",VLOOKUP($B533,Показатели!$E:$W,3,FALSE)),"")</f>
        <v>56128000000</v>
      </c>
      <c r="G533">
        <f>IFERROR(IF(VLOOKUP($B533,Показатели!$E:$W,4,FALSE)=0,"",VLOOKUP($B533,Показатели!$E:$W,4,FALSE)),"")</f>
        <v>24094000000</v>
      </c>
      <c r="H533">
        <f>IFERROR(IF(VLOOKUP($B533,Показатели!$E:$W,5,FALSE)=0,"",VLOOKUP($B533,Показатели!$E:$W,5,FALSE)),"")</f>
        <v>10741000000</v>
      </c>
      <c r="I533">
        <f>IFERROR(IF(VLOOKUP($B533,Показатели!$E:$W,6,FALSE)=0,"",VLOOKUP($B533,Показатели!$E:$W,6,FALSE)),"")</f>
        <v>93139000000</v>
      </c>
      <c r="J533">
        <f>IFERROR(IF(VLOOKUP($B533,Показатели!$E:$W,7,FALSE)=0,"",VLOOKUP($B533,Показатели!$E:$W,7,FALSE)),"")</f>
        <v>38636000000</v>
      </c>
      <c r="K533">
        <f>IFERROR(IF(VLOOKUP($B533,Показатели!$E:$W,8,FALSE)=0,"",VLOOKUP($B533,Показатели!$E:$W,8,FALSE)),"")</f>
        <v>29114000000</v>
      </c>
      <c r="L533">
        <f>IFERROR(IF(VLOOKUP($B533,Показатели!$E:$W,9,FALSE)=0,"",VLOOKUP($B533,Показатели!$E:$W,9,FALSE)),"")</f>
        <v>23447000000</v>
      </c>
      <c r="M533">
        <f>IFERROR(IF(VLOOKUP($B533,Показатели!$E:$W,10,FALSE)=0,"",VLOOKUP($B533,Показатели!$E:$W,10,FALSE)),"")</f>
        <v>25389000000</v>
      </c>
      <c r="N533">
        <f>IFERROR(IF(VLOOKUP($B533,Показатели!$E:$W,11,FALSE)=0,"",VLOOKUP($B533,Показатели!$E:$W,11,FALSE)),"")</f>
        <v>97316000000</v>
      </c>
      <c r="O533">
        <f>IFERROR(IF(VLOOKUP($B533,Показатели!$E:$W,12,FALSE)=0,"",VLOOKUP($B533,Показатели!$E:$W,12,FALSE)),"")</f>
        <v>13055000000</v>
      </c>
      <c r="P533">
        <f>IFERROR(IF(VLOOKUP($B533,Показатели!$E:$W,13,FALSE)=0,"",VLOOKUP($B533,Показатели!$E:$W,13,FALSE)),"")</f>
        <v>10650000000</v>
      </c>
      <c r="Q533">
        <f>IFERROR(IF(VLOOKUP($B533,Показатели!$E:$W,14,FALSE)=0,"",VLOOKUP($B533,Показатели!$E:$W,14,FALSE)),"")</f>
        <v>8442000000</v>
      </c>
      <c r="R533">
        <f>IFERROR(IF(VLOOKUP($B533,Показатели!$E:$W,15,FALSE)=0,"",VLOOKUP($B533,Показатели!$E:$W,15,FALSE)),"")</f>
        <v>4301000000</v>
      </c>
      <c r="S533">
        <f>IFERROR(IF(VLOOKUP($B533,Показатели!$E:$W,16,FALSE)=0,"",VLOOKUP($B533,Показатели!$E:$W,16,FALSE)),"")</f>
        <v>17356000000</v>
      </c>
      <c r="T533">
        <f>IFERROR(IF(VLOOKUP($B533,Показатели!$E:$W,17,FALSE)=0,"",VLOOKUP($B533,Показатели!$E:$W,17,FALSE)),"")</f>
        <v>-3391000000</v>
      </c>
      <c r="U533">
        <f>IFERROR(IF(VLOOKUP($B533,Показатели!$E:$W,18,FALSE)=0,"",VLOOKUP($B533,Показатели!$E:$W,18,FALSE)),"")</f>
        <v>74937000000</v>
      </c>
      <c r="V533">
        <f>IFERROR(IF(VLOOKUP($B533,Показатели!$E:$W,19,FALSE)=0,"",VLOOKUP($B533,Показатели!$E:$W,19,FALSE)),"")</f>
        <v>78489000000</v>
      </c>
    </row>
    <row r="534" spans="1:22" x14ac:dyDescent="0.2">
      <c r="A534" s="7" t="s">
        <v>2247</v>
      </c>
      <c r="B534" t="str">
        <f t="shared" si="8"/>
        <v>BELU IV кв. 2021</v>
      </c>
      <c r="C534">
        <v>2021</v>
      </c>
      <c r="D534">
        <f>SUMIFS(Дивиденды!$C:$C,Дивиденды!$A:$A,A534,Дивиденды!$I:$I,C534)</f>
        <v>120</v>
      </c>
      <c r="E534">
        <f>IFERROR(IF(VLOOKUP($B534,Показатели!$E:$W,2,FALSE)=0,"",VLOOKUP($B534,Показатели!$E:$W,2,FALSE)),"")</f>
        <v>9712000000</v>
      </c>
      <c r="F534">
        <f>IFERROR(IF(VLOOKUP($B534,Показатели!$E:$W,3,FALSE)=0,"",VLOOKUP($B534,Показатели!$E:$W,3,FALSE)),"")</f>
        <v>44431000000</v>
      </c>
      <c r="G534">
        <f>IFERROR(IF(VLOOKUP($B534,Показатели!$E:$W,4,FALSE)=0,"",VLOOKUP($B534,Показатели!$E:$W,4,FALSE)),"")</f>
        <v>18365000000</v>
      </c>
      <c r="H534">
        <f>IFERROR(IF(VLOOKUP($B534,Показатели!$E:$W,5,FALSE)=0,"",VLOOKUP($B534,Показатели!$E:$W,5,FALSE)),"")</f>
        <v>13317000000</v>
      </c>
      <c r="I534">
        <f>IFERROR(IF(VLOOKUP($B534,Показатели!$E:$W,6,FALSE)=0,"",VLOOKUP($B534,Показатели!$E:$W,6,FALSE)),"")</f>
        <v>78489000000</v>
      </c>
      <c r="J534">
        <f>IFERROR(IF(VLOOKUP($B534,Показатели!$E:$W,7,FALSE)=0,"",VLOOKUP($B534,Показатели!$E:$W,7,FALSE)),"")</f>
        <v>33372000000</v>
      </c>
      <c r="K534">
        <f>IFERROR(IF(VLOOKUP($B534,Показатели!$E:$W,8,FALSE)=0,"",VLOOKUP($B534,Показатели!$E:$W,8,FALSE)),"")</f>
        <v>19033000000</v>
      </c>
      <c r="L534">
        <f>IFERROR(IF(VLOOKUP($B534,Показатели!$E:$W,9,FALSE)=0,"",VLOOKUP($B534,Показатели!$E:$W,9,FALSE)),"")</f>
        <v>17650000000</v>
      </c>
      <c r="M534">
        <f>IFERROR(IF(VLOOKUP($B534,Показатели!$E:$W,10,FALSE)=0,"",VLOOKUP($B534,Показатели!$E:$W,10,FALSE)),"")</f>
        <v>26084000000</v>
      </c>
      <c r="N534">
        <f>IFERROR(IF(VLOOKUP($B534,Показатели!$E:$W,11,FALSE)=0,"",VLOOKUP($B534,Показатели!$E:$W,11,FALSE)),"")</f>
        <v>74937000000</v>
      </c>
      <c r="O534">
        <f>IFERROR(IF(VLOOKUP($B534,Показатели!$E:$W,12,FALSE)=0,"",VLOOKUP($B534,Показатели!$E:$W,12,FALSE)),"")</f>
        <v>7742000000</v>
      </c>
      <c r="P534">
        <f>IFERROR(IF(VLOOKUP($B534,Показатели!$E:$W,13,FALSE)=0,"",VLOOKUP($B534,Показатели!$E:$W,13,FALSE)),"")</f>
        <v>5088000000</v>
      </c>
      <c r="Q534">
        <f>IFERROR(IF(VLOOKUP($B534,Показатели!$E:$W,14,FALSE)=0,"",VLOOKUP($B534,Показатели!$E:$W,14,FALSE)),"")</f>
        <v>3877000000</v>
      </c>
      <c r="R534">
        <f>IFERROR(IF(VLOOKUP($B534,Показатели!$E:$W,15,FALSE)=0,"",VLOOKUP($B534,Показатели!$E:$W,15,FALSE)),"")</f>
        <v>2745000000</v>
      </c>
      <c r="S534">
        <f>IFERROR(IF(VLOOKUP($B534,Показатели!$E:$W,16,FALSE)=0,"",VLOOKUP($B534,Показатели!$E:$W,16,FALSE)),"")</f>
        <v>10487000000</v>
      </c>
      <c r="T534">
        <f>IFERROR(IF(VLOOKUP($B534,Показатели!$E:$W,17,FALSE)=0,"",VLOOKUP($B534,Показатели!$E:$W,17,FALSE)),"")</f>
        <v>-2319000000</v>
      </c>
      <c r="U534">
        <f>IFERROR(IF(VLOOKUP($B534,Показатели!$E:$W,18,FALSE)=0,"",VLOOKUP($B534,Показатели!$E:$W,18,FALSE)),"")</f>
        <v>63292000000</v>
      </c>
      <c r="V534">
        <f>IFERROR(IF(VLOOKUP($B534,Показатели!$E:$W,19,FALSE)=0,"",VLOOKUP($B534,Показатели!$E:$W,19,FALSE)),"")</f>
        <v>63530000000</v>
      </c>
    </row>
    <row r="535" spans="1:22" x14ac:dyDescent="0.2">
      <c r="A535" s="7" t="s">
        <v>2247</v>
      </c>
      <c r="B535" t="str">
        <f t="shared" si="8"/>
        <v>BELU IV кв. 2020</v>
      </c>
      <c r="C535">
        <v>2020</v>
      </c>
      <c r="D535">
        <f>SUMIFS(Дивиденды!$C:$C,Дивиденды!$A:$A,A535,Дивиденды!$I:$I,C535)</f>
        <v>100</v>
      </c>
      <c r="E535">
        <f>IFERROR(IF(VLOOKUP($B535,Показатели!$E:$W,2,FALSE)=0,"",VLOOKUP($B535,Показатели!$E:$W,2,FALSE)),"")</f>
        <v>4890000000</v>
      </c>
      <c r="F535">
        <f>IFERROR(IF(VLOOKUP($B535,Показатели!$E:$W,3,FALSE)=0,"",VLOOKUP($B535,Показатели!$E:$W,3,FALSE)),"")</f>
        <v>35184000000</v>
      </c>
      <c r="G535">
        <f>IFERROR(IF(VLOOKUP($B535,Показатели!$E:$W,4,FALSE)=0,"",VLOOKUP($B535,Показатели!$E:$W,4,FALSE)),"")</f>
        <v>12880000000</v>
      </c>
      <c r="H535">
        <f>IFERROR(IF(VLOOKUP($B535,Показатели!$E:$W,5,FALSE)=0,"",VLOOKUP($B535,Показатели!$E:$W,5,FALSE)),"")</f>
        <v>13582000000</v>
      </c>
      <c r="I535">
        <f>IFERROR(IF(VLOOKUP($B535,Показатели!$E:$W,6,FALSE)=0,"",VLOOKUP($B535,Показатели!$E:$W,6,FALSE)),"")</f>
        <v>63530000000</v>
      </c>
      <c r="J535">
        <f>IFERROR(IF(VLOOKUP($B535,Показатели!$E:$W,7,FALSE)=0,"",VLOOKUP($B535,Показатели!$E:$W,7,FALSE)),"")</f>
        <v>23665000000</v>
      </c>
      <c r="K535">
        <f>IFERROR(IF(VLOOKUP($B535,Показатели!$E:$W,8,FALSE)=0,"",VLOOKUP($B535,Показатели!$E:$W,8,FALSE)),"")</f>
        <v>19520000000</v>
      </c>
      <c r="L535">
        <f>IFERROR(IF(VLOOKUP($B535,Показатели!$E:$W,9,FALSE)=0,"",VLOOKUP($B535,Показатели!$E:$W,9,FALSE)),"")</f>
        <v>15903000000</v>
      </c>
      <c r="M535">
        <f>IFERROR(IF(VLOOKUP($B535,Показатели!$E:$W,10,FALSE)=0,"",VLOOKUP($B535,Показатели!$E:$W,10,FALSE)),"")</f>
        <v>20345000000</v>
      </c>
      <c r="N535">
        <f>IFERROR(IF(VLOOKUP($B535,Показатели!$E:$W,11,FALSE)=0,"",VLOOKUP($B535,Показатели!$E:$W,11,FALSE)),"")</f>
        <v>63292000000</v>
      </c>
      <c r="O535">
        <f>IFERROR(IF(VLOOKUP($B535,Показатели!$E:$W,12,FALSE)=0,"",VLOOKUP($B535,Показатели!$E:$W,12,FALSE)),"")</f>
        <v>6842000000</v>
      </c>
      <c r="P535">
        <f>IFERROR(IF(VLOOKUP($B535,Показатели!$E:$W,13,FALSE)=0,"",VLOOKUP($B535,Показатели!$E:$W,13,FALSE)),"")</f>
        <v>3575000000</v>
      </c>
      <c r="Q535">
        <f>IFERROR(IF(VLOOKUP($B535,Показатели!$E:$W,14,FALSE)=0,"",VLOOKUP($B535,Показатели!$E:$W,14,FALSE)),"")</f>
        <v>2459000000</v>
      </c>
      <c r="R535">
        <f>IFERROR(IF(VLOOKUP($B535,Показатели!$E:$W,15,FALSE)=0,"",VLOOKUP($B535,Показатели!$E:$W,15,FALSE)),"")</f>
        <v>2365000000</v>
      </c>
      <c r="S535">
        <f>IFERROR(IF(VLOOKUP($B535,Показатели!$E:$W,16,FALSE)=0,"",VLOOKUP($B535,Показатели!$E:$W,16,FALSE)),"")</f>
        <v>9207000000</v>
      </c>
      <c r="T535">
        <f>IFERROR(IF(VLOOKUP($B535,Показатели!$E:$W,17,FALSE)=0,"",VLOOKUP($B535,Показатели!$E:$W,17,FALSE)),"")</f>
        <v>-1056000000</v>
      </c>
      <c r="U535">
        <f>IFERROR(IF(VLOOKUP($B535,Показатели!$E:$W,18,FALSE)=0,"",VLOOKUP($B535,Показатели!$E:$W,18,FALSE)),"")</f>
        <v>53074000000</v>
      </c>
      <c r="V535">
        <f>IFERROR(IF(VLOOKUP($B535,Показатели!$E:$W,19,FALSE)=0,"",VLOOKUP($B535,Показатели!$E:$W,19,FALSE)),"")</f>
        <v>57428000000</v>
      </c>
    </row>
    <row r="536" spans="1:22" x14ac:dyDescent="0.2">
      <c r="A536" s="7" t="s">
        <v>2247</v>
      </c>
      <c r="B536" t="str">
        <f t="shared" si="8"/>
        <v>BELU IV кв. 2019</v>
      </c>
      <c r="C536">
        <v>2019</v>
      </c>
      <c r="D536">
        <f>SUMIFS(Дивиденды!$C:$C,Дивиденды!$A:$A,A536,Дивиденды!$I:$I,C536)</f>
        <v>32</v>
      </c>
      <c r="E536">
        <f>IFERROR(IF(VLOOKUP($B536,Показатели!$E:$W,2,FALSE)=0,"",VLOOKUP($B536,Показатели!$E:$W,2,FALSE)),"")</f>
        <v>1085000000</v>
      </c>
      <c r="F536">
        <f>IFERROR(IF(VLOOKUP($B536,Показатели!$E:$W,3,FALSE)=0,"",VLOOKUP($B536,Показатели!$E:$W,3,FALSE)),"")</f>
        <v>27969000000</v>
      </c>
      <c r="G536">
        <f>IFERROR(IF(VLOOKUP($B536,Показатели!$E:$W,4,FALSE)=0,"",VLOOKUP($B536,Показатели!$E:$W,4,FALSE)),"")</f>
        <v>13885000000</v>
      </c>
      <c r="H536">
        <f>IFERROR(IF(VLOOKUP($B536,Показатели!$E:$W,5,FALSE)=0,"",VLOOKUP($B536,Показатели!$E:$W,5,FALSE)),"")</f>
        <v>13528000000</v>
      </c>
      <c r="I536">
        <f>IFERROR(IF(VLOOKUP($B536,Показатели!$E:$W,6,FALSE)=0,"",VLOOKUP($B536,Показатели!$E:$W,6,FALSE)),"")</f>
        <v>57428000000</v>
      </c>
      <c r="J536">
        <f>IFERROR(IF(VLOOKUP($B536,Показатели!$E:$W,7,FALSE)=0,"",VLOOKUP($B536,Показатели!$E:$W,7,FALSE)),"")</f>
        <v>20784000000</v>
      </c>
      <c r="K536">
        <f>IFERROR(IF(VLOOKUP($B536,Показатели!$E:$W,8,FALSE)=0,"",VLOOKUP($B536,Показатели!$E:$W,8,FALSE)),"")</f>
        <v>16611000000</v>
      </c>
      <c r="L536">
        <f>IFERROR(IF(VLOOKUP($B536,Показатели!$E:$W,9,FALSE)=0,"",VLOOKUP($B536,Показатели!$E:$W,9,FALSE)),"")</f>
        <v>14222000000</v>
      </c>
      <c r="M536">
        <f>IFERROR(IF(VLOOKUP($B536,Показатели!$E:$W,10,FALSE)=0,"",VLOOKUP($B536,Показатели!$E:$W,10,FALSE)),"")</f>
        <v>20033000000</v>
      </c>
      <c r="N536">
        <f>IFERROR(IF(VLOOKUP($B536,Показатели!$E:$W,11,FALSE)=0,"",VLOOKUP($B536,Показатели!$E:$W,11,FALSE)),"")</f>
        <v>53074000000</v>
      </c>
      <c r="O536">
        <f>IFERROR(IF(VLOOKUP($B536,Показатели!$E:$W,12,FALSE)=0,"",VLOOKUP($B536,Показатели!$E:$W,12,FALSE)),"")</f>
        <v>4392000000</v>
      </c>
      <c r="P536">
        <f>IFERROR(IF(VLOOKUP($B536,Показатели!$E:$W,13,FALSE)=0,"",VLOOKUP($B536,Показатели!$E:$W,13,FALSE)),"")</f>
        <v>1963000000</v>
      </c>
      <c r="Q536">
        <f>IFERROR(IF(VLOOKUP($B536,Показатели!$E:$W,14,FALSE)=0,"",VLOOKUP($B536,Показатели!$E:$W,14,FALSE)),"")</f>
        <v>1433000000</v>
      </c>
      <c r="R536">
        <f>IFERROR(IF(VLOOKUP($B536,Показатели!$E:$W,15,FALSE)=0,"",VLOOKUP($B536,Показатели!$E:$W,15,FALSE)),"")</f>
        <v>2103000000</v>
      </c>
      <c r="S536">
        <f>IFERROR(IF(VLOOKUP($B536,Показатели!$E:$W,16,FALSE)=0,"",VLOOKUP($B536,Показатели!$E:$W,16,FALSE)),"")</f>
        <v>6495000000</v>
      </c>
      <c r="T536">
        <f>IFERROR(IF(VLOOKUP($B536,Показатели!$E:$W,17,FALSE)=0,"",VLOOKUP($B536,Показатели!$E:$W,17,FALSE)),"")</f>
        <v>-1660000000</v>
      </c>
      <c r="U536">
        <f>IFERROR(IF(VLOOKUP($B536,Показатели!$E:$W,18,FALSE)=0,"",VLOOKUP($B536,Показатели!$E:$W,18,FALSE)),"")</f>
        <v>43411000000</v>
      </c>
      <c r="V536">
        <f>IFERROR(IF(VLOOKUP($B536,Показатели!$E:$W,19,FALSE)=0,"",VLOOKUP($B536,Показатели!$E:$W,19,FALSE)),"")</f>
        <v>48470000000</v>
      </c>
    </row>
    <row r="537" spans="1:22" x14ac:dyDescent="0.2">
      <c r="A537" s="7" t="s">
        <v>2247</v>
      </c>
      <c r="B537" t="str">
        <f t="shared" si="8"/>
        <v>BELU IV кв. 2018</v>
      </c>
      <c r="C537">
        <v>2018</v>
      </c>
      <c r="D537">
        <f>SUMIFS(Дивиденды!$C:$C,Дивиденды!$A:$A,A537,Дивиденды!$I:$I,C537)</f>
        <v>0</v>
      </c>
      <c r="E537">
        <f>IFERROR(IF(VLOOKUP($B537,Показатели!$E:$W,2,FALSE)=0,"",VLOOKUP($B537,Показатели!$E:$W,2,FALSE)),"")</f>
        <v>1083000000</v>
      </c>
      <c r="F537">
        <f>IFERROR(IF(VLOOKUP($B537,Показатели!$E:$W,3,FALSE)=0,"",VLOOKUP($B537,Показатели!$E:$W,3,FALSE)),"")</f>
        <v>22756000000</v>
      </c>
      <c r="G537">
        <f>IFERROR(IF(VLOOKUP($B537,Показатели!$E:$W,4,FALSE)=0,"",VLOOKUP($B537,Показатели!$E:$W,4,FALSE)),"")</f>
        <v>10593000000</v>
      </c>
      <c r="H537">
        <f>IFERROR(IF(VLOOKUP($B537,Показатели!$E:$W,5,FALSE)=0,"",VLOOKUP($B537,Показатели!$E:$W,5,FALSE)),"")</f>
        <v>13192000000</v>
      </c>
      <c r="I537">
        <f>IFERROR(IF(VLOOKUP($B537,Показатели!$E:$W,6,FALSE)=0,"",VLOOKUP($B537,Показатели!$E:$W,6,FALSE)),"")</f>
        <v>48470000000</v>
      </c>
      <c r="J537">
        <f>IFERROR(IF(VLOOKUP($B537,Показатели!$E:$W,7,FALSE)=0,"",VLOOKUP($B537,Показатели!$E:$W,7,FALSE)),"")</f>
        <v>14767000000</v>
      </c>
      <c r="K537">
        <f>IFERROR(IF(VLOOKUP($B537,Показатели!$E:$W,8,FALSE)=0,"",VLOOKUP($B537,Показатели!$E:$W,8,FALSE)),"")</f>
        <v>14236000000</v>
      </c>
      <c r="L537">
        <f>IFERROR(IF(VLOOKUP($B537,Показатели!$E:$W,9,FALSE)=0,"",VLOOKUP($B537,Показатели!$E:$W,9,FALSE)),"")</f>
        <v>13012000000</v>
      </c>
      <c r="M537">
        <f>IFERROR(IF(VLOOKUP($B537,Показатели!$E:$W,10,FALSE)=0,"",VLOOKUP($B537,Показатели!$E:$W,10,FALSE)),"")</f>
        <v>19467000000</v>
      </c>
      <c r="N537">
        <f>IFERROR(IF(VLOOKUP($B537,Показатели!$E:$W,11,FALSE)=0,"",VLOOKUP($B537,Показатели!$E:$W,11,FALSE)),"")</f>
        <v>43411000000</v>
      </c>
      <c r="O537">
        <f>IFERROR(IF(VLOOKUP($B537,Показатели!$E:$W,12,FALSE)=0,"",VLOOKUP($B537,Показатели!$E:$W,12,FALSE)),"")</f>
        <v>3273000000</v>
      </c>
      <c r="P537">
        <f>IFERROR(IF(VLOOKUP($B537,Показатели!$E:$W,13,FALSE)=0,"",VLOOKUP($B537,Показатели!$E:$W,13,FALSE)),"")</f>
        <v>1214000000</v>
      </c>
      <c r="Q537">
        <f>IFERROR(IF(VLOOKUP($B537,Показатели!$E:$W,14,FALSE)=0,"",VLOOKUP($B537,Показатели!$E:$W,14,FALSE)),"")</f>
        <v>938000000</v>
      </c>
      <c r="R537">
        <f>IFERROR(IF(VLOOKUP($B537,Показатели!$E:$W,15,FALSE)=0,"",VLOOKUP($B537,Показатели!$E:$W,15,FALSE)),"")</f>
        <v>978000000</v>
      </c>
      <c r="S537">
        <f>IFERROR(IF(VLOOKUP($B537,Показатели!$E:$W,16,FALSE)=0,"",VLOOKUP($B537,Показатели!$E:$W,16,FALSE)),"")</f>
        <v>4251000000</v>
      </c>
      <c r="T537">
        <f>IFERROR(IF(VLOOKUP($B537,Показатели!$E:$W,17,FALSE)=0,"",VLOOKUP($B537,Показатели!$E:$W,17,FALSE)),"")</f>
        <v>-1756000000</v>
      </c>
      <c r="U537">
        <f>IFERROR(IF(VLOOKUP($B537,Показатели!$E:$W,18,FALSE)=0,"",VLOOKUP($B537,Показатели!$E:$W,18,FALSE)),"")</f>
        <v>37303000000</v>
      </c>
      <c r="V537">
        <f>IFERROR(IF(VLOOKUP($B537,Показатели!$E:$W,19,FALSE)=0,"",VLOOKUP($B537,Показатели!$E:$W,19,FALSE)),"")</f>
        <v>40995000000</v>
      </c>
    </row>
    <row r="538" spans="1:22" x14ac:dyDescent="0.2">
      <c r="A538" s="7" t="s">
        <v>2247</v>
      </c>
      <c r="B538" t="str">
        <f t="shared" si="8"/>
        <v>BELU IV кв. 2017</v>
      </c>
      <c r="C538">
        <v>2017</v>
      </c>
      <c r="D538">
        <f>SUMIFS(Дивиденды!$C:$C,Дивиденды!$A:$A,A538,Дивиденды!$I:$I,C538)</f>
        <v>0</v>
      </c>
      <c r="E538">
        <f>IFERROR(IF(VLOOKUP($B538,Показатели!$E:$W,2,FALSE)=0,"",VLOOKUP($B538,Показатели!$E:$W,2,FALSE)),"")</f>
        <v>819000000</v>
      </c>
      <c r="F538">
        <f>IFERROR(IF(VLOOKUP($B538,Показатели!$E:$W,3,FALSE)=0,"",VLOOKUP($B538,Показатели!$E:$W,3,FALSE)),"")</f>
        <v>23134000000</v>
      </c>
      <c r="G538">
        <f>IFERROR(IF(VLOOKUP($B538,Показатели!$E:$W,4,FALSE)=0,"",VLOOKUP($B538,Показатели!$E:$W,4,FALSE)),"")</f>
        <v>6501000000</v>
      </c>
      <c r="H538">
        <f>IFERROR(IF(VLOOKUP($B538,Показатели!$E:$W,5,FALSE)=0,"",VLOOKUP($B538,Показатели!$E:$W,5,FALSE)),"")</f>
        <v>8842000000</v>
      </c>
      <c r="I538">
        <f>IFERROR(IF(VLOOKUP($B538,Показатели!$E:$W,6,FALSE)=0,"",VLOOKUP($B538,Показатели!$E:$W,6,FALSE)),"")</f>
        <v>40995000000</v>
      </c>
      <c r="J538">
        <f>IFERROR(IF(VLOOKUP($B538,Показатели!$E:$W,7,FALSE)=0,"",VLOOKUP($B538,Показатели!$E:$W,7,FALSE)),"")</f>
        <v>10591000000</v>
      </c>
      <c r="K538">
        <f>IFERROR(IF(VLOOKUP($B538,Показатели!$E:$W,8,FALSE)=0,"",VLOOKUP($B538,Показатели!$E:$W,8,FALSE)),"")</f>
        <v>10956000000</v>
      </c>
      <c r="L538">
        <f>IFERROR(IF(VLOOKUP($B538,Показатели!$E:$W,9,FALSE)=0,"",VLOOKUP($B538,Показатели!$E:$W,9,FALSE)),"")</f>
        <v>12093000000</v>
      </c>
      <c r="M538">
        <f>IFERROR(IF(VLOOKUP($B538,Показатели!$E:$W,10,FALSE)=0,"",VLOOKUP($B538,Показатели!$E:$W,10,FALSE)),"")</f>
        <v>19448000000</v>
      </c>
      <c r="N538">
        <f>IFERROR(IF(VLOOKUP($B538,Показатели!$E:$W,11,FALSE)=0,"",VLOOKUP($B538,Показатели!$E:$W,11,FALSE)),"")</f>
        <v>37303000000</v>
      </c>
      <c r="O538">
        <f>IFERROR(IF(VLOOKUP($B538,Показатели!$E:$W,12,FALSE)=0,"",VLOOKUP($B538,Показатели!$E:$W,12,FALSE)),"")</f>
        <v>2848000000</v>
      </c>
      <c r="P538">
        <f>IFERROR(IF(VLOOKUP($B538,Показатели!$E:$W,13,FALSE)=0,"",VLOOKUP($B538,Показатели!$E:$W,13,FALSE)),"")</f>
        <v>926000000</v>
      </c>
      <c r="Q538">
        <f>IFERROR(IF(VLOOKUP($B538,Показатели!$E:$W,14,FALSE)=0,"",VLOOKUP($B538,Показатели!$E:$W,14,FALSE)),"")</f>
        <v>655000000</v>
      </c>
      <c r="R538">
        <f>IFERROR(IF(VLOOKUP($B538,Показатели!$E:$W,15,FALSE)=0,"",VLOOKUP($B538,Показатели!$E:$W,15,FALSE)),"")</f>
        <v>768000000</v>
      </c>
      <c r="S538">
        <f>IFERROR(IF(VLOOKUP($B538,Показатели!$E:$W,16,FALSE)=0,"",VLOOKUP($B538,Показатели!$E:$W,16,FALSE)),"")</f>
        <v>3625000000</v>
      </c>
      <c r="T538">
        <f>IFERROR(IF(VLOOKUP($B538,Показатели!$E:$W,17,FALSE)=0,"",VLOOKUP($B538,Показатели!$E:$W,17,FALSE)),"")</f>
        <v>-918000000</v>
      </c>
      <c r="U538">
        <f>IFERROR(IF(VLOOKUP($B538,Показатели!$E:$W,18,FALSE)=0,"",VLOOKUP($B538,Показатели!$E:$W,18,FALSE)),"")</f>
        <v>35903000000</v>
      </c>
      <c r="V538">
        <f>IFERROR(IF(VLOOKUP($B538,Показатели!$E:$W,19,FALSE)=0,"",VLOOKUP($B538,Показатели!$E:$W,19,FALSE)),"")</f>
        <v>37993000000</v>
      </c>
    </row>
    <row r="539" spans="1:22" x14ac:dyDescent="0.2">
      <c r="A539" s="7" t="s">
        <v>2247</v>
      </c>
      <c r="B539" t="str">
        <f t="shared" si="8"/>
        <v>BELU IV кв. 2016</v>
      </c>
      <c r="C539">
        <v>2016</v>
      </c>
      <c r="D539">
        <f>SUMIFS(Дивиденды!$C:$C,Дивиденды!$A:$A,A539,Дивиденды!$I:$I,C539)</f>
        <v>0</v>
      </c>
      <c r="E539">
        <f>IFERROR(IF(VLOOKUP($B539,Показатели!$E:$W,2,FALSE)=0,"",VLOOKUP($B539,Показатели!$E:$W,2,FALSE)),"")</f>
        <v>1010000000</v>
      </c>
      <c r="F539">
        <f>IFERROR(IF(VLOOKUP($B539,Показатели!$E:$W,3,FALSE)=0,"",VLOOKUP($B539,Показатели!$E:$W,3,FALSE)),"")</f>
        <v>21100000000</v>
      </c>
      <c r="G539">
        <f>IFERROR(IF(VLOOKUP($B539,Показатели!$E:$W,4,FALSE)=0,"",VLOOKUP($B539,Показатели!$E:$W,4,FALSE)),"")</f>
        <v>6579000000</v>
      </c>
      <c r="H539" t="str">
        <f>IFERROR(IF(VLOOKUP($B539,Показатели!$E:$W,5,FALSE)=0,"",VLOOKUP($B539,Показатели!$E:$W,5,FALSE)),"")</f>
        <v/>
      </c>
      <c r="I539">
        <f>IFERROR(IF(VLOOKUP($B539,Показатели!$E:$W,6,FALSE)=0,"",VLOOKUP($B539,Показатели!$E:$W,6,FALSE)),"")</f>
        <v>37993000000</v>
      </c>
      <c r="J539">
        <f>IFERROR(IF(VLOOKUP($B539,Показатели!$E:$W,7,FALSE)=0,"",VLOOKUP($B539,Показатели!$E:$W,7,FALSE)),"")</f>
        <v>11572000000</v>
      </c>
      <c r="K539">
        <f>IFERROR(IF(VLOOKUP($B539,Показатели!$E:$W,8,FALSE)=0,"",VLOOKUP($B539,Показатели!$E:$W,8,FALSE)),"")</f>
        <v>6968000000</v>
      </c>
      <c r="L539">
        <f>IFERROR(IF(VLOOKUP($B539,Показатели!$E:$W,9,FALSE)=0,"",VLOOKUP($B539,Показатели!$E:$W,9,FALSE)),"")</f>
        <v>11505000000</v>
      </c>
      <c r="M539">
        <f>IFERROR(IF(VLOOKUP($B539,Показатели!$E:$W,10,FALSE)=0,"",VLOOKUP($B539,Показатели!$E:$W,10,FALSE)),"")</f>
        <v>19453000000</v>
      </c>
      <c r="N539">
        <f>IFERROR(IF(VLOOKUP($B539,Показатели!$E:$W,11,FALSE)=0,"",VLOOKUP($B539,Показатели!$E:$W,11,FALSE)),"")</f>
        <v>35903000000</v>
      </c>
      <c r="O539">
        <f>IFERROR(IF(VLOOKUP($B539,Показатели!$E:$W,12,FALSE)=0,"",VLOOKUP($B539,Показатели!$E:$W,12,FALSE)),"")</f>
        <v>2486000000</v>
      </c>
      <c r="P539">
        <f>IFERROR(IF(VLOOKUP($B539,Показатели!$E:$W,13,FALSE)=0,"",VLOOKUP($B539,Показатели!$E:$W,13,FALSE)),"")</f>
        <v>453000000</v>
      </c>
      <c r="Q539">
        <f>IFERROR(IF(VLOOKUP($B539,Показатели!$E:$W,14,FALSE)=0,"",VLOOKUP($B539,Показатели!$E:$W,14,FALSE)),"")</f>
        <v>275000000</v>
      </c>
      <c r="R539" t="str">
        <f>IFERROR(IF(VLOOKUP($B539,Показатели!$E:$W,15,FALSE)=0,"",VLOOKUP($B539,Показатели!$E:$W,15,FALSE)),"")</f>
        <v/>
      </c>
      <c r="S539">
        <f>IFERROR(IF(VLOOKUP($B539,Показатели!$E:$W,16,FALSE)=0,"",VLOOKUP($B539,Показатели!$E:$W,16,FALSE)),"")</f>
        <v>3218000000</v>
      </c>
      <c r="T539">
        <f>IFERROR(IF(VLOOKUP($B539,Показатели!$E:$W,17,FALSE)=0,"",VLOOKUP($B539,Показатели!$E:$W,17,FALSE)),"")</f>
        <v>624000000</v>
      </c>
      <c r="U539">
        <f>IFERROR(IF(VLOOKUP($B539,Показатели!$E:$W,18,FALSE)=0,"",VLOOKUP($B539,Показатели!$E:$W,18,FALSE)),"")</f>
        <v>30706000000</v>
      </c>
      <c r="V539">
        <f>IFERROR(IF(VLOOKUP($B539,Показатели!$E:$W,19,FALSE)=0,"",VLOOKUP($B539,Показатели!$E:$W,19,FALSE)),"")</f>
        <v>35653000000</v>
      </c>
    </row>
    <row r="540" spans="1:22" x14ac:dyDescent="0.2">
      <c r="A540" s="7" t="s">
        <v>2247</v>
      </c>
      <c r="B540" t="str">
        <f t="shared" si="8"/>
        <v>BELU IV кв. 2015</v>
      </c>
      <c r="C540">
        <v>2015</v>
      </c>
      <c r="D540">
        <f>SUMIFS(Дивиденды!$C:$C,Дивиденды!$A:$A,A540,Дивиденды!$I:$I,C540)</f>
        <v>0</v>
      </c>
      <c r="E540">
        <f>IFERROR(IF(VLOOKUP($B540,Показатели!$E:$W,2,FALSE)=0,"",VLOOKUP($B540,Показатели!$E:$W,2,FALSE)),"")</f>
        <v>1161000000</v>
      </c>
      <c r="F540">
        <f>IFERROR(IF(VLOOKUP($B540,Показатели!$E:$W,3,FALSE)=0,"",VLOOKUP($B540,Показатели!$E:$W,3,FALSE)),"")</f>
        <v>20186000000</v>
      </c>
      <c r="G540">
        <f>IFERROR(IF(VLOOKUP($B540,Показатели!$E:$W,4,FALSE)=0,"",VLOOKUP($B540,Показатели!$E:$W,4,FALSE)),"")</f>
        <v>6724000000</v>
      </c>
      <c r="H540" t="str">
        <f>IFERROR(IF(VLOOKUP($B540,Показатели!$E:$W,5,FALSE)=0,"",VLOOKUP($B540,Показатели!$E:$W,5,FALSE)),"")</f>
        <v/>
      </c>
      <c r="I540">
        <f>IFERROR(IF(VLOOKUP($B540,Показатели!$E:$W,6,FALSE)=0,"",VLOOKUP($B540,Показатели!$E:$W,6,FALSE)),"")</f>
        <v>35653000000</v>
      </c>
      <c r="J540">
        <f>IFERROR(IF(VLOOKUP($B540,Показатели!$E:$W,7,FALSE)=0,"",VLOOKUP($B540,Показатели!$E:$W,7,FALSE)),"")</f>
        <v>10190000000</v>
      </c>
      <c r="K540">
        <f>IFERROR(IF(VLOOKUP($B540,Показатели!$E:$W,8,FALSE)=0,"",VLOOKUP($B540,Показатели!$E:$W,8,FALSE)),"")</f>
        <v>6202000000</v>
      </c>
      <c r="L540">
        <f>IFERROR(IF(VLOOKUP($B540,Показатели!$E:$W,9,FALSE)=0,"",VLOOKUP($B540,Показатели!$E:$W,9,FALSE)),"")</f>
        <v>11268000000</v>
      </c>
      <c r="M540">
        <f>IFERROR(IF(VLOOKUP($B540,Показатели!$E:$W,10,FALSE)=0,"",VLOOKUP($B540,Показатели!$E:$W,10,FALSE)),"")</f>
        <v>19261000000</v>
      </c>
      <c r="N540">
        <f>IFERROR(IF(VLOOKUP($B540,Показатели!$E:$W,11,FALSE)=0,"",VLOOKUP($B540,Показатели!$E:$W,11,FALSE)),"")</f>
        <v>30706000000</v>
      </c>
      <c r="O540">
        <f>IFERROR(IF(VLOOKUP($B540,Показатели!$E:$W,12,FALSE)=0,"",VLOOKUP($B540,Показатели!$E:$W,12,FALSE)),"")</f>
        <v>2109000000</v>
      </c>
      <c r="P540">
        <f>IFERROR(IF(VLOOKUP($B540,Показатели!$E:$W,13,FALSE)=0,"",VLOOKUP($B540,Показатели!$E:$W,13,FALSE)),"")</f>
        <v>372000000</v>
      </c>
      <c r="Q540">
        <f>IFERROR(IF(VLOOKUP($B540,Показатели!$E:$W,14,FALSE)=0,"",VLOOKUP($B540,Показатели!$E:$W,14,FALSE)),"")</f>
        <v>241000000</v>
      </c>
      <c r="R540" t="str">
        <f>IFERROR(IF(VLOOKUP($B540,Показатели!$E:$W,15,FALSE)=0,"",VLOOKUP($B540,Показатели!$E:$W,15,FALSE)),"")</f>
        <v/>
      </c>
      <c r="S540">
        <f>IFERROR(IF(VLOOKUP($B540,Показатели!$E:$W,16,FALSE)=0,"",VLOOKUP($B540,Показатели!$E:$W,16,FALSE)),"")</f>
        <v>2885000000</v>
      </c>
      <c r="T540">
        <f>IFERROR(IF(VLOOKUP($B540,Показатели!$E:$W,17,FALSE)=0,"",VLOOKUP($B540,Показатели!$E:$W,17,FALSE)),"")</f>
        <v>956000000</v>
      </c>
      <c r="U540">
        <f>IFERROR(IF(VLOOKUP($B540,Показатели!$E:$W,18,FALSE)=0,"",VLOOKUP($B540,Показатели!$E:$W,18,FALSE)),"")</f>
        <v>28163000000</v>
      </c>
      <c r="V540">
        <f>IFERROR(IF(VLOOKUP($B540,Показатели!$E:$W,19,FALSE)=0,"",VLOOKUP($B540,Показатели!$E:$W,19,FALSE)),"")</f>
        <v>34719000000</v>
      </c>
    </row>
    <row r="541" spans="1:22" x14ac:dyDescent="0.2">
      <c r="A541" s="7" t="s">
        <v>2247</v>
      </c>
      <c r="B541" t="str">
        <f t="shared" si="8"/>
        <v>BELU IV кв. 2014</v>
      </c>
      <c r="C541">
        <v>2014</v>
      </c>
      <c r="D541">
        <f>SUMIFS(Дивиденды!$C:$C,Дивиденды!$A:$A,A541,Дивиденды!$I:$I,C541)</f>
        <v>0</v>
      </c>
      <c r="E541">
        <f>IFERROR(IF(VLOOKUP($B541,Показатели!$E:$W,2,FALSE)=0,"",VLOOKUP($B541,Показатели!$E:$W,2,FALSE)),"")</f>
        <v>482000000</v>
      </c>
      <c r="F541">
        <f>IFERROR(IF(VLOOKUP($B541,Показатели!$E:$W,3,FALSE)=0,"",VLOOKUP($B541,Показатели!$E:$W,3,FALSE)),"")</f>
        <v>19883000000</v>
      </c>
      <c r="G541">
        <f>IFERROR(IF(VLOOKUP($B541,Показатели!$E:$W,4,FALSE)=0,"",VLOOKUP($B541,Показатели!$E:$W,4,FALSE)),"")</f>
        <v>7021000000</v>
      </c>
      <c r="H541" t="str">
        <f>IFERROR(IF(VLOOKUP($B541,Показатели!$E:$W,5,FALSE)=0,"",VLOOKUP($B541,Показатели!$E:$W,5,FALSE)),"")</f>
        <v/>
      </c>
      <c r="I541">
        <f>IFERROR(IF(VLOOKUP($B541,Показатели!$E:$W,6,FALSE)=0,"",VLOOKUP($B541,Показатели!$E:$W,6,FALSE)),"")</f>
        <v>34719000000</v>
      </c>
      <c r="J541">
        <f>IFERROR(IF(VLOOKUP($B541,Показатели!$E:$W,7,FALSE)=0,"",VLOOKUP($B541,Показатели!$E:$W,7,FALSE)),"")</f>
        <v>9499000000</v>
      </c>
      <c r="K541">
        <f>IFERROR(IF(VLOOKUP($B541,Показатели!$E:$W,8,FALSE)=0,"",VLOOKUP($B541,Показатели!$E:$W,8,FALSE)),"")</f>
        <v>6076000000</v>
      </c>
      <c r="L541">
        <f>IFERROR(IF(VLOOKUP($B541,Показатели!$E:$W,9,FALSE)=0,"",VLOOKUP($B541,Показатели!$E:$W,9,FALSE)),"")</f>
        <v>11127000000</v>
      </c>
      <c r="M541">
        <f>IFERROR(IF(VLOOKUP($B541,Показатели!$E:$W,10,FALSE)=0,"",VLOOKUP($B541,Показатели!$E:$W,10,FALSE)),"")</f>
        <v>19144000000</v>
      </c>
      <c r="N541">
        <f>IFERROR(IF(VLOOKUP($B541,Показатели!$E:$W,11,FALSE)=0,"",VLOOKUP($B541,Показатели!$E:$W,11,FALSE)),"")</f>
        <v>28163000000</v>
      </c>
      <c r="O541">
        <f>IFERROR(IF(VLOOKUP($B541,Показатели!$E:$W,12,FALSE)=0,"",VLOOKUP($B541,Показатели!$E:$W,12,FALSE)),"")</f>
        <v>2274000000</v>
      </c>
      <c r="P541">
        <f>IFERROR(IF(VLOOKUP($B541,Показатели!$E:$W,13,FALSE)=0,"",VLOOKUP($B541,Показатели!$E:$W,13,FALSE)),"")</f>
        <v>1329000000</v>
      </c>
      <c r="Q541">
        <f>IFERROR(IF(VLOOKUP($B541,Показатели!$E:$W,14,FALSE)=0,"",VLOOKUP($B541,Показатели!$E:$W,14,FALSE)),"")</f>
        <v>1090000000</v>
      </c>
      <c r="R541" t="str">
        <f>IFERROR(IF(VLOOKUP($B541,Показатели!$E:$W,15,FALSE)=0,"",VLOOKUP($B541,Показатели!$E:$W,15,FALSE)),"")</f>
        <v/>
      </c>
      <c r="S541">
        <f>IFERROR(IF(VLOOKUP($B541,Показатели!$E:$W,16,FALSE)=0,"",VLOOKUP($B541,Показатели!$E:$W,16,FALSE)),"")</f>
        <v>2973000000</v>
      </c>
      <c r="T541">
        <f>IFERROR(IF(VLOOKUP($B541,Показатели!$E:$W,17,FALSE)=0,"",VLOOKUP($B541,Показатели!$E:$W,17,FALSE)),"")</f>
        <v>1622000000</v>
      </c>
      <c r="U541">
        <f>IFERROR(IF(VLOOKUP($B541,Показатели!$E:$W,18,FALSE)=0,"",VLOOKUP($B541,Показатели!$E:$W,18,FALSE)),"")</f>
        <v>44594000000</v>
      </c>
      <c r="V541">
        <f>IFERROR(IF(VLOOKUP($B541,Показатели!$E:$W,19,FALSE)=0,"",VLOOKUP($B541,Показатели!$E:$W,19,FALSE)),"")</f>
        <v>34282000000</v>
      </c>
    </row>
    <row r="542" spans="1:22" x14ac:dyDescent="0.2">
      <c r="A542" s="7" t="s">
        <v>2247</v>
      </c>
      <c r="B542" t="str">
        <f t="shared" si="8"/>
        <v>BELU IV кв. 2013</v>
      </c>
      <c r="C542">
        <v>2013</v>
      </c>
      <c r="D542">
        <f>SUMIFS(Дивиденды!$C:$C,Дивиденды!$A:$A,A542,Дивиденды!$I:$I,C542)</f>
        <v>0</v>
      </c>
      <c r="E542">
        <f>IFERROR(IF(VLOOKUP($B542,Показатели!$E:$W,2,FALSE)=0,"",VLOOKUP($B542,Показатели!$E:$W,2,FALSE)),"")</f>
        <v>467000000</v>
      </c>
      <c r="F542">
        <f>IFERROR(IF(VLOOKUP($B542,Показатели!$E:$W,3,FALSE)=0,"",VLOOKUP($B542,Показатели!$E:$W,3,FALSE)),"")</f>
        <v>20289000000</v>
      </c>
      <c r="G542">
        <f>IFERROR(IF(VLOOKUP($B542,Показатели!$E:$W,4,FALSE)=0,"",VLOOKUP($B542,Показатели!$E:$W,4,FALSE)),"")</f>
        <v>6327000000</v>
      </c>
      <c r="H542" t="str">
        <f>IFERROR(IF(VLOOKUP($B542,Показатели!$E:$W,5,FALSE)=0,"",VLOOKUP($B542,Показатели!$E:$W,5,FALSE)),"")</f>
        <v/>
      </c>
      <c r="I542">
        <f>IFERROR(IF(VLOOKUP($B542,Показатели!$E:$W,6,FALSE)=0,"",VLOOKUP($B542,Показатели!$E:$W,6,FALSE)),"")</f>
        <v>34282000000</v>
      </c>
      <c r="J542">
        <f>IFERROR(IF(VLOOKUP($B542,Показатели!$E:$W,7,FALSE)=0,"",VLOOKUP($B542,Показатели!$E:$W,7,FALSE)),"")</f>
        <v>6347000000</v>
      </c>
      <c r="K542">
        <f>IFERROR(IF(VLOOKUP($B542,Показатели!$E:$W,8,FALSE)=0,"",VLOOKUP($B542,Показатели!$E:$W,8,FALSE)),"")</f>
        <v>9566000000</v>
      </c>
      <c r="L542" t="str">
        <f>IFERROR(IF(VLOOKUP($B542,Показатели!$E:$W,9,FALSE)=0,"",VLOOKUP($B542,Показатели!$E:$W,9,FALSE)),"")</f>
        <v/>
      </c>
      <c r="M542">
        <f>IFERROR(IF(VLOOKUP($B542,Показатели!$E:$W,10,FALSE)=0,"",VLOOKUP($B542,Показатели!$E:$W,10,FALSE)),"")</f>
        <v>18369000000</v>
      </c>
      <c r="N542">
        <f>IFERROR(IF(VLOOKUP($B542,Показатели!$E:$W,11,FALSE)=0,"",VLOOKUP($B542,Показатели!$E:$W,11,FALSE)),"")</f>
        <v>44594000000</v>
      </c>
      <c r="O542">
        <f>IFERROR(IF(VLOOKUP($B542,Показатели!$E:$W,12,FALSE)=0,"",VLOOKUP($B542,Показатели!$E:$W,12,FALSE)),"")</f>
        <v>3127000000</v>
      </c>
      <c r="P542">
        <f>IFERROR(IF(VLOOKUP($B542,Показатели!$E:$W,13,FALSE)=0,"",VLOOKUP($B542,Показатели!$E:$W,13,FALSE)),"")</f>
        <v>1925000000</v>
      </c>
      <c r="Q542">
        <f>IFERROR(IF(VLOOKUP($B542,Показатели!$E:$W,14,FALSE)=0,"",VLOOKUP($B542,Показатели!$E:$W,14,FALSE)),"")</f>
        <v>1541000000</v>
      </c>
      <c r="R542" t="str">
        <f>IFERROR(IF(VLOOKUP($B542,Показатели!$E:$W,15,FALSE)=0,"",VLOOKUP($B542,Показатели!$E:$W,15,FALSE)),"")</f>
        <v/>
      </c>
      <c r="S542">
        <f>IFERROR(IF(VLOOKUP($B542,Показатели!$E:$W,16,FALSE)=0,"",VLOOKUP($B542,Показатели!$E:$W,16,FALSE)),"")</f>
        <v>3674000000</v>
      </c>
      <c r="T542" t="str">
        <f>IFERROR(IF(VLOOKUP($B542,Показатели!$E:$W,17,FALSE)=0,"",VLOOKUP($B542,Показатели!$E:$W,17,FALSE)),"")</f>
        <v/>
      </c>
      <c r="U542">
        <f>IFERROR(IF(VLOOKUP($B542,Показатели!$E:$W,18,FALSE)=0,"",VLOOKUP($B542,Показатели!$E:$W,18,FALSE)),"")</f>
        <v>26664482000</v>
      </c>
      <c r="V542">
        <f>IFERROR(IF(VLOOKUP($B542,Показатели!$E:$W,19,FALSE)=0,"",VLOOKUP($B542,Показатели!$E:$W,19,FALSE)),"")</f>
        <v>30756406000</v>
      </c>
    </row>
    <row r="543" spans="1:22" x14ac:dyDescent="0.2">
      <c r="A543" s="7" t="s">
        <v>2247</v>
      </c>
      <c r="B543" t="str">
        <f t="shared" si="8"/>
        <v>BELU IV кв. 2012</v>
      </c>
      <c r="C543">
        <v>2012</v>
      </c>
      <c r="D543">
        <f>SUMIFS(Дивиденды!$C:$C,Дивиденды!$A:$A,A543,Дивиденды!$I:$I,C543)</f>
        <v>0</v>
      </c>
      <c r="E543">
        <f>IFERROR(IF(VLOOKUP($B543,Показатели!$E:$W,2,FALSE)=0,"",VLOOKUP($B543,Показатели!$E:$W,2,FALSE)),"")</f>
        <v>707454000</v>
      </c>
      <c r="F543">
        <f>IFERROR(IF(VLOOKUP($B543,Показатели!$E:$W,3,FALSE)=0,"",VLOOKUP($B543,Показатели!$E:$W,3,FALSE)),"")</f>
        <v>18339176000</v>
      </c>
      <c r="G543">
        <f>IFERROR(IF(VLOOKUP($B543,Показатели!$E:$W,4,FALSE)=0,"",VLOOKUP($B543,Показатели!$E:$W,4,FALSE)),"")</f>
        <v>5944495000</v>
      </c>
      <c r="H543" t="str">
        <f>IFERROR(IF(VLOOKUP($B543,Показатели!$E:$W,5,FALSE)=0,"",VLOOKUP($B543,Показатели!$E:$W,5,FALSE)),"")</f>
        <v/>
      </c>
      <c r="I543">
        <f>IFERROR(IF(VLOOKUP($B543,Показатели!$E:$W,6,FALSE)=0,"",VLOOKUP($B543,Показатели!$E:$W,6,FALSE)),"")</f>
        <v>30756406000</v>
      </c>
      <c r="J543">
        <f>IFERROR(IF(VLOOKUP($B543,Показатели!$E:$W,7,FALSE)=0,"",VLOOKUP($B543,Показатели!$E:$W,7,FALSE)),"")</f>
        <v>7709755000</v>
      </c>
      <c r="K543">
        <f>IFERROR(IF(VLOOKUP($B543,Показатели!$E:$W,8,FALSE)=0,"",VLOOKUP($B543,Показатели!$E:$W,8,FALSE)),"")</f>
        <v>5675144000</v>
      </c>
      <c r="L543" t="str">
        <f>IFERROR(IF(VLOOKUP($B543,Показатели!$E:$W,9,FALSE)=0,"",VLOOKUP($B543,Показатели!$E:$W,9,FALSE)),"")</f>
        <v/>
      </c>
      <c r="M543">
        <f>IFERROR(IF(VLOOKUP($B543,Показатели!$E:$W,10,FALSE)=0,"",VLOOKUP($B543,Показатели!$E:$W,10,FALSE)),"")</f>
        <v>17371507000</v>
      </c>
      <c r="N543">
        <f>IFERROR(IF(VLOOKUP($B543,Показатели!$E:$W,11,FALSE)=0,"",VLOOKUP($B543,Показатели!$E:$W,11,FALSE)),"")</f>
        <v>26664482000</v>
      </c>
      <c r="O543">
        <f>IFERROR(IF(VLOOKUP($B543,Показатели!$E:$W,12,FALSE)=0,"",VLOOKUP($B543,Показатели!$E:$W,12,FALSE)),"")</f>
        <v>3122968000</v>
      </c>
      <c r="P543">
        <f>IFERROR(IF(VLOOKUP($B543,Показатели!$E:$W,13,FALSE)=0,"",VLOOKUP($B543,Показатели!$E:$W,13,FALSE)),"")</f>
        <v>2130178000</v>
      </c>
      <c r="Q543">
        <f>IFERROR(IF(VLOOKUP($B543,Показатели!$E:$W,14,FALSE)=0,"",VLOOKUP($B543,Показатели!$E:$W,14,FALSE)),"")</f>
        <v>1701954000</v>
      </c>
      <c r="R543" t="str">
        <f>IFERROR(IF(VLOOKUP($B543,Показатели!$E:$W,15,FALSE)=0,"",VLOOKUP($B543,Показатели!$E:$W,15,FALSE)),"")</f>
        <v/>
      </c>
      <c r="S543">
        <f>IFERROR(IF(VLOOKUP($B543,Показатели!$E:$W,16,FALSE)=0,"",VLOOKUP($B543,Показатели!$E:$W,16,FALSE)),"")</f>
        <v>3593000000</v>
      </c>
      <c r="T543" t="str">
        <f>IFERROR(IF(VLOOKUP($B543,Показатели!$E:$W,17,FALSE)=0,"",VLOOKUP($B543,Показатели!$E:$W,17,FALSE)),"")</f>
        <v/>
      </c>
      <c r="U543">
        <f>IFERROR(IF(VLOOKUP($B543,Показатели!$E:$W,18,FALSE)=0,"",VLOOKUP($B543,Показатели!$E:$W,18,FALSE)),"")</f>
        <v>25213402000</v>
      </c>
      <c r="V543">
        <f>IFERROR(IF(VLOOKUP($B543,Показатели!$E:$W,19,FALSE)=0,"",VLOOKUP($B543,Показатели!$E:$W,19,FALSE)),"")</f>
        <v>28078949000</v>
      </c>
    </row>
    <row r="544" spans="1:22" x14ac:dyDescent="0.2">
      <c r="A544" s="7" t="s">
        <v>2247</v>
      </c>
      <c r="B544" t="str">
        <f t="shared" si="8"/>
        <v>BELU IV кв. 2011</v>
      </c>
      <c r="C544">
        <v>2011</v>
      </c>
      <c r="D544">
        <f>SUMIFS(Дивиденды!$C:$C,Дивиденды!$A:$A,A544,Дивиденды!$I:$I,C544)</f>
        <v>0</v>
      </c>
      <c r="E544">
        <f>IFERROR(IF(VLOOKUP($B544,Показатели!$E:$W,2,FALSE)=0,"",VLOOKUP($B544,Показатели!$E:$W,2,FALSE)),"")</f>
        <v>717807000</v>
      </c>
      <c r="F544">
        <f>IFERROR(IF(VLOOKUP($B544,Показатели!$E:$W,3,FALSE)=0,"",VLOOKUP($B544,Показатели!$E:$W,3,FALSE)),"")</f>
        <v>17348603000</v>
      </c>
      <c r="G544">
        <f>IFERROR(IF(VLOOKUP($B544,Показатели!$E:$W,4,FALSE)=0,"",VLOOKUP($B544,Показатели!$E:$W,4,FALSE)),"")</f>
        <v>4627001000</v>
      </c>
      <c r="H544" t="str">
        <f>IFERROR(IF(VLOOKUP($B544,Показатели!$E:$W,5,FALSE)=0,"",VLOOKUP($B544,Показатели!$E:$W,5,FALSE)),"")</f>
        <v/>
      </c>
      <c r="I544">
        <f>IFERROR(IF(VLOOKUP($B544,Показатели!$E:$W,6,FALSE)=0,"",VLOOKUP($B544,Показатели!$E:$W,6,FALSE)),"")</f>
        <v>28078949000</v>
      </c>
      <c r="J544">
        <f>IFERROR(IF(VLOOKUP($B544,Показатели!$E:$W,7,FALSE)=0,"",VLOOKUP($B544,Показатели!$E:$W,7,FALSE)),"")</f>
        <v>6175994000</v>
      </c>
      <c r="K544">
        <f>IFERROR(IF(VLOOKUP($B544,Показатели!$E:$W,8,FALSE)=0,"",VLOOKUP($B544,Показатели!$E:$W,8,FALSE)),"")</f>
        <v>5211249000</v>
      </c>
      <c r="L544" t="str">
        <f>IFERROR(IF(VLOOKUP($B544,Показатели!$E:$W,9,FALSE)=0,"",VLOOKUP($B544,Показатели!$E:$W,9,FALSE)),"")</f>
        <v/>
      </c>
      <c r="M544">
        <f>IFERROR(IF(VLOOKUP($B544,Показатели!$E:$W,10,FALSE)=0,"",VLOOKUP($B544,Показатели!$E:$W,10,FALSE)),"")</f>
        <v>16691706000</v>
      </c>
      <c r="N544">
        <f>IFERROR(IF(VLOOKUP($B544,Показатели!$E:$W,11,FALSE)=0,"",VLOOKUP($B544,Показатели!$E:$W,11,FALSE)),"")</f>
        <v>25213402000</v>
      </c>
      <c r="O544">
        <f>IFERROR(IF(VLOOKUP($B544,Показатели!$E:$W,12,FALSE)=0,"",VLOOKUP($B544,Показатели!$E:$W,12,FALSE)),"")</f>
        <v>2843368000</v>
      </c>
      <c r="P544">
        <f>IFERROR(IF(VLOOKUP($B544,Показатели!$E:$W,13,FALSE)=0,"",VLOOKUP($B544,Показатели!$E:$W,13,FALSE)),"")</f>
        <v>2177466000</v>
      </c>
      <c r="Q544">
        <f>IFERROR(IF(VLOOKUP($B544,Показатели!$E:$W,14,FALSE)=0,"",VLOOKUP($B544,Показатели!$E:$W,14,FALSE)),"")</f>
        <v>1661224000</v>
      </c>
      <c r="R544" t="str">
        <f>IFERROR(IF(VLOOKUP($B544,Показатели!$E:$W,15,FALSE)=0,"",VLOOKUP($B544,Показатели!$E:$W,15,FALSE)),"")</f>
        <v/>
      </c>
      <c r="S544">
        <f>IFERROR(IF(VLOOKUP($B544,Показатели!$E:$W,16,FALSE)=0,"",VLOOKUP($B544,Показатели!$E:$W,16,FALSE)),"")</f>
        <v>3244000000</v>
      </c>
      <c r="T544" t="str">
        <f>IFERROR(IF(VLOOKUP($B544,Показатели!$E:$W,17,FALSE)=0,"",VLOOKUP($B544,Показатели!$E:$W,17,FALSE)),"")</f>
        <v/>
      </c>
      <c r="U544" t="str">
        <f>IFERROR(IF(VLOOKUP($B544,Показатели!$E:$W,18,FALSE)=0,"",VLOOKUP($B544,Показатели!$E:$W,18,FALSE)),"")</f>
        <v/>
      </c>
      <c r="V544" t="str">
        <f>IFERROR(IF(VLOOKUP($B544,Показатели!$E:$W,19,FALSE)=0,"",VLOOKUP($B544,Показатели!$E:$W,19,FALSE)),"")</f>
        <v/>
      </c>
    </row>
    <row r="545" spans="1:22" x14ac:dyDescent="0.2">
      <c r="A545" s="7" t="s">
        <v>2247</v>
      </c>
      <c r="B545" t="str">
        <f t="shared" si="8"/>
        <v>BELU IV кв. 2010</v>
      </c>
      <c r="C545">
        <v>2010</v>
      </c>
      <c r="D545">
        <f>SUMIFS(Дивиденды!$C:$C,Дивиденды!$A:$A,A545,Дивиденды!$I:$I,C545)</f>
        <v>0</v>
      </c>
      <c r="E545" t="str">
        <f>IFERROR(IF(VLOOKUP($B545,Показатели!$E:$W,2,FALSE)=0,"",VLOOKUP($B545,Показатели!$E:$W,2,FALSE)),"")</f>
        <v/>
      </c>
      <c r="F545" t="str">
        <f>IFERROR(IF(VLOOKUP($B545,Показатели!$E:$W,3,FALSE)=0,"",VLOOKUP($B545,Показатели!$E:$W,3,FALSE)),"")</f>
        <v/>
      </c>
      <c r="G545" t="str">
        <f>IFERROR(IF(VLOOKUP($B545,Показатели!$E:$W,4,FALSE)=0,"",VLOOKUP($B545,Показатели!$E:$W,4,FALSE)),"")</f>
        <v/>
      </c>
      <c r="H545" t="str">
        <f>IFERROR(IF(VLOOKUP($B545,Показатели!$E:$W,5,FALSE)=0,"",VLOOKUP($B545,Показатели!$E:$W,5,FALSE)),"")</f>
        <v/>
      </c>
      <c r="I545" t="str">
        <f>IFERROR(IF(VLOOKUP($B545,Показатели!$E:$W,6,FALSE)=0,"",VLOOKUP($B545,Показатели!$E:$W,6,FALSE)),"")</f>
        <v/>
      </c>
      <c r="J545" t="str">
        <f>IFERROR(IF(VLOOKUP($B545,Показатели!$E:$W,7,FALSE)=0,"",VLOOKUP($B545,Показатели!$E:$W,7,FALSE)),"")</f>
        <v/>
      </c>
      <c r="K545" t="str">
        <f>IFERROR(IF(VLOOKUP($B545,Показатели!$E:$W,8,FALSE)=0,"",VLOOKUP($B545,Показатели!$E:$W,8,FALSE)),"")</f>
        <v/>
      </c>
      <c r="L545" t="str">
        <f>IFERROR(IF(VLOOKUP($B545,Показатели!$E:$W,9,FALSE)=0,"",VLOOKUP($B545,Показатели!$E:$W,9,FALSE)),"")</f>
        <v/>
      </c>
      <c r="M545" t="str">
        <f>IFERROR(IF(VLOOKUP($B545,Показатели!$E:$W,10,FALSE)=0,"",VLOOKUP($B545,Показатели!$E:$W,10,FALSE)),"")</f>
        <v/>
      </c>
      <c r="N545" t="str">
        <f>IFERROR(IF(VLOOKUP($B545,Показатели!$E:$W,11,FALSE)=0,"",VLOOKUP($B545,Показатели!$E:$W,11,FALSE)),"")</f>
        <v/>
      </c>
      <c r="O545" t="str">
        <f>IFERROR(IF(VLOOKUP($B545,Показатели!$E:$W,12,FALSE)=0,"",VLOOKUP($B545,Показатели!$E:$W,12,FALSE)),"")</f>
        <v/>
      </c>
      <c r="P545" t="str">
        <f>IFERROR(IF(VLOOKUP($B545,Показатели!$E:$W,13,FALSE)=0,"",VLOOKUP($B545,Показатели!$E:$W,13,FALSE)),"")</f>
        <v/>
      </c>
      <c r="Q545" t="str">
        <f>IFERROR(IF(VLOOKUP($B545,Показатели!$E:$W,14,FALSE)=0,"",VLOOKUP($B545,Показатели!$E:$W,14,FALSE)),"")</f>
        <v/>
      </c>
      <c r="R545" t="str">
        <f>IFERROR(IF(VLOOKUP($B545,Показатели!$E:$W,15,FALSE)=0,"",VLOOKUP($B545,Показатели!$E:$W,15,FALSE)),"")</f>
        <v/>
      </c>
      <c r="S545" t="str">
        <f>IFERROR(IF(VLOOKUP($B545,Показатели!$E:$W,16,FALSE)=0,"",VLOOKUP($B545,Показатели!$E:$W,16,FALSE)),"")</f>
        <v/>
      </c>
      <c r="T545" t="str">
        <f>IFERROR(IF(VLOOKUP($B545,Показатели!$E:$W,17,FALSE)=0,"",VLOOKUP($B545,Показатели!$E:$W,17,FALSE)),"")</f>
        <v/>
      </c>
      <c r="U545" t="str">
        <f>IFERROR(IF(VLOOKUP($B545,Показатели!$E:$W,18,FALSE)=0,"",VLOOKUP($B545,Показатели!$E:$W,18,FALSE)),"")</f>
        <v/>
      </c>
      <c r="V545" t="str">
        <f>IFERROR(IF(VLOOKUP($B545,Показатели!$E:$W,19,FALSE)=0,"",VLOOKUP($B545,Показатели!$E:$W,19,FALSE)),"")</f>
        <v/>
      </c>
    </row>
    <row r="546" spans="1:22" x14ac:dyDescent="0.2">
      <c r="A546" s="7" t="s">
        <v>2249</v>
      </c>
      <c r="B546" t="str">
        <f t="shared" si="8"/>
        <v>EUTR IV кв. 2025</v>
      </c>
      <c r="C546">
        <v>2025</v>
      </c>
      <c r="D546">
        <f>SUMIFS(Дивиденды!$C:$C,Дивиденды!$A:$A,A546,Дивиденды!$I:$I,C546)</f>
        <v>20.350000000000001</v>
      </c>
      <c r="E546" t="str">
        <f>IFERROR(IF(VLOOKUP($B546,Показатели!$E:$W,2,FALSE)=0,"",VLOOKUP($B546,Показатели!$E:$W,2,FALSE)),"")</f>
        <v/>
      </c>
      <c r="F546" t="str">
        <f>IFERROR(IF(VLOOKUP($B546,Показатели!$E:$W,3,FALSE)=0,"",VLOOKUP($B546,Показатели!$E:$W,3,FALSE)),"")</f>
        <v/>
      </c>
      <c r="G546" t="str">
        <f>IFERROR(IF(VLOOKUP($B546,Показатели!$E:$W,4,FALSE)=0,"",VLOOKUP($B546,Показатели!$E:$W,4,FALSE)),"")</f>
        <v/>
      </c>
      <c r="H546" t="str">
        <f>IFERROR(IF(VLOOKUP($B546,Показатели!$E:$W,5,FALSE)=0,"",VLOOKUP($B546,Показатели!$E:$W,5,FALSE)),"")</f>
        <v/>
      </c>
      <c r="I546" t="str">
        <f>IFERROR(IF(VLOOKUP($B546,Показатели!$E:$W,6,FALSE)=0,"",VLOOKUP($B546,Показатели!$E:$W,6,FALSE)),"")</f>
        <v/>
      </c>
      <c r="J546" t="str">
        <f>IFERROR(IF(VLOOKUP($B546,Показатели!$E:$W,7,FALSE)=0,"",VLOOKUP($B546,Показатели!$E:$W,7,FALSE)),"")</f>
        <v/>
      </c>
      <c r="K546" t="str">
        <f>IFERROR(IF(VLOOKUP($B546,Показатели!$E:$W,8,FALSE)=0,"",VLOOKUP($B546,Показатели!$E:$W,8,FALSE)),"")</f>
        <v/>
      </c>
      <c r="L546" t="str">
        <f>IFERROR(IF(VLOOKUP($B546,Показатели!$E:$W,9,FALSE)=0,"",VLOOKUP($B546,Показатели!$E:$W,9,FALSE)),"")</f>
        <v/>
      </c>
      <c r="M546" t="str">
        <f>IFERROR(IF(VLOOKUP($B546,Показатели!$E:$W,10,FALSE)=0,"",VLOOKUP($B546,Показатели!$E:$W,10,FALSE)),"")</f>
        <v/>
      </c>
      <c r="N546" t="str">
        <f>IFERROR(IF(VLOOKUP($B546,Показатели!$E:$W,11,FALSE)=0,"",VLOOKUP($B546,Показатели!$E:$W,11,FALSE)),"")</f>
        <v/>
      </c>
      <c r="O546" t="str">
        <f>IFERROR(IF(VLOOKUP($B546,Показатели!$E:$W,12,FALSE)=0,"",VLOOKUP($B546,Показатели!$E:$W,12,FALSE)),"")</f>
        <v/>
      </c>
      <c r="P546" t="str">
        <f>IFERROR(IF(VLOOKUP($B546,Показатели!$E:$W,13,FALSE)=0,"",VLOOKUP($B546,Показатели!$E:$W,13,FALSE)),"")</f>
        <v/>
      </c>
      <c r="Q546" t="str">
        <f>IFERROR(IF(VLOOKUP($B546,Показатели!$E:$W,14,FALSE)=0,"",VLOOKUP($B546,Показатели!$E:$W,14,FALSE)),"")</f>
        <v/>
      </c>
      <c r="R546" t="str">
        <f>IFERROR(IF(VLOOKUP($B546,Показатели!$E:$W,15,FALSE)=0,"",VLOOKUP($B546,Показатели!$E:$W,15,FALSE)),"")</f>
        <v/>
      </c>
      <c r="S546" t="str">
        <f>IFERROR(IF(VLOOKUP($B546,Показатели!$E:$W,16,FALSE)=0,"",VLOOKUP($B546,Показатели!$E:$W,16,FALSE)),"")</f>
        <v/>
      </c>
      <c r="T546" t="str">
        <f>IFERROR(IF(VLOOKUP($B546,Показатели!$E:$W,17,FALSE)=0,"",VLOOKUP($B546,Показатели!$E:$W,17,FALSE)),"")</f>
        <v/>
      </c>
      <c r="U546" t="str">
        <f>IFERROR(IF(VLOOKUP($B546,Показатели!$E:$W,18,FALSE)=0,"",VLOOKUP($B546,Показатели!$E:$W,18,FALSE)),"")</f>
        <v/>
      </c>
      <c r="V546" t="str">
        <f>IFERROR(IF(VLOOKUP($B546,Показатели!$E:$W,19,FALSE)=0,"",VLOOKUP($B546,Показатели!$E:$W,19,FALSE)),"")</f>
        <v/>
      </c>
    </row>
    <row r="547" spans="1:22" x14ac:dyDescent="0.2">
      <c r="A547" s="7" t="s">
        <v>2249</v>
      </c>
      <c r="B547" t="str">
        <f t="shared" si="8"/>
        <v>EUTR IV кв. 2024</v>
      </c>
      <c r="C547">
        <v>2024</v>
      </c>
      <c r="D547">
        <f>SUMIFS(Дивиденды!$C:$C,Дивиденды!$A:$A,A547,Дивиденды!$I:$I,C547)</f>
        <v>27.490000000000002</v>
      </c>
      <c r="E547">
        <f>IFERROR(IF(VLOOKUP($B547,Показатели!$E:$W,2,FALSE)=0,"",VLOOKUP($B547,Показатели!$E:$W,2,FALSE)),"")</f>
        <v>181069000</v>
      </c>
      <c r="F547">
        <f>IFERROR(IF(VLOOKUP($B547,Показатели!$E:$W,3,FALSE)=0,"",VLOOKUP($B547,Показатели!$E:$W,3,FALSE)),"")</f>
        <v>48107386000</v>
      </c>
      <c r="G547">
        <f>IFERROR(IF(VLOOKUP($B547,Показатели!$E:$W,4,FALSE)=0,"",VLOOKUP($B547,Показатели!$E:$W,4,FALSE)),"")</f>
        <v>25768551000</v>
      </c>
      <c r="H547">
        <f>IFERROR(IF(VLOOKUP($B547,Показатели!$E:$W,5,FALSE)=0,"",VLOOKUP($B547,Показатели!$E:$W,5,FALSE)),"")</f>
        <v>4500765000</v>
      </c>
      <c r="I547">
        <f>IFERROR(IF(VLOOKUP($B547,Показатели!$E:$W,6,FALSE)=0,"",VLOOKUP($B547,Показатели!$E:$W,6,FALSE)),"")</f>
        <v>103873440000</v>
      </c>
      <c r="J547">
        <f>IFERROR(IF(VLOOKUP($B547,Показатели!$E:$W,7,FALSE)=0,"",VLOOKUP($B547,Показатели!$E:$W,7,FALSE)),"")</f>
        <v>37213940000</v>
      </c>
      <c r="K547">
        <f>IFERROR(IF(VLOOKUP($B547,Показатели!$E:$W,8,FALSE)=0,"",VLOOKUP($B547,Показатели!$E:$W,8,FALSE)),"")</f>
        <v>34013566000</v>
      </c>
      <c r="L547">
        <f>IFERROR(IF(VLOOKUP($B547,Показатели!$E:$W,9,FALSE)=0,"",VLOOKUP($B547,Показатели!$E:$W,9,FALSE)),"")</f>
        <v>6392357000</v>
      </c>
      <c r="M547">
        <f>IFERROR(IF(VLOOKUP($B547,Показатели!$E:$W,10,FALSE)=0,"",VLOOKUP($B547,Показатели!$E:$W,10,FALSE)),"")</f>
        <v>32645934000</v>
      </c>
      <c r="N547">
        <f>IFERROR(IF(VLOOKUP($B547,Показатели!$E:$W,11,FALSE)=0,"",VLOOKUP($B547,Показатели!$E:$W,11,FALSE)),"")</f>
        <v>186195094000</v>
      </c>
      <c r="O547">
        <f>IFERROR(IF(VLOOKUP($B547,Показатели!$E:$W,12,FALSE)=0,"",VLOOKUP($B547,Показатели!$E:$W,12,FALSE)),"")</f>
        <v>14805473000</v>
      </c>
      <c r="P547">
        <f>IFERROR(IF(VLOOKUP($B547,Показатели!$E:$W,13,FALSE)=0,"",VLOOKUP($B547,Показатели!$E:$W,13,FALSE)),"")</f>
        <v>7295871000</v>
      </c>
      <c r="Q547">
        <f>IFERROR(IF(VLOOKUP($B547,Показатели!$E:$W,14,FALSE)=0,"",VLOOKUP($B547,Показатели!$E:$W,14,FALSE)),"")</f>
        <v>5538473000</v>
      </c>
      <c r="R547">
        <f>IFERROR(IF(VLOOKUP($B547,Показатели!$E:$W,15,FALSE)=0,"",VLOOKUP($B547,Показатели!$E:$W,15,FALSE)),"")</f>
        <v>1733710000</v>
      </c>
      <c r="S547">
        <f>IFERROR(IF(VLOOKUP($B547,Показатели!$E:$W,16,FALSE)=0,"",VLOOKUP($B547,Показатели!$E:$W,16,FALSE)),"")</f>
        <v>16946066000</v>
      </c>
      <c r="T547">
        <f>IFERROR(IF(VLOOKUP($B547,Показатели!$E:$W,17,FALSE)=0,"",VLOOKUP($B547,Показатели!$E:$W,17,FALSE)),"")</f>
        <v>-269871000</v>
      </c>
      <c r="U547">
        <f>IFERROR(IF(VLOOKUP($B547,Показатели!$E:$W,18,FALSE)=0,"",VLOOKUP($B547,Показатели!$E:$W,18,FALSE)),"")</f>
        <v>126763125000</v>
      </c>
      <c r="V547">
        <f>IFERROR(IF(VLOOKUP($B547,Показатели!$E:$W,19,FALSE)=0,"",VLOOKUP($B547,Показатели!$E:$W,19,FALSE)),"")</f>
        <v>84991994000</v>
      </c>
    </row>
    <row r="548" spans="1:22" x14ac:dyDescent="0.2">
      <c r="A548" s="7" t="s">
        <v>2249</v>
      </c>
      <c r="B548" t="str">
        <f t="shared" si="8"/>
        <v>EUTR IV кв. 2023</v>
      </c>
      <c r="C548">
        <v>2023</v>
      </c>
      <c r="D548">
        <f>SUMIFS(Дивиденды!$C:$C,Дивиденды!$A:$A,A548,Дивиденды!$I:$I,C548)</f>
        <v>25.6</v>
      </c>
      <c r="E548">
        <f>IFERROR(IF(VLOOKUP($B548,Показатели!$E:$W,2,FALSE)=0,"",VLOOKUP($B548,Показатели!$E:$W,2,FALSE)),"")</f>
        <v>181794000</v>
      </c>
      <c r="F548">
        <f>IFERROR(IF(VLOOKUP($B548,Показатели!$E:$W,3,FALSE)=0,"",VLOOKUP($B548,Показатели!$E:$W,3,FALSE)),"")</f>
        <v>42559133000</v>
      </c>
      <c r="G548">
        <f>IFERROR(IF(VLOOKUP($B548,Показатели!$E:$W,4,FALSE)=0,"",VLOOKUP($B548,Показатели!$E:$W,4,FALSE)),"")</f>
        <v>12117084000</v>
      </c>
      <c r="H548">
        <f>IFERROR(IF(VLOOKUP($B548,Показатели!$E:$W,5,FALSE)=0,"",VLOOKUP($B548,Показатели!$E:$W,5,FALSE)),"")</f>
        <v>4395092000</v>
      </c>
      <c r="I548">
        <f>IFERROR(IF(VLOOKUP($B548,Показатели!$E:$W,6,FALSE)=0,"",VLOOKUP($B548,Показатели!$E:$W,6,FALSE)),"")</f>
        <v>84991994000</v>
      </c>
      <c r="J548">
        <f>IFERROR(IF(VLOOKUP($B548,Показатели!$E:$W,7,FALSE)=0,"",VLOOKUP($B548,Показатели!$E:$W,7,FALSE)),"")</f>
        <v>24149176000</v>
      </c>
      <c r="K548">
        <f>IFERROR(IF(VLOOKUP($B548,Показатели!$E:$W,8,FALSE)=0,"",VLOOKUP($B548,Показатели!$E:$W,8,FALSE)),"")</f>
        <v>33241482000</v>
      </c>
      <c r="L548">
        <f>IFERROR(IF(VLOOKUP($B548,Показатели!$E:$W,9,FALSE)=0,"",VLOOKUP($B548,Показатели!$E:$W,9,FALSE)),"")</f>
        <v>5693330000</v>
      </c>
      <c r="M548">
        <f>IFERROR(IF(VLOOKUP($B548,Показатели!$E:$W,10,FALSE)=0,"",VLOOKUP($B548,Показатели!$E:$W,10,FALSE)),"")</f>
        <v>27601336000</v>
      </c>
      <c r="N548">
        <f>IFERROR(IF(VLOOKUP($B548,Показатели!$E:$W,11,FALSE)=0,"",VLOOKUP($B548,Показатели!$E:$W,11,FALSE)),"")</f>
        <v>126763125000</v>
      </c>
      <c r="O548">
        <f>IFERROR(IF(VLOOKUP($B548,Показатели!$E:$W,12,FALSE)=0,"",VLOOKUP($B548,Показатели!$E:$W,12,FALSE)),"")</f>
        <v>10984291000</v>
      </c>
      <c r="P548">
        <f>IFERROR(IF(VLOOKUP($B548,Показатели!$E:$W,13,FALSE)=0,"",VLOOKUP($B548,Показатели!$E:$W,13,FALSE)),"")</f>
        <v>6479828000</v>
      </c>
      <c r="Q548">
        <f>IFERROR(IF(VLOOKUP($B548,Показатели!$E:$W,14,FALSE)=0,"",VLOOKUP($B548,Показатели!$E:$W,14,FALSE)),"")</f>
        <v>5158217000</v>
      </c>
      <c r="R548">
        <f>IFERROR(IF(VLOOKUP($B548,Показатели!$E:$W,15,FALSE)=0,"",VLOOKUP($B548,Показатели!$E:$W,15,FALSE)),"")</f>
        <v>1177429000</v>
      </c>
      <c r="S548">
        <f>IFERROR(IF(VLOOKUP($B548,Показатели!$E:$W,16,FALSE)=0,"",VLOOKUP($B548,Показатели!$E:$W,16,FALSE)),"")</f>
        <v>12307669000</v>
      </c>
      <c r="T548">
        <f>IFERROR(IF(VLOOKUP($B548,Показатели!$E:$W,17,FALSE)=0,"",VLOOKUP($B548,Показатели!$E:$W,17,FALSE)),"")</f>
        <v>-13322172000</v>
      </c>
      <c r="U548">
        <f>IFERROR(IF(VLOOKUP($B548,Показатели!$E:$W,18,FALSE)=0,"",VLOOKUP($B548,Показатели!$E:$W,18,FALSE)),"")</f>
        <v>61886486000</v>
      </c>
      <c r="V548">
        <f>IFERROR(IF(VLOOKUP($B548,Показатели!$E:$W,19,FALSE)=0,"",VLOOKUP($B548,Показатели!$E:$W,19,FALSE)),"")</f>
        <v>51871163000</v>
      </c>
    </row>
    <row r="549" spans="1:22" x14ac:dyDescent="0.2">
      <c r="A549" s="7" t="s">
        <v>2249</v>
      </c>
      <c r="B549" t="str">
        <f t="shared" si="8"/>
        <v>EUTR IV кв. 2022</v>
      </c>
      <c r="C549">
        <v>2022</v>
      </c>
      <c r="D549">
        <f>SUMIFS(Дивиденды!$C:$C,Дивиденды!$A:$A,A549,Дивиденды!$I:$I,C549)</f>
        <v>0</v>
      </c>
      <c r="E549">
        <f>IFERROR(IF(VLOOKUP($B549,Показатели!$E:$W,2,FALSE)=0,"",VLOOKUP($B549,Показатели!$E:$W,2,FALSE)),"")</f>
        <v>203854000</v>
      </c>
      <c r="F549">
        <f>IFERROR(IF(VLOOKUP($B549,Показатели!$E:$W,3,FALSE)=0,"",VLOOKUP($B549,Показатели!$E:$W,3,FALSE)),"")</f>
        <v>23229441000</v>
      </c>
      <c r="G549">
        <f>IFERROR(IF(VLOOKUP($B549,Показатели!$E:$W,4,FALSE)=0,"",VLOOKUP($B549,Показатели!$E:$W,4,FALSE)),"")</f>
        <v>1628171000</v>
      </c>
      <c r="H549">
        <f>IFERROR(IF(VLOOKUP($B549,Показатели!$E:$W,5,FALSE)=0,"",VLOOKUP($B549,Показатели!$E:$W,5,FALSE)),"")</f>
        <v>744894000</v>
      </c>
      <c r="I549">
        <f>IFERROR(IF(VLOOKUP($B549,Показатели!$E:$W,6,FALSE)=0,"",VLOOKUP($B549,Показатели!$E:$W,6,FALSE)),"")</f>
        <v>51871163000</v>
      </c>
      <c r="J549">
        <f>IFERROR(IF(VLOOKUP($B549,Показатели!$E:$W,7,FALSE)=0,"",VLOOKUP($B549,Показатели!$E:$W,7,FALSE)),"")</f>
        <v>16929489000</v>
      </c>
      <c r="K549">
        <f>IFERROR(IF(VLOOKUP($B549,Показатели!$E:$W,8,FALSE)=0,"",VLOOKUP($B549,Показатели!$E:$W,8,FALSE)),"")</f>
        <v>22996890000</v>
      </c>
      <c r="L549">
        <f>IFERROR(IF(VLOOKUP($B549,Показатели!$E:$W,9,FALSE)=0,"",VLOOKUP($B549,Показатели!$E:$W,9,FALSE)),"")</f>
        <v>1918205000</v>
      </c>
      <c r="M549">
        <f>IFERROR(IF(VLOOKUP($B549,Показатели!$E:$W,10,FALSE)=0,"",VLOOKUP($B549,Показатели!$E:$W,10,FALSE)),"")</f>
        <v>11944785000</v>
      </c>
      <c r="N549">
        <f>IFERROR(IF(VLOOKUP($B549,Показатели!$E:$W,11,FALSE)=0,"",VLOOKUP($B549,Показатели!$E:$W,11,FALSE)),"")</f>
        <v>61886486000</v>
      </c>
      <c r="O549">
        <f>IFERROR(IF(VLOOKUP($B549,Показатели!$E:$W,12,FALSE)=0,"",VLOOKUP($B549,Показатели!$E:$W,12,FALSE)),"")</f>
        <v>4777201000</v>
      </c>
      <c r="P549">
        <f>IFERROR(IF(VLOOKUP($B549,Показатели!$E:$W,13,FALSE)=0,"",VLOOKUP($B549,Показатели!$E:$W,13,FALSE)),"")</f>
        <v>1592586000</v>
      </c>
      <c r="Q549">
        <f>IFERROR(IF(VLOOKUP($B549,Показатели!$E:$W,14,FALSE)=0,"",VLOOKUP($B549,Показатели!$E:$W,14,FALSE)),"")</f>
        <v>1745478000</v>
      </c>
      <c r="R549">
        <f>IFERROR(IF(VLOOKUP($B549,Показатели!$E:$W,15,FALSE)=0,"",VLOOKUP($B549,Показатели!$E:$W,15,FALSE)),"")</f>
        <v>846323000</v>
      </c>
      <c r="S549" t="str">
        <f>IFERROR(IF(VLOOKUP($B549,Показатели!$E:$W,16,FALSE)=0,"",VLOOKUP($B549,Показатели!$E:$W,16,FALSE)),"")</f>
        <v/>
      </c>
      <c r="T549">
        <f>IFERROR(IF(VLOOKUP($B549,Показатели!$E:$W,17,FALSE)=0,"",VLOOKUP($B549,Показатели!$E:$W,17,FALSE)),"")</f>
        <v>-72859000</v>
      </c>
      <c r="U549">
        <f>IFERROR(IF(VLOOKUP($B549,Показатели!$E:$W,18,FALSE)=0,"",VLOOKUP($B549,Показатели!$E:$W,18,FALSE)),"")</f>
        <v>48928106000</v>
      </c>
      <c r="V549">
        <f>IFERROR(IF(VLOOKUP($B549,Показатели!$E:$W,19,FALSE)=0,"",VLOOKUP($B549,Показатели!$E:$W,19,FALSE)),"")</f>
        <v>33548262000</v>
      </c>
    </row>
    <row r="550" spans="1:22" x14ac:dyDescent="0.2">
      <c r="A550" s="7" t="s">
        <v>2249</v>
      </c>
      <c r="B550" t="str">
        <f t="shared" si="8"/>
        <v>EUTR IV кв. 2021</v>
      </c>
      <c r="C550">
        <v>2021</v>
      </c>
      <c r="D550">
        <f>SUMIFS(Дивиденды!$C:$C,Дивиденды!$A:$A,A550,Дивиденды!$I:$I,C550)</f>
        <v>0</v>
      </c>
      <c r="E550">
        <f>IFERROR(IF(VLOOKUP($B550,Показатели!$E:$W,2,FALSE)=0,"",VLOOKUP($B550,Показатели!$E:$W,2,FALSE)),"")</f>
        <v>80459000</v>
      </c>
      <c r="F550">
        <f>IFERROR(IF(VLOOKUP($B550,Показатели!$E:$W,3,FALSE)=0,"",VLOOKUP($B550,Показатели!$E:$W,3,FALSE)),"")</f>
        <v>29363305000</v>
      </c>
      <c r="G550">
        <f>IFERROR(IF(VLOOKUP($B550,Показатели!$E:$W,4,FALSE)=0,"",VLOOKUP($B550,Показатели!$E:$W,4,FALSE)),"")</f>
        <v>79500000</v>
      </c>
      <c r="H550" t="str">
        <f>IFERROR(IF(VLOOKUP($B550,Показатели!$E:$W,5,FALSE)=0,"",VLOOKUP($B550,Показатели!$E:$W,5,FALSE)),"")</f>
        <v/>
      </c>
      <c r="I550">
        <f>IFERROR(IF(VLOOKUP($B550,Показатели!$E:$W,6,FALSE)=0,"",VLOOKUP($B550,Показатели!$E:$W,6,FALSE)),"")</f>
        <v>33548262000</v>
      </c>
      <c r="J550">
        <f>IFERROR(IF(VLOOKUP($B550,Показатели!$E:$W,7,FALSE)=0,"",VLOOKUP($B550,Показатели!$E:$W,7,FALSE)),"")</f>
        <v>29391889000</v>
      </c>
      <c r="K550">
        <f>IFERROR(IF(VLOOKUP($B550,Показатели!$E:$W,8,FALSE)=0,"",VLOOKUP($B550,Показатели!$E:$W,8,FALSE)),"")</f>
        <v>3977083000</v>
      </c>
      <c r="L550">
        <f>IFERROR(IF(VLOOKUP($B550,Показатели!$E:$W,9,FALSE)=0,"",VLOOKUP($B550,Показатели!$E:$W,9,FALSE)),"")</f>
        <v>173990000</v>
      </c>
      <c r="M550">
        <f>IFERROR(IF(VLOOKUP($B550,Показатели!$E:$W,10,FALSE)=0,"",VLOOKUP($B550,Показатели!$E:$W,10,FALSE)),"")</f>
        <v>179290000</v>
      </c>
      <c r="N550">
        <f>IFERROR(IF(VLOOKUP($B550,Показатели!$E:$W,11,FALSE)=0,"",VLOOKUP($B550,Показатели!$E:$W,11,FALSE)),"")</f>
        <v>48928106000</v>
      </c>
      <c r="O550">
        <f>IFERROR(IF(VLOOKUP($B550,Показатели!$E:$W,12,FALSE)=0,"",VLOOKUP($B550,Показатели!$E:$W,12,FALSE)),"")</f>
        <v>1618914000</v>
      </c>
      <c r="P550">
        <f>IFERROR(IF(VLOOKUP($B550,Показатели!$E:$W,13,FALSE)=0,"",VLOOKUP($B550,Показатели!$E:$W,13,FALSE)),"")</f>
        <v>696428000</v>
      </c>
      <c r="Q550">
        <f>IFERROR(IF(VLOOKUP($B550,Показатели!$E:$W,14,FALSE)=0,"",VLOOKUP($B550,Показатели!$E:$W,14,FALSE)),"")</f>
        <v>555864000</v>
      </c>
      <c r="R550">
        <f>IFERROR(IF(VLOOKUP($B550,Показатели!$E:$W,15,FALSE)=0,"",VLOOKUP($B550,Показатели!$E:$W,15,FALSE)),"")</f>
        <v>1067271000</v>
      </c>
      <c r="S550">
        <f>IFERROR(IF(VLOOKUP($B550,Показатели!$E:$W,16,FALSE)=0,"",VLOOKUP($B550,Показатели!$E:$W,16,FALSE)),"")</f>
        <v>3000000000</v>
      </c>
      <c r="T550">
        <f>IFERROR(IF(VLOOKUP($B550,Показатели!$E:$W,17,FALSE)=0,"",VLOOKUP($B550,Показатели!$E:$W,17,FALSE)),"")</f>
        <v>-23922000</v>
      </c>
      <c r="U550">
        <f>IFERROR(IF(VLOOKUP($B550,Показатели!$E:$W,18,FALSE)=0,"",VLOOKUP($B550,Показатели!$E:$W,18,FALSE)),"")</f>
        <v>35974609000</v>
      </c>
      <c r="V550">
        <f>IFERROR(IF(VLOOKUP($B550,Показатели!$E:$W,19,FALSE)=0,"",VLOOKUP($B550,Показатели!$E:$W,19,FALSE)),"")</f>
        <v>26310908000</v>
      </c>
    </row>
    <row r="551" spans="1:22" x14ac:dyDescent="0.2">
      <c r="A551" s="7" t="s">
        <v>2249</v>
      </c>
      <c r="B551" t="str">
        <f t="shared" si="8"/>
        <v>EUTR IV кв. 2020</v>
      </c>
      <c r="C551">
        <v>2020</v>
      </c>
      <c r="D551">
        <f>SUMIFS(Дивиденды!$C:$C,Дивиденды!$A:$A,A551,Дивиденды!$I:$I,C551)</f>
        <v>0</v>
      </c>
      <c r="E551">
        <f>IFERROR(IF(VLOOKUP($B551,Показатели!$E:$W,2,FALSE)=0,"",VLOOKUP($B551,Показатели!$E:$W,2,FALSE)),"")</f>
        <v>42085000</v>
      </c>
      <c r="F551">
        <f>IFERROR(IF(VLOOKUP($B551,Показатели!$E:$W,3,FALSE)=0,"",VLOOKUP($B551,Показатели!$E:$W,3,FALSE)),"")</f>
        <v>24950780000</v>
      </c>
      <c r="G551">
        <f>IFERROR(IF(VLOOKUP($B551,Показатели!$E:$W,4,FALSE)=0,"",VLOOKUP($B551,Показатели!$E:$W,4,FALSE)),"")</f>
        <v>68163000</v>
      </c>
      <c r="H551" t="str">
        <f>IFERROR(IF(VLOOKUP($B551,Показатели!$E:$W,5,FALSE)=0,"",VLOOKUP($B551,Показатели!$E:$W,5,FALSE)),"")</f>
        <v/>
      </c>
      <c r="I551">
        <f>IFERROR(IF(VLOOKUP($B551,Показатели!$E:$W,6,FALSE)=0,"",VLOOKUP($B551,Показатели!$E:$W,6,FALSE)),"")</f>
        <v>26310908000</v>
      </c>
      <c r="J551">
        <f>IFERROR(IF(VLOOKUP($B551,Показатели!$E:$W,7,FALSE)=0,"",VLOOKUP($B551,Показатели!$E:$W,7,FALSE)),"")</f>
        <v>26361362000</v>
      </c>
      <c r="K551">
        <f>IFERROR(IF(VLOOKUP($B551,Показатели!$E:$W,8,FALSE)=0,"",VLOOKUP($B551,Показатели!$E:$W,8,FALSE)),"")</f>
        <v>326120000</v>
      </c>
      <c r="L551">
        <f>IFERROR(IF(VLOOKUP($B551,Показатели!$E:$W,9,FALSE)=0,"",VLOOKUP($B551,Показатели!$E:$W,9,FALSE)),"")</f>
        <v>-381874000</v>
      </c>
      <c r="M551">
        <f>IFERROR(IF(VLOOKUP($B551,Показатели!$E:$W,10,FALSE)=0,"",VLOOKUP($B551,Показатели!$E:$W,10,FALSE)),"")</f>
        <v>-376574000</v>
      </c>
      <c r="N551">
        <f>IFERROR(IF(VLOOKUP($B551,Показатели!$E:$W,11,FALSE)=0,"",VLOOKUP($B551,Показатели!$E:$W,11,FALSE)),"")</f>
        <v>35974609000</v>
      </c>
      <c r="O551">
        <f>IFERROR(IF(VLOOKUP($B551,Показатели!$E:$W,12,FALSE)=0,"",VLOOKUP($B551,Показатели!$E:$W,12,FALSE)),"")</f>
        <v>1056287000</v>
      </c>
      <c r="P551">
        <f>IFERROR(IF(VLOOKUP($B551,Показатели!$E:$W,13,FALSE)=0,"",VLOOKUP($B551,Показатели!$E:$W,13,FALSE)),"")</f>
        <v>388013000</v>
      </c>
      <c r="Q551">
        <f>IFERROR(IF(VLOOKUP($B551,Показатели!$E:$W,14,FALSE)=0,"",VLOOKUP($B551,Показатели!$E:$W,14,FALSE)),"")</f>
        <v>283803000</v>
      </c>
      <c r="R551">
        <f>IFERROR(IF(VLOOKUP($B551,Показатели!$E:$W,15,FALSE)=0,"",VLOOKUP($B551,Показатели!$E:$W,15,FALSE)),"")</f>
        <v>1064381000</v>
      </c>
      <c r="S551">
        <f>IFERROR(IF(VLOOKUP($B551,Показатели!$E:$W,16,FALSE)=0,"",VLOOKUP($B551,Показатели!$E:$W,16,FALSE)),"")</f>
        <v>2800000000</v>
      </c>
      <c r="T551">
        <f>IFERROR(IF(VLOOKUP($B551,Показатели!$E:$W,17,FALSE)=0,"",VLOOKUP($B551,Показатели!$E:$W,17,FALSE)),"")</f>
        <v>-70405000</v>
      </c>
      <c r="U551">
        <f>IFERROR(IF(VLOOKUP($B551,Показатели!$E:$W,18,FALSE)=0,"",VLOOKUP($B551,Показатели!$E:$W,18,FALSE)),"")</f>
        <v>33876935000</v>
      </c>
      <c r="V551">
        <f>IFERROR(IF(VLOOKUP($B551,Показатели!$E:$W,19,FALSE)=0,"",VLOOKUP($B551,Показатели!$E:$W,19,FALSE)),"")</f>
        <v>24333083000</v>
      </c>
    </row>
    <row r="552" spans="1:22" x14ac:dyDescent="0.2">
      <c r="A552" s="7" t="s">
        <v>2249</v>
      </c>
      <c r="B552" t="str">
        <f t="shared" si="8"/>
        <v>EUTR IV кв. 2019</v>
      </c>
      <c r="C552">
        <v>2019</v>
      </c>
      <c r="D552">
        <f>SUMIFS(Дивиденды!$C:$C,Дивиденды!$A:$A,A552,Дивиденды!$I:$I,C552)</f>
        <v>0</v>
      </c>
      <c r="E552">
        <f>IFERROR(IF(VLOOKUP($B552,Показатели!$E:$W,2,FALSE)=0,"",VLOOKUP($B552,Показатели!$E:$W,2,FALSE)),"")</f>
        <v>73725000</v>
      </c>
      <c r="F552">
        <f>IFERROR(IF(VLOOKUP($B552,Показатели!$E:$W,3,FALSE)=0,"",VLOOKUP($B552,Показатели!$E:$W,3,FALSE)),"")</f>
        <v>5349120000</v>
      </c>
      <c r="G552">
        <f>IFERROR(IF(VLOOKUP($B552,Показатели!$E:$W,4,FALSE)=0,"",VLOOKUP($B552,Показатели!$E:$W,4,FALSE)),"")</f>
        <v>1980000</v>
      </c>
      <c r="H552" t="str">
        <f>IFERROR(IF(VLOOKUP($B552,Показатели!$E:$W,5,FALSE)=0,"",VLOOKUP($B552,Показатели!$E:$W,5,FALSE)),"")</f>
        <v/>
      </c>
      <c r="I552">
        <f>IFERROR(IF(VLOOKUP($B552,Показатели!$E:$W,6,FALSE)=0,"",VLOOKUP($B552,Показатели!$E:$W,6,FALSE)),"")</f>
        <v>24333083000</v>
      </c>
      <c r="J552">
        <f>IFERROR(IF(VLOOKUP($B552,Показатели!$E:$W,7,FALSE)=0,"",VLOOKUP($B552,Показатели!$E:$W,7,FALSE)),"")</f>
        <v>24304863000</v>
      </c>
      <c r="K552">
        <f>IFERROR(IF(VLOOKUP($B552,Показатели!$E:$W,8,FALSE)=0,"",VLOOKUP($B552,Показатели!$E:$W,8,FALSE)),"")</f>
        <v>688597000</v>
      </c>
      <c r="L552">
        <f>IFERROR(IF(VLOOKUP($B552,Показатели!$E:$W,9,FALSE)=0,"",VLOOKUP($B552,Показатели!$E:$W,9,FALSE)),"")</f>
        <v>-665677000</v>
      </c>
      <c r="M552">
        <f>IFERROR(IF(VLOOKUP($B552,Показатели!$E:$W,10,FALSE)=0,"",VLOOKUP($B552,Показатели!$E:$W,10,FALSE)),"")</f>
        <v>-660377000</v>
      </c>
      <c r="N552">
        <f>IFERROR(IF(VLOOKUP($B552,Показатели!$E:$W,11,FALSE)=0,"",VLOOKUP($B552,Показатели!$E:$W,11,FALSE)),"")</f>
        <v>33876935000</v>
      </c>
      <c r="O552">
        <f>IFERROR(IF(VLOOKUP($B552,Показатели!$E:$W,12,FALSE)=0,"",VLOOKUP($B552,Показатели!$E:$W,12,FALSE)),"")</f>
        <v>691456000</v>
      </c>
      <c r="P552">
        <f>IFERROR(IF(VLOOKUP($B552,Показатели!$E:$W,13,FALSE)=0,"",VLOOKUP($B552,Показатели!$E:$W,13,FALSE)),"")</f>
        <v>-942602000</v>
      </c>
      <c r="Q552">
        <f>IFERROR(IF(VLOOKUP($B552,Показатели!$E:$W,14,FALSE)=0,"",VLOOKUP($B552,Показатели!$E:$W,14,FALSE)),"")</f>
        <v>-758770000</v>
      </c>
      <c r="R552">
        <f>IFERROR(IF(VLOOKUP($B552,Показатели!$E:$W,15,FALSE)=0,"",VLOOKUP($B552,Показатели!$E:$W,15,FALSE)),"")</f>
        <v>1076147000</v>
      </c>
      <c r="S552">
        <f>IFERROR(IF(VLOOKUP($B552,Показатели!$E:$W,16,FALSE)=0,"",VLOOKUP($B552,Показатели!$E:$W,16,FALSE)),"")</f>
        <v>1900000000</v>
      </c>
      <c r="T552">
        <f>IFERROR(IF(VLOOKUP($B552,Показатели!$E:$W,17,FALSE)=0,"",VLOOKUP($B552,Показатели!$E:$W,17,FALSE)),"")</f>
        <v>-555000</v>
      </c>
      <c r="U552" t="str">
        <f>IFERROR(IF(VLOOKUP($B552,Показатели!$E:$W,18,FALSE)=0,"",VLOOKUP($B552,Показатели!$E:$W,18,FALSE)),"")</f>
        <v/>
      </c>
      <c r="V552" t="str">
        <f>IFERROR(IF(VLOOKUP($B552,Показатели!$E:$W,19,FALSE)=0,"",VLOOKUP($B552,Показатели!$E:$W,19,FALSE)),"")</f>
        <v/>
      </c>
    </row>
    <row r="553" spans="1:22" x14ac:dyDescent="0.2">
      <c r="A553" s="7" t="s">
        <v>2249</v>
      </c>
      <c r="B553" t="str">
        <f t="shared" si="8"/>
        <v>EUTR IV кв. 2018</v>
      </c>
      <c r="C553">
        <v>2018</v>
      </c>
      <c r="D553">
        <f>SUMIFS(Дивиденды!$C:$C,Дивиденды!$A:$A,A553,Дивиденды!$I:$I,C553)</f>
        <v>0</v>
      </c>
      <c r="E553" t="str">
        <f>IFERROR(IF(VLOOKUP($B553,Показатели!$E:$W,2,FALSE)=0,"",VLOOKUP($B553,Показатели!$E:$W,2,FALSE)),"")</f>
        <v/>
      </c>
      <c r="F553" t="str">
        <f>IFERROR(IF(VLOOKUP($B553,Показатели!$E:$W,3,FALSE)=0,"",VLOOKUP($B553,Показатели!$E:$W,3,FALSE)),"")</f>
        <v/>
      </c>
      <c r="G553" t="str">
        <f>IFERROR(IF(VLOOKUP($B553,Показатели!$E:$W,4,FALSE)=0,"",VLOOKUP($B553,Показатели!$E:$W,4,FALSE)),"")</f>
        <v/>
      </c>
      <c r="H553" t="str">
        <f>IFERROR(IF(VLOOKUP($B553,Показатели!$E:$W,5,FALSE)=0,"",VLOOKUP($B553,Показатели!$E:$W,5,FALSE)),"")</f>
        <v/>
      </c>
      <c r="I553" t="str">
        <f>IFERROR(IF(VLOOKUP($B553,Показатели!$E:$W,6,FALSE)=0,"",VLOOKUP($B553,Показатели!$E:$W,6,FALSE)),"")</f>
        <v/>
      </c>
      <c r="J553" t="str">
        <f>IFERROR(IF(VLOOKUP($B553,Показатели!$E:$W,7,FALSE)=0,"",VLOOKUP($B553,Показатели!$E:$W,7,FALSE)),"")</f>
        <v/>
      </c>
      <c r="K553" t="str">
        <f>IFERROR(IF(VLOOKUP($B553,Показатели!$E:$W,8,FALSE)=0,"",VLOOKUP($B553,Показатели!$E:$W,8,FALSE)),"")</f>
        <v/>
      </c>
      <c r="L553" t="str">
        <f>IFERROR(IF(VLOOKUP($B553,Показатели!$E:$W,9,FALSE)=0,"",VLOOKUP($B553,Показатели!$E:$W,9,FALSE)),"")</f>
        <v/>
      </c>
      <c r="M553" t="str">
        <f>IFERROR(IF(VLOOKUP($B553,Показатели!$E:$W,10,FALSE)=0,"",VLOOKUP($B553,Показатели!$E:$W,10,FALSE)),"")</f>
        <v/>
      </c>
      <c r="N553" t="str">
        <f>IFERROR(IF(VLOOKUP($B553,Показатели!$E:$W,11,FALSE)=0,"",VLOOKUP($B553,Показатели!$E:$W,11,FALSE)),"")</f>
        <v/>
      </c>
      <c r="O553" t="str">
        <f>IFERROR(IF(VLOOKUP($B553,Показатели!$E:$W,12,FALSE)=0,"",VLOOKUP($B553,Показатели!$E:$W,12,FALSE)),"")</f>
        <v/>
      </c>
      <c r="P553" t="str">
        <f>IFERROR(IF(VLOOKUP($B553,Показатели!$E:$W,13,FALSE)=0,"",VLOOKUP($B553,Показатели!$E:$W,13,FALSE)),"")</f>
        <v/>
      </c>
      <c r="Q553" t="str">
        <f>IFERROR(IF(VLOOKUP($B553,Показатели!$E:$W,14,FALSE)=0,"",VLOOKUP($B553,Показатели!$E:$W,14,FALSE)),"")</f>
        <v/>
      </c>
      <c r="R553" t="str">
        <f>IFERROR(IF(VLOOKUP($B553,Показатели!$E:$W,15,FALSE)=0,"",VLOOKUP($B553,Показатели!$E:$W,15,FALSE)),"")</f>
        <v/>
      </c>
      <c r="S553" t="str">
        <f>IFERROR(IF(VLOOKUP($B553,Показатели!$E:$W,16,FALSE)=0,"",VLOOKUP($B553,Показатели!$E:$W,16,FALSE)),"")</f>
        <v/>
      </c>
      <c r="T553" t="str">
        <f>IFERROR(IF(VLOOKUP($B553,Показатели!$E:$W,17,FALSE)=0,"",VLOOKUP($B553,Показатели!$E:$W,17,FALSE)),"")</f>
        <v/>
      </c>
      <c r="U553" t="str">
        <f>IFERROR(IF(VLOOKUP($B553,Показатели!$E:$W,18,FALSE)=0,"",VLOOKUP($B553,Показатели!$E:$W,18,FALSE)),"")</f>
        <v/>
      </c>
      <c r="V553" t="str">
        <f>IFERROR(IF(VLOOKUP($B553,Показатели!$E:$W,19,FALSE)=0,"",VLOOKUP($B553,Показатели!$E:$W,19,FALSE)),"")</f>
        <v/>
      </c>
    </row>
    <row r="554" spans="1:22" x14ac:dyDescent="0.2">
      <c r="A554" s="7" t="s">
        <v>2249</v>
      </c>
      <c r="B554" t="str">
        <f t="shared" si="8"/>
        <v>EUTR IV кв. 2017</v>
      </c>
      <c r="C554">
        <v>2017</v>
      </c>
      <c r="D554">
        <f>SUMIFS(Дивиденды!$C:$C,Дивиденды!$A:$A,A554,Дивиденды!$I:$I,C554)</f>
        <v>0</v>
      </c>
      <c r="E554" t="str">
        <f>IFERROR(IF(VLOOKUP($B554,Показатели!$E:$W,2,FALSE)=0,"",VLOOKUP($B554,Показатели!$E:$W,2,FALSE)),"")</f>
        <v/>
      </c>
      <c r="F554" t="str">
        <f>IFERROR(IF(VLOOKUP($B554,Показатели!$E:$W,3,FALSE)=0,"",VLOOKUP($B554,Показатели!$E:$W,3,FALSE)),"")</f>
        <v/>
      </c>
      <c r="G554" t="str">
        <f>IFERROR(IF(VLOOKUP($B554,Показатели!$E:$W,4,FALSE)=0,"",VLOOKUP($B554,Показатели!$E:$W,4,FALSE)),"")</f>
        <v/>
      </c>
      <c r="H554" t="str">
        <f>IFERROR(IF(VLOOKUP($B554,Показатели!$E:$W,5,FALSE)=0,"",VLOOKUP($B554,Показатели!$E:$W,5,FALSE)),"")</f>
        <v/>
      </c>
      <c r="I554" t="str">
        <f>IFERROR(IF(VLOOKUP($B554,Показатели!$E:$W,6,FALSE)=0,"",VLOOKUP($B554,Показатели!$E:$W,6,FALSE)),"")</f>
        <v/>
      </c>
      <c r="J554" t="str">
        <f>IFERROR(IF(VLOOKUP($B554,Показатели!$E:$W,7,FALSE)=0,"",VLOOKUP($B554,Показатели!$E:$W,7,FALSE)),"")</f>
        <v/>
      </c>
      <c r="K554" t="str">
        <f>IFERROR(IF(VLOOKUP($B554,Показатели!$E:$W,8,FALSE)=0,"",VLOOKUP($B554,Показатели!$E:$W,8,FALSE)),"")</f>
        <v/>
      </c>
      <c r="L554" t="str">
        <f>IFERROR(IF(VLOOKUP($B554,Показатели!$E:$W,9,FALSE)=0,"",VLOOKUP($B554,Показатели!$E:$W,9,FALSE)),"")</f>
        <v/>
      </c>
      <c r="M554" t="str">
        <f>IFERROR(IF(VLOOKUP($B554,Показатели!$E:$W,10,FALSE)=0,"",VLOOKUP($B554,Показатели!$E:$W,10,FALSE)),"")</f>
        <v/>
      </c>
      <c r="N554" t="str">
        <f>IFERROR(IF(VLOOKUP($B554,Показатели!$E:$W,11,FALSE)=0,"",VLOOKUP($B554,Показатели!$E:$W,11,FALSE)),"")</f>
        <v/>
      </c>
      <c r="O554" t="str">
        <f>IFERROR(IF(VLOOKUP($B554,Показатели!$E:$W,12,FALSE)=0,"",VLOOKUP($B554,Показатели!$E:$W,12,FALSE)),"")</f>
        <v/>
      </c>
      <c r="P554" t="str">
        <f>IFERROR(IF(VLOOKUP($B554,Показатели!$E:$W,13,FALSE)=0,"",VLOOKUP($B554,Показатели!$E:$W,13,FALSE)),"")</f>
        <v/>
      </c>
      <c r="Q554" t="str">
        <f>IFERROR(IF(VLOOKUP($B554,Показатели!$E:$W,14,FALSE)=0,"",VLOOKUP($B554,Показатели!$E:$W,14,FALSE)),"")</f>
        <v/>
      </c>
      <c r="R554" t="str">
        <f>IFERROR(IF(VLOOKUP($B554,Показатели!$E:$W,15,FALSE)=0,"",VLOOKUP($B554,Показатели!$E:$W,15,FALSE)),"")</f>
        <v/>
      </c>
      <c r="S554" t="str">
        <f>IFERROR(IF(VLOOKUP($B554,Показатели!$E:$W,16,FALSE)=0,"",VLOOKUP($B554,Показатели!$E:$W,16,FALSE)),"")</f>
        <v/>
      </c>
      <c r="T554" t="str">
        <f>IFERROR(IF(VLOOKUP($B554,Показатели!$E:$W,17,FALSE)=0,"",VLOOKUP($B554,Показатели!$E:$W,17,FALSE)),"")</f>
        <v/>
      </c>
      <c r="U554" t="str">
        <f>IFERROR(IF(VLOOKUP($B554,Показатели!$E:$W,18,FALSE)=0,"",VLOOKUP($B554,Показатели!$E:$W,18,FALSE)),"")</f>
        <v/>
      </c>
      <c r="V554" t="str">
        <f>IFERROR(IF(VLOOKUP($B554,Показатели!$E:$W,19,FALSE)=0,"",VLOOKUP($B554,Показатели!$E:$W,19,FALSE)),"")</f>
        <v/>
      </c>
    </row>
    <row r="555" spans="1:22" x14ac:dyDescent="0.2">
      <c r="A555" s="7" t="s">
        <v>2249</v>
      </c>
      <c r="B555" t="str">
        <f t="shared" si="8"/>
        <v>EUTR IV кв. 2016</v>
      </c>
      <c r="C555">
        <v>2016</v>
      </c>
      <c r="D555">
        <f>SUMIFS(Дивиденды!$C:$C,Дивиденды!$A:$A,A555,Дивиденды!$I:$I,C555)</f>
        <v>0</v>
      </c>
      <c r="E555" t="str">
        <f>IFERROR(IF(VLOOKUP($B555,Показатели!$E:$W,2,FALSE)=0,"",VLOOKUP($B555,Показатели!$E:$W,2,FALSE)),"")</f>
        <v/>
      </c>
      <c r="F555" t="str">
        <f>IFERROR(IF(VLOOKUP($B555,Показатели!$E:$W,3,FALSE)=0,"",VLOOKUP($B555,Показатели!$E:$W,3,FALSE)),"")</f>
        <v/>
      </c>
      <c r="G555" t="str">
        <f>IFERROR(IF(VLOOKUP($B555,Показатели!$E:$W,4,FALSE)=0,"",VLOOKUP($B555,Показатели!$E:$W,4,FALSE)),"")</f>
        <v/>
      </c>
      <c r="H555" t="str">
        <f>IFERROR(IF(VLOOKUP($B555,Показатели!$E:$W,5,FALSE)=0,"",VLOOKUP($B555,Показатели!$E:$W,5,FALSE)),"")</f>
        <v/>
      </c>
      <c r="I555" t="str">
        <f>IFERROR(IF(VLOOKUP($B555,Показатели!$E:$W,6,FALSE)=0,"",VLOOKUP($B555,Показатели!$E:$W,6,FALSE)),"")</f>
        <v/>
      </c>
      <c r="J555" t="str">
        <f>IFERROR(IF(VLOOKUP($B555,Показатели!$E:$W,7,FALSE)=0,"",VLOOKUP($B555,Показатели!$E:$W,7,FALSE)),"")</f>
        <v/>
      </c>
      <c r="K555" t="str">
        <f>IFERROR(IF(VLOOKUP($B555,Показатели!$E:$W,8,FALSE)=0,"",VLOOKUP($B555,Показатели!$E:$W,8,FALSE)),"")</f>
        <v/>
      </c>
      <c r="L555" t="str">
        <f>IFERROR(IF(VLOOKUP($B555,Показатели!$E:$W,9,FALSE)=0,"",VLOOKUP($B555,Показатели!$E:$W,9,FALSE)),"")</f>
        <v/>
      </c>
      <c r="M555" t="str">
        <f>IFERROR(IF(VLOOKUP($B555,Показатели!$E:$W,10,FALSE)=0,"",VLOOKUP($B555,Показатели!$E:$W,10,FALSE)),"")</f>
        <v/>
      </c>
      <c r="N555" t="str">
        <f>IFERROR(IF(VLOOKUP($B555,Показатели!$E:$W,11,FALSE)=0,"",VLOOKUP($B555,Показатели!$E:$W,11,FALSE)),"")</f>
        <v/>
      </c>
      <c r="O555" t="str">
        <f>IFERROR(IF(VLOOKUP($B555,Показатели!$E:$W,12,FALSE)=0,"",VLOOKUP($B555,Показатели!$E:$W,12,FALSE)),"")</f>
        <v/>
      </c>
      <c r="P555" t="str">
        <f>IFERROR(IF(VLOOKUP($B555,Показатели!$E:$W,13,FALSE)=0,"",VLOOKUP($B555,Показатели!$E:$W,13,FALSE)),"")</f>
        <v/>
      </c>
      <c r="Q555" t="str">
        <f>IFERROR(IF(VLOOKUP($B555,Показатели!$E:$W,14,FALSE)=0,"",VLOOKUP($B555,Показатели!$E:$W,14,FALSE)),"")</f>
        <v/>
      </c>
      <c r="R555" t="str">
        <f>IFERROR(IF(VLOOKUP($B555,Показатели!$E:$W,15,FALSE)=0,"",VLOOKUP($B555,Показатели!$E:$W,15,FALSE)),"")</f>
        <v/>
      </c>
      <c r="S555" t="str">
        <f>IFERROR(IF(VLOOKUP($B555,Показатели!$E:$W,16,FALSE)=0,"",VLOOKUP($B555,Показатели!$E:$W,16,FALSE)),"")</f>
        <v/>
      </c>
      <c r="T555" t="str">
        <f>IFERROR(IF(VLOOKUP($B555,Показатели!$E:$W,17,FALSE)=0,"",VLOOKUP($B555,Показатели!$E:$W,17,FALSE)),"")</f>
        <v/>
      </c>
      <c r="U555" t="str">
        <f>IFERROR(IF(VLOOKUP($B555,Показатели!$E:$W,18,FALSE)=0,"",VLOOKUP($B555,Показатели!$E:$W,18,FALSE)),"")</f>
        <v/>
      </c>
      <c r="V555" t="str">
        <f>IFERROR(IF(VLOOKUP($B555,Показатели!$E:$W,19,FALSE)=0,"",VLOOKUP($B555,Показатели!$E:$W,19,FALSE)),"")</f>
        <v/>
      </c>
    </row>
    <row r="556" spans="1:22" x14ac:dyDescent="0.2">
      <c r="A556" s="7" t="s">
        <v>2249</v>
      </c>
      <c r="B556" t="str">
        <f t="shared" si="8"/>
        <v>EUTR IV кв. 2015</v>
      </c>
      <c r="C556">
        <v>2015</v>
      </c>
      <c r="D556">
        <f>SUMIFS(Дивиденды!$C:$C,Дивиденды!$A:$A,A556,Дивиденды!$I:$I,C556)</f>
        <v>0</v>
      </c>
      <c r="E556" t="str">
        <f>IFERROR(IF(VLOOKUP($B556,Показатели!$E:$W,2,FALSE)=0,"",VLOOKUP($B556,Показатели!$E:$W,2,FALSE)),"")</f>
        <v/>
      </c>
      <c r="F556" t="str">
        <f>IFERROR(IF(VLOOKUP($B556,Показатели!$E:$W,3,FALSE)=0,"",VLOOKUP($B556,Показатели!$E:$W,3,FALSE)),"")</f>
        <v/>
      </c>
      <c r="G556" t="str">
        <f>IFERROR(IF(VLOOKUP($B556,Показатели!$E:$W,4,FALSE)=0,"",VLOOKUP($B556,Показатели!$E:$W,4,FALSE)),"")</f>
        <v/>
      </c>
      <c r="H556" t="str">
        <f>IFERROR(IF(VLOOKUP($B556,Показатели!$E:$W,5,FALSE)=0,"",VLOOKUP($B556,Показатели!$E:$W,5,FALSE)),"")</f>
        <v/>
      </c>
      <c r="I556" t="str">
        <f>IFERROR(IF(VLOOKUP($B556,Показатели!$E:$W,6,FALSE)=0,"",VLOOKUP($B556,Показатели!$E:$W,6,FALSE)),"")</f>
        <v/>
      </c>
      <c r="J556" t="str">
        <f>IFERROR(IF(VLOOKUP($B556,Показатели!$E:$W,7,FALSE)=0,"",VLOOKUP($B556,Показатели!$E:$W,7,FALSE)),"")</f>
        <v/>
      </c>
      <c r="K556" t="str">
        <f>IFERROR(IF(VLOOKUP($B556,Показатели!$E:$W,8,FALSE)=0,"",VLOOKUP($B556,Показатели!$E:$W,8,FALSE)),"")</f>
        <v/>
      </c>
      <c r="L556" t="str">
        <f>IFERROR(IF(VLOOKUP($B556,Показатели!$E:$W,9,FALSE)=0,"",VLOOKUP($B556,Показатели!$E:$W,9,FALSE)),"")</f>
        <v/>
      </c>
      <c r="M556" t="str">
        <f>IFERROR(IF(VLOOKUP($B556,Показатели!$E:$W,10,FALSE)=0,"",VLOOKUP($B556,Показатели!$E:$W,10,FALSE)),"")</f>
        <v/>
      </c>
      <c r="N556" t="str">
        <f>IFERROR(IF(VLOOKUP($B556,Показатели!$E:$W,11,FALSE)=0,"",VLOOKUP($B556,Показатели!$E:$W,11,FALSE)),"")</f>
        <v/>
      </c>
      <c r="O556" t="str">
        <f>IFERROR(IF(VLOOKUP($B556,Показатели!$E:$W,12,FALSE)=0,"",VLOOKUP($B556,Показатели!$E:$W,12,FALSE)),"")</f>
        <v/>
      </c>
      <c r="P556" t="str">
        <f>IFERROR(IF(VLOOKUP($B556,Показатели!$E:$W,13,FALSE)=0,"",VLOOKUP($B556,Показатели!$E:$W,13,FALSE)),"")</f>
        <v/>
      </c>
      <c r="Q556" t="str">
        <f>IFERROR(IF(VLOOKUP($B556,Показатели!$E:$W,14,FALSE)=0,"",VLOOKUP($B556,Показатели!$E:$W,14,FALSE)),"")</f>
        <v/>
      </c>
      <c r="R556" t="str">
        <f>IFERROR(IF(VLOOKUP($B556,Показатели!$E:$W,15,FALSE)=0,"",VLOOKUP($B556,Показатели!$E:$W,15,FALSE)),"")</f>
        <v/>
      </c>
      <c r="S556" t="str">
        <f>IFERROR(IF(VLOOKUP($B556,Показатели!$E:$W,16,FALSE)=0,"",VLOOKUP($B556,Показатели!$E:$W,16,FALSE)),"")</f>
        <v/>
      </c>
      <c r="T556" t="str">
        <f>IFERROR(IF(VLOOKUP($B556,Показатели!$E:$W,17,FALSE)=0,"",VLOOKUP($B556,Показатели!$E:$W,17,FALSE)),"")</f>
        <v/>
      </c>
      <c r="U556" t="str">
        <f>IFERROR(IF(VLOOKUP($B556,Показатели!$E:$W,18,FALSE)=0,"",VLOOKUP($B556,Показатели!$E:$W,18,FALSE)),"")</f>
        <v/>
      </c>
      <c r="V556" t="str">
        <f>IFERROR(IF(VLOOKUP($B556,Показатели!$E:$W,19,FALSE)=0,"",VLOOKUP($B556,Показатели!$E:$W,19,FALSE)),"")</f>
        <v/>
      </c>
    </row>
    <row r="557" spans="1:22" x14ac:dyDescent="0.2">
      <c r="A557" s="7" t="s">
        <v>2249</v>
      </c>
      <c r="B557" t="str">
        <f t="shared" si="8"/>
        <v>EUTR IV кв. 2014</v>
      </c>
      <c r="C557">
        <v>2014</v>
      </c>
      <c r="D557">
        <f>SUMIFS(Дивиденды!$C:$C,Дивиденды!$A:$A,A557,Дивиденды!$I:$I,C557)</f>
        <v>0</v>
      </c>
      <c r="E557" t="str">
        <f>IFERROR(IF(VLOOKUP($B557,Показатели!$E:$W,2,FALSE)=0,"",VLOOKUP($B557,Показатели!$E:$W,2,FALSE)),"")</f>
        <v/>
      </c>
      <c r="F557" t="str">
        <f>IFERROR(IF(VLOOKUP($B557,Показатели!$E:$W,3,FALSE)=0,"",VLOOKUP($B557,Показатели!$E:$W,3,FALSE)),"")</f>
        <v/>
      </c>
      <c r="G557" t="str">
        <f>IFERROR(IF(VLOOKUP($B557,Показатели!$E:$W,4,FALSE)=0,"",VLOOKUP($B557,Показатели!$E:$W,4,FALSE)),"")</f>
        <v/>
      </c>
      <c r="H557" t="str">
        <f>IFERROR(IF(VLOOKUP($B557,Показатели!$E:$W,5,FALSE)=0,"",VLOOKUP($B557,Показатели!$E:$W,5,FALSE)),"")</f>
        <v/>
      </c>
      <c r="I557" t="str">
        <f>IFERROR(IF(VLOOKUP($B557,Показатели!$E:$W,6,FALSE)=0,"",VLOOKUP($B557,Показатели!$E:$W,6,FALSE)),"")</f>
        <v/>
      </c>
      <c r="J557" t="str">
        <f>IFERROR(IF(VLOOKUP($B557,Показатели!$E:$W,7,FALSE)=0,"",VLOOKUP($B557,Показатели!$E:$W,7,FALSE)),"")</f>
        <v/>
      </c>
      <c r="K557" t="str">
        <f>IFERROR(IF(VLOOKUP($B557,Показатели!$E:$W,8,FALSE)=0,"",VLOOKUP($B557,Показатели!$E:$W,8,FALSE)),"")</f>
        <v/>
      </c>
      <c r="L557" t="str">
        <f>IFERROR(IF(VLOOKUP($B557,Показатели!$E:$W,9,FALSE)=0,"",VLOOKUP($B557,Показатели!$E:$W,9,FALSE)),"")</f>
        <v/>
      </c>
      <c r="M557" t="str">
        <f>IFERROR(IF(VLOOKUP($B557,Показатели!$E:$W,10,FALSE)=0,"",VLOOKUP($B557,Показатели!$E:$W,10,FALSE)),"")</f>
        <v/>
      </c>
      <c r="N557" t="str">
        <f>IFERROR(IF(VLOOKUP($B557,Показатели!$E:$W,11,FALSE)=0,"",VLOOKUP($B557,Показатели!$E:$W,11,FALSE)),"")</f>
        <v/>
      </c>
      <c r="O557" t="str">
        <f>IFERROR(IF(VLOOKUP($B557,Показатели!$E:$W,12,FALSE)=0,"",VLOOKUP($B557,Показатели!$E:$W,12,FALSE)),"")</f>
        <v/>
      </c>
      <c r="P557" t="str">
        <f>IFERROR(IF(VLOOKUP($B557,Показатели!$E:$W,13,FALSE)=0,"",VLOOKUP($B557,Показатели!$E:$W,13,FALSE)),"")</f>
        <v/>
      </c>
      <c r="Q557" t="str">
        <f>IFERROR(IF(VLOOKUP($B557,Показатели!$E:$W,14,FALSE)=0,"",VLOOKUP($B557,Показатели!$E:$W,14,FALSE)),"")</f>
        <v/>
      </c>
      <c r="R557" t="str">
        <f>IFERROR(IF(VLOOKUP($B557,Показатели!$E:$W,15,FALSE)=0,"",VLOOKUP($B557,Показатели!$E:$W,15,FALSE)),"")</f>
        <v/>
      </c>
      <c r="S557" t="str">
        <f>IFERROR(IF(VLOOKUP($B557,Показатели!$E:$W,16,FALSE)=0,"",VLOOKUP($B557,Показатели!$E:$W,16,FALSE)),"")</f>
        <v/>
      </c>
      <c r="T557" t="str">
        <f>IFERROR(IF(VLOOKUP($B557,Показатели!$E:$W,17,FALSE)=0,"",VLOOKUP($B557,Показатели!$E:$W,17,FALSE)),"")</f>
        <v/>
      </c>
      <c r="U557" t="str">
        <f>IFERROR(IF(VLOOKUP($B557,Показатели!$E:$W,18,FALSE)=0,"",VLOOKUP($B557,Показатели!$E:$W,18,FALSE)),"")</f>
        <v/>
      </c>
      <c r="V557" t="str">
        <f>IFERROR(IF(VLOOKUP($B557,Показатели!$E:$W,19,FALSE)=0,"",VLOOKUP($B557,Показатели!$E:$W,19,FALSE)),"")</f>
        <v/>
      </c>
    </row>
    <row r="558" spans="1:22" x14ac:dyDescent="0.2">
      <c r="A558" s="7" t="s">
        <v>2249</v>
      </c>
      <c r="B558" t="str">
        <f t="shared" si="8"/>
        <v>EUTR IV кв. 2013</v>
      </c>
      <c r="C558">
        <v>2013</v>
      </c>
      <c r="D558">
        <f>SUMIFS(Дивиденды!$C:$C,Дивиденды!$A:$A,A558,Дивиденды!$I:$I,C558)</f>
        <v>0</v>
      </c>
      <c r="E558" t="str">
        <f>IFERROR(IF(VLOOKUP($B558,Показатели!$E:$W,2,FALSE)=0,"",VLOOKUP($B558,Показатели!$E:$W,2,FALSE)),"")</f>
        <v/>
      </c>
      <c r="F558" t="str">
        <f>IFERROR(IF(VLOOKUP($B558,Показатели!$E:$W,3,FALSE)=0,"",VLOOKUP($B558,Показатели!$E:$W,3,FALSE)),"")</f>
        <v/>
      </c>
      <c r="G558" t="str">
        <f>IFERROR(IF(VLOOKUP($B558,Показатели!$E:$W,4,FALSE)=0,"",VLOOKUP($B558,Показатели!$E:$W,4,FALSE)),"")</f>
        <v/>
      </c>
      <c r="H558" t="str">
        <f>IFERROR(IF(VLOOKUP($B558,Показатели!$E:$W,5,FALSE)=0,"",VLOOKUP($B558,Показатели!$E:$W,5,FALSE)),"")</f>
        <v/>
      </c>
      <c r="I558" t="str">
        <f>IFERROR(IF(VLOOKUP($B558,Показатели!$E:$W,6,FALSE)=0,"",VLOOKUP($B558,Показатели!$E:$W,6,FALSE)),"")</f>
        <v/>
      </c>
      <c r="J558" t="str">
        <f>IFERROR(IF(VLOOKUP($B558,Показатели!$E:$W,7,FALSE)=0,"",VLOOKUP($B558,Показатели!$E:$W,7,FALSE)),"")</f>
        <v/>
      </c>
      <c r="K558" t="str">
        <f>IFERROR(IF(VLOOKUP($B558,Показатели!$E:$W,8,FALSE)=0,"",VLOOKUP($B558,Показатели!$E:$W,8,FALSE)),"")</f>
        <v/>
      </c>
      <c r="L558" t="str">
        <f>IFERROR(IF(VLOOKUP($B558,Показатели!$E:$W,9,FALSE)=0,"",VLOOKUP($B558,Показатели!$E:$W,9,FALSE)),"")</f>
        <v/>
      </c>
      <c r="M558" t="str">
        <f>IFERROR(IF(VLOOKUP($B558,Показатели!$E:$W,10,FALSE)=0,"",VLOOKUP($B558,Показатели!$E:$W,10,FALSE)),"")</f>
        <v/>
      </c>
      <c r="N558" t="str">
        <f>IFERROR(IF(VLOOKUP($B558,Показатели!$E:$W,11,FALSE)=0,"",VLOOKUP($B558,Показатели!$E:$W,11,FALSE)),"")</f>
        <v/>
      </c>
      <c r="O558" t="str">
        <f>IFERROR(IF(VLOOKUP($B558,Показатели!$E:$W,12,FALSE)=0,"",VLOOKUP($B558,Показатели!$E:$W,12,FALSE)),"")</f>
        <v/>
      </c>
      <c r="P558" t="str">
        <f>IFERROR(IF(VLOOKUP($B558,Показатели!$E:$W,13,FALSE)=0,"",VLOOKUP($B558,Показатели!$E:$W,13,FALSE)),"")</f>
        <v/>
      </c>
      <c r="Q558" t="str">
        <f>IFERROR(IF(VLOOKUP($B558,Показатели!$E:$W,14,FALSE)=0,"",VLOOKUP($B558,Показатели!$E:$W,14,FALSE)),"")</f>
        <v/>
      </c>
      <c r="R558" t="str">
        <f>IFERROR(IF(VLOOKUP($B558,Показатели!$E:$W,15,FALSE)=0,"",VLOOKUP($B558,Показатели!$E:$W,15,FALSE)),"")</f>
        <v/>
      </c>
      <c r="S558" t="str">
        <f>IFERROR(IF(VLOOKUP($B558,Показатели!$E:$W,16,FALSE)=0,"",VLOOKUP($B558,Показатели!$E:$W,16,FALSE)),"")</f>
        <v/>
      </c>
      <c r="T558" t="str">
        <f>IFERROR(IF(VLOOKUP($B558,Показатели!$E:$W,17,FALSE)=0,"",VLOOKUP($B558,Показатели!$E:$W,17,FALSE)),"")</f>
        <v/>
      </c>
      <c r="U558" t="str">
        <f>IFERROR(IF(VLOOKUP($B558,Показатели!$E:$W,18,FALSE)=0,"",VLOOKUP($B558,Показатели!$E:$W,18,FALSE)),"")</f>
        <v/>
      </c>
      <c r="V558" t="str">
        <f>IFERROR(IF(VLOOKUP($B558,Показатели!$E:$W,19,FALSE)=0,"",VLOOKUP($B558,Показатели!$E:$W,19,FALSE)),"")</f>
        <v/>
      </c>
    </row>
    <row r="559" spans="1:22" x14ac:dyDescent="0.2">
      <c r="A559" s="7" t="s">
        <v>2249</v>
      </c>
      <c r="B559" t="str">
        <f t="shared" si="8"/>
        <v>EUTR IV кв. 2012</v>
      </c>
      <c r="C559">
        <v>2012</v>
      </c>
      <c r="D559">
        <f>SUMIFS(Дивиденды!$C:$C,Дивиденды!$A:$A,A559,Дивиденды!$I:$I,C559)</f>
        <v>0</v>
      </c>
      <c r="E559" t="str">
        <f>IFERROR(IF(VLOOKUP($B559,Показатели!$E:$W,2,FALSE)=0,"",VLOOKUP($B559,Показатели!$E:$W,2,FALSE)),"")</f>
        <v/>
      </c>
      <c r="F559" t="str">
        <f>IFERROR(IF(VLOOKUP($B559,Показатели!$E:$W,3,FALSE)=0,"",VLOOKUP($B559,Показатели!$E:$W,3,FALSE)),"")</f>
        <v/>
      </c>
      <c r="G559" t="str">
        <f>IFERROR(IF(VLOOKUP($B559,Показатели!$E:$W,4,FALSE)=0,"",VLOOKUP($B559,Показатели!$E:$W,4,FALSE)),"")</f>
        <v/>
      </c>
      <c r="H559" t="str">
        <f>IFERROR(IF(VLOOKUP($B559,Показатели!$E:$W,5,FALSE)=0,"",VLOOKUP($B559,Показатели!$E:$W,5,FALSE)),"")</f>
        <v/>
      </c>
      <c r="I559" t="str">
        <f>IFERROR(IF(VLOOKUP($B559,Показатели!$E:$W,6,FALSE)=0,"",VLOOKUP($B559,Показатели!$E:$W,6,FALSE)),"")</f>
        <v/>
      </c>
      <c r="J559" t="str">
        <f>IFERROR(IF(VLOOKUP($B559,Показатели!$E:$W,7,FALSE)=0,"",VLOOKUP($B559,Показатели!$E:$W,7,FALSE)),"")</f>
        <v/>
      </c>
      <c r="K559" t="str">
        <f>IFERROR(IF(VLOOKUP($B559,Показатели!$E:$W,8,FALSE)=0,"",VLOOKUP($B559,Показатели!$E:$W,8,FALSE)),"")</f>
        <v/>
      </c>
      <c r="L559" t="str">
        <f>IFERROR(IF(VLOOKUP($B559,Показатели!$E:$W,9,FALSE)=0,"",VLOOKUP($B559,Показатели!$E:$W,9,FALSE)),"")</f>
        <v/>
      </c>
      <c r="M559" t="str">
        <f>IFERROR(IF(VLOOKUP($B559,Показатели!$E:$W,10,FALSE)=0,"",VLOOKUP($B559,Показатели!$E:$W,10,FALSE)),"")</f>
        <v/>
      </c>
      <c r="N559" t="str">
        <f>IFERROR(IF(VLOOKUP($B559,Показатели!$E:$W,11,FALSE)=0,"",VLOOKUP($B559,Показатели!$E:$W,11,FALSE)),"")</f>
        <v/>
      </c>
      <c r="O559" t="str">
        <f>IFERROR(IF(VLOOKUP($B559,Показатели!$E:$W,12,FALSE)=0,"",VLOOKUP($B559,Показатели!$E:$W,12,FALSE)),"")</f>
        <v/>
      </c>
      <c r="P559" t="str">
        <f>IFERROR(IF(VLOOKUP($B559,Показатели!$E:$W,13,FALSE)=0,"",VLOOKUP($B559,Показатели!$E:$W,13,FALSE)),"")</f>
        <v/>
      </c>
      <c r="Q559" t="str">
        <f>IFERROR(IF(VLOOKUP($B559,Показатели!$E:$W,14,FALSE)=0,"",VLOOKUP($B559,Показатели!$E:$W,14,FALSE)),"")</f>
        <v/>
      </c>
      <c r="R559" t="str">
        <f>IFERROR(IF(VLOOKUP($B559,Показатели!$E:$W,15,FALSE)=0,"",VLOOKUP($B559,Показатели!$E:$W,15,FALSE)),"")</f>
        <v/>
      </c>
      <c r="S559" t="str">
        <f>IFERROR(IF(VLOOKUP($B559,Показатели!$E:$W,16,FALSE)=0,"",VLOOKUP($B559,Показатели!$E:$W,16,FALSE)),"")</f>
        <v/>
      </c>
      <c r="T559" t="str">
        <f>IFERROR(IF(VLOOKUP($B559,Показатели!$E:$W,17,FALSE)=0,"",VLOOKUP($B559,Показатели!$E:$W,17,FALSE)),"")</f>
        <v/>
      </c>
      <c r="U559" t="str">
        <f>IFERROR(IF(VLOOKUP($B559,Показатели!$E:$W,18,FALSE)=0,"",VLOOKUP($B559,Показатели!$E:$W,18,FALSE)),"")</f>
        <v/>
      </c>
      <c r="V559" t="str">
        <f>IFERROR(IF(VLOOKUP($B559,Показатели!$E:$W,19,FALSE)=0,"",VLOOKUP($B559,Показатели!$E:$W,19,FALSE)),"")</f>
        <v/>
      </c>
    </row>
    <row r="560" spans="1:22" x14ac:dyDescent="0.2">
      <c r="A560" s="7" t="s">
        <v>2249</v>
      </c>
      <c r="B560" t="str">
        <f t="shared" si="8"/>
        <v>EUTR IV кв. 2011</v>
      </c>
      <c r="C560">
        <v>2011</v>
      </c>
      <c r="D560">
        <f>SUMIFS(Дивиденды!$C:$C,Дивиденды!$A:$A,A560,Дивиденды!$I:$I,C560)</f>
        <v>0</v>
      </c>
      <c r="E560" t="str">
        <f>IFERROR(IF(VLOOKUP($B560,Показатели!$E:$W,2,FALSE)=0,"",VLOOKUP($B560,Показатели!$E:$W,2,FALSE)),"")</f>
        <v/>
      </c>
      <c r="F560" t="str">
        <f>IFERROR(IF(VLOOKUP($B560,Показатели!$E:$W,3,FALSE)=0,"",VLOOKUP($B560,Показатели!$E:$W,3,FALSE)),"")</f>
        <v/>
      </c>
      <c r="G560" t="str">
        <f>IFERROR(IF(VLOOKUP($B560,Показатели!$E:$W,4,FALSE)=0,"",VLOOKUP($B560,Показатели!$E:$W,4,FALSE)),"")</f>
        <v/>
      </c>
      <c r="H560" t="str">
        <f>IFERROR(IF(VLOOKUP($B560,Показатели!$E:$W,5,FALSE)=0,"",VLOOKUP($B560,Показатели!$E:$W,5,FALSE)),"")</f>
        <v/>
      </c>
      <c r="I560" t="str">
        <f>IFERROR(IF(VLOOKUP($B560,Показатели!$E:$W,6,FALSE)=0,"",VLOOKUP($B560,Показатели!$E:$W,6,FALSE)),"")</f>
        <v/>
      </c>
      <c r="J560" t="str">
        <f>IFERROR(IF(VLOOKUP($B560,Показатели!$E:$W,7,FALSE)=0,"",VLOOKUP($B560,Показатели!$E:$W,7,FALSE)),"")</f>
        <v/>
      </c>
      <c r="K560" t="str">
        <f>IFERROR(IF(VLOOKUP($B560,Показатели!$E:$W,8,FALSE)=0,"",VLOOKUP($B560,Показатели!$E:$W,8,FALSE)),"")</f>
        <v/>
      </c>
      <c r="L560" t="str">
        <f>IFERROR(IF(VLOOKUP($B560,Показатели!$E:$W,9,FALSE)=0,"",VLOOKUP($B560,Показатели!$E:$W,9,FALSE)),"")</f>
        <v/>
      </c>
      <c r="M560" t="str">
        <f>IFERROR(IF(VLOOKUP($B560,Показатели!$E:$W,10,FALSE)=0,"",VLOOKUP($B560,Показатели!$E:$W,10,FALSE)),"")</f>
        <v/>
      </c>
      <c r="N560" t="str">
        <f>IFERROR(IF(VLOOKUP($B560,Показатели!$E:$W,11,FALSE)=0,"",VLOOKUP($B560,Показатели!$E:$W,11,FALSE)),"")</f>
        <v/>
      </c>
      <c r="O560" t="str">
        <f>IFERROR(IF(VLOOKUP($B560,Показатели!$E:$W,12,FALSE)=0,"",VLOOKUP($B560,Показатели!$E:$W,12,FALSE)),"")</f>
        <v/>
      </c>
      <c r="P560" t="str">
        <f>IFERROR(IF(VLOOKUP($B560,Показатели!$E:$W,13,FALSE)=0,"",VLOOKUP($B560,Показатели!$E:$W,13,FALSE)),"")</f>
        <v/>
      </c>
      <c r="Q560" t="str">
        <f>IFERROR(IF(VLOOKUP($B560,Показатели!$E:$W,14,FALSE)=0,"",VLOOKUP($B560,Показатели!$E:$W,14,FALSE)),"")</f>
        <v/>
      </c>
      <c r="R560" t="str">
        <f>IFERROR(IF(VLOOKUP($B560,Показатели!$E:$W,15,FALSE)=0,"",VLOOKUP($B560,Показатели!$E:$W,15,FALSE)),"")</f>
        <v/>
      </c>
      <c r="S560" t="str">
        <f>IFERROR(IF(VLOOKUP($B560,Показатели!$E:$W,16,FALSE)=0,"",VLOOKUP($B560,Показатели!$E:$W,16,FALSE)),"")</f>
        <v/>
      </c>
      <c r="T560" t="str">
        <f>IFERROR(IF(VLOOKUP($B560,Показатели!$E:$W,17,FALSE)=0,"",VLOOKUP($B560,Показатели!$E:$W,17,FALSE)),"")</f>
        <v/>
      </c>
      <c r="U560" t="str">
        <f>IFERROR(IF(VLOOKUP($B560,Показатели!$E:$W,18,FALSE)=0,"",VLOOKUP($B560,Показатели!$E:$W,18,FALSE)),"")</f>
        <v/>
      </c>
      <c r="V560" t="str">
        <f>IFERROR(IF(VLOOKUP($B560,Показатели!$E:$W,19,FALSE)=0,"",VLOOKUP($B560,Показатели!$E:$W,19,FALSE)),"")</f>
        <v/>
      </c>
    </row>
    <row r="561" spans="1:22" x14ac:dyDescent="0.2">
      <c r="A561" s="7" t="s">
        <v>2249</v>
      </c>
      <c r="B561" t="str">
        <f t="shared" si="8"/>
        <v>EUTR IV кв. 2010</v>
      </c>
      <c r="C561">
        <v>2010</v>
      </c>
      <c r="D561">
        <f>SUMIFS(Дивиденды!$C:$C,Дивиденды!$A:$A,A561,Дивиденды!$I:$I,C561)</f>
        <v>0</v>
      </c>
      <c r="E561" t="str">
        <f>IFERROR(IF(VLOOKUP($B561,Показатели!$E:$W,2,FALSE)=0,"",VLOOKUP($B561,Показатели!$E:$W,2,FALSE)),"")</f>
        <v/>
      </c>
      <c r="F561" t="str">
        <f>IFERROR(IF(VLOOKUP($B561,Показатели!$E:$W,3,FALSE)=0,"",VLOOKUP($B561,Показатели!$E:$W,3,FALSE)),"")</f>
        <v/>
      </c>
      <c r="G561" t="str">
        <f>IFERROR(IF(VLOOKUP($B561,Показатели!$E:$W,4,FALSE)=0,"",VLOOKUP($B561,Показатели!$E:$W,4,FALSE)),"")</f>
        <v/>
      </c>
      <c r="H561" t="str">
        <f>IFERROR(IF(VLOOKUP($B561,Показатели!$E:$W,5,FALSE)=0,"",VLOOKUP($B561,Показатели!$E:$W,5,FALSE)),"")</f>
        <v/>
      </c>
      <c r="I561" t="str">
        <f>IFERROR(IF(VLOOKUP($B561,Показатели!$E:$W,6,FALSE)=0,"",VLOOKUP($B561,Показатели!$E:$W,6,FALSE)),"")</f>
        <v/>
      </c>
      <c r="J561" t="str">
        <f>IFERROR(IF(VLOOKUP($B561,Показатели!$E:$W,7,FALSE)=0,"",VLOOKUP($B561,Показатели!$E:$W,7,FALSE)),"")</f>
        <v/>
      </c>
      <c r="K561" t="str">
        <f>IFERROR(IF(VLOOKUP($B561,Показатели!$E:$W,8,FALSE)=0,"",VLOOKUP($B561,Показатели!$E:$W,8,FALSE)),"")</f>
        <v/>
      </c>
      <c r="L561" t="str">
        <f>IFERROR(IF(VLOOKUP($B561,Показатели!$E:$W,9,FALSE)=0,"",VLOOKUP($B561,Показатели!$E:$W,9,FALSE)),"")</f>
        <v/>
      </c>
      <c r="M561" t="str">
        <f>IFERROR(IF(VLOOKUP($B561,Показатели!$E:$W,10,FALSE)=0,"",VLOOKUP($B561,Показатели!$E:$W,10,FALSE)),"")</f>
        <v/>
      </c>
      <c r="N561" t="str">
        <f>IFERROR(IF(VLOOKUP($B561,Показатели!$E:$W,11,FALSE)=0,"",VLOOKUP($B561,Показатели!$E:$W,11,FALSE)),"")</f>
        <v/>
      </c>
      <c r="O561" t="str">
        <f>IFERROR(IF(VLOOKUP($B561,Показатели!$E:$W,12,FALSE)=0,"",VLOOKUP($B561,Показатели!$E:$W,12,FALSE)),"")</f>
        <v/>
      </c>
      <c r="P561" t="str">
        <f>IFERROR(IF(VLOOKUP($B561,Показатели!$E:$W,13,FALSE)=0,"",VLOOKUP($B561,Показатели!$E:$W,13,FALSE)),"")</f>
        <v/>
      </c>
      <c r="Q561" t="str">
        <f>IFERROR(IF(VLOOKUP($B561,Показатели!$E:$W,14,FALSE)=0,"",VLOOKUP($B561,Показатели!$E:$W,14,FALSE)),"")</f>
        <v/>
      </c>
      <c r="R561" t="str">
        <f>IFERROR(IF(VLOOKUP($B561,Показатели!$E:$W,15,FALSE)=0,"",VLOOKUP($B561,Показатели!$E:$W,15,FALSE)),"")</f>
        <v/>
      </c>
      <c r="S561" t="str">
        <f>IFERROR(IF(VLOOKUP($B561,Показатели!$E:$W,16,FALSE)=0,"",VLOOKUP($B561,Показатели!$E:$W,16,FALSE)),"")</f>
        <v/>
      </c>
      <c r="T561" t="str">
        <f>IFERROR(IF(VLOOKUP($B561,Показатели!$E:$W,17,FALSE)=0,"",VLOOKUP($B561,Показатели!$E:$W,17,FALSE)),"")</f>
        <v/>
      </c>
      <c r="U561" t="str">
        <f>IFERROR(IF(VLOOKUP($B561,Показатели!$E:$W,18,FALSE)=0,"",VLOOKUP($B561,Показатели!$E:$W,18,FALSE)),"")</f>
        <v/>
      </c>
      <c r="V561" t="str">
        <f>IFERROR(IF(VLOOKUP($B561,Показатели!$E:$W,19,FALSE)=0,"",VLOOKUP($B561,Показатели!$E:$W,19,FALSE)),"")</f>
        <v/>
      </c>
    </row>
    <row r="562" spans="1:22" x14ac:dyDescent="0.2">
      <c r="A562" s="7" t="s">
        <v>2317</v>
      </c>
      <c r="B562" t="str">
        <f t="shared" si="8"/>
        <v>FIXR IV кв. 2025</v>
      </c>
      <c r="C562">
        <v>2025</v>
      </c>
      <c r="D562">
        <f>SUMIFS(Дивиденды!$C:$C,Дивиденды!$A:$A,A562,Дивиденды!$I:$I,C562)</f>
        <v>0</v>
      </c>
      <c r="E562">
        <f>IFERROR(IF(VLOOKUP($B562,Показатели!$E:$W,2,FALSE)=0,"",VLOOKUP($B562,Показатели!$E:$W,2,FALSE)),"")</f>
        <v>13836000000</v>
      </c>
      <c r="F562">
        <f>IFERROR(IF(VLOOKUP($B562,Показатели!$E:$W,3,FALSE)=0,"",VLOOKUP($B562,Показатели!$E:$W,3,FALSE)),"")</f>
        <v>82763000000</v>
      </c>
      <c r="G562">
        <f>IFERROR(IF(VLOOKUP($B562,Показатели!$E:$W,4,FALSE)=0,"",VLOOKUP($B562,Показатели!$E:$W,4,FALSE)),"")</f>
        <v>37644000000</v>
      </c>
      <c r="H562">
        <f>IFERROR(IF(VLOOKUP($B562,Показатели!$E:$W,5,FALSE)=0,"",VLOOKUP($B562,Показатели!$E:$W,5,FALSE)),"")</f>
        <v>3774000000</v>
      </c>
      <c r="I562">
        <f>IFERROR(IF(VLOOKUP($B562,Показатели!$E:$W,6,FALSE)=0,"",VLOOKUP($B562,Показатели!$E:$W,6,FALSE)),"")</f>
        <v>146655000000</v>
      </c>
      <c r="J562">
        <f>IFERROR(IF(VLOOKUP($B562,Показатели!$E:$W,7,FALSE)=0,"",VLOOKUP($B562,Показатели!$E:$W,7,FALSE)),"")</f>
        <v>65903000000</v>
      </c>
      <c r="K562">
        <f>IFERROR(IF(VLOOKUP($B562,Показатели!$E:$W,8,FALSE)=0,"",VLOOKUP($B562,Показатели!$E:$W,8,FALSE)),"")</f>
        <v>16760000000</v>
      </c>
      <c r="L562">
        <f>IFERROR(IF(VLOOKUP($B562,Показатели!$E:$W,9,FALSE)=0,"",VLOOKUP($B562,Показатели!$E:$W,9,FALSE)),"")</f>
        <v>63978000000</v>
      </c>
      <c r="M562">
        <f>IFERROR(IF(VLOOKUP($B562,Показатели!$E:$W,10,FALSE)=0,"",VLOOKUP($B562,Показатели!$E:$W,10,FALSE)),"")</f>
        <v>63992000000</v>
      </c>
      <c r="N562">
        <f>IFERROR(IF(VLOOKUP($B562,Показатели!$E:$W,11,FALSE)=0,"",VLOOKUP($B562,Показатели!$E:$W,11,FALSE)),"")</f>
        <v>327507000000</v>
      </c>
      <c r="O562">
        <f>IFERROR(IF(VLOOKUP($B562,Показатели!$E:$W,12,FALSE)=0,"",VLOOKUP($B562,Показатели!$E:$W,12,FALSE)),"")</f>
        <v>27065000000</v>
      </c>
      <c r="P562">
        <f>IFERROR(IF(VLOOKUP($B562,Показатели!$E:$W,13,FALSE)=0,"",VLOOKUP($B562,Показатели!$E:$W,13,FALSE)),"")</f>
        <v>21401000000</v>
      </c>
      <c r="Q562">
        <f>IFERROR(IF(VLOOKUP($B562,Показатели!$E:$W,14,FALSE)=0,"",VLOOKUP($B562,Показатели!$E:$W,14,FALSE)),"")</f>
        <v>15721000000</v>
      </c>
      <c r="R562">
        <f>IFERROR(IF(VLOOKUP($B562,Показатели!$E:$W,15,FALSE)=0,"",VLOOKUP($B562,Показатели!$E:$W,15,FALSE)),"")</f>
        <v>19167000000</v>
      </c>
      <c r="S562">
        <f>IFERROR(IF(VLOOKUP($B562,Показатели!$E:$W,16,FALSE)=0,"",VLOOKUP($B562,Показатели!$E:$W,16,FALSE)),"")</f>
        <v>46232000000</v>
      </c>
      <c r="T562">
        <f>IFERROR(IF(VLOOKUP($B562,Показатели!$E:$W,17,FALSE)=0,"",VLOOKUP($B562,Показатели!$E:$W,17,FALSE)),"")</f>
        <v>-10904000000</v>
      </c>
      <c r="U562">
        <f>IFERROR(IF(VLOOKUP($B562,Показатели!$E:$W,18,FALSE)=0,"",VLOOKUP($B562,Показатели!$E:$W,18,FALSE)),"")</f>
        <v>314938000000</v>
      </c>
      <c r="V562">
        <f>IFERROR(IF(VLOOKUP($B562,Показатели!$E:$W,19,FALSE)=0,"",VLOOKUP($B562,Показатели!$E:$W,19,FALSE)),"")</f>
        <v>136708000000</v>
      </c>
    </row>
    <row r="563" spans="1:22" x14ac:dyDescent="0.2">
      <c r="A563" s="7" t="s">
        <v>2317</v>
      </c>
      <c r="B563" t="str">
        <f t="shared" si="8"/>
        <v>FIXR IV кв. 2024</v>
      </c>
      <c r="C563">
        <v>2024</v>
      </c>
      <c r="D563">
        <f>SUMIFS(Дивиденды!$C:$C,Дивиденды!$A:$A,A563,Дивиденды!$I:$I,C563)</f>
        <v>0</v>
      </c>
      <c r="E563">
        <f>IFERROR(IF(VLOOKUP($B563,Показатели!$E:$W,2,FALSE)=0,"",VLOOKUP($B563,Показатели!$E:$W,2,FALSE)),"")</f>
        <v>19579000000</v>
      </c>
      <c r="F563">
        <f>IFERROR(IF(VLOOKUP($B563,Показатели!$E:$W,3,FALSE)=0,"",VLOOKUP($B563,Показатели!$E:$W,3,FALSE)),"")</f>
        <v>86331000000</v>
      </c>
      <c r="G563">
        <f>IFERROR(IF(VLOOKUP($B563,Показатели!$E:$W,4,FALSE)=0,"",VLOOKUP($B563,Показатели!$E:$W,4,FALSE)),"")</f>
        <v>30921000000</v>
      </c>
      <c r="H563">
        <f>IFERROR(IF(VLOOKUP($B563,Показатели!$E:$W,5,FALSE)=0,"",VLOOKUP($B563,Показатели!$E:$W,5,FALSE)),"")</f>
        <v>3039000000</v>
      </c>
      <c r="I563">
        <f>IFERROR(IF(VLOOKUP($B563,Показатели!$E:$W,6,FALSE)=0,"",VLOOKUP($B563,Показатели!$E:$W,6,FALSE)),"")</f>
        <v>136708000000</v>
      </c>
      <c r="J563">
        <f>IFERROR(IF(VLOOKUP($B563,Показатели!$E:$W,7,FALSE)=0,"",VLOOKUP($B563,Показатели!$E:$W,7,FALSE)),"")</f>
        <v>78374000000</v>
      </c>
      <c r="K563">
        <f>IFERROR(IF(VLOOKUP($B563,Показатели!$E:$W,8,FALSE)=0,"",VLOOKUP($B563,Показатели!$E:$W,8,FALSE)),"")</f>
        <v>9557000000</v>
      </c>
      <c r="L563">
        <f>IFERROR(IF(VLOOKUP($B563,Показатели!$E:$W,9,FALSE)=0,"",VLOOKUP($B563,Показатели!$E:$W,9,FALSE)),"")</f>
        <v>48789000000</v>
      </c>
      <c r="M563">
        <f>IFERROR(IF(VLOOKUP($B563,Показатели!$E:$W,10,FALSE)=0,"",VLOOKUP($B563,Показатели!$E:$W,10,FALSE)),"")</f>
        <v>48777000000</v>
      </c>
      <c r="N563">
        <f>IFERROR(IF(VLOOKUP($B563,Показатели!$E:$W,11,FALSE)=0,"",VLOOKUP($B563,Показатели!$E:$W,11,FALSE)),"")</f>
        <v>314938000000</v>
      </c>
      <c r="O563">
        <f>IFERROR(IF(VLOOKUP($B563,Показатели!$E:$W,12,FALSE)=0,"",VLOOKUP($B563,Показатели!$E:$W,12,FALSE)),"")</f>
        <v>36135000000</v>
      </c>
      <c r="P563">
        <f>IFERROR(IF(VLOOKUP($B563,Показатели!$E:$W,13,FALSE)=0,"",VLOOKUP($B563,Показатели!$E:$W,13,FALSE)),"")</f>
        <v>35279000000</v>
      </c>
      <c r="Q563">
        <f>IFERROR(IF(VLOOKUP($B563,Показатели!$E:$W,14,FALSE)=0,"",VLOOKUP($B563,Показатели!$E:$W,14,FALSE)),"")</f>
        <v>22200000000</v>
      </c>
      <c r="R563">
        <f>IFERROR(IF(VLOOKUP($B563,Показатели!$E:$W,15,FALSE)=0,"",VLOOKUP($B563,Показатели!$E:$W,15,FALSE)),"")</f>
        <v>16917000000</v>
      </c>
      <c r="S563">
        <f>IFERROR(IF(VLOOKUP($B563,Показатели!$E:$W,16,FALSE)=0,"",VLOOKUP($B563,Показатели!$E:$W,16,FALSE)),"")</f>
        <v>53052000000</v>
      </c>
      <c r="T563">
        <f>IFERROR(IF(VLOOKUP($B563,Показатели!$E:$W,17,FALSE)=0,"",VLOOKUP($B563,Показатели!$E:$W,17,FALSE)),"")</f>
        <v>-8763000000</v>
      </c>
      <c r="U563">
        <f>IFERROR(IF(VLOOKUP($B563,Показатели!$E:$W,18,FALSE)=0,"",VLOOKUP($B563,Показатели!$E:$W,18,FALSE)),"")</f>
        <v>291865000000</v>
      </c>
      <c r="V563">
        <f>IFERROR(IF(VLOOKUP($B563,Показатели!$E:$W,19,FALSE)=0,"",VLOOKUP($B563,Показатели!$E:$W,19,FALSE)),"")</f>
        <v>137706000000</v>
      </c>
    </row>
    <row r="564" spans="1:22" x14ac:dyDescent="0.2">
      <c r="A564" s="7" t="s">
        <v>2317</v>
      </c>
      <c r="B564" t="str">
        <f t="shared" si="8"/>
        <v>FIXR IV кв. 2023</v>
      </c>
      <c r="C564">
        <v>2023</v>
      </c>
      <c r="D564">
        <f>SUMIFS(Дивиденды!$C:$C,Дивиденды!$A:$A,A564,Дивиденды!$I:$I,C564)</f>
        <v>0</v>
      </c>
      <c r="E564">
        <f>IFERROR(IF(VLOOKUP($B564,Показатели!$E:$W,2,FALSE)=0,"",VLOOKUP($B564,Показатели!$E:$W,2,FALSE)),"")</f>
        <v>37343000000</v>
      </c>
      <c r="F564">
        <f>IFERROR(IF(VLOOKUP($B564,Показатели!$E:$W,3,FALSE)=0,"",VLOOKUP($B564,Показатели!$E:$W,3,FALSE)),"")</f>
        <v>92661000000</v>
      </c>
      <c r="G564">
        <f>IFERROR(IF(VLOOKUP($B564,Показатели!$E:$W,4,FALSE)=0,"",VLOOKUP($B564,Показатели!$E:$W,4,FALSE)),"")</f>
        <v>29317000000</v>
      </c>
      <c r="H564">
        <f>IFERROR(IF(VLOOKUP($B564,Показатели!$E:$W,5,FALSE)=0,"",VLOOKUP($B564,Показатели!$E:$W,5,FALSE)),"")</f>
        <v>2409000000</v>
      </c>
      <c r="I564">
        <f>IFERROR(IF(VLOOKUP($B564,Показатели!$E:$W,6,FALSE)=0,"",VLOOKUP($B564,Показатели!$E:$W,6,FALSE)),"")</f>
        <v>137706000000</v>
      </c>
      <c r="J564">
        <f>IFERROR(IF(VLOOKUP($B564,Показатели!$E:$W,7,FALSE)=0,"",VLOOKUP($B564,Показатели!$E:$W,7,FALSE)),"")</f>
        <v>62320000000</v>
      </c>
      <c r="K564">
        <f>IFERROR(IF(VLOOKUP($B564,Показатели!$E:$W,8,FALSE)=0,"",VLOOKUP($B564,Показатели!$E:$W,8,FALSE)),"")</f>
        <v>10067000000</v>
      </c>
      <c r="L564">
        <f>IFERROR(IF(VLOOKUP($B564,Показатели!$E:$W,9,FALSE)=0,"",VLOOKUP($B564,Показатели!$E:$W,9,FALSE)),"")</f>
        <v>65352000000</v>
      </c>
      <c r="M564">
        <f>IFERROR(IF(VLOOKUP($B564,Показатели!$E:$W,10,FALSE)=0,"",VLOOKUP($B564,Показатели!$E:$W,10,FALSE)),"")</f>
        <v>65319000000</v>
      </c>
      <c r="N564">
        <f>IFERROR(IF(VLOOKUP($B564,Показатели!$E:$W,11,FALSE)=0,"",VLOOKUP($B564,Показатели!$E:$W,11,FALSE)),"")</f>
        <v>291865000000</v>
      </c>
      <c r="O564">
        <f>IFERROR(IF(VLOOKUP($B564,Показатели!$E:$W,12,FALSE)=0,"",VLOOKUP($B564,Показатели!$E:$W,12,FALSE)),"")</f>
        <v>37927000000</v>
      </c>
      <c r="P564">
        <f>IFERROR(IF(VLOOKUP($B564,Показатели!$E:$W,13,FALSE)=0,"",VLOOKUP($B564,Показатели!$E:$W,13,FALSE)),"")</f>
        <v>38038000000</v>
      </c>
      <c r="Q564">
        <f>IFERROR(IF(VLOOKUP($B564,Показатели!$E:$W,14,FALSE)=0,"",VLOOKUP($B564,Показатели!$E:$W,14,FALSE)),"")</f>
        <v>35707000000</v>
      </c>
      <c r="R564">
        <f>IFERROR(IF(VLOOKUP($B564,Показатели!$E:$W,15,FALSE)=0,"",VLOOKUP($B564,Показатели!$E:$W,15,FALSE)),"")</f>
        <v>15138000000</v>
      </c>
      <c r="S564">
        <f>IFERROR(IF(VLOOKUP($B564,Показатели!$E:$W,16,FALSE)=0,"",VLOOKUP($B564,Показатели!$E:$W,16,FALSE)),"")</f>
        <v>53063000000</v>
      </c>
      <c r="T564">
        <f>IFERROR(IF(VLOOKUP($B564,Показатели!$E:$W,17,FALSE)=0,"",VLOOKUP($B564,Показатели!$E:$W,17,FALSE)),"")</f>
        <v>-6558000000</v>
      </c>
      <c r="U564">
        <f>IFERROR(IF(VLOOKUP($B564,Показатели!$E:$W,18,FALSE)=0,"",VLOOKUP($B564,Показатели!$E:$W,18,FALSE)),"")</f>
        <v>277644000000</v>
      </c>
      <c r="V564">
        <f>IFERROR(IF(VLOOKUP($B564,Показатели!$E:$W,19,FALSE)=0,"",VLOOKUP($B564,Показатели!$E:$W,19,FALSE)),"")</f>
        <v>113026000000</v>
      </c>
    </row>
    <row r="565" spans="1:22" x14ac:dyDescent="0.2">
      <c r="A565" s="7" t="s">
        <v>2317</v>
      </c>
      <c r="B565" t="str">
        <f t="shared" si="8"/>
        <v>FIXR IV кв. 2022</v>
      </c>
      <c r="C565">
        <v>2022</v>
      </c>
      <c r="D565">
        <f>SUMIFS(Дивиденды!$C:$C,Дивиденды!$A:$A,A565,Дивиденды!$I:$I,C565)</f>
        <v>0</v>
      </c>
      <c r="E565">
        <f>IFERROR(IF(VLOOKUP($B565,Показатели!$E:$W,2,FALSE)=0,"",VLOOKUP($B565,Показатели!$E:$W,2,FALSE)),"")</f>
        <v>23584000000</v>
      </c>
      <c r="F565">
        <f>IFERROR(IF(VLOOKUP($B565,Показатели!$E:$W,3,FALSE)=0,"",VLOOKUP($B565,Показатели!$E:$W,3,FALSE)),"")</f>
        <v>72494000000</v>
      </c>
      <c r="G565">
        <f>IFERROR(IF(VLOOKUP($B565,Показатели!$E:$W,4,FALSE)=0,"",VLOOKUP($B565,Показатели!$E:$W,4,FALSE)),"")</f>
        <v>19692000000</v>
      </c>
      <c r="H565">
        <f>IFERROR(IF(VLOOKUP($B565,Показатели!$E:$W,5,FALSE)=0,"",VLOOKUP($B565,Показатели!$E:$W,5,FALSE)),"")</f>
        <v>1900000000</v>
      </c>
      <c r="I565">
        <f>IFERROR(IF(VLOOKUP($B565,Показатели!$E:$W,6,FALSE)=0,"",VLOOKUP($B565,Показатели!$E:$W,6,FALSE)),"")</f>
        <v>113026000000</v>
      </c>
      <c r="J565">
        <f>IFERROR(IF(VLOOKUP($B565,Показатели!$E:$W,7,FALSE)=0,"",VLOOKUP($B565,Показатели!$E:$W,7,FALSE)),"")</f>
        <v>74371000000</v>
      </c>
      <c r="K565">
        <f>IFERROR(IF(VLOOKUP($B565,Показатели!$E:$W,8,FALSE)=0,"",VLOOKUP($B565,Показатели!$E:$W,8,FALSE)),"")</f>
        <v>9388000000</v>
      </c>
      <c r="L565">
        <f>IFERROR(IF(VLOOKUP($B565,Показатели!$E:$W,9,FALSE)=0,"",VLOOKUP($B565,Показатели!$E:$W,9,FALSE)),"")</f>
        <v>29241000000</v>
      </c>
      <c r="M565">
        <f>IFERROR(IF(VLOOKUP($B565,Показатели!$E:$W,10,FALSE)=0,"",VLOOKUP($B565,Показатели!$E:$W,10,FALSE)),"")</f>
        <v>29267000000</v>
      </c>
      <c r="N565">
        <f>IFERROR(IF(VLOOKUP($B565,Показатели!$E:$W,11,FALSE)=0,"",VLOOKUP($B565,Показатели!$E:$W,11,FALSE)),"")</f>
        <v>277644000000</v>
      </c>
      <c r="O565">
        <f>IFERROR(IF(VLOOKUP($B565,Показатели!$E:$W,12,FALSE)=0,"",VLOOKUP($B565,Показатели!$E:$W,12,FALSE)),"")</f>
        <v>41060000000</v>
      </c>
      <c r="P565">
        <f>IFERROR(IF(VLOOKUP($B565,Показатели!$E:$W,13,FALSE)=0,"",VLOOKUP($B565,Показатели!$E:$W,13,FALSE)),"")</f>
        <v>37825000000</v>
      </c>
      <c r="Q565">
        <f>IFERROR(IF(VLOOKUP($B565,Показатели!$E:$W,14,FALSE)=0,"",VLOOKUP($B565,Показатели!$E:$W,14,FALSE)),"")</f>
        <v>21411000000</v>
      </c>
      <c r="R565">
        <f>IFERROR(IF(VLOOKUP($B565,Показатели!$E:$W,15,FALSE)=0,"",VLOOKUP($B565,Показатели!$E:$W,15,FALSE)),"")</f>
        <v>13138000000</v>
      </c>
      <c r="S565">
        <f>IFERROR(IF(VLOOKUP($B565,Показатели!$E:$W,16,FALSE)=0,"",VLOOKUP($B565,Показатели!$E:$W,16,FALSE)),"")</f>
        <v>54200000000</v>
      </c>
      <c r="T565">
        <f>IFERROR(IF(VLOOKUP($B565,Показатели!$E:$W,17,FALSE)=0,"",VLOOKUP($B565,Показатели!$E:$W,17,FALSE)),"")</f>
        <v>-12015000000</v>
      </c>
      <c r="U565">
        <f>IFERROR(IF(VLOOKUP($B565,Показатели!$E:$W,18,FALSE)=0,"",VLOOKUP($B565,Показатели!$E:$W,18,FALSE)),"")</f>
        <v>230473000000</v>
      </c>
      <c r="V565">
        <f>IFERROR(IF(VLOOKUP($B565,Показатели!$E:$W,19,FALSE)=0,"",VLOOKUP($B565,Показатели!$E:$W,19,FALSE)),"")</f>
        <v>84929000000</v>
      </c>
    </row>
    <row r="566" spans="1:22" x14ac:dyDescent="0.2">
      <c r="A566" s="7" t="s">
        <v>2317</v>
      </c>
      <c r="B566" t="str">
        <f t="shared" si="8"/>
        <v>FIXR IV кв. 2021</v>
      </c>
      <c r="C566">
        <v>2021</v>
      </c>
      <c r="D566">
        <f>SUMIFS(Дивиденды!$C:$C,Дивиденды!$A:$A,A566,Дивиденды!$I:$I,C566)</f>
        <v>0</v>
      </c>
      <c r="E566">
        <f>IFERROR(IF(VLOOKUP($B566,Показатели!$E:$W,2,FALSE)=0,"",VLOOKUP($B566,Показатели!$E:$W,2,FALSE)),"")</f>
        <v>8779000000</v>
      </c>
      <c r="F566">
        <f>IFERROR(IF(VLOOKUP($B566,Показатели!$E:$W,3,FALSE)=0,"",VLOOKUP($B566,Показатели!$E:$W,3,FALSE)),"")</f>
        <v>55125000000</v>
      </c>
      <c r="G566">
        <f>IFERROR(IF(VLOOKUP($B566,Показатели!$E:$W,4,FALSE)=0,"",VLOOKUP($B566,Показатели!$E:$W,4,FALSE)),"")</f>
        <v>18142000000</v>
      </c>
      <c r="H566">
        <f>IFERROR(IF(VLOOKUP($B566,Показатели!$E:$W,5,FALSE)=0,"",VLOOKUP($B566,Показатели!$E:$W,5,FALSE)),"")</f>
        <v>1419000000</v>
      </c>
      <c r="I566">
        <f>IFERROR(IF(VLOOKUP($B566,Показатели!$E:$W,6,FALSE)=0,"",VLOOKUP($B566,Показатели!$E:$W,6,FALSE)),"")</f>
        <v>84929000000</v>
      </c>
      <c r="J566">
        <f>IFERROR(IF(VLOOKUP($B566,Показатели!$E:$W,7,FALSE)=0,"",VLOOKUP($B566,Показатели!$E:$W,7,FALSE)),"")</f>
        <v>72652000000</v>
      </c>
      <c r="K566">
        <f>IFERROR(IF(VLOOKUP($B566,Показатели!$E:$W,8,FALSE)=0,"",VLOOKUP($B566,Показатели!$E:$W,8,FALSE)),"")</f>
        <v>4298000000</v>
      </c>
      <c r="L566">
        <f>IFERROR(IF(VLOOKUP($B566,Показатели!$E:$W,9,FALSE)=0,"",VLOOKUP($B566,Показатели!$E:$W,9,FALSE)),"")</f>
        <v>7830000000</v>
      </c>
      <c r="M566">
        <f>IFERROR(IF(VLOOKUP($B566,Показатели!$E:$W,10,FALSE)=0,"",VLOOKUP($B566,Показатели!$E:$W,10,FALSE)),"")</f>
        <v>7979000000</v>
      </c>
      <c r="N566">
        <f>IFERROR(IF(VLOOKUP($B566,Показатели!$E:$W,11,FALSE)=0,"",VLOOKUP($B566,Показатели!$E:$W,11,FALSE)),"")</f>
        <v>230473000000</v>
      </c>
      <c r="O566">
        <f>IFERROR(IF(VLOOKUP($B566,Показатели!$E:$W,12,FALSE)=0,"",VLOOKUP($B566,Показатели!$E:$W,12,FALSE)),"")</f>
        <v>32326000000</v>
      </c>
      <c r="P566">
        <f>IFERROR(IF(VLOOKUP($B566,Показатели!$E:$W,13,FALSE)=0,"",VLOOKUP($B566,Показатели!$E:$W,13,FALSE)),"")</f>
        <v>30596000000</v>
      </c>
      <c r="Q566">
        <f>IFERROR(IF(VLOOKUP($B566,Показатели!$E:$W,14,FALSE)=0,"",VLOOKUP($B566,Показатели!$E:$W,14,FALSE)),"")</f>
        <v>21389000000</v>
      </c>
      <c r="R566">
        <f>IFERROR(IF(VLOOKUP($B566,Показатели!$E:$W,15,FALSE)=0,"",VLOOKUP($B566,Показатели!$E:$W,15,FALSE)),"")</f>
        <v>11829000000</v>
      </c>
      <c r="S566">
        <f>IFERROR(IF(VLOOKUP($B566,Показатели!$E:$W,16,FALSE)=0,"",VLOOKUP($B566,Показатели!$E:$W,16,FALSE)),"")</f>
        <v>44155000000</v>
      </c>
      <c r="T566">
        <f>IFERROR(IF(VLOOKUP($B566,Показатели!$E:$W,17,FALSE)=0,"",VLOOKUP($B566,Показатели!$E:$W,17,FALSE)),"")</f>
        <v>-6279000000</v>
      </c>
      <c r="U566">
        <f>IFERROR(IF(VLOOKUP($B566,Показатели!$E:$W,18,FALSE)=0,"",VLOOKUP($B566,Показатели!$E:$W,18,FALSE)),"")</f>
        <v>190059000000</v>
      </c>
      <c r="V566">
        <f>IFERROR(IF(VLOOKUP($B566,Показатели!$E:$W,19,FALSE)=0,"",VLOOKUP($B566,Показатели!$E:$W,19,FALSE)),"")</f>
        <v>82107000000</v>
      </c>
    </row>
    <row r="567" spans="1:22" x14ac:dyDescent="0.2">
      <c r="A567" s="7" t="s">
        <v>2317</v>
      </c>
      <c r="B567" t="str">
        <f t="shared" si="8"/>
        <v>FIXR IV кв. 2020</v>
      </c>
      <c r="C567">
        <v>2020</v>
      </c>
      <c r="D567">
        <f>SUMIFS(Дивиденды!$C:$C,Дивиденды!$A:$A,A567,Дивиденды!$I:$I,C567)</f>
        <v>0</v>
      </c>
      <c r="E567">
        <f>IFERROR(IF(VLOOKUP($B567,Показатели!$E:$W,2,FALSE)=0,"",VLOOKUP($B567,Показатели!$E:$W,2,FALSE)),"")</f>
        <v>26375000000</v>
      </c>
      <c r="F567">
        <f>IFERROR(IF(VLOOKUP($B567,Показатели!$E:$W,3,FALSE)=0,"",VLOOKUP($B567,Показатели!$E:$W,3,FALSE)),"")</f>
        <v>56810000000</v>
      </c>
      <c r="G567">
        <f>IFERROR(IF(VLOOKUP($B567,Показатели!$E:$W,4,FALSE)=0,"",VLOOKUP($B567,Показатели!$E:$W,4,FALSE)),"")</f>
        <v>13308000000</v>
      </c>
      <c r="H567">
        <f>IFERROR(IF(VLOOKUP($B567,Показатели!$E:$W,5,FALSE)=0,"",VLOOKUP($B567,Показатели!$E:$W,5,FALSE)),"")</f>
        <v>1078000000</v>
      </c>
      <c r="I567">
        <f>IFERROR(IF(VLOOKUP($B567,Показатели!$E:$W,6,FALSE)=0,"",VLOOKUP($B567,Показатели!$E:$W,6,FALSE)),"")</f>
        <v>82107000000</v>
      </c>
      <c r="J567">
        <f>IFERROR(IF(VLOOKUP($B567,Показатели!$E:$W,7,FALSE)=0,"",VLOOKUP($B567,Показатели!$E:$W,7,FALSE)),"")</f>
        <v>81618000000</v>
      </c>
      <c r="K567">
        <f>IFERROR(IF(VLOOKUP($B567,Показатели!$E:$W,8,FALSE)=0,"",VLOOKUP($B567,Показатели!$E:$W,8,FALSE)),"")</f>
        <v>4098000000</v>
      </c>
      <c r="L567">
        <f>IFERROR(IF(VLOOKUP($B567,Показатели!$E:$W,9,FALSE)=0,"",VLOOKUP($B567,Показатели!$E:$W,9,FALSE)),"")</f>
        <v>-3771000000</v>
      </c>
      <c r="M567">
        <f>IFERROR(IF(VLOOKUP($B567,Показатели!$E:$W,10,FALSE)=0,"",VLOOKUP($B567,Показатели!$E:$W,10,FALSE)),"")</f>
        <v>-3609000000</v>
      </c>
      <c r="N567">
        <f>IFERROR(IF(VLOOKUP($B567,Показатели!$E:$W,11,FALSE)=0,"",VLOOKUP($B567,Показатели!$E:$W,11,FALSE)),"")</f>
        <v>190059000000</v>
      </c>
      <c r="O567">
        <f>IFERROR(IF(VLOOKUP($B567,Показатели!$E:$W,12,FALSE)=0,"",VLOOKUP($B567,Показатели!$E:$W,12,FALSE)),"")</f>
        <v>26923000000</v>
      </c>
      <c r="P567">
        <f>IFERROR(IF(VLOOKUP($B567,Показатели!$E:$W,13,FALSE)=0,"",VLOOKUP($B567,Показатели!$E:$W,13,FALSE)),"")</f>
        <v>26310000000</v>
      </c>
      <c r="Q567">
        <f>IFERROR(IF(VLOOKUP($B567,Показатели!$E:$W,14,FALSE)=0,"",VLOOKUP($B567,Показатели!$E:$W,14,FALSE)),"")</f>
        <v>17575000000</v>
      </c>
      <c r="R567">
        <f>IFERROR(IF(VLOOKUP($B567,Показатели!$E:$W,15,FALSE)=0,"",VLOOKUP($B567,Показатели!$E:$W,15,FALSE)),"")</f>
        <v>9865000000</v>
      </c>
      <c r="S567">
        <f>IFERROR(IF(VLOOKUP($B567,Показатели!$E:$W,16,FALSE)=0,"",VLOOKUP($B567,Показатели!$E:$W,16,FALSE)),"")</f>
        <v>36788000000</v>
      </c>
      <c r="T567">
        <f>IFERROR(IF(VLOOKUP($B567,Показатели!$E:$W,17,FALSE)=0,"",VLOOKUP($B567,Показатели!$E:$W,17,FALSE)),"")</f>
        <v>-6167000000</v>
      </c>
      <c r="U567">
        <f>IFERROR(IF(VLOOKUP($B567,Показатели!$E:$W,18,FALSE)=0,"",VLOOKUP($B567,Показатели!$E:$W,18,FALSE)),"")</f>
        <v>142880000000</v>
      </c>
      <c r="V567">
        <f>IFERROR(IF(VLOOKUP($B567,Показатели!$E:$W,19,FALSE)=0,"",VLOOKUP($B567,Показатели!$E:$W,19,FALSE)),"")</f>
        <v>53660000000</v>
      </c>
    </row>
    <row r="568" spans="1:22" x14ac:dyDescent="0.2">
      <c r="A568" s="7" t="s">
        <v>2317</v>
      </c>
      <c r="B568" t="str">
        <f t="shared" si="8"/>
        <v>FIXR IV кв. 2019</v>
      </c>
      <c r="C568">
        <v>2019</v>
      </c>
      <c r="D568">
        <f>SUMIFS(Дивиденды!$C:$C,Дивиденды!$A:$A,A568,Дивиденды!$I:$I,C568)</f>
        <v>0</v>
      </c>
      <c r="E568">
        <f>IFERROR(IF(VLOOKUP($B568,Показатели!$E:$W,2,FALSE)=0,"",VLOOKUP($B568,Показатели!$E:$W,2,FALSE)),"")</f>
        <v>11881000000</v>
      </c>
      <c r="F568">
        <f>IFERROR(IF(VLOOKUP($B568,Показатели!$E:$W,3,FALSE)=0,"",VLOOKUP($B568,Показатели!$E:$W,3,FALSE)),"")</f>
        <v>34730000000</v>
      </c>
      <c r="G568">
        <f>IFERROR(IF(VLOOKUP($B568,Показатели!$E:$W,4,FALSE)=0,"",VLOOKUP($B568,Показатели!$E:$W,4,FALSE)),"")</f>
        <v>10882000000</v>
      </c>
      <c r="H568">
        <f>IFERROR(IF(VLOOKUP($B568,Показатели!$E:$W,5,FALSE)=0,"",VLOOKUP($B568,Показатели!$E:$W,5,FALSE)),"")</f>
        <v>688000000</v>
      </c>
      <c r="I568">
        <f>IFERROR(IF(VLOOKUP($B568,Показатели!$E:$W,6,FALSE)=0,"",VLOOKUP($B568,Показатели!$E:$W,6,FALSE)),"")</f>
        <v>53660000000</v>
      </c>
      <c r="J568">
        <f>IFERROR(IF(VLOOKUP($B568,Показатели!$E:$W,7,FALSE)=0,"",VLOOKUP($B568,Показатели!$E:$W,7,FALSE)),"")</f>
        <v>39365000000</v>
      </c>
      <c r="K568">
        <f>IFERROR(IF(VLOOKUP($B568,Показатели!$E:$W,8,FALSE)=0,"",VLOOKUP($B568,Показатели!$E:$W,8,FALSE)),"")</f>
        <v>2842000000</v>
      </c>
      <c r="L568">
        <f>IFERROR(IF(VLOOKUP($B568,Показатели!$E:$W,9,FALSE)=0,"",VLOOKUP($B568,Показатели!$E:$W,9,FALSE)),"")</f>
        <v>11298000000</v>
      </c>
      <c r="M568">
        <f>IFERROR(IF(VLOOKUP($B568,Показатели!$E:$W,10,FALSE)=0,"",VLOOKUP($B568,Показатели!$E:$W,10,FALSE)),"")</f>
        <v>11453000000</v>
      </c>
      <c r="N568">
        <f>IFERROR(IF(VLOOKUP($B568,Показатели!$E:$W,11,FALSE)=0,"",VLOOKUP($B568,Показатели!$E:$W,11,FALSE)),"")</f>
        <v>142880000000</v>
      </c>
      <c r="O568">
        <f>IFERROR(IF(VLOOKUP($B568,Показатели!$E:$W,12,FALSE)=0,"",VLOOKUP($B568,Показатели!$E:$W,12,FALSE)),"")</f>
        <v>18455000000</v>
      </c>
      <c r="P568">
        <f>IFERROR(IF(VLOOKUP($B568,Показатели!$E:$W,13,FALSE)=0,"",VLOOKUP($B568,Показатели!$E:$W,13,FALSE)),"")</f>
        <v>17535000000</v>
      </c>
      <c r="Q568">
        <f>IFERROR(IF(VLOOKUP($B568,Показатели!$E:$W,14,FALSE)=0,"",VLOOKUP($B568,Показатели!$E:$W,14,FALSE)),"")</f>
        <v>13173000000</v>
      </c>
      <c r="R568">
        <f>IFERROR(IF(VLOOKUP($B568,Показатели!$E:$W,15,FALSE)=0,"",VLOOKUP($B568,Показатели!$E:$W,15,FALSE)),"")</f>
        <v>8695000000</v>
      </c>
      <c r="S568">
        <f>IFERROR(IF(VLOOKUP($B568,Показатели!$E:$W,16,FALSE)=0,"",VLOOKUP($B568,Показатели!$E:$W,16,FALSE)),"")</f>
        <v>27150000000</v>
      </c>
      <c r="T568">
        <f>IFERROR(IF(VLOOKUP($B568,Показатели!$E:$W,17,FALSE)=0,"",VLOOKUP($B568,Показатели!$E:$W,17,FALSE)),"")</f>
        <v>-4196000000</v>
      </c>
      <c r="U568">
        <f>IFERROR(IF(VLOOKUP($B568,Показатели!$E:$W,18,FALSE)=0,"",VLOOKUP($B568,Показатели!$E:$W,18,FALSE)),"")</f>
        <v>108763000000</v>
      </c>
      <c r="V568">
        <f>IFERROR(IF(VLOOKUP($B568,Показатели!$E:$W,19,FALSE)=0,"",VLOOKUP($B568,Показатели!$E:$W,19,FALSE)),"")</f>
        <v>35278000000</v>
      </c>
    </row>
    <row r="569" spans="1:22" x14ac:dyDescent="0.2">
      <c r="A569" s="7" t="s">
        <v>2317</v>
      </c>
      <c r="B569" t="str">
        <f t="shared" si="8"/>
        <v>FIXR IV кв. 2018</v>
      </c>
      <c r="C569">
        <v>2018</v>
      </c>
      <c r="D569">
        <f>SUMIFS(Дивиденды!$C:$C,Дивиденды!$A:$A,A569,Дивиденды!$I:$I,C569)</f>
        <v>0</v>
      </c>
      <c r="E569">
        <f>IFERROR(IF(VLOOKUP($B569,Показатели!$E:$W,2,FALSE)=0,"",VLOOKUP($B569,Показатели!$E:$W,2,FALSE)),"")</f>
        <v>5882000000</v>
      </c>
      <c r="F569">
        <f>IFERROR(IF(VLOOKUP($B569,Показатели!$E:$W,3,FALSE)=0,"",VLOOKUP($B569,Показатели!$E:$W,3,FALSE)),"")</f>
        <v>23207000000</v>
      </c>
      <c r="G569">
        <f>IFERROR(IF(VLOOKUP($B569,Показатели!$E:$W,4,FALSE)=0,"",VLOOKUP($B569,Показатели!$E:$W,4,FALSE)),"")</f>
        <v>9108000000</v>
      </c>
      <c r="H569">
        <f>IFERROR(IF(VLOOKUP($B569,Показатели!$E:$W,5,FALSE)=0,"",VLOOKUP($B569,Показатели!$E:$W,5,FALSE)),"")</f>
        <v>1577000000</v>
      </c>
      <c r="I569">
        <f>IFERROR(IF(VLOOKUP($B569,Показатели!$E:$W,6,FALSE)=0,"",VLOOKUP($B569,Показатели!$E:$W,6,FALSE)),"")</f>
        <v>35278000000</v>
      </c>
      <c r="J569">
        <f>IFERROR(IF(VLOOKUP($B569,Показатели!$E:$W,7,FALSE)=0,"",VLOOKUP($B569,Показатели!$E:$W,7,FALSE)),"")</f>
        <v>21458000000</v>
      </c>
      <c r="K569">
        <f>IFERROR(IF(VLOOKUP($B569,Показатели!$E:$W,8,FALSE)=0,"",VLOOKUP($B569,Показатели!$E:$W,8,FALSE)),"")</f>
        <v>583000000</v>
      </c>
      <c r="L569">
        <f>IFERROR(IF(VLOOKUP($B569,Показатели!$E:$W,9,FALSE)=0,"",VLOOKUP($B569,Показатели!$E:$W,9,FALSE)),"")</f>
        <v>13082000000</v>
      </c>
      <c r="M569">
        <f>IFERROR(IF(VLOOKUP($B569,Показатели!$E:$W,10,FALSE)=0,"",VLOOKUP($B569,Показатели!$E:$W,10,FALSE)),"")</f>
        <v>13237000000</v>
      </c>
      <c r="N569">
        <f>IFERROR(IF(VLOOKUP($B569,Показатели!$E:$W,11,FALSE)=0,"",VLOOKUP($B569,Показатели!$E:$W,11,FALSE)),"")</f>
        <v>108763000000</v>
      </c>
      <c r="O569">
        <f>IFERROR(IF(VLOOKUP($B569,Показатели!$E:$W,12,FALSE)=0,"",VLOOKUP($B569,Показатели!$E:$W,12,FALSE)),"")</f>
        <v>12644000000</v>
      </c>
      <c r="P569">
        <f>IFERROR(IF(VLOOKUP($B569,Показатели!$E:$W,13,FALSE)=0,"",VLOOKUP($B569,Показатели!$E:$W,13,FALSE)),"")</f>
        <v>12269000000</v>
      </c>
      <c r="Q569">
        <f>IFERROR(IF(VLOOKUP($B569,Показатели!$E:$W,14,FALSE)=0,"",VLOOKUP($B569,Показатели!$E:$W,14,FALSE)),"")</f>
        <v>9128000000</v>
      </c>
      <c r="R569">
        <f>IFERROR(IF(VLOOKUP($B569,Показатели!$E:$W,15,FALSE)=0,"",VLOOKUP($B569,Показатели!$E:$W,15,FALSE)),"")</f>
        <v>1464000000</v>
      </c>
      <c r="S569">
        <f>IFERROR(IF(VLOOKUP($B569,Показатели!$E:$W,16,FALSE)=0,"",VLOOKUP($B569,Показатели!$E:$W,16,FALSE)),"")</f>
        <v>14201000000</v>
      </c>
      <c r="T569">
        <f>IFERROR(IF(VLOOKUP($B569,Показатели!$E:$W,17,FALSE)=0,"",VLOOKUP($B569,Показатели!$E:$W,17,FALSE)),"")</f>
        <v>-4217000000</v>
      </c>
      <c r="U569">
        <f>IFERROR(IF(VLOOKUP($B569,Показатели!$E:$W,18,FALSE)=0,"",VLOOKUP($B569,Показатели!$E:$W,18,FALSE)),"")</f>
        <v>80652000000</v>
      </c>
      <c r="V569">
        <f>IFERROR(IF(VLOOKUP($B569,Показатели!$E:$W,19,FALSE)=0,"",VLOOKUP($B569,Показатели!$E:$W,19,FALSE)),"")</f>
        <v>30160000000</v>
      </c>
    </row>
    <row r="570" spans="1:22" x14ac:dyDescent="0.2">
      <c r="A570" s="7" t="s">
        <v>2317</v>
      </c>
      <c r="B570" t="str">
        <f t="shared" si="8"/>
        <v>FIXR IV кв. 2017</v>
      </c>
      <c r="C570">
        <v>2017</v>
      </c>
      <c r="D570">
        <f>SUMIFS(Дивиденды!$C:$C,Дивиденды!$A:$A,A570,Дивиденды!$I:$I,C570)</f>
        <v>0</v>
      </c>
      <c r="E570">
        <f>IFERROR(IF(VLOOKUP($B570,Показатели!$E:$W,2,FALSE)=0,"",VLOOKUP($B570,Показатели!$E:$W,2,FALSE)),"")</f>
        <v>6102000000</v>
      </c>
      <c r="F570">
        <f>IFERROR(IF(VLOOKUP($B570,Показатели!$E:$W,3,FALSE)=0,"",VLOOKUP($B570,Показатели!$E:$W,3,FALSE)),"")</f>
        <v>20943000000</v>
      </c>
      <c r="G570">
        <f>IFERROR(IF(VLOOKUP($B570,Показатели!$E:$W,4,FALSE)=0,"",VLOOKUP($B570,Показатели!$E:$W,4,FALSE)),"")</f>
        <v>7980000000</v>
      </c>
      <c r="H570">
        <f>IFERROR(IF(VLOOKUP($B570,Показатели!$E:$W,5,FALSE)=0,"",VLOOKUP($B570,Показатели!$E:$W,5,FALSE)),"")</f>
        <v>632000000</v>
      </c>
      <c r="I570">
        <f>IFERROR(IF(VLOOKUP($B570,Показатели!$E:$W,6,FALSE)=0,"",VLOOKUP($B570,Показатели!$E:$W,6,FALSE)),"")</f>
        <v>30160000000</v>
      </c>
      <c r="J570">
        <f>IFERROR(IF(VLOOKUP($B570,Показатели!$E:$W,7,FALSE)=0,"",VLOOKUP($B570,Показатели!$E:$W,7,FALSE)),"")</f>
        <v>18537000000</v>
      </c>
      <c r="K570">
        <f>IFERROR(IF(VLOOKUP($B570,Показатели!$E:$W,8,FALSE)=0,"",VLOOKUP($B570,Показатели!$E:$W,8,FALSE)),"")</f>
        <v>881000000</v>
      </c>
      <c r="L570">
        <f>IFERROR(IF(VLOOKUP($B570,Показатели!$E:$W,9,FALSE)=0,"",VLOOKUP($B570,Показатели!$E:$W,9,FALSE)),"")</f>
        <v>10587000000</v>
      </c>
      <c r="M570">
        <f>IFERROR(IF(VLOOKUP($B570,Показатели!$E:$W,10,FALSE)=0,"",VLOOKUP($B570,Показатели!$E:$W,10,FALSE)),"")</f>
        <v>10742000000</v>
      </c>
      <c r="N570">
        <f>IFERROR(IF(VLOOKUP($B570,Показатели!$E:$W,11,FALSE)=0,"",VLOOKUP($B570,Показатели!$E:$W,11,FALSE)),"")</f>
        <v>80652000000</v>
      </c>
      <c r="O570">
        <f>IFERROR(IF(VLOOKUP($B570,Показатели!$E:$W,12,FALSE)=0,"",VLOOKUP($B570,Показатели!$E:$W,12,FALSE)),"")</f>
        <v>8109000000</v>
      </c>
      <c r="P570">
        <f>IFERROR(IF(VLOOKUP($B570,Показатели!$E:$W,13,FALSE)=0,"",VLOOKUP($B570,Показатели!$E:$W,13,FALSE)),"")</f>
        <v>7443000000</v>
      </c>
      <c r="Q570">
        <f>IFERROR(IF(VLOOKUP($B570,Показатели!$E:$W,14,FALSE)=0,"",VLOOKUP($B570,Показатели!$E:$W,14,FALSE)),"")</f>
        <v>5563000000</v>
      </c>
      <c r="R570">
        <f>IFERROR(IF(VLOOKUP($B570,Показатели!$E:$W,15,FALSE)=0,"",VLOOKUP($B570,Показатели!$E:$W,15,FALSE)),"")</f>
        <v>757000000</v>
      </c>
      <c r="S570">
        <f>IFERROR(IF(VLOOKUP($B570,Показатели!$E:$W,16,FALSE)=0,"",VLOOKUP($B570,Показатели!$E:$W,16,FALSE)),"")</f>
        <v>9005000000</v>
      </c>
      <c r="T570">
        <f>IFERROR(IF(VLOOKUP($B570,Показатели!$E:$W,17,FALSE)=0,"",VLOOKUP($B570,Показатели!$E:$W,17,FALSE)),"")</f>
        <v>-1503000000</v>
      </c>
      <c r="U570" t="str">
        <f>IFERROR(IF(VLOOKUP($B570,Показатели!$E:$W,18,FALSE)=0,"",VLOOKUP($B570,Показатели!$E:$W,18,FALSE)),"")</f>
        <v/>
      </c>
      <c r="V570" t="str">
        <f>IFERROR(IF(VLOOKUP($B570,Показатели!$E:$W,19,FALSE)=0,"",VLOOKUP($B570,Показатели!$E:$W,19,FALSE)),"")</f>
        <v/>
      </c>
    </row>
    <row r="571" spans="1:22" x14ac:dyDescent="0.2">
      <c r="A571" s="7" t="s">
        <v>2317</v>
      </c>
      <c r="B571" t="str">
        <f t="shared" si="8"/>
        <v>FIXR IV кв. 2016</v>
      </c>
      <c r="C571">
        <v>2016</v>
      </c>
      <c r="D571">
        <f>SUMIFS(Дивиденды!$C:$C,Дивиденды!$A:$A,A571,Дивиденды!$I:$I,C571)</f>
        <v>0</v>
      </c>
      <c r="E571" t="str">
        <f>IFERROR(IF(VLOOKUP($B571,Показатели!$E:$W,2,FALSE)=0,"",VLOOKUP($B571,Показатели!$E:$W,2,FALSE)),"")</f>
        <v/>
      </c>
      <c r="F571" t="str">
        <f>IFERROR(IF(VLOOKUP($B571,Показатели!$E:$W,3,FALSE)=0,"",VLOOKUP($B571,Показатели!$E:$W,3,FALSE)),"")</f>
        <v/>
      </c>
      <c r="G571" t="str">
        <f>IFERROR(IF(VLOOKUP($B571,Показатели!$E:$W,4,FALSE)=0,"",VLOOKUP($B571,Показатели!$E:$W,4,FALSE)),"")</f>
        <v/>
      </c>
      <c r="H571" t="str">
        <f>IFERROR(IF(VLOOKUP($B571,Показатели!$E:$W,5,FALSE)=0,"",VLOOKUP($B571,Показатели!$E:$W,5,FALSE)),"")</f>
        <v/>
      </c>
      <c r="I571" t="str">
        <f>IFERROR(IF(VLOOKUP($B571,Показатели!$E:$W,6,FALSE)=0,"",VLOOKUP($B571,Показатели!$E:$W,6,FALSE)),"")</f>
        <v/>
      </c>
      <c r="J571" t="str">
        <f>IFERROR(IF(VLOOKUP($B571,Показатели!$E:$W,7,FALSE)=0,"",VLOOKUP($B571,Показатели!$E:$W,7,FALSE)),"")</f>
        <v/>
      </c>
      <c r="K571" t="str">
        <f>IFERROR(IF(VLOOKUP($B571,Показатели!$E:$W,8,FALSE)=0,"",VLOOKUP($B571,Показатели!$E:$W,8,FALSE)),"")</f>
        <v/>
      </c>
      <c r="L571" t="str">
        <f>IFERROR(IF(VLOOKUP($B571,Показатели!$E:$W,9,FALSE)=0,"",VLOOKUP($B571,Показатели!$E:$W,9,FALSE)),"")</f>
        <v/>
      </c>
      <c r="M571" t="str">
        <f>IFERROR(IF(VLOOKUP($B571,Показатели!$E:$W,10,FALSE)=0,"",VLOOKUP($B571,Показатели!$E:$W,10,FALSE)),"")</f>
        <v/>
      </c>
      <c r="N571" t="str">
        <f>IFERROR(IF(VLOOKUP($B571,Показатели!$E:$W,11,FALSE)=0,"",VLOOKUP($B571,Показатели!$E:$W,11,FALSE)),"")</f>
        <v/>
      </c>
      <c r="O571" t="str">
        <f>IFERROR(IF(VLOOKUP($B571,Показатели!$E:$W,12,FALSE)=0,"",VLOOKUP($B571,Показатели!$E:$W,12,FALSE)),"")</f>
        <v/>
      </c>
      <c r="P571" t="str">
        <f>IFERROR(IF(VLOOKUP($B571,Показатели!$E:$W,13,FALSE)=0,"",VLOOKUP($B571,Показатели!$E:$W,13,FALSE)),"")</f>
        <v/>
      </c>
      <c r="Q571" t="str">
        <f>IFERROR(IF(VLOOKUP($B571,Показатели!$E:$W,14,FALSE)=0,"",VLOOKUP($B571,Показатели!$E:$W,14,FALSE)),"")</f>
        <v/>
      </c>
      <c r="R571" t="str">
        <f>IFERROR(IF(VLOOKUP($B571,Показатели!$E:$W,15,FALSE)=0,"",VLOOKUP($B571,Показатели!$E:$W,15,FALSE)),"")</f>
        <v/>
      </c>
      <c r="S571" t="str">
        <f>IFERROR(IF(VLOOKUP($B571,Показатели!$E:$W,16,FALSE)=0,"",VLOOKUP($B571,Показатели!$E:$W,16,FALSE)),"")</f>
        <v/>
      </c>
      <c r="T571" t="str">
        <f>IFERROR(IF(VLOOKUP($B571,Показатели!$E:$W,17,FALSE)=0,"",VLOOKUP($B571,Показатели!$E:$W,17,FALSE)),"")</f>
        <v/>
      </c>
      <c r="U571" t="str">
        <f>IFERROR(IF(VLOOKUP($B571,Показатели!$E:$W,18,FALSE)=0,"",VLOOKUP($B571,Показатели!$E:$W,18,FALSE)),"")</f>
        <v/>
      </c>
      <c r="V571" t="str">
        <f>IFERROR(IF(VLOOKUP($B571,Показатели!$E:$W,19,FALSE)=0,"",VLOOKUP($B571,Показатели!$E:$W,19,FALSE)),"")</f>
        <v/>
      </c>
    </row>
    <row r="572" spans="1:22" x14ac:dyDescent="0.2">
      <c r="A572" s="7" t="s">
        <v>2317</v>
      </c>
      <c r="B572" t="str">
        <f t="shared" si="8"/>
        <v>FIXR IV кв. 2015</v>
      </c>
      <c r="C572">
        <v>2015</v>
      </c>
      <c r="D572">
        <f>SUMIFS(Дивиденды!$C:$C,Дивиденды!$A:$A,A572,Дивиденды!$I:$I,C572)</f>
        <v>0</v>
      </c>
      <c r="E572" t="str">
        <f>IFERROR(IF(VLOOKUP($B572,Показатели!$E:$W,2,FALSE)=0,"",VLOOKUP($B572,Показатели!$E:$W,2,FALSE)),"")</f>
        <v/>
      </c>
      <c r="F572" t="str">
        <f>IFERROR(IF(VLOOKUP($B572,Показатели!$E:$W,3,FALSE)=0,"",VLOOKUP($B572,Показатели!$E:$W,3,FALSE)),"")</f>
        <v/>
      </c>
      <c r="G572" t="str">
        <f>IFERROR(IF(VLOOKUP($B572,Показатели!$E:$W,4,FALSE)=0,"",VLOOKUP($B572,Показатели!$E:$W,4,FALSE)),"")</f>
        <v/>
      </c>
      <c r="H572" t="str">
        <f>IFERROR(IF(VLOOKUP($B572,Показатели!$E:$W,5,FALSE)=0,"",VLOOKUP($B572,Показатели!$E:$W,5,FALSE)),"")</f>
        <v/>
      </c>
      <c r="I572" t="str">
        <f>IFERROR(IF(VLOOKUP($B572,Показатели!$E:$W,6,FALSE)=0,"",VLOOKUP($B572,Показатели!$E:$W,6,FALSE)),"")</f>
        <v/>
      </c>
      <c r="J572" t="str">
        <f>IFERROR(IF(VLOOKUP($B572,Показатели!$E:$W,7,FALSE)=0,"",VLOOKUP($B572,Показатели!$E:$W,7,FALSE)),"")</f>
        <v/>
      </c>
      <c r="K572" t="str">
        <f>IFERROR(IF(VLOOKUP($B572,Показатели!$E:$W,8,FALSE)=0,"",VLOOKUP($B572,Показатели!$E:$W,8,FALSE)),"")</f>
        <v/>
      </c>
      <c r="L572" t="str">
        <f>IFERROR(IF(VLOOKUP($B572,Показатели!$E:$W,9,FALSE)=0,"",VLOOKUP($B572,Показатели!$E:$W,9,FALSE)),"")</f>
        <v/>
      </c>
      <c r="M572" t="str">
        <f>IFERROR(IF(VLOOKUP($B572,Показатели!$E:$W,10,FALSE)=0,"",VLOOKUP($B572,Показатели!$E:$W,10,FALSE)),"")</f>
        <v/>
      </c>
      <c r="N572" t="str">
        <f>IFERROR(IF(VLOOKUP($B572,Показатели!$E:$W,11,FALSE)=0,"",VLOOKUP($B572,Показатели!$E:$W,11,FALSE)),"")</f>
        <v/>
      </c>
      <c r="O572" t="str">
        <f>IFERROR(IF(VLOOKUP($B572,Показатели!$E:$W,12,FALSE)=0,"",VLOOKUP($B572,Показатели!$E:$W,12,FALSE)),"")</f>
        <v/>
      </c>
      <c r="P572" t="str">
        <f>IFERROR(IF(VLOOKUP($B572,Показатели!$E:$W,13,FALSE)=0,"",VLOOKUP($B572,Показатели!$E:$W,13,FALSE)),"")</f>
        <v/>
      </c>
      <c r="Q572" t="str">
        <f>IFERROR(IF(VLOOKUP($B572,Показатели!$E:$W,14,FALSE)=0,"",VLOOKUP($B572,Показатели!$E:$W,14,FALSE)),"")</f>
        <v/>
      </c>
      <c r="R572" t="str">
        <f>IFERROR(IF(VLOOKUP($B572,Показатели!$E:$W,15,FALSE)=0,"",VLOOKUP($B572,Показатели!$E:$W,15,FALSE)),"")</f>
        <v/>
      </c>
      <c r="S572" t="str">
        <f>IFERROR(IF(VLOOKUP($B572,Показатели!$E:$W,16,FALSE)=0,"",VLOOKUP($B572,Показатели!$E:$W,16,FALSE)),"")</f>
        <v/>
      </c>
      <c r="T572" t="str">
        <f>IFERROR(IF(VLOOKUP($B572,Показатели!$E:$W,17,FALSE)=0,"",VLOOKUP($B572,Показатели!$E:$W,17,FALSE)),"")</f>
        <v/>
      </c>
      <c r="U572" t="str">
        <f>IFERROR(IF(VLOOKUP($B572,Показатели!$E:$W,18,FALSE)=0,"",VLOOKUP($B572,Показатели!$E:$W,18,FALSE)),"")</f>
        <v/>
      </c>
      <c r="V572" t="str">
        <f>IFERROR(IF(VLOOKUP($B572,Показатели!$E:$W,19,FALSE)=0,"",VLOOKUP($B572,Показатели!$E:$W,19,FALSE)),"")</f>
        <v/>
      </c>
    </row>
    <row r="573" spans="1:22" x14ac:dyDescent="0.2">
      <c r="A573" s="7" t="s">
        <v>2317</v>
      </c>
      <c r="B573" t="str">
        <f t="shared" si="8"/>
        <v>FIXR IV кв. 2014</v>
      </c>
      <c r="C573">
        <v>2014</v>
      </c>
      <c r="D573">
        <f>SUMIFS(Дивиденды!$C:$C,Дивиденды!$A:$A,A573,Дивиденды!$I:$I,C573)</f>
        <v>0</v>
      </c>
      <c r="E573" t="str">
        <f>IFERROR(IF(VLOOKUP($B573,Показатели!$E:$W,2,FALSE)=0,"",VLOOKUP($B573,Показатели!$E:$W,2,FALSE)),"")</f>
        <v/>
      </c>
      <c r="F573" t="str">
        <f>IFERROR(IF(VLOOKUP($B573,Показатели!$E:$W,3,FALSE)=0,"",VLOOKUP($B573,Показатели!$E:$W,3,FALSE)),"")</f>
        <v/>
      </c>
      <c r="G573" t="str">
        <f>IFERROR(IF(VLOOKUP($B573,Показатели!$E:$W,4,FALSE)=0,"",VLOOKUP($B573,Показатели!$E:$W,4,FALSE)),"")</f>
        <v/>
      </c>
      <c r="H573" t="str">
        <f>IFERROR(IF(VLOOKUP($B573,Показатели!$E:$W,5,FALSE)=0,"",VLOOKUP($B573,Показатели!$E:$W,5,FALSE)),"")</f>
        <v/>
      </c>
      <c r="I573" t="str">
        <f>IFERROR(IF(VLOOKUP($B573,Показатели!$E:$W,6,FALSE)=0,"",VLOOKUP($B573,Показатели!$E:$W,6,FALSE)),"")</f>
        <v/>
      </c>
      <c r="J573" t="str">
        <f>IFERROR(IF(VLOOKUP($B573,Показатели!$E:$W,7,FALSE)=0,"",VLOOKUP($B573,Показатели!$E:$W,7,FALSE)),"")</f>
        <v/>
      </c>
      <c r="K573" t="str">
        <f>IFERROR(IF(VLOOKUP($B573,Показатели!$E:$W,8,FALSE)=0,"",VLOOKUP($B573,Показатели!$E:$W,8,FALSE)),"")</f>
        <v/>
      </c>
      <c r="L573" t="str">
        <f>IFERROR(IF(VLOOKUP($B573,Показатели!$E:$W,9,FALSE)=0,"",VLOOKUP($B573,Показатели!$E:$W,9,FALSE)),"")</f>
        <v/>
      </c>
      <c r="M573" t="str">
        <f>IFERROR(IF(VLOOKUP($B573,Показатели!$E:$W,10,FALSE)=0,"",VLOOKUP($B573,Показатели!$E:$W,10,FALSE)),"")</f>
        <v/>
      </c>
      <c r="N573" t="str">
        <f>IFERROR(IF(VLOOKUP($B573,Показатели!$E:$W,11,FALSE)=0,"",VLOOKUP($B573,Показатели!$E:$W,11,FALSE)),"")</f>
        <v/>
      </c>
      <c r="O573" t="str">
        <f>IFERROR(IF(VLOOKUP($B573,Показатели!$E:$W,12,FALSE)=0,"",VLOOKUP($B573,Показатели!$E:$W,12,FALSE)),"")</f>
        <v/>
      </c>
      <c r="P573" t="str">
        <f>IFERROR(IF(VLOOKUP($B573,Показатели!$E:$W,13,FALSE)=0,"",VLOOKUP($B573,Показатели!$E:$W,13,FALSE)),"")</f>
        <v/>
      </c>
      <c r="Q573" t="str">
        <f>IFERROR(IF(VLOOKUP($B573,Показатели!$E:$W,14,FALSE)=0,"",VLOOKUP($B573,Показатели!$E:$W,14,FALSE)),"")</f>
        <v/>
      </c>
      <c r="R573" t="str">
        <f>IFERROR(IF(VLOOKUP($B573,Показатели!$E:$W,15,FALSE)=0,"",VLOOKUP($B573,Показатели!$E:$W,15,FALSE)),"")</f>
        <v/>
      </c>
      <c r="S573" t="str">
        <f>IFERROR(IF(VLOOKUP($B573,Показатели!$E:$W,16,FALSE)=0,"",VLOOKUP($B573,Показатели!$E:$W,16,FALSE)),"")</f>
        <v/>
      </c>
      <c r="T573" t="str">
        <f>IFERROR(IF(VLOOKUP($B573,Показатели!$E:$W,17,FALSE)=0,"",VLOOKUP($B573,Показатели!$E:$W,17,FALSE)),"")</f>
        <v/>
      </c>
      <c r="U573" t="str">
        <f>IFERROR(IF(VLOOKUP($B573,Показатели!$E:$W,18,FALSE)=0,"",VLOOKUP($B573,Показатели!$E:$W,18,FALSE)),"")</f>
        <v/>
      </c>
      <c r="V573" t="str">
        <f>IFERROR(IF(VLOOKUP($B573,Показатели!$E:$W,19,FALSE)=0,"",VLOOKUP($B573,Показатели!$E:$W,19,FALSE)),"")</f>
        <v/>
      </c>
    </row>
    <row r="574" spans="1:22" x14ac:dyDescent="0.2">
      <c r="A574" s="7" t="s">
        <v>2317</v>
      </c>
      <c r="B574" t="str">
        <f t="shared" si="8"/>
        <v>FIXR IV кв. 2013</v>
      </c>
      <c r="C574">
        <v>2013</v>
      </c>
      <c r="D574">
        <f>SUMIFS(Дивиденды!$C:$C,Дивиденды!$A:$A,A574,Дивиденды!$I:$I,C574)</f>
        <v>0</v>
      </c>
      <c r="E574" t="str">
        <f>IFERROR(IF(VLOOKUP($B574,Показатели!$E:$W,2,FALSE)=0,"",VLOOKUP($B574,Показатели!$E:$W,2,FALSE)),"")</f>
        <v/>
      </c>
      <c r="F574" t="str">
        <f>IFERROR(IF(VLOOKUP($B574,Показатели!$E:$W,3,FALSE)=0,"",VLOOKUP($B574,Показатели!$E:$W,3,FALSE)),"")</f>
        <v/>
      </c>
      <c r="G574" t="str">
        <f>IFERROR(IF(VLOOKUP($B574,Показатели!$E:$W,4,FALSE)=0,"",VLOOKUP($B574,Показатели!$E:$W,4,FALSE)),"")</f>
        <v/>
      </c>
      <c r="H574" t="str">
        <f>IFERROR(IF(VLOOKUP($B574,Показатели!$E:$W,5,FALSE)=0,"",VLOOKUP($B574,Показатели!$E:$W,5,FALSE)),"")</f>
        <v/>
      </c>
      <c r="I574" t="str">
        <f>IFERROR(IF(VLOOKUP($B574,Показатели!$E:$W,6,FALSE)=0,"",VLOOKUP($B574,Показатели!$E:$W,6,FALSE)),"")</f>
        <v/>
      </c>
      <c r="J574" t="str">
        <f>IFERROR(IF(VLOOKUP($B574,Показатели!$E:$W,7,FALSE)=0,"",VLOOKUP($B574,Показатели!$E:$W,7,FALSE)),"")</f>
        <v/>
      </c>
      <c r="K574" t="str">
        <f>IFERROR(IF(VLOOKUP($B574,Показатели!$E:$W,8,FALSE)=0,"",VLOOKUP($B574,Показатели!$E:$W,8,FALSE)),"")</f>
        <v/>
      </c>
      <c r="L574" t="str">
        <f>IFERROR(IF(VLOOKUP($B574,Показатели!$E:$W,9,FALSE)=0,"",VLOOKUP($B574,Показатели!$E:$W,9,FALSE)),"")</f>
        <v/>
      </c>
      <c r="M574" t="str">
        <f>IFERROR(IF(VLOOKUP($B574,Показатели!$E:$W,10,FALSE)=0,"",VLOOKUP($B574,Показатели!$E:$W,10,FALSE)),"")</f>
        <v/>
      </c>
      <c r="N574" t="str">
        <f>IFERROR(IF(VLOOKUP($B574,Показатели!$E:$W,11,FALSE)=0,"",VLOOKUP($B574,Показатели!$E:$W,11,FALSE)),"")</f>
        <v/>
      </c>
      <c r="O574" t="str">
        <f>IFERROR(IF(VLOOKUP($B574,Показатели!$E:$W,12,FALSE)=0,"",VLOOKUP($B574,Показатели!$E:$W,12,FALSE)),"")</f>
        <v/>
      </c>
      <c r="P574" t="str">
        <f>IFERROR(IF(VLOOKUP($B574,Показатели!$E:$W,13,FALSE)=0,"",VLOOKUP($B574,Показатели!$E:$W,13,FALSE)),"")</f>
        <v/>
      </c>
      <c r="Q574" t="str">
        <f>IFERROR(IF(VLOOKUP($B574,Показатели!$E:$W,14,FALSE)=0,"",VLOOKUP($B574,Показатели!$E:$W,14,FALSE)),"")</f>
        <v/>
      </c>
      <c r="R574" t="str">
        <f>IFERROR(IF(VLOOKUP($B574,Показатели!$E:$W,15,FALSE)=0,"",VLOOKUP($B574,Показатели!$E:$W,15,FALSE)),"")</f>
        <v/>
      </c>
      <c r="S574" t="str">
        <f>IFERROR(IF(VLOOKUP($B574,Показатели!$E:$W,16,FALSE)=0,"",VLOOKUP($B574,Показатели!$E:$W,16,FALSE)),"")</f>
        <v/>
      </c>
      <c r="T574" t="str">
        <f>IFERROR(IF(VLOOKUP($B574,Показатели!$E:$W,17,FALSE)=0,"",VLOOKUP($B574,Показатели!$E:$W,17,FALSE)),"")</f>
        <v/>
      </c>
      <c r="U574" t="str">
        <f>IFERROR(IF(VLOOKUP($B574,Показатели!$E:$W,18,FALSE)=0,"",VLOOKUP($B574,Показатели!$E:$W,18,FALSE)),"")</f>
        <v/>
      </c>
      <c r="V574" t="str">
        <f>IFERROR(IF(VLOOKUP($B574,Показатели!$E:$W,19,FALSE)=0,"",VLOOKUP($B574,Показатели!$E:$W,19,FALSE)),"")</f>
        <v/>
      </c>
    </row>
    <row r="575" spans="1:22" x14ac:dyDescent="0.2">
      <c r="A575" s="7" t="s">
        <v>2317</v>
      </c>
      <c r="B575" t="str">
        <f t="shared" si="8"/>
        <v>FIXR IV кв. 2012</v>
      </c>
      <c r="C575">
        <v>2012</v>
      </c>
      <c r="D575">
        <f>SUMIFS(Дивиденды!$C:$C,Дивиденды!$A:$A,A575,Дивиденды!$I:$I,C575)</f>
        <v>0</v>
      </c>
      <c r="E575" t="str">
        <f>IFERROR(IF(VLOOKUP($B575,Показатели!$E:$W,2,FALSE)=0,"",VLOOKUP($B575,Показатели!$E:$W,2,FALSE)),"")</f>
        <v/>
      </c>
      <c r="F575" t="str">
        <f>IFERROR(IF(VLOOKUP($B575,Показатели!$E:$W,3,FALSE)=0,"",VLOOKUP($B575,Показатели!$E:$W,3,FALSE)),"")</f>
        <v/>
      </c>
      <c r="G575" t="str">
        <f>IFERROR(IF(VLOOKUP($B575,Показатели!$E:$W,4,FALSE)=0,"",VLOOKUP($B575,Показатели!$E:$W,4,FALSE)),"")</f>
        <v/>
      </c>
      <c r="H575" t="str">
        <f>IFERROR(IF(VLOOKUP($B575,Показатели!$E:$W,5,FALSE)=0,"",VLOOKUP($B575,Показатели!$E:$W,5,FALSE)),"")</f>
        <v/>
      </c>
      <c r="I575" t="str">
        <f>IFERROR(IF(VLOOKUP($B575,Показатели!$E:$W,6,FALSE)=0,"",VLOOKUP($B575,Показатели!$E:$W,6,FALSE)),"")</f>
        <v/>
      </c>
      <c r="J575" t="str">
        <f>IFERROR(IF(VLOOKUP($B575,Показатели!$E:$W,7,FALSE)=0,"",VLOOKUP($B575,Показатели!$E:$W,7,FALSE)),"")</f>
        <v/>
      </c>
      <c r="K575" t="str">
        <f>IFERROR(IF(VLOOKUP($B575,Показатели!$E:$W,8,FALSE)=0,"",VLOOKUP($B575,Показатели!$E:$W,8,FALSE)),"")</f>
        <v/>
      </c>
      <c r="L575" t="str">
        <f>IFERROR(IF(VLOOKUP($B575,Показатели!$E:$W,9,FALSE)=0,"",VLOOKUP($B575,Показатели!$E:$W,9,FALSE)),"")</f>
        <v/>
      </c>
      <c r="M575" t="str">
        <f>IFERROR(IF(VLOOKUP($B575,Показатели!$E:$W,10,FALSE)=0,"",VLOOKUP($B575,Показатели!$E:$W,10,FALSE)),"")</f>
        <v/>
      </c>
      <c r="N575" t="str">
        <f>IFERROR(IF(VLOOKUP($B575,Показатели!$E:$W,11,FALSE)=0,"",VLOOKUP($B575,Показатели!$E:$W,11,FALSE)),"")</f>
        <v/>
      </c>
      <c r="O575" t="str">
        <f>IFERROR(IF(VLOOKUP($B575,Показатели!$E:$W,12,FALSE)=0,"",VLOOKUP($B575,Показатели!$E:$W,12,FALSE)),"")</f>
        <v/>
      </c>
      <c r="P575" t="str">
        <f>IFERROR(IF(VLOOKUP($B575,Показатели!$E:$W,13,FALSE)=0,"",VLOOKUP($B575,Показатели!$E:$W,13,FALSE)),"")</f>
        <v/>
      </c>
      <c r="Q575" t="str">
        <f>IFERROR(IF(VLOOKUP($B575,Показатели!$E:$W,14,FALSE)=0,"",VLOOKUP($B575,Показатели!$E:$W,14,FALSE)),"")</f>
        <v/>
      </c>
      <c r="R575" t="str">
        <f>IFERROR(IF(VLOOKUP($B575,Показатели!$E:$W,15,FALSE)=0,"",VLOOKUP($B575,Показатели!$E:$W,15,FALSE)),"")</f>
        <v/>
      </c>
      <c r="S575" t="str">
        <f>IFERROR(IF(VLOOKUP($B575,Показатели!$E:$W,16,FALSE)=0,"",VLOOKUP($B575,Показатели!$E:$W,16,FALSE)),"")</f>
        <v/>
      </c>
      <c r="T575" t="str">
        <f>IFERROR(IF(VLOOKUP($B575,Показатели!$E:$W,17,FALSE)=0,"",VLOOKUP($B575,Показатели!$E:$W,17,FALSE)),"")</f>
        <v/>
      </c>
      <c r="U575" t="str">
        <f>IFERROR(IF(VLOOKUP($B575,Показатели!$E:$W,18,FALSE)=0,"",VLOOKUP($B575,Показатели!$E:$W,18,FALSE)),"")</f>
        <v/>
      </c>
      <c r="V575" t="str">
        <f>IFERROR(IF(VLOOKUP($B575,Показатели!$E:$W,19,FALSE)=0,"",VLOOKUP($B575,Показатели!$E:$W,19,FALSE)),"")</f>
        <v/>
      </c>
    </row>
    <row r="576" spans="1:22" x14ac:dyDescent="0.2">
      <c r="A576" s="7" t="s">
        <v>2317</v>
      </c>
      <c r="B576" t="str">
        <f t="shared" si="8"/>
        <v>FIXR IV кв. 2011</v>
      </c>
      <c r="C576">
        <v>2011</v>
      </c>
      <c r="D576">
        <f>SUMIFS(Дивиденды!$C:$C,Дивиденды!$A:$A,A576,Дивиденды!$I:$I,C576)</f>
        <v>0</v>
      </c>
      <c r="E576" t="str">
        <f>IFERROR(IF(VLOOKUP($B576,Показатели!$E:$W,2,FALSE)=0,"",VLOOKUP($B576,Показатели!$E:$W,2,FALSE)),"")</f>
        <v/>
      </c>
      <c r="F576" t="str">
        <f>IFERROR(IF(VLOOKUP($B576,Показатели!$E:$W,3,FALSE)=0,"",VLOOKUP($B576,Показатели!$E:$W,3,FALSE)),"")</f>
        <v/>
      </c>
      <c r="G576" t="str">
        <f>IFERROR(IF(VLOOKUP($B576,Показатели!$E:$W,4,FALSE)=0,"",VLOOKUP($B576,Показатели!$E:$W,4,FALSE)),"")</f>
        <v/>
      </c>
      <c r="H576" t="str">
        <f>IFERROR(IF(VLOOKUP($B576,Показатели!$E:$W,5,FALSE)=0,"",VLOOKUP($B576,Показатели!$E:$W,5,FALSE)),"")</f>
        <v/>
      </c>
      <c r="I576" t="str">
        <f>IFERROR(IF(VLOOKUP($B576,Показатели!$E:$W,6,FALSE)=0,"",VLOOKUP($B576,Показатели!$E:$W,6,FALSE)),"")</f>
        <v/>
      </c>
      <c r="J576" t="str">
        <f>IFERROR(IF(VLOOKUP($B576,Показатели!$E:$W,7,FALSE)=0,"",VLOOKUP($B576,Показатели!$E:$W,7,FALSE)),"")</f>
        <v/>
      </c>
      <c r="K576" t="str">
        <f>IFERROR(IF(VLOOKUP($B576,Показатели!$E:$W,8,FALSE)=0,"",VLOOKUP($B576,Показатели!$E:$W,8,FALSE)),"")</f>
        <v/>
      </c>
      <c r="L576" t="str">
        <f>IFERROR(IF(VLOOKUP($B576,Показатели!$E:$W,9,FALSE)=0,"",VLOOKUP($B576,Показатели!$E:$W,9,FALSE)),"")</f>
        <v/>
      </c>
      <c r="M576" t="str">
        <f>IFERROR(IF(VLOOKUP($B576,Показатели!$E:$W,10,FALSE)=0,"",VLOOKUP($B576,Показатели!$E:$W,10,FALSE)),"")</f>
        <v/>
      </c>
      <c r="N576" t="str">
        <f>IFERROR(IF(VLOOKUP($B576,Показатели!$E:$W,11,FALSE)=0,"",VLOOKUP($B576,Показатели!$E:$W,11,FALSE)),"")</f>
        <v/>
      </c>
      <c r="O576" t="str">
        <f>IFERROR(IF(VLOOKUP($B576,Показатели!$E:$W,12,FALSE)=0,"",VLOOKUP($B576,Показатели!$E:$W,12,FALSE)),"")</f>
        <v/>
      </c>
      <c r="P576" t="str">
        <f>IFERROR(IF(VLOOKUP($B576,Показатели!$E:$W,13,FALSE)=0,"",VLOOKUP($B576,Показатели!$E:$W,13,FALSE)),"")</f>
        <v/>
      </c>
      <c r="Q576" t="str">
        <f>IFERROR(IF(VLOOKUP($B576,Показатели!$E:$W,14,FALSE)=0,"",VLOOKUP($B576,Показатели!$E:$W,14,FALSE)),"")</f>
        <v/>
      </c>
      <c r="R576" t="str">
        <f>IFERROR(IF(VLOOKUP($B576,Показатели!$E:$W,15,FALSE)=0,"",VLOOKUP($B576,Показатели!$E:$W,15,FALSE)),"")</f>
        <v/>
      </c>
      <c r="S576" t="str">
        <f>IFERROR(IF(VLOOKUP($B576,Показатели!$E:$W,16,FALSE)=0,"",VLOOKUP($B576,Показатели!$E:$W,16,FALSE)),"")</f>
        <v/>
      </c>
      <c r="T576" t="str">
        <f>IFERROR(IF(VLOOKUP($B576,Показатели!$E:$W,17,FALSE)=0,"",VLOOKUP($B576,Показатели!$E:$W,17,FALSE)),"")</f>
        <v/>
      </c>
      <c r="U576" t="str">
        <f>IFERROR(IF(VLOOKUP($B576,Показатели!$E:$W,18,FALSE)=0,"",VLOOKUP($B576,Показатели!$E:$W,18,FALSE)),"")</f>
        <v/>
      </c>
      <c r="V576" t="str">
        <f>IFERROR(IF(VLOOKUP($B576,Показатели!$E:$W,19,FALSE)=0,"",VLOOKUP($B576,Показатели!$E:$W,19,FALSE)),"")</f>
        <v/>
      </c>
    </row>
    <row r="577" spans="1:22" x14ac:dyDescent="0.2">
      <c r="A577" s="7" t="s">
        <v>2317</v>
      </c>
      <c r="B577" t="str">
        <f t="shared" si="8"/>
        <v>FIXR IV кв. 2010</v>
      </c>
      <c r="C577">
        <v>2010</v>
      </c>
      <c r="D577">
        <f>SUMIFS(Дивиденды!$C:$C,Дивиденды!$A:$A,A577,Дивиденды!$I:$I,C577)</f>
        <v>0</v>
      </c>
      <c r="E577" t="str">
        <f>IFERROR(IF(VLOOKUP($B577,Показатели!$E:$W,2,FALSE)=0,"",VLOOKUP($B577,Показатели!$E:$W,2,FALSE)),"")</f>
        <v/>
      </c>
      <c r="F577" t="str">
        <f>IFERROR(IF(VLOOKUP($B577,Показатели!$E:$W,3,FALSE)=0,"",VLOOKUP($B577,Показатели!$E:$W,3,FALSE)),"")</f>
        <v/>
      </c>
      <c r="G577" t="str">
        <f>IFERROR(IF(VLOOKUP($B577,Показатели!$E:$W,4,FALSE)=0,"",VLOOKUP($B577,Показатели!$E:$W,4,FALSE)),"")</f>
        <v/>
      </c>
      <c r="H577" t="str">
        <f>IFERROR(IF(VLOOKUP($B577,Показатели!$E:$W,5,FALSE)=0,"",VLOOKUP($B577,Показатели!$E:$W,5,FALSE)),"")</f>
        <v/>
      </c>
      <c r="I577" t="str">
        <f>IFERROR(IF(VLOOKUP($B577,Показатели!$E:$W,6,FALSE)=0,"",VLOOKUP($B577,Показатели!$E:$W,6,FALSE)),"")</f>
        <v/>
      </c>
      <c r="J577" t="str">
        <f>IFERROR(IF(VLOOKUP($B577,Показатели!$E:$W,7,FALSE)=0,"",VLOOKUP($B577,Показатели!$E:$W,7,FALSE)),"")</f>
        <v/>
      </c>
      <c r="K577" t="str">
        <f>IFERROR(IF(VLOOKUP($B577,Показатели!$E:$W,8,FALSE)=0,"",VLOOKUP($B577,Показатели!$E:$W,8,FALSE)),"")</f>
        <v/>
      </c>
      <c r="L577" t="str">
        <f>IFERROR(IF(VLOOKUP($B577,Показатели!$E:$W,9,FALSE)=0,"",VLOOKUP($B577,Показатели!$E:$W,9,FALSE)),"")</f>
        <v/>
      </c>
      <c r="M577" t="str">
        <f>IFERROR(IF(VLOOKUP($B577,Показатели!$E:$W,10,FALSE)=0,"",VLOOKUP($B577,Показатели!$E:$W,10,FALSE)),"")</f>
        <v/>
      </c>
      <c r="N577" t="str">
        <f>IFERROR(IF(VLOOKUP($B577,Показатели!$E:$W,11,FALSE)=0,"",VLOOKUP($B577,Показатели!$E:$W,11,FALSE)),"")</f>
        <v/>
      </c>
      <c r="O577" t="str">
        <f>IFERROR(IF(VLOOKUP($B577,Показатели!$E:$W,12,FALSE)=0,"",VLOOKUP($B577,Показатели!$E:$W,12,FALSE)),"")</f>
        <v/>
      </c>
      <c r="P577" t="str">
        <f>IFERROR(IF(VLOOKUP($B577,Показатели!$E:$W,13,FALSE)=0,"",VLOOKUP($B577,Показатели!$E:$W,13,FALSE)),"")</f>
        <v/>
      </c>
      <c r="Q577" t="str">
        <f>IFERROR(IF(VLOOKUP($B577,Показатели!$E:$W,14,FALSE)=0,"",VLOOKUP($B577,Показатели!$E:$W,14,FALSE)),"")</f>
        <v/>
      </c>
      <c r="R577" t="str">
        <f>IFERROR(IF(VLOOKUP($B577,Показатели!$E:$W,15,FALSE)=0,"",VLOOKUP($B577,Показатели!$E:$W,15,FALSE)),"")</f>
        <v/>
      </c>
      <c r="S577" t="str">
        <f>IFERROR(IF(VLOOKUP($B577,Показатели!$E:$W,16,FALSE)=0,"",VLOOKUP($B577,Показатели!$E:$W,16,FALSE)),"")</f>
        <v/>
      </c>
      <c r="T577" t="str">
        <f>IFERROR(IF(VLOOKUP($B577,Показатели!$E:$W,17,FALSE)=0,"",VLOOKUP($B577,Показатели!$E:$W,17,FALSE)),"")</f>
        <v/>
      </c>
      <c r="U577" t="str">
        <f>IFERROR(IF(VLOOKUP($B577,Показатели!$E:$W,18,FALSE)=0,"",VLOOKUP($B577,Показатели!$E:$W,18,FALSE)),"")</f>
        <v/>
      </c>
      <c r="V577" t="str">
        <f>IFERROR(IF(VLOOKUP($B577,Показатели!$E:$W,19,FALSE)=0,"",VLOOKUP($B577,Показатели!$E:$W,19,FALSE)),"")</f>
        <v/>
      </c>
    </row>
    <row r="578" spans="1:22" x14ac:dyDescent="0.2">
      <c r="A578" s="7" t="s">
        <v>2252</v>
      </c>
      <c r="B578" t="str">
        <f t="shared" si="8"/>
        <v>HNFG IV кв. 2025</v>
      </c>
      <c r="C578">
        <v>2025</v>
      </c>
      <c r="D578">
        <f>SUMIFS(Дивиденды!$C:$C,Дивиденды!$A:$A,A578,Дивиденды!$I:$I,C578)</f>
        <v>32</v>
      </c>
      <c r="E578" t="str">
        <f>IFERROR(IF(VLOOKUP($B578,Показатели!$E:$W,2,FALSE)=0,"",VLOOKUP($B578,Показатели!$E:$W,2,FALSE)),"")</f>
        <v/>
      </c>
      <c r="F578" t="str">
        <f>IFERROR(IF(VLOOKUP($B578,Показатели!$E:$W,3,FALSE)=0,"",VLOOKUP($B578,Показатели!$E:$W,3,FALSE)),"")</f>
        <v/>
      </c>
      <c r="G578" t="str">
        <f>IFERROR(IF(VLOOKUP($B578,Показатели!$E:$W,4,FALSE)=0,"",VLOOKUP($B578,Показатели!$E:$W,4,FALSE)),"")</f>
        <v/>
      </c>
      <c r="H578" t="str">
        <f>IFERROR(IF(VLOOKUP($B578,Показатели!$E:$W,5,FALSE)=0,"",VLOOKUP($B578,Показатели!$E:$W,5,FALSE)),"")</f>
        <v/>
      </c>
      <c r="I578" t="str">
        <f>IFERROR(IF(VLOOKUP($B578,Показатели!$E:$W,6,FALSE)=0,"",VLOOKUP($B578,Показатели!$E:$W,6,FALSE)),"")</f>
        <v/>
      </c>
      <c r="J578" t="str">
        <f>IFERROR(IF(VLOOKUP($B578,Показатели!$E:$W,7,FALSE)=0,"",VLOOKUP($B578,Показатели!$E:$W,7,FALSE)),"")</f>
        <v/>
      </c>
      <c r="K578" t="str">
        <f>IFERROR(IF(VLOOKUP($B578,Показатели!$E:$W,8,FALSE)=0,"",VLOOKUP($B578,Показатели!$E:$W,8,FALSE)),"")</f>
        <v/>
      </c>
      <c r="L578" t="str">
        <f>IFERROR(IF(VLOOKUP($B578,Показатели!$E:$W,9,FALSE)=0,"",VLOOKUP($B578,Показатели!$E:$W,9,FALSE)),"")</f>
        <v/>
      </c>
      <c r="M578" t="str">
        <f>IFERROR(IF(VLOOKUP($B578,Показатели!$E:$W,10,FALSE)=0,"",VLOOKUP($B578,Показатели!$E:$W,10,FALSE)),"")</f>
        <v/>
      </c>
      <c r="N578" t="str">
        <f>IFERROR(IF(VLOOKUP($B578,Показатели!$E:$W,11,FALSE)=0,"",VLOOKUP($B578,Показатели!$E:$W,11,FALSE)),"")</f>
        <v/>
      </c>
      <c r="O578" t="str">
        <f>IFERROR(IF(VLOOKUP($B578,Показатели!$E:$W,12,FALSE)=0,"",VLOOKUP($B578,Показатели!$E:$W,12,FALSE)),"")</f>
        <v/>
      </c>
      <c r="P578" t="str">
        <f>IFERROR(IF(VLOOKUP($B578,Показатели!$E:$W,13,FALSE)=0,"",VLOOKUP($B578,Показатели!$E:$W,13,FALSE)),"")</f>
        <v/>
      </c>
      <c r="Q578" t="str">
        <f>IFERROR(IF(VLOOKUP($B578,Показатели!$E:$W,14,FALSE)=0,"",VLOOKUP($B578,Показатели!$E:$W,14,FALSE)),"")</f>
        <v/>
      </c>
      <c r="R578" t="str">
        <f>IFERROR(IF(VLOOKUP($B578,Показатели!$E:$W,15,FALSE)=0,"",VLOOKUP($B578,Показатели!$E:$W,15,FALSE)),"")</f>
        <v/>
      </c>
      <c r="S578" t="str">
        <f>IFERROR(IF(VLOOKUP($B578,Показатели!$E:$W,16,FALSE)=0,"",VLOOKUP($B578,Показатели!$E:$W,16,FALSE)),"")</f>
        <v/>
      </c>
      <c r="T578" t="str">
        <f>IFERROR(IF(VLOOKUP($B578,Показатели!$E:$W,17,FALSE)=0,"",VLOOKUP($B578,Показатели!$E:$W,17,FALSE)),"")</f>
        <v/>
      </c>
      <c r="U578" t="str">
        <f>IFERROR(IF(VLOOKUP($B578,Показатели!$E:$W,18,FALSE)=0,"",VLOOKUP($B578,Показатели!$E:$W,18,FALSE)),"")</f>
        <v/>
      </c>
      <c r="V578" t="str">
        <f>IFERROR(IF(VLOOKUP($B578,Показатели!$E:$W,19,FALSE)=0,"",VLOOKUP($B578,Показатели!$E:$W,19,FALSE)),"")</f>
        <v/>
      </c>
    </row>
    <row r="579" spans="1:22" x14ac:dyDescent="0.2">
      <c r="A579" s="7" t="s">
        <v>2252</v>
      </c>
      <c r="B579" t="str">
        <f t="shared" ref="B579:B642" si="9">A579&amp;" "&amp;
"IV"
&amp;" кв. "&amp;C579</f>
        <v>HNFG IV кв. 2024</v>
      </c>
      <c r="C579">
        <v>2024</v>
      </c>
      <c r="D579">
        <f>SUMIFS(Дивиденды!$C:$C,Дивиденды!$A:$A,A579,Дивиденды!$I:$I,C579)</f>
        <v>39.619999999999997</v>
      </c>
      <c r="E579">
        <f>IFERROR(IF(VLOOKUP($B579,Показатели!$E:$W,2,FALSE)=0,"",VLOOKUP($B579,Показатели!$E:$W,2,FALSE)),"")</f>
        <v>1562946000</v>
      </c>
      <c r="F579">
        <f>IFERROR(IF(VLOOKUP($B579,Показатели!$E:$W,3,FALSE)=0,"",VLOOKUP($B579,Показатели!$E:$W,3,FALSE)),"")</f>
        <v>8794951000</v>
      </c>
      <c r="G579">
        <f>IFERROR(IF(VLOOKUP($B579,Показатели!$E:$W,4,FALSE)=0,"",VLOOKUP($B579,Показатели!$E:$W,4,FALSE)),"")</f>
        <v>4022733000</v>
      </c>
      <c r="H579">
        <f>IFERROR(IF(VLOOKUP($B579,Показатели!$E:$W,5,FALSE)=0,"",VLOOKUP($B579,Показатели!$E:$W,5,FALSE)),"")</f>
        <v>2434566000</v>
      </c>
      <c r="I579">
        <f>IFERROR(IF(VLOOKUP($B579,Показатели!$E:$W,6,FALSE)=0,"",VLOOKUP($B579,Показатели!$E:$W,6,FALSE)),"")</f>
        <v>22564402000</v>
      </c>
      <c r="J579">
        <f>IFERROR(IF(VLOOKUP($B579,Показатели!$E:$W,7,FALSE)=0,"",VLOOKUP($B579,Показатели!$E:$W,7,FALSE)),"")</f>
        <v>6486741000</v>
      </c>
      <c r="K579">
        <f>IFERROR(IF(VLOOKUP($B579,Показатели!$E:$W,8,FALSE)=0,"",VLOOKUP($B579,Показатели!$E:$W,8,FALSE)),"")</f>
        <v>7145489000</v>
      </c>
      <c r="L579">
        <f>IFERROR(IF(VLOOKUP($B579,Показатели!$E:$W,9,FALSE)=0,"",VLOOKUP($B579,Показатели!$E:$W,9,FALSE)),"")</f>
        <v>4431761000</v>
      </c>
      <c r="M579">
        <f>IFERROR(IF(VLOOKUP($B579,Показатели!$E:$W,10,FALSE)=0,"",VLOOKUP($B579,Показатели!$E:$W,10,FALSE)),"")</f>
        <v>8932172000</v>
      </c>
      <c r="N579">
        <f>IFERROR(IF(VLOOKUP($B579,Показатели!$E:$W,11,FALSE)=0,"",VLOOKUP($B579,Показатели!$E:$W,11,FALSE)),"")</f>
        <v>20839998000</v>
      </c>
      <c r="O579">
        <f>IFERROR(IF(VLOOKUP($B579,Показатели!$E:$W,12,FALSE)=0,"",VLOOKUP($B579,Показатели!$E:$W,12,FALSE)),"")</f>
        <v>5335995000</v>
      </c>
      <c r="P579">
        <f>IFERROR(IF(VLOOKUP($B579,Показатели!$E:$W,13,FALSE)=0,"",VLOOKUP($B579,Показатели!$E:$W,13,FALSE)),"")</f>
        <v>3759011000</v>
      </c>
      <c r="Q579">
        <f>IFERROR(IF(VLOOKUP($B579,Показатели!$E:$W,14,FALSE)=0,"",VLOOKUP($B579,Показатели!$E:$W,14,FALSE)),"")</f>
        <v>3049669000</v>
      </c>
      <c r="R579">
        <f>IFERROR(IF(VLOOKUP($B579,Показатели!$E:$W,15,FALSE)=0,"",VLOOKUP($B579,Показатели!$E:$W,15,FALSE)),"")</f>
        <v>2586339000</v>
      </c>
      <c r="S579">
        <f>IFERROR(IF(VLOOKUP($B579,Показатели!$E:$W,16,FALSE)=0,"",VLOOKUP($B579,Показатели!$E:$W,16,FALSE)),"")</f>
        <v>7809416000</v>
      </c>
      <c r="T579">
        <f>IFERROR(IF(VLOOKUP($B579,Показатели!$E:$W,17,FALSE)=0,"",VLOOKUP($B579,Показатели!$E:$W,17,FALSE)),"")</f>
        <v>-1929888000</v>
      </c>
      <c r="U579">
        <f>IFERROR(IF(VLOOKUP($B579,Показатели!$E:$W,18,FALSE)=0,"",VLOOKUP($B579,Показатели!$E:$W,18,FALSE)),"")</f>
        <v>16762043000</v>
      </c>
      <c r="V579">
        <f>IFERROR(IF(VLOOKUP($B579,Показатели!$E:$W,19,FALSE)=0,"",VLOOKUP($B579,Показатели!$E:$W,19,FALSE)),"")</f>
        <v>20078216000</v>
      </c>
    </row>
    <row r="580" spans="1:22" x14ac:dyDescent="0.2">
      <c r="A580" s="7" t="s">
        <v>2252</v>
      </c>
      <c r="B580" t="str">
        <f t="shared" si="9"/>
        <v>HNFG IV кв. 2023</v>
      </c>
      <c r="C580">
        <v>2023</v>
      </c>
      <c r="D580">
        <f>SUMIFS(Дивиденды!$C:$C,Дивиденды!$A:$A,A580,Дивиденды!$I:$I,C580)</f>
        <v>8.3800000000000008</v>
      </c>
      <c r="E580">
        <f>IFERROR(IF(VLOOKUP($B580,Показатели!$E:$W,2,FALSE)=0,"",VLOOKUP($B580,Показатели!$E:$W,2,FALSE)),"")</f>
        <v>2574878000</v>
      </c>
      <c r="F580">
        <f>IFERROR(IF(VLOOKUP($B580,Показатели!$E:$W,3,FALSE)=0,"",VLOOKUP($B580,Показатели!$E:$W,3,FALSE)),"")</f>
        <v>7848809000</v>
      </c>
      <c r="G580">
        <f>IFERROR(IF(VLOOKUP($B580,Показатели!$E:$W,4,FALSE)=0,"",VLOOKUP($B580,Показатели!$E:$W,4,FALSE)),"")</f>
        <v>2963217000</v>
      </c>
      <c r="H580">
        <f>IFERROR(IF(VLOOKUP($B580,Показатели!$E:$W,5,FALSE)=0,"",VLOOKUP($B580,Показатели!$E:$W,5,FALSE)),"")</f>
        <v>2489089000</v>
      </c>
      <c r="I580">
        <f>IFERROR(IF(VLOOKUP($B580,Показатели!$E:$W,6,FALSE)=0,"",VLOOKUP($B580,Показатели!$E:$W,6,FALSE)),"")</f>
        <v>20078216000</v>
      </c>
      <c r="J580">
        <f>IFERROR(IF(VLOOKUP($B580,Показатели!$E:$W,7,FALSE)=0,"",VLOOKUP($B580,Показатели!$E:$W,7,FALSE)),"")</f>
        <v>5267368000</v>
      </c>
      <c r="K580">
        <f>IFERROR(IF(VLOOKUP($B580,Показатели!$E:$W,8,FALSE)=0,"",VLOOKUP($B580,Показатели!$E:$W,8,FALSE)),"")</f>
        <v>7002422000</v>
      </c>
      <c r="L580">
        <f>IFERROR(IF(VLOOKUP($B580,Показатели!$E:$W,9,FALSE)=0,"",VLOOKUP($B580,Показатели!$E:$W,9,FALSE)),"")</f>
        <v>3315952000</v>
      </c>
      <c r="M580">
        <f>IFERROR(IF(VLOOKUP($B580,Показатели!$E:$W,10,FALSE)=0,"",VLOOKUP($B580,Показатели!$E:$W,10,FALSE)),"")</f>
        <v>7808426000</v>
      </c>
      <c r="N580">
        <f>IFERROR(IF(VLOOKUP($B580,Показатели!$E:$W,11,FALSE)=0,"",VLOOKUP($B580,Показатели!$E:$W,11,FALSE)),"")</f>
        <v>16762043000</v>
      </c>
      <c r="O580">
        <f>IFERROR(IF(VLOOKUP($B580,Показатели!$E:$W,12,FALSE)=0,"",VLOOKUP($B580,Показатели!$E:$W,12,FALSE)),"")</f>
        <v>4557480000</v>
      </c>
      <c r="P580">
        <f>IFERROR(IF(VLOOKUP($B580,Показатели!$E:$W,13,FALSE)=0,"",VLOOKUP($B580,Показатели!$E:$W,13,FALSE)),"")</f>
        <v>3017051000</v>
      </c>
      <c r="Q580">
        <f>IFERROR(IF(VLOOKUP($B580,Показатели!$E:$W,14,FALSE)=0,"",VLOOKUP($B580,Показатели!$E:$W,14,FALSE)),"")</f>
        <v>2351930000</v>
      </c>
      <c r="R580">
        <f>IFERROR(IF(VLOOKUP($B580,Показатели!$E:$W,15,FALSE)=0,"",VLOOKUP($B580,Показатели!$E:$W,15,FALSE)),"")</f>
        <v>2214335000</v>
      </c>
      <c r="S580">
        <f>IFERROR(IF(VLOOKUP($B580,Показатели!$E:$W,16,FALSE)=0,"",VLOOKUP($B580,Показатели!$E:$W,16,FALSE)),"")</f>
        <v>6568894000</v>
      </c>
      <c r="T580">
        <f>IFERROR(IF(VLOOKUP($B580,Показатели!$E:$W,17,FALSE)=0,"",VLOOKUP($B580,Показатели!$E:$W,17,FALSE)),"")</f>
        <v>-1356407000</v>
      </c>
      <c r="U580">
        <f>IFERROR(IF(VLOOKUP($B580,Показатели!$E:$W,18,FALSE)=0,"",VLOOKUP($B580,Показатели!$E:$W,18,FALSE)),"")</f>
        <v>12432544000</v>
      </c>
      <c r="V580">
        <f>IFERROR(IF(VLOOKUP($B580,Показатели!$E:$W,19,FALSE)=0,"",VLOOKUP($B580,Показатели!$E:$W,19,FALSE)),"")</f>
        <v>14418595000</v>
      </c>
    </row>
    <row r="581" spans="1:22" x14ac:dyDescent="0.2">
      <c r="A581" s="7" t="s">
        <v>2252</v>
      </c>
      <c r="B581" t="str">
        <f t="shared" si="9"/>
        <v>HNFG IV кв. 2022</v>
      </c>
      <c r="C581">
        <v>2022</v>
      </c>
      <c r="D581">
        <f>SUMIFS(Дивиденды!$C:$C,Дивиденды!$A:$A,A581,Дивиденды!$I:$I,C581)</f>
        <v>0</v>
      </c>
      <c r="E581">
        <f>IFERROR(IF(VLOOKUP($B581,Показатели!$E:$W,2,FALSE)=0,"",VLOOKUP($B581,Показатели!$E:$W,2,FALSE)),"")</f>
        <v>562126000</v>
      </c>
      <c r="F581">
        <f>IFERROR(IF(VLOOKUP($B581,Показатели!$E:$W,3,FALSE)=0,"",VLOOKUP($B581,Показатели!$E:$W,3,FALSE)),"")</f>
        <v>4121041000</v>
      </c>
      <c r="G581">
        <f>IFERROR(IF(VLOOKUP($B581,Показатели!$E:$W,4,FALSE)=0,"",VLOOKUP($B581,Показатели!$E:$W,4,FALSE)),"")</f>
        <v>2189619000</v>
      </c>
      <c r="H581">
        <f>IFERROR(IF(VLOOKUP($B581,Показатели!$E:$W,5,FALSE)=0,"",VLOOKUP($B581,Показатели!$E:$W,5,FALSE)),"")</f>
        <v>2659527000</v>
      </c>
      <c r="I581">
        <f>IFERROR(IF(VLOOKUP($B581,Показатели!$E:$W,6,FALSE)=0,"",VLOOKUP($B581,Показатели!$E:$W,6,FALSE)),"")</f>
        <v>14418595000</v>
      </c>
      <c r="J581">
        <f>IFERROR(IF(VLOOKUP($B581,Показатели!$E:$W,7,FALSE)=0,"",VLOOKUP($B581,Показатели!$E:$W,7,FALSE)),"")</f>
        <v>4722394000</v>
      </c>
      <c r="K581">
        <f>IFERROR(IF(VLOOKUP($B581,Показатели!$E:$W,8,FALSE)=0,"",VLOOKUP($B581,Показатели!$E:$W,8,FALSE)),"")</f>
        <v>6739200000</v>
      </c>
      <c r="L581">
        <f>IFERROR(IF(VLOOKUP($B581,Показатели!$E:$W,9,FALSE)=0,"",VLOOKUP($B581,Показатели!$E:$W,9,FALSE)),"")</f>
        <v>1128183000</v>
      </c>
      <c r="M581">
        <f>IFERROR(IF(VLOOKUP($B581,Показатели!$E:$W,10,FALSE)=0,"",VLOOKUP($B581,Показатели!$E:$W,10,FALSE)),"")</f>
        <v>2957001000</v>
      </c>
      <c r="N581">
        <f>IFERROR(IF(VLOOKUP($B581,Показатели!$E:$W,11,FALSE)=0,"",VLOOKUP($B581,Показатели!$E:$W,11,FALSE)),"")</f>
        <v>12432544000</v>
      </c>
      <c r="O581">
        <f>IFERROR(IF(VLOOKUP($B581,Показатели!$E:$W,12,FALSE)=0,"",VLOOKUP($B581,Показатели!$E:$W,12,FALSE)),"")</f>
        <v>3029031000</v>
      </c>
      <c r="P581">
        <f>IFERROR(IF(VLOOKUP($B581,Показатели!$E:$W,13,FALSE)=0,"",VLOOKUP($B581,Показатели!$E:$W,13,FALSE)),"")</f>
        <v>2297901000</v>
      </c>
      <c r="Q581">
        <f>IFERROR(IF(VLOOKUP($B581,Показатели!$E:$W,14,FALSE)=0,"",VLOOKUP($B581,Показатели!$E:$W,14,FALSE)),"")</f>
        <v>1831799000</v>
      </c>
      <c r="R581">
        <f>IFERROR(IF(VLOOKUP($B581,Показатели!$E:$W,15,FALSE)=0,"",VLOOKUP($B581,Показатели!$E:$W,15,FALSE)),"")</f>
        <v>1788522000</v>
      </c>
      <c r="S581" t="str">
        <f>IFERROR(IF(VLOOKUP($B581,Показатели!$E:$W,16,FALSE)=0,"",VLOOKUP($B581,Показатели!$E:$W,16,FALSE)),"")</f>
        <v/>
      </c>
      <c r="T581">
        <f>IFERROR(IF(VLOOKUP($B581,Показатели!$E:$W,17,FALSE)=0,"",VLOOKUP($B581,Показатели!$E:$W,17,FALSE)),"")</f>
        <v>-1945071000</v>
      </c>
      <c r="U581">
        <f>IFERROR(IF(VLOOKUP($B581,Показатели!$E:$W,18,FALSE)=0,"",VLOOKUP($B581,Показатели!$E:$W,18,FALSE)),"")</f>
        <v>9521805000</v>
      </c>
      <c r="V581">
        <f>IFERROR(IF(VLOOKUP($B581,Показатели!$E:$W,19,FALSE)=0,"",VLOOKUP($B581,Показатели!$E:$W,19,FALSE)),"")</f>
        <v>9639519000</v>
      </c>
    </row>
    <row r="582" spans="1:22" x14ac:dyDescent="0.2">
      <c r="A582" s="7" t="s">
        <v>2252</v>
      </c>
      <c r="B582" t="str">
        <f t="shared" si="9"/>
        <v>HNFG IV кв. 2021</v>
      </c>
      <c r="C582">
        <v>2021</v>
      </c>
      <c r="D582">
        <f>SUMIFS(Дивиденды!$C:$C,Дивиденды!$A:$A,A582,Дивиденды!$I:$I,C582)</f>
        <v>0</v>
      </c>
      <c r="E582">
        <f>IFERROR(IF(VLOOKUP($B582,Показатели!$E:$W,2,FALSE)=0,"",VLOOKUP($B582,Показатели!$E:$W,2,FALSE)),"")</f>
        <v>13877000</v>
      </c>
      <c r="F582">
        <f>IFERROR(IF(VLOOKUP($B582,Показатели!$E:$W,3,FALSE)=0,"",VLOOKUP($B582,Показатели!$E:$W,3,FALSE)),"")</f>
        <v>3426874000</v>
      </c>
      <c r="G582">
        <f>IFERROR(IF(VLOOKUP($B582,Показатели!$E:$W,4,FALSE)=0,"",VLOOKUP($B582,Показатели!$E:$W,4,FALSE)),"")</f>
        <v>992524000</v>
      </c>
      <c r="H582">
        <f>IFERROR(IF(VLOOKUP($B582,Показатели!$E:$W,5,FALSE)=0,"",VLOOKUP($B582,Показатели!$E:$W,5,FALSE)),"")</f>
        <v>80565000</v>
      </c>
      <c r="I582">
        <f>IFERROR(IF(VLOOKUP($B582,Показатели!$E:$W,6,FALSE)=0,"",VLOOKUP($B582,Показатели!$E:$W,6,FALSE)),"")</f>
        <v>9639519000</v>
      </c>
      <c r="J582">
        <f>IFERROR(IF(VLOOKUP($B582,Показатели!$E:$W,7,FALSE)=0,"",VLOOKUP($B582,Показатели!$E:$W,7,FALSE)),"")</f>
        <v>4279033000</v>
      </c>
      <c r="K582">
        <f>IFERROR(IF(VLOOKUP($B582,Показатели!$E:$W,8,FALSE)=0,"",VLOOKUP($B582,Показатели!$E:$W,8,FALSE)),"")</f>
        <v>6373033000</v>
      </c>
      <c r="L582">
        <f>IFERROR(IF(VLOOKUP($B582,Показатели!$E:$W,9,FALSE)=0,"",VLOOKUP($B582,Показатели!$E:$W,9,FALSE)),"")</f>
        <v>1095484000</v>
      </c>
      <c r="M582">
        <f>IFERROR(IF(VLOOKUP($B582,Показатели!$E:$W,10,FALSE)=0,"",VLOOKUP($B582,Показатели!$E:$W,10,FALSE)),"")</f>
        <v>-1012547000</v>
      </c>
      <c r="N582">
        <f>IFERROR(IF(VLOOKUP($B582,Показатели!$E:$W,11,FALSE)=0,"",VLOOKUP($B582,Показатели!$E:$W,11,FALSE)),"")</f>
        <v>9521805000</v>
      </c>
      <c r="O582">
        <f>IFERROR(IF(VLOOKUP($B582,Показатели!$E:$W,12,FALSE)=0,"",VLOOKUP($B582,Показатели!$E:$W,12,FALSE)),"")</f>
        <v>1208749000</v>
      </c>
      <c r="P582">
        <f>IFERROR(IF(VLOOKUP($B582,Показатели!$E:$W,13,FALSE)=0,"",VLOOKUP($B582,Показатели!$E:$W,13,FALSE)),"")</f>
        <v>581211000</v>
      </c>
      <c r="Q582">
        <f>IFERROR(IF(VLOOKUP($B582,Показатели!$E:$W,14,FALSE)=0,"",VLOOKUP($B582,Показатели!$E:$W,14,FALSE)),"")</f>
        <v>456402000</v>
      </c>
      <c r="R582">
        <f>IFERROR(IF(VLOOKUP($B582,Показатели!$E:$W,15,FALSE)=0,"",VLOOKUP($B582,Показатели!$E:$W,15,FALSE)),"")</f>
        <v>1533325000</v>
      </c>
      <c r="S582" t="str">
        <f>IFERROR(IF(VLOOKUP($B582,Показатели!$E:$W,16,FALSE)=0,"",VLOOKUP($B582,Показатели!$E:$W,16,FALSE)),"")</f>
        <v/>
      </c>
      <c r="T582">
        <f>IFERROR(IF(VLOOKUP($B582,Показатели!$E:$W,17,FALSE)=0,"",VLOOKUP($B582,Показатели!$E:$W,17,FALSE)),"")</f>
        <v>-544515000</v>
      </c>
      <c r="U582" t="str">
        <f>IFERROR(IF(VLOOKUP($B582,Показатели!$E:$W,18,FALSE)=0,"",VLOOKUP($B582,Показатели!$E:$W,18,FALSE)),"")</f>
        <v/>
      </c>
      <c r="V582" t="str">
        <f>IFERROR(IF(VLOOKUP($B582,Показатели!$E:$W,19,FALSE)=0,"",VLOOKUP($B582,Показатели!$E:$W,19,FALSE)),"")</f>
        <v/>
      </c>
    </row>
    <row r="583" spans="1:22" x14ac:dyDescent="0.2">
      <c r="A583" s="7" t="s">
        <v>2252</v>
      </c>
      <c r="B583" t="str">
        <f t="shared" si="9"/>
        <v>HNFG IV кв. 2020</v>
      </c>
      <c r="C583">
        <v>2020</v>
      </c>
      <c r="D583">
        <f>SUMIFS(Дивиденды!$C:$C,Дивиденды!$A:$A,A583,Дивиденды!$I:$I,C583)</f>
        <v>0</v>
      </c>
      <c r="E583" t="str">
        <f>IFERROR(IF(VLOOKUP($B583,Показатели!$E:$W,2,FALSE)=0,"",VLOOKUP($B583,Показатели!$E:$W,2,FALSE)),"")</f>
        <v/>
      </c>
      <c r="F583" t="str">
        <f>IFERROR(IF(VLOOKUP($B583,Показатели!$E:$W,3,FALSE)=0,"",VLOOKUP($B583,Показатели!$E:$W,3,FALSE)),"")</f>
        <v/>
      </c>
      <c r="G583" t="str">
        <f>IFERROR(IF(VLOOKUP($B583,Показатели!$E:$W,4,FALSE)=0,"",VLOOKUP($B583,Показатели!$E:$W,4,FALSE)),"")</f>
        <v/>
      </c>
      <c r="H583" t="str">
        <f>IFERROR(IF(VLOOKUP($B583,Показатели!$E:$W,5,FALSE)=0,"",VLOOKUP($B583,Показатели!$E:$W,5,FALSE)),"")</f>
        <v/>
      </c>
      <c r="I583" t="str">
        <f>IFERROR(IF(VLOOKUP($B583,Показатели!$E:$W,6,FALSE)=0,"",VLOOKUP($B583,Показатели!$E:$W,6,FALSE)),"")</f>
        <v/>
      </c>
      <c r="J583" t="str">
        <f>IFERROR(IF(VLOOKUP($B583,Показатели!$E:$W,7,FALSE)=0,"",VLOOKUP($B583,Показатели!$E:$W,7,FALSE)),"")</f>
        <v/>
      </c>
      <c r="K583" t="str">
        <f>IFERROR(IF(VLOOKUP($B583,Показатели!$E:$W,8,FALSE)=0,"",VLOOKUP($B583,Показатели!$E:$W,8,FALSE)),"")</f>
        <v/>
      </c>
      <c r="L583" t="str">
        <f>IFERROR(IF(VLOOKUP($B583,Показатели!$E:$W,9,FALSE)=0,"",VLOOKUP($B583,Показатели!$E:$W,9,FALSE)),"")</f>
        <v/>
      </c>
      <c r="M583" t="str">
        <f>IFERROR(IF(VLOOKUP($B583,Показатели!$E:$W,10,FALSE)=0,"",VLOOKUP($B583,Показатели!$E:$W,10,FALSE)),"")</f>
        <v/>
      </c>
      <c r="N583" t="str">
        <f>IFERROR(IF(VLOOKUP($B583,Показатели!$E:$W,11,FALSE)=0,"",VLOOKUP($B583,Показатели!$E:$W,11,FALSE)),"")</f>
        <v/>
      </c>
      <c r="O583" t="str">
        <f>IFERROR(IF(VLOOKUP($B583,Показатели!$E:$W,12,FALSE)=0,"",VLOOKUP($B583,Показатели!$E:$W,12,FALSE)),"")</f>
        <v/>
      </c>
      <c r="P583" t="str">
        <f>IFERROR(IF(VLOOKUP($B583,Показатели!$E:$W,13,FALSE)=0,"",VLOOKUP($B583,Показатели!$E:$W,13,FALSE)),"")</f>
        <v/>
      </c>
      <c r="Q583" t="str">
        <f>IFERROR(IF(VLOOKUP($B583,Показатели!$E:$W,14,FALSE)=0,"",VLOOKUP($B583,Показатели!$E:$W,14,FALSE)),"")</f>
        <v/>
      </c>
      <c r="R583" t="str">
        <f>IFERROR(IF(VLOOKUP($B583,Показатели!$E:$W,15,FALSE)=0,"",VLOOKUP($B583,Показатели!$E:$W,15,FALSE)),"")</f>
        <v/>
      </c>
      <c r="S583" t="str">
        <f>IFERROR(IF(VLOOKUP($B583,Показатели!$E:$W,16,FALSE)=0,"",VLOOKUP($B583,Показатели!$E:$W,16,FALSE)),"")</f>
        <v/>
      </c>
      <c r="T583" t="str">
        <f>IFERROR(IF(VLOOKUP($B583,Показатели!$E:$W,17,FALSE)=0,"",VLOOKUP($B583,Показатели!$E:$W,17,FALSE)),"")</f>
        <v/>
      </c>
      <c r="U583" t="str">
        <f>IFERROR(IF(VLOOKUP($B583,Показатели!$E:$W,18,FALSE)=0,"",VLOOKUP($B583,Показатели!$E:$W,18,FALSE)),"")</f>
        <v/>
      </c>
      <c r="V583" t="str">
        <f>IFERROR(IF(VLOOKUP($B583,Показатели!$E:$W,19,FALSE)=0,"",VLOOKUP($B583,Показатели!$E:$W,19,FALSE)),"")</f>
        <v/>
      </c>
    </row>
    <row r="584" spans="1:22" x14ac:dyDescent="0.2">
      <c r="A584" s="7" t="s">
        <v>2252</v>
      </c>
      <c r="B584" t="str">
        <f t="shared" si="9"/>
        <v>HNFG IV кв. 2019</v>
      </c>
      <c r="C584">
        <v>2019</v>
      </c>
      <c r="D584">
        <f>SUMIFS(Дивиденды!$C:$C,Дивиденды!$A:$A,A584,Дивиденды!$I:$I,C584)</f>
        <v>0</v>
      </c>
      <c r="E584" t="str">
        <f>IFERROR(IF(VLOOKUP($B584,Показатели!$E:$W,2,FALSE)=0,"",VLOOKUP($B584,Показатели!$E:$W,2,FALSE)),"")</f>
        <v/>
      </c>
      <c r="F584" t="str">
        <f>IFERROR(IF(VLOOKUP($B584,Показатели!$E:$W,3,FALSE)=0,"",VLOOKUP($B584,Показатели!$E:$W,3,FALSE)),"")</f>
        <v/>
      </c>
      <c r="G584" t="str">
        <f>IFERROR(IF(VLOOKUP($B584,Показатели!$E:$W,4,FALSE)=0,"",VLOOKUP($B584,Показатели!$E:$W,4,FALSE)),"")</f>
        <v/>
      </c>
      <c r="H584" t="str">
        <f>IFERROR(IF(VLOOKUP($B584,Показатели!$E:$W,5,FALSE)=0,"",VLOOKUP($B584,Показатели!$E:$W,5,FALSE)),"")</f>
        <v/>
      </c>
      <c r="I584" t="str">
        <f>IFERROR(IF(VLOOKUP($B584,Показатели!$E:$W,6,FALSE)=0,"",VLOOKUP($B584,Показатели!$E:$W,6,FALSE)),"")</f>
        <v/>
      </c>
      <c r="J584" t="str">
        <f>IFERROR(IF(VLOOKUP($B584,Показатели!$E:$W,7,FALSE)=0,"",VLOOKUP($B584,Показатели!$E:$W,7,FALSE)),"")</f>
        <v/>
      </c>
      <c r="K584" t="str">
        <f>IFERROR(IF(VLOOKUP($B584,Показатели!$E:$W,8,FALSE)=0,"",VLOOKUP($B584,Показатели!$E:$W,8,FALSE)),"")</f>
        <v/>
      </c>
      <c r="L584" t="str">
        <f>IFERROR(IF(VLOOKUP($B584,Показатели!$E:$W,9,FALSE)=0,"",VLOOKUP($B584,Показатели!$E:$W,9,FALSE)),"")</f>
        <v/>
      </c>
      <c r="M584" t="str">
        <f>IFERROR(IF(VLOOKUP($B584,Показатели!$E:$W,10,FALSE)=0,"",VLOOKUP($B584,Показатели!$E:$W,10,FALSE)),"")</f>
        <v/>
      </c>
      <c r="N584" t="str">
        <f>IFERROR(IF(VLOOKUP($B584,Показатели!$E:$W,11,FALSE)=0,"",VLOOKUP($B584,Показатели!$E:$W,11,FALSE)),"")</f>
        <v/>
      </c>
      <c r="O584" t="str">
        <f>IFERROR(IF(VLOOKUP($B584,Показатели!$E:$W,12,FALSE)=0,"",VLOOKUP($B584,Показатели!$E:$W,12,FALSE)),"")</f>
        <v/>
      </c>
      <c r="P584" t="str">
        <f>IFERROR(IF(VLOOKUP($B584,Показатели!$E:$W,13,FALSE)=0,"",VLOOKUP($B584,Показатели!$E:$W,13,FALSE)),"")</f>
        <v/>
      </c>
      <c r="Q584" t="str">
        <f>IFERROR(IF(VLOOKUP($B584,Показатели!$E:$W,14,FALSE)=0,"",VLOOKUP($B584,Показатели!$E:$W,14,FALSE)),"")</f>
        <v/>
      </c>
      <c r="R584" t="str">
        <f>IFERROR(IF(VLOOKUP($B584,Показатели!$E:$W,15,FALSE)=0,"",VLOOKUP($B584,Показатели!$E:$W,15,FALSE)),"")</f>
        <v/>
      </c>
      <c r="S584" t="str">
        <f>IFERROR(IF(VLOOKUP($B584,Показатели!$E:$W,16,FALSE)=0,"",VLOOKUP($B584,Показатели!$E:$W,16,FALSE)),"")</f>
        <v/>
      </c>
      <c r="T584" t="str">
        <f>IFERROR(IF(VLOOKUP($B584,Показатели!$E:$W,17,FALSE)=0,"",VLOOKUP($B584,Показатели!$E:$W,17,FALSE)),"")</f>
        <v/>
      </c>
      <c r="U584" t="str">
        <f>IFERROR(IF(VLOOKUP($B584,Показатели!$E:$W,18,FALSE)=0,"",VLOOKUP($B584,Показатели!$E:$W,18,FALSE)),"")</f>
        <v/>
      </c>
      <c r="V584" t="str">
        <f>IFERROR(IF(VLOOKUP($B584,Показатели!$E:$W,19,FALSE)=0,"",VLOOKUP($B584,Показатели!$E:$W,19,FALSE)),"")</f>
        <v/>
      </c>
    </row>
    <row r="585" spans="1:22" x14ac:dyDescent="0.2">
      <c r="A585" s="7" t="s">
        <v>2252</v>
      </c>
      <c r="B585" t="str">
        <f t="shared" si="9"/>
        <v>HNFG IV кв. 2018</v>
      </c>
      <c r="C585">
        <v>2018</v>
      </c>
      <c r="D585">
        <f>SUMIFS(Дивиденды!$C:$C,Дивиденды!$A:$A,A585,Дивиденды!$I:$I,C585)</f>
        <v>0</v>
      </c>
      <c r="E585" t="str">
        <f>IFERROR(IF(VLOOKUP($B585,Показатели!$E:$W,2,FALSE)=0,"",VLOOKUP($B585,Показатели!$E:$W,2,FALSE)),"")</f>
        <v/>
      </c>
      <c r="F585" t="str">
        <f>IFERROR(IF(VLOOKUP($B585,Показатели!$E:$W,3,FALSE)=0,"",VLOOKUP($B585,Показатели!$E:$W,3,FALSE)),"")</f>
        <v/>
      </c>
      <c r="G585" t="str">
        <f>IFERROR(IF(VLOOKUP($B585,Показатели!$E:$W,4,FALSE)=0,"",VLOOKUP($B585,Показатели!$E:$W,4,FALSE)),"")</f>
        <v/>
      </c>
      <c r="H585" t="str">
        <f>IFERROR(IF(VLOOKUP($B585,Показатели!$E:$W,5,FALSE)=0,"",VLOOKUP($B585,Показатели!$E:$W,5,FALSE)),"")</f>
        <v/>
      </c>
      <c r="I585" t="str">
        <f>IFERROR(IF(VLOOKUP($B585,Показатели!$E:$W,6,FALSE)=0,"",VLOOKUP($B585,Показатели!$E:$W,6,FALSE)),"")</f>
        <v/>
      </c>
      <c r="J585" t="str">
        <f>IFERROR(IF(VLOOKUP($B585,Показатели!$E:$W,7,FALSE)=0,"",VLOOKUP($B585,Показатели!$E:$W,7,FALSE)),"")</f>
        <v/>
      </c>
      <c r="K585" t="str">
        <f>IFERROR(IF(VLOOKUP($B585,Показатели!$E:$W,8,FALSE)=0,"",VLOOKUP($B585,Показатели!$E:$W,8,FALSE)),"")</f>
        <v/>
      </c>
      <c r="L585" t="str">
        <f>IFERROR(IF(VLOOKUP($B585,Показатели!$E:$W,9,FALSE)=0,"",VLOOKUP($B585,Показатели!$E:$W,9,FALSE)),"")</f>
        <v/>
      </c>
      <c r="M585" t="str">
        <f>IFERROR(IF(VLOOKUP($B585,Показатели!$E:$W,10,FALSE)=0,"",VLOOKUP($B585,Показатели!$E:$W,10,FALSE)),"")</f>
        <v/>
      </c>
      <c r="N585" t="str">
        <f>IFERROR(IF(VLOOKUP($B585,Показатели!$E:$W,11,FALSE)=0,"",VLOOKUP($B585,Показатели!$E:$W,11,FALSE)),"")</f>
        <v/>
      </c>
      <c r="O585" t="str">
        <f>IFERROR(IF(VLOOKUP($B585,Показатели!$E:$W,12,FALSE)=0,"",VLOOKUP($B585,Показатели!$E:$W,12,FALSE)),"")</f>
        <v/>
      </c>
      <c r="P585" t="str">
        <f>IFERROR(IF(VLOOKUP($B585,Показатели!$E:$W,13,FALSE)=0,"",VLOOKUP($B585,Показатели!$E:$W,13,FALSE)),"")</f>
        <v/>
      </c>
      <c r="Q585" t="str">
        <f>IFERROR(IF(VLOOKUP($B585,Показатели!$E:$W,14,FALSE)=0,"",VLOOKUP($B585,Показатели!$E:$W,14,FALSE)),"")</f>
        <v/>
      </c>
      <c r="R585" t="str">
        <f>IFERROR(IF(VLOOKUP($B585,Показатели!$E:$W,15,FALSE)=0,"",VLOOKUP($B585,Показатели!$E:$W,15,FALSE)),"")</f>
        <v/>
      </c>
      <c r="S585" t="str">
        <f>IFERROR(IF(VLOOKUP($B585,Показатели!$E:$W,16,FALSE)=0,"",VLOOKUP($B585,Показатели!$E:$W,16,FALSE)),"")</f>
        <v/>
      </c>
      <c r="T585" t="str">
        <f>IFERROR(IF(VLOOKUP($B585,Показатели!$E:$W,17,FALSE)=0,"",VLOOKUP($B585,Показатели!$E:$W,17,FALSE)),"")</f>
        <v/>
      </c>
      <c r="U585" t="str">
        <f>IFERROR(IF(VLOOKUP($B585,Показатели!$E:$W,18,FALSE)=0,"",VLOOKUP($B585,Показатели!$E:$W,18,FALSE)),"")</f>
        <v/>
      </c>
      <c r="V585" t="str">
        <f>IFERROR(IF(VLOOKUP($B585,Показатели!$E:$W,19,FALSE)=0,"",VLOOKUP($B585,Показатели!$E:$W,19,FALSE)),"")</f>
        <v/>
      </c>
    </row>
    <row r="586" spans="1:22" x14ac:dyDescent="0.2">
      <c r="A586" s="7" t="s">
        <v>2252</v>
      </c>
      <c r="B586" t="str">
        <f t="shared" si="9"/>
        <v>HNFG IV кв. 2017</v>
      </c>
      <c r="C586">
        <v>2017</v>
      </c>
      <c r="D586">
        <f>SUMIFS(Дивиденды!$C:$C,Дивиденды!$A:$A,A586,Дивиденды!$I:$I,C586)</f>
        <v>0</v>
      </c>
      <c r="E586" t="str">
        <f>IFERROR(IF(VLOOKUP($B586,Показатели!$E:$W,2,FALSE)=0,"",VLOOKUP($B586,Показатели!$E:$W,2,FALSE)),"")</f>
        <v/>
      </c>
      <c r="F586" t="str">
        <f>IFERROR(IF(VLOOKUP($B586,Показатели!$E:$W,3,FALSE)=0,"",VLOOKUP($B586,Показатели!$E:$W,3,FALSE)),"")</f>
        <v/>
      </c>
      <c r="G586" t="str">
        <f>IFERROR(IF(VLOOKUP($B586,Показатели!$E:$W,4,FALSE)=0,"",VLOOKUP($B586,Показатели!$E:$W,4,FALSE)),"")</f>
        <v/>
      </c>
      <c r="H586" t="str">
        <f>IFERROR(IF(VLOOKUP($B586,Показатели!$E:$W,5,FALSE)=0,"",VLOOKUP($B586,Показатели!$E:$W,5,FALSE)),"")</f>
        <v/>
      </c>
      <c r="I586" t="str">
        <f>IFERROR(IF(VLOOKUP($B586,Показатели!$E:$W,6,FALSE)=0,"",VLOOKUP($B586,Показатели!$E:$W,6,FALSE)),"")</f>
        <v/>
      </c>
      <c r="J586" t="str">
        <f>IFERROR(IF(VLOOKUP($B586,Показатели!$E:$W,7,FALSE)=0,"",VLOOKUP($B586,Показатели!$E:$W,7,FALSE)),"")</f>
        <v/>
      </c>
      <c r="K586" t="str">
        <f>IFERROR(IF(VLOOKUP($B586,Показатели!$E:$W,8,FALSE)=0,"",VLOOKUP($B586,Показатели!$E:$W,8,FALSE)),"")</f>
        <v/>
      </c>
      <c r="L586" t="str">
        <f>IFERROR(IF(VLOOKUP($B586,Показатели!$E:$W,9,FALSE)=0,"",VLOOKUP($B586,Показатели!$E:$W,9,FALSE)),"")</f>
        <v/>
      </c>
      <c r="M586" t="str">
        <f>IFERROR(IF(VLOOKUP($B586,Показатели!$E:$W,10,FALSE)=0,"",VLOOKUP($B586,Показатели!$E:$W,10,FALSE)),"")</f>
        <v/>
      </c>
      <c r="N586" t="str">
        <f>IFERROR(IF(VLOOKUP($B586,Показатели!$E:$W,11,FALSE)=0,"",VLOOKUP($B586,Показатели!$E:$W,11,FALSE)),"")</f>
        <v/>
      </c>
      <c r="O586" t="str">
        <f>IFERROR(IF(VLOOKUP($B586,Показатели!$E:$W,12,FALSE)=0,"",VLOOKUP($B586,Показатели!$E:$W,12,FALSE)),"")</f>
        <v/>
      </c>
      <c r="P586" t="str">
        <f>IFERROR(IF(VLOOKUP($B586,Показатели!$E:$W,13,FALSE)=0,"",VLOOKUP($B586,Показатели!$E:$W,13,FALSE)),"")</f>
        <v/>
      </c>
      <c r="Q586" t="str">
        <f>IFERROR(IF(VLOOKUP($B586,Показатели!$E:$W,14,FALSE)=0,"",VLOOKUP($B586,Показатели!$E:$W,14,FALSE)),"")</f>
        <v/>
      </c>
      <c r="R586" t="str">
        <f>IFERROR(IF(VLOOKUP($B586,Показатели!$E:$W,15,FALSE)=0,"",VLOOKUP($B586,Показатели!$E:$W,15,FALSE)),"")</f>
        <v/>
      </c>
      <c r="S586" t="str">
        <f>IFERROR(IF(VLOOKUP($B586,Показатели!$E:$W,16,FALSE)=0,"",VLOOKUP($B586,Показатели!$E:$W,16,FALSE)),"")</f>
        <v/>
      </c>
      <c r="T586" t="str">
        <f>IFERROR(IF(VLOOKUP($B586,Показатели!$E:$W,17,FALSE)=0,"",VLOOKUP($B586,Показатели!$E:$W,17,FALSE)),"")</f>
        <v/>
      </c>
      <c r="U586" t="str">
        <f>IFERROR(IF(VLOOKUP($B586,Показатели!$E:$W,18,FALSE)=0,"",VLOOKUP($B586,Показатели!$E:$W,18,FALSE)),"")</f>
        <v/>
      </c>
      <c r="V586" t="str">
        <f>IFERROR(IF(VLOOKUP($B586,Показатели!$E:$W,19,FALSE)=0,"",VLOOKUP($B586,Показатели!$E:$W,19,FALSE)),"")</f>
        <v/>
      </c>
    </row>
    <row r="587" spans="1:22" x14ac:dyDescent="0.2">
      <c r="A587" s="7" t="s">
        <v>2252</v>
      </c>
      <c r="B587" t="str">
        <f t="shared" si="9"/>
        <v>HNFG IV кв. 2016</v>
      </c>
      <c r="C587">
        <v>2016</v>
      </c>
      <c r="D587">
        <f>SUMIFS(Дивиденды!$C:$C,Дивиденды!$A:$A,A587,Дивиденды!$I:$I,C587)</f>
        <v>0</v>
      </c>
      <c r="E587" t="str">
        <f>IFERROR(IF(VLOOKUP($B587,Показатели!$E:$W,2,FALSE)=0,"",VLOOKUP($B587,Показатели!$E:$W,2,FALSE)),"")</f>
        <v/>
      </c>
      <c r="F587" t="str">
        <f>IFERROR(IF(VLOOKUP($B587,Показатели!$E:$W,3,FALSE)=0,"",VLOOKUP($B587,Показатели!$E:$W,3,FALSE)),"")</f>
        <v/>
      </c>
      <c r="G587" t="str">
        <f>IFERROR(IF(VLOOKUP($B587,Показатели!$E:$W,4,FALSE)=0,"",VLOOKUP($B587,Показатели!$E:$W,4,FALSE)),"")</f>
        <v/>
      </c>
      <c r="H587" t="str">
        <f>IFERROR(IF(VLOOKUP($B587,Показатели!$E:$W,5,FALSE)=0,"",VLOOKUP($B587,Показатели!$E:$W,5,FALSE)),"")</f>
        <v/>
      </c>
      <c r="I587" t="str">
        <f>IFERROR(IF(VLOOKUP($B587,Показатели!$E:$W,6,FALSE)=0,"",VLOOKUP($B587,Показатели!$E:$W,6,FALSE)),"")</f>
        <v/>
      </c>
      <c r="J587" t="str">
        <f>IFERROR(IF(VLOOKUP($B587,Показатели!$E:$W,7,FALSE)=0,"",VLOOKUP($B587,Показатели!$E:$W,7,FALSE)),"")</f>
        <v/>
      </c>
      <c r="K587" t="str">
        <f>IFERROR(IF(VLOOKUP($B587,Показатели!$E:$W,8,FALSE)=0,"",VLOOKUP($B587,Показатели!$E:$W,8,FALSE)),"")</f>
        <v/>
      </c>
      <c r="L587" t="str">
        <f>IFERROR(IF(VLOOKUP($B587,Показатели!$E:$W,9,FALSE)=0,"",VLOOKUP($B587,Показатели!$E:$W,9,FALSE)),"")</f>
        <v/>
      </c>
      <c r="M587" t="str">
        <f>IFERROR(IF(VLOOKUP($B587,Показатели!$E:$W,10,FALSE)=0,"",VLOOKUP($B587,Показатели!$E:$W,10,FALSE)),"")</f>
        <v/>
      </c>
      <c r="N587" t="str">
        <f>IFERROR(IF(VLOOKUP($B587,Показатели!$E:$W,11,FALSE)=0,"",VLOOKUP($B587,Показатели!$E:$W,11,FALSE)),"")</f>
        <v/>
      </c>
      <c r="O587" t="str">
        <f>IFERROR(IF(VLOOKUP($B587,Показатели!$E:$W,12,FALSE)=0,"",VLOOKUP($B587,Показатели!$E:$W,12,FALSE)),"")</f>
        <v/>
      </c>
      <c r="P587" t="str">
        <f>IFERROR(IF(VLOOKUP($B587,Показатели!$E:$W,13,FALSE)=0,"",VLOOKUP($B587,Показатели!$E:$W,13,FALSE)),"")</f>
        <v/>
      </c>
      <c r="Q587" t="str">
        <f>IFERROR(IF(VLOOKUP($B587,Показатели!$E:$W,14,FALSE)=0,"",VLOOKUP($B587,Показатели!$E:$W,14,FALSE)),"")</f>
        <v/>
      </c>
      <c r="R587" t="str">
        <f>IFERROR(IF(VLOOKUP($B587,Показатели!$E:$W,15,FALSE)=0,"",VLOOKUP($B587,Показатели!$E:$W,15,FALSE)),"")</f>
        <v/>
      </c>
      <c r="S587" t="str">
        <f>IFERROR(IF(VLOOKUP($B587,Показатели!$E:$W,16,FALSE)=0,"",VLOOKUP($B587,Показатели!$E:$W,16,FALSE)),"")</f>
        <v/>
      </c>
      <c r="T587" t="str">
        <f>IFERROR(IF(VLOOKUP($B587,Показатели!$E:$W,17,FALSE)=0,"",VLOOKUP($B587,Показатели!$E:$W,17,FALSE)),"")</f>
        <v/>
      </c>
      <c r="U587" t="str">
        <f>IFERROR(IF(VLOOKUP($B587,Показатели!$E:$W,18,FALSE)=0,"",VLOOKUP($B587,Показатели!$E:$W,18,FALSE)),"")</f>
        <v/>
      </c>
      <c r="V587" t="str">
        <f>IFERROR(IF(VLOOKUP($B587,Показатели!$E:$W,19,FALSE)=0,"",VLOOKUP($B587,Показатели!$E:$W,19,FALSE)),"")</f>
        <v/>
      </c>
    </row>
    <row r="588" spans="1:22" x14ac:dyDescent="0.2">
      <c r="A588" s="7" t="s">
        <v>2252</v>
      </c>
      <c r="B588" t="str">
        <f t="shared" si="9"/>
        <v>HNFG IV кв. 2015</v>
      </c>
      <c r="C588">
        <v>2015</v>
      </c>
      <c r="D588">
        <f>SUMIFS(Дивиденды!$C:$C,Дивиденды!$A:$A,A588,Дивиденды!$I:$I,C588)</f>
        <v>0</v>
      </c>
      <c r="E588" t="str">
        <f>IFERROR(IF(VLOOKUP($B588,Показатели!$E:$W,2,FALSE)=0,"",VLOOKUP($B588,Показатели!$E:$W,2,FALSE)),"")</f>
        <v/>
      </c>
      <c r="F588" t="str">
        <f>IFERROR(IF(VLOOKUP($B588,Показатели!$E:$W,3,FALSE)=0,"",VLOOKUP($B588,Показатели!$E:$W,3,FALSE)),"")</f>
        <v/>
      </c>
      <c r="G588" t="str">
        <f>IFERROR(IF(VLOOKUP($B588,Показатели!$E:$W,4,FALSE)=0,"",VLOOKUP($B588,Показатели!$E:$W,4,FALSE)),"")</f>
        <v/>
      </c>
      <c r="H588" t="str">
        <f>IFERROR(IF(VLOOKUP($B588,Показатели!$E:$W,5,FALSE)=0,"",VLOOKUP($B588,Показатели!$E:$W,5,FALSE)),"")</f>
        <v/>
      </c>
      <c r="I588" t="str">
        <f>IFERROR(IF(VLOOKUP($B588,Показатели!$E:$W,6,FALSE)=0,"",VLOOKUP($B588,Показатели!$E:$W,6,FALSE)),"")</f>
        <v/>
      </c>
      <c r="J588" t="str">
        <f>IFERROR(IF(VLOOKUP($B588,Показатели!$E:$W,7,FALSE)=0,"",VLOOKUP($B588,Показатели!$E:$W,7,FALSE)),"")</f>
        <v/>
      </c>
      <c r="K588" t="str">
        <f>IFERROR(IF(VLOOKUP($B588,Показатели!$E:$W,8,FALSE)=0,"",VLOOKUP($B588,Показатели!$E:$W,8,FALSE)),"")</f>
        <v/>
      </c>
      <c r="L588" t="str">
        <f>IFERROR(IF(VLOOKUP($B588,Показатели!$E:$W,9,FALSE)=0,"",VLOOKUP($B588,Показатели!$E:$W,9,FALSE)),"")</f>
        <v/>
      </c>
      <c r="M588" t="str">
        <f>IFERROR(IF(VLOOKUP($B588,Показатели!$E:$W,10,FALSE)=0,"",VLOOKUP($B588,Показатели!$E:$W,10,FALSE)),"")</f>
        <v/>
      </c>
      <c r="N588" t="str">
        <f>IFERROR(IF(VLOOKUP($B588,Показатели!$E:$W,11,FALSE)=0,"",VLOOKUP($B588,Показатели!$E:$W,11,FALSE)),"")</f>
        <v/>
      </c>
      <c r="O588" t="str">
        <f>IFERROR(IF(VLOOKUP($B588,Показатели!$E:$W,12,FALSE)=0,"",VLOOKUP($B588,Показатели!$E:$W,12,FALSE)),"")</f>
        <v/>
      </c>
      <c r="P588" t="str">
        <f>IFERROR(IF(VLOOKUP($B588,Показатели!$E:$W,13,FALSE)=0,"",VLOOKUP($B588,Показатели!$E:$W,13,FALSE)),"")</f>
        <v/>
      </c>
      <c r="Q588" t="str">
        <f>IFERROR(IF(VLOOKUP($B588,Показатели!$E:$W,14,FALSE)=0,"",VLOOKUP($B588,Показатели!$E:$W,14,FALSE)),"")</f>
        <v/>
      </c>
      <c r="R588" t="str">
        <f>IFERROR(IF(VLOOKUP($B588,Показатели!$E:$W,15,FALSE)=0,"",VLOOKUP($B588,Показатели!$E:$W,15,FALSE)),"")</f>
        <v/>
      </c>
      <c r="S588" t="str">
        <f>IFERROR(IF(VLOOKUP($B588,Показатели!$E:$W,16,FALSE)=0,"",VLOOKUP($B588,Показатели!$E:$W,16,FALSE)),"")</f>
        <v/>
      </c>
      <c r="T588" t="str">
        <f>IFERROR(IF(VLOOKUP($B588,Показатели!$E:$W,17,FALSE)=0,"",VLOOKUP($B588,Показатели!$E:$W,17,FALSE)),"")</f>
        <v/>
      </c>
      <c r="U588" t="str">
        <f>IFERROR(IF(VLOOKUP($B588,Показатели!$E:$W,18,FALSE)=0,"",VLOOKUP($B588,Показатели!$E:$W,18,FALSE)),"")</f>
        <v/>
      </c>
      <c r="V588" t="str">
        <f>IFERROR(IF(VLOOKUP($B588,Показатели!$E:$W,19,FALSE)=0,"",VLOOKUP($B588,Показатели!$E:$W,19,FALSE)),"")</f>
        <v/>
      </c>
    </row>
    <row r="589" spans="1:22" x14ac:dyDescent="0.2">
      <c r="A589" s="7" t="s">
        <v>2252</v>
      </c>
      <c r="B589" t="str">
        <f t="shared" si="9"/>
        <v>HNFG IV кв. 2014</v>
      </c>
      <c r="C589">
        <v>2014</v>
      </c>
      <c r="D589">
        <f>SUMIFS(Дивиденды!$C:$C,Дивиденды!$A:$A,A589,Дивиденды!$I:$I,C589)</f>
        <v>0</v>
      </c>
      <c r="E589" t="str">
        <f>IFERROR(IF(VLOOKUP($B589,Показатели!$E:$W,2,FALSE)=0,"",VLOOKUP($B589,Показатели!$E:$W,2,FALSE)),"")</f>
        <v/>
      </c>
      <c r="F589" t="str">
        <f>IFERROR(IF(VLOOKUP($B589,Показатели!$E:$W,3,FALSE)=0,"",VLOOKUP($B589,Показатели!$E:$W,3,FALSE)),"")</f>
        <v/>
      </c>
      <c r="G589" t="str">
        <f>IFERROR(IF(VLOOKUP($B589,Показатели!$E:$W,4,FALSE)=0,"",VLOOKUP($B589,Показатели!$E:$W,4,FALSE)),"")</f>
        <v/>
      </c>
      <c r="H589" t="str">
        <f>IFERROR(IF(VLOOKUP($B589,Показатели!$E:$W,5,FALSE)=0,"",VLOOKUP($B589,Показатели!$E:$W,5,FALSE)),"")</f>
        <v/>
      </c>
      <c r="I589" t="str">
        <f>IFERROR(IF(VLOOKUP($B589,Показатели!$E:$W,6,FALSE)=0,"",VLOOKUP($B589,Показатели!$E:$W,6,FALSE)),"")</f>
        <v/>
      </c>
      <c r="J589" t="str">
        <f>IFERROR(IF(VLOOKUP($B589,Показатели!$E:$W,7,FALSE)=0,"",VLOOKUP($B589,Показатели!$E:$W,7,FALSE)),"")</f>
        <v/>
      </c>
      <c r="K589" t="str">
        <f>IFERROR(IF(VLOOKUP($B589,Показатели!$E:$W,8,FALSE)=0,"",VLOOKUP($B589,Показатели!$E:$W,8,FALSE)),"")</f>
        <v/>
      </c>
      <c r="L589" t="str">
        <f>IFERROR(IF(VLOOKUP($B589,Показатели!$E:$W,9,FALSE)=0,"",VLOOKUP($B589,Показатели!$E:$W,9,FALSE)),"")</f>
        <v/>
      </c>
      <c r="M589" t="str">
        <f>IFERROR(IF(VLOOKUP($B589,Показатели!$E:$W,10,FALSE)=0,"",VLOOKUP($B589,Показатели!$E:$W,10,FALSE)),"")</f>
        <v/>
      </c>
      <c r="N589" t="str">
        <f>IFERROR(IF(VLOOKUP($B589,Показатели!$E:$W,11,FALSE)=0,"",VLOOKUP($B589,Показатели!$E:$W,11,FALSE)),"")</f>
        <v/>
      </c>
      <c r="O589" t="str">
        <f>IFERROR(IF(VLOOKUP($B589,Показатели!$E:$W,12,FALSE)=0,"",VLOOKUP($B589,Показатели!$E:$W,12,FALSE)),"")</f>
        <v/>
      </c>
      <c r="P589" t="str">
        <f>IFERROR(IF(VLOOKUP($B589,Показатели!$E:$W,13,FALSE)=0,"",VLOOKUP($B589,Показатели!$E:$W,13,FALSE)),"")</f>
        <v/>
      </c>
      <c r="Q589" t="str">
        <f>IFERROR(IF(VLOOKUP($B589,Показатели!$E:$W,14,FALSE)=0,"",VLOOKUP($B589,Показатели!$E:$W,14,FALSE)),"")</f>
        <v/>
      </c>
      <c r="R589" t="str">
        <f>IFERROR(IF(VLOOKUP($B589,Показатели!$E:$W,15,FALSE)=0,"",VLOOKUP($B589,Показатели!$E:$W,15,FALSE)),"")</f>
        <v/>
      </c>
      <c r="S589" t="str">
        <f>IFERROR(IF(VLOOKUP($B589,Показатели!$E:$W,16,FALSE)=0,"",VLOOKUP($B589,Показатели!$E:$W,16,FALSE)),"")</f>
        <v/>
      </c>
      <c r="T589" t="str">
        <f>IFERROR(IF(VLOOKUP($B589,Показатели!$E:$W,17,FALSE)=0,"",VLOOKUP($B589,Показатели!$E:$W,17,FALSE)),"")</f>
        <v/>
      </c>
      <c r="U589" t="str">
        <f>IFERROR(IF(VLOOKUP($B589,Показатели!$E:$W,18,FALSE)=0,"",VLOOKUP($B589,Показатели!$E:$W,18,FALSE)),"")</f>
        <v/>
      </c>
      <c r="V589" t="str">
        <f>IFERROR(IF(VLOOKUP($B589,Показатели!$E:$W,19,FALSE)=0,"",VLOOKUP($B589,Показатели!$E:$W,19,FALSE)),"")</f>
        <v/>
      </c>
    </row>
    <row r="590" spans="1:22" x14ac:dyDescent="0.2">
      <c r="A590" s="7" t="s">
        <v>2252</v>
      </c>
      <c r="B590" t="str">
        <f t="shared" si="9"/>
        <v>HNFG IV кв. 2013</v>
      </c>
      <c r="C590">
        <v>2013</v>
      </c>
      <c r="D590">
        <f>SUMIFS(Дивиденды!$C:$C,Дивиденды!$A:$A,A590,Дивиденды!$I:$I,C590)</f>
        <v>0</v>
      </c>
      <c r="E590" t="str">
        <f>IFERROR(IF(VLOOKUP($B590,Показатели!$E:$W,2,FALSE)=0,"",VLOOKUP($B590,Показатели!$E:$W,2,FALSE)),"")</f>
        <v/>
      </c>
      <c r="F590" t="str">
        <f>IFERROR(IF(VLOOKUP($B590,Показатели!$E:$W,3,FALSE)=0,"",VLOOKUP($B590,Показатели!$E:$W,3,FALSE)),"")</f>
        <v/>
      </c>
      <c r="G590" t="str">
        <f>IFERROR(IF(VLOOKUP($B590,Показатели!$E:$W,4,FALSE)=0,"",VLOOKUP($B590,Показатели!$E:$W,4,FALSE)),"")</f>
        <v/>
      </c>
      <c r="H590" t="str">
        <f>IFERROR(IF(VLOOKUP($B590,Показатели!$E:$W,5,FALSE)=0,"",VLOOKUP($B590,Показатели!$E:$W,5,FALSE)),"")</f>
        <v/>
      </c>
      <c r="I590" t="str">
        <f>IFERROR(IF(VLOOKUP($B590,Показатели!$E:$W,6,FALSE)=0,"",VLOOKUP($B590,Показатели!$E:$W,6,FALSE)),"")</f>
        <v/>
      </c>
      <c r="J590" t="str">
        <f>IFERROR(IF(VLOOKUP($B590,Показатели!$E:$W,7,FALSE)=0,"",VLOOKUP($B590,Показатели!$E:$W,7,FALSE)),"")</f>
        <v/>
      </c>
      <c r="K590" t="str">
        <f>IFERROR(IF(VLOOKUP($B590,Показатели!$E:$W,8,FALSE)=0,"",VLOOKUP($B590,Показатели!$E:$W,8,FALSE)),"")</f>
        <v/>
      </c>
      <c r="L590" t="str">
        <f>IFERROR(IF(VLOOKUP($B590,Показатели!$E:$W,9,FALSE)=0,"",VLOOKUP($B590,Показатели!$E:$W,9,FALSE)),"")</f>
        <v/>
      </c>
      <c r="M590" t="str">
        <f>IFERROR(IF(VLOOKUP($B590,Показатели!$E:$W,10,FALSE)=0,"",VLOOKUP($B590,Показатели!$E:$W,10,FALSE)),"")</f>
        <v/>
      </c>
      <c r="N590" t="str">
        <f>IFERROR(IF(VLOOKUP($B590,Показатели!$E:$W,11,FALSE)=0,"",VLOOKUP($B590,Показатели!$E:$W,11,FALSE)),"")</f>
        <v/>
      </c>
      <c r="O590" t="str">
        <f>IFERROR(IF(VLOOKUP($B590,Показатели!$E:$W,12,FALSE)=0,"",VLOOKUP($B590,Показатели!$E:$W,12,FALSE)),"")</f>
        <v/>
      </c>
      <c r="P590" t="str">
        <f>IFERROR(IF(VLOOKUP($B590,Показатели!$E:$W,13,FALSE)=0,"",VLOOKUP($B590,Показатели!$E:$W,13,FALSE)),"")</f>
        <v/>
      </c>
      <c r="Q590" t="str">
        <f>IFERROR(IF(VLOOKUP($B590,Показатели!$E:$W,14,FALSE)=0,"",VLOOKUP($B590,Показатели!$E:$W,14,FALSE)),"")</f>
        <v/>
      </c>
      <c r="R590" t="str">
        <f>IFERROR(IF(VLOOKUP($B590,Показатели!$E:$W,15,FALSE)=0,"",VLOOKUP($B590,Показатели!$E:$W,15,FALSE)),"")</f>
        <v/>
      </c>
      <c r="S590" t="str">
        <f>IFERROR(IF(VLOOKUP($B590,Показатели!$E:$W,16,FALSE)=0,"",VLOOKUP($B590,Показатели!$E:$W,16,FALSE)),"")</f>
        <v/>
      </c>
      <c r="T590" t="str">
        <f>IFERROR(IF(VLOOKUP($B590,Показатели!$E:$W,17,FALSE)=0,"",VLOOKUP($B590,Показатели!$E:$W,17,FALSE)),"")</f>
        <v/>
      </c>
      <c r="U590" t="str">
        <f>IFERROR(IF(VLOOKUP($B590,Показатели!$E:$W,18,FALSE)=0,"",VLOOKUP($B590,Показатели!$E:$W,18,FALSE)),"")</f>
        <v/>
      </c>
      <c r="V590" t="str">
        <f>IFERROR(IF(VLOOKUP($B590,Показатели!$E:$W,19,FALSE)=0,"",VLOOKUP($B590,Показатели!$E:$W,19,FALSE)),"")</f>
        <v/>
      </c>
    </row>
    <row r="591" spans="1:22" x14ac:dyDescent="0.2">
      <c r="A591" s="7" t="s">
        <v>2252</v>
      </c>
      <c r="B591" t="str">
        <f t="shared" si="9"/>
        <v>HNFG IV кв. 2012</v>
      </c>
      <c r="C591">
        <v>2012</v>
      </c>
      <c r="D591">
        <f>SUMIFS(Дивиденды!$C:$C,Дивиденды!$A:$A,A591,Дивиденды!$I:$I,C591)</f>
        <v>0</v>
      </c>
      <c r="E591" t="str">
        <f>IFERROR(IF(VLOOKUP($B591,Показатели!$E:$W,2,FALSE)=0,"",VLOOKUP($B591,Показатели!$E:$W,2,FALSE)),"")</f>
        <v/>
      </c>
      <c r="F591" t="str">
        <f>IFERROR(IF(VLOOKUP($B591,Показатели!$E:$W,3,FALSE)=0,"",VLOOKUP($B591,Показатели!$E:$W,3,FALSE)),"")</f>
        <v/>
      </c>
      <c r="G591" t="str">
        <f>IFERROR(IF(VLOOKUP($B591,Показатели!$E:$W,4,FALSE)=0,"",VLOOKUP($B591,Показатели!$E:$W,4,FALSE)),"")</f>
        <v/>
      </c>
      <c r="H591" t="str">
        <f>IFERROR(IF(VLOOKUP($B591,Показатели!$E:$W,5,FALSE)=0,"",VLOOKUP($B591,Показатели!$E:$W,5,FALSE)),"")</f>
        <v/>
      </c>
      <c r="I591" t="str">
        <f>IFERROR(IF(VLOOKUP($B591,Показатели!$E:$W,6,FALSE)=0,"",VLOOKUP($B591,Показатели!$E:$W,6,FALSE)),"")</f>
        <v/>
      </c>
      <c r="J591" t="str">
        <f>IFERROR(IF(VLOOKUP($B591,Показатели!$E:$W,7,FALSE)=0,"",VLOOKUP($B591,Показатели!$E:$W,7,FALSE)),"")</f>
        <v/>
      </c>
      <c r="K591" t="str">
        <f>IFERROR(IF(VLOOKUP($B591,Показатели!$E:$W,8,FALSE)=0,"",VLOOKUP($B591,Показатели!$E:$W,8,FALSE)),"")</f>
        <v/>
      </c>
      <c r="L591" t="str">
        <f>IFERROR(IF(VLOOKUP($B591,Показатели!$E:$W,9,FALSE)=0,"",VLOOKUP($B591,Показатели!$E:$W,9,FALSE)),"")</f>
        <v/>
      </c>
      <c r="M591" t="str">
        <f>IFERROR(IF(VLOOKUP($B591,Показатели!$E:$W,10,FALSE)=0,"",VLOOKUP($B591,Показатели!$E:$W,10,FALSE)),"")</f>
        <v/>
      </c>
      <c r="N591" t="str">
        <f>IFERROR(IF(VLOOKUP($B591,Показатели!$E:$W,11,FALSE)=0,"",VLOOKUP($B591,Показатели!$E:$W,11,FALSE)),"")</f>
        <v/>
      </c>
      <c r="O591" t="str">
        <f>IFERROR(IF(VLOOKUP($B591,Показатели!$E:$W,12,FALSE)=0,"",VLOOKUP($B591,Показатели!$E:$W,12,FALSE)),"")</f>
        <v/>
      </c>
      <c r="P591" t="str">
        <f>IFERROR(IF(VLOOKUP($B591,Показатели!$E:$W,13,FALSE)=0,"",VLOOKUP($B591,Показатели!$E:$W,13,FALSE)),"")</f>
        <v/>
      </c>
      <c r="Q591" t="str">
        <f>IFERROR(IF(VLOOKUP($B591,Показатели!$E:$W,14,FALSE)=0,"",VLOOKUP($B591,Показатели!$E:$W,14,FALSE)),"")</f>
        <v/>
      </c>
      <c r="R591" t="str">
        <f>IFERROR(IF(VLOOKUP($B591,Показатели!$E:$W,15,FALSE)=0,"",VLOOKUP($B591,Показатели!$E:$W,15,FALSE)),"")</f>
        <v/>
      </c>
      <c r="S591" t="str">
        <f>IFERROR(IF(VLOOKUP($B591,Показатели!$E:$W,16,FALSE)=0,"",VLOOKUP($B591,Показатели!$E:$W,16,FALSE)),"")</f>
        <v/>
      </c>
      <c r="T591" t="str">
        <f>IFERROR(IF(VLOOKUP($B591,Показатели!$E:$W,17,FALSE)=0,"",VLOOKUP($B591,Показатели!$E:$W,17,FALSE)),"")</f>
        <v/>
      </c>
      <c r="U591" t="str">
        <f>IFERROR(IF(VLOOKUP($B591,Показатели!$E:$W,18,FALSE)=0,"",VLOOKUP($B591,Показатели!$E:$W,18,FALSE)),"")</f>
        <v/>
      </c>
      <c r="V591" t="str">
        <f>IFERROR(IF(VLOOKUP($B591,Показатели!$E:$W,19,FALSE)=0,"",VLOOKUP($B591,Показатели!$E:$W,19,FALSE)),"")</f>
        <v/>
      </c>
    </row>
    <row r="592" spans="1:22" x14ac:dyDescent="0.2">
      <c r="A592" s="7" t="s">
        <v>2252</v>
      </c>
      <c r="B592" t="str">
        <f t="shared" si="9"/>
        <v>HNFG IV кв. 2011</v>
      </c>
      <c r="C592">
        <v>2011</v>
      </c>
      <c r="D592">
        <f>SUMIFS(Дивиденды!$C:$C,Дивиденды!$A:$A,A592,Дивиденды!$I:$I,C592)</f>
        <v>0</v>
      </c>
      <c r="E592" t="str">
        <f>IFERROR(IF(VLOOKUP($B592,Показатели!$E:$W,2,FALSE)=0,"",VLOOKUP($B592,Показатели!$E:$W,2,FALSE)),"")</f>
        <v/>
      </c>
      <c r="F592" t="str">
        <f>IFERROR(IF(VLOOKUP($B592,Показатели!$E:$W,3,FALSE)=0,"",VLOOKUP($B592,Показатели!$E:$W,3,FALSE)),"")</f>
        <v/>
      </c>
      <c r="G592" t="str">
        <f>IFERROR(IF(VLOOKUP($B592,Показатели!$E:$W,4,FALSE)=0,"",VLOOKUP($B592,Показатели!$E:$W,4,FALSE)),"")</f>
        <v/>
      </c>
      <c r="H592" t="str">
        <f>IFERROR(IF(VLOOKUP($B592,Показатели!$E:$W,5,FALSE)=0,"",VLOOKUP($B592,Показатели!$E:$W,5,FALSE)),"")</f>
        <v/>
      </c>
      <c r="I592" t="str">
        <f>IFERROR(IF(VLOOKUP($B592,Показатели!$E:$W,6,FALSE)=0,"",VLOOKUP($B592,Показатели!$E:$W,6,FALSE)),"")</f>
        <v/>
      </c>
      <c r="J592" t="str">
        <f>IFERROR(IF(VLOOKUP($B592,Показатели!$E:$W,7,FALSE)=0,"",VLOOKUP($B592,Показатели!$E:$W,7,FALSE)),"")</f>
        <v/>
      </c>
      <c r="K592" t="str">
        <f>IFERROR(IF(VLOOKUP($B592,Показатели!$E:$W,8,FALSE)=0,"",VLOOKUP($B592,Показатели!$E:$W,8,FALSE)),"")</f>
        <v/>
      </c>
      <c r="L592" t="str">
        <f>IFERROR(IF(VLOOKUP($B592,Показатели!$E:$W,9,FALSE)=0,"",VLOOKUP($B592,Показатели!$E:$W,9,FALSE)),"")</f>
        <v/>
      </c>
      <c r="M592" t="str">
        <f>IFERROR(IF(VLOOKUP($B592,Показатели!$E:$W,10,FALSE)=0,"",VLOOKUP($B592,Показатели!$E:$W,10,FALSE)),"")</f>
        <v/>
      </c>
      <c r="N592" t="str">
        <f>IFERROR(IF(VLOOKUP($B592,Показатели!$E:$W,11,FALSE)=0,"",VLOOKUP($B592,Показатели!$E:$W,11,FALSE)),"")</f>
        <v/>
      </c>
      <c r="O592" t="str">
        <f>IFERROR(IF(VLOOKUP($B592,Показатели!$E:$W,12,FALSE)=0,"",VLOOKUP($B592,Показатели!$E:$W,12,FALSE)),"")</f>
        <v/>
      </c>
      <c r="P592" t="str">
        <f>IFERROR(IF(VLOOKUP($B592,Показатели!$E:$W,13,FALSE)=0,"",VLOOKUP($B592,Показатели!$E:$W,13,FALSE)),"")</f>
        <v/>
      </c>
      <c r="Q592" t="str">
        <f>IFERROR(IF(VLOOKUP($B592,Показатели!$E:$W,14,FALSE)=0,"",VLOOKUP($B592,Показатели!$E:$W,14,FALSE)),"")</f>
        <v/>
      </c>
      <c r="R592" t="str">
        <f>IFERROR(IF(VLOOKUP($B592,Показатели!$E:$W,15,FALSE)=0,"",VLOOKUP($B592,Показатели!$E:$W,15,FALSE)),"")</f>
        <v/>
      </c>
      <c r="S592" t="str">
        <f>IFERROR(IF(VLOOKUP($B592,Показатели!$E:$W,16,FALSE)=0,"",VLOOKUP($B592,Показатели!$E:$W,16,FALSE)),"")</f>
        <v/>
      </c>
      <c r="T592" t="str">
        <f>IFERROR(IF(VLOOKUP($B592,Показатели!$E:$W,17,FALSE)=0,"",VLOOKUP($B592,Показатели!$E:$W,17,FALSE)),"")</f>
        <v/>
      </c>
      <c r="U592" t="str">
        <f>IFERROR(IF(VLOOKUP($B592,Показатели!$E:$W,18,FALSE)=0,"",VLOOKUP($B592,Показатели!$E:$W,18,FALSE)),"")</f>
        <v/>
      </c>
      <c r="V592" t="str">
        <f>IFERROR(IF(VLOOKUP($B592,Показатели!$E:$W,19,FALSE)=0,"",VLOOKUP($B592,Показатели!$E:$W,19,FALSE)),"")</f>
        <v/>
      </c>
    </row>
    <row r="593" spans="1:22" x14ac:dyDescent="0.2">
      <c r="A593" s="7" t="s">
        <v>2252</v>
      </c>
      <c r="B593" t="str">
        <f t="shared" si="9"/>
        <v>HNFG IV кв. 2010</v>
      </c>
      <c r="C593">
        <v>2010</v>
      </c>
      <c r="D593">
        <f>SUMIFS(Дивиденды!$C:$C,Дивиденды!$A:$A,A593,Дивиденды!$I:$I,C593)</f>
        <v>0</v>
      </c>
      <c r="E593" t="str">
        <f>IFERROR(IF(VLOOKUP($B593,Показатели!$E:$W,2,FALSE)=0,"",VLOOKUP($B593,Показатели!$E:$W,2,FALSE)),"")</f>
        <v/>
      </c>
      <c r="F593" t="str">
        <f>IFERROR(IF(VLOOKUP($B593,Показатели!$E:$W,3,FALSE)=0,"",VLOOKUP($B593,Показатели!$E:$W,3,FALSE)),"")</f>
        <v/>
      </c>
      <c r="G593" t="str">
        <f>IFERROR(IF(VLOOKUP($B593,Показатели!$E:$W,4,FALSE)=0,"",VLOOKUP($B593,Показатели!$E:$W,4,FALSE)),"")</f>
        <v/>
      </c>
      <c r="H593" t="str">
        <f>IFERROR(IF(VLOOKUP($B593,Показатели!$E:$W,5,FALSE)=0,"",VLOOKUP($B593,Показатели!$E:$W,5,FALSE)),"")</f>
        <v/>
      </c>
      <c r="I593" t="str">
        <f>IFERROR(IF(VLOOKUP($B593,Показатели!$E:$W,6,FALSE)=0,"",VLOOKUP($B593,Показатели!$E:$W,6,FALSE)),"")</f>
        <v/>
      </c>
      <c r="J593" t="str">
        <f>IFERROR(IF(VLOOKUP($B593,Показатели!$E:$W,7,FALSE)=0,"",VLOOKUP($B593,Показатели!$E:$W,7,FALSE)),"")</f>
        <v/>
      </c>
      <c r="K593" t="str">
        <f>IFERROR(IF(VLOOKUP($B593,Показатели!$E:$W,8,FALSE)=0,"",VLOOKUP($B593,Показатели!$E:$W,8,FALSE)),"")</f>
        <v/>
      </c>
      <c r="L593" t="str">
        <f>IFERROR(IF(VLOOKUP($B593,Показатели!$E:$W,9,FALSE)=0,"",VLOOKUP($B593,Показатели!$E:$W,9,FALSE)),"")</f>
        <v/>
      </c>
      <c r="M593" t="str">
        <f>IFERROR(IF(VLOOKUP($B593,Показатели!$E:$W,10,FALSE)=0,"",VLOOKUP($B593,Показатели!$E:$W,10,FALSE)),"")</f>
        <v/>
      </c>
      <c r="N593" t="str">
        <f>IFERROR(IF(VLOOKUP($B593,Показатели!$E:$W,11,FALSE)=0,"",VLOOKUP($B593,Показатели!$E:$W,11,FALSE)),"")</f>
        <v/>
      </c>
      <c r="O593" t="str">
        <f>IFERROR(IF(VLOOKUP($B593,Показатели!$E:$W,12,FALSE)=0,"",VLOOKUP($B593,Показатели!$E:$W,12,FALSE)),"")</f>
        <v/>
      </c>
      <c r="P593" t="str">
        <f>IFERROR(IF(VLOOKUP($B593,Показатели!$E:$W,13,FALSE)=0,"",VLOOKUP($B593,Показатели!$E:$W,13,FALSE)),"")</f>
        <v/>
      </c>
      <c r="Q593" t="str">
        <f>IFERROR(IF(VLOOKUP($B593,Показатели!$E:$W,14,FALSE)=0,"",VLOOKUP($B593,Показатели!$E:$W,14,FALSE)),"")</f>
        <v/>
      </c>
      <c r="R593" t="str">
        <f>IFERROR(IF(VLOOKUP($B593,Показатели!$E:$W,15,FALSE)=0,"",VLOOKUP($B593,Показатели!$E:$W,15,FALSE)),"")</f>
        <v/>
      </c>
      <c r="S593" t="str">
        <f>IFERROR(IF(VLOOKUP($B593,Показатели!$E:$W,16,FALSE)=0,"",VLOOKUP($B593,Показатели!$E:$W,16,FALSE)),"")</f>
        <v/>
      </c>
      <c r="T593" t="str">
        <f>IFERROR(IF(VLOOKUP($B593,Показатели!$E:$W,17,FALSE)=0,"",VLOOKUP($B593,Показатели!$E:$W,17,FALSE)),"")</f>
        <v/>
      </c>
      <c r="U593" t="str">
        <f>IFERROR(IF(VLOOKUP($B593,Показатели!$E:$W,18,FALSE)=0,"",VLOOKUP($B593,Показатели!$E:$W,18,FALSE)),"")</f>
        <v/>
      </c>
      <c r="V593" t="str">
        <f>IFERROR(IF(VLOOKUP($B593,Показатели!$E:$W,19,FALSE)=0,"",VLOOKUP($B593,Показатели!$E:$W,19,FALSE)),"")</f>
        <v/>
      </c>
    </row>
    <row r="594" spans="1:22" x14ac:dyDescent="0.2">
      <c r="A594" s="7" t="s">
        <v>2318</v>
      </c>
      <c r="B594" t="str">
        <f t="shared" si="9"/>
        <v>LENT IV кв. 2025</v>
      </c>
      <c r="C594">
        <v>2025</v>
      </c>
      <c r="D594">
        <f>SUMIFS(Дивиденды!$C:$C,Дивиденды!$A:$A,A594,Дивиденды!$I:$I,C594)</f>
        <v>0</v>
      </c>
      <c r="E594" t="str">
        <f>IFERROR(IF(VLOOKUP($B594,Показатели!$E:$W,2,FALSE)=0,"",VLOOKUP($B594,Показатели!$E:$W,2,FALSE)),"")</f>
        <v/>
      </c>
      <c r="F594" t="str">
        <f>IFERROR(IF(VLOOKUP($B594,Показатели!$E:$W,3,FALSE)=0,"",VLOOKUP($B594,Показатели!$E:$W,3,FALSE)),"")</f>
        <v/>
      </c>
      <c r="G594" t="str">
        <f>IFERROR(IF(VLOOKUP($B594,Показатели!$E:$W,4,FALSE)=0,"",VLOOKUP($B594,Показатели!$E:$W,4,FALSE)),"")</f>
        <v/>
      </c>
      <c r="H594" t="str">
        <f>IFERROR(IF(VLOOKUP($B594,Показатели!$E:$W,5,FALSE)=0,"",VLOOKUP($B594,Показатели!$E:$W,5,FALSE)),"")</f>
        <v/>
      </c>
      <c r="I594" t="str">
        <f>IFERROR(IF(VLOOKUP($B594,Показатели!$E:$W,6,FALSE)=0,"",VLOOKUP($B594,Показатели!$E:$W,6,FALSE)),"")</f>
        <v/>
      </c>
      <c r="J594" t="str">
        <f>IFERROR(IF(VLOOKUP($B594,Показатели!$E:$W,7,FALSE)=0,"",VLOOKUP($B594,Показатели!$E:$W,7,FALSE)),"")</f>
        <v/>
      </c>
      <c r="K594" t="str">
        <f>IFERROR(IF(VLOOKUP($B594,Показатели!$E:$W,8,FALSE)=0,"",VLOOKUP($B594,Показатели!$E:$W,8,FALSE)),"")</f>
        <v/>
      </c>
      <c r="L594" t="str">
        <f>IFERROR(IF(VLOOKUP($B594,Показатели!$E:$W,9,FALSE)=0,"",VLOOKUP($B594,Показатели!$E:$W,9,FALSE)),"")</f>
        <v/>
      </c>
      <c r="M594" t="str">
        <f>IFERROR(IF(VLOOKUP($B594,Показатели!$E:$W,10,FALSE)=0,"",VLOOKUP($B594,Показатели!$E:$W,10,FALSE)),"")</f>
        <v/>
      </c>
      <c r="N594" t="str">
        <f>IFERROR(IF(VLOOKUP($B594,Показатели!$E:$W,11,FALSE)=0,"",VLOOKUP($B594,Показатели!$E:$W,11,FALSE)),"")</f>
        <v/>
      </c>
      <c r="O594" t="str">
        <f>IFERROR(IF(VLOOKUP($B594,Показатели!$E:$W,12,FALSE)=0,"",VLOOKUP($B594,Показатели!$E:$W,12,FALSE)),"")</f>
        <v/>
      </c>
      <c r="P594" t="str">
        <f>IFERROR(IF(VLOOKUP($B594,Показатели!$E:$W,13,FALSE)=0,"",VLOOKUP($B594,Показатели!$E:$W,13,FALSE)),"")</f>
        <v/>
      </c>
      <c r="Q594" t="str">
        <f>IFERROR(IF(VLOOKUP($B594,Показатели!$E:$W,14,FALSE)=0,"",VLOOKUP($B594,Показатели!$E:$W,14,FALSE)),"")</f>
        <v/>
      </c>
      <c r="R594" t="str">
        <f>IFERROR(IF(VLOOKUP($B594,Показатели!$E:$W,15,FALSE)=0,"",VLOOKUP($B594,Показатели!$E:$W,15,FALSE)),"")</f>
        <v/>
      </c>
      <c r="S594" t="str">
        <f>IFERROR(IF(VLOOKUP($B594,Показатели!$E:$W,16,FALSE)=0,"",VLOOKUP($B594,Показатели!$E:$W,16,FALSE)),"")</f>
        <v/>
      </c>
      <c r="T594" t="str">
        <f>IFERROR(IF(VLOOKUP($B594,Показатели!$E:$W,17,FALSE)=0,"",VLOOKUP($B594,Показатели!$E:$W,17,FALSE)),"")</f>
        <v/>
      </c>
      <c r="U594" t="str">
        <f>IFERROR(IF(VLOOKUP($B594,Показатели!$E:$W,18,FALSE)=0,"",VLOOKUP($B594,Показатели!$E:$W,18,FALSE)),"")</f>
        <v/>
      </c>
      <c r="V594" t="str">
        <f>IFERROR(IF(VLOOKUP($B594,Показатели!$E:$W,19,FALSE)=0,"",VLOOKUP($B594,Показатели!$E:$W,19,FALSE)),"")</f>
        <v/>
      </c>
    </row>
    <row r="595" spans="1:22" x14ac:dyDescent="0.2">
      <c r="A595" s="7" t="s">
        <v>2318</v>
      </c>
      <c r="B595" t="str">
        <f t="shared" si="9"/>
        <v>LENT IV кв. 2024</v>
      </c>
      <c r="C595">
        <v>2024</v>
      </c>
      <c r="D595">
        <f>SUMIFS(Дивиденды!$C:$C,Дивиденды!$A:$A,A595,Дивиденды!$I:$I,C595)</f>
        <v>0</v>
      </c>
      <c r="E595">
        <f>IFERROR(IF(VLOOKUP($B595,Показатели!$E:$W,2,FALSE)=0,"",VLOOKUP($B595,Показатели!$E:$W,2,FALSE)),"")</f>
        <v>47032323000</v>
      </c>
      <c r="F595">
        <f>IFERROR(IF(VLOOKUP($B595,Показатели!$E:$W,3,FALSE)=0,"",VLOOKUP($B595,Показатели!$E:$W,3,FALSE)),"")</f>
        <v>151269843000</v>
      </c>
      <c r="G595">
        <f>IFERROR(IF(VLOOKUP($B595,Показатели!$E:$W,4,FALSE)=0,"",VLOOKUP($B595,Показатели!$E:$W,4,FALSE)),"")</f>
        <v>177689497000</v>
      </c>
      <c r="H595">
        <f>IFERROR(IF(VLOOKUP($B595,Показатели!$E:$W,5,FALSE)=0,"",VLOOKUP($B595,Показатели!$E:$W,5,FALSE)),"")</f>
        <v>72379787000</v>
      </c>
      <c r="I595">
        <f>IFERROR(IF(VLOOKUP($B595,Показатели!$E:$W,6,FALSE)=0,"",VLOOKUP($B595,Показатели!$E:$W,6,FALSE)),"")</f>
        <v>495398367000</v>
      </c>
      <c r="J595">
        <f>IFERROR(IF(VLOOKUP($B595,Показатели!$E:$W,7,FALSE)=0,"",VLOOKUP($B595,Показатели!$E:$W,7,FALSE)),"")</f>
        <v>205160265000</v>
      </c>
      <c r="K595">
        <f>IFERROR(IF(VLOOKUP($B595,Показатели!$E:$W,8,FALSE)=0,"",VLOOKUP($B595,Показатели!$E:$W,8,FALSE)),"")</f>
        <v>141250433000</v>
      </c>
      <c r="L595">
        <f>IFERROR(IF(VLOOKUP($B595,Показатели!$E:$W,9,FALSE)=0,"",VLOOKUP($B595,Показатели!$E:$W,9,FALSE)),"")</f>
        <v>104354780000</v>
      </c>
      <c r="M595">
        <f>IFERROR(IF(VLOOKUP($B595,Показатели!$E:$W,10,FALSE)=0,"",VLOOKUP($B595,Показатели!$E:$W,10,FALSE)),"")</f>
        <v>148987669000</v>
      </c>
      <c r="N595">
        <f>IFERROR(IF(VLOOKUP($B595,Показатели!$E:$W,11,FALSE)=0,"",VLOOKUP($B595,Показатели!$E:$W,11,FALSE)),"")</f>
        <v>888306765000</v>
      </c>
      <c r="O595">
        <f>IFERROR(IF(VLOOKUP($B595,Показатели!$E:$W,12,FALSE)=0,"",VLOOKUP($B595,Показатели!$E:$W,12,FALSE)),"")</f>
        <v>50006244000</v>
      </c>
      <c r="P595">
        <f>IFERROR(IF(VLOOKUP($B595,Показатели!$E:$W,13,FALSE)=0,"",VLOOKUP($B595,Показатели!$E:$W,13,FALSE)),"")</f>
        <v>30137455000</v>
      </c>
      <c r="Q595">
        <f>IFERROR(IF(VLOOKUP($B595,Показатели!$E:$W,14,FALSE)=0,"",VLOOKUP($B595,Показатели!$E:$W,14,FALSE)),"")</f>
        <v>22463392000</v>
      </c>
      <c r="R595">
        <f>IFERROR(IF(VLOOKUP($B595,Показатели!$E:$W,15,FALSE)=0,"",VLOOKUP($B595,Показатели!$E:$W,15,FALSE)),"")</f>
        <v>35257569000</v>
      </c>
      <c r="S595">
        <f>IFERROR(IF(VLOOKUP($B595,Показатели!$E:$W,16,FALSE)=0,"",VLOOKUP($B595,Показатели!$E:$W,16,FALSE)),"")</f>
        <v>88081579000</v>
      </c>
      <c r="T595">
        <f>IFERROR(IF(VLOOKUP($B595,Показатели!$E:$W,17,FALSE)=0,"",VLOOKUP($B595,Показатели!$E:$W,17,FALSE)),"")</f>
        <v>-30401519000</v>
      </c>
      <c r="U595">
        <f>IFERROR(IF(VLOOKUP($B595,Показатели!$E:$W,18,FALSE)=0,"",VLOOKUP($B595,Показатели!$E:$W,18,FALSE)),"")</f>
        <v>615923126000</v>
      </c>
      <c r="V595">
        <f>IFERROR(IF(VLOOKUP($B595,Показатели!$E:$W,19,FALSE)=0,"",VLOOKUP($B595,Показатели!$E:$W,19,FALSE)),"")</f>
        <v>462168570000</v>
      </c>
    </row>
    <row r="596" spans="1:22" x14ac:dyDescent="0.2">
      <c r="A596" s="7" t="s">
        <v>2318</v>
      </c>
      <c r="B596" t="str">
        <f t="shared" si="9"/>
        <v>LENT IV кв. 2023</v>
      </c>
      <c r="C596">
        <v>2023</v>
      </c>
      <c r="D596">
        <f>SUMIFS(Дивиденды!$C:$C,Дивиденды!$A:$A,A596,Дивиденды!$I:$I,C596)</f>
        <v>0</v>
      </c>
      <c r="E596">
        <f>IFERROR(IF(VLOOKUP($B596,Показатели!$E:$W,2,FALSE)=0,"",VLOOKUP($B596,Показатели!$E:$W,2,FALSE)),"")</f>
        <v>44516248000</v>
      </c>
      <c r="F596">
        <f>IFERROR(IF(VLOOKUP($B596,Показатели!$E:$W,3,FALSE)=0,"",VLOOKUP($B596,Показатели!$E:$W,3,FALSE)),"")</f>
        <v>140906315000</v>
      </c>
      <c r="G596">
        <f>IFERROR(IF(VLOOKUP($B596,Показатели!$E:$W,4,FALSE)=0,"",VLOOKUP($B596,Показатели!$E:$W,4,FALSE)),"")</f>
        <v>177894356000</v>
      </c>
      <c r="H596">
        <f>IFERROR(IF(VLOOKUP($B596,Показатели!$E:$W,5,FALSE)=0,"",VLOOKUP($B596,Показатели!$E:$W,5,FALSE)),"")</f>
        <v>68521107000</v>
      </c>
      <c r="I596">
        <f>IFERROR(IF(VLOOKUP($B596,Показатели!$E:$W,6,FALSE)=0,"",VLOOKUP($B596,Показатели!$E:$W,6,FALSE)),"")</f>
        <v>462168570000</v>
      </c>
      <c r="J596">
        <f>IFERROR(IF(VLOOKUP($B596,Показатели!$E:$W,7,FALSE)=0,"",VLOOKUP($B596,Показатели!$E:$W,7,FALSE)),"")</f>
        <v>161599740000</v>
      </c>
      <c r="K596">
        <f>IFERROR(IF(VLOOKUP($B596,Показатели!$E:$W,8,FALSE)=0,"",VLOOKUP($B596,Показатели!$E:$W,8,FALSE)),"")</f>
        <v>173723770000</v>
      </c>
      <c r="L596">
        <f>IFERROR(IF(VLOOKUP($B596,Показатели!$E:$W,9,FALSE)=0,"",VLOOKUP($B596,Показатели!$E:$W,9,FALSE)),"")</f>
        <v>81891388000</v>
      </c>
      <c r="M596">
        <f>IFERROR(IF(VLOOKUP($B596,Показатели!$E:$W,10,FALSE)=0,"",VLOOKUP($B596,Показатели!$E:$W,10,FALSE)),"")</f>
        <v>126845060000</v>
      </c>
      <c r="N596">
        <f>IFERROR(IF(VLOOKUP($B596,Показатели!$E:$W,11,FALSE)=0,"",VLOOKUP($B596,Показатели!$E:$W,11,FALSE)),"")</f>
        <v>615923126000</v>
      </c>
      <c r="O596">
        <f>IFERROR(IF(VLOOKUP($B596,Показатели!$E:$W,12,FALSE)=0,"",VLOOKUP($B596,Показатели!$E:$W,12,FALSE)),"")</f>
        <v>12304042000</v>
      </c>
      <c r="P596">
        <f>IFERROR(IF(VLOOKUP($B596,Показатели!$E:$W,13,FALSE)=0,"",VLOOKUP($B596,Показатели!$E:$W,13,FALSE)),"")</f>
        <v>-931294000</v>
      </c>
      <c r="Q596">
        <f>IFERROR(IF(VLOOKUP($B596,Показатели!$E:$W,14,FALSE)=0,"",VLOOKUP($B596,Показатели!$E:$W,14,FALSE)),"")</f>
        <v>-2629374000</v>
      </c>
      <c r="R596">
        <f>IFERROR(IF(VLOOKUP($B596,Показатели!$E:$W,15,FALSE)=0,"",VLOOKUP($B596,Показатели!$E:$W,15,FALSE)),"")</f>
        <v>28086941000</v>
      </c>
      <c r="S596">
        <f>IFERROR(IF(VLOOKUP($B596,Показатели!$E:$W,16,FALSE)=0,"",VLOOKUP($B596,Показатели!$E:$W,16,FALSE)),"")</f>
        <v>47421153000</v>
      </c>
      <c r="T596">
        <f>IFERROR(IF(VLOOKUP($B596,Показатели!$E:$W,17,FALSE)=0,"",VLOOKUP($B596,Показатели!$E:$W,17,FALSE)),"")</f>
        <v>-10980575000</v>
      </c>
      <c r="U596">
        <f>IFERROR(IF(VLOOKUP($B596,Показатели!$E:$W,18,FALSE)=0,"",VLOOKUP($B596,Показатели!$E:$W,18,FALSE)),"")</f>
        <v>537400687000</v>
      </c>
      <c r="V596">
        <f>IFERROR(IF(VLOOKUP($B596,Показатели!$E:$W,19,FALSE)=0,"",VLOOKUP($B596,Показатели!$E:$W,19,FALSE)),"")</f>
        <v>347561983000</v>
      </c>
    </row>
    <row r="597" spans="1:22" x14ac:dyDescent="0.2">
      <c r="A597" s="7" t="s">
        <v>2318</v>
      </c>
      <c r="B597" t="str">
        <f t="shared" si="9"/>
        <v>LENT IV кв. 2022</v>
      </c>
      <c r="C597">
        <v>2022</v>
      </c>
      <c r="D597">
        <f>SUMIFS(Дивиденды!$C:$C,Дивиденды!$A:$A,A597,Дивиденды!$I:$I,C597)</f>
        <v>0</v>
      </c>
      <c r="E597">
        <f>IFERROR(IF(VLOOKUP($B597,Показатели!$E:$W,2,FALSE)=0,"",VLOOKUP($B597,Показатели!$E:$W,2,FALSE)),"")</f>
        <v>29019581000</v>
      </c>
      <c r="F597">
        <f>IFERROR(IF(VLOOKUP($B597,Показатели!$E:$W,3,FALSE)=0,"",VLOOKUP($B597,Показатели!$E:$W,3,FALSE)),"")</f>
        <v>111135716000</v>
      </c>
      <c r="G597">
        <f>IFERROR(IF(VLOOKUP($B597,Показатели!$E:$W,4,FALSE)=0,"",VLOOKUP($B597,Показатели!$E:$W,4,FALSE)),"")</f>
        <v>170962881000</v>
      </c>
      <c r="H597">
        <f>IFERROR(IF(VLOOKUP($B597,Показатели!$E:$W,5,FALSE)=0,"",VLOOKUP($B597,Показатели!$E:$W,5,FALSE)),"")</f>
        <v>13752218000</v>
      </c>
      <c r="I597">
        <f>IFERROR(IF(VLOOKUP($B597,Показатели!$E:$W,6,FALSE)=0,"",VLOOKUP($B597,Показатели!$E:$W,6,FALSE)),"")</f>
        <v>347561983000</v>
      </c>
      <c r="J597">
        <f>IFERROR(IF(VLOOKUP($B597,Показатели!$E:$W,7,FALSE)=0,"",VLOOKUP($B597,Показатели!$E:$W,7,FALSE)),"")</f>
        <v>140408994000</v>
      </c>
      <c r="K597">
        <f>IFERROR(IF(VLOOKUP($B597,Показатели!$E:$W,8,FALSE)=0,"",VLOOKUP($B597,Показатели!$E:$W,8,FALSE)),"")</f>
        <v>77148214000</v>
      </c>
      <c r="L597">
        <f>IFERROR(IF(VLOOKUP($B597,Показатели!$E:$W,9,FALSE)=0,"",VLOOKUP($B597,Показатели!$E:$W,9,FALSE)),"")</f>
        <v>84520762000</v>
      </c>
      <c r="M597">
        <f>IFERROR(IF(VLOOKUP($B597,Показатели!$E:$W,10,FALSE)=0,"",VLOOKUP($B597,Показатели!$E:$W,10,FALSE)),"")</f>
        <v>130004775000</v>
      </c>
      <c r="N597">
        <f>IFERROR(IF(VLOOKUP($B597,Показатели!$E:$W,11,FALSE)=0,"",VLOOKUP($B597,Показатели!$E:$W,11,FALSE)),"")</f>
        <v>537400687000</v>
      </c>
      <c r="O597">
        <f>IFERROR(IF(VLOOKUP($B597,Показатели!$E:$W,12,FALSE)=0,"",VLOOKUP($B597,Показатели!$E:$W,12,FALSE)),"")</f>
        <v>15412470000</v>
      </c>
      <c r="P597">
        <f>IFERROR(IF(VLOOKUP($B597,Показатели!$E:$W,13,FALSE)=0,"",VLOOKUP($B597,Показатели!$E:$W,13,FALSE)),"")</f>
        <v>5557156000</v>
      </c>
      <c r="Q597">
        <f>IFERROR(IF(VLOOKUP($B597,Показатели!$E:$W,14,FALSE)=0,"",VLOOKUP($B597,Показатели!$E:$W,14,FALSE)),"")</f>
        <v>3611429000</v>
      </c>
      <c r="R597">
        <f>IFERROR(IF(VLOOKUP($B597,Показатели!$E:$W,15,FALSE)=0,"",VLOOKUP($B597,Показатели!$E:$W,15,FALSE)),"")</f>
        <v>25930430000</v>
      </c>
      <c r="S597">
        <f>IFERROR(IF(VLOOKUP($B597,Показатели!$E:$W,16,FALSE)=0,"",VLOOKUP($B597,Показатели!$E:$W,16,FALSE)),"")</f>
        <v>43665141000</v>
      </c>
      <c r="T597">
        <f>IFERROR(IF(VLOOKUP($B597,Показатели!$E:$W,17,FALSE)=0,"",VLOOKUP($B597,Показатели!$E:$W,17,FALSE)),"")</f>
        <v>-10818731000</v>
      </c>
      <c r="U597">
        <f>IFERROR(IF(VLOOKUP($B597,Показатели!$E:$W,18,FALSE)=0,"",VLOOKUP($B597,Показатели!$E:$W,18,FALSE)),"")</f>
        <v>483640887000</v>
      </c>
      <c r="V597">
        <f>IFERROR(IF(VLOOKUP($B597,Показатели!$E:$W,19,FALSE)=0,"",VLOOKUP($B597,Показатели!$E:$W,19,FALSE)),"")</f>
        <v>343288021000</v>
      </c>
    </row>
    <row r="598" spans="1:22" x14ac:dyDescent="0.2">
      <c r="A598" s="7" t="s">
        <v>2318</v>
      </c>
      <c r="B598" t="str">
        <f t="shared" si="9"/>
        <v>LENT IV кв. 2021</v>
      </c>
      <c r="C598">
        <v>2021</v>
      </c>
      <c r="D598">
        <f>SUMIFS(Дивиденды!$C:$C,Дивиденды!$A:$A,A598,Дивиденды!$I:$I,C598)</f>
        <v>0</v>
      </c>
      <c r="E598">
        <f>IFERROR(IF(VLOOKUP($B598,Показатели!$E:$W,2,FALSE)=0,"",VLOOKUP($B598,Показатели!$E:$W,2,FALSE)),"")</f>
        <v>33326489000</v>
      </c>
      <c r="F598">
        <f>IFERROR(IF(VLOOKUP($B598,Показатели!$E:$W,3,FALSE)=0,"",VLOOKUP($B598,Показатели!$E:$W,3,FALSE)),"")</f>
        <v>101007437000</v>
      </c>
      <c r="G598">
        <f>IFERROR(IF(VLOOKUP($B598,Показатели!$E:$W,4,FALSE)=0,"",VLOOKUP($B598,Показатели!$E:$W,4,FALSE)),"")</f>
        <v>170369752000</v>
      </c>
      <c r="H598">
        <f>IFERROR(IF(VLOOKUP($B598,Показатели!$E:$W,5,FALSE)=0,"",VLOOKUP($B598,Показатели!$E:$W,5,FALSE)),"")</f>
        <v>11448017000</v>
      </c>
      <c r="I598">
        <f>IFERROR(IF(VLOOKUP($B598,Показатели!$E:$W,6,FALSE)=0,"",VLOOKUP($B598,Показатели!$E:$W,6,FALSE)),"")</f>
        <v>343288021000</v>
      </c>
      <c r="J598">
        <f>IFERROR(IF(VLOOKUP($B598,Показатели!$E:$W,7,FALSE)=0,"",VLOOKUP($B598,Показатели!$E:$W,7,FALSE)),"")</f>
        <v>107275971000</v>
      </c>
      <c r="K598">
        <f>IFERROR(IF(VLOOKUP($B598,Показатели!$E:$W,8,FALSE)=0,"",VLOOKUP($B598,Показатели!$E:$W,8,FALSE)),"")</f>
        <v>129051127000</v>
      </c>
      <c r="L598">
        <f>IFERROR(IF(VLOOKUP($B598,Показатели!$E:$W,9,FALSE)=0,"",VLOOKUP($B598,Показатели!$E:$W,9,FALSE)),"")</f>
        <v>80909333000</v>
      </c>
      <c r="M598">
        <f>IFERROR(IF(VLOOKUP($B598,Показатели!$E:$W,10,FALSE)=0,"",VLOOKUP($B598,Показатели!$E:$W,10,FALSE)),"")</f>
        <v>106960923000</v>
      </c>
      <c r="N598">
        <f>IFERROR(IF(VLOOKUP($B598,Показатели!$E:$W,11,FALSE)=0,"",VLOOKUP($B598,Показатели!$E:$W,11,FALSE)),"")</f>
        <v>483640887000</v>
      </c>
      <c r="O598">
        <f>IFERROR(IF(VLOOKUP($B598,Показатели!$E:$W,12,FALSE)=0,"",VLOOKUP($B598,Показатели!$E:$W,12,FALSE)),"")</f>
        <v>25422224000</v>
      </c>
      <c r="P598">
        <f>IFERROR(IF(VLOOKUP($B598,Показатели!$E:$W,13,FALSE)=0,"",VLOOKUP($B598,Показатели!$E:$W,13,FALSE)),"")</f>
        <v>16470490000</v>
      </c>
      <c r="Q598">
        <f>IFERROR(IF(VLOOKUP($B598,Показатели!$E:$W,14,FALSE)=0,"",VLOOKUP($B598,Показатели!$E:$W,14,FALSE)),"")</f>
        <v>12479546000</v>
      </c>
      <c r="R598">
        <f>IFERROR(IF(VLOOKUP($B598,Показатели!$E:$W,15,FALSE)=0,"",VLOOKUP($B598,Показатели!$E:$W,15,FALSE)),"")</f>
        <v>21626854000</v>
      </c>
      <c r="S598">
        <f>IFERROR(IF(VLOOKUP($B598,Показатели!$E:$W,16,FALSE)=0,"",VLOOKUP($B598,Показатели!$E:$W,16,FALSE)),"")</f>
        <v>46885172000</v>
      </c>
      <c r="T598">
        <f>IFERROR(IF(VLOOKUP($B598,Показатели!$E:$W,17,FALSE)=0,"",VLOOKUP($B598,Показатели!$E:$W,17,FALSE)),"")</f>
        <v>-9339252000</v>
      </c>
      <c r="U598">
        <f>IFERROR(IF(VLOOKUP($B598,Показатели!$E:$W,18,FALSE)=0,"",VLOOKUP($B598,Показатели!$E:$W,18,FALSE)),"")</f>
        <v>445543829000</v>
      </c>
      <c r="V598">
        <f>IFERROR(IF(VLOOKUP($B598,Показатели!$E:$W,19,FALSE)=0,"",VLOOKUP($B598,Показатели!$E:$W,19,FALSE)),"")</f>
        <v>278461182000</v>
      </c>
    </row>
    <row r="599" spans="1:22" x14ac:dyDescent="0.2">
      <c r="A599" s="7" t="s">
        <v>2318</v>
      </c>
      <c r="B599" t="str">
        <f t="shared" si="9"/>
        <v>LENT IV кв. 2020</v>
      </c>
      <c r="C599">
        <v>2020</v>
      </c>
      <c r="D599">
        <f>SUMIFS(Дивиденды!$C:$C,Дивиденды!$A:$A,A599,Дивиденды!$I:$I,C599)</f>
        <v>0</v>
      </c>
      <c r="E599">
        <f>IFERROR(IF(VLOOKUP($B599,Показатели!$E:$W,2,FALSE)=0,"",VLOOKUP($B599,Показатели!$E:$W,2,FALSE)),"")</f>
        <v>21808874000</v>
      </c>
      <c r="F599">
        <f>IFERROR(IF(VLOOKUP($B599,Показатели!$E:$W,3,FALSE)=0,"",VLOOKUP($B599,Показатели!$E:$W,3,FALSE)),"")</f>
        <v>77205042000</v>
      </c>
      <c r="G599">
        <f>IFERROR(IF(VLOOKUP($B599,Показатели!$E:$W,4,FALSE)=0,"",VLOOKUP($B599,Показатели!$E:$W,4,FALSE)),"")</f>
        <v>163900997000</v>
      </c>
      <c r="H599">
        <f>IFERROR(IF(VLOOKUP($B599,Показатели!$E:$W,5,FALSE)=0,"",VLOOKUP($B599,Показатели!$E:$W,5,FALSE)),"")</f>
        <v>2580972000</v>
      </c>
      <c r="I599">
        <f>IFERROR(IF(VLOOKUP($B599,Показатели!$E:$W,6,FALSE)=0,"",VLOOKUP($B599,Показатели!$E:$W,6,FALSE)),"")</f>
        <v>278461182000</v>
      </c>
      <c r="J599">
        <f>IFERROR(IF(VLOOKUP($B599,Показатели!$E:$W,7,FALSE)=0,"",VLOOKUP($B599,Показатели!$E:$W,7,FALSE)),"")</f>
        <v>100189171000</v>
      </c>
      <c r="K599">
        <f>IFERROR(IF(VLOOKUP($B599,Показатели!$E:$W,8,FALSE)=0,"",VLOOKUP($B599,Показатели!$E:$W,8,FALSE)),"")</f>
        <v>83790663000</v>
      </c>
      <c r="L599">
        <f>IFERROR(IF(VLOOKUP($B599,Показатели!$E:$W,9,FALSE)=0,"",VLOOKUP($B599,Показатели!$E:$W,9,FALSE)),"")</f>
        <v>68382844000</v>
      </c>
      <c r="M599">
        <f>IFERROR(IF(VLOOKUP($B599,Показатели!$E:$W,10,FALSE)=0,"",VLOOKUP($B599,Показатели!$E:$W,10,FALSE)),"")</f>
        <v>94481348000</v>
      </c>
      <c r="N599">
        <f>IFERROR(IF(VLOOKUP($B599,Показатели!$E:$W,11,FALSE)=0,"",VLOOKUP($B599,Показатели!$E:$W,11,FALSE)),"")</f>
        <v>445543829000</v>
      </c>
      <c r="O599">
        <f>IFERROR(IF(VLOOKUP($B599,Показатели!$E:$W,12,FALSE)=0,"",VLOOKUP($B599,Показатели!$E:$W,12,FALSE)),"")</f>
        <v>29286021000</v>
      </c>
      <c r="P599">
        <f>IFERROR(IF(VLOOKUP($B599,Показатели!$E:$W,13,FALSE)=0,"",VLOOKUP($B599,Показатели!$E:$W,13,FALSE)),"")</f>
        <v>19997615000</v>
      </c>
      <c r="Q599">
        <f>IFERROR(IF(VLOOKUP($B599,Показатели!$E:$W,14,FALSE)=0,"",VLOOKUP($B599,Показатели!$E:$W,14,FALSE)),"")</f>
        <v>16540631000</v>
      </c>
      <c r="R599">
        <f>IFERROR(IF(VLOOKUP($B599,Показатели!$E:$W,15,FALSE)=0,"",VLOOKUP($B599,Показатели!$E:$W,15,FALSE)),"")</f>
        <v>18540233000</v>
      </c>
      <c r="S599">
        <f>IFERROR(IF(VLOOKUP($B599,Показатели!$E:$W,16,FALSE)=0,"",VLOOKUP($B599,Показатели!$E:$W,16,FALSE)),"")</f>
        <v>44919129000</v>
      </c>
      <c r="T599">
        <f>IFERROR(IF(VLOOKUP($B599,Показатели!$E:$W,17,FALSE)=0,"",VLOOKUP($B599,Показатели!$E:$W,17,FALSE)),"")</f>
        <v>-7612088000</v>
      </c>
      <c r="U599">
        <f>IFERROR(IF(VLOOKUP($B599,Показатели!$E:$W,18,FALSE)=0,"",VLOOKUP($B599,Показатели!$E:$W,18,FALSE)),"")</f>
        <v>417500015000</v>
      </c>
      <c r="V599">
        <f>IFERROR(IF(VLOOKUP($B599,Показатели!$E:$W,19,FALSE)=0,"",VLOOKUP($B599,Показатели!$E:$W,19,FALSE)),"")</f>
        <v>325450268000</v>
      </c>
    </row>
    <row r="600" spans="1:22" x14ac:dyDescent="0.2">
      <c r="A600" s="7" t="s">
        <v>2318</v>
      </c>
      <c r="B600" t="str">
        <f t="shared" si="9"/>
        <v>LENT IV кв. 2019</v>
      </c>
      <c r="C600">
        <v>2019</v>
      </c>
      <c r="D600">
        <f>SUMIFS(Дивиденды!$C:$C,Дивиденды!$A:$A,A600,Дивиденды!$I:$I,C600)</f>
        <v>0</v>
      </c>
      <c r="E600">
        <f>IFERROR(IF(VLOOKUP($B600,Показатели!$E:$W,2,FALSE)=0,"",VLOOKUP($B600,Показатели!$E:$W,2,FALSE)),"")</f>
        <v>73404760000</v>
      </c>
      <c r="F600">
        <f>IFERROR(IF(VLOOKUP($B600,Показатели!$E:$W,3,FALSE)=0,"",VLOOKUP($B600,Показатели!$E:$W,3,FALSE)),"")</f>
        <v>122311481000</v>
      </c>
      <c r="G600">
        <f>IFERROR(IF(VLOOKUP($B600,Показатели!$E:$W,4,FALSE)=0,"",VLOOKUP($B600,Показатели!$E:$W,4,FALSE)),"")</f>
        <v>165443239000</v>
      </c>
      <c r="H600">
        <f>IFERROR(IF(VLOOKUP($B600,Показатели!$E:$W,5,FALSE)=0,"",VLOOKUP($B600,Показатели!$E:$W,5,FALSE)),"")</f>
        <v>2270975000</v>
      </c>
      <c r="I600">
        <f>IFERROR(IF(VLOOKUP($B600,Показатели!$E:$W,6,FALSE)=0,"",VLOOKUP($B600,Показатели!$E:$W,6,FALSE)),"")</f>
        <v>325450268000</v>
      </c>
      <c r="J600">
        <f>IFERROR(IF(VLOOKUP($B600,Показатели!$E:$W,7,FALSE)=0,"",VLOOKUP($B600,Показатели!$E:$W,7,FALSE)),"")</f>
        <v>129160225000</v>
      </c>
      <c r="K600">
        <f>IFERROR(IF(VLOOKUP($B600,Показатели!$E:$W,8,FALSE)=0,"",VLOOKUP($B600,Показатели!$E:$W,8,FALSE)),"")</f>
        <v>118139151000</v>
      </c>
      <c r="L600">
        <f>IFERROR(IF(VLOOKUP($B600,Показатели!$E:$W,9,FALSE)=0,"",VLOOKUP($B600,Показатели!$E:$W,9,FALSE)),"")</f>
        <v>51708795000</v>
      </c>
      <c r="M600">
        <f>IFERROR(IF(VLOOKUP($B600,Показатели!$E:$W,10,FALSE)=0,"",VLOOKUP($B600,Показатели!$E:$W,10,FALSE)),"")</f>
        <v>78150892000</v>
      </c>
      <c r="N600">
        <f>IFERROR(IF(VLOOKUP($B600,Показатели!$E:$W,11,FALSE)=0,"",VLOOKUP($B600,Показатели!$E:$W,11,FALSE)),"")</f>
        <v>417500015000</v>
      </c>
      <c r="O600">
        <f>IFERROR(IF(VLOOKUP($B600,Показатели!$E:$W,12,FALSE)=0,"",VLOOKUP($B600,Показатели!$E:$W,12,FALSE)),"")</f>
        <v>9216075000</v>
      </c>
      <c r="P600">
        <f>IFERROR(IF(VLOOKUP($B600,Показатели!$E:$W,13,FALSE)=0,"",VLOOKUP($B600,Показатели!$E:$W,13,FALSE)),"")</f>
        <v>-2603190000</v>
      </c>
      <c r="Q600">
        <f>IFERROR(IF(VLOOKUP($B600,Показатели!$E:$W,14,FALSE)=0,"",VLOOKUP($B600,Показатели!$E:$W,14,FALSE)),"")</f>
        <v>-2793874000</v>
      </c>
      <c r="R600">
        <f>IFERROR(IF(VLOOKUP($B600,Показатели!$E:$W,15,FALSE)=0,"",VLOOKUP($B600,Показатели!$E:$W,15,FALSE)),"")</f>
        <v>18439679000</v>
      </c>
      <c r="S600">
        <f>IFERROR(IF(VLOOKUP($B600,Показатели!$E:$W,16,FALSE)=0,"",VLOOKUP($B600,Показатели!$E:$W,16,FALSE)),"")</f>
        <v>39505713000</v>
      </c>
      <c r="T600">
        <f>IFERROR(IF(VLOOKUP($B600,Показатели!$E:$W,17,FALSE)=0,"",VLOOKUP($B600,Показатели!$E:$W,17,FALSE)),"")</f>
        <v>-14041075000</v>
      </c>
      <c r="U600">
        <f>IFERROR(IF(VLOOKUP($B600,Показатели!$E:$W,18,FALSE)=0,"",VLOOKUP($B600,Показатели!$E:$W,18,FALSE)),"")</f>
        <v>413562197000</v>
      </c>
      <c r="V600">
        <f>IFERROR(IF(VLOOKUP($B600,Показатели!$E:$W,19,FALSE)=0,"",VLOOKUP($B600,Показатели!$E:$W,19,FALSE)),"")</f>
        <v>278393188000</v>
      </c>
    </row>
    <row r="601" spans="1:22" x14ac:dyDescent="0.2">
      <c r="A601" s="7" t="s">
        <v>2318</v>
      </c>
      <c r="B601" t="str">
        <f t="shared" si="9"/>
        <v>LENT IV кв. 2018</v>
      </c>
      <c r="C601">
        <v>2018</v>
      </c>
      <c r="D601">
        <f>SUMIFS(Дивиденды!$C:$C,Дивиденды!$A:$A,A601,Дивиденды!$I:$I,C601)</f>
        <v>0</v>
      </c>
      <c r="E601">
        <f>IFERROR(IF(VLOOKUP($B601,Показатели!$E:$W,2,FALSE)=0,"",VLOOKUP($B601,Показатели!$E:$W,2,FALSE)),"")</f>
        <v>33804860000</v>
      </c>
      <c r="F601">
        <f>IFERROR(IF(VLOOKUP($B601,Показатели!$E:$W,3,FALSE)=0,"",VLOOKUP($B601,Показатели!$E:$W,3,FALSE)),"")</f>
        <v>90465976000</v>
      </c>
      <c r="G601">
        <f>IFERROR(IF(VLOOKUP($B601,Показатели!$E:$W,4,FALSE)=0,"",VLOOKUP($B601,Показатели!$E:$W,4,FALSE)),"")</f>
        <v>177024063000</v>
      </c>
      <c r="H601">
        <f>IFERROR(IF(VLOOKUP($B601,Показатели!$E:$W,5,FALSE)=0,"",VLOOKUP($B601,Показатели!$E:$W,5,FALSE)),"")</f>
        <v>5076427000</v>
      </c>
      <c r="I601">
        <f>IFERROR(IF(VLOOKUP($B601,Показатели!$E:$W,6,FALSE)=0,"",VLOOKUP($B601,Показатели!$E:$W,6,FALSE)),"")</f>
        <v>278393188000</v>
      </c>
      <c r="J601">
        <f>IFERROR(IF(VLOOKUP($B601,Показатели!$E:$W,7,FALSE)=0,"",VLOOKUP($B601,Показатели!$E:$W,7,FALSE)),"")</f>
        <v>79261482000</v>
      </c>
      <c r="K601">
        <f>IFERROR(IF(VLOOKUP($B601,Показатели!$E:$W,8,FALSE)=0,"",VLOOKUP($B601,Показатели!$E:$W,8,FALSE)),"")</f>
        <v>116381047000</v>
      </c>
      <c r="L601">
        <f>IFERROR(IF(VLOOKUP($B601,Показатели!$E:$W,9,FALSE)=0,"",VLOOKUP($B601,Показатели!$E:$W,9,FALSE)),"")</f>
        <v>55473276000</v>
      </c>
      <c r="M601">
        <f>IFERROR(IF(VLOOKUP($B601,Показатели!$E:$W,10,FALSE)=0,"",VLOOKUP($B601,Показатели!$E:$W,10,FALSE)),"")</f>
        <v>82750659000</v>
      </c>
      <c r="N601">
        <f>IFERROR(IF(VLOOKUP($B601,Показатели!$E:$W,11,FALSE)=0,"",VLOOKUP($B601,Показатели!$E:$W,11,FALSE)),"")</f>
        <v>413562197000</v>
      </c>
      <c r="O601">
        <f>IFERROR(IF(VLOOKUP($B601,Показатели!$E:$W,12,FALSE)=0,"",VLOOKUP($B601,Показатели!$E:$W,12,FALSE)),"")</f>
        <v>24084453000</v>
      </c>
      <c r="P601">
        <f>IFERROR(IF(VLOOKUP($B601,Показатели!$E:$W,13,FALSE)=0,"",VLOOKUP($B601,Показатели!$E:$W,13,FALSE)),"")</f>
        <v>14817282000</v>
      </c>
      <c r="Q601">
        <f>IFERROR(IF(VLOOKUP($B601,Показатели!$E:$W,14,FALSE)=0,"",VLOOKUP($B601,Показатели!$E:$W,14,FALSE)),"")</f>
        <v>11794294000</v>
      </c>
      <c r="R601">
        <f>IFERROR(IF(VLOOKUP($B601,Показатели!$E:$W,15,FALSE)=0,"",VLOOKUP($B601,Показатели!$E:$W,15,FALSE)),"")</f>
        <v>12109707000</v>
      </c>
      <c r="S601">
        <f>IFERROR(IF(VLOOKUP($B601,Показатели!$E:$W,16,FALSE)=0,"",VLOOKUP($B601,Показатели!$E:$W,16,FALSE)),"")</f>
        <v>36194160000</v>
      </c>
      <c r="T601">
        <f>IFERROR(IF(VLOOKUP($B601,Показатели!$E:$W,17,FALSE)=0,"",VLOOKUP($B601,Показатели!$E:$W,17,FALSE)),"")</f>
        <v>-22321415000</v>
      </c>
      <c r="U601">
        <f>IFERROR(IF(VLOOKUP($B601,Показатели!$E:$W,18,FALSE)=0,"",VLOOKUP($B601,Показатели!$E:$W,18,FALSE)),"")</f>
        <v>365177586000</v>
      </c>
      <c r="V601">
        <f>IFERROR(IF(VLOOKUP($B601,Показатели!$E:$W,19,FALSE)=0,"",VLOOKUP($B601,Показатели!$E:$W,19,FALSE)),"")</f>
        <v>246730588000</v>
      </c>
    </row>
    <row r="602" spans="1:22" x14ac:dyDescent="0.2">
      <c r="A602" s="7" t="s">
        <v>2318</v>
      </c>
      <c r="B602" t="str">
        <f t="shared" si="9"/>
        <v>LENT IV кв. 2017</v>
      </c>
      <c r="C602">
        <v>2017</v>
      </c>
      <c r="D602">
        <f>SUMIFS(Дивиденды!$C:$C,Дивиденды!$A:$A,A602,Дивиденды!$I:$I,C602)</f>
        <v>0</v>
      </c>
      <c r="E602">
        <f>IFERROR(IF(VLOOKUP($B602,Показатели!$E:$W,2,FALSE)=0,"",VLOOKUP($B602,Показатели!$E:$W,2,FALSE)),"")</f>
        <v>14301859000</v>
      </c>
      <c r="F602">
        <f>IFERROR(IF(VLOOKUP($B602,Показатели!$E:$W,3,FALSE)=0,"",VLOOKUP($B602,Показатели!$E:$W,3,FALSE)),"")</f>
        <v>68485155000</v>
      </c>
      <c r="G602">
        <f>IFERROR(IF(VLOOKUP($B602,Показатели!$E:$W,4,FALSE)=0,"",VLOOKUP($B602,Показатели!$E:$W,4,FALSE)),"")</f>
        <v>170308406000</v>
      </c>
      <c r="H602">
        <f>IFERROR(IF(VLOOKUP($B602,Показатели!$E:$W,5,FALSE)=0,"",VLOOKUP($B602,Показатели!$E:$W,5,FALSE)),"")</f>
        <v>4891743000</v>
      </c>
      <c r="I602">
        <f>IFERROR(IF(VLOOKUP($B602,Показатели!$E:$W,6,FALSE)=0,"",VLOOKUP($B602,Показатели!$E:$W,6,FALSE)),"")</f>
        <v>246730588000</v>
      </c>
      <c r="J602">
        <f>IFERROR(IF(VLOOKUP($B602,Показатели!$E:$W,7,FALSE)=0,"",VLOOKUP($B602,Показатели!$E:$W,7,FALSE)),"")</f>
        <v>104362376000</v>
      </c>
      <c r="K602">
        <f>IFERROR(IF(VLOOKUP($B602,Показатели!$E:$W,8,FALSE)=0,"",VLOOKUP($B602,Показатели!$E:$W,8,FALSE)),"")</f>
        <v>70580936000</v>
      </c>
      <c r="L602">
        <f>IFERROR(IF(VLOOKUP($B602,Показатели!$E:$W,9,FALSE)=0,"",VLOOKUP($B602,Показатели!$E:$W,9,FALSE)),"")</f>
        <v>44316449000</v>
      </c>
      <c r="M602">
        <f>IFERROR(IF(VLOOKUP($B602,Показатели!$E:$W,10,FALSE)=0,"",VLOOKUP($B602,Показатели!$E:$W,10,FALSE)),"")</f>
        <v>71787276000</v>
      </c>
      <c r="N602">
        <f>IFERROR(IF(VLOOKUP($B602,Показатели!$E:$W,11,FALSE)=0,"",VLOOKUP($B602,Показатели!$E:$W,11,FALSE)),"")</f>
        <v>365177586000</v>
      </c>
      <c r="O602">
        <f>IFERROR(IF(VLOOKUP($B602,Показатели!$E:$W,12,FALSE)=0,"",VLOOKUP($B602,Показатели!$E:$W,12,FALSE)),"")</f>
        <v>25576564000</v>
      </c>
      <c r="P602">
        <f>IFERROR(IF(VLOOKUP($B602,Показатели!$E:$W,13,FALSE)=0,"",VLOOKUP($B602,Показатели!$E:$W,13,FALSE)),"")</f>
        <v>15171893000</v>
      </c>
      <c r="Q602">
        <f>IFERROR(IF(VLOOKUP($B602,Показатели!$E:$W,14,FALSE)=0,"",VLOOKUP($B602,Показатели!$E:$W,14,FALSE)),"")</f>
        <v>13263539000</v>
      </c>
      <c r="R602">
        <f>IFERROR(IF(VLOOKUP($B602,Показатели!$E:$W,15,FALSE)=0,"",VLOOKUP($B602,Показатели!$E:$W,15,FALSE)),"")</f>
        <v>9691447000</v>
      </c>
      <c r="S602">
        <f>IFERROR(IF(VLOOKUP($B602,Показатели!$E:$W,16,FALSE)=0,"",VLOOKUP($B602,Показатели!$E:$W,16,FALSE)),"")</f>
        <v>35490158000</v>
      </c>
      <c r="T602">
        <f>IFERROR(IF(VLOOKUP($B602,Показатели!$E:$W,17,FALSE)=0,"",VLOOKUP($B602,Показатели!$E:$W,17,FALSE)),"")</f>
        <v>-27600534000</v>
      </c>
      <c r="U602" t="str">
        <f>IFERROR(IF(VLOOKUP($B602,Показатели!$E:$W,18,FALSE)=0,"",VLOOKUP($B602,Показатели!$E:$W,18,FALSE)),"")</f>
        <v/>
      </c>
      <c r="V602" t="str">
        <f>IFERROR(IF(VLOOKUP($B602,Показатели!$E:$W,19,FALSE)=0,"",VLOOKUP($B602,Показатели!$E:$W,19,FALSE)),"")</f>
        <v/>
      </c>
    </row>
    <row r="603" spans="1:22" x14ac:dyDescent="0.2">
      <c r="A603" s="7" t="s">
        <v>2318</v>
      </c>
      <c r="B603" t="str">
        <f t="shared" si="9"/>
        <v>LENT IV кв. 2016</v>
      </c>
      <c r="C603">
        <v>2016</v>
      </c>
      <c r="D603">
        <f>SUMIFS(Дивиденды!$C:$C,Дивиденды!$A:$A,A603,Дивиденды!$I:$I,C603)</f>
        <v>0</v>
      </c>
      <c r="E603" t="str">
        <f>IFERROR(IF(VLOOKUP($B603,Показатели!$E:$W,2,FALSE)=0,"",VLOOKUP($B603,Показатели!$E:$W,2,FALSE)),"")</f>
        <v/>
      </c>
      <c r="F603" t="str">
        <f>IFERROR(IF(VLOOKUP($B603,Показатели!$E:$W,3,FALSE)=0,"",VLOOKUP($B603,Показатели!$E:$W,3,FALSE)),"")</f>
        <v/>
      </c>
      <c r="G603" t="str">
        <f>IFERROR(IF(VLOOKUP($B603,Показатели!$E:$W,4,FALSE)=0,"",VLOOKUP($B603,Показатели!$E:$W,4,FALSE)),"")</f>
        <v/>
      </c>
      <c r="H603" t="str">
        <f>IFERROR(IF(VLOOKUP($B603,Показатели!$E:$W,5,FALSE)=0,"",VLOOKUP($B603,Показатели!$E:$W,5,FALSE)),"")</f>
        <v/>
      </c>
      <c r="I603" t="str">
        <f>IFERROR(IF(VLOOKUP($B603,Показатели!$E:$W,6,FALSE)=0,"",VLOOKUP($B603,Показатели!$E:$W,6,FALSE)),"")</f>
        <v/>
      </c>
      <c r="J603" t="str">
        <f>IFERROR(IF(VLOOKUP($B603,Показатели!$E:$W,7,FALSE)=0,"",VLOOKUP($B603,Показатели!$E:$W,7,FALSE)),"")</f>
        <v/>
      </c>
      <c r="K603" t="str">
        <f>IFERROR(IF(VLOOKUP($B603,Показатели!$E:$W,8,FALSE)=0,"",VLOOKUP($B603,Показатели!$E:$W,8,FALSE)),"")</f>
        <v/>
      </c>
      <c r="L603" t="str">
        <f>IFERROR(IF(VLOOKUP($B603,Показатели!$E:$W,9,FALSE)=0,"",VLOOKUP($B603,Показатели!$E:$W,9,FALSE)),"")</f>
        <v/>
      </c>
      <c r="M603" t="str">
        <f>IFERROR(IF(VLOOKUP($B603,Показатели!$E:$W,10,FALSE)=0,"",VLOOKUP($B603,Показатели!$E:$W,10,FALSE)),"")</f>
        <v/>
      </c>
      <c r="N603" t="str">
        <f>IFERROR(IF(VLOOKUP($B603,Показатели!$E:$W,11,FALSE)=0,"",VLOOKUP($B603,Показатели!$E:$W,11,FALSE)),"")</f>
        <v/>
      </c>
      <c r="O603" t="str">
        <f>IFERROR(IF(VLOOKUP($B603,Показатели!$E:$W,12,FALSE)=0,"",VLOOKUP($B603,Показатели!$E:$W,12,FALSE)),"")</f>
        <v/>
      </c>
      <c r="P603" t="str">
        <f>IFERROR(IF(VLOOKUP($B603,Показатели!$E:$W,13,FALSE)=0,"",VLOOKUP($B603,Показатели!$E:$W,13,FALSE)),"")</f>
        <v/>
      </c>
      <c r="Q603" t="str">
        <f>IFERROR(IF(VLOOKUP($B603,Показатели!$E:$W,14,FALSE)=0,"",VLOOKUP($B603,Показатели!$E:$W,14,FALSE)),"")</f>
        <v/>
      </c>
      <c r="R603" t="str">
        <f>IFERROR(IF(VLOOKUP($B603,Показатели!$E:$W,15,FALSE)=0,"",VLOOKUP($B603,Показатели!$E:$W,15,FALSE)),"")</f>
        <v/>
      </c>
      <c r="S603" t="str">
        <f>IFERROR(IF(VLOOKUP($B603,Показатели!$E:$W,16,FALSE)=0,"",VLOOKUP($B603,Показатели!$E:$W,16,FALSE)),"")</f>
        <v/>
      </c>
      <c r="T603" t="str">
        <f>IFERROR(IF(VLOOKUP($B603,Показатели!$E:$W,17,FALSE)=0,"",VLOOKUP($B603,Показатели!$E:$W,17,FALSE)),"")</f>
        <v/>
      </c>
      <c r="U603" t="str">
        <f>IFERROR(IF(VLOOKUP($B603,Показатели!$E:$W,18,FALSE)=0,"",VLOOKUP($B603,Показатели!$E:$W,18,FALSE)),"")</f>
        <v/>
      </c>
      <c r="V603" t="str">
        <f>IFERROR(IF(VLOOKUP($B603,Показатели!$E:$W,19,FALSE)=0,"",VLOOKUP($B603,Показатели!$E:$W,19,FALSE)),"")</f>
        <v/>
      </c>
    </row>
    <row r="604" spans="1:22" x14ac:dyDescent="0.2">
      <c r="A604" s="7" t="s">
        <v>2318</v>
      </c>
      <c r="B604" t="str">
        <f t="shared" si="9"/>
        <v>LENT IV кв. 2015</v>
      </c>
      <c r="C604">
        <v>2015</v>
      </c>
      <c r="D604">
        <f>SUMIFS(Дивиденды!$C:$C,Дивиденды!$A:$A,A604,Дивиденды!$I:$I,C604)</f>
        <v>0</v>
      </c>
      <c r="E604" t="str">
        <f>IFERROR(IF(VLOOKUP($B604,Показатели!$E:$W,2,FALSE)=0,"",VLOOKUP($B604,Показатели!$E:$W,2,FALSE)),"")</f>
        <v/>
      </c>
      <c r="F604" t="str">
        <f>IFERROR(IF(VLOOKUP($B604,Показатели!$E:$W,3,FALSE)=0,"",VLOOKUP($B604,Показатели!$E:$W,3,FALSE)),"")</f>
        <v/>
      </c>
      <c r="G604" t="str">
        <f>IFERROR(IF(VLOOKUP($B604,Показатели!$E:$W,4,FALSE)=0,"",VLOOKUP($B604,Показатели!$E:$W,4,FALSE)),"")</f>
        <v/>
      </c>
      <c r="H604" t="str">
        <f>IFERROR(IF(VLOOKUP($B604,Показатели!$E:$W,5,FALSE)=0,"",VLOOKUP($B604,Показатели!$E:$W,5,FALSE)),"")</f>
        <v/>
      </c>
      <c r="I604" t="str">
        <f>IFERROR(IF(VLOOKUP($B604,Показатели!$E:$W,6,FALSE)=0,"",VLOOKUP($B604,Показатели!$E:$W,6,FALSE)),"")</f>
        <v/>
      </c>
      <c r="J604" t="str">
        <f>IFERROR(IF(VLOOKUP($B604,Показатели!$E:$W,7,FALSE)=0,"",VLOOKUP($B604,Показатели!$E:$W,7,FALSE)),"")</f>
        <v/>
      </c>
      <c r="K604" t="str">
        <f>IFERROR(IF(VLOOKUP($B604,Показатели!$E:$W,8,FALSE)=0,"",VLOOKUP($B604,Показатели!$E:$W,8,FALSE)),"")</f>
        <v/>
      </c>
      <c r="L604" t="str">
        <f>IFERROR(IF(VLOOKUP($B604,Показатели!$E:$W,9,FALSE)=0,"",VLOOKUP($B604,Показатели!$E:$W,9,FALSE)),"")</f>
        <v/>
      </c>
      <c r="M604" t="str">
        <f>IFERROR(IF(VLOOKUP($B604,Показатели!$E:$W,10,FALSE)=0,"",VLOOKUP($B604,Показатели!$E:$W,10,FALSE)),"")</f>
        <v/>
      </c>
      <c r="N604" t="str">
        <f>IFERROR(IF(VLOOKUP($B604,Показатели!$E:$W,11,FALSE)=0,"",VLOOKUP($B604,Показатели!$E:$W,11,FALSE)),"")</f>
        <v/>
      </c>
      <c r="O604" t="str">
        <f>IFERROR(IF(VLOOKUP($B604,Показатели!$E:$W,12,FALSE)=0,"",VLOOKUP($B604,Показатели!$E:$W,12,FALSE)),"")</f>
        <v/>
      </c>
      <c r="P604" t="str">
        <f>IFERROR(IF(VLOOKUP($B604,Показатели!$E:$W,13,FALSE)=0,"",VLOOKUP($B604,Показатели!$E:$W,13,FALSE)),"")</f>
        <v/>
      </c>
      <c r="Q604" t="str">
        <f>IFERROR(IF(VLOOKUP($B604,Показатели!$E:$W,14,FALSE)=0,"",VLOOKUP($B604,Показатели!$E:$W,14,FALSE)),"")</f>
        <v/>
      </c>
      <c r="R604" t="str">
        <f>IFERROR(IF(VLOOKUP($B604,Показатели!$E:$W,15,FALSE)=0,"",VLOOKUP($B604,Показатели!$E:$W,15,FALSE)),"")</f>
        <v/>
      </c>
      <c r="S604" t="str">
        <f>IFERROR(IF(VLOOKUP($B604,Показатели!$E:$W,16,FALSE)=0,"",VLOOKUP($B604,Показатели!$E:$W,16,FALSE)),"")</f>
        <v/>
      </c>
      <c r="T604" t="str">
        <f>IFERROR(IF(VLOOKUP($B604,Показатели!$E:$W,17,FALSE)=0,"",VLOOKUP($B604,Показатели!$E:$W,17,FALSE)),"")</f>
        <v/>
      </c>
      <c r="U604" t="str">
        <f>IFERROR(IF(VLOOKUP($B604,Показатели!$E:$W,18,FALSE)=0,"",VLOOKUP($B604,Показатели!$E:$W,18,FALSE)),"")</f>
        <v/>
      </c>
      <c r="V604" t="str">
        <f>IFERROR(IF(VLOOKUP($B604,Показатели!$E:$W,19,FALSE)=0,"",VLOOKUP($B604,Показатели!$E:$W,19,FALSE)),"")</f>
        <v/>
      </c>
    </row>
    <row r="605" spans="1:22" x14ac:dyDescent="0.2">
      <c r="A605" s="7" t="s">
        <v>2318</v>
      </c>
      <c r="B605" t="str">
        <f t="shared" si="9"/>
        <v>LENT IV кв. 2014</v>
      </c>
      <c r="C605">
        <v>2014</v>
      </c>
      <c r="D605">
        <f>SUMIFS(Дивиденды!$C:$C,Дивиденды!$A:$A,A605,Дивиденды!$I:$I,C605)</f>
        <v>0</v>
      </c>
      <c r="E605" t="str">
        <f>IFERROR(IF(VLOOKUP($B605,Показатели!$E:$W,2,FALSE)=0,"",VLOOKUP($B605,Показатели!$E:$W,2,FALSE)),"")</f>
        <v/>
      </c>
      <c r="F605" t="str">
        <f>IFERROR(IF(VLOOKUP($B605,Показатели!$E:$W,3,FALSE)=0,"",VLOOKUP($B605,Показатели!$E:$W,3,FALSE)),"")</f>
        <v/>
      </c>
      <c r="G605" t="str">
        <f>IFERROR(IF(VLOOKUP($B605,Показатели!$E:$W,4,FALSE)=0,"",VLOOKUP($B605,Показатели!$E:$W,4,FALSE)),"")</f>
        <v/>
      </c>
      <c r="H605" t="str">
        <f>IFERROR(IF(VLOOKUP($B605,Показатели!$E:$W,5,FALSE)=0,"",VLOOKUP($B605,Показатели!$E:$W,5,FALSE)),"")</f>
        <v/>
      </c>
      <c r="I605" t="str">
        <f>IFERROR(IF(VLOOKUP($B605,Показатели!$E:$W,6,FALSE)=0,"",VLOOKUP($B605,Показатели!$E:$W,6,FALSE)),"")</f>
        <v/>
      </c>
      <c r="J605" t="str">
        <f>IFERROR(IF(VLOOKUP($B605,Показатели!$E:$W,7,FALSE)=0,"",VLOOKUP($B605,Показатели!$E:$W,7,FALSE)),"")</f>
        <v/>
      </c>
      <c r="K605" t="str">
        <f>IFERROR(IF(VLOOKUP($B605,Показатели!$E:$W,8,FALSE)=0,"",VLOOKUP($B605,Показатели!$E:$W,8,FALSE)),"")</f>
        <v/>
      </c>
      <c r="L605" t="str">
        <f>IFERROR(IF(VLOOKUP($B605,Показатели!$E:$W,9,FALSE)=0,"",VLOOKUP($B605,Показатели!$E:$W,9,FALSE)),"")</f>
        <v/>
      </c>
      <c r="M605" t="str">
        <f>IFERROR(IF(VLOOKUP($B605,Показатели!$E:$W,10,FALSE)=0,"",VLOOKUP($B605,Показатели!$E:$W,10,FALSE)),"")</f>
        <v/>
      </c>
      <c r="N605" t="str">
        <f>IFERROR(IF(VLOOKUP($B605,Показатели!$E:$W,11,FALSE)=0,"",VLOOKUP($B605,Показатели!$E:$W,11,FALSE)),"")</f>
        <v/>
      </c>
      <c r="O605" t="str">
        <f>IFERROR(IF(VLOOKUP($B605,Показатели!$E:$W,12,FALSE)=0,"",VLOOKUP($B605,Показатели!$E:$W,12,FALSE)),"")</f>
        <v/>
      </c>
      <c r="P605" t="str">
        <f>IFERROR(IF(VLOOKUP($B605,Показатели!$E:$W,13,FALSE)=0,"",VLOOKUP($B605,Показатели!$E:$W,13,FALSE)),"")</f>
        <v/>
      </c>
      <c r="Q605" t="str">
        <f>IFERROR(IF(VLOOKUP($B605,Показатели!$E:$W,14,FALSE)=0,"",VLOOKUP($B605,Показатели!$E:$W,14,FALSE)),"")</f>
        <v/>
      </c>
      <c r="R605" t="str">
        <f>IFERROR(IF(VLOOKUP($B605,Показатели!$E:$W,15,FALSE)=0,"",VLOOKUP($B605,Показатели!$E:$W,15,FALSE)),"")</f>
        <v/>
      </c>
      <c r="S605" t="str">
        <f>IFERROR(IF(VLOOKUP($B605,Показатели!$E:$W,16,FALSE)=0,"",VLOOKUP($B605,Показатели!$E:$W,16,FALSE)),"")</f>
        <v/>
      </c>
      <c r="T605" t="str">
        <f>IFERROR(IF(VLOOKUP($B605,Показатели!$E:$W,17,FALSE)=0,"",VLOOKUP($B605,Показатели!$E:$W,17,FALSE)),"")</f>
        <v/>
      </c>
      <c r="U605" t="str">
        <f>IFERROR(IF(VLOOKUP($B605,Показатели!$E:$W,18,FALSE)=0,"",VLOOKUP($B605,Показатели!$E:$W,18,FALSE)),"")</f>
        <v/>
      </c>
      <c r="V605" t="str">
        <f>IFERROR(IF(VLOOKUP($B605,Показатели!$E:$W,19,FALSE)=0,"",VLOOKUP($B605,Показатели!$E:$W,19,FALSE)),"")</f>
        <v/>
      </c>
    </row>
    <row r="606" spans="1:22" x14ac:dyDescent="0.2">
      <c r="A606" s="7" t="s">
        <v>2318</v>
      </c>
      <c r="B606" t="str">
        <f t="shared" si="9"/>
        <v>LENT IV кв. 2013</v>
      </c>
      <c r="C606">
        <v>2013</v>
      </c>
      <c r="D606">
        <f>SUMIFS(Дивиденды!$C:$C,Дивиденды!$A:$A,A606,Дивиденды!$I:$I,C606)</f>
        <v>0</v>
      </c>
      <c r="E606" t="str">
        <f>IFERROR(IF(VLOOKUP($B606,Показатели!$E:$W,2,FALSE)=0,"",VLOOKUP($B606,Показатели!$E:$W,2,FALSE)),"")</f>
        <v/>
      </c>
      <c r="F606" t="str">
        <f>IFERROR(IF(VLOOKUP($B606,Показатели!$E:$W,3,FALSE)=0,"",VLOOKUP($B606,Показатели!$E:$W,3,FALSE)),"")</f>
        <v/>
      </c>
      <c r="G606" t="str">
        <f>IFERROR(IF(VLOOKUP($B606,Показатели!$E:$W,4,FALSE)=0,"",VLOOKUP($B606,Показатели!$E:$W,4,FALSE)),"")</f>
        <v/>
      </c>
      <c r="H606" t="str">
        <f>IFERROR(IF(VLOOKUP($B606,Показатели!$E:$W,5,FALSE)=0,"",VLOOKUP($B606,Показатели!$E:$W,5,FALSE)),"")</f>
        <v/>
      </c>
      <c r="I606" t="str">
        <f>IFERROR(IF(VLOOKUP($B606,Показатели!$E:$W,6,FALSE)=0,"",VLOOKUP($B606,Показатели!$E:$W,6,FALSE)),"")</f>
        <v/>
      </c>
      <c r="J606" t="str">
        <f>IFERROR(IF(VLOOKUP($B606,Показатели!$E:$W,7,FALSE)=0,"",VLOOKUP($B606,Показатели!$E:$W,7,FALSE)),"")</f>
        <v/>
      </c>
      <c r="K606" t="str">
        <f>IFERROR(IF(VLOOKUP($B606,Показатели!$E:$W,8,FALSE)=0,"",VLOOKUP($B606,Показатели!$E:$W,8,FALSE)),"")</f>
        <v/>
      </c>
      <c r="L606" t="str">
        <f>IFERROR(IF(VLOOKUP($B606,Показатели!$E:$W,9,FALSE)=0,"",VLOOKUP($B606,Показатели!$E:$W,9,FALSE)),"")</f>
        <v/>
      </c>
      <c r="M606" t="str">
        <f>IFERROR(IF(VLOOKUP($B606,Показатели!$E:$W,10,FALSE)=0,"",VLOOKUP($B606,Показатели!$E:$W,10,FALSE)),"")</f>
        <v/>
      </c>
      <c r="N606" t="str">
        <f>IFERROR(IF(VLOOKUP($B606,Показатели!$E:$W,11,FALSE)=0,"",VLOOKUP($B606,Показатели!$E:$W,11,FALSE)),"")</f>
        <v/>
      </c>
      <c r="O606" t="str">
        <f>IFERROR(IF(VLOOKUP($B606,Показатели!$E:$W,12,FALSE)=0,"",VLOOKUP($B606,Показатели!$E:$W,12,FALSE)),"")</f>
        <v/>
      </c>
      <c r="P606" t="str">
        <f>IFERROR(IF(VLOOKUP($B606,Показатели!$E:$W,13,FALSE)=0,"",VLOOKUP($B606,Показатели!$E:$W,13,FALSE)),"")</f>
        <v/>
      </c>
      <c r="Q606" t="str">
        <f>IFERROR(IF(VLOOKUP($B606,Показатели!$E:$W,14,FALSE)=0,"",VLOOKUP($B606,Показатели!$E:$W,14,FALSE)),"")</f>
        <v/>
      </c>
      <c r="R606" t="str">
        <f>IFERROR(IF(VLOOKUP($B606,Показатели!$E:$W,15,FALSE)=0,"",VLOOKUP($B606,Показатели!$E:$W,15,FALSE)),"")</f>
        <v/>
      </c>
      <c r="S606" t="str">
        <f>IFERROR(IF(VLOOKUP($B606,Показатели!$E:$W,16,FALSE)=0,"",VLOOKUP($B606,Показатели!$E:$W,16,FALSE)),"")</f>
        <v/>
      </c>
      <c r="T606" t="str">
        <f>IFERROR(IF(VLOOKUP($B606,Показатели!$E:$W,17,FALSE)=0,"",VLOOKUP($B606,Показатели!$E:$W,17,FALSE)),"")</f>
        <v/>
      </c>
      <c r="U606" t="str">
        <f>IFERROR(IF(VLOOKUP($B606,Показатели!$E:$W,18,FALSE)=0,"",VLOOKUP($B606,Показатели!$E:$W,18,FALSE)),"")</f>
        <v/>
      </c>
      <c r="V606" t="str">
        <f>IFERROR(IF(VLOOKUP($B606,Показатели!$E:$W,19,FALSE)=0,"",VLOOKUP($B606,Показатели!$E:$W,19,FALSE)),"")</f>
        <v/>
      </c>
    </row>
    <row r="607" spans="1:22" x14ac:dyDescent="0.2">
      <c r="A607" s="7" t="s">
        <v>2318</v>
      </c>
      <c r="B607" t="str">
        <f t="shared" si="9"/>
        <v>LENT IV кв. 2012</v>
      </c>
      <c r="C607">
        <v>2012</v>
      </c>
      <c r="D607">
        <f>SUMIFS(Дивиденды!$C:$C,Дивиденды!$A:$A,A607,Дивиденды!$I:$I,C607)</f>
        <v>0</v>
      </c>
      <c r="E607" t="str">
        <f>IFERROR(IF(VLOOKUP($B607,Показатели!$E:$W,2,FALSE)=0,"",VLOOKUP($B607,Показатели!$E:$W,2,FALSE)),"")</f>
        <v/>
      </c>
      <c r="F607" t="str">
        <f>IFERROR(IF(VLOOKUP($B607,Показатели!$E:$W,3,FALSE)=0,"",VLOOKUP($B607,Показатели!$E:$W,3,FALSE)),"")</f>
        <v/>
      </c>
      <c r="G607" t="str">
        <f>IFERROR(IF(VLOOKUP($B607,Показатели!$E:$W,4,FALSE)=0,"",VLOOKUP($B607,Показатели!$E:$W,4,FALSE)),"")</f>
        <v/>
      </c>
      <c r="H607" t="str">
        <f>IFERROR(IF(VLOOKUP($B607,Показатели!$E:$W,5,FALSE)=0,"",VLOOKUP($B607,Показатели!$E:$W,5,FALSE)),"")</f>
        <v/>
      </c>
      <c r="I607" t="str">
        <f>IFERROR(IF(VLOOKUP($B607,Показатели!$E:$W,6,FALSE)=0,"",VLOOKUP($B607,Показатели!$E:$W,6,FALSE)),"")</f>
        <v/>
      </c>
      <c r="J607" t="str">
        <f>IFERROR(IF(VLOOKUP($B607,Показатели!$E:$W,7,FALSE)=0,"",VLOOKUP($B607,Показатели!$E:$W,7,FALSE)),"")</f>
        <v/>
      </c>
      <c r="K607" t="str">
        <f>IFERROR(IF(VLOOKUP($B607,Показатели!$E:$W,8,FALSE)=0,"",VLOOKUP($B607,Показатели!$E:$W,8,FALSE)),"")</f>
        <v/>
      </c>
      <c r="L607" t="str">
        <f>IFERROR(IF(VLOOKUP($B607,Показатели!$E:$W,9,FALSE)=0,"",VLOOKUP($B607,Показатели!$E:$W,9,FALSE)),"")</f>
        <v/>
      </c>
      <c r="M607" t="str">
        <f>IFERROR(IF(VLOOKUP($B607,Показатели!$E:$W,10,FALSE)=0,"",VLOOKUP($B607,Показатели!$E:$W,10,FALSE)),"")</f>
        <v/>
      </c>
      <c r="N607" t="str">
        <f>IFERROR(IF(VLOOKUP($B607,Показатели!$E:$W,11,FALSE)=0,"",VLOOKUP($B607,Показатели!$E:$W,11,FALSE)),"")</f>
        <v/>
      </c>
      <c r="O607" t="str">
        <f>IFERROR(IF(VLOOKUP($B607,Показатели!$E:$W,12,FALSE)=0,"",VLOOKUP($B607,Показатели!$E:$W,12,FALSE)),"")</f>
        <v/>
      </c>
      <c r="P607" t="str">
        <f>IFERROR(IF(VLOOKUP($B607,Показатели!$E:$W,13,FALSE)=0,"",VLOOKUP($B607,Показатели!$E:$W,13,FALSE)),"")</f>
        <v/>
      </c>
      <c r="Q607" t="str">
        <f>IFERROR(IF(VLOOKUP($B607,Показатели!$E:$W,14,FALSE)=0,"",VLOOKUP($B607,Показатели!$E:$W,14,FALSE)),"")</f>
        <v/>
      </c>
      <c r="R607" t="str">
        <f>IFERROR(IF(VLOOKUP($B607,Показатели!$E:$W,15,FALSE)=0,"",VLOOKUP($B607,Показатели!$E:$W,15,FALSE)),"")</f>
        <v/>
      </c>
      <c r="S607" t="str">
        <f>IFERROR(IF(VLOOKUP($B607,Показатели!$E:$W,16,FALSE)=0,"",VLOOKUP($B607,Показатели!$E:$W,16,FALSE)),"")</f>
        <v/>
      </c>
      <c r="T607" t="str">
        <f>IFERROR(IF(VLOOKUP($B607,Показатели!$E:$W,17,FALSE)=0,"",VLOOKUP($B607,Показатели!$E:$W,17,FALSE)),"")</f>
        <v/>
      </c>
      <c r="U607" t="str">
        <f>IFERROR(IF(VLOOKUP($B607,Показатели!$E:$W,18,FALSE)=0,"",VLOOKUP($B607,Показатели!$E:$W,18,FALSE)),"")</f>
        <v/>
      </c>
      <c r="V607" t="str">
        <f>IFERROR(IF(VLOOKUP($B607,Показатели!$E:$W,19,FALSE)=0,"",VLOOKUP($B607,Показатели!$E:$W,19,FALSE)),"")</f>
        <v/>
      </c>
    </row>
    <row r="608" spans="1:22" x14ac:dyDescent="0.2">
      <c r="A608" s="7" t="s">
        <v>2318</v>
      </c>
      <c r="B608" t="str">
        <f t="shared" si="9"/>
        <v>LENT IV кв. 2011</v>
      </c>
      <c r="C608">
        <v>2011</v>
      </c>
      <c r="D608">
        <f>SUMIFS(Дивиденды!$C:$C,Дивиденды!$A:$A,A608,Дивиденды!$I:$I,C608)</f>
        <v>0</v>
      </c>
      <c r="E608" t="str">
        <f>IFERROR(IF(VLOOKUP($B608,Показатели!$E:$W,2,FALSE)=0,"",VLOOKUP($B608,Показатели!$E:$W,2,FALSE)),"")</f>
        <v/>
      </c>
      <c r="F608" t="str">
        <f>IFERROR(IF(VLOOKUP($B608,Показатели!$E:$W,3,FALSE)=0,"",VLOOKUP($B608,Показатели!$E:$W,3,FALSE)),"")</f>
        <v/>
      </c>
      <c r="G608" t="str">
        <f>IFERROR(IF(VLOOKUP($B608,Показатели!$E:$W,4,FALSE)=0,"",VLOOKUP($B608,Показатели!$E:$W,4,FALSE)),"")</f>
        <v/>
      </c>
      <c r="H608" t="str">
        <f>IFERROR(IF(VLOOKUP($B608,Показатели!$E:$W,5,FALSE)=0,"",VLOOKUP($B608,Показатели!$E:$W,5,FALSE)),"")</f>
        <v/>
      </c>
      <c r="I608" t="str">
        <f>IFERROR(IF(VLOOKUP($B608,Показатели!$E:$W,6,FALSE)=0,"",VLOOKUP($B608,Показатели!$E:$W,6,FALSE)),"")</f>
        <v/>
      </c>
      <c r="J608" t="str">
        <f>IFERROR(IF(VLOOKUP($B608,Показатели!$E:$W,7,FALSE)=0,"",VLOOKUP($B608,Показатели!$E:$W,7,FALSE)),"")</f>
        <v/>
      </c>
      <c r="K608" t="str">
        <f>IFERROR(IF(VLOOKUP($B608,Показатели!$E:$W,8,FALSE)=0,"",VLOOKUP($B608,Показатели!$E:$W,8,FALSE)),"")</f>
        <v/>
      </c>
      <c r="L608" t="str">
        <f>IFERROR(IF(VLOOKUP($B608,Показатели!$E:$W,9,FALSE)=0,"",VLOOKUP($B608,Показатели!$E:$W,9,FALSE)),"")</f>
        <v/>
      </c>
      <c r="M608" t="str">
        <f>IFERROR(IF(VLOOKUP($B608,Показатели!$E:$W,10,FALSE)=0,"",VLOOKUP($B608,Показатели!$E:$W,10,FALSE)),"")</f>
        <v/>
      </c>
      <c r="N608" t="str">
        <f>IFERROR(IF(VLOOKUP($B608,Показатели!$E:$W,11,FALSE)=0,"",VLOOKUP($B608,Показатели!$E:$W,11,FALSE)),"")</f>
        <v/>
      </c>
      <c r="O608" t="str">
        <f>IFERROR(IF(VLOOKUP($B608,Показатели!$E:$W,12,FALSE)=0,"",VLOOKUP($B608,Показатели!$E:$W,12,FALSE)),"")</f>
        <v/>
      </c>
      <c r="P608" t="str">
        <f>IFERROR(IF(VLOOKUP($B608,Показатели!$E:$W,13,FALSE)=0,"",VLOOKUP($B608,Показатели!$E:$W,13,FALSE)),"")</f>
        <v/>
      </c>
      <c r="Q608" t="str">
        <f>IFERROR(IF(VLOOKUP($B608,Показатели!$E:$W,14,FALSE)=0,"",VLOOKUP($B608,Показатели!$E:$W,14,FALSE)),"")</f>
        <v/>
      </c>
      <c r="R608" t="str">
        <f>IFERROR(IF(VLOOKUP($B608,Показатели!$E:$W,15,FALSE)=0,"",VLOOKUP($B608,Показатели!$E:$W,15,FALSE)),"")</f>
        <v/>
      </c>
      <c r="S608" t="str">
        <f>IFERROR(IF(VLOOKUP($B608,Показатели!$E:$W,16,FALSE)=0,"",VLOOKUP($B608,Показатели!$E:$W,16,FALSE)),"")</f>
        <v/>
      </c>
      <c r="T608" t="str">
        <f>IFERROR(IF(VLOOKUP($B608,Показатели!$E:$W,17,FALSE)=0,"",VLOOKUP($B608,Показатели!$E:$W,17,FALSE)),"")</f>
        <v/>
      </c>
      <c r="U608" t="str">
        <f>IFERROR(IF(VLOOKUP($B608,Показатели!$E:$W,18,FALSE)=0,"",VLOOKUP($B608,Показатели!$E:$W,18,FALSE)),"")</f>
        <v/>
      </c>
      <c r="V608" t="str">
        <f>IFERROR(IF(VLOOKUP($B608,Показатели!$E:$W,19,FALSE)=0,"",VLOOKUP($B608,Показатели!$E:$W,19,FALSE)),"")</f>
        <v/>
      </c>
    </row>
    <row r="609" spans="1:22" x14ac:dyDescent="0.2">
      <c r="A609" s="7" t="s">
        <v>2318</v>
      </c>
      <c r="B609" t="str">
        <f t="shared" si="9"/>
        <v>LENT IV кв. 2010</v>
      </c>
      <c r="C609">
        <v>2010</v>
      </c>
      <c r="D609">
        <f>SUMIFS(Дивиденды!$C:$C,Дивиденды!$A:$A,A609,Дивиденды!$I:$I,C609)</f>
        <v>0</v>
      </c>
      <c r="E609" t="str">
        <f>IFERROR(IF(VLOOKUP($B609,Показатели!$E:$W,2,FALSE)=0,"",VLOOKUP($B609,Показатели!$E:$W,2,FALSE)),"")</f>
        <v/>
      </c>
      <c r="F609" t="str">
        <f>IFERROR(IF(VLOOKUP($B609,Показатели!$E:$W,3,FALSE)=0,"",VLOOKUP($B609,Показатели!$E:$W,3,FALSE)),"")</f>
        <v/>
      </c>
      <c r="G609" t="str">
        <f>IFERROR(IF(VLOOKUP($B609,Показатели!$E:$W,4,FALSE)=0,"",VLOOKUP($B609,Показатели!$E:$W,4,FALSE)),"")</f>
        <v/>
      </c>
      <c r="H609" t="str">
        <f>IFERROR(IF(VLOOKUP($B609,Показатели!$E:$W,5,FALSE)=0,"",VLOOKUP($B609,Показатели!$E:$W,5,FALSE)),"")</f>
        <v/>
      </c>
      <c r="I609" t="str">
        <f>IFERROR(IF(VLOOKUP($B609,Показатели!$E:$W,6,FALSE)=0,"",VLOOKUP($B609,Показатели!$E:$W,6,FALSE)),"")</f>
        <v/>
      </c>
      <c r="J609" t="str">
        <f>IFERROR(IF(VLOOKUP($B609,Показатели!$E:$W,7,FALSE)=0,"",VLOOKUP($B609,Показатели!$E:$W,7,FALSE)),"")</f>
        <v/>
      </c>
      <c r="K609" t="str">
        <f>IFERROR(IF(VLOOKUP($B609,Показатели!$E:$W,8,FALSE)=0,"",VLOOKUP($B609,Показатели!$E:$W,8,FALSE)),"")</f>
        <v/>
      </c>
      <c r="L609" t="str">
        <f>IFERROR(IF(VLOOKUP($B609,Показатели!$E:$W,9,FALSE)=0,"",VLOOKUP($B609,Показатели!$E:$W,9,FALSE)),"")</f>
        <v/>
      </c>
      <c r="M609" t="str">
        <f>IFERROR(IF(VLOOKUP($B609,Показатели!$E:$W,10,FALSE)=0,"",VLOOKUP($B609,Показатели!$E:$W,10,FALSE)),"")</f>
        <v/>
      </c>
      <c r="N609" t="str">
        <f>IFERROR(IF(VLOOKUP($B609,Показатели!$E:$W,11,FALSE)=0,"",VLOOKUP($B609,Показатели!$E:$W,11,FALSE)),"")</f>
        <v/>
      </c>
      <c r="O609" t="str">
        <f>IFERROR(IF(VLOOKUP($B609,Показатели!$E:$W,12,FALSE)=0,"",VLOOKUP($B609,Показатели!$E:$W,12,FALSE)),"")</f>
        <v/>
      </c>
      <c r="P609" t="str">
        <f>IFERROR(IF(VLOOKUP($B609,Показатели!$E:$W,13,FALSE)=0,"",VLOOKUP($B609,Показатели!$E:$W,13,FALSE)),"")</f>
        <v/>
      </c>
      <c r="Q609" t="str">
        <f>IFERROR(IF(VLOOKUP($B609,Показатели!$E:$W,14,FALSE)=0,"",VLOOKUP($B609,Показатели!$E:$W,14,FALSE)),"")</f>
        <v/>
      </c>
      <c r="R609" t="str">
        <f>IFERROR(IF(VLOOKUP($B609,Показатели!$E:$W,15,FALSE)=0,"",VLOOKUP($B609,Показатели!$E:$W,15,FALSE)),"")</f>
        <v/>
      </c>
      <c r="S609" t="str">
        <f>IFERROR(IF(VLOOKUP($B609,Показатели!$E:$W,16,FALSE)=0,"",VLOOKUP($B609,Показатели!$E:$W,16,FALSE)),"")</f>
        <v/>
      </c>
      <c r="T609" t="str">
        <f>IFERROR(IF(VLOOKUP($B609,Показатели!$E:$W,17,FALSE)=0,"",VLOOKUP($B609,Показатели!$E:$W,17,FALSE)),"")</f>
        <v/>
      </c>
      <c r="U609" t="str">
        <f>IFERROR(IF(VLOOKUP($B609,Показатели!$E:$W,18,FALSE)=0,"",VLOOKUP($B609,Показатели!$E:$W,18,FALSE)),"")</f>
        <v/>
      </c>
      <c r="V609" t="str">
        <f>IFERROR(IF(VLOOKUP($B609,Показатели!$E:$W,19,FALSE)=0,"",VLOOKUP($B609,Показатели!$E:$W,19,FALSE)),"")</f>
        <v/>
      </c>
    </row>
    <row r="610" spans="1:22" x14ac:dyDescent="0.2">
      <c r="A610" s="7" t="s">
        <v>2255</v>
      </c>
      <c r="B610" t="str">
        <f t="shared" si="9"/>
        <v>MGNT IV кв. 2025</v>
      </c>
      <c r="C610">
        <v>2025</v>
      </c>
      <c r="D610">
        <f>SUMIFS(Дивиденды!$C:$C,Дивиденды!$A:$A,A610,Дивиденды!$I:$I,C610)</f>
        <v>0</v>
      </c>
      <c r="E610" t="str">
        <f>IFERROR(IF(VLOOKUP($B610,Показатели!$E:$W,2,FALSE)=0,"",VLOOKUP($B610,Показатели!$E:$W,2,FALSE)),"")</f>
        <v/>
      </c>
      <c r="F610" t="str">
        <f>IFERROR(IF(VLOOKUP($B610,Показатели!$E:$W,3,FALSE)=0,"",VLOOKUP($B610,Показатели!$E:$W,3,FALSE)),"")</f>
        <v/>
      </c>
      <c r="G610" t="str">
        <f>IFERROR(IF(VLOOKUP($B610,Показатели!$E:$W,4,FALSE)=0,"",VLOOKUP($B610,Показатели!$E:$W,4,FALSE)),"")</f>
        <v/>
      </c>
      <c r="H610" t="str">
        <f>IFERROR(IF(VLOOKUP($B610,Показатели!$E:$W,5,FALSE)=0,"",VLOOKUP($B610,Показатели!$E:$W,5,FALSE)),"")</f>
        <v/>
      </c>
      <c r="I610" t="str">
        <f>IFERROR(IF(VLOOKUP($B610,Показатели!$E:$W,6,FALSE)=0,"",VLOOKUP($B610,Показатели!$E:$W,6,FALSE)),"")</f>
        <v/>
      </c>
      <c r="J610" t="str">
        <f>IFERROR(IF(VLOOKUP($B610,Показатели!$E:$W,7,FALSE)=0,"",VLOOKUP($B610,Показатели!$E:$W,7,FALSE)),"")</f>
        <v/>
      </c>
      <c r="K610" t="str">
        <f>IFERROR(IF(VLOOKUP($B610,Показатели!$E:$W,8,FALSE)=0,"",VLOOKUP($B610,Показатели!$E:$W,8,FALSE)),"")</f>
        <v/>
      </c>
      <c r="L610" t="str">
        <f>IFERROR(IF(VLOOKUP($B610,Показатели!$E:$W,9,FALSE)=0,"",VLOOKUP($B610,Показатели!$E:$W,9,FALSE)),"")</f>
        <v/>
      </c>
      <c r="M610" t="str">
        <f>IFERROR(IF(VLOOKUP($B610,Показатели!$E:$W,10,FALSE)=0,"",VLOOKUP($B610,Показатели!$E:$W,10,FALSE)),"")</f>
        <v/>
      </c>
      <c r="N610" t="str">
        <f>IFERROR(IF(VLOOKUP($B610,Показатели!$E:$W,11,FALSE)=0,"",VLOOKUP($B610,Показатели!$E:$W,11,FALSE)),"")</f>
        <v/>
      </c>
      <c r="O610" t="str">
        <f>IFERROR(IF(VLOOKUP($B610,Показатели!$E:$W,12,FALSE)=0,"",VLOOKUP($B610,Показатели!$E:$W,12,FALSE)),"")</f>
        <v/>
      </c>
      <c r="P610" t="str">
        <f>IFERROR(IF(VLOOKUP($B610,Показатели!$E:$W,13,FALSE)=0,"",VLOOKUP($B610,Показатели!$E:$W,13,FALSE)),"")</f>
        <v/>
      </c>
      <c r="Q610" t="str">
        <f>IFERROR(IF(VLOOKUP($B610,Показатели!$E:$W,14,FALSE)=0,"",VLOOKUP($B610,Показатели!$E:$W,14,FALSE)),"")</f>
        <v/>
      </c>
      <c r="R610" t="str">
        <f>IFERROR(IF(VLOOKUP($B610,Показатели!$E:$W,15,FALSE)=0,"",VLOOKUP($B610,Показатели!$E:$W,15,FALSE)),"")</f>
        <v/>
      </c>
      <c r="S610" t="str">
        <f>IFERROR(IF(VLOOKUP($B610,Показатели!$E:$W,16,FALSE)=0,"",VLOOKUP($B610,Показатели!$E:$W,16,FALSE)),"")</f>
        <v/>
      </c>
      <c r="T610" t="str">
        <f>IFERROR(IF(VLOOKUP($B610,Показатели!$E:$W,17,FALSE)=0,"",VLOOKUP($B610,Показатели!$E:$W,17,FALSE)),"")</f>
        <v/>
      </c>
      <c r="U610" t="str">
        <f>IFERROR(IF(VLOOKUP($B610,Показатели!$E:$W,18,FALSE)=0,"",VLOOKUP($B610,Показатели!$E:$W,18,FALSE)),"")</f>
        <v/>
      </c>
      <c r="V610" t="str">
        <f>IFERROR(IF(VLOOKUP($B610,Показатели!$E:$W,19,FALSE)=0,"",VLOOKUP($B610,Показатели!$E:$W,19,FALSE)),"")</f>
        <v/>
      </c>
    </row>
    <row r="611" spans="1:22" x14ac:dyDescent="0.2">
      <c r="A611" s="7" t="s">
        <v>2255</v>
      </c>
      <c r="B611" t="str">
        <f t="shared" si="9"/>
        <v>MGNT IV кв. 2024</v>
      </c>
      <c r="C611">
        <v>2024</v>
      </c>
      <c r="D611">
        <f>SUMIFS(Дивиденды!$C:$C,Дивиденды!$A:$A,A611,Дивиденды!$I:$I,C611)</f>
        <v>0</v>
      </c>
      <c r="E611">
        <f>IFERROR(IF(VLOOKUP($B611,Показатели!$E:$W,2,FALSE)=0,"",VLOOKUP($B611,Показатели!$E:$W,2,FALSE)),"")</f>
        <v>159470281000</v>
      </c>
      <c r="F611">
        <f>IFERROR(IF(VLOOKUP($B611,Показатели!$E:$W,3,FALSE)=0,"",VLOOKUP($B611,Показатели!$E:$W,3,FALSE)),"")</f>
        <v>523471409000</v>
      </c>
      <c r="G611">
        <f>IFERROR(IF(VLOOKUP($B611,Показатели!$E:$W,4,FALSE)=0,"",VLOOKUP($B611,Показатели!$E:$W,4,FALSE)),"")</f>
        <v>451406356000</v>
      </c>
      <c r="H611">
        <f>IFERROR(IF(VLOOKUP($B611,Показатели!$E:$W,5,FALSE)=0,"",VLOOKUP($B611,Показатели!$E:$W,5,FALSE)),"")</f>
        <v>119779190000</v>
      </c>
      <c r="I611">
        <f>IFERROR(IF(VLOOKUP($B611,Показатели!$E:$W,6,FALSE)=0,"",VLOOKUP($B611,Показатели!$E:$W,6,FALSE)),"")</f>
        <v>1563913815000</v>
      </c>
      <c r="J611">
        <f>IFERROR(IF(VLOOKUP($B611,Показатели!$E:$W,7,FALSE)=0,"",VLOOKUP($B611,Показатели!$E:$W,7,FALSE)),"")</f>
        <v>731132037000</v>
      </c>
      <c r="K611">
        <f>IFERROR(IF(VLOOKUP($B611,Показатели!$E:$W,8,FALSE)=0,"",VLOOKUP($B611,Показатели!$E:$W,8,FALSE)),"")</f>
        <v>651468160000</v>
      </c>
      <c r="L611">
        <f>IFERROR(IF(VLOOKUP($B611,Показатели!$E:$W,9,FALSE)=0,"",VLOOKUP($B611,Показатели!$E:$W,9,FALSE)),"")</f>
        <v>180006190000</v>
      </c>
      <c r="M611">
        <f>IFERROR(IF(VLOOKUP($B611,Показатели!$E:$W,10,FALSE)=0,"",VLOOKUP($B611,Показатели!$E:$W,10,FALSE)),"")</f>
        <v>181313618000</v>
      </c>
      <c r="N611">
        <f>IFERROR(IF(VLOOKUP($B611,Показатели!$E:$W,11,FALSE)=0,"",VLOOKUP($B611,Показатели!$E:$W,11,FALSE)),"")</f>
        <v>3043433503000</v>
      </c>
      <c r="O611">
        <f>IFERROR(IF(VLOOKUP($B611,Показатели!$E:$W,12,FALSE)=0,"",VLOOKUP($B611,Показатели!$E:$W,12,FALSE)),"")</f>
        <v>143968871000</v>
      </c>
      <c r="P611">
        <f>IFERROR(IF(VLOOKUP($B611,Показатели!$E:$W,13,FALSE)=0,"",VLOOKUP($B611,Показатели!$E:$W,13,FALSE)),"")</f>
        <v>60042406000</v>
      </c>
      <c r="Q611">
        <f>IFERROR(IF(VLOOKUP($B611,Показатели!$E:$W,14,FALSE)=0,"",VLOOKUP($B611,Показатели!$E:$W,14,FALSE)),"")</f>
        <v>44333844000</v>
      </c>
      <c r="R611">
        <f>IFERROR(IF(VLOOKUP($B611,Показатели!$E:$W,15,FALSE)=0,"",VLOOKUP($B611,Показатели!$E:$W,15,FALSE)),"")</f>
        <v>146966549000</v>
      </c>
      <c r="S611">
        <f>IFERROR(IF(VLOOKUP($B611,Показатели!$E:$W,16,FALSE)=0,"",VLOOKUP($B611,Показатели!$E:$W,16,FALSE)),"")</f>
        <v>290935000000</v>
      </c>
      <c r="T611">
        <f>IFERROR(IF(VLOOKUP($B611,Показатели!$E:$W,17,FALSE)=0,"",VLOOKUP($B611,Показатели!$E:$W,17,FALSE)),"")</f>
        <v>-157403830000</v>
      </c>
      <c r="U611">
        <f>IFERROR(IF(VLOOKUP($B611,Показатели!$E:$W,18,FALSE)=0,"",VLOOKUP($B611,Показатели!$E:$W,18,FALSE)),"")</f>
        <v>2544688774000</v>
      </c>
      <c r="V611">
        <f>IFERROR(IF(VLOOKUP($B611,Показатели!$E:$W,19,FALSE)=0,"",VLOOKUP($B611,Показатели!$E:$W,19,FALSE)),"")</f>
        <v>1429543267000</v>
      </c>
    </row>
    <row r="612" spans="1:22" x14ac:dyDescent="0.2">
      <c r="A612" s="7" t="s">
        <v>2255</v>
      </c>
      <c r="B612" t="str">
        <f t="shared" si="9"/>
        <v>MGNT IV кв. 2023</v>
      </c>
      <c r="C612">
        <v>2023</v>
      </c>
      <c r="D612">
        <f>SUMIFS(Дивиденды!$C:$C,Дивиденды!$A:$A,A612,Дивиденды!$I:$I,C612)</f>
        <v>412.13</v>
      </c>
      <c r="E612">
        <f>IFERROR(IF(VLOOKUP($B612,Показатели!$E:$W,2,FALSE)=0,"",VLOOKUP($B612,Показатели!$E:$W,2,FALSE)),"")</f>
        <v>221285893000</v>
      </c>
      <c r="F612">
        <f>IFERROR(IF(VLOOKUP($B612,Показатели!$E:$W,3,FALSE)=0,"",VLOOKUP($B612,Показатели!$E:$W,3,FALSE)),"")</f>
        <v>544425405000</v>
      </c>
      <c r="G612">
        <f>IFERROR(IF(VLOOKUP($B612,Показатели!$E:$W,4,FALSE)=0,"",VLOOKUP($B612,Показатели!$E:$W,4,FALSE)),"")</f>
        <v>367049986000</v>
      </c>
      <c r="H612">
        <f>IFERROR(IF(VLOOKUP($B612,Показатели!$E:$W,5,FALSE)=0,"",VLOOKUP($B612,Показатели!$E:$W,5,FALSE)),"")</f>
        <v>88080601000</v>
      </c>
      <c r="I612">
        <f>IFERROR(IF(VLOOKUP($B612,Показатели!$E:$W,6,FALSE)=0,"",VLOOKUP($B612,Показатели!$E:$W,6,FALSE)),"")</f>
        <v>1429543267000</v>
      </c>
      <c r="J612">
        <f>IFERROR(IF(VLOOKUP($B612,Показатели!$E:$W,7,FALSE)=0,"",VLOOKUP($B612,Показатели!$E:$W,7,FALSE)),"")</f>
        <v>555032003000</v>
      </c>
      <c r="K612">
        <f>IFERROR(IF(VLOOKUP($B612,Показатели!$E:$W,8,FALSE)=0,"",VLOOKUP($B612,Показатели!$E:$W,8,FALSE)),"")</f>
        <v>716043932000</v>
      </c>
      <c r="L612">
        <f>IFERROR(IF(VLOOKUP($B612,Показатели!$E:$W,9,FALSE)=0,"",VLOOKUP($B612,Показатели!$E:$W,9,FALSE)),"")</f>
        <v>163162053000</v>
      </c>
      <c r="M612">
        <f>IFERROR(IF(VLOOKUP($B612,Показатели!$E:$W,10,FALSE)=0,"",VLOOKUP($B612,Показатели!$E:$W,10,FALSE)),"")</f>
        <v>158467332000</v>
      </c>
      <c r="N612">
        <f>IFERROR(IF(VLOOKUP($B612,Показатели!$E:$W,11,FALSE)=0,"",VLOOKUP($B612,Показатели!$E:$W,11,FALSE)),"")</f>
        <v>2544688774000</v>
      </c>
      <c r="O612">
        <f>IFERROR(IF(VLOOKUP($B612,Показатели!$E:$W,12,FALSE)=0,"",VLOOKUP($B612,Показатели!$E:$W,12,FALSE)),"")</f>
        <v>135516932000</v>
      </c>
      <c r="P612">
        <f>IFERROR(IF(VLOOKUP($B612,Показатели!$E:$W,13,FALSE)=0,"",VLOOKUP($B612,Показатели!$E:$W,13,FALSE)),"")</f>
        <v>82735798000</v>
      </c>
      <c r="Q612">
        <f>IFERROR(IF(VLOOKUP($B612,Показатели!$E:$W,14,FALSE)=0,"",VLOOKUP($B612,Показатели!$E:$W,14,FALSE)),"")</f>
        <v>58677601000</v>
      </c>
      <c r="R612">
        <f>IFERROR(IF(VLOOKUP($B612,Показатели!$E:$W,15,FALSE)=0,"",VLOOKUP($B612,Показатели!$E:$W,15,FALSE)),"")</f>
        <v>134097502000</v>
      </c>
      <c r="S612">
        <f>IFERROR(IF(VLOOKUP($B612,Показатели!$E:$W,16,FALSE)=0,"",VLOOKUP($B612,Показатели!$E:$W,16,FALSE)),"")</f>
        <v>269614000000</v>
      </c>
      <c r="T612">
        <f>IFERROR(IF(VLOOKUP($B612,Показатели!$E:$W,17,FALSE)=0,"",VLOOKUP($B612,Показатели!$E:$W,17,FALSE)),"")</f>
        <v>-67090535000</v>
      </c>
      <c r="U612">
        <f>IFERROR(IF(VLOOKUP($B612,Показатели!$E:$W,18,FALSE)=0,"",VLOOKUP($B612,Показатели!$E:$W,18,FALSE)),"")</f>
        <v>2351996423000</v>
      </c>
      <c r="V612">
        <f>IFERROR(IF(VLOOKUP($B612,Показатели!$E:$W,19,FALSE)=0,"",VLOOKUP($B612,Показатели!$E:$W,19,FALSE)),"")</f>
        <v>1395998440000</v>
      </c>
    </row>
    <row r="613" spans="1:22" x14ac:dyDescent="0.2">
      <c r="A613" s="7" t="s">
        <v>2255</v>
      </c>
      <c r="B613" t="str">
        <f t="shared" si="9"/>
        <v>MGNT IV кв. 2022</v>
      </c>
      <c r="C613">
        <v>2022</v>
      </c>
      <c r="D613">
        <f>SUMIFS(Дивиденды!$C:$C,Дивиденды!$A:$A,A613,Дивиденды!$I:$I,C613)</f>
        <v>412.13</v>
      </c>
      <c r="E613">
        <f>IFERROR(IF(VLOOKUP($B613,Показатели!$E:$W,2,FALSE)=0,"",VLOOKUP($B613,Показатели!$E:$W,2,FALSE)),"")</f>
        <v>314912124000</v>
      </c>
      <c r="F613">
        <f>IFERROR(IF(VLOOKUP($B613,Показатели!$E:$W,3,FALSE)=0,"",VLOOKUP($B613,Показатели!$E:$W,3,FALSE)),"")</f>
        <v>568621840000</v>
      </c>
      <c r="G613">
        <f>IFERROR(IF(VLOOKUP($B613,Показатели!$E:$W,4,FALSE)=0,"",VLOOKUP($B613,Показатели!$E:$W,4,FALSE)),"")</f>
        <v>361751315000</v>
      </c>
      <c r="H613">
        <f>IFERROR(IF(VLOOKUP($B613,Показатели!$E:$W,5,FALSE)=0,"",VLOOKUP($B613,Показатели!$E:$W,5,FALSE)),"")</f>
        <v>78934799000</v>
      </c>
      <c r="I613">
        <f>IFERROR(IF(VLOOKUP($B613,Показатели!$E:$W,6,FALSE)=0,"",VLOOKUP($B613,Показатели!$E:$W,6,FALSE)),"")</f>
        <v>1395998440000</v>
      </c>
      <c r="J613">
        <f>IFERROR(IF(VLOOKUP($B613,Показатели!$E:$W,7,FALSE)=0,"",VLOOKUP($B613,Показатели!$E:$W,7,FALSE)),"")</f>
        <v>523022963000</v>
      </c>
      <c r="K613">
        <f>IFERROR(IF(VLOOKUP($B613,Показатели!$E:$W,8,FALSE)=0,"",VLOOKUP($B613,Показатели!$E:$W,8,FALSE)),"")</f>
        <v>665593173000</v>
      </c>
      <c r="L613">
        <f>IFERROR(IF(VLOOKUP($B613,Показатели!$E:$W,9,FALSE)=0,"",VLOOKUP($B613,Показатели!$E:$W,9,FALSE)),"")</f>
        <v>132700300000</v>
      </c>
      <c r="M613">
        <f>IFERROR(IF(VLOOKUP($B613,Показатели!$E:$W,10,FALSE)=0,"",VLOOKUP($B613,Показатели!$E:$W,10,FALSE)),"")</f>
        <v>207382304000</v>
      </c>
      <c r="N613">
        <f>IFERROR(IF(VLOOKUP($B613,Показатели!$E:$W,11,FALSE)=0,"",VLOOKUP($B613,Показатели!$E:$W,11,FALSE)),"")</f>
        <v>2351996423000</v>
      </c>
      <c r="O613">
        <f>IFERROR(IF(VLOOKUP($B613,Показатели!$E:$W,12,FALSE)=0,"",VLOOKUP($B613,Показатели!$E:$W,12,FALSE)),"")</f>
        <v>98016523000</v>
      </c>
      <c r="P613">
        <f>IFERROR(IF(VLOOKUP($B613,Показатели!$E:$W,13,FALSE)=0,"",VLOOKUP($B613,Показатели!$E:$W,13,FALSE)),"")</f>
        <v>42864550000</v>
      </c>
      <c r="Q613">
        <f>IFERROR(IF(VLOOKUP($B613,Показатели!$E:$W,14,FALSE)=0,"",VLOOKUP($B613,Показатели!$E:$W,14,FALSE)),"")</f>
        <v>27932517000</v>
      </c>
      <c r="R613">
        <f>IFERROR(IF(VLOOKUP($B613,Показатели!$E:$W,15,FALSE)=0,"",VLOOKUP($B613,Показатели!$E:$W,15,FALSE)),"")</f>
        <v>159337276000</v>
      </c>
      <c r="S613">
        <f>IFERROR(IF(VLOOKUP($B613,Показатели!$E:$W,16,FALSE)=0,"",VLOOKUP($B613,Показатели!$E:$W,16,FALSE)),"")</f>
        <v>257354000000</v>
      </c>
      <c r="T613">
        <f>IFERROR(IF(VLOOKUP($B613,Показатели!$E:$W,17,FALSE)=0,"",VLOOKUP($B613,Показатели!$E:$W,17,FALSE)),"")</f>
        <v>-52075369000</v>
      </c>
      <c r="U613">
        <f>IFERROR(IF(VLOOKUP($B613,Показатели!$E:$W,18,FALSE)=0,"",VLOOKUP($B613,Показатели!$E:$W,18,FALSE)),"")</f>
        <v>1856078950000</v>
      </c>
      <c r="V613">
        <f>IFERROR(IF(VLOOKUP($B613,Показатели!$E:$W,19,FALSE)=0,"",VLOOKUP($B613,Показатели!$E:$W,19,FALSE)),"")</f>
        <v>1209443631000</v>
      </c>
    </row>
    <row r="614" spans="1:22" x14ac:dyDescent="0.2">
      <c r="A614" s="7" t="s">
        <v>2255</v>
      </c>
      <c r="B614" t="str">
        <f t="shared" si="9"/>
        <v>MGNT IV кв. 2021</v>
      </c>
      <c r="C614">
        <v>2021</v>
      </c>
      <c r="D614">
        <f>SUMIFS(Дивиденды!$C:$C,Дивиденды!$A:$A,A614,Дивиденды!$I:$I,C614)</f>
        <v>294.37</v>
      </c>
      <c r="E614">
        <f>IFERROR(IF(VLOOKUP($B614,Показатели!$E:$W,2,FALSE)=0,"",VLOOKUP($B614,Показатели!$E:$W,2,FALSE)),"")</f>
        <v>73398608000</v>
      </c>
      <c r="F614">
        <f>IFERROR(IF(VLOOKUP($B614,Показатели!$E:$W,3,FALSE)=0,"",VLOOKUP($B614,Показатели!$E:$W,3,FALSE)),"")</f>
        <v>320098125000</v>
      </c>
      <c r="G614">
        <f>IFERROR(IF(VLOOKUP($B614,Показатели!$E:$W,4,FALSE)=0,"",VLOOKUP($B614,Показатели!$E:$W,4,FALSE)),"")</f>
        <v>377302570000</v>
      </c>
      <c r="H614">
        <f>IFERROR(IF(VLOOKUP($B614,Показатели!$E:$W,5,FALSE)=0,"",VLOOKUP($B614,Показатели!$E:$W,5,FALSE)),"")</f>
        <v>111540564000</v>
      </c>
      <c r="I614">
        <f>IFERROR(IF(VLOOKUP($B614,Показатели!$E:$W,6,FALSE)=0,"",VLOOKUP($B614,Показатели!$E:$W,6,FALSE)),"")</f>
        <v>1209443631000</v>
      </c>
      <c r="J614">
        <f>IFERROR(IF(VLOOKUP($B614,Показатели!$E:$W,7,FALSE)=0,"",VLOOKUP($B614,Показатели!$E:$W,7,FALSE)),"")</f>
        <v>415039529000</v>
      </c>
      <c r="K614">
        <f>IFERROR(IF(VLOOKUP($B614,Показатели!$E:$W,8,FALSE)=0,"",VLOOKUP($B614,Показатели!$E:$W,8,FALSE)),"")</f>
        <v>615418923000</v>
      </c>
      <c r="L614">
        <f>IFERROR(IF(VLOOKUP($B614,Показатели!$E:$W,9,FALSE)=0,"",VLOOKUP($B614,Показатели!$E:$W,9,FALSE)),"")</f>
        <v>104808170000</v>
      </c>
      <c r="M614">
        <f>IFERROR(IF(VLOOKUP($B614,Показатели!$E:$W,10,FALSE)=0,"",VLOOKUP($B614,Показатели!$E:$W,10,FALSE)),"")</f>
        <v>178985179000</v>
      </c>
      <c r="N614">
        <f>IFERROR(IF(VLOOKUP($B614,Показатели!$E:$W,11,FALSE)=0,"",VLOOKUP($B614,Показатели!$E:$W,11,FALSE)),"")</f>
        <v>1856078950000</v>
      </c>
      <c r="O614">
        <f>IFERROR(IF(VLOOKUP($B614,Показатели!$E:$W,12,FALSE)=0,"",VLOOKUP($B614,Показатели!$E:$W,12,FALSE)),"")</f>
        <v>108896987000</v>
      </c>
      <c r="P614">
        <f>IFERROR(IF(VLOOKUP($B614,Показатели!$E:$W,13,FALSE)=0,"",VLOOKUP($B614,Показатели!$E:$W,13,FALSE)),"")</f>
        <v>62599719000</v>
      </c>
      <c r="Q614">
        <f>IFERROR(IF(VLOOKUP($B614,Показатели!$E:$W,14,FALSE)=0,"",VLOOKUP($B614,Показатели!$E:$W,14,FALSE)),"")</f>
        <v>48105862000</v>
      </c>
      <c r="R614">
        <f>IFERROR(IF(VLOOKUP($B614,Показатели!$E:$W,15,FALSE)=0,"",VLOOKUP($B614,Показатели!$E:$W,15,FALSE)),"")</f>
        <v>105323380000</v>
      </c>
      <c r="S614">
        <f>IFERROR(IF(VLOOKUP($B614,Показатели!$E:$W,16,FALSE)=0,"",VLOOKUP($B614,Показатели!$E:$W,16,FALSE)),"")</f>
        <v>214220000000</v>
      </c>
      <c r="T614">
        <f>IFERROR(IF(VLOOKUP($B614,Показатели!$E:$W,17,FALSE)=0,"",VLOOKUP($B614,Показатели!$E:$W,17,FALSE)),"")</f>
        <v>-59875411000</v>
      </c>
      <c r="U614">
        <f>IFERROR(IF(VLOOKUP($B614,Показатели!$E:$W,18,FALSE)=0,"",VLOOKUP($B614,Показатели!$E:$W,18,FALSE)),"")</f>
        <v>1553777351000</v>
      </c>
      <c r="V614">
        <f>IFERROR(IF(VLOOKUP($B614,Показатели!$E:$W,19,FALSE)=0,"",VLOOKUP($B614,Показатели!$E:$W,19,FALSE)),"")</f>
        <v>945392206000</v>
      </c>
    </row>
    <row r="615" spans="1:22" x14ac:dyDescent="0.2">
      <c r="A615" s="7" t="s">
        <v>2255</v>
      </c>
      <c r="B615" t="str">
        <f t="shared" si="9"/>
        <v>MGNT IV кв. 2020</v>
      </c>
      <c r="C615">
        <v>2020</v>
      </c>
      <c r="D615">
        <f>SUMIFS(Дивиденды!$C:$C,Дивиденды!$A:$A,A615,Дивиденды!$I:$I,C615)</f>
        <v>490.62</v>
      </c>
      <c r="E615">
        <f>IFERROR(IF(VLOOKUP($B615,Показатели!$E:$W,2,FALSE)=0,"",VLOOKUP($B615,Показатели!$E:$W,2,FALSE)),"")</f>
        <v>44699581000</v>
      </c>
      <c r="F615">
        <f>IFERROR(IF(VLOOKUP($B615,Показатели!$E:$W,3,FALSE)=0,"",VLOOKUP($B615,Показатели!$E:$W,3,FALSE)),"")</f>
        <v>266931047000</v>
      </c>
      <c r="G615">
        <f>IFERROR(IF(VLOOKUP($B615,Показатели!$E:$W,4,FALSE)=0,"",VLOOKUP($B615,Показатели!$E:$W,4,FALSE)),"")</f>
        <v>336513344000</v>
      </c>
      <c r="H615">
        <f>IFERROR(IF(VLOOKUP($B615,Показатели!$E:$W,5,FALSE)=0,"",VLOOKUP($B615,Показатели!$E:$W,5,FALSE)),"")</f>
        <v>32385569000</v>
      </c>
      <c r="I615">
        <f>IFERROR(IF(VLOOKUP($B615,Показатели!$E:$W,6,FALSE)=0,"",VLOOKUP($B615,Показатели!$E:$W,6,FALSE)),"")</f>
        <v>945392206000</v>
      </c>
      <c r="J615">
        <f>IFERROR(IF(VLOOKUP($B615,Показатели!$E:$W,7,FALSE)=0,"",VLOOKUP($B615,Показатели!$E:$W,7,FALSE)),"")</f>
        <v>284273270000</v>
      </c>
      <c r="K615">
        <f>IFERROR(IF(VLOOKUP($B615,Показатели!$E:$W,8,FALSE)=0,"",VLOOKUP($B615,Показатели!$E:$W,8,FALSE)),"")</f>
        <v>478230012000</v>
      </c>
      <c r="L615">
        <f>IFERROR(IF(VLOOKUP($B615,Показатели!$E:$W,9,FALSE)=0,"",VLOOKUP($B615,Показатели!$E:$W,9,FALSE)),"")</f>
        <v>109463257000</v>
      </c>
      <c r="M615">
        <f>IFERROR(IF(VLOOKUP($B615,Показатели!$E:$W,10,FALSE)=0,"",VLOOKUP($B615,Показатели!$E:$W,10,FALSE)),"")</f>
        <v>182888924000</v>
      </c>
      <c r="N615">
        <f>IFERROR(IF(VLOOKUP($B615,Показатели!$E:$W,11,FALSE)=0,"",VLOOKUP($B615,Показатели!$E:$W,11,FALSE)),"")</f>
        <v>1553777351000</v>
      </c>
      <c r="O615" t="str">
        <f>IFERROR(IF(VLOOKUP($B615,Показатели!$E:$W,12,FALSE)=0,"",VLOOKUP($B615,Показатели!$E:$W,12,FALSE)),"")</f>
        <v/>
      </c>
      <c r="P615">
        <f>IFERROR(IF(VLOOKUP($B615,Показатели!$E:$W,13,FALSE)=0,"",VLOOKUP($B615,Показатели!$E:$W,13,FALSE)),"")</f>
        <v>42702515000</v>
      </c>
      <c r="Q615">
        <f>IFERROR(IF(VLOOKUP($B615,Показатели!$E:$W,14,FALSE)=0,"",VLOOKUP($B615,Показатели!$E:$W,14,FALSE)),"")</f>
        <v>32993292000</v>
      </c>
      <c r="R615">
        <f>IFERROR(IF(VLOOKUP($B615,Показатели!$E:$W,15,FALSE)=0,"",VLOOKUP($B615,Показатели!$E:$W,15,FALSE)),"")</f>
        <v>89765378000</v>
      </c>
      <c r="S615">
        <f>IFERROR(IF(VLOOKUP($B615,Показатели!$E:$W,16,FALSE)=0,"",VLOOKUP($B615,Показатели!$E:$W,16,FALSE)),"")</f>
        <v>178189000000</v>
      </c>
      <c r="T615">
        <f>IFERROR(IF(VLOOKUP($B615,Показатели!$E:$W,17,FALSE)=0,"",VLOOKUP($B615,Показатели!$E:$W,17,FALSE)),"")</f>
        <v>-31476830000</v>
      </c>
      <c r="U615">
        <f>IFERROR(IF(VLOOKUP($B615,Показатели!$E:$W,18,FALSE)=0,"",VLOOKUP($B615,Показатели!$E:$W,18,FALSE)),"")</f>
        <v>1368705394000</v>
      </c>
      <c r="V615">
        <f>IFERROR(IF(VLOOKUP($B615,Показатели!$E:$W,19,FALSE)=0,"",VLOOKUP($B615,Показатели!$E:$W,19,FALSE)),"")</f>
        <v>948689323000</v>
      </c>
    </row>
    <row r="616" spans="1:22" x14ac:dyDescent="0.2">
      <c r="A616" s="7" t="s">
        <v>2255</v>
      </c>
      <c r="B616" t="str">
        <f t="shared" si="9"/>
        <v>MGNT IV кв. 2019</v>
      </c>
      <c r="C616">
        <v>2019</v>
      </c>
      <c r="D616">
        <f>SUMIFS(Дивиденды!$C:$C,Дивиденды!$A:$A,A616,Дивиденды!$I:$I,C616)</f>
        <v>304.19</v>
      </c>
      <c r="E616">
        <f>IFERROR(IF(VLOOKUP($B616,Показатели!$E:$W,2,FALSE)=0,"",VLOOKUP($B616,Показатели!$E:$W,2,FALSE)),"")</f>
        <v>8901298000</v>
      </c>
      <c r="F616">
        <f>IFERROR(IF(VLOOKUP($B616,Показатели!$E:$W,3,FALSE)=0,"",VLOOKUP($B616,Показатели!$E:$W,3,FALSE)),"")</f>
        <v>251342816000</v>
      </c>
      <c r="G616">
        <f>IFERROR(IF(VLOOKUP($B616,Показатели!$E:$W,4,FALSE)=0,"",VLOOKUP($B616,Показатели!$E:$W,4,FALSE)),"")</f>
        <v>352985987000</v>
      </c>
      <c r="H616">
        <f>IFERROR(IF(VLOOKUP($B616,Показатели!$E:$W,5,FALSE)=0,"",VLOOKUP($B616,Показатели!$E:$W,5,FALSE)),"")</f>
        <v>30793994000</v>
      </c>
      <c r="I616">
        <f>IFERROR(IF(VLOOKUP($B616,Показатели!$E:$W,6,FALSE)=0,"",VLOOKUP($B616,Показатели!$E:$W,6,FALSE)),"")</f>
        <v>948689323000</v>
      </c>
      <c r="J616">
        <f>IFERROR(IF(VLOOKUP($B616,Показатели!$E:$W,7,FALSE)=0,"",VLOOKUP($B616,Показатели!$E:$W,7,FALSE)),"")</f>
        <v>300398817000</v>
      </c>
      <c r="K616">
        <f>IFERROR(IF(VLOOKUP($B616,Показатели!$E:$W,8,FALSE)=0,"",VLOOKUP($B616,Показатели!$E:$W,8,FALSE)),"")</f>
        <v>459757693000</v>
      </c>
      <c r="L616">
        <f>IFERROR(IF(VLOOKUP($B616,Показатели!$E:$W,9,FALSE)=0,"",VLOOKUP($B616,Показатели!$E:$W,9,FALSE)),"")</f>
        <v>115983222000</v>
      </c>
      <c r="M616">
        <f>IFERROR(IF(VLOOKUP($B616,Показатели!$E:$W,10,FALSE)=0,"",VLOOKUP($B616,Показатели!$E:$W,10,FALSE)),"")</f>
        <v>188532813000</v>
      </c>
      <c r="N616">
        <f>IFERROR(IF(VLOOKUP($B616,Показатели!$E:$W,11,FALSE)=0,"",VLOOKUP($B616,Показатели!$E:$W,11,FALSE)),"")</f>
        <v>1368705394000</v>
      </c>
      <c r="O616" t="str">
        <f>IFERROR(IF(VLOOKUP($B616,Показатели!$E:$W,12,FALSE)=0,"",VLOOKUP($B616,Показатели!$E:$W,12,FALSE)),"")</f>
        <v/>
      </c>
      <c r="P616">
        <f>IFERROR(IF(VLOOKUP($B616,Показатели!$E:$W,13,FALSE)=0,"",VLOOKUP($B616,Показатели!$E:$W,13,FALSE)),"")</f>
        <v>12579472000</v>
      </c>
      <c r="Q616">
        <f>IFERROR(IF(VLOOKUP($B616,Показатели!$E:$W,14,FALSE)=0,"",VLOOKUP($B616,Показатели!$E:$W,14,FALSE)),"")</f>
        <v>9564222000</v>
      </c>
      <c r="R616">
        <f>IFERROR(IF(VLOOKUP($B616,Показатели!$E:$W,15,FALSE)=0,"",VLOOKUP($B616,Показатели!$E:$W,15,FALSE)),"")</f>
        <v>88094436000</v>
      </c>
      <c r="S616">
        <f>IFERROR(IF(VLOOKUP($B616,Показатели!$E:$W,16,FALSE)=0,"",VLOOKUP($B616,Показатели!$E:$W,16,FALSE)),"")</f>
        <v>147310000000</v>
      </c>
      <c r="T616">
        <f>IFERROR(IF(VLOOKUP($B616,Показатели!$E:$W,17,FALSE)=0,"",VLOOKUP($B616,Показатели!$E:$W,17,FALSE)),"")</f>
        <v>-57148757000</v>
      </c>
      <c r="U616">
        <f>IFERROR(IF(VLOOKUP($B616,Показатели!$E:$W,18,FALSE)=0,"",VLOOKUP($B616,Показатели!$E:$W,18,FALSE)),"")</f>
        <v>1237015457000</v>
      </c>
      <c r="V616">
        <f>IFERROR(IF(VLOOKUP($B616,Показатели!$E:$W,19,FALSE)=0,"",VLOOKUP($B616,Показатели!$E:$W,19,FALSE)),"")</f>
        <v>611587689000</v>
      </c>
    </row>
    <row r="617" spans="1:22" x14ac:dyDescent="0.2">
      <c r="A617" s="7" t="s">
        <v>2255</v>
      </c>
      <c r="B617" t="str">
        <f t="shared" si="9"/>
        <v>MGNT IV кв. 2018</v>
      </c>
      <c r="C617">
        <v>2018</v>
      </c>
      <c r="D617">
        <f>SUMIFS(Дивиденды!$C:$C,Дивиденды!$A:$A,A617,Дивиденды!$I:$I,C617)</f>
        <v>304.15999999999997</v>
      </c>
      <c r="E617">
        <f>IFERROR(IF(VLOOKUP($B617,Показатели!$E:$W,2,FALSE)=0,"",VLOOKUP($B617,Показатели!$E:$W,2,FALSE)),"")</f>
        <v>26747754000</v>
      </c>
      <c r="F617">
        <f>IFERROR(IF(VLOOKUP($B617,Показатели!$E:$W,3,FALSE)=0,"",VLOOKUP($B617,Показатели!$E:$W,3,FALSE)),"")</f>
        <v>228688153000</v>
      </c>
      <c r="G617">
        <f>IFERROR(IF(VLOOKUP($B617,Показатели!$E:$W,4,FALSE)=0,"",VLOOKUP($B617,Показатели!$E:$W,4,FALSE)),"")</f>
        <v>350331456000</v>
      </c>
      <c r="H617">
        <f>IFERROR(IF(VLOOKUP($B617,Показатели!$E:$W,5,FALSE)=0,"",VLOOKUP($B617,Показатели!$E:$W,5,FALSE)),"")</f>
        <v>27533947000</v>
      </c>
      <c r="I617">
        <f>IFERROR(IF(VLOOKUP($B617,Показатели!$E:$W,6,FALSE)=0,"",VLOOKUP($B617,Показатели!$E:$W,6,FALSE)),"")</f>
        <v>611587689000</v>
      </c>
      <c r="J617">
        <f>IFERROR(IF(VLOOKUP($B617,Показатели!$E:$W,7,FALSE)=0,"",VLOOKUP($B617,Показатели!$E:$W,7,FALSE)),"")</f>
        <v>235612997000</v>
      </c>
      <c r="K617">
        <f>IFERROR(IF(VLOOKUP($B617,Показатели!$E:$W,8,FALSE)=0,"",VLOOKUP($B617,Показатели!$E:$W,8,FALSE)),"")</f>
        <v>122670785000</v>
      </c>
      <c r="L617">
        <f>IFERROR(IF(VLOOKUP($B617,Показатели!$E:$W,9,FALSE)=0,"",VLOOKUP($B617,Показатели!$E:$W,9,FALSE)),"")</f>
        <v>178097010000</v>
      </c>
      <c r="M617">
        <f>IFERROR(IF(VLOOKUP($B617,Показатели!$E:$W,10,FALSE)=0,"",VLOOKUP($B617,Показатели!$E:$W,10,FALSE)),"")</f>
        <v>253303907000</v>
      </c>
      <c r="N617">
        <f>IFERROR(IF(VLOOKUP($B617,Показатели!$E:$W,11,FALSE)=0,"",VLOOKUP($B617,Показатели!$E:$W,11,FALSE)),"")</f>
        <v>1237015457000</v>
      </c>
      <c r="O617" t="str">
        <f>IFERROR(IF(VLOOKUP($B617,Показатели!$E:$W,12,FALSE)=0,"",VLOOKUP($B617,Показатели!$E:$W,12,FALSE)),"")</f>
        <v/>
      </c>
      <c r="P617">
        <f>IFERROR(IF(VLOOKUP($B617,Показатели!$E:$W,13,FALSE)=0,"",VLOOKUP($B617,Показатели!$E:$W,13,FALSE)),"")</f>
        <v>43071995000</v>
      </c>
      <c r="Q617">
        <f>IFERROR(IF(VLOOKUP($B617,Показатели!$E:$W,14,FALSE)=0,"",VLOOKUP($B617,Показатели!$E:$W,14,FALSE)),"")</f>
        <v>33864524000</v>
      </c>
      <c r="R617">
        <f>IFERROR(IF(VLOOKUP($B617,Показатели!$E:$W,15,FALSE)=0,"",VLOOKUP($B617,Показатели!$E:$W,15,FALSE)),"")</f>
        <v>36517438000</v>
      </c>
      <c r="S617">
        <f>IFERROR(IF(VLOOKUP($B617,Показатели!$E:$W,16,FALSE)=0,"",VLOOKUP($B617,Показатели!$E:$W,16,FALSE)),"")</f>
        <v>89931000000</v>
      </c>
      <c r="T617">
        <f>IFERROR(IF(VLOOKUP($B617,Показатели!$E:$W,17,FALSE)=0,"",VLOOKUP($B617,Показатели!$E:$W,17,FALSE)),"")</f>
        <v>-53758095000</v>
      </c>
      <c r="U617">
        <f>IFERROR(IF(VLOOKUP($B617,Показатели!$E:$W,18,FALSE)=0,"",VLOOKUP($B617,Показатели!$E:$W,18,FALSE)),"")</f>
        <v>1142529679506.7349</v>
      </c>
      <c r="V617">
        <f>IFERROR(IF(VLOOKUP($B617,Показатели!$E:$W,19,FALSE)=0,"",VLOOKUP($B617,Показатели!$E:$W,19,FALSE)),"")</f>
        <v>532837225466.69812</v>
      </c>
    </row>
    <row r="618" spans="1:22" x14ac:dyDescent="0.2">
      <c r="A618" s="7" t="s">
        <v>2255</v>
      </c>
      <c r="B618" t="str">
        <f t="shared" si="9"/>
        <v>MGNT IV кв. 2017</v>
      </c>
      <c r="C618">
        <v>2017</v>
      </c>
      <c r="D618">
        <f>SUMIFS(Дивиденды!$C:$C,Дивиденды!$A:$A,A618,Дивиденды!$I:$I,C618)</f>
        <v>251.01</v>
      </c>
      <c r="E618">
        <f>IFERROR(IF(VLOOKUP($B618,Показатели!$E:$W,2,FALSE)=0,"",VLOOKUP($B618,Показатели!$E:$W,2,FALSE)),"")</f>
        <v>18564304039.98415</v>
      </c>
      <c r="F618">
        <f>IFERROR(IF(VLOOKUP($B618,Показатели!$E:$W,3,FALSE)=0,"",VLOOKUP($B618,Показатели!$E:$W,3,FALSE)),"")</f>
        <v>191884323065.85339</v>
      </c>
      <c r="G618">
        <f>IFERROR(IF(VLOOKUP($B618,Показатели!$E:$W,4,FALSE)=0,"",VLOOKUP($B618,Показатели!$E:$W,4,FALSE)),"")</f>
        <v>333907660469.60779</v>
      </c>
      <c r="H618">
        <f>IFERROR(IF(VLOOKUP($B618,Показатели!$E:$W,5,FALSE)=0,"",VLOOKUP($B618,Показатели!$E:$W,5,FALSE)),"")</f>
        <v>3680415538.1650152</v>
      </c>
      <c r="I618">
        <f>IFERROR(IF(VLOOKUP($B618,Показатели!$E:$W,6,FALSE)=0,"",VLOOKUP($B618,Показатели!$E:$W,6,FALSE)),"")</f>
        <v>532837225466.69812</v>
      </c>
      <c r="J618">
        <f>IFERROR(IF(VLOOKUP($B618,Показатели!$E:$W,7,FALSE)=0,"",VLOOKUP($B618,Показатели!$E:$W,7,FALSE)),"")</f>
        <v>160012968305.3623</v>
      </c>
      <c r="K618">
        <f>IFERROR(IF(VLOOKUP($B618,Показатели!$E:$W,8,FALSE)=0,"",VLOOKUP($B618,Показатели!$E:$W,8,FALSE)),"")</f>
        <v>110308552645.95639</v>
      </c>
      <c r="L618">
        <f>IFERROR(IF(VLOOKUP($B618,Показатели!$E:$W,9,FALSE)=0,"",VLOOKUP($B618,Показатели!$E:$W,9,FALSE)),"")</f>
        <v>259215372134.59</v>
      </c>
      <c r="M618">
        <f>IFERROR(IF(VLOOKUP($B618,Показатели!$E:$W,10,FALSE)=0,"",VLOOKUP($B618,Показатели!$E:$W,10,FALSE)),"")</f>
        <v>262515704515.37943</v>
      </c>
      <c r="N618">
        <f>IFERROR(IF(VLOOKUP($B618,Показатели!$E:$W,11,FALSE)=0,"",VLOOKUP($B618,Показатели!$E:$W,11,FALSE)),"")</f>
        <v>1142529679506.7349</v>
      </c>
      <c r="O618" t="str">
        <f>IFERROR(IF(VLOOKUP($B618,Показатели!$E:$W,12,FALSE)=0,"",VLOOKUP($B618,Показатели!$E:$W,12,FALSE)),"")</f>
        <v/>
      </c>
      <c r="P618">
        <f>IFERROR(IF(VLOOKUP($B618,Показатели!$E:$W,13,FALSE)=0,"",VLOOKUP($B618,Показатели!$E:$W,13,FALSE)),"")</f>
        <v>45392588579.654106</v>
      </c>
      <c r="Q618">
        <f>IFERROR(IF(VLOOKUP($B618,Показатели!$E:$W,14,FALSE)=0,"",VLOOKUP($B618,Показатели!$E:$W,14,FALSE)),"")</f>
        <v>35514566700.250809</v>
      </c>
      <c r="R618">
        <f>IFERROR(IF(VLOOKUP($B618,Показатели!$E:$W,15,FALSE)=0,"",VLOOKUP($B618,Показатели!$E:$W,15,FALSE)),"")</f>
        <v>33692581696.844872</v>
      </c>
      <c r="S618">
        <f>IFERROR(IF(VLOOKUP($B618,Показатели!$E:$W,16,FALSE)=0,"",VLOOKUP($B618,Показатели!$E:$W,16,FALSE)),"")</f>
        <v>91714450739.537918</v>
      </c>
      <c r="T618">
        <f>IFERROR(IF(VLOOKUP($B618,Показатели!$E:$W,17,FALSE)=0,"",VLOOKUP($B618,Показатели!$E:$W,17,FALSE)),"")</f>
        <v>-75037383782.294357</v>
      </c>
      <c r="U618">
        <f>IFERROR(IF(VLOOKUP($B618,Показатели!$E:$W,18,FALSE)=0,"",VLOOKUP($B618,Показатели!$E:$W,18,FALSE)),"")</f>
        <v>1075123771952.88</v>
      </c>
      <c r="V618">
        <f>IFERROR(IF(VLOOKUP($B618,Показатели!$E:$W,19,FALSE)=0,"",VLOOKUP($B618,Показатели!$E:$W,19,FALSE)),"")</f>
        <v>502895245407.03894</v>
      </c>
    </row>
    <row r="619" spans="1:22" x14ac:dyDescent="0.2">
      <c r="A619" s="7" t="s">
        <v>2255</v>
      </c>
      <c r="B619" t="str">
        <f t="shared" si="9"/>
        <v>MGNT IV кв. 2016</v>
      </c>
      <c r="C619">
        <v>2016</v>
      </c>
      <c r="D619">
        <f>SUMIFS(Дивиденды!$C:$C,Дивиденды!$A:$A,A619,Дивиденды!$I:$I,C619)</f>
        <v>278.13</v>
      </c>
      <c r="E619">
        <f>IFERROR(IF(VLOOKUP($B619,Показатели!$E:$W,2,FALSE)=0,"",VLOOKUP($B619,Показатели!$E:$W,2,FALSE)),"")</f>
        <v>18305776304.139347</v>
      </c>
      <c r="F619">
        <f>IFERROR(IF(VLOOKUP($B619,Показатели!$E:$W,3,FALSE)=0,"",VLOOKUP($B619,Показатели!$E:$W,3,FALSE)),"")</f>
        <v>175647584471.61688</v>
      </c>
      <c r="G619">
        <f>IFERROR(IF(VLOOKUP($B619,Показатели!$E:$W,4,FALSE)=0,"",VLOOKUP($B619,Показатели!$E:$W,4,FALSE)),"")</f>
        <v>320525795486.79974</v>
      </c>
      <c r="H619" t="str">
        <f>IFERROR(IF(VLOOKUP($B619,Показатели!$E:$W,5,FALSE)=0,"",VLOOKUP($B619,Показатели!$E:$W,5,FALSE)),"")</f>
        <v/>
      </c>
      <c r="I619">
        <f>IFERROR(IF(VLOOKUP($B619,Показатели!$E:$W,6,FALSE)=0,"",VLOOKUP($B619,Показатели!$E:$W,6,FALSE)),"")</f>
        <v>502895245407.03894</v>
      </c>
      <c r="J619">
        <f>IFERROR(IF(VLOOKUP($B619,Показатели!$E:$W,7,FALSE)=0,"",VLOOKUP($B619,Показатели!$E:$W,7,FALSE)),"")</f>
        <v>183190530696.52112</v>
      </c>
      <c r="K619">
        <f>IFERROR(IF(VLOOKUP($B619,Показатели!$E:$W,8,FALSE)=0,"",VLOOKUP($B619,Показатели!$E:$W,8,FALSE)),"")</f>
        <v>102947570405.38821</v>
      </c>
      <c r="L619">
        <f>IFERROR(IF(VLOOKUP($B619,Показатели!$E:$W,9,FALSE)=0,"",VLOOKUP($B619,Показатели!$E:$W,9,FALSE)),"")</f>
        <v>277259431801.17529</v>
      </c>
      <c r="M619">
        <f>IFERROR(IF(VLOOKUP($B619,Показатели!$E:$W,10,FALSE)=0,"",VLOOKUP($B619,Показатели!$E:$W,10,FALSE)),"")</f>
        <v>216757144305.12961</v>
      </c>
      <c r="N619">
        <f>IFERROR(IF(VLOOKUP($B619,Показатели!$E:$W,11,FALSE)=0,"",VLOOKUP($B619,Показатели!$E:$W,11,FALSE)),"")</f>
        <v>1075123771952.88</v>
      </c>
      <c r="O619" t="str">
        <f>IFERROR(IF(VLOOKUP($B619,Показатели!$E:$W,12,FALSE)=0,"",VLOOKUP($B619,Показатели!$E:$W,12,FALSE)),"")</f>
        <v/>
      </c>
      <c r="P619">
        <f>IFERROR(IF(VLOOKUP($B619,Показатели!$E:$W,13,FALSE)=0,"",VLOOKUP($B619,Показатели!$E:$W,13,FALSE)),"")</f>
        <v>68799930669.66803</v>
      </c>
      <c r="Q619">
        <f>IFERROR(IF(VLOOKUP($B619,Показатели!$E:$W,14,FALSE)=0,"",VLOOKUP($B619,Показатели!$E:$W,14,FALSE)),"")</f>
        <v>54424814555.391441</v>
      </c>
      <c r="R619" t="str">
        <f>IFERROR(IF(VLOOKUP($B619,Показатели!$E:$W,15,FALSE)=0,"",VLOOKUP($B619,Показатели!$E:$W,15,FALSE)),"")</f>
        <v/>
      </c>
      <c r="S619">
        <f>IFERROR(IF(VLOOKUP($B619,Показатели!$E:$W,16,FALSE)=0,"",VLOOKUP($B619,Показатели!$E:$W,16,FALSE)),"")</f>
        <v>107824099556.47864</v>
      </c>
      <c r="T619" t="str">
        <f>IFERROR(IF(VLOOKUP($B619,Показатели!$E:$W,17,FALSE)=0,"",VLOOKUP($B619,Показатели!$E:$W,17,FALSE)),"")</f>
        <v/>
      </c>
      <c r="U619">
        <f>IFERROR(IF(VLOOKUP($B619,Показатели!$E:$W,18,FALSE)=0,"",VLOOKUP($B619,Показатели!$E:$W,18,FALSE)),"")</f>
        <v>955171107347.09619</v>
      </c>
      <c r="V619">
        <f>IFERROR(IF(VLOOKUP($B619,Показатели!$E:$W,19,FALSE)=0,"",VLOOKUP($B619,Показатели!$E:$W,19,FALSE)),"")</f>
        <v>339681233149.38702</v>
      </c>
    </row>
    <row r="620" spans="1:22" x14ac:dyDescent="0.2">
      <c r="A620" s="7" t="s">
        <v>2255</v>
      </c>
      <c r="B620" t="str">
        <f t="shared" si="9"/>
        <v>MGNT IV кв. 2015</v>
      </c>
      <c r="C620">
        <v>2015</v>
      </c>
      <c r="D620">
        <f>SUMIFS(Дивиденды!$C:$C,Дивиденды!$A:$A,A620,Дивиденды!$I:$I,C620)</f>
        <v>310.47000000000003</v>
      </c>
      <c r="E620">
        <f>IFERROR(IF(VLOOKUP($B620,Показатели!$E:$W,2,FALSE)=0,"",VLOOKUP($B620,Показатели!$E:$W,2,FALSE)),"")</f>
        <v>7051670388.3272734</v>
      </c>
      <c r="F620">
        <f>IFERROR(IF(VLOOKUP($B620,Показатели!$E:$W,3,FALSE)=0,"",VLOOKUP($B620,Показатели!$E:$W,3,FALSE)),"")</f>
        <v>110777540651.71948</v>
      </c>
      <c r="G620">
        <f>IFERROR(IF(VLOOKUP($B620,Показатели!$E:$W,4,FALSE)=0,"",VLOOKUP($B620,Показатели!$E:$W,4,FALSE)),"")</f>
        <v>223541301694.06754</v>
      </c>
      <c r="H620" t="str">
        <f>IFERROR(IF(VLOOKUP($B620,Показатели!$E:$W,5,FALSE)=0,"",VLOOKUP($B620,Показатели!$E:$W,5,FALSE)),"")</f>
        <v/>
      </c>
      <c r="I620">
        <f>IFERROR(IF(VLOOKUP($B620,Показатели!$E:$W,6,FALSE)=0,"",VLOOKUP($B620,Показатели!$E:$W,6,FALSE)),"")</f>
        <v>339681233149.38702</v>
      </c>
      <c r="J620">
        <f>IFERROR(IF(VLOOKUP($B620,Показатели!$E:$W,7,FALSE)=0,"",VLOOKUP($B620,Показатели!$E:$W,7,FALSE)),"")</f>
        <v>140045381335.02856</v>
      </c>
      <c r="K620">
        <f>IFERROR(IF(VLOOKUP($B620,Показатели!$E:$W,8,FALSE)=0,"",VLOOKUP($B620,Показатели!$E:$W,8,FALSE)),"")</f>
        <v>60852713905.075325</v>
      </c>
      <c r="L620">
        <f>IFERROR(IF(VLOOKUP($B620,Показатели!$E:$W,9,FALSE)=0,"",VLOOKUP($B620,Показатели!$E:$W,9,FALSE)),"")</f>
        <v>226257746566.53506</v>
      </c>
      <c r="M620">
        <f>IFERROR(IF(VLOOKUP($B620,Показатели!$E:$W,10,FALSE)=0,"",VLOOKUP($B620,Показатели!$E:$W,10,FALSE)),"")</f>
        <v>138783137909.28311</v>
      </c>
      <c r="N620">
        <f>IFERROR(IF(VLOOKUP($B620,Показатели!$E:$W,11,FALSE)=0,"",VLOOKUP($B620,Показатели!$E:$W,11,FALSE)),"")</f>
        <v>955171107347.09619</v>
      </c>
      <c r="O620" t="str">
        <f>IFERROR(IF(VLOOKUP($B620,Показатели!$E:$W,12,FALSE)=0,"",VLOOKUP($B620,Показатели!$E:$W,12,FALSE)),"")</f>
        <v/>
      </c>
      <c r="P620">
        <f>IFERROR(IF(VLOOKUP($B620,Показатели!$E:$W,13,FALSE)=0,"",VLOOKUP($B620,Показатели!$E:$W,13,FALSE)),"")</f>
        <v>71537254153.059738</v>
      </c>
      <c r="Q620">
        <f>IFERROR(IF(VLOOKUP($B620,Показатели!$E:$W,14,FALSE)=0,"",VLOOKUP($B620,Показатели!$E:$W,14,FALSE)),"")</f>
        <v>59344367311.402603</v>
      </c>
      <c r="R620" t="str">
        <f>IFERROR(IF(VLOOKUP($B620,Показатели!$E:$W,15,FALSE)=0,"",VLOOKUP($B620,Показатели!$E:$W,15,FALSE)),"")</f>
        <v/>
      </c>
      <c r="S620">
        <f>IFERROR(IF(VLOOKUP($B620,Показатели!$E:$W,16,FALSE)=0,"",VLOOKUP($B620,Показатели!$E:$W,16,FALSE)),"")</f>
        <v>104471346036.62338</v>
      </c>
      <c r="T620" t="str">
        <f>IFERROR(IF(VLOOKUP($B620,Показатели!$E:$W,17,FALSE)=0,"",VLOOKUP($B620,Показатели!$E:$W,17,FALSE)),"")</f>
        <v/>
      </c>
      <c r="U620">
        <f>IFERROR(IF(VLOOKUP($B620,Показатели!$E:$W,18,FALSE)=0,"",VLOOKUP($B620,Показатели!$E:$W,18,FALSE)),"")</f>
        <v>770280103262.15503</v>
      </c>
      <c r="V620">
        <f>IFERROR(IF(VLOOKUP($B620,Показатели!$E:$W,19,FALSE)=0,"",VLOOKUP($B620,Показатели!$E:$W,19,FALSE)),"")</f>
        <v>237537295724.54218</v>
      </c>
    </row>
    <row r="621" spans="1:22" x14ac:dyDescent="0.2">
      <c r="A621" s="7" t="s">
        <v>2255</v>
      </c>
      <c r="B621" t="str">
        <f t="shared" si="9"/>
        <v>MGNT IV кв. 2014</v>
      </c>
      <c r="C621">
        <v>2014</v>
      </c>
      <c r="D621">
        <f>SUMIFS(Дивиденды!$C:$C,Дивиденды!$A:$A,A621,Дивиденды!$I:$I,C621)</f>
        <v>362.94</v>
      </c>
      <c r="E621">
        <f>IFERROR(IF(VLOOKUP($B621,Показатели!$E:$W,2,FALSE)=0,"",VLOOKUP($B621,Показатели!$E:$W,2,FALSE)),"")</f>
        <v>12189294208.878706</v>
      </c>
      <c r="F621">
        <f>IFERROR(IF(VLOOKUP($B621,Показатели!$E:$W,3,FALSE)=0,"",VLOOKUP($B621,Показатели!$E:$W,3,FALSE)),"")</f>
        <v>72859860804.252457</v>
      </c>
      <c r="G621">
        <f>IFERROR(IF(VLOOKUP($B621,Показатели!$E:$W,4,FALSE)=0,"",VLOOKUP($B621,Показатели!$E:$W,4,FALSE)),"")</f>
        <v>160513324347.97375</v>
      </c>
      <c r="H621" t="str">
        <f>IFERROR(IF(VLOOKUP($B621,Показатели!$E:$W,5,FALSE)=0,"",VLOOKUP($B621,Показатели!$E:$W,5,FALSE)),"")</f>
        <v/>
      </c>
      <c r="I621">
        <f>IFERROR(IF(VLOOKUP($B621,Показатели!$E:$W,6,FALSE)=0,"",VLOOKUP($B621,Показатели!$E:$W,6,FALSE)),"")</f>
        <v>237537295724.54218</v>
      </c>
      <c r="J621">
        <f>IFERROR(IF(VLOOKUP($B621,Показатели!$E:$W,7,FALSE)=0,"",VLOOKUP($B621,Показатели!$E:$W,7,FALSE)),"")</f>
        <v>100649035983.01025</v>
      </c>
      <c r="K621">
        <f>IFERROR(IF(VLOOKUP($B621,Показатели!$E:$W,8,FALSE)=0,"",VLOOKUP($B621,Показатели!$E:$W,8,FALSE)),"")</f>
        <v>37913721117.000755</v>
      </c>
      <c r="L621">
        <f>IFERROR(IF(VLOOKUP($B621,Показатели!$E:$W,9,FALSE)=0,"",VLOOKUP($B621,Показатели!$E:$W,9,FALSE)),"")</f>
        <v>128928389254.25246</v>
      </c>
      <c r="M621">
        <f>IFERROR(IF(VLOOKUP($B621,Показатели!$E:$W,10,FALSE)=0,"",VLOOKUP($B621,Показатели!$E:$W,10,FALSE)),"")</f>
        <v>98974538624.531158</v>
      </c>
      <c r="N621">
        <f>IFERROR(IF(VLOOKUP($B621,Показатели!$E:$W,11,FALSE)=0,"",VLOOKUP($B621,Показатели!$E:$W,11,FALSE)),"")</f>
        <v>770280103262.15503</v>
      </c>
      <c r="O621" t="str">
        <f>IFERROR(IF(VLOOKUP($B621,Показатели!$E:$W,12,FALSE)=0,"",VLOOKUP($B621,Показатели!$E:$W,12,FALSE)),"")</f>
        <v/>
      </c>
      <c r="P621">
        <f>IFERROR(IF(VLOOKUP($B621,Показатели!$E:$W,13,FALSE)=0,"",VLOOKUP($B621,Показатели!$E:$W,13,FALSE)),"")</f>
        <v>62575152294.592003</v>
      </c>
      <c r="Q621">
        <f>IFERROR(IF(VLOOKUP($B621,Показатели!$E:$W,14,FALSE)=0,"",VLOOKUP($B621,Показатели!$E:$W,14,FALSE)),"")</f>
        <v>48107611401.871475</v>
      </c>
      <c r="R621" t="str">
        <f>IFERROR(IF(VLOOKUP($B621,Показатели!$E:$W,15,FALSE)=0,"",VLOOKUP($B621,Показатели!$E:$W,15,FALSE)),"")</f>
        <v/>
      </c>
      <c r="S621">
        <f>IFERROR(IF(VLOOKUP($B621,Показатели!$E:$W,16,FALSE)=0,"",VLOOKUP($B621,Показатели!$E:$W,16,FALSE)),"")</f>
        <v>86669580061.076035</v>
      </c>
      <c r="T621" t="str">
        <f>IFERROR(IF(VLOOKUP($B621,Показатели!$E:$W,17,FALSE)=0,"",VLOOKUP($B621,Показатели!$E:$W,17,FALSE)),"")</f>
        <v/>
      </c>
      <c r="U621">
        <f>IFERROR(IF(VLOOKUP($B621,Показатели!$E:$W,18,FALSE)=0,"",VLOOKUP($B621,Показатели!$E:$W,18,FALSE)),"")</f>
        <v>579986106336</v>
      </c>
      <c r="V621">
        <f>IFERROR(IF(VLOOKUP($B621,Показатели!$E:$W,19,FALSE)=0,"",VLOOKUP($B621,Показатели!$E:$W,19,FALSE)),"")</f>
        <v>261091130607.99997</v>
      </c>
    </row>
    <row r="622" spans="1:22" x14ac:dyDescent="0.2">
      <c r="A622" s="7" t="s">
        <v>2255</v>
      </c>
      <c r="B622" t="str">
        <f t="shared" si="9"/>
        <v>MGNT IV кв. 2013</v>
      </c>
      <c r="C622">
        <v>2013</v>
      </c>
      <c r="D622">
        <f>SUMIFS(Дивиденды!$C:$C,Дивиденды!$A:$A,A622,Дивиденды!$I:$I,C622)</f>
        <v>135.21</v>
      </c>
      <c r="E622">
        <f>IFERROR(IF(VLOOKUP($B622,Показатели!$E:$W,2,FALSE)=0,"",VLOOKUP($B622,Показатели!$E:$W,2,FALSE)),"")</f>
        <v>5774330351.999999</v>
      </c>
      <c r="F622">
        <f>IFERROR(IF(VLOOKUP($B622,Показатели!$E:$W,3,FALSE)=0,"",VLOOKUP($B622,Показатели!$E:$W,3,FALSE)),"")</f>
        <v>65481858287.999992</v>
      </c>
      <c r="G622">
        <f>IFERROR(IF(VLOOKUP($B622,Показатели!$E:$W,4,FALSE)=0,"",VLOOKUP($B622,Показатели!$E:$W,4,FALSE)),"")</f>
        <v>189999200887.99997</v>
      </c>
      <c r="H622" t="str">
        <f>IFERROR(IF(VLOOKUP($B622,Показатели!$E:$W,5,FALSE)=0,"",VLOOKUP($B622,Показатели!$E:$W,5,FALSE)),"")</f>
        <v/>
      </c>
      <c r="I622">
        <f>IFERROR(IF(VLOOKUP($B622,Показатели!$E:$W,6,FALSE)=0,"",VLOOKUP($B622,Показатели!$E:$W,6,FALSE)),"")</f>
        <v>261091130607.99997</v>
      </c>
      <c r="J622">
        <f>IFERROR(IF(VLOOKUP($B622,Показатели!$E:$W,7,FALSE)=0,"",VLOOKUP($B622,Показатели!$E:$W,7,FALSE)),"")</f>
        <v>93573797967.999985</v>
      </c>
      <c r="K622">
        <f>IFERROR(IF(VLOOKUP($B622,Показатели!$E:$W,8,FALSE)=0,"",VLOOKUP($B622,Показатели!$E:$W,8,FALSE)),"")</f>
        <v>44690343375.999992</v>
      </c>
      <c r="L622" t="str">
        <f>IFERROR(IF(VLOOKUP($B622,Показатели!$E:$W,9,FALSE)=0,"",VLOOKUP($B622,Показатели!$E:$W,9,FALSE)),"")</f>
        <v/>
      </c>
      <c r="M622">
        <f>IFERROR(IF(VLOOKUP($B622,Показатели!$E:$W,10,FALSE)=0,"",VLOOKUP($B622,Показатели!$E:$W,10,FALSE)),"")</f>
        <v>122826989263.99998</v>
      </c>
      <c r="N622">
        <f>IFERROR(IF(VLOOKUP($B622,Показатели!$E:$W,11,FALSE)=0,"",VLOOKUP($B622,Показатели!$E:$W,11,FALSE)),"")</f>
        <v>579986106336</v>
      </c>
      <c r="O622" t="str">
        <f>IFERROR(IF(VLOOKUP($B622,Показатели!$E:$W,12,FALSE)=0,"",VLOOKUP($B622,Показатели!$E:$W,12,FALSE)),"")</f>
        <v/>
      </c>
      <c r="P622">
        <f>IFERROR(IF(VLOOKUP($B622,Показатели!$E:$W,13,FALSE)=0,"",VLOOKUP($B622,Показатели!$E:$W,13,FALSE)),"")</f>
        <v>45777001367.999992</v>
      </c>
      <c r="Q622">
        <f>IFERROR(IF(VLOOKUP($B622,Показатели!$E:$W,14,FALSE)=0,"",VLOOKUP($B622,Показатели!$E:$W,14,FALSE)),"")</f>
        <v>35625640792</v>
      </c>
      <c r="R622" t="str">
        <f>IFERROR(IF(VLOOKUP($B622,Показатели!$E:$W,15,FALSE)=0,"",VLOOKUP($B622,Показатели!$E:$W,15,FALSE)),"")</f>
        <v/>
      </c>
      <c r="S622">
        <f>IFERROR(IF(VLOOKUP($B622,Показатели!$E:$W,16,FALSE)=0,"",VLOOKUP($B622,Показатели!$E:$W,16,FALSE)),"")</f>
        <v>48555319119.999992</v>
      </c>
      <c r="T622" t="str">
        <f>IFERROR(IF(VLOOKUP($B622,Показатели!$E:$W,17,FALSE)=0,"",VLOOKUP($B622,Показатели!$E:$W,17,FALSE)),"")</f>
        <v/>
      </c>
      <c r="U622">
        <f>IFERROR(IF(VLOOKUP($B622,Показатели!$E:$W,18,FALSE)=0,"",VLOOKUP($B622,Показатели!$E:$W,18,FALSE)),"")</f>
        <v>448227618752.38135</v>
      </c>
      <c r="V622">
        <f>IFERROR(IF(VLOOKUP($B622,Показатели!$E:$W,19,FALSE)=0,"",VLOOKUP($B622,Показатели!$E:$W,19,FALSE)),"")</f>
        <v>225539956295.36081</v>
      </c>
    </row>
    <row r="623" spans="1:22" x14ac:dyDescent="0.2">
      <c r="A623" s="7" t="s">
        <v>2255</v>
      </c>
      <c r="B623" t="str">
        <f t="shared" si="9"/>
        <v>MGNT IV кв. 2012</v>
      </c>
      <c r="C623">
        <v>2012</v>
      </c>
      <c r="D623">
        <f>SUMIFS(Дивиденды!$C:$C,Дивиденды!$A:$A,A623,Дивиденды!$I:$I,C623)</f>
        <v>81.349999999999994</v>
      </c>
      <c r="E623">
        <f>IFERROR(IF(VLOOKUP($B623,Показатели!$E:$W,2,FALSE)=0,"",VLOOKUP($B623,Показатели!$E:$W,2,FALSE)),"")</f>
        <v>12735594651.259764</v>
      </c>
      <c r="F623">
        <f>IFERROR(IF(VLOOKUP($B623,Показатели!$E:$W,3,FALSE)=0,"",VLOOKUP($B623,Показатели!$E:$W,3,FALSE)),"")</f>
        <v>59141135296.625252</v>
      </c>
      <c r="G623">
        <f>IFERROR(IF(VLOOKUP($B623,Показатели!$E:$W,4,FALSE)=0,"",VLOOKUP($B623,Показатели!$E:$W,4,FALSE)),"")</f>
        <v>162360419236.20221</v>
      </c>
      <c r="H623" t="str">
        <f>IFERROR(IF(VLOOKUP($B623,Показатели!$E:$W,5,FALSE)=0,"",VLOOKUP($B623,Показатели!$E:$W,5,FALSE)),"")</f>
        <v/>
      </c>
      <c r="I623">
        <f>IFERROR(IF(VLOOKUP($B623,Показатели!$E:$W,6,FALSE)=0,"",VLOOKUP($B623,Показатели!$E:$W,6,FALSE)),"")</f>
        <v>225539956295.36081</v>
      </c>
      <c r="J623">
        <f>IFERROR(IF(VLOOKUP($B623,Показатели!$E:$W,7,FALSE)=0,"",VLOOKUP($B623,Показатели!$E:$W,7,FALSE)),"")</f>
        <v>78634072277.268921</v>
      </c>
      <c r="K623">
        <f>IFERROR(IF(VLOOKUP($B623,Показатели!$E:$W,8,FALSE)=0,"",VLOOKUP($B623,Показатели!$E:$W,8,FALSE)),"")</f>
        <v>45415005094.17469</v>
      </c>
      <c r="L623" t="str">
        <f>IFERROR(IF(VLOOKUP($B623,Показатели!$E:$W,9,FALSE)=0,"",VLOOKUP($B623,Показатели!$E:$W,9,FALSE)),"")</f>
        <v/>
      </c>
      <c r="M623">
        <f>IFERROR(IF(VLOOKUP($B623,Показатели!$E:$W,10,FALSE)=0,"",VLOOKUP($B623,Показатели!$E:$W,10,FALSE)),"")</f>
        <v>101490878923.91719</v>
      </c>
      <c r="N623">
        <f>IFERROR(IF(VLOOKUP($B623,Показатели!$E:$W,11,FALSE)=0,"",VLOOKUP($B623,Показатели!$E:$W,11,FALSE)),"")</f>
        <v>448227618752.38135</v>
      </c>
      <c r="O623" t="str">
        <f>IFERROR(IF(VLOOKUP($B623,Показатели!$E:$W,12,FALSE)=0,"",VLOOKUP($B623,Показатели!$E:$W,12,FALSE)),"")</f>
        <v/>
      </c>
      <c r="P623">
        <f>IFERROR(IF(VLOOKUP($B623,Показатели!$E:$W,13,FALSE)=0,"",VLOOKUP($B623,Показатели!$E:$W,13,FALSE)),"")</f>
        <v>32281804601.995384</v>
      </c>
      <c r="Q623">
        <f>IFERROR(IF(VLOOKUP($B623,Показатели!$E:$W,14,FALSE)=0,"",VLOOKUP($B623,Показатели!$E:$W,14,FALSE)),"")</f>
        <v>25092935683.388493</v>
      </c>
      <c r="R623" t="str">
        <f>IFERROR(IF(VLOOKUP($B623,Показатели!$E:$W,15,FALSE)=0,"",VLOOKUP($B623,Показатели!$E:$W,15,FALSE)),"")</f>
        <v/>
      </c>
      <c r="S623">
        <f>IFERROR(IF(VLOOKUP($B623,Показатели!$E:$W,16,FALSE)=0,"",VLOOKUP($B623,Показатели!$E:$W,16,FALSE)),"")</f>
        <v>47333732843.218369</v>
      </c>
      <c r="T623" t="str">
        <f>IFERROR(IF(VLOOKUP($B623,Показатели!$E:$W,17,FALSE)=0,"",VLOOKUP($B623,Показатели!$E:$W,17,FALSE)),"")</f>
        <v/>
      </c>
      <c r="U623">
        <f>IFERROR(IF(VLOOKUP($B623,Показатели!$E:$W,18,FALSE)=0,"",VLOOKUP($B623,Показатели!$E:$W,18,FALSE)),"")</f>
        <v>335871684646.97308</v>
      </c>
      <c r="V623">
        <f>IFERROR(IF(VLOOKUP($B623,Показатели!$E:$W,19,FALSE)=0,"",VLOOKUP($B623,Показатели!$E:$W,19,FALSE)),"")</f>
        <v>160163793873.08078</v>
      </c>
    </row>
    <row r="624" spans="1:22" x14ac:dyDescent="0.2">
      <c r="A624" s="7" t="s">
        <v>2255</v>
      </c>
      <c r="B624" t="str">
        <f t="shared" si="9"/>
        <v>MGNT IV кв. 2011</v>
      </c>
      <c r="C624">
        <v>2011</v>
      </c>
      <c r="D624">
        <f>SUMIFS(Дивиденды!$C:$C,Дивиденды!$A:$A,A624,Дивиденды!$I:$I,C624)</f>
        <v>22.93</v>
      </c>
      <c r="E624">
        <f>IFERROR(IF(VLOOKUP($B624,Показатели!$E:$W,2,FALSE)=0,"",VLOOKUP($B624,Показатели!$E:$W,2,FALSE)),"")</f>
        <v>15712425838.984617</v>
      </c>
      <c r="F624">
        <f>IFERROR(IF(VLOOKUP($B624,Показатели!$E:$W,3,FALSE)=0,"",VLOOKUP($B624,Показатели!$E:$W,3,FALSE)),"")</f>
        <v>44998544423.030769</v>
      </c>
      <c r="G624">
        <f>IFERROR(IF(VLOOKUP($B624,Показатели!$E:$W,4,FALSE)=0,"",VLOOKUP($B624,Показатели!$E:$W,4,FALSE)),"")</f>
        <v>112212392344.06154</v>
      </c>
      <c r="H624" t="str">
        <f>IFERROR(IF(VLOOKUP($B624,Показатели!$E:$W,5,FALSE)=0,"",VLOOKUP($B624,Показатели!$E:$W,5,FALSE)),"")</f>
        <v/>
      </c>
      <c r="I624">
        <f>IFERROR(IF(VLOOKUP($B624,Показатели!$E:$W,6,FALSE)=0,"",VLOOKUP($B624,Показатели!$E:$W,6,FALSE)),"")</f>
        <v>160163793873.08078</v>
      </c>
      <c r="J624">
        <f>IFERROR(IF(VLOOKUP($B624,Показатели!$E:$W,7,FALSE)=0,"",VLOOKUP($B624,Показатели!$E:$W,7,FALSE)),"")</f>
        <v>42618975987.17308</v>
      </c>
      <c r="K624">
        <f>IFERROR(IF(VLOOKUP($B624,Показатели!$E:$W,8,FALSE)=0,"",VLOOKUP($B624,Показатели!$E:$W,8,FALSE)),"")</f>
        <v>45677593650.473083</v>
      </c>
      <c r="L624" t="str">
        <f>IFERROR(IF(VLOOKUP($B624,Показатели!$E:$W,9,FALSE)=0,"",VLOOKUP($B624,Показатели!$E:$W,9,FALSE)),"")</f>
        <v/>
      </c>
      <c r="M624">
        <f>IFERROR(IF(VLOOKUP($B624,Показатели!$E:$W,10,FALSE)=0,"",VLOOKUP($B624,Показатели!$E:$W,10,FALSE)),"")</f>
        <v>71867224235.434616</v>
      </c>
      <c r="N624">
        <f>IFERROR(IF(VLOOKUP($B624,Показатели!$E:$W,11,FALSE)=0,"",VLOOKUP($B624,Показатели!$E:$W,11,FALSE)),"")</f>
        <v>335871684646.97308</v>
      </c>
      <c r="O624" t="str">
        <f>IFERROR(IF(VLOOKUP($B624,Показатели!$E:$W,12,FALSE)=0,"",VLOOKUP($B624,Показатели!$E:$W,12,FALSE)),"")</f>
        <v/>
      </c>
      <c r="P624">
        <f>IFERROR(IF(VLOOKUP($B624,Показатели!$E:$W,13,FALSE)=0,"",VLOOKUP($B624,Показатели!$E:$W,13,FALSE)),"")</f>
        <v>16498705745.469233</v>
      </c>
      <c r="Q624">
        <f>IFERROR(IF(VLOOKUP($B624,Показатели!$E:$W,14,FALSE)=0,"",VLOOKUP($B624,Показатели!$E:$W,14,FALSE)),"")</f>
        <v>12310093715.030769</v>
      </c>
      <c r="R624" t="str">
        <f>IFERROR(IF(VLOOKUP($B624,Показатели!$E:$W,15,FALSE)=0,"",VLOOKUP($B624,Показатели!$E:$W,15,FALSE)),"")</f>
        <v/>
      </c>
      <c r="S624">
        <f>IFERROR(IF(VLOOKUP($B624,Показатели!$E:$W,16,FALSE)=0,"",VLOOKUP($B624,Показатели!$E:$W,16,FALSE)),"")</f>
        <v>27617706834.23077</v>
      </c>
      <c r="T624" t="str">
        <f>IFERROR(IF(VLOOKUP($B624,Показатели!$E:$W,17,FALSE)=0,"",VLOOKUP($B624,Показатели!$E:$W,17,FALSE)),"")</f>
        <v/>
      </c>
      <c r="U624" t="str">
        <f>IFERROR(IF(VLOOKUP($B624,Показатели!$E:$W,18,FALSE)=0,"",VLOOKUP($B624,Показатели!$E:$W,18,FALSE)),"")</f>
        <v/>
      </c>
      <c r="V624" t="str">
        <f>IFERROR(IF(VLOOKUP($B624,Показатели!$E:$W,19,FALSE)=0,"",VLOOKUP($B624,Показатели!$E:$W,19,FALSE)),"")</f>
        <v/>
      </c>
    </row>
    <row r="625" spans="1:22" x14ac:dyDescent="0.2">
      <c r="A625" s="7" t="s">
        <v>2255</v>
      </c>
      <c r="B625" t="str">
        <f t="shared" si="9"/>
        <v>MGNT IV кв. 2010</v>
      </c>
      <c r="C625">
        <v>2010</v>
      </c>
      <c r="D625">
        <f>SUMIFS(Дивиденды!$C:$C,Дивиденды!$A:$A,A625,Дивиденды!$I:$I,C625)</f>
        <v>6.57</v>
      </c>
      <c r="E625" t="str">
        <f>IFERROR(IF(VLOOKUP($B625,Показатели!$E:$W,2,FALSE)=0,"",VLOOKUP($B625,Показатели!$E:$W,2,FALSE)),"")</f>
        <v/>
      </c>
      <c r="F625" t="str">
        <f>IFERROR(IF(VLOOKUP($B625,Показатели!$E:$W,3,FALSE)=0,"",VLOOKUP($B625,Показатели!$E:$W,3,FALSE)),"")</f>
        <v/>
      </c>
      <c r="G625" t="str">
        <f>IFERROR(IF(VLOOKUP($B625,Показатели!$E:$W,4,FALSE)=0,"",VLOOKUP($B625,Показатели!$E:$W,4,FALSE)),"")</f>
        <v/>
      </c>
      <c r="H625" t="str">
        <f>IFERROR(IF(VLOOKUP($B625,Показатели!$E:$W,5,FALSE)=0,"",VLOOKUP($B625,Показатели!$E:$W,5,FALSE)),"")</f>
        <v/>
      </c>
      <c r="I625" t="str">
        <f>IFERROR(IF(VLOOKUP($B625,Показатели!$E:$W,6,FALSE)=0,"",VLOOKUP($B625,Показатели!$E:$W,6,FALSE)),"")</f>
        <v/>
      </c>
      <c r="J625" t="str">
        <f>IFERROR(IF(VLOOKUP($B625,Показатели!$E:$W,7,FALSE)=0,"",VLOOKUP($B625,Показатели!$E:$W,7,FALSE)),"")</f>
        <v/>
      </c>
      <c r="K625" t="str">
        <f>IFERROR(IF(VLOOKUP($B625,Показатели!$E:$W,8,FALSE)=0,"",VLOOKUP($B625,Показатели!$E:$W,8,FALSE)),"")</f>
        <v/>
      </c>
      <c r="L625" t="str">
        <f>IFERROR(IF(VLOOKUP($B625,Показатели!$E:$W,9,FALSE)=0,"",VLOOKUP($B625,Показатели!$E:$W,9,FALSE)),"")</f>
        <v/>
      </c>
      <c r="M625" t="str">
        <f>IFERROR(IF(VLOOKUP($B625,Показатели!$E:$W,10,FALSE)=0,"",VLOOKUP($B625,Показатели!$E:$W,10,FALSE)),"")</f>
        <v/>
      </c>
      <c r="N625" t="str">
        <f>IFERROR(IF(VLOOKUP($B625,Показатели!$E:$W,11,FALSE)=0,"",VLOOKUP($B625,Показатели!$E:$W,11,FALSE)),"")</f>
        <v/>
      </c>
      <c r="O625" t="str">
        <f>IFERROR(IF(VLOOKUP($B625,Показатели!$E:$W,12,FALSE)=0,"",VLOOKUP($B625,Показатели!$E:$W,12,FALSE)),"")</f>
        <v/>
      </c>
      <c r="P625" t="str">
        <f>IFERROR(IF(VLOOKUP($B625,Показатели!$E:$W,13,FALSE)=0,"",VLOOKUP($B625,Показатели!$E:$W,13,FALSE)),"")</f>
        <v/>
      </c>
      <c r="Q625" t="str">
        <f>IFERROR(IF(VLOOKUP($B625,Показатели!$E:$W,14,FALSE)=0,"",VLOOKUP($B625,Показатели!$E:$W,14,FALSE)),"")</f>
        <v/>
      </c>
      <c r="R625" t="str">
        <f>IFERROR(IF(VLOOKUP($B625,Показатели!$E:$W,15,FALSE)=0,"",VLOOKUP($B625,Показатели!$E:$W,15,FALSE)),"")</f>
        <v/>
      </c>
      <c r="S625" t="str">
        <f>IFERROR(IF(VLOOKUP($B625,Показатели!$E:$W,16,FALSE)=0,"",VLOOKUP($B625,Показатели!$E:$W,16,FALSE)),"")</f>
        <v/>
      </c>
      <c r="T625" t="str">
        <f>IFERROR(IF(VLOOKUP($B625,Показатели!$E:$W,17,FALSE)=0,"",VLOOKUP($B625,Показатели!$E:$W,17,FALSE)),"")</f>
        <v/>
      </c>
      <c r="U625" t="str">
        <f>IFERROR(IF(VLOOKUP($B625,Показатели!$E:$W,18,FALSE)=0,"",VLOOKUP($B625,Показатели!$E:$W,18,FALSE)),"")</f>
        <v/>
      </c>
      <c r="V625" t="str">
        <f>IFERROR(IF(VLOOKUP($B625,Показатели!$E:$W,19,FALSE)=0,"",VLOOKUP($B625,Показатели!$E:$W,19,FALSE)),"")</f>
        <v/>
      </c>
    </row>
    <row r="626" spans="1:22" x14ac:dyDescent="0.2">
      <c r="A626" s="7" t="s">
        <v>2258</v>
      </c>
      <c r="B626" t="str">
        <f t="shared" si="9"/>
        <v>OZPH IV кв. 2025</v>
      </c>
      <c r="C626">
        <v>2025</v>
      </c>
      <c r="D626">
        <f>SUMIFS(Дивиденды!$C:$C,Дивиденды!$A:$A,A626,Дивиденды!$I:$I,C626)</f>
        <v>0.79</v>
      </c>
      <c r="E626" t="str">
        <f>IFERROR(IF(VLOOKUP($B626,Показатели!$E:$W,2,FALSE)=0,"",VLOOKUP($B626,Показатели!$E:$W,2,FALSE)),"")</f>
        <v/>
      </c>
      <c r="F626" t="str">
        <f>IFERROR(IF(VLOOKUP($B626,Показатели!$E:$W,3,FALSE)=0,"",VLOOKUP($B626,Показатели!$E:$W,3,FALSE)),"")</f>
        <v/>
      </c>
      <c r="G626" t="str">
        <f>IFERROR(IF(VLOOKUP($B626,Показатели!$E:$W,4,FALSE)=0,"",VLOOKUP($B626,Показатели!$E:$W,4,FALSE)),"")</f>
        <v/>
      </c>
      <c r="H626" t="str">
        <f>IFERROR(IF(VLOOKUP($B626,Показатели!$E:$W,5,FALSE)=0,"",VLOOKUP($B626,Показатели!$E:$W,5,FALSE)),"")</f>
        <v/>
      </c>
      <c r="I626" t="str">
        <f>IFERROR(IF(VLOOKUP($B626,Показатели!$E:$W,6,FALSE)=0,"",VLOOKUP($B626,Показатели!$E:$W,6,FALSE)),"")</f>
        <v/>
      </c>
      <c r="J626" t="str">
        <f>IFERROR(IF(VLOOKUP($B626,Показатели!$E:$W,7,FALSE)=0,"",VLOOKUP($B626,Показатели!$E:$W,7,FALSE)),"")</f>
        <v/>
      </c>
      <c r="K626" t="str">
        <f>IFERROR(IF(VLOOKUP($B626,Показатели!$E:$W,8,FALSE)=0,"",VLOOKUP($B626,Показатели!$E:$W,8,FALSE)),"")</f>
        <v/>
      </c>
      <c r="L626" t="str">
        <f>IFERROR(IF(VLOOKUP($B626,Показатели!$E:$W,9,FALSE)=0,"",VLOOKUP($B626,Показатели!$E:$W,9,FALSE)),"")</f>
        <v/>
      </c>
      <c r="M626" t="str">
        <f>IFERROR(IF(VLOOKUP($B626,Показатели!$E:$W,10,FALSE)=0,"",VLOOKUP($B626,Показатели!$E:$W,10,FALSE)),"")</f>
        <v/>
      </c>
      <c r="N626" t="str">
        <f>IFERROR(IF(VLOOKUP($B626,Показатели!$E:$W,11,FALSE)=0,"",VLOOKUP($B626,Показатели!$E:$W,11,FALSE)),"")</f>
        <v/>
      </c>
      <c r="O626" t="str">
        <f>IFERROR(IF(VLOOKUP($B626,Показатели!$E:$W,12,FALSE)=0,"",VLOOKUP($B626,Показатели!$E:$W,12,FALSE)),"")</f>
        <v/>
      </c>
      <c r="P626" t="str">
        <f>IFERROR(IF(VLOOKUP($B626,Показатели!$E:$W,13,FALSE)=0,"",VLOOKUP($B626,Показатели!$E:$W,13,FALSE)),"")</f>
        <v/>
      </c>
      <c r="Q626" t="str">
        <f>IFERROR(IF(VLOOKUP($B626,Показатели!$E:$W,14,FALSE)=0,"",VLOOKUP($B626,Показатели!$E:$W,14,FALSE)),"")</f>
        <v/>
      </c>
      <c r="R626" t="str">
        <f>IFERROR(IF(VLOOKUP($B626,Показатели!$E:$W,15,FALSE)=0,"",VLOOKUP($B626,Показатели!$E:$W,15,FALSE)),"")</f>
        <v/>
      </c>
      <c r="S626" t="str">
        <f>IFERROR(IF(VLOOKUP($B626,Показатели!$E:$W,16,FALSE)=0,"",VLOOKUP($B626,Показатели!$E:$W,16,FALSE)),"")</f>
        <v/>
      </c>
      <c r="T626" t="str">
        <f>IFERROR(IF(VLOOKUP($B626,Показатели!$E:$W,17,FALSE)=0,"",VLOOKUP($B626,Показатели!$E:$W,17,FALSE)),"")</f>
        <v/>
      </c>
      <c r="U626" t="str">
        <f>IFERROR(IF(VLOOKUP($B626,Показатели!$E:$W,18,FALSE)=0,"",VLOOKUP($B626,Показатели!$E:$W,18,FALSE)),"")</f>
        <v/>
      </c>
      <c r="V626" t="str">
        <f>IFERROR(IF(VLOOKUP($B626,Показатели!$E:$W,19,FALSE)=0,"",VLOOKUP($B626,Показатели!$E:$W,19,FALSE)),"")</f>
        <v/>
      </c>
    </row>
    <row r="627" spans="1:22" x14ac:dyDescent="0.2">
      <c r="A627" s="7" t="s">
        <v>2258</v>
      </c>
      <c r="B627" t="str">
        <f t="shared" si="9"/>
        <v>OZPH IV кв. 2024</v>
      </c>
      <c r="C627">
        <v>2024</v>
      </c>
      <c r="D627">
        <f>SUMIFS(Дивиденды!$C:$C,Дивиденды!$A:$A,A627,Дивиденды!$I:$I,C627)</f>
        <v>0.44</v>
      </c>
      <c r="E627">
        <f>IFERROR(IF(VLOOKUP($B627,Показатели!$E:$W,2,FALSE)=0,"",VLOOKUP($B627,Показатели!$E:$W,2,FALSE)),"")</f>
        <v>5578280000</v>
      </c>
      <c r="F627">
        <f>IFERROR(IF(VLOOKUP($B627,Показатели!$E:$W,3,FALSE)=0,"",VLOOKUP($B627,Показатели!$E:$W,3,FALSE)),"")</f>
        <v>31509813000</v>
      </c>
      <c r="G627">
        <f>IFERROR(IF(VLOOKUP($B627,Показатели!$E:$W,4,FALSE)=0,"",VLOOKUP($B627,Показатели!$E:$W,4,FALSE)),"")</f>
        <v>9809309000</v>
      </c>
      <c r="H627">
        <f>IFERROR(IF(VLOOKUP($B627,Показатели!$E:$W,5,FALSE)=0,"",VLOOKUP($B627,Показатели!$E:$W,5,FALSE)),"")</f>
        <v>6797084000</v>
      </c>
      <c r="I627">
        <f>IFERROR(IF(VLOOKUP($B627,Показатели!$E:$W,6,FALSE)=0,"",VLOOKUP($B627,Показатели!$E:$W,6,FALSE)),"")</f>
        <v>49543119000</v>
      </c>
      <c r="J627">
        <f>IFERROR(IF(VLOOKUP($B627,Показатели!$E:$W,7,FALSE)=0,"",VLOOKUP($B627,Показатели!$E:$W,7,FALSE)),"")</f>
        <v>12791691000</v>
      </c>
      <c r="K627">
        <f>IFERROR(IF(VLOOKUP($B627,Показатели!$E:$W,8,FALSE)=0,"",VLOOKUP($B627,Показатели!$E:$W,8,FALSE)),"")</f>
        <v>11414278000</v>
      </c>
      <c r="L627">
        <f>IFERROR(IF(VLOOKUP($B627,Показатели!$E:$W,9,FALSE)=0,"",VLOOKUP($B627,Показатели!$E:$W,9,FALSE)),"")</f>
        <v>22521913000</v>
      </c>
      <c r="M627">
        <f>IFERROR(IF(VLOOKUP($B627,Показатели!$E:$W,10,FALSE)=0,"",VLOOKUP($B627,Показатели!$E:$W,10,FALSE)),"")</f>
        <v>25337150000</v>
      </c>
      <c r="N627">
        <f>IFERROR(IF(VLOOKUP($B627,Показатели!$E:$W,11,FALSE)=0,"",VLOOKUP($B627,Показатели!$E:$W,11,FALSE)),"")</f>
        <v>25562050000</v>
      </c>
      <c r="O627">
        <f>IFERROR(IF(VLOOKUP($B627,Показатели!$E:$W,12,FALSE)=0,"",VLOOKUP($B627,Показатели!$E:$W,12,FALSE)),"")</f>
        <v>7941470000</v>
      </c>
      <c r="P627">
        <f>IFERROR(IF(VLOOKUP($B627,Показатели!$E:$W,13,FALSE)=0,"",VLOOKUP($B627,Показатели!$E:$W,13,FALSE)),"")</f>
        <v>5823863000</v>
      </c>
      <c r="Q627">
        <f>IFERROR(IF(VLOOKUP($B627,Показатели!$E:$W,14,FALSE)=0,"",VLOOKUP($B627,Показатели!$E:$W,14,FALSE)),"")</f>
        <v>4610665000</v>
      </c>
      <c r="R627">
        <f>IFERROR(IF(VLOOKUP($B627,Показатели!$E:$W,15,FALSE)=0,"",VLOOKUP($B627,Показатели!$E:$W,15,FALSE)),"")</f>
        <v>1126414000</v>
      </c>
      <c r="S627">
        <f>IFERROR(IF(VLOOKUP($B627,Показатели!$E:$W,16,FALSE)=0,"",VLOOKUP($B627,Показатели!$E:$W,16,FALSE)),"")</f>
        <v>9067884000</v>
      </c>
      <c r="T627">
        <f>IFERROR(IF(VLOOKUP($B627,Показатели!$E:$W,17,FALSE)=0,"",VLOOKUP($B627,Показатели!$E:$W,17,FALSE)),"")</f>
        <v>-4281866000</v>
      </c>
      <c r="U627">
        <f>IFERROR(IF(VLOOKUP($B627,Показатели!$E:$W,18,FALSE)=0,"",VLOOKUP($B627,Показатели!$E:$W,18,FALSE)),"")</f>
        <v>19724449000</v>
      </c>
      <c r="V627">
        <f>IFERROR(IF(VLOOKUP($B627,Показатели!$E:$W,19,FALSE)=0,"",VLOOKUP($B627,Показатели!$E:$W,19,FALSE)),"")</f>
        <v>34118959000</v>
      </c>
    </row>
    <row r="628" spans="1:22" x14ac:dyDescent="0.2">
      <c r="A628" s="7" t="s">
        <v>2258</v>
      </c>
      <c r="B628" t="str">
        <f t="shared" si="9"/>
        <v>OZPH IV кв. 2023</v>
      </c>
      <c r="C628">
        <v>2023</v>
      </c>
      <c r="D628">
        <f>SUMIFS(Дивиденды!$C:$C,Дивиденды!$A:$A,A628,Дивиденды!$I:$I,C628)</f>
        <v>0</v>
      </c>
      <c r="E628">
        <f>IFERROR(IF(VLOOKUP($B628,Показатели!$E:$W,2,FALSE)=0,"",VLOOKUP($B628,Показатели!$E:$W,2,FALSE)),"")</f>
        <v>600283000</v>
      </c>
      <c r="F628">
        <f>IFERROR(IF(VLOOKUP($B628,Показатели!$E:$W,3,FALSE)=0,"",VLOOKUP($B628,Показатели!$E:$W,3,FALSE)),"")</f>
        <v>23394810000</v>
      </c>
      <c r="G628">
        <f>IFERROR(IF(VLOOKUP($B628,Показатели!$E:$W,4,FALSE)=0,"",VLOOKUP($B628,Показатели!$E:$W,4,FALSE)),"")</f>
        <v>4923802000</v>
      </c>
      <c r="H628">
        <f>IFERROR(IF(VLOOKUP($B628,Показатели!$E:$W,5,FALSE)=0,"",VLOOKUP($B628,Показатели!$E:$W,5,FALSE)),"")</f>
        <v>286057000</v>
      </c>
      <c r="I628">
        <f>IFERROR(IF(VLOOKUP($B628,Показатели!$E:$W,6,FALSE)=0,"",VLOOKUP($B628,Показатели!$E:$W,6,FALSE)),"")</f>
        <v>34118959000</v>
      </c>
      <c r="J628">
        <f>IFERROR(IF(VLOOKUP($B628,Показатели!$E:$W,7,FALSE)=0,"",VLOOKUP($B628,Показатели!$E:$W,7,FALSE)),"")</f>
        <v>8871813000</v>
      </c>
      <c r="K628">
        <f>IFERROR(IF(VLOOKUP($B628,Показатели!$E:$W,8,FALSE)=0,"",VLOOKUP($B628,Показатели!$E:$W,8,FALSE)),"")</f>
        <v>8129341000</v>
      </c>
      <c r="L628">
        <f>IFERROR(IF(VLOOKUP($B628,Показатели!$E:$W,9,FALSE)=0,"",VLOOKUP($B628,Показатели!$E:$W,9,FALSE)),"")</f>
        <v>16863805000</v>
      </c>
      <c r="M628">
        <f>IFERROR(IF(VLOOKUP($B628,Показатели!$E:$W,10,FALSE)=0,"",VLOOKUP($B628,Показатели!$E:$W,10,FALSE)),"")</f>
        <v>17117805000</v>
      </c>
      <c r="N628">
        <f>IFERROR(IF(VLOOKUP($B628,Показатели!$E:$W,11,FALSE)=0,"",VLOOKUP($B628,Показатели!$E:$W,11,FALSE)),"")</f>
        <v>19724449000</v>
      </c>
      <c r="O628">
        <f>IFERROR(IF(VLOOKUP($B628,Показатели!$E:$W,12,FALSE)=0,"",VLOOKUP($B628,Показатели!$E:$W,12,FALSE)),"")</f>
        <v>6148356000</v>
      </c>
      <c r="P628">
        <f>IFERROR(IF(VLOOKUP($B628,Показатели!$E:$W,13,FALSE)=0,"",VLOOKUP($B628,Показатели!$E:$W,13,FALSE)),"")</f>
        <v>5065235000</v>
      </c>
      <c r="Q628">
        <f>IFERROR(IF(VLOOKUP($B628,Показатели!$E:$W,14,FALSE)=0,"",VLOOKUP($B628,Показатели!$E:$W,14,FALSE)),"")</f>
        <v>4003410000</v>
      </c>
      <c r="R628">
        <f>IFERROR(IF(VLOOKUP($B628,Показатели!$E:$W,15,FALSE)=0,"",VLOOKUP($B628,Показатели!$E:$W,15,FALSE)),"")</f>
        <v>932174000</v>
      </c>
      <c r="S628">
        <f>IFERROR(IF(VLOOKUP($B628,Показатели!$E:$W,16,FALSE)=0,"",VLOOKUP($B628,Показатели!$E:$W,16,FALSE)),"")</f>
        <v>7080530000</v>
      </c>
      <c r="T628">
        <f>IFERROR(IF(VLOOKUP($B628,Показатели!$E:$W,17,FALSE)=0,"",VLOOKUP($B628,Показатели!$E:$W,17,FALSE)),"")</f>
        <v>-705613000</v>
      </c>
      <c r="U628">
        <f>IFERROR(IF(VLOOKUP($B628,Показатели!$E:$W,18,FALSE)=0,"",VLOOKUP($B628,Показатели!$E:$W,18,FALSE)),"")</f>
        <v>18959966000</v>
      </c>
      <c r="V628">
        <f>IFERROR(IF(VLOOKUP($B628,Показатели!$E:$W,19,FALSE)=0,"",VLOOKUP($B628,Показатели!$E:$W,19,FALSE)),"")</f>
        <v>34103575000</v>
      </c>
    </row>
    <row r="629" spans="1:22" x14ac:dyDescent="0.2">
      <c r="A629" s="7" t="s">
        <v>2258</v>
      </c>
      <c r="B629" t="str">
        <f t="shared" si="9"/>
        <v>OZPH IV кв. 2022</v>
      </c>
      <c r="C629">
        <v>2022</v>
      </c>
      <c r="D629">
        <f>SUMIFS(Дивиденды!$C:$C,Дивиденды!$A:$A,A629,Дивиденды!$I:$I,C629)</f>
        <v>0</v>
      </c>
      <c r="E629">
        <f>IFERROR(IF(VLOOKUP($B629,Показатели!$E:$W,2,FALSE)=0,"",VLOOKUP($B629,Показатели!$E:$W,2,FALSE)),"")</f>
        <v>1113261000</v>
      </c>
      <c r="F629">
        <f>IFERROR(IF(VLOOKUP($B629,Показатели!$E:$W,3,FALSE)=0,"",VLOOKUP($B629,Показатели!$E:$W,3,FALSE)),"")</f>
        <v>23552317000</v>
      </c>
      <c r="G629">
        <f>IFERROR(IF(VLOOKUP($B629,Показатели!$E:$W,4,FALSE)=0,"",VLOOKUP($B629,Показатели!$E:$W,4,FALSE)),"")</f>
        <v>5109770000</v>
      </c>
      <c r="H629">
        <f>IFERROR(IF(VLOOKUP($B629,Показатели!$E:$W,5,FALSE)=0,"",VLOOKUP($B629,Показатели!$E:$W,5,FALSE)),"")</f>
        <v>207924000</v>
      </c>
      <c r="I629">
        <f>IFERROR(IF(VLOOKUP($B629,Показатели!$E:$W,6,FALSE)=0,"",VLOOKUP($B629,Показатели!$E:$W,6,FALSE)),"")</f>
        <v>34103575000</v>
      </c>
      <c r="J629">
        <f>IFERROR(IF(VLOOKUP($B629,Показатели!$E:$W,7,FALSE)=0,"",VLOOKUP($B629,Показатели!$E:$W,7,FALSE)),"")</f>
        <v>10672017000</v>
      </c>
      <c r="K629">
        <f>IFERROR(IF(VLOOKUP($B629,Показатели!$E:$W,8,FALSE)=0,"",VLOOKUP($B629,Показатели!$E:$W,8,FALSE)),"")</f>
        <v>8778699000</v>
      </c>
      <c r="L629">
        <f>IFERROR(IF(VLOOKUP($B629,Показатели!$E:$W,9,FALSE)=0,"",VLOOKUP($B629,Показатели!$E:$W,9,FALSE)),"")</f>
        <v>14398859000</v>
      </c>
      <c r="M629">
        <f>IFERROR(IF(VLOOKUP($B629,Показатели!$E:$W,10,FALSE)=0,"",VLOOKUP($B629,Показатели!$E:$W,10,FALSE)),"")</f>
        <v>14652859000</v>
      </c>
      <c r="N629">
        <f>IFERROR(IF(VLOOKUP($B629,Показатели!$E:$W,11,FALSE)=0,"",VLOOKUP($B629,Показатели!$E:$W,11,FALSE)),"")</f>
        <v>18959966000</v>
      </c>
      <c r="O629">
        <f>IFERROR(IF(VLOOKUP($B629,Показатели!$E:$W,12,FALSE)=0,"",VLOOKUP($B629,Показатели!$E:$W,12,FALSE)),"")</f>
        <v>5502984000</v>
      </c>
      <c r="P629">
        <f>IFERROR(IF(VLOOKUP($B629,Показатели!$E:$W,13,FALSE)=0,"",VLOOKUP($B629,Показатели!$E:$W,13,FALSE)),"")</f>
        <v>4338308000</v>
      </c>
      <c r="Q629">
        <f>IFERROR(IF(VLOOKUP($B629,Показатели!$E:$W,14,FALSE)=0,"",VLOOKUP($B629,Показатели!$E:$W,14,FALSE)),"")</f>
        <v>3652496000</v>
      </c>
      <c r="R629">
        <f>IFERROR(IF(VLOOKUP($B629,Показатели!$E:$W,15,FALSE)=0,"",VLOOKUP($B629,Показатели!$E:$W,15,FALSE)),"")</f>
        <v>746417000</v>
      </c>
      <c r="S629">
        <f>IFERROR(IF(VLOOKUP($B629,Показатели!$E:$W,16,FALSE)=0,"",VLOOKUP($B629,Показатели!$E:$W,16,FALSE)),"")</f>
        <v>6249401000</v>
      </c>
      <c r="T629">
        <f>IFERROR(IF(VLOOKUP($B629,Показатели!$E:$W,17,FALSE)=0,"",VLOOKUP($B629,Показатели!$E:$W,17,FALSE)),"")</f>
        <v>-682050000</v>
      </c>
      <c r="U629">
        <f>IFERROR(IF(VLOOKUP($B629,Показатели!$E:$W,18,FALSE)=0,"",VLOOKUP($B629,Показатели!$E:$W,18,FALSE)),"")</f>
        <v>17648272000</v>
      </c>
      <c r="V629">
        <f>IFERROR(IF(VLOOKUP($B629,Показатели!$E:$W,19,FALSE)=0,"",VLOOKUP($B629,Показатели!$E:$W,19,FALSE)),"")</f>
        <v>29683918000</v>
      </c>
    </row>
    <row r="630" spans="1:22" x14ac:dyDescent="0.2">
      <c r="A630" s="7" t="s">
        <v>2258</v>
      </c>
      <c r="B630" t="str">
        <f t="shared" si="9"/>
        <v>OZPH IV кв. 2021</v>
      </c>
      <c r="C630">
        <v>2021</v>
      </c>
      <c r="D630">
        <f>SUMIFS(Дивиденды!$C:$C,Дивиденды!$A:$A,A630,Дивиденды!$I:$I,C630)</f>
        <v>0</v>
      </c>
      <c r="E630">
        <f>IFERROR(IF(VLOOKUP($B630,Показатели!$E:$W,2,FALSE)=0,"",VLOOKUP($B630,Показатели!$E:$W,2,FALSE)),"")</f>
        <v>1372719000</v>
      </c>
      <c r="F630">
        <f>IFERROR(IF(VLOOKUP($B630,Показатели!$E:$W,3,FALSE)=0,"",VLOOKUP($B630,Показатели!$E:$W,3,FALSE)),"")</f>
        <v>19129933000</v>
      </c>
      <c r="G630">
        <f>IFERROR(IF(VLOOKUP($B630,Показатели!$E:$W,4,FALSE)=0,"",VLOOKUP($B630,Показатели!$E:$W,4,FALSE)),"")</f>
        <v>4857857000</v>
      </c>
      <c r="H630">
        <f>IFERROR(IF(VLOOKUP($B630,Показатели!$E:$W,5,FALSE)=0,"",VLOOKUP($B630,Показатели!$E:$W,5,FALSE)),"")</f>
        <v>104321000</v>
      </c>
      <c r="I630">
        <f>IFERROR(IF(VLOOKUP($B630,Показатели!$E:$W,6,FALSE)=0,"",VLOOKUP($B630,Показатели!$E:$W,6,FALSE)),"")</f>
        <v>29683918000</v>
      </c>
      <c r="J630">
        <f>IFERROR(IF(VLOOKUP($B630,Показатели!$E:$W,7,FALSE)=0,"",VLOOKUP($B630,Показатели!$E:$W,7,FALSE)),"")</f>
        <v>6198433000</v>
      </c>
      <c r="K630">
        <f>IFERROR(IF(VLOOKUP($B630,Показатели!$E:$W,8,FALSE)=0,"",VLOOKUP($B630,Показатели!$E:$W,8,FALSE)),"")</f>
        <v>10688047000</v>
      </c>
      <c r="L630">
        <f>IFERROR(IF(VLOOKUP($B630,Показатели!$E:$W,9,FALSE)=0,"",VLOOKUP($B630,Показатели!$E:$W,9,FALSE)),"")</f>
        <v>12543438000</v>
      </c>
      <c r="M630">
        <f>IFERROR(IF(VLOOKUP($B630,Показатели!$E:$W,10,FALSE)=0,"",VLOOKUP($B630,Показатели!$E:$W,10,FALSE)),"")</f>
        <v>12797438000</v>
      </c>
      <c r="N630">
        <f>IFERROR(IF(VLOOKUP($B630,Показатели!$E:$W,11,FALSE)=0,"",VLOOKUP($B630,Показатели!$E:$W,11,FALSE)),"")</f>
        <v>17648272000</v>
      </c>
      <c r="O630">
        <f>IFERROR(IF(VLOOKUP($B630,Показатели!$E:$W,12,FALSE)=0,"",VLOOKUP($B630,Показатели!$E:$W,12,FALSE)),"")</f>
        <v>5443617000</v>
      </c>
      <c r="P630">
        <f>IFERROR(IF(VLOOKUP($B630,Показатели!$E:$W,13,FALSE)=0,"",VLOOKUP($B630,Показатели!$E:$W,13,FALSE)),"")</f>
        <v>4715785000</v>
      </c>
      <c r="Q630">
        <f>IFERROR(IF(VLOOKUP($B630,Показатели!$E:$W,14,FALSE)=0,"",VLOOKUP($B630,Показатели!$E:$W,14,FALSE)),"")</f>
        <v>3947756000</v>
      </c>
      <c r="R630">
        <f>IFERROR(IF(VLOOKUP($B630,Показатели!$E:$W,15,FALSE)=0,"",VLOOKUP($B630,Показатели!$E:$W,15,FALSE)),"")</f>
        <v>592440000</v>
      </c>
      <c r="S630">
        <f>IFERROR(IF(VLOOKUP($B630,Показатели!$E:$W,16,FALSE)=0,"",VLOOKUP($B630,Показатели!$E:$W,16,FALSE)),"")</f>
        <v>6035957000</v>
      </c>
      <c r="T630">
        <f>IFERROR(IF(VLOOKUP($B630,Показатели!$E:$W,17,FALSE)=0,"",VLOOKUP($B630,Показатели!$E:$W,17,FALSE)),"")</f>
        <v>-1187665000</v>
      </c>
      <c r="U630" t="str">
        <f>IFERROR(IF(VLOOKUP($B630,Показатели!$E:$W,18,FALSE)=0,"",VLOOKUP($B630,Показатели!$E:$W,18,FALSE)),"")</f>
        <v/>
      </c>
      <c r="V630" t="str">
        <f>IFERROR(IF(VLOOKUP($B630,Показатели!$E:$W,19,FALSE)=0,"",VLOOKUP($B630,Показатели!$E:$W,19,FALSE)),"")</f>
        <v/>
      </c>
    </row>
    <row r="631" spans="1:22" x14ac:dyDescent="0.2">
      <c r="A631" s="7" t="s">
        <v>2258</v>
      </c>
      <c r="B631" t="str">
        <f t="shared" si="9"/>
        <v>OZPH IV кв. 2020</v>
      </c>
      <c r="C631">
        <v>2020</v>
      </c>
      <c r="D631">
        <f>SUMIFS(Дивиденды!$C:$C,Дивиденды!$A:$A,A631,Дивиденды!$I:$I,C631)</f>
        <v>0</v>
      </c>
      <c r="E631" t="str">
        <f>IFERROR(IF(VLOOKUP($B631,Показатели!$E:$W,2,FALSE)=0,"",VLOOKUP($B631,Показатели!$E:$W,2,FALSE)),"")</f>
        <v/>
      </c>
      <c r="F631" t="str">
        <f>IFERROR(IF(VLOOKUP($B631,Показатели!$E:$W,3,FALSE)=0,"",VLOOKUP($B631,Показатели!$E:$W,3,FALSE)),"")</f>
        <v/>
      </c>
      <c r="G631" t="str">
        <f>IFERROR(IF(VLOOKUP($B631,Показатели!$E:$W,4,FALSE)=0,"",VLOOKUP($B631,Показатели!$E:$W,4,FALSE)),"")</f>
        <v/>
      </c>
      <c r="H631" t="str">
        <f>IFERROR(IF(VLOOKUP($B631,Показатели!$E:$W,5,FALSE)=0,"",VLOOKUP($B631,Показатели!$E:$W,5,FALSE)),"")</f>
        <v/>
      </c>
      <c r="I631" t="str">
        <f>IFERROR(IF(VLOOKUP($B631,Показатели!$E:$W,6,FALSE)=0,"",VLOOKUP($B631,Показатели!$E:$W,6,FALSE)),"")</f>
        <v/>
      </c>
      <c r="J631" t="str">
        <f>IFERROR(IF(VLOOKUP($B631,Показатели!$E:$W,7,FALSE)=0,"",VLOOKUP($B631,Показатели!$E:$W,7,FALSE)),"")</f>
        <v/>
      </c>
      <c r="K631" t="str">
        <f>IFERROR(IF(VLOOKUP($B631,Показатели!$E:$W,8,FALSE)=0,"",VLOOKUP($B631,Показатели!$E:$W,8,FALSE)),"")</f>
        <v/>
      </c>
      <c r="L631" t="str">
        <f>IFERROR(IF(VLOOKUP($B631,Показатели!$E:$W,9,FALSE)=0,"",VLOOKUP($B631,Показатели!$E:$W,9,FALSE)),"")</f>
        <v/>
      </c>
      <c r="M631" t="str">
        <f>IFERROR(IF(VLOOKUP($B631,Показатели!$E:$W,10,FALSE)=0,"",VLOOKUP($B631,Показатели!$E:$W,10,FALSE)),"")</f>
        <v/>
      </c>
      <c r="N631" t="str">
        <f>IFERROR(IF(VLOOKUP($B631,Показатели!$E:$W,11,FALSE)=0,"",VLOOKUP($B631,Показатели!$E:$W,11,FALSE)),"")</f>
        <v/>
      </c>
      <c r="O631" t="str">
        <f>IFERROR(IF(VLOOKUP($B631,Показатели!$E:$W,12,FALSE)=0,"",VLOOKUP($B631,Показатели!$E:$W,12,FALSE)),"")</f>
        <v/>
      </c>
      <c r="P631" t="str">
        <f>IFERROR(IF(VLOOKUP($B631,Показатели!$E:$W,13,FALSE)=0,"",VLOOKUP($B631,Показатели!$E:$W,13,FALSE)),"")</f>
        <v/>
      </c>
      <c r="Q631" t="str">
        <f>IFERROR(IF(VLOOKUP($B631,Показатели!$E:$W,14,FALSE)=0,"",VLOOKUP($B631,Показатели!$E:$W,14,FALSE)),"")</f>
        <v/>
      </c>
      <c r="R631" t="str">
        <f>IFERROR(IF(VLOOKUP($B631,Показатели!$E:$W,15,FALSE)=0,"",VLOOKUP($B631,Показатели!$E:$W,15,FALSE)),"")</f>
        <v/>
      </c>
      <c r="S631" t="str">
        <f>IFERROR(IF(VLOOKUP($B631,Показатели!$E:$W,16,FALSE)=0,"",VLOOKUP($B631,Показатели!$E:$W,16,FALSE)),"")</f>
        <v/>
      </c>
      <c r="T631" t="str">
        <f>IFERROR(IF(VLOOKUP($B631,Показатели!$E:$W,17,FALSE)=0,"",VLOOKUP($B631,Показатели!$E:$W,17,FALSE)),"")</f>
        <v/>
      </c>
      <c r="U631" t="str">
        <f>IFERROR(IF(VLOOKUP($B631,Показатели!$E:$W,18,FALSE)=0,"",VLOOKUP($B631,Показатели!$E:$W,18,FALSE)),"")</f>
        <v/>
      </c>
      <c r="V631" t="str">
        <f>IFERROR(IF(VLOOKUP($B631,Показатели!$E:$W,19,FALSE)=0,"",VLOOKUP($B631,Показатели!$E:$W,19,FALSE)),"")</f>
        <v/>
      </c>
    </row>
    <row r="632" spans="1:22" x14ac:dyDescent="0.2">
      <c r="A632" s="7" t="s">
        <v>2258</v>
      </c>
      <c r="B632" t="str">
        <f t="shared" si="9"/>
        <v>OZPH IV кв. 2019</v>
      </c>
      <c r="C632">
        <v>2019</v>
      </c>
      <c r="D632">
        <f>SUMIFS(Дивиденды!$C:$C,Дивиденды!$A:$A,A632,Дивиденды!$I:$I,C632)</f>
        <v>0</v>
      </c>
      <c r="E632" t="str">
        <f>IFERROR(IF(VLOOKUP($B632,Показатели!$E:$W,2,FALSE)=0,"",VLOOKUP($B632,Показатели!$E:$W,2,FALSE)),"")</f>
        <v/>
      </c>
      <c r="F632" t="str">
        <f>IFERROR(IF(VLOOKUP($B632,Показатели!$E:$W,3,FALSE)=0,"",VLOOKUP($B632,Показатели!$E:$W,3,FALSE)),"")</f>
        <v/>
      </c>
      <c r="G632" t="str">
        <f>IFERROR(IF(VLOOKUP($B632,Показатели!$E:$W,4,FALSE)=0,"",VLOOKUP($B632,Показатели!$E:$W,4,FALSE)),"")</f>
        <v/>
      </c>
      <c r="H632" t="str">
        <f>IFERROR(IF(VLOOKUP($B632,Показатели!$E:$W,5,FALSE)=0,"",VLOOKUP($B632,Показатели!$E:$W,5,FALSE)),"")</f>
        <v/>
      </c>
      <c r="I632" t="str">
        <f>IFERROR(IF(VLOOKUP($B632,Показатели!$E:$W,6,FALSE)=0,"",VLOOKUP($B632,Показатели!$E:$W,6,FALSE)),"")</f>
        <v/>
      </c>
      <c r="J632" t="str">
        <f>IFERROR(IF(VLOOKUP($B632,Показатели!$E:$W,7,FALSE)=0,"",VLOOKUP($B632,Показатели!$E:$W,7,FALSE)),"")</f>
        <v/>
      </c>
      <c r="K632" t="str">
        <f>IFERROR(IF(VLOOKUP($B632,Показатели!$E:$W,8,FALSE)=0,"",VLOOKUP($B632,Показатели!$E:$W,8,FALSE)),"")</f>
        <v/>
      </c>
      <c r="L632" t="str">
        <f>IFERROR(IF(VLOOKUP($B632,Показатели!$E:$W,9,FALSE)=0,"",VLOOKUP($B632,Показатели!$E:$W,9,FALSE)),"")</f>
        <v/>
      </c>
      <c r="M632" t="str">
        <f>IFERROR(IF(VLOOKUP($B632,Показатели!$E:$W,10,FALSE)=0,"",VLOOKUP($B632,Показатели!$E:$W,10,FALSE)),"")</f>
        <v/>
      </c>
      <c r="N632" t="str">
        <f>IFERROR(IF(VLOOKUP($B632,Показатели!$E:$W,11,FALSE)=0,"",VLOOKUP($B632,Показатели!$E:$W,11,FALSE)),"")</f>
        <v/>
      </c>
      <c r="O632" t="str">
        <f>IFERROR(IF(VLOOKUP($B632,Показатели!$E:$W,12,FALSE)=0,"",VLOOKUP($B632,Показатели!$E:$W,12,FALSE)),"")</f>
        <v/>
      </c>
      <c r="P632" t="str">
        <f>IFERROR(IF(VLOOKUP($B632,Показатели!$E:$W,13,FALSE)=0,"",VLOOKUP($B632,Показатели!$E:$W,13,FALSE)),"")</f>
        <v/>
      </c>
      <c r="Q632" t="str">
        <f>IFERROR(IF(VLOOKUP($B632,Показатели!$E:$W,14,FALSE)=0,"",VLOOKUP($B632,Показатели!$E:$W,14,FALSE)),"")</f>
        <v/>
      </c>
      <c r="R632" t="str">
        <f>IFERROR(IF(VLOOKUP($B632,Показатели!$E:$W,15,FALSE)=0,"",VLOOKUP($B632,Показатели!$E:$W,15,FALSE)),"")</f>
        <v/>
      </c>
      <c r="S632" t="str">
        <f>IFERROR(IF(VLOOKUP($B632,Показатели!$E:$W,16,FALSE)=0,"",VLOOKUP($B632,Показатели!$E:$W,16,FALSE)),"")</f>
        <v/>
      </c>
      <c r="T632" t="str">
        <f>IFERROR(IF(VLOOKUP($B632,Показатели!$E:$W,17,FALSE)=0,"",VLOOKUP($B632,Показатели!$E:$W,17,FALSE)),"")</f>
        <v/>
      </c>
      <c r="U632" t="str">
        <f>IFERROR(IF(VLOOKUP($B632,Показатели!$E:$W,18,FALSE)=0,"",VLOOKUP($B632,Показатели!$E:$W,18,FALSE)),"")</f>
        <v/>
      </c>
      <c r="V632" t="str">
        <f>IFERROR(IF(VLOOKUP($B632,Показатели!$E:$W,19,FALSE)=0,"",VLOOKUP($B632,Показатели!$E:$W,19,FALSE)),"")</f>
        <v/>
      </c>
    </row>
    <row r="633" spans="1:22" x14ac:dyDescent="0.2">
      <c r="A633" s="7" t="s">
        <v>2258</v>
      </c>
      <c r="B633" t="str">
        <f t="shared" si="9"/>
        <v>OZPH IV кв. 2018</v>
      </c>
      <c r="C633">
        <v>2018</v>
      </c>
      <c r="D633">
        <f>SUMIFS(Дивиденды!$C:$C,Дивиденды!$A:$A,A633,Дивиденды!$I:$I,C633)</f>
        <v>0</v>
      </c>
      <c r="E633" t="str">
        <f>IFERROR(IF(VLOOKUP($B633,Показатели!$E:$W,2,FALSE)=0,"",VLOOKUP($B633,Показатели!$E:$W,2,FALSE)),"")</f>
        <v/>
      </c>
      <c r="F633" t="str">
        <f>IFERROR(IF(VLOOKUP($B633,Показатели!$E:$W,3,FALSE)=0,"",VLOOKUP($B633,Показатели!$E:$W,3,FALSE)),"")</f>
        <v/>
      </c>
      <c r="G633" t="str">
        <f>IFERROR(IF(VLOOKUP($B633,Показатели!$E:$W,4,FALSE)=0,"",VLOOKUP($B633,Показатели!$E:$W,4,FALSE)),"")</f>
        <v/>
      </c>
      <c r="H633" t="str">
        <f>IFERROR(IF(VLOOKUP($B633,Показатели!$E:$W,5,FALSE)=0,"",VLOOKUP($B633,Показатели!$E:$W,5,FALSE)),"")</f>
        <v/>
      </c>
      <c r="I633" t="str">
        <f>IFERROR(IF(VLOOKUP($B633,Показатели!$E:$W,6,FALSE)=0,"",VLOOKUP($B633,Показатели!$E:$W,6,FALSE)),"")</f>
        <v/>
      </c>
      <c r="J633" t="str">
        <f>IFERROR(IF(VLOOKUP($B633,Показатели!$E:$W,7,FALSE)=0,"",VLOOKUP($B633,Показатели!$E:$W,7,FALSE)),"")</f>
        <v/>
      </c>
      <c r="K633" t="str">
        <f>IFERROR(IF(VLOOKUP($B633,Показатели!$E:$W,8,FALSE)=0,"",VLOOKUP($B633,Показатели!$E:$W,8,FALSE)),"")</f>
        <v/>
      </c>
      <c r="L633" t="str">
        <f>IFERROR(IF(VLOOKUP($B633,Показатели!$E:$W,9,FALSE)=0,"",VLOOKUP($B633,Показатели!$E:$W,9,FALSE)),"")</f>
        <v/>
      </c>
      <c r="M633" t="str">
        <f>IFERROR(IF(VLOOKUP($B633,Показатели!$E:$W,10,FALSE)=0,"",VLOOKUP($B633,Показатели!$E:$W,10,FALSE)),"")</f>
        <v/>
      </c>
      <c r="N633" t="str">
        <f>IFERROR(IF(VLOOKUP($B633,Показатели!$E:$W,11,FALSE)=0,"",VLOOKUP($B633,Показатели!$E:$W,11,FALSE)),"")</f>
        <v/>
      </c>
      <c r="O633" t="str">
        <f>IFERROR(IF(VLOOKUP($B633,Показатели!$E:$W,12,FALSE)=0,"",VLOOKUP($B633,Показатели!$E:$W,12,FALSE)),"")</f>
        <v/>
      </c>
      <c r="P633" t="str">
        <f>IFERROR(IF(VLOOKUP($B633,Показатели!$E:$W,13,FALSE)=0,"",VLOOKUP($B633,Показатели!$E:$W,13,FALSE)),"")</f>
        <v/>
      </c>
      <c r="Q633" t="str">
        <f>IFERROR(IF(VLOOKUP($B633,Показатели!$E:$W,14,FALSE)=0,"",VLOOKUP($B633,Показатели!$E:$W,14,FALSE)),"")</f>
        <v/>
      </c>
      <c r="R633" t="str">
        <f>IFERROR(IF(VLOOKUP($B633,Показатели!$E:$W,15,FALSE)=0,"",VLOOKUP($B633,Показатели!$E:$W,15,FALSE)),"")</f>
        <v/>
      </c>
      <c r="S633" t="str">
        <f>IFERROR(IF(VLOOKUP($B633,Показатели!$E:$W,16,FALSE)=0,"",VLOOKUP($B633,Показатели!$E:$W,16,FALSE)),"")</f>
        <v/>
      </c>
      <c r="T633" t="str">
        <f>IFERROR(IF(VLOOKUP($B633,Показатели!$E:$W,17,FALSE)=0,"",VLOOKUP($B633,Показатели!$E:$W,17,FALSE)),"")</f>
        <v/>
      </c>
      <c r="U633" t="str">
        <f>IFERROR(IF(VLOOKUP($B633,Показатели!$E:$W,18,FALSE)=0,"",VLOOKUP($B633,Показатели!$E:$W,18,FALSE)),"")</f>
        <v/>
      </c>
      <c r="V633" t="str">
        <f>IFERROR(IF(VLOOKUP($B633,Показатели!$E:$W,19,FALSE)=0,"",VLOOKUP($B633,Показатели!$E:$W,19,FALSE)),"")</f>
        <v/>
      </c>
    </row>
    <row r="634" spans="1:22" x14ac:dyDescent="0.2">
      <c r="A634" s="7" t="s">
        <v>2258</v>
      </c>
      <c r="B634" t="str">
        <f t="shared" si="9"/>
        <v>OZPH IV кв. 2017</v>
      </c>
      <c r="C634">
        <v>2017</v>
      </c>
      <c r="D634">
        <f>SUMIFS(Дивиденды!$C:$C,Дивиденды!$A:$A,A634,Дивиденды!$I:$I,C634)</f>
        <v>0</v>
      </c>
      <c r="E634" t="str">
        <f>IFERROR(IF(VLOOKUP($B634,Показатели!$E:$W,2,FALSE)=0,"",VLOOKUP($B634,Показатели!$E:$W,2,FALSE)),"")</f>
        <v/>
      </c>
      <c r="F634" t="str">
        <f>IFERROR(IF(VLOOKUP($B634,Показатели!$E:$W,3,FALSE)=0,"",VLOOKUP($B634,Показатели!$E:$W,3,FALSE)),"")</f>
        <v/>
      </c>
      <c r="G634" t="str">
        <f>IFERROR(IF(VLOOKUP($B634,Показатели!$E:$W,4,FALSE)=0,"",VLOOKUP($B634,Показатели!$E:$W,4,FALSE)),"")</f>
        <v/>
      </c>
      <c r="H634" t="str">
        <f>IFERROR(IF(VLOOKUP($B634,Показатели!$E:$W,5,FALSE)=0,"",VLOOKUP($B634,Показатели!$E:$W,5,FALSE)),"")</f>
        <v/>
      </c>
      <c r="I634" t="str">
        <f>IFERROR(IF(VLOOKUP($B634,Показатели!$E:$W,6,FALSE)=0,"",VLOOKUP($B634,Показатели!$E:$W,6,FALSE)),"")</f>
        <v/>
      </c>
      <c r="J634" t="str">
        <f>IFERROR(IF(VLOOKUP($B634,Показатели!$E:$W,7,FALSE)=0,"",VLOOKUP($B634,Показатели!$E:$W,7,FALSE)),"")</f>
        <v/>
      </c>
      <c r="K634" t="str">
        <f>IFERROR(IF(VLOOKUP($B634,Показатели!$E:$W,8,FALSE)=0,"",VLOOKUP($B634,Показатели!$E:$W,8,FALSE)),"")</f>
        <v/>
      </c>
      <c r="L634" t="str">
        <f>IFERROR(IF(VLOOKUP($B634,Показатели!$E:$W,9,FALSE)=0,"",VLOOKUP($B634,Показатели!$E:$W,9,FALSE)),"")</f>
        <v/>
      </c>
      <c r="M634" t="str">
        <f>IFERROR(IF(VLOOKUP($B634,Показатели!$E:$W,10,FALSE)=0,"",VLOOKUP($B634,Показатели!$E:$W,10,FALSE)),"")</f>
        <v/>
      </c>
      <c r="N634" t="str">
        <f>IFERROR(IF(VLOOKUP($B634,Показатели!$E:$W,11,FALSE)=0,"",VLOOKUP($B634,Показатели!$E:$W,11,FALSE)),"")</f>
        <v/>
      </c>
      <c r="O634" t="str">
        <f>IFERROR(IF(VLOOKUP($B634,Показатели!$E:$W,12,FALSE)=0,"",VLOOKUP($B634,Показатели!$E:$W,12,FALSE)),"")</f>
        <v/>
      </c>
      <c r="P634" t="str">
        <f>IFERROR(IF(VLOOKUP($B634,Показатели!$E:$W,13,FALSE)=0,"",VLOOKUP($B634,Показатели!$E:$W,13,FALSE)),"")</f>
        <v/>
      </c>
      <c r="Q634" t="str">
        <f>IFERROR(IF(VLOOKUP($B634,Показатели!$E:$W,14,FALSE)=0,"",VLOOKUP($B634,Показатели!$E:$W,14,FALSE)),"")</f>
        <v/>
      </c>
      <c r="R634" t="str">
        <f>IFERROR(IF(VLOOKUP($B634,Показатели!$E:$W,15,FALSE)=0,"",VLOOKUP($B634,Показатели!$E:$W,15,FALSE)),"")</f>
        <v/>
      </c>
      <c r="S634" t="str">
        <f>IFERROR(IF(VLOOKUP($B634,Показатели!$E:$W,16,FALSE)=0,"",VLOOKUP($B634,Показатели!$E:$W,16,FALSE)),"")</f>
        <v/>
      </c>
      <c r="T634" t="str">
        <f>IFERROR(IF(VLOOKUP($B634,Показатели!$E:$W,17,FALSE)=0,"",VLOOKUP($B634,Показатели!$E:$W,17,FALSE)),"")</f>
        <v/>
      </c>
      <c r="U634" t="str">
        <f>IFERROR(IF(VLOOKUP($B634,Показатели!$E:$W,18,FALSE)=0,"",VLOOKUP($B634,Показатели!$E:$W,18,FALSE)),"")</f>
        <v/>
      </c>
      <c r="V634" t="str">
        <f>IFERROR(IF(VLOOKUP($B634,Показатели!$E:$W,19,FALSE)=0,"",VLOOKUP($B634,Показатели!$E:$W,19,FALSE)),"")</f>
        <v/>
      </c>
    </row>
    <row r="635" spans="1:22" x14ac:dyDescent="0.2">
      <c r="A635" s="7" t="s">
        <v>2258</v>
      </c>
      <c r="B635" t="str">
        <f t="shared" si="9"/>
        <v>OZPH IV кв. 2016</v>
      </c>
      <c r="C635">
        <v>2016</v>
      </c>
      <c r="D635">
        <f>SUMIFS(Дивиденды!$C:$C,Дивиденды!$A:$A,A635,Дивиденды!$I:$I,C635)</f>
        <v>0</v>
      </c>
      <c r="E635" t="str">
        <f>IFERROR(IF(VLOOKUP($B635,Показатели!$E:$W,2,FALSE)=0,"",VLOOKUP($B635,Показатели!$E:$W,2,FALSE)),"")</f>
        <v/>
      </c>
      <c r="F635" t="str">
        <f>IFERROR(IF(VLOOKUP($B635,Показатели!$E:$W,3,FALSE)=0,"",VLOOKUP($B635,Показатели!$E:$W,3,FALSE)),"")</f>
        <v/>
      </c>
      <c r="G635" t="str">
        <f>IFERROR(IF(VLOOKUP($B635,Показатели!$E:$W,4,FALSE)=0,"",VLOOKUP($B635,Показатели!$E:$W,4,FALSE)),"")</f>
        <v/>
      </c>
      <c r="H635" t="str">
        <f>IFERROR(IF(VLOOKUP($B635,Показатели!$E:$W,5,FALSE)=0,"",VLOOKUP($B635,Показатели!$E:$W,5,FALSE)),"")</f>
        <v/>
      </c>
      <c r="I635" t="str">
        <f>IFERROR(IF(VLOOKUP($B635,Показатели!$E:$W,6,FALSE)=0,"",VLOOKUP($B635,Показатели!$E:$W,6,FALSE)),"")</f>
        <v/>
      </c>
      <c r="J635" t="str">
        <f>IFERROR(IF(VLOOKUP($B635,Показатели!$E:$W,7,FALSE)=0,"",VLOOKUP($B635,Показатели!$E:$W,7,FALSE)),"")</f>
        <v/>
      </c>
      <c r="K635" t="str">
        <f>IFERROR(IF(VLOOKUP($B635,Показатели!$E:$W,8,FALSE)=0,"",VLOOKUP($B635,Показатели!$E:$W,8,FALSE)),"")</f>
        <v/>
      </c>
      <c r="L635" t="str">
        <f>IFERROR(IF(VLOOKUP($B635,Показатели!$E:$W,9,FALSE)=0,"",VLOOKUP($B635,Показатели!$E:$W,9,FALSE)),"")</f>
        <v/>
      </c>
      <c r="M635" t="str">
        <f>IFERROR(IF(VLOOKUP($B635,Показатели!$E:$W,10,FALSE)=0,"",VLOOKUP($B635,Показатели!$E:$W,10,FALSE)),"")</f>
        <v/>
      </c>
      <c r="N635" t="str">
        <f>IFERROR(IF(VLOOKUP($B635,Показатели!$E:$W,11,FALSE)=0,"",VLOOKUP($B635,Показатели!$E:$W,11,FALSE)),"")</f>
        <v/>
      </c>
      <c r="O635" t="str">
        <f>IFERROR(IF(VLOOKUP($B635,Показатели!$E:$W,12,FALSE)=0,"",VLOOKUP($B635,Показатели!$E:$W,12,FALSE)),"")</f>
        <v/>
      </c>
      <c r="P635" t="str">
        <f>IFERROR(IF(VLOOKUP($B635,Показатели!$E:$W,13,FALSE)=0,"",VLOOKUP($B635,Показатели!$E:$W,13,FALSE)),"")</f>
        <v/>
      </c>
      <c r="Q635" t="str">
        <f>IFERROR(IF(VLOOKUP($B635,Показатели!$E:$W,14,FALSE)=0,"",VLOOKUP($B635,Показатели!$E:$W,14,FALSE)),"")</f>
        <v/>
      </c>
      <c r="R635" t="str">
        <f>IFERROR(IF(VLOOKUP($B635,Показатели!$E:$W,15,FALSE)=0,"",VLOOKUP($B635,Показатели!$E:$W,15,FALSE)),"")</f>
        <v/>
      </c>
      <c r="S635" t="str">
        <f>IFERROR(IF(VLOOKUP($B635,Показатели!$E:$W,16,FALSE)=0,"",VLOOKUP($B635,Показатели!$E:$W,16,FALSE)),"")</f>
        <v/>
      </c>
      <c r="T635" t="str">
        <f>IFERROR(IF(VLOOKUP($B635,Показатели!$E:$W,17,FALSE)=0,"",VLOOKUP($B635,Показатели!$E:$W,17,FALSE)),"")</f>
        <v/>
      </c>
      <c r="U635" t="str">
        <f>IFERROR(IF(VLOOKUP($B635,Показатели!$E:$W,18,FALSE)=0,"",VLOOKUP($B635,Показатели!$E:$W,18,FALSE)),"")</f>
        <v/>
      </c>
      <c r="V635" t="str">
        <f>IFERROR(IF(VLOOKUP($B635,Показатели!$E:$W,19,FALSE)=0,"",VLOOKUP($B635,Показатели!$E:$W,19,FALSE)),"")</f>
        <v/>
      </c>
    </row>
    <row r="636" spans="1:22" x14ac:dyDescent="0.2">
      <c r="A636" s="7" t="s">
        <v>2258</v>
      </c>
      <c r="B636" t="str">
        <f t="shared" si="9"/>
        <v>OZPH IV кв. 2015</v>
      </c>
      <c r="C636">
        <v>2015</v>
      </c>
      <c r="D636">
        <f>SUMIFS(Дивиденды!$C:$C,Дивиденды!$A:$A,A636,Дивиденды!$I:$I,C636)</f>
        <v>0</v>
      </c>
      <c r="E636" t="str">
        <f>IFERROR(IF(VLOOKUP($B636,Показатели!$E:$W,2,FALSE)=0,"",VLOOKUP($B636,Показатели!$E:$W,2,FALSE)),"")</f>
        <v/>
      </c>
      <c r="F636" t="str">
        <f>IFERROR(IF(VLOOKUP($B636,Показатели!$E:$W,3,FALSE)=0,"",VLOOKUP($B636,Показатели!$E:$W,3,FALSE)),"")</f>
        <v/>
      </c>
      <c r="G636" t="str">
        <f>IFERROR(IF(VLOOKUP($B636,Показатели!$E:$W,4,FALSE)=0,"",VLOOKUP($B636,Показатели!$E:$W,4,FALSE)),"")</f>
        <v/>
      </c>
      <c r="H636" t="str">
        <f>IFERROR(IF(VLOOKUP($B636,Показатели!$E:$W,5,FALSE)=0,"",VLOOKUP($B636,Показатели!$E:$W,5,FALSE)),"")</f>
        <v/>
      </c>
      <c r="I636" t="str">
        <f>IFERROR(IF(VLOOKUP($B636,Показатели!$E:$W,6,FALSE)=0,"",VLOOKUP($B636,Показатели!$E:$W,6,FALSE)),"")</f>
        <v/>
      </c>
      <c r="J636" t="str">
        <f>IFERROR(IF(VLOOKUP($B636,Показатели!$E:$W,7,FALSE)=0,"",VLOOKUP($B636,Показатели!$E:$W,7,FALSE)),"")</f>
        <v/>
      </c>
      <c r="K636" t="str">
        <f>IFERROR(IF(VLOOKUP($B636,Показатели!$E:$W,8,FALSE)=0,"",VLOOKUP($B636,Показатели!$E:$W,8,FALSE)),"")</f>
        <v/>
      </c>
      <c r="L636" t="str">
        <f>IFERROR(IF(VLOOKUP($B636,Показатели!$E:$W,9,FALSE)=0,"",VLOOKUP($B636,Показатели!$E:$W,9,FALSE)),"")</f>
        <v/>
      </c>
      <c r="M636" t="str">
        <f>IFERROR(IF(VLOOKUP($B636,Показатели!$E:$W,10,FALSE)=0,"",VLOOKUP($B636,Показатели!$E:$W,10,FALSE)),"")</f>
        <v/>
      </c>
      <c r="N636" t="str">
        <f>IFERROR(IF(VLOOKUP($B636,Показатели!$E:$W,11,FALSE)=0,"",VLOOKUP($B636,Показатели!$E:$W,11,FALSE)),"")</f>
        <v/>
      </c>
      <c r="O636" t="str">
        <f>IFERROR(IF(VLOOKUP($B636,Показатели!$E:$W,12,FALSE)=0,"",VLOOKUP($B636,Показатели!$E:$W,12,FALSE)),"")</f>
        <v/>
      </c>
      <c r="P636" t="str">
        <f>IFERROR(IF(VLOOKUP($B636,Показатели!$E:$W,13,FALSE)=0,"",VLOOKUP($B636,Показатели!$E:$W,13,FALSE)),"")</f>
        <v/>
      </c>
      <c r="Q636" t="str">
        <f>IFERROR(IF(VLOOKUP($B636,Показатели!$E:$W,14,FALSE)=0,"",VLOOKUP($B636,Показатели!$E:$W,14,FALSE)),"")</f>
        <v/>
      </c>
      <c r="R636" t="str">
        <f>IFERROR(IF(VLOOKUP($B636,Показатели!$E:$W,15,FALSE)=0,"",VLOOKUP($B636,Показатели!$E:$W,15,FALSE)),"")</f>
        <v/>
      </c>
      <c r="S636" t="str">
        <f>IFERROR(IF(VLOOKUP($B636,Показатели!$E:$W,16,FALSE)=0,"",VLOOKUP($B636,Показатели!$E:$W,16,FALSE)),"")</f>
        <v/>
      </c>
      <c r="T636" t="str">
        <f>IFERROR(IF(VLOOKUP($B636,Показатели!$E:$W,17,FALSE)=0,"",VLOOKUP($B636,Показатели!$E:$W,17,FALSE)),"")</f>
        <v/>
      </c>
      <c r="U636" t="str">
        <f>IFERROR(IF(VLOOKUP($B636,Показатели!$E:$W,18,FALSE)=0,"",VLOOKUP($B636,Показатели!$E:$W,18,FALSE)),"")</f>
        <v/>
      </c>
      <c r="V636" t="str">
        <f>IFERROR(IF(VLOOKUP($B636,Показатели!$E:$W,19,FALSE)=0,"",VLOOKUP($B636,Показатели!$E:$W,19,FALSE)),"")</f>
        <v/>
      </c>
    </row>
    <row r="637" spans="1:22" x14ac:dyDescent="0.2">
      <c r="A637" s="7" t="s">
        <v>2258</v>
      </c>
      <c r="B637" t="str">
        <f t="shared" si="9"/>
        <v>OZPH IV кв. 2014</v>
      </c>
      <c r="C637">
        <v>2014</v>
      </c>
      <c r="D637">
        <f>SUMIFS(Дивиденды!$C:$C,Дивиденды!$A:$A,A637,Дивиденды!$I:$I,C637)</f>
        <v>0</v>
      </c>
      <c r="E637" t="str">
        <f>IFERROR(IF(VLOOKUP($B637,Показатели!$E:$W,2,FALSE)=0,"",VLOOKUP($B637,Показатели!$E:$W,2,FALSE)),"")</f>
        <v/>
      </c>
      <c r="F637" t="str">
        <f>IFERROR(IF(VLOOKUP($B637,Показатели!$E:$W,3,FALSE)=0,"",VLOOKUP($B637,Показатели!$E:$W,3,FALSE)),"")</f>
        <v/>
      </c>
      <c r="G637" t="str">
        <f>IFERROR(IF(VLOOKUP($B637,Показатели!$E:$W,4,FALSE)=0,"",VLOOKUP($B637,Показатели!$E:$W,4,FALSE)),"")</f>
        <v/>
      </c>
      <c r="H637" t="str">
        <f>IFERROR(IF(VLOOKUP($B637,Показатели!$E:$W,5,FALSE)=0,"",VLOOKUP($B637,Показатели!$E:$W,5,FALSE)),"")</f>
        <v/>
      </c>
      <c r="I637" t="str">
        <f>IFERROR(IF(VLOOKUP($B637,Показатели!$E:$W,6,FALSE)=0,"",VLOOKUP($B637,Показатели!$E:$W,6,FALSE)),"")</f>
        <v/>
      </c>
      <c r="J637" t="str">
        <f>IFERROR(IF(VLOOKUP($B637,Показатели!$E:$W,7,FALSE)=0,"",VLOOKUP($B637,Показатели!$E:$W,7,FALSE)),"")</f>
        <v/>
      </c>
      <c r="K637" t="str">
        <f>IFERROR(IF(VLOOKUP($B637,Показатели!$E:$W,8,FALSE)=0,"",VLOOKUP($B637,Показатели!$E:$W,8,FALSE)),"")</f>
        <v/>
      </c>
      <c r="L637" t="str">
        <f>IFERROR(IF(VLOOKUP($B637,Показатели!$E:$W,9,FALSE)=0,"",VLOOKUP($B637,Показатели!$E:$W,9,FALSE)),"")</f>
        <v/>
      </c>
      <c r="M637" t="str">
        <f>IFERROR(IF(VLOOKUP($B637,Показатели!$E:$W,10,FALSE)=0,"",VLOOKUP($B637,Показатели!$E:$W,10,FALSE)),"")</f>
        <v/>
      </c>
      <c r="N637" t="str">
        <f>IFERROR(IF(VLOOKUP($B637,Показатели!$E:$W,11,FALSE)=0,"",VLOOKUP($B637,Показатели!$E:$W,11,FALSE)),"")</f>
        <v/>
      </c>
      <c r="O637" t="str">
        <f>IFERROR(IF(VLOOKUP($B637,Показатели!$E:$W,12,FALSE)=0,"",VLOOKUP($B637,Показатели!$E:$W,12,FALSE)),"")</f>
        <v/>
      </c>
      <c r="P637" t="str">
        <f>IFERROR(IF(VLOOKUP($B637,Показатели!$E:$W,13,FALSE)=0,"",VLOOKUP($B637,Показатели!$E:$W,13,FALSE)),"")</f>
        <v/>
      </c>
      <c r="Q637" t="str">
        <f>IFERROR(IF(VLOOKUP($B637,Показатели!$E:$W,14,FALSE)=0,"",VLOOKUP($B637,Показатели!$E:$W,14,FALSE)),"")</f>
        <v/>
      </c>
      <c r="R637" t="str">
        <f>IFERROR(IF(VLOOKUP($B637,Показатели!$E:$W,15,FALSE)=0,"",VLOOKUP($B637,Показатели!$E:$W,15,FALSE)),"")</f>
        <v/>
      </c>
      <c r="S637" t="str">
        <f>IFERROR(IF(VLOOKUP($B637,Показатели!$E:$W,16,FALSE)=0,"",VLOOKUP($B637,Показатели!$E:$W,16,FALSE)),"")</f>
        <v/>
      </c>
      <c r="T637" t="str">
        <f>IFERROR(IF(VLOOKUP($B637,Показатели!$E:$W,17,FALSE)=0,"",VLOOKUP($B637,Показатели!$E:$W,17,FALSE)),"")</f>
        <v/>
      </c>
      <c r="U637" t="str">
        <f>IFERROR(IF(VLOOKUP($B637,Показатели!$E:$W,18,FALSE)=0,"",VLOOKUP($B637,Показатели!$E:$W,18,FALSE)),"")</f>
        <v/>
      </c>
      <c r="V637" t="str">
        <f>IFERROR(IF(VLOOKUP($B637,Показатели!$E:$W,19,FALSE)=0,"",VLOOKUP($B637,Показатели!$E:$W,19,FALSE)),"")</f>
        <v/>
      </c>
    </row>
    <row r="638" spans="1:22" x14ac:dyDescent="0.2">
      <c r="A638" s="7" t="s">
        <v>2258</v>
      </c>
      <c r="B638" t="str">
        <f t="shared" si="9"/>
        <v>OZPH IV кв. 2013</v>
      </c>
      <c r="C638">
        <v>2013</v>
      </c>
      <c r="D638">
        <f>SUMIFS(Дивиденды!$C:$C,Дивиденды!$A:$A,A638,Дивиденды!$I:$I,C638)</f>
        <v>0</v>
      </c>
      <c r="E638" t="str">
        <f>IFERROR(IF(VLOOKUP($B638,Показатели!$E:$W,2,FALSE)=0,"",VLOOKUP($B638,Показатели!$E:$W,2,FALSE)),"")</f>
        <v/>
      </c>
      <c r="F638" t="str">
        <f>IFERROR(IF(VLOOKUP($B638,Показатели!$E:$W,3,FALSE)=0,"",VLOOKUP($B638,Показатели!$E:$W,3,FALSE)),"")</f>
        <v/>
      </c>
      <c r="G638" t="str">
        <f>IFERROR(IF(VLOOKUP($B638,Показатели!$E:$W,4,FALSE)=0,"",VLOOKUP($B638,Показатели!$E:$W,4,FALSE)),"")</f>
        <v/>
      </c>
      <c r="H638" t="str">
        <f>IFERROR(IF(VLOOKUP($B638,Показатели!$E:$W,5,FALSE)=0,"",VLOOKUP($B638,Показатели!$E:$W,5,FALSE)),"")</f>
        <v/>
      </c>
      <c r="I638" t="str">
        <f>IFERROR(IF(VLOOKUP($B638,Показатели!$E:$W,6,FALSE)=0,"",VLOOKUP($B638,Показатели!$E:$W,6,FALSE)),"")</f>
        <v/>
      </c>
      <c r="J638" t="str">
        <f>IFERROR(IF(VLOOKUP($B638,Показатели!$E:$W,7,FALSE)=0,"",VLOOKUP($B638,Показатели!$E:$W,7,FALSE)),"")</f>
        <v/>
      </c>
      <c r="K638" t="str">
        <f>IFERROR(IF(VLOOKUP($B638,Показатели!$E:$W,8,FALSE)=0,"",VLOOKUP($B638,Показатели!$E:$W,8,FALSE)),"")</f>
        <v/>
      </c>
      <c r="L638" t="str">
        <f>IFERROR(IF(VLOOKUP($B638,Показатели!$E:$W,9,FALSE)=0,"",VLOOKUP($B638,Показатели!$E:$W,9,FALSE)),"")</f>
        <v/>
      </c>
      <c r="M638" t="str">
        <f>IFERROR(IF(VLOOKUP($B638,Показатели!$E:$W,10,FALSE)=0,"",VLOOKUP($B638,Показатели!$E:$W,10,FALSE)),"")</f>
        <v/>
      </c>
      <c r="N638" t="str">
        <f>IFERROR(IF(VLOOKUP($B638,Показатели!$E:$W,11,FALSE)=0,"",VLOOKUP($B638,Показатели!$E:$W,11,FALSE)),"")</f>
        <v/>
      </c>
      <c r="O638" t="str">
        <f>IFERROR(IF(VLOOKUP($B638,Показатели!$E:$W,12,FALSE)=0,"",VLOOKUP($B638,Показатели!$E:$W,12,FALSE)),"")</f>
        <v/>
      </c>
      <c r="P638" t="str">
        <f>IFERROR(IF(VLOOKUP($B638,Показатели!$E:$W,13,FALSE)=0,"",VLOOKUP($B638,Показатели!$E:$W,13,FALSE)),"")</f>
        <v/>
      </c>
      <c r="Q638" t="str">
        <f>IFERROR(IF(VLOOKUP($B638,Показатели!$E:$W,14,FALSE)=0,"",VLOOKUP($B638,Показатели!$E:$W,14,FALSE)),"")</f>
        <v/>
      </c>
      <c r="R638" t="str">
        <f>IFERROR(IF(VLOOKUP($B638,Показатели!$E:$W,15,FALSE)=0,"",VLOOKUP($B638,Показатели!$E:$W,15,FALSE)),"")</f>
        <v/>
      </c>
      <c r="S638" t="str">
        <f>IFERROR(IF(VLOOKUP($B638,Показатели!$E:$W,16,FALSE)=0,"",VLOOKUP($B638,Показатели!$E:$W,16,FALSE)),"")</f>
        <v/>
      </c>
      <c r="T638" t="str">
        <f>IFERROR(IF(VLOOKUP($B638,Показатели!$E:$W,17,FALSE)=0,"",VLOOKUP($B638,Показатели!$E:$W,17,FALSE)),"")</f>
        <v/>
      </c>
      <c r="U638" t="str">
        <f>IFERROR(IF(VLOOKUP($B638,Показатели!$E:$W,18,FALSE)=0,"",VLOOKUP($B638,Показатели!$E:$W,18,FALSE)),"")</f>
        <v/>
      </c>
      <c r="V638" t="str">
        <f>IFERROR(IF(VLOOKUP($B638,Показатели!$E:$W,19,FALSE)=0,"",VLOOKUP($B638,Показатели!$E:$W,19,FALSE)),"")</f>
        <v/>
      </c>
    </row>
    <row r="639" spans="1:22" x14ac:dyDescent="0.2">
      <c r="A639" s="7" t="s">
        <v>2258</v>
      </c>
      <c r="B639" t="str">
        <f t="shared" si="9"/>
        <v>OZPH IV кв. 2012</v>
      </c>
      <c r="C639">
        <v>2012</v>
      </c>
      <c r="D639">
        <f>SUMIFS(Дивиденды!$C:$C,Дивиденды!$A:$A,A639,Дивиденды!$I:$I,C639)</f>
        <v>0</v>
      </c>
      <c r="E639" t="str">
        <f>IFERROR(IF(VLOOKUP($B639,Показатели!$E:$W,2,FALSE)=0,"",VLOOKUP($B639,Показатели!$E:$W,2,FALSE)),"")</f>
        <v/>
      </c>
      <c r="F639" t="str">
        <f>IFERROR(IF(VLOOKUP($B639,Показатели!$E:$W,3,FALSE)=0,"",VLOOKUP($B639,Показатели!$E:$W,3,FALSE)),"")</f>
        <v/>
      </c>
      <c r="G639" t="str">
        <f>IFERROR(IF(VLOOKUP($B639,Показатели!$E:$W,4,FALSE)=0,"",VLOOKUP($B639,Показатели!$E:$W,4,FALSE)),"")</f>
        <v/>
      </c>
      <c r="H639" t="str">
        <f>IFERROR(IF(VLOOKUP($B639,Показатели!$E:$W,5,FALSE)=0,"",VLOOKUP($B639,Показатели!$E:$W,5,FALSE)),"")</f>
        <v/>
      </c>
      <c r="I639" t="str">
        <f>IFERROR(IF(VLOOKUP($B639,Показатели!$E:$W,6,FALSE)=0,"",VLOOKUP($B639,Показатели!$E:$W,6,FALSE)),"")</f>
        <v/>
      </c>
      <c r="J639" t="str">
        <f>IFERROR(IF(VLOOKUP($B639,Показатели!$E:$W,7,FALSE)=0,"",VLOOKUP($B639,Показатели!$E:$W,7,FALSE)),"")</f>
        <v/>
      </c>
      <c r="K639" t="str">
        <f>IFERROR(IF(VLOOKUP($B639,Показатели!$E:$W,8,FALSE)=0,"",VLOOKUP($B639,Показатели!$E:$W,8,FALSE)),"")</f>
        <v/>
      </c>
      <c r="L639" t="str">
        <f>IFERROR(IF(VLOOKUP($B639,Показатели!$E:$W,9,FALSE)=0,"",VLOOKUP($B639,Показатели!$E:$W,9,FALSE)),"")</f>
        <v/>
      </c>
      <c r="M639" t="str">
        <f>IFERROR(IF(VLOOKUP($B639,Показатели!$E:$W,10,FALSE)=0,"",VLOOKUP($B639,Показатели!$E:$W,10,FALSE)),"")</f>
        <v/>
      </c>
      <c r="N639" t="str">
        <f>IFERROR(IF(VLOOKUP($B639,Показатели!$E:$W,11,FALSE)=0,"",VLOOKUP($B639,Показатели!$E:$W,11,FALSE)),"")</f>
        <v/>
      </c>
      <c r="O639" t="str">
        <f>IFERROR(IF(VLOOKUP($B639,Показатели!$E:$W,12,FALSE)=0,"",VLOOKUP($B639,Показатели!$E:$W,12,FALSE)),"")</f>
        <v/>
      </c>
      <c r="P639" t="str">
        <f>IFERROR(IF(VLOOKUP($B639,Показатели!$E:$W,13,FALSE)=0,"",VLOOKUP($B639,Показатели!$E:$W,13,FALSE)),"")</f>
        <v/>
      </c>
      <c r="Q639" t="str">
        <f>IFERROR(IF(VLOOKUP($B639,Показатели!$E:$W,14,FALSE)=0,"",VLOOKUP($B639,Показатели!$E:$W,14,FALSE)),"")</f>
        <v/>
      </c>
      <c r="R639" t="str">
        <f>IFERROR(IF(VLOOKUP($B639,Показатели!$E:$W,15,FALSE)=0,"",VLOOKUP($B639,Показатели!$E:$W,15,FALSE)),"")</f>
        <v/>
      </c>
      <c r="S639" t="str">
        <f>IFERROR(IF(VLOOKUP($B639,Показатели!$E:$W,16,FALSE)=0,"",VLOOKUP($B639,Показатели!$E:$W,16,FALSE)),"")</f>
        <v/>
      </c>
      <c r="T639" t="str">
        <f>IFERROR(IF(VLOOKUP($B639,Показатели!$E:$W,17,FALSE)=0,"",VLOOKUP($B639,Показатели!$E:$W,17,FALSE)),"")</f>
        <v/>
      </c>
      <c r="U639" t="str">
        <f>IFERROR(IF(VLOOKUP($B639,Показатели!$E:$W,18,FALSE)=0,"",VLOOKUP($B639,Показатели!$E:$W,18,FALSE)),"")</f>
        <v/>
      </c>
      <c r="V639" t="str">
        <f>IFERROR(IF(VLOOKUP($B639,Показатели!$E:$W,19,FALSE)=0,"",VLOOKUP($B639,Показатели!$E:$W,19,FALSE)),"")</f>
        <v/>
      </c>
    </row>
    <row r="640" spans="1:22" x14ac:dyDescent="0.2">
      <c r="A640" s="7" t="s">
        <v>2258</v>
      </c>
      <c r="B640" t="str">
        <f t="shared" si="9"/>
        <v>OZPH IV кв. 2011</v>
      </c>
      <c r="C640">
        <v>2011</v>
      </c>
      <c r="D640">
        <f>SUMIFS(Дивиденды!$C:$C,Дивиденды!$A:$A,A640,Дивиденды!$I:$I,C640)</f>
        <v>0</v>
      </c>
      <c r="E640" t="str">
        <f>IFERROR(IF(VLOOKUP($B640,Показатели!$E:$W,2,FALSE)=0,"",VLOOKUP($B640,Показатели!$E:$W,2,FALSE)),"")</f>
        <v/>
      </c>
      <c r="F640" t="str">
        <f>IFERROR(IF(VLOOKUP($B640,Показатели!$E:$W,3,FALSE)=0,"",VLOOKUP($B640,Показатели!$E:$W,3,FALSE)),"")</f>
        <v/>
      </c>
      <c r="G640" t="str">
        <f>IFERROR(IF(VLOOKUP($B640,Показатели!$E:$W,4,FALSE)=0,"",VLOOKUP($B640,Показатели!$E:$W,4,FALSE)),"")</f>
        <v/>
      </c>
      <c r="H640" t="str">
        <f>IFERROR(IF(VLOOKUP($B640,Показатели!$E:$W,5,FALSE)=0,"",VLOOKUP($B640,Показатели!$E:$W,5,FALSE)),"")</f>
        <v/>
      </c>
      <c r="I640" t="str">
        <f>IFERROR(IF(VLOOKUP($B640,Показатели!$E:$W,6,FALSE)=0,"",VLOOKUP($B640,Показатели!$E:$W,6,FALSE)),"")</f>
        <v/>
      </c>
      <c r="J640" t="str">
        <f>IFERROR(IF(VLOOKUP($B640,Показатели!$E:$W,7,FALSE)=0,"",VLOOKUP($B640,Показатели!$E:$W,7,FALSE)),"")</f>
        <v/>
      </c>
      <c r="K640" t="str">
        <f>IFERROR(IF(VLOOKUP($B640,Показатели!$E:$W,8,FALSE)=0,"",VLOOKUP($B640,Показатели!$E:$W,8,FALSE)),"")</f>
        <v/>
      </c>
      <c r="L640" t="str">
        <f>IFERROR(IF(VLOOKUP($B640,Показатели!$E:$W,9,FALSE)=0,"",VLOOKUP($B640,Показатели!$E:$W,9,FALSE)),"")</f>
        <v/>
      </c>
      <c r="M640" t="str">
        <f>IFERROR(IF(VLOOKUP($B640,Показатели!$E:$W,10,FALSE)=0,"",VLOOKUP($B640,Показатели!$E:$W,10,FALSE)),"")</f>
        <v/>
      </c>
      <c r="N640" t="str">
        <f>IFERROR(IF(VLOOKUP($B640,Показатели!$E:$W,11,FALSE)=0,"",VLOOKUP($B640,Показатели!$E:$W,11,FALSE)),"")</f>
        <v/>
      </c>
      <c r="O640" t="str">
        <f>IFERROR(IF(VLOOKUP($B640,Показатели!$E:$W,12,FALSE)=0,"",VLOOKUP($B640,Показатели!$E:$W,12,FALSE)),"")</f>
        <v/>
      </c>
      <c r="P640" t="str">
        <f>IFERROR(IF(VLOOKUP($B640,Показатели!$E:$W,13,FALSE)=0,"",VLOOKUP($B640,Показатели!$E:$W,13,FALSE)),"")</f>
        <v/>
      </c>
      <c r="Q640" t="str">
        <f>IFERROR(IF(VLOOKUP($B640,Показатели!$E:$W,14,FALSE)=0,"",VLOOKUP($B640,Показатели!$E:$W,14,FALSE)),"")</f>
        <v/>
      </c>
      <c r="R640" t="str">
        <f>IFERROR(IF(VLOOKUP($B640,Показатели!$E:$W,15,FALSE)=0,"",VLOOKUP($B640,Показатели!$E:$W,15,FALSE)),"")</f>
        <v/>
      </c>
      <c r="S640" t="str">
        <f>IFERROR(IF(VLOOKUP($B640,Показатели!$E:$W,16,FALSE)=0,"",VLOOKUP($B640,Показатели!$E:$W,16,FALSE)),"")</f>
        <v/>
      </c>
      <c r="T640" t="str">
        <f>IFERROR(IF(VLOOKUP($B640,Показатели!$E:$W,17,FALSE)=0,"",VLOOKUP($B640,Показатели!$E:$W,17,FALSE)),"")</f>
        <v/>
      </c>
      <c r="U640" t="str">
        <f>IFERROR(IF(VLOOKUP($B640,Показатели!$E:$W,18,FALSE)=0,"",VLOOKUP($B640,Показатели!$E:$W,18,FALSE)),"")</f>
        <v/>
      </c>
      <c r="V640" t="str">
        <f>IFERROR(IF(VLOOKUP($B640,Показатели!$E:$W,19,FALSE)=0,"",VLOOKUP($B640,Показатели!$E:$W,19,FALSE)),"")</f>
        <v/>
      </c>
    </row>
    <row r="641" spans="1:22" x14ac:dyDescent="0.2">
      <c r="A641" s="7" t="s">
        <v>2258</v>
      </c>
      <c r="B641" t="str">
        <f t="shared" si="9"/>
        <v>OZPH IV кв. 2010</v>
      </c>
      <c r="C641">
        <v>2010</v>
      </c>
      <c r="D641">
        <f>SUMIFS(Дивиденды!$C:$C,Дивиденды!$A:$A,A641,Дивиденды!$I:$I,C641)</f>
        <v>0</v>
      </c>
      <c r="E641" t="str">
        <f>IFERROR(IF(VLOOKUP($B641,Показатели!$E:$W,2,FALSE)=0,"",VLOOKUP($B641,Показатели!$E:$W,2,FALSE)),"")</f>
        <v/>
      </c>
      <c r="F641" t="str">
        <f>IFERROR(IF(VLOOKUP($B641,Показатели!$E:$W,3,FALSE)=0,"",VLOOKUP($B641,Показатели!$E:$W,3,FALSE)),"")</f>
        <v/>
      </c>
      <c r="G641" t="str">
        <f>IFERROR(IF(VLOOKUP($B641,Показатели!$E:$W,4,FALSE)=0,"",VLOOKUP($B641,Показатели!$E:$W,4,FALSE)),"")</f>
        <v/>
      </c>
      <c r="H641" t="str">
        <f>IFERROR(IF(VLOOKUP($B641,Показатели!$E:$W,5,FALSE)=0,"",VLOOKUP($B641,Показатели!$E:$W,5,FALSE)),"")</f>
        <v/>
      </c>
      <c r="I641" t="str">
        <f>IFERROR(IF(VLOOKUP($B641,Показатели!$E:$W,6,FALSE)=0,"",VLOOKUP($B641,Показатели!$E:$W,6,FALSE)),"")</f>
        <v/>
      </c>
      <c r="J641" t="str">
        <f>IFERROR(IF(VLOOKUP($B641,Показатели!$E:$W,7,FALSE)=0,"",VLOOKUP($B641,Показатели!$E:$W,7,FALSE)),"")</f>
        <v/>
      </c>
      <c r="K641" t="str">
        <f>IFERROR(IF(VLOOKUP($B641,Показатели!$E:$W,8,FALSE)=0,"",VLOOKUP($B641,Показатели!$E:$W,8,FALSE)),"")</f>
        <v/>
      </c>
      <c r="L641" t="str">
        <f>IFERROR(IF(VLOOKUP($B641,Показатели!$E:$W,9,FALSE)=0,"",VLOOKUP($B641,Показатели!$E:$W,9,FALSE)),"")</f>
        <v/>
      </c>
      <c r="M641" t="str">
        <f>IFERROR(IF(VLOOKUP($B641,Показатели!$E:$W,10,FALSE)=0,"",VLOOKUP($B641,Показатели!$E:$W,10,FALSE)),"")</f>
        <v/>
      </c>
      <c r="N641" t="str">
        <f>IFERROR(IF(VLOOKUP($B641,Показатели!$E:$W,11,FALSE)=0,"",VLOOKUP($B641,Показатели!$E:$W,11,FALSE)),"")</f>
        <v/>
      </c>
      <c r="O641" t="str">
        <f>IFERROR(IF(VLOOKUP($B641,Показатели!$E:$W,12,FALSE)=0,"",VLOOKUP($B641,Показатели!$E:$W,12,FALSE)),"")</f>
        <v/>
      </c>
      <c r="P641" t="str">
        <f>IFERROR(IF(VLOOKUP($B641,Показатели!$E:$W,13,FALSE)=0,"",VLOOKUP($B641,Показатели!$E:$W,13,FALSE)),"")</f>
        <v/>
      </c>
      <c r="Q641" t="str">
        <f>IFERROR(IF(VLOOKUP($B641,Показатели!$E:$W,14,FALSE)=0,"",VLOOKUP($B641,Показатели!$E:$W,14,FALSE)),"")</f>
        <v/>
      </c>
      <c r="R641" t="str">
        <f>IFERROR(IF(VLOOKUP($B641,Показатели!$E:$W,15,FALSE)=0,"",VLOOKUP($B641,Показатели!$E:$W,15,FALSE)),"")</f>
        <v/>
      </c>
      <c r="S641" t="str">
        <f>IFERROR(IF(VLOOKUP($B641,Показатели!$E:$W,16,FALSE)=0,"",VLOOKUP($B641,Показатели!$E:$W,16,FALSE)),"")</f>
        <v/>
      </c>
      <c r="T641" t="str">
        <f>IFERROR(IF(VLOOKUP($B641,Показатели!$E:$W,17,FALSE)=0,"",VLOOKUP($B641,Показатели!$E:$W,17,FALSE)),"")</f>
        <v/>
      </c>
      <c r="U641" t="str">
        <f>IFERROR(IF(VLOOKUP($B641,Показатели!$E:$W,18,FALSE)=0,"",VLOOKUP($B641,Показатели!$E:$W,18,FALSE)),"")</f>
        <v/>
      </c>
      <c r="V641" t="str">
        <f>IFERROR(IF(VLOOKUP($B641,Показатели!$E:$W,19,FALSE)=0,"",VLOOKUP($B641,Показатели!$E:$W,19,FALSE)),"")</f>
        <v/>
      </c>
    </row>
    <row r="642" spans="1:22" x14ac:dyDescent="0.2">
      <c r="A642" s="7" t="s">
        <v>2319</v>
      </c>
      <c r="B642" t="str">
        <f t="shared" si="9"/>
        <v>PRMD IV кв. 2025</v>
      </c>
      <c r="C642">
        <v>2025</v>
      </c>
      <c r="D642">
        <f>SUMIFS(Дивиденды!$C:$C,Дивиденды!$A:$A,A642,Дивиденды!$I:$I,C642)</f>
        <v>0</v>
      </c>
      <c r="E642" t="str">
        <f>IFERROR(IF(VLOOKUP($B642,Показатели!$E:$W,2,FALSE)=0,"",VLOOKUP($B642,Показатели!$E:$W,2,FALSE)),"")</f>
        <v/>
      </c>
      <c r="F642" t="str">
        <f>IFERROR(IF(VLOOKUP($B642,Показатели!$E:$W,3,FALSE)=0,"",VLOOKUP($B642,Показатели!$E:$W,3,FALSE)),"")</f>
        <v/>
      </c>
      <c r="G642" t="str">
        <f>IFERROR(IF(VLOOKUP($B642,Показатели!$E:$W,4,FALSE)=0,"",VLOOKUP($B642,Показатели!$E:$W,4,FALSE)),"")</f>
        <v/>
      </c>
      <c r="H642" t="str">
        <f>IFERROR(IF(VLOOKUP($B642,Показатели!$E:$W,5,FALSE)=0,"",VLOOKUP($B642,Показатели!$E:$W,5,FALSE)),"")</f>
        <v/>
      </c>
      <c r="I642" t="str">
        <f>IFERROR(IF(VLOOKUP($B642,Показатели!$E:$W,6,FALSE)=0,"",VLOOKUP($B642,Показатели!$E:$W,6,FALSE)),"")</f>
        <v/>
      </c>
      <c r="J642" t="str">
        <f>IFERROR(IF(VLOOKUP($B642,Показатели!$E:$W,7,FALSE)=0,"",VLOOKUP($B642,Показатели!$E:$W,7,FALSE)),"")</f>
        <v/>
      </c>
      <c r="K642" t="str">
        <f>IFERROR(IF(VLOOKUP($B642,Показатели!$E:$W,8,FALSE)=0,"",VLOOKUP($B642,Показатели!$E:$W,8,FALSE)),"")</f>
        <v/>
      </c>
      <c r="L642" t="str">
        <f>IFERROR(IF(VLOOKUP($B642,Показатели!$E:$W,9,FALSE)=0,"",VLOOKUP($B642,Показатели!$E:$W,9,FALSE)),"")</f>
        <v/>
      </c>
      <c r="M642" t="str">
        <f>IFERROR(IF(VLOOKUP($B642,Показатели!$E:$W,10,FALSE)=0,"",VLOOKUP($B642,Показатели!$E:$W,10,FALSE)),"")</f>
        <v/>
      </c>
      <c r="N642" t="str">
        <f>IFERROR(IF(VLOOKUP($B642,Показатели!$E:$W,11,FALSE)=0,"",VLOOKUP($B642,Показатели!$E:$W,11,FALSE)),"")</f>
        <v/>
      </c>
      <c r="O642" t="str">
        <f>IFERROR(IF(VLOOKUP($B642,Показатели!$E:$W,12,FALSE)=0,"",VLOOKUP($B642,Показатели!$E:$W,12,FALSE)),"")</f>
        <v/>
      </c>
      <c r="P642" t="str">
        <f>IFERROR(IF(VLOOKUP($B642,Показатели!$E:$W,13,FALSE)=0,"",VLOOKUP($B642,Показатели!$E:$W,13,FALSE)),"")</f>
        <v/>
      </c>
      <c r="Q642" t="str">
        <f>IFERROR(IF(VLOOKUP($B642,Показатели!$E:$W,14,FALSE)=0,"",VLOOKUP($B642,Показатели!$E:$W,14,FALSE)),"")</f>
        <v/>
      </c>
      <c r="R642" t="str">
        <f>IFERROR(IF(VLOOKUP($B642,Показатели!$E:$W,15,FALSE)=0,"",VLOOKUP($B642,Показатели!$E:$W,15,FALSE)),"")</f>
        <v/>
      </c>
      <c r="S642" t="str">
        <f>IFERROR(IF(VLOOKUP($B642,Показатели!$E:$W,16,FALSE)=0,"",VLOOKUP($B642,Показатели!$E:$W,16,FALSE)),"")</f>
        <v/>
      </c>
      <c r="T642" t="str">
        <f>IFERROR(IF(VLOOKUP($B642,Показатели!$E:$W,17,FALSE)=0,"",VLOOKUP($B642,Показатели!$E:$W,17,FALSE)),"")</f>
        <v/>
      </c>
      <c r="U642" t="str">
        <f>IFERROR(IF(VLOOKUP($B642,Показатели!$E:$W,18,FALSE)=0,"",VLOOKUP($B642,Показатели!$E:$W,18,FALSE)),"")</f>
        <v/>
      </c>
      <c r="V642" t="str">
        <f>IFERROR(IF(VLOOKUP($B642,Показатели!$E:$W,19,FALSE)=0,"",VLOOKUP($B642,Показатели!$E:$W,19,FALSE)),"")</f>
        <v/>
      </c>
    </row>
    <row r="643" spans="1:22" x14ac:dyDescent="0.2">
      <c r="A643" s="7" t="s">
        <v>2319</v>
      </c>
      <c r="B643" t="str">
        <f t="shared" ref="B643:B706" si="10">A643&amp;" "&amp;
"IV"
&amp;" кв. "&amp;C643</f>
        <v>PRMD IV кв. 2024</v>
      </c>
      <c r="C643">
        <v>2024</v>
      </c>
      <c r="D643">
        <f>SUMIFS(Дивиденды!$C:$C,Дивиденды!$A:$A,A643,Дивиденды!$I:$I,C643)</f>
        <v>0</v>
      </c>
      <c r="E643">
        <f>IFERROR(IF(VLOOKUP($B643,Показатели!$E:$W,2,FALSE)=0,"",VLOOKUP($B643,Показатели!$E:$W,2,FALSE)),"")</f>
        <v>4082103000</v>
      </c>
      <c r="F643">
        <f>IFERROR(IF(VLOOKUP($B643,Показатели!$E:$W,3,FALSE)=0,"",VLOOKUP($B643,Показатели!$E:$W,3,FALSE)),"")</f>
        <v>27965690000</v>
      </c>
      <c r="G643">
        <f>IFERROR(IF(VLOOKUP($B643,Показатели!$E:$W,4,FALSE)=0,"",VLOOKUP($B643,Показатели!$E:$W,4,FALSE)),"")</f>
        <v>16105376000</v>
      </c>
      <c r="H643">
        <f>IFERROR(IF(VLOOKUP($B643,Показатели!$E:$W,5,FALSE)=0,"",VLOOKUP($B643,Показатели!$E:$W,5,FALSE)),"")</f>
        <v>5483585000</v>
      </c>
      <c r="I643">
        <f>IFERROR(IF(VLOOKUP($B643,Показатели!$E:$W,6,FALSE)=0,"",VLOOKUP($B643,Показатели!$E:$W,6,FALSE)),"")</f>
        <v>53105216000</v>
      </c>
      <c r="J643">
        <f>IFERROR(IF(VLOOKUP($B643,Показатели!$E:$W,7,FALSE)=0,"",VLOOKUP($B643,Показатели!$E:$W,7,FALSE)),"")</f>
        <v>13238411000</v>
      </c>
      <c r="K643">
        <f>IFERROR(IF(VLOOKUP($B643,Показатели!$E:$W,8,FALSE)=0,"",VLOOKUP($B643,Показатели!$E:$W,8,FALSE)),"")</f>
        <v>20216323000</v>
      </c>
      <c r="L643">
        <f>IFERROR(IF(VLOOKUP($B643,Показатели!$E:$W,9,FALSE)=0,"",VLOOKUP($B643,Показатели!$E:$W,9,FALSE)),"")</f>
        <v>15666082000</v>
      </c>
      <c r="M643">
        <f>IFERROR(IF(VLOOKUP($B643,Показатели!$E:$W,10,FALSE)=0,"",VLOOKUP($B643,Показатели!$E:$W,10,FALSE)),"")</f>
        <v>19650482000</v>
      </c>
      <c r="N643">
        <f>IFERROR(IF(VLOOKUP($B643,Показатели!$E:$W,11,FALSE)=0,"",VLOOKUP($B643,Показатели!$E:$W,11,FALSE)),"")</f>
        <v>21448519000</v>
      </c>
      <c r="O643">
        <f>IFERROR(IF(VLOOKUP($B643,Показатели!$E:$W,12,FALSE)=0,"",VLOOKUP($B643,Показатели!$E:$W,12,FALSE)),"")</f>
        <v>6895746000</v>
      </c>
      <c r="P643">
        <f>IFERROR(IF(VLOOKUP($B643,Показатели!$E:$W,13,FALSE)=0,"",VLOOKUP($B643,Показатели!$E:$W,13,FALSE)),"")</f>
        <v>4595519000</v>
      </c>
      <c r="Q643">
        <f>IFERROR(IF(VLOOKUP($B643,Показатели!$E:$W,14,FALSE)=0,"",VLOOKUP($B643,Показатели!$E:$W,14,FALSE)),"")</f>
        <v>2875644000</v>
      </c>
      <c r="R643">
        <f>IFERROR(IF(VLOOKUP($B643,Показатели!$E:$W,15,FALSE)=0,"",VLOOKUP($B643,Показатели!$E:$W,15,FALSE)),"")</f>
        <v>1053830000</v>
      </c>
      <c r="S643">
        <f>IFERROR(IF(VLOOKUP($B643,Показатели!$E:$W,16,FALSE)=0,"",VLOOKUP($B643,Показатели!$E:$W,16,FALSE)),"")</f>
        <v>8228985000</v>
      </c>
      <c r="T643">
        <f>IFERROR(IF(VLOOKUP($B643,Показатели!$E:$W,17,FALSE)=0,"",VLOOKUP($B643,Показатели!$E:$W,17,FALSE)),"")</f>
        <v>-4062862000</v>
      </c>
      <c r="U643">
        <f>IFERROR(IF(VLOOKUP($B643,Показатели!$E:$W,18,FALSE)=0,"",VLOOKUP($B643,Показатели!$E:$W,18,FALSE)),"")</f>
        <v>15842029000</v>
      </c>
      <c r="V643">
        <f>IFERROR(IF(VLOOKUP($B643,Показатели!$E:$W,19,FALSE)=0,"",VLOOKUP($B643,Показатели!$E:$W,19,FALSE)),"")</f>
        <v>34821734000</v>
      </c>
    </row>
    <row r="644" spans="1:22" x14ac:dyDescent="0.2">
      <c r="A644" s="7" t="s">
        <v>2319</v>
      </c>
      <c r="B644" t="str">
        <f t="shared" si="10"/>
        <v>PRMD IV кв. 2023</v>
      </c>
      <c r="C644">
        <v>2023</v>
      </c>
      <c r="D644">
        <f>SUMIFS(Дивиденды!$C:$C,Дивиденды!$A:$A,A644,Дивиденды!$I:$I,C644)</f>
        <v>0</v>
      </c>
      <c r="E644">
        <f>IFERROR(IF(VLOOKUP($B644,Показатели!$E:$W,2,FALSE)=0,"",VLOOKUP($B644,Показатели!$E:$W,2,FALSE)),"")</f>
        <v>621725000</v>
      </c>
      <c r="F644">
        <f>IFERROR(IF(VLOOKUP($B644,Показатели!$E:$W,3,FALSE)=0,"",VLOOKUP($B644,Показатели!$E:$W,3,FALSE)),"")</f>
        <v>15578319000</v>
      </c>
      <c r="G644">
        <f>IFERROR(IF(VLOOKUP($B644,Показатели!$E:$W,4,FALSE)=0,"",VLOOKUP($B644,Показатели!$E:$W,4,FALSE)),"")</f>
        <v>13054369000</v>
      </c>
      <c r="H644">
        <f>IFERROR(IF(VLOOKUP($B644,Показатели!$E:$W,5,FALSE)=0,"",VLOOKUP($B644,Показатели!$E:$W,5,FALSE)),"")</f>
        <v>4720222000</v>
      </c>
      <c r="I644">
        <f>IFERROR(IF(VLOOKUP($B644,Показатели!$E:$W,6,FALSE)=0,"",VLOOKUP($B644,Показатели!$E:$W,6,FALSE)),"")</f>
        <v>34821734000</v>
      </c>
      <c r="J644">
        <f>IFERROR(IF(VLOOKUP($B644,Показатели!$E:$W,7,FALSE)=0,"",VLOOKUP($B644,Показатели!$E:$W,7,FALSE)),"")</f>
        <v>5864929000</v>
      </c>
      <c r="K644">
        <f>IFERROR(IF(VLOOKUP($B644,Показатели!$E:$W,8,FALSE)=0,"",VLOOKUP($B644,Показатели!$E:$W,8,FALSE)),"")</f>
        <v>15952212000</v>
      </c>
      <c r="L644">
        <f>IFERROR(IF(VLOOKUP($B644,Показатели!$E:$W,9,FALSE)=0,"",VLOOKUP($B644,Показатели!$E:$W,9,FALSE)),"")</f>
        <v>12772871000</v>
      </c>
      <c r="M644">
        <f>IFERROR(IF(VLOOKUP($B644,Показатели!$E:$W,10,FALSE)=0,"",VLOOKUP($B644,Показатели!$E:$W,10,FALSE)),"")</f>
        <v>13004593000</v>
      </c>
      <c r="N644">
        <f>IFERROR(IF(VLOOKUP($B644,Показатели!$E:$W,11,FALSE)=0,"",VLOOKUP($B644,Показатели!$E:$W,11,FALSE)),"")</f>
        <v>15842029000</v>
      </c>
      <c r="O644">
        <f>IFERROR(IF(VLOOKUP($B644,Показатели!$E:$W,12,FALSE)=0,"",VLOOKUP($B644,Показатели!$E:$W,12,FALSE)),"")</f>
        <v>5598580000</v>
      </c>
      <c r="P644">
        <f>IFERROR(IF(VLOOKUP($B644,Показатели!$E:$W,13,FALSE)=0,"",VLOOKUP($B644,Показатели!$E:$W,13,FALSE)),"")</f>
        <v>4446391000</v>
      </c>
      <c r="Q644">
        <f>IFERROR(IF(VLOOKUP($B644,Показатели!$E:$W,14,FALSE)=0,"",VLOOKUP($B644,Показатели!$E:$W,14,FALSE)),"")</f>
        <v>2968815000</v>
      </c>
      <c r="R644">
        <f>IFERROR(IF(VLOOKUP($B644,Показатели!$E:$W,15,FALSE)=0,"",VLOOKUP($B644,Показатели!$E:$W,15,FALSE)),"")</f>
        <v>966435000</v>
      </c>
      <c r="S644" t="str">
        <f>IFERROR(IF(VLOOKUP($B644,Показатели!$E:$W,16,FALSE)=0,"",VLOOKUP($B644,Показатели!$E:$W,16,FALSE)),"")</f>
        <v/>
      </c>
      <c r="T644">
        <f>IFERROR(IF(VLOOKUP($B644,Показатели!$E:$W,17,FALSE)=0,"",VLOOKUP($B644,Показатели!$E:$W,17,FALSE)),"")</f>
        <v>-4422179000</v>
      </c>
      <c r="U644">
        <f>IFERROR(IF(VLOOKUP($B644,Показатели!$E:$W,18,FALSE)=0,"",VLOOKUP($B644,Показатели!$E:$W,18,FALSE)),"")</f>
        <v>13970794000</v>
      </c>
      <c r="V644">
        <f>IFERROR(IF(VLOOKUP($B644,Показатели!$E:$W,19,FALSE)=0,"",VLOOKUP($B644,Показатели!$E:$W,19,FALSE)),"")</f>
        <v>28517787000</v>
      </c>
    </row>
    <row r="645" spans="1:22" x14ac:dyDescent="0.2">
      <c r="A645" s="7" t="s">
        <v>2319</v>
      </c>
      <c r="B645" t="str">
        <f t="shared" si="10"/>
        <v>PRMD IV кв. 2022</v>
      </c>
      <c r="C645">
        <v>2022</v>
      </c>
      <c r="D645">
        <f>SUMIFS(Дивиденды!$C:$C,Дивиденды!$A:$A,A645,Дивиденды!$I:$I,C645)</f>
        <v>0</v>
      </c>
      <c r="E645">
        <f>IFERROR(IF(VLOOKUP($B645,Показатели!$E:$W,2,FALSE)=0,"",VLOOKUP($B645,Показатели!$E:$W,2,FALSE)),"")</f>
        <v>2136538000</v>
      </c>
      <c r="F645">
        <f>IFERROR(IF(VLOOKUP($B645,Показатели!$E:$W,3,FALSE)=0,"",VLOOKUP($B645,Показатели!$E:$W,3,FALSE)),"")</f>
        <v>14190986000</v>
      </c>
      <c r="G645">
        <f>IFERROR(IF(VLOOKUP($B645,Показатели!$E:$W,4,FALSE)=0,"",VLOOKUP($B645,Показатели!$E:$W,4,FALSE)),"")</f>
        <v>9827965000</v>
      </c>
      <c r="H645">
        <f>IFERROR(IF(VLOOKUP($B645,Показатели!$E:$W,5,FALSE)=0,"",VLOOKUP($B645,Показатели!$E:$W,5,FALSE)),"")</f>
        <v>3639440000</v>
      </c>
      <c r="I645">
        <f>IFERROR(IF(VLOOKUP($B645,Показатели!$E:$W,6,FALSE)=0,"",VLOOKUP($B645,Показатели!$E:$W,6,FALSE)),"")</f>
        <v>28517787000</v>
      </c>
      <c r="J645">
        <f>IFERROR(IF(VLOOKUP($B645,Показатели!$E:$W,7,FALSE)=0,"",VLOOKUP($B645,Показатели!$E:$W,7,FALSE)),"")</f>
        <v>8606375000</v>
      </c>
      <c r="K645">
        <f>IFERROR(IF(VLOOKUP($B645,Показатели!$E:$W,8,FALSE)=0,"",VLOOKUP($B645,Показатели!$E:$W,8,FALSE)),"")</f>
        <v>6850554000</v>
      </c>
      <c r="L645">
        <f>IFERROR(IF(VLOOKUP($B645,Показатели!$E:$W,9,FALSE)=0,"",VLOOKUP($B645,Показатели!$E:$W,9,FALSE)),"")</f>
        <v>12877140000</v>
      </c>
      <c r="M645">
        <f>IFERROR(IF(VLOOKUP($B645,Показатели!$E:$W,10,FALSE)=0,"",VLOOKUP($B645,Показатели!$E:$W,10,FALSE)),"")</f>
        <v>13060858000</v>
      </c>
      <c r="N645">
        <f>IFERROR(IF(VLOOKUP($B645,Показатели!$E:$W,11,FALSE)=0,"",VLOOKUP($B645,Показатели!$E:$W,11,FALSE)),"")</f>
        <v>13970794000</v>
      </c>
      <c r="O645">
        <f>IFERROR(IF(VLOOKUP($B645,Показатели!$E:$W,12,FALSE)=0,"",VLOOKUP($B645,Показатели!$E:$W,12,FALSE)),"")</f>
        <v>5647067000</v>
      </c>
      <c r="P645">
        <f>IFERROR(IF(VLOOKUP($B645,Показатели!$E:$W,13,FALSE)=0,"",VLOOKUP($B645,Показатели!$E:$W,13,FALSE)),"")</f>
        <v>5335282000</v>
      </c>
      <c r="Q645">
        <f>IFERROR(IF(VLOOKUP($B645,Показатели!$E:$W,14,FALSE)=0,"",VLOOKUP($B645,Показатели!$E:$W,14,FALSE)),"")</f>
        <v>4213091000</v>
      </c>
      <c r="R645">
        <f>IFERROR(IF(VLOOKUP($B645,Показатели!$E:$W,15,FALSE)=0,"",VLOOKUP($B645,Показатели!$E:$W,15,FALSE)),"")</f>
        <v>603289000</v>
      </c>
      <c r="S645" t="str">
        <f>IFERROR(IF(VLOOKUP($B645,Показатели!$E:$W,16,FALSE)=0,"",VLOOKUP($B645,Показатели!$E:$W,16,FALSE)),"")</f>
        <v/>
      </c>
      <c r="T645">
        <f>IFERROR(IF(VLOOKUP($B645,Показатели!$E:$W,17,FALSE)=0,"",VLOOKUP($B645,Показатели!$E:$W,17,FALSE)),"")</f>
        <v>-6645351000</v>
      </c>
      <c r="U645">
        <f>IFERROR(IF(VLOOKUP($B645,Показатели!$E:$W,18,FALSE)=0,"",VLOOKUP($B645,Показатели!$E:$W,18,FALSE)),"")</f>
        <v>16373277000</v>
      </c>
      <c r="V645">
        <f>IFERROR(IF(VLOOKUP($B645,Показатели!$E:$W,19,FALSE)=0,"",VLOOKUP($B645,Показатели!$E:$W,19,FALSE)),"")</f>
        <v>18708986000</v>
      </c>
    </row>
    <row r="646" spans="1:22" x14ac:dyDescent="0.2">
      <c r="A646" s="7" t="s">
        <v>2319</v>
      </c>
      <c r="B646" t="str">
        <f t="shared" si="10"/>
        <v>PRMD IV кв. 2021</v>
      </c>
      <c r="C646">
        <v>2021</v>
      </c>
      <c r="D646">
        <f>SUMIFS(Дивиденды!$C:$C,Дивиденды!$A:$A,A646,Дивиденды!$I:$I,C646)</f>
        <v>0</v>
      </c>
      <c r="E646">
        <f>IFERROR(IF(VLOOKUP($B646,Показатели!$E:$W,2,FALSE)=0,"",VLOOKUP($B646,Показатели!$E:$W,2,FALSE)),"")</f>
        <v>263242000</v>
      </c>
      <c r="F646">
        <f>IFERROR(IF(VLOOKUP($B646,Показатели!$E:$W,3,FALSE)=0,"",VLOOKUP($B646,Показатели!$E:$W,3,FALSE)),"")</f>
        <v>11593694000</v>
      </c>
      <c r="G646">
        <f>IFERROR(IF(VLOOKUP($B646,Показатели!$E:$W,4,FALSE)=0,"",VLOOKUP($B646,Показатели!$E:$W,4,FALSE)),"")</f>
        <v>4910492000</v>
      </c>
      <c r="H646">
        <f>IFERROR(IF(VLOOKUP($B646,Показатели!$E:$W,5,FALSE)=0,"",VLOOKUP($B646,Показатели!$E:$W,5,FALSE)),"")</f>
        <v>1715767000</v>
      </c>
      <c r="I646">
        <f>IFERROR(IF(VLOOKUP($B646,Показатели!$E:$W,6,FALSE)=0,"",VLOOKUP($B646,Показатели!$E:$W,6,FALSE)),"")</f>
        <v>18708986000</v>
      </c>
      <c r="J646">
        <f>IFERROR(IF(VLOOKUP($B646,Показатели!$E:$W,7,FALSE)=0,"",VLOOKUP($B646,Показатели!$E:$W,7,FALSE)),"")</f>
        <v>5865151000</v>
      </c>
      <c r="K646">
        <f>IFERROR(IF(VLOOKUP($B646,Показатели!$E:$W,8,FALSE)=0,"",VLOOKUP($B646,Показатели!$E:$W,8,FALSE)),"")</f>
        <v>3335328000</v>
      </c>
      <c r="L646">
        <f>IFERROR(IF(VLOOKUP($B646,Показатели!$E:$W,9,FALSE)=0,"",VLOOKUP($B646,Показатели!$E:$W,9,FALSE)),"")</f>
        <v>9308690000</v>
      </c>
      <c r="M646">
        <f>IFERROR(IF(VLOOKUP($B646,Показатели!$E:$W,10,FALSE)=0,"",VLOOKUP($B646,Показатели!$E:$W,10,FALSE)),"")</f>
        <v>9508507000</v>
      </c>
      <c r="N646">
        <f>IFERROR(IF(VLOOKUP($B646,Показатели!$E:$W,11,FALSE)=0,"",VLOOKUP($B646,Показатели!$E:$W,11,FALSE)),"")</f>
        <v>16373277000</v>
      </c>
      <c r="O646">
        <f>IFERROR(IF(VLOOKUP($B646,Показатели!$E:$W,12,FALSE)=0,"",VLOOKUP($B646,Показатели!$E:$W,12,FALSE)),"")</f>
        <v>7765370000</v>
      </c>
      <c r="P646">
        <f>IFERROR(IF(VLOOKUP($B646,Показатели!$E:$W,13,FALSE)=0,"",VLOOKUP($B646,Показатели!$E:$W,13,FALSE)),"")</f>
        <v>7409531000</v>
      </c>
      <c r="Q646">
        <f>IFERROR(IF(VLOOKUP($B646,Показатели!$E:$W,14,FALSE)=0,"",VLOOKUP($B646,Показатели!$E:$W,14,FALSE)),"")</f>
        <v>5890193000</v>
      </c>
      <c r="R646">
        <f>IFERROR(IF(VLOOKUP($B646,Показатели!$E:$W,15,FALSE)=0,"",VLOOKUP($B646,Показатели!$E:$W,15,FALSE)),"")</f>
        <v>406401000</v>
      </c>
      <c r="S646" t="str">
        <f>IFERROR(IF(VLOOKUP($B646,Показатели!$E:$W,16,FALSE)=0,"",VLOOKUP($B646,Показатели!$E:$W,16,FALSE)),"")</f>
        <v/>
      </c>
      <c r="T646">
        <f>IFERROR(IF(VLOOKUP($B646,Показатели!$E:$W,17,FALSE)=0,"",VLOOKUP($B646,Показатели!$E:$W,17,FALSE)),"")</f>
        <v>-3284668000</v>
      </c>
      <c r="U646" t="str">
        <f>IFERROR(IF(VLOOKUP($B646,Показатели!$E:$W,18,FALSE)=0,"",VLOOKUP($B646,Показатели!$E:$W,18,FALSE)),"")</f>
        <v/>
      </c>
      <c r="V646" t="str">
        <f>IFERROR(IF(VLOOKUP($B646,Показатели!$E:$W,19,FALSE)=0,"",VLOOKUP($B646,Показатели!$E:$W,19,FALSE)),"")</f>
        <v/>
      </c>
    </row>
    <row r="647" spans="1:22" x14ac:dyDescent="0.2">
      <c r="A647" s="7" t="s">
        <v>2319</v>
      </c>
      <c r="B647" t="str">
        <f t="shared" si="10"/>
        <v>PRMD IV кв. 2020</v>
      </c>
      <c r="C647">
        <v>2020</v>
      </c>
      <c r="D647">
        <f>SUMIFS(Дивиденды!$C:$C,Дивиденды!$A:$A,A647,Дивиденды!$I:$I,C647)</f>
        <v>0</v>
      </c>
      <c r="E647" t="str">
        <f>IFERROR(IF(VLOOKUP($B647,Показатели!$E:$W,2,FALSE)=0,"",VLOOKUP($B647,Показатели!$E:$W,2,FALSE)),"")</f>
        <v/>
      </c>
      <c r="F647" t="str">
        <f>IFERROR(IF(VLOOKUP($B647,Показатели!$E:$W,3,FALSE)=0,"",VLOOKUP($B647,Показатели!$E:$W,3,FALSE)),"")</f>
        <v/>
      </c>
      <c r="G647" t="str">
        <f>IFERROR(IF(VLOOKUP($B647,Показатели!$E:$W,4,FALSE)=0,"",VLOOKUP($B647,Показатели!$E:$W,4,FALSE)),"")</f>
        <v/>
      </c>
      <c r="H647" t="str">
        <f>IFERROR(IF(VLOOKUP($B647,Показатели!$E:$W,5,FALSE)=0,"",VLOOKUP($B647,Показатели!$E:$W,5,FALSE)),"")</f>
        <v/>
      </c>
      <c r="I647" t="str">
        <f>IFERROR(IF(VLOOKUP($B647,Показатели!$E:$W,6,FALSE)=0,"",VLOOKUP($B647,Показатели!$E:$W,6,FALSE)),"")</f>
        <v/>
      </c>
      <c r="J647" t="str">
        <f>IFERROR(IF(VLOOKUP($B647,Показатели!$E:$W,7,FALSE)=0,"",VLOOKUP($B647,Показатели!$E:$W,7,FALSE)),"")</f>
        <v/>
      </c>
      <c r="K647" t="str">
        <f>IFERROR(IF(VLOOKUP($B647,Показатели!$E:$W,8,FALSE)=0,"",VLOOKUP($B647,Показатели!$E:$W,8,FALSE)),"")</f>
        <v/>
      </c>
      <c r="L647" t="str">
        <f>IFERROR(IF(VLOOKUP($B647,Показатели!$E:$W,9,FALSE)=0,"",VLOOKUP($B647,Показатели!$E:$W,9,FALSE)),"")</f>
        <v/>
      </c>
      <c r="M647" t="str">
        <f>IFERROR(IF(VLOOKUP($B647,Показатели!$E:$W,10,FALSE)=0,"",VLOOKUP($B647,Показатели!$E:$W,10,FALSE)),"")</f>
        <v/>
      </c>
      <c r="N647" t="str">
        <f>IFERROR(IF(VLOOKUP($B647,Показатели!$E:$W,11,FALSE)=0,"",VLOOKUP($B647,Показатели!$E:$W,11,FALSE)),"")</f>
        <v/>
      </c>
      <c r="O647" t="str">
        <f>IFERROR(IF(VLOOKUP($B647,Показатели!$E:$W,12,FALSE)=0,"",VLOOKUP($B647,Показатели!$E:$W,12,FALSE)),"")</f>
        <v/>
      </c>
      <c r="P647" t="str">
        <f>IFERROR(IF(VLOOKUP($B647,Показатели!$E:$W,13,FALSE)=0,"",VLOOKUP($B647,Показатели!$E:$W,13,FALSE)),"")</f>
        <v/>
      </c>
      <c r="Q647" t="str">
        <f>IFERROR(IF(VLOOKUP($B647,Показатели!$E:$W,14,FALSE)=0,"",VLOOKUP($B647,Показатели!$E:$W,14,FALSE)),"")</f>
        <v/>
      </c>
      <c r="R647" t="str">
        <f>IFERROR(IF(VLOOKUP($B647,Показатели!$E:$W,15,FALSE)=0,"",VLOOKUP($B647,Показатели!$E:$W,15,FALSE)),"")</f>
        <v/>
      </c>
      <c r="S647" t="str">
        <f>IFERROR(IF(VLOOKUP($B647,Показатели!$E:$W,16,FALSE)=0,"",VLOOKUP($B647,Показатели!$E:$W,16,FALSE)),"")</f>
        <v/>
      </c>
      <c r="T647" t="str">
        <f>IFERROR(IF(VLOOKUP($B647,Показатели!$E:$W,17,FALSE)=0,"",VLOOKUP($B647,Показатели!$E:$W,17,FALSE)),"")</f>
        <v/>
      </c>
      <c r="U647" t="str">
        <f>IFERROR(IF(VLOOKUP($B647,Показатели!$E:$W,18,FALSE)=0,"",VLOOKUP($B647,Показатели!$E:$W,18,FALSE)),"")</f>
        <v/>
      </c>
      <c r="V647" t="str">
        <f>IFERROR(IF(VLOOKUP($B647,Показатели!$E:$W,19,FALSE)=0,"",VLOOKUP($B647,Показатели!$E:$W,19,FALSE)),"")</f>
        <v/>
      </c>
    </row>
    <row r="648" spans="1:22" x14ac:dyDescent="0.2">
      <c r="A648" s="7" t="s">
        <v>2319</v>
      </c>
      <c r="B648" t="str">
        <f t="shared" si="10"/>
        <v>PRMD IV кв. 2019</v>
      </c>
      <c r="C648">
        <v>2019</v>
      </c>
      <c r="D648">
        <f>SUMIFS(Дивиденды!$C:$C,Дивиденды!$A:$A,A648,Дивиденды!$I:$I,C648)</f>
        <v>0</v>
      </c>
      <c r="E648" t="str">
        <f>IFERROR(IF(VLOOKUP($B648,Показатели!$E:$W,2,FALSE)=0,"",VLOOKUP($B648,Показатели!$E:$W,2,FALSE)),"")</f>
        <v/>
      </c>
      <c r="F648" t="str">
        <f>IFERROR(IF(VLOOKUP($B648,Показатели!$E:$W,3,FALSE)=0,"",VLOOKUP($B648,Показатели!$E:$W,3,FALSE)),"")</f>
        <v/>
      </c>
      <c r="G648" t="str">
        <f>IFERROR(IF(VLOOKUP($B648,Показатели!$E:$W,4,FALSE)=0,"",VLOOKUP($B648,Показатели!$E:$W,4,FALSE)),"")</f>
        <v/>
      </c>
      <c r="H648" t="str">
        <f>IFERROR(IF(VLOOKUP($B648,Показатели!$E:$W,5,FALSE)=0,"",VLOOKUP($B648,Показатели!$E:$W,5,FALSE)),"")</f>
        <v/>
      </c>
      <c r="I648" t="str">
        <f>IFERROR(IF(VLOOKUP($B648,Показатели!$E:$W,6,FALSE)=0,"",VLOOKUP($B648,Показатели!$E:$W,6,FALSE)),"")</f>
        <v/>
      </c>
      <c r="J648" t="str">
        <f>IFERROR(IF(VLOOKUP($B648,Показатели!$E:$W,7,FALSE)=0,"",VLOOKUP($B648,Показатели!$E:$W,7,FALSE)),"")</f>
        <v/>
      </c>
      <c r="K648" t="str">
        <f>IFERROR(IF(VLOOKUP($B648,Показатели!$E:$W,8,FALSE)=0,"",VLOOKUP($B648,Показатели!$E:$W,8,FALSE)),"")</f>
        <v/>
      </c>
      <c r="L648" t="str">
        <f>IFERROR(IF(VLOOKUP($B648,Показатели!$E:$W,9,FALSE)=0,"",VLOOKUP($B648,Показатели!$E:$W,9,FALSE)),"")</f>
        <v/>
      </c>
      <c r="M648" t="str">
        <f>IFERROR(IF(VLOOKUP($B648,Показатели!$E:$W,10,FALSE)=0,"",VLOOKUP($B648,Показатели!$E:$W,10,FALSE)),"")</f>
        <v/>
      </c>
      <c r="N648" t="str">
        <f>IFERROR(IF(VLOOKUP($B648,Показатели!$E:$W,11,FALSE)=0,"",VLOOKUP($B648,Показатели!$E:$W,11,FALSE)),"")</f>
        <v/>
      </c>
      <c r="O648" t="str">
        <f>IFERROR(IF(VLOOKUP($B648,Показатели!$E:$W,12,FALSE)=0,"",VLOOKUP($B648,Показатели!$E:$W,12,FALSE)),"")</f>
        <v/>
      </c>
      <c r="P648" t="str">
        <f>IFERROR(IF(VLOOKUP($B648,Показатели!$E:$W,13,FALSE)=0,"",VLOOKUP($B648,Показатели!$E:$W,13,FALSE)),"")</f>
        <v/>
      </c>
      <c r="Q648" t="str">
        <f>IFERROR(IF(VLOOKUP($B648,Показатели!$E:$W,14,FALSE)=0,"",VLOOKUP($B648,Показатели!$E:$W,14,FALSE)),"")</f>
        <v/>
      </c>
      <c r="R648" t="str">
        <f>IFERROR(IF(VLOOKUP($B648,Показатели!$E:$W,15,FALSE)=0,"",VLOOKUP($B648,Показатели!$E:$W,15,FALSE)),"")</f>
        <v/>
      </c>
      <c r="S648" t="str">
        <f>IFERROR(IF(VLOOKUP($B648,Показатели!$E:$W,16,FALSE)=0,"",VLOOKUP($B648,Показатели!$E:$W,16,FALSE)),"")</f>
        <v/>
      </c>
      <c r="T648" t="str">
        <f>IFERROR(IF(VLOOKUP($B648,Показатели!$E:$W,17,FALSE)=0,"",VLOOKUP($B648,Показатели!$E:$W,17,FALSE)),"")</f>
        <v/>
      </c>
      <c r="U648" t="str">
        <f>IFERROR(IF(VLOOKUP($B648,Показатели!$E:$W,18,FALSE)=0,"",VLOOKUP($B648,Показатели!$E:$W,18,FALSE)),"")</f>
        <v/>
      </c>
      <c r="V648" t="str">
        <f>IFERROR(IF(VLOOKUP($B648,Показатели!$E:$W,19,FALSE)=0,"",VLOOKUP($B648,Показатели!$E:$W,19,FALSE)),"")</f>
        <v/>
      </c>
    </row>
    <row r="649" spans="1:22" x14ac:dyDescent="0.2">
      <c r="A649" s="7" t="s">
        <v>2319</v>
      </c>
      <c r="B649" t="str">
        <f t="shared" si="10"/>
        <v>PRMD IV кв. 2018</v>
      </c>
      <c r="C649">
        <v>2018</v>
      </c>
      <c r="D649">
        <f>SUMIFS(Дивиденды!$C:$C,Дивиденды!$A:$A,A649,Дивиденды!$I:$I,C649)</f>
        <v>0</v>
      </c>
      <c r="E649" t="str">
        <f>IFERROR(IF(VLOOKUP($B649,Показатели!$E:$W,2,FALSE)=0,"",VLOOKUP($B649,Показатели!$E:$W,2,FALSE)),"")</f>
        <v/>
      </c>
      <c r="F649" t="str">
        <f>IFERROR(IF(VLOOKUP($B649,Показатели!$E:$W,3,FALSE)=0,"",VLOOKUP($B649,Показатели!$E:$W,3,FALSE)),"")</f>
        <v/>
      </c>
      <c r="G649" t="str">
        <f>IFERROR(IF(VLOOKUP($B649,Показатели!$E:$W,4,FALSE)=0,"",VLOOKUP($B649,Показатели!$E:$W,4,FALSE)),"")</f>
        <v/>
      </c>
      <c r="H649" t="str">
        <f>IFERROR(IF(VLOOKUP($B649,Показатели!$E:$W,5,FALSE)=0,"",VLOOKUP($B649,Показатели!$E:$W,5,FALSE)),"")</f>
        <v/>
      </c>
      <c r="I649" t="str">
        <f>IFERROR(IF(VLOOKUP($B649,Показатели!$E:$W,6,FALSE)=0,"",VLOOKUP($B649,Показатели!$E:$W,6,FALSE)),"")</f>
        <v/>
      </c>
      <c r="J649" t="str">
        <f>IFERROR(IF(VLOOKUP($B649,Показатели!$E:$W,7,FALSE)=0,"",VLOOKUP($B649,Показатели!$E:$W,7,FALSE)),"")</f>
        <v/>
      </c>
      <c r="K649" t="str">
        <f>IFERROR(IF(VLOOKUP($B649,Показатели!$E:$W,8,FALSE)=0,"",VLOOKUP($B649,Показатели!$E:$W,8,FALSE)),"")</f>
        <v/>
      </c>
      <c r="L649" t="str">
        <f>IFERROR(IF(VLOOKUP($B649,Показатели!$E:$W,9,FALSE)=0,"",VLOOKUP($B649,Показатели!$E:$W,9,FALSE)),"")</f>
        <v/>
      </c>
      <c r="M649" t="str">
        <f>IFERROR(IF(VLOOKUP($B649,Показатели!$E:$W,10,FALSE)=0,"",VLOOKUP($B649,Показатели!$E:$W,10,FALSE)),"")</f>
        <v/>
      </c>
      <c r="N649" t="str">
        <f>IFERROR(IF(VLOOKUP($B649,Показатели!$E:$W,11,FALSE)=0,"",VLOOKUP($B649,Показатели!$E:$W,11,FALSE)),"")</f>
        <v/>
      </c>
      <c r="O649" t="str">
        <f>IFERROR(IF(VLOOKUP($B649,Показатели!$E:$W,12,FALSE)=0,"",VLOOKUP($B649,Показатели!$E:$W,12,FALSE)),"")</f>
        <v/>
      </c>
      <c r="P649" t="str">
        <f>IFERROR(IF(VLOOKUP($B649,Показатели!$E:$W,13,FALSE)=0,"",VLOOKUP($B649,Показатели!$E:$W,13,FALSE)),"")</f>
        <v/>
      </c>
      <c r="Q649" t="str">
        <f>IFERROR(IF(VLOOKUP($B649,Показатели!$E:$W,14,FALSE)=0,"",VLOOKUP($B649,Показатели!$E:$W,14,FALSE)),"")</f>
        <v/>
      </c>
      <c r="R649" t="str">
        <f>IFERROR(IF(VLOOKUP($B649,Показатели!$E:$W,15,FALSE)=0,"",VLOOKUP($B649,Показатели!$E:$W,15,FALSE)),"")</f>
        <v/>
      </c>
      <c r="S649" t="str">
        <f>IFERROR(IF(VLOOKUP($B649,Показатели!$E:$W,16,FALSE)=0,"",VLOOKUP($B649,Показатели!$E:$W,16,FALSE)),"")</f>
        <v/>
      </c>
      <c r="T649" t="str">
        <f>IFERROR(IF(VLOOKUP($B649,Показатели!$E:$W,17,FALSE)=0,"",VLOOKUP($B649,Показатели!$E:$W,17,FALSE)),"")</f>
        <v/>
      </c>
      <c r="U649" t="str">
        <f>IFERROR(IF(VLOOKUP($B649,Показатели!$E:$W,18,FALSE)=0,"",VLOOKUP($B649,Показатели!$E:$W,18,FALSE)),"")</f>
        <v/>
      </c>
      <c r="V649" t="str">
        <f>IFERROR(IF(VLOOKUP($B649,Показатели!$E:$W,19,FALSE)=0,"",VLOOKUP($B649,Показатели!$E:$W,19,FALSE)),"")</f>
        <v/>
      </c>
    </row>
    <row r="650" spans="1:22" x14ac:dyDescent="0.2">
      <c r="A650" s="7" t="s">
        <v>2319</v>
      </c>
      <c r="B650" t="str">
        <f t="shared" si="10"/>
        <v>PRMD IV кв. 2017</v>
      </c>
      <c r="C650">
        <v>2017</v>
      </c>
      <c r="D650">
        <f>SUMIFS(Дивиденды!$C:$C,Дивиденды!$A:$A,A650,Дивиденды!$I:$I,C650)</f>
        <v>0</v>
      </c>
      <c r="E650" t="str">
        <f>IFERROR(IF(VLOOKUP($B650,Показатели!$E:$W,2,FALSE)=0,"",VLOOKUP($B650,Показатели!$E:$W,2,FALSE)),"")</f>
        <v/>
      </c>
      <c r="F650" t="str">
        <f>IFERROR(IF(VLOOKUP($B650,Показатели!$E:$W,3,FALSE)=0,"",VLOOKUP($B650,Показатели!$E:$W,3,FALSE)),"")</f>
        <v/>
      </c>
      <c r="G650" t="str">
        <f>IFERROR(IF(VLOOKUP($B650,Показатели!$E:$W,4,FALSE)=0,"",VLOOKUP($B650,Показатели!$E:$W,4,FALSE)),"")</f>
        <v/>
      </c>
      <c r="H650" t="str">
        <f>IFERROR(IF(VLOOKUP($B650,Показатели!$E:$W,5,FALSE)=0,"",VLOOKUP($B650,Показатели!$E:$W,5,FALSE)),"")</f>
        <v/>
      </c>
      <c r="I650" t="str">
        <f>IFERROR(IF(VLOOKUP($B650,Показатели!$E:$W,6,FALSE)=0,"",VLOOKUP($B650,Показатели!$E:$W,6,FALSE)),"")</f>
        <v/>
      </c>
      <c r="J650" t="str">
        <f>IFERROR(IF(VLOOKUP($B650,Показатели!$E:$W,7,FALSE)=0,"",VLOOKUP($B650,Показатели!$E:$W,7,FALSE)),"")</f>
        <v/>
      </c>
      <c r="K650" t="str">
        <f>IFERROR(IF(VLOOKUP($B650,Показатели!$E:$W,8,FALSE)=0,"",VLOOKUP($B650,Показатели!$E:$W,8,FALSE)),"")</f>
        <v/>
      </c>
      <c r="L650" t="str">
        <f>IFERROR(IF(VLOOKUP($B650,Показатели!$E:$W,9,FALSE)=0,"",VLOOKUP($B650,Показатели!$E:$W,9,FALSE)),"")</f>
        <v/>
      </c>
      <c r="M650" t="str">
        <f>IFERROR(IF(VLOOKUP($B650,Показатели!$E:$W,10,FALSE)=0,"",VLOOKUP($B650,Показатели!$E:$W,10,FALSE)),"")</f>
        <v/>
      </c>
      <c r="N650" t="str">
        <f>IFERROR(IF(VLOOKUP($B650,Показатели!$E:$W,11,FALSE)=0,"",VLOOKUP($B650,Показатели!$E:$W,11,FALSE)),"")</f>
        <v/>
      </c>
      <c r="O650" t="str">
        <f>IFERROR(IF(VLOOKUP($B650,Показатели!$E:$W,12,FALSE)=0,"",VLOOKUP($B650,Показатели!$E:$W,12,FALSE)),"")</f>
        <v/>
      </c>
      <c r="P650" t="str">
        <f>IFERROR(IF(VLOOKUP($B650,Показатели!$E:$W,13,FALSE)=0,"",VLOOKUP($B650,Показатели!$E:$W,13,FALSE)),"")</f>
        <v/>
      </c>
      <c r="Q650" t="str">
        <f>IFERROR(IF(VLOOKUP($B650,Показатели!$E:$W,14,FALSE)=0,"",VLOOKUP($B650,Показатели!$E:$W,14,FALSE)),"")</f>
        <v/>
      </c>
      <c r="R650" t="str">
        <f>IFERROR(IF(VLOOKUP($B650,Показатели!$E:$W,15,FALSE)=0,"",VLOOKUP($B650,Показатели!$E:$W,15,FALSE)),"")</f>
        <v/>
      </c>
      <c r="S650" t="str">
        <f>IFERROR(IF(VLOOKUP($B650,Показатели!$E:$W,16,FALSE)=0,"",VLOOKUP($B650,Показатели!$E:$W,16,FALSE)),"")</f>
        <v/>
      </c>
      <c r="T650" t="str">
        <f>IFERROR(IF(VLOOKUP($B650,Показатели!$E:$W,17,FALSE)=0,"",VLOOKUP($B650,Показатели!$E:$W,17,FALSE)),"")</f>
        <v/>
      </c>
      <c r="U650" t="str">
        <f>IFERROR(IF(VLOOKUP($B650,Показатели!$E:$W,18,FALSE)=0,"",VLOOKUP($B650,Показатели!$E:$W,18,FALSE)),"")</f>
        <v/>
      </c>
      <c r="V650" t="str">
        <f>IFERROR(IF(VLOOKUP($B650,Показатели!$E:$W,19,FALSE)=0,"",VLOOKUP($B650,Показатели!$E:$W,19,FALSE)),"")</f>
        <v/>
      </c>
    </row>
    <row r="651" spans="1:22" x14ac:dyDescent="0.2">
      <c r="A651" s="7" t="s">
        <v>2319</v>
      </c>
      <c r="B651" t="str">
        <f t="shared" si="10"/>
        <v>PRMD IV кв. 2016</v>
      </c>
      <c r="C651">
        <v>2016</v>
      </c>
      <c r="D651">
        <f>SUMIFS(Дивиденды!$C:$C,Дивиденды!$A:$A,A651,Дивиденды!$I:$I,C651)</f>
        <v>0</v>
      </c>
      <c r="E651" t="str">
        <f>IFERROR(IF(VLOOKUP($B651,Показатели!$E:$W,2,FALSE)=0,"",VLOOKUP($B651,Показатели!$E:$W,2,FALSE)),"")</f>
        <v/>
      </c>
      <c r="F651" t="str">
        <f>IFERROR(IF(VLOOKUP($B651,Показатели!$E:$W,3,FALSE)=0,"",VLOOKUP($B651,Показатели!$E:$W,3,FALSE)),"")</f>
        <v/>
      </c>
      <c r="G651" t="str">
        <f>IFERROR(IF(VLOOKUP($B651,Показатели!$E:$W,4,FALSE)=0,"",VLOOKUP($B651,Показатели!$E:$W,4,FALSE)),"")</f>
        <v/>
      </c>
      <c r="H651" t="str">
        <f>IFERROR(IF(VLOOKUP($B651,Показатели!$E:$W,5,FALSE)=0,"",VLOOKUP($B651,Показатели!$E:$W,5,FALSE)),"")</f>
        <v/>
      </c>
      <c r="I651" t="str">
        <f>IFERROR(IF(VLOOKUP($B651,Показатели!$E:$W,6,FALSE)=0,"",VLOOKUP($B651,Показатели!$E:$W,6,FALSE)),"")</f>
        <v/>
      </c>
      <c r="J651" t="str">
        <f>IFERROR(IF(VLOOKUP($B651,Показатели!$E:$W,7,FALSE)=0,"",VLOOKUP($B651,Показатели!$E:$W,7,FALSE)),"")</f>
        <v/>
      </c>
      <c r="K651" t="str">
        <f>IFERROR(IF(VLOOKUP($B651,Показатели!$E:$W,8,FALSE)=0,"",VLOOKUP($B651,Показатели!$E:$W,8,FALSE)),"")</f>
        <v/>
      </c>
      <c r="L651" t="str">
        <f>IFERROR(IF(VLOOKUP($B651,Показатели!$E:$W,9,FALSE)=0,"",VLOOKUP($B651,Показатели!$E:$W,9,FALSE)),"")</f>
        <v/>
      </c>
      <c r="M651" t="str">
        <f>IFERROR(IF(VLOOKUP($B651,Показатели!$E:$W,10,FALSE)=0,"",VLOOKUP($B651,Показатели!$E:$W,10,FALSE)),"")</f>
        <v/>
      </c>
      <c r="N651" t="str">
        <f>IFERROR(IF(VLOOKUP($B651,Показатели!$E:$W,11,FALSE)=0,"",VLOOKUP($B651,Показатели!$E:$W,11,FALSE)),"")</f>
        <v/>
      </c>
      <c r="O651" t="str">
        <f>IFERROR(IF(VLOOKUP($B651,Показатели!$E:$W,12,FALSE)=0,"",VLOOKUP($B651,Показатели!$E:$W,12,FALSE)),"")</f>
        <v/>
      </c>
      <c r="P651" t="str">
        <f>IFERROR(IF(VLOOKUP($B651,Показатели!$E:$W,13,FALSE)=0,"",VLOOKUP($B651,Показатели!$E:$W,13,FALSE)),"")</f>
        <v/>
      </c>
      <c r="Q651" t="str">
        <f>IFERROR(IF(VLOOKUP($B651,Показатели!$E:$W,14,FALSE)=0,"",VLOOKUP($B651,Показатели!$E:$W,14,FALSE)),"")</f>
        <v/>
      </c>
      <c r="R651" t="str">
        <f>IFERROR(IF(VLOOKUP($B651,Показатели!$E:$W,15,FALSE)=0,"",VLOOKUP($B651,Показатели!$E:$W,15,FALSE)),"")</f>
        <v/>
      </c>
      <c r="S651" t="str">
        <f>IFERROR(IF(VLOOKUP($B651,Показатели!$E:$W,16,FALSE)=0,"",VLOOKUP($B651,Показатели!$E:$W,16,FALSE)),"")</f>
        <v/>
      </c>
      <c r="T651" t="str">
        <f>IFERROR(IF(VLOOKUP($B651,Показатели!$E:$W,17,FALSE)=0,"",VLOOKUP($B651,Показатели!$E:$W,17,FALSE)),"")</f>
        <v/>
      </c>
      <c r="U651" t="str">
        <f>IFERROR(IF(VLOOKUP($B651,Показатели!$E:$W,18,FALSE)=0,"",VLOOKUP($B651,Показатели!$E:$W,18,FALSE)),"")</f>
        <v/>
      </c>
      <c r="V651" t="str">
        <f>IFERROR(IF(VLOOKUP($B651,Показатели!$E:$W,19,FALSE)=0,"",VLOOKUP($B651,Показатели!$E:$W,19,FALSE)),"")</f>
        <v/>
      </c>
    </row>
    <row r="652" spans="1:22" x14ac:dyDescent="0.2">
      <c r="A652" s="7" t="s">
        <v>2319</v>
      </c>
      <c r="B652" t="str">
        <f t="shared" si="10"/>
        <v>PRMD IV кв. 2015</v>
      </c>
      <c r="C652">
        <v>2015</v>
      </c>
      <c r="D652">
        <f>SUMIFS(Дивиденды!$C:$C,Дивиденды!$A:$A,A652,Дивиденды!$I:$I,C652)</f>
        <v>0</v>
      </c>
      <c r="E652" t="str">
        <f>IFERROR(IF(VLOOKUP($B652,Показатели!$E:$W,2,FALSE)=0,"",VLOOKUP($B652,Показатели!$E:$W,2,FALSE)),"")</f>
        <v/>
      </c>
      <c r="F652" t="str">
        <f>IFERROR(IF(VLOOKUP($B652,Показатели!$E:$W,3,FALSE)=0,"",VLOOKUP($B652,Показатели!$E:$W,3,FALSE)),"")</f>
        <v/>
      </c>
      <c r="G652" t="str">
        <f>IFERROR(IF(VLOOKUP($B652,Показатели!$E:$W,4,FALSE)=0,"",VLOOKUP($B652,Показатели!$E:$W,4,FALSE)),"")</f>
        <v/>
      </c>
      <c r="H652" t="str">
        <f>IFERROR(IF(VLOOKUP($B652,Показатели!$E:$W,5,FALSE)=0,"",VLOOKUP($B652,Показатели!$E:$W,5,FALSE)),"")</f>
        <v/>
      </c>
      <c r="I652" t="str">
        <f>IFERROR(IF(VLOOKUP($B652,Показатели!$E:$W,6,FALSE)=0,"",VLOOKUP($B652,Показатели!$E:$W,6,FALSE)),"")</f>
        <v/>
      </c>
      <c r="J652" t="str">
        <f>IFERROR(IF(VLOOKUP($B652,Показатели!$E:$W,7,FALSE)=0,"",VLOOKUP($B652,Показатели!$E:$W,7,FALSE)),"")</f>
        <v/>
      </c>
      <c r="K652" t="str">
        <f>IFERROR(IF(VLOOKUP($B652,Показатели!$E:$W,8,FALSE)=0,"",VLOOKUP($B652,Показатели!$E:$W,8,FALSE)),"")</f>
        <v/>
      </c>
      <c r="L652" t="str">
        <f>IFERROR(IF(VLOOKUP($B652,Показатели!$E:$W,9,FALSE)=0,"",VLOOKUP($B652,Показатели!$E:$W,9,FALSE)),"")</f>
        <v/>
      </c>
      <c r="M652" t="str">
        <f>IFERROR(IF(VLOOKUP($B652,Показатели!$E:$W,10,FALSE)=0,"",VLOOKUP($B652,Показатели!$E:$W,10,FALSE)),"")</f>
        <v/>
      </c>
      <c r="N652" t="str">
        <f>IFERROR(IF(VLOOKUP($B652,Показатели!$E:$W,11,FALSE)=0,"",VLOOKUP($B652,Показатели!$E:$W,11,FALSE)),"")</f>
        <v/>
      </c>
      <c r="O652" t="str">
        <f>IFERROR(IF(VLOOKUP($B652,Показатели!$E:$W,12,FALSE)=0,"",VLOOKUP($B652,Показатели!$E:$W,12,FALSE)),"")</f>
        <v/>
      </c>
      <c r="P652" t="str">
        <f>IFERROR(IF(VLOOKUP($B652,Показатели!$E:$W,13,FALSE)=0,"",VLOOKUP($B652,Показатели!$E:$W,13,FALSE)),"")</f>
        <v/>
      </c>
      <c r="Q652" t="str">
        <f>IFERROR(IF(VLOOKUP($B652,Показатели!$E:$W,14,FALSE)=0,"",VLOOKUP($B652,Показатели!$E:$W,14,FALSE)),"")</f>
        <v/>
      </c>
      <c r="R652" t="str">
        <f>IFERROR(IF(VLOOKUP($B652,Показатели!$E:$W,15,FALSE)=0,"",VLOOKUP($B652,Показатели!$E:$W,15,FALSE)),"")</f>
        <v/>
      </c>
      <c r="S652" t="str">
        <f>IFERROR(IF(VLOOKUP($B652,Показатели!$E:$W,16,FALSE)=0,"",VLOOKUP($B652,Показатели!$E:$W,16,FALSE)),"")</f>
        <v/>
      </c>
      <c r="T652" t="str">
        <f>IFERROR(IF(VLOOKUP($B652,Показатели!$E:$W,17,FALSE)=0,"",VLOOKUP($B652,Показатели!$E:$W,17,FALSE)),"")</f>
        <v/>
      </c>
      <c r="U652" t="str">
        <f>IFERROR(IF(VLOOKUP($B652,Показатели!$E:$W,18,FALSE)=0,"",VLOOKUP($B652,Показатели!$E:$W,18,FALSE)),"")</f>
        <v/>
      </c>
      <c r="V652" t="str">
        <f>IFERROR(IF(VLOOKUP($B652,Показатели!$E:$W,19,FALSE)=0,"",VLOOKUP($B652,Показатели!$E:$W,19,FALSE)),"")</f>
        <v/>
      </c>
    </row>
    <row r="653" spans="1:22" x14ac:dyDescent="0.2">
      <c r="A653" s="7" t="s">
        <v>2319</v>
      </c>
      <c r="B653" t="str">
        <f t="shared" si="10"/>
        <v>PRMD IV кв. 2014</v>
      </c>
      <c r="C653">
        <v>2014</v>
      </c>
      <c r="D653">
        <f>SUMIFS(Дивиденды!$C:$C,Дивиденды!$A:$A,A653,Дивиденды!$I:$I,C653)</f>
        <v>0</v>
      </c>
      <c r="E653" t="str">
        <f>IFERROR(IF(VLOOKUP($B653,Показатели!$E:$W,2,FALSE)=0,"",VLOOKUP($B653,Показатели!$E:$W,2,FALSE)),"")</f>
        <v/>
      </c>
      <c r="F653" t="str">
        <f>IFERROR(IF(VLOOKUP($B653,Показатели!$E:$W,3,FALSE)=0,"",VLOOKUP($B653,Показатели!$E:$W,3,FALSE)),"")</f>
        <v/>
      </c>
      <c r="G653" t="str">
        <f>IFERROR(IF(VLOOKUP($B653,Показатели!$E:$W,4,FALSE)=0,"",VLOOKUP($B653,Показатели!$E:$W,4,FALSE)),"")</f>
        <v/>
      </c>
      <c r="H653" t="str">
        <f>IFERROR(IF(VLOOKUP($B653,Показатели!$E:$W,5,FALSE)=0,"",VLOOKUP($B653,Показатели!$E:$W,5,FALSE)),"")</f>
        <v/>
      </c>
      <c r="I653" t="str">
        <f>IFERROR(IF(VLOOKUP($B653,Показатели!$E:$W,6,FALSE)=0,"",VLOOKUP($B653,Показатели!$E:$W,6,FALSE)),"")</f>
        <v/>
      </c>
      <c r="J653" t="str">
        <f>IFERROR(IF(VLOOKUP($B653,Показатели!$E:$W,7,FALSE)=0,"",VLOOKUP($B653,Показатели!$E:$W,7,FALSE)),"")</f>
        <v/>
      </c>
      <c r="K653" t="str">
        <f>IFERROR(IF(VLOOKUP($B653,Показатели!$E:$W,8,FALSE)=0,"",VLOOKUP($B653,Показатели!$E:$W,8,FALSE)),"")</f>
        <v/>
      </c>
      <c r="L653" t="str">
        <f>IFERROR(IF(VLOOKUP($B653,Показатели!$E:$W,9,FALSE)=0,"",VLOOKUP($B653,Показатели!$E:$W,9,FALSE)),"")</f>
        <v/>
      </c>
      <c r="M653" t="str">
        <f>IFERROR(IF(VLOOKUP($B653,Показатели!$E:$W,10,FALSE)=0,"",VLOOKUP($B653,Показатели!$E:$W,10,FALSE)),"")</f>
        <v/>
      </c>
      <c r="N653" t="str">
        <f>IFERROR(IF(VLOOKUP($B653,Показатели!$E:$W,11,FALSE)=0,"",VLOOKUP($B653,Показатели!$E:$W,11,FALSE)),"")</f>
        <v/>
      </c>
      <c r="O653" t="str">
        <f>IFERROR(IF(VLOOKUP($B653,Показатели!$E:$W,12,FALSE)=0,"",VLOOKUP($B653,Показатели!$E:$W,12,FALSE)),"")</f>
        <v/>
      </c>
      <c r="P653" t="str">
        <f>IFERROR(IF(VLOOKUP($B653,Показатели!$E:$W,13,FALSE)=0,"",VLOOKUP($B653,Показатели!$E:$W,13,FALSE)),"")</f>
        <v/>
      </c>
      <c r="Q653" t="str">
        <f>IFERROR(IF(VLOOKUP($B653,Показатели!$E:$W,14,FALSE)=0,"",VLOOKUP($B653,Показатели!$E:$W,14,FALSE)),"")</f>
        <v/>
      </c>
      <c r="R653" t="str">
        <f>IFERROR(IF(VLOOKUP($B653,Показатели!$E:$W,15,FALSE)=0,"",VLOOKUP($B653,Показатели!$E:$W,15,FALSE)),"")</f>
        <v/>
      </c>
      <c r="S653" t="str">
        <f>IFERROR(IF(VLOOKUP($B653,Показатели!$E:$W,16,FALSE)=0,"",VLOOKUP($B653,Показатели!$E:$W,16,FALSE)),"")</f>
        <v/>
      </c>
      <c r="T653" t="str">
        <f>IFERROR(IF(VLOOKUP($B653,Показатели!$E:$W,17,FALSE)=0,"",VLOOKUP($B653,Показатели!$E:$W,17,FALSE)),"")</f>
        <v/>
      </c>
      <c r="U653" t="str">
        <f>IFERROR(IF(VLOOKUP($B653,Показатели!$E:$W,18,FALSE)=0,"",VLOOKUP($B653,Показатели!$E:$W,18,FALSE)),"")</f>
        <v/>
      </c>
      <c r="V653" t="str">
        <f>IFERROR(IF(VLOOKUP($B653,Показатели!$E:$W,19,FALSE)=0,"",VLOOKUP($B653,Показатели!$E:$W,19,FALSE)),"")</f>
        <v/>
      </c>
    </row>
    <row r="654" spans="1:22" x14ac:dyDescent="0.2">
      <c r="A654" s="7" t="s">
        <v>2319</v>
      </c>
      <c r="B654" t="str">
        <f t="shared" si="10"/>
        <v>PRMD IV кв. 2013</v>
      </c>
      <c r="C654">
        <v>2013</v>
      </c>
      <c r="D654">
        <f>SUMIFS(Дивиденды!$C:$C,Дивиденды!$A:$A,A654,Дивиденды!$I:$I,C654)</f>
        <v>0</v>
      </c>
      <c r="E654" t="str">
        <f>IFERROR(IF(VLOOKUP($B654,Показатели!$E:$W,2,FALSE)=0,"",VLOOKUP($B654,Показатели!$E:$W,2,FALSE)),"")</f>
        <v/>
      </c>
      <c r="F654" t="str">
        <f>IFERROR(IF(VLOOKUP($B654,Показатели!$E:$W,3,FALSE)=0,"",VLOOKUP($B654,Показатели!$E:$W,3,FALSE)),"")</f>
        <v/>
      </c>
      <c r="G654" t="str">
        <f>IFERROR(IF(VLOOKUP($B654,Показатели!$E:$W,4,FALSE)=0,"",VLOOKUP($B654,Показатели!$E:$W,4,FALSE)),"")</f>
        <v/>
      </c>
      <c r="H654" t="str">
        <f>IFERROR(IF(VLOOKUP($B654,Показатели!$E:$W,5,FALSE)=0,"",VLOOKUP($B654,Показатели!$E:$W,5,FALSE)),"")</f>
        <v/>
      </c>
      <c r="I654" t="str">
        <f>IFERROR(IF(VLOOKUP($B654,Показатели!$E:$W,6,FALSE)=0,"",VLOOKUP($B654,Показатели!$E:$W,6,FALSE)),"")</f>
        <v/>
      </c>
      <c r="J654" t="str">
        <f>IFERROR(IF(VLOOKUP($B654,Показатели!$E:$W,7,FALSE)=0,"",VLOOKUP($B654,Показатели!$E:$W,7,FALSE)),"")</f>
        <v/>
      </c>
      <c r="K654" t="str">
        <f>IFERROR(IF(VLOOKUP($B654,Показатели!$E:$W,8,FALSE)=0,"",VLOOKUP($B654,Показатели!$E:$W,8,FALSE)),"")</f>
        <v/>
      </c>
      <c r="L654" t="str">
        <f>IFERROR(IF(VLOOKUP($B654,Показатели!$E:$W,9,FALSE)=0,"",VLOOKUP($B654,Показатели!$E:$W,9,FALSE)),"")</f>
        <v/>
      </c>
      <c r="M654" t="str">
        <f>IFERROR(IF(VLOOKUP($B654,Показатели!$E:$W,10,FALSE)=0,"",VLOOKUP($B654,Показатели!$E:$W,10,FALSE)),"")</f>
        <v/>
      </c>
      <c r="N654" t="str">
        <f>IFERROR(IF(VLOOKUP($B654,Показатели!$E:$W,11,FALSE)=0,"",VLOOKUP($B654,Показатели!$E:$W,11,FALSE)),"")</f>
        <v/>
      </c>
      <c r="O654" t="str">
        <f>IFERROR(IF(VLOOKUP($B654,Показатели!$E:$W,12,FALSE)=0,"",VLOOKUP($B654,Показатели!$E:$W,12,FALSE)),"")</f>
        <v/>
      </c>
      <c r="P654" t="str">
        <f>IFERROR(IF(VLOOKUP($B654,Показатели!$E:$W,13,FALSE)=0,"",VLOOKUP($B654,Показатели!$E:$W,13,FALSE)),"")</f>
        <v/>
      </c>
      <c r="Q654" t="str">
        <f>IFERROR(IF(VLOOKUP($B654,Показатели!$E:$W,14,FALSE)=0,"",VLOOKUP($B654,Показатели!$E:$W,14,FALSE)),"")</f>
        <v/>
      </c>
      <c r="R654" t="str">
        <f>IFERROR(IF(VLOOKUP($B654,Показатели!$E:$W,15,FALSE)=0,"",VLOOKUP($B654,Показатели!$E:$W,15,FALSE)),"")</f>
        <v/>
      </c>
      <c r="S654" t="str">
        <f>IFERROR(IF(VLOOKUP($B654,Показатели!$E:$W,16,FALSE)=0,"",VLOOKUP($B654,Показатели!$E:$W,16,FALSE)),"")</f>
        <v/>
      </c>
      <c r="T654" t="str">
        <f>IFERROR(IF(VLOOKUP($B654,Показатели!$E:$W,17,FALSE)=0,"",VLOOKUP($B654,Показатели!$E:$W,17,FALSE)),"")</f>
        <v/>
      </c>
      <c r="U654" t="str">
        <f>IFERROR(IF(VLOOKUP($B654,Показатели!$E:$W,18,FALSE)=0,"",VLOOKUP($B654,Показатели!$E:$W,18,FALSE)),"")</f>
        <v/>
      </c>
      <c r="V654" t="str">
        <f>IFERROR(IF(VLOOKUP($B654,Показатели!$E:$W,19,FALSE)=0,"",VLOOKUP($B654,Показатели!$E:$W,19,FALSE)),"")</f>
        <v/>
      </c>
    </row>
    <row r="655" spans="1:22" x14ac:dyDescent="0.2">
      <c r="A655" s="7" t="s">
        <v>2319</v>
      </c>
      <c r="B655" t="str">
        <f t="shared" si="10"/>
        <v>PRMD IV кв. 2012</v>
      </c>
      <c r="C655">
        <v>2012</v>
      </c>
      <c r="D655">
        <f>SUMIFS(Дивиденды!$C:$C,Дивиденды!$A:$A,A655,Дивиденды!$I:$I,C655)</f>
        <v>0</v>
      </c>
      <c r="E655" t="str">
        <f>IFERROR(IF(VLOOKUP($B655,Показатели!$E:$W,2,FALSE)=0,"",VLOOKUP($B655,Показатели!$E:$W,2,FALSE)),"")</f>
        <v/>
      </c>
      <c r="F655" t="str">
        <f>IFERROR(IF(VLOOKUP($B655,Показатели!$E:$W,3,FALSE)=0,"",VLOOKUP($B655,Показатели!$E:$W,3,FALSE)),"")</f>
        <v/>
      </c>
      <c r="G655" t="str">
        <f>IFERROR(IF(VLOOKUP($B655,Показатели!$E:$W,4,FALSE)=0,"",VLOOKUP($B655,Показатели!$E:$W,4,FALSE)),"")</f>
        <v/>
      </c>
      <c r="H655" t="str">
        <f>IFERROR(IF(VLOOKUP($B655,Показатели!$E:$W,5,FALSE)=0,"",VLOOKUP($B655,Показатели!$E:$W,5,FALSE)),"")</f>
        <v/>
      </c>
      <c r="I655" t="str">
        <f>IFERROR(IF(VLOOKUP($B655,Показатели!$E:$W,6,FALSE)=0,"",VLOOKUP($B655,Показатели!$E:$W,6,FALSE)),"")</f>
        <v/>
      </c>
      <c r="J655" t="str">
        <f>IFERROR(IF(VLOOKUP($B655,Показатели!$E:$W,7,FALSE)=0,"",VLOOKUP($B655,Показатели!$E:$W,7,FALSE)),"")</f>
        <v/>
      </c>
      <c r="K655" t="str">
        <f>IFERROR(IF(VLOOKUP($B655,Показатели!$E:$W,8,FALSE)=0,"",VLOOKUP($B655,Показатели!$E:$W,8,FALSE)),"")</f>
        <v/>
      </c>
      <c r="L655" t="str">
        <f>IFERROR(IF(VLOOKUP($B655,Показатели!$E:$W,9,FALSE)=0,"",VLOOKUP($B655,Показатели!$E:$W,9,FALSE)),"")</f>
        <v/>
      </c>
      <c r="M655" t="str">
        <f>IFERROR(IF(VLOOKUP($B655,Показатели!$E:$W,10,FALSE)=0,"",VLOOKUP($B655,Показатели!$E:$W,10,FALSE)),"")</f>
        <v/>
      </c>
      <c r="N655" t="str">
        <f>IFERROR(IF(VLOOKUP($B655,Показатели!$E:$W,11,FALSE)=0,"",VLOOKUP($B655,Показатели!$E:$W,11,FALSE)),"")</f>
        <v/>
      </c>
      <c r="O655" t="str">
        <f>IFERROR(IF(VLOOKUP($B655,Показатели!$E:$W,12,FALSE)=0,"",VLOOKUP($B655,Показатели!$E:$W,12,FALSE)),"")</f>
        <v/>
      </c>
      <c r="P655" t="str">
        <f>IFERROR(IF(VLOOKUP($B655,Показатели!$E:$W,13,FALSE)=0,"",VLOOKUP($B655,Показатели!$E:$W,13,FALSE)),"")</f>
        <v/>
      </c>
      <c r="Q655" t="str">
        <f>IFERROR(IF(VLOOKUP($B655,Показатели!$E:$W,14,FALSE)=0,"",VLOOKUP($B655,Показатели!$E:$W,14,FALSE)),"")</f>
        <v/>
      </c>
      <c r="R655" t="str">
        <f>IFERROR(IF(VLOOKUP($B655,Показатели!$E:$W,15,FALSE)=0,"",VLOOKUP($B655,Показатели!$E:$W,15,FALSE)),"")</f>
        <v/>
      </c>
      <c r="S655" t="str">
        <f>IFERROR(IF(VLOOKUP($B655,Показатели!$E:$W,16,FALSE)=0,"",VLOOKUP($B655,Показатели!$E:$W,16,FALSE)),"")</f>
        <v/>
      </c>
      <c r="T655" t="str">
        <f>IFERROR(IF(VLOOKUP($B655,Показатели!$E:$W,17,FALSE)=0,"",VLOOKUP($B655,Показатели!$E:$W,17,FALSE)),"")</f>
        <v/>
      </c>
      <c r="U655" t="str">
        <f>IFERROR(IF(VLOOKUP($B655,Показатели!$E:$W,18,FALSE)=0,"",VLOOKUP($B655,Показатели!$E:$W,18,FALSE)),"")</f>
        <v/>
      </c>
      <c r="V655" t="str">
        <f>IFERROR(IF(VLOOKUP($B655,Показатели!$E:$W,19,FALSE)=0,"",VLOOKUP($B655,Показатели!$E:$W,19,FALSE)),"")</f>
        <v/>
      </c>
    </row>
    <row r="656" spans="1:22" x14ac:dyDescent="0.2">
      <c r="A656" s="7" t="s">
        <v>2319</v>
      </c>
      <c r="B656" t="str">
        <f t="shared" si="10"/>
        <v>PRMD IV кв. 2011</v>
      </c>
      <c r="C656">
        <v>2011</v>
      </c>
      <c r="D656">
        <f>SUMIFS(Дивиденды!$C:$C,Дивиденды!$A:$A,A656,Дивиденды!$I:$I,C656)</f>
        <v>0</v>
      </c>
      <c r="E656" t="str">
        <f>IFERROR(IF(VLOOKUP($B656,Показатели!$E:$W,2,FALSE)=0,"",VLOOKUP($B656,Показатели!$E:$W,2,FALSE)),"")</f>
        <v/>
      </c>
      <c r="F656" t="str">
        <f>IFERROR(IF(VLOOKUP($B656,Показатели!$E:$W,3,FALSE)=0,"",VLOOKUP($B656,Показатели!$E:$W,3,FALSE)),"")</f>
        <v/>
      </c>
      <c r="G656" t="str">
        <f>IFERROR(IF(VLOOKUP($B656,Показатели!$E:$W,4,FALSE)=0,"",VLOOKUP($B656,Показатели!$E:$W,4,FALSE)),"")</f>
        <v/>
      </c>
      <c r="H656" t="str">
        <f>IFERROR(IF(VLOOKUP($B656,Показатели!$E:$W,5,FALSE)=0,"",VLOOKUP($B656,Показатели!$E:$W,5,FALSE)),"")</f>
        <v/>
      </c>
      <c r="I656" t="str">
        <f>IFERROR(IF(VLOOKUP($B656,Показатели!$E:$W,6,FALSE)=0,"",VLOOKUP($B656,Показатели!$E:$W,6,FALSE)),"")</f>
        <v/>
      </c>
      <c r="J656" t="str">
        <f>IFERROR(IF(VLOOKUP($B656,Показатели!$E:$W,7,FALSE)=0,"",VLOOKUP($B656,Показатели!$E:$W,7,FALSE)),"")</f>
        <v/>
      </c>
      <c r="K656" t="str">
        <f>IFERROR(IF(VLOOKUP($B656,Показатели!$E:$W,8,FALSE)=0,"",VLOOKUP($B656,Показатели!$E:$W,8,FALSE)),"")</f>
        <v/>
      </c>
      <c r="L656" t="str">
        <f>IFERROR(IF(VLOOKUP($B656,Показатели!$E:$W,9,FALSE)=0,"",VLOOKUP($B656,Показатели!$E:$W,9,FALSE)),"")</f>
        <v/>
      </c>
      <c r="M656" t="str">
        <f>IFERROR(IF(VLOOKUP($B656,Показатели!$E:$W,10,FALSE)=0,"",VLOOKUP($B656,Показатели!$E:$W,10,FALSE)),"")</f>
        <v/>
      </c>
      <c r="N656" t="str">
        <f>IFERROR(IF(VLOOKUP($B656,Показатели!$E:$W,11,FALSE)=0,"",VLOOKUP($B656,Показатели!$E:$W,11,FALSE)),"")</f>
        <v/>
      </c>
      <c r="O656" t="str">
        <f>IFERROR(IF(VLOOKUP($B656,Показатели!$E:$W,12,FALSE)=0,"",VLOOKUP($B656,Показатели!$E:$W,12,FALSE)),"")</f>
        <v/>
      </c>
      <c r="P656" t="str">
        <f>IFERROR(IF(VLOOKUP($B656,Показатели!$E:$W,13,FALSE)=0,"",VLOOKUP($B656,Показатели!$E:$W,13,FALSE)),"")</f>
        <v/>
      </c>
      <c r="Q656" t="str">
        <f>IFERROR(IF(VLOOKUP($B656,Показатели!$E:$W,14,FALSE)=0,"",VLOOKUP($B656,Показатели!$E:$W,14,FALSE)),"")</f>
        <v/>
      </c>
      <c r="R656" t="str">
        <f>IFERROR(IF(VLOOKUP($B656,Показатели!$E:$W,15,FALSE)=0,"",VLOOKUP($B656,Показатели!$E:$W,15,FALSE)),"")</f>
        <v/>
      </c>
      <c r="S656" t="str">
        <f>IFERROR(IF(VLOOKUP($B656,Показатели!$E:$W,16,FALSE)=0,"",VLOOKUP($B656,Показатели!$E:$W,16,FALSE)),"")</f>
        <v/>
      </c>
      <c r="T656" t="str">
        <f>IFERROR(IF(VLOOKUP($B656,Показатели!$E:$W,17,FALSE)=0,"",VLOOKUP($B656,Показатели!$E:$W,17,FALSE)),"")</f>
        <v/>
      </c>
      <c r="U656" t="str">
        <f>IFERROR(IF(VLOOKUP($B656,Показатели!$E:$W,18,FALSE)=0,"",VLOOKUP($B656,Показатели!$E:$W,18,FALSE)),"")</f>
        <v/>
      </c>
      <c r="V656" t="str">
        <f>IFERROR(IF(VLOOKUP($B656,Показатели!$E:$W,19,FALSE)=0,"",VLOOKUP($B656,Показатели!$E:$W,19,FALSE)),"")</f>
        <v/>
      </c>
    </row>
    <row r="657" spans="1:22" x14ac:dyDescent="0.2">
      <c r="A657" s="7" t="s">
        <v>2319</v>
      </c>
      <c r="B657" t="str">
        <f t="shared" si="10"/>
        <v>PRMD IV кв. 2010</v>
      </c>
      <c r="C657">
        <v>2010</v>
      </c>
      <c r="D657">
        <f>SUMIFS(Дивиденды!$C:$C,Дивиденды!$A:$A,A657,Дивиденды!$I:$I,C657)</f>
        <v>0</v>
      </c>
      <c r="E657" t="str">
        <f>IFERROR(IF(VLOOKUP($B657,Показатели!$E:$W,2,FALSE)=0,"",VLOOKUP($B657,Показатели!$E:$W,2,FALSE)),"")</f>
        <v/>
      </c>
      <c r="F657" t="str">
        <f>IFERROR(IF(VLOOKUP($B657,Показатели!$E:$W,3,FALSE)=0,"",VLOOKUP($B657,Показатели!$E:$W,3,FALSE)),"")</f>
        <v/>
      </c>
      <c r="G657" t="str">
        <f>IFERROR(IF(VLOOKUP($B657,Показатели!$E:$W,4,FALSE)=0,"",VLOOKUP($B657,Показатели!$E:$W,4,FALSE)),"")</f>
        <v/>
      </c>
      <c r="H657" t="str">
        <f>IFERROR(IF(VLOOKUP($B657,Показатели!$E:$W,5,FALSE)=0,"",VLOOKUP($B657,Показатели!$E:$W,5,FALSE)),"")</f>
        <v/>
      </c>
      <c r="I657" t="str">
        <f>IFERROR(IF(VLOOKUP($B657,Показатели!$E:$W,6,FALSE)=0,"",VLOOKUP($B657,Показатели!$E:$W,6,FALSE)),"")</f>
        <v/>
      </c>
      <c r="J657" t="str">
        <f>IFERROR(IF(VLOOKUP($B657,Показатели!$E:$W,7,FALSE)=0,"",VLOOKUP($B657,Показатели!$E:$W,7,FALSE)),"")</f>
        <v/>
      </c>
      <c r="K657" t="str">
        <f>IFERROR(IF(VLOOKUP($B657,Показатели!$E:$W,8,FALSE)=0,"",VLOOKUP($B657,Показатели!$E:$W,8,FALSE)),"")</f>
        <v/>
      </c>
      <c r="L657" t="str">
        <f>IFERROR(IF(VLOOKUP($B657,Показатели!$E:$W,9,FALSE)=0,"",VLOOKUP($B657,Показатели!$E:$W,9,FALSE)),"")</f>
        <v/>
      </c>
      <c r="M657" t="str">
        <f>IFERROR(IF(VLOOKUP($B657,Показатели!$E:$W,10,FALSE)=0,"",VLOOKUP($B657,Показатели!$E:$W,10,FALSE)),"")</f>
        <v/>
      </c>
      <c r="N657" t="str">
        <f>IFERROR(IF(VLOOKUP($B657,Показатели!$E:$W,11,FALSE)=0,"",VLOOKUP($B657,Показатели!$E:$W,11,FALSE)),"")</f>
        <v/>
      </c>
      <c r="O657" t="str">
        <f>IFERROR(IF(VLOOKUP($B657,Показатели!$E:$W,12,FALSE)=0,"",VLOOKUP($B657,Показатели!$E:$W,12,FALSE)),"")</f>
        <v/>
      </c>
      <c r="P657" t="str">
        <f>IFERROR(IF(VLOOKUP($B657,Показатели!$E:$W,13,FALSE)=0,"",VLOOKUP($B657,Показатели!$E:$W,13,FALSE)),"")</f>
        <v/>
      </c>
      <c r="Q657" t="str">
        <f>IFERROR(IF(VLOOKUP($B657,Показатели!$E:$W,14,FALSE)=0,"",VLOOKUP($B657,Показатели!$E:$W,14,FALSE)),"")</f>
        <v/>
      </c>
      <c r="R657" t="str">
        <f>IFERROR(IF(VLOOKUP($B657,Показатели!$E:$W,15,FALSE)=0,"",VLOOKUP($B657,Показатели!$E:$W,15,FALSE)),"")</f>
        <v/>
      </c>
      <c r="S657" t="str">
        <f>IFERROR(IF(VLOOKUP($B657,Показатели!$E:$W,16,FALSE)=0,"",VLOOKUP($B657,Показатели!$E:$W,16,FALSE)),"")</f>
        <v/>
      </c>
      <c r="T657" t="str">
        <f>IFERROR(IF(VLOOKUP($B657,Показатели!$E:$W,17,FALSE)=0,"",VLOOKUP($B657,Показатели!$E:$W,17,FALSE)),"")</f>
        <v/>
      </c>
      <c r="U657" t="str">
        <f>IFERROR(IF(VLOOKUP($B657,Показатели!$E:$W,18,FALSE)=0,"",VLOOKUP($B657,Показатели!$E:$W,18,FALSE)),"")</f>
        <v/>
      </c>
      <c r="V657" t="str">
        <f>IFERROR(IF(VLOOKUP($B657,Показатели!$E:$W,19,FALSE)=0,"",VLOOKUP($B657,Показатели!$E:$W,19,FALSE)),"")</f>
        <v/>
      </c>
    </row>
    <row r="658" spans="1:22" x14ac:dyDescent="0.2">
      <c r="A658" s="8" t="s">
        <v>2320</v>
      </c>
      <c r="B658" t="str">
        <f t="shared" si="10"/>
        <v>RAGR IV кв. 2025</v>
      </c>
      <c r="C658" s="8">
        <v>2025</v>
      </c>
      <c r="D658">
        <f>SUMIFS(Дивиденды!$C:$C,Дивиденды!$A:$A,A658,Дивиденды!$I:$I,C658)</f>
        <v>0</v>
      </c>
      <c r="E658">
        <f>IFERROR(IF(VLOOKUP($B658,Показатели!$E:$W,2,FALSE)=0,"",VLOOKUP($B658,Показатели!$E:$W,2,FALSE)),"")</f>
        <v>14560243000</v>
      </c>
      <c r="F658">
        <f>IFERROR(IF(VLOOKUP($B658,Показатели!$E:$W,3,FALSE)=0,"",VLOOKUP($B658,Показатели!$E:$W,3,FALSE)),"")</f>
        <v>269778789000</v>
      </c>
      <c r="G658">
        <f>IFERROR(IF(VLOOKUP($B658,Показатели!$E:$W,4,FALSE)=0,"",VLOOKUP($B658,Показатели!$E:$W,4,FALSE)),"")</f>
        <v>210637858000</v>
      </c>
      <c r="H658">
        <f>IFERROR(IF(VLOOKUP($B658,Показатели!$E:$W,5,FALSE)=0,"",VLOOKUP($B658,Показатели!$E:$W,5,FALSE)),"")</f>
        <v>12826748000</v>
      </c>
      <c r="I658">
        <f>IFERROR(IF(VLOOKUP($B658,Показатели!$E:$W,6,FALSE)=0,"",VLOOKUP($B658,Показатели!$E:$W,6,FALSE)),"")</f>
        <v>551166166000</v>
      </c>
      <c r="J658">
        <f>IFERROR(IF(VLOOKUP($B658,Показатели!$E:$W,7,FALSE)=0,"",VLOOKUP($B658,Показатели!$E:$W,7,FALSE)),"")</f>
        <v>195038898000</v>
      </c>
      <c r="K658">
        <f>IFERROR(IF(VLOOKUP($B658,Показатели!$E:$W,8,FALSE)=0,"",VLOOKUP($B658,Показатели!$E:$W,8,FALSE)),"")</f>
        <v>95748597000</v>
      </c>
      <c r="L658">
        <f>IFERROR(IF(VLOOKUP($B658,Показатели!$E:$W,9,FALSE)=0,"",VLOOKUP($B658,Показатели!$E:$W,9,FALSE)),"")</f>
        <v>233531805000</v>
      </c>
      <c r="M658">
        <f>IFERROR(IF(VLOOKUP($B658,Показатели!$E:$W,10,FALSE)=0,"",VLOOKUP($B658,Показатели!$E:$W,10,FALSE)),"")</f>
        <v>260378671000</v>
      </c>
      <c r="N658">
        <f>IFERROR(IF(VLOOKUP($B658,Показатели!$E:$W,11,FALSE)=0,"",VLOOKUP($B658,Показатели!$E:$W,11,FALSE)),"")</f>
        <v>396450473000</v>
      </c>
      <c r="O658">
        <f>IFERROR(IF(VLOOKUP($B658,Показатели!$E:$W,12,FALSE)=0,"",VLOOKUP($B658,Показатели!$E:$W,12,FALSE)),"")</f>
        <v>37284923000</v>
      </c>
      <c r="P658">
        <f>IFERROR(IF(VLOOKUP($B658,Показатели!$E:$W,13,FALSE)=0,"",VLOOKUP($B658,Показатели!$E:$W,13,FALSE)),"")</f>
        <v>24940999000</v>
      </c>
      <c r="Q658">
        <f>IFERROR(IF(VLOOKUP($B658,Показатели!$E:$W,14,FALSE)=0,"",VLOOKUP($B658,Показатели!$E:$W,14,FALSE)),"")</f>
        <v>19956647000</v>
      </c>
      <c r="R658">
        <f>IFERROR(IF(VLOOKUP($B658,Показатели!$E:$W,15,FALSE)=0,"",VLOOKUP($B658,Показатели!$E:$W,15,FALSE)),"")</f>
        <v>19315967000</v>
      </c>
      <c r="S658">
        <f>IFERROR(IF(VLOOKUP($B658,Показатели!$E:$W,16,FALSE)=0,"",VLOOKUP($B658,Показатели!$E:$W,16,FALSE)),"")</f>
        <v>55970753000</v>
      </c>
      <c r="T658">
        <f>IFERROR(IF(VLOOKUP($B658,Показатели!$E:$W,17,FALSE)=0,"",VLOOKUP($B658,Показатели!$E:$W,17,FALSE)),"")</f>
        <v>-35519786000</v>
      </c>
      <c r="U658">
        <f>IFERROR(IF(VLOOKUP($B658,Показатели!$E:$W,18,FALSE)=0,"",VLOOKUP($B658,Показатели!$E:$W,18,FALSE)),"")</f>
        <v>340089483000</v>
      </c>
      <c r="V658">
        <f>IFERROR(IF(VLOOKUP($B658,Показатели!$E:$W,19,FALSE)=0,"",VLOOKUP($B658,Показатели!$E:$W,19,FALSE)),"")</f>
        <v>488244736000</v>
      </c>
    </row>
    <row r="659" spans="1:22" x14ac:dyDescent="0.2">
      <c r="A659" s="8" t="s">
        <v>2320</v>
      </c>
      <c r="B659" t="str">
        <f t="shared" si="10"/>
        <v>RAGR IV кв. 2024</v>
      </c>
      <c r="C659" s="8">
        <v>2024</v>
      </c>
      <c r="D659">
        <f>SUMIFS(Дивиденды!$C:$C,Дивиденды!$A:$A,A659,Дивиденды!$I:$I,C659)</f>
        <v>0</v>
      </c>
      <c r="E659">
        <f>IFERROR(IF(VLOOKUP($B659,Показатели!$E:$W,2,FALSE)=0,"",VLOOKUP($B659,Показатели!$E:$W,2,FALSE)),"")</f>
        <v>33329058000</v>
      </c>
      <c r="F659">
        <f>IFERROR(IF(VLOOKUP($B659,Показатели!$E:$W,3,FALSE)=0,"",VLOOKUP($B659,Показатели!$E:$W,3,FALSE)),"")</f>
        <v>246549715000</v>
      </c>
      <c r="G659">
        <f>IFERROR(IF(VLOOKUP($B659,Показатели!$E:$W,4,FALSE)=0,"",VLOOKUP($B659,Показатели!$E:$W,4,FALSE)),"")</f>
        <v>170662564000</v>
      </c>
      <c r="H659">
        <f>IFERROR(IF(VLOOKUP($B659,Показатели!$E:$W,5,FALSE)=0,"",VLOOKUP($B659,Показатели!$E:$W,5,FALSE)),"")</f>
        <v>11799065000</v>
      </c>
      <c r="I659">
        <f>IFERROR(IF(VLOOKUP($B659,Показатели!$E:$W,6,FALSE)=0,"",VLOOKUP($B659,Показатели!$E:$W,6,FALSE)),"")</f>
        <v>488244736000</v>
      </c>
      <c r="J659">
        <f>IFERROR(IF(VLOOKUP($B659,Показатели!$E:$W,7,FALSE)=0,"",VLOOKUP($B659,Показатели!$E:$W,7,FALSE)),"")</f>
        <v>164725620000</v>
      </c>
      <c r="K659">
        <f>IFERROR(IF(VLOOKUP($B659,Показатели!$E:$W,8,FALSE)=0,"",VLOOKUP($B659,Показатели!$E:$W,8,FALSE)),"")</f>
        <v>96388714000</v>
      </c>
      <c r="L659">
        <f>IFERROR(IF(VLOOKUP($B659,Показатели!$E:$W,9,FALSE)=0,"",VLOOKUP($B659,Показатели!$E:$W,9,FALSE)),"")</f>
        <v>205403170000</v>
      </c>
      <c r="M659">
        <f>IFERROR(IF(VLOOKUP($B659,Показатели!$E:$W,10,FALSE)=0,"",VLOOKUP($B659,Показатели!$E:$W,10,FALSE)),"")</f>
        <v>227130402000</v>
      </c>
      <c r="N659">
        <f>IFERROR(IF(VLOOKUP($B659,Показатели!$E:$W,11,FALSE)=0,"",VLOOKUP($B659,Показатели!$E:$W,11,FALSE)),"")</f>
        <v>340089483000</v>
      </c>
      <c r="O659">
        <f>IFERROR(IF(VLOOKUP($B659,Показатели!$E:$W,12,FALSE)=0,"",VLOOKUP($B659,Показатели!$E:$W,12,FALSE)),"")</f>
        <v>38888907000</v>
      </c>
      <c r="P659">
        <f>IFERROR(IF(VLOOKUP($B659,Показатели!$E:$W,13,FALSE)=0,"",VLOOKUP($B659,Показатели!$E:$W,13,FALSE)),"")</f>
        <v>38753258000</v>
      </c>
      <c r="Q659">
        <f>IFERROR(IF(VLOOKUP($B659,Показатели!$E:$W,14,FALSE)=0,"",VLOOKUP($B659,Показатели!$E:$W,14,FALSE)),"")</f>
        <v>31577017000</v>
      </c>
      <c r="R659">
        <f>IFERROR(IF(VLOOKUP($B659,Показатели!$E:$W,15,FALSE)=0,"",VLOOKUP($B659,Показатели!$E:$W,15,FALSE)),"")</f>
        <v>14318899000</v>
      </c>
      <c r="S659">
        <f>IFERROR(IF(VLOOKUP($B659,Показатели!$E:$W,16,FALSE)=0,"",VLOOKUP($B659,Показатели!$E:$W,16,FALSE)),"")</f>
        <v>52990068000</v>
      </c>
      <c r="T659">
        <f>IFERROR(IF(VLOOKUP($B659,Показатели!$E:$W,17,FALSE)=0,"",VLOOKUP($B659,Показатели!$E:$W,17,FALSE)),"")</f>
        <v>-29577140000</v>
      </c>
      <c r="U659">
        <f>IFERROR(IF(VLOOKUP($B659,Показатели!$E:$W,18,FALSE)=0,"",VLOOKUP($B659,Показатели!$E:$W,18,FALSE)),"")</f>
        <v>248113822000</v>
      </c>
      <c r="V659">
        <f>IFERROR(IF(VLOOKUP($B659,Показатели!$E:$W,19,FALSE)=0,"",VLOOKUP($B659,Показатели!$E:$W,19,FALSE)),"")</f>
        <v>328138439000</v>
      </c>
    </row>
    <row r="660" spans="1:22" x14ac:dyDescent="0.2">
      <c r="A660" s="8" t="s">
        <v>2320</v>
      </c>
      <c r="B660" t="str">
        <f t="shared" si="10"/>
        <v>RAGR IV кв. 2023</v>
      </c>
      <c r="C660" s="8">
        <v>2023</v>
      </c>
      <c r="D660">
        <f>SUMIFS(Дивиденды!$C:$C,Дивиденды!$A:$A,A660,Дивиденды!$I:$I,C660)</f>
        <v>0</v>
      </c>
      <c r="E660">
        <f>IFERROR(IF(VLOOKUP($B660,Показатели!$E:$W,2,FALSE)=0,"",VLOOKUP($B660,Показатели!$E:$W,2,FALSE)),"")</f>
        <v>1862986000</v>
      </c>
      <c r="F660">
        <f>IFERROR(IF(VLOOKUP($B660,Показатели!$E:$W,3,FALSE)=0,"",VLOOKUP($B660,Показатели!$E:$W,3,FALSE)),"")</f>
        <v>139302358000</v>
      </c>
      <c r="G660">
        <f>IFERROR(IF(VLOOKUP($B660,Показатели!$E:$W,4,FALSE)=0,"",VLOOKUP($B660,Показатели!$E:$W,4,FALSE)),"")</f>
        <v>126609728000</v>
      </c>
      <c r="H660">
        <f>IFERROR(IF(VLOOKUP($B660,Показатели!$E:$W,5,FALSE)=0,"",VLOOKUP($B660,Показатели!$E:$W,5,FALSE)),"")</f>
        <v>3943209000</v>
      </c>
      <c r="I660">
        <f>IFERROR(IF(VLOOKUP($B660,Показатели!$E:$W,6,FALSE)=0,"",VLOOKUP($B660,Показатели!$E:$W,6,FALSE)),"")</f>
        <v>328138439000</v>
      </c>
      <c r="J660">
        <f>IFERROR(IF(VLOOKUP($B660,Показатели!$E:$W,7,FALSE)=0,"",VLOOKUP($B660,Показатели!$E:$W,7,FALSE)),"")</f>
        <v>100260956000</v>
      </c>
      <c r="K660">
        <f>IFERROR(IF(VLOOKUP($B660,Показатели!$E:$W,8,FALSE)=0,"",VLOOKUP($B660,Показатели!$E:$W,8,FALSE)),"")</f>
        <v>76639019000</v>
      </c>
      <c r="L660">
        <f>IFERROR(IF(VLOOKUP($B660,Показатели!$E:$W,9,FALSE)=0,"",VLOOKUP($B660,Показатели!$E:$W,9,FALSE)),"")</f>
        <v>148873963000</v>
      </c>
      <c r="M660">
        <f>IFERROR(IF(VLOOKUP($B660,Показатели!$E:$W,10,FALSE)=0,"",VLOOKUP($B660,Показатели!$E:$W,10,FALSE)),"")</f>
        <v>151238464000</v>
      </c>
      <c r="N660">
        <f>IFERROR(IF(VLOOKUP($B660,Показатели!$E:$W,11,FALSE)=0,"",VLOOKUP($B660,Показатели!$E:$W,11,FALSE)),"")</f>
        <v>248113822000</v>
      </c>
      <c r="O660">
        <f>IFERROR(IF(VLOOKUP($B660,Показатели!$E:$W,12,FALSE)=0,"",VLOOKUP($B660,Показатели!$E:$W,12,FALSE)),"")</f>
        <v>43178348000</v>
      </c>
      <c r="P660">
        <f>IFERROR(IF(VLOOKUP($B660,Показатели!$E:$W,13,FALSE)=0,"",VLOOKUP($B660,Показатели!$E:$W,13,FALSE)),"")</f>
        <v>46881703000</v>
      </c>
      <c r="Q660">
        <f>IFERROR(IF(VLOOKUP($B660,Показатели!$E:$W,14,FALSE)=0,"",VLOOKUP($B660,Показатели!$E:$W,14,FALSE)),"")</f>
        <v>40213681000</v>
      </c>
      <c r="R660">
        <f>IFERROR(IF(VLOOKUP($B660,Показатели!$E:$W,15,FALSE)=0,"",VLOOKUP($B660,Показатели!$E:$W,15,FALSE)),"")</f>
        <v>15023959000</v>
      </c>
      <c r="S660">
        <f>IFERROR(IF(VLOOKUP($B660,Показатели!$E:$W,16,FALSE)=0,"",VLOOKUP($B660,Показатели!$E:$W,16,FALSE)),"")</f>
        <v>51139375000</v>
      </c>
      <c r="T660">
        <f>IFERROR(IF(VLOOKUP($B660,Показатели!$E:$W,17,FALSE)=0,"",VLOOKUP($B660,Показатели!$E:$W,17,FALSE)),"")</f>
        <v>-18530610000</v>
      </c>
      <c r="U660">
        <f>IFERROR(IF(VLOOKUP($B660,Показатели!$E:$W,18,FALSE)=0,"",VLOOKUP($B660,Показатели!$E:$W,18,FALSE)),"")</f>
        <v>236956166000</v>
      </c>
      <c r="V660">
        <f>IFERROR(IF(VLOOKUP($B660,Показатели!$E:$W,19,FALSE)=0,"",VLOOKUP($B660,Показатели!$E:$W,19,FALSE)),"")</f>
        <v>420781586000</v>
      </c>
    </row>
    <row r="661" spans="1:22" x14ac:dyDescent="0.2">
      <c r="A661" s="8" t="s">
        <v>2320</v>
      </c>
      <c r="B661" t="str">
        <f t="shared" si="10"/>
        <v>RAGR IV кв. 2022</v>
      </c>
      <c r="C661" s="8">
        <v>2022</v>
      </c>
      <c r="D661">
        <f>SUMIFS(Дивиденды!$C:$C,Дивиденды!$A:$A,A661,Дивиденды!$I:$I,C661)</f>
        <v>0</v>
      </c>
      <c r="E661">
        <f>IFERROR(IF(VLOOKUP($B661,Показатели!$E:$W,2,FALSE)=0,"",VLOOKUP($B661,Показатели!$E:$W,2,FALSE)),"")</f>
        <v>20885278000</v>
      </c>
      <c r="F661">
        <f>IFERROR(IF(VLOOKUP($B661,Показатели!$E:$W,3,FALSE)=0,"",VLOOKUP($B661,Показатели!$E:$W,3,FALSE)),"")</f>
        <v>232422799000</v>
      </c>
      <c r="G661">
        <f>IFERROR(IF(VLOOKUP($B661,Показатели!$E:$W,4,FALSE)=0,"",VLOOKUP($B661,Показатели!$E:$W,4,FALSE)),"")</f>
        <v>119065689000</v>
      </c>
      <c r="H661">
        <f>IFERROR(IF(VLOOKUP($B661,Показатели!$E:$W,5,FALSE)=0,"",VLOOKUP($B661,Показатели!$E:$W,5,FALSE)),"")</f>
        <v>3649205000</v>
      </c>
      <c r="I661">
        <f>IFERROR(IF(VLOOKUP($B661,Показатели!$E:$W,6,FALSE)=0,"",VLOOKUP($B661,Показатели!$E:$W,6,FALSE)),"")</f>
        <v>420781586000</v>
      </c>
      <c r="J661">
        <f>IFERROR(IF(VLOOKUP($B661,Показатели!$E:$W,7,FALSE)=0,"",VLOOKUP($B661,Показатели!$E:$W,7,FALSE)),"")</f>
        <v>230890307000</v>
      </c>
      <c r="K661">
        <f>IFERROR(IF(VLOOKUP($B661,Показатели!$E:$W,8,FALSE)=0,"",VLOOKUP($B661,Показатели!$E:$W,8,FALSE)),"")</f>
        <v>78866496000</v>
      </c>
      <c r="L661">
        <f>IFERROR(IF(VLOOKUP($B661,Показатели!$E:$W,9,FALSE)=0,"",VLOOKUP($B661,Показатели!$E:$W,9,FALSE)),"")</f>
        <v>108659137000</v>
      </c>
      <c r="M661">
        <f>IFERROR(IF(VLOOKUP($B661,Показатели!$E:$W,10,FALSE)=0,"",VLOOKUP($B661,Показатели!$E:$W,10,FALSE)),"")</f>
        <v>111024783000</v>
      </c>
      <c r="N661">
        <f>IFERROR(IF(VLOOKUP($B661,Показатели!$E:$W,11,FALSE)=0,"",VLOOKUP($B661,Показатели!$E:$W,11,FALSE)),"")</f>
        <v>236956166000</v>
      </c>
      <c r="O661">
        <f>IFERROR(IF(VLOOKUP($B661,Показатели!$E:$W,12,FALSE)=0,"",VLOOKUP($B661,Показатели!$E:$W,12,FALSE)),"")</f>
        <v>13586212000</v>
      </c>
      <c r="P661">
        <f>IFERROR(IF(VLOOKUP($B661,Показатели!$E:$W,13,FALSE)=0,"",VLOOKUP($B661,Показатели!$E:$W,13,FALSE)),"")</f>
        <v>3099519000</v>
      </c>
      <c r="Q661">
        <f>IFERROR(IF(VLOOKUP($B661,Показатели!$E:$W,14,FALSE)=0,"",VLOOKUP($B661,Показатели!$E:$W,14,FALSE)),"")</f>
        <v>1294551000</v>
      </c>
      <c r="R661">
        <f>IFERROR(IF(VLOOKUP($B661,Показатели!$E:$W,15,FALSE)=0,"",VLOOKUP($B661,Показатели!$E:$W,15,FALSE)),"")</f>
        <v>14161391000</v>
      </c>
      <c r="S661">
        <f>IFERROR(IF(VLOOKUP($B661,Показатели!$E:$W,16,FALSE)=0,"",VLOOKUP($B661,Показатели!$E:$W,16,FALSE)),"")</f>
        <v>37274025000</v>
      </c>
      <c r="T661">
        <f>IFERROR(IF(VLOOKUP($B661,Показатели!$E:$W,17,FALSE)=0,"",VLOOKUP($B661,Показатели!$E:$W,17,FALSE)),"")</f>
        <v>-12645498000</v>
      </c>
      <c r="U661">
        <f>IFERROR(IF(VLOOKUP($B661,Показатели!$E:$W,18,FALSE)=0,"",VLOOKUP($B661,Показатели!$E:$W,18,FALSE)),"")</f>
        <v>218647077000</v>
      </c>
      <c r="V661">
        <f>IFERROR(IF(VLOOKUP($B661,Показатели!$E:$W,19,FALSE)=0,"",VLOOKUP($B661,Показатели!$E:$W,19,FALSE)),"")</f>
        <v>326368082000</v>
      </c>
    </row>
    <row r="662" spans="1:22" x14ac:dyDescent="0.2">
      <c r="A662" s="8" t="s">
        <v>2320</v>
      </c>
      <c r="B662" t="str">
        <f t="shared" si="10"/>
        <v>RAGR IV кв. 2021</v>
      </c>
      <c r="C662" s="8">
        <v>2021</v>
      </c>
      <c r="D662">
        <f>SUMIFS(Дивиденды!$C:$C,Дивиденды!$A:$A,A662,Дивиденды!$I:$I,C662)</f>
        <v>20.67</v>
      </c>
      <c r="E662">
        <f>IFERROR(IF(VLOOKUP($B662,Показатели!$E:$W,2,FALSE)=0,"",VLOOKUP($B662,Показатели!$E:$W,2,FALSE)),"")</f>
        <v>46333799000</v>
      </c>
      <c r="F662">
        <f>IFERROR(IF(VLOOKUP($B662,Показатели!$E:$W,3,FALSE)=0,"",VLOOKUP($B662,Показатели!$E:$W,3,FALSE)),"")</f>
        <v>167451101000</v>
      </c>
      <c r="G662">
        <f>IFERROR(IF(VLOOKUP($B662,Показатели!$E:$W,4,FALSE)=0,"",VLOOKUP($B662,Показатели!$E:$W,4,FALSE)),"")</f>
        <v>117059327000</v>
      </c>
      <c r="H662">
        <f>IFERROR(IF(VLOOKUP($B662,Показатели!$E:$W,5,FALSE)=0,"",VLOOKUP($B662,Показатели!$E:$W,5,FALSE)),"")</f>
        <v>3508999000</v>
      </c>
      <c r="I662">
        <f>IFERROR(IF(VLOOKUP($B662,Показатели!$E:$W,6,FALSE)=0,"",VLOOKUP($B662,Показатели!$E:$W,6,FALSE)),"")</f>
        <v>326368082000</v>
      </c>
      <c r="J662">
        <f>IFERROR(IF(VLOOKUP($B662,Показатели!$E:$W,7,FALSE)=0,"",VLOOKUP($B662,Показатели!$E:$W,7,FALSE)),"")</f>
        <v>136497177000</v>
      </c>
      <c r="K662">
        <f>IFERROR(IF(VLOOKUP($B662,Показатели!$E:$W,8,FALSE)=0,"",VLOOKUP($B662,Показатели!$E:$W,8,FALSE)),"")</f>
        <v>80518574000</v>
      </c>
      <c r="L662">
        <f>IFERROR(IF(VLOOKUP($B662,Показатели!$E:$W,9,FALSE)=0,"",VLOOKUP($B662,Показатели!$E:$W,9,FALSE)),"")</f>
        <v>107009887000</v>
      </c>
      <c r="M662">
        <f>IFERROR(IF(VLOOKUP($B662,Показатели!$E:$W,10,FALSE)=0,"",VLOOKUP($B662,Показатели!$E:$W,10,FALSE)),"")</f>
        <v>109352331000</v>
      </c>
      <c r="N662">
        <f>IFERROR(IF(VLOOKUP($B662,Показатели!$E:$W,11,FALSE)=0,"",VLOOKUP($B662,Показатели!$E:$W,11,FALSE)),"")</f>
        <v>218647077000</v>
      </c>
      <c r="O662">
        <f>IFERROR(IF(VLOOKUP($B662,Показатели!$E:$W,12,FALSE)=0,"",VLOOKUP($B662,Показатели!$E:$W,12,FALSE)),"")</f>
        <v>34634462000</v>
      </c>
      <c r="P662">
        <f>IFERROR(IF(VLOOKUP($B662,Показатели!$E:$W,13,FALSE)=0,"",VLOOKUP($B662,Показатели!$E:$W,13,FALSE)),"")</f>
        <v>34631536000</v>
      </c>
      <c r="Q662">
        <f>IFERROR(IF(VLOOKUP($B662,Показатели!$E:$W,14,FALSE)=0,"",VLOOKUP($B662,Показатели!$E:$W,14,FALSE)),"")</f>
        <v>32602370000</v>
      </c>
      <c r="R662">
        <f>IFERROR(IF(VLOOKUP($B662,Показатели!$E:$W,15,FALSE)=0,"",VLOOKUP($B662,Показатели!$E:$W,15,FALSE)),"")</f>
        <v>13945515000</v>
      </c>
      <c r="S662">
        <f>IFERROR(IF(VLOOKUP($B662,Показатели!$E:$W,16,FALSE)=0,"",VLOOKUP($B662,Показатели!$E:$W,16,FALSE)),"")</f>
        <v>41057371000</v>
      </c>
      <c r="T662">
        <f>IFERROR(IF(VLOOKUP($B662,Показатели!$E:$W,17,FALSE)=0,"",VLOOKUP($B662,Показатели!$E:$W,17,FALSE)),"")</f>
        <v>-43226148000</v>
      </c>
      <c r="U662">
        <f>IFERROR(IF(VLOOKUP($B662,Показатели!$E:$W,18,FALSE)=0,"",VLOOKUP($B662,Показатели!$E:$W,18,FALSE)),"")</f>
        <v>156088488000</v>
      </c>
      <c r="V662">
        <f>IFERROR(IF(VLOOKUP($B662,Показатели!$E:$W,19,FALSE)=0,"",VLOOKUP($B662,Показатели!$E:$W,19,FALSE)),"")</f>
        <v>244285237000</v>
      </c>
    </row>
    <row r="663" spans="1:22" x14ac:dyDescent="0.2">
      <c r="A663" s="8" t="s">
        <v>2320</v>
      </c>
      <c r="B663" t="str">
        <f t="shared" si="10"/>
        <v>RAGR IV кв. 2020</v>
      </c>
      <c r="C663" s="8">
        <v>2020</v>
      </c>
      <c r="D663">
        <f>SUMIFS(Дивиденды!$C:$C,Дивиденды!$A:$A,A663,Дивиденды!$I:$I,C663)</f>
        <v>5.49</v>
      </c>
      <c r="E663">
        <f>IFERROR(IF(VLOOKUP($B663,Показатели!$E:$W,2,FALSE)=0,"",VLOOKUP($B663,Показатели!$E:$W,2,FALSE)),"")</f>
        <v>11301968000</v>
      </c>
      <c r="F663">
        <f>IFERROR(IF(VLOOKUP($B663,Показатели!$E:$W,3,FALSE)=0,"",VLOOKUP($B663,Показатели!$E:$W,3,FALSE)),"")</f>
        <v>117894992000</v>
      </c>
      <c r="G663">
        <f>IFERROR(IF(VLOOKUP($B663,Показатели!$E:$W,4,FALSE)=0,"",VLOOKUP($B663,Показатели!$E:$W,4,FALSE)),"")</f>
        <v>85418971000</v>
      </c>
      <c r="H663">
        <f>IFERROR(IF(VLOOKUP($B663,Показатели!$E:$W,5,FALSE)=0,"",VLOOKUP($B663,Показатели!$E:$W,5,FALSE)),"")</f>
        <v>2984735000</v>
      </c>
      <c r="I663">
        <f>IFERROR(IF(VLOOKUP($B663,Показатели!$E:$W,6,FALSE)=0,"",VLOOKUP($B663,Показатели!$E:$W,6,FALSE)),"")</f>
        <v>244285237000</v>
      </c>
      <c r="J663">
        <f>IFERROR(IF(VLOOKUP($B663,Показатели!$E:$W,7,FALSE)=0,"",VLOOKUP($B663,Показатели!$E:$W,7,FALSE)),"")</f>
        <v>83969344000</v>
      </c>
      <c r="K663">
        <f>IFERROR(IF(VLOOKUP($B663,Показатели!$E:$W,8,FALSE)=0,"",VLOOKUP($B663,Показатели!$E:$W,8,FALSE)),"")</f>
        <v>77048077000</v>
      </c>
      <c r="L663">
        <f>IFERROR(IF(VLOOKUP($B663,Показатели!$E:$W,9,FALSE)=0,"",VLOOKUP($B663,Показатели!$E:$W,9,FALSE)),"")</f>
        <v>80870900000</v>
      </c>
      <c r="M663">
        <f>IFERROR(IF(VLOOKUP($B663,Показатели!$E:$W,10,FALSE)=0,"",VLOOKUP($B663,Показатели!$E:$W,10,FALSE)),"")</f>
        <v>83267816000</v>
      </c>
      <c r="N663">
        <f>IFERROR(IF(VLOOKUP($B663,Показатели!$E:$W,11,FALSE)=0,"",VLOOKUP($B663,Показатели!$E:$W,11,FALSE)),"")</f>
        <v>156088488000</v>
      </c>
      <c r="O663">
        <f>IFERROR(IF(VLOOKUP($B663,Показатели!$E:$W,12,FALSE)=0,"",VLOOKUP($B663,Показатели!$E:$W,12,FALSE)),"")</f>
        <v>18697827000</v>
      </c>
      <c r="P663">
        <f>IFERROR(IF(VLOOKUP($B663,Показатели!$E:$W,13,FALSE)=0,"",VLOOKUP($B663,Показатели!$E:$W,13,FALSE)),"")</f>
        <v>15929145000</v>
      </c>
      <c r="Q663">
        <f>IFERROR(IF(VLOOKUP($B663,Показатели!$E:$W,14,FALSE)=0,"",VLOOKUP($B663,Показатели!$E:$W,14,FALSE)),"")</f>
        <v>16564769000</v>
      </c>
      <c r="R663">
        <f>IFERROR(IF(VLOOKUP($B663,Показатели!$E:$W,15,FALSE)=0,"",VLOOKUP($B663,Показатели!$E:$W,15,FALSE)),"")</f>
        <v>10794014000</v>
      </c>
      <c r="S663">
        <f>IFERROR(IF(VLOOKUP($B663,Показатели!$E:$W,16,FALSE)=0,"",VLOOKUP($B663,Показатели!$E:$W,16,FALSE)),"")</f>
        <v>27474933000</v>
      </c>
      <c r="T663">
        <f>IFERROR(IF(VLOOKUP($B663,Показатели!$E:$W,17,FALSE)=0,"",VLOOKUP($B663,Показатели!$E:$W,17,FALSE)),"")</f>
        <v>-12979183000</v>
      </c>
      <c r="U663">
        <f>IFERROR(IF(VLOOKUP($B663,Показатели!$E:$W,18,FALSE)=0,"",VLOOKUP($B663,Показатели!$E:$W,18,FALSE)),"")</f>
        <v>136508474000</v>
      </c>
      <c r="V663">
        <f>IFERROR(IF(VLOOKUP($B663,Показатели!$E:$W,19,FALSE)=0,"",VLOOKUP($B663,Показатели!$E:$W,19,FALSE)),"")</f>
        <v>214740733000</v>
      </c>
    </row>
    <row r="664" spans="1:22" x14ac:dyDescent="0.2">
      <c r="A664" s="8" t="s">
        <v>2320</v>
      </c>
      <c r="B664" t="str">
        <f t="shared" si="10"/>
        <v>RAGR IV кв. 2019</v>
      </c>
      <c r="C664" s="8">
        <v>2019</v>
      </c>
      <c r="D664">
        <f>SUMIFS(Дивиденды!$C:$C,Дивиденды!$A:$A,A664,Дивиденды!$I:$I,C664)</f>
        <v>5.39</v>
      </c>
      <c r="E664">
        <f>IFERROR(IF(VLOOKUP($B664,Показатели!$E:$W,2,FALSE)=0,"",VLOOKUP($B664,Показатели!$E:$W,2,FALSE)),"")</f>
        <v>1731152000</v>
      </c>
      <c r="F664">
        <f>IFERROR(IF(VLOOKUP($B664,Показатели!$E:$W,3,FALSE)=0,"",VLOOKUP($B664,Показатели!$E:$W,3,FALSE)),"")</f>
        <v>96725276000</v>
      </c>
      <c r="G664">
        <f>IFERROR(IF(VLOOKUP($B664,Показатели!$E:$W,4,FALSE)=0,"",VLOOKUP($B664,Показатели!$E:$W,4,FALSE)),"")</f>
        <v>78529334000</v>
      </c>
      <c r="H664">
        <f>IFERROR(IF(VLOOKUP($B664,Показатели!$E:$W,5,FALSE)=0,"",VLOOKUP($B664,Показатели!$E:$W,5,FALSE)),"")</f>
        <v>2973577000</v>
      </c>
      <c r="I664">
        <f>IFERROR(IF(VLOOKUP($B664,Показатели!$E:$W,6,FALSE)=0,"",VLOOKUP($B664,Показатели!$E:$W,6,FALSE)),"")</f>
        <v>214740733000</v>
      </c>
      <c r="J664">
        <f>IFERROR(IF(VLOOKUP($B664,Показатели!$E:$W,7,FALSE)=0,"",VLOOKUP($B664,Показатели!$E:$W,7,FALSE)),"")</f>
        <v>57206545000</v>
      </c>
      <c r="K664">
        <f>IFERROR(IF(VLOOKUP($B664,Показатели!$E:$W,8,FALSE)=0,"",VLOOKUP($B664,Показатели!$E:$W,8,FALSE)),"")</f>
        <v>78832341000</v>
      </c>
      <c r="L664">
        <f>IFERROR(IF(VLOOKUP($B664,Показатели!$E:$W,9,FALSE)=0,"",VLOOKUP($B664,Показатели!$E:$W,9,FALSE)),"")</f>
        <v>76239080000</v>
      </c>
      <c r="M664">
        <f>IFERROR(IF(VLOOKUP($B664,Показатели!$E:$W,10,FALSE)=0,"",VLOOKUP($B664,Показатели!$E:$W,10,FALSE)),"")</f>
        <v>78701847000</v>
      </c>
      <c r="N664">
        <f>IFERROR(IF(VLOOKUP($B664,Показатели!$E:$W,11,FALSE)=0,"",VLOOKUP($B664,Показатели!$E:$W,11,FALSE)),"")</f>
        <v>136508474000</v>
      </c>
      <c r="O664">
        <f>IFERROR(IF(VLOOKUP($B664,Показатели!$E:$W,12,FALSE)=0,"",VLOOKUP($B664,Показатели!$E:$W,12,FALSE)),"")</f>
        <v>8502111000</v>
      </c>
      <c r="P664">
        <f>IFERROR(IF(VLOOKUP($B664,Показатели!$E:$W,13,FALSE)=0,"",VLOOKUP($B664,Показатели!$E:$W,13,FALSE)),"")</f>
        <v>7120075000</v>
      </c>
      <c r="Q664">
        <f>IFERROR(IF(VLOOKUP($B664,Показатели!$E:$W,14,FALSE)=0,"",VLOOKUP($B664,Показатели!$E:$W,14,FALSE)),"")</f>
        <v>6476707000</v>
      </c>
      <c r="R664">
        <f>IFERROR(IF(VLOOKUP($B664,Показатели!$E:$W,15,FALSE)=0,"",VLOOKUP($B664,Показатели!$E:$W,15,FALSE)),"")</f>
        <v>8479933000</v>
      </c>
      <c r="S664">
        <f>IFERROR(IF(VLOOKUP($B664,Показатели!$E:$W,16,FALSE)=0,"",VLOOKUP($B664,Показатели!$E:$W,16,FALSE)),"")</f>
        <v>18959631000</v>
      </c>
      <c r="T664">
        <f>IFERROR(IF(VLOOKUP($B664,Показатели!$E:$W,17,FALSE)=0,"",VLOOKUP($B664,Показатели!$E:$W,17,FALSE)),"")</f>
        <v>-15149879000</v>
      </c>
      <c r="U664" t="str">
        <f>IFERROR(IF(VLOOKUP($B664,Показатели!$E:$W,18,FALSE)=0,"",VLOOKUP($B664,Показатели!$E:$W,18,FALSE)),"")</f>
        <v/>
      </c>
      <c r="V664" t="str">
        <f>IFERROR(IF(VLOOKUP($B664,Показатели!$E:$W,19,FALSE)=0,"",VLOOKUP($B664,Показатели!$E:$W,19,FALSE)),"")</f>
        <v/>
      </c>
    </row>
    <row r="665" spans="1:22" x14ac:dyDescent="0.2">
      <c r="A665" s="8" t="s">
        <v>2320</v>
      </c>
      <c r="B665" t="str">
        <f t="shared" si="10"/>
        <v>RAGR IV кв. 2018</v>
      </c>
      <c r="C665" s="8">
        <v>2018</v>
      </c>
      <c r="D665">
        <f>SUMIFS(Дивиденды!$C:$C,Дивиденды!$A:$A,A665,Дивиденды!$I:$I,C665)</f>
        <v>3.54</v>
      </c>
      <c r="E665" t="str">
        <f>IFERROR(IF(VLOOKUP($B665,Показатели!$E:$W,2,FALSE)=0,"",VLOOKUP($B665,Показатели!$E:$W,2,FALSE)),"")</f>
        <v/>
      </c>
      <c r="F665" t="str">
        <f>IFERROR(IF(VLOOKUP($B665,Показатели!$E:$W,3,FALSE)=0,"",VLOOKUP($B665,Показатели!$E:$W,3,FALSE)),"")</f>
        <v/>
      </c>
      <c r="G665" t="str">
        <f>IFERROR(IF(VLOOKUP($B665,Показатели!$E:$W,4,FALSE)=0,"",VLOOKUP($B665,Показатели!$E:$W,4,FALSE)),"")</f>
        <v/>
      </c>
      <c r="H665" t="str">
        <f>IFERROR(IF(VLOOKUP($B665,Показатели!$E:$W,5,FALSE)=0,"",VLOOKUP($B665,Показатели!$E:$W,5,FALSE)),"")</f>
        <v/>
      </c>
      <c r="I665" t="str">
        <f>IFERROR(IF(VLOOKUP($B665,Показатели!$E:$W,6,FALSE)=0,"",VLOOKUP($B665,Показатели!$E:$W,6,FALSE)),"")</f>
        <v/>
      </c>
      <c r="J665" t="str">
        <f>IFERROR(IF(VLOOKUP($B665,Показатели!$E:$W,7,FALSE)=0,"",VLOOKUP($B665,Показатели!$E:$W,7,FALSE)),"")</f>
        <v/>
      </c>
      <c r="K665" t="str">
        <f>IFERROR(IF(VLOOKUP($B665,Показатели!$E:$W,8,FALSE)=0,"",VLOOKUP($B665,Показатели!$E:$W,8,FALSE)),"")</f>
        <v/>
      </c>
      <c r="L665" t="str">
        <f>IFERROR(IF(VLOOKUP($B665,Показатели!$E:$W,9,FALSE)=0,"",VLOOKUP($B665,Показатели!$E:$W,9,FALSE)),"")</f>
        <v/>
      </c>
      <c r="M665" t="str">
        <f>IFERROR(IF(VLOOKUP($B665,Показатели!$E:$W,10,FALSE)=0,"",VLOOKUP($B665,Показатели!$E:$W,10,FALSE)),"")</f>
        <v/>
      </c>
      <c r="N665" t="str">
        <f>IFERROR(IF(VLOOKUP($B665,Показатели!$E:$W,11,FALSE)=0,"",VLOOKUP($B665,Показатели!$E:$W,11,FALSE)),"")</f>
        <v/>
      </c>
      <c r="O665" t="str">
        <f>IFERROR(IF(VLOOKUP($B665,Показатели!$E:$W,12,FALSE)=0,"",VLOOKUP($B665,Показатели!$E:$W,12,FALSE)),"")</f>
        <v/>
      </c>
      <c r="P665" t="str">
        <f>IFERROR(IF(VLOOKUP($B665,Показатели!$E:$W,13,FALSE)=0,"",VLOOKUP($B665,Показатели!$E:$W,13,FALSE)),"")</f>
        <v/>
      </c>
      <c r="Q665" t="str">
        <f>IFERROR(IF(VLOOKUP($B665,Показатели!$E:$W,14,FALSE)=0,"",VLOOKUP($B665,Показатели!$E:$W,14,FALSE)),"")</f>
        <v/>
      </c>
      <c r="R665" t="str">
        <f>IFERROR(IF(VLOOKUP($B665,Показатели!$E:$W,15,FALSE)=0,"",VLOOKUP($B665,Показатели!$E:$W,15,FALSE)),"")</f>
        <v/>
      </c>
      <c r="S665" t="str">
        <f>IFERROR(IF(VLOOKUP($B665,Показатели!$E:$W,16,FALSE)=0,"",VLOOKUP($B665,Показатели!$E:$W,16,FALSE)),"")</f>
        <v/>
      </c>
      <c r="T665" t="str">
        <f>IFERROR(IF(VLOOKUP($B665,Показатели!$E:$W,17,FALSE)=0,"",VLOOKUP($B665,Показатели!$E:$W,17,FALSE)),"")</f>
        <v/>
      </c>
      <c r="U665" t="str">
        <f>IFERROR(IF(VLOOKUP($B665,Показатели!$E:$W,18,FALSE)=0,"",VLOOKUP($B665,Показатели!$E:$W,18,FALSE)),"")</f>
        <v/>
      </c>
      <c r="V665" t="str">
        <f>IFERROR(IF(VLOOKUP($B665,Показатели!$E:$W,19,FALSE)=0,"",VLOOKUP($B665,Показатели!$E:$W,19,FALSE)),"")</f>
        <v/>
      </c>
    </row>
    <row r="666" spans="1:22" x14ac:dyDescent="0.2">
      <c r="A666" s="8" t="s">
        <v>2320</v>
      </c>
      <c r="B666" t="str">
        <f t="shared" si="10"/>
        <v>RAGR IV кв. 2017</v>
      </c>
      <c r="C666" s="8">
        <v>2017</v>
      </c>
      <c r="D666">
        <f>SUMIFS(Дивиденды!$C:$C,Дивиденды!$A:$A,A666,Дивиденды!$I:$I,C666)</f>
        <v>6.64</v>
      </c>
      <c r="E666" t="str">
        <f>IFERROR(IF(VLOOKUP($B666,Показатели!$E:$W,2,FALSE)=0,"",VLOOKUP($B666,Показатели!$E:$W,2,FALSE)),"")</f>
        <v/>
      </c>
      <c r="F666" t="str">
        <f>IFERROR(IF(VLOOKUP($B666,Показатели!$E:$W,3,FALSE)=0,"",VLOOKUP($B666,Показатели!$E:$W,3,FALSE)),"")</f>
        <v/>
      </c>
      <c r="G666" t="str">
        <f>IFERROR(IF(VLOOKUP($B666,Показатели!$E:$W,4,FALSE)=0,"",VLOOKUP($B666,Показатели!$E:$W,4,FALSE)),"")</f>
        <v/>
      </c>
      <c r="H666" t="str">
        <f>IFERROR(IF(VLOOKUP($B666,Показатели!$E:$W,5,FALSE)=0,"",VLOOKUP($B666,Показатели!$E:$W,5,FALSE)),"")</f>
        <v/>
      </c>
      <c r="I666" t="str">
        <f>IFERROR(IF(VLOOKUP($B666,Показатели!$E:$W,6,FALSE)=0,"",VLOOKUP($B666,Показатели!$E:$W,6,FALSE)),"")</f>
        <v/>
      </c>
      <c r="J666" t="str">
        <f>IFERROR(IF(VLOOKUP($B666,Показатели!$E:$W,7,FALSE)=0,"",VLOOKUP($B666,Показатели!$E:$W,7,FALSE)),"")</f>
        <v/>
      </c>
      <c r="K666" t="str">
        <f>IFERROR(IF(VLOOKUP($B666,Показатели!$E:$W,8,FALSE)=0,"",VLOOKUP($B666,Показатели!$E:$W,8,FALSE)),"")</f>
        <v/>
      </c>
      <c r="L666" t="str">
        <f>IFERROR(IF(VLOOKUP($B666,Показатели!$E:$W,9,FALSE)=0,"",VLOOKUP($B666,Показатели!$E:$W,9,FALSE)),"")</f>
        <v/>
      </c>
      <c r="M666" t="str">
        <f>IFERROR(IF(VLOOKUP($B666,Показатели!$E:$W,10,FALSE)=0,"",VLOOKUP($B666,Показатели!$E:$W,10,FALSE)),"")</f>
        <v/>
      </c>
      <c r="N666" t="str">
        <f>IFERROR(IF(VLOOKUP($B666,Показатели!$E:$W,11,FALSE)=0,"",VLOOKUP($B666,Показатели!$E:$W,11,FALSE)),"")</f>
        <v/>
      </c>
      <c r="O666" t="str">
        <f>IFERROR(IF(VLOOKUP($B666,Показатели!$E:$W,12,FALSE)=0,"",VLOOKUP($B666,Показатели!$E:$W,12,FALSE)),"")</f>
        <v/>
      </c>
      <c r="P666" t="str">
        <f>IFERROR(IF(VLOOKUP($B666,Показатели!$E:$W,13,FALSE)=0,"",VLOOKUP($B666,Показатели!$E:$W,13,FALSE)),"")</f>
        <v/>
      </c>
      <c r="Q666" t="str">
        <f>IFERROR(IF(VLOOKUP($B666,Показатели!$E:$W,14,FALSE)=0,"",VLOOKUP($B666,Показатели!$E:$W,14,FALSE)),"")</f>
        <v/>
      </c>
      <c r="R666" t="str">
        <f>IFERROR(IF(VLOOKUP($B666,Показатели!$E:$W,15,FALSE)=0,"",VLOOKUP($B666,Показатели!$E:$W,15,FALSE)),"")</f>
        <v/>
      </c>
      <c r="S666" t="str">
        <f>IFERROR(IF(VLOOKUP($B666,Показатели!$E:$W,16,FALSE)=0,"",VLOOKUP($B666,Показатели!$E:$W,16,FALSE)),"")</f>
        <v/>
      </c>
      <c r="T666" t="str">
        <f>IFERROR(IF(VLOOKUP($B666,Показатели!$E:$W,17,FALSE)=0,"",VLOOKUP($B666,Показатели!$E:$W,17,FALSE)),"")</f>
        <v/>
      </c>
      <c r="U666" t="str">
        <f>IFERROR(IF(VLOOKUP($B666,Показатели!$E:$W,18,FALSE)=0,"",VLOOKUP($B666,Показатели!$E:$W,18,FALSE)),"")</f>
        <v/>
      </c>
      <c r="V666" t="str">
        <f>IFERROR(IF(VLOOKUP($B666,Показатели!$E:$W,19,FALSE)=0,"",VLOOKUP($B666,Показатели!$E:$W,19,FALSE)),"")</f>
        <v/>
      </c>
    </row>
    <row r="667" spans="1:22" x14ac:dyDescent="0.2">
      <c r="A667" s="8" t="s">
        <v>2320</v>
      </c>
      <c r="B667" t="str">
        <f t="shared" si="10"/>
        <v>RAGR IV кв. 2016</v>
      </c>
      <c r="C667" s="8">
        <v>2016</v>
      </c>
      <c r="D667">
        <f>SUMIFS(Дивиденды!$C:$C,Дивиденды!$A:$A,A667,Дивиденды!$I:$I,C667)</f>
        <v>7.77</v>
      </c>
      <c r="E667" t="str">
        <f>IFERROR(IF(VLOOKUP($B667,Показатели!$E:$W,2,FALSE)=0,"",VLOOKUP($B667,Показатели!$E:$W,2,FALSE)),"")</f>
        <v/>
      </c>
      <c r="F667" t="str">
        <f>IFERROR(IF(VLOOKUP($B667,Показатели!$E:$W,3,FALSE)=0,"",VLOOKUP($B667,Показатели!$E:$W,3,FALSE)),"")</f>
        <v/>
      </c>
      <c r="G667" t="str">
        <f>IFERROR(IF(VLOOKUP($B667,Показатели!$E:$W,4,FALSE)=0,"",VLOOKUP($B667,Показатели!$E:$W,4,FALSE)),"")</f>
        <v/>
      </c>
      <c r="H667" t="str">
        <f>IFERROR(IF(VLOOKUP($B667,Показатели!$E:$W,5,FALSE)=0,"",VLOOKUP($B667,Показатели!$E:$W,5,FALSE)),"")</f>
        <v/>
      </c>
      <c r="I667" t="str">
        <f>IFERROR(IF(VLOOKUP($B667,Показатели!$E:$W,6,FALSE)=0,"",VLOOKUP($B667,Показатели!$E:$W,6,FALSE)),"")</f>
        <v/>
      </c>
      <c r="J667" t="str">
        <f>IFERROR(IF(VLOOKUP($B667,Показатели!$E:$W,7,FALSE)=0,"",VLOOKUP($B667,Показатели!$E:$W,7,FALSE)),"")</f>
        <v/>
      </c>
      <c r="K667" t="str">
        <f>IFERROR(IF(VLOOKUP($B667,Показатели!$E:$W,8,FALSE)=0,"",VLOOKUP($B667,Показатели!$E:$W,8,FALSE)),"")</f>
        <v/>
      </c>
      <c r="L667" t="str">
        <f>IFERROR(IF(VLOOKUP($B667,Показатели!$E:$W,9,FALSE)=0,"",VLOOKUP($B667,Показатели!$E:$W,9,FALSE)),"")</f>
        <v/>
      </c>
      <c r="M667" t="str">
        <f>IFERROR(IF(VLOOKUP($B667,Показатели!$E:$W,10,FALSE)=0,"",VLOOKUP($B667,Показатели!$E:$W,10,FALSE)),"")</f>
        <v/>
      </c>
      <c r="N667" t="str">
        <f>IFERROR(IF(VLOOKUP($B667,Показатели!$E:$W,11,FALSE)=0,"",VLOOKUP($B667,Показатели!$E:$W,11,FALSE)),"")</f>
        <v/>
      </c>
      <c r="O667" t="str">
        <f>IFERROR(IF(VLOOKUP($B667,Показатели!$E:$W,12,FALSE)=0,"",VLOOKUP($B667,Показатели!$E:$W,12,FALSE)),"")</f>
        <v/>
      </c>
      <c r="P667" t="str">
        <f>IFERROR(IF(VLOOKUP($B667,Показатели!$E:$W,13,FALSE)=0,"",VLOOKUP($B667,Показатели!$E:$W,13,FALSE)),"")</f>
        <v/>
      </c>
      <c r="Q667" t="str">
        <f>IFERROR(IF(VLOOKUP($B667,Показатели!$E:$W,14,FALSE)=0,"",VLOOKUP($B667,Показатели!$E:$W,14,FALSE)),"")</f>
        <v/>
      </c>
      <c r="R667" t="str">
        <f>IFERROR(IF(VLOOKUP($B667,Показатели!$E:$W,15,FALSE)=0,"",VLOOKUP($B667,Показатели!$E:$W,15,FALSE)),"")</f>
        <v/>
      </c>
      <c r="S667" t="str">
        <f>IFERROR(IF(VLOOKUP($B667,Показатели!$E:$W,16,FALSE)=0,"",VLOOKUP($B667,Показатели!$E:$W,16,FALSE)),"")</f>
        <v/>
      </c>
      <c r="T667" t="str">
        <f>IFERROR(IF(VLOOKUP($B667,Показатели!$E:$W,17,FALSE)=0,"",VLOOKUP($B667,Показатели!$E:$W,17,FALSE)),"")</f>
        <v/>
      </c>
      <c r="U667" t="str">
        <f>IFERROR(IF(VLOOKUP($B667,Показатели!$E:$W,18,FALSE)=0,"",VLOOKUP($B667,Показатели!$E:$W,18,FALSE)),"")</f>
        <v/>
      </c>
      <c r="V667" t="str">
        <f>IFERROR(IF(VLOOKUP($B667,Показатели!$E:$W,19,FALSE)=0,"",VLOOKUP($B667,Показатели!$E:$W,19,FALSE)),"")</f>
        <v/>
      </c>
    </row>
    <row r="668" spans="1:22" x14ac:dyDescent="0.2">
      <c r="A668" s="8" t="s">
        <v>2320</v>
      </c>
      <c r="B668" t="str">
        <f t="shared" si="10"/>
        <v>RAGR IV кв. 2015</v>
      </c>
      <c r="C668" s="8">
        <v>2015</v>
      </c>
      <c r="D668">
        <f>SUMIFS(Дивиденды!$C:$C,Дивиденды!$A:$A,A668,Дивиденды!$I:$I,C668)</f>
        <v>5.58</v>
      </c>
      <c r="E668" t="str">
        <f>IFERROR(IF(VLOOKUP($B668,Показатели!$E:$W,2,FALSE)=0,"",VLOOKUP($B668,Показатели!$E:$W,2,FALSE)),"")</f>
        <v/>
      </c>
      <c r="F668" t="str">
        <f>IFERROR(IF(VLOOKUP($B668,Показатели!$E:$W,3,FALSE)=0,"",VLOOKUP($B668,Показатели!$E:$W,3,FALSE)),"")</f>
        <v/>
      </c>
      <c r="G668" t="str">
        <f>IFERROR(IF(VLOOKUP($B668,Показатели!$E:$W,4,FALSE)=0,"",VLOOKUP($B668,Показатели!$E:$W,4,FALSE)),"")</f>
        <v/>
      </c>
      <c r="H668" t="str">
        <f>IFERROR(IF(VLOOKUP($B668,Показатели!$E:$W,5,FALSE)=0,"",VLOOKUP($B668,Показатели!$E:$W,5,FALSE)),"")</f>
        <v/>
      </c>
      <c r="I668" t="str">
        <f>IFERROR(IF(VLOOKUP($B668,Показатели!$E:$W,6,FALSE)=0,"",VLOOKUP($B668,Показатели!$E:$W,6,FALSE)),"")</f>
        <v/>
      </c>
      <c r="J668" t="str">
        <f>IFERROR(IF(VLOOKUP($B668,Показатели!$E:$W,7,FALSE)=0,"",VLOOKUP($B668,Показатели!$E:$W,7,FALSE)),"")</f>
        <v/>
      </c>
      <c r="K668" t="str">
        <f>IFERROR(IF(VLOOKUP($B668,Показатели!$E:$W,8,FALSE)=0,"",VLOOKUP($B668,Показатели!$E:$W,8,FALSE)),"")</f>
        <v/>
      </c>
      <c r="L668" t="str">
        <f>IFERROR(IF(VLOOKUP($B668,Показатели!$E:$W,9,FALSE)=0,"",VLOOKUP($B668,Показатели!$E:$W,9,FALSE)),"")</f>
        <v/>
      </c>
      <c r="M668" t="str">
        <f>IFERROR(IF(VLOOKUP($B668,Показатели!$E:$W,10,FALSE)=0,"",VLOOKUP($B668,Показатели!$E:$W,10,FALSE)),"")</f>
        <v/>
      </c>
      <c r="N668" t="str">
        <f>IFERROR(IF(VLOOKUP($B668,Показатели!$E:$W,11,FALSE)=0,"",VLOOKUP($B668,Показатели!$E:$W,11,FALSE)),"")</f>
        <v/>
      </c>
      <c r="O668" t="str">
        <f>IFERROR(IF(VLOOKUP($B668,Показатели!$E:$W,12,FALSE)=0,"",VLOOKUP($B668,Показатели!$E:$W,12,FALSE)),"")</f>
        <v/>
      </c>
      <c r="P668" t="str">
        <f>IFERROR(IF(VLOOKUP($B668,Показатели!$E:$W,13,FALSE)=0,"",VLOOKUP($B668,Показатели!$E:$W,13,FALSE)),"")</f>
        <v/>
      </c>
      <c r="Q668" t="str">
        <f>IFERROR(IF(VLOOKUP($B668,Показатели!$E:$W,14,FALSE)=0,"",VLOOKUP($B668,Показатели!$E:$W,14,FALSE)),"")</f>
        <v/>
      </c>
      <c r="R668" t="str">
        <f>IFERROR(IF(VLOOKUP($B668,Показатели!$E:$W,15,FALSE)=0,"",VLOOKUP($B668,Показатели!$E:$W,15,FALSE)),"")</f>
        <v/>
      </c>
      <c r="S668" t="str">
        <f>IFERROR(IF(VLOOKUP($B668,Показатели!$E:$W,16,FALSE)=0,"",VLOOKUP($B668,Показатели!$E:$W,16,FALSE)),"")</f>
        <v/>
      </c>
      <c r="T668" t="str">
        <f>IFERROR(IF(VLOOKUP($B668,Показатели!$E:$W,17,FALSE)=0,"",VLOOKUP($B668,Показатели!$E:$W,17,FALSE)),"")</f>
        <v/>
      </c>
      <c r="U668" t="str">
        <f>IFERROR(IF(VLOOKUP($B668,Показатели!$E:$W,18,FALSE)=0,"",VLOOKUP($B668,Показатели!$E:$W,18,FALSE)),"")</f>
        <v/>
      </c>
      <c r="V668" t="str">
        <f>IFERROR(IF(VLOOKUP($B668,Показатели!$E:$W,19,FALSE)=0,"",VLOOKUP($B668,Показатели!$E:$W,19,FALSE)),"")</f>
        <v/>
      </c>
    </row>
    <row r="669" spans="1:22" x14ac:dyDescent="0.2">
      <c r="A669" s="8" t="s">
        <v>2320</v>
      </c>
      <c r="B669" t="str">
        <f t="shared" si="10"/>
        <v>RAGR IV кв. 2014</v>
      </c>
      <c r="C669" s="8">
        <v>2014</v>
      </c>
      <c r="D669">
        <f>SUMIFS(Дивиденды!$C:$C,Дивиденды!$A:$A,A669,Дивиденды!$I:$I,C669)</f>
        <v>0</v>
      </c>
      <c r="E669" t="str">
        <f>IFERROR(IF(VLOOKUP($B669,Показатели!$E:$W,2,FALSE)=0,"",VLOOKUP($B669,Показатели!$E:$W,2,FALSE)),"")</f>
        <v/>
      </c>
      <c r="F669" t="str">
        <f>IFERROR(IF(VLOOKUP($B669,Показатели!$E:$W,3,FALSE)=0,"",VLOOKUP($B669,Показатели!$E:$W,3,FALSE)),"")</f>
        <v/>
      </c>
      <c r="G669" t="str">
        <f>IFERROR(IF(VLOOKUP($B669,Показатели!$E:$W,4,FALSE)=0,"",VLOOKUP($B669,Показатели!$E:$W,4,FALSE)),"")</f>
        <v/>
      </c>
      <c r="H669" t="str">
        <f>IFERROR(IF(VLOOKUP($B669,Показатели!$E:$W,5,FALSE)=0,"",VLOOKUP($B669,Показатели!$E:$W,5,FALSE)),"")</f>
        <v/>
      </c>
      <c r="I669" t="str">
        <f>IFERROR(IF(VLOOKUP($B669,Показатели!$E:$W,6,FALSE)=0,"",VLOOKUP($B669,Показатели!$E:$W,6,FALSE)),"")</f>
        <v/>
      </c>
      <c r="J669" t="str">
        <f>IFERROR(IF(VLOOKUP($B669,Показатели!$E:$W,7,FALSE)=0,"",VLOOKUP($B669,Показатели!$E:$W,7,FALSE)),"")</f>
        <v/>
      </c>
      <c r="K669" t="str">
        <f>IFERROR(IF(VLOOKUP($B669,Показатели!$E:$W,8,FALSE)=0,"",VLOOKUP($B669,Показатели!$E:$W,8,FALSE)),"")</f>
        <v/>
      </c>
      <c r="L669" t="str">
        <f>IFERROR(IF(VLOOKUP($B669,Показатели!$E:$W,9,FALSE)=0,"",VLOOKUP($B669,Показатели!$E:$W,9,FALSE)),"")</f>
        <v/>
      </c>
      <c r="M669" t="str">
        <f>IFERROR(IF(VLOOKUP($B669,Показатели!$E:$W,10,FALSE)=0,"",VLOOKUP($B669,Показатели!$E:$W,10,FALSE)),"")</f>
        <v/>
      </c>
      <c r="N669" t="str">
        <f>IFERROR(IF(VLOOKUP($B669,Показатели!$E:$W,11,FALSE)=0,"",VLOOKUP($B669,Показатели!$E:$W,11,FALSE)),"")</f>
        <v/>
      </c>
      <c r="O669" t="str">
        <f>IFERROR(IF(VLOOKUP($B669,Показатели!$E:$W,12,FALSE)=0,"",VLOOKUP($B669,Показатели!$E:$W,12,FALSE)),"")</f>
        <v/>
      </c>
      <c r="P669" t="str">
        <f>IFERROR(IF(VLOOKUP($B669,Показатели!$E:$W,13,FALSE)=0,"",VLOOKUP($B669,Показатели!$E:$W,13,FALSE)),"")</f>
        <v/>
      </c>
      <c r="Q669" t="str">
        <f>IFERROR(IF(VLOOKUP($B669,Показатели!$E:$W,14,FALSE)=0,"",VLOOKUP($B669,Показатели!$E:$W,14,FALSE)),"")</f>
        <v/>
      </c>
      <c r="R669" t="str">
        <f>IFERROR(IF(VLOOKUP($B669,Показатели!$E:$W,15,FALSE)=0,"",VLOOKUP($B669,Показатели!$E:$W,15,FALSE)),"")</f>
        <v/>
      </c>
      <c r="S669" t="str">
        <f>IFERROR(IF(VLOOKUP($B669,Показатели!$E:$W,16,FALSE)=0,"",VLOOKUP($B669,Показатели!$E:$W,16,FALSE)),"")</f>
        <v/>
      </c>
      <c r="T669" t="str">
        <f>IFERROR(IF(VLOOKUP($B669,Показатели!$E:$W,17,FALSE)=0,"",VLOOKUP($B669,Показатели!$E:$W,17,FALSE)),"")</f>
        <v/>
      </c>
      <c r="U669" t="str">
        <f>IFERROR(IF(VLOOKUP($B669,Показатели!$E:$W,18,FALSE)=0,"",VLOOKUP($B669,Показатели!$E:$W,18,FALSE)),"")</f>
        <v/>
      </c>
      <c r="V669" t="str">
        <f>IFERROR(IF(VLOOKUP($B669,Показатели!$E:$W,19,FALSE)=0,"",VLOOKUP($B669,Показатели!$E:$W,19,FALSE)),"")</f>
        <v/>
      </c>
    </row>
    <row r="670" spans="1:22" x14ac:dyDescent="0.2">
      <c r="A670" s="8" t="s">
        <v>2320</v>
      </c>
      <c r="B670" t="str">
        <f t="shared" si="10"/>
        <v>RAGR IV кв. 2013</v>
      </c>
      <c r="C670" s="8">
        <v>2013</v>
      </c>
      <c r="D670">
        <f>SUMIFS(Дивиденды!$C:$C,Дивиденды!$A:$A,A670,Дивиденды!$I:$I,C670)</f>
        <v>0</v>
      </c>
      <c r="E670" t="str">
        <f>IFERROR(IF(VLOOKUP($B670,Показатели!$E:$W,2,FALSE)=0,"",VLOOKUP($B670,Показатели!$E:$W,2,FALSE)),"")</f>
        <v/>
      </c>
      <c r="F670" t="str">
        <f>IFERROR(IF(VLOOKUP($B670,Показатели!$E:$W,3,FALSE)=0,"",VLOOKUP($B670,Показатели!$E:$W,3,FALSE)),"")</f>
        <v/>
      </c>
      <c r="G670" t="str">
        <f>IFERROR(IF(VLOOKUP($B670,Показатели!$E:$W,4,FALSE)=0,"",VLOOKUP($B670,Показатели!$E:$W,4,FALSE)),"")</f>
        <v/>
      </c>
      <c r="H670" t="str">
        <f>IFERROR(IF(VLOOKUP($B670,Показатели!$E:$W,5,FALSE)=0,"",VLOOKUP($B670,Показатели!$E:$W,5,FALSE)),"")</f>
        <v/>
      </c>
      <c r="I670" t="str">
        <f>IFERROR(IF(VLOOKUP($B670,Показатели!$E:$W,6,FALSE)=0,"",VLOOKUP($B670,Показатели!$E:$W,6,FALSE)),"")</f>
        <v/>
      </c>
      <c r="J670" t="str">
        <f>IFERROR(IF(VLOOKUP($B670,Показатели!$E:$W,7,FALSE)=0,"",VLOOKUP($B670,Показатели!$E:$W,7,FALSE)),"")</f>
        <v/>
      </c>
      <c r="K670" t="str">
        <f>IFERROR(IF(VLOOKUP($B670,Показатели!$E:$W,8,FALSE)=0,"",VLOOKUP($B670,Показатели!$E:$W,8,FALSE)),"")</f>
        <v/>
      </c>
      <c r="L670" t="str">
        <f>IFERROR(IF(VLOOKUP($B670,Показатели!$E:$W,9,FALSE)=0,"",VLOOKUP($B670,Показатели!$E:$W,9,FALSE)),"")</f>
        <v/>
      </c>
      <c r="M670" t="str">
        <f>IFERROR(IF(VLOOKUP($B670,Показатели!$E:$W,10,FALSE)=0,"",VLOOKUP($B670,Показатели!$E:$W,10,FALSE)),"")</f>
        <v/>
      </c>
      <c r="N670" t="str">
        <f>IFERROR(IF(VLOOKUP($B670,Показатели!$E:$W,11,FALSE)=0,"",VLOOKUP($B670,Показатели!$E:$W,11,FALSE)),"")</f>
        <v/>
      </c>
      <c r="O670" t="str">
        <f>IFERROR(IF(VLOOKUP($B670,Показатели!$E:$W,12,FALSE)=0,"",VLOOKUP($B670,Показатели!$E:$W,12,FALSE)),"")</f>
        <v/>
      </c>
      <c r="P670" t="str">
        <f>IFERROR(IF(VLOOKUP($B670,Показатели!$E:$W,13,FALSE)=0,"",VLOOKUP($B670,Показатели!$E:$W,13,FALSE)),"")</f>
        <v/>
      </c>
      <c r="Q670" t="str">
        <f>IFERROR(IF(VLOOKUP($B670,Показатели!$E:$W,14,FALSE)=0,"",VLOOKUP($B670,Показатели!$E:$W,14,FALSE)),"")</f>
        <v/>
      </c>
      <c r="R670" t="str">
        <f>IFERROR(IF(VLOOKUP($B670,Показатели!$E:$W,15,FALSE)=0,"",VLOOKUP($B670,Показатели!$E:$W,15,FALSE)),"")</f>
        <v/>
      </c>
      <c r="S670" t="str">
        <f>IFERROR(IF(VLOOKUP($B670,Показатели!$E:$W,16,FALSE)=0,"",VLOOKUP($B670,Показатели!$E:$W,16,FALSE)),"")</f>
        <v/>
      </c>
      <c r="T670" t="str">
        <f>IFERROR(IF(VLOOKUP($B670,Показатели!$E:$W,17,FALSE)=0,"",VLOOKUP($B670,Показатели!$E:$W,17,FALSE)),"")</f>
        <v/>
      </c>
      <c r="U670" t="str">
        <f>IFERROR(IF(VLOOKUP($B670,Показатели!$E:$W,18,FALSE)=0,"",VLOOKUP($B670,Показатели!$E:$W,18,FALSE)),"")</f>
        <v/>
      </c>
      <c r="V670" t="str">
        <f>IFERROR(IF(VLOOKUP($B670,Показатели!$E:$W,19,FALSE)=0,"",VLOOKUP($B670,Показатели!$E:$W,19,FALSE)),"")</f>
        <v/>
      </c>
    </row>
    <row r="671" spans="1:22" x14ac:dyDescent="0.2">
      <c r="A671" s="8" t="s">
        <v>2320</v>
      </c>
      <c r="B671" t="str">
        <f t="shared" si="10"/>
        <v>RAGR IV кв. 2012</v>
      </c>
      <c r="C671" s="8">
        <v>2012</v>
      </c>
      <c r="D671">
        <f>SUMIFS(Дивиденды!$C:$C,Дивиденды!$A:$A,A671,Дивиденды!$I:$I,C671)</f>
        <v>0</v>
      </c>
      <c r="E671" t="str">
        <f>IFERROR(IF(VLOOKUP($B671,Показатели!$E:$W,2,FALSE)=0,"",VLOOKUP($B671,Показатели!$E:$W,2,FALSE)),"")</f>
        <v/>
      </c>
      <c r="F671" t="str">
        <f>IFERROR(IF(VLOOKUP($B671,Показатели!$E:$W,3,FALSE)=0,"",VLOOKUP($B671,Показатели!$E:$W,3,FALSE)),"")</f>
        <v/>
      </c>
      <c r="G671" t="str">
        <f>IFERROR(IF(VLOOKUP($B671,Показатели!$E:$W,4,FALSE)=0,"",VLOOKUP($B671,Показатели!$E:$W,4,FALSE)),"")</f>
        <v/>
      </c>
      <c r="H671" t="str">
        <f>IFERROR(IF(VLOOKUP($B671,Показатели!$E:$W,5,FALSE)=0,"",VLOOKUP($B671,Показатели!$E:$W,5,FALSE)),"")</f>
        <v/>
      </c>
      <c r="I671" t="str">
        <f>IFERROR(IF(VLOOKUP($B671,Показатели!$E:$W,6,FALSE)=0,"",VLOOKUP($B671,Показатели!$E:$W,6,FALSE)),"")</f>
        <v/>
      </c>
      <c r="J671" t="str">
        <f>IFERROR(IF(VLOOKUP($B671,Показатели!$E:$W,7,FALSE)=0,"",VLOOKUP($B671,Показатели!$E:$W,7,FALSE)),"")</f>
        <v/>
      </c>
      <c r="K671" t="str">
        <f>IFERROR(IF(VLOOKUP($B671,Показатели!$E:$W,8,FALSE)=0,"",VLOOKUP($B671,Показатели!$E:$W,8,FALSE)),"")</f>
        <v/>
      </c>
      <c r="L671" t="str">
        <f>IFERROR(IF(VLOOKUP($B671,Показатели!$E:$W,9,FALSE)=0,"",VLOOKUP($B671,Показатели!$E:$W,9,FALSE)),"")</f>
        <v/>
      </c>
      <c r="M671" t="str">
        <f>IFERROR(IF(VLOOKUP($B671,Показатели!$E:$W,10,FALSE)=0,"",VLOOKUP($B671,Показатели!$E:$W,10,FALSE)),"")</f>
        <v/>
      </c>
      <c r="N671" t="str">
        <f>IFERROR(IF(VLOOKUP($B671,Показатели!$E:$W,11,FALSE)=0,"",VLOOKUP($B671,Показатели!$E:$W,11,FALSE)),"")</f>
        <v/>
      </c>
      <c r="O671" t="str">
        <f>IFERROR(IF(VLOOKUP($B671,Показатели!$E:$W,12,FALSE)=0,"",VLOOKUP($B671,Показатели!$E:$W,12,FALSE)),"")</f>
        <v/>
      </c>
      <c r="P671" t="str">
        <f>IFERROR(IF(VLOOKUP($B671,Показатели!$E:$W,13,FALSE)=0,"",VLOOKUP($B671,Показатели!$E:$W,13,FALSE)),"")</f>
        <v/>
      </c>
      <c r="Q671" t="str">
        <f>IFERROR(IF(VLOOKUP($B671,Показатели!$E:$W,14,FALSE)=0,"",VLOOKUP($B671,Показатели!$E:$W,14,FALSE)),"")</f>
        <v/>
      </c>
      <c r="R671" t="str">
        <f>IFERROR(IF(VLOOKUP($B671,Показатели!$E:$W,15,FALSE)=0,"",VLOOKUP($B671,Показатели!$E:$W,15,FALSE)),"")</f>
        <v/>
      </c>
      <c r="S671" t="str">
        <f>IFERROR(IF(VLOOKUP($B671,Показатели!$E:$W,16,FALSE)=0,"",VLOOKUP($B671,Показатели!$E:$W,16,FALSE)),"")</f>
        <v/>
      </c>
      <c r="T671" t="str">
        <f>IFERROR(IF(VLOOKUP($B671,Показатели!$E:$W,17,FALSE)=0,"",VLOOKUP($B671,Показатели!$E:$W,17,FALSE)),"")</f>
        <v/>
      </c>
      <c r="U671" t="str">
        <f>IFERROR(IF(VLOOKUP($B671,Показатели!$E:$W,18,FALSE)=0,"",VLOOKUP($B671,Показатели!$E:$W,18,FALSE)),"")</f>
        <v/>
      </c>
      <c r="V671" t="str">
        <f>IFERROR(IF(VLOOKUP($B671,Показатели!$E:$W,19,FALSE)=0,"",VLOOKUP($B671,Показатели!$E:$W,19,FALSE)),"")</f>
        <v/>
      </c>
    </row>
    <row r="672" spans="1:22" x14ac:dyDescent="0.2">
      <c r="A672" s="8" t="s">
        <v>2320</v>
      </c>
      <c r="B672" t="str">
        <f t="shared" si="10"/>
        <v>RAGR IV кв. 2011</v>
      </c>
      <c r="C672" s="8">
        <v>2011</v>
      </c>
      <c r="D672">
        <f>SUMIFS(Дивиденды!$C:$C,Дивиденды!$A:$A,A672,Дивиденды!$I:$I,C672)</f>
        <v>0</v>
      </c>
      <c r="E672" t="str">
        <f>IFERROR(IF(VLOOKUP($B672,Показатели!$E:$W,2,FALSE)=0,"",VLOOKUP($B672,Показатели!$E:$W,2,FALSE)),"")</f>
        <v/>
      </c>
      <c r="F672" t="str">
        <f>IFERROR(IF(VLOOKUP($B672,Показатели!$E:$W,3,FALSE)=0,"",VLOOKUP($B672,Показатели!$E:$W,3,FALSE)),"")</f>
        <v/>
      </c>
      <c r="G672" t="str">
        <f>IFERROR(IF(VLOOKUP($B672,Показатели!$E:$W,4,FALSE)=0,"",VLOOKUP($B672,Показатели!$E:$W,4,FALSE)),"")</f>
        <v/>
      </c>
      <c r="H672" t="str">
        <f>IFERROR(IF(VLOOKUP($B672,Показатели!$E:$W,5,FALSE)=0,"",VLOOKUP($B672,Показатели!$E:$W,5,FALSE)),"")</f>
        <v/>
      </c>
      <c r="I672" t="str">
        <f>IFERROR(IF(VLOOKUP($B672,Показатели!$E:$W,6,FALSE)=0,"",VLOOKUP($B672,Показатели!$E:$W,6,FALSE)),"")</f>
        <v/>
      </c>
      <c r="J672" t="str">
        <f>IFERROR(IF(VLOOKUP($B672,Показатели!$E:$W,7,FALSE)=0,"",VLOOKUP($B672,Показатели!$E:$W,7,FALSE)),"")</f>
        <v/>
      </c>
      <c r="K672" t="str">
        <f>IFERROR(IF(VLOOKUP($B672,Показатели!$E:$W,8,FALSE)=0,"",VLOOKUP($B672,Показатели!$E:$W,8,FALSE)),"")</f>
        <v/>
      </c>
      <c r="L672" t="str">
        <f>IFERROR(IF(VLOOKUP($B672,Показатели!$E:$W,9,FALSE)=0,"",VLOOKUP($B672,Показатели!$E:$W,9,FALSE)),"")</f>
        <v/>
      </c>
      <c r="M672" t="str">
        <f>IFERROR(IF(VLOOKUP($B672,Показатели!$E:$W,10,FALSE)=0,"",VLOOKUP($B672,Показатели!$E:$W,10,FALSE)),"")</f>
        <v/>
      </c>
      <c r="N672" t="str">
        <f>IFERROR(IF(VLOOKUP($B672,Показатели!$E:$W,11,FALSE)=0,"",VLOOKUP($B672,Показатели!$E:$W,11,FALSE)),"")</f>
        <v/>
      </c>
      <c r="O672" t="str">
        <f>IFERROR(IF(VLOOKUP($B672,Показатели!$E:$W,12,FALSE)=0,"",VLOOKUP($B672,Показатели!$E:$W,12,FALSE)),"")</f>
        <v/>
      </c>
      <c r="P672" t="str">
        <f>IFERROR(IF(VLOOKUP($B672,Показатели!$E:$W,13,FALSE)=0,"",VLOOKUP($B672,Показатели!$E:$W,13,FALSE)),"")</f>
        <v/>
      </c>
      <c r="Q672" t="str">
        <f>IFERROR(IF(VLOOKUP($B672,Показатели!$E:$W,14,FALSE)=0,"",VLOOKUP($B672,Показатели!$E:$W,14,FALSE)),"")</f>
        <v/>
      </c>
      <c r="R672" t="str">
        <f>IFERROR(IF(VLOOKUP($B672,Показатели!$E:$W,15,FALSE)=0,"",VLOOKUP($B672,Показатели!$E:$W,15,FALSE)),"")</f>
        <v/>
      </c>
      <c r="S672" t="str">
        <f>IFERROR(IF(VLOOKUP($B672,Показатели!$E:$W,16,FALSE)=0,"",VLOOKUP($B672,Показатели!$E:$W,16,FALSE)),"")</f>
        <v/>
      </c>
      <c r="T672" t="str">
        <f>IFERROR(IF(VLOOKUP($B672,Показатели!$E:$W,17,FALSE)=0,"",VLOOKUP($B672,Показатели!$E:$W,17,FALSE)),"")</f>
        <v/>
      </c>
      <c r="U672" t="str">
        <f>IFERROR(IF(VLOOKUP($B672,Показатели!$E:$W,18,FALSE)=0,"",VLOOKUP($B672,Показатели!$E:$W,18,FALSE)),"")</f>
        <v/>
      </c>
      <c r="V672" t="str">
        <f>IFERROR(IF(VLOOKUP($B672,Показатели!$E:$W,19,FALSE)=0,"",VLOOKUP($B672,Показатели!$E:$W,19,FALSE)),"")</f>
        <v/>
      </c>
    </row>
    <row r="673" spans="1:22" x14ac:dyDescent="0.2">
      <c r="A673" s="8" t="s">
        <v>2320</v>
      </c>
      <c r="B673" t="str">
        <f t="shared" si="10"/>
        <v>RAGR IV кв. 2010</v>
      </c>
      <c r="C673" s="8">
        <v>2010</v>
      </c>
      <c r="D673">
        <f>SUMIFS(Дивиденды!$C:$C,Дивиденды!$A:$A,A673,Дивиденды!$I:$I,C673)</f>
        <v>0</v>
      </c>
      <c r="E673" t="str">
        <f>IFERROR(IF(VLOOKUP($B673,Показатели!$E:$W,2,FALSE)=0,"",VLOOKUP($B673,Показатели!$E:$W,2,FALSE)),"")</f>
        <v/>
      </c>
      <c r="F673" t="str">
        <f>IFERROR(IF(VLOOKUP($B673,Показатели!$E:$W,3,FALSE)=0,"",VLOOKUP($B673,Показатели!$E:$W,3,FALSE)),"")</f>
        <v/>
      </c>
      <c r="G673" t="str">
        <f>IFERROR(IF(VLOOKUP($B673,Показатели!$E:$W,4,FALSE)=0,"",VLOOKUP($B673,Показатели!$E:$W,4,FALSE)),"")</f>
        <v/>
      </c>
      <c r="H673" t="str">
        <f>IFERROR(IF(VLOOKUP($B673,Показатели!$E:$W,5,FALSE)=0,"",VLOOKUP($B673,Показатели!$E:$W,5,FALSE)),"")</f>
        <v/>
      </c>
      <c r="I673" t="str">
        <f>IFERROR(IF(VLOOKUP($B673,Показатели!$E:$W,6,FALSE)=0,"",VLOOKUP($B673,Показатели!$E:$W,6,FALSE)),"")</f>
        <v/>
      </c>
      <c r="J673" t="str">
        <f>IFERROR(IF(VLOOKUP($B673,Показатели!$E:$W,7,FALSE)=0,"",VLOOKUP($B673,Показатели!$E:$W,7,FALSE)),"")</f>
        <v/>
      </c>
      <c r="K673" t="str">
        <f>IFERROR(IF(VLOOKUP($B673,Показатели!$E:$W,8,FALSE)=0,"",VLOOKUP($B673,Показатели!$E:$W,8,FALSE)),"")</f>
        <v/>
      </c>
      <c r="L673" t="str">
        <f>IFERROR(IF(VLOOKUP($B673,Показатели!$E:$W,9,FALSE)=0,"",VLOOKUP($B673,Показатели!$E:$W,9,FALSE)),"")</f>
        <v/>
      </c>
      <c r="M673" t="str">
        <f>IFERROR(IF(VLOOKUP($B673,Показатели!$E:$W,10,FALSE)=0,"",VLOOKUP($B673,Показатели!$E:$W,10,FALSE)),"")</f>
        <v/>
      </c>
      <c r="N673" t="str">
        <f>IFERROR(IF(VLOOKUP($B673,Показатели!$E:$W,11,FALSE)=0,"",VLOOKUP($B673,Показатели!$E:$W,11,FALSE)),"")</f>
        <v/>
      </c>
      <c r="O673" t="str">
        <f>IFERROR(IF(VLOOKUP($B673,Показатели!$E:$W,12,FALSE)=0,"",VLOOKUP($B673,Показатели!$E:$W,12,FALSE)),"")</f>
        <v/>
      </c>
      <c r="P673" t="str">
        <f>IFERROR(IF(VLOOKUP($B673,Показатели!$E:$W,13,FALSE)=0,"",VLOOKUP($B673,Показатели!$E:$W,13,FALSE)),"")</f>
        <v/>
      </c>
      <c r="Q673" t="str">
        <f>IFERROR(IF(VLOOKUP($B673,Показатели!$E:$W,14,FALSE)=0,"",VLOOKUP($B673,Показатели!$E:$W,14,FALSE)),"")</f>
        <v/>
      </c>
      <c r="R673" t="str">
        <f>IFERROR(IF(VLOOKUP($B673,Показатели!$E:$W,15,FALSE)=0,"",VLOOKUP($B673,Показатели!$E:$W,15,FALSE)),"")</f>
        <v/>
      </c>
      <c r="S673" t="str">
        <f>IFERROR(IF(VLOOKUP($B673,Показатели!$E:$W,16,FALSE)=0,"",VLOOKUP($B673,Показатели!$E:$W,16,FALSE)),"")</f>
        <v/>
      </c>
      <c r="T673" t="str">
        <f>IFERROR(IF(VLOOKUP($B673,Показатели!$E:$W,17,FALSE)=0,"",VLOOKUP($B673,Показатели!$E:$W,17,FALSE)),"")</f>
        <v/>
      </c>
      <c r="U673" t="str">
        <f>IFERROR(IF(VLOOKUP($B673,Показатели!$E:$W,18,FALSE)=0,"",VLOOKUP($B673,Показатели!$E:$W,18,FALSE)),"")</f>
        <v/>
      </c>
      <c r="V673" t="str">
        <f>IFERROR(IF(VLOOKUP($B673,Показатели!$E:$W,19,FALSE)=0,"",VLOOKUP($B673,Показатели!$E:$W,19,FALSE)),"")</f>
        <v/>
      </c>
    </row>
    <row r="674" spans="1:22" x14ac:dyDescent="0.2">
      <c r="A674" s="7" t="s">
        <v>2261</v>
      </c>
      <c r="B674" t="str">
        <f t="shared" si="10"/>
        <v>SVAV IV кв. 2025</v>
      </c>
      <c r="C674">
        <v>2025</v>
      </c>
      <c r="D674">
        <f>SUMIFS(Дивиденды!$C:$C,Дивиденды!$A:$A,A674,Дивиденды!$I:$I,C674)</f>
        <v>0</v>
      </c>
      <c r="E674" t="str">
        <f>IFERROR(IF(VLOOKUP($B674,Показатели!$E:$W,2,FALSE)=0,"",VLOOKUP($B674,Показатели!$E:$W,2,FALSE)),"")</f>
        <v/>
      </c>
      <c r="F674" t="str">
        <f>IFERROR(IF(VLOOKUP($B674,Показатели!$E:$W,3,FALSE)=0,"",VLOOKUP($B674,Показатели!$E:$W,3,FALSE)),"")</f>
        <v/>
      </c>
      <c r="G674" t="str">
        <f>IFERROR(IF(VLOOKUP($B674,Показатели!$E:$W,4,FALSE)=0,"",VLOOKUP($B674,Показатели!$E:$W,4,FALSE)),"")</f>
        <v/>
      </c>
      <c r="H674" t="str">
        <f>IFERROR(IF(VLOOKUP($B674,Показатели!$E:$W,5,FALSE)=0,"",VLOOKUP($B674,Показатели!$E:$W,5,FALSE)),"")</f>
        <v/>
      </c>
      <c r="I674" t="str">
        <f>IFERROR(IF(VLOOKUP($B674,Показатели!$E:$W,6,FALSE)=0,"",VLOOKUP($B674,Показатели!$E:$W,6,FALSE)),"")</f>
        <v/>
      </c>
      <c r="J674" t="str">
        <f>IFERROR(IF(VLOOKUP($B674,Показатели!$E:$W,7,FALSE)=0,"",VLOOKUP($B674,Показатели!$E:$W,7,FALSE)),"")</f>
        <v/>
      </c>
      <c r="K674" t="str">
        <f>IFERROR(IF(VLOOKUP($B674,Показатели!$E:$W,8,FALSE)=0,"",VLOOKUP($B674,Показатели!$E:$W,8,FALSE)),"")</f>
        <v/>
      </c>
      <c r="L674" t="str">
        <f>IFERROR(IF(VLOOKUP($B674,Показатели!$E:$W,9,FALSE)=0,"",VLOOKUP($B674,Показатели!$E:$W,9,FALSE)),"")</f>
        <v/>
      </c>
      <c r="M674" t="str">
        <f>IFERROR(IF(VLOOKUP($B674,Показатели!$E:$W,10,FALSE)=0,"",VLOOKUP($B674,Показатели!$E:$W,10,FALSE)),"")</f>
        <v/>
      </c>
      <c r="N674" t="str">
        <f>IFERROR(IF(VLOOKUP($B674,Показатели!$E:$W,11,FALSE)=0,"",VLOOKUP($B674,Показатели!$E:$W,11,FALSE)),"")</f>
        <v/>
      </c>
      <c r="O674" t="str">
        <f>IFERROR(IF(VLOOKUP($B674,Показатели!$E:$W,12,FALSE)=0,"",VLOOKUP($B674,Показатели!$E:$W,12,FALSE)),"")</f>
        <v/>
      </c>
      <c r="P674" t="str">
        <f>IFERROR(IF(VLOOKUP($B674,Показатели!$E:$W,13,FALSE)=0,"",VLOOKUP($B674,Показатели!$E:$W,13,FALSE)),"")</f>
        <v/>
      </c>
      <c r="Q674" t="str">
        <f>IFERROR(IF(VLOOKUP($B674,Показатели!$E:$W,14,FALSE)=0,"",VLOOKUP($B674,Показатели!$E:$W,14,FALSE)),"")</f>
        <v/>
      </c>
      <c r="R674" t="str">
        <f>IFERROR(IF(VLOOKUP($B674,Показатели!$E:$W,15,FALSE)=0,"",VLOOKUP($B674,Показатели!$E:$W,15,FALSE)),"")</f>
        <v/>
      </c>
      <c r="S674" t="str">
        <f>IFERROR(IF(VLOOKUP($B674,Показатели!$E:$W,16,FALSE)=0,"",VLOOKUP($B674,Показатели!$E:$W,16,FALSE)),"")</f>
        <v/>
      </c>
      <c r="T674" t="str">
        <f>IFERROR(IF(VLOOKUP($B674,Показатели!$E:$W,17,FALSE)=0,"",VLOOKUP($B674,Показатели!$E:$W,17,FALSE)),"")</f>
        <v/>
      </c>
      <c r="U674" t="str">
        <f>IFERROR(IF(VLOOKUP($B674,Показатели!$E:$W,18,FALSE)=0,"",VLOOKUP($B674,Показатели!$E:$W,18,FALSE)),"")</f>
        <v/>
      </c>
      <c r="V674" t="str">
        <f>IFERROR(IF(VLOOKUP($B674,Показатели!$E:$W,19,FALSE)=0,"",VLOOKUP($B674,Показатели!$E:$W,19,FALSE)),"")</f>
        <v/>
      </c>
    </row>
    <row r="675" spans="1:22" x14ac:dyDescent="0.2">
      <c r="A675" s="7" t="s">
        <v>2261</v>
      </c>
      <c r="B675" t="str">
        <f t="shared" si="10"/>
        <v>SVAV IV кв. 2024</v>
      </c>
      <c r="C675">
        <v>2024</v>
      </c>
      <c r="D675">
        <f>SUMIFS(Дивиденды!$C:$C,Дивиденды!$A:$A,A675,Дивиденды!$I:$I,C675)</f>
        <v>70</v>
      </c>
      <c r="E675">
        <f>IFERROR(IF(VLOOKUP($B675,Показатели!$E:$W,2,FALSE)=0,"",VLOOKUP($B675,Показатели!$E:$W,2,FALSE)),"")</f>
        <v>8300000000</v>
      </c>
      <c r="F675">
        <f>IFERROR(IF(VLOOKUP($B675,Показатели!$E:$W,3,FALSE)=0,"",VLOOKUP($B675,Показатели!$E:$W,3,FALSE)),"")</f>
        <v>44167000000</v>
      </c>
      <c r="G675">
        <f>IFERROR(IF(VLOOKUP($B675,Показатели!$E:$W,4,FALSE)=0,"",VLOOKUP($B675,Показатели!$E:$W,4,FALSE)),"")</f>
        <v>21294000000</v>
      </c>
      <c r="H675">
        <f>IFERROR(IF(VLOOKUP($B675,Показатели!$E:$W,5,FALSE)=0,"",VLOOKUP($B675,Показатели!$E:$W,5,FALSE)),"")</f>
        <v>1959000000</v>
      </c>
      <c r="I675">
        <f>IFERROR(IF(VLOOKUP($B675,Показатели!$E:$W,6,FALSE)=0,"",VLOOKUP($B675,Показатели!$E:$W,6,FALSE)),"")</f>
        <v>78239000000</v>
      </c>
      <c r="J675">
        <f>IFERROR(IF(VLOOKUP($B675,Показатели!$E:$W,7,FALSE)=0,"",VLOOKUP($B675,Показатели!$E:$W,7,FALSE)),"")</f>
        <v>40700000000</v>
      </c>
      <c r="K675">
        <f>IFERROR(IF(VLOOKUP($B675,Показатели!$E:$W,8,FALSE)=0,"",VLOOKUP($B675,Показатели!$E:$W,8,FALSE)),"")</f>
        <v>12537000000</v>
      </c>
      <c r="L675">
        <f>IFERROR(IF(VLOOKUP($B675,Показатели!$E:$W,9,FALSE)=0,"",VLOOKUP($B675,Показатели!$E:$W,9,FALSE)),"")</f>
        <v>9209000000</v>
      </c>
      <c r="M675">
        <f>IFERROR(IF(VLOOKUP($B675,Показатели!$E:$W,10,FALSE)=0,"",VLOOKUP($B675,Показатели!$E:$W,10,FALSE)),"")</f>
        <v>25002000000</v>
      </c>
      <c r="N675">
        <f>IFERROR(IF(VLOOKUP($B675,Показатели!$E:$W,11,FALSE)=0,"",VLOOKUP($B675,Показатели!$E:$W,11,FALSE)),"")</f>
        <v>91761000000</v>
      </c>
      <c r="O675">
        <f>IFERROR(IF(VLOOKUP($B675,Показатели!$E:$W,12,FALSE)=0,"",VLOOKUP($B675,Показатели!$E:$W,12,FALSE)),"")</f>
        <v>2848000000</v>
      </c>
      <c r="P675">
        <f>IFERROR(IF(VLOOKUP($B675,Показатели!$E:$W,13,FALSE)=0,"",VLOOKUP($B675,Показатели!$E:$W,13,FALSE)),"")</f>
        <v>5038000000</v>
      </c>
      <c r="Q675">
        <f>IFERROR(IF(VLOOKUP($B675,Показатели!$E:$W,14,FALSE)=0,"",VLOOKUP($B675,Показатели!$E:$W,14,FALSE)),"")</f>
        <v>3733000000</v>
      </c>
      <c r="R675">
        <f>IFERROR(IF(VLOOKUP($B675,Показатели!$E:$W,15,FALSE)=0,"",VLOOKUP($B675,Показатели!$E:$W,15,FALSE)),"")</f>
        <v>2865000000</v>
      </c>
      <c r="S675" t="str">
        <f>IFERROR(IF(VLOOKUP($B675,Показатели!$E:$W,16,FALSE)=0,"",VLOOKUP($B675,Показатели!$E:$W,16,FALSE)),"")</f>
        <v/>
      </c>
      <c r="T675">
        <f>IFERROR(IF(VLOOKUP($B675,Показатели!$E:$W,17,FALSE)=0,"",VLOOKUP($B675,Показатели!$E:$W,17,FALSE)),"")</f>
        <v>-6005000000</v>
      </c>
      <c r="U675">
        <f>IFERROR(IF(VLOOKUP($B675,Показатели!$E:$W,18,FALSE)=0,"",VLOOKUP($B675,Показатели!$E:$W,18,FALSE)),"")</f>
        <v>82289000000</v>
      </c>
      <c r="V675">
        <f>IFERROR(IF(VLOOKUP($B675,Показатели!$E:$W,19,FALSE)=0,"",VLOOKUP($B675,Показатели!$E:$W,19,FALSE)),"")</f>
        <v>70611000000</v>
      </c>
    </row>
    <row r="676" spans="1:22" x14ac:dyDescent="0.2">
      <c r="A676" s="7" t="s">
        <v>2261</v>
      </c>
      <c r="B676" t="str">
        <f t="shared" si="10"/>
        <v>SVAV IV кв. 2023</v>
      </c>
      <c r="C676">
        <v>2023</v>
      </c>
      <c r="D676">
        <f>SUMIFS(Дивиденды!$C:$C,Дивиденды!$A:$A,A676,Дивиденды!$I:$I,C676)</f>
        <v>89</v>
      </c>
      <c r="E676">
        <f>IFERROR(IF(VLOOKUP($B676,Показатели!$E:$W,2,FALSE)=0,"",VLOOKUP($B676,Показатели!$E:$W,2,FALSE)),"")</f>
        <v>9313000000</v>
      </c>
      <c r="F676">
        <f>IFERROR(IF(VLOOKUP($B676,Показатели!$E:$W,3,FALSE)=0,"",VLOOKUP($B676,Показатели!$E:$W,3,FALSE)),"")</f>
        <v>41615000000</v>
      </c>
      <c r="G676">
        <f>IFERROR(IF(VLOOKUP($B676,Показатели!$E:$W,4,FALSE)=0,"",VLOOKUP($B676,Показатели!$E:$W,4,FALSE)),"")</f>
        <v>18148000000</v>
      </c>
      <c r="H676">
        <f>IFERROR(IF(VLOOKUP($B676,Показатели!$E:$W,5,FALSE)=0,"",VLOOKUP($B676,Показатели!$E:$W,5,FALSE)),"")</f>
        <v>1923000000</v>
      </c>
      <c r="I676">
        <f>IFERROR(IF(VLOOKUP($B676,Показатели!$E:$W,6,FALSE)=0,"",VLOOKUP($B676,Показатели!$E:$W,6,FALSE)),"")</f>
        <v>70611000000</v>
      </c>
      <c r="J676">
        <f>IFERROR(IF(VLOOKUP($B676,Показатели!$E:$W,7,FALSE)=0,"",VLOOKUP($B676,Показатели!$E:$W,7,FALSE)),"")</f>
        <v>37944000000</v>
      </c>
      <c r="K676">
        <f>IFERROR(IF(VLOOKUP($B676,Показатели!$E:$W,8,FALSE)=0,"",VLOOKUP($B676,Показатели!$E:$W,8,FALSE)),"")</f>
        <v>8596000000</v>
      </c>
      <c r="L676">
        <f>IFERROR(IF(VLOOKUP($B676,Показатели!$E:$W,9,FALSE)=0,"",VLOOKUP($B676,Показатели!$E:$W,9,FALSE)),"")</f>
        <v>8284000000</v>
      </c>
      <c r="M676">
        <f>IFERROR(IF(VLOOKUP($B676,Показатели!$E:$W,10,FALSE)=0,"",VLOOKUP($B676,Показатели!$E:$W,10,FALSE)),"")</f>
        <v>24071000000</v>
      </c>
      <c r="N676">
        <f>IFERROR(IF(VLOOKUP($B676,Показатели!$E:$W,11,FALSE)=0,"",VLOOKUP($B676,Показатели!$E:$W,11,FALSE)),"")</f>
        <v>82289000000</v>
      </c>
      <c r="O676">
        <f>IFERROR(IF(VLOOKUP($B676,Показатели!$E:$W,12,FALSE)=0,"",VLOOKUP($B676,Показатели!$E:$W,12,FALSE)),"")</f>
        <v>6885000000</v>
      </c>
      <c r="P676">
        <f>IFERROR(IF(VLOOKUP($B676,Показатели!$E:$W,13,FALSE)=0,"",VLOOKUP($B676,Показатели!$E:$W,13,FALSE)),"")</f>
        <v>5941000000</v>
      </c>
      <c r="Q676">
        <f>IFERROR(IF(VLOOKUP($B676,Показатели!$E:$W,14,FALSE)=0,"",VLOOKUP($B676,Показатели!$E:$W,14,FALSE)),"")</f>
        <v>4934000000</v>
      </c>
      <c r="R676">
        <f>IFERROR(IF(VLOOKUP($B676,Показатели!$E:$W,15,FALSE)=0,"",VLOOKUP($B676,Показатели!$E:$W,15,FALSE)),"")</f>
        <v>2870000000</v>
      </c>
      <c r="S676" t="str">
        <f>IFERROR(IF(VLOOKUP($B676,Показатели!$E:$W,16,FALSE)=0,"",VLOOKUP($B676,Показатели!$E:$W,16,FALSE)),"")</f>
        <v/>
      </c>
      <c r="T676">
        <f>IFERROR(IF(VLOOKUP($B676,Показатели!$E:$W,17,FALSE)=0,"",VLOOKUP($B676,Показатели!$E:$W,17,FALSE)),"")</f>
        <v>-3457000000</v>
      </c>
      <c r="U676" t="str">
        <f>IFERROR(IF(VLOOKUP($B676,Показатели!$E:$W,18,FALSE)=0,"",VLOOKUP($B676,Показатели!$E:$W,18,FALSE)),"")</f>
        <v/>
      </c>
      <c r="V676" t="str">
        <f>IFERROR(IF(VLOOKUP($B676,Показатели!$E:$W,19,FALSE)=0,"",VLOOKUP($B676,Показатели!$E:$W,19,FALSE)),"")</f>
        <v/>
      </c>
    </row>
    <row r="677" spans="1:22" x14ac:dyDescent="0.2">
      <c r="A677" s="7" t="s">
        <v>2261</v>
      </c>
      <c r="B677" t="str">
        <f t="shared" si="10"/>
        <v>SVAV IV кв. 2022</v>
      </c>
      <c r="C677">
        <v>2022</v>
      </c>
      <c r="D677">
        <f>SUMIFS(Дивиденды!$C:$C,Дивиденды!$A:$A,A677,Дивиденды!$I:$I,C677)</f>
        <v>45.39</v>
      </c>
      <c r="E677" t="str">
        <f>IFERROR(IF(VLOOKUP($B677,Показатели!$E:$W,2,FALSE)=0,"",VLOOKUP($B677,Показатели!$E:$W,2,FALSE)),"")</f>
        <v/>
      </c>
      <c r="F677" t="str">
        <f>IFERROR(IF(VLOOKUP($B677,Показатели!$E:$W,3,FALSE)=0,"",VLOOKUP($B677,Показатели!$E:$W,3,FALSE)),"")</f>
        <v/>
      </c>
      <c r="G677" t="str">
        <f>IFERROR(IF(VLOOKUP($B677,Показатели!$E:$W,4,FALSE)=0,"",VLOOKUP($B677,Показатели!$E:$W,4,FALSE)),"")</f>
        <v/>
      </c>
      <c r="H677" t="str">
        <f>IFERROR(IF(VLOOKUP($B677,Показатели!$E:$W,5,FALSE)=0,"",VLOOKUP($B677,Показатели!$E:$W,5,FALSE)),"")</f>
        <v/>
      </c>
      <c r="I677" t="str">
        <f>IFERROR(IF(VLOOKUP($B677,Показатели!$E:$W,6,FALSE)=0,"",VLOOKUP($B677,Показатели!$E:$W,6,FALSE)),"")</f>
        <v/>
      </c>
      <c r="J677" t="str">
        <f>IFERROR(IF(VLOOKUP($B677,Показатели!$E:$W,7,FALSE)=0,"",VLOOKUP($B677,Показатели!$E:$W,7,FALSE)),"")</f>
        <v/>
      </c>
      <c r="K677" t="str">
        <f>IFERROR(IF(VLOOKUP($B677,Показатели!$E:$W,8,FALSE)=0,"",VLOOKUP($B677,Показатели!$E:$W,8,FALSE)),"")</f>
        <v/>
      </c>
      <c r="L677" t="str">
        <f>IFERROR(IF(VLOOKUP($B677,Показатели!$E:$W,9,FALSE)=0,"",VLOOKUP($B677,Показатели!$E:$W,9,FALSE)),"")</f>
        <v/>
      </c>
      <c r="M677" t="str">
        <f>IFERROR(IF(VLOOKUP($B677,Показатели!$E:$W,10,FALSE)=0,"",VLOOKUP($B677,Показатели!$E:$W,10,FALSE)),"")</f>
        <v/>
      </c>
      <c r="N677" t="str">
        <f>IFERROR(IF(VLOOKUP($B677,Показатели!$E:$W,11,FALSE)=0,"",VLOOKUP($B677,Показатели!$E:$W,11,FALSE)),"")</f>
        <v/>
      </c>
      <c r="O677" t="str">
        <f>IFERROR(IF(VLOOKUP($B677,Показатели!$E:$W,12,FALSE)=0,"",VLOOKUP($B677,Показатели!$E:$W,12,FALSE)),"")</f>
        <v/>
      </c>
      <c r="P677" t="str">
        <f>IFERROR(IF(VLOOKUP($B677,Показатели!$E:$W,13,FALSE)=0,"",VLOOKUP($B677,Показатели!$E:$W,13,FALSE)),"")</f>
        <v/>
      </c>
      <c r="Q677" t="str">
        <f>IFERROR(IF(VLOOKUP($B677,Показатели!$E:$W,14,FALSE)=0,"",VLOOKUP($B677,Показатели!$E:$W,14,FALSE)),"")</f>
        <v/>
      </c>
      <c r="R677" t="str">
        <f>IFERROR(IF(VLOOKUP($B677,Показатели!$E:$W,15,FALSE)=0,"",VLOOKUP($B677,Показатели!$E:$W,15,FALSE)),"")</f>
        <v/>
      </c>
      <c r="S677" t="str">
        <f>IFERROR(IF(VLOOKUP($B677,Показатели!$E:$W,16,FALSE)=0,"",VLOOKUP($B677,Показатели!$E:$W,16,FALSE)),"")</f>
        <v/>
      </c>
      <c r="T677" t="str">
        <f>IFERROR(IF(VLOOKUP($B677,Показатели!$E:$W,17,FALSE)=0,"",VLOOKUP($B677,Показатели!$E:$W,17,FALSE)),"")</f>
        <v/>
      </c>
      <c r="U677" t="str">
        <f>IFERROR(IF(VLOOKUP($B677,Показатели!$E:$W,18,FALSE)=0,"",VLOOKUP($B677,Показатели!$E:$W,18,FALSE)),"")</f>
        <v/>
      </c>
      <c r="V677" t="str">
        <f>IFERROR(IF(VLOOKUP($B677,Показатели!$E:$W,19,FALSE)=0,"",VLOOKUP($B677,Показатели!$E:$W,19,FALSE)),"")</f>
        <v/>
      </c>
    </row>
    <row r="678" spans="1:22" x14ac:dyDescent="0.2">
      <c r="A678" s="7" t="s">
        <v>2261</v>
      </c>
      <c r="B678" t="str">
        <f t="shared" si="10"/>
        <v>SVAV IV кв. 2021</v>
      </c>
      <c r="C678">
        <v>2021</v>
      </c>
      <c r="D678">
        <f>SUMIFS(Дивиденды!$C:$C,Дивиденды!$A:$A,A678,Дивиденды!$I:$I,C678)</f>
        <v>0</v>
      </c>
      <c r="E678">
        <f>IFERROR(IF(VLOOKUP($B678,Показатели!$E:$W,2,FALSE)=0,"",VLOOKUP($B678,Показатели!$E:$W,2,FALSE)),"")</f>
        <v>15343000000</v>
      </c>
      <c r="F678">
        <f>IFERROR(IF(VLOOKUP($B678,Показатели!$E:$W,3,FALSE)=0,"",VLOOKUP($B678,Показатели!$E:$W,3,FALSE)),"")</f>
        <v>39359000000</v>
      </c>
      <c r="G678">
        <f>IFERROR(IF(VLOOKUP($B678,Показатели!$E:$W,4,FALSE)=0,"",VLOOKUP($B678,Показатели!$E:$W,4,FALSE)),"")</f>
        <v>20933000000</v>
      </c>
      <c r="H678">
        <f>IFERROR(IF(VLOOKUP($B678,Показатели!$E:$W,5,FALSE)=0,"",VLOOKUP($B678,Показатели!$E:$W,5,FALSE)),"")</f>
        <v>3457000000</v>
      </c>
      <c r="I678">
        <f>IFERROR(IF(VLOOKUP($B678,Показатели!$E:$W,6,FALSE)=0,"",VLOOKUP($B678,Показатели!$E:$W,6,FALSE)),"")</f>
        <v>72242000000</v>
      </c>
      <c r="J678">
        <f>IFERROR(IF(VLOOKUP($B678,Показатели!$E:$W,7,FALSE)=0,"",VLOOKUP($B678,Показатели!$E:$W,7,FALSE)),"")</f>
        <v>40075000000</v>
      </c>
      <c r="K678">
        <f>IFERROR(IF(VLOOKUP($B678,Показатели!$E:$W,8,FALSE)=0,"",VLOOKUP($B678,Показатели!$E:$W,8,FALSE)),"")</f>
        <v>4437000000</v>
      </c>
      <c r="L678">
        <f>IFERROR(IF(VLOOKUP($B678,Показатели!$E:$W,9,FALSE)=0,"",VLOOKUP($B678,Показатели!$E:$W,9,FALSE)),"")</f>
        <v>12548000000</v>
      </c>
      <c r="M678">
        <f>IFERROR(IF(VLOOKUP($B678,Показатели!$E:$W,10,FALSE)=0,"",VLOOKUP($B678,Показатели!$E:$W,10,FALSE)),"")</f>
        <v>27730000000</v>
      </c>
      <c r="N678">
        <f>IFERROR(IF(VLOOKUP($B678,Показатели!$E:$W,11,FALSE)=0,"",VLOOKUP($B678,Показатели!$E:$W,11,FALSE)),"")</f>
        <v>91709000000</v>
      </c>
      <c r="O678">
        <f>IFERROR(IF(VLOOKUP($B678,Показатели!$E:$W,12,FALSE)=0,"",VLOOKUP($B678,Показатели!$E:$W,12,FALSE)),"")</f>
        <v>5346000000</v>
      </c>
      <c r="P678">
        <f>IFERROR(IF(VLOOKUP($B678,Показатели!$E:$W,13,FALSE)=0,"",VLOOKUP($B678,Показатели!$E:$W,13,FALSE)),"")</f>
        <v>5238000000</v>
      </c>
      <c r="Q678">
        <f>IFERROR(IF(VLOOKUP($B678,Показатели!$E:$W,14,FALSE)=0,"",VLOOKUP($B678,Показатели!$E:$W,14,FALSE)),"")</f>
        <v>4545000000</v>
      </c>
      <c r="R678">
        <f>IFERROR(IF(VLOOKUP($B678,Показатели!$E:$W,15,FALSE)=0,"",VLOOKUP($B678,Показатели!$E:$W,15,FALSE)),"")</f>
        <v>3157000000</v>
      </c>
      <c r="S678">
        <f>IFERROR(IF(VLOOKUP($B678,Показатели!$E:$W,16,FALSE)=0,"",VLOOKUP($B678,Показатели!$E:$W,16,FALSE)),"")</f>
        <v>8649000000</v>
      </c>
      <c r="T678">
        <f>IFERROR(IF(VLOOKUP($B678,Показатели!$E:$W,17,FALSE)=0,"",VLOOKUP($B678,Показатели!$E:$W,17,FALSE)),"")</f>
        <v>-1283000000</v>
      </c>
      <c r="U678">
        <f>IFERROR(IF(VLOOKUP($B678,Показатели!$E:$W,18,FALSE)=0,"",VLOOKUP($B678,Показатели!$E:$W,18,FALSE)),"")</f>
        <v>65985000000</v>
      </c>
      <c r="V678">
        <f>IFERROR(IF(VLOOKUP($B678,Показатели!$E:$W,19,FALSE)=0,"",VLOOKUP($B678,Показатели!$E:$W,19,FALSE)),"")</f>
        <v>67551000000</v>
      </c>
    </row>
    <row r="679" spans="1:22" x14ac:dyDescent="0.2">
      <c r="A679" s="7" t="s">
        <v>2261</v>
      </c>
      <c r="B679" t="str">
        <f t="shared" si="10"/>
        <v>SVAV IV кв. 2020</v>
      </c>
      <c r="C679">
        <v>2020</v>
      </c>
      <c r="D679">
        <f>SUMIFS(Дивиденды!$C:$C,Дивиденды!$A:$A,A679,Дивиденды!$I:$I,C679)</f>
        <v>0</v>
      </c>
      <c r="E679">
        <f>IFERROR(IF(VLOOKUP($B679,Показатели!$E:$W,2,FALSE)=0,"",VLOOKUP($B679,Показатели!$E:$W,2,FALSE)),"")</f>
        <v>9825000000</v>
      </c>
      <c r="F679">
        <f>IFERROR(IF(VLOOKUP($B679,Показатели!$E:$W,3,FALSE)=0,"",VLOOKUP($B679,Показатели!$E:$W,3,FALSE)),"")</f>
        <v>33351000000</v>
      </c>
      <c r="G679">
        <f>IFERROR(IF(VLOOKUP($B679,Показатели!$E:$W,4,FALSE)=0,"",VLOOKUP($B679,Показатели!$E:$W,4,FALSE)),"")</f>
        <v>22521000000</v>
      </c>
      <c r="H679">
        <f>IFERROR(IF(VLOOKUP($B679,Показатели!$E:$W,5,FALSE)=0,"",VLOOKUP($B679,Показатели!$E:$W,5,FALSE)),"")</f>
        <v>3720000000</v>
      </c>
      <c r="I679">
        <f>IFERROR(IF(VLOOKUP($B679,Показатели!$E:$W,6,FALSE)=0,"",VLOOKUP($B679,Показатели!$E:$W,6,FALSE)),"")</f>
        <v>67551000000</v>
      </c>
      <c r="J679">
        <f>IFERROR(IF(VLOOKUP($B679,Показатели!$E:$W,7,FALSE)=0,"",VLOOKUP($B679,Показатели!$E:$W,7,FALSE)),"")</f>
        <v>34036000000</v>
      </c>
      <c r="K679">
        <f>IFERROR(IF(VLOOKUP($B679,Показатели!$E:$W,8,FALSE)=0,"",VLOOKUP($B679,Показатели!$E:$W,8,FALSE)),"")</f>
        <v>8284000000</v>
      </c>
      <c r="L679">
        <f>IFERROR(IF(VLOOKUP($B679,Показатели!$E:$W,9,FALSE)=0,"",VLOOKUP($B679,Показатели!$E:$W,9,FALSE)),"")</f>
        <v>10119000000</v>
      </c>
      <c r="M679">
        <f>IFERROR(IF(VLOOKUP($B679,Показатели!$E:$W,10,FALSE)=0,"",VLOOKUP($B679,Показатели!$E:$W,10,FALSE)),"")</f>
        <v>25231000000</v>
      </c>
      <c r="N679">
        <f>IFERROR(IF(VLOOKUP($B679,Показатели!$E:$W,11,FALSE)=0,"",VLOOKUP($B679,Показатели!$E:$W,11,FALSE)),"")</f>
        <v>65985000000</v>
      </c>
      <c r="O679">
        <f>IFERROR(IF(VLOOKUP($B679,Показатели!$E:$W,12,FALSE)=0,"",VLOOKUP($B679,Показатели!$E:$W,12,FALSE)),"")</f>
        <v>-517000000</v>
      </c>
      <c r="P679">
        <f>IFERROR(IF(VLOOKUP($B679,Показатели!$E:$W,13,FALSE)=0,"",VLOOKUP($B679,Показатели!$E:$W,13,FALSE)),"")</f>
        <v>-2397000000</v>
      </c>
      <c r="Q679">
        <f>IFERROR(IF(VLOOKUP($B679,Показатели!$E:$W,14,FALSE)=0,"",VLOOKUP($B679,Показатели!$E:$W,14,FALSE)),"")</f>
        <v>-1745000000</v>
      </c>
      <c r="R679">
        <f>IFERROR(IF(VLOOKUP($B679,Показатели!$E:$W,15,FALSE)=0,"",VLOOKUP($B679,Показатели!$E:$W,15,FALSE)),"")</f>
        <v>3494000000</v>
      </c>
      <c r="S679">
        <f>IFERROR(IF(VLOOKUP($B679,Показатели!$E:$W,16,FALSE)=0,"",VLOOKUP($B679,Показатели!$E:$W,16,FALSE)),"")</f>
        <v>3197000000</v>
      </c>
      <c r="T679">
        <f>IFERROR(IF(VLOOKUP($B679,Показатели!$E:$W,17,FALSE)=0,"",VLOOKUP($B679,Показатели!$E:$W,17,FALSE)),"")</f>
        <v>-2621000000</v>
      </c>
      <c r="U679">
        <f>IFERROR(IF(VLOOKUP($B679,Показатели!$E:$W,18,FALSE)=0,"",VLOOKUP($B679,Показатели!$E:$W,18,FALSE)),"")</f>
        <v>57839000000</v>
      </c>
      <c r="V679">
        <f>IFERROR(IF(VLOOKUP($B679,Показатели!$E:$W,19,FALSE)=0,"",VLOOKUP($B679,Показатели!$E:$W,19,FALSE)),"")</f>
        <v>64958000000</v>
      </c>
    </row>
    <row r="680" spans="1:22" x14ac:dyDescent="0.2">
      <c r="A680" s="7" t="s">
        <v>2261</v>
      </c>
      <c r="B680" t="str">
        <f t="shared" si="10"/>
        <v>SVAV IV кв. 2019</v>
      </c>
      <c r="C680">
        <v>2019</v>
      </c>
      <c r="D680">
        <f>SUMIFS(Дивиденды!$C:$C,Дивиденды!$A:$A,A680,Дивиденды!$I:$I,C680)</f>
        <v>0</v>
      </c>
      <c r="E680">
        <f>IFERROR(IF(VLOOKUP($B680,Показатели!$E:$W,2,FALSE)=0,"",VLOOKUP($B680,Показатели!$E:$W,2,FALSE)),"")</f>
        <v>6689000000</v>
      </c>
      <c r="F680">
        <f>IFERROR(IF(VLOOKUP($B680,Показатели!$E:$W,3,FALSE)=0,"",VLOOKUP($B680,Показатели!$E:$W,3,FALSE)),"")</f>
        <v>31023000000</v>
      </c>
      <c r="G680">
        <f>IFERROR(IF(VLOOKUP($B680,Показатели!$E:$W,4,FALSE)=0,"",VLOOKUP($B680,Показатели!$E:$W,4,FALSE)),"")</f>
        <v>23160000000</v>
      </c>
      <c r="H680">
        <f>IFERROR(IF(VLOOKUP($B680,Показатели!$E:$W,5,FALSE)=0,"",VLOOKUP($B680,Показатели!$E:$W,5,FALSE)),"")</f>
        <v>4081000000</v>
      </c>
      <c r="I680">
        <f>IFERROR(IF(VLOOKUP($B680,Показатели!$E:$W,6,FALSE)=0,"",VLOOKUP($B680,Показатели!$E:$W,6,FALSE)),"")</f>
        <v>64958000000</v>
      </c>
      <c r="J680">
        <f>IFERROR(IF(VLOOKUP($B680,Показатели!$E:$W,7,FALSE)=0,"",VLOOKUP($B680,Показатели!$E:$W,7,FALSE)),"")</f>
        <v>35527000000</v>
      </c>
      <c r="K680">
        <f>IFERROR(IF(VLOOKUP($B680,Показатели!$E:$W,8,FALSE)=0,"",VLOOKUP($B680,Показатели!$E:$W,8,FALSE)),"")</f>
        <v>2455000000</v>
      </c>
      <c r="L680">
        <f>IFERROR(IF(VLOOKUP($B680,Показатели!$E:$W,9,FALSE)=0,"",VLOOKUP($B680,Показатели!$E:$W,9,FALSE)),"")</f>
        <v>12244000000</v>
      </c>
      <c r="M680">
        <f>IFERROR(IF(VLOOKUP($B680,Показатели!$E:$W,10,FALSE)=0,"",VLOOKUP($B680,Показатели!$E:$W,10,FALSE)),"")</f>
        <v>26976000000</v>
      </c>
      <c r="N680">
        <f>IFERROR(IF(VLOOKUP($B680,Показатели!$E:$W,11,FALSE)=0,"",VLOOKUP($B680,Показатели!$E:$W,11,FALSE)),"")</f>
        <v>57839000000</v>
      </c>
      <c r="O680">
        <f>IFERROR(IF(VLOOKUP($B680,Показатели!$E:$W,12,FALSE)=0,"",VLOOKUP($B680,Показатели!$E:$W,12,FALSE)),"")</f>
        <v>2340000000</v>
      </c>
      <c r="P680">
        <f>IFERROR(IF(VLOOKUP($B680,Показатели!$E:$W,13,FALSE)=0,"",VLOOKUP($B680,Показатели!$E:$W,13,FALSE)),"")</f>
        <v>703000000</v>
      </c>
      <c r="Q680">
        <f>IFERROR(IF(VLOOKUP($B680,Показатели!$E:$W,14,FALSE)=0,"",VLOOKUP($B680,Показатели!$E:$W,14,FALSE)),"")</f>
        <v>1349000000</v>
      </c>
      <c r="R680">
        <f>IFERROR(IF(VLOOKUP($B680,Показатели!$E:$W,15,FALSE)=0,"",VLOOKUP($B680,Показатели!$E:$W,15,FALSE)),"")</f>
        <v>2660000000</v>
      </c>
      <c r="S680">
        <f>IFERROR(IF(VLOOKUP($B680,Показатели!$E:$W,16,FALSE)=0,"",VLOOKUP($B680,Показатели!$E:$W,16,FALSE)),"")</f>
        <v>2896000000</v>
      </c>
      <c r="T680">
        <f>IFERROR(IF(VLOOKUP($B680,Показатели!$E:$W,17,FALSE)=0,"",VLOOKUP($B680,Показатели!$E:$W,17,FALSE)),"")</f>
        <v>-941000000</v>
      </c>
      <c r="U680">
        <f>IFERROR(IF(VLOOKUP($B680,Показатели!$E:$W,18,FALSE)=0,"",VLOOKUP($B680,Показатели!$E:$W,18,FALSE)),"")</f>
        <v>39479000000</v>
      </c>
      <c r="V680">
        <f>IFERROR(IF(VLOOKUP($B680,Показатели!$E:$W,19,FALSE)=0,"",VLOOKUP($B680,Показатели!$E:$W,19,FALSE)),"")</f>
        <v>50612000000</v>
      </c>
    </row>
    <row r="681" spans="1:22" x14ac:dyDescent="0.2">
      <c r="A681" s="7" t="s">
        <v>2261</v>
      </c>
      <c r="B681" t="str">
        <f t="shared" si="10"/>
        <v>SVAV IV кв. 2018</v>
      </c>
      <c r="C681">
        <v>2018</v>
      </c>
      <c r="D681">
        <f>SUMIFS(Дивиденды!$C:$C,Дивиденды!$A:$A,A681,Дивиденды!$I:$I,C681)</f>
        <v>0</v>
      </c>
      <c r="E681">
        <f>IFERROR(IF(VLOOKUP($B681,Показатели!$E:$W,2,FALSE)=0,"",VLOOKUP($B681,Показатели!$E:$W,2,FALSE)),"")</f>
        <v>226000000</v>
      </c>
      <c r="F681">
        <f>IFERROR(IF(VLOOKUP($B681,Показатели!$E:$W,3,FALSE)=0,"",VLOOKUP($B681,Показатели!$E:$W,3,FALSE)),"")</f>
        <v>30668000000</v>
      </c>
      <c r="G681">
        <f>IFERROR(IF(VLOOKUP($B681,Показатели!$E:$W,4,FALSE)=0,"",VLOOKUP($B681,Показатели!$E:$W,4,FALSE)),"")</f>
        <v>10970000000</v>
      </c>
      <c r="H681">
        <f>IFERROR(IF(VLOOKUP($B681,Показатели!$E:$W,5,FALSE)=0,"",VLOOKUP($B681,Показатели!$E:$W,5,FALSE)),"")</f>
        <v>2257000000</v>
      </c>
      <c r="I681">
        <f>IFERROR(IF(VLOOKUP($B681,Показатели!$E:$W,6,FALSE)=0,"",VLOOKUP($B681,Показатели!$E:$W,6,FALSE)),"")</f>
        <v>50612000000</v>
      </c>
      <c r="J681">
        <f>IFERROR(IF(VLOOKUP($B681,Показатели!$E:$W,7,FALSE)=0,"",VLOOKUP($B681,Показатели!$E:$W,7,FALSE)),"")</f>
        <v>27735000000</v>
      </c>
      <c r="K681">
        <f>IFERROR(IF(VLOOKUP($B681,Показатели!$E:$W,8,FALSE)=0,"",VLOOKUP($B681,Показатели!$E:$W,8,FALSE)),"")</f>
        <v>3908000000</v>
      </c>
      <c r="L681">
        <f>IFERROR(IF(VLOOKUP($B681,Показатели!$E:$W,9,FALSE)=0,"",VLOOKUP($B681,Показатели!$E:$W,9,FALSE)),"")</f>
        <v>12099000000</v>
      </c>
      <c r="M681">
        <f>IFERROR(IF(VLOOKUP($B681,Показатели!$E:$W,10,FALSE)=0,"",VLOOKUP($B681,Показатели!$E:$W,10,FALSE)),"")</f>
        <v>18969000000</v>
      </c>
      <c r="N681">
        <f>IFERROR(IF(VLOOKUP($B681,Показатели!$E:$W,11,FALSE)=0,"",VLOOKUP($B681,Показатели!$E:$W,11,FALSE)),"")</f>
        <v>39479000000</v>
      </c>
      <c r="O681">
        <f>IFERROR(IF(VLOOKUP($B681,Показатели!$E:$W,12,FALSE)=0,"",VLOOKUP($B681,Показатели!$E:$W,12,FALSE)),"")</f>
        <v>-1023000000</v>
      </c>
      <c r="P681">
        <f>IFERROR(IF(VLOOKUP($B681,Показатели!$E:$W,13,FALSE)=0,"",VLOOKUP($B681,Показатели!$E:$W,13,FALSE)),"")</f>
        <v>-39000000</v>
      </c>
      <c r="Q681">
        <f>IFERROR(IF(VLOOKUP($B681,Показатели!$E:$W,14,FALSE)=0,"",VLOOKUP($B681,Показатели!$E:$W,14,FALSE)),"")</f>
        <v>46000000</v>
      </c>
      <c r="R681">
        <f>IFERROR(IF(VLOOKUP($B681,Показатели!$E:$W,15,FALSE)=0,"",VLOOKUP($B681,Показатели!$E:$W,15,FALSE)),"")</f>
        <v>1493000000</v>
      </c>
      <c r="S681">
        <f>IFERROR(IF(VLOOKUP($B681,Показатели!$E:$W,16,FALSE)=0,"",VLOOKUP($B681,Показатели!$E:$W,16,FALSE)),"")</f>
        <v>481000000</v>
      </c>
      <c r="T681">
        <f>IFERROR(IF(VLOOKUP($B681,Показатели!$E:$W,17,FALSE)=0,"",VLOOKUP($B681,Показатели!$E:$W,17,FALSE)),"")</f>
        <v>-985000000</v>
      </c>
      <c r="U681">
        <f>IFERROR(IF(VLOOKUP($B681,Показатели!$E:$W,18,FALSE)=0,"",VLOOKUP($B681,Показатели!$E:$W,18,FALSE)),"")</f>
        <v>35764000000</v>
      </c>
      <c r="V681">
        <f>IFERROR(IF(VLOOKUP($B681,Показатели!$E:$W,19,FALSE)=0,"",VLOOKUP($B681,Показатели!$E:$W,19,FALSE)),"")</f>
        <v>43852000000</v>
      </c>
    </row>
    <row r="682" spans="1:22" x14ac:dyDescent="0.2">
      <c r="A682" s="7" t="s">
        <v>2261</v>
      </c>
      <c r="B682" t="str">
        <f t="shared" si="10"/>
        <v>SVAV IV кв. 2017</v>
      </c>
      <c r="C682">
        <v>2017</v>
      </c>
      <c r="D682">
        <f>SUMIFS(Дивиденды!$C:$C,Дивиденды!$A:$A,A682,Дивиденды!$I:$I,C682)</f>
        <v>0</v>
      </c>
      <c r="E682">
        <f>IFERROR(IF(VLOOKUP($B682,Показатели!$E:$W,2,FALSE)=0,"",VLOOKUP($B682,Показатели!$E:$W,2,FALSE)),"")</f>
        <v>2306000000</v>
      </c>
      <c r="F682">
        <f>IFERROR(IF(VLOOKUP($B682,Показатели!$E:$W,3,FALSE)=0,"",VLOOKUP($B682,Показатели!$E:$W,3,FALSE)),"")</f>
        <v>17840000000</v>
      </c>
      <c r="G682">
        <f>IFERROR(IF(VLOOKUP($B682,Показатели!$E:$W,4,FALSE)=0,"",VLOOKUP($B682,Показатели!$E:$W,4,FALSE)),"")</f>
        <v>11181000000</v>
      </c>
      <c r="H682">
        <f>IFERROR(IF(VLOOKUP($B682,Показатели!$E:$W,5,FALSE)=0,"",VLOOKUP($B682,Показатели!$E:$W,5,FALSE)),"")</f>
        <v>1922000000</v>
      </c>
      <c r="I682">
        <f>IFERROR(IF(VLOOKUP($B682,Показатели!$E:$W,6,FALSE)=0,"",VLOOKUP($B682,Показатели!$E:$W,6,FALSE)),"")</f>
        <v>43852000000</v>
      </c>
      <c r="J682">
        <f>IFERROR(IF(VLOOKUP($B682,Показатели!$E:$W,7,FALSE)=0,"",VLOOKUP($B682,Показатели!$E:$W,7,FALSE)),"")</f>
        <v>19763000000</v>
      </c>
      <c r="K682">
        <f>IFERROR(IF(VLOOKUP($B682,Показатели!$E:$W,8,FALSE)=0,"",VLOOKUP($B682,Показатели!$E:$W,8,FALSE)),"")</f>
        <v>5112000000</v>
      </c>
      <c r="L682">
        <f>IFERROR(IF(VLOOKUP($B682,Показатели!$E:$W,9,FALSE)=0,"",VLOOKUP($B682,Показатели!$E:$W,9,FALSE)),"")</f>
        <v>12007000000</v>
      </c>
      <c r="M682">
        <f>IFERROR(IF(VLOOKUP($B682,Показатели!$E:$W,10,FALSE)=0,"",VLOOKUP($B682,Показатели!$E:$W,10,FALSE)),"")</f>
        <v>18977000000</v>
      </c>
      <c r="N682">
        <f>IFERROR(IF(VLOOKUP($B682,Показатели!$E:$W,11,FALSE)=0,"",VLOOKUP($B682,Показатели!$E:$W,11,FALSE)),"")</f>
        <v>35764000000</v>
      </c>
      <c r="O682">
        <f>IFERROR(IF(VLOOKUP($B682,Показатели!$E:$W,12,FALSE)=0,"",VLOOKUP($B682,Показатели!$E:$W,12,FALSE)),"")</f>
        <v>1788000000</v>
      </c>
      <c r="P682">
        <f>IFERROR(IF(VLOOKUP($B682,Показатели!$E:$W,13,FALSE)=0,"",VLOOKUP($B682,Показатели!$E:$W,13,FALSE)),"")</f>
        <v>1351000000</v>
      </c>
      <c r="Q682">
        <f>IFERROR(IF(VLOOKUP($B682,Показатели!$E:$W,14,FALSE)=0,"",VLOOKUP($B682,Показатели!$E:$W,14,FALSE)),"")</f>
        <v>999000000</v>
      </c>
      <c r="R682">
        <f>IFERROR(IF(VLOOKUP($B682,Показатели!$E:$W,15,FALSE)=0,"",VLOOKUP($B682,Показатели!$E:$W,15,FALSE)),"")</f>
        <v>1354000000</v>
      </c>
      <c r="S682">
        <f>IFERROR(IF(VLOOKUP($B682,Показатели!$E:$W,16,FALSE)=0,"",VLOOKUP($B682,Показатели!$E:$W,16,FALSE)),"")</f>
        <v>3377000000</v>
      </c>
      <c r="T682">
        <f>IFERROR(IF(VLOOKUP($B682,Показатели!$E:$W,17,FALSE)=0,"",VLOOKUP($B682,Показатели!$E:$W,17,FALSE)),"")</f>
        <v>-1260000000</v>
      </c>
      <c r="U682">
        <f>IFERROR(IF(VLOOKUP($B682,Показатели!$E:$W,18,FALSE)=0,"",VLOOKUP($B682,Показатели!$E:$W,18,FALSE)),"")</f>
        <v>35621000000</v>
      </c>
      <c r="V682">
        <f>IFERROR(IF(VLOOKUP($B682,Показатели!$E:$W,19,FALSE)=0,"",VLOOKUP($B682,Показатели!$E:$W,19,FALSE)),"")</f>
        <v>41203000000</v>
      </c>
    </row>
    <row r="683" spans="1:22" x14ac:dyDescent="0.2">
      <c r="A683" s="7" t="s">
        <v>2261</v>
      </c>
      <c r="B683" t="str">
        <f t="shared" si="10"/>
        <v>SVAV IV кв. 2016</v>
      </c>
      <c r="C683">
        <v>2016</v>
      </c>
      <c r="D683">
        <f>SUMIFS(Дивиденды!$C:$C,Дивиденды!$A:$A,A683,Дивиденды!$I:$I,C683)</f>
        <v>0</v>
      </c>
      <c r="E683">
        <f>IFERROR(IF(VLOOKUP($B683,Показатели!$E:$W,2,FALSE)=0,"",VLOOKUP($B683,Показатели!$E:$W,2,FALSE)),"")</f>
        <v>2336000000</v>
      </c>
      <c r="F683">
        <f>IFERROR(IF(VLOOKUP($B683,Показатели!$E:$W,3,FALSE)=0,"",VLOOKUP($B683,Показатели!$E:$W,3,FALSE)),"")</f>
        <v>16145000000</v>
      </c>
      <c r="G683">
        <f>IFERROR(IF(VLOOKUP($B683,Показатели!$E:$W,4,FALSE)=0,"",VLOOKUP($B683,Показатели!$E:$W,4,FALSE)),"")</f>
        <v>11154000000</v>
      </c>
      <c r="H683" t="str">
        <f>IFERROR(IF(VLOOKUP($B683,Показатели!$E:$W,5,FALSE)=0,"",VLOOKUP($B683,Показатели!$E:$W,5,FALSE)),"")</f>
        <v/>
      </c>
      <c r="I683">
        <f>IFERROR(IF(VLOOKUP($B683,Показатели!$E:$W,6,FALSE)=0,"",VLOOKUP($B683,Показатели!$E:$W,6,FALSE)),"")</f>
        <v>41203000000</v>
      </c>
      <c r="J683">
        <f>IFERROR(IF(VLOOKUP($B683,Показатели!$E:$W,7,FALSE)=0,"",VLOOKUP($B683,Показатели!$E:$W,7,FALSE)),"")</f>
        <v>18157000000</v>
      </c>
      <c r="K683">
        <f>IFERROR(IF(VLOOKUP($B683,Показатели!$E:$W,8,FALSE)=0,"",VLOOKUP($B683,Показатели!$E:$W,8,FALSE)),"")</f>
        <v>5068000000</v>
      </c>
      <c r="L683">
        <f>IFERROR(IF(VLOOKUP($B683,Показатели!$E:$W,9,FALSE)=0,"",VLOOKUP($B683,Показатели!$E:$W,9,FALSE)),"")</f>
        <v>11018000000</v>
      </c>
      <c r="M683">
        <f>IFERROR(IF(VLOOKUP($B683,Показатели!$E:$W,10,FALSE)=0,"",VLOOKUP($B683,Показатели!$E:$W,10,FALSE)),"")</f>
        <v>17978000000</v>
      </c>
      <c r="N683">
        <f>IFERROR(IF(VLOOKUP($B683,Показатели!$E:$W,11,FALSE)=0,"",VLOOKUP($B683,Показатели!$E:$W,11,FALSE)),"")</f>
        <v>35621000000</v>
      </c>
      <c r="O683">
        <f>IFERROR(IF(VLOOKUP($B683,Показатели!$E:$W,12,FALSE)=0,"",VLOOKUP($B683,Показатели!$E:$W,12,FALSE)),"")</f>
        <v>2269000000</v>
      </c>
      <c r="P683">
        <f>IFERROR(IF(VLOOKUP($B683,Показатели!$E:$W,13,FALSE)=0,"",VLOOKUP($B683,Показатели!$E:$W,13,FALSE)),"")</f>
        <v>1737000000</v>
      </c>
      <c r="Q683">
        <f>IFERROR(IF(VLOOKUP($B683,Показатели!$E:$W,14,FALSE)=0,"",VLOOKUP($B683,Показатели!$E:$W,14,FALSE)),"")</f>
        <v>1601000000</v>
      </c>
      <c r="R683" t="str">
        <f>IFERROR(IF(VLOOKUP($B683,Показатели!$E:$W,15,FALSE)=0,"",VLOOKUP($B683,Показатели!$E:$W,15,FALSE)),"")</f>
        <v/>
      </c>
      <c r="S683">
        <f>IFERROR(IF(VLOOKUP($B683,Показатели!$E:$W,16,FALSE)=0,"",VLOOKUP($B683,Показатели!$E:$W,16,FALSE)),"")</f>
        <v>3903000000</v>
      </c>
      <c r="T683">
        <f>IFERROR(IF(VLOOKUP($B683,Показатели!$E:$W,17,FALSE)=0,"",VLOOKUP($B683,Показатели!$E:$W,17,FALSE)),"")</f>
        <v>-1570000000</v>
      </c>
      <c r="U683">
        <f>IFERROR(IF(VLOOKUP($B683,Показатели!$E:$W,18,FALSE)=0,"",VLOOKUP($B683,Показатели!$E:$W,18,FALSE)),"")</f>
        <v>38349000000</v>
      </c>
      <c r="V683">
        <f>IFERROR(IF(VLOOKUP($B683,Показатели!$E:$W,19,FALSE)=0,"",VLOOKUP($B683,Показатели!$E:$W,19,FALSE)),"")</f>
        <v>34368000000</v>
      </c>
    </row>
    <row r="684" spans="1:22" x14ac:dyDescent="0.2">
      <c r="A684" s="7" t="s">
        <v>2261</v>
      </c>
      <c r="B684" t="str">
        <f t="shared" si="10"/>
        <v>SVAV IV кв. 2015</v>
      </c>
      <c r="C684">
        <v>2015</v>
      </c>
      <c r="D684">
        <f>SUMIFS(Дивиденды!$C:$C,Дивиденды!$A:$A,A684,Дивиденды!$I:$I,C684)</f>
        <v>0</v>
      </c>
      <c r="E684">
        <f>IFERROR(IF(VLOOKUP($B684,Показатели!$E:$W,2,FALSE)=0,"",VLOOKUP($B684,Показатели!$E:$W,2,FALSE)),"")</f>
        <v>711000000</v>
      </c>
      <c r="F684">
        <f>IFERROR(IF(VLOOKUP($B684,Показатели!$E:$W,3,FALSE)=0,"",VLOOKUP($B684,Показатели!$E:$W,3,FALSE)),"")</f>
        <v>10304000000</v>
      </c>
      <c r="G684">
        <f>IFERROR(IF(VLOOKUP($B684,Показатели!$E:$W,4,FALSE)=0,"",VLOOKUP($B684,Показатели!$E:$W,4,FALSE)),"")</f>
        <v>10477000000</v>
      </c>
      <c r="H684" t="str">
        <f>IFERROR(IF(VLOOKUP($B684,Показатели!$E:$W,5,FALSE)=0,"",VLOOKUP($B684,Показатели!$E:$W,5,FALSE)),"")</f>
        <v/>
      </c>
      <c r="I684">
        <f>IFERROR(IF(VLOOKUP($B684,Показатели!$E:$W,6,FALSE)=0,"",VLOOKUP($B684,Показатели!$E:$W,6,FALSE)),"")</f>
        <v>34368000000</v>
      </c>
      <c r="J684">
        <f>IFERROR(IF(VLOOKUP($B684,Показатели!$E:$W,7,FALSE)=0,"",VLOOKUP($B684,Показатели!$E:$W,7,FALSE)),"")</f>
        <v>13015000000</v>
      </c>
      <c r="K684">
        <f>IFERROR(IF(VLOOKUP($B684,Показатели!$E:$W,8,FALSE)=0,"",VLOOKUP($B684,Показатели!$E:$W,8,FALSE)),"")</f>
        <v>4976000000</v>
      </c>
      <c r="L684">
        <f>IFERROR(IF(VLOOKUP($B684,Показатели!$E:$W,9,FALSE)=0,"",VLOOKUP($B684,Показатели!$E:$W,9,FALSE)),"")</f>
        <v>9416000000</v>
      </c>
      <c r="M684">
        <f>IFERROR(IF(VLOOKUP($B684,Показатели!$E:$W,10,FALSE)=0,"",VLOOKUP($B684,Показатели!$E:$W,10,FALSE)),"")</f>
        <v>16377000000</v>
      </c>
      <c r="N684">
        <f>IFERROR(IF(VLOOKUP($B684,Показатели!$E:$W,11,FALSE)=0,"",VLOOKUP($B684,Показатели!$E:$W,11,FALSE)),"")</f>
        <v>38349000000</v>
      </c>
      <c r="O684">
        <f>IFERROR(IF(VLOOKUP($B684,Показатели!$E:$W,12,FALSE)=0,"",VLOOKUP($B684,Показатели!$E:$W,12,FALSE)),"")</f>
        <v>3017000000</v>
      </c>
      <c r="P684">
        <f>IFERROR(IF(VLOOKUP($B684,Показатели!$E:$W,13,FALSE)=0,"",VLOOKUP($B684,Показатели!$E:$W,13,FALSE)),"")</f>
        <v>3623000000</v>
      </c>
      <c r="Q684">
        <f>IFERROR(IF(VLOOKUP($B684,Показатели!$E:$W,14,FALSE)=0,"",VLOOKUP($B684,Показатели!$E:$W,14,FALSE)),"")</f>
        <v>3113000000</v>
      </c>
      <c r="R684" t="str">
        <f>IFERROR(IF(VLOOKUP($B684,Показатели!$E:$W,15,FALSE)=0,"",VLOOKUP($B684,Показатели!$E:$W,15,FALSE)),"")</f>
        <v/>
      </c>
      <c r="S684" t="str">
        <f>IFERROR(IF(VLOOKUP($B684,Показатели!$E:$W,16,FALSE)=0,"",VLOOKUP($B684,Показатели!$E:$W,16,FALSE)),"")</f>
        <v/>
      </c>
      <c r="T684">
        <f>IFERROR(IF(VLOOKUP($B684,Показатели!$E:$W,17,FALSE)=0,"",VLOOKUP($B684,Показатели!$E:$W,17,FALSE)),"")</f>
        <v>-1306000000</v>
      </c>
      <c r="U684">
        <f>IFERROR(IF(VLOOKUP($B684,Показатели!$E:$W,18,FALSE)=0,"",VLOOKUP($B684,Показатели!$E:$W,18,FALSE)),"")</f>
        <v>47907000000</v>
      </c>
      <c r="V684">
        <f>IFERROR(IF(VLOOKUP($B684,Показатели!$E:$W,19,FALSE)=0,"",VLOOKUP($B684,Показатели!$E:$W,19,FALSE)),"")</f>
        <v>41180000000</v>
      </c>
    </row>
    <row r="685" spans="1:22" x14ac:dyDescent="0.2">
      <c r="A685" s="7" t="s">
        <v>2261</v>
      </c>
      <c r="B685" t="str">
        <f t="shared" si="10"/>
        <v>SVAV IV кв. 2014</v>
      </c>
      <c r="C685">
        <v>2014</v>
      </c>
      <c r="D685">
        <f>SUMIFS(Дивиденды!$C:$C,Дивиденды!$A:$A,A685,Дивиденды!$I:$I,C685)</f>
        <v>0</v>
      </c>
      <c r="E685">
        <f>IFERROR(IF(VLOOKUP($B685,Показатели!$E:$W,2,FALSE)=0,"",VLOOKUP($B685,Показатели!$E:$W,2,FALSE)),"")</f>
        <v>6484000000</v>
      </c>
      <c r="F685">
        <f>IFERROR(IF(VLOOKUP($B685,Показатели!$E:$W,3,FALSE)=0,"",VLOOKUP($B685,Показатели!$E:$W,3,FALSE)),"")</f>
        <v>18219000000</v>
      </c>
      <c r="G685">
        <f>IFERROR(IF(VLOOKUP($B685,Показатели!$E:$W,4,FALSE)=0,"",VLOOKUP($B685,Показатели!$E:$W,4,FALSE)),"")</f>
        <v>9602000000</v>
      </c>
      <c r="H685" t="str">
        <f>IFERROR(IF(VLOOKUP($B685,Показатели!$E:$W,5,FALSE)=0,"",VLOOKUP($B685,Показатели!$E:$W,5,FALSE)),"")</f>
        <v/>
      </c>
      <c r="I685">
        <f>IFERROR(IF(VLOOKUP($B685,Показатели!$E:$W,6,FALSE)=0,"",VLOOKUP($B685,Показатели!$E:$W,6,FALSE)),"")</f>
        <v>41180000000</v>
      </c>
      <c r="J685">
        <f>IFERROR(IF(VLOOKUP($B685,Показатели!$E:$W,7,FALSE)=0,"",VLOOKUP($B685,Показатели!$E:$W,7,FALSE)),"")</f>
        <v>23375000000</v>
      </c>
      <c r="K685">
        <f>IFERROR(IF(VLOOKUP($B685,Показатели!$E:$W,8,FALSE)=0,"",VLOOKUP($B685,Показатели!$E:$W,8,FALSE)),"")</f>
        <v>4345000000</v>
      </c>
      <c r="L685" t="str">
        <f>IFERROR(IF(VLOOKUP($B685,Показатели!$E:$W,9,FALSE)=0,"",VLOOKUP($B685,Показатели!$E:$W,9,FALSE)),"")</f>
        <v/>
      </c>
      <c r="M685">
        <f>IFERROR(IF(VLOOKUP($B685,Показатели!$E:$W,10,FALSE)=0,"",VLOOKUP($B685,Показатели!$E:$W,10,FALSE)),"")</f>
        <v>13460000000</v>
      </c>
      <c r="N685">
        <f>IFERROR(IF(VLOOKUP($B685,Показатели!$E:$W,11,FALSE)=0,"",VLOOKUP($B685,Показатели!$E:$W,11,FALSE)),"")</f>
        <v>47907000000</v>
      </c>
      <c r="O685">
        <f>IFERROR(IF(VLOOKUP($B685,Показатели!$E:$W,12,FALSE)=0,"",VLOOKUP($B685,Показатели!$E:$W,12,FALSE)),"")</f>
        <v>3561000000</v>
      </c>
      <c r="P685">
        <f>IFERROR(IF(VLOOKUP($B685,Показатели!$E:$W,13,FALSE)=0,"",VLOOKUP($B685,Показатели!$E:$W,13,FALSE)),"")</f>
        <v>-3212000000</v>
      </c>
      <c r="Q685">
        <f>IFERROR(IF(VLOOKUP($B685,Показатели!$E:$W,14,FALSE)=0,"",VLOOKUP($B685,Показатели!$E:$W,14,FALSE)),"")</f>
        <v>-3736000000</v>
      </c>
      <c r="R685" t="str">
        <f>IFERROR(IF(VLOOKUP($B685,Показатели!$E:$W,15,FALSE)=0,"",VLOOKUP($B685,Показатели!$E:$W,15,FALSE)),"")</f>
        <v/>
      </c>
      <c r="S685" t="str">
        <f>IFERROR(IF(VLOOKUP($B685,Показатели!$E:$W,16,FALSE)=0,"",VLOOKUP($B685,Показатели!$E:$W,16,FALSE)),"")</f>
        <v/>
      </c>
      <c r="T685" t="str">
        <f>IFERROR(IF(VLOOKUP($B685,Показатели!$E:$W,17,FALSE)=0,"",VLOOKUP($B685,Показатели!$E:$W,17,FALSE)),"")</f>
        <v/>
      </c>
      <c r="U685">
        <f>IFERROR(IF(VLOOKUP($B685,Показатели!$E:$W,18,FALSE)=0,"",VLOOKUP($B685,Показатели!$E:$W,18,FALSE)),"")</f>
        <v>61317000000</v>
      </c>
      <c r="V685">
        <f>IFERROR(IF(VLOOKUP($B685,Показатели!$E:$W,19,FALSE)=0,"",VLOOKUP($B685,Показатели!$E:$W,19,FALSE)),"")</f>
        <v>44621000000</v>
      </c>
    </row>
    <row r="686" spans="1:22" x14ac:dyDescent="0.2">
      <c r="A686" s="7" t="s">
        <v>2261</v>
      </c>
      <c r="B686" t="str">
        <f t="shared" si="10"/>
        <v>SVAV IV кв. 2013</v>
      </c>
      <c r="C686">
        <v>2013</v>
      </c>
      <c r="D686">
        <f>SUMIFS(Дивиденды!$C:$C,Дивиденды!$A:$A,A686,Дивиденды!$I:$I,C686)</f>
        <v>52.52</v>
      </c>
      <c r="E686">
        <f>IFERROR(IF(VLOOKUP($B686,Показатели!$E:$W,2,FALSE)=0,"",VLOOKUP($B686,Показатели!$E:$W,2,FALSE)),"")</f>
        <v>6020000000</v>
      </c>
      <c r="F686">
        <f>IFERROR(IF(VLOOKUP($B686,Показатели!$E:$W,3,FALSE)=0,"",VLOOKUP($B686,Показатели!$E:$W,3,FALSE)),"")</f>
        <v>17480000000</v>
      </c>
      <c r="G686">
        <f>IFERROR(IF(VLOOKUP($B686,Показатели!$E:$W,4,FALSE)=0,"",VLOOKUP($B686,Показатели!$E:$W,4,FALSE)),"")</f>
        <v>9451000000</v>
      </c>
      <c r="H686" t="str">
        <f>IFERROR(IF(VLOOKUP($B686,Показатели!$E:$W,5,FALSE)=0,"",VLOOKUP($B686,Показатели!$E:$W,5,FALSE)),"")</f>
        <v/>
      </c>
      <c r="I686">
        <f>IFERROR(IF(VLOOKUP($B686,Показатели!$E:$W,6,FALSE)=0,"",VLOOKUP($B686,Показатели!$E:$W,6,FALSE)),"")</f>
        <v>44621000000</v>
      </c>
      <c r="J686">
        <f>IFERROR(IF(VLOOKUP($B686,Показатели!$E:$W,7,FALSE)=0,"",VLOOKUP($B686,Показатели!$E:$W,7,FALSE)),"")</f>
        <v>17613000000</v>
      </c>
      <c r="K686">
        <f>IFERROR(IF(VLOOKUP($B686,Показатели!$E:$W,8,FALSE)=0,"",VLOOKUP($B686,Показатели!$E:$W,8,FALSE)),"")</f>
        <v>6232000000</v>
      </c>
      <c r="L686" t="str">
        <f>IFERROR(IF(VLOOKUP($B686,Показатели!$E:$W,9,FALSE)=0,"",VLOOKUP($B686,Показатели!$E:$W,9,FALSE)),"")</f>
        <v/>
      </c>
      <c r="M686">
        <f>IFERROR(IF(VLOOKUP($B686,Показатели!$E:$W,10,FALSE)=0,"",VLOOKUP($B686,Показатели!$E:$W,10,FALSE)),"")</f>
        <v>20776000000</v>
      </c>
      <c r="N686">
        <f>IFERROR(IF(VLOOKUP($B686,Показатели!$E:$W,11,FALSE)=0,"",VLOOKUP($B686,Показатели!$E:$W,11,FALSE)),"")</f>
        <v>61317000000</v>
      </c>
      <c r="O686">
        <f>IFERROR(IF(VLOOKUP($B686,Показатели!$E:$W,12,FALSE)=0,"",VLOOKUP($B686,Показатели!$E:$W,12,FALSE)),"")</f>
        <v>5241000000</v>
      </c>
      <c r="P686">
        <f>IFERROR(IF(VLOOKUP($B686,Показатели!$E:$W,13,FALSE)=0,"",VLOOKUP($B686,Показатели!$E:$W,13,FALSE)),"")</f>
        <v>4671000000</v>
      </c>
      <c r="Q686">
        <f>IFERROR(IF(VLOOKUP($B686,Показатели!$E:$W,14,FALSE)=0,"",VLOOKUP($B686,Показатели!$E:$W,14,FALSE)),"")</f>
        <v>3578000000</v>
      </c>
      <c r="R686" t="str">
        <f>IFERROR(IF(VLOOKUP($B686,Показатели!$E:$W,15,FALSE)=0,"",VLOOKUP($B686,Показатели!$E:$W,15,FALSE)),"")</f>
        <v/>
      </c>
      <c r="S686" t="str">
        <f>IFERROR(IF(VLOOKUP($B686,Показатели!$E:$W,16,FALSE)=0,"",VLOOKUP($B686,Показатели!$E:$W,16,FALSE)),"")</f>
        <v/>
      </c>
      <c r="T686" t="str">
        <f>IFERROR(IF(VLOOKUP($B686,Показатели!$E:$W,17,FALSE)=0,"",VLOOKUP($B686,Показатели!$E:$W,17,FALSE)),"")</f>
        <v/>
      </c>
      <c r="U686">
        <f>IFERROR(IF(VLOOKUP($B686,Показатели!$E:$W,18,FALSE)=0,"",VLOOKUP($B686,Показатели!$E:$W,18,FALSE)),"")</f>
        <v>65549000000</v>
      </c>
      <c r="V686">
        <f>IFERROR(IF(VLOOKUP($B686,Показатели!$E:$W,19,FALSE)=0,"",VLOOKUP($B686,Показатели!$E:$W,19,FALSE)),"")</f>
        <v>46173000000</v>
      </c>
    </row>
    <row r="687" spans="1:22" x14ac:dyDescent="0.2">
      <c r="A687" s="7" t="s">
        <v>2261</v>
      </c>
      <c r="B687" t="str">
        <f t="shared" si="10"/>
        <v>SVAV IV кв. 2012</v>
      </c>
      <c r="C687">
        <v>2012</v>
      </c>
      <c r="D687">
        <f>SUMIFS(Дивиденды!$C:$C,Дивиденды!$A:$A,A687,Дивиденды!$I:$I,C687)</f>
        <v>52.52</v>
      </c>
      <c r="E687">
        <f>IFERROR(IF(VLOOKUP($B687,Показатели!$E:$W,2,FALSE)=0,"",VLOOKUP($B687,Показатели!$E:$W,2,FALSE)),"")</f>
        <v>2560000000</v>
      </c>
      <c r="F687">
        <f>IFERROR(IF(VLOOKUP($B687,Показатели!$E:$W,3,FALSE)=0,"",VLOOKUP($B687,Показатели!$E:$W,3,FALSE)),"")</f>
        <v>17110000000</v>
      </c>
      <c r="G687">
        <f>IFERROR(IF(VLOOKUP($B687,Показатели!$E:$W,4,FALSE)=0,"",VLOOKUP($B687,Показатели!$E:$W,4,FALSE)),"")</f>
        <v>11539000000</v>
      </c>
      <c r="H687" t="str">
        <f>IFERROR(IF(VLOOKUP($B687,Показатели!$E:$W,5,FALSE)=0,"",VLOOKUP($B687,Показатели!$E:$W,5,FALSE)),"")</f>
        <v/>
      </c>
      <c r="I687">
        <f>IFERROR(IF(VLOOKUP($B687,Показатели!$E:$W,6,FALSE)=0,"",VLOOKUP($B687,Показатели!$E:$W,6,FALSE)),"")</f>
        <v>46173000000</v>
      </c>
      <c r="J687">
        <f>IFERROR(IF(VLOOKUP($B687,Показатели!$E:$W,7,FALSE)=0,"",VLOOKUP($B687,Показатели!$E:$W,7,FALSE)),"")</f>
        <v>21666000000</v>
      </c>
      <c r="K687">
        <f>IFERROR(IF(VLOOKUP($B687,Показатели!$E:$W,8,FALSE)=0,"",VLOOKUP($B687,Показатели!$E:$W,8,FALSE)),"")</f>
        <v>4627000000</v>
      </c>
      <c r="L687" t="str">
        <f>IFERROR(IF(VLOOKUP($B687,Показатели!$E:$W,9,FALSE)=0,"",VLOOKUP($B687,Показатели!$E:$W,9,FALSE)),"")</f>
        <v/>
      </c>
      <c r="M687">
        <f>IFERROR(IF(VLOOKUP($B687,Показатели!$E:$W,10,FALSE)=0,"",VLOOKUP($B687,Показатели!$E:$W,10,FALSE)),"")</f>
        <v>19880000000</v>
      </c>
      <c r="N687">
        <f>IFERROR(IF(VLOOKUP($B687,Показатели!$E:$W,11,FALSE)=0,"",VLOOKUP($B687,Показатели!$E:$W,11,FALSE)),"")</f>
        <v>65549000000</v>
      </c>
      <c r="O687">
        <f>IFERROR(IF(VLOOKUP($B687,Показатели!$E:$W,12,FALSE)=0,"",VLOOKUP($B687,Показатели!$E:$W,12,FALSE)),"")</f>
        <v>7245000000</v>
      </c>
      <c r="P687">
        <f>IFERROR(IF(VLOOKUP($B687,Показатели!$E:$W,13,FALSE)=0,"",VLOOKUP($B687,Показатели!$E:$W,13,FALSE)),"")</f>
        <v>7584000000</v>
      </c>
      <c r="Q687">
        <f>IFERROR(IF(VLOOKUP($B687,Показатели!$E:$W,14,FALSE)=0,"",VLOOKUP($B687,Показатели!$E:$W,14,FALSE)),"")</f>
        <v>5881000000</v>
      </c>
      <c r="R687" t="str">
        <f>IFERROR(IF(VLOOKUP($B687,Показатели!$E:$W,15,FALSE)=0,"",VLOOKUP($B687,Показатели!$E:$W,15,FALSE)),"")</f>
        <v/>
      </c>
      <c r="S687">
        <f>IFERROR(IF(VLOOKUP($B687,Показатели!$E:$W,16,FALSE)=0,"",VLOOKUP($B687,Показатели!$E:$W,16,FALSE)),"")</f>
        <v>7652000000</v>
      </c>
      <c r="T687" t="str">
        <f>IFERROR(IF(VLOOKUP($B687,Показатели!$E:$W,17,FALSE)=0,"",VLOOKUP($B687,Показатели!$E:$W,17,FALSE)),"")</f>
        <v/>
      </c>
      <c r="U687">
        <f>IFERROR(IF(VLOOKUP($B687,Показатели!$E:$W,18,FALSE)=0,"",VLOOKUP($B687,Показатели!$E:$W,18,FALSE)),"")</f>
        <v>69531000000</v>
      </c>
      <c r="V687">
        <f>IFERROR(IF(VLOOKUP($B687,Показатели!$E:$W,19,FALSE)=0,"",VLOOKUP($B687,Показатели!$E:$W,19,FALSE)),"")</f>
        <v>49094000000</v>
      </c>
    </row>
    <row r="688" spans="1:22" x14ac:dyDescent="0.2">
      <c r="A688" s="7" t="s">
        <v>2261</v>
      </c>
      <c r="B688" t="str">
        <f t="shared" si="10"/>
        <v>SVAV IV кв. 2011</v>
      </c>
      <c r="C688">
        <v>2011</v>
      </c>
      <c r="D688">
        <f>SUMIFS(Дивиденды!$C:$C,Дивиденды!$A:$A,A688,Дивиденды!$I:$I,C688)</f>
        <v>0</v>
      </c>
      <c r="E688">
        <f>IFERROR(IF(VLOOKUP($B688,Показатели!$E:$W,2,FALSE)=0,"",VLOOKUP($B688,Показатели!$E:$W,2,FALSE)),"")</f>
        <v>2957000000</v>
      </c>
      <c r="F688">
        <f>IFERROR(IF(VLOOKUP($B688,Показатели!$E:$W,3,FALSE)=0,"",VLOOKUP($B688,Показатели!$E:$W,3,FALSE)),"")</f>
        <v>20947000000</v>
      </c>
      <c r="G688">
        <f>IFERROR(IF(VLOOKUP($B688,Показатели!$E:$W,4,FALSE)=0,"",VLOOKUP($B688,Показатели!$E:$W,4,FALSE)),"")</f>
        <v>12527000000</v>
      </c>
      <c r="H688" t="str">
        <f>IFERROR(IF(VLOOKUP($B688,Показатели!$E:$W,5,FALSE)=0,"",VLOOKUP($B688,Показатели!$E:$W,5,FALSE)),"")</f>
        <v/>
      </c>
      <c r="I688">
        <f>IFERROR(IF(VLOOKUP($B688,Показатели!$E:$W,6,FALSE)=0,"",VLOOKUP($B688,Показатели!$E:$W,6,FALSE)),"")</f>
        <v>49094000000</v>
      </c>
      <c r="J688">
        <f>IFERROR(IF(VLOOKUP($B688,Показатели!$E:$W,7,FALSE)=0,"",VLOOKUP($B688,Показатели!$E:$W,7,FALSE)),"")</f>
        <v>28433000000</v>
      </c>
      <c r="K688">
        <f>IFERROR(IF(VLOOKUP($B688,Показатели!$E:$W,8,FALSE)=0,"",VLOOKUP($B688,Показатели!$E:$W,8,FALSE)),"")</f>
        <v>7107000000</v>
      </c>
      <c r="L688" t="str">
        <f>IFERROR(IF(VLOOKUP($B688,Показатели!$E:$W,9,FALSE)=0,"",VLOOKUP($B688,Показатели!$E:$W,9,FALSE)),"")</f>
        <v/>
      </c>
      <c r="M688">
        <f>IFERROR(IF(VLOOKUP($B688,Показатели!$E:$W,10,FALSE)=0,"",VLOOKUP($B688,Показатели!$E:$W,10,FALSE)),"")</f>
        <v>13554000000</v>
      </c>
      <c r="N688">
        <f>IFERROR(IF(VLOOKUP($B688,Показатели!$E:$W,11,FALSE)=0,"",VLOOKUP($B688,Показатели!$E:$W,11,FALSE)),"")</f>
        <v>69531000000</v>
      </c>
      <c r="O688">
        <f>IFERROR(IF(VLOOKUP($B688,Показатели!$E:$W,12,FALSE)=0,"",VLOOKUP($B688,Показатели!$E:$W,12,FALSE)),"")</f>
        <v>8556000000</v>
      </c>
      <c r="P688">
        <f>IFERROR(IF(VLOOKUP($B688,Показатели!$E:$W,13,FALSE)=0,"",VLOOKUP($B688,Показатели!$E:$W,13,FALSE)),"")</f>
        <v>6275000000</v>
      </c>
      <c r="Q688">
        <f>IFERROR(IF(VLOOKUP($B688,Показатели!$E:$W,14,FALSE)=0,"",VLOOKUP($B688,Показатели!$E:$W,14,FALSE)),"")</f>
        <v>4694000000</v>
      </c>
      <c r="R688" t="str">
        <f>IFERROR(IF(VLOOKUP($B688,Показатели!$E:$W,15,FALSE)=0,"",VLOOKUP($B688,Показатели!$E:$W,15,FALSE)),"")</f>
        <v/>
      </c>
      <c r="S688" t="str">
        <f>IFERROR(IF(VLOOKUP($B688,Показатели!$E:$W,16,FALSE)=0,"",VLOOKUP($B688,Показатели!$E:$W,16,FALSE)),"")</f>
        <v/>
      </c>
      <c r="T688" t="str">
        <f>IFERROR(IF(VLOOKUP($B688,Показатели!$E:$W,17,FALSE)=0,"",VLOOKUP($B688,Показатели!$E:$W,17,FALSE)),"")</f>
        <v/>
      </c>
      <c r="U688" t="str">
        <f>IFERROR(IF(VLOOKUP($B688,Показатели!$E:$W,18,FALSE)=0,"",VLOOKUP($B688,Показатели!$E:$W,18,FALSE)),"")</f>
        <v/>
      </c>
      <c r="V688" t="str">
        <f>IFERROR(IF(VLOOKUP($B688,Показатели!$E:$W,19,FALSE)=0,"",VLOOKUP($B688,Показатели!$E:$W,19,FALSE)),"")</f>
        <v/>
      </c>
    </row>
    <row r="689" spans="1:22" x14ac:dyDescent="0.2">
      <c r="A689" s="7" t="s">
        <v>2261</v>
      </c>
      <c r="B689" t="str">
        <f t="shared" si="10"/>
        <v>SVAV IV кв. 2010</v>
      </c>
      <c r="C689">
        <v>2010</v>
      </c>
      <c r="D689">
        <f>SUMIFS(Дивиденды!$C:$C,Дивиденды!$A:$A,A689,Дивиденды!$I:$I,C689)</f>
        <v>0</v>
      </c>
      <c r="E689" t="str">
        <f>IFERROR(IF(VLOOKUP($B689,Показатели!$E:$W,2,FALSE)=0,"",VLOOKUP($B689,Показатели!$E:$W,2,FALSE)),"")</f>
        <v/>
      </c>
      <c r="F689" t="str">
        <f>IFERROR(IF(VLOOKUP($B689,Показатели!$E:$W,3,FALSE)=0,"",VLOOKUP($B689,Показатели!$E:$W,3,FALSE)),"")</f>
        <v/>
      </c>
      <c r="G689" t="str">
        <f>IFERROR(IF(VLOOKUP($B689,Показатели!$E:$W,4,FALSE)=0,"",VLOOKUP($B689,Показатели!$E:$W,4,FALSE)),"")</f>
        <v/>
      </c>
      <c r="H689" t="str">
        <f>IFERROR(IF(VLOOKUP($B689,Показатели!$E:$W,5,FALSE)=0,"",VLOOKUP($B689,Показатели!$E:$W,5,FALSE)),"")</f>
        <v/>
      </c>
      <c r="I689" t="str">
        <f>IFERROR(IF(VLOOKUP($B689,Показатели!$E:$W,6,FALSE)=0,"",VLOOKUP($B689,Показатели!$E:$W,6,FALSE)),"")</f>
        <v/>
      </c>
      <c r="J689" t="str">
        <f>IFERROR(IF(VLOOKUP($B689,Показатели!$E:$W,7,FALSE)=0,"",VLOOKUP($B689,Показатели!$E:$W,7,FALSE)),"")</f>
        <v/>
      </c>
      <c r="K689" t="str">
        <f>IFERROR(IF(VLOOKUP($B689,Показатели!$E:$W,8,FALSE)=0,"",VLOOKUP($B689,Показатели!$E:$W,8,FALSE)),"")</f>
        <v/>
      </c>
      <c r="L689" t="str">
        <f>IFERROR(IF(VLOOKUP($B689,Показатели!$E:$W,9,FALSE)=0,"",VLOOKUP($B689,Показатели!$E:$W,9,FALSE)),"")</f>
        <v/>
      </c>
      <c r="M689" t="str">
        <f>IFERROR(IF(VLOOKUP($B689,Показатели!$E:$W,10,FALSE)=0,"",VLOOKUP($B689,Показатели!$E:$W,10,FALSE)),"")</f>
        <v/>
      </c>
      <c r="N689" t="str">
        <f>IFERROR(IF(VLOOKUP($B689,Показатели!$E:$W,11,FALSE)=0,"",VLOOKUP($B689,Показатели!$E:$W,11,FALSE)),"")</f>
        <v/>
      </c>
      <c r="O689" t="str">
        <f>IFERROR(IF(VLOOKUP($B689,Показатели!$E:$W,12,FALSE)=0,"",VLOOKUP($B689,Показатели!$E:$W,12,FALSE)),"")</f>
        <v/>
      </c>
      <c r="P689" t="str">
        <f>IFERROR(IF(VLOOKUP($B689,Показатели!$E:$W,13,FALSE)=0,"",VLOOKUP($B689,Показатели!$E:$W,13,FALSE)),"")</f>
        <v/>
      </c>
      <c r="Q689" t="str">
        <f>IFERROR(IF(VLOOKUP($B689,Показатели!$E:$W,14,FALSE)=0,"",VLOOKUP($B689,Показатели!$E:$W,14,FALSE)),"")</f>
        <v/>
      </c>
      <c r="R689" t="str">
        <f>IFERROR(IF(VLOOKUP($B689,Показатели!$E:$W,15,FALSE)=0,"",VLOOKUP($B689,Показатели!$E:$W,15,FALSE)),"")</f>
        <v/>
      </c>
      <c r="S689" t="str">
        <f>IFERROR(IF(VLOOKUP($B689,Показатели!$E:$W,16,FALSE)=0,"",VLOOKUP($B689,Показатели!$E:$W,16,FALSE)),"")</f>
        <v/>
      </c>
      <c r="T689" t="str">
        <f>IFERROR(IF(VLOOKUP($B689,Показатели!$E:$W,17,FALSE)=0,"",VLOOKUP($B689,Показатели!$E:$W,17,FALSE)),"")</f>
        <v/>
      </c>
      <c r="U689" t="str">
        <f>IFERROR(IF(VLOOKUP($B689,Показатели!$E:$W,18,FALSE)=0,"",VLOOKUP($B689,Показатели!$E:$W,18,FALSE)),"")</f>
        <v/>
      </c>
      <c r="V689" t="str">
        <f>IFERROR(IF(VLOOKUP($B689,Показатели!$E:$W,19,FALSE)=0,"",VLOOKUP($B689,Показатели!$E:$W,19,FALSE)),"")</f>
        <v/>
      </c>
    </row>
    <row r="690" spans="1:22" x14ac:dyDescent="0.2">
      <c r="A690" s="7" t="s">
        <v>2264</v>
      </c>
      <c r="B690" t="str">
        <f t="shared" si="10"/>
        <v>VSEH IV кв. 2025</v>
      </c>
      <c r="C690">
        <v>2025</v>
      </c>
      <c r="D690">
        <f>SUMIFS(Дивиденды!$C:$C,Дивиденды!$A:$A,A690,Дивиденды!$I:$I,C690)</f>
        <v>1</v>
      </c>
      <c r="E690" t="str">
        <f>IFERROR(IF(VLOOKUP($B690,Показатели!$E:$W,2,FALSE)=0,"",VLOOKUP($B690,Показатели!$E:$W,2,FALSE)),"")</f>
        <v/>
      </c>
      <c r="F690" t="str">
        <f>IFERROR(IF(VLOOKUP($B690,Показатели!$E:$W,3,FALSE)=0,"",VLOOKUP($B690,Показатели!$E:$W,3,FALSE)),"")</f>
        <v/>
      </c>
      <c r="G690" t="str">
        <f>IFERROR(IF(VLOOKUP($B690,Показатели!$E:$W,4,FALSE)=0,"",VLOOKUP($B690,Показатели!$E:$W,4,FALSE)),"")</f>
        <v/>
      </c>
      <c r="H690" t="str">
        <f>IFERROR(IF(VLOOKUP($B690,Показатели!$E:$W,5,FALSE)=0,"",VLOOKUP($B690,Показатели!$E:$W,5,FALSE)),"")</f>
        <v/>
      </c>
      <c r="I690" t="str">
        <f>IFERROR(IF(VLOOKUP($B690,Показатели!$E:$W,6,FALSE)=0,"",VLOOKUP($B690,Показатели!$E:$W,6,FALSE)),"")</f>
        <v/>
      </c>
      <c r="J690" t="str">
        <f>IFERROR(IF(VLOOKUP($B690,Показатели!$E:$W,7,FALSE)=0,"",VLOOKUP($B690,Показатели!$E:$W,7,FALSE)),"")</f>
        <v/>
      </c>
      <c r="K690" t="str">
        <f>IFERROR(IF(VLOOKUP($B690,Показатели!$E:$W,8,FALSE)=0,"",VLOOKUP($B690,Показатели!$E:$W,8,FALSE)),"")</f>
        <v/>
      </c>
      <c r="L690" t="str">
        <f>IFERROR(IF(VLOOKUP($B690,Показатели!$E:$W,9,FALSE)=0,"",VLOOKUP($B690,Показатели!$E:$W,9,FALSE)),"")</f>
        <v/>
      </c>
      <c r="M690" t="str">
        <f>IFERROR(IF(VLOOKUP($B690,Показатели!$E:$W,10,FALSE)=0,"",VLOOKUP($B690,Показатели!$E:$W,10,FALSE)),"")</f>
        <v/>
      </c>
      <c r="N690" t="str">
        <f>IFERROR(IF(VLOOKUP($B690,Показатели!$E:$W,11,FALSE)=0,"",VLOOKUP($B690,Показатели!$E:$W,11,FALSE)),"")</f>
        <v/>
      </c>
      <c r="O690" t="str">
        <f>IFERROR(IF(VLOOKUP($B690,Показатели!$E:$W,12,FALSE)=0,"",VLOOKUP($B690,Показатели!$E:$W,12,FALSE)),"")</f>
        <v/>
      </c>
      <c r="P690" t="str">
        <f>IFERROR(IF(VLOOKUP($B690,Показатели!$E:$W,13,FALSE)=0,"",VLOOKUP($B690,Показатели!$E:$W,13,FALSE)),"")</f>
        <v/>
      </c>
      <c r="Q690" t="str">
        <f>IFERROR(IF(VLOOKUP($B690,Показатели!$E:$W,14,FALSE)=0,"",VLOOKUP($B690,Показатели!$E:$W,14,FALSE)),"")</f>
        <v/>
      </c>
      <c r="R690" t="str">
        <f>IFERROR(IF(VLOOKUP($B690,Показатели!$E:$W,15,FALSE)=0,"",VLOOKUP($B690,Показатели!$E:$W,15,FALSE)),"")</f>
        <v/>
      </c>
      <c r="S690" t="str">
        <f>IFERROR(IF(VLOOKUP($B690,Показатели!$E:$W,16,FALSE)=0,"",VLOOKUP($B690,Показатели!$E:$W,16,FALSE)),"")</f>
        <v/>
      </c>
      <c r="T690" t="str">
        <f>IFERROR(IF(VLOOKUP($B690,Показатели!$E:$W,17,FALSE)=0,"",VLOOKUP($B690,Показатели!$E:$W,17,FALSE)),"")</f>
        <v/>
      </c>
      <c r="U690" t="str">
        <f>IFERROR(IF(VLOOKUP($B690,Показатели!$E:$W,18,FALSE)=0,"",VLOOKUP($B690,Показатели!$E:$W,18,FALSE)),"")</f>
        <v/>
      </c>
      <c r="V690" t="str">
        <f>IFERROR(IF(VLOOKUP($B690,Показатели!$E:$W,19,FALSE)=0,"",VLOOKUP($B690,Показатели!$E:$W,19,FALSE)),"")</f>
        <v/>
      </c>
    </row>
    <row r="691" spans="1:22" x14ac:dyDescent="0.2">
      <c r="A691" s="7" t="s">
        <v>2264</v>
      </c>
      <c r="B691" t="str">
        <f t="shared" si="10"/>
        <v>VSEH IV кв. 2024</v>
      </c>
      <c r="C691">
        <v>2024</v>
      </c>
      <c r="D691">
        <f>SUMIFS(Дивиденды!$C:$C,Дивиденды!$A:$A,A691,Дивиденды!$I:$I,C691)</f>
        <v>0</v>
      </c>
      <c r="E691">
        <f>IFERROR(IF(VLOOKUP($B691,Показатели!$E:$W,2,FALSE)=0,"",VLOOKUP($B691,Показатели!$E:$W,2,FALSE)),"")</f>
        <v>9362918000</v>
      </c>
      <c r="F691">
        <f>IFERROR(IF(VLOOKUP($B691,Показатели!$E:$W,3,FALSE)=0,"",VLOOKUP($B691,Показатели!$E:$W,3,FALSE)),"")</f>
        <v>58323418000</v>
      </c>
      <c r="G691">
        <f>IFERROR(IF(VLOOKUP($B691,Показатели!$E:$W,4,FALSE)=0,"",VLOOKUP($B691,Показатели!$E:$W,4,FALSE)),"")</f>
        <v>3512689000</v>
      </c>
      <c r="H691">
        <f>IFERROR(IF(VLOOKUP($B691,Показатели!$E:$W,5,FALSE)=0,"",VLOOKUP($B691,Показатели!$E:$W,5,FALSE)),"")</f>
        <v>347996000</v>
      </c>
      <c r="I691">
        <f>IFERROR(IF(VLOOKUP($B691,Показатели!$E:$W,6,FALSE)=0,"",VLOOKUP($B691,Показатели!$E:$W,6,FALSE)),"")</f>
        <v>78343558000</v>
      </c>
      <c r="J691">
        <f>IFERROR(IF(VLOOKUP($B691,Показатели!$E:$W,7,FALSE)=0,"",VLOOKUP($B691,Показатели!$E:$W,7,FALSE)),"")</f>
        <v>52820331000</v>
      </c>
      <c r="K691">
        <f>IFERROR(IF(VLOOKUP($B691,Показатели!$E:$W,8,FALSE)=0,"",VLOOKUP($B691,Показатели!$E:$W,8,FALSE)),"")</f>
        <v>23389320000</v>
      </c>
      <c r="L691">
        <f>IFERROR(IF(VLOOKUP($B691,Показатели!$E:$W,9,FALSE)=0,"",VLOOKUP($B691,Показатели!$E:$W,9,FALSE)),"")</f>
        <v>2128907000</v>
      </c>
      <c r="M691">
        <f>IFERROR(IF(VLOOKUP($B691,Показатели!$E:$W,10,FALSE)=0,"",VLOOKUP($B691,Показатели!$E:$W,10,FALSE)),"")</f>
        <v>2133907000</v>
      </c>
      <c r="N691">
        <f>IFERROR(IF(VLOOKUP($B691,Показатели!$E:$W,11,FALSE)=0,"",VLOOKUP($B691,Показатели!$E:$W,11,FALSE)),"")</f>
        <v>170064103000</v>
      </c>
      <c r="O691">
        <f>IFERROR(IF(VLOOKUP($B691,Показатели!$E:$W,12,FALSE)=0,"",VLOOKUP($B691,Показатели!$E:$W,12,FALSE)),"")</f>
        <v>5833049000</v>
      </c>
      <c r="P691">
        <f>IFERROR(IF(VLOOKUP($B691,Показатели!$E:$W,13,FALSE)=0,"",VLOOKUP($B691,Показатели!$E:$W,13,FALSE)),"")</f>
        <v>1540039000</v>
      </c>
      <c r="Q691">
        <f>IFERROR(IF(VLOOKUP($B691,Показатели!$E:$W,14,FALSE)=0,"",VLOOKUP($B691,Показатели!$E:$W,14,FALSE)),"")</f>
        <v>669769000</v>
      </c>
      <c r="R691">
        <f>IFERROR(IF(VLOOKUP($B691,Показатели!$E:$W,15,FALSE)=0,"",VLOOKUP($B691,Показатели!$E:$W,15,FALSE)),"")</f>
        <v>4783380000</v>
      </c>
      <c r="S691">
        <f>IFERROR(IF(VLOOKUP($B691,Показатели!$E:$W,16,FALSE)=0,"",VLOOKUP($B691,Показатели!$E:$W,16,FALSE)),"")</f>
        <v>12813417000</v>
      </c>
      <c r="T691">
        <f>IFERROR(IF(VLOOKUP($B691,Показатели!$E:$W,17,FALSE)=0,"",VLOOKUP($B691,Показатели!$E:$W,17,FALSE)),"")</f>
        <v>-1952490000</v>
      </c>
      <c r="U691">
        <f>IFERROR(IF(VLOOKUP($B691,Показатели!$E:$W,18,FALSE)=0,"",VLOOKUP($B691,Показатели!$E:$W,18,FALSE)),"")</f>
        <v>132750803000</v>
      </c>
      <c r="V691">
        <f>IFERROR(IF(VLOOKUP($B691,Показатели!$E:$W,19,FALSE)=0,"",VLOOKUP($B691,Показатели!$E:$W,19,FALSE)),"")</f>
        <v>49725214000</v>
      </c>
    </row>
    <row r="692" spans="1:22" x14ac:dyDescent="0.2">
      <c r="A692" s="7" t="s">
        <v>2264</v>
      </c>
      <c r="B692" t="str">
        <f t="shared" si="10"/>
        <v>VSEH IV кв. 2023</v>
      </c>
      <c r="C692">
        <v>2023</v>
      </c>
      <c r="D692">
        <f>SUMIFS(Дивиденды!$C:$C,Дивиденды!$A:$A,A692,Дивиденды!$I:$I,C692)</f>
        <v>0</v>
      </c>
      <c r="E692">
        <f>IFERROR(IF(VLOOKUP($B692,Показатели!$E:$W,2,FALSE)=0,"",VLOOKUP($B692,Показатели!$E:$W,2,FALSE)),"")</f>
        <v>1725859000</v>
      </c>
      <c r="F692">
        <f>IFERROR(IF(VLOOKUP($B692,Показатели!$E:$W,3,FALSE)=0,"",VLOOKUP($B692,Показатели!$E:$W,3,FALSE)),"")</f>
        <v>35270428000</v>
      </c>
      <c r="G692">
        <f>IFERROR(IF(VLOOKUP($B692,Показатели!$E:$W,4,FALSE)=0,"",VLOOKUP($B692,Показатели!$E:$W,4,FALSE)),"")</f>
        <v>2514442000</v>
      </c>
      <c r="H692">
        <f>IFERROR(IF(VLOOKUP($B692,Показатели!$E:$W,5,FALSE)=0,"",VLOOKUP($B692,Показатели!$E:$W,5,FALSE)),"")</f>
        <v>231563000</v>
      </c>
      <c r="I692">
        <f>IFERROR(IF(VLOOKUP($B692,Показатели!$E:$W,6,FALSE)=0,"",VLOOKUP($B692,Показатели!$E:$W,6,FALSE)),"")</f>
        <v>49725214000</v>
      </c>
      <c r="J692">
        <f>IFERROR(IF(VLOOKUP($B692,Показатели!$E:$W,7,FALSE)=0,"",VLOOKUP($B692,Показатели!$E:$W,7,FALSE)),"")</f>
        <v>31539458000</v>
      </c>
      <c r="K692">
        <f>IFERROR(IF(VLOOKUP($B692,Показатели!$E:$W,8,FALSE)=0,"",VLOOKUP($B692,Показатели!$E:$W,8,FALSE)),"")</f>
        <v>15055331000</v>
      </c>
      <c r="L692">
        <f>IFERROR(IF(VLOOKUP($B692,Показатели!$E:$W,9,FALSE)=0,"",VLOOKUP($B692,Показатели!$E:$W,9,FALSE)),"")</f>
        <v>3130425000</v>
      </c>
      <c r="M692">
        <f>IFERROR(IF(VLOOKUP($B692,Показатели!$E:$W,10,FALSE)=0,"",VLOOKUP($B692,Показатели!$E:$W,10,FALSE)),"")</f>
        <v>3130425000</v>
      </c>
      <c r="N692">
        <f>IFERROR(IF(VLOOKUP($B692,Показатели!$E:$W,11,FALSE)=0,"",VLOOKUP($B692,Показатели!$E:$W,11,FALSE)),"")</f>
        <v>132750803000</v>
      </c>
      <c r="O692">
        <f>IFERROR(IF(VLOOKUP($B692,Показатели!$E:$W,12,FALSE)=0,"",VLOOKUP($B692,Показатели!$E:$W,12,FALSE)),"")</f>
        <v>6971714000</v>
      </c>
      <c r="P692">
        <f>IFERROR(IF(VLOOKUP($B692,Показатели!$E:$W,13,FALSE)=0,"",VLOOKUP($B692,Показатели!$E:$W,13,FALSE)),"")</f>
        <v>4816744000</v>
      </c>
      <c r="Q692">
        <f>IFERROR(IF(VLOOKUP($B692,Показатели!$E:$W,14,FALSE)=0,"",VLOOKUP($B692,Показатели!$E:$W,14,FALSE)),"")</f>
        <v>3760054000</v>
      </c>
      <c r="R692">
        <f>IFERROR(IF(VLOOKUP($B692,Показатели!$E:$W,15,FALSE)=0,"",VLOOKUP($B692,Показатели!$E:$W,15,FALSE)),"")</f>
        <v>3069204000</v>
      </c>
      <c r="S692">
        <f>IFERROR(IF(VLOOKUP($B692,Показатели!$E:$W,16,FALSE)=0,"",VLOOKUP($B692,Показатели!$E:$W,16,FALSE)),"")</f>
        <v>10040918000</v>
      </c>
      <c r="T692">
        <f>IFERROR(IF(VLOOKUP($B692,Показатели!$E:$W,17,FALSE)=0,"",VLOOKUP($B692,Показатели!$E:$W,17,FALSE)),"")</f>
        <v>-1631485000</v>
      </c>
      <c r="U692" t="str">
        <f>IFERROR(IF(VLOOKUP($B692,Показатели!$E:$W,18,FALSE)=0,"",VLOOKUP($B692,Показатели!$E:$W,18,FALSE)),"")</f>
        <v/>
      </c>
      <c r="V692" t="str">
        <f>IFERROR(IF(VLOOKUP($B692,Показатели!$E:$W,19,FALSE)=0,"",VLOOKUP($B692,Показатели!$E:$W,19,FALSE)),"")</f>
        <v/>
      </c>
    </row>
    <row r="693" spans="1:22" x14ac:dyDescent="0.2">
      <c r="A693" s="7" t="s">
        <v>2264</v>
      </c>
      <c r="B693" t="str">
        <f t="shared" si="10"/>
        <v>VSEH IV кв. 2022</v>
      </c>
      <c r="C693">
        <v>2022</v>
      </c>
      <c r="D693">
        <f>SUMIFS(Дивиденды!$C:$C,Дивиденды!$A:$A,A693,Дивиденды!$I:$I,C693)</f>
        <v>0</v>
      </c>
      <c r="E693" t="str">
        <f>IFERROR(IF(VLOOKUP($B693,Показатели!$E:$W,2,FALSE)=0,"",VLOOKUP($B693,Показатели!$E:$W,2,FALSE)),"")</f>
        <v/>
      </c>
      <c r="F693" t="str">
        <f>IFERROR(IF(VLOOKUP($B693,Показатели!$E:$W,3,FALSE)=0,"",VLOOKUP($B693,Показатели!$E:$W,3,FALSE)),"")</f>
        <v/>
      </c>
      <c r="G693" t="str">
        <f>IFERROR(IF(VLOOKUP($B693,Показатели!$E:$W,4,FALSE)=0,"",VLOOKUP($B693,Показатели!$E:$W,4,FALSE)),"")</f>
        <v/>
      </c>
      <c r="H693" t="str">
        <f>IFERROR(IF(VLOOKUP($B693,Показатели!$E:$W,5,FALSE)=0,"",VLOOKUP($B693,Показатели!$E:$W,5,FALSE)),"")</f>
        <v/>
      </c>
      <c r="I693" t="str">
        <f>IFERROR(IF(VLOOKUP($B693,Показатели!$E:$W,6,FALSE)=0,"",VLOOKUP($B693,Показатели!$E:$W,6,FALSE)),"")</f>
        <v/>
      </c>
      <c r="J693" t="str">
        <f>IFERROR(IF(VLOOKUP($B693,Показатели!$E:$W,7,FALSE)=0,"",VLOOKUP($B693,Показатели!$E:$W,7,FALSE)),"")</f>
        <v/>
      </c>
      <c r="K693" t="str">
        <f>IFERROR(IF(VLOOKUP($B693,Показатели!$E:$W,8,FALSE)=0,"",VLOOKUP($B693,Показатели!$E:$W,8,FALSE)),"")</f>
        <v/>
      </c>
      <c r="L693" t="str">
        <f>IFERROR(IF(VLOOKUP($B693,Показатели!$E:$W,9,FALSE)=0,"",VLOOKUP($B693,Показатели!$E:$W,9,FALSE)),"")</f>
        <v/>
      </c>
      <c r="M693" t="str">
        <f>IFERROR(IF(VLOOKUP($B693,Показатели!$E:$W,10,FALSE)=0,"",VLOOKUP($B693,Показатели!$E:$W,10,FALSE)),"")</f>
        <v/>
      </c>
      <c r="N693" t="str">
        <f>IFERROR(IF(VLOOKUP($B693,Показатели!$E:$W,11,FALSE)=0,"",VLOOKUP($B693,Показатели!$E:$W,11,FALSE)),"")</f>
        <v/>
      </c>
      <c r="O693" t="str">
        <f>IFERROR(IF(VLOOKUP($B693,Показатели!$E:$W,12,FALSE)=0,"",VLOOKUP($B693,Показатели!$E:$W,12,FALSE)),"")</f>
        <v/>
      </c>
      <c r="P693" t="str">
        <f>IFERROR(IF(VLOOKUP($B693,Показатели!$E:$W,13,FALSE)=0,"",VLOOKUP($B693,Показатели!$E:$W,13,FALSE)),"")</f>
        <v/>
      </c>
      <c r="Q693" t="str">
        <f>IFERROR(IF(VLOOKUP($B693,Показатели!$E:$W,14,FALSE)=0,"",VLOOKUP($B693,Показатели!$E:$W,14,FALSE)),"")</f>
        <v/>
      </c>
      <c r="R693" t="str">
        <f>IFERROR(IF(VLOOKUP($B693,Показатели!$E:$W,15,FALSE)=0,"",VLOOKUP($B693,Показатели!$E:$W,15,FALSE)),"")</f>
        <v/>
      </c>
      <c r="S693" t="str">
        <f>IFERROR(IF(VLOOKUP($B693,Показатели!$E:$W,16,FALSE)=0,"",VLOOKUP($B693,Показатели!$E:$W,16,FALSE)),"")</f>
        <v/>
      </c>
      <c r="T693" t="str">
        <f>IFERROR(IF(VLOOKUP($B693,Показатели!$E:$W,17,FALSE)=0,"",VLOOKUP($B693,Показатели!$E:$W,17,FALSE)),"")</f>
        <v/>
      </c>
      <c r="U693" t="str">
        <f>IFERROR(IF(VLOOKUP($B693,Показатели!$E:$W,18,FALSE)=0,"",VLOOKUP($B693,Показатели!$E:$W,18,FALSE)),"")</f>
        <v/>
      </c>
      <c r="V693" t="str">
        <f>IFERROR(IF(VLOOKUP($B693,Показатели!$E:$W,19,FALSE)=0,"",VLOOKUP($B693,Показатели!$E:$W,19,FALSE)),"")</f>
        <v/>
      </c>
    </row>
    <row r="694" spans="1:22" x14ac:dyDescent="0.2">
      <c r="A694" s="7" t="s">
        <v>2264</v>
      </c>
      <c r="B694" t="str">
        <f t="shared" si="10"/>
        <v>VSEH IV кв. 2021</v>
      </c>
      <c r="C694">
        <v>2021</v>
      </c>
      <c r="D694">
        <f>SUMIFS(Дивиденды!$C:$C,Дивиденды!$A:$A,A694,Дивиденды!$I:$I,C694)</f>
        <v>0</v>
      </c>
      <c r="E694" t="str">
        <f>IFERROR(IF(VLOOKUP($B694,Показатели!$E:$W,2,FALSE)=0,"",VLOOKUP($B694,Показатели!$E:$W,2,FALSE)),"")</f>
        <v/>
      </c>
      <c r="F694" t="str">
        <f>IFERROR(IF(VLOOKUP($B694,Показатели!$E:$W,3,FALSE)=0,"",VLOOKUP($B694,Показатели!$E:$W,3,FALSE)),"")</f>
        <v/>
      </c>
      <c r="G694" t="str">
        <f>IFERROR(IF(VLOOKUP($B694,Показатели!$E:$W,4,FALSE)=0,"",VLOOKUP($B694,Показатели!$E:$W,4,FALSE)),"")</f>
        <v/>
      </c>
      <c r="H694" t="str">
        <f>IFERROR(IF(VLOOKUP($B694,Показатели!$E:$W,5,FALSE)=0,"",VLOOKUP($B694,Показатели!$E:$W,5,FALSE)),"")</f>
        <v/>
      </c>
      <c r="I694" t="str">
        <f>IFERROR(IF(VLOOKUP($B694,Показатели!$E:$W,6,FALSE)=0,"",VLOOKUP($B694,Показатели!$E:$W,6,FALSE)),"")</f>
        <v/>
      </c>
      <c r="J694" t="str">
        <f>IFERROR(IF(VLOOKUP($B694,Показатели!$E:$W,7,FALSE)=0,"",VLOOKUP($B694,Показатели!$E:$W,7,FALSE)),"")</f>
        <v/>
      </c>
      <c r="K694" t="str">
        <f>IFERROR(IF(VLOOKUP($B694,Показатели!$E:$W,8,FALSE)=0,"",VLOOKUP($B694,Показатели!$E:$W,8,FALSE)),"")</f>
        <v/>
      </c>
      <c r="L694" t="str">
        <f>IFERROR(IF(VLOOKUP($B694,Показатели!$E:$W,9,FALSE)=0,"",VLOOKUP($B694,Показатели!$E:$W,9,FALSE)),"")</f>
        <v/>
      </c>
      <c r="M694" t="str">
        <f>IFERROR(IF(VLOOKUP($B694,Показатели!$E:$W,10,FALSE)=0,"",VLOOKUP($B694,Показатели!$E:$W,10,FALSE)),"")</f>
        <v/>
      </c>
      <c r="N694" t="str">
        <f>IFERROR(IF(VLOOKUP($B694,Показатели!$E:$W,11,FALSE)=0,"",VLOOKUP($B694,Показатели!$E:$W,11,FALSE)),"")</f>
        <v/>
      </c>
      <c r="O694" t="str">
        <f>IFERROR(IF(VLOOKUP($B694,Показатели!$E:$W,12,FALSE)=0,"",VLOOKUP($B694,Показатели!$E:$W,12,FALSE)),"")</f>
        <v/>
      </c>
      <c r="P694" t="str">
        <f>IFERROR(IF(VLOOKUP($B694,Показатели!$E:$W,13,FALSE)=0,"",VLOOKUP($B694,Показатели!$E:$W,13,FALSE)),"")</f>
        <v/>
      </c>
      <c r="Q694" t="str">
        <f>IFERROR(IF(VLOOKUP($B694,Показатели!$E:$W,14,FALSE)=0,"",VLOOKUP($B694,Показатели!$E:$W,14,FALSE)),"")</f>
        <v/>
      </c>
      <c r="R694" t="str">
        <f>IFERROR(IF(VLOOKUP($B694,Показатели!$E:$W,15,FALSE)=0,"",VLOOKUP($B694,Показатели!$E:$W,15,FALSE)),"")</f>
        <v/>
      </c>
      <c r="S694" t="str">
        <f>IFERROR(IF(VLOOKUP($B694,Показатели!$E:$W,16,FALSE)=0,"",VLOOKUP($B694,Показатели!$E:$W,16,FALSE)),"")</f>
        <v/>
      </c>
      <c r="T694" t="str">
        <f>IFERROR(IF(VLOOKUP($B694,Показатели!$E:$W,17,FALSE)=0,"",VLOOKUP($B694,Показатели!$E:$W,17,FALSE)),"")</f>
        <v/>
      </c>
      <c r="U694" t="str">
        <f>IFERROR(IF(VLOOKUP($B694,Показатели!$E:$W,18,FALSE)=0,"",VLOOKUP($B694,Показатели!$E:$W,18,FALSE)),"")</f>
        <v/>
      </c>
      <c r="V694" t="str">
        <f>IFERROR(IF(VLOOKUP($B694,Показатели!$E:$W,19,FALSE)=0,"",VLOOKUP($B694,Показатели!$E:$W,19,FALSE)),"")</f>
        <v/>
      </c>
    </row>
    <row r="695" spans="1:22" x14ac:dyDescent="0.2">
      <c r="A695" s="7" t="s">
        <v>2264</v>
      </c>
      <c r="B695" t="str">
        <f t="shared" si="10"/>
        <v>VSEH IV кв. 2020</v>
      </c>
      <c r="C695">
        <v>2020</v>
      </c>
      <c r="D695">
        <f>SUMIFS(Дивиденды!$C:$C,Дивиденды!$A:$A,A695,Дивиденды!$I:$I,C695)</f>
        <v>0</v>
      </c>
      <c r="E695" t="str">
        <f>IFERROR(IF(VLOOKUP($B695,Показатели!$E:$W,2,FALSE)=0,"",VLOOKUP($B695,Показатели!$E:$W,2,FALSE)),"")</f>
        <v/>
      </c>
      <c r="F695" t="str">
        <f>IFERROR(IF(VLOOKUP($B695,Показатели!$E:$W,3,FALSE)=0,"",VLOOKUP($B695,Показатели!$E:$W,3,FALSE)),"")</f>
        <v/>
      </c>
      <c r="G695" t="str">
        <f>IFERROR(IF(VLOOKUP($B695,Показатели!$E:$W,4,FALSE)=0,"",VLOOKUP($B695,Показатели!$E:$W,4,FALSE)),"")</f>
        <v/>
      </c>
      <c r="H695" t="str">
        <f>IFERROR(IF(VLOOKUP($B695,Показатели!$E:$W,5,FALSE)=0,"",VLOOKUP($B695,Показатели!$E:$W,5,FALSE)),"")</f>
        <v/>
      </c>
      <c r="I695" t="str">
        <f>IFERROR(IF(VLOOKUP($B695,Показатели!$E:$W,6,FALSE)=0,"",VLOOKUP($B695,Показатели!$E:$W,6,FALSE)),"")</f>
        <v/>
      </c>
      <c r="J695" t="str">
        <f>IFERROR(IF(VLOOKUP($B695,Показатели!$E:$W,7,FALSE)=0,"",VLOOKUP($B695,Показатели!$E:$W,7,FALSE)),"")</f>
        <v/>
      </c>
      <c r="K695" t="str">
        <f>IFERROR(IF(VLOOKUP($B695,Показатели!$E:$W,8,FALSE)=0,"",VLOOKUP($B695,Показатели!$E:$W,8,FALSE)),"")</f>
        <v/>
      </c>
      <c r="L695" t="str">
        <f>IFERROR(IF(VLOOKUP($B695,Показатели!$E:$W,9,FALSE)=0,"",VLOOKUP($B695,Показатели!$E:$W,9,FALSE)),"")</f>
        <v/>
      </c>
      <c r="M695" t="str">
        <f>IFERROR(IF(VLOOKUP($B695,Показатели!$E:$W,10,FALSE)=0,"",VLOOKUP($B695,Показатели!$E:$W,10,FALSE)),"")</f>
        <v/>
      </c>
      <c r="N695" t="str">
        <f>IFERROR(IF(VLOOKUP($B695,Показатели!$E:$W,11,FALSE)=0,"",VLOOKUP($B695,Показатели!$E:$W,11,FALSE)),"")</f>
        <v/>
      </c>
      <c r="O695" t="str">
        <f>IFERROR(IF(VLOOKUP($B695,Показатели!$E:$W,12,FALSE)=0,"",VLOOKUP($B695,Показатели!$E:$W,12,FALSE)),"")</f>
        <v/>
      </c>
      <c r="P695" t="str">
        <f>IFERROR(IF(VLOOKUP($B695,Показатели!$E:$W,13,FALSE)=0,"",VLOOKUP($B695,Показатели!$E:$W,13,FALSE)),"")</f>
        <v/>
      </c>
      <c r="Q695" t="str">
        <f>IFERROR(IF(VLOOKUP($B695,Показатели!$E:$W,14,FALSE)=0,"",VLOOKUP($B695,Показатели!$E:$W,14,FALSE)),"")</f>
        <v/>
      </c>
      <c r="R695" t="str">
        <f>IFERROR(IF(VLOOKUP($B695,Показатели!$E:$W,15,FALSE)=0,"",VLOOKUP($B695,Показатели!$E:$W,15,FALSE)),"")</f>
        <v/>
      </c>
      <c r="S695" t="str">
        <f>IFERROR(IF(VLOOKUP($B695,Показатели!$E:$W,16,FALSE)=0,"",VLOOKUP($B695,Показатели!$E:$W,16,FALSE)),"")</f>
        <v/>
      </c>
      <c r="T695" t="str">
        <f>IFERROR(IF(VLOOKUP($B695,Показатели!$E:$W,17,FALSE)=0,"",VLOOKUP($B695,Показатели!$E:$W,17,FALSE)),"")</f>
        <v/>
      </c>
      <c r="U695" t="str">
        <f>IFERROR(IF(VLOOKUP($B695,Показатели!$E:$W,18,FALSE)=0,"",VLOOKUP($B695,Показатели!$E:$W,18,FALSE)),"")</f>
        <v/>
      </c>
      <c r="V695" t="str">
        <f>IFERROR(IF(VLOOKUP($B695,Показатели!$E:$W,19,FALSE)=0,"",VLOOKUP($B695,Показатели!$E:$W,19,FALSE)),"")</f>
        <v/>
      </c>
    </row>
    <row r="696" spans="1:22" x14ac:dyDescent="0.2">
      <c r="A696" s="7" t="s">
        <v>2264</v>
      </c>
      <c r="B696" t="str">
        <f t="shared" si="10"/>
        <v>VSEH IV кв. 2019</v>
      </c>
      <c r="C696">
        <v>2019</v>
      </c>
      <c r="D696">
        <f>SUMIFS(Дивиденды!$C:$C,Дивиденды!$A:$A,A696,Дивиденды!$I:$I,C696)</f>
        <v>0</v>
      </c>
      <c r="E696" t="str">
        <f>IFERROR(IF(VLOOKUP($B696,Показатели!$E:$W,2,FALSE)=0,"",VLOOKUP($B696,Показатели!$E:$W,2,FALSE)),"")</f>
        <v/>
      </c>
      <c r="F696" t="str">
        <f>IFERROR(IF(VLOOKUP($B696,Показатели!$E:$W,3,FALSE)=0,"",VLOOKUP($B696,Показатели!$E:$W,3,FALSE)),"")</f>
        <v/>
      </c>
      <c r="G696" t="str">
        <f>IFERROR(IF(VLOOKUP($B696,Показатели!$E:$W,4,FALSE)=0,"",VLOOKUP($B696,Показатели!$E:$W,4,FALSE)),"")</f>
        <v/>
      </c>
      <c r="H696" t="str">
        <f>IFERROR(IF(VLOOKUP($B696,Показатели!$E:$W,5,FALSE)=0,"",VLOOKUP($B696,Показатели!$E:$W,5,FALSE)),"")</f>
        <v/>
      </c>
      <c r="I696" t="str">
        <f>IFERROR(IF(VLOOKUP($B696,Показатели!$E:$W,6,FALSE)=0,"",VLOOKUP($B696,Показатели!$E:$W,6,FALSE)),"")</f>
        <v/>
      </c>
      <c r="J696" t="str">
        <f>IFERROR(IF(VLOOKUP($B696,Показатели!$E:$W,7,FALSE)=0,"",VLOOKUP($B696,Показатели!$E:$W,7,FALSE)),"")</f>
        <v/>
      </c>
      <c r="K696" t="str">
        <f>IFERROR(IF(VLOOKUP($B696,Показатели!$E:$W,8,FALSE)=0,"",VLOOKUP($B696,Показатели!$E:$W,8,FALSE)),"")</f>
        <v/>
      </c>
      <c r="L696" t="str">
        <f>IFERROR(IF(VLOOKUP($B696,Показатели!$E:$W,9,FALSE)=0,"",VLOOKUP($B696,Показатели!$E:$W,9,FALSE)),"")</f>
        <v/>
      </c>
      <c r="M696" t="str">
        <f>IFERROR(IF(VLOOKUP($B696,Показатели!$E:$W,10,FALSE)=0,"",VLOOKUP($B696,Показатели!$E:$W,10,FALSE)),"")</f>
        <v/>
      </c>
      <c r="N696" t="str">
        <f>IFERROR(IF(VLOOKUP($B696,Показатели!$E:$W,11,FALSE)=0,"",VLOOKUP($B696,Показатели!$E:$W,11,FALSE)),"")</f>
        <v/>
      </c>
      <c r="O696" t="str">
        <f>IFERROR(IF(VLOOKUP($B696,Показатели!$E:$W,12,FALSE)=0,"",VLOOKUP($B696,Показатели!$E:$W,12,FALSE)),"")</f>
        <v/>
      </c>
      <c r="P696" t="str">
        <f>IFERROR(IF(VLOOKUP($B696,Показатели!$E:$W,13,FALSE)=0,"",VLOOKUP($B696,Показатели!$E:$W,13,FALSE)),"")</f>
        <v/>
      </c>
      <c r="Q696" t="str">
        <f>IFERROR(IF(VLOOKUP($B696,Показатели!$E:$W,14,FALSE)=0,"",VLOOKUP($B696,Показатели!$E:$W,14,FALSE)),"")</f>
        <v/>
      </c>
      <c r="R696" t="str">
        <f>IFERROR(IF(VLOOKUP($B696,Показатели!$E:$W,15,FALSE)=0,"",VLOOKUP($B696,Показатели!$E:$W,15,FALSE)),"")</f>
        <v/>
      </c>
      <c r="S696" t="str">
        <f>IFERROR(IF(VLOOKUP($B696,Показатели!$E:$W,16,FALSE)=0,"",VLOOKUP($B696,Показатели!$E:$W,16,FALSE)),"")</f>
        <v/>
      </c>
      <c r="T696" t="str">
        <f>IFERROR(IF(VLOOKUP($B696,Показатели!$E:$W,17,FALSE)=0,"",VLOOKUP($B696,Показатели!$E:$W,17,FALSE)),"")</f>
        <v/>
      </c>
      <c r="U696" t="str">
        <f>IFERROR(IF(VLOOKUP($B696,Показатели!$E:$W,18,FALSE)=0,"",VLOOKUP($B696,Показатели!$E:$W,18,FALSE)),"")</f>
        <v/>
      </c>
      <c r="V696" t="str">
        <f>IFERROR(IF(VLOOKUP($B696,Показатели!$E:$W,19,FALSE)=0,"",VLOOKUP($B696,Показатели!$E:$W,19,FALSE)),"")</f>
        <v/>
      </c>
    </row>
    <row r="697" spans="1:22" x14ac:dyDescent="0.2">
      <c r="A697" s="7" t="s">
        <v>2264</v>
      </c>
      <c r="B697" t="str">
        <f t="shared" si="10"/>
        <v>VSEH IV кв. 2018</v>
      </c>
      <c r="C697">
        <v>2018</v>
      </c>
      <c r="D697">
        <f>SUMIFS(Дивиденды!$C:$C,Дивиденды!$A:$A,A697,Дивиденды!$I:$I,C697)</f>
        <v>0</v>
      </c>
      <c r="E697" t="str">
        <f>IFERROR(IF(VLOOKUP($B697,Показатели!$E:$W,2,FALSE)=0,"",VLOOKUP($B697,Показатели!$E:$W,2,FALSE)),"")</f>
        <v/>
      </c>
      <c r="F697" t="str">
        <f>IFERROR(IF(VLOOKUP($B697,Показатели!$E:$W,3,FALSE)=0,"",VLOOKUP($B697,Показатели!$E:$W,3,FALSE)),"")</f>
        <v/>
      </c>
      <c r="G697" t="str">
        <f>IFERROR(IF(VLOOKUP($B697,Показатели!$E:$W,4,FALSE)=0,"",VLOOKUP($B697,Показатели!$E:$W,4,FALSE)),"")</f>
        <v/>
      </c>
      <c r="H697" t="str">
        <f>IFERROR(IF(VLOOKUP($B697,Показатели!$E:$W,5,FALSE)=0,"",VLOOKUP($B697,Показатели!$E:$W,5,FALSE)),"")</f>
        <v/>
      </c>
      <c r="I697" t="str">
        <f>IFERROR(IF(VLOOKUP($B697,Показатели!$E:$W,6,FALSE)=0,"",VLOOKUP($B697,Показатели!$E:$W,6,FALSE)),"")</f>
        <v/>
      </c>
      <c r="J697" t="str">
        <f>IFERROR(IF(VLOOKUP($B697,Показатели!$E:$W,7,FALSE)=0,"",VLOOKUP($B697,Показатели!$E:$W,7,FALSE)),"")</f>
        <v/>
      </c>
      <c r="K697" t="str">
        <f>IFERROR(IF(VLOOKUP($B697,Показатели!$E:$W,8,FALSE)=0,"",VLOOKUP($B697,Показатели!$E:$W,8,FALSE)),"")</f>
        <v/>
      </c>
      <c r="L697" t="str">
        <f>IFERROR(IF(VLOOKUP($B697,Показатели!$E:$W,9,FALSE)=0,"",VLOOKUP($B697,Показатели!$E:$W,9,FALSE)),"")</f>
        <v/>
      </c>
      <c r="M697" t="str">
        <f>IFERROR(IF(VLOOKUP($B697,Показатели!$E:$W,10,FALSE)=0,"",VLOOKUP($B697,Показатели!$E:$W,10,FALSE)),"")</f>
        <v/>
      </c>
      <c r="N697" t="str">
        <f>IFERROR(IF(VLOOKUP($B697,Показатели!$E:$W,11,FALSE)=0,"",VLOOKUP($B697,Показатели!$E:$W,11,FALSE)),"")</f>
        <v/>
      </c>
      <c r="O697" t="str">
        <f>IFERROR(IF(VLOOKUP($B697,Показатели!$E:$W,12,FALSE)=0,"",VLOOKUP($B697,Показатели!$E:$W,12,FALSE)),"")</f>
        <v/>
      </c>
      <c r="P697" t="str">
        <f>IFERROR(IF(VLOOKUP($B697,Показатели!$E:$W,13,FALSE)=0,"",VLOOKUP($B697,Показатели!$E:$W,13,FALSE)),"")</f>
        <v/>
      </c>
      <c r="Q697" t="str">
        <f>IFERROR(IF(VLOOKUP($B697,Показатели!$E:$W,14,FALSE)=0,"",VLOOKUP($B697,Показатели!$E:$W,14,FALSE)),"")</f>
        <v/>
      </c>
      <c r="R697" t="str">
        <f>IFERROR(IF(VLOOKUP($B697,Показатели!$E:$W,15,FALSE)=0,"",VLOOKUP($B697,Показатели!$E:$W,15,FALSE)),"")</f>
        <v/>
      </c>
      <c r="S697" t="str">
        <f>IFERROR(IF(VLOOKUP($B697,Показатели!$E:$W,16,FALSE)=0,"",VLOOKUP($B697,Показатели!$E:$W,16,FALSE)),"")</f>
        <v/>
      </c>
      <c r="T697" t="str">
        <f>IFERROR(IF(VLOOKUP($B697,Показатели!$E:$W,17,FALSE)=0,"",VLOOKUP($B697,Показатели!$E:$W,17,FALSE)),"")</f>
        <v/>
      </c>
      <c r="U697" t="str">
        <f>IFERROR(IF(VLOOKUP($B697,Показатели!$E:$W,18,FALSE)=0,"",VLOOKUP($B697,Показатели!$E:$W,18,FALSE)),"")</f>
        <v/>
      </c>
      <c r="V697" t="str">
        <f>IFERROR(IF(VLOOKUP($B697,Показатели!$E:$W,19,FALSE)=0,"",VLOOKUP($B697,Показатели!$E:$W,19,FALSE)),"")</f>
        <v/>
      </c>
    </row>
    <row r="698" spans="1:22" x14ac:dyDescent="0.2">
      <c r="A698" s="7" t="s">
        <v>2264</v>
      </c>
      <c r="B698" t="str">
        <f t="shared" si="10"/>
        <v>VSEH IV кв. 2017</v>
      </c>
      <c r="C698">
        <v>2017</v>
      </c>
      <c r="D698">
        <f>SUMIFS(Дивиденды!$C:$C,Дивиденды!$A:$A,A698,Дивиденды!$I:$I,C698)</f>
        <v>0</v>
      </c>
      <c r="E698" t="str">
        <f>IFERROR(IF(VLOOKUP($B698,Показатели!$E:$W,2,FALSE)=0,"",VLOOKUP($B698,Показатели!$E:$W,2,FALSE)),"")</f>
        <v/>
      </c>
      <c r="F698" t="str">
        <f>IFERROR(IF(VLOOKUP($B698,Показатели!$E:$W,3,FALSE)=0,"",VLOOKUP($B698,Показатели!$E:$W,3,FALSE)),"")</f>
        <v/>
      </c>
      <c r="G698" t="str">
        <f>IFERROR(IF(VLOOKUP($B698,Показатели!$E:$W,4,FALSE)=0,"",VLOOKUP($B698,Показатели!$E:$W,4,FALSE)),"")</f>
        <v/>
      </c>
      <c r="H698" t="str">
        <f>IFERROR(IF(VLOOKUP($B698,Показатели!$E:$W,5,FALSE)=0,"",VLOOKUP($B698,Показатели!$E:$W,5,FALSE)),"")</f>
        <v/>
      </c>
      <c r="I698" t="str">
        <f>IFERROR(IF(VLOOKUP($B698,Показатели!$E:$W,6,FALSE)=0,"",VLOOKUP($B698,Показатели!$E:$W,6,FALSE)),"")</f>
        <v/>
      </c>
      <c r="J698" t="str">
        <f>IFERROR(IF(VLOOKUP($B698,Показатели!$E:$W,7,FALSE)=0,"",VLOOKUP($B698,Показатели!$E:$W,7,FALSE)),"")</f>
        <v/>
      </c>
      <c r="K698" t="str">
        <f>IFERROR(IF(VLOOKUP($B698,Показатели!$E:$W,8,FALSE)=0,"",VLOOKUP($B698,Показатели!$E:$W,8,FALSE)),"")</f>
        <v/>
      </c>
      <c r="L698" t="str">
        <f>IFERROR(IF(VLOOKUP($B698,Показатели!$E:$W,9,FALSE)=0,"",VLOOKUP($B698,Показатели!$E:$W,9,FALSE)),"")</f>
        <v/>
      </c>
      <c r="M698" t="str">
        <f>IFERROR(IF(VLOOKUP($B698,Показатели!$E:$W,10,FALSE)=0,"",VLOOKUP($B698,Показатели!$E:$W,10,FALSE)),"")</f>
        <v/>
      </c>
      <c r="N698" t="str">
        <f>IFERROR(IF(VLOOKUP($B698,Показатели!$E:$W,11,FALSE)=0,"",VLOOKUP($B698,Показатели!$E:$W,11,FALSE)),"")</f>
        <v/>
      </c>
      <c r="O698" t="str">
        <f>IFERROR(IF(VLOOKUP($B698,Показатели!$E:$W,12,FALSE)=0,"",VLOOKUP($B698,Показатели!$E:$W,12,FALSE)),"")</f>
        <v/>
      </c>
      <c r="P698" t="str">
        <f>IFERROR(IF(VLOOKUP($B698,Показатели!$E:$W,13,FALSE)=0,"",VLOOKUP($B698,Показатели!$E:$W,13,FALSE)),"")</f>
        <v/>
      </c>
      <c r="Q698" t="str">
        <f>IFERROR(IF(VLOOKUP($B698,Показатели!$E:$W,14,FALSE)=0,"",VLOOKUP($B698,Показатели!$E:$W,14,FALSE)),"")</f>
        <v/>
      </c>
      <c r="R698" t="str">
        <f>IFERROR(IF(VLOOKUP($B698,Показатели!$E:$W,15,FALSE)=0,"",VLOOKUP($B698,Показатели!$E:$W,15,FALSE)),"")</f>
        <v/>
      </c>
      <c r="S698" t="str">
        <f>IFERROR(IF(VLOOKUP($B698,Показатели!$E:$W,16,FALSE)=0,"",VLOOKUP($B698,Показатели!$E:$W,16,FALSE)),"")</f>
        <v/>
      </c>
      <c r="T698" t="str">
        <f>IFERROR(IF(VLOOKUP($B698,Показатели!$E:$W,17,FALSE)=0,"",VLOOKUP($B698,Показатели!$E:$W,17,FALSE)),"")</f>
        <v/>
      </c>
      <c r="U698" t="str">
        <f>IFERROR(IF(VLOOKUP($B698,Показатели!$E:$W,18,FALSE)=0,"",VLOOKUP($B698,Показатели!$E:$W,18,FALSE)),"")</f>
        <v/>
      </c>
      <c r="V698" t="str">
        <f>IFERROR(IF(VLOOKUP($B698,Показатели!$E:$W,19,FALSE)=0,"",VLOOKUP($B698,Показатели!$E:$W,19,FALSE)),"")</f>
        <v/>
      </c>
    </row>
    <row r="699" spans="1:22" x14ac:dyDescent="0.2">
      <c r="A699" s="7" t="s">
        <v>2264</v>
      </c>
      <c r="B699" t="str">
        <f t="shared" si="10"/>
        <v>VSEH IV кв. 2016</v>
      </c>
      <c r="C699">
        <v>2016</v>
      </c>
      <c r="D699">
        <f>SUMIFS(Дивиденды!$C:$C,Дивиденды!$A:$A,A699,Дивиденды!$I:$I,C699)</f>
        <v>0</v>
      </c>
      <c r="E699" t="str">
        <f>IFERROR(IF(VLOOKUP($B699,Показатели!$E:$W,2,FALSE)=0,"",VLOOKUP($B699,Показатели!$E:$W,2,FALSE)),"")</f>
        <v/>
      </c>
      <c r="F699" t="str">
        <f>IFERROR(IF(VLOOKUP($B699,Показатели!$E:$W,3,FALSE)=0,"",VLOOKUP($B699,Показатели!$E:$W,3,FALSE)),"")</f>
        <v/>
      </c>
      <c r="G699" t="str">
        <f>IFERROR(IF(VLOOKUP($B699,Показатели!$E:$W,4,FALSE)=0,"",VLOOKUP($B699,Показатели!$E:$W,4,FALSE)),"")</f>
        <v/>
      </c>
      <c r="H699" t="str">
        <f>IFERROR(IF(VLOOKUP($B699,Показатели!$E:$W,5,FALSE)=0,"",VLOOKUP($B699,Показатели!$E:$W,5,FALSE)),"")</f>
        <v/>
      </c>
      <c r="I699" t="str">
        <f>IFERROR(IF(VLOOKUP($B699,Показатели!$E:$W,6,FALSE)=0,"",VLOOKUP($B699,Показатели!$E:$W,6,FALSE)),"")</f>
        <v/>
      </c>
      <c r="J699" t="str">
        <f>IFERROR(IF(VLOOKUP($B699,Показатели!$E:$W,7,FALSE)=0,"",VLOOKUP($B699,Показатели!$E:$W,7,FALSE)),"")</f>
        <v/>
      </c>
      <c r="K699" t="str">
        <f>IFERROR(IF(VLOOKUP($B699,Показатели!$E:$W,8,FALSE)=0,"",VLOOKUP($B699,Показатели!$E:$W,8,FALSE)),"")</f>
        <v/>
      </c>
      <c r="L699" t="str">
        <f>IFERROR(IF(VLOOKUP($B699,Показатели!$E:$W,9,FALSE)=0,"",VLOOKUP($B699,Показатели!$E:$W,9,FALSE)),"")</f>
        <v/>
      </c>
      <c r="M699" t="str">
        <f>IFERROR(IF(VLOOKUP($B699,Показатели!$E:$W,10,FALSE)=0,"",VLOOKUP($B699,Показатели!$E:$W,10,FALSE)),"")</f>
        <v/>
      </c>
      <c r="N699" t="str">
        <f>IFERROR(IF(VLOOKUP($B699,Показатели!$E:$W,11,FALSE)=0,"",VLOOKUP($B699,Показатели!$E:$W,11,FALSE)),"")</f>
        <v/>
      </c>
      <c r="O699" t="str">
        <f>IFERROR(IF(VLOOKUP($B699,Показатели!$E:$W,12,FALSE)=0,"",VLOOKUP($B699,Показатели!$E:$W,12,FALSE)),"")</f>
        <v/>
      </c>
      <c r="P699" t="str">
        <f>IFERROR(IF(VLOOKUP($B699,Показатели!$E:$W,13,FALSE)=0,"",VLOOKUP($B699,Показатели!$E:$W,13,FALSE)),"")</f>
        <v/>
      </c>
      <c r="Q699" t="str">
        <f>IFERROR(IF(VLOOKUP($B699,Показатели!$E:$W,14,FALSE)=0,"",VLOOKUP($B699,Показатели!$E:$W,14,FALSE)),"")</f>
        <v/>
      </c>
      <c r="R699" t="str">
        <f>IFERROR(IF(VLOOKUP($B699,Показатели!$E:$W,15,FALSE)=0,"",VLOOKUP($B699,Показатели!$E:$W,15,FALSE)),"")</f>
        <v/>
      </c>
      <c r="S699" t="str">
        <f>IFERROR(IF(VLOOKUP($B699,Показатели!$E:$W,16,FALSE)=0,"",VLOOKUP($B699,Показатели!$E:$W,16,FALSE)),"")</f>
        <v/>
      </c>
      <c r="T699" t="str">
        <f>IFERROR(IF(VLOOKUP($B699,Показатели!$E:$W,17,FALSE)=0,"",VLOOKUP($B699,Показатели!$E:$W,17,FALSE)),"")</f>
        <v/>
      </c>
      <c r="U699" t="str">
        <f>IFERROR(IF(VLOOKUP($B699,Показатели!$E:$W,18,FALSE)=0,"",VLOOKUP($B699,Показатели!$E:$W,18,FALSE)),"")</f>
        <v/>
      </c>
      <c r="V699" t="str">
        <f>IFERROR(IF(VLOOKUP($B699,Показатели!$E:$W,19,FALSE)=0,"",VLOOKUP($B699,Показатели!$E:$W,19,FALSE)),"")</f>
        <v/>
      </c>
    </row>
    <row r="700" spans="1:22" x14ac:dyDescent="0.2">
      <c r="A700" s="7" t="s">
        <v>2264</v>
      </c>
      <c r="B700" t="str">
        <f t="shared" si="10"/>
        <v>VSEH IV кв. 2015</v>
      </c>
      <c r="C700">
        <v>2015</v>
      </c>
      <c r="D700">
        <f>SUMIFS(Дивиденды!$C:$C,Дивиденды!$A:$A,A700,Дивиденды!$I:$I,C700)</f>
        <v>0</v>
      </c>
      <c r="E700" t="str">
        <f>IFERROR(IF(VLOOKUP($B700,Показатели!$E:$W,2,FALSE)=0,"",VLOOKUP($B700,Показатели!$E:$W,2,FALSE)),"")</f>
        <v/>
      </c>
      <c r="F700" t="str">
        <f>IFERROR(IF(VLOOKUP($B700,Показатели!$E:$W,3,FALSE)=0,"",VLOOKUP($B700,Показатели!$E:$W,3,FALSE)),"")</f>
        <v/>
      </c>
      <c r="G700" t="str">
        <f>IFERROR(IF(VLOOKUP($B700,Показатели!$E:$W,4,FALSE)=0,"",VLOOKUP($B700,Показатели!$E:$W,4,FALSE)),"")</f>
        <v/>
      </c>
      <c r="H700" t="str">
        <f>IFERROR(IF(VLOOKUP($B700,Показатели!$E:$W,5,FALSE)=0,"",VLOOKUP($B700,Показатели!$E:$W,5,FALSE)),"")</f>
        <v/>
      </c>
      <c r="I700" t="str">
        <f>IFERROR(IF(VLOOKUP($B700,Показатели!$E:$W,6,FALSE)=0,"",VLOOKUP($B700,Показатели!$E:$W,6,FALSE)),"")</f>
        <v/>
      </c>
      <c r="J700" t="str">
        <f>IFERROR(IF(VLOOKUP($B700,Показатели!$E:$W,7,FALSE)=0,"",VLOOKUP($B700,Показатели!$E:$W,7,FALSE)),"")</f>
        <v/>
      </c>
      <c r="K700" t="str">
        <f>IFERROR(IF(VLOOKUP($B700,Показатели!$E:$W,8,FALSE)=0,"",VLOOKUP($B700,Показатели!$E:$W,8,FALSE)),"")</f>
        <v/>
      </c>
      <c r="L700" t="str">
        <f>IFERROR(IF(VLOOKUP($B700,Показатели!$E:$W,9,FALSE)=0,"",VLOOKUP($B700,Показатели!$E:$W,9,FALSE)),"")</f>
        <v/>
      </c>
      <c r="M700" t="str">
        <f>IFERROR(IF(VLOOKUP($B700,Показатели!$E:$W,10,FALSE)=0,"",VLOOKUP($B700,Показатели!$E:$W,10,FALSE)),"")</f>
        <v/>
      </c>
      <c r="N700" t="str">
        <f>IFERROR(IF(VLOOKUP($B700,Показатели!$E:$W,11,FALSE)=0,"",VLOOKUP($B700,Показатели!$E:$W,11,FALSE)),"")</f>
        <v/>
      </c>
      <c r="O700" t="str">
        <f>IFERROR(IF(VLOOKUP($B700,Показатели!$E:$W,12,FALSE)=0,"",VLOOKUP($B700,Показатели!$E:$W,12,FALSE)),"")</f>
        <v/>
      </c>
      <c r="P700" t="str">
        <f>IFERROR(IF(VLOOKUP($B700,Показатели!$E:$W,13,FALSE)=0,"",VLOOKUP($B700,Показатели!$E:$W,13,FALSE)),"")</f>
        <v/>
      </c>
      <c r="Q700" t="str">
        <f>IFERROR(IF(VLOOKUP($B700,Показатели!$E:$W,14,FALSE)=0,"",VLOOKUP($B700,Показатели!$E:$W,14,FALSE)),"")</f>
        <v/>
      </c>
      <c r="R700" t="str">
        <f>IFERROR(IF(VLOOKUP($B700,Показатели!$E:$W,15,FALSE)=0,"",VLOOKUP($B700,Показатели!$E:$W,15,FALSE)),"")</f>
        <v/>
      </c>
      <c r="S700" t="str">
        <f>IFERROR(IF(VLOOKUP($B700,Показатели!$E:$W,16,FALSE)=0,"",VLOOKUP($B700,Показатели!$E:$W,16,FALSE)),"")</f>
        <v/>
      </c>
      <c r="T700" t="str">
        <f>IFERROR(IF(VLOOKUP($B700,Показатели!$E:$W,17,FALSE)=0,"",VLOOKUP($B700,Показатели!$E:$W,17,FALSE)),"")</f>
        <v/>
      </c>
      <c r="U700" t="str">
        <f>IFERROR(IF(VLOOKUP($B700,Показатели!$E:$W,18,FALSE)=0,"",VLOOKUP($B700,Показатели!$E:$W,18,FALSE)),"")</f>
        <v/>
      </c>
      <c r="V700" t="str">
        <f>IFERROR(IF(VLOOKUP($B700,Показатели!$E:$W,19,FALSE)=0,"",VLOOKUP($B700,Показатели!$E:$W,19,FALSE)),"")</f>
        <v/>
      </c>
    </row>
    <row r="701" spans="1:22" x14ac:dyDescent="0.2">
      <c r="A701" s="7" t="s">
        <v>2264</v>
      </c>
      <c r="B701" t="str">
        <f t="shared" si="10"/>
        <v>VSEH IV кв. 2014</v>
      </c>
      <c r="C701">
        <v>2014</v>
      </c>
      <c r="D701">
        <f>SUMIFS(Дивиденды!$C:$C,Дивиденды!$A:$A,A701,Дивиденды!$I:$I,C701)</f>
        <v>0</v>
      </c>
      <c r="E701" t="str">
        <f>IFERROR(IF(VLOOKUP($B701,Показатели!$E:$W,2,FALSE)=0,"",VLOOKUP($B701,Показатели!$E:$W,2,FALSE)),"")</f>
        <v/>
      </c>
      <c r="F701" t="str">
        <f>IFERROR(IF(VLOOKUP($B701,Показатели!$E:$W,3,FALSE)=0,"",VLOOKUP($B701,Показатели!$E:$W,3,FALSE)),"")</f>
        <v/>
      </c>
      <c r="G701" t="str">
        <f>IFERROR(IF(VLOOKUP($B701,Показатели!$E:$W,4,FALSE)=0,"",VLOOKUP($B701,Показатели!$E:$W,4,FALSE)),"")</f>
        <v/>
      </c>
      <c r="H701" t="str">
        <f>IFERROR(IF(VLOOKUP($B701,Показатели!$E:$W,5,FALSE)=0,"",VLOOKUP($B701,Показатели!$E:$W,5,FALSE)),"")</f>
        <v/>
      </c>
      <c r="I701" t="str">
        <f>IFERROR(IF(VLOOKUP($B701,Показатели!$E:$W,6,FALSE)=0,"",VLOOKUP($B701,Показатели!$E:$W,6,FALSE)),"")</f>
        <v/>
      </c>
      <c r="J701" t="str">
        <f>IFERROR(IF(VLOOKUP($B701,Показатели!$E:$W,7,FALSE)=0,"",VLOOKUP($B701,Показатели!$E:$W,7,FALSE)),"")</f>
        <v/>
      </c>
      <c r="K701" t="str">
        <f>IFERROR(IF(VLOOKUP($B701,Показатели!$E:$W,8,FALSE)=0,"",VLOOKUP($B701,Показатели!$E:$W,8,FALSE)),"")</f>
        <v/>
      </c>
      <c r="L701" t="str">
        <f>IFERROR(IF(VLOOKUP($B701,Показатели!$E:$W,9,FALSE)=0,"",VLOOKUP($B701,Показатели!$E:$W,9,FALSE)),"")</f>
        <v/>
      </c>
      <c r="M701" t="str">
        <f>IFERROR(IF(VLOOKUP($B701,Показатели!$E:$W,10,FALSE)=0,"",VLOOKUP($B701,Показатели!$E:$W,10,FALSE)),"")</f>
        <v/>
      </c>
      <c r="N701" t="str">
        <f>IFERROR(IF(VLOOKUP($B701,Показатели!$E:$W,11,FALSE)=0,"",VLOOKUP($B701,Показатели!$E:$W,11,FALSE)),"")</f>
        <v/>
      </c>
      <c r="O701" t="str">
        <f>IFERROR(IF(VLOOKUP($B701,Показатели!$E:$W,12,FALSE)=0,"",VLOOKUP($B701,Показатели!$E:$W,12,FALSE)),"")</f>
        <v/>
      </c>
      <c r="P701" t="str">
        <f>IFERROR(IF(VLOOKUP($B701,Показатели!$E:$W,13,FALSE)=0,"",VLOOKUP($B701,Показатели!$E:$W,13,FALSE)),"")</f>
        <v/>
      </c>
      <c r="Q701" t="str">
        <f>IFERROR(IF(VLOOKUP($B701,Показатели!$E:$W,14,FALSE)=0,"",VLOOKUP($B701,Показатели!$E:$W,14,FALSE)),"")</f>
        <v/>
      </c>
      <c r="R701" t="str">
        <f>IFERROR(IF(VLOOKUP($B701,Показатели!$E:$W,15,FALSE)=0,"",VLOOKUP($B701,Показатели!$E:$W,15,FALSE)),"")</f>
        <v/>
      </c>
      <c r="S701" t="str">
        <f>IFERROR(IF(VLOOKUP($B701,Показатели!$E:$W,16,FALSE)=0,"",VLOOKUP($B701,Показатели!$E:$W,16,FALSE)),"")</f>
        <v/>
      </c>
      <c r="T701" t="str">
        <f>IFERROR(IF(VLOOKUP($B701,Показатели!$E:$W,17,FALSE)=0,"",VLOOKUP($B701,Показатели!$E:$W,17,FALSE)),"")</f>
        <v/>
      </c>
      <c r="U701" t="str">
        <f>IFERROR(IF(VLOOKUP($B701,Показатели!$E:$W,18,FALSE)=0,"",VLOOKUP($B701,Показатели!$E:$W,18,FALSE)),"")</f>
        <v/>
      </c>
      <c r="V701" t="str">
        <f>IFERROR(IF(VLOOKUP($B701,Показатели!$E:$W,19,FALSE)=0,"",VLOOKUP($B701,Показатели!$E:$W,19,FALSE)),"")</f>
        <v/>
      </c>
    </row>
    <row r="702" spans="1:22" x14ac:dyDescent="0.2">
      <c r="A702" s="7" t="s">
        <v>2264</v>
      </c>
      <c r="B702" t="str">
        <f t="shared" si="10"/>
        <v>VSEH IV кв. 2013</v>
      </c>
      <c r="C702">
        <v>2013</v>
      </c>
      <c r="D702">
        <f>SUMIFS(Дивиденды!$C:$C,Дивиденды!$A:$A,A702,Дивиденды!$I:$I,C702)</f>
        <v>0</v>
      </c>
      <c r="E702" t="str">
        <f>IFERROR(IF(VLOOKUP($B702,Показатели!$E:$W,2,FALSE)=0,"",VLOOKUP($B702,Показатели!$E:$W,2,FALSE)),"")</f>
        <v/>
      </c>
      <c r="F702" t="str">
        <f>IFERROR(IF(VLOOKUP($B702,Показатели!$E:$W,3,FALSE)=0,"",VLOOKUP($B702,Показатели!$E:$W,3,FALSE)),"")</f>
        <v/>
      </c>
      <c r="G702" t="str">
        <f>IFERROR(IF(VLOOKUP($B702,Показатели!$E:$W,4,FALSE)=0,"",VLOOKUP($B702,Показатели!$E:$W,4,FALSE)),"")</f>
        <v/>
      </c>
      <c r="H702" t="str">
        <f>IFERROR(IF(VLOOKUP($B702,Показатели!$E:$W,5,FALSE)=0,"",VLOOKUP($B702,Показатели!$E:$W,5,FALSE)),"")</f>
        <v/>
      </c>
      <c r="I702" t="str">
        <f>IFERROR(IF(VLOOKUP($B702,Показатели!$E:$W,6,FALSE)=0,"",VLOOKUP($B702,Показатели!$E:$W,6,FALSE)),"")</f>
        <v/>
      </c>
      <c r="J702" t="str">
        <f>IFERROR(IF(VLOOKUP($B702,Показатели!$E:$W,7,FALSE)=0,"",VLOOKUP($B702,Показатели!$E:$W,7,FALSE)),"")</f>
        <v/>
      </c>
      <c r="K702" t="str">
        <f>IFERROR(IF(VLOOKUP($B702,Показатели!$E:$W,8,FALSE)=0,"",VLOOKUP($B702,Показатели!$E:$W,8,FALSE)),"")</f>
        <v/>
      </c>
      <c r="L702" t="str">
        <f>IFERROR(IF(VLOOKUP($B702,Показатели!$E:$W,9,FALSE)=0,"",VLOOKUP($B702,Показатели!$E:$W,9,FALSE)),"")</f>
        <v/>
      </c>
      <c r="M702" t="str">
        <f>IFERROR(IF(VLOOKUP($B702,Показатели!$E:$W,10,FALSE)=0,"",VLOOKUP($B702,Показатели!$E:$W,10,FALSE)),"")</f>
        <v/>
      </c>
      <c r="N702" t="str">
        <f>IFERROR(IF(VLOOKUP($B702,Показатели!$E:$W,11,FALSE)=0,"",VLOOKUP($B702,Показатели!$E:$W,11,FALSE)),"")</f>
        <v/>
      </c>
      <c r="O702" t="str">
        <f>IFERROR(IF(VLOOKUP($B702,Показатели!$E:$W,12,FALSE)=0,"",VLOOKUP($B702,Показатели!$E:$W,12,FALSE)),"")</f>
        <v/>
      </c>
      <c r="P702" t="str">
        <f>IFERROR(IF(VLOOKUP($B702,Показатели!$E:$W,13,FALSE)=0,"",VLOOKUP($B702,Показатели!$E:$W,13,FALSE)),"")</f>
        <v/>
      </c>
      <c r="Q702" t="str">
        <f>IFERROR(IF(VLOOKUP($B702,Показатели!$E:$W,14,FALSE)=0,"",VLOOKUP($B702,Показатели!$E:$W,14,FALSE)),"")</f>
        <v/>
      </c>
      <c r="R702" t="str">
        <f>IFERROR(IF(VLOOKUP($B702,Показатели!$E:$W,15,FALSE)=0,"",VLOOKUP($B702,Показатели!$E:$W,15,FALSE)),"")</f>
        <v/>
      </c>
      <c r="S702" t="str">
        <f>IFERROR(IF(VLOOKUP($B702,Показатели!$E:$W,16,FALSE)=0,"",VLOOKUP($B702,Показатели!$E:$W,16,FALSE)),"")</f>
        <v/>
      </c>
      <c r="T702" t="str">
        <f>IFERROR(IF(VLOOKUP($B702,Показатели!$E:$W,17,FALSE)=0,"",VLOOKUP($B702,Показатели!$E:$W,17,FALSE)),"")</f>
        <v/>
      </c>
      <c r="U702" t="str">
        <f>IFERROR(IF(VLOOKUP($B702,Показатели!$E:$W,18,FALSE)=0,"",VLOOKUP($B702,Показатели!$E:$W,18,FALSE)),"")</f>
        <v/>
      </c>
      <c r="V702" t="str">
        <f>IFERROR(IF(VLOOKUP($B702,Показатели!$E:$W,19,FALSE)=0,"",VLOOKUP($B702,Показатели!$E:$W,19,FALSE)),"")</f>
        <v/>
      </c>
    </row>
    <row r="703" spans="1:22" x14ac:dyDescent="0.2">
      <c r="A703" s="7" t="s">
        <v>2264</v>
      </c>
      <c r="B703" t="str">
        <f t="shared" si="10"/>
        <v>VSEH IV кв. 2012</v>
      </c>
      <c r="C703">
        <v>2012</v>
      </c>
      <c r="D703">
        <f>SUMIFS(Дивиденды!$C:$C,Дивиденды!$A:$A,A703,Дивиденды!$I:$I,C703)</f>
        <v>0</v>
      </c>
      <c r="E703" t="str">
        <f>IFERROR(IF(VLOOKUP($B703,Показатели!$E:$W,2,FALSE)=0,"",VLOOKUP($B703,Показатели!$E:$W,2,FALSE)),"")</f>
        <v/>
      </c>
      <c r="F703" t="str">
        <f>IFERROR(IF(VLOOKUP($B703,Показатели!$E:$W,3,FALSE)=0,"",VLOOKUP($B703,Показатели!$E:$W,3,FALSE)),"")</f>
        <v/>
      </c>
      <c r="G703" t="str">
        <f>IFERROR(IF(VLOOKUP($B703,Показатели!$E:$W,4,FALSE)=0,"",VLOOKUP($B703,Показатели!$E:$W,4,FALSE)),"")</f>
        <v/>
      </c>
      <c r="H703" t="str">
        <f>IFERROR(IF(VLOOKUP($B703,Показатели!$E:$W,5,FALSE)=0,"",VLOOKUP($B703,Показатели!$E:$W,5,FALSE)),"")</f>
        <v/>
      </c>
      <c r="I703" t="str">
        <f>IFERROR(IF(VLOOKUP($B703,Показатели!$E:$W,6,FALSE)=0,"",VLOOKUP($B703,Показатели!$E:$W,6,FALSE)),"")</f>
        <v/>
      </c>
      <c r="J703" t="str">
        <f>IFERROR(IF(VLOOKUP($B703,Показатели!$E:$W,7,FALSE)=0,"",VLOOKUP($B703,Показатели!$E:$W,7,FALSE)),"")</f>
        <v/>
      </c>
      <c r="K703" t="str">
        <f>IFERROR(IF(VLOOKUP($B703,Показатели!$E:$W,8,FALSE)=0,"",VLOOKUP($B703,Показатели!$E:$W,8,FALSE)),"")</f>
        <v/>
      </c>
      <c r="L703" t="str">
        <f>IFERROR(IF(VLOOKUP($B703,Показатели!$E:$W,9,FALSE)=0,"",VLOOKUP($B703,Показатели!$E:$W,9,FALSE)),"")</f>
        <v/>
      </c>
      <c r="M703" t="str">
        <f>IFERROR(IF(VLOOKUP($B703,Показатели!$E:$W,10,FALSE)=0,"",VLOOKUP($B703,Показатели!$E:$W,10,FALSE)),"")</f>
        <v/>
      </c>
      <c r="N703" t="str">
        <f>IFERROR(IF(VLOOKUP($B703,Показатели!$E:$W,11,FALSE)=0,"",VLOOKUP($B703,Показатели!$E:$W,11,FALSE)),"")</f>
        <v/>
      </c>
      <c r="O703" t="str">
        <f>IFERROR(IF(VLOOKUP($B703,Показатели!$E:$W,12,FALSE)=0,"",VLOOKUP($B703,Показатели!$E:$W,12,FALSE)),"")</f>
        <v/>
      </c>
      <c r="P703" t="str">
        <f>IFERROR(IF(VLOOKUP($B703,Показатели!$E:$W,13,FALSE)=0,"",VLOOKUP($B703,Показатели!$E:$W,13,FALSE)),"")</f>
        <v/>
      </c>
      <c r="Q703" t="str">
        <f>IFERROR(IF(VLOOKUP($B703,Показатели!$E:$W,14,FALSE)=0,"",VLOOKUP($B703,Показатели!$E:$W,14,FALSE)),"")</f>
        <v/>
      </c>
      <c r="R703" t="str">
        <f>IFERROR(IF(VLOOKUP($B703,Показатели!$E:$W,15,FALSE)=0,"",VLOOKUP($B703,Показатели!$E:$W,15,FALSE)),"")</f>
        <v/>
      </c>
      <c r="S703" t="str">
        <f>IFERROR(IF(VLOOKUP($B703,Показатели!$E:$W,16,FALSE)=0,"",VLOOKUP($B703,Показатели!$E:$W,16,FALSE)),"")</f>
        <v/>
      </c>
      <c r="T703" t="str">
        <f>IFERROR(IF(VLOOKUP($B703,Показатели!$E:$W,17,FALSE)=0,"",VLOOKUP($B703,Показатели!$E:$W,17,FALSE)),"")</f>
        <v/>
      </c>
      <c r="U703" t="str">
        <f>IFERROR(IF(VLOOKUP($B703,Показатели!$E:$W,18,FALSE)=0,"",VLOOKUP($B703,Показатели!$E:$W,18,FALSE)),"")</f>
        <v/>
      </c>
      <c r="V703" t="str">
        <f>IFERROR(IF(VLOOKUP($B703,Показатели!$E:$W,19,FALSE)=0,"",VLOOKUP($B703,Показатели!$E:$W,19,FALSE)),"")</f>
        <v/>
      </c>
    </row>
    <row r="704" spans="1:22" x14ac:dyDescent="0.2">
      <c r="A704" s="7" t="s">
        <v>2264</v>
      </c>
      <c r="B704" t="str">
        <f t="shared" si="10"/>
        <v>VSEH IV кв. 2011</v>
      </c>
      <c r="C704">
        <v>2011</v>
      </c>
      <c r="D704">
        <f>SUMIFS(Дивиденды!$C:$C,Дивиденды!$A:$A,A704,Дивиденды!$I:$I,C704)</f>
        <v>0</v>
      </c>
      <c r="E704" t="str">
        <f>IFERROR(IF(VLOOKUP($B704,Показатели!$E:$W,2,FALSE)=0,"",VLOOKUP($B704,Показатели!$E:$W,2,FALSE)),"")</f>
        <v/>
      </c>
      <c r="F704" t="str">
        <f>IFERROR(IF(VLOOKUP($B704,Показатели!$E:$W,3,FALSE)=0,"",VLOOKUP($B704,Показатели!$E:$W,3,FALSE)),"")</f>
        <v/>
      </c>
      <c r="G704" t="str">
        <f>IFERROR(IF(VLOOKUP($B704,Показатели!$E:$W,4,FALSE)=0,"",VLOOKUP($B704,Показатели!$E:$W,4,FALSE)),"")</f>
        <v/>
      </c>
      <c r="H704" t="str">
        <f>IFERROR(IF(VLOOKUP($B704,Показатели!$E:$W,5,FALSE)=0,"",VLOOKUP($B704,Показатели!$E:$W,5,FALSE)),"")</f>
        <v/>
      </c>
      <c r="I704" t="str">
        <f>IFERROR(IF(VLOOKUP($B704,Показатели!$E:$W,6,FALSE)=0,"",VLOOKUP($B704,Показатели!$E:$W,6,FALSE)),"")</f>
        <v/>
      </c>
      <c r="J704" t="str">
        <f>IFERROR(IF(VLOOKUP($B704,Показатели!$E:$W,7,FALSE)=0,"",VLOOKUP($B704,Показатели!$E:$W,7,FALSE)),"")</f>
        <v/>
      </c>
      <c r="K704" t="str">
        <f>IFERROR(IF(VLOOKUP($B704,Показатели!$E:$W,8,FALSE)=0,"",VLOOKUP($B704,Показатели!$E:$W,8,FALSE)),"")</f>
        <v/>
      </c>
      <c r="L704" t="str">
        <f>IFERROR(IF(VLOOKUP($B704,Показатели!$E:$W,9,FALSE)=0,"",VLOOKUP($B704,Показатели!$E:$W,9,FALSE)),"")</f>
        <v/>
      </c>
      <c r="M704" t="str">
        <f>IFERROR(IF(VLOOKUP($B704,Показатели!$E:$W,10,FALSE)=0,"",VLOOKUP($B704,Показатели!$E:$W,10,FALSE)),"")</f>
        <v/>
      </c>
      <c r="N704" t="str">
        <f>IFERROR(IF(VLOOKUP($B704,Показатели!$E:$W,11,FALSE)=0,"",VLOOKUP($B704,Показатели!$E:$W,11,FALSE)),"")</f>
        <v/>
      </c>
      <c r="O704" t="str">
        <f>IFERROR(IF(VLOOKUP($B704,Показатели!$E:$W,12,FALSE)=0,"",VLOOKUP($B704,Показатели!$E:$W,12,FALSE)),"")</f>
        <v/>
      </c>
      <c r="P704" t="str">
        <f>IFERROR(IF(VLOOKUP($B704,Показатели!$E:$W,13,FALSE)=0,"",VLOOKUP($B704,Показатели!$E:$W,13,FALSE)),"")</f>
        <v/>
      </c>
      <c r="Q704" t="str">
        <f>IFERROR(IF(VLOOKUP($B704,Показатели!$E:$W,14,FALSE)=0,"",VLOOKUP($B704,Показатели!$E:$W,14,FALSE)),"")</f>
        <v/>
      </c>
      <c r="R704" t="str">
        <f>IFERROR(IF(VLOOKUP($B704,Показатели!$E:$W,15,FALSE)=0,"",VLOOKUP($B704,Показатели!$E:$W,15,FALSE)),"")</f>
        <v/>
      </c>
      <c r="S704" t="str">
        <f>IFERROR(IF(VLOOKUP($B704,Показатели!$E:$W,16,FALSE)=0,"",VLOOKUP($B704,Показатели!$E:$W,16,FALSE)),"")</f>
        <v/>
      </c>
      <c r="T704" t="str">
        <f>IFERROR(IF(VLOOKUP($B704,Показатели!$E:$W,17,FALSE)=0,"",VLOOKUP($B704,Показатели!$E:$W,17,FALSE)),"")</f>
        <v/>
      </c>
      <c r="U704" t="str">
        <f>IFERROR(IF(VLOOKUP($B704,Показатели!$E:$W,18,FALSE)=0,"",VLOOKUP($B704,Показатели!$E:$W,18,FALSE)),"")</f>
        <v/>
      </c>
      <c r="V704" t="str">
        <f>IFERROR(IF(VLOOKUP($B704,Показатели!$E:$W,19,FALSE)=0,"",VLOOKUP($B704,Показатели!$E:$W,19,FALSE)),"")</f>
        <v/>
      </c>
    </row>
    <row r="705" spans="1:22" x14ac:dyDescent="0.2">
      <c r="A705" s="7" t="s">
        <v>2264</v>
      </c>
      <c r="B705" t="str">
        <f t="shared" si="10"/>
        <v>VSEH IV кв. 2010</v>
      </c>
      <c r="C705">
        <v>2010</v>
      </c>
      <c r="D705">
        <f>SUMIFS(Дивиденды!$C:$C,Дивиденды!$A:$A,A705,Дивиденды!$I:$I,C705)</f>
        <v>0</v>
      </c>
      <c r="E705" t="str">
        <f>IFERROR(IF(VLOOKUP($B705,Показатели!$E:$W,2,FALSE)=0,"",VLOOKUP($B705,Показатели!$E:$W,2,FALSE)),"")</f>
        <v/>
      </c>
      <c r="F705" t="str">
        <f>IFERROR(IF(VLOOKUP($B705,Показатели!$E:$W,3,FALSE)=0,"",VLOOKUP($B705,Показатели!$E:$W,3,FALSE)),"")</f>
        <v/>
      </c>
      <c r="G705" t="str">
        <f>IFERROR(IF(VLOOKUP($B705,Показатели!$E:$W,4,FALSE)=0,"",VLOOKUP($B705,Показатели!$E:$W,4,FALSE)),"")</f>
        <v/>
      </c>
      <c r="H705" t="str">
        <f>IFERROR(IF(VLOOKUP($B705,Показатели!$E:$W,5,FALSE)=0,"",VLOOKUP($B705,Показатели!$E:$W,5,FALSE)),"")</f>
        <v/>
      </c>
      <c r="I705" t="str">
        <f>IFERROR(IF(VLOOKUP($B705,Показатели!$E:$W,6,FALSE)=0,"",VLOOKUP($B705,Показатели!$E:$W,6,FALSE)),"")</f>
        <v/>
      </c>
      <c r="J705" t="str">
        <f>IFERROR(IF(VLOOKUP($B705,Показатели!$E:$W,7,FALSE)=0,"",VLOOKUP($B705,Показатели!$E:$W,7,FALSE)),"")</f>
        <v/>
      </c>
      <c r="K705" t="str">
        <f>IFERROR(IF(VLOOKUP($B705,Показатели!$E:$W,8,FALSE)=0,"",VLOOKUP($B705,Показатели!$E:$W,8,FALSE)),"")</f>
        <v/>
      </c>
      <c r="L705" t="str">
        <f>IFERROR(IF(VLOOKUP($B705,Показатели!$E:$W,9,FALSE)=0,"",VLOOKUP($B705,Показатели!$E:$W,9,FALSE)),"")</f>
        <v/>
      </c>
      <c r="M705" t="str">
        <f>IFERROR(IF(VLOOKUP($B705,Показатели!$E:$W,10,FALSE)=0,"",VLOOKUP($B705,Показатели!$E:$W,10,FALSE)),"")</f>
        <v/>
      </c>
      <c r="N705" t="str">
        <f>IFERROR(IF(VLOOKUP($B705,Показатели!$E:$W,11,FALSE)=0,"",VLOOKUP($B705,Показатели!$E:$W,11,FALSE)),"")</f>
        <v/>
      </c>
      <c r="O705" t="str">
        <f>IFERROR(IF(VLOOKUP($B705,Показатели!$E:$W,12,FALSE)=0,"",VLOOKUP($B705,Показатели!$E:$W,12,FALSE)),"")</f>
        <v/>
      </c>
      <c r="P705" t="str">
        <f>IFERROR(IF(VLOOKUP($B705,Показатели!$E:$W,13,FALSE)=0,"",VLOOKUP($B705,Показатели!$E:$W,13,FALSE)),"")</f>
        <v/>
      </c>
      <c r="Q705" t="str">
        <f>IFERROR(IF(VLOOKUP($B705,Показатели!$E:$W,14,FALSE)=0,"",VLOOKUP($B705,Показатели!$E:$W,14,FALSE)),"")</f>
        <v/>
      </c>
      <c r="R705" t="str">
        <f>IFERROR(IF(VLOOKUP($B705,Показатели!$E:$W,15,FALSE)=0,"",VLOOKUP($B705,Показатели!$E:$W,15,FALSE)),"")</f>
        <v/>
      </c>
      <c r="S705" t="str">
        <f>IFERROR(IF(VLOOKUP($B705,Показатели!$E:$W,16,FALSE)=0,"",VLOOKUP($B705,Показатели!$E:$W,16,FALSE)),"")</f>
        <v/>
      </c>
      <c r="T705" t="str">
        <f>IFERROR(IF(VLOOKUP($B705,Показатели!$E:$W,17,FALSE)=0,"",VLOOKUP($B705,Показатели!$E:$W,17,FALSE)),"")</f>
        <v/>
      </c>
      <c r="U705" t="str">
        <f>IFERROR(IF(VLOOKUP($B705,Показатели!$E:$W,18,FALSE)=0,"",VLOOKUP($B705,Показатели!$E:$W,18,FALSE)),"")</f>
        <v/>
      </c>
      <c r="V705" t="str">
        <f>IFERROR(IF(VLOOKUP($B705,Показатели!$E:$W,19,FALSE)=0,"",VLOOKUP($B705,Показатели!$E:$W,19,FALSE)),"")</f>
        <v/>
      </c>
    </row>
    <row r="706" spans="1:22" x14ac:dyDescent="0.2">
      <c r="A706" s="7" t="s">
        <v>2266</v>
      </c>
      <c r="B706" t="str">
        <f t="shared" si="10"/>
        <v>WUSH IV кв. 2025</v>
      </c>
      <c r="C706">
        <v>2025</v>
      </c>
      <c r="D706">
        <f>SUMIFS(Дивиденды!$C:$C,Дивиденды!$A:$A,A706,Дивиденды!$I:$I,C706)</f>
        <v>0</v>
      </c>
      <c r="E706">
        <f>IFERROR(IF(VLOOKUP($B706,Показатели!$E:$W,2,FALSE)=0,"",VLOOKUP($B706,Показатели!$E:$W,2,FALSE)),"")</f>
        <v>673040000</v>
      </c>
      <c r="F706">
        <f>IFERROR(IF(VLOOKUP($B706,Показатели!$E:$W,3,FALSE)=0,"",VLOOKUP($B706,Показатели!$E:$W,3,FALSE)),"")</f>
        <v>3666799000</v>
      </c>
      <c r="G706">
        <f>IFERROR(IF(VLOOKUP($B706,Показатели!$E:$W,4,FALSE)=0,"",VLOOKUP($B706,Показатели!$E:$W,4,FALSE)),"")</f>
        <v>15501753000</v>
      </c>
      <c r="H706">
        <f>IFERROR(IF(VLOOKUP($B706,Показатели!$E:$W,5,FALSE)=0,"",VLOOKUP($B706,Показатели!$E:$W,5,FALSE)),"")</f>
        <v>406728000</v>
      </c>
      <c r="I706">
        <f>IFERROR(IF(VLOOKUP($B706,Показатели!$E:$W,6,FALSE)=0,"",VLOOKUP($B706,Показатели!$E:$W,6,FALSE)),"")</f>
        <v>19647236000</v>
      </c>
      <c r="J706">
        <f>IFERROR(IF(VLOOKUP($B706,Показатели!$E:$W,7,FALSE)=0,"",VLOOKUP($B706,Показатели!$E:$W,7,FALSE)),"")</f>
        <v>5643940000</v>
      </c>
      <c r="K706">
        <f>IFERROR(IF(VLOOKUP($B706,Показатели!$E:$W,8,FALSE)=0,"",VLOOKUP($B706,Показатели!$E:$W,8,FALSE)),"")</f>
        <v>10002005000</v>
      </c>
      <c r="L706">
        <f>IFERROR(IF(VLOOKUP($B706,Показатели!$E:$W,9,FALSE)=0,"",VLOOKUP($B706,Показатели!$E:$W,9,FALSE)),"")</f>
        <v>1181876000</v>
      </c>
      <c r="M706">
        <f>IFERROR(IF(VLOOKUP($B706,Показатели!$E:$W,10,FALSE)=0,"",VLOOKUP($B706,Показатели!$E:$W,10,FALSE)),"")</f>
        <v>4001291000</v>
      </c>
      <c r="N706">
        <f>IFERROR(IF(VLOOKUP($B706,Показатели!$E:$W,11,FALSE)=0,"",VLOOKUP($B706,Показатели!$E:$W,11,FALSE)),"")</f>
        <v>12458142000</v>
      </c>
      <c r="O706">
        <f>IFERROR(IF(VLOOKUP($B706,Показатели!$E:$W,12,FALSE)=0,"",VLOOKUP($B706,Показатели!$E:$W,12,FALSE)),"")</f>
        <v>256476000</v>
      </c>
      <c r="P706">
        <f>IFERROR(IF(VLOOKUP($B706,Показатели!$E:$W,13,FALSE)=0,"",VLOOKUP($B706,Показатели!$E:$W,13,FALSE)),"")</f>
        <v>-2614596000</v>
      </c>
      <c r="Q706">
        <f>IFERROR(IF(VLOOKUP($B706,Показатели!$E:$W,14,FALSE)=0,"",VLOOKUP($B706,Показатели!$E:$W,14,FALSE)),"")</f>
        <v>-2932108000</v>
      </c>
      <c r="R706">
        <f>IFERROR(IF(VLOOKUP($B706,Показатели!$E:$W,15,FALSE)=0,"",VLOOKUP($B706,Показатели!$E:$W,15,FALSE)),"")</f>
        <v>2914759000</v>
      </c>
      <c r="S706">
        <f>IFERROR(IF(VLOOKUP($B706,Показатели!$E:$W,16,FALSE)=0,"",VLOOKUP($B706,Показатели!$E:$W,16,FALSE)),"")</f>
        <v>3560177000</v>
      </c>
      <c r="T706">
        <f>IFERROR(IF(VLOOKUP($B706,Показатели!$E:$W,17,FALSE)=0,"",VLOOKUP($B706,Показатели!$E:$W,17,FALSE)),"")</f>
        <v>-3675076000</v>
      </c>
      <c r="U706">
        <f>IFERROR(IF(VLOOKUP($B706,Показатели!$E:$W,18,FALSE)=0,"",VLOOKUP($B706,Показатели!$E:$W,18,FALSE)),"")</f>
        <v>14304301000</v>
      </c>
      <c r="V706">
        <f>IFERROR(IF(VLOOKUP($B706,Показатели!$E:$W,19,FALSE)=0,"",VLOOKUP($B706,Показатели!$E:$W,19,FALSE)),"")</f>
        <v>21919440000</v>
      </c>
    </row>
    <row r="707" spans="1:22" x14ac:dyDescent="0.2">
      <c r="A707" s="7" t="s">
        <v>2266</v>
      </c>
      <c r="B707" t="str">
        <f t="shared" ref="B707:B770" si="11">A707&amp;" "&amp;
"IV"
&amp;" кв. "&amp;C707</f>
        <v>WUSH IV кв. 2024</v>
      </c>
      <c r="C707">
        <v>2024</v>
      </c>
      <c r="D707">
        <f>SUMIFS(Дивиденды!$C:$C,Дивиденды!$A:$A,A707,Дивиденды!$I:$I,C707)</f>
        <v>2.11</v>
      </c>
      <c r="E707">
        <f>IFERROR(IF(VLOOKUP($B707,Показатели!$E:$W,2,FALSE)=0,"",VLOOKUP($B707,Показатели!$E:$W,2,FALSE)),"")</f>
        <v>3580665000</v>
      </c>
      <c r="F707">
        <f>IFERROR(IF(VLOOKUP($B707,Показатели!$E:$W,3,FALSE)=0,"",VLOOKUP($B707,Показатели!$E:$W,3,FALSE)),"")</f>
        <v>6608682000</v>
      </c>
      <c r="G707">
        <f>IFERROR(IF(VLOOKUP($B707,Показатели!$E:$W,4,FALSE)=0,"",VLOOKUP($B707,Показатели!$E:$W,4,FALSE)),"")</f>
        <v>14007676000</v>
      </c>
      <c r="H707">
        <f>IFERROR(IF(VLOOKUP($B707,Показатели!$E:$W,5,FALSE)=0,"",VLOOKUP($B707,Показатели!$E:$W,5,FALSE)),"")</f>
        <v>277046000</v>
      </c>
      <c r="I707">
        <f>IFERROR(IF(VLOOKUP($B707,Показатели!$E:$W,6,FALSE)=0,"",VLOOKUP($B707,Показатели!$E:$W,6,FALSE)),"")</f>
        <v>21919440000</v>
      </c>
      <c r="J707">
        <f>IFERROR(IF(VLOOKUP($B707,Показатели!$E:$W,7,FALSE)=0,"",VLOOKUP($B707,Показатели!$E:$W,7,FALSE)),"")</f>
        <v>5339279000</v>
      </c>
      <c r="K707">
        <f>IFERROR(IF(VLOOKUP($B707,Показатели!$E:$W,8,FALSE)=0,"",VLOOKUP($B707,Показатели!$E:$W,8,FALSE)),"")</f>
        <v>9300987000</v>
      </c>
      <c r="L707">
        <f>IFERROR(IF(VLOOKUP($B707,Показатели!$E:$W,9,FALSE)=0,"",VLOOKUP($B707,Показатели!$E:$W,9,FALSE)),"")</f>
        <v>4170845000</v>
      </c>
      <c r="M707">
        <f>IFERROR(IF(VLOOKUP($B707,Показатели!$E:$W,10,FALSE)=0,"",VLOOKUP($B707,Показатели!$E:$W,10,FALSE)),"")</f>
        <v>7279174000</v>
      </c>
      <c r="N707">
        <f>IFERROR(IF(VLOOKUP($B707,Показатели!$E:$W,11,FALSE)=0,"",VLOOKUP($B707,Показатели!$E:$W,11,FALSE)),"")</f>
        <v>14304301000</v>
      </c>
      <c r="O707">
        <f>IFERROR(IF(VLOOKUP($B707,Показатели!$E:$W,12,FALSE)=0,"",VLOOKUP($B707,Показатели!$E:$W,12,FALSE)),"")</f>
        <v>3211637000</v>
      </c>
      <c r="P707">
        <f>IFERROR(IF(VLOOKUP($B707,Показатели!$E:$W,13,FALSE)=0,"",VLOOKUP($B707,Показатели!$E:$W,13,FALSE)),"")</f>
        <v>1915779000</v>
      </c>
      <c r="Q707">
        <f>IFERROR(IF(VLOOKUP($B707,Показатели!$E:$W,14,FALSE)=0,"",VLOOKUP($B707,Показатели!$E:$W,14,FALSE)),"")</f>
        <v>1986148000</v>
      </c>
      <c r="R707">
        <f>IFERROR(IF(VLOOKUP($B707,Показатели!$E:$W,15,FALSE)=0,"",VLOOKUP($B707,Показатели!$E:$W,15,FALSE)),"")</f>
        <v>2626331000</v>
      </c>
      <c r="S707">
        <f>IFERROR(IF(VLOOKUP($B707,Показатели!$E:$W,16,FALSE)=0,"",VLOOKUP($B707,Показатели!$E:$W,16,FALSE)),"")</f>
        <v>6054048000</v>
      </c>
      <c r="T707">
        <f>IFERROR(IF(VLOOKUP($B707,Показатели!$E:$W,17,FALSE)=0,"",VLOOKUP($B707,Показатели!$E:$W,17,FALSE)),"")</f>
        <v>-4891007000</v>
      </c>
      <c r="U707">
        <f>IFERROR(IF(VLOOKUP($B707,Показатели!$E:$W,18,FALSE)=0,"",VLOOKUP($B707,Показатели!$E:$W,18,FALSE)),"")</f>
        <v>10731215000</v>
      </c>
      <c r="V707">
        <f>IFERROR(IF(VLOOKUP($B707,Показатели!$E:$W,19,FALSE)=0,"",VLOOKUP($B707,Показатели!$E:$W,19,FALSE)),"")</f>
        <v>18132840000</v>
      </c>
    </row>
    <row r="708" spans="1:22" x14ac:dyDescent="0.2">
      <c r="A708" s="7" t="s">
        <v>2266</v>
      </c>
      <c r="B708" t="str">
        <f t="shared" si="11"/>
        <v>WUSH IV кв. 2023</v>
      </c>
      <c r="C708">
        <v>2023</v>
      </c>
      <c r="D708">
        <f>SUMIFS(Дивиденды!$C:$C,Дивиденды!$A:$A,A708,Дивиденды!$I:$I,C708)</f>
        <v>10.25</v>
      </c>
      <c r="E708">
        <f>IFERROR(IF(VLOOKUP($B708,Показатели!$E:$W,2,FALSE)=0,"",VLOOKUP($B708,Показатели!$E:$W,2,FALSE)),"")</f>
        <v>3161032000</v>
      </c>
      <c r="F708">
        <f>IFERROR(IF(VLOOKUP($B708,Показатели!$E:$W,3,FALSE)=0,"",VLOOKUP($B708,Показатели!$E:$W,3,FALSE)),"")</f>
        <v>5375576000</v>
      </c>
      <c r="G708">
        <f>IFERROR(IF(VLOOKUP($B708,Показатели!$E:$W,4,FALSE)=0,"",VLOOKUP($B708,Показатели!$E:$W,4,FALSE)),"")</f>
        <v>11269385000</v>
      </c>
      <c r="H708">
        <f>IFERROR(IF(VLOOKUP($B708,Показатели!$E:$W,5,FALSE)=0,"",VLOOKUP($B708,Показатели!$E:$W,5,FALSE)),"")</f>
        <v>70241000</v>
      </c>
      <c r="I708">
        <f>IFERROR(IF(VLOOKUP($B708,Показатели!$E:$W,6,FALSE)=0,"",VLOOKUP($B708,Показатели!$E:$W,6,FALSE)),"")</f>
        <v>18132840000</v>
      </c>
      <c r="J708">
        <f>IFERROR(IF(VLOOKUP($B708,Показатели!$E:$W,7,FALSE)=0,"",VLOOKUP($B708,Показатели!$E:$W,7,FALSE)),"")</f>
        <v>2808221000</v>
      </c>
      <c r="K708">
        <f>IFERROR(IF(VLOOKUP($B708,Показатели!$E:$W,8,FALSE)=0,"",VLOOKUP($B708,Показатели!$E:$W,8,FALSE)),"")</f>
        <v>9591856000</v>
      </c>
      <c r="L708">
        <f>IFERROR(IF(VLOOKUP($B708,Показатели!$E:$W,9,FALSE)=0,"",VLOOKUP($B708,Показатели!$E:$W,9,FALSE)),"")</f>
        <v>2419765000</v>
      </c>
      <c r="M708">
        <f>IFERROR(IF(VLOOKUP($B708,Показатели!$E:$W,10,FALSE)=0,"",VLOOKUP($B708,Показатели!$E:$W,10,FALSE)),"")</f>
        <v>5732763000</v>
      </c>
      <c r="N708">
        <f>IFERROR(IF(VLOOKUP($B708,Показатели!$E:$W,11,FALSE)=0,"",VLOOKUP($B708,Показатели!$E:$W,11,FALSE)),"")</f>
        <v>10731215000</v>
      </c>
      <c r="O708">
        <f>IFERROR(IF(VLOOKUP($B708,Показатели!$E:$W,12,FALSE)=0,"",VLOOKUP($B708,Показатели!$E:$W,12,FALSE)),"")</f>
        <v>2685178000</v>
      </c>
      <c r="P708">
        <f>IFERROR(IF(VLOOKUP($B708,Показатели!$E:$W,13,FALSE)=0,"",VLOOKUP($B708,Показатели!$E:$W,13,FALSE)),"")</f>
        <v>2082036000</v>
      </c>
      <c r="Q708">
        <f>IFERROR(IF(VLOOKUP($B708,Показатели!$E:$W,14,FALSE)=0,"",VLOOKUP($B708,Показатели!$E:$W,14,FALSE)),"")</f>
        <v>1940162000</v>
      </c>
      <c r="R708">
        <f>IFERROR(IF(VLOOKUP($B708,Показатели!$E:$W,15,FALSE)=0,"",VLOOKUP($B708,Показатели!$E:$W,15,FALSE)),"")</f>
        <v>1782573000</v>
      </c>
      <c r="S708" t="str">
        <f>IFERROR(IF(VLOOKUP($B708,Показатели!$E:$W,16,FALSE)=0,"",VLOOKUP($B708,Показатели!$E:$W,16,FALSE)),"")</f>
        <v/>
      </c>
      <c r="T708">
        <f>IFERROR(IF(VLOOKUP($B708,Показатели!$E:$W,17,FALSE)=0,"",VLOOKUP($B708,Показатели!$E:$W,17,FALSE)),"")</f>
        <v>-6362865000</v>
      </c>
      <c r="U708">
        <f>IFERROR(IF(VLOOKUP($B708,Показатели!$E:$W,18,FALSE)=0,"",VLOOKUP($B708,Показатели!$E:$W,18,FALSE)),"")</f>
        <v>6960851000</v>
      </c>
      <c r="V708">
        <f>IFERROR(IF(VLOOKUP($B708,Показатели!$E:$W,19,FALSE)=0,"",VLOOKUP($B708,Показатели!$E:$W,19,FALSE)),"")</f>
        <v>11427755000</v>
      </c>
    </row>
    <row r="709" spans="1:22" x14ac:dyDescent="0.2">
      <c r="A709" s="7" t="s">
        <v>2266</v>
      </c>
      <c r="B709" t="str">
        <f t="shared" si="11"/>
        <v>WUSH IV кв. 2022</v>
      </c>
      <c r="C709">
        <v>2022</v>
      </c>
      <c r="D709">
        <f>SUMIFS(Дивиденды!$C:$C,Дивиденды!$A:$A,A709,Дивиденды!$I:$I,C709)</f>
        <v>0</v>
      </c>
      <c r="E709">
        <f>IFERROR(IF(VLOOKUP($B709,Показатели!$E:$W,2,FALSE)=0,"",VLOOKUP($B709,Показатели!$E:$W,2,FALSE)),"")</f>
        <v>2726478000</v>
      </c>
      <c r="F709">
        <f>IFERROR(IF(VLOOKUP($B709,Показатели!$E:$W,3,FALSE)=0,"",VLOOKUP($B709,Показатели!$E:$W,3,FALSE)),"")</f>
        <v>3907231000</v>
      </c>
      <c r="G709">
        <f>IFERROR(IF(VLOOKUP($B709,Показатели!$E:$W,4,FALSE)=0,"",VLOOKUP($B709,Показатели!$E:$W,4,FALSE)),"")</f>
        <v>6603575000</v>
      </c>
      <c r="H709">
        <f>IFERROR(IF(VLOOKUP($B709,Показатели!$E:$W,5,FALSE)=0,"",VLOOKUP($B709,Показатели!$E:$W,5,FALSE)),"")</f>
        <v>23358000</v>
      </c>
      <c r="I709">
        <f>IFERROR(IF(VLOOKUP($B709,Показатели!$E:$W,6,FALSE)=0,"",VLOOKUP($B709,Показатели!$E:$W,6,FALSE)),"")</f>
        <v>11427755000</v>
      </c>
      <c r="J709">
        <f>IFERROR(IF(VLOOKUP($B709,Показатели!$E:$W,7,FALSE)=0,"",VLOOKUP($B709,Показатели!$E:$W,7,FALSE)),"")</f>
        <v>1979281000</v>
      </c>
      <c r="K709">
        <f>IFERROR(IF(VLOOKUP($B709,Показатели!$E:$W,8,FALSE)=0,"",VLOOKUP($B709,Показатели!$E:$W,8,FALSE)),"")</f>
        <v>4579327000</v>
      </c>
      <c r="L709">
        <f>IFERROR(IF(VLOOKUP($B709,Показатели!$E:$W,9,FALSE)=0,"",VLOOKUP($B709,Показатели!$E:$W,9,FALSE)),"")</f>
        <v>1621273000</v>
      </c>
      <c r="M709">
        <f>IFERROR(IF(VLOOKUP($B709,Показатели!$E:$W,10,FALSE)=0,"",VLOOKUP($B709,Показатели!$E:$W,10,FALSE)),"")</f>
        <v>4869147000</v>
      </c>
      <c r="N709">
        <f>IFERROR(IF(VLOOKUP($B709,Показатели!$E:$W,11,FALSE)=0,"",VLOOKUP($B709,Показатели!$E:$W,11,FALSE)),"")</f>
        <v>6960851000</v>
      </c>
      <c r="O709">
        <f>IFERROR(IF(VLOOKUP($B709,Показатели!$E:$W,12,FALSE)=0,"",VLOOKUP($B709,Показатели!$E:$W,12,FALSE)),"")</f>
        <v>1407142000</v>
      </c>
      <c r="P709">
        <f>IFERROR(IF(VLOOKUP($B709,Показатели!$E:$W,13,FALSE)=0,"",VLOOKUP($B709,Показатели!$E:$W,13,FALSE)),"")</f>
        <v>819743000</v>
      </c>
      <c r="Q709">
        <f>IFERROR(IF(VLOOKUP($B709,Показатели!$E:$W,14,FALSE)=0,"",VLOOKUP($B709,Показатели!$E:$W,14,FALSE)),"")</f>
        <v>830504000</v>
      </c>
      <c r="R709">
        <f>IFERROR(IF(VLOOKUP($B709,Показатели!$E:$W,15,FALSE)=0,"",VLOOKUP($B709,Показатели!$E:$W,15,FALSE)),"")</f>
        <v>1118503000</v>
      </c>
      <c r="S709" t="str">
        <f>IFERROR(IF(VLOOKUP($B709,Показатели!$E:$W,16,FALSE)=0,"",VLOOKUP($B709,Показатели!$E:$W,16,FALSE)),"")</f>
        <v/>
      </c>
      <c r="T709">
        <f>IFERROR(IF(VLOOKUP($B709,Показатели!$E:$W,17,FALSE)=0,"",VLOOKUP($B709,Показатели!$E:$W,17,FALSE)),"")</f>
        <v>-3765379000</v>
      </c>
      <c r="U709" t="str">
        <f>IFERROR(IF(VLOOKUP($B709,Показатели!$E:$W,18,FALSE)=0,"",VLOOKUP($B709,Показатели!$E:$W,18,FALSE)),"")</f>
        <v/>
      </c>
      <c r="V709" t="str">
        <f>IFERROR(IF(VLOOKUP($B709,Показатели!$E:$W,19,FALSE)=0,"",VLOOKUP($B709,Показатели!$E:$W,19,FALSE)),"")</f>
        <v/>
      </c>
    </row>
    <row r="710" spans="1:22" x14ac:dyDescent="0.2">
      <c r="A710" s="7" t="s">
        <v>2266</v>
      </c>
      <c r="B710" t="str">
        <f t="shared" si="11"/>
        <v>WUSH IV кв. 2021</v>
      </c>
      <c r="C710">
        <v>2021</v>
      </c>
      <c r="D710">
        <f>SUMIFS(Дивиденды!$C:$C,Дивиденды!$A:$A,A710,Дивиденды!$I:$I,C710)</f>
        <v>0</v>
      </c>
      <c r="E710" t="str">
        <f>IFERROR(IF(VLOOKUP($B710,Показатели!$E:$W,2,FALSE)=0,"",VLOOKUP($B710,Показатели!$E:$W,2,FALSE)),"")</f>
        <v/>
      </c>
      <c r="F710" t="str">
        <f>IFERROR(IF(VLOOKUP($B710,Показатели!$E:$W,3,FALSE)=0,"",VLOOKUP($B710,Показатели!$E:$W,3,FALSE)),"")</f>
        <v/>
      </c>
      <c r="G710" t="str">
        <f>IFERROR(IF(VLOOKUP($B710,Показатели!$E:$W,4,FALSE)=0,"",VLOOKUP($B710,Показатели!$E:$W,4,FALSE)),"")</f>
        <v/>
      </c>
      <c r="H710" t="str">
        <f>IFERROR(IF(VLOOKUP($B710,Показатели!$E:$W,5,FALSE)=0,"",VLOOKUP($B710,Показатели!$E:$W,5,FALSE)),"")</f>
        <v/>
      </c>
      <c r="I710" t="str">
        <f>IFERROR(IF(VLOOKUP($B710,Показатели!$E:$W,6,FALSE)=0,"",VLOOKUP($B710,Показатели!$E:$W,6,FALSE)),"")</f>
        <v/>
      </c>
      <c r="J710" t="str">
        <f>IFERROR(IF(VLOOKUP($B710,Показатели!$E:$W,7,FALSE)=0,"",VLOOKUP($B710,Показатели!$E:$W,7,FALSE)),"")</f>
        <v/>
      </c>
      <c r="K710" t="str">
        <f>IFERROR(IF(VLOOKUP($B710,Показатели!$E:$W,8,FALSE)=0,"",VLOOKUP($B710,Показатели!$E:$W,8,FALSE)),"")</f>
        <v/>
      </c>
      <c r="L710" t="str">
        <f>IFERROR(IF(VLOOKUP($B710,Показатели!$E:$W,9,FALSE)=0,"",VLOOKUP($B710,Показатели!$E:$W,9,FALSE)),"")</f>
        <v/>
      </c>
      <c r="M710" t="str">
        <f>IFERROR(IF(VLOOKUP($B710,Показатели!$E:$W,10,FALSE)=0,"",VLOOKUP($B710,Показатели!$E:$W,10,FALSE)),"")</f>
        <v/>
      </c>
      <c r="N710" t="str">
        <f>IFERROR(IF(VLOOKUP($B710,Показатели!$E:$W,11,FALSE)=0,"",VLOOKUP($B710,Показатели!$E:$W,11,FALSE)),"")</f>
        <v/>
      </c>
      <c r="O710" t="str">
        <f>IFERROR(IF(VLOOKUP($B710,Показатели!$E:$W,12,FALSE)=0,"",VLOOKUP($B710,Показатели!$E:$W,12,FALSE)),"")</f>
        <v/>
      </c>
      <c r="P710" t="str">
        <f>IFERROR(IF(VLOOKUP($B710,Показатели!$E:$W,13,FALSE)=0,"",VLOOKUP($B710,Показатели!$E:$W,13,FALSE)),"")</f>
        <v/>
      </c>
      <c r="Q710" t="str">
        <f>IFERROR(IF(VLOOKUP($B710,Показатели!$E:$W,14,FALSE)=0,"",VLOOKUP($B710,Показатели!$E:$W,14,FALSE)),"")</f>
        <v/>
      </c>
      <c r="R710" t="str">
        <f>IFERROR(IF(VLOOKUP($B710,Показатели!$E:$W,15,FALSE)=0,"",VLOOKUP($B710,Показатели!$E:$W,15,FALSE)),"")</f>
        <v/>
      </c>
      <c r="S710" t="str">
        <f>IFERROR(IF(VLOOKUP($B710,Показатели!$E:$W,16,FALSE)=0,"",VLOOKUP($B710,Показатели!$E:$W,16,FALSE)),"")</f>
        <v/>
      </c>
      <c r="T710" t="str">
        <f>IFERROR(IF(VLOOKUP($B710,Показатели!$E:$W,17,FALSE)=0,"",VLOOKUP($B710,Показатели!$E:$W,17,FALSE)),"")</f>
        <v/>
      </c>
      <c r="U710" t="str">
        <f>IFERROR(IF(VLOOKUP($B710,Показатели!$E:$W,18,FALSE)=0,"",VLOOKUP($B710,Показатели!$E:$W,18,FALSE)),"")</f>
        <v/>
      </c>
      <c r="V710" t="str">
        <f>IFERROR(IF(VLOOKUP($B710,Показатели!$E:$W,19,FALSE)=0,"",VLOOKUP($B710,Показатели!$E:$W,19,FALSE)),"")</f>
        <v/>
      </c>
    </row>
    <row r="711" spans="1:22" x14ac:dyDescent="0.2">
      <c r="A711" s="7" t="s">
        <v>2266</v>
      </c>
      <c r="B711" t="str">
        <f t="shared" si="11"/>
        <v>WUSH IV кв. 2020</v>
      </c>
      <c r="C711">
        <v>2020</v>
      </c>
      <c r="D711">
        <f>SUMIFS(Дивиденды!$C:$C,Дивиденды!$A:$A,A711,Дивиденды!$I:$I,C711)</f>
        <v>0</v>
      </c>
      <c r="E711" t="str">
        <f>IFERROR(IF(VLOOKUP($B711,Показатели!$E:$W,2,FALSE)=0,"",VLOOKUP($B711,Показатели!$E:$W,2,FALSE)),"")</f>
        <v/>
      </c>
      <c r="F711" t="str">
        <f>IFERROR(IF(VLOOKUP($B711,Показатели!$E:$W,3,FALSE)=0,"",VLOOKUP($B711,Показатели!$E:$W,3,FALSE)),"")</f>
        <v/>
      </c>
      <c r="G711" t="str">
        <f>IFERROR(IF(VLOOKUP($B711,Показатели!$E:$W,4,FALSE)=0,"",VLOOKUP($B711,Показатели!$E:$W,4,FALSE)),"")</f>
        <v/>
      </c>
      <c r="H711" t="str">
        <f>IFERROR(IF(VLOOKUP($B711,Показатели!$E:$W,5,FALSE)=0,"",VLOOKUP($B711,Показатели!$E:$W,5,FALSE)),"")</f>
        <v/>
      </c>
      <c r="I711" t="str">
        <f>IFERROR(IF(VLOOKUP($B711,Показатели!$E:$W,6,FALSE)=0,"",VLOOKUP($B711,Показатели!$E:$W,6,FALSE)),"")</f>
        <v/>
      </c>
      <c r="J711" t="str">
        <f>IFERROR(IF(VLOOKUP($B711,Показатели!$E:$W,7,FALSE)=0,"",VLOOKUP($B711,Показатели!$E:$W,7,FALSE)),"")</f>
        <v/>
      </c>
      <c r="K711" t="str">
        <f>IFERROR(IF(VLOOKUP($B711,Показатели!$E:$W,8,FALSE)=0,"",VLOOKUP($B711,Показатели!$E:$W,8,FALSE)),"")</f>
        <v/>
      </c>
      <c r="L711" t="str">
        <f>IFERROR(IF(VLOOKUP($B711,Показатели!$E:$W,9,FALSE)=0,"",VLOOKUP($B711,Показатели!$E:$W,9,FALSE)),"")</f>
        <v/>
      </c>
      <c r="M711" t="str">
        <f>IFERROR(IF(VLOOKUP($B711,Показатели!$E:$W,10,FALSE)=0,"",VLOOKUP($B711,Показатели!$E:$W,10,FALSE)),"")</f>
        <v/>
      </c>
      <c r="N711" t="str">
        <f>IFERROR(IF(VLOOKUP($B711,Показатели!$E:$W,11,FALSE)=0,"",VLOOKUP($B711,Показатели!$E:$W,11,FALSE)),"")</f>
        <v/>
      </c>
      <c r="O711" t="str">
        <f>IFERROR(IF(VLOOKUP($B711,Показатели!$E:$W,12,FALSE)=0,"",VLOOKUP($B711,Показатели!$E:$W,12,FALSE)),"")</f>
        <v/>
      </c>
      <c r="P711" t="str">
        <f>IFERROR(IF(VLOOKUP($B711,Показатели!$E:$W,13,FALSE)=0,"",VLOOKUP($B711,Показатели!$E:$W,13,FALSE)),"")</f>
        <v/>
      </c>
      <c r="Q711" t="str">
        <f>IFERROR(IF(VLOOKUP($B711,Показатели!$E:$W,14,FALSE)=0,"",VLOOKUP($B711,Показатели!$E:$W,14,FALSE)),"")</f>
        <v/>
      </c>
      <c r="R711" t="str">
        <f>IFERROR(IF(VLOOKUP($B711,Показатели!$E:$W,15,FALSE)=0,"",VLOOKUP($B711,Показатели!$E:$W,15,FALSE)),"")</f>
        <v/>
      </c>
      <c r="S711" t="str">
        <f>IFERROR(IF(VLOOKUP($B711,Показатели!$E:$W,16,FALSE)=0,"",VLOOKUP($B711,Показатели!$E:$W,16,FALSE)),"")</f>
        <v/>
      </c>
      <c r="T711" t="str">
        <f>IFERROR(IF(VLOOKUP($B711,Показатели!$E:$W,17,FALSE)=0,"",VLOOKUP($B711,Показатели!$E:$W,17,FALSE)),"")</f>
        <v/>
      </c>
      <c r="U711" t="str">
        <f>IFERROR(IF(VLOOKUP($B711,Показатели!$E:$W,18,FALSE)=0,"",VLOOKUP($B711,Показатели!$E:$W,18,FALSE)),"")</f>
        <v/>
      </c>
      <c r="V711" t="str">
        <f>IFERROR(IF(VLOOKUP($B711,Показатели!$E:$W,19,FALSE)=0,"",VLOOKUP($B711,Показатели!$E:$W,19,FALSE)),"")</f>
        <v/>
      </c>
    </row>
    <row r="712" spans="1:22" x14ac:dyDescent="0.2">
      <c r="A712" s="7" t="s">
        <v>2266</v>
      </c>
      <c r="B712" t="str">
        <f t="shared" si="11"/>
        <v>WUSH IV кв. 2019</v>
      </c>
      <c r="C712">
        <v>2019</v>
      </c>
      <c r="D712">
        <f>SUMIFS(Дивиденды!$C:$C,Дивиденды!$A:$A,A712,Дивиденды!$I:$I,C712)</f>
        <v>0</v>
      </c>
      <c r="E712" t="str">
        <f>IFERROR(IF(VLOOKUP($B712,Показатели!$E:$W,2,FALSE)=0,"",VLOOKUP($B712,Показатели!$E:$W,2,FALSE)),"")</f>
        <v/>
      </c>
      <c r="F712" t="str">
        <f>IFERROR(IF(VLOOKUP($B712,Показатели!$E:$W,3,FALSE)=0,"",VLOOKUP($B712,Показатели!$E:$W,3,FALSE)),"")</f>
        <v/>
      </c>
      <c r="G712" t="str">
        <f>IFERROR(IF(VLOOKUP($B712,Показатели!$E:$W,4,FALSE)=0,"",VLOOKUP($B712,Показатели!$E:$W,4,FALSE)),"")</f>
        <v/>
      </c>
      <c r="H712" t="str">
        <f>IFERROR(IF(VLOOKUP($B712,Показатели!$E:$W,5,FALSE)=0,"",VLOOKUP($B712,Показатели!$E:$W,5,FALSE)),"")</f>
        <v/>
      </c>
      <c r="I712" t="str">
        <f>IFERROR(IF(VLOOKUP($B712,Показатели!$E:$W,6,FALSE)=0,"",VLOOKUP($B712,Показатели!$E:$W,6,FALSE)),"")</f>
        <v/>
      </c>
      <c r="J712" t="str">
        <f>IFERROR(IF(VLOOKUP($B712,Показатели!$E:$W,7,FALSE)=0,"",VLOOKUP($B712,Показатели!$E:$W,7,FALSE)),"")</f>
        <v/>
      </c>
      <c r="K712" t="str">
        <f>IFERROR(IF(VLOOKUP($B712,Показатели!$E:$W,8,FALSE)=0,"",VLOOKUP($B712,Показатели!$E:$W,8,FALSE)),"")</f>
        <v/>
      </c>
      <c r="L712" t="str">
        <f>IFERROR(IF(VLOOKUP($B712,Показатели!$E:$W,9,FALSE)=0,"",VLOOKUP($B712,Показатели!$E:$W,9,FALSE)),"")</f>
        <v/>
      </c>
      <c r="M712" t="str">
        <f>IFERROR(IF(VLOOKUP($B712,Показатели!$E:$W,10,FALSE)=0,"",VLOOKUP($B712,Показатели!$E:$W,10,FALSE)),"")</f>
        <v/>
      </c>
      <c r="N712" t="str">
        <f>IFERROR(IF(VLOOKUP($B712,Показатели!$E:$W,11,FALSE)=0,"",VLOOKUP($B712,Показатели!$E:$W,11,FALSE)),"")</f>
        <v/>
      </c>
      <c r="O712" t="str">
        <f>IFERROR(IF(VLOOKUP($B712,Показатели!$E:$W,12,FALSE)=0,"",VLOOKUP($B712,Показатели!$E:$W,12,FALSE)),"")</f>
        <v/>
      </c>
      <c r="P712" t="str">
        <f>IFERROR(IF(VLOOKUP($B712,Показатели!$E:$W,13,FALSE)=0,"",VLOOKUP($B712,Показатели!$E:$W,13,FALSE)),"")</f>
        <v/>
      </c>
      <c r="Q712" t="str">
        <f>IFERROR(IF(VLOOKUP($B712,Показатели!$E:$W,14,FALSE)=0,"",VLOOKUP($B712,Показатели!$E:$W,14,FALSE)),"")</f>
        <v/>
      </c>
      <c r="R712" t="str">
        <f>IFERROR(IF(VLOOKUP($B712,Показатели!$E:$W,15,FALSE)=0,"",VLOOKUP($B712,Показатели!$E:$W,15,FALSE)),"")</f>
        <v/>
      </c>
      <c r="S712" t="str">
        <f>IFERROR(IF(VLOOKUP($B712,Показатели!$E:$W,16,FALSE)=0,"",VLOOKUP($B712,Показатели!$E:$W,16,FALSE)),"")</f>
        <v/>
      </c>
      <c r="T712" t="str">
        <f>IFERROR(IF(VLOOKUP($B712,Показатели!$E:$W,17,FALSE)=0,"",VLOOKUP($B712,Показатели!$E:$W,17,FALSE)),"")</f>
        <v/>
      </c>
      <c r="U712" t="str">
        <f>IFERROR(IF(VLOOKUP($B712,Показатели!$E:$W,18,FALSE)=0,"",VLOOKUP($B712,Показатели!$E:$W,18,FALSE)),"")</f>
        <v/>
      </c>
      <c r="V712" t="str">
        <f>IFERROR(IF(VLOOKUP($B712,Показатели!$E:$W,19,FALSE)=0,"",VLOOKUP($B712,Показатели!$E:$W,19,FALSE)),"")</f>
        <v/>
      </c>
    </row>
    <row r="713" spans="1:22" x14ac:dyDescent="0.2">
      <c r="A713" s="7" t="s">
        <v>2266</v>
      </c>
      <c r="B713" t="str">
        <f t="shared" si="11"/>
        <v>WUSH IV кв. 2018</v>
      </c>
      <c r="C713">
        <v>2018</v>
      </c>
      <c r="D713">
        <f>SUMIFS(Дивиденды!$C:$C,Дивиденды!$A:$A,A713,Дивиденды!$I:$I,C713)</f>
        <v>0</v>
      </c>
      <c r="E713" t="str">
        <f>IFERROR(IF(VLOOKUP($B713,Показатели!$E:$W,2,FALSE)=0,"",VLOOKUP($B713,Показатели!$E:$W,2,FALSE)),"")</f>
        <v/>
      </c>
      <c r="F713" t="str">
        <f>IFERROR(IF(VLOOKUP($B713,Показатели!$E:$W,3,FALSE)=0,"",VLOOKUP($B713,Показатели!$E:$W,3,FALSE)),"")</f>
        <v/>
      </c>
      <c r="G713" t="str">
        <f>IFERROR(IF(VLOOKUP($B713,Показатели!$E:$W,4,FALSE)=0,"",VLOOKUP($B713,Показатели!$E:$W,4,FALSE)),"")</f>
        <v/>
      </c>
      <c r="H713" t="str">
        <f>IFERROR(IF(VLOOKUP($B713,Показатели!$E:$W,5,FALSE)=0,"",VLOOKUP($B713,Показатели!$E:$W,5,FALSE)),"")</f>
        <v/>
      </c>
      <c r="I713" t="str">
        <f>IFERROR(IF(VLOOKUP($B713,Показатели!$E:$W,6,FALSE)=0,"",VLOOKUP($B713,Показатели!$E:$W,6,FALSE)),"")</f>
        <v/>
      </c>
      <c r="J713" t="str">
        <f>IFERROR(IF(VLOOKUP($B713,Показатели!$E:$W,7,FALSE)=0,"",VLOOKUP($B713,Показатели!$E:$W,7,FALSE)),"")</f>
        <v/>
      </c>
      <c r="K713" t="str">
        <f>IFERROR(IF(VLOOKUP($B713,Показатели!$E:$W,8,FALSE)=0,"",VLOOKUP($B713,Показатели!$E:$W,8,FALSE)),"")</f>
        <v/>
      </c>
      <c r="L713" t="str">
        <f>IFERROR(IF(VLOOKUP($B713,Показатели!$E:$W,9,FALSE)=0,"",VLOOKUP($B713,Показатели!$E:$W,9,FALSE)),"")</f>
        <v/>
      </c>
      <c r="M713" t="str">
        <f>IFERROR(IF(VLOOKUP($B713,Показатели!$E:$W,10,FALSE)=0,"",VLOOKUP($B713,Показатели!$E:$W,10,FALSE)),"")</f>
        <v/>
      </c>
      <c r="N713" t="str">
        <f>IFERROR(IF(VLOOKUP($B713,Показатели!$E:$W,11,FALSE)=0,"",VLOOKUP($B713,Показатели!$E:$W,11,FALSE)),"")</f>
        <v/>
      </c>
      <c r="O713" t="str">
        <f>IFERROR(IF(VLOOKUP($B713,Показатели!$E:$W,12,FALSE)=0,"",VLOOKUP($B713,Показатели!$E:$W,12,FALSE)),"")</f>
        <v/>
      </c>
      <c r="P713" t="str">
        <f>IFERROR(IF(VLOOKUP($B713,Показатели!$E:$W,13,FALSE)=0,"",VLOOKUP($B713,Показатели!$E:$W,13,FALSE)),"")</f>
        <v/>
      </c>
      <c r="Q713" t="str">
        <f>IFERROR(IF(VLOOKUP($B713,Показатели!$E:$W,14,FALSE)=0,"",VLOOKUP($B713,Показатели!$E:$W,14,FALSE)),"")</f>
        <v/>
      </c>
      <c r="R713" t="str">
        <f>IFERROR(IF(VLOOKUP($B713,Показатели!$E:$W,15,FALSE)=0,"",VLOOKUP($B713,Показатели!$E:$W,15,FALSE)),"")</f>
        <v/>
      </c>
      <c r="S713" t="str">
        <f>IFERROR(IF(VLOOKUP($B713,Показатели!$E:$W,16,FALSE)=0,"",VLOOKUP($B713,Показатели!$E:$W,16,FALSE)),"")</f>
        <v/>
      </c>
      <c r="T713" t="str">
        <f>IFERROR(IF(VLOOKUP($B713,Показатели!$E:$W,17,FALSE)=0,"",VLOOKUP($B713,Показатели!$E:$W,17,FALSE)),"")</f>
        <v/>
      </c>
      <c r="U713" t="str">
        <f>IFERROR(IF(VLOOKUP($B713,Показатели!$E:$W,18,FALSE)=0,"",VLOOKUP($B713,Показатели!$E:$W,18,FALSE)),"")</f>
        <v/>
      </c>
      <c r="V713" t="str">
        <f>IFERROR(IF(VLOOKUP($B713,Показатели!$E:$W,19,FALSE)=0,"",VLOOKUP($B713,Показатели!$E:$W,19,FALSE)),"")</f>
        <v/>
      </c>
    </row>
    <row r="714" spans="1:22" x14ac:dyDescent="0.2">
      <c r="A714" s="7" t="s">
        <v>2266</v>
      </c>
      <c r="B714" t="str">
        <f t="shared" si="11"/>
        <v>WUSH IV кв. 2017</v>
      </c>
      <c r="C714">
        <v>2017</v>
      </c>
      <c r="D714">
        <f>SUMIFS(Дивиденды!$C:$C,Дивиденды!$A:$A,A714,Дивиденды!$I:$I,C714)</f>
        <v>0</v>
      </c>
      <c r="E714" t="str">
        <f>IFERROR(IF(VLOOKUP($B714,Показатели!$E:$W,2,FALSE)=0,"",VLOOKUP($B714,Показатели!$E:$W,2,FALSE)),"")</f>
        <v/>
      </c>
      <c r="F714" t="str">
        <f>IFERROR(IF(VLOOKUP($B714,Показатели!$E:$W,3,FALSE)=0,"",VLOOKUP($B714,Показатели!$E:$W,3,FALSE)),"")</f>
        <v/>
      </c>
      <c r="G714" t="str">
        <f>IFERROR(IF(VLOOKUP($B714,Показатели!$E:$W,4,FALSE)=0,"",VLOOKUP($B714,Показатели!$E:$W,4,FALSE)),"")</f>
        <v/>
      </c>
      <c r="H714" t="str">
        <f>IFERROR(IF(VLOOKUP($B714,Показатели!$E:$W,5,FALSE)=0,"",VLOOKUP($B714,Показатели!$E:$W,5,FALSE)),"")</f>
        <v/>
      </c>
      <c r="I714" t="str">
        <f>IFERROR(IF(VLOOKUP($B714,Показатели!$E:$W,6,FALSE)=0,"",VLOOKUP($B714,Показатели!$E:$W,6,FALSE)),"")</f>
        <v/>
      </c>
      <c r="J714" t="str">
        <f>IFERROR(IF(VLOOKUP($B714,Показатели!$E:$W,7,FALSE)=0,"",VLOOKUP($B714,Показатели!$E:$W,7,FALSE)),"")</f>
        <v/>
      </c>
      <c r="K714" t="str">
        <f>IFERROR(IF(VLOOKUP($B714,Показатели!$E:$W,8,FALSE)=0,"",VLOOKUP($B714,Показатели!$E:$W,8,FALSE)),"")</f>
        <v/>
      </c>
      <c r="L714" t="str">
        <f>IFERROR(IF(VLOOKUP($B714,Показатели!$E:$W,9,FALSE)=0,"",VLOOKUP($B714,Показатели!$E:$W,9,FALSE)),"")</f>
        <v/>
      </c>
      <c r="M714" t="str">
        <f>IFERROR(IF(VLOOKUP($B714,Показатели!$E:$W,10,FALSE)=0,"",VLOOKUP($B714,Показатели!$E:$W,10,FALSE)),"")</f>
        <v/>
      </c>
      <c r="N714" t="str">
        <f>IFERROR(IF(VLOOKUP($B714,Показатели!$E:$W,11,FALSE)=0,"",VLOOKUP($B714,Показатели!$E:$W,11,FALSE)),"")</f>
        <v/>
      </c>
      <c r="O714" t="str">
        <f>IFERROR(IF(VLOOKUP($B714,Показатели!$E:$W,12,FALSE)=0,"",VLOOKUP($B714,Показатели!$E:$W,12,FALSE)),"")</f>
        <v/>
      </c>
      <c r="P714" t="str">
        <f>IFERROR(IF(VLOOKUP($B714,Показатели!$E:$W,13,FALSE)=0,"",VLOOKUP($B714,Показатели!$E:$W,13,FALSE)),"")</f>
        <v/>
      </c>
      <c r="Q714" t="str">
        <f>IFERROR(IF(VLOOKUP($B714,Показатели!$E:$W,14,FALSE)=0,"",VLOOKUP($B714,Показатели!$E:$W,14,FALSE)),"")</f>
        <v/>
      </c>
      <c r="R714" t="str">
        <f>IFERROR(IF(VLOOKUP($B714,Показатели!$E:$W,15,FALSE)=0,"",VLOOKUP($B714,Показатели!$E:$W,15,FALSE)),"")</f>
        <v/>
      </c>
      <c r="S714" t="str">
        <f>IFERROR(IF(VLOOKUP($B714,Показатели!$E:$W,16,FALSE)=0,"",VLOOKUP($B714,Показатели!$E:$W,16,FALSE)),"")</f>
        <v/>
      </c>
      <c r="T714" t="str">
        <f>IFERROR(IF(VLOOKUP($B714,Показатели!$E:$W,17,FALSE)=0,"",VLOOKUP($B714,Показатели!$E:$W,17,FALSE)),"")</f>
        <v/>
      </c>
      <c r="U714" t="str">
        <f>IFERROR(IF(VLOOKUP($B714,Показатели!$E:$W,18,FALSE)=0,"",VLOOKUP($B714,Показатели!$E:$W,18,FALSE)),"")</f>
        <v/>
      </c>
      <c r="V714" t="str">
        <f>IFERROR(IF(VLOOKUP($B714,Показатели!$E:$W,19,FALSE)=0,"",VLOOKUP($B714,Показатели!$E:$W,19,FALSE)),"")</f>
        <v/>
      </c>
    </row>
    <row r="715" spans="1:22" x14ac:dyDescent="0.2">
      <c r="A715" s="7" t="s">
        <v>2266</v>
      </c>
      <c r="B715" t="str">
        <f t="shared" si="11"/>
        <v>WUSH IV кв. 2016</v>
      </c>
      <c r="C715">
        <v>2016</v>
      </c>
      <c r="D715">
        <f>SUMIFS(Дивиденды!$C:$C,Дивиденды!$A:$A,A715,Дивиденды!$I:$I,C715)</f>
        <v>0</v>
      </c>
      <c r="E715" t="str">
        <f>IFERROR(IF(VLOOKUP($B715,Показатели!$E:$W,2,FALSE)=0,"",VLOOKUP($B715,Показатели!$E:$W,2,FALSE)),"")</f>
        <v/>
      </c>
      <c r="F715" t="str">
        <f>IFERROR(IF(VLOOKUP($B715,Показатели!$E:$W,3,FALSE)=0,"",VLOOKUP($B715,Показатели!$E:$W,3,FALSE)),"")</f>
        <v/>
      </c>
      <c r="G715" t="str">
        <f>IFERROR(IF(VLOOKUP($B715,Показатели!$E:$W,4,FALSE)=0,"",VLOOKUP($B715,Показатели!$E:$W,4,FALSE)),"")</f>
        <v/>
      </c>
      <c r="H715" t="str">
        <f>IFERROR(IF(VLOOKUP($B715,Показатели!$E:$W,5,FALSE)=0,"",VLOOKUP($B715,Показатели!$E:$W,5,FALSE)),"")</f>
        <v/>
      </c>
      <c r="I715" t="str">
        <f>IFERROR(IF(VLOOKUP($B715,Показатели!$E:$W,6,FALSE)=0,"",VLOOKUP($B715,Показатели!$E:$W,6,FALSE)),"")</f>
        <v/>
      </c>
      <c r="J715" t="str">
        <f>IFERROR(IF(VLOOKUP($B715,Показатели!$E:$W,7,FALSE)=0,"",VLOOKUP($B715,Показатели!$E:$W,7,FALSE)),"")</f>
        <v/>
      </c>
      <c r="K715" t="str">
        <f>IFERROR(IF(VLOOKUP($B715,Показатели!$E:$W,8,FALSE)=0,"",VLOOKUP($B715,Показатели!$E:$W,8,FALSE)),"")</f>
        <v/>
      </c>
      <c r="L715" t="str">
        <f>IFERROR(IF(VLOOKUP($B715,Показатели!$E:$W,9,FALSE)=0,"",VLOOKUP($B715,Показатели!$E:$W,9,FALSE)),"")</f>
        <v/>
      </c>
      <c r="M715" t="str">
        <f>IFERROR(IF(VLOOKUP($B715,Показатели!$E:$W,10,FALSE)=0,"",VLOOKUP($B715,Показатели!$E:$W,10,FALSE)),"")</f>
        <v/>
      </c>
      <c r="N715" t="str">
        <f>IFERROR(IF(VLOOKUP($B715,Показатели!$E:$W,11,FALSE)=0,"",VLOOKUP($B715,Показатели!$E:$W,11,FALSE)),"")</f>
        <v/>
      </c>
      <c r="O715" t="str">
        <f>IFERROR(IF(VLOOKUP($B715,Показатели!$E:$W,12,FALSE)=0,"",VLOOKUP($B715,Показатели!$E:$W,12,FALSE)),"")</f>
        <v/>
      </c>
      <c r="P715" t="str">
        <f>IFERROR(IF(VLOOKUP($B715,Показатели!$E:$W,13,FALSE)=0,"",VLOOKUP($B715,Показатели!$E:$W,13,FALSE)),"")</f>
        <v/>
      </c>
      <c r="Q715" t="str">
        <f>IFERROR(IF(VLOOKUP($B715,Показатели!$E:$W,14,FALSE)=0,"",VLOOKUP($B715,Показатели!$E:$W,14,FALSE)),"")</f>
        <v/>
      </c>
      <c r="R715" t="str">
        <f>IFERROR(IF(VLOOKUP($B715,Показатели!$E:$W,15,FALSE)=0,"",VLOOKUP($B715,Показатели!$E:$W,15,FALSE)),"")</f>
        <v/>
      </c>
      <c r="S715" t="str">
        <f>IFERROR(IF(VLOOKUP($B715,Показатели!$E:$W,16,FALSE)=0,"",VLOOKUP($B715,Показатели!$E:$W,16,FALSE)),"")</f>
        <v/>
      </c>
      <c r="T715" t="str">
        <f>IFERROR(IF(VLOOKUP($B715,Показатели!$E:$W,17,FALSE)=0,"",VLOOKUP($B715,Показатели!$E:$W,17,FALSE)),"")</f>
        <v/>
      </c>
      <c r="U715" t="str">
        <f>IFERROR(IF(VLOOKUP($B715,Показатели!$E:$W,18,FALSE)=0,"",VLOOKUP($B715,Показатели!$E:$W,18,FALSE)),"")</f>
        <v/>
      </c>
      <c r="V715" t="str">
        <f>IFERROR(IF(VLOOKUP($B715,Показатели!$E:$W,19,FALSE)=0,"",VLOOKUP($B715,Показатели!$E:$W,19,FALSE)),"")</f>
        <v/>
      </c>
    </row>
    <row r="716" spans="1:22" x14ac:dyDescent="0.2">
      <c r="A716" s="7" t="s">
        <v>2266</v>
      </c>
      <c r="B716" t="str">
        <f t="shared" si="11"/>
        <v>WUSH IV кв. 2015</v>
      </c>
      <c r="C716">
        <v>2015</v>
      </c>
      <c r="D716">
        <f>SUMIFS(Дивиденды!$C:$C,Дивиденды!$A:$A,A716,Дивиденды!$I:$I,C716)</f>
        <v>0</v>
      </c>
      <c r="E716" t="str">
        <f>IFERROR(IF(VLOOKUP($B716,Показатели!$E:$W,2,FALSE)=0,"",VLOOKUP($B716,Показатели!$E:$W,2,FALSE)),"")</f>
        <v/>
      </c>
      <c r="F716" t="str">
        <f>IFERROR(IF(VLOOKUP($B716,Показатели!$E:$W,3,FALSE)=0,"",VLOOKUP($B716,Показатели!$E:$W,3,FALSE)),"")</f>
        <v/>
      </c>
      <c r="G716" t="str">
        <f>IFERROR(IF(VLOOKUP($B716,Показатели!$E:$W,4,FALSE)=0,"",VLOOKUP($B716,Показатели!$E:$W,4,FALSE)),"")</f>
        <v/>
      </c>
      <c r="H716" t="str">
        <f>IFERROR(IF(VLOOKUP($B716,Показатели!$E:$W,5,FALSE)=0,"",VLOOKUP($B716,Показатели!$E:$W,5,FALSE)),"")</f>
        <v/>
      </c>
      <c r="I716" t="str">
        <f>IFERROR(IF(VLOOKUP($B716,Показатели!$E:$W,6,FALSE)=0,"",VLOOKUP($B716,Показатели!$E:$W,6,FALSE)),"")</f>
        <v/>
      </c>
      <c r="J716" t="str">
        <f>IFERROR(IF(VLOOKUP($B716,Показатели!$E:$W,7,FALSE)=0,"",VLOOKUP($B716,Показатели!$E:$W,7,FALSE)),"")</f>
        <v/>
      </c>
      <c r="K716" t="str">
        <f>IFERROR(IF(VLOOKUP($B716,Показатели!$E:$W,8,FALSE)=0,"",VLOOKUP($B716,Показатели!$E:$W,8,FALSE)),"")</f>
        <v/>
      </c>
      <c r="L716" t="str">
        <f>IFERROR(IF(VLOOKUP($B716,Показатели!$E:$W,9,FALSE)=0,"",VLOOKUP($B716,Показатели!$E:$W,9,FALSE)),"")</f>
        <v/>
      </c>
      <c r="M716" t="str">
        <f>IFERROR(IF(VLOOKUP($B716,Показатели!$E:$W,10,FALSE)=0,"",VLOOKUP($B716,Показатели!$E:$W,10,FALSE)),"")</f>
        <v/>
      </c>
      <c r="N716" t="str">
        <f>IFERROR(IF(VLOOKUP($B716,Показатели!$E:$W,11,FALSE)=0,"",VLOOKUP($B716,Показатели!$E:$W,11,FALSE)),"")</f>
        <v/>
      </c>
      <c r="O716" t="str">
        <f>IFERROR(IF(VLOOKUP($B716,Показатели!$E:$W,12,FALSE)=0,"",VLOOKUP($B716,Показатели!$E:$W,12,FALSE)),"")</f>
        <v/>
      </c>
      <c r="P716" t="str">
        <f>IFERROR(IF(VLOOKUP($B716,Показатели!$E:$W,13,FALSE)=0,"",VLOOKUP($B716,Показатели!$E:$W,13,FALSE)),"")</f>
        <v/>
      </c>
      <c r="Q716" t="str">
        <f>IFERROR(IF(VLOOKUP($B716,Показатели!$E:$W,14,FALSE)=0,"",VLOOKUP($B716,Показатели!$E:$W,14,FALSE)),"")</f>
        <v/>
      </c>
      <c r="R716" t="str">
        <f>IFERROR(IF(VLOOKUP($B716,Показатели!$E:$W,15,FALSE)=0,"",VLOOKUP($B716,Показатели!$E:$W,15,FALSE)),"")</f>
        <v/>
      </c>
      <c r="S716" t="str">
        <f>IFERROR(IF(VLOOKUP($B716,Показатели!$E:$W,16,FALSE)=0,"",VLOOKUP($B716,Показатели!$E:$W,16,FALSE)),"")</f>
        <v/>
      </c>
      <c r="T716" t="str">
        <f>IFERROR(IF(VLOOKUP($B716,Показатели!$E:$W,17,FALSE)=0,"",VLOOKUP($B716,Показатели!$E:$W,17,FALSE)),"")</f>
        <v/>
      </c>
      <c r="U716" t="str">
        <f>IFERROR(IF(VLOOKUP($B716,Показатели!$E:$W,18,FALSE)=0,"",VLOOKUP($B716,Показатели!$E:$W,18,FALSE)),"")</f>
        <v/>
      </c>
      <c r="V716" t="str">
        <f>IFERROR(IF(VLOOKUP($B716,Показатели!$E:$W,19,FALSE)=0,"",VLOOKUP($B716,Показатели!$E:$W,19,FALSE)),"")</f>
        <v/>
      </c>
    </row>
    <row r="717" spans="1:22" x14ac:dyDescent="0.2">
      <c r="A717" s="7" t="s">
        <v>2266</v>
      </c>
      <c r="B717" t="str">
        <f t="shared" si="11"/>
        <v>WUSH IV кв. 2014</v>
      </c>
      <c r="C717">
        <v>2014</v>
      </c>
      <c r="D717">
        <f>SUMIFS(Дивиденды!$C:$C,Дивиденды!$A:$A,A717,Дивиденды!$I:$I,C717)</f>
        <v>0</v>
      </c>
      <c r="E717" t="str">
        <f>IFERROR(IF(VLOOKUP($B717,Показатели!$E:$W,2,FALSE)=0,"",VLOOKUP($B717,Показатели!$E:$W,2,FALSE)),"")</f>
        <v/>
      </c>
      <c r="F717" t="str">
        <f>IFERROR(IF(VLOOKUP($B717,Показатели!$E:$W,3,FALSE)=0,"",VLOOKUP($B717,Показатели!$E:$W,3,FALSE)),"")</f>
        <v/>
      </c>
      <c r="G717" t="str">
        <f>IFERROR(IF(VLOOKUP($B717,Показатели!$E:$W,4,FALSE)=0,"",VLOOKUP($B717,Показатели!$E:$W,4,FALSE)),"")</f>
        <v/>
      </c>
      <c r="H717" t="str">
        <f>IFERROR(IF(VLOOKUP($B717,Показатели!$E:$W,5,FALSE)=0,"",VLOOKUP($B717,Показатели!$E:$W,5,FALSE)),"")</f>
        <v/>
      </c>
      <c r="I717" t="str">
        <f>IFERROR(IF(VLOOKUP($B717,Показатели!$E:$W,6,FALSE)=0,"",VLOOKUP($B717,Показатели!$E:$W,6,FALSE)),"")</f>
        <v/>
      </c>
      <c r="J717" t="str">
        <f>IFERROR(IF(VLOOKUP($B717,Показатели!$E:$W,7,FALSE)=0,"",VLOOKUP($B717,Показатели!$E:$W,7,FALSE)),"")</f>
        <v/>
      </c>
      <c r="K717" t="str">
        <f>IFERROR(IF(VLOOKUP($B717,Показатели!$E:$W,8,FALSE)=0,"",VLOOKUP($B717,Показатели!$E:$W,8,FALSE)),"")</f>
        <v/>
      </c>
      <c r="L717" t="str">
        <f>IFERROR(IF(VLOOKUP($B717,Показатели!$E:$W,9,FALSE)=0,"",VLOOKUP($B717,Показатели!$E:$W,9,FALSE)),"")</f>
        <v/>
      </c>
      <c r="M717" t="str">
        <f>IFERROR(IF(VLOOKUP($B717,Показатели!$E:$W,10,FALSE)=0,"",VLOOKUP($B717,Показатели!$E:$W,10,FALSE)),"")</f>
        <v/>
      </c>
      <c r="N717" t="str">
        <f>IFERROR(IF(VLOOKUP($B717,Показатели!$E:$W,11,FALSE)=0,"",VLOOKUP($B717,Показатели!$E:$W,11,FALSE)),"")</f>
        <v/>
      </c>
      <c r="O717" t="str">
        <f>IFERROR(IF(VLOOKUP($B717,Показатели!$E:$W,12,FALSE)=0,"",VLOOKUP($B717,Показатели!$E:$W,12,FALSE)),"")</f>
        <v/>
      </c>
      <c r="P717" t="str">
        <f>IFERROR(IF(VLOOKUP($B717,Показатели!$E:$W,13,FALSE)=0,"",VLOOKUP($B717,Показатели!$E:$W,13,FALSE)),"")</f>
        <v/>
      </c>
      <c r="Q717" t="str">
        <f>IFERROR(IF(VLOOKUP($B717,Показатели!$E:$W,14,FALSE)=0,"",VLOOKUP($B717,Показатели!$E:$W,14,FALSE)),"")</f>
        <v/>
      </c>
      <c r="R717" t="str">
        <f>IFERROR(IF(VLOOKUP($B717,Показатели!$E:$W,15,FALSE)=0,"",VLOOKUP($B717,Показатели!$E:$W,15,FALSE)),"")</f>
        <v/>
      </c>
      <c r="S717" t="str">
        <f>IFERROR(IF(VLOOKUP($B717,Показатели!$E:$W,16,FALSE)=0,"",VLOOKUP($B717,Показатели!$E:$W,16,FALSE)),"")</f>
        <v/>
      </c>
      <c r="T717" t="str">
        <f>IFERROR(IF(VLOOKUP($B717,Показатели!$E:$W,17,FALSE)=0,"",VLOOKUP($B717,Показатели!$E:$W,17,FALSE)),"")</f>
        <v/>
      </c>
      <c r="U717" t="str">
        <f>IFERROR(IF(VLOOKUP($B717,Показатели!$E:$W,18,FALSE)=0,"",VLOOKUP($B717,Показатели!$E:$W,18,FALSE)),"")</f>
        <v/>
      </c>
      <c r="V717" t="str">
        <f>IFERROR(IF(VLOOKUP($B717,Показатели!$E:$W,19,FALSE)=0,"",VLOOKUP($B717,Показатели!$E:$W,19,FALSE)),"")</f>
        <v/>
      </c>
    </row>
    <row r="718" spans="1:22" x14ac:dyDescent="0.2">
      <c r="A718" s="7" t="s">
        <v>2266</v>
      </c>
      <c r="B718" t="str">
        <f t="shared" si="11"/>
        <v>WUSH IV кв. 2013</v>
      </c>
      <c r="C718">
        <v>2013</v>
      </c>
      <c r="D718">
        <f>SUMIFS(Дивиденды!$C:$C,Дивиденды!$A:$A,A718,Дивиденды!$I:$I,C718)</f>
        <v>0</v>
      </c>
      <c r="E718" t="str">
        <f>IFERROR(IF(VLOOKUP($B718,Показатели!$E:$W,2,FALSE)=0,"",VLOOKUP($B718,Показатели!$E:$W,2,FALSE)),"")</f>
        <v/>
      </c>
      <c r="F718" t="str">
        <f>IFERROR(IF(VLOOKUP($B718,Показатели!$E:$W,3,FALSE)=0,"",VLOOKUP($B718,Показатели!$E:$W,3,FALSE)),"")</f>
        <v/>
      </c>
      <c r="G718" t="str">
        <f>IFERROR(IF(VLOOKUP($B718,Показатели!$E:$W,4,FALSE)=0,"",VLOOKUP($B718,Показатели!$E:$W,4,FALSE)),"")</f>
        <v/>
      </c>
      <c r="H718" t="str">
        <f>IFERROR(IF(VLOOKUP($B718,Показатели!$E:$W,5,FALSE)=0,"",VLOOKUP($B718,Показатели!$E:$W,5,FALSE)),"")</f>
        <v/>
      </c>
      <c r="I718" t="str">
        <f>IFERROR(IF(VLOOKUP($B718,Показатели!$E:$W,6,FALSE)=0,"",VLOOKUP($B718,Показатели!$E:$W,6,FALSE)),"")</f>
        <v/>
      </c>
      <c r="J718" t="str">
        <f>IFERROR(IF(VLOOKUP($B718,Показатели!$E:$W,7,FALSE)=0,"",VLOOKUP($B718,Показатели!$E:$W,7,FALSE)),"")</f>
        <v/>
      </c>
      <c r="K718" t="str">
        <f>IFERROR(IF(VLOOKUP($B718,Показатели!$E:$W,8,FALSE)=0,"",VLOOKUP($B718,Показатели!$E:$W,8,FALSE)),"")</f>
        <v/>
      </c>
      <c r="L718" t="str">
        <f>IFERROR(IF(VLOOKUP($B718,Показатели!$E:$W,9,FALSE)=0,"",VLOOKUP($B718,Показатели!$E:$W,9,FALSE)),"")</f>
        <v/>
      </c>
      <c r="M718" t="str">
        <f>IFERROR(IF(VLOOKUP($B718,Показатели!$E:$W,10,FALSE)=0,"",VLOOKUP($B718,Показатели!$E:$W,10,FALSE)),"")</f>
        <v/>
      </c>
      <c r="N718" t="str">
        <f>IFERROR(IF(VLOOKUP($B718,Показатели!$E:$W,11,FALSE)=0,"",VLOOKUP($B718,Показатели!$E:$W,11,FALSE)),"")</f>
        <v/>
      </c>
      <c r="O718" t="str">
        <f>IFERROR(IF(VLOOKUP($B718,Показатели!$E:$W,12,FALSE)=0,"",VLOOKUP($B718,Показатели!$E:$W,12,FALSE)),"")</f>
        <v/>
      </c>
      <c r="P718" t="str">
        <f>IFERROR(IF(VLOOKUP($B718,Показатели!$E:$W,13,FALSE)=0,"",VLOOKUP($B718,Показатели!$E:$W,13,FALSE)),"")</f>
        <v/>
      </c>
      <c r="Q718" t="str">
        <f>IFERROR(IF(VLOOKUP($B718,Показатели!$E:$W,14,FALSE)=0,"",VLOOKUP($B718,Показатели!$E:$W,14,FALSE)),"")</f>
        <v/>
      </c>
      <c r="R718" t="str">
        <f>IFERROR(IF(VLOOKUP($B718,Показатели!$E:$W,15,FALSE)=0,"",VLOOKUP($B718,Показатели!$E:$W,15,FALSE)),"")</f>
        <v/>
      </c>
      <c r="S718" t="str">
        <f>IFERROR(IF(VLOOKUP($B718,Показатели!$E:$W,16,FALSE)=0,"",VLOOKUP($B718,Показатели!$E:$W,16,FALSE)),"")</f>
        <v/>
      </c>
      <c r="T718" t="str">
        <f>IFERROR(IF(VLOOKUP($B718,Показатели!$E:$W,17,FALSE)=0,"",VLOOKUP($B718,Показатели!$E:$W,17,FALSE)),"")</f>
        <v/>
      </c>
      <c r="U718" t="str">
        <f>IFERROR(IF(VLOOKUP($B718,Показатели!$E:$W,18,FALSE)=0,"",VLOOKUP($B718,Показатели!$E:$W,18,FALSE)),"")</f>
        <v/>
      </c>
      <c r="V718" t="str">
        <f>IFERROR(IF(VLOOKUP($B718,Показатели!$E:$W,19,FALSE)=0,"",VLOOKUP($B718,Показатели!$E:$W,19,FALSE)),"")</f>
        <v/>
      </c>
    </row>
    <row r="719" spans="1:22" x14ac:dyDescent="0.2">
      <c r="A719" s="7" t="s">
        <v>2266</v>
      </c>
      <c r="B719" t="str">
        <f t="shared" si="11"/>
        <v>WUSH IV кв. 2012</v>
      </c>
      <c r="C719">
        <v>2012</v>
      </c>
      <c r="D719">
        <f>SUMIFS(Дивиденды!$C:$C,Дивиденды!$A:$A,A719,Дивиденды!$I:$I,C719)</f>
        <v>0</v>
      </c>
      <c r="E719" t="str">
        <f>IFERROR(IF(VLOOKUP($B719,Показатели!$E:$W,2,FALSE)=0,"",VLOOKUP($B719,Показатели!$E:$W,2,FALSE)),"")</f>
        <v/>
      </c>
      <c r="F719" t="str">
        <f>IFERROR(IF(VLOOKUP($B719,Показатели!$E:$W,3,FALSE)=0,"",VLOOKUP($B719,Показатели!$E:$W,3,FALSE)),"")</f>
        <v/>
      </c>
      <c r="G719" t="str">
        <f>IFERROR(IF(VLOOKUP($B719,Показатели!$E:$W,4,FALSE)=0,"",VLOOKUP($B719,Показатели!$E:$W,4,FALSE)),"")</f>
        <v/>
      </c>
      <c r="H719" t="str">
        <f>IFERROR(IF(VLOOKUP($B719,Показатели!$E:$W,5,FALSE)=0,"",VLOOKUP($B719,Показатели!$E:$W,5,FALSE)),"")</f>
        <v/>
      </c>
      <c r="I719" t="str">
        <f>IFERROR(IF(VLOOKUP($B719,Показатели!$E:$W,6,FALSE)=0,"",VLOOKUP($B719,Показатели!$E:$W,6,FALSE)),"")</f>
        <v/>
      </c>
      <c r="J719" t="str">
        <f>IFERROR(IF(VLOOKUP($B719,Показатели!$E:$W,7,FALSE)=0,"",VLOOKUP($B719,Показатели!$E:$W,7,FALSE)),"")</f>
        <v/>
      </c>
      <c r="K719" t="str">
        <f>IFERROR(IF(VLOOKUP($B719,Показатели!$E:$W,8,FALSE)=0,"",VLOOKUP($B719,Показатели!$E:$W,8,FALSE)),"")</f>
        <v/>
      </c>
      <c r="L719" t="str">
        <f>IFERROR(IF(VLOOKUP($B719,Показатели!$E:$W,9,FALSE)=0,"",VLOOKUP($B719,Показатели!$E:$W,9,FALSE)),"")</f>
        <v/>
      </c>
      <c r="M719" t="str">
        <f>IFERROR(IF(VLOOKUP($B719,Показатели!$E:$W,10,FALSE)=0,"",VLOOKUP($B719,Показатели!$E:$W,10,FALSE)),"")</f>
        <v/>
      </c>
      <c r="N719" t="str">
        <f>IFERROR(IF(VLOOKUP($B719,Показатели!$E:$W,11,FALSE)=0,"",VLOOKUP($B719,Показатели!$E:$W,11,FALSE)),"")</f>
        <v/>
      </c>
      <c r="O719" t="str">
        <f>IFERROR(IF(VLOOKUP($B719,Показатели!$E:$W,12,FALSE)=0,"",VLOOKUP($B719,Показатели!$E:$W,12,FALSE)),"")</f>
        <v/>
      </c>
      <c r="P719" t="str">
        <f>IFERROR(IF(VLOOKUP($B719,Показатели!$E:$W,13,FALSE)=0,"",VLOOKUP($B719,Показатели!$E:$W,13,FALSE)),"")</f>
        <v/>
      </c>
      <c r="Q719" t="str">
        <f>IFERROR(IF(VLOOKUP($B719,Показатели!$E:$W,14,FALSE)=0,"",VLOOKUP($B719,Показатели!$E:$W,14,FALSE)),"")</f>
        <v/>
      </c>
      <c r="R719" t="str">
        <f>IFERROR(IF(VLOOKUP($B719,Показатели!$E:$W,15,FALSE)=0,"",VLOOKUP($B719,Показатели!$E:$W,15,FALSE)),"")</f>
        <v/>
      </c>
      <c r="S719" t="str">
        <f>IFERROR(IF(VLOOKUP($B719,Показатели!$E:$W,16,FALSE)=0,"",VLOOKUP($B719,Показатели!$E:$W,16,FALSE)),"")</f>
        <v/>
      </c>
      <c r="T719" t="str">
        <f>IFERROR(IF(VLOOKUP($B719,Показатели!$E:$W,17,FALSE)=0,"",VLOOKUP($B719,Показатели!$E:$W,17,FALSE)),"")</f>
        <v/>
      </c>
      <c r="U719" t="str">
        <f>IFERROR(IF(VLOOKUP($B719,Показатели!$E:$W,18,FALSE)=0,"",VLOOKUP($B719,Показатели!$E:$W,18,FALSE)),"")</f>
        <v/>
      </c>
      <c r="V719" t="str">
        <f>IFERROR(IF(VLOOKUP($B719,Показатели!$E:$W,19,FALSE)=0,"",VLOOKUP($B719,Показатели!$E:$W,19,FALSE)),"")</f>
        <v/>
      </c>
    </row>
    <row r="720" spans="1:22" x14ac:dyDescent="0.2">
      <c r="A720" s="7" t="s">
        <v>2266</v>
      </c>
      <c r="B720" t="str">
        <f t="shared" si="11"/>
        <v>WUSH IV кв. 2011</v>
      </c>
      <c r="C720">
        <v>2011</v>
      </c>
      <c r="D720">
        <f>SUMIFS(Дивиденды!$C:$C,Дивиденды!$A:$A,A720,Дивиденды!$I:$I,C720)</f>
        <v>0</v>
      </c>
      <c r="E720" t="str">
        <f>IFERROR(IF(VLOOKUP($B720,Показатели!$E:$W,2,FALSE)=0,"",VLOOKUP($B720,Показатели!$E:$W,2,FALSE)),"")</f>
        <v/>
      </c>
      <c r="F720" t="str">
        <f>IFERROR(IF(VLOOKUP($B720,Показатели!$E:$W,3,FALSE)=0,"",VLOOKUP($B720,Показатели!$E:$W,3,FALSE)),"")</f>
        <v/>
      </c>
      <c r="G720" t="str">
        <f>IFERROR(IF(VLOOKUP($B720,Показатели!$E:$W,4,FALSE)=0,"",VLOOKUP($B720,Показатели!$E:$W,4,FALSE)),"")</f>
        <v/>
      </c>
      <c r="H720" t="str">
        <f>IFERROR(IF(VLOOKUP($B720,Показатели!$E:$W,5,FALSE)=0,"",VLOOKUP($B720,Показатели!$E:$W,5,FALSE)),"")</f>
        <v/>
      </c>
      <c r="I720" t="str">
        <f>IFERROR(IF(VLOOKUP($B720,Показатели!$E:$W,6,FALSE)=0,"",VLOOKUP($B720,Показатели!$E:$W,6,FALSE)),"")</f>
        <v/>
      </c>
      <c r="J720" t="str">
        <f>IFERROR(IF(VLOOKUP($B720,Показатели!$E:$W,7,FALSE)=0,"",VLOOKUP($B720,Показатели!$E:$W,7,FALSE)),"")</f>
        <v/>
      </c>
      <c r="K720" t="str">
        <f>IFERROR(IF(VLOOKUP($B720,Показатели!$E:$W,8,FALSE)=0,"",VLOOKUP($B720,Показатели!$E:$W,8,FALSE)),"")</f>
        <v/>
      </c>
      <c r="L720" t="str">
        <f>IFERROR(IF(VLOOKUP($B720,Показатели!$E:$W,9,FALSE)=0,"",VLOOKUP($B720,Показатели!$E:$W,9,FALSE)),"")</f>
        <v/>
      </c>
      <c r="M720" t="str">
        <f>IFERROR(IF(VLOOKUP($B720,Показатели!$E:$W,10,FALSE)=0,"",VLOOKUP($B720,Показатели!$E:$W,10,FALSE)),"")</f>
        <v/>
      </c>
      <c r="N720" t="str">
        <f>IFERROR(IF(VLOOKUP($B720,Показатели!$E:$W,11,FALSE)=0,"",VLOOKUP($B720,Показатели!$E:$W,11,FALSE)),"")</f>
        <v/>
      </c>
      <c r="O720" t="str">
        <f>IFERROR(IF(VLOOKUP($B720,Показатели!$E:$W,12,FALSE)=0,"",VLOOKUP($B720,Показатели!$E:$W,12,FALSE)),"")</f>
        <v/>
      </c>
      <c r="P720" t="str">
        <f>IFERROR(IF(VLOOKUP($B720,Показатели!$E:$W,13,FALSE)=0,"",VLOOKUP($B720,Показатели!$E:$W,13,FALSE)),"")</f>
        <v/>
      </c>
      <c r="Q720" t="str">
        <f>IFERROR(IF(VLOOKUP($B720,Показатели!$E:$W,14,FALSE)=0,"",VLOOKUP($B720,Показатели!$E:$W,14,FALSE)),"")</f>
        <v/>
      </c>
      <c r="R720" t="str">
        <f>IFERROR(IF(VLOOKUP($B720,Показатели!$E:$W,15,FALSE)=0,"",VLOOKUP($B720,Показатели!$E:$W,15,FALSE)),"")</f>
        <v/>
      </c>
      <c r="S720" t="str">
        <f>IFERROR(IF(VLOOKUP($B720,Показатели!$E:$W,16,FALSE)=0,"",VLOOKUP($B720,Показатели!$E:$W,16,FALSE)),"")</f>
        <v/>
      </c>
      <c r="T720" t="str">
        <f>IFERROR(IF(VLOOKUP($B720,Показатели!$E:$W,17,FALSE)=0,"",VLOOKUP($B720,Показатели!$E:$W,17,FALSE)),"")</f>
        <v/>
      </c>
      <c r="U720" t="str">
        <f>IFERROR(IF(VLOOKUP($B720,Показатели!$E:$W,18,FALSE)=0,"",VLOOKUP($B720,Показатели!$E:$W,18,FALSE)),"")</f>
        <v/>
      </c>
      <c r="V720" t="str">
        <f>IFERROR(IF(VLOOKUP($B720,Показатели!$E:$W,19,FALSE)=0,"",VLOOKUP($B720,Показатели!$E:$W,19,FALSE)),"")</f>
        <v/>
      </c>
    </row>
    <row r="721" spans="1:22" x14ac:dyDescent="0.2">
      <c r="A721" s="7" t="s">
        <v>2266</v>
      </c>
      <c r="B721" t="str">
        <f t="shared" si="11"/>
        <v>WUSH IV кв. 2010</v>
      </c>
      <c r="C721">
        <v>2010</v>
      </c>
      <c r="D721">
        <f>SUMIFS(Дивиденды!$C:$C,Дивиденды!$A:$A,A721,Дивиденды!$I:$I,C721)</f>
        <v>0</v>
      </c>
      <c r="E721" t="str">
        <f>IFERROR(IF(VLOOKUP($B721,Показатели!$E:$W,2,FALSE)=0,"",VLOOKUP($B721,Показатели!$E:$W,2,FALSE)),"")</f>
        <v/>
      </c>
      <c r="F721" t="str">
        <f>IFERROR(IF(VLOOKUP($B721,Показатели!$E:$W,3,FALSE)=0,"",VLOOKUP($B721,Показатели!$E:$W,3,FALSE)),"")</f>
        <v/>
      </c>
      <c r="G721" t="str">
        <f>IFERROR(IF(VLOOKUP($B721,Показатели!$E:$W,4,FALSE)=0,"",VLOOKUP($B721,Показатели!$E:$W,4,FALSE)),"")</f>
        <v/>
      </c>
      <c r="H721" t="str">
        <f>IFERROR(IF(VLOOKUP($B721,Показатели!$E:$W,5,FALSE)=0,"",VLOOKUP($B721,Показатели!$E:$W,5,FALSE)),"")</f>
        <v/>
      </c>
      <c r="I721" t="str">
        <f>IFERROR(IF(VLOOKUP($B721,Показатели!$E:$W,6,FALSE)=0,"",VLOOKUP($B721,Показатели!$E:$W,6,FALSE)),"")</f>
        <v/>
      </c>
      <c r="J721" t="str">
        <f>IFERROR(IF(VLOOKUP($B721,Показатели!$E:$W,7,FALSE)=0,"",VLOOKUP($B721,Показатели!$E:$W,7,FALSE)),"")</f>
        <v/>
      </c>
      <c r="K721" t="str">
        <f>IFERROR(IF(VLOOKUP($B721,Показатели!$E:$W,8,FALSE)=0,"",VLOOKUP($B721,Показатели!$E:$W,8,FALSE)),"")</f>
        <v/>
      </c>
      <c r="L721" t="str">
        <f>IFERROR(IF(VLOOKUP($B721,Показатели!$E:$W,9,FALSE)=0,"",VLOOKUP($B721,Показатели!$E:$W,9,FALSE)),"")</f>
        <v/>
      </c>
      <c r="M721" t="str">
        <f>IFERROR(IF(VLOOKUP($B721,Показатели!$E:$W,10,FALSE)=0,"",VLOOKUP($B721,Показатели!$E:$W,10,FALSE)),"")</f>
        <v/>
      </c>
      <c r="N721" t="str">
        <f>IFERROR(IF(VLOOKUP($B721,Показатели!$E:$W,11,FALSE)=0,"",VLOOKUP($B721,Показатели!$E:$W,11,FALSE)),"")</f>
        <v/>
      </c>
      <c r="O721" t="str">
        <f>IFERROR(IF(VLOOKUP($B721,Показатели!$E:$W,12,FALSE)=0,"",VLOOKUP($B721,Показатели!$E:$W,12,FALSE)),"")</f>
        <v/>
      </c>
      <c r="P721" t="str">
        <f>IFERROR(IF(VLOOKUP($B721,Показатели!$E:$W,13,FALSE)=0,"",VLOOKUP($B721,Показатели!$E:$W,13,FALSE)),"")</f>
        <v/>
      </c>
      <c r="Q721" t="str">
        <f>IFERROR(IF(VLOOKUP($B721,Показатели!$E:$W,14,FALSE)=0,"",VLOOKUP($B721,Показатели!$E:$W,14,FALSE)),"")</f>
        <v/>
      </c>
      <c r="R721" t="str">
        <f>IFERROR(IF(VLOOKUP($B721,Показатели!$E:$W,15,FALSE)=0,"",VLOOKUP($B721,Показатели!$E:$W,15,FALSE)),"")</f>
        <v/>
      </c>
      <c r="S721" t="str">
        <f>IFERROR(IF(VLOOKUP($B721,Показатели!$E:$W,16,FALSE)=0,"",VLOOKUP($B721,Показатели!$E:$W,16,FALSE)),"")</f>
        <v/>
      </c>
      <c r="T721" t="str">
        <f>IFERROR(IF(VLOOKUP($B721,Показатели!$E:$W,17,FALSE)=0,"",VLOOKUP($B721,Показатели!$E:$W,17,FALSE)),"")</f>
        <v/>
      </c>
      <c r="U721" t="str">
        <f>IFERROR(IF(VLOOKUP($B721,Показатели!$E:$W,18,FALSE)=0,"",VLOOKUP($B721,Показатели!$E:$W,18,FALSE)),"")</f>
        <v/>
      </c>
      <c r="V721" t="str">
        <f>IFERROR(IF(VLOOKUP($B721,Показатели!$E:$W,19,FALSE)=0,"",VLOOKUP($B721,Показатели!$E:$W,19,FALSE)),"")</f>
        <v/>
      </c>
    </row>
    <row r="722" spans="1:22" x14ac:dyDescent="0.2">
      <c r="A722" s="7" t="s">
        <v>2268</v>
      </c>
      <c r="B722" t="str">
        <f t="shared" si="11"/>
        <v>X5 IV кв. 2025</v>
      </c>
      <c r="C722">
        <v>2025</v>
      </c>
      <c r="D722">
        <f>SUMIFS(Дивиденды!$C:$C,Дивиденды!$A:$A,A722,Дивиденды!$I:$I,C722)</f>
        <v>368</v>
      </c>
      <c r="E722">
        <f>IFERROR(IF(VLOOKUP($B722,Показатели!$E:$W,2,FALSE)=0,"",VLOOKUP($B722,Показатели!$E:$W,2,FALSE)),"")</f>
        <v>178454000000</v>
      </c>
      <c r="F722">
        <f>IFERROR(IF(VLOOKUP($B722,Показатели!$E:$W,3,FALSE)=0,"",VLOOKUP($B722,Показатели!$E:$W,3,FALSE)),"")</f>
        <v>593982000000</v>
      </c>
      <c r="G722">
        <f>IFERROR(IF(VLOOKUP($B722,Показатели!$E:$W,4,FALSE)=0,"",VLOOKUP($B722,Показатели!$E:$W,4,FALSE)),"")</f>
        <v>513535000000</v>
      </c>
      <c r="H722">
        <f>IFERROR(IF(VLOOKUP($B722,Показатели!$E:$W,5,FALSE)=0,"",VLOOKUP($B722,Показатели!$E:$W,5,FALSE)),"")</f>
        <v>184512000000</v>
      </c>
      <c r="I722">
        <f>IFERROR(IF(VLOOKUP($B722,Показатели!$E:$W,6,FALSE)=0,"",VLOOKUP($B722,Показатели!$E:$W,6,FALSE)),"")</f>
        <v>1925482000000</v>
      </c>
      <c r="J722">
        <f>IFERROR(IF(VLOOKUP($B722,Показатели!$E:$W,7,FALSE)=0,"",VLOOKUP($B722,Показатели!$E:$W,7,FALSE)),"")</f>
        <v>885447000000</v>
      </c>
      <c r="K722">
        <f>IFERROR(IF(VLOOKUP($B722,Показатели!$E:$W,8,FALSE)=0,"",VLOOKUP($B722,Показатели!$E:$W,8,FALSE)),"")</f>
        <v>943124000000</v>
      </c>
      <c r="L722">
        <f>IFERROR(IF(VLOOKUP($B722,Показатели!$E:$W,9,FALSE)=0,"",VLOOKUP($B722,Показатели!$E:$W,9,FALSE)),"")</f>
        <v>152630000000</v>
      </c>
      <c r="M722">
        <f>IFERROR(IF(VLOOKUP($B722,Показатели!$E:$W,10,FALSE)=0,"",VLOOKUP($B722,Показатели!$E:$W,10,FALSE)),"")</f>
        <v>96911000000</v>
      </c>
      <c r="N722">
        <f>IFERROR(IF(VLOOKUP($B722,Показатели!$E:$W,11,FALSE)=0,"",VLOOKUP($B722,Показатели!$E:$W,11,FALSE)),"")</f>
        <v>4642034000000</v>
      </c>
      <c r="O722">
        <f>IFERROR(IF(VLOOKUP($B722,Показатели!$E:$W,12,FALSE)=0,"",VLOOKUP($B722,Показатели!$E:$W,12,FALSE)),"")</f>
        <v>247644000000</v>
      </c>
      <c r="P722">
        <f>IFERROR(IF(VLOOKUP($B722,Показатели!$E:$W,13,FALSE)=0,"",VLOOKUP($B722,Показатели!$E:$W,13,FALSE)),"")</f>
        <v>108788000000</v>
      </c>
      <c r="Q722">
        <f>IFERROR(IF(VLOOKUP($B722,Показатели!$E:$W,14,FALSE)=0,"",VLOOKUP($B722,Показатели!$E:$W,14,FALSE)),"")</f>
        <v>83189000000</v>
      </c>
      <c r="R722">
        <f>IFERROR(IF(VLOOKUP($B722,Показатели!$E:$W,15,FALSE)=0,"",VLOOKUP($B722,Показатели!$E:$W,15,FALSE)),"")</f>
        <v>193032000000</v>
      </c>
      <c r="S722">
        <f>IFERROR(IF(VLOOKUP($B722,Показатели!$E:$W,16,FALSE)=0,"",VLOOKUP($B722,Показатели!$E:$W,16,FALSE)),"")</f>
        <v>273109000000</v>
      </c>
      <c r="T722">
        <f>IFERROR(IF(VLOOKUP($B722,Показатели!$E:$W,17,FALSE)=0,"",VLOOKUP($B722,Показатели!$E:$W,17,FALSE)),"")</f>
        <v>-214021000000</v>
      </c>
      <c r="U722">
        <f>IFERROR(IF(VLOOKUP($B722,Показатели!$E:$W,18,FALSE)=0,"",VLOOKUP($B722,Показатели!$E:$W,18,FALSE)),"")</f>
        <v>3908047000000</v>
      </c>
      <c r="V722">
        <f>IFERROR(IF(VLOOKUP($B722,Показатели!$E:$W,19,FALSE)=0,"",VLOOKUP($B722,Показатели!$E:$W,19,FALSE)),"")</f>
        <v>1843135000000</v>
      </c>
    </row>
    <row r="723" spans="1:22" x14ac:dyDescent="0.2">
      <c r="A723" s="7" t="s">
        <v>2268</v>
      </c>
      <c r="B723" t="str">
        <f t="shared" si="11"/>
        <v>X5 IV кв. 2024</v>
      </c>
      <c r="C723">
        <v>2024</v>
      </c>
      <c r="D723">
        <f>SUMIFS(Дивиденды!$C:$C,Дивиденды!$A:$A,A723,Дивиденды!$I:$I,C723)</f>
        <v>648</v>
      </c>
      <c r="E723">
        <f>IFERROR(IF(VLOOKUP($B723,Показатели!$E:$W,2,FALSE)=0,"",VLOOKUP($B723,Показатели!$E:$W,2,FALSE)),"")</f>
        <v>67933000000</v>
      </c>
      <c r="F723">
        <f>IFERROR(IF(VLOOKUP($B723,Показатели!$E:$W,3,FALSE)=0,"",VLOOKUP($B723,Показатели!$E:$W,3,FALSE)),"")</f>
        <v>645597000000</v>
      </c>
      <c r="G723">
        <f>IFERROR(IF(VLOOKUP($B723,Показатели!$E:$W,4,FALSE)=0,"",VLOOKUP($B723,Показатели!$E:$W,4,FALSE)),"")</f>
        <v>421511000000</v>
      </c>
      <c r="H723">
        <f>IFERROR(IF(VLOOKUP($B723,Показатели!$E:$W,5,FALSE)=0,"",VLOOKUP($B723,Показатели!$E:$W,5,FALSE)),"")</f>
        <v>172817000000</v>
      </c>
      <c r="I723">
        <f>IFERROR(IF(VLOOKUP($B723,Показатели!$E:$W,6,FALSE)=0,"",VLOOKUP($B723,Показатели!$E:$W,6,FALSE)),"")</f>
        <v>1843135000000</v>
      </c>
      <c r="J723">
        <f>IFERROR(IF(VLOOKUP($B723,Показатели!$E:$W,7,FALSE)=0,"",VLOOKUP($B723,Показатели!$E:$W,7,FALSE)),"")</f>
        <v>837841000000</v>
      </c>
      <c r="K723">
        <f>IFERROR(IF(VLOOKUP($B723,Показатели!$E:$W,8,FALSE)=0,"",VLOOKUP($B723,Показатели!$E:$W,8,FALSE)),"")</f>
        <v>734106000000</v>
      </c>
      <c r="L723">
        <f>IFERROR(IF(VLOOKUP($B723,Показатели!$E:$W,9,FALSE)=0,"",VLOOKUP($B723,Показатели!$E:$W,9,FALSE)),"")</f>
        <v>318591000000</v>
      </c>
      <c r="M723">
        <f>IFERROR(IF(VLOOKUP($B723,Показатели!$E:$W,10,FALSE)=0,"",VLOOKUP($B723,Показатели!$E:$W,10,FALSE)),"")</f>
        <v>271188000000</v>
      </c>
      <c r="N723">
        <f>IFERROR(IF(VLOOKUP($B723,Показатели!$E:$W,11,FALSE)=0,"",VLOOKUP($B723,Показатели!$E:$W,11,FALSE)),"")</f>
        <v>3908047000000</v>
      </c>
      <c r="O723">
        <f>IFERROR(IF(VLOOKUP($B723,Показатели!$E:$W,12,FALSE)=0,"",VLOOKUP($B723,Показатели!$E:$W,12,FALSE)),"")</f>
        <v>218138000000</v>
      </c>
      <c r="P723">
        <f>IFERROR(IF(VLOOKUP($B723,Показатели!$E:$W,13,FALSE)=0,"",VLOOKUP($B723,Показатели!$E:$W,13,FALSE)),"")</f>
        <v>127475000000</v>
      </c>
      <c r="Q723">
        <f>IFERROR(IF(VLOOKUP($B723,Показатели!$E:$W,14,FALSE)=0,"",VLOOKUP($B723,Показатели!$E:$W,14,FALSE)),"")</f>
        <v>104064000000</v>
      </c>
      <c r="R723">
        <f>IFERROR(IF(VLOOKUP($B723,Показатели!$E:$W,15,FALSE)=0,"",VLOOKUP($B723,Показатели!$E:$W,15,FALSE)),"")</f>
        <v>181252000000</v>
      </c>
      <c r="S723">
        <f>IFERROR(IF(VLOOKUP($B723,Показатели!$E:$W,16,FALSE)=0,"",VLOOKUP($B723,Показатели!$E:$W,16,FALSE)),"")</f>
        <v>256141000000</v>
      </c>
      <c r="T723">
        <f>IFERROR(IF(VLOOKUP($B723,Показатели!$E:$W,17,FALSE)=0,"",VLOOKUP($B723,Показатели!$E:$W,17,FALSE)),"")</f>
        <v>-157212000000</v>
      </c>
      <c r="U723">
        <f>IFERROR(IF(VLOOKUP($B723,Показатели!$E:$W,18,FALSE)=0,"",VLOOKUP($B723,Показатели!$E:$W,18,FALSE)),"")</f>
        <v>3145859000000</v>
      </c>
      <c r="V723">
        <f>IFERROR(IF(VLOOKUP($B723,Показатели!$E:$W,19,FALSE)=0,"",VLOOKUP($B723,Показатели!$E:$W,19,FALSE)),"")</f>
        <v>1590281000000</v>
      </c>
    </row>
    <row r="724" spans="1:22" x14ac:dyDescent="0.2">
      <c r="A724" s="7" t="s">
        <v>2268</v>
      </c>
      <c r="B724" t="str">
        <f t="shared" si="11"/>
        <v>X5 IV кв. 2023</v>
      </c>
      <c r="C724">
        <v>2023</v>
      </c>
      <c r="D724">
        <f>SUMIFS(Дивиденды!$C:$C,Дивиденды!$A:$A,A724,Дивиденды!$I:$I,C724)</f>
        <v>0</v>
      </c>
      <c r="E724">
        <f>IFERROR(IF(VLOOKUP($B724,Показатели!$E:$W,2,FALSE)=0,"",VLOOKUP($B724,Показатели!$E:$W,2,FALSE)),"")</f>
        <v>39104000000</v>
      </c>
      <c r="F724">
        <f>IFERROR(IF(VLOOKUP($B724,Показатели!$E:$W,3,FALSE)=0,"",VLOOKUP($B724,Показатели!$E:$W,3,FALSE)),"")</f>
        <v>447821000000</v>
      </c>
      <c r="G724">
        <f>IFERROR(IF(VLOOKUP($B724,Показатели!$E:$W,4,FALSE)=0,"",VLOOKUP($B724,Показатели!$E:$W,4,FALSE)),"")</f>
        <v>364391000000</v>
      </c>
      <c r="H724">
        <f>IFERROR(IF(VLOOKUP($B724,Показатели!$E:$W,5,FALSE)=0,"",VLOOKUP($B724,Показатели!$E:$W,5,FALSE)),"")</f>
        <v>162263000000</v>
      </c>
      <c r="I724">
        <f>IFERROR(IF(VLOOKUP($B724,Показатели!$E:$W,6,FALSE)=0,"",VLOOKUP($B724,Показатели!$E:$W,6,FALSE)),"")</f>
        <v>1590281000000</v>
      </c>
      <c r="J724">
        <f>IFERROR(IF(VLOOKUP($B724,Показатели!$E:$W,7,FALSE)=0,"",VLOOKUP($B724,Показатели!$E:$W,7,FALSE)),"")</f>
        <v>637896000000</v>
      </c>
      <c r="K724">
        <f>IFERROR(IF(VLOOKUP($B724,Показатели!$E:$W,8,FALSE)=0,"",VLOOKUP($B724,Показатели!$E:$W,8,FALSE)),"")</f>
        <v>734806000000</v>
      </c>
      <c r="L724">
        <f>IFERROR(IF(VLOOKUP($B724,Показатели!$E:$W,9,FALSE)=0,"",VLOOKUP($B724,Показатели!$E:$W,9,FALSE)),"")</f>
        <v>215277000000</v>
      </c>
      <c r="M724">
        <f>IFERROR(IF(VLOOKUP($B724,Показатели!$E:$W,10,FALSE)=0,"",VLOOKUP($B724,Показатели!$E:$W,10,FALSE)),"")</f>
        <v>217579000000</v>
      </c>
      <c r="N724">
        <f>IFERROR(IF(VLOOKUP($B724,Показатели!$E:$W,11,FALSE)=0,"",VLOOKUP($B724,Показатели!$E:$W,11,FALSE)),"")</f>
        <v>3145859000000</v>
      </c>
      <c r="O724">
        <f>IFERROR(IF(VLOOKUP($B724,Показатели!$E:$W,12,FALSE)=0,"",VLOOKUP($B724,Показатели!$E:$W,12,FALSE)),"")</f>
        <v>178873000000</v>
      </c>
      <c r="P724">
        <f>IFERROR(IF(VLOOKUP($B724,Показатели!$E:$W,13,FALSE)=0,"",VLOOKUP($B724,Показатели!$E:$W,13,FALSE)),"")</f>
        <v>103916000000</v>
      </c>
      <c r="Q724">
        <f>IFERROR(IF(VLOOKUP($B724,Показатели!$E:$W,14,FALSE)=0,"",VLOOKUP($B724,Показатели!$E:$W,14,FALSE)),"")</f>
        <v>78611000000</v>
      </c>
      <c r="R724">
        <f>IFERROR(IF(VLOOKUP($B724,Показатели!$E:$W,15,FALSE)=0,"",VLOOKUP($B724,Показатели!$E:$W,15,FALSE)),"")</f>
        <v>165956000000</v>
      </c>
      <c r="S724">
        <f>IFERROR(IF(VLOOKUP($B724,Показатели!$E:$W,16,FALSE)=0,"",VLOOKUP($B724,Показатели!$E:$W,16,FALSE)),"")</f>
        <v>220387000000</v>
      </c>
      <c r="T724">
        <f>IFERROR(IF(VLOOKUP($B724,Показатели!$E:$W,17,FALSE)=0,"",VLOOKUP($B724,Показатели!$E:$W,17,FALSE)),"")</f>
        <v>-117684000000</v>
      </c>
      <c r="U724">
        <f>IFERROR(IF(VLOOKUP($B724,Показатели!$E:$W,18,FALSE)=0,"",VLOOKUP($B724,Показатели!$E:$W,18,FALSE)),"")</f>
        <v>2605206000000</v>
      </c>
      <c r="V724">
        <f>IFERROR(IF(VLOOKUP($B724,Показатели!$E:$W,19,FALSE)=0,"",VLOOKUP($B724,Показатели!$E:$W,19,FALSE)),"")</f>
        <v>1368490000000</v>
      </c>
    </row>
    <row r="725" spans="1:22" x14ac:dyDescent="0.2">
      <c r="A725" s="7" t="s">
        <v>2268</v>
      </c>
      <c r="B725" t="str">
        <f t="shared" si="11"/>
        <v>X5 IV кв. 2022</v>
      </c>
      <c r="C725">
        <v>2022</v>
      </c>
      <c r="D725">
        <f>SUMIFS(Дивиденды!$C:$C,Дивиденды!$A:$A,A725,Дивиденды!$I:$I,C725)</f>
        <v>0</v>
      </c>
      <c r="E725">
        <f>IFERROR(IF(VLOOKUP($B725,Показатели!$E:$W,2,FALSE)=0,"",VLOOKUP($B725,Показатели!$E:$W,2,FALSE)),"")</f>
        <v>41732000000</v>
      </c>
      <c r="F725">
        <f>IFERROR(IF(VLOOKUP($B725,Показатели!$E:$W,3,FALSE)=0,"",VLOOKUP($B725,Показатели!$E:$W,3,FALSE)),"")</f>
        <v>347947000000</v>
      </c>
      <c r="G725">
        <f>IFERROR(IF(VLOOKUP($B725,Показатели!$E:$W,4,FALSE)=0,"",VLOOKUP($B725,Показатели!$E:$W,4,FALSE)),"")</f>
        <v>315604000000</v>
      </c>
      <c r="H725">
        <f>IFERROR(IF(VLOOKUP($B725,Показатели!$E:$W,5,FALSE)=0,"",VLOOKUP($B725,Показатели!$E:$W,5,FALSE)),"")</f>
        <v>151256000000</v>
      </c>
      <c r="I725">
        <f>IFERROR(IF(VLOOKUP($B725,Показатели!$E:$W,6,FALSE)=0,"",VLOOKUP($B725,Показатели!$E:$W,6,FALSE)),"")</f>
        <v>1368490000000</v>
      </c>
      <c r="J725">
        <f>IFERROR(IF(VLOOKUP($B725,Показатели!$E:$W,7,FALSE)=0,"",VLOOKUP($B725,Показатели!$E:$W,7,FALSE)),"")</f>
        <v>546672000000</v>
      </c>
      <c r="K725">
        <f>IFERROR(IF(VLOOKUP($B725,Показатели!$E:$W,8,FALSE)=0,"",VLOOKUP($B725,Показатели!$E:$W,8,FALSE)),"")</f>
        <v>680455000000</v>
      </c>
      <c r="L725">
        <f>IFERROR(IF(VLOOKUP($B725,Показатели!$E:$W,9,FALSE)=0,"",VLOOKUP($B725,Показатели!$E:$W,9,FALSE)),"")</f>
        <v>136978000000</v>
      </c>
      <c r="M725">
        <f>IFERROR(IF(VLOOKUP($B725,Показатели!$E:$W,10,FALSE)=0,"",VLOOKUP($B725,Показатели!$E:$W,10,FALSE)),"")</f>
        <v>141363000000</v>
      </c>
      <c r="N725">
        <f>IFERROR(IF(VLOOKUP($B725,Показатели!$E:$W,11,FALSE)=0,"",VLOOKUP($B725,Показатели!$E:$W,11,FALSE)),"")</f>
        <v>2605206000000</v>
      </c>
      <c r="O725">
        <f>IFERROR(IF(VLOOKUP($B725,Показатели!$E:$W,12,FALSE)=0,"",VLOOKUP($B725,Показатели!$E:$W,12,FALSE)),"")</f>
        <v>139164000000</v>
      </c>
      <c r="P725">
        <f>IFERROR(IF(VLOOKUP($B725,Показатели!$E:$W,13,FALSE)=0,"",VLOOKUP($B725,Показатели!$E:$W,13,FALSE)),"")</f>
        <v>66032000000</v>
      </c>
      <c r="Q725">
        <f>IFERROR(IF(VLOOKUP($B725,Показатели!$E:$W,14,FALSE)=0,"",VLOOKUP($B725,Показатели!$E:$W,14,FALSE)),"")</f>
        <v>44144000000</v>
      </c>
      <c r="R725">
        <f>IFERROR(IF(VLOOKUP($B725,Показатели!$E:$W,15,FALSE)=0,"",VLOOKUP($B725,Показатели!$E:$W,15,FALSE)),"")</f>
        <v>164731000000</v>
      </c>
      <c r="S725">
        <f>IFERROR(IF(VLOOKUP($B725,Показатели!$E:$W,16,FALSE)=0,"",VLOOKUP($B725,Показатели!$E:$W,16,FALSE)),"")</f>
        <v>190332000000</v>
      </c>
      <c r="T725">
        <f>IFERROR(IF(VLOOKUP($B725,Показатели!$E:$W,17,FALSE)=0,"",VLOOKUP($B725,Показатели!$E:$W,17,FALSE)),"")</f>
        <v>-74624000000</v>
      </c>
      <c r="U725">
        <f>IFERROR(IF(VLOOKUP($B725,Показатели!$E:$W,18,FALSE)=0,"",VLOOKUP($B725,Показатели!$E:$W,18,FALSE)),"")</f>
        <v>2204814000000</v>
      </c>
      <c r="V725">
        <f>IFERROR(IF(VLOOKUP($B725,Показатели!$E:$W,19,FALSE)=0,"",VLOOKUP($B725,Показатели!$E:$W,19,FALSE)),"")</f>
        <v>1257470000000</v>
      </c>
    </row>
    <row r="726" spans="1:22" x14ac:dyDescent="0.2">
      <c r="A726" s="7" t="s">
        <v>2268</v>
      </c>
      <c r="B726" t="str">
        <f t="shared" si="11"/>
        <v>X5 IV кв. 2021</v>
      </c>
      <c r="C726">
        <v>2021</v>
      </c>
      <c r="D726">
        <f>SUMIFS(Дивиденды!$C:$C,Дивиденды!$A:$A,A726,Дивиденды!$I:$I,C726)</f>
        <v>0</v>
      </c>
      <c r="E726">
        <f>IFERROR(IF(VLOOKUP($B726,Показатели!$E:$W,2,FALSE)=0,"",VLOOKUP($B726,Показатели!$E:$W,2,FALSE)),"")</f>
        <v>26011000000</v>
      </c>
      <c r="F726">
        <f>IFERROR(IF(VLOOKUP($B726,Показатели!$E:$W,3,FALSE)=0,"",VLOOKUP($B726,Показатели!$E:$W,3,FALSE)),"")</f>
        <v>229479000000</v>
      </c>
      <c r="G726">
        <f>IFERROR(IF(VLOOKUP($B726,Показатели!$E:$W,4,FALSE)=0,"",VLOOKUP($B726,Показатели!$E:$W,4,FALSE)),"")</f>
        <v>332133000000</v>
      </c>
      <c r="H726">
        <f>IFERROR(IF(VLOOKUP($B726,Показатели!$E:$W,5,FALSE)=0,"",VLOOKUP($B726,Показатели!$E:$W,5,FALSE)),"")</f>
        <v>144034000000</v>
      </c>
      <c r="I726">
        <f>IFERROR(IF(VLOOKUP($B726,Показатели!$E:$W,6,FALSE)=0,"",VLOOKUP($B726,Показатели!$E:$W,6,FALSE)),"")</f>
        <v>1257470000000</v>
      </c>
      <c r="J726">
        <f>IFERROR(IF(VLOOKUP($B726,Показатели!$E:$W,7,FALSE)=0,"",VLOOKUP($B726,Показатели!$E:$W,7,FALSE)),"")</f>
        <v>483278000000</v>
      </c>
      <c r="K726">
        <f>IFERROR(IF(VLOOKUP($B726,Показатели!$E:$W,8,FALSE)=0,"",VLOOKUP($B726,Показатели!$E:$W,8,FALSE)),"")</f>
        <v>726251000000</v>
      </c>
      <c r="L726">
        <f>IFERROR(IF(VLOOKUP($B726,Показатели!$E:$W,9,FALSE)=0,"",VLOOKUP($B726,Показатели!$E:$W,9,FALSE)),"")</f>
        <v>92823000000</v>
      </c>
      <c r="M726">
        <f>IFERROR(IF(VLOOKUP($B726,Показатели!$E:$W,10,FALSE)=0,"",VLOOKUP($B726,Показатели!$E:$W,10,FALSE)),"")</f>
        <v>47941000000</v>
      </c>
      <c r="N726">
        <f>IFERROR(IF(VLOOKUP($B726,Показатели!$E:$W,11,FALSE)=0,"",VLOOKUP($B726,Показатели!$E:$W,11,FALSE)),"")</f>
        <v>2204814000000</v>
      </c>
      <c r="O726">
        <f>IFERROR(IF(VLOOKUP($B726,Показатели!$E:$W,12,FALSE)=0,"",VLOOKUP($B726,Показатели!$E:$W,12,FALSE)),"")</f>
        <v>117839000000</v>
      </c>
      <c r="P726">
        <f>IFERROR(IF(VLOOKUP($B726,Показатели!$E:$W,13,FALSE)=0,"",VLOOKUP($B726,Показатели!$E:$W,13,FALSE)),"")</f>
        <v>61081000000</v>
      </c>
      <c r="Q726">
        <f>IFERROR(IF(VLOOKUP($B726,Показатели!$E:$W,14,FALSE)=0,"",VLOOKUP($B726,Показатели!$E:$W,14,FALSE)),"")</f>
        <v>46628000000</v>
      </c>
      <c r="R726">
        <f>IFERROR(IF(VLOOKUP($B726,Показатели!$E:$W,15,FALSE)=0,"",VLOOKUP($B726,Показатели!$E:$W,15,FALSE)),"")</f>
        <v>150273000000</v>
      </c>
      <c r="S726">
        <f>IFERROR(IF(VLOOKUP($B726,Показатели!$E:$W,16,FALSE)=0,"",VLOOKUP($B726,Показатели!$E:$W,16,FALSE)),"")</f>
        <v>164207000000</v>
      </c>
      <c r="T726">
        <f>IFERROR(IF(VLOOKUP($B726,Показатели!$E:$W,17,FALSE)=0,"",VLOOKUP($B726,Показатели!$E:$W,17,FALSE)),"")</f>
        <v>-92316000000</v>
      </c>
      <c r="U726" t="str">
        <f>IFERROR(IF(VLOOKUP($B726,Показатели!$E:$W,18,FALSE)=0,"",VLOOKUP($B726,Показатели!$E:$W,18,FALSE)),"")</f>
        <v/>
      </c>
      <c r="V726" t="str">
        <f>IFERROR(IF(VLOOKUP($B726,Показатели!$E:$W,19,FALSE)=0,"",VLOOKUP($B726,Показатели!$E:$W,19,FALSE)),"")</f>
        <v/>
      </c>
    </row>
    <row r="727" spans="1:22" x14ac:dyDescent="0.2">
      <c r="A727" s="7" t="s">
        <v>2268</v>
      </c>
      <c r="B727" t="str">
        <f t="shared" si="11"/>
        <v>X5 IV кв. 2020</v>
      </c>
      <c r="C727">
        <v>2020</v>
      </c>
      <c r="D727">
        <f>SUMIFS(Дивиденды!$C:$C,Дивиденды!$A:$A,A727,Дивиденды!$I:$I,C727)</f>
        <v>0</v>
      </c>
      <c r="E727" t="str">
        <f>IFERROR(IF(VLOOKUP($B727,Показатели!$E:$W,2,FALSE)=0,"",VLOOKUP($B727,Показатели!$E:$W,2,FALSE)),"")</f>
        <v/>
      </c>
      <c r="F727" t="str">
        <f>IFERROR(IF(VLOOKUP($B727,Показатели!$E:$W,3,FALSE)=0,"",VLOOKUP($B727,Показатели!$E:$W,3,FALSE)),"")</f>
        <v/>
      </c>
      <c r="G727" t="str">
        <f>IFERROR(IF(VLOOKUP($B727,Показатели!$E:$W,4,FALSE)=0,"",VLOOKUP($B727,Показатели!$E:$W,4,FALSE)),"")</f>
        <v/>
      </c>
      <c r="H727" t="str">
        <f>IFERROR(IF(VLOOKUP($B727,Показатели!$E:$W,5,FALSE)=0,"",VLOOKUP($B727,Показатели!$E:$W,5,FALSE)),"")</f>
        <v/>
      </c>
      <c r="I727" t="str">
        <f>IFERROR(IF(VLOOKUP($B727,Показатели!$E:$W,6,FALSE)=0,"",VLOOKUP($B727,Показатели!$E:$W,6,FALSE)),"")</f>
        <v/>
      </c>
      <c r="J727" t="str">
        <f>IFERROR(IF(VLOOKUP($B727,Показатели!$E:$W,7,FALSE)=0,"",VLOOKUP($B727,Показатели!$E:$W,7,FALSE)),"")</f>
        <v/>
      </c>
      <c r="K727" t="str">
        <f>IFERROR(IF(VLOOKUP($B727,Показатели!$E:$W,8,FALSE)=0,"",VLOOKUP($B727,Показатели!$E:$W,8,FALSE)),"")</f>
        <v/>
      </c>
      <c r="L727" t="str">
        <f>IFERROR(IF(VLOOKUP($B727,Показатели!$E:$W,9,FALSE)=0,"",VLOOKUP($B727,Показатели!$E:$W,9,FALSE)),"")</f>
        <v/>
      </c>
      <c r="M727" t="str">
        <f>IFERROR(IF(VLOOKUP($B727,Показатели!$E:$W,10,FALSE)=0,"",VLOOKUP($B727,Показатели!$E:$W,10,FALSE)),"")</f>
        <v/>
      </c>
      <c r="N727" t="str">
        <f>IFERROR(IF(VLOOKUP($B727,Показатели!$E:$W,11,FALSE)=0,"",VLOOKUP($B727,Показатели!$E:$W,11,FALSE)),"")</f>
        <v/>
      </c>
      <c r="O727" t="str">
        <f>IFERROR(IF(VLOOKUP($B727,Показатели!$E:$W,12,FALSE)=0,"",VLOOKUP($B727,Показатели!$E:$W,12,FALSE)),"")</f>
        <v/>
      </c>
      <c r="P727" t="str">
        <f>IFERROR(IF(VLOOKUP($B727,Показатели!$E:$W,13,FALSE)=0,"",VLOOKUP($B727,Показатели!$E:$W,13,FALSE)),"")</f>
        <v/>
      </c>
      <c r="Q727" t="str">
        <f>IFERROR(IF(VLOOKUP($B727,Показатели!$E:$W,14,FALSE)=0,"",VLOOKUP($B727,Показатели!$E:$W,14,FALSE)),"")</f>
        <v/>
      </c>
      <c r="R727" t="str">
        <f>IFERROR(IF(VLOOKUP($B727,Показатели!$E:$W,15,FALSE)=0,"",VLOOKUP($B727,Показатели!$E:$W,15,FALSE)),"")</f>
        <v/>
      </c>
      <c r="S727" t="str">
        <f>IFERROR(IF(VLOOKUP($B727,Показатели!$E:$W,16,FALSE)=0,"",VLOOKUP($B727,Показатели!$E:$W,16,FALSE)),"")</f>
        <v/>
      </c>
      <c r="T727" t="str">
        <f>IFERROR(IF(VLOOKUP($B727,Показатели!$E:$W,17,FALSE)=0,"",VLOOKUP($B727,Показатели!$E:$W,17,FALSE)),"")</f>
        <v/>
      </c>
      <c r="U727" t="str">
        <f>IFERROR(IF(VLOOKUP($B727,Показатели!$E:$W,18,FALSE)=0,"",VLOOKUP($B727,Показатели!$E:$W,18,FALSE)),"")</f>
        <v/>
      </c>
      <c r="V727" t="str">
        <f>IFERROR(IF(VLOOKUP($B727,Показатели!$E:$W,19,FALSE)=0,"",VLOOKUP($B727,Показатели!$E:$W,19,FALSE)),"")</f>
        <v/>
      </c>
    </row>
    <row r="728" spans="1:22" x14ac:dyDescent="0.2">
      <c r="A728" s="7" t="s">
        <v>2268</v>
      </c>
      <c r="B728" t="str">
        <f t="shared" si="11"/>
        <v>X5 IV кв. 2019</v>
      </c>
      <c r="C728">
        <v>2019</v>
      </c>
      <c r="D728">
        <f>SUMIFS(Дивиденды!$C:$C,Дивиденды!$A:$A,A728,Дивиденды!$I:$I,C728)</f>
        <v>0</v>
      </c>
      <c r="E728" t="str">
        <f>IFERROR(IF(VLOOKUP($B728,Показатели!$E:$W,2,FALSE)=0,"",VLOOKUP($B728,Показатели!$E:$W,2,FALSE)),"")</f>
        <v/>
      </c>
      <c r="F728" t="str">
        <f>IFERROR(IF(VLOOKUP($B728,Показатели!$E:$W,3,FALSE)=0,"",VLOOKUP($B728,Показатели!$E:$W,3,FALSE)),"")</f>
        <v/>
      </c>
      <c r="G728" t="str">
        <f>IFERROR(IF(VLOOKUP($B728,Показатели!$E:$W,4,FALSE)=0,"",VLOOKUP($B728,Показатели!$E:$W,4,FALSE)),"")</f>
        <v/>
      </c>
      <c r="H728" t="str">
        <f>IFERROR(IF(VLOOKUP($B728,Показатели!$E:$W,5,FALSE)=0,"",VLOOKUP($B728,Показатели!$E:$W,5,FALSE)),"")</f>
        <v/>
      </c>
      <c r="I728" t="str">
        <f>IFERROR(IF(VLOOKUP($B728,Показатели!$E:$W,6,FALSE)=0,"",VLOOKUP($B728,Показатели!$E:$W,6,FALSE)),"")</f>
        <v/>
      </c>
      <c r="J728" t="str">
        <f>IFERROR(IF(VLOOKUP($B728,Показатели!$E:$W,7,FALSE)=0,"",VLOOKUP($B728,Показатели!$E:$W,7,FALSE)),"")</f>
        <v/>
      </c>
      <c r="K728" t="str">
        <f>IFERROR(IF(VLOOKUP($B728,Показатели!$E:$W,8,FALSE)=0,"",VLOOKUP($B728,Показатели!$E:$W,8,FALSE)),"")</f>
        <v/>
      </c>
      <c r="L728" t="str">
        <f>IFERROR(IF(VLOOKUP($B728,Показатели!$E:$W,9,FALSE)=0,"",VLOOKUP($B728,Показатели!$E:$W,9,FALSE)),"")</f>
        <v/>
      </c>
      <c r="M728" t="str">
        <f>IFERROR(IF(VLOOKUP($B728,Показатели!$E:$W,10,FALSE)=0,"",VLOOKUP($B728,Показатели!$E:$W,10,FALSE)),"")</f>
        <v/>
      </c>
      <c r="N728" t="str">
        <f>IFERROR(IF(VLOOKUP($B728,Показатели!$E:$W,11,FALSE)=0,"",VLOOKUP($B728,Показатели!$E:$W,11,FALSE)),"")</f>
        <v/>
      </c>
      <c r="O728" t="str">
        <f>IFERROR(IF(VLOOKUP($B728,Показатели!$E:$W,12,FALSE)=0,"",VLOOKUP($B728,Показатели!$E:$W,12,FALSE)),"")</f>
        <v/>
      </c>
      <c r="P728" t="str">
        <f>IFERROR(IF(VLOOKUP($B728,Показатели!$E:$W,13,FALSE)=0,"",VLOOKUP($B728,Показатели!$E:$W,13,FALSE)),"")</f>
        <v/>
      </c>
      <c r="Q728" t="str">
        <f>IFERROR(IF(VLOOKUP($B728,Показатели!$E:$W,14,FALSE)=0,"",VLOOKUP($B728,Показатели!$E:$W,14,FALSE)),"")</f>
        <v/>
      </c>
      <c r="R728" t="str">
        <f>IFERROR(IF(VLOOKUP($B728,Показатели!$E:$W,15,FALSE)=0,"",VLOOKUP($B728,Показатели!$E:$W,15,FALSE)),"")</f>
        <v/>
      </c>
      <c r="S728" t="str">
        <f>IFERROR(IF(VLOOKUP($B728,Показатели!$E:$W,16,FALSE)=0,"",VLOOKUP($B728,Показатели!$E:$W,16,FALSE)),"")</f>
        <v/>
      </c>
      <c r="T728" t="str">
        <f>IFERROR(IF(VLOOKUP($B728,Показатели!$E:$W,17,FALSE)=0,"",VLOOKUP($B728,Показатели!$E:$W,17,FALSE)),"")</f>
        <v/>
      </c>
      <c r="U728" t="str">
        <f>IFERROR(IF(VLOOKUP($B728,Показатели!$E:$W,18,FALSE)=0,"",VLOOKUP($B728,Показатели!$E:$W,18,FALSE)),"")</f>
        <v/>
      </c>
      <c r="V728" t="str">
        <f>IFERROR(IF(VLOOKUP($B728,Показатели!$E:$W,19,FALSE)=0,"",VLOOKUP($B728,Показатели!$E:$W,19,FALSE)),"")</f>
        <v/>
      </c>
    </row>
    <row r="729" spans="1:22" x14ac:dyDescent="0.2">
      <c r="A729" s="7" t="s">
        <v>2268</v>
      </c>
      <c r="B729" t="str">
        <f t="shared" si="11"/>
        <v>X5 IV кв. 2018</v>
      </c>
      <c r="C729">
        <v>2018</v>
      </c>
      <c r="D729">
        <f>SUMIFS(Дивиденды!$C:$C,Дивиденды!$A:$A,A729,Дивиденды!$I:$I,C729)</f>
        <v>0</v>
      </c>
      <c r="E729" t="str">
        <f>IFERROR(IF(VLOOKUP($B729,Показатели!$E:$W,2,FALSE)=0,"",VLOOKUP($B729,Показатели!$E:$W,2,FALSE)),"")</f>
        <v/>
      </c>
      <c r="F729" t="str">
        <f>IFERROR(IF(VLOOKUP($B729,Показатели!$E:$W,3,FALSE)=0,"",VLOOKUP($B729,Показатели!$E:$W,3,FALSE)),"")</f>
        <v/>
      </c>
      <c r="G729" t="str">
        <f>IFERROR(IF(VLOOKUP($B729,Показатели!$E:$W,4,FALSE)=0,"",VLOOKUP($B729,Показатели!$E:$W,4,FALSE)),"")</f>
        <v/>
      </c>
      <c r="H729" t="str">
        <f>IFERROR(IF(VLOOKUP($B729,Показатели!$E:$W,5,FALSE)=0,"",VLOOKUP($B729,Показатели!$E:$W,5,FALSE)),"")</f>
        <v/>
      </c>
      <c r="I729" t="str">
        <f>IFERROR(IF(VLOOKUP($B729,Показатели!$E:$W,6,FALSE)=0,"",VLOOKUP($B729,Показатели!$E:$W,6,FALSE)),"")</f>
        <v/>
      </c>
      <c r="J729" t="str">
        <f>IFERROR(IF(VLOOKUP($B729,Показатели!$E:$W,7,FALSE)=0,"",VLOOKUP($B729,Показатели!$E:$W,7,FALSE)),"")</f>
        <v/>
      </c>
      <c r="K729" t="str">
        <f>IFERROR(IF(VLOOKUP($B729,Показатели!$E:$W,8,FALSE)=0,"",VLOOKUP($B729,Показатели!$E:$W,8,FALSE)),"")</f>
        <v/>
      </c>
      <c r="L729" t="str">
        <f>IFERROR(IF(VLOOKUP($B729,Показатели!$E:$W,9,FALSE)=0,"",VLOOKUP($B729,Показатели!$E:$W,9,FALSE)),"")</f>
        <v/>
      </c>
      <c r="M729" t="str">
        <f>IFERROR(IF(VLOOKUP($B729,Показатели!$E:$W,10,FALSE)=0,"",VLOOKUP($B729,Показатели!$E:$W,10,FALSE)),"")</f>
        <v/>
      </c>
      <c r="N729" t="str">
        <f>IFERROR(IF(VLOOKUP($B729,Показатели!$E:$W,11,FALSE)=0,"",VLOOKUP($B729,Показатели!$E:$W,11,FALSE)),"")</f>
        <v/>
      </c>
      <c r="O729" t="str">
        <f>IFERROR(IF(VLOOKUP($B729,Показатели!$E:$W,12,FALSE)=0,"",VLOOKUP($B729,Показатели!$E:$W,12,FALSE)),"")</f>
        <v/>
      </c>
      <c r="P729" t="str">
        <f>IFERROR(IF(VLOOKUP($B729,Показатели!$E:$W,13,FALSE)=0,"",VLOOKUP($B729,Показатели!$E:$W,13,FALSE)),"")</f>
        <v/>
      </c>
      <c r="Q729" t="str">
        <f>IFERROR(IF(VLOOKUP($B729,Показатели!$E:$W,14,FALSE)=0,"",VLOOKUP($B729,Показатели!$E:$W,14,FALSE)),"")</f>
        <v/>
      </c>
      <c r="R729" t="str">
        <f>IFERROR(IF(VLOOKUP($B729,Показатели!$E:$W,15,FALSE)=0,"",VLOOKUP($B729,Показатели!$E:$W,15,FALSE)),"")</f>
        <v/>
      </c>
      <c r="S729" t="str">
        <f>IFERROR(IF(VLOOKUP($B729,Показатели!$E:$W,16,FALSE)=0,"",VLOOKUP($B729,Показатели!$E:$W,16,FALSE)),"")</f>
        <v/>
      </c>
      <c r="T729" t="str">
        <f>IFERROR(IF(VLOOKUP($B729,Показатели!$E:$W,17,FALSE)=0,"",VLOOKUP($B729,Показатели!$E:$W,17,FALSE)),"")</f>
        <v/>
      </c>
      <c r="U729" t="str">
        <f>IFERROR(IF(VLOOKUP($B729,Показатели!$E:$W,18,FALSE)=0,"",VLOOKUP($B729,Показатели!$E:$W,18,FALSE)),"")</f>
        <v/>
      </c>
      <c r="V729" t="str">
        <f>IFERROR(IF(VLOOKUP($B729,Показатели!$E:$W,19,FALSE)=0,"",VLOOKUP($B729,Показатели!$E:$W,19,FALSE)),"")</f>
        <v/>
      </c>
    </row>
    <row r="730" spans="1:22" x14ac:dyDescent="0.2">
      <c r="A730" s="7" t="s">
        <v>2268</v>
      </c>
      <c r="B730" t="str">
        <f t="shared" si="11"/>
        <v>X5 IV кв. 2017</v>
      </c>
      <c r="C730">
        <v>2017</v>
      </c>
      <c r="D730">
        <f>SUMIFS(Дивиденды!$C:$C,Дивиденды!$A:$A,A730,Дивиденды!$I:$I,C730)</f>
        <v>0</v>
      </c>
      <c r="E730" t="str">
        <f>IFERROR(IF(VLOOKUP($B730,Показатели!$E:$W,2,FALSE)=0,"",VLOOKUP($B730,Показатели!$E:$W,2,FALSE)),"")</f>
        <v/>
      </c>
      <c r="F730" t="str">
        <f>IFERROR(IF(VLOOKUP($B730,Показатели!$E:$W,3,FALSE)=0,"",VLOOKUP($B730,Показатели!$E:$W,3,FALSE)),"")</f>
        <v/>
      </c>
      <c r="G730" t="str">
        <f>IFERROR(IF(VLOOKUP($B730,Показатели!$E:$W,4,FALSE)=0,"",VLOOKUP($B730,Показатели!$E:$W,4,FALSE)),"")</f>
        <v/>
      </c>
      <c r="H730" t="str">
        <f>IFERROR(IF(VLOOKUP($B730,Показатели!$E:$W,5,FALSE)=0,"",VLOOKUP($B730,Показатели!$E:$W,5,FALSE)),"")</f>
        <v/>
      </c>
      <c r="I730" t="str">
        <f>IFERROR(IF(VLOOKUP($B730,Показатели!$E:$W,6,FALSE)=0,"",VLOOKUP($B730,Показатели!$E:$W,6,FALSE)),"")</f>
        <v/>
      </c>
      <c r="J730" t="str">
        <f>IFERROR(IF(VLOOKUP($B730,Показатели!$E:$W,7,FALSE)=0,"",VLOOKUP($B730,Показатели!$E:$W,7,FALSE)),"")</f>
        <v/>
      </c>
      <c r="K730" t="str">
        <f>IFERROR(IF(VLOOKUP($B730,Показатели!$E:$W,8,FALSE)=0,"",VLOOKUP($B730,Показатели!$E:$W,8,FALSE)),"")</f>
        <v/>
      </c>
      <c r="L730" t="str">
        <f>IFERROR(IF(VLOOKUP($B730,Показатели!$E:$W,9,FALSE)=0,"",VLOOKUP($B730,Показатели!$E:$W,9,FALSE)),"")</f>
        <v/>
      </c>
      <c r="M730" t="str">
        <f>IFERROR(IF(VLOOKUP($B730,Показатели!$E:$W,10,FALSE)=0,"",VLOOKUP($B730,Показатели!$E:$W,10,FALSE)),"")</f>
        <v/>
      </c>
      <c r="N730" t="str">
        <f>IFERROR(IF(VLOOKUP($B730,Показатели!$E:$W,11,FALSE)=0,"",VLOOKUP($B730,Показатели!$E:$W,11,FALSE)),"")</f>
        <v/>
      </c>
      <c r="O730" t="str">
        <f>IFERROR(IF(VLOOKUP($B730,Показатели!$E:$W,12,FALSE)=0,"",VLOOKUP($B730,Показатели!$E:$W,12,FALSE)),"")</f>
        <v/>
      </c>
      <c r="P730" t="str">
        <f>IFERROR(IF(VLOOKUP($B730,Показатели!$E:$W,13,FALSE)=0,"",VLOOKUP($B730,Показатели!$E:$W,13,FALSE)),"")</f>
        <v/>
      </c>
      <c r="Q730" t="str">
        <f>IFERROR(IF(VLOOKUP($B730,Показатели!$E:$W,14,FALSE)=0,"",VLOOKUP($B730,Показатели!$E:$W,14,FALSE)),"")</f>
        <v/>
      </c>
      <c r="R730" t="str">
        <f>IFERROR(IF(VLOOKUP($B730,Показатели!$E:$W,15,FALSE)=0,"",VLOOKUP($B730,Показатели!$E:$W,15,FALSE)),"")</f>
        <v/>
      </c>
      <c r="S730" t="str">
        <f>IFERROR(IF(VLOOKUP($B730,Показатели!$E:$W,16,FALSE)=0,"",VLOOKUP($B730,Показатели!$E:$W,16,FALSE)),"")</f>
        <v/>
      </c>
      <c r="T730" t="str">
        <f>IFERROR(IF(VLOOKUP($B730,Показатели!$E:$W,17,FALSE)=0,"",VLOOKUP($B730,Показатели!$E:$W,17,FALSE)),"")</f>
        <v/>
      </c>
      <c r="U730" t="str">
        <f>IFERROR(IF(VLOOKUP($B730,Показатели!$E:$W,18,FALSE)=0,"",VLOOKUP($B730,Показатели!$E:$W,18,FALSE)),"")</f>
        <v/>
      </c>
      <c r="V730" t="str">
        <f>IFERROR(IF(VLOOKUP($B730,Показатели!$E:$W,19,FALSE)=0,"",VLOOKUP($B730,Показатели!$E:$W,19,FALSE)),"")</f>
        <v/>
      </c>
    </row>
    <row r="731" spans="1:22" x14ac:dyDescent="0.2">
      <c r="A731" s="7" t="s">
        <v>2268</v>
      </c>
      <c r="B731" t="str">
        <f t="shared" si="11"/>
        <v>X5 IV кв. 2016</v>
      </c>
      <c r="C731">
        <v>2016</v>
      </c>
      <c r="D731">
        <f>SUMIFS(Дивиденды!$C:$C,Дивиденды!$A:$A,A731,Дивиденды!$I:$I,C731)</f>
        <v>0</v>
      </c>
      <c r="E731" t="str">
        <f>IFERROR(IF(VLOOKUP($B731,Показатели!$E:$W,2,FALSE)=0,"",VLOOKUP($B731,Показатели!$E:$W,2,FALSE)),"")</f>
        <v/>
      </c>
      <c r="F731" t="str">
        <f>IFERROR(IF(VLOOKUP($B731,Показатели!$E:$W,3,FALSE)=0,"",VLOOKUP($B731,Показатели!$E:$W,3,FALSE)),"")</f>
        <v/>
      </c>
      <c r="G731" t="str">
        <f>IFERROR(IF(VLOOKUP($B731,Показатели!$E:$W,4,FALSE)=0,"",VLOOKUP($B731,Показатели!$E:$W,4,FALSE)),"")</f>
        <v/>
      </c>
      <c r="H731" t="str">
        <f>IFERROR(IF(VLOOKUP($B731,Показатели!$E:$W,5,FALSE)=0,"",VLOOKUP($B731,Показатели!$E:$W,5,FALSE)),"")</f>
        <v/>
      </c>
      <c r="I731" t="str">
        <f>IFERROR(IF(VLOOKUP($B731,Показатели!$E:$W,6,FALSE)=0,"",VLOOKUP($B731,Показатели!$E:$W,6,FALSE)),"")</f>
        <v/>
      </c>
      <c r="J731" t="str">
        <f>IFERROR(IF(VLOOKUP($B731,Показатели!$E:$W,7,FALSE)=0,"",VLOOKUP($B731,Показатели!$E:$W,7,FALSE)),"")</f>
        <v/>
      </c>
      <c r="K731" t="str">
        <f>IFERROR(IF(VLOOKUP($B731,Показатели!$E:$W,8,FALSE)=0,"",VLOOKUP($B731,Показатели!$E:$W,8,FALSE)),"")</f>
        <v/>
      </c>
      <c r="L731" t="str">
        <f>IFERROR(IF(VLOOKUP($B731,Показатели!$E:$W,9,FALSE)=0,"",VLOOKUP($B731,Показатели!$E:$W,9,FALSE)),"")</f>
        <v/>
      </c>
      <c r="M731" t="str">
        <f>IFERROR(IF(VLOOKUP($B731,Показатели!$E:$W,10,FALSE)=0,"",VLOOKUP($B731,Показатели!$E:$W,10,FALSE)),"")</f>
        <v/>
      </c>
      <c r="N731" t="str">
        <f>IFERROR(IF(VLOOKUP($B731,Показатели!$E:$W,11,FALSE)=0,"",VLOOKUP($B731,Показатели!$E:$W,11,FALSE)),"")</f>
        <v/>
      </c>
      <c r="O731" t="str">
        <f>IFERROR(IF(VLOOKUP($B731,Показатели!$E:$W,12,FALSE)=0,"",VLOOKUP($B731,Показатели!$E:$W,12,FALSE)),"")</f>
        <v/>
      </c>
      <c r="P731" t="str">
        <f>IFERROR(IF(VLOOKUP($B731,Показатели!$E:$W,13,FALSE)=0,"",VLOOKUP($B731,Показатели!$E:$W,13,FALSE)),"")</f>
        <v/>
      </c>
      <c r="Q731" t="str">
        <f>IFERROR(IF(VLOOKUP($B731,Показатели!$E:$W,14,FALSE)=0,"",VLOOKUP($B731,Показатели!$E:$W,14,FALSE)),"")</f>
        <v/>
      </c>
      <c r="R731" t="str">
        <f>IFERROR(IF(VLOOKUP($B731,Показатели!$E:$W,15,FALSE)=0,"",VLOOKUP($B731,Показатели!$E:$W,15,FALSE)),"")</f>
        <v/>
      </c>
      <c r="S731" t="str">
        <f>IFERROR(IF(VLOOKUP($B731,Показатели!$E:$W,16,FALSE)=0,"",VLOOKUP($B731,Показатели!$E:$W,16,FALSE)),"")</f>
        <v/>
      </c>
      <c r="T731" t="str">
        <f>IFERROR(IF(VLOOKUP($B731,Показатели!$E:$W,17,FALSE)=0,"",VLOOKUP($B731,Показатели!$E:$W,17,FALSE)),"")</f>
        <v/>
      </c>
      <c r="U731" t="str">
        <f>IFERROR(IF(VLOOKUP($B731,Показатели!$E:$W,18,FALSE)=0,"",VLOOKUP($B731,Показатели!$E:$W,18,FALSE)),"")</f>
        <v/>
      </c>
      <c r="V731" t="str">
        <f>IFERROR(IF(VLOOKUP($B731,Показатели!$E:$W,19,FALSE)=0,"",VLOOKUP($B731,Показатели!$E:$W,19,FALSE)),"")</f>
        <v/>
      </c>
    </row>
    <row r="732" spans="1:22" x14ac:dyDescent="0.2">
      <c r="A732" s="7" t="s">
        <v>2268</v>
      </c>
      <c r="B732" t="str">
        <f t="shared" si="11"/>
        <v>X5 IV кв. 2015</v>
      </c>
      <c r="C732">
        <v>2015</v>
      </c>
      <c r="D732">
        <f>SUMIFS(Дивиденды!$C:$C,Дивиденды!$A:$A,A732,Дивиденды!$I:$I,C732)</f>
        <v>0</v>
      </c>
      <c r="E732" t="str">
        <f>IFERROR(IF(VLOOKUP($B732,Показатели!$E:$W,2,FALSE)=0,"",VLOOKUP($B732,Показатели!$E:$W,2,FALSE)),"")</f>
        <v/>
      </c>
      <c r="F732" t="str">
        <f>IFERROR(IF(VLOOKUP($B732,Показатели!$E:$W,3,FALSE)=0,"",VLOOKUP($B732,Показатели!$E:$W,3,FALSE)),"")</f>
        <v/>
      </c>
      <c r="G732" t="str">
        <f>IFERROR(IF(VLOOKUP($B732,Показатели!$E:$W,4,FALSE)=0,"",VLOOKUP($B732,Показатели!$E:$W,4,FALSE)),"")</f>
        <v/>
      </c>
      <c r="H732" t="str">
        <f>IFERROR(IF(VLOOKUP($B732,Показатели!$E:$W,5,FALSE)=0,"",VLOOKUP($B732,Показатели!$E:$W,5,FALSE)),"")</f>
        <v/>
      </c>
      <c r="I732" t="str">
        <f>IFERROR(IF(VLOOKUP($B732,Показатели!$E:$W,6,FALSE)=0,"",VLOOKUP($B732,Показатели!$E:$W,6,FALSE)),"")</f>
        <v/>
      </c>
      <c r="J732" t="str">
        <f>IFERROR(IF(VLOOKUP($B732,Показатели!$E:$W,7,FALSE)=0,"",VLOOKUP($B732,Показатели!$E:$W,7,FALSE)),"")</f>
        <v/>
      </c>
      <c r="K732" t="str">
        <f>IFERROR(IF(VLOOKUP($B732,Показатели!$E:$W,8,FALSE)=0,"",VLOOKUP($B732,Показатели!$E:$W,8,FALSE)),"")</f>
        <v/>
      </c>
      <c r="L732" t="str">
        <f>IFERROR(IF(VLOOKUP($B732,Показатели!$E:$W,9,FALSE)=0,"",VLOOKUP($B732,Показатели!$E:$W,9,FALSE)),"")</f>
        <v/>
      </c>
      <c r="M732" t="str">
        <f>IFERROR(IF(VLOOKUP($B732,Показатели!$E:$W,10,FALSE)=0,"",VLOOKUP($B732,Показатели!$E:$W,10,FALSE)),"")</f>
        <v/>
      </c>
      <c r="N732" t="str">
        <f>IFERROR(IF(VLOOKUP($B732,Показатели!$E:$W,11,FALSE)=0,"",VLOOKUP($B732,Показатели!$E:$W,11,FALSE)),"")</f>
        <v/>
      </c>
      <c r="O732" t="str">
        <f>IFERROR(IF(VLOOKUP($B732,Показатели!$E:$W,12,FALSE)=0,"",VLOOKUP($B732,Показатели!$E:$W,12,FALSE)),"")</f>
        <v/>
      </c>
      <c r="P732" t="str">
        <f>IFERROR(IF(VLOOKUP($B732,Показатели!$E:$W,13,FALSE)=0,"",VLOOKUP($B732,Показатели!$E:$W,13,FALSE)),"")</f>
        <v/>
      </c>
      <c r="Q732" t="str">
        <f>IFERROR(IF(VLOOKUP($B732,Показатели!$E:$W,14,FALSE)=0,"",VLOOKUP($B732,Показатели!$E:$W,14,FALSE)),"")</f>
        <v/>
      </c>
      <c r="R732" t="str">
        <f>IFERROR(IF(VLOOKUP($B732,Показатели!$E:$W,15,FALSE)=0,"",VLOOKUP($B732,Показатели!$E:$W,15,FALSE)),"")</f>
        <v/>
      </c>
      <c r="S732" t="str">
        <f>IFERROR(IF(VLOOKUP($B732,Показатели!$E:$W,16,FALSE)=0,"",VLOOKUP($B732,Показатели!$E:$W,16,FALSE)),"")</f>
        <v/>
      </c>
      <c r="T732" t="str">
        <f>IFERROR(IF(VLOOKUP($B732,Показатели!$E:$W,17,FALSE)=0,"",VLOOKUP($B732,Показатели!$E:$W,17,FALSE)),"")</f>
        <v/>
      </c>
      <c r="U732" t="str">
        <f>IFERROR(IF(VLOOKUP($B732,Показатели!$E:$W,18,FALSE)=0,"",VLOOKUP($B732,Показатели!$E:$W,18,FALSE)),"")</f>
        <v/>
      </c>
      <c r="V732" t="str">
        <f>IFERROR(IF(VLOOKUP($B732,Показатели!$E:$W,19,FALSE)=0,"",VLOOKUP($B732,Показатели!$E:$W,19,FALSE)),"")</f>
        <v/>
      </c>
    </row>
    <row r="733" spans="1:22" x14ac:dyDescent="0.2">
      <c r="A733" s="7" t="s">
        <v>2268</v>
      </c>
      <c r="B733" t="str">
        <f t="shared" si="11"/>
        <v>X5 IV кв. 2014</v>
      </c>
      <c r="C733">
        <v>2014</v>
      </c>
      <c r="D733">
        <f>SUMIFS(Дивиденды!$C:$C,Дивиденды!$A:$A,A733,Дивиденды!$I:$I,C733)</f>
        <v>0</v>
      </c>
      <c r="E733" t="str">
        <f>IFERROR(IF(VLOOKUP($B733,Показатели!$E:$W,2,FALSE)=0,"",VLOOKUP($B733,Показатели!$E:$W,2,FALSE)),"")</f>
        <v/>
      </c>
      <c r="F733" t="str">
        <f>IFERROR(IF(VLOOKUP($B733,Показатели!$E:$W,3,FALSE)=0,"",VLOOKUP($B733,Показатели!$E:$W,3,FALSE)),"")</f>
        <v/>
      </c>
      <c r="G733" t="str">
        <f>IFERROR(IF(VLOOKUP($B733,Показатели!$E:$W,4,FALSE)=0,"",VLOOKUP($B733,Показатели!$E:$W,4,FALSE)),"")</f>
        <v/>
      </c>
      <c r="H733" t="str">
        <f>IFERROR(IF(VLOOKUP($B733,Показатели!$E:$W,5,FALSE)=0,"",VLOOKUP($B733,Показатели!$E:$W,5,FALSE)),"")</f>
        <v/>
      </c>
      <c r="I733" t="str">
        <f>IFERROR(IF(VLOOKUP($B733,Показатели!$E:$W,6,FALSE)=0,"",VLOOKUP($B733,Показатели!$E:$W,6,FALSE)),"")</f>
        <v/>
      </c>
      <c r="J733" t="str">
        <f>IFERROR(IF(VLOOKUP($B733,Показатели!$E:$W,7,FALSE)=0,"",VLOOKUP($B733,Показатели!$E:$W,7,FALSE)),"")</f>
        <v/>
      </c>
      <c r="K733" t="str">
        <f>IFERROR(IF(VLOOKUP($B733,Показатели!$E:$W,8,FALSE)=0,"",VLOOKUP($B733,Показатели!$E:$W,8,FALSE)),"")</f>
        <v/>
      </c>
      <c r="L733" t="str">
        <f>IFERROR(IF(VLOOKUP($B733,Показатели!$E:$W,9,FALSE)=0,"",VLOOKUP($B733,Показатели!$E:$W,9,FALSE)),"")</f>
        <v/>
      </c>
      <c r="M733" t="str">
        <f>IFERROR(IF(VLOOKUP($B733,Показатели!$E:$W,10,FALSE)=0,"",VLOOKUP($B733,Показатели!$E:$W,10,FALSE)),"")</f>
        <v/>
      </c>
      <c r="N733" t="str">
        <f>IFERROR(IF(VLOOKUP($B733,Показатели!$E:$W,11,FALSE)=0,"",VLOOKUP($B733,Показатели!$E:$W,11,FALSE)),"")</f>
        <v/>
      </c>
      <c r="O733" t="str">
        <f>IFERROR(IF(VLOOKUP($B733,Показатели!$E:$W,12,FALSE)=0,"",VLOOKUP($B733,Показатели!$E:$W,12,FALSE)),"")</f>
        <v/>
      </c>
      <c r="P733" t="str">
        <f>IFERROR(IF(VLOOKUP($B733,Показатели!$E:$W,13,FALSE)=0,"",VLOOKUP($B733,Показатели!$E:$W,13,FALSE)),"")</f>
        <v/>
      </c>
      <c r="Q733" t="str">
        <f>IFERROR(IF(VLOOKUP($B733,Показатели!$E:$W,14,FALSE)=0,"",VLOOKUP($B733,Показатели!$E:$W,14,FALSE)),"")</f>
        <v/>
      </c>
      <c r="R733" t="str">
        <f>IFERROR(IF(VLOOKUP($B733,Показатели!$E:$W,15,FALSE)=0,"",VLOOKUP($B733,Показатели!$E:$W,15,FALSE)),"")</f>
        <v/>
      </c>
      <c r="S733" t="str">
        <f>IFERROR(IF(VLOOKUP($B733,Показатели!$E:$W,16,FALSE)=0,"",VLOOKUP($B733,Показатели!$E:$W,16,FALSE)),"")</f>
        <v/>
      </c>
      <c r="T733" t="str">
        <f>IFERROR(IF(VLOOKUP($B733,Показатели!$E:$W,17,FALSE)=0,"",VLOOKUP($B733,Показатели!$E:$W,17,FALSE)),"")</f>
        <v/>
      </c>
      <c r="U733" t="str">
        <f>IFERROR(IF(VLOOKUP($B733,Показатели!$E:$W,18,FALSE)=0,"",VLOOKUP($B733,Показатели!$E:$W,18,FALSE)),"")</f>
        <v/>
      </c>
      <c r="V733" t="str">
        <f>IFERROR(IF(VLOOKUP($B733,Показатели!$E:$W,19,FALSE)=0,"",VLOOKUP($B733,Показатели!$E:$W,19,FALSE)),"")</f>
        <v/>
      </c>
    </row>
    <row r="734" spans="1:22" x14ac:dyDescent="0.2">
      <c r="A734" s="7" t="s">
        <v>2268</v>
      </c>
      <c r="B734" t="str">
        <f t="shared" si="11"/>
        <v>X5 IV кв. 2013</v>
      </c>
      <c r="C734">
        <v>2013</v>
      </c>
      <c r="D734">
        <f>SUMIFS(Дивиденды!$C:$C,Дивиденды!$A:$A,A734,Дивиденды!$I:$I,C734)</f>
        <v>0</v>
      </c>
      <c r="E734" t="str">
        <f>IFERROR(IF(VLOOKUP($B734,Показатели!$E:$W,2,FALSE)=0,"",VLOOKUP($B734,Показатели!$E:$W,2,FALSE)),"")</f>
        <v/>
      </c>
      <c r="F734" t="str">
        <f>IFERROR(IF(VLOOKUP($B734,Показатели!$E:$W,3,FALSE)=0,"",VLOOKUP($B734,Показатели!$E:$W,3,FALSE)),"")</f>
        <v/>
      </c>
      <c r="G734" t="str">
        <f>IFERROR(IF(VLOOKUP($B734,Показатели!$E:$W,4,FALSE)=0,"",VLOOKUP($B734,Показатели!$E:$W,4,FALSE)),"")</f>
        <v/>
      </c>
      <c r="H734" t="str">
        <f>IFERROR(IF(VLOOKUP($B734,Показатели!$E:$W,5,FALSE)=0,"",VLOOKUP($B734,Показатели!$E:$W,5,FALSE)),"")</f>
        <v/>
      </c>
      <c r="I734" t="str">
        <f>IFERROR(IF(VLOOKUP($B734,Показатели!$E:$W,6,FALSE)=0,"",VLOOKUP($B734,Показатели!$E:$W,6,FALSE)),"")</f>
        <v/>
      </c>
      <c r="J734" t="str">
        <f>IFERROR(IF(VLOOKUP($B734,Показатели!$E:$W,7,FALSE)=0,"",VLOOKUP($B734,Показатели!$E:$W,7,FALSE)),"")</f>
        <v/>
      </c>
      <c r="K734" t="str">
        <f>IFERROR(IF(VLOOKUP($B734,Показатели!$E:$W,8,FALSE)=0,"",VLOOKUP($B734,Показатели!$E:$W,8,FALSE)),"")</f>
        <v/>
      </c>
      <c r="L734" t="str">
        <f>IFERROR(IF(VLOOKUP($B734,Показатели!$E:$W,9,FALSE)=0,"",VLOOKUP($B734,Показатели!$E:$W,9,FALSE)),"")</f>
        <v/>
      </c>
      <c r="M734" t="str">
        <f>IFERROR(IF(VLOOKUP($B734,Показатели!$E:$W,10,FALSE)=0,"",VLOOKUP($B734,Показатели!$E:$W,10,FALSE)),"")</f>
        <v/>
      </c>
      <c r="N734" t="str">
        <f>IFERROR(IF(VLOOKUP($B734,Показатели!$E:$W,11,FALSE)=0,"",VLOOKUP($B734,Показатели!$E:$W,11,FALSE)),"")</f>
        <v/>
      </c>
      <c r="O734" t="str">
        <f>IFERROR(IF(VLOOKUP($B734,Показатели!$E:$W,12,FALSE)=0,"",VLOOKUP($B734,Показатели!$E:$W,12,FALSE)),"")</f>
        <v/>
      </c>
      <c r="P734" t="str">
        <f>IFERROR(IF(VLOOKUP($B734,Показатели!$E:$W,13,FALSE)=0,"",VLOOKUP($B734,Показатели!$E:$W,13,FALSE)),"")</f>
        <v/>
      </c>
      <c r="Q734" t="str">
        <f>IFERROR(IF(VLOOKUP($B734,Показатели!$E:$W,14,FALSE)=0,"",VLOOKUP($B734,Показатели!$E:$W,14,FALSE)),"")</f>
        <v/>
      </c>
      <c r="R734" t="str">
        <f>IFERROR(IF(VLOOKUP($B734,Показатели!$E:$W,15,FALSE)=0,"",VLOOKUP($B734,Показатели!$E:$W,15,FALSE)),"")</f>
        <v/>
      </c>
      <c r="S734" t="str">
        <f>IFERROR(IF(VLOOKUP($B734,Показатели!$E:$W,16,FALSE)=0,"",VLOOKUP($B734,Показатели!$E:$W,16,FALSE)),"")</f>
        <v/>
      </c>
      <c r="T734" t="str">
        <f>IFERROR(IF(VLOOKUP($B734,Показатели!$E:$W,17,FALSE)=0,"",VLOOKUP($B734,Показатели!$E:$W,17,FALSE)),"")</f>
        <v/>
      </c>
      <c r="U734" t="str">
        <f>IFERROR(IF(VLOOKUP($B734,Показатели!$E:$W,18,FALSE)=0,"",VLOOKUP($B734,Показатели!$E:$W,18,FALSE)),"")</f>
        <v/>
      </c>
      <c r="V734" t="str">
        <f>IFERROR(IF(VLOOKUP($B734,Показатели!$E:$W,19,FALSE)=0,"",VLOOKUP($B734,Показатели!$E:$W,19,FALSE)),"")</f>
        <v/>
      </c>
    </row>
    <row r="735" spans="1:22" x14ac:dyDescent="0.2">
      <c r="A735" s="7" t="s">
        <v>2268</v>
      </c>
      <c r="B735" t="str">
        <f t="shared" si="11"/>
        <v>X5 IV кв. 2012</v>
      </c>
      <c r="C735">
        <v>2012</v>
      </c>
      <c r="D735">
        <f>SUMIFS(Дивиденды!$C:$C,Дивиденды!$A:$A,A735,Дивиденды!$I:$I,C735)</f>
        <v>0</v>
      </c>
      <c r="E735" t="str">
        <f>IFERROR(IF(VLOOKUP($B735,Показатели!$E:$W,2,FALSE)=0,"",VLOOKUP($B735,Показатели!$E:$W,2,FALSE)),"")</f>
        <v/>
      </c>
      <c r="F735" t="str">
        <f>IFERROR(IF(VLOOKUP($B735,Показатели!$E:$W,3,FALSE)=0,"",VLOOKUP($B735,Показатели!$E:$W,3,FALSE)),"")</f>
        <v/>
      </c>
      <c r="G735" t="str">
        <f>IFERROR(IF(VLOOKUP($B735,Показатели!$E:$W,4,FALSE)=0,"",VLOOKUP($B735,Показатели!$E:$W,4,FALSE)),"")</f>
        <v/>
      </c>
      <c r="H735" t="str">
        <f>IFERROR(IF(VLOOKUP($B735,Показатели!$E:$W,5,FALSE)=0,"",VLOOKUP($B735,Показатели!$E:$W,5,FALSE)),"")</f>
        <v/>
      </c>
      <c r="I735" t="str">
        <f>IFERROR(IF(VLOOKUP($B735,Показатели!$E:$W,6,FALSE)=0,"",VLOOKUP($B735,Показатели!$E:$W,6,FALSE)),"")</f>
        <v/>
      </c>
      <c r="J735" t="str">
        <f>IFERROR(IF(VLOOKUP($B735,Показатели!$E:$W,7,FALSE)=0,"",VLOOKUP($B735,Показатели!$E:$W,7,FALSE)),"")</f>
        <v/>
      </c>
      <c r="K735" t="str">
        <f>IFERROR(IF(VLOOKUP($B735,Показатели!$E:$W,8,FALSE)=0,"",VLOOKUP($B735,Показатели!$E:$W,8,FALSE)),"")</f>
        <v/>
      </c>
      <c r="L735" t="str">
        <f>IFERROR(IF(VLOOKUP($B735,Показатели!$E:$W,9,FALSE)=0,"",VLOOKUP($B735,Показатели!$E:$W,9,FALSE)),"")</f>
        <v/>
      </c>
      <c r="M735" t="str">
        <f>IFERROR(IF(VLOOKUP($B735,Показатели!$E:$W,10,FALSE)=0,"",VLOOKUP($B735,Показатели!$E:$W,10,FALSE)),"")</f>
        <v/>
      </c>
      <c r="N735" t="str">
        <f>IFERROR(IF(VLOOKUP($B735,Показатели!$E:$W,11,FALSE)=0,"",VLOOKUP($B735,Показатели!$E:$W,11,FALSE)),"")</f>
        <v/>
      </c>
      <c r="O735" t="str">
        <f>IFERROR(IF(VLOOKUP($B735,Показатели!$E:$W,12,FALSE)=0,"",VLOOKUP($B735,Показатели!$E:$W,12,FALSE)),"")</f>
        <v/>
      </c>
      <c r="P735" t="str">
        <f>IFERROR(IF(VLOOKUP($B735,Показатели!$E:$W,13,FALSE)=0,"",VLOOKUP($B735,Показатели!$E:$W,13,FALSE)),"")</f>
        <v/>
      </c>
      <c r="Q735" t="str">
        <f>IFERROR(IF(VLOOKUP($B735,Показатели!$E:$W,14,FALSE)=0,"",VLOOKUP($B735,Показатели!$E:$W,14,FALSE)),"")</f>
        <v/>
      </c>
      <c r="R735" t="str">
        <f>IFERROR(IF(VLOOKUP($B735,Показатели!$E:$W,15,FALSE)=0,"",VLOOKUP($B735,Показатели!$E:$W,15,FALSE)),"")</f>
        <v/>
      </c>
      <c r="S735" t="str">
        <f>IFERROR(IF(VLOOKUP($B735,Показатели!$E:$W,16,FALSE)=0,"",VLOOKUP($B735,Показатели!$E:$W,16,FALSE)),"")</f>
        <v/>
      </c>
      <c r="T735" t="str">
        <f>IFERROR(IF(VLOOKUP($B735,Показатели!$E:$W,17,FALSE)=0,"",VLOOKUP($B735,Показатели!$E:$W,17,FALSE)),"")</f>
        <v/>
      </c>
      <c r="U735" t="str">
        <f>IFERROR(IF(VLOOKUP($B735,Показатели!$E:$W,18,FALSE)=0,"",VLOOKUP($B735,Показатели!$E:$W,18,FALSE)),"")</f>
        <v/>
      </c>
      <c r="V735" t="str">
        <f>IFERROR(IF(VLOOKUP($B735,Показатели!$E:$W,19,FALSE)=0,"",VLOOKUP($B735,Показатели!$E:$W,19,FALSE)),"")</f>
        <v/>
      </c>
    </row>
    <row r="736" spans="1:22" x14ac:dyDescent="0.2">
      <c r="A736" s="7" t="s">
        <v>2268</v>
      </c>
      <c r="B736" t="str">
        <f t="shared" si="11"/>
        <v>X5 IV кв. 2011</v>
      </c>
      <c r="C736">
        <v>2011</v>
      </c>
      <c r="D736">
        <f>SUMIFS(Дивиденды!$C:$C,Дивиденды!$A:$A,A736,Дивиденды!$I:$I,C736)</f>
        <v>0</v>
      </c>
      <c r="E736" t="str">
        <f>IFERROR(IF(VLOOKUP($B736,Показатели!$E:$W,2,FALSE)=0,"",VLOOKUP($B736,Показатели!$E:$W,2,FALSE)),"")</f>
        <v/>
      </c>
      <c r="F736" t="str">
        <f>IFERROR(IF(VLOOKUP($B736,Показатели!$E:$W,3,FALSE)=0,"",VLOOKUP($B736,Показатели!$E:$W,3,FALSE)),"")</f>
        <v/>
      </c>
      <c r="G736" t="str">
        <f>IFERROR(IF(VLOOKUP($B736,Показатели!$E:$W,4,FALSE)=0,"",VLOOKUP($B736,Показатели!$E:$W,4,FALSE)),"")</f>
        <v/>
      </c>
      <c r="H736" t="str">
        <f>IFERROR(IF(VLOOKUP($B736,Показатели!$E:$W,5,FALSE)=0,"",VLOOKUP($B736,Показатели!$E:$W,5,FALSE)),"")</f>
        <v/>
      </c>
      <c r="I736" t="str">
        <f>IFERROR(IF(VLOOKUP($B736,Показатели!$E:$W,6,FALSE)=0,"",VLOOKUP($B736,Показатели!$E:$W,6,FALSE)),"")</f>
        <v/>
      </c>
      <c r="J736" t="str">
        <f>IFERROR(IF(VLOOKUP($B736,Показатели!$E:$W,7,FALSE)=0,"",VLOOKUP($B736,Показатели!$E:$W,7,FALSE)),"")</f>
        <v/>
      </c>
      <c r="K736" t="str">
        <f>IFERROR(IF(VLOOKUP($B736,Показатели!$E:$W,8,FALSE)=0,"",VLOOKUP($B736,Показатели!$E:$W,8,FALSE)),"")</f>
        <v/>
      </c>
      <c r="L736" t="str">
        <f>IFERROR(IF(VLOOKUP($B736,Показатели!$E:$W,9,FALSE)=0,"",VLOOKUP($B736,Показатели!$E:$W,9,FALSE)),"")</f>
        <v/>
      </c>
      <c r="M736" t="str">
        <f>IFERROR(IF(VLOOKUP($B736,Показатели!$E:$W,10,FALSE)=0,"",VLOOKUP($B736,Показатели!$E:$W,10,FALSE)),"")</f>
        <v/>
      </c>
      <c r="N736" t="str">
        <f>IFERROR(IF(VLOOKUP($B736,Показатели!$E:$W,11,FALSE)=0,"",VLOOKUP($B736,Показатели!$E:$W,11,FALSE)),"")</f>
        <v/>
      </c>
      <c r="O736" t="str">
        <f>IFERROR(IF(VLOOKUP($B736,Показатели!$E:$W,12,FALSE)=0,"",VLOOKUP($B736,Показатели!$E:$W,12,FALSE)),"")</f>
        <v/>
      </c>
      <c r="P736" t="str">
        <f>IFERROR(IF(VLOOKUP($B736,Показатели!$E:$W,13,FALSE)=0,"",VLOOKUP($B736,Показатели!$E:$W,13,FALSE)),"")</f>
        <v/>
      </c>
      <c r="Q736" t="str">
        <f>IFERROR(IF(VLOOKUP($B736,Показатели!$E:$W,14,FALSE)=0,"",VLOOKUP($B736,Показатели!$E:$W,14,FALSE)),"")</f>
        <v/>
      </c>
      <c r="R736" t="str">
        <f>IFERROR(IF(VLOOKUP($B736,Показатели!$E:$W,15,FALSE)=0,"",VLOOKUP($B736,Показатели!$E:$W,15,FALSE)),"")</f>
        <v/>
      </c>
      <c r="S736" t="str">
        <f>IFERROR(IF(VLOOKUP($B736,Показатели!$E:$W,16,FALSE)=0,"",VLOOKUP($B736,Показатели!$E:$W,16,FALSE)),"")</f>
        <v/>
      </c>
      <c r="T736" t="str">
        <f>IFERROR(IF(VLOOKUP($B736,Показатели!$E:$W,17,FALSE)=0,"",VLOOKUP($B736,Показатели!$E:$W,17,FALSE)),"")</f>
        <v/>
      </c>
      <c r="U736" t="str">
        <f>IFERROR(IF(VLOOKUP($B736,Показатели!$E:$W,18,FALSE)=0,"",VLOOKUP($B736,Показатели!$E:$W,18,FALSE)),"")</f>
        <v/>
      </c>
      <c r="V736" t="str">
        <f>IFERROR(IF(VLOOKUP($B736,Показатели!$E:$W,19,FALSE)=0,"",VLOOKUP($B736,Показатели!$E:$W,19,FALSE)),"")</f>
        <v/>
      </c>
    </row>
    <row r="737" spans="1:22" x14ac:dyDescent="0.2">
      <c r="A737" s="7" t="s">
        <v>2268</v>
      </c>
      <c r="B737" t="str">
        <f t="shared" si="11"/>
        <v>X5 IV кв. 2010</v>
      </c>
      <c r="C737">
        <v>2010</v>
      </c>
      <c r="D737">
        <f>SUMIFS(Дивиденды!$C:$C,Дивиденды!$A:$A,A737,Дивиденды!$I:$I,C737)</f>
        <v>0</v>
      </c>
      <c r="E737" t="str">
        <f>IFERROR(IF(VLOOKUP($B737,Показатели!$E:$W,2,FALSE)=0,"",VLOOKUP($B737,Показатели!$E:$W,2,FALSE)),"")</f>
        <v/>
      </c>
      <c r="F737" t="str">
        <f>IFERROR(IF(VLOOKUP($B737,Показатели!$E:$W,3,FALSE)=0,"",VLOOKUP($B737,Показатели!$E:$W,3,FALSE)),"")</f>
        <v/>
      </c>
      <c r="G737" t="str">
        <f>IFERROR(IF(VLOOKUP($B737,Показатели!$E:$W,4,FALSE)=0,"",VLOOKUP($B737,Показатели!$E:$W,4,FALSE)),"")</f>
        <v/>
      </c>
      <c r="H737" t="str">
        <f>IFERROR(IF(VLOOKUP($B737,Показатели!$E:$W,5,FALSE)=0,"",VLOOKUP($B737,Показатели!$E:$W,5,FALSE)),"")</f>
        <v/>
      </c>
      <c r="I737" t="str">
        <f>IFERROR(IF(VLOOKUP($B737,Показатели!$E:$W,6,FALSE)=0,"",VLOOKUP($B737,Показатели!$E:$W,6,FALSE)),"")</f>
        <v/>
      </c>
      <c r="J737" t="str">
        <f>IFERROR(IF(VLOOKUP($B737,Показатели!$E:$W,7,FALSE)=0,"",VLOOKUP($B737,Показатели!$E:$W,7,FALSE)),"")</f>
        <v/>
      </c>
      <c r="K737" t="str">
        <f>IFERROR(IF(VLOOKUP($B737,Показатели!$E:$W,8,FALSE)=0,"",VLOOKUP($B737,Показатели!$E:$W,8,FALSE)),"")</f>
        <v/>
      </c>
      <c r="L737" t="str">
        <f>IFERROR(IF(VLOOKUP($B737,Показатели!$E:$W,9,FALSE)=0,"",VLOOKUP($B737,Показатели!$E:$W,9,FALSE)),"")</f>
        <v/>
      </c>
      <c r="M737" t="str">
        <f>IFERROR(IF(VLOOKUP($B737,Показатели!$E:$W,10,FALSE)=0,"",VLOOKUP($B737,Показатели!$E:$W,10,FALSE)),"")</f>
        <v/>
      </c>
      <c r="N737" t="str">
        <f>IFERROR(IF(VLOOKUP($B737,Показатели!$E:$W,11,FALSE)=0,"",VLOOKUP($B737,Показатели!$E:$W,11,FALSE)),"")</f>
        <v/>
      </c>
      <c r="O737" t="str">
        <f>IFERROR(IF(VLOOKUP($B737,Показатели!$E:$W,12,FALSE)=0,"",VLOOKUP($B737,Показатели!$E:$W,12,FALSE)),"")</f>
        <v/>
      </c>
      <c r="P737" t="str">
        <f>IFERROR(IF(VLOOKUP($B737,Показатели!$E:$W,13,FALSE)=0,"",VLOOKUP($B737,Показатели!$E:$W,13,FALSE)),"")</f>
        <v/>
      </c>
      <c r="Q737" t="str">
        <f>IFERROR(IF(VLOOKUP($B737,Показатели!$E:$W,14,FALSE)=0,"",VLOOKUP($B737,Показатели!$E:$W,14,FALSE)),"")</f>
        <v/>
      </c>
      <c r="R737" t="str">
        <f>IFERROR(IF(VLOOKUP($B737,Показатели!$E:$W,15,FALSE)=0,"",VLOOKUP($B737,Показатели!$E:$W,15,FALSE)),"")</f>
        <v/>
      </c>
      <c r="S737" t="str">
        <f>IFERROR(IF(VLOOKUP($B737,Показатели!$E:$W,16,FALSE)=0,"",VLOOKUP($B737,Показатели!$E:$W,16,FALSE)),"")</f>
        <v/>
      </c>
      <c r="T737" t="str">
        <f>IFERROR(IF(VLOOKUP($B737,Показатели!$E:$W,17,FALSE)=0,"",VLOOKUP($B737,Показатели!$E:$W,17,FALSE)),"")</f>
        <v/>
      </c>
      <c r="U737" t="str">
        <f>IFERROR(IF(VLOOKUP($B737,Показатели!$E:$W,18,FALSE)=0,"",VLOOKUP($B737,Показатели!$E:$W,18,FALSE)),"")</f>
        <v/>
      </c>
      <c r="V737" t="str">
        <f>IFERROR(IF(VLOOKUP($B737,Показатели!$E:$W,19,FALSE)=0,"",VLOOKUP($B737,Показатели!$E:$W,19,FALSE)),"")</f>
        <v/>
      </c>
    </row>
    <row r="738" spans="1:22" x14ac:dyDescent="0.2">
      <c r="A738" s="7" t="s">
        <v>2270</v>
      </c>
      <c r="B738" t="str">
        <f t="shared" si="11"/>
        <v>ASTR IV кв. 2025</v>
      </c>
      <c r="C738">
        <v>2025</v>
      </c>
      <c r="D738">
        <f>SUMIFS(Дивиденды!$C:$C,Дивиденды!$A:$A,A738,Дивиденды!$I:$I,C738)</f>
        <v>0</v>
      </c>
      <c r="E738" t="str">
        <f>IFERROR(IF(VLOOKUP($B738,Показатели!$E:$W,2,FALSE)=0,"",VLOOKUP($B738,Показатели!$E:$W,2,FALSE)),"")</f>
        <v/>
      </c>
      <c r="F738" t="str">
        <f>IFERROR(IF(VLOOKUP($B738,Показатели!$E:$W,3,FALSE)=0,"",VLOOKUP($B738,Показатели!$E:$W,3,FALSE)),"")</f>
        <v/>
      </c>
      <c r="G738" t="str">
        <f>IFERROR(IF(VLOOKUP($B738,Показатели!$E:$W,4,FALSE)=0,"",VLOOKUP($B738,Показатели!$E:$W,4,FALSE)),"")</f>
        <v/>
      </c>
      <c r="H738" t="str">
        <f>IFERROR(IF(VLOOKUP($B738,Показатели!$E:$W,5,FALSE)=0,"",VLOOKUP($B738,Показатели!$E:$W,5,FALSE)),"")</f>
        <v/>
      </c>
      <c r="I738" t="str">
        <f>IFERROR(IF(VLOOKUP($B738,Показатели!$E:$W,6,FALSE)=0,"",VLOOKUP($B738,Показатели!$E:$W,6,FALSE)),"")</f>
        <v/>
      </c>
      <c r="J738" t="str">
        <f>IFERROR(IF(VLOOKUP($B738,Показатели!$E:$W,7,FALSE)=0,"",VLOOKUP($B738,Показатели!$E:$W,7,FALSE)),"")</f>
        <v/>
      </c>
      <c r="K738" t="str">
        <f>IFERROR(IF(VLOOKUP($B738,Показатели!$E:$W,8,FALSE)=0,"",VLOOKUP($B738,Показатели!$E:$W,8,FALSE)),"")</f>
        <v/>
      </c>
      <c r="L738" t="str">
        <f>IFERROR(IF(VLOOKUP($B738,Показатели!$E:$W,9,FALSE)=0,"",VLOOKUP($B738,Показатели!$E:$W,9,FALSE)),"")</f>
        <v/>
      </c>
      <c r="M738" t="str">
        <f>IFERROR(IF(VLOOKUP($B738,Показатели!$E:$W,10,FALSE)=0,"",VLOOKUP($B738,Показатели!$E:$W,10,FALSE)),"")</f>
        <v/>
      </c>
      <c r="N738" t="str">
        <f>IFERROR(IF(VLOOKUP($B738,Показатели!$E:$W,11,FALSE)=0,"",VLOOKUP($B738,Показатели!$E:$W,11,FALSE)),"")</f>
        <v/>
      </c>
      <c r="O738" t="str">
        <f>IFERROR(IF(VLOOKUP($B738,Показатели!$E:$W,12,FALSE)=0,"",VLOOKUP($B738,Показатели!$E:$W,12,FALSE)),"")</f>
        <v/>
      </c>
      <c r="P738" t="str">
        <f>IFERROR(IF(VLOOKUP($B738,Показатели!$E:$W,13,FALSE)=0,"",VLOOKUP($B738,Показатели!$E:$W,13,FALSE)),"")</f>
        <v/>
      </c>
      <c r="Q738" t="str">
        <f>IFERROR(IF(VLOOKUP($B738,Показатели!$E:$W,14,FALSE)=0,"",VLOOKUP($B738,Показатели!$E:$W,14,FALSE)),"")</f>
        <v/>
      </c>
      <c r="R738" t="str">
        <f>IFERROR(IF(VLOOKUP($B738,Показатели!$E:$W,15,FALSE)=0,"",VLOOKUP($B738,Показатели!$E:$W,15,FALSE)),"")</f>
        <v/>
      </c>
      <c r="S738" t="str">
        <f>IFERROR(IF(VLOOKUP($B738,Показатели!$E:$W,16,FALSE)=0,"",VLOOKUP($B738,Показатели!$E:$W,16,FALSE)),"")</f>
        <v/>
      </c>
      <c r="T738" t="str">
        <f>IFERROR(IF(VLOOKUP($B738,Показатели!$E:$W,17,FALSE)=0,"",VLOOKUP($B738,Показатели!$E:$W,17,FALSE)),"")</f>
        <v/>
      </c>
      <c r="U738" t="str">
        <f>IFERROR(IF(VLOOKUP($B738,Показатели!$E:$W,18,FALSE)=0,"",VLOOKUP($B738,Показатели!$E:$W,18,FALSE)),"")</f>
        <v/>
      </c>
      <c r="V738" t="str">
        <f>IFERROR(IF(VLOOKUP($B738,Показатели!$E:$W,19,FALSE)=0,"",VLOOKUP($B738,Показатели!$E:$W,19,FALSE)),"")</f>
        <v/>
      </c>
    </row>
    <row r="739" spans="1:22" x14ac:dyDescent="0.2">
      <c r="A739" s="7" t="s">
        <v>2270</v>
      </c>
      <c r="B739" t="str">
        <f t="shared" si="11"/>
        <v>ASTR IV кв. 2024</v>
      </c>
      <c r="C739">
        <v>2024</v>
      </c>
      <c r="D739">
        <f>SUMIFS(Дивиденды!$C:$C,Дивиденды!$A:$A,A739,Дивиденды!$I:$I,C739)</f>
        <v>13.68</v>
      </c>
      <c r="E739">
        <f>IFERROR(IF(VLOOKUP($B739,Показатели!$E:$W,2,FALSE)=0,"",VLOOKUP($B739,Показатели!$E:$W,2,FALSE)),"")</f>
        <v>1358891000</v>
      </c>
      <c r="F739">
        <f>IFERROR(IF(VLOOKUP($B739,Показатели!$E:$W,3,FALSE)=0,"",VLOOKUP($B739,Показатели!$E:$W,3,FALSE)),"")</f>
        <v>9890598000</v>
      </c>
      <c r="G739">
        <f>IFERROR(IF(VLOOKUP($B739,Показатели!$E:$W,4,FALSE)=0,"",VLOOKUP($B739,Показатели!$E:$W,4,FALSE)),"")</f>
        <v>1015970000</v>
      </c>
      <c r="H739">
        <f>IFERROR(IF(VLOOKUP($B739,Показатели!$E:$W,5,FALSE)=0,"",VLOOKUP($B739,Показатели!$E:$W,5,FALSE)),"")</f>
        <v>5514662000</v>
      </c>
      <c r="I739">
        <f>IFERROR(IF(VLOOKUP($B739,Показатели!$E:$W,6,FALSE)=0,"",VLOOKUP($B739,Показатели!$E:$W,6,FALSE)),"")</f>
        <v>19172165000</v>
      </c>
      <c r="J739">
        <f>IFERROR(IF(VLOOKUP($B739,Показатели!$E:$W,7,FALSE)=0,"",VLOOKUP($B739,Показатели!$E:$W,7,FALSE)),"")</f>
        <v>7088326000</v>
      </c>
      <c r="K739">
        <f>IFERROR(IF(VLOOKUP($B739,Показатели!$E:$W,8,FALSE)=0,"",VLOOKUP($B739,Показатели!$E:$W,8,FALSE)),"")</f>
        <v>3919314000</v>
      </c>
      <c r="L739">
        <f>IFERROR(IF(VLOOKUP($B739,Показатели!$E:$W,9,FALSE)=0,"",VLOOKUP($B739,Показатели!$E:$W,9,FALSE)),"")</f>
        <v>7466783000</v>
      </c>
      <c r="M739">
        <f>IFERROR(IF(VLOOKUP($B739,Показатели!$E:$W,10,FALSE)=0,"",VLOOKUP($B739,Показатели!$E:$W,10,FALSE)),"")</f>
        <v>8164525000</v>
      </c>
      <c r="N739">
        <f>IFERROR(IF(VLOOKUP($B739,Показатели!$E:$W,11,FALSE)=0,"",VLOOKUP($B739,Показатели!$E:$W,11,FALSE)),"")</f>
        <v>17206135000</v>
      </c>
      <c r="O739">
        <f>IFERROR(IF(VLOOKUP($B739,Показатели!$E:$W,12,FALSE)=0,"",VLOOKUP($B739,Показатели!$E:$W,12,FALSE)),"")</f>
        <v>5517758000</v>
      </c>
      <c r="P739">
        <f>IFERROR(IF(VLOOKUP($B739,Показатели!$E:$W,13,FALSE)=0,"",VLOOKUP($B739,Показатели!$E:$W,13,FALSE)),"")</f>
        <v>6012395000</v>
      </c>
      <c r="Q739">
        <f>IFERROR(IF(VLOOKUP($B739,Показатели!$E:$W,14,FALSE)=0,"",VLOOKUP($B739,Показатели!$E:$W,14,FALSE)),"")</f>
        <v>6040730000</v>
      </c>
      <c r="R739">
        <f>IFERROR(IF(VLOOKUP($B739,Показатели!$E:$W,15,FALSE)=0,"",VLOOKUP($B739,Показатели!$E:$W,15,FALSE)),"")</f>
        <v>1325295000</v>
      </c>
      <c r="S739">
        <f>IFERROR(IF(VLOOKUP($B739,Показатели!$E:$W,16,FALSE)=0,"",VLOOKUP($B739,Показатели!$E:$W,16,FALSE)),"")</f>
        <v>6599261000</v>
      </c>
      <c r="T739">
        <f>IFERROR(IF(VLOOKUP($B739,Показатели!$E:$W,17,FALSE)=0,"",VLOOKUP($B739,Показатели!$E:$W,17,FALSE)),"")</f>
        <v>-4024580000</v>
      </c>
      <c r="U739">
        <f>IFERROR(IF(VLOOKUP($B739,Показатели!$E:$W,18,FALSE)=0,"",VLOOKUP($B739,Показатели!$E:$W,18,FALSE)),"")</f>
        <v>9540560000</v>
      </c>
      <c r="V739">
        <f>IFERROR(IF(VLOOKUP($B739,Показатели!$E:$W,19,FALSE)=0,"",VLOOKUP($B739,Показатели!$E:$W,19,FALSE)),"")</f>
        <v>12349619000</v>
      </c>
    </row>
    <row r="740" spans="1:22" x14ac:dyDescent="0.2">
      <c r="A740" s="7" t="s">
        <v>2270</v>
      </c>
      <c r="B740" t="str">
        <f t="shared" si="11"/>
        <v>ASTR IV кв. 2023</v>
      </c>
      <c r="C740">
        <v>2023</v>
      </c>
      <c r="D740">
        <f>SUMIFS(Дивиденды!$C:$C,Дивиденды!$A:$A,A740,Дивиденды!$I:$I,C740)</f>
        <v>0</v>
      </c>
      <c r="E740">
        <f>IFERROR(IF(VLOOKUP($B740,Показатели!$E:$W,2,FALSE)=0,"",VLOOKUP($B740,Показатели!$E:$W,2,FALSE)),"")</f>
        <v>2640062000</v>
      </c>
      <c r="F740">
        <f>IFERROR(IF(VLOOKUP($B740,Показатели!$E:$W,3,FALSE)=0,"",VLOOKUP($B740,Показатели!$E:$W,3,FALSE)),"")</f>
        <v>7461218000</v>
      </c>
      <c r="G740">
        <f>IFERROR(IF(VLOOKUP($B740,Показатели!$E:$W,4,FALSE)=0,"",VLOOKUP($B740,Показатели!$E:$W,4,FALSE)),"")</f>
        <v>467969000</v>
      </c>
      <c r="H740">
        <f>IFERROR(IF(VLOOKUP($B740,Показатели!$E:$W,5,FALSE)=0,"",VLOOKUP($B740,Показатели!$E:$W,5,FALSE)),"")</f>
        <v>2823252000</v>
      </c>
      <c r="I740">
        <f>IFERROR(IF(VLOOKUP($B740,Показатели!$E:$W,6,FALSE)=0,"",VLOOKUP($B740,Показатели!$E:$W,6,FALSE)),"")</f>
        <v>12349619000</v>
      </c>
      <c r="J740">
        <f>IFERROR(IF(VLOOKUP($B740,Показатели!$E:$W,7,FALSE)=0,"",VLOOKUP($B740,Показатели!$E:$W,7,FALSE)),"")</f>
        <v>4339298000</v>
      </c>
      <c r="K740">
        <f>IFERROR(IF(VLOOKUP($B740,Показатели!$E:$W,8,FALSE)=0,"",VLOOKUP($B740,Показатели!$E:$W,8,FALSE)),"")</f>
        <v>3251765000</v>
      </c>
      <c r="L740">
        <f>IFERROR(IF(VLOOKUP($B740,Показатели!$E:$W,9,FALSE)=0,"",VLOOKUP($B740,Показатели!$E:$W,9,FALSE)),"")</f>
        <v>4220950000</v>
      </c>
      <c r="M740">
        <f>IFERROR(IF(VLOOKUP($B740,Показатели!$E:$W,10,FALSE)=0,"",VLOOKUP($B740,Показатели!$E:$W,10,FALSE)),"")</f>
        <v>4758556000</v>
      </c>
      <c r="N740">
        <f>IFERROR(IF(VLOOKUP($B740,Показатели!$E:$W,11,FALSE)=0,"",VLOOKUP($B740,Показатели!$E:$W,11,FALSE)),"")</f>
        <v>9540560000</v>
      </c>
      <c r="O740">
        <f>IFERROR(IF(VLOOKUP($B740,Показатели!$E:$W,12,FALSE)=0,"",VLOOKUP($B740,Показатели!$E:$W,12,FALSE)),"")</f>
        <v>4088330000</v>
      </c>
      <c r="P740">
        <f>IFERROR(IF(VLOOKUP($B740,Показатели!$E:$W,13,FALSE)=0,"",VLOOKUP($B740,Показатели!$E:$W,13,FALSE)),"")</f>
        <v>3561906000</v>
      </c>
      <c r="Q740">
        <f>IFERROR(IF(VLOOKUP($B740,Показатели!$E:$W,14,FALSE)=0,"",VLOOKUP($B740,Показатели!$E:$W,14,FALSE)),"")</f>
        <v>3638324000</v>
      </c>
      <c r="R740">
        <f>IFERROR(IF(VLOOKUP($B740,Показатели!$E:$W,15,FALSE)=0,"",VLOOKUP($B740,Показатели!$E:$W,15,FALSE)),"")</f>
        <v>290536000</v>
      </c>
      <c r="S740">
        <f>IFERROR(IF(VLOOKUP($B740,Показатели!$E:$W,16,FALSE)=0,"",VLOOKUP($B740,Показатели!$E:$W,16,FALSE)),"")</f>
        <v>4154631000</v>
      </c>
      <c r="T740">
        <f>IFERROR(IF(VLOOKUP($B740,Показатели!$E:$W,17,FALSE)=0,"",VLOOKUP($B740,Показатели!$E:$W,17,FALSE)),"")</f>
        <v>-1302302000</v>
      </c>
      <c r="U740">
        <f>IFERROR(IF(VLOOKUP($B740,Показатели!$E:$W,18,FALSE)=0,"",VLOOKUP($B740,Показатели!$E:$W,18,FALSE)),"")</f>
        <v>5394988000</v>
      </c>
      <c r="V740">
        <f>IFERROR(IF(VLOOKUP($B740,Показатели!$E:$W,19,FALSE)=0,"",VLOOKUP($B740,Показатели!$E:$W,19,FALSE)),"")</f>
        <v>6099931000</v>
      </c>
    </row>
    <row r="741" spans="1:22" x14ac:dyDescent="0.2">
      <c r="A741" s="7" t="s">
        <v>2270</v>
      </c>
      <c r="B741" t="str">
        <f t="shared" si="11"/>
        <v>ASTR IV кв. 2022</v>
      </c>
      <c r="C741">
        <v>2022</v>
      </c>
      <c r="D741">
        <f>SUMIFS(Дивиденды!$C:$C,Дивиденды!$A:$A,A741,Дивиденды!$I:$I,C741)</f>
        <v>0</v>
      </c>
      <c r="E741">
        <f>IFERROR(IF(VLOOKUP($B741,Показатели!$E:$W,2,FALSE)=0,"",VLOOKUP($B741,Показатели!$E:$W,2,FALSE)),"")</f>
        <v>697516000</v>
      </c>
      <c r="F741">
        <f>IFERROR(IF(VLOOKUP($B741,Показатели!$E:$W,3,FALSE)=0,"",VLOOKUP($B741,Показатели!$E:$W,3,FALSE)),"")</f>
        <v>4184273000</v>
      </c>
      <c r="G741">
        <f>IFERROR(IF(VLOOKUP($B741,Показатели!$E:$W,4,FALSE)=0,"",VLOOKUP($B741,Показатели!$E:$W,4,FALSE)),"")</f>
        <v>218108000</v>
      </c>
      <c r="H741">
        <f>IFERROR(IF(VLOOKUP($B741,Показатели!$E:$W,5,FALSE)=0,"",VLOOKUP($B741,Показатели!$E:$W,5,FALSE)),"")</f>
        <v>925390000</v>
      </c>
      <c r="I741">
        <f>IFERROR(IF(VLOOKUP($B741,Показатели!$E:$W,6,FALSE)=0,"",VLOOKUP($B741,Показатели!$E:$W,6,FALSE)),"")</f>
        <v>6099931000</v>
      </c>
      <c r="J741">
        <f>IFERROR(IF(VLOOKUP($B741,Показатели!$E:$W,7,FALSE)=0,"",VLOOKUP($B741,Показатели!$E:$W,7,FALSE)),"")</f>
        <v>3346721000</v>
      </c>
      <c r="K741">
        <f>IFERROR(IF(VLOOKUP($B741,Показатели!$E:$W,8,FALSE)=0,"",VLOOKUP($B741,Показатели!$E:$W,8,FALSE)),"")</f>
        <v>1290408000</v>
      </c>
      <c r="L741">
        <f>IFERROR(IF(VLOOKUP($B741,Показатели!$E:$W,9,FALSE)=0,"",VLOOKUP($B741,Показатели!$E:$W,9,FALSE)),"")</f>
        <v>1452802000</v>
      </c>
      <c r="M741">
        <f>IFERROR(IF(VLOOKUP($B741,Показатели!$E:$W,10,FALSE)=0,"",VLOOKUP($B741,Показатели!$E:$W,10,FALSE)),"")</f>
        <v>1462802000</v>
      </c>
      <c r="N741">
        <f>IFERROR(IF(VLOOKUP($B741,Показатели!$E:$W,11,FALSE)=0,"",VLOOKUP($B741,Показатели!$E:$W,11,FALSE)),"")</f>
        <v>5394988000</v>
      </c>
      <c r="O741">
        <f>IFERROR(IF(VLOOKUP($B741,Показатели!$E:$W,12,FALSE)=0,"",VLOOKUP($B741,Показатели!$E:$W,12,FALSE)),"")</f>
        <v>2796687000</v>
      </c>
      <c r="P741">
        <f>IFERROR(IF(VLOOKUP($B741,Показатели!$E:$W,13,FALSE)=0,"",VLOOKUP($B741,Показатели!$E:$W,13,FALSE)),"")</f>
        <v>3102707000</v>
      </c>
      <c r="Q741">
        <f>IFERROR(IF(VLOOKUP($B741,Показатели!$E:$W,14,FALSE)=0,"",VLOOKUP($B741,Показатели!$E:$W,14,FALSE)),"")</f>
        <v>3074043000</v>
      </c>
      <c r="R741">
        <f>IFERROR(IF(VLOOKUP($B741,Показатели!$E:$W,15,FALSE)=0,"",VLOOKUP($B741,Показатели!$E:$W,15,FALSE)),"")</f>
        <v>211031000</v>
      </c>
      <c r="S741">
        <f>IFERROR(IF(VLOOKUP($B741,Показатели!$E:$W,16,FALSE)=0,"",VLOOKUP($B741,Показатели!$E:$W,16,FALSE)),"")</f>
        <v>2887106000</v>
      </c>
      <c r="T741">
        <f>IFERROR(IF(VLOOKUP($B741,Показатели!$E:$W,17,FALSE)=0,"",VLOOKUP($B741,Показатели!$E:$W,17,FALSE)),"")</f>
        <v>-640881000</v>
      </c>
      <c r="U741">
        <f>IFERROR(IF(VLOOKUP($B741,Показатели!$E:$W,18,FALSE)=0,"",VLOOKUP($B741,Показатели!$E:$W,18,FALSE)),"")</f>
        <v>2159121000</v>
      </c>
      <c r="V741">
        <f>IFERROR(IF(VLOOKUP($B741,Показатели!$E:$W,19,FALSE)=0,"",VLOOKUP($B741,Показатели!$E:$W,19,FALSE)),"")</f>
        <v>2146685000</v>
      </c>
    </row>
    <row r="742" spans="1:22" x14ac:dyDescent="0.2">
      <c r="A742" s="7" t="s">
        <v>2270</v>
      </c>
      <c r="B742" t="str">
        <f t="shared" si="11"/>
        <v>ASTR IV кв. 2021</v>
      </c>
      <c r="C742">
        <v>2021</v>
      </c>
      <c r="D742">
        <f>SUMIFS(Дивиденды!$C:$C,Дивиденды!$A:$A,A742,Дивиденды!$I:$I,C742)</f>
        <v>0</v>
      </c>
      <c r="E742">
        <f>IFERROR(IF(VLOOKUP($B742,Показатели!$E:$W,2,FALSE)=0,"",VLOOKUP($B742,Показатели!$E:$W,2,FALSE)),"")</f>
        <v>116308000</v>
      </c>
      <c r="F742">
        <f>IFERROR(IF(VLOOKUP($B742,Показатели!$E:$W,3,FALSE)=0,"",VLOOKUP($B742,Показатели!$E:$W,3,FALSE)),"")</f>
        <v>1191692000</v>
      </c>
      <c r="G742">
        <f>IFERROR(IF(VLOOKUP($B742,Показатели!$E:$W,4,FALSE)=0,"",VLOOKUP($B742,Показатели!$E:$W,4,FALSE)),"")</f>
        <v>81241000</v>
      </c>
      <c r="H742">
        <f>IFERROR(IF(VLOOKUP($B742,Показатели!$E:$W,5,FALSE)=0,"",VLOOKUP($B742,Показатели!$E:$W,5,FALSE)),"")</f>
        <v>383741000</v>
      </c>
      <c r="I742">
        <f>IFERROR(IF(VLOOKUP($B742,Показатели!$E:$W,6,FALSE)=0,"",VLOOKUP($B742,Показатели!$E:$W,6,FALSE)),"")</f>
        <v>2146685000</v>
      </c>
      <c r="J742">
        <f>IFERROR(IF(VLOOKUP($B742,Показатели!$E:$W,7,FALSE)=0,"",VLOOKUP($B742,Показатели!$E:$W,7,FALSE)),"")</f>
        <v>1329511000</v>
      </c>
      <c r="K742">
        <f>IFERROR(IF(VLOOKUP($B742,Показатели!$E:$W,8,FALSE)=0,"",VLOOKUP($B742,Показатели!$E:$W,8,FALSE)),"")</f>
        <v>692311000</v>
      </c>
      <c r="L742">
        <f>IFERROR(IF(VLOOKUP($B742,Показатели!$E:$W,9,FALSE)=0,"",VLOOKUP($B742,Показатели!$E:$W,9,FALSE)),"")</f>
        <v>86670000</v>
      </c>
      <c r="M742">
        <f>IFERROR(IF(VLOOKUP($B742,Показатели!$E:$W,10,FALSE)=0,"",VLOOKUP($B742,Показатели!$E:$W,10,FALSE)),"")</f>
        <v>124863000</v>
      </c>
      <c r="N742">
        <f>IFERROR(IF(VLOOKUP($B742,Показатели!$E:$W,11,FALSE)=0,"",VLOOKUP($B742,Показатели!$E:$W,11,FALSE)),"")</f>
        <v>2159121000</v>
      </c>
      <c r="O742">
        <f>IFERROR(IF(VLOOKUP($B742,Показатели!$E:$W,12,FALSE)=0,"",VLOOKUP($B742,Показатели!$E:$W,12,FALSE)),"")</f>
        <v>1032008000</v>
      </c>
      <c r="P742">
        <f>IFERROR(IF(VLOOKUP($B742,Показатели!$E:$W,13,FALSE)=0,"",VLOOKUP($B742,Показатели!$E:$W,13,FALSE)),"")</f>
        <v>1110011000</v>
      </c>
      <c r="Q742">
        <f>IFERROR(IF(VLOOKUP($B742,Показатели!$E:$W,14,FALSE)=0,"",VLOOKUP($B742,Показатели!$E:$W,14,FALSE)),"")</f>
        <v>1079408000</v>
      </c>
      <c r="R742">
        <f>IFERROR(IF(VLOOKUP($B742,Показатели!$E:$W,15,FALSE)=0,"",VLOOKUP($B742,Показатели!$E:$W,15,FALSE)),"")</f>
        <v>125377000</v>
      </c>
      <c r="S742">
        <f>IFERROR(IF(VLOOKUP($B742,Показатели!$E:$W,16,FALSE)=0,"",VLOOKUP($B742,Показатели!$E:$W,16,FALSE)),"")</f>
        <v>1082050000</v>
      </c>
      <c r="T742">
        <f>IFERROR(IF(VLOOKUP($B742,Показатели!$E:$W,17,FALSE)=0,"",VLOOKUP($B742,Показатели!$E:$W,17,FALSE)),"")</f>
        <v>-293959000</v>
      </c>
      <c r="U742" t="str">
        <f>IFERROR(IF(VLOOKUP($B742,Показатели!$E:$W,18,FALSE)=0,"",VLOOKUP($B742,Показатели!$E:$W,18,FALSE)),"")</f>
        <v/>
      </c>
      <c r="V742" t="str">
        <f>IFERROR(IF(VLOOKUP($B742,Показатели!$E:$W,19,FALSE)=0,"",VLOOKUP($B742,Показатели!$E:$W,19,FALSE)),"")</f>
        <v/>
      </c>
    </row>
    <row r="743" spans="1:22" x14ac:dyDescent="0.2">
      <c r="A743" s="7" t="s">
        <v>2270</v>
      </c>
      <c r="B743" t="str">
        <f t="shared" si="11"/>
        <v>ASTR IV кв. 2020</v>
      </c>
      <c r="C743">
        <v>2020</v>
      </c>
      <c r="D743">
        <f>SUMIFS(Дивиденды!$C:$C,Дивиденды!$A:$A,A743,Дивиденды!$I:$I,C743)</f>
        <v>0</v>
      </c>
      <c r="E743" t="str">
        <f>IFERROR(IF(VLOOKUP($B743,Показатели!$E:$W,2,FALSE)=0,"",VLOOKUP($B743,Показатели!$E:$W,2,FALSE)),"")</f>
        <v/>
      </c>
      <c r="F743" t="str">
        <f>IFERROR(IF(VLOOKUP($B743,Показатели!$E:$W,3,FALSE)=0,"",VLOOKUP($B743,Показатели!$E:$W,3,FALSE)),"")</f>
        <v/>
      </c>
      <c r="G743" t="str">
        <f>IFERROR(IF(VLOOKUP($B743,Показатели!$E:$W,4,FALSE)=0,"",VLOOKUP($B743,Показатели!$E:$W,4,FALSE)),"")</f>
        <v/>
      </c>
      <c r="H743" t="str">
        <f>IFERROR(IF(VLOOKUP($B743,Показатели!$E:$W,5,FALSE)=0,"",VLOOKUP($B743,Показатели!$E:$W,5,FALSE)),"")</f>
        <v/>
      </c>
      <c r="I743" t="str">
        <f>IFERROR(IF(VLOOKUP($B743,Показатели!$E:$W,6,FALSE)=0,"",VLOOKUP($B743,Показатели!$E:$W,6,FALSE)),"")</f>
        <v/>
      </c>
      <c r="J743" t="str">
        <f>IFERROR(IF(VLOOKUP($B743,Показатели!$E:$W,7,FALSE)=0,"",VLOOKUP($B743,Показатели!$E:$W,7,FALSE)),"")</f>
        <v/>
      </c>
      <c r="K743" t="str">
        <f>IFERROR(IF(VLOOKUP($B743,Показатели!$E:$W,8,FALSE)=0,"",VLOOKUP($B743,Показатели!$E:$W,8,FALSE)),"")</f>
        <v/>
      </c>
      <c r="L743" t="str">
        <f>IFERROR(IF(VLOOKUP($B743,Показатели!$E:$W,9,FALSE)=0,"",VLOOKUP($B743,Показатели!$E:$W,9,FALSE)),"")</f>
        <v/>
      </c>
      <c r="M743" t="str">
        <f>IFERROR(IF(VLOOKUP($B743,Показатели!$E:$W,10,FALSE)=0,"",VLOOKUP($B743,Показатели!$E:$W,10,FALSE)),"")</f>
        <v/>
      </c>
      <c r="N743" t="str">
        <f>IFERROR(IF(VLOOKUP($B743,Показатели!$E:$W,11,FALSE)=0,"",VLOOKUP($B743,Показатели!$E:$W,11,FALSE)),"")</f>
        <v/>
      </c>
      <c r="O743" t="str">
        <f>IFERROR(IF(VLOOKUP($B743,Показатели!$E:$W,12,FALSE)=0,"",VLOOKUP($B743,Показатели!$E:$W,12,FALSE)),"")</f>
        <v/>
      </c>
      <c r="P743" t="str">
        <f>IFERROR(IF(VLOOKUP($B743,Показатели!$E:$W,13,FALSE)=0,"",VLOOKUP($B743,Показатели!$E:$W,13,FALSE)),"")</f>
        <v/>
      </c>
      <c r="Q743" t="str">
        <f>IFERROR(IF(VLOOKUP($B743,Показатели!$E:$W,14,FALSE)=0,"",VLOOKUP($B743,Показатели!$E:$W,14,FALSE)),"")</f>
        <v/>
      </c>
      <c r="R743" t="str">
        <f>IFERROR(IF(VLOOKUP($B743,Показатели!$E:$W,15,FALSE)=0,"",VLOOKUP($B743,Показатели!$E:$W,15,FALSE)),"")</f>
        <v/>
      </c>
      <c r="S743" t="str">
        <f>IFERROR(IF(VLOOKUP($B743,Показатели!$E:$W,16,FALSE)=0,"",VLOOKUP($B743,Показатели!$E:$W,16,FALSE)),"")</f>
        <v/>
      </c>
      <c r="T743" t="str">
        <f>IFERROR(IF(VLOOKUP($B743,Показатели!$E:$W,17,FALSE)=0,"",VLOOKUP($B743,Показатели!$E:$W,17,FALSE)),"")</f>
        <v/>
      </c>
      <c r="U743" t="str">
        <f>IFERROR(IF(VLOOKUP($B743,Показатели!$E:$W,18,FALSE)=0,"",VLOOKUP($B743,Показатели!$E:$W,18,FALSE)),"")</f>
        <v/>
      </c>
      <c r="V743" t="str">
        <f>IFERROR(IF(VLOOKUP($B743,Показатели!$E:$W,19,FALSE)=0,"",VLOOKUP($B743,Показатели!$E:$W,19,FALSE)),"")</f>
        <v/>
      </c>
    </row>
    <row r="744" spans="1:22" x14ac:dyDescent="0.2">
      <c r="A744" s="7" t="s">
        <v>2270</v>
      </c>
      <c r="B744" t="str">
        <f t="shared" si="11"/>
        <v>ASTR IV кв. 2019</v>
      </c>
      <c r="C744">
        <v>2019</v>
      </c>
      <c r="D744">
        <f>SUMIFS(Дивиденды!$C:$C,Дивиденды!$A:$A,A744,Дивиденды!$I:$I,C744)</f>
        <v>0</v>
      </c>
      <c r="E744" t="str">
        <f>IFERROR(IF(VLOOKUP($B744,Показатели!$E:$W,2,FALSE)=0,"",VLOOKUP($B744,Показатели!$E:$W,2,FALSE)),"")</f>
        <v/>
      </c>
      <c r="F744" t="str">
        <f>IFERROR(IF(VLOOKUP($B744,Показатели!$E:$W,3,FALSE)=0,"",VLOOKUP($B744,Показатели!$E:$W,3,FALSE)),"")</f>
        <v/>
      </c>
      <c r="G744" t="str">
        <f>IFERROR(IF(VLOOKUP($B744,Показатели!$E:$W,4,FALSE)=0,"",VLOOKUP($B744,Показатели!$E:$W,4,FALSE)),"")</f>
        <v/>
      </c>
      <c r="H744" t="str">
        <f>IFERROR(IF(VLOOKUP($B744,Показатели!$E:$W,5,FALSE)=0,"",VLOOKUP($B744,Показатели!$E:$W,5,FALSE)),"")</f>
        <v/>
      </c>
      <c r="I744" t="str">
        <f>IFERROR(IF(VLOOKUP($B744,Показатели!$E:$W,6,FALSE)=0,"",VLOOKUP($B744,Показатели!$E:$W,6,FALSE)),"")</f>
        <v/>
      </c>
      <c r="J744" t="str">
        <f>IFERROR(IF(VLOOKUP($B744,Показатели!$E:$W,7,FALSE)=0,"",VLOOKUP($B744,Показатели!$E:$W,7,FALSE)),"")</f>
        <v/>
      </c>
      <c r="K744" t="str">
        <f>IFERROR(IF(VLOOKUP($B744,Показатели!$E:$W,8,FALSE)=0,"",VLOOKUP($B744,Показатели!$E:$W,8,FALSE)),"")</f>
        <v/>
      </c>
      <c r="L744" t="str">
        <f>IFERROR(IF(VLOOKUP($B744,Показатели!$E:$W,9,FALSE)=0,"",VLOOKUP($B744,Показатели!$E:$W,9,FALSE)),"")</f>
        <v/>
      </c>
      <c r="M744" t="str">
        <f>IFERROR(IF(VLOOKUP($B744,Показатели!$E:$W,10,FALSE)=0,"",VLOOKUP($B744,Показатели!$E:$W,10,FALSE)),"")</f>
        <v/>
      </c>
      <c r="N744" t="str">
        <f>IFERROR(IF(VLOOKUP($B744,Показатели!$E:$W,11,FALSE)=0,"",VLOOKUP($B744,Показатели!$E:$W,11,FALSE)),"")</f>
        <v/>
      </c>
      <c r="O744" t="str">
        <f>IFERROR(IF(VLOOKUP($B744,Показатели!$E:$W,12,FALSE)=0,"",VLOOKUP($B744,Показатели!$E:$W,12,FALSE)),"")</f>
        <v/>
      </c>
      <c r="P744" t="str">
        <f>IFERROR(IF(VLOOKUP($B744,Показатели!$E:$W,13,FALSE)=0,"",VLOOKUP($B744,Показатели!$E:$W,13,FALSE)),"")</f>
        <v/>
      </c>
      <c r="Q744" t="str">
        <f>IFERROR(IF(VLOOKUP($B744,Показатели!$E:$W,14,FALSE)=0,"",VLOOKUP($B744,Показатели!$E:$W,14,FALSE)),"")</f>
        <v/>
      </c>
      <c r="R744" t="str">
        <f>IFERROR(IF(VLOOKUP($B744,Показатели!$E:$W,15,FALSE)=0,"",VLOOKUP($B744,Показатели!$E:$W,15,FALSE)),"")</f>
        <v/>
      </c>
      <c r="S744" t="str">
        <f>IFERROR(IF(VLOOKUP($B744,Показатели!$E:$W,16,FALSE)=0,"",VLOOKUP($B744,Показатели!$E:$W,16,FALSE)),"")</f>
        <v/>
      </c>
      <c r="T744" t="str">
        <f>IFERROR(IF(VLOOKUP($B744,Показатели!$E:$W,17,FALSE)=0,"",VLOOKUP($B744,Показатели!$E:$W,17,FALSE)),"")</f>
        <v/>
      </c>
      <c r="U744" t="str">
        <f>IFERROR(IF(VLOOKUP($B744,Показатели!$E:$W,18,FALSE)=0,"",VLOOKUP($B744,Показатели!$E:$W,18,FALSE)),"")</f>
        <v/>
      </c>
      <c r="V744" t="str">
        <f>IFERROR(IF(VLOOKUP($B744,Показатели!$E:$W,19,FALSE)=0,"",VLOOKUP($B744,Показатели!$E:$W,19,FALSE)),"")</f>
        <v/>
      </c>
    </row>
    <row r="745" spans="1:22" x14ac:dyDescent="0.2">
      <c r="A745" s="7" t="s">
        <v>2270</v>
      </c>
      <c r="B745" t="str">
        <f t="shared" si="11"/>
        <v>ASTR IV кв. 2018</v>
      </c>
      <c r="C745">
        <v>2018</v>
      </c>
      <c r="D745">
        <f>SUMIFS(Дивиденды!$C:$C,Дивиденды!$A:$A,A745,Дивиденды!$I:$I,C745)</f>
        <v>0</v>
      </c>
      <c r="E745" t="str">
        <f>IFERROR(IF(VLOOKUP($B745,Показатели!$E:$W,2,FALSE)=0,"",VLOOKUP($B745,Показатели!$E:$W,2,FALSE)),"")</f>
        <v/>
      </c>
      <c r="F745" t="str">
        <f>IFERROR(IF(VLOOKUP($B745,Показатели!$E:$W,3,FALSE)=0,"",VLOOKUP($B745,Показатели!$E:$W,3,FALSE)),"")</f>
        <v/>
      </c>
      <c r="G745" t="str">
        <f>IFERROR(IF(VLOOKUP($B745,Показатели!$E:$W,4,FALSE)=0,"",VLOOKUP($B745,Показатели!$E:$W,4,FALSE)),"")</f>
        <v/>
      </c>
      <c r="H745" t="str">
        <f>IFERROR(IF(VLOOKUP($B745,Показатели!$E:$W,5,FALSE)=0,"",VLOOKUP($B745,Показатели!$E:$W,5,FALSE)),"")</f>
        <v/>
      </c>
      <c r="I745" t="str">
        <f>IFERROR(IF(VLOOKUP($B745,Показатели!$E:$W,6,FALSE)=0,"",VLOOKUP($B745,Показатели!$E:$W,6,FALSE)),"")</f>
        <v/>
      </c>
      <c r="J745" t="str">
        <f>IFERROR(IF(VLOOKUP($B745,Показатели!$E:$W,7,FALSE)=0,"",VLOOKUP($B745,Показатели!$E:$W,7,FALSE)),"")</f>
        <v/>
      </c>
      <c r="K745" t="str">
        <f>IFERROR(IF(VLOOKUP($B745,Показатели!$E:$W,8,FALSE)=0,"",VLOOKUP($B745,Показатели!$E:$W,8,FALSE)),"")</f>
        <v/>
      </c>
      <c r="L745" t="str">
        <f>IFERROR(IF(VLOOKUP($B745,Показатели!$E:$W,9,FALSE)=0,"",VLOOKUP($B745,Показатели!$E:$W,9,FALSE)),"")</f>
        <v/>
      </c>
      <c r="M745" t="str">
        <f>IFERROR(IF(VLOOKUP($B745,Показатели!$E:$W,10,FALSE)=0,"",VLOOKUP($B745,Показатели!$E:$W,10,FALSE)),"")</f>
        <v/>
      </c>
      <c r="N745" t="str">
        <f>IFERROR(IF(VLOOKUP($B745,Показатели!$E:$W,11,FALSE)=0,"",VLOOKUP($B745,Показатели!$E:$W,11,FALSE)),"")</f>
        <v/>
      </c>
      <c r="O745" t="str">
        <f>IFERROR(IF(VLOOKUP($B745,Показатели!$E:$W,12,FALSE)=0,"",VLOOKUP($B745,Показатели!$E:$W,12,FALSE)),"")</f>
        <v/>
      </c>
      <c r="P745" t="str">
        <f>IFERROR(IF(VLOOKUP($B745,Показатели!$E:$W,13,FALSE)=0,"",VLOOKUP($B745,Показатели!$E:$W,13,FALSE)),"")</f>
        <v/>
      </c>
      <c r="Q745" t="str">
        <f>IFERROR(IF(VLOOKUP($B745,Показатели!$E:$W,14,FALSE)=0,"",VLOOKUP($B745,Показатели!$E:$W,14,FALSE)),"")</f>
        <v/>
      </c>
      <c r="R745" t="str">
        <f>IFERROR(IF(VLOOKUP($B745,Показатели!$E:$W,15,FALSE)=0,"",VLOOKUP($B745,Показатели!$E:$W,15,FALSE)),"")</f>
        <v/>
      </c>
      <c r="S745" t="str">
        <f>IFERROR(IF(VLOOKUP($B745,Показатели!$E:$W,16,FALSE)=0,"",VLOOKUP($B745,Показатели!$E:$W,16,FALSE)),"")</f>
        <v/>
      </c>
      <c r="T745" t="str">
        <f>IFERROR(IF(VLOOKUP($B745,Показатели!$E:$W,17,FALSE)=0,"",VLOOKUP($B745,Показатели!$E:$W,17,FALSE)),"")</f>
        <v/>
      </c>
      <c r="U745" t="str">
        <f>IFERROR(IF(VLOOKUP($B745,Показатели!$E:$W,18,FALSE)=0,"",VLOOKUP($B745,Показатели!$E:$W,18,FALSE)),"")</f>
        <v/>
      </c>
      <c r="V745" t="str">
        <f>IFERROR(IF(VLOOKUP($B745,Показатели!$E:$W,19,FALSE)=0,"",VLOOKUP($B745,Показатели!$E:$W,19,FALSE)),"")</f>
        <v/>
      </c>
    </row>
    <row r="746" spans="1:22" x14ac:dyDescent="0.2">
      <c r="A746" s="7" t="s">
        <v>2270</v>
      </c>
      <c r="B746" t="str">
        <f t="shared" si="11"/>
        <v>ASTR IV кв. 2017</v>
      </c>
      <c r="C746">
        <v>2017</v>
      </c>
      <c r="D746">
        <f>SUMIFS(Дивиденды!$C:$C,Дивиденды!$A:$A,A746,Дивиденды!$I:$I,C746)</f>
        <v>0</v>
      </c>
      <c r="E746" t="str">
        <f>IFERROR(IF(VLOOKUP($B746,Показатели!$E:$W,2,FALSE)=0,"",VLOOKUP($B746,Показатели!$E:$W,2,FALSE)),"")</f>
        <v/>
      </c>
      <c r="F746" t="str">
        <f>IFERROR(IF(VLOOKUP($B746,Показатели!$E:$W,3,FALSE)=0,"",VLOOKUP($B746,Показатели!$E:$W,3,FALSE)),"")</f>
        <v/>
      </c>
      <c r="G746" t="str">
        <f>IFERROR(IF(VLOOKUP($B746,Показатели!$E:$W,4,FALSE)=0,"",VLOOKUP($B746,Показатели!$E:$W,4,FALSE)),"")</f>
        <v/>
      </c>
      <c r="H746" t="str">
        <f>IFERROR(IF(VLOOKUP($B746,Показатели!$E:$W,5,FALSE)=0,"",VLOOKUP($B746,Показатели!$E:$W,5,FALSE)),"")</f>
        <v/>
      </c>
      <c r="I746" t="str">
        <f>IFERROR(IF(VLOOKUP($B746,Показатели!$E:$W,6,FALSE)=0,"",VLOOKUP($B746,Показатели!$E:$W,6,FALSE)),"")</f>
        <v/>
      </c>
      <c r="J746" t="str">
        <f>IFERROR(IF(VLOOKUP($B746,Показатели!$E:$W,7,FALSE)=0,"",VLOOKUP($B746,Показатели!$E:$W,7,FALSE)),"")</f>
        <v/>
      </c>
      <c r="K746" t="str">
        <f>IFERROR(IF(VLOOKUP($B746,Показатели!$E:$W,8,FALSE)=0,"",VLOOKUP($B746,Показатели!$E:$W,8,FALSE)),"")</f>
        <v/>
      </c>
      <c r="L746" t="str">
        <f>IFERROR(IF(VLOOKUP($B746,Показатели!$E:$W,9,FALSE)=0,"",VLOOKUP($B746,Показатели!$E:$W,9,FALSE)),"")</f>
        <v/>
      </c>
      <c r="M746" t="str">
        <f>IFERROR(IF(VLOOKUP($B746,Показатели!$E:$W,10,FALSE)=0,"",VLOOKUP($B746,Показатели!$E:$W,10,FALSE)),"")</f>
        <v/>
      </c>
      <c r="N746" t="str">
        <f>IFERROR(IF(VLOOKUP($B746,Показатели!$E:$W,11,FALSE)=0,"",VLOOKUP($B746,Показатели!$E:$W,11,FALSE)),"")</f>
        <v/>
      </c>
      <c r="O746" t="str">
        <f>IFERROR(IF(VLOOKUP($B746,Показатели!$E:$W,12,FALSE)=0,"",VLOOKUP($B746,Показатели!$E:$W,12,FALSE)),"")</f>
        <v/>
      </c>
      <c r="P746" t="str">
        <f>IFERROR(IF(VLOOKUP($B746,Показатели!$E:$W,13,FALSE)=0,"",VLOOKUP($B746,Показатели!$E:$W,13,FALSE)),"")</f>
        <v/>
      </c>
      <c r="Q746" t="str">
        <f>IFERROR(IF(VLOOKUP($B746,Показатели!$E:$W,14,FALSE)=0,"",VLOOKUP($B746,Показатели!$E:$W,14,FALSE)),"")</f>
        <v/>
      </c>
      <c r="R746" t="str">
        <f>IFERROR(IF(VLOOKUP($B746,Показатели!$E:$W,15,FALSE)=0,"",VLOOKUP($B746,Показатели!$E:$W,15,FALSE)),"")</f>
        <v/>
      </c>
      <c r="S746" t="str">
        <f>IFERROR(IF(VLOOKUP($B746,Показатели!$E:$W,16,FALSE)=0,"",VLOOKUP($B746,Показатели!$E:$W,16,FALSE)),"")</f>
        <v/>
      </c>
      <c r="T746" t="str">
        <f>IFERROR(IF(VLOOKUP($B746,Показатели!$E:$W,17,FALSE)=0,"",VLOOKUP($B746,Показатели!$E:$W,17,FALSE)),"")</f>
        <v/>
      </c>
      <c r="U746" t="str">
        <f>IFERROR(IF(VLOOKUP($B746,Показатели!$E:$W,18,FALSE)=0,"",VLOOKUP($B746,Показатели!$E:$W,18,FALSE)),"")</f>
        <v/>
      </c>
      <c r="V746" t="str">
        <f>IFERROR(IF(VLOOKUP($B746,Показатели!$E:$W,19,FALSE)=0,"",VLOOKUP($B746,Показатели!$E:$W,19,FALSE)),"")</f>
        <v/>
      </c>
    </row>
    <row r="747" spans="1:22" x14ac:dyDescent="0.2">
      <c r="A747" s="7" t="s">
        <v>2270</v>
      </c>
      <c r="B747" t="str">
        <f t="shared" si="11"/>
        <v>ASTR IV кв. 2016</v>
      </c>
      <c r="C747">
        <v>2016</v>
      </c>
      <c r="D747">
        <f>SUMIFS(Дивиденды!$C:$C,Дивиденды!$A:$A,A747,Дивиденды!$I:$I,C747)</f>
        <v>0</v>
      </c>
      <c r="E747" t="str">
        <f>IFERROR(IF(VLOOKUP($B747,Показатели!$E:$W,2,FALSE)=0,"",VLOOKUP($B747,Показатели!$E:$W,2,FALSE)),"")</f>
        <v/>
      </c>
      <c r="F747" t="str">
        <f>IFERROR(IF(VLOOKUP($B747,Показатели!$E:$W,3,FALSE)=0,"",VLOOKUP($B747,Показатели!$E:$W,3,FALSE)),"")</f>
        <v/>
      </c>
      <c r="G747" t="str">
        <f>IFERROR(IF(VLOOKUP($B747,Показатели!$E:$W,4,FALSE)=0,"",VLOOKUP($B747,Показатели!$E:$W,4,FALSE)),"")</f>
        <v/>
      </c>
      <c r="H747" t="str">
        <f>IFERROR(IF(VLOOKUP($B747,Показатели!$E:$W,5,FALSE)=0,"",VLOOKUP($B747,Показатели!$E:$W,5,FALSE)),"")</f>
        <v/>
      </c>
      <c r="I747" t="str">
        <f>IFERROR(IF(VLOOKUP($B747,Показатели!$E:$W,6,FALSE)=0,"",VLOOKUP($B747,Показатели!$E:$W,6,FALSE)),"")</f>
        <v/>
      </c>
      <c r="J747" t="str">
        <f>IFERROR(IF(VLOOKUP($B747,Показатели!$E:$W,7,FALSE)=0,"",VLOOKUP($B747,Показатели!$E:$W,7,FALSE)),"")</f>
        <v/>
      </c>
      <c r="K747" t="str">
        <f>IFERROR(IF(VLOOKUP($B747,Показатели!$E:$W,8,FALSE)=0,"",VLOOKUP($B747,Показатели!$E:$W,8,FALSE)),"")</f>
        <v/>
      </c>
      <c r="L747" t="str">
        <f>IFERROR(IF(VLOOKUP($B747,Показатели!$E:$W,9,FALSE)=0,"",VLOOKUP($B747,Показатели!$E:$W,9,FALSE)),"")</f>
        <v/>
      </c>
      <c r="M747" t="str">
        <f>IFERROR(IF(VLOOKUP($B747,Показатели!$E:$W,10,FALSE)=0,"",VLOOKUP($B747,Показатели!$E:$W,10,FALSE)),"")</f>
        <v/>
      </c>
      <c r="N747" t="str">
        <f>IFERROR(IF(VLOOKUP($B747,Показатели!$E:$W,11,FALSE)=0,"",VLOOKUP($B747,Показатели!$E:$W,11,FALSE)),"")</f>
        <v/>
      </c>
      <c r="O747" t="str">
        <f>IFERROR(IF(VLOOKUP($B747,Показатели!$E:$W,12,FALSE)=0,"",VLOOKUP($B747,Показатели!$E:$W,12,FALSE)),"")</f>
        <v/>
      </c>
      <c r="P747" t="str">
        <f>IFERROR(IF(VLOOKUP($B747,Показатели!$E:$W,13,FALSE)=0,"",VLOOKUP($B747,Показатели!$E:$W,13,FALSE)),"")</f>
        <v/>
      </c>
      <c r="Q747" t="str">
        <f>IFERROR(IF(VLOOKUP($B747,Показатели!$E:$W,14,FALSE)=0,"",VLOOKUP($B747,Показатели!$E:$W,14,FALSE)),"")</f>
        <v/>
      </c>
      <c r="R747" t="str">
        <f>IFERROR(IF(VLOOKUP($B747,Показатели!$E:$W,15,FALSE)=0,"",VLOOKUP($B747,Показатели!$E:$W,15,FALSE)),"")</f>
        <v/>
      </c>
      <c r="S747" t="str">
        <f>IFERROR(IF(VLOOKUP($B747,Показатели!$E:$W,16,FALSE)=0,"",VLOOKUP($B747,Показатели!$E:$W,16,FALSE)),"")</f>
        <v/>
      </c>
      <c r="T747" t="str">
        <f>IFERROR(IF(VLOOKUP($B747,Показатели!$E:$W,17,FALSE)=0,"",VLOOKUP($B747,Показатели!$E:$W,17,FALSE)),"")</f>
        <v/>
      </c>
      <c r="U747" t="str">
        <f>IFERROR(IF(VLOOKUP($B747,Показатели!$E:$W,18,FALSE)=0,"",VLOOKUP($B747,Показатели!$E:$W,18,FALSE)),"")</f>
        <v/>
      </c>
      <c r="V747" t="str">
        <f>IFERROR(IF(VLOOKUP($B747,Показатели!$E:$W,19,FALSE)=0,"",VLOOKUP($B747,Показатели!$E:$W,19,FALSE)),"")</f>
        <v/>
      </c>
    </row>
    <row r="748" spans="1:22" x14ac:dyDescent="0.2">
      <c r="A748" s="7" t="s">
        <v>2270</v>
      </c>
      <c r="B748" t="str">
        <f t="shared" si="11"/>
        <v>ASTR IV кв. 2015</v>
      </c>
      <c r="C748">
        <v>2015</v>
      </c>
      <c r="D748">
        <f>SUMIFS(Дивиденды!$C:$C,Дивиденды!$A:$A,A748,Дивиденды!$I:$I,C748)</f>
        <v>0</v>
      </c>
      <c r="E748" t="str">
        <f>IFERROR(IF(VLOOKUP($B748,Показатели!$E:$W,2,FALSE)=0,"",VLOOKUP($B748,Показатели!$E:$W,2,FALSE)),"")</f>
        <v/>
      </c>
      <c r="F748" t="str">
        <f>IFERROR(IF(VLOOKUP($B748,Показатели!$E:$W,3,FALSE)=0,"",VLOOKUP($B748,Показатели!$E:$W,3,FALSE)),"")</f>
        <v/>
      </c>
      <c r="G748" t="str">
        <f>IFERROR(IF(VLOOKUP($B748,Показатели!$E:$W,4,FALSE)=0,"",VLOOKUP($B748,Показатели!$E:$W,4,FALSE)),"")</f>
        <v/>
      </c>
      <c r="H748" t="str">
        <f>IFERROR(IF(VLOOKUP($B748,Показатели!$E:$W,5,FALSE)=0,"",VLOOKUP($B748,Показатели!$E:$W,5,FALSE)),"")</f>
        <v/>
      </c>
      <c r="I748" t="str">
        <f>IFERROR(IF(VLOOKUP($B748,Показатели!$E:$W,6,FALSE)=0,"",VLOOKUP($B748,Показатели!$E:$W,6,FALSE)),"")</f>
        <v/>
      </c>
      <c r="J748" t="str">
        <f>IFERROR(IF(VLOOKUP($B748,Показатели!$E:$W,7,FALSE)=0,"",VLOOKUP($B748,Показатели!$E:$W,7,FALSE)),"")</f>
        <v/>
      </c>
      <c r="K748" t="str">
        <f>IFERROR(IF(VLOOKUP($B748,Показатели!$E:$W,8,FALSE)=0,"",VLOOKUP($B748,Показатели!$E:$W,8,FALSE)),"")</f>
        <v/>
      </c>
      <c r="L748" t="str">
        <f>IFERROR(IF(VLOOKUP($B748,Показатели!$E:$W,9,FALSE)=0,"",VLOOKUP($B748,Показатели!$E:$W,9,FALSE)),"")</f>
        <v/>
      </c>
      <c r="M748" t="str">
        <f>IFERROR(IF(VLOOKUP($B748,Показатели!$E:$W,10,FALSE)=0,"",VLOOKUP($B748,Показатели!$E:$W,10,FALSE)),"")</f>
        <v/>
      </c>
      <c r="N748" t="str">
        <f>IFERROR(IF(VLOOKUP($B748,Показатели!$E:$W,11,FALSE)=0,"",VLOOKUP($B748,Показатели!$E:$W,11,FALSE)),"")</f>
        <v/>
      </c>
      <c r="O748" t="str">
        <f>IFERROR(IF(VLOOKUP($B748,Показатели!$E:$W,12,FALSE)=0,"",VLOOKUP($B748,Показатели!$E:$W,12,FALSE)),"")</f>
        <v/>
      </c>
      <c r="P748" t="str">
        <f>IFERROR(IF(VLOOKUP($B748,Показатели!$E:$W,13,FALSE)=0,"",VLOOKUP($B748,Показатели!$E:$W,13,FALSE)),"")</f>
        <v/>
      </c>
      <c r="Q748" t="str">
        <f>IFERROR(IF(VLOOKUP($B748,Показатели!$E:$W,14,FALSE)=0,"",VLOOKUP($B748,Показатели!$E:$W,14,FALSE)),"")</f>
        <v/>
      </c>
      <c r="R748" t="str">
        <f>IFERROR(IF(VLOOKUP($B748,Показатели!$E:$W,15,FALSE)=0,"",VLOOKUP($B748,Показатели!$E:$W,15,FALSE)),"")</f>
        <v/>
      </c>
      <c r="S748" t="str">
        <f>IFERROR(IF(VLOOKUP($B748,Показатели!$E:$W,16,FALSE)=0,"",VLOOKUP($B748,Показатели!$E:$W,16,FALSE)),"")</f>
        <v/>
      </c>
      <c r="T748" t="str">
        <f>IFERROR(IF(VLOOKUP($B748,Показатели!$E:$W,17,FALSE)=0,"",VLOOKUP($B748,Показатели!$E:$W,17,FALSE)),"")</f>
        <v/>
      </c>
      <c r="U748" t="str">
        <f>IFERROR(IF(VLOOKUP($B748,Показатели!$E:$W,18,FALSE)=0,"",VLOOKUP($B748,Показатели!$E:$W,18,FALSE)),"")</f>
        <v/>
      </c>
      <c r="V748" t="str">
        <f>IFERROR(IF(VLOOKUP($B748,Показатели!$E:$W,19,FALSE)=0,"",VLOOKUP($B748,Показатели!$E:$W,19,FALSE)),"")</f>
        <v/>
      </c>
    </row>
    <row r="749" spans="1:22" x14ac:dyDescent="0.2">
      <c r="A749" s="7" t="s">
        <v>2270</v>
      </c>
      <c r="B749" t="str">
        <f t="shared" si="11"/>
        <v>ASTR IV кв. 2014</v>
      </c>
      <c r="C749">
        <v>2014</v>
      </c>
      <c r="D749">
        <f>SUMIFS(Дивиденды!$C:$C,Дивиденды!$A:$A,A749,Дивиденды!$I:$I,C749)</f>
        <v>0</v>
      </c>
      <c r="E749" t="str">
        <f>IFERROR(IF(VLOOKUP($B749,Показатели!$E:$W,2,FALSE)=0,"",VLOOKUP($B749,Показатели!$E:$W,2,FALSE)),"")</f>
        <v/>
      </c>
      <c r="F749" t="str">
        <f>IFERROR(IF(VLOOKUP($B749,Показатели!$E:$W,3,FALSE)=0,"",VLOOKUP($B749,Показатели!$E:$W,3,FALSE)),"")</f>
        <v/>
      </c>
      <c r="G749" t="str">
        <f>IFERROR(IF(VLOOKUP($B749,Показатели!$E:$W,4,FALSE)=0,"",VLOOKUP($B749,Показатели!$E:$W,4,FALSE)),"")</f>
        <v/>
      </c>
      <c r="H749" t="str">
        <f>IFERROR(IF(VLOOKUP($B749,Показатели!$E:$W,5,FALSE)=0,"",VLOOKUP($B749,Показатели!$E:$W,5,FALSE)),"")</f>
        <v/>
      </c>
      <c r="I749" t="str">
        <f>IFERROR(IF(VLOOKUP($B749,Показатели!$E:$W,6,FALSE)=0,"",VLOOKUP($B749,Показатели!$E:$W,6,FALSE)),"")</f>
        <v/>
      </c>
      <c r="J749" t="str">
        <f>IFERROR(IF(VLOOKUP($B749,Показатели!$E:$W,7,FALSE)=0,"",VLOOKUP($B749,Показатели!$E:$W,7,FALSE)),"")</f>
        <v/>
      </c>
      <c r="K749" t="str">
        <f>IFERROR(IF(VLOOKUP($B749,Показатели!$E:$W,8,FALSE)=0,"",VLOOKUP($B749,Показатели!$E:$W,8,FALSE)),"")</f>
        <v/>
      </c>
      <c r="L749" t="str">
        <f>IFERROR(IF(VLOOKUP($B749,Показатели!$E:$W,9,FALSE)=0,"",VLOOKUP($B749,Показатели!$E:$W,9,FALSE)),"")</f>
        <v/>
      </c>
      <c r="M749" t="str">
        <f>IFERROR(IF(VLOOKUP($B749,Показатели!$E:$W,10,FALSE)=0,"",VLOOKUP($B749,Показатели!$E:$W,10,FALSE)),"")</f>
        <v/>
      </c>
      <c r="N749" t="str">
        <f>IFERROR(IF(VLOOKUP($B749,Показатели!$E:$W,11,FALSE)=0,"",VLOOKUP($B749,Показатели!$E:$W,11,FALSE)),"")</f>
        <v/>
      </c>
      <c r="O749" t="str">
        <f>IFERROR(IF(VLOOKUP($B749,Показатели!$E:$W,12,FALSE)=0,"",VLOOKUP($B749,Показатели!$E:$W,12,FALSE)),"")</f>
        <v/>
      </c>
      <c r="P749" t="str">
        <f>IFERROR(IF(VLOOKUP($B749,Показатели!$E:$W,13,FALSE)=0,"",VLOOKUP($B749,Показатели!$E:$W,13,FALSE)),"")</f>
        <v/>
      </c>
      <c r="Q749" t="str">
        <f>IFERROR(IF(VLOOKUP($B749,Показатели!$E:$W,14,FALSE)=0,"",VLOOKUP($B749,Показатели!$E:$W,14,FALSE)),"")</f>
        <v/>
      </c>
      <c r="R749" t="str">
        <f>IFERROR(IF(VLOOKUP($B749,Показатели!$E:$W,15,FALSE)=0,"",VLOOKUP($B749,Показатели!$E:$W,15,FALSE)),"")</f>
        <v/>
      </c>
      <c r="S749" t="str">
        <f>IFERROR(IF(VLOOKUP($B749,Показатели!$E:$W,16,FALSE)=0,"",VLOOKUP($B749,Показатели!$E:$W,16,FALSE)),"")</f>
        <v/>
      </c>
      <c r="T749" t="str">
        <f>IFERROR(IF(VLOOKUP($B749,Показатели!$E:$W,17,FALSE)=0,"",VLOOKUP($B749,Показатели!$E:$W,17,FALSE)),"")</f>
        <v/>
      </c>
      <c r="U749" t="str">
        <f>IFERROR(IF(VLOOKUP($B749,Показатели!$E:$W,18,FALSE)=0,"",VLOOKUP($B749,Показатели!$E:$W,18,FALSE)),"")</f>
        <v/>
      </c>
      <c r="V749" t="str">
        <f>IFERROR(IF(VLOOKUP($B749,Показатели!$E:$W,19,FALSE)=0,"",VLOOKUP($B749,Показатели!$E:$W,19,FALSE)),"")</f>
        <v/>
      </c>
    </row>
    <row r="750" spans="1:22" x14ac:dyDescent="0.2">
      <c r="A750" s="7" t="s">
        <v>2270</v>
      </c>
      <c r="B750" t="str">
        <f t="shared" si="11"/>
        <v>ASTR IV кв. 2013</v>
      </c>
      <c r="C750">
        <v>2013</v>
      </c>
      <c r="D750">
        <f>SUMIFS(Дивиденды!$C:$C,Дивиденды!$A:$A,A750,Дивиденды!$I:$I,C750)</f>
        <v>0</v>
      </c>
      <c r="E750" t="str">
        <f>IFERROR(IF(VLOOKUP($B750,Показатели!$E:$W,2,FALSE)=0,"",VLOOKUP($B750,Показатели!$E:$W,2,FALSE)),"")</f>
        <v/>
      </c>
      <c r="F750" t="str">
        <f>IFERROR(IF(VLOOKUP($B750,Показатели!$E:$W,3,FALSE)=0,"",VLOOKUP($B750,Показатели!$E:$W,3,FALSE)),"")</f>
        <v/>
      </c>
      <c r="G750" t="str">
        <f>IFERROR(IF(VLOOKUP($B750,Показатели!$E:$W,4,FALSE)=0,"",VLOOKUP($B750,Показатели!$E:$W,4,FALSE)),"")</f>
        <v/>
      </c>
      <c r="H750" t="str">
        <f>IFERROR(IF(VLOOKUP($B750,Показатели!$E:$W,5,FALSE)=0,"",VLOOKUP($B750,Показатели!$E:$W,5,FALSE)),"")</f>
        <v/>
      </c>
      <c r="I750" t="str">
        <f>IFERROR(IF(VLOOKUP($B750,Показатели!$E:$W,6,FALSE)=0,"",VLOOKUP($B750,Показатели!$E:$W,6,FALSE)),"")</f>
        <v/>
      </c>
      <c r="J750" t="str">
        <f>IFERROR(IF(VLOOKUP($B750,Показатели!$E:$W,7,FALSE)=0,"",VLOOKUP($B750,Показатели!$E:$W,7,FALSE)),"")</f>
        <v/>
      </c>
      <c r="K750" t="str">
        <f>IFERROR(IF(VLOOKUP($B750,Показатели!$E:$W,8,FALSE)=0,"",VLOOKUP($B750,Показатели!$E:$W,8,FALSE)),"")</f>
        <v/>
      </c>
      <c r="L750" t="str">
        <f>IFERROR(IF(VLOOKUP($B750,Показатели!$E:$W,9,FALSE)=0,"",VLOOKUP($B750,Показатели!$E:$W,9,FALSE)),"")</f>
        <v/>
      </c>
      <c r="M750" t="str">
        <f>IFERROR(IF(VLOOKUP($B750,Показатели!$E:$W,10,FALSE)=0,"",VLOOKUP($B750,Показатели!$E:$W,10,FALSE)),"")</f>
        <v/>
      </c>
      <c r="N750" t="str">
        <f>IFERROR(IF(VLOOKUP($B750,Показатели!$E:$W,11,FALSE)=0,"",VLOOKUP($B750,Показатели!$E:$W,11,FALSE)),"")</f>
        <v/>
      </c>
      <c r="O750" t="str">
        <f>IFERROR(IF(VLOOKUP($B750,Показатели!$E:$W,12,FALSE)=0,"",VLOOKUP($B750,Показатели!$E:$W,12,FALSE)),"")</f>
        <v/>
      </c>
      <c r="P750" t="str">
        <f>IFERROR(IF(VLOOKUP($B750,Показатели!$E:$W,13,FALSE)=0,"",VLOOKUP($B750,Показатели!$E:$W,13,FALSE)),"")</f>
        <v/>
      </c>
      <c r="Q750" t="str">
        <f>IFERROR(IF(VLOOKUP($B750,Показатели!$E:$W,14,FALSE)=0,"",VLOOKUP($B750,Показатели!$E:$W,14,FALSE)),"")</f>
        <v/>
      </c>
      <c r="R750" t="str">
        <f>IFERROR(IF(VLOOKUP($B750,Показатели!$E:$W,15,FALSE)=0,"",VLOOKUP($B750,Показатели!$E:$W,15,FALSE)),"")</f>
        <v/>
      </c>
      <c r="S750" t="str">
        <f>IFERROR(IF(VLOOKUP($B750,Показатели!$E:$W,16,FALSE)=0,"",VLOOKUP($B750,Показатели!$E:$W,16,FALSE)),"")</f>
        <v/>
      </c>
      <c r="T750" t="str">
        <f>IFERROR(IF(VLOOKUP($B750,Показатели!$E:$W,17,FALSE)=0,"",VLOOKUP($B750,Показатели!$E:$W,17,FALSE)),"")</f>
        <v/>
      </c>
      <c r="U750" t="str">
        <f>IFERROR(IF(VLOOKUP($B750,Показатели!$E:$W,18,FALSE)=0,"",VLOOKUP($B750,Показатели!$E:$W,18,FALSE)),"")</f>
        <v/>
      </c>
      <c r="V750" t="str">
        <f>IFERROR(IF(VLOOKUP($B750,Показатели!$E:$W,19,FALSE)=0,"",VLOOKUP($B750,Показатели!$E:$W,19,FALSE)),"")</f>
        <v/>
      </c>
    </row>
    <row r="751" spans="1:22" x14ac:dyDescent="0.2">
      <c r="A751" s="7" t="s">
        <v>2270</v>
      </c>
      <c r="B751" t="str">
        <f t="shared" si="11"/>
        <v>ASTR IV кв. 2012</v>
      </c>
      <c r="C751">
        <v>2012</v>
      </c>
      <c r="D751">
        <f>SUMIFS(Дивиденды!$C:$C,Дивиденды!$A:$A,A751,Дивиденды!$I:$I,C751)</f>
        <v>0</v>
      </c>
      <c r="E751" t="str">
        <f>IFERROR(IF(VLOOKUP($B751,Показатели!$E:$W,2,FALSE)=0,"",VLOOKUP($B751,Показатели!$E:$W,2,FALSE)),"")</f>
        <v/>
      </c>
      <c r="F751" t="str">
        <f>IFERROR(IF(VLOOKUP($B751,Показатели!$E:$W,3,FALSE)=0,"",VLOOKUP($B751,Показатели!$E:$W,3,FALSE)),"")</f>
        <v/>
      </c>
      <c r="G751" t="str">
        <f>IFERROR(IF(VLOOKUP($B751,Показатели!$E:$W,4,FALSE)=0,"",VLOOKUP($B751,Показатели!$E:$W,4,FALSE)),"")</f>
        <v/>
      </c>
      <c r="H751" t="str">
        <f>IFERROR(IF(VLOOKUP($B751,Показатели!$E:$W,5,FALSE)=0,"",VLOOKUP($B751,Показатели!$E:$W,5,FALSE)),"")</f>
        <v/>
      </c>
      <c r="I751" t="str">
        <f>IFERROR(IF(VLOOKUP($B751,Показатели!$E:$W,6,FALSE)=0,"",VLOOKUP($B751,Показатели!$E:$W,6,FALSE)),"")</f>
        <v/>
      </c>
      <c r="J751" t="str">
        <f>IFERROR(IF(VLOOKUP($B751,Показатели!$E:$W,7,FALSE)=0,"",VLOOKUP($B751,Показатели!$E:$W,7,FALSE)),"")</f>
        <v/>
      </c>
      <c r="K751" t="str">
        <f>IFERROR(IF(VLOOKUP($B751,Показатели!$E:$W,8,FALSE)=0,"",VLOOKUP($B751,Показатели!$E:$W,8,FALSE)),"")</f>
        <v/>
      </c>
      <c r="L751" t="str">
        <f>IFERROR(IF(VLOOKUP($B751,Показатели!$E:$W,9,FALSE)=0,"",VLOOKUP($B751,Показатели!$E:$W,9,FALSE)),"")</f>
        <v/>
      </c>
      <c r="M751" t="str">
        <f>IFERROR(IF(VLOOKUP($B751,Показатели!$E:$W,10,FALSE)=0,"",VLOOKUP($B751,Показатели!$E:$W,10,FALSE)),"")</f>
        <v/>
      </c>
      <c r="N751" t="str">
        <f>IFERROR(IF(VLOOKUP($B751,Показатели!$E:$W,11,FALSE)=0,"",VLOOKUP($B751,Показатели!$E:$W,11,FALSE)),"")</f>
        <v/>
      </c>
      <c r="O751" t="str">
        <f>IFERROR(IF(VLOOKUP($B751,Показатели!$E:$W,12,FALSE)=0,"",VLOOKUP($B751,Показатели!$E:$W,12,FALSE)),"")</f>
        <v/>
      </c>
      <c r="P751" t="str">
        <f>IFERROR(IF(VLOOKUP($B751,Показатели!$E:$W,13,FALSE)=0,"",VLOOKUP($B751,Показатели!$E:$W,13,FALSE)),"")</f>
        <v/>
      </c>
      <c r="Q751" t="str">
        <f>IFERROR(IF(VLOOKUP($B751,Показатели!$E:$W,14,FALSE)=0,"",VLOOKUP($B751,Показатели!$E:$W,14,FALSE)),"")</f>
        <v/>
      </c>
      <c r="R751" t="str">
        <f>IFERROR(IF(VLOOKUP($B751,Показатели!$E:$W,15,FALSE)=0,"",VLOOKUP($B751,Показатели!$E:$W,15,FALSE)),"")</f>
        <v/>
      </c>
      <c r="S751" t="str">
        <f>IFERROR(IF(VLOOKUP($B751,Показатели!$E:$W,16,FALSE)=0,"",VLOOKUP($B751,Показатели!$E:$W,16,FALSE)),"")</f>
        <v/>
      </c>
      <c r="T751" t="str">
        <f>IFERROR(IF(VLOOKUP($B751,Показатели!$E:$W,17,FALSE)=0,"",VLOOKUP($B751,Показатели!$E:$W,17,FALSE)),"")</f>
        <v/>
      </c>
      <c r="U751" t="str">
        <f>IFERROR(IF(VLOOKUP($B751,Показатели!$E:$W,18,FALSE)=0,"",VLOOKUP($B751,Показатели!$E:$W,18,FALSE)),"")</f>
        <v/>
      </c>
      <c r="V751" t="str">
        <f>IFERROR(IF(VLOOKUP($B751,Показатели!$E:$W,19,FALSE)=0,"",VLOOKUP($B751,Показатели!$E:$W,19,FALSE)),"")</f>
        <v/>
      </c>
    </row>
    <row r="752" spans="1:22" x14ac:dyDescent="0.2">
      <c r="A752" s="7" t="s">
        <v>2270</v>
      </c>
      <c r="B752" t="str">
        <f t="shared" si="11"/>
        <v>ASTR IV кв. 2011</v>
      </c>
      <c r="C752">
        <v>2011</v>
      </c>
      <c r="D752">
        <f>SUMIFS(Дивиденды!$C:$C,Дивиденды!$A:$A,A752,Дивиденды!$I:$I,C752)</f>
        <v>0</v>
      </c>
      <c r="E752" t="str">
        <f>IFERROR(IF(VLOOKUP($B752,Показатели!$E:$W,2,FALSE)=0,"",VLOOKUP($B752,Показатели!$E:$W,2,FALSE)),"")</f>
        <v/>
      </c>
      <c r="F752" t="str">
        <f>IFERROR(IF(VLOOKUP($B752,Показатели!$E:$W,3,FALSE)=0,"",VLOOKUP($B752,Показатели!$E:$W,3,FALSE)),"")</f>
        <v/>
      </c>
      <c r="G752" t="str">
        <f>IFERROR(IF(VLOOKUP($B752,Показатели!$E:$W,4,FALSE)=0,"",VLOOKUP($B752,Показатели!$E:$W,4,FALSE)),"")</f>
        <v/>
      </c>
      <c r="H752" t="str">
        <f>IFERROR(IF(VLOOKUP($B752,Показатели!$E:$W,5,FALSE)=0,"",VLOOKUP($B752,Показатели!$E:$W,5,FALSE)),"")</f>
        <v/>
      </c>
      <c r="I752" t="str">
        <f>IFERROR(IF(VLOOKUP($B752,Показатели!$E:$W,6,FALSE)=0,"",VLOOKUP($B752,Показатели!$E:$W,6,FALSE)),"")</f>
        <v/>
      </c>
      <c r="J752" t="str">
        <f>IFERROR(IF(VLOOKUP($B752,Показатели!$E:$W,7,FALSE)=0,"",VLOOKUP($B752,Показатели!$E:$W,7,FALSE)),"")</f>
        <v/>
      </c>
      <c r="K752" t="str">
        <f>IFERROR(IF(VLOOKUP($B752,Показатели!$E:$W,8,FALSE)=0,"",VLOOKUP($B752,Показатели!$E:$W,8,FALSE)),"")</f>
        <v/>
      </c>
      <c r="L752" t="str">
        <f>IFERROR(IF(VLOOKUP($B752,Показатели!$E:$W,9,FALSE)=0,"",VLOOKUP($B752,Показатели!$E:$W,9,FALSE)),"")</f>
        <v/>
      </c>
      <c r="M752" t="str">
        <f>IFERROR(IF(VLOOKUP($B752,Показатели!$E:$W,10,FALSE)=0,"",VLOOKUP($B752,Показатели!$E:$W,10,FALSE)),"")</f>
        <v/>
      </c>
      <c r="N752" t="str">
        <f>IFERROR(IF(VLOOKUP($B752,Показатели!$E:$W,11,FALSE)=0,"",VLOOKUP($B752,Показатели!$E:$W,11,FALSE)),"")</f>
        <v/>
      </c>
      <c r="O752" t="str">
        <f>IFERROR(IF(VLOOKUP($B752,Показатели!$E:$W,12,FALSE)=0,"",VLOOKUP($B752,Показатели!$E:$W,12,FALSE)),"")</f>
        <v/>
      </c>
      <c r="P752" t="str">
        <f>IFERROR(IF(VLOOKUP($B752,Показатели!$E:$W,13,FALSE)=0,"",VLOOKUP($B752,Показатели!$E:$W,13,FALSE)),"")</f>
        <v/>
      </c>
      <c r="Q752" t="str">
        <f>IFERROR(IF(VLOOKUP($B752,Показатели!$E:$W,14,FALSE)=0,"",VLOOKUP($B752,Показатели!$E:$W,14,FALSE)),"")</f>
        <v/>
      </c>
      <c r="R752" t="str">
        <f>IFERROR(IF(VLOOKUP($B752,Показатели!$E:$W,15,FALSE)=0,"",VLOOKUP($B752,Показатели!$E:$W,15,FALSE)),"")</f>
        <v/>
      </c>
      <c r="S752" t="str">
        <f>IFERROR(IF(VLOOKUP($B752,Показатели!$E:$W,16,FALSE)=0,"",VLOOKUP($B752,Показатели!$E:$W,16,FALSE)),"")</f>
        <v/>
      </c>
      <c r="T752" t="str">
        <f>IFERROR(IF(VLOOKUP($B752,Показатели!$E:$W,17,FALSE)=0,"",VLOOKUP($B752,Показатели!$E:$W,17,FALSE)),"")</f>
        <v/>
      </c>
      <c r="U752" t="str">
        <f>IFERROR(IF(VLOOKUP($B752,Показатели!$E:$W,18,FALSE)=0,"",VLOOKUP($B752,Показатели!$E:$W,18,FALSE)),"")</f>
        <v/>
      </c>
      <c r="V752" t="str">
        <f>IFERROR(IF(VLOOKUP($B752,Показатели!$E:$W,19,FALSE)=0,"",VLOOKUP($B752,Показатели!$E:$W,19,FALSE)),"")</f>
        <v/>
      </c>
    </row>
    <row r="753" spans="1:22" x14ac:dyDescent="0.2">
      <c r="A753" s="7" t="s">
        <v>2270</v>
      </c>
      <c r="B753" t="str">
        <f t="shared" si="11"/>
        <v>ASTR IV кв. 2010</v>
      </c>
      <c r="C753">
        <v>2010</v>
      </c>
      <c r="D753">
        <f>SUMIFS(Дивиденды!$C:$C,Дивиденды!$A:$A,A753,Дивиденды!$I:$I,C753)</f>
        <v>0</v>
      </c>
      <c r="E753" t="str">
        <f>IFERROR(IF(VLOOKUP($B753,Показатели!$E:$W,2,FALSE)=0,"",VLOOKUP($B753,Показатели!$E:$W,2,FALSE)),"")</f>
        <v/>
      </c>
      <c r="F753" t="str">
        <f>IFERROR(IF(VLOOKUP($B753,Показатели!$E:$W,3,FALSE)=0,"",VLOOKUP($B753,Показатели!$E:$W,3,FALSE)),"")</f>
        <v/>
      </c>
      <c r="G753" t="str">
        <f>IFERROR(IF(VLOOKUP($B753,Показатели!$E:$W,4,FALSE)=0,"",VLOOKUP($B753,Показатели!$E:$W,4,FALSE)),"")</f>
        <v/>
      </c>
      <c r="H753" t="str">
        <f>IFERROR(IF(VLOOKUP($B753,Показатели!$E:$W,5,FALSE)=0,"",VLOOKUP($B753,Показатели!$E:$W,5,FALSE)),"")</f>
        <v/>
      </c>
      <c r="I753" t="str">
        <f>IFERROR(IF(VLOOKUP($B753,Показатели!$E:$W,6,FALSE)=0,"",VLOOKUP($B753,Показатели!$E:$W,6,FALSE)),"")</f>
        <v/>
      </c>
      <c r="J753" t="str">
        <f>IFERROR(IF(VLOOKUP($B753,Показатели!$E:$W,7,FALSE)=0,"",VLOOKUP($B753,Показатели!$E:$W,7,FALSE)),"")</f>
        <v/>
      </c>
      <c r="K753" t="str">
        <f>IFERROR(IF(VLOOKUP($B753,Показатели!$E:$W,8,FALSE)=0,"",VLOOKUP($B753,Показатели!$E:$W,8,FALSE)),"")</f>
        <v/>
      </c>
      <c r="L753" t="str">
        <f>IFERROR(IF(VLOOKUP($B753,Показатели!$E:$W,9,FALSE)=0,"",VLOOKUP($B753,Показатели!$E:$W,9,FALSE)),"")</f>
        <v/>
      </c>
      <c r="M753" t="str">
        <f>IFERROR(IF(VLOOKUP($B753,Показатели!$E:$W,10,FALSE)=0,"",VLOOKUP($B753,Показатели!$E:$W,10,FALSE)),"")</f>
        <v/>
      </c>
      <c r="N753" t="str">
        <f>IFERROR(IF(VLOOKUP($B753,Показатели!$E:$W,11,FALSE)=0,"",VLOOKUP($B753,Показатели!$E:$W,11,FALSE)),"")</f>
        <v/>
      </c>
      <c r="O753" t="str">
        <f>IFERROR(IF(VLOOKUP($B753,Показатели!$E:$W,12,FALSE)=0,"",VLOOKUP($B753,Показатели!$E:$W,12,FALSE)),"")</f>
        <v/>
      </c>
      <c r="P753" t="str">
        <f>IFERROR(IF(VLOOKUP($B753,Показатели!$E:$W,13,FALSE)=0,"",VLOOKUP($B753,Показатели!$E:$W,13,FALSE)),"")</f>
        <v/>
      </c>
      <c r="Q753" t="str">
        <f>IFERROR(IF(VLOOKUP($B753,Показатели!$E:$W,14,FALSE)=0,"",VLOOKUP($B753,Показатели!$E:$W,14,FALSE)),"")</f>
        <v/>
      </c>
      <c r="R753" t="str">
        <f>IFERROR(IF(VLOOKUP($B753,Показатели!$E:$W,15,FALSE)=0,"",VLOOKUP($B753,Показатели!$E:$W,15,FALSE)),"")</f>
        <v/>
      </c>
      <c r="S753" t="str">
        <f>IFERROR(IF(VLOOKUP($B753,Показатели!$E:$W,16,FALSE)=0,"",VLOOKUP($B753,Показатели!$E:$W,16,FALSE)),"")</f>
        <v/>
      </c>
      <c r="T753" t="str">
        <f>IFERROR(IF(VLOOKUP($B753,Показатели!$E:$W,17,FALSE)=0,"",VLOOKUP($B753,Показатели!$E:$W,17,FALSE)),"")</f>
        <v/>
      </c>
      <c r="U753" t="str">
        <f>IFERROR(IF(VLOOKUP($B753,Показатели!$E:$W,18,FALSE)=0,"",VLOOKUP($B753,Показатели!$E:$W,18,FALSE)),"")</f>
        <v/>
      </c>
      <c r="V753" t="str">
        <f>IFERROR(IF(VLOOKUP($B753,Показатели!$E:$W,19,FALSE)=0,"",VLOOKUP($B753,Показатели!$E:$W,19,FALSE)),"")</f>
        <v/>
      </c>
    </row>
    <row r="754" spans="1:22" x14ac:dyDescent="0.2">
      <c r="A754" s="7" t="s">
        <v>2273</v>
      </c>
      <c r="B754" t="str">
        <f t="shared" si="11"/>
        <v>BAZA IV кв. 2025</v>
      </c>
      <c r="C754">
        <v>2025</v>
      </c>
      <c r="D754">
        <f>SUMIFS(Дивиденды!$C:$C,Дивиденды!$A:$A,A754,Дивиденды!$I:$I,C754)</f>
        <v>3.34</v>
      </c>
      <c r="E754">
        <f>IFERROR(IF(VLOOKUP($B754,Показатели!$E:$W,2,FALSE)=0,"",VLOOKUP($B754,Показатели!$E:$W,2,FALSE)),"")</f>
        <v>1626779000</v>
      </c>
      <c r="F754">
        <f>IFERROR(IF(VLOOKUP($B754,Показатели!$E:$W,3,FALSE)=0,"",VLOOKUP($B754,Показатели!$E:$W,3,FALSE)),"")</f>
        <v>4961358000</v>
      </c>
      <c r="G754">
        <f>IFERROR(IF(VLOOKUP($B754,Показатели!$E:$W,4,FALSE)=0,"",VLOOKUP($B754,Показатели!$E:$W,4,FALSE)),"")</f>
        <v>378698000</v>
      </c>
      <c r="H754">
        <f>IFERROR(IF(VLOOKUP($B754,Показатели!$E:$W,5,FALSE)=0,"",VLOOKUP($B754,Показатели!$E:$W,5,FALSE)),"")</f>
        <v>1730696000</v>
      </c>
      <c r="I754">
        <f>IFERROR(IF(VLOOKUP($B754,Показатели!$E:$W,6,FALSE)=0,"",VLOOKUP($B754,Показатели!$E:$W,6,FALSE)),"")</f>
        <v>7339525000</v>
      </c>
      <c r="J754">
        <f>IFERROR(IF(VLOOKUP($B754,Показатели!$E:$W,7,FALSE)=0,"",VLOOKUP($B754,Показатели!$E:$W,7,FALSE)),"")</f>
        <v>1550271000</v>
      </c>
      <c r="K754">
        <f>IFERROR(IF(VLOOKUP($B754,Показатели!$E:$W,8,FALSE)=0,"",VLOOKUP($B754,Показатели!$E:$W,8,FALSE)),"")</f>
        <v>253160000</v>
      </c>
      <c r="L754">
        <f>IFERROR(IF(VLOOKUP($B754,Показатели!$E:$W,9,FALSE)=0,"",VLOOKUP($B754,Показатели!$E:$W,9,FALSE)),"")</f>
        <v>4820094000</v>
      </c>
      <c r="M754">
        <f>IFERROR(IF(VLOOKUP($B754,Показатели!$E:$W,10,FALSE)=0,"",VLOOKUP($B754,Показатели!$E:$W,10,FALSE)),"")</f>
        <v>5536094000</v>
      </c>
      <c r="N754">
        <f>IFERROR(IF(VLOOKUP($B754,Показатели!$E:$W,11,FALSE)=0,"",VLOOKUP($B754,Показатели!$E:$W,11,FALSE)),"")</f>
        <v>6302750000</v>
      </c>
      <c r="O754">
        <f>IFERROR(IF(VLOOKUP($B754,Показатели!$E:$W,12,FALSE)=0,"",VLOOKUP($B754,Показатели!$E:$W,12,FALSE)),"")</f>
        <v>2451784000</v>
      </c>
      <c r="P754">
        <f>IFERROR(IF(VLOOKUP($B754,Показатели!$E:$W,13,FALSE)=0,"",VLOOKUP($B754,Показатели!$E:$W,13,FALSE)),"")</f>
        <v>2287188000</v>
      </c>
      <c r="Q754">
        <f>IFERROR(IF(VLOOKUP($B754,Показатели!$E:$W,14,FALSE)=0,"",VLOOKUP($B754,Показатели!$E:$W,14,FALSE)),"")</f>
        <v>2218819000</v>
      </c>
      <c r="R754">
        <f>IFERROR(IF(VLOOKUP($B754,Показатели!$E:$W,15,FALSE)=0,"",VLOOKUP($B754,Показатели!$E:$W,15,FALSE)),"")</f>
        <v>1188803000</v>
      </c>
      <c r="S754" t="str">
        <f>IFERROR(IF(VLOOKUP($B754,Показатели!$E:$W,16,FALSE)=0,"",VLOOKUP($B754,Показатели!$E:$W,16,FALSE)),"")</f>
        <v/>
      </c>
      <c r="T754">
        <f>IFERROR(IF(VLOOKUP($B754,Показатели!$E:$W,17,FALSE)=0,"",VLOOKUP($B754,Показатели!$E:$W,17,FALSE)),"")</f>
        <v>-1559384000</v>
      </c>
      <c r="U754" t="str">
        <f>IFERROR(IF(VLOOKUP($B754,Показатели!$E:$W,18,FALSE)=0,"",VLOOKUP($B754,Показатели!$E:$W,18,FALSE)),"")</f>
        <v/>
      </c>
      <c r="V754" t="str">
        <f>IFERROR(IF(VLOOKUP($B754,Показатели!$E:$W,19,FALSE)=0,"",VLOOKUP($B754,Показатели!$E:$W,19,FALSE)),"")</f>
        <v/>
      </c>
    </row>
    <row r="755" spans="1:22" x14ac:dyDescent="0.2">
      <c r="A755" s="7" t="s">
        <v>2273</v>
      </c>
      <c r="B755" t="str">
        <f t="shared" si="11"/>
        <v>BAZA IV кв. 2024</v>
      </c>
      <c r="C755">
        <v>2024</v>
      </c>
      <c r="D755">
        <f>SUMIFS(Дивиденды!$C:$C,Дивиденды!$A:$A,A755,Дивиденды!$I:$I,C755)</f>
        <v>0</v>
      </c>
      <c r="E755" t="str">
        <f>IFERROR(IF(VLOOKUP($B755,Показатели!$E:$W,2,FALSE)=0,"",VLOOKUP($B755,Показатели!$E:$W,2,FALSE)),"")</f>
        <v/>
      </c>
      <c r="F755" t="str">
        <f>IFERROR(IF(VLOOKUP($B755,Показатели!$E:$W,3,FALSE)=0,"",VLOOKUP($B755,Показатели!$E:$W,3,FALSE)),"")</f>
        <v/>
      </c>
      <c r="G755" t="str">
        <f>IFERROR(IF(VLOOKUP($B755,Показатели!$E:$W,4,FALSE)=0,"",VLOOKUP($B755,Показатели!$E:$W,4,FALSE)),"")</f>
        <v/>
      </c>
      <c r="H755" t="str">
        <f>IFERROR(IF(VLOOKUP($B755,Показатели!$E:$W,5,FALSE)=0,"",VLOOKUP($B755,Показатели!$E:$W,5,FALSE)),"")</f>
        <v/>
      </c>
      <c r="I755" t="str">
        <f>IFERROR(IF(VLOOKUP($B755,Показатели!$E:$W,6,FALSE)=0,"",VLOOKUP($B755,Показатели!$E:$W,6,FALSE)),"")</f>
        <v/>
      </c>
      <c r="J755" t="str">
        <f>IFERROR(IF(VLOOKUP($B755,Показатели!$E:$W,7,FALSE)=0,"",VLOOKUP($B755,Показатели!$E:$W,7,FALSE)),"")</f>
        <v/>
      </c>
      <c r="K755" t="str">
        <f>IFERROR(IF(VLOOKUP($B755,Показатели!$E:$W,8,FALSE)=0,"",VLOOKUP($B755,Показатели!$E:$W,8,FALSE)),"")</f>
        <v/>
      </c>
      <c r="L755" t="str">
        <f>IFERROR(IF(VLOOKUP($B755,Показатели!$E:$W,9,FALSE)=0,"",VLOOKUP($B755,Показатели!$E:$W,9,FALSE)),"")</f>
        <v/>
      </c>
      <c r="M755" t="str">
        <f>IFERROR(IF(VLOOKUP($B755,Показатели!$E:$W,10,FALSE)=0,"",VLOOKUP($B755,Показатели!$E:$W,10,FALSE)),"")</f>
        <v/>
      </c>
      <c r="N755" t="str">
        <f>IFERROR(IF(VLOOKUP($B755,Показатели!$E:$W,11,FALSE)=0,"",VLOOKUP($B755,Показатели!$E:$W,11,FALSE)),"")</f>
        <v/>
      </c>
      <c r="O755" t="str">
        <f>IFERROR(IF(VLOOKUP($B755,Показатели!$E:$W,12,FALSE)=0,"",VLOOKUP($B755,Показатели!$E:$W,12,FALSE)),"")</f>
        <v/>
      </c>
      <c r="P755" t="str">
        <f>IFERROR(IF(VLOOKUP($B755,Показатели!$E:$W,13,FALSE)=0,"",VLOOKUP($B755,Показатели!$E:$W,13,FALSE)),"")</f>
        <v/>
      </c>
      <c r="Q755" t="str">
        <f>IFERROR(IF(VLOOKUP($B755,Показатели!$E:$W,14,FALSE)=0,"",VLOOKUP($B755,Показатели!$E:$W,14,FALSE)),"")</f>
        <v/>
      </c>
      <c r="R755" t="str">
        <f>IFERROR(IF(VLOOKUP($B755,Показатели!$E:$W,15,FALSE)=0,"",VLOOKUP($B755,Показатели!$E:$W,15,FALSE)),"")</f>
        <v/>
      </c>
      <c r="S755" t="str">
        <f>IFERROR(IF(VLOOKUP($B755,Показатели!$E:$W,16,FALSE)=0,"",VLOOKUP($B755,Показатели!$E:$W,16,FALSE)),"")</f>
        <v/>
      </c>
      <c r="T755" t="str">
        <f>IFERROR(IF(VLOOKUP($B755,Показатели!$E:$W,17,FALSE)=0,"",VLOOKUP($B755,Показатели!$E:$W,17,FALSE)),"")</f>
        <v/>
      </c>
      <c r="U755" t="str">
        <f>IFERROR(IF(VLOOKUP($B755,Показатели!$E:$W,18,FALSE)=0,"",VLOOKUP($B755,Показатели!$E:$W,18,FALSE)),"")</f>
        <v/>
      </c>
      <c r="V755" t="str">
        <f>IFERROR(IF(VLOOKUP($B755,Показатели!$E:$W,19,FALSE)=0,"",VLOOKUP($B755,Показатели!$E:$W,19,FALSE)),"")</f>
        <v/>
      </c>
    </row>
    <row r="756" spans="1:22" x14ac:dyDescent="0.2">
      <c r="A756" s="7" t="s">
        <v>2273</v>
      </c>
      <c r="B756" t="str">
        <f t="shared" si="11"/>
        <v>BAZA IV кв. 2023</v>
      </c>
      <c r="C756">
        <v>2023</v>
      </c>
      <c r="D756">
        <f>SUMIFS(Дивиденды!$C:$C,Дивиденды!$A:$A,A756,Дивиденды!$I:$I,C756)</f>
        <v>0</v>
      </c>
      <c r="E756" t="str">
        <f>IFERROR(IF(VLOOKUP($B756,Показатели!$E:$W,2,FALSE)=0,"",VLOOKUP($B756,Показатели!$E:$W,2,FALSE)),"")</f>
        <v/>
      </c>
      <c r="F756" t="str">
        <f>IFERROR(IF(VLOOKUP($B756,Показатели!$E:$W,3,FALSE)=0,"",VLOOKUP($B756,Показатели!$E:$W,3,FALSE)),"")</f>
        <v/>
      </c>
      <c r="G756" t="str">
        <f>IFERROR(IF(VLOOKUP($B756,Показатели!$E:$W,4,FALSE)=0,"",VLOOKUP($B756,Показатели!$E:$W,4,FALSE)),"")</f>
        <v/>
      </c>
      <c r="H756" t="str">
        <f>IFERROR(IF(VLOOKUP($B756,Показатели!$E:$W,5,FALSE)=0,"",VLOOKUP($B756,Показатели!$E:$W,5,FALSE)),"")</f>
        <v/>
      </c>
      <c r="I756" t="str">
        <f>IFERROR(IF(VLOOKUP($B756,Показатели!$E:$W,6,FALSE)=0,"",VLOOKUP($B756,Показатели!$E:$W,6,FALSE)),"")</f>
        <v/>
      </c>
      <c r="J756" t="str">
        <f>IFERROR(IF(VLOOKUP($B756,Показатели!$E:$W,7,FALSE)=0,"",VLOOKUP($B756,Показатели!$E:$W,7,FALSE)),"")</f>
        <v/>
      </c>
      <c r="K756" t="str">
        <f>IFERROR(IF(VLOOKUP($B756,Показатели!$E:$W,8,FALSE)=0,"",VLOOKUP($B756,Показатели!$E:$W,8,FALSE)),"")</f>
        <v/>
      </c>
      <c r="L756" t="str">
        <f>IFERROR(IF(VLOOKUP($B756,Показатели!$E:$W,9,FALSE)=0,"",VLOOKUP($B756,Показатели!$E:$W,9,FALSE)),"")</f>
        <v/>
      </c>
      <c r="M756" t="str">
        <f>IFERROR(IF(VLOOKUP($B756,Показатели!$E:$W,10,FALSE)=0,"",VLOOKUP($B756,Показатели!$E:$W,10,FALSE)),"")</f>
        <v/>
      </c>
      <c r="N756" t="str">
        <f>IFERROR(IF(VLOOKUP($B756,Показатели!$E:$W,11,FALSE)=0,"",VLOOKUP($B756,Показатели!$E:$W,11,FALSE)),"")</f>
        <v/>
      </c>
      <c r="O756" t="str">
        <f>IFERROR(IF(VLOOKUP($B756,Показатели!$E:$W,12,FALSE)=0,"",VLOOKUP($B756,Показатели!$E:$W,12,FALSE)),"")</f>
        <v/>
      </c>
      <c r="P756" t="str">
        <f>IFERROR(IF(VLOOKUP($B756,Показатели!$E:$W,13,FALSE)=0,"",VLOOKUP($B756,Показатели!$E:$W,13,FALSE)),"")</f>
        <v/>
      </c>
      <c r="Q756" t="str">
        <f>IFERROR(IF(VLOOKUP($B756,Показатели!$E:$W,14,FALSE)=0,"",VLOOKUP($B756,Показатели!$E:$W,14,FALSE)),"")</f>
        <v/>
      </c>
      <c r="R756" t="str">
        <f>IFERROR(IF(VLOOKUP($B756,Показатели!$E:$W,15,FALSE)=0,"",VLOOKUP($B756,Показатели!$E:$W,15,FALSE)),"")</f>
        <v/>
      </c>
      <c r="S756" t="str">
        <f>IFERROR(IF(VLOOKUP($B756,Показатели!$E:$W,16,FALSE)=0,"",VLOOKUP($B756,Показатели!$E:$W,16,FALSE)),"")</f>
        <v/>
      </c>
      <c r="T756" t="str">
        <f>IFERROR(IF(VLOOKUP($B756,Показатели!$E:$W,17,FALSE)=0,"",VLOOKUP($B756,Показатели!$E:$W,17,FALSE)),"")</f>
        <v/>
      </c>
      <c r="U756" t="str">
        <f>IFERROR(IF(VLOOKUP($B756,Показатели!$E:$W,18,FALSE)=0,"",VLOOKUP($B756,Показатели!$E:$W,18,FALSE)),"")</f>
        <v/>
      </c>
      <c r="V756" t="str">
        <f>IFERROR(IF(VLOOKUP($B756,Показатели!$E:$W,19,FALSE)=0,"",VLOOKUP($B756,Показатели!$E:$W,19,FALSE)),"")</f>
        <v/>
      </c>
    </row>
    <row r="757" spans="1:22" x14ac:dyDescent="0.2">
      <c r="A757" s="7" t="s">
        <v>2273</v>
      </c>
      <c r="B757" t="str">
        <f t="shared" si="11"/>
        <v>BAZA IV кв. 2022</v>
      </c>
      <c r="C757">
        <v>2022</v>
      </c>
      <c r="D757">
        <f>SUMIFS(Дивиденды!$C:$C,Дивиденды!$A:$A,A757,Дивиденды!$I:$I,C757)</f>
        <v>0</v>
      </c>
      <c r="E757" t="str">
        <f>IFERROR(IF(VLOOKUP($B757,Показатели!$E:$W,2,FALSE)=0,"",VLOOKUP($B757,Показатели!$E:$W,2,FALSE)),"")</f>
        <v/>
      </c>
      <c r="F757" t="str">
        <f>IFERROR(IF(VLOOKUP($B757,Показатели!$E:$W,3,FALSE)=0,"",VLOOKUP($B757,Показатели!$E:$W,3,FALSE)),"")</f>
        <v/>
      </c>
      <c r="G757" t="str">
        <f>IFERROR(IF(VLOOKUP($B757,Показатели!$E:$W,4,FALSE)=0,"",VLOOKUP($B757,Показатели!$E:$W,4,FALSE)),"")</f>
        <v/>
      </c>
      <c r="H757" t="str">
        <f>IFERROR(IF(VLOOKUP($B757,Показатели!$E:$W,5,FALSE)=0,"",VLOOKUP($B757,Показатели!$E:$W,5,FALSE)),"")</f>
        <v/>
      </c>
      <c r="I757" t="str">
        <f>IFERROR(IF(VLOOKUP($B757,Показатели!$E:$W,6,FALSE)=0,"",VLOOKUP($B757,Показатели!$E:$W,6,FALSE)),"")</f>
        <v/>
      </c>
      <c r="J757" t="str">
        <f>IFERROR(IF(VLOOKUP($B757,Показатели!$E:$W,7,FALSE)=0,"",VLOOKUP($B757,Показатели!$E:$W,7,FALSE)),"")</f>
        <v/>
      </c>
      <c r="K757" t="str">
        <f>IFERROR(IF(VLOOKUP($B757,Показатели!$E:$W,8,FALSE)=0,"",VLOOKUP($B757,Показатели!$E:$W,8,FALSE)),"")</f>
        <v/>
      </c>
      <c r="L757" t="str">
        <f>IFERROR(IF(VLOOKUP($B757,Показатели!$E:$W,9,FALSE)=0,"",VLOOKUP($B757,Показатели!$E:$W,9,FALSE)),"")</f>
        <v/>
      </c>
      <c r="M757" t="str">
        <f>IFERROR(IF(VLOOKUP($B757,Показатели!$E:$W,10,FALSE)=0,"",VLOOKUP($B757,Показатели!$E:$W,10,FALSE)),"")</f>
        <v/>
      </c>
      <c r="N757" t="str">
        <f>IFERROR(IF(VLOOKUP($B757,Показатели!$E:$W,11,FALSE)=0,"",VLOOKUP($B757,Показатели!$E:$W,11,FALSE)),"")</f>
        <v/>
      </c>
      <c r="O757" t="str">
        <f>IFERROR(IF(VLOOKUP($B757,Показатели!$E:$W,12,FALSE)=0,"",VLOOKUP($B757,Показатели!$E:$W,12,FALSE)),"")</f>
        <v/>
      </c>
      <c r="P757" t="str">
        <f>IFERROR(IF(VLOOKUP($B757,Показатели!$E:$W,13,FALSE)=0,"",VLOOKUP($B757,Показатели!$E:$W,13,FALSE)),"")</f>
        <v/>
      </c>
      <c r="Q757" t="str">
        <f>IFERROR(IF(VLOOKUP($B757,Показатели!$E:$W,14,FALSE)=0,"",VLOOKUP($B757,Показатели!$E:$W,14,FALSE)),"")</f>
        <v/>
      </c>
      <c r="R757" t="str">
        <f>IFERROR(IF(VLOOKUP($B757,Показатели!$E:$W,15,FALSE)=0,"",VLOOKUP($B757,Показатели!$E:$W,15,FALSE)),"")</f>
        <v/>
      </c>
      <c r="S757" t="str">
        <f>IFERROR(IF(VLOOKUP($B757,Показатели!$E:$W,16,FALSE)=0,"",VLOOKUP($B757,Показатели!$E:$W,16,FALSE)),"")</f>
        <v/>
      </c>
      <c r="T757" t="str">
        <f>IFERROR(IF(VLOOKUP($B757,Показатели!$E:$W,17,FALSE)=0,"",VLOOKUP($B757,Показатели!$E:$W,17,FALSE)),"")</f>
        <v/>
      </c>
      <c r="U757" t="str">
        <f>IFERROR(IF(VLOOKUP($B757,Показатели!$E:$W,18,FALSE)=0,"",VLOOKUP($B757,Показатели!$E:$W,18,FALSE)),"")</f>
        <v/>
      </c>
      <c r="V757" t="str">
        <f>IFERROR(IF(VLOOKUP($B757,Показатели!$E:$W,19,FALSE)=0,"",VLOOKUP($B757,Показатели!$E:$W,19,FALSE)),"")</f>
        <v/>
      </c>
    </row>
    <row r="758" spans="1:22" x14ac:dyDescent="0.2">
      <c r="A758" s="7" t="s">
        <v>2273</v>
      </c>
      <c r="B758" t="str">
        <f t="shared" si="11"/>
        <v>BAZA IV кв. 2021</v>
      </c>
      <c r="C758">
        <v>2021</v>
      </c>
      <c r="D758">
        <f>SUMIFS(Дивиденды!$C:$C,Дивиденды!$A:$A,A758,Дивиденды!$I:$I,C758)</f>
        <v>0</v>
      </c>
      <c r="E758" t="str">
        <f>IFERROR(IF(VLOOKUP($B758,Показатели!$E:$W,2,FALSE)=0,"",VLOOKUP($B758,Показатели!$E:$W,2,FALSE)),"")</f>
        <v/>
      </c>
      <c r="F758" t="str">
        <f>IFERROR(IF(VLOOKUP($B758,Показатели!$E:$W,3,FALSE)=0,"",VLOOKUP($B758,Показатели!$E:$W,3,FALSE)),"")</f>
        <v/>
      </c>
      <c r="G758" t="str">
        <f>IFERROR(IF(VLOOKUP($B758,Показатели!$E:$W,4,FALSE)=0,"",VLOOKUP($B758,Показатели!$E:$W,4,FALSE)),"")</f>
        <v/>
      </c>
      <c r="H758" t="str">
        <f>IFERROR(IF(VLOOKUP($B758,Показатели!$E:$W,5,FALSE)=0,"",VLOOKUP($B758,Показатели!$E:$W,5,FALSE)),"")</f>
        <v/>
      </c>
      <c r="I758" t="str">
        <f>IFERROR(IF(VLOOKUP($B758,Показатели!$E:$W,6,FALSE)=0,"",VLOOKUP($B758,Показатели!$E:$W,6,FALSE)),"")</f>
        <v/>
      </c>
      <c r="J758" t="str">
        <f>IFERROR(IF(VLOOKUP($B758,Показатели!$E:$W,7,FALSE)=0,"",VLOOKUP($B758,Показатели!$E:$W,7,FALSE)),"")</f>
        <v/>
      </c>
      <c r="K758" t="str">
        <f>IFERROR(IF(VLOOKUP($B758,Показатели!$E:$W,8,FALSE)=0,"",VLOOKUP($B758,Показатели!$E:$W,8,FALSE)),"")</f>
        <v/>
      </c>
      <c r="L758" t="str">
        <f>IFERROR(IF(VLOOKUP($B758,Показатели!$E:$W,9,FALSE)=0,"",VLOOKUP($B758,Показатели!$E:$W,9,FALSE)),"")</f>
        <v/>
      </c>
      <c r="M758" t="str">
        <f>IFERROR(IF(VLOOKUP($B758,Показатели!$E:$W,10,FALSE)=0,"",VLOOKUP($B758,Показатели!$E:$W,10,FALSE)),"")</f>
        <v/>
      </c>
      <c r="N758" t="str">
        <f>IFERROR(IF(VLOOKUP($B758,Показатели!$E:$W,11,FALSE)=0,"",VLOOKUP($B758,Показатели!$E:$W,11,FALSE)),"")</f>
        <v/>
      </c>
      <c r="O758" t="str">
        <f>IFERROR(IF(VLOOKUP($B758,Показатели!$E:$W,12,FALSE)=0,"",VLOOKUP($B758,Показатели!$E:$W,12,FALSE)),"")</f>
        <v/>
      </c>
      <c r="P758" t="str">
        <f>IFERROR(IF(VLOOKUP($B758,Показатели!$E:$W,13,FALSE)=0,"",VLOOKUP($B758,Показатели!$E:$W,13,FALSE)),"")</f>
        <v/>
      </c>
      <c r="Q758" t="str">
        <f>IFERROR(IF(VLOOKUP($B758,Показатели!$E:$W,14,FALSE)=0,"",VLOOKUP($B758,Показатели!$E:$W,14,FALSE)),"")</f>
        <v/>
      </c>
      <c r="R758" t="str">
        <f>IFERROR(IF(VLOOKUP($B758,Показатели!$E:$W,15,FALSE)=0,"",VLOOKUP($B758,Показатели!$E:$W,15,FALSE)),"")</f>
        <v/>
      </c>
      <c r="S758" t="str">
        <f>IFERROR(IF(VLOOKUP($B758,Показатели!$E:$W,16,FALSE)=0,"",VLOOKUP($B758,Показатели!$E:$W,16,FALSE)),"")</f>
        <v/>
      </c>
      <c r="T758" t="str">
        <f>IFERROR(IF(VLOOKUP($B758,Показатели!$E:$W,17,FALSE)=0,"",VLOOKUP($B758,Показатели!$E:$W,17,FALSE)),"")</f>
        <v/>
      </c>
      <c r="U758" t="str">
        <f>IFERROR(IF(VLOOKUP($B758,Показатели!$E:$W,18,FALSE)=0,"",VLOOKUP($B758,Показатели!$E:$W,18,FALSE)),"")</f>
        <v/>
      </c>
      <c r="V758" t="str">
        <f>IFERROR(IF(VLOOKUP($B758,Показатели!$E:$W,19,FALSE)=0,"",VLOOKUP($B758,Показатели!$E:$W,19,FALSE)),"")</f>
        <v/>
      </c>
    </row>
    <row r="759" spans="1:22" x14ac:dyDescent="0.2">
      <c r="A759" s="7" t="s">
        <v>2273</v>
      </c>
      <c r="B759" t="str">
        <f t="shared" si="11"/>
        <v>BAZA IV кв. 2020</v>
      </c>
      <c r="C759">
        <v>2020</v>
      </c>
      <c r="D759">
        <f>SUMIFS(Дивиденды!$C:$C,Дивиденды!$A:$A,A759,Дивиденды!$I:$I,C759)</f>
        <v>0</v>
      </c>
      <c r="E759" t="str">
        <f>IFERROR(IF(VLOOKUP($B759,Показатели!$E:$W,2,FALSE)=0,"",VLOOKUP($B759,Показатели!$E:$W,2,FALSE)),"")</f>
        <v/>
      </c>
      <c r="F759" t="str">
        <f>IFERROR(IF(VLOOKUP($B759,Показатели!$E:$W,3,FALSE)=0,"",VLOOKUP($B759,Показатели!$E:$W,3,FALSE)),"")</f>
        <v/>
      </c>
      <c r="G759" t="str">
        <f>IFERROR(IF(VLOOKUP($B759,Показатели!$E:$W,4,FALSE)=0,"",VLOOKUP($B759,Показатели!$E:$W,4,FALSE)),"")</f>
        <v/>
      </c>
      <c r="H759" t="str">
        <f>IFERROR(IF(VLOOKUP($B759,Показатели!$E:$W,5,FALSE)=0,"",VLOOKUP($B759,Показатели!$E:$W,5,FALSE)),"")</f>
        <v/>
      </c>
      <c r="I759" t="str">
        <f>IFERROR(IF(VLOOKUP($B759,Показатели!$E:$W,6,FALSE)=0,"",VLOOKUP($B759,Показатели!$E:$W,6,FALSE)),"")</f>
        <v/>
      </c>
      <c r="J759" t="str">
        <f>IFERROR(IF(VLOOKUP($B759,Показатели!$E:$W,7,FALSE)=0,"",VLOOKUP($B759,Показатели!$E:$W,7,FALSE)),"")</f>
        <v/>
      </c>
      <c r="K759" t="str">
        <f>IFERROR(IF(VLOOKUP($B759,Показатели!$E:$W,8,FALSE)=0,"",VLOOKUP($B759,Показатели!$E:$W,8,FALSE)),"")</f>
        <v/>
      </c>
      <c r="L759" t="str">
        <f>IFERROR(IF(VLOOKUP($B759,Показатели!$E:$W,9,FALSE)=0,"",VLOOKUP($B759,Показатели!$E:$W,9,FALSE)),"")</f>
        <v/>
      </c>
      <c r="M759" t="str">
        <f>IFERROR(IF(VLOOKUP($B759,Показатели!$E:$W,10,FALSE)=0,"",VLOOKUP($B759,Показатели!$E:$W,10,FALSE)),"")</f>
        <v/>
      </c>
      <c r="N759" t="str">
        <f>IFERROR(IF(VLOOKUP($B759,Показатели!$E:$W,11,FALSE)=0,"",VLOOKUP($B759,Показатели!$E:$W,11,FALSE)),"")</f>
        <v/>
      </c>
      <c r="O759" t="str">
        <f>IFERROR(IF(VLOOKUP($B759,Показатели!$E:$W,12,FALSE)=0,"",VLOOKUP($B759,Показатели!$E:$W,12,FALSE)),"")</f>
        <v/>
      </c>
      <c r="P759" t="str">
        <f>IFERROR(IF(VLOOKUP($B759,Показатели!$E:$W,13,FALSE)=0,"",VLOOKUP($B759,Показатели!$E:$W,13,FALSE)),"")</f>
        <v/>
      </c>
      <c r="Q759" t="str">
        <f>IFERROR(IF(VLOOKUP($B759,Показатели!$E:$W,14,FALSE)=0,"",VLOOKUP($B759,Показатели!$E:$W,14,FALSE)),"")</f>
        <v/>
      </c>
      <c r="R759" t="str">
        <f>IFERROR(IF(VLOOKUP($B759,Показатели!$E:$W,15,FALSE)=0,"",VLOOKUP($B759,Показатели!$E:$W,15,FALSE)),"")</f>
        <v/>
      </c>
      <c r="S759" t="str">
        <f>IFERROR(IF(VLOOKUP($B759,Показатели!$E:$W,16,FALSE)=0,"",VLOOKUP($B759,Показатели!$E:$W,16,FALSE)),"")</f>
        <v/>
      </c>
      <c r="T759" t="str">
        <f>IFERROR(IF(VLOOKUP($B759,Показатели!$E:$W,17,FALSE)=0,"",VLOOKUP($B759,Показатели!$E:$W,17,FALSE)),"")</f>
        <v/>
      </c>
      <c r="U759" t="str">
        <f>IFERROR(IF(VLOOKUP($B759,Показатели!$E:$W,18,FALSE)=0,"",VLOOKUP($B759,Показатели!$E:$W,18,FALSE)),"")</f>
        <v/>
      </c>
      <c r="V759" t="str">
        <f>IFERROR(IF(VLOOKUP($B759,Показатели!$E:$W,19,FALSE)=0,"",VLOOKUP($B759,Показатели!$E:$W,19,FALSE)),"")</f>
        <v/>
      </c>
    </row>
    <row r="760" spans="1:22" x14ac:dyDescent="0.2">
      <c r="A760" s="7" t="s">
        <v>2273</v>
      </c>
      <c r="B760" t="str">
        <f t="shared" si="11"/>
        <v>BAZA IV кв. 2019</v>
      </c>
      <c r="C760">
        <v>2019</v>
      </c>
      <c r="D760">
        <f>SUMIFS(Дивиденды!$C:$C,Дивиденды!$A:$A,A760,Дивиденды!$I:$I,C760)</f>
        <v>0</v>
      </c>
      <c r="E760" t="str">
        <f>IFERROR(IF(VLOOKUP($B760,Показатели!$E:$W,2,FALSE)=0,"",VLOOKUP($B760,Показатели!$E:$W,2,FALSE)),"")</f>
        <v/>
      </c>
      <c r="F760" t="str">
        <f>IFERROR(IF(VLOOKUP($B760,Показатели!$E:$W,3,FALSE)=0,"",VLOOKUP($B760,Показатели!$E:$W,3,FALSE)),"")</f>
        <v/>
      </c>
      <c r="G760" t="str">
        <f>IFERROR(IF(VLOOKUP($B760,Показатели!$E:$W,4,FALSE)=0,"",VLOOKUP($B760,Показатели!$E:$W,4,FALSE)),"")</f>
        <v/>
      </c>
      <c r="H760" t="str">
        <f>IFERROR(IF(VLOOKUP($B760,Показатели!$E:$W,5,FALSE)=0,"",VLOOKUP($B760,Показатели!$E:$W,5,FALSE)),"")</f>
        <v/>
      </c>
      <c r="I760" t="str">
        <f>IFERROR(IF(VLOOKUP($B760,Показатели!$E:$W,6,FALSE)=0,"",VLOOKUP($B760,Показатели!$E:$W,6,FALSE)),"")</f>
        <v/>
      </c>
      <c r="J760" t="str">
        <f>IFERROR(IF(VLOOKUP($B760,Показатели!$E:$W,7,FALSE)=0,"",VLOOKUP($B760,Показатели!$E:$W,7,FALSE)),"")</f>
        <v/>
      </c>
      <c r="K760" t="str">
        <f>IFERROR(IF(VLOOKUP($B760,Показатели!$E:$W,8,FALSE)=0,"",VLOOKUP($B760,Показатели!$E:$W,8,FALSE)),"")</f>
        <v/>
      </c>
      <c r="L760" t="str">
        <f>IFERROR(IF(VLOOKUP($B760,Показатели!$E:$W,9,FALSE)=0,"",VLOOKUP($B760,Показатели!$E:$W,9,FALSE)),"")</f>
        <v/>
      </c>
      <c r="M760" t="str">
        <f>IFERROR(IF(VLOOKUP($B760,Показатели!$E:$W,10,FALSE)=0,"",VLOOKUP($B760,Показатели!$E:$W,10,FALSE)),"")</f>
        <v/>
      </c>
      <c r="N760" t="str">
        <f>IFERROR(IF(VLOOKUP($B760,Показатели!$E:$W,11,FALSE)=0,"",VLOOKUP($B760,Показатели!$E:$W,11,FALSE)),"")</f>
        <v/>
      </c>
      <c r="O760" t="str">
        <f>IFERROR(IF(VLOOKUP($B760,Показатели!$E:$W,12,FALSE)=0,"",VLOOKUP($B760,Показатели!$E:$W,12,FALSE)),"")</f>
        <v/>
      </c>
      <c r="P760" t="str">
        <f>IFERROR(IF(VLOOKUP($B760,Показатели!$E:$W,13,FALSE)=0,"",VLOOKUP($B760,Показатели!$E:$W,13,FALSE)),"")</f>
        <v/>
      </c>
      <c r="Q760" t="str">
        <f>IFERROR(IF(VLOOKUP($B760,Показатели!$E:$W,14,FALSE)=0,"",VLOOKUP($B760,Показатели!$E:$W,14,FALSE)),"")</f>
        <v/>
      </c>
      <c r="R760" t="str">
        <f>IFERROR(IF(VLOOKUP($B760,Показатели!$E:$W,15,FALSE)=0,"",VLOOKUP($B760,Показатели!$E:$W,15,FALSE)),"")</f>
        <v/>
      </c>
      <c r="S760" t="str">
        <f>IFERROR(IF(VLOOKUP($B760,Показатели!$E:$W,16,FALSE)=0,"",VLOOKUP($B760,Показатели!$E:$W,16,FALSE)),"")</f>
        <v/>
      </c>
      <c r="T760" t="str">
        <f>IFERROR(IF(VLOOKUP($B760,Показатели!$E:$W,17,FALSE)=0,"",VLOOKUP($B760,Показатели!$E:$W,17,FALSE)),"")</f>
        <v/>
      </c>
      <c r="U760" t="str">
        <f>IFERROR(IF(VLOOKUP($B760,Показатели!$E:$W,18,FALSE)=0,"",VLOOKUP($B760,Показатели!$E:$W,18,FALSE)),"")</f>
        <v/>
      </c>
      <c r="V760" t="str">
        <f>IFERROR(IF(VLOOKUP($B760,Показатели!$E:$W,19,FALSE)=0,"",VLOOKUP($B760,Показатели!$E:$W,19,FALSE)),"")</f>
        <v/>
      </c>
    </row>
    <row r="761" spans="1:22" x14ac:dyDescent="0.2">
      <c r="A761" s="7" t="s">
        <v>2273</v>
      </c>
      <c r="B761" t="str">
        <f t="shared" si="11"/>
        <v>BAZA IV кв. 2018</v>
      </c>
      <c r="C761">
        <v>2018</v>
      </c>
      <c r="D761">
        <f>SUMIFS(Дивиденды!$C:$C,Дивиденды!$A:$A,A761,Дивиденды!$I:$I,C761)</f>
        <v>0</v>
      </c>
      <c r="E761" t="str">
        <f>IFERROR(IF(VLOOKUP($B761,Показатели!$E:$W,2,FALSE)=0,"",VLOOKUP($B761,Показатели!$E:$W,2,FALSE)),"")</f>
        <v/>
      </c>
      <c r="F761" t="str">
        <f>IFERROR(IF(VLOOKUP($B761,Показатели!$E:$W,3,FALSE)=0,"",VLOOKUP($B761,Показатели!$E:$W,3,FALSE)),"")</f>
        <v/>
      </c>
      <c r="G761" t="str">
        <f>IFERROR(IF(VLOOKUP($B761,Показатели!$E:$W,4,FALSE)=0,"",VLOOKUP($B761,Показатели!$E:$W,4,FALSE)),"")</f>
        <v/>
      </c>
      <c r="H761" t="str">
        <f>IFERROR(IF(VLOOKUP($B761,Показатели!$E:$W,5,FALSE)=0,"",VLOOKUP($B761,Показатели!$E:$W,5,FALSE)),"")</f>
        <v/>
      </c>
      <c r="I761" t="str">
        <f>IFERROR(IF(VLOOKUP($B761,Показатели!$E:$W,6,FALSE)=0,"",VLOOKUP($B761,Показатели!$E:$W,6,FALSE)),"")</f>
        <v/>
      </c>
      <c r="J761" t="str">
        <f>IFERROR(IF(VLOOKUP($B761,Показатели!$E:$W,7,FALSE)=0,"",VLOOKUP($B761,Показатели!$E:$W,7,FALSE)),"")</f>
        <v/>
      </c>
      <c r="K761" t="str">
        <f>IFERROR(IF(VLOOKUP($B761,Показатели!$E:$W,8,FALSE)=0,"",VLOOKUP($B761,Показатели!$E:$W,8,FALSE)),"")</f>
        <v/>
      </c>
      <c r="L761" t="str">
        <f>IFERROR(IF(VLOOKUP($B761,Показатели!$E:$W,9,FALSE)=0,"",VLOOKUP($B761,Показатели!$E:$W,9,FALSE)),"")</f>
        <v/>
      </c>
      <c r="M761" t="str">
        <f>IFERROR(IF(VLOOKUP($B761,Показатели!$E:$W,10,FALSE)=0,"",VLOOKUP($B761,Показатели!$E:$W,10,FALSE)),"")</f>
        <v/>
      </c>
      <c r="N761" t="str">
        <f>IFERROR(IF(VLOOKUP($B761,Показатели!$E:$W,11,FALSE)=0,"",VLOOKUP($B761,Показатели!$E:$W,11,FALSE)),"")</f>
        <v/>
      </c>
      <c r="O761" t="str">
        <f>IFERROR(IF(VLOOKUP($B761,Показатели!$E:$W,12,FALSE)=0,"",VLOOKUP($B761,Показатели!$E:$W,12,FALSE)),"")</f>
        <v/>
      </c>
      <c r="P761" t="str">
        <f>IFERROR(IF(VLOOKUP($B761,Показатели!$E:$W,13,FALSE)=0,"",VLOOKUP($B761,Показатели!$E:$W,13,FALSE)),"")</f>
        <v/>
      </c>
      <c r="Q761" t="str">
        <f>IFERROR(IF(VLOOKUP($B761,Показатели!$E:$W,14,FALSE)=0,"",VLOOKUP($B761,Показатели!$E:$W,14,FALSE)),"")</f>
        <v/>
      </c>
      <c r="R761" t="str">
        <f>IFERROR(IF(VLOOKUP($B761,Показатели!$E:$W,15,FALSE)=0,"",VLOOKUP($B761,Показатели!$E:$W,15,FALSE)),"")</f>
        <v/>
      </c>
      <c r="S761" t="str">
        <f>IFERROR(IF(VLOOKUP($B761,Показатели!$E:$W,16,FALSE)=0,"",VLOOKUP($B761,Показатели!$E:$W,16,FALSE)),"")</f>
        <v/>
      </c>
      <c r="T761" t="str">
        <f>IFERROR(IF(VLOOKUP($B761,Показатели!$E:$W,17,FALSE)=0,"",VLOOKUP($B761,Показатели!$E:$W,17,FALSE)),"")</f>
        <v/>
      </c>
      <c r="U761" t="str">
        <f>IFERROR(IF(VLOOKUP($B761,Показатели!$E:$W,18,FALSE)=0,"",VLOOKUP($B761,Показатели!$E:$W,18,FALSE)),"")</f>
        <v/>
      </c>
      <c r="V761" t="str">
        <f>IFERROR(IF(VLOOKUP($B761,Показатели!$E:$W,19,FALSE)=0,"",VLOOKUP($B761,Показатели!$E:$W,19,FALSE)),"")</f>
        <v/>
      </c>
    </row>
    <row r="762" spans="1:22" x14ac:dyDescent="0.2">
      <c r="A762" s="7" t="s">
        <v>2273</v>
      </c>
      <c r="B762" t="str">
        <f t="shared" si="11"/>
        <v>BAZA IV кв. 2017</v>
      </c>
      <c r="C762">
        <v>2017</v>
      </c>
      <c r="D762">
        <f>SUMIFS(Дивиденды!$C:$C,Дивиденды!$A:$A,A762,Дивиденды!$I:$I,C762)</f>
        <v>0</v>
      </c>
      <c r="E762" t="str">
        <f>IFERROR(IF(VLOOKUP($B762,Показатели!$E:$W,2,FALSE)=0,"",VLOOKUP($B762,Показатели!$E:$W,2,FALSE)),"")</f>
        <v/>
      </c>
      <c r="F762" t="str">
        <f>IFERROR(IF(VLOOKUP($B762,Показатели!$E:$W,3,FALSE)=0,"",VLOOKUP($B762,Показатели!$E:$W,3,FALSE)),"")</f>
        <v/>
      </c>
      <c r="G762" t="str">
        <f>IFERROR(IF(VLOOKUP($B762,Показатели!$E:$W,4,FALSE)=0,"",VLOOKUP($B762,Показатели!$E:$W,4,FALSE)),"")</f>
        <v/>
      </c>
      <c r="H762" t="str">
        <f>IFERROR(IF(VLOOKUP($B762,Показатели!$E:$W,5,FALSE)=0,"",VLOOKUP($B762,Показатели!$E:$W,5,FALSE)),"")</f>
        <v/>
      </c>
      <c r="I762" t="str">
        <f>IFERROR(IF(VLOOKUP($B762,Показатели!$E:$W,6,FALSE)=0,"",VLOOKUP($B762,Показатели!$E:$W,6,FALSE)),"")</f>
        <v/>
      </c>
      <c r="J762" t="str">
        <f>IFERROR(IF(VLOOKUP($B762,Показатели!$E:$W,7,FALSE)=0,"",VLOOKUP($B762,Показатели!$E:$W,7,FALSE)),"")</f>
        <v/>
      </c>
      <c r="K762" t="str">
        <f>IFERROR(IF(VLOOKUP($B762,Показатели!$E:$W,8,FALSE)=0,"",VLOOKUP($B762,Показатели!$E:$W,8,FALSE)),"")</f>
        <v/>
      </c>
      <c r="L762" t="str">
        <f>IFERROR(IF(VLOOKUP($B762,Показатели!$E:$W,9,FALSE)=0,"",VLOOKUP($B762,Показатели!$E:$W,9,FALSE)),"")</f>
        <v/>
      </c>
      <c r="M762" t="str">
        <f>IFERROR(IF(VLOOKUP($B762,Показатели!$E:$W,10,FALSE)=0,"",VLOOKUP($B762,Показатели!$E:$W,10,FALSE)),"")</f>
        <v/>
      </c>
      <c r="N762" t="str">
        <f>IFERROR(IF(VLOOKUP($B762,Показатели!$E:$W,11,FALSE)=0,"",VLOOKUP($B762,Показатели!$E:$W,11,FALSE)),"")</f>
        <v/>
      </c>
      <c r="O762" t="str">
        <f>IFERROR(IF(VLOOKUP($B762,Показатели!$E:$W,12,FALSE)=0,"",VLOOKUP($B762,Показатели!$E:$W,12,FALSE)),"")</f>
        <v/>
      </c>
      <c r="P762" t="str">
        <f>IFERROR(IF(VLOOKUP($B762,Показатели!$E:$W,13,FALSE)=0,"",VLOOKUP($B762,Показатели!$E:$W,13,FALSE)),"")</f>
        <v/>
      </c>
      <c r="Q762" t="str">
        <f>IFERROR(IF(VLOOKUP($B762,Показатели!$E:$W,14,FALSE)=0,"",VLOOKUP($B762,Показатели!$E:$W,14,FALSE)),"")</f>
        <v/>
      </c>
      <c r="R762" t="str">
        <f>IFERROR(IF(VLOOKUP($B762,Показатели!$E:$W,15,FALSE)=0,"",VLOOKUP($B762,Показатели!$E:$W,15,FALSE)),"")</f>
        <v/>
      </c>
      <c r="S762" t="str">
        <f>IFERROR(IF(VLOOKUP($B762,Показатели!$E:$W,16,FALSE)=0,"",VLOOKUP($B762,Показатели!$E:$W,16,FALSE)),"")</f>
        <v/>
      </c>
      <c r="T762" t="str">
        <f>IFERROR(IF(VLOOKUP($B762,Показатели!$E:$W,17,FALSE)=0,"",VLOOKUP($B762,Показатели!$E:$W,17,FALSE)),"")</f>
        <v/>
      </c>
      <c r="U762" t="str">
        <f>IFERROR(IF(VLOOKUP($B762,Показатели!$E:$W,18,FALSE)=0,"",VLOOKUP($B762,Показатели!$E:$W,18,FALSE)),"")</f>
        <v/>
      </c>
      <c r="V762" t="str">
        <f>IFERROR(IF(VLOOKUP($B762,Показатели!$E:$W,19,FALSE)=0,"",VLOOKUP($B762,Показатели!$E:$W,19,FALSE)),"")</f>
        <v/>
      </c>
    </row>
    <row r="763" spans="1:22" x14ac:dyDescent="0.2">
      <c r="A763" s="7" t="s">
        <v>2273</v>
      </c>
      <c r="B763" t="str">
        <f t="shared" si="11"/>
        <v>BAZA IV кв. 2016</v>
      </c>
      <c r="C763">
        <v>2016</v>
      </c>
      <c r="D763">
        <f>SUMIFS(Дивиденды!$C:$C,Дивиденды!$A:$A,A763,Дивиденды!$I:$I,C763)</f>
        <v>0</v>
      </c>
      <c r="E763" t="str">
        <f>IFERROR(IF(VLOOKUP($B763,Показатели!$E:$W,2,FALSE)=0,"",VLOOKUP($B763,Показатели!$E:$W,2,FALSE)),"")</f>
        <v/>
      </c>
      <c r="F763" t="str">
        <f>IFERROR(IF(VLOOKUP($B763,Показатели!$E:$W,3,FALSE)=0,"",VLOOKUP($B763,Показатели!$E:$W,3,FALSE)),"")</f>
        <v/>
      </c>
      <c r="G763" t="str">
        <f>IFERROR(IF(VLOOKUP($B763,Показатели!$E:$W,4,FALSE)=0,"",VLOOKUP($B763,Показатели!$E:$W,4,FALSE)),"")</f>
        <v/>
      </c>
      <c r="H763" t="str">
        <f>IFERROR(IF(VLOOKUP($B763,Показатели!$E:$W,5,FALSE)=0,"",VLOOKUP($B763,Показатели!$E:$W,5,FALSE)),"")</f>
        <v/>
      </c>
      <c r="I763" t="str">
        <f>IFERROR(IF(VLOOKUP($B763,Показатели!$E:$W,6,FALSE)=0,"",VLOOKUP($B763,Показатели!$E:$W,6,FALSE)),"")</f>
        <v/>
      </c>
      <c r="J763" t="str">
        <f>IFERROR(IF(VLOOKUP($B763,Показатели!$E:$W,7,FALSE)=0,"",VLOOKUP($B763,Показатели!$E:$W,7,FALSE)),"")</f>
        <v/>
      </c>
      <c r="K763" t="str">
        <f>IFERROR(IF(VLOOKUP($B763,Показатели!$E:$W,8,FALSE)=0,"",VLOOKUP($B763,Показатели!$E:$W,8,FALSE)),"")</f>
        <v/>
      </c>
      <c r="L763" t="str">
        <f>IFERROR(IF(VLOOKUP($B763,Показатели!$E:$W,9,FALSE)=0,"",VLOOKUP($B763,Показатели!$E:$W,9,FALSE)),"")</f>
        <v/>
      </c>
      <c r="M763" t="str">
        <f>IFERROR(IF(VLOOKUP($B763,Показатели!$E:$W,10,FALSE)=0,"",VLOOKUP($B763,Показатели!$E:$W,10,FALSE)),"")</f>
        <v/>
      </c>
      <c r="N763" t="str">
        <f>IFERROR(IF(VLOOKUP($B763,Показатели!$E:$W,11,FALSE)=0,"",VLOOKUP($B763,Показатели!$E:$W,11,FALSE)),"")</f>
        <v/>
      </c>
      <c r="O763" t="str">
        <f>IFERROR(IF(VLOOKUP($B763,Показатели!$E:$W,12,FALSE)=0,"",VLOOKUP($B763,Показатели!$E:$W,12,FALSE)),"")</f>
        <v/>
      </c>
      <c r="P763" t="str">
        <f>IFERROR(IF(VLOOKUP($B763,Показатели!$E:$W,13,FALSE)=0,"",VLOOKUP($B763,Показатели!$E:$W,13,FALSE)),"")</f>
        <v/>
      </c>
      <c r="Q763" t="str">
        <f>IFERROR(IF(VLOOKUP($B763,Показатели!$E:$W,14,FALSE)=0,"",VLOOKUP($B763,Показатели!$E:$W,14,FALSE)),"")</f>
        <v/>
      </c>
      <c r="R763" t="str">
        <f>IFERROR(IF(VLOOKUP($B763,Показатели!$E:$W,15,FALSE)=0,"",VLOOKUP($B763,Показатели!$E:$W,15,FALSE)),"")</f>
        <v/>
      </c>
      <c r="S763" t="str">
        <f>IFERROR(IF(VLOOKUP($B763,Показатели!$E:$W,16,FALSE)=0,"",VLOOKUP($B763,Показатели!$E:$W,16,FALSE)),"")</f>
        <v/>
      </c>
      <c r="T763" t="str">
        <f>IFERROR(IF(VLOOKUP($B763,Показатели!$E:$W,17,FALSE)=0,"",VLOOKUP($B763,Показатели!$E:$W,17,FALSE)),"")</f>
        <v/>
      </c>
      <c r="U763" t="str">
        <f>IFERROR(IF(VLOOKUP($B763,Показатели!$E:$W,18,FALSE)=0,"",VLOOKUP($B763,Показатели!$E:$W,18,FALSE)),"")</f>
        <v/>
      </c>
      <c r="V763" t="str">
        <f>IFERROR(IF(VLOOKUP($B763,Показатели!$E:$W,19,FALSE)=0,"",VLOOKUP($B763,Показатели!$E:$W,19,FALSE)),"")</f>
        <v/>
      </c>
    </row>
    <row r="764" spans="1:22" x14ac:dyDescent="0.2">
      <c r="A764" s="7" t="s">
        <v>2273</v>
      </c>
      <c r="B764" t="str">
        <f t="shared" si="11"/>
        <v>BAZA IV кв. 2015</v>
      </c>
      <c r="C764">
        <v>2015</v>
      </c>
      <c r="D764">
        <f>SUMIFS(Дивиденды!$C:$C,Дивиденды!$A:$A,A764,Дивиденды!$I:$I,C764)</f>
        <v>0</v>
      </c>
      <c r="E764" t="str">
        <f>IFERROR(IF(VLOOKUP($B764,Показатели!$E:$W,2,FALSE)=0,"",VLOOKUP($B764,Показатели!$E:$W,2,FALSE)),"")</f>
        <v/>
      </c>
      <c r="F764" t="str">
        <f>IFERROR(IF(VLOOKUP($B764,Показатели!$E:$W,3,FALSE)=0,"",VLOOKUP($B764,Показатели!$E:$W,3,FALSE)),"")</f>
        <v/>
      </c>
      <c r="G764" t="str">
        <f>IFERROR(IF(VLOOKUP($B764,Показатели!$E:$W,4,FALSE)=0,"",VLOOKUP($B764,Показатели!$E:$W,4,FALSE)),"")</f>
        <v/>
      </c>
      <c r="H764" t="str">
        <f>IFERROR(IF(VLOOKUP($B764,Показатели!$E:$W,5,FALSE)=0,"",VLOOKUP($B764,Показатели!$E:$W,5,FALSE)),"")</f>
        <v/>
      </c>
      <c r="I764" t="str">
        <f>IFERROR(IF(VLOOKUP($B764,Показатели!$E:$W,6,FALSE)=0,"",VLOOKUP($B764,Показатели!$E:$W,6,FALSE)),"")</f>
        <v/>
      </c>
      <c r="J764" t="str">
        <f>IFERROR(IF(VLOOKUP($B764,Показатели!$E:$W,7,FALSE)=0,"",VLOOKUP($B764,Показатели!$E:$W,7,FALSE)),"")</f>
        <v/>
      </c>
      <c r="K764" t="str">
        <f>IFERROR(IF(VLOOKUP($B764,Показатели!$E:$W,8,FALSE)=0,"",VLOOKUP($B764,Показатели!$E:$W,8,FALSE)),"")</f>
        <v/>
      </c>
      <c r="L764" t="str">
        <f>IFERROR(IF(VLOOKUP($B764,Показатели!$E:$W,9,FALSE)=0,"",VLOOKUP($B764,Показатели!$E:$W,9,FALSE)),"")</f>
        <v/>
      </c>
      <c r="M764" t="str">
        <f>IFERROR(IF(VLOOKUP($B764,Показатели!$E:$W,10,FALSE)=0,"",VLOOKUP($B764,Показатели!$E:$W,10,FALSE)),"")</f>
        <v/>
      </c>
      <c r="N764" t="str">
        <f>IFERROR(IF(VLOOKUP($B764,Показатели!$E:$W,11,FALSE)=0,"",VLOOKUP($B764,Показатели!$E:$W,11,FALSE)),"")</f>
        <v/>
      </c>
      <c r="O764" t="str">
        <f>IFERROR(IF(VLOOKUP($B764,Показатели!$E:$W,12,FALSE)=0,"",VLOOKUP($B764,Показатели!$E:$W,12,FALSE)),"")</f>
        <v/>
      </c>
      <c r="P764" t="str">
        <f>IFERROR(IF(VLOOKUP($B764,Показатели!$E:$W,13,FALSE)=0,"",VLOOKUP($B764,Показатели!$E:$W,13,FALSE)),"")</f>
        <v/>
      </c>
      <c r="Q764" t="str">
        <f>IFERROR(IF(VLOOKUP($B764,Показатели!$E:$W,14,FALSE)=0,"",VLOOKUP($B764,Показатели!$E:$W,14,FALSE)),"")</f>
        <v/>
      </c>
      <c r="R764" t="str">
        <f>IFERROR(IF(VLOOKUP($B764,Показатели!$E:$W,15,FALSE)=0,"",VLOOKUP($B764,Показатели!$E:$W,15,FALSE)),"")</f>
        <v/>
      </c>
      <c r="S764" t="str">
        <f>IFERROR(IF(VLOOKUP($B764,Показатели!$E:$W,16,FALSE)=0,"",VLOOKUP($B764,Показатели!$E:$W,16,FALSE)),"")</f>
        <v/>
      </c>
      <c r="T764" t="str">
        <f>IFERROR(IF(VLOOKUP($B764,Показатели!$E:$W,17,FALSE)=0,"",VLOOKUP($B764,Показатели!$E:$W,17,FALSE)),"")</f>
        <v/>
      </c>
      <c r="U764" t="str">
        <f>IFERROR(IF(VLOOKUP($B764,Показатели!$E:$W,18,FALSE)=0,"",VLOOKUP($B764,Показатели!$E:$W,18,FALSE)),"")</f>
        <v/>
      </c>
      <c r="V764" t="str">
        <f>IFERROR(IF(VLOOKUP($B764,Показатели!$E:$W,19,FALSE)=0,"",VLOOKUP($B764,Показатели!$E:$W,19,FALSE)),"")</f>
        <v/>
      </c>
    </row>
    <row r="765" spans="1:22" x14ac:dyDescent="0.2">
      <c r="A765" s="7" t="s">
        <v>2273</v>
      </c>
      <c r="B765" t="str">
        <f t="shared" si="11"/>
        <v>BAZA IV кв. 2014</v>
      </c>
      <c r="C765">
        <v>2014</v>
      </c>
      <c r="D765">
        <f>SUMIFS(Дивиденды!$C:$C,Дивиденды!$A:$A,A765,Дивиденды!$I:$I,C765)</f>
        <v>0</v>
      </c>
      <c r="E765" t="str">
        <f>IFERROR(IF(VLOOKUP($B765,Показатели!$E:$W,2,FALSE)=0,"",VLOOKUP($B765,Показатели!$E:$W,2,FALSE)),"")</f>
        <v/>
      </c>
      <c r="F765" t="str">
        <f>IFERROR(IF(VLOOKUP($B765,Показатели!$E:$W,3,FALSE)=0,"",VLOOKUP($B765,Показатели!$E:$W,3,FALSE)),"")</f>
        <v/>
      </c>
      <c r="G765" t="str">
        <f>IFERROR(IF(VLOOKUP($B765,Показатели!$E:$W,4,FALSE)=0,"",VLOOKUP($B765,Показатели!$E:$W,4,FALSE)),"")</f>
        <v/>
      </c>
      <c r="H765" t="str">
        <f>IFERROR(IF(VLOOKUP($B765,Показатели!$E:$W,5,FALSE)=0,"",VLOOKUP($B765,Показатели!$E:$W,5,FALSE)),"")</f>
        <v/>
      </c>
      <c r="I765" t="str">
        <f>IFERROR(IF(VLOOKUP($B765,Показатели!$E:$W,6,FALSE)=0,"",VLOOKUP($B765,Показатели!$E:$W,6,FALSE)),"")</f>
        <v/>
      </c>
      <c r="J765" t="str">
        <f>IFERROR(IF(VLOOKUP($B765,Показатели!$E:$W,7,FALSE)=0,"",VLOOKUP($B765,Показатели!$E:$W,7,FALSE)),"")</f>
        <v/>
      </c>
      <c r="K765" t="str">
        <f>IFERROR(IF(VLOOKUP($B765,Показатели!$E:$W,8,FALSE)=0,"",VLOOKUP($B765,Показатели!$E:$W,8,FALSE)),"")</f>
        <v/>
      </c>
      <c r="L765" t="str">
        <f>IFERROR(IF(VLOOKUP($B765,Показатели!$E:$W,9,FALSE)=0,"",VLOOKUP($B765,Показатели!$E:$W,9,FALSE)),"")</f>
        <v/>
      </c>
      <c r="M765" t="str">
        <f>IFERROR(IF(VLOOKUP($B765,Показатели!$E:$W,10,FALSE)=0,"",VLOOKUP($B765,Показатели!$E:$W,10,FALSE)),"")</f>
        <v/>
      </c>
      <c r="N765" t="str">
        <f>IFERROR(IF(VLOOKUP($B765,Показатели!$E:$W,11,FALSE)=0,"",VLOOKUP($B765,Показатели!$E:$W,11,FALSE)),"")</f>
        <v/>
      </c>
      <c r="O765" t="str">
        <f>IFERROR(IF(VLOOKUP($B765,Показатели!$E:$W,12,FALSE)=0,"",VLOOKUP($B765,Показатели!$E:$W,12,FALSE)),"")</f>
        <v/>
      </c>
      <c r="P765" t="str">
        <f>IFERROR(IF(VLOOKUP($B765,Показатели!$E:$W,13,FALSE)=0,"",VLOOKUP($B765,Показатели!$E:$W,13,FALSE)),"")</f>
        <v/>
      </c>
      <c r="Q765" t="str">
        <f>IFERROR(IF(VLOOKUP($B765,Показатели!$E:$W,14,FALSE)=0,"",VLOOKUP($B765,Показатели!$E:$W,14,FALSE)),"")</f>
        <v/>
      </c>
      <c r="R765" t="str">
        <f>IFERROR(IF(VLOOKUP($B765,Показатели!$E:$W,15,FALSE)=0,"",VLOOKUP($B765,Показатели!$E:$W,15,FALSE)),"")</f>
        <v/>
      </c>
      <c r="S765" t="str">
        <f>IFERROR(IF(VLOOKUP($B765,Показатели!$E:$W,16,FALSE)=0,"",VLOOKUP($B765,Показатели!$E:$W,16,FALSE)),"")</f>
        <v/>
      </c>
      <c r="T765" t="str">
        <f>IFERROR(IF(VLOOKUP($B765,Показатели!$E:$W,17,FALSE)=0,"",VLOOKUP($B765,Показатели!$E:$W,17,FALSE)),"")</f>
        <v/>
      </c>
      <c r="U765" t="str">
        <f>IFERROR(IF(VLOOKUP($B765,Показатели!$E:$W,18,FALSE)=0,"",VLOOKUP($B765,Показатели!$E:$W,18,FALSE)),"")</f>
        <v/>
      </c>
      <c r="V765" t="str">
        <f>IFERROR(IF(VLOOKUP($B765,Показатели!$E:$W,19,FALSE)=0,"",VLOOKUP($B765,Показатели!$E:$W,19,FALSE)),"")</f>
        <v/>
      </c>
    </row>
    <row r="766" spans="1:22" x14ac:dyDescent="0.2">
      <c r="A766" s="7" t="s">
        <v>2273</v>
      </c>
      <c r="B766" t="str">
        <f t="shared" si="11"/>
        <v>BAZA IV кв. 2013</v>
      </c>
      <c r="C766">
        <v>2013</v>
      </c>
      <c r="D766">
        <f>SUMIFS(Дивиденды!$C:$C,Дивиденды!$A:$A,A766,Дивиденды!$I:$I,C766)</f>
        <v>0</v>
      </c>
      <c r="E766" t="str">
        <f>IFERROR(IF(VLOOKUP($B766,Показатели!$E:$W,2,FALSE)=0,"",VLOOKUP($B766,Показатели!$E:$W,2,FALSE)),"")</f>
        <v/>
      </c>
      <c r="F766" t="str">
        <f>IFERROR(IF(VLOOKUP($B766,Показатели!$E:$W,3,FALSE)=0,"",VLOOKUP($B766,Показатели!$E:$W,3,FALSE)),"")</f>
        <v/>
      </c>
      <c r="G766" t="str">
        <f>IFERROR(IF(VLOOKUP($B766,Показатели!$E:$W,4,FALSE)=0,"",VLOOKUP($B766,Показатели!$E:$W,4,FALSE)),"")</f>
        <v/>
      </c>
      <c r="H766" t="str">
        <f>IFERROR(IF(VLOOKUP($B766,Показатели!$E:$W,5,FALSE)=0,"",VLOOKUP($B766,Показатели!$E:$W,5,FALSE)),"")</f>
        <v/>
      </c>
      <c r="I766" t="str">
        <f>IFERROR(IF(VLOOKUP($B766,Показатели!$E:$W,6,FALSE)=0,"",VLOOKUP($B766,Показатели!$E:$W,6,FALSE)),"")</f>
        <v/>
      </c>
      <c r="J766" t="str">
        <f>IFERROR(IF(VLOOKUP($B766,Показатели!$E:$W,7,FALSE)=0,"",VLOOKUP($B766,Показатели!$E:$W,7,FALSE)),"")</f>
        <v/>
      </c>
      <c r="K766" t="str">
        <f>IFERROR(IF(VLOOKUP($B766,Показатели!$E:$W,8,FALSE)=0,"",VLOOKUP($B766,Показатели!$E:$W,8,FALSE)),"")</f>
        <v/>
      </c>
      <c r="L766" t="str">
        <f>IFERROR(IF(VLOOKUP($B766,Показатели!$E:$W,9,FALSE)=0,"",VLOOKUP($B766,Показатели!$E:$W,9,FALSE)),"")</f>
        <v/>
      </c>
      <c r="M766" t="str">
        <f>IFERROR(IF(VLOOKUP($B766,Показатели!$E:$W,10,FALSE)=0,"",VLOOKUP($B766,Показатели!$E:$W,10,FALSE)),"")</f>
        <v/>
      </c>
      <c r="N766" t="str">
        <f>IFERROR(IF(VLOOKUP($B766,Показатели!$E:$W,11,FALSE)=0,"",VLOOKUP($B766,Показатели!$E:$W,11,FALSE)),"")</f>
        <v/>
      </c>
      <c r="O766" t="str">
        <f>IFERROR(IF(VLOOKUP($B766,Показатели!$E:$W,12,FALSE)=0,"",VLOOKUP($B766,Показатели!$E:$W,12,FALSE)),"")</f>
        <v/>
      </c>
      <c r="P766" t="str">
        <f>IFERROR(IF(VLOOKUP($B766,Показатели!$E:$W,13,FALSE)=0,"",VLOOKUP($B766,Показатели!$E:$W,13,FALSE)),"")</f>
        <v/>
      </c>
      <c r="Q766" t="str">
        <f>IFERROR(IF(VLOOKUP($B766,Показатели!$E:$W,14,FALSE)=0,"",VLOOKUP($B766,Показатели!$E:$W,14,FALSE)),"")</f>
        <v/>
      </c>
      <c r="R766" t="str">
        <f>IFERROR(IF(VLOOKUP($B766,Показатели!$E:$W,15,FALSE)=0,"",VLOOKUP($B766,Показатели!$E:$W,15,FALSE)),"")</f>
        <v/>
      </c>
      <c r="S766" t="str">
        <f>IFERROR(IF(VLOOKUP($B766,Показатели!$E:$W,16,FALSE)=0,"",VLOOKUP($B766,Показатели!$E:$W,16,FALSE)),"")</f>
        <v/>
      </c>
      <c r="T766" t="str">
        <f>IFERROR(IF(VLOOKUP($B766,Показатели!$E:$W,17,FALSE)=0,"",VLOOKUP($B766,Показатели!$E:$W,17,FALSE)),"")</f>
        <v/>
      </c>
      <c r="U766" t="str">
        <f>IFERROR(IF(VLOOKUP($B766,Показатели!$E:$W,18,FALSE)=0,"",VLOOKUP($B766,Показатели!$E:$W,18,FALSE)),"")</f>
        <v/>
      </c>
      <c r="V766" t="str">
        <f>IFERROR(IF(VLOOKUP($B766,Показатели!$E:$W,19,FALSE)=0,"",VLOOKUP($B766,Показатели!$E:$W,19,FALSE)),"")</f>
        <v/>
      </c>
    </row>
    <row r="767" spans="1:22" x14ac:dyDescent="0.2">
      <c r="A767" s="7" t="s">
        <v>2273</v>
      </c>
      <c r="B767" t="str">
        <f t="shared" si="11"/>
        <v>BAZA IV кв. 2012</v>
      </c>
      <c r="C767">
        <v>2012</v>
      </c>
      <c r="D767">
        <f>SUMIFS(Дивиденды!$C:$C,Дивиденды!$A:$A,A767,Дивиденды!$I:$I,C767)</f>
        <v>0</v>
      </c>
      <c r="E767" t="str">
        <f>IFERROR(IF(VLOOKUP($B767,Показатели!$E:$W,2,FALSE)=0,"",VLOOKUP($B767,Показатели!$E:$W,2,FALSE)),"")</f>
        <v/>
      </c>
      <c r="F767" t="str">
        <f>IFERROR(IF(VLOOKUP($B767,Показатели!$E:$W,3,FALSE)=0,"",VLOOKUP($B767,Показатели!$E:$W,3,FALSE)),"")</f>
        <v/>
      </c>
      <c r="G767" t="str">
        <f>IFERROR(IF(VLOOKUP($B767,Показатели!$E:$W,4,FALSE)=0,"",VLOOKUP($B767,Показатели!$E:$W,4,FALSE)),"")</f>
        <v/>
      </c>
      <c r="H767" t="str">
        <f>IFERROR(IF(VLOOKUP($B767,Показатели!$E:$W,5,FALSE)=0,"",VLOOKUP($B767,Показатели!$E:$W,5,FALSE)),"")</f>
        <v/>
      </c>
      <c r="I767" t="str">
        <f>IFERROR(IF(VLOOKUP($B767,Показатели!$E:$W,6,FALSE)=0,"",VLOOKUP($B767,Показатели!$E:$W,6,FALSE)),"")</f>
        <v/>
      </c>
      <c r="J767" t="str">
        <f>IFERROR(IF(VLOOKUP($B767,Показатели!$E:$W,7,FALSE)=0,"",VLOOKUP($B767,Показатели!$E:$W,7,FALSE)),"")</f>
        <v/>
      </c>
      <c r="K767" t="str">
        <f>IFERROR(IF(VLOOKUP($B767,Показатели!$E:$W,8,FALSE)=0,"",VLOOKUP($B767,Показатели!$E:$W,8,FALSE)),"")</f>
        <v/>
      </c>
      <c r="L767" t="str">
        <f>IFERROR(IF(VLOOKUP($B767,Показатели!$E:$W,9,FALSE)=0,"",VLOOKUP($B767,Показатели!$E:$W,9,FALSE)),"")</f>
        <v/>
      </c>
      <c r="M767" t="str">
        <f>IFERROR(IF(VLOOKUP($B767,Показатели!$E:$W,10,FALSE)=0,"",VLOOKUP($B767,Показатели!$E:$W,10,FALSE)),"")</f>
        <v/>
      </c>
      <c r="N767" t="str">
        <f>IFERROR(IF(VLOOKUP($B767,Показатели!$E:$W,11,FALSE)=0,"",VLOOKUP($B767,Показатели!$E:$W,11,FALSE)),"")</f>
        <v/>
      </c>
      <c r="O767" t="str">
        <f>IFERROR(IF(VLOOKUP($B767,Показатели!$E:$W,12,FALSE)=0,"",VLOOKUP($B767,Показатели!$E:$W,12,FALSE)),"")</f>
        <v/>
      </c>
      <c r="P767" t="str">
        <f>IFERROR(IF(VLOOKUP($B767,Показатели!$E:$W,13,FALSE)=0,"",VLOOKUP($B767,Показатели!$E:$W,13,FALSE)),"")</f>
        <v/>
      </c>
      <c r="Q767" t="str">
        <f>IFERROR(IF(VLOOKUP($B767,Показатели!$E:$W,14,FALSE)=0,"",VLOOKUP($B767,Показатели!$E:$W,14,FALSE)),"")</f>
        <v/>
      </c>
      <c r="R767" t="str">
        <f>IFERROR(IF(VLOOKUP($B767,Показатели!$E:$W,15,FALSE)=0,"",VLOOKUP($B767,Показатели!$E:$W,15,FALSE)),"")</f>
        <v/>
      </c>
      <c r="S767" t="str">
        <f>IFERROR(IF(VLOOKUP($B767,Показатели!$E:$W,16,FALSE)=0,"",VLOOKUP($B767,Показатели!$E:$W,16,FALSE)),"")</f>
        <v/>
      </c>
      <c r="T767" t="str">
        <f>IFERROR(IF(VLOOKUP($B767,Показатели!$E:$W,17,FALSE)=0,"",VLOOKUP($B767,Показатели!$E:$W,17,FALSE)),"")</f>
        <v/>
      </c>
      <c r="U767" t="str">
        <f>IFERROR(IF(VLOOKUP($B767,Показатели!$E:$W,18,FALSE)=0,"",VLOOKUP($B767,Показатели!$E:$W,18,FALSE)),"")</f>
        <v/>
      </c>
      <c r="V767" t="str">
        <f>IFERROR(IF(VLOOKUP($B767,Показатели!$E:$W,19,FALSE)=0,"",VLOOKUP($B767,Показатели!$E:$W,19,FALSE)),"")</f>
        <v/>
      </c>
    </row>
    <row r="768" spans="1:22" x14ac:dyDescent="0.2">
      <c r="A768" s="7" t="s">
        <v>2273</v>
      </c>
      <c r="B768" t="str">
        <f t="shared" si="11"/>
        <v>BAZA IV кв. 2011</v>
      </c>
      <c r="C768">
        <v>2011</v>
      </c>
      <c r="D768">
        <f>SUMIFS(Дивиденды!$C:$C,Дивиденды!$A:$A,A768,Дивиденды!$I:$I,C768)</f>
        <v>0</v>
      </c>
      <c r="E768" t="str">
        <f>IFERROR(IF(VLOOKUP($B768,Показатели!$E:$W,2,FALSE)=0,"",VLOOKUP($B768,Показатели!$E:$W,2,FALSE)),"")</f>
        <v/>
      </c>
      <c r="F768" t="str">
        <f>IFERROR(IF(VLOOKUP($B768,Показатели!$E:$W,3,FALSE)=0,"",VLOOKUP($B768,Показатели!$E:$W,3,FALSE)),"")</f>
        <v/>
      </c>
      <c r="G768" t="str">
        <f>IFERROR(IF(VLOOKUP($B768,Показатели!$E:$W,4,FALSE)=0,"",VLOOKUP($B768,Показатели!$E:$W,4,FALSE)),"")</f>
        <v/>
      </c>
      <c r="H768" t="str">
        <f>IFERROR(IF(VLOOKUP($B768,Показатели!$E:$W,5,FALSE)=0,"",VLOOKUP($B768,Показатели!$E:$W,5,FALSE)),"")</f>
        <v/>
      </c>
      <c r="I768" t="str">
        <f>IFERROR(IF(VLOOKUP($B768,Показатели!$E:$W,6,FALSE)=0,"",VLOOKUP($B768,Показатели!$E:$W,6,FALSE)),"")</f>
        <v/>
      </c>
      <c r="J768" t="str">
        <f>IFERROR(IF(VLOOKUP($B768,Показатели!$E:$W,7,FALSE)=0,"",VLOOKUP($B768,Показатели!$E:$W,7,FALSE)),"")</f>
        <v/>
      </c>
      <c r="K768" t="str">
        <f>IFERROR(IF(VLOOKUP($B768,Показатели!$E:$W,8,FALSE)=0,"",VLOOKUP($B768,Показатели!$E:$W,8,FALSE)),"")</f>
        <v/>
      </c>
      <c r="L768" t="str">
        <f>IFERROR(IF(VLOOKUP($B768,Показатели!$E:$W,9,FALSE)=0,"",VLOOKUP($B768,Показатели!$E:$W,9,FALSE)),"")</f>
        <v/>
      </c>
      <c r="M768" t="str">
        <f>IFERROR(IF(VLOOKUP($B768,Показатели!$E:$W,10,FALSE)=0,"",VLOOKUP($B768,Показатели!$E:$W,10,FALSE)),"")</f>
        <v/>
      </c>
      <c r="N768" t="str">
        <f>IFERROR(IF(VLOOKUP($B768,Показатели!$E:$W,11,FALSE)=0,"",VLOOKUP($B768,Показатели!$E:$W,11,FALSE)),"")</f>
        <v/>
      </c>
      <c r="O768" t="str">
        <f>IFERROR(IF(VLOOKUP($B768,Показатели!$E:$W,12,FALSE)=0,"",VLOOKUP($B768,Показатели!$E:$W,12,FALSE)),"")</f>
        <v/>
      </c>
      <c r="P768" t="str">
        <f>IFERROR(IF(VLOOKUP($B768,Показатели!$E:$W,13,FALSE)=0,"",VLOOKUP($B768,Показатели!$E:$W,13,FALSE)),"")</f>
        <v/>
      </c>
      <c r="Q768" t="str">
        <f>IFERROR(IF(VLOOKUP($B768,Показатели!$E:$W,14,FALSE)=0,"",VLOOKUP($B768,Показатели!$E:$W,14,FALSE)),"")</f>
        <v/>
      </c>
      <c r="R768" t="str">
        <f>IFERROR(IF(VLOOKUP($B768,Показатели!$E:$W,15,FALSE)=0,"",VLOOKUP($B768,Показатели!$E:$W,15,FALSE)),"")</f>
        <v/>
      </c>
      <c r="S768" t="str">
        <f>IFERROR(IF(VLOOKUP($B768,Показатели!$E:$W,16,FALSE)=0,"",VLOOKUP($B768,Показатели!$E:$W,16,FALSE)),"")</f>
        <v/>
      </c>
      <c r="T768" t="str">
        <f>IFERROR(IF(VLOOKUP($B768,Показатели!$E:$W,17,FALSE)=0,"",VLOOKUP($B768,Показатели!$E:$W,17,FALSE)),"")</f>
        <v/>
      </c>
      <c r="U768" t="str">
        <f>IFERROR(IF(VLOOKUP($B768,Показатели!$E:$W,18,FALSE)=0,"",VLOOKUP($B768,Показатели!$E:$W,18,FALSE)),"")</f>
        <v/>
      </c>
      <c r="V768" t="str">
        <f>IFERROR(IF(VLOOKUP($B768,Показатели!$E:$W,19,FALSE)=0,"",VLOOKUP($B768,Показатели!$E:$W,19,FALSE)),"")</f>
        <v/>
      </c>
    </row>
    <row r="769" spans="1:22" x14ac:dyDescent="0.2">
      <c r="A769" s="7" t="s">
        <v>2273</v>
      </c>
      <c r="B769" t="str">
        <f t="shared" si="11"/>
        <v>BAZA IV кв. 2010</v>
      </c>
      <c r="C769">
        <v>2010</v>
      </c>
      <c r="D769">
        <f>SUMIFS(Дивиденды!$C:$C,Дивиденды!$A:$A,A769,Дивиденды!$I:$I,C769)</f>
        <v>0</v>
      </c>
      <c r="E769" t="str">
        <f>IFERROR(IF(VLOOKUP($B769,Показатели!$E:$W,2,FALSE)=0,"",VLOOKUP($B769,Показатели!$E:$W,2,FALSE)),"")</f>
        <v/>
      </c>
      <c r="F769" t="str">
        <f>IFERROR(IF(VLOOKUP($B769,Показатели!$E:$W,3,FALSE)=0,"",VLOOKUP($B769,Показатели!$E:$W,3,FALSE)),"")</f>
        <v/>
      </c>
      <c r="G769" t="str">
        <f>IFERROR(IF(VLOOKUP($B769,Показатели!$E:$W,4,FALSE)=0,"",VLOOKUP($B769,Показатели!$E:$W,4,FALSE)),"")</f>
        <v/>
      </c>
      <c r="H769" t="str">
        <f>IFERROR(IF(VLOOKUP($B769,Показатели!$E:$W,5,FALSE)=0,"",VLOOKUP($B769,Показатели!$E:$W,5,FALSE)),"")</f>
        <v/>
      </c>
      <c r="I769" t="str">
        <f>IFERROR(IF(VLOOKUP($B769,Показатели!$E:$W,6,FALSE)=0,"",VLOOKUP($B769,Показатели!$E:$W,6,FALSE)),"")</f>
        <v/>
      </c>
      <c r="J769" t="str">
        <f>IFERROR(IF(VLOOKUP($B769,Показатели!$E:$W,7,FALSE)=0,"",VLOOKUP($B769,Показатели!$E:$W,7,FALSE)),"")</f>
        <v/>
      </c>
      <c r="K769" t="str">
        <f>IFERROR(IF(VLOOKUP($B769,Показатели!$E:$W,8,FALSE)=0,"",VLOOKUP($B769,Показатели!$E:$W,8,FALSE)),"")</f>
        <v/>
      </c>
      <c r="L769" t="str">
        <f>IFERROR(IF(VLOOKUP($B769,Показатели!$E:$W,9,FALSE)=0,"",VLOOKUP($B769,Показатели!$E:$W,9,FALSE)),"")</f>
        <v/>
      </c>
      <c r="M769" t="str">
        <f>IFERROR(IF(VLOOKUP($B769,Показатели!$E:$W,10,FALSE)=0,"",VLOOKUP($B769,Показатели!$E:$W,10,FALSE)),"")</f>
        <v/>
      </c>
      <c r="N769" t="str">
        <f>IFERROR(IF(VLOOKUP($B769,Показатели!$E:$W,11,FALSE)=0,"",VLOOKUP($B769,Показатели!$E:$W,11,FALSE)),"")</f>
        <v/>
      </c>
      <c r="O769" t="str">
        <f>IFERROR(IF(VLOOKUP($B769,Показатели!$E:$W,12,FALSE)=0,"",VLOOKUP($B769,Показатели!$E:$W,12,FALSE)),"")</f>
        <v/>
      </c>
      <c r="P769" t="str">
        <f>IFERROR(IF(VLOOKUP($B769,Показатели!$E:$W,13,FALSE)=0,"",VLOOKUP($B769,Показатели!$E:$W,13,FALSE)),"")</f>
        <v/>
      </c>
      <c r="Q769" t="str">
        <f>IFERROR(IF(VLOOKUP($B769,Показатели!$E:$W,14,FALSE)=0,"",VLOOKUP($B769,Показатели!$E:$W,14,FALSE)),"")</f>
        <v/>
      </c>
      <c r="R769" t="str">
        <f>IFERROR(IF(VLOOKUP($B769,Показатели!$E:$W,15,FALSE)=0,"",VLOOKUP($B769,Показатели!$E:$W,15,FALSE)),"")</f>
        <v/>
      </c>
      <c r="S769" t="str">
        <f>IFERROR(IF(VLOOKUP($B769,Показатели!$E:$W,16,FALSE)=0,"",VLOOKUP($B769,Показатели!$E:$W,16,FALSE)),"")</f>
        <v/>
      </c>
      <c r="T769" t="str">
        <f>IFERROR(IF(VLOOKUP($B769,Показатели!$E:$W,17,FALSE)=0,"",VLOOKUP($B769,Показатели!$E:$W,17,FALSE)),"")</f>
        <v/>
      </c>
      <c r="U769" t="str">
        <f>IFERROR(IF(VLOOKUP($B769,Показатели!$E:$W,18,FALSE)=0,"",VLOOKUP($B769,Показатели!$E:$W,18,FALSE)),"")</f>
        <v/>
      </c>
      <c r="V769" t="str">
        <f>IFERROR(IF(VLOOKUP($B769,Показатели!$E:$W,19,FALSE)=0,"",VLOOKUP($B769,Показатели!$E:$W,19,FALSE)),"")</f>
        <v/>
      </c>
    </row>
    <row r="770" spans="1:22" x14ac:dyDescent="0.2">
      <c r="A770" s="7" t="s">
        <v>2275</v>
      </c>
      <c r="B770" t="str">
        <f t="shared" si="11"/>
        <v>CNRU IV кв. 2025</v>
      </c>
      <c r="C770">
        <v>2025</v>
      </c>
      <c r="D770">
        <f>SUMIFS(Дивиденды!$C:$C,Дивиденды!$A:$A,A770,Дивиденды!$I:$I,C770)</f>
        <v>104</v>
      </c>
      <c r="E770" t="str">
        <f>IFERROR(IF(VLOOKUP($B770,Показатели!$E:$W,2,FALSE)=0,"",VLOOKUP($B770,Показатели!$E:$W,2,FALSE)),"")</f>
        <v/>
      </c>
      <c r="F770" t="str">
        <f>IFERROR(IF(VLOOKUP($B770,Показатели!$E:$W,3,FALSE)=0,"",VLOOKUP($B770,Показатели!$E:$W,3,FALSE)),"")</f>
        <v/>
      </c>
      <c r="G770" t="str">
        <f>IFERROR(IF(VLOOKUP($B770,Показатели!$E:$W,4,FALSE)=0,"",VLOOKUP($B770,Показатели!$E:$W,4,FALSE)),"")</f>
        <v/>
      </c>
      <c r="H770" t="str">
        <f>IFERROR(IF(VLOOKUP($B770,Показатели!$E:$W,5,FALSE)=0,"",VLOOKUP($B770,Показатели!$E:$W,5,FALSE)),"")</f>
        <v/>
      </c>
      <c r="I770" t="str">
        <f>IFERROR(IF(VLOOKUP($B770,Показатели!$E:$W,6,FALSE)=0,"",VLOOKUP($B770,Показатели!$E:$W,6,FALSE)),"")</f>
        <v/>
      </c>
      <c r="J770" t="str">
        <f>IFERROR(IF(VLOOKUP($B770,Показатели!$E:$W,7,FALSE)=0,"",VLOOKUP($B770,Показатели!$E:$W,7,FALSE)),"")</f>
        <v/>
      </c>
      <c r="K770" t="str">
        <f>IFERROR(IF(VLOOKUP($B770,Показатели!$E:$W,8,FALSE)=0,"",VLOOKUP($B770,Показатели!$E:$W,8,FALSE)),"")</f>
        <v/>
      </c>
      <c r="L770" t="str">
        <f>IFERROR(IF(VLOOKUP($B770,Показатели!$E:$W,9,FALSE)=0,"",VLOOKUP($B770,Показатели!$E:$W,9,FALSE)),"")</f>
        <v/>
      </c>
      <c r="M770" t="str">
        <f>IFERROR(IF(VLOOKUP($B770,Показатели!$E:$W,10,FALSE)=0,"",VLOOKUP($B770,Показатели!$E:$W,10,FALSE)),"")</f>
        <v/>
      </c>
      <c r="N770" t="str">
        <f>IFERROR(IF(VLOOKUP($B770,Показатели!$E:$W,11,FALSE)=0,"",VLOOKUP($B770,Показатели!$E:$W,11,FALSE)),"")</f>
        <v/>
      </c>
      <c r="O770" t="str">
        <f>IFERROR(IF(VLOOKUP($B770,Показатели!$E:$W,12,FALSE)=0,"",VLOOKUP($B770,Показатели!$E:$W,12,FALSE)),"")</f>
        <v/>
      </c>
      <c r="P770" t="str">
        <f>IFERROR(IF(VLOOKUP($B770,Показатели!$E:$W,13,FALSE)=0,"",VLOOKUP($B770,Показатели!$E:$W,13,FALSE)),"")</f>
        <v/>
      </c>
      <c r="Q770" t="str">
        <f>IFERROR(IF(VLOOKUP($B770,Показатели!$E:$W,14,FALSE)=0,"",VLOOKUP($B770,Показатели!$E:$W,14,FALSE)),"")</f>
        <v/>
      </c>
      <c r="R770" t="str">
        <f>IFERROR(IF(VLOOKUP($B770,Показатели!$E:$W,15,FALSE)=0,"",VLOOKUP($B770,Показатели!$E:$W,15,FALSE)),"")</f>
        <v/>
      </c>
      <c r="S770" t="str">
        <f>IFERROR(IF(VLOOKUP($B770,Показатели!$E:$W,16,FALSE)=0,"",VLOOKUP($B770,Показатели!$E:$W,16,FALSE)),"")</f>
        <v/>
      </c>
      <c r="T770" t="str">
        <f>IFERROR(IF(VLOOKUP($B770,Показатели!$E:$W,17,FALSE)=0,"",VLOOKUP($B770,Показатели!$E:$W,17,FALSE)),"")</f>
        <v/>
      </c>
      <c r="U770" t="str">
        <f>IFERROR(IF(VLOOKUP($B770,Показатели!$E:$W,18,FALSE)=0,"",VLOOKUP($B770,Показатели!$E:$W,18,FALSE)),"")</f>
        <v/>
      </c>
      <c r="V770" t="str">
        <f>IFERROR(IF(VLOOKUP($B770,Показатели!$E:$W,19,FALSE)=0,"",VLOOKUP($B770,Показатели!$E:$W,19,FALSE)),"")</f>
        <v/>
      </c>
    </row>
    <row r="771" spans="1:22" x14ac:dyDescent="0.2">
      <c r="A771" s="7" t="s">
        <v>2275</v>
      </c>
      <c r="B771" t="str">
        <f t="shared" ref="B771:B834" si="12">A771&amp;" "&amp;
"IV"
&amp;" кв. "&amp;C771</f>
        <v>CNRU IV кв. 2024</v>
      </c>
      <c r="C771">
        <v>2024</v>
      </c>
      <c r="D771">
        <f>SUMIFS(Дивиденды!$C:$C,Дивиденды!$A:$A,A771,Дивиденды!$I:$I,C771)</f>
        <v>0</v>
      </c>
      <c r="E771">
        <f>IFERROR(IF(VLOOKUP($B771,Показатели!$E:$W,2,FALSE)=0,"",VLOOKUP($B771,Показатели!$E:$W,2,FALSE)),"")</f>
        <v>9220000000</v>
      </c>
      <c r="F771">
        <f>IFERROR(IF(VLOOKUP($B771,Показатели!$E:$W,3,FALSE)=0,"",VLOOKUP($B771,Показатели!$E:$W,3,FALSE)),"")</f>
        <v>10258000000</v>
      </c>
      <c r="G771">
        <f>IFERROR(IF(VLOOKUP($B771,Показатели!$E:$W,4,FALSE)=0,"",VLOOKUP($B771,Показатели!$E:$W,4,FALSE)),"")</f>
        <v>85000000</v>
      </c>
      <c r="H771">
        <f>IFERROR(IF(VLOOKUP($B771,Показатели!$E:$W,5,FALSE)=0,"",VLOOKUP($B771,Показатели!$E:$W,5,FALSE)),"")</f>
        <v>2304000000</v>
      </c>
      <c r="I771">
        <f>IFERROR(IF(VLOOKUP($B771,Показатели!$E:$W,6,FALSE)=0,"",VLOOKUP($B771,Показатели!$E:$W,6,FALSE)),"")</f>
        <v>13045000000</v>
      </c>
      <c r="J771">
        <f>IFERROR(IF(VLOOKUP($B771,Показатели!$E:$W,7,FALSE)=0,"",VLOOKUP($B771,Показатели!$E:$W,7,FALSE)),"")</f>
        <v>2791000000</v>
      </c>
      <c r="K771">
        <f>IFERROR(IF(VLOOKUP($B771,Показатели!$E:$W,8,FALSE)=0,"",VLOOKUP($B771,Показатели!$E:$W,8,FALSE)),"")</f>
        <v>245000000</v>
      </c>
      <c r="L771">
        <f>IFERROR(IF(VLOOKUP($B771,Показатели!$E:$W,9,FALSE)=0,"",VLOOKUP($B771,Показатели!$E:$W,9,FALSE)),"")</f>
        <v>551000000</v>
      </c>
      <c r="M771">
        <f>IFERROR(IF(VLOOKUP($B771,Показатели!$E:$W,10,FALSE)=0,"",VLOOKUP($B771,Показатели!$E:$W,10,FALSE)),"")</f>
        <v>10009000000</v>
      </c>
      <c r="N771">
        <f>IFERROR(IF(VLOOKUP($B771,Показатели!$E:$W,11,FALSE)=0,"",VLOOKUP($B771,Показатели!$E:$W,11,FALSE)),"")</f>
        <v>12987000000</v>
      </c>
      <c r="O771">
        <f>IFERROR(IF(VLOOKUP($B771,Показатели!$E:$W,12,FALSE)=0,"",VLOOKUP($B771,Показатели!$E:$W,12,FALSE)),"")</f>
        <v>2228000000</v>
      </c>
      <c r="P771">
        <f>IFERROR(IF(VLOOKUP($B771,Показатели!$E:$W,13,FALSE)=0,"",VLOOKUP($B771,Показатели!$E:$W,13,FALSE)),"")</f>
        <v>3307000000</v>
      </c>
      <c r="Q771">
        <f>IFERROR(IF(VLOOKUP($B771,Показатели!$E:$W,14,FALSE)=0,"",VLOOKUP($B771,Показатели!$E:$W,14,FALSE)),"")</f>
        <v>2464000000</v>
      </c>
      <c r="R771">
        <f>IFERROR(IF(VLOOKUP($B771,Показатели!$E:$W,15,FALSE)=0,"",VLOOKUP($B771,Показатели!$E:$W,15,FALSE)),"")</f>
        <v>356000000</v>
      </c>
      <c r="S771">
        <f>IFERROR(IF(VLOOKUP($B771,Показатели!$E:$W,16,FALSE)=0,"",VLOOKUP($B771,Показатели!$E:$W,16,FALSE)),"")</f>
        <v>3207000000</v>
      </c>
      <c r="T771">
        <f>IFERROR(IF(VLOOKUP($B771,Показатели!$E:$W,17,FALSE)=0,"",VLOOKUP($B771,Показатели!$E:$W,17,FALSE)),"")</f>
        <v>-159000000</v>
      </c>
      <c r="U771">
        <f>IFERROR(IF(VLOOKUP($B771,Показатели!$E:$W,18,FALSE)=0,"",VLOOKUP($B771,Показатели!$E:$W,18,FALSE)),"")</f>
        <v>11571000000</v>
      </c>
      <c r="V771">
        <f>IFERROR(IF(VLOOKUP($B771,Показатели!$E:$W,19,FALSE)=0,"",VLOOKUP($B771,Показатели!$E:$W,19,FALSE)),"")</f>
        <v>10294000000</v>
      </c>
    </row>
    <row r="772" spans="1:22" x14ac:dyDescent="0.2">
      <c r="A772" s="7" t="s">
        <v>2275</v>
      </c>
      <c r="B772" t="str">
        <f t="shared" si="12"/>
        <v>CNRU IV кв. 2023</v>
      </c>
      <c r="C772">
        <v>2023</v>
      </c>
      <c r="D772">
        <f>SUMIFS(Дивиденды!$C:$C,Дивиденды!$A:$A,A772,Дивиденды!$I:$I,C772)</f>
        <v>0</v>
      </c>
      <c r="E772">
        <f>IFERROR(IF(VLOOKUP($B772,Показатели!$E:$W,2,FALSE)=0,"",VLOOKUP($B772,Показатели!$E:$W,2,FALSE)),"")</f>
        <v>6434000000</v>
      </c>
      <c r="F772">
        <f>IFERROR(IF(VLOOKUP($B772,Показатели!$E:$W,3,FALSE)=0,"",VLOOKUP($B772,Показатели!$E:$W,3,FALSE)),"")</f>
        <v>7500000000</v>
      </c>
      <c r="G772">
        <f>IFERROR(IF(VLOOKUP($B772,Показатели!$E:$W,4,FALSE)=0,"",VLOOKUP($B772,Показатели!$E:$W,4,FALSE)),"")</f>
        <v>73000000</v>
      </c>
      <c r="H772">
        <f>IFERROR(IF(VLOOKUP($B772,Показатели!$E:$W,5,FALSE)=0,"",VLOOKUP($B772,Показатели!$E:$W,5,FALSE)),"")</f>
        <v>2474000000</v>
      </c>
      <c r="I772">
        <f>IFERROR(IF(VLOOKUP($B772,Показатели!$E:$W,6,FALSE)=0,"",VLOOKUP($B772,Показатели!$E:$W,6,FALSE)),"")</f>
        <v>10294000000</v>
      </c>
      <c r="J772">
        <f>IFERROR(IF(VLOOKUP($B772,Показатели!$E:$W,7,FALSE)=0,"",VLOOKUP($B772,Показатели!$E:$W,7,FALSE)),"")</f>
        <v>2892000000</v>
      </c>
      <c r="K772">
        <f>IFERROR(IF(VLOOKUP($B772,Показатели!$E:$W,8,FALSE)=0,"",VLOOKUP($B772,Показатели!$E:$W,8,FALSE)),"")</f>
        <v>227000000</v>
      </c>
      <c r="L772">
        <f>IFERROR(IF(VLOOKUP($B772,Показатели!$E:$W,9,FALSE)=0,"",VLOOKUP($B772,Показатели!$E:$W,9,FALSE)),"")</f>
        <v>-1152000000</v>
      </c>
      <c r="M772">
        <f>IFERROR(IF(VLOOKUP($B772,Показатели!$E:$W,10,FALSE)=0,"",VLOOKUP($B772,Показатели!$E:$W,10,FALSE)),"")</f>
        <v>7175000000</v>
      </c>
      <c r="N772">
        <f>IFERROR(IF(VLOOKUP($B772,Показатели!$E:$W,11,FALSE)=0,"",VLOOKUP($B772,Показатели!$E:$W,11,FALSE)),"")</f>
        <v>11571000000</v>
      </c>
      <c r="O772">
        <f>IFERROR(IF(VLOOKUP($B772,Показатели!$E:$W,12,FALSE)=0,"",VLOOKUP($B772,Показатели!$E:$W,12,FALSE)),"")</f>
        <v>1817000000</v>
      </c>
      <c r="P772">
        <f>IFERROR(IF(VLOOKUP($B772,Показатели!$E:$W,13,FALSE)=0,"",VLOOKUP($B772,Показатели!$E:$W,13,FALSE)),"")</f>
        <v>2334000000</v>
      </c>
      <c r="Q772">
        <f>IFERROR(IF(VLOOKUP($B772,Показатели!$E:$W,14,FALSE)=0,"",VLOOKUP($B772,Показатели!$E:$W,14,FALSE)),"")</f>
        <v>1691000000</v>
      </c>
      <c r="R772">
        <f>IFERROR(IF(VLOOKUP($B772,Показатели!$E:$W,15,FALSE)=0,"",VLOOKUP($B772,Показатели!$E:$W,15,FALSE)),"")</f>
        <v>276000000</v>
      </c>
      <c r="S772">
        <f>IFERROR(IF(VLOOKUP($B772,Показатели!$E:$W,16,FALSE)=0,"",VLOOKUP($B772,Показатели!$E:$W,16,FALSE)),"")</f>
        <v>2778000000</v>
      </c>
      <c r="T772">
        <f>IFERROR(IF(VLOOKUP($B772,Показатели!$E:$W,17,FALSE)=0,"",VLOOKUP($B772,Показатели!$E:$W,17,FALSE)),"")</f>
        <v>-134000000</v>
      </c>
      <c r="U772" t="str">
        <f>IFERROR(IF(VLOOKUP($B772,Показатели!$E:$W,18,FALSE)=0,"",VLOOKUP($B772,Показатели!$E:$W,18,FALSE)),"")</f>
        <v/>
      </c>
      <c r="V772" t="str">
        <f>IFERROR(IF(VLOOKUP($B772,Показатели!$E:$W,19,FALSE)=0,"",VLOOKUP($B772,Показатели!$E:$W,19,FALSE)),"")</f>
        <v/>
      </c>
    </row>
    <row r="773" spans="1:22" x14ac:dyDescent="0.2">
      <c r="A773" s="7" t="s">
        <v>2275</v>
      </c>
      <c r="B773" t="str">
        <f t="shared" si="12"/>
        <v>CNRU IV кв. 2022</v>
      </c>
      <c r="C773">
        <v>2022</v>
      </c>
      <c r="D773">
        <f>SUMIFS(Дивиденды!$C:$C,Дивиденды!$A:$A,A773,Дивиденды!$I:$I,C773)</f>
        <v>0</v>
      </c>
      <c r="E773" t="str">
        <f>IFERROR(IF(VLOOKUP($B773,Показатели!$E:$W,2,FALSE)=0,"",VLOOKUP($B773,Показатели!$E:$W,2,FALSE)),"")</f>
        <v/>
      </c>
      <c r="F773" t="str">
        <f>IFERROR(IF(VLOOKUP($B773,Показатели!$E:$W,3,FALSE)=0,"",VLOOKUP($B773,Показатели!$E:$W,3,FALSE)),"")</f>
        <v/>
      </c>
      <c r="G773" t="str">
        <f>IFERROR(IF(VLOOKUP($B773,Показатели!$E:$W,4,FALSE)=0,"",VLOOKUP($B773,Показатели!$E:$W,4,FALSE)),"")</f>
        <v/>
      </c>
      <c r="H773" t="str">
        <f>IFERROR(IF(VLOOKUP($B773,Показатели!$E:$W,5,FALSE)=0,"",VLOOKUP($B773,Показатели!$E:$W,5,FALSE)),"")</f>
        <v/>
      </c>
      <c r="I773" t="str">
        <f>IFERROR(IF(VLOOKUP($B773,Показатели!$E:$W,6,FALSE)=0,"",VLOOKUP($B773,Показатели!$E:$W,6,FALSE)),"")</f>
        <v/>
      </c>
      <c r="J773" t="str">
        <f>IFERROR(IF(VLOOKUP($B773,Показатели!$E:$W,7,FALSE)=0,"",VLOOKUP($B773,Показатели!$E:$W,7,FALSE)),"")</f>
        <v/>
      </c>
      <c r="K773" t="str">
        <f>IFERROR(IF(VLOOKUP($B773,Показатели!$E:$W,8,FALSE)=0,"",VLOOKUP($B773,Показатели!$E:$W,8,FALSE)),"")</f>
        <v/>
      </c>
      <c r="L773" t="str">
        <f>IFERROR(IF(VLOOKUP($B773,Показатели!$E:$W,9,FALSE)=0,"",VLOOKUP($B773,Показатели!$E:$W,9,FALSE)),"")</f>
        <v/>
      </c>
      <c r="M773" t="str">
        <f>IFERROR(IF(VLOOKUP($B773,Показатели!$E:$W,10,FALSE)=0,"",VLOOKUP($B773,Показатели!$E:$W,10,FALSE)),"")</f>
        <v/>
      </c>
      <c r="N773" t="str">
        <f>IFERROR(IF(VLOOKUP($B773,Показатели!$E:$W,11,FALSE)=0,"",VLOOKUP($B773,Показатели!$E:$W,11,FALSE)),"")</f>
        <v/>
      </c>
      <c r="O773" t="str">
        <f>IFERROR(IF(VLOOKUP($B773,Показатели!$E:$W,12,FALSE)=0,"",VLOOKUP($B773,Показатели!$E:$W,12,FALSE)),"")</f>
        <v/>
      </c>
      <c r="P773" t="str">
        <f>IFERROR(IF(VLOOKUP($B773,Показатели!$E:$W,13,FALSE)=0,"",VLOOKUP($B773,Показатели!$E:$W,13,FALSE)),"")</f>
        <v/>
      </c>
      <c r="Q773" t="str">
        <f>IFERROR(IF(VLOOKUP($B773,Показатели!$E:$W,14,FALSE)=0,"",VLOOKUP($B773,Показатели!$E:$W,14,FALSE)),"")</f>
        <v/>
      </c>
      <c r="R773" t="str">
        <f>IFERROR(IF(VLOOKUP($B773,Показатели!$E:$W,15,FALSE)=0,"",VLOOKUP($B773,Показатели!$E:$W,15,FALSE)),"")</f>
        <v/>
      </c>
      <c r="S773" t="str">
        <f>IFERROR(IF(VLOOKUP($B773,Показатели!$E:$W,16,FALSE)=0,"",VLOOKUP($B773,Показатели!$E:$W,16,FALSE)),"")</f>
        <v/>
      </c>
      <c r="T773" t="str">
        <f>IFERROR(IF(VLOOKUP($B773,Показатели!$E:$W,17,FALSE)=0,"",VLOOKUP($B773,Показатели!$E:$W,17,FALSE)),"")</f>
        <v/>
      </c>
      <c r="U773" t="str">
        <f>IFERROR(IF(VLOOKUP($B773,Показатели!$E:$W,18,FALSE)=0,"",VLOOKUP($B773,Показатели!$E:$W,18,FALSE)),"")</f>
        <v/>
      </c>
      <c r="V773" t="str">
        <f>IFERROR(IF(VLOOKUP($B773,Показатели!$E:$W,19,FALSE)=0,"",VLOOKUP($B773,Показатели!$E:$W,19,FALSE)),"")</f>
        <v/>
      </c>
    </row>
    <row r="774" spans="1:22" x14ac:dyDescent="0.2">
      <c r="A774" s="7" t="s">
        <v>2275</v>
      </c>
      <c r="B774" t="str">
        <f t="shared" si="12"/>
        <v>CNRU IV кв. 2021</v>
      </c>
      <c r="C774">
        <v>2021</v>
      </c>
      <c r="D774">
        <f>SUMIFS(Дивиденды!$C:$C,Дивиденды!$A:$A,A774,Дивиденды!$I:$I,C774)</f>
        <v>0</v>
      </c>
      <c r="E774" t="str">
        <f>IFERROR(IF(VLOOKUP($B774,Показатели!$E:$W,2,FALSE)=0,"",VLOOKUP($B774,Показатели!$E:$W,2,FALSE)),"")</f>
        <v/>
      </c>
      <c r="F774" t="str">
        <f>IFERROR(IF(VLOOKUP($B774,Показатели!$E:$W,3,FALSE)=0,"",VLOOKUP($B774,Показатели!$E:$W,3,FALSE)),"")</f>
        <v/>
      </c>
      <c r="G774" t="str">
        <f>IFERROR(IF(VLOOKUP($B774,Показатели!$E:$W,4,FALSE)=0,"",VLOOKUP($B774,Показатели!$E:$W,4,FALSE)),"")</f>
        <v/>
      </c>
      <c r="H774" t="str">
        <f>IFERROR(IF(VLOOKUP($B774,Показатели!$E:$W,5,FALSE)=0,"",VLOOKUP($B774,Показатели!$E:$W,5,FALSE)),"")</f>
        <v/>
      </c>
      <c r="I774" t="str">
        <f>IFERROR(IF(VLOOKUP($B774,Показатели!$E:$W,6,FALSE)=0,"",VLOOKUP($B774,Показатели!$E:$W,6,FALSE)),"")</f>
        <v/>
      </c>
      <c r="J774" t="str">
        <f>IFERROR(IF(VLOOKUP($B774,Показатели!$E:$W,7,FALSE)=0,"",VLOOKUP($B774,Показатели!$E:$W,7,FALSE)),"")</f>
        <v/>
      </c>
      <c r="K774" t="str">
        <f>IFERROR(IF(VLOOKUP($B774,Показатели!$E:$W,8,FALSE)=0,"",VLOOKUP($B774,Показатели!$E:$W,8,FALSE)),"")</f>
        <v/>
      </c>
      <c r="L774" t="str">
        <f>IFERROR(IF(VLOOKUP($B774,Показатели!$E:$W,9,FALSE)=0,"",VLOOKUP($B774,Показатели!$E:$W,9,FALSE)),"")</f>
        <v/>
      </c>
      <c r="M774" t="str">
        <f>IFERROR(IF(VLOOKUP($B774,Показатели!$E:$W,10,FALSE)=0,"",VLOOKUP($B774,Показатели!$E:$W,10,FALSE)),"")</f>
        <v/>
      </c>
      <c r="N774" t="str">
        <f>IFERROR(IF(VLOOKUP($B774,Показатели!$E:$W,11,FALSE)=0,"",VLOOKUP($B774,Показатели!$E:$W,11,FALSE)),"")</f>
        <v/>
      </c>
      <c r="O774" t="str">
        <f>IFERROR(IF(VLOOKUP($B774,Показатели!$E:$W,12,FALSE)=0,"",VLOOKUP($B774,Показатели!$E:$W,12,FALSE)),"")</f>
        <v/>
      </c>
      <c r="P774" t="str">
        <f>IFERROR(IF(VLOOKUP($B774,Показатели!$E:$W,13,FALSE)=0,"",VLOOKUP($B774,Показатели!$E:$W,13,FALSE)),"")</f>
        <v/>
      </c>
      <c r="Q774" t="str">
        <f>IFERROR(IF(VLOOKUP($B774,Показатели!$E:$W,14,FALSE)=0,"",VLOOKUP($B774,Показатели!$E:$W,14,FALSE)),"")</f>
        <v/>
      </c>
      <c r="R774" t="str">
        <f>IFERROR(IF(VLOOKUP($B774,Показатели!$E:$W,15,FALSE)=0,"",VLOOKUP($B774,Показатели!$E:$W,15,FALSE)),"")</f>
        <v/>
      </c>
      <c r="S774" t="str">
        <f>IFERROR(IF(VLOOKUP($B774,Показатели!$E:$W,16,FALSE)=0,"",VLOOKUP($B774,Показатели!$E:$W,16,FALSE)),"")</f>
        <v/>
      </c>
      <c r="T774" t="str">
        <f>IFERROR(IF(VLOOKUP($B774,Показатели!$E:$W,17,FALSE)=0,"",VLOOKUP($B774,Показатели!$E:$W,17,FALSE)),"")</f>
        <v/>
      </c>
      <c r="U774" t="str">
        <f>IFERROR(IF(VLOOKUP($B774,Показатели!$E:$W,18,FALSE)=0,"",VLOOKUP($B774,Показатели!$E:$W,18,FALSE)),"")</f>
        <v/>
      </c>
      <c r="V774" t="str">
        <f>IFERROR(IF(VLOOKUP($B774,Показатели!$E:$W,19,FALSE)=0,"",VLOOKUP($B774,Показатели!$E:$W,19,FALSE)),"")</f>
        <v/>
      </c>
    </row>
    <row r="775" spans="1:22" x14ac:dyDescent="0.2">
      <c r="A775" s="7" t="s">
        <v>2275</v>
      </c>
      <c r="B775" t="str">
        <f t="shared" si="12"/>
        <v>CNRU IV кв. 2020</v>
      </c>
      <c r="C775">
        <v>2020</v>
      </c>
      <c r="D775">
        <f>SUMIFS(Дивиденды!$C:$C,Дивиденды!$A:$A,A775,Дивиденды!$I:$I,C775)</f>
        <v>0</v>
      </c>
      <c r="E775" t="str">
        <f>IFERROR(IF(VLOOKUP($B775,Показатели!$E:$W,2,FALSE)=0,"",VLOOKUP($B775,Показатели!$E:$W,2,FALSE)),"")</f>
        <v/>
      </c>
      <c r="F775" t="str">
        <f>IFERROR(IF(VLOOKUP($B775,Показатели!$E:$W,3,FALSE)=0,"",VLOOKUP($B775,Показатели!$E:$W,3,FALSE)),"")</f>
        <v/>
      </c>
      <c r="G775" t="str">
        <f>IFERROR(IF(VLOOKUP($B775,Показатели!$E:$W,4,FALSE)=0,"",VLOOKUP($B775,Показатели!$E:$W,4,FALSE)),"")</f>
        <v/>
      </c>
      <c r="H775" t="str">
        <f>IFERROR(IF(VLOOKUP($B775,Показатели!$E:$W,5,FALSE)=0,"",VLOOKUP($B775,Показатели!$E:$W,5,FALSE)),"")</f>
        <v/>
      </c>
      <c r="I775" t="str">
        <f>IFERROR(IF(VLOOKUP($B775,Показатели!$E:$W,6,FALSE)=0,"",VLOOKUP($B775,Показатели!$E:$W,6,FALSE)),"")</f>
        <v/>
      </c>
      <c r="J775" t="str">
        <f>IFERROR(IF(VLOOKUP($B775,Показатели!$E:$W,7,FALSE)=0,"",VLOOKUP($B775,Показатели!$E:$W,7,FALSE)),"")</f>
        <v/>
      </c>
      <c r="K775" t="str">
        <f>IFERROR(IF(VLOOKUP($B775,Показатели!$E:$W,8,FALSE)=0,"",VLOOKUP($B775,Показатели!$E:$W,8,FALSE)),"")</f>
        <v/>
      </c>
      <c r="L775" t="str">
        <f>IFERROR(IF(VLOOKUP($B775,Показатели!$E:$W,9,FALSE)=0,"",VLOOKUP($B775,Показатели!$E:$W,9,FALSE)),"")</f>
        <v/>
      </c>
      <c r="M775" t="str">
        <f>IFERROR(IF(VLOOKUP($B775,Показатели!$E:$W,10,FALSE)=0,"",VLOOKUP($B775,Показатели!$E:$W,10,FALSE)),"")</f>
        <v/>
      </c>
      <c r="N775" t="str">
        <f>IFERROR(IF(VLOOKUP($B775,Показатели!$E:$W,11,FALSE)=0,"",VLOOKUP($B775,Показатели!$E:$W,11,FALSE)),"")</f>
        <v/>
      </c>
      <c r="O775" t="str">
        <f>IFERROR(IF(VLOOKUP($B775,Показатели!$E:$W,12,FALSE)=0,"",VLOOKUP($B775,Показатели!$E:$W,12,FALSE)),"")</f>
        <v/>
      </c>
      <c r="P775" t="str">
        <f>IFERROR(IF(VLOOKUP($B775,Показатели!$E:$W,13,FALSE)=0,"",VLOOKUP($B775,Показатели!$E:$W,13,FALSE)),"")</f>
        <v/>
      </c>
      <c r="Q775" t="str">
        <f>IFERROR(IF(VLOOKUP($B775,Показатели!$E:$W,14,FALSE)=0,"",VLOOKUP($B775,Показатели!$E:$W,14,FALSE)),"")</f>
        <v/>
      </c>
      <c r="R775" t="str">
        <f>IFERROR(IF(VLOOKUP($B775,Показатели!$E:$W,15,FALSE)=0,"",VLOOKUP($B775,Показатели!$E:$W,15,FALSE)),"")</f>
        <v/>
      </c>
      <c r="S775" t="str">
        <f>IFERROR(IF(VLOOKUP($B775,Показатели!$E:$W,16,FALSE)=0,"",VLOOKUP($B775,Показатели!$E:$W,16,FALSE)),"")</f>
        <v/>
      </c>
      <c r="T775" t="str">
        <f>IFERROR(IF(VLOOKUP($B775,Показатели!$E:$W,17,FALSE)=0,"",VLOOKUP($B775,Показатели!$E:$W,17,FALSE)),"")</f>
        <v/>
      </c>
      <c r="U775" t="str">
        <f>IFERROR(IF(VLOOKUP($B775,Показатели!$E:$W,18,FALSE)=0,"",VLOOKUP($B775,Показатели!$E:$W,18,FALSE)),"")</f>
        <v/>
      </c>
      <c r="V775" t="str">
        <f>IFERROR(IF(VLOOKUP($B775,Показатели!$E:$W,19,FALSE)=0,"",VLOOKUP($B775,Показатели!$E:$W,19,FALSE)),"")</f>
        <v/>
      </c>
    </row>
    <row r="776" spans="1:22" x14ac:dyDescent="0.2">
      <c r="A776" s="7" t="s">
        <v>2275</v>
      </c>
      <c r="B776" t="str">
        <f t="shared" si="12"/>
        <v>CNRU IV кв. 2019</v>
      </c>
      <c r="C776">
        <v>2019</v>
      </c>
      <c r="D776">
        <f>SUMIFS(Дивиденды!$C:$C,Дивиденды!$A:$A,A776,Дивиденды!$I:$I,C776)</f>
        <v>0</v>
      </c>
      <c r="E776" t="str">
        <f>IFERROR(IF(VLOOKUP($B776,Показатели!$E:$W,2,FALSE)=0,"",VLOOKUP($B776,Показатели!$E:$W,2,FALSE)),"")</f>
        <v/>
      </c>
      <c r="F776" t="str">
        <f>IFERROR(IF(VLOOKUP($B776,Показатели!$E:$W,3,FALSE)=0,"",VLOOKUP($B776,Показатели!$E:$W,3,FALSE)),"")</f>
        <v/>
      </c>
      <c r="G776" t="str">
        <f>IFERROR(IF(VLOOKUP($B776,Показатели!$E:$W,4,FALSE)=0,"",VLOOKUP($B776,Показатели!$E:$W,4,FALSE)),"")</f>
        <v/>
      </c>
      <c r="H776" t="str">
        <f>IFERROR(IF(VLOOKUP($B776,Показатели!$E:$W,5,FALSE)=0,"",VLOOKUP($B776,Показатели!$E:$W,5,FALSE)),"")</f>
        <v/>
      </c>
      <c r="I776" t="str">
        <f>IFERROR(IF(VLOOKUP($B776,Показатели!$E:$W,6,FALSE)=0,"",VLOOKUP($B776,Показатели!$E:$W,6,FALSE)),"")</f>
        <v/>
      </c>
      <c r="J776" t="str">
        <f>IFERROR(IF(VLOOKUP($B776,Показатели!$E:$W,7,FALSE)=0,"",VLOOKUP($B776,Показатели!$E:$W,7,FALSE)),"")</f>
        <v/>
      </c>
      <c r="K776" t="str">
        <f>IFERROR(IF(VLOOKUP($B776,Показатели!$E:$W,8,FALSE)=0,"",VLOOKUP($B776,Показатели!$E:$W,8,FALSE)),"")</f>
        <v/>
      </c>
      <c r="L776" t="str">
        <f>IFERROR(IF(VLOOKUP($B776,Показатели!$E:$W,9,FALSE)=0,"",VLOOKUP($B776,Показатели!$E:$W,9,FALSE)),"")</f>
        <v/>
      </c>
      <c r="M776" t="str">
        <f>IFERROR(IF(VLOOKUP($B776,Показатели!$E:$W,10,FALSE)=0,"",VLOOKUP($B776,Показатели!$E:$W,10,FALSE)),"")</f>
        <v/>
      </c>
      <c r="N776" t="str">
        <f>IFERROR(IF(VLOOKUP($B776,Показатели!$E:$W,11,FALSE)=0,"",VLOOKUP($B776,Показатели!$E:$W,11,FALSE)),"")</f>
        <v/>
      </c>
      <c r="O776" t="str">
        <f>IFERROR(IF(VLOOKUP($B776,Показатели!$E:$W,12,FALSE)=0,"",VLOOKUP($B776,Показатели!$E:$W,12,FALSE)),"")</f>
        <v/>
      </c>
      <c r="P776" t="str">
        <f>IFERROR(IF(VLOOKUP($B776,Показатели!$E:$W,13,FALSE)=0,"",VLOOKUP($B776,Показатели!$E:$W,13,FALSE)),"")</f>
        <v/>
      </c>
      <c r="Q776" t="str">
        <f>IFERROR(IF(VLOOKUP($B776,Показатели!$E:$W,14,FALSE)=0,"",VLOOKUP($B776,Показатели!$E:$W,14,FALSE)),"")</f>
        <v/>
      </c>
      <c r="R776" t="str">
        <f>IFERROR(IF(VLOOKUP($B776,Показатели!$E:$W,15,FALSE)=0,"",VLOOKUP($B776,Показатели!$E:$W,15,FALSE)),"")</f>
        <v/>
      </c>
      <c r="S776" t="str">
        <f>IFERROR(IF(VLOOKUP($B776,Показатели!$E:$W,16,FALSE)=0,"",VLOOKUP($B776,Показатели!$E:$W,16,FALSE)),"")</f>
        <v/>
      </c>
      <c r="T776" t="str">
        <f>IFERROR(IF(VLOOKUP($B776,Показатели!$E:$W,17,FALSE)=0,"",VLOOKUP($B776,Показатели!$E:$W,17,FALSE)),"")</f>
        <v/>
      </c>
      <c r="U776" t="str">
        <f>IFERROR(IF(VLOOKUP($B776,Показатели!$E:$W,18,FALSE)=0,"",VLOOKUP($B776,Показатели!$E:$W,18,FALSE)),"")</f>
        <v/>
      </c>
      <c r="V776" t="str">
        <f>IFERROR(IF(VLOOKUP($B776,Показатели!$E:$W,19,FALSE)=0,"",VLOOKUP($B776,Показатели!$E:$W,19,FALSE)),"")</f>
        <v/>
      </c>
    </row>
    <row r="777" spans="1:22" x14ac:dyDescent="0.2">
      <c r="A777" s="7" t="s">
        <v>2275</v>
      </c>
      <c r="B777" t="str">
        <f t="shared" si="12"/>
        <v>CNRU IV кв. 2018</v>
      </c>
      <c r="C777">
        <v>2018</v>
      </c>
      <c r="D777">
        <f>SUMIFS(Дивиденды!$C:$C,Дивиденды!$A:$A,A777,Дивиденды!$I:$I,C777)</f>
        <v>0</v>
      </c>
      <c r="E777" t="str">
        <f>IFERROR(IF(VLOOKUP($B777,Показатели!$E:$W,2,FALSE)=0,"",VLOOKUP($B777,Показатели!$E:$W,2,FALSE)),"")</f>
        <v/>
      </c>
      <c r="F777" t="str">
        <f>IFERROR(IF(VLOOKUP($B777,Показатели!$E:$W,3,FALSE)=0,"",VLOOKUP($B777,Показатели!$E:$W,3,FALSE)),"")</f>
        <v/>
      </c>
      <c r="G777" t="str">
        <f>IFERROR(IF(VLOOKUP($B777,Показатели!$E:$W,4,FALSE)=0,"",VLOOKUP($B777,Показатели!$E:$W,4,FALSE)),"")</f>
        <v/>
      </c>
      <c r="H777" t="str">
        <f>IFERROR(IF(VLOOKUP($B777,Показатели!$E:$W,5,FALSE)=0,"",VLOOKUP($B777,Показатели!$E:$W,5,FALSE)),"")</f>
        <v/>
      </c>
      <c r="I777" t="str">
        <f>IFERROR(IF(VLOOKUP($B777,Показатели!$E:$W,6,FALSE)=0,"",VLOOKUP($B777,Показатели!$E:$W,6,FALSE)),"")</f>
        <v/>
      </c>
      <c r="J777" t="str">
        <f>IFERROR(IF(VLOOKUP($B777,Показатели!$E:$W,7,FALSE)=0,"",VLOOKUP($B777,Показатели!$E:$W,7,FALSE)),"")</f>
        <v/>
      </c>
      <c r="K777" t="str">
        <f>IFERROR(IF(VLOOKUP($B777,Показатели!$E:$W,8,FALSE)=0,"",VLOOKUP($B777,Показатели!$E:$W,8,FALSE)),"")</f>
        <v/>
      </c>
      <c r="L777" t="str">
        <f>IFERROR(IF(VLOOKUP($B777,Показатели!$E:$W,9,FALSE)=0,"",VLOOKUP($B777,Показатели!$E:$W,9,FALSE)),"")</f>
        <v/>
      </c>
      <c r="M777" t="str">
        <f>IFERROR(IF(VLOOKUP($B777,Показатели!$E:$W,10,FALSE)=0,"",VLOOKUP($B777,Показатели!$E:$W,10,FALSE)),"")</f>
        <v/>
      </c>
      <c r="N777" t="str">
        <f>IFERROR(IF(VLOOKUP($B777,Показатели!$E:$W,11,FALSE)=0,"",VLOOKUP($B777,Показатели!$E:$W,11,FALSE)),"")</f>
        <v/>
      </c>
      <c r="O777" t="str">
        <f>IFERROR(IF(VLOOKUP($B777,Показатели!$E:$W,12,FALSE)=0,"",VLOOKUP($B777,Показатели!$E:$W,12,FALSE)),"")</f>
        <v/>
      </c>
      <c r="P777" t="str">
        <f>IFERROR(IF(VLOOKUP($B777,Показатели!$E:$W,13,FALSE)=0,"",VLOOKUP($B777,Показатели!$E:$W,13,FALSE)),"")</f>
        <v/>
      </c>
      <c r="Q777" t="str">
        <f>IFERROR(IF(VLOOKUP($B777,Показатели!$E:$W,14,FALSE)=0,"",VLOOKUP($B777,Показатели!$E:$W,14,FALSE)),"")</f>
        <v/>
      </c>
      <c r="R777" t="str">
        <f>IFERROR(IF(VLOOKUP($B777,Показатели!$E:$W,15,FALSE)=0,"",VLOOKUP($B777,Показатели!$E:$W,15,FALSE)),"")</f>
        <v/>
      </c>
      <c r="S777" t="str">
        <f>IFERROR(IF(VLOOKUP($B777,Показатели!$E:$W,16,FALSE)=0,"",VLOOKUP($B777,Показатели!$E:$W,16,FALSE)),"")</f>
        <v/>
      </c>
      <c r="T777" t="str">
        <f>IFERROR(IF(VLOOKUP($B777,Показатели!$E:$W,17,FALSE)=0,"",VLOOKUP($B777,Показатели!$E:$W,17,FALSE)),"")</f>
        <v/>
      </c>
      <c r="U777" t="str">
        <f>IFERROR(IF(VLOOKUP($B777,Показатели!$E:$W,18,FALSE)=0,"",VLOOKUP($B777,Показатели!$E:$W,18,FALSE)),"")</f>
        <v/>
      </c>
      <c r="V777" t="str">
        <f>IFERROR(IF(VLOOKUP($B777,Показатели!$E:$W,19,FALSE)=0,"",VLOOKUP($B777,Показатели!$E:$W,19,FALSE)),"")</f>
        <v/>
      </c>
    </row>
    <row r="778" spans="1:22" x14ac:dyDescent="0.2">
      <c r="A778" s="7" t="s">
        <v>2275</v>
      </c>
      <c r="B778" t="str">
        <f t="shared" si="12"/>
        <v>CNRU IV кв. 2017</v>
      </c>
      <c r="C778">
        <v>2017</v>
      </c>
      <c r="D778">
        <f>SUMIFS(Дивиденды!$C:$C,Дивиденды!$A:$A,A778,Дивиденды!$I:$I,C778)</f>
        <v>0</v>
      </c>
      <c r="E778" t="str">
        <f>IFERROR(IF(VLOOKUP($B778,Показатели!$E:$W,2,FALSE)=0,"",VLOOKUP($B778,Показатели!$E:$W,2,FALSE)),"")</f>
        <v/>
      </c>
      <c r="F778" t="str">
        <f>IFERROR(IF(VLOOKUP($B778,Показатели!$E:$W,3,FALSE)=0,"",VLOOKUP($B778,Показатели!$E:$W,3,FALSE)),"")</f>
        <v/>
      </c>
      <c r="G778" t="str">
        <f>IFERROR(IF(VLOOKUP($B778,Показатели!$E:$W,4,FALSE)=0,"",VLOOKUP($B778,Показатели!$E:$W,4,FALSE)),"")</f>
        <v/>
      </c>
      <c r="H778" t="str">
        <f>IFERROR(IF(VLOOKUP($B778,Показатели!$E:$W,5,FALSE)=0,"",VLOOKUP($B778,Показатели!$E:$W,5,FALSE)),"")</f>
        <v/>
      </c>
      <c r="I778" t="str">
        <f>IFERROR(IF(VLOOKUP($B778,Показатели!$E:$W,6,FALSE)=0,"",VLOOKUP($B778,Показатели!$E:$W,6,FALSE)),"")</f>
        <v/>
      </c>
      <c r="J778" t="str">
        <f>IFERROR(IF(VLOOKUP($B778,Показатели!$E:$W,7,FALSE)=0,"",VLOOKUP($B778,Показатели!$E:$W,7,FALSE)),"")</f>
        <v/>
      </c>
      <c r="K778" t="str">
        <f>IFERROR(IF(VLOOKUP($B778,Показатели!$E:$W,8,FALSE)=0,"",VLOOKUP($B778,Показатели!$E:$W,8,FALSE)),"")</f>
        <v/>
      </c>
      <c r="L778" t="str">
        <f>IFERROR(IF(VLOOKUP($B778,Показатели!$E:$W,9,FALSE)=0,"",VLOOKUP($B778,Показатели!$E:$W,9,FALSE)),"")</f>
        <v/>
      </c>
      <c r="M778" t="str">
        <f>IFERROR(IF(VLOOKUP($B778,Показатели!$E:$W,10,FALSE)=0,"",VLOOKUP($B778,Показатели!$E:$W,10,FALSE)),"")</f>
        <v/>
      </c>
      <c r="N778" t="str">
        <f>IFERROR(IF(VLOOKUP($B778,Показатели!$E:$W,11,FALSE)=0,"",VLOOKUP($B778,Показатели!$E:$W,11,FALSE)),"")</f>
        <v/>
      </c>
      <c r="O778" t="str">
        <f>IFERROR(IF(VLOOKUP($B778,Показатели!$E:$W,12,FALSE)=0,"",VLOOKUP($B778,Показатели!$E:$W,12,FALSE)),"")</f>
        <v/>
      </c>
      <c r="P778" t="str">
        <f>IFERROR(IF(VLOOKUP($B778,Показатели!$E:$W,13,FALSE)=0,"",VLOOKUP($B778,Показатели!$E:$W,13,FALSE)),"")</f>
        <v/>
      </c>
      <c r="Q778" t="str">
        <f>IFERROR(IF(VLOOKUP($B778,Показатели!$E:$W,14,FALSE)=0,"",VLOOKUP($B778,Показатели!$E:$W,14,FALSE)),"")</f>
        <v/>
      </c>
      <c r="R778" t="str">
        <f>IFERROR(IF(VLOOKUP($B778,Показатели!$E:$W,15,FALSE)=0,"",VLOOKUP($B778,Показатели!$E:$W,15,FALSE)),"")</f>
        <v/>
      </c>
      <c r="S778" t="str">
        <f>IFERROR(IF(VLOOKUP($B778,Показатели!$E:$W,16,FALSE)=0,"",VLOOKUP($B778,Показатели!$E:$W,16,FALSE)),"")</f>
        <v/>
      </c>
      <c r="T778" t="str">
        <f>IFERROR(IF(VLOOKUP($B778,Показатели!$E:$W,17,FALSE)=0,"",VLOOKUP($B778,Показатели!$E:$W,17,FALSE)),"")</f>
        <v/>
      </c>
      <c r="U778" t="str">
        <f>IFERROR(IF(VLOOKUP($B778,Показатели!$E:$W,18,FALSE)=0,"",VLOOKUP($B778,Показатели!$E:$W,18,FALSE)),"")</f>
        <v/>
      </c>
      <c r="V778" t="str">
        <f>IFERROR(IF(VLOOKUP($B778,Показатели!$E:$W,19,FALSE)=0,"",VLOOKUP($B778,Показатели!$E:$W,19,FALSE)),"")</f>
        <v/>
      </c>
    </row>
    <row r="779" spans="1:22" x14ac:dyDescent="0.2">
      <c r="A779" s="7" t="s">
        <v>2275</v>
      </c>
      <c r="B779" t="str">
        <f t="shared" si="12"/>
        <v>CNRU IV кв. 2016</v>
      </c>
      <c r="C779">
        <v>2016</v>
      </c>
      <c r="D779">
        <f>SUMIFS(Дивиденды!$C:$C,Дивиденды!$A:$A,A779,Дивиденды!$I:$I,C779)</f>
        <v>0</v>
      </c>
      <c r="E779" t="str">
        <f>IFERROR(IF(VLOOKUP($B779,Показатели!$E:$W,2,FALSE)=0,"",VLOOKUP($B779,Показатели!$E:$W,2,FALSE)),"")</f>
        <v/>
      </c>
      <c r="F779" t="str">
        <f>IFERROR(IF(VLOOKUP($B779,Показатели!$E:$W,3,FALSE)=0,"",VLOOKUP($B779,Показатели!$E:$W,3,FALSE)),"")</f>
        <v/>
      </c>
      <c r="G779" t="str">
        <f>IFERROR(IF(VLOOKUP($B779,Показатели!$E:$W,4,FALSE)=0,"",VLOOKUP($B779,Показатели!$E:$W,4,FALSE)),"")</f>
        <v/>
      </c>
      <c r="H779" t="str">
        <f>IFERROR(IF(VLOOKUP($B779,Показатели!$E:$W,5,FALSE)=0,"",VLOOKUP($B779,Показатели!$E:$W,5,FALSE)),"")</f>
        <v/>
      </c>
      <c r="I779" t="str">
        <f>IFERROR(IF(VLOOKUP($B779,Показатели!$E:$W,6,FALSE)=0,"",VLOOKUP($B779,Показатели!$E:$W,6,FALSE)),"")</f>
        <v/>
      </c>
      <c r="J779" t="str">
        <f>IFERROR(IF(VLOOKUP($B779,Показатели!$E:$W,7,FALSE)=0,"",VLOOKUP($B779,Показатели!$E:$W,7,FALSE)),"")</f>
        <v/>
      </c>
      <c r="K779" t="str">
        <f>IFERROR(IF(VLOOKUP($B779,Показатели!$E:$W,8,FALSE)=0,"",VLOOKUP($B779,Показатели!$E:$W,8,FALSE)),"")</f>
        <v/>
      </c>
      <c r="L779" t="str">
        <f>IFERROR(IF(VLOOKUP($B779,Показатели!$E:$W,9,FALSE)=0,"",VLOOKUP($B779,Показатели!$E:$W,9,FALSE)),"")</f>
        <v/>
      </c>
      <c r="M779" t="str">
        <f>IFERROR(IF(VLOOKUP($B779,Показатели!$E:$W,10,FALSE)=0,"",VLOOKUP($B779,Показатели!$E:$W,10,FALSE)),"")</f>
        <v/>
      </c>
      <c r="N779" t="str">
        <f>IFERROR(IF(VLOOKUP($B779,Показатели!$E:$W,11,FALSE)=0,"",VLOOKUP($B779,Показатели!$E:$W,11,FALSE)),"")</f>
        <v/>
      </c>
      <c r="O779" t="str">
        <f>IFERROR(IF(VLOOKUP($B779,Показатели!$E:$W,12,FALSE)=0,"",VLOOKUP($B779,Показатели!$E:$W,12,FALSE)),"")</f>
        <v/>
      </c>
      <c r="P779" t="str">
        <f>IFERROR(IF(VLOOKUP($B779,Показатели!$E:$W,13,FALSE)=0,"",VLOOKUP($B779,Показатели!$E:$W,13,FALSE)),"")</f>
        <v/>
      </c>
      <c r="Q779" t="str">
        <f>IFERROR(IF(VLOOKUP($B779,Показатели!$E:$W,14,FALSE)=0,"",VLOOKUP($B779,Показатели!$E:$W,14,FALSE)),"")</f>
        <v/>
      </c>
      <c r="R779" t="str">
        <f>IFERROR(IF(VLOOKUP($B779,Показатели!$E:$W,15,FALSE)=0,"",VLOOKUP($B779,Показатели!$E:$W,15,FALSE)),"")</f>
        <v/>
      </c>
      <c r="S779" t="str">
        <f>IFERROR(IF(VLOOKUP($B779,Показатели!$E:$W,16,FALSE)=0,"",VLOOKUP($B779,Показатели!$E:$W,16,FALSE)),"")</f>
        <v/>
      </c>
      <c r="T779" t="str">
        <f>IFERROR(IF(VLOOKUP($B779,Показатели!$E:$W,17,FALSE)=0,"",VLOOKUP($B779,Показатели!$E:$W,17,FALSE)),"")</f>
        <v/>
      </c>
      <c r="U779" t="str">
        <f>IFERROR(IF(VLOOKUP($B779,Показатели!$E:$W,18,FALSE)=0,"",VLOOKUP($B779,Показатели!$E:$W,18,FALSE)),"")</f>
        <v/>
      </c>
      <c r="V779" t="str">
        <f>IFERROR(IF(VLOOKUP($B779,Показатели!$E:$W,19,FALSE)=0,"",VLOOKUP($B779,Показатели!$E:$W,19,FALSE)),"")</f>
        <v/>
      </c>
    </row>
    <row r="780" spans="1:22" x14ac:dyDescent="0.2">
      <c r="A780" s="7" t="s">
        <v>2275</v>
      </c>
      <c r="B780" t="str">
        <f t="shared" si="12"/>
        <v>CNRU IV кв. 2015</v>
      </c>
      <c r="C780">
        <v>2015</v>
      </c>
      <c r="D780">
        <f>SUMIFS(Дивиденды!$C:$C,Дивиденды!$A:$A,A780,Дивиденды!$I:$I,C780)</f>
        <v>0</v>
      </c>
      <c r="E780" t="str">
        <f>IFERROR(IF(VLOOKUP($B780,Показатели!$E:$W,2,FALSE)=0,"",VLOOKUP($B780,Показатели!$E:$W,2,FALSE)),"")</f>
        <v/>
      </c>
      <c r="F780" t="str">
        <f>IFERROR(IF(VLOOKUP($B780,Показатели!$E:$W,3,FALSE)=0,"",VLOOKUP($B780,Показатели!$E:$W,3,FALSE)),"")</f>
        <v/>
      </c>
      <c r="G780" t="str">
        <f>IFERROR(IF(VLOOKUP($B780,Показатели!$E:$W,4,FALSE)=0,"",VLOOKUP($B780,Показатели!$E:$W,4,FALSE)),"")</f>
        <v/>
      </c>
      <c r="H780" t="str">
        <f>IFERROR(IF(VLOOKUP($B780,Показатели!$E:$W,5,FALSE)=0,"",VLOOKUP($B780,Показатели!$E:$W,5,FALSE)),"")</f>
        <v/>
      </c>
      <c r="I780" t="str">
        <f>IFERROR(IF(VLOOKUP($B780,Показатели!$E:$W,6,FALSE)=0,"",VLOOKUP($B780,Показатели!$E:$W,6,FALSE)),"")</f>
        <v/>
      </c>
      <c r="J780" t="str">
        <f>IFERROR(IF(VLOOKUP($B780,Показатели!$E:$W,7,FALSE)=0,"",VLOOKUP($B780,Показатели!$E:$W,7,FALSE)),"")</f>
        <v/>
      </c>
      <c r="K780" t="str">
        <f>IFERROR(IF(VLOOKUP($B780,Показатели!$E:$W,8,FALSE)=0,"",VLOOKUP($B780,Показатели!$E:$W,8,FALSE)),"")</f>
        <v/>
      </c>
      <c r="L780" t="str">
        <f>IFERROR(IF(VLOOKUP($B780,Показатели!$E:$W,9,FALSE)=0,"",VLOOKUP($B780,Показатели!$E:$W,9,FALSE)),"")</f>
        <v/>
      </c>
      <c r="M780" t="str">
        <f>IFERROR(IF(VLOOKUP($B780,Показатели!$E:$W,10,FALSE)=0,"",VLOOKUP($B780,Показатели!$E:$W,10,FALSE)),"")</f>
        <v/>
      </c>
      <c r="N780" t="str">
        <f>IFERROR(IF(VLOOKUP($B780,Показатели!$E:$W,11,FALSE)=0,"",VLOOKUP($B780,Показатели!$E:$W,11,FALSE)),"")</f>
        <v/>
      </c>
      <c r="O780" t="str">
        <f>IFERROR(IF(VLOOKUP($B780,Показатели!$E:$W,12,FALSE)=0,"",VLOOKUP($B780,Показатели!$E:$W,12,FALSE)),"")</f>
        <v/>
      </c>
      <c r="P780" t="str">
        <f>IFERROR(IF(VLOOKUP($B780,Показатели!$E:$W,13,FALSE)=0,"",VLOOKUP($B780,Показатели!$E:$W,13,FALSE)),"")</f>
        <v/>
      </c>
      <c r="Q780" t="str">
        <f>IFERROR(IF(VLOOKUP($B780,Показатели!$E:$W,14,FALSE)=0,"",VLOOKUP($B780,Показатели!$E:$W,14,FALSE)),"")</f>
        <v/>
      </c>
      <c r="R780" t="str">
        <f>IFERROR(IF(VLOOKUP($B780,Показатели!$E:$W,15,FALSE)=0,"",VLOOKUP($B780,Показатели!$E:$W,15,FALSE)),"")</f>
        <v/>
      </c>
      <c r="S780" t="str">
        <f>IFERROR(IF(VLOOKUP($B780,Показатели!$E:$W,16,FALSE)=0,"",VLOOKUP($B780,Показатели!$E:$W,16,FALSE)),"")</f>
        <v/>
      </c>
      <c r="T780" t="str">
        <f>IFERROR(IF(VLOOKUP($B780,Показатели!$E:$W,17,FALSE)=0,"",VLOOKUP($B780,Показатели!$E:$W,17,FALSE)),"")</f>
        <v/>
      </c>
      <c r="U780" t="str">
        <f>IFERROR(IF(VLOOKUP($B780,Показатели!$E:$W,18,FALSE)=0,"",VLOOKUP($B780,Показатели!$E:$W,18,FALSE)),"")</f>
        <v/>
      </c>
      <c r="V780" t="str">
        <f>IFERROR(IF(VLOOKUP($B780,Показатели!$E:$W,19,FALSE)=0,"",VLOOKUP($B780,Показатели!$E:$W,19,FALSE)),"")</f>
        <v/>
      </c>
    </row>
    <row r="781" spans="1:22" x14ac:dyDescent="0.2">
      <c r="A781" s="7" t="s">
        <v>2275</v>
      </c>
      <c r="B781" t="str">
        <f t="shared" si="12"/>
        <v>CNRU IV кв. 2014</v>
      </c>
      <c r="C781">
        <v>2014</v>
      </c>
      <c r="D781">
        <f>SUMIFS(Дивиденды!$C:$C,Дивиденды!$A:$A,A781,Дивиденды!$I:$I,C781)</f>
        <v>0</v>
      </c>
      <c r="E781" t="str">
        <f>IFERROR(IF(VLOOKUP($B781,Показатели!$E:$W,2,FALSE)=0,"",VLOOKUP($B781,Показатели!$E:$W,2,FALSE)),"")</f>
        <v/>
      </c>
      <c r="F781" t="str">
        <f>IFERROR(IF(VLOOKUP($B781,Показатели!$E:$W,3,FALSE)=0,"",VLOOKUP($B781,Показатели!$E:$W,3,FALSE)),"")</f>
        <v/>
      </c>
      <c r="G781" t="str">
        <f>IFERROR(IF(VLOOKUP($B781,Показатели!$E:$W,4,FALSE)=0,"",VLOOKUP($B781,Показатели!$E:$W,4,FALSE)),"")</f>
        <v/>
      </c>
      <c r="H781" t="str">
        <f>IFERROR(IF(VLOOKUP($B781,Показатели!$E:$W,5,FALSE)=0,"",VLOOKUP($B781,Показатели!$E:$W,5,FALSE)),"")</f>
        <v/>
      </c>
      <c r="I781" t="str">
        <f>IFERROR(IF(VLOOKUP($B781,Показатели!$E:$W,6,FALSE)=0,"",VLOOKUP($B781,Показатели!$E:$W,6,FALSE)),"")</f>
        <v/>
      </c>
      <c r="J781" t="str">
        <f>IFERROR(IF(VLOOKUP($B781,Показатели!$E:$W,7,FALSE)=0,"",VLOOKUP($B781,Показатели!$E:$W,7,FALSE)),"")</f>
        <v/>
      </c>
      <c r="K781" t="str">
        <f>IFERROR(IF(VLOOKUP($B781,Показатели!$E:$W,8,FALSE)=0,"",VLOOKUP($B781,Показатели!$E:$W,8,FALSE)),"")</f>
        <v/>
      </c>
      <c r="L781" t="str">
        <f>IFERROR(IF(VLOOKUP($B781,Показатели!$E:$W,9,FALSE)=0,"",VLOOKUP($B781,Показатели!$E:$W,9,FALSE)),"")</f>
        <v/>
      </c>
      <c r="M781" t="str">
        <f>IFERROR(IF(VLOOKUP($B781,Показатели!$E:$W,10,FALSE)=0,"",VLOOKUP($B781,Показатели!$E:$W,10,FALSE)),"")</f>
        <v/>
      </c>
      <c r="N781" t="str">
        <f>IFERROR(IF(VLOOKUP($B781,Показатели!$E:$W,11,FALSE)=0,"",VLOOKUP($B781,Показатели!$E:$W,11,FALSE)),"")</f>
        <v/>
      </c>
      <c r="O781" t="str">
        <f>IFERROR(IF(VLOOKUP($B781,Показатели!$E:$W,12,FALSE)=0,"",VLOOKUP($B781,Показатели!$E:$W,12,FALSE)),"")</f>
        <v/>
      </c>
      <c r="P781" t="str">
        <f>IFERROR(IF(VLOOKUP($B781,Показатели!$E:$W,13,FALSE)=0,"",VLOOKUP($B781,Показатели!$E:$W,13,FALSE)),"")</f>
        <v/>
      </c>
      <c r="Q781" t="str">
        <f>IFERROR(IF(VLOOKUP($B781,Показатели!$E:$W,14,FALSE)=0,"",VLOOKUP($B781,Показатели!$E:$W,14,FALSE)),"")</f>
        <v/>
      </c>
      <c r="R781" t="str">
        <f>IFERROR(IF(VLOOKUP($B781,Показатели!$E:$W,15,FALSE)=0,"",VLOOKUP($B781,Показатели!$E:$W,15,FALSE)),"")</f>
        <v/>
      </c>
      <c r="S781" t="str">
        <f>IFERROR(IF(VLOOKUP($B781,Показатели!$E:$W,16,FALSE)=0,"",VLOOKUP($B781,Показатели!$E:$W,16,FALSE)),"")</f>
        <v/>
      </c>
      <c r="T781" t="str">
        <f>IFERROR(IF(VLOOKUP($B781,Показатели!$E:$W,17,FALSE)=0,"",VLOOKUP($B781,Показатели!$E:$W,17,FALSE)),"")</f>
        <v/>
      </c>
      <c r="U781" t="str">
        <f>IFERROR(IF(VLOOKUP($B781,Показатели!$E:$W,18,FALSE)=0,"",VLOOKUP($B781,Показатели!$E:$W,18,FALSE)),"")</f>
        <v/>
      </c>
      <c r="V781" t="str">
        <f>IFERROR(IF(VLOOKUP($B781,Показатели!$E:$W,19,FALSE)=0,"",VLOOKUP($B781,Показатели!$E:$W,19,FALSE)),"")</f>
        <v/>
      </c>
    </row>
    <row r="782" spans="1:22" x14ac:dyDescent="0.2">
      <c r="A782" s="7" t="s">
        <v>2275</v>
      </c>
      <c r="B782" t="str">
        <f t="shared" si="12"/>
        <v>CNRU IV кв. 2013</v>
      </c>
      <c r="C782">
        <v>2013</v>
      </c>
      <c r="D782">
        <f>SUMIFS(Дивиденды!$C:$C,Дивиденды!$A:$A,A782,Дивиденды!$I:$I,C782)</f>
        <v>0</v>
      </c>
      <c r="E782" t="str">
        <f>IFERROR(IF(VLOOKUP($B782,Показатели!$E:$W,2,FALSE)=0,"",VLOOKUP($B782,Показатели!$E:$W,2,FALSE)),"")</f>
        <v/>
      </c>
      <c r="F782" t="str">
        <f>IFERROR(IF(VLOOKUP($B782,Показатели!$E:$W,3,FALSE)=0,"",VLOOKUP($B782,Показатели!$E:$W,3,FALSE)),"")</f>
        <v/>
      </c>
      <c r="G782" t="str">
        <f>IFERROR(IF(VLOOKUP($B782,Показатели!$E:$W,4,FALSE)=0,"",VLOOKUP($B782,Показатели!$E:$W,4,FALSE)),"")</f>
        <v/>
      </c>
      <c r="H782" t="str">
        <f>IFERROR(IF(VLOOKUP($B782,Показатели!$E:$W,5,FALSE)=0,"",VLOOKUP($B782,Показатели!$E:$W,5,FALSE)),"")</f>
        <v/>
      </c>
      <c r="I782" t="str">
        <f>IFERROR(IF(VLOOKUP($B782,Показатели!$E:$W,6,FALSE)=0,"",VLOOKUP($B782,Показатели!$E:$W,6,FALSE)),"")</f>
        <v/>
      </c>
      <c r="J782" t="str">
        <f>IFERROR(IF(VLOOKUP($B782,Показатели!$E:$W,7,FALSE)=0,"",VLOOKUP($B782,Показатели!$E:$W,7,FALSE)),"")</f>
        <v/>
      </c>
      <c r="K782" t="str">
        <f>IFERROR(IF(VLOOKUP($B782,Показатели!$E:$W,8,FALSE)=0,"",VLOOKUP($B782,Показатели!$E:$W,8,FALSE)),"")</f>
        <v/>
      </c>
      <c r="L782" t="str">
        <f>IFERROR(IF(VLOOKUP($B782,Показатели!$E:$W,9,FALSE)=0,"",VLOOKUP($B782,Показатели!$E:$W,9,FALSE)),"")</f>
        <v/>
      </c>
      <c r="M782" t="str">
        <f>IFERROR(IF(VLOOKUP($B782,Показатели!$E:$W,10,FALSE)=0,"",VLOOKUP($B782,Показатели!$E:$W,10,FALSE)),"")</f>
        <v/>
      </c>
      <c r="N782" t="str">
        <f>IFERROR(IF(VLOOKUP($B782,Показатели!$E:$W,11,FALSE)=0,"",VLOOKUP($B782,Показатели!$E:$W,11,FALSE)),"")</f>
        <v/>
      </c>
      <c r="O782" t="str">
        <f>IFERROR(IF(VLOOKUP($B782,Показатели!$E:$W,12,FALSE)=0,"",VLOOKUP($B782,Показатели!$E:$W,12,FALSE)),"")</f>
        <v/>
      </c>
      <c r="P782" t="str">
        <f>IFERROR(IF(VLOOKUP($B782,Показатели!$E:$W,13,FALSE)=0,"",VLOOKUP($B782,Показатели!$E:$W,13,FALSE)),"")</f>
        <v/>
      </c>
      <c r="Q782" t="str">
        <f>IFERROR(IF(VLOOKUP($B782,Показатели!$E:$W,14,FALSE)=0,"",VLOOKUP($B782,Показатели!$E:$W,14,FALSE)),"")</f>
        <v/>
      </c>
      <c r="R782" t="str">
        <f>IFERROR(IF(VLOOKUP($B782,Показатели!$E:$W,15,FALSE)=0,"",VLOOKUP($B782,Показатели!$E:$W,15,FALSE)),"")</f>
        <v/>
      </c>
      <c r="S782" t="str">
        <f>IFERROR(IF(VLOOKUP($B782,Показатели!$E:$W,16,FALSE)=0,"",VLOOKUP($B782,Показатели!$E:$W,16,FALSE)),"")</f>
        <v/>
      </c>
      <c r="T782" t="str">
        <f>IFERROR(IF(VLOOKUP($B782,Показатели!$E:$W,17,FALSE)=0,"",VLOOKUP($B782,Показатели!$E:$W,17,FALSE)),"")</f>
        <v/>
      </c>
      <c r="U782" t="str">
        <f>IFERROR(IF(VLOOKUP($B782,Показатели!$E:$W,18,FALSE)=0,"",VLOOKUP($B782,Показатели!$E:$W,18,FALSE)),"")</f>
        <v/>
      </c>
      <c r="V782" t="str">
        <f>IFERROR(IF(VLOOKUP($B782,Показатели!$E:$W,19,FALSE)=0,"",VLOOKUP($B782,Показатели!$E:$W,19,FALSE)),"")</f>
        <v/>
      </c>
    </row>
    <row r="783" spans="1:22" x14ac:dyDescent="0.2">
      <c r="A783" s="7" t="s">
        <v>2275</v>
      </c>
      <c r="B783" t="str">
        <f t="shared" si="12"/>
        <v>CNRU IV кв. 2012</v>
      </c>
      <c r="C783">
        <v>2012</v>
      </c>
      <c r="D783">
        <f>SUMIFS(Дивиденды!$C:$C,Дивиденды!$A:$A,A783,Дивиденды!$I:$I,C783)</f>
        <v>0</v>
      </c>
      <c r="E783" t="str">
        <f>IFERROR(IF(VLOOKUP($B783,Показатели!$E:$W,2,FALSE)=0,"",VLOOKUP($B783,Показатели!$E:$W,2,FALSE)),"")</f>
        <v/>
      </c>
      <c r="F783" t="str">
        <f>IFERROR(IF(VLOOKUP($B783,Показатели!$E:$W,3,FALSE)=0,"",VLOOKUP($B783,Показатели!$E:$W,3,FALSE)),"")</f>
        <v/>
      </c>
      <c r="G783" t="str">
        <f>IFERROR(IF(VLOOKUP($B783,Показатели!$E:$W,4,FALSE)=0,"",VLOOKUP($B783,Показатели!$E:$W,4,FALSE)),"")</f>
        <v/>
      </c>
      <c r="H783" t="str">
        <f>IFERROR(IF(VLOOKUP($B783,Показатели!$E:$W,5,FALSE)=0,"",VLOOKUP($B783,Показатели!$E:$W,5,FALSE)),"")</f>
        <v/>
      </c>
      <c r="I783" t="str">
        <f>IFERROR(IF(VLOOKUP($B783,Показатели!$E:$W,6,FALSE)=0,"",VLOOKUP($B783,Показатели!$E:$W,6,FALSE)),"")</f>
        <v/>
      </c>
      <c r="J783" t="str">
        <f>IFERROR(IF(VLOOKUP($B783,Показатели!$E:$W,7,FALSE)=0,"",VLOOKUP($B783,Показатели!$E:$W,7,FALSE)),"")</f>
        <v/>
      </c>
      <c r="K783" t="str">
        <f>IFERROR(IF(VLOOKUP($B783,Показатели!$E:$W,8,FALSE)=0,"",VLOOKUP($B783,Показатели!$E:$W,8,FALSE)),"")</f>
        <v/>
      </c>
      <c r="L783" t="str">
        <f>IFERROR(IF(VLOOKUP($B783,Показатели!$E:$W,9,FALSE)=0,"",VLOOKUP($B783,Показатели!$E:$W,9,FALSE)),"")</f>
        <v/>
      </c>
      <c r="M783" t="str">
        <f>IFERROR(IF(VLOOKUP($B783,Показатели!$E:$W,10,FALSE)=0,"",VLOOKUP($B783,Показатели!$E:$W,10,FALSE)),"")</f>
        <v/>
      </c>
      <c r="N783" t="str">
        <f>IFERROR(IF(VLOOKUP($B783,Показатели!$E:$W,11,FALSE)=0,"",VLOOKUP($B783,Показатели!$E:$W,11,FALSE)),"")</f>
        <v/>
      </c>
      <c r="O783" t="str">
        <f>IFERROR(IF(VLOOKUP($B783,Показатели!$E:$W,12,FALSE)=0,"",VLOOKUP($B783,Показатели!$E:$W,12,FALSE)),"")</f>
        <v/>
      </c>
      <c r="P783" t="str">
        <f>IFERROR(IF(VLOOKUP($B783,Показатели!$E:$W,13,FALSE)=0,"",VLOOKUP($B783,Показатели!$E:$W,13,FALSE)),"")</f>
        <v/>
      </c>
      <c r="Q783" t="str">
        <f>IFERROR(IF(VLOOKUP($B783,Показатели!$E:$W,14,FALSE)=0,"",VLOOKUP($B783,Показатели!$E:$W,14,FALSE)),"")</f>
        <v/>
      </c>
      <c r="R783" t="str">
        <f>IFERROR(IF(VLOOKUP($B783,Показатели!$E:$W,15,FALSE)=0,"",VLOOKUP($B783,Показатели!$E:$W,15,FALSE)),"")</f>
        <v/>
      </c>
      <c r="S783" t="str">
        <f>IFERROR(IF(VLOOKUP($B783,Показатели!$E:$W,16,FALSE)=0,"",VLOOKUP($B783,Показатели!$E:$W,16,FALSE)),"")</f>
        <v/>
      </c>
      <c r="T783" t="str">
        <f>IFERROR(IF(VLOOKUP($B783,Показатели!$E:$W,17,FALSE)=0,"",VLOOKUP($B783,Показатели!$E:$W,17,FALSE)),"")</f>
        <v/>
      </c>
      <c r="U783" t="str">
        <f>IFERROR(IF(VLOOKUP($B783,Показатели!$E:$W,18,FALSE)=0,"",VLOOKUP($B783,Показатели!$E:$W,18,FALSE)),"")</f>
        <v/>
      </c>
      <c r="V783" t="str">
        <f>IFERROR(IF(VLOOKUP($B783,Показатели!$E:$W,19,FALSE)=0,"",VLOOKUP($B783,Показатели!$E:$W,19,FALSE)),"")</f>
        <v/>
      </c>
    </row>
    <row r="784" spans="1:22" x14ac:dyDescent="0.2">
      <c r="A784" s="7" t="s">
        <v>2275</v>
      </c>
      <c r="B784" t="str">
        <f t="shared" si="12"/>
        <v>CNRU IV кв. 2011</v>
      </c>
      <c r="C784">
        <v>2011</v>
      </c>
      <c r="D784">
        <f>SUMIFS(Дивиденды!$C:$C,Дивиденды!$A:$A,A784,Дивиденды!$I:$I,C784)</f>
        <v>0</v>
      </c>
      <c r="E784" t="str">
        <f>IFERROR(IF(VLOOKUP($B784,Показатели!$E:$W,2,FALSE)=0,"",VLOOKUP($B784,Показатели!$E:$W,2,FALSE)),"")</f>
        <v/>
      </c>
      <c r="F784" t="str">
        <f>IFERROR(IF(VLOOKUP($B784,Показатели!$E:$W,3,FALSE)=0,"",VLOOKUP($B784,Показатели!$E:$W,3,FALSE)),"")</f>
        <v/>
      </c>
      <c r="G784" t="str">
        <f>IFERROR(IF(VLOOKUP($B784,Показатели!$E:$W,4,FALSE)=0,"",VLOOKUP($B784,Показатели!$E:$W,4,FALSE)),"")</f>
        <v/>
      </c>
      <c r="H784" t="str">
        <f>IFERROR(IF(VLOOKUP($B784,Показатели!$E:$W,5,FALSE)=0,"",VLOOKUP($B784,Показатели!$E:$W,5,FALSE)),"")</f>
        <v/>
      </c>
      <c r="I784" t="str">
        <f>IFERROR(IF(VLOOKUP($B784,Показатели!$E:$W,6,FALSE)=0,"",VLOOKUP($B784,Показатели!$E:$W,6,FALSE)),"")</f>
        <v/>
      </c>
      <c r="J784" t="str">
        <f>IFERROR(IF(VLOOKUP($B784,Показатели!$E:$W,7,FALSE)=0,"",VLOOKUP($B784,Показатели!$E:$W,7,FALSE)),"")</f>
        <v/>
      </c>
      <c r="K784" t="str">
        <f>IFERROR(IF(VLOOKUP($B784,Показатели!$E:$W,8,FALSE)=0,"",VLOOKUP($B784,Показатели!$E:$W,8,FALSE)),"")</f>
        <v/>
      </c>
      <c r="L784" t="str">
        <f>IFERROR(IF(VLOOKUP($B784,Показатели!$E:$W,9,FALSE)=0,"",VLOOKUP($B784,Показатели!$E:$W,9,FALSE)),"")</f>
        <v/>
      </c>
      <c r="M784" t="str">
        <f>IFERROR(IF(VLOOKUP($B784,Показатели!$E:$W,10,FALSE)=0,"",VLOOKUP($B784,Показатели!$E:$W,10,FALSE)),"")</f>
        <v/>
      </c>
      <c r="N784" t="str">
        <f>IFERROR(IF(VLOOKUP($B784,Показатели!$E:$W,11,FALSE)=0,"",VLOOKUP($B784,Показатели!$E:$W,11,FALSE)),"")</f>
        <v/>
      </c>
      <c r="O784" t="str">
        <f>IFERROR(IF(VLOOKUP($B784,Показатели!$E:$W,12,FALSE)=0,"",VLOOKUP($B784,Показатели!$E:$W,12,FALSE)),"")</f>
        <v/>
      </c>
      <c r="P784" t="str">
        <f>IFERROR(IF(VLOOKUP($B784,Показатели!$E:$W,13,FALSE)=0,"",VLOOKUP($B784,Показатели!$E:$W,13,FALSE)),"")</f>
        <v/>
      </c>
      <c r="Q784" t="str">
        <f>IFERROR(IF(VLOOKUP($B784,Показатели!$E:$W,14,FALSE)=0,"",VLOOKUP($B784,Показатели!$E:$W,14,FALSE)),"")</f>
        <v/>
      </c>
      <c r="R784" t="str">
        <f>IFERROR(IF(VLOOKUP($B784,Показатели!$E:$W,15,FALSE)=0,"",VLOOKUP($B784,Показатели!$E:$W,15,FALSE)),"")</f>
        <v/>
      </c>
      <c r="S784" t="str">
        <f>IFERROR(IF(VLOOKUP($B784,Показатели!$E:$W,16,FALSE)=0,"",VLOOKUP($B784,Показатели!$E:$W,16,FALSE)),"")</f>
        <v/>
      </c>
      <c r="T784" t="str">
        <f>IFERROR(IF(VLOOKUP($B784,Показатели!$E:$W,17,FALSE)=0,"",VLOOKUP($B784,Показатели!$E:$W,17,FALSE)),"")</f>
        <v/>
      </c>
      <c r="U784" t="str">
        <f>IFERROR(IF(VLOOKUP($B784,Показатели!$E:$W,18,FALSE)=0,"",VLOOKUP($B784,Показатели!$E:$W,18,FALSE)),"")</f>
        <v/>
      </c>
      <c r="V784" t="str">
        <f>IFERROR(IF(VLOOKUP($B784,Показатели!$E:$W,19,FALSE)=0,"",VLOOKUP($B784,Показатели!$E:$W,19,FALSE)),"")</f>
        <v/>
      </c>
    </row>
    <row r="785" spans="1:22" x14ac:dyDescent="0.2">
      <c r="A785" s="7" t="s">
        <v>2275</v>
      </c>
      <c r="B785" t="str">
        <f t="shared" si="12"/>
        <v>CNRU IV кв. 2010</v>
      </c>
      <c r="C785">
        <v>2010</v>
      </c>
      <c r="D785">
        <f>SUMIFS(Дивиденды!$C:$C,Дивиденды!$A:$A,A785,Дивиденды!$I:$I,C785)</f>
        <v>0</v>
      </c>
      <c r="E785" t="str">
        <f>IFERROR(IF(VLOOKUP($B785,Показатели!$E:$W,2,FALSE)=0,"",VLOOKUP($B785,Показатели!$E:$W,2,FALSE)),"")</f>
        <v/>
      </c>
      <c r="F785" t="str">
        <f>IFERROR(IF(VLOOKUP($B785,Показатели!$E:$W,3,FALSE)=0,"",VLOOKUP($B785,Показатели!$E:$W,3,FALSE)),"")</f>
        <v/>
      </c>
      <c r="G785" t="str">
        <f>IFERROR(IF(VLOOKUP($B785,Показатели!$E:$W,4,FALSE)=0,"",VLOOKUP($B785,Показатели!$E:$W,4,FALSE)),"")</f>
        <v/>
      </c>
      <c r="H785" t="str">
        <f>IFERROR(IF(VLOOKUP($B785,Показатели!$E:$W,5,FALSE)=0,"",VLOOKUP($B785,Показатели!$E:$W,5,FALSE)),"")</f>
        <v/>
      </c>
      <c r="I785" t="str">
        <f>IFERROR(IF(VLOOKUP($B785,Показатели!$E:$W,6,FALSE)=0,"",VLOOKUP($B785,Показатели!$E:$W,6,FALSE)),"")</f>
        <v/>
      </c>
      <c r="J785" t="str">
        <f>IFERROR(IF(VLOOKUP($B785,Показатели!$E:$W,7,FALSE)=0,"",VLOOKUP($B785,Показатели!$E:$W,7,FALSE)),"")</f>
        <v/>
      </c>
      <c r="K785" t="str">
        <f>IFERROR(IF(VLOOKUP($B785,Показатели!$E:$W,8,FALSE)=0,"",VLOOKUP($B785,Показатели!$E:$W,8,FALSE)),"")</f>
        <v/>
      </c>
      <c r="L785" t="str">
        <f>IFERROR(IF(VLOOKUP($B785,Показатели!$E:$W,9,FALSE)=0,"",VLOOKUP($B785,Показатели!$E:$W,9,FALSE)),"")</f>
        <v/>
      </c>
      <c r="M785" t="str">
        <f>IFERROR(IF(VLOOKUP($B785,Показатели!$E:$W,10,FALSE)=0,"",VLOOKUP($B785,Показатели!$E:$W,10,FALSE)),"")</f>
        <v/>
      </c>
      <c r="N785" t="str">
        <f>IFERROR(IF(VLOOKUP($B785,Показатели!$E:$W,11,FALSE)=0,"",VLOOKUP($B785,Показатели!$E:$W,11,FALSE)),"")</f>
        <v/>
      </c>
      <c r="O785" t="str">
        <f>IFERROR(IF(VLOOKUP($B785,Показатели!$E:$W,12,FALSE)=0,"",VLOOKUP($B785,Показатели!$E:$W,12,FALSE)),"")</f>
        <v/>
      </c>
      <c r="P785" t="str">
        <f>IFERROR(IF(VLOOKUP($B785,Показатели!$E:$W,13,FALSE)=0,"",VLOOKUP($B785,Показатели!$E:$W,13,FALSE)),"")</f>
        <v/>
      </c>
      <c r="Q785" t="str">
        <f>IFERROR(IF(VLOOKUP($B785,Показатели!$E:$W,14,FALSE)=0,"",VLOOKUP($B785,Показатели!$E:$W,14,FALSE)),"")</f>
        <v/>
      </c>
      <c r="R785" t="str">
        <f>IFERROR(IF(VLOOKUP($B785,Показатели!$E:$W,15,FALSE)=0,"",VLOOKUP($B785,Показатели!$E:$W,15,FALSE)),"")</f>
        <v/>
      </c>
      <c r="S785" t="str">
        <f>IFERROR(IF(VLOOKUP($B785,Показатели!$E:$W,16,FALSE)=0,"",VLOOKUP($B785,Показатели!$E:$W,16,FALSE)),"")</f>
        <v/>
      </c>
      <c r="T785" t="str">
        <f>IFERROR(IF(VLOOKUP($B785,Показатели!$E:$W,17,FALSE)=0,"",VLOOKUP($B785,Показатели!$E:$W,17,FALSE)),"")</f>
        <v/>
      </c>
      <c r="U785" t="str">
        <f>IFERROR(IF(VLOOKUP($B785,Показатели!$E:$W,18,FALSE)=0,"",VLOOKUP($B785,Показатели!$E:$W,18,FALSE)),"")</f>
        <v/>
      </c>
      <c r="V785" t="str">
        <f>IFERROR(IF(VLOOKUP($B785,Показатели!$E:$W,19,FALSE)=0,"",VLOOKUP($B785,Показатели!$E:$W,19,FALSE)),"")</f>
        <v/>
      </c>
    </row>
    <row r="786" spans="1:22" x14ac:dyDescent="0.2">
      <c r="A786" s="7" t="s">
        <v>2277</v>
      </c>
      <c r="B786" t="str">
        <f t="shared" si="12"/>
        <v>DATA IV кв. 2025</v>
      </c>
      <c r="C786">
        <v>2025</v>
      </c>
      <c r="D786">
        <f>SUMIFS(Дивиденды!$C:$C,Дивиденды!$A:$A,A786,Дивиденды!$I:$I,C786)</f>
        <v>2.57</v>
      </c>
      <c r="E786" t="str">
        <f>IFERROR(IF(VLOOKUP($B786,Показатели!$E:$W,2,FALSE)=0,"",VLOOKUP($B786,Показатели!$E:$W,2,FALSE)),"")</f>
        <v/>
      </c>
      <c r="F786" t="str">
        <f>IFERROR(IF(VLOOKUP($B786,Показатели!$E:$W,3,FALSE)=0,"",VLOOKUP($B786,Показатели!$E:$W,3,FALSE)),"")</f>
        <v/>
      </c>
      <c r="G786" t="str">
        <f>IFERROR(IF(VLOOKUP($B786,Показатели!$E:$W,4,FALSE)=0,"",VLOOKUP($B786,Показатели!$E:$W,4,FALSE)),"")</f>
        <v/>
      </c>
      <c r="H786" t="str">
        <f>IFERROR(IF(VLOOKUP($B786,Показатели!$E:$W,5,FALSE)=0,"",VLOOKUP($B786,Показатели!$E:$W,5,FALSE)),"")</f>
        <v/>
      </c>
      <c r="I786" t="str">
        <f>IFERROR(IF(VLOOKUP($B786,Показатели!$E:$W,6,FALSE)=0,"",VLOOKUP($B786,Показатели!$E:$W,6,FALSE)),"")</f>
        <v/>
      </c>
      <c r="J786" t="str">
        <f>IFERROR(IF(VLOOKUP($B786,Показатели!$E:$W,7,FALSE)=0,"",VLOOKUP($B786,Показатели!$E:$W,7,FALSE)),"")</f>
        <v/>
      </c>
      <c r="K786" t="str">
        <f>IFERROR(IF(VLOOKUP($B786,Показатели!$E:$W,8,FALSE)=0,"",VLOOKUP($B786,Показатели!$E:$W,8,FALSE)),"")</f>
        <v/>
      </c>
      <c r="L786" t="str">
        <f>IFERROR(IF(VLOOKUP($B786,Показатели!$E:$W,9,FALSE)=0,"",VLOOKUP($B786,Показатели!$E:$W,9,FALSE)),"")</f>
        <v/>
      </c>
      <c r="M786" t="str">
        <f>IFERROR(IF(VLOOKUP($B786,Показатели!$E:$W,10,FALSE)=0,"",VLOOKUP($B786,Показатели!$E:$W,10,FALSE)),"")</f>
        <v/>
      </c>
      <c r="N786" t="str">
        <f>IFERROR(IF(VLOOKUP($B786,Показатели!$E:$W,11,FALSE)=0,"",VLOOKUP($B786,Показатели!$E:$W,11,FALSE)),"")</f>
        <v/>
      </c>
      <c r="O786" t="str">
        <f>IFERROR(IF(VLOOKUP($B786,Показатели!$E:$W,12,FALSE)=0,"",VLOOKUP($B786,Показатели!$E:$W,12,FALSE)),"")</f>
        <v/>
      </c>
      <c r="P786" t="str">
        <f>IFERROR(IF(VLOOKUP($B786,Показатели!$E:$W,13,FALSE)=0,"",VLOOKUP($B786,Показатели!$E:$W,13,FALSE)),"")</f>
        <v/>
      </c>
      <c r="Q786" t="str">
        <f>IFERROR(IF(VLOOKUP($B786,Показатели!$E:$W,14,FALSE)=0,"",VLOOKUP($B786,Показатели!$E:$W,14,FALSE)),"")</f>
        <v/>
      </c>
      <c r="R786" t="str">
        <f>IFERROR(IF(VLOOKUP($B786,Показатели!$E:$W,15,FALSE)=0,"",VLOOKUP($B786,Показатели!$E:$W,15,FALSE)),"")</f>
        <v/>
      </c>
      <c r="S786" t="str">
        <f>IFERROR(IF(VLOOKUP($B786,Показатели!$E:$W,16,FALSE)=0,"",VLOOKUP($B786,Показатели!$E:$W,16,FALSE)),"")</f>
        <v/>
      </c>
      <c r="T786" t="str">
        <f>IFERROR(IF(VLOOKUP($B786,Показатели!$E:$W,17,FALSE)=0,"",VLOOKUP($B786,Показатели!$E:$W,17,FALSE)),"")</f>
        <v/>
      </c>
      <c r="U786" t="str">
        <f>IFERROR(IF(VLOOKUP($B786,Показатели!$E:$W,18,FALSE)=0,"",VLOOKUP($B786,Показатели!$E:$W,18,FALSE)),"")</f>
        <v/>
      </c>
      <c r="V786" t="str">
        <f>IFERROR(IF(VLOOKUP($B786,Показатели!$E:$W,19,FALSE)=0,"",VLOOKUP($B786,Показатели!$E:$W,19,FALSE)),"")</f>
        <v/>
      </c>
    </row>
    <row r="787" spans="1:22" x14ac:dyDescent="0.2">
      <c r="A787" s="7" t="s">
        <v>2277</v>
      </c>
      <c r="B787" t="str">
        <f t="shared" si="12"/>
        <v>DATA IV кв. 2024</v>
      </c>
      <c r="C787">
        <v>2024</v>
      </c>
      <c r="D787">
        <f>SUMIFS(Дивиденды!$C:$C,Дивиденды!$A:$A,A787,Дивиденды!$I:$I,C787)</f>
        <v>0.86</v>
      </c>
      <c r="E787">
        <f>IFERROR(IF(VLOOKUP($B787,Показатели!$E:$W,2,FALSE)=0,"",VLOOKUP($B787,Показатели!$E:$W,2,FALSE)),"")</f>
        <v>1365937000</v>
      </c>
      <c r="F787">
        <f>IFERROR(IF(VLOOKUP($B787,Показатели!$E:$W,3,FALSE)=0,"",VLOOKUP($B787,Показатели!$E:$W,3,FALSE)),"")</f>
        <v>3910717000</v>
      </c>
      <c r="G787">
        <f>IFERROR(IF(VLOOKUP($B787,Показатели!$E:$W,4,FALSE)=0,"",VLOOKUP($B787,Показатели!$E:$W,4,FALSE)),"")</f>
        <v>73086000</v>
      </c>
      <c r="H787">
        <f>IFERROR(IF(VLOOKUP($B787,Показатели!$E:$W,5,FALSE)=0,"",VLOOKUP($B787,Показатели!$E:$W,5,FALSE)),"")</f>
        <v>109134000</v>
      </c>
      <c r="I787">
        <f>IFERROR(IF(VLOOKUP($B787,Показатели!$E:$W,6,FALSE)=0,"",VLOOKUP($B787,Показатели!$E:$W,6,FALSE)),"")</f>
        <v>4433421000</v>
      </c>
      <c r="J787">
        <f>IFERROR(IF(VLOOKUP($B787,Показатели!$E:$W,7,FALSE)=0,"",VLOOKUP($B787,Показатели!$E:$W,7,FALSE)),"")</f>
        <v>1510347000</v>
      </c>
      <c r="K787">
        <f>IFERROR(IF(VLOOKUP($B787,Показатели!$E:$W,8,FALSE)=0,"",VLOOKUP($B787,Показатели!$E:$W,8,FALSE)),"")</f>
        <v>538637000</v>
      </c>
      <c r="L787">
        <f>IFERROR(IF(VLOOKUP($B787,Показатели!$E:$W,9,FALSE)=0,"",VLOOKUP($B787,Показатели!$E:$W,9,FALSE)),"")</f>
        <v>2075628000</v>
      </c>
      <c r="M787">
        <f>IFERROR(IF(VLOOKUP($B787,Показатели!$E:$W,10,FALSE)=0,"",VLOOKUP($B787,Показатели!$E:$W,10,FALSE)),"")</f>
        <v>2384437000</v>
      </c>
      <c r="N787">
        <f>IFERROR(IF(VLOOKUP($B787,Показатели!$E:$W,11,FALSE)=0,"",VLOOKUP($B787,Показатели!$E:$W,11,FALSE)),"")</f>
        <v>6014692000</v>
      </c>
      <c r="O787">
        <f>IFERROR(IF(VLOOKUP($B787,Показатели!$E:$W,12,FALSE)=0,"",VLOOKUP($B787,Показатели!$E:$W,12,FALSE)),"")</f>
        <v>1831379000</v>
      </c>
      <c r="P787">
        <f>IFERROR(IF(VLOOKUP($B787,Показатели!$E:$W,13,FALSE)=0,"",VLOOKUP($B787,Показатели!$E:$W,13,FALSE)),"")</f>
        <v>1850047000</v>
      </c>
      <c r="Q787">
        <f>IFERROR(IF(VLOOKUP($B787,Показатели!$E:$W,14,FALSE)=0,"",VLOOKUP($B787,Показатели!$E:$W,14,FALSE)),"")</f>
        <v>1938422000</v>
      </c>
      <c r="R787">
        <f>IFERROR(IF(VLOOKUP($B787,Показатели!$E:$W,15,FALSE)=0,"",VLOOKUP($B787,Показатели!$E:$W,15,FALSE)),"")</f>
        <v>102735000</v>
      </c>
      <c r="S787" t="str">
        <f>IFERROR(IF(VLOOKUP($B787,Показатели!$E:$W,16,FALSE)=0,"",VLOOKUP($B787,Показатели!$E:$W,16,FALSE)),"")</f>
        <v/>
      </c>
      <c r="T787">
        <f>IFERROR(IF(VLOOKUP($B787,Показатели!$E:$W,17,FALSE)=0,"",VLOOKUP($B787,Показатели!$E:$W,17,FALSE)),"")</f>
        <v>-66328000</v>
      </c>
      <c r="U787">
        <f>IFERROR(IF(VLOOKUP($B787,Показатели!$E:$W,18,FALSE)=0,"",VLOOKUP($B787,Показатели!$E:$W,18,FALSE)),"")</f>
        <v>3950686000</v>
      </c>
      <c r="V787">
        <f>IFERROR(IF(VLOOKUP($B787,Показатели!$E:$W,19,FALSE)=0,"",VLOOKUP($B787,Показатели!$E:$W,19,FALSE)),"")</f>
        <v>3356172000</v>
      </c>
    </row>
    <row r="788" spans="1:22" x14ac:dyDescent="0.2">
      <c r="A788" s="7" t="s">
        <v>2277</v>
      </c>
      <c r="B788" t="str">
        <f t="shared" si="12"/>
        <v>DATA IV кв. 2023</v>
      </c>
      <c r="C788">
        <v>2023</v>
      </c>
      <c r="D788">
        <f>SUMIFS(Дивиденды!$C:$C,Дивиденды!$A:$A,A788,Дивиденды!$I:$I,C788)</f>
        <v>0</v>
      </c>
      <c r="E788">
        <f>IFERROR(IF(VLOOKUP($B788,Показатели!$E:$W,2,FALSE)=0,"",VLOOKUP($B788,Показатели!$E:$W,2,FALSE)),"")</f>
        <v>1251248000</v>
      </c>
      <c r="F788">
        <f>IFERROR(IF(VLOOKUP($B788,Показатели!$E:$W,3,FALSE)=0,"",VLOOKUP($B788,Показатели!$E:$W,3,FALSE)),"")</f>
        <v>3029096000</v>
      </c>
      <c r="G788">
        <f>IFERROR(IF(VLOOKUP($B788,Показатели!$E:$W,4,FALSE)=0,"",VLOOKUP($B788,Показатели!$E:$W,4,FALSE)),"")</f>
        <v>53997000</v>
      </c>
      <c r="H788">
        <f>IFERROR(IF(VLOOKUP($B788,Показатели!$E:$W,5,FALSE)=0,"",VLOOKUP($B788,Показатели!$E:$W,5,FALSE)),"")</f>
        <v>143861000</v>
      </c>
      <c r="I788">
        <f>IFERROR(IF(VLOOKUP($B788,Показатели!$E:$W,6,FALSE)=0,"",VLOOKUP($B788,Показатели!$E:$W,6,FALSE)),"")</f>
        <v>3356172000</v>
      </c>
      <c r="J788">
        <f>IFERROR(IF(VLOOKUP($B788,Показатели!$E:$W,7,FALSE)=0,"",VLOOKUP($B788,Показатели!$E:$W,7,FALSE)),"")</f>
        <v>1087225000</v>
      </c>
      <c r="K788">
        <f>IFERROR(IF(VLOOKUP($B788,Показатели!$E:$W,8,FALSE)=0,"",VLOOKUP($B788,Показатели!$E:$W,8,FALSE)),"")</f>
        <v>460066000</v>
      </c>
      <c r="L788">
        <f>IFERROR(IF(VLOOKUP($B788,Показатели!$E:$W,9,FALSE)=0,"",VLOOKUP($B788,Показатели!$E:$W,9,FALSE)),"")</f>
        <v>1576111000</v>
      </c>
      <c r="M788">
        <f>IFERROR(IF(VLOOKUP($B788,Показатели!$E:$W,10,FALSE)=0,"",VLOOKUP($B788,Показатели!$E:$W,10,FALSE)),"")</f>
        <v>1808881000</v>
      </c>
      <c r="N788">
        <f>IFERROR(IF(VLOOKUP($B788,Показатели!$E:$W,11,FALSE)=0,"",VLOOKUP($B788,Показатели!$E:$W,11,FALSE)),"")</f>
        <v>3950686000</v>
      </c>
      <c r="O788">
        <f>IFERROR(IF(VLOOKUP($B788,Показатели!$E:$W,12,FALSE)=0,"",VLOOKUP($B788,Показатели!$E:$W,12,FALSE)),"")</f>
        <v>1594831000</v>
      </c>
      <c r="P788">
        <f>IFERROR(IF(VLOOKUP($B788,Показатели!$E:$W,13,FALSE)=0,"",VLOOKUP($B788,Показатели!$E:$W,13,FALSE)),"")</f>
        <v>1466126000</v>
      </c>
      <c r="Q788">
        <f>IFERROR(IF(VLOOKUP($B788,Показатели!$E:$W,14,FALSE)=0,"",VLOOKUP($B788,Показатели!$E:$W,14,FALSE)),"")</f>
        <v>1456433000</v>
      </c>
      <c r="R788">
        <f>IFERROR(IF(VLOOKUP($B788,Показатели!$E:$W,15,FALSE)=0,"",VLOOKUP($B788,Показатели!$E:$W,15,FALSE)),"")</f>
        <v>67030000</v>
      </c>
      <c r="S788" t="str">
        <f>IFERROR(IF(VLOOKUP($B788,Показатели!$E:$W,16,FALSE)=0,"",VLOOKUP($B788,Показатели!$E:$W,16,FALSE)),"")</f>
        <v/>
      </c>
      <c r="T788">
        <f>IFERROR(IF(VLOOKUP($B788,Показатели!$E:$W,17,FALSE)=0,"",VLOOKUP($B788,Показатели!$E:$W,17,FALSE)),"")</f>
        <v>-144297000</v>
      </c>
      <c r="U788" t="str">
        <f>IFERROR(IF(VLOOKUP($B788,Показатели!$E:$W,18,FALSE)=0,"",VLOOKUP($B788,Показатели!$E:$W,18,FALSE)),"")</f>
        <v/>
      </c>
      <c r="V788" t="str">
        <f>IFERROR(IF(VLOOKUP($B788,Показатели!$E:$W,19,FALSE)=0,"",VLOOKUP($B788,Показатели!$E:$W,19,FALSE)),"")</f>
        <v/>
      </c>
    </row>
    <row r="789" spans="1:22" x14ac:dyDescent="0.2">
      <c r="A789" s="7" t="s">
        <v>2277</v>
      </c>
      <c r="B789" t="str">
        <f t="shared" si="12"/>
        <v>DATA IV кв. 2022</v>
      </c>
      <c r="C789">
        <v>2022</v>
      </c>
      <c r="D789">
        <f>SUMIFS(Дивиденды!$C:$C,Дивиденды!$A:$A,A789,Дивиденды!$I:$I,C789)</f>
        <v>0</v>
      </c>
      <c r="E789" t="str">
        <f>IFERROR(IF(VLOOKUP($B789,Показатели!$E:$W,2,FALSE)=0,"",VLOOKUP($B789,Показатели!$E:$W,2,FALSE)),"")</f>
        <v/>
      </c>
      <c r="F789" t="str">
        <f>IFERROR(IF(VLOOKUP($B789,Показатели!$E:$W,3,FALSE)=0,"",VLOOKUP($B789,Показатели!$E:$W,3,FALSE)),"")</f>
        <v/>
      </c>
      <c r="G789" t="str">
        <f>IFERROR(IF(VLOOKUP($B789,Показатели!$E:$W,4,FALSE)=0,"",VLOOKUP($B789,Показатели!$E:$W,4,FALSE)),"")</f>
        <v/>
      </c>
      <c r="H789" t="str">
        <f>IFERROR(IF(VLOOKUP($B789,Показатели!$E:$W,5,FALSE)=0,"",VLOOKUP($B789,Показатели!$E:$W,5,FALSE)),"")</f>
        <v/>
      </c>
      <c r="I789" t="str">
        <f>IFERROR(IF(VLOOKUP($B789,Показатели!$E:$W,6,FALSE)=0,"",VLOOKUP($B789,Показатели!$E:$W,6,FALSE)),"")</f>
        <v/>
      </c>
      <c r="J789" t="str">
        <f>IFERROR(IF(VLOOKUP($B789,Показатели!$E:$W,7,FALSE)=0,"",VLOOKUP($B789,Показатели!$E:$W,7,FALSE)),"")</f>
        <v/>
      </c>
      <c r="K789" t="str">
        <f>IFERROR(IF(VLOOKUP($B789,Показатели!$E:$W,8,FALSE)=0,"",VLOOKUP($B789,Показатели!$E:$W,8,FALSE)),"")</f>
        <v/>
      </c>
      <c r="L789" t="str">
        <f>IFERROR(IF(VLOOKUP($B789,Показатели!$E:$W,9,FALSE)=0,"",VLOOKUP($B789,Показатели!$E:$W,9,FALSE)),"")</f>
        <v/>
      </c>
      <c r="M789" t="str">
        <f>IFERROR(IF(VLOOKUP($B789,Показатели!$E:$W,10,FALSE)=0,"",VLOOKUP($B789,Показатели!$E:$W,10,FALSE)),"")</f>
        <v/>
      </c>
      <c r="N789" t="str">
        <f>IFERROR(IF(VLOOKUP($B789,Показатели!$E:$W,11,FALSE)=0,"",VLOOKUP($B789,Показатели!$E:$W,11,FALSE)),"")</f>
        <v/>
      </c>
      <c r="O789" t="str">
        <f>IFERROR(IF(VLOOKUP($B789,Показатели!$E:$W,12,FALSE)=0,"",VLOOKUP($B789,Показатели!$E:$W,12,FALSE)),"")</f>
        <v/>
      </c>
      <c r="P789" t="str">
        <f>IFERROR(IF(VLOOKUP($B789,Показатели!$E:$W,13,FALSE)=0,"",VLOOKUP($B789,Показатели!$E:$W,13,FALSE)),"")</f>
        <v/>
      </c>
      <c r="Q789" t="str">
        <f>IFERROR(IF(VLOOKUP($B789,Показатели!$E:$W,14,FALSE)=0,"",VLOOKUP($B789,Показатели!$E:$W,14,FALSE)),"")</f>
        <v/>
      </c>
      <c r="R789" t="str">
        <f>IFERROR(IF(VLOOKUP($B789,Показатели!$E:$W,15,FALSE)=0,"",VLOOKUP($B789,Показатели!$E:$W,15,FALSE)),"")</f>
        <v/>
      </c>
      <c r="S789" t="str">
        <f>IFERROR(IF(VLOOKUP($B789,Показатели!$E:$W,16,FALSE)=0,"",VLOOKUP($B789,Показатели!$E:$W,16,FALSE)),"")</f>
        <v/>
      </c>
      <c r="T789" t="str">
        <f>IFERROR(IF(VLOOKUP($B789,Показатели!$E:$W,17,FALSE)=0,"",VLOOKUP($B789,Показатели!$E:$W,17,FALSE)),"")</f>
        <v/>
      </c>
      <c r="U789" t="str">
        <f>IFERROR(IF(VLOOKUP($B789,Показатели!$E:$W,18,FALSE)=0,"",VLOOKUP($B789,Показатели!$E:$W,18,FALSE)),"")</f>
        <v/>
      </c>
      <c r="V789" t="str">
        <f>IFERROR(IF(VLOOKUP($B789,Показатели!$E:$W,19,FALSE)=0,"",VLOOKUP($B789,Показатели!$E:$W,19,FALSE)),"")</f>
        <v/>
      </c>
    </row>
    <row r="790" spans="1:22" x14ac:dyDescent="0.2">
      <c r="A790" s="7" t="s">
        <v>2277</v>
      </c>
      <c r="B790" t="str">
        <f t="shared" si="12"/>
        <v>DATA IV кв. 2021</v>
      </c>
      <c r="C790">
        <v>2021</v>
      </c>
      <c r="D790">
        <f>SUMIFS(Дивиденды!$C:$C,Дивиденды!$A:$A,A790,Дивиденды!$I:$I,C790)</f>
        <v>0</v>
      </c>
      <c r="E790" t="str">
        <f>IFERROR(IF(VLOOKUP($B790,Показатели!$E:$W,2,FALSE)=0,"",VLOOKUP($B790,Показатели!$E:$W,2,FALSE)),"")</f>
        <v/>
      </c>
      <c r="F790" t="str">
        <f>IFERROR(IF(VLOOKUP($B790,Показатели!$E:$W,3,FALSE)=0,"",VLOOKUP($B790,Показатели!$E:$W,3,FALSE)),"")</f>
        <v/>
      </c>
      <c r="G790" t="str">
        <f>IFERROR(IF(VLOOKUP($B790,Показатели!$E:$W,4,FALSE)=0,"",VLOOKUP($B790,Показатели!$E:$W,4,FALSE)),"")</f>
        <v/>
      </c>
      <c r="H790" t="str">
        <f>IFERROR(IF(VLOOKUP($B790,Показатели!$E:$W,5,FALSE)=0,"",VLOOKUP($B790,Показатели!$E:$W,5,FALSE)),"")</f>
        <v/>
      </c>
      <c r="I790" t="str">
        <f>IFERROR(IF(VLOOKUP($B790,Показатели!$E:$W,6,FALSE)=0,"",VLOOKUP($B790,Показатели!$E:$W,6,FALSE)),"")</f>
        <v/>
      </c>
      <c r="J790" t="str">
        <f>IFERROR(IF(VLOOKUP($B790,Показатели!$E:$W,7,FALSE)=0,"",VLOOKUP($B790,Показатели!$E:$W,7,FALSE)),"")</f>
        <v/>
      </c>
      <c r="K790" t="str">
        <f>IFERROR(IF(VLOOKUP($B790,Показатели!$E:$W,8,FALSE)=0,"",VLOOKUP($B790,Показатели!$E:$W,8,FALSE)),"")</f>
        <v/>
      </c>
      <c r="L790" t="str">
        <f>IFERROR(IF(VLOOKUP($B790,Показатели!$E:$W,9,FALSE)=0,"",VLOOKUP($B790,Показатели!$E:$W,9,FALSE)),"")</f>
        <v/>
      </c>
      <c r="M790" t="str">
        <f>IFERROR(IF(VLOOKUP($B790,Показатели!$E:$W,10,FALSE)=0,"",VLOOKUP($B790,Показатели!$E:$W,10,FALSE)),"")</f>
        <v/>
      </c>
      <c r="N790" t="str">
        <f>IFERROR(IF(VLOOKUP($B790,Показатели!$E:$W,11,FALSE)=0,"",VLOOKUP($B790,Показатели!$E:$W,11,FALSE)),"")</f>
        <v/>
      </c>
      <c r="O790" t="str">
        <f>IFERROR(IF(VLOOKUP($B790,Показатели!$E:$W,12,FALSE)=0,"",VLOOKUP($B790,Показатели!$E:$W,12,FALSE)),"")</f>
        <v/>
      </c>
      <c r="P790" t="str">
        <f>IFERROR(IF(VLOOKUP($B790,Показатели!$E:$W,13,FALSE)=0,"",VLOOKUP($B790,Показатели!$E:$W,13,FALSE)),"")</f>
        <v/>
      </c>
      <c r="Q790" t="str">
        <f>IFERROR(IF(VLOOKUP($B790,Показатели!$E:$W,14,FALSE)=0,"",VLOOKUP($B790,Показатели!$E:$W,14,FALSE)),"")</f>
        <v/>
      </c>
      <c r="R790" t="str">
        <f>IFERROR(IF(VLOOKUP($B790,Показатели!$E:$W,15,FALSE)=0,"",VLOOKUP($B790,Показатели!$E:$W,15,FALSE)),"")</f>
        <v/>
      </c>
      <c r="S790" t="str">
        <f>IFERROR(IF(VLOOKUP($B790,Показатели!$E:$W,16,FALSE)=0,"",VLOOKUP($B790,Показатели!$E:$W,16,FALSE)),"")</f>
        <v/>
      </c>
      <c r="T790" t="str">
        <f>IFERROR(IF(VLOOKUP($B790,Показатели!$E:$W,17,FALSE)=0,"",VLOOKUP($B790,Показатели!$E:$W,17,FALSE)),"")</f>
        <v/>
      </c>
      <c r="U790" t="str">
        <f>IFERROR(IF(VLOOKUP($B790,Показатели!$E:$W,18,FALSE)=0,"",VLOOKUP($B790,Показатели!$E:$W,18,FALSE)),"")</f>
        <v/>
      </c>
      <c r="V790" t="str">
        <f>IFERROR(IF(VLOOKUP($B790,Показатели!$E:$W,19,FALSE)=0,"",VLOOKUP($B790,Показатели!$E:$W,19,FALSE)),"")</f>
        <v/>
      </c>
    </row>
    <row r="791" spans="1:22" x14ac:dyDescent="0.2">
      <c r="A791" s="7" t="s">
        <v>2277</v>
      </c>
      <c r="B791" t="str">
        <f t="shared" si="12"/>
        <v>DATA IV кв. 2020</v>
      </c>
      <c r="C791">
        <v>2020</v>
      </c>
      <c r="D791">
        <f>SUMIFS(Дивиденды!$C:$C,Дивиденды!$A:$A,A791,Дивиденды!$I:$I,C791)</f>
        <v>0</v>
      </c>
      <c r="E791" t="str">
        <f>IFERROR(IF(VLOOKUP($B791,Показатели!$E:$W,2,FALSE)=0,"",VLOOKUP($B791,Показатели!$E:$W,2,FALSE)),"")</f>
        <v/>
      </c>
      <c r="F791" t="str">
        <f>IFERROR(IF(VLOOKUP($B791,Показатели!$E:$W,3,FALSE)=0,"",VLOOKUP($B791,Показатели!$E:$W,3,FALSE)),"")</f>
        <v/>
      </c>
      <c r="G791" t="str">
        <f>IFERROR(IF(VLOOKUP($B791,Показатели!$E:$W,4,FALSE)=0,"",VLOOKUP($B791,Показатели!$E:$W,4,FALSE)),"")</f>
        <v/>
      </c>
      <c r="H791" t="str">
        <f>IFERROR(IF(VLOOKUP($B791,Показатели!$E:$W,5,FALSE)=0,"",VLOOKUP($B791,Показатели!$E:$W,5,FALSE)),"")</f>
        <v/>
      </c>
      <c r="I791" t="str">
        <f>IFERROR(IF(VLOOKUP($B791,Показатели!$E:$W,6,FALSE)=0,"",VLOOKUP($B791,Показатели!$E:$W,6,FALSE)),"")</f>
        <v/>
      </c>
      <c r="J791" t="str">
        <f>IFERROR(IF(VLOOKUP($B791,Показатели!$E:$W,7,FALSE)=0,"",VLOOKUP($B791,Показатели!$E:$W,7,FALSE)),"")</f>
        <v/>
      </c>
      <c r="K791" t="str">
        <f>IFERROR(IF(VLOOKUP($B791,Показатели!$E:$W,8,FALSE)=0,"",VLOOKUP($B791,Показатели!$E:$W,8,FALSE)),"")</f>
        <v/>
      </c>
      <c r="L791" t="str">
        <f>IFERROR(IF(VLOOKUP($B791,Показатели!$E:$W,9,FALSE)=0,"",VLOOKUP($B791,Показатели!$E:$W,9,FALSE)),"")</f>
        <v/>
      </c>
      <c r="M791" t="str">
        <f>IFERROR(IF(VLOOKUP($B791,Показатели!$E:$W,10,FALSE)=0,"",VLOOKUP($B791,Показатели!$E:$W,10,FALSE)),"")</f>
        <v/>
      </c>
      <c r="N791" t="str">
        <f>IFERROR(IF(VLOOKUP($B791,Показатели!$E:$W,11,FALSE)=0,"",VLOOKUP($B791,Показатели!$E:$W,11,FALSE)),"")</f>
        <v/>
      </c>
      <c r="O791" t="str">
        <f>IFERROR(IF(VLOOKUP($B791,Показатели!$E:$W,12,FALSE)=0,"",VLOOKUP($B791,Показатели!$E:$W,12,FALSE)),"")</f>
        <v/>
      </c>
      <c r="P791" t="str">
        <f>IFERROR(IF(VLOOKUP($B791,Показатели!$E:$W,13,FALSE)=0,"",VLOOKUP($B791,Показатели!$E:$W,13,FALSE)),"")</f>
        <v/>
      </c>
      <c r="Q791" t="str">
        <f>IFERROR(IF(VLOOKUP($B791,Показатели!$E:$W,14,FALSE)=0,"",VLOOKUP($B791,Показатели!$E:$W,14,FALSE)),"")</f>
        <v/>
      </c>
      <c r="R791" t="str">
        <f>IFERROR(IF(VLOOKUP($B791,Показатели!$E:$W,15,FALSE)=0,"",VLOOKUP($B791,Показатели!$E:$W,15,FALSE)),"")</f>
        <v/>
      </c>
      <c r="S791" t="str">
        <f>IFERROR(IF(VLOOKUP($B791,Показатели!$E:$W,16,FALSE)=0,"",VLOOKUP($B791,Показатели!$E:$W,16,FALSE)),"")</f>
        <v/>
      </c>
      <c r="T791" t="str">
        <f>IFERROR(IF(VLOOKUP($B791,Показатели!$E:$W,17,FALSE)=0,"",VLOOKUP($B791,Показатели!$E:$W,17,FALSE)),"")</f>
        <v/>
      </c>
      <c r="U791" t="str">
        <f>IFERROR(IF(VLOOKUP($B791,Показатели!$E:$W,18,FALSE)=0,"",VLOOKUP($B791,Показатели!$E:$W,18,FALSE)),"")</f>
        <v/>
      </c>
      <c r="V791" t="str">
        <f>IFERROR(IF(VLOOKUP($B791,Показатели!$E:$W,19,FALSE)=0,"",VLOOKUP($B791,Показатели!$E:$W,19,FALSE)),"")</f>
        <v/>
      </c>
    </row>
    <row r="792" spans="1:22" x14ac:dyDescent="0.2">
      <c r="A792" s="7" t="s">
        <v>2277</v>
      </c>
      <c r="B792" t="str">
        <f t="shared" si="12"/>
        <v>DATA IV кв. 2019</v>
      </c>
      <c r="C792">
        <v>2019</v>
      </c>
      <c r="D792">
        <f>SUMIFS(Дивиденды!$C:$C,Дивиденды!$A:$A,A792,Дивиденды!$I:$I,C792)</f>
        <v>0</v>
      </c>
      <c r="E792" t="str">
        <f>IFERROR(IF(VLOOKUP($B792,Показатели!$E:$W,2,FALSE)=0,"",VLOOKUP($B792,Показатели!$E:$W,2,FALSE)),"")</f>
        <v/>
      </c>
      <c r="F792" t="str">
        <f>IFERROR(IF(VLOOKUP($B792,Показатели!$E:$W,3,FALSE)=0,"",VLOOKUP($B792,Показатели!$E:$W,3,FALSE)),"")</f>
        <v/>
      </c>
      <c r="G792" t="str">
        <f>IFERROR(IF(VLOOKUP($B792,Показатели!$E:$W,4,FALSE)=0,"",VLOOKUP($B792,Показатели!$E:$W,4,FALSE)),"")</f>
        <v/>
      </c>
      <c r="H792" t="str">
        <f>IFERROR(IF(VLOOKUP($B792,Показатели!$E:$W,5,FALSE)=0,"",VLOOKUP($B792,Показатели!$E:$W,5,FALSE)),"")</f>
        <v/>
      </c>
      <c r="I792" t="str">
        <f>IFERROR(IF(VLOOKUP($B792,Показатели!$E:$W,6,FALSE)=0,"",VLOOKUP($B792,Показатели!$E:$W,6,FALSE)),"")</f>
        <v/>
      </c>
      <c r="J792" t="str">
        <f>IFERROR(IF(VLOOKUP($B792,Показатели!$E:$W,7,FALSE)=0,"",VLOOKUP($B792,Показатели!$E:$W,7,FALSE)),"")</f>
        <v/>
      </c>
      <c r="K792" t="str">
        <f>IFERROR(IF(VLOOKUP($B792,Показатели!$E:$W,8,FALSE)=0,"",VLOOKUP($B792,Показатели!$E:$W,8,FALSE)),"")</f>
        <v/>
      </c>
      <c r="L792" t="str">
        <f>IFERROR(IF(VLOOKUP($B792,Показатели!$E:$W,9,FALSE)=0,"",VLOOKUP($B792,Показатели!$E:$W,9,FALSE)),"")</f>
        <v/>
      </c>
      <c r="M792" t="str">
        <f>IFERROR(IF(VLOOKUP($B792,Показатели!$E:$W,10,FALSE)=0,"",VLOOKUP($B792,Показатели!$E:$W,10,FALSE)),"")</f>
        <v/>
      </c>
      <c r="N792" t="str">
        <f>IFERROR(IF(VLOOKUP($B792,Показатели!$E:$W,11,FALSE)=0,"",VLOOKUP($B792,Показатели!$E:$W,11,FALSE)),"")</f>
        <v/>
      </c>
      <c r="O792" t="str">
        <f>IFERROR(IF(VLOOKUP($B792,Показатели!$E:$W,12,FALSE)=0,"",VLOOKUP($B792,Показатели!$E:$W,12,FALSE)),"")</f>
        <v/>
      </c>
      <c r="P792" t="str">
        <f>IFERROR(IF(VLOOKUP($B792,Показатели!$E:$W,13,FALSE)=0,"",VLOOKUP($B792,Показатели!$E:$W,13,FALSE)),"")</f>
        <v/>
      </c>
      <c r="Q792" t="str">
        <f>IFERROR(IF(VLOOKUP($B792,Показатели!$E:$W,14,FALSE)=0,"",VLOOKUP($B792,Показатели!$E:$W,14,FALSE)),"")</f>
        <v/>
      </c>
      <c r="R792" t="str">
        <f>IFERROR(IF(VLOOKUP($B792,Показатели!$E:$W,15,FALSE)=0,"",VLOOKUP($B792,Показатели!$E:$W,15,FALSE)),"")</f>
        <v/>
      </c>
      <c r="S792" t="str">
        <f>IFERROR(IF(VLOOKUP($B792,Показатели!$E:$W,16,FALSE)=0,"",VLOOKUP($B792,Показатели!$E:$W,16,FALSE)),"")</f>
        <v/>
      </c>
      <c r="T792" t="str">
        <f>IFERROR(IF(VLOOKUP($B792,Показатели!$E:$W,17,FALSE)=0,"",VLOOKUP($B792,Показатели!$E:$W,17,FALSE)),"")</f>
        <v/>
      </c>
      <c r="U792" t="str">
        <f>IFERROR(IF(VLOOKUP($B792,Показатели!$E:$W,18,FALSE)=0,"",VLOOKUP($B792,Показатели!$E:$W,18,FALSE)),"")</f>
        <v/>
      </c>
      <c r="V792" t="str">
        <f>IFERROR(IF(VLOOKUP($B792,Показатели!$E:$W,19,FALSE)=0,"",VLOOKUP($B792,Показатели!$E:$W,19,FALSE)),"")</f>
        <v/>
      </c>
    </row>
    <row r="793" spans="1:22" x14ac:dyDescent="0.2">
      <c r="A793" s="7" t="s">
        <v>2277</v>
      </c>
      <c r="B793" t="str">
        <f t="shared" si="12"/>
        <v>DATA IV кв. 2018</v>
      </c>
      <c r="C793">
        <v>2018</v>
      </c>
      <c r="D793">
        <f>SUMIFS(Дивиденды!$C:$C,Дивиденды!$A:$A,A793,Дивиденды!$I:$I,C793)</f>
        <v>0</v>
      </c>
      <c r="E793" t="str">
        <f>IFERROR(IF(VLOOKUP($B793,Показатели!$E:$W,2,FALSE)=0,"",VLOOKUP($B793,Показатели!$E:$W,2,FALSE)),"")</f>
        <v/>
      </c>
      <c r="F793" t="str">
        <f>IFERROR(IF(VLOOKUP($B793,Показатели!$E:$W,3,FALSE)=0,"",VLOOKUP($B793,Показатели!$E:$W,3,FALSE)),"")</f>
        <v/>
      </c>
      <c r="G793" t="str">
        <f>IFERROR(IF(VLOOKUP($B793,Показатели!$E:$W,4,FALSE)=0,"",VLOOKUP($B793,Показатели!$E:$W,4,FALSE)),"")</f>
        <v/>
      </c>
      <c r="H793" t="str">
        <f>IFERROR(IF(VLOOKUP($B793,Показатели!$E:$W,5,FALSE)=0,"",VLOOKUP($B793,Показатели!$E:$W,5,FALSE)),"")</f>
        <v/>
      </c>
      <c r="I793" t="str">
        <f>IFERROR(IF(VLOOKUP($B793,Показатели!$E:$W,6,FALSE)=0,"",VLOOKUP($B793,Показатели!$E:$W,6,FALSE)),"")</f>
        <v/>
      </c>
      <c r="J793" t="str">
        <f>IFERROR(IF(VLOOKUP($B793,Показатели!$E:$W,7,FALSE)=0,"",VLOOKUP($B793,Показатели!$E:$W,7,FALSE)),"")</f>
        <v/>
      </c>
      <c r="K793" t="str">
        <f>IFERROR(IF(VLOOKUP($B793,Показатели!$E:$W,8,FALSE)=0,"",VLOOKUP($B793,Показатели!$E:$W,8,FALSE)),"")</f>
        <v/>
      </c>
      <c r="L793" t="str">
        <f>IFERROR(IF(VLOOKUP($B793,Показатели!$E:$W,9,FALSE)=0,"",VLOOKUP($B793,Показатели!$E:$W,9,FALSE)),"")</f>
        <v/>
      </c>
      <c r="M793" t="str">
        <f>IFERROR(IF(VLOOKUP($B793,Показатели!$E:$W,10,FALSE)=0,"",VLOOKUP($B793,Показатели!$E:$W,10,FALSE)),"")</f>
        <v/>
      </c>
      <c r="N793" t="str">
        <f>IFERROR(IF(VLOOKUP($B793,Показатели!$E:$W,11,FALSE)=0,"",VLOOKUP($B793,Показатели!$E:$W,11,FALSE)),"")</f>
        <v/>
      </c>
      <c r="O793" t="str">
        <f>IFERROR(IF(VLOOKUP($B793,Показатели!$E:$W,12,FALSE)=0,"",VLOOKUP($B793,Показатели!$E:$W,12,FALSE)),"")</f>
        <v/>
      </c>
      <c r="P793" t="str">
        <f>IFERROR(IF(VLOOKUP($B793,Показатели!$E:$W,13,FALSE)=0,"",VLOOKUP($B793,Показатели!$E:$W,13,FALSE)),"")</f>
        <v/>
      </c>
      <c r="Q793" t="str">
        <f>IFERROR(IF(VLOOKUP($B793,Показатели!$E:$W,14,FALSE)=0,"",VLOOKUP($B793,Показатели!$E:$W,14,FALSE)),"")</f>
        <v/>
      </c>
      <c r="R793" t="str">
        <f>IFERROR(IF(VLOOKUP($B793,Показатели!$E:$W,15,FALSE)=0,"",VLOOKUP($B793,Показатели!$E:$W,15,FALSE)),"")</f>
        <v/>
      </c>
      <c r="S793" t="str">
        <f>IFERROR(IF(VLOOKUP($B793,Показатели!$E:$W,16,FALSE)=0,"",VLOOKUP($B793,Показатели!$E:$W,16,FALSE)),"")</f>
        <v/>
      </c>
      <c r="T793" t="str">
        <f>IFERROR(IF(VLOOKUP($B793,Показатели!$E:$W,17,FALSE)=0,"",VLOOKUP($B793,Показатели!$E:$W,17,FALSE)),"")</f>
        <v/>
      </c>
      <c r="U793" t="str">
        <f>IFERROR(IF(VLOOKUP($B793,Показатели!$E:$W,18,FALSE)=0,"",VLOOKUP($B793,Показатели!$E:$W,18,FALSE)),"")</f>
        <v/>
      </c>
      <c r="V793" t="str">
        <f>IFERROR(IF(VLOOKUP($B793,Показатели!$E:$W,19,FALSE)=0,"",VLOOKUP($B793,Показатели!$E:$W,19,FALSE)),"")</f>
        <v/>
      </c>
    </row>
    <row r="794" spans="1:22" x14ac:dyDescent="0.2">
      <c r="A794" s="7" t="s">
        <v>2277</v>
      </c>
      <c r="B794" t="str">
        <f t="shared" si="12"/>
        <v>DATA IV кв. 2017</v>
      </c>
      <c r="C794">
        <v>2017</v>
      </c>
      <c r="D794">
        <f>SUMIFS(Дивиденды!$C:$C,Дивиденды!$A:$A,A794,Дивиденды!$I:$I,C794)</f>
        <v>0</v>
      </c>
      <c r="E794" t="str">
        <f>IFERROR(IF(VLOOKUP($B794,Показатели!$E:$W,2,FALSE)=0,"",VLOOKUP($B794,Показатели!$E:$W,2,FALSE)),"")</f>
        <v/>
      </c>
      <c r="F794" t="str">
        <f>IFERROR(IF(VLOOKUP($B794,Показатели!$E:$W,3,FALSE)=0,"",VLOOKUP($B794,Показатели!$E:$W,3,FALSE)),"")</f>
        <v/>
      </c>
      <c r="G794" t="str">
        <f>IFERROR(IF(VLOOKUP($B794,Показатели!$E:$W,4,FALSE)=0,"",VLOOKUP($B794,Показатели!$E:$W,4,FALSE)),"")</f>
        <v/>
      </c>
      <c r="H794" t="str">
        <f>IFERROR(IF(VLOOKUP($B794,Показатели!$E:$W,5,FALSE)=0,"",VLOOKUP($B794,Показатели!$E:$W,5,FALSE)),"")</f>
        <v/>
      </c>
      <c r="I794" t="str">
        <f>IFERROR(IF(VLOOKUP($B794,Показатели!$E:$W,6,FALSE)=0,"",VLOOKUP($B794,Показатели!$E:$W,6,FALSE)),"")</f>
        <v/>
      </c>
      <c r="J794" t="str">
        <f>IFERROR(IF(VLOOKUP($B794,Показатели!$E:$W,7,FALSE)=0,"",VLOOKUP($B794,Показатели!$E:$W,7,FALSE)),"")</f>
        <v/>
      </c>
      <c r="K794" t="str">
        <f>IFERROR(IF(VLOOKUP($B794,Показатели!$E:$W,8,FALSE)=0,"",VLOOKUP($B794,Показатели!$E:$W,8,FALSE)),"")</f>
        <v/>
      </c>
      <c r="L794" t="str">
        <f>IFERROR(IF(VLOOKUP($B794,Показатели!$E:$W,9,FALSE)=0,"",VLOOKUP($B794,Показатели!$E:$W,9,FALSE)),"")</f>
        <v/>
      </c>
      <c r="M794" t="str">
        <f>IFERROR(IF(VLOOKUP($B794,Показатели!$E:$W,10,FALSE)=0,"",VLOOKUP($B794,Показатели!$E:$W,10,FALSE)),"")</f>
        <v/>
      </c>
      <c r="N794" t="str">
        <f>IFERROR(IF(VLOOKUP($B794,Показатели!$E:$W,11,FALSE)=0,"",VLOOKUP($B794,Показатели!$E:$W,11,FALSE)),"")</f>
        <v/>
      </c>
      <c r="O794" t="str">
        <f>IFERROR(IF(VLOOKUP($B794,Показатели!$E:$W,12,FALSE)=0,"",VLOOKUP($B794,Показатели!$E:$W,12,FALSE)),"")</f>
        <v/>
      </c>
      <c r="P794" t="str">
        <f>IFERROR(IF(VLOOKUP($B794,Показатели!$E:$W,13,FALSE)=0,"",VLOOKUP($B794,Показатели!$E:$W,13,FALSE)),"")</f>
        <v/>
      </c>
      <c r="Q794" t="str">
        <f>IFERROR(IF(VLOOKUP($B794,Показатели!$E:$W,14,FALSE)=0,"",VLOOKUP($B794,Показатели!$E:$W,14,FALSE)),"")</f>
        <v/>
      </c>
      <c r="R794" t="str">
        <f>IFERROR(IF(VLOOKUP($B794,Показатели!$E:$W,15,FALSE)=0,"",VLOOKUP($B794,Показатели!$E:$W,15,FALSE)),"")</f>
        <v/>
      </c>
      <c r="S794" t="str">
        <f>IFERROR(IF(VLOOKUP($B794,Показатели!$E:$W,16,FALSE)=0,"",VLOOKUP($B794,Показатели!$E:$W,16,FALSE)),"")</f>
        <v/>
      </c>
      <c r="T794" t="str">
        <f>IFERROR(IF(VLOOKUP($B794,Показатели!$E:$W,17,FALSE)=0,"",VLOOKUP($B794,Показатели!$E:$W,17,FALSE)),"")</f>
        <v/>
      </c>
      <c r="U794" t="str">
        <f>IFERROR(IF(VLOOKUP($B794,Показатели!$E:$W,18,FALSE)=0,"",VLOOKUP($B794,Показатели!$E:$W,18,FALSE)),"")</f>
        <v/>
      </c>
      <c r="V794" t="str">
        <f>IFERROR(IF(VLOOKUP($B794,Показатели!$E:$W,19,FALSE)=0,"",VLOOKUP($B794,Показатели!$E:$W,19,FALSE)),"")</f>
        <v/>
      </c>
    </row>
    <row r="795" spans="1:22" x14ac:dyDescent="0.2">
      <c r="A795" s="7" t="s">
        <v>2277</v>
      </c>
      <c r="B795" t="str">
        <f t="shared" si="12"/>
        <v>DATA IV кв. 2016</v>
      </c>
      <c r="C795">
        <v>2016</v>
      </c>
      <c r="D795">
        <f>SUMIFS(Дивиденды!$C:$C,Дивиденды!$A:$A,A795,Дивиденды!$I:$I,C795)</f>
        <v>0</v>
      </c>
      <c r="E795" t="str">
        <f>IFERROR(IF(VLOOKUP($B795,Показатели!$E:$W,2,FALSE)=0,"",VLOOKUP($B795,Показатели!$E:$W,2,FALSE)),"")</f>
        <v/>
      </c>
      <c r="F795" t="str">
        <f>IFERROR(IF(VLOOKUP($B795,Показатели!$E:$W,3,FALSE)=0,"",VLOOKUP($B795,Показатели!$E:$W,3,FALSE)),"")</f>
        <v/>
      </c>
      <c r="G795" t="str">
        <f>IFERROR(IF(VLOOKUP($B795,Показатели!$E:$W,4,FALSE)=0,"",VLOOKUP($B795,Показатели!$E:$W,4,FALSE)),"")</f>
        <v/>
      </c>
      <c r="H795" t="str">
        <f>IFERROR(IF(VLOOKUP($B795,Показатели!$E:$W,5,FALSE)=0,"",VLOOKUP($B795,Показатели!$E:$W,5,FALSE)),"")</f>
        <v/>
      </c>
      <c r="I795" t="str">
        <f>IFERROR(IF(VLOOKUP($B795,Показатели!$E:$W,6,FALSE)=0,"",VLOOKUP($B795,Показатели!$E:$W,6,FALSE)),"")</f>
        <v/>
      </c>
      <c r="J795" t="str">
        <f>IFERROR(IF(VLOOKUP($B795,Показатели!$E:$W,7,FALSE)=0,"",VLOOKUP($B795,Показатели!$E:$W,7,FALSE)),"")</f>
        <v/>
      </c>
      <c r="K795" t="str">
        <f>IFERROR(IF(VLOOKUP($B795,Показатели!$E:$W,8,FALSE)=0,"",VLOOKUP($B795,Показатели!$E:$W,8,FALSE)),"")</f>
        <v/>
      </c>
      <c r="L795" t="str">
        <f>IFERROR(IF(VLOOKUP($B795,Показатели!$E:$W,9,FALSE)=0,"",VLOOKUP($B795,Показатели!$E:$W,9,FALSE)),"")</f>
        <v/>
      </c>
      <c r="M795" t="str">
        <f>IFERROR(IF(VLOOKUP($B795,Показатели!$E:$W,10,FALSE)=0,"",VLOOKUP($B795,Показатели!$E:$W,10,FALSE)),"")</f>
        <v/>
      </c>
      <c r="N795" t="str">
        <f>IFERROR(IF(VLOOKUP($B795,Показатели!$E:$W,11,FALSE)=0,"",VLOOKUP($B795,Показатели!$E:$W,11,FALSE)),"")</f>
        <v/>
      </c>
      <c r="O795" t="str">
        <f>IFERROR(IF(VLOOKUP($B795,Показатели!$E:$W,12,FALSE)=0,"",VLOOKUP($B795,Показатели!$E:$W,12,FALSE)),"")</f>
        <v/>
      </c>
      <c r="P795" t="str">
        <f>IFERROR(IF(VLOOKUP($B795,Показатели!$E:$W,13,FALSE)=0,"",VLOOKUP($B795,Показатели!$E:$W,13,FALSE)),"")</f>
        <v/>
      </c>
      <c r="Q795" t="str">
        <f>IFERROR(IF(VLOOKUP($B795,Показатели!$E:$W,14,FALSE)=0,"",VLOOKUP($B795,Показатели!$E:$W,14,FALSE)),"")</f>
        <v/>
      </c>
      <c r="R795" t="str">
        <f>IFERROR(IF(VLOOKUP($B795,Показатели!$E:$W,15,FALSE)=0,"",VLOOKUP($B795,Показатели!$E:$W,15,FALSE)),"")</f>
        <v/>
      </c>
      <c r="S795" t="str">
        <f>IFERROR(IF(VLOOKUP($B795,Показатели!$E:$W,16,FALSE)=0,"",VLOOKUP($B795,Показатели!$E:$W,16,FALSE)),"")</f>
        <v/>
      </c>
      <c r="T795" t="str">
        <f>IFERROR(IF(VLOOKUP($B795,Показатели!$E:$W,17,FALSE)=0,"",VLOOKUP($B795,Показатели!$E:$W,17,FALSE)),"")</f>
        <v/>
      </c>
      <c r="U795" t="str">
        <f>IFERROR(IF(VLOOKUP($B795,Показатели!$E:$W,18,FALSE)=0,"",VLOOKUP($B795,Показатели!$E:$W,18,FALSE)),"")</f>
        <v/>
      </c>
      <c r="V795" t="str">
        <f>IFERROR(IF(VLOOKUP($B795,Показатели!$E:$W,19,FALSE)=0,"",VLOOKUP($B795,Показатели!$E:$W,19,FALSE)),"")</f>
        <v/>
      </c>
    </row>
    <row r="796" spans="1:22" x14ac:dyDescent="0.2">
      <c r="A796" s="7" t="s">
        <v>2277</v>
      </c>
      <c r="B796" t="str">
        <f t="shared" si="12"/>
        <v>DATA IV кв. 2015</v>
      </c>
      <c r="C796">
        <v>2015</v>
      </c>
      <c r="D796">
        <f>SUMIFS(Дивиденды!$C:$C,Дивиденды!$A:$A,A796,Дивиденды!$I:$I,C796)</f>
        <v>0</v>
      </c>
      <c r="E796" t="str">
        <f>IFERROR(IF(VLOOKUP($B796,Показатели!$E:$W,2,FALSE)=0,"",VLOOKUP($B796,Показатели!$E:$W,2,FALSE)),"")</f>
        <v/>
      </c>
      <c r="F796" t="str">
        <f>IFERROR(IF(VLOOKUP($B796,Показатели!$E:$W,3,FALSE)=0,"",VLOOKUP($B796,Показатели!$E:$W,3,FALSE)),"")</f>
        <v/>
      </c>
      <c r="G796" t="str">
        <f>IFERROR(IF(VLOOKUP($B796,Показатели!$E:$W,4,FALSE)=0,"",VLOOKUP($B796,Показатели!$E:$W,4,FALSE)),"")</f>
        <v/>
      </c>
      <c r="H796" t="str">
        <f>IFERROR(IF(VLOOKUP($B796,Показатели!$E:$W,5,FALSE)=0,"",VLOOKUP($B796,Показатели!$E:$W,5,FALSE)),"")</f>
        <v/>
      </c>
      <c r="I796" t="str">
        <f>IFERROR(IF(VLOOKUP($B796,Показатели!$E:$W,6,FALSE)=0,"",VLOOKUP($B796,Показатели!$E:$W,6,FALSE)),"")</f>
        <v/>
      </c>
      <c r="J796" t="str">
        <f>IFERROR(IF(VLOOKUP($B796,Показатели!$E:$W,7,FALSE)=0,"",VLOOKUP($B796,Показатели!$E:$W,7,FALSE)),"")</f>
        <v/>
      </c>
      <c r="K796" t="str">
        <f>IFERROR(IF(VLOOKUP($B796,Показатели!$E:$W,8,FALSE)=0,"",VLOOKUP($B796,Показатели!$E:$W,8,FALSE)),"")</f>
        <v/>
      </c>
      <c r="L796" t="str">
        <f>IFERROR(IF(VLOOKUP($B796,Показатели!$E:$W,9,FALSE)=0,"",VLOOKUP($B796,Показатели!$E:$W,9,FALSE)),"")</f>
        <v/>
      </c>
      <c r="M796" t="str">
        <f>IFERROR(IF(VLOOKUP($B796,Показатели!$E:$W,10,FALSE)=0,"",VLOOKUP($B796,Показатели!$E:$W,10,FALSE)),"")</f>
        <v/>
      </c>
      <c r="N796" t="str">
        <f>IFERROR(IF(VLOOKUP($B796,Показатели!$E:$W,11,FALSE)=0,"",VLOOKUP($B796,Показатели!$E:$W,11,FALSE)),"")</f>
        <v/>
      </c>
      <c r="O796" t="str">
        <f>IFERROR(IF(VLOOKUP($B796,Показатели!$E:$W,12,FALSE)=0,"",VLOOKUP($B796,Показатели!$E:$W,12,FALSE)),"")</f>
        <v/>
      </c>
      <c r="P796" t="str">
        <f>IFERROR(IF(VLOOKUP($B796,Показатели!$E:$W,13,FALSE)=0,"",VLOOKUP($B796,Показатели!$E:$W,13,FALSE)),"")</f>
        <v/>
      </c>
      <c r="Q796" t="str">
        <f>IFERROR(IF(VLOOKUP($B796,Показатели!$E:$W,14,FALSE)=0,"",VLOOKUP($B796,Показатели!$E:$W,14,FALSE)),"")</f>
        <v/>
      </c>
      <c r="R796" t="str">
        <f>IFERROR(IF(VLOOKUP($B796,Показатели!$E:$W,15,FALSE)=0,"",VLOOKUP($B796,Показатели!$E:$W,15,FALSE)),"")</f>
        <v/>
      </c>
      <c r="S796" t="str">
        <f>IFERROR(IF(VLOOKUP($B796,Показатели!$E:$W,16,FALSE)=0,"",VLOOKUP($B796,Показатели!$E:$W,16,FALSE)),"")</f>
        <v/>
      </c>
      <c r="T796" t="str">
        <f>IFERROR(IF(VLOOKUP($B796,Показатели!$E:$W,17,FALSE)=0,"",VLOOKUP($B796,Показатели!$E:$W,17,FALSE)),"")</f>
        <v/>
      </c>
      <c r="U796" t="str">
        <f>IFERROR(IF(VLOOKUP($B796,Показатели!$E:$W,18,FALSE)=0,"",VLOOKUP($B796,Показатели!$E:$W,18,FALSE)),"")</f>
        <v/>
      </c>
      <c r="V796" t="str">
        <f>IFERROR(IF(VLOOKUP($B796,Показатели!$E:$W,19,FALSE)=0,"",VLOOKUP($B796,Показатели!$E:$W,19,FALSE)),"")</f>
        <v/>
      </c>
    </row>
    <row r="797" spans="1:22" x14ac:dyDescent="0.2">
      <c r="A797" s="7" t="s">
        <v>2277</v>
      </c>
      <c r="B797" t="str">
        <f t="shared" si="12"/>
        <v>DATA IV кв. 2014</v>
      </c>
      <c r="C797">
        <v>2014</v>
      </c>
      <c r="D797">
        <f>SUMIFS(Дивиденды!$C:$C,Дивиденды!$A:$A,A797,Дивиденды!$I:$I,C797)</f>
        <v>0</v>
      </c>
      <c r="E797" t="str">
        <f>IFERROR(IF(VLOOKUP($B797,Показатели!$E:$W,2,FALSE)=0,"",VLOOKUP($B797,Показатели!$E:$W,2,FALSE)),"")</f>
        <v/>
      </c>
      <c r="F797" t="str">
        <f>IFERROR(IF(VLOOKUP($B797,Показатели!$E:$W,3,FALSE)=0,"",VLOOKUP($B797,Показатели!$E:$W,3,FALSE)),"")</f>
        <v/>
      </c>
      <c r="G797" t="str">
        <f>IFERROR(IF(VLOOKUP($B797,Показатели!$E:$W,4,FALSE)=0,"",VLOOKUP($B797,Показатели!$E:$W,4,FALSE)),"")</f>
        <v/>
      </c>
      <c r="H797" t="str">
        <f>IFERROR(IF(VLOOKUP($B797,Показатели!$E:$W,5,FALSE)=0,"",VLOOKUP($B797,Показатели!$E:$W,5,FALSE)),"")</f>
        <v/>
      </c>
      <c r="I797" t="str">
        <f>IFERROR(IF(VLOOKUP($B797,Показатели!$E:$W,6,FALSE)=0,"",VLOOKUP($B797,Показатели!$E:$W,6,FALSE)),"")</f>
        <v/>
      </c>
      <c r="J797" t="str">
        <f>IFERROR(IF(VLOOKUP($B797,Показатели!$E:$W,7,FALSE)=0,"",VLOOKUP($B797,Показатели!$E:$W,7,FALSE)),"")</f>
        <v/>
      </c>
      <c r="K797" t="str">
        <f>IFERROR(IF(VLOOKUP($B797,Показатели!$E:$W,8,FALSE)=0,"",VLOOKUP($B797,Показатели!$E:$W,8,FALSE)),"")</f>
        <v/>
      </c>
      <c r="L797" t="str">
        <f>IFERROR(IF(VLOOKUP($B797,Показатели!$E:$W,9,FALSE)=0,"",VLOOKUP($B797,Показатели!$E:$W,9,FALSE)),"")</f>
        <v/>
      </c>
      <c r="M797" t="str">
        <f>IFERROR(IF(VLOOKUP($B797,Показатели!$E:$W,10,FALSE)=0,"",VLOOKUP($B797,Показатели!$E:$W,10,FALSE)),"")</f>
        <v/>
      </c>
      <c r="N797" t="str">
        <f>IFERROR(IF(VLOOKUP($B797,Показатели!$E:$W,11,FALSE)=0,"",VLOOKUP($B797,Показатели!$E:$W,11,FALSE)),"")</f>
        <v/>
      </c>
      <c r="O797" t="str">
        <f>IFERROR(IF(VLOOKUP($B797,Показатели!$E:$W,12,FALSE)=0,"",VLOOKUP($B797,Показатели!$E:$W,12,FALSE)),"")</f>
        <v/>
      </c>
      <c r="P797" t="str">
        <f>IFERROR(IF(VLOOKUP($B797,Показатели!$E:$W,13,FALSE)=0,"",VLOOKUP($B797,Показатели!$E:$W,13,FALSE)),"")</f>
        <v/>
      </c>
      <c r="Q797" t="str">
        <f>IFERROR(IF(VLOOKUP($B797,Показатели!$E:$W,14,FALSE)=0,"",VLOOKUP($B797,Показатели!$E:$W,14,FALSE)),"")</f>
        <v/>
      </c>
      <c r="R797" t="str">
        <f>IFERROR(IF(VLOOKUP($B797,Показатели!$E:$W,15,FALSE)=0,"",VLOOKUP($B797,Показатели!$E:$W,15,FALSE)),"")</f>
        <v/>
      </c>
      <c r="S797" t="str">
        <f>IFERROR(IF(VLOOKUP($B797,Показатели!$E:$W,16,FALSE)=0,"",VLOOKUP($B797,Показатели!$E:$W,16,FALSE)),"")</f>
        <v/>
      </c>
      <c r="T797" t="str">
        <f>IFERROR(IF(VLOOKUP($B797,Показатели!$E:$W,17,FALSE)=0,"",VLOOKUP($B797,Показатели!$E:$W,17,FALSE)),"")</f>
        <v/>
      </c>
      <c r="U797" t="str">
        <f>IFERROR(IF(VLOOKUP($B797,Показатели!$E:$W,18,FALSE)=0,"",VLOOKUP($B797,Показатели!$E:$W,18,FALSE)),"")</f>
        <v/>
      </c>
      <c r="V797" t="str">
        <f>IFERROR(IF(VLOOKUP($B797,Показатели!$E:$W,19,FALSE)=0,"",VLOOKUP($B797,Показатели!$E:$W,19,FALSE)),"")</f>
        <v/>
      </c>
    </row>
    <row r="798" spans="1:22" x14ac:dyDescent="0.2">
      <c r="A798" s="7" t="s">
        <v>2277</v>
      </c>
      <c r="B798" t="str">
        <f t="shared" si="12"/>
        <v>DATA IV кв. 2013</v>
      </c>
      <c r="C798">
        <v>2013</v>
      </c>
      <c r="D798">
        <f>SUMIFS(Дивиденды!$C:$C,Дивиденды!$A:$A,A798,Дивиденды!$I:$I,C798)</f>
        <v>0</v>
      </c>
      <c r="E798" t="str">
        <f>IFERROR(IF(VLOOKUP($B798,Показатели!$E:$W,2,FALSE)=0,"",VLOOKUP($B798,Показатели!$E:$W,2,FALSE)),"")</f>
        <v/>
      </c>
      <c r="F798" t="str">
        <f>IFERROR(IF(VLOOKUP($B798,Показатели!$E:$W,3,FALSE)=0,"",VLOOKUP($B798,Показатели!$E:$W,3,FALSE)),"")</f>
        <v/>
      </c>
      <c r="G798" t="str">
        <f>IFERROR(IF(VLOOKUP($B798,Показатели!$E:$W,4,FALSE)=0,"",VLOOKUP($B798,Показатели!$E:$W,4,FALSE)),"")</f>
        <v/>
      </c>
      <c r="H798" t="str">
        <f>IFERROR(IF(VLOOKUP($B798,Показатели!$E:$W,5,FALSE)=0,"",VLOOKUP($B798,Показатели!$E:$W,5,FALSE)),"")</f>
        <v/>
      </c>
      <c r="I798" t="str">
        <f>IFERROR(IF(VLOOKUP($B798,Показатели!$E:$W,6,FALSE)=0,"",VLOOKUP($B798,Показатели!$E:$W,6,FALSE)),"")</f>
        <v/>
      </c>
      <c r="J798" t="str">
        <f>IFERROR(IF(VLOOKUP($B798,Показатели!$E:$W,7,FALSE)=0,"",VLOOKUP($B798,Показатели!$E:$W,7,FALSE)),"")</f>
        <v/>
      </c>
      <c r="K798" t="str">
        <f>IFERROR(IF(VLOOKUP($B798,Показатели!$E:$W,8,FALSE)=0,"",VLOOKUP($B798,Показатели!$E:$W,8,FALSE)),"")</f>
        <v/>
      </c>
      <c r="L798" t="str">
        <f>IFERROR(IF(VLOOKUP($B798,Показатели!$E:$W,9,FALSE)=0,"",VLOOKUP($B798,Показатели!$E:$W,9,FALSE)),"")</f>
        <v/>
      </c>
      <c r="M798" t="str">
        <f>IFERROR(IF(VLOOKUP($B798,Показатели!$E:$W,10,FALSE)=0,"",VLOOKUP($B798,Показатели!$E:$W,10,FALSE)),"")</f>
        <v/>
      </c>
      <c r="N798" t="str">
        <f>IFERROR(IF(VLOOKUP($B798,Показатели!$E:$W,11,FALSE)=0,"",VLOOKUP($B798,Показатели!$E:$W,11,FALSE)),"")</f>
        <v/>
      </c>
      <c r="O798" t="str">
        <f>IFERROR(IF(VLOOKUP($B798,Показатели!$E:$W,12,FALSE)=0,"",VLOOKUP($B798,Показатели!$E:$W,12,FALSE)),"")</f>
        <v/>
      </c>
      <c r="P798" t="str">
        <f>IFERROR(IF(VLOOKUP($B798,Показатели!$E:$W,13,FALSE)=0,"",VLOOKUP($B798,Показатели!$E:$W,13,FALSE)),"")</f>
        <v/>
      </c>
      <c r="Q798" t="str">
        <f>IFERROR(IF(VLOOKUP($B798,Показатели!$E:$W,14,FALSE)=0,"",VLOOKUP($B798,Показатели!$E:$W,14,FALSE)),"")</f>
        <v/>
      </c>
      <c r="R798" t="str">
        <f>IFERROR(IF(VLOOKUP($B798,Показатели!$E:$W,15,FALSE)=0,"",VLOOKUP($B798,Показатели!$E:$W,15,FALSE)),"")</f>
        <v/>
      </c>
      <c r="S798" t="str">
        <f>IFERROR(IF(VLOOKUP($B798,Показатели!$E:$W,16,FALSE)=0,"",VLOOKUP($B798,Показатели!$E:$W,16,FALSE)),"")</f>
        <v/>
      </c>
      <c r="T798" t="str">
        <f>IFERROR(IF(VLOOKUP($B798,Показатели!$E:$W,17,FALSE)=0,"",VLOOKUP($B798,Показатели!$E:$W,17,FALSE)),"")</f>
        <v/>
      </c>
      <c r="U798" t="str">
        <f>IFERROR(IF(VLOOKUP($B798,Показатели!$E:$W,18,FALSE)=0,"",VLOOKUP($B798,Показатели!$E:$W,18,FALSE)),"")</f>
        <v/>
      </c>
      <c r="V798" t="str">
        <f>IFERROR(IF(VLOOKUP($B798,Показатели!$E:$W,19,FALSE)=0,"",VLOOKUP($B798,Показатели!$E:$W,19,FALSE)),"")</f>
        <v/>
      </c>
    </row>
    <row r="799" spans="1:22" x14ac:dyDescent="0.2">
      <c r="A799" s="7" t="s">
        <v>2277</v>
      </c>
      <c r="B799" t="str">
        <f t="shared" si="12"/>
        <v>DATA IV кв. 2012</v>
      </c>
      <c r="C799">
        <v>2012</v>
      </c>
      <c r="D799">
        <f>SUMIFS(Дивиденды!$C:$C,Дивиденды!$A:$A,A799,Дивиденды!$I:$I,C799)</f>
        <v>0</v>
      </c>
      <c r="E799" t="str">
        <f>IFERROR(IF(VLOOKUP($B799,Показатели!$E:$W,2,FALSE)=0,"",VLOOKUP($B799,Показатели!$E:$W,2,FALSE)),"")</f>
        <v/>
      </c>
      <c r="F799" t="str">
        <f>IFERROR(IF(VLOOKUP($B799,Показатели!$E:$W,3,FALSE)=0,"",VLOOKUP($B799,Показатели!$E:$W,3,FALSE)),"")</f>
        <v/>
      </c>
      <c r="G799" t="str">
        <f>IFERROR(IF(VLOOKUP($B799,Показатели!$E:$W,4,FALSE)=0,"",VLOOKUP($B799,Показатели!$E:$W,4,FALSE)),"")</f>
        <v/>
      </c>
      <c r="H799" t="str">
        <f>IFERROR(IF(VLOOKUP($B799,Показатели!$E:$W,5,FALSE)=0,"",VLOOKUP($B799,Показатели!$E:$W,5,FALSE)),"")</f>
        <v/>
      </c>
      <c r="I799" t="str">
        <f>IFERROR(IF(VLOOKUP($B799,Показатели!$E:$W,6,FALSE)=0,"",VLOOKUP($B799,Показатели!$E:$W,6,FALSE)),"")</f>
        <v/>
      </c>
      <c r="J799" t="str">
        <f>IFERROR(IF(VLOOKUP($B799,Показатели!$E:$W,7,FALSE)=0,"",VLOOKUP($B799,Показатели!$E:$W,7,FALSE)),"")</f>
        <v/>
      </c>
      <c r="K799" t="str">
        <f>IFERROR(IF(VLOOKUP($B799,Показатели!$E:$W,8,FALSE)=0,"",VLOOKUP($B799,Показатели!$E:$W,8,FALSE)),"")</f>
        <v/>
      </c>
      <c r="L799" t="str">
        <f>IFERROR(IF(VLOOKUP($B799,Показатели!$E:$W,9,FALSE)=0,"",VLOOKUP($B799,Показатели!$E:$W,9,FALSE)),"")</f>
        <v/>
      </c>
      <c r="M799" t="str">
        <f>IFERROR(IF(VLOOKUP($B799,Показатели!$E:$W,10,FALSE)=0,"",VLOOKUP($B799,Показатели!$E:$W,10,FALSE)),"")</f>
        <v/>
      </c>
      <c r="N799" t="str">
        <f>IFERROR(IF(VLOOKUP($B799,Показатели!$E:$W,11,FALSE)=0,"",VLOOKUP($B799,Показатели!$E:$W,11,FALSE)),"")</f>
        <v/>
      </c>
      <c r="O799" t="str">
        <f>IFERROR(IF(VLOOKUP($B799,Показатели!$E:$W,12,FALSE)=0,"",VLOOKUP($B799,Показатели!$E:$W,12,FALSE)),"")</f>
        <v/>
      </c>
      <c r="P799" t="str">
        <f>IFERROR(IF(VLOOKUP($B799,Показатели!$E:$W,13,FALSE)=0,"",VLOOKUP($B799,Показатели!$E:$W,13,FALSE)),"")</f>
        <v/>
      </c>
      <c r="Q799" t="str">
        <f>IFERROR(IF(VLOOKUP($B799,Показатели!$E:$W,14,FALSE)=0,"",VLOOKUP($B799,Показатели!$E:$W,14,FALSE)),"")</f>
        <v/>
      </c>
      <c r="R799" t="str">
        <f>IFERROR(IF(VLOOKUP($B799,Показатели!$E:$W,15,FALSE)=0,"",VLOOKUP($B799,Показатели!$E:$W,15,FALSE)),"")</f>
        <v/>
      </c>
      <c r="S799" t="str">
        <f>IFERROR(IF(VLOOKUP($B799,Показатели!$E:$W,16,FALSE)=0,"",VLOOKUP($B799,Показатели!$E:$W,16,FALSE)),"")</f>
        <v/>
      </c>
      <c r="T799" t="str">
        <f>IFERROR(IF(VLOOKUP($B799,Показатели!$E:$W,17,FALSE)=0,"",VLOOKUP($B799,Показатели!$E:$W,17,FALSE)),"")</f>
        <v/>
      </c>
      <c r="U799" t="str">
        <f>IFERROR(IF(VLOOKUP($B799,Показатели!$E:$W,18,FALSE)=0,"",VLOOKUP($B799,Показатели!$E:$W,18,FALSE)),"")</f>
        <v/>
      </c>
      <c r="V799" t="str">
        <f>IFERROR(IF(VLOOKUP($B799,Показатели!$E:$W,19,FALSE)=0,"",VLOOKUP($B799,Показатели!$E:$W,19,FALSE)),"")</f>
        <v/>
      </c>
    </row>
    <row r="800" spans="1:22" x14ac:dyDescent="0.2">
      <c r="A800" s="7" t="s">
        <v>2277</v>
      </c>
      <c r="B800" t="str">
        <f t="shared" si="12"/>
        <v>DATA IV кв. 2011</v>
      </c>
      <c r="C800">
        <v>2011</v>
      </c>
      <c r="D800">
        <f>SUMIFS(Дивиденды!$C:$C,Дивиденды!$A:$A,A800,Дивиденды!$I:$I,C800)</f>
        <v>0</v>
      </c>
      <c r="E800" t="str">
        <f>IFERROR(IF(VLOOKUP($B800,Показатели!$E:$W,2,FALSE)=0,"",VLOOKUP($B800,Показатели!$E:$W,2,FALSE)),"")</f>
        <v/>
      </c>
      <c r="F800" t="str">
        <f>IFERROR(IF(VLOOKUP($B800,Показатели!$E:$W,3,FALSE)=0,"",VLOOKUP($B800,Показатели!$E:$W,3,FALSE)),"")</f>
        <v/>
      </c>
      <c r="G800" t="str">
        <f>IFERROR(IF(VLOOKUP($B800,Показатели!$E:$W,4,FALSE)=0,"",VLOOKUP($B800,Показатели!$E:$W,4,FALSE)),"")</f>
        <v/>
      </c>
      <c r="H800" t="str">
        <f>IFERROR(IF(VLOOKUP($B800,Показатели!$E:$W,5,FALSE)=0,"",VLOOKUP($B800,Показатели!$E:$W,5,FALSE)),"")</f>
        <v/>
      </c>
      <c r="I800" t="str">
        <f>IFERROR(IF(VLOOKUP($B800,Показатели!$E:$W,6,FALSE)=0,"",VLOOKUP($B800,Показатели!$E:$W,6,FALSE)),"")</f>
        <v/>
      </c>
      <c r="J800" t="str">
        <f>IFERROR(IF(VLOOKUP($B800,Показатели!$E:$W,7,FALSE)=0,"",VLOOKUP($B800,Показатели!$E:$W,7,FALSE)),"")</f>
        <v/>
      </c>
      <c r="K800" t="str">
        <f>IFERROR(IF(VLOOKUP($B800,Показатели!$E:$W,8,FALSE)=0,"",VLOOKUP($B800,Показатели!$E:$W,8,FALSE)),"")</f>
        <v/>
      </c>
      <c r="L800" t="str">
        <f>IFERROR(IF(VLOOKUP($B800,Показатели!$E:$W,9,FALSE)=0,"",VLOOKUP($B800,Показатели!$E:$W,9,FALSE)),"")</f>
        <v/>
      </c>
      <c r="M800" t="str">
        <f>IFERROR(IF(VLOOKUP($B800,Показатели!$E:$W,10,FALSE)=0,"",VLOOKUP($B800,Показатели!$E:$W,10,FALSE)),"")</f>
        <v/>
      </c>
      <c r="N800" t="str">
        <f>IFERROR(IF(VLOOKUP($B800,Показатели!$E:$W,11,FALSE)=0,"",VLOOKUP($B800,Показатели!$E:$W,11,FALSE)),"")</f>
        <v/>
      </c>
      <c r="O800" t="str">
        <f>IFERROR(IF(VLOOKUP($B800,Показатели!$E:$W,12,FALSE)=0,"",VLOOKUP($B800,Показатели!$E:$W,12,FALSE)),"")</f>
        <v/>
      </c>
      <c r="P800" t="str">
        <f>IFERROR(IF(VLOOKUP($B800,Показатели!$E:$W,13,FALSE)=0,"",VLOOKUP($B800,Показатели!$E:$W,13,FALSE)),"")</f>
        <v/>
      </c>
      <c r="Q800" t="str">
        <f>IFERROR(IF(VLOOKUP($B800,Показатели!$E:$W,14,FALSE)=0,"",VLOOKUP($B800,Показатели!$E:$W,14,FALSE)),"")</f>
        <v/>
      </c>
      <c r="R800" t="str">
        <f>IFERROR(IF(VLOOKUP($B800,Показатели!$E:$W,15,FALSE)=0,"",VLOOKUP($B800,Показатели!$E:$W,15,FALSE)),"")</f>
        <v/>
      </c>
      <c r="S800" t="str">
        <f>IFERROR(IF(VLOOKUP($B800,Показатели!$E:$W,16,FALSE)=0,"",VLOOKUP($B800,Показатели!$E:$W,16,FALSE)),"")</f>
        <v/>
      </c>
      <c r="T800" t="str">
        <f>IFERROR(IF(VLOOKUP($B800,Показатели!$E:$W,17,FALSE)=0,"",VLOOKUP($B800,Показатели!$E:$W,17,FALSE)),"")</f>
        <v/>
      </c>
      <c r="U800" t="str">
        <f>IFERROR(IF(VLOOKUP($B800,Показатели!$E:$W,18,FALSE)=0,"",VLOOKUP($B800,Показатели!$E:$W,18,FALSE)),"")</f>
        <v/>
      </c>
      <c r="V800" t="str">
        <f>IFERROR(IF(VLOOKUP($B800,Показатели!$E:$W,19,FALSE)=0,"",VLOOKUP($B800,Показатели!$E:$W,19,FALSE)),"")</f>
        <v/>
      </c>
    </row>
    <row r="801" spans="1:22" x14ac:dyDescent="0.2">
      <c r="A801" s="7" t="s">
        <v>2277</v>
      </c>
      <c r="B801" t="str">
        <f t="shared" si="12"/>
        <v>DATA IV кв. 2010</v>
      </c>
      <c r="C801">
        <v>2010</v>
      </c>
      <c r="D801">
        <f>SUMIFS(Дивиденды!$C:$C,Дивиденды!$A:$A,A801,Дивиденды!$I:$I,C801)</f>
        <v>0</v>
      </c>
      <c r="E801" t="str">
        <f>IFERROR(IF(VLOOKUP($B801,Показатели!$E:$W,2,FALSE)=0,"",VLOOKUP($B801,Показатели!$E:$W,2,FALSE)),"")</f>
        <v/>
      </c>
      <c r="F801" t="str">
        <f>IFERROR(IF(VLOOKUP($B801,Показатели!$E:$W,3,FALSE)=0,"",VLOOKUP($B801,Показатели!$E:$W,3,FALSE)),"")</f>
        <v/>
      </c>
      <c r="G801" t="str">
        <f>IFERROR(IF(VLOOKUP($B801,Показатели!$E:$W,4,FALSE)=0,"",VLOOKUP($B801,Показатели!$E:$W,4,FALSE)),"")</f>
        <v/>
      </c>
      <c r="H801" t="str">
        <f>IFERROR(IF(VLOOKUP($B801,Показатели!$E:$W,5,FALSE)=0,"",VLOOKUP($B801,Показатели!$E:$W,5,FALSE)),"")</f>
        <v/>
      </c>
      <c r="I801" t="str">
        <f>IFERROR(IF(VLOOKUP($B801,Показатели!$E:$W,6,FALSE)=0,"",VLOOKUP($B801,Показатели!$E:$W,6,FALSE)),"")</f>
        <v/>
      </c>
      <c r="J801" t="str">
        <f>IFERROR(IF(VLOOKUP($B801,Показатели!$E:$W,7,FALSE)=0,"",VLOOKUP($B801,Показатели!$E:$W,7,FALSE)),"")</f>
        <v/>
      </c>
      <c r="K801" t="str">
        <f>IFERROR(IF(VLOOKUP($B801,Показатели!$E:$W,8,FALSE)=0,"",VLOOKUP($B801,Показатели!$E:$W,8,FALSE)),"")</f>
        <v/>
      </c>
      <c r="L801" t="str">
        <f>IFERROR(IF(VLOOKUP($B801,Показатели!$E:$W,9,FALSE)=0,"",VLOOKUP($B801,Показатели!$E:$W,9,FALSE)),"")</f>
        <v/>
      </c>
      <c r="M801" t="str">
        <f>IFERROR(IF(VLOOKUP($B801,Показатели!$E:$W,10,FALSE)=0,"",VLOOKUP($B801,Показатели!$E:$W,10,FALSE)),"")</f>
        <v/>
      </c>
      <c r="N801" t="str">
        <f>IFERROR(IF(VLOOKUP($B801,Показатели!$E:$W,11,FALSE)=0,"",VLOOKUP($B801,Показатели!$E:$W,11,FALSE)),"")</f>
        <v/>
      </c>
      <c r="O801" t="str">
        <f>IFERROR(IF(VLOOKUP($B801,Показатели!$E:$W,12,FALSE)=0,"",VLOOKUP($B801,Показатели!$E:$W,12,FALSE)),"")</f>
        <v/>
      </c>
      <c r="P801" t="str">
        <f>IFERROR(IF(VLOOKUP($B801,Показатели!$E:$W,13,FALSE)=0,"",VLOOKUP($B801,Показатели!$E:$W,13,FALSE)),"")</f>
        <v/>
      </c>
      <c r="Q801" t="str">
        <f>IFERROR(IF(VLOOKUP($B801,Показатели!$E:$W,14,FALSE)=0,"",VLOOKUP($B801,Показатели!$E:$W,14,FALSE)),"")</f>
        <v/>
      </c>
      <c r="R801" t="str">
        <f>IFERROR(IF(VLOOKUP($B801,Показатели!$E:$W,15,FALSE)=0,"",VLOOKUP($B801,Показатели!$E:$W,15,FALSE)),"")</f>
        <v/>
      </c>
      <c r="S801" t="str">
        <f>IFERROR(IF(VLOOKUP($B801,Показатели!$E:$W,16,FALSE)=0,"",VLOOKUP($B801,Показатели!$E:$W,16,FALSE)),"")</f>
        <v/>
      </c>
      <c r="T801" t="str">
        <f>IFERROR(IF(VLOOKUP($B801,Показатели!$E:$W,17,FALSE)=0,"",VLOOKUP($B801,Показатели!$E:$W,17,FALSE)),"")</f>
        <v/>
      </c>
      <c r="U801" t="str">
        <f>IFERROR(IF(VLOOKUP($B801,Показатели!$E:$W,18,FALSE)=0,"",VLOOKUP($B801,Показатели!$E:$W,18,FALSE)),"")</f>
        <v/>
      </c>
      <c r="V801" t="str">
        <f>IFERROR(IF(VLOOKUP($B801,Показатели!$E:$W,19,FALSE)=0,"",VLOOKUP($B801,Показатели!$E:$W,19,FALSE)),"")</f>
        <v/>
      </c>
    </row>
    <row r="802" spans="1:22" x14ac:dyDescent="0.2">
      <c r="A802" s="7" t="s">
        <v>2279</v>
      </c>
      <c r="B802" t="str">
        <f t="shared" si="12"/>
        <v>HEAD IV кв. 2025</v>
      </c>
      <c r="C802">
        <v>2025</v>
      </c>
      <c r="D802">
        <f>SUMIFS(Дивиденды!$C:$C,Дивиденды!$A:$A,A802,Дивиденды!$I:$I,C802)</f>
        <v>233</v>
      </c>
      <c r="E802">
        <f>IFERROR(IF(VLOOKUP($B802,Показатели!$E:$W,2,FALSE)=0,"",VLOOKUP($B802,Показатели!$E:$W,2,FALSE)),"")</f>
        <v>14501243000</v>
      </c>
      <c r="F802">
        <f>IFERROR(IF(VLOOKUP($B802,Показатели!$E:$W,3,FALSE)=0,"",VLOOKUP($B802,Показатели!$E:$W,3,FALSE)),"")</f>
        <v>15537710000</v>
      </c>
      <c r="G802">
        <f>IFERROR(IF(VLOOKUP($B802,Показатели!$E:$W,4,FALSE)=0,"",VLOOKUP($B802,Показатели!$E:$W,4,FALSE)),"")</f>
        <v>2153761000</v>
      </c>
      <c r="H802">
        <f>IFERROR(IF(VLOOKUP($B802,Показатели!$E:$W,5,FALSE)=0,"",VLOOKUP($B802,Показатели!$E:$W,5,FALSE)),"")</f>
        <v>13643640000</v>
      </c>
      <c r="I802">
        <f>IFERROR(IF(VLOOKUP($B802,Показатели!$E:$W,6,FALSE)=0,"",VLOOKUP($B802,Показатели!$E:$W,6,FALSE)),"")</f>
        <v>34882549000</v>
      </c>
      <c r="J802">
        <f>IFERROR(IF(VLOOKUP($B802,Показатели!$E:$W,7,FALSE)=0,"",VLOOKUP($B802,Показатели!$E:$W,7,FALSE)),"")</f>
        <v>19032748000</v>
      </c>
      <c r="K802">
        <f>IFERROR(IF(VLOOKUP($B802,Показатели!$E:$W,8,FALSE)=0,"",VLOOKUP($B802,Показатели!$E:$W,8,FALSE)),"")</f>
        <v>2702254000</v>
      </c>
      <c r="L802">
        <f>IFERROR(IF(VLOOKUP($B802,Показатели!$E:$W,9,FALSE)=0,"",VLOOKUP($B802,Показатели!$E:$W,9,FALSE)),"")</f>
        <v>1777983000</v>
      </c>
      <c r="M802">
        <f>IFERROR(IF(VLOOKUP($B802,Показатели!$E:$W,10,FALSE)=0,"",VLOOKUP($B802,Показатели!$E:$W,10,FALSE)),"")</f>
        <v>13147547000</v>
      </c>
      <c r="N802">
        <f>IFERROR(IF(VLOOKUP($B802,Показатели!$E:$W,11,FALSE)=0,"",VLOOKUP($B802,Показатели!$E:$W,11,FALSE)),"")</f>
        <v>41203402000</v>
      </c>
      <c r="O802" t="str">
        <f>IFERROR(IF(VLOOKUP($B802,Показатели!$E:$W,12,FALSE)=0,"",VLOOKUP($B802,Показатели!$E:$W,12,FALSE)),"")</f>
        <v/>
      </c>
      <c r="P802">
        <f>IFERROR(IF(VLOOKUP($B802,Показатели!$E:$W,13,FALSE)=0,"",VLOOKUP($B802,Показатели!$E:$W,13,FALSE)),"")</f>
        <v>19996663000</v>
      </c>
      <c r="Q802">
        <f>IFERROR(IF(VLOOKUP($B802,Показатели!$E:$W,14,FALSE)=0,"",VLOOKUP($B802,Показатели!$E:$W,14,FALSE)),"")</f>
        <v>17989497000</v>
      </c>
      <c r="R802">
        <f>IFERROR(IF(VLOOKUP($B802,Показатели!$E:$W,15,FALSE)=0,"",VLOOKUP($B802,Показатели!$E:$W,15,FALSE)),"")</f>
        <v>1651180000</v>
      </c>
      <c r="S802">
        <f>IFERROR(IF(VLOOKUP($B802,Показатели!$E:$W,16,FALSE)=0,"",VLOOKUP($B802,Показатели!$E:$W,16,FALSE)),"")</f>
        <v>20348170000</v>
      </c>
      <c r="T802">
        <f>IFERROR(IF(VLOOKUP($B802,Показатели!$E:$W,17,FALSE)=0,"",VLOOKUP($B802,Показатели!$E:$W,17,FALSE)),"")</f>
        <v>-1587973000</v>
      </c>
      <c r="U802">
        <f>IFERROR(IF(VLOOKUP($B802,Показатели!$E:$W,18,FALSE)=0,"",VLOOKUP($B802,Показатели!$E:$W,18,FALSE)),"")</f>
        <v>39618860000</v>
      </c>
      <c r="V802">
        <f>IFERROR(IF(VLOOKUP($B802,Показатели!$E:$W,19,FALSE)=0,"",VLOOKUP($B802,Показатели!$E:$W,19,FALSE)),"")</f>
        <v>24493775000</v>
      </c>
    </row>
    <row r="803" spans="1:22" x14ac:dyDescent="0.2">
      <c r="A803" s="7" t="s">
        <v>2279</v>
      </c>
      <c r="B803" t="str">
        <f t="shared" si="12"/>
        <v>HEAD IV кв. 2024</v>
      </c>
      <c r="C803">
        <v>2024</v>
      </c>
      <c r="D803">
        <f>SUMIFS(Дивиденды!$C:$C,Дивиденды!$A:$A,A803,Дивиденды!$I:$I,C803)</f>
        <v>907</v>
      </c>
      <c r="E803">
        <f>IFERROR(IF(VLOOKUP($B803,Показатели!$E:$W,2,FALSE)=0,"",VLOOKUP($B803,Показатели!$E:$W,2,FALSE)),"")</f>
        <v>5435959000</v>
      </c>
      <c r="F803">
        <f>IFERROR(IF(VLOOKUP($B803,Показатели!$E:$W,3,FALSE)=0,"",VLOOKUP($B803,Показатели!$E:$W,3,FALSE)),"")</f>
        <v>6234432000</v>
      </c>
      <c r="G803">
        <f>IFERROR(IF(VLOOKUP($B803,Показатели!$E:$W,4,FALSE)=0,"",VLOOKUP($B803,Показатели!$E:$W,4,FALSE)),"")</f>
        <v>930126000</v>
      </c>
      <c r="H803">
        <f>IFERROR(IF(VLOOKUP($B803,Показатели!$E:$W,5,FALSE)=0,"",VLOOKUP($B803,Показатели!$E:$W,5,FALSE)),"")</f>
        <v>14394290000</v>
      </c>
      <c r="I803">
        <f>IFERROR(IF(VLOOKUP($B803,Показатели!$E:$W,6,FALSE)=0,"",VLOOKUP($B803,Показатели!$E:$W,6,FALSE)),"")</f>
        <v>24493775000</v>
      </c>
      <c r="J803">
        <f>IFERROR(IF(VLOOKUP($B803,Показатели!$E:$W,7,FALSE)=0,"",VLOOKUP($B803,Показатели!$E:$W,7,FALSE)),"")</f>
        <v>17305532000</v>
      </c>
      <c r="K803">
        <f>IFERROR(IF(VLOOKUP($B803,Показатели!$E:$W,8,FALSE)=0,"",VLOOKUP($B803,Показатели!$E:$W,8,FALSE)),"")</f>
        <v>2521101000</v>
      </c>
      <c r="L803">
        <f>IFERROR(IF(VLOOKUP($B803,Показатели!$E:$W,9,FALSE)=0,"",VLOOKUP($B803,Показатели!$E:$W,9,FALSE)),"")</f>
        <v>-3326601000</v>
      </c>
      <c r="M803">
        <f>IFERROR(IF(VLOOKUP($B803,Показатели!$E:$W,10,FALSE)=0,"",VLOOKUP($B803,Показатели!$E:$W,10,FALSE)),"")</f>
        <v>4667142000</v>
      </c>
      <c r="N803">
        <f>IFERROR(IF(VLOOKUP($B803,Показатели!$E:$W,11,FALSE)=0,"",VLOOKUP($B803,Показатели!$E:$W,11,FALSE)),"")</f>
        <v>39618860000</v>
      </c>
      <c r="O803" t="str">
        <f>IFERROR(IF(VLOOKUP($B803,Показатели!$E:$W,12,FALSE)=0,"",VLOOKUP($B803,Показатели!$E:$W,12,FALSE)),"")</f>
        <v/>
      </c>
      <c r="P803">
        <f>IFERROR(IF(VLOOKUP($B803,Показатели!$E:$W,13,FALSE)=0,"",VLOOKUP($B803,Показатели!$E:$W,13,FALSE)),"")</f>
        <v>24480090000</v>
      </c>
      <c r="Q803">
        <f>IFERROR(IF(VLOOKUP($B803,Показатели!$E:$W,14,FALSE)=0,"",VLOOKUP($B803,Показатели!$E:$W,14,FALSE)),"")</f>
        <v>23881807000</v>
      </c>
      <c r="R803">
        <f>IFERROR(IF(VLOOKUP($B803,Показатели!$E:$W,15,FALSE)=0,"",VLOOKUP($B803,Показатели!$E:$W,15,FALSE)),"")</f>
        <v>1258961000</v>
      </c>
      <c r="S803">
        <f>IFERROR(IF(VLOOKUP($B803,Показатели!$E:$W,16,FALSE)=0,"",VLOOKUP($B803,Показатели!$E:$W,16,FALSE)),"")</f>
        <v>23334523000</v>
      </c>
      <c r="T803">
        <f>IFERROR(IF(VLOOKUP($B803,Показатели!$E:$W,17,FALSE)=0,"",VLOOKUP($B803,Показатели!$E:$W,17,FALSE)),"")</f>
        <v>-591999000</v>
      </c>
      <c r="U803">
        <f>IFERROR(IF(VLOOKUP($B803,Показатели!$E:$W,18,FALSE)=0,"",VLOOKUP($B803,Показатели!$E:$W,18,FALSE)),"")</f>
        <v>29449103000</v>
      </c>
      <c r="V803">
        <f>IFERROR(IF(VLOOKUP($B803,Показатели!$E:$W,19,FALSE)=0,"",VLOOKUP($B803,Показатели!$E:$W,19,FALSE)),"")</f>
        <v>36745321000</v>
      </c>
    </row>
    <row r="804" spans="1:22" x14ac:dyDescent="0.2">
      <c r="A804" s="7" t="s">
        <v>2279</v>
      </c>
      <c r="B804" t="str">
        <f t="shared" si="12"/>
        <v>HEAD IV кв. 2023</v>
      </c>
      <c r="C804">
        <v>2023</v>
      </c>
      <c r="D804">
        <f>SUMIFS(Дивиденды!$C:$C,Дивиденды!$A:$A,A804,Дивиденды!$I:$I,C804)</f>
        <v>0</v>
      </c>
      <c r="E804">
        <f>IFERROR(IF(VLOOKUP($B804,Показатели!$E:$W,2,FALSE)=0,"",VLOOKUP($B804,Показатели!$E:$W,2,FALSE)),"")</f>
        <v>22596051000</v>
      </c>
      <c r="F804">
        <f>IFERROR(IF(VLOOKUP($B804,Показатели!$E:$W,3,FALSE)=0,"",VLOOKUP($B804,Показатели!$E:$W,3,FALSE)),"")</f>
        <v>23378029000</v>
      </c>
      <c r="G804">
        <f>IFERROR(IF(VLOOKUP($B804,Показатели!$E:$W,4,FALSE)=0,"",VLOOKUP($B804,Показатели!$E:$W,4,FALSE)),"")</f>
        <v>651200000</v>
      </c>
      <c r="H804">
        <f>IFERROR(IF(VLOOKUP($B804,Показатели!$E:$W,5,FALSE)=0,"",VLOOKUP($B804,Показатели!$E:$W,5,FALSE)),"")</f>
        <v>11984933000</v>
      </c>
      <c r="I804">
        <f>IFERROR(IF(VLOOKUP($B804,Показатели!$E:$W,6,FALSE)=0,"",VLOOKUP($B804,Показатели!$E:$W,6,FALSE)),"")</f>
        <v>36745321000</v>
      </c>
      <c r="J804">
        <f>IFERROR(IF(VLOOKUP($B804,Показатели!$E:$W,7,FALSE)=0,"",VLOOKUP($B804,Показатели!$E:$W,7,FALSE)),"")</f>
        <v>13937014000</v>
      </c>
      <c r="K804">
        <f>IFERROR(IF(VLOOKUP($B804,Показатели!$E:$W,8,FALSE)=0,"",VLOOKUP($B804,Показатели!$E:$W,8,FALSE)),"")</f>
        <v>3207781000</v>
      </c>
      <c r="L804">
        <f>IFERROR(IF(VLOOKUP($B804,Показатели!$E:$W,9,FALSE)=0,"",VLOOKUP($B804,Показатели!$E:$W,9,FALSE)),"")</f>
        <v>12475006000</v>
      </c>
      <c r="M804">
        <f>IFERROR(IF(VLOOKUP($B804,Показатели!$E:$W,10,FALSE)=0,"",VLOOKUP($B804,Показатели!$E:$W,10,FALSE)),"")</f>
        <v>19600526000</v>
      </c>
      <c r="N804">
        <f>IFERROR(IF(VLOOKUP($B804,Показатели!$E:$W,11,FALSE)=0,"",VLOOKUP($B804,Показатели!$E:$W,11,FALSE)),"")</f>
        <v>29449103000</v>
      </c>
      <c r="O804" t="str">
        <f>IFERROR(IF(VLOOKUP($B804,Показатели!$E:$W,12,FALSE)=0,"",VLOOKUP($B804,Показатели!$E:$W,12,FALSE)),"")</f>
        <v/>
      </c>
      <c r="P804">
        <f>IFERROR(IF(VLOOKUP($B804,Показатели!$E:$W,13,FALSE)=0,"",VLOOKUP($B804,Показатели!$E:$W,13,FALSE)),"")</f>
        <v>17222895000</v>
      </c>
      <c r="Q804">
        <f>IFERROR(IF(VLOOKUP($B804,Показатели!$E:$W,14,FALSE)=0,"",VLOOKUP($B804,Показатели!$E:$W,14,FALSE)),"")</f>
        <v>12394329000</v>
      </c>
      <c r="R804">
        <f>IFERROR(IF(VLOOKUP($B804,Показатели!$E:$W,15,FALSE)=0,"",VLOOKUP($B804,Показатели!$E:$W,15,FALSE)),"")</f>
        <v>1165389000</v>
      </c>
      <c r="S804">
        <f>IFERROR(IF(VLOOKUP($B804,Показатели!$E:$W,16,FALSE)=0,"",VLOOKUP($B804,Показатели!$E:$W,16,FALSE)),"")</f>
        <v>17574284000</v>
      </c>
      <c r="T804">
        <f>IFERROR(IF(VLOOKUP($B804,Показатели!$E:$W,17,FALSE)=0,"",VLOOKUP($B804,Показатели!$E:$W,17,FALSE)),"")</f>
        <v>-516871000</v>
      </c>
      <c r="U804" t="str">
        <f>IFERROR(IF(VLOOKUP($B804,Показатели!$E:$W,18,FALSE)=0,"",VLOOKUP($B804,Показатели!$E:$W,18,FALSE)),"")</f>
        <v/>
      </c>
      <c r="V804" t="str">
        <f>IFERROR(IF(VLOOKUP($B804,Показатели!$E:$W,19,FALSE)=0,"",VLOOKUP($B804,Показатели!$E:$W,19,FALSE)),"")</f>
        <v/>
      </c>
    </row>
    <row r="805" spans="1:22" x14ac:dyDescent="0.2">
      <c r="A805" s="7" t="s">
        <v>2279</v>
      </c>
      <c r="B805" t="str">
        <f t="shared" si="12"/>
        <v>HEAD IV кв. 2022</v>
      </c>
      <c r="C805">
        <v>2022</v>
      </c>
      <c r="D805">
        <f>SUMIFS(Дивиденды!$C:$C,Дивиденды!$A:$A,A805,Дивиденды!$I:$I,C805)</f>
        <v>0</v>
      </c>
      <c r="E805" t="str">
        <f>IFERROR(IF(VLOOKUP($B805,Показатели!$E:$W,2,FALSE)=0,"",VLOOKUP($B805,Показатели!$E:$W,2,FALSE)),"")</f>
        <v/>
      </c>
      <c r="F805" t="str">
        <f>IFERROR(IF(VLOOKUP($B805,Показатели!$E:$W,3,FALSE)=0,"",VLOOKUP($B805,Показатели!$E:$W,3,FALSE)),"")</f>
        <v/>
      </c>
      <c r="G805" t="str">
        <f>IFERROR(IF(VLOOKUP($B805,Показатели!$E:$W,4,FALSE)=0,"",VLOOKUP($B805,Показатели!$E:$W,4,FALSE)),"")</f>
        <v/>
      </c>
      <c r="H805" t="str">
        <f>IFERROR(IF(VLOOKUP($B805,Показатели!$E:$W,5,FALSE)=0,"",VLOOKUP($B805,Показатели!$E:$W,5,FALSE)),"")</f>
        <v/>
      </c>
      <c r="I805" t="str">
        <f>IFERROR(IF(VLOOKUP($B805,Показатели!$E:$W,6,FALSE)=0,"",VLOOKUP($B805,Показатели!$E:$W,6,FALSE)),"")</f>
        <v/>
      </c>
      <c r="J805" t="str">
        <f>IFERROR(IF(VLOOKUP($B805,Показатели!$E:$W,7,FALSE)=0,"",VLOOKUP($B805,Показатели!$E:$W,7,FALSE)),"")</f>
        <v/>
      </c>
      <c r="K805" t="str">
        <f>IFERROR(IF(VLOOKUP($B805,Показатели!$E:$W,8,FALSE)=0,"",VLOOKUP($B805,Показатели!$E:$W,8,FALSE)),"")</f>
        <v/>
      </c>
      <c r="L805" t="str">
        <f>IFERROR(IF(VLOOKUP($B805,Показатели!$E:$W,9,FALSE)=0,"",VLOOKUP($B805,Показатели!$E:$W,9,FALSE)),"")</f>
        <v/>
      </c>
      <c r="M805" t="str">
        <f>IFERROR(IF(VLOOKUP($B805,Показатели!$E:$W,10,FALSE)=0,"",VLOOKUP($B805,Показатели!$E:$W,10,FALSE)),"")</f>
        <v/>
      </c>
      <c r="N805" t="str">
        <f>IFERROR(IF(VLOOKUP($B805,Показатели!$E:$W,11,FALSE)=0,"",VLOOKUP($B805,Показатели!$E:$W,11,FALSE)),"")</f>
        <v/>
      </c>
      <c r="O805" t="str">
        <f>IFERROR(IF(VLOOKUP($B805,Показатели!$E:$W,12,FALSE)=0,"",VLOOKUP($B805,Показатели!$E:$W,12,FALSE)),"")</f>
        <v/>
      </c>
      <c r="P805" t="str">
        <f>IFERROR(IF(VLOOKUP($B805,Показатели!$E:$W,13,FALSE)=0,"",VLOOKUP($B805,Показатели!$E:$W,13,FALSE)),"")</f>
        <v/>
      </c>
      <c r="Q805" t="str">
        <f>IFERROR(IF(VLOOKUP($B805,Показатели!$E:$W,14,FALSE)=0,"",VLOOKUP($B805,Показатели!$E:$W,14,FALSE)),"")</f>
        <v/>
      </c>
      <c r="R805" t="str">
        <f>IFERROR(IF(VLOOKUP($B805,Показатели!$E:$W,15,FALSE)=0,"",VLOOKUP($B805,Показатели!$E:$W,15,FALSE)),"")</f>
        <v/>
      </c>
      <c r="S805" t="str">
        <f>IFERROR(IF(VLOOKUP($B805,Показатели!$E:$W,16,FALSE)=0,"",VLOOKUP($B805,Показатели!$E:$W,16,FALSE)),"")</f>
        <v/>
      </c>
      <c r="T805" t="str">
        <f>IFERROR(IF(VLOOKUP($B805,Показатели!$E:$W,17,FALSE)=0,"",VLOOKUP($B805,Показатели!$E:$W,17,FALSE)),"")</f>
        <v/>
      </c>
      <c r="U805" t="str">
        <f>IFERROR(IF(VLOOKUP($B805,Показатели!$E:$W,18,FALSE)=0,"",VLOOKUP($B805,Показатели!$E:$W,18,FALSE)),"")</f>
        <v/>
      </c>
      <c r="V805" t="str">
        <f>IFERROR(IF(VLOOKUP($B805,Показатели!$E:$W,19,FALSE)=0,"",VLOOKUP($B805,Показатели!$E:$W,19,FALSE)),"")</f>
        <v/>
      </c>
    </row>
    <row r="806" spans="1:22" x14ac:dyDescent="0.2">
      <c r="A806" s="7" t="s">
        <v>2279</v>
      </c>
      <c r="B806" t="str">
        <f t="shared" si="12"/>
        <v>HEAD IV кв. 2021</v>
      </c>
      <c r="C806">
        <v>2021</v>
      </c>
      <c r="D806">
        <f>SUMIFS(Дивиденды!$C:$C,Дивиденды!$A:$A,A806,Дивиденды!$I:$I,C806)</f>
        <v>0</v>
      </c>
      <c r="E806" t="str">
        <f>IFERROR(IF(VLOOKUP($B806,Показатели!$E:$W,2,FALSE)=0,"",VLOOKUP($B806,Показатели!$E:$W,2,FALSE)),"")</f>
        <v/>
      </c>
      <c r="F806" t="str">
        <f>IFERROR(IF(VLOOKUP($B806,Показатели!$E:$W,3,FALSE)=0,"",VLOOKUP($B806,Показатели!$E:$W,3,FALSE)),"")</f>
        <v/>
      </c>
      <c r="G806" t="str">
        <f>IFERROR(IF(VLOOKUP($B806,Показатели!$E:$W,4,FALSE)=0,"",VLOOKUP($B806,Показатели!$E:$W,4,FALSE)),"")</f>
        <v/>
      </c>
      <c r="H806" t="str">
        <f>IFERROR(IF(VLOOKUP($B806,Показатели!$E:$W,5,FALSE)=0,"",VLOOKUP($B806,Показатели!$E:$W,5,FALSE)),"")</f>
        <v/>
      </c>
      <c r="I806" t="str">
        <f>IFERROR(IF(VLOOKUP($B806,Показатели!$E:$W,6,FALSE)=0,"",VLOOKUP($B806,Показатели!$E:$W,6,FALSE)),"")</f>
        <v/>
      </c>
      <c r="J806" t="str">
        <f>IFERROR(IF(VLOOKUP($B806,Показатели!$E:$W,7,FALSE)=0,"",VLOOKUP($B806,Показатели!$E:$W,7,FALSE)),"")</f>
        <v/>
      </c>
      <c r="K806" t="str">
        <f>IFERROR(IF(VLOOKUP($B806,Показатели!$E:$W,8,FALSE)=0,"",VLOOKUP($B806,Показатели!$E:$W,8,FALSE)),"")</f>
        <v/>
      </c>
      <c r="L806" t="str">
        <f>IFERROR(IF(VLOOKUP($B806,Показатели!$E:$W,9,FALSE)=0,"",VLOOKUP($B806,Показатели!$E:$W,9,FALSE)),"")</f>
        <v/>
      </c>
      <c r="M806" t="str">
        <f>IFERROR(IF(VLOOKUP($B806,Показатели!$E:$W,10,FALSE)=0,"",VLOOKUP($B806,Показатели!$E:$W,10,FALSE)),"")</f>
        <v/>
      </c>
      <c r="N806" t="str">
        <f>IFERROR(IF(VLOOKUP($B806,Показатели!$E:$W,11,FALSE)=0,"",VLOOKUP($B806,Показатели!$E:$W,11,FALSE)),"")</f>
        <v/>
      </c>
      <c r="O806" t="str">
        <f>IFERROR(IF(VLOOKUP($B806,Показатели!$E:$W,12,FALSE)=0,"",VLOOKUP($B806,Показатели!$E:$W,12,FALSE)),"")</f>
        <v/>
      </c>
      <c r="P806" t="str">
        <f>IFERROR(IF(VLOOKUP($B806,Показатели!$E:$W,13,FALSE)=0,"",VLOOKUP($B806,Показатели!$E:$W,13,FALSE)),"")</f>
        <v/>
      </c>
      <c r="Q806" t="str">
        <f>IFERROR(IF(VLOOKUP($B806,Показатели!$E:$W,14,FALSE)=0,"",VLOOKUP($B806,Показатели!$E:$W,14,FALSE)),"")</f>
        <v/>
      </c>
      <c r="R806" t="str">
        <f>IFERROR(IF(VLOOKUP($B806,Показатели!$E:$W,15,FALSE)=0,"",VLOOKUP($B806,Показатели!$E:$W,15,FALSE)),"")</f>
        <v/>
      </c>
      <c r="S806" t="str">
        <f>IFERROR(IF(VLOOKUP($B806,Показатели!$E:$W,16,FALSE)=0,"",VLOOKUP($B806,Показатели!$E:$W,16,FALSE)),"")</f>
        <v/>
      </c>
      <c r="T806" t="str">
        <f>IFERROR(IF(VLOOKUP($B806,Показатели!$E:$W,17,FALSE)=0,"",VLOOKUP($B806,Показатели!$E:$W,17,FALSE)),"")</f>
        <v/>
      </c>
      <c r="U806" t="str">
        <f>IFERROR(IF(VLOOKUP($B806,Показатели!$E:$W,18,FALSE)=0,"",VLOOKUP($B806,Показатели!$E:$W,18,FALSE)),"")</f>
        <v/>
      </c>
      <c r="V806" t="str">
        <f>IFERROR(IF(VLOOKUP($B806,Показатели!$E:$W,19,FALSE)=0,"",VLOOKUP($B806,Показатели!$E:$W,19,FALSE)),"")</f>
        <v/>
      </c>
    </row>
    <row r="807" spans="1:22" x14ac:dyDescent="0.2">
      <c r="A807" s="7" t="s">
        <v>2279</v>
      </c>
      <c r="B807" t="str">
        <f t="shared" si="12"/>
        <v>HEAD IV кв. 2020</v>
      </c>
      <c r="C807">
        <v>2020</v>
      </c>
      <c r="D807">
        <f>SUMIFS(Дивиденды!$C:$C,Дивиденды!$A:$A,A807,Дивиденды!$I:$I,C807)</f>
        <v>0</v>
      </c>
      <c r="E807" t="str">
        <f>IFERROR(IF(VLOOKUP($B807,Показатели!$E:$W,2,FALSE)=0,"",VLOOKUP($B807,Показатели!$E:$W,2,FALSE)),"")</f>
        <v/>
      </c>
      <c r="F807" t="str">
        <f>IFERROR(IF(VLOOKUP($B807,Показатели!$E:$W,3,FALSE)=0,"",VLOOKUP($B807,Показатели!$E:$W,3,FALSE)),"")</f>
        <v/>
      </c>
      <c r="G807" t="str">
        <f>IFERROR(IF(VLOOKUP($B807,Показатели!$E:$W,4,FALSE)=0,"",VLOOKUP($B807,Показатели!$E:$W,4,FALSE)),"")</f>
        <v/>
      </c>
      <c r="H807" t="str">
        <f>IFERROR(IF(VLOOKUP($B807,Показатели!$E:$W,5,FALSE)=0,"",VLOOKUP($B807,Показатели!$E:$W,5,FALSE)),"")</f>
        <v/>
      </c>
      <c r="I807" t="str">
        <f>IFERROR(IF(VLOOKUP($B807,Показатели!$E:$W,6,FALSE)=0,"",VLOOKUP($B807,Показатели!$E:$W,6,FALSE)),"")</f>
        <v/>
      </c>
      <c r="J807" t="str">
        <f>IFERROR(IF(VLOOKUP($B807,Показатели!$E:$W,7,FALSE)=0,"",VLOOKUP($B807,Показатели!$E:$W,7,FALSE)),"")</f>
        <v/>
      </c>
      <c r="K807" t="str">
        <f>IFERROR(IF(VLOOKUP($B807,Показатели!$E:$W,8,FALSE)=0,"",VLOOKUP($B807,Показатели!$E:$W,8,FALSE)),"")</f>
        <v/>
      </c>
      <c r="L807" t="str">
        <f>IFERROR(IF(VLOOKUP($B807,Показатели!$E:$W,9,FALSE)=0,"",VLOOKUP($B807,Показатели!$E:$W,9,FALSE)),"")</f>
        <v/>
      </c>
      <c r="M807" t="str">
        <f>IFERROR(IF(VLOOKUP($B807,Показатели!$E:$W,10,FALSE)=0,"",VLOOKUP($B807,Показатели!$E:$W,10,FALSE)),"")</f>
        <v/>
      </c>
      <c r="N807" t="str">
        <f>IFERROR(IF(VLOOKUP($B807,Показатели!$E:$W,11,FALSE)=0,"",VLOOKUP($B807,Показатели!$E:$W,11,FALSE)),"")</f>
        <v/>
      </c>
      <c r="O807" t="str">
        <f>IFERROR(IF(VLOOKUP($B807,Показатели!$E:$W,12,FALSE)=0,"",VLOOKUP($B807,Показатели!$E:$W,12,FALSE)),"")</f>
        <v/>
      </c>
      <c r="P807" t="str">
        <f>IFERROR(IF(VLOOKUP($B807,Показатели!$E:$W,13,FALSE)=0,"",VLOOKUP($B807,Показатели!$E:$W,13,FALSE)),"")</f>
        <v/>
      </c>
      <c r="Q807" t="str">
        <f>IFERROR(IF(VLOOKUP($B807,Показатели!$E:$W,14,FALSE)=0,"",VLOOKUP($B807,Показатели!$E:$W,14,FALSE)),"")</f>
        <v/>
      </c>
      <c r="R807" t="str">
        <f>IFERROR(IF(VLOOKUP($B807,Показатели!$E:$W,15,FALSE)=0,"",VLOOKUP($B807,Показатели!$E:$W,15,FALSE)),"")</f>
        <v/>
      </c>
      <c r="S807" t="str">
        <f>IFERROR(IF(VLOOKUP($B807,Показатели!$E:$W,16,FALSE)=0,"",VLOOKUP($B807,Показатели!$E:$W,16,FALSE)),"")</f>
        <v/>
      </c>
      <c r="T807" t="str">
        <f>IFERROR(IF(VLOOKUP($B807,Показатели!$E:$W,17,FALSE)=0,"",VLOOKUP($B807,Показатели!$E:$W,17,FALSE)),"")</f>
        <v/>
      </c>
      <c r="U807" t="str">
        <f>IFERROR(IF(VLOOKUP($B807,Показатели!$E:$W,18,FALSE)=0,"",VLOOKUP($B807,Показатели!$E:$W,18,FALSE)),"")</f>
        <v/>
      </c>
      <c r="V807" t="str">
        <f>IFERROR(IF(VLOOKUP($B807,Показатели!$E:$W,19,FALSE)=0,"",VLOOKUP($B807,Показатели!$E:$W,19,FALSE)),"")</f>
        <v/>
      </c>
    </row>
    <row r="808" spans="1:22" x14ac:dyDescent="0.2">
      <c r="A808" s="7" t="s">
        <v>2279</v>
      </c>
      <c r="B808" t="str">
        <f t="shared" si="12"/>
        <v>HEAD IV кв. 2019</v>
      </c>
      <c r="C808">
        <v>2019</v>
      </c>
      <c r="D808">
        <f>SUMIFS(Дивиденды!$C:$C,Дивиденды!$A:$A,A808,Дивиденды!$I:$I,C808)</f>
        <v>0</v>
      </c>
      <c r="E808" t="str">
        <f>IFERROR(IF(VLOOKUP($B808,Показатели!$E:$W,2,FALSE)=0,"",VLOOKUP($B808,Показатели!$E:$W,2,FALSE)),"")</f>
        <v/>
      </c>
      <c r="F808" t="str">
        <f>IFERROR(IF(VLOOKUP($B808,Показатели!$E:$W,3,FALSE)=0,"",VLOOKUP($B808,Показатели!$E:$W,3,FALSE)),"")</f>
        <v/>
      </c>
      <c r="G808" t="str">
        <f>IFERROR(IF(VLOOKUP($B808,Показатели!$E:$W,4,FALSE)=0,"",VLOOKUP($B808,Показатели!$E:$W,4,FALSE)),"")</f>
        <v/>
      </c>
      <c r="H808" t="str">
        <f>IFERROR(IF(VLOOKUP($B808,Показатели!$E:$W,5,FALSE)=0,"",VLOOKUP($B808,Показатели!$E:$W,5,FALSE)),"")</f>
        <v/>
      </c>
      <c r="I808" t="str">
        <f>IFERROR(IF(VLOOKUP($B808,Показатели!$E:$W,6,FALSE)=0,"",VLOOKUP($B808,Показатели!$E:$W,6,FALSE)),"")</f>
        <v/>
      </c>
      <c r="J808" t="str">
        <f>IFERROR(IF(VLOOKUP($B808,Показатели!$E:$W,7,FALSE)=0,"",VLOOKUP($B808,Показатели!$E:$W,7,FALSE)),"")</f>
        <v/>
      </c>
      <c r="K808" t="str">
        <f>IFERROR(IF(VLOOKUP($B808,Показатели!$E:$W,8,FALSE)=0,"",VLOOKUP($B808,Показатели!$E:$W,8,FALSE)),"")</f>
        <v/>
      </c>
      <c r="L808" t="str">
        <f>IFERROR(IF(VLOOKUP($B808,Показатели!$E:$W,9,FALSE)=0,"",VLOOKUP($B808,Показатели!$E:$W,9,FALSE)),"")</f>
        <v/>
      </c>
      <c r="M808" t="str">
        <f>IFERROR(IF(VLOOKUP($B808,Показатели!$E:$W,10,FALSE)=0,"",VLOOKUP($B808,Показатели!$E:$W,10,FALSE)),"")</f>
        <v/>
      </c>
      <c r="N808" t="str">
        <f>IFERROR(IF(VLOOKUP($B808,Показатели!$E:$W,11,FALSE)=0,"",VLOOKUP($B808,Показатели!$E:$W,11,FALSE)),"")</f>
        <v/>
      </c>
      <c r="O808" t="str">
        <f>IFERROR(IF(VLOOKUP($B808,Показатели!$E:$W,12,FALSE)=0,"",VLOOKUP($B808,Показатели!$E:$W,12,FALSE)),"")</f>
        <v/>
      </c>
      <c r="P808" t="str">
        <f>IFERROR(IF(VLOOKUP($B808,Показатели!$E:$W,13,FALSE)=0,"",VLOOKUP($B808,Показатели!$E:$W,13,FALSE)),"")</f>
        <v/>
      </c>
      <c r="Q808" t="str">
        <f>IFERROR(IF(VLOOKUP($B808,Показатели!$E:$W,14,FALSE)=0,"",VLOOKUP($B808,Показатели!$E:$W,14,FALSE)),"")</f>
        <v/>
      </c>
      <c r="R808" t="str">
        <f>IFERROR(IF(VLOOKUP($B808,Показатели!$E:$W,15,FALSE)=0,"",VLOOKUP($B808,Показатели!$E:$W,15,FALSE)),"")</f>
        <v/>
      </c>
      <c r="S808" t="str">
        <f>IFERROR(IF(VLOOKUP($B808,Показатели!$E:$W,16,FALSE)=0,"",VLOOKUP($B808,Показатели!$E:$W,16,FALSE)),"")</f>
        <v/>
      </c>
      <c r="T808" t="str">
        <f>IFERROR(IF(VLOOKUP($B808,Показатели!$E:$W,17,FALSE)=0,"",VLOOKUP($B808,Показатели!$E:$W,17,FALSE)),"")</f>
        <v/>
      </c>
      <c r="U808" t="str">
        <f>IFERROR(IF(VLOOKUP($B808,Показатели!$E:$W,18,FALSE)=0,"",VLOOKUP($B808,Показатели!$E:$W,18,FALSE)),"")</f>
        <v/>
      </c>
      <c r="V808" t="str">
        <f>IFERROR(IF(VLOOKUP($B808,Показатели!$E:$W,19,FALSE)=0,"",VLOOKUP($B808,Показатели!$E:$W,19,FALSE)),"")</f>
        <v/>
      </c>
    </row>
    <row r="809" spans="1:22" x14ac:dyDescent="0.2">
      <c r="A809" s="7" t="s">
        <v>2279</v>
      </c>
      <c r="B809" t="str">
        <f t="shared" si="12"/>
        <v>HEAD IV кв. 2018</v>
      </c>
      <c r="C809">
        <v>2018</v>
      </c>
      <c r="D809">
        <f>SUMIFS(Дивиденды!$C:$C,Дивиденды!$A:$A,A809,Дивиденды!$I:$I,C809)</f>
        <v>0</v>
      </c>
      <c r="E809" t="str">
        <f>IFERROR(IF(VLOOKUP($B809,Показатели!$E:$W,2,FALSE)=0,"",VLOOKUP($B809,Показатели!$E:$W,2,FALSE)),"")</f>
        <v/>
      </c>
      <c r="F809" t="str">
        <f>IFERROR(IF(VLOOKUP($B809,Показатели!$E:$W,3,FALSE)=0,"",VLOOKUP($B809,Показатели!$E:$W,3,FALSE)),"")</f>
        <v/>
      </c>
      <c r="G809" t="str">
        <f>IFERROR(IF(VLOOKUP($B809,Показатели!$E:$W,4,FALSE)=0,"",VLOOKUP($B809,Показатели!$E:$W,4,FALSE)),"")</f>
        <v/>
      </c>
      <c r="H809" t="str">
        <f>IFERROR(IF(VLOOKUP($B809,Показатели!$E:$W,5,FALSE)=0,"",VLOOKUP($B809,Показатели!$E:$W,5,FALSE)),"")</f>
        <v/>
      </c>
      <c r="I809" t="str">
        <f>IFERROR(IF(VLOOKUP($B809,Показатели!$E:$W,6,FALSE)=0,"",VLOOKUP($B809,Показатели!$E:$W,6,FALSE)),"")</f>
        <v/>
      </c>
      <c r="J809" t="str">
        <f>IFERROR(IF(VLOOKUP($B809,Показатели!$E:$W,7,FALSE)=0,"",VLOOKUP($B809,Показатели!$E:$W,7,FALSE)),"")</f>
        <v/>
      </c>
      <c r="K809" t="str">
        <f>IFERROR(IF(VLOOKUP($B809,Показатели!$E:$W,8,FALSE)=0,"",VLOOKUP($B809,Показатели!$E:$W,8,FALSE)),"")</f>
        <v/>
      </c>
      <c r="L809" t="str">
        <f>IFERROR(IF(VLOOKUP($B809,Показатели!$E:$W,9,FALSE)=0,"",VLOOKUP($B809,Показатели!$E:$W,9,FALSE)),"")</f>
        <v/>
      </c>
      <c r="M809" t="str">
        <f>IFERROR(IF(VLOOKUP($B809,Показатели!$E:$W,10,FALSE)=0,"",VLOOKUP($B809,Показатели!$E:$W,10,FALSE)),"")</f>
        <v/>
      </c>
      <c r="N809" t="str">
        <f>IFERROR(IF(VLOOKUP($B809,Показатели!$E:$W,11,FALSE)=0,"",VLOOKUP($B809,Показатели!$E:$W,11,FALSE)),"")</f>
        <v/>
      </c>
      <c r="O809" t="str">
        <f>IFERROR(IF(VLOOKUP($B809,Показатели!$E:$W,12,FALSE)=0,"",VLOOKUP($B809,Показатели!$E:$W,12,FALSE)),"")</f>
        <v/>
      </c>
      <c r="P809" t="str">
        <f>IFERROR(IF(VLOOKUP($B809,Показатели!$E:$W,13,FALSE)=0,"",VLOOKUP($B809,Показатели!$E:$W,13,FALSE)),"")</f>
        <v/>
      </c>
      <c r="Q809" t="str">
        <f>IFERROR(IF(VLOOKUP($B809,Показатели!$E:$W,14,FALSE)=0,"",VLOOKUP($B809,Показатели!$E:$W,14,FALSE)),"")</f>
        <v/>
      </c>
      <c r="R809" t="str">
        <f>IFERROR(IF(VLOOKUP($B809,Показатели!$E:$W,15,FALSE)=0,"",VLOOKUP($B809,Показатели!$E:$W,15,FALSE)),"")</f>
        <v/>
      </c>
      <c r="S809" t="str">
        <f>IFERROR(IF(VLOOKUP($B809,Показатели!$E:$W,16,FALSE)=0,"",VLOOKUP($B809,Показатели!$E:$W,16,FALSE)),"")</f>
        <v/>
      </c>
      <c r="T809" t="str">
        <f>IFERROR(IF(VLOOKUP($B809,Показатели!$E:$W,17,FALSE)=0,"",VLOOKUP($B809,Показатели!$E:$W,17,FALSE)),"")</f>
        <v/>
      </c>
      <c r="U809" t="str">
        <f>IFERROR(IF(VLOOKUP($B809,Показатели!$E:$W,18,FALSE)=0,"",VLOOKUP($B809,Показатели!$E:$W,18,FALSE)),"")</f>
        <v/>
      </c>
      <c r="V809" t="str">
        <f>IFERROR(IF(VLOOKUP($B809,Показатели!$E:$W,19,FALSE)=0,"",VLOOKUP($B809,Показатели!$E:$W,19,FALSE)),"")</f>
        <v/>
      </c>
    </row>
    <row r="810" spans="1:22" x14ac:dyDescent="0.2">
      <c r="A810" s="7" t="s">
        <v>2279</v>
      </c>
      <c r="B810" t="str">
        <f t="shared" si="12"/>
        <v>HEAD IV кв. 2017</v>
      </c>
      <c r="C810">
        <v>2017</v>
      </c>
      <c r="D810">
        <f>SUMIFS(Дивиденды!$C:$C,Дивиденды!$A:$A,A810,Дивиденды!$I:$I,C810)</f>
        <v>0</v>
      </c>
      <c r="E810" t="str">
        <f>IFERROR(IF(VLOOKUP($B810,Показатели!$E:$W,2,FALSE)=0,"",VLOOKUP($B810,Показатели!$E:$W,2,FALSE)),"")</f>
        <v/>
      </c>
      <c r="F810" t="str">
        <f>IFERROR(IF(VLOOKUP($B810,Показатели!$E:$W,3,FALSE)=0,"",VLOOKUP($B810,Показатели!$E:$W,3,FALSE)),"")</f>
        <v/>
      </c>
      <c r="G810" t="str">
        <f>IFERROR(IF(VLOOKUP($B810,Показатели!$E:$W,4,FALSE)=0,"",VLOOKUP($B810,Показатели!$E:$W,4,FALSE)),"")</f>
        <v/>
      </c>
      <c r="H810" t="str">
        <f>IFERROR(IF(VLOOKUP($B810,Показатели!$E:$W,5,FALSE)=0,"",VLOOKUP($B810,Показатели!$E:$W,5,FALSE)),"")</f>
        <v/>
      </c>
      <c r="I810" t="str">
        <f>IFERROR(IF(VLOOKUP($B810,Показатели!$E:$W,6,FALSE)=0,"",VLOOKUP($B810,Показатели!$E:$W,6,FALSE)),"")</f>
        <v/>
      </c>
      <c r="J810" t="str">
        <f>IFERROR(IF(VLOOKUP($B810,Показатели!$E:$W,7,FALSE)=0,"",VLOOKUP($B810,Показатели!$E:$W,7,FALSE)),"")</f>
        <v/>
      </c>
      <c r="K810" t="str">
        <f>IFERROR(IF(VLOOKUP($B810,Показатели!$E:$W,8,FALSE)=0,"",VLOOKUP($B810,Показатели!$E:$W,8,FALSE)),"")</f>
        <v/>
      </c>
      <c r="L810" t="str">
        <f>IFERROR(IF(VLOOKUP($B810,Показатели!$E:$W,9,FALSE)=0,"",VLOOKUP($B810,Показатели!$E:$W,9,FALSE)),"")</f>
        <v/>
      </c>
      <c r="M810" t="str">
        <f>IFERROR(IF(VLOOKUP($B810,Показатели!$E:$W,10,FALSE)=0,"",VLOOKUP($B810,Показатели!$E:$W,10,FALSE)),"")</f>
        <v/>
      </c>
      <c r="N810" t="str">
        <f>IFERROR(IF(VLOOKUP($B810,Показатели!$E:$W,11,FALSE)=0,"",VLOOKUP($B810,Показатели!$E:$W,11,FALSE)),"")</f>
        <v/>
      </c>
      <c r="O810" t="str">
        <f>IFERROR(IF(VLOOKUP($B810,Показатели!$E:$W,12,FALSE)=0,"",VLOOKUP($B810,Показатели!$E:$W,12,FALSE)),"")</f>
        <v/>
      </c>
      <c r="P810" t="str">
        <f>IFERROR(IF(VLOOKUP($B810,Показатели!$E:$W,13,FALSE)=0,"",VLOOKUP($B810,Показатели!$E:$W,13,FALSE)),"")</f>
        <v/>
      </c>
      <c r="Q810" t="str">
        <f>IFERROR(IF(VLOOKUP($B810,Показатели!$E:$W,14,FALSE)=0,"",VLOOKUP($B810,Показатели!$E:$W,14,FALSE)),"")</f>
        <v/>
      </c>
      <c r="R810" t="str">
        <f>IFERROR(IF(VLOOKUP($B810,Показатели!$E:$W,15,FALSE)=0,"",VLOOKUP($B810,Показатели!$E:$W,15,FALSE)),"")</f>
        <v/>
      </c>
      <c r="S810" t="str">
        <f>IFERROR(IF(VLOOKUP($B810,Показатели!$E:$W,16,FALSE)=0,"",VLOOKUP($B810,Показатели!$E:$W,16,FALSE)),"")</f>
        <v/>
      </c>
      <c r="T810" t="str">
        <f>IFERROR(IF(VLOOKUP($B810,Показатели!$E:$W,17,FALSE)=0,"",VLOOKUP($B810,Показатели!$E:$W,17,FALSE)),"")</f>
        <v/>
      </c>
      <c r="U810" t="str">
        <f>IFERROR(IF(VLOOKUP($B810,Показатели!$E:$W,18,FALSE)=0,"",VLOOKUP($B810,Показатели!$E:$W,18,FALSE)),"")</f>
        <v/>
      </c>
      <c r="V810" t="str">
        <f>IFERROR(IF(VLOOKUP($B810,Показатели!$E:$W,19,FALSE)=0,"",VLOOKUP($B810,Показатели!$E:$W,19,FALSE)),"")</f>
        <v/>
      </c>
    </row>
    <row r="811" spans="1:22" x14ac:dyDescent="0.2">
      <c r="A811" s="7" t="s">
        <v>2279</v>
      </c>
      <c r="B811" t="str">
        <f t="shared" si="12"/>
        <v>HEAD IV кв. 2016</v>
      </c>
      <c r="C811">
        <v>2016</v>
      </c>
      <c r="D811">
        <f>SUMIFS(Дивиденды!$C:$C,Дивиденды!$A:$A,A811,Дивиденды!$I:$I,C811)</f>
        <v>0</v>
      </c>
      <c r="E811" t="str">
        <f>IFERROR(IF(VLOOKUP($B811,Показатели!$E:$W,2,FALSE)=0,"",VLOOKUP($B811,Показатели!$E:$W,2,FALSE)),"")</f>
        <v/>
      </c>
      <c r="F811" t="str">
        <f>IFERROR(IF(VLOOKUP($B811,Показатели!$E:$W,3,FALSE)=0,"",VLOOKUP($B811,Показатели!$E:$W,3,FALSE)),"")</f>
        <v/>
      </c>
      <c r="G811" t="str">
        <f>IFERROR(IF(VLOOKUP($B811,Показатели!$E:$W,4,FALSE)=0,"",VLOOKUP($B811,Показатели!$E:$W,4,FALSE)),"")</f>
        <v/>
      </c>
      <c r="H811" t="str">
        <f>IFERROR(IF(VLOOKUP($B811,Показатели!$E:$W,5,FALSE)=0,"",VLOOKUP($B811,Показатели!$E:$W,5,FALSE)),"")</f>
        <v/>
      </c>
      <c r="I811" t="str">
        <f>IFERROR(IF(VLOOKUP($B811,Показатели!$E:$W,6,FALSE)=0,"",VLOOKUP($B811,Показатели!$E:$W,6,FALSE)),"")</f>
        <v/>
      </c>
      <c r="J811" t="str">
        <f>IFERROR(IF(VLOOKUP($B811,Показатели!$E:$W,7,FALSE)=0,"",VLOOKUP($B811,Показатели!$E:$W,7,FALSE)),"")</f>
        <v/>
      </c>
      <c r="K811" t="str">
        <f>IFERROR(IF(VLOOKUP($B811,Показатели!$E:$W,8,FALSE)=0,"",VLOOKUP($B811,Показатели!$E:$W,8,FALSE)),"")</f>
        <v/>
      </c>
      <c r="L811" t="str">
        <f>IFERROR(IF(VLOOKUP($B811,Показатели!$E:$W,9,FALSE)=0,"",VLOOKUP($B811,Показатели!$E:$W,9,FALSE)),"")</f>
        <v/>
      </c>
      <c r="M811" t="str">
        <f>IFERROR(IF(VLOOKUP($B811,Показатели!$E:$W,10,FALSE)=0,"",VLOOKUP($B811,Показатели!$E:$W,10,FALSE)),"")</f>
        <v/>
      </c>
      <c r="N811" t="str">
        <f>IFERROR(IF(VLOOKUP($B811,Показатели!$E:$W,11,FALSE)=0,"",VLOOKUP($B811,Показатели!$E:$W,11,FALSE)),"")</f>
        <v/>
      </c>
      <c r="O811" t="str">
        <f>IFERROR(IF(VLOOKUP($B811,Показатели!$E:$W,12,FALSE)=0,"",VLOOKUP($B811,Показатели!$E:$W,12,FALSE)),"")</f>
        <v/>
      </c>
      <c r="P811" t="str">
        <f>IFERROR(IF(VLOOKUP($B811,Показатели!$E:$W,13,FALSE)=0,"",VLOOKUP($B811,Показатели!$E:$W,13,FALSE)),"")</f>
        <v/>
      </c>
      <c r="Q811" t="str">
        <f>IFERROR(IF(VLOOKUP($B811,Показатели!$E:$W,14,FALSE)=0,"",VLOOKUP($B811,Показатели!$E:$W,14,FALSE)),"")</f>
        <v/>
      </c>
      <c r="R811" t="str">
        <f>IFERROR(IF(VLOOKUP($B811,Показатели!$E:$W,15,FALSE)=0,"",VLOOKUP($B811,Показатели!$E:$W,15,FALSE)),"")</f>
        <v/>
      </c>
      <c r="S811" t="str">
        <f>IFERROR(IF(VLOOKUP($B811,Показатели!$E:$W,16,FALSE)=0,"",VLOOKUP($B811,Показатели!$E:$W,16,FALSE)),"")</f>
        <v/>
      </c>
      <c r="T811" t="str">
        <f>IFERROR(IF(VLOOKUP($B811,Показатели!$E:$W,17,FALSE)=0,"",VLOOKUP($B811,Показатели!$E:$W,17,FALSE)),"")</f>
        <v/>
      </c>
      <c r="U811" t="str">
        <f>IFERROR(IF(VLOOKUP($B811,Показатели!$E:$W,18,FALSE)=0,"",VLOOKUP($B811,Показатели!$E:$W,18,FALSE)),"")</f>
        <v/>
      </c>
      <c r="V811" t="str">
        <f>IFERROR(IF(VLOOKUP($B811,Показатели!$E:$W,19,FALSE)=0,"",VLOOKUP($B811,Показатели!$E:$W,19,FALSE)),"")</f>
        <v/>
      </c>
    </row>
    <row r="812" spans="1:22" x14ac:dyDescent="0.2">
      <c r="A812" s="7" t="s">
        <v>2279</v>
      </c>
      <c r="B812" t="str">
        <f t="shared" si="12"/>
        <v>HEAD IV кв. 2015</v>
      </c>
      <c r="C812">
        <v>2015</v>
      </c>
      <c r="D812">
        <f>SUMIFS(Дивиденды!$C:$C,Дивиденды!$A:$A,A812,Дивиденды!$I:$I,C812)</f>
        <v>0</v>
      </c>
      <c r="E812" t="str">
        <f>IFERROR(IF(VLOOKUP($B812,Показатели!$E:$W,2,FALSE)=0,"",VLOOKUP($B812,Показатели!$E:$W,2,FALSE)),"")</f>
        <v/>
      </c>
      <c r="F812" t="str">
        <f>IFERROR(IF(VLOOKUP($B812,Показатели!$E:$W,3,FALSE)=0,"",VLOOKUP($B812,Показатели!$E:$W,3,FALSE)),"")</f>
        <v/>
      </c>
      <c r="G812" t="str">
        <f>IFERROR(IF(VLOOKUP($B812,Показатели!$E:$W,4,FALSE)=0,"",VLOOKUP($B812,Показатели!$E:$W,4,FALSE)),"")</f>
        <v/>
      </c>
      <c r="H812" t="str">
        <f>IFERROR(IF(VLOOKUP($B812,Показатели!$E:$W,5,FALSE)=0,"",VLOOKUP($B812,Показатели!$E:$W,5,FALSE)),"")</f>
        <v/>
      </c>
      <c r="I812" t="str">
        <f>IFERROR(IF(VLOOKUP($B812,Показатели!$E:$W,6,FALSE)=0,"",VLOOKUP($B812,Показатели!$E:$W,6,FALSE)),"")</f>
        <v/>
      </c>
      <c r="J812" t="str">
        <f>IFERROR(IF(VLOOKUP($B812,Показатели!$E:$W,7,FALSE)=0,"",VLOOKUP($B812,Показатели!$E:$W,7,FALSE)),"")</f>
        <v/>
      </c>
      <c r="K812" t="str">
        <f>IFERROR(IF(VLOOKUP($B812,Показатели!$E:$W,8,FALSE)=0,"",VLOOKUP($B812,Показатели!$E:$W,8,FALSE)),"")</f>
        <v/>
      </c>
      <c r="L812" t="str">
        <f>IFERROR(IF(VLOOKUP($B812,Показатели!$E:$W,9,FALSE)=0,"",VLOOKUP($B812,Показатели!$E:$W,9,FALSE)),"")</f>
        <v/>
      </c>
      <c r="M812" t="str">
        <f>IFERROR(IF(VLOOKUP($B812,Показатели!$E:$W,10,FALSE)=0,"",VLOOKUP($B812,Показатели!$E:$W,10,FALSE)),"")</f>
        <v/>
      </c>
      <c r="N812" t="str">
        <f>IFERROR(IF(VLOOKUP($B812,Показатели!$E:$W,11,FALSE)=0,"",VLOOKUP($B812,Показатели!$E:$W,11,FALSE)),"")</f>
        <v/>
      </c>
      <c r="O812" t="str">
        <f>IFERROR(IF(VLOOKUP($B812,Показатели!$E:$W,12,FALSE)=0,"",VLOOKUP($B812,Показатели!$E:$W,12,FALSE)),"")</f>
        <v/>
      </c>
      <c r="P812" t="str">
        <f>IFERROR(IF(VLOOKUP($B812,Показатели!$E:$W,13,FALSE)=0,"",VLOOKUP($B812,Показатели!$E:$W,13,FALSE)),"")</f>
        <v/>
      </c>
      <c r="Q812" t="str">
        <f>IFERROR(IF(VLOOKUP($B812,Показатели!$E:$W,14,FALSE)=0,"",VLOOKUP($B812,Показатели!$E:$W,14,FALSE)),"")</f>
        <v/>
      </c>
      <c r="R812" t="str">
        <f>IFERROR(IF(VLOOKUP($B812,Показатели!$E:$W,15,FALSE)=0,"",VLOOKUP($B812,Показатели!$E:$W,15,FALSE)),"")</f>
        <v/>
      </c>
      <c r="S812" t="str">
        <f>IFERROR(IF(VLOOKUP($B812,Показатели!$E:$W,16,FALSE)=0,"",VLOOKUP($B812,Показатели!$E:$W,16,FALSE)),"")</f>
        <v/>
      </c>
      <c r="T812" t="str">
        <f>IFERROR(IF(VLOOKUP($B812,Показатели!$E:$W,17,FALSE)=0,"",VLOOKUP($B812,Показатели!$E:$W,17,FALSE)),"")</f>
        <v/>
      </c>
      <c r="U812" t="str">
        <f>IFERROR(IF(VLOOKUP($B812,Показатели!$E:$W,18,FALSE)=0,"",VLOOKUP($B812,Показатели!$E:$W,18,FALSE)),"")</f>
        <v/>
      </c>
      <c r="V812" t="str">
        <f>IFERROR(IF(VLOOKUP($B812,Показатели!$E:$W,19,FALSE)=0,"",VLOOKUP($B812,Показатели!$E:$W,19,FALSE)),"")</f>
        <v/>
      </c>
    </row>
    <row r="813" spans="1:22" x14ac:dyDescent="0.2">
      <c r="A813" s="7" t="s">
        <v>2279</v>
      </c>
      <c r="B813" t="str">
        <f t="shared" si="12"/>
        <v>HEAD IV кв. 2014</v>
      </c>
      <c r="C813">
        <v>2014</v>
      </c>
      <c r="D813">
        <f>SUMIFS(Дивиденды!$C:$C,Дивиденды!$A:$A,A813,Дивиденды!$I:$I,C813)</f>
        <v>0</v>
      </c>
      <c r="E813" t="str">
        <f>IFERROR(IF(VLOOKUP($B813,Показатели!$E:$W,2,FALSE)=0,"",VLOOKUP($B813,Показатели!$E:$W,2,FALSE)),"")</f>
        <v/>
      </c>
      <c r="F813" t="str">
        <f>IFERROR(IF(VLOOKUP($B813,Показатели!$E:$W,3,FALSE)=0,"",VLOOKUP($B813,Показатели!$E:$W,3,FALSE)),"")</f>
        <v/>
      </c>
      <c r="G813" t="str">
        <f>IFERROR(IF(VLOOKUP($B813,Показатели!$E:$W,4,FALSE)=0,"",VLOOKUP($B813,Показатели!$E:$W,4,FALSE)),"")</f>
        <v/>
      </c>
      <c r="H813" t="str">
        <f>IFERROR(IF(VLOOKUP($B813,Показатели!$E:$W,5,FALSE)=0,"",VLOOKUP($B813,Показатели!$E:$W,5,FALSE)),"")</f>
        <v/>
      </c>
      <c r="I813" t="str">
        <f>IFERROR(IF(VLOOKUP($B813,Показатели!$E:$W,6,FALSE)=0,"",VLOOKUP($B813,Показатели!$E:$W,6,FALSE)),"")</f>
        <v/>
      </c>
      <c r="J813" t="str">
        <f>IFERROR(IF(VLOOKUP($B813,Показатели!$E:$W,7,FALSE)=0,"",VLOOKUP($B813,Показатели!$E:$W,7,FALSE)),"")</f>
        <v/>
      </c>
      <c r="K813" t="str">
        <f>IFERROR(IF(VLOOKUP($B813,Показатели!$E:$W,8,FALSE)=0,"",VLOOKUP($B813,Показатели!$E:$W,8,FALSE)),"")</f>
        <v/>
      </c>
      <c r="L813" t="str">
        <f>IFERROR(IF(VLOOKUP($B813,Показатели!$E:$W,9,FALSE)=0,"",VLOOKUP($B813,Показатели!$E:$W,9,FALSE)),"")</f>
        <v/>
      </c>
      <c r="M813" t="str">
        <f>IFERROR(IF(VLOOKUP($B813,Показатели!$E:$W,10,FALSE)=0,"",VLOOKUP($B813,Показатели!$E:$W,10,FALSE)),"")</f>
        <v/>
      </c>
      <c r="N813" t="str">
        <f>IFERROR(IF(VLOOKUP($B813,Показатели!$E:$W,11,FALSE)=0,"",VLOOKUP($B813,Показатели!$E:$W,11,FALSE)),"")</f>
        <v/>
      </c>
      <c r="O813" t="str">
        <f>IFERROR(IF(VLOOKUP($B813,Показатели!$E:$W,12,FALSE)=0,"",VLOOKUP($B813,Показатели!$E:$W,12,FALSE)),"")</f>
        <v/>
      </c>
      <c r="P813" t="str">
        <f>IFERROR(IF(VLOOKUP($B813,Показатели!$E:$W,13,FALSE)=0,"",VLOOKUP($B813,Показатели!$E:$W,13,FALSE)),"")</f>
        <v/>
      </c>
      <c r="Q813" t="str">
        <f>IFERROR(IF(VLOOKUP($B813,Показатели!$E:$W,14,FALSE)=0,"",VLOOKUP($B813,Показатели!$E:$W,14,FALSE)),"")</f>
        <v/>
      </c>
      <c r="R813" t="str">
        <f>IFERROR(IF(VLOOKUP($B813,Показатели!$E:$W,15,FALSE)=0,"",VLOOKUP($B813,Показатели!$E:$W,15,FALSE)),"")</f>
        <v/>
      </c>
      <c r="S813" t="str">
        <f>IFERROR(IF(VLOOKUP($B813,Показатели!$E:$W,16,FALSE)=0,"",VLOOKUP($B813,Показатели!$E:$W,16,FALSE)),"")</f>
        <v/>
      </c>
      <c r="T813" t="str">
        <f>IFERROR(IF(VLOOKUP($B813,Показатели!$E:$W,17,FALSE)=0,"",VLOOKUP($B813,Показатели!$E:$W,17,FALSE)),"")</f>
        <v/>
      </c>
      <c r="U813" t="str">
        <f>IFERROR(IF(VLOOKUP($B813,Показатели!$E:$W,18,FALSE)=0,"",VLOOKUP($B813,Показатели!$E:$W,18,FALSE)),"")</f>
        <v/>
      </c>
      <c r="V813" t="str">
        <f>IFERROR(IF(VLOOKUP($B813,Показатели!$E:$W,19,FALSE)=0,"",VLOOKUP($B813,Показатели!$E:$W,19,FALSE)),"")</f>
        <v/>
      </c>
    </row>
    <row r="814" spans="1:22" x14ac:dyDescent="0.2">
      <c r="A814" s="7" t="s">
        <v>2279</v>
      </c>
      <c r="B814" t="str">
        <f t="shared" si="12"/>
        <v>HEAD IV кв. 2013</v>
      </c>
      <c r="C814">
        <v>2013</v>
      </c>
      <c r="D814">
        <f>SUMIFS(Дивиденды!$C:$C,Дивиденды!$A:$A,A814,Дивиденды!$I:$I,C814)</f>
        <v>0</v>
      </c>
      <c r="E814" t="str">
        <f>IFERROR(IF(VLOOKUP($B814,Показатели!$E:$W,2,FALSE)=0,"",VLOOKUP($B814,Показатели!$E:$W,2,FALSE)),"")</f>
        <v/>
      </c>
      <c r="F814" t="str">
        <f>IFERROR(IF(VLOOKUP($B814,Показатели!$E:$W,3,FALSE)=0,"",VLOOKUP($B814,Показатели!$E:$W,3,FALSE)),"")</f>
        <v/>
      </c>
      <c r="G814" t="str">
        <f>IFERROR(IF(VLOOKUP($B814,Показатели!$E:$W,4,FALSE)=0,"",VLOOKUP($B814,Показатели!$E:$W,4,FALSE)),"")</f>
        <v/>
      </c>
      <c r="H814" t="str">
        <f>IFERROR(IF(VLOOKUP($B814,Показатели!$E:$W,5,FALSE)=0,"",VLOOKUP($B814,Показатели!$E:$W,5,FALSE)),"")</f>
        <v/>
      </c>
      <c r="I814" t="str">
        <f>IFERROR(IF(VLOOKUP($B814,Показатели!$E:$W,6,FALSE)=0,"",VLOOKUP($B814,Показатели!$E:$W,6,FALSE)),"")</f>
        <v/>
      </c>
      <c r="J814" t="str">
        <f>IFERROR(IF(VLOOKUP($B814,Показатели!$E:$W,7,FALSE)=0,"",VLOOKUP($B814,Показатели!$E:$W,7,FALSE)),"")</f>
        <v/>
      </c>
      <c r="K814" t="str">
        <f>IFERROR(IF(VLOOKUP($B814,Показатели!$E:$W,8,FALSE)=0,"",VLOOKUP($B814,Показатели!$E:$W,8,FALSE)),"")</f>
        <v/>
      </c>
      <c r="L814" t="str">
        <f>IFERROR(IF(VLOOKUP($B814,Показатели!$E:$W,9,FALSE)=0,"",VLOOKUP($B814,Показатели!$E:$W,9,FALSE)),"")</f>
        <v/>
      </c>
      <c r="M814" t="str">
        <f>IFERROR(IF(VLOOKUP($B814,Показатели!$E:$W,10,FALSE)=0,"",VLOOKUP($B814,Показатели!$E:$W,10,FALSE)),"")</f>
        <v/>
      </c>
      <c r="N814" t="str">
        <f>IFERROR(IF(VLOOKUP($B814,Показатели!$E:$W,11,FALSE)=0,"",VLOOKUP($B814,Показатели!$E:$W,11,FALSE)),"")</f>
        <v/>
      </c>
      <c r="O814" t="str">
        <f>IFERROR(IF(VLOOKUP($B814,Показатели!$E:$W,12,FALSE)=0,"",VLOOKUP($B814,Показатели!$E:$W,12,FALSE)),"")</f>
        <v/>
      </c>
      <c r="P814" t="str">
        <f>IFERROR(IF(VLOOKUP($B814,Показатели!$E:$W,13,FALSE)=0,"",VLOOKUP($B814,Показатели!$E:$W,13,FALSE)),"")</f>
        <v/>
      </c>
      <c r="Q814" t="str">
        <f>IFERROR(IF(VLOOKUP($B814,Показатели!$E:$W,14,FALSE)=0,"",VLOOKUP($B814,Показатели!$E:$W,14,FALSE)),"")</f>
        <v/>
      </c>
      <c r="R814" t="str">
        <f>IFERROR(IF(VLOOKUP($B814,Показатели!$E:$W,15,FALSE)=0,"",VLOOKUP($B814,Показатели!$E:$W,15,FALSE)),"")</f>
        <v/>
      </c>
      <c r="S814" t="str">
        <f>IFERROR(IF(VLOOKUP($B814,Показатели!$E:$W,16,FALSE)=0,"",VLOOKUP($B814,Показатели!$E:$W,16,FALSE)),"")</f>
        <v/>
      </c>
      <c r="T814" t="str">
        <f>IFERROR(IF(VLOOKUP($B814,Показатели!$E:$W,17,FALSE)=0,"",VLOOKUP($B814,Показатели!$E:$W,17,FALSE)),"")</f>
        <v/>
      </c>
      <c r="U814" t="str">
        <f>IFERROR(IF(VLOOKUP($B814,Показатели!$E:$W,18,FALSE)=0,"",VLOOKUP($B814,Показатели!$E:$W,18,FALSE)),"")</f>
        <v/>
      </c>
      <c r="V814" t="str">
        <f>IFERROR(IF(VLOOKUP($B814,Показатели!$E:$W,19,FALSE)=0,"",VLOOKUP($B814,Показатели!$E:$W,19,FALSE)),"")</f>
        <v/>
      </c>
    </row>
    <row r="815" spans="1:22" x14ac:dyDescent="0.2">
      <c r="A815" s="7" t="s">
        <v>2279</v>
      </c>
      <c r="B815" t="str">
        <f t="shared" si="12"/>
        <v>HEAD IV кв. 2012</v>
      </c>
      <c r="C815">
        <v>2012</v>
      </c>
      <c r="D815">
        <f>SUMIFS(Дивиденды!$C:$C,Дивиденды!$A:$A,A815,Дивиденды!$I:$I,C815)</f>
        <v>0</v>
      </c>
      <c r="E815" t="str">
        <f>IFERROR(IF(VLOOKUP($B815,Показатели!$E:$W,2,FALSE)=0,"",VLOOKUP($B815,Показатели!$E:$W,2,FALSE)),"")</f>
        <v/>
      </c>
      <c r="F815" t="str">
        <f>IFERROR(IF(VLOOKUP($B815,Показатели!$E:$W,3,FALSE)=0,"",VLOOKUP($B815,Показатели!$E:$W,3,FALSE)),"")</f>
        <v/>
      </c>
      <c r="G815" t="str">
        <f>IFERROR(IF(VLOOKUP($B815,Показатели!$E:$W,4,FALSE)=0,"",VLOOKUP($B815,Показатели!$E:$W,4,FALSE)),"")</f>
        <v/>
      </c>
      <c r="H815" t="str">
        <f>IFERROR(IF(VLOOKUP($B815,Показатели!$E:$W,5,FALSE)=0,"",VLOOKUP($B815,Показатели!$E:$W,5,FALSE)),"")</f>
        <v/>
      </c>
      <c r="I815" t="str">
        <f>IFERROR(IF(VLOOKUP($B815,Показатели!$E:$W,6,FALSE)=0,"",VLOOKUP($B815,Показатели!$E:$W,6,FALSE)),"")</f>
        <v/>
      </c>
      <c r="J815" t="str">
        <f>IFERROR(IF(VLOOKUP($B815,Показатели!$E:$W,7,FALSE)=0,"",VLOOKUP($B815,Показатели!$E:$W,7,FALSE)),"")</f>
        <v/>
      </c>
      <c r="K815" t="str">
        <f>IFERROR(IF(VLOOKUP($B815,Показатели!$E:$W,8,FALSE)=0,"",VLOOKUP($B815,Показатели!$E:$W,8,FALSE)),"")</f>
        <v/>
      </c>
      <c r="L815" t="str">
        <f>IFERROR(IF(VLOOKUP($B815,Показатели!$E:$W,9,FALSE)=0,"",VLOOKUP($B815,Показатели!$E:$W,9,FALSE)),"")</f>
        <v/>
      </c>
      <c r="M815" t="str">
        <f>IFERROR(IF(VLOOKUP($B815,Показатели!$E:$W,10,FALSE)=0,"",VLOOKUP($B815,Показатели!$E:$W,10,FALSE)),"")</f>
        <v/>
      </c>
      <c r="N815" t="str">
        <f>IFERROR(IF(VLOOKUP($B815,Показатели!$E:$W,11,FALSE)=0,"",VLOOKUP($B815,Показатели!$E:$W,11,FALSE)),"")</f>
        <v/>
      </c>
      <c r="O815" t="str">
        <f>IFERROR(IF(VLOOKUP($B815,Показатели!$E:$W,12,FALSE)=0,"",VLOOKUP($B815,Показатели!$E:$W,12,FALSE)),"")</f>
        <v/>
      </c>
      <c r="P815" t="str">
        <f>IFERROR(IF(VLOOKUP($B815,Показатели!$E:$W,13,FALSE)=0,"",VLOOKUP($B815,Показатели!$E:$W,13,FALSE)),"")</f>
        <v/>
      </c>
      <c r="Q815" t="str">
        <f>IFERROR(IF(VLOOKUP($B815,Показатели!$E:$W,14,FALSE)=0,"",VLOOKUP($B815,Показатели!$E:$W,14,FALSE)),"")</f>
        <v/>
      </c>
      <c r="R815" t="str">
        <f>IFERROR(IF(VLOOKUP($B815,Показатели!$E:$W,15,FALSE)=0,"",VLOOKUP($B815,Показатели!$E:$W,15,FALSE)),"")</f>
        <v/>
      </c>
      <c r="S815" t="str">
        <f>IFERROR(IF(VLOOKUP($B815,Показатели!$E:$W,16,FALSE)=0,"",VLOOKUP($B815,Показатели!$E:$W,16,FALSE)),"")</f>
        <v/>
      </c>
      <c r="T815" t="str">
        <f>IFERROR(IF(VLOOKUP($B815,Показатели!$E:$W,17,FALSE)=0,"",VLOOKUP($B815,Показатели!$E:$W,17,FALSE)),"")</f>
        <v/>
      </c>
      <c r="U815" t="str">
        <f>IFERROR(IF(VLOOKUP($B815,Показатели!$E:$W,18,FALSE)=0,"",VLOOKUP($B815,Показатели!$E:$W,18,FALSE)),"")</f>
        <v/>
      </c>
      <c r="V815" t="str">
        <f>IFERROR(IF(VLOOKUP($B815,Показатели!$E:$W,19,FALSE)=0,"",VLOOKUP($B815,Показатели!$E:$W,19,FALSE)),"")</f>
        <v/>
      </c>
    </row>
    <row r="816" spans="1:22" x14ac:dyDescent="0.2">
      <c r="A816" s="7" t="s">
        <v>2279</v>
      </c>
      <c r="B816" t="str">
        <f t="shared" si="12"/>
        <v>HEAD IV кв. 2011</v>
      </c>
      <c r="C816">
        <v>2011</v>
      </c>
      <c r="D816">
        <f>SUMIFS(Дивиденды!$C:$C,Дивиденды!$A:$A,A816,Дивиденды!$I:$I,C816)</f>
        <v>0</v>
      </c>
      <c r="E816" t="str">
        <f>IFERROR(IF(VLOOKUP($B816,Показатели!$E:$W,2,FALSE)=0,"",VLOOKUP($B816,Показатели!$E:$W,2,FALSE)),"")</f>
        <v/>
      </c>
      <c r="F816" t="str">
        <f>IFERROR(IF(VLOOKUP($B816,Показатели!$E:$W,3,FALSE)=0,"",VLOOKUP($B816,Показатели!$E:$W,3,FALSE)),"")</f>
        <v/>
      </c>
      <c r="G816" t="str">
        <f>IFERROR(IF(VLOOKUP($B816,Показатели!$E:$W,4,FALSE)=0,"",VLOOKUP($B816,Показатели!$E:$W,4,FALSE)),"")</f>
        <v/>
      </c>
      <c r="H816" t="str">
        <f>IFERROR(IF(VLOOKUP($B816,Показатели!$E:$W,5,FALSE)=0,"",VLOOKUP($B816,Показатели!$E:$W,5,FALSE)),"")</f>
        <v/>
      </c>
      <c r="I816" t="str">
        <f>IFERROR(IF(VLOOKUP($B816,Показатели!$E:$W,6,FALSE)=0,"",VLOOKUP($B816,Показатели!$E:$W,6,FALSE)),"")</f>
        <v/>
      </c>
      <c r="J816" t="str">
        <f>IFERROR(IF(VLOOKUP($B816,Показатели!$E:$W,7,FALSE)=0,"",VLOOKUP($B816,Показатели!$E:$W,7,FALSE)),"")</f>
        <v/>
      </c>
      <c r="K816" t="str">
        <f>IFERROR(IF(VLOOKUP($B816,Показатели!$E:$W,8,FALSE)=0,"",VLOOKUP($B816,Показатели!$E:$W,8,FALSE)),"")</f>
        <v/>
      </c>
      <c r="L816" t="str">
        <f>IFERROR(IF(VLOOKUP($B816,Показатели!$E:$W,9,FALSE)=0,"",VLOOKUP($B816,Показатели!$E:$W,9,FALSE)),"")</f>
        <v/>
      </c>
      <c r="M816" t="str">
        <f>IFERROR(IF(VLOOKUP($B816,Показатели!$E:$W,10,FALSE)=0,"",VLOOKUP($B816,Показатели!$E:$W,10,FALSE)),"")</f>
        <v/>
      </c>
      <c r="N816" t="str">
        <f>IFERROR(IF(VLOOKUP($B816,Показатели!$E:$W,11,FALSE)=0,"",VLOOKUP($B816,Показатели!$E:$W,11,FALSE)),"")</f>
        <v/>
      </c>
      <c r="O816" t="str">
        <f>IFERROR(IF(VLOOKUP($B816,Показатели!$E:$W,12,FALSE)=0,"",VLOOKUP($B816,Показатели!$E:$W,12,FALSE)),"")</f>
        <v/>
      </c>
      <c r="P816" t="str">
        <f>IFERROR(IF(VLOOKUP($B816,Показатели!$E:$W,13,FALSE)=0,"",VLOOKUP($B816,Показатели!$E:$W,13,FALSE)),"")</f>
        <v/>
      </c>
      <c r="Q816" t="str">
        <f>IFERROR(IF(VLOOKUP($B816,Показатели!$E:$W,14,FALSE)=0,"",VLOOKUP($B816,Показатели!$E:$W,14,FALSE)),"")</f>
        <v/>
      </c>
      <c r="R816" t="str">
        <f>IFERROR(IF(VLOOKUP($B816,Показатели!$E:$W,15,FALSE)=0,"",VLOOKUP($B816,Показатели!$E:$W,15,FALSE)),"")</f>
        <v/>
      </c>
      <c r="S816" t="str">
        <f>IFERROR(IF(VLOOKUP($B816,Показатели!$E:$W,16,FALSE)=0,"",VLOOKUP($B816,Показатели!$E:$W,16,FALSE)),"")</f>
        <v/>
      </c>
      <c r="T816" t="str">
        <f>IFERROR(IF(VLOOKUP($B816,Показатели!$E:$W,17,FALSE)=0,"",VLOOKUP($B816,Показатели!$E:$W,17,FALSE)),"")</f>
        <v/>
      </c>
      <c r="U816" t="str">
        <f>IFERROR(IF(VLOOKUP($B816,Показатели!$E:$W,18,FALSE)=0,"",VLOOKUP($B816,Показатели!$E:$W,18,FALSE)),"")</f>
        <v/>
      </c>
      <c r="V816" t="str">
        <f>IFERROR(IF(VLOOKUP($B816,Показатели!$E:$W,19,FALSE)=0,"",VLOOKUP($B816,Показатели!$E:$W,19,FALSE)),"")</f>
        <v/>
      </c>
    </row>
    <row r="817" spans="1:22" x14ac:dyDescent="0.2">
      <c r="A817" s="7" t="s">
        <v>2279</v>
      </c>
      <c r="B817" t="str">
        <f t="shared" si="12"/>
        <v>HEAD IV кв. 2010</v>
      </c>
      <c r="C817">
        <v>2010</v>
      </c>
      <c r="D817">
        <f>SUMIFS(Дивиденды!$C:$C,Дивиденды!$A:$A,A817,Дивиденды!$I:$I,C817)</f>
        <v>0</v>
      </c>
      <c r="E817" t="str">
        <f>IFERROR(IF(VLOOKUP($B817,Показатели!$E:$W,2,FALSE)=0,"",VLOOKUP($B817,Показатели!$E:$W,2,FALSE)),"")</f>
        <v/>
      </c>
      <c r="F817" t="str">
        <f>IFERROR(IF(VLOOKUP($B817,Показатели!$E:$W,3,FALSE)=0,"",VLOOKUP($B817,Показатели!$E:$W,3,FALSE)),"")</f>
        <v/>
      </c>
      <c r="G817" t="str">
        <f>IFERROR(IF(VLOOKUP($B817,Показатели!$E:$W,4,FALSE)=0,"",VLOOKUP($B817,Показатели!$E:$W,4,FALSE)),"")</f>
        <v/>
      </c>
      <c r="H817" t="str">
        <f>IFERROR(IF(VLOOKUP($B817,Показатели!$E:$W,5,FALSE)=0,"",VLOOKUP($B817,Показатели!$E:$W,5,FALSE)),"")</f>
        <v/>
      </c>
      <c r="I817" t="str">
        <f>IFERROR(IF(VLOOKUP($B817,Показатели!$E:$W,6,FALSE)=0,"",VLOOKUP($B817,Показатели!$E:$W,6,FALSE)),"")</f>
        <v/>
      </c>
      <c r="J817" t="str">
        <f>IFERROR(IF(VLOOKUP($B817,Показатели!$E:$W,7,FALSE)=0,"",VLOOKUP($B817,Показатели!$E:$W,7,FALSE)),"")</f>
        <v/>
      </c>
      <c r="K817" t="str">
        <f>IFERROR(IF(VLOOKUP($B817,Показатели!$E:$W,8,FALSE)=0,"",VLOOKUP($B817,Показатели!$E:$W,8,FALSE)),"")</f>
        <v/>
      </c>
      <c r="L817" t="str">
        <f>IFERROR(IF(VLOOKUP($B817,Показатели!$E:$W,9,FALSE)=0,"",VLOOKUP($B817,Показатели!$E:$W,9,FALSE)),"")</f>
        <v/>
      </c>
      <c r="M817" t="str">
        <f>IFERROR(IF(VLOOKUP($B817,Показатели!$E:$W,10,FALSE)=0,"",VLOOKUP($B817,Показатели!$E:$W,10,FALSE)),"")</f>
        <v/>
      </c>
      <c r="N817" t="str">
        <f>IFERROR(IF(VLOOKUP($B817,Показатели!$E:$W,11,FALSE)=0,"",VLOOKUP($B817,Показатели!$E:$W,11,FALSE)),"")</f>
        <v/>
      </c>
      <c r="O817" t="str">
        <f>IFERROR(IF(VLOOKUP($B817,Показатели!$E:$W,12,FALSE)=0,"",VLOOKUP($B817,Показатели!$E:$W,12,FALSE)),"")</f>
        <v/>
      </c>
      <c r="P817" t="str">
        <f>IFERROR(IF(VLOOKUP($B817,Показатели!$E:$W,13,FALSE)=0,"",VLOOKUP($B817,Показатели!$E:$W,13,FALSE)),"")</f>
        <v/>
      </c>
      <c r="Q817" t="str">
        <f>IFERROR(IF(VLOOKUP($B817,Показатели!$E:$W,14,FALSE)=0,"",VLOOKUP($B817,Показатели!$E:$W,14,FALSE)),"")</f>
        <v/>
      </c>
      <c r="R817" t="str">
        <f>IFERROR(IF(VLOOKUP($B817,Показатели!$E:$W,15,FALSE)=0,"",VLOOKUP($B817,Показатели!$E:$W,15,FALSE)),"")</f>
        <v/>
      </c>
      <c r="S817" t="str">
        <f>IFERROR(IF(VLOOKUP($B817,Показатели!$E:$W,16,FALSE)=0,"",VLOOKUP($B817,Показатели!$E:$W,16,FALSE)),"")</f>
        <v/>
      </c>
      <c r="T817" t="str">
        <f>IFERROR(IF(VLOOKUP($B817,Показатели!$E:$W,17,FALSE)=0,"",VLOOKUP($B817,Показатели!$E:$W,17,FALSE)),"")</f>
        <v/>
      </c>
      <c r="U817" t="str">
        <f>IFERROR(IF(VLOOKUP($B817,Показатели!$E:$W,18,FALSE)=0,"",VLOOKUP($B817,Показатели!$E:$W,18,FALSE)),"")</f>
        <v/>
      </c>
      <c r="V817" t="str">
        <f>IFERROR(IF(VLOOKUP($B817,Показатели!$E:$W,19,FALSE)=0,"",VLOOKUP($B817,Показатели!$E:$W,19,FALSE)),"")</f>
        <v/>
      </c>
    </row>
    <row r="818" spans="1:22" x14ac:dyDescent="0.2">
      <c r="A818" s="7" t="s">
        <v>2281</v>
      </c>
      <c r="B818" t="str">
        <f t="shared" si="12"/>
        <v>OZON IV кв. 2025</v>
      </c>
      <c r="C818">
        <v>2025</v>
      </c>
      <c r="D818">
        <f>SUMIFS(Дивиденды!$C:$C,Дивиденды!$A:$A,A818,Дивиденды!$I:$I,C818)</f>
        <v>143.55000000000001</v>
      </c>
      <c r="E818">
        <f>IFERROR(IF(VLOOKUP($B818,Показатели!$E:$W,2,FALSE)=0,"",VLOOKUP($B818,Показатели!$E:$W,2,FALSE)),"")</f>
        <v>650730000000</v>
      </c>
      <c r="F818">
        <f>IFERROR(IF(VLOOKUP($B818,Показатели!$E:$W,3,FALSE)=0,"",VLOOKUP($B818,Показатели!$E:$W,3,FALSE)),"")</f>
        <v>900846000000</v>
      </c>
      <c r="G818">
        <f>IFERROR(IF(VLOOKUP($B818,Показатели!$E:$W,4,FALSE)=0,"",VLOOKUP($B818,Показатели!$E:$W,4,FALSE)),"")</f>
        <v>158727000000</v>
      </c>
      <c r="H818">
        <f>IFERROR(IF(VLOOKUP($B818,Показатели!$E:$W,5,FALSE)=0,"",VLOOKUP($B818,Показатели!$E:$W,5,FALSE)),"")</f>
        <v>858000000</v>
      </c>
      <c r="I818">
        <f>IFERROR(IF(VLOOKUP($B818,Показатели!$E:$W,6,FALSE)=0,"",VLOOKUP($B818,Показатели!$E:$W,6,FALSE)),"")</f>
        <v>1429778000000</v>
      </c>
      <c r="J818">
        <f>IFERROR(IF(VLOOKUP($B818,Показатели!$E:$W,7,FALSE)=0,"",VLOOKUP($B818,Показатели!$E:$W,7,FALSE)),"")</f>
        <v>1277194000000</v>
      </c>
      <c r="K818">
        <f>IFERROR(IF(VLOOKUP($B818,Показатели!$E:$W,8,FALSE)=0,"",VLOOKUP($B818,Показатели!$E:$W,8,FALSE)),"")</f>
        <v>300990000000</v>
      </c>
      <c r="L818">
        <f>IFERROR(IF(VLOOKUP($B818,Показатели!$E:$W,9,FALSE)=0,"",VLOOKUP($B818,Показатели!$E:$W,9,FALSE)),"")</f>
        <v>-311033000000</v>
      </c>
      <c r="M818">
        <f>IFERROR(IF(VLOOKUP($B818,Показатели!$E:$W,10,FALSE)=0,"",VLOOKUP($B818,Показатели!$E:$W,10,FALSE)),"")</f>
        <v>-148406000000</v>
      </c>
      <c r="N818">
        <f>IFERROR(IF(VLOOKUP($B818,Показатели!$E:$W,11,FALSE)=0,"",VLOOKUP($B818,Показатели!$E:$W,11,FALSE)),"")</f>
        <v>997989000000</v>
      </c>
      <c r="O818">
        <f>IFERROR(IF(VLOOKUP($B818,Показатели!$E:$W,12,FALSE)=0,"",VLOOKUP($B818,Показатели!$E:$W,12,FALSE)),"")</f>
        <v>71370000000</v>
      </c>
      <c r="P818">
        <f>IFERROR(IF(VLOOKUP($B818,Показатели!$E:$W,13,FALSE)=0,"",VLOOKUP($B818,Показатели!$E:$W,13,FALSE)),"")</f>
        <v>6775000000</v>
      </c>
      <c r="Q818">
        <f>IFERROR(IF(VLOOKUP($B818,Показатели!$E:$W,14,FALSE)=0,"",VLOOKUP($B818,Показатели!$E:$W,14,FALSE)),"")</f>
        <v>-938000000</v>
      </c>
      <c r="R818">
        <f>IFERROR(IF(VLOOKUP($B818,Показатели!$E:$W,15,FALSE)=0,"",VLOOKUP($B818,Показатели!$E:$W,15,FALSE)),"")</f>
        <v>62207000000</v>
      </c>
      <c r="S818">
        <f>IFERROR(IF(VLOOKUP($B818,Показатели!$E:$W,16,FALSE)=0,"",VLOOKUP($B818,Показатели!$E:$W,16,FALSE)),"")</f>
        <v>156381000000</v>
      </c>
      <c r="T818">
        <f>IFERROR(IF(VLOOKUP($B818,Показатели!$E:$W,17,FALSE)=0,"",VLOOKUP($B818,Показатели!$E:$W,17,FALSE)),"")</f>
        <v>-58164000000</v>
      </c>
      <c r="U818" t="str">
        <f>IFERROR(IF(VLOOKUP($B818,Показатели!$E:$W,18,FALSE)=0,"",VLOOKUP($B818,Показатели!$E:$W,18,FALSE)),"")</f>
        <v/>
      </c>
      <c r="V818" t="str">
        <f>IFERROR(IF(VLOOKUP($B818,Показатели!$E:$W,19,FALSE)=0,"",VLOOKUP($B818,Показатели!$E:$W,19,FALSE)),"")</f>
        <v/>
      </c>
    </row>
    <row r="819" spans="1:22" x14ac:dyDescent="0.2">
      <c r="A819" s="7" t="s">
        <v>2281</v>
      </c>
      <c r="B819" t="str">
        <f t="shared" si="12"/>
        <v>OZON IV кв. 2024</v>
      </c>
      <c r="C819">
        <v>2024</v>
      </c>
      <c r="D819">
        <f>SUMIFS(Дивиденды!$C:$C,Дивиденды!$A:$A,A819,Дивиденды!$I:$I,C819)</f>
        <v>0</v>
      </c>
      <c r="E819" t="str">
        <f>IFERROR(IF(VLOOKUP($B819,Показатели!$E:$W,2,FALSE)=0,"",VLOOKUP($B819,Показатели!$E:$W,2,FALSE)),"")</f>
        <v/>
      </c>
      <c r="F819" t="str">
        <f>IFERROR(IF(VLOOKUP($B819,Показатели!$E:$W,3,FALSE)=0,"",VLOOKUP($B819,Показатели!$E:$W,3,FALSE)),"")</f>
        <v/>
      </c>
      <c r="G819" t="str">
        <f>IFERROR(IF(VLOOKUP($B819,Показатели!$E:$W,4,FALSE)=0,"",VLOOKUP($B819,Показатели!$E:$W,4,FALSE)),"")</f>
        <v/>
      </c>
      <c r="H819" t="str">
        <f>IFERROR(IF(VLOOKUP($B819,Показатели!$E:$W,5,FALSE)=0,"",VLOOKUP($B819,Показатели!$E:$W,5,FALSE)),"")</f>
        <v/>
      </c>
      <c r="I819" t="str">
        <f>IFERROR(IF(VLOOKUP($B819,Показатели!$E:$W,6,FALSE)=0,"",VLOOKUP($B819,Показатели!$E:$W,6,FALSE)),"")</f>
        <v/>
      </c>
      <c r="J819" t="str">
        <f>IFERROR(IF(VLOOKUP($B819,Показатели!$E:$W,7,FALSE)=0,"",VLOOKUP($B819,Показатели!$E:$W,7,FALSE)),"")</f>
        <v/>
      </c>
      <c r="K819" t="str">
        <f>IFERROR(IF(VLOOKUP($B819,Показатели!$E:$W,8,FALSE)=0,"",VLOOKUP($B819,Показатели!$E:$W,8,FALSE)),"")</f>
        <v/>
      </c>
      <c r="L819" t="str">
        <f>IFERROR(IF(VLOOKUP($B819,Показатели!$E:$W,9,FALSE)=0,"",VLOOKUP($B819,Показатели!$E:$W,9,FALSE)),"")</f>
        <v/>
      </c>
      <c r="M819" t="str">
        <f>IFERROR(IF(VLOOKUP($B819,Показатели!$E:$W,10,FALSE)=0,"",VLOOKUP($B819,Показатели!$E:$W,10,FALSE)),"")</f>
        <v/>
      </c>
      <c r="N819" t="str">
        <f>IFERROR(IF(VLOOKUP($B819,Показатели!$E:$W,11,FALSE)=0,"",VLOOKUP($B819,Показатели!$E:$W,11,FALSE)),"")</f>
        <v/>
      </c>
      <c r="O819" t="str">
        <f>IFERROR(IF(VLOOKUP($B819,Показатели!$E:$W,12,FALSE)=0,"",VLOOKUP($B819,Показатели!$E:$W,12,FALSE)),"")</f>
        <v/>
      </c>
      <c r="P819" t="str">
        <f>IFERROR(IF(VLOOKUP($B819,Показатели!$E:$W,13,FALSE)=0,"",VLOOKUP($B819,Показатели!$E:$W,13,FALSE)),"")</f>
        <v/>
      </c>
      <c r="Q819" t="str">
        <f>IFERROR(IF(VLOOKUP($B819,Показатели!$E:$W,14,FALSE)=0,"",VLOOKUP($B819,Показатели!$E:$W,14,FALSE)),"")</f>
        <v/>
      </c>
      <c r="R819" t="str">
        <f>IFERROR(IF(VLOOKUP($B819,Показатели!$E:$W,15,FALSE)=0,"",VLOOKUP($B819,Показатели!$E:$W,15,FALSE)),"")</f>
        <v/>
      </c>
      <c r="S819" t="str">
        <f>IFERROR(IF(VLOOKUP($B819,Показатели!$E:$W,16,FALSE)=0,"",VLOOKUP($B819,Показатели!$E:$W,16,FALSE)),"")</f>
        <v/>
      </c>
      <c r="T819" t="str">
        <f>IFERROR(IF(VLOOKUP($B819,Показатели!$E:$W,17,FALSE)=0,"",VLOOKUP($B819,Показатели!$E:$W,17,FALSE)),"")</f>
        <v/>
      </c>
      <c r="U819" t="str">
        <f>IFERROR(IF(VLOOKUP($B819,Показатели!$E:$W,18,FALSE)=0,"",VLOOKUP($B819,Показатели!$E:$W,18,FALSE)),"")</f>
        <v/>
      </c>
      <c r="V819" t="str">
        <f>IFERROR(IF(VLOOKUP($B819,Показатели!$E:$W,19,FALSE)=0,"",VLOOKUP($B819,Показатели!$E:$W,19,FALSE)),"")</f>
        <v/>
      </c>
    </row>
    <row r="820" spans="1:22" x14ac:dyDescent="0.2">
      <c r="A820" s="7" t="s">
        <v>2281</v>
      </c>
      <c r="B820" t="str">
        <f t="shared" si="12"/>
        <v>OZON IV кв. 2023</v>
      </c>
      <c r="C820">
        <v>2023</v>
      </c>
      <c r="D820">
        <f>SUMIFS(Дивиденды!$C:$C,Дивиденды!$A:$A,A820,Дивиденды!$I:$I,C820)</f>
        <v>0</v>
      </c>
      <c r="E820" t="str">
        <f>IFERROR(IF(VLOOKUP($B820,Показатели!$E:$W,2,FALSE)=0,"",VLOOKUP($B820,Показатели!$E:$W,2,FALSE)),"")</f>
        <v/>
      </c>
      <c r="F820" t="str">
        <f>IFERROR(IF(VLOOKUP($B820,Показатели!$E:$W,3,FALSE)=0,"",VLOOKUP($B820,Показатели!$E:$W,3,FALSE)),"")</f>
        <v/>
      </c>
      <c r="G820" t="str">
        <f>IFERROR(IF(VLOOKUP($B820,Показатели!$E:$W,4,FALSE)=0,"",VLOOKUP($B820,Показатели!$E:$W,4,FALSE)),"")</f>
        <v/>
      </c>
      <c r="H820" t="str">
        <f>IFERROR(IF(VLOOKUP($B820,Показатели!$E:$W,5,FALSE)=0,"",VLOOKUP($B820,Показатели!$E:$W,5,FALSE)),"")</f>
        <v/>
      </c>
      <c r="I820" t="str">
        <f>IFERROR(IF(VLOOKUP($B820,Показатели!$E:$W,6,FALSE)=0,"",VLOOKUP($B820,Показатели!$E:$W,6,FALSE)),"")</f>
        <v/>
      </c>
      <c r="J820" t="str">
        <f>IFERROR(IF(VLOOKUP($B820,Показатели!$E:$W,7,FALSE)=0,"",VLOOKUP($B820,Показатели!$E:$W,7,FALSE)),"")</f>
        <v/>
      </c>
      <c r="K820" t="str">
        <f>IFERROR(IF(VLOOKUP($B820,Показатели!$E:$W,8,FALSE)=0,"",VLOOKUP($B820,Показатели!$E:$W,8,FALSE)),"")</f>
        <v/>
      </c>
      <c r="L820" t="str">
        <f>IFERROR(IF(VLOOKUP($B820,Показатели!$E:$W,9,FALSE)=0,"",VLOOKUP($B820,Показатели!$E:$W,9,FALSE)),"")</f>
        <v/>
      </c>
      <c r="M820" t="str">
        <f>IFERROR(IF(VLOOKUP($B820,Показатели!$E:$W,10,FALSE)=0,"",VLOOKUP($B820,Показатели!$E:$W,10,FALSE)),"")</f>
        <v/>
      </c>
      <c r="N820" t="str">
        <f>IFERROR(IF(VLOOKUP($B820,Показатели!$E:$W,11,FALSE)=0,"",VLOOKUP($B820,Показатели!$E:$W,11,FALSE)),"")</f>
        <v/>
      </c>
      <c r="O820" t="str">
        <f>IFERROR(IF(VLOOKUP($B820,Показатели!$E:$W,12,FALSE)=0,"",VLOOKUP($B820,Показатели!$E:$W,12,FALSE)),"")</f>
        <v/>
      </c>
      <c r="P820" t="str">
        <f>IFERROR(IF(VLOOKUP($B820,Показатели!$E:$W,13,FALSE)=0,"",VLOOKUP($B820,Показатели!$E:$W,13,FALSE)),"")</f>
        <v/>
      </c>
      <c r="Q820" t="str">
        <f>IFERROR(IF(VLOOKUP($B820,Показатели!$E:$W,14,FALSE)=0,"",VLOOKUP($B820,Показатели!$E:$W,14,FALSE)),"")</f>
        <v/>
      </c>
      <c r="R820" t="str">
        <f>IFERROR(IF(VLOOKUP($B820,Показатели!$E:$W,15,FALSE)=0,"",VLOOKUP($B820,Показатели!$E:$W,15,FALSE)),"")</f>
        <v/>
      </c>
      <c r="S820" t="str">
        <f>IFERROR(IF(VLOOKUP($B820,Показатели!$E:$W,16,FALSE)=0,"",VLOOKUP($B820,Показатели!$E:$W,16,FALSE)),"")</f>
        <v/>
      </c>
      <c r="T820" t="str">
        <f>IFERROR(IF(VLOOKUP($B820,Показатели!$E:$W,17,FALSE)=0,"",VLOOKUP($B820,Показатели!$E:$W,17,FALSE)),"")</f>
        <v/>
      </c>
      <c r="U820" t="str">
        <f>IFERROR(IF(VLOOKUP($B820,Показатели!$E:$W,18,FALSE)=0,"",VLOOKUP($B820,Показатели!$E:$W,18,FALSE)),"")</f>
        <v/>
      </c>
      <c r="V820" t="str">
        <f>IFERROR(IF(VLOOKUP($B820,Показатели!$E:$W,19,FALSE)=0,"",VLOOKUP($B820,Показатели!$E:$W,19,FALSE)),"")</f>
        <v/>
      </c>
    </row>
    <row r="821" spans="1:22" x14ac:dyDescent="0.2">
      <c r="A821" s="7" t="s">
        <v>2281</v>
      </c>
      <c r="B821" t="str">
        <f t="shared" si="12"/>
        <v>OZON IV кв. 2022</v>
      </c>
      <c r="C821">
        <v>2022</v>
      </c>
      <c r="D821">
        <f>SUMIFS(Дивиденды!$C:$C,Дивиденды!$A:$A,A821,Дивиденды!$I:$I,C821)</f>
        <v>0</v>
      </c>
      <c r="E821" t="str">
        <f>IFERROR(IF(VLOOKUP($B821,Показатели!$E:$W,2,FALSE)=0,"",VLOOKUP($B821,Показатели!$E:$W,2,FALSE)),"")</f>
        <v/>
      </c>
      <c r="F821" t="str">
        <f>IFERROR(IF(VLOOKUP($B821,Показатели!$E:$W,3,FALSE)=0,"",VLOOKUP($B821,Показатели!$E:$W,3,FALSE)),"")</f>
        <v/>
      </c>
      <c r="G821" t="str">
        <f>IFERROR(IF(VLOOKUP($B821,Показатели!$E:$W,4,FALSE)=0,"",VLOOKUP($B821,Показатели!$E:$W,4,FALSE)),"")</f>
        <v/>
      </c>
      <c r="H821" t="str">
        <f>IFERROR(IF(VLOOKUP($B821,Показатели!$E:$W,5,FALSE)=0,"",VLOOKUP($B821,Показатели!$E:$W,5,FALSE)),"")</f>
        <v/>
      </c>
      <c r="I821" t="str">
        <f>IFERROR(IF(VLOOKUP($B821,Показатели!$E:$W,6,FALSE)=0,"",VLOOKUP($B821,Показатели!$E:$W,6,FALSE)),"")</f>
        <v/>
      </c>
      <c r="J821" t="str">
        <f>IFERROR(IF(VLOOKUP($B821,Показатели!$E:$W,7,FALSE)=0,"",VLOOKUP($B821,Показатели!$E:$W,7,FALSE)),"")</f>
        <v/>
      </c>
      <c r="K821" t="str">
        <f>IFERROR(IF(VLOOKUP($B821,Показатели!$E:$W,8,FALSE)=0,"",VLOOKUP($B821,Показатели!$E:$W,8,FALSE)),"")</f>
        <v/>
      </c>
      <c r="L821" t="str">
        <f>IFERROR(IF(VLOOKUP($B821,Показатели!$E:$W,9,FALSE)=0,"",VLOOKUP($B821,Показатели!$E:$W,9,FALSE)),"")</f>
        <v/>
      </c>
      <c r="M821" t="str">
        <f>IFERROR(IF(VLOOKUP($B821,Показатели!$E:$W,10,FALSE)=0,"",VLOOKUP($B821,Показатели!$E:$W,10,FALSE)),"")</f>
        <v/>
      </c>
      <c r="N821" t="str">
        <f>IFERROR(IF(VLOOKUP($B821,Показатели!$E:$W,11,FALSE)=0,"",VLOOKUP($B821,Показатели!$E:$W,11,FALSE)),"")</f>
        <v/>
      </c>
      <c r="O821" t="str">
        <f>IFERROR(IF(VLOOKUP($B821,Показатели!$E:$W,12,FALSE)=0,"",VLOOKUP($B821,Показатели!$E:$W,12,FALSE)),"")</f>
        <v/>
      </c>
      <c r="P821" t="str">
        <f>IFERROR(IF(VLOOKUP($B821,Показатели!$E:$W,13,FALSE)=0,"",VLOOKUP($B821,Показатели!$E:$W,13,FALSE)),"")</f>
        <v/>
      </c>
      <c r="Q821" t="str">
        <f>IFERROR(IF(VLOOKUP($B821,Показатели!$E:$W,14,FALSE)=0,"",VLOOKUP($B821,Показатели!$E:$W,14,FALSE)),"")</f>
        <v/>
      </c>
      <c r="R821" t="str">
        <f>IFERROR(IF(VLOOKUP($B821,Показатели!$E:$W,15,FALSE)=0,"",VLOOKUP($B821,Показатели!$E:$W,15,FALSE)),"")</f>
        <v/>
      </c>
      <c r="S821" t="str">
        <f>IFERROR(IF(VLOOKUP($B821,Показатели!$E:$W,16,FALSE)=0,"",VLOOKUP($B821,Показатели!$E:$W,16,FALSE)),"")</f>
        <v/>
      </c>
      <c r="T821" t="str">
        <f>IFERROR(IF(VLOOKUP($B821,Показатели!$E:$W,17,FALSE)=0,"",VLOOKUP($B821,Показатели!$E:$W,17,FALSE)),"")</f>
        <v/>
      </c>
      <c r="U821" t="str">
        <f>IFERROR(IF(VLOOKUP($B821,Показатели!$E:$W,18,FALSE)=0,"",VLOOKUP($B821,Показатели!$E:$W,18,FALSE)),"")</f>
        <v/>
      </c>
      <c r="V821" t="str">
        <f>IFERROR(IF(VLOOKUP($B821,Показатели!$E:$W,19,FALSE)=0,"",VLOOKUP($B821,Показатели!$E:$W,19,FALSE)),"")</f>
        <v/>
      </c>
    </row>
    <row r="822" spans="1:22" x14ac:dyDescent="0.2">
      <c r="A822" s="7" t="s">
        <v>2281</v>
      </c>
      <c r="B822" t="str">
        <f t="shared" si="12"/>
        <v>OZON IV кв. 2021</v>
      </c>
      <c r="C822">
        <v>2021</v>
      </c>
      <c r="D822">
        <f>SUMIFS(Дивиденды!$C:$C,Дивиденды!$A:$A,A822,Дивиденды!$I:$I,C822)</f>
        <v>0</v>
      </c>
      <c r="E822" t="str">
        <f>IFERROR(IF(VLOOKUP($B822,Показатели!$E:$W,2,FALSE)=0,"",VLOOKUP($B822,Показатели!$E:$W,2,FALSE)),"")</f>
        <v/>
      </c>
      <c r="F822" t="str">
        <f>IFERROR(IF(VLOOKUP($B822,Показатели!$E:$W,3,FALSE)=0,"",VLOOKUP($B822,Показатели!$E:$W,3,FALSE)),"")</f>
        <v/>
      </c>
      <c r="G822" t="str">
        <f>IFERROR(IF(VLOOKUP($B822,Показатели!$E:$W,4,FALSE)=0,"",VLOOKUP($B822,Показатели!$E:$W,4,FALSE)),"")</f>
        <v/>
      </c>
      <c r="H822" t="str">
        <f>IFERROR(IF(VLOOKUP($B822,Показатели!$E:$W,5,FALSE)=0,"",VLOOKUP($B822,Показатели!$E:$W,5,FALSE)),"")</f>
        <v/>
      </c>
      <c r="I822" t="str">
        <f>IFERROR(IF(VLOOKUP($B822,Показатели!$E:$W,6,FALSE)=0,"",VLOOKUP($B822,Показатели!$E:$W,6,FALSE)),"")</f>
        <v/>
      </c>
      <c r="J822" t="str">
        <f>IFERROR(IF(VLOOKUP($B822,Показатели!$E:$W,7,FALSE)=0,"",VLOOKUP($B822,Показатели!$E:$W,7,FALSE)),"")</f>
        <v/>
      </c>
      <c r="K822" t="str">
        <f>IFERROR(IF(VLOOKUP($B822,Показатели!$E:$W,8,FALSE)=0,"",VLOOKUP($B822,Показатели!$E:$W,8,FALSE)),"")</f>
        <v/>
      </c>
      <c r="L822" t="str">
        <f>IFERROR(IF(VLOOKUP($B822,Показатели!$E:$W,9,FALSE)=0,"",VLOOKUP($B822,Показатели!$E:$W,9,FALSE)),"")</f>
        <v/>
      </c>
      <c r="M822" t="str">
        <f>IFERROR(IF(VLOOKUP($B822,Показатели!$E:$W,10,FALSE)=0,"",VLOOKUP($B822,Показатели!$E:$W,10,FALSE)),"")</f>
        <v/>
      </c>
      <c r="N822" t="str">
        <f>IFERROR(IF(VLOOKUP($B822,Показатели!$E:$W,11,FALSE)=0,"",VLOOKUP($B822,Показатели!$E:$W,11,FALSE)),"")</f>
        <v/>
      </c>
      <c r="O822" t="str">
        <f>IFERROR(IF(VLOOKUP($B822,Показатели!$E:$W,12,FALSE)=0,"",VLOOKUP($B822,Показатели!$E:$W,12,FALSE)),"")</f>
        <v/>
      </c>
      <c r="P822" t="str">
        <f>IFERROR(IF(VLOOKUP($B822,Показатели!$E:$W,13,FALSE)=0,"",VLOOKUP($B822,Показатели!$E:$W,13,FALSE)),"")</f>
        <v/>
      </c>
      <c r="Q822" t="str">
        <f>IFERROR(IF(VLOOKUP($B822,Показатели!$E:$W,14,FALSE)=0,"",VLOOKUP($B822,Показатели!$E:$W,14,FALSE)),"")</f>
        <v/>
      </c>
      <c r="R822" t="str">
        <f>IFERROR(IF(VLOOKUP($B822,Показатели!$E:$W,15,FALSE)=0,"",VLOOKUP($B822,Показатели!$E:$W,15,FALSE)),"")</f>
        <v/>
      </c>
      <c r="S822" t="str">
        <f>IFERROR(IF(VLOOKUP($B822,Показатели!$E:$W,16,FALSE)=0,"",VLOOKUP($B822,Показатели!$E:$W,16,FALSE)),"")</f>
        <v/>
      </c>
      <c r="T822" t="str">
        <f>IFERROR(IF(VLOOKUP($B822,Показатели!$E:$W,17,FALSE)=0,"",VLOOKUP($B822,Показатели!$E:$W,17,FALSE)),"")</f>
        <v/>
      </c>
      <c r="U822" t="str">
        <f>IFERROR(IF(VLOOKUP($B822,Показатели!$E:$W,18,FALSE)=0,"",VLOOKUP($B822,Показатели!$E:$W,18,FALSE)),"")</f>
        <v/>
      </c>
      <c r="V822" t="str">
        <f>IFERROR(IF(VLOOKUP($B822,Показатели!$E:$W,19,FALSE)=0,"",VLOOKUP($B822,Показатели!$E:$W,19,FALSE)),"")</f>
        <v/>
      </c>
    </row>
    <row r="823" spans="1:22" x14ac:dyDescent="0.2">
      <c r="A823" s="7" t="s">
        <v>2281</v>
      </c>
      <c r="B823" t="str">
        <f t="shared" si="12"/>
        <v>OZON IV кв. 2020</v>
      </c>
      <c r="C823">
        <v>2020</v>
      </c>
      <c r="D823">
        <f>SUMIFS(Дивиденды!$C:$C,Дивиденды!$A:$A,A823,Дивиденды!$I:$I,C823)</f>
        <v>0</v>
      </c>
      <c r="E823" t="str">
        <f>IFERROR(IF(VLOOKUP($B823,Показатели!$E:$W,2,FALSE)=0,"",VLOOKUP($B823,Показатели!$E:$W,2,FALSE)),"")</f>
        <v/>
      </c>
      <c r="F823" t="str">
        <f>IFERROR(IF(VLOOKUP($B823,Показатели!$E:$W,3,FALSE)=0,"",VLOOKUP($B823,Показатели!$E:$W,3,FALSE)),"")</f>
        <v/>
      </c>
      <c r="G823" t="str">
        <f>IFERROR(IF(VLOOKUP($B823,Показатели!$E:$W,4,FALSE)=0,"",VLOOKUP($B823,Показатели!$E:$W,4,FALSE)),"")</f>
        <v/>
      </c>
      <c r="H823" t="str">
        <f>IFERROR(IF(VLOOKUP($B823,Показатели!$E:$W,5,FALSE)=0,"",VLOOKUP($B823,Показатели!$E:$W,5,FALSE)),"")</f>
        <v/>
      </c>
      <c r="I823" t="str">
        <f>IFERROR(IF(VLOOKUP($B823,Показатели!$E:$W,6,FALSE)=0,"",VLOOKUP($B823,Показатели!$E:$W,6,FALSE)),"")</f>
        <v/>
      </c>
      <c r="J823" t="str">
        <f>IFERROR(IF(VLOOKUP($B823,Показатели!$E:$W,7,FALSE)=0,"",VLOOKUP($B823,Показатели!$E:$W,7,FALSE)),"")</f>
        <v/>
      </c>
      <c r="K823" t="str">
        <f>IFERROR(IF(VLOOKUP($B823,Показатели!$E:$W,8,FALSE)=0,"",VLOOKUP($B823,Показатели!$E:$W,8,FALSE)),"")</f>
        <v/>
      </c>
      <c r="L823" t="str">
        <f>IFERROR(IF(VLOOKUP($B823,Показатели!$E:$W,9,FALSE)=0,"",VLOOKUP($B823,Показатели!$E:$W,9,FALSE)),"")</f>
        <v/>
      </c>
      <c r="M823" t="str">
        <f>IFERROR(IF(VLOOKUP($B823,Показатели!$E:$W,10,FALSE)=0,"",VLOOKUP($B823,Показатели!$E:$W,10,FALSE)),"")</f>
        <v/>
      </c>
      <c r="N823" t="str">
        <f>IFERROR(IF(VLOOKUP($B823,Показатели!$E:$W,11,FALSE)=0,"",VLOOKUP($B823,Показатели!$E:$W,11,FALSE)),"")</f>
        <v/>
      </c>
      <c r="O823" t="str">
        <f>IFERROR(IF(VLOOKUP($B823,Показатели!$E:$W,12,FALSE)=0,"",VLOOKUP($B823,Показатели!$E:$W,12,FALSE)),"")</f>
        <v/>
      </c>
      <c r="P823" t="str">
        <f>IFERROR(IF(VLOOKUP($B823,Показатели!$E:$W,13,FALSE)=0,"",VLOOKUP($B823,Показатели!$E:$W,13,FALSE)),"")</f>
        <v/>
      </c>
      <c r="Q823" t="str">
        <f>IFERROR(IF(VLOOKUP($B823,Показатели!$E:$W,14,FALSE)=0,"",VLOOKUP($B823,Показатели!$E:$W,14,FALSE)),"")</f>
        <v/>
      </c>
      <c r="R823" t="str">
        <f>IFERROR(IF(VLOOKUP($B823,Показатели!$E:$W,15,FALSE)=0,"",VLOOKUP($B823,Показатели!$E:$W,15,FALSE)),"")</f>
        <v/>
      </c>
      <c r="S823" t="str">
        <f>IFERROR(IF(VLOOKUP($B823,Показатели!$E:$W,16,FALSE)=0,"",VLOOKUP($B823,Показатели!$E:$W,16,FALSE)),"")</f>
        <v/>
      </c>
      <c r="T823" t="str">
        <f>IFERROR(IF(VLOOKUP($B823,Показатели!$E:$W,17,FALSE)=0,"",VLOOKUP($B823,Показатели!$E:$W,17,FALSE)),"")</f>
        <v/>
      </c>
      <c r="U823" t="str">
        <f>IFERROR(IF(VLOOKUP($B823,Показатели!$E:$W,18,FALSE)=0,"",VLOOKUP($B823,Показатели!$E:$W,18,FALSE)),"")</f>
        <v/>
      </c>
      <c r="V823" t="str">
        <f>IFERROR(IF(VLOOKUP($B823,Показатели!$E:$W,19,FALSE)=0,"",VLOOKUP($B823,Показатели!$E:$W,19,FALSE)),"")</f>
        <v/>
      </c>
    </row>
    <row r="824" spans="1:22" x14ac:dyDescent="0.2">
      <c r="A824" s="7" t="s">
        <v>2281</v>
      </c>
      <c r="B824" t="str">
        <f t="shared" si="12"/>
        <v>OZON IV кв. 2019</v>
      </c>
      <c r="C824">
        <v>2019</v>
      </c>
      <c r="D824">
        <f>SUMIFS(Дивиденды!$C:$C,Дивиденды!$A:$A,A824,Дивиденды!$I:$I,C824)</f>
        <v>0</v>
      </c>
      <c r="E824" t="str">
        <f>IFERROR(IF(VLOOKUP($B824,Показатели!$E:$W,2,FALSE)=0,"",VLOOKUP($B824,Показатели!$E:$W,2,FALSE)),"")</f>
        <v/>
      </c>
      <c r="F824" t="str">
        <f>IFERROR(IF(VLOOKUP($B824,Показатели!$E:$W,3,FALSE)=0,"",VLOOKUP($B824,Показатели!$E:$W,3,FALSE)),"")</f>
        <v/>
      </c>
      <c r="G824" t="str">
        <f>IFERROR(IF(VLOOKUP($B824,Показатели!$E:$W,4,FALSE)=0,"",VLOOKUP($B824,Показатели!$E:$W,4,FALSE)),"")</f>
        <v/>
      </c>
      <c r="H824" t="str">
        <f>IFERROR(IF(VLOOKUP($B824,Показатели!$E:$W,5,FALSE)=0,"",VLOOKUP($B824,Показатели!$E:$W,5,FALSE)),"")</f>
        <v/>
      </c>
      <c r="I824" t="str">
        <f>IFERROR(IF(VLOOKUP($B824,Показатели!$E:$W,6,FALSE)=0,"",VLOOKUP($B824,Показатели!$E:$W,6,FALSE)),"")</f>
        <v/>
      </c>
      <c r="J824" t="str">
        <f>IFERROR(IF(VLOOKUP($B824,Показатели!$E:$W,7,FALSE)=0,"",VLOOKUP($B824,Показатели!$E:$W,7,FALSE)),"")</f>
        <v/>
      </c>
      <c r="K824" t="str">
        <f>IFERROR(IF(VLOOKUP($B824,Показатели!$E:$W,8,FALSE)=0,"",VLOOKUP($B824,Показатели!$E:$W,8,FALSE)),"")</f>
        <v/>
      </c>
      <c r="L824" t="str">
        <f>IFERROR(IF(VLOOKUP($B824,Показатели!$E:$W,9,FALSE)=0,"",VLOOKUP($B824,Показатели!$E:$W,9,FALSE)),"")</f>
        <v/>
      </c>
      <c r="M824" t="str">
        <f>IFERROR(IF(VLOOKUP($B824,Показатели!$E:$W,10,FALSE)=0,"",VLOOKUP($B824,Показатели!$E:$W,10,FALSE)),"")</f>
        <v/>
      </c>
      <c r="N824" t="str">
        <f>IFERROR(IF(VLOOKUP($B824,Показатели!$E:$W,11,FALSE)=0,"",VLOOKUP($B824,Показатели!$E:$W,11,FALSE)),"")</f>
        <v/>
      </c>
      <c r="O824" t="str">
        <f>IFERROR(IF(VLOOKUP($B824,Показатели!$E:$W,12,FALSE)=0,"",VLOOKUP($B824,Показатели!$E:$W,12,FALSE)),"")</f>
        <v/>
      </c>
      <c r="P824" t="str">
        <f>IFERROR(IF(VLOOKUP($B824,Показатели!$E:$W,13,FALSE)=0,"",VLOOKUP($B824,Показатели!$E:$W,13,FALSE)),"")</f>
        <v/>
      </c>
      <c r="Q824" t="str">
        <f>IFERROR(IF(VLOOKUP($B824,Показатели!$E:$W,14,FALSE)=0,"",VLOOKUP($B824,Показатели!$E:$W,14,FALSE)),"")</f>
        <v/>
      </c>
      <c r="R824" t="str">
        <f>IFERROR(IF(VLOOKUP($B824,Показатели!$E:$W,15,FALSE)=0,"",VLOOKUP($B824,Показатели!$E:$W,15,FALSE)),"")</f>
        <v/>
      </c>
      <c r="S824" t="str">
        <f>IFERROR(IF(VLOOKUP($B824,Показатели!$E:$W,16,FALSE)=0,"",VLOOKUP($B824,Показатели!$E:$W,16,FALSE)),"")</f>
        <v/>
      </c>
      <c r="T824" t="str">
        <f>IFERROR(IF(VLOOKUP($B824,Показатели!$E:$W,17,FALSE)=0,"",VLOOKUP($B824,Показатели!$E:$W,17,FALSE)),"")</f>
        <v/>
      </c>
      <c r="U824" t="str">
        <f>IFERROR(IF(VLOOKUP($B824,Показатели!$E:$W,18,FALSE)=0,"",VLOOKUP($B824,Показатели!$E:$W,18,FALSE)),"")</f>
        <v/>
      </c>
      <c r="V824" t="str">
        <f>IFERROR(IF(VLOOKUP($B824,Показатели!$E:$W,19,FALSE)=0,"",VLOOKUP($B824,Показатели!$E:$W,19,FALSE)),"")</f>
        <v/>
      </c>
    </row>
    <row r="825" spans="1:22" x14ac:dyDescent="0.2">
      <c r="A825" s="7" t="s">
        <v>2281</v>
      </c>
      <c r="B825" t="str">
        <f t="shared" si="12"/>
        <v>OZON IV кв. 2018</v>
      </c>
      <c r="C825">
        <v>2018</v>
      </c>
      <c r="D825">
        <f>SUMIFS(Дивиденды!$C:$C,Дивиденды!$A:$A,A825,Дивиденды!$I:$I,C825)</f>
        <v>0</v>
      </c>
      <c r="E825" t="str">
        <f>IFERROR(IF(VLOOKUP($B825,Показатели!$E:$W,2,FALSE)=0,"",VLOOKUP($B825,Показатели!$E:$W,2,FALSE)),"")</f>
        <v/>
      </c>
      <c r="F825" t="str">
        <f>IFERROR(IF(VLOOKUP($B825,Показатели!$E:$W,3,FALSE)=0,"",VLOOKUP($B825,Показатели!$E:$W,3,FALSE)),"")</f>
        <v/>
      </c>
      <c r="G825" t="str">
        <f>IFERROR(IF(VLOOKUP($B825,Показатели!$E:$W,4,FALSE)=0,"",VLOOKUP($B825,Показатели!$E:$W,4,FALSE)),"")</f>
        <v/>
      </c>
      <c r="H825" t="str">
        <f>IFERROR(IF(VLOOKUP($B825,Показатели!$E:$W,5,FALSE)=0,"",VLOOKUP($B825,Показатели!$E:$W,5,FALSE)),"")</f>
        <v/>
      </c>
      <c r="I825" t="str">
        <f>IFERROR(IF(VLOOKUP($B825,Показатели!$E:$W,6,FALSE)=0,"",VLOOKUP($B825,Показатели!$E:$W,6,FALSE)),"")</f>
        <v/>
      </c>
      <c r="J825" t="str">
        <f>IFERROR(IF(VLOOKUP($B825,Показатели!$E:$W,7,FALSE)=0,"",VLOOKUP($B825,Показатели!$E:$W,7,FALSE)),"")</f>
        <v/>
      </c>
      <c r="K825" t="str">
        <f>IFERROR(IF(VLOOKUP($B825,Показатели!$E:$W,8,FALSE)=0,"",VLOOKUP($B825,Показатели!$E:$W,8,FALSE)),"")</f>
        <v/>
      </c>
      <c r="L825" t="str">
        <f>IFERROR(IF(VLOOKUP($B825,Показатели!$E:$W,9,FALSE)=0,"",VLOOKUP($B825,Показатели!$E:$W,9,FALSE)),"")</f>
        <v/>
      </c>
      <c r="M825" t="str">
        <f>IFERROR(IF(VLOOKUP($B825,Показатели!$E:$W,10,FALSE)=0,"",VLOOKUP($B825,Показатели!$E:$W,10,FALSE)),"")</f>
        <v/>
      </c>
      <c r="N825" t="str">
        <f>IFERROR(IF(VLOOKUP($B825,Показатели!$E:$W,11,FALSE)=0,"",VLOOKUP($B825,Показатели!$E:$W,11,FALSE)),"")</f>
        <v/>
      </c>
      <c r="O825" t="str">
        <f>IFERROR(IF(VLOOKUP($B825,Показатели!$E:$W,12,FALSE)=0,"",VLOOKUP($B825,Показатели!$E:$W,12,FALSE)),"")</f>
        <v/>
      </c>
      <c r="P825" t="str">
        <f>IFERROR(IF(VLOOKUP($B825,Показатели!$E:$W,13,FALSE)=0,"",VLOOKUP($B825,Показатели!$E:$W,13,FALSE)),"")</f>
        <v/>
      </c>
      <c r="Q825" t="str">
        <f>IFERROR(IF(VLOOKUP($B825,Показатели!$E:$W,14,FALSE)=0,"",VLOOKUP($B825,Показатели!$E:$W,14,FALSE)),"")</f>
        <v/>
      </c>
      <c r="R825" t="str">
        <f>IFERROR(IF(VLOOKUP($B825,Показатели!$E:$W,15,FALSE)=0,"",VLOOKUP($B825,Показатели!$E:$W,15,FALSE)),"")</f>
        <v/>
      </c>
      <c r="S825" t="str">
        <f>IFERROR(IF(VLOOKUP($B825,Показатели!$E:$W,16,FALSE)=0,"",VLOOKUP($B825,Показатели!$E:$W,16,FALSE)),"")</f>
        <v/>
      </c>
      <c r="T825" t="str">
        <f>IFERROR(IF(VLOOKUP($B825,Показатели!$E:$W,17,FALSE)=0,"",VLOOKUP($B825,Показатели!$E:$W,17,FALSE)),"")</f>
        <v/>
      </c>
      <c r="U825" t="str">
        <f>IFERROR(IF(VLOOKUP($B825,Показатели!$E:$W,18,FALSE)=0,"",VLOOKUP($B825,Показатели!$E:$W,18,FALSE)),"")</f>
        <v/>
      </c>
      <c r="V825" t="str">
        <f>IFERROR(IF(VLOOKUP($B825,Показатели!$E:$W,19,FALSE)=0,"",VLOOKUP($B825,Показатели!$E:$W,19,FALSE)),"")</f>
        <v/>
      </c>
    </row>
    <row r="826" spans="1:22" x14ac:dyDescent="0.2">
      <c r="A826" s="7" t="s">
        <v>2281</v>
      </c>
      <c r="B826" t="str">
        <f t="shared" si="12"/>
        <v>OZON IV кв. 2017</v>
      </c>
      <c r="C826">
        <v>2017</v>
      </c>
      <c r="D826">
        <f>SUMIFS(Дивиденды!$C:$C,Дивиденды!$A:$A,A826,Дивиденды!$I:$I,C826)</f>
        <v>0</v>
      </c>
      <c r="E826" t="str">
        <f>IFERROR(IF(VLOOKUP($B826,Показатели!$E:$W,2,FALSE)=0,"",VLOOKUP($B826,Показатели!$E:$W,2,FALSE)),"")</f>
        <v/>
      </c>
      <c r="F826" t="str">
        <f>IFERROR(IF(VLOOKUP($B826,Показатели!$E:$W,3,FALSE)=0,"",VLOOKUP($B826,Показатели!$E:$W,3,FALSE)),"")</f>
        <v/>
      </c>
      <c r="G826" t="str">
        <f>IFERROR(IF(VLOOKUP($B826,Показатели!$E:$W,4,FALSE)=0,"",VLOOKUP($B826,Показатели!$E:$W,4,FALSE)),"")</f>
        <v/>
      </c>
      <c r="H826" t="str">
        <f>IFERROR(IF(VLOOKUP($B826,Показатели!$E:$W,5,FALSE)=0,"",VLOOKUP($B826,Показатели!$E:$W,5,FALSE)),"")</f>
        <v/>
      </c>
      <c r="I826" t="str">
        <f>IFERROR(IF(VLOOKUP($B826,Показатели!$E:$W,6,FALSE)=0,"",VLOOKUP($B826,Показатели!$E:$W,6,FALSE)),"")</f>
        <v/>
      </c>
      <c r="J826" t="str">
        <f>IFERROR(IF(VLOOKUP($B826,Показатели!$E:$W,7,FALSE)=0,"",VLOOKUP($B826,Показатели!$E:$W,7,FALSE)),"")</f>
        <v/>
      </c>
      <c r="K826" t="str">
        <f>IFERROR(IF(VLOOKUP($B826,Показатели!$E:$W,8,FALSE)=0,"",VLOOKUP($B826,Показатели!$E:$W,8,FALSE)),"")</f>
        <v/>
      </c>
      <c r="L826" t="str">
        <f>IFERROR(IF(VLOOKUP($B826,Показатели!$E:$W,9,FALSE)=0,"",VLOOKUP($B826,Показатели!$E:$W,9,FALSE)),"")</f>
        <v/>
      </c>
      <c r="M826" t="str">
        <f>IFERROR(IF(VLOOKUP($B826,Показатели!$E:$W,10,FALSE)=0,"",VLOOKUP($B826,Показатели!$E:$W,10,FALSE)),"")</f>
        <v/>
      </c>
      <c r="N826" t="str">
        <f>IFERROR(IF(VLOOKUP($B826,Показатели!$E:$W,11,FALSE)=0,"",VLOOKUP($B826,Показатели!$E:$W,11,FALSE)),"")</f>
        <v/>
      </c>
      <c r="O826" t="str">
        <f>IFERROR(IF(VLOOKUP($B826,Показатели!$E:$W,12,FALSE)=0,"",VLOOKUP($B826,Показатели!$E:$W,12,FALSE)),"")</f>
        <v/>
      </c>
      <c r="P826" t="str">
        <f>IFERROR(IF(VLOOKUP($B826,Показатели!$E:$W,13,FALSE)=0,"",VLOOKUP($B826,Показатели!$E:$W,13,FALSE)),"")</f>
        <v/>
      </c>
      <c r="Q826" t="str">
        <f>IFERROR(IF(VLOOKUP($B826,Показатели!$E:$W,14,FALSE)=0,"",VLOOKUP($B826,Показатели!$E:$W,14,FALSE)),"")</f>
        <v/>
      </c>
      <c r="R826" t="str">
        <f>IFERROR(IF(VLOOKUP($B826,Показатели!$E:$W,15,FALSE)=0,"",VLOOKUP($B826,Показатели!$E:$W,15,FALSE)),"")</f>
        <v/>
      </c>
      <c r="S826" t="str">
        <f>IFERROR(IF(VLOOKUP($B826,Показатели!$E:$W,16,FALSE)=0,"",VLOOKUP($B826,Показатели!$E:$W,16,FALSE)),"")</f>
        <v/>
      </c>
      <c r="T826" t="str">
        <f>IFERROR(IF(VLOOKUP($B826,Показатели!$E:$W,17,FALSE)=0,"",VLOOKUP($B826,Показатели!$E:$W,17,FALSE)),"")</f>
        <v/>
      </c>
      <c r="U826" t="str">
        <f>IFERROR(IF(VLOOKUP($B826,Показатели!$E:$W,18,FALSE)=0,"",VLOOKUP($B826,Показатели!$E:$W,18,FALSE)),"")</f>
        <v/>
      </c>
      <c r="V826" t="str">
        <f>IFERROR(IF(VLOOKUP($B826,Показатели!$E:$W,19,FALSE)=0,"",VLOOKUP($B826,Показатели!$E:$W,19,FALSE)),"")</f>
        <v/>
      </c>
    </row>
    <row r="827" spans="1:22" x14ac:dyDescent="0.2">
      <c r="A827" s="7" t="s">
        <v>2281</v>
      </c>
      <c r="B827" t="str">
        <f t="shared" si="12"/>
        <v>OZON IV кв. 2016</v>
      </c>
      <c r="C827">
        <v>2016</v>
      </c>
      <c r="D827">
        <f>SUMIFS(Дивиденды!$C:$C,Дивиденды!$A:$A,A827,Дивиденды!$I:$I,C827)</f>
        <v>0</v>
      </c>
      <c r="E827" t="str">
        <f>IFERROR(IF(VLOOKUP($B827,Показатели!$E:$W,2,FALSE)=0,"",VLOOKUP($B827,Показатели!$E:$W,2,FALSE)),"")</f>
        <v/>
      </c>
      <c r="F827" t="str">
        <f>IFERROR(IF(VLOOKUP($B827,Показатели!$E:$W,3,FALSE)=0,"",VLOOKUP($B827,Показатели!$E:$W,3,FALSE)),"")</f>
        <v/>
      </c>
      <c r="G827" t="str">
        <f>IFERROR(IF(VLOOKUP($B827,Показатели!$E:$W,4,FALSE)=0,"",VLOOKUP($B827,Показатели!$E:$W,4,FALSE)),"")</f>
        <v/>
      </c>
      <c r="H827" t="str">
        <f>IFERROR(IF(VLOOKUP($B827,Показатели!$E:$W,5,FALSE)=0,"",VLOOKUP($B827,Показатели!$E:$W,5,FALSE)),"")</f>
        <v/>
      </c>
      <c r="I827" t="str">
        <f>IFERROR(IF(VLOOKUP($B827,Показатели!$E:$W,6,FALSE)=0,"",VLOOKUP($B827,Показатели!$E:$W,6,FALSE)),"")</f>
        <v/>
      </c>
      <c r="J827" t="str">
        <f>IFERROR(IF(VLOOKUP($B827,Показатели!$E:$W,7,FALSE)=0,"",VLOOKUP($B827,Показатели!$E:$W,7,FALSE)),"")</f>
        <v/>
      </c>
      <c r="K827" t="str">
        <f>IFERROR(IF(VLOOKUP($B827,Показатели!$E:$W,8,FALSE)=0,"",VLOOKUP($B827,Показатели!$E:$W,8,FALSE)),"")</f>
        <v/>
      </c>
      <c r="L827" t="str">
        <f>IFERROR(IF(VLOOKUP($B827,Показатели!$E:$W,9,FALSE)=0,"",VLOOKUP($B827,Показатели!$E:$W,9,FALSE)),"")</f>
        <v/>
      </c>
      <c r="M827" t="str">
        <f>IFERROR(IF(VLOOKUP($B827,Показатели!$E:$W,10,FALSE)=0,"",VLOOKUP($B827,Показатели!$E:$W,10,FALSE)),"")</f>
        <v/>
      </c>
      <c r="N827" t="str">
        <f>IFERROR(IF(VLOOKUP($B827,Показатели!$E:$W,11,FALSE)=0,"",VLOOKUP($B827,Показатели!$E:$W,11,FALSE)),"")</f>
        <v/>
      </c>
      <c r="O827" t="str">
        <f>IFERROR(IF(VLOOKUP($B827,Показатели!$E:$W,12,FALSE)=0,"",VLOOKUP($B827,Показатели!$E:$W,12,FALSE)),"")</f>
        <v/>
      </c>
      <c r="P827" t="str">
        <f>IFERROR(IF(VLOOKUP($B827,Показатели!$E:$W,13,FALSE)=0,"",VLOOKUP($B827,Показатели!$E:$W,13,FALSE)),"")</f>
        <v/>
      </c>
      <c r="Q827" t="str">
        <f>IFERROR(IF(VLOOKUP($B827,Показатели!$E:$W,14,FALSE)=0,"",VLOOKUP($B827,Показатели!$E:$W,14,FALSE)),"")</f>
        <v/>
      </c>
      <c r="R827" t="str">
        <f>IFERROR(IF(VLOOKUP($B827,Показатели!$E:$W,15,FALSE)=0,"",VLOOKUP($B827,Показатели!$E:$W,15,FALSE)),"")</f>
        <v/>
      </c>
      <c r="S827" t="str">
        <f>IFERROR(IF(VLOOKUP($B827,Показатели!$E:$W,16,FALSE)=0,"",VLOOKUP($B827,Показатели!$E:$W,16,FALSE)),"")</f>
        <v/>
      </c>
      <c r="T827" t="str">
        <f>IFERROR(IF(VLOOKUP($B827,Показатели!$E:$W,17,FALSE)=0,"",VLOOKUP($B827,Показатели!$E:$W,17,FALSE)),"")</f>
        <v/>
      </c>
      <c r="U827" t="str">
        <f>IFERROR(IF(VLOOKUP($B827,Показатели!$E:$W,18,FALSE)=0,"",VLOOKUP($B827,Показатели!$E:$W,18,FALSE)),"")</f>
        <v/>
      </c>
      <c r="V827" t="str">
        <f>IFERROR(IF(VLOOKUP($B827,Показатели!$E:$W,19,FALSE)=0,"",VLOOKUP($B827,Показатели!$E:$W,19,FALSE)),"")</f>
        <v/>
      </c>
    </row>
    <row r="828" spans="1:22" x14ac:dyDescent="0.2">
      <c r="A828" s="7" t="s">
        <v>2281</v>
      </c>
      <c r="B828" t="str">
        <f t="shared" si="12"/>
        <v>OZON IV кв. 2015</v>
      </c>
      <c r="C828">
        <v>2015</v>
      </c>
      <c r="D828">
        <f>SUMIFS(Дивиденды!$C:$C,Дивиденды!$A:$A,A828,Дивиденды!$I:$I,C828)</f>
        <v>0</v>
      </c>
      <c r="E828" t="str">
        <f>IFERROR(IF(VLOOKUP($B828,Показатели!$E:$W,2,FALSE)=0,"",VLOOKUP($B828,Показатели!$E:$W,2,FALSE)),"")</f>
        <v/>
      </c>
      <c r="F828" t="str">
        <f>IFERROR(IF(VLOOKUP($B828,Показатели!$E:$W,3,FALSE)=0,"",VLOOKUP($B828,Показатели!$E:$W,3,FALSE)),"")</f>
        <v/>
      </c>
      <c r="G828" t="str">
        <f>IFERROR(IF(VLOOKUP($B828,Показатели!$E:$W,4,FALSE)=0,"",VLOOKUP($B828,Показатели!$E:$W,4,FALSE)),"")</f>
        <v/>
      </c>
      <c r="H828" t="str">
        <f>IFERROR(IF(VLOOKUP($B828,Показатели!$E:$W,5,FALSE)=0,"",VLOOKUP($B828,Показатели!$E:$W,5,FALSE)),"")</f>
        <v/>
      </c>
      <c r="I828" t="str">
        <f>IFERROR(IF(VLOOKUP($B828,Показатели!$E:$W,6,FALSE)=0,"",VLOOKUP($B828,Показатели!$E:$W,6,FALSE)),"")</f>
        <v/>
      </c>
      <c r="J828" t="str">
        <f>IFERROR(IF(VLOOKUP($B828,Показатели!$E:$W,7,FALSE)=0,"",VLOOKUP($B828,Показатели!$E:$W,7,FALSE)),"")</f>
        <v/>
      </c>
      <c r="K828" t="str">
        <f>IFERROR(IF(VLOOKUP($B828,Показатели!$E:$W,8,FALSE)=0,"",VLOOKUP($B828,Показатели!$E:$W,8,FALSE)),"")</f>
        <v/>
      </c>
      <c r="L828" t="str">
        <f>IFERROR(IF(VLOOKUP($B828,Показатели!$E:$W,9,FALSE)=0,"",VLOOKUP($B828,Показатели!$E:$W,9,FALSE)),"")</f>
        <v/>
      </c>
      <c r="M828" t="str">
        <f>IFERROR(IF(VLOOKUP($B828,Показатели!$E:$W,10,FALSE)=0,"",VLOOKUP($B828,Показатели!$E:$W,10,FALSE)),"")</f>
        <v/>
      </c>
      <c r="N828" t="str">
        <f>IFERROR(IF(VLOOKUP($B828,Показатели!$E:$W,11,FALSE)=0,"",VLOOKUP($B828,Показатели!$E:$W,11,FALSE)),"")</f>
        <v/>
      </c>
      <c r="O828" t="str">
        <f>IFERROR(IF(VLOOKUP($B828,Показатели!$E:$W,12,FALSE)=0,"",VLOOKUP($B828,Показатели!$E:$W,12,FALSE)),"")</f>
        <v/>
      </c>
      <c r="P828" t="str">
        <f>IFERROR(IF(VLOOKUP($B828,Показатели!$E:$W,13,FALSE)=0,"",VLOOKUP($B828,Показатели!$E:$W,13,FALSE)),"")</f>
        <v/>
      </c>
      <c r="Q828" t="str">
        <f>IFERROR(IF(VLOOKUP($B828,Показатели!$E:$W,14,FALSE)=0,"",VLOOKUP($B828,Показатели!$E:$W,14,FALSE)),"")</f>
        <v/>
      </c>
      <c r="R828" t="str">
        <f>IFERROR(IF(VLOOKUP($B828,Показатели!$E:$W,15,FALSE)=0,"",VLOOKUP($B828,Показатели!$E:$W,15,FALSE)),"")</f>
        <v/>
      </c>
      <c r="S828" t="str">
        <f>IFERROR(IF(VLOOKUP($B828,Показатели!$E:$W,16,FALSE)=0,"",VLOOKUP($B828,Показатели!$E:$W,16,FALSE)),"")</f>
        <v/>
      </c>
      <c r="T828" t="str">
        <f>IFERROR(IF(VLOOKUP($B828,Показатели!$E:$W,17,FALSE)=0,"",VLOOKUP($B828,Показатели!$E:$W,17,FALSE)),"")</f>
        <v/>
      </c>
      <c r="U828" t="str">
        <f>IFERROR(IF(VLOOKUP($B828,Показатели!$E:$W,18,FALSE)=0,"",VLOOKUP($B828,Показатели!$E:$W,18,FALSE)),"")</f>
        <v/>
      </c>
      <c r="V828" t="str">
        <f>IFERROR(IF(VLOOKUP($B828,Показатели!$E:$W,19,FALSE)=0,"",VLOOKUP($B828,Показатели!$E:$W,19,FALSE)),"")</f>
        <v/>
      </c>
    </row>
    <row r="829" spans="1:22" x14ac:dyDescent="0.2">
      <c r="A829" s="7" t="s">
        <v>2281</v>
      </c>
      <c r="B829" t="str">
        <f t="shared" si="12"/>
        <v>OZON IV кв. 2014</v>
      </c>
      <c r="C829">
        <v>2014</v>
      </c>
      <c r="D829">
        <f>SUMIFS(Дивиденды!$C:$C,Дивиденды!$A:$A,A829,Дивиденды!$I:$I,C829)</f>
        <v>0</v>
      </c>
      <c r="E829" t="str">
        <f>IFERROR(IF(VLOOKUP($B829,Показатели!$E:$W,2,FALSE)=0,"",VLOOKUP($B829,Показатели!$E:$W,2,FALSE)),"")</f>
        <v/>
      </c>
      <c r="F829" t="str">
        <f>IFERROR(IF(VLOOKUP($B829,Показатели!$E:$W,3,FALSE)=0,"",VLOOKUP($B829,Показатели!$E:$W,3,FALSE)),"")</f>
        <v/>
      </c>
      <c r="G829" t="str">
        <f>IFERROR(IF(VLOOKUP($B829,Показатели!$E:$W,4,FALSE)=0,"",VLOOKUP($B829,Показатели!$E:$W,4,FALSE)),"")</f>
        <v/>
      </c>
      <c r="H829" t="str">
        <f>IFERROR(IF(VLOOKUP($B829,Показатели!$E:$W,5,FALSE)=0,"",VLOOKUP($B829,Показатели!$E:$W,5,FALSE)),"")</f>
        <v/>
      </c>
      <c r="I829" t="str">
        <f>IFERROR(IF(VLOOKUP($B829,Показатели!$E:$W,6,FALSE)=0,"",VLOOKUP($B829,Показатели!$E:$W,6,FALSE)),"")</f>
        <v/>
      </c>
      <c r="J829" t="str">
        <f>IFERROR(IF(VLOOKUP($B829,Показатели!$E:$W,7,FALSE)=0,"",VLOOKUP($B829,Показатели!$E:$W,7,FALSE)),"")</f>
        <v/>
      </c>
      <c r="K829" t="str">
        <f>IFERROR(IF(VLOOKUP($B829,Показатели!$E:$W,8,FALSE)=0,"",VLOOKUP($B829,Показатели!$E:$W,8,FALSE)),"")</f>
        <v/>
      </c>
      <c r="L829" t="str">
        <f>IFERROR(IF(VLOOKUP($B829,Показатели!$E:$W,9,FALSE)=0,"",VLOOKUP($B829,Показатели!$E:$W,9,FALSE)),"")</f>
        <v/>
      </c>
      <c r="M829" t="str">
        <f>IFERROR(IF(VLOOKUP($B829,Показатели!$E:$W,10,FALSE)=0,"",VLOOKUP($B829,Показатели!$E:$W,10,FALSE)),"")</f>
        <v/>
      </c>
      <c r="N829" t="str">
        <f>IFERROR(IF(VLOOKUP($B829,Показатели!$E:$W,11,FALSE)=0,"",VLOOKUP($B829,Показатели!$E:$W,11,FALSE)),"")</f>
        <v/>
      </c>
      <c r="O829" t="str">
        <f>IFERROR(IF(VLOOKUP($B829,Показатели!$E:$W,12,FALSE)=0,"",VLOOKUP($B829,Показатели!$E:$W,12,FALSE)),"")</f>
        <v/>
      </c>
      <c r="P829" t="str">
        <f>IFERROR(IF(VLOOKUP($B829,Показатели!$E:$W,13,FALSE)=0,"",VLOOKUP($B829,Показатели!$E:$W,13,FALSE)),"")</f>
        <v/>
      </c>
      <c r="Q829" t="str">
        <f>IFERROR(IF(VLOOKUP($B829,Показатели!$E:$W,14,FALSE)=0,"",VLOOKUP($B829,Показатели!$E:$W,14,FALSE)),"")</f>
        <v/>
      </c>
      <c r="R829" t="str">
        <f>IFERROR(IF(VLOOKUP($B829,Показатели!$E:$W,15,FALSE)=0,"",VLOOKUP($B829,Показатели!$E:$W,15,FALSE)),"")</f>
        <v/>
      </c>
      <c r="S829" t="str">
        <f>IFERROR(IF(VLOOKUP($B829,Показатели!$E:$W,16,FALSE)=0,"",VLOOKUP($B829,Показатели!$E:$W,16,FALSE)),"")</f>
        <v/>
      </c>
      <c r="T829" t="str">
        <f>IFERROR(IF(VLOOKUP($B829,Показатели!$E:$W,17,FALSE)=0,"",VLOOKUP($B829,Показатели!$E:$W,17,FALSE)),"")</f>
        <v/>
      </c>
      <c r="U829" t="str">
        <f>IFERROR(IF(VLOOKUP($B829,Показатели!$E:$W,18,FALSE)=0,"",VLOOKUP($B829,Показатели!$E:$W,18,FALSE)),"")</f>
        <v/>
      </c>
      <c r="V829" t="str">
        <f>IFERROR(IF(VLOOKUP($B829,Показатели!$E:$W,19,FALSE)=0,"",VLOOKUP($B829,Показатели!$E:$W,19,FALSE)),"")</f>
        <v/>
      </c>
    </row>
    <row r="830" spans="1:22" x14ac:dyDescent="0.2">
      <c r="A830" s="7" t="s">
        <v>2281</v>
      </c>
      <c r="B830" t="str">
        <f t="shared" si="12"/>
        <v>OZON IV кв. 2013</v>
      </c>
      <c r="C830">
        <v>2013</v>
      </c>
      <c r="D830">
        <f>SUMIFS(Дивиденды!$C:$C,Дивиденды!$A:$A,A830,Дивиденды!$I:$I,C830)</f>
        <v>0</v>
      </c>
      <c r="E830" t="str">
        <f>IFERROR(IF(VLOOKUP($B830,Показатели!$E:$W,2,FALSE)=0,"",VLOOKUP($B830,Показатели!$E:$W,2,FALSE)),"")</f>
        <v/>
      </c>
      <c r="F830" t="str">
        <f>IFERROR(IF(VLOOKUP($B830,Показатели!$E:$W,3,FALSE)=0,"",VLOOKUP($B830,Показатели!$E:$W,3,FALSE)),"")</f>
        <v/>
      </c>
      <c r="G830" t="str">
        <f>IFERROR(IF(VLOOKUP($B830,Показатели!$E:$W,4,FALSE)=0,"",VLOOKUP($B830,Показатели!$E:$W,4,FALSE)),"")</f>
        <v/>
      </c>
      <c r="H830" t="str">
        <f>IFERROR(IF(VLOOKUP($B830,Показатели!$E:$W,5,FALSE)=0,"",VLOOKUP($B830,Показатели!$E:$W,5,FALSE)),"")</f>
        <v/>
      </c>
      <c r="I830" t="str">
        <f>IFERROR(IF(VLOOKUP($B830,Показатели!$E:$W,6,FALSE)=0,"",VLOOKUP($B830,Показатели!$E:$W,6,FALSE)),"")</f>
        <v/>
      </c>
      <c r="J830" t="str">
        <f>IFERROR(IF(VLOOKUP($B830,Показатели!$E:$W,7,FALSE)=0,"",VLOOKUP($B830,Показатели!$E:$W,7,FALSE)),"")</f>
        <v/>
      </c>
      <c r="K830" t="str">
        <f>IFERROR(IF(VLOOKUP($B830,Показатели!$E:$W,8,FALSE)=0,"",VLOOKUP($B830,Показатели!$E:$W,8,FALSE)),"")</f>
        <v/>
      </c>
      <c r="L830" t="str">
        <f>IFERROR(IF(VLOOKUP($B830,Показатели!$E:$W,9,FALSE)=0,"",VLOOKUP($B830,Показатели!$E:$W,9,FALSE)),"")</f>
        <v/>
      </c>
      <c r="M830" t="str">
        <f>IFERROR(IF(VLOOKUP($B830,Показатели!$E:$W,10,FALSE)=0,"",VLOOKUP($B830,Показатели!$E:$W,10,FALSE)),"")</f>
        <v/>
      </c>
      <c r="N830" t="str">
        <f>IFERROR(IF(VLOOKUP($B830,Показатели!$E:$W,11,FALSE)=0,"",VLOOKUP($B830,Показатели!$E:$W,11,FALSE)),"")</f>
        <v/>
      </c>
      <c r="O830" t="str">
        <f>IFERROR(IF(VLOOKUP($B830,Показатели!$E:$W,12,FALSE)=0,"",VLOOKUP($B830,Показатели!$E:$W,12,FALSE)),"")</f>
        <v/>
      </c>
      <c r="P830" t="str">
        <f>IFERROR(IF(VLOOKUP($B830,Показатели!$E:$W,13,FALSE)=0,"",VLOOKUP($B830,Показатели!$E:$W,13,FALSE)),"")</f>
        <v/>
      </c>
      <c r="Q830" t="str">
        <f>IFERROR(IF(VLOOKUP($B830,Показатели!$E:$W,14,FALSE)=0,"",VLOOKUP($B830,Показатели!$E:$W,14,FALSE)),"")</f>
        <v/>
      </c>
      <c r="R830" t="str">
        <f>IFERROR(IF(VLOOKUP($B830,Показатели!$E:$W,15,FALSE)=0,"",VLOOKUP($B830,Показатели!$E:$W,15,FALSE)),"")</f>
        <v/>
      </c>
      <c r="S830" t="str">
        <f>IFERROR(IF(VLOOKUP($B830,Показатели!$E:$W,16,FALSE)=0,"",VLOOKUP($B830,Показатели!$E:$W,16,FALSE)),"")</f>
        <v/>
      </c>
      <c r="T830" t="str">
        <f>IFERROR(IF(VLOOKUP($B830,Показатели!$E:$W,17,FALSE)=0,"",VLOOKUP($B830,Показатели!$E:$W,17,FALSE)),"")</f>
        <v/>
      </c>
      <c r="U830" t="str">
        <f>IFERROR(IF(VLOOKUP($B830,Показатели!$E:$W,18,FALSE)=0,"",VLOOKUP($B830,Показатели!$E:$W,18,FALSE)),"")</f>
        <v/>
      </c>
      <c r="V830" t="str">
        <f>IFERROR(IF(VLOOKUP($B830,Показатели!$E:$W,19,FALSE)=0,"",VLOOKUP($B830,Показатели!$E:$W,19,FALSE)),"")</f>
        <v/>
      </c>
    </row>
    <row r="831" spans="1:22" x14ac:dyDescent="0.2">
      <c r="A831" s="7" t="s">
        <v>2281</v>
      </c>
      <c r="B831" t="str">
        <f t="shared" si="12"/>
        <v>OZON IV кв. 2012</v>
      </c>
      <c r="C831">
        <v>2012</v>
      </c>
      <c r="D831">
        <f>SUMIFS(Дивиденды!$C:$C,Дивиденды!$A:$A,A831,Дивиденды!$I:$I,C831)</f>
        <v>0</v>
      </c>
      <c r="E831" t="str">
        <f>IFERROR(IF(VLOOKUP($B831,Показатели!$E:$W,2,FALSE)=0,"",VLOOKUP($B831,Показатели!$E:$W,2,FALSE)),"")</f>
        <v/>
      </c>
      <c r="F831" t="str">
        <f>IFERROR(IF(VLOOKUP($B831,Показатели!$E:$W,3,FALSE)=0,"",VLOOKUP($B831,Показатели!$E:$W,3,FALSE)),"")</f>
        <v/>
      </c>
      <c r="G831" t="str">
        <f>IFERROR(IF(VLOOKUP($B831,Показатели!$E:$W,4,FALSE)=0,"",VLOOKUP($B831,Показатели!$E:$W,4,FALSE)),"")</f>
        <v/>
      </c>
      <c r="H831" t="str">
        <f>IFERROR(IF(VLOOKUP($B831,Показатели!$E:$W,5,FALSE)=0,"",VLOOKUP($B831,Показатели!$E:$W,5,FALSE)),"")</f>
        <v/>
      </c>
      <c r="I831" t="str">
        <f>IFERROR(IF(VLOOKUP($B831,Показатели!$E:$W,6,FALSE)=0,"",VLOOKUP($B831,Показатели!$E:$W,6,FALSE)),"")</f>
        <v/>
      </c>
      <c r="J831" t="str">
        <f>IFERROR(IF(VLOOKUP($B831,Показатели!$E:$W,7,FALSE)=0,"",VLOOKUP($B831,Показатели!$E:$W,7,FALSE)),"")</f>
        <v/>
      </c>
      <c r="K831" t="str">
        <f>IFERROR(IF(VLOOKUP($B831,Показатели!$E:$W,8,FALSE)=0,"",VLOOKUP($B831,Показатели!$E:$W,8,FALSE)),"")</f>
        <v/>
      </c>
      <c r="L831" t="str">
        <f>IFERROR(IF(VLOOKUP($B831,Показатели!$E:$W,9,FALSE)=0,"",VLOOKUP($B831,Показатели!$E:$W,9,FALSE)),"")</f>
        <v/>
      </c>
      <c r="M831" t="str">
        <f>IFERROR(IF(VLOOKUP($B831,Показатели!$E:$W,10,FALSE)=0,"",VLOOKUP($B831,Показатели!$E:$W,10,FALSE)),"")</f>
        <v/>
      </c>
      <c r="N831" t="str">
        <f>IFERROR(IF(VLOOKUP($B831,Показатели!$E:$W,11,FALSE)=0,"",VLOOKUP($B831,Показатели!$E:$W,11,FALSE)),"")</f>
        <v/>
      </c>
      <c r="O831" t="str">
        <f>IFERROR(IF(VLOOKUP($B831,Показатели!$E:$W,12,FALSE)=0,"",VLOOKUP($B831,Показатели!$E:$W,12,FALSE)),"")</f>
        <v/>
      </c>
      <c r="P831" t="str">
        <f>IFERROR(IF(VLOOKUP($B831,Показатели!$E:$W,13,FALSE)=0,"",VLOOKUP($B831,Показатели!$E:$W,13,FALSE)),"")</f>
        <v/>
      </c>
      <c r="Q831" t="str">
        <f>IFERROR(IF(VLOOKUP($B831,Показатели!$E:$W,14,FALSE)=0,"",VLOOKUP($B831,Показатели!$E:$W,14,FALSE)),"")</f>
        <v/>
      </c>
      <c r="R831" t="str">
        <f>IFERROR(IF(VLOOKUP($B831,Показатели!$E:$W,15,FALSE)=0,"",VLOOKUP($B831,Показатели!$E:$W,15,FALSE)),"")</f>
        <v/>
      </c>
      <c r="S831" t="str">
        <f>IFERROR(IF(VLOOKUP($B831,Показатели!$E:$W,16,FALSE)=0,"",VLOOKUP($B831,Показатели!$E:$W,16,FALSE)),"")</f>
        <v/>
      </c>
      <c r="T831" t="str">
        <f>IFERROR(IF(VLOOKUP($B831,Показатели!$E:$W,17,FALSE)=0,"",VLOOKUP($B831,Показатели!$E:$W,17,FALSE)),"")</f>
        <v/>
      </c>
      <c r="U831" t="str">
        <f>IFERROR(IF(VLOOKUP($B831,Показатели!$E:$W,18,FALSE)=0,"",VLOOKUP($B831,Показатели!$E:$W,18,FALSE)),"")</f>
        <v/>
      </c>
      <c r="V831" t="str">
        <f>IFERROR(IF(VLOOKUP($B831,Показатели!$E:$W,19,FALSE)=0,"",VLOOKUP($B831,Показатели!$E:$W,19,FALSE)),"")</f>
        <v/>
      </c>
    </row>
    <row r="832" spans="1:22" x14ac:dyDescent="0.2">
      <c r="A832" s="7" t="s">
        <v>2281</v>
      </c>
      <c r="B832" t="str">
        <f t="shared" si="12"/>
        <v>OZON IV кв. 2011</v>
      </c>
      <c r="C832">
        <v>2011</v>
      </c>
      <c r="D832">
        <f>SUMIFS(Дивиденды!$C:$C,Дивиденды!$A:$A,A832,Дивиденды!$I:$I,C832)</f>
        <v>0</v>
      </c>
      <c r="E832" t="str">
        <f>IFERROR(IF(VLOOKUP($B832,Показатели!$E:$W,2,FALSE)=0,"",VLOOKUP($B832,Показатели!$E:$W,2,FALSE)),"")</f>
        <v/>
      </c>
      <c r="F832" t="str">
        <f>IFERROR(IF(VLOOKUP($B832,Показатели!$E:$W,3,FALSE)=0,"",VLOOKUP($B832,Показатели!$E:$W,3,FALSE)),"")</f>
        <v/>
      </c>
      <c r="G832" t="str">
        <f>IFERROR(IF(VLOOKUP($B832,Показатели!$E:$W,4,FALSE)=0,"",VLOOKUP($B832,Показатели!$E:$W,4,FALSE)),"")</f>
        <v/>
      </c>
      <c r="H832" t="str">
        <f>IFERROR(IF(VLOOKUP($B832,Показатели!$E:$W,5,FALSE)=0,"",VLOOKUP($B832,Показатели!$E:$W,5,FALSE)),"")</f>
        <v/>
      </c>
      <c r="I832" t="str">
        <f>IFERROR(IF(VLOOKUP($B832,Показатели!$E:$W,6,FALSE)=0,"",VLOOKUP($B832,Показатели!$E:$W,6,FALSE)),"")</f>
        <v/>
      </c>
      <c r="J832" t="str">
        <f>IFERROR(IF(VLOOKUP($B832,Показатели!$E:$W,7,FALSE)=0,"",VLOOKUP($B832,Показатели!$E:$W,7,FALSE)),"")</f>
        <v/>
      </c>
      <c r="K832" t="str">
        <f>IFERROR(IF(VLOOKUP($B832,Показатели!$E:$W,8,FALSE)=0,"",VLOOKUP($B832,Показатели!$E:$W,8,FALSE)),"")</f>
        <v/>
      </c>
      <c r="L832" t="str">
        <f>IFERROR(IF(VLOOKUP($B832,Показатели!$E:$W,9,FALSE)=0,"",VLOOKUP($B832,Показатели!$E:$W,9,FALSE)),"")</f>
        <v/>
      </c>
      <c r="M832" t="str">
        <f>IFERROR(IF(VLOOKUP($B832,Показатели!$E:$W,10,FALSE)=0,"",VLOOKUP($B832,Показатели!$E:$W,10,FALSE)),"")</f>
        <v/>
      </c>
      <c r="N832" t="str">
        <f>IFERROR(IF(VLOOKUP($B832,Показатели!$E:$W,11,FALSE)=0,"",VLOOKUP($B832,Показатели!$E:$W,11,FALSE)),"")</f>
        <v/>
      </c>
      <c r="O832" t="str">
        <f>IFERROR(IF(VLOOKUP($B832,Показатели!$E:$W,12,FALSE)=0,"",VLOOKUP($B832,Показатели!$E:$W,12,FALSE)),"")</f>
        <v/>
      </c>
      <c r="P832" t="str">
        <f>IFERROR(IF(VLOOKUP($B832,Показатели!$E:$W,13,FALSE)=0,"",VLOOKUP($B832,Показатели!$E:$W,13,FALSE)),"")</f>
        <v/>
      </c>
      <c r="Q832" t="str">
        <f>IFERROR(IF(VLOOKUP($B832,Показатели!$E:$W,14,FALSE)=0,"",VLOOKUP($B832,Показатели!$E:$W,14,FALSE)),"")</f>
        <v/>
      </c>
      <c r="R832" t="str">
        <f>IFERROR(IF(VLOOKUP($B832,Показатели!$E:$W,15,FALSE)=0,"",VLOOKUP($B832,Показатели!$E:$W,15,FALSE)),"")</f>
        <v/>
      </c>
      <c r="S832" t="str">
        <f>IFERROR(IF(VLOOKUP($B832,Показатели!$E:$W,16,FALSE)=0,"",VLOOKUP($B832,Показатели!$E:$W,16,FALSE)),"")</f>
        <v/>
      </c>
      <c r="T832" t="str">
        <f>IFERROR(IF(VLOOKUP($B832,Показатели!$E:$W,17,FALSE)=0,"",VLOOKUP($B832,Показатели!$E:$W,17,FALSE)),"")</f>
        <v/>
      </c>
      <c r="U832" t="str">
        <f>IFERROR(IF(VLOOKUP($B832,Показатели!$E:$W,18,FALSE)=0,"",VLOOKUP($B832,Показатели!$E:$W,18,FALSE)),"")</f>
        <v/>
      </c>
      <c r="V832" t="str">
        <f>IFERROR(IF(VLOOKUP($B832,Показатели!$E:$W,19,FALSE)=0,"",VLOOKUP($B832,Показатели!$E:$W,19,FALSE)),"")</f>
        <v/>
      </c>
    </row>
    <row r="833" spans="1:22" x14ac:dyDescent="0.2">
      <c r="A833" s="7" t="s">
        <v>2281</v>
      </c>
      <c r="B833" t="str">
        <f t="shared" si="12"/>
        <v>OZON IV кв. 2010</v>
      </c>
      <c r="C833">
        <v>2010</v>
      </c>
      <c r="D833">
        <f>SUMIFS(Дивиденды!$C:$C,Дивиденды!$A:$A,A833,Дивиденды!$I:$I,C833)</f>
        <v>0</v>
      </c>
      <c r="E833" t="str">
        <f>IFERROR(IF(VLOOKUP($B833,Показатели!$E:$W,2,FALSE)=0,"",VLOOKUP($B833,Показатели!$E:$W,2,FALSE)),"")</f>
        <v/>
      </c>
      <c r="F833" t="str">
        <f>IFERROR(IF(VLOOKUP($B833,Показатели!$E:$W,3,FALSE)=0,"",VLOOKUP($B833,Показатели!$E:$W,3,FALSE)),"")</f>
        <v/>
      </c>
      <c r="G833" t="str">
        <f>IFERROR(IF(VLOOKUP($B833,Показатели!$E:$W,4,FALSE)=0,"",VLOOKUP($B833,Показатели!$E:$W,4,FALSE)),"")</f>
        <v/>
      </c>
      <c r="H833" t="str">
        <f>IFERROR(IF(VLOOKUP($B833,Показатели!$E:$W,5,FALSE)=0,"",VLOOKUP($B833,Показатели!$E:$W,5,FALSE)),"")</f>
        <v/>
      </c>
      <c r="I833" t="str">
        <f>IFERROR(IF(VLOOKUP($B833,Показатели!$E:$W,6,FALSE)=0,"",VLOOKUP($B833,Показатели!$E:$W,6,FALSE)),"")</f>
        <v/>
      </c>
      <c r="J833" t="str">
        <f>IFERROR(IF(VLOOKUP($B833,Показатели!$E:$W,7,FALSE)=0,"",VLOOKUP($B833,Показатели!$E:$W,7,FALSE)),"")</f>
        <v/>
      </c>
      <c r="K833" t="str">
        <f>IFERROR(IF(VLOOKUP($B833,Показатели!$E:$W,8,FALSE)=0,"",VLOOKUP($B833,Показатели!$E:$W,8,FALSE)),"")</f>
        <v/>
      </c>
      <c r="L833" t="str">
        <f>IFERROR(IF(VLOOKUP($B833,Показатели!$E:$W,9,FALSE)=0,"",VLOOKUP($B833,Показатели!$E:$W,9,FALSE)),"")</f>
        <v/>
      </c>
      <c r="M833" t="str">
        <f>IFERROR(IF(VLOOKUP($B833,Показатели!$E:$W,10,FALSE)=0,"",VLOOKUP($B833,Показатели!$E:$W,10,FALSE)),"")</f>
        <v/>
      </c>
      <c r="N833" t="str">
        <f>IFERROR(IF(VLOOKUP($B833,Показатели!$E:$W,11,FALSE)=0,"",VLOOKUP($B833,Показатели!$E:$W,11,FALSE)),"")</f>
        <v/>
      </c>
      <c r="O833" t="str">
        <f>IFERROR(IF(VLOOKUP($B833,Показатели!$E:$W,12,FALSE)=0,"",VLOOKUP($B833,Показатели!$E:$W,12,FALSE)),"")</f>
        <v/>
      </c>
      <c r="P833" t="str">
        <f>IFERROR(IF(VLOOKUP($B833,Показатели!$E:$W,13,FALSE)=0,"",VLOOKUP($B833,Показатели!$E:$W,13,FALSE)),"")</f>
        <v/>
      </c>
      <c r="Q833" t="str">
        <f>IFERROR(IF(VLOOKUP($B833,Показатели!$E:$W,14,FALSE)=0,"",VLOOKUP($B833,Показатели!$E:$W,14,FALSE)),"")</f>
        <v/>
      </c>
      <c r="R833" t="str">
        <f>IFERROR(IF(VLOOKUP($B833,Показатели!$E:$W,15,FALSE)=0,"",VLOOKUP($B833,Показатели!$E:$W,15,FALSE)),"")</f>
        <v/>
      </c>
      <c r="S833" t="str">
        <f>IFERROR(IF(VLOOKUP($B833,Показатели!$E:$W,16,FALSE)=0,"",VLOOKUP($B833,Показатели!$E:$W,16,FALSE)),"")</f>
        <v/>
      </c>
      <c r="T833" t="str">
        <f>IFERROR(IF(VLOOKUP($B833,Показатели!$E:$W,17,FALSE)=0,"",VLOOKUP($B833,Показатели!$E:$W,17,FALSE)),"")</f>
        <v/>
      </c>
      <c r="U833" t="str">
        <f>IFERROR(IF(VLOOKUP($B833,Показатели!$E:$W,18,FALSE)=0,"",VLOOKUP($B833,Показатели!$E:$W,18,FALSE)),"")</f>
        <v/>
      </c>
      <c r="V833" t="str">
        <f>IFERROR(IF(VLOOKUP($B833,Показатели!$E:$W,19,FALSE)=0,"",VLOOKUP($B833,Показатели!$E:$W,19,FALSE)),"")</f>
        <v/>
      </c>
    </row>
    <row r="834" spans="1:22" x14ac:dyDescent="0.2">
      <c r="A834" s="7" t="s">
        <v>2284</v>
      </c>
      <c r="B834" t="str">
        <f t="shared" si="12"/>
        <v>POSI IV кв. 2025</v>
      </c>
      <c r="C834">
        <v>2025</v>
      </c>
      <c r="D834">
        <f>SUMIFS(Дивиденды!$C:$C,Дивиденды!$A:$A,A834,Дивиденды!$I:$I,C834)</f>
        <v>0</v>
      </c>
      <c r="E834" t="str">
        <f>IFERROR(IF(VLOOKUP($B834,Показатели!$E:$W,2,FALSE)=0,"",VLOOKUP($B834,Показатели!$E:$W,2,FALSE)),"")</f>
        <v/>
      </c>
      <c r="F834" t="str">
        <f>IFERROR(IF(VLOOKUP($B834,Показатели!$E:$W,3,FALSE)=0,"",VLOOKUP($B834,Показатели!$E:$W,3,FALSE)),"")</f>
        <v/>
      </c>
      <c r="G834" t="str">
        <f>IFERROR(IF(VLOOKUP($B834,Показатели!$E:$W,4,FALSE)=0,"",VLOOKUP($B834,Показатели!$E:$W,4,FALSE)),"")</f>
        <v/>
      </c>
      <c r="H834" t="str">
        <f>IFERROR(IF(VLOOKUP($B834,Показатели!$E:$W,5,FALSE)=0,"",VLOOKUP($B834,Показатели!$E:$W,5,FALSE)),"")</f>
        <v/>
      </c>
      <c r="I834" t="str">
        <f>IFERROR(IF(VLOOKUP($B834,Показатели!$E:$W,6,FALSE)=0,"",VLOOKUP($B834,Показатели!$E:$W,6,FALSE)),"")</f>
        <v/>
      </c>
      <c r="J834" t="str">
        <f>IFERROR(IF(VLOOKUP($B834,Показатели!$E:$W,7,FALSE)=0,"",VLOOKUP($B834,Показатели!$E:$W,7,FALSE)),"")</f>
        <v/>
      </c>
      <c r="K834" t="str">
        <f>IFERROR(IF(VLOOKUP($B834,Показатели!$E:$W,8,FALSE)=0,"",VLOOKUP($B834,Показатели!$E:$W,8,FALSE)),"")</f>
        <v/>
      </c>
      <c r="L834" t="str">
        <f>IFERROR(IF(VLOOKUP($B834,Показатели!$E:$W,9,FALSE)=0,"",VLOOKUP($B834,Показатели!$E:$W,9,FALSE)),"")</f>
        <v/>
      </c>
      <c r="M834" t="str">
        <f>IFERROR(IF(VLOOKUP($B834,Показатели!$E:$W,10,FALSE)=0,"",VLOOKUP($B834,Показатели!$E:$W,10,FALSE)),"")</f>
        <v/>
      </c>
      <c r="N834" t="str">
        <f>IFERROR(IF(VLOOKUP($B834,Показатели!$E:$W,11,FALSE)=0,"",VLOOKUP($B834,Показатели!$E:$W,11,FALSE)),"")</f>
        <v/>
      </c>
      <c r="O834" t="str">
        <f>IFERROR(IF(VLOOKUP($B834,Показатели!$E:$W,12,FALSE)=0,"",VLOOKUP($B834,Показатели!$E:$W,12,FALSE)),"")</f>
        <v/>
      </c>
      <c r="P834" t="str">
        <f>IFERROR(IF(VLOOKUP($B834,Показатели!$E:$W,13,FALSE)=0,"",VLOOKUP($B834,Показатели!$E:$W,13,FALSE)),"")</f>
        <v/>
      </c>
      <c r="Q834" t="str">
        <f>IFERROR(IF(VLOOKUP($B834,Показатели!$E:$W,14,FALSE)=0,"",VLOOKUP($B834,Показатели!$E:$W,14,FALSE)),"")</f>
        <v/>
      </c>
      <c r="R834" t="str">
        <f>IFERROR(IF(VLOOKUP($B834,Показатели!$E:$W,15,FALSE)=0,"",VLOOKUP($B834,Показатели!$E:$W,15,FALSE)),"")</f>
        <v/>
      </c>
      <c r="S834" t="str">
        <f>IFERROR(IF(VLOOKUP($B834,Показатели!$E:$W,16,FALSE)=0,"",VLOOKUP($B834,Показатели!$E:$W,16,FALSE)),"")</f>
        <v/>
      </c>
      <c r="T834" t="str">
        <f>IFERROR(IF(VLOOKUP($B834,Показатели!$E:$W,17,FALSE)=0,"",VLOOKUP($B834,Показатели!$E:$W,17,FALSE)),"")</f>
        <v/>
      </c>
      <c r="U834" t="str">
        <f>IFERROR(IF(VLOOKUP($B834,Показатели!$E:$W,18,FALSE)=0,"",VLOOKUP($B834,Показатели!$E:$W,18,FALSE)),"")</f>
        <v/>
      </c>
      <c r="V834" t="str">
        <f>IFERROR(IF(VLOOKUP($B834,Показатели!$E:$W,19,FALSE)=0,"",VLOOKUP($B834,Показатели!$E:$W,19,FALSE)),"")</f>
        <v/>
      </c>
    </row>
    <row r="835" spans="1:22" x14ac:dyDescent="0.2">
      <c r="A835" s="7" t="s">
        <v>2284</v>
      </c>
      <c r="B835" t="str">
        <f t="shared" ref="B835:B898" si="13">A835&amp;" "&amp;
"IV"
&amp;" кв. "&amp;C835</f>
        <v>POSI IV кв. 2024</v>
      </c>
      <c r="C835">
        <v>2024</v>
      </c>
      <c r="D835">
        <f>SUMIFS(Дивиденды!$C:$C,Дивиденды!$A:$A,A835,Дивиденды!$I:$I,C835)</f>
        <v>4.5599999999999996</v>
      </c>
      <c r="E835">
        <f>IFERROR(IF(VLOOKUP($B835,Показатели!$E:$W,2,FALSE)=0,"",VLOOKUP($B835,Показатели!$E:$W,2,FALSE)),"")</f>
        <v>6225167000</v>
      </c>
      <c r="F835">
        <f>IFERROR(IF(VLOOKUP($B835,Показатели!$E:$W,3,FALSE)=0,"",VLOOKUP($B835,Показатели!$E:$W,3,FALSE)),"")</f>
        <v>25922638000</v>
      </c>
      <c r="G835">
        <f>IFERROR(IF(VLOOKUP($B835,Показатели!$E:$W,4,FALSE)=0,"",VLOOKUP($B835,Показатели!$E:$W,4,FALSE)),"")</f>
        <v>3279653000</v>
      </c>
      <c r="H835">
        <f>IFERROR(IF(VLOOKUP($B835,Показатели!$E:$W,5,FALSE)=0,"",VLOOKUP($B835,Показатели!$E:$W,5,FALSE)),"")</f>
        <v>21457217000</v>
      </c>
      <c r="I835">
        <f>IFERROR(IF(VLOOKUP($B835,Показатели!$E:$W,6,FALSE)=0,"",VLOOKUP($B835,Показатели!$E:$W,6,FALSE)),"")</f>
        <v>52718993000</v>
      </c>
      <c r="J835">
        <f>IFERROR(IF(VLOOKUP($B835,Показатели!$E:$W,7,FALSE)=0,"",VLOOKUP($B835,Показатели!$E:$W,7,FALSE)),"")</f>
        <v>21970335000</v>
      </c>
      <c r="K835">
        <f>IFERROR(IF(VLOOKUP($B835,Показатели!$E:$W,8,FALSE)=0,"",VLOOKUP($B835,Показатели!$E:$W,8,FALSE)),"")</f>
        <v>13688876000</v>
      </c>
      <c r="L835">
        <f>IFERROR(IF(VLOOKUP($B835,Показатели!$E:$W,9,FALSE)=0,"",VLOOKUP($B835,Показатели!$E:$W,9,FALSE)),"")</f>
        <v>9491947000</v>
      </c>
      <c r="M835">
        <f>IFERROR(IF(VLOOKUP($B835,Показатели!$E:$W,10,FALSE)=0,"",VLOOKUP($B835,Показатели!$E:$W,10,FALSE)),"")</f>
        <v>17059782000</v>
      </c>
      <c r="N835">
        <f>IFERROR(IF(VLOOKUP($B835,Показатели!$E:$W,11,FALSE)=0,"",VLOOKUP($B835,Показатели!$E:$W,11,FALSE)),"")</f>
        <v>24456985000</v>
      </c>
      <c r="O835">
        <f>IFERROR(IF(VLOOKUP($B835,Показатели!$E:$W,12,FALSE)=0,"",VLOOKUP($B835,Показатели!$E:$W,12,FALSE)),"")</f>
        <v>4614837000</v>
      </c>
      <c r="P835">
        <f>IFERROR(IF(VLOOKUP($B835,Показатели!$E:$W,13,FALSE)=0,"",VLOOKUP($B835,Показатели!$E:$W,13,FALSE)),"")</f>
        <v>3849128000</v>
      </c>
      <c r="Q835">
        <f>IFERROR(IF(VLOOKUP($B835,Показатели!$E:$W,14,FALSE)=0,"",VLOOKUP($B835,Показатели!$E:$W,14,FALSE)),"")</f>
        <v>3663989000</v>
      </c>
      <c r="R835">
        <f>IFERROR(IF(VLOOKUP($B835,Показатели!$E:$W,15,FALSE)=0,"",VLOOKUP($B835,Показатели!$E:$W,15,FALSE)),"")</f>
        <v>1892006000</v>
      </c>
      <c r="S835">
        <f>IFERROR(IF(VLOOKUP($B835,Показатели!$E:$W,16,FALSE)=0,"",VLOOKUP($B835,Показатели!$E:$W,16,FALSE)),"")</f>
        <v>6458413000</v>
      </c>
      <c r="T835">
        <f>IFERROR(IF(VLOOKUP($B835,Показатели!$E:$W,17,FALSE)=0,"",VLOOKUP($B835,Показатели!$E:$W,17,FALSE)),"")</f>
        <v>-6671333000</v>
      </c>
      <c r="U835">
        <f>IFERROR(IF(VLOOKUP($B835,Показатели!$E:$W,18,FALSE)=0,"",VLOOKUP($B835,Показатели!$E:$W,18,FALSE)),"")</f>
        <v>22212552000</v>
      </c>
      <c r="V835">
        <f>IFERROR(IF(VLOOKUP($B835,Показатели!$E:$W,19,FALSE)=0,"",VLOOKUP($B835,Показатели!$E:$W,19,FALSE)),"")</f>
        <v>28364134000</v>
      </c>
    </row>
    <row r="836" spans="1:22" x14ac:dyDescent="0.2">
      <c r="A836" s="7" t="s">
        <v>2284</v>
      </c>
      <c r="B836" t="str">
        <f t="shared" si="13"/>
        <v>POSI IV кв. 2023</v>
      </c>
      <c r="C836">
        <v>2023</v>
      </c>
      <c r="D836">
        <f>SUMIFS(Дивиденды!$C:$C,Дивиденды!$A:$A,A836,Дивиденды!$I:$I,C836)</f>
        <v>148.30000000000001</v>
      </c>
      <c r="E836">
        <f>IFERROR(IF(VLOOKUP($B836,Показатели!$E:$W,2,FALSE)=0,"",VLOOKUP($B836,Показатели!$E:$W,2,FALSE)),"")</f>
        <v>1683655000</v>
      </c>
      <c r="F836">
        <f>IFERROR(IF(VLOOKUP($B836,Показатели!$E:$W,3,FALSE)=0,"",VLOOKUP($B836,Показатели!$E:$W,3,FALSE)),"")</f>
        <v>18773549000</v>
      </c>
      <c r="G836">
        <f>IFERROR(IF(VLOOKUP($B836,Показатели!$E:$W,4,FALSE)=0,"",VLOOKUP($B836,Показатели!$E:$W,4,FALSE)),"")</f>
        <v>1768391000</v>
      </c>
      <c r="H836">
        <f>IFERROR(IF(VLOOKUP($B836,Показатели!$E:$W,5,FALSE)=0,"",VLOOKUP($B836,Показатели!$E:$W,5,FALSE)),"")</f>
        <v>7543568000</v>
      </c>
      <c r="I836">
        <f>IFERROR(IF(VLOOKUP($B836,Показатели!$E:$W,6,FALSE)=0,"",VLOOKUP($B836,Показатели!$E:$W,6,FALSE)),"")</f>
        <v>28364134000</v>
      </c>
      <c r="J836">
        <f>IFERROR(IF(VLOOKUP($B836,Показатели!$E:$W,7,FALSE)=0,"",VLOOKUP($B836,Показатели!$E:$W,7,FALSE)),"")</f>
        <v>8736015000</v>
      </c>
      <c r="K836">
        <f>IFERROR(IF(VLOOKUP($B836,Показатели!$E:$W,8,FALSE)=0,"",VLOOKUP($B836,Показатели!$E:$W,8,FALSE)),"")</f>
        <v>6427831000</v>
      </c>
      <c r="L836">
        <f>IFERROR(IF(VLOOKUP($B836,Показатели!$E:$W,9,FALSE)=0,"",VLOOKUP($B836,Показатели!$E:$W,9,FALSE)),"")</f>
        <v>13171115000</v>
      </c>
      <c r="M836">
        <f>IFERROR(IF(VLOOKUP($B836,Показатели!$E:$W,10,FALSE)=0,"",VLOOKUP($B836,Показатели!$E:$W,10,FALSE)),"")</f>
        <v>13200288000</v>
      </c>
      <c r="N836">
        <f>IFERROR(IF(VLOOKUP($B836,Показатели!$E:$W,11,FALSE)=0,"",VLOOKUP($B836,Показатели!$E:$W,11,FALSE)),"")</f>
        <v>22212552000</v>
      </c>
      <c r="O836">
        <f>IFERROR(IF(VLOOKUP($B836,Показатели!$E:$W,12,FALSE)=0,"",VLOOKUP($B836,Показатели!$E:$W,12,FALSE)),"")</f>
        <v>9822582000</v>
      </c>
      <c r="P836">
        <f>IFERROR(IF(VLOOKUP($B836,Показатели!$E:$W,13,FALSE)=0,"",VLOOKUP($B836,Показатели!$E:$W,13,FALSE)),"")</f>
        <v>9891083000</v>
      </c>
      <c r="Q836">
        <f>IFERROR(IF(VLOOKUP($B836,Показатели!$E:$W,14,FALSE)=0,"",VLOOKUP($B836,Показатели!$E:$W,14,FALSE)),"")</f>
        <v>9696212000</v>
      </c>
      <c r="R836">
        <f>IFERROR(IF(VLOOKUP($B836,Показатели!$E:$W,15,FALSE)=0,"",VLOOKUP($B836,Показатели!$E:$W,15,FALSE)),"")</f>
        <v>1031469000</v>
      </c>
      <c r="S836">
        <f>IFERROR(IF(VLOOKUP($B836,Показатели!$E:$W,16,FALSE)=0,"",VLOOKUP($B836,Показатели!$E:$W,16,FALSE)),"")</f>
        <v>10825677000</v>
      </c>
      <c r="T836">
        <f>IFERROR(IF(VLOOKUP($B836,Показатели!$E:$W,17,FALSE)=0,"",VLOOKUP($B836,Показатели!$E:$W,17,FALSE)),"")</f>
        <v>-3561052000</v>
      </c>
      <c r="U836">
        <f>IFERROR(IF(VLOOKUP($B836,Показатели!$E:$W,18,FALSE)=0,"",VLOOKUP($B836,Показатели!$E:$W,18,FALSE)),"")</f>
        <v>13774995000</v>
      </c>
      <c r="V836">
        <f>IFERROR(IF(VLOOKUP($B836,Показатели!$E:$W,19,FALSE)=0,"",VLOOKUP($B836,Показатели!$E:$W,19,FALSE)),"")</f>
        <v>17542113000</v>
      </c>
    </row>
    <row r="837" spans="1:22" x14ac:dyDescent="0.2">
      <c r="A837" s="7" t="s">
        <v>2284</v>
      </c>
      <c r="B837" t="str">
        <f t="shared" si="13"/>
        <v>POSI IV кв. 2022</v>
      </c>
      <c r="C837">
        <v>2022</v>
      </c>
      <c r="D837">
        <f>SUMIFS(Дивиденды!$C:$C,Дивиденды!$A:$A,A837,Дивиденды!$I:$I,C837)</f>
        <v>38.5</v>
      </c>
      <c r="E837">
        <f>IFERROR(IF(VLOOKUP($B837,Показатели!$E:$W,2,FALSE)=0,"",VLOOKUP($B837,Показатели!$E:$W,2,FALSE)),"")</f>
        <v>4122220000</v>
      </c>
      <c r="F837">
        <f>IFERROR(IF(VLOOKUP($B837,Показатели!$E:$W,3,FALSE)=0,"",VLOOKUP($B837,Показатели!$E:$W,3,FALSE)),"")</f>
        <v>11230721000</v>
      </c>
      <c r="G837">
        <f>IFERROR(IF(VLOOKUP($B837,Показатели!$E:$W,4,FALSE)=0,"",VLOOKUP($B837,Показатели!$E:$W,4,FALSE)),"")</f>
        <v>1009848000</v>
      </c>
      <c r="H837">
        <f>IFERROR(IF(VLOOKUP($B837,Показатели!$E:$W,5,FALSE)=0,"",VLOOKUP($B837,Показатели!$E:$W,5,FALSE)),"")</f>
        <v>5174639000</v>
      </c>
      <c r="I837">
        <f>IFERROR(IF(VLOOKUP($B837,Показатели!$E:$W,6,FALSE)=0,"",VLOOKUP($B837,Показатели!$E:$W,6,FALSE)),"")</f>
        <v>17542113000</v>
      </c>
      <c r="J837">
        <f>IFERROR(IF(VLOOKUP($B837,Показатели!$E:$W,7,FALSE)=0,"",VLOOKUP($B837,Показатели!$E:$W,7,FALSE)),"")</f>
        <v>5903021000</v>
      </c>
      <c r="K837">
        <f>IFERROR(IF(VLOOKUP($B837,Показатели!$E:$W,8,FALSE)=0,"",VLOOKUP($B837,Показатели!$E:$W,8,FALSE)),"")</f>
        <v>3341152000</v>
      </c>
      <c r="L837">
        <f>IFERROR(IF(VLOOKUP($B837,Показатели!$E:$W,9,FALSE)=0,"",VLOOKUP($B837,Показатели!$E:$W,9,FALSE)),"")</f>
        <v>8267163000</v>
      </c>
      <c r="M837">
        <f>IFERROR(IF(VLOOKUP($B837,Показатели!$E:$W,10,FALSE)=0,"",VLOOKUP($B837,Показатели!$E:$W,10,FALSE)),"")</f>
        <v>8297940000</v>
      </c>
      <c r="N837">
        <f>IFERROR(IF(VLOOKUP($B837,Показатели!$E:$W,11,FALSE)=0,"",VLOOKUP($B837,Показатели!$E:$W,11,FALSE)),"")</f>
        <v>13774995000</v>
      </c>
      <c r="O837">
        <f>IFERROR(IF(VLOOKUP($B837,Показатели!$E:$W,12,FALSE)=0,"",VLOOKUP($B837,Показатели!$E:$W,12,FALSE)),"")</f>
        <v>6101300000</v>
      </c>
      <c r="P837">
        <f>IFERROR(IF(VLOOKUP($B837,Показатели!$E:$W,13,FALSE)=0,"",VLOOKUP($B837,Показатели!$E:$W,13,FALSE)),"")</f>
        <v>6090768000</v>
      </c>
      <c r="Q837">
        <f>IFERROR(IF(VLOOKUP($B837,Показатели!$E:$W,14,FALSE)=0,"",VLOOKUP($B837,Показатели!$E:$W,14,FALSE)),"")</f>
        <v>6088180000</v>
      </c>
      <c r="R837">
        <f>IFERROR(IF(VLOOKUP($B837,Показатели!$E:$W,15,FALSE)=0,"",VLOOKUP($B837,Показатели!$E:$W,15,FALSE)),"")</f>
        <v>734646000</v>
      </c>
      <c r="S837">
        <f>IFERROR(IF(VLOOKUP($B837,Показатели!$E:$W,16,FALSE)=0,"",VLOOKUP($B837,Показатели!$E:$W,16,FALSE)),"")</f>
        <v>6823942000</v>
      </c>
      <c r="T837">
        <f>IFERROR(IF(VLOOKUP($B837,Показатели!$E:$W,17,FALSE)=0,"",VLOOKUP($B837,Показатели!$E:$W,17,FALSE)),"")</f>
        <v>-1874946000</v>
      </c>
      <c r="U837">
        <f>IFERROR(IF(VLOOKUP($B837,Показатели!$E:$W,18,FALSE)=0,"",VLOOKUP($B837,Показатели!$E:$W,18,FALSE)),"")</f>
        <v>7076061000</v>
      </c>
      <c r="V837">
        <f>IFERROR(IF(VLOOKUP($B837,Показатели!$E:$W,19,FALSE)=0,"",VLOOKUP($B837,Показатели!$E:$W,19,FALSE)),"")</f>
        <v>9371724000</v>
      </c>
    </row>
    <row r="838" spans="1:22" x14ac:dyDescent="0.2">
      <c r="A838" s="7" t="s">
        <v>2284</v>
      </c>
      <c r="B838" t="str">
        <f t="shared" si="13"/>
        <v>POSI IV кв. 2021</v>
      </c>
      <c r="C838">
        <v>2021</v>
      </c>
      <c r="D838">
        <f>SUMIFS(Дивиденды!$C:$C,Дивиденды!$A:$A,A838,Дивиденды!$I:$I,C838)</f>
        <v>0</v>
      </c>
      <c r="E838">
        <f>IFERROR(IF(VLOOKUP($B838,Показатели!$E:$W,2,FALSE)=0,"",VLOOKUP($B838,Показатели!$E:$W,2,FALSE)),"")</f>
        <v>765054000</v>
      </c>
      <c r="F838">
        <f>IFERROR(IF(VLOOKUP($B838,Показатели!$E:$W,3,FALSE)=0,"",VLOOKUP($B838,Показатели!$E:$W,3,FALSE)),"")</f>
        <v>4215089000</v>
      </c>
      <c r="G838">
        <f>IFERROR(IF(VLOOKUP($B838,Показатели!$E:$W,4,FALSE)=0,"",VLOOKUP($B838,Показатели!$E:$W,4,FALSE)),"")</f>
        <v>554102000</v>
      </c>
      <c r="H838">
        <f>IFERROR(IF(VLOOKUP($B838,Показатели!$E:$W,5,FALSE)=0,"",VLOOKUP($B838,Показатели!$E:$W,5,FALSE)),"")</f>
        <v>4325721000</v>
      </c>
      <c r="I838">
        <f>IFERROR(IF(VLOOKUP($B838,Показатели!$E:$W,6,FALSE)=0,"",VLOOKUP($B838,Показатели!$E:$W,6,FALSE)),"")</f>
        <v>9371724000</v>
      </c>
      <c r="J838">
        <f>IFERROR(IF(VLOOKUP($B838,Показатели!$E:$W,7,FALSE)=0,"",VLOOKUP($B838,Показатели!$E:$W,7,FALSE)),"")</f>
        <v>4449863000</v>
      </c>
      <c r="K838">
        <f>IFERROR(IF(VLOOKUP($B838,Показатели!$E:$W,8,FALSE)=0,"",VLOOKUP($B838,Показатели!$E:$W,8,FALSE)),"")</f>
        <v>1419132000</v>
      </c>
      <c r="L838">
        <f>IFERROR(IF(VLOOKUP($B838,Показатели!$E:$W,9,FALSE)=0,"",VLOOKUP($B838,Показатели!$E:$W,9,FALSE)),"")</f>
        <v>3469943000</v>
      </c>
      <c r="M838">
        <f>IFERROR(IF(VLOOKUP($B838,Показатели!$E:$W,10,FALSE)=0,"",VLOOKUP($B838,Показатели!$E:$W,10,FALSE)),"")</f>
        <v>3502729000</v>
      </c>
      <c r="N838">
        <f>IFERROR(IF(VLOOKUP($B838,Показатели!$E:$W,11,FALSE)=0,"",VLOOKUP($B838,Показатели!$E:$W,11,FALSE)),"")</f>
        <v>7076061000</v>
      </c>
      <c r="O838">
        <f>IFERROR(IF(VLOOKUP($B838,Показатели!$E:$W,12,FALSE)=0,"",VLOOKUP($B838,Показатели!$E:$W,12,FALSE)),"")</f>
        <v>2080967000</v>
      </c>
      <c r="P838">
        <f>IFERROR(IF(VLOOKUP($B838,Показатели!$E:$W,13,FALSE)=0,"",VLOOKUP($B838,Показатели!$E:$W,13,FALSE)),"")</f>
        <v>2028110000</v>
      </c>
      <c r="Q838">
        <f>IFERROR(IF(VLOOKUP($B838,Показатели!$E:$W,14,FALSE)=0,"",VLOOKUP($B838,Показатели!$E:$W,14,FALSE)),"")</f>
        <v>1913891000</v>
      </c>
      <c r="R838">
        <f>IFERROR(IF(VLOOKUP($B838,Показатели!$E:$W,15,FALSE)=0,"",VLOOKUP($B838,Показатели!$E:$W,15,FALSE)),"")</f>
        <v>623391000</v>
      </c>
      <c r="S838">
        <f>IFERROR(IF(VLOOKUP($B838,Показатели!$E:$W,16,FALSE)=0,"",VLOOKUP($B838,Показатели!$E:$W,16,FALSE)),"")</f>
        <v>2697737000</v>
      </c>
      <c r="T838">
        <f>IFERROR(IF(VLOOKUP($B838,Показатели!$E:$W,17,FALSE)=0,"",VLOOKUP($B838,Показатели!$E:$W,17,FALSE)),"")</f>
        <v>-1261909000</v>
      </c>
      <c r="U838">
        <f>IFERROR(IF(VLOOKUP($B838,Показатели!$E:$W,18,FALSE)=0,"",VLOOKUP($B838,Показатели!$E:$W,18,FALSE)),"")</f>
        <v>5530321000</v>
      </c>
      <c r="V838">
        <f>IFERROR(IF(VLOOKUP($B838,Показатели!$E:$W,19,FALSE)=0,"",VLOOKUP($B838,Показатели!$E:$W,19,FALSE)),"")</f>
        <v>6535467000</v>
      </c>
    </row>
    <row r="839" spans="1:22" x14ac:dyDescent="0.2">
      <c r="A839" s="7" t="s">
        <v>2284</v>
      </c>
      <c r="B839" t="str">
        <f t="shared" si="13"/>
        <v>POSI IV кв. 2020</v>
      </c>
      <c r="C839">
        <v>2020</v>
      </c>
      <c r="D839">
        <f>SUMIFS(Дивиденды!$C:$C,Дивиденды!$A:$A,A839,Дивиденды!$I:$I,C839)</f>
        <v>0</v>
      </c>
      <c r="E839">
        <f>IFERROR(IF(VLOOKUP($B839,Показатели!$E:$W,2,FALSE)=0,"",VLOOKUP($B839,Показатели!$E:$W,2,FALSE)),"")</f>
        <v>451329000</v>
      </c>
      <c r="F839">
        <f>IFERROR(IF(VLOOKUP($B839,Показатели!$E:$W,3,FALSE)=0,"",VLOOKUP($B839,Показатели!$E:$W,3,FALSE)),"")</f>
        <v>2440409000</v>
      </c>
      <c r="G839">
        <f>IFERROR(IF(VLOOKUP($B839,Показатели!$E:$W,4,FALSE)=0,"",VLOOKUP($B839,Показатели!$E:$W,4,FALSE)),"")</f>
        <v>367536000</v>
      </c>
      <c r="H839">
        <f>IFERROR(IF(VLOOKUP($B839,Показатели!$E:$W,5,FALSE)=0,"",VLOOKUP($B839,Показатели!$E:$W,5,FALSE)),"")</f>
        <v>3534446000</v>
      </c>
      <c r="I839">
        <f>IFERROR(IF(VLOOKUP($B839,Показатели!$E:$W,6,FALSE)=0,"",VLOOKUP($B839,Показатели!$E:$W,6,FALSE)),"")</f>
        <v>6535467000</v>
      </c>
      <c r="J839">
        <f>IFERROR(IF(VLOOKUP($B839,Показатели!$E:$W,7,FALSE)=0,"",VLOOKUP($B839,Показатели!$E:$W,7,FALSE)),"")</f>
        <v>2658471000</v>
      </c>
      <c r="K839">
        <f>IFERROR(IF(VLOOKUP($B839,Показатели!$E:$W,8,FALSE)=0,"",VLOOKUP($B839,Показатели!$E:$W,8,FALSE)),"")</f>
        <v>1354226000</v>
      </c>
      <c r="L839">
        <f>IFERROR(IF(VLOOKUP($B839,Показатели!$E:$W,9,FALSE)=0,"",VLOOKUP($B839,Показатели!$E:$W,9,FALSE)),"")</f>
        <v>2488088000</v>
      </c>
      <c r="M839">
        <f>IFERROR(IF(VLOOKUP($B839,Показатели!$E:$W,10,FALSE)=0,"",VLOOKUP($B839,Показатели!$E:$W,10,FALSE)),"")</f>
        <v>2522770000</v>
      </c>
      <c r="N839">
        <f>IFERROR(IF(VLOOKUP($B839,Показатели!$E:$W,11,FALSE)=0,"",VLOOKUP($B839,Показатели!$E:$W,11,FALSE)),"")</f>
        <v>5530321000</v>
      </c>
      <c r="O839">
        <f>IFERROR(IF(VLOOKUP($B839,Показатели!$E:$W,12,FALSE)=0,"",VLOOKUP($B839,Показатели!$E:$W,12,FALSE)),"")</f>
        <v>1672771000</v>
      </c>
      <c r="P839">
        <f>IFERROR(IF(VLOOKUP($B839,Показатели!$E:$W,13,FALSE)=0,"",VLOOKUP($B839,Показатели!$E:$W,13,FALSE)),"")</f>
        <v>1575401000</v>
      </c>
      <c r="Q839">
        <f>IFERROR(IF(VLOOKUP($B839,Показатели!$E:$W,14,FALSE)=0,"",VLOOKUP($B839,Показатели!$E:$W,14,FALSE)),"")</f>
        <v>1512942000</v>
      </c>
      <c r="R839">
        <f>IFERROR(IF(VLOOKUP($B839,Показатели!$E:$W,15,FALSE)=0,"",VLOOKUP($B839,Показатели!$E:$W,15,FALSE)),"")</f>
        <v>519978000</v>
      </c>
      <c r="S839" t="str">
        <f>IFERROR(IF(VLOOKUP($B839,Показатели!$E:$W,16,FALSE)=0,"",VLOOKUP($B839,Показатели!$E:$W,16,FALSE)),"")</f>
        <v/>
      </c>
      <c r="T839">
        <f>IFERROR(IF(VLOOKUP($B839,Показатели!$E:$W,17,FALSE)=0,"",VLOOKUP($B839,Показатели!$E:$W,17,FALSE)),"")</f>
        <v>-1035816000</v>
      </c>
      <c r="U839">
        <f>IFERROR(IF(VLOOKUP($B839,Показатели!$E:$W,18,FALSE)=0,"",VLOOKUP($B839,Показатели!$E:$W,18,FALSE)),"")</f>
        <v>3450804000</v>
      </c>
      <c r="V839">
        <f>IFERROR(IF(VLOOKUP($B839,Показатели!$E:$W,19,FALSE)=0,"",VLOOKUP($B839,Показатели!$E:$W,19,FALSE)),"")</f>
        <v>5071111000</v>
      </c>
    </row>
    <row r="840" spans="1:22" x14ac:dyDescent="0.2">
      <c r="A840" s="7" t="s">
        <v>2284</v>
      </c>
      <c r="B840" t="str">
        <f t="shared" si="13"/>
        <v>POSI IV кв. 2019</v>
      </c>
      <c r="C840">
        <v>2019</v>
      </c>
      <c r="D840">
        <f>SUMIFS(Дивиденды!$C:$C,Дивиденды!$A:$A,A840,Дивиденды!$I:$I,C840)</f>
        <v>0</v>
      </c>
      <c r="E840">
        <f>IFERROR(IF(VLOOKUP($B840,Показатели!$E:$W,2,FALSE)=0,"",VLOOKUP($B840,Показатели!$E:$W,2,FALSE)),"")</f>
        <v>243766000</v>
      </c>
      <c r="F840">
        <f>IFERROR(IF(VLOOKUP($B840,Показатели!$E:$W,3,FALSE)=0,"",VLOOKUP($B840,Показатели!$E:$W,3,FALSE)),"")</f>
        <v>1203738000</v>
      </c>
      <c r="G840">
        <f>IFERROR(IF(VLOOKUP($B840,Показатели!$E:$W,4,FALSE)=0,"",VLOOKUP($B840,Показатели!$E:$W,4,FALSE)),"")</f>
        <v>380618000</v>
      </c>
      <c r="H840">
        <f>IFERROR(IF(VLOOKUP($B840,Показатели!$E:$W,5,FALSE)=0,"",VLOOKUP($B840,Показатели!$E:$W,5,FALSE)),"")</f>
        <v>2870157000</v>
      </c>
      <c r="I840">
        <f>IFERROR(IF(VLOOKUP($B840,Показатели!$E:$W,6,FALSE)=0,"",VLOOKUP($B840,Показатели!$E:$W,6,FALSE)),"")</f>
        <v>5071111000</v>
      </c>
      <c r="J840">
        <f>IFERROR(IF(VLOOKUP($B840,Показатели!$E:$W,7,FALSE)=0,"",VLOOKUP($B840,Показатели!$E:$W,7,FALSE)),"")</f>
        <v>2252829000</v>
      </c>
      <c r="K840">
        <f>IFERROR(IF(VLOOKUP($B840,Показатели!$E:$W,8,FALSE)=0,"",VLOOKUP($B840,Показатели!$E:$W,8,FALSE)),"")</f>
        <v>1808492000</v>
      </c>
      <c r="L840">
        <f>IFERROR(IF(VLOOKUP($B840,Показатели!$E:$W,9,FALSE)=0,"",VLOOKUP($B840,Показатели!$E:$W,9,FALSE)),"")</f>
        <v>976119000</v>
      </c>
      <c r="M840">
        <f>IFERROR(IF(VLOOKUP($B840,Показатели!$E:$W,10,FALSE)=0,"",VLOOKUP($B840,Показатели!$E:$W,10,FALSE)),"")</f>
        <v>1009790000</v>
      </c>
      <c r="N840">
        <f>IFERROR(IF(VLOOKUP($B840,Показатели!$E:$W,11,FALSE)=0,"",VLOOKUP($B840,Показатели!$E:$W,11,FALSE)),"")</f>
        <v>3450804000</v>
      </c>
      <c r="O840">
        <f>IFERROR(IF(VLOOKUP($B840,Показатели!$E:$W,12,FALSE)=0,"",VLOOKUP($B840,Показатели!$E:$W,12,FALSE)),"")</f>
        <v>311346000</v>
      </c>
      <c r="P840">
        <f>IFERROR(IF(VLOOKUP($B840,Показатели!$E:$W,13,FALSE)=0,"",VLOOKUP($B840,Показатели!$E:$W,13,FALSE)),"")</f>
        <v>203787000</v>
      </c>
      <c r="Q840">
        <f>IFERROR(IF(VLOOKUP($B840,Показатели!$E:$W,14,FALSE)=0,"",VLOOKUP($B840,Показатели!$E:$W,14,FALSE)),"")</f>
        <v>160913000</v>
      </c>
      <c r="R840">
        <f>IFERROR(IF(VLOOKUP($B840,Показатели!$E:$W,15,FALSE)=0,"",VLOOKUP($B840,Показатели!$E:$W,15,FALSE)),"")</f>
        <v>393388000</v>
      </c>
      <c r="S840" t="str">
        <f>IFERROR(IF(VLOOKUP($B840,Показатели!$E:$W,16,FALSE)=0,"",VLOOKUP($B840,Показатели!$E:$W,16,FALSE)),"")</f>
        <v/>
      </c>
      <c r="T840">
        <f>IFERROR(IF(VLOOKUP($B840,Показатели!$E:$W,17,FALSE)=0,"",VLOOKUP($B840,Показатели!$E:$W,17,FALSE)),"")</f>
        <v>-912464000</v>
      </c>
      <c r="U840">
        <f>IFERROR(IF(VLOOKUP($B840,Показатели!$E:$W,18,FALSE)=0,"",VLOOKUP($B840,Показатели!$E:$W,18,FALSE)),"")</f>
        <v>2577274000</v>
      </c>
      <c r="V840">
        <f>IFERROR(IF(VLOOKUP($B840,Показатели!$E:$W,19,FALSE)=0,"",VLOOKUP($B840,Показатели!$E:$W,19,FALSE)),"")</f>
        <v>4260187000</v>
      </c>
    </row>
    <row r="841" spans="1:22" x14ac:dyDescent="0.2">
      <c r="A841" s="7" t="s">
        <v>2284</v>
      </c>
      <c r="B841" t="str">
        <f t="shared" si="13"/>
        <v>POSI IV кв. 2018</v>
      </c>
      <c r="C841">
        <v>2018</v>
      </c>
      <c r="D841">
        <f>SUMIFS(Дивиденды!$C:$C,Дивиденды!$A:$A,A841,Дивиденды!$I:$I,C841)</f>
        <v>0</v>
      </c>
      <c r="E841">
        <f>IFERROR(IF(VLOOKUP($B841,Показатели!$E:$W,2,FALSE)=0,"",VLOOKUP($B841,Показатели!$E:$W,2,FALSE)),"")</f>
        <v>204854000</v>
      </c>
      <c r="F841">
        <f>IFERROR(IF(VLOOKUP($B841,Показатели!$E:$W,3,FALSE)=0,"",VLOOKUP($B841,Показатели!$E:$W,3,FALSE)),"")</f>
        <v>1151488000</v>
      </c>
      <c r="G841">
        <f>IFERROR(IF(VLOOKUP($B841,Показатели!$E:$W,4,FALSE)=0,"",VLOOKUP($B841,Показатели!$E:$W,4,FALSE)),"")</f>
        <v>343135000</v>
      </c>
      <c r="H841">
        <f>IFERROR(IF(VLOOKUP($B841,Показатели!$E:$W,5,FALSE)=0,"",VLOOKUP($B841,Показатели!$E:$W,5,FALSE)),"")</f>
        <v>2277800000</v>
      </c>
      <c r="I841">
        <f>IFERROR(IF(VLOOKUP($B841,Показатели!$E:$W,6,FALSE)=0,"",VLOOKUP($B841,Показатели!$E:$W,6,FALSE)),"")</f>
        <v>4260187000</v>
      </c>
      <c r="J841">
        <f>IFERROR(IF(VLOOKUP($B841,Показатели!$E:$W,7,FALSE)=0,"",VLOOKUP($B841,Показатели!$E:$W,7,FALSE)),"")</f>
        <v>1995929000</v>
      </c>
      <c r="K841">
        <f>IFERROR(IF(VLOOKUP($B841,Показатели!$E:$W,8,FALSE)=0,"",VLOOKUP($B841,Показатели!$E:$W,8,FALSE)),"")</f>
        <v>1416083000</v>
      </c>
      <c r="L841">
        <f>IFERROR(IF(VLOOKUP($B841,Показатели!$E:$W,9,FALSE)=0,"",VLOOKUP($B841,Показатели!$E:$W,9,FALSE)),"")</f>
        <v>815602000</v>
      </c>
      <c r="M841">
        <f>IFERROR(IF(VLOOKUP($B841,Показатели!$E:$W,10,FALSE)=0,"",VLOOKUP($B841,Показатели!$E:$W,10,FALSE)),"")</f>
        <v>848175000</v>
      </c>
      <c r="N841">
        <f>IFERROR(IF(VLOOKUP($B841,Показатели!$E:$W,11,FALSE)=0,"",VLOOKUP($B841,Показатели!$E:$W,11,FALSE)),"")</f>
        <v>2577274000</v>
      </c>
      <c r="O841">
        <f>IFERROR(IF(VLOOKUP($B841,Показатели!$E:$W,12,FALSE)=0,"",VLOOKUP($B841,Показатели!$E:$W,12,FALSE)),"")</f>
        <v>473502000</v>
      </c>
      <c r="P841">
        <f>IFERROR(IF(VLOOKUP($B841,Показатели!$E:$W,13,FALSE)=0,"",VLOOKUP($B841,Показатели!$E:$W,13,FALSE)),"")</f>
        <v>380638000</v>
      </c>
      <c r="Q841">
        <f>IFERROR(IF(VLOOKUP($B841,Показатели!$E:$W,14,FALSE)=0,"",VLOOKUP($B841,Показатели!$E:$W,14,FALSE)),"")</f>
        <v>318190000</v>
      </c>
      <c r="R841">
        <f>IFERROR(IF(VLOOKUP($B841,Показатели!$E:$W,15,FALSE)=0,"",VLOOKUP($B841,Показатели!$E:$W,15,FALSE)),"")</f>
        <v>227552000</v>
      </c>
      <c r="S841" t="str">
        <f>IFERROR(IF(VLOOKUP($B841,Показатели!$E:$W,16,FALSE)=0,"",VLOOKUP($B841,Показатели!$E:$W,16,FALSE)),"")</f>
        <v/>
      </c>
      <c r="T841">
        <f>IFERROR(IF(VLOOKUP($B841,Показатели!$E:$W,17,FALSE)=0,"",VLOOKUP($B841,Показатели!$E:$W,17,FALSE)),"")</f>
        <v>-909505000</v>
      </c>
      <c r="U841" t="str">
        <f>IFERROR(IF(VLOOKUP($B841,Показатели!$E:$W,18,FALSE)=0,"",VLOOKUP($B841,Показатели!$E:$W,18,FALSE)),"")</f>
        <v/>
      </c>
      <c r="V841" t="str">
        <f>IFERROR(IF(VLOOKUP($B841,Показатели!$E:$W,19,FALSE)=0,"",VLOOKUP($B841,Показатели!$E:$W,19,FALSE)),"")</f>
        <v/>
      </c>
    </row>
    <row r="842" spans="1:22" x14ac:dyDescent="0.2">
      <c r="A842" s="7" t="s">
        <v>2284</v>
      </c>
      <c r="B842" t="str">
        <f t="shared" si="13"/>
        <v>POSI IV кв. 2017</v>
      </c>
      <c r="C842">
        <v>2017</v>
      </c>
      <c r="D842">
        <f>SUMIFS(Дивиденды!$C:$C,Дивиденды!$A:$A,A842,Дивиденды!$I:$I,C842)</f>
        <v>0</v>
      </c>
      <c r="E842" t="str">
        <f>IFERROR(IF(VLOOKUP($B842,Показатели!$E:$W,2,FALSE)=0,"",VLOOKUP($B842,Показатели!$E:$W,2,FALSE)),"")</f>
        <v/>
      </c>
      <c r="F842" t="str">
        <f>IFERROR(IF(VLOOKUP($B842,Показатели!$E:$W,3,FALSE)=0,"",VLOOKUP($B842,Показатели!$E:$W,3,FALSE)),"")</f>
        <v/>
      </c>
      <c r="G842" t="str">
        <f>IFERROR(IF(VLOOKUP($B842,Показатели!$E:$W,4,FALSE)=0,"",VLOOKUP($B842,Показатели!$E:$W,4,FALSE)),"")</f>
        <v/>
      </c>
      <c r="H842" t="str">
        <f>IFERROR(IF(VLOOKUP($B842,Показатели!$E:$W,5,FALSE)=0,"",VLOOKUP($B842,Показатели!$E:$W,5,FALSE)),"")</f>
        <v/>
      </c>
      <c r="I842" t="str">
        <f>IFERROR(IF(VLOOKUP($B842,Показатели!$E:$W,6,FALSE)=0,"",VLOOKUP($B842,Показатели!$E:$W,6,FALSE)),"")</f>
        <v/>
      </c>
      <c r="J842" t="str">
        <f>IFERROR(IF(VLOOKUP($B842,Показатели!$E:$W,7,FALSE)=0,"",VLOOKUP($B842,Показатели!$E:$W,7,FALSE)),"")</f>
        <v/>
      </c>
      <c r="K842" t="str">
        <f>IFERROR(IF(VLOOKUP($B842,Показатели!$E:$W,8,FALSE)=0,"",VLOOKUP($B842,Показатели!$E:$W,8,FALSE)),"")</f>
        <v/>
      </c>
      <c r="L842" t="str">
        <f>IFERROR(IF(VLOOKUP($B842,Показатели!$E:$W,9,FALSE)=0,"",VLOOKUP($B842,Показатели!$E:$W,9,FALSE)),"")</f>
        <v/>
      </c>
      <c r="M842" t="str">
        <f>IFERROR(IF(VLOOKUP($B842,Показатели!$E:$W,10,FALSE)=0,"",VLOOKUP($B842,Показатели!$E:$W,10,FALSE)),"")</f>
        <v/>
      </c>
      <c r="N842" t="str">
        <f>IFERROR(IF(VLOOKUP($B842,Показатели!$E:$W,11,FALSE)=0,"",VLOOKUP($B842,Показатели!$E:$W,11,FALSE)),"")</f>
        <v/>
      </c>
      <c r="O842" t="str">
        <f>IFERROR(IF(VLOOKUP($B842,Показатели!$E:$W,12,FALSE)=0,"",VLOOKUP($B842,Показатели!$E:$W,12,FALSE)),"")</f>
        <v/>
      </c>
      <c r="P842" t="str">
        <f>IFERROR(IF(VLOOKUP($B842,Показатели!$E:$W,13,FALSE)=0,"",VLOOKUP($B842,Показатели!$E:$W,13,FALSE)),"")</f>
        <v/>
      </c>
      <c r="Q842" t="str">
        <f>IFERROR(IF(VLOOKUP($B842,Показатели!$E:$W,14,FALSE)=0,"",VLOOKUP($B842,Показатели!$E:$W,14,FALSE)),"")</f>
        <v/>
      </c>
      <c r="R842" t="str">
        <f>IFERROR(IF(VLOOKUP($B842,Показатели!$E:$W,15,FALSE)=0,"",VLOOKUP($B842,Показатели!$E:$W,15,FALSE)),"")</f>
        <v/>
      </c>
      <c r="S842" t="str">
        <f>IFERROR(IF(VLOOKUP($B842,Показатели!$E:$W,16,FALSE)=0,"",VLOOKUP($B842,Показатели!$E:$W,16,FALSE)),"")</f>
        <v/>
      </c>
      <c r="T842" t="str">
        <f>IFERROR(IF(VLOOKUP($B842,Показатели!$E:$W,17,FALSE)=0,"",VLOOKUP($B842,Показатели!$E:$W,17,FALSE)),"")</f>
        <v/>
      </c>
      <c r="U842" t="str">
        <f>IFERROR(IF(VLOOKUP($B842,Показатели!$E:$W,18,FALSE)=0,"",VLOOKUP($B842,Показатели!$E:$W,18,FALSE)),"")</f>
        <v/>
      </c>
      <c r="V842" t="str">
        <f>IFERROR(IF(VLOOKUP($B842,Показатели!$E:$W,19,FALSE)=0,"",VLOOKUP($B842,Показатели!$E:$W,19,FALSE)),"")</f>
        <v/>
      </c>
    </row>
    <row r="843" spans="1:22" x14ac:dyDescent="0.2">
      <c r="A843" s="7" t="s">
        <v>2284</v>
      </c>
      <c r="B843" t="str">
        <f t="shared" si="13"/>
        <v>POSI IV кв. 2016</v>
      </c>
      <c r="C843">
        <v>2016</v>
      </c>
      <c r="D843">
        <f>SUMIFS(Дивиденды!$C:$C,Дивиденды!$A:$A,A843,Дивиденды!$I:$I,C843)</f>
        <v>0</v>
      </c>
      <c r="E843" t="str">
        <f>IFERROR(IF(VLOOKUP($B843,Показатели!$E:$W,2,FALSE)=0,"",VLOOKUP($B843,Показатели!$E:$W,2,FALSE)),"")</f>
        <v/>
      </c>
      <c r="F843" t="str">
        <f>IFERROR(IF(VLOOKUP($B843,Показатели!$E:$W,3,FALSE)=0,"",VLOOKUP($B843,Показатели!$E:$W,3,FALSE)),"")</f>
        <v/>
      </c>
      <c r="G843" t="str">
        <f>IFERROR(IF(VLOOKUP($B843,Показатели!$E:$W,4,FALSE)=0,"",VLOOKUP($B843,Показатели!$E:$W,4,FALSE)),"")</f>
        <v/>
      </c>
      <c r="H843" t="str">
        <f>IFERROR(IF(VLOOKUP($B843,Показатели!$E:$W,5,FALSE)=0,"",VLOOKUP($B843,Показатели!$E:$W,5,FALSE)),"")</f>
        <v/>
      </c>
      <c r="I843" t="str">
        <f>IFERROR(IF(VLOOKUP($B843,Показатели!$E:$W,6,FALSE)=0,"",VLOOKUP($B843,Показатели!$E:$W,6,FALSE)),"")</f>
        <v/>
      </c>
      <c r="J843" t="str">
        <f>IFERROR(IF(VLOOKUP($B843,Показатели!$E:$W,7,FALSE)=0,"",VLOOKUP($B843,Показатели!$E:$W,7,FALSE)),"")</f>
        <v/>
      </c>
      <c r="K843" t="str">
        <f>IFERROR(IF(VLOOKUP($B843,Показатели!$E:$W,8,FALSE)=0,"",VLOOKUP($B843,Показатели!$E:$W,8,FALSE)),"")</f>
        <v/>
      </c>
      <c r="L843" t="str">
        <f>IFERROR(IF(VLOOKUP($B843,Показатели!$E:$W,9,FALSE)=0,"",VLOOKUP($B843,Показатели!$E:$W,9,FALSE)),"")</f>
        <v/>
      </c>
      <c r="M843" t="str">
        <f>IFERROR(IF(VLOOKUP($B843,Показатели!$E:$W,10,FALSE)=0,"",VLOOKUP($B843,Показатели!$E:$W,10,FALSE)),"")</f>
        <v/>
      </c>
      <c r="N843" t="str">
        <f>IFERROR(IF(VLOOKUP($B843,Показатели!$E:$W,11,FALSE)=0,"",VLOOKUP($B843,Показатели!$E:$W,11,FALSE)),"")</f>
        <v/>
      </c>
      <c r="O843" t="str">
        <f>IFERROR(IF(VLOOKUP($B843,Показатели!$E:$W,12,FALSE)=0,"",VLOOKUP($B843,Показатели!$E:$W,12,FALSE)),"")</f>
        <v/>
      </c>
      <c r="P843" t="str">
        <f>IFERROR(IF(VLOOKUP($B843,Показатели!$E:$W,13,FALSE)=0,"",VLOOKUP($B843,Показатели!$E:$W,13,FALSE)),"")</f>
        <v/>
      </c>
      <c r="Q843" t="str">
        <f>IFERROR(IF(VLOOKUP($B843,Показатели!$E:$W,14,FALSE)=0,"",VLOOKUP($B843,Показатели!$E:$W,14,FALSE)),"")</f>
        <v/>
      </c>
      <c r="R843" t="str">
        <f>IFERROR(IF(VLOOKUP($B843,Показатели!$E:$W,15,FALSE)=0,"",VLOOKUP($B843,Показатели!$E:$W,15,FALSE)),"")</f>
        <v/>
      </c>
      <c r="S843" t="str">
        <f>IFERROR(IF(VLOOKUP($B843,Показатели!$E:$W,16,FALSE)=0,"",VLOOKUP($B843,Показатели!$E:$W,16,FALSE)),"")</f>
        <v/>
      </c>
      <c r="T843" t="str">
        <f>IFERROR(IF(VLOOKUP($B843,Показатели!$E:$W,17,FALSE)=0,"",VLOOKUP($B843,Показатели!$E:$W,17,FALSE)),"")</f>
        <v/>
      </c>
      <c r="U843" t="str">
        <f>IFERROR(IF(VLOOKUP($B843,Показатели!$E:$W,18,FALSE)=0,"",VLOOKUP($B843,Показатели!$E:$W,18,FALSE)),"")</f>
        <v/>
      </c>
      <c r="V843" t="str">
        <f>IFERROR(IF(VLOOKUP($B843,Показатели!$E:$W,19,FALSE)=0,"",VLOOKUP($B843,Показатели!$E:$W,19,FALSE)),"")</f>
        <v/>
      </c>
    </row>
    <row r="844" spans="1:22" x14ac:dyDescent="0.2">
      <c r="A844" s="7" t="s">
        <v>2284</v>
      </c>
      <c r="B844" t="str">
        <f t="shared" si="13"/>
        <v>POSI IV кв. 2015</v>
      </c>
      <c r="C844">
        <v>2015</v>
      </c>
      <c r="D844">
        <f>SUMIFS(Дивиденды!$C:$C,Дивиденды!$A:$A,A844,Дивиденды!$I:$I,C844)</f>
        <v>0</v>
      </c>
      <c r="E844" t="str">
        <f>IFERROR(IF(VLOOKUP($B844,Показатели!$E:$W,2,FALSE)=0,"",VLOOKUP($B844,Показатели!$E:$W,2,FALSE)),"")</f>
        <v/>
      </c>
      <c r="F844" t="str">
        <f>IFERROR(IF(VLOOKUP($B844,Показатели!$E:$W,3,FALSE)=0,"",VLOOKUP($B844,Показатели!$E:$W,3,FALSE)),"")</f>
        <v/>
      </c>
      <c r="G844" t="str">
        <f>IFERROR(IF(VLOOKUP($B844,Показатели!$E:$W,4,FALSE)=0,"",VLOOKUP($B844,Показатели!$E:$W,4,FALSE)),"")</f>
        <v/>
      </c>
      <c r="H844" t="str">
        <f>IFERROR(IF(VLOOKUP($B844,Показатели!$E:$W,5,FALSE)=0,"",VLOOKUP($B844,Показатели!$E:$W,5,FALSE)),"")</f>
        <v/>
      </c>
      <c r="I844" t="str">
        <f>IFERROR(IF(VLOOKUP($B844,Показатели!$E:$W,6,FALSE)=0,"",VLOOKUP($B844,Показатели!$E:$W,6,FALSE)),"")</f>
        <v/>
      </c>
      <c r="J844" t="str">
        <f>IFERROR(IF(VLOOKUP($B844,Показатели!$E:$W,7,FALSE)=0,"",VLOOKUP($B844,Показатели!$E:$W,7,FALSE)),"")</f>
        <v/>
      </c>
      <c r="K844" t="str">
        <f>IFERROR(IF(VLOOKUP($B844,Показатели!$E:$W,8,FALSE)=0,"",VLOOKUP($B844,Показатели!$E:$W,8,FALSE)),"")</f>
        <v/>
      </c>
      <c r="L844" t="str">
        <f>IFERROR(IF(VLOOKUP($B844,Показатели!$E:$W,9,FALSE)=0,"",VLOOKUP($B844,Показатели!$E:$W,9,FALSE)),"")</f>
        <v/>
      </c>
      <c r="M844" t="str">
        <f>IFERROR(IF(VLOOKUP($B844,Показатели!$E:$W,10,FALSE)=0,"",VLOOKUP($B844,Показатели!$E:$W,10,FALSE)),"")</f>
        <v/>
      </c>
      <c r="N844" t="str">
        <f>IFERROR(IF(VLOOKUP($B844,Показатели!$E:$W,11,FALSE)=0,"",VLOOKUP($B844,Показатели!$E:$W,11,FALSE)),"")</f>
        <v/>
      </c>
      <c r="O844" t="str">
        <f>IFERROR(IF(VLOOKUP($B844,Показатели!$E:$W,12,FALSE)=0,"",VLOOKUP($B844,Показатели!$E:$W,12,FALSE)),"")</f>
        <v/>
      </c>
      <c r="P844" t="str">
        <f>IFERROR(IF(VLOOKUP($B844,Показатели!$E:$W,13,FALSE)=0,"",VLOOKUP($B844,Показатели!$E:$W,13,FALSE)),"")</f>
        <v/>
      </c>
      <c r="Q844" t="str">
        <f>IFERROR(IF(VLOOKUP($B844,Показатели!$E:$W,14,FALSE)=0,"",VLOOKUP($B844,Показатели!$E:$W,14,FALSE)),"")</f>
        <v/>
      </c>
      <c r="R844" t="str">
        <f>IFERROR(IF(VLOOKUP($B844,Показатели!$E:$W,15,FALSE)=0,"",VLOOKUP($B844,Показатели!$E:$W,15,FALSE)),"")</f>
        <v/>
      </c>
      <c r="S844" t="str">
        <f>IFERROR(IF(VLOOKUP($B844,Показатели!$E:$W,16,FALSE)=0,"",VLOOKUP($B844,Показатели!$E:$W,16,FALSE)),"")</f>
        <v/>
      </c>
      <c r="T844" t="str">
        <f>IFERROR(IF(VLOOKUP($B844,Показатели!$E:$W,17,FALSE)=0,"",VLOOKUP($B844,Показатели!$E:$W,17,FALSE)),"")</f>
        <v/>
      </c>
      <c r="U844" t="str">
        <f>IFERROR(IF(VLOOKUP($B844,Показатели!$E:$W,18,FALSE)=0,"",VLOOKUP($B844,Показатели!$E:$W,18,FALSE)),"")</f>
        <v/>
      </c>
      <c r="V844" t="str">
        <f>IFERROR(IF(VLOOKUP($B844,Показатели!$E:$W,19,FALSE)=0,"",VLOOKUP($B844,Показатели!$E:$W,19,FALSE)),"")</f>
        <v/>
      </c>
    </row>
    <row r="845" spans="1:22" x14ac:dyDescent="0.2">
      <c r="A845" s="7" t="s">
        <v>2284</v>
      </c>
      <c r="B845" t="str">
        <f t="shared" si="13"/>
        <v>POSI IV кв. 2014</v>
      </c>
      <c r="C845">
        <v>2014</v>
      </c>
      <c r="D845">
        <f>SUMIFS(Дивиденды!$C:$C,Дивиденды!$A:$A,A845,Дивиденды!$I:$I,C845)</f>
        <v>0</v>
      </c>
      <c r="E845" t="str">
        <f>IFERROR(IF(VLOOKUP($B845,Показатели!$E:$W,2,FALSE)=0,"",VLOOKUP($B845,Показатели!$E:$W,2,FALSE)),"")</f>
        <v/>
      </c>
      <c r="F845" t="str">
        <f>IFERROR(IF(VLOOKUP($B845,Показатели!$E:$W,3,FALSE)=0,"",VLOOKUP($B845,Показатели!$E:$W,3,FALSE)),"")</f>
        <v/>
      </c>
      <c r="G845" t="str">
        <f>IFERROR(IF(VLOOKUP($B845,Показатели!$E:$W,4,FALSE)=0,"",VLOOKUP($B845,Показатели!$E:$W,4,FALSE)),"")</f>
        <v/>
      </c>
      <c r="H845" t="str">
        <f>IFERROR(IF(VLOOKUP($B845,Показатели!$E:$W,5,FALSE)=0,"",VLOOKUP($B845,Показатели!$E:$W,5,FALSE)),"")</f>
        <v/>
      </c>
      <c r="I845" t="str">
        <f>IFERROR(IF(VLOOKUP($B845,Показатели!$E:$W,6,FALSE)=0,"",VLOOKUP($B845,Показатели!$E:$W,6,FALSE)),"")</f>
        <v/>
      </c>
      <c r="J845" t="str">
        <f>IFERROR(IF(VLOOKUP($B845,Показатели!$E:$W,7,FALSE)=0,"",VLOOKUP($B845,Показатели!$E:$W,7,FALSE)),"")</f>
        <v/>
      </c>
      <c r="K845" t="str">
        <f>IFERROR(IF(VLOOKUP($B845,Показатели!$E:$W,8,FALSE)=0,"",VLOOKUP($B845,Показатели!$E:$W,8,FALSE)),"")</f>
        <v/>
      </c>
      <c r="L845" t="str">
        <f>IFERROR(IF(VLOOKUP($B845,Показатели!$E:$W,9,FALSE)=0,"",VLOOKUP($B845,Показатели!$E:$W,9,FALSE)),"")</f>
        <v/>
      </c>
      <c r="M845" t="str">
        <f>IFERROR(IF(VLOOKUP($B845,Показатели!$E:$W,10,FALSE)=0,"",VLOOKUP($B845,Показатели!$E:$W,10,FALSE)),"")</f>
        <v/>
      </c>
      <c r="N845" t="str">
        <f>IFERROR(IF(VLOOKUP($B845,Показатели!$E:$W,11,FALSE)=0,"",VLOOKUP($B845,Показатели!$E:$W,11,FALSE)),"")</f>
        <v/>
      </c>
      <c r="O845" t="str">
        <f>IFERROR(IF(VLOOKUP($B845,Показатели!$E:$W,12,FALSE)=0,"",VLOOKUP($B845,Показатели!$E:$W,12,FALSE)),"")</f>
        <v/>
      </c>
      <c r="P845" t="str">
        <f>IFERROR(IF(VLOOKUP($B845,Показатели!$E:$W,13,FALSE)=0,"",VLOOKUP($B845,Показатели!$E:$W,13,FALSE)),"")</f>
        <v/>
      </c>
      <c r="Q845" t="str">
        <f>IFERROR(IF(VLOOKUP($B845,Показатели!$E:$W,14,FALSE)=0,"",VLOOKUP($B845,Показатели!$E:$W,14,FALSE)),"")</f>
        <v/>
      </c>
      <c r="R845" t="str">
        <f>IFERROR(IF(VLOOKUP($B845,Показатели!$E:$W,15,FALSE)=0,"",VLOOKUP($B845,Показатели!$E:$W,15,FALSE)),"")</f>
        <v/>
      </c>
      <c r="S845" t="str">
        <f>IFERROR(IF(VLOOKUP($B845,Показатели!$E:$W,16,FALSE)=0,"",VLOOKUP($B845,Показатели!$E:$W,16,FALSE)),"")</f>
        <v/>
      </c>
      <c r="T845" t="str">
        <f>IFERROR(IF(VLOOKUP($B845,Показатели!$E:$W,17,FALSE)=0,"",VLOOKUP($B845,Показатели!$E:$W,17,FALSE)),"")</f>
        <v/>
      </c>
      <c r="U845" t="str">
        <f>IFERROR(IF(VLOOKUP($B845,Показатели!$E:$W,18,FALSE)=0,"",VLOOKUP($B845,Показатели!$E:$W,18,FALSE)),"")</f>
        <v/>
      </c>
      <c r="V845" t="str">
        <f>IFERROR(IF(VLOOKUP($B845,Показатели!$E:$W,19,FALSE)=0,"",VLOOKUP($B845,Показатели!$E:$W,19,FALSE)),"")</f>
        <v/>
      </c>
    </row>
    <row r="846" spans="1:22" x14ac:dyDescent="0.2">
      <c r="A846" s="7" t="s">
        <v>2284</v>
      </c>
      <c r="B846" t="str">
        <f t="shared" si="13"/>
        <v>POSI IV кв. 2013</v>
      </c>
      <c r="C846">
        <v>2013</v>
      </c>
      <c r="D846">
        <f>SUMIFS(Дивиденды!$C:$C,Дивиденды!$A:$A,A846,Дивиденды!$I:$I,C846)</f>
        <v>0</v>
      </c>
      <c r="E846" t="str">
        <f>IFERROR(IF(VLOOKUP($B846,Показатели!$E:$W,2,FALSE)=0,"",VLOOKUP($B846,Показатели!$E:$W,2,FALSE)),"")</f>
        <v/>
      </c>
      <c r="F846" t="str">
        <f>IFERROR(IF(VLOOKUP($B846,Показатели!$E:$W,3,FALSE)=0,"",VLOOKUP($B846,Показатели!$E:$W,3,FALSE)),"")</f>
        <v/>
      </c>
      <c r="G846" t="str">
        <f>IFERROR(IF(VLOOKUP($B846,Показатели!$E:$W,4,FALSE)=0,"",VLOOKUP($B846,Показатели!$E:$W,4,FALSE)),"")</f>
        <v/>
      </c>
      <c r="H846" t="str">
        <f>IFERROR(IF(VLOOKUP($B846,Показатели!$E:$W,5,FALSE)=0,"",VLOOKUP($B846,Показатели!$E:$W,5,FALSE)),"")</f>
        <v/>
      </c>
      <c r="I846" t="str">
        <f>IFERROR(IF(VLOOKUP($B846,Показатели!$E:$W,6,FALSE)=0,"",VLOOKUP($B846,Показатели!$E:$W,6,FALSE)),"")</f>
        <v/>
      </c>
      <c r="J846" t="str">
        <f>IFERROR(IF(VLOOKUP($B846,Показатели!$E:$W,7,FALSE)=0,"",VLOOKUP($B846,Показатели!$E:$W,7,FALSE)),"")</f>
        <v/>
      </c>
      <c r="K846" t="str">
        <f>IFERROR(IF(VLOOKUP($B846,Показатели!$E:$W,8,FALSE)=0,"",VLOOKUP($B846,Показатели!$E:$W,8,FALSE)),"")</f>
        <v/>
      </c>
      <c r="L846" t="str">
        <f>IFERROR(IF(VLOOKUP($B846,Показатели!$E:$W,9,FALSE)=0,"",VLOOKUP($B846,Показатели!$E:$W,9,FALSE)),"")</f>
        <v/>
      </c>
      <c r="M846" t="str">
        <f>IFERROR(IF(VLOOKUP($B846,Показатели!$E:$W,10,FALSE)=0,"",VLOOKUP($B846,Показатели!$E:$W,10,FALSE)),"")</f>
        <v/>
      </c>
      <c r="N846" t="str">
        <f>IFERROR(IF(VLOOKUP($B846,Показатели!$E:$W,11,FALSE)=0,"",VLOOKUP($B846,Показатели!$E:$W,11,FALSE)),"")</f>
        <v/>
      </c>
      <c r="O846" t="str">
        <f>IFERROR(IF(VLOOKUP($B846,Показатели!$E:$W,12,FALSE)=0,"",VLOOKUP($B846,Показатели!$E:$W,12,FALSE)),"")</f>
        <v/>
      </c>
      <c r="P846" t="str">
        <f>IFERROR(IF(VLOOKUP($B846,Показатели!$E:$W,13,FALSE)=0,"",VLOOKUP($B846,Показатели!$E:$W,13,FALSE)),"")</f>
        <v/>
      </c>
      <c r="Q846" t="str">
        <f>IFERROR(IF(VLOOKUP($B846,Показатели!$E:$W,14,FALSE)=0,"",VLOOKUP($B846,Показатели!$E:$W,14,FALSE)),"")</f>
        <v/>
      </c>
      <c r="R846" t="str">
        <f>IFERROR(IF(VLOOKUP($B846,Показатели!$E:$W,15,FALSE)=0,"",VLOOKUP($B846,Показатели!$E:$W,15,FALSE)),"")</f>
        <v/>
      </c>
      <c r="S846" t="str">
        <f>IFERROR(IF(VLOOKUP($B846,Показатели!$E:$W,16,FALSE)=0,"",VLOOKUP($B846,Показатели!$E:$W,16,FALSE)),"")</f>
        <v/>
      </c>
      <c r="T846" t="str">
        <f>IFERROR(IF(VLOOKUP($B846,Показатели!$E:$W,17,FALSE)=0,"",VLOOKUP($B846,Показатели!$E:$W,17,FALSE)),"")</f>
        <v/>
      </c>
      <c r="U846" t="str">
        <f>IFERROR(IF(VLOOKUP($B846,Показатели!$E:$W,18,FALSE)=0,"",VLOOKUP($B846,Показатели!$E:$W,18,FALSE)),"")</f>
        <v/>
      </c>
      <c r="V846" t="str">
        <f>IFERROR(IF(VLOOKUP($B846,Показатели!$E:$W,19,FALSE)=0,"",VLOOKUP($B846,Показатели!$E:$W,19,FALSE)),"")</f>
        <v/>
      </c>
    </row>
    <row r="847" spans="1:22" x14ac:dyDescent="0.2">
      <c r="A847" s="7" t="s">
        <v>2284</v>
      </c>
      <c r="B847" t="str">
        <f t="shared" si="13"/>
        <v>POSI IV кв. 2012</v>
      </c>
      <c r="C847">
        <v>2012</v>
      </c>
      <c r="D847">
        <f>SUMIFS(Дивиденды!$C:$C,Дивиденды!$A:$A,A847,Дивиденды!$I:$I,C847)</f>
        <v>0</v>
      </c>
      <c r="E847" t="str">
        <f>IFERROR(IF(VLOOKUP($B847,Показатели!$E:$W,2,FALSE)=0,"",VLOOKUP($B847,Показатели!$E:$W,2,FALSE)),"")</f>
        <v/>
      </c>
      <c r="F847" t="str">
        <f>IFERROR(IF(VLOOKUP($B847,Показатели!$E:$W,3,FALSE)=0,"",VLOOKUP($B847,Показатели!$E:$W,3,FALSE)),"")</f>
        <v/>
      </c>
      <c r="G847" t="str">
        <f>IFERROR(IF(VLOOKUP($B847,Показатели!$E:$W,4,FALSE)=0,"",VLOOKUP($B847,Показатели!$E:$W,4,FALSE)),"")</f>
        <v/>
      </c>
      <c r="H847" t="str">
        <f>IFERROR(IF(VLOOKUP($B847,Показатели!$E:$W,5,FALSE)=0,"",VLOOKUP($B847,Показатели!$E:$W,5,FALSE)),"")</f>
        <v/>
      </c>
      <c r="I847" t="str">
        <f>IFERROR(IF(VLOOKUP($B847,Показатели!$E:$W,6,FALSE)=0,"",VLOOKUP($B847,Показатели!$E:$W,6,FALSE)),"")</f>
        <v/>
      </c>
      <c r="J847" t="str">
        <f>IFERROR(IF(VLOOKUP($B847,Показатели!$E:$W,7,FALSE)=0,"",VLOOKUP($B847,Показатели!$E:$W,7,FALSE)),"")</f>
        <v/>
      </c>
      <c r="K847" t="str">
        <f>IFERROR(IF(VLOOKUP($B847,Показатели!$E:$W,8,FALSE)=0,"",VLOOKUP($B847,Показатели!$E:$W,8,FALSE)),"")</f>
        <v/>
      </c>
      <c r="L847" t="str">
        <f>IFERROR(IF(VLOOKUP($B847,Показатели!$E:$W,9,FALSE)=0,"",VLOOKUP($B847,Показатели!$E:$W,9,FALSE)),"")</f>
        <v/>
      </c>
      <c r="M847" t="str">
        <f>IFERROR(IF(VLOOKUP($B847,Показатели!$E:$W,10,FALSE)=0,"",VLOOKUP($B847,Показатели!$E:$W,10,FALSE)),"")</f>
        <v/>
      </c>
      <c r="N847" t="str">
        <f>IFERROR(IF(VLOOKUP($B847,Показатели!$E:$W,11,FALSE)=0,"",VLOOKUP($B847,Показатели!$E:$W,11,FALSE)),"")</f>
        <v/>
      </c>
      <c r="O847" t="str">
        <f>IFERROR(IF(VLOOKUP($B847,Показатели!$E:$W,12,FALSE)=0,"",VLOOKUP($B847,Показатели!$E:$W,12,FALSE)),"")</f>
        <v/>
      </c>
      <c r="P847" t="str">
        <f>IFERROR(IF(VLOOKUP($B847,Показатели!$E:$W,13,FALSE)=0,"",VLOOKUP($B847,Показатели!$E:$W,13,FALSE)),"")</f>
        <v/>
      </c>
      <c r="Q847" t="str">
        <f>IFERROR(IF(VLOOKUP($B847,Показатели!$E:$W,14,FALSE)=0,"",VLOOKUP($B847,Показатели!$E:$W,14,FALSE)),"")</f>
        <v/>
      </c>
      <c r="R847" t="str">
        <f>IFERROR(IF(VLOOKUP($B847,Показатели!$E:$W,15,FALSE)=0,"",VLOOKUP($B847,Показатели!$E:$W,15,FALSE)),"")</f>
        <v/>
      </c>
      <c r="S847" t="str">
        <f>IFERROR(IF(VLOOKUP($B847,Показатели!$E:$W,16,FALSE)=0,"",VLOOKUP($B847,Показатели!$E:$W,16,FALSE)),"")</f>
        <v/>
      </c>
      <c r="T847" t="str">
        <f>IFERROR(IF(VLOOKUP($B847,Показатели!$E:$W,17,FALSE)=0,"",VLOOKUP($B847,Показатели!$E:$W,17,FALSE)),"")</f>
        <v/>
      </c>
      <c r="U847" t="str">
        <f>IFERROR(IF(VLOOKUP($B847,Показатели!$E:$W,18,FALSE)=0,"",VLOOKUP($B847,Показатели!$E:$W,18,FALSE)),"")</f>
        <v/>
      </c>
      <c r="V847" t="str">
        <f>IFERROR(IF(VLOOKUP($B847,Показатели!$E:$W,19,FALSE)=0,"",VLOOKUP($B847,Показатели!$E:$W,19,FALSE)),"")</f>
        <v/>
      </c>
    </row>
    <row r="848" spans="1:22" x14ac:dyDescent="0.2">
      <c r="A848" s="7" t="s">
        <v>2284</v>
      </c>
      <c r="B848" t="str">
        <f t="shared" si="13"/>
        <v>POSI IV кв. 2011</v>
      </c>
      <c r="C848">
        <v>2011</v>
      </c>
      <c r="D848">
        <f>SUMIFS(Дивиденды!$C:$C,Дивиденды!$A:$A,A848,Дивиденды!$I:$I,C848)</f>
        <v>0</v>
      </c>
      <c r="E848" t="str">
        <f>IFERROR(IF(VLOOKUP($B848,Показатели!$E:$W,2,FALSE)=0,"",VLOOKUP($B848,Показатели!$E:$W,2,FALSE)),"")</f>
        <v/>
      </c>
      <c r="F848" t="str">
        <f>IFERROR(IF(VLOOKUP($B848,Показатели!$E:$W,3,FALSE)=0,"",VLOOKUP($B848,Показатели!$E:$W,3,FALSE)),"")</f>
        <v/>
      </c>
      <c r="G848" t="str">
        <f>IFERROR(IF(VLOOKUP($B848,Показатели!$E:$W,4,FALSE)=0,"",VLOOKUP($B848,Показатели!$E:$W,4,FALSE)),"")</f>
        <v/>
      </c>
      <c r="H848" t="str">
        <f>IFERROR(IF(VLOOKUP($B848,Показатели!$E:$W,5,FALSE)=0,"",VLOOKUP($B848,Показатели!$E:$W,5,FALSE)),"")</f>
        <v/>
      </c>
      <c r="I848" t="str">
        <f>IFERROR(IF(VLOOKUP($B848,Показатели!$E:$W,6,FALSE)=0,"",VLOOKUP($B848,Показатели!$E:$W,6,FALSE)),"")</f>
        <v/>
      </c>
      <c r="J848" t="str">
        <f>IFERROR(IF(VLOOKUP($B848,Показатели!$E:$W,7,FALSE)=0,"",VLOOKUP($B848,Показатели!$E:$W,7,FALSE)),"")</f>
        <v/>
      </c>
      <c r="K848" t="str">
        <f>IFERROR(IF(VLOOKUP($B848,Показатели!$E:$W,8,FALSE)=0,"",VLOOKUP($B848,Показатели!$E:$W,8,FALSE)),"")</f>
        <v/>
      </c>
      <c r="L848" t="str">
        <f>IFERROR(IF(VLOOKUP($B848,Показатели!$E:$W,9,FALSE)=0,"",VLOOKUP($B848,Показатели!$E:$W,9,FALSE)),"")</f>
        <v/>
      </c>
      <c r="M848" t="str">
        <f>IFERROR(IF(VLOOKUP($B848,Показатели!$E:$W,10,FALSE)=0,"",VLOOKUP($B848,Показатели!$E:$W,10,FALSE)),"")</f>
        <v/>
      </c>
      <c r="N848" t="str">
        <f>IFERROR(IF(VLOOKUP($B848,Показатели!$E:$W,11,FALSE)=0,"",VLOOKUP($B848,Показатели!$E:$W,11,FALSE)),"")</f>
        <v/>
      </c>
      <c r="O848" t="str">
        <f>IFERROR(IF(VLOOKUP($B848,Показатели!$E:$W,12,FALSE)=0,"",VLOOKUP($B848,Показатели!$E:$W,12,FALSE)),"")</f>
        <v/>
      </c>
      <c r="P848" t="str">
        <f>IFERROR(IF(VLOOKUP($B848,Показатели!$E:$W,13,FALSE)=0,"",VLOOKUP($B848,Показатели!$E:$W,13,FALSE)),"")</f>
        <v/>
      </c>
      <c r="Q848" t="str">
        <f>IFERROR(IF(VLOOKUP($B848,Показатели!$E:$W,14,FALSE)=0,"",VLOOKUP($B848,Показатели!$E:$W,14,FALSE)),"")</f>
        <v/>
      </c>
      <c r="R848" t="str">
        <f>IFERROR(IF(VLOOKUP($B848,Показатели!$E:$W,15,FALSE)=0,"",VLOOKUP($B848,Показатели!$E:$W,15,FALSE)),"")</f>
        <v/>
      </c>
      <c r="S848" t="str">
        <f>IFERROR(IF(VLOOKUP($B848,Показатели!$E:$W,16,FALSE)=0,"",VLOOKUP($B848,Показатели!$E:$W,16,FALSE)),"")</f>
        <v/>
      </c>
      <c r="T848" t="str">
        <f>IFERROR(IF(VLOOKUP($B848,Показатели!$E:$W,17,FALSE)=0,"",VLOOKUP($B848,Показатели!$E:$W,17,FALSE)),"")</f>
        <v/>
      </c>
      <c r="U848" t="str">
        <f>IFERROR(IF(VLOOKUP($B848,Показатели!$E:$W,18,FALSE)=0,"",VLOOKUP($B848,Показатели!$E:$W,18,FALSE)),"")</f>
        <v/>
      </c>
      <c r="V848" t="str">
        <f>IFERROR(IF(VLOOKUP($B848,Показатели!$E:$W,19,FALSE)=0,"",VLOOKUP($B848,Показатели!$E:$W,19,FALSE)),"")</f>
        <v/>
      </c>
    </row>
    <row r="849" spans="1:22" x14ac:dyDescent="0.2">
      <c r="A849" s="7" t="s">
        <v>2284</v>
      </c>
      <c r="B849" t="str">
        <f t="shared" si="13"/>
        <v>POSI IV кв. 2010</v>
      </c>
      <c r="C849">
        <v>2010</v>
      </c>
      <c r="D849">
        <f>SUMIFS(Дивиденды!$C:$C,Дивиденды!$A:$A,A849,Дивиденды!$I:$I,C849)</f>
        <v>0</v>
      </c>
      <c r="E849" t="str">
        <f>IFERROR(IF(VLOOKUP($B849,Показатели!$E:$W,2,FALSE)=0,"",VLOOKUP($B849,Показатели!$E:$W,2,FALSE)),"")</f>
        <v/>
      </c>
      <c r="F849" t="str">
        <f>IFERROR(IF(VLOOKUP($B849,Показатели!$E:$W,3,FALSE)=0,"",VLOOKUP($B849,Показатели!$E:$W,3,FALSE)),"")</f>
        <v/>
      </c>
      <c r="G849" t="str">
        <f>IFERROR(IF(VLOOKUP($B849,Показатели!$E:$W,4,FALSE)=0,"",VLOOKUP($B849,Показатели!$E:$W,4,FALSE)),"")</f>
        <v/>
      </c>
      <c r="H849" t="str">
        <f>IFERROR(IF(VLOOKUP($B849,Показатели!$E:$W,5,FALSE)=0,"",VLOOKUP($B849,Показатели!$E:$W,5,FALSE)),"")</f>
        <v/>
      </c>
      <c r="I849" t="str">
        <f>IFERROR(IF(VLOOKUP($B849,Показатели!$E:$W,6,FALSE)=0,"",VLOOKUP($B849,Показатели!$E:$W,6,FALSE)),"")</f>
        <v/>
      </c>
      <c r="J849" t="str">
        <f>IFERROR(IF(VLOOKUP($B849,Показатели!$E:$W,7,FALSE)=0,"",VLOOKUP($B849,Показатели!$E:$W,7,FALSE)),"")</f>
        <v/>
      </c>
      <c r="K849" t="str">
        <f>IFERROR(IF(VLOOKUP($B849,Показатели!$E:$W,8,FALSE)=0,"",VLOOKUP($B849,Показатели!$E:$W,8,FALSE)),"")</f>
        <v/>
      </c>
      <c r="L849" t="str">
        <f>IFERROR(IF(VLOOKUP($B849,Показатели!$E:$W,9,FALSE)=0,"",VLOOKUP($B849,Показатели!$E:$W,9,FALSE)),"")</f>
        <v/>
      </c>
      <c r="M849" t="str">
        <f>IFERROR(IF(VLOOKUP($B849,Показатели!$E:$W,10,FALSE)=0,"",VLOOKUP($B849,Показатели!$E:$W,10,FALSE)),"")</f>
        <v/>
      </c>
      <c r="N849" t="str">
        <f>IFERROR(IF(VLOOKUP($B849,Показатели!$E:$W,11,FALSE)=0,"",VLOOKUP($B849,Показатели!$E:$W,11,FALSE)),"")</f>
        <v/>
      </c>
      <c r="O849" t="str">
        <f>IFERROR(IF(VLOOKUP($B849,Показатели!$E:$W,12,FALSE)=0,"",VLOOKUP($B849,Показатели!$E:$W,12,FALSE)),"")</f>
        <v/>
      </c>
      <c r="P849" t="str">
        <f>IFERROR(IF(VLOOKUP($B849,Показатели!$E:$W,13,FALSE)=0,"",VLOOKUP($B849,Показатели!$E:$W,13,FALSE)),"")</f>
        <v/>
      </c>
      <c r="Q849" t="str">
        <f>IFERROR(IF(VLOOKUP($B849,Показатели!$E:$W,14,FALSE)=0,"",VLOOKUP($B849,Показатели!$E:$W,14,FALSE)),"")</f>
        <v/>
      </c>
      <c r="R849" t="str">
        <f>IFERROR(IF(VLOOKUP($B849,Показатели!$E:$W,15,FALSE)=0,"",VLOOKUP($B849,Показатели!$E:$W,15,FALSE)),"")</f>
        <v/>
      </c>
      <c r="S849" t="str">
        <f>IFERROR(IF(VLOOKUP($B849,Показатели!$E:$W,16,FALSE)=0,"",VLOOKUP($B849,Показатели!$E:$W,16,FALSE)),"")</f>
        <v/>
      </c>
      <c r="T849" t="str">
        <f>IFERROR(IF(VLOOKUP($B849,Показатели!$E:$W,17,FALSE)=0,"",VLOOKUP($B849,Показатели!$E:$W,17,FALSE)),"")</f>
        <v/>
      </c>
      <c r="U849" t="str">
        <f>IFERROR(IF(VLOOKUP($B849,Показатели!$E:$W,18,FALSE)=0,"",VLOOKUP($B849,Показатели!$E:$W,18,FALSE)),"")</f>
        <v/>
      </c>
      <c r="V849" t="str">
        <f>IFERROR(IF(VLOOKUP($B849,Показатели!$E:$W,19,FALSE)=0,"",VLOOKUP($B849,Показатели!$E:$W,19,FALSE)),"")</f>
        <v/>
      </c>
    </row>
    <row r="850" spans="1:22" x14ac:dyDescent="0.2">
      <c r="A850" s="7" t="s">
        <v>2321</v>
      </c>
      <c r="B850" t="str">
        <f t="shared" si="13"/>
        <v>SOFL IV кв. 2025</v>
      </c>
      <c r="C850">
        <v>2025</v>
      </c>
      <c r="D850">
        <f>SUMIFS(Дивиденды!$C:$C,Дивиденды!$A:$A,A850,Дивиденды!$I:$I,C850)</f>
        <v>0</v>
      </c>
      <c r="E850" t="str">
        <f>IFERROR(IF(VLOOKUP($B850,Показатели!$E:$W,2,FALSE)=0,"",VLOOKUP($B850,Показатели!$E:$W,2,FALSE)),"")</f>
        <v/>
      </c>
      <c r="F850" t="str">
        <f>IFERROR(IF(VLOOKUP($B850,Показатели!$E:$W,3,FALSE)=0,"",VLOOKUP($B850,Показатели!$E:$W,3,FALSE)),"")</f>
        <v/>
      </c>
      <c r="G850" t="str">
        <f>IFERROR(IF(VLOOKUP($B850,Показатели!$E:$W,4,FALSE)=0,"",VLOOKUP($B850,Показатели!$E:$W,4,FALSE)),"")</f>
        <v/>
      </c>
      <c r="H850" t="str">
        <f>IFERROR(IF(VLOOKUP($B850,Показатели!$E:$W,5,FALSE)=0,"",VLOOKUP($B850,Показатели!$E:$W,5,FALSE)),"")</f>
        <v/>
      </c>
      <c r="I850" t="str">
        <f>IFERROR(IF(VLOOKUP($B850,Показатели!$E:$W,6,FALSE)=0,"",VLOOKUP($B850,Показатели!$E:$W,6,FALSE)),"")</f>
        <v/>
      </c>
      <c r="J850" t="str">
        <f>IFERROR(IF(VLOOKUP($B850,Показатели!$E:$W,7,FALSE)=0,"",VLOOKUP($B850,Показатели!$E:$W,7,FALSE)),"")</f>
        <v/>
      </c>
      <c r="K850" t="str">
        <f>IFERROR(IF(VLOOKUP($B850,Показатели!$E:$W,8,FALSE)=0,"",VLOOKUP($B850,Показатели!$E:$W,8,FALSE)),"")</f>
        <v/>
      </c>
      <c r="L850" t="str">
        <f>IFERROR(IF(VLOOKUP($B850,Показатели!$E:$W,9,FALSE)=0,"",VLOOKUP($B850,Показатели!$E:$W,9,FALSE)),"")</f>
        <v/>
      </c>
      <c r="M850" t="str">
        <f>IFERROR(IF(VLOOKUP($B850,Показатели!$E:$W,10,FALSE)=0,"",VLOOKUP($B850,Показатели!$E:$W,10,FALSE)),"")</f>
        <v/>
      </c>
      <c r="N850" t="str">
        <f>IFERROR(IF(VLOOKUP($B850,Показатели!$E:$W,11,FALSE)=0,"",VLOOKUP($B850,Показатели!$E:$W,11,FALSE)),"")</f>
        <v/>
      </c>
      <c r="O850" t="str">
        <f>IFERROR(IF(VLOOKUP($B850,Показатели!$E:$W,12,FALSE)=0,"",VLOOKUP($B850,Показатели!$E:$W,12,FALSE)),"")</f>
        <v/>
      </c>
      <c r="P850" t="str">
        <f>IFERROR(IF(VLOOKUP($B850,Показатели!$E:$W,13,FALSE)=0,"",VLOOKUP($B850,Показатели!$E:$W,13,FALSE)),"")</f>
        <v/>
      </c>
      <c r="Q850" t="str">
        <f>IFERROR(IF(VLOOKUP($B850,Показатели!$E:$W,14,FALSE)=0,"",VLOOKUP($B850,Показатели!$E:$W,14,FALSE)),"")</f>
        <v/>
      </c>
      <c r="R850" t="str">
        <f>IFERROR(IF(VLOOKUP($B850,Показатели!$E:$W,15,FALSE)=0,"",VLOOKUP($B850,Показатели!$E:$W,15,FALSE)),"")</f>
        <v/>
      </c>
      <c r="S850" t="str">
        <f>IFERROR(IF(VLOOKUP($B850,Показатели!$E:$W,16,FALSE)=0,"",VLOOKUP($B850,Показатели!$E:$W,16,FALSE)),"")</f>
        <v/>
      </c>
      <c r="T850" t="str">
        <f>IFERROR(IF(VLOOKUP($B850,Показатели!$E:$W,17,FALSE)=0,"",VLOOKUP($B850,Показатели!$E:$W,17,FALSE)),"")</f>
        <v/>
      </c>
      <c r="U850" t="str">
        <f>IFERROR(IF(VLOOKUP($B850,Показатели!$E:$W,18,FALSE)=0,"",VLOOKUP($B850,Показатели!$E:$W,18,FALSE)),"")</f>
        <v/>
      </c>
      <c r="V850" t="str">
        <f>IFERROR(IF(VLOOKUP($B850,Показатели!$E:$W,19,FALSE)=0,"",VLOOKUP($B850,Показатели!$E:$W,19,FALSE)),"")</f>
        <v/>
      </c>
    </row>
    <row r="851" spans="1:22" x14ac:dyDescent="0.2">
      <c r="A851" s="7" t="s">
        <v>2321</v>
      </c>
      <c r="B851" t="str">
        <f t="shared" si="13"/>
        <v>SOFL IV кв. 2024</v>
      </c>
      <c r="C851">
        <v>2024</v>
      </c>
      <c r="D851">
        <f>SUMIFS(Дивиденды!$C:$C,Дивиденды!$A:$A,A851,Дивиденды!$I:$I,C851)</f>
        <v>0</v>
      </c>
      <c r="E851">
        <f>IFERROR(IF(VLOOKUP($B851,Показатели!$E:$W,2,FALSE)=0,"",VLOOKUP($B851,Показатели!$E:$W,2,FALSE)),"")</f>
        <v>10694000000</v>
      </c>
      <c r="F851">
        <f>IFERROR(IF(VLOOKUP($B851,Показатели!$E:$W,3,FALSE)=0,"",VLOOKUP($B851,Показатели!$E:$W,3,FALSE)),"")</f>
        <v>66098000000</v>
      </c>
      <c r="G851">
        <f>IFERROR(IF(VLOOKUP($B851,Показатели!$E:$W,4,FALSE)=0,"",VLOOKUP($B851,Показатели!$E:$W,4,FALSE)),"")</f>
        <v>5564000000</v>
      </c>
      <c r="H851">
        <f>IFERROR(IF(VLOOKUP($B851,Показатели!$E:$W,5,FALSE)=0,"",VLOOKUP($B851,Показатели!$E:$W,5,FALSE)),"")</f>
        <v>23258000000</v>
      </c>
      <c r="I851">
        <f>IFERROR(IF(VLOOKUP($B851,Показатели!$E:$W,6,FALSE)=0,"",VLOOKUP($B851,Показатели!$E:$W,6,FALSE)),"")</f>
        <v>98874000000</v>
      </c>
      <c r="J851">
        <f>IFERROR(IF(VLOOKUP($B851,Показатели!$E:$W,7,FALSE)=0,"",VLOOKUP($B851,Показатели!$E:$W,7,FALSE)),"")</f>
        <v>56354000000</v>
      </c>
      <c r="K851">
        <f>IFERROR(IF(VLOOKUP($B851,Показатели!$E:$W,8,FALSE)=0,"",VLOOKUP($B851,Показатели!$E:$W,8,FALSE)),"")</f>
        <v>20233000000</v>
      </c>
      <c r="L851">
        <f>IFERROR(IF(VLOOKUP($B851,Показатели!$E:$W,9,FALSE)=0,"",VLOOKUP($B851,Показатели!$E:$W,9,FALSE)),"")</f>
        <v>11216000000</v>
      </c>
      <c r="M851">
        <f>IFERROR(IF(VLOOKUP($B851,Показатели!$E:$W,10,FALSE)=0,"",VLOOKUP($B851,Показатели!$E:$W,10,FALSE)),"")</f>
        <v>22287000000</v>
      </c>
      <c r="N851">
        <f>IFERROR(IF(VLOOKUP($B851,Показатели!$E:$W,11,FALSE)=0,"",VLOOKUP($B851,Показатели!$E:$W,11,FALSE)),"")</f>
        <v>81126000000</v>
      </c>
      <c r="O851">
        <f>IFERROR(IF(VLOOKUP($B851,Показатели!$E:$W,12,FALSE)=0,"",VLOOKUP($B851,Показатели!$E:$W,12,FALSE)),"")</f>
        <v>2373000000</v>
      </c>
      <c r="P851">
        <f>IFERROR(IF(VLOOKUP($B851,Показатели!$E:$W,13,FALSE)=0,"",VLOOKUP($B851,Показатели!$E:$W,13,FALSE)),"")</f>
        <v>3304000000</v>
      </c>
      <c r="Q851">
        <f>IFERROR(IF(VLOOKUP($B851,Показатели!$E:$W,14,FALSE)=0,"",VLOOKUP($B851,Показатели!$E:$W,14,FALSE)),"")</f>
        <v>2604000000</v>
      </c>
      <c r="R851">
        <f>IFERROR(IF(VLOOKUP($B851,Показатели!$E:$W,15,FALSE)=0,"",VLOOKUP($B851,Показатели!$E:$W,15,FALSE)),"")</f>
        <v>2943000000</v>
      </c>
      <c r="S851">
        <f>IFERROR(IF(VLOOKUP($B851,Показатели!$E:$W,16,FALSE)=0,"",VLOOKUP($B851,Показатели!$E:$W,16,FALSE)),"")</f>
        <v>7083000000</v>
      </c>
      <c r="T851">
        <f>IFERROR(IF(VLOOKUP($B851,Показатели!$E:$W,17,FALSE)=0,"",VLOOKUP($B851,Показатели!$E:$W,17,FALSE)),"")</f>
        <v>-4384000000</v>
      </c>
      <c r="U851">
        <f>IFERROR(IF(VLOOKUP($B851,Показатели!$E:$W,18,FALSE)=0,"",VLOOKUP($B851,Показатели!$E:$W,18,FALSE)),"")</f>
        <v>73181000000</v>
      </c>
      <c r="V851">
        <f>IFERROR(IF(VLOOKUP($B851,Показатели!$E:$W,19,FALSE)=0,"",VLOOKUP($B851,Показатели!$E:$W,19,FALSE)),"")</f>
        <v>74517000000</v>
      </c>
    </row>
    <row r="852" spans="1:22" x14ac:dyDescent="0.2">
      <c r="A852" s="7" t="s">
        <v>2321</v>
      </c>
      <c r="B852" t="str">
        <f t="shared" si="13"/>
        <v>SOFL IV кв. 2023</v>
      </c>
      <c r="C852">
        <v>2023</v>
      </c>
      <c r="D852">
        <f>SUMIFS(Дивиденды!$C:$C,Дивиденды!$A:$A,A852,Дивиденды!$I:$I,C852)</f>
        <v>0</v>
      </c>
      <c r="E852">
        <f>IFERROR(IF(VLOOKUP($B852,Показатели!$E:$W,2,FALSE)=0,"",VLOOKUP($B852,Показатели!$E:$W,2,FALSE)),"")</f>
        <v>13767000000</v>
      </c>
      <c r="F852">
        <f>IFERROR(IF(VLOOKUP($B852,Показатели!$E:$W,3,FALSE)=0,"",VLOOKUP($B852,Показатели!$E:$W,3,FALSE)),"")</f>
        <v>55517000000</v>
      </c>
      <c r="G852">
        <f>IFERROR(IF(VLOOKUP($B852,Показатели!$E:$W,4,FALSE)=0,"",VLOOKUP($B852,Показатели!$E:$W,4,FALSE)),"")</f>
        <v>2050000000</v>
      </c>
      <c r="H852">
        <f>IFERROR(IF(VLOOKUP($B852,Показатели!$E:$W,5,FALSE)=0,"",VLOOKUP($B852,Показатели!$E:$W,5,FALSE)),"")</f>
        <v>14716000000</v>
      </c>
      <c r="I852">
        <f>IFERROR(IF(VLOOKUP($B852,Показатели!$E:$W,6,FALSE)=0,"",VLOOKUP($B852,Показатели!$E:$W,6,FALSE)),"")</f>
        <v>74517000000</v>
      </c>
      <c r="J852">
        <f>IFERROR(IF(VLOOKUP($B852,Показатели!$E:$W,7,FALSE)=0,"",VLOOKUP($B852,Показатели!$E:$W,7,FALSE)),"")</f>
        <v>53787000000</v>
      </c>
      <c r="K852">
        <f>IFERROR(IF(VLOOKUP($B852,Показатели!$E:$W,8,FALSE)=0,"",VLOOKUP($B852,Показатели!$E:$W,8,FALSE)),"")</f>
        <v>12214000000</v>
      </c>
      <c r="L852">
        <f>IFERROR(IF(VLOOKUP($B852,Показатели!$E:$W,9,FALSE)=0,"",VLOOKUP($B852,Показатели!$E:$W,9,FALSE)),"")</f>
        <v>9785000000</v>
      </c>
      <c r="M852">
        <f>IFERROR(IF(VLOOKUP($B852,Показатели!$E:$W,10,FALSE)=0,"",VLOOKUP($B852,Показатели!$E:$W,10,FALSE)),"")</f>
        <v>8516000000</v>
      </c>
      <c r="N852">
        <f>IFERROR(IF(VLOOKUP($B852,Показатели!$E:$W,11,FALSE)=0,"",VLOOKUP($B852,Показатели!$E:$W,11,FALSE)),"")</f>
        <v>73181000000</v>
      </c>
      <c r="O852">
        <f>IFERROR(IF(VLOOKUP($B852,Показатели!$E:$W,12,FALSE)=0,"",VLOOKUP($B852,Показатели!$E:$W,12,FALSE)),"")</f>
        <v>1534000000</v>
      </c>
      <c r="P852">
        <f>IFERROR(IF(VLOOKUP($B852,Показатели!$E:$W,13,FALSE)=0,"",VLOOKUP($B852,Показатели!$E:$W,13,FALSE)),"")</f>
        <v>3763000000</v>
      </c>
      <c r="Q852">
        <f>IFERROR(IF(VLOOKUP($B852,Показатели!$E:$W,14,FALSE)=0,"",VLOOKUP($B852,Показатели!$E:$W,14,FALSE)),"")</f>
        <v>3078000000</v>
      </c>
      <c r="R852">
        <f>IFERROR(IF(VLOOKUP($B852,Показатели!$E:$W,15,FALSE)=0,"",VLOOKUP($B852,Показатели!$E:$W,15,FALSE)),"")</f>
        <v>1764000000</v>
      </c>
      <c r="S852">
        <f>IFERROR(IF(VLOOKUP($B852,Показатели!$E:$W,16,FALSE)=0,"",VLOOKUP($B852,Показатели!$E:$W,16,FALSE)),"")</f>
        <v>4489000000</v>
      </c>
      <c r="T852">
        <f>IFERROR(IF(VLOOKUP($B852,Показатели!$E:$W,17,FALSE)=0,"",VLOOKUP($B852,Показатели!$E:$W,17,FALSE)),"")</f>
        <v>-2422000000</v>
      </c>
      <c r="U852">
        <f>IFERROR(IF(VLOOKUP($B852,Показатели!$E:$W,18,FALSE)=0,"",VLOOKUP($B852,Показатели!$E:$W,18,FALSE)),"")</f>
        <v>56246000000</v>
      </c>
      <c r="V852">
        <f>IFERROR(IF(VLOOKUP($B852,Показатели!$E:$W,19,FALSE)=0,"",VLOOKUP($B852,Показатели!$E:$W,19,FALSE)),"")</f>
        <v>44773000000</v>
      </c>
    </row>
    <row r="853" spans="1:22" x14ac:dyDescent="0.2">
      <c r="A853" s="7" t="s">
        <v>2321</v>
      </c>
      <c r="B853" t="str">
        <f t="shared" si="13"/>
        <v>SOFL IV кв. 2022</v>
      </c>
      <c r="C853">
        <v>2022</v>
      </c>
      <c r="D853">
        <f>SUMIFS(Дивиденды!$C:$C,Дивиденды!$A:$A,A853,Дивиденды!$I:$I,C853)</f>
        <v>0</v>
      </c>
      <c r="E853">
        <f>IFERROR(IF(VLOOKUP($B853,Показатели!$E:$W,2,FALSE)=0,"",VLOOKUP($B853,Показатели!$E:$W,2,FALSE)),"")</f>
        <v>13363000000</v>
      </c>
      <c r="F853">
        <f>IFERROR(IF(VLOOKUP($B853,Показатели!$E:$W,3,FALSE)=0,"",VLOOKUP($B853,Показатели!$E:$W,3,FALSE)),"")</f>
        <v>37813000000</v>
      </c>
      <c r="G853">
        <f>IFERROR(IF(VLOOKUP($B853,Показатели!$E:$W,4,FALSE)=0,"",VLOOKUP($B853,Показатели!$E:$W,4,FALSE)),"")</f>
        <v>1119000000</v>
      </c>
      <c r="H853">
        <f>IFERROR(IF(VLOOKUP($B853,Показатели!$E:$W,5,FALSE)=0,"",VLOOKUP($B853,Показатели!$E:$W,5,FALSE)),"")</f>
        <v>4242000000</v>
      </c>
      <c r="I853">
        <f>IFERROR(IF(VLOOKUP($B853,Показатели!$E:$W,6,FALSE)=0,"",VLOOKUP($B853,Показатели!$E:$W,6,FALSE)),"")</f>
        <v>44773000000</v>
      </c>
      <c r="J853">
        <f>IFERROR(IF(VLOOKUP($B853,Показатели!$E:$W,7,FALSE)=0,"",VLOOKUP($B853,Показатели!$E:$W,7,FALSE)),"")</f>
        <v>30857000000</v>
      </c>
      <c r="K853">
        <f>IFERROR(IF(VLOOKUP($B853,Показатели!$E:$W,8,FALSE)=0,"",VLOOKUP($B853,Показатели!$E:$W,8,FALSE)),"")</f>
        <v>4121000000</v>
      </c>
      <c r="L853">
        <f>IFERROR(IF(VLOOKUP($B853,Показатели!$E:$W,9,FALSE)=0,"",VLOOKUP($B853,Показатели!$E:$W,9,FALSE)),"")</f>
        <v>6788000000</v>
      </c>
      <c r="M853">
        <f>IFERROR(IF(VLOOKUP($B853,Показатели!$E:$W,10,FALSE)=0,"",VLOOKUP($B853,Показатели!$E:$W,10,FALSE)),"")</f>
        <v>9795000000</v>
      </c>
      <c r="N853">
        <f>IFERROR(IF(VLOOKUP($B853,Показатели!$E:$W,11,FALSE)=0,"",VLOOKUP($B853,Показатели!$E:$W,11,FALSE)),"")</f>
        <v>56246000000</v>
      </c>
      <c r="O853">
        <f>IFERROR(IF(VLOOKUP($B853,Показатели!$E:$W,12,FALSE)=0,"",VLOOKUP($B853,Показатели!$E:$W,12,FALSE)),"")</f>
        <v>875000000</v>
      </c>
      <c r="P853">
        <f>IFERROR(IF(VLOOKUP($B853,Показатели!$E:$W,13,FALSE)=0,"",VLOOKUP($B853,Показатели!$E:$W,13,FALSE)),"")</f>
        <v>6660000000</v>
      </c>
      <c r="Q853">
        <f>IFERROR(IF(VLOOKUP($B853,Показатели!$E:$W,14,FALSE)=0,"",VLOOKUP($B853,Показатели!$E:$W,14,FALSE)),"")</f>
        <v>6485000000</v>
      </c>
      <c r="R853">
        <f>IFERROR(IF(VLOOKUP($B853,Показатели!$E:$W,15,FALSE)=0,"",VLOOKUP($B853,Показатели!$E:$W,15,FALSE)),"")</f>
        <v>1256000000</v>
      </c>
      <c r="S853">
        <f>IFERROR(IF(VLOOKUP($B853,Показатели!$E:$W,16,FALSE)=0,"",VLOOKUP($B853,Показатели!$E:$W,16,FALSE)),"")</f>
        <v>2578000000</v>
      </c>
      <c r="T853">
        <f>IFERROR(IF(VLOOKUP($B853,Показатели!$E:$W,17,FALSE)=0,"",VLOOKUP($B853,Показатели!$E:$W,17,FALSE)),"")</f>
        <v>-1481000000</v>
      </c>
      <c r="U853">
        <f>IFERROR(IF(VLOOKUP($B853,Показатели!$E:$W,18,FALSE)=0,"",VLOOKUP($B853,Показатели!$E:$W,18,FALSE)),"")</f>
        <v>66532000000</v>
      </c>
      <c r="V853">
        <f>IFERROR(IF(VLOOKUP($B853,Показатели!$E:$W,19,FALSE)=0,"",VLOOKUP($B853,Показатели!$E:$W,19,FALSE)),"")</f>
        <v>33939000000</v>
      </c>
    </row>
    <row r="854" spans="1:22" x14ac:dyDescent="0.2">
      <c r="A854" s="7" t="s">
        <v>2321</v>
      </c>
      <c r="B854" t="str">
        <f t="shared" si="13"/>
        <v>SOFL IV кв. 2021</v>
      </c>
      <c r="C854">
        <v>2021</v>
      </c>
      <c r="D854">
        <f>SUMIFS(Дивиденды!$C:$C,Дивиденды!$A:$A,A854,Дивиденды!$I:$I,C854)</f>
        <v>0</v>
      </c>
      <c r="E854">
        <f>IFERROR(IF(VLOOKUP($B854,Показатели!$E:$W,2,FALSE)=0,"",VLOOKUP($B854,Показатели!$E:$W,2,FALSE)),"")</f>
        <v>4022000000</v>
      </c>
      <c r="F854">
        <f>IFERROR(IF(VLOOKUP($B854,Показатели!$E:$W,3,FALSE)=0,"",VLOOKUP($B854,Показатели!$E:$W,3,FALSE)),"")</f>
        <v>21790000000</v>
      </c>
      <c r="G854">
        <f>IFERROR(IF(VLOOKUP($B854,Показатели!$E:$W,4,FALSE)=0,"",VLOOKUP($B854,Показатели!$E:$W,4,FALSE)),"")</f>
        <v>760000000</v>
      </c>
      <c r="H854">
        <f>IFERROR(IF(VLOOKUP($B854,Показатели!$E:$W,5,FALSE)=0,"",VLOOKUP($B854,Показатели!$E:$W,5,FALSE)),"")</f>
        <v>2459000000</v>
      </c>
      <c r="I854">
        <f>IFERROR(IF(VLOOKUP($B854,Показатели!$E:$W,6,FALSE)=0,"",VLOOKUP($B854,Показатели!$E:$W,6,FALSE)),"")</f>
        <v>33939000000</v>
      </c>
      <c r="J854">
        <f>IFERROR(IF(VLOOKUP($B854,Показатели!$E:$W,7,FALSE)=0,"",VLOOKUP($B854,Показатели!$E:$W,7,FALSE)),"")</f>
        <v>24404000000</v>
      </c>
      <c r="K854">
        <f>IFERROR(IF(VLOOKUP($B854,Показатели!$E:$W,8,FALSE)=0,"",VLOOKUP($B854,Показатели!$E:$W,8,FALSE)),"")</f>
        <v>7770000000</v>
      </c>
      <c r="L854">
        <f>IFERROR(IF(VLOOKUP($B854,Показатели!$E:$W,9,FALSE)=0,"",VLOOKUP($B854,Показатели!$E:$W,9,FALSE)),"")</f>
        <v>322000000</v>
      </c>
      <c r="M854">
        <f>IFERROR(IF(VLOOKUP($B854,Показатели!$E:$W,10,FALSE)=0,"",VLOOKUP($B854,Показатели!$E:$W,10,FALSE)),"")</f>
        <v>1765000000</v>
      </c>
      <c r="N854">
        <f>IFERROR(IF(VLOOKUP($B854,Показатели!$E:$W,11,FALSE)=0,"",VLOOKUP($B854,Показатели!$E:$W,11,FALSE)),"")</f>
        <v>66532000000</v>
      </c>
      <c r="O854">
        <f>IFERROR(IF(VLOOKUP($B854,Показатели!$E:$W,12,FALSE)=0,"",VLOOKUP($B854,Показатели!$E:$W,12,FALSE)),"")</f>
        <v>1969000000</v>
      </c>
      <c r="P854">
        <f>IFERROR(IF(VLOOKUP($B854,Показатели!$E:$W,13,FALSE)=0,"",VLOOKUP($B854,Показатели!$E:$W,13,FALSE)),"")</f>
        <v>1294000000</v>
      </c>
      <c r="Q854">
        <f>IFERROR(IF(VLOOKUP($B854,Показатели!$E:$W,14,FALSE)=0,"",VLOOKUP($B854,Показатели!$E:$W,14,FALSE)),"")</f>
        <v>962000000</v>
      </c>
      <c r="R854">
        <f>IFERROR(IF(VLOOKUP($B854,Показатели!$E:$W,15,FALSE)=0,"",VLOOKUP($B854,Показатели!$E:$W,15,FALSE)),"")</f>
        <v>1003000000</v>
      </c>
      <c r="S854">
        <f>IFERROR(IF(VLOOKUP($B854,Показатели!$E:$W,16,FALSE)=0,"",VLOOKUP($B854,Показатели!$E:$W,16,FALSE)),"")</f>
        <v>3595000000</v>
      </c>
      <c r="T854">
        <f>IFERROR(IF(VLOOKUP($B854,Показатели!$E:$W,17,FALSE)=0,"",VLOOKUP($B854,Показатели!$E:$W,17,FALSE)),"")</f>
        <v>-1329000000</v>
      </c>
      <c r="U854">
        <f>IFERROR(IF(VLOOKUP($B854,Показатели!$E:$W,18,FALSE)=0,"",VLOOKUP($B854,Показатели!$E:$W,18,FALSE)),"")</f>
        <v>69342000000</v>
      </c>
      <c r="V854">
        <f>IFERROR(IF(VLOOKUP($B854,Показатели!$E:$W,19,FALSE)=0,"",VLOOKUP($B854,Показатели!$E:$W,19,FALSE)),"")</f>
        <v>32298000000</v>
      </c>
    </row>
    <row r="855" spans="1:22" x14ac:dyDescent="0.2">
      <c r="A855" s="7" t="s">
        <v>2321</v>
      </c>
      <c r="B855" t="str">
        <f t="shared" si="13"/>
        <v>SOFL IV кв. 2020</v>
      </c>
      <c r="C855">
        <v>2020</v>
      </c>
      <c r="D855">
        <f>SUMIFS(Дивиденды!$C:$C,Дивиденды!$A:$A,A855,Дивиденды!$I:$I,C855)</f>
        <v>0</v>
      </c>
      <c r="E855">
        <f>IFERROR(IF(VLOOKUP($B855,Показатели!$E:$W,2,FALSE)=0,"",VLOOKUP($B855,Показатели!$E:$W,2,FALSE)),"")</f>
        <v>3838000000</v>
      </c>
      <c r="F855">
        <f>IFERROR(IF(VLOOKUP($B855,Показатели!$E:$W,3,FALSE)=0,"",VLOOKUP($B855,Показатели!$E:$W,3,FALSE)),"")</f>
        <v>19640000000</v>
      </c>
      <c r="G855">
        <f>IFERROR(IF(VLOOKUP($B855,Показатели!$E:$W,4,FALSE)=0,"",VLOOKUP($B855,Показатели!$E:$W,4,FALSE)),"")</f>
        <v>377000000</v>
      </c>
      <c r="H855">
        <f>IFERROR(IF(VLOOKUP($B855,Показатели!$E:$W,5,FALSE)=0,"",VLOOKUP($B855,Показатели!$E:$W,5,FALSE)),"")</f>
        <v>1417000000</v>
      </c>
      <c r="I855">
        <f>IFERROR(IF(VLOOKUP($B855,Показатели!$E:$W,6,FALSE)=0,"",VLOOKUP($B855,Показатели!$E:$W,6,FALSE)),"")</f>
        <v>32298000000</v>
      </c>
      <c r="J855">
        <f>IFERROR(IF(VLOOKUP($B855,Показатели!$E:$W,7,FALSE)=0,"",VLOOKUP($B855,Показатели!$E:$W,7,FALSE)),"")</f>
        <v>21009000000</v>
      </c>
      <c r="K855">
        <f>IFERROR(IF(VLOOKUP($B855,Показатели!$E:$W,8,FALSE)=0,"",VLOOKUP($B855,Показатели!$E:$W,8,FALSE)),"")</f>
        <v>6906000000</v>
      </c>
      <c r="L855">
        <f>IFERROR(IF(VLOOKUP($B855,Показатели!$E:$W,9,FALSE)=0,"",VLOOKUP($B855,Показатели!$E:$W,9,FALSE)),"")</f>
        <v>3354000000</v>
      </c>
      <c r="M855">
        <f>IFERROR(IF(VLOOKUP($B855,Показатели!$E:$W,10,FALSE)=0,"",VLOOKUP($B855,Показатели!$E:$W,10,FALSE)),"")</f>
        <v>4383000000</v>
      </c>
      <c r="N855">
        <f>IFERROR(IF(VLOOKUP($B855,Показатели!$E:$W,11,FALSE)=0,"",VLOOKUP($B855,Показатели!$E:$W,11,FALSE)),"")</f>
        <v>69342000000</v>
      </c>
      <c r="O855">
        <f>IFERROR(IF(VLOOKUP($B855,Показатели!$E:$W,12,FALSE)=0,"",VLOOKUP($B855,Показатели!$E:$W,12,FALSE)),"")</f>
        <v>2028000000</v>
      </c>
      <c r="P855">
        <f>IFERROR(IF(VLOOKUP($B855,Показатели!$E:$W,13,FALSE)=0,"",VLOOKUP($B855,Показатели!$E:$W,13,FALSE)),"")</f>
        <v>1977000000</v>
      </c>
      <c r="Q855">
        <f>IFERROR(IF(VLOOKUP($B855,Показатели!$E:$W,14,FALSE)=0,"",VLOOKUP($B855,Показатели!$E:$W,14,FALSE)),"")</f>
        <v>776000000</v>
      </c>
      <c r="R855">
        <f>IFERROR(IF(VLOOKUP($B855,Показатели!$E:$W,15,FALSE)=0,"",VLOOKUP($B855,Показатели!$E:$W,15,FALSE)),"")</f>
        <v>761000000</v>
      </c>
      <c r="S855">
        <f>IFERROR(IF(VLOOKUP($B855,Показатели!$E:$W,16,FALSE)=0,"",VLOOKUP($B855,Показатели!$E:$W,16,FALSE)),"")</f>
        <v>3350000000</v>
      </c>
      <c r="T855">
        <f>IFERROR(IF(VLOOKUP($B855,Показатели!$E:$W,17,FALSE)=0,"",VLOOKUP($B855,Показатели!$E:$W,17,FALSE)),"")</f>
        <v>-794000000</v>
      </c>
      <c r="U855" t="str">
        <f>IFERROR(IF(VLOOKUP($B855,Показатели!$E:$W,18,FALSE)=0,"",VLOOKUP($B855,Показатели!$E:$W,18,FALSE)),"")</f>
        <v/>
      </c>
      <c r="V855" t="str">
        <f>IFERROR(IF(VLOOKUP($B855,Показатели!$E:$W,19,FALSE)=0,"",VLOOKUP($B855,Показатели!$E:$W,19,FALSE)),"")</f>
        <v/>
      </c>
    </row>
    <row r="856" spans="1:22" x14ac:dyDescent="0.2">
      <c r="A856" s="7" t="s">
        <v>2321</v>
      </c>
      <c r="B856" t="str">
        <f t="shared" si="13"/>
        <v>SOFL IV кв. 2019</v>
      </c>
      <c r="C856">
        <v>2019</v>
      </c>
      <c r="D856">
        <f>SUMIFS(Дивиденды!$C:$C,Дивиденды!$A:$A,A856,Дивиденды!$I:$I,C856)</f>
        <v>0</v>
      </c>
      <c r="E856" t="str">
        <f>IFERROR(IF(VLOOKUP($B856,Показатели!$E:$W,2,FALSE)=0,"",VLOOKUP($B856,Показатели!$E:$W,2,FALSE)),"")</f>
        <v/>
      </c>
      <c r="F856" t="str">
        <f>IFERROR(IF(VLOOKUP($B856,Показатели!$E:$W,3,FALSE)=0,"",VLOOKUP($B856,Показатели!$E:$W,3,FALSE)),"")</f>
        <v/>
      </c>
      <c r="G856" t="str">
        <f>IFERROR(IF(VLOOKUP($B856,Показатели!$E:$W,4,FALSE)=0,"",VLOOKUP($B856,Показатели!$E:$W,4,FALSE)),"")</f>
        <v/>
      </c>
      <c r="H856" t="str">
        <f>IFERROR(IF(VLOOKUP($B856,Показатели!$E:$W,5,FALSE)=0,"",VLOOKUP($B856,Показатели!$E:$W,5,FALSE)),"")</f>
        <v/>
      </c>
      <c r="I856" t="str">
        <f>IFERROR(IF(VLOOKUP($B856,Показатели!$E:$W,6,FALSE)=0,"",VLOOKUP($B856,Показатели!$E:$W,6,FALSE)),"")</f>
        <v/>
      </c>
      <c r="J856" t="str">
        <f>IFERROR(IF(VLOOKUP($B856,Показатели!$E:$W,7,FALSE)=0,"",VLOOKUP($B856,Показатели!$E:$W,7,FALSE)),"")</f>
        <v/>
      </c>
      <c r="K856" t="str">
        <f>IFERROR(IF(VLOOKUP($B856,Показатели!$E:$W,8,FALSE)=0,"",VLOOKUP($B856,Показатели!$E:$W,8,FALSE)),"")</f>
        <v/>
      </c>
      <c r="L856" t="str">
        <f>IFERROR(IF(VLOOKUP($B856,Показатели!$E:$W,9,FALSE)=0,"",VLOOKUP($B856,Показатели!$E:$W,9,FALSE)),"")</f>
        <v/>
      </c>
      <c r="M856" t="str">
        <f>IFERROR(IF(VLOOKUP($B856,Показатели!$E:$W,10,FALSE)=0,"",VLOOKUP($B856,Показатели!$E:$W,10,FALSE)),"")</f>
        <v/>
      </c>
      <c r="N856" t="str">
        <f>IFERROR(IF(VLOOKUP($B856,Показатели!$E:$W,11,FALSE)=0,"",VLOOKUP($B856,Показатели!$E:$W,11,FALSE)),"")</f>
        <v/>
      </c>
      <c r="O856" t="str">
        <f>IFERROR(IF(VLOOKUP($B856,Показатели!$E:$W,12,FALSE)=0,"",VLOOKUP($B856,Показатели!$E:$W,12,FALSE)),"")</f>
        <v/>
      </c>
      <c r="P856" t="str">
        <f>IFERROR(IF(VLOOKUP($B856,Показатели!$E:$W,13,FALSE)=0,"",VLOOKUP($B856,Показатели!$E:$W,13,FALSE)),"")</f>
        <v/>
      </c>
      <c r="Q856" t="str">
        <f>IFERROR(IF(VLOOKUP($B856,Показатели!$E:$W,14,FALSE)=0,"",VLOOKUP($B856,Показатели!$E:$W,14,FALSE)),"")</f>
        <v/>
      </c>
      <c r="R856" t="str">
        <f>IFERROR(IF(VLOOKUP($B856,Показатели!$E:$W,15,FALSE)=0,"",VLOOKUP($B856,Показатели!$E:$W,15,FALSE)),"")</f>
        <v/>
      </c>
      <c r="S856" t="str">
        <f>IFERROR(IF(VLOOKUP($B856,Показатели!$E:$W,16,FALSE)=0,"",VLOOKUP($B856,Показатели!$E:$W,16,FALSE)),"")</f>
        <v/>
      </c>
      <c r="T856" t="str">
        <f>IFERROR(IF(VLOOKUP($B856,Показатели!$E:$W,17,FALSE)=0,"",VLOOKUP($B856,Показатели!$E:$W,17,FALSE)),"")</f>
        <v/>
      </c>
      <c r="U856" t="str">
        <f>IFERROR(IF(VLOOKUP($B856,Показатели!$E:$W,18,FALSE)=0,"",VLOOKUP($B856,Показатели!$E:$W,18,FALSE)),"")</f>
        <v/>
      </c>
      <c r="V856" t="str">
        <f>IFERROR(IF(VLOOKUP($B856,Показатели!$E:$W,19,FALSE)=0,"",VLOOKUP($B856,Показатели!$E:$W,19,FALSE)),"")</f>
        <v/>
      </c>
    </row>
    <row r="857" spans="1:22" x14ac:dyDescent="0.2">
      <c r="A857" s="7" t="s">
        <v>2321</v>
      </c>
      <c r="B857" t="str">
        <f t="shared" si="13"/>
        <v>SOFL IV кв. 2018</v>
      </c>
      <c r="C857">
        <v>2018</v>
      </c>
      <c r="D857">
        <f>SUMIFS(Дивиденды!$C:$C,Дивиденды!$A:$A,A857,Дивиденды!$I:$I,C857)</f>
        <v>0</v>
      </c>
      <c r="E857" t="str">
        <f>IFERROR(IF(VLOOKUP($B857,Показатели!$E:$W,2,FALSE)=0,"",VLOOKUP($B857,Показатели!$E:$W,2,FALSE)),"")</f>
        <v/>
      </c>
      <c r="F857" t="str">
        <f>IFERROR(IF(VLOOKUP($B857,Показатели!$E:$W,3,FALSE)=0,"",VLOOKUP($B857,Показатели!$E:$W,3,FALSE)),"")</f>
        <v/>
      </c>
      <c r="G857" t="str">
        <f>IFERROR(IF(VLOOKUP($B857,Показатели!$E:$W,4,FALSE)=0,"",VLOOKUP($B857,Показатели!$E:$W,4,FALSE)),"")</f>
        <v/>
      </c>
      <c r="H857" t="str">
        <f>IFERROR(IF(VLOOKUP($B857,Показатели!$E:$W,5,FALSE)=0,"",VLOOKUP($B857,Показатели!$E:$W,5,FALSE)),"")</f>
        <v/>
      </c>
      <c r="I857" t="str">
        <f>IFERROR(IF(VLOOKUP($B857,Показатели!$E:$W,6,FALSE)=0,"",VLOOKUP($B857,Показатели!$E:$W,6,FALSE)),"")</f>
        <v/>
      </c>
      <c r="J857" t="str">
        <f>IFERROR(IF(VLOOKUP($B857,Показатели!$E:$W,7,FALSE)=0,"",VLOOKUP($B857,Показатели!$E:$W,7,FALSE)),"")</f>
        <v/>
      </c>
      <c r="K857" t="str">
        <f>IFERROR(IF(VLOOKUP($B857,Показатели!$E:$W,8,FALSE)=0,"",VLOOKUP($B857,Показатели!$E:$W,8,FALSE)),"")</f>
        <v/>
      </c>
      <c r="L857" t="str">
        <f>IFERROR(IF(VLOOKUP($B857,Показатели!$E:$W,9,FALSE)=0,"",VLOOKUP($B857,Показатели!$E:$W,9,FALSE)),"")</f>
        <v/>
      </c>
      <c r="M857" t="str">
        <f>IFERROR(IF(VLOOKUP($B857,Показатели!$E:$W,10,FALSE)=0,"",VLOOKUP($B857,Показатели!$E:$W,10,FALSE)),"")</f>
        <v/>
      </c>
      <c r="N857" t="str">
        <f>IFERROR(IF(VLOOKUP($B857,Показатели!$E:$W,11,FALSE)=0,"",VLOOKUP($B857,Показатели!$E:$W,11,FALSE)),"")</f>
        <v/>
      </c>
      <c r="O857" t="str">
        <f>IFERROR(IF(VLOOKUP($B857,Показатели!$E:$W,12,FALSE)=0,"",VLOOKUP($B857,Показатели!$E:$W,12,FALSE)),"")</f>
        <v/>
      </c>
      <c r="P857" t="str">
        <f>IFERROR(IF(VLOOKUP($B857,Показатели!$E:$W,13,FALSE)=0,"",VLOOKUP($B857,Показатели!$E:$W,13,FALSE)),"")</f>
        <v/>
      </c>
      <c r="Q857" t="str">
        <f>IFERROR(IF(VLOOKUP($B857,Показатели!$E:$W,14,FALSE)=0,"",VLOOKUP($B857,Показатели!$E:$W,14,FALSE)),"")</f>
        <v/>
      </c>
      <c r="R857" t="str">
        <f>IFERROR(IF(VLOOKUP($B857,Показатели!$E:$W,15,FALSE)=0,"",VLOOKUP($B857,Показатели!$E:$W,15,FALSE)),"")</f>
        <v/>
      </c>
      <c r="S857" t="str">
        <f>IFERROR(IF(VLOOKUP($B857,Показатели!$E:$W,16,FALSE)=0,"",VLOOKUP($B857,Показатели!$E:$W,16,FALSE)),"")</f>
        <v/>
      </c>
      <c r="T857" t="str">
        <f>IFERROR(IF(VLOOKUP($B857,Показатели!$E:$W,17,FALSE)=0,"",VLOOKUP($B857,Показатели!$E:$W,17,FALSE)),"")</f>
        <v/>
      </c>
      <c r="U857" t="str">
        <f>IFERROR(IF(VLOOKUP($B857,Показатели!$E:$W,18,FALSE)=0,"",VLOOKUP($B857,Показатели!$E:$W,18,FALSE)),"")</f>
        <v/>
      </c>
      <c r="V857" t="str">
        <f>IFERROR(IF(VLOOKUP($B857,Показатели!$E:$W,19,FALSE)=0,"",VLOOKUP($B857,Показатели!$E:$W,19,FALSE)),"")</f>
        <v/>
      </c>
    </row>
    <row r="858" spans="1:22" x14ac:dyDescent="0.2">
      <c r="A858" s="7" t="s">
        <v>2321</v>
      </c>
      <c r="B858" t="str">
        <f t="shared" si="13"/>
        <v>SOFL IV кв. 2017</v>
      </c>
      <c r="C858">
        <v>2017</v>
      </c>
      <c r="D858">
        <f>SUMIFS(Дивиденды!$C:$C,Дивиденды!$A:$A,A858,Дивиденды!$I:$I,C858)</f>
        <v>0</v>
      </c>
      <c r="E858" t="str">
        <f>IFERROR(IF(VLOOKUP($B858,Показатели!$E:$W,2,FALSE)=0,"",VLOOKUP($B858,Показатели!$E:$W,2,FALSE)),"")</f>
        <v/>
      </c>
      <c r="F858" t="str">
        <f>IFERROR(IF(VLOOKUP($B858,Показатели!$E:$W,3,FALSE)=0,"",VLOOKUP($B858,Показатели!$E:$W,3,FALSE)),"")</f>
        <v/>
      </c>
      <c r="G858" t="str">
        <f>IFERROR(IF(VLOOKUP($B858,Показатели!$E:$W,4,FALSE)=0,"",VLOOKUP($B858,Показатели!$E:$W,4,FALSE)),"")</f>
        <v/>
      </c>
      <c r="H858" t="str">
        <f>IFERROR(IF(VLOOKUP($B858,Показатели!$E:$W,5,FALSE)=0,"",VLOOKUP($B858,Показатели!$E:$W,5,FALSE)),"")</f>
        <v/>
      </c>
      <c r="I858" t="str">
        <f>IFERROR(IF(VLOOKUP($B858,Показатели!$E:$W,6,FALSE)=0,"",VLOOKUP($B858,Показатели!$E:$W,6,FALSE)),"")</f>
        <v/>
      </c>
      <c r="J858" t="str">
        <f>IFERROR(IF(VLOOKUP($B858,Показатели!$E:$W,7,FALSE)=0,"",VLOOKUP($B858,Показатели!$E:$W,7,FALSE)),"")</f>
        <v/>
      </c>
      <c r="K858" t="str">
        <f>IFERROR(IF(VLOOKUP($B858,Показатели!$E:$W,8,FALSE)=0,"",VLOOKUP($B858,Показатели!$E:$W,8,FALSE)),"")</f>
        <v/>
      </c>
      <c r="L858" t="str">
        <f>IFERROR(IF(VLOOKUP($B858,Показатели!$E:$W,9,FALSE)=0,"",VLOOKUP($B858,Показатели!$E:$W,9,FALSE)),"")</f>
        <v/>
      </c>
      <c r="M858" t="str">
        <f>IFERROR(IF(VLOOKUP($B858,Показатели!$E:$W,10,FALSE)=0,"",VLOOKUP($B858,Показатели!$E:$W,10,FALSE)),"")</f>
        <v/>
      </c>
      <c r="N858" t="str">
        <f>IFERROR(IF(VLOOKUP($B858,Показатели!$E:$W,11,FALSE)=0,"",VLOOKUP($B858,Показатели!$E:$W,11,FALSE)),"")</f>
        <v/>
      </c>
      <c r="O858" t="str">
        <f>IFERROR(IF(VLOOKUP($B858,Показатели!$E:$W,12,FALSE)=0,"",VLOOKUP($B858,Показатели!$E:$W,12,FALSE)),"")</f>
        <v/>
      </c>
      <c r="P858" t="str">
        <f>IFERROR(IF(VLOOKUP($B858,Показатели!$E:$W,13,FALSE)=0,"",VLOOKUP($B858,Показатели!$E:$W,13,FALSE)),"")</f>
        <v/>
      </c>
      <c r="Q858" t="str">
        <f>IFERROR(IF(VLOOKUP($B858,Показатели!$E:$W,14,FALSE)=0,"",VLOOKUP($B858,Показатели!$E:$W,14,FALSE)),"")</f>
        <v/>
      </c>
      <c r="R858" t="str">
        <f>IFERROR(IF(VLOOKUP($B858,Показатели!$E:$W,15,FALSE)=0,"",VLOOKUP($B858,Показатели!$E:$W,15,FALSE)),"")</f>
        <v/>
      </c>
      <c r="S858" t="str">
        <f>IFERROR(IF(VLOOKUP($B858,Показатели!$E:$W,16,FALSE)=0,"",VLOOKUP($B858,Показатели!$E:$W,16,FALSE)),"")</f>
        <v/>
      </c>
      <c r="T858" t="str">
        <f>IFERROR(IF(VLOOKUP($B858,Показатели!$E:$W,17,FALSE)=0,"",VLOOKUP($B858,Показатели!$E:$W,17,FALSE)),"")</f>
        <v/>
      </c>
      <c r="U858" t="str">
        <f>IFERROR(IF(VLOOKUP($B858,Показатели!$E:$W,18,FALSE)=0,"",VLOOKUP($B858,Показатели!$E:$W,18,FALSE)),"")</f>
        <v/>
      </c>
      <c r="V858" t="str">
        <f>IFERROR(IF(VLOOKUP($B858,Показатели!$E:$W,19,FALSE)=0,"",VLOOKUP($B858,Показатели!$E:$W,19,FALSE)),"")</f>
        <v/>
      </c>
    </row>
    <row r="859" spans="1:22" x14ac:dyDescent="0.2">
      <c r="A859" s="7" t="s">
        <v>2321</v>
      </c>
      <c r="B859" t="str">
        <f t="shared" si="13"/>
        <v>SOFL IV кв. 2016</v>
      </c>
      <c r="C859">
        <v>2016</v>
      </c>
      <c r="D859">
        <f>SUMIFS(Дивиденды!$C:$C,Дивиденды!$A:$A,A859,Дивиденды!$I:$I,C859)</f>
        <v>0</v>
      </c>
      <c r="E859" t="str">
        <f>IFERROR(IF(VLOOKUP($B859,Показатели!$E:$W,2,FALSE)=0,"",VLOOKUP($B859,Показатели!$E:$W,2,FALSE)),"")</f>
        <v/>
      </c>
      <c r="F859" t="str">
        <f>IFERROR(IF(VLOOKUP($B859,Показатели!$E:$W,3,FALSE)=0,"",VLOOKUP($B859,Показатели!$E:$W,3,FALSE)),"")</f>
        <v/>
      </c>
      <c r="G859" t="str">
        <f>IFERROR(IF(VLOOKUP($B859,Показатели!$E:$W,4,FALSE)=0,"",VLOOKUP($B859,Показатели!$E:$W,4,FALSE)),"")</f>
        <v/>
      </c>
      <c r="H859" t="str">
        <f>IFERROR(IF(VLOOKUP($B859,Показатели!$E:$W,5,FALSE)=0,"",VLOOKUP($B859,Показатели!$E:$W,5,FALSE)),"")</f>
        <v/>
      </c>
      <c r="I859" t="str">
        <f>IFERROR(IF(VLOOKUP($B859,Показатели!$E:$W,6,FALSE)=0,"",VLOOKUP($B859,Показатели!$E:$W,6,FALSE)),"")</f>
        <v/>
      </c>
      <c r="J859" t="str">
        <f>IFERROR(IF(VLOOKUP($B859,Показатели!$E:$W,7,FALSE)=0,"",VLOOKUP($B859,Показатели!$E:$W,7,FALSE)),"")</f>
        <v/>
      </c>
      <c r="K859" t="str">
        <f>IFERROR(IF(VLOOKUP($B859,Показатели!$E:$W,8,FALSE)=0,"",VLOOKUP($B859,Показатели!$E:$W,8,FALSE)),"")</f>
        <v/>
      </c>
      <c r="L859" t="str">
        <f>IFERROR(IF(VLOOKUP($B859,Показатели!$E:$W,9,FALSE)=0,"",VLOOKUP($B859,Показатели!$E:$W,9,FALSE)),"")</f>
        <v/>
      </c>
      <c r="M859" t="str">
        <f>IFERROR(IF(VLOOKUP($B859,Показатели!$E:$W,10,FALSE)=0,"",VLOOKUP($B859,Показатели!$E:$W,10,FALSE)),"")</f>
        <v/>
      </c>
      <c r="N859" t="str">
        <f>IFERROR(IF(VLOOKUP($B859,Показатели!$E:$W,11,FALSE)=0,"",VLOOKUP($B859,Показатели!$E:$W,11,FALSE)),"")</f>
        <v/>
      </c>
      <c r="O859" t="str">
        <f>IFERROR(IF(VLOOKUP($B859,Показатели!$E:$W,12,FALSE)=0,"",VLOOKUP($B859,Показатели!$E:$W,12,FALSE)),"")</f>
        <v/>
      </c>
      <c r="P859" t="str">
        <f>IFERROR(IF(VLOOKUP($B859,Показатели!$E:$W,13,FALSE)=0,"",VLOOKUP($B859,Показатели!$E:$W,13,FALSE)),"")</f>
        <v/>
      </c>
      <c r="Q859" t="str">
        <f>IFERROR(IF(VLOOKUP($B859,Показатели!$E:$W,14,FALSE)=0,"",VLOOKUP($B859,Показатели!$E:$W,14,FALSE)),"")</f>
        <v/>
      </c>
      <c r="R859" t="str">
        <f>IFERROR(IF(VLOOKUP($B859,Показатели!$E:$W,15,FALSE)=0,"",VLOOKUP($B859,Показатели!$E:$W,15,FALSE)),"")</f>
        <v/>
      </c>
      <c r="S859" t="str">
        <f>IFERROR(IF(VLOOKUP($B859,Показатели!$E:$W,16,FALSE)=0,"",VLOOKUP($B859,Показатели!$E:$W,16,FALSE)),"")</f>
        <v/>
      </c>
      <c r="T859" t="str">
        <f>IFERROR(IF(VLOOKUP($B859,Показатели!$E:$W,17,FALSE)=0,"",VLOOKUP($B859,Показатели!$E:$W,17,FALSE)),"")</f>
        <v/>
      </c>
      <c r="U859" t="str">
        <f>IFERROR(IF(VLOOKUP($B859,Показатели!$E:$W,18,FALSE)=0,"",VLOOKUP($B859,Показатели!$E:$W,18,FALSE)),"")</f>
        <v/>
      </c>
      <c r="V859" t="str">
        <f>IFERROR(IF(VLOOKUP($B859,Показатели!$E:$W,19,FALSE)=0,"",VLOOKUP($B859,Показатели!$E:$W,19,FALSE)),"")</f>
        <v/>
      </c>
    </row>
    <row r="860" spans="1:22" x14ac:dyDescent="0.2">
      <c r="A860" s="7" t="s">
        <v>2321</v>
      </c>
      <c r="B860" t="str">
        <f t="shared" si="13"/>
        <v>SOFL IV кв. 2015</v>
      </c>
      <c r="C860">
        <v>2015</v>
      </c>
      <c r="D860">
        <f>SUMIFS(Дивиденды!$C:$C,Дивиденды!$A:$A,A860,Дивиденды!$I:$I,C860)</f>
        <v>0</v>
      </c>
      <c r="E860" t="str">
        <f>IFERROR(IF(VLOOKUP($B860,Показатели!$E:$W,2,FALSE)=0,"",VLOOKUP($B860,Показатели!$E:$W,2,FALSE)),"")</f>
        <v/>
      </c>
      <c r="F860" t="str">
        <f>IFERROR(IF(VLOOKUP($B860,Показатели!$E:$W,3,FALSE)=0,"",VLOOKUP($B860,Показатели!$E:$W,3,FALSE)),"")</f>
        <v/>
      </c>
      <c r="G860" t="str">
        <f>IFERROR(IF(VLOOKUP($B860,Показатели!$E:$W,4,FALSE)=0,"",VLOOKUP($B860,Показатели!$E:$W,4,FALSE)),"")</f>
        <v/>
      </c>
      <c r="H860" t="str">
        <f>IFERROR(IF(VLOOKUP($B860,Показатели!$E:$W,5,FALSE)=0,"",VLOOKUP($B860,Показатели!$E:$W,5,FALSE)),"")</f>
        <v/>
      </c>
      <c r="I860" t="str">
        <f>IFERROR(IF(VLOOKUP($B860,Показатели!$E:$W,6,FALSE)=0,"",VLOOKUP($B860,Показатели!$E:$W,6,FALSE)),"")</f>
        <v/>
      </c>
      <c r="J860" t="str">
        <f>IFERROR(IF(VLOOKUP($B860,Показатели!$E:$W,7,FALSE)=0,"",VLOOKUP($B860,Показатели!$E:$W,7,FALSE)),"")</f>
        <v/>
      </c>
      <c r="K860" t="str">
        <f>IFERROR(IF(VLOOKUP($B860,Показатели!$E:$W,8,FALSE)=0,"",VLOOKUP($B860,Показатели!$E:$W,8,FALSE)),"")</f>
        <v/>
      </c>
      <c r="L860" t="str">
        <f>IFERROR(IF(VLOOKUP($B860,Показатели!$E:$W,9,FALSE)=0,"",VLOOKUP($B860,Показатели!$E:$W,9,FALSE)),"")</f>
        <v/>
      </c>
      <c r="M860" t="str">
        <f>IFERROR(IF(VLOOKUP($B860,Показатели!$E:$W,10,FALSE)=0,"",VLOOKUP($B860,Показатели!$E:$W,10,FALSE)),"")</f>
        <v/>
      </c>
      <c r="N860" t="str">
        <f>IFERROR(IF(VLOOKUP($B860,Показатели!$E:$W,11,FALSE)=0,"",VLOOKUP($B860,Показатели!$E:$W,11,FALSE)),"")</f>
        <v/>
      </c>
      <c r="O860" t="str">
        <f>IFERROR(IF(VLOOKUP($B860,Показатели!$E:$W,12,FALSE)=0,"",VLOOKUP($B860,Показатели!$E:$W,12,FALSE)),"")</f>
        <v/>
      </c>
      <c r="P860" t="str">
        <f>IFERROR(IF(VLOOKUP($B860,Показатели!$E:$W,13,FALSE)=0,"",VLOOKUP($B860,Показатели!$E:$W,13,FALSE)),"")</f>
        <v/>
      </c>
      <c r="Q860" t="str">
        <f>IFERROR(IF(VLOOKUP($B860,Показатели!$E:$W,14,FALSE)=0,"",VLOOKUP($B860,Показатели!$E:$W,14,FALSE)),"")</f>
        <v/>
      </c>
      <c r="R860" t="str">
        <f>IFERROR(IF(VLOOKUP($B860,Показатели!$E:$W,15,FALSE)=0,"",VLOOKUP($B860,Показатели!$E:$W,15,FALSE)),"")</f>
        <v/>
      </c>
      <c r="S860" t="str">
        <f>IFERROR(IF(VLOOKUP($B860,Показатели!$E:$W,16,FALSE)=0,"",VLOOKUP($B860,Показатели!$E:$W,16,FALSE)),"")</f>
        <v/>
      </c>
      <c r="T860" t="str">
        <f>IFERROR(IF(VLOOKUP($B860,Показатели!$E:$W,17,FALSE)=0,"",VLOOKUP($B860,Показатели!$E:$W,17,FALSE)),"")</f>
        <v/>
      </c>
      <c r="U860" t="str">
        <f>IFERROR(IF(VLOOKUP($B860,Показатели!$E:$W,18,FALSE)=0,"",VLOOKUP($B860,Показатели!$E:$W,18,FALSE)),"")</f>
        <v/>
      </c>
      <c r="V860" t="str">
        <f>IFERROR(IF(VLOOKUP($B860,Показатели!$E:$W,19,FALSE)=0,"",VLOOKUP($B860,Показатели!$E:$W,19,FALSE)),"")</f>
        <v/>
      </c>
    </row>
    <row r="861" spans="1:22" x14ac:dyDescent="0.2">
      <c r="A861" s="7" t="s">
        <v>2321</v>
      </c>
      <c r="B861" t="str">
        <f t="shared" si="13"/>
        <v>SOFL IV кв. 2014</v>
      </c>
      <c r="C861">
        <v>2014</v>
      </c>
      <c r="D861">
        <f>SUMIFS(Дивиденды!$C:$C,Дивиденды!$A:$A,A861,Дивиденды!$I:$I,C861)</f>
        <v>0</v>
      </c>
      <c r="E861" t="str">
        <f>IFERROR(IF(VLOOKUP($B861,Показатели!$E:$W,2,FALSE)=0,"",VLOOKUP($B861,Показатели!$E:$W,2,FALSE)),"")</f>
        <v/>
      </c>
      <c r="F861" t="str">
        <f>IFERROR(IF(VLOOKUP($B861,Показатели!$E:$W,3,FALSE)=0,"",VLOOKUP($B861,Показатели!$E:$W,3,FALSE)),"")</f>
        <v/>
      </c>
      <c r="G861" t="str">
        <f>IFERROR(IF(VLOOKUP($B861,Показатели!$E:$W,4,FALSE)=0,"",VLOOKUP($B861,Показатели!$E:$W,4,FALSE)),"")</f>
        <v/>
      </c>
      <c r="H861" t="str">
        <f>IFERROR(IF(VLOOKUP($B861,Показатели!$E:$W,5,FALSE)=0,"",VLOOKUP($B861,Показатели!$E:$W,5,FALSE)),"")</f>
        <v/>
      </c>
      <c r="I861" t="str">
        <f>IFERROR(IF(VLOOKUP($B861,Показатели!$E:$W,6,FALSE)=0,"",VLOOKUP($B861,Показатели!$E:$W,6,FALSE)),"")</f>
        <v/>
      </c>
      <c r="J861" t="str">
        <f>IFERROR(IF(VLOOKUP($B861,Показатели!$E:$W,7,FALSE)=0,"",VLOOKUP($B861,Показатели!$E:$W,7,FALSE)),"")</f>
        <v/>
      </c>
      <c r="K861" t="str">
        <f>IFERROR(IF(VLOOKUP($B861,Показатели!$E:$W,8,FALSE)=0,"",VLOOKUP($B861,Показатели!$E:$W,8,FALSE)),"")</f>
        <v/>
      </c>
      <c r="L861" t="str">
        <f>IFERROR(IF(VLOOKUP($B861,Показатели!$E:$W,9,FALSE)=0,"",VLOOKUP($B861,Показатели!$E:$W,9,FALSE)),"")</f>
        <v/>
      </c>
      <c r="M861" t="str">
        <f>IFERROR(IF(VLOOKUP($B861,Показатели!$E:$W,10,FALSE)=0,"",VLOOKUP($B861,Показатели!$E:$W,10,FALSE)),"")</f>
        <v/>
      </c>
      <c r="N861" t="str">
        <f>IFERROR(IF(VLOOKUP($B861,Показатели!$E:$W,11,FALSE)=0,"",VLOOKUP($B861,Показатели!$E:$W,11,FALSE)),"")</f>
        <v/>
      </c>
      <c r="O861" t="str">
        <f>IFERROR(IF(VLOOKUP($B861,Показатели!$E:$W,12,FALSE)=0,"",VLOOKUP($B861,Показатели!$E:$W,12,FALSE)),"")</f>
        <v/>
      </c>
      <c r="P861" t="str">
        <f>IFERROR(IF(VLOOKUP($B861,Показатели!$E:$W,13,FALSE)=0,"",VLOOKUP($B861,Показатели!$E:$W,13,FALSE)),"")</f>
        <v/>
      </c>
      <c r="Q861" t="str">
        <f>IFERROR(IF(VLOOKUP($B861,Показатели!$E:$W,14,FALSE)=0,"",VLOOKUP($B861,Показатели!$E:$W,14,FALSE)),"")</f>
        <v/>
      </c>
      <c r="R861" t="str">
        <f>IFERROR(IF(VLOOKUP($B861,Показатели!$E:$W,15,FALSE)=0,"",VLOOKUP($B861,Показатели!$E:$W,15,FALSE)),"")</f>
        <v/>
      </c>
      <c r="S861" t="str">
        <f>IFERROR(IF(VLOOKUP($B861,Показатели!$E:$W,16,FALSE)=0,"",VLOOKUP($B861,Показатели!$E:$W,16,FALSE)),"")</f>
        <v/>
      </c>
      <c r="T861" t="str">
        <f>IFERROR(IF(VLOOKUP($B861,Показатели!$E:$W,17,FALSE)=0,"",VLOOKUP($B861,Показатели!$E:$W,17,FALSE)),"")</f>
        <v/>
      </c>
      <c r="U861" t="str">
        <f>IFERROR(IF(VLOOKUP($B861,Показатели!$E:$W,18,FALSE)=0,"",VLOOKUP($B861,Показатели!$E:$W,18,FALSE)),"")</f>
        <v/>
      </c>
      <c r="V861" t="str">
        <f>IFERROR(IF(VLOOKUP($B861,Показатели!$E:$W,19,FALSE)=0,"",VLOOKUP($B861,Показатели!$E:$W,19,FALSE)),"")</f>
        <v/>
      </c>
    </row>
    <row r="862" spans="1:22" x14ac:dyDescent="0.2">
      <c r="A862" s="7" t="s">
        <v>2321</v>
      </c>
      <c r="B862" t="str">
        <f t="shared" si="13"/>
        <v>SOFL IV кв. 2013</v>
      </c>
      <c r="C862">
        <v>2013</v>
      </c>
      <c r="D862">
        <f>SUMIFS(Дивиденды!$C:$C,Дивиденды!$A:$A,A862,Дивиденды!$I:$I,C862)</f>
        <v>0</v>
      </c>
      <c r="E862" t="str">
        <f>IFERROR(IF(VLOOKUP($B862,Показатели!$E:$W,2,FALSE)=0,"",VLOOKUP($B862,Показатели!$E:$W,2,FALSE)),"")</f>
        <v/>
      </c>
      <c r="F862" t="str">
        <f>IFERROR(IF(VLOOKUP($B862,Показатели!$E:$W,3,FALSE)=0,"",VLOOKUP($B862,Показатели!$E:$W,3,FALSE)),"")</f>
        <v/>
      </c>
      <c r="G862" t="str">
        <f>IFERROR(IF(VLOOKUP($B862,Показатели!$E:$W,4,FALSE)=0,"",VLOOKUP($B862,Показатели!$E:$W,4,FALSE)),"")</f>
        <v/>
      </c>
      <c r="H862" t="str">
        <f>IFERROR(IF(VLOOKUP($B862,Показатели!$E:$W,5,FALSE)=0,"",VLOOKUP($B862,Показатели!$E:$W,5,FALSE)),"")</f>
        <v/>
      </c>
      <c r="I862" t="str">
        <f>IFERROR(IF(VLOOKUP($B862,Показатели!$E:$W,6,FALSE)=0,"",VLOOKUP($B862,Показатели!$E:$W,6,FALSE)),"")</f>
        <v/>
      </c>
      <c r="J862" t="str">
        <f>IFERROR(IF(VLOOKUP($B862,Показатели!$E:$W,7,FALSE)=0,"",VLOOKUP($B862,Показатели!$E:$W,7,FALSE)),"")</f>
        <v/>
      </c>
      <c r="K862" t="str">
        <f>IFERROR(IF(VLOOKUP($B862,Показатели!$E:$W,8,FALSE)=0,"",VLOOKUP($B862,Показатели!$E:$W,8,FALSE)),"")</f>
        <v/>
      </c>
      <c r="L862" t="str">
        <f>IFERROR(IF(VLOOKUP($B862,Показатели!$E:$W,9,FALSE)=0,"",VLOOKUP($B862,Показатели!$E:$W,9,FALSE)),"")</f>
        <v/>
      </c>
      <c r="M862" t="str">
        <f>IFERROR(IF(VLOOKUP($B862,Показатели!$E:$W,10,FALSE)=0,"",VLOOKUP($B862,Показатели!$E:$W,10,FALSE)),"")</f>
        <v/>
      </c>
      <c r="N862" t="str">
        <f>IFERROR(IF(VLOOKUP($B862,Показатели!$E:$W,11,FALSE)=0,"",VLOOKUP($B862,Показатели!$E:$W,11,FALSE)),"")</f>
        <v/>
      </c>
      <c r="O862" t="str">
        <f>IFERROR(IF(VLOOKUP($B862,Показатели!$E:$W,12,FALSE)=0,"",VLOOKUP($B862,Показатели!$E:$W,12,FALSE)),"")</f>
        <v/>
      </c>
      <c r="P862" t="str">
        <f>IFERROR(IF(VLOOKUP($B862,Показатели!$E:$W,13,FALSE)=0,"",VLOOKUP($B862,Показатели!$E:$W,13,FALSE)),"")</f>
        <v/>
      </c>
      <c r="Q862" t="str">
        <f>IFERROR(IF(VLOOKUP($B862,Показатели!$E:$W,14,FALSE)=0,"",VLOOKUP($B862,Показатели!$E:$W,14,FALSE)),"")</f>
        <v/>
      </c>
      <c r="R862" t="str">
        <f>IFERROR(IF(VLOOKUP($B862,Показатели!$E:$W,15,FALSE)=0,"",VLOOKUP($B862,Показатели!$E:$W,15,FALSE)),"")</f>
        <v/>
      </c>
      <c r="S862" t="str">
        <f>IFERROR(IF(VLOOKUP($B862,Показатели!$E:$W,16,FALSE)=0,"",VLOOKUP($B862,Показатели!$E:$W,16,FALSE)),"")</f>
        <v/>
      </c>
      <c r="T862" t="str">
        <f>IFERROR(IF(VLOOKUP($B862,Показатели!$E:$W,17,FALSE)=0,"",VLOOKUP($B862,Показатели!$E:$W,17,FALSE)),"")</f>
        <v/>
      </c>
      <c r="U862" t="str">
        <f>IFERROR(IF(VLOOKUP($B862,Показатели!$E:$W,18,FALSE)=0,"",VLOOKUP($B862,Показатели!$E:$W,18,FALSE)),"")</f>
        <v/>
      </c>
      <c r="V862" t="str">
        <f>IFERROR(IF(VLOOKUP($B862,Показатели!$E:$W,19,FALSE)=0,"",VLOOKUP($B862,Показатели!$E:$W,19,FALSE)),"")</f>
        <v/>
      </c>
    </row>
    <row r="863" spans="1:22" x14ac:dyDescent="0.2">
      <c r="A863" s="7" t="s">
        <v>2321</v>
      </c>
      <c r="B863" t="str">
        <f t="shared" si="13"/>
        <v>SOFL IV кв. 2012</v>
      </c>
      <c r="C863">
        <v>2012</v>
      </c>
      <c r="D863">
        <f>SUMIFS(Дивиденды!$C:$C,Дивиденды!$A:$A,A863,Дивиденды!$I:$I,C863)</f>
        <v>0</v>
      </c>
      <c r="E863" t="str">
        <f>IFERROR(IF(VLOOKUP($B863,Показатели!$E:$W,2,FALSE)=0,"",VLOOKUP($B863,Показатели!$E:$W,2,FALSE)),"")</f>
        <v/>
      </c>
      <c r="F863" t="str">
        <f>IFERROR(IF(VLOOKUP($B863,Показатели!$E:$W,3,FALSE)=0,"",VLOOKUP($B863,Показатели!$E:$W,3,FALSE)),"")</f>
        <v/>
      </c>
      <c r="G863" t="str">
        <f>IFERROR(IF(VLOOKUP($B863,Показатели!$E:$W,4,FALSE)=0,"",VLOOKUP($B863,Показатели!$E:$W,4,FALSE)),"")</f>
        <v/>
      </c>
      <c r="H863" t="str">
        <f>IFERROR(IF(VLOOKUP($B863,Показатели!$E:$W,5,FALSE)=0,"",VLOOKUP($B863,Показатели!$E:$W,5,FALSE)),"")</f>
        <v/>
      </c>
      <c r="I863" t="str">
        <f>IFERROR(IF(VLOOKUP($B863,Показатели!$E:$W,6,FALSE)=0,"",VLOOKUP($B863,Показатели!$E:$W,6,FALSE)),"")</f>
        <v/>
      </c>
      <c r="J863" t="str">
        <f>IFERROR(IF(VLOOKUP($B863,Показатели!$E:$W,7,FALSE)=0,"",VLOOKUP($B863,Показатели!$E:$W,7,FALSE)),"")</f>
        <v/>
      </c>
      <c r="K863" t="str">
        <f>IFERROR(IF(VLOOKUP($B863,Показатели!$E:$W,8,FALSE)=0,"",VLOOKUP($B863,Показатели!$E:$W,8,FALSE)),"")</f>
        <v/>
      </c>
      <c r="L863" t="str">
        <f>IFERROR(IF(VLOOKUP($B863,Показатели!$E:$W,9,FALSE)=0,"",VLOOKUP($B863,Показатели!$E:$W,9,FALSE)),"")</f>
        <v/>
      </c>
      <c r="M863" t="str">
        <f>IFERROR(IF(VLOOKUP($B863,Показатели!$E:$W,10,FALSE)=0,"",VLOOKUP($B863,Показатели!$E:$W,10,FALSE)),"")</f>
        <v/>
      </c>
      <c r="N863" t="str">
        <f>IFERROR(IF(VLOOKUP($B863,Показатели!$E:$W,11,FALSE)=0,"",VLOOKUP($B863,Показатели!$E:$W,11,FALSE)),"")</f>
        <v/>
      </c>
      <c r="O863" t="str">
        <f>IFERROR(IF(VLOOKUP($B863,Показатели!$E:$W,12,FALSE)=0,"",VLOOKUP($B863,Показатели!$E:$W,12,FALSE)),"")</f>
        <v/>
      </c>
      <c r="P863" t="str">
        <f>IFERROR(IF(VLOOKUP($B863,Показатели!$E:$W,13,FALSE)=0,"",VLOOKUP($B863,Показатели!$E:$W,13,FALSE)),"")</f>
        <v/>
      </c>
      <c r="Q863" t="str">
        <f>IFERROR(IF(VLOOKUP($B863,Показатели!$E:$W,14,FALSE)=0,"",VLOOKUP($B863,Показатели!$E:$W,14,FALSE)),"")</f>
        <v/>
      </c>
      <c r="R863" t="str">
        <f>IFERROR(IF(VLOOKUP($B863,Показатели!$E:$W,15,FALSE)=0,"",VLOOKUP($B863,Показатели!$E:$W,15,FALSE)),"")</f>
        <v/>
      </c>
      <c r="S863" t="str">
        <f>IFERROR(IF(VLOOKUP($B863,Показатели!$E:$W,16,FALSE)=0,"",VLOOKUP($B863,Показатели!$E:$W,16,FALSE)),"")</f>
        <v/>
      </c>
      <c r="T863" t="str">
        <f>IFERROR(IF(VLOOKUP($B863,Показатели!$E:$W,17,FALSE)=0,"",VLOOKUP($B863,Показатели!$E:$W,17,FALSE)),"")</f>
        <v/>
      </c>
      <c r="U863" t="str">
        <f>IFERROR(IF(VLOOKUP($B863,Показатели!$E:$W,18,FALSE)=0,"",VLOOKUP($B863,Показатели!$E:$W,18,FALSE)),"")</f>
        <v/>
      </c>
      <c r="V863" t="str">
        <f>IFERROR(IF(VLOOKUP($B863,Показатели!$E:$W,19,FALSE)=0,"",VLOOKUP($B863,Показатели!$E:$W,19,FALSE)),"")</f>
        <v/>
      </c>
    </row>
    <row r="864" spans="1:22" x14ac:dyDescent="0.2">
      <c r="A864" s="7" t="s">
        <v>2321</v>
      </c>
      <c r="B864" t="str">
        <f t="shared" si="13"/>
        <v>SOFL IV кв. 2011</v>
      </c>
      <c r="C864">
        <v>2011</v>
      </c>
      <c r="D864">
        <f>SUMIFS(Дивиденды!$C:$C,Дивиденды!$A:$A,A864,Дивиденды!$I:$I,C864)</f>
        <v>0</v>
      </c>
      <c r="E864" t="str">
        <f>IFERROR(IF(VLOOKUP($B864,Показатели!$E:$W,2,FALSE)=0,"",VLOOKUP($B864,Показатели!$E:$W,2,FALSE)),"")</f>
        <v/>
      </c>
      <c r="F864" t="str">
        <f>IFERROR(IF(VLOOKUP($B864,Показатели!$E:$W,3,FALSE)=0,"",VLOOKUP($B864,Показатели!$E:$W,3,FALSE)),"")</f>
        <v/>
      </c>
      <c r="G864" t="str">
        <f>IFERROR(IF(VLOOKUP($B864,Показатели!$E:$W,4,FALSE)=0,"",VLOOKUP($B864,Показатели!$E:$W,4,FALSE)),"")</f>
        <v/>
      </c>
      <c r="H864" t="str">
        <f>IFERROR(IF(VLOOKUP($B864,Показатели!$E:$W,5,FALSE)=0,"",VLOOKUP($B864,Показатели!$E:$W,5,FALSE)),"")</f>
        <v/>
      </c>
      <c r="I864" t="str">
        <f>IFERROR(IF(VLOOKUP($B864,Показатели!$E:$W,6,FALSE)=0,"",VLOOKUP($B864,Показатели!$E:$W,6,FALSE)),"")</f>
        <v/>
      </c>
      <c r="J864" t="str">
        <f>IFERROR(IF(VLOOKUP($B864,Показатели!$E:$W,7,FALSE)=0,"",VLOOKUP($B864,Показатели!$E:$W,7,FALSE)),"")</f>
        <v/>
      </c>
      <c r="K864" t="str">
        <f>IFERROR(IF(VLOOKUP($B864,Показатели!$E:$W,8,FALSE)=0,"",VLOOKUP($B864,Показатели!$E:$W,8,FALSE)),"")</f>
        <v/>
      </c>
      <c r="L864" t="str">
        <f>IFERROR(IF(VLOOKUP($B864,Показатели!$E:$W,9,FALSE)=0,"",VLOOKUP($B864,Показатели!$E:$W,9,FALSE)),"")</f>
        <v/>
      </c>
      <c r="M864" t="str">
        <f>IFERROR(IF(VLOOKUP($B864,Показатели!$E:$W,10,FALSE)=0,"",VLOOKUP($B864,Показатели!$E:$W,10,FALSE)),"")</f>
        <v/>
      </c>
      <c r="N864" t="str">
        <f>IFERROR(IF(VLOOKUP($B864,Показатели!$E:$W,11,FALSE)=0,"",VLOOKUP($B864,Показатели!$E:$W,11,FALSE)),"")</f>
        <v/>
      </c>
      <c r="O864" t="str">
        <f>IFERROR(IF(VLOOKUP($B864,Показатели!$E:$W,12,FALSE)=0,"",VLOOKUP($B864,Показатели!$E:$W,12,FALSE)),"")</f>
        <v/>
      </c>
      <c r="P864" t="str">
        <f>IFERROR(IF(VLOOKUP($B864,Показатели!$E:$W,13,FALSE)=0,"",VLOOKUP($B864,Показатели!$E:$W,13,FALSE)),"")</f>
        <v/>
      </c>
      <c r="Q864" t="str">
        <f>IFERROR(IF(VLOOKUP($B864,Показатели!$E:$W,14,FALSE)=0,"",VLOOKUP($B864,Показатели!$E:$W,14,FALSE)),"")</f>
        <v/>
      </c>
      <c r="R864" t="str">
        <f>IFERROR(IF(VLOOKUP($B864,Показатели!$E:$W,15,FALSE)=0,"",VLOOKUP($B864,Показатели!$E:$W,15,FALSE)),"")</f>
        <v/>
      </c>
      <c r="S864" t="str">
        <f>IFERROR(IF(VLOOKUP($B864,Показатели!$E:$W,16,FALSE)=0,"",VLOOKUP($B864,Показатели!$E:$W,16,FALSE)),"")</f>
        <v/>
      </c>
      <c r="T864" t="str">
        <f>IFERROR(IF(VLOOKUP($B864,Показатели!$E:$W,17,FALSE)=0,"",VLOOKUP($B864,Показатели!$E:$W,17,FALSE)),"")</f>
        <v/>
      </c>
      <c r="U864" t="str">
        <f>IFERROR(IF(VLOOKUP($B864,Показатели!$E:$W,18,FALSE)=0,"",VLOOKUP($B864,Показатели!$E:$W,18,FALSE)),"")</f>
        <v/>
      </c>
      <c r="V864" t="str">
        <f>IFERROR(IF(VLOOKUP($B864,Показатели!$E:$W,19,FALSE)=0,"",VLOOKUP($B864,Показатели!$E:$W,19,FALSE)),"")</f>
        <v/>
      </c>
    </row>
    <row r="865" spans="1:22" x14ac:dyDescent="0.2">
      <c r="A865" s="7" t="s">
        <v>2321</v>
      </c>
      <c r="B865" t="str">
        <f t="shared" si="13"/>
        <v>SOFL IV кв. 2010</v>
      </c>
      <c r="C865">
        <v>2010</v>
      </c>
      <c r="D865">
        <f>SUMIFS(Дивиденды!$C:$C,Дивиденды!$A:$A,A865,Дивиденды!$I:$I,C865)</f>
        <v>0</v>
      </c>
      <c r="E865" t="str">
        <f>IFERROR(IF(VLOOKUP($B865,Показатели!$E:$W,2,FALSE)=0,"",VLOOKUP($B865,Показатели!$E:$W,2,FALSE)),"")</f>
        <v/>
      </c>
      <c r="F865" t="str">
        <f>IFERROR(IF(VLOOKUP($B865,Показатели!$E:$W,3,FALSE)=0,"",VLOOKUP($B865,Показатели!$E:$W,3,FALSE)),"")</f>
        <v/>
      </c>
      <c r="G865" t="str">
        <f>IFERROR(IF(VLOOKUP($B865,Показатели!$E:$W,4,FALSE)=0,"",VLOOKUP($B865,Показатели!$E:$W,4,FALSE)),"")</f>
        <v/>
      </c>
      <c r="H865" t="str">
        <f>IFERROR(IF(VLOOKUP($B865,Показатели!$E:$W,5,FALSE)=0,"",VLOOKUP($B865,Показатели!$E:$W,5,FALSE)),"")</f>
        <v/>
      </c>
      <c r="I865" t="str">
        <f>IFERROR(IF(VLOOKUP($B865,Показатели!$E:$W,6,FALSE)=0,"",VLOOKUP($B865,Показатели!$E:$W,6,FALSE)),"")</f>
        <v/>
      </c>
      <c r="J865" t="str">
        <f>IFERROR(IF(VLOOKUP($B865,Показатели!$E:$W,7,FALSE)=0,"",VLOOKUP($B865,Показатели!$E:$W,7,FALSE)),"")</f>
        <v/>
      </c>
      <c r="K865" t="str">
        <f>IFERROR(IF(VLOOKUP($B865,Показатели!$E:$W,8,FALSE)=0,"",VLOOKUP($B865,Показатели!$E:$W,8,FALSE)),"")</f>
        <v/>
      </c>
      <c r="L865" t="str">
        <f>IFERROR(IF(VLOOKUP($B865,Показатели!$E:$W,9,FALSE)=0,"",VLOOKUP($B865,Показатели!$E:$W,9,FALSE)),"")</f>
        <v/>
      </c>
      <c r="M865" t="str">
        <f>IFERROR(IF(VLOOKUP($B865,Показатели!$E:$W,10,FALSE)=0,"",VLOOKUP($B865,Показатели!$E:$W,10,FALSE)),"")</f>
        <v/>
      </c>
      <c r="N865" t="str">
        <f>IFERROR(IF(VLOOKUP($B865,Показатели!$E:$W,11,FALSE)=0,"",VLOOKUP($B865,Показатели!$E:$W,11,FALSE)),"")</f>
        <v/>
      </c>
      <c r="O865" t="str">
        <f>IFERROR(IF(VLOOKUP($B865,Показатели!$E:$W,12,FALSE)=0,"",VLOOKUP($B865,Показатели!$E:$W,12,FALSE)),"")</f>
        <v/>
      </c>
      <c r="P865" t="str">
        <f>IFERROR(IF(VLOOKUP($B865,Показатели!$E:$W,13,FALSE)=0,"",VLOOKUP($B865,Показатели!$E:$W,13,FALSE)),"")</f>
        <v/>
      </c>
      <c r="Q865" t="str">
        <f>IFERROR(IF(VLOOKUP($B865,Показатели!$E:$W,14,FALSE)=0,"",VLOOKUP($B865,Показатели!$E:$W,14,FALSE)),"")</f>
        <v/>
      </c>
      <c r="R865" t="str">
        <f>IFERROR(IF(VLOOKUP($B865,Показатели!$E:$W,15,FALSE)=0,"",VLOOKUP($B865,Показатели!$E:$W,15,FALSE)),"")</f>
        <v/>
      </c>
      <c r="S865" t="str">
        <f>IFERROR(IF(VLOOKUP($B865,Показатели!$E:$W,16,FALSE)=0,"",VLOOKUP($B865,Показатели!$E:$W,16,FALSE)),"")</f>
        <v/>
      </c>
      <c r="T865" t="str">
        <f>IFERROR(IF(VLOOKUP($B865,Показатели!$E:$W,17,FALSE)=0,"",VLOOKUP($B865,Показатели!$E:$W,17,FALSE)),"")</f>
        <v/>
      </c>
      <c r="U865" t="str">
        <f>IFERROR(IF(VLOOKUP($B865,Показатели!$E:$W,18,FALSE)=0,"",VLOOKUP($B865,Показатели!$E:$W,18,FALSE)),"")</f>
        <v/>
      </c>
      <c r="V865" t="str">
        <f>IFERROR(IF(VLOOKUP($B865,Показатели!$E:$W,19,FALSE)=0,"",VLOOKUP($B865,Показатели!$E:$W,19,FALSE)),"")</f>
        <v/>
      </c>
    </row>
    <row r="866" spans="1:22" x14ac:dyDescent="0.2">
      <c r="A866" s="7" t="s">
        <v>2322</v>
      </c>
      <c r="B866" t="str">
        <f t="shared" si="13"/>
        <v>VKCO IV кв. 2025</v>
      </c>
      <c r="C866">
        <v>2025</v>
      </c>
      <c r="D866">
        <f>SUMIFS(Дивиденды!$C:$C,Дивиденды!$A:$A,A866,Дивиденды!$I:$I,C866)</f>
        <v>0</v>
      </c>
      <c r="E866">
        <f>IFERROR(IF(VLOOKUP($B866,Показатели!$E:$W,2,FALSE)=0,"",VLOOKUP($B866,Показатели!$E:$W,2,FALSE)),"")</f>
        <v>32759000000</v>
      </c>
      <c r="F866">
        <f>IFERROR(IF(VLOOKUP($B866,Показатели!$E:$W,3,FALSE)=0,"",VLOOKUP($B866,Показатели!$E:$W,3,FALSE)),"")</f>
        <v>70952000000</v>
      </c>
      <c r="G866">
        <f>IFERROR(IF(VLOOKUP($B866,Показатели!$E:$W,4,FALSE)=0,"",VLOOKUP($B866,Показатели!$E:$W,4,FALSE)),"")</f>
        <v>51503000000</v>
      </c>
      <c r="H866">
        <f>IFERROR(IF(VLOOKUP($B866,Показатели!$E:$W,5,FALSE)=0,"",VLOOKUP($B866,Показатели!$E:$W,5,FALSE)),"")</f>
        <v>170884000000</v>
      </c>
      <c r="I866">
        <f>IFERROR(IF(VLOOKUP($B866,Показатели!$E:$W,6,FALSE)=0,"",VLOOKUP($B866,Показатели!$E:$W,6,FALSE)),"")</f>
        <v>333276000000</v>
      </c>
      <c r="J866">
        <f>IFERROR(IF(VLOOKUP($B866,Показатели!$E:$W,7,FALSE)=0,"",VLOOKUP($B866,Показатели!$E:$W,7,FALSE)),"")</f>
        <v>112954000000</v>
      </c>
      <c r="K866">
        <f>IFERROR(IF(VLOOKUP($B866,Показатели!$E:$W,8,FALSE)=0,"",VLOOKUP($B866,Показатели!$E:$W,8,FALSE)),"")</f>
        <v>87448000000</v>
      </c>
      <c r="L866">
        <f>IFERROR(IF(VLOOKUP($B866,Показатели!$E:$W,9,FALSE)=0,"",VLOOKUP($B866,Показатели!$E:$W,9,FALSE)),"")</f>
        <v>-66667000000</v>
      </c>
      <c r="M866">
        <f>IFERROR(IF(VLOOKUP($B866,Показатели!$E:$W,10,FALSE)=0,"",VLOOKUP($B866,Показатели!$E:$W,10,FALSE)),"")</f>
        <v>132874000000</v>
      </c>
      <c r="N866">
        <f>IFERROR(IF(VLOOKUP($B866,Показатели!$E:$W,11,FALSE)=0,"",VLOOKUP($B866,Показатели!$E:$W,11,FALSE)),"")</f>
        <v>159960000000</v>
      </c>
      <c r="O866" t="str">
        <f>IFERROR(IF(VLOOKUP($B866,Показатели!$E:$W,12,FALSE)=0,"",VLOOKUP($B866,Показатели!$E:$W,12,FALSE)),"")</f>
        <v/>
      </c>
      <c r="P866">
        <f>IFERROR(IF(VLOOKUP($B866,Показатели!$E:$W,13,FALSE)=0,"",VLOOKUP($B866,Показатели!$E:$W,13,FALSE)),"")</f>
        <v>-15296000000</v>
      </c>
      <c r="Q866">
        <f>IFERROR(IF(VLOOKUP($B866,Показатели!$E:$W,14,FALSE)=0,"",VLOOKUP($B866,Показатели!$E:$W,14,FALSE)),"")</f>
        <v>-24961000000</v>
      </c>
      <c r="R866">
        <f>IFERROR(IF(VLOOKUP($B866,Показатели!$E:$W,15,FALSE)=0,"",VLOOKUP($B866,Показатели!$E:$W,15,FALSE)),"")</f>
        <v>33676000000</v>
      </c>
      <c r="S866">
        <f>IFERROR(IF(VLOOKUP($B866,Показатели!$E:$W,16,FALSE)=0,"",VLOOKUP($B866,Показатели!$E:$W,16,FALSE)),"")</f>
        <v>22584000000</v>
      </c>
      <c r="T866">
        <f>IFERROR(IF(VLOOKUP($B866,Показатели!$E:$W,17,FALSE)=0,"",VLOOKUP($B866,Показатели!$E:$W,17,FALSE)),"")</f>
        <v>-24927000000</v>
      </c>
      <c r="U866">
        <f>IFERROR(IF(VLOOKUP($B866,Показатели!$E:$W,18,FALSE)=0,"",VLOOKUP($B866,Показатели!$E:$W,18,FALSE)),"")</f>
        <v>147573000000</v>
      </c>
      <c r="V866">
        <f>IFERROR(IF(VLOOKUP($B866,Показатели!$E:$W,19,FALSE)=0,"",VLOOKUP($B866,Показатели!$E:$W,19,FALSE)),"")</f>
        <v>333492000000</v>
      </c>
    </row>
    <row r="867" spans="1:22" x14ac:dyDescent="0.2">
      <c r="A867" s="7" t="s">
        <v>2322</v>
      </c>
      <c r="B867" t="str">
        <f t="shared" si="13"/>
        <v>VKCO IV кв. 2024</v>
      </c>
      <c r="C867">
        <v>2024</v>
      </c>
      <c r="D867">
        <f>SUMIFS(Дивиденды!$C:$C,Дивиденды!$A:$A,A867,Дивиденды!$I:$I,C867)</f>
        <v>0</v>
      </c>
      <c r="E867">
        <f>IFERROR(IF(VLOOKUP($B867,Показатели!$E:$W,2,FALSE)=0,"",VLOOKUP($B867,Показатели!$E:$W,2,FALSE)),"")</f>
        <v>28424000000</v>
      </c>
      <c r="F867">
        <f>IFERROR(IF(VLOOKUP($B867,Показатели!$E:$W,3,FALSE)=0,"",VLOOKUP($B867,Показатели!$E:$W,3,FALSE)),"")</f>
        <v>60714000000</v>
      </c>
      <c r="G867">
        <f>IFERROR(IF(VLOOKUP($B867,Показатели!$E:$W,4,FALSE)=0,"",VLOOKUP($B867,Показатели!$E:$W,4,FALSE)),"")</f>
        <v>54833000000</v>
      </c>
      <c r="H867">
        <f>IFERROR(IF(VLOOKUP($B867,Показатели!$E:$W,5,FALSE)=0,"",VLOOKUP($B867,Показатели!$E:$W,5,FALSE)),"")</f>
        <v>177460000000</v>
      </c>
      <c r="I867">
        <f>IFERROR(IF(VLOOKUP($B867,Показатели!$E:$W,6,FALSE)=0,"",VLOOKUP($B867,Показатели!$E:$W,6,FALSE)),"")</f>
        <v>333492000000</v>
      </c>
      <c r="J867">
        <f>IFERROR(IF(VLOOKUP($B867,Показатели!$E:$W,7,FALSE)=0,"",VLOOKUP($B867,Показатели!$E:$W,7,FALSE)),"")</f>
        <v>174250000000</v>
      </c>
      <c r="K867">
        <f>IFERROR(IF(VLOOKUP($B867,Показатели!$E:$W,8,FALSE)=0,"",VLOOKUP($B867,Показатели!$E:$W,8,FALSE)),"")</f>
        <v>114433000000</v>
      </c>
      <c r="L867">
        <f>IFERROR(IF(VLOOKUP($B867,Показатели!$E:$W,9,FALSE)=0,"",VLOOKUP($B867,Показатели!$E:$W,9,FALSE)),"")</f>
        <v>-41244000000</v>
      </c>
      <c r="M867">
        <f>IFERROR(IF(VLOOKUP($B867,Показатели!$E:$W,10,FALSE)=0,"",VLOOKUP($B867,Показатели!$E:$W,10,FALSE)),"")</f>
        <v>44809000000</v>
      </c>
      <c r="N867">
        <f>IFERROR(IF(VLOOKUP($B867,Показатели!$E:$W,11,FALSE)=0,"",VLOOKUP($B867,Показатели!$E:$W,11,FALSE)),"")</f>
        <v>147573000000</v>
      </c>
      <c r="O867" t="str">
        <f>IFERROR(IF(VLOOKUP($B867,Показатели!$E:$W,12,FALSE)=0,"",VLOOKUP($B867,Показатели!$E:$W,12,FALSE)),"")</f>
        <v/>
      </c>
      <c r="P867">
        <f>IFERROR(IF(VLOOKUP($B867,Показатели!$E:$W,13,FALSE)=0,"",VLOOKUP($B867,Показатели!$E:$W,13,FALSE)),"")</f>
        <v>-101428000000</v>
      </c>
      <c r="Q867">
        <f>IFERROR(IF(VLOOKUP($B867,Показатели!$E:$W,14,FALSE)=0,"",VLOOKUP($B867,Показатели!$E:$W,14,FALSE)),"")</f>
        <v>-94948000000</v>
      </c>
      <c r="R867">
        <f>IFERROR(IF(VLOOKUP($B867,Показатели!$E:$W,15,FALSE)=0,"",VLOOKUP($B867,Показатели!$E:$W,15,FALSE)),"")</f>
        <v>40358000000</v>
      </c>
      <c r="S867">
        <f>IFERROR(IF(VLOOKUP($B867,Показатели!$E:$W,16,FALSE)=0,"",VLOOKUP($B867,Показатели!$E:$W,16,FALSE)),"")</f>
        <v>-4920000000</v>
      </c>
      <c r="T867">
        <f>IFERROR(IF(VLOOKUP($B867,Показатели!$E:$W,17,FALSE)=0,"",VLOOKUP($B867,Показатели!$E:$W,17,FALSE)),"")</f>
        <v>-26924000000</v>
      </c>
      <c r="U867">
        <f>IFERROR(IF(VLOOKUP($B867,Показатели!$E:$W,18,FALSE)=0,"",VLOOKUP($B867,Показатели!$E:$W,18,FALSE)),"")</f>
        <v>132770000000</v>
      </c>
      <c r="V867">
        <f>IFERROR(IF(VLOOKUP($B867,Показатели!$E:$W,19,FALSE)=0,"",VLOOKUP($B867,Показатели!$E:$W,19,FALSE)),"")</f>
        <v>400740000000</v>
      </c>
    </row>
    <row r="868" spans="1:22" x14ac:dyDescent="0.2">
      <c r="A868" s="7" t="s">
        <v>2322</v>
      </c>
      <c r="B868" t="str">
        <f t="shared" si="13"/>
        <v>VKCO IV кв. 2023</v>
      </c>
      <c r="C868">
        <v>2023</v>
      </c>
      <c r="D868">
        <f>SUMIFS(Дивиденды!$C:$C,Дивиденды!$A:$A,A868,Дивиденды!$I:$I,C868)</f>
        <v>0</v>
      </c>
      <c r="E868">
        <f>IFERROR(IF(VLOOKUP($B868,Показатели!$E:$W,2,FALSE)=0,"",VLOOKUP($B868,Показатели!$E:$W,2,FALSE)),"")</f>
        <v>51294000000</v>
      </c>
      <c r="F868">
        <f>IFERROR(IF(VLOOKUP($B868,Показатели!$E:$W,3,FALSE)=0,"",VLOOKUP($B868,Показатели!$E:$W,3,FALSE)),"")</f>
        <v>125553000000</v>
      </c>
      <c r="G868">
        <f>IFERROR(IF(VLOOKUP($B868,Показатели!$E:$W,4,FALSE)=0,"",VLOOKUP($B868,Показатели!$E:$W,4,FALSE)),"")</f>
        <v>51089000000</v>
      </c>
      <c r="H868">
        <f>IFERROR(IF(VLOOKUP($B868,Показатели!$E:$W,5,FALSE)=0,"",VLOOKUP($B868,Показатели!$E:$W,5,FALSE)),"")</f>
        <v>196176000000</v>
      </c>
      <c r="I868">
        <f>IFERROR(IF(VLOOKUP($B868,Показатели!$E:$W,6,FALSE)=0,"",VLOOKUP($B868,Показатели!$E:$W,6,FALSE)),"")</f>
        <v>400740000000</v>
      </c>
      <c r="J868">
        <f>IFERROR(IF(VLOOKUP($B868,Показатели!$E:$W,7,FALSE)=0,"",VLOOKUP($B868,Показатели!$E:$W,7,FALSE)),"")</f>
        <v>121600000000</v>
      </c>
      <c r="K868">
        <f>IFERROR(IF(VLOOKUP($B868,Показатели!$E:$W,8,FALSE)=0,"",VLOOKUP($B868,Показатели!$E:$W,8,FALSE)),"")</f>
        <v>141606000000</v>
      </c>
      <c r="L868">
        <f>IFERROR(IF(VLOOKUP($B868,Показатели!$E:$W,9,FALSE)=0,"",VLOOKUP($B868,Показатели!$E:$W,9,FALSE)),"")</f>
        <v>54414000000</v>
      </c>
      <c r="M868">
        <f>IFERROR(IF(VLOOKUP($B868,Показатели!$E:$W,10,FALSE)=0,"",VLOOKUP($B868,Показатели!$E:$W,10,FALSE)),"")</f>
        <v>137534000000</v>
      </c>
      <c r="N868">
        <f>IFERROR(IF(VLOOKUP($B868,Показатели!$E:$W,11,FALSE)=0,"",VLOOKUP($B868,Показатели!$E:$W,11,FALSE)),"")</f>
        <v>132770000000</v>
      </c>
      <c r="O868" t="str">
        <f>IFERROR(IF(VLOOKUP($B868,Показатели!$E:$W,12,FALSE)=0,"",VLOOKUP($B868,Показатели!$E:$W,12,FALSE)),"")</f>
        <v/>
      </c>
      <c r="P868">
        <f>IFERROR(IF(VLOOKUP($B868,Показатели!$E:$W,13,FALSE)=0,"",VLOOKUP($B868,Показатели!$E:$W,13,FALSE)),"")</f>
        <v>-34208000000</v>
      </c>
      <c r="Q868">
        <f>IFERROR(IF(VLOOKUP($B868,Показатели!$E:$W,14,FALSE)=0,"",VLOOKUP($B868,Показатели!$E:$W,14,FALSE)),"")</f>
        <v>-34291000000</v>
      </c>
      <c r="R868">
        <f>IFERROR(IF(VLOOKUP($B868,Показатели!$E:$W,15,FALSE)=0,"",VLOOKUP($B868,Показатели!$E:$W,15,FALSE)),"")</f>
        <v>23714000000</v>
      </c>
      <c r="S868">
        <f>IFERROR(IF(VLOOKUP($B868,Показатели!$E:$W,16,FALSE)=0,"",VLOOKUP($B868,Показатели!$E:$W,16,FALSE)),"")</f>
        <v>495000000</v>
      </c>
      <c r="T868">
        <f>IFERROR(IF(VLOOKUP($B868,Показатели!$E:$W,17,FALSE)=0,"",VLOOKUP($B868,Показатели!$E:$W,17,FALSE)),"")</f>
        <v>-32404000000</v>
      </c>
      <c r="U868">
        <f>IFERROR(IF(VLOOKUP($B868,Показатели!$E:$W,18,FALSE)=0,"",VLOOKUP($B868,Показатели!$E:$W,18,FALSE)),"")</f>
        <v>97770000000</v>
      </c>
      <c r="V868">
        <f>IFERROR(IF(VLOOKUP($B868,Показатели!$E:$W,19,FALSE)=0,"",VLOOKUP($B868,Показатели!$E:$W,19,FALSE)),"")</f>
        <v>360915000000</v>
      </c>
    </row>
    <row r="869" spans="1:22" x14ac:dyDescent="0.2">
      <c r="A869" s="7" t="s">
        <v>2322</v>
      </c>
      <c r="B869" t="str">
        <f t="shared" si="13"/>
        <v>VKCO IV кв. 2022</v>
      </c>
      <c r="C869">
        <v>2022</v>
      </c>
      <c r="D869">
        <f>SUMIFS(Дивиденды!$C:$C,Дивиденды!$A:$A,A869,Дивиденды!$I:$I,C869)</f>
        <v>0</v>
      </c>
      <c r="E869">
        <f>IFERROR(IF(VLOOKUP($B869,Показатели!$E:$W,2,FALSE)=0,"",VLOOKUP($B869,Показатели!$E:$W,2,FALSE)),"")</f>
        <v>48759000000</v>
      </c>
      <c r="F869">
        <f>IFERROR(IF(VLOOKUP($B869,Показатели!$E:$W,3,FALSE)=0,"",VLOOKUP($B869,Показатели!$E:$W,3,FALSE)),"")</f>
        <v>123845000000</v>
      </c>
      <c r="G869">
        <f>IFERROR(IF(VLOOKUP($B869,Показатели!$E:$W,4,FALSE)=0,"",VLOOKUP($B869,Показатели!$E:$W,4,FALSE)),"")</f>
        <v>39250000000</v>
      </c>
      <c r="H869">
        <f>IFERROR(IF(VLOOKUP($B869,Показатели!$E:$W,5,FALSE)=0,"",VLOOKUP($B869,Показатели!$E:$W,5,FALSE)),"")</f>
        <v>178478000000</v>
      </c>
      <c r="I869">
        <f>IFERROR(IF(VLOOKUP($B869,Показатели!$E:$W,6,FALSE)=0,"",VLOOKUP($B869,Показатели!$E:$W,6,FALSE)),"")</f>
        <v>360915000000</v>
      </c>
      <c r="J869">
        <f>IFERROR(IF(VLOOKUP($B869,Показатели!$E:$W,7,FALSE)=0,"",VLOOKUP($B869,Показатели!$E:$W,7,FALSE)),"")</f>
        <v>142282000000</v>
      </c>
      <c r="K869">
        <f>IFERROR(IF(VLOOKUP($B869,Показатели!$E:$W,8,FALSE)=0,"",VLOOKUP($B869,Показатели!$E:$W,8,FALSE)),"")</f>
        <v>50521000000</v>
      </c>
      <c r="L869">
        <f>IFERROR(IF(VLOOKUP($B869,Показатели!$E:$W,9,FALSE)=0,"",VLOOKUP($B869,Показатели!$E:$W,9,FALSE)),"")</f>
        <v>86841000000</v>
      </c>
      <c r="M869">
        <f>IFERROR(IF(VLOOKUP($B869,Показатели!$E:$W,10,FALSE)=0,"",VLOOKUP($B869,Показатели!$E:$W,10,FALSE)),"")</f>
        <v>168112000000</v>
      </c>
      <c r="N869">
        <f>IFERROR(IF(VLOOKUP($B869,Показатели!$E:$W,11,FALSE)=0,"",VLOOKUP($B869,Показатели!$E:$W,11,FALSE)),"")</f>
        <v>97770000000</v>
      </c>
      <c r="O869" t="str">
        <f>IFERROR(IF(VLOOKUP($B869,Показатели!$E:$W,12,FALSE)=0,"",VLOOKUP($B869,Показатели!$E:$W,12,FALSE)),"")</f>
        <v/>
      </c>
      <c r="P869">
        <f>IFERROR(IF(VLOOKUP($B869,Показатели!$E:$W,13,FALSE)=0,"",VLOOKUP($B869,Показатели!$E:$W,13,FALSE)),"")</f>
        <v>-29497000000</v>
      </c>
      <c r="Q869">
        <f>IFERROR(IF(VLOOKUP($B869,Показатели!$E:$W,14,FALSE)=0,"",VLOOKUP($B869,Показатели!$E:$W,14,FALSE)),"")</f>
        <v>-3910000000</v>
      </c>
      <c r="R869">
        <f>IFERROR(IF(VLOOKUP($B869,Показатели!$E:$W,15,FALSE)=0,"",VLOOKUP($B869,Показатели!$E:$W,15,FALSE)),"")</f>
        <v>29755000000</v>
      </c>
      <c r="S869">
        <f>IFERROR(IF(VLOOKUP($B869,Показатели!$E:$W,16,FALSE)=0,"",VLOOKUP($B869,Показатели!$E:$W,16,FALSE)),"")</f>
        <v>19975000000</v>
      </c>
      <c r="T869">
        <f>IFERROR(IF(VLOOKUP($B869,Показатели!$E:$W,17,FALSE)=0,"",VLOOKUP($B869,Показатели!$E:$W,17,FALSE)),"")</f>
        <v>-22590000000</v>
      </c>
      <c r="U869" t="str">
        <f>IFERROR(IF(VLOOKUP($B869,Показатели!$E:$W,18,FALSE)=0,"",VLOOKUP($B869,Показатели!$E:$W,18,FALSE)),"")</f>
        <v/>
      </c>
      <c r="V869" t="str">
        <f>IFERROR(IF(VLOOKUP($B869,Показатели!$E:$W,19,FALSE)=0,"",VLOOKUP($B869,Показатели!$E:$W,19,FALSE)),"")</f>
        <v/>
      </c>
    </row>
    <row r="870" spans="1:22" x14ac:dyDescent="0.2">
      <c r="A870" s="7" t="s">
        <v>2322</v>
      </c>
      <c r="B870" t="str">
        <f t="shared" si="13"/>
        <v>VKCO IV кв. 2021</v>
      </c>
      <c r="C870">
        <v>2021</v>
      </c>
      <c r="D870">
        <f>SUMIFS(Дивиденды!$C:$C,Дивиденды!$A:$A,A870,Дивиденды!$I:$I,C870)</f>
        <v>0</v>
      </c>
      <c r="E870" t="str">
        <f>IFERROR(IF(VLOOKUP($B870,Показатели!$E:$W,2,FALSE)=0,"",VLOOKUP($B870,Показатели!$E:$W,2,FALSE)),"")</f>
        <v/>
      </c>
      <c r="F870" t="str">
        <f>IFERROR(IF(VLOOKUP($B870,Показатели!$E:$W,3,FALSE)=0,"",VLOOKUP($B870,Показатели!$E:$W,3,FALSE)),"")</f>
        <v/>
      </c>
      <c r="G870" t="str">
        <f>IFERROR(IF(VLOOKUP($B870,Показатели!$E:$W,4,FALSE)=0,"",VLOOKUP($B870,Показатели!$E:$W,4,FALSE)),"")</f>
        <v/>
      </c>
      <c r="H870" t="str">
        <f>IFERROR(IF(VLOOKUP($B870,Показатели!$E:$W,5,FALSE)=0,"",VLOOKUP($B870,Показатели!$E:$W,5,FALSE)),"")</f>
        <v/>
      </c>
      <c r="I870" t="str">
        <f>IFERROR(IF(VLOOKUP($B870,Показатели!$E:$W,6,FALSE)=0,"",VLOOKUP($B870,Показатели!$E:$W,6,FALSE)),"")</f>
        <v/>
      </c>
      <c r="J870" t="str">
        <f>IFERROR(IF(VLOOKUP($B870,Показатели!$E:$W,7,FALSE)=0,"",VLOOKUP($B870,Показатели!$E:$W,7,FALSE)),"")</f>
        <v/>
      </c>
      <c r="K870" t="str">
        <f>IFERROR(IF(VLOOKUP($B870,Показатели!$E:$W,8,FALSE)=0,"",VLOOKUP($B870,Показатели!$E:$W,8,FALSE)),"")</f>
        <v/>
      </c>
      <c r="L870" t="str">
        <f>IFERROR(IF(VLOOKUP($B870,Показатели!$E:$W,9,FALSE)=0,"",VLOOKUP($B870,Показатели!$E:$W,9,FALSE)),"")</f>
        <v/>
      </c>
      <c r="M870" t="str">
        <f>IFERROR(IF(VLOOKUP($B870,Показатели!$E:$W,10,FALSE)=0,"",VLOOKUP($B870,Показатели!$E:$W,10,FALSE)),"")</f>
        <v/>
      </c>
      <c r="N870" t="str">
        <f>IFERROR(IF(VLOOKUP($B870,Показатели!$E:$W,11,FALSE)=0,"",VLOOKUP($B870,Показатели!$E:$W,11,FALSE)),"")</f>
        <v/>
      </c>
      <c r="O870" t="str">
        <f>IFERROR(IF(VLOOKUP($B870,Показатели!$E:$W,12,FALSE)=0,"",VLOOKUP($B870,Показатели!$E:$W,12,FALSE)),"")</f>
        <v/>
      </c>
      <c r="P870" t="str">
        <f>IFERROR(IF(VLOOKUP($B870,Показатели!$E:$W,13,FALSE)=0,"",VLOOKUP($B870,Показатели!$E:$W,13,FALSE)),"")</f>
        <v/>
      </c>
      <c r="Q870" t="str">
        <f>IFERROR(IF(VLOOKUP($B870,Показатели!$E:$W,14,FALSE)=0,"",VLOOKUP($B870,Показатели!$E:$W,14,FALSE)),"")</f>
        <v/>
      </c>
      <c r="R870" t="str">
        <f>IFERROR(IF(VLOOKUP($B870,Показатели!$E:$W,15,FALSE)=0,"",VLOOKUP($B870,Показатели!$E:$W,15,FALSE)),"")</f>
        <v/>
      </c>
      <c r="S870" t="str">
        <f>IFERROR(IF(VLOOKUP($B870,Показатели!$E:$W,16,FALSE)=0,"",VLOOKUP($B870,Показатели!$E:$W,16,FALSE)),"")</f>
        <v/>
      </c>
      <c r="T870" t="str">
        <f>IFERROR(IF(VLOOKUP($B870,Показатели!$E:$W,17,FALSE)=0,"",VLOOKUP($B870,Показатели!$E:$W,17,FALSE)),"")</f>
        <v/>
      </c>
      <c r="U870" t="str">
        <f>IFERROR(IF(VLOOKUP($B870,Показатели!$E:$W,18,FALSE)=0,"",VLOOKUP($B870,Показатели!$E:$W,18,FALSE)),"")</f>
        <v/>
      </c>
      <c r="V870" t="str">
        <f>IFERROR(IF(VLOOKUP($B870,Показатели!$E:$W,19,FALSE)=0,"",VLOOKUP($B870,Показатели!$E:$W,19,FALSE)),"")</f>
        <v/>
      </c>
    </row>
    <row r="871" spans="1:22" x14ac:dyDescent="0.2">
      <c r="A871" s="7" t="s">
        <v>2322</v>
      </c>
      <c r="B871" t="str">
        <f t="shared" si="13"/>
        <v>VKCO IV кв. 2020</v>
      </c>
      <c r="C871">
        <v>2020</v>
      </c>
      <c r="D871">
        <f>SUMIFS(Дивиденды!$C:$C,Дивиденды!$A:$A,A871,Дивиденды!$I:$I,C871)</f>
        <v>0</v>
      </c>
      <c r="E871" t="str">
        <f>IFERROR(IF(VLOOKUP($B871,Показатели!$E:$W,2,FALSE)=0,"",VLOOKUP($B871,Показатели!$E:$W,2,FALSE)),"")</f>
        <v/>
      </c>
      <c r="F871" t="str">
        <f>IFERROR(IF(VLOOKUP($B871,Показатели!$E:$W,3,FALSE)=0,"",VLOOKUP($B871,Показатели!$E:$W,3,FALSE)),"")</f>
        <v/>
      </c>
      <c r="G871" t="str">
        <f>IFERROR(IF(VLOOKUP($B871,Показатели!$E:$W,4,FALSE)=0,"",VLOOKUP($B871,Показатели!$E:$W,4,FALSE)),"")</f>
        <v/>
      </c>
      <c r="H871" t="str">
        <f>IFERROR(IF(VLOOKUP($B871,Показатели!$E:$W,5,FALSE)=0,"",VLOOKUP($B871,Показатели!$E:$W,5,FALSE)),"")</f>
        <v/>
      </c>
      <c r="I871" t="str">
        <f>IFERROR(IF(VLOOKUP($B871,Показатели!$E:$W,6,FALSE)=0,"",VLOOKUP($B871,Показатели!$E:$W,6,FALSE)),"")</f>
        <v/>
      </c>
      <c r="J871" t="str">
        <f>IFERROR(IF(VLOOKUP($B871,Показатели!$E:$W,7,FALSE)=0,"",VLOOKUP($B871,Показатели!$E:$W,7,FALSE)),"")</f>
        <v/>
      </c>
      <c r="K871" t="str">
        <f>IFERROR(IF(VLOOKUP($B871,Показатели!$E:$W,8,FALSE)=0,"",VLOOKUP($B871,Показатели!$E:$W,8,FALSE)),"")</f>
        <v/>
      </c>
      <c r="L871" t="str">
        <f>IFERROR(IF(VLOOKUP($B871,Показатели!$E:$W,9,FALSE)=0,"",VLOOKUP($B871,Показатели!$E:$W,9,FALSE)),"")</f>
        <v/>
      </c>
      <c r="M871" t="str">
        <f>IFERROR(IF(VLOOKUP($B871,Показатели!$E:$W,10,FALSE)=0,"",VLOOKUP($B871,Показатели!$E:$W,10,FALSE)),"")</f>
        <v/>
      </c>
      <c r="N871" t="str">
        <f>IFERROR(IF(VLOOKUP($B871,Показатели!$E:$W,11,FALSE)=0,"",VLOOKUP($B871,Показатели!$E:$W,11,FALSE)),"")</f>
        <v/>
      </c>
      <c r="O871" t="str">
        <f>IFERROR(IF(VLOOKUP($B871,Показатели!$E:$W,12,FALSE)=0,"",VLOOKUP($B871,Показатели!$E:$W,12,FALSE)),"")</f>
        <v/>
      </c>
      <c r="P871" t="str">
        <f>IFERROR(IF(VLOOKUP($B871,Показатели!$E:$W,13,FALSE)=0,"",VLOOKUP($B871,Показатели!$E:$W,13,FALSE)),"")</f>
        <v/>
      </c>
      <c r="Q871" t="str">
        <f>IFERROR(IF(VLOOKUP($B871,Показатели!$E:$W,14,FALSE)=0,"",VLOOKUP($B871,Показатели!$E:$W,14,FALSE)),"")</f>
        <v/>
      </c>
      <c r="R871" t="str">
        <f>IFERROR(IF(VLOOKUP($B871,Показатели!$E:$W,15,FALSE)=0,"",VLOOKUP($B871,Показатели!$E:$W,15,FALSE)),"")</f>
        <v/>
      </c>
      <c r="S871" t="str">
        <f>IFERROR(IF(VLOOKUP($B871,Показатели!$E:$W,16,FALSE)=0,"",VLOOKUP($B871,Показатели!$E:$W,16,FALSE)),"")</f>
        <v/>
      </c>
      <c r="T871" t="str">
        <f>IFERROR(IF(VLOOKUP($B871,Показатели!$E:$W,17,FALSE)=0,"",VLOOKUP($B871,Показатели!$E:$W,17,FALSE)),"")</f>
        <v/>
      </c>
      <c r="U871" t="str">
        <f>IFERROR(IF(VLOOKUP($B871,Показатели!$E:$W,18,FALSE)=0,"",VLOOKUP($B871,Показатели!$E:$W,18,FALSE)),"")</f>
        <v/>
      </c>
      <c r="V871" t="str">
        <f>IFERROR(IF(VLOOKUP($B871,Показатели!$E:$W,19,FALSE)=0,"",VLOOKUP($B871,Показатели!$E:$W,19,FALSE)),"")</f>
        <v/>
      </c>
    </row>
    <row r="872" spans="1:22" x14ac:dyDescent="0.2">
      <c r="A872" s="7" t="s">
        <v>2322</v>
      </c>
      <c r="B872" t="str">
        <f t="shared" si="13"/>
        <v>VKCO IV кв. 2019</v>
      </c>
      <c r="C872">
        <v>2019</v>
      </c>
      <c r="D872">
        <f>SUMIFS(Дивиденды!$C:$C,Дивиденды!$A:$A,A872,Дивиденды!$I:$I,C872)</f>
        <v>0</v>
      </c>
      <c r="E872" t="str">
        <f>IFERROR(IF(VLOOKUP($B872,Показатели!$E:$W,2,FALSE)=0,"",VLOOKUP($B872,Показатели!$E:$W,2,FALSE)),"")</f>
        <v/>
      </c>
      <c r="F872" t="str">
        <f>IFERROR(IF(VLOOKUP($B872,Показатели!$E:$W,3,FALSE)=0,"",VLOOKUP($B872,Показатели!$E:$W,3,FALSE)),"")</f>
        <v/>
      </c>
      <c r="G872" t="str">
        <f>IFERROR(IF(VLOOKUP($B872,Показатели!$E:$W,4,FALSE)=0,"",VLOOKUP($B872,Показатели!$E:$W,4,FALSE)),"")</f>
        <v/>
      </c>
      <c r="H872" t="str">
        <f>IFERROR(IF(VLOOKUP($B872,Показатели!$E:$W,5,FALSE)=0,"",VLOOKUP($B872,Показатели!$E:$W,5,FALSE)),"")</f>
        <v/>
      </c>
      <c r="I872" t="str">
        <f>IFERROR(IF(VLOOKUP($B872,Показатели!$E:$W,6,FALSE)=0,"",VLOOKUP($B872,Показатели!$E:$W,6,FALSE)),"")</f>
        <v/>
      </c>
      <c r="J872" t="str">
        <f>IFERROR(IF(VLOOKUP($B872,Показатели!$E:$W,7,FALSE)=0,"",VLOOKUP($B872,Показатели!$E:$W,7,FALSE)),"")</f>
        <v/>
      </c>
      <c r="K872" t="str">
        <f>IFERROR(IF(VLOOKUP($B872,Показатели!$E:$W,8,FALSE)=0,"",VLOOKUP($B872,Показатели!$E:$W,8,FALSE)),"")</f>
        <v/>
      </c>
      <c r="L872" t="str">
        <f>IFERROR(IF(VLOOKUP($B872,Показатели!$E:$W,9,FALSE)=0,"",VLOOKUP($B872,Показатели!$E:$W,9,FALSE)),"")</f>
        <v/>
      </c>
      <c r="M872" t="str">
        <f>IFERROR(IF(VLOOKUP($B872,Показатели!$E:$W,10,FALSE)=0,"",VLOOKUP($B872,Показатели!$E:$W,10,FALSE)),"")</f>
        <v/>
      </c>
      <c r="N872" t="str">
        <f>IFERROR(IF(VLOOKUP($B872,Показатели!$E:$W,11,FALSE)=0,"",VLOOKUP($B872,Показатели!$E:$W,11,FALSE)),"")</f>
        <v/>
      </c>
      <c r="O872" t="str">
        <f>IFERROR(IF(VLOOKUP($B872,Показатели!$E:$W,12,FALSE)=0,"",VLOOKUP($B872,Показатели!$E:$W,12,FALSE)),"")</f>
        <v/>
      </c>
      <c r="P872" t="str">
        <f>IFERROR(IF(VLOOKUP($B872,Показатели!$E:$W,13,FALSE)=0,"",VLOOKUP($B872,Показатели!$E:$W,13,FALSE)),"")</f>
        <v/>
      </c>
      <c r="Q872" t="str">
        <f>IFERROR(IF(VLOOKUP($B872,Показатели!$E:$W,14,FALSE)=0,"",VLOOKUP($B872,Показатели!$E:$W,14,FALSE)),"")</f>
        <v/>
      </c>
      <c r="R872" t="str">
        <f>IFERROR(IF(VLOOKUP($B872,Показатели!$E:$W,15,FALSE)=0,"",VLOOKUP($B872,Показатели!$E:$W,15,FALSE)),"")</f>
        <v/>
      </c>
      <c r="S872" t="str">
        <f>IFERROR(IF(VLOOKUP($B872,Показатели!$E:$W,16,FALSE)=0,"",VLOOKUP($B872,Показатели!$E:$W,16,FALSE)),"")</f>
        <v/>
      </c>
      <c r="T872" t="str">
        <f>IFERROR(IF(VLOOKUP($B872,Показатели!$E:$W,17,FALSE)=0,"",VLOOKUP($B872,Показатели!$E:$W,17,FALSE)),"")</f>
        <v/>
      </c>
      <c r="U872" t="str">
        <f>IFERROR(IF(VLOOKUP($B872,Показатели!$E:$W,18,FALSE)=0,"",VLOOKUP($B872,Показатели!$E:$W,18,FALSE)),"")</f>
        <v/>
      </c>
      <c r="V872" t="str">
        <f>IFERROR(IF(VLOOKUP($B872,Показатели!$E:$W,19,FALSE)=0,"",VLOOKUP($B872,Показатели!$E:$W,19,FALSE)),"")</f>
        <v/>
      </c>
    </row>
    <row r="873" spans="1:22" x14ac:dyDescent="0.2">
      <c r="A873" s="7" t="s">
        <v>2322</v>
      </c>
      <c r="B873" t="str">
        <f t="shared" si="13"/>
        <v>VKCO IV кв. 2018</v>
      </c>
      <c r="C873">
        <v>2018</v>
      </c>
      <c r="D873">
        <f>SUMIFS(Дивиденды!$C:$C,Дивиденды!$A:$A,A873,Дивиденды!$I:$I,C873)</f>
        <v>0</v>
      </c>
      <c r="E873" t="str">
        <f>IFERROR(IF(VLOOKUP($B873,Показатели!$E:$W,2,FALSE)=0,"",VLOOKUP($B873,Показатели!$E:$W,2,FALSE)),"")</f>
        <v/>
      </c>
      <c r="F873" t="str">
        <f>IFERROR(IF(VLOOKUP($B873,Показатели!$E:$W,3,FALSE)=0,"",VLOOKUP($B873,Показатели!$E:$W,3,FALSE)),"")</f>
        <v/>
      </c>
      <c r="G873" t="str">
        <f>IFERROR(IF(VLOOKUP($B873,Показатели!$E:$W,4,FALSE)=0,"",VLOOKUP($B873,Показатели!$E:$W,4,FALSE)),"")</f>
        <v/>
      </c>
      <c r="H873" t="str">
        <f>IFERROR(IF(VLOOKUP($B873,Показатели!$E:$W,5,FALSE)=0,"",VLOOKUP($B873,Показатели!$E:$W,5,FALSE)),"")</f>
        <v/>
      </c>
      <c r="I873" t="str">
        <f>IFERROR(IF(VLOOKUP($B873,Показатели!$E:$W,6,FALSE)=0,"",VLOOKUP($B873,Показатели!$E:$W,6,FALSE)),"")</f>
        <v/>
      </c>
      <c r="J873" t="str">
        <f>IFERROR(IF(VLOOKUP($B873,Показатели!$E:$W,7,FALSE)=0,"",VLOOKUP($B873,Показатели!$E:$W,7,FALSE)),"")</f>
        <v/>
      </c>
      <c r="K873" t="str">
        <f>IFERROR(IF(VLOOKUP($B873,Показатели!$E:$W,8,FALSE)=0,"",VLOOKUP($B873,Показатели!$E:$W,8,FALSE)),"")</f>
        <v/>
      </c>
      <c r="L873" t="str">
        <f>IFERROR(IF(VLOOKUP($B873,Показатели!$E:$W,9,FALSE)=0,"",VLOOKUP($B873,Показатели!$E:$W,9,FALSE)),"")</f>
        <v/>
      </c>
      <c r="M873" t="str">
        <f>IFERROR(IF(VLOOKUP($B873,Показатели!$E:$W,10,FALSE)=0,"",VLOOKUP($B873,Показатели!$E:$W,10,FALSE)),"")</f>
        <v/>
      </c>
      <c r="N873" t="str">
        <f>IFERROR(IF(VLOOKUP($B873,Показатели!$E:$W,11,FALSE)=0,"",VLOOKUP($B873,Показатели!$E:$W,11,FALSE)),"")</f>
        <v/>
      </c>
      <c r="O873" t="str">
        <f>IFERROR(IF(VLOOKUP($B873,Показатели!$E:$W,12,FALSE)=0,"",VLOOKUP($B873,Показатели!$E:$W,12,FALSE)),"")</f>
        <v/>
      </c>
      <c r="P873" t="str">
        <f>IFERROR(IF(VLOOKUP($B873,Показатели!$E:$W,13,FALSE)=0,"",VLOOKUP($B873,Показатели!$E:$W,13,FALSE)),"")</f>
        <v/>
      </c>
      <c r="Q873" t="str">
        <f>IFERROR(IF(VLOOKUP($B873,Показатели!$E:$W,14,FALSE)=0,"",VLOOKUP($B873,Показатели!$E:$W,14,FALSE)),"")</f>
        <v/>
      </c>
      <c r="R873" t="str">
        <f>IFERROR(IF(VLOOKUP($B873,Показатели!$E:$W,15,FALSE)=0,"",VLOOKUP($B873,Показатели!$E:$W,15,FALSE)),"")</f>
        <v/>
      </c>
      <c r="S873" t="str">
        <f>IFERROR(IF(VLOOKUP($B873,Показатели!$E:$W,16,FALSE)=0,"",VLOOKUP($B873,Показатели!$E:$W,16,FALSE)),"")</f>
        <v/>
      </c>
      <c r="T873" t="str">
        <f>IFERROR(IF(VLOOKUP($B873,Показатели!$E:$W,17,FALSE)=0,"",VLOOKUP($B873,Показатели!$E:$W,17,FALSE)),"")</f>
        <v/>
      </c>
      <c r="U873" t="str">
        <f>IFERROR(IF(VLOOKUP($B873,Показатели!$E:$W,18,FALSE)=0,"",VLOOKUP($B873,Показатели!$E:$W,18,FALSE)),"")</f>
        <v/>
      </c>
      <c r="V873" t="str">
        <f>IFERROR(IF(VLOOKUP($B873,Показатели!$E:$W,19,FALSE)=0,"",VLOOKUP($B873,Показатели!$E:$W,19,FALSE)),"")</f>
        <v/>
      </c>
    </row>
    <row r="874" spans="1:22" x14ac:dyDescent="0.2">
      <c r="A874" s="7" t="s">
        <v>2322</v>
      </c>
      <c r="B874" t="str">
        <f t="shared" si="13"/>
        <v>VKCO IV кв. 2017</v>
      </c>
      <c r="C874">
        <v>2017</v>
      </c>
      <c r="D874">
        <f>SUMIFS(Дивиденды!$C:$C,Дивиденды!$A:$A,A874,Дивиденды!$I:$I,C874)</f>
        <v>0</v>
      </c>
      <c r="E874" t="str">
        <f>IFERROR(IF(VLOOKUP($B874,Показатели!$E:$W,2,FALSE)=0,"",VLOOKUP($B874,Показатели!$E:$W,2,FALSE)),"")</f>
        <v/>
      </c>
      <c r="F874" t="str">
        <f>IFERROR(IF(VLOOKUP($B874,Показатели!$E:$W,3,FALSE)=0,"",VLOOKUP($B874,Показатели!$E:$W,3,FALSE)),"")</f>
        <v/>
      </c>
      <c r="G874" t="str">
        <f>IFERROR(IF(VLOOKUP($B874,Показатели!$E:$W,4,FALSE)=0,"",VLOOKUP($B874,Показатели!$E:$W,4,FALSE)),"")</f>
        <v/>
      </c>
      <c r="H874" t="str">
        <f>IFERROR(IF(VLOOKUP($B874,Показатели!$E:$W,5,FALSE)=0,"",VLOOKUP($B874,Показатели!$E:$W,5,FALSE)),"")</f>
        <v/>
      </c>
      <c r="I874" t="str">
        <f>IFERROR(IF(VLOOKUP($B874,Показатели!$E:$W,6,FALSE)=0,"",VLOOKUP($B874,Показатели!$E:$W,6,FALSE)),"")</f>
        <v/>
      </c>
      <c r="J874" t="str">
        <f>IFERROR(IF(VLOOKUP($B874,Показатели!$E:$W,7,FALSE)=0,"",VLOOKUP($B874,Показатели!$E:$W,7,FALSE)),"")</f>
        <v/>
      </c>
      <c r="K874" t="str">
        <f>IFERROR(IF(VLOOKUP($B874,Показатели!$E:$W,8,FALSE)=0,"",VLOOKUP($B874,Показатели!$E:$W,8,FALSE)),"")</f>
        <v/>
      </c>
      <c r="L874" t="str">
        <f>IFERROR(IF(VLOOKUP($B874,Показатели!$E:$W,9,FALSE)=0,"",VLOOKUP($B874,Показатели!$E:$W,9,FALSE)),"")</f>
        <v/>
      </c>
      <c r="M874" t="str">
        <f>IFERROR(IF(VLOOKUP($B874,Показатели!$E:$W,10,FALSE)=0,"",VLOOKUP($B874,Показатели!$E:$W,10,FALSE)),"")</f>
        <v/>
      </c>
      <c r="N874" t="str">
        <f>IFERROR(IF(VLOOKUP($B874,Показатели!$E:$W,11,FALSE)=0,"",VLOOKUP($B874,Показатели!$E:$W,11,FALSE)),"")</f>
        <v/>
      </c>
      <c r="O874" t="str">
        <f>IFERROR(IF(VLOOKUP($B874,Показатели!$E:$W,12,FALSE)=0,"",VLOOKUP($B874,Показатели!$E:$W,12,FALSE)),"")</f>
        <v/>
      </c>
      <c r="P874" t="str">
        <f>IFERROR(IF(VLOOKUP($B874,Показатели!$E:$W,13,FALSE)=0,"",VLOOKUP($B874,Показатели!$E:$W,13,FALSE)),"")</f>
        <v/>
      </c>
      <c r="Q874" t="str">
        <f>IFERROR(IF(VLOOKUP($B874,Показатели!$E:$W,14,FALSE)=0,"",VLOOKUP($B874,Показатели!$E:$W,14,FALSE)),"")</f>
        <v/>
      </c>
      <c r="R874" t="str">
        <f>IFERROR(IF(VLOOKUP($B874,Показатели!$E:$W,15,FALSE)=0,"",VLOOKUP($B874,Показатели!$E:$W,15,FALSE)),"")</f>
        <v/>
      </c>
      <c r="S874" t="str">
        <f>IFERROR(IF(VLOOKUP($B874,Показатели!$E:$W,16,FALSE)=0,"",VLOOKUP($B874,Показатели!$E:$W,16,FALSE)),"")</f>
        <v/>
      </c>
      <c r="T874" t="str">
        <f>IFERROR(IF(VLOOKUP($B874,Показатели!$E:$W,17,FALSE)=0,"",VLOOKUP($B874,Показатели!$E:$W,17,FALSE)),"")</f>
        <v/>
      </c>
      <c r="U874" t="str">
        <f>IFERROR(IF(VLOOKUP($B874,Показатели!$E:$W,18,FALSE)=0,"",VLOOKUP($B874,Показатели!$E:$W,18,FALSE)),"")</f>
        <v/>
      </c>
      <c r="V874" t="str">
        <f>IFERROR(IF(VLOOKUP($B874,Показатели!$E:$W,19,FALSE)=0,"",VLOOKUP($B874,Показатели!$E:$W,19,FALSE)),"")</f>
        <v/>
      </c>
    </row>
    <row r="875" spans="1:22" x14ac:dyDescent="0.2">
      <c r="A875" s="7" t="s">
        <v>2322</v>
      </c>
      <c r="B875" t="str">
        <f t="shared" si="13"/>
        <v>VKCO IV кв. 2016</v>
      </c>
      <c r="C875">
        <v>2016</v>
      </c>
      <c r="D875">
        <f>SUMIFS(Дивиденды!$C:$C,Дивиденды!$A:$A,A875,Дивиденды!$I:$I,C875)</f>
        <v>0</v>
      </c>
      <c r="E875" t="str">
        <f>IFERROR(IF(VLOOKUP($B875,Показатели!$E:$W,2,FALSE)=0,"",VLOOKUP($B875,Показатели!$E:$W,2,FALSE)),"")</f>
        <v/>
      </c>
      <c r="F875" t="str">
        <f>IFERROR(IF(VLOOKUP($B875,Показатели!$E:$W,3,FALSE)=0,"",VLOOKUP($B875,Показатели!$E:$W,3,FALSE)),"")</f>
        <v/>
      </c>
      <c r="G875" t="str">
        <f>IFERROR(IF(VLOOKUP($B875,Показатели!$E:$W,4,FALSE)=0,"",VLOOKUP($B875,Показатели!$E:$W,4,FALSE)),"")</f>
        <v/>
      </c>
      <c r="H875" t="str">
        <f>IFERROR(IF(VLOOKUP($B875,Показатели!$E:$W,5,FALSE)=0,"",VLOOKUP($B875,Показатели!$E:$W,5,FALSE)),"")</f>
        <v/>
      </c>
      <c r="I875" t="str">
        <f>IFERROR(IF(VLOOKUP($B875,Показатели!$E:$W,6,FALSE)=0,"",VLOOKUP($B875,Показатели!$E:$W,6,FALSE)),"")</f>
        <v/>
      </c>
      <c r="J875" t="str">
        <f>IFERROR(IF(VLOOKUP($B875,Показатели!$E:$W,7,FALSE)=0,"",VLOOKUP($B875,Показатели!$E:$W,7,FALSE)),"")</f>
        <v/>
      </c>
      <c r="K875" t="str">
        <f>IFERROR(IF(VLOOKUP($B875,Показатели!$E:$W,8,FALSE)=0,"",VLOOKUP($B875,Показатели!$E:$W,8,FALSE)),"")</f>
        <v/>
      </c>
      <c r="L875" t="str">
        <f>IFERROR(IF(VLOOKUP($B875,Показатели!$E:$W,9,FALSE)=0,"",VLOOKUP($B875,Показатели!$E:$W,9,FALSE)),"")</f>
        <v/>
      </c>
      <c r="M875" t="str">
        <f>IFERROR(IF(VLOOKUP($B875,Показатели!$E:$W,10,FALSE)=0,"",VLOOKUP($B875,Показатели!$E:$W,10,FALSE)),"")</f>
        <v/>
      </c>
      <c r="N875" t="str">
        <f>IFERROR(IF(VLOOKUP($B875,Показатели!$E:$W,11,FALSE)=0,"",VLOOKUP($B875,Показатели!$E:$W,11,FALSE)),"")</f>
        <v/>
      </c>
      <c r="O875" t="str">
        <f>IFERROR(IF(VLOOKUP($B875,Показатели!$E:$W,12,FALSE)=0,"",VLOOKUP($B875,Показатели!$E:$W,12,FALSE)),"")</f>
        <v/>
      </c>
      <c r="P875" t="str">
        <f>IFERROR(IF(VLOOKUP($B875,Показатели!$E:$W,13,FALSE)=0,"",VLOOKUP($B875,Показатели!$E:$W,13,FALSE)),"")</f>
        <v/>
      </c>
      <c r="Q875" t="str">
        <f>IFERROR(IF(VLOOKUP($B875,Показатели!$E:$W,14,FALSE)=0,"",VLOOKUP($B875,Показатели!$E:$W,14,FALSE)),"")</f>
        <v/>
      </c>
      <c r="R875" t="str">
        <f>IFERROR(IF(VLOOKUP($B875,Показатели!$E:$W,15,FALSE)=0,"",VLOOKUP($B875,Показатели!$E:$W,15,FALSE)),"")</f>
        <v/>
      </c>
      <c r="S875" t="str">
        <f>IFERROR(IF(VLOOKUP($B875,Показатели!$E:$W,16,FALSE)=0,"",VLOOKUP($B875,Показатели!$E:$W,16,FALSE)),"")</f>
        <v/>
      </c>
      <c r="T875" t="str">
        <f>IFERROR(IF(VLOOKUP($B875,Показатели!$E:$W,17,FALSE)=0,"",VLOOKUP($B875,Показатели!$E:$W,17,FALSE)),"")</f>
        <v/>
      </c>
      <c r="U875" t="str">
        <f>IFERROR(IF(VLOOKUP($B875,Показатели!$E:$W,18,FALSE)=0,"",VLOOKUP($B875,Показатели!$E:$W,18,FALSE)),"")</f>
        <v/>
      </c>
      <c r="V875" t="str">
        <f>IFERROR(IF(VLOOKUP($B875,Показатели!$E:$W,19,FALSE)=0,"",VLOOKUP($B875,Показатели!$E:$W,19,FALSE)),"")</f>
        <v/>
      </c>
    </row>
    <row r="876" spans="1:22" x14ac:dyDescent="0.2">
      <c r="A876" s="7" t="s">
        <v>2322</v>
      </c>
      <c r="B876" t="str">
        <f t="shared" si="13"/>
        <v>VKCO IV кв. 2015</v>
      </c>
      <c r="C876">
        <v>2015</v>
      </c>
      <c r="D876">
        <f>SUMIFS(Дивиденды!$C:$C,Дивиденды!$A:$A,A876,Дивиденды!$I:$I,C876)</f>
        <v>0</v>
      </c>
      <c r="E876" t="str">
        <f>IFERROR(IF(VLOOKUP($B876,Показатели!$E:$W,2,FALSE)=0,"",VLOOKUP($B876,Показатели!$E:$W,2,FALSE)),"")</f>
        <v/>
      </c>
      <c r="F876" t="str">
        <f>IFERROR(IF(VLOOKUP($B876,Показатели!$E:$W,3,FALSE)=0,"",VLOOKUP($B876,Показатели!$E:$W,3,FALSE)),"")</f>
        <v/>
      </c>
      <c r="G876" t="str">
        <f>IFERROR(IF(VLOOKUP($B876,Показатели!$E:$W,4,FALSE)=0,"",VLOOKUP($B876,Показатели!$E:$W,4,FALSE)),"")</f>
        <v/>
      </c>
      <c r="H876" t="str">
        <f>IFERROR(IF(VLOOKUP($B876,Показатели!$E:$W,5,FALSE)=0,"",VLOOKUP($B876,Показатели!$E:$W,5,FALSE)),"")</f>
        <v/>
      </c>
      <c r="I876" t="str">
        <f>IFERROR(IF(VLOOKUP($B876,Показатели!$E:$W,6,FALSE)=0,"",VLOOKUP($B876,Показатели!$E:$W,6,FALSE)),"")</f>
        <v/>
      </c>
      <c r="J876" t="str">
        <f>IFERROR(IF(VLOOKUP($B876,Показатели!$E:$W,7,FALSE)=0,"",VLOOKUP($B876,Показатели!$E:$W,7,FALSE)),"")</f>
        <v/>
      </c>
      <c r="K876" t="str">
        <f>IFERROR(IF(VLOOKUP($B876,Показатели!$E:$W,8,FALSE)=0,"",VLOOKUP($B876,Показатели!$E:$W,8,FALSE)),"")</f>
        <v/>
      </c>
      <c r="L876" t="str">
        <f>IFERROR(IF(VLOOKUP($B876,Показатели!$E:$W,9,FALSE)=0,"",VLOOKUP($B876,Показатели!$E:$W,9,FALSE)),"")</f>
        <v/>
      </c>
      <c r="M876" t="str">
        <f>IFERROR(IF(VLOOKUP($B876,Показатели!$E:$W,10,FALSE)=0,"",VLOOKUP($B876,Показатели!$E:$W,10,FALSE)),"")</f>
        <v/>
      </c>
      <c r="N876" t="str">
        <f>IFERROR(IF(VLOOKUP($B876,Показатели!$E:$W,11,FALSE)=0,"",VLOOKUP($B876,Показатели!$E:$W,11,FALSE)),"")</f>
        <v/>
      </c>
      <c r="O876" t="str">
        <f>IFERROR(IF(VLOOKUP($B876,Показатели!$E:$W,12,FALSE)=0,"",VLOOKUP($B876,Показатели!$E:$W,12,FALSE)),"")</f>
        <v/>
      </c>
      <c r="P876" t="str">
        <f>IFERROR(IF(VLOOKUP($B876,Показатели!$E:$W,13,FALSE)=0,"",VLOOKUP($B876,Показатели!$E:$W,13,FALSE)),"")</f>
        <v/>
      </c>
      <c r="Q876" t="str">
        <f>IFERROR(IF(VLOOKUP($B876,Показатели!$E:$W,14,FALSE)=0,"",VLOOKUP($B876,Показатели!$E:$W,14,FALSE)),"")</f>
        <v/>
      </c>
      <c r="R876" t="str">
        <f>IFERROR(IF(VLOOKUP($B876,Показатели!$E:$W,15,FALSE)=0,"",VLOOKUP($B876,Показатели!$E:$W,15,FALSE)),"")</f>
        <v/>
      </c>
      <c r="S876" t="str">
        <f>IFERROR(IF(VLOOKUP($B876,Показатели!$E:$W,16,FALSE)=0,"",VLOOKUP($B876,Показатели!$E:$W,16,FALSE)),"")</f>
        <v/>
      </c>
      <c r="T876" t="str">
        <f>IFERROR(IF(VLOOKUP($B876,Показатели!$E:$W,17,FALSE)=0,"",VLOOKUP($B876,Показатели!$E:$W,17,FALSE)),"")</f>
        <v/>
      </c>
      <c r="U876" t="str">
        <f>IFERROR(IF(VLOOKUP($B876,Показатели!$E:$W,18,FALSE)=0,"",VLOOKUP($B876,Показатели!$E:$W,18,FALSE)),"")</f>
        <v/>
      </c>
      <c r="V876" t="str">
        <f>IFERROR(IF(VLOOKUP($B876,Показатели!$E:$W,19,FALSE)=0,"",VLOOKUP($B876,Показатели!$E:$W,19,FALSE)),"")</f>
        <v/>
      </c>
    </row>
    <row r="877" spans="1:22" x14ac:dyDescent="0.2">
      <c r="A877" s="7" t="s">
        <v>2322</v>
      </c>
      <c r="B877" t="str">
        <f t="shared" si="13"/>
        <v>VKCO IV кв. 2014</v>
      </c>
      <c r="C877">
        <v>2014</v>
      </c>
      <c r="D877">
        <f>SUMIFS(Дивиденды!$C:$C,Дивиденды!$A:$A,A877,Дивиденды!$I:$I,C877)</f>
        <v>0</v>
      </c>
      <c r="E877" t="str">
        <f>IFERROR(IF(VLOOKUP($B877,Показатели!$E:$W,2,FALSE)=0,"",VLOOKUP($B877,Показатели!$E:$W,2,FALSE)),"")</f>
        <v/>
      </c>
      <c r="F877" t="str">
        <f>IFERROR(IF(VLOOKUP($B877,Показатели!$E:$W,3,FALSE)=0,"",VLOOKUP($B877,Показатели!$E:$W,3,FALSE)),"")</f>
        <v/>
      </c>
      <c r="G877" t="str">
        <f>IFERROR(IF(VLOOKUP($B877,Показатели!$E:$W,4,FALSE)=0,"",VLOOKUP($B877,Показатели!$E:$W,4,FALSE)),"")</f>
        <v/>
      </c>
      <c r="H877" t="str">
        <f>IFERROR(IF(VLOOKUP($B877,Показатели!$E:$W,5,FALSE)=0,"",VLOOKUP($B877,Показатели!$E:$W,5,FALSE)),"")</f>
        <v/>
      </c>
      <c r="I877" t="str">
        <f>IFERROR(IF(VLOOKUP($B877,Показатели!$E:$W,6,FALSE)=0,"",VLOOKUP($B877,Показатели!$E:$W,6,FALSE)),"")</f>
        <v/>
      </c>
      <c r="J877" t="str">
        <f>IFERROR(IF(VLOOKUP($B877,Показатели!$E:$W,7,FALSE)=0,"",VLOOKUP($B877,Показатели!$E:$W,7,FALSE)),"")</f>
        <v/>
      </c>
      <c r="K877" t="str">
        <f>IFERROR(IF(VLOOKUP($B877,Показатели!$E:$W,8,FALSE)=0,"",VLOOKUP($B877,Показатели!$E:$W,8,FALSE)),"")</f>
        <v/>
      </c>
      <c r="L877" t="str">
        <f>IFERROR(IF(VLOOKUP($B877,Показатели!$E:$W,9,FALSE)=0,"",VLOOKUP($B877,Показатели!$E:$W,9,FALSE)),"")</f>
        <v/>
      </c>
      <c r="M877" t="str">
        <f>IFERROR(IF(VLOOKUP($B877,Показатели!$E:$W,10,FALSE)=0,"",VLOOKUP($B877,Показатели!$E:$W,10,FALSE)),"")</f>
        <v/>
      </c>
      <c r="N877" t="str">
        <f>IFERROR(IF(VLOOKUP($B877,Показатели!$E:$W,11,FALSE)=0,"",VLOOKUP($B877,Показатели!$E:$W,11,FALSE)),"")</f>
        <v/>
      </c>
      <c r="O877" t="str">
        <f>IFERROR(IF(VLOOKUP($B877,Показатели!$E:$W,12,FALSE)=0,"",VLOOKUP($B877,Показатели!$E:$W,12,FALSE)),"")</f>
        <v/>
      </c>
      <c r="P877" t="str">
        <f>IFERROR(IF(VLOOKUP($B877,Показатели!$E:$W,13,FALSE)=0,"",VLOOKUP($B877,Показатели!$E:$W,13,FALSE)),"")</f>
        <v/>
      </c>
      <c r="Q877" t="str">
        <f>IFERROR(IF(VLOOKUP($B877,Показатели!$E:$W,14,FALSE)=0,"",VLOOKUP($B877,Показатели!$E:$W,14,FALSE)),"")</f>
        <v/>
      </c>
      <c r="R877" t="str">
        <f>IFERROR(IF(VLOOKUP($B877,Показатели!$E:$W,15,FALSE)=0,"",VLOOKUP($B877,Показатели!$E:$W,15,FALSE)),"")</f>
        <v/>
      </c>
      <c r="S877" t="str">
        <f>IFERROR(IF(VLOOKUP($B877,Показатели!$E:$W,16,FALSE)=0,"",VLOOKUP($B877,Показатели!$E:$W,16,FALSE)),"")</f>
        <v/>
      </c>
      <c r="T877" t="str">
        <f>IFERROR(IF(VLOOKUP($B877,Показатели!$E:$W,17,FALSE)=0,"",VLOOKUP($B877,Показатели!$E:$W,17,FALSE)),"")</f>
        <v/>
      </c>
      <c r="U877" t="str">
        <f>IFERROR(IF(VLOOKUP($B877,Показатели!$E:$W,18,FALSE)=0,"",VLOOKUP($B877,Показатели!$E:$W,18,FALSE)),"")</f>
        <v/>
      </c>
      <c r="V877" t="str">
        <f>IFERROR(IF(VLOOKUP($B877,Показатели!$E:$W,19,FALSE)=0,"",VLOOKUP($B877,Показатели!$E:$W,19,FALSE)),"")</f>
        <v/>
      </c>
    </row>
    <row r="878" spans="1:22" x14ac:dyDescent="0.2">
      <c r="A878" s="7" t="s">
        <v>2322</v>
      </c>
      <c r="B878" t="str">
        <f t="shared" si="13"/>
        <v>VKCO IV кв. 2013</v>
      </c>
      <c r="C878">
        <v>2013</v>
      </c>
      <c r="D878">
        <f>SUMIFS(Дивиденды!$C:$C,Дивиденды!$A:$A,A878,Дивиденды!$I:$I,C878)</f>
        <v>0</v>
      </c>
      <c r="E878" t="str">
        <f>IFERROR(IF(VLOOKUP($B878,Показатели!$E:$W,2,FALSE)=0,"",VLOOKUP($B878,Показатели!$E:$W,2,FALSE)),"")</f>
        <v/>
      </c>
      <c r="F878" t="str">
        <f>IFERROR(IF(VLOOKUP($B878,Показатели!$E:$W,3,FALSE)=0,"",VLOOKUP($B878,Показатели!$E:$W,3,FALSE)),"")</f>
        <v/>
      </c>
      <c r="G878" t="str">
        <f>IFERROR(IF(VLOOKUP($B878,Показатели!$E:$W,4,FALSE)=0,"",VLOOKUP($B878,Показатели!$E:$W,4,FALSE)),"")</f>
        <v/>
      </c>
      <c r="H878" t="str">
        <f>IFERROR(IF(VLOOKUP($B878,Показатели!$E:$W,5,FALSE)=0,"",VLOOKUP($B878,Показатели!$E:$W,5,FALSE)),"")</f>
        <v/>
      </c>
      <c r="I878" t="str">
        <f>IFERROR(IF(VLOOKUP($B878,Показатели!$E:$W,6,FALSE)=0,"",VLOOKUP($B878,Показатели!$E:$W,6,FALSE)),"")</f>
        <v/>
      </c>
      <c r="J878" t="str">
        <f>IFERROR(IF(VLOOKUP($B878,Показатели!$E:$W,7,FALSE)=0,"",VLOOKUP($B878,Показатели!$E:$W,7,FALSE)),"")</f>
        <v/>
      </c>
      <c r="K878" t="str">
        <f>IFERROR(IF(VLOOKUP($B878,Показатели!$E:$W,8,FALSE)=0,"",VLOOKUP($B878,Показатели!$E:$W,8,FALSE)),"")</f>
        <v/>
      </c>
      <c r="L878" t="str">
        <f>IFERROR(IF(VLOOKUP($B878,Показатели!$E:$W,9,FALSE)=0,"",VLOOKUP($B878,Показатели!$E:$W,9,FALSE)),"")</f>
        <v/>
      </c>
      <c r="M878" t="str">
        <f>IFERROR(IF(VLOOKUP($B878,Показатели!$E:$W,10,FALSE)=0,"",VLOOKUP($B878,Показатели!$E:$W,10,FALSE)),"")</f>
        <v/>
      </c>
      <c r="N878" t="str">
        <f>IFERROR(IF(VLOOKUP($B878,Показатели!$E:$W,11,FALSE)=0,"",VLOOKUP($B878,Показатели!$E:$W,11,FALSE)),"")</f>
        <v/>
      </c>
      <c r="O878" t="str">
        <f>IFERROR(IF(VLOOKUP($B878,Показатели!$E:$W,12,FALSE)=0,"",VLOOKUP($B878,Показатели!$E:$W,12,FALSE)),"")</f>
        <v/>
      </c>
      <c r="P878" t="str">
        <f>IFERROR(IF(VLOOKUP($B878,Показатели!$E:$W,13,FALSE)=0,"",VLOOKUP($B878,Показатели!$E:$W,13,FALSE)),"")</f>
        <v/>
      </c>
      <c r="Q878" t="str">
        <f>IFERROR(IF(VLOOKUP($B878,Показатели!$E:$W,14,FALSE)=0,"",VLOOKUP($B878,Показатели!$E:$W,14,FALSE)),"")</f>
        <v/>
      </c>
      <c r="R878" t="str">
        <f>IFERROR(IF(VLOOKUP($B878,Показатели!$E:$W,15,FALSE)=0,"",VLOOKUP($B878,Показатели!$E:$W,15,FALSE)),"")</f>
        <v/>
      </c>
      <c r="S878" t="str">
        <f>IFERROR(IF(VLOOKUP($B878,Показатели!$E:$W,16,FALSE)=0,"",VLOOKUP($B878,Показатели!$E:$W,16,FALSE)),"")</f>
        <v/>
      </c>
      <c r="T878" t="str">
        <f>IFERROR(IF(VLOOKUP($B878,Показатели!$E:$W,17,FALSE)=0,"",VLOOKUP($B878,Показатели!$E:$W,17,FALSE)),"")</f>
        <v/>
      </c>
      <c r="U878" t="str">
        <f>IFERROR(IF(VLOOKUP($B878,Показатели!$E:$W,18,FALSE)=0,"",VLOOKUP($B878,Показатели!$E:$W,18,FALSE)),"")</f>
        <v/>
      </c>
      <c r="V878" t="str">
        <f>IFERROR(IF(VLOOKUP($B878,Показатели!$E:$W,19,FALSE)=0,"",VLOOKUP($B878,Показатели!$E:$W,19,FALSE)),"")</f>
        <v/>
      </c>
    </row>
    <row r="879" spans="1:22" x14ac:dyDescent="0.2">
      <c r="A879" s="7" t="s">
        <v>2322</v>
      </c>
      <c r="B879" t="str">
        <f t="shared" si="13"/>
        <v>VKCO IV кв. 2012</v>
      </c>
      <c r="C879">
        <v>2012</v>
      </c>
      <c r="D879">
        <f>SUMIFS(Дивиденды!$C:$C,Дивиденды!$A:$A,A879,Дивиденды!$I:$I,C879)</f>
        <v>0</v>
      </c>
      <c r="E879" t="str">
        <f>IFERROR(IF(VLOOKUP($B879,Показатели!$E:$W,2,FALSE)=0,"",VLOOKUP($B879,Показатели!$E:$W,2,FALSE)),"")</f>
        <v/>
      </c>
      <c r="F879" t="str">
        <f>IFERROR(IF(VLOOKUP($B879,Показатели!$E:$W,3,FALSE)=0,"",VLOOKUP($B879,Показатели!$E:$W,3,FALSE)),"")</f>
        <v/>
      </c>
      <c r="G879" t="str">
        <f>IFERROR(IF(VLOOKUP($B879,Показатели!$E:$W,4,FALSE)=0,"",VLOOKUP($B879,Показатели!$E:$W,4,FALSE)),"")</f>
        <v/>
      </c>
      <c r="H879" t="str">
        <f>IFERROR(IF(VLOOKUP($B879,Показатели!$E:$W,5,FALSE)=0,"",VLOOKUP($B879,Показатели!$E:$W,5,FALSE)),"")</f>
        <v/>
      </c>
      <c r="I879" t="str">
        <f>IFERROR(IF(VLOOKUP($B879,Показатели!$E:$W,6,FALSE)=0,"",VLOOKUP($B879,Показатели!$E:$W,6,FALSE)),"")</f>
        <v/>
      </c>
      <c r="J879" t="str">
        <f>IFERROR(IF(VLOOKUP($B879,Показатели!$E:$W,7,FALSE)=0,"",VLOOKUP($B879,Показатели!$E:$W,7,FALSE)),"")</f>
        <v/>
      </c>
      <c r="K879" t="str">
        <f>IFERROR(IF(VLOOKUP($B879,Показатели!$E:$W,8,FALSE)=0,"",VLOOKUP($B879,Показатели!$E:$W,8,FALSE)),"")</f>
        <v/>
      </c>
      <c r="L879" t="str">
        <f>IFERROR(IF(VLOOKUP($B879,Показатели!$E:$W,9,FALSE)=0,"",VLOOKUP($B879,Показатели!$E:$W,9,FALSE)),"")</f>
        <v/>
      </c>
      <c r="M879" t="str">
        <f>IFERROR(IF(VLOOKUP($B879,Показатели!$E:$W,10,FALSE)=0,"",VLOOKUP($B879,Показатели!$E:$W,10,FALSE)),"")</f>
        <v/>
      </c>
      <c r="N879" t="str">
        <f>IFERROR(IF(VLOOKUP($B879,Показатели!$E:$W,11,FALSE)=0,"",VLOOKUP($B879,Показатели!$E:$W,11,FALSE)),"")</f>
        <v/>
      </c>
      <c r="O879" t="str">
        <f>IFERROR(IF(VLOOKUP($B879,Показатели!$E:$W,12,FALSE)=0,"",VLOOKUP($B879,Показатели!$E:$W,12,FALSE)),"")</f>
        <v/>
      </c>
      <c r="P879" t="str">
        <f>IFERROR(IF(VLOOKUP($B879,Показатели!$E:$W,13,FALSE)=0,"",VLOOKUP($B879,Показатели!$E:$W,13,FALSE)),"")</f>
        <v/>
      </c>
      <c r="Q879" t="str">
        <f>IFERROR(IF(VLOOKUP($B879,Показатели!$E:$W,14,FALSE)=0,"",VLOOKUP($B879,Показатели!$E:$W,14,FALSE)),"")</f>
        <v/>
      </c>
      <c r="R879" t="str">
        <f>IFERROR(IF(VLOOKUP($B879,Показатели!$E:$W,15,FALSE)=0,"",VLOOKUP($B879,Показатели!$E:$W,15,FALSE)),"")</f>
        <v/>
      </c>
      <c r="S879" t="str">
        <f>IFERROR(IF(VLOOKUP($B879,Показатели!$E:$W,16,FALSE)=0,"",VLOOKUP($B879,Показатели!$E:$W,16,FALSE)),"")</f>
        <v/>
      </c>
      <c r="T879" t="str">
        <f>IFERROR(IF(VLOOKUP($B879,Показатели!$E:$W,17,FALSE)=0,"",VLOOKUP($B879,Показатели!$E:$W,17,FALSE)),"")</f>
        <v/>
      </c>
      <c r="U879" t="str">
        <f>IFERROR(IF(VLOOKUP($B879,Показатели!$E:$W,18,FALSE)=0,"",VLOOKUP($B879,Показатели!$E:$W,18,FALSE)),"")</f>
        <v/>
      </c>
      <c r="V879" t="str">
        <f>IFERROR(IF(VLOOKUP($B879,Показатели!$E:$W,19,FALSE)=0,"",VLOOKUP($B879,Показатели!$E:$W,19,FALSE)),"")</f>
        <v/>
      </c>
    </row>
    <row r="880" spans="1:22" x14ac:dyDescent="0.2">
      <c r="A880" s="7" t="s">
        <v>2322</v>
      </c>
      <c r="B880" t="str">
        <f t="shared" si="13"/>
        <v>VKCO IV кв. 2011</v>
      </c>
      <c r="C880">
        <v>2011</v>
      </c>
      <c r="D880">
        <f>SUMIFS(Дивиденды!$C:$C,Дивиденды!$A:$A,A880,Дивиденды!$I:$I,C880)</f>
        <v>0</v>
      </c>
      <c r="E880" t="str">
        <f>IFERROR(IF(VLOOKUP($B880,Показатели!$E:$W,2,FALSE)=0,"",VLOOKUP($B880,Показатели!$E:$W,2,FALSE)),"")</f>
        <v/>
      </c>
      <c r="F880" t="str">
        <f>IFERROR(IF(VLOOKUP($B880,Показатели!$E:$W,3,FALSE)=0,"",VLOOKUP($B880,Показатели!$E:$W,3,FALSE)),"")</f>
        <v/>
      </c>
      <c r="G880" t="str">
        <f>IFERROR(IF(VLOOKUP($B880,Показатели!$E:$W,4,FALSE)=0,"",VLOOKUP($B880,Показатели!$E:$W,4,FALSE)),"")</f>
        <v/>
      </c>
      <c r="H880" t="str">
        <f>IFERROR(IF(VLOOKUP($B880,Показатели!$E:$W,5,FALSE)=0,"",VLOOKUP($B880,Показатели!$E:$W,5,FALSE)),"")</f>
        <v/>
      </c>
      <c r="I880" t="str">
        <f>IFERROR(IF(VLOOKUP($B880,Показатели!$E:$W,6,FALSE)=0,"",VLOOKUP($B880,Показатели!$E:$W,6,FALSE)),"")</f>
        <v/>
      </c>
      <c r="J880" t="str">
        <f>IFERROR(IF(VLOOKUP($B880,Показатели!$E:$W,7,FALSE)=0,"",VLOOKUP($B880,Показатели!$E:$W,7,FALSE)),"")</f>
        <v/>
      </c>
      <c r="K880" t="str">
        <f>IFERROR(IF(VLOOKUP($B880,Показатели!$E:$W,8,FALSE)=0,"",VLOOKUP($B880,Показатели!$E:$W,8,FALSE)),"")</f>
        <v/>
      </c>
      <c r="L880" t="str">
        <f>IFERROR(IF(VLOOKUP($B880,Показатели!$E:$W,9,FALSE)=0,"",VLOOKUP($B880,Показатели!$E:$W,9,FALSE)),"")</f>
        <v/>
      </c>
      <c r="M880" t="str">
        <f>IFERROR(IF(VLOOKUP($B880,Показатели!$E:$W,10,FALSE)=0,"",VLOOKUP($B880,Показатели!$E:$W,10,FALSE)),"")</f>
        <v/>
      </c>
      <c r="N880" t="str">
        <f>IFERROR(IF(VLOOKUP($B880,Показатели!$E:$W,11,FALSE)=0,"",VLOOKUP($B880,Показатели!$E:$W,11,FALSE)),"")</f>
        <v/>
      </c>
      <c r="O880" t="str">
        <f>IFERROR(IF(VLOOKUP($B880,Показатели!$E:$W,12,FALSE)=0,"",VLOOKUP($B880,Показатели!$E:$W,12,FALSE)),"")</f>
        <v/>
      </c>
      <c r="P880" t="str">
        <f>IFERROR(IF(VLOOKUP($B880,Показатели!$E:$W,13,FALSE)=0,"",VLOOKUP($B880,Показатели!$E:$W,13,FALSE)),"")</f>
        <v/>
      </c>
      <c r="Q880" t="str">
        <f>IFERROR(IF(VLOOKUP($B880,Показатели!$E:$W,14,FALSE)=0,"",VLOOKUP($B880,Показатели!$E:$W,14,FALSE)),"")</f>
        <v/>
      </c>
      <c r="R880" t="str">
        <f>IFERROR(IF(VLOOKUP($B880,Показатели!$E:$W,15,FALSE)=0,"",VLOOKUP($B880,Показатели!$E:$W,15,FALSE)),"")</f>
        <v/>
      </c>
      <c r="S880" t="str">
        <f>IFERROR(IF(VLOOKUP($B880,Показатели!$E:$W,16,FALSE)=0,"",VLOOKUP($B880,Показатели!$E:$W,16,FALSE)),"")</f>
        <v/>
      </c>
      <c r="T880" t="str">
        <f>IFERROR(IF(VLOOKUP($B880,Показатели!$E:$W,17,FALSE)=0,"",VLOOKUP($B880,Показатели!$E:$W,17,FALSE)),"")</f>
        <v/>
      </c>
      <c r="U880" t="str">
        <f>IFERROR(IF(VLOOKUP($B880,Показатели!$E:$W,18,FALSE)=0,"",VLOOKUP($B880,Показатели!$E:$W,18,FALSE)),"")</f>
        <v/>
      </c>
      <c r="V880" t="str">
        <f>IFERROR(IF(VLOOKUP($B880,Показатели!$E:$W,19,FALSE)=0,"",VLOOKUP($B880,Показатели!$E:$W,19,FALSE)),"")</f>
        <v/>
      </c>
    </row>
    <row r="881" spans="1:22" x14ac:dyDescent="0.2">
      <c r="A881" s="7" t="s">
        <v>2322</v>
      </c>
      <c r="B881" t="str">
        <f t="shared" si="13"/>
        <v>VKCO IV кв. 2010</v>
      </c>
      <c r="C881">
        <v>2010</v>
      </c>
      <c r="D881">
        <f>SUMIFS(Дивиденды!$C:$C,Дивиденды!$A:$A,A881,Дивиденды!$I:$I,C881)</f>
        <v>0</v>
      </c>
      <c r="E881" t="str">
        <f>IFERROR(IF(VLOOKUP($B881,Показатели!$E:$W,2,FALSE)=0,"",VLOOKUP($B881,Показатели!$E:$W,2,FALSE)),"")</f>
        <v/>
      </c>
      <c r="F881" t="str">
        <f>IFERROR(IF(VLOOKUP($B881,Показатели!$E:$W,3,FALSE)=0,"",VLOOKUP($B881,Показатели!$E:$W,3,FALSE)),"")</f>
        <v/>
      </c>
      <c r="G881" t="str">
        <f>IFERROR(IF(VLOOKUP($B881,Показатели!$E:$W,4,FALSE)=0,"",VLOOKUP($B881,Показатели!$E:$W,4,FALSE)),"")</f>
        <v/>
      </c>
      <c r="H881" t="str">
        <f>IFERROR(IF(VLOOKUP($B881,Показатели!$E:$W,5,FALSE)=0,"",VLOOKUP($B881,Показатели!$E:$W,5,FALSE)),"")</f>
        <v/>
      </c>
      <c r="I881" t="str">
        <f>IFERROR(IF(VLOOKUP($B881,Показатели!$E:$W,6,FALSE)=0,"",VLOOKUP($B881,Показатели!$E:$W,6,FALSE)),"")</f>
        <v/>
      </c>
      <c r="J881" t="str">
        <f>IFERROR(IF(VLOOKUP($B881,Показатели!$E:$W,7,FALSE)=0,"",VLOOKUP($B881,Показатели!$E:$W,7,FALSE)),"")</f>
        <v/>
      </c>
      <c r="K881" t="str">
        <f>IFERROR(IF(VLOOKUP($B881,Показатели!$E:$W,8,FALSE)=0,"",VLOOKUP($B881,Показатели!$E:$W,8,FALSE)),"")</f>
        <v/>
      </c>
      <c r="L881" t="str">
        <f>IFERROR(IF(VLOOKUP($B881,Показатели!$E:$W,9,FALSE)=0,"",VLOOKUP($B881,Показатели!$E:$W,9,FALSE)),"")</f>
        <v/>
      </c>
      <c r="M881" t="str">
        <f>IFERROR(IF(VLOOKUP($B881,Показатели!$E:$W,10,FALSE)=0,"",VLOOKUP($B881,Показатели!$E:$W,10,FALSE)),"")</f>
        <v/>
      </c>
      <c r="N881" t="str">
        <f>IFERROR(IF(VLOOKUP($B881,Показатели!$E:$W,11,FALSE)=0,"",VLOOKUP($B881,Показатели!$E:$W,11,FALSE)),"")</f>
        <v/>
      </c>
      <c r="O881" t="str">
        <f>IFERROR(IF(VLOOKUP($B881,Показатели!$E:$W,12,FALSE)=0,"",VLOOKUP($B881,Показатели!$E:$W,12,FALSE)),"")</f>
        <v/>
      </c>
      <c r="P881" t="str">
        <f>IFERROR(IF(VLOOKUP($B881,Показатели!$E:$W,13,FALSE)=0,"",VLOOKUP($B881,Показатели!$E:$W,13,FALSE)),"")</f>
        <v/>
      </c>
      <c r="Q881" t="str">
        <f>IFERROR(IF(VLOOKUP($B881,Показатели!$E:$W,14,FALSE)=0,"",VLOOKUP($B881,Показатели!$E:$W,14,FALSE)),"")</f>
        <v/>
      </c>
      <c r="R881" t="str">
        <f>IFERROR(IF(VLOOKUP($B881,Показатели!$E:$W,15,FALSE)=0,"",VLOOKUP($B881,Показатели!$E:$W,15,FALSE)),"")</f>
        <v/>
      </c>
      <c r="S881" t="str">
        <f>IFERROR(IF(VLOOKUP($B881,Показатели!$E:$W,16,FALSE)=0,"",VLOOKUP($B881,Показатели!$E:$W,16,FALSE)),"")</f>
        <v/>
      </c>
      <c r="T881" t="str">
        <f>IFERROR(IF(VLOOKUP($B881,Показатели!$E:$W,17,FALSE)=0,"",VLOOKUP($B881,Показатели!$E:$W,17,FALSE)),"")</f>
        <v/>
      </c>
      <c r="U881" t="str">
        <f>IFERROR(IF(VLOOKUP($B881,Показатели!$E:$W,18,FALSE)=0,"",VLOOKUP($B881,Показатели!$E:$W,18,FALSE)),"")</f>
        <v/>
      </c>
      <c r="V881" t="str">
        <f>IFERROR(IF(VLOOKUP($B881,Показатели!$E:$W,19,FALSE)=0,"",VLOOKUP($B881,Показатели!$E:$W,19,FALSE)),"")</f>
        <v/>
      </c>
    </row>
    <row r="882" spans="1:22" x14ac:dyDescent="0.2">
      <c r="A882" s="7" t="s">
        <v>2287</v>
      </c>
      <c r="B882" t="str">
        <f t="shared" si="13"/>
        <v>YDEX IV кв. 2025</v>
      </c>
      <c r="C882">
        <v>2025</v>
      </c>
      <c r="D882">
        <f>SUMIFS(Дивиденды!$C:$C,Дивиденды!$A:$A,A882,Дивиденды!$I:$I,C882)</f>
        <v>80</v>
      </c>
      <c r="E882">
        <f>IFERROR(IF(VLOOKUP($B882,Показатели!$E:$W,2,FALSE)=0,"",VLOOKUP($B882,Показатели!$E:$W,2,FALSE)),"")</f>
        <v>250210000000</v>
      </c>
      <c r="F882">
        <f>IFERROR(IF(VLOOKUP($B882,Показатели!$E:$W,3,FALSE)=0,"",VLOOKUP($B882,Показатели!$E:$W,3,FALSE)),"")</f>
        <v>589196000000</v>
      </c>
      <c r="G882">
        <f>IFERROR(IF(VLOOKUP($B882,Показатели!$E:$W,4,FALSE)=0,"",VLOOKUP($B882,Показатели!$E:$W,4,FALSE)),"")</f>
        <v>331165000000</v>
      </c>
      <c r="H882">
        <f>IFERROR(IF(VLOOKUP($B882,Показатели!$E:$W,5,FALSE)=0,"",VLOOKUP($B882,Показатели!$E:$W,5,FALSE)),"")</f>
        <v>187146000000</v>
      </c>
      <c r="I882">
        <f>IFERROR(IF(VLOOKUP($B882,Показатели!$E:$W,6,FALSE)=0,"",VLOOKUP($B882,Показатели!$E:$W,6,FALSE)),"")</f>
        <v>1368342000000</v>
      </c>
      <c r="J882">
        <f>IFERROR(IF(VLOOKUP($B882,Показатели!$E:$W,7,FALSE)=0,"",VLOOKUP($B882,Показатели!$E:$W,7,FALSE)),"")</f>
        <v>722569000000</v>
      </c>
      <c r="K882">
        <f>IFERROR(IF(VLOOKUP($B882,Показатели!$E:$W,8,FALSE)=0,"",VLOOKUP($B882,Показатели!$E:$W,8,FALSE)),"")</f>
        <v>294557000000</v>
      </c>
      <c r="L882">
        <f>IFERROR(IF(VLOOKUP($B882,Показатели!$E:$W,9,FALSE)=0,"",VLOOKUP($B882,Показатели!$E:$W,9,FALSE)),"")</f>
        <v>258894000000</v>
      </c>
      <c r="M882">
        <f>IFERROR(IF(VLOOKUP($B882,Показатели!$E:$W,10,FALSE)=0,"",VLOOKUP($B882,Показатели!$E:$W,10,FALSE)),"")</f>
        <v>351216000000</v>
      </c>
      <c r="N882">
        <f>IFERROR(IF(VLOOKUP($B882,Показатели!$E:$W,11,FALSE)=0,"",VLOOKUP($B882,Показатели!$E:$W,11,FALSE)),"")</f>
        <v>1441098000000</v>
      </c>
      <c r="O882">
        <f>IFERROR(IF(VLOOKUP($B882,Показатели!$E:$W,12,FALSE)=0,"",VLOOKUP($B882,Показатели!$E:$W,12,FALSE)),"")</f>
        <v>173642000000</v>
      </c>
      <c r="P882">
        <f>IFERROR(IF(VLOOKUP($B882,Показатели!$E:$W,13,FALSE)=0,"",VLOOKUP($B882,Показатели!$E:$W,13,FALSE)),"")</f>
        <v>111092000000</v>
      </c>
      <c r="Q882">
        <f>IFERROR(IF(VLOOKUP($B882,Показатели!$E:$W,14,FALSE)=0,"",VLOOKUP($B882,Показатели!$E:$W,14,FALSE)),"")</f>
        <v>79579000000</v>
      </c>
      <c r="R882">
        <f>IFERROR(IF(VLOOKUP($B882,Показатели!$E:$W,15,FALSE)=0,"",VLOOKUP($B882,Показатели!$E:$W,15,FALSE)),"")</f>
        <v>98525000000</v>
      </c>
      <c r="S882">
        <f>IFERROR(IF(VLOOKUP($B882,Показатели!$E:$W,16,FALSE)=0,"",VLOOKUP($B882,Показатели!$E:$W,16,FALSE)),"")</f>
        <v>280834000000</v>
      </c>
      <c r="T882">
        <f>IFERROR(IF(VLOOKUP($B882,Показатели!$E:$W,17,FALSE)=0,"",VLOOKUP($B882,Показатели!$E:$W,17,FALSE)),"")</f>
        <v>-145868000000</v>
      </c>
      <c r="U882">
        <f>IFERROR(IF(VLOOKUP($B882,Показатели!$E:$W,18,FALSE)=0,"",VLOOKUP($B882,Показатели!$E:$W,18,FALSE)),"")</f>
        <v>1094560000000</v>
      </c>
      <c r="V882">
        <f>IFERROR(IF(VLOOKUP($B882,Показатели!$E:$W,19,FALSE)=0,"",VLOOKUP($B882,Показатели!$E:$W,19,FALSE)),"")</f>
        <v>1098688000000</v>
      </c>
    </row>
    <row r="883" spans="1:22" x14ac:dyDescent="0.2">
      <c r="A883" s="7" t="s">
        <v>2287</v>
      </c>
      <c r="B883" t="str">
        <f t="shared" si="13"/>
        <v>YDEX IV кв. 2024</v>
      </c>
      <c r="C883">
        <v>2024</v>
      </c>
      <c r="D883">
        <f>SUMIFS(Дивиденды!$C:$C,Дивиденды!$A:$A,A883,Дивиденды!$I:$I,C883)</f>
        <v>160</v>
      </c>
      <c r="E883">
        <f>IFERROR(IF(VLOOKUP($B883,Показатели!$E:$W,2,FALSE)=0,"",VLOOKUP($B883,Показатели!$E:$W,2,FALSE)),"")</f>
        <v>211563000000</v>
      </c>
      <c r="F883">
        <f>IFERROR(IF(VLOOKUP($B883,Показатели!$E:$W,3,FALSE)=0,"",VLOOKUP($B883,Показатели!$E:$W,3,FALSE)),"")</f>
        <v>506701000000</v>
      </c>
      <c r="G883">
        <f>IFERROR(IF(VLOOKUP($B883,Показатели!$E:$W,4,FALSE)=0,"",VLOOKUP($B883,Показатели!$E:$W,4,FALSE)),"")</f>
        <v>230107000000</v>
      </c>
      <c r="H883">
        <f>IFERROR(IF(VLOOKUP($B883,Показатели!$E:$W,5,FALSE)=0,"",VLOOKUP($B883,Показатели!$E:$W,5,FALSE)),"")</f>
        <v>182952000000</v>
      </c>
      <c r="I883">
        <f>IFERROR(IF(VLOOKUP($B883,Показатели!$E:$W,6,FALSE)=0,"",VLOOKUP($B883,Показатели!$E:$W,6,FALSE)),"")</f>
        <v>1098688000000</v>
      </c>
      <c r="J883">
        <f>IFERROR(IF(VLOOKUP($B883,Показатели!$E:$W,7,FALSE)=0,"",VLOOKUP($B883,Показатели!$E:$W,7,FALSE)),"")</f>
        <v>611573000000</v>
      </c>
      <c r="K883">
        <f>IFERROR(IF(VLOOKUP($B883,Показатели!$E:$W,8,FALSE)=0,"",VLOOKUP($B883,Показатели!$E:$W,8,FALSE)),"")</f>
        <v>193318000000</v>
      </c>
      <c r="L883">
        <f>IFERROR(IF(VLOOKUP($B883,Показатели!$E:$W,9,FALSE)=0,"",VLOOKUP($B883,Показатели!$E:$W,9,FALSE)),"")</f>
        <v>239658000000</v>
      </c>
      <c r="M883">
        <f>IFERROR(IF(VLOOKUP($B883,Показатели!$E:$W,10,FALSE)=0,"",VLOOKUP($B883,Показатели!$E:$W,10,FALSE)),"")</f>
        <v>293797000000</v>
      </c>
      <c r="N883">
        <f>IFERROR(IF(VLOOKUP($B883,Показатели!$E:$W,11,FALSE)=0,"",VLOOKUP($B883,Показатели!$E:$W,11,FALSE)),"")</f>
        <v>1094560000000</v>
      </c>
      <c r="O883">
        <f>IFERROR(IF(VLOOKUP($B883,Показатели!$E:$W,12,FALSE)=0,"",VLOOKUP($B883,Показатели!$E:$W,12,FALSE)),"")</f>
        <v>51546000000</v>
      </c>
      <c r="P883">
        <f>IFERROR(IF(VLOOKUP($B883,Показатели!$E:$W,13,FALSE)=0,"",VLOOKUP($B883,Показатели!$E:$W,13,FALSE)),"")</f>
        <v>25870000000</v>
      </c>
      <c r="Q883">
        <f>IFERROR(IF(VLOOKUP($B883,Показатели!$E:$W,14,FALSE)=0,"",VLOOKUP($B883,Показатели!$E:$W,14,FALSE)),"")</f>
        <v>11468000000</v>
      </c>
      <c r="R883">
        <f>IFERROR(IF(VLOOKUP($B883,Показатели!$E:$W,15,FALSE)=0,"",VLOOKUP($B883,Показатели!$E:$W,15,FALSE)),"")</f>
        <v>76888000000</v>
      </c>
      <c r="S883">
        <f>IFERROR(IF(VLOOKUP($B883,Показатели!$E:$W,16,FALSE)=0,"",VLOOKUP($B883,Показатели!$E:$W,16,FALSE)),"")</f>
        <v>188601000000</v>
      </c>
      <c r="T883">
        <f>IFERROR(IF(VLOOKUP($B883,Показатели!$E:$W,17,FALSE)=0,"",VLOOKUP($B883,Показатели!$E:$W,17,FALSE)),"")</f>
        <v>-124624000000</v>
      </c>
      <c r="U883" t="str">
        <f>IFERROR(IF(VLOOKUP($B883,Показатели!$E:$W,18,FALSE)=0,"",VLOOKUP($B883,Показатели!$E:$W,18,FALSE)),"")</f>
        <v/>
      </c>
      <c r="V883" t="str">
        <f>IFERROR(IF(VLOOKUP($B883,Показатели!$E:$W,19,FALSE)=0,"",VLOOKUP($B883,Показатели!$E:$W,19,FALSE)),"")</f>
        <v/>
      </c>
    </row>
    <row r="884" spans="1:22" x14ac:dyDescent="0.2">
      <c r="A884" s="7" t="s">
        <v>2287</v>
      </c>
      <c r="B884" t="str">
        <f t="shared" si="13"/>
        <v>YDEX IV кв. 2023</v>
      </c>
      <c r="C884">
        <v>2023</v>
      </c>
      <c r="D884">
        <f>SUMIFS(Дивиденды!$C:$C,Дивиденды!$A:$A,A884,Дивиденды!$I:$I,C884)</f>
        <v>0</v>
      </c>
      <c r="E884" t="str">
        <f>IFERROR(IF(VLOOKUP($B884,Показатели!$E:$W,2,FALSE)=0,"",VLOOKUP($B884,Показатели!$E:$W,2,FALSE)),"")</f>
        <v/>
      </c>
      <c r="F884" t="str">
        <f>IFERROR(IF(VLOOKUP($B884,Показатели!$E:$W,3,FALSE)=0,"",VLOOKUP($B884,Показатели!$E:$W,3,FALSE)),"")</f>
        <v/>
      </c>
      <c r="G884" t="str">
        <f>IFERROR(IF(VLOOKUP($B884,Показатели!$E:$W,4,FALSE)=0,"",VLOOKUP($B884,Показатели!$E:$W,4,FALSE)),"")</f>
        <v/>
      </c>
      <c r="H884" t="str">
        <f>IFERROR(IF(VLOOKUP($B884,Показатели!$E:$W,5,FALSE)=0,"",VLOOKUP($B884,Показатели!$E:$W,5,FALSE)),"")</f>
        <v/>
      </c>
      <c r="I884" t="str">
        <f>IFERROR(IF(VLOOKUP($B884,Показатели!$E:$W,6,FALSE)=0,"",VLOOKUP($B884,Показатели!$E:$W,6,FALSE)),"")</f>
        <v/>
      </c>
      <c r="J884" t="str">
        <f>IFERROR(IF(VLOOKUP($B884,Показатели!$E:$W,7,FALSE)=0,"",VLOOKUP($B884,Показатели!$E:$W,7,FALSE)),"")</f>
        <v/>
      </c>
      <c r="K884" t="str">
        <f>IFERROR(IF(VLOOKUP($B884,Показатели!$E:$W,8,FALSE)=0,"",VLOOKUP($B884,Показатели!$E:$W,8,FALSE)),"")</f>
        <v/>
      </c>
      <c r="L884" t="str">
        <f>IFERROR(IF(VLOOKUP($B884,Показатели!$E:$W,9,FALSE)=0,"",VLOOKUP($B884,Показатели!$E:$W,9,FALSE)),"")</f>
        <v/>
      </c>
      <c r="M884" t="str">
        <f>IFERROR(IF(VLOOKUP($B884,Показатели!$E:$W,10,FALSE)=0,"",VLOOKUP($B884,Показатели!$E:$W,10,FALSE)),"")</f>
        <v/>
      </c>
      <c r="N884" t="str">
        <f>IFERROR(IF(VLOOKUP($B884,Показатели!$E:$W,11,FALSE)=0,"",VLOOKUP($B884,Показатели!$E:$W,11,FALSE)),"")</f>
        <v/>
      </c>
      <c r="O884" t="str">
        <f>IFERROR(IF(VLOOKUP($B884,Показатели!$E:$W,12,FALSE)=0,"",VLOOKUP($B884,Показатели!$E:$W,12,FALSE)),"")</f>
        <v/>
      </c>
      <c r="P884" t="str">
        <f>IFERROR(IF(VLOOKUP($B884,Показатели!$E:$W,13,FALSE)=0,"",VLOOKUP($B884,Показатели!$E:$W,13,FALSE)),"")</f>
        <v/>
      </c>
      <c r="Q884" t="str">
        <f>IFERROR(IF(VLOOKUP($B884,Показатели!$E:$W,14,FALSE)=0,"",VLOOKUP($B884,Показатели!$E:$W,14,FALSE)),"")</f>
        <v/>
      </c>
      <c r="R884" t="str">
        <f>IFERROR(IF(VLOOKUP($B884,Показатели!$E:$W,15,FALSE)=0,"",VLOOKUP($B884,Показатели!$E:$W,15,FALSE)),"")</f>
        <v/>
      </c>
      <c r="S884" t="str">
        <f>IFERROR(IF(VLOOKUP($B884,Показатели!$E:$W,16,FALSE)=0,"",VLOOKUP($B884,Показатели!$E:$W,16,FALSE)),"")</f>
        <v/>
      </c>
      <c r="T884" t="str">
        <f>IFERROR(IF(VLOOKUP($B884,Показатели!$E:$W,17,FALSE)=0,"",VLOOKUP($B884,Показатели!$E:$W,17,FALSE)),"")</f>
        <v/>
      </c>
      <c r="U884" t="str">
        <f>IFERROR(IF(VLOOKUP($B884,Показатели!$E:$W,18,FALSE)=0,"",VLOOKUP($B884,Показатели!$E:$W,18,FALSE)),"")</f>
        <v/>
      </c>
      <c r="V884" t="str">
        <f>IFERROR(IF(VLOOKUP($B884,Показатели!$E:$W,19,FALSE)=0,"",VLOOKUP($B884,Показатели!$E:$W,19,FALSE)),"")</f>
        <v/>
      </c>
    </row>
    <row r="885" spans="1:22" x14ac:dyDescent="0.2">
      <c r="A885" s="7" t="s">
        <v>2287</v>
      </c>
      <c r="B885" t="str">
        <f t="shared" si="13"/>
        <v>YDEX IV кв. 2022</v>
      </c>
      <c r="C885">
        <v>2022</v>
      </c>
      <c r="D885">
        <f>SUMIFS(Дивиденды!$C:$C,Дивиденды!$A:$A,A885,Дивиденды!$I:$I,C885)</f>
        <v>0</v>
      </c>
      <c r="E885" t="str">
        <f>IFERROR(IF(VLOOKUP($B885,Показатели!$E:$W,2,FALSE)=0,"",VLOOKUP($B885,Показатели!$E:$W,2,FALSE)),"")</f>
        <v/>
      </c>
      <c r="F885" t="str">
        <f>IFERROR(IF(VLOOKUP($B885,Показатели!$E:$W,3,FALSE)=0,"",VLOOKUP($B885,Показатели!$E:$W,3,FALSE)),"")</f>
        <v/>
      </c>
      <c r="G885" t="str">
        <f>IFERROR(IF(VLOOKUP($B885,Показатели!$E:$W,4,FALSE)=0,"",VLOOKUP($B885,Показатели!$E:$W,4,FALSE)),"")</f>
        <v/>
      </c>
      <c r="H885" t="str">
        <f>IFERROR(IF(VLOOKUP($B885,Показатели!$E:$W,5,FALSE)=0,"",VLOOKUP($B885,Показатели!$E:$W,5,FALSE)),"")</f>
        <v/>
      </c>
      <c r="I885" t="str">
        <f>IFERROR(IF(VLOOKUP($B885,Показатели!$E:$W,6,FALSE)=0,"",VLOOKUP($B885,Показатели!$E:$W,6,FALSE)),"")</f>
        <v/>
      </c>
      <c r="J885" t="str">
        <f>IFERROR(IF(VLOOKUP($B885,Показатели!$E:$W,7,FALSE)=0,"",VLOOKUP($B885,Показатели!$E:$W,7,FALSE)),"")</f>
        <v/>
      </c>
      <c r="K885" t="str">
        <f>IFERROR(IF(VLOOKUP($B885,Показатели!$E:$W,8,FALSE)=0,"",VLOOKUP($B885,Показатели!$E:$W,8,FALSE)),"")</f>
        <v/>
      </c>
      <c r="L885" t="str">
        <f>IFERROR(IF(VLOOKUP($B885,Показатели!$E:$W,9,FALSE)=0,"",VLOOKUP($B885,Показатели!$E:$W,9,FALSE)),"")</f>
        <v/>
      </c>
      <c r="M885" t="str">
        <f>IFERROR(IF(VLOOKUP($B885,Показатели!$E:$W,10,FALSE)=0,"",VLOOKUP($B885,Показатели!$E:$W,10,FALSE)),"")</f>
        <v/>
      </c>
      <c r="N885" t="str">
        <f>IFERROR(IF(VLOOKUP($B885,Показатели!$E:$W,11,FALSE)=0,"",VLOOKUP($B885,Показатели!$E:$W,11,FALSE)),"")</f>
        <v/>
      </c>
      <c r="O885" t="str">
        <f>IFERROR(IF(VLOOKUP($B885,Показатели!$E:$W,12,FALSE)=0,"",VLOOKUP($B885,Показатели!$E:$W,12,FALSE)),"")</f>
        <v/>
      </c>
      <c r="P885" t="str">
        <f>IFERROR(IF(VLOOKUP($B885,Показатели!$E:$W,13,FALSE)=0,"",VLOOKUP($B885,Показатели!$E:$W,13,FALSE)),"")</f>
        <v/>
      </c>
      <c r="Q885" t="str">
        <f>IFERROR(IF(VLOOKUP($B885,Показатели!$E:$W,14,FALSE)=0,"",VLOOKUP($B885,Показатели!$E:$W,14,FALSE)),"")</f>
        <v/>
      </c>
      <c r="R885" t="str">
        <f>IFERROR(IF(VLOOKUP($B885,Показатели!$E:$W,15,FALSE)=0,"",VLOOKUP($B885,Показатели!$E:$W,15,FALSE)),"")</f>
        <v/>
      </c>
      <c r="S885" t="str">
        <f>IFERROR(IF(VLOOKUP($B885,Показатели!$E:$W,16,FALSE)=0,"",VLOOKUP($B885,Показатели!$E:$W,16,FALSE)),"")</f>
        <v/>
      </c>
      <c r="T885" t="str">
        <f>IFERROR(IF(VLOOKUP($B885,Показатели!$E:$W,17,FALSE)=0,"",VLOOKUP($B885,Показатели!$E:$W,17,FALSE)),"")</f>
        <v/>
      </c>
      <c r="U885" t="str">
        <f>IFERROR(IF(VLOOKUP($B885,Показатели!$E:$W,18,FALSE)=0,"",VLOOKUP($B885,Показатели!$E:$W,18,FALSE)),"")</f>
        <v/>
      </c>
      <c r="V885" t="str">
        <f>IFERROR(IF(VLOOKUP($B885,Показатели!$E:$W,19,FALSE)=0,"",VLOOKUP($B885,Показатели!$E:$W,19,FALSE)),"")</f>
        <v/>
      </c>
    </row>
    <row r="886" spans="1:22" x14ac:dyDescent="0.2">
      <c r="A886" s="7" t="s">
        <v>2287</v>
      </c>
      <c r="B886" t="str">
        <f t="shared" si="13"/>
        <v>YDEX IV кв. 2021</v>
      </c>
      <c r="C886">
        <v>2021</v>
      </c>
      <c r="D886">
        <f>SUMIFS(Дивиденды!$C:$C,Дивиденды!$A:$A,A886,Дивиденды!$I:$I,C886)</f>
        <v>0</v>
      </c>
      <c r="E886" t="str">
        <f>IFERROR(IF(VLOOKUP($B886,Показатели!$E:$W,2,FALSE)=0,"",VLOOKUP($B886,Показатели!$E:$W,2,FALSE)),"")</f>
        <v/>
      </c>
      <c r="F886" t="str">
        <f>IFERROR(IF(VLOOKUP($B886,Показатели!$E:$W,3,FALSE)=0,"",VLOOKUP($B886,Показатели!$E:$W,3,FALSE)),"")</f>
        <v/>
      </c>
      <c r="G886" t="str">
        <f>IFERROR(IF(VLOOKUP($B886,Показатели!$E:$W,4,FALSE)=0,"",VLOOKUP($B886,Показатели!$E:$W,4,FALSE)),"")</f>
        <v/>
      </c>
      <c r="H886" t="str">
        <f>IFERROR(IF(VLOOKUP($B886,Показатели!$E:$W,5,FALSE)=0,"",VLOOKUP($B886,Показатели!$E:$W,5,FALSE)),"")</f>
        <v/>
      </c>
      <c r="I886" t="str">
        <f>IFERROR(IF(VLOOKUP($B886,Показатели!$E:$W,6,FALSE)=0,"",VLOOKUP($B886,Показатели!$E:$W,6,FALSE)),"")</f>
        <v/>
      </c>
      <c r="J886" t="str">
        <f>IFERROR(IF(VLOOKUP($B886,Показатели!$E:$W,7,FALSE)=0,"",VLOOKUP($B886,Показатели!$E:$W,7,FALSE)),"")</f>
        <v/>
      </c>
      <c r="K886" t="str">
        <f>IFERROR(IF(VLOOKUP($B886,Показатели!$E:$W,8,FALSE)=0,"",VLOOKUP($B886,Показатели!$E:$W,8,FALSE)),"")</f>
        <v/>
      </c>
      <c r="L886" t="str">
        <f>IFERROR(IF(VLOOKUP($B886,Показатели!$E:$W,9,FALSE)=0,"",VLOOKUP($B886,Показатели!$E:$W,9,FALSE)),"")</f>
        <v/>
      </c>
      <c r="M886" t="str">
        <f>IFERROR(IF(VLOOKUP($B886,Показатели!$E:$W,10,FALSE)=0,"",VLOOKUP($B886,Показатели!$E:$W,10,FALSE)),"")</f>
        <v/>
      </c>
      <c r="N886" t="str">
        <f>IFERROR(IF(VLOOKUP($B886,Показатели!$E:$W,11,FALSE)=0,"",VLOOKUP($B886,Показатели!$E:$W,11,FALSE)),"")</f>
        <v/>
      </c>
      <c r="O886" t="str">
        <f>IFERROR(IF(VLOOKUP($B886,Показатели!$E:$W,12,FALSE)=0,"",VLOOKUP($B886,Показатели!$E:$W,12,FALSE)),"")</f>
        <v/>
      </c>
      <c r="P886" t="str">
        <f>IFERROR(IF(VLOOKUP($B886,Показатели!$E:$W,13,FALSE)=0,"",VLOOKUP($B886,Показатели!$E:$W,13,FALSE)),"")</f>
        <v/>
      </c>
      <c r="Q886" t="str">
        <f>IFERROR(IF(VLOOKUP($B886,Показатели!$E:$W,14,FALSE)=0,"",VLOOKUP($B886,Показатели!$E:$W,14,FALSE)),"")</f>
        <v/>
      </c>
      <c r="R886" t="str">
        <f>IFERROR(IF(VLOOKUP($B886,Показатели!$E:$W,15,FALSE)=0,"",VLOOKUP($B886,Показатели!$E:$W,15,FALSE)),"")</f>
        <v/>
      </c>
      <c r="S886" t="str">
        <f>IFERROR(IF(VLOOKUP($B886,Показатели!$E:$W,16,FALSE)=0,"",VLOOKUP($B886,Показатели!$E:$W,16,FALSE)),"")</f>
        <v/>
      </c>
      <c r="T886" t="str">
        <f>IFERROR(IF(VLOOKUP($B886,Показатели!$E:$W,17,FALSE)=0,"",VLOOKUP($B886,Показатели!$E:$W,17,FALSE)),"")</f>
        <v/>
      </c>
      <c r="U886" t="str">
        <f>IFERROR(IF(VLOOKUP($B886,Показатели!$E:$W,18,FALSE)=0,"",VLOOKUP($B886,Показатели!$E:$W,18,FALSE)),"")</f>
        <v/>
      </c>
      <c r="V886" t="str">
        <f>IFERROR(IF(VLOOKUP($B886,Показатели!$E:$W,19,FALSE)=0,"",VLOOKUP($B886,Показатели!$E:$W,19,FALSE)),"")</f>
        <v/>
      </c>
    </row>
    <row r="887" spans="1:22" x14ac:dyDescent="0.2">
      <c r="A887" s="7" t="s">
        <v>2287</v>
      </c>
      <c r="B887" t="str">
        <f t="shared" si="13"/>
        <v>YDEX IV кв. 2020</v>
      </c>
      <c r="C887">
        <v>2020</v>
      </c>
      <c r="D887">
        <f>SUMIFS(Дивиденды!$C:$C,Дивиденды!$A:$A,A887,Дивиденды!$I:$I,C887)</f>
        <v>0</v>
      </c>
      <c r="E887" t="str">
        <f>IFERROR(IF(VLOOKUP($B887,Показатели!$E:$W,2,FALSE)=0,"",VLOOKUP($B887,Показатели!$E:$W,2,FALSE)),"")</f>
        <v/>
      </c>
      <c r="F887" t="str">
        <f>IFERROR(IF(VLOOKUP($B887,Показатели!$E:$W,3,FALSE)=0,"",VLOOKUP($B887,Показатели!$E:$W,3,FALSE)),"")</f>
        <v/>
      </c>
      <c r="G887" t="str">
        <f>IFERROR(IF(VLOOKUP($B887,Показатели!$E:$W,4,FALSE)=0,"",VLOOKUP($B887,Показатели!$E:$W,4,FALSE)),"")</f>
        <v/>
      </c>
      <c r="H887" t="str">
        <f>IFERROR(IF(VLOOKUP($B887,Показатели!$E:$W,5,FALSE)=0,"",VLOOKUP($B887,Показатели!$E:$W,5,FALSE)),"")</f>
        <v/>
      </c>
      <c r="I887" t="str">
        <f>IFERROR(IF(VLOOKUP($B887,Показатели!$E:$W,6,FALSE)=0,"",VLOOKUP($B887,Показатели!$E:$W,6,FALSE)),"")</f>
        <v/>
      </c>
      <c r="J887" t="str">
        <f>IFERROR(IF(VLOOKUP($B887,Показатели!$E:$W,7,FALSE)=0,"",VLOOKUP($B887,Показатели!$E:$W,7,FALSE)),"")</f>
        <v/>
      </c>
      <c r="K887" t="str">
        <f>IFERROR(IF(VLOOKUP($B887,Показатели!$E:$W,8,FALSE)=0,"",VLOOKUP($B887,Показатели!$E:$W,8,FALSE)),"")</f>
        <v/>
      </c>
      <c r="L887" t="str">
        <f>IFERROR(IF(VLOOKUP($B887,Показатели!$E:$W,9,FALSE)=0,"",VLOOKUP($B887,Показатели!$E:$W,9,FALSE)),"")</f>
        <v/>
      </c>
      <c r="M887" t="str">
        <f>IFERROR(IF(VLOOKUP($B887,Показатели!$E:$W,10,FALSE)=0,"",VLOOKUP($B887,Показатели!$E:$W,10,FALSE)),"")</f>
        <v/>
      </c>
      <c r="N887" t="str">
        <f>IFERROR(IF(VLOOKUP($B887,Показатели!$E:$W,11,FALSE)=0,"",VLOOKUP($B887,Показатели!$E:$W,11,FALSE)),"")</f>
        <v/>
      </c>
      <c r="O887" t="str">
        <f>IFERROR(IF(VLOOKUP($B887,Показатели!$E:$W,12,FALSE)=0,"",VLOOKUP($B887,Показатели!$E:$W,12,FALSE)),"")</f>
        <v/>
      </c>
      <c r="P887" t="str">
        <f>IFERROR(IF(VLOOKUP($B887,Показатели!$E:$W,13,FALSE)=0,"",VLOOKUP($B887,Показатели!$E:$W,13,FALSE)),"")</f>
        <v/>
      </c>
      <c r="Q887" t="str">
        <f>IFERROR(IF(VLOOKUP($B887,Показатели!$E:$W,14,FALSE)=0,"",VLOOKUP($B887,Показатели!$E:$W,14,FALSE)),"")</f>
        <v/>
      </c>
      <c r="R887" t="str">
        <f>IFERROR(IF(VLOOKUP($B887,Показатели!$E:$W,15,FALSE)=0,"",VLOOKUP($B887,Показатели!$E:$W,15,FALSE)),"")</f>
        <v/>
      </c>
      <c r="S887" t="str">
        <f>IFERROR(IF(VLOOKUP($B887,Показатели!$E:$W,16,FALSE)=0,"",VLOOKUP($B887,Показатели!$E:$W,16,FALSE)),"")</f>
        <v/>
      </c>
      <c r="T887" t="str">
        <f>IFERROR(IF(VLOOKUP($B887,Показатели!$E:$W,17,FALSE)=0,"",VLOOKUP($B887,Показатели!$E:$W,17,FALSE)),"")</f>
        <v/>
      </c>
      <c r="U887" t="str">
        <f>IFERROR(IF(VLOOKUP($B887,Показатели!$E:$W,18,FALSE)=0,"",VLOOKUP($B887,Показатели!$E:$W,18,FALSE)),"")</f>
        <v/>
      </c>
      <c r="V887" t="str">
        <f>IFERROR(IF(VLOOKUP($B887,Показатели!$E:$W,19,FALSE)=0,"",VLOOKUP($B887,Показатели!$E:$W,19,FALSE)),"")</f>
        <v/>
      </c>
    </row>
    <row r="888" spans="1:22" x14ac:dyDescent="0.2">
      <c r="A888" s="7" t="s">
        <v>2287</v>
      </c>
      <c r="B888" t="str">
        <f t="shared" si="13"/>
        <v>YDEX IV кв. 2019</v>
      </c>
      <c r="C888">
        <v>2019</v>
      </c>
      <c r="D888">
        <f>SUMIFS(Дивиденды!$C:$C,Дивиденды!$A:$A,A888,Дивиденды!$I:$I,C888)</f>
        <v>0</v>
      </c>
      <c r="E888" t="str">
        <f>IFERROR(IF(VLOOKUP($B888,Показатели!$E:$W,2,FALSE)=0,"",VLOOKUP($B888,Показатели!$E:$W,2,FALSE)),"")</f>
        <v/>
      </c>
      <c r="F888" t="str">
        <f>IFERROR(IF(VLOOKUP($B888,Показатели!$E:$W,3,FALSE)=0,"",VLOOKUP($B888,Показатели!$E:$W,3,FALSE)),"")</f>
        <v/>
      </c>
      <c r="G888" t="str">
        <f>IFERROR(IF(VLOOKUP($B888,Показатели!$E:$W,4,FALSE)=0,"",VLOOKUP($B888,Показатели!$E:$W,4,FALSE)),"")</f>
        <v/>
      </c>
      <c r="H888" t="str">
        <f>IFERROR(IF(VLOOKUP($B888,Показатели!$E:$W,5,FALSE)=0,"",VLOOKUP($B888,Показатели!$E:$W,5,FALSE)),"")</f>
        <v/>
      </c>
      <c r="I888" t="str">
        <f>IFERROR(IF(VLOOKUP($B888,Показатели!$E:$W,6,FALSE)=0,"",VLOOKUP($B888,Показатели!$E:$W,6,FALSE)),"")</f>
        <v/>
      </c>
      <c r="J888" t="str">
        <f>IFERROR(IF(VLOOKUP($B888,Показатели!$E:$W,7,FALSE)=0,"",VLOOKUP($B888,Показатели!$E:$W,7,FALSE)),"")</f>
        <v/>
      </c>
      <c r="K888" t="str">
        <f>IFERROR(IF(VLOOKUP($B888,Показатели!$E:$W,8,FALSE)=0,"",VLOOKUP($B888,Показатели!$E:$W,8,FALSE)),"")</f>
        <v/>
      </c>
      <c r="L888" t="str">
        <f>IFERROR(IF(VLOOKUP($B888,Показатели!$E:$W,9,FALSE)=0,"",VLOOKUP($B888,Показатели!$E:$W,9,FALSE)),"")</f>
        <v/>
      </c>
      <c r="M888" t="str">
        <f>IFERROR(IF(VLOOKUP($B888,Показатели!$E:$W,10,FALSE)=0,"",VLOOKUP($B888,Показатели!$E:$W,10,FALSE)),"")</f>
        <v/>
      </c>
      <c r="N888" t="str">
        <f>IFERROR(IF(VLOOKUP($B888,Показатели!$E:$W,11,FALSE)=0,"",VLOOKUP($B888,Показатели!$E:$W,11,FALSE)),"")</f>
        <v/>
      </c>
      <c r="O888" t="str">
        <f>IFERROR(IF(VLOOKUP($B888,Показатели!$E:$W,12,FALSE)=0,"",VLOOKUP($B888,Показатели!$E:$W,12,FALSE)),"")</f>
        <v/>
      </c>
      <c r="P888" t="str">
        <f>IFERROR(IF(VLOOKUP($B888,Показатели!$E:$W,13,FALSE)=0,"",VLOOKUP($B888,Показатели!$E:$W,13,FALSE)),"")</f>
        <v/>
      </c>
      <c r="Q888" t="str">
        <f>IFERROR(IF(VLOOKUP($B888,Показатели!$E:$W,14,FALSE)=0,"",VLOOKUP($B888,Показатели!$E:$W,14,FALSE)),"")</f>
        <v/>
      </c>
      <c r="R888" t="str">
        <f>IFERROR(IF(VLOOKUP($B888,Показатели!$E:$W,15,FALSE)=0,"",VLOOKUP($B888,Показатели!$E:$W,15,FALSE)),"")</f>
        <v/>
      </c>
      <c r="S888" t="str">
        <f>IFERROR(IF(VLOOKUP($B888,Показатели!$E:$W,16,FALSE)=0,"",VLOOKUP($B888,Показатели!$E:$W,16,FALSE)),"")</f>
        <v/>
      </c>
      <c r="T888" t="str">
        <f>IFERROR(IF(VLOOKUP($B888,Показатели!$E:$W,17,FALSE)=0,"",VLOOKUP($B888,Показатели!$E:$W,17,FALSE)),"")</f>
        <v/>
      </c>
      <c r="U888" t="str">
        <f>IFERROR(IF(VLOOKUP($B888,Показатели!$E:$W,18,FALSE)=0,"",VLOOKUP($B888,Показатели!$E:$W,18,FALSE)),"")</f>
        <v/>
      </c>
      <c r="V888" t="str">
        <f>IFERROR(IF(VLOOKUP($B888,Показатели!$E:$W,19,FALSE)=0,"",VLOOKUP($B888,Показатели!$E:$W,19,FALSE)),"")</f>
        <v/>
      </c>
    </row>
    <row r="889" spans="1:22" x14ac:dyDescent="0.2">
      <c r="A889" s="7" t="s">
        <v>2287</v>
      </c>
      <c r="B889" t="str">
        <f t="shared" si="13"/>
        <v>YDEX IV кв. 2018</v>
      </c>
      <c r="C889">
        <v>2018</v>
      </c>
      <c r="D889">
        <f>SUMIFS(Дивиденды!$C:$C,Дивиденды!$A:$A,A889,Дивиденды!$I:$I,C889)</f>
        <v>0</v>
      </c>
      <c r="E889" t="str">
        <f>IFERROR(IF(VLOOKUP($B889,Показатели!$E:$W,2,FALSE)=0,"",VLOOKUP($B889,Показатели!$E:$W,2,FALSE)),"")</f>
        <v/>
      </c>
      <c r="F889" t="str">
        <f>IFERROR(IF(VLOOKUP($B889,Показатели!$E:$W,3,FALSE)=0,"",VLOOKUP($B889,Показатели!$E:$W,3,FALSE)),"")</f>
        <v/>
      </c>
      <c r="G889" t="str">
        <f>IFERROR(IF(VLOOKUP($B889,Показатели!$E:$W,4,FALSE)=0,"",VLOOKUP($B889,Показатели!$E:$W,4,FALSE)),"")</f>
        <v/>
      </c>
      <c r="H889" t="str">
        <f>IFERROR(IF(VLOOKUP($B889,Показатели!$E:$W,5,FALSE)=0,"",VLOOKUP($B889,Показатели!$E:$W,5,FALSE)),"")</f>
        <v/>
      </c>
      <c r="I889" t="str">
        <f>IFERROR(IF(VLOOKUP($B889,Показатели!$E:$W,6,FALSE)=0,"",VLOOKUP($B889,Показатели!$E:$W,6,FALSE)),"")</f>
        <v/>
      </c>
      <c r="J889" t="str">
        <f>IFERROR(IF(VLOOKUP($B889,Показатели!$E:$W,7,FALSE)=0,"",VLOOKUP($B889,Показатели!$E:$W,7,FALSE)),"")</f>
        <v/>
      </c>
      <c r="K889" t="str">
        <f>IFERROR(IF(VLOOKUP($B889,Показатели!$E:$W,8,FALSE)=0,"",VLOOKUP($B889,Показатели!$E:$W,8,FALSE)),"")</f>
        <v/>
      </c>
      <c r="L889" t="str">
        <f>IFERROR(IF(VLOOKUP($B889,Показатели!$E:$W,9,FALSE)=0,"",VLOOKUP($B889,Показатели!$E:$W,9,FALSE)),"")</f>
        <v/>
      </c>
      <c r="M889" t="str">
        <f>IFERROR(IF(VLOOKUP($B889,Показатели!$E:$W,10,FALSE)=0,"",VLOOKUP($B889,Показатели!$E:$W,10,FALSE)),"")</f>
        <v/>
      </c>
      <c r="N889" t="str">
        <f>IFERROR(IF(VLOOKUP($B889,Показатели!$E:$W,11,FALSE)=0,"",VLOOKUP($B889,Показатели!$E:$W,11,FALSE)),"")</f>
        <v/>
      </c>
      <c r="O889" t="str">
        <f>IFERROR(IF(VLOOKUP($B889,Показатели!$E:$W,12,FALSE)=0,"",VLOOKUP($B889,Показатели!$E:$W,12,FALSE)),"")</f>
        <v/>
      </c>
      <c r="P889" t="str">
        <f>IFERROR(IF(VLOOKUP($B889,Показатели!$E:$W,13,FALSE)=0,"",VLOOKUP($B889,Показатели!$E:$W,13,FALSE)),"")</f>
        <v/>
      </c>
      <c r="Q889" t="str">
        <f>IFERROR(IF(VLOOKUP($B889,Показатели!$E:$W,14,FALSE)=0,"",VLOOKUP($B889,Показатели!$E:$W,14,FALSE)),"")</f>
        <v/>
      </c>
      <c r="R889" t="str">
        <f>IFERROR(IF(VLOOKUP($B889,Показатели!$E:$W,15,FALSE)=0,"",VLOOKUP($B889,Показатели!$E:$W,15,FALSE)),"")</f>
        <v/>
      </c>
      <c r="S889" t="str">
        <f>IFERROR(IF(VLOOKUP($B889,Показатели!$E:$W,16,FALSE)=0,"",VLOOKUP($B889,Показатели!$E:$W,16,FALSE)),"")</f>
        <v/>
      </c>
      <c r="T889" t="str">
        <f>IFERROR(IF(VLOOKUP($B889,Показатели!$E:$W,17,FALSE)=0,"",VLOOKUP($B889,Показатели!$E:$W,17,FALSE)),"")</f>
        <v/>
      </c>
      <c r="U889" t="str">
        <f>IFERROR(IF(VLOOKUP($B889,Показатели!$E:$W,18,FALSE)=0,"",VLOOKUP($B889,Показатели!$E:$W,18,FALSE)),"")</f>
        <v/>
      </c>
      <c r="V889" t="str">
        <f>IFERROR(IF(VLOOKUP($B889,Показатели!$E:$W,19,FALSE)=0,"",VLOOKUP($B889,Показатели!$E:$W,19,FALSE)),"")</f>
        <v/>
      </c>
    </row>
    <row r="890" spans="1:22" x14ac:dyDescent="0.2">
      <c r="A890" s="7" t="s">
        <v>2287</v>
      </c>
      <c r="B890" t="str">
        <f t="shared" si="13"/>
        <v>YDEX IV кв. 2017</v>
      </c>
      <c r="C890">
        <v>2017</v>
      </c>
      <c r="D890">
        <f>SUMIFS(Дивиденды!$C:$C,Дивиденды!$A:$A,A890,Дивиденды!$I:$I,C890)</f>
        <v>0</v>
      </c>
      <c r="E890" t="str">
        <f>IFERROR(IF(VLOOKUP($B890,Показатели!$E:$W,2,FALSE)=0,"",VLOOKUP($B890,Показатели!$E:$W,2,FALSE)),"")</f>
        <v/>
      </c>
      <c r="F890" t="str">
        <f>IFERROR(IF(VLOOKUP($B890,Показатели!$E:$W,3,FALSE)=0,"",VLOOKUP($B890,Показатели!$E:$W,3,FALSE)),"")</f>
        <v/>
      </c>
      <c r="G890" t="str">
        <f>IFERROR(IF(VLOOKUP($B890,Показатели!$E:$W,4,FALSE)=0,"",VLOOKUP($B890,Показатели!$E:$W,4,FALSE)),"")</f>
        <v/>
      </c>
      <c r="H890" t="str">
        <f>IFERROR(IF(VLOOKUP($B890,Показатели!$E:$W,5,FALSE)=0,"",VLOOKUP($B890,Показатели!$E:$W,5,FALSE)),"")</f>
        <v/>
      </c>
      <c r="I890" t="str">
        <f>IFERROR(IF(VLOOKUP($B890,Показатели!$E:$W,6,FALSE)=0,"",VLOOKUP($B890,Показатели!$E:$W,6,FALSE)),"")</f>
        <v/>
      </c>
      <c r="J890" t="str">
        <f>IFERROR(IF(VLOOKUP($B890,Показатели!$E:$W,7,FALSE)=0,"",VLOOKUP($B890,Показатели!$E:$W,7,FALSE)),"")</f>
        <v/>
      </c>
      <c r="K890" t="str">
        <f>IFERROR(IF(VLOOKUP($B890,Показатели!$E:$W,8,FALSE)=0,"",VLOOKUP($B890,Показатели!$E:$W,8,FALSE)),"")</f>
        <v/>
      </c>
      <c r="L890" t="str">
        <f>IFERROR(IF(VLOOKUP($B890,Показатели!$E:$W,9,FALSE)=0,"",VLOOKUP($B890,Показатели!$E:$W,9,FALSE)),"")</f>
        <v/>
      </c>
      <c r="M890" t="str">
        <f>IFERROR(IF(VLOOKUP($B890,Показатели!$E:$W,10,FALSE)=0,"",VLOOKUP($B890,Показатели!$E:$W,10,FALSE)),"")</f>
        <v/>
      </c>
      <c r="N890" t="str">
        <f>IFERROR(IF(VLOOKUP($B890,Показатели!$E:$W,11,FALSE)=0,"",VLOOKUP($B890,Показатели!$E:$W,11,FALSE)),"")</f>
        <v/>
      </c>
      <c r="O890" t="str">
        <f>IFERROR(IF(VLOOKUP($B890,Показатели!$E:$W,12,FALSE)=0,"",VLOOKUP($B890,Показатели!$E:$W,12,FALSE)),"")</f>
        <v/>
      </c>
      <c r="P890" t="str">
        <f>IFERROR(IF(VLOOKUP($B890,Показатели!$E:$W,13,FALSE)=0,"",VLOOKUP($B890,Показатели!$E:$W,13,FALSE)),"")</f>
        <v/>
      </c>
      <c r="Q890" t="str">
        <f>IFERROR(IF(VLOOKUP($B890,Показатели!$E:$W,14,FALSE)=0,"",VLOOKUP($B890,Показатели!$E:$W,14,FALSE)),"")</f>
        <v/>
      </c>
      <c r="R890" t="str">
        <f>IFERROR(IF(VLOOKUP($B890,Показатели!$E:$W,15,FALSE)=0,"",VLOOKUP($B890,Показатели!$E:$W,15,FALSE)),"")</f>
        <v/>
      </c>
      <c r="S890" t="str">
        <f>IFERROR(IF(VLOOKUP($B890,Показатели!$E:$W,16,FALSE)=0,"",VLOOKUP($B890,Показатели!$E:$W,16,FALSE)),"")</f>
        <v/>
      </c>
      <c r="T890" t="str">
        <f>IFERROR(IF(VLOOKUP($B890,Показатели!$E:$W,17,FALSE)=0,"",VLOOKUP($B890,Показатели!$E:$W,17,FALSE)),"")</f>
        <v/>
      </c>
      <c r="U890" t="str">
        <f>IFERROR(IF(VLOOKUP($B890,Показатели!$E:$W,18,FALSE)=0,"",VLOOKUP($B890,Показатели!$E:$W,18,FALSE)),"")</f>
        <v/>
      </c>
      <c r="V890" t="str">
        <f>IFERROR(IF(VLOOKUP($B890,Показатели!$E:$W,19,FALSE)=0,"",VLOOKUP($B890,Показатели!$E:$W,19,FALSE)),"")</f>
        <v/>
      </c>
    </row>
    <row r="891" spans="1:22" x14ac:dyDescent="0.2">
      <c r="A891" s="7" t="s">
        <v>2287</v>
      </c>
      <c r="B891" t="str">
        <f t="shared" si="13"/>
        <v>YDEX IV кв. 2016</v>
      </c>
      <c r="C891">
        <v>2016</v>
      </c>
      <c r="D891">
        <f>SUMIFS(Дивиденды!$C:$C,Дивиденды!$A:$A,A891,Дивиденды!$I:$I,C891)</f>
        <v>0</v>
      </c>
      <c r="E891" t="str">
        <f>IFERROR(IF(VLOOKUP($B891,Показатели!$E:$W,2,FALSE)=0,"",VLOOKUP($B891,Показатели!$E:$W,2,FALSE)),"")</f>
        <v/>
      </c>
      <c r="F891" t="str">
        <f>IFERROR(IF(VLOOKUP($B891,Показатели!$E:$W,3,FALSE)=0,"",VLOOKUP($B891,Показатели!$E:$W,3,FALSE)),"")</f>
        <v/>
      </c>
      <c r="G891" t="str">
        <f>IFERROR(IF(VLOOKUP($B891,Показатели!$E:$W,4,FALSE)=0,"",VLOOKUP($B891,Показатели!$E:$W,4,FALSE)),"")</f>
        <v/>
      </c>
      <c r="H891" t="str">
        <f>IFERROR(IF(VLOOKUP($B891,Показатели!$E:$W,5,FALSE)=0,"",VLOOKUP($B891,Показатели!$E:$W,5,FALSE)),"")</f>
        <v/>
      </c>
      <c r="I891" t="str">
        <f>IFERROR(IF(VLOOKUP($B891,Показатели!$E:$W,6,FALSE)=0,"",VLOOKUP($B891,Показатели!$E:$W,6,FALSE)),"")</f>
        <v/>
      </c>
      <c r="J891" t="str">
        <f>IFERROR(IF(VLOOKUP($B891,Показатели!$E:$W,7,FALSE)=0,"",VLOOKUP($B891,Показатели!$E:$W,7,FALSE)),"")</f>
        <v/>
      </c>
      <c r="K891" t="str">
        <f>IFERROR(IF(VLOOKUP($B891,Показатели!$E:$W,8,FALSE)=0,"",VLOOKUP($B891,Показатели!$E:$W,8,FALSE)),"")</f>
        <v/>
      </c>
      <c r="L891" t="str">
        <f>IFERROR(IF(VLOOKUP($B891,Показатели!$E:$W,9,FALSE)=0,"",VLOOKUP($B891,Показатели!$E:$W,9,FALSE)),"")</f>
        <v/>
      </c>
      <c r="M891" t="str">
        <f>IFERROR(IF(VLOOKUP($B891,Показатели!$E:$W,10,FALSE)=0,"",VLOOKUP($B891,Показатели!$E:$W,10,FALSE)),"")</f>
        <v/>
      </c>
      <c r="N891" t="str">
        <f>IFERROR(IF(VLOOKUP($B891,Показатели!$E:$W,11,FALSE)=0,"",VLOOKUP($B891,Показатели!$E:$W,11,FALSE)),"")</f>
        <v/>
      </c>
      <c r="O891" t="str">
        <f>IFERROR(IF(VLOOKUP($B891,Показатели!$E:$W,12,FALSE)=0,"",VLOOKUP($B891,Показатели!$E:$W,12,FALSE)),"")</f>
        <v/>
      </c>
      <c r="P891" t="str">
        <f>IFERROR(IF(VLOOKUP($B891,Показатели!$E:$W,13,FALSE)=0,"",VLOOKUP($B891,Показатели!$E:$W,13,FALSE)),"")</f>
        <v/>
      </c>
      <c r="Q891" t="str">
        <f>IFERROR(IF(VLOOKUP($B891,Показатели!$E:$W,14,FALSE)=0,"",VLOOKUP($B891,Показатели!$E:$W,14,FALSE)),"")</f>
        <v/>
      </c>
      <c r="R891" t="str">
        <f>IFERROR(IF(VLOOKUP($B891,Показатели!$E:$W,15,FALSE)=0,"",VLOOKUP($B891,Показатели!$E:$W,15,FALSE)),"")</f>
        <v/>
      </c>
      <c r="S891" t="str">
        <f>IFERROR(IF(VLOOKUP($B891,Показатели!$E:$W,16,FALSE)=0,"",VLOOKUP($B891,Показатели!$E:$W,16,FALSE)),"")</f>
        <v/>
      </c>
      <c r="T891" t="str">
        <f>IFERROR(IF(VLOOKUP($B891,Показатели!$E:$W,17,FALSE)=0,"",VLOOKUP($B891,Показатели!$E:$W,17,FALSE)),"")</f>
        <v/>
      </c>
      <c r="U891" t="str">
        <f>IFERROR(IF(VLOOKUP($B891,Показатели!$E:$W,18,FALSE)=0,"",VLOOKUP($B891,Показатели!$E:$W,18,FALSE)),"")</f>
        <v/>
      </c>
      <c r="V891" t="str">
        <f>IFERROR(IF(VLOOKUP($B891,Показатели!$E:$W,19,FALSE)=0,"",VLOOKUP($B891,Показатели!$E:$W,19,FALSE)),"")</f>
        <v/>
      </c>
    </row>
    <row r="892" spans="1:22" x14ac:dyDescent="0.2">
      <c r="A892" s="7" t="s">
        <v>2287</v>
      </c>
      <c r="B892" t="str">
        <f t="shared" si="13"/>
        <v>YDEX IV кв. 2015</v>
      </c>
      <c r="C892">
        <v>2015</v>
      </c>
      <c r="D892">
        <f>SUMIFS(Дивиденды!$C:$C,Дивиденды!$A:$A,A892,Дивиденды!$I:$I,C892)</f>
        <v>0</v>
      </c>
      <c r="E892" t="str">
        <f>IFERROR(IF(VLOOKUP($B892,Показатели!$E:$W,2,FALSE)=0,"",VLOOKUP($B892,Показатели!$E:$W,2,FALSE)),"")</f>
        <v/>
      </c>
      <c r="F892" t="str">
        <f>IFERROR(IF(VLOOKUP($B892,Показатели!$E:$W,3,FALSE)=0,"",VLOOKUP($B892,Показатели!$E:$W,3,FALSE)),"")</f>
        <v/>
      </c>
      <c r="G892" t="str">
        <f>IFERROR(IF(VLOOKUP($B892,Показатели!$E:$W,4,FALSE)=0,"",VLOOKUP($B892,Показатели!$E:$W,4,FALSE)),"")</f>
        <v/>
      </c>
      <c r="H892" t="str">
        <f>IFERROR(IF(VLOOKUP($B892,Показатели!$E:$W,5,FALSE)=0,"",VLOOKUP($B892,Показатели!$E:$W,5,FALSE)),"")</f>
        <v/>
      </c>
      <c r="I892" t="str">
        <f>IFERROR(IF(VLOOKUP($B892,Показатели!$E:$W,6,FALSE)=0,"",VLOOKUP($B892,Показатели!$E:$W,6,FALSE)),"")</f>
        <v/>
      </c>
      <c r="J892" t="str">
        <f>IFERROR(IF(VLOOKUP($B892,Показатели!$E:$W,7,FALSE)=0,"",VLOOKUP($B892,Показатели!$E:$W,7,FALSE)),"")</f>
        <v/>
      </c>
      <c r="K892" t="str">
        <f>IFERROR(IF(VLOOKUP($B892,Показатели!$E:$W,8,FALSE)=0,"",VLOOKUP($B892,Показатели!$E:$W,8,FALSE)),"")</f>
        <v/>
      </c>
      <c r="L892" t="str">
        <f>IFERROR(IF(VLOOKUP($B892,Показатели!$E:$W,9,FALSE)=0,"",VLOOKUP($B892,Показатели!$E:$W,9,FALSE)),"")</f>
        <v/>
      </c>
      <c r="M892" t="str">
        <f>IFERROR(IF(VLOOKUP($B892,Показатели!$E:$W,10,FALSE)=0,"",VLOOKUP($B892,Показатели!$E:$W,10,FALSE)),"")</f>
        <v/>
      </c>
      <c r="N892" t="str">
        <f>IFERROR(IF(VLOOKUP($B892,Показатели!$E:$W,11,FALSE)=0,"",VLOOKUP($B892,Показатели!$E:$W,11,FALSE)),"")</f>
        <v/>
      </c>
      <c r="O892" t="str">
        <f>IFERROR(IF(VLOOKUP($B892,Показатели!$E:$W,12,FALSE)=0,"",VLOOKUP($B892,Показатели!$E:$W,12,FALSE)),"")</f>
        <v/>
      </c>
      <c r="P892" t="str">
        <f>IFERROR(IF(VLOOKUP($B892,Показатели!$E:$W,13,FALSE)=0,"",VLOOKUP($B892,Показатели!$E:$W,13,FALSE)),"")</f>
        <v/>
      </c>
      <c r="Q892" t="str">
        <f>IFERROR(IF(VLOOKUP($B892,Показатели!$E:$W,14,FALSE)=0,"",VLOOKUP($B892,Показатели!$E:$W,14,FALSE)),"")</f>
        <v/>
      </c>
      <c r="R892" t="str">
        <f>IFERROR(IF(VLOOKUP($B892,Показатели!$E:$W,15,FALSE)=0,"",VLOOKUP($B892,Показатели!$E:$W,15,FALSE)),"")</f>
        <v/>
      </c>
      <c r="S892" t="str">
        <f>IFERROR(IF(VLOOKUP($B892,Показатели!$E:$W,16,FALSE)=0,"",VLOOKUP($B892,Показатели!$E:$W,16,FALSE)),"")</f>
        <v/>
      </c>
      <c r="T892" t="str">
        <f>IFERROR(IF(VLOOKUP($B892,Показатели!$E:$W,17,FALSE)=0,"",VLOOKUP($B892,Показатели!$E:$W,17,FALSE)),"")</f>
        <v/>
      </c>
      <c r="U892" t="str">
        <f>IFERROR(IF(VLOOKUP($B892,Показатели!$E:$W,18,FALSE)=0,"",VLOOKUP($B892,Показатели!$E:$W,18,FALSE)),"")</f>
        <v/>
      </c>
      <c r="V892" t="str">
        <f>IFERROR(IF(VLOOKUP($B892,Показатели!$E:$W,19,FALSE)=0,"",VLOOKUP($B892,Показатели!$E:$W,19,FALSE)),"")</f>
        <v/>
      </c>
    </row>
    <row r="893" spans="1:22" x14ac:dyDescent="0.2">
      <c r="A893" s="7" t="s">
        <v>2287</v>
      </c>
      <c r="B893" t="str">
        <f t="shared" si="13"/>
        <v>YDEX IV кв. 2014</v>
      </c>
      <c r="C893">
        <v>2014</v>
      </c>
      <c r="D893">
        <f>SUMIFS(Дивиденды!$C:$C,Дивиденды!$A:$A,A893,Дивиденды!$I:$I,C893)</f>
        <v>0</v>
      </c>
      <c r="E893" t="str">
        <f>IFERROR(IF(VLOOKUP($B893,Показатели!$E:$W,2,FALSE)=0,"",VLOOKUP($B893,Показатели!$E:$W,2,FALSE)),"")</f>
        <v/>
      </c>
      <c r="F893" t="str">
        <f>IFERROR(IF(VLOOKUP($B893,Показатели!$E:$W,3,FALSE)=0,"",VLOOKUP($B893,Показатели!$E:$W,3,FALSE)),"")</f>
        <v/>
      </c>
      <c r="G893" t="str">
        <f>IFERROR(IF(VLOOKUP($B893,Показатели!$E:$W,4,FALSE)=0,"",VLOOKUP($B893,Показатели!$E:$W,4,FALSE)),"")</f>
        <v/>
      </c>
      <c r="H893" t="str">
        <f>IFERROR(IF(VLOOKUP($B893,Показатели!$E:$W,5,FALSE)=0,"",VLOOKUP($B893,Показатели!$E:$W,5,FALSE)),"")</f>
        <v/>
      </c>
      <c r="I893" t="str">
        <f>IFERROR(IF(VLOOKUP($B893,Показатели!$E:$W,6,FALSE)=0,"",VLOOKUP($B893,Показатели!$E:$W,6,FALSE)),"")</f>
        <v/>
      </c>
      <c r="J893" t="str">
        <f>IFERROR(IF(VLOOKUP($B893,Показатели!$E:$W,7,FALSE)=0,"",VLOOKUP($B893,Показатели!$E:$W,7,FALSE)),"")</f>
        <v/>
      </c>
      <c r="K893" t="str">
        <f>IFERROR(IF(VLOOKUP($B893,Показатели!$E:$W,8,FALSE)=0,"",VLOOKUP($B893,Показатели!$E:$W,8,FALSE)),"")</f>
        <v/>
      </c>
      <c r="L893" t="str">
        <f>IFERROR(IF(VLOOKUP($B893,Показатели!$E:$W,9,FALSE)=0,"",VLOOKUP($B893,Показатели!$E:$W,9,FALSE)),"")</f>
        <v/>
      </c>
      <c r="M893" t="str">
        <f>IFERROR(IF(VLOOKUP($B893,Показатели!$E:$W,10,FALSE)=0,"",VLOOKUP($B893,Показатели!$E:$W,10,FALSE)),"")</f>
        <v/>
      </c>
      <c r="N893" t="str">
        <f>IFERROR(IF(VLOOKUP($B893,Показатели!$E:$W,11,FALSE)=0,"",VLOOKUP($B893,Показатели!$E:$W,11,FALSE)),"")</f>
        <v/>
      </c>
      <c r="O893" t="str">
        <f>IFERROR(IF(VLOOKUP($B893,Показатели!$E:$W,12,FALSE)=0,"",VLOOKUP($B893,Показатели!$E:$W,12,FALSE)),"")</f>
        <v/>
      </c>
      <c r="P893" t="str">
        <f>IFERROR(IF(VLOOKUP($B893,Показатели!$E:$W,13,FALSE)=0,"",VLOOKUP($B893,Показатели!$E:$W,13,FALSE)),"")</f>
        <v/>
      </c>
      <c r="Q893" t="str">
        <f>IFERROR(IF(VLOOKUP($B893,Показатели!$E:$W,14,FALSE)=0,"",VLOOKUP($B893,Показатели!$E:$W,14,FALSE)),"")</f>
        <v/>
      </c>
      <c r="R893" t="str">
        <f>IFERROR(IF(VLOOKUP($B893,Показатели!$E:$W,15,FALSE)=0,"",VLOOKUP($B893,Показатели!$E:$W,15,FALSE)),"")</f>
        <v/>
      </c>
      <c r="S893" t="str">
        <f>IFERROR(IF(VLOOKUP($B893,Показатели!$E:$W,16,FALSE)=0,"",VLOOKUP($B893,Показатели!$E:$W,16,FALSE)),"")</f>
        <v/>
      </c>
      <c r="T893" t="str">
        <f>IFERROR(IF(VLOOKUP($B893,Показатели!$E:$W,17,FALSE)=0,"",VLOOKUP($B893,Показатели!$E:$W,17,FALSE)),"")</f>
        <v/>
      </c>
      <c r="U893" t="str">
        <f>IFERROR(IF(VLOOKUP($B893,Показатели!$E:$W,18,FALSE)=0,"",VLOOKUP($B893,Показатели!$E:$W,18,FALSE)),"")</f>
        <v/>
      </c>
      <c r="V893" t="str">
        <f>IFERROR(IF(VLOOKUP($B893,Показатели!$E:$W,19,FALSE)=0,"",VLOOKUP($B893,Показатели!$E:$W,19,FALSE)),"")</f>
        <v/>
      </c>
    </row>
    <row r="894" spans="1:22" x14ac:dyDescent="0.2">
      <c r="A894" s="7" t="s">
        <v>2287</v>
      </c>
      <c r="B894" t="str">
        <f t="shared" si="13"/>
        <v>YDEX IV кв. 2013</v>
      </c>
      <c r="C894">
        <v>2013</v>
      </c>
      <c r="D894">
        <f>SUMIFS(Дивиденды!$C:$C,Дивиденды!$A:$A,A894,Дивиденды!$I:$I,C894)</f>
        <v>0</v>
      </c>
      <c r="E894" t="str">
        <f>IFERROR(IF(VLOOKUP($B894,Показатели!$E:$W,2,FALSE)=0,"",VLOOKUP($B894,Показатели!$E:$W,2,FALSE)),"")</f>
        <v/>
      </c>
      <c r="F894" t="str">
        <f>IFERROR(IF(VLOOKUP($B894,Показатели!$E:$W,3,FALSE)=0,"",VLOOKUP($B894,Показатели!$E:$W,3,FALSE)),"")</f>
        <v/>
      </c>
      <c r="G894" t="str">
        <f>IFERROR(IF(VLOOKUP($B894,Показатели!$E:$W,4,FALSE)=0,"",VLOOKUP($B894,Показатели!$E:$W,4,FALSE)),"")</f>
        <v/>
      </c>
      <c r="H894" t="str">
        <f>IFERROR(IF(VLOOKUP($B894,Показатели!$E:$W,5,FALSE)=0,"",VLOOKUP($B894,Показатели!$E:$W,5,FALSE)),"")</f>
        <v/>
      </c>
      <c r="I894" t="str">
        <f>IFERROR(IF(VLOOKUP($B894,Показатели!$E:$W,6,FALSE)=0,"",VLOOKUP($B894,Показатели!$E:$W,6,FALSE)),"")</f>
        <v/>
      </c>
      <c r="J894" t="str">
        <f>IFERROR(IF(VLOOKUP($B894,Показатели!$E:$W,7,FALSE)=0,"",VLOOKUP($B894,Показатели!$E:$W,7,FALSE)),"")</f>
        <v/>
      </c>
      <c r="K894" t="str">
        <f>IFERROR(IF(VLOOKUP($B894,Показатели!$E:$W,8,FALSE)=0,"",VLOOKUP($B894,Показатели!$E:$W,8,FALSE)),"")</f>
        <v/>
      </c>
      <c r="L894" t="str">
        <f>IFERROR(IF(VLOOKUP($B894,Показатели!$E:$W,9,FALSE)=0,"",VLOOKUP($B894,Показатели!$E:$W,9,FALSE)),"")</f>
        <v/>
      </c>
      <c r="M894" t="str">
        <f>IFERROR(IF(VLOOKUP($B894,Показатели!$E:$W,10,FALSE)=0,"",VLOOKUP($B894,Показатели!$E:$W,10,FALSE)),"")</f>
        <v/>
      </c>
      <c r="N894" t="str">
        <f>IFERROR(IF(VLOOKUP($B894,Показатели!$E:$W,11,FALSE)=0,"",VLOOKUP($B894,Показатели!$E:$W,11,FALSE)),"")</f>
        <v/>
      </c>
      <c r="O894" t="str">
        <f>IFERROR(IF(VLOOKUP($B894,Показатели!$E:$W,12,FALSE)=0,"",VLOOKUP($B894,Показатели!$E:$W,12,FALSE)),"")</f>
        <v/>
      </c>
      <c r="P894" t="str">
        <f>IFERROR(IF(VLOOKUP($B894,Показатели!$E:$W,13,FALSE)=0,"",VLOOKUP($B894,Показатели!$E:$W,13,FALSE)),"")</f>
        <v/>
      </c>
      <c r="Q894" t="str">
        <f>IFERROR(IF(VLOOKUP($B894,Показатели!$E:$W,14,FALSE)=0,"",VLOOKUP($B894,Показатели!$E:$W,14,FALSE)),"")</f>
        <v/>
      </c>
      <c r="R894" t="str">
        <f>IFERROR(IF(VLOOKUP($B894,Показатели!$E:$W,15,FALSE)=0,"",VLOOKUP($B894,Показатели!$E:$W,15,FALSE)),"")</f>
        <v/>
      </c>
      <c r="S894" t="str">
        <f>IFERROR(IF(VLOOKUP($B894,Показатели!$E:$W,16,FALSE)=0,"",VLOOKUP($B894,Показатели!$E:$W,16,FALSE)),"")</f>
        <v/>
      </c>
      <c r="T894" t="str">
        <f>IFERROR(IF(VLOOKUP($B894,Показатели!$E:$W,17,FALSE)=0,"",VLOOKUP($B894,Показатели!$E:$W,17,FALSE)),"")</f>
        <v/>
      </c>
      <c r="U894" t="str">
        <f>IFERROR(IF(VLOOKUP($B894,Показатели!$E:$W,18,FALSE)=0,"",VLOOKUP($B894,Показатели!$E:$W,18,FALSE)),"")</f>
        <v/>
      </c>
      <c r="V894" t="str">
        <f>IFERROR(IF(VLOOKUP($B894,Показатели!$E:$W,19,FALSE)=0,"",VLOOKUP($B894,Показатели!$E:$W,19,FALSE)),"")</f>
        <v/>
      </c>
    </row>
    <row r="895" spans="1:22" x14ac:dyDescent="0.2">
      <c r="A895" s="7" t="s">
        <v>2287</v>
      </c>
      <c r="B895" t="str">
        <f t="shared" si="13"/>
        <v>YDEX IV кв. 2012</v>
      </c>
      <c r="C895">
        <v>2012</v>
      </c>
      <c r="D895">
        <f>SUMIFS(Дивиденды!$C:$C,Дивиденды!$A:$A,A895,Дивиденды!$I:$I,C895)</f>
        <v>0</v>
      </c>
      <c r="E895" t="str">
        <f>IFERROR(IF(VLOOKUP($B895,Показатели!$E:$W,2,FALSE)=0,"",VLOOKUP($B895,Показатели!$E:$W,2,FALSE)),"")</f>
        <v/>
      </c>
      <c r="F895" t="str">
        <f>IFERROR(IF(VLOOKUP($B895,Показатели!$E:$W,3,FALSE)=0,"",VLOOKUP($B895,Показатели!$E:$W,3,FALSE)),"")</f>
        <v/>
      </c>
      <c r="G895" t="str">
        <f>IFERROR(IF(VLOOKUP($B895,Показатели!$E:$W,4,FALSE)=0,"",VLOOKUP($B895,Показатели!$E:$W,4,FALSE)),"")</f>
        <v/>
      </c>
      <c r="H895" t="str">
        <f>IFERROR(IF(VLOOKUP($B895,Показатели!$E:$W,5,FALSE)=0,"",VLOOKUP($B895,Показатели!$E:$W,5,FALSE)),"")</f>
        <v/>
      </c>
      <c r="I895" t="str">
        <f>IFERROR(IF(VLOOKUP($B895,Показатели!$E:$W,6,FALSE)=0,"",VLOOKUP($B895,Показатели!$E:$W,6,FALSE)),"")</f>
        <v/>
      </c>
      <c r="J895" t="str">
        <f>IFERROR(IF(VLOOKUP($B895,Показатели!$E:$W,7,FALSE)=0,"",VLOOKUP($B895,Показатели!$E:$W,7,FALSE)),"")</f>
        <v/>
      </c>
      <c r="K895" t="str">
        <f>IFERROR(IF(VLOOKUP($B895,Показатели!$E:$W,8,FALSE)=0,"",VLOOKUP($B895,Показатели!$E:$W,8,FALSE)),"")</f>
        <v/>
      </c>
      <c r="L895" t="str">
        <f>IFERROR(IF(VLOOKUP($B895,Показатели!$E:$W,9,FALSE)=0,"",VLOOKUP($B895,Показатели!$E:$W,9,FALSE)),"")</f>
        <v/>
      </c>
      <c r="M895" t="str">
        <f>IFERROR(IF(VLOOKUP($B895,Показатели!$E:$W,10,FALSE)=0,"",VLOOKUP($B895,Показатели!$E:$W,10,FALSE)),"")</f>
        <v/>
      </c>
      <c r="N895" t="str">
        <f>IFERROR(IF(VLOOKUP($B895,Показатели!$E:$W,11,FALSE)=0,"",VLOOKUP($B895,Показатели!$E:$W,11,FALSE)),"")</f>
        <v/>
      </c>
      <c r="O895" t="str">
        <f>IFERROR(IF(VLOOKUP($B895,Показатели!$E:$W,12,FALSE)=0,"",VLOOKUP($B895,Показатели!$E:$W,12,FALSE)),"")</f>
        <v/>
      </c>
      <c r="P895" t="str">
        <f>IFERROR(IF(VLOOKUP($B895,Показатели!$E:$W,13,FALSE)=0,"",VLOOKUP($B895,Показатели!$E:$W,13,FALSE)),"")</f>
        <v/>
      </c>
      <c r="Q895" t="str">
        <f>IFERROR(IF(VLOOKUP($B895,Показатели!$E:$W,14,FALSE)=0,"",VLOOKUP($B895,Показатели!$E:$W,14,FALSE)),"")</f>
        <v/>
      </c>
      <c r="R895" t="str">
        <f>IFERROR(IF(VLOOKUP($B895,Показатели!$E:$W,15,FALSE)=0,"",VLOOKUP($B895,Показатели!$E:$W,15,FALSE)),"")</f>
        <v/>
      </c>
      <c r="S895" t="str">
        <f>IFERROR(IF(VLOOKUP($B895,Показатели!$E:$W,16,FALSE)=0,"",VLOOKUP($B895,Показатели!$E:$W,16,FALSE)),"")</f>
        <v/>
      </c>
      <c r="T895" t="str">
        <f>IFERROR(IF(VLOOKUP($B895,Показатели!$E:$W,17,FALSE)=0,"",VLOOKUP($B895,Показатели!$E:$W,17,FALSE)),"")</f>
        <v/>
      </c>
      <c r="U895" t="str">
        <f>IFERROR(IF(VLOOKUP($B895,Показатели!$E:$W,18,FALSE)=0,"",VLOOKUP($B895,Показатели!$E:$W,18,FALSE)),"")</f>
        <v/>
      </c>
      <c r="V895" t="str">
        <f>IFERROR(IF(VLOOKUP($B895,Показатели!$E:$W,19,FALSE)=0,"",VLOOKUP($B895,Показатели!$E:$W,19,FALSE)),"")</f>
        <v/>
      </c>
    </row>
    <row r="896" spans="1:22" x14ac:dyDescent="0.2">
      <c r="A896" s="7" t="s">
        <v>2287</v>
      </c>
      <c r="B896" t="str">
        <f t="shared" si="13"/>
        <v>YDEX IV кв. 2011</v>
      </c>
      <c r="C896">
        <v>2011</v>
      </c>
      <c r="D896">
        <f>SUMIFS(Дивиденды!$C:$C,Дивиденды!$A:$A,A896,Дивиденды!$I:$I,C896)</f>
        <v>0</v>
      </c>
      <c r="E896" t="str">
        <f>IFERROR(IF(VLOOKUP($B896,Показатели!$E:$W,2,FALSE)=0,"",VLOOKUP($B896,Показатели!$E:$W,2,FALSE)),"")</f>
        <v/>
      </c>
      <c r="F896" t="str">
        <f>IFERROR(IF(VLOOKUP($B896,Показатели!$E:$W,3,FALSE)=0,"",VLOOKUP($B896,Показатели!$E:$W,3,FALSE)),"")</f>
        <v/>
      </c>
      <c r="G896" t="str">
        <f>IFERROR(IF(VLOOKUP($B896,Показатели!$E:$W,4,FALSE)=0,"",VLOOKUP($B896,Показатели!$E:$W,4,FALSE)),"")</f>
        <v/>
      </c>
      <c r="H896" t="str">
        <f>IFERROR(IF(VLOOKUP($B896,Показатели!$E:$W,5,FALSE)=0,"",VLOOKUP($B896,Показатели!$E:$W,5,FALSE)),"")</f>
        <v/>
      </c>
      <c r="I896" t="str">
        <f>IFERROR(IF(VLOOKUP($B896,Показатели!$E:$W,6,FALSE)=0,"",VLOOKUP($B896,Показатели!$E:$W,6,FALSE)),"")</f>
        <v/>
      </c>
      <c r="J896" t="str">
        <f>IFERROR(IF(VLOOKUP($B896,Показатели!$E:$W,7,FALSE)=0,"",VLOOKUP($B896,Показатели!$E:$W,7,FALSE)),"")</f>
        <v/>
      </c>
      <c r="K896" t="str">
        <f>IFERROR(IF(VLOOKUP($B896,Показатели!$E:$W,8,FALSE)=0,"",VLOOKUP($B896,Показатели!$E:$W,8,FALSE)),"")</f>
        <v/>
      </c>
      <c r="L896" t="str">
        <f>IFERROR(IF(VLOOKUP($B896,Показатели!$E:$W,9,FALSE)=0,"",VLOOKUP($B896,Показатели!$E:$W,9,FALSE)),"")</f>
        <v/>
      </c>
      <c r="M896" t="str">
        <f>IFERROR(IF(VLOOKUP($B896,Показатели!$E:$W,10,FALSE)=0,"",VLOOKUP($B896,Показатели!$E:$W,10,FALSE)),"")</f>
        <v/>
      </c>
      <c r="N896" t="str">
        <f>IFERROR(IF(VLOOKUP($B896,Показатели!$E:$W,11,FALSE)=0,"",VLOOKUP($B896,Показатели!$E:$W,11,FALSE)),"")</f>
        <v/>
      </c>
      <c r="O896" t="str">
        <f>IFERROR(IF(VLOOKUP($B896,Показатели!$E:$W,12,FALSE)=0,"",VLOOKUP($B896,Показатели!$E:$W,12,FALSE)),"")</f>
        <v/>
      </c>
      <c r="P896" t="str">
        <f>IFERROR(IF(VLOOKUP($B896,Показатели!$E:$W,13,FALSE)=0,"",VLOOKUP($B896,Показатели!$E:$W,13,FALSE)),"")</f>
        <v/>
      </c>
      <c r="Q896" t="str">
        <f>IFERROR(IF(VLOOKUP($B896,Показатели!$E:$W,14,FALSE)=0,"",VLOOKUP($B896,Показатели!$E:$W,14,FALSE)),"")</f>
        <v/>
      </c>
      <c r="R896" t="str">
        <f>IFERROR(IF(VLOOKUP($B896,Показатели!$E:$W,15,FALSE)=0,"",VLOOKUP($B896,Показатели!$E:$W,15,FALSE)),"")</f>
        <v/>
      </c>
      <c r="S896" t="str">
        <f>IFERROR(IF(VLOOKUP($B896,Показатели!$E:$W,16,FALSE)=0,"",VLOOKUP($B896,Показатели!$E:$W,16,FALSE)),"")</f>
        <v/>
      </c>
      <c r="T896" t="str">
        <f>IFERROR(IF(VLOOKUP($B896,Показатели!$E:$W,17,FALSE)=0,"",VLOOKUP($B896,Показатели!$E:$W,17,FALSE)),"")</f>
        <v/>
      </c>
      <c r="U896" t="str">
        <f>IFERROR(IF(VLOOKUP($B896,Показатели!$E:$W,18,FALSE)=0,"",VLOOKUP($B896,Показатели!$E:$W,18,FALSE)),"")</f>
        <v/>
      </c>
      <c r="V896" t="str">
        <f>IFERROR(IF(VLOOKUP($B896,Показатели!$E:$W,19,FALSE)=0,"",VLOOKUP($B896,Показатели!$E:$W,19,FALSE)),"")</f>
        <v/>
      </c>
    </row>
    <row r="897" spans="1:22" x14ac:dyDescent="0.2">
      <c r="A897" s="7" t="s">
        <v>2287</v>
      </c>
      <c r="B897" t="str">
        <f t="shared" si="13"/>
        <v>YDEX IV кв. 2010</v>
      </c>
      <c r="C897">
        <v>2010</v>
      </c>
      <c r="D897">
        <f>SUMIFS(Дивиденды!$C:$C,Дивиденды!$A:$A,A897,Дивиденды!$I:$I,C897)</f>
        <v>0</v>
      </c>
      <c r="E897" t="str">
        <f>IFERROR(IF(VLOOKUP($B897,Показатели!$E:$W,2,FALSE)=0,"",VLOOKUP($B897,Показатели!$E:$W,2,FALSE)),"")</f>
        <v/>
      </c>
      <c r="F897" t="str">
        <f>IFERROR(IF(VLOOKUP($B897,Показатели!$E:$W,3,FALSE)=0,"",VLOOKUP($B897,Показатели!$E:$W,3,FALSE)),"")</f>
        <v/>
      </c>
      <c r="G897" t="str">
        <f>IFERROR(IF(VLOOKUP($B897,Показатели!$E:$W,4,FALSE)=0,"",VLOOKUP($B897,Показатели!$E:$W,4,FALSE)),"")</f>
        <v/>
      </c>
      <c r="H897" t="str">
        <f>IFERROR(IF(VLOOKUP($B897,Показатели!$E:$W,5,FALSE)=0,"",VLOOKUP($B897,Показатели!$E:$W,5,FALSE)),"")</f>
        <v/>
      </c>
      <c r="I897" t="str">
        <f>IFERROR(IF(VLOOKUP($B897,Показатели!$E:$W,6,FALSE)=0,"",VLOOKUP($B897,Показатели!$E:$W,6,FALSE)),"")</f>
        <v/>
      </c>
      <c r="J897" t="str">
        <f>IFERROR(IF(VLOOKUP($B897,Показатели!$E:$W,7,FALSE)=0,"",VLOOKUP($B897,Показатели!$E:$W,7,FALSE)),"")</f>
        <v/>
      </c>
      <c r="K897" t="str">
        <f>IFERROR(IF(VLOOKUP($B897,Показатели!$E:$W,8,FALSE)=0,"",VLOOKUP($B897,Показатели!$E:$W,8,FALSE)),"")</f>
        <v/>
      </c>
      <c r="L897" t="str">
        <f>IFERROR(IF(VLOOKUP($B897,Показатели!$E:$W,9,FALSE)=0,"",VLOOKUP($B897,Показатели!$E:$W,9,FALSE)),"")</f>
        <v/>
      </c>
      <c r="M897" t="str">
        <f>IFERROR(IF(VLOOKUP($B897,Показатели!$E:$W,10,FALSE)=0,"",VLOOKUP($B897,Показатели!$E:$W,10,FALSE)),"")</f>
        <v/>
      </c>
      <c r="N897" t="str">
        <f>IFERROR(IF(VLOOKUP($B897,Показатели!$E:$W,11,FALSE)=0,"",VLOOKUP($B897,Показатели!$E:$W,11,FALSE)),"")</f>
        <v/>
      </c>
      <c r="O897" t="str">
        <f>IFERROR(IF(VLOOKUP($B897,Показатели!$E:$W,12,FALSE)=0,"",VLOOKUP($B897,Показатели!$E:$W,12,FALSE)),"")</f>
        <v/>
      </c>
      <c r="P897" t="str">
        <f>IFERROR(IF(VLOOKUP($B897,Показатели!$E:$W,13,FALSE)=0,"",VLOOKUP($B897,Показатели!$E:$W,13,FALSE)),"")</f>
        <v/>
      </c>
      <c r="Q897" t="str">
        <f>IFERROR(IF(VLOOKUP($B897,Показатели!$E:$W,14,FALSE)=0,"",VLOOKUP($B897,Показатели!$E:$W,14,FALSE)),"")</f>
        <v/>
      </c>
      <c r="R897" t="str">
        <f>IFERROR(IF(VLOOKUP($B897,Показатели!$E:$W,15,FALSE)=0,"",VLOOKUP($B897,Показатели!$E:$W,15,FALSE)),"")</f>
        <v/>
      </c>
      <c r="S897" t="str">
        <f>IFERROR(IF(VLOOKUP($B897,Показатели!$E:$W,16,FALSE)=0,"",VLOOKUP($B897,Показатели!$E:$W,16,FALSE)),"")</f>
        <v/>
      </c>
      <c r="T897" t="str">
        <f>IFERROR(IF(VLOOKUP($B897,Показатели!$E:$W,17,FALSE)=0,"",VLOOKUP($B897,Показатели!$E:$W,17,FALSE)),"")</f>
        <v/>
      </c>
      <c r="U897" t="str">
        <f>IFERROR(IF(VLOOKUP($B897,Показатели!$E:$W,18,FALSE)=0,"",VLOOKUP($B897,Показатели!$E:$W,18,FALSE)),"")</f>
        <v/>
      </c>
      <c r="V897" t="str">
        <f>IFERROR(IF(VLOOKUP($B897,Показатели!$E:$W,19,FALSE)=0,"",VLOOKUP($B897,Показатели!$E:$W,19,FALSE)),"")</f>
        <v/>
      </c>
    </row>
    <row r="898" spans="1:22" x14ac:dyDescent="0.2">
      <c r="A898" s="7" t="s">
        <v>2289</v>
      </c>
      <c r="B898" t="str">
        <f t="shared" si="13"/>
        <v>MTSS IV кв. 2025</v>
      </c>
      <c r="C898">
        <v>2025</v>
      </c>
      <c r="D898">
        <f>SUMIFS(Дивиденды!$C:$C,Дивиденды!$A:$A,A898,Дивиденды!$I:$I,C898)</f>
        <v>0</v>
      </c>
      <c r="E898">
        <f>IFERROR(IF(VLOOKUP($B898,Показатели!$E:$W,2,FALSE)=0,"",VLOOKUP($B898,Показатели!$E:$W,2,FALSE)),"")</f>
        <v>77966000000</v>
      </c>
      <c r="F898">
        <f>IFERROR(IF(VLOOKUP($B898,Показатели!$E:$W,3,FALSE)=0,"",VLOOKUP($B898,Показатели!$E:$W,3,FALSE)),"")</f>
        <v>615848000000</v>
      </c>
      <c r="G898">
        <f>IFERROR(IF(VLOOKUP($B898,Показатели!$E:$W,4,FALSE)=0,"",VLOOKUP($B898,Показатели!$E:$W,4,FALSE)),"")</f>
        <v>391190000000</v>
      </c>
      <c r="H898">
        <f>IFERROR(IF(VLOOKUP($B898,Показатели!$E:$W,5,FALSE)=0,"",VLOOKUP($B898,Показатели!$E:$W,5,FALSE)),"")</f>
        <v>229799000000</v>
      </c>
      <c r="I898">
        <f>IFERROR(IF(VLOOKUP($B898,Показатели!$E:$W,6,FALSE)=0,"",VLOOKUP($B898,Показатели!$E:$W,6,FALSE)),"")</f>
        <v>1768424000000</v>
      </c>
      <c r="J898">
        <f>IFERROR(IF(VLOOKUP($B898,Показатели!$E:$W,7,FALSE)=0,"",VLOOKUP($B898,Показатели!$E:$W,7,FALSE)),"")</f>
        <v>1300894000000</v>
      </c>
      <c r="K898">
        <f>IFERROR(IF(VLOOKUP($B898,Показатели!$E:$W,8,FALSE)=0,"",VLOOKUP($B898,Показатели!$E:$W,8,FALSE)),"")</f>
        <v>450572000000</v>
      </c>
      <c r="L898" t="str">
        <f>IFERROR(IF(VLOOKUP($B898,Показатели!$E:$W,9,FALSE)=0,"",VLOOKUP($B898,Показатели!$E:$W,9,FALSE)),"")</f>
        <v/>
      </c>
      <c r="M898">
        <f>IFERROR(IF(VLOOKUP($B898,Показатели!$E:$W,10,FALSE)=0,"",VLOOKUP($B898,Показатели!$E:$W,10,FALSE)),"")</f>
        <v>16958000000</v>
      </c>
      <c r="N898">
        <f>IFERROR(IF(VLOOKUP($B898,Показатели!$E:$W,11,FALSE)=0,"",VLOOKUP($B898,Показатели!$E:$W,11,FALSE)),"")</f>
        <v>807186000000</v>
      </c>
      <c r="O898">
        <f>IFERROR(IF(VLOOKUP($B898,Показатели!$E:$W,12,FALSE)=0,"",VLOOKUP($B898,Показатели!$E:$W,12,FALSE)),"")</f>
        <v>154609000000</v>
      </c>
      <c r="P898">
        <f>IFERROR(IF(VLOOKUP($B898,Показатели!$E:$W,13,FALSE)=0,"",VLOOKUP($B898,Показатели!$E:$W,13,FALSE)),"")</f>
        <v>47021000000</v>
      </c>
      <c r="Q898">
        <f>IFERROR(IF(VLOOKUP($B898,Показатели!$E:$W,14,FALSE)=0,"",VLOOKUP($B898,Показатели!$E:$W,14,FALSE)),"")</f>
        <v>38637000000</v>
      </c>
      <c r="R898">
        <f>IFERROR(IF(VLOOKUP($B898,Показатели!$E:$W,15,FALSE)=0,"",VLOOKUP($B898,Показатели!$E:$W,15,FALSE)),"")</f>
        <v>125086000000</v>
      </c>
      <c r="S898" t="str">
        <f>IFERROR(IF(VLOOKUP($B898,Показатели!$E:$W,16,FALSE)=0,"",VLOOKUP($B898,Показатели!$E:$W,16,FALSE)),"")</f>
        <v/>
      </c>
      <c r="T898">
        <f>IFERROR(IF(VLOOKUP($B898,Показатели!$E:$W,17,FALSE)=0,"",VLOOKUP($B898,Показатели!$E:$W,17,FALSE)),"")</f>
        <v>-120610000000</v>
      </c>
      <c r="U898">
        <f>IFERROR(IF(VLOOKUP($B898,Показатели!$E:$W,18,FALSE)=0,"",VLOOKUP($B898,Показатели!$E:$W,18,FALSE)),"")</f>
        <v>703741000000</v>
      </c>
      <c r="V898">
        <f>IFERROR(IF(VLOOKUP($B898,Показатели!$E:$W,19,FALSE)=0,"",VLOOKUP($B898,Показатели!$E:$W,19,FALSE)),"")</f>
        <v>1516963000000</v>
      </c>
    </row>
    <row r="899" spans="1:22" x14ac:dyDescent="0.2">
      <c r="A899" s="7" t="s">
        <v>2289</v>
      </c>
      <c r="B899" t="str">
        <f t="shared" ref="B899:B962" si="14">A899&amp;" "&amp;
"IV"
&amp;" кв. "&amp;C899</f>
        <v>MTSS IV кв. 2024</v>
      </c>
      <c r="C899">
        <v>2024</v>
      </c>
      <c r="D899">
        <f>SUMIFS(Дивиденды!$C:$C,Дивиденды!$A:$A,A899,Дивиденды!$I:$I,C899)</f>
        <v>35</v>
      </c>
      <c r="E899">
        <f>IFERROR(IF(VLOOKUP($B899,Показатели!$E:$W,2,FALSE)=0,"",VLOOKUP($B899,Показатели!$E:$W,2,FALSE)),"")</f>
        <v>109776000000</v>
      </c>
      <c r="F899">
        <f>IFERROR(IF(VLOOKUP($B899,Показатели!$E:$W,3,FALSE)=0,"",VLOOKUP($B899,Показатели!$E:$W,3,FALSE)),"")</f>
        <v>538494000000</v>
      </c>
      <c r="G899">
        <f>IFERROR(IF(VLOOKUP($B899,Показатели!$E:$W,4,FALSE)=0,"",VLOOKUP($B899,Показатели!$E:$W,4,FALSE)),"")</f>
        <v>339510000000</v>
      </c>
      <c r="H899">
        <f>IFERROR(IF(VLOOKUP($B899,Показатели!$E:$W,5,FALSE)=0,"",VLOOKUP($B899,Показатели!$E:$W,5,FALSE)),"")</f>
        <v>219144000000</v>
      </c>
      <c r="I899">
        <f>IFERROR(IF(VLOOKUP($B899,Показатели!$E:$W,6,FALSE)=0,"",VLOOKUP($B899,Показатели!$E:$W,6,FALSE)),"")</f>
        <v>1516963000000</v>
      </c>
      <c r="J899">
        <f>IFERROR(IF(VLOOKUP($B899,Показатели!$E:$W,7,FALSE)=0,"",VLOOKUP($B899,Показатели!$E:$W,7,FALSE)),"")</f>
        <v>1130265000000</v>
      </c>
      <c r="K899">
        <f>IFERROR(IF(VLOOKUP($B899,Показатели!$E:$W,8,FALSE)=0,"",VLOOKUP($B899,Показатели!$E:$W,8,FALSE)),"")</f>
        <v>397932000000</v>
      </c>
      <c r="L899">
        <f>IFERROR(IF(VLOOKUP($B899,Показатели!$E:$W,9,FALSE)=0,"",VLOOKUP($B899,Показатели!$E:$W,9,FALSE)),"")</f>
        <v>56113000000</v>
      </c>
      <c r="M899">
        <f>IFERROR(IF(VLOOKUP($B899,Показатели!$E:$W,10,FALSE)=0,"",VLOOKUP($B899,Показатели!$E:$W,10,FALSE)),"")</f>
        <v>-11234000000</v>
      </c>
      <c r="N899">
        <f>IFERROR(IF(VLOOKUP($B899,Показатели!$E:$W,11,FALSE)=0,"",VLOOKUP($B899,Показатели!$E:$W,11,FALSE)),"")</f>
        <v>703741000000</v>
      </c>
      <c r="O899">
        <f>IFERROR(IF(VLOOKUP($B899,Показатели!$E:$W,12,FALSE)=0,"",VLOOKUP($B899,Показатели!$E:$W,12,FALSE)),"")</f>
        <v>135930000000</v>
      </c>
      <c r="P899">
        <f>IFERROR(IF(VLOOKUP($B899,Показатели!$E:$W,13,FALSE)=0,"",VLOOKUP($B899,Показатели!$E:$W,13,FALSE)),"")</f>
        <v>35478000000</v>
      </c>
      <c r="Q899">
        <f>IFERROR(IF(VLOOKUP($B899,Показатели!$E:$W,14,FALSE)=0,"",VLOOKUP($B899,Показатели!$E:$W,14,FALSE)),"")</f>
        <v>51300000000</v>
      </c>
      <c r="R899">
        <f>IFERROR(IF(VLOOKUP($B899,Показатели!$E:$W,15,FALSE)=0,"",VLOOKUP($B899,Показатели!$E:$W,15,FALSE)),"")</f>
        <v>110757000000</v>
      </c>
      <c r="S899" t="str">
        <f>IFERROR(IF(VLOOKUP($B899,Показатели!$E:$W,16,FALSE)=0,"",VLOOKUP($B899,Показатели!$E:$W,16,FALSE)),"")</f>
        <v/>
      </c>
      <c r="T899">
        <f>IFERROR(IF(VLOOKUP($B899,Показатели!$E:$W,17,FALSE)=0,"",VLOOKUP($B899,Показатели!$E:$W,17,FALSE)),"")</f>
        <v>-132373000000</v>
      </c>
      <c r="U899">
        <f>IFERROR(IF(VLOOKUP($B899,Показатели!$E:$W,18,FALSE)=0,"",VLOOKUP($B899,Показатели!$E:$W,18,FALSE)),"")</f>
        <v>605991000000</v>
      </c>
      <c r="V899">
        <f>IFERROR(IF(VLOOKUP($B899,Показатели!$E:$W,19,FALSE)=0,"",VLOOKUP($B899,Показатели!$E:$W,19,FALSE)),"")</f>
        <v>1291545000000</v>
      </c>
    </row>
    <row r="900" spans="1:22" x14ac:dyDescent="0.2">
      <c r="A900" s="7" t="s">
        <v>2289</v>
      </c>
      <c r="B900" t="str">
        <f t="shared" si="14"/>
        <v>MTSS IV кв. 2023</v>
      </c>
      <c r="C900">
        <v>2023</v>
      </c>
      <c r="D900">
        <f>SUMIFS(Дивиденды!$C:$C,Дивиденды!$A:$A,A900,Дивиденды!$I:$I,C900)</f>
        <v>35</v>
      </c>
      <c r="E900">
        <f>IFERROR(IF(VLOOKUP($B900,Показатели!$E:$W,2,FALSE)=0,"",VLOOKUP($B900,Показатели!$E:$W,2,FALSE)),"")</f>
        <v>73752000000</v>
      </c>
      <c r="F900">
        <f>IFERROR(IF(VLOOKUP($B900,Показатели!$E:$W,3,FALSE)=0,"",VLOOKUP($B900,Показатели!$E:$W,3,FALSE)),"")</f>
        <v>405608000000</v>
      </c>
      <c r="G900">
        <f>IFERROR(IF(VLOOKUP($B900,Показатели!$E:$W,4,FALSE)=0,"",VLOOKUP($B900,Показатели!$E:$W,4,FALSE)),"")</f>
        <v>314270000000</v>
      </c>
      <c r="H900">
        <f>IFERROR(IF(VLOOKUP($B900,Показатели!$E:$W,5,FALSE)=0,"",VLOOKUP($B900,Показатели!$E:$W,5,FALSE)),"")</f>
        <v>169699000000</v>
      </c>
      <c r="I900">
        <f>IFERROR(IF(VLOOKUP($B900,Показатели!$E:$W,6,FALSE)=0,"",VLOOKUP($B900,Показатели!$E:$W,6,FALSE)),"")</f>
        <v>1291545000000</v>
      </c>
      <c r="J900">
        <f>IFERROR(IF(VLOOKUP($B900,Показатели!$E:$W,7,FALSE)=0,"",VLOOKUP($B900,Показатели!$E:$W,7,FALSE)),"")</f>
        <v>817137000000</v>
      </c>
      <c r="K900">
        <f>IFERROR(IF(VLOOKUP($B900,Показатели!$E:$W,8,FALSE)=0,"",VLOOKUP($B900,Показатели!$E:$W,8,FALSE)),"")</f>
        <v>472688000000</v>
      </c>
      <c r="L900" t="str">
        <f>IFERROR(IF(VLOOKUP($B900,Показатели!$E:$W,9,FALSE)=0,"",VLOOKUP($B900,Показатели!$E:$W,9,FALSE)),"")</f>
        <v/>
      </c>
      <c r="M900">
        <f>IFERROR(IF(VLOOKUP($B900,Показатели!$E:$W,10,FALSE)=0,"",VLOOKUP($B900,Показатели!$E:$W,10,FALSE)),"")</f>
        <v>1720000000</v>
      </c>
      <c r="N900">
        <f>IFERROR(IF(VLOOKUP($B900,Показатели!$E:$W,11,FALSE)=0,"",VLOOKUP($B900,Показатели!$E:$W,11,FALSE)),"")</f>
        <v>605991000000</v>
      </c>
      <c r="O900">
        <f>IFERROR(IF(VLOOKUP($B900,Показатели!$E:$W,12,FALSE)=0,"",VLOOKUP($B900,Показатели!$E:$W,12,FALSE)),"")</f>
        <v>122846000000</v>
      </c>
      <c r="P900">
        <f>IFERROR(IF(VLOOKUP($B900,Показатели!$E:$W,13,FALSE)=0,"",VLOOKUP($B900,Показатели!$E:$W,13,FALSE)),"")</f>
        <v>65396000000</v>
      </c>
      <c r="Q900">
        <f>IFERROR(IF(VLOOKUP($B900,Показатели!$E:$W,14,FALSE)=0,"",VLOOKUP($B900,Показатели!$E:$W,14,FALSE)),"")</f>
        <v>55529000000</v>
      </c>
      <c r="R900">
        <f>IFERROR(IF(VLOOKUP($B900,Показатели!$E:$W,15,FALSE)=0,"",VLOOKUP($B900,Показатели!$E:$W,15,FALSE)),"")</f>
        <v>114359000000</v>
      </c>
      <c r="S900" t="str">
        <f>IFERROR(IF(VLOOKUP($B900,Показатели!$E:$W,16,FALSE)=0,"",VLOOKUP($B900,Показатели!$E:$W,16,FALSE)),"")</f>
        <v/>
      </c>
      <c r="T900">
        <f>IFERROR(IF(VLOOKUP($B900,Показатели!$E:$W,17,FALSE)=0,"",VLOOKUP($B900,Показатели!$E:$W,17,FALSE)),"")</f>
        <v>-101506000000</v>
      </c>
      <c r="U900">
        <f>IFERROR(IF(VLOOKUP($B900,Показатели!$E:$W,18,FALSE)=0,"",VLOOKUP($B900,Показатели!$E:$W,18,FALSE)),"")</f>
        <v>541749000000</v>
      </c>
      <c r="V900">
        <f>IFERROR(IF(VLOOKUP($B900,Показатели!$E:$W,19,FALSE)=0,"",VLOOKUP($B900,Показатели!$E:$W,19,FALSE)),"")</f>
        <v>1082930000000</v>
      </c>
    </row>
    <row r="901" spans="1:22" x14ac:dyDescent="0.2">
      <c r="A901" s="7" t="s">
        <v>2289</v>
      </c>
      <c r="B901" t="str">
        <f t="shared" si="14"/>
        <v>MTSS IV кв. 2022</v>
      </c>
      <c r="C901">
        <v>2022</v>
      </c>
      <c r="D901">
        <f>SUMIFS(Дивиденды!$C:$C,Дивиденды!$A:$A,A901,Дивиденды!$I:$I,C901)</f>
        <v>34.29</v>
      </c>
      <c r="E901">
        <f>IFERROR(IF(VLOOKUP($B901,Показатели!$E:$W,2,FALSE)=0,"",VLOOKUP($B901,Показатели!$E:$W,2,FALSE)),"")</f>
        <v>78292000000</v>
      </c>
      <c r="F901">
        <f>IFERROR(IF(VLOOKUP($B901,Показатели!$E:$W,3,FALSE)=0,"",VLOOKUP($B901,Показатели!$E:$W,3,FALSE)),"")</f>
        <v>300883000000</v>
      </c>
      <c r="G901">
        <f>IFERROR(IF(VLOOKUP($B901,Показатели!$E:$W,4,FALSE)=0,"",VLOOKUP($B901,Показатели!$E:$W,4,FALSE)),"")</f>
        <v>312509000000</v>
      </c>
      <c r="H901">
        <f>IFERROR(IF(VLOOKUP($B901,Показатели!$E:$W,5,FALSE)=0,"",VLOOKUP($B901,Показатели!$E:$W,5,FALSE)),"")</f>
        <v>165243000000</v>
      </c>
      <c r="I901">
        <f>IFERROR(IF(VLOOKUP($B901,Показатели!$E:$W,6,FALSE)=0,"",VLOOKUP($B901,Показатели!$E:$W,6,FALSE)),"")</f>
        <v>1082930000000</v>
      </c>
      <c r="J901">
        <f>IFERROR(IF(VLOOKUP($B901,Показатели!$E:$W,7,FALSE)=0,"",VLOOKUP($B901,Показатели!$E:$W,7,FALSE)),"")</f>
        <v>551345000000</v>
      </c>
      <c r="K901">
        <f>IFERROR(IF(VLOOKUP($B901,Показатели!$E:$W,8,FALSE)=0,"",VLOOKUP($B901,Показатели!$E:$W,8,FALSE)),"")</f>
        <v>535202000000</v>
      </c>
      <c r="L901" t="str">
        <f>IFERROR(IF(VLOOKUP($B901,Показатели!$E:$W,9,FALSE)=0,"",VLOOKUP($B901,Показатели!$E:$W,9,FALSE)),"")</f>
        <v/>
      </c>
      <c r="M901">
        <f>IFERROR(IF(VLOOKUP($B901,Показатели!$E:$W,10,FALSE)=0,"",VLOOKUP($B901,Показатели!$E:$W,10,FALSE)),"")</f>
        <v>-3617000000</v>
      </c>
      <c r="N901">
        <f>IFERROR(IF(VLOOKUP($B901,Показатели!$E:$W,11,FALSE)=0,"",VLOOKUP($B901,Показатели!$E:$W,11,FALSE)),"")</f>
        <v>541749000000</v>
      </c>
      <c r="O901">
        <f>IFERROR(IF(VLOOKUP($B901,Показатели!$E:$W,12,FALSE)=0,"",VLOOKUP($B901,Показатели!$E:$W,12,FALSE)),"")</f>
        <v>109437000000</v>
      </c>
      <c r="P901">
        <f>IFERROR(IF(VLOOKUP($B901,Показатели!$E:$W,13,FALSE)=0,"",VLOOKUP($B901,Показатели!$E:$W,13,FALSE)),"")</f>
        <v>50001000000</v>
      </c>
      <c r="Q901">
        <f>IFERROR(IF(VLOOKUP($B901,Показатели!$E:$W,14,FALSE)=0,"",VLOOKUP($B901,Показатели!$E:$W,14,FALSE)),"")</f>
        <v>33435000000</v>
      </c>
      <c r="R901">
        <f>IFERROR(IF(VLOOKUP($B901,Показатели!$E:$W,15,FALSE)=0,"",VLOOKUP($B901,Показатели!$E:$W,15,FALSE)),"")</f>
        <v>114491000000</v>
      </c>
      <c r="S901" t="str">
        <f>IFERROR(IF(VLOOKUP($B901,Показатели!$E:$W,16,FALSE)=0,"",VLOOKUP($B901,Показатели!$E:$W,16,FALSE)),"")</f>
        <v/>
      </c>
      <c r="T901">
        <f>IFERROR(IF(VLOOKUP($B901,Показатели!$E:$W,17,FALSE)=0,"",VLOOKUP($B901,Показатели!$E:$W,17,FALSE)),"")</f>
        <v>-112581000000</v>
      </c>
      <c r="U901">
        <f>IFERROR(IF(VLOOKUP($B901,Показатели!$E:$W,18,FALSE)=0,"",VLOOKUP($B901,Показатели!$E:$W,18,FALSE)),"")</f>
        <v>534403000000</v>
      </c>
      <c r="V901">
        <f>IFERROR(IF(VLOOKUP($B901,Показатели!$E:$W,19,FALSE)=0,"",VLOOKUP($B901,Показатели!$E:$W,19,FALSE)),"")</f>
        <v>1015818000000</v>
      </c>
    </row>
    <row r="902" spans="1:22" x14ac:dyDescent="0.2">
      <c r="A902" s="7" t="s">
        <v>2289</v>
      </c>
      <c r="B902" t="str">
        <f t="shared" si="14"/>
        <v>MTSS IV кв. 2021</v>
      </c>
      <c r="C902">
        <v>2021</v>
      </c>
      <c r="D902">
        <f>SUMIFS(Дивиденды!$C:$C,Дивиденды!$A:$A,A902,Дивиденды!$I:$I,C902)</f>
        <v>44.400000000000006</v>
      </c>
      <c r="E902">
        <f>IFERROR(IF(VLOOKUP($B902,Показатели!$E:$W,2,FALSE)=0,"",VLOOKUP($B902,Показатели!$E:$W,2,FALSE)),"")</f>
        <v>40590000000</v>
      </c>
      <c r="F902">
        <f>IFERROR(IF(VLOOKUP($B902,Показатели!$E:$W,3,FALSE)=0,"",VLOOKUP($B902,Показатели!$E:$W,3,FALSE)),"")</f>
        <v>263300000000</v>
      </c>
      <c r="G902">
        <f>IFERROR(IF(VLOOKUP($B902,Показатели!$E:$W,4,FALSE)=0,"",VLOOKUP($B902,Показатели!$E:$W,4,FALSE)),"")</f>
        <v>311250000000</v>
      </c>
      <c r="H902">
        <f>IFERROR(IF(VLOOKUP($B902,Показатели!$E:$W,5,FALSE)=0,"",VLOOKUP($B902,Показатели!$E:$W,5,FALSE)),"")</f>
        <v>142951000000</v>
      </c>
      <c r="I902">
        <f>IFERROR(IF(VLOOKUP($B902,Показатели!$E:$W,6,FALSE)=0,"",VLOOKUP($B902,Показатели!$E:$W,6,FALSE)),"")</f>
        <v>1015818000000</v>
      </c>
      <c r="J902">
        <f>IFERROR(IF(VLOOKUP($B902,Показатели!$E:$W,7,FALSE)=0,"",VLOOKUP($B902,Показатели!$E:$W,7,FALSE)),"")</f>
        <v>473420000000</v>
      </c>
      <c r="K902">
        <f>IFERROR(IF(VLOOKUP($B902,Показатели!$E:$W,8,FALSE)=0,"",VLOOKUP($B902,Показатели!$E:$W,8,FALSE)),"")</f>
        <v>527794000000</v>
      </c>
      <c r="L902">
        <f>IFERROR(IF(VLOOKUP($B902,Показатели!$E:$W,9,FALSE)=0,"",VLOOKUP($B902,Показатели!$E:$W,9,FALSE)),"")</f>
        <v>94935000000</v>
      </c>
      <c r="M902">
        <f>IFERROR(IF(VLOOKUP($B902,Показатели!$E:$W,10,FALSE)=0,"",VLOOKUP($B902,Показатели!$E:$W,10,FALSE)),"")</f>
        <v>14604000000</v>
      </c>
      <c r="N902">
        <f>IFERROR(IF(VLOOKUP($B902,Показатели!$E:$W,11,FALSE)=0,"",VLOOKUP($B902,Показатели!$E:$W,11,FALSE)),"")</f>
        <v>534403000000</v>
      </c>
      <c r="O902">
        <f>IFERROR(IF(VLOOKUP($B902,Показатели!$E:$W,12,FALSE)=0,"",VLOOKUP($B902,Показатели!$E:$W,12,FALSE)),"")</f>
        <v>118279000000</v>
      </c>
      <c r="P902">
        <f>IFERROR(IF(VLOOKUP($B902,Показатели!$E:$W,13,FALSE)=0,"",VLOOKUP($B902,Показатели!$E:$W,13,FALSE)),"")</f>
        <v>79202000000</v>
      </c>
      <c r="Q902">
        <f>IFERROR(IF(VLOOKUP($B902,Показатели!$E:$W,14,FALSE)=0,"",VLOOKUP($B902,Показатели!$E:$W,14,FALSE)),"")</f>
        <v>64269000000</v>
      </c>
      <c r="R902">
        <f>IFERROR(IF(VLOOKUP($B902,Показатели!$E:$W,15,FALSE)=0,"",VLOOKUP($B902,Показатели!$E:$W,15,FALSE)),"")</f>
        <v>111088000000</v>
      </c>
      <c r="S902" t="str">
        <f>IFERROR(IF(VLOOKUP($B902,Показатели!$E:$W,16,FALSE)=0,"",VLOOKUP($B902,Показатели!$E:$W,16,FALSE)),"")</f>
        <v/>
      </c>
      <c r="T902">
        <f>IFERROR(IF(VLOOKUP($B902,Показатели!$E:$W,17,FALSE)=0,"",VLOOKUP($B902,Показатели!$E:$W,17,FALSE)),"")</f>
        <v>-111143000000</v>
      </c>
      <c r="U902">
        <f>IFERROR(IF(VLOOKUP($B902,Показатели!$E:$W,18,FALSE)=0,"",VLOOKUP($B902,Показатели!$E:$W,18,FALSE)),"")</f>
        <v>494926000000</v>
      </c>
      <c r="V902">
        <f>IFERROR(IF(VLOOKUP($B902,Показатели!$E:$W,19,FALSE)=0,"",VLOOKUP($B902,Показатели!$E:$W,19,FALSE)),"")</f>
        <v>919203000000</v>
      </c>
    </row>
    <row r="903" spans="1:22" x14ac:dyDescent="0.2">
      <c r="A903" s="7" t="s">
        <v>2289</v>
      </c>
      <c r="B903" t="str">
        <f t="shared" si="14"/>
        <v>MTSS IV кв. 2020</v>
      </c>
      <c r="C903">
        <v>2020</v>
      </c>
      <c r="D903">
        <f>SUMIFS(Дивиденды!$C:$C,Дивиденды!$A:$A,A903,Дивиденды!$I:$I,C903)</f>
        <v>35.44</v>
      </c>
      <c r="E903">
        <f>IFERROR(IF(VLOOKUP($B903,Показатели!$E:$W,2,FALSE)=0,"",VLOOKUP($B903,Показатели!$E:$W,2,FALSE)),"")</f>
        <v>85405000000</v>
      </c>
      <c r="F903">
        <f>IFERROR(IF(VLOOKUP($B903,Показатели!$E:$W,3,FALSE)=0,"",VLOOKUP($B903,Показатели!$E:$W,3,FALSE)),"")</f>
        <v>262354000000</v>
      </c>
      <c r="G903">
        <f>IFERROR(IF(VLOOKUP($B903,Показатели!$E:$W,4,FALSE)=0,"",VLOOKUP($B903,Показатели!$E:$W,4,FALSE)),"")</f>
        <v>284804000000</v>
      </c>
      <c r="H903">
        <f>IFERROR(IF(VLOOKUP($B903,Показатели!$E:$W,5,FALSE)=0,"",VLOOKUP($B903,Показатели!$E:$W,5,FALSE)),"")</f>
        <v>128144000000</v>
      </c>
      <c r="I903">
        <f>IFERROR(IF(VLOOKUP($B903,Показатели!$E:$W,6,FALSE)=0,"",VLOOKUP($B903,Показатели!$E:$W,6,FALSE)),"")</f>
        <v>919203000000</v>
      </c>
      <c r="J903">
        <f>IFERROR(IF(VLOOKUP($B903,Показатели!$E:$W,7,FALSE)=0,"",VLOOKUP($B903,Показатели!$E:$W,7,FALSE)),"")</f>
        <v>328614000000</v>
      </c>
      <c r="K903">
        <f>IFERROR(IF(VLOOKUP($B903,Показатели!$E:$W,8,FALSE)=0,"",VLOOKUP($B903,Показатели!$E:$W,8,FALSE)),"")</f>
        <v>557899000000</v>
      </c>
      <c r="L903">
        <f>IFERROR(IF(VLOOKUP($B903,Показатели!$E:$W,9,FALSE)=0,"",VLOOKUP($B903,Показатели!$E:$W,9,FALSE)),"")</f>
        <v>94391000000</v>
      </c>
      <c r="M903">
        <f>IFERROR(IF(VLOOKUP($B903,Показатели!$E:$W,10,FALSE)=0,"",VLOOKUP($B903,Показатели!$E:$W,10,FALSE)),"")</f>
        <v>32690000000</v>
      </c>
      <c r="N903">
        <f>IFERROR(IF(VLOOKUP($B903,Показатели!$E:$W,11,FALSE)=0,"",VLOOKUP($B903,Показатели!$E:$W,11,FALSE)),"")</f>
        <v>494926000000</v>
      </c>
      <c r="O903">
        <f>IFERROR(IF(VLOOKUP($B903,Показатели!$E:$W,12,FALSE)=0,"",VLOOKUP($B903,Показатели!$E:$W,12,FALSE)),"")</f>
        <v>112893000000</v>
      </c>
      <c r="P903">
        <f>IFERROR(IF(VLOOKUP($B903,Показатели!$E:$W,13,FALSE)=0,"",VLOOKUP($B903,Показатели!$E:$W,13,FALSE)),"")</f>
        <v>77583000000</v>
      </c>
      <c r="Q903">
        <f>IFERROR(IF(VLOOKUP($B903,Показатели!$E:$W,14,FALSE)=0,"",VLOOKUP($B903,Показатели!$E:$W,14,FALSE)),"")</f>
        <v>62073000000</v>
      </c>
      <c r="R903">
        <f>IFERROR(IF(VLOOKUP($B903,Показатели!$E:$W,15,FALSE)=0,"",VLOOKUP($B903,Показатели!$E:$W,15,FALSE)),"")</f>
        <v>100205000000</v>
      </c>
      <c r="S903" t="str">
        <f>IFERROR(IF(VLOOKUP($B903,Показатели!$E:$W,16,FALSE)=0,"",VLOOKUP($B903,Показатели!$E:$W,16,FALSE)),"")</f>
        <v/>
      </c>
      <c r="T903">
        <f>IFERROR(IF(VLOOKUP($B903,Показатели!$E:$W,17,FALSE)=0,"",VLOOKUP($B903,Показатели!$E:$W,17,FALSE)),"")</f>
        <v>-97409000000</v>
      </c>
      <c r="U903">
        <f>IFERROR(IF(VLOOKUP($B903,Показатели!$E:$W,18,FALSE)=0,"",VLOOKUP($B903,Показатели!$E:$W,18,FALSE)),"")</f>
        <v>476106000000</v>
      </c>
      <c r="V903">
        <f>IFERROR(IF(VLOOKUP($B903,Показатели!$E:$W,19,FALSE)=0,"",VLOOKUP($B903,Показатели!$E:$W,19,FALSE)),"")</f>
        <v>823910000000</v>
      </c>
    </row>
    <row r="904" spans="1:22" x14ac:dyDescent="0.2">
      <c r="A904" s="7" t="s">
        <v>2289</v>
      </c>
      <c r="B904" t="str">
        <f t="shared" si="14"/>
        <v>MTSS IV кв. 2019</v>
      </c>
      <c r="C904">
        <v>2019</v>
      </c>
      <c r="D904">
        <f>SUMIFS(Дивиденды!$C:$C,Дивиденды!$A:$A,A904,Дивиденды!$I:$I,C904)</f>
        <v>42.5</v>
      </c>
      <c r="E904">
        <f>IFERROR(IF(VLOOKUP($B904,Показатели!$E:$W,2,FALSE)=0,"",VLOOKUP($B904,Показатели!$E:$W,2,FALSE)),"")</f>
        <v>38070000000</v>
      </c>
      <c r="F904">
        <f>IFERROR(IF(VLOOKUP($B904,Показатели!$E:$W,3,FALSE)=0,"",VLOOKUP($B904,Показатели!$E:$W,3,FALSE)),"")</f>
        <v>194588000000</v>
      </c>
      <c r="G904">
        <f>IFERROR(IF(VLOOKUP($B904,Показатели!$E:$W,4,FALSE)=0,"",VLOOKUP($B904,Показатели!$E:$W,4,FALSE)),"")</f>
        <v>265479000000</v>
      </c>
      <c r="H904">
        <f>IFERROR(IF(VLOOKUP($B904,Показатели!$E:$W,5,FALSE)=0,"",VLOOKUP($B904,Показатели!$E:$W,5,FALSE)),"")</f>
        <v>118404000000</v>
      </c>
      <c r="I904">
        <f>IFERROR(IF(VLOOKUP($B904,Показатели!$E:$W,6,FALSE)=0,"",VLOOKUP($B904,Показатели!$E:$W,6,FALSE)),"")</f>
        <v>823910000000</v>
      </c>
      <c r="J904">
        <f>IFERROR(IF(VLOOKUP($B904,Показатели!$E:$W,7,FALSE)=0,"",VLOOKUP($B904,Показатели!$E:$W,7,FALSE)),"")</f>
        <v>348457000000</v>
      </c>
      <c r="K904">
        <f>IFERROR(IF(VLOOKUP($B904,Показатели!$E:$W,8,FALSE)=0,"",VLOOKUP($B904,Показатели!$E:$W,8,FALSE)),"")</f>
        <v>439059000000</v>
      </c>
      <c r="L904">
        <f>IFERROR(IF(VLOOKUP($B904,Показатели!$E:$W,9,FALSE)=0,"",VLOOKUP($B904,Показатели!$E:$W,9,FALSE)),"")</f>
        <v>85249000000</v>
      </c>
      <c r="M904">
        <f>IFERROR(IF(VLOOKUP($B904,Показатели!$E:$W,10,FALSE)=0,"",VLOOKUP($B904,Показатели!$E:$W,10,FALSE)),"")</f>
        <v>36394000000</v>
      </c>
      <c r="N904">
        <f>IFERROR(IF(VLOOKUP($B904,Показатели!$E:$W,11,FALSE)=0,"",VLOOKUP($B904,Показатели!$E:$W,11,FALSE)),"")</f>
        <v>476106000000</v>
      </c>
      <c r="O904">
        <f>IFERROR(IF(VLOOKUP($B904,Показатели!$E:$W,12,FALSE)=0,"",VLOOKUP($B904,Показатели!$E:$W,12,FALSE)),"")</f>
        <v>114188000000</v>
      </c>
      <c r="P904">
        <f>IFERROR(IF(VLOOKUP($B904,Показатели!$E:$W,13,FALSE)=0,"",VLOOKUP($B904,Показатели!$E:$W,13,FALSE)),"")</f>
        <v>66873000000</v>
      </c>
      <c r="Q904">
        <f>IFERROR(IF(VLOOKUP($B904,Показатели!$E:$W,14,FALSE)=0,"",VLOOKUP($B904,Показатели!$E:$W,14,FALSE)),"")</f>
        <v>55099000000</v>
      </c>
      <c r="R904">
        <f>IFERROR(IF(VLOOKUP($B904,Показатели!$E:$W,15,FALSE)=0,"",VLOOKUP($B904,Показатели!$E:$W,15,FALSE)),"")</f>
        <v>106948000000</v>
      </c>
      <c r="S904" t="str">
        <f>IFERROR(IF(VLOOKUP($B904,Показатели!$E:$W,16,FALSE)=0,"",VLOOKUP($B904,Показатели!$E:$W,16,FALSE)),"")</f>
        <v/>
      </c>
      <c r="T904">
        <f>IFERROR(IF(VLOOKUP($B904,Показатели!$E:$W,17,FALSE)=0,"",VLOOKUP($B904,Показатели!$E:$W,17,FALSE)),"")</f>
        <v>-91481000000</v>
      </c>
      <c r="U904">
        <f>IFERROR(IF(VLOOKUP($B904,Показатели!$E:$W,18,FALSE)=0,"",VLOOKUP($B904,Показатели!$E:$W,18,FALSE)),"")</f>
        <v>480293000000</v>
      </c>
      <c r="V904">
        <f>IFERROR(IF(VLOOKUP($B904,Показатели!$E:$W,19,FALSE)=0,"",VLOOKUP($B904,Показатели!$E:$W,19,FALSE)),"")</f>
        <v>915993000000</v>
      </c>
    </row>
    <row r="905" spans="1:22" x14ac:dyDescent="0.2">
      <c r="A905" s="7" t="s">
        <v>2289</v>
      </c>
      <c r="B905" t="str">
        <f t="shared" si="14"/>
        <v>MTSS IV кв. 2018</v>
      </c>
      <c r="C905">
        <v>2018</v>
      </c>
      <c r="D905">
        <f>SUMIFS(Дивиденды!$C:$C,Дивиденды!$A:$A,A905,Дивиденды!$I:$I,C905)</f>
        <v>22.580000000000002</v>
      </c>
      <c r="E905">
        <f>IFERROR(IF(VLOOKUP($B905,Показатели!$E:$W,2,FALSE)=0,"",VLOOKUP($B905,Показатели!$E:$W,2,FALSE)),"")</f>
        <v>84075000000</v>
      </c>
      <c r="F905">
        <f>IFERROR(IF(VLOOKUP($B905,Показатели!$E:$W,3,FALSE)=0,"",VLOOKUP($B905,Показатели!$E:$W,3,FALSE)),"")</f>
        <v>268934000000</v>
      </c>
      <c r="G905">
        <f>IFERROR(IF(VLOOKUP($B905,Показатели!$E:$W,4,FALSE)=0,"",VLOOKUP($B905,Показатели!$E:$W,4,FALSE)),"")</f>
        <v>276443000000</v>
      </c>
      <c r="H905">
        <f>IFERROR(IF(VLOOKUP($B905,Показатели!$E:$W,5,FALSE)=0,"",VLOOKUP($B905,Показатели!$E:$W,5,FALSE)),"")</f>
        <v>135069000000</v>
      </c>
      <c r="I905">
        <f>IFERROR(IF(VLOOKUP($B905,Показатели!$E:$W,6,FALSE)=0,"",VLOOKUP($B905,Показатели!$E:$W,6,FALSE)),"")</f>
        <v>915993000000</v>
      </c>
      <c r="J905">
        <f>IFERROR(IF(VLOOKUP($B905,Показатели!$E:$W,7,FALSE)=0,"",VLOOKUP($B905,Показатели!$E:$W,7,FALSE)),"")</f>
        <v>295471000000</v>
      </c>
      <c r="K905">
        <f>IFERROR(IF(VLOOKUP($B905,Показатели!$E:$W,8,FALSE)=0,"",VLOOKUP($B905,Показатели!$E:$W,8,FALSE)),"")</f>
        <v>542957000000</v>
      </c>
      <c r="L905">
        <f>IFERROR(IF(VLOOKUP($B905,Показатели!$E:$W,9,FALSE)=0,"",VLOOKUP($B905,Показатели!$E:$W,9,FALSE)),"")</f>
        <v>110946000000</v>
      </c>
      <c r="M905">
        <f>IFERROR(IF(VLOOKUP($B905,Показатели!$E:$W,10,FALSE)=0,"",VLOOKUP($B905,Показатели!$E:$W,10,FALSE)),"")</f>
        <v>77565000000</v>
      </c>
      <c r="N905">
        <f>IFERROR(IF(VLOOKUP($B905,Показатели!$E:$W,11,FALSE)=0,"",VLOOKUP($B905,Показатели!$E:$W,11,FALSE)),"")</f>
        <v>480293000000</v>
      </c>
      <c r="O905">
        <f>IFERROR(IF(VLOOKUP($B905,Показатели!$E:$W,12,FALSE)=0,"",VLOOKUP($B905,Показатели!$E:$W,12,FALSE)),"")</f>
        <v>116185000000</v>
      </c>
      <c r="P905">
        <f>IFERROR(IF(VLOOKUP($B905,Показатели!$E:$W,13,FALSE)=0,"",VLOOKUP($B905,Показатели!$E:$W,13,FALSE)),"")</f>
        <v>83851000000</v>
      </c>
      <c r="Q905">
        <f>IFERROR(IF(VLOOKUP($B905,Показатели!$E:$W,14,FALSE)=0,"",VLOOKUP($B905,Показатели!$E:$W,14,FALSE)),"")</f>
        <v>7832000000</v>
      </c>
      <c r="R905">
        <f>IFERROR(IF(VLOOKUP($B905,Показатели!$E:$W,15,FALSE)=0,"",VLOOKUP($B905,Показатели!$E:$W,15,FALSE)),"")</f>
        <v>104588000000</v>
      </c>
      <c r="S905" t="str">
        <f>IFERROR(IF(VLOOKUP($B905,Показатели!$E:$W,16,FALSE)=0,"",VLOOKUP($B905,Показатели!$E:$W,16,FALSE)),"")</f>
        <v/>
      </c>
      <c r="T905">
        <f>IFERROR(IF(VLOOKUP($B905,Показатели!$E:$W,17,FALSE)=0,"",VLOOKUP($B905,Показатели!$E:$W,17,FALSE)),"")</f>
        <v>-86482000000</v>
      </c>
      <c r="U905">
        <f>IFERROR(IF(VLOOKUP($B905,Показатели!$E:$W,18,FALSE)=0,"",VLOOKUP($B905,Показатели!$E:$W,18,FALSE)),"")</f>
        <v>442911000000</v>
      </c>
      <c r="V905">
        <f>IFERROR(IF(VLOOKUP($B905,Показатели!$E:$W,19,FALSE)=0,"",VLOOKUP($B905,Показатели!$E:$W,19,FALSE)),"")</f>
        <v>551070000000</v>
      </c>
    </row>
    <row r="906" spans="1:22" x14ac:dyDescent="0.2">
      <c r="A906" s="7" t="s">
        <v>2289</v>
      </c>
      <c r="B906" t="str">
        <f t="shared" si="14"/>
        <v>MTSS IV кв. 2017</v>
      </c>
      <c r="C906">
        <v>2017</v>
      </c>
      <c r="D906">
        <f>SUMIFS(Дивиденды!$C:$C,Дивиденды!$A:$A,A906,Дивиденды!$I:$I,C906)</f>
        <v>33.799999999999997</v>
      </c>
      <c r="E906">
        <f>IFERROR(IF(VLOOKUP($B906,Показатели!$E:$W,2,FALSE)=0,"",VLOOKUP($B906,Показатели!$E:$W,2,FALSE)),"")</f>
        <v>30586000000</v>
      </c>
      <c r="F906">
        <f>IFERROR(IF(VLOOKUP($B906,Показатели!$E:$W,3,FALSE)=0,"",VLOOKUP($B906,Показатели!$E:$W,3,FALSE)),"")</f>
        <v>146032000000</v>
      </c>
      <c r="G906">
        <f>IFERROR(IF(VLOOKUP($B906,Показатели!$E:$W,4,FALSE)=0,"",VLOOKUP($B906,Показатели!$E:$W,4,FALSE)),"")</f>
        <v>263063000000</v>
      </c>
      <c r="H906">
        <f>IFERROR(IF(VLOOKUP($B906,Показатели!$E:$W,5,FALSE)=0,"",VLOOKUP($B906,Показатели!$E:$W,5,FALSE)),"")</f>
        <v>113678000000</v>
      </c>
      <c r="I906">
        <f>IFERROR(IF(VLOOKUP($B906,Показатели!$E:$W,6,FALSE)=0,"",VLOOKUP($B906,Показатели!$E:$W,6,FALSE)),"")</f>
        <v>551070000000</v>
      </c>
      <c r="J906">
        <f>IFERROR(IF(VLOOKUP($B906,Показатели!$E:$W,7,FALSE)=0,"",VLOOKUP($B906,Показатели!$E:$W,7,FALSE)),"")</f>
        <v>156671000000</v>
      </c>
      <c r="K906">
        <f>IFERROR(IF(VLOOKUP($B906,Показатели!$E:$W,8,FALSE)=0,"",VLOOKUP($B906,Показатели!$E:$W,8,FALSE)),"")</f>
        <v>270194000000</v>
      </c>
      <c r="L906">
        <f>IFERROR(IF(VLOOKUP($B906,Показатели!$E:$W,9,FALSE)=0,"",VLOOKUP($B906,Показатели!$E:$W,9,FALSE)),"")</f>
        <v>151043000000</v>
      </c>
      <c r="M906">
        <f>IFERROR(IF(VLOOKUP($B906,Показатели!$E:$W,10,FALSE)=0,"",VLOOKUP($B906,Показатели!$E:$W,10,FALSE)),"")</f>
        <v>124205000000</v>
      </c>
      <c r="N906">
        <f>IFERROR(IF(VLOOKUP($B906,Показатели!$E:$W,11,FALSE)=0,"",VLOOKUP($B906,Показатели!$E:$W,11,FALSE)),"")</f>
        <v>442911000000</v>
      </c>
      <c r="O906">
        <f>IFERROR(IF(VLOOKUP($B906,Показатели!$E:$W,12,FALSE)=0,"",VLOOKUP($B906,Показатели!$E:$W,12,FALSE)),"")</f>
        <v>96100000000</v>
      </c>
      <c r="P906">
        <f>IFERROR(IF(VLOOKUP($B906,Показатели!$E:$W,13,FALSE)=0,"",VLOOKUP($B906,Показатели!$E:$W,13,FALSE)),"")</f>
        <v>75567000000</v>
      </c>
      <c r="Q906">
        <f>IFERROR(IF(VLOOKUP($B906,Показатели!$E:$W,14,FALSE)=0,"",VLOOKUP($B906,Показатели!$E:$W,14,FALSE)),"")</f>
        <v>56590000000</v>
      </c>
      <c r="R906">
        <f>IFERROR(IF(VLOOKUP($B906,Показатели!$E:$W,15,FALSE)=0,"",VLOOKUP($B906,Показатели!$E:$W,15,FALSE)),"")</f>
        <v>79912000000</v>
      </c>
      <c r="S906" t="str">
        <f>IFERROR(IF(VLOOKUP($B906,Показатели!$E:$W,16,FALSE)=0,"",VLOOKUP($B906,Показатели!$E:$W,16,FALSE)),"")</f>
        <v/>
      </c>
      <c r="T906">
        <f>IFERROR(IF(VLOOKUP($B906,Показатели!$E:$W,17,FALSE)=0,"",VLOOKUP($B906,Показатели!$E:$W,17,FALSE)),"")</f>
        <v>-76431000000</v>
      </c>
      <c r="U906">
        <f>IFERROR(IF(VLOOKUP($B906,Показатели!$E:$W,18,FALSE)=0,"",VLOOKUP($B906,Показатели!$E:$W,18,FALSE)),"")</f>
        <v>435692000000</v>
      </c>
      <c r="V906">
        <f>IFERROR(IF(VLOOKUP($B906,Показатели!$E:$W,19,FALSE)=0,"",VLOOKUP($B906,Показатели!$E:$W,19,FALSE)),"")</f>
        <v>544470000000</v>
      </c>
    </row>
    <row r="907" spans="1:22" x14ac:dyDescent="0.2">
      <c r="A907" s="7" t="s">
        <v>2289</v>
      </c>
      <c r="B907" t="str">
        <f t="shared" si="14"/>
        <v>MTSS IV кв. 2016</v>
      </c>
      <c r="C907">
        <v>2016</v>
      </c>
      <c r="D907">
        <f>SUMIFS(Дивиденды!$C:$C,Дивиденды!$A:$A,A907,Дивиденды!$I:$I,C907)</f>
        <v>27.59</v>
      </c>
      <c r="E907">
        <f>IFERROR(IF(VLOOKUP($B907,Показатели!$E:$W,2,FALSE)=0,"",VLOOKUP($B907,Показатели!$E:$W,2,FALSE)),"")</f>
        <v>16470000000</v>
      </c>
      <c r="F907">
        <f>IFERROR(IF(VLOOKUP($B907,Показатели!$E:$W,3,FALSE)=0,"",VLOOKUP($B907,Показатели!$E:$W,3,FALSE)),"")</f>
        <v>90994000000</v>
      </c>
      <c r="G907">
        <f>IFERROR(IF(VLOOKUP($B907,Показатели!$E:$W,4,FALSE)=0,"",VLOOKUP($B907,Показатели!$E:$W,4,FALSE)),"")</f>
        <v>272841000000</v>
      </c>
      <c r="H907" t="str">
        <f>IFERROR(IF(VLOOKUP($B907,Показатели!$E:$W,5,FALSE)=0,"",VLOOKUP($B907,Показатели!$E:$W,5,FALSE)),"")</f>
        <v/>
      </c>
      <c r="I907">
        <f>IFERROR(IF(VLOOKUP($B907,Показатели!$E:$W,6,FALSE)=0,"",VLOOKUP($B907,Показатели!$E:$W,6,FALSE)),"")</f>
        <v>544470000000</v>
      </c>
      <c r="J907">
        <f>IFERROR(IF(VLOOKUP($B907,Показатели!$E:$W,7,FALSE)=0,"",VLOOKUP($B907,Показатели!$E:$W,7,FALSE)),"")</f>
        <v>127545000000</v>
      </c>
      <c r="K907">
        <f>IFERROR(IF(VLOOKUP($B907,Показатели!$E:$W,8,FALSE)=0,"",VLOOKUP($B907,Показатели!$E:$W,8,FALSE)),"")</f>
        <v>272977000000</v>
      </c>
      <c r="L907">
        <f>IFERROR(IF(VLOOKUP($B907,Показатели!$E:$W,9,FALSE)=0,"",VLOOKUP($B907,Показатели!$E:$W,9,FALSE)),"")</f>
        <v>145622000000</v>
      </c>
      <c r="M907">
        <f>IFERROR(IF(VLOOKUP($B907,Показатели!$E:$W,10,FALSE)=0,"",VLOOKUP($B907,Показатели!$E:$W,10,FALSE)),"")</f>
        <v>143948000000</v>
      </c>
      <c r="N907">
        <f>IFERROR(IF(VLOOKUP($B907,Показатели!$E:$W,11,FALSE)=0,"",VLOOKUP($B907,Показатели!$E:$W,11,FALSE)),"")</f>
        <v>435692000000</v>
      </c>
      <c r="O907">
        <f>IFERROR(IF(VLOOKUP($B907,Показатели!$E:$W,12,FALSE)=0,"",VLOOKUP($B907,Показатели!$E:$W,12,FALSE)),"")</f>
        <v>87669000000</v>
      </c>
      <c r="P907">
        <f>IFERROR(IF(VLOOKUP($B907,Показатели!$E:$W,13,FALSE)=0,"",VLOOKUP($B907,Показатели!$E:$W,13,FALSE)),"")</f>
        <v>67609000000</v>
      </c>
      <c r="Q907">
        <f>IFERROR(IF(VLOOKUP($B907,Показатели!$E:$W,14,FALSE)=0,"",VLOOKUP($B907,Показатели!$E:$W,14,FALSE)),"")</f>
        <v>52471000000</v>
      </c>
      <c r="R907" t="str">
        <f>IFERROR(IF(VLOOKUP($B907,Показатели!$E:$W,15,FALSE)=0,"",VLOOKUP($B907,Показатели!$E:$W,15,FALSE)),"")</f>
        <v/>
      </c>
      <c r="S907" t="str">
        <f>IFERROR(IF(VLOOKUP($B907,Показатели!$E:$W,16,FALSE)=0,"",VLOOKUP($B907,Показатели!$E:$W,16,FALSE)),"")</f>
        <v/>
      </c>
      <c r="T907">
        <f>IFERROR(IF(VLOOKUP($B907,Показатели!$E:$W,17,FALSE)=0,"",VLOOKUP($B907,Показатели!$E:$W,17,FALSE)),"")</f>
        <v>83600000000</v>
      </c>
      <c r="U907">
        <f>IFERROR(IF(VLOOKUP($B907,Показатели!$E:$W,18,FALSE)=0,"",VLOOKUP($B907,Показатели!$E:$W,18,FALSE)),"")</f>
        <v>431232000000</v>
      </c>
      <c r="V907">
        <f>IFERROR(IF(VLOOKUP($B907,Показатели!$E:$W,19,FALSE)=0,"",VLOOKUP($B907,Показатели!$E:$W,19,FALSE)),"")</f>
        <v>653378000000</v>
      </c>
    </row>
    <row r="908" spans="1:22" x14ac:dyDescent="0.2">
      <c r="A908" s="7" t="s">
        <v>2289</v>
      </c>
      <c r="B908" t="str">
        <f t="shared" si="14"/>
        <v>MTSS IV кв. 2015</v>
      </c>
      <c r="C908">
        <v>2015</v>
      </c>
      <c r="D908">
        <f>SUMIFS(Дивиденды!$C:$C,Дивиденды!$A:$A,A908,Дивиденды!$I:$I,C908)</f>
        <v>19.62</v>
      </c>
      <c r="E908">
        <f>IFERROR(IF(VLOOKUP($B908,Показатели!$E:$W,2,FALSE)=0,"",VLOOKUP($B908,Показатели!$E:$W,2,FALSE)),"")</f>
        <v>33464000000</v>
      </c>
      <c r="F908">
        <f>IFERROR(IF(VLOOKUP($B908,Показатели!$E:$W,3,FALSE)=0,"",VLOOKUP($B908,Показатели!$E:$W,3,FALSE)),"")</f>
        <v>159017000000</v>
      </c>
      <c r="G908">
        <f>IFERROR(IF(VLOOKUP($B908,Показатели!$E:$W,4,FALSE)=0,"",VLOOKUP($B908,Показатели!$E:$W,4,FALSE)),"")</f>
        <v>302662000000</v>
      </c>
      <c r="H908" t="str">
        <f>IFERROR(IF(VLOOKUP($B908,Показатели!$E:$W,5,FALSE)=0,"",VLOOKUP($B908,Показатели!$E:$W,5,FALSE)),"")</f>
        <v/>
      </c>
      <c r="I908">
        <f>IFERROR(IF(VLOOKUP($B908,Показатели!$E:$W,6,FALSE)=0,"",VLOOKUP($B908,Показатели!$E:$W,6,FALSE)),"")</f>
        <v>653378000000</v>
      </c>
      <c r="J908">
        <f>IFERROR(IF(VLOOKUP($B908,Показатели!$E:$W,7,FALSE)=0,"",VLOOKUP($B908,Показатели!$E:$W,7,FALSE)),"")</f>
        <v>157910000000</v>
      </c>
      <c r="K908">
        <f>IFERROR(IF(VLOOKUP($B908,Показатели!$E:$W,8,FALSE)=0,"",VLOOKUP($B908,Показатели!$E:$W,8,FALSE)),"")</f>
        <v>327097000000</v>
      </c>
      <c r="L908" t="str">
        <f>IFERROR(IF(VLOOKUP($B908,Показатели!$E:$W,9,FALSE)=0,"",VLOOKUP($B908,Показатели!$E:$W,9,FALSE)),"")</f>
        <v/>
      </c>
      <c r="M908">
        <f>IFERROR(IF(VLOOKUP($B908,Показатели!$E:$W,10,FALSE)=0,"",VLOOKUP($B908,Показатели!$E:$W,10,FALSE)),"")</f>
        <v>168371000000</v>
      </c>
      <c r="N908">
        <f>IFERROR(IF(VLOOKUP($B908,Показатели!$E:$W,11,FALSE)=0,"",VLOOKUP($B908,Показатели!$E:$W,11,FALSE)),"")</f>
        <v>431232000000</v>
      </c>
      <c r="O908">
        <f>IFERROR(IF(VLOOKUP($B908,Показатели!$E:$W,12,FALSE)=0,"",VLOOKUP($B908,Показатели!$E:$W,12,FALSE)),"")</f>
        <v>87859000000</v>
      </c>
      <c r="P908">
        <f>IFERROR(IF(VLOOKUP($B908,Показатели!$E:$W,13,FALSE)=0,"",VLOOKUP($B908,Показатели!$E:$W,13,FALSE)),"")</f>
        <v>60673000000</v>
      </c>
      <c r="Q908">
        <f>IFERROR(IF(VLOOKUP($B908,Показатели!$E:$W,14,FALSE)=0,"",VLOOKUP($B908,Показатели!$E:$W,14,FALSE)),"")</f>
        <v>47404000000</v>
      </c>
      <c r="R908" t="str">
        <f>IFERROR(IF(VLOOKUP($B908,Показатели!$E:$W,15,FALSE)=0,"",VLOOKUP($B908,Показатели!$E:$W,15,FALSE)),"")</f>
        <v/>
      </c>
      <c r="S908" t="str">
        <f>IFERROR(IF(VLOOKUP($B908,Показатели!$E:$W,16,FALSE)=0,"",VLOOKUP($B908,Показатели!$E:$W,16,FALSE)),"")</f>
        <v/>
      </c>
      <c r="T908">
        <f>IFERROR(IF(VLOOKUP($B908,Показатели!$E:$W,17,FALSE)=0,"",VLOOKUP($B908,Показатели!$E:$W,17,FALSE)),"")</f>
        <v>96111000000</v>
      </c>
      <c r="U908">
        <f>IFERROR(IF(VLOOKUP($B908,Показатели!$E:$W,18,FALSE)=0,"",VLOOKUP($B908,Показатели!$E:$W,18,FALSE)),"")</f>
        <v>410758000000</v>
      </c>
      <c r="V908">
        <f>IFERROR(IF(VLOOKUP($B908,Показатели!$E:$W,19,FALSE)=0,"",VLOOKUP($B908,Показатели!$E:$W,19,FALSE)),"")</f>
        <v>608927000000</v>
      </c>
    </row>
    <row r="909" spans="1:22" x14ac:dyDescent="0.2">
      <c r="A909" s="7" t="s">
        <v>2289</v>
      </c>
      <c r="B909" t="str">
        <f t="shared" si="14"/>
        <v>MTSS IV кв. 2014</v>
      </c>
      <c r="C909">
        <v>2014</v>
      </c>
      <c r="D909">
        <f>SUMIFS(Дивиденды!$C:$C,Дивиденды!$A:$A,A909,Дивиденды!$I:$I,C909)</f>
        <v>25.759999999999998</v>
      </c>
      <c r="E909">
        <f>IFERROR(IF(VLOOKUP($B909,Показатели!$E:$W,2,FALSE)=0,"",VLOOKUP($B909,Показатели!$E:$W,2,FALSE)),"")</f>
        <v>61410000000</v>
      </c>
      <c r="F909">
        <f>IFERROR(IF(VLOOKUP($B909,Показатели!$E:$W,3,FALSE)=0,"",VLOOKUP($B909,Показатели!$E:$W,3,FALSE)),"")</f>
        <v>152124000000</v>
      </c>
      <c r="G909">
        <f>IFERROR(IF(VLOOKUP($B909,Показатели!$E:$W,4,FALSE)=0,"",VLOOKUP($B909,Показатели!$E:$W,4,FALSE)),"")</f>
        <v>299479000000</v>
      </c>
      <c r="H909" t="str">
        <f>IFERROR(IF(VLOOKUP($B909,Показатели!$E:$W,5,FALSE)=0,"",VLOOKUP($B909,Показатели!$E:$W,5,FALSE)),"")</f>
        <v/>
      </c>
      <c r="I909">
        <f>IFERROR(IF(VLOOKUP($B909,Показатели!$E:$W,6,FALSE)=0,"",VLOOKUP($B909,Показатели!$E:$W,6,FALSE)),"")</f>
        <v>608927000000</v>
      </c>
      <c r="J909">
        <f>IFERROR(IF(VLOOKUP($B909,Показатели!$E:$W,7,FALSE)=0,"",VLOOKUP($B909,Показатели!$E:$W,7,FALSE)),"")</f>
        <v>137439000000</v>
      </c>
      <c r="K909">
        <f>IFERROR(IF(VLOOKUP($B909,Показатели!$E:$W,8,FALSE)=0,"",VLOOKUP($B909,Показатели!$E:$W,8,FALSE)),"")</f>
        <v>292371000000</v>
      </c>
      <c r="L909">
        <f>IFERROR(IF(VLOOKUP($B909,Показатели!$E:$W,9,FALSE)=0,"",VLOOKUP($B909,Показатели!$E:$W,9,FALSE)),"")</f>
        <v>174556000000</v>
      </c>
      <c r="M909">
        <f>IFERROR(IF(VLOOKUP($B909,Показатели!$E:$W,10,FALSE)=0,"",VLOOKUP($B909,Показатели!$E:$W,10,FALSE)),"")</f>
        <v>179117000000</v>
      </c>
      <c r="N909">
        <f>IFERROR(IF(VLOOKUP($B909,Показатели!$E:$W,11,FALSE)=0,"",VLOOKUP($B909,Показатели!$E:$W,11,FALSE)),"")</f>
        <v>410758000000</v>
      </c>
      <c r="O909">
        <f>IFERROR(IF(VLOOKUP($B909,Показатели!$E:$W,12,FALSE)=0,"",VLOOKUP($B909,Показатели!$E:$W,12,FALSE)),"")</f>
        <v>102349000000</v>
      </c>
      <c r="P909">
        <f>IFERROR(IF(VLOOKUP($B909,Показатели!$E:$W,13,FALSE)=0,"",VLOOKUP($B909,Показатели!$E:$W,13,FALSE)),"")</f>
        <v>68740000000</v>
      </c>
      <c r="Q909">
        <f>IFERROR(IF(VLOOKUP($B909,Показатели!$E:$W,14,FALSE)=0,"",VLOOKUP($B909,Показатели!$E:$W,14,FALSE)),"")</f>
        <v>52393000000</v>
      </c>
      <c r="R909" t="str">
        <f>IFERROR(IF(VLOOKUP($B909,Показатели!$E:$W,15,FALSE)=0,"",VLOOKUP($B909,Показатели!$E:$W,15,FALSE)),"")</f>
        <v/>
      </c>
      <c r="S909" t="str">
        <f>IFERROR(IF(VLOOKUP($B909,Показатели!$E:$W,16,FALSE)=0,"",VLOOKUP($B909,Показатели!$E:$W,16,FALSE)),"")</f>
        <v/>
      </c>
      <c r="T909" t="str">
        <f>IFERROR(IF(VLOOKUP($B909,Показатели!$E:$W,17,FALSE)=0,"",VLOOKUP($B909,Показатели!$E:$W,17,FALSE)),"")</f>
        <v/>
      </c>
      <c r="U909">
        <f>IFERROR(IF(VLOOKUP($B909,Показатели!$E:$W,18,FALSE)=0,"",VLOOKUP($B909,Показатели!$E:$W,18,FALSE)),"")</f>
        <v>398443000000</v>
      </c>
      <c r="V909">
        <f>IFERROR(IF(VLOOKUP($B909,Показатели!$E:$W,19,FALSE)=0,"",VLOOKUP($B909,Показатели!$E:$W,19,FALSE)),"")</f>
        <v>485524000000</v>
      </c>
    </row>
    <row r="910" spans="1:22" x14ac:dyDescent="0.2">
      <c r="A910" s="7" t="s">
        <v>2289</v>
      </c>
      <c r="B910" t="str">
        <f t="shared" si="14"/>
        <v>MTSS IV кв. 2013</v>
      </c>
      <c r="C910">
        <v>2013</v>
      </c>
      <c r="D910">
        <f>SUMIFS(Дивиденды!$C:$C,Дивиденды!$A:$A,A910,Дивиденды!$I:$I,C910)</f>
        <v>23.82</v>
      </c>
      <c r="E910">
        <f>IFERROR(IF(VLOOKUP($B910,Показатели!$E:$W,2,FALSE)=0,"",VLOOKUP($B910,Показатели!$E:$W,2,FALSE)),"")</f>
        <v>30612000000</v>
      </c>
      <c r="F910">
        <f>IFERROR(IF(VLOOKUP($B910,Показатели!$E:$W,3,FALSE)=0,"",VLOOKUP($B910,Показатели!$E:$W,3,FALSE)),"")</f>
        <v>116676000000</v>
      </c>
      <c r="G910">
        <f>IFERROR(IF(VLOOKUP($B910,Показатели!$E:$W,4,FALSE)=0,"",VLOOKUP($B910,Показатели!$E:$W,4,FALSE)),"")</f>
        <v>270660000000</v>
      </c>
      <c r="H910" t="str">
        <f>IFERROR(IF(VLOOKUP($B910,Показатели!$E:$W,5,FALSE)=0,"",VLOOKUP($B910,Показатели!$E:$W,5,FALSE)),"")</f>
        <v/>
      </c>
      <c r="I910">
        <f>IFERROR(IF(VLOOKUP($B910,Показатели!$E:$W,6,FALSE)=0,"",VLOOKUP($B910,Показатели!$E:$W,6,FALSE)),"")</f>
        <v>485524000000</v>
      </c>
      <c r="J910">
        <f>IFERROR(IF(VLOOKUP($B910,Показатели!$E:$W,7,FALSE)=0,"",VLOOKUP($B910,Показатели!$E:$W,7,FALSE)),"")</f>
        <v>101862000000</v>
      </c>
      <c r="K910">
        <f>IFERROR(IF(VLOOKUP($B910,Показатели!$E:$W,8,FALSE)=0,"",VLOOKUP($B910,Показатели!$E:$W,8,FALSE)),"")</f>
        <v>224677000000</v>
      </c>
      <c r="L910" t="str">
        <f>IFERROR(IF(VLOOKUP($B910,Показатели!$E:$W,9,FALSE)=0,"",VLOOKUP($B910,Показатели!$E:$W,9,FALSE)),"")</f>
        <v/>
      </c>
      <c r="M910">
        <f>IFERROR(IF(VLOOKUP($B910,Показатели!$E:$W,10,FALSE)=0,"",VLOOKUP($B910,Показатели!$E:$W,10,FALSE)),"")</f>
        <v>158985000000</v>
      </c>
      <c r="N910">
        <f>IFERROR(IF(VLOOKUP($B910,Показатели!$E:$W,11,FALSE)=0,"",VLOOKUP($B910,Показатели!$E:$W,11,FALSE)),"")</f>
        <v>398443000000</v>
      </c>
      <c r="O910">
        <f>IFERROR(IF(VLOOKUP($B910,Показатели!$E:$W,12,FALSE)=0,"",VLOOKUP($B910,Показатели!$E:$W,12,FALSE)),"")</f>
        <v>101758000000</v>
      </c>
      <c r="P910">
        <f>IFERROR(IF(VLOOKUP($B910,Показатели!$E:$W,13,FALSE)=0,"",VLOOKUP($B910,Показатели!$E:$W,13,FALSE)),"")</f>
        <v>98688000000</v>
      </c>
      <c r="Q910">
        <f>IFERROR(IF(VLOOKUP($B910,Показатели!$E:$W,14,FALSE)=0,"",VLOOKUP($B910,Показатели!$E:$W,14,FALSE)),"")</f>
        <v>77055000000</v>
      </c>
      <c r="R910" t="str">
        <f>IFERROR(IF(VLOOKUP($B910,Показатели!$E:$W,15,FALSE)=0,"",VLOOKUP($B910,Показатели!$E:$W,15,FALSE)),"")</f>
        <v/>
      </c>
      <c r="S910">
        <f>IFERROR(IF(VLOOKUP($B910,Показатели!$E:$W,16,FALSE)=0,"",VLOOKUP($B910,Показатели!$E:$W,16,FALSE)),"")</f>
        <v>175000000000</v>
      </c>
      <c r="T910" t="str">
        <f>IFERROR(IF(VLOOKUP($B910,Показатели!$E:$W,17,FALSE)=0,"",VLOOKUP($B910,Показатели!$E:$W,17,FALSE)),"")</f>
        <v/>
      </c>
      <c r="U910">
        <f>IFERROR(IF(VLOOKUP($B910,Показатели!$E:$W,18,FALSE)=0,"",VLOOKUP($B910,Показатели!$E:$W,18,FALSE)),"")</f>
        <v>386288208098.45953</v>
      </c>
      <c r="V910">
        <f>IFERROR(IF(VLOOKUP($B910,Показатели!$E:$W,19,FALSE)=0,"",VLOOKUP($B910,Показатели!$E:$W,19,FALSE)),"")</f>
        <v>465318364131.78827</v>
      </c>
    </row>
    <row r="911" spans="1:22" x14ac:dyDescent="0.2">
      <c r="A911" s="7" t="s">
        <v>2289</v>
      </c>
      <c r="B911" t="str">
        <f t="shared" si="14"/>
        <v>MTSS IV кв. 2012</v>
      </c>
      <c r="C911">
        <v>2012</v>
      </c>
      <c r="D911">
        <f>SUMIFS(Дивиденды!$C:$C,Дивиденды!$A:$A,A911,Дивиденды!$I:$I,C911)</f>
        <v>14.6</v>
      </c>
      <c r="E911">
        <f>IFERROR(IF(VLOOKUP($B911,Показатели!$E:$W,2,FALSE)=0,"",VLOOKUP($B911,Показатели!$E:$W,2,FALSE)),"")</f>
        <v>22514523930.93792</v>
      </c>
      <c r="F911">
        <f>IFERROR(IF(VLOOKUP($B911,Показатели!$E:$W,3,FALSE)=0,"",VLOOKUP($B911,Показатели!$E:$W,3,FALSE)),"")</f>
        <v>94461114467.590759</v>
      </c>
      <c r="G911">
        <f>IFERROR(IF(VLOOKUP($B911,Показатели!$E:$W,4,FALSE)=0,"",VLOOKUP($B911,Показатели!$E:$W,4,FALSE)),"")</f>
        <v>277957918514.55615</v>
      </c>
      <c r="H911" t="str">
        <f>IFERROR(IF(VLOOKUP($B911,Показатели!$E:$W,5,FALSE)=0,"",VLOOKUP($B911,Показатели!$E:$W,5,FALSE)),"")</f>
        <v/>
      </c>
      <c r="I911">
        <f>IFERROR(IF(VLOOKUP($B911,Показатели!$E:$W,6,FALSE)=0,"",VLOOKUP($B911,Показатели!$E:$W,6,FALSE)),"")</f>
        <v>465318364131.78827</v>
      </c>
      <c r="J911">
        <f>IFERROR(IF(VLOOKUP($B911,Показатели!$E:$W,7,FALSE)=0,"",VLOOKUP($B911,Показатели!$E:$W,7,FALSE)),"")</f>
        <v>115982742062.65741</v>
      </c>
      <c r="K911">
        <f>IFERROR(IF(VLOOKUP($B911,Показатели!$E:$W,8,FALSE)=0,"",VLOOKUP($B911,Показатели!$E:$W,8,FALSE)),"")</f>
        <v>230403638681.45276</v>
      </c>
      <c r="L911" t="str">
        <f>IFERROR(IF(VLOOKUP($B911,Показатели!$E:$W,9,FALSE)=0,"",VLOOKUP($B911,Показатели!$E:$W,9,FALSE)),"")</f>
        <v/>
      </c>
      <c r="M911">
        <f>IFERROR(IF(VLOOKUP($B911,Показатели!$E:$W,10,FALSE)=0,"",VLOOKUP($B911,Показатели!$E:$W,10,FALSE)),"")</f>
        <v>116581729049.41144</v>
      </c>
      <c r="N911">
        <f>IFERROR(IF(VLOOKUP($B911,Показатели!$E:$W,11,FALSE)=0,"",VLOOKUP($B911,Показатели!$E:$W,11,FALSE)),"")</f>
        <v>386288208098.45953</v>
      </c>
      <c r="O911">
        <f>IFERROR(IF(VLOOKUP($B911,Показатели!$E:$W,12,FALSE)=0,"",VLOOKUP($B911,Показатели!$E:$W,12,FALSE)),"")</f>
        <v>62003555658.726402</v>
      </c>
      <c r="P911">
        <f>IFERROR(IF(VLOOKUP($B911,Показатели!$E:$W,13,FALSE)=0,"",VLOOKUP($B911,Показатели!$E:$W,13,FALSE)),"")</f>
        <v>50315372831.682732</v>
      </c>
      <c r="Q911">
        <f>IFERROR(IF(VLOOKUP($B911,Показатели!$E:$W,14,FALSE)=0,"",VLOOKUP($B911,Показатели!$E:$W,14,FALSE)),"")</f>
        <v>32257637621.976994</v>
      </c>
      <c r="R911" t="str">
        <f>IFERROR(IF(VLOOKUP($B911,Показатели!$E:$W,15,FALSE)=0,"",VLOOKUP($B911,Показатели!$E:$W,15,FALSE)),"")</f>
        <v/>
      </c>
      <c r="S911" t="str">
        <f>IFERROR(IF(VLOOKUP($B911,Показатели!$E:$W,16,FALSE)=0,"",VLOOKUP($B911,Показатели!$E:$W,16,FALSE)),"")</f>
        <v/>
      </c>
      <c r="T911" t="str">
        <f>IFERROR(IF(VLOOKUP($B911,Показатели!$E:$W,17,FALSE)=0,"",VLOOKUP($B911,Показатели!$E:$W,17,FALSE)),"")</f>
        <v/>
      </c>
      <c r="U911" t="str">
        <f>IFERROR(IF(VLOOKUP($B911,Показатели!$E:$W,18,FALSE)=0,"",VLOOKUP($B911,Показатели!$E:$W,18,FALSE)),"")</f>
        <v/>
      </c>
      <c r="V911" t="str">
        <f>IFERROR(IF(VLOOKUP($B911,Показатели!$E:$W,19,FALSE)=0,"",VLOOKUP($B911,Показатели!$E:$W,19,FALSE)),"")</f>
        <v/>
      </c>
    </row>
    <row r="912" spans="1:22" x14ac:dyDescent="0.2">
      <c r="A912" s="7" t="s">
        <v>2289</v>
      </c>
      <c r="B912" t="str">
        <f t="shared" si="14"/>
        <v>MTSS IV кв. 2011</v>
      </c>
      <c r="C912">
        <v>2011</v>
      </c>
      <c r="D912">
        <f>SUMIFS(Дивиденды!$C:$C,Дивиденды!$A:$A,A912,Дивиденды!$I:$I,C912)</f>
        <v>14.71</v>
      </c>
      <c r="E912" t="str">
        <f>IFERROR(IF(VLOOKUP($B912,Показатели!$E:$W,2,FALSE)=0,"",VLOOKUP($B912,Показатели!$E:$W,2,FALSE)),"")</f>
        <v/>
      </c>
      <c r="F912" t="str">
        <f>IFERROR(IF(VLOOKUP($B912,Показатели!$E:$W,3,FALSE)=0,"",VLOOKUP($B912,Показатели!$E:$W,3,FALSE)),"")</f>
        <v/>
      </c>
      <c r="G912" t="str">
        <f>IFERROR(IF(VLOOKUP($B912,Показатели!$E:$W,4,FALSE)=0,"",VLOOKUP($B912,Показатели!$E:$W,4,FALSE)),"")</f>
        <v/>
      </c>
      <c r="H912" t="str">
        <f>IFERROR(IF(VLOOKUP($B912,Показатели!$E:$W,5,FALSE)=0,"",VLOOKUP($B912,Показатели!$E:$W,5,FALSE)),"")</f>
        <v/>
      </c>
      <c r="I912" t="str">
        <f>IFERROR(IF(VLOOKUP($B912,Показатели!$E:$W,6,FALSE)=0,"",VLOOKUP($B912,Показатели!$E:$W,6,FALSE)),"")</f>
        <v/>
      </c>
      <c r="J912" t="str">
        <f>IFERROR(IF(VLOOKUP($B912,Показатели!$E:$W,7,FALSE)=0,"",VLOOKUP($B912,Показатели!$E:$W,7,FALSE)),"")</f>
        <v/>
      </c>
      <c r="K912" t="str">
        <f>IFERROR(IF(VLOOKUP($B912,Показатели!$E:$W,8,FALSE)=0,"",VLOOKUP($B912,Показатели!$E:$W,8,FALSE)),"")</f>
        <v/>
      </c>
      <c r="L912" t="str">
        <f>IFERROR(IF(VLOOKUP($B912,Показатели!$E:$W,9,FALSE)=0,"",VLOOKUP($B912,Показатели!$E:$W,9,FALSE)),"")</f>
        <v/>
      </c>
      <c r="M912" t="str">
        <f>IFERROR(IF(VLOOKUP($B912,Показатели!$E:$W,10,FALSE)=0,"",VLOOKUP($B912,Показатели!$E:$W,10,FALSE)),"")</f>
        <v/>
      </c>
      <c r="N912" t="str">
        <f>IFERROR(IF(VLOOKUP($B912,Показатели!$E:$W,11,FALSE)=0,"",VLOOKUP($B912,Показатели!$E:$W,11,FALSE)),"")</f>
        <v/>
      </c>
      <c r="O912" t="str">
        <f>IFERROR(IF(VLOOKUP($B912,Показатели!$E:$W,12,FALSE)=0,"",VLOOKUP($B912,Показатели!$E:$W,12,FALSE)),"")</f>
        <v/>
      </c>
      <c r="P912" t="str">
        <f>IFERROR(IF(VLOOKUP($B912,Показатели!$E:$W,13,FALSE)=0,"",VLOOKUP($B912,Показатели!$E:$W,13,FALSE)),"")</f>
        <v/>
      </c>
      <c r="Q912" t="str">
        <f>IFERROR(IF(VLOOKUP($B912,Показатели!$E:$W,14,FALSE)=0,"",VLOOKUP($B912,Показатели!$E:$W,14,FALSE)),"")</f>
        <v/>
      </c>
      <c r="R912" t="str">
        <f>IFERROR(IF(VLOOKUP($B912,Показатели!$E:$W,15,FALSE)=0,"",VLOOKUP($B912,Показатели!$E:$W,15,FALSE)),"")</f>
        <v/>
      </c>
      <c r="S912" t="str">
        <f>IFERROR(IF(VLOOKUP($B912,Показатели!$E:$W,16,FALSE)=0,"",VLOOKUP($B912,Показатели!$E:$W,16,FALSE)),"")</f>
        <v/>
      </c>
      <c r="T912" t="str">
        <f>IFERROR(IF(VLOOKUP($B912,Показатели!$E:$W,17,FALSE)=0,"",VLOOKUP($B912,Показатели!$E:$W,17,FALSE)),"")</f>
        <v/>
      </c>
      <c r="U912" t="str">
        <f>IFERROR(IF(VLOOKUP($B912,Показатели!$E:$W,18,FALSE)=0,"",VLOOKUP($B912,Показатели!$E:$W,18,FALSE)),"")</f>
        <v/>
      </c>
      <c r="V912" t="str">
        <f>IFERROR(IF(VLOOKUP($B912,Показатели!$E:$W,19,FALSE)=0,"",VLOOKUP($B912,Показатели!$E:$W,19,FALSE)),"")</f>
        <v/>
      </c>
    </row>
    <row r="913" spans="1:22" x14ac:dyDescent="0.2">
      <c r="A913" s="7" t="s">
        <v>2289</v>
      </c>
      <c r="B913" t="str">
        <f t="shared" si="14"/>
        <v>MTSS IV кв. 2010</v>
      </c>
      <c r="C913">
        <v>2010</v>
      </c>
      <c r="D913">
        <f>SUMIFS(Дивиденды!$C:$C,Дивиденды!$A:$A,A913,Дивиденды!$I:$I,C913)</f>
        <v>14.54</v>
      </c>
      <c r="E913" t="str">
        <f>IFERROR(IF(VLOOKUP($B913,Показатели!$E:$W,2,FALSE)=0,"",VLOOKUP($B913,Показатели!$E:$W,2,FALSE)),"")</f>
        <v/>
      </c>
      <c r="F913" t="str">
        <f>IFERROR(IF(VLOOKUP($B913,Показатели!$E:$W,3,FALSE)=0,"",VLOOKUP($B913,Показатели!$E:$W,3,FALSE)),"")</f>
        <v/>
      </c>
      <c r="G913" t="str">
        <f>IFERROR(IF(VLOOKUP($B913,Показатели!$E:$W,4,FALSE)=0,"",VLOOKUP($B913,Показатели!$E:$W,4,FALSE)),"")</f>
        <v/>
      </c>
      <c r="H913" t="str">
        <f>IFERROR(IF(VLOOKUP($B913,Показатели!$E:$W,5,FALSE)=0,"",VLOOKUP($B913,Показатели!$E:$W,5,FALSE)),"")</f>
        <v/>
      </c>
      <c r="I913" t="str">
        <f>IFERROR(IF(VLOOKUP($B913,Показатели!$E:$W,6,FALSE)=0,"",VLOOKUP($B913,Показатели!$E:$W,6,FALSE)),"")</f>
        <v/>
      </c>
      <c r="J913" t="str">
        <f>IFERROR(IF(VLOOKUP($B913,Показатели!$E:$W,7,FALSE)=0,"",VLOOKUP($B913,Показатели!$E:$W,7,FALSE)),"")</f>
        <v/>
      </c>
      <c r="K913" t="str">
        <f>IFERROR(IF(VLOOKUP($B913,Показатели!$E:$W,8,FALSE)=0,"",VLOOKUP($B913,Показатели!$E:$W,8,FALSE)),"")</f>
        <v/>
      </c>
      <c r="L913" t="str">
        <f>IFERROR(IF(VLOOKUP($B913,Показатели!$E:$W,9,FALSE)=0,"",VLOOKUP($B913,Показатели!$E:$W,9,FALSE)),"")</f>
        <v/>
      </c>
      <c r="M913" t="str">
        <f>IFERROR(IF(VLOOKUP($B913,Показатели!$E:$W,10,FALSE)=0,"",VLOOKUP($B913,Показатели!$E:$W,10,FALSE)),"")</f>
        <v/>
      </c>
      <c r="N913" t="str">
        <f>IFERROR(IF(VLOOKUP($B913,Показатели!$E:$W,11,FALSE)=0,"",VLOOKUP($B913,Показатели!$E:$W,11,FALSE)),"")</f>
        <v/>
      </c>
      <c r="O913" t="str">
        <f>IFERROR(IF(VLOOKUP($B913,Показатели!$E:$W,12,FALSE)=0,"",VLOOKUP($B913,Показатели!$E:$W,12,FALSE)),"")</f>
        <v/>
      </c>
      <c r="P913" t="str">
        <f>IFERROR(IF(VLOOKUP($B913,Показатели!$E:$W,13,FALSE)=0,"",VLOOKUP($B913,Показатели!$E:$W,13,FALSE)),"")</f>
        <v/>
      </c>
      <c r="Q913" t="str">
        <f>IFERROR(IF(VLOOKUP($B913,Показатели!$E:$W,14,FALSE)=0,"",VLOOKUP($B913,Показатели!$E:$W,14,FALSE)),"")</f>
        <v/>
      </c>
      <c r="R913" t="str">
        <f>IFERROR(IF(VLOOKUP($B913,Показатели!$E:$W,15,FALSE)=0,"",VLOOKUP($B913,Показатели!$E:$W,15,FALSE)),"")</f>
        <v/>
      </c>
      <c r="S913" t="str">
        <f>IFERROR(IF(VLOOKUP($B913,Показатели!$E:$W,16,FALSE)=0,"",VLOOKUP($B913,Показатели!$E:$W,16,FALSE)),"")</f>
        <v/>
      </c>
      <c r="T913" t="str">
        <f>IFERROR(IF(VLOOKUP($B913,Показатели!$E:$W,17,FALSE)=0,"",VLOOKUP($B913,Показатели!$E:$W,17,FALSE)),"")</f>
        <v/>
      </c>
      <c r="U913" t="str">
        <f>IFERROR(IF(VLOOKUP($B913,Показатели!$E:$W,18,FALSE)=0,"",VLOOKUP($B913,Показатели!$E:$W,18,FALSE)),"")</f>
        <v/>
      </c>
      <c r="V913" t="str">
        <f>IFERROR(IF(VLOOKUP($B913,Показатели!$E:$W,19,FALSE)=0,"",VLOOKUP($B913,Показатели!$E:$W,19,FALSE)),"")</f>
        <v/>
      </c>
    </row>
    <row r="914" spans="1:22" x14ac:dyDescent="0.2">
      <c r="A914" s="7" t="s">
        <v>2292</v>
      </c>
      <c r="B914" t="str">
        <f t="shared" si="14"/>
        <v>RTKM IV кв. 2025</v>
      </c>
      <c r="C914">
        <v>2025</v>
      </c>
      <c r="D914">
        <f>SUMIFS(Дивиденды!$C:$C,Дивиденды!$A:$A,A914,Дивиденды!$I:$I,C914)</f>
        <v>0</v>
      </c>
      <c r="E914">
        <f>IFERROR(IF(VLOOKUP($B914,Показатели!$E:$W,2,FALSE)=0,"",VLOOKUP($B914,Показатели!$E:$W,2,FALSE)),"")</f>
        <v>26245000000</v>
      </c>
      <c r="F914">
        <f>IFERROR(IF(VLOOKUP($B914,Показатели!$E:$W,3,FALSE)=0,"",VLOOKUP($B914,Показатели!$E:$W,3,FALSE)),"")</f>
        <v>210134000000</v>
      </c>
      <c r="G914">
        <f>IFERROR(IF(VLOOKUP($B914,Показатели!$E:$W,4,FALSE)=0,"",VLOOKUP($B914,Показатели!$E:$W,4,FALSE)),"")</f>
        <v>736123000000</v>
      </c>
      <c r="H914">
        <f>IFERROR(IF(VLOOKUP($B914,Показатели!$E:$W,5,FALSE)=0,"",VLOOKUP($B914,Показатели!$E:$W,5,FALSE)),"")</f>
        <v>232488000000</v>
      </c>
      <c r="I914">
        <f>IFERROR(IF(VLOOKUP($B914,Показатели!$E:$W,6,FALSE)=0,"",VLOOKUP($B914,Показатели!$E:$W,6,FALSE)),"")</f>
        <v>1432881000000</v>
      </c>
      <c r="J914">
        <f>IFERROR(IF(VLOOKUP($B914,Показатели!$E:$W,7,FALSE)=0,"",VLOOKUP($B914,Показатели!$E:$W,7,FALSE)),"")</f>
        <v>555745000000</v>
      </c>
      <c r="K914">
        <f>IFERROR(IF(VLOOKUP($B914,Показатели!$E:$W,8,FALSE)=0,"",VLOOKUP($B914,Показатели!$E:$W,8,FALSE)),"")</f>
        <v>596937000000</v>
      </c>
      <c r="L914">
        <f>IFERROR(IF(VLOOKUP($B914,Показатели!$E:$W,9,FALSE)=0,"",VLOOKUP($B914,Показатели!$E:$W,9,FALSE)),"")</f>
        <v>228296000000</v>
      </c>
      <c r="M914">
        <f>IFERROR(IF(VLOOKUP($B914,Показатели!$E:$W,10,FALSE)=0,"",VLOOKUP($B914,Показатели!$E:$W,10,FALSE)),"")</f>
        <v>280199000000</v>
      </c>
      <c r="N914">
        <f>IFERROR(IF(VLOOKUP($B914,Показатели!$E:$W,11,FALSE)=0,"",VLOOKUP($B914,Показатели!$E:$W,11,FALSE)),"")</f>
        <v>872790000000</v>
      </c>
      <c r="O914">
        <f>IFERROR(IF(VLOOKUP($B914,Показатели!$E:$W,12,FALSE)=0,"",VLOOKUP($B914,Показатели!$E:$W,12,FALSE)),"")</f>
        <v>149359000000</v>
      </c>
      <c r="P914">
        <f>IFERROR(IF(VLOOKUP($B914,Показатели!$E:$W,13,FALSE)=0,"",VLOOKUP($B914,Показатели!$E:$W,13,FALSE)),"")</f>
        <v>26352000000</v>
      </c>
      <c r="Q914">
        <f>IFERROR(IF(VLOOKUP($B914,Показатели!$E:$W,14,FALSE)=0,"",VLOOKUP($B914,Показатели!$E:$W,14,FALSE)),"")</f>
        <v>18715000000</v>
      </c>
      <c r="R914">
        <f>IFERROR(IF(VLOOKUP($B914,Показатели!$E:$W,15,FALSE)=0,"",VLOOKUP($B914,Показатели!$E:$W,15,FALSE)),"")</f>
        <v>177776000000</v>
      </c>
      <c r="S914" t="str">
        <f>IFERROR(IF(VLOOKUP($B914,Показатели!$E:$W,16,FALSE)=0,"",VLOOKUP($B914,Показатели!$E:$W,16,FALSE)),"")</f>
        <v/>
      </c>
      <c r="T914">
        <f>IFERROR(IF(VLOOKUP($B914,Показатели!$E:$W,17,FALSE)=0,"",VLOOKUP($B914,Показатели!$E:$W,17,FALSE)),"")</f>
        <v>-158039000000</v>
      </c>
      <c r="U914">
        <f>IFERROR(IF(VLOOKUP($B914,Показатели!$E:$W,18,FALSE)=0,"",VLOOKUP($B914,Показатели!$E:$W,18,FALSE)),"")</f>
        <v>779945000000</v>
      </c>
      <c r="V914">
        <f>IFERROR(IF(VLOOKUP($B914,Показатели!$E:$W,19,FALSE)=0,"",VLOOKUP($B914,Показатели!$E:$W,19,FALSE)),"")</f>
        <v>1380913000000</v>
      </c>
    </row>
    <row r="915" spans="1:22" x14ac:dyDescent="0.2">
      <c r="A915" s="7" t="s">
        <v>2292</v>
      </c>
      <c r="B915" t="str">
        <f t="shared" si="14"/>
        <v>RTKM IV кв. 2024</v>
      </c>
      <c r="C915">
        <v>2024</v>
      </c>
      <c r="D915">
        <f>SUMIFS(Дивиденды!$C:$C,Дивиденды!$A:$A,A915,Дивиденды!$I:$I,C915)</f>
        <v>2.71</v>
      </c>
      <c r="E915">
        <f>IFERROR(IF(VLOOKUP($B915,Показатели!$E:$W,2,FALSE)=0,"",VLOOKUP($B915,Показатели!$E:$W,2,FALSE)),"")</f>
        <v>46409000000</v>
      </c>
      <c r="F915">
        <f>IFERROR(IF(VLOOKUP($B915,Показатели!$E:$W,3,FALSE)=0,"",VLOOKUP($B915,Показатели!$E:$W,3,FALSE)),"")</f>
        <v>209203000000</v>
      </c>
      <c r="G915">
        <f>IFERROR(IF(VLOOKUP($B915,Показатели!$E:$W,4,FALSE)=0,"",VLOOKUP($B915,Показатели!$E:$W,4,FALSE)),"")</f>
        <v>714018000000</v>
      </c>
      <c r="H915">
        <f>IFERROR(IF(VLOOKUP($B915,Показатели!$E:$W,5,FALSE)=0,"",VLOOKUP($B915,Показатели!$E:$W,5,FALSE)),"")</f>
        <v>215103000000</v>
      </c>
      <c r="I915">
        <f>IFERROR(IF(VLOOKUP($B915,Показатели!$E:$W,6,FALSE)=0,"",VLOOKUP($B915,Показатели!$E:$W,6,FALSE)),"")</f>
        <v>1380913000000</v>
      </c>
      <c r="J915">
        <f>IFERROR(IF(VLOOKUP($B915,Показатели!$E:$W,7,FALSE)=0,"",VLOOKUP($B915,Показатели!$E:$W,7,FALSE)),"")</f>
        <v>552301000000</v>
      </c>
      <c r="K915">
        <f>IFERROR(IF(VLOOKUP($B915,Показатели!$E:$W,8,FALSE)=0,"",VLOOKUP($B915,Показатели!$E:$W,8,FALSE)),"")</f>
        <v>554994000000</v>
      </c>
      <c r="L915">
        <f>IFERROR(IF(VLOOKUP($B915,Показатели!$E:$W,9,FALSE)=0,"",VLOOKUP($B915,Показатели!$E:$W,9,FALSE)),"")</f>
        <v>229005000000</v>
      </c>
      <c r="M915">
        <f>IFERROR(IF(VLOOKUP($B915,Показатели!$E:$W,10,FALSE)=0,"",VLOOKUP($B915,Показатели!$E:$W,10,FALSE)),"")</f>
        <v>273618000000</v>
      </c>
      <c r="N915">
        <f>IFERROR(IF(VLOOKUP($B915,Показатели!$E:$W,11,FALSE)=0,"",VLOOKUP($B915,Показатели!$E:$W,11,FALSE)),"")</f>
        <v>779945000000</v>
      </c>
      <c r="O915">
        <f>IFERROR(IF(VLOOKUP($B915,Показатели!$E:$W,12,FALSE)=0,"",VLOOKUP($B915,Показатели!$E:$W,12,FALSE)),"")</f>
        <v>124380000000</v>
      </c>
      <c r="P915">
        <f>IFERROR(IF(VLOOKUP($B915,Показатели!$E:$W,13,FALSE)=0,"",VLOOKUP($B915,Показатели!$E:$W,13,FALSE)),"")</f>
        <v>35263000000</v>
      </c>
      <c r="Q915">
        <f>IFERROR(IF(VLOOKUP($B915,Показатели!$E:$W,14,FALSE)=0,"",VLOOKUP($B915,Показатели!$E:$W,14,FALSE)),"")</f>
        <v>24060000000</v>
      </c>
      <c r="R915">
        <f>IFERROR(IF(VLOOKUP($B915,Показатели!$E:$W,15,FALSE)=0,"",VLOOKUP($B915,Показатели!$E:$W,15,FALSE)),"")</f>
        <v>172267000000</v>
      </c>
      <c r="S915" t="str">
        <f>IFERROR(IF(VLOOKUP($B915,Показатели!$E:$W,16,FALSE)=0,"",VLOOKUP($B915,Показатели!$E:$W,16,FALSE)),"")</f>
        <v/>
      </c>
      <c r="T915">
        <f>IFERROR(IF(VLOOKUP($B915,Показатели!$E:$W,17,FALSE)=0,"",VLOOKUP($B915,Показатели!$E:$W,17,FALSE)),"")</f>
        <v>-178798000000</v>
      </c>
      <c r="U915">
        <f>IFERROR(IF(VLOOKUP($B915,Показатели!$E:$W,18,FALSE)=0,"",VLOOKUP($B915,Показатели!$E:$W,18,FALSE)),"")</f>
        <v>707801000000</v>
      </c>
      <c r="V915">
        <f>IFERROR(IF(VLOOKUP($B915,Показатели!$E:$W,19,FALSE)=0,"",VLOOKUP($B915,Показатели!$E:$W,19,FALSE)),"")</f>
        <v>1243808000000</v>
      </c>
    </row>
    <row r="916" spans="1:22" x14ac:dyDescent="0.2">
      <c r="A916" s="7" t="s">
        <v>2292</v>
      </c>
      <c r="B916" t="str">
        <f t="shared" si="14"/>
        <v>RTKM IV кв. 2023</v>
      </c>
      <c r="C916">
        <v>2023</v>
      </c>
      <c r="D916">
        <f>SUMIFS(Дивиденды!$C:$C,Дивиденды!$A:$A,A916,Дивиденды!$I:$I,C916)</f>
        <v>6.06</v>
      </c>
      <c r="E916">
        <f>IFERROR(IF(VLOOKUP($B916,Показатели!$E:$W,2,FALSE)=0,"",VLOOKUP($B916,Показатели!$E:$W,2,FALSE)),"")</f>
        <v>44646000000</v>
      </c>
      <c r="F916">
        <f>IFERROR(IF(VLOOKUP($B916,Показатели!$E:$W,3,FALSE)=0,"",VLOOKUP($B916,Показатели!$E:$W,3,FALSE)),"")</f>
        <v>215181000000</v>
      </c>
      <c r="G916">
        <f>IFERROR(IF(VLOOKUP($B916,Показатели!$E:$W,4,FALSE)=0,"",VLOOKUP($B916,Показатели!$E:$W,4,FALSE)),"")</f>
        <v>637469000000</v>
      </c>
      <c r="H916">
        <f>IFERROR(IF(VLOOKUP($B916,Показатели!$E:$W,5,FALSE)=0,"",VLOOKUP($B916,Показатели!$E:$W,5,FALSE)),"")</f>
        <v>180175000000</v>
      </c>
      <c r="I916">
        <f>IFERROR(IF(VLOOKUP($B916,Показатели!$E:$W,6,FALSE)=0,"",VLOOKUP($B916,Показатели!$E:$W,6,FALSE)),"")</f>
        <v>1243808000000</v>
      </c>
      <c r="J916">
        <f>IFERROR(IF(VLOOKUP($B916,Показатели!$E:$W,7,FALSE)=0,"",VLOOKUP($B916,Показатели!$E:$W,7,FALSE)),"")</f>
        <v>450011000000</v>
      </c>
      <c r="K916">
        <f>IFERROR(IF(VLOOKUP($B916,Показатели!$E:$W,8,FALSE)=0,"",VLOOKUP($B916,Показатели!$E:$W,8,FALSE)),"")</f>
        <v>519513000000</v>
      </c>
      <c r="L916">
        <f>IFERROR(IF(VLOOKUP($B916,Показатели!$E:$W,9,FALSE)=0,"",VLOOKUP($B916,Показатели!$E:$W,9,FALSE)),"")</f>
        <v>234189000000</v>
      </c>
      <c r="M916">
        <f>IFERROR(IF(VLOOKUP($B916,Показатели!$E:$W,10,FALSE)=0,"",VLOOKUP($B916,Показатели!$E:$W,10,FALSE)),"")</f>
        <v>274284000000</v>
      </c>
      <c r="N916">
        <f>IFERROR(IF(VLOOKUP($B916,Показатели!$E:$W,11,FALSE)=0,"",VLOOKUP($B916,Показатели!$E:$W,11,FALSE)),"")</f>
        <v>707801000000</v>
      </c>
      <c r="O916">
        <f>IFERROR(IF(VLOOKUP($B916,Показатели!$E:$W,12,FALSE)=0,"",VLOOKUP($B916,Показатели!$E:$W,12,FALSE)),"")</f>
        <v>119343000000</v>
      </c>
      <c r="P916">
        <f>IFERROR(IF(VLOOKUP($B916,Показатели!$E:$W,13,FALSE)=0,"",VLOOKUP($B916,Показатели!$E:$W,13,FALSE)),"")</f>
        <v>62011000000</v>
      </c>
      <c r="Q916">
        <f>IFERROR(IF(VLOOKUP($B916,Показатели!$E:$W,14,FALSE)=0,"",VLOOKUP($B916,Показатели!$E:$W,14,FALSE)),"")</f>
        <v>42327000000</v>
      </c>
      <c r="R916">
        <f>IFERROR(IF(VLOOKUP($B916,Показатели!$E:$W,15,FALSE)=0,"",VLOOKUP($B916,Показатели!$E:$W,15,FALSE)),"")</f>
        <v>157478000000</v>
      </c>
      <c r="S916" t="str">
        <f>IFERROR(IF(VLOOKUP($B916,Показатели!$E:$W,16,FALSE)=0,"",VLOOKUP($B916,Показатели!$E:$W,16,FALSE)),"")</f>
        <v/>
      </c>
      <c r="T916">
        <f>IFERROR(IF(VLOOKUP($B916,Показатели!$E:$W,17,FALSE)=0,"",VLOOKUP($B916,Показатели!$E:$W,17,FALSE)),"")</f>
        <v>-147195000000</v>
      </c>
      <c r="U916" t="str">
        <f>IFERROR(IF(VLOOKUP($B916,Показатели!$E:$W,18,FALSE)=0,"",VLOOKUP($B916,Показатели!$E:$W,18,FALSE)),"")</f>
        <v/>
      </c>
      <c r="V916" t="str">
        <f>IFERROR(IF(VLOOKUP($B916,Показатели!$E:$W,19,FALSE)=0,"",VLOOKUP($B916,Показатели!$E:$W,19,FALSE)),"")</f>
        <v/>
      </c>
    </row>
    <row r="917" spans="1:22" x14ac:dyDescent="0.2">
      <c r="A917" s="7" t="s">
        <v>2292</v>
      </c>
      <c r="B917" t="str">
        <f t="shared" si="14"/>
        <v>RTKM IV кв. 2022</v>
      </c>
      <c r="C917">
        <v>2022</v>
      </c>
      <c r="D917">
        <f>SUMIFS(Дивиденды!$C:$C,Дивиденды!$A:$A,A917,Дивиденды!$I:$I,C917)</f>
        <v>5.45</v>
      </c>
      <c r="E917" t="str">
        <f>IFERROR(IF(VLOOKUP($B917,Показатели!$E:$W,2,FALSE)=0,"",VLOOKUP($B917,Показатели!$E:$W,2,FALSE)),"")</f>
        <v/>
      </c>
      <c r="F917" t="str">
        <f>IFERROR(IF(VLOOKUP($B917,Показатели!$E:$W,3,FALSE)=0,"",VLOOKUP($B917,Показатели!$E:$W,3,FALSE)),"")</f>
        <v/>
      </c>
      <c r="G917" t="str">
        <f>IFERROR(IF(VLOOKUP($B917,Показатели!$E:$W,4,FALSE)=0,"",VLOOKUP($B917,Показатели!$E:$W,4,FALSE)),"")</f>
        <v/>
      </c>
      <c r="H917" t="str">
        <f>IFERROR(IF(VLOOKUP($B917,Показатели!$E:$W,5,FALSE)=0,"",VLOOKUP($B917,Показатели!$E:$W,5,FALSE)),"")</f>
        <v/>
      </c>
      <c r="I917" t="str">
        <f>IFERROR(IF(VLOOKUP($B917,Показатели!$E:$W,6,FALSE)=0,"",VLOOKUP($B917,Показатели!$E:$W,6,FALSE)),"")</f>
        <v/>
      </c>
      <c r="J917" t="str">
        <f>IFERROR(IF(VLOOKUP($B917,Показатели!$E:$W,7,FALSE)=0,"",VLOOKUP($B917,Показатели!$E:$W,7,FALSE)),"")</f>
        <v/>
      </c>
      <c r="K917" t="str">
        <f>IFERROR(IF(VLOOKUP($B917,Показатели!$E:$W,8,FALSE)=0,"",VLOOKUP($B917,Показатели!$E:$W,8,FALSE)),"")</f>
        <v/>
      </c>
      <c r="L917" t="str">
        <f>IFERROR(IF(VLOOKUP($B917,Показатели!$E:$W,9,FALSE)=0,"",VLOOKUP($B917,Показатели!$E:$W,9,FALSE)),"")</f>
        <v/>
      </c>
      <c r="M917" t="str">
        <f>IFERROR(IF(VLOOKUP($B917,Показатели!$E:$W,10,FALSE)=0,"",VLOOKUP($B917,Показатели!$E:$W,10,FALSE)),"")</f>
        <v/>
      </c>
      <c r="N917" t="str">
        <f>IFERROR(IF(VLOOKUP($B917,Показатели!$E:$W,11,FALSE)=0,"",VLOOKUP($B917,Показатели!$E:$W,11,FALSE)),"")</f>
        <v/>
      </c>
      <c r="O917" t="str">
        <f>IFERROR(IF(VLOOKUP($B917,Показатели!$E:$W,12,FALSE)=0,"",VLOOKUP($B917,Показатели!$E:$W,12,FALSE)),"")</f>
        <v/>
      </c>
      <c r="P917" t="str">
        <f>IFERROR(IF(VLOOKUP($B917,Показатели!$E:$W,13,FALSE)=0,"",VLOOKUP($B917,Показатели!$E:$W,13,FALSE)),"")</f>
        <v/>
      </c>
      <c r="Q917" t="str">
        <f>IFERROR(IF(VLOOKUP($B917,Показатели!$E:$W,14,FALSE)=0,"",VLOOKUP($B917,Показатели!$E:$W,14,FALSE)),"")</f>
        <v/>
      </c>
      <c r="R917" t="str">
        <f>IFERROR(IF(VLOOKUP($B917,Показатели!$E:$W,15,FALSE)=0,"",VLOOKUP($B917,Показатели!$E:$W,15,FALSE)),"")</f>
        <v/>
      </c>
      <c r="S917" t="str">
        <f>IFERROR(IF(VLOOKUP($B917,Показатели!$E:$W,16,FALSE)=0,"",VLOOKUP($B917,Показатели!$E:$W,16,FALSE)),"")</f>
        <v/>
      </c>
      <c r="T917" t="str">
        <f>IFERROR(IF(VLOOKUP($B917,Показатели!$E:$W,17,FALSE)=0,"",VLOOKUP($B917,Показатели!$E:$W,17,FALSE)),"")</f>
        <v/>
      </c>
      <c r="U917" t="str">
        <f>IFERROR(IF(VLOOKUP($B917,Показатели!$E:$W,18,FALSE)=0,"",VLOOKUP($B917,Показатели!$E:$W,18,FALSE)),"")</f>
        <v/>
      </c>
      <c r="V917" t="str">
        <f>IFERROR(IF(VLOOKUP($B917,Показатели!$E:$W,19,FALSE)=0,"",VLOOKUP($B917,Показатели!$E:$W,19,FALSE)),"")</f>
        <v/>
      </c>
    </row>
    <row r="918" spans="1:22" x14ac:dyDescent="0.2">
      <c r="A918" s="7" t="s">
        <v>2292</v>
      </c>
      <c r="B918" t="str">
        <f t="shared" si="14"/>
        <v>RTKM IV кв. 2021</v>
      </c>
      <c r="C918">
        <v>2021</v>
      </c>
      <c r="D918">
        <f>SUMIFS(Дивиденды!$C:$C,Дивиденды!$A:$A,A918,Дивиденды!$I:$I,C918)</f>
        <v>4.5599999999999996</v>
      </c>
      <c r="E918">
        <f>IFERROR(IF(VLOOKUP($B918,Показатели!$E:$W,2,FALSE)=0,"",VLOOKUP($B918,Показатели!$E:$W,2,FALSE)),"")</f>
        <v>49570000000</v>
      </c>
      <c r="F918">
        <f>IFERROR(IF(VLOOKUP($B918,Показатели!$E:$W,3,FALSE)=0,"",VLOOKUP($B918,Показатели!$E:$W,3,FALSE)),"")</f>
        <v>167877000000</v>
      </c>
      <c r="G918">
        <f>IFERROR(IF(VLOOKUP($B918,Показатели!$E:$W,4,FALSE)=0,"",VLOOKUP($B918,Показатели!$E:$W,4,FALSE)),"")</f>
        <v>607638000000</v>
      </c>
      <c r="H918">
        <f>IFERROR(IF(VLOOKUP($B918,Показатели!$E:$W,5,FALSE)=0,"",VLOOKUP($B918,Показатели!$E:$W,5,FALSE)),"")</f>
        <v>149007000000</v>
      </c>
      <c r="I918">
        <f>IFERROR(IF(VLOOKUP($B918,Показатели!$E:$W,6,FALSE)=0,"",VLOOKUP($B918,Показатели!$E:$W,6,FALSE)),"")</f>
        <v>1102888000000</v>
      </c>
      <c r="J918">
        <f>IFERROR(IF(VLOOKUP($B918,Показатели!$E:$W,7,FALSE)=0,"",VLOOKUP($B918,Показатели!$E:$W,7,FALSE)),"")</f>
        <v>291275000000</v>
      </c>
      <c r="K918">
        <f>IFERROR(IF(VLOOKUP($B918,Показатели!$E:$W,8,FALSE)=0,"",VLOOKUP($B918,Показатели!$E:$W,8,FALSE)),"")</f>
        <v>584211000000</v>
      </c>
      <c r="L918">
        <f>IFERROR(IF(VLOOKUP($B918,Показатели!$E:$W,9,FALSE)=0,"",VLOOKUP($B918,Показатели!$E:$W,9,FALSE)),"")</f>
        <v>200726000000</v>
      </c>
      <c r="M918">
        <f>IFERROR(IF(VLOOKUP($B918,Показатели!$E:$W,10,FALSE)=0,"",VLOOKUP($B918,Показатели!$E:$W,10,FALSE)),"")</f>
        <v>227402000000</v>
      </c>
      <c r="N918">
        <f>IFERROR(IF(VLOOKUP($B918,Показатели!$E:$W,11,FALSE)=0,"",VLOOKUP($B918,Показатели!$E:$W,11,FALSE)),"")</f>
        <v>580092000000</v>
      </c>
      <c r="O918">
        <f>IFERROR(IF(VLOOKUP($B918,Показатели!$E:$W,12,FALSE)=0,"",VLOOKUP($B918,Показатели!$E:$W,12,FALSE)),"")</f>
        <v>73707000000</v>
      </c>
      <c r="P918">
        <f>IFERROR(IF(VLOOKUP($B918,Показатели!$E:$W,13,FALSE)=0,"",VLOOKUP($B918,Показатели!$E:$W,13,FALSE)),"")</f>
        <v>40816000000</v>
      </c>
      <c r="Q918">
        <f>IFERROR(IF(VLOOKUP($B918,Показатели!$E:$W,14,FALSE)=0,"",VLOOKUP($B918,Показатели!$E:$W,14,FALSE)),"")</f>
        <v>31832000000</v>
      </c>
      <c r="R918">
        <f>IFERROR(IF(VLOOKUP($B918,Показатели!$E:$W,15,FALSE)=0,"",VLOOKUP($B918,Показатели!$E:$W,15,FALSE)),"")</f>
        <v>140059000000</v>
      </c>
      <c r="S918" t="str">
        <f>IFERROR(IF(VLOOKUP($B918,Показатели!$E:$W,16,FALSE)=0,"",VLOOKUP($B918,Показатели!$E:$W,16,FALSE)),"")</f>
        <v/>
      </c>
      <c r="T918">
        <f>IFERROR(IF(VLOOKUP($B918,Показатели!$E:$W,17,FALSE)=0,"",VLOOKUP($B918,Показатели!$E:$W,17,FALSE)),"")</f>
        <v>-147840000000</v>
      </c>
      <c r="U918">
        <f>IFERROR(IF(VLOOKUP($B918,Показатели!$E:$W,18,FALSE)=0,"",VLOOKUP($B918,Показатели!$E:$W,18,FALSE)),"")</f>
        <v>546889000000</v>
      </c>
      <c r="V918">
        <f>IFERROR(IF(VLOOKUP($B918,Показатели!$E:$W,19,FALSE)=0,"",VLOOKUP($B918,Показатели!$E:$W,19,FALSE)),"")</f>
        <v>999761000000</v>
      </c>
    </row>
    <row r="919" spans="1:22" x14ac:dyDescent="0.2">
      <c r="A919" s="7" t="s">
        <v>2292</v>
      </c>
      <c r="B919" t="str">
        <f t="shared" si="14"/>
        <v>RTKM IV кв. 2020</v>
      </c>
      <c r="C919">
        <v>2020</v>
      </c>
      <c r="D919">
        <f>SUMIFS(Дивиденды!$C:$C,Дивиденды!$A:$A,A919,Дивиденды!$I:$I,C919)</f>
        <v>5</v>
      </c>
      <c r="E919">
        <f>IFERROR(IF(VLOOKUP($B919,Показатели!$E:$W,2,FALSE)=0,"",VLOOKUP($B919,Показатели!$E:$W,2,FALSE)),"")</f>
        <v>31215000000</v>
      </c>
      <c r="F919">
        <f>IFERROR(IF(VLOOKUP($B919,Показатели!$E:$W,3,FALSE)=0,"",VLOOKUP($B919,Показатели!$E:$W,3,FALSE)),"")</f>
        <v>130080000000</v>
      </c>
      <c r="G919">
        <f>IFERROR(IF(VLOOKUP($B919,Показатели!$E:$W,4,FALSE)=0,"",VLOOKUP($B919,Показатели!$E:$W,4,FALSE)),"")</f>
        <v>575356000000</v>
      </c>
      <c r="H919">
        <f>IFERROR(IF(VLOOKUP($B919,Показатели!$E:$W,5,FALSE)=0,"",VLOOKUP($B919,Показатели!$E:$W,5,FALSE)),"")</f>
        <v>141321000000</v>
      </c>
      <c r="I919">
        <f>IFERROR(IF(VLOOKUP($B919,Показатели!$E:$W,6,FALSE)=0,"",VLOOKUP($B919,Показатели!$E:$W,6,FALSE)),"")</f>
        <v>999761000000</v>
      </c>
      <c r="J919">
        <f>IFERROR(IF(VLOOKUP($B919,Показатели!$E:$W,7,FALSE)=0,"",VLOOKUP($B919,Показатели!$E:$W,7,FALSE)),"")</f>
        <v>208141000000</v>
      </c>
      <c r="K919">
        <f>IFERROR(IF(VLOOKUP($B919,Показатели!$E:$W,8,FALSE)=0,"",VLOOKUP($B919,Показатели!$E:$W,8,FALSE)),"")</f>
        <v>573944000000</v>
      </c>
      <c r="L919">
        <f>IFERROR(IF(VLOOKUP($B919,Показатели!$E:$W,9,FALSE)=0,"",VLOOKUP($B919,Показатели!$E:$W,9,FALSE)),"")</f>
        <v>194409000000</v>
      </c>
      <c r="M919">
        <f>IFERROR(IF(VLOOKUP($B919,Показатели!$E:$W,10,FALSE)=0,"",VLOOKUP($B919,Показатели!$E:$W,10,FALSE)),"")</f>
        <v>217676000000</v>
      </c>
      <c r="N919">
        <f>IFERROR(IF(VLOOKUP($B919,Показатели!$E:$W,11,FALSE)=0,"",VLOOKUP($B919,Показатели!$E:$W,11,FALSE)),"")</f>
        <v>546889000000</v>
      </c>
      <c r="O919">
        <f>IFERROR(IF(VLOOKUP($B919,Показатели!$E:$W,12,FALSE)=0,"",VLOOKUP($B919,Показатели!$E:$W,12,FALSE)),"")</f>
        <v>68965000000</v>
      </c>
      <c r="P919">
        <f>IFERROR(IF(VLOOKUP($B919,Показатели!$E:$W,13,FALSE)=0,"",VLOOKUP($B919,Показатели!$E:$W,13,FALSE)),"")</f>
        <v>34007000000</v>
      </c>
      <c r="Q919">
        <f>IFERROR(IF(VLOOKUP($B919,Показатели!$E:$W,14,FALSE)=0,"",VLOOKUP($B919,Показатели!$E:$W,14,FALSE)),"")</f>
        <v>25348000000</v>
      </c>
      <c r="R919">
        <f>IFERROR(IF(VLOOKUP($B919,Показатели!$E:$W,15,FALSE)=0,"",VLOOKUP($B919,Показатели!$E:$W,15,FALSE)),"")</f>
        <v>119702000000</v>
      </c>
      <c r="S919" t="str">
        <f>IFERROR(IF(VLOOKUP($B919,Показатели!$E:$W,16,FALSE)=0,"",VLOOKUP($B919,Показатели!$E:$W,16,FALSE)),"")</f>
        <v/>
      </c>
      <c r="T919">
        <f>IFERROR(IF(VLOOKUP($B919,Показатели!$E:$W,17,FALSE)=0,"",VLOOKUP($B919,Показатели!$E:$W,17,FALSE)),"")</f>
        <v>-135987000000</v>
      </c>
      <c r="U919">
        <f>IFERROR(IF(VLOOKUP($B919,Показатели!$E:$W,18,FALSE)=0,"",VLOOKUP($B919,Показатели!$E:$W,18,FALSE)),"")</f>
        <v>337421000000</v>
      </c>
      <c r="V919">
        <f>IFERROR(IF(VLOOKUP($B919,Показатели!$E:$W,19,FALSE)=0,"",VLOOKUP($B919,Показатели!$E:$W,19,FALSE)),"")</f>
        <v>728276000000</v>
      </c>
    </row>
    <row r="920" spans="1:22" x14ac:dyDescent="0.2">
      <c r="A920" s="7" t="s">
        <v>2292</v>
      </c>
      <c r="B920" t="str">
        <f t="shared" si="14"/>
        <v>RTKM IV кв. 2019</v>
      </c>
      <c r="C920">
        <v>2019</v>
      </c>
      <c r="D920">
        <f>SUMIFS(Дивиденды!$C:$C,Дивиденды!$A:$A,A920,Дивиденды!$I:$I,C920)</f>
        <v>5</v>
      </c>
      <c r="E920">
        <f>IFERROR(IF(VLOOKUP($B920,Показатели!$E:$W,2,FALSE)=0,"",VLOOKUP($B920,Показатели!$E:$W,2,FALSE)),"")</f>
        <v>19556000000</v>
      </c>
      <c r="F920">
        <f>IFERROR(IF(VLOOKUP($B920,Показатели!$E:$W,3,FALSE)=0,"",VLOOKUP($B920,Показатели!$E:$W,3,FALSE)),"")</f>
        <v>100283000000</v>
      </c>
      <c r="G920">
        <f>IFERROR(IF(VLOOKUP($B920,Показатели!$E:$W,4,FALSE)=0,"",VLOOKUP($B920,Показатели!$E:$W,4,FALSE)),"")</f>
        <v>401516000000</v>
      </c>
      <c r="H920">
        <f>IFERROR(IF(VLOOKUP($B920,Показатели!$E:$W,5,FALSE)=0,"",VLOOKUP($B920,Показатели!$E:$W,5,FALSE)),"")</f>
        <v>91318000000</v>
      </c>
      <c r="I920">
        <f>IFERROR(IF(VLOOKUP($B920,Показатели!$E:$W,6,FALSE)=0,"",VLOOKUP($B920,Показатели!$E:$W,6,FALSE)),"")</f>
        <v>728276000000</v>
      </c>
      <c r="J920">
        <f>IFERROR(IF(VLOOKUP($B920,Показатели!$E:$W,7,FALSE)=0,"",VLOOKUP($B920,Показатели!$E:$W,7,FALSE)),"")</f>
        <v>141811000000</v>
      </c>
      <c r="K920">
        <f>IFERROR(IF(VLOOKUP($B920,Показатели!$E:$W,8,FALSE)=0,"",VLOOKUP($B920,Показатели!$E:$W,8,FALSE)),"")</f>
        <v>324277000000</v>
      </c>
      <c r="L920">
        <f>IFERROR(IF(VLOOKUP($B920,Показатели!$E:$W,9,FALSE)=0,"",VLOOKUP($B920,Показатели!$E:$W,9,FALSE)),"")</f>
        <v>310807000000</v>
      </c>
      <c r="M920">
        <f>IFERROR(IF(VLOOKUP($B920,Показатели!$E:$W,10,FALSE)=0,"",VLOOKUP($B920,Показатели!$E:$W,10,FALSE)),"")</f>
        <v>262188000000</v>
      </c>
      <c r="N920">
        <f>IFERROR(IF(VLOOKUP($B920,Показатели!$E:$W,11,FALSE)=0,"",VLOOKUP($B920,Показатели!$E:$W,11,FALSE)),"")</f>
        <v>337421000000</v>
      </c>
      <c r="O920">
        <f>IFERROR(IF(VLOOKUP($B920,Показатели!$E:$W,12,FALSE)=0,"",VLOOKUP($B920,Показатели!$E:$W,12,FALSE)),"")</f>
        <v>33852000000</v>
      </c>
      <c r="P920">
        <f>IFERROR(IF(VLOOKUP($B920,Показатели!$E:$W,13,FALSE)=0,"",VLOOKUP($B920,Показатели!$E:$W,13,FALSE)),"")</f>
        <v>18521000000</v>
      </c>
      <c r="Q920">
        <f>IFERROR(IF(VLOOKUP($B920,Показатели!$E:$W,14,FALSE)=0,"",VLOOKUP($B920,Показатели!$E:$W,14,FALSE)),"")</f>
        <v>16474000000</v>
      </c>
      <c r="R920">
        <f>IFERROR(IF(VLOOKUP($B920,Показатели!$E:$W,15,FALSE)=0,"",VLOOKUP($B920,Показатели!$E:$W,15,FALSE)),"")</f>
        <v>67313000000</v>
      </c>
      <c r="S920" t="str">
        <f>IFERROR(IF(VLOOKUP($B920,Показатели!$E:$W,16,FALSE)=0,"",VLOOKUP($B920,Показатели!$E:$W,16,FALSE)),"")</f>
        <v/>
      </c>
      <c r="T920">
        <f>IFERROR(IF(VLOOKUP($B920,Показатели!$E:$W,17,FALSE)=0,"",VLOOKUP($B920,Показатели!$E:$W,17,FALSE)),"")</f>
        <v>-100513000000</v>
      </c>
      <c r="U920">
        <f>IFERROR(IF(VLOOKUP($B920,Показатели!$E:$W,18,FALSE)=0,"",VLOOKUP($B920,Показатели!$E:$W,18,FALSE)),"")</f>
        <v>320239000000</v>
      </c>
      <c r="V920">
        <f>IFERROR(IF(VLOOKUP($B920,Показатели!$E:$W,19,FALSE)=0,"",VLOOKUP($B920,Показатели!$E:$W,19,FALSE)),"")</f>
        <v>646766000000</v>
      </c>
    </row>
    <row r="921" spans="1:22" x14ac:dyDescent="0.2">
      <c r="A921" s="7" t="s">
        <v>2292</v>
      </c>
      <c r="B921" t="str">
        <f t="shared" si="14"/>
        <v>RTKM IV кв. 2018</v>
      </c>
      <c r="C921">
        <v>2018</v>
      </c>
      <c r="D921">
        <f>SUMIFS(Дивиденды!$C:$C,Дивиденды!$A:$A,A921,Дивиденды!$I:$I,C921)</f>
        <v>5</v>
      </c>
      <c r="E921">
        <f>IFERROR(IF(VLOOKUP($B921,Показатели!$E:$W,2,FALSE)=0,"",VLOOKUP($B921,Показатели!$E:$W,2,FALSE)),"")</f>
        <v>1080000000</v>
      </c>
      <c r="F921">
        <f>IFERROR(IF(VLOOKUP($B921,Показатели!$E:$W,3,FALSE)=0,"",VLOOKUP($B921,Показатели!$E:$W,3,FALSE)),"")</f>
        <v>87672000000</v>
      </c>
      <c r="G921">
        <f>IFERROR(IF(VLOOKUP($B921,Показатели!$E:$W,4,FALSE)=0,"",VLOOKUP($B921,Показатели!$E:$W,4,FALSE)),"")</f>
        <v>373839000000</v>
      </c>
      <c r="H921">
        <f>IFERROR(IF(VLOOKUP($B921,Показатели!$E:$W,5,FALSE)=0,"",VLOOKUP($B921,Показатели!$E:$W,5,FALSE)),"")</f>
        <v>66246000000</v>
      </c>
      <c r="I921">
        <f>IFERROR(IF(VLOOKUP($B921,Показатели!$E:$W,6,FALSE)=0,"",VLOOKUP($B921,Показатели!$E:$W,6,FALSE)),"")</f>
        <v>646766000000</v>
      </c>
      <c r="J921">
        <f>IFERROR(IF(VLOOKUP($B921,Показатели!$E:$W,7,FALSE)=0,"",VLOOKUP($B921,Показатели!$E:$W,7,FALSE)),"")</f>
        <v>137269000000</v>
      </c>
      <c r="K921">
        <f>IFERROR(IF(VLOOKUP($B921,Показатели!$E:$W,8,FALSE)=0,"",VLOOKUP($B921,Показатели!$E:$W,8,FALSE)),"")</f>
        <v>258544000000</v>
      </c>
      <c r="L921">
        <f>IFERROR(IF(VLOOKUP($B921,Показатели!$E:$W,9,FALSE)=0,"",VLOOKUP($B921,Показатели!$E:$W,9,FALSE)),"")</f>
        <v>307234000000</v>
      </c>
      <c r="M921">
        <f>IFERROR(IF(VLOOKUP($B921,Показатели!$E:$W,10,FALSE)=0,"",VLOOKUP($B921,Показатели!$E:$W,10,FALSE)),"")</f>
        <v>250953000000</v>
      </c>
      <c r="N921">
        <f>IFERROR(IF(VLOOKUP($B921,Показатели!$E:$W,11,FALSE)=0,"",VLOOKUP($B921,Показатели!$E:$W,11,FALSE)),"")</f>
        <v>320239000000</v>
      </c>
      <c r="O921">
        <f>IFERROR(IF(VLOOKUP($B921,Показатели!$E:$W,12,FALSE)=0,"",VLOOKUP($B921,Показатели!$E:$W,12,FALSE)),"")</f>
        <v>35800000000</v>
      </c>
      <c r="P921">
        <f>IFERROR(IF(VLOOKUP($B921,Показатели!$E:$W,13,FALSE)=0,"",VLOOKUP($B921,Показатели!$E:$W,13,FALSE)),"")</f>
        <v>19439000000</v>
      </c>
      <c r="Q921">
        <f>IFERROR(IF(VLOOKUP($B921,Показатели!$E:$W,14,FALSE)=0,"",VLOOKUP($B921,Показатели!$E:$W,14,FALSE)),"")</f>
        <v>15012000000</v>
      </c>
      <c r="R921">
        <f>IFERROR(IF(VLOOKUP($B921,Показатели!$E:$W,15,FALSE)=0,"",VLOOKUP($B921,Показатели!$E:$W,15,FALSE)),"")</f>
        <v>60329000000</v>
      </c>
      <c r="S921" t="str">
        <f>IFERROR(IF(VLOOKUP($B921,Показатели!$E:$W,16,FALSE)=0,"",VLOOKUP($B921,Показатели!$E:$W,16,FALSE)),"")</f>
        <v/>
      </c>
      <c r="T921">
        <f>IFERROR(IF(VLOOKUP($B921,Показатели!$E:$W,17,FALSE)=0,"",VLOOKUP($B921,Показатели!$E:$W,17,FALSE)),"")</f>
        <v>-73179000000</v>
      </c>
      <c r="U921">
        <f>IFERROR(IF(VLOOKUP($B921,Показатели!$E:$W,18,FALSE)=0,"",VLOOKUP($B921,Показатели!$E:$W,18,FALSE)),"")</f>
        <v>305329000000</v>
      </c>
      <c r="V921">
        <f>IFERROR(IF(VLOOKUP($B921,Показатели!$E:$W,19,FALSE)=0,"",VLOOKUP($B921,Показатели!$E:$W,19,FALSE)),"")</f>
        <v>560229000000</v>
      </c>
    </row>
    <row r="922" spans="1:22" x14ac:dyDescent="0.2">
      <c r="A922" s="7" t="s">
        <v>2292</v>
      </c>
      <c r="B922" t="str">
        <f t="shared" si="14"/>
        <v>RTKM IV кв. 2017</v>
      </c>
      <c r="C922">
        <v>2017</v>
      </c>
      <c r="D922">
        <f>SUMIFS(Дивиденды!$C:$C,Дивиденды!$A:$A,A922,Дивиденды!$I:$I,C922)</f>
        <v>5.05</v>
      </c>
      <c r="E922">
        <f>IFERROR(IF(VLOOKUP($B922,Показатели!$E:$W,2,FALSE)=0,"",VLOOKUP($B922,Показатели!$E:$W,2,FALSE)),"")</f>
        <v>3815000000</v>
      </c>
      <c r="F922">
        <f>IFERROR(IF(VLOOKUP($B922,Показатели!$E:$W,3,FALSE)=0,"",VLOOKUP($B922,Показатели!$E:$W,3,FALSE)),"")</f>
        <v>70990000000</v>
      </c>
      <c r="G922">
        <f>IFERROR(IF(VLOOKUP($B922,Показатели!$E:$W,4,FALSE)=0,"",VLOOKUP($B922,Показатели!$E:$W,4,FALSE)),"")</f>
        <v>348430000000</v>
      </c>
      <c r="H922">
        <f>IFERROR(IF(VLOOKUP($B922,Показатели!$E:$W,5,FALSE)=0,"",VLOOKUP($B922,Показатели!$E:$W,5,FALSE)),"")</f>
        <v>59820000000</v>
      </c>
      <c r="I922">
        <f>IFERROR(IF(VLOOKUP($B922,Показатели!$E:$W,6,FALSE)=0,"",VLOOKUP($B922,Показатели!$E:$W,6,FALSE)),"")</f>
        <v>560229000000</v>
      </c>
      <c r="J922">
        <f>IFERROR(IF(VLOOKUP($B922,Показатели!$E:$W,7,FALSE)=0,"",VLOOKUP($B922,Показатели!$E:$W,7,FALSE)),"")</f>
        <v>95175000000</v>
      </c>
      <c r="K922">
        <f>IFERROR(IF(VLOOKUP($B922,Показатели!$E:$W,8,FALSE)=0,"",VLOOKUP($B922,Показатели!$E:$W,8,FALSE)),"")</f>
        <v>215690000000</v>
      </c>
      <c r="L922">
        <f>IFERROR(IF(VLOOKUP($B922,Показатели!$E:$W,9,FALSE)=0,"",VLOOKUP($B922,Показатели!$E:$W,9,FALSE)),"")</f>
        <v>311494000000</v>
      </c>
      <c r="M922">
        <f>IFERROR(IF(VLOOKUP($B922,Показатели!$E:$W,10,FALSE)=0,"",VLOOKUP($B922,Показатели!$E:$W,10,FALSE)),"")</f>
        <v>249364000000</v>
      </c>
      <c r="N922">
        <f>IFERROR(IF(VLOOKUP($B922,Показатели!$E:$W,11,FALSE)=0,"",VLOOKUP($B922,Показатели!$E:$W,11,FALSE)),"")</f>
        <v>305329000000</v>
      </c>
      <c r="O922">
        <f>IFERROR(IF(VLOOKUP($B922,Показатели!$E:$W,12,FALSE)=0,"",VLOOKUP($B922,Показатели!$E:$W,12,FALSE)),"")</f>
        <v>37885000000</v>
      </c>
      <c r="P922">
        <f>IFERROR(IF(VLOOKUP($B922,Показатели!$E:$W,13,FALSE)=0,"",VLOOKUP($B922,Показатели!$E:$W,13,FALSE)),"")</f>
        <v>18906000000</v>
      </c>
      <c r="Q922">
        <f>IFERROR(IF(VLOOKUP($B922,Показатели!$E:$W,14,FALSE)=0,"",VLOOKUP($B922,Показатели!$E:$W,14,FALSE)),"")</f>
        <v>14050000000</v>
      </c>
      <c r="R922">
        <f>IFERROR(IF(VLOOKUP($B922,Показатели!$E:$W,15,FALSE)=0,"",VLOOKUP($B922,Показатели!$E:$W,15,FALSE)),"")</f>
        <v>56628000000</v>
      </c>
      <c r="S922" t="str">
        <f>IFERROR(IF(VLOOKUP($B922,Показатели!$E:$W,16,FALSE)=0,"",VLOOKUP($B922,Показатели!$E:$W,16,FALSE)),"")</f>
        <v/>
      </c>
      <c r="T922">
        <f>IFERROR(IF(VLOOKUP($B922,Показатели!$E:$W,17,FALSE)=0,"",VLOOKUP($B922,Показатели!$E:$W,17,FALSE)),"")</f>
        <v>60752000000</v>
      </c>
      <c r="U922">
        <f>IFERROR(IF(VLOOKUP($B922,Показатели!$E:$W,18,FALSE)=0,"",VLOOKUP($B922,Показатели!$E:$W,18,FALSE)),"")</f>
        <v>297446000000</v>
      </c>
      <c r="V922">
        <f>IFERROR(IF(VLOOKUP($B922,Показатели!$E:$W,19,FALSE)=0,"",VLOOKUP($B922,Показатели!$E:$W,19,FALSE)),"")</f>
        <v>555682000000</v>
      </c>
    </row>
    <row r="923" spans="1:22" x14ac:dyDescent="0.2">
      <c r="A923" s="7" t="s">
        <v>2292</v>
      </c>
      <c r="B923" t="str">
        <f t="shared" si="14"/>
        <v>RTKM IV кв. 2016</v>
      </c>
      <c r="C923">
        <v>2016</v>
      </c>
      <c r="D923">
        <f>SUMIFS(Дивиденды!$C:$C,Дивиденды!$A:$A,A923,Дивиденды!$I:$I,C923)</f>
        <v>5.39</v>
      </c>
      <c r="E923">
        <f>IFERROR(IF(VLOOKUP($B923,Показатели!$E:$W,2,FALSE)=0,"",VLOOKUP($B923,Показатели!$E:$W,2,FALSE)),"")</f>
        <v>4257000000</v>
      </c>
      <c r="F923">
        <f>IFERROR(IF(VLOOKUP($B923,Показатели!$E:$W,3,FALSE)=0,"",VLOOKUP($B923,Показатели!$E:$W,3,FALSE)),"")</f>
        <v>68872000000</v>
      </c>
      <c r="G923">
        <f>IFERROR(IF(VLOOKUP($B923,Показатели!$E:$W,4,FALSE)=0,"",VLOOKUP($B923,Показатели!$E:$W,4,FALSE)),"")</f>
        <v>343667000000</v>
      </c>
      <c r="H923" t="str">
        <f>IFERROR(IF(VLOOKUP($B923,Показатели!$E:$W,5,FALSE)=0,"",VLOOKUP($B923,Показатели!$E:$W,5,FALSE)),"")</f>
        <v/>
      </c>
      <c r="I923">
        <f>IFERROR(IF(VLOOKUP($B923,Показатели!$E:$W,6,FALSE)=0,"",VLOOKUP($B923,Показатели!$E:$W,6,FALSE)),"")</f>
        <v>555682000000</v>
      </c>
      <c r="J923">
        <f>IFERROR(IF(VLOOKUP($B923,Показатели!$E:$W,7,FALSE)=0,"",VLOOKUP($B923,Показатели!$E:$W,7,FALSE)),"")</f>
        <v>134060000000</v>
      </c>
      <c r="K923">
        <f>IFERROR(IF(VLOOKUP($B923,Показатели!$E:$W,8,FALSE)=0,"",VLOOKUP($B923,Показатели!$E:$W,8,FALSE)),"")</f>
        <v>172989000000</v>
      </c>
      <c r="L923">
        <f>IFERROR(IF(VLOOKUP($B923,Показатели!$E:$W,9,FALSE)=0,"",VLOOKUP($B923,Показатели!$E:$W,9,FALSE)),"")</f>
        <v>311167000000</v>
      </c>
      <c r="M923">
        <f>IFERROR(IF(VLOOKUP($B923,Показатели!$E:$W,10,FALSE)=0,"",VLOOKUP($B923,Показатели!$E:$W,10,FALSE)),"")</f>
        <v>248633000000</v>
      </c>
      <c r="N923">
        <f>IFERROR(IF(VLOOKUP($B923,Показатели!$E:$W,11,FALSE)=0,"",VLOOKUP($B923,Показатели!$E:$W,11,FALSE)),"")</f>
        <v>297446000000</v>
      </c>
      <c r="O923">
        <f>IFERROR(IF(VLOOKUP($B923,Показатели!$E:$W,12,FALSE)=0,"",VLOOKUP($B923,Показатели!$E:$W,12,FALSE)),"")</f>
        <v>39836000000</v>
      </c>
      <c r="P923">
        <f>IFERROR(IF(VLOOKUP($B923,Показатели!$E:$W,13,FALSE)=0,"",VLOOKUP($B923,Показатели!$E:$W,13,FALSE)),"")</f>
        <v>16941000000</v>
      </c>
      <c r="Q923">
        <f>IFERROR(IF(VLOOKUP($B923,Показатели!$E:$W,14,FALSE)=0,"",VLOOKUP($B923,Показатели!$E:$W,14,FALSE)),"")</f>
        <v>12249000000</v>
      </c>
      <c r="R923" t="str">
        <f>IFERROR(IF(VLOOKUP($B923,Показатели!$E:$W,15,FALSE)=0,"",VLOOKUP($B923,Показатели!$E:$W,15,FALSE)),"")</f>
        <v/>
      </c>
      <c r="S923" t="str">
        <f>IFERROR(IF(VLOOKUP($B923,Показатели!$E:$W,16,FALSE)=0,"",VLOOKUP($B923,Показатели!$E:$W,16,FALSE)),"")</f>
        <v/>
      </c>
      <c r="T923">
        <f>IFERROR(IF(VLOOKUP($B923,Показатели!$E:$W,17,FALSE)=0,"",VLOOKUP($B923,Показатели!$E:$W,17,FALSE)),"")</f>
        <v>61857000000</v>
      </c>
      <c r="U923">
        <f>IFERROR(IF(VLOOKUP($B923,Показатели!$E:$W,18,FALSE)=0,"",VLOOKUP($B923,Показатели!$E:$W,18,FALSE)),"")</f>
        <v>297355000000</v>
      </c>
      <c r="V923">
        <f>IFERROR(IF(VLOOKUP($B923,Показатели!$E:$W,19,FALSE)=0,"",VLOOKUP($B923,Показатели!$E:$W,19,FALSE)),"")</f>
        <v>551320000000</v>
      </c>
    </row>
    <row r="924" spans="1:22" x14ac:dyDescent="0.2">
      <c r="A924" s="7" t="s">
        <v>2292</v>
      </c>
      <c r="B924" t="str">
        <f t="shared" si="14"/>
        <v>RTKM IV кв. 2015</v>
      </c>
      <c r="C924">
        <v>2015</v>
      </c>
      <c r="D924">
        <f>SUMIFS(Дивиденды!$C:$C,Дивиденды!$A:$A,A924,Дивиденды!$I:$I,C924)</f>
        <v>5.92</v>
      </c>
      <c r="E924">
        <f>IFERROR(IF(VLOOKUP($B924,Показатели!$E:$W,2,FALSE)=0,"",VLOOKUP($B924,Показатели!$E:$W,2,FALSE)),"")</f>
        <v>7165000000</v>
      </c>
      <c r="F924">
        <f>IFERROR(IF(VLOOKUP($B924,Показатели!$E:$W,3,FALSE)=0,"",VLOOKUP($B924,Показатели!$E:$W,3,FALSE)),"")</f>
        <v>67796000000</v>
      </c>
      <c r="G924">
        <f>IFERROR(IF(VLOOKUP($B924,Показатели!$E:$W,4,FALSE)=0,"",VLOOKUP($B924,Показатели!$E:$W,4,FALSE)),"")</f>
        <v>338699000000</v>
      </c>
      <c r="H924" t="str">
        <f>IFERROR(IF(VLOOKUP($B924,Показатели!$E:$W,5,FALSE)=0,"",VLOOKUP($B924,Показатели!$E:$W,5,FALSE)),"")</f>
        <v/>
      </c>
      <c r="I924">
        <f>IFERROR(IF(VLOOKUP($B924,Показатели!$E:$W,6,FALSE)=0,"",VLOOKUP($B924,Показатели!$E:$W,6,FALSE)),"")</f>
        <v>551320000000</v>
      </c>
      <c r="J924">
        <f>IFERROR(IF(VLOOKUP($B924,Показатели!$E:$W,7,FALSE)=0,"",VLOOKUP($B924,Показатели!$E:$W,7,FALSE)),"")</f>
        <v>130689000000</v>
      </c>
      <c r="K924">
        <f>IFERROR(IF(VLOOKUP($B924,Показатели!$E:$W,8,FALSE)=0,"",VLOOKUP($B924,Показатели!$E:$W,8,FALSE)),"")</f>
        <v>170967000000</v>
      </c>
      <c r="L924">
        <f>IFERROR(IF(VLOOKUP($B924,Показатели!$E:$W,9,FALSE)=0,"",VLOOKUP($B924,Показатели!$E:$W,9,FALSE)),"")</f>
        <v>314237000000</v>
      </c>
      <c r="M924">
        <f>IFERROR(IF(VLOOKUP($B924,Показатели!$E:$W,10,FALSE)=0,"",VLOOKUP($B924,Показатели!$E:$W,10,FALSE)),"")</f>
        <v>249664000000</v>
      </c>
      <c r="N924">
        <f>IFERROR(IF(VLOOKUP($B924,Показатели!$E:$W,11,FALSE)=0,"",VLOOKUP($B924,Показатели!$E:$W,11,FALSE)),"")</f>
        <v>297355000000</v>
      </c>
      <c r="O924">
        <f>IFERROR(IF(VLOOKUP($B924,Показатели!$E:$W,12,FALSE)=0,"",VLOOKUP($B924,Показатели!$E:$W,12,FALSE)),"")</f>
        <v>38586000000</v>
      </c>
      <c r="P924">
        <f>IFERROR(IF(VLOOKUP($B924,Показатели!$E:$W,13,FALSE)=0,"",VLOOKUP($B924,Показатели!$E:$W,13,FALSE)),"")</f>
        <v>16827000000</v>
      </c>
      <c r="Q924">
        <f>IFERROR(IF(VLOOKUP($B924,Показатели!$E:$W,14,FALSE)=0,"",VLOOKUP($B924,Показатели!$E:$W,14,FALSE)),"")</f>
        <v>14391000000</v>
      </c>
      <c r="R924" t="str">
        <f>IFERROR(IF(VLOOKUP($B924,Показатели!$E:$W,15,FALSE)=0,"",VLOOKUP($B924,Показатели!$E:$W,15,FALSE)),"")</f>
        <v/>
      </c>
      <c r="S924" t="str">
        <f>IFERROR(IF(VLOOKUP($B924,Показатели!$E:$W,16,FALSE)=0,"",VLOOKUP($B924,Показатели!$E:$W,16,FALSE)),"")</f>
        <v/>
      </c>
      <c r="T924">
        <f>IFERROR(IF(VLOOKUP($B924,Показатели!$E:$W,17,FALSE)=0,"",VLOOKUP($B924,Показатели!$E:$W,17,FALSE)),"")</f>
        <v>62726000000</v>
      </c>
      <c r="U924">
        <f>IFERROR(IF(VLOOKUP($B924,Показатели!$E:$W,18,FALSE)=0,"",VLOOKUP($B924,Показатели!$E:$W,18,FALSE)),"")</f>
        <v>298937000000</v>
      </c>
      <c r="V924">
        <f>IFERROR(IF(VLOOKUP($B924,Показатели!$E:$W,19,FALSE)=0,"",VLOOKUP($B924,Показатели!$E:$W,19,FALSE)),"")</f>
        <v>548634000000</v>
      </c>
    </row>
    <row r="925" spans="1:22" x14ac:dyDescent="0.2">
      <c r="A925" s="7" t="s">
        <v>2292</v>
      </c>
      <c r="B925" t="str">
        <f t="shared" si="14"/>
        <v>RTKM IV кв. 2014</v>
      </c>
      <c r="C925">
        <v>2014</v>
      </c>
      <c r="D925">
        <f>SUMIFS(Дивиденды!$C:$C,Дивиденды!$A:$A,A925,Дивиденды!$I:$I,C925)</f>
        <v>3.34</v>
      </c>
      <c r="E925">
        <f>IFERROR(IF(VLOOKUP($B925,Показатели!$E:$W,2,FALSE)=0,"",VLOOKUP($B925,Показатели!$E:$W,2,FALSE)),"")</f>
        <v>16945000000</v>
      </c>
      <c r="F925">
        <f>IFERROR(IF(VLOOKUP($B925,Показатели!$E:$W,3,FALSE)=0,"",VLOOKUP($B925,Показатели!$E:$W,3,FALSE)),"")</f>
        <v>76933000000</v>
      </c>
      <c r="G925">
        <f>IFERROR(IF(VLOOKUP($B925,Показатели!$E:$W,4,FALSE)=0,"",VLOOKUP($B925,Показатели!$E:$W,4,FALSE)),"")</f>
        <v>328266000000</v>
      </c>
      <c r="H925" t="str">
        <f>IFERROR(IF(VLOOKUP($B925,Показатели!$E:$W,5,FALSE)=0,"",VLOOKUP($B925,Показатели!$E:$W,5,FALSE)),"")</f>
        <v/>
      </c>
      <c r="I925">
        <f>IFERROR(IF(VLOOKUP($B925,Показатели!$E:$W,6,FALSE)=0,"",VLOOKUP($B925,Показатели!$E:$W,6,FALSE)),"")</f>
        <v>548634000000</v>
      </c>
      <c r="J925">
        <f>IFERROR(IF(VLOOKUP($B925,Показатели!$E:$W,7,FALSE)=0,"",VLOOKUP($B925,Показатели!$E:$W,7,FALSE)),"")</f>
        <v>123244000000</v>
      </c>
      <c r="K925">
        <f>IFERROR(IF(VLOOKUP($B925,Показатели!$E:$W,8,FALSE)=0,"",VLOOKUP($B925,Показатели!$E:$W,8,FALSE)),"")</f>
        <v>180163000000</v>
      </c>
      <c r="L925">
        <f>IFERROR(IF(VLOOKUP($B925,Показатели!$E:$W,9,FALSE)=0,"",VLOOKUP($B925,Показатели!$E:$W,9,FALSE)),"")</f>
        <v>322258000000</v>
      </c>
      <c r="M925">
        <f>IFERROR(IF(VLOOKUP($B925,Показатели!$E:$W,10,FALSE)=0,"",VLOOKUP($B925,Показатели!$E:$W,10,FALSE)),"")</f>
        <v>245227000000</v>
      </c>
      <c r="N925">
        <f>IFERROR(IF(VLOOKUP($B925,Показатели!$E:$W,11,FALSE)=0,"",VLOOKUP($B925,Показатели!$E:$W,11,FALSE)),"")</f>
        <v>298937000000</v>
      </c>
      <c r="O925">
        <f>IFERROR(IF(VLOOKUP($B925,Показатели!$E:$W,12,FALSE)=0,"",VLOOKUP($B925,Показатели!$E:$W,12,FALSE)),"")</f>
        <v>39994000000</v>
      </c>
      <c r="P925">
        <f>IFERROR(IF(VLOOKUP($B925,Показатели!$E:$W,13,FALSE)=0,"",VLOOKUP($B925,Показатели!$E:$W,13,FALSE)),"")</f>
        <v>20393000000</v>
      </c>
      <c r="Q925">
        <f>IFERROR(IF(VLOOKUP($B925,Показатели!$E:$W,14,FALSE)=0,"",VLOOKUP($B925,Показатели!$E:$W,14,FALSE)),"")</f>
        <v>13182000000</v>
      </c>
      <c r="R925" t="str">
        <f>IFERROR(IF(VLOOKUP($B925,Показатели!$E:$W,15,FALSE)=0,"",VLOOKUP($B925,Показатели!$E:$W,15,FALSE)),"")</f>
        <v/>
      </c>
      <c r="S925" t="str">
        <f>IFERROR(IF(VLOOKUP($B925,Показатели!$E:$W,16,FALSE)=0,"",VLOOKUP($B925,Показатели!$E:$W,16,FALSE)),"")</f>
        <v/>
      </c>
      <c r="T925">
        <f>IFERROR(IF(VLOOKUP($B925,Показатели!$E:$W,17,FALSE)=0,"",VLOOKUP($B925,Показатели!$E:$W,17,FALSE)),"")</f>
        <v>57666000000</v>
      </c>
      <c r="U925">
        <f>IFERROR(IF(VLOOKUP($B925,Показатели!$E:$W,18,FALSE)=0,"",VLOOKUP($B925,Показатели!$E:$W,18,FALSE)),"")</f>
        <v>290736000000</v>
      </c>
      <c r="V925">
        <f>IFERROR(IF(VLOOKUP($B925,Показатели!$E:$W,19,FALSE)=0,"",VLOOKUP($B925,Показатели!$E:$W,19,FALSE)),"")</f>
        <v>560972000000</v>
      </c>
    </row>
    <row r="926" spans="1:22" x14ac:dyDescent="0.2">
      <c r="A926" s="7" t="s">
        <v>2292</v>
      </c>
      <c r="B926" t="str">
        <f t="shared" si="14"/>
        <v>RTKM IV кв. 2013</v>
      </c>
      <c r="C926">
        <v>2013</v>
      </c>
      <c r="D926">
        <f>SUMIFS(Дивиденды!$C:$C,Дивиденды!$A:$A,A926,Дивиденды!$I:$I,C926)</f>
        <v>3.12</v>
      </c>
      <c r="E926">
        <f>IFERROR(IF(VLOOKUP($B926,Показатели!$E:$W,2,FALSE)=0,"",VLOOKUP($B926,Показатели!$E:$W,2,FALSE)),"")</f>
        <v>7960000000</v>
      </c>
      <c r="F926">
        <f>IFERROR(IF(VLOOKUP($B926,Показатели!$E:$W,3,FALSE)=0,"",VLOOKUP($B926,Показатели!$E:$W,3,FALSE)),"")</f>
        <v>155750000000</v>
      </c>
      <c r="G926">
        <f>IFERROR(IF(VLOOKUP($B926,Показатели!$E:$W,4,FALSE)=0,"",VLOOKUP($B926,Показатели!$E:$W,4,FALSE)),"")</f>
        <v>335059000000</v>
      </c>
      <c r="H926" t="str">
        <f>IFERROR(IF(VLOOKUP($B926,Показатели!$E:$W,5,FALSE)=0,"",VLOOKUP($B926,Показатели!$E:$W,5,FALSE)),"")</f>
        <v/>
      </c>
      <c r="I926">
        <f>IFERROR(IF(VLOOKUP($B926,Показатели!$E:$W,6,FALSE)=0,"",VLOOKUP($B926,Показатели!$E:$W,6,FALSE)),"")</f>
        <v>560972000000</v>
      </c>
      <c r="J926">
        <f>IFERROR(IF(VLOOKUP($B926,Показатели!$E:$W,7,FALSE)=0,"",VLOOKUP($B926,Показатели!$E:$W,7,FALSE)),"")</f>
        <v>133910000000</v>
      </c>
      <c r="K926">
        <f>IFERROR(IF(VLOOKUP($B926,Показатели!$E:$W,8,FALSE)=0,"",VLOOKUP($B926,Показатели!$E:$W,8,FALSE)),"")</f>
        <v>227306000000</v>
      </c>
      <c r="L926" t="str">
        <f>IFERROR(IF(VLOOKUP($B926,Показатели!$E:$W,9,FALSE)=0,"",VLOOKUP($B926,Показатели!$E:$W,9,FALSE)),"")</f>
        <v/>
      </c>
      <c r="M926">
        <f>IFERROR(IF(VLOOKUP($B926,Показатели!$E:$W,10,FALSE)=0,"",VLOOKUP($B926,Показатели!$E:$W,10,FALSE)),"")</f>
        <v>199756000000</v>
      </c>
      <c r="N926">
        <f>IFERROR(IF(VLOOKUP($B926,Показатели!$E:$W,11,FALSE)=0,"",VLOOKUP($B926,Показатели!$E:$W,11,FALSE)),"")</f>
        <v>290736000000</v>
      </c>
      <c r="O926">
        <f>IFERROR(IF(VLOOKUP($B926,Показатели!$E:$W,12,FALSE)=0,"",VLOOKUP($B926,Показатели!$E:$W,12,FALSE)),"")</f>
        <v>45234000000</v>
      </c>
      <c r="P926">
        <f>IFERROR(IF(VLOOKUP($B926,Показатели!$E:$W,13,FALSE)=0,"",VLOOKUP($B926,Показатели!$E:$W,13,FALSE)),"")</f>
        <v>35056000000</v>
      </c>
      <c r="Q926">
        <f>IFERROR(IF(VLOOKUP($B926,Показатели!$E:$W,14,FALSE)=0,"",VLOOKUP($B926,Показатели!$E:$W,14,FALSE)),"")</f>
        <v>26686000000</v>
      </c>
      <c r="R926" t="str">
        <f>IFERROR(IF(VLOOKUP($B926,Показатели!$E:$W,15,FALSE)=0,"",VLOOKUP($B926,Показатели!$E:$W,15,FALSE)),"")</f>
        <v/>
      </c>
      <c r="S926">
        <f>IFERROR(IF(VLOOKUP($B926,Показатели!$E:$W,16,FALSE)=0,"",VLOOKUP($B926,Показатели!$E:$W,16,FALSE)),"")</f>
        <v>113300000000</v>
      </c>
      <c r="T926" t="str">
        <f>IFERROR(IF(VLOOKUP($B926,Показатели!$E:$W,17,FALSE)=0,"",VLOOKUP($B926,Показатели!$E:$W,17,FALSE)),"")</f>
        <v/>
      </c>
      <c r="U926">
        <f>IFERROR(IF(VLOOKUP($B926,Показатели!$E:$W,18,FALSE)=0,"",VLOOKUP($B926,Показатели!$E:$W,18,FALSE)),"")</f>
        <v>321251000000</v>
      </c>
      <c r="V926">
        <f>IFERROR(IF(VLOOKUP($B926,Показатели!$E:$W,19,FALSE)=0,"",VLOOKUP($B926,Показатели!$E:$W,19,FALSE)),"")</f>
        <v>580031000000</v>
      </c>
    </row>
    <row r="927" spans="1:22" x14ac:dyDescent="0.2">
      <c r="A927" s="7" t="s">
        <v>2292</v>
      </c>
      <c r="B927" t="str">
        <f t="shared" si="14"/>
        <v>RTKM IV кв. 2012</v>
      </c>
      <c r="C927">
        <v>2012</v>
      </c>
      <c r="D927">
        <f>SUMIFS(Дивиденды!$C:$C,Дивиденды!$A:$A,A927,Дивиденды!$I:$I,C927)</f>
        <v>2.44</v>
      </c>
      <c r="E927">
        <f>IFERROR(IF(VLOOKUP($B927,Показатели!$E:$W,2,FALSE)=0,"",VLOOKUP($B927,Показатели!$E:$W,2,FALSE)),"")</f>
        <v>10370000000</v>
      </c>
      <c r="F927">
        <f>IFERROR(IF(VLOOKUP($B927,Показатели!$E:$W,3,FALSE)=0,"",VLOOKUP($B927,Показатели!$E:$W,3,FALSE)),"")</f>
        <v>57939000000</v>
      </c>
      <c r="G927">
        <f>IFERROR(IF(VLOOKUP($B927,Показатели!$E:$W,4,FALSE)=0,"",VLOOKUP($B927,Показатели!$E:$W,4,FALSE)),"")</f>
        <v>385994000000</v>
      </c>
      <c r="H927" t="str">
        <f>IFERROR(IF(VLOOKUP($B927,Показатели!$E:$W,5,FALSE)=0,"",VLOOKUP($B927,Показатели!$E:$W,5,FALSE)),"")</f>
        <v/>
      </c>
      <c r="I927">
        <f>IFERROR(IF(VLOOKUP($B927,Показатели!$E:$W,6,FALSE)=0,"",VLOOKUP($B927,Показатели!$E:$W,6,FALSE)),"")</f>
        <v>580031000000</v>
      </c>
      <c r="J927">
        <f>IFERROR(IF(VLOOKUP($B927,Показатели!$E:$W,7,FALSE)=0,"",VLOOKUP($B927,Показатели!$E:$W,7,FALSE)),"")</f>
        <v>133426000000</v>
      </c>
      <c r="K927">
        <f>IFERROR(IF(VLOOKUP($B927,Показатели!$E:$W,8,FALSE)=0,"",VLOOKUP($B927,Показатели!$E:$W,8,FALSE)),"")</f>
        <v>190639000000</v>
      </c>
      <c r="L927" t="str">
        <f>IFERROR(IF(VLOOKUP($B927,Показатели!$E:$W,9,FALSE)=0,"",VLOOKUP($B927,Показатели!$E:$W,9,FALSE)),"")</f>
        <v/>
      </c>
      <c r="M927">
        <f>IFERROR(IF(VLOOKUP($B927,Показатели!$E:$W,10,FALSE)=0,"",VLOOKUP($B927,Показатели!$E:$W,10,FALSE)),"")</f>
        <v>255966000000</v>
      </c>
      <c r="N927">
        <f>IFERROR(IF(VLOOKUP($B927,Показатели!$E:$W,11,FALSE)=0,"",VLOOKUP($B927,Показатели!$E:$W,11,FALSE)),"")</f>
        <v>321251000000</v>
      </c>
      <c r="O927">
        <f>IFERROR(IF(VLOOKUP($B927,Показатели!$E:$W,12,FALSE)=0,"",VLOOKUP($B927,Показатели!$E:$W,12,FALSE)),"")</f>
        <v>53825000000</v>
      </c>
      <c r="P927">
        <f>IFERROR(IF(VLOOKUP($B927,Показатели!$E:$W,13,FALSE)=0,"",VLOOKUP($B927,Показатели!$E:$W,13,FALSE)),"")</f>
        <v>44033000000</v>
      </c>
      <c r="Q927">
        <f>IFERROR(IF(VLOOKUP($B927,Показатели!$E:$W,14,FALSE)=0,"",VLOOKUP($B927,Показатели!$E:$W,14,FALSE)),"")</f>
        <v>35240000000</v>
      </c>
      <c r="R927" t="str">
        <f>IFERROR(IF(VLOOKUP($B927,Показатели!$E:$W,15,FALSE)=0,"",VLOOKUP($B927,Показатели!$E:$W,15,FALSE)),"")</f>
        <v/>
      </c>
      <c r="S927" t="str">
        <f>IFERROR(IF(VLOOKUP($B927,Показатели!$E:$W,16,FALSE)=0,"",VLOOKUP($B927,Показатели!$E:$W,16,FALSE)),"")</f>
        <v/>
      </c>
      <c r="T927" t="str">
        <f>IFERROR(IF(VLOOKUP($B927,Показатели!$E:$W,17,FALSE)=0,"",VLOOKUP($B927,Показатели!$E:$W,17,FALSE)),"")</f>
        <v/>
      </c>
      <c r="U927">
        <f>IFERROR(IF(VLOOKUP($B927,Показатели!$E:$W,18,FALSE)=0,"",VLOOKUP($B927,Показатели!$E:$W,18,FALSE)),"")</f>
        <v>296015000000</v>
      </c>
      <c r="V927">
        <f>IFERROR(IF(VLOOKUP($B927,Показатели!$E:$W,19,FALSE)=0,"",VLOOKUP($B927,Показатели!$E:$W,19,FALSE)),"")</f>
        <v>511108000000</v>
      </c>
    </row>
    <row r="928" spans="1:22" x14ac:dyDescent="0.2">
      <c r="A928" s="7" t="s">
        <v>2292</v>
      </c>
      <c r="B928" t="str">
        <f t="shared" si="14"/>
        <v>RTKM IV кв. 2011</v>
      </c>
      <c r="C928">
        <v>2011</v>
      </c>
      <c r="D928">
        <f>SUMIFS(Дивиденды!$C:$C,Дивиденды!$A:$A,A928,Дивиденды!$I:$I,C928)</f>
        <v>4.7</v>
      </c>
      <c r="E928">
        <f>IFERROR(IF(VLOOKUP($B928,Показатели!$E:$W,2,FALSE)=0,"",VLOOKUP($B928,Показатели!$E:$W,2,FALSE)),"")</f>
        <v>7177000000</v>
      </c>
      <c r="F928">
        <f>IFERROR(IF(VLOOKUP($B928,Показатели!$E:$W,3,FALSE)=0,"",VLOOKUP($B928,Показатели!$E:$W,3,FALSE)),"")</f>
        <v>51834000000</v>
      </c>
      <c r="G928">
        <f>IFERROR(IF(VLOOKUP($B928,Показатели!$E:$W,4,FALSE)=0,"",VLOOKUP($B928,Показатели!$E:$W,4,FALSE)),"")</f>
        <v>327971000000</v>
      </c>
      <c r="H928" t="str">
        <f>IFERROR(IF(VLOOKUP($B928,Показатели!$E:$W,5,FALSE)=0,"",VLOOKUP($B928,Показатели!$E:$W,5,FALSE)),"")</f>
        <v/>
      </c>
      <c r="I928">
        <f>IFERROR(IF(VLOOKUP($B928,Показатели!$E:$W,6,FALSE)=0,"",VLOOKUP($B928,Показатели!$E:$W,6,FALSE)),"")</f>
        <v>511108000000</v>
      </c>
      <c r="J928">
        <f>IFERROR(IF(VLOOKUP($B928,Показатели!$E:$W,7,FALSE)=0,"",VLOOKUP($B928,Показатели!$E:$W,7,FALSE)),"")</f>
        <v>124481000000</v>
      </c>
      <c r="K928">
        <f>IFERROR(IF(VLOOKUP($B928,Показатели!$E:$W,8,FALSE)=0,"",VLOOKUP($B928,Показатели!$E:$W,8,FALSE)),"")</f>
        <v>118701000000</v>
      </c>
      <c r="L928" t="str">
        <f>IFERROR(IF(VLOOKUP($B928,Показатели!$E:$W,9,FALSE)=0,"",VLOOKUP($B928,Показатели!$E:$W,9,FALSE)),"")</f>
        <v/>
      </c>
      <c r="M928">
        <f>IFERROR(IF(VLOOKUP($B928,Показатели!$E:$W,10,FALSE)=0,"",VLOOKUP($B928,Показатели!$E:$W,10,FALSE)),"")</f>
        <v>267926000000</v>
      </c>
      <c r="N928">
        <f>IFERROR(IF(VLOOKUP($B928,Показатели!$E:$W,11,FALSE)=0,"",VLOOKUP($B928,Показатели!$E:$W,11,FALSE)),"")</f>
        <v>296015000000</v>
      </c>
      <c r="O928">
        <f>IFERROR(IF(VLOOKUP($B928,Показатели!$E:$W,12,FALSE)=0,"",VLOOKUP($B928,Показатели!$E:$W,12,FALSE)),"")</f>
        <v>63668000000</v>
      </c>
      <c r="P928">
        <f>IFERROR(IF(VLOOKUP($B928,Показатели!$E:$W,13,FALSE)=0,"",VLOOKUP($B928,Показатели!$E:$W,13,FALSE)),"")</f>
        <v>57025000000</v>
      </c>
      <c r="Q928">
        <f>IFERROR(IF(VLOOKUP($B928,Показатели!$E:$W,14,FALSE)=0,"",VLOOKUP($B928,Показатели!$E:$W,14,FALSE)),"")</f>
        <v>46070000000</v>
      </c>
      <c r="R928" t="str">
        <f>IFERROR(IF(VLOOKUP($B928,Показатели!$E:$W,15,FALSE)=0,"",VLOOKUP($B928,Показатели!$E:$W,15,FALSE)),"")</f>
        <v/>
      </c>
      <c r="S928" t="str">
        <f>IFERROR(IF(VLOOKUP($B928,Показатели!$E:$W,16,FALSE)=0,"",VLOOKUP($B928,Показатели!$E:$W,16,FALSE)),"")</f>
        <v/>
      </c>
      <c r="T928" t="str">
        <f>IFERROR(IF(VLOOKUP($B928,Показатели!$E:$W,17,FALSE)=0,"",VLOOKUP($B928,Показатели!$E:$W,17,FALSE)),"")</f>
        <v/>
      </c>
      <c r="U928" t="str">
        <f>IFERROR(IF(VLOOKUP($B928,Показатели!$E:$W,18,FALSE)=0,"",VLOOKUP($B928,Показатели!$E:$W,18,FALSE)),"")</f>
        <v/>
      </c>
      <c r="V928" t="str">
        <f>IFERROR(IF(VLOOKUP($B928,Показатели!$E:$W,19,FALSE)=0,"",VLOOKUP($B928,Показатели!$E:$W,19,FALSE)),"")</f>
        <v/>
      </c>
    </row>
    <row r="929" spans="1:22" x14ac:dyDescent="0.2">
      <c r="A929" s="7" t="s">
        <v>2292</v>
      </c>
      <c r="B929" t="str">
        <f t="shared" si="14"/>
        <v>RTKM IV кв. 2010</v>
      </c>
      <c r="C929">
        <v>2010</v>
      </c>
      <c r="D929">
        <f>SUMIFS(Дивиденды!$C:$C,Дивиденды!$A:$A,A929,Дивиденды!$I:$I,C929)</f>
        <v>1.1100000000000001</v>
      </c>
      <c r="E929" t="str">
        <f>IFERROR(IF(VLOOKUP($B929,Показатели!$E:$W,2,FALSE)=0,"",VLOOKUP($B929,Показатели!$E:$W,2,FALSE)),"")</f>
        <v/>
      </c>
      <c r="F929" t="str">
        <f>IFERROR(IF(VLOOKUP($B929,Показатели!$E:$W,3,FALSE)=0,"",VLOOKUP($B929,Показатели!$E:$W,3,FALSE)),"")</f>
        <v/>
      </c>
      <c r="G929" t="str">
        <f>IFERROR(IF(VLOOKUP($B929,Показатели!$E:$W,4,FALSE)=0,"",VLOOKUP($B929,Показатели!$E:$W,4,FALSE)),"")</f>
        <v/>
      </c>
      <c r="H929" t="str">
        <f>IFERROR(IF(VLOOKUP($B929,Показатели!$E:$W,5,FALSE)=0,"",VLOOKUP($B929,Показатели!$E:$W,5,FALSE)),"")</f>
        <v/>
      </c>
      <c r="I929" t="str">
        <f>IFERROR(IF(VLOOKUP($B929,Показатели!$E:$W,6,FALSE)=0,"",VLOOKUP($B929,Показатели!$E:$W,6,FALSE)),"")</f>
        <v/>
      </c>
      <c r="J929" t="str">
        <f>IFERROR(IF(VLOOKUP($B929,Показатели!$E:$W,7,FALSE)=0,"",VLOOKUP($B929,Показатели!$E:$W,7,FALSE)),"")</f>
        <v/>
      </c>
      <c r="K929" t="str">
        <f>IFERROR(IF(VLOOKUP($B929,Показатели!$E:$W,8,FALSE)=0,"",VLOOKUP($B929,Показатели!$E:$W,8,FALSE)),"")</f>
        <v/>
      </c>
      <c r="L929" t="str">
        <f>IFERROR(IF(VLOOKUP($B929,Показатели!$E:$W,9,FALSE)=0,"",VLOOKUP($B929,Показатели!$E:$W,9,FALSE)),"")</f>
        <v/>
      </c>
      <c r="M929" t="str">
        <f>IFERROR(IF(VLOOKUP($B929,Показатели!$E:$W,10,FALSE)=0,"",VLOOKUP($B929,Показатели!$E:$W,10,FALSE)),"")</f>
        <v/>
      </c>
      <c r="N929" t="str">
        <f>IFERROR(IF(VLOOKUP($B929,Показатели!$E:$W,11,FALSE)=0,"",VLOOKUP($B929,Показатели!$E:$W,11,FALSE)),"")</f>
        <v/>
      </c>
      <c r="O929" t="str">
        <f>IFERROR(IF(VLOOKUP($B929,Показатели!$E:$W,12,FALSE)=0,"",VLOOKUP($B929,Показатели!$E:$W,12,FALSE)),"")</f>
        <v/>
      </c>
      <c r="P929" t="str">
        <f>IFERROR(IF(VLOOKUP($B929,Показатели!$E:$W,13,FALSE)=0,"",VLOOKUP($B929,Показатели!$E:$W,13,FALSE)),"")</f>
        <v/>
      </c>
      <c r="Q929" t="str">
        <f>IFERROR(IF(VLOOKUP($B929,Показатели!$E:$W,14,FALSE)=0,"",VLOOKUP($B929,Показатели!$E:$W,14,FALSE)),"")</f>
        <v/>
      </c>
      <c r="R929" t="str">
        <f>IFERROR(IF(VLOOKUP($B929,Показатели!$E:$W,15,FALSE)=0,"",VLOOKUP($B929,Показатели!$E:$W,15,FALSE)),"")</f>
        <v/>
      </c>
      <c r="S929" t="str">
        <f>IFERROR(IF(VLOOKUP($B929,Показатели!$E:$W,16,FALSE)=0,"",VLOOKUP($B929,Показатели!$E:$W,16,FALSE)),"")</f>
        <v/>
      </c>
      <c r="T929" t="str">
        <f>IFERROR(IF(VLOOKUP($B929,Показатели!$E:$W,17,FALSE)=0,"",VLOOKUP($B929,Показатели!$E:$W,17,FALSE)),"")</f>
        <v/>
      </c>
      <c r="U929" t="str">
        <f>IFERROR(IF(VLOOKUP($B929,Показатели!$E:$W,18,FALSE)=0,"",VLOOKUP($B929,Показатели!$E:$W,18,FALSE)),"")</f>
        <v/>
      </c>
      <c r="V929" t="str">
        <f>IFERROR(IF(VLOOKUP($B929,Показатели!$E:$W,19,FALSE)=0,"",VLOOKUP($B929,Показатели!$E:$W,19,FALSE)),"")</f>
        <v/>
      </c>
    </row>
    <row r="930" spans="1:22" x14ac:dyDescent="0.2">
      <c r="A930" s="7" t="s">
        <v>2294</v>
      </c>
      <c r="B930" t="str">
        <f t="shared" si="14"/>
        <v>AFLT IV кв. 2025</v>
      </c>
      <c r="C930">
        <v>2025</v>
      </c>
      <c r="D930">
        <f>SUMIFS(Дивиденды!$C:$C,Дивиденды!$A:$A,A930,Дивиденды!$I:$I,C930)</f>
        <v>0</v>
      </c>
      <c r="E930">
        <f>IFERROR(IF(VLOOKUP($B930,Показатели!$E:$W,2,FALSE)=0,"",VLOOKUP($B930,Показатели!$E:$W,2,FALSE)),"")</f>
        <v>38785000000</v>
      </c>
      <c r="F930">
        <f>IFERROR(IF(VLOOKUP($B930,Показатели!$E:$W,3,FALSE)=0,"",VLOOKUP($B930,Показатели!$E:$W,3,FALSE)),"")</f>
        <v>251475000000</v>
      </c>
      <c r="G930">
        <f>IFERROR(IF(VLOOKUP($B930,Показатели!$E:$W,4,FALSE)=0,"",VLOOKUP($B930,Показатели!$E:$W,4,FALSE)),"")</f>
        <v>229044000000</v>
      </c>
      <c r="H930">
        <f>IFERROR(IF(VLOOKUP($B930,Показатели!$E:$W,5,FALSE)=0,"",VLOOKUP($B930,Показатели!$E:$W,5,FALSE)),"")</f>
        <v>29055000000</v>
      </c>
      <c r="I930">
        <f>IFERROR(IF(VLOOKUP($B930,Показатели!$E:$W,6,FALSE)=0,"",VLOOKUP($B930,Показатели!$E:$W,6,FALSE)),"")</f>
        <v>1126499000000</v>
      </c>
      <c r="J930">
        <f>IFERROR(IF(VLOOKUP($B930,Показатели!$E:$W,7,FALSE)=0,"",VLOOKUP($B930,Показатели!$E:$W,7,FALSE)),"")</f>
        <v>396446000000</v>
      </c>
      <c r="K930">
        <f>IFERROR(IF(VLOOKUP($B930,Показатели!$E:$W,8,FALSE)=0,"",VLOOKUP($B930,Показатели!$E:$W,8,FALSE)),"")</f>
        <v>679347000000</v>
      </c>
      <c r="L930">
        <f>IFERROR(IF(VLOOKUP($B930,Показатели!$E:$W,9,FALSE)=0,"",VLOOKUP($B930,Показатели!$E:$W,9,FALSE)),"")</f>
        <v>-92530000000</v>
      </c>
      <c r="M930">
        <f>IFERROR(IF(VLOOKUP($B930,Показатели!$E:$W,10,FALSE)=0,"",VLOOKUP($B930,Показатели!$E:$W,10,FALSE)),"")</f>
        <v>50706000000</v>
      </c>
      <c r="N930">
        <f>IFERROR(IF(VLOOKUP($B930,Показатели!$E:$W,11,FALSE)=0,"",VLOOKUP($B930,Показатели!$E:$W,11,FALSE)),"")</f>
        <v>902261000000</v>
      </c>
      <c r="O930">
        <f>IFERROR(IF(VLOOKUP($B930,Показатели!$E:$W,12,FALSE)=0,"",VLOOKUP($B930,Показатели!$E:$W,12,FALSE)),"")</f>
        <v>138638000000</v>
      </c>
      <c r="P930">
        <f>IFERROR(IF(VLOOKUP($B930,Показатели!$E:$W,13,FALSE)=0,"",VLOOKUP($B930,Показатели!$E:$W,13,FALSE)),"")</f>
        <v>143165000000</v>
      </c>
      <c r="Q930">
        <f>IFERROR(IF(VLOOKUP($B930,Показатели!$E:$W,14,FALSE)=0,"",VLOOKUP($B930,Показатели!$E:$W,14,FALSE)),"")</f>
        <v>105505000000</v>
      </c>
      <c r="R930">
        <f>IFERROR(IF(VLOOKUP($B930,Показатели!$E:$W,15,FALSE)=0,"",VLOOKUP($B930,Показатели!$E:$W,15,FALSE)),"")</f>
        <v>115013000000</v>
      </c>
      <c r="S930">
        <f>IFERROR(IF(VLOOKUP($B930,Показатели!$E:$W,16,FALSE)=0,"",VLOOKUP($B930,Показатели!$E:$W,16,FALSE)),"")</f>
        <v>253651000000</v>
      </c>
      <c r="T930">
        <f>IFERROR(IF(VLOOKUP($B930,Показатели!$E:$W,17,FALSE)=0,"",VLOOKUP($B930,Показатели!$E:$W,17,FALSE)),"")</f>
        <v>-209740000000</v>
      </c>
      <c r="U930">
        <f>IFERROR(IF(VLOOKUP($B930,Показатели!$E:$W,18,FALSE)=0,"",VLOOKUP($B930,Показатели!$E:$W,18,FALSE)),"")</f>
        <v>856785000000</v>
      </c>
      <c r="V930">
        <f>IFERROR(IF(VLOOKUP($B930,Показатели!$E:$W,19,FALSE)=0,"",VLOOKUP($B930,Показатели!$E:$W,19,FALSE)),"")</f>
        <v>1156896000000</v>
      </c>
    </row>
    <row r="931" spans="1:22" x14ac:dyDescent="0.2">
      <c r="A931" s="7" t="s">
        <v>2294</v>
      </c>
      <c r="B931" t="str">
        <f t="shared" si="14"/>
        <v>AFLT IV кв. 2024</v>
      </c>
      <c r="C931">
        <v>2024</v>
      </c>
      <c r="D931">
        <f>SUMIFS(Дивиденды!$C:$C,Дивиденды!$A:$A,A931,Дивиденды!$I:$I,C931)</f>
        <v>5.27</v>
      </c>
      <c r="E931">
        <f>IFERROR(IF(VLOOKUP($B931,Показатели!$E:$W,2,FALSE)=0,"",VLOOKUP($B931,Показатели!$E:$W,2,FALSE)),"")</f>
        <v>67814000000</v>
      </c>
      <c r="F931">
        <f>IFERROR(IF(VLOOKUP($B931,Показатели!$E:$W,3,FALSE)=0,"",VLOOKUP($B931,Показатели!$E:$W,3,FALSE)),"")</f>
        <v>253737000000</v>
      </c>
      <c r="G931">
        <f>IFERROR(IF(VLOOKUP($B931,Показатели!$E:$W,4,FALSE)=0,"",VLOOKUP($B931,Показатели!$E:$W,4,FALSE)),"")</f>
        <v>159838000000</v>
      </c>
      <c r="H931">
        <f>IFERROR(IF(VLOOKUP($B931,Показатели!$E:$W,5,FALSE)=0,"",VLOOKUP($B931,Показатели!$E:$W,5,FALSE)),"")</f>
        <v>21245000000</v>
      </c>
      <c r="I931">
        <f>IFERROR(IF(VLOOKUP($B931,Показатели!$E:$W,6,FALSE)=0,"",VLOOKUP($B931,Показатели!$E:$W,6,FALSE)),"")</f>
        <v>1156896000000</v>
      </c>
      <c r="J931">
        <f>IFERROR(IF(VLOOKUP($B931,Показатели!$E:$W,7,FALSE)=0,"",VLOOKUP($B931,Показатели!$E:$W,7,FALSE)),"")</f>
        <v>409065000000</v>
      </c>
      <c r="K931">
        <f>IFERROR(IF(VLOOKUP($B931,Показатели!$E:$W,8,FALSE)=0,"",VLOOKUP($B931,Показатели!$E:$W,8,FALSE)),"")</f>
        <v>820328000000</v>
      </c>
      <c r="L931">
        <f>IFERROR(IF(VLOOKUP($B931,Показатели!$E:$W,9,FALSE)=0,"",VLOOKUP($B931,Показатели!$E:$W,9,FALSE)),"")</f>
        <v>-176492000000</v>
      </c>
      <c r="M931">
        <f>IFERROR(IF(VLOOKUP($B931,Показатели!$E:$W,10,FALSE)=0,"",VLOOKUP($B931,Показатели!$E:$W,10,FALSE)),"")</f>
        <v>-72497000000</v>
      </c>
      <c r="N931">
        <f>IFERROR(IF(VLOOKUP($B931,Показатели!$E:$W,11,FALSE)=0,"",VLOOKUP($B931,Показатели!$E:$W,11,FALSE)),"")</f>
        <v>856785000000</v>
      </c>
      <c r="O931">
        <f>IFERROR(IF(VLOOKUP($B931,Показатели!$E:$W,12,FALSE)=0,"",VLOOKUP($B931,Показатели!$E:$W,12,FALSE)),"")</f>
        <v>99537000000</v>
      </c>
      <c r="P931">
        <f>IFERROR(IF(VLOOKUP($B931,Показатели!$E:$W,13,FALSE)=0,"",VLOOKUP($B931,Показатели!$E:$W,13,FALSE)),"")</f>
        <v>42209000000</v>
      </c>
      <c r="Q931">
        <f>IFERROR(IF(VLOOKUP($B931,Показатели!$E:$W,14,FALSE)=0,"",VLOOKUP($B931,Показатели!$E:$W,14,FALSE)),"")</f>
        <v>55020000000</v>
      </c>
      <c r="R931">
        <f>IFERROR(IF(VLOOKUP($B931,Показатели!$E:$W,15,FALSE)=0,"",VLOOKUP($B931,Показатели!$E:$W,15,FALSE)),"")</f>
        <v>113972000000</v>
      </c>
      <c r="S931">
        <f>IFERROR(IF(VLOOKUP($B931,Показатели!$E:$W,16,FALSE)=0,"",VLOOKUP($B931,Показатели!$E:$W,16,FALSE)),"")</f>
        <v>214075000000</v>
      </c>
      <c r="T931">
        <f>IFERROR(IF(VLOOKUP($B931,Показатели!$E:$W,17,FALSE)=0,"",VLOOKUP($B931,Показатели!$E:$W,17,FALSE)),"")</f>
        <v>-91852000000</v>
      </c>
      <c r="U931">
        <f>IFERROR(IF(VLOOKUP($B931,Показатели!$E:$W,18,FALSE)=0,"",VLOOKUP($B931,Показатели!$E:$W,18,FALSE)),"")</f>
        <v>612194000000</v>
      </c>
      <c r="V931">
        <f>IFERROR(IF(VLOOKUP($B931,Показатели!$E:$W,19,FALSE)=0,"",VLOOKUP($B931,Показатели!$E:$W,19,FALSE)),"")</f>
        <v>1114014000000</v>
      </c>
    </row>
    <row r="932" spans="1:22" x14ac:dyDescent="0.2">
      <c r="A932" s="7" t="s">
        <v>2294</v>
      </c>
      <c r="B932" t="str">
        <f t="shared" si="14"/>
        <v>AFLT IV кв. 2023</v>
      </c>
      <c r="C932">
        <v>2023</v>
      </c>
      <c r="D932">
        <f>SUMIFS(Дивиденды!$C:$C,Дивиденды!$A:$A,A932,Дивиденды!$I:$I,C932)</f>
        <v>0</v>
      </c>
      <c r="E932">
        <f>IFERROR(IF(VLOOKUP($B932,Показатели!$E:$W,2,FALSE)=0,"",VLOOKUP($B932,Показатели!$E:$W,2,FALSE)),"")</f>
        <v>83117000000</v>
      </c>
      <c r="F932">
        <f>IFERROR(IF(VLOOKUP($B932,Показатели!$E:$W,3,FALSE)=0,"",VLOOKUP($B932,Показатели!$E:$W,3,FALSE)),"")</f>
        <v>250802000000</v>
      </c>
      <c r="G932">
        <f>IFERROR(IF(VLOOKUP($B932,Показатели!$E:$W,4,FALSE)=0,"",VLOOKUP($B932,Показатели!$E:$W,4,FALSE)),"")</f>
        <v>104922000000</v>
      </c>
      <c r="H932">
        <f>IFERROR(IF(VLOOKUP($B932,Показатели!$E:$W,5,FALSE)=0,"",VLOOKUP($B932,Показатели!$E:$W,5,FALSE)),"")</f>
        <v>7475000000</v>
      </c>
      <c r="I932">
        <f>IFERROR(IF(VLOOKUP($B932,Показатели!$E:$W,6,FALSE)=0,"",VLOOKUP($B932,Показатели!$E:$W,6,FALSE)),"")</f>
        <v>1114014000000</v>
      </c>
      <c r="J932">
        <f>IFERROR(IF(VLOOKUP($B932,Показатели!$E:$W,7,FALSE)=0,"",VLOOKUP($B932,Показатели!$E:$W,7,FALSE)),"")</f>
        <v>339604000000</v>
      </c>
      <c r="K932">
        <f>IFERROR(IF(VLOOKUP($B932,Показатели!$E:$W,8,FALSE)=0,"",VLOOKUP($B932,Показатели!$E:$W,8,FALSE)),"")</f>
        <v>873164000000</v>
      </c>
      <c r="L932">
        <f>IFERROR(IF(VLOOKUP($B932,Показатели!$E:$W,9,FALSE)=0,"",VLOOKUP($B932,Показатели!$E:$W,9,FALSE)),"")</f>
        <v>-234993000000</v>
      </c>
      <c r="M932">
        <f>IFERROR(IF(VLOOKUP($B932,Показатели!$E:$W,10,FALSE)=0,"",VLOOKUP($B932,Показатели!$E:$W,10,FALSE)),"")</f>
        <v>-98754000000</v>
      </c>
      <c r="N932">
        <f>IFERROR(IF(VLOOKUP($B932,Показатели!$E:$W,11,FALSE)=0,"",VLOOKUP($B932,Показатели!$E:$W,11,FALSE)),"")</f>
        <v>612194000000</v>
      </c>
      <c r="O932">
        <f>IFERROR(IF(VLOOKUP($B932,Показатели!$E:$W,12,FALSE)=0,"",VLOOKUP($B932,Показатели!$E:$W,12,FALSE)),"")</f>
        <v>182253000000</v>
      </c>
      <c r="P932">
        <f>IFERROR(IF(VLOOKUP($B932,Показатели!$E:$W,13,FALSE)=0,"",VLOOKUP($B932,Показатели!$E:$W,13,FALSE)),"")</f>
        <v>-11350000000</v>
      </c>
      <c r="Q932">
        <f>IFERROR(IF(VLOOKUP($B932,Показатели!$E:$W,14,FALSE)=0,"",VLOOKUP($B932,Показатели!$E:$W,14,FALSE)),"")</f>
        <v>-14021000000</v>
      </c>
      <c r="R932">
        <f>IFERROR(IF(VLOOKUP($B932,Показатели!$E:$W,15,FALSE)=0,"",VLOOKUP($B932,Показатели!$E:$W,15,FALSE)),"")</f>
        <v>135958000000</v>
      </c>
      <c r="S932">
        <f>IFERROR(IF(VLOOKUP($B932,Показатели!$E:$W,16,FALSE)=0,"",VLOOKUP($B932,Показатели!$E:$W,16,FALSE)),"")</f>
        <v>318347000000</v>
      </c>
      <c r="T932">
        <f>IFERROR(IF(VLOOKUP($B932,Показатели!$E:$W,17,FALSE)=0,"",VLOOKUP($B932,Показатели!$E:$W,17,FALSE)),"")</f>
        <v>-99462000000</v>
      </c>
      <c r="U932">
        <f>IFERROR(IF(VLOOKUP($B932,Показатели!$E:$W,18,FALSE)=0,"",VLOOKUP($B932,Показатели!$E:$W,18,FALSE)),"")</f>
        <v>413316000000</v>
      </c>
      <c r="V932">
        <f>IFERROR(IF(VLOOKUP($B932,Показатели!$E:$W,19,FALSE)=0,"",VLOOKUP($B932,Показатели!$E:$W,19,FALSE)),"")</f>
        <v>957125000000</v>
      </c>
    </row>
    <row r="933" spans="1:22" x14ac:dyDescent="0.2">
      <c r="A933" s="7" t="s">
        <v>2294</v>
      </c>
      <c r="B933" t="str">
        <f t="shared" si="14"/>
        <v>AFLT IV кв. 2022</v>
      </c>
      <c r="C933">
        <v>2022</v>
      </c>
      <c r="D933">
        <f>SUMIFS(Дивиденды!$C:$C,Дивиденды!$A:$A,A933,Дивиденды!$I:$I,C933)</f>
        <v>0</v>
      </c>
      <c r="E933">
        <f>IFERROR(IF(VLOOKUP($B933,Показатели!$E:$W,2,FALSE)=0,"",VLOOKUP($B933,Показатели!$E:$W,2,FALSE)),"")</f>
        <v>51877000000</v>
      </c>
      <c r="F933">
        <f>IFERROR(IF(VLOOKUP($B933,Показатели!$E:$W,3,FALSE)=0,"",VLOOKUP($B933,Показатели!$E:$W,3,FALSE)),"")</f>
        <v>231732000000</v>
      </c>
      <c r="G933">
        <f>IFERROR(IF(VLOOKUP($B933,Показатели!$E:$W,4,FALSE)=0,"",VLOOKUP($B933,Показатели!$E:$W,4,FALSE)),"")</f>
        <v>49067000000</v>
      </c>
      <c r="H933">
        <f>IFERROR(IF(VLOOKUP($B933,Показатели!$E:$W,5,FALSE)=0,"",VLOOKUP($B933,Показатели!$E:$W,5,FALSE)),"")</f>
        <v>2521000000</v>
      </c>
      <c r="I933">
        <f>IFERROR(IF(VLOOKUP($B933,Показатели!$E:$W,6,FALSE)=0,"",VLOOKUP($B933,Показатели!$E:$W,6,FALSE)),"")</f>
        <v>957125000000</v>
      </c>
      <c r="J933">
        <f>IFERROR(IF(VLOOKUP($B933,Показатели!$E:$W,7,FALSE)=0,"",VLOOKUP($B933,Показатели!$E:$W,7,FALSE)),"")</f>
        <v>268380000000</v>
      </c>
      <c r="K933">
        <f>IFERROR(IF(VLOOKUP($B933,Показатели!$E:$W,8,FALSE)=0,"",VLOOKUP($B933,Показатели!$E:$W,8,FALSE)),"")</f>
        <v>788084000000</v>
      </c>
      <c r="L933">
        <f>IFERROR(IF(VLOOKUP($B933,Показатели!$E:$W,9,FALSE)=0,"",VLOOKUP($B933,Показатели!$E:$W,9,FALSE)),"")</f>
        <v>-226131000000</v>
      </c>
      <c r="M933">
        <f>IFERROR(IF(VLOOKUP($B933,Показатели!$E:$W,10,FALSE)=0,"",VLOOKUP($B933,Показатели!$E:$W,10,FALSE)),"")</f>
        <v>-99339000000</v>
      </c>
      <c r="N933">
        <f>IFERROR(IF(VLOOKUP($B933,Показатели!$E:$W,11,FALSE)=0,"",VLOOKUP($B933,Показатели!$E:$W,11,FALSE)),"")</f>
        <v>413316000000</v>
      </c>
      <c r="O933">
        <f>IFERROR(IF(VLOOKUP($B933,Показатели!$E:$W,12,FALSE)=0,"",VLOOKUP($B933,Показатели!$E:$W,12,FALSE)),"")</f>
        <v>-13367000000</v>
      </c>
      <c r="P933">
        <f>IFERROR(IF(VLOOKUP($B933,Показатели!$E:$W,13,FALSE)=0,"",VLOOKUP($B933,Показатели!$E:$W,13,FALSE)),"")</f>
        <v>-59991000000</v>
      </c>
      <c r="Q933">
        <f>IFERROR(IF(VLOOKUP($B933,Показатели!$E:$W,14,FALSE)=0,"",VLOOKUP($B933,Показатели!$E:$W,14,FALSE)),"")</f>
        <v>-50371000000</v>
      </c>
      <c r="R933">
        <f>IFERROR(IF(VLOOKUP($B933,Показатели!$E:$W,15,FALSE)=0,"",VLOOKUP($B933,Показатели!$E:$W,15,FALSE)),"")</f>
        <v>126103000000</v>
      </c>
      <c r="S933">
        <f>IFERROR(IF(VLOOKUP($B933,Показатели!$E:$W,16,FALSE)=0,"",VLOOKUP($B933,Показатели!$E:$W,16,FALSE)),"")</f>
        <v>112907000000</v>
      </c>
      <c r="T933">
        <f>IFERROR(IF(VLOOKUP($B933,Показатели!$E:$W,17,FALSE)=0,"",VLOOKUP($B933,Показатели!$E:$W,17,FALSE)),"")</f>
        <v>-7510000000</v>
      </c>
      <c r="U933">
        <f>IFERROR(IF(VLOOKUP($B933,Показатели!$E:$W,18,FALSE)=0,"",VLOOKUP($B933,Показатели!$E:$W,18,FALSE)),"")</f>
        <v>491733000000</v>
      </c>
      <c r="V933">
        <f>IFERROR(IF(VLOOKUP($B933,Показатели!$E:$W,19,FALSE)=0,"",VLOOKUP($B933,Показатели!$E:$W,19,FALSE)),"")</f>
        <v>1109450000000</v>
      </c>
    </row>
    <row r="934" spans="1:22" x14ac:dyDescent="0.2">
      <c r="A934" s="7" t="s">
        <v>2294</v>
      </c>
      <c r="B934" t="str">
        <f t="shared" si="14"/>
        <v>AFLT IV кв. 2021</v>
      </c>
      <c r="C934">
        <v>2021</v>
      </c>
      <c r="D934">
        <f>SUMIFS(Дивиденды!$C:$C,Дивиденды!$A:$A,A934,Дивиденды!$I:$I,C934)</f>
        <v>0</v>
      </c>
      <c r="E934">
        <f>IFERROR(IF(VLOOKUP($B934,Показатели!$E:$W,2,FALSE)=0,"",VLOOKUP($B934,Показатели!$E:$W,2,FALSE)),"")</f>
        <v>74180000000</v>
      </c>
      <c r="F934">
        <f>IFERROR(IF(VLOOKUP($B934,Показатели!$E:$W,3,FALSE)=0,"",VLOOKUP($B934,Показатели!$E:$W,3,FALSE)),"")</f>
        <v>190344000000</v>
      </c>
      <c r="G934">
        <f>IFERROR(IF(VLOOKUP($B934,Показатели!$E:$W,4,FALSE)=0,"",VLOOKUP($B934,Показатели!$E:$W,4,FALSE)),"")</f>
        <v>19893000000</v>
      </c>
      <c r="H934">
        <f>IFERROR(IF(VLOOKUP($B934,Показатели!$E:$W,5,FALSE)=0,"",VLOOKUP($B934,Показатели!$E:$W,5,FALSE)),"")</f>
        <v>3221000000</v>
      </c>
      <c r="I934">
        <f>IFERROR(IF(VLOOKUP($B934,Показатели!$E:$W,6,FALSE)=0,"",VLOOKUP($B934,Показатели!$E:$W,6,FALSE)),"")</f>
        <v>1109450000000</v>
      </c>
      <c r="J934">
        <f>IFERROR(IF(VLOOKUP($B934,Показатели!$E:$W,7,FALSE)=0,"",VLOOKUP($B934,Показатели!$E:$W,7,FALSE)),"")</f>
        <v>272588000000</v>
      </c>
      <c r="K934">
        <f>IFERROR(IF(VLOOKUP($B934,Показатели!$E:$W,8,FALSE)=0,"",VLOOKUP($B934,Показатели!$E:$W,8,FALSE)),"")</f>
        <v>983300000000</v>
      </c>
      <c r="L934">
        <f>IFERROR(IF(VLOOKUP($B934,Показатели!$E:$W,9,FALSE)=0,"",VLOOKUP($B934,Показатели!$E:$W,9,FALSE)),"")</f>
        <v>-175770000000</v>
      </c>
      <c r="M934">
        <f>IFERROR(IF(VLOOKUP($B934,Показатели!$E:$W,10,FALSE)=0,"",VLOOKUP($B934,Показатели!$E:$W,10,FALSE)),"")</f>
        <v>-146438000000</v>
      </c>
      <c r="N934">
        <f>IFERROR(IF(VLOOKUP($B934,Показатели!$E:$W,11,FALSE)=0,"",VLOOKUP($B934,Показатели!$E:$W,11,FALSE)),"")</f>
        <v>491733000000</v>
      </c>
      <c r="O934">
        <f>IFERROR(IF(VLOOKUP($B934,Показатели!$E:$W,12,FALSE)=0,"",VLOOKUP($B934,Показатели!$E:$W,12,FALSE)),"")</f>
        <v>-5015000000</v>
      </c>
      <c r="P934">
        <f>IFERROR(IF(VLOOKUP($B934,Показатели!$E:$W,13,FALSE)=0,"",VLOOKUP($B934,Показатели!$E:$W,13,FALSE)),"")</f>
        <v>-42494000000</v>
      </c>
      <c r="Q934">
        <f>IFERROR(IF(VLOOKUP($B934,Показатели!$E:$W,14,FALSE)=0,"",VLOOKUP($B934,Показатели!$E:$W,14,FALSE)),"")</f>
        <v>-34460000000</v>
      </c>
      <c r="R934">
        <f>IFERROR(IF(VLOOKUP($B934,Показатели!$E:$W,15,FALSE)=0,"",VLOOKUP($B934,Показатели!$E:$W,15,FALSE)),"")</f>
        <v>120506000000</v>
      </c>
      <c r="S934">
        <f>IFERROR(IF(VLOOKUP($B934,Показатели!$E:$W,16,FALSE)=0,"",VLOOKUP($B934,Показатели!$E:$W,16,FALSE)),"")</f>
        <v>116536000000</v>
      </c>
      <c r="T934">
        <f>IFERROR(IF(VLOOKUP($B934,Показатели!$E:$W,17,FALSE)=0,"",VLOOKUP($B934,Показатели!$E:$W,17,FALSE)),"")</f>
        <v>-17319000000</v>
      </c>
      <c r="U934">
        <f>IFERROR(IF(VLOOKUP($B934,Показатели!$E:$W,18,FALSE)=0,"",VLOOKUP($B934,Показатели!$E:$W,18,FALSE)),"")</f>
        <v>302182000000</v>
      </c>
      <c r="V934">
        <f>IFERROR(IF(VLOOKUP($B934,Показатели!$E:$W,19,FALSE)=0,"",VLOOKUP($B934,Показатели!$E:$W,19,FALSE)),"")</f>
        <v>1016204000000</v>
      </c>
    </row>
    <row r="935" spans="1:22" x14ac:dyDescent="0.2">
      <c r="A935" s="7" t="s">
        <v>2294</v>
      </c>
      <c r="B935" t="str">
        <f t="shared" si="14"/>
        <v>AFLT IV кв. 2020</v>
      </c>
      <c r="C935">
        <v>2020</v>
      </c>
      <c r="D935">
        <f>SUMIFS(Дивиденды!$C:$C,Дивиденды!$A:$A,A935,Дивиденды!$I:$I,C935)</f>
        <v>0</v>
      </c>
      <c r="E935">
        <f>IFERROR(IF(VLOOKUP($B935,Показатели!$E:$W,2,FALSE)=0,"",VLOOKUP($B935,Показатели!$E:$W,2,FALSE)),"")</f>
        <v>88944000000</v>
      </c>
      <c r="F935">
        <f>IFERROR(IF(VLOOKUP($B935,Показатели!$E:$W,3,FALSE)=0,"",VLOOKUP($B935,Показатели!$E:$W,3,FALSE)),"")</f>
        <v>185082000000</v>
      </c>
      <c r="G935">
        <f>IFERROR(IF(VLOOKUP($B935,Показатели!$E:$W,4,FALSE)=0,"",VLOOKUP($B935,Показатели!$E:$W,4,FALSE)),"")</f>
        <v>19825000000</v>
      </c>
      <c r="H935">
        <f>IFERROR(IF(VLOOKUP($B935,Показатели!$E:$W,5,FALSE)=0,"",VLOOKUP($B935,Показатели!$E:$W,5,FALSE)),"")</f>
        <v>2414000000</v>
      </c>
      <c r="I935">
        <f>IFERROR(IF(VLOOKUP($B935,Показатели!$E:$W,6,FALSE)=0,"",VLOOKUP($B935,Показатели!$E:$W,6,FALSE)),"")</f>
        <v>1016204000000</v>
      </c>
      <c r="J935">
        <f>IFERROR(IF(VLOOKUP($B935,Показатели!$E:$W,7,FALSE)=0,"",VLOOKUP($B935,Показатели!$E:$W,7,FALSE)),"")</f>
        <v>281285000000</v>
      </c>
      <c r="K935">
        <f>IFERROR(IF(VLOOKUP($B935,Показатели!$E:$W,8,FALSE)=0,"",VLOOKUP($B935,Показатели!$E:$W,8,FALSE)),"")</f>
        <v>850265000000</v>
      </c>
      <c r="L935">
        <f>IFERROR(IF(VLOOKUP($B935,Показатели!$E:$W,9,FALSE)=0,"",VLOOKUP($B935,Показатели!$E:$W,9,FALSE)),"")</f>
        <v>-141664000000</v>
      </c>
      <c r="M935">
        <f>IFERROR(IF(VLOOKUP($B935,Показатели!$E:$W,10,FALSE)=0,"",VLOOKUP($B935,Показатели!$E:$W,10,FALSE)),"")</f>
        <v>-115346000000</v>
      </c>
      <c r="N935">
        <f>IFERROR(IF(VLOOKUP($B935,Показатели!$E:$W,11,FALSE)=0,"",VLOOKUP($B935,Показатели!$E:$W,11,FALSE)),"")</f>
        <v>302182000000</v>
      </c>
      <c r="O935">
        <f>IFERROR(IF(VLOOKUP($B935,Показатели!$E:$W,12,FALSE)=0,"",VLOOKUP($B935,Показатели!$E:$W,12,FALSE)),"")</f>
        <v>-92153000000</v>
      </c>
      <c r="P935">
        <f>IFERROR(IF(VLOOKUP($B935,Показатели!$E:$W,13,FALSE)=0,"",VLOOKUP($B935,Показатели!$E:$W,13,FALSE)),"")</f>
        <v>-153487000000</v>
      </c>
      <c r="Q935">
        <f>IFERROR(IF(VLOOKUP($B935,Показатели!$E:$W,14,FALSE)=0,"",VLOOKUP($B935,Показатели!$E:$W,14,FALSE)),"")</f>
        <v>-123208000000</v>
      </c>
      <c r="R935">
        <f>IFERROR(IF(VLOOKUP($B935,Показатели!$E:$W,15,FALSE)=0,"",VLOOKUP($B935,Показатели!$E:$W,15,FALSE)),"")</f>
        <v>125135000000</v>
      </c>
      <c r="S935">
        <f>IFERROR(IF(VLOOKUP($B935,Показатели!$E:$W,16,FALSE)=0,"",VLOOKUP($B935,Показатели!$E:$W,16,FALSE)),"")</f>
        <v>26989000000</v>
      </c>
      <c r="T935">
        <f>IFERROR(IF(VLOOKUP($B935,Показатели!$E:$W,17,FALSE)=0,"",VLOOKUP($B935,Показатели!$E:$W,17,FALSE)),"")</f>
        <v>-15344000000</v>
      </c>
      <c r="U935">
        <f>IFERROR(IF(VLOOKUP($B935,Показатели!$E:$W,18,FALSE)=0,"",VLOOKUP($B935,Показатели!$E:$W,18,FALSE)),"")</f>
        <v>677881000000</v>
      </c>
      <c r="V935">
        <f>IFERROR(IF(VLOOKUP($B935,Показатели!$E:$W,19,FALSE)=0,"",VLOOKUP($B935,Показатели!$E:$W,19,FALSE)),"")</f>
        <v>933318000000</v>
      </c>
    </row>
    <row r="936" spans="1:22" x14ac:dyDescent="0.2">
      <c r="A936" s="7" t="s">
        <v>2294</v>
      </c>
      <c r="B936" t="str">
        <f t="shared" si="14"/>
        <v>AFLT IV кв. 2019</v>
      </c>
      <c r="C936">
        <v>2019</v>
      </c>
      <c r="D936">
        <f>SUMIFS(Дивиденды!$C:$C,Дивиденды!$A:$A,A936,Дивиденды!$I:$I,C936)</f>
        <v>0</v>
      </c>
      <c r="E936">
        <f>IFERROR(IF(VLOOKUP($B936,Показатели!$E:$W,2,FALSE)=0,"",VLOOKUP($B936,Показатели!$E:$W,2,FALSE)),"")</f>
        <v>12883000000</v>
      </c>
      <c r="F936">
        <f>IFERROR(IF(VLOOKUP($B936,Показатели!$E:$W,3,FALSE)=0,"",VLOOKUP($B936,Показатели!$E:$W,3,FALSE)),"")</f>
        <v>146852000000</v>
      </c>
      <c r="G936">
        <f>IFERROR(IF(VLOOKUP($B936,Показатели!$E:$W,4,FALSE)=0,"",VLOOKUP($B936,Показатели!$E:$W,4,FALSE)),"")</f>
        <v>26743000000</v>
      </c>
      <c r="H936">
        <f>IFERROR(IF(VLOOKUP($B936,Показатели!$E:$W,5,FALSE)=0,"",VLOOKUP($B936,Показатели!$E:$W,5,FALSE)),"")</f>
        <v>9260000000</v>
      </c>
      <c r="I936">
        <f>IFERROR(IF(VLOOKUP($B936,Показатели!$E:$W,6,FALSE)=0,"",VLOOKUP($B936,Показатели!$E:$W,6,FALSE)),"")</f>
        <v>933318000000</v>
      </c>
      <c r="J936">
        <f>IFERROR(IF(VLOOKUP($B936,Показатели!$E:$W,7,FALSE)=0,"",VLOOKUP($B936,Показатели!$E:$W,7,FALSE)),"")</f>
        <v>237418000000</v>
      </c>
      <c r="K936">
        <f>IFERROR(IF(VLOOKUP($B936,Показатели!$E:$W,8,FALSE)=0,"",VLOOKUP($B936,Показатели!$E:$W,8,FALSE)),"")</f>
        <v>693950000000</v>
      </c>
      <c r="L936">
        <f>IFERROR(IF(VLOOKUP($B936,Показатели!$E:$W,9,FALSE)=0,"",VLOOKUP($B936,Показатели!$E:$W,9,FALSE)),"")</f>
        <v>-24051000000</v>
      </c>
      <c r="M936">
        <f>IFERROR(IF(VLOOKUP($B936,Показатели!$E:$W,10,FALSE)=0,"",VLOOKUP($B936,Показатели!$E:$W,10,FALSE)),"")</f>
        <v>1950000000</v>
      </c>
      <c r="N936">
        <f>IFERROR(IF(VLOOKUP($B936,Показатели!$E:$W,11,FALSE)=0,"",VLOOKUP($B936,Показатели!$E:$W,11,FALSE)),"")</f>
        <v>677881000000</v>
      </c>
      <c r="O936">
        <f>IFERROR(IF(VLOOKUP($B936,Показатели!$E:$W,12,FALSE)=0,"",VLOOKUP($B936,Показатели!$E:$W,12,FALSE)),"")</f>
        <v>60663000000</v>
      </c>
      <c r="P936">
        <f>IFERROR(IF(VLOOKUP($B936,Показатели!$E:$W,13,FALSE)=0,"",VLOOKUP($B936,Показатели!$E:$W,13,FALSE)),"")</f>
        <v>13803000000</v>
      </c>
      <c r="Q936">
        <f>IFERROR(IF(VLOOKUP($B936,Показатели!$E:$W,14,FALSE)=0,"",VLOOKUP($B936,Показатели!$E:$W,14,FALSE)),"")</f>
        <v>13512000000</v>
      </c>
      <c r="R936">
        <f>IFERROR(IF(VLOOKUP($B936,Показатели!$E:$W,15,FALSE)=0,"",VLOOKUP($B936,Показатели!$E:$W,15,FALSE)),"")</f>
        <v>107477000000</v>
      </c>
      <c r="S936">
        <f>IFERROR(IF(VLOOKUP($B936,Показатели!$E:$W,16,FALSE)=0,"",VLOOKUP($B936,Показатели!$E:$W,16,FALSE)),"")</f>
        <v>168924000000</v>
      </c>
      <c r="T936">
        <f>IFERROR(IF(VLOOKUP($B936,Показатели!$E:$W,17,FALSE)=0,"",VLOOKUP($B936,Показатели!$E:$W,17,FALSE)),"")</f>
        <v>-26781000000</v>
      </c>
      <c r="U936">
        <f>IFERROR(IF(VLOOKUP($B936,Показатели!$E:$W,18,FALSE)=0,"",VLOOKUP($B936,Показатели!$E:$W,18,FALSE)),"")</f>
        <v>611570000000</v>
      </c>
      <c r="V936">
        <f>IFERROR(IF(VLOOKUP($B936,Показатели!$E:$W,19,FALSE)=0,"",VLOOKUP($B936,Показатели!$E:$W,19,FALSE)),"")</f>
        <v>316626000000</v>
      </c>
    </row>
    <row r="937" spans="1:22" x14ac:dyDescent="0.2">
      <c r="A937" s="7" t="s">
        <v>2294</v>
      </c>
      <c r="B937" t="str">
        <f t="shared" si="14"/>
        <v>AFLT IV кв. 2018</v>
      </c>
      <c r="C937">
        <v>2018</v>
      </c>
      <c r="D937">
        <f>SUMIFS(Дивиденды!$C:$C,Дивиденды!$A:$A,A937,Дивиденды!$I:$I,C937)</f>
        <v>2.69</v>
      </c>
      <c r="E937">
        <f>IFERROR(IF(VLOOKUP($B937,Показатели!$E:$W,2,FALSE)=0,"",VLOOKUP($B937,Показатели!$E:$W,2,FALSE)),"")</f>
        <v>23711000000</v>
      </c>
      <c r="F937">
        <f>IFERROR(IF(VLOOKUP($B937,Показатели!$E:$W,3,FALSE)=0,"",VLOOKUP($B937,Показатели!$E:$W,3,FALSE)),"")</f>
        <v>145318000000</v>
      </c>
      <c r="G937">
        <f>IFERROR(IF(VLOOKUP($B937,Показатели!$E:$W,4,FALSE)=0,"",VLOOKUP($B937,Показатели!$E:$W,4,FALSE)),"")</f>
        <v>90964000000</v>
      </c>
      <c r="H937">
        <f>IFERROR(IF(VLOOKUP($B937,Показатели!$E:$W,5,FALSE)=0,"",VLOOKUP($B937,Показатели!$E:$W,5,FALSE)),"")</f>
        <v>8910000000</v>
      </c>
      <c r="I937">
        <f>IFERROR(IF(VLOOKUP($B937,Показатели!$E:$W,6,FALSE)=0,"",VLOOKUP($B937,Показатели!$E:$W,6,FALSE)),"")</f>
        <v>316626000000</v>
      </c>
      <c r="J937">
        <f>IFERROR(IF(VLOOKUP($B937,Показатели!$E:$W,7,FALSE)=0,"",VLOOKUP($B937,Показатели!$E:$W,7,FALSE)),"")</f>
        <v>156735000000</v>
      </c>
      <c r="K937">
        <f>IFERROR(IF(VLOOKUP($B937,Показатели!$E:$W,8,FALSE)=0,"",VLOOKUP($B937,Показатели!$E:$W,8,FALSE)),"")</f>
        <v>114556000000</v>
      </c>
      <c r="L937">
        <f>IFERROR(IF(VLOOKUP($B937,Показатели!$E:$W,9,FALSE)=0,"",VLOOKUP($B937,Показатели!$E:$W,9,FALSE)),"")</f>
        <v>74958000000</v>
      </c>
      <c r="M937">
        <f>IFERROR(IF(VLOOKUP($B937,Показатели!$E:$W,10,FALSE)=0,"",VLOOKUP($B937,Показатели!$E:$W,10,FALSE)),"")</f>
        <v>45335000000</v>
      </c>
      <c r="N937">
        <f>IFERROR(IF(VLOOKUP($B937,Показатели!$E:$W,11,FALSE)=0,"",VLOOKUP($B937,Показатели!$E:$W,11,FALSE)),"")</f>
        <v>611570000000</v>
      </c>
      <c r="O937">
        <f>IFERROR(IF(VLOOKUP($B937,Показатели!$E:$W,12,FALSE)=0,"",VLOOKUP($B937,Показатели!$E:$W,12,FALSE)),"")</f>
        <v>19657000000</v>
      </c>
      <c r="P937">
        <f>IFERROR(IF(VLOOKUP($B937,Показатели!$E:$W,13,FALSE)=0,"",VLOOKUP($B937,Показатели!$E:$W,13,FALSE)),"")</f>
        <v>9934000000</v>
      </c>
      <c r="Q937">
        <f>IFERROR(IF(VLOOKUP($B937,Показатели!$E:$W,14,FALSE)=0,"",VLOOKUP($B937,Показатели!$E:$W,14,FALSE)),"")</f>
        <v>5713000000</v>
      </c>
      <c r="R937">
        <f>IFERROR(IF(VLOOKUP($B937,Показатели!$E:$W,15,FALSE)=0,"",VLOOKUP($B937,Показатели!$E:$W,15,FALSE)),"")</f>
        <v>12912000000</v>
      </c>
      <c r="S937">
        <f>IFERROR(IF(VLOOKUP($B937,Показатели!$E:$W,16,FALSE)=0,"",VLOOKUP($B937,Показатели!$E:$W,16,FALSE)),"")</f>
        <v>33598000000</v>
      </c>
      <c r="T937">
        <f>IFERROR(IF(VLOOKUP($B937,Показатели!$E:$W,17,FALSE)=0,"",VLOOKUP($B937,Показатели!$E:$W,17,FALSE)),"")</f>
        <v>-13131000000</v>
      </c>
      <c r="U937">
        <f>IFERROR(IF(VLOOKUP($B937,Показатели!$E:$W,18,FALSE)=0,"",VLOOKUP($B937,Показатели!$E:$W,18,FALSE)),"")</f>
        <v>532934000000</v>
      </c>
      <c r="V937">
        <f>IFERROR(IF(VLOOKUP($B937,Показатели!$E:$W,19,FALSE)=0,"",VLOOKUP($B937,Показатели!$E:$W,19,FALSE)),"")</f>
        <v>323330000000</v>
      </c>
    </row>
    <row r="938" spans="1:22" x14ac:dyDescent="0.2">
      <c r="A938" s="7" t="s">
        <v>2294</v>
      </c>
      <c r="B938" t="str">
        <f t="shared" si="14"/>
        <v>AFLT IV кв. 2017</v>
      </c>
      <c r="C938">
        <v>2017</v>
      </c>
      <c r="D938">
        <f>SUMIFS(Дивиденды!$C:$C,Дивиденды!$A:$A,A938,Дивиденды!$I:$I,C938)</f>
        <v>12.81</v>
      </c>
      <c r="E938">
        <f>IFERROR(IF(VLOOKUP($B938,Показатели!$E:$W,2,FALSE)=0,"",VLOOKUP($B938,Показатели!$E:$W,2,FALSE)),"")</f>
        <v>45978000000</v>
      </c>
      <c r="F938">
        <f>IFERROR(IF(VLOOKUP($B938,Показатели!$E:$W,3,FALSE)=0,"",VLOOKUP($B938,Показатели!$E:$W,3,FALSE)),"")</f>
        <v>168202000000</v>
      </c>
      <c r="G938">
        <f>IFERROR(IF(VLOOKUP($B938,Показатели!$E:$W,4,FALSE)=0,"",VLOOKUP($B938,Показатели!$E:$W,4,FALSE)),"")</f>
        <v>97932000000</v>
      </c>
      <c r="H938">
        <f>IFERROR(IF(VLOOKUP($B938,Показатели!$E:$W,5,FALSE)=0,"",VLOOKUP($B938,Показатели!$E:$W,5,FALSE)),"")</f>
        <v>8714000000</v>
      </c>
      <c r="I938">
        <f>IFERROR(IF(VLOOKUP($B938,Показатели!$E:$W,6,FALSE)=0,"",VLOOKUP($B938,Показатели!$E:$W,6,FALSE)),"")</f>
        <v>323330000000</v>
      </c>
      <c r="J938">
        <f>IFERROR(IF(VLOOKUP($B938,Показатели!$E:$W,7,FALSE)=0,"",VLOOKUP($B938,Показатели!$E:$W,7,FALSE)),"")</f>
        <v>141026000000</v>
      </c>
      <c r="K938">
        <f>IFERROR(IF(VLOOKUP($B938,Показатели!$E:$W,8,FALSE)=0,"",VLOOKUP($B938,Показатели!$E:$W,8,FALSE)),"")</f>
        <v>115005000000</v>
      </c>
      <c r="L938">
        <f>IFERROR(IF(VLOOKUP($B938,Показатели!$E:$W,9,FALSE)=0,"",VLOOKUP($B938,Показатели!$E:$W,9,FALSE)),"")</f>
        <v>81476000000</v>
      </c>
      <c r="M938">
        <f>IFERROR(IF(VLOOKUP($B938,Показатели!$E:$W,10,FALSE)=0,"",VLOOKUP($B938,Показатели!$E:$W,10,FALSE)),"")</f>
        <v>67299000000</v>
      </c>
      <c r="N938">
        <f>IFERROR(IF(VLOOKUP($B938,Показатели!$E:$W,11,FALSE)=0,"",VLOOKUP($B938,Показатели!$E:$W,11,FALSE)),"")</f>
        <v>532934000000</v>
      </c>
      <c r="O938">
        <f>IFERROR(IF(VLOOKUP($B938,Показатели!$E:$W,12,FALSE)=0,"",VLOOKUP($B938,Показатели!$E:$W,12,FALSE)),"")</f>
        <v>40411000000</v>
      </c>
      <c r="P938">
        <f>IFERROR(IF(VLOOKUP($B938,Показатели!$E:$W,13,FALSE)=0,"",VLOOKUP($B938,Показатели!$E:$W,13,FALSE)),"")</f>
        <v>33726000000</v>
      </c>
      <c r="Q938">
        <f>IFERROR(IF(VLOOKUP($B938,Показатели!$E:$W,14,FALSE)=0,"",VLOOKUP($B938,Показатели!$E:$W,14,FALSE)),"")</f>
        <v>23060000000</v>
      </c>
      <c r="R938">
        <f>IFERROR(IF(VLOOKUP($B938,Показатели!$E:$W,15,FALSE)=0,"",VLOOKUP($B938,Показатели!$E:$W,15,FALSE)),"")</f>
        <v>14084000000</v>
      </c>
      <c r="S938">
        <f>IFERROR(IF(VLOOKUP($B938,Показатели!$E:$W,16,FALSE)=0,"",VLOOKUP($B938,Показатели!$E:$W,16,FALSE)),"")</f>
        <v>56015000000</v>
      </c>
      <c r="T938">
        <f>IFERROR(IF(VLOOKUP($B938,Показатели!$E:$W,17,FALSE)=0,"",VLOOKUP($B938,Показатели!$E:$W,17,FALSE)),"")</f>
        <v>-7681000000</v>
      </c>
      <c r="U938">
        <f>IFERROR(IF(VLOOKUP($B938,Показатели!$E:$W,18,FALSE)=0,"",VLOOKUP($B938,Показатели!$E:$W,18,FALSE)),"")</f>
        <v>495880000000</v>
      </c>
      <c r="V938">
        <f>IFERROR(IF(VLOOKUP($B938,Показатели!$E:$W,19,FALSE)=0,"",VLOOKUP($B938,Показатели!$E:$W,19,FALSE)),"")</f>
        <v>299307000000</v>
      </c>
    </row>
    <row r="939" spans="1:22" x14ac:dyDescent="0.2">
      <c r="A939" s="7" t="s">
        <v>2294</v>
      </c>
      <c r="B939" t="str">
        <f t="shared" si="14"/>
        <v>AFLT IV кв. 2016</v>
      </c>
      <c r="C939">
        <v>2016</v>
      </c>
      <c r="D939">
        <f>SUMIFS(Дивиденды!$C:$C,Дивиденды!$A:$A,A939,Дивиденды!$I:$I,C939)</f>
        <v>17.48</v>
      </c>
      <c r="E939">
        <f>IFERROR(IF(VLOOKUP($B939,Показатели!$E:$W,2,FALSE)=0,"",VLOOKUP($B939,Показатели!$E:$W,2,FALSE)),"")</f>
        <v>31476000000</v>
      </c>
      <c r="F939">
        <f>IFERROR(IF(VLOOKUP($B939,Показатели!$E:$W,3,FALSE)=0,"",VLOOKUP($B939,Показатели!$E:$W,3,FALSE)),"")</f>
        <v>130146000000</v>
      </c>
      <c r="G939">
        <f>IFERROR(IF(VLOOKUP($B939,Показатели!$E:$W,4,FALSE)=0,"",VLOOKUP($B939,Показатели!$E:$W,4,FALSE)),"")</f>
        <v>104897000000</v>
      </c>
      <c r="H939" t="str">
        <f>IFERROR(IF(VLOOKUP($B939,Показатели!$E:$W,5,FALSE)=0,"",VLOOKUP($B939,Показатели!$E:$W,5,FALSE)),"")</f>
        <v/>
      </c>
      <c r="I939">
        <f>IFERROR(IF(VLOOKUP($B939,Показатели!$E:$W,6,FALSE)=0,"",VLOOKUP($B939,Показатели!$E:$W,6,FALSE)),"")</f>
        <v>299307000000</v>
      </c>
      <c r="J939">
        <f>IFERROR(IF(VLOOKUP($B939,Показатели!$E:$W,7,FALSE)=0,"",VLOOKUP($B939,Показатели!$E:$W,7,FALSE)),"")</f>
        <v>120725000000</v>
      </c>
      <c r="K939">
        <f>IFERROR(IF(VLOOKUP($B939,Показатели!$E:$W,8,FALSE)=0,"",VLOOKUP($B939,Показатели!$E:$W,8,FALSE)),"")</f>
        <v>137813000000</v>
      </c>
      <c r="L939">
        <f>IFERROR(IF(VLOOKUP($B939,Показатели!$E:$W,9,FALSE)=0,"",VLOOKUP($B939,Показатели!$E:$W,9,FALSE)),"")</f>
        <v>77198000000</v>
      </c>
      <c r="M939">
        <f>IFERROR(IF(VLOOKUP($B939,Показатели!$E:$W,10,FALSE)=0,"",VLOOKUP($B939,Показатели!$E:$W,10,FALSE)),"")</f>
        <v>40769000000</v>
      </c>
      <c r="N939">
        <f>IFERROR(IF(VLOOKUP($B939,Показатели!$E:$W,11,FALSE)=0,"",VLOOKUP($B939,Показатели!$E:$W,11,FALSE)),"")</f>
        <v>495880000000</v>
      </c>
      <c r="O939">
        <f>IFERROR(IF(VLOOKUP($B939,Показатели!$E:$W,12,FALSE)=0,"",VLOOKUP($B939,Показатели!$E:$W,12,FALSE)),"")</f>
        <v>63254000000</v>
      </c>
      <c r="P939">
        <f>IFERROR(IF(VLOOKUP($B939,Показатели!$E:$W,13,FALSE)=0,"",VLOOKUP($B939,Показатели!$E:$W,13,FALSE)),"")</f>
        <v>53281000000</v>
      </c>
      <c r="Q939">
        <f>IFERROR(IF(VLOOKUP($B939,Показатели!$E:$W,14,FALSE)=0,"",VLOOKUP($B939,Показатели!$E:$W,14,FALSE)),"")</f>
        <v>38826000000</v>
      </c>
      <c r="R939" t="str">
        <f>IFERROR(IF(VLOOKUP($B939,Показатели!$E:$W,15,FALSE)=0,"",VLOOKUP($B939,Показатели!$E:$W,15,FALSE)),"")</f>
        <v/>
      </c>
      <c r="S939">
        <f>IFERROR(IF(VLOOKUP($B939,Показатели!$E:$W,16,FALSE)=0,"",VLOOKUP($B939,Показатели!$E:$W,16,FALSE)),"")</f>
        <v>78004000000</v>
      </c>
      <c r="T939">
        <f>IFERROR(IF(VLOOKUP($B939,Показатели!$E:$W,17,FALSE)=0,"",VLOOKUP($B939,Показатели!$E:$W,17,FALSE)),"")</f>
        <v>-10222000000</v>
      </c>
      <c r="U939">
        <f>IFERROR(IF(VLOOKUP($B939,Показатели!$E:$W,18,FALSE)=0,"",VLOOKUP($B939,Показатели!$E:$W,18,FALSE)),"")</f>
        <v>415173000000</v>
      </c>
      <c r="V939">
        <f>IFERROR(IF(VLOOKUP($B939,Показатели!$E:$W,19,FALSE)=0,"",VLOOKUP($B939,Показатели!$E:$W,19,FALSE)),"")</f>
        <v>315194000000</v>
      </c>
    </row>
    <row r="940" spans="1:22" x14ac:dyDescent="0.2">
      <c r="A940" s="7" t="s">
        <v>2294</v>
      </c>
      <c r="B940" t="str">
        <f t="shared" si="14"/>
        <v>AFLT IV кв. 2015</v>
      </c>
      <c r="C940">
        <v>2015</v>
      </c>
      <c r="D940">
        <f>SUMIFS(Дивиденды!$C:$C,Дивиденды!$A:$A,A940,Дивиденды!$I:$I,C940)</f>
        <v>0</v>
      </c>
      <c r="E940">
        <f>IFERROR(IF(VLOOKUP($B940,Показатели!$E:$W,2,FALSE)=0,"",VLOOKUP($B940,Показатели!$E:$W,2,FALSE)),"")</f>
        <v>30693000000</v>
      </c>
      <c r="F940">
        <f>IFERROR(IF(VLOOKUP($B940,Показатели!$E:$W,3,FALSE)=0,"",VLOOKUP($B940,Показатели!$E:$W,3,FALSE)),"")</f>
        <v>133306000000</v>
      </c>
      <c r="G940">
        <f>IFERROR(IF(VLOOKUP($B940,Показатели!$E:$W,4,FALSE)=0,"",VLOOKUP($B940,Показатели!$E:$W,4,FALSE)),"")</f>
        <v>104494000000</v>
      </c>
      <c r="H940" t="str">
        <f>IFERROR(IF(VLOOKUP($B940,Показатели!$E:$W,5,FALSE)=0,"",VLOOKUP($B940,Показатели!$E:$W,5,FALSE)),"")</f>
        <v/>
      </c>
      <c r="I940">
        <f>IFERROR(IF(VLOOKUP($B940,Показатели!$E:$W,6,FALSE)=0,"",VLOOKUP($B940,Показатели!$E:$W,6,FALSE)),"")</f>
        <v>315194000000</v>
      </c>
      <c r="J940">
        <f>IFERROR(IF(VLOOKUP($B940,Показатели!$E:$W,7,FALSE)=0,"",VLOOKUP($B940,Показатели!$E:$W,7,FALSE)),"")</f>
        <v>178081000000</v>
      </c>
      <c r="K940">
        <f>IFERROR(IF(VLOOKUP($B940,Показатели!$E:$W,8,FALSE)=0,"",VLOOKUP($B940,Показатели!$E:$W,8,FALSE)),"")</f>
        <v>173233000000</v>
      </c>
      <c r="L940" t="str">
        <f>IFERROR(IF(VLOOKUP($B940,Показатели!$E:$W,9,FALSE)=0,"",VLOOKUP($B940,Показатели!$E:$W,9,FALSE)),"")</f>
        <v/>
      </c>
      <c r="M940">
        <f>IFERROR(IF(VLOOKUP($B940,Показатели!$E:$W,10,FALSE)=0,"",VLOOKUP($B940,Показатели!$E:$W,10,FALSE)),"")</f>
        <v>-36120000000</v>
      </c>
      <c r="N940">
        <f>IFERROR(IF(VLOOKUP($B940,Показатели!$E:$W,11,FALSE)=0,"",VLOOKUP($B940,Показатели!$E:$W,11,FALSE)),"")</f>
        <v>415173000000</v>
      </c>
      <c r="O940">
        <f>IFERROR(IF(VLOOKUP($B940,Показатели!$E:$W,12,FALSE)=0,"",VLOOKUP($B940,Показатели!$E:$W,12,FALSE)),"")</f>
        <v>44107000000</v>
      </c>
      <c r="P940">
        <f>IFERROR(IF(VLOOKUP($B940,Показатели!$E:$W,13,FALSE)=0,"",VLOOKUP($B940,Показатели!$E:$W,13,FALSE)),"")</f>
        <v>-1560000000</v>
      </c>
      <c r="Q940">
        <f>IFERROR(IF(VLOOKUP($B940,Показатели!$E:$W,14,FALSE)=0,"",VLOOKUP($B940,Показатели!$E:$W,14,FALSE)),"")</f>
        <v>-6494000000</v>
      </c>
      <c r="R940" t="str">
        <f>IFERROR(IF(VLOOKUP($B940,Показатели!$E:$W,15,FALSE)=0,"",VLOOKUP($B940,Показатели!$E:$W,15,FALSE)),"")</f>
        <v/>
      </c>
      <c r="S940" t="str">
        <f>IFERROR(IF(VLOOKUP($B940,Показатели!$E:$W,16,FALSE)=0,"",VLOOKUP($B940,Показатели!$E:$W,16,FALSE)),"")</f>
        <v/>
      </c>
      <c r="T940" t="str">
        <f>IFERROR(IF(VLOOKUP($B940,Показатели!$E:$W,17,FALSE)=0,"",VLOOKUP($B940,Показатели!$E:$W,17,FALSE)),"")</f>
        <v/>
      </c>
      <c r="U940">
        <f>IFERROR(IF(VLOOKUP($B940,Показатели!$E:$W,18,FALSE)=0,"",VLOOKUP($B940,Показатели!$E:$W,18,FALSE)),"")</f>
        <v>319771000000</v>
      </c>
      <c r="V940">
        <f>IFERROR(IF(VLOOKUP($B940,Показатели!$E:$W,19,FALSE)=0,"",VLOOKUP($B940,Показатели!$E:$W,19,FALSE)),"")</f>
        <v>277718000000</v>
      </c>
    </row>
    <row r="941" spans="1:22" x14ac:dyDescent="0.2">
      <c r="A941" s="7" t="s">
        <v>2294</v>
      </c>
      <c r="B941" t="str">
        <f t="shared" si="14"/>
        <v>AFLT IV кв. 2014</v>
      </c>
      <c r="C941">
        <v>2014</v>
      </c>
      <c r="D941">
        <f>SUMIFS(Дивиденды!$C:$C,Дивиденды!$A:$A,A941,Дивиденды!$I:$I,C941)</f>
        <v>0</v>
      </c>
      <c r="E941">
        <f>IFERROR(IF(VLOOKUP($B941,Показатели!$E:$W,2,FALSE)=0,"",VLOOKUP($B941,Показатели!$E:$W,2,FALSE)),"")</f>
        <v>26547000000</v>
      </c>
      <c r="F941">
        <f>IFERROR(IF(VLOOKUP($B941,Показатели!$E:$W,3,FALSE)=0,"",VLOOKUP($B941,Показатели!$E:$W,3,FALSE)),"")</f>
        <v>92213000000</v>
      </c>
      <c r="G941">
        <f>IFERROR(IF(VLOOKUP($B941,Показатели!$E:$W,4,FALSE)=0,"",VLOOKUP($B941,Показатели!$E:$W,4,FALSE)),"")</f>
        <v>116044000000</v>
      </c>
      <c r="H941" t="str">
        <f>IFERROR(IF(VLOOKUP($B941,Показатели!$E:$W,5,FALSE)=0,"",VLOOKUP($B941,Показатели!$E:$W,5,FALSE)),"")</f>
        <v/>
      </c>
      <c r="I941">
        <f>IFERROR(IF(VLOOKUP($B941,Показатели!$E:$W,6,FALSE)=0,"",VLOOKUP($B941,Показатели!$E:$W,6,FALSE)),"")</f>
        <v>277718000000</v>
      </c>
      <c r="J941">
        <f>IFERROR(IF(VLOOKUP($B941,Показатели!$E:$W,7,FALSE)=0,"",VLOOKUP($B941,Показатели!$E:$W,7,FALSE)),"")</f>
        <v>135136000000</v>
      </c>
      <c r="K941">
        <f>IFERROR(IF(VLOOKUP($B941,Показатели!$E:$W,8,FALSE)=0,"",VLOOKUP($B941,Показатели!$E:$W,8,FALSE)),"")</f>
        <v>156087000000</v>
      </c>
      <c r="L941" t="str">
        <f>IFERROR(IF(VLOOKUP($B941,Показатели!$E:$W,9,FALSE)=0,"",VLOOKUP($B941,Показатели!$E:$W,9,FALSE)),"")</f>
        <v/>
      </c>
      <c r="M941">
        <f>IFERROR(IF(VLOOKUP($B941,Показатели!$E:$W,10,FALSE)=0,"",VLOOKUP($B941,Показатели!$E:$W,10,FALSE)),"")</f>
        <v>-13505000000</v>
      </c>
      <c r="N941">
        <f>IFERROR(IF(VLOOKUP($B941,Показатели!$E:$W,11,FALSE)=0,"",VLOOKUP($B941,Показатели!$E:$W,11,FALSE)),"")</f>
        <v>319771000000</v>
      </c>
      <c r="O941">
        <f>IFERROR(IF(VLOOKUP($B941,Показатели!$E:$W,12,FALSE)=0,"",VLOOKUP($B941,Показатели!$E:$W,12,FALSE)),"")</f>
        <v>11268000000</v>
      </c>
      <c r="P941">
        <f>IFERROR(IF(VLOOKUP($B941,Показатели!$E:$W,13,FALSE)=0,"",VLOOKUP($B941,Показатели!$E:$W,13,FALSE)),"")</f>
        <v>-16352000000</v>
      </c>
      <c r="Q941">
        <f>IFERROR(IF(VLOOKUP($B941,Показатели!$E:$W,14,FALSE)=0,"",VLOOKUP($B941,Показатели!$E:$W,14,FALSE)),"")</f>
        <v>-17146000000</v>
      </c>
      <c r="R941" t="str">
        <f>IFERROR(IF(VLOOKUP($B941,Показатели!$E:$W,15,FALSE)=0,"",VLOOKUP($B941,Показатели!$E:$W,15,FALSE)),"")</f>
        <v/>
      </c>
      <c r="S941">
        <f>IFERROR(IF(VLOOKUP($B941,Показатели!$E:$W,16,FALSE)=0,"",VLOOKUP($B941,Показатели!$E:$W,16,FALSE)),"")</f>
        <v>24839000000</v>
      </c>
      <c r="T941" t="str">
        <f>IFERROR(IF(VLOOKUP($B941,Показатели!$E:$W,17,FALSE)=0,"",VLOOKUP($B941,Показатели!$E:$W,17,FALSE)),"")</f>
        <v/>
      </c>
      <c r="U941">
        <f>IFERROR(IF(VLOOKUP($B941,Показатели!$E:$W,18,FALSE)=0,"",VLOOKUP($B941,Показатели!$E:$W,18,FALSE)),"")</f>
        <v>290955800000</v>
      </c>
      <c r="V941">
        <f>IFERROR(IF(VLOOKUP($B941,Показатели!$E:$W,19,FALSE)=0,"",VLOOKUP($B941,Показатели!$E:$W,19,FALSE)),"")</f>
        <v>209183900000</v>
      </c>
    </row>
    <row r="942" spans="1:22" x14ac:dyDescent="0.2">
      <c r="A942" s="7" t="s">
        <v>2294</v>
      </c>
      <c r="B942" t="str">
        <f t="shared" si="14"/>
        <v>AFLT IV кв. 2013</v>
      </c>
      <c r="C942">
        <v>2013</v>
      </c>
      <c r="D942">
        <f>SUMIFS(Дивиденды!$C:$C,Дивиденды!$A:$A,A942,Дивиденды!$I:$I,C942)</f>
        <v>2.5</v>
      </c>
      <c r="E942">
        <f>IFERROR(IF(VLOOKUP($B942,Показатели!$E:$W,2,FALSE)=0,"",VLOOKUP($B942,Показатели!$E:$W,2,FALSE)),"")</f>
        <v>18659700000</v>
      </c>
      <c r="F942">
        <f>IFERROR(IF(VLOOKUP($B942,Показатели!$E:$W,3,FALSE)=0,"",VLOOKUP($B942,Показатели!$E:$W,3,FALSE)),"")</f>
        <v>81464700000</v>
      </c>
      <c r="G942">
        <f>IFERROR(IF(VLOOKUP($B942,Показатели!$E:$W,4,FALSE)=0,"",VLOOKUP($B942,Показатели!$E:$W,4,FALSE)),"")</f>
        <v>88777200000</v>
      </c>
      <c r="H942" t="str">
        <f>IFERROR(IF(VLOOKUP($B942,Показатели!$E:$W,5,FALSE)=0,"",VLOOKUP($B942,Показатели!$E:$W,5,FALSE)),"")</f>
        <v/>
      </c>
      <c r="I942">
        <f>IFERROR(IF(VLOOKUP($B942,Показатели!$E:$W,6,FALSE)=0,"",VLOOKUP($B942,Показатели!$E:$W,6,FALSE)),"")</f>
        <v>209183900000</v>
      </c>
      <c r="J942">
        <f>IFERROR(IF(VLOOKUP($B942,Показатели!$E:$W,7,FALSE)=0,"",VLOOKUP($B942,Показатели!$E:$W,7,FALSE)),"")</f>
        <v>67970700000</v>
      </c>
      <c r="K942">
        <f>IFERROR(IF(VLOOKUP($B942,Показатели!$E:$W,8,FALSE)=0,"",VLOOKUP($B942,Показатели!$E:$W,8,FALSE)),"")</f>
        <v>86733200000</v>
      </c>
      <c r="L942" t="str">
        <f>IFERROR(IF(VLOOKUP($B942,Показатели!$E:$W,9,FALSE)=0,"",VLOOKUP($B942,Показатели!$E:$W,9,FALSE)),"")</f>
        <v/>
      </c>
      <c r="M942">
        <f>IFERROR(IF(VLOOKUP($B942,Показатели!$E:$W,10,FALSE)=0,"",VLOOKUP($B942,Показатели!$E:$W,10,FALSE)),"")</f>
        <v>54480000000</v>
      </c>
      <c r="N942">
        <f>IFERROR(IF(VLOOKUP($B942,Показатели!$E:$W,11,FALSE)=0,"",VLOOKUP($B942,Показатели!$E:$W,11,FALSE)),"")</f>
        <v>290955800000</v>
      </c>
      <c r="O942">
        <f>IFERROR(IF(VLOOKUP($B942,Показатели!$E:$W,12,FALSE)=0,"",VLOOKUP($B942,Показатели!$E:$W,12,FALSE)),"")</f>
        <v>19794800000</v>
      </c>
      <c r="P942">
        <f>IFERROR(IF(VLOOKUP($B942,Показатели!$E:$W,13,FALSE)=0,"",VLOOKUP($B942,Показатели!$E:$W,13,FALSE)),"")</f>
        <v>13703800000</v>
      </c>
      <c r="Q942">
        <f>IFERROR(IF(VLOOKUP($B942,Показатели!$E:$W,14,FALSE)=0,"",VLOOKUP($B942,Показатели!$E:$W,14,FALSE)),"")</f>
        <v>7334700000</v>
      </c>
      <c r="R942" t="str">
        <f>IFERROR(IF(VLOOKUP($B942,Показатели!$E:$W,15,FALSE)=0,"",VLOOKUP($B942,Показатели!$E:$W,15,FALSE)),"")</f>
        <v/>
      </c>
      <c r="S942" t="str">
        <f>IFERROR(IF(VLOOKUP($B942,Показатели!$E:$W,16,FALSE)=0,"",VLOOKUP($B942,Показатели!$E:$W,16,FALSE)),"")</f>
        <v/>
      </c>
      <c r="T942" t="str">
        <f>IFERROR(IF(VLOOKUP($B942,Показатели!$E:$W,17,FALSE)=0,"",VLOOKUP($B942,Показатели!$E:$W,17,FALSE)),"")</f>
        <v/>
      </c>
      <c r="U942">
        <f>IFERROR(IF(VLOOKUP($B942,Показатели!$E:$W,18,FALSE)=0,"",VLOOKUP($B942,Показатели!$E:$W,18,FALSE)),"")</f>
        <v>252793444842.75848</v>
      </c>
      <c r="V942">
        <f>IFERROR(IF(VLOOKUP($B942,Показатели!$E:$W,19,FALSE)=0,"",VLOOKUP($B942,Показатели!$E:$W,19,FALSE)),"")</f>
        <v>194016118890.57462</v>
      </c>
    </row>
    <row r="943" spans="1:22" x14ac:dyDescent="0.2">
      <c r="A943" s="7" t="s">
        <v>2294</v>
      </c>
      <c r="B943" t="str">
        <f t="shared" si="14"/>
        <v>AFLT IV кв. 2012</v>
      </c>
      <c r="C943">
        <v>2012</v>
      </c>
      <c r="D943">
        <f>SUMIFS(Дивиденды!$C:$C,Дивиденды!$A:$A,A943,Дивиденды!$I:$I,C943)</f>
        <v>1.1599999999999999</v>
      </c>
      <c r="E943">
        <f>IFERROR(IF(VLOOKUP($B943,Показатели!$E:$W,2,FALSE)=0,"",VLOOKUP($B943,Показатели!$E:$W,2,FALSE)),"")</f>
        <v>15413438926.896544</v>
      </c>
      <c r="F943">
        <f>IFERROR(IF(VLOOKUP($B943,Показатели!$E:$W,3,FALSE)=0,"",VLOOKUP($B943,Показатели!$E:$W,3,FALSE)),"")</f>
        <v>72454345620.689621</v>
      </c>
      <c r="G943">
        <f>IFERROR(IF(VLOOKUP($B943,Показатели!$E:$W,4,FALSE)=0,"",VLOOKUP($B943,Показатели!$E:$W,4,FALSE)),"")</f>
        <v>75666255304.367783</v>
      </c>
      <c r="H943" t="str">
        <f>IFERROR(IF(VLOOKUP($B943,Показатели!$E:$W,5,FALSE)=0,"",VLOOKUP($B943,Показатели!$E:$W,5,FALSE)),"")</f>
        <v/>
      </c>
      <c r="I943">
        <f>IFERROR(IF(VLOOKUP($B943,Показатели!$E:$W,6,FALSE)=0,"",VLOOKUP($B943,Показатели!$E:$W,6,FALSE)),"")</f>
        <v>194016118890.57462</v>
      </c>
      <c r="J943">
        <f>IFERROR(IF(VLOOKUP($B943,Показатели!$E:$W,7,FALSE)=0,"",VLOOKUP($B943,Показатели!$E:$W,7,FALSE)),"")</f>
        <v>69767399898.85054</v>
      </c>
      <c r="K943">
        <f>IFERROR(IF(VLOOKUP($B943,Показатели!$E:$W,8,FALSE)=0,"",VLOOKUP($B943,Показатели!$E:$W,8,FALSE)),"")</f>
        <v>73731033125.517197</v>
      </c>
      <c r="L943" t="str">
        <f>IFERROR(IF(VLOOKUP($B943,Показатели!$E:$W,9,FALSE)=0,"",VLOOKUP($B943,Показатели!$E:$W,9,FALSE)),"")</f>
        <v/>
      </c>
      <c r="M943">
        <f>IFERROR(IF(VLOOKUP($B943,Показатели!$E:$W,10,FALSE)=0,"",VLOOKUP($B943,Показатели!$E:$W,10,FALSE)),"")</f>
        <v>50517685866.206871</v>
      </c>
      <c r="N943">
        <f>IFERROR(IF(VLOOKUP($B943,Показатели!$E:$W,11,FALSE)=0,"",VLOOKUP($B943,Показатели!$E:$W,11,FALSE)),"")</f>
        <v>252793444842.75848</v>
      </c>
      <c r="O943">
        <f>IFERROR(IF(VLOOKUP($B943,Показатели!$E:$W,12,FALSE)=0,"",VLOOKUP($B943,Показатели!$E:$W,12,FALSE)),"")</f>
        <v>11111219476.321833</v>
      </c>
      <c r="P943">
        <f>IFERROR(IF(VLOOKUP($B943,Показатели!$E:$W,13,FALSE)=0,"",VLOOKUP($B943,Показатели!$E:$W,13,FALSE)),"")</f>
        <v>11111219476.321833</v>
      </c>
      <c r="Q943">
        <f>IFERROR(IF(VLOOKUP($B943,Показатели!$E:$W,14,FALSE)=0,"",VLOOKUP($B943,Показатели!$E:$W,14,FALSE)),"")</f>
        <v>5165769636.3218365</v>
      </c>
      <c r="R943" t="str">
        <f>IFERROR(IF(VLOOKUP($B943,Показатели!$E:$W,15,FALSE)=0,"",VLOOKUP($B943,Показатели!$E:$W,15,FALSE)),"")</f>
        <v/>
      </c>
      <c r="S943">
        <f>IFERROR(IF(VLOOKUP($B943,Показатели!$E:$W,16,FALSE)=0,"",VLOOKUP($B943,Показатели!$E:$W,16,FALSE)),"")</f>
        <v>18762025618.390793</v>
      </c>
      <c r="T943" t="str">
        <f>IFERROR(IF(VLOOKUP($B943,Показатели!$E:$W,17,FALSE)=0,"",VLOOKUP($B943,Показатели!$E:$W,17,FALSE)),"")</f>
        <v/>
      </c>
      <c r="U943">
        <f>IFERROR(IF(VLOOKUP($B943,Показатели!$E:$W,18,FALSE)=0,"",VLOOKUP($B943,Показатели!$E:$W,18,FALSE)),"")</f>
        <v>158123353118.07693</v>
      </c>
      <c r="V943">
        <f>IFERROR(IF(VLOOKUP($B943,Показатели!$E:$W,19,FALSE)=0,"",VLOOKUP($B943,Показатели!$E:$W,19,FALSE)),"")</f>
        <v>156888450864.23077</v>
      </c>
    </row>
    <row r="944" spans="1:22" x14ac:dyDescent="0.2">
      <c r="A944" s="7" t="s">
        <v>2294</v>
      </c>
      <c r="B944" t="str">
        <f t="shared" si="14"/>
        <v>AFLT IV кв. 2011</v>
      </c>
      <c r="C944">
        <v>2011</v>
      </c>
      <c r="D944">
        <f>SUMIFS(Дивиденды!$C:$C,Дивиденды!$A:$A,A944,Дивиденды!$I:$I,C944)</f>
        <v>1.81</v>
      </c>
      <c r="E944">
        <f>IFERROR(IF(VLOOKUP($B944,Показатели!$E:$W,2,FALSE)=0,"",VLOOKUP($B944,Показатели!$E:$W,2,FALSE)),"")</f>
        <v>11558097047.307693</v>
      </c>
      <c r="F944">
        <f>IFERROR(IF(VLOOKUP($B944,Показатели!$E:$W,3,FALSE)=0,"",VLOOKUP($B944,Показатели!$E:$W,3,FALSE)),"")</f>
        <v>58878375317.307693</v>
      </c>
      <c r="G944">
        <f>IFERROR(IF(VLOOKUP($B944,Показатели!$E:$W,4,FALSE)=0,"",VLOOKUP($B944,Показатели!$E:$W,4,FALSE)),"")</f>
        <v>57928676679.230774</v>
      </c>
      <c r="H944" t="str">
        <f>IFERROR(IF(VLOOKUP($B944,Показатели!$E:$W,5,FALSE)=0,"",VLOOKUP($B944,Показатели!$E:$W,5,FALSE)),"")</f>
        <v/>
      </c>
      <c r="I944">
        <f>IFERROR(IF(VLOOKUP($B944,Показатели!$E:$W,6,FALSE)=0,"",VLOOKUP($B944,Показатели!$E:$W,6,FALSE)),"")</f>
        <v>156888450864.23077</v>
      </c>
      <c r="J944">
        <f>IFERROR(IF(VLOOKUP($B944,Показатели!$E:$W,7,FALSE)=0,"",VLOOKUP($B944,Показатели!$E:$W,7,FALSE)),"")</f>
        <v>59266487454.230774</v>
      </c>
      <c r="K944">
        <f>IFERROR(IF(VLOOKUP($B944,Показатели!$E:$W,8,FALSE)=0,"",VLOOKUP($B944,Показатели!$E:$W,8,FALSE)),"")</f>
        <v>56335064723.076927</v>
      </c>
      <c r="L944" t="str">
        <f>IFERROR(IF(VLOOKUP($B944,Показатели!$E:$W,9,FALSE)=0,"",VLOOKUP($B944,Показатели!$E:$W,9,FALSE)),"")</f>
        <v/>
      </c>
      <c r="M944">
        <f>IFERROR(IF(VLOOKUP($B944,Показатели!$E:$W,10,FALSE)=0,"",VLOOKUP($B944,Показатели!$E:$W,10,FALSE)),"")</f>
        <v>41286898686.92308</v>
      </c>
      <c r="N944">
        <f>IFERROR(IF(VLOOKUP($B944,Показатели!$E:$W,11,FALSE)=0,"",VLOOKUP($B944,Показатели!$E:$W,11,FALSE)),"")</f>
        <v>158123353118.07693</v>
      </c>
      <c r="O944">
        <f>IFERROR(IF(VLOOKUP($B944,Показатели!$E:$W,12,FALSE)=0,"",VLOOKUP($B944,Показатели!$E:$W,12,FALSE)),"")</f>
        <v>11416965361.153847</v>
      </c>
      <c r="P944">
        <f>IFERROR(IF(VLOOKUP($B944,Показатели!$E:$W,13,FALSE)=0,"",VLOOKUP($B944,Показатели!$E:$W,13,FALSE)),"")</f>
        <v>17209244980.384617</v>
      </c>
      <c r="Q944">
        <f>IFERROR(IF(VLOOKUP($B944,Показатели!$E:$W,14,FALSE)=0,"",VLOOKUP($B944,Показатели!$E:$W,14,FALSE)),"")</f>
        <v>14445416126.538462</v>
      </c>
      <c r="R944" t="str">
        <f>IFERROR(IF(VLOOKUP($B944,Показатели!$E:$W,15,FALSE)=0,"",VLOOKUP($B944,Показатели!$E:$W,15,FALSE)),"")</f>
        <v/>
      </c>
      <c r="S944" t="str">
        <f>IFERROR(IF(VLOOKUP($B944,Показатели!$E:$W,16,FALSE)=0,"",VLOOKUP($B944,Показатели!$E:$W,16,FALSE)),"")</f>
        <v/>
      </c>
      <c r="T944" t="str">
        <f>IFERROR(IF(VLOOKUP($B944,Показатели!$E:$W,17,FALSE)=0,"",VLOOKUP($B944,Показатели!$E:$W,17,FALSE)),"")</f>
        <v/>
      </c>
      <c r="U944">
        <f>IFERROR(IF(VLOOKUP($B944,Показатели!$E:$W,18,FALSE)=0,"",VLOOKUP($B944,Показатели!$E:$W,18,FALSE)),"")</f>
        <v>131183299325.03845</v>
      </c>
      <c r="V944">
        <f>IFERROR(IF(VLOOKUP($B944,Показатели!$E:$W,19,FALSE)=0,"",VLOOKUP($B944,Показатели!$E:$W,19,FALSE)),"")</f>
        <v>137458035888.96155</v>
      </c>
    </row>
    <row r="945" spans="1:22" x14ac:dyDescent="0.2">
      <c r="A945" s="7" t="s">
        <v>2294</v>
      </c>
      <c r="B945" t="str">
        <f t="shared" si="14"/>
        <v>AFLT IV кв. 2010</v>
      </c>
      <c r="C945">
        <v>2010</v>
      </c>
      <c r="D945">
        <f>SUMIFS(Дивиденды!$C:$C,Дивиденды!$A:$A,A945,Дивиденды!$I:$I,C945)</f>
        <v>1.0900000000000001</v>
      </c>
      <c r="E945">
        <f>IFERROR(IF(VLOOKUP($B945,Показатели!$E:$W,2,FALSE)=0,"",VLOOKUP($B945,Показатели!$E:$W,2,FALSE)),"")</f>
        <v>20057289578</v>
      </c>
      <c r="F945">
        <f>IFERROR(IF(VLOOKUP($B945,Показатели!$E:$W,3,FALSE)=0,"",VLOOKUP($B945,Показатели!$E:$W,3,FALSE)),"")</f>
        <v>53113549385.230766</v>
      </c>
      <c r="G945">
        <f>IFERROR(IF(VLOOKUP($B945,Показатели!$E:$W,4,FALSE)=0,"",VLOOKUP($B945,Показатели!$E:$W,4,FALSE)),"")</f>
        <v>66452679583.07692</v>
      </c>
      <c r="H945" t="str">
        <f>IFERROR(IF(VLOOKUP($B945,Показатели!$E:$W,5,FALSE)=0,"",VLOOKUP($B945,Показатели!$E:$W,5,FALSE)),"")</f>
        <v/>
      </c>
      <c r="I945">
        <f>IFERROR(IF(VLOOKUP($B945,Показатели!$E:$W,6,FALSE)=0,"",VLOOKUP($B945,Показатели!$E:$W,6,FALSE)),"")</f>
        <v>137458035888.96155</v>
      </c>
      <c r="J945">
        <f>IFERROR(IF(VLOOKUP($B945,Показатели!$E:$W,7,FALSE)=0,"",VLOOKUP($B945,Показатели!$E:$W,7,FALSE)),"")</f>
        <v>37393299407.07692</v>
      </c>
      <c r="K945">
        <f>IFERROR(IF(VLOOKUP($B945,Показатели!$E:$W,8,FALSE)=0,"",VLOOKUP($B945,Показатели!$E:$W,8,FALSE)),"")</f>
        <v>64988776861.000008</v>
      </c>
      <c r="L945" t="str">
        <f>IFERROR(IF(VLOOKUP($B945,Показатели!$E:$W,9,FALSE)=0,"",VLOOKUP($B945,Показатели!$E:$W,9,FALSE)),"")</f>
        <v/>
      </c>
      <c r="M945">
        <f>IFERROR(IF(VLOOKUP($B945,Показатели!$E:$W,10,FALSE)=0,"",VLOOKUP($B945,Показатели!$E:$W,10,FALSE)),"")</f>
        <v>35075959620.884613</v>
      </c>
      <c r="N945">
        <f>IFERROR(IF(VLOOKUP($B945,Показатели!$E:$W,11,FALSE)=0,"",VLOOKUP($B945,Показатели!$E:$W,11,FALSE)),"")</f>
        <v>131183299325.03845</v>
      </c>
      <c r="O945">
        <f>IFERROR(IF(VLOOKUP($B945,Показатели!$E:$W,12,FALSE)=0,"",VLOOKUP($B945,Показатели!$E:$W,12,FALSE)),"")</f>
        <v>15167490029.153845</v>
      </c>
      <c r="P945">
        <f>IFERROR(IF(VLOOKUP($B945,Показатели!$E:$W,13,FALSE)=0,"",VLOOKUP($B945,Показатели!$E:$W,13,FALSE)),"")</f>
        <v>10736299009.423077</v>
      </c>
      <c r="Q945">
        <f>IFERROR(IF(VLOOKUP($B945,Показатели!$E:$W,14,FALSE)=0,"",VLOOKUP($B945,Показатели!$E:$W,14,FALSE)),"")</f>
        <v>7690045004.7692308</v>
      </c>
      <c r="R945" t="str">
        <f>IFERROR(IF(VLOOKUP($B945,Показатели!$E:$W,15,FALSE)=0,"",VLOOKUP($B945,Показатели!$E:$W,15,FALSE)),"")</f>
        <v/>
      </c>
      <c r="S945" t="str">
        <f>IFERROR(IF(VLOOKUP($B945,Показатели!$E:$W,16,FALSE)=0,"",VLOOKUP($B945,Показатели!$E:$W,16,FALSE)),"")</f>
        <v/>
      </c>
      <c r="T945" t="str">
        <f>IFERROR(IF(VLOOKUP($B945,Показатели!$E:$W,17,FALSE)=0,"",VLOOKUP($B945,Показатели!$E:$W,17,FALSE)),"")</f>
        <v/>
      </c>
      <c r="U945" t="str">
        <f>IFERROR(IF(VLOOKUP($B945,Показатели!$E:$W,18,FALSE)=0,"",VLOOKUP($B945,Показатели!$E:$W,18,FALSE)),"")</f>
        <v/>
      </c>
      <c r="V945" t="str">
        <f>IFERROR(IF(VLOOKUP($B945,Показатели!$E:$W,19,FALSE)=0,"",VLOOKUP($B945,Показатели!$E:$W,19,FALSE)),"")</f>
        <v/>
      </c>
    </row>
    <row r="946" spans="1:22" x14ac:dyDescent="0.2">
      <c r="A946" s="7" t="s">
        <v>2323</v>
      </c>
      <c r="B946" t="str">
        <f t="shared" si="14"/>
        <v>FESH IV кв. 2025</v>
      </c>
      <c r="C946">
        <v>2025</v>
      </c>
      <c r="D946">
        <f>SUMIFS(Дивиденды!$C:$C,Дивиденды!$A:$A,A946,Дивиденды!$I:$I,C946)</f>
        <v>0</v>
      </c>
      <c r="E946" t="str">
        <f>IFERROR(IF(VLOOKUP($B946,Показатели!$E:$W,2,FALSE)=0,"",VLOOKUP($B946,Показатели!$E:$W,2,FALSE)),"")</f>
        <v/>
      </c>
      <c r="F946" t="str">
        <f>IFERROR(IF(VLOOKUP($B946,Показатели!$E:$W,3,FALSE)=0,"",VLOOKUP($B946,Показатели!$E:$W,3,FALSE)),"")</f>
        <v/>
      </c>
      <c r="G946" t="str">
        <f>IFERROR(IF(VLOOKUP($B946,Показатели!$E:$W,4,FALSE)=0,"",VLOOKUP($B946,Показатели!$E:$W,4,FALSE)),"")</f>
        <v/>
      </c>
      <c r="H946" t="str">
        <f>IFERROR(IF(VLOOKUP($B946,Показатели!$E:$W,5,FALSE)=0,"",VLOOKUP($B946,Показатели!$E:$W,5,FALSE)),"")</f>
        <v/>
      </c>
      <c r="I946" t="str">
        <f>IFERROR(IF(VLOOKUP($B946,Показатели!$E:$W,6,FALSE)=0,"",VLOOKUP($B946,Показатели!$E:$W,6,FALSE)),"")</f>
        <v/>
      </c>
      <c r="J946" t="str">
        <f>IFERROR(IF(VLOOKUP($B946,Показатели!$E:$W,7,FALSE)=0,"",VLOOKUP($B946,Показатели!$E:$W,7,FALSE)),"")</f>
        <v/>
      </c>
      <c r="K946" t="str">
        <f>IFERROR(IF(VLOOKUP($B946,Показатели!$E:$W,8,FALSE)=0,"",VLOOKUP($B946,Показатели!$E:$W,8,FALSE)),"")</f>
        <v/>
      </c>
      <c r="L946" t="str">
        <f>IFERROR(IF(VLOOKUP($B946,Показатели!$E:$W,9,FALSE)=0,"",VLOOKUP($B946,Показатели!$E:$W,9,FALSE)),"")</f>
        <v/>
      </c>
      <c r="M946" t="str">
        <f>IFERROR(IF(VLOOKUP($B946,Показатели!$E:$W,10,FALSE)=0,"",VLOOKUP($B946,Показатели!$E:$W,10,FALSE)),"")</f>
        <v/>
      </c>
      <c r="N946" t="str">
        <f>IFERROR(IF(VLOOKUP($B946,Показатели!$E:$W,11,FALSE)=0,"",VLOOKUP($B946,Показатели!$E:$W,11,FALSE)),"")</f>
        <v/>
      </c>
      <c r="O946" t="str">
        <f>IFERROR(IF(VLOOKUP($B946,Показатели!$E:$W,12,FALSE)=0,"",VLOOKUP($B946,Показатели!$E:$W,12,FALSE)),"")</f>
        <v/>
      </c>
      <c r="P946" t="str">
        <f>IFERROR(IF(VLOOKUP($B946,Показатели!$E:$W,13,FALSE)=0,"",VLOOKUP($B946,Показатели!$E:$W,13,FALSE)),"")</f>
        <v/>
      </c>
      <c r="Q946" t="str">
        <f>IFERROR(IF(VLOOKUP($B946,Показатели!$E:$W,14,FALSE)=0,"",VLOOKUP($B946,Показатели!$E:$W,14,FALSE)),"")</f>
        <v/>
      </c>
      <c r="R946" t="str">
        <f>IFERROR(IF(VLOOKUP($B946,Показатели!$E:$W,15,FALSE)=0,"",VLOOKUP($B946,Показатели!$E:$W,15,FALSE)),"")</f>
        <v/>
      </c>
      <c r="S946" t="str">
        <f>IFERROR(IF(VLOOKUP($B946,Показатели!$E:$W,16,FALSE)=0,"",VLOOKUP($B946,Показатели!$E:$W,16,FALSE)),"")</f>
        <v/>
      </c>
      <c r="T946" t="str">
        <f>IFERROR(IF(VLOOKUP($B946,Показатели!$E:$W,17,FALSE)=0,"",VLOOKUP($B946,Показатели!$E:$W,17,FALSE)),"")</f>
        <v/>
      </c>
      <c r="U946" t="str">
        <f>IFERROR(IF(VLOOKUP($B946,Показатели!$E:$W,18,FALSE)=0,"",VLOOKUP($B946,Показатели!$E:$W,18,FALSE)),"")</f>
        <v/>
      </c>
      <c r="V946" t="str">
        <f>IFERROR(IF(VLOOKUP($B946,Показатели!$E:$W,19,FALSE)=0,"",VLOOKUP($B946,Показатели!$E:$W,19,FALSE)),"")</f>
        <v/>
      </c>
    </row>
    <row r="947" spans="1:22" x14ac:dyDescent="0.2">
      <c r="A947" s="7" t="s">
        <v>2323</v>
      </c>
      <c r="B947" t="str">
        <f t="shared" si="14"/>
        <v>FESH IV кв. 2024</v>
      </c>
      <c r="C947">
        <v>2024</v>
      </c>
      <c r="D947">
        <f>SUMIFS(Дивиденды!$C:$C,Дивиденды!$A:$A,A947,Дивиденды!$I:$I,C947)</f>
        <v>0</v>
      </c>
      <c r="E947">
        <f>IFERROR(IF(VLOOKUP($B947,Показатели!$E:$W,2,FALSE)=0,"",VLOOKUP($B947,Показатели!$E:$W,2,FALSE)),"")</f>
        <v>20279000000</v>
      </c>
      <c r="F947">
        <f>IFERROR(IF(VLOOKUP($B947,Показатели!$E:$W,3,FALSE)=0,"",VLOOKUP($B947,Показатели!$E:$W,3,FALSE)),"")</f>
        <v>95765000000</v>
      </c>
      <c r="G947">
        <f>IFERROR(IF(VLOOKUP($B947,Показатели!$E:$W,4,FALSE)=0,"",VLOOKUP($B947,Показатели!$E:$W,4,FALSE)),"")</f>
        <v>157517000000</v>
      </c>
      <c r="H947">
        <f>IFERROR(IF(VLOOKUP($B947,Показатели!$E:$W,5,FALSE)=0,"",VLOOKUP($B947,Показатели!$E:$W,5,FALSE)),"")</f>
        <v>9273000000</v>
      </c>
      <c r="I947">
        <f>IFERROR(IF(VLOOKUP($B947,Показатели!$E:$W,6,FALSE)=0,"",VLOOKUP($B947,Показатели!$E:$W,6,FALSE)),"")</f>
        <v>278453000000</v>
      </c>
      <c r="J947">
        <f>IFERROR(IF(VLOOKUP($B947,Показатели!$E:$W,7,FALSE)=0,"",VLOOKUP($B947,Показатели!$E:$W,7,FALSE)),"")</f>
        <v>55932000000</v>
      </c>
      <c r="K947">
        <f>IFERROR(IF(VLOOKUP($B947,Показатели!$E:$W,8,FALSE)=0,"",VLOOKUP($B947,Показатели!$E:$W,8,FALSE)),"")</f>
        <v>53941000000</v>
      </c>
      <c r="L947">
        <f>IFERROR(IF(VLOOKUP($B947,Показатели!$E:$W,9,FALSE)=0,"",VLOOKUP($B947,Показатели!$E:$W,9,FALSE)),"")</f>
        <v>154163000000</v>
      </c>
      <c r="M947">
        <f>IFERROR(IF(VLOOKUP($B947,Показатели!$E:$W,10,FALSE)=0,"",VLOOKUP($B947,Показатели!$E:$W,10,FALSE)),"")</f>
        <v>168580000000</v>
      </c>
      <c r="N947">
        <f>IFERROR(IF(VLOOKUP($B947,Показатели!$E:$W,11,FALSE)=0,"",VLOOKUP($B947,Показатели!$E:$W,11,FALSE)),"")</f>
        <v>184978000000</v>
      </c>
      <c r="O947">
        <f>IFERROR(IF(VLOOKUP($B947,Показатели!$E:$W,12,FALSE)=0,"",VLOOKUP($B947,Показатели!$E:$W,12,FALSE)),"")</f>
        <v>36297000000</v>
      </c>
      <c r="P947">
        <f>IFERROR(IF(VLOOKUP($B947,Показатели!$E:$W,13,FALSE)=0,"",VLOOKUP($B947,Показатели!$E:$W,13,FALSE)),"")</f>
        <v>32525000000</v>
      </c>
      <c r="Q947">
        <f>IFERROR(IF(VLOOKUP($B947,Показатели!$E:$W,14,FALSE)=0,"",VLOOKUP($B947,Показатели!$E:$W,14,FALSE)),"")</f>
        <v>25408000000</v>
      </c>
      <c r="R947">
        <f>IFERROR(IF(VLOOKUP($B947,Показатели!$E:$W,15,FALSE)=0,"",VLOOKUP($B947,Показатели!$E:$W,15,FALSE)),"")</f>
        <v>12907000000</v>
      </c>
      <c r="S947">
        <f>IFERROR(IF(VLOOKUP($B947,Показатели!$E:$W,16,FALSE)=0,"",VLOOKUP($B947,Показатели!$E:$W,16,FALSE)),"")</f>
        <v>54498000000</v>
      </c>
      <c r="T947">
        <f>IFERROR(IF(VLOOKUP($B947,Показатели!$E:$W,17,FALSE)=0,"",VLOOKUP($B947,Показатели!$E:$W,17,FALSE)),"")</f>
        <v>-22695000000</v>
      </c>
      <c r="U947">
        <f>IFERROR(IF(VLOOKUP($B947,Показатели!$E:$W,18,FALSE)=0,"",VLOOKUP($B947,Показатели!$E:$W,18,FALSE)),"")</f>
        <v>172004000000</v>
      </c>
      <c r="V947">
        <f>IFERROR(IF(VLOOKUP($B947,Показатели!$E:$W,19,FALSE)=0,"",VLOOKUP($B947,Показатели!$E:$W,19,FALSE)),"")</f>
        <v>210748000000</v>
      </c>
    </row>
    <row r="948" spans="1:22" x14ac:dyDescent="0.2">
      <c r="A948" s="7" t="s">
        <v>2323</v>
      </c>
      <c r="B948" t="str">
        <f t="shared" si="14"/>
        <v>FESH IV кв. 2023</v>
      </c>
      <c r="C948">
        <v>2023</v>
      </c>
      <c r="D948">
        <f>SUMIFS(Дивиденды!$C:$C,Дивиденды!$A:$A,A948,Дивиденды!$I:$I,C948)</f>
        <v>0</v>
      </c>
      <c r="E948">
        <f>IFERROR(IF(VLOOKUP($B948,Показатели!$E:$W,2,FALSE)=0,"",VLOOKUP($B948,Показатели!$E:$W,2,FALSE)),"")</f>
        <v>4641000000</v>
      </c>
      <c r="F948">
        <f>IFERROR(IF(VLOOKUP($B948,Показатели!$E:$W,3,FALSE)=0,"",VLOOKUP($B948,Показатели!$E:$W,3,FALSE)),"")</f>
        <v>47922000000</v>
      </c>
      <c r="G948">
        <f>IFERROR(IF(VLOOKUP($B948,Показатели!$E:$W,4,FALSE)=0,"",VLOOKUP($B948,Показатели!$E:$W,4,FALSE)),"")</f>
        <v>129948000000</v>
      </c>
      <c r="H948">
        <f>IFERROR(IF(VLOOKUP($B948,Показатели!$E:$W,5,FALSE)=0,"",VLOOKUP($B948,Показатели!$E:$W,5,FALSE)),"")</f>
        <v>7569000000</v>
      </c>
      <c r="I948">
        <f>IFERROR(IF(VLOOKUP($B948,Показатели!$E:$W,6,FALSE)=0,"",VLOOKUP($B948,Показатели!$E:$W,6,FALSE)),"")</f>
        <v>210748000000</v>
      </c>
      <c r="J948">
        <f>IFERROR(IF(VLOOKUP($B948,Показатели!$E:$W,7,FALSE)=0,"",VLOOKUP($B948,Показатели!$E:$W,7,FALSE)),"")</f>
        <v>38803000000</v>
      </c>
      <c r="K948">
        <f>IFERROR(IF(VLOOKUP($B948,Показатели!$E:$W,8,FALSE)=0,"",VLOOKUP($B948,Показатели!$E:$W,8,FALSE)),"")</f>
        <v>34886000000</v>
      </c>
      <c r="L948">
        <f>IFERROR(IF(VLOOKUP($B948,Показатели!$E:$W,9,FALSE)=0,"",VLOOKUP($B948,Показатели!$E:$W,9,FALSE)),"")</f>
        <v>126593000000</v>
      </c>
      <c r="M948">
        <f>IFERROR(IF(VLOOKUP($B948,Показатели!$E:$W,10,FALSE)=0,"",VLOOKUP($B948,Показатели!$E:$W,10,FALSE)),"")</f>
        <v>137059000000</v>
      </c>
      <c r="N948">
        <f>IFERROR(IF(VLOOKUP($B948,Показатели!$E:$W,11,FALSE)=0,"",VLOOKUP($B948,Показатели!$E:$W,11,FALSE)),"")</f>
        <v>172004000000</v>
      </c>
      <c r="O948">
        <f>IFERROR(IF(VLOOKUP($B948,Показатели!$E:$W,12,FALSE)=0,"",VLOOKUP($B948,Показатели!$E:$W,12,FALSE)),"")</f>
        <v>38375000000</v>
      </c>
      <c r="P948">
        <f>IFERROR(IF(VLOOKUP($B948,Показатели!$E:$W,13,FALSE)=0,"",VLOOKUP($B948,Показатели!$E:$W,13,FALSE)),"")</f>
        <v>42838000000</v>
      </c>
      <c r="Q948">
        <f>IFERROR(IF(VLOOKUP($B948,Показатели!$E:$W,14,FALSE)=0,"",VLOOKUP($B948,Показатели!$E:$W,14,FALSE)),"")</f>
        <v>37851000000</v>
      </c>
      <c r="R948">
        <f>IFERROR(IF(VLOOKUP($B948,Показатели!$E:$W,15,FALSE)=0,"",VLOOKUP($B948,Показатели!$E:$W,15,FALSE)),"")</f>
        <v>11514000000</v>
      </c>
      <c r="S948">
        <f>IFERROR(IF(VLOOKUP($B948,Показатели!$E:$W,16,FALSE)=0,"",VLOOKUP($B948,Показатели!$E:$W,16,FALSE)),"")</f>
        <v>53607000000</v>
      </c>
      <c r="T948">
        <f>IFERROR(IF(VLOOKUP($B948,Показатели!$E:$W,17,FALSE)=0,"",VLOOKUP($B948,Показатели!$E:$W,17,FALSE)),"")</f>
        <v>-60346000000</v>
      </c>
      <c r="U948">
        <f>IFERROR(IF(VLOOKUP($B948,Показатели!$E:$W,18,FALSE)=0,"",VLOOKUP($B948,Показатели!$E:$W,18,FALSE)),"")</f>
        <v>162639000000</v>
      </c>
      <c r="V948">
        <f>IFERROR(IF(VLOOKUP($B948,Показатели!$E:$W,19,FALSE)=0,"",VLOOKUP($B948,Показатели!$E:$W,19,FALSE)),"")</f>
        <v>166327000000</v>
      </c>
    </row>
    <row r="949" spans="1:22" x14ac:dyDescent="0.2">
      <c r="A949" s="7" t="s">
        <v>2323</v>
      </c>
      <c r="B949" t="str">
        <f t="shared" si="14"/>
        <v>FESH IV кв. 2022</v>
      </c>
      <c r="C949">
        <v>2022</v>
      </c>
      <c r="D949">
        <f>SUMIFS(Дивиденды!$C:$C,Дивиденды!$A:$A,A949,Дивиденды!$I:$I,C949)</f>
        <v>0</v>
      </c>
      <c r="E949">
        <f>IFERROR(IF(VLOOKUP($B949,Показатели!$E:$W,2,FALSE)=0,"",VLOOKUP($B949,Показатели!$E:$W,2,FALSE)),"")</f>
        <v>30677000000</v>
      </c>
      <c r="F949">
        <f>IFERROR(IF(VLOOKUP($B949,Показатели!$E:$W,3,FALSE)=0,"",VLOOKUP($B949,Показатели!$E:$W,3,FALSE)),"")</f>
        <v>72313000000</v>
      </c>
      <c r="G949">
        <f>IFERROR(IF(VLOOKUP($B949,Показатели!$E:$W,4,FALSE)=0,"",VLOOKUP($B949,Показатели!$E:$W,4,FALSE)),"")</f>
        <v>74851000000</v>
      </c>
      <c r="H949">
        <f>IFERROR(IF(VLOOKUP($B949,Показатели!$E:$W,5,FALSE)=0,"",VLOOKUP($B949,Показатели!$E:$W,5,FALSE)),"")</f>
        <v>7459000000</v>
      </c>
      <c r="I949">
        <f>IFERROR(IF(VLOOKUP($B949,Показатели!$E:$W,6,FALSE)=0,"",VLOOKUP($B949,Показатели!$E:$W,6,FALSE)),"")</f>
        <v>166327000000</v>
      </c>
      <c r="J949">
        <f>IFERROR(IF(VLOOKUP($B949,Показатели!$E:$W,7,FALSE)=0,"",VLOOKUP($B949,Показатели!$E:$W,7,FALSE)),"")</f>
        <v>38359000000</v>
      </c>
      <c r="K949">
        <f>IFERROR(IF(VLOOKUP($B949,Показатели!$E:$W,8,FALSE)=0,"",VLOOKUP($B949,Показатели!$E:$W,8,FALSE)),"")</f>
        <v>37374000000</v>
      </c>
      <c r="L949">
        <f>IFERROR(IF(VLOOKUP($B949,Показатели!$E:$W,9,FALSE)=0,"",VLOOKUP($B949,Показатели!$E:$W,9,FALSE)),"")</f>
        <v>88341000000</v>
      </c>
      <c r="M949">
        <f>IFERROR(IF(VLOOKUP($B949,Показатели!$E:$W,10,FALSE)=0,"",VLOOKUP($B949,Показатели!$E:$W,10,FALSE)),"")</f>
        <v>90594000000</v>
      </c>
      <c r="N949">
        <f>IFERROR(IF(VLOOKUP($B949,Показатели!$E:$W,11,FALSE)=0,"",VLOOKUP($B949,Показатели!$E:$W,11,FALSE)),"")</f>
        <v>162639000000</v>
      </c>
      <c r="O949">
        <f>IFERROR(IF(VLOOKUP($B949,Показатели!$E:$W,12,FALSE)=0,"",VLOOKUP($B949,Показатели!$E:$W,12,FALSE)),"")</f>
        <v>50899000000</v>
      </c>
      <c r="P949">
        <f>IFERROR(IF(VLOOKUP($B949,Показатели!$E:$W,13,FALSE)=0,"",VLOOKUP($B949,Показатели!$E:$W,13,FALSE)),"")</f>
        <v>44091000000</v>
      </c>
      <c r="Q949">
        <f>IFERROR(IF(VLOOKUP($B949,Показатели!$E:$W,14,FALSE)=0,"",VLOOKUP($B949,Показатели!$E:$W,14,FALSE)),"")</f>
        <v>39388000000</v>
      </c>
      <c r="R949">
        <f>IFERROR(IF(VLOOKUP($B949,Показатели!$E:$W,15,FALSE)=0,"",VLOOKUP($B949,Показатели!$E:$W,15,FALSE)),"")</f>
        <v>6648000000</v>
      </c>
      <c r="S949">
        <f>IFERROR(IF(VLOOKUP($B949,Показатели!$E:$W,16,FALSE)=0,"",VLOOKUP($B949,Показатели!$E:$W,16,FALSE)),"")</f>
        <v>71483000000</v>
      </c>
      <c r="T949">
        <f>IFERROR(IF(VLOOKUP($B949,Показатели!$E:$W,17,FALSE)=0,"",VLOOKUP($B949,Показатели!$E:$W,17,FALSE)),"")</f>
        <v>-36733000000</v>
      </c>
      <c r="U949">
        <f>IFERROR(IF(VLOOKUP($B949,Показатели!$E:$W,18,FALSE)=0,"",VLOOKUP($B949,Показатели!$E:$W,18,FALSE)),"")</f>
        <v>113709000000</v>
      </c>
      <c r="V949">
        <f>IFERROR(IF(VLOOKUP($B949,Показатели!$E:$W,19,FALSE)=0,"",VLOOKUP($B949,Показатели!$E:$W,19,FALSE)),"")</f>
        <v>119618000000</v>
      </c>
    </row>
    <row r="950" spans="1:22" x14ac:dyDescent="0.2">
      <c r="A950" s="7" t="s">
        <v>2323</v>
      </c>
      <c r="B950" t="str">
        <f t="shared" si="14"/>
        <v>FESH IV кв. 2021</v>
      </c>
      <c r="C950">
        <v>2021</v>
      </c>
      <c r="D950">
        <f>SUMIFS(Дивиденды!$C:$C,Дивиденды!$A:$A,A950,Дивиденды!$I:$I,C950)</f>
        <v>0</v>
      </c>
      <c r="E950">
        <f>IFERROR(IF(VLOOKUP($B950,Показатели!$E:$W,2,FALSE)=0,"",VLOOKUP($B950,Показатели!$E:$W,2,FALSE)),"")</f>
        <v>11068000000</v>
      </c>
      <c r="F950">
        <f>IFERROR(IF(VLOOKUP($B950,Показатели!$E:$W,3,FALSE)=0,"",VLOOKUP($B950,Показатели!$E:$W,3,FALSE)),"")</f>
        <v>40800000000</v>
      </c>
      <c r="G950">
        <f>IFERROR(IF(VLOOKUP($B950,Показатели!$E:$W,4,FALSE)=0,"",VLOOKUP($B950,Показатели!$E:$W,4,FALSE)),"")</f>
        <v>65524000000</v>
      </c>
      <c r="H950">
        <f>IFERROR(IF(VLOOKUP($B950,Показатели!$E:$W,5,FALSE)=0,"",VLOOKUP($B950,Показатели!$E:$W,5,FALSE)),"")</f>
        <v>7498000000</v>
      </c>
      <c r="I950">
        <f>IFERROR(IF(VLOOKUP($B950,Показатели!$E:$W,6,FALSE)=0,"",VLOOKUP($B950,Показатели!$E:$W,6,FALSE)),"")</f>
        <v>119618000000</v>
      </c>
      <c r="J950">
        <f>IFERROR(IF(VLOOKUP($B950,Показатели!$E:$W,7,FALSE)=0,"",VLOOKUP($B950,Показатели!$E:$W,7,FALSE)),"")</f>
        <v>28974000000</v>
      </c>
      <c r="K950">
        <f>IFERROR(IF(VLOOKUP($B950,Показатели!$E:$W,8,FALSE)=0,"",VLOOKUP($B950,Показатели!$E:$W,8,FALSE)),"")</f>
        <v>36405000000</v>
      </c>
      <c r="L950">
        <f>IFERROR(IF(VLOOKUP($B950,Показатели!$E:$W,9,FALSE)=0,"",VLOOKUP($B950,Показатели!$E:$W,9,FALSE)),"")</f>
        <v>44624000000</v>
      </c>
      <c r="M950">
        <f>IFERROR(IF(VLOOKUP($B950,Показатели!$E:$W,10,FALSE)=0,"",VLOOKUP($B950,Показатели!$E:$W,10,FALSE)),"")</f>
        <v>54239000000</v>
      </c>
      <c r="N950">
        <f>IFERROR(IF(VLOOKUP($B950,Показатели!$E:$W,11,FALSE)=0,"",VLOOKUP($B950,Показатели!$E:$W,11,FALSE)),"")</f>
        <v>113709000000</v>
      </c>
      <c r="O950">
        <f>IFERROR(IF(VLOOKUP($B950,Показатели!$E:$W,12,FALSE)=0,"",VLOOKUP($B950,Показатели!$E:$W,12,FALSE)),"")</f>
        <v>43420000000</v>
      </c>
      <c r="P950">
        <f>IFERROR(IF(VLOOKUP($B950,Показатели!$E:$W,13,FALSE)=0,"",VLOOKUP($B950,Показатели!$E:$W,13,FALSE)),"")</f>
        <v>40311000000</v>
      </c>
      <c r="Q950">
        <f>IFERROR(IF(VLOOKUP($B950,Показатели!$E:$W,14,FALSE)=0,"",VLOOKUP($B950,Показатели!$E:$W,14,FALSE)),"")</f>
        <v>37850000000</v>
      </c>
      <c r="R950">
        <f>IFERROR(IF(VLOOKUP($B950,Показатели!$E:$W,15,FALSE)=0,"",VLOOKUP($B950,Показатели!$E:$W,15,FALSE)),"")</f>
        <v>6909000000</v>
      </c>
      <c r="S950">
        <f>IFERROR(IF(VLOOKUP($B950,Показатели!$E:$W,16,FALSE)=0,"",VLOOKUP($B950,Показатели!$E:$W,16,FALSE)),"")</f>
        <v>47474000000</v>
      </c>
      <c r="T950">
        <f>IFERROR(IF(VLOOKUP($B950,Показатели!$E:$W,17,FALSE)=0,"",VLOOKUP($B950,Показатели!$E:$W,17,FALSE)),"")</f>
        <v>-23928000000</v>
      </c>
      <c r="U950">
        <f>IFERROR(IF(VLOOKUP($B950,Показатели!$E:$W,18,FALSE)=0,"",VLOOKUP($B950,Показатели!$E:$W,18,FALSE)),"")</f>
        <v>62168000000</v>
      </c>
      <c r="V950">
        <f>IFERROR(IF(VLOOKUP($B950,Показатели!$E:$W,19,FALSE)=0,"",VLOOKUP($B950,Показатели!$E:$W,19,FALSE)),"")</f>
        <v>54705000000</v>
      </c>
    </row>
    <row r="951" spans="1:22" x14ac:dyDescent="0.2">
      <c r="A951" s="7" t="s">
        <v>2323</v>
      </c>
      <c r="B951" t="str">
        <f t="shared" si="14"/>
        <v>FESH IV кв. 2020</v>
      </c>
      <c r="C951">
        <v>2020</v>
      </c>
      <c r="D951">
        <f>SUMIFS(Дивиденды!$C:$C,Дивиденды!$A:$A,A951,Дивиденды!$I:$I,C951)</f>
        <v>0</v>
      </c>
      <c r="E951">
        <f>IFERROR(IF(VLOOKUP($B951,Показатели!$E:$W,2,FALSE)=0,"",VLOOKUP($B951,Показатели!$E:$W,2,FALSE)),"")</f>
        <v>4140000000</v>
      </c>
      <c r="F951">
        <f>IFERROR(IF(VLOOKUP($B951,Показатели!$E:$W,3,FALSE)=0,"",VLOOKUP($B951,Показатели!$E:$W,3,FALSE)),"")</f>
        <v>16754000000</v>
      </c>
      <c r="G951">
        <f>IFERROR(IF(VLOOKUP($B951,Показатели!$E:$W,4,FALSE)=0,"",VLOOKUP($B951,Показатели!$E:$W,4,FALSE)),"")</f>
        <v>30541000000</v>
      </c>
      <c r="H951">
        <f>IFERROR(IF(VLOOKUP($B951,Показатели!$E:$W,5,FALSE)=0,"",VLOOKUP($B951,Показатели!$E:$W,5,FALSE)),"")</f>
        <v>6517000000</v>
      </c>
      <c r="I951">
        <f>IFERROR(IF(VLOOKUP($B951,Показатели!$E:$W,6,FALSE)=0,"",VLOOKUP($B951,Показатели!$E:$W,6,FALSE)),"")</f>
        <v>54705000000</v>
      </c>
      <c r="J951">
        <f>IFERROR(IF(VLOOKUP($B951,Показатели!$E:$W,7,FALSE)=0,"",VLOOKUP($B951,Показатели!$E:$W,7,FALSE)),"")</f>
        <v>21385000000</v>
      </c>
      <c r="K951">
        <f>IFERROR(IF(VLOOKUP($B951,Показатели!$E:$W,8,FALSE)=0,"",VLOOKUP($B951,Показатели!$E:$W,8,FALSE)),"")</f>
        <v>28457000000</v>
      </c>
      <c r="L951">
        <f>IFERROR(IF(VLOOKUP($B951,Показатели!$E:$W,9,FALSE)=0,"",VLOOKUP($B951,Показатели!$E:$W,9,FALSE)),"")</f>
        <v>7308000000</v>
      </c>
      <c r="M951">
        <f>IFERROR(IF(VLOOKUP($B951,Показатели!$E:$W,10,FALSE)=0,"",VLOOKUP($B951,Показатели!$E:$W,10,FALSE)),"")</f>
        <v>4863000000</v>
      </c>
      <c r="N951">
        <f>IFERROR(IF(VLOOKUP($B951,Показатели!$E:$W,11,FALSE)=0,"",VLOOKUP($B951,Показатели!$E:$W,11,FALSE)),"")</f>
        <v>62168000000</v>
      </c>
      <c r="O951">
        <f>IFERROR(IF(VLOOKUP($B951,Показатели!$E:$W,12,FALSE)=0,"",VLOOKUP($B951,Показатели!$E:$W,12,FALSE)),"")</f>
        <v>8157000000</v>
      </c>
      <c r="P951">
        <f>IFERROR(IF(VLOOKUP($B951,Показатели!$E:$W,13,FALSE)=0,"",VLOOKUP($B951,Показатели!$E:$W,13,FALSE)),"")</f>
        <v>9861000000</v>
      </c>
      <c r="Q951">
        <f>IFERROR(IF(VLOOKUP($B951,Показатели!$E:$W,14,FALSE)=0,"",VLOOKUP($B951,Показатели!$E:$W,14,FALSE)),"")</f>
        <v>8346000000</v>
      </c>
      <c r="R951">
        <f>IFERROR(IF(VLOOKUP($B951,Показатели!$E:$W,15,FALSE)=0,"",VLOOKUP($B951,Показатели!$E:$W,15,FALSE)),"")</f>
        <v>2959000000</v>
      </c>
      <c r="S951">
        <f>IFERROR(IF(VLOOKUP($B951,Показатели!$E:$W,16,FALSE)=0,"",VLOOKUP($B951,Показатели!$E:$W,16,FALSE)),"")</f>
        <v>12293000000</v>
      </c>
      <c r="T951">
        <f>IFERROR(IF(VLOOKUP($B951,Показатели!$E:$W,17,FALSE)=0,"",VLOOKUP($B951,Показатели!$E:$W,17,FALSE)),"")</f>
        <v>-3103000000</v>
      </c>
      <c r="U951">
        <f>IFERROR(IF(VLOOKUP($B951,Показатели!$E:$W,18,FALSE)=0,"",VLOOKUP($B951,Показатели!$E:$W,18,FALSE)),"")</f>
        <v>56673000000</v>
      </c>
      <c r="V951">
        <f>IFERROR(IF(VLOOKUP($B951,Показатели!$E:$W,19,FALSE)=0,"",VLOOKUP($B951,Показатели!$E:$W,19,FALSE)),"")</f>
        <v>61327000000</v>
      </c>
    </row>
    <row r="952" spans="1:22" x14ac:dyDescent="0.2">
      <c r="A952" s="7" t="s">
        <v>2323</v>
      </c>
      <c r="B952" t="str">
        <f t="shared" si="14"/>
        <v>FESH IV кв. 2019</v>
      </c>
      <c r="C952">
        <v>2019</v>
      </c>
      <c r="D952">
        <f>SUMIFS(Дивиденды!$C:$C,Дивиденды!$A:$A,A952,Дивиденды!$I:$I,C952)</f>
        <v>0</v>
      </c>
      <c r="E952">
        <f>IFERROR(IF(VLOOKUP($B952,Показатели!$E:$W,2,FALSE)=0,"",VLOOKUP($B952,Показатели!$E:$W,2,FALSE)),"")</f>
        <v>1232000000</v>
      </c>
      <c r="F952">
        <f>IFERROR(IF(VLOOKUP($B952,Показатели!$E:$W,3,FALSE)=0,"",VLOOKUP($B952,Показатели!$E:$W,3,FALSE)),"")</f>
        <v>24208000000</v>
      </c>
      <c r="G952">
        <f>IFERROR(IF(VLOOKUP($B952,Показатели!$E:$W,4,FALSE)=0,"",VLOOKUP($B952,Показатели!$E:$W,4,FALSE)),"")</f>
        <v>29049000000</v>
      </c>
      <c r="H952">
        <f>IFERROR(IF(VLOOKUP($B952,Показатели!$E:$W,5,FALSE)=0,"",VLOOKUP($B952,Показатели!$E:$W,5,FALSE)),"")</f>
        <v>6418000000</v>
      </c>
      <c r="I952">
        <f>IFERROR(IF(VLOOKUP($B952,Показатели!$E:$W,6,FALSE)=0,"",VLOOKUP($B952,Показатели!$E:$W,6,FALSE)),"")</f>
        <v>61327000000</v>
      </c>
      <c r="J952">
        <f>IFERROR(IF(VLOOKUP($B952,Показатели!$E:$W,7,FALSE)=0,"",VLOOKUP($B952,Показатели!$E:$W,7,FALSE)),"")</f>
        <v>24408000000</v>
      </c>
      <c r="K952">
        <f>IFERROR(IF(VLOOKUP($B952,Показатели!$E:$W,8,FALSE)=0,"",VLOOKUP($B952,Показатели!$E:$W,8,FALSE)),"")</f>
        <v>31310000000</v>
      </c>
      <c r="L952">
        <f>IFERROR(IF(VLOOKUP($B952,Показатели!$E:$W,9,FALSE)=0,"",VLOOKUP($B952,Показатели!$E:$W,9,FALSE)),"")</f>
        <v>-908000000</v>
      </c>
      <c r="M952">
        <f>IFERROR(IF(VLOOKUP($B952,Показатели!$E:$W,10,FALSE)=0,"",VLOOKUP($B952,Показатели!$E:$W,10,FALSE)),"")</f>
        <v>5609000000</v>
      </c>
      <c r="N952">
        <f>IFERROR(IF(VLOOKUP($B952,Показатели!$E:$W,11,FALSE)=0,"",VLOOKUP($B952,Показатели!$E:$W,11,FALSE)),"")</f>
        <v>56673000000</v>
      </c>
      <c r="O952">
        <f>IFERROR(IF(VLOOKUP($B952,Показатели!$E:$W,12,FALSE)=0,"",VLOOKUP($B952,Показатели!$E:$W,12,FALSE)),"")</f>
        <v>8304000000</v>
      </c>
      <c r="P952">
        <f>IFERROR(IF(VLOOKUP($B952,Показатели!$E:$W,13,FALSE)=0,"",VLOOKUP($B952,Показатели!$E:$W,13,FALSE)),"")</f>
        <v>740000000</v>
      </c>
      <c r="Q952">
        <f>IFERROR(IF(VLOOKUP($B952,Показатели!$E:$W,14,FALSE)=0,"",VLOOKUP($B952,Показатели!$E:$W,14,FALSE)),"")</f>
        <v>-1842000000</v>
      </c>
      <c r="R952">
        <f>IFERROR(IF(VLOOKUP($B952,Показатели!$E:$W,15,FALSE)=0,"",VLOOKUP($B952,Показатели!$E:$W,15,FALSE)),"")</f>
        <v>3485000000</v>
      </c>
      <c r="S952">
        <f>IFERROR(IF(VLOOKUP($B952,Показатели!$E:$W,16,FALSE)=0,"",VLOOKUP($B952,Показатели!$E:$W,16,FALSE)),"")</f>
        <v>12231000000</v>
      </c>
      <c r="T952">
        <f>IFERROR(IF(VLOOKUP($B952,Показатели!$E:$W,17,FALSE)=0,"",VLOOKUP($B952,Показатели!$E:$W,17,FALSE)),"")</f>
        <v>-3838000000</v>
      </c>
      <c r="U952">
        <f>IFERROR(IF(VLOOKUP($B952,Показатели!$E:$W,18,FALSE)=0,"",VLOOKUP($B952,Показатели!$E:$W,18,FALSE)),"")</f>
        <v>56993000000</v>
      </c>
      <c r="V952">
        <f>IFERROR(IF(VLOOKUP($B952,Показатели!$E:$W,19,FALSE)=0,"",VLOOKUP($B952,Показатели!$E:$W,19,FALSE)),"")</f>
        <v>60827000000</v>
      </c>
    </row>
    <row r="953" spans="1:22" x14ac:dyDescent="0.2">
      <c r="A953" s="7" t="s">
        <v>2323</v>
      </c>
      <c r="B953" t="str">
        <f t="shared" si="14"/>
        <v>FESH IV кв. 2018</v>
      </c>
      <c r="C953">
        <v>2018</v>
      </c>
      <c r="D953">
        <f>SUMIFS(Дивиденды!$C:$C,Дивиденды!$A:$A,A953,Дивиденды!$I:$I,C953)</f>
        <v>0</v>
      </c>
      <c r="E953">
        <f>IFERROR(IF(VLOOKUP($B953,Показатели!$E:$W,2,FALSE)=0,"",VLOOKUP($B953,Показатели!$E:$W,2,FALSE)),"")</f>
        <v>3313000000</v>
      </c>
      <c r="F953">
        <f>IFERROR(IF(VLOOKUP($B953,Показатели!$E:$W,3,FALSE)=0,"",VLOOKUP($B953,Показатели!$E:$W,3,FALSE)),"")</f>
        <v>15647000000</v>
      </c>
      <c r="G953">
        <f>IFERROR(IF(VLOOKUP($B953,Показатели!$E:$W,4,FALSE)=0,"",VLOOKUP($B953,Показатели!$E:$W,4,FALSE)),"")</f>
        <v>35504000000</v>
      </c>
      <c r="H953">
        <f>IFERROR(IF(VLOOKUP($B953,Показатели!$E:$W,5,FALSE)=0,"",VLOOKUP($B953,Показатели!$E:$W,5,FALSE)),"")</f>
        <v>8493000000</v>
      </c>
      <c r="I953">
        <f>IFERROR(IF(VLOOKUP($B953,Показатели!$E:$W,6,FALSE)=0,"",VLOOKUP($B953,Показатели!$E:$W,6,FALSE)),"")</f>
        <v>60827000000</v>
      </c>
      <c r="J953">
        <f>IFERROR(IF(VLOOKUP($B953,Показатели!$E:$W,7,FALSE)=0,"",VLOOKUP($B953,Показатели!$E:$W,7,FALSE)),"")</f>
        <v>15151000000</v>
      </c>
      <c r="K953">
        <f>IFERROR(IF(VLOOKUP($B953,Показатели!$E:$W,8,FALSE)=0,"",VLOOKUP($B953,Показатели!$E:$W,8,FALSE)),"")</f>
        <v>42500000000</v>
      </c>
      <c r="L953">
        <f>IFERROR(IF(VLOOKUP($B953,Показатели!$E:$W,9,FALSE)=0,"",VLOOKUP($B953,Показатели!$E:$W,9,FALSE)),"")</f>
        <v>1312000000</v>
      </c>
      <c r="M953">
        <f>IFERROR(IF(VLOOKUP($B953,Показатели!$E:$W,10,FALSE)=0,"",VLOOKUP($B953,Показатели!$E:$W,10,FALSE)),"")</f>
        <v>3176000000</v>
      </c>
      <c r="N953">
        <f>IFERROR(IF(VLOOKUP($B953,Показатели!$E:$W,11,FALSE)=0,"",VLOOKUP($B953,Показатели!$E:$W,11,FALSE)),"")</f>
        <v>56993000000</v>
      </c>
      <c r="O953">
        <f>IFERROR(IF(VLOOKUP($B953,Показатели!$E:$W,12,FALSE)=0,"",VLOOKUP($B953,Показатели!$E:$W,12,FALSE)),"")</f>
        <v>8334000000</v>
      </c>
      <c r="P953">
        <f>IFERROR(IF(VLOOKUP($B953,Показатели!$E:$W,13,FALSE)=0,"",VLOOKUP($B953,Показатели!$E:$W,13,FALSE)),"")</f>
        <v>9954000000</v>
      </c>
      <c r="Q953">
        <f>IFERROR(IF(VLOOKUP($B953,Показатели!$E:$W,14,FALSE)=0,"",VLOOKUP($B953,Показатели!$E:$W,14,FALSE)),"")</f>
        <v>7009000000</v>
      </c>
      <c r="R953">
        <f>IFERROR(IF(VLOOKUP($B953,Показатели!$E:$W,15,FALSE)=0,"",VLOOKUP($B953,Показатели!$E:$W,15,FALSE)),"")</f>
        <v>2480000000</v>
      </c>
      <c r="S953" t="str">
        <f>IFERROR(IF(VLOOKUP($B953,Показатели!$E:$W,16,FALSE)=0,"",VLOOKUP($B953,Показатели!$E:$W,16,FALSE)),"")</f>
        <v/>
      </c>
      <c r="T953">
        <f>IFERROR(IF(VLOOKUP($B953,Показатели!$E:$W,17,FALSE)=0,"",VLOOKUP($B953,Показатели!$E:$W,17,FALSE)),"")</f>
        <v>-5304000000</v>
      </c>
      <c r="U953">
        <f>IFERROR(IF(VLOOKUP($B953,Показатели!$E:$W,18,FALSE)=0,"",VLOOKUP($B953,Показатели!$E:$W,18,FALSE)),"")</f>
        <v>43746000000</v>
      </c>
      <c r="V953">
        <f>IFERROR(IF(VLOOKUP($B953,Показатели!$E:$W,19,FALSE)=0,"",VLOOKUP($B953,Показатели!$E:$W,19,FALSE)),"")</f>
        <v>62535000000</v>
      </c>
    </row>
    <row r="954" spans="1:22" x14ac:dyDescent="0.2">
      <c r="A954" s="7" t="s">
        <v>2323</v>
      </c>
      <c r="B954" t="str">
        <f t="shared" si="14"/>
        <v>FESH IV кв. 2017</v>
      </c>
      <c r="C954">
        <v>2017</v>
      </c>
      <c r="D954">
        <f>SUMIFS(Дивиденды!$C:$C,Дивиденды!$A:$A,A954,Дивиденды!$I:$I,C954)</f>
        <v>0</v>
      </c>
      <c r="E954">
        <f>IFERROR(IF(VLOOKUP($B954,Показатели!$E:$W,2,FALSE)=0,"",VLOOKUP($B954,Показатели!$E:$W,2,FALSE)),"")</f>
        <v>5711000000</v>
      </c>
      <c r="F954">
        <f>IFERROR(IF(VLOOKUP($B954,Показатели!$E:$W,3,FALSE)=0,"",VLOOKUP($B954,Показатели!$E:$W,3,FALSE)),"")</f>
        <v>16253000000</v>
      </c>
      <c r="G954">
        <f>IFERROR(IF(VLOOKUP($B954,Показатели!$E:$W,4,FALSE)=0,"",VLOOKUP($B954,Показатели!$E:$W,4,FALSE)),"")</f>
        <v>22074000000</v>
      </c>
      <c r="H954">
        <f>IFERROR(IF(VLOOKUP($B954,Показатели!$E:$W,5,FALSE)=0,"",VLOOKUP($B954,Показатели!$E:$W,5,FALSE)),"")</f>
        <v>8443000000</v>
      </c>
      <c r="I954">
        <f>IFERROR(IF(VLOOKUP($B954,Показатели!$E:$W,6,FALSE)=0,"",VLOOKUP($B954,Показатели!$E:$W,6,FALSE)),"")</f>
        <v>62535000000</v>
      </c>
      <c r="J954">
        <f>IFERROR(IF(VLOOKUP($B954,Показатели!$E:$W,7,FALSE)=0,"",VLOOKUP($B954,Показатели!$E:$W,7,FALSE)),"")</f>
        <v>24209000000</v>
      </c>
      <c r="K954">
        <f>IFERROR(IF(VLOOKUP($B954,Показатели!$E:$W,8,FALSE)=0,"",VLOOKUP($B954,Показатели!$E:$W,8,FALSE)),"")</f>
        <v>35172000000</v>
      </c>
      <c r="L954">
        <f>IFERROR(IF(VLOOKUP($B954,Показатели!$E:$W,9,FALSE)=0,"",VLOOKUP($B954,Показатели!$E:$W,9,FALSE)),"")</f>
        <v>-5483000000</v>
      </c>
      <c r="M954">
        <f>IFERROR(IF(VLOOKUP($B954,Показатели!$E:$W,10,FALSE)=0,"",VLOOKUP($B954,Показатели!$E:$W,10,FALSE)),"")</f>
        <v>3154000000</v>
      </c>
      <c r="N954">
        <f>IFERROR(IF(VLOOKUP($B954,Показатели!$E:$W,11,FALSE)=0,"",VLOOKUP($B954,Показатели!$E:$W,11,FALSE)),"")</f>
        <v>43746000000</v>
      </c>
      <c r="O954">
        <f>IFERROR(IF(VLOOKUP($B954,Показатели!$E:$W,12,FALSE)=0,"",VLOOKUP($B954,Показатели!$E:$W,12,FALSE)),"")</f>
        <v>8391000000</v>
      </c>
      <c r="P954">
        <f>IFERROR(IF(VLOOKUP($B954,Показатели!$E:$W,13,FALSE)=0,"",VLOOKUP($B954,Показатели!$E:$W,13,FALSE)),"")</f>
        <v>14896000000</v>
      </c>
      <c r="Q954">
        <f>IFERROR(IF(VLOOKUP($B954,Показатели!$E:$W,14,FALSE)=0,"",VLOOKUP($B954,Показатели!$E:$W,14,FALSE)),"")</f>
        <v>13332000000</v>
      </c>
      <c r="R954">
        <f>IFERROR(IF(VLOOKUP($B954,Показатели!$E:$W,15,FALSE)=0,"",VLOOKUP($B954,Показатели!$E:$W,15,FALSE)),"")</f>
        <v>2165000000</v>
      </c>
      <c r="S954" t="str">
        <f>IFERROR(IF(VLOOKUP($B954,Показатели!$E:$W,16,FALSE)=0,"",VLOOKUP($B954,Показатели!$E:$W,16,FALSE)),"")</f>
        <v/>
      </c>
      <c r="T954">
        <f>IFERROR(IF(VLOOKUP($B954,Показатели!$E:$W,17,FALSE)=0,"",VLOOKUP($B954,Показатели!$E:$W,17,FALSE)),"")</f>
        <v>-4084000000</v>
      </c>
      <c r="U954">
        <f>IFERROR(IF(VLOOKUP($B954,Показатели!$E:$W,18,FALSE)=0,"",VLOOKUP($B954,Показатели!$E:$W,18,FALSE)),"")</f>
        <v>37021000000</v>
      </c>
      <c r="V954">
        <f>IFERROR(IF(VLOOKUP($B954,Показатели!$E:$W,19,FALSE)=0,"",VLOOKUP($B954,Показатели!$E:$W,19,FALSE)),"")</f>
        <v>53697000000</v>
      </c>
    </row>
    <row r="955" spans="1:22" x14ac:dyDescent="0.2">
      <c r="A955" s="7" t="s">
        <v>2323</v>
      </c>
      <c r="B955" t="str">
        <f t="shared" si="14"/>
        <v>FESH IV кв. 2016</v>
      </c>
      <c r="C955">
        <v>2016</v>
      </c>
      <c r="D955">
        <f>SUMIFS(Дивиденды!$C:$C,Дивиденды!$A:$A,A955,Дивиденды!$I:$I,C955)</f>
        <v>0</v>
      </c>
      <c r="E955">
        <f>IFERROR(IF(VLOOKUP($B955,Показатели!$E:$W,2,FALSE)=0,"",VLOOKUP($B955,Показатели!$E:$W,2,FALSE)),"")</f>
        <v>2582000000</v>
      </c>
      <c r="F955">
        <f>IFERROR(IF(VLOOKUP($B955,Показатели!$E:$W,3,FALSE)=0,"",VLOOKUP($B955,Показатели!$E:$W,3,FALSE)),"")</f>
        <v>9053000000</v>
      </c>
      <c r="G955">
        <f>IFERROR(IF(VLOOKUP($B955,Показатели!$E:$W,4,FALSE)=0,"",VLOOKUP($B955,Показатели!$E:$W,4,FALSE)),"")</f>
        <v>20220000000</v>
      </c>
      <c r="H955" t="str">
        <f>IFERROR(IF(VLOOKUP($B955,Показатели!$E:$W,5,FALSE)=0,"",VLOOKUP($B955,Показатели!$E:$W,5,FALSE)),"")</f>
        <v/>
      </c>
      <c r="I955">
        <f>IFERROR(IF(VLOOKUP($B955,Показатели!$E:$W,6,FALSE)=0,"",VLOOKUP($B955,Показатели!$E:$W,6,FALSE)),"")</f>
        <v>53697000000</v>
      </c>
      <c r="J955">
        <f>IFERROR(IF(VLOOKUP($B955,Показатели!$E:$W,7,FALSE)=0,"",VLOOKUP($B955,Показатели!$E:$W,7,FALSE)),"")</f>
        <v>64125000000</v>
      </c>
      <c r="K955">
        <f>IFERROR(IF(VLOOKUP($B955,Показатели!$E:$W,8,FALSE)=0,"",VLOOKUP($B955,Показатели!$E:$W,8,FALSE)),"")</f>
        <v>1628000000</v>
      </c>
      <c r="L955">
        <f>IFERROR(IF(VLOOKUP($B955,Показатели!$E:$W,9,FALSE)=0,"",VLOOKUP($B955,Показатели!$E:$W,9,FALSE)),"")</f>
        <v>-18534000000</v>
      </c>
      <c r="M955">
        <f>IFERROR(IF(VLOOKUP($B955,Показатели!$E:$W,10,FALSE)=0,"",VLOOKUP($B955,Показатели!$E:$W,10,FALSE)),"")</f>
        <v>-12056000000</v>
      </c>
      <c r="N955">
        <f>IFERROR(IF(VLOOKUP($B955,Показатели!$E:$W,11,FALSE)=0,"",VLOOKUP($B955,Показатели!$E:$W,11,FALSE)),"")</f>
        <v>37021000000</v>
      </c>
      <c r="O955">
        <f>IFERROR(IF(VLOOKUP($B955,Показатели!$E:$W,12,FALSE)=0,"",VLOOKUP($B955,Показатели!$E:$W,12,FALSE)),"")</f>
        <v>2428000000</v>
      </c>
      <c r="P955">
        <f>IFERROR(IF(VLOOKUP($B955,Показатели!$E:$W,13,FALSE)=0,"",VLOOKUP($B955,Показатели!$E:$W,13,FALSE)),"")</f>
        <v>1900000000</v>
      </c>
      <c r="Q955">
        <f>IFERROR(IF(VLOOKUP($B955,Показатели!$E:$W,14,FALSE)=0,"",VLOOKUP($B955,Показатели!$E:$W,14,FALSE)),"")</f>
        <v>1077000000</v>
      </c>
      <c r="R955" t="str">
        <f>IFERROR(IF(VLOOKUP($B955,Показатели!$E:$W,15,FALSE)=0,"",VLOOKUP($B955,Показатели!$E:$W,15,FALSE)),"")</f>
        <v/>
      </c>
      <c r="S955">
        <f>IFERROR(IF(VLOOKUP($B955,Показатели!$E:$W,16,FALSE)=0,"",VLOOKUP($B955,Показатели!$E:$W,16,FALSE)),"")</f>
        <v>5110000000</v>
      </c>
      <c r="T955">
        <f>IFERROR(IF(VLOOKUP($B955,Показатели!$E:$W,17,FALSE)=0,"",VLOOKUP($B955,Показатели!$E:$W,17,FALSE)),"")</f>
        <v>-1180000000</v>
      </c>
      <c r="U955">
        <f>IFERROR(IF(VLOOKUP($B955,Показатели!$E:$W,18,FALSE)=0,"",VLOOKUP($B955,Показатели!$E:$W,18,FALSE)),"")</f>
        <v>42140114368.831169</v>
      </c>
      <c r="V955">
        <f>IFERROR(IF(VLOOKUP($B955,Показатели!$E:$W,19,FALSE)=0,"",VLOOKUP($B955,Показатели!$E:$W,19,FALSE)),"")</f>
        <v>49306383818.181824</v>
      </c>
    </row>
    <row r="956" spans="1:22" x14ac:dyDescent="0.2">
      <c r="A956" s="7" t="s">
        <v>2323</v>
      </c>
      <c r="B956" t="str">
        <f t="shared" si="14"/>
        <v>FESH IV кв. 2015</v>
      </c>
      <c r="C956">
        <v>2015</v>
      </c>
      <c r="D956">
        <f>SUMIFS(Дивиденды!$C:$C,Дивиденды!$A:$A,A956,Дивиденды!$I:$I,C956)</f>
        <v>0</v>
      </c>
      <c r="E956">
        <f>IFERROR(IF(VLOOKUP($B956,Показатели!$E:$W,2,FALSE)=0,"",VLOOKUP($B956,Показатели!$E:$W,2,FALSE)),"")</f>
        <v>2205005984.4155846</v>
      </c>
      <c r="F956">
        <f>IFERROR(IF(VLOOKUP($B956,Показатели!$E:$W,3,FALSE)=0,"",VLOOKUP($B956,Показатели!$E:$W,3,FALSE)),"")</f>
        <v>8330022607.7922077</v>
      </c>
      <c r="G956">
        <f>IFERROR(IF(VLOOKUP($B956,Показатели!$E:$W,4,FALSE)=0,"",VLOOKUP($B956,Показатели!$E:$W,4,FALSE)),"")</f>
        <v>23275063168.831169</v>
      </c>
      <c r="H956" t="str">
        <f>IFERROR(IF(VLOOKUP($B956,Показатели!$E:$W,5,FALSE)=0,"",VLOOKUP($B956,Показатели!$E:$W,5,FALSE)),"")</f>
        <v/>
      </c>
      <c r="I956">
        <f>IFERROR(IF(VLOOKUP($B956,Показатели!$E:$W,6,FALSE)=0,"",VLOOKUP($B956,Показатели!$E:$W,6,FALSE)),"")</f>
        <v>49306383818.181824</v>
      </c>
      <c r="J956">
        <f>IFERROR(IF(VLOOKUP($B956,Показатели!$E:$W,7,FALSE)=0,"",VLOOKUP($B956,Показатели!$E:$W,7,FALSE)),"")</f>
        <v>14026288067.532469</v>
      </c>
      <c r="K956">
        <f>IFERROR(IF(VLOOKUP($B956,Показатели!$E:$W,8,FALSE)=0,"",VLOOKUP($B956,Показатели!$E:$W,8,FALSE)),"")</f>
        <v>54941399111.688316</v>
      </c>
      <c r="L956">
        <f>IFERROR(IF(VLOOKUP($B956,Показатели!$E:$W,9,FALSE)=0,"",VLOOKUP($B956,Показатели!$E:$W,9,FALSE)),"")</f>
        <v>-17150046545.454546</v>
      </c>
      <c r="M956">
        <f>IFERROR(IF(VLOOKUP($B956,Показатели!$E:$W,10,FALSE)=0,"",VLOOKUP($B956,Показатели!$E:$W,10,FALSE)),"")</f>
        <v>-19661303361.038963</v>
      </c>
      <c r="N956">
        <f>IFERROR(IF(VLOOKUP($B956,Показатели!$E:$W,11,FALSE)=0,"",VLOOKUP($B956,Показатели!$E:$W,11,FALSE)),"")</f>
        <v>42140114368.831169</v>
      </c>
      <c r="O956">
        <f>IFERROR(IF(VLOOKUP($B956,Показатели!$E:$W,12,FALSE)=0,"",VLOOKUP($B956,Показатели!$E:$W,12,FALSE)),"")</f>
        <v>3430009309.0909095</v>
      </c>
      <c r="P956">
        <f>IFERROR(IF(VLOOKUP($B956,Показатели!$E:$W,13,FALSE)=0,"",VLOOKUP($B956,Показатели!$E:$W,13,FALSE)),"")</f>
        <v>-9065024602.5974026</v>
      </c>
      <c r="Q956">
        <f>IFERROR(IF(VLOOKUP($B956,Показатели!$E:$W,14,FALSE)=0,"",VLOOKUP($B956,Показатели!$E:$W,14,FALSE)),"")</f>
        <v>-10167527594.805195</v>
      </c>
      <c r="R956" t="str">
        <f>IFERROR(IF(VLOOKUP($B956,Показатели!$E:$W,15,FALSE)=0,"",VLOOKUP($B956,Показатели!$E:$W,15,FALSE)),"")</f>
        <v/>
      </c>
      <c r="S956" t="str">
        <f>IFERROR(IF(VLOOKUP($B956,Показатели!$E:$W,16,FALSE)=0,"",VLOOKUP($B956,Показатели!$E:$W,16,FALSE)),"")</f>
        <v/>
      </c>
      <c r="T956" t="str">
        <f>IFERROR(IF(VLOOKUP($B956,Показатели!$E:$W,17,FALSE)=0,"",VLOOKUP($B956,Показатели!$E:$W,17,FALSE)),"")</f>
        <v/>
      </c>
      <c r="U956">
        <f>IFERROR(IF(VLOOKUP($B956,Показатели!$E:$W,18,FALSE)=0,"",VLOOKUP($B956,Показатели!$E:$W,18,FALSE)),"")</f>
        <v>42787000000</v>
      </c>
      <c r="V956">
        <f>IFERROR(IF(VLOOKUP($B956,Показатели!$E:$W,19,FALSE)=0,"",VLOOKUP($B956,Показатели!$E:$W,19,FALSE)),"")</f>
        <v>72355000000</v>
      </c>
    </row>
    <row r="957" spans="1:22" x14ac:dyDescent="0.2">
      <c r="A957" s="7" t="s">
        <v>2323</v>
      </c>
      <c r="B957" t="str">
        <f t="shared" si="14"/>
        <v>FESH IV кв. 2014</v>
      </c>
      <c r="C957">
        <v>2014</v>
      </c>
      <c r="D957">
        <f>SUMIFS(Дивиденды!$C:$C,Дивиденды!$A:$A,A957,Дивиденды!$I:$I,C957)</f>
        <v>0</v>
      </c>
      <c r="E957">
        <f>IFERROR(IF(VLOOKUP($B957,Показатели!$E:$W,2,FALSE)=0,"",VLOOKUP($B957,Показатели!$E:$W,2,FALSE)),"")</f>
        <v>3723000000</v>
      </c>
      <c r="F957">
        <f>IFERROR(IF(VLOOKUP($B957,Показатели!$E:$W,3,FALSE)=0,"",VLOOKUP($B957,Показатели!$E:$W,3,FALSE)),"")</f>
        <v>15515000000</v>
      </c>
      <c r="G957">
        <f>IFERROR(IF(VLOOKUP($B957,Показатели!$E:$W,4,FALSE)=0,"",VLOOKUP($B957,Показатели!$E:$W,4,FALSE)),"")</f>
        <v>15376000000</v>
      </c>
      <c r="H957" t="str">
        <f>IFERROR(IF(VLOOKUP($B957,Показатели!$E:$W,5,FALSE)=0,"",VLOOKUP($B957,Показатели!$E:$W,5,FALSE)),"")</f>
        <v/>
      </c>
      <c r="I957">
        <f>IFERROR(IF(VLOOKUP($B957,Показатели!$E:$W,6,FALSE)=0,"",VLOOKUP($B957,Показатели!$E:$W,6,FALSE)),"")</f>
        <v>72355000000</v>
      </c>
      <c r="J957">
        <f>IFERROR(IF(VLOOKUP($B957,Показатели!$E:$W,7,FALSE)=0,"",VLOOKUP($B957,Показатели!$E:$W,7,FALSE)),"")</f>
        <v>11240000000</v>
      </c>
      <c r="K957">
        <f>IFERROR(IF(VLOOKUP($B957,Показатели!$E:$W,8,FALSE)=0,"",VLOOKUP($B957,Показатели!$E:$W,8,FALSE)),"")</f>
        <v>61162000000</v>
      </c>
      <c r="L957">
        <f>IFERROR(IF(VLOOKUP($B957,Показатели!$E:$W,9,FALSE)=0,"",VLOOKUP($B957,Показатели!$E:$W,9,FALSE)),"")</f>
        <v>-7715000000</v>
      </c>
      <c r="M957">
        <f>IFERROR(IF(VLOOKUP($B957,Показатели!$E:$W,10,FALSE)=0,"",VLOOKUP($B957,Показатели!$E:$W,10,FALSE)),"")</f>
        <v>-47000000</v>
      </c>
      <c r="N957">
        <f>IFERROR(IF(VLOOKUP($B957,Показатели!$E:$W,11,FALSE)=0,"",VLOOKUP($B957,Показатели!$E:$W,11,FALSE)),"")</f>
        <v>42787000000</v>
      </c>
      <c r="O957">
        <f>IFERROR(IF(VLOOKUP($B957,Показатели!$E:$W,12,FALSE)=0,"",VLOOKUP($B957,Показатели!$E:$W,12,FALSE)),"")</f>
        <v>-1797000000</v>
      </c>
      <c r="P957">
        <f>IFERROR(IF(VLOOKUP($B957,Показатели!$E:$W,13,FALSE)=0,"",VLOOKUP($B957,Показатели!$E:$W,13,FALSE)),"")</f>
        <v>-5902000000</v>
      </c>
      <c r="Q957">
        <f>IFERROR(IF(VLOOKUP($B957,Показатели!$E:$W,14,FALSE)=0,"",VLOOKUP($B957,Показатели!$E:$W,14,FALSE)),"")</f>
        <v>-6205000000</v>
      </c>
      <c r="R957">
        <f>IFERROR(IF(VLOOKUP($B957,Показатели!$E:$W,15,FALSE)=0,"",VLOOKUP($B957,Показатели!$E:$W,15,FALSE)),"")</f>
        <v>2787000000</v>
      </c>
      <c r="S957" t="str">
        <f>IFERROR(IF(VLOOKUP($B957,Показатели!$E:$W,16,FALSE)=0,"",VLOOKUP($B957,Показатели!$E:$W,16,FALSE)),"")</f>
        <v/>
      </c>
      <c r="T957">
        <f>IFERROR(IF(VLOOKUP($B957,Показатели!$E:$W,17,FALSE)=0,"",VLOOKUP($B957,Показатели!$E:$W,17,FALSE)),"")</f>
        <v>-571000000</v>
      </c>
      <c r="U957">
        <f>IFERROR(IF(VLOOKUP($B957,Показатели!$E:$W,18,FALSE)=0,"",VLOOKUP($B957,Показатели!$E:$W,18,FALSE)),"")</f>
        <v>36321000000</v>
      </c>
      <c r="V957">
        <f>IFERROR(IF(VLOOKUP($B957,Показатели!$E:$W,19,FALSE)=0,"",VLOOKUP($B957,Показатели!$E:$W,19,FALSE)),"")</f>
        <v>68711000000</v>
      </c>
    </row>
    <row r="958" spans="1:22" x14ac:dyDescent="0.2">
      <c r="A958" s="7" t="s">
        <v>2323</v>
      </c>
      <c r="B958" t="str">
        <f t="shared" si="14"/>
        <v>FESH IV кв. 2013</v>
      </c>
      <c r="C958">
        <v>2013</v>
      </c>
      <c r="D958">
        <f>SUMIFS(Дивиденды!$C:$C,Дивиденды!$A:$A,A958,Дивиденды!$I:$I,C958)</f>
        <v>0</v>
      </c>
      <c r="E958">
        <f>IFERROR(IF(VLOOKUP($B958,Показатели!$E:$W,2,FALSE)=0,"",VLOOKUP($B958,Показатели!$E:$W,2,FALSE)),"")</f>
        <v>6263000000</v>
      </c>
      <c r="F958">
        <f>IFERROR(IF(VLOOKUP($B958,Показатели!$E:$W,3,FALSE)=0,"",VLOOKUP($B958,Показатели!$E:$W,3,FALSE)),"")</f>
        <v>13406000000</v>
      </c>
      <c r="G958">
        <f>IFERROR(IF(VLOOKUP($B958,Показатели!$E:$W,4,FALSE)=0,"",VLOOKUP($B958,Показатели!$E:$W,4,FALSE)),"")</f>
        <v>29267000000</v>
      </c>
      <c r="H958" t="str">
        <f>IFERROR(IF(VLOOKUP($B958,Показатели!$E:$W,5,FALSE)=0,"",VLOOKUP($B958,Показатели!$E:$W,5,FALSE)),"")</f>
        <v/>
      </c>
      <c r="I958">
        <f>IFERROR(IF(VLOOKUP($B958,Показатели!$E:$W,6,FALSE)=0,"",VLOOKUP($B958,Показатели!$E:$W,6,FALSE)),"")</f>
        <v>68711000000</v>
      </c>
      <c r="J958">
        <f>IFERROR(IF(VLOOKUP($B958,Показатели!$E:$W,7,FALSE)=0,"",VLOOKUP($B958,Показатели!$E:$W,7,FALSE)),"")</f>
        <v>9901000000</v>
      </c>
      <c r="K958">
        <f>IFERROR(IF(VLOOKUP($B958,Показатели!$E:$W,8,FALSE)=0,"",VLOOKUP($B958,Показатели!$E:$W,8,FALSE)),"")</f>
        <v>37803000000</v>
      </c>
      <c r="L958" t="str">
        <f>IFERROR(IF(VLOOKUP($B958,Показатели!$E:$W,9,FALSE)=0,"",VLOOKUP($B958,Показатели!$E:$W,9,FALSE)),"")</f>
        <v/>
      </c>
      <c r="M958">
        <f>IFERROR(IF(VLOOKUP($B958,Показатели!$E:$W,10,FALSE)=0,"",VLOOKUP($B958,Показатели!$E:$W,10,FALSE)),"")</f>
        <v>21007000000</v>
      </c>
      <c r="N958">
        <f>IFERROR(IF(VLOOKUP($B958,Показатели!$E:$W,11,FALSE)=0,"",VLOOKUP($B958,Показатели!$E:$W,11,FALSE)),"")</f>
        <v>36321000000</v>
      </c>
      <c r="O958">
        <f>IFERROR(IF(VLOOKUP($B958,Показатели!$E:$W,12,FALSE)=0,"",VLOOKUP($B958,Показатели!$E:$W,12,FALSE)),"")</f>
        <v>3061000000</v>
      </c>
      <c r="P958">
        <f>IFERROR(IF(VLOOKUP($B958,Показатели!$E:$W,13,FALSE)=0,"",VLOOKUP($B958,Показатели!$E:$W,13,FALSE)),"")</f>
        <v>1301000000</v>
      </c>
      <c r="Q958">
        <f>IFERROR(IF(VLOOKUP($B958,Показатели!$E:$W,14,FALSE)=0,"",VLOOKUP($B958,Показатели!$E:$W,14,FALSE)),"")</f>
        <v>550000000</v>
      </c>
      <c r="R958" t="str">
        <f>IFERROR(IF(VLOOKUP($B958,Показатели!$E:$W,15,FALSE)=0,"",VLOOKUP($B958,Показатели!$E:$W,15,FALSE)),"")</f>
        <v/>
      </c>
      <c r="S958" t="str">
        <f>IFERROR(IF(VLOOKUP($B958,Показатели!$E:$W,16,FALSE)=0,"",VLOOKUP($B958,Показатели!$E:$W,16,FALSE)),"")</f>
        <v/>
      </c>
      <c r="T958" t="str">
        <f>IFERROR(IF(VLOOKUP($B958,Показатели!$E:$W,17,FALSE)=0,"",VLOOKUP($B958,Показатели!$E:$W,17,FALSE)),"")</f>
        <v/>
      </c>
      <c r="U958">
        <f>IFERROR(IF(VLOOKUP($B958,Показатели!$E:$W,18,FALSE)=0,"",VLOOKUP($B958,Показатели!$E:$W,18,FALSE)),"")</f>
        <v>37219000000</v>
      </c>
      <c r="V958">
        <f>IFERROR(IF(VLOOKUP($B958,Показатели!$E:$W,19,FALSE)=0,"",VLOOKUP($B958,Показатели!$E:$W,19,FALSE)),"")</f>
        <v>81406000000</v>
      </c>
    </row>
    <row r="959" spans="1:22" x14ac:dyDescent="0.2">
      <c r="A959" s="7" t="s">
        <v>2323</v>
      </c>
      <c r="B959" t="str">
        <f t="shared" si="14"/>
        <v>FESH IV кв. 2012</v>
      </c>
      <c r="C959">
        <v>2012</v>
      </c>
      <c r="D959">
        <f>SUMIFS(Дивиденды!$C:$C,Дивиденды!$A:$A,A959,Дивиденды!$I:$I,C959)</f>
        <v>0</v>
      </c>
      <c r="E959">
        <f>IFERROR(IF(VLOOKUP($B959,Показатели!$E:$W,2,FALSE)=0,"",VLOOKUP($B959,Показатели!$E:$W,2,FALSE)),"")</f>
        <v>7057000000</v>
      </c>
      <c r="F959">
        <f>IFERROR(IF(VLOOKUP($B959,Показатели!$E:$W,3,FALSE)=0,"",VLOOKUP($B959,Показатели!$E:$W,3,FALSE)),"")</f>
        <v>14484000000</v>
      </c>
      <c r="G959">
        <f>IFERROR(IF(VLOOKUP($B959,Показатели!$E:$W,4,FALSE)=0,"",VLOOKUP($B959,Показатели!$E:$W,4,FALSE)),"")</f>
        <v>30180000000</v>
      </c>
      <c r="H959" t="str">
        <f>IFERROR(IF(VLOOKUP($B959,Показатели!$E:$W,5,FALSE)=0,"",VLOOKUP($B959,Показатели!$E:$W,5,FALSE)),"")</f>
        <v/>
      </c>
      <c r="I959">
        <f>IFERROR(IF(VLOOKUP($B959,Показатели!$E:$W,6,FALSE)=0,"",VLOOKUP($B959,Показатели!$E:$W,6,FALSE)),"")</f>
        <v>81406000000</v>
      </c>
      <c r="J959">
        <f>IFERROR(IF(VLOOKUP($B959,Показатели!$E:$W,7,FALSE)=0,"",VLOOKUP($B959,Показатели!$E:$W,7,FALSE)),"")</f>
        <v>11354000000</v>
      </c>
      <c r="K959">
        <f>IFERROR(IF(VLOOKUP($B959,Показатели!$E:$W,8,FALSE)=0,"",VLOOKUP($B959,Показатели!$E:$W,8,FALSE)),"")</f>
        <v>23510000000</v>
      </c>
      <c r="L959" t="str">
        <f>IFERROR(IF(VLOOKUP($B959,Показатели!$E:$W,9,FALSE)=0,"",VLOOKUP($B959,Показатели!$E:$W,9,FALSE)),"")</f>
        <v/>
      </c>
      <c r="M959">
        <f>IFERROR(IF(VLOOKUP($B959,Показатели!$E:$W,10,FALSE)=0,"",VLOOKUP($B959,Показатели!$E:$W,10,FALSE)),"")</f>
        <v>46542000000</v>
      </c>
      <c r="N959">
        <f>IFERROR(IF(VLOOKUP($B959,Показатели!$E:$W,11,FALSE)=0,"",VLOOKUP($B959,Показатели!$E:$W,11,FALSE)),"")</f>
        <v>37219000000</v>
      </c>
      <c r="O959">
        <f>IFERROR(IF(VLOOKUP($B959,Показатели!$E:$W,12,FALSE)=0,"",VLOOKUP($B959,Показатели!$E:$W,12,FALSE)),"")</f>
        <v>724000000</v>
      </c>
      <c r="P959">
        <f>IFERROR(IF(VLOOKUP($B959,Показатели!$E:$W,13,FALSE)=0,"",VLOOKUP($B959,Показатели!$E:$W,13,FALSE)),"")</f>
        <v>646000000</v>
      </c>
      <c r="Q959">
        <f>IFERROR(IF(VLOOKUP($B959,Показатели!$E:$W,14,FALSE)=0,"",VLOOKUP($B959,Показатели!$E:$W,14,FALSE)),"")</f>
        <v>-533000000</v>
      </c>
      <c r="R959" t="str">
        <f>IFERROR(IF(VLOOKUP($B959,Показатели!$E:$W,15,FALSE)=0,"",VLOOKUP($B959,Показатели!$E:$W,15,FALSE)),"")</f>
        <v/>
      </c>
      <c r="S959" t="str">
        <f>IFERROR(IF(VLOOKUP($B959,Показатели!$E:$W,16,FALSE)=0,"",VLOOKUP($B959,Показатели!$E:$W,16,FALSE)),"")</f>
        <v/>
      </c>
      <c r="T959" t="str">
        <f>IFERROR(IF(VLOOKUP($B959,Показатели!$E:$W,17,FALSE)=0,"",VLOOKUP($B959,Показатели!$E:$W,17,FALSE)),"")</f>
        <v/>
      </c>
      <c r="U959">
        <f>IFERROR(IF(VLOOKUP($B959,Показатели!$E:$W,18,FALSE)=0,"",VLOOKUP($B959,Показатели!$E:$W,18,FALSE)),"")</f>
        <v>30247901622.750004</v>
      </c>
      <c r="V959">
        <f>IFERROR(IF(VLOOKUP($B959,Показатели!$E:$W,19,FALSE)=0,"",VLOOKUP($B959,Показатели!$E:$W,19,FALSE)),"")</f>
        <v>68599937493.669235</v>
      </c>
    </row>
    <row r="960" spans="1:22" x14ac:dyDescent="0.2">
      <c r="A960" s="7" t="s">
        <v>2323</v>
      </c>
      <c r="B960" t="str">
        <f t="shared" si="14"/>
        <v>FESH IV кв. 2011</v>
      </c>
      <c r="C960">
        <v>2011</v>
      </c>
      <c r="D960">
        <f>SUMIFS(Дивиденды!$C:$C,Дивиденды!$A:$A,A960,Дивиденды!$I:$I,C960)</f>
        <v>0</v>
      </c>
      <c r="E960">
        <f>IFERROR(IF(VLOOKUP($B960,Показатели!$E:$W,2,FALSE)=0,"",VLOOKUP($B960,Показатели!$E:$W,2,FALSE)),"")</f>
        <v>6808898198.4923086</v>
      </c>
      <c r="F960">
        <f>IFERROR(IF(VLOOKUP($B960,Показатели!$E:$W,3,FALSE)=0,"",VLOOKUP($B960,Показатели!$E:$W,3,FALSE)),"")</f>
        <v>13311952272.115385</v>
      </c>
      <c r="G960">
        <f>IFERROR(IF(VLOOKUP($B960,Показатели!$E:$W,4,FALSE)=0,"",VLOOKUP($B960,Показатели!$E:$W,4,FALSE)),"")</f>
        <v>26057937080.319233</v>
      </c>
      <c r="H960" t="str">
        <f>IFERROR(IF(VLOOKUP($B960,Показатели!$E:$W,5,FALSE)=0,"",VLOOKUP($B960,Показатели!$E:$W,5,FALSE)),"")</f>
        <v/>
      </c>
      <c r="I960">
        <f>IFERROR(IF(VLOOKUP($B960,Показатели!$E:$W,6,FALSE)=0,"",VLOOKUP($B960,Показатели!$E:$W,6,FALSE)),"")</f>
        <v>68599937493.669235</v>
      </c>
      <c r="J960">
        <f>IFERROR(IF(VLOOKUP($B960,Показатели!$E:$W,7,FALSE)=0,"",VLOOKUP($B960,Показатели!$E:$W,7,FALSE)),"")</f>
        <v>9762813792.1269245</v>
      </c>
      <c r="K960">
        <f>IFERROR(IF(VLOOKUP($B960,Показатели!$E:$W,8,FALSE)=0,"",VLOOKUP($B960,Показатели!$E:$W,8,FALSE)),"")</f>
        <v>16471038054.496155</v>
      </c>
      <c r="L960" t="str">
        <f>IFERROR(IF(VLOOKUP($B960,Показатели!$E:$W,9,FALSE)=0,"",VLOOKUP($B960,Показатели!$E:$W,9,FALSE)),"")</f>
        <v/>
      </c>
      <c r="M960">
        <f>IFERROR(IF(VLOOKUP($B960,Показатели!$E:$W,10,FALSE)=0,"",VLOOKUP($B960,Показатели!$E:$W,10,FALSE)),"")</f>
        <v>42366085647.046158</v>
      </c>
      <c r="N960">
        <f>IFERROR(IF(VLOOKUP($B960,Показатели!$E:$W,11,FALSE)=0,"",VLOOKUP($B960,Показатели!$E:$W,11,FALSE)),"")</f>
        <v>30247901622.750004</v>
      </c>
      <c r="O960">
        <f>IFERROR(IF(VLOOKUP($B960,Показатели!$E:$W,12,FALSE)=0,"",VLOOKUP($B960,Показатели!$E:$W,12,FALSE)),"")</f>
        <v>2398503603.75</v>
      </c>
      <c r="P960">
        <f>IFERROR(IF(VLOOKUP($B960,Показатели!$E:$W,13,FALSE)=0,"",VLOOKUP($B960,Показатели!$E:$W,13,FALSE)),"")</f>
        <v>1735978544.5615387</v>
      </c>
      <c r="Q960">
        <f>IFERROR(IF(VLOOKUP($B960,Показатели!$E:$W,14,FALSE)=0,"",VLOOKUP($B960,Показатели!$E:$W,14,FALSE)),"")</f>
        <v>856698737.38846159</v>
      </c>
      <c r="R960" t="str">
        <f>IFERROR(IF(VLOOKUP($B960,Показатели!$E:$W,15,FALSE)=0,"",VLOOKUP($B960,Показатели!$E:$W,15,FALSE)),"")</f>
        <v/>
      </c>
      <c r="S960" t="str">
        <f>IFERROR(IF(VLOOKUP($B960,Показатели!$E:$W,16,FALSE)=0,"",VLOOKUP($B960,Показатели!$E:$W,16,FALSE)),"")</f>
        <v/>
      </c>
      <c r="T960" t="str">
        <f>IFERROR(IF(VLOOKUP($B960,Показатели!$E:$W,17,FALSE)=0,"",VLOOKUP($B960,Показатели!$E:$W,17,FALSE)),"")</f>
        <v/>
      </c>
      <c r="U960" t="str">
        <f>IFERROR(IF(VLOOKUP($B960,Показатели!$E:$W,18,FALSE)=0,"",VLOOKUP($B960,Показатели!$E:$W,18,FALSE)),"")</f>
        <v/>
      </c>
      <c r="V960" t="str">
        <f>IFERROR(IF(VLOOKUP($B960,Показатели!$E:$W,19,FALSE)=0,"",VLOOKUP($B960,Показатели!$E:$W,19,FALSE)),"")</f>
        <v/>
      </c>
    </row>
    <row r="961" spans="1:22" x14ac:dyDescent="0.2">
      <c r="A961" s="7" t="s">
        <v>2323</v>
      </c>
      <c r="B961" t="str">
        <f t="shared" si="14"/>
        <v>FESH IV кв. 2010</v>
      </c>
      <c r="C961">
        <v>2010</v>
      </c>
      <c r="D961">
        <f>SUMIFS(Дивиденды!$C:$C,Дивиденды!$A:$A,A961,Дивиденды!$I:$I,C961)</f>
        <v>0</v>
      </c>
      <c r="E961" t="str">
        <f>IFERROR(IF(VLOOKUP($B961,Показатели!$E:$W,2,FALSE)=0,"",VLOOKUP($B961,Показатели!$E:$W,2,FALSE)),"")</f>
        <v/>
      </c>
      <c r="F961" t="str">
        <f>IFERROR(IF(VLOOKUP($B961,Показатели!$E:$W,3,FALSE)=0,"",VLOOKUP($B961,Показатели!$E:$W,3,FALSE)),"")</f>
        <v/>
      </c>
      <c r="G961" t="str">
        <f>IFERROR(IF(VLOOKUP($B961,Показатели!$E:$W,4,FALSE)=0,"",VLOOKUP($B961,Показатели!$E:$W,4,FALSE)),"")</f>
        <v/>
      </c>
      <c r="H961" t="str">
        <f>IFERROR(IF(VLOOKUP($B961,Показатели!$E:$W,5,FALSE)=0,"",VLOOKUP($B961,Показатели!$E:$W,5,FALSE)),"")</f>
        <v/>
      </c>
      <c r="I961" t="str">
        <f>IFERROR(IF(VLOOKUP($B961,Показатели!$E:$W,6,FALSE)=0,"",VLOOKUP($B961,Показатели!$E:$W,6,FALSE)),"")</f>
        <v/>
      </c>
      <c r="J961" t="str">
        <f>IFERROR(IF(VLOOKUP($B961,Показатели!$E:$W,7,FALSE)=0,"",VLOOKUP($B961,Показатели!$E:$W,7,FALSE)),"")</f>
        <v/>
      </c>
      <c r="K961" t="str">
        <f>IFERROR(IF(VLOOKUP($B961,Показатели!$E:$W,8,FALSE)=0,"",VLOOKUP($B961,Показатели!$E:$W,8,FALSE)),"")</f>
        <v/>
      </c>
      <c r="L961" t="str">
        <f>IFERROR(IF(VLOOKUP($B961,Показатели!$E:$W,9,FALSE)=0,"",VLOOKUP($B961,Показатели!$E:$W,9,FALSE)),"")</f>
        <v/>
      </c>
      <c r="M961" t="str">
        <f>IFERROR(IF(VLOOKUP($B961,Показатели!$E:$W,10,FALSE)=0,"",VLOOKUP($B961,Показатели!$E:$W,10,FALSE)),"")</f>
        <v/>
      </c>
      <c r="N961" t="str">
        <f>IFERROR(IF(VLOOKUP($B961,Показатели!$E:$W,11,FALSE)=0,"",VLOOKUP($B961,Показатели!$E:$W,11,FALSE)),"")</f>
        <v/>
      </c>
      <c r="O961" t="str">
        <f>IFERROR(IF(VLOOKUP($B961,Показатели!$E:$W,12,FALSE)=0,"",VLOOKUP($B961,Показатели!$E:$W,12,FALSE)),"")</f>
        <v/>
      </c>
      <c r="P961" t="str">
        <f>IFERROR(IF(VLOOKUP($B961,Показатели!$E:$W,13,FALSE)=0,"",VLOOKUP($B961,Показатели!$E:$W,13,FALSE)),"")</f>
        <v/>
      </c>
      <c r="Q961" t="str">
        <f>IFERROR(IF(VLOOKUP($B961,Показатели!$E:$W,14,FALSE)=0,"",VLOOKUP($B961,Показатели!$E:$W,14,FALSE)),"")</f>
        <v/>
      </c>
      <c r="R961" t="str">
        <f>IFERROR(IF(VLOOKUP($B961,Показатели!$E:$W,15,FALSE)=0,"",VLOOKUP($B961,Показатели!$E:$W,15,FALSE)),"")</f>
        <v/>
      </c>
      <c r="S961" t="str">
        <f>IFERROR(IF(VLOOKUP($B961,Показатели!$E:$W,16,FALSE)=0,"",VLOOKUP($B961,Показатели!$E:$W,16,FALSE)),"")</f>
        <v/>
      </c>
      <c r="T961" t="str">
        <f>IFERROR(IF(VLOOKUP($B961,Показатели!$E:$W,17,FALSE)=0,"",VLOOKUP($B961,Показатели!$E:$W,17,FALSE)),"")</f>
        <v/>
      </c>
      <c r="U961" t="str">
        <f>IFERROR(IF(VLOOKUP($B961,Показатели!$E:$W,18,FALSE)=0,"",VLOOKUP($B961,Показатели!$E:$W,18,FALSE)),"")</f>
        <v/>
      </c>
      <c r="V961" t="str">
        <f>IFERROR(IF(VLOOKUP($B961,Показатели!$E:$W,19,FALSE)=0,"",VLOOKUP($B961,Показатели!$E:$W,19,FALSE)),"")</f>
        <v/>
      </c>
    </row>
    <row r="962" spans="1:22" x14ac:dyDescent="0.2">
      <c r="A962" s="7" t="s">
        <v>2297</v>
      </c>
      <c r="B962" t="str">
        <f t="shared" si="14"/>
        <v>FLOT IV кв. 2025</v>
      </c>
      <c r="C962">
        <v>2025</v>
      </c>
      <c r="D962">
        <f>SUMIFS(Дивиденды!$C:$C,Дивиденды!$A:$A,A962,Дивиденды!$I:$I,C962)</f>
        <v>0</v>
      </c>
      <c r="E962">
        <f>IFERROR(IF(VLOOKUP($B962,Показатели!$E:$W,2,FALSE)=0,"",VLOOKUP($B962,Показатели!$E:$W,2,FALSE)),"")</f>
        <v>58562800439.040993</v>
      </c>
      <c r="F962">
        <f>IFERROR(IF(VLOOKUP($B962,Показатели!$E:$W,3,FALSE)=0,"",VLOOKUP($B962,Показатели!$E:$W,3,FALSE)),"")</f>
        <v>165033329445.8418</v>
      </c>
      <c r="G962" t="str">
        <f>IFERROR(IF(VLOOKUP($B962,Показатели!$E:$W,4,FALSE)=0,"",VLOOKUP($B962,Показатели!$E:$W,4,FALSE)),"")</f>
        <v/>
      </c>
      <c r="H962" t="str">
        <f>IFERROR(IF(VLOOKUP($B962,Показатели!$E:$W,5,FALSE)=0,"",VLOOKUP($B962,Показатели!$E:$W,5,FALSE)),"")</f>
        <v/>
      </c>
      <c r="I962">
        <f>IFERROR(IF(VLOOKUP($B962,Показатели!$E:$W,6,FALSE)=0,"",VLOOKUP($B962,Показатели!$E:$W,6,FALSE)),"")</f>
        <v>577525180171.50232</v>
      </c>
      <c r="J962">
        <f>IFERROR(IF(VLOOKUP($B962,Показатели!$E:$W,7,FALSE)=0,"",VLOOKUP($B962,Показатели!$E:$W,7,FALSE)),"")</f>
        <v>60530987242.02639</v>
      </c>
      <c r="K962">
        <f>IFERROR(IF(VLOOKUP($B962,Показатели!$E:$W,8,FALSE)=0,"",VLOOKUP($B962,Показатели!$E:$W,8,FALSE)),"")</f>
        <v>128996175489.38593</v>
      </c>
      <c r="L962" t="str">
        <f>IFERROR(IF(VLOOKUP($B962,Показатели!$E:$W,9,FALSE)=0,"",VLOOKUP($B962,Показатели!$E:$W,9,FALSE)),"")</f>
        <v/>
      </c>
      <c r="M962">
        <f>IFERROR(IF(VLOOKUP($B962,Показатели!$E:$W,10,FALSE)=0,"",VLOOKUP($B962,Показатели!$E:$W,10,FALSE)),"")</f>
        <v>387998017440.09003</v>
      </c>
      <c r="N962">
        <f>IFERROR(IF(VLOOKUP($B962,Показатели!$E:$W,11,FALSE)=0,"",VLOOKUP($B962,Показатели!$E:$W,11,FALSE)),"")</f>
        <v>109076236463.18172</v>
      </c>
      <c r="O962">
        <f>IFERROR(IF(VLOOKUP($B962,Показатели!$E:$W,12,FALSE)=0,"",VLOOKUP($B962,Показатели!$E:$W,12,FALSE)),"")</f>
        <v>-43576984818.831726</v>
      </c>
      <c r="P962">
        <f>IFERROR(IF(VLOOKUP($B962,Показатели!$E:$W,13,FALSE)=0,"",VLOOKUP($B962,Показатели!$E:$W,13,FALSE)),"")</f>
        <v>-48091756865.043526</v>
      </c>
      <c r="Q962">
        <f>IFERROR(IF(VLOOKUP($B962,Показатели!$E:$W,14,FALSE)=0,"",VLOOKUP($B962,Показатели!$E:$W,14,FALSE)),"")</f>
        <v>-53993069715.812347</v>
      </c>
      <c r="R962">
        <f>IFERROR(IF(VLOOKUP($B962,Показатели!$E:$W,15,FALSE)=0,"",VLOOKUP($B962,Показатели!$E:$W,15,FALSE)),"")</f>
        <v>-86752937836.885925</v>
      </c>
      <c r="S962">
        <f>IFERROR(IF(VLOOKUP($B962,Показатели!$E:$W,16,FALSE)=0,"",VLOOKUP($B962,Показатели!$E:$W,16,FALSE)),"")</f>
        <v>43800400167.977516</v>
      </c>
      <c r="T962" t="str">
        <f>IFERROR(IF(VLOOKUP($B962,Показатели!$E:$W,17,FALSE)=0,"",VLOOKUP($B962,Показатели!$E:$W,17,FALSE)),"")</f>
        <v/>
      </c>
      <c r="U962">
        <f>IFERROR(IF(VLOOKUP($B962,Показатели!$E:$W,18,FALSE)=0,"",VLOOKUP($B962,Показатели!$E:$W,18,FALSE)),"")</f>
        <v>173138418262.59052</v>
      </c>
      <c r="V962">
        <f>IFERROR(IF(VLOOKUP($B962,Показатели!$E:$W,19,FALSE)=0,"",VLOOKUP($B962,Показатели!$E:$W,19,FALSE)),"")</f>
        <v>618989467200.8208</v>
      </c>
    </row>
    <row r="963" spans="1:22" x14ac:dyDescent="0.2">
      <c r="A963" s="7" t="s">
        <v>2297</v>
      </c>
      <c r="B963" t="str">
        <f t="shared" ref="B963:B1026" si="15">A963&amp;" "&amp;
"IV"
&amp;" кв. "&amp;C963</f>
        <v>FLOT IV кв. 2024</v>
      </c>
      <c r="C963">
        <v>2024</v>
      </c>
      <c r="D963">
        <f>SUMIFS(Дивиденды!$C:$C,Дивиденды!$A:$A,A963,Дивиденды!$I:$I,C963)</f>
        <v>0</v>
      </c>
      <c r="E963">
        <f>IFERROR(IF(VLOOKUP($B963,Показатели!$E:$W,2,FALSE)=0,"",VLOOKUP($B963,Показатели!$E:$W,2,FALSE)),"")</f>
        <v>106716810642.47197</v>
      </c>
      <c r="F963">
        <f>IFERROR(IF(VLOOKUP($B963,Показатели!$E:$W,3,FALSE)=0,"",VLOOKUP($B963,Показатели!$E:$W,3,FALSE)),"")</f>
        <v>149864089603.66199</v>
      </c>
      <c r="G963">
        <f>IFERROR(IF(VLOOKUP($B963,Показатели!$E:$W,4,FALSE)=0,"",VLOOKUP($B963,Показатели!$E:$W,4,FALSE)),"")</f>
        <v>420698980153.07684</v>
      </c>
      <c r="H963">
        <f>IFERROR(IF(VLOOKUP($B963,Показатели!$E:$W,5,FALSE)=0,"",VLOOKUP($B963,Показатели!$E:$W,5,FALSE)),"")</f>
        <v>102322854.29916893</v>
      </c>
      <c r="I963">
        <f>IFERROR(IF(VLOOKUP($B963,Показатели!$E:$W,6,FALSE)=0,"",VLOOKUP($B963,Показатели!$E:$W,6,FALSE)),"")</f>
        <v>618989467200.8208</v>
      </c>
      <c r="J963">
        <f>IFERROR(IF(VLOOKUP($B963,Показатели!$E:$W,7,FALSE)=0,"",VLOOKUP($B963,Показатели!$E:$W,7,FALSE)),"")</f>
        <v>40121115270.242638</v>
      </c>
      <c r="K963">
        <f>IFERROR(IF(VLOOKUP($B963,Показатели!$E:$W,8,FALSE)=0,"",VLOOKUP($B963,Показатели!$E:$W,8,FALSE)),"")</f>
        <v>113496139589.1656</v>
      </c>
      <c r="L963" t="str">
        <f>IFERROR(IF(VLOOKUP($B963,Показатели!$E:$W,9,FALSE)=0,"",VLOOKUP($B963,Показатели!$E:$W,9,FALSE)),"")</f>
        <v/>
      </c>
      <c r="M963">
        <f>IFERROR(IF(VLOOKUP($B963,Показатели!$E:$W,10,FALSE)=0,"",VLOOKUP($B963,Показатели!$E:$W,10,FALSE)),"")</f>
        <v>465372212341.41254</v>
      </c>
      <c r="N963">
        <f>IFERROR(IF(VLOOKUP($B963,Показатели!$E:$W,11,FALSE)=0,"",VLOOKUP($B963,Показатели!$E:$W,11,FALSE)),"")</f>
        <v>173138418262.59052</v>
      </c>
      <c r="O963">
        <f>IFERROR(IF(VLOOKUP($B963,Показатели!$E:$W,12,FALSE)=0,"",VLOOKUP($B963,Показатели!$E:$W,12,FALSE)),"")</f>
        <v>45618028643.009399</v>
      </c>
      <c r="P963">
        <f>IFERROR(IF(VLOOKUP($B963,Показатели!$E:$W,13,FALSE)=0,"",VLOOKUP($B963,Показатели!$E:$W,13,FALSE)),"")</f>
        <v>45677199958.753441</v>
      </c>
      <c r="Q963">
        <f>IFERROR(IF(VLOOKUP($B963,Показатели!$E:$W,14,FALSE)=0,"",VLOOKUP($B963,Показатели!$E:$W,14,FALSE)),"")</f>
        <v>39303921433.871452</v>
      </c>
      <c r="R963">
        <f>IFERROR(IF(VLOOKUP($B963,Показатели!$E:$W,15,FALSE)=0,"",VLOOKUP($B963,Показатели!$E:$W,15,FALSE)),"")</f>
        <v>50798713466.06424</v>
      </c>
      <c r="S963">
        <f>IFERROR(IF(VLOOKUP($B963,Показатели!$E:$W,16,FALSE)=0,"",VLOOKUP($B963,Показатели!$E:$W,16,FALSE)),"")</f>
        <v>96396462737.950089</v>
      </c>
      <c r="T963" t="str">
        <f>IFERROR(IF(VLOOKUP($B963,Показатели!$E:$W,17,FALSE)=0,"",VLOOKUP($B963,Показатели!$E:$W,17,FALSE)),"")</f>
        <v/>
      </c>
      <c r="U963">
        <f>IFERROR(IF(VLOOKUP($B963,Показатели!$E:$W,18,FALSE)=0,"",VLOOKUP($B963,Показатели!$E:$W,18,FALSE)),"")</f>
        <v>197873262961.22925</v>
      </c>
      <c r="V963">
        <f>IFERROR(IF(VLOOKUP($B963,Показатели!$E:$W,19,FALSE)=0,"",VLOOKUP($B963,Показатели!$E:$W,19,FALSE)),"")</f>
        <v>597994005759.40991</v>
      </c>
    </row>
    <row r="964" spans="1:22" x14ac:dyDescent="0.2">
      <c r="A964" s="7" t="s">
        <v>2297</v>
      </c>
      <c r="B964" t="str">
        <f t="shared" si="15"/>
        <v>FLOT IV кв. 2023</v>
      </c>
      <c r="C964">
        <v>2023</v>
      </c>
      <c r="D964">
        <f>SUMIFS(Дивиденды!$C:$C,Дивиденды!$A:$A,A964,Дивиденды!$I:$I,C964)</f>
        <v>17.59</v>
      </c>
      <c r="E964">
        <f>IFERROR(IF(VLOOKUP($B964,Показатели!$E:$W,2,FALSE)=0,"",VLOOKUP($B964,Показатели!$E:$W,2,FALSE)),"")</f>
        <v>88963394794.618088</v>
      </c>
      <c r="F964">
        <f>IFERROR(IF(VLOOKUP($B964,Показатели!$E:$W,3,FALSE)=0,"",VLOOKUP($B964,Показатели!$E:$W,3,FALSE)),"")</f>
        <v>129361006303.90976</v>
      </c>
      <c r="G964">
        <f>IFERROR(IF(VLOOKUP($B964,Показатели!$E:$W,4,FALSE)=0,"",VLOOKUP($B964,Показатели!$E:$W,4,FALSE)),"")</f>
        <v>428939424336.80573</v>
      </c>
      <c r="H964">
        <f>IFERROR(IF(VLOOKUP($B964,Показатели!$E:$W,5,FALSE)=0,"",VLOOKUP($B964,Показатели!$E:$W,5,FALSE)),"")</f>
        <v>104298523.77083337</v>
      </c>
      <c r="I964">
        <f>IFERROR(IF(VLOOKUP($B964,Показатели!$E:$W,6,FALSE)=0,"",VLOOKUP($B964,Показатели!$E:$W,6,FALSE)),"")</f>
        <v>597994005759.40991</v>
      </c>
      <c r="J964">
        <f>IFERROR(IF(VLOOKUP($B964,Показатели!$E:$W,7,FALSE)=0,"",VLOOKUP($B964,Показатели!$E:$W,7,FALSE)),"")</f>
        <v>62197028024.312523</v>
      </c>
      <c r="K964">
        <f>IFERROR(IF(VLOOKUP($B964,Показатели!$E:$W,8,FALSE)=0,"",VLOOKUP($B964,Показатели!$E:$W,8,FALSE)),"")</f>
        <v>107925908547.18753</v>
      </c>
      <c r="L964" t="str">
        <f>IFERROR(IF(VLOOKUP($B964,Показатели!$E:$W,9,FALSE)=0,"",VLOOKUP($B964,Показатели!$E:$W,9,FALSE)),"")</f>
        <v/>
      </c>
      <c r="M964">
        <f>IFERROR(IF(VLOOKUP($B964,Показатели!$E:$W,10,FALSE)=0,"",VLOOKUP($B964,Показатели!$E:$W,10,FALSE)),"")</f>
        <v>427871069187.90985</v>
      </c>
      <c r="N964">
        <f>IFERROR(IF(VLOOKUP($B964,Показатели!$E:$W,11,FALSE)=0,"",VLOOKUP($B964,Показатели!$E:$W,11,FALSE)),"")</f>
        <v>197873262961.22925</v>
      </c>
      <c r="O964">
        <f>IFERROR(IF(VLOOKUP($B964,Показатели!$E:$W,12,FALSE)=0,"",VLOOKUP($B964,Показатели!$E:$W,12,FALSE)),"")</f>
        <v>99449112228.65976</v>
      </c>
      <c r="P964">
        <f>IFERROR(IF(VLOOKUP($B964,Показатели!$E:$W,13,FALSE)=0,"",VLOOKUP($B964,Показатели!$E:$W,13,FALSE)),"")</f>
        <v>89325834300.236145</v>
      </c>
      <c r="Q964">
        <f>IFERROR(IF(VLOOKUP($B964,Показатели!$E:$W,14,FALSE)=0,"",VLOOKUP($B964,Показатели!$E:$W,14,FALSE)),"")</f>
        <v>80578852698.590302</v>
      </c>
      <c r="R964" t="str">
        <f>IFERROR(IF(VLOOKUP($B964,Показатели!$E:$W,15,FALSE)=0,"",VLOOKUP($B964,Показатели!$E:$W,15,FALSE)),"")</f>
        <v/>
      </c>
      <c r="S964">
        <f>IFERROR(IF(VLOOKUP($B964,Показатели!$E:$W,16,FALSE)=0,"",VLOOKUP($B964,Показатели!$E:$W,16,FALSE)),"")</f>
        <v>134469071351.38893</v>
      </c>
      <c r="T964" t="str">
        <f>IFERROR(IF(VLOOKUP($B964,Показатели!$E:$W,17,FALSE)=0,"",VLOOKUP($B964,Показатели!$E:$W,17,FALSE)),"")</f>
        <v/>
      </c>
      <c r="U964" t="str">
        <f>IFERROR(IF(VLOOKUP($B964,Показатели!$E:$W,18,FALSE)=0,"",VLOOKUP($B964,Показатели!$E:$W,18,FALSE)),"")</f>
        <v/>
      </c>
      <c r="V964" t="str">
        <f>IFERROR(IF(VLOOKUP($B964,Показатели!$E:$W,19,FALSE)=0,"",VLOOKUP($B964,Показатели!$E:$W,19,FALSE)),"")</f>
        <v/>
      </c>
    </row>
    <row r="965" spans="1:22" x14ac:dyDescent="0.2">
      <c r="A965" s="7" t="s">
        <v>2297</v>
      </c>
      <c r="B965" t="str">
        <f t="shared" si="15"/>
        <v>FLOT IV кв. 2022</v>
      </c>
      <c r="C965">
        <v>2022</v>
      </c>
      <c r="D965">
        <f>SUMIFS(Дивиденды!$C:$C,Дивиденды!$A:$A,A965,Дивиденды!$I:$I,C965)</f>
        <v>4.29</v>
      </c>
      <c r="E965" t="str">
        <f>IFERROR(IF(VLOOKUP($B965,Показатели!$E:$W,2,FALSE)=0,"",VLOOKUP($B965,Показатели!$E:$W,2,FALSE)),"")</f>
        <v/>
      </c>
      <c r="F965" t="str">
        <f>IFERROR(IF(VLOOKUP($B965,Показатели!$E:$W,3,FALSE)=0,"",VLOOKUP($B965,Показатели!$E:$W,3,FALSE)),"")</f>
        <v/>
      </c>
      <c r="G965" t="str">
        <f>IFERROR(IF(VLOOKUP($B965,Показатели!$E:$W,4,FALSE)=0,"",VLOOKUP($B965,Показатели!$E:$W,4,FALSE)),"")</f>
        <v/>
      </c>
      <c r="H965" t="str">
        <f>IFERROR(IF(VLOOKUP($B965,Показатели!$E:$W,5,FALSE)=0,"",VLOOKUP($B965,Показатели!$E:$W,5,FALSE)),"")</f>
        <v/>
      </c>
      <c r="I965" t="str">
        <f>IFERROR(IF(VLOOKUP($B965,Показатели!$E:$W,6,FALSE)=0,"",VLOOKUP($B965,Показатели!$E:$W,6,FALSE)),"")</f>
        <v/>
      </c>
      <c r="J965" t="str">
        <f>IFERROR(IF(VLOOKUP($B965,Показатели!$E:$W,7,FALSE)=0,"",VLOOKUP($B965,Показатели!$E:$W,7,FALSE)),"")</f>
        <v/>
      </c>
      <c r="K965" t="str">
        <f>IFERROR(IF(VLOOKUP($B965,Показатели!$E:$W,8,FALSE)=0,"",VLOOKUP($B965,Показатели!$E:$W,8,FALSE)),"")</f>
        <v/>
      </c>
      <c r="L965" t="str">
        <f>IFERROR(IF(VLOOKUP($B965,Показатели!$E:$W,9,FALSE)=0,"",VLOOKUP($B965,Показатели!$E:$W,9,FALSE)),"")</f>
        <v/>
      </c>
      <c r="M965" t="str">
        <f>IFERROR(IF(VLOOKUP($B965,Показатели!$E:$W,10,FALSE)=0,"",VLOOKUP($B965,Показатели!$E:$W,10,FALSE)),"")</f>
        <v/>
      </c>
      <c r="N965" t="str">
        <f>IFERROR(IF(VLOOKUP($B965,Показатели!$E:$W,11,FALSE)=0,"",VLOOKUP($B965,Показатели!$E:$W,11,FALSE)),"")</f>
        <v/>
      </c>
      <c r="O965" t="str">
        <f>IFERROR(IF(VLOOKUP($B965,Показатели!$E:$W,12,FALSE)=0,"",VLOOKUP($B965,Показатели!$E:$W,12,FALSE)),"")</f>
        <v/>
      </c>
      <c r="P965" t="str">
        <f>IFERROR(IF(VLOOKUP($B965,Показатели!$E:$W,13,FALSE)=0,"",VLOOKUP($B965,Показатели!$E:$W,13,FALSE)),"")</f>
        <v/>
      </c>
      <c r="Q965" t="str">
        <f>IFERROR(IF(VLOOKUP($B965,Показатели!$E:$W,14,FALSE)=0,"",VLOOKUP($B965,Показатели!$E:$W,14,FALSE)),"")</f>
        <v/>
      </c>
      <c r="R965" t="str">
        <f>IFERROR(IF(VLOOKUP($B965,Показатели!$E:$W,15,FALSE)=0,"",VLOOKUP($B965,Показатели!$E:$W,15,FALSE)),"")</f>
        <v/>
      </c>
      <c r="S965" t="str">
        <f>IFERROR(IF(VLOOKUP($B965,Показатели!$E:$W,16,FALSE)=0,"",VLOOKUP($B965,Показатели!$E:$W,16,FALSE)),"")</f>
        <v/>
      </c>
      <c r="T965" t="str">
        <f>IFERROR(IF(VLOOKUP($B965,Показатели!$E:$W,17,FALSE)=0,"",VLOOKUP($B965,Показатели!$E:$W,17,FALSE)),"")</f>
        <v/>
      </c>
      <c r="U965" t="str">
        <f>IFERROR(IF(VLOOKUP($B965,Показатели!$E:$W,18,FALSE)=0,"",VLOOKUP($B965,Показатели!$E:$W,18,FALSE)),"")</f>
        <v/>
      </c>
      <c r="V965" t="str">
        <f>IFERROR(IF(VLOOKUP($B965,Показатели!$E:$W,19,FALSE)=0,"",VLOOKUP($B965,Показатели!$E:$W,19,FALSE)),"")</f>
        <v/>
      </c>
    </row>
    <row r="966" spans="1:22" x14ac:dyDescent="0.2">
      <c r="A966" s="7" t="s">
        <v>2297</v>
      </c>
      <c r="B966" t="str">
        <f t="shared" si="15"/>
        <v>FLOT IV кв. 2021</v>
      </c>
      <c r="C966">
        <v>2021</v>
      </c>
      <c r="D966">
        <f>SUMIFS(Дивиденды!$C:$C,Дивиденды!$A:$A,A966,Дивиденды!$I:$I,C966)</f>
        <v>0</v>
      </c>
      <c r="E966">
        <f>IFERROR(IF(VLOOKUP($B966,Показатели!$E:$W,2,FALSE)=0,"",VLOOKUP($B966,Показатели!$E:$W,2,FALSE)),"")</f>
        <v>45298631167.893829</v>
      </c>
      <c r="F966">
        <f>IFERROR(IF(VLOOKUP($B966,Показатели!$E:$W,3,FALSE)=0,"",VLOOKUP($B966,Показатели!$E:$W,3,FALSE)),"")</f>
        <v>62000732636.450195</v>
      </c>
      <c r="G966">
        <f>IFERROR(IF(VLOOKUP($B966,Показатели!$E:$W,4,FALSE)=0,"",VLOOKUP($B966,Показатели!$E:$W,4,FALSE)),"")</f>
        <v>427370102634.33496</v>
      </c>
      <c r="H966">
        <f>IFERROR(IF(VLOOKUP($B966,Показатели!$E:$W,5,FALSE)=0,"",VLOOKUP($B966,Показатели!$E:$W,5,FALSE)),"")</f>
        <v>204285167.04109094</v>
      </c>
      <c r="I966">
        <f>IFERROR(IF(VLOOKUP($B966,Показатели!$E:$W,6,FALSE)=0,"",VLOOKUP($B966,Показатели!$E:$W,6,FALSE)),"")</f>
        <v>540322167593.85718</v>
      </c>
      <c r="J966">
        <f>IFERROR(IF(VLOOKUP($B966,Показатели!$E:$W,7,FALSE)=0,"",VLOOKUP($B966,Показатели!$E:$W,7,FALSE)),"")</f>
        <v>42365748347.181824</v>
      </c>
      <c r="K966">
        <f>IFERROR(IF(VLOOKUP($B966,Показатели!$E:$W,8,FALSE)=0,"",VLOOKUP($B966,Показатели!$E:$W,8,FALSE)),"")</f>
        <v>205362146047.39859</v>
      </c>
      <c r="L966" t="str">
        <f>IFERROR(IF(VLOOKUP($B966,Показатели!$E:$W,9,FALSE)=0,"",VLOOKUP($B966,Показатели!$E:$W,9,FALSE)),"")</f>
        <v/>
      </c>
      <c r="M966">
        <f>IFERROR(IF(VLOOKUP($B966,Показатели!$E:$W,10,FALSE)=0,"",VLOOKUP($B966,Показатели!$E:$W,10,FALSE)),"")</f>
        <v>292594273199.27679</v>
      </c>
      <c r="N966">
        <f>IFERROR(IF(VLOOKUP($B966,Показатели!$E:$W,11,FALSE)=0,"",VLOOKUP($B966,Показатели!$E:$W,11,FALSE)),"")</f>
        <v>113642606369.23857</v>
      </c>
      <c r="O966">
        <f>IFERROR(IF(VLOOKUP($B966,Показатели!$E:$W,12,FALSE)=0,"",VLOOKUP($B966,Показатели!$E:$W,12,FALSE)),"")</f>
        <v>16987097351.64764</v>
      </c>
      <c r="P966">
        <f>IFERROR(IF(VLOOKUP($B966,Показатели!$E:$W,13,FALSE)=0,"",VLOOKUP($B966,Показатели!$E:$W,13,FALSE)),"")</f>
        <v>5166592464.0861826</v>
      </c>
      <c r="Q966">
        <f>IFERROR(IF(VLOOKUP($B966,Показатели!$E:$W,14,FALSE)=0,"",VLOOKUP($B966,Показатели!$E:$W,14,FALSE)),"")</f>
        <v>2641173340.5818186</v>
      </c>
      <c r="R966" t="str">
        <f>IFERROR(IF(VLOOKUP($B966,Показатели!$E:$W,15,FALSE)=0,"",VLOOKUP($B966,Показатели!$E:$W,15,FALSE)),"")</f>
        <v/>
      </c>
      <c r="S966">
        <f>IFERROR(IF(VLOOKUP($B966,Показатели!$E:$W,16,FALSE)=0,"",VLOOKUP($B966,Показатели!$E:$W,16,FALSE)),"")</f>
        <v>50056874625.272736</v>
      </c>
      <c r="T966">
        <f>IFERROR(IF(VLOOKUP($B966,Показатели!$E:$W,17,FALSE)=0,"",VLOOKUP($B966,Показатели!$E:$W,17,FALSE)),"")</f>
        <v>-4025649846.4298191</v>
      </c>
      <c r="U966">
        <f>IFERROR(IF(VLOOKUP($B966,Показатели!$E:$W,18,FALSE)=0,"",VLOOKUP($B966,Показатели!$E:$W,18,FALSE)),"")</f>
        <v>119470467320.56313</v>
      </c>
      <c r="V966">
        <f>IFERROR(IF(VLOOKUP($B966,Показатели!$E:$W,19,FALSE)=0,"",VLOOKUP($B966,Показатели!$E:$W,19,FALSE)),"")</f>
        <v>559804502298.21777</v>
      </c>
    </row>
    <row r="967" spans="1:22" x14ac:dyDescent="0.2">
      <c r="A967" s="7" t="s">
        <v>2297</v>
      </c>
      <c r="B967" t="str">
        <f t="shared" si="15"/>
        <v>FLOT IV кв. 2020</v>
      </c>
      <c r="C967">
        <v>2020</v>
      </c>
      <c r="D967">
        <f>SUMIFS(Дивиденды!$C:$C,Дивиденды!$A:$A,A967,Дивиденды!$I:$I,C967)</f>
        <v>6.67</v>
      </c>
      <c r="E967">
        <f>IFERROR(IF(VLOOKUP($B967,Показатели!$E:$W,2,FALSE)=0,"",VLOOKUP($B967,Показатели!$E:$W,2,FALSE)),"")</f>
        <v>61412676269.711533</v>
      </c>
      <c r="F967">
        <f>IFERROR(IF(VLOOKUP($B967,Показатели!$E:$W,3,FALSE)=0,"",VLOOKUP($B967,Показатели!$E:$W,3,FALSE)),"")</f>
        <v>76530336790.453003</v>
      </c>
      <c r="G967">
        <f>IFERROR(IF(VLOOKUP($B967,Показатели!$E:$W,4,FALSE)=0,"",VLOOKUP($B967,Показатели!$E:$W,4,FALSE)),"")</f>
        <v>446557099801.77722</v>
      </c>
      <c r="H967">
        <f>IFERROR(IF(VLOOKUP($B967,Показатели!$E:$W,5,FALSE)=0,"",VLOOKUP($B967,Показатели!$E:$W,5,FALSE)),"")</f>
        <v>211541982.38048792</v>
      </c>
      <c r="I967">
        <f>IFERROR(IF(VLOOKUP($B967,Показатели!$E:$W,6,FALSE)=0,"",VLOOKUP($B967,Показатели!$E:$W,6,FALSE)),"")</f>
        <v>559804502298.21777</v>
      </c>
      <c r="J967">
        <f>IFERROR(IF(VLOOKUP($B967,Показатели!$E:$W,7,FALSE)=0,"",VLOOKUP($B967,Показатели!$E:$W,7,FALSE)),"")</f>
        <v>43249129310.935219</v>
      </c>
      <c r="K967">
        <f>IFERROR(IF(VLOOKUP($B967,Показатели!$E:$W,8,FALSE)=0,"",VLOOKUP($B967,Показатели!$E:$W,8,FALSE)),"")</f>
        <v>220252219890.13809</v>
      </c>
      <c r="L967" t="str">
        <f>IFERROR(IF(VLOOKUP($B967,Показатели!$E:$W,9,FALSE)=0,"",VLOOKUP($B967,Показатели!$E:$W,9,FALSE)),"")</f>
        <v/>
      </c>
      <c r="M967">
        <f>IFERROR(IF(VLOOKUP($B967,Показатели!$E:$W,10,FALSE)=0,"",VLOOKUP($B967,Показатели!$E:$W,10,FALSE)),"")</f>
        <v>296303153097.14441</v>
      </c>
      <c r="N967">
        <f>IFERROR(IF(VLOOKUP($B967,Показатели!$E:$W,11,FALSE)=0,"",VLOOKUP($B967,Показатели!$E:$W,11,FALSE)),"")</f>
        <v>119470467320.56313</v>
      </c>
      <c r="O967">
        <f>IFERROR(IF(VLOOKUP($B967,Показатели!$E:$W,12,FALSE)=0,"",VLOOKUP($B967,Показатели!$E:$W,12,FALSE)),"")</f>
        <v>35523292222.369354</v>
      </c>
      <c r="P967">
        <f>IFERROR(IF(VLOOKUP($B967,Показатели!$E:$W,13,FALSE)=0,"",VLOOKUP($B967,Показатели!$E:$W,13,FALSE)),"")</f>
        <v>21360317920.812553</v>
      </c>
      <c r="Q967">
        <f>IFERROR(IF(VLOOKUP($B967,Показатели!$E:$W,14,FALSE)=0,"",VLOOKUP($B967,Показатели!$E:$W,14,FALSE)),"")</f>
        <v>19293626496.229977</v>
      </c>
      <c r="R967" t="str">
        <f>IFERROR(IF(VLOOKUP($B967,Показатели!$E:$W,15,FALSE)=0,"",VLOOKUP($B967,Показатели!$E:$W,15,FALSE)),"")</f>
        <v/>
      </c>
      <c r="S967">
        <f>IFERROR(IF(VLOOKUP($B967,Показатели!$E:$W,16,FALSE)=0,"",VLOOKUP($B967,Показатели!$E:$W,16,FALSE)),"")</f>
        <v>65284487385.365891</v>
      </c>
      <c r="T967">
        <f>IFERROR(IF(VLOOKUP($B967,Показатели!$E:$W,17,FALSE)=0,"",VLOOKUP($B967,Показатели!$E:$W,17,FALSE)),"")</f>
        <v>-6493239939.6919899</v>
      </c>
      <c r="U967">
        <f>IFERROR(IF(VLOOKUP($B967,Показатели!$E:$W,18,FALSE)=0,"",VLOOKUP($B967,Показатели!$E:$W,18,FALSE)),"")</f>
        <v>107720731736.15617</v>
      </c>
      <c r="V967">
        <f>IFERROR(IF(VLOOKUP($B967,Показатели!$E:$W,19,FALSE)=0,"",VLOOKUP($B967,Показатели!$E:$W,19,FALSE)),"")</f>
        <v>474555310404.37469</v>
      </c>
    </row>
    <row r="968" spans="1:22" x14ac:dyDescent="0.2">
      <c r="A968" s="7" t="s">
        <v>2297</v>
      </c>
      <c r="B968" t="str">
        <f t="shared" si="15"/>
        <v>FLOT IV кв. 2019</v>
      </c>
      <c r="C968">
        <v>2019</v>
      </c>
      <c r="D968">
        <f>SUMIFS(Дивиденды!$C:$C,Дивиденды!$A:$A,A968,Дивиденды!$I:$I,C968)</f>
        <v>0</v>
      </c>
      <c r="E968">
        <f>IFERROR(IF(VLOOKUP($B968,Показатели!$E:$W,2,FALSE)=0,"",VLOOKUP($B968,Показатели!$E:$W,2,FALSE)),"")</f>
        <v>24246830808.468735</v>
      </c>
      <c r="F968">
        <f>IFERROR(IF(VLOOKUP($B968,Показатели!$E:$W,3,FALSE)=0,"",VLOOKUP($B968,Показатели!$E:$W,3,FALSE)),"")</f>
        <v>45262053249.562469</v>
      </c>
      <c r="G968">
        <f>IFERROR(IF(VLOOKUP($B968,Показатели!$E:$W,4,FALSE)=0,"",VLOOKUP($B968,Показатели!$E:$W,4,FALSE)),"")</f>
        <v>396009424638.56226</v>
      </c>
      <c r="H968">
        <f>IFERROR(IF(VLOOKUP($B968,Показатели!$E:$W,5,FALSE)=0,"",VLOOKUP($B968,Показатели!$E:$W,5,FALSE)),"")</f>
        <v>381083451.28124976</v>
      </c>
      <c r="I968">
        <f>IFERROR(IF(VLOOKUP($B968,Показатели!$E:$W,6,FALSE)=0,"",VLOOKUP($B968,Показатели!$E:$W,6,FALSE)),"")</f>
        <v>474555310404.37469</v>
      </c>
      <c r="J968">
        <f>IFERROR(IF(VLOOKUP($B968,Показатели!$E:$W,7,FALSE)=0,"",VLOOKUP($B968,Показатели!$E:$W,7,FALSE)),"")</f>
        <v>43317563780.531219</v>
      </c>
      <c r="K968">
        <f>IFERROR(IF(VLOOKUP($B968,Показатели!$E:$W,8,FALSE)=0,"",VLOOKUP($B968,Показатели!$E:$W,8,FALSE)),"")</f>
        <v>204529577760.37485</v>
      </c>
      <c r="L968" t="str">
        <f>IFERROR(IF(VLOOKUP($B968,Показатели!$E:$W,9,FALSE)=0,"",VLOOKUP($B968,Показатели!$E:$W,9,FALSE)),"")</f>
        <v/>
      </c>
      <c r="M968">
        <f>IFERROR(IF(VLOOKUP($B968,Показатели!$E:$W,10,FALSE)=0,"",VLOOKUP($B968,Показатели!$E:$W,10,FALSE)),"")</f>
        <v>226708168863.4686</v>
      </c>
      <c r="N968">
        <f>IFERROR(IF(VLOOKUP($B968,Показатели!$E:$W,11,FALSE)=0,"",VLOOKUP($B968,Показатели!$E:$W,11,FALSE)),"")</f>
        <v>107720731736.15617</v>
      </c>
      <c r="O968">
        <f>IFERROR(IF(VLOOKUP($B968,Показатели!$E:$W,12,FALSE)=0,"",VLOOKUP($B968,Показатели!$E:$W,12,FALSE)),"")</f>
        <v>28227150746.906231</v>
      </c>
      <c r="P968">
        <f>IFERROR(IF(VLOOKUP($B968,Показатели!$E:$W,13,FALSE)=0,"",VLOOKUP($B968,Показатели!$E:$W,13,FALSE)),"")</f>
        <v>16455870424.499989</v>
      </c>
      <c r="Q968">
        <f>IFERROR(IF(VLOOKUP($B968,Показатели!$E:$W,14,FALSE)=0,"",VLOOKUP($B968,Показатели!$E:$W,14,FALSE)),"")</f>
        <v>14579498571.18749</v>
      </c>
      <c r="R968" t="str">
        <f>IFERROR(IF(VLOOKUP($B968,Показатели!$E:$W,15,FALSE)=0,"",VLOOKUP($B968,Показатели!$E:$W,15,FALSE)),"")</f>
        <v/>
      </c>
      <c r="S968">
        <f>IFERROR(IF(VLOOKUP($B968,Показатели!$E:$W,16,FALSE)=0,"",VLOOKUP($B968,Показатели!$E:$W,16,FALSE)),"")</f>
        <v>53239124156.249962</v>
      </c>
      <c r="T968">
        <f>IFERROR(IF(VLOOKUP($B968,Показатели!$E:$W,17,FALSE)=0,"",VLOOKUP($B968,Показатели!$E:$W,17,FALSE)),"")</f>
        <v>-4784146617.3749971</v>
      </c>
      <c r="U968">
        <f>IFERROR(IF(VLOOKUP($B968,Показатели!$E:$W,18,FALSE)=0,"",VLOOKUP($B968,Показатели!$E:$W,18,FALSE)),"")</f>
        <v>95557081345.949158</v>
      </c>
      <c r="V968">
        <f>IFERROR(IF(VLOOKUP($B968,Показатели!$E:$W,19,FALSE)=0,"",VLOOKUP($B968,Показатели!$E:$W,19,FALSE)),"")</f>
        <v>449026625455.38397</v>
      </c>
    </row>
    <row r="969" spans="1:22" x14ac:dyDescent="0.2">
      <c r="A969" s="7" t="s">
        <v>2297</v>
      </c>
      <c r="B969" t="str">
        <f t="shared" si="15"/>
        <v>FLOT IV кв. 2018</v>
      </c>
      <c r="C969">
        <v>2018</v>
      </c>
      <c r="D969">
        <f>SUMIFS(Дивиденды!$C:$C,Дивиденды!$A:$A,A969,Дивиденды!$I:$I,C969)</f>
        <v>0</v>
      </c>
      <c r="E969">
        <f>IFERROR(IF(VLOOKUP($B969,Показатели!$E:$W,2,FALSE)=0,"",VLOOKUP($B969,Показатели!$E:$W,2,FALSE)),"")</f>
        <v>18636477889.954483</v>
      </c>
      <c r="F969">
        <f>IFERROR(IF(VLOOKUP($B969,Показатели!$E:$W,3,FALSE)=0,"",VLOOKUP($B969,Показатели!$E:$W,3,FALSE)),"")</f>
        <v>33988925125.225906</v>
      </c>
      <c r="G969">
        <f>IFERROR(IF(VLOOKUP($B969,Показатели!$E:$W,4,FALSE)=0,"",VLOOKUP($B969,Показатели!$E:$W,4,FALSE)),"")</f>
        <v>387629724681.1604</v>
      </c>
      <c r="H969">
        <f>IFERROR(IF(VLOOKUP($B969,Показатели!$E:$W,5,FALSE)=0,"",VLOOKUP($B969,Показатели!$E:$W,5,FALSE)),"")</f>
        <v>425749590.19667768</v>
      </c>
      <c r="I969">
        <f>IFERROR(IF(VLOOKUP($B969,Показатели!$E:$W,6,FALSE)=0,"",VLOOKUP($B969,Показатели!$E:$W,6,FALSE)),"")</f>
        <v>449026625455.38397</v>
      </c>
      <c r="J969">
        <f>IFERROR(IF(VLOOKUP($B969,Показатели!$E:$W,7,FALSE)=0,"",VLOOKUP($B969,Показатели!$E:$W,7,FALSE)),"")</f>
        <v>36856070733.749161</v>
      </c>
      <c r="K969">
        <f>IFERROR(IF(VLOOKUP($B969,Показатели!$E:$W,8,FALSE)=0,"",VLOOKUP($B969,Показатели!$E:$W,8,FALSE)),"")</f>
        <v>201555086708.78003</v>
      </c>
      <c r="L969" t="str">
        <f>IFERROR(IF(VLOOKUP($B969,Показатели!$E:$W,9,FALSE)=0,"",VLOOKUP($B969,Показатели!$E:$W,9,FALSE)),"")</f>
        <v/>
      </c>
      <c r="M969">
        <f>IFERROR(IF(VLOOKUP($B969,Показатели!$E:$W,10,FALSE)=0,"",VLOOKUP($B969,Показатели!$E:$W,10,FALSE)),"")</f>
        <v>210615468012.85477</v>
      </c>
      <c r="N969">
        <f>IFERROR(IF(VLOOKUP($B969,Показатели!$E:$W,11,FALSE)=0,"",VLOOKUP($B969,Показатели!$E:$W,11,FALSE)),"")</f>
        <v>95557081345.949158</v>
      </c>
      <c r="O969">
        <f>IFERROR(IF(VLOOKUP($B969,Показатели!$E:$W,12,FALSE)=0,"",VLOOKUP($B969,Показатели!$E:$W,12,FALSE)),"")</f>
        <v>11774189161.492025</v>
      </c>
      <c r="P969">
        <f>IFERROR(IF(VLOOKUP($B969,Показатели!$E:$W,13,FALSE)=0,"",VLOOKUP($B969,Показатели!$E:$W,13,FALSE)),"")</f>
        <v>-1392424973.9627905</v>
      </c>
      <c r="Q969">
        <f>IFERROR(IF(VLOOKUP($B969,Показатели!$E:$W,14,FALSE)=0,"",VLOOKUP($B969,Показатели!$E:$W,14,FALSE)),"")</f>
        <v>-2864065022.2976737</v>
      </c>
      <c r="R969" t="str">
        <f>IFERROR(IF(VLOOKUP($B969,Показатели!$E:$W,15,FALSE)=0,"",VLOOKUP($B969,Показатели!$E:$W,15,FALSE)),"")</f>
        <v/>
      </c>
      <c r="S969" t="str">
        <f>IFERROR(IF(VLOOKUP($B969,Показатели!$E:$W,16,FALSE)=0,"",VLOOKUP($B969,Показатели!$E:$W,16,FALSE)),"")</f>
        <v/>
      </c>
      <c r="T969">
        <f>IFERROR(IF(VLOOKUP($B969,Показатели!$E:$W,17,FALSE)=0,"",VLOOKUP($B969,Показатели!$E:$W,17,FALSE)),"")</f>
        <v>-2566128325.9093018</v>
      </c>
      <c r="U969">
        <f>IFERROR(IF(VLOOKUP($B969,Показатели!$E:$W,18,FALSE)=0,"",VLOOKUP($B969,Показатели!$E:$W,18,FALSE)),"")</f>
        <v>83700224177.108871</v>
      </c>
      <c r="V969">
        <f>IFERROR(IF(VLOOKUP($B969,Показатели!$E:$W,19,FALSE)=0,"",VLOOKUP($B969,Показатели!$E:$W,19,FALSE)),"")</f>
        <v>428418329000.25854</v>
      </c>
    </row>
    <row r="970" spans="1:22" x14ac:dyDescent="0.2">
      <c r="A970" s="7" t="s">
        <v>2297</v>
      </c>
      <c r="B970" t="str">
        <f t="shared" si="15"/>
        <v>FLOT IV кв. 2017</v>
      </c>
      <c r="C970">
        <v>2017</v>
      </c>
      <c r="D970">
        <f>SUMIFS(Дивиденды!$C:$C,Дивиденды!$A:$A,A970,Дивиденды!$I:$I,C970)</f>
        <v>0</v>
      </c>
      <c r="E970">
        <f>IFERROR(IF(VLOOKUP($B970,Показатели!$E:$W,2,FALSE)=0,"",VLOOKUP($B970,Показатели!$E:$W,2,FALSE)),"")</f>
        <v>20255085130.518803</v>
      </c>
      <c r="F970">
        <f>IFERROR(IF(VLOOKUP($B970,Показатели!$E:$W,3,FALSE)=0,"",VLOOKUP($B970,Показатели!$E:$W,3,FALSE)),"")</f>
        <v>38761367884.58876</v>
      </c>
      <c r="G970">
        <f>IFERROR(IF(VLOOKUP($B970,Показатели!$E:$W,4,FALSE)=0,"",VLOOKUP($B970,Показатели!$E:$W,4,FALSE)),"")</f>
        <v>366866200008.57544</v>
      </c>
      <c r="H970">
        <f>IFERROR(IF(VLOOKUP($B970,Показатели!$E:$W,5,FALSE)=0,"",VLOOKUP($B970,Показатели!$E:$W,5,FALSE)),"")</f>
        <v>504930969.57887769</v>
      </c>
      <c r="I970">
        <f>IFERROR(IF(VLOOKUP($B970,Показатели!$E:$W,6,FALSE)=0,"",VLOOKUP($B970,Показатели!$E:$W,6,FALSE)),"")</f>
        <v>428418329000.25854</v>
      </c>
      <c r="J970">
        <f>IFERROR(IF(VLOOKUP($B970,Показатели!$E:$W,7,FALSE)=0,"",VLOOKUP($B970,Показатели!$E:$W,7,FALSE)),"")</f>
        <v>42283289096.005264</v>
      </c>
      <c r="K970">
        <f>IFERROR(IF(VLOOKUP($B970,Показатели!$E:$W,8,FALSE)=0,"",VLOOKUP($B970,Показатели!$E:$W,8,FALSE)),"")</f>
        <v>187345250809.00851</v>
      </c>
      <c r="L970" t="str">
        <f>IFERROR(IF(VLOOKUP($B970,Показатели!$E:$W,9,FALSE)=0,"",VLOOKUP($B970,Показатели!$E:$W,9,FALSE)),"")</f>
        <v/>
      </c>
      <c r="M970">
        <f>IFERROR(IF(VLOOKUP($B970,Показатели!$E:$W,10,FALSE)=0,"",VLOOKUP($B970,Показатели!$E:$W,10,FALSE)),"")</f>
        <v>198789789095.24481</v>
      </c>
      <c r="N970">
        <f>IFERROR(IF(VLOOKUP($B970,Показатели!$E:$W,11,FALSE)=0,"",VLOOKUP($B970,Показатели!$E:$W,11,FALSE)),"")</f>
        <v>83700224177.108871</v>
      </c>
      <c r="O970">
        <f>IFERROR(IF(VLOOKUP($B970,Показатели!$E:$W,12,FALSE)=0,"",VLOOKUP($B970,Показатели!$E:$W,12,FALSE)),"")</f>
        <v>9595321181.803297</v>
      </c>
      <c r="P970">
        <f>IFERROR(IF(VLOOKUP($B970,Показатели!$E:$W,13,FALSE)=0,"",VLOOKUP($B970,Показатели!$E:$W,13,FALSE)),"")</f>
        <v>-5691159237.5551128</v>
      </c>
      <c r="Q970">
        <f>IFERROR(IF(VLOOKUP($B970,Показатели!$E:$W,14,FALSE)=0,"",VLOOKUP($B970,Показатели!$E:$W,14,FALSE)),"")</f>
        <v>-6587544370.2917461</v>
      </c>
      <c r="R970" t="str">
        <f>IFERROR(IF(VLOOKUP($B970,Показатели!$E:$W,15,FALSE)=0,"",VLOOKUP($B970,Показатели!$E:$W,15,FALSE)),"")</f>
        <v/>
      </c>
      <c r="S970">
        <f>IFERROR(IF(VLOOKUP($B970,Показатели!$E:$W,16,FALSE)=0,"",VLOOKUP($B970,Показатели!$E:$W,16,FALSE)),"")</f>
        <v>31774672054.91748</v>
      </c>
      <c r="T970">
        <f>IFERROR(IF(VLOOKUP($B970,Показатели!$E:$W,17,FALSE)=0,"",VLOOKUP($B970,Показатели!$E:$W,17,FALSE)),"")</f>
        <v>-3573644709.5128698</v>
      </c>
      <c r="U970">
        <f>IFERROR(IF(VLOOKUP($B970,Показатели!$E:$W,18,FALSE)=0,"",VLOOKUP($B970,Показатели!$E:$W,18,FALSE)),"")</f>
        <v>93079983237.06694</v>
      </c>
      <c r="V970">
        <f>IFERROR(IF(VLOOKUP($B970,Показатели!$E:$W,19,FALSE)=0,"",VLOOKUP($B970,Показатели!$E:$W,19,FALSE)),"")</f>
        <v>479924697656.30066</v>
      </c>
    </row>
    <row r="971" spans="1:22" x14ac:dyDescent="0.2">
      <c r="A971" s="7" t="s">
        <v>2297</v>
      </c>
      <c r="B971" t="str">
        <f t="shared" si="15"/>
        <v>FLOT IV кв. 2016</v>
      </c>
      <c r="C971">
        <v>2016</v>
      </c>
      <c r="D971">
        <f>SUMIFS(Дивиденды!$C:$C,Дивиденды!$A:$A,A971,Дивиденды!$I:$I,C971)</f>
        <v>0</v>
      </c>
      <c r="E971">
        <f>IFERROR(IF(VLOOKUP($B971,Показатели!$E:$W,2,FALSE)=0,"",VLOOKUP($B971,Показатели!$E:$W,2,FALSE)),"")</f>
        <v>31558335188.874443</v>
      </c>
      <c r="F971">
        <f>IFERROR(IF(VLOOKUP($B971,Показатели!$E:$W,3,FALSE)=0,"",VLOOKUP($B971,Показатели!$E:$W,3,FALSE)),"")</f>
        <v>52750265741.501022</v>
      </c>
      <c r="G971">
        <f>IFERROR(IF(VLOOKUP($B971,Показатели!$E:$W,4,FALSE)=0,"",VLOOKUP($B971,Показатели!$E:$W,4,FALSE)),"")</f>
        <v>414390985411.51562</v>
      </c>
      <c r="H971" t="str">
        <f>IFERROR(IF(VLOOKUP($B971,Показатели!$E:$W,5,FALSE)=0,"",VLOOKUP($B971,Показатели!$E:$W,5,FALSE)),"")</f>
        <v/>
      </c>
      <c r="I971">
        <f>IFERROR(IF(VLOOKUP($B971,Показатели!$E:$W,6,FALSE)=0,"",VLOOKUP($B971,Показатели!$E:$W,6,FALSE)),"")</f>
        <v>479924697656.30066</v>
      </c>
      <c r="J971">
        <f>IFERROR(IF(VLOOKUP($B971,Показатели!$E:$W,7,FALSE)=0,"",VLOOKUP($B971,Показатели!$E:$W,7,FALSE)),"")</f>
        <v>56934860835.388252</v>
      </c>
      <c r="K971">
        <f>IFERROR(IF(VLOOKUP($B971,Показатели!$E:$W,8,FALSE)=0,"",VLOOKUP($B971,Показатели!$E:$W,8,FALSE)),"")</f>
        <v>181304693558.73816</v>
      </c>
      <c r="L971" t="str">
        <f>IFERROR(IF(VLOOKUP($B971,Показатели!$E:$W,9,FALSE)=0,"",VLOOKUP($B971,Показатели!$E:$W,9,FALSE)),"")</f>
        <v/>
      </c>
      <c r="M971">
        <f>IFERROR(IF(VLOOKUP($B971,Показатели!$E:$W,10,FALSE)=0,"",VLOOKUP($B971,Показатели!$E:$W,10,FALSE)),"")</f>
        <v>241685143262.17426</v>
      </c>
      <c r="N971">
        <f>IFERROR(IF(VLOOKUP($B971,Показатели!$E:$W,11,FALSE)=0,"",VLOOKUP($B971,Показатели!$E:$W,11,FALSE)),"")</f>
        <v>93079983237.06694</v>
      </c>
      <c r="O971">
        <f>IFERROR(IF(VLOOKUP($B971,Показатели!$E:$W,12,FALSE)=0,"",VLOOKUP($B971,Показатели!$E:$W,12,FALSE)),"")</f>
        <v>23321510329.999981</v>
      </c>
      <c r="P971">
        <f>IFERROR(IF(VLOOKUP($B971,Показатели!$E:$W,13,FALSE)=0,"",VLOOKUP($B971,Показатели!$E:$W,13,FALSE)),"")</f>
        <v>15655653442.545731</v>
      </c>
      <c r="Q971">
        <f>IFERROR(IF(VLOOKUP($B971,Показатели!$E:$W,14,FALSE)=0,"",VLOOKUP($B971,Показатели!$E:$W,14,FALSE)),"")</f>
        <v>13866374599.401052</v>
      </c>
      <c r="R971" t="str">
        <f>IFERROR(IF(VLOOKUP($B971,Показатели!$E:$W,15,FALSE)=0,"",VLOOKUP($B971,Показатели!$E:$W,15,FALSE)),"")</f>
        <v/>
      </c>
      <c r="S971">
        <f>IFERROR(IF(VLOOKUP($B971,Показатели!$E:$W,16,FALSE)=0,"",VLOOKUP($B971,Показатели!$E:$W,16,FALSE)),"")</f>
        <v>47373913306.914856</v>
      </c>
      <c r="T971" t="str">
        <f>IFERROR(IF(VLOOKUP($B971,Показатели!$E:$W,17,FALSE)=0,"",VLOOKUP($B971,Показатели!$E:$W,17,FALSE)),"")</f>
        <v/>
      </c>
      <c r="U971">
        <f>IFERROR(IF(VLOOKUP($B971,Показатели!$E:$W,18,FALSE)=0,"",VLOOKUP($B971,Показатели!$E:$W,18,FALSE)),"")</f>
        <v>75955473644.166245</v>
      </c>
      <c r="V971">
        <f>IFERROR(IF(VLOOKUP($B971,Показатели!$E:$W,19,FALSE)=0,"",VLOOKUP($B971,Показатели!$E:$W,19,FALSE)),"")</f>
        <v>410468785267.74548</v>
      </c>
    </row>
    <row r="972" spans="1:22" x14ac:dyDescent="0.2">
      <c r="A972" s="7" t="s">
        <v>2297</v>
      </c>
      <c r="B972" t="str">
        <f t="shared" si="15"/>
        <v>FLOT IV кв. 2015</v>
      </c>
      <c r="C972">
        <v>2015</v>
      </c>
      <c r="D972">
        <f>SUMIFS(Дивиденды!$C:$C,Дивиденды!$A:$A,A972,Дивиденды!$I:$I,C972)</f>
        <v>0</v>
      </c>
      <c r="E972">
        <f>IFERROR(IF(VLOOKUP($B972,Показатели!$E:$W,2,FALSE)=0,"",VLOOKUP($B972,Показатели!$E:$W,2,FALSE)),"")</f>
        <v>21892463166.436363</v>
      </c>
      <c r="F972">
        <f>IFERROR(IF(VLOOKUP($B972,Показатели!$E:$W,3,FALSE)=0,"",VLOOKUP($B972,Показатели!$E:$W,3,FALSE)),"")</f>
        <v>37473647953.979225</v>
      </c>
      <c r="G972">
        <f>IFERROR(IF(VLOOKUP($B972,Показатели!$E:$W,4,FALSE)=0,"",VLOOKUP($B972,Показатели!$E:$W,4,FALSE)),"")</f>
        <v>330049093257.63116</v>
      </c>
      <c r="H972" t="str">
        <f>IFERROR(IF(VLOOKUP($B972,Показатели!$E:$W,5,FALSE)=0,"",VLOOKUP($B972,Показатели!$E:$W,5,FALSE)),"")</f>
        <v/>
      </c>
      <c r="I972">
        <f>IFERROR(IF(VLOOKUP($B972,Показатели!$E:$W,6,FALSE)=0,"",VLOOKUP($B972,Показатели!$E:$W,6,FALSE)),"")</f>
        <v>410468785267.74548</v>
      </c>
      <c r="J972">
        <f>IFERROR(IF(VLOOKUP($B972,Показатели!$E:$W,7,FALSE)=0,"",VLOOKUP($B972,Показатели!$E:$W,7,FALSE)),"")</f>
        <v>32027283172.472729</v>
      </c>
      <c r="K972">
        <f>IFERROR(IF(VLOOKUP($B972,Показатели!$E:$W,8,FALSE)=0,"",VLOOKUP($B972,Показатели!$E:$W,8,FALSE)),"")</f>
        <v>165230837188.69092</v>
      </c>
      <c r="L972" t="str">
        <f>IFERROR(IF(VLOOKUP($B972,Показатели!$E:$W,9,FALSE)=0,"",VLOOKUP($B972,Показатели!$E:$W,9,FALSE)),"")</f>
        <v/>
      </c>
      <c r="M972">
        <f>IFERROR(IF(VLOOKUP($B972,Показатели!$E:$W,10,FALSE)=0,"",VLOOKUP($B972,Показатели!$E:$W,10,FALSE)),"")</f>
        <v>213210664906.58182</v>
      </c>
      <c r="N972">
        <f>IFERROR(IF(VLOOKUP($B972,Показатели!$E:$W,11,FALSE)=0,"",VLOOKUP($B972,Показатели!$E:$W,11,FALSE)),"")</f>
        <v>75955473644.166245</v>
      </c>
      <c r="O972">
        <f>IFERROR(IF(VLOOKUP($B972,Показатели!$E:$W,12,FALSE)=0,"",VLOOKUP($B972,Показатели!$E:$W,12,FALSE)),"")</f>
        <v>28095328751.096104</v>
      </c>
      <c r="P972">
        <f>IFERROR(IF(VLOOKUP($B972,Показатели!$E:$W,13,FALSE)=0,"",VLOOKUP($B972,Показатели!$E:$W,13,FALSE)),"")</f>
        <v>22771341801.724678</v>
      </c>
      <c r="Q972">
        <f>IFERROR(IF(VLOOKUP($B972,Показатели!$E:$W,14,FALSE)=0,"",VLOOKUP($B972,Показатели!$E:$W,14,FALSE)),"")</f>
        <v>21711468925.215584</v>
      </c>
      <c r="R972" t="str">
        <f>IFERROR(IF(VLOOKUP($B972,Показатели!$E:$W,15,FALSE)=0,"",VLOOKUP($B972,Показатели!$E:$W,15,FALSE)),"")</f>
        <v/>
      </c>
      <c r="S972">
        <f>IFERROR(IF(VLOOKUP($B972,Показатели!$E:$W,16,FALSE)=0,"",VLOOKUP($B972,Показатели!$E:$W,16,FALSE)),"")</f>
        <v>47781254678.961044</v>
      </c>
      <c r="T972" t="str">
        <f>IFERROR(IF(VLOOKUP($B972,Показатели!$E:$W,17,FALSE)=0,"",VLOOKUP($B972,Показатели!$E:$W,17,FALSE)),"")</f>
        <v/>
      </c>
      <c r="U972">
        <f>IFERROR(IF(VLOOKUP($B972,Показатели!$E:$W,18,FALSE)=0,"",VLOOKUP($B972,Показатели!$E:$W,18,FALSE)),"")</f>
        <v>53776405144.530029</v>
      </c>
      <c r="V972">
        <f>IFERROR(IF(VLOOKUP($B972,Показатели!$E:$W,19,FALSE)=0,"",VLOOKUP($B972,Показатели!$E:$W,19,FALSE)),"")</f>
        <v>249574373472.15356</v>
      </c>
    </row>
    <row r="973" spans="1:22" x14ac:dyDescent="0.2">
      <c r="A973" s="7" t="s">
        <v>2297</v>
      </c>
      <c r="B973" t="str">
        <f t="shared" si="15"/>
        <v>FLOT IV кв. 2014</v>
      </c>
      <c r="C973">
        <v>2014</v>
      </c>
      <c r="D973">
        <f>SUMIFS(Дивиденды!$C:$C,Дивиденды!$A:$A,A973,Дивиденды!$I:$I,C973)</f>
        <v>0</v>
      </c>
      <c r="E973">
        <f>IFERROR(IF(VLOOKUP($B973,Показатели!$E:$W,2,FALSE)=0,"",VLOOKUP($B973,Показатели!$E:$W,2,FALSE)),"")</f>
        <v>11028270612.15361</v>
      </c>
      <c r="F973">
        <f>IFERROR(IF(VLOOKUP($B973,Показатели!$E:$W,3,FALSE)=0,"",VLOOKUP($B973,Показатели!$E:$W,3,FALSE)),"")</f>
        <v>23030114144.513683</v>
      </c>
      <c r="G973">
        <f>IFERROR(IF(VLOOKUP($B973,Показатели!$E:$W,4,FALSE)=0,"",VLOOKUP($B973,Показатели!$E:$W,4,FALSE)),"")</f>
        <v>204621367799.90756</v>
      </c>
      <c r="H973" t="str">
        <f>IFERROR(IF(VLOOKUP($B973,Показатели!$E:$W,5,FALSE)=0,"",VLOOKUP($B973,Показатели!$E:$W,5,FALSE)),"")</f>
        <v/>
      </c>
      <c r="I973">
        <f>IFERROR(IF(VLOOKUP($B973,Показатели!$E:$W,6,FALSE)=0,"",VLOOKUP($B973,Показатели!$E:$W,6,FALSE)),"")</f>
        <v>249574373472.15356</v>
      </c>
      <c r="J973">
        <f>IFERROR(IF(VLOOKUP($B973,Показатели!$E:$W,7,FALSE)=0,"",VLOOKUP($B973,Показатели!$E:$W,7,FALSE)),"")</f>
        <v>24066519477.176041</v>
      </c>
      <c r="K973">
        <f>IFERROR(IF(VLOOKUP($B973,Показатели!$E:$W,8,FALSE)=0,"",VLOOKUP($B973,Показатели!$E:$W,8,FALSE)),"")</f>
        <v>103119113394.33154</v>
      </c>
      <c r="L973" t="str">
        <f>IFERROR(IF(VLOOKUP($B973,Показатели!$E:$W,9,FALSE)=0,"",VLOOKUP($B973,Показатели!$E:$W,9,FALSE)),"")</f>
        <v/>
      </c>
      <c r="M973">
        <f>IFERROR(IF(VLOOKUP($B973,Показатели!$E:$W,10,FALSE)=0,"",VLOOKUP($B973,Показатели!$E:$W,10,FALSE)),"")</f>
        <v>122388740600.646</v>
      </c>
      <c r="N973">
        <f>IFERROR(IF(VLOOKUP($B973,Показатели!$E:$W,11,FALSE)=0,"",VLOOKUP($B973,Показатели!$E:$W,11,FALSE)),"")</f>
        <v>53776405144.530029</v>
      </c>
      <c r="O973">
        <f>IFERROR(IF(VLOOKUP($B973,Показатели!$E:$W,12,FALSE)=0,"",VLOOKUP($B973,Показатели!$E:$W,12,FALSE)),"")</f>
        <v>9621150169.8501892</v>
      </c>
      <c r="P973">
        <f>IFERROR(IF(VLOOKUP($B973,Показатели!$E:$W,13,FALSE)=0,"",VLOOKUP($B973,Показатели!$E:$W,13,FALSE)),"")</f>
        <v>3526483684.6543722</v>
      </c>
      <c r="Q973">
        <f>IFERROR(IF(VLOOKUP($B973,Показатели!$E:$W,14,FALSE)=0,"",VLOOKUP($B973,Показатели!$E:$W,14,FALSE)),"")</f>
        <v>3251858365.5612164</v>
      </c>
      <c r="R973" t="str">
        <f>IFERROR(IF(VLOOKUP($B973,Показатели!$E:$W,15,FALSE)=0,"",VLOOKUP($B973,Показатели!$E:$W,15,FALSE)),"")</f>
        <v/>
      </c>
      <c r="S973">
        <f>IFERROR(IF(VLOOKUP($B973,Показатели!$E:$W,16,FALSE)=0,"",VLOOKUP($B973,Показатели!$E:$W,16,FALSE)),"")</f>
        <v>20861446257.718628</v>
      </c>
      <c r="T973" t="str">
        <f>IFERROR(IF(VLOOKUP($B973,Показатели!$E:$W,17,FALSE)=0,"",VLOOKUP($B973,Показатели!$E:$W,17,FALSE)),"")</f>
        <v/>
      </c>
      <c r="U973">
        <f>IFERROR(IF(VLOOKUP($B973,Показатели!$E:$W,18,FALSE)=0,"",VLOOKUP($B973,Показатели!$E:$W,18,FALSE)),"")</f>
        <v>40238369024</v>
      </c>
      <c r="V973">
        <f>IFERROR(IF(VLOOKUP($B973,Показатели!$E:$W,19,FALSE)=0,"",VLOOKUP($B973,Показатели!$E:$W,19,FALSE)),"")</f>
        <v>204185563511.99997</v>
      </c>
    </row>
    <row r="974" spans="1:22" x14ac:dyDescent="0.2">
      <c r="A974" s="7" t="s">
        <v>2297</v>
      </c>
      <c r="B974" t="str">
        <f t="shared" si="15"/>
        <v>FLOT IV кв. 2013</v>
      </c>
      <c r="C974">
        <v>2013</v>
      </c>
      <c r="D974">
        <f>SUMIFS(Дивиденды!$C:$C,Дивиденды!$A:$A,A974,Дивиденды!$I:$I,C974)</f>
        <v>0</v>
      </c>
      <c r="E974">
        <f>IFERROR(IF(VLOOKUP($B974,Показатели!$E:$W,2,FALSE)=0,"",VLOOKUP($B974,Показатели!$E:$W,2,FALSE)),"")</f>
        <v>8970990560</v>
      </c>
      <c r="F974">
        <f>IFERROR(IF(VLOOKUP($B974,Показатели!$E:$W,3,FALSE)=0,"",VLOOKUP($B974,Показатели!$E:$W,3,FALSE)),"")</f>
        <v>18833376520</v>
      </c>
      <c r="G974">
        <f>IFERROR(IF(VLOOKUP($B974,Показатели!$E:$W,4,FALSE)=0,"",VLOOKUP($B974,Показатели!$E:$W,4,FALSE)),"")</f>
        <v>173722336816</v>
      </c>
      <c r="H974" t="str">
        <f>IFERROR(IF(VLOOKUP($B974,Показатели!$E:$W,5,FALSE)=0,"",VLOOKUP($B974,Показатели!$E:$W,5,FALSE)),"")</f>
        <v/>
      </c>
      <c r="I974">
        <f>IFERROR(IF(VLOOKUP($B974,Показатели!$E:$W,6,FALSE)=0,"",VLOOKUP($B974,Показатели!$E:$W,6,FALSE)),"")</f>
        <v>204185563511.99997</v>
      </c>
      <c r="J974">
        <f>IFERROR(IF(VLOOKUP($B974,Показатели!$E:$W,7,FALSE)=0,"",VLOOKUP($B974,Показатели!$E:$W,7,FALSE)),"")</f>
        <v>20667595816</v>
      </c>
      <c r="K974">
        <f>IFERROR(IF(VLOOKUP($B974,Показатели!$E:$W,8,FALSE)=0,"",VLOOKUP($B974,Показатели!$E:$W,8,FALSE)),"")</f>
        <v>84380396688</v>
      </c>
      <c r="L974" t="str">
        <f>IFERROR(IF(VLOOKUP($B974,Показатели!$E:$W,9,FALSE)=0,"",VLOOKUP($B974,Показатели!$E:$W,9,FALSE)),"")</f>
        <v/>
      </c>
      <c r="M974">
        <f>IFERROR(IF(VLOOKUP($B974,Показатели!$E:$W,10,FALSE)=0,"",VLOOKUP($B974,Показатели!$E:$W,10,FALSE)),"")</f>
        <v>99137571007.999985</v>
      </c>
      <c r="N974">
        <f>IFERROR(IF(VLOOKUP($B974,Показатели!$E:$W,11,FALSE)=0,"",VLOOKUP($B974,Показатели!$E:$W,11,FALSE)),"")</f>
        <v>40238369024</v>
      </c>
      <c r="O974">
        <f>IFERROR(IF(VLOOKUP($B974,Показатели!$E:$W,12,FALSE)=0,"",VLOOKUP($B974,Показатели!$E:$W,12,FALSE)),"")</f>
        <v>2601313232</v>
      </c>
      <c r="P974">
        <f>IFERROR(IF(VLOOKUP($B974,Показатели!$E:$W,13,FALSE)=0,"",VLOOKUP($B974,Показатели!$E:$W,13,FALSE)),"")</f>
        <v>-876674231.99999988</v>
      </c>
      <c r="Q974">
        <f>IFERROR(IF(VLOOKUP($B974,Показатели!$E:$W,14,FALSE)=0,"",VLOOKUP($B974,Показатели!$E:$W,14,FALSE)),"")</f>
        <v>-1249897264</v>
      </c>
      <c r="R974" t="str">
        <f>IFERROR(IF(VLOOKUP($B974,Показатели!$E:$W,15,FALSE)=0,"",VLOOKUP($B974,Показатели!$E:$W,15,FALSE)),"")</f>
        <v/>
      </c>
      <c r="S974" t="str">
        <f>IFERROR(IF(VLOOKUP($B974,Показатели!$E:$W,16,FALSE)=0,"",VLOOKUP($B974,Показатели!$E:$W,16,FALSE)),"")</f>
        <v/>
      </c>
      <c r="T974" t="str">
        <f>IFERROR(IF(VLOOKUP($B974,Показатели!$E:$W,17,FALSE)=0,"",VLOOKUP($B974,Показатели!$E:$W,17,FALSE)),"")</f>
        <v/>
      </c>
      <c r="U974" t="str">
        <f>IFERROR(IF(VLOOKUP($B974,Показатели!$E:$W,18,FALSE)=0,"",VLOOKUP($B974,Показатели!$E:$W,18,FALSE)),"")</f>
        <v/>
      </c>
      <c r="V974" t="str">
        <f>IFERROR(IF(VLOOKUP($B974,Показатели!$E:$W,19,FALSE)=0,"",VLOOKUP($B974,Показатели!$E:$W,19,FALSE)),"")</f>
        <v/>
      </c>
    </row>
    <row r="975" spans="1:22" x14ac:dyDescent="0.2">
      <c r="A975" s="7" t="s">
        <v>2297</v>
      </c>
      <c r="B975" t="str">
        <f t="shared" si="15"/>
        <v>FLOT IV кв. 2012</v>
      </c>
      <c r="C975">
        <v>2012</v>
      </c>
      <c r="D975">
        <f>SUMIFS(Дивиденды!$C:$C,Дивиденды!$A:$A,A975,Дивиденды!$I:$I,C975)</f>
        <v>0</v>
      </c>
      <c r="E975" t="str">
        <f>IFERROR(IF(VLOOKUP($B975,Показатели!$E:$W,2,FALSE)=0,"",VLOOKUP($B975,Показатели!$E:$W,2,FALSE)),"")</f>
        <v/>
      </c>
      <c r="F975" t="str">
        <f>IFERROR(IF(VLOOKUP($B975,Показатели!$E:$W,3,FALSE)=0,"",VLOOKUP($B975,Показатели!$E:$W,3,FALSE)),"")</f>
        <v/>
      </c>
      <c r="G975" t="str">
        <f>IFERROR(IF(VLOOKUP($B975,Показатели!$E:$W,4,FALSE)=0,"",VLOOKUP($B975,Показатели!$E:$W,4,FALSE)),"")</f>
        <v/>
      </c>
      <c r="H975" t="str">
        <f>IFERROR(IF(VLOOKUP($B975,Показатели!$E:$W,5,FALSE)=0,"",VLOOKUP($B975,Показатели!$E:$W,5,FALSE)),"")</f>
        <v/>
      </c>
      <c r="I975" t="str">
        <f>IFERROR(IF(VLOOKUP($B975,Показатели!$E:$W,6,FALSE)=0,"",VLOOKUP($B975,Показатели!$E:$W,6,FALSE)),"")</f>
        <v/>
      </c>
      <c r="J975" t="str">
        <f>IFERROR(IF(VLOOKUP($B975,Показатели!$E:$W,7,FALSE)=0,"",VLOOKUP($B975,Показатели!$E:$W,7,FALSE)),"")</f>
        <v/>
      </c>
      <c r="K975" t="str">
        <f>IFERROR(IF(VLOOKUP($B975,Показатели!$E:$W,8,FALSE)=0,"",VLOOKUP($B975,Показатели!$E:$W,8,FALSE)),"")</f>
        <v/>
      </c>
      <c r="L975" t="str">
        <f>IFERROR(IF(VLOOKUP($B975,Показатели!$E:$W,9,FALSE)=0,"",VLOOKUP($B975,Показатели!$E:$W,9,FALSE)),"")</f>
        <v/>
      </c>
      <c r="M975" t="str">
        <f>IFERROR(IF(VLOOKUP($B975,Показатели!$E:$W,10,FALSE)=0,"",VLOOKUP($B975,Показатели!$E:$W,10,FALSE)),"")</f>
        <v/>
      </c>
      <c r="N975" t="str">
        <f>IFERROR(IF(VLOOKUP($B975,Показатели!$E:$W,11,FALSE)=0,"",VLOOKUP($B975,Показатели!$E:$W,11,FALSE)),"")</f>
        <v/>
      </c>
      <c r="O975" t="str">
        <f>IFERROR(IF(VLOOKUP($B975,Показатели!$E:$W,12,FALSE)=0,"",VLOOKUP($B975,Показатели!$E:$W,12,FALSE)),"")</f>
        <v/>
      </c>
      <c r="P975" t="str">
        <f>IFERROR(IF(VLOOKUP($B975,Показатели!$E:$W,13,FALSE)=0,"",VLOOKUP($B975,Показатели!$E:$W,13,FALSE)),"")</f>
        <v/>
      </c>
      <c r="Q975" t="str">
        <f>IFERROR(IF(VLOOKUP($B975,Показатели!$E:$W,14,FALSE)=0,"",VLOOKUP($B975,Показатели!$E:$W,14,FALSE)),"")</f>
        <v/>
      </c>
      <c r="R975" t="str">
        <f>IFERROR(IF(VLOOKUP($B975,Показатели!$E:$W,15,FALSE)=0,"",VLOOKUP($B975,Показатели!$E:$W,15,FALSE)),"")</f>
        <v/>
      </c>
      <c r="S975" t="str">
        <f>IFERROR(IF(VLOOKUP($B975,Показатели!$E:$W,16,FALSE)=0,"",VLOOKUP($B975,Показатели!$E:$W,16,FALSE)),"")</f>
        <v/>
      </c>
      <c r="T975" t="str">
        <f>IFERROR(IF(VLOOKUP($B975,Показатели!$E:$W,17,FALSE)=0,"",VLOOKUP($B975,Показатели!$E:$W,17,FALSE)),"")</f>
        <v/>
      </c>
      <c r="U975" t="str">
        <f>IFERROR(IF(VLOOKUP($B975,Показатели!$E:$W,18,FALSE)=0,"",VLOOKUP($B975,Показатели!$E:$W,18,FALSE)),"")</f>
        <v/>
      </c>
      <c r="V975" t="str">
        <f>IFERROR(IF(VLOOKUP($B975,Показатели!$E:$W,19,FALSE)=0,"",VLOOKUP($B975,Показатели!$E:$W,19,FALSE)),"")</f>
        <v/>
      </c>
    </row>
    <row r="976" spans="1:22" x14ac:dyDescent="0.2">
      <c r="A976" s="7" t="s">
        <v>2297</v>
      </c>
      <c r="B976" t="str">
        <f t="shared" si="15"/>
        <v>FLOT IV кв. 2011</v>
      </c>
      <c r="C976">
        <v>2011</v>
      </c>
      <c r="D976">
        <f>SUMIFS(Дивиденды!$C:$C,Дивиденды!$A:$A,A976,Дивиденды!$I:$I,C976)</f>
        <v>0</v>
      </c>
      <c r="E976" t="str">
        <f>IFERROR(IF(VLOOKUP($B976,Показатели!$E:$W,2,FALSE)=0,"",VLOOKUP($B976,Показатели!$E:$W,2,FALSE)),"")</f>
        <v/>
      </c>
      <c r="F976" t="str">
        <f>IFERROR(IF(VLOOKUP($B976,Показатели!$E:$W,3,FALSE)=0,"",VLOOKUP($B976,Показатели!$E:$W,3,FALSE)),"")</f>
        <v/>
      </c>
      <c r="G976" t="str">
        <f>IFERROR(IF(VLOOKUP($B976,Показатели!$E:$W,4,FALSE)=0,"",VLOOKUP($B976,Показатели!$E:$W,4,FALSE)),"")</f>
        <v/>
      </c>
      <c r="H976" t="str">
        <f>IFERROR(IF(VLOOKUP($B976,Показатели!$E:$W,5,FALSE)=0,"",VLOOKUP($B976,Показатели!$E:$W,5,FALSE)),"")</f>
        <v/>
      </c>
      <c r="I976" t="str">
        <f>IFERROR(IF(VLOOKUP($B976,Показатели!$E:$W,6,FALSE)=0,"",VLOOKUP($B976,Показатели!$E:$W,6,FALSE)),"")</f>
        <v/>
      </c>
      <c r="J976" t="str">
        <f>IFERROR(IF(VLOOKUP($B976,Показатели!$E:$W,7,FALSE)=0,"",VLOOKUP($B976,Показатели!$E:$W,7,FALSE)),"")</f>
        <v/>
      </c>
      <c r="K976" t="str">
        <f>IFERROR(IF(VLOOKUP($B976,Показатели!$E:$W,8,FALSE)=0,"",VLOOKUP($B976,Показатели!$E:$W,8,FALSE)),"")</f>
        <v/>
      </c>
      <c r="L976" t="str">
        <f>IFERROR(IF(VLOOKUP($B976,Показатели!$E:$W,9,FALSE)=0,"",VLOOKUP($B976,Показатели!$E:$W,9,FALSE)),"")</f>
        <v/>
      </c>
      <c r="M976" t="str">
        <f>IFERROR(IF(VLOOKUP($B976,Показатели!$E:$W,10,FALSE)=0,"",VLOOKUP($B976,Показатели!$E:$W,10,FALSE)),"")</f>
        <v/>
      </c>
      <c r="N976" t="str">
        <f>IFERROR(IF(VLOOKUP($B976,Показатели!$E:$W,11,FALSE)=0,"",VLOOKUP($B976,Показатели!$E:$W,11,FALSE)),"")</f>
        <v/>
      </c>
      <c r="O976" t="str">
        <f>IFERROR(IF(VLOOKUP($B976,Показатели!$E:$W,12,FALSE)=0,"",VLOOKUP($B976,Показатели!$E:$W,12,FALSE)),"")</f>
        <v/>
      </c>
      <c r="P976" t="str">
        <f>IFERROR(IF(VLOOKUP($B976,Показатели!$E:$W,13,FALSE)=0,"",VLOOKUP($B976,Показатели!$E:$W,13,FALSE)),"")</f>
        <v/>
      </c>
      <c r="Q976" t="str">
        <f>IFERROR(IF(VLOOKUP($B976,Показатели!$E:$W,14,FALSE)=0,"",VLOOKUP($B976,Показатели!$E:$W,14,FALSE)),"")</f>
        <v/>
      </c>
      <c r="R976" t="str">
        <f>IFERROR(IF(VLOOKUP($B976,Показатели!$E:$W,15,FALSE)=0,"",VLOOKUP($B976,Показатели!$E:$W,15,FALSE)),"")</f>
        <v/>
      </c>
      <c r="S976" t="str">
        <f>IFERROR(IF(VLOOKUP($B976,Показатели!$E:$W,16,FALSE)=0,"",VLOOKUP($B976,Показатели!$E:$W,16,FALSE)),"")</f>
        <v/>
      </c>
      <c r="T976" t="str">
        <f>IFERROR(IF(VLOOKUP($B976,Показатели!$E:$W,17,FALSE)=0,"",VLOOKUP($B976,Показатели!$E:$W,17,FALSE)),"")</f>
        <v/>
      </c>
      <c r="U976" t="str">
        <f>IFERROR(IF(VLOOKUP($B976,Показатели!$E:$W,18,FALSE)=0,"",VLOOKUP($B976,Показатели!$E:$W,18,FALSE)),"")</f>
        <v/>
      </c>
      <c r="V976" t="str">
        <f>IFERROR(IF(VLOOKUP($B976,Показатели!$E:$W,19,FALSE)=0,"",VLOOKUP($B976,Показатели!$E:$W,19,FALSE)),"")</f>
        <v/>
      </c>
    </row>
    <row r="977" spans="1:22" x14ac:dyDescent="0.2">
      <c r="A977" s="7" t="s">
        <v>2297</v>
      </c>
      <c r="B977" t="str">
        <f t="shared" si="15"/>
        <v>FLOT IV кв. 2010</v>
      </c>
      <c r="C977">
        <v>2010</v>
      </c>
      <c r="D977">
        <f>SUMIFS(Дивиденды!$C:$C,Дивиденды!$A:$A,A977,Дивиденды!$I:$I,C977)</f>
        <v>0</v>
      </c>
      <c r="E977" t="str">
        <f>IFERROR(IF(VLOOKUP($B977,Показатели!$E:$W,2,FALSE)=0,"",VLOOKUP($B977,Показатели!$E:$W,2,FALSE)),"")</f>
        <v/>
      </c>
      <c r="F977" t="str">
        <f>IFERROR(IF(VLOOKUP($B977,Показатели!$E:$W,3,FALSE)=0,"",VLOOKUP($B977,Показатели!$E:$W,3,FALSE)),"")</f>
        <v/>
      </c>
      <c r="G977" t="str">
        <f>IFERROR(IF(VLOOKUP($B977,Показатели!$E:$W,4,FALSE)=0,"",VLOOKUP($B977,Показатели!$E:$W,4,FALSE)),"")</f>
        <v/>
      </c>
      <c r="H977" t="str">
        <f>IFERROR(IF(VLOOKUP($B977,Показатели!$E:$W,5,FALSE)=0,"",VLOOKUP($B977,Показатели!$E:$W,5,FALSE)),"")</f>
        <v/>
      </c>
      <c r="I977" t="str">
        <f>IFERROR(IF(VLOOKUP($B977,Показатели!$E:$W,6,FALSE)=0,"",VLOOKUP($B977,Показатели!$E:$W,6,FALSE)),"")</f>
        <v/>
      </c>
      <c r="J977" t="str">
        <f>IFERROR(IF(VLOOKUP($B977,Показатели!$E:$W,7,FALSE)=0,"",VLOOKUP($B977,Показатели!$E:$W,7,FALSE)),"")</f>
        <v/>
      </c>
      <c r="K977" t="str">
        <f>IFERROR(IF(VLOOKUP($B977,Показатели!$E:$W,8,FALSE)=0,"",VLOOKUP($B977,Показатели!$E:$W,8,FALSE)),"")</f>
        <v/>
      </c>
      <c r="L977" t="str">
        <f>IFERROR(IF(VLOOKUP($B977,Показатели!$E:$W,9,FALSE)=0,"",VLOOKUP($B977,Показатели!$E:$W,9,FALSE)),"")</f>
        <v/>
      </c>
      <c r="M977" t="str">
        <f>IFERROR(IF(VLOOKUP($B977,Показатели!$E:$W,10,FALSE)=0,"",VLOOKUP($B977,Показатели!$E:$W,10,FALSE)),"")</f>
        <v/>
      </c>
      <c r="N977" t="str">
        <f>IFERROR(IF(VLOOKUP($B977,Показатели!$E:$W,11,FALSE)=0,"",VLOOKUP($B977,Показатели!$E:$W,11,FALSE)),"")</f>
        <v/>
      </c>
      <c r="O977" t="str">
        <f>IFERROR(IF(VLOOKUP($B977,Показатели!$E:$W,12,FALSE)=0,"",VLOOKUP($B977,Показатели!$E:$W,12,FALSE)),"")</f>
        <v/>
      </c>
      <c r="P977" t="str">
        <f>IFERROR(IF(VLOOKUP($B977,Показатели!$E:$W,13,FALSE)=0,"",VLOOKUP($B977,Показатели!$E:$W,13,FALSE)),"")</f>
        <v/>
      </c>
      <c r="Q977" t="str">
        <f>IFERROR(IF(VLOOKUP($B977,Показатели!$E:$W,14,FALSE)=0,"",VLOOKUP($B977,Показатели!$E:$W,14,FALSE)),"")</f>
        <v/>
      </c>
      <c r="R977" t="str">
        <f>IFERROR(IF(VLOOKUP($B977,Показатели!$E:$W,15,FALSE)=0,"",VLOOKUP($B977,Показатели!$E:$W,15,FALSE)),"")</f>
        <v/>
      </c>
      <c r="S977" t="str">
        <f>IFERROR(IF(VLOOKUP($B977,Показатели!$E:$W,16,FALSE)=0,"",VLOOKUP($B977,Показатели!$E:$W,16,FALSE)),"")</f>
        <v/>
      </c>
      <c r="T977" t="str">
        <f>IFERROR(IF(VLOOKUP($B977,Показатели!$E:$W,17,FALSE)=0,"",VLOOKUP($B977,Показатели!$E:$W,17,FALSE)),"")</f>
        <v/>
      </c>
      <c r="U977" t="str">
        <f>IFERROR(IF(VLOOKUP($B977,Показатели!$E:$W,18,FALSE)=0,"",VLOOKUP($B977,Показатели!$E:$W,18,FALSE)),"")</f>
        <v/>
      </c>
      <c r="V977" t="str">
        <f>IFERROR(IF(VLOOKUP($B977,Показатели!$E:$W,19,FALSE)=0,"",VLOOKUP($B977,Показатели!$E:$W,19,FALSE)),"")</f>
        <v/>
      </c>
    </row>
    <row r="978" spans="1:22" x14ac:dyDescent="0.2">
      <c r="A978" s="7" t="s">
        <v>2300</v>
      </c>
      <c r="B978" t="str">
        <f t="shared" si="15"/>
        <v>NKHP IV кв. 2025</v>
      </c>
      <c r="C978">
        <v>2025</v>
      </c>
      <c r="D978">
        <f>SUMIFS(Дивиденды!$C:$C,Дивиденды!$A:$A,A978,Дивиденды!$I:$I,C978)</f>
        <v>15.54</v>
      </c>
      <c r="E978" t="str">
        <f>IFERROR(IF(VLOOKUP($B978,Показатели!$E:$W,2,FALSE)=0,"",VLOOKUP($B978,Показатели!$E:$W,2,FALSE)),"")</f>
        <v/>
      </c>
      <c r="F978" t="str">
        <f>IFERROR(IF(VLOOKUP($B978,Показатели!$E:$W,3,FALSE)=0,"",VLOOKUP($B978,Показатели!$E:$W,3,FALSE)),"")</f>
        <v/>
      </c>
      <c r="G978" t="str">
        <f>IFERROR(IF(VLOOKUP($B978,Показатели!$E:$W,4,FALSE)=0,"",VLOOKUP($B978,Показатели!$E:$W,4,FALSE)),"")</f>
        <v/>
      </c>
      <c r="H978" t="str">
        <f>IFERROR(IF(VLOOKUP($B978,Показатели!$E:$W,5,FALSE)=0,"",VLOOKUP($B978,Показатели!$E:$W,5,FALSE)),"")</f>
        <v/>
      </c>
      <c r="I978" t="str">
        <f>IFERROR(IF(VLOOKUP($B978,Показатели!$E:$W,6,FALSE)=0,"",VLOOKUP($B978,Показатели!$E:$W,6,FALSE)),"")</f>
        <v/>
      </c>
      <c r="J978" t="str">
        <f>IFERROR(IF(VLOOKUP($B978,Показатели!$E:$W,7,FALSE)=0,"",VLOOKUP($B978,Показатели!$E:$W,7,FALSE)),"")</f>
        <v/>
      </c>
      <c r="K978" t="str">
        <f>IFERROR(IF(VLOOKUP($B978,Показатели!$E:$W,8,FALSE)=0,"",VLOOKUP($B978,Показатели!$E:$W,8,FALSE)),"")</f>
        <v/>
      </c>
      <c r="L978" t="str">
        <f>IFERROR(IF(VLOOKUP($B978,Показатели!$E:$W,9,FALSE)=0,"",VLOOKUP($B978,Показатели!$E:$W,9,FALSE)),"")</f>
        <v/>
      </c>
      <c r="M978" t="str">
        <f>IFERROR(IF(VLOOKUP($B978,Показатели!$E:$W,10,FALSE)=0,"",VLOOKUP($B978,Показатели!$E:$W,10,FALSE)),"")</f>
        <v/>
      </c>
      <c r="N978" t="str">
        <f>IFERROR(IF(VLOOKUP($B978,Показатели!$E:$W,11,FALSE)=0,"",VLOOKUP($B978,Показатели!$E:$W,11,FALSE)),"")</f>
        <v/>
      </c>
      <c r="O978" t="str">
        <f>IFERROR(IF(VLOOKUP($B978,Показатели!$E:$W,12,FALSE)=0,"",VLOOKUP($B978,Показатели!$E:$W,12,FALSE)),"")</f>
        <v/>
      </c>
      <c r="P978" t="str">
        <f>IFERROR(IF(VLOOKUP($B978,Показатели!$E:$W,13,FALSE)=0,"",VLOOKUP($B978,Показатели!$E:$W,13,FALSE)),"")</f>
        <v/>
      </c>
      <c r="Q978" t="str">
        <f>IFERROR(IF(VLOOKUP($B978,Показатели!$E:$W,14,FALSE)=0,"",VLOOKUP($B978,Показатели!$E:$W,14,FALSE)),"")</f>
        <v/>
      </c>
      <c r="R978" t="str">
        <f>IFERROR(IF(VLOOKUP($B978,Показатели!$E:$W,15,FALSE)=0,"",VLOOKUP($B978,Показатели!$E:$W,15,FALSE)),"")</f>
        <v/>
      </c>
      <c r="S978" t="str">
        <f>IFERROR(IF(VLOOKUP($B978,Показатели!$E:$W,16,FALSE)=0,"",VLOOKUP($B978,Показатели!$E:$W,16,FALSE)),"")</f>
        <v/>
      </c>
      <c r="T978" t="str">
        <f>IFERROR(IF(VLOOKUP($B978,Показатели!$E:$W,17,FALSE)=0,"",VLOOKUP($B978,Показатели!$E:$W,17,FALSE)),"")</f>
        <v/>
      </c>
      <c r="U978" t="str">
        <f>IFERROR(IF(VLOOKUP($B978,Показатели!$E:$W,18,FALSE)=0,"",VLOOKUP($B978,Показатели!$E:$W,18,FALSE)),"")</f>
        <v/>
      </c>
      <c r="V978" t="str">
        <f>IFERROR(IF(VLOOKUP($B978,Показатели!$E:$W,19,FALSE)=0,"",VLOOKUP($B978,Показатели!$E:$W,19,FALSE)),"")</f>
        <v/>
      </c>
    </row>
    <row r="979" spans="1:22" x14ac:dyDescent="0.2">
      <c r="A979" s="7" t="s">
        <v>2300</v>
      </c>
      <c r="B979" t="str">
        <f t="shared" si="15"/>
        <v>NKHP IV кв. 2024</v>
      </c>
      <c r="C979">
        <v>2024</v>
      </c>
      <c r="D979">
        <f>SUMIFS(Дивиденды!$C:$C,Дивиденды!$A:$A,A979,Дивиденды!$I:$I,C979)</f>
        <v>55.72</v>
      </c>
      <c r="E979">
        <f>IFERROR(IF(VLOOKUP($B979,Показатели!$E:$W,2,FALSE)=0,"",VLOOKUP($B979,Показатели!$E:$W,2,FALSE)),"")</f>
        <v>6322248000</v>
      </c>
      <c r="F979">
        <f>IFERROR(IF(VLOOKUP($B979,Показатели!$E:$W,3,FALSE)=0,"",VLOOKUP($B979,Показатели!$E:$W,3,FALSE)),"")</f>
        <v>6870312000</v>
      </c>
      <c r="G979">
        <f>IFERROR(IF(VLOOKUP($B979,Показатели!$E:$W,4,FALSE)=0,"",VLOOKUP($B979,Показатели!$E:$W,4,FALSE)),"")</f>
        <v>11143941000</v>
      </c>
      <c r="H979">
        <f>IFERROR(IF(VLOOKUP($B979,Показатели!$E:$W,5,FALSE)=0,"",VLOOKUP($B979,Показатели!$E:$W,5,FALSE)),"")</f>
        <v>15133000</v>
      </c>
      <c r="I979">
        <f>IFERROR(IF(VLOOKUP($B979,Показатели!$E:$W,6,FALSE)=0,"",VLOOKUP($B979,Показатели!$E:$W,6,FALSE)),"")</f>
        <v>18378104000</v>
      </c>
      <c r="J979">
        <f>IFERROR(IF(VLOOKUP($B979,Показатели!$E:$W,7,FALSE)=0,"",VLOOKUP($B979,Показатели!$E:$W,7,FALSE)),"")</f>
        <v>2023275000</v>
      </c>
      <c r="K979">
        <f>IFERROR(IF(VLOOKUP($B979,Показатели!$E:$W,8,FALSE)=0,"",VLOOKUP($B979,Показатели!$E:$W,8,FALSE)),"")</f>
        <v>478633000</v>
      </c>
      <c r="L979">
        <f>IFERROR(IF(VLOOKUP($B979,Показатели!$E:$W,9,FALSE)=0,"",VLOOKUP($B979,Показатели!$E:$W,9,FALSE)),"")</f>
        <v>15808611000</v>
      </c>
      <c r="M979">
        <f>IFERROR(IF(VLOOKUP($B979,Показатели!$E:$W,10,FALSE)=0,"",VLOOKUP($B979,Показатели!$E:$W,10,FALSE)),"")</f>
        <v>15876196000</v>
      </c>
      <c r="N979">
        <f>IFERROR(IF(VLOOKUP($B979,Показатели!$E:$W,11,FALSE)=0,"",VLOOKUP($B979,Показатели!$E:$W,11,FALSE)),"")</f>
        <v>11159907000</v>
      </c>
      <c r="O979">
        <f>IFERROR(IF(VLOOKUP($B979,Показатели!$E:$W,12,FALSE)=0,"",VLOOKUP($B979,Показатели!$E:$W,12,FALSE)),"")</f>
        <v>7240752000</v>
      </c>
      <c r="P979">
        <f>IFERROR(IF(VLOOKUP($B979,Показатели!$E:$W,13,FALSE)=0,"",VLOOKUP($B979,Показатели!$E:$W,13,FALSE)),"")</f>
        <v>8142132000</v>
      </c>
      <c r="Q979">
        <f>IFERROR(IF(VLOOKUP($B979,Показатели!$E:$W,14,FALSE)=0,"",VLOOKUP($B979,Показатели!$E:$W,14,FALSE)),"")</f>
        <v>6408602000</v>
      </c>
      <c r="R979">
        <f>IFERROR(IF(VLOOKUP($B979,Показатели!$E:$W,15,FALSE)=0,"",VLOOKUP($B979,Показатели!$E:$W,15,FALSE)),"")</f>
        <v>601340000</v>
      </c>
      <c r="S979">
        <f>IFERROR(IF(VLOOKUP($B979,Показатели!$E:$W,16,FALSE)=0,"",VLOOKUP($B979,Показатели!$E:$W,16,FALSE)),"")</f>
        <v>7837301000</v>
      </c>
      <c r="T979">
        <f>IFERROR(IF(VLOOKUP($B979,Показатели!$E:$W,17,FALSE)=0,"",VLOOKUP($B979,Показатели!$E:$W,17,FALSE)),"")</f>
        <v>-639642000</v>
      </c>
      <c r="U979">
        <f>IFERROR(IF(VLOOKUP($B979,Показатели!$E:$W,18,FALSE)=0,"",VLOOKUP($B979,Показатели!$E:$W,18,FALSE)),"")</f>
        <v>9243468000</v>
      </c>
      <c r="V979">
        <f>IFERROR(IF(VLOOKUP($B979,Показатели!$E:$W,19,FALSE)=0,"",VLOOKUP($B979,Показатели!$E:$W,19,FALSE)),"")</f>
        <v>16897603000</v>
      </c>
    </row>
    <row r="980" spans="1:22" x14ac:dyDescent="0.2">
      <c r="A980" s="7" t="s">
        <v>2300</v>
      </c>
      <c r="B980" t="str">
        <f t="shared" si="15"/>
        <v>NKHP IV кв. 2023</v>
      </c>
      <c r="C980">
        <v>2023</v>
      </c>
      <c r="D980">
        <f>SUMIFS(Дивиденды!$C:$C,Дивиденды!$A:$A,A980,Дивиденды!$I:$I,C980)</f>
        <v>36.68</v>
      </c>
      <c r="E980">
        <f>IFERROR(IF(VLOOKUP($B980,Показатели!$E:$W,2,FALSE)=0,"",VLOOKUP($B980,Показатели!$E:$W,2,FALSE)),"")</f>
        <v>4594061000</v>
      </c>
      <c r="F980">
        <f>IFERROR(IF(VLOOKUP($B980,Показатели!$E:$W,3,FALSE)=0,"",VLOOKUP($B980,Показатели!$E:$W,3,FALSE)),"")</f>
        <v>5407775000</v>
      </c>
      <c r="G980">
        <f>IFERROR(IF(VLOOKUP($B980,Показатели!$E:$W,4,FALSE)=0,"",VLOOKUP($B980,Показатели!$E:$W,4,FALSE)),"")</f>
        <v>11409289000</v>
      </c>
      <c r="H980">
        <f>IFERROR(IF(VLOOKUP($B980,Показатели!$E:$W,5,FALSE)=0,"",VLOOKUP($B980,Показатели!$E:$W,5,FALSE)),"")</f>
        <v>24607000</v>
      </c>
      <c r="I980">
        <f>IFERROR(IF(VLOOKUP($B980,Показатели!$E:$W,6,FALSE)=0,"",VLOOKUP($B980,Показатели!$E:$W,6,FALSE)),"")</f>
        <v>16897603000</v>
      </c>
      <c r="J980">
        <f>IFERROR(IF(VLOOKUP($B980,Показатели!$E:$W,7,FALSE)=0,"",VLOOKUP($B980,Показатели!$E:$W,7,FALSE)),"")</f>
        <v>2819357000</v>
      </c>
      <c r="K980">
        <f>IFERROR(IF(VLOOKUP($B980,Показатели!$E:$W,8,FALSE)=0,"",VLOOKUP($B980,Показатели!$E:$W,8,FALSE)),"")</f>
        <v>993993000</v>
      </c>
      <c r="L980">
        <f>IFERROR(IF(VLOOKUP($B980,Показатели!$E:$W,9,FALSE)=0,"",VLOOKUP($B980,Показатели!$E:$W,9,FALSE)),"")</f>
        <v>13016656000</v>
      </c>
      <c r="M980">
        <f>IFERROR(IF(VLOOKUP($B980,Показатели!$E:$W,10,FALSE)=0,"",VLOOKUP($B980,Показатели!$E:$W,10,FALSE)),"")</f>
        <v>13084253000</v>
      </c>
      <c r="N980">
        <f>IFERROR(IF(VLOOKUP($B980,Показатели!$E:$W,11,FALSE)=0,"",VLOOKUP($B980,Показатели!$E:$W,11,FALSE)),"")</f>
        <v>9243468000</v>
      </c>
      <c r="O980">
        <f>IFERROR(IF(VLOOKUP($B980,Показатели!$E:$W,12,FALSE)=0,"",VLOOKUP($B980,Показатели!$E:$W,12,FALSE)),"")</f>
        <v>5834250000</v>
      </c>
      <c r="P980">
        <f>IFERROR(IF(VLOOKUP($B980,Показатели!$E:$W,13,FALSE)=0,"",VLOOKUP($B980,Показатели!$E:$W,13,FALSE)),"")</f>
        <v>6142120000</v>
      </c>
      <c r="Q980">
        <f>IFERROR(IF(VLOOKUP($B980,Показатели!$E:$W,14,FALSE)=0,"",VLOOKUP($B980,Показатели!$E:$W,14,FALSE)),"")</f>
        <v>4887368000</v>
      </c>
      <c r="R980">
        <f>IFERROR(IF(VLOOKUP($B980,Показатели!$E:$W,15,FALSE)=0,"",VLOOKUP($B980,Показатели!$E:$W,15,FALSE)),"")</f>
        <v>328251000</v>
      </c>
      <c r="S980">
        <f>IFERROR(IF(VLOOKUP($B980,Показатели!$E:$W,16,FALSE)=0,"",VLOOKUP($B980,Показатели!$E:$W,16,FALSE)),"")</f>
        <v>6162501000</v>
      </c>
      <c r="T980">
        <f>IFERROR(IF(VLOOKUP($B980,Показатели!$E:$W,17,FALSE)=0,"",VLOOKUP($B980,Показатели!$E:$W,17,FALSE)),"")</f>
        <v>-1288241000</v>
      </c>
      <c r="U980">
        <f>IFERROR(IF(VLOOKUP($B980,Показатели!$E:$W,18,FALSE)=0,"",VLOOKUP($B980,Показатели!$E:$W,18,FALSE)),"")</f>
        <v>4962954000</v>
      </c>
      <c r="V980">
        <f>IFERROR(IF(VLOOKUP($B980,Показатели!$E:$W,19,FALSE)=0,"",VLOOKUP($B980,Показатели!$E:$W,19,FALSE)),"")</f>
        <v>12535195000</v>
      </c>
    </row>
    <row r="981" spans="1:22" x14ac:dyDescent="0.2">
      <c r="A981" s="7" t="s">
        <v>2300</v>
      </c>
      <c r="B981" t="str">
        <f t="shared" si="15"/>
        <v>NKHP IV кв. 2022</v>
      </c>
      <c r="C981">
        <v>2022</v>
      </c>
      <c r="D981">
        <f>SUMIFS(Дивиденды!$C:$C,Дивиденды!$A:$A,A981,Дивиденды!$I:$I,C981)</f>
        <v>14.62</v>
      </c>
      <c r="E981">
        <f>IFERROR(IF(VLOOKUP($B981,Показатели!$E:$W,2,FALSE)=0,"",VLOOKUP($B981,Показатели!$E:$W,2,FALSE)),"")</f>
        <v>1359013000</v>
      </c>
      <c r="F981">
        <f>IFERROR(IF(VLOOKUP($B981,Показатели!$E:$W,3,FALSE)=0,"",VLOOKUP($B981,Показатели!$E:$W,3,FALSE)),"")</f>
        <v>2012586000</v>
      </c>
      <c r="G981">
        <f>IFERROR(IF(VLOOKUP($B981,Показатели!$E:$W,4,FALSE)=0,"",VLOOKUP($B981,Показатели!$E:$W,4,FALSE)),"")</f>
        <v>10485495000</v>
      </c>
      <c r="H981">
        <f>IFERROR(IF(VLOOKUP($B981,Показатели!$E:$W,5,FALSE)=0,"",VLOOKUP($B981,Показатели!$E:$W,5,FALSE)),"")</f>
        <v>10656000</v>
      </c>
      <c r="I981">
        <f>IFERROR(IF(VLOOKUP($B981,Показатели!$E:$W,6,FALSE)=0,"",VLOOKUP($B981,Показатели!$E:$W,6,FALSE)),"")</f>
        <v>12535195000</v>
      </c>
      <c r="J981">
        <f>IFERROR(IF(VLOOKUP($B981,Показатели!$E:$W,7,FALSE)=0,"",VLOOKUP($B981,Показатели!$E:$W,7,FALSE)),"")</f>
        <v>963267000</v>
      </c>
      <c r="K981">
        <f>IFERROR(IF(VLOOKUP($B981,Показатели!$E:$W,8,FALSE)=0,"",VLOOKUP($B981,Показатели!$E:$W,8,FALSE)),"")</f>
        <v>391802000</v>
      </c>
      <c r="L981">
        <f>IFERROR(IF(VLOOKUP($B981,Показатели!$E:$W,9,FALSE)=0,"",VLOOKUP($B981,Показатели!$E:$W,9,FALSE)),"")</f>
        <v>11112529000</v>
      </c>
      <c r="M981">
        <f>IFERROR(IF(VLOOKUP($B981,Показатели!$E:$W,10,FALSE)=0,"",VLOOKUP($B981,Показатели!$E:$W,10,FALSE)),"")</f>
        <v>11180126000</v>
      </c>
      <c r="N981">
        <f>IFERROR(IF(VLOOKUP($B981,Показатели!$E:$W,11,FALSE)=0,"",VLOOKUP($B981,Показатели!$E:$W,11,FALSE)),"")</f>
        <v>4962954000</v>
      </c>
      <c r="O981">
        <f>IFERROR(IF(VLOOKUP($B981,Показатели!$E:$W,12,FALSE)=0,"",VLOOKUP($B981,Показатели!$E:$W,12,FALSE)),"")</f>
        <v>2453652000</v>
      </c>
      <c r="P981">
        <f>IFERROR(IF(VLOOKUP($B981,Показатели!$E:$W,13,FALSE)=0,"",VLOOKUP($B981,Показатели!$E:$W,13,FALSE)),"")</f>
        <v>2456920000</v>
      </c>
      <c r="Q981">
        <f>IFERROR(IF(VLOOKUP($B981,Показатели!$E:$W,14,FALSE)=0,"",VLOOKUP($B981,Показатели!$E:$W,14,FALSE)),"")</f>
        <v>1958112000</v>
      </c>
      <c r="R981">
        <f>IFERROR(IF(VLOOKUP($B981,Показатели!$E:$W,15,FALSE)=0,"",VLOOKUP($B981,Показатели!$E:$W,15,FALSE)),"")</f>
        <v>300127000</v>
      </c>
      <c r="S981">
        <f>IFERROR(IF(VLOOKUP($B981,Показатели!$E:$W,16,FALSE)=0,"",VLOOKUP($B981,Показатели!$E:$W,16,FALSE)),"")</f>
        <v>2753779000</v>
      </c>
      <c r="T981">
        <f>IFERROR(IF(VLOOKUP($B981,Показатели!$E:$W,17,FALSE)=0,"",VLOOKUP($B981,Показатели!$E:$W,17,FALSE)),"")</f>
        <v>-1131395000</v>
      </c>
      <c r="U981">
        <f>IFERROR(IF(VLOOKUP($B981,Показатели!$E:$W,18,FALSE)=0,"",VLOOKUP($B981,Показатели!$E:$W,18,FALSE)),"")</f>
        <v>6375915000</v>
      </c>
      <c r="V981">
        <f>IFERROR(IF(VLOOKUP($B981,Показатели!$E:$W,19,FALSE)=0,"",VLOOKUP($B981,Показатели!$E:$W,19,FALSE)),"")</f>
        <v>11346417000</v>
      </c>
    </row>
    <row r="982" spans="1:22" x14ac:dyDescent="0.2">
      <c r="A982" s="7" t="s">
        <v>2300</v>
      </c>
      <c r="B982" t="str">
        <f t="shared" si="15"/>
        <v>NKHP IV кв. 2021</v>
      </c>
      <c r="C982">
        <v>2021</v>
      </c>
      <c r="D982">
        <f>SUMIFS(Дивиденды!$C:$C,Дивиденды!$A:$A,A982,Дивиденды!$I:$I,C982)</f>
        <v>9.5</v>
      </c>
      <c r="E982">
        <f>IFERROR(IF(VLOOKUP($B982,Показатели!$E:$W,2,FALSE)=0,"",VLOOKUP($B982,Показатели!$E:$W,2,FALSE)),"")</f>
        <v>902392000</v>
      </c>
      <c r="F982">
        <f>IFERROR(IF(VLOOKUP($B982,Показатели!$E:$W,3,FALSE)=0,"",VLOOKUP($B982,Показатели!$E:$W,3,FALSE)),"")</f>
        <v>1455264000</v>
      </c>
      <c r="G982">
        <f>IFERROR(IF(VLOOKUP($B982,Показатели!$E:$W,4,FALSE)=0,"",VLOOKUP($B982,Показатели!$E:$W,4,FALSE)),"")</f>
        <v>9851191000</v>
      </c>
      <c r="H982" t="str">
        <f>IFERROR(IF(VLOOKUP($B982,Показатели!$E:$W,5,FALSE)=0,"",VLOOKUP($B982,Показатели!$E:$W,5,FALSE)),"")</f>
        <v/>
      </c>
      <c r="I982">
        <f>IFERROR(IF(VLOOKUP($B982,Показатели!$E:$W,6,FALSE)=0,"",VLOOKUP($B982,Показатели!$E:$W,6,FALSE)),"")</f>
        <v>11346417000</v>
      </c>
      <c r="J982">
        <f>IFERROR(IF(VLOOKUP($B982,Показатели!$E:$W,7,FALSE)=0,"",VLOOKUP($B982,Показатели!$E:$W,7,FALSE)),"")</f>
        <v>1403502000</v>
      </c>
      <c r="K982">
        <f>IFERROR(IF(VLOOKUP($B982,Показатели!$E:$W,8,FALSE)=0,"",VLOOKUP($B982,Показатели!$E:$W,8,FALSE)),"")</f>
        <v>730409000</v>
      </c>
      <c r="L982">
        <f>IFERROR(IF(VLOOKUP($B982,Показатели!$E:$W,9,FALSE)=0,"",VLOOKUP($B982,Показатели!$E:$W,9,FALSE)),"")</f>
        <v>9144909000</v>
      </c>
      <c r="M982">
        <f>IFERROR(IF(VLOOKUP($B982,Показатели!$E:$W,10,FALSE)=0,"",VLOOKUP($B982,Показатели!$E:$W,10,FALSE)),"")</f>
        <v>9212506000</v>
      </c>
      <c r="N982">
        <f>IFERROR(IF(VLOOKUP($B982,Показатели!$E:$W,11,FALSE)=0,"",VLOOKUP($B982,Показатели!$E:$W,11,FALSE)),"")</f>
        <v>6375915000</v>
      </c>
      <c r="O982">
        <f>IFERROR(IF(VLOOKUP($B982,Показатели!$E:$W,12,FALSE)=0,"",VLOOKUP($B982,Показатели!$E:$W,12,FALSE)),"")</f>
        <v>3018445000</v>
      </c>
      <c r="P982">
        <f>IFERROR(IF(VLOOKUP($B982,Показатели!$E:$W,13,FALSE)=0,"",VLOOKUP($B982,Показатели!$E:$W,13,FALSE)),"")</f>
        <v>2994662000</v>
      </c>
      <c r="Q982">
        <f>IFERROR(IF(VLOOKUP($B982,Показатели!$E:$W,14,FALSE)=0,"",VLOOKUP($B982,Показатели!$E:$W,14,FALSE)),"")</f>
        <v>2382714000</v>
      </c>
      <c r="R982">
        <f>IFERROR(IF(VLOOKUP($B982,Показатели!$E:$W,15,FALSE)=0,"",VLOOKUP($B982,Показатели!$E:$W,15,FALSE)),"")</f>
        <v>304882000</v>
      </c>
      <c r="S982">
        <f>IFERROR(IF(VLOOKUP($B982,Показатели!$E:$W,16,FALSE)=0,"",VLOOKUP($B982,Показатели!$E:$W,16,FALSE)),"")</f>
        <v>3323327000</v>
      </c>
      <c r="T982">
        <f>IFERROR(IF(VLOOKUP($B982,Показатели!$E:$W,17,FALSE)=0,"",VLOOKUP($B982,Показатели!$E:$W,17,FALSE)),"")</f>
        <v>-759659000</v>
      </c>
      <c r="U982">
        <f>IFERROR(IF(VLOOKUP($B982,Показатели!$E:$W,18,FALSE)=0,"",VLOOKUP($B982,Показатели!$E:$W,18,FALSE)),"")</f>
        <v>7651783000</v>
      </c>
      <c r="V982">
        <f>IFERROR(IF(VLOOKUP($B982,Показатели!$E:$W,19,FALSE)=0,"",VLOOKUP($B982,Показатели!$E:$W,19,FALSE)),"")</f>
        <v>12694049000</v>
      </c>
    </row>
    <row r="983" spans="1:22" x14ac:dyDescent="0.2">
      <c r="A983" s="7" t="s">
        <v>2300</v>
      </c>
      <c r="B983" t="str">
        <f t="shared" si="15"/>
        <v>NKHP IV кв. 2020</v>
      </c>
      <c r="C983">
        <v>2020</v>
      </c>
      <c r="D983">
        <f>SUMIFS(Дивиденды!$C:$C,Дивиденды!$A:$A,A983,Дивиденды!$I:$I,C983)</f>
        <v>17.189999999999998</v>
      </c>
      <c r="E983">
        <f>IFERROR(IF(VLOOKUP($B983,Показатели!$E:$W,2,FALSE)=0,"",VLOOKUP($B983,Показатели!$E:$W,2,FALSE)),"")</f>
        <v>3017011000</v>
      </c>
      <c r="F983">
        <f>IFERROR(IF(VLOOKUP($B983,Показатели!$E:$W,3,FALSE)=0,"",VLOOKUP($B983,Показатели!$E:$W,3,FALSE)),"")</f>
        <v>3437248000</v>
      </c>
      <c r="G983">
        <f>IFERROR(IF(VLOOKUP($B983,Показатели!$E:$W,4,FALSE)=0,"",VLOOKUP($B983,Показатели!$E:$W,4,FALSE)),"")</f>
        <v>9170414000</v>
      </c>
      <c r="H983" t="str">
        <f>IFERROR(IF(VLOOKUP($B983,Показатели!$E:$W,5,FALSE)=0,"",VLOOKUP($B983,Показатели!$E:$W,5,FALSE)),"")</f>
        <v/>
      </c>
      <c r="I983">
        <f>IFERROR(IF(VLOOKUP($B983,Показатели!$E:$W,6,FALSE)=0,"",VLOOKUP($B983,Показатели!$E:$W,6,FALSE)),"")</f>
        <v>12694049000</v>
      </c>
      <c r="J983">
        <f>IFERROR(IF(VLOOKUP($B983,Показатели!$E:$W,7,FALSE)=0,"",VLOOKUP($B983,Показатели!$E:$W,7,FALSE)),"")</f>
        <v>3210100000</v>
      </c>
      <c r="K983">
        <f>IFERROR(IF(VLOOKUP($B983,Показатели!$E:$W,8,FALSE)=0,"",VLOOKUP($B983,Показатели!$E:$W,8,FALSE)),"")</f>
        <v>1601786000</v>
      </c>
      <c r="L983">
        <f>IFERROR(IF(VLOOKUP($B983,Показатели!$E:$W,9,FALSE)=0,"",VLOOKUP($B983,Показатели!$E:$W,9,FALSE)),"")</f>
        <v>7814566000</v>
      </c>
      <c r="M983">
        <f>IFERROR(IF(VLOOKUP($B983,Показатели!$E:$W,10,FALSE)=0,"",VLOOKUP($B983,Показатели!$E:$W,10,FALSE)),"")</f>
        <v>7882163000</v>
      </c>
      <c r="N983">
        <f>IFERROR(IF(VLOOKUP($B983,Показатели!$E:$W,11,FALSE)=0,"",VLOOKUP($B983,Показатели!$E:$W,11,FALSE)),"")</f>
        <v>7651783000</v>
      </c>
      <c r="O983">
        <f>IFERROR(IF(VLOOKUP($B983,Показатели!$E:$W,12,FALSE)=0,"",VLOOKUP($B983,Показатели!$E:$W,12,FALSE)),"")</f>
        <v>3120705000</v>
      </c>
      <c r="P983">
        <f>IFERROR(IF(VLOOKUP($B983,Показатели!$E:$W,13,FALSE)=0,"",VLOOKUP($B983,Показатели!$E:$W,13,FALSE)),"")</f>
        <v>2913852000</v>
      </c>
      <c r="Q983">
        <f>IFERROR(IF(VLOOKUP($B983,Показатели!$E:$W,14,FALSE)=0,"",VLOOKUP($B983,Показатели!$E:$W,14,FALSE)),"")</f>
        <v>2309579000</v>
      </c>
      <c r="R983">
        <f>IFERROR(IF(VLOOKUP($B983,Показатели!$E:$W,15,FALSE)=0,"",VLOOKUP($B983,Показатели!$E:$W,15,FALSE)),"")</f>
        <v>282310000</v>
      </c>
      <c r="S983">
        <f>IFERROR(IF(VLOOKUP($B983,Показатели!$E:$W,16,FALSE)=0,"",VLOOKUP($B983,Показатели!$E:$W,16,FALSE)),"")</f>
        <v>3403015000</v>
      </c>
      <c r="T983">
        <f>IFERROR(IF(VLOOKUP($B983,Показатели!$E:$W,17,FALSE)=0,"",VLOOKUP($B983,Показатели!$E:$W,17,FALSE)),"")</f>
        <v>-766259000</v>
      </c>
      <c r="U983">
        <f>IFERROR(IF(VLOOKUP($B983,Показатели!$E:$W,18,FALSE)=0,"",VLOOKUP($B983,Показатели!$E:$W,18,FALSE)),"")</f>
        <v>18543942000</v>
      </c>
      <c r="V983">
        <f>IFERROR(IF(VLOOKUP($B983,Показатели!$E:$W,19,FALSE)=0,"",VLOOKUP($B983,Показатели!$E:$W,19,FALSE)),"")</f>
        <v>14540534000</v>
      </c>
    </row>
    <row r="984" spans="1:22" x14ac:dyDescent="0.2">
      <c r="A984" s="7" t="s">
        <v>2300</v>
      </c>
      <c r="B984" t="str">
        <f t="shared" si="15"/>
        <v>NKHP IV кв. 2019</v>
      </c>
      <c r="C984">
        <v>2019</v>
      </c>
      <c r="D984">
        <f>SUMIFS(Дивиденды!$C:$C,Дивиденды!$A:$A,A984,Дивиденды!$I:$I,C984)</f>
        <v>7.32</v>
      </c>
      <c r="E984">
        <f>IFERROR(IF(VLOOKUP($B984,Показатели!$E:$W,2,FALSE)=0,"",VLOOKUP($B984,Показатели!$E:$W,2,FALSE)),"")</f>
        <v>818651000</v>
      </c>
      <c r="F984">
        <f>IFERROR(IF(VLOOKUP($B984,Показатели!$E:$W,3,FALSE)=0,"",VLOOKUP($B984,Показатели!$E:$W,3,FALSE)),"")</f>
        <v>5912226000</v>
      </c>
      <c r="G984">
        <f>IFERROR(IF(VLOOKUP($B984,Показатели!$E:$W,4,FALSE)=0,"",VLOOKUP($B984,Показатели!$E:$W,4,FALSE)),"")</f>
        <v>8584621000</v>
      </c>
      <c r="H984" t="str">
        <f>IFERROR(IF(VLOOKUP($B984,Показатели!$E:$W,5,FALSE)=0,"",VLOOKUP($B984,Показатели!$E:$W,5,FALSE)),"")</f>
        <v/>
      </c>
      <c r="I984">
        <f>IFERROR(IF(VLOOKUP($B984,Показатели!$E:$W,6,FALSE)=0,"",VLOOKUP($B984,Показатели!$E:$W,6,FALSE)),"")</f>
        <v>14540534000</v>
      </c>
      <c r="J984">
        <f>IFERROR(IF(VLOOKUP($B984,Показатели!$E:$W,7,FALSE)=0,"",VLOOKUP($B984,Показатели!$E:$W,7,FALSE)),"")</f>
        <v>4915237000</v>
      </c>
      <c r="K984">
        <f>IFERROR(IF(VLOOKUP($B984,Показатели!$E:$W,8,FALSE)=0,"",VLOOKUP($B984,Показатели!$E:$W,8,FALSE)),"")</f>
        <v>3249652000</v>
      </c>
      <c r="L984">
        <f>IFERROR(IF(VLOOKUP($B984,Показатели!$E:$W,9,FALSE)=0,"",VLOOKUP($B984,Показатели!$E:$W,9,FALSE)),"")</f>
        <v>6308048000</v>
      </c>
      <c r="M984">
        <f>IFERROR(IF(VLOOKUP($B984,Показатели!$E:$W,10,FALSE)=0,"",VLOOKUP($B984,Показатели!$E:$W,10,FALSE)),"")</f>
        <v>6375645000</v>
      </c>
      <c r="N984">
        <f>IFERROR(IF(VLOOKUP($B984,Показатели!$E:$W,11,FALSE)=0,"",VLOOKUP($B984,Показатели!$E:$W,11,FALSE)),"")</f>
        <v>18543942000</v>
      </c>
      <c r="O984">
        <f>IFERROR(IF(VLOOKUP($B984,Показатели!$E:$W,12,FALSE)=0,"",VLOOKUP($B984,Показатели!$E:$W,12,FALSE)),"")</f>
        <v>1494513000</v>
      </c>
      <c r="P984">
        <f>IFERROR(IF(VLOOKUP($B984,Показатели!$E:$W,13,FALSE)=0,"",VLOOKUP($B984,Показатели!$E:$W,13,FALSE)),"")</f>
        <v>1281190000</v>
      </c>
      <c r="Q984">
        <f>IFERROR(IF(VLOOKUP($B984,Показатели!$E:$W,14,FALSE)=0,"",VLOOKUP($B984,Показатели!$E:$W,14,FALSE)),"")</f>
        <v>981921000</v>
      </c>
      <c r="R984">
        <f>IFERROR(IF(VLOOKUP($B984,Показатели!$E:$W,15,FALSE)=0,"",VLOOKUP($B984,Показатели!$E:$W,15,FALSE)),"")</f>
        <v>286017000</v>
      </c>
      <c r="S984">
        <f>IFERROR(IF(VLOOKUP($B984,Показатели!$E:$W,16,FALSE)=0,"",VLOOKUP($B984,Показатели!$E:$W,16,FALSE)),"")</f>
        <v>1780530000</v>
      </c>
      <c r="T984">
        <f>IFERROR(IF(VLOOKUP($B984,Показатели!$E:$W,17,FALSE)=0,"",VLOOKUP($B984,Показатели!$E:$W,17,FALSE)),"")</f>
        <v>-952601000</v>
      </c>
      <c r="U984">
        <f>IFERROR(IF(VLOOKUP($B984,Показатели!$E:$W,18,FALSE)=0,"",VLOOKUP($B984,Показатели!$E:$W,18,FALSE)),"")</f>
        <v>13596860000</v>
      </c>
      <c r="V984">
        <f>IFERROR(IF(VLOOKUP($B984,Показатели!$E:$W,19,FALSE)=0,"",VLOOKUP($B984,Показатели!$E:$W,19,FALSE)),"")</f>
        <v>12164794000</v>
      </c>
    </row>
    <row r="985" spans="1:22" x14ac:dyDescent="0.2">
      <c r="A985" s="7" t="s">
        <v>2300</v>
      </c>
      <c r="B985" t="str">
        <f t="shared" si="15"/>
        <v>NKHP IV кв. 2018</v>
      </c>
      <c r="C985">
        <v>2018</v>
      </c>
      <c r="D985">
        <f>SUMIFS(Дивиденды!$C:$C,Дивиденды!$A:$A,A985,Дивиденды!$I:$I,C985)</f>
        <v>24.71</v>
      </c>
      <c r="E985">
        <f>IFERROR(IF(VLOOKUP($B985,Показатели!$E:$W,2,FALSE)=0,"",VLOOKUP($B985,Показатели!$E:$W,2,FALSE)),"")</f>
        <v>1356334000</v>
      </c>
      <c r="F985">
        <f>IFERROR(IF(VLOOKUP($B985,Показатели!$E:$W,3,FALSE)=0,"",VLOOKUP($B985,Показатели!$E:$W,3,FALSE)),"")</f>
        <v>4334271000</v>
      </c>
      <c r="G985">
        <f>IFERROR(IF(VLOOKUP($B985,Показатели!$E:$W,4,FALSE)=0,"",VLOOKUP($B985,Показатели!$E:$W,4,FALSE)),"")</f>
        <v>7452623000</v>
      </c>
      <c r="H985" t="str">
        <f>IFERROR(IF(VLOOKUP($B985,Показатели!$E:$W,5,FALSE)=0,"",VLOOKUP($B985,Показатели!$E:$W,5,FALSE)),"")</f>
        <v/>
      </c>
      <c r="I985">
        <f>IFERROR(IF(VLOOKUP($B985,Показатели!$E:$W,6,FALSE)=0,"",VLOOKUP($B985,Показатели!$E:$W,6,FALSE)),"")</f>
        <v>12164794000</v>
      </c>
      <c r="J985">
        <f>IFERROR(IF(VLOOKUP($B985,Показатели!$E:$W,7,FALSE)=0,"",VLOOKUP($B985,Показатели!$E:$W,7,FALSE)),"")</f>
        <v>2489580000</v>
      </c>
      <c r="K985">
        <f>IFERROR(IF(VLOOKUP($B985,Показатели!$E:$W,8,FALSE)=0,"",VLOOKUP($B985,Показатели!$E:$W,8,FALSE)),"")</f>
        <v>3372716000</v>
      </c>
      <c r="L985">
        <f>IFERROR(IF(VLOOKUP($B985,Показатели!$E:$W,9,FALSE)=0,"",VLOOKUP($B985,Показатели!$E:$W,9,FALSE)),"")</f>
        <v>6231001000</v>
      </c>
      <c r="M985">
        <f>IFERROR(IF(VLOOKUP($B985,Показатели!$E:$W,10,FALSE)=0,"",VLOOKUP($B985,Показатели!$E:$W,10,FALSE)),"")</f>
        <v>6302498000</v>
      </c>
      <c r="N985">
        <f>IFERROR(IF(VLOOKUP($B985,Показатели!$E:$W,11,FALSE)=0,"",VLOOKUP($B985,Показатели!$E:$W,11,FALSE)),"")</f>
        <v>13596860000</v>
      </c>
      <c r="O985">
        <f>IFERROR(IF(VLOOKUP($B985,Показатели!$E:$W,12,FALSE)=0,"",VLOOKUP($B985,Показатели!$E:$W,12,FALSE)),"")</f>
        <v>4324660000</v>
      </c>
      <c r="P985">
        <f>IFERROR(IF(VLOOKUP($B985,Показатели!$E:$W,13,FALSE)=0,"",VLOOKUP($B985,Показатели!$E:$W,13,FALSE)),"")</f>
        <v>4289470000</v>
      </c>
      <c r="Q985">
        <f>IFERROR(IF(VLOOKUP($B985,Показатели!$E:$W,14,FALSE)=0,"",VLOOKUP($B985,Показатели!$E:$W,14,FALSE)),"")</f>
        <v>3398129000</v>
      </c>
      <c r="R985">
        <f>IFERROR(IF(VLOOKUP($B985,Показатели!$E:$W,15,FALSE)=0,"",VLOOKUP($B985,Показатели!$E:$W,15,FALSE)),"")</f>
        <v>215971000</v>
      </c>
      <c r="S985">
        <f>IFERROR(IF(VLOOKUP($B985,Показатели!$E:$W,16,FALSE)=0,"",VLOOKUP($B985,Показатели!$E:$W,16,FALSE)),"")</f>
        <v>3121031000</v>
      </c>
      <c r="T985">
        <f>IFERROR(IF(VLOOKUP($B985,Показатели!$E:$W,17,FALSE)=0,"",VLOOKUP($B985,Показатели!$E:$W,17,FALSE)),"")</f>
        <v>-1722470000</v>
      </c>
      <c r="U985">
        <f>IFERROR(IF(VLOOKUP($B985,Показатели!$E:$W,18,FALSE)=0,"",VLOOKUP($B985,Показатели!$E:$W,18,FALSE)),"")</f>
        <v>6347614000</v>
      </c>
      <c r="V985">
        <f>IFERROR(IF(VLOOKUP($B985,Показатели!$E:$W,19,FALSE)=0,"",VLOOKUP($B985,Показатели!$E:$W,19,FALSE)),"")</f>
        <v>8840238000</v>
      </c>
    </row>
    <row r="986" spans="1:22" x14ac:dyDescent="0.2">
      <c r="A986" s="7" t="s">
        <v>2300</v>
      </c>
      <c r="B986" t="str">
        <f t="shared" si="15"/>
        <v>NKHP IV кв. 2017</v>
      </c>
      <c r="C986">
        <v>2017</v>
      </c>
      <c r="D986">
        <f>SUMIFS(Дивиденды!$C:$C,Дивиденды!$A:$A,A986,Дивиденды!$I:$I,C986)</f>
        <v>19.87</v>
      </c>
      <c r="E986">
        <f>IFERROR(IF(VLOOKUP($B986,Показатели!$E:$W,2,FALSE)=0,"",VLOOKUP($B986,Показатели!$E:$W,2,FALSE)),"")</f>
        <v>1863308000</v>
      </c>
      <c r="F986">
        <f>IFERROR(IF(VLOOKUP($B986,Показатели!$E:$W,3,FALSE)=0,"",VLOOKUP($B986,Показатели!$E:$W,3,FALSE)),"")</f>
        <v>3049853000</v>
      </c>
      <c r="G986">
        <f>IFERROR(IF(VLOOKUP($B986,Показатели!$E:$W,4,FALSE)=0,"",VLOOKUP($B986,Показатели!$E:$W,4,FALSE)),"")</f>
        <v>4477204000</v>
      </c>
      <c r="H986" t="str">
        <f>IFERROR(IF(VLOOKUP($B986,Показатели!$E:$W,5,FALSE)=0,"",VLOOKUP($B986,Показатели!$E:$W,5,FALSE)),"")</f>
        <v/>
      </c>
      <c r="I986">
        <f>IFERROR(IF(VLOOKUP($B986,Показатели!$E:$W,6,FALSE)=0,"",VLOOKUP($B986,Показатели!$E:$W,6,FALSE)),"")</f>
        <v>8840238000</v>
      </c>
      <c r="J986">
        <f>IFERROR(IF(VLOOKUP($B986,Показатели!$E:$W,7,FALSE)=0,"",VLOOKUP($B986,Показатели!$E:$W,7,FALSE)),"")</f>
        <v>896099000</v>
      </c>
      <c r="K986">
        <f>IFERROR(IF(VLOOKUP($B986,Показатели!$E:$W,8,FALSE)=0,"",VLOOKUP($B986,Показатели!$E:$W,8,FALSE)),"")</f>
        <v>3460579000</v>
      </c>
      <c r="L986">
        <f>IFERROR(IF(VLOOKUP($B986,Показатели!$E:$W,9,FALSE)=0,"",VLOOKUP($B986,Показатели!$E:$W,9,FALSE)),"")</f>
        <v>4415963000</v>
      </c>
      <c r="M986">
        <f>IFERROR(IF(VLOOKUP($B986,Показатели!$E:$W,10,FALSE)=0,"",VLOOKUP($B986,Показатели!$E:$W,10,FALSE)),"")</f>
        <v>4483560000</v>
      </c>
      <c r="N986">
        <f>IFERROR(IF(VLOOKUP($B986,Показатели!$E:$W,11,FALSE)=0,"",VLOOKUP($B986,Показатели!$E:$W,11,FALSE)),"")</f>
        <v>6347614000</v>
      </c>
      <c r="O986">
        <f>IFERROR(IF(VLOOKUP($B986,Показатели!$E:$W,12,FALSE)=0,"",VLOOKUP($B986,Показатели!$E:$W,12,FALSE)),"")</f>
        <v>2941217000</v>
      </c>
      <c r="P986">
        <f>IFERROR(IF(VLOOKUP($B986,Показатели!$E:$W,13,FALSE)=0,"",VLOOKUP($B986,Показатели!$E:$W,13,FALSE)),"")</f>
        <v>3034074000</v>
      </c>
      <c r="Q986">
        <f>IFERROR(IF(VLOOKUP($B986,Показатели!$E:$W,14,FALSE)=0,"",VLOOKUP($B986,Показатели!$E:$W,14,FALSE)),"")</f>
        <v>2395241000</v>
      </c>
      <c r="R986">
        <f>IFERROR(IF(VLOOKUP($B986,Показатели!$E:$W,15,FALSE)=0,"",VLOOKUP($B986,Показатели!$E:$W,15,FALSE)),"")</f>
        <v>179814000</v>
      </c>
      <c r="S986">
        <f>IFERROR(IF(VLOOKUP($B986,Показатели!$E:$W,16,FALSE)=0,"",VLOOKUP($B986,Показатели!$E:$W,16,FALSE)),"")</f>
        <v>3121031000</v>
      </c>
      <c r="T986">
        <f>IFERROR(IF(VLOOKUP($B986,Показатели!$E:$W,17,FALSE)=0,"",VLOOKUP($B986,Показатели!$E:$W,17,FALSE)),"")</f>
        <v>-1854656000</v>
      </c>
      <c r="U986">
        <f>IFERROR(IF(VLOOKUP($B986,Показатели!$E:$W,18,FALSE)=0,"",VLOOKUP($B986,Показатели!$E:$W,18,FALSE)),"")</f>
        <v>4724536000</v>
      </c>
      <c r="V986">
        <f>IFERROR(IF(VLOOKUP($B986,Показатели!$E:$W,19,FALSE)=0,"",VLOOKUP($B986,Показатели!$E:$W,19,FALSE)),"")</f>
        <v>5175690000</v>
      </c>
    </row>
    <row r="987" spans="1:22" x14ac:dyDescent="0.2">
      <c r="A987" s="7" t="s">
        <v>2300</v>
      </c>
      <c r="B987" t="str">
        <f t="shared" si="15"/>
        <v>NKHP IV кв. 2016</v>
      </c>
      <c r="C987">
        <v>2016</v>
      </c>
      <c r="D987">
        <f>SUMIFS(Дивиденды!$C:$C,Дивиденды!$A:$A,A987,Дивиденды!$I:$I,C987)</f>
        <v>11.82</v>
      </c>
      <c r="E987">
        <f>IFERROR(IF(VLOOKUP($B987,Показатели!$E:$W,2,FALSE)=0,"",VLOOKUP($B987,Показатели!$E:$W,2,FALSE)),"")</f>
        <v>121722000</v>
      </c>
      <c r="F987">
        <f>IFERROR(IF(VLOOKUP($B987,Показатели!$E:$W,3,FALSE)=0,"",VLOOKUP($B987,Показатели!$E:$W,3,FALSE)),"")</f>
        <v>1291983000</v>
      </c>
      <c r="G987">
        <f>IFERROR(IF(VLOOKUP($B987,Показатели!$E:$W,4,FALSE)=0,"",VLOOKUP($B987,Показатели!$E:$W,4,FALSE)),"")</f>
        <v>3550421000</v>
      </c>
      <c r="H987" t="str">
        <f>IFERROR(IF(VLOOKUP($B987,Показатели!$E:$W,5,FALSE)=0,"",VLOOKUP($B987,Показатели!$E:$W,5,FALSE)),"")</f>
        <v/>
      </c>
      <c r="I987">
        <f>IFERROR(IF(VLOOKUP($B987,Показатели!$E:$W,6,FALSE)=0,"",VLOOKUP($B987,Показатели!$E:$W,6,FALSE)),"")</f>
        <v>5175690000</v>
      </c>
      <c r="J987">
        <f>IFERROR(IF(VLOOKUP($B987,Показатели!$E:$W,7,FALSE)=0,"",VLOOKUP($B987,Показатели!$E:$W,7,FALSE)),"")</f>
        <v>1849061000</v>
      </c>
      <c r="K987">
        <f>IFERROR(IF(VLOOKUP($B987,Показатели!$E:$W,8,FALSE)=0,"",VLOOKUP($B987,Показатели!$E:$W,8,FALSE)),"")</f>
        <v>119557000</v>
      </c>
      <c r="L987">
        <f>IFERROR(IF(VLOOKUP($B987,Показатели!$E:$W,9,FALSE)=0,"",VLOOKUP($B987,Показатели!$E:$W,9,FALSE)),"")</f>
        <v>3139475000</v>
      </c>
      <c r="M987">
        <f>IFERROR(IF(VLOOKUP($B987,Показатели!$E:$W,10,FALSE)=0,"",VLOOKUP($B987,Показатели!$E:$W,10,FALSE)),"")</f>
        <v>3207072000</v>
      </c>
      <c r="N987">
        <f>IFERROR(IF(VLOOKUP($B987,Показатели!$E:$W,11,FALSE)=0,"",VLOOKUP($B987,Показатели!$E:$W,11,FALSE)),"")</f>
        <v>4724536000</v>
      </c>
      <c r="O987">
        <f>IFERROR(IF(VLOOKUP($B987,Показатели!$E:$W,12,FALSE)=0,"",VLOOKUP($B987,Показатели!$E:$W,12,FALSE)),"")</f>
        <v>1785153000</v>
      </c>
      <c r="P987">
        <f>IFERROR(IF(VLOOKUP($B987,Показатели!$E:$W,13,FALSE)=0,"",VLOOKUP($B987,Показатели!$E:$W,13,FALSE)),"")</f>
        <v>1780650000</v>
      </c>
      <c r="Q987">
        <f>IFERROR(IF(VLOOKUP($B987,Показатели!$E:$W,14,FALSE)=0,"",VLOOKUP($B987,Показатели!$E:$W,14,FALSE)),"")</f>
        <v>1405486000</v>
      </c>
      <c r="R987" t="str">
        <f>IFERROR(IF(VLOOKUP($B987,Показатели!$E:$W,15,FALSE)=0,"",VLOOKUP($B987,Показатели!$E:$W,15,FALSE)),"")</f>
        <v/>
      </c>
      <c r="S987">
        <f>IFERROR(IF(VLOOKUP($B987,Показатели!$E:$W,16,FALSE)=0,"",VLOOKUP($B987,Показатели!$E:$W,16,FALSE)),"")</f>
        <v>1928595000</v>
      </c>
      <c r="T987">
        <f>IFERROR(IF(VLOOKUP($B987,Показатели!$E:$W,17,FALSE)=0,"",VLOOKUP($B987,Показатели!$E:$W,17,FALSE)),"")</f>
        <v>-1921506000</v>
      </c>
      <c r="U987" t="str">
        <f>IFERROR(IF(VLOOKUP($B987,Показатели!$E:$W,18,FALSE)=0,"",VLOOKUP($B987,Показатели!$E:$W,18,FALSE)),"")</f>
        <v/>
      </c>
      <c r="V987" t="str">
        <f>IFERROR(IF(VLOOKUP($B987,Показатели!$E:$W,19,FALSE)=0,"",VLOOKUP($B987,Показатели!$E:$W,19,FALSE)),"")</f>
        <v/>
      </c>
    </row>
    <row r="988" spans="1:22" x14ac:dyDescent="0.2">
      <c r="A988" s="7" t="s">
        <v>2300</v>
      </c>
      <c r="B988" t="str">
        <f t="shared" si="15"/>
        <v>NKHP IV кв. 2015</v>
      </c>
      <c r="C988">
        <v>2015</v>
      </c>
      <c r="D988">
        <f>SUMIFS(Дивиденды!$C:$C,Дивиденды!$A:$A,A988,Дивиденды!$I:$I,C988)</f>
        <v>17.399999999999999</v>
      </c>
      <c r="E988" t="str">
        <f>IFERROR(IF(VLOOKUP($B988,Показатели!$E:$W,2,FALSE)=0,"",VLOOKUP($B988,Показатели!$E:$W,2,FALSE)),"")</f>
        <v/>
      </c>
      <c r="F988" t="str">
        <f>IFERROR(IF(VLOOKUP($B988,Показатели!$E:$W,3,FALSE)=0,"",VLOOKUP($B988,Показатели!$E:$W,3,FALSE)),"")</f>
        <v/>
      </c>
      <c r="G988" t="str">
        <f>IFERROR(IF(VLOOKUP($B988,Показатели!$E:$W,4,FALSE)=0,"",VLOOKUP($B988,Показатели!$E:$W,4,FALSE)),"")</f>
        <v/>
      </c>
      <c r="H988" t="str">
        <f>IFERROR(IF(VLOOKUP($B988,Показатели!$E:$W,5,FALSE)=0,"",VLOOKUP($B988,Показатели!$E:$W,5,FALSE)),"")</f>
        <v/>
      </c>
      <c r="I988" t="str">
        <f>IFERROR(IF(VLOOKUP($B988,Показатели!$E:$W,6,FALSE)=0,"",VLOOKUP($B988,Показатели!$E:$W,6,FALSE)),"")</f>
        <v/>
      </c>
      <c r="J988" t="str">
        <f>IFERROR(IF(VLOOKUP($B988,Показатели!$E:$W,7,FALSE)=0,"",VLOOKUP($B988,Показатели!$E:$W,7,FALSE)),"")</f>
        <v/>
      </c>
      <c r="K988" t="str">
        <f>IFERROR(IF(VLOOKUP($B988,Показатели!$E:$W,8,FALSE)=0,"",VLOOKUP($B988,Показатели!$E:$W,8,FALSE)),"")</f>
        <v/>
      </c>
      <c r="L988" t="str">
        <f>IFERROR(IF(VLOOKUP($B988,Показатели!$E:$W,9,FALSE)=0,"",VLOOKUP($B988,Показатели!$E:$W,9,FALSE)),"")</f>
        <v/>
      </c>
      <c r="M988" t="str">
        <f>IFERROR(IF(VLOOKUP($B988,Показатели!$E:$W,10,FALSE)=0,"",VLOOKUP($B988,Показатели!$E:$W,10,FALSE)),"")</f>
        <v/>
      </c>
      <c r="N988" t="str">
        <f>IFERROR(IF(VLOOKUP($B988,Показатели!$E:$W,11,FALSE)=0,"",VLOOKUP($B988,Показатели!$E:$W,11,FALSE)),"")</f>
        <v/>
      </c>
      <c r="O988" t="str">
        <f>IFERROR(IF(VLOOKUP($B988,Показатели!$E:$W,12,FALSE)=0,"",VLOOKUP($B988,Показатели!$E:$W,12,FALSE)),"")</f>
        <v/>
      </c>
      <c r="P988" t="str">
        <f>IFERROR(IF(VLOOKUP($B988,Показатели!$E:$W,13,FALSE)=0,"",VLOOKUP($B988,Показатели!$E:$W,13,FALSE)),"")</f>
        <v/>
      </c>
      <c r="Q988" t="str">
        <f>IFERROR(IF(VLOOKUP($B988,Показатели!$E:$W,14,FALSE)=0,"",VLOOKUP($B988,Показатели!$E:$W,14,FALSE)),"")</f>
        <v/>
      </c>
      <c r="R988" t="str">
        <f>IFERROR(IF(VLOOKUP($B988,Показатели!$E:$W,15,FALSE)=0,"",VLOOKUP($B988,Показатели!$E:$W,15,FALSE)),"")</f>
        <v/>
      </c>
      <c r="S988" t="str">
        <f>IFERROR(IF(VLOOKUP($B988,Показатели!$E:$W,16,FALSE)=0,"",VLOOKUP($B988,Показатели!$E:$W,16,FALSE)),"")</f>
        <v/>
      </c>
      <c r="T988" t="str">
        <f>IFERROR(IF(VLOOKUP($B988,Показатели!$E:$W,17,FALSE)=0,"",VLOOKUP($B988,Показатели!$E:$W,17,FALSE)),"")</f>
        <v/>
      </c>
      <c r="U988" t="str">
        <f>IFERROR(IF(VLOOKUP($B988,Показатели!$E:$W,18,FALSE)=0,"",VLOOKUP($B988,Показатели!$E:$W,18,FALSE)),"")</f>
        <v/>
      </c>
      <c r="V988" t="str">
        <f>IFERROR(IF(VLOOKUP($B988,Показатели!$E:$W,19,FALSE)=0,"",VLOOKUP($B988,Показатели!$E:$W,19,FALSE)),"")</f>
        <v/>
      </c>
    </row>
    <row r="989" spans="1:22" x14ac:dyDescent="0.2">
      <c r="A989" s="7" t="s">
        <v>2300</v>
      </c>
      <c r="B989" t="str">
        <f t="shared" si="15"/>
        <v>NKHP IV кв. 2014</v>
      </c>
      <c r="C989">
        <v>2014</v>
      </c>
      <c r="D989">
        <f>SUMIFS(Дивиденды!$C:$C,Дивиденды!$A:$A,A989,Дивиденды!$I:$I,C989)</f>
        <v>0</v>
      </c>
      <c r="E989" t="str">
        <f>IFERROR(IF(VLOOKUP($B989,Показатели!$E:$W,2,FALSE)=0,"",VLOOKUP($B989,Показатели!$E:$W,2,FALSE)),"")</f>
        <v/>
      </c>
      <c r="F989" t="str">
        <f>IFERROR(IF(VLOOKUP($B989,Показатели!$E:$W,3,FALSE)=0,"",VLOOKUP($B989,Показатели!$E:$W,3,FALSE)),"")</f>
        <v/>
      </c>
      <c r="G989" t="str">
        <f>IFERROR(IF(VLOOKUP($B989,Показатели!$E:$W,4,FALSE)=0,"",VLOOKUP($B989,Показатели!$E:$W,4,FALSE)),"")</f>
        <v/>
      </c>
      <c r="H989" t="str">
        <f>IFERROR(IF(VLOOKUP($B989,Показатели!$E:$W,5,FALSE)=0,"",VLOOKUP($B989,Показатели!$E:$W,5,FALSE)),"")</f>
        <v/>
      </c>
      <c r="I989" t="str">
        <f>IFERROR(IF(VLOOKUP($B989,Показатели!$E:$W,6,FALSE)=0,"",VLOOKUP($B989,Показатели!$E:$W,6,FALSE)),"")</f>
        <v/>
      </c>
      <c r="J989" t="str">
        <f>IFERROR(IF(VLOOKUP($B989,Показатели!$E:$W,7,FALSE)=0,"",VLOOKUP($B989,Показатели!$E:$W,7,FALSE)),"")</f>
        <v/>
      </c>
      <c r="K989" t="str">
        <f>IFERROR(IF(VLOOKUP($B989,Показатели!$E:$W,8,FALSE)=0,"",VLOOKUP($B989,Показатели!$E:$W,8,FALSE)),"")</f>
        <v/>
      </c>
      <c r="L989" t="str">
        <f>IFERROR(IF(VLOOKUP($B989,Показатели!$E:$W,9,FALSE)=0,"",VLOOKUP($B989,Показатели!$E:$W,9,FALSE)),"")</f>
        <v/>
      </c>
      <c r="M989" t="str">
        <f>IFERROR(IF(VLOOKUP($B989,Показатели!$E:$W,10,FALSE)=0,"",VLOOKUP($B989,Показатели!$E:$W,10,FALSE)),"")</f>
        <v/>
      </c>
      <c r="N989" t="str">
        <f>IFERROR(IF(VLOOKUP($B989,Показатели!$E:$W,11,FALSE)=0,"",VLOOKUP($B989,Показатели!$E:$W,11,FALSE)),"")</f>
        <v/>
      </c>
      <c r="O989" t="str">
        <f>IFERROR(IF(VLOOKUP($B989,Показатели!$E:$W,12,FALSE)=0,"",VLOOKUP($B989,Показатели!$E:$W,12,FALSE)),"")</f>
        <v/>
      </c>
      <c r="P989" t="str">
        <f>IFERROR(IF(VLOOKUP($B989,Показатели!$E:$W,13,FALSE)=0,"",VLOOKUP($B989,Показатели!$E:$W,13,FALSE)),"")</f>
        <v/>
      </c>
      <c r="Q989" t="str">
        <f>IFERROR(IF(VLOOKUP($B989,Показатели!$E:$W,14,FALSE)=0,"",VLOOKUP($B989,Показатели!$E:$W,14,FALSE)),"")</f>
        <v/>
      </c>
      <c r="R989" t="str">
        <f>IFERROR(IF(VLOOKUP($B989,Показатели!$E:$W,15,FALSE)=0,"",VLOOKUP($B989,Показатели!$E:$W,15,FALSE)),"")</f>
        <v/>
      </c>
      <c r="S989" t="str">
        <f>IFERROR(IF(VLOOKUP($B989,Показатели!$E:$W,16,FALSE)=0,"",VLOOKUP($B989,Показатели!$E:$W,16,FALSE)),"")</f>
        <v/>
      </c>
      <c r="T989" t="str">
        <f>IFERROR(IF(VLOOKUP($B989,Показатели!$E:$W,17,FALSE)=0,"",VLOOKUP($B989,Показатели!$E:$W,17,FALSE)),"")</f>
        <v/>
      </c>
      <c r="U989" t="str">
        <f>IFERROR(IF(VLOOKUP($B989,Показатели!$E:$W,18,FALSE)=0,"",VLOOKUP($B989,Показатели!$E:$W,18,FALSE)),"")</f>
        <v/>
      </c>
      <c r="V989" t="str">
        <f>IFERROR(IF(VLOOKUP($B989,Показатели!$E:$W,19,FALSE)=0,"",VLOOKUP($B989,Показатели!$E:$W,19,FALSE)),"")</f>
        <v/>
      </c>
    </row>
    <row r="990" spans="1:22" x14ac:dyDescent="0.2">
      <c r="A990" s="7" t="s">
        <v>2300</v>
      </c>
      <c r="B990" t="str">
        <f t="shared" si="15"/>
        <v>NKHP IV кв. 2013</v>
      </c>
      <c r="C990">
        <v>2013</v>
      </c>
      <c r="D990">
        <f>SUMIFS(Дивиденды!$C:$C,Дивиденды!$A:$A,A990,Дивиденды!$I:$I,C990)</f>
        <v>0</v>
      </c>
      <c r="E990" t="str">
        <f>IFERROR(IF(VLOOKUP($B990,Показатели!$E:$W,2,FALSE)=0,"",VLOOKUP($B990,Показатели!$E:$W,2,FALSE)),"")</f>
        <v/>
      </c>
      <c r="F990" t="str">
        <f>IFERROR(IF(VLOOKUP($B990,Показатели!$E:$W,3,FALSE)=0,"",VLOOKUP($B990,Показатели!$E:$W,3,FALSE)),"")</f>
        <v/>
      </c>
      <c r="G990" t="str">
        <f>IFERROR(IF(VLOOKUP($B990,Показатели!$E:$W,4,FALSE)=0,"",VLOOKUP($B990,Показатели!$E:$W,4,FALSE)),"")</f>
        <v/>
      </c>
      <c r="H990" t="str">
        <f>IFERROR(IF(VLOOKUP($B990,Показатели!$E:$W,5,FALSE)=0,"",VLOOKUP($B990,Показатели!$E:$W,5,FALSE)),"")</f>
        <v/>
      </c>
      <c r="I990" t="str">
        <f>IFERROR(IF(VLOOKUP($B990,Показатели!$E:$W,6,FALSE)=0,"",VLOOKUP($B990,Показатели!$E:$W,6,FALSE)),"")</f>
        <v/>
      </c>
      <c r="J990" t="str">
        <f>IFERROR(IF(VLOOKUP($B990,Показатели!$E:$W,7,FALSE)=0,"",VLOOKUP($B990,Показатели!$E:$W,7,FALSE)),"")</f>
        <v/>
      </c>
      <c r="K990" t="str">
        <f>IFERROR(IF(VLOOKUP($B990,Показатели!$E:$W,8,FALSE)=0,"",VLOOKUP($B990,Показатели!$E:$W,8,FALSE)),"")</f>
        <v/>
      </c>
      <c r="L990" t="str">
        <f>IFERROR(IF(VLOOKUP($B990,Показатели!$E:$W,9,FALSE)=0,"",VLOOKUP($B990,Показатели!$E:$W,9,FALSE)),"")</f>
        <v/>
      </c>
      <c r="M990" t="str">
        <f>IFERROR(IF(VLOOKUP($B990,Показатели!$E:$W,10,FALSE)=0,"",VLOOKUP($B990,Показатели!$E:$W,10,FALSE)),"")</f>
        <v/>
      </c>
      <c r="N990" t="str">
        <f>IFERROR(IF(VLOOKUP($B990,Показатели!$E:$W,11,FALSE)=0,"",VLOOKUP($B990,Показатели!$E:$W,11,FALSE)),"")</f>
        <v/>
      </c>
      <c r="O990" t="str">
        <f>IFERROR(IF(VLOOKUP($B990,Показатели!$E:$W,12,FALSE)=0,"",VLOOKUP($B990,Показатели!$E:$W,12,FALSE)),"")</f>
        <v/>
      </c>
      <c r="P990" t="str">
        <f>IFERROR(IF(VLOOKUP($B990,Показатели!$E:$W,13,FALSE)=0,"",VLOOKUP($B990,Показатели!$E:$W,13,FALSE)),"")</f>
        <v/>
      </c>
      <c r="Q990" t="str">
        <f>IFERROR(IF(VLOOKUP($B990,Показатели!$E:$W,14,FALSE)=0,"",VLOOKUP($B990,Показатели!$E:$W,14,FALSE)),"")</f>
        <v/>
      </c>
      <c r="R990" t="str">
        <f>IFERROR(IF(VLOOKUP($B990,Показатели!$E:$W,15,FALSE)=0,"",VLOOKUP($B990,Показатели!$E:$W,15,FALSE)),"")</f>
        <v/>
      </c>
      <c r="S990" t="str">
        <f>IFERROR(IF(VLOOKUP($B990,Показатели!$E:$W,16,FALSE)=0,"",VLOOKUP($B990,Показатели!$E:$W,16,FALSE)),"")</f>
        <v/>
      </c>
      <c r="T990" t="str">
        <f>IFERROR(IF(VLOOKUP($B990,Показатели!$E:$W,17,FALSE)=0,"",VLOOKUP($B990,Показатели!$E:$W,17,FALSE)),"")</f>
        <v/>
      </c>
      <c r="U990" t="str">
        <f>IFERROR(IF(VLOOKUP($B990,Показатели!$E:$W,18,FALSE)=0,"",VLOOKUP($B990,Показатели!$E:$W,18,FALSE)),"")</f>
        <v/>
      </c>
      <c r="V990" t="str">
        <f>IFERROR(IF(VLOOKUP($B990,Показатели!$E:$W,19,FALSE)=0,"",VLOOKUP($B990,Показатели!$E:$W,19,FALSE)),"")</f>
        <v/>
      </c>
    </row>
    <row r="991" spans="1:22" x14ac:dyDescent="0.2">
      <c r="A991" s="7" t="s">
        <v>2300</v>
      </c>
      <c r="B991" t="str">
        <f t="shared" si="15"/>
        <v>NKHP IV кв. 2012</v>
      </c>
      <c r="C991">
        <v>2012</v>
      </c>
      <c r="D991">
        <f>SUMIFS(Дивиденды!$C:$C,Дивиденды!$A:$A,A991,Дивиденды!$I:$I,C991)</f>
        <v>0</v>
      </c>
      <c r="E991" t="str">
        <f>IFERROR(IF(VLOOKUP($B991,Показатели!$E:$W,2,FALSE)=0,"",VLOOKUP($B991,Показатели!$E:$W,2,FALSE)),"")</f>
        <v/>
      </c>
      <c r="F991" t="str">
        <f>IFERROR(IF(VLOOKUP($B991,Показатели!$E:$W,3,FALSE)=0,"",VLOOKUP($B991,Показатели!$E:$W,3,FALSE)),"")</f>
        <v/>
      </c>
      <c r="G991" t="str">
        <f>IFERROR(IF(VLOOKUP($B991,Показатели!$E:$W,4,FALSE)=0,"",VLOOKUP($B991,Показатели!$E:$W,4,FALSE)),"")</f>
        <v/>
      </c>
      <c r="H991" t="str">
        <f>IFERROR(IF(VLOOKUP($B991,Показатели!$E:$W,5,FALSE)=0,"",VLOOKUP($B991,Показатели!$E:$W,5,FALSE)),"")</f>
        <v/>
      </c>
      <c r="I991" t="str">
        <f>IFERROR(IF(VLOOKUP($B991,Показатели!$E:$W,6,FALSE)=0,"",VLOOKUP($B991,Показатели!$E:$W,6,FALSE)),"")</f>
        <v/>
      </c>
      <c r="J991" t="str">
        <f>IFERROR(IF(VLOOKUP($B991,Показатели!$E:$W,7,FALSE)=0,"",VLOOKUP($B991,Показатели!$E:$W,7,FALSE)),"")</f>
        <v/>
      </c>
      <c r="K991" t="str">
        <f>IFERROR(IF(VLOOKUP($B991,Показатели!$E:$W,8,FALSE)=0,"",VLOOKUP($B991,Показатели!$E:$W,8,FALSE)),"")</f>
        <v/>
      </c>
      <c r="L991" t="str">
        <f>IFERROR(IF(VLOOKUP($B991,Показатели!$E:$W,9,FALSE)=0,"",VLOOKUP($B991,Показатели!$E:$W,9,FALSE)),"")</f>
        <v/>
      </c>
      <c r="M991" t="str">
        <f>IFERROR(IF(VLOOKUP($B991,Показатели!$E:$W,10,FALSE)=0,"",VLOOKUP($B991,Показатели!$E:$W,10,FALSE)),"")</f>
        <v/>
      </c>
      <c r="N991" t="str">
        <f>IFERROR(IF(VLOOKUP($B991,Показатели!$E:$W,11,FALSE)=0,"",VLOOKUP($B991,Показатели!$E:$W,11,FALSE)),"")</f>
        <v/>
      </c>
      <c r="O991" t="str">
        <f>IFERROR(IF(VLOOKUP($B991,Показатели!$E:$W,12,FALSE)=0,"",VLOOKUP($B991,Показатели!$E:$W,12,FALSE)),"")</f>
        <v/>
      </c>
      <c r="P991" t="str">
        <f>IFERROR(IF(VLOOKUP($B991,Показатели!$E:$W,13,FALSE)=0,"",VLOOKUP($B991,Показатели!$E:$W,13,FALSE)),"")</f>
        <v/>
      </c>
      <c r="Q991" t="str">
        <f>IFERROR(IF(VLOOKUP($B991,Показатели!$E:$W,14,FALSE)=0,"",VLOOKUP($B991,Показатели!$E:$W,14,FALSE)),"")</f>
        <v/>
      </c>
      <c r="R991" t="str">
        <f>IFERROR(IF(VLOOKUP($B991,Показатели!$E:$W,15,FALSE)=0,"",VLOOKUP($B991,Показатели!$E:$W,15,FALSE)),"")</f>
        <v/>
      </c>
      <c r="S991" t="str">
        <f>IFERROR(IF(VLOOKUP($B991,Показатели!$E:$W,16,FALSE)=0,"",VLOOKUP($B991,Показатели!$E:$W,16,FALSE)),"")</f>
        <v/>
      </c>
      <c r="T991" t="str">
        <f>IFERROR(IF(VLOOKUP($B991,Показатели!$E:$W,17,FALSE)=0,"",VLOOKUP($B991,Показатели!$E:$W,17,FALSE)),"")</f>
        <v/>
      </c>
      <c r="U991" t="str">
        <f>IFERROR(IF(VLOOKUP($B991,Показатели!$E:$W,18,FALSE)=0,"",VLOOKUP($B991,Показатели!$E:$W,18,FALSE)),"")</f>
        <v/>
      </c>
      <c r="V991" t="str">
        <f>IFERROR(IF(VLOOKUP($B991,Показатели!$E:$W,19,FALSE)=0,"",VLOOKUP($B991,Показатели!$E:$W,19,FALSE)),"")</f>
        <v/>
      </c>
    </row>
    <row r="992" spans="1:22" x14ac:dyDescent="0.2">
      <c r="A992" s="7" t="s">
        <v>2300</v>
      </c>
      <c r="B992" t="str">
        <f t="shared" si="15"/>
        <v>NKHP IV кв. 2011</v>
      </c>
      <c r="C992">
        <v>2011</v>
      </c>
      <c r="D992">
        <f>SUMIFS(Дивиденды!$C:$C,Дивиденды!$A:$A,A992,Дивиденды!$I:$I,C992)</f>
        <v>0</v>
      </c>
      <c r="E992" t="str">
        <f>IFERROR(IF(VLOOKUP($B992,Показатели!$E:$W,2,FALSE)=0,"",VLOOKUP($B992,Показатели!$E:$W,2,FALSE)),"")</f>
        <v/>
      </c>
      <c r="F992" t="str">
        <f>IFERROR(IF(VLOOKUP($B992,Показатели!$E:$W,3,FALSE)=0,"",VLOOKUP($B992,Показатели!$E:$W,3,FALSE)),"")</f>
        <v/>
      </c>
      <c r="G992" t="str">
        <f>IFERROR(IF(VLOOKUP($B992,Показатели!$E:$W,4,FALSE)=0,"",VLOOKUP($B992,Показатели!$E:$W,4,FALSE)),"")</f>
        <v/>
      </c>
      <c r="H992" t="str">
        <f>IFERROR(IF(VLOOKUP($B992,Показатели!$E:$W,5,FALSE)=0,"",VLOOKUP($B992,Показатели!$E:$W,5,FALSE)),"")</f>
        <v/>
      </c>
      <c r="I992" t="str">
        <f>IFERROR(IF(VLOOKUP($B992,Показатели!$E:$W,6,FALSE)=0,"",VLOOKUP($B992,Показатели!$E:$W,6,FALSE)),"")</f>
        <v/>
      </c>
      <c r="J992" t="str">
        <f>IFERROR(IF(VLOOKUP($B992,Показатели!$E:$W,7,FALSE)=0,"",VLOOKUP($B992,Показатели!$E:$W,7,FALSE)),"")</f>
        <v/>
      </c>
      <c r="K992" t="str">
        <f>IFERROR(IF(VLOOKUP($B992,Показатели!$E:$W,8,FALSE)=0,"",VLOOKUP($B992,Показатели!$E:$W,8,FALSE)),"")</f>
        <v/>
      </c>
      <c r="L992" t="str">
        <f>IFERROR(IF(VLOOKUP($B992,Показатели!$E:$W,9,FALSE)=0,"",VLOOKUP($B992,Показатели!$E:$W,9,FALSE)),"")</f>
        <v/>
      </c>
      <c r="M992" t="str">
        <f>IFERROR(IF(VLOOKUP($B992,Показатели!$E:$W,10,FALSE)=0,"",VLOOKUP($B992,Показатели!$E:$W,10,FALSE)),"")</f>
        <v/>
      </c>
      <c r="N992" t="str">
        <f>IFERROR(IF(VLOOKUP($B992,Показатели!$E:$W,11,FALSE)=0,"",VLOOKUP($B992,Показатели!$E:$W,11,FALSE)),"")</f>
        <v/>
      </c>
      <c r="O992" t="str">
        <f>IFERROR(IF(VLOOKUP($B992,Показатели!$E:$W,12,FALSE)=0,"",VLOOKUP($B992,Показатели!$E:$W,12,FALSE)),"")</f>
        <v/>
      </c>
      <c r="P992" t="str">
        <f>IFERROR(IF(VLOOKUP($B992,Показатели!$E:$W,13,FALSE)=0,"",VLOOKUP($B992,Показатели!$E:$W,13,FALSE)),"")</f>
        <v/>
      </c>
      <c r="Q992" t="str">
        <f>IFERROR(IF(VLOOKUP($B992,Показатели!$E:$W,14,FALSE)=0,"",VLOOKUP($B992,Показатели!$E:$W,14,FALSE)),"")</f>
        <v/>
      </c>
      <c r="R992" t="str">
        <f>IFERROR(IF(VLOOKUP($B992,Показатели!$E:$W,15,FALSE)=0,"",VLOOKUP($B992,Показатели!$E:$W,15,FALSE)),"")</f>
        <v/>
      </c>
      <c r="S992" t="str">
        <f>IFERROR(IF(VLOOKUP($B992,Показатели!$E:$W,16,FALSE)=0,"",VLOOKUP($B992,Показатели!$E:$W,16,FALSE)),"")</f>
        <v/>
      </c>
      <c r="T992" t="str">
        <f>IFERROR(IF(VLOOKUP($B992,Показатели!$E:$W,17,FALSE)=0,"",VLOOKUP($B992,Показатели!$E:$W,17,FALSE)),"")</f>
        <v/>
      </c>
      <c r="U992" t="str">
        <f>IFERROR(IF(VLOOKUP($B992,Показатели!$E:$W,18,FALSE)=0,"",VLOOKUP($B992,Показатели!$E:$W,18,FALSE)),"")</f>
        <v/>
      </c>
      <c r="V992" t="str">
        <f>IFERROR(IF(VLOOKUP($B992,Показатели!$E:$W,19,FALSE)=0,"",VLOOKUP($B992,Показатели!$E:$W,19,FALSE)),"")</f>
        <v/>
      </c>
    </row>
    <row r="993" spans="1:22" x14ac:dyDescent="0.2">
      <c r="A993" s="7" t="s">
        <v>2300</v>
      </c>
      <c r="B993" t="str">
        <f t="shared" si="15"/>
        <v>NKHP IV кв. 2010</v>
      </c>
      <c r="C993">
        <v>2010</v>
      </c>
      <c r="D993">
        <f>SUMIFS(Дивиденды!$C:$C,Дивиденды!$A:$A,A993,Дивиденды!$I:$I,C993)</f>
        <v>0</v>
      </c>
      <c r="E993" t="str">
        <f>IFERROR(IF(VLOOKUP($B993,Показатели!$E:$W,2,FALSE)=0,"",VLOOKUP($B993,Показатели!$E:$W,2,FALSE)),"")</f>
        <v/>
      </c>
      <c r="F993" t="str">
        <f>IFERROR(IF(VLOOKUP($B993,Показатели!$E:$W,3,FALSE)=0,"",VLOOKUP($B993,Показатели!$E:$W,3,FALSE)),"")</f>
        <v/>
      </c>
      <c r="G993" t="str">
        <f>IFERROR(IF(VLOOKUP($B993,Показатели!$E:$W,4,FALSE)=0,"",VLOOKUP($B993,Показатели!$E:$W,4,FALSE)),"")</f>
        <v/>
      </c>
      <c r="H993" t="str">
        <f>IFERROR(IF(VLOOKUP($B993,Показатели!$E:$W,5,FALSE)=0,"",VLOOKUP($B993,Показатели!$E:$W,5,FALSE)),"")</f>
        <v/>
      </c>
      <c r="I993" t="str">
        <f>IFERROR(IF(VLOOKUP($B993,Показатели!$E:$W,6,FALSE)=0,"",VLOOKUP($B993,Показатели!$E:$W,6,FALSE)),"")</f>
        <v/>
      </c>
      <c r="J993" t="str">
        <f>IFERROR(IF(VLOOKUP($B993,Показатели!$E:$W,7,FALSE)=0,"",VLOOKUP($B993,Показатели!$E:$W,7,FALSE)),"")</f>
        <v/>
      </c>
      <c r="K993" t="str">
        <f>IFERROR(IF(VLOOKUP($B993,Показатели!$E:$W,8,FALSE)=0,"",VLOOKUP($B993,Показатели!$E:$W,8,FALSE)),"")</f>
        <v/>
      </c>
      <c r="L993" t="str">
        <f>IFERROR(IF(VLOOKUP($B993,Показатели!$E:$W,9,FALSE)=0,"",VLOOKUP($B993,Показатели!$E:$W,9,FALSE)),"")</f>
        <v/>
      </c>
      <c r="M993" t="str">
        <f>IFERROR(IF(VLOOKUP($B993,Показатели!$E:$W,10,FALSE)=0,"",VLOOKUP($B993,Показатели!$E:$W,10,FALSE)),"")</f>
        <v/>
      </c>
      <c r="N993" t="str">
        <f>IFERROR(IF(VLOOKUP($B993,Показатели!$E:$W,11,FALSE)=0,"",VLOOKUP($B993,Показатели!$E:$W,11,FALSE)),"")</f>
        <v/>
      </c>
      <c r="O993" t="str">
        <f>IFERROR(IF(VLOOKUP($B993,Показатели!$E:$W,12,FALSE)=0,"",VLOOKUP($B993,Показатели!$E:$W,12,FALSE)),"")</f>
        <v/>
      </c>
      <c r="P993" t="str">
        <f>IFERROR(IF(VLOOKUP($B993,Показатели!$E:$W,13,FALSE)=0,"",VLOOKUP($B993,Показатели!$E:$W,13,FALSE)),"")</f>
        <v/>
      </c>
      <c r="Q993" t="str">
        <f>IFERROR(IF(VLOOKUP($B993,Показатели!$E:$W,14,FALSE)=0,"",VLOOKUP($B993,Показатели!$E:$W,14,FALSE)),"")</f>
        <v/>
      </c>
      <c r="R993" t="str">
        <f>IFERROR(IF(VLOOKUP($B993,Показатели!$E:$W,15,FALSE)=0,"",VLOOKUP($B993,Показатели!$E:$W,15,FALSE)),"")</f>
        <v/>
      </c>
      <c r="S993" t="str">
        <f>IFERROR(IF(VLOOKUP($B993,Показатели!$E:$W,16,FALSE)=0,"",VLOOKUP($B993,Показатели!$E:$W,16,FALSE)),"")</f>
        <v/>
      </c>
      <c r="T993" t="str">
        <f>IFERROR(IF(VLOOKUP($B993,Показатели!$E:$W,17,FALSE)=0,"",VLOOKUP($B993,Показатели!$E:$W,17,FALSE)),"")</f>
        <v/>
      </c>
      <c r="U993" t="str">
        <f>IFERROR(IF(VLOOKUP($B993,Показатели!$E:$W,18,FALSE)=0,"",VLOOKUP($B993,Показатели!$E:$W,18,FALSE)),"")</f>
        <v/>
      </c>
      <c r="V993" t="str">
        <f>IFERROR(IF(VLOOKUP($B993,Показатели!$E:$W,19,FALSE)=0,"",VLOOKUP($B993,Показатели!$E:$W,19,FALSE)),"")</f>
        <v/>
      </c>
    </row>
    <row r="994" spans="1:22" x14ac:dyDescent="0.2">
      <c r="A994" s="7" t="s">
        <v>2303</v>
      </c>
      <c r="B994" t="str">
        <f t="shared" si="15"/>
        <v>NMTP IV кв. 2025</v>
      </c>
      <c r="C994">
        <v>2025</v>
      </c>
      <c r="D994">
        <f>SUMIFS(Дивиденды!$C:$C,Дивиденды!$A:$A,A994,Дивиденды!$I:$I,C994)</f>
        <v>0</v>
      </c>
      <c r="E994" t="str">
        <f>IFERROR(IF(VLOOKUP($B994,Показатели!$E:$W,2,FALSE)=0,"",VLOOKUP($B994,Показатели!$E:$W,2,FALSE)),"")</f>
        <v/>
      </c>
      <c r="F994" t="str">
        <f>IFERROR(IF(VLOOKUP($B994,Показатели!$E:$W,3,FALSE)=0,"",VLOOKUP($B994,Показатели!$E:$W,3,FALSE)),"")</f>
        <v/>
      </c>
      <c r="G994" t="str">
        <f>IFERROR(IF(VLOOKUP($B994,Показатели!$E:$W,4,FALSE)=0,"",VLOOKUP($B994,Показатели!$E:$W,4,FALSE)),"")</f>
        <v/>
      </c>
      <c r="H994" t="str">
        <f>IFERROR(IF(VLOOKUP($B994,Показатели!$E:$W,5,FALSE)=0,"",VLOOKUP($B994,Показатели!$E:$W,5,FALSE)),"")</f>
        <v/>
      </c>
      <c r="I994" t="str">
        <f>IFERROR(IF(VLOOKUP($B994,Показатели!$E:$W,6,FALSE)=0,"",VLOOKUP($B994,Показатели!$E:$W,6,FALSE)),"")</f>
        <v/>
      </c>
      <c r="J994" t="str">
        <f>IFERROR(IF(VLOOKUP($B994,Показатели!$E:$W,7,FALSE)=0,"",VLOOKUP($B994,Показатели!$E:$W,7,FALSE)),"")</f>
        <v/>
      </c>
      <c r="K994" t="str">
        <f>IFERROR(IF(VLOOKUP($B994,Показатели!$E:$W,8,FALSE)=0,"",VLOOKUP($B994,Показатели!$E:$W,8,FALSE)),"")</f>
        <v/>
      </c>
      <c r="L994" t="str">
        <f>IFERROR(IF(VLOOKUP($B994,Показатели!$E:$W,9,FALSE)=0,"",VLOOKUP($B994,Показатели!$E:$W,9,FALSE)),"")</f>
        <v/>
      </c>
      <c r="M994" t="str">
        <f>IFERROR(IF(VLOOKUP($B994,Показатели!$E:$W,10,FALSE)=0,"",VLOOKUP($B994,Показатели!$E:$W,10,FALSE)),"")</f>
        <v/>
      </c>
      <c r="N994" t="str">
        <f>IFERROR(IF(VLOOKUP($B994,Показатели!$E:$W,11,FALSE)=0,"",VLOOKUP($B994,Показатели!$E:$W,11,FALSE)),"")</f>
        <v/>
      </c>
      <c r="O994" t="str">
        <f>IFERROR(IF(VLOOKUP($B994,Показатели!$E:$W,12,FALSE)=0,"",VLOOKUP($B994,Показатели!$E:$W,12,FALSE)),"")</f>
        <v/>
      </c>
      <c r="P994" t="str">
        <f>IFERROR(IF(VLOOKUP($B994,Показатели!$E:$W,13,FALSE)=0,"",VLOOKUP($B994,Показатели!$E:$W,13,FALSE)),"")</f>
        <v/>
      </c>
      <c r="Q994" t="str">
        <f>IFERROR(IF(VLOOKUP($B994,Показатели!$E:$W,14,FALSE)=0,"",VLOOKUP($B994,Показатели!$E:$W,14,FALSE)),"")</f>
        <v/>
      </c>
      <c r="R994" t="str">
        <f>IFERROR(IF(VLOOKUP($B994,Показатели!$E:$W,15,FALSE)=0,"",VLOOKUP($B994,Показатели!$E:$W,15,FALSE)),"")</f>
        <v/>
      </c>
      <c r="S994" t="str">
        <f>IFERROR(IF(VLOOKUP($B994,Показатели!$E:$W,16,FALSE)=0,"",VLOOKUP($B994,Показатели!$E:$W,16,FALSE)),"")</f>
        <v/>
      </c>
      <c r="T994" t="str">
        <f>IFERROR(IF(VLOOKUP($B994,Показатели!$E:$W,17,FALSE)=0,"",VLOOKUP($B994,Показатели!$E:$W,17,FALSE)),"")</f>
        <v/>
      </c>
      <c r="U994" t="str">
        <f>IFERROR(IF(VLOOKUP($B994,Показатели!$E:$W,18,FALSE)=0,"",VLOOKUP($B994,Показатели!$E:$W,18,FALSE)),"")</f>
        <v/>
      </c>
      <c r="V994" t="str">
        <f>IFERROR(IF(VLOOKUP($B994,Показатели!$E:$W,19,FALSE)=0,"",VLOOKUP($B994,Показатели!$E:$W,19,FALSE)),"")</f>
        <v/>
      </c>
    </row>
    <row r="995" spans="1:22" x14ac:dyDescent="0.2">
      <c r="A995" s="7" t="s">
        <v>2303</v>
      </c>
      <c r="B995" t="str">
        <f t="shared" si="15"/>
        <v>NMTP IV кв. 2024</v>
      </c>
      <c r="C995">
        <v>2024</v>
      </c>
      <c r="D995">
        <f>SUMIFS(Дивиденды!$C:$C,Дивиденды!$A:$A,A995,Дивиденды!$I:$I,C995)</f>
        <v>0.96</v>
      </c>
      <c r="E995">
        <f>IFERROR(IF(VLOOKUP($B995,Показатели!$E:$W,2,FALSE)=0,"",VLOOKUP($B995,Показатели!$E:$W,2,FALSE)),"")</f>
        <v>34936000000</v>
      </c>
      <c r="F995">
        <f>IFERROR(IF(VLOOKUP($B995,Показатели!$E:$W,3,FALSE)=0,"",VLOOKUP($B995,Показатели!$E:$W,3,FALSE)),"")</f>
        <v>63283000000</v>
      </c>
      <c r="G995">
        <f>IFERROR(IF(VLOOKUP($B995,Показатели!$E:$W,4,FALSE)=0,"",VLOOKUP($B995,Показатели!$E:$W,4,FALSE)),"")</f>
        <v>102766000000</v>
      </c>
      <c r="H995">
        <f>IFERROR(IF(VLOOKUP($B995,Показатели!$E:$W,5,FALSE)=0,"",VLOOKUP($B995,Показатели!$E:$W,5,FALSE)),"")</f>
        <v>31249000000</v>
      </c>
      <c r="I995">
        <f>IFERROR(IF(VLOOKUP($B995,Показатели!$E:$W,6,FALSE)=0,"",VLOOKUP($B995,Показатели!$E:$W,6,FALSE)),"")</f>
        <v>219960000000</v>
      </c>
      <c r="J995">
        <f>IFERROR(IF(VLOOKUP($B995,Показатели!$E:$W,7,FALSE)=0,"",VLOOKUP($B995,Показатели!$E:$W,7,FALSE)),"")</f>
        <v>19073000000</v>
      </c>
      <c r="K995">
        <f>IFERROR(IF(VLOOKUP($B995,Показатели!$E:$W,8,FALSE)=0,"",VLOOKUP($B995,Показатели!$E:$W,8,FALSE)),"")</f>
        <v>29677000000</v>
      </c>
      <c r="L995">
        <f>IFERROR(IF(VLOOKUP($B995,Показатели!$E:$W,9,FALSE)=0,"",VLOOKUP($B995,Показатели!$E:$W,9,FALSE)),"")</f>
        <v>168252000000</v>
      </c>
      <c r="M995">
        <f>IFERROR(IF(VLOOKUP($B995,Показатели!$E:$W,10,FALSE)=0,"",VLOOKUP($B995,Показатели!$E:$W,10,FALSE)),"")</f>
        <v>171210000000</v>
      </c>
      <c r="N995">
        <f>IFERROR(IF(VLOOKUP($B995,Показатели!$E:$W,11,FALSE)=0,"",VLOOKUP($B995,Показатели!$E:$W,11,FALSE)),"")</f>
        <v>71156000000</v>
      </c>
      <c r="O995">
        <f>IFERROR(IF(VLOOKUP($B995,Показатели!$E:$W,12,FALSE)=0,"",VLOOKUP($B995,Показатели!$E:$W,12,FALSE)),"")</f>
        <v>41784000000</v>
      </c>
      <c r="P995">
        <f>IFERROR(IF(VLOOKUP($B995,Показатели!$E:$W,13,FALSE)=0,"",VLOOKUP($B995,Показатели!$E:$W,13,FALSE)),"")</f>
        <v>48688000000</v>
      </c>
      <c r="Q995">
        <f>IFERROR(IF(VLOOKUP($B995,Показатели!$E:$W,14,FALSE)=0,"",VLOOKUP($B995,Показатели!$E:$W,14,FALSE)),"")</f>
        <v>37823000000</v>
      </c>
      <c r="R995">
        <f>IFERROR(IF(VLOOKUP($B995,Показатели!$E:$W,15,FALSE)=0,"",VLOOKUP($B995,Показатели!$E:$W,15,FALSE)),"")</f>
        <v>6390000000</v>
      </c>
      <c r="S995" t="str">
        <f>IFERROR(IF(VLOOKUP($B995,Показатели!$E:$W,16,FALSE)=0,"",VLOOKUP($B995,Показатели!$E:$W,16,FALSE)),"")</f>
        <v/>
      </c>
      <c r="T995">
        <f>IFERROR(IF(VLOOKUP($B995,Показатели!$E:$W,17,FALSE)=0,"",VLOOKUP($B995,Показатели!$E:$W,17,FALSE)),"")</f>
        <v>-19995000000</v>
      </c>
      <c r="U995">
        <f>IFERROR(IF(VLOOKUP($B995,Показатели!$E:$W,18,FALSE)=0,"",VLOOKUP($B995,Показатели!$E:$W,18,FALSE)),"")</f>
        <v>67482000000</v>
      </c>
      <c r="V995">
        <f>IFERROR(IF(VLOOKUP($B995,Показатели!$E:$W,19,FALSE)=0,"",VLOOKUP($B995,Показатели!$E:$W,19,FALSE)),"")</f>
        <v>192646000000</v>
      </c>
    </row>
    <row r="996" spans="1:22" x14ac:dyDescent="0.2">
      <c r="A996" s="7" t="s">
        <v>2303</v>
      </c>
      <c r="B996" t="str">
        <f t="shared" si="15"/>
        <v>NMTP IV кв. 2023</v>
      </c>
      <c r="C996">
        <v>2023</v>
      </c>
      <c r="D996">
        <f>SUMIFS(Дивиденды!$C:$C,Дивиденды!$A:$A,A996,Дивиденды!$I:$I,C996)</f>
        <v>0.77</v>
      </c>
      <c r="E996">
        <f>IFERROR(IF(VLOOKUP($B996,Показатели!$E:$W,2,FALSE)=0,"",VLOOKUP($B996,Показатели!$E:$W,2,FALSE)),"")</f>
        <v>29040000000</v>
      </c>
      <c r="F996">
        <f>IFERROR(IF(VLOOKUP($B996,Показатели!$E:$W,3,FALSE)=0,"",VLOOKUP($B996,Показатели!$E:$W,3,FALSE)),"")</f>
        <v>49072000000</v>
      </c>
      <c r="G996">
        <f>IFERROR(IF(VLOOKUP($B996,Показатели!$E:$W,4,FALSE)=0,"",VLOOKUP($B996,Показатели!$E:$W,4,FALSE)),"")</f>
        <v>87677000000</v>
      </c>
      <c r="H996">
        <f>IFERROR(IF(VLOOKUP($B996,Показатели!$E:$W,5,FALSE)=0,"",VLOOKUP($B996,Показатели!$E:$W,5,FALSE)),"")</f>
        <v>31023000000</v>
      </c>
      <c r="I996">
        <f>IFERROR(IF(VLOOKUP($B996,Показатели!$E:$W,6,FALSE)=0,"",VLOOKUP($B996,Показатели!$E:$W,6,FALSE)),"")</f>
        <v>192646000000</v>
      </c>
      <c r="J996">
        <f>IFERROR(IF(VLOOKUP($B996,Показатели!$E:$W,7,FALSE)=0,"",VLOOKUP($B996,Показатели!$E:$W,7,FALSE)),"")</f>
        <v>10258000000</v>
      </c>
      <c r="K996">
        <f>IFERROR(IF(VLOOKUP($B996,Показатели!$E:$W,8,FALSE)=0,"",VLOOKUP($B996,Показатели!$E:$W,8,FALSE)),"")</f>
        <v>34897000000</v>
      </c>
      <c r="L996" t="str">
        <f>IFERROR(IF(VLOOKUP($B996,Показатели!$E:$W,9,FALSE)=0,"",VLOOKUP($B996,Показатели!$E:$W,9,FALSE)),"")</f>
        <v/>
      </c>
      <c r="M996">
        <f>IFERROR(IF(VLOOKUP($B996,Показатели!$E:$W,10,FALSE)=0,"",VLOOKUP($B996,Показатели!$E:$W,10,FALSE)),"")</f>
        <v>147491000000</v>
      </c>
      <c r="N996">
        <f>IFERROR(IF(VLOOKUP($B996,Показатели!$E:$W,11,FALSE)=0,"",VLOOKUP($B996,Показатели!$E:$W,11,FALSE)),"")</f>
        <v>67482000000</v>
      </c>
      <c r="O996">
        <f>IFERROR(IF(VLOOKUP($B996,Показатели!$E:$W,12,FALSE)=0,"",VLOOKUP($B996,Показатели!$E:$W,12,FALSE)),"")</f>
        <v>36897000000</v>
      </c>
      <c r="P996">
        <f>IFERROR(IF(VLOOKUP($B996,Показатели!$E:$W,13,FALSE)=0,"",VLOOKUP($B996,Показатели!$E:$W,13,FALSE)),"")</f>
        <v>38835000000</v>
      </c>
      <c r="Q996">
        <f>IFERROR(IF(VLOOKUP($B996,Показатели!$E:$W,14,FALSE)=0,"",VLOOKUP($B996,Показатели!$E:$W,14,FALSE)),"")</f>
        <v>30228000000</v>
      </c>
      <c r="R996">
        <f>IFERROR(IF(VLOOKUP($B996,Показатели!$E:$W,15,FALSE)=0,"",VLOOKUP($B996,Показатели!$E:$W,15,FALSE)),"")</f>
        <v>6326000000</v>
      </c>
      <c r="S996" t="str">
        <f>IFERROR(IF(VLOOKUP($B996,Показатели!$E:$W,16,FALSE)=0,"",VLOOKUP($B996,Показатели!$E:$W,16,FALSE)),"")</f>
        <v/>
      </c>
      <c r="T996">
        <f>IFERROR(IF(VLOOKUP($B996,Показатели!$E:$W,17,FALSE)=0,"",VLOOKUP($B996,Показатели!$E:$W,17,FALSE)),"")</f>
        <v>-6076000000</v>
      </c>
      <c r="U996">
        <f>IFERROR(IF(VLOOKUP($B996,Показатели!$E:$W,18,FALSE)=0,"",VLOOKUP($B996,Показатели!$E:$W,18,FALSE)),"")</f>
        <v>55045000000</v>
      </c>
      <c r="V996">
        <f>IFERROR(IF(VLOOKUP($B996,Показатели!$E:$W,19,FALSE)=0,"",VLOOKUP($B996,Показатели!$E:$W,19,FALSE)),"")</f>
        <v>179533000000</v>
      </c>
    </row>
    <row r="997" spans="1:22" x14ac:dyDescent="0.2">
      <c r="A997" s="7" t="s">
        <v>2303</v>
      </c>
      <c r="B997" t="str">
        <f t="shared" si="15"/>
        <v>NMTP IV кв. 2022</v>
      </c>
      <c r="C997">
        <v>2022</v>
      </c>
      <c r="D997">
        <f>SUMIFS(Дивиденды!$C:$C,Дивиденды!$A:$A,A997,Дивиденды!$I:$I,C997)</f>
        <v>0.8</v>
      </c>
      <c r="E997">
        <f>IFERROR(IF(VLOOKUP($B997,Показатели!$E:$W,2,FALSE)=0,"",VLOOKUP($B997,Показатели!$E:$W,2,FALSE)),"")</f>
        <v>20112000000</v>
      </c>
      <c r="F997">
        <f>IFERROR(IF(VLOOKUP($B997,Показатели!$E:$W,3,FALSE)=0,"",VLOOKUP($B997,Показатели!$E:$W,3,FALSE)),"")</f>
        <v>35929000000</v>
      </c>
      <c r="G997">
        <f>IFERROR(IF(VLOOKUP($B997,Показатели!$E:$W,4,FALSE)=0,"",VLOOKUP($B997,Показатели!$E:$W,4,FALSE)),"")</f>
        <v>86096000000</v>
      </c>
      <c r="H997">
        <f>IFERROR(IF(VLOOKUP($B997,Показатели!$E:$W,5,FALSE)=0,"",VLOOKUP($B997,Показатели!$E:$W,5,FALSE)),"")</f>
        <v>31026000000</v>
      </c>
      <c r="I997">
        <f>IFERROR(IF(VLOOKUP($B997,Показатели!$E:$W,6,FALSE)=0,"",VLOOKUP($B997,Показатели!$E:$W,6,FALSE)),"")</f>
        <v>179533000000</v>
      </c>
      <c r="J997">
        <f>IFERROR(IF(VLOOKUP($B997,Показатели!$E:$W,7,FALSE)=0,"",VLOOKUP($B997,Показатели!$E:$W,7,FALSE)),"")</f>
        <v>14058000000</v>
      </c>
      <c r="K997">
        <f>IFERROR(IF(VLOOKUP($B997,Показатели!$E:$W,8,FALSE)=0,"",VLOOKUP($B997,Показатели!$E:$W,8,FALSE)),"")</f>
        <v>35101000000</v>
      </c>
      <c r="L997" t="str">
        <f>IFERROR(IF(VLOOKUP($B997,Показатели!$E:$W,9,FALSE)=0,"",VLOOKUP($B997,Показатели!$E:$W,9,FALSE)),"")</f>
        <v/>
      </c>
      <c r="M997">
        <f>IFERROR(IF(VLOOKUP($B997,Показатели!$E:$W,10,FALSE)=0,"",VLOOKUP($B997,Показатели!$E:$W,10,FALSE)),"")</f>
        <v>130374000000</v>
      </c>
      <c r="N997">
        <f>IFERROR(IF(VLOOKUP($B997,Показатели!$E:$W,11,FALSE)=0,"",VLOOKUP($B997,Показатели!$E:$W,11,FALSE)),"")</f>
        <v>55045000000</v>
      </c>
      <c r="O997">
        <f>IFERROR(IF(VLOOKUP($B997,Показатели!$E:$W,12,FALSE)=0,"",VLOOKUP($B997,Показатели!$E:$W,12,FALSE)),"")</f>
        <v>29356000000</v>
      </c>
      <c r="P997">
        <f>IFERROR(IF(VLOOKUP($B997,Показатели!$E:$W,13,FALSE)=0,"",VLOOKUP($B997,Показатели!$E:$W,13,FALSE)),"")</f>
        <v>35405000000</v>
      </c>
      <c r="Q997">
        <f>IFERROR(IF(VLOOKUP($B997,Показатели!$E:$W,14,FALSE)=0,"",VLOOKUP($B997,Показатели!$E:$W,14,FALSE)),"")</f>
        <v>34784000000</v>
      </c>
      <c r="R997">
        <f>IFERROR(IF(VLOOKUP($B997,Показатели!$E:$W,15,FALSE)=0,"",VLOOKUP($B997,Показатели!$E:$W,15,FALSE)),"")</f>
        <v>6362000000</v>
      </c>
      <c r="S997" t="str">
        <f>IFERROR(IF(VLOOKUP($B997,Показатели!$E:$W,16,FALSE)=0,"",VLOOKUP($B997,Показатели!$E:$W,16,FALSE)),"")</f>
        <v/>
      </c>
      <c r="T997">
        <f>IFERROR(IF(VLOOKUP($B997,Показатели!$E:$W,17,FALSE)=0,"",VLOOKUP($B997,Показатели!$E:$W,17,FALSE)),"")</f>
        <v>-5372000000</v>
      </c>
      <c r="U997" t="str">
        <f>IFERROR(IF(VLOOKUP($B997,Показатели!$E:$W,18,FALSE)=0,"",VLOOKUP($B997,Показатели!$E:$W,18,FALSE)),"")</f>
        <v/>
      </c>
      <c r="V997" t="str">
        <f>IFERROR(IF(VLOOKUP($B997,Показатели!$E:$W,19,FALSE)=0,"",VLOOKUP($B997,Показатели!$E:$W,19,FALSE)),"")</f>
        <v/>
      </c>
    </row>
    <row r="998" spans="1:22" x14ac:dyDescent="0.2">
      <c r="A998" s="7" t="s">
        <v>2303</v>
      </c>
      <c r="B998" t="str">
        <f t="shared" si="15"/>
        <v>NMTP IV кв. 2021</v>
      </c>
      <c r="C998">
        <v>2021</v>
      </c>
      <c r="D998">
        <f>SUMIFS(Дивиденды!$C:$C,Дивиденды!$A:$A,A998,Дивиденды!$I:$I,C998)</f>
        <v>0.54</v>
      </c>
      <c r="E998" t="str">
        <f>IFERROR(IF(VLOOKUP($B998,Показатели!$E:$W,2,FALSE)=0,"",VLOOKUP($B998,Показатели!$E:$W,2,FALSE)),"")</f>
        <v/>
      </c>
      <c r="F998" t="str">
        <f>IFERROR(IF(VLOOKUP($B998,Показатели!$E:$W,3,FALSE)=0,"",VLOOKUP($B998,Показатели!$E:$W,3,FALSE)),"")</f>
        <v/>
      </c>
      <c r="G998" t="str">
        <f>IFERROR(IF(VLOOKUP($B998,Показатели!$E:$W,4,FALSE)=0,"",VLOOKUP($B998,Показатели!$E:$W,4,FALSE)),"")</f>
        <v/>
      </c>
      <c r="H998" t="str">
        <f>IFERROR(IF(VLOOKUP($B998,Показатели!$E:$W,5,FALSE)=0,"",VLOOKUP($B998,Показатели!$E:$W,5,FALSE)),"")</f>
        <v/>
      </c>
      <c r="I998" t="str">
        <f>IFERROR(IF(VLOOKUP($B998,Показатели!$E:$W,6,FALSE)=0,"",VLOOKUP($B998,Показатели!$E:$W,6,FALSE)),"")</f>
        <v/>
      </c>
      <c r="J998" t="str">
        <f>IFERROR(IF(VLOOKUP($B998,Показатели!$E:$W,7,FALSE)=0,"",VLOOKUP($B998,Показатели!$E:$W,7,FALSE)),"")</f>
        <v/>
      </c>
      <c r="K998" t="str">
        <f>IFERROR(IF(VLOOKUP($B998,Показатели!$E:$W,8,FALSE)=0,"",VLOOKUP($B998,Показатели!$E:$W,8,FALSE)),"")</f>
        <v/>
      </c>
      <c r="L998" t="str">
        <f>IFERROR(IF(VLOOKUP($B998,Показатели!$E:$W,9,FALSE)=0,"",VLOOKUP($B998,Показатели!$E:$W,9,FALSE)),"")</f>
        <v/>
      </c>
      <c r="M998" t="str">
        <f>IFERROR(IF(VLOOKUP($B998,Показатели!$E:$W,10,FALSE)=0,"",VLOOKUP($B998,Показатели!$E:$W,10,FALSE)),"")</f>
        <v/>
      </c>
      <c r="N998" t="str">
        <f>IFERROR(IF(VLOOKUP($B998,Показатели!$E:$W,11,FALSE)=0,"",VLOOKUP($B998,Показатели!$E:$W,11,FALSE)),"")</f>
        <v/>
      </c>
      <c r="O998" t="str">
        <f>IFERROR(IF(VLOOKUP($B998,Показатели!$E:$W,12,FALSE)=0,"",VLOOKUP($B998,Показатели!$E:$W,12,FALSE)),"")</f>
        <v/>
      </c>
      <c r="P998" t="str">
        <f>IFERROR(IF(VLOOKUP($B998,Показатели!$E:$W,13,FALSE)=0,"",VLOOKUP($B998,Показатели!$E:$W,13,FALSE)),"")</f>
        <v/>
      </c>
      <c r="Q998" t="str">
        <f>IFERROR(IF(VLOOKUP($B998,Показатели!$E:$W,14,FALSE)=0,"",VLOOKUP($B998,Показатели!$E:$W,14,FALSE)),"")</f>
        <v/>
      </c>
      <c r="R998" t="str">
        <f>IFERROR(IF(VLOOKUP($B998,Показатели!$E:$W,15,FALSE)=0,"",VLOOKUP($B998,Показатели!$E:$W,15,FALSE)),"")</f>
        <v/>
      </c>
      <c r="S998" t="str">
        <f>IFERROR(IF(VLOOKUP($B998,Показатели!$E:$W,16,FALSE)=0,"",VLOOKUP($B998,Показатели!$E:$W,16,FALSE)),"")</f>
        <v/>
      </c>
      <c r="T998" t="str">
        <f>IFERROR(IF(VLOOKUP($B998,Показатели!$E:$W,17,FALSE)=0,"",VLOOKUP($B998,Показатели!$E:$W,17,FALSE)),"")</f>
        <v/>
      </c>
      <c r="U998" t="str">
        <f>IFERROR(IF(VLOOKUP($B998,Показатели!$E:$W,18,FALSE)=0,"",VLOOKUP($B998,Показатели!$E:$W,18,FALSE)),"")</f>
        <v/>
      </c>
      <c r="V998" t="str">
        <f>IFERROR(IF(VLOOKUP($B998,Показатели!$E:$W,19,FALSE)=0,"",VLOOKUP($B998,Показатели!$E:$W,19,FALSE)),"")</f>
        <v/>
      </c>
    </row>
    <row r="999" spans="1:22" x14ac:dyDescent="0.2">
      <c r="A999" s="7" t="s">
        <v>2303</v>
      </c>
      <c r="B999" t="str">
        <f t="shared" si="15"/>
        <v>NMTP IV кв. 2020</v>
      </c>
      <c r="C999">
        <v>2020</v>
      </c>
      <c r="D999">
        <f>SUMIFS(Дивиденды!$C:$C,Дивиденды!$A:$A,A999,Дивиденды!$I:$I,C999)</f>
        <v>0.06</v>
      </c>
      <c r="E999">
        <f>IFERROR(IF(VLOOKUP($B999,Показатели!$E:$W,2,FALSE)=0,"",VLOOKUP($B999,Показатели!$E:$W,2,FALSE)),"")</f>
        <v>13779726164.646698</v>
      </c>
      <c r="F999">
        <f>IFERROR(IF(VLOOKUP($B999,Показатели!$E:$W,3,FALSE)=0,"",VLOOKUP($B999,Показатели!$E:$W,3,FALSE)),"")</f>
        <v>22597758990.677364</v>
      </c>
      <c r="G999">
        <f>IFERROR(IF(VLOOKUP($B999,Показатели!$E:$W,4,FALSE)=0,"",VLOOKUP($B999,Показатели!$E:$W,4,FALSE)),"")</f>
        <v>79343787318.250916</v>
      </c>
      <c r="H999">
        <f>IFERROR(IF(VLOOKUP($B999,Показатели!$E:$W,5,FALSE)=0,"",VLOOKUP($B999,Показатели!$E:$W,5,FALSE)),"")</f>
        <v>30332127163.973537</v>
      </c>
      <c r="I999">
        <f>IFERROR(IF(VLOOKUP($B999,Показатели!$E:$W,6,FALSE)=0,"",VLOOKUP($B999,Показатели!$E:$W,6,FALSE)),"")</f>
        <v>157847913466.51996</v>
      </c>
      <c r="J999">
        <f>IFERROR(IF(VLOOKUP($B999,Показатели!$E:$W,7,FALSE)=0,"",VLOOKUP($B999,Показатели!$E:$W,7,FALSE)),"")</f>
        <v>21521107178.780499</v>
      </c>
      <c r="K999">
        <f>IFERROR(IF(VLOOKUP($B999,Показатели!$E:$W,8,FALSE)=0,"",VLOOKUP($B999,Показатели!$E:$W,8,FALSE)),"")</f>
        <v>55898125262.174248</v>
      </c>
      <c r="L999">
        <f>IFERROR(IF(VLOOKUP($B999,Показатели!$E:$W,9,FALSE)=0,"",VLOOKUP($B999,Показатели!$E:$W,9,FALSE)),"")</f>
        <v>130249565174.64258</v>
      </c>
      <c r="M999">
        <f>IFERROR(IF(VLOOKUP($B999,Показатели!$E:$W,10,FALSE)=0,"",VLOOKUP($B999,Показатели!$E:$W,10,FALSE)),"")</f>
        <v>80428681025.565201</v>
      </c>
      <c r="N999">
        <f>IFERROR(IF(VLOOKUP($B999,Показатели!$E:$W,11,FALSE)=0,"",VLOOKUP($B999,Показатели!$E:$W,11,FALSE)),"")</f>
        <v>45712805364.790268</v>
      </c>
      <c r="O999">
        <f>IFERROR(IF(VLOOKUP($B999,Показатели!$E:$W,12,FALSE)=0,"",VLOOKUP($B999,Показатели!$E:$W,12,FALSE)),"")</f>
        <v>23702462165.924751</v>
      </c>
      <c r="P999">
        <f>IFERROR(IF(VLOOKUP($B999,Показатели!$E:$W,13,FALSE)=0,"",VLOOKUP($B999,Показатели!$E:$W,13,FALSE)),"")</f>
        <v>13125001560.259241</v>
      </c>
      <c r="Q999">
        <f>IFERROR(IF(VLOOKUP($B999,Показатели!$E:$W,14,FALSE)=0,"",VLOOKUP($B999,Показатели!$E:$W,14,FALSE)),"")</f>
        <v>4853681130.2508736</v>
      </c>
      <c r="R999">
        <f>IFERROR(IF(VLOOKUP($B999,Показатели!$E:$W,15,FALSE)=0,"",VLOOKUP($B999,Показатели!$E:$W,15,FALSE)),"")</f>
        <v>5370534729.7170763</v>
      </c>
      <c r="S999" t="str">
        <f>IFERROR(IF(VLOOKUP($B999,Показатели!$E:$W,16,FALSE)=0,"",VLOOKUP($B999,Показатели!$E:$W,16,FALSE)),"")</f>
        <v/>
      </c>
      <c r="T999">
        <f>IFERROR(IF(VLOOKUP($B999,Показатели!$E:$W,17,FALSE)=0,"",VLOOKUP($B999,Показатели!$E:$W,17,FALSE)),"")</f>
        <v>-7204790244.0627213</v>
      </c>
      <c r="U999">
        <f>IFERROR(IF(VLOOKUP($B999,Показатели!$E:$W,18,FALSE)=0,"",VLOOKUP($B999,Показатели!$E:$W,18,FALSE)),"")</f>
        <v>56048636186.906212</v>
      </c>
      <c r="V999">
        <f>IFERROR(IF(VLOOKUP($B999,Показатели!$E:$W,19,FALSE)=0,"",VLOOKUP($B999,Показатели!$E:$W,19,FALSE)),"")</f>
        <v>194831259447.18738</v>
      </c>
    </row>
    <row r="1000" spans="1:22" x14ac:dyDescent="0.2">
      <c r="A1000" s="7" t="s">
        <v>2303</v>
      </c>
      <c r="B1000" t="str">
        <f t="shared" si="15"/>
        <v>NMTP IV кв. 2019</v>
      </c>
      <c r="C1000">
        <v>2019</v>
      </c>
      <c r="D1000">
        <f>SUMIFS(Дивиденды!$C:$C,Дивиденды!$A:$A,A1000,Дивиденды!$I:$I,C1000)</f>
        <v>1.35</v>
      </c>
      <c r="E1000">
        <f>IFERROR(IF(VLOOKUP($B1000,Показатели!$E:$W,2,FALSE)=0,"",VLOOKUP($B1000,Показатели!$E:$W,2,FALSE)),"")</f>
        <v>28041428358.749981</v>
      </c>
      <c r="F1000">
        <f>IFERROR(IF(VLOOKUP($B1000,Показатели!$E:$W,3,FALSE)=0,"",VLOOKUP($B1000,Показатели!$E:$W,3,FALSE)),"")</f>
        <v>52719864800.718712</v>
      </c>
      <c r="G1000">
        <f>IFERROR(IF(VLOOKUP($B1000,Показатели!$E:$W,4,FALSE)=0,"",VLOOKUP($B1000,Показатели!$E:$W,4,FALSE)),"")</f>
        <v>81080533837.124939</v>
      </c>
      <c r="H1000">
        <f>IFERROR(IF(VLOOKUP($B1000,Показатели!$E:$W,5,FALSE)=0,"",VLOOKUP($B1000,Показатели!$E:$W,5,FALSE)),"")</f>
        <v>32393063695.312477</v>
      </c>
      <c r="I1000">
        <f>IFERROR(IF(VLOOKUP($B1000,Показатели!$E:$W,6,FALSE)=0,"",VLOOKUP($B1000,Показатели!$E:$W,6,FALSE)),"")</f>
        <v>194831259447.18738</v>
      </c>
      <c r="J1000">
        <f>IFERROR(IF(VLOOKUP($B1000,Показатели!$E:$W,7,FALSE)=0,"",VLOOKUP($B1000,Показатели!$E:$W,7,FALSE)),"")</f>
        <v>17191320731.343739</v>
      </c>
      <c r="K1000">
        <f>IFERROR(IF(VLOOKUP($B1000,Показатели!$E:$W,8,FALSE)=0,"",VLOOKUP($B1000,Показатели!$E:$W,8,FALSE)),"")</f>
        <v>70784682364.968704</v>
      </c>
      <c r="L1000">
        <f>IFERROR(IF(VLOOKUP($B1000,Показатели!$E:$W,9,FALSE)=0,"",VLOOKUP($B1000,Показатели!$E:$W,9,FALSE)),"")</f>
        <v>135123937495.96866</v>
      </c>
      <c r="M1000">
        <f>IFERROR(IF(VLOOKUP($B1000,Показатели!$E:$W,10,FALSE)=0,"",VLOOKUP($B1000,Показатели!$E:$W,10,FALSE)),"")</f>
        <v>106855256350.87492</v>
      </c>
      <c r="N1000">
        <f>IFERROR(IF(VLOOKUP($B1000,Показатели!$E:$W,11,FALSE)=0,"",VLOOKUP($B1000,Показатели!$E:$W,11,FALSE)),"")</f>
        <v>56048636186.906212</v>
      </c>
      <c r="O1000">
        <f>IFERROR(IF(VLOOKUP($B1000,Показатели!$E:$W,12,FALSE)=0,"",VLOOKUP($B1000,Показатели!$E:$W,12,FALSE)),"")</f>
        <v>36050649745.031227</v>
      </c>
      <c r="P1000">
        <f>IFERROR(IF(VLOOKUP($B1000,Показатели!$E:$W,13,FALSE)=0,"",VLOOKUP($B1000,Показатели!$E:$W,13,FALSE)),"")</f>
        <v>68787665351.812454</v>
      </c>
      <c r="Q1000">
        <f>IFERROR(IF(VLOOKUP($B1000,Показатели!$E:$W,14,FALSE)=0,"",VLOOKUP($B1000,Показатели!$E:$W,14,FALSE)),"")</f>
        <v>61019928352.499954</v>
      </c>
      <c r="R1000">
        <f>IFERROR(IF(VLOOKUP($B1000,Показатели!$E:$W,15,FALSE)=0,"",VLOOKUP($B1000,Показатели!$E:$W,15,FALSE)),"")</f>
        <v>4628892792.3749971</v>
      </c>
      <c r="S1000">
        <f>IFERROR(IF(VLOOKUP($B1000,Показатели!$E:$W,16,FALSE)=0,"",VLOOKUP($B1000,Показатели!$E:$W,16,FALSE)),"")</f>
        <v>41820205327.499969</v>
      </c>
      <c r="T1000">
        <f>IFERROR(IF(VLOOKUP($B1000,Показатели!$E:$W,17,FALSE)=0,"",VLOOKUP($B1000,Показатели!$E:$W,17,FALSE)),"")</f>
        <v>-5147569946.0624962</v>
      </c>
      <c r="U1000">
        <f>IFERROR(IF(VLOOKUP($B1000,Показатели!$E:$W,18,FALSE)=0,"",VLOOKUP($B1000,Показатели!$E:$W,18,FALSE)),"")</f>
        <v>59804426302.917931</v>
      </c>
      <c r="V1000">
        <f>IFERROR(IF(VLOOKUP($B1000,Показатели!$E:$W,19,FALSE)=0,"",VLOOKUP($B1000,Показатели!$E:$W,19,FALSE)),"")</f>
        <v>125272981899.86708</v>
      </c>
    </row>
    <row r="1001" spans="1:22" x14ac:dyDescent="0.2">
      <c r="A1001" s="7" t="s">
        <v>2303</v>
      </c>
      <c r="B1001" t="str">
        <f t="shared" si="15"/>
        <v>NMTP IV кв. 2018</v>
      </c>
      <c r="C1001">
        <v>2018</v>
      </c>
      <c r="D1001">
        <f>SUMIFS(Дивиденды!$C:$C,Дивиденды!$A:$A,A1001,Дивиденды!$I:$I,C1001)</f>
        <v>1.28</v>
      </c>
      <c r="E1001">
        <f>IFERROR(IF(VLOOKUP($B1001,Показатели!$E:$W,2,FALSE)=0,"",VLOOKUP($B1001,Показатели!$E:$W,2,FALSE)),"")</f>
        <v>10867868120.104649</v>
      </c>
      <c r="F1001">
        <f>IFERROR(IF(VLOOKUP($B1001,Показатели!$E:$W,3,FALSE)=0,"",VLOOKUP($B1001,Показатели!$E:$W,3,FALSE)),"")</f>
        <v>15481957594.959133</v>
      </c>
      <c r="G1001">
        <f>IFERROR(IF(VLOOKUP($B1001,Показатели!$E:$W,4,FALSE)=0,"",VLOOKUP($B1001,Показатели!$E:$W,4,FALSE)),"")</f>
        <v>68980801108.751816</v>
      </c>
      <c r="H1001">
        <f>IFERROR(IF(VLOOKUP($B1001,Показатели!$E:$W,5,FALSE)=0,"",VLOOKUP($B1001,Показатели!$E:$W,5,FALSE)),"")</f>
        <v>32337982384.74086</v>
      </c>
      <c r="I1001">
        <f>IFERROR(IF(VLOOKUP($B1001,Показатели!$E:$W,6,FALSE)=0,"",VLOOKUP($B1001,Показатели!$E:$W,6,FALSE)),"")</f>
        <v>125272981899.86708</v>
      </c>
      <c r="J1001">
        <f>IFERROR(IF(VLOOKUP($B1001,Показатели!$E:$W,7,FALSE)=0,"",VLOOKUP($B1001,Показатели!$E:$W,7,FALSE)),"")</f>
        <v>20202798812.896011</v>
      </c>
      <c r="K1001">
        <f>IFERROR(IF(VLOOKUP($B1001,Показатели!$E:$W,8,FALSE)=0,"",VLOOKUP($B1001,Показатели!$E:$W,8,FALSE)),"")</f>
        <v>59049745546.757133</v>
      </c>
      <c r="L1001">
        <f>IFERROR(IF(VLOOKUP($B1001,Показатели!$E:$W,9,FALSE)=0,"",VLOOKUP($B1001,Показатели!$E:$W,9,FALSE)),"")</f>
        <v>81370981777.146835</v>
      </c>
      <c r="M1001">
        <f>IFERROR(IF(VLOOKUP($B1001,Показатели!$E:$W,10,FALSE)=0,"",VLOOKUP($B1001,Показатели!$E:$W,10,FALSE)),"")</f>
        <v>46020437540.213943</v>
      </c>
      <c r="N1001">
        <f>IFERROR(IF(VLOOKUP($B1001,Показатели!$E:$W,11,FALSE)=0,"",VLOOKUP($B1001,Показатели!$E:$W,11,FALSE)),"")</f>
        <v>59804426302.917931</v>
      </c>
      <c r="O1001">
        <f>IFERROR(IF(VLOOKUP($B1001,Показатели!$E:$W,12,FALSE)=0,"",VLOOKUP($B1001,Показатели!$E:$W,12,FALSE)),"")</f>
        <v>36721593714.636536</v>
      </c>
      <c r="P1001">
        <f>IFERROR(IF(VLOOKUP($B1001,Показатели!$E:$W,13,FALSE)=0,"",VLOOKUP($B1001,Показатели!$E:$W,13,FALSE)),"")</f>
        <v>20965149600.06744</v>
      </c>
      <c r="Q1001">
        <f>IFERROR(IF(VLOOKUP($B1001,Показатели!$E:$W,14,FALSE)=0,"",VLOOKUP($B1001,Показатели!$E:$W,14,FALSE)),"")</f>
        <v>16855899051.568436</v>
      </c>
      <c r="R1001">
        <f>IFERROR(IF(VLOOKUP($B1001,Показатели!$E:$W,15,FALSE)=0,"",VLOOKUP($B1001,Показатели!$E:$W,15,FALSE)),"")</f>
        <v>4549271425.903986</v>
      </c>
      <c r="S1001">
        <f>IFERROR(IF(VLOOKUP($B1001,Показатели!$E:$W,16,FALSE)=0,"",VLOOKUP($B1001,Показатели!$E:$W,16,FALSE)),"")</f>
        <v>42086654668.359795</v>
      </c>
      <c r="T1001">
        <f>IFERROR(IF(VLOOKUP($B1001,Показатели!$E:$W,17,FALSE)=0,"",VLOOKUP($B1001,Показатели!$E:$W,17,FALSE)),"")</f>
        <v>-5348212033.1425238</v>
      </c>
      <c r="U1001">
        <f>IFERROR(IF(VLOOKUP($B1001,Показатели!$E:$W,18,FALSE)=0,"",VLOOKUP($B1001,Показатели!$E:$W,18,FALSE)),"")</f>
        <v>52471710276.836945</v>
      </c>
      <c r="V1001">
        <f>IFERROR(IF(VLOOKUP($B1001,Показатели!$E:$W,19,FALSE)=0,"",VLOOKUP($B1001,Показатели!$E:$W,19,FALSE)),"")</f>
        <v>128899563971.31612</v>
      </c>
    </row>
    <row r="1002" spans="1:22" x14ac:dyDescent="0.2">
      <c r="A1002" s="7" t="s">
        <v>2303</v>
      </c>
      <c r="B1002" t="str">
        <f t="shared" si="15"/>
        <v>NMTP IV кв. 2017</v>
      </c>
      <c r="C1002">
        <v>2017</v>
      </c>
      <c r="D1002">
        <f>SUMIFS(Дивиденды!$C:$C,Дивиденды!$A:$A,A1002,Дивиденды!$I:$I,C1002)</f>
        <v>0</v>
      </c>
      <c r="E1002">
        <f>IFERROR(IF(VLOOKUP($B1002,Показатели!$E:$W,2,FALSE)=0,"",VLOOKUP($B1002,Показатели!$E:$W,2,FALSE)),"")</f>
        <v>7086644054.8541222</v>
      </c>
      <c r="F1002">
        <f>IFERROR(IF(VLOOKUP($B1002,Показатели!$E:$W,3,FALSE)=0,"",VLOOKUP($B1002,Показатели!$E:$W,3,FALSE)),"")</f>
        <v>11187495242.708906</v>
      </c>
      <c r="G1002">
        <f>IFERROR(IF(VLOOKUP($B1002,Показатели!$E:$W,4,FALSE)=0,"",VLOOKUP($B1002,Показатели!$E:$W,4,FALSE)),"")</f>
        <v>74648028881.742538</v>
      </c>
      <c r="H1002">
        <f>IFERROR(IF(VLOOKUP($B1002,Показатели!$E:$W,5,FALSE)=0,"",VLOOKUP($B1002,Показатели!$E:$W,5,FALSE)),"")</f>
        <v>34147538553.832329</v>
      </c>
      <c r="I1002">
        <f>IFERROR(IF(VLOOKUP($B1002,Показатели!$E:$W,6,FALSE)=0,"",VLOOKUP($B1002,Показатели!$E:$W,6,FALSE)),"")</f>
        <v>128899563971.31612</v>
      </c>
      <c r="J1002">
        <f>IFERROR(IF(VLOOKUP($B1002,Показатели!$E:$W,7,FALSE)=0,"",VLOOKUP($B1002,Показатели!$E:$W,7,FALSE)),"")</f>
        <v>15031070135.635637</v>
      </c>
      <c r="K1002">
        <f>IFERROR(IF(VLOOKUP($B1002,Показатели!$E:$W,8,FALSE)=0,"",VLOOKUP($B1002,Показатели!$E:$W,8,FALSE)),"")</f>
        <v>66676195761.383469</v>
      </c>
      <c r="L1002">
        <f>IFERROR(IF(VLOOKUP($B1002,Показатели!$E:$W,9,FALSE)=0,"",VLOOKUP($B1002,Показатели!$E:$W,9,FALSE)),"")</f>
        <v>70847955375.03891</v>
      </c>
      <c r="M1002">
        <f>IFERROR(IF(VLOOKUP($B1002,Показатели!$E:$W,10,FALSE)=0,"",VLOOKUP($B1002,Показатели!$E:$W,10,FALSE)),"")</f>
        <v>47192298074.297012</v>
      </c>
      <c r="N1002">
        <f>IFERROR(IF(VLOOKUP($B1002,Показатели!$E:$W,11,FALSE)=0,"",VLOOKUP($B1002,Показатели!$E:$W,11,FALSE)),"")</f>
        <v>52471710276.836945</v>
      </c>
      <c r="O1002" t="str">
        <f>IFERROR(IF(VLOOKUP($B1002,Показатели!$E:$W,12,FALSE)=0,"",VLOOKUP($B1002,Показатели!$E:$W,12,FALSE)),"")</f>
        <v/>
      </c>
      <c r="P1002">
        <f>IFERROR(IF(VLOOKUP($B1002,Показатели!$E:$W,13,FALSE)=0,"",VLOOKUP($B1002,Показатели!$E:$W,13,FALSE)),"")</f>
        <v>32282693605.555103</v>
      </c>
      <c r="Q1002">
        <f>IFERROR(IF(VLOOKUP($B1002,Показатели!$E:$W,14,FALSE)=0,"",VLOOKUP($B1002,Показатели!$E:$W,14,FALSE)),"")</f>
        <v>25596542205.634312</v>
      </c>
      <c r="R1002">
        <f>IFERROR(IF(VLOOKUP($B1002,Показатели!$E:$W,15,FALSE)=0,"",VLOOKUP($B1002,Показатели!$E:$W,15,FALSE)),"")</f>
        <v>4286869179.8811865</v>
      </c>
      <c r="S1002">
        <f>IFERROR(IF(VLOOKUP($B1002,Показатели!$E:$W,16,FALSE)=0,"",VLOOKUP($B1002,Показатели!$E:$W,16,FALSE)),"")</f>
        <v>38121617605.428368</v>
      </c>
      <c r="T1002">
        <f>IFERROR(IF(VLOOKUP($B1002,Показатели!$E:$W,17,FALSE)=0,"",VLOOKUP($B1002,Показатели!$E:$W,17,FALSE)),"")</f>
        <v>-8683774708.0237579</v>
      </c>
      <c r="U1002">
        <f>IFERROR(IF(VLOOKUP($B1002,Показатели!$E:$W,18,FALSE)=0,"",VLOOKUP($B1002,Показатели!$E:$W,18,FALSE)),"")</f>
        <v>58024793000</v>
      </c>
      <c r="V1002">
        <f>IFERROR(IF(VLOOKUP($B1002,Показатели!$E:$W,19,FALSE)=0,"",VLOOKUP($B1002,Показатели!$E:$W,19,FALSE)),"")</f>
        <v>132350434000</v>
      </c>
    </row>
    <row r="1003" spans="1:22" x14ac:dyDescent="0.2">
      <c r="A1003" s="7" t="s">
        <v>2303</v>
      </c>
      <c r="B1003" t="str">
        <f t="shared" si="15"/>
        <v>NMTP IV кв. 2016</v>
      </c>
      <c r="C1003">
        <v>2016</v>
      </c>
      <c r="D1003">
        <f>SUMIFS(Дивиденды!$C:$C,Дивиденды!$A:$A,A1003,Дивиденды!$I:$I,C1003)</f>
        <v>1.3019000000000001</v>
      </c>
      <c r="E1003">
        <f>IFERROR(IF(VLOOKUP($B1003,Показатели!$E:$W,2,FALSE)=0,"",VLOOKUP($B1003,Показатели!$E:$W,2,FALSE)),"")</f>
        <v>14202111000</v>
      </c>
      <c r="F1003">
        <f>IFERROR(IF(VLOOKUP($B1003,Показатели!$E:$W,3,FALSE)=0,"",VLOOKUP($B1003,Показатели!$E:$W,3,FALSE)),"")</f>
        <v>18153922000</v>
      </c>
      <c r="G1003">
        <f>IFERROR(IF(VLOOKUP($B1003,Показатели!$E:$W,4,FALSE)=0,"",VLOOKUP($B1003,Показатели!$E:$W,4,FALSE)),"")</f>
        <v>69424210000</v>
      </c>
      <c r="H1003" t="str">
        <f>IFERROR(IF(VLOOKUP($B1003,Показатели!$E:$W,5,FALSE)=0,"",VLOOKUP($B1003,Показатели!$E:$W,5,FALSE)),"")</f>
        <v/>
      </c>
      <c r="I1003">
        <f>IFERROR(IF(VLOOKUP($B1003,Показатели!$E:$W,6,FALSE)=0,"",VLOOKUP($B1003,Показатели!$E:$W,6,FALSE)),"")</f>
        <v>132350434000</v>
      </c>
      <c r="J1003">
        <f>IFERROR(IF(VLOOKUP($B1003,Показатели!$E:$W,7,FALSE)=0,"",VLOOKUP($B1003,Показатели!$E:$W,7,FALSE)),"")</f>
        <v>15562857000</v>
      </c>
      <c r="K1003">
        <f>IFERROR(IF(VLOOKUP($B1003,Показатели!$E:$W,8,FALSE)=0,"",VLOOKUP($B1003,Показатели!$E:$W,8,FALSE)),"")</f>
        <v>80920798000</v>
      </c>
      <c r="L1003">
        <f>IFERROR(IF(VLOOKUP($B1003,Показатели!$E:$W,9,FALSE)=0,"",VLOOKUP($B1003,Показатели!$E:$W,9,FALSE)),"")</f>
        <v>34458562000</v>
      </c>
      <c r="M1003">
        <f>IFERROR(IF(VLOOKUP($B1003,Показатели!$E:$W,10,FALSE)=0,"",VLOOKUP($B1003,Показатели!$E:$W,10,FALSE)),"")</f>
        <v>35866779000</v>
      </c>
      <c r="N1003">
        <f>IFERROR(IF(VLOOKUP($B1003,Показатели!$E:$W,11,FALSE)=0,"",VLOOKUP($B1003,Показатели!$E:$W,11,FALSE)),"")</f>
        <v>58024793000</v>
      </c>
      <c r="O1003">
        <f>IFERROR(IF(VLOOKUP($B1003,Показатели!$E:$W,12,FALSE)=0,"",VLOOKUP($B1003,Показатели!$E:$W,12,FALSE)),"")</f>
        <v>40226734000</v>
      </c>
      <c r="P1003">
        <f>IFERROR(IF(VLOOKUP($B1003,Показатели!$E:$W,13,FALSE)=0,"",VLOOKUP($B1003,Показатели!$E:$W,13,FALSE)),"")</f>
        <v>53067119000</v>
      </c>
      <c r="Q1003">
        <f>IFERROR(IF(VLOOKUP($B1003,Показатели!$E:$W,14,FALSE)=0,"",VLOOKUP($B1003,Показатели!$E:$W,14,FALSE)),"")</f>
        <v>42421861000</v>
      </c>
      <c r="R1003" t="str">
        <f>IFERROR(IF(VLOOKUP($B1003,Показатели!$E:$W,15,FALSE)=0,"",VLOOKUP($B1003,Показатели!$E:$W,15,FALSE)),"")</f>
        <v/>
      </c>
      <c r="S1003" t="str">
        <f>IFERROR(IF(VLOOKUP($B1003,Показатели!$E:$W,16,FALSE)=0,"",VLOOKUP($B1003,Показатели!$E:$W,16,FALSE)),"")</f>
        <v/>
      </c>
      <c r="T1003">
        <f>IFERROR(IF(VLOOKUP($B1003,Показатели!$E:$W,17,FALSE)=0,"",VLOOKUP($B1003,Показатели!$E:$W,17,FALSE)),"")</f>
        <v>-6640164000</v>
      </c>
      <c r="U1003" t="str">
        <f>IFERROR(IF(VLOOKUP($B1003,Показатели!$E:$W,18,FALSE)=0,"",VLOOKUP($B1003,Показатели!$E:$W,18,FALSE)),"")</f>
        <v/>
      </c>
      <c r="V1003" t="str">
        <f>IFERROR(IF(VLOOKUP($B1003,Показатели!$E:$W,19,FALSE)=0,"",VLOOKUP($B1003,Показатели!$E:$W,19,FALSE)),"")</f>
        <v/>
      </c>
    </row>
    <row r="1004" spans="1:22" x14ac:dyDescent="0.2">
      <c r="A1004" s="7" t="s">
        <v>2303</v>
      </c>
      <c r="B1004" t="str">
        <f t="shared" si="15"/>
        <v>NMTP IV кв. 2015</v>
      </c>
      <c r="C1004">
        <v>2015</v>
      </c>
      <c r="D1004">
        <f>SUMIFS(Дивиденды!$C:$C,Дивиденды!$A:$A,A1004,Дивиденды!$I:$I,C1004)</f>
        <v>0</v>
      </c>
      <c r="E1004" t="str">
        <f>IFERROR(IF(VLOOKUP($B1004,Показатели!$E:$W,2,FALSE)=0,"",VLOOKUP($B1004,Показатели!$E:$W,2,FALSE)),"")</f>
        <v/>
      </c>
      <c r="F1004" t="str">
        <f>IFERROR(IF(VLOOKUP($B1004,Показатели!$E:$W,3,FALSE)=0,"",VLOOKUP($B1004,Показатели!$E:$W,3,FALSE)),"")</f>
        <v/>
      </c>
      <c r="G1004" t="str">
        <f>IFERROR(IF(VLOOKUP($B1004,Показатели!$E:$W,4,FALSE)=0,"",VLOOKUP($B1004,Показатели!$E:$W,4,FALSE)),"")</f>
        <v/>
      </c>
      <c r="H1004" t="str">
        <f>IFERROR(IF(VLOOKUP($B1004,Показатели!$E:$W,5,FALSE)=0,"",VLOOKUP($B1004,Показатели!$E:$W,5,FALSE)),"")</f>
        <v/>
      </c>
      <c r="I1004" t="str">
        <f>IFERROR(IF(VLOOKUP($B1004,Показатели!$E:$W,6,FALSE)=0,"",VLOOKUP($B1004,Показатели!$E:$W,6,FALSE)),"")</f>
        <v/>
      </c>
      <c r="J1004" t="str">
        <f>IFERROR(IF(VLOOKUP($B1004,Показатели!$E:$W,7,FALSE)=0,"",VLOOKUP($B1004,Показатели!$E:$W,7,FALSE)),"")</f>
        <v/>
      </c>
      <c r="K1004" t="str">
        <f>IFERROR(IF(VLOOKUP($B1004,Показатели!$E:$W,8,FALSE)=0,"",VLOOKUP($B1004,Показатели!$E:$W,8,FALSE)),"")</f>
        <v/>
      </c>
      <c r="L1004" t="str">
        <f>IFERROR(IF(VLOOKUP($B1004,Показатели!$E:$W,9,FALSE)=0,"",VLOOKUP($B1004,Показатели!$E:$W,9,FALSE)),"")</f>
        <v/>
      </c>
      <c r="M1004" t="str">
        <f>IFERROR(IF(VLOOKUP($B1004,Показатели!$E:$W,10,FALSE)=0,"",VLOOKUP($B1004,Показатели!$E:$W,10,FALSE)),"")</f>
        <v/>
      </c>
      <c r="N1004" t="str">
        <f>IFERROR(IF(VLOOKUP($B1004,Показатели!$E:$W,11,FALSE)=0,"",VLOOKUP($B1004,Показатели!$E:$W,11,FALSE)),"")</f>
        <v/>
      </c>
      <c r="O1004" t="str">
        <f>IFERROR(IF(VLOOKUP($B1004,Показатели!$E:$W,12,FALSE)=0,"",VLOOKUP($B1004,Показатели!$E:$W,12,FALSE)),"")</f>
        <v/>
      </c>
      <c r="P1004" t="str">
        <f>IFERROR(IF(VLOOKUP($B1004,Показатели!$E:$W,13,FALSE)=0,"",VLOOKUP($B1004,Показатели!$E:$W,13,FALSE)),"")</f>
        <v/>
      </c>
      <c r="Q1004" t="str">
        <f>IFERROR(IF(VLOOKUP($B1004,Показатели!$E:$W,14,FALSE)=0,"",VLOOKUP($B1004,Показатели!$E:$W,14,FALSE)),"")</f>
        <v/>
      </c>
      <c r="R1004" t="str">
        <f>IFERROR(IF(VLOOKUP($B1004,Показатели!$E:$W,15,FALSE)=0,"",VLOOKUP($B1004,Показатели!$E:$W,15,FALSE)),"")</f>
        <v/>
      </c>
      <c r="S1004" t="str">
        <f>IFERROR(IF(VLOOKUP($B1004,Показатели!$E:$W,16,FALSE)=0,"",VLOOKUP($B1004,Показатели!$E:$W,16,FALSE)),"")</f>
        <v/>
      </c>
      <c r="T1004" t="str">
        <f>IFERROR(IF(VLOOKUP($B1004,Показатели!$E:$W,17,FALSE)=0,"",VLOOKUP($B1004,Показатели!$E:$W,17,FALSE)),"")</f>
        <v/>
      </c>
      <c r="U1004" t="str">
        <f>IFERROR(IF(VLOOKUP($B1004,Показатели!$E:$W,18,FALSE)=0,"",VLOOKUP($B1004,Показатели!$E:$W,18,FALSE)),"")</f>
        <v/>
      </c>
      <c r="V1004" t="str">
        <f>IFERROR(IF(VLOOKUP($B1004,Показатели!$E:$W,19,FALSE)=0,"",VLOOKUP($B1004,Показатели!$E:$W,19,FALSE)),"")</f>
        <v/>
      </c>
    </row>
    <row r="1005" spans="1:22" x14ac:dyDescent="0.2">
      <c r="A1005" s="7" t="s">
        <v>2303</v>
      </c>
      <c r="B1005" t="str">
        <f t="shared" si="15"/>
        <v>NMTP IV кв. 2014</v>
      </c>
      <c r="C1005">
        <v>2014</v>
      </c>
      <c r="D1005">
        <f>SUMIFS(Дивиденды!$C:$C,Дивиденды!$A:$A,A1005,Дивиденды!$I:$I,C1005)</f>
        <v>0.23</v>
      </c>
      <c r="E1005">
        <f>IFERROR(IF(VLOOKUP($B1005,Показатели!$E:$W,2,FALSE)=0,"",VLOOKUP($B1005,Показатели!$E:$W,2,FALSE)),"")</f>
        <v>12044093581.451328</v>
      </c>
      <c r="F1005">
        <f>IFERROR(IF(VLOOKUP($B1005,Показатели!$E:$W,3,FALSE)=0,"",VLOOKUP($B1005,Показатели!$E:$W,3,FALSE)),"")</f>
        <v>14160162095.203421</v>
      </c>
      <c r="G1005">
        <f>IFERROR(IF(VLOOKUP($B1005,Показатели!$E:$W,4,FALSE)=0,"",VLOOKUP($B1005,Показатели!$E:$W,4,FALSE)),"")</f>
        <v>45094795286.535736</v>
      </c>
      <c r="H1005" t="str">
        <f>IFERROR(IF(VLOOKUP($B1005,Показатели!$E:$W,5,FALSE)=0,"",VLOOKUP($B1005,Показатели!$E:$W,5,FALSE)),"")</f>
        <v/>
      </c>
      <c r="I1005">
        <f>IFERROR(IF(VLOOKUP($B1005,Показатели!$E:$W,6,FALSE)=0,"",VLOOKUP($B1005,Показатели!$E:$W,6,FALSE)),"")</f>
        <v>89942757258.747513</v>
      </c>
      <c r="J1005">
        <f>IFERROR(IF(VLOOKUP($B1005,Показатели!$E:$W,7,FALSE)=0,"",VLOOKUP($B1005,Показатели!$E:$W,7,FALSE)),"")</f>
        <v>72042458019.631927</v>
      </c>
      <c r="K1005">
        <f>IFERROR(IF(VLOOKUP($B1005,Показатели!$E:$W,8,FALSE)=0,"",VLOOKUP($B1005,Показатели!$E:$W,8,FALSE)),"")</f>
        <v>6513213301.7897329</v>
      </c>
      <c r="L1005" t="str">
        <f>IFERROR(IF(VLOOKUP($B1005,Показатели!$E:$W,9,FALSE)=0,"",VLOOKUP($B1005,Показатели!$E:$W,9,FALSE)),"")</f>
        <v/>
      </c>
      <c r="M1005">
        <f>IFERROR(IF(VLOOKUP($B1005,Показатели!$E:$W,10,FALSE)=0,"",VLOOKUP($B1005,Показатели!$E:$W,10,FALSE)),"")</f>
        <v>11387085937.325853</v>
      </c>
      <c r="N1005">
        <f>IFERROR(IF(VLOOKUP($B1005,Показатели!$E:$W,11,FALSE)=0,"",VLOOKUP($B1005,Показатели!$E:$W,11,FALSE)),"")</f>
        <v>37042246021.846001</v>
      </c>
      <c r="O1005">
        <f>IFERROR(IF(VLOOKUP($B1005,Показатели!$E:$W,12,FALSE)=0,"",VLOOKUP($B1005,Показатели!$E:$W,12,FALSE)),"")</f>
        <v>18677855188.446384</v>
      </c>
      <c r="P1005">
        <f>IFERROR(IF(VLOOKUP($B1005,Показатели!$E:$W,13,FALSE)=0,"",VLOOKUP($B1005,Показатели!$E:$W,13,FALSE)),"")</f>
        <v>-19071168260.124332</v>
      </c>
      <c r="Q1005">
        <f>IFERROR(IF(VLOOKUP($B1005,Показатели!$E:$W,14,FALSE)=0,"",VLOOKUP($B1005,Показатели!$E:$W,14,FALSE)),"")</f>
        <v>-16072965235.162355</v>
      </c>
      <c r="R1005" t="str">
        <f>IFERROR(IF(VLOOKUP($B1005,Показатели!$E:$W,15,FALSE)=0,"",VLOOKUP($B1005,Показатели!$E:$W,15,FALSE)),"")</f>
        <v/>
      </c>
      <c r="S1005">
        <f>IFERROR(IF(VLOOKUP($B1005,Показатели!$E:$W,16,FALSE)=0,"",VLOOKUP($B1005,Показатели!$E:$W,16,FALSE)),"")</f>
        <v>22059177007.18631</v>
      </c>
      <c r="T1005" t="str">
        <f>IFERROR(IF(VLOOKUP($B1005,Показатели!$E:$W,17,FALSE)=0,"",VLOOKUP($B1005,Показатели!$E:$W,17,FALSE)),"")</f>
        <v/>
      </c>
      <c r="U1005">
        <f>IFERROR(IF(VLOOKUP($B1005,Показатели!$E:$W,18,FALSE)=0,"",VLOOKUP($B1005,Показатели!$E:$W,18,FALSE)),"")</f>
        <v>29557805000</v>
      </c>
      <c r="V1005">
        <f>IFERROR(IF(VLOOKUP($B1005,Показатели!$E:$W,19,FALSE)=0,"",VLOOKUP($B1005,Показатели!$E:$W,19,FALSE)),"")</f>
        <v>119707738000</v>
      </c>
    </row>
    <row r="1006" spans="1:22" x14ac:dyDescent="0.2">
      <c r="A1006" s="7" t="s">
        <v>2303</v>
      </c>
      <c r="B1006" t="str">
        <f t="shared" si="15"/>
        <v>NMTP IV кв. 2013</v>
      </c>
      <c r="C1006">
        <v>2013</v>
      </c>
      <c r="D1006">
        <f>SUMIFS(Дивиденды!$C:$C,Дивиденды!$A:$A,A1006,Дивиденды!$I:$I,C1006)</f>
        <v>2.3400000000000001E-2</v>
      </c>
      <c r="E1006">
        <f>IFERROR(IF(VLOOKUP($B1006,Показатели!$E:$W,2,FALSE)=0,"",VLOOKUP($B1006,Показатели!$E:$W,2,FALSE)),"")</f>
        <v>13777885000</v>
      </c>
      <c r="F1006">
        <f>IFERROR(IF(VLOOKUP($B1006,Показатели!$E:$W,3,FALSE)=0,"",VLOOKUP($B1006,Показатели!$E:$W,3,FALSE)),"")</f>
        <v>16963174000</v>
      </c>
      <c r="G1006">
        <f>IFERROR(IF(VLOOKUP($B1006,Показатели!$E:$W,4,FALSE)=0,"",VLOOKUP($B1006,Показатели!$E:$W,4,FALSE)),"")</f>
        <v>64143085000</v>
      </c>
      <c r="H1006" t="str">
        <f>IFERROR(IF(VLOOKUP($B1006,Показатели!$E:$W,5,FALSE)=0,"",VLOOKUP($B1006,Показатели!$E:$W,5,FALSE)),"")</f>
        <v/>
      </c>
      <c r="I1006">
        <f>IFERROR(IF(VLOOKUP($B1006,Показатели!$E:$W,6,FALSE)=0,"",VLOOKUP($B1006,Показатели!$E:$W,6,FALSE)),"")</f>
        <v>119707738000</v>
      </c>
      <c r="J1006">
        <f>IFERROR(IF(VLOOKUP($B1006,Показатели!$E:$W,7,FALSE)=0,"",VLOOKUP($B1006,Показатели!$E:$W,7,FALSE)),"")</f>
        <v>15169581000</v>
      </c>
      <c r="K1006">
        <f>IFERROR(IF(VLOOKUP($B1006,Показатели!$E:$W,8,FALSE)=0,"",VLOOKUP($B1006,Показатели!$E:$W,8,FALSE)),"")</f>
        <v>67924655000</v>
      </c>
      <c r="L1006" t="str">
        <f>IFERROR(IF(VLOOKUP($B1006,Показатели!$E:$W,9,FALSE)=0,"",VLOOKUP($B1006,Показатели!$E:$W,9,FALSE)),"")</f>
        <v/>
      </c>
      <c r="M1006">
        <f>IFERROR(IF(VLOOKUP($B1006,Показатели!$E:$W,10,FALSE)=0,"",VLOOKUP($B1006,Показатели!$E:$W,10,FALSE)),"")</f>
        <v>36613502000</v>
      </c>
      <c r="N1006">
        <f>IFERROR(IF(VLOOKUP($B1006,Показатели!$E:$W,11,FALSE)=0,"",VLOOKUP($B1006,Показатели!$E:$W,11,FALSE)),"")</f>
        <v>29557805000</v>
      </c>
      <c r="O1006">
        <f>IFERROR(IF(VLOOKUP($B1006,Показатели!$E:$W,12,FALSE)=0,"",VLOOKUP($B1006,Показатели!$E:$W,12,FALSE)),"")</f>
        <v>5322807000</v>
      </c>
      <c r="P1006">
        <f>IFERROR(IF(VLOOKUP($B1006,Показатели!$E:$W,13,FALSE)=0,"",VLOOKUP($B1006,Показатели!$E:$W,13,FALSE)),"")</f>
        <v>-2168964000</v>
      </c>
      <c r="Q1006">
        <f>IFERROR(IF(VLOOKUP($B1006,Показатели!$E:$W,14,FALSE)=0,"",VLOOKUP($B1006,Показатели!$E:$W,14,FALSE)),"")</f>
        <v>-3334630000</v>
      </c>
      <c r="R1006" t="str">
        <f>IFERROR(IF(VLOOKUP($B1006,Показатели!$E:$W,15,FALSE)=0,"",VLOOKUP($B1006,Показатели!$E:$W,15,FALSE)),"")</f>
        <v/>
      </c>
      <c r="S1006" t="str">
        <f>IFERROR(IF(VLOOKUP($B1006,Показатели!$E:$W,16,FALSE)=0,"",VLOOKUP($B1006,Показатели!$E:$W,16,FALSE)),"")</f>
        <v/>
      </c>
      <c r="T1006" t="str">
        <f>IFERROR(IF(VLOOKUP($B1006,Показатели!$E:$W,17,FALSE)=0,"",VLOOKUP($B1006,Показатели!$E:$W,17,FALSE)),"")</f>
        <v/>
      </c>
      <c r="U1006">
        <f>IFERROR(IF(VLOOKUP($B1006,Показатели!$E:$W,18,FALSE)=0,"",VLOOKUP($B1006,Показатели!$E:$W,18,FALSE)),"")</f>
        <v>32140198000</v>
      </c>
      <c r="V1006">
        <f>IFERROR(IF(VLOOKUP($B1006,Показатели!$E:$W,19,FALSE)=0,"",VLOOKUP($B1006,Показатели!$E:$W,19,FALSE)),"")</f>
        <v>120921805000</v>
      </c>
    </row>
    <row r="1007" spans="1:22" x14ac:dyDescent="0.2">
      <c r="A1007" s="7" t="s">
        <v>2303</v>
      </c>
      <c r="B1007" t="str">
        <f t="shared" si="15"/>
        <v>NMTP IV кв. 2012</v>
      </c>
      <c r="C1007">
        <v>2012</v>
      </c>
      <c r="D1007">
        <f>SUMIFS(Дивиденды!$C:$C,Дивиденды!$A:$A,A1007,Дивиденды!$I:$I,C1007)</f>
        <v>2.3599999999999999E-2</v>
      </c>
      <c r="E1007">
        <f>IFERROR(IF(VLOOKUP($B1007,Показатели!$E:$W,2,FALSE)=0,"",VLOOKUP($B1007,Показатели!$E:$W,2,FALSE)),"")</f>
        <v>7367793000</v>
      </c>
      <c r="F1007">
        <f>IFERROR(IF(VLOOKUP($B1007,Показатели!$E:$W,3,FALSE)=0,"",VLOOKUP($B1007,Показатели!$E:$W,3,FALSE)),"")</f>
        <v>11428398000</v>
      </c>
      <c r="G1007">
        <f>IFERROR(IF(VLOOKUP($B1007,Показатели!$E:$W,4,FALSE)=0,"",VLOOKUP($B1007,Показатели!$E:$W,4,FALSE)),"")</f>
        <v>62836769000</v>
      </c>
      <c r="H1007" t="str">
        <f>IFERROR(IF(VLOOKUP($B1007,Показатели!$E:$W,5,FALSE)=0,"",VLOOKUP($B1007,Показатели!$E:$W,5,FALSE)),"")</f>
        <v/>
      </c>
      <c r="I1007">
        <f>IFERROR(IF(VLOOKUP($B1007,Показатели!$E:$W,6,FALSE)=0,"",VLOOKUP($B1007,Показатели!$E:$W,6,FALSE)),"")</f>
        <v>120921805000</v>
      </c>
      <c r="J1007">
        <f>IFERROR(IF(VLOOKUP($B1007,Показатели!$E:$W,7,FALSE)=0,"",VLOOKUP($B1007,Показатели!$E:$W,7,FALSE)),"")</f>
        <v>75477227000</v>
      </c>
      <c r="K1007">
        <f>IFERROR(IF(VLOOKUP($B1007,Показатели!$E:$W,8,FALSE)=0,"",VLOOKUP($B1007,Показатели!$E:$W,8,FALSE)),"")</f>
        <v>5099793000</v>
      </c>
      <c r="L1007" t="str">
        <f>IFERROR(IF(VLOOKUP($B1007,Показатели!$E:$W,9,FALSE)=0,"",VLOOKUP($B1007,Показатели!$E:$W,9,FALSE)),"")</f>
        <v/>
      </c>
      <c r="M1007">
        <f>IFERROR(IF(VLOOKUP($B1007,Показатели!$E:$W,10,FALSE)=0,"",VLOOKUP($B1007,Показатели!$E:$W,10,FALSE)),"")</f>
        <v>40344785000</v>
      </c>
      <c r="N1007">
        <f>IFERROR(IF(VLOOKUP($B1007,Показатели!$E:$W,11,FALSE)=0,"",VLOOKUP($B1007,Показатели!$E:$W,11,FALSE)),"")</f>
        <v>32140198000</v>
      </c>
      <c r="O1007">
        <f>IFERROR(IF(VLOOKUP($B1007,Показатели!$E:$W,12,FALSE)=0,"",VLOOKUP($B1007,Показатели!$E:$W,12,FALSE)),"")</f>
        <v>13019586000</v>
      </c>
      <c r="P1007">
        <f>IFERROR(IF(VLOOKUP($B1007,Показатели!$E:$W,13,FALSE)=0,"",VLOOKUP($B1007,Показатели!$E:$W,13,FALSE)),"")</f>
        <v>12930909000</v>
      </c>
      <c r="Q1007">
        <f>IFERROR(IF(VLOOKUP($B1007,Показатели!$E:$W,14,FALSE)=0,"",VLOOKUP($B1007,Показатели!$E:$W,14,FALSE)),"")</f>
        <v>9824085000</v>
      </c>
      <c r="R1007" t="str">
        <f>IFERROR(IF(VLOOKUP($B1007,Показатели!$E:$W,15,FALSE)=0,"",VLOOKUP($B1007,Показатели!$E:$W,15,FALSE)),"")</f>
        <v/>
      </c>
      <c r="S1007" t="str">
        <f>IFERROR(IF(VLOOKUP($B1007,Показатели!$E:$W,16,FALSE)=0,"",VLOOKUP($B1007,Показатели!$E:$W,16,FALSE)),"")</f>
        <v/>
      </c>
      <c r="T1007" t="str">
        <f>IFERROR(IF(VLOOKUP($B1007,Показатели!$E:$W,17,FALSE)=0,"",VLOOKUP($B1007,Показатели!$E:$W,17,FALSE)),"")</f>
        <v/>
      </c>
      <c r="U1007">
        <f>IFERROR(IF(VLOOKUP($B1007,Показатели!$E:$W,18,FALSE)=0,"",VLOOKUP($B1007,Показатели!$E:$W,18,FALSE)),"")</f>
        <v>30859001823.796158</v>
      </c>
      <c r="V1007">
        <f>IFERROR(IF(VLOOKUP($B1007,Показатели!$E:$W,19,FALSE)=0,"",VLOOKUP($B1007,Показатели!$E:$W,19,FALSE)),"")</f>
        <v>112696150600.78847</v>
      </c>
    </row>
    <row r="1008" spans="1:22" x14ac:dyDescent="0.2">
      <c r="A1008" s="7" t="s">
        <v>2303</v>
      </c>
      <c r="B1008" t="str">
        <f t="shared" si="15"/>
        <v>NMTP IV кв. 2011</v>
      </c>
      <c r="C1008">
        <v>2011</v>
      </c>
      <c r="D1008">
        <f>SUMIFS(Дивиденды!$C:$C,Дивиденды!$A:$A,A1008,Дивиденды!$I:$I,C1008)</f>
        <v>2.35E-2</v>
      </c>
      <c r="E1008">
        <f>IFERROR(IF(VLOOKUP($B1008,Показатели!$E:$W,2,FALSE)=0,"",VLOOKUP($B1008,Показатели!$E:$W,2,FALSE)),"")</f>
        <v>3749457267.023077</v>
      </c>
      <c r="F1008">
        <f>IFERROR(IF(VLOOKUP($B1008,Показатели!$E:$W,3,FALSE)=0,"",VLOOKUP($B1008,Показатели!$E:$W,3,FALSE)),"")</f>
        <v>8636700546.3576927</v>
      </c>
      <c r="G1008">
        <f>IFERROR(IF(VLOOKUP($B1008,Показатели!$E:$W,4,FALSE)=0,"",VLOOKUP($B1008,Показатели!$E:$W,4,FALSE)),"")</f>
        <v>57862168372.130775</v>
      </c>
      <c r="H1008" t="str">
        <f>IFERROR(IF(VLOOKUP($B1008,Показатели!$E:$W,5,FALSE)=0,"",VLOOKUP($B1008,Показатели!$E:$W,5,FALSE)),"")</f>
        <v/>
      </c>
      <c r="I1008">
        <f>IFERROR(IF(VLOOKUP($B1008,Показатели!$E:$W,6,FALSE)=0,"",VLOOKUP($B1008,Показатели!$E:$W,6,FALSE)),"")</f>
        <v>112696150600.78847</v>
      </c>
      <c r="J1008">
        <f>IFERROR(IF(VLOOKUP($B1008,Показатели!$E:$W,7,FALSE)=0,"",VLOOKUP($B1008,Показатели!$E:$W,7,FALSE)),"")</f>
        <v>14048777283.576923</v>
      </c>
      <c r="K1008">
        <f>IFERROR(IF(VLOOKUP($B1008,Показатели!$E:$W,8,FALSE)=0,"",VLOOKUP($B1008,Показатели!$E:$W,8,FALSE)),"")</f>
        <v>70298280921.92308</v>
      </c>
      <c r="L1008" t="str">
        <f>IFERROR(IF(VLOOKUP($B1008,Показатели!$E:$W,9,FALSE)=0,"",VLOOKUP($B1008,Показатели!$E:$W,9,FALSE)),"")</f>
        <v/>
      </c>
      <c r="M1008">
        <f>IFERROR(IF(VLOOKUP($B1008,Показатели!$E:$W,10,FALSE)=0,"",VLOOKUP($B1008,Показатели!$E:$W,10,FALSE)),"")</f>
        <v>28349092395.288464</v>
      </c>
      <c r="N1008">
        <f>IFERROR(IF(VLOOKUP($B1008,Показатели!$E:$W,11,FALSE)=0,"",VLOOKUP($B1008,Показатели!$E:$W,11,FALSE)),"")</f>
        <v>30859001823.796158</v>
      </c>
      <c r="O1008">
        <f>IFERROR(IF(VLOOKUP($B1008,Показатели!$E:$W,12,FALSE)=0,"",VLOOKUP($B1008,Показатели!$E:$W,12,FALSE)),"")</f>
        <v>13973183624.180771</v>
      </c>
      <c r="P1008">
        <f>IFERROR(IF(VLOOKUP($B1008,Показатели!$E:$W,13,FALSE)=0,"",VLOOKUP($B1008,Показатели!$E:$W,13,FALSE)),"")</f>
        <v>4837288542.9230776</v>
      </c>
      <c r="Q1008">
        <f>IFERROR(IF(VLOOKUP($B1008,Показатели!$E:$W,14,FALSE)=0,"",VLOOKUP($B1008,Показатели!$E:$W,14,FALSE)),"")</f>
        <v>3831519462.0346155</v>
      </c>
      <c r="R1008" t="str">
        <f>IFERROR(IF(VLOOKUP($B1008,Показатели!$E:$W,15,FALSE)=0,"",VLOOKUP($B1008,Показатели!$E:$W,15,FALSE)),"")</f>
        <v/>
      </c>
      <c r="S1008">
        <f>IFERROR(IF(VLOOKUP($B1008,Показатели!$E:$W,16,FALSE)=0,"",VLOOKUP($B1008,Показатели!$E:$W,16,FALSE)),"")</f>
        <v>16179395305.546156</v>
      </c>
      <c r="T1008" t="str">
        <f>IFERROR(IF(VLOOKUP($B1008,Показатели!$E:$W,17,FALSE)=0,"",VLOOKUP($B1008,Показатели!$E:$W,17,FALSE)),"")</f>
        <v/>
      </c>
      <c r="U1008" t="str">
        <f>IFERROR(IF(VLOOKUP($B1008,Показатели!$E:$W,18,FALSE)=0,"",VLOOKUP($B1008,Показатели!$E:$W,18,FALSE)),"")</f>
        <v/>
      </c>
      <c r="V1008" t="str">
        <f>IFERROR(IF(VLOOKUP($B1008,Показатели!$E:$W,19,FALSE)=0,"",VLOOKUP($B1008,Показатели!$E:$W,19,FALSE)),"")</f>
        <v/>
      </c>
    </row>
    <row r="1009" spans="1:22" x14ac:dyDescent="0.2">
      <c r="A1009" s="7" t="s">
        <v>2303</v>
      </c>
      <c r="B1009" t="str">
        <f t="shared" si="15"/>
        <v>NMTP IV кв. 2010</v>
      </c>
      <c r="C1009">
        <v>2010</v>
      </c>
      <c r="D1009">
        <f>SUMIFS(Дивиденды!$C:$C,Дивиденды!$A:$A,A1009,Дивиденды!$I:$I,C1009)</f>
        <v>2.3E-2</v>
      </c>
      <c r="E1009" t="str">
        <f>IFERROR(IF(VLOOKUP($B1009,Показатели!$E:$W,2,FALSE)=0,"",VLOOKUP($B1009,Показатели!$E:$W,2,FALSE)),"")</f>
        <v/>
      </c>
      <c r="F1009" t="str">
        <f>IFERROR(IF(VLOOKUP($B1009,Показатели!$E:$W,3,FALSE)=0,"",VLOOKUP($B1009,Показатели!$E:$W,3,FALSE)),"")</f>
        <v/>
      </c>
      <c r="G1009" t="str">
        <f>IFERROR(IF(VLOOKUP($B1009,Показатели!$E:$W,4,FALSE)=0,"",VLOOKUP($B1009,Показатели!$E:$W,4,FALSE)),"")</f>
        <v/>
      </c>
      <c r="H1009" t="str">
        <f>IFERROR(IF(VLOOKUP($B1009,Показатели!$E:$W,5,FALSE)=0,"",VLOOKUP($B1009,Показатели!$E:$W,5,FALSE)),"")</f>
        <v/>
      </c>
      <c r="I1009" t="str">
        <f>IFERROR(IF(VLOOKUP($B1009,Показатели!$E:$W,6,FALSE)=0,"",VLOOKUP($B1009,Показатели!$E:$W,6,FALSE)),"")</f>
        <v/>
      </c>
      <c r="J1009" t="str">
        <f>IFERROR(IF(VLOOKUP($B1009,Показатели!$E:$W,7,FALSE)=0,"",VLOOKUP($B1009,Показатели!$E:$W,7,FALSE)),"")</f>
        <v/>
      </c>
      <c r="K1009" t="str">
        <f>IFERROR(IF(VLOOKUP($B1009,Показатели!$E:$W,8,FALSE)=0,"",VLOOKUP($B1009,Показатели!$E:$W,8,FALSE)),"")</f>
        <v/>
      </c>
      <c r="L1009" t="str">
        <f>IFERROR(IF(VLOOKUP($B1009,Показатели!$E:$W,9,FALSE)=0,"",VLOOKUP($B1009,Показатели!$E:$W,9,FALSE)),"")</f>
        <v/>
      </c>
      <c r="M1009" t="str">
        <f>IFERROR(IF(VLOOKUP($B1009,Показатели!$E:$W,10,FALSE)=0,"",VLOOKUP($B1009,Показатели!$E:$W,10,FALSE)),"")</f>
        <v/>
      </c>
      <c r="N1009" t="str">
        <f>IFERROR(IF(VLOOKUP($B1009,Показатели!$E:$W,11,FALSE)=0,"",VLOOKUP($B1009,Показатели!$E:$W,11,FALSE)),"")</f>
        <v/>
      </c>
      <c r="O1009" t="str">
        <f>IFERROR(IF(VLOOKUP($B1009,Показатели!$E:$W,12,FALSE)=0,"",VLOOKUP($B1009,Показатели!$E:$W,12,FALSE)),"")</f>
        <v/>
      </c>
      <c r="P1009" t="str">
        <f>IFERROR(IF(VLOOKUP($B1009,Показатели!$E:$W,13,FALSE)=0,"",VLOOKUP($B1009,Показатели!$E:$W,13,FALSE)),"")</f>
        <v/>
      </c>
      <c r="Q1009" t="str">
        <f>IFERROR(IF(VLOOKUP($B1009,Показатели!$E:$W,14,FALSE)=0,"",VLOOKUP($B1009,Показатели!$E:$W,14,FALSE)),"")</f>
        <v/>
      </c>
      <c r="R1009" t="str">
        <f>IFERROR(IF(VLOOKUP($B1009,Показатели!$E:$W,15,FALSE)=0,"",VLOOKUP($B1009,Показатели!$E:$W,15,FALSE)),"")</f>
        <v/>
      </c>
      <c r="S1009" t="str">
        <f>IFERROR(IF(VLOOKUP($B1009,Показатели!$E:$W,16,FALSE)=0,"",VLOOKUP($B1009,Показатели!$E:$W,16,FALSE)),"")</f>
        <v/>
      </c>
      <c r="T1009" t="str">
        <f>IFERROR(IF(VLOOKUP($B1009,Показатели!$E:$W,17,FALSE)=0,"",VLOOKUP($B1009,Показатели!$E:$W,17,FALSE)),"")</f>
        <v/>
      </c>
      <c r="U1009" t="str">
        <f>IFERROR(IF(VLOOKUP($B1009,Показатели!$E:$W,18,FALSE)=0,"",VLOOKUP($B1009,Показатели!$E:$W,18,FALSE)),"")</f>
        <v/>
      </c>
      <c r="V1009" t="str">
        <f>IFERROR(IF(VLOOKUP($B1009,Показатели!$E:$W,19,FALSE)=0,"",VLOOKUP($B1009,Показатели!$E:$W,19,FALSE)),"")</f>
        <v/>
      </c>
    </row>
    <row r="1010" spans="1:22" x14ac:dyDescent="0.2">
      <c r="A1010" s="7" t="s">
        <v>2324</v>
      </c>
      <c r="B1010" t="str">
        <f t="shared" si="15"/>
        <v>ETLN IV кв. 2025</v>
      </c>
      <c r="C1010">
        <v>2025</v>
      </c>
      <c r="D1010">
        <f>SUMIFS(Дивиденды!$C:$C,Дивиденды!$A:$A,A1010,Дивиденды!$I:$I,C1010)</f>
        <v>0</v>
      </c>
      <c r="E1010" t="str">
        <f>IFERROR(IF(VLOOKUP($B1010,Показатели!$E:$W,2,FALSE)=0,"",VLOOKUP($B1010,Показатели!$E:$W,2,FALSE)),"")</f>
        <v/>
      </c>
      <c r="F1010" t="str">
        <f>IFERROR(IF(VLOOKUP($B1010,Показатели!$E:$W,3,FALSE)=0,"",VLOOKUP($B1010,Показатели!$E:$W,3,FALSE)),"")</f>
        <v/>
      </c>
      <c r="G1010" t="str">
        <f>IFERROR(IF(VLOOKUP($B1010,Показатели!$E:$W,4,FALSE)=0,"",VLOOKUP($B1010,Показатели!$E:$W,4,FALSE)),"")</f>
        <v/>
      </c>
      <c r="H1010" t="str">
        <f>IFERROR(IF(VLOOKUP($B1010,Показатели!$E:$W,5,FALSE)=0,"",VLOOKUP($B1010,Показатели!$E:$W,5,FALSE)),"")</f>
        <v/>
      </c>
      <c r="I1010" t="str">
        <f>IFERROR(IF(VLOOKUP($B1010,Показатели!$E:$W,6,FALSE)=0,"",VLOOKUP($B1010,Показатели!$E:$W,6,FALSE)),"")</f>
        <v/>
      </c>
      <c r="J1010" t="str">
        <f>IFERROR(IF(VLOOKUP($B1010,Показатели!$E:$W,7,FALSE)=0,"",VLOOKUP($B1010,Показатели!$E:$W,7,FALSE)),"")</f>
        <v/>
      </c>
      <c r="K1010" t="str">
        <f>IFERROR(IF(VLOOKUP($B1010,Показатели!$E:$W,8,FALSE)=0,"",VLOOKUP($B1010,Показатели!$E:$W,8,FALSE)),"")</f>
        <v/>
      </c>
      <c r="L1010" t="str">
        <f>IFERROR(IF(VLOOKUP($B1010,Показатели!$E:$W,9,FALSE)=0,"",VLOOKUP($B1010,Показатели!$E:$W,9,FALSE)),"")</f>
        <v/>
      </c>
      <c r="M1010" t="str">
        <f>IFERROR(IF(VLOOKUP($B1010,Показатели!$E:$W,10,FALSE)=0,"",VLOOKUP($B1010,Показатели!$E:$W,10,FALSE)),"")</f>
        <v/>
      </c>
      <c r="N1010" t="str">
        <f>IFERROR(IF(VLOOKUP($B1010,Показатели!$E:$W,11,FALSE)=0,"",VLOOKUP($B1010,Показатели!$E:$W,11,FALSE)),"")</f>
        <v/>
      </c>
      <c r="O1010" t="str">
        <f>IFERROR(IF(VLOOKUP($B1010,Показатели!$E:$W,12,FALSE)=0,"",VLOOKUP($B1010,Показатели!$E:$W,12,FALSE)),"")</f>
        <v/>
      </c>
      <c r="P1010" t="str">
        <f>IFERROR(IF(VLOOKUP($B1010,Показатели!$E:$W,13,FALSE)=0,"",VLOOKUP($B1010,Показатели!$E:$W,13,FALSE)),"")</f>
        <v/>
      </c>
      <c r="Q1010" t="str">
        <f>IFERROR(IF(VLOOKUP($B1010,Показатели!$E:$W,14,FALSE)=0,"",VLOOKUP($B1010,Показатели!$E:$W,14,FALSE)),"")</f>
        <v/>
      </c>
      <c r="R1010" t="str">
        <f>IFERROR(IF(VLOOKUP($B1010,Показатели!$E:$W,15,FALSE)=0,"",VLOOKUP($B1010,Показатели!$E:$W,15,FALSE)),"")</f>
        <v/>
      </c>
      <c r="S1010" t="str">
        <f>IFERROR(IF(VLOOKUP($B1010,Показатели!$E:$W,16,FALSE)=0,"",VLOOKUP($B1010,Показатели!$E:$W,16,FALSE)),"")</f>
        <v/>
      </c>
      <c r="T1010" t="str">
        <f>IFERROR(IF(VLOOKUP($B1010,Показатели!$E:$W,17,FALSE)=0,"",VLOOKUP($B1010,Показатели!$E:$W,17,FALSE)),"")</f>
        <v/>
      </c>
      <c r="U1010" t="str">
        <f>IFERROR(IF(VLOOKUP($B1010,Показатели!$E:$W,18,FALSE)=0,"",VLOOKUP($B1010,Показатели!$E:$W,18,FALSE)),"")</f>
        <v/>
      </c>
      <c r="V1010" t="str">
        <f>IFERROR(IF(VLOOKUP($B1010,Показатели!$E:$W,19,FALSE)=0,"",VLOOKUP($B1010,Показатели!$E:$W,19,FALSE)),"")</f>
        <v/>
      </c>
    </row>
    <row r="1011" spans="1:22" x14ac:dyDescent="0.2">
      <c r="A1011" s="7" t="s">
        <v>2324</v>
      </c>
      <c r="B1011" t="str">
        <f t="shared" si="15"/>
        <v>ETLN IV кв. 2024</v>
      </c>
      <c r="C1011">
        <v>2024</v>
      </c>
      <c r="D1011">
        <f>SUMIFS(Дивиденды!$C:$C,Дивиденды!$A:$A,A1011,Дивиденды!$I:$I,C1011)</f>
        <v>0</v>
      </c>
      <c r="E1011">
        <f>IFERROR(IF(VLOOKUP($B1011,Показатели!$E:$W,2,FALSE)=0,"",VLOOKUP($B1011,Показатели!$E:$W,2,FALSE)),"")</f>
        <v>4320000000</v>
      </c>
      <c r="F1011">
        <f>IFERROR(IF(VLOOKUP($B1011,Показатели!$E:$W,3,FALSE)=0,"",VLOOKUP($B1011,Показатели!$E:$W,3,FALSE)),"")</f>
        <v>279950000000</v>
      </c>
      <c r="G1011">
        <f>IFERROR(IF(VLOOKUP($B1011,Показатели!$E:$W,4,FALSE)=0,"",VLOOKUP($B1011,Показатели!$E:$W,4,FALSE)),"")</f>
        <v>7259000000</v>
      </c>
      <c r="H1011">
        <f>IFERROR(IF(VLOOKUP($B1011,Показатели!$E:$W,5,FALSE)=0,"",VLOOKUP($B1011,Показатели!$E:$W,5,FALSE)),"")</f>
        <v>6714000000</v>
      </c>
      <c r="I1011">
        <f>IFERROR(IF(VLOOKUP($B1011,Показатели!$E:$W,6,FALSE)=0,"",VLOOKUP($B1011,Показатели!$E:$W,6,FALSE)),"")</f>
        <v>321906000000</v>
      </c>
      <c r="J1011">
        <f>IFERROR(IF(VLOOKUP($B1011,Показатели!$E:$W,7,FALSE)=0,"",VLOOKUP($B1011,Показатели!$E:$W,7,FALSE)),"")</f>
        <v>99035000000</v>
      </c>
      <c r="K1011">
        <f>IFERROR(IF(VLOOKUP($B1011,Показатели!$E:$W,8,FALSE)=0,"",VLOOKUP($B1011,Показатели!$E:$W,8,FALSE)),"")</f>
        <v>158086000000</v>
      </c>
      <c r="L1011">
        <f>IFERROR(IF(VLOOKUP($B1011,Показатели!$E:$W,9,FALSE)=0,"",VLOOKUP($B1011,Показатели!$E:$W,9,FALSE)),"")</f>
        <v>37609000000</v>
      </c>
      <c r="M1011">
        <f>IFERROR(IF(VLOOKUP($B1011,Показатели!$E:$W,10,FALSE)=0,"",VLOOKUP($B1011,Показатели!$E:$W,10,FALSE)),"")</f>
        <v>64785000000</v>
      </c>
      <c r="N1011">
        <f>IFERROR(IF(VLOOKUP($B1011,Показатели!$E:$W,11,FALSE)=0,"",VLOOKUP($B1011,Показатели!$E:$W,11,FALSE)),"")</f>
        <v>130946000000</v>
      </c>
      <c r="O1011">
        <f>IFERROR(IF(VLOOKUP($B1011,Показатели!$E:$W,12,FALSE)=0,"",VLOOKUP($B1011,Показатели!$E:$W,12,FALSE)),"")</f>
        <v>23721000000</v>
      </c>
      <c r="P1011">
        <f>IFERROR(IF(VLOOKUP($B1011,Показатели!$E:$W,13,FALSE)=0,"",VLOOKUP($B1011,Показатели!$E:$W,13,FALSE)),"")</f>
        <v>-7093000000</v>
      </c>
      <c r="Q1011">
        <f>IFERROR(IF(VLOOKUP($B1011,Показатели!$E:$W,14,FALSE)=0,"",VLOOKUP($B1011,Показатели!$E:$W,14,FALSE)),"")</f>
        <v>-6914000000</v>
      </c>
      <c r="R1011">
        <f>IFERROR(IF(VLOOKUP($B1011,Показатели!$E:$W,15,FALSE)=0,"",VLOOKUP($B1011,Показатели!$E:$W,15,FALSE)),"")</f>
        <v>911000000</v>
      </c>
      <c r="S1011">
        <f>IFERROR(IF(VLOOKUP($B1011,Показатели!$E:$W,16,FALSE)=0,"",VLOOKUP($B1011,Показатели!$E:$W,16,FALSE)),"")</f>
        <v>27646000000</v>
      </c>
      <c r="T1011">
        <f>IFERROR(IF(VLOOKUP($B1011,Показатели!$E:$W,17,FALSE)=0,"",VLOOKUP($B1011,Показатели!$E:$W,17,FALSE)),"")</f>
        <v>-6467000000</v>
      </c>
      <c r="U1011">
        <f>IFERROR(IF(VLOOKUP($B1011,Показатели!$E:$W,18,FALSE)=0,"",VLOOKUP($B1011,Показатели!$E:$W,18,FALSE)),"")</f>
        <v>88791000000</v>
      </c>
      <c r="V1011">
        <f>IFERROR(IF(VLOOKUP($B1011,Показатели!$E:$W,19,FALSE)=0,"",VLOOKUP($B1011,Показатели!$E:$W,19,FALSE)),"")</f>
        <v>260391000000</v>
      </c>
    </row>
    <row r="1012" spans="1:22" x14ac:dyDescent="0.2">
      <c r="A1012" s="7" t="s">
        <v>2324</v>
      </c>
      <c r="B1012" t="str">
        <f t="shared" si="15"/>
        <v>ETLN IV кв. 2023</v>
      </c>
      <c r="C1012">
        <v>2023</v>
      </c>
      <c r="D1012">
        <f>SUMIFS(Дивиденды!$C:$C,Дивиденды!$A:$A,A1012,Дивиденды!$I:$I,C1012)</f>
        <v>0</v>
      </c>
      <c r="E1012">
        <f>IFERROR(IF(VLOOKUP($B1012,Показатели!$E:$W,2,FALSE)=0,"",VLOOKUP($B1012,Показатели!$E:$W,2,FALSE)),"")</f>
        <v>9724000000</v>
      </c>
      <c r="F1012">
        <f>IFERROR(IF(VLOOKUP($B1012,Показатели!$E:$W,3,FALSE)=0,"",VLOOKUP($B1012,Показатели!$E:$W,3,FALSE)),"")</f>
        <v>224736000000</v>
      </c>
      <c r="G1012">
        <f>IFERROR(IF(VLOOKUP($B1012,Показатели!$E:$W,4,FALSE)=0,"",VLOOKUP($B1012,Показатели!$E:$W,4,FALSE)),"")</f>
        <v>6184000000</v>
      </c>
      <c r="H1012">
        <f>IFERROR(IF(VLOOKUP($B1012,Показатели!$E:$W,5,FALSE)=0,"",VLOOKUP($B1012,Показатели!$E:$W,5,FALSE)),"")</f>
        <v>2956000000</v>
      </c>
      <c r="I1012">
        <f>IFERROR(IF(VLOOKUP($B1012,Показатели!$E:$W,6,FALSE)=0,"",VLOOKUP($B1012,Показатели!$E:$W,6,FALSE)),"")</f>
        <v>260391000000</v>
      </c>
      <c r="J1012">
        <f>IFERROR(IF(VLOOKUP($B1012,Показатели!$E:$W,7,FALSE)=0,"",VLOOKUP($B1012,Показатели!$E:$W,7,FALSE)),"")</f>
        <v>94487000000</v>
      </c>
      <c r="K1012">
        <f>IFERROR(IF(VLOOKUP($B1012,Показатели!$E:$W,8,FALSE)=0,"",VLOOKUP($B1012,Показатели!$E:$W,8,FALSE)),"")</f>
        <v>95013000000</v>
      </c>
      <c r="L1012">
        <f>IFERROR(IF(VLOOKUP($B1012,Показатели!$E:$W,9,FALSE)=0,"",VLOOKUP($B1012,Показатели!$E:$W,9,FALSE)),"")</f>
        <v>44523000000</v>
      </c>
      <c r="M1012">
        <f>IFERROR(IF(VLOOKUP($B1012,Показатели!$E:$W,10,FALSE)=0,"",VLOOKUP($B1012,Показатели!$E:$W,10,FALSE)),"")</f>
        <v>70891000000</v>
      </c>
      <c r="N1012">
        <f>IFERROR(IF(VLOOKUP($B1012,Показатели!$E:$W,11,FALSE)=0,"",VLOOKUP($B1012,Показатели!$E:$W,11,FALSE)),"")</f>
        <v>88791000000</v>
      </c>
      <c r="O1012">
        <f>IFERROR(IF(VLOOKUP($B1012,Показатели!$E:$W,12,FALSE)=0,"",VLOOKUP($B1012,Показатели!$E:$W,12,FALSE)),"")</f>
        <v>11941000000</v>
      </c>
      <c r="P1012">
        <f>IFERROR(IF(VLOOKUP($B1012,Показатели!$E:$W,13,FALSE)=0,"",VLOOKUP($B1012,Показатели!$E:$W,13,FALSE)),"")</f>
        <v>-954000000</v>
      </c>
      <c r="Q1012">
        <f>IFERROR(IF(VLOOKUP($B1012,Показатели!$E:$W,14,FALSE)=0,"",VLOOKUP($B1012,Показатели!$E:$W,14,FALSE)),"")</f>
        <v>-3370000000</v>
      </c>
      <c r="R1012">
        <f>IFERROR(IF(VLOOKUP($B1012,Показатели!$E:$W,15,FALSE)=0,"",VLOOKUP($B1012,Показатели!$E:$W,15,FALSE)),"")</f>
        <v>797000000</v>
      </c>
      <c r="S1012">
        <f>IFERROR(IF(VLOOKUP($B1012,Показатели!$E:$W,16,FALSE)=0,"",VLOOKUP($B1012,Показатели!$E:$W,16,FALSE)),"")</f>
        <v>18135000000</v>
      </c>
      <c r="T1012">
        <f>IFERROR(IF(VLOOKUP($B1012,Показатели!$E:$W,17,FALSE)=0,"",VLOOKUP($B1012,Показатели!$E:$W,17,FALSE)),"")</f>
        <v>-2146000000</v>
      </c>
      <c r="U1012">
        <f>IFERROR(IF(VLOOKUP($B1012,Показатели!$E:$W,18,FALSE)=0,"",VLOOKUP($B1012,Показатели!$E:$W,18,FALSE)),"")</f>
        <v>80556000000</v>
      </c>
      <c r="V1012">
        <f>IFERROR(IF(VLOOKUP($B1012,Показатели!$E:$W,19,FALSE)=0,"",VLOOKUP($B1012,Показатели!$E:$W,19,FALSE)),"")</f>
        <v>248045000000</v>
      </c>
    </row>
    <row r="1013" spans="1:22" x14ac:dyDescent="0.2">
      <c r="A1013" s="7" t="s">
        <v>2324</v>
      </c>
      <c r="B1013" t="str">
        <f t="shared" si="15"/>
        <v>ETLN IV кв. 2022</v>
      </c>
      <c r="C1013">
        <v>2022</v>
      </c>
      <c r="D1013">
        <f>SUMIFS(Дивиденды!$C:$C,Дивиденды!$A:$A,A1013,Дивиденды!$I:$I,C1013)</f>
        <v>0</v>
      </c>
      <c r="E1013">
        <f>IFERROR(IF(VLOOKUP($B1013,Показатели!$E:$W,2,FALSE)=0,"",VLOOKUP($B1013,Показатели!$E:$W,2,FALSE)),"")</f>
        <v>23811000000</v>
      </c>
      <c r="F1013">
        <f>IFERROR(IF(VLOOKUP($B1013,Показатели!$E:$W,3,FALSE)=0,"",VLOOKUP($B1013,Показатели!$E:$W,3,FALSE)),"")</f>
        <v>226941000000</v>
      </c>
      <c r="G1013">
        <f>IFERROR(IF(VLOOKUP($B1013,Показатели!$E:$W,4,FALSE)=0,"",VLOOKUP($B1013,Показатели!$E:$W,4,FALSE)),"")</f>
        <v>4531000000</v>
      </c>
      <c r="H1013">
        <f>IFERROR(IF(VLOOKUP($B1013,Показатели!$E:$W,5,FALSE)=0,"",VLOOKUP($B1013,Показатели!$E:$W,5,FALSE)),"")</f>
        <v>2652000000</v>
      </c>
      <c r="I1013">
        <f>IFERROR(IF(VLOOKUP($B1013,Показатели!$E:$W,6,FALSE)=0,"",VLOOKUP($B1013,Показатели!$E:$W,6,FALSE)),"")</f>
        <v>248045000000</v>
      </c>
      <c r="J1013">
        <f>IFERROR(IF(VLOOKUP($B1013,Показатели!$E:$W,7,FALSE)=0,"",VLOOKUP($B1013,Показатели!$E:$W,7,FALSE)),"")</f>
        <v>68989000000</v>
      </c>
      <c r="K1013">
        <f>IFERROR(IF(VLOOKUP($B1013,Показатели!$E:$W,8,FALSE)=0,"",VLOOKUP($B1013,Показатели!$E:$W,8,FALSE)),"")</f>
        <v>104867000000</v>
      </c>
      <c r="L1013">
        <f>IFERROR(IF(VLOOKUP($B1013,Показатели!$E:$W,9,FALSE)=0,"",VLOOKUP($B1013,Показатели!$E:$W,9,FALSE)),"")</f>
        <v>47821000000</v>
      </c>
      <c r="M1013">
        <f>IFERROR(IF(VLOOKUP($B1013,Показатели!$E:$W,10,FALSE)=0,"",VLOOKUP($B1013,Показатели!$E:$W,10,FALSE)),"")</f>
        <v>74189000000</v>
      </c>
      <c r="N1013">
        <f>IFERROR(IF(VLOOKUP($B1013,Показатели!$E:$W,11,FALSE)=0,"",VLOOKUP($B1013,Показатели!$E:$W,11,FALSE)),"")</f>
        <v>80556000000</v>
      </c>
      <c r="O1013">
        <f>IFERROR(IF(VLOOKUP($B1013,Показатели!$E:$W,12,FALSE)=0,"",VLOOKUP($B1013,Показатели!$E:$W,12,FALSE)),"")</f>
        <v>25055000000</v>
      </c>
      <c r="P1013">
        <f>IFERROR(IF(VLOOKUP($B1013,Показатели!$E:$W,13,FALSE)=0,"",VLOOKUP($B1013,Показатели!$E:$W,13,FALSE)),"")</f>
        <v>15887000000</v>
      </c>
      <c r="Q1013">
        <f>IFERROR(IF(VLOOKUP($B1013,Показатели!$E:$W,14,FALSE)=0,"",VLOOKUP($B1013,Показатели!$E:$W,14,FALSE)),"")</f>
        <v>13001000000</v>
      </c>
      <c r="R1013">
        <f>IFERROR(IF(VLOOKUP($B1013,Показатели!$E:$W,15,FALSE)=0,"",VLOOKUP($B1013,Показатели!$E:$W,15,FALSE)),"")</f>
        <v>541000000</v>
      </c>
      <c r="S1013">
        <f>IFERROR(IF(VLOOKUP($B1013,Показатели!$E:$W,16,FALSE)=0,"",VLOOKUP($B1013,Показатели!$E:$W,16,FALSE)),"")</f>
        <v>16484000000</v>
      </c>
      <c r="T1013">
        <f>IFERROR(IF(VLOOKUP($B1013,Показатели!$E:$W,17,FALSE)=0,"",VLOOKUP($B1013,Показатели!$E:$W,17,FALSE)),"")</f>
        <v>-1201000000</v>
      </c>
      <c r="U1013">
        <f>IFERROR(IF(VLOOKUP($B1013,Показатели!$E:$W,18,FALSE)=0,"",VLOOKUP($B1013,Показатели!$E:$W,18,FALSE)),"")</f>
        <v>87138000000</v>
      </c>
      <c r="V1013">
        <f>IFERROR(IF(VLOOKUP($B1013,Показатели!$E:$W,19,FALSE)=0,"",VLOOKUP($B1013,Показатели!$E:$W,19,FALSE)),"")</f>
        <v>222098000000</v>
      </c>
    </row>
    <row r="1014" spans="1:22" x14ac:dyDescent="0.2">
      <c r="A1014" s="7" t="s">
        <v>2324</v>
      </c>
      <c r="B1014" t="str">
        <f t="shared" si="15"/>
        <v>ETLN IV кв. 2021</v>
      </c>
      <c r="C1014">
        <v>2021</v>
      </c>
      <c r="D1014">
        <f>SUMIFS(Дивиденды!$C:$C,Дивиденды!$A:$A,A1014,Дивиденды!$I:$I,C1014)</f>
        <v>0</v>
      </c>
      <c r="E1014">
        <f>IFERROR(IF(VLOOKUP($B1014,Показатели!$E:$W,2,FALSE)=0,"",VLOOKUP($B1014,Показатели!$E:$W,2,FALSE)),"")</f>
        <v>44587000000</v>
      </c>
      <c r="F1014">
        <f>IFERROR(IF(VLOOKUP($B1014,Показатели!$E:$W,3,FALSE)=0,"",VLOOKUP($B1014,Показатели!$E:$W,3,FALSE)),"")</f>
        <v>205451000000</v>
      </c>
      <c r="G1014">
        <f>IFERROR(IF(VLOOKUP($B1014,Показатели!$E:$W,4,FALSE)=0,"",VLOOKUP($B1014,Показатели!$E:$W,4,FALSE)),"")</f>
        <v>4050000000</v>
      </c>
      <c r="H1014" t="str">
        <f>IFERROR(IF(VLOOKUP($B1014,Показатели!$E:$W,5,FALSE)=0,"",VLOOKUP($B1014,Показатели!$E:$W,5,FALSE)),"")</f>
        <v/>
      </c>
      <c r="I1014">
        <f>IFERROR(IF(VLOOKUP($B1014,Показатели!$E:$W,6,FALSE)=0,"",VLOOKUP($B1014,Показатели!$E:$W,6,FALSE)),"")</f>
        <v>222098000000</v>
      </c>
      <c r="J1014">
        <f>IFERROR(IF(VLOOKUP($B1014,Показатели!$E:$W,7,FALSE)=0,"",VLOOKUP($B1014,Показатели!$E:$W,7,FALSE)),"")</f>
        <v>54831000000</v>
      </c>
      <c r="K1014">
        <f>IFERROR(IF(VLOOKUP($B1014,Показатели!$E:$W,8,FALSE)=0,"",VLOOKUP($B1014,Показатели!$E:$W,8,FALSE)),"")</f>
        <v>105907000000</v>
      </c>
      <c r="L1014">
        <f>IFERROR(IF(VLOOKUP($B1014,Показатели!$E:$W,9,FALSE)=0,"",VLOOKUP($B1014,Показатели!$E:$W,9,FALSE)),"")</f>
        <v>34992000000</v>
      </c>
      <c r="M1014">
        <f>IFERROR(IF(VLOOKUP($B1014,Показатели!$E:$W,10,FALSE)=0,"",VLOOKUP($B1014,Показатели!$E:$W,10,FALSE)),"")</f>
        <v>61360000000</v>
      </c>
      <c r="N1014">
        <f>IFERROR(IF(VLOOKUP($B1014,Показатели!$E:$W,11,FALSE)=0,"",VLOOKUP($B1014,Показатели!$E:$W,11,FALSE)),"")</f>
        <v>87138000000</v>
      </c>
      <c r="O1014">
        <f>IFERROR(IF(VLOOKUP($B1014,Показатели!$E:$W,12,FALSE)=0,"",VLOOKUP($B1014,Показатели!$E:$W,12,FALSE)),"")</f>
        <v>13246000000</v>
      </c>
      <c r="P1014">
        <f>IFERROR(IF(VLOOKUP($B1014,Показатели!$E:$W,13,FALSE)=0,"",VLOOKUP($B1014,Показатели!$E:$W,13,FALSE)),"")</f>
        <v>5849000000</v>
      </c>
      <c r="Q1014">
        <f>IFERROR(IF(VLOOKUP($B1014,Показатели!$E:$W,14,FALSE)=0,"",VLOOKUP($B1014,Показатели!$E:$W,14,FALSE)),"")</f>
        <v>3007000000</v>
      </c>
      <c r="R1014">
        <f>IFERROR(IF(VLOOKUP($B1014,Показатели!$E:$W,15,FALSE)=0,"",VLOOKUP($B1014,Показатели!$E:$W,15,FALSE)),"")</f>
        <v>521000000</v>
      </c>
      <c r="S1014">
        <f>IFERROR(IF(VLOOKUP($B1014,Показатели!$E:$W,16,FALSE)=0,"",VLOOKUP($B1014,Показатели!$E:$W,16,FALSE)),"")</f>
        <v>17880000000</v>
      </c>
      <c r="T1014">
        <f>IFERROR(IF(VLOOKUP($B1014,Показатели!$E:$W,17,FALSE)=0,"",VLOOKUP($B1014,Показатели!$E:$W,17,FALSE)),"")</f>
        <v>-560000000</v>
      </c>
      <c r="U1014">
        <f>IFERROR(IF(VLOOKUP($B1014,Показатели!$E:$W,18,FALSE)=0,"",VLOOKUP($B1014,Показатели!$E:$W,18,FALSE)),"")</f>
        <v>78655000000</v>
      </c>
      <c r="V1014">
        <f>IFERROR(IF(VLOOKUP($B1014,Показатели!$E:$W,19,FALSE)=0,"",VLOOKUP($B1014,Показатели!$E:$W,19,FALSE)),"")</f>
        <v>186519000000</v>
      </c>
    </row>
    <row r="1015" spans="1:22" x14ac:dyDescent="0.2">
      <c r="A1015" s="7" t="s">
        <v>2324</v>
      </c>
      <c r="B1015" t="str">
        <f t="shared" si="15"/>
        <v>ETLN IV кв. 2020</v>
      </c>
      <c r="C1015">
        <v>2020</v>
      </c>
      <c r="D1015">
        <f>SUMIFS(Дивиденды!$C:$C,Дивиденды!$A:$A,A1015,Дивиденды!$I:$I,C1015)</f>
        <v>0</v>
      </c>
      <c r="E1015">
        <f>IFERROR(IF(VLOOKUP($B1015,Показатели!$E:$W,2,FALSE)=0,"",VLOOKUP($B1015,Показатели!$E:$W,2,FALSE)),"")</f>
        <v>25830000000</v>
      </c>
      <c r="F1015">
        <f>IFERROR(IF(VLOOKUP($B1015,Показатели!$E:$W,3,FALSE)=0,"",VLOOKUP($B1015,Показатели!$E:$W,3,FALSE)),"")</f>
        <v>170951000000</v>
      </c>
      <c r="G1015">
        <f>IFERROR(IF(VLOOKUP($B1015,Показатели!$E:$W,4,FALSE)=0,"",VLOOKUP($B1015,Показатели!$E:$W,4,FALSE)),"")</f>
        <v>3508000000</v>
      </c>
      <c r="H1015" t="str">
        <f>IFERROR(IF(VLOOKUP($B1015,Показатели!$E:$W,5,FALSE)=0,"",VLOOKUP($B1015,Показатели!$E:$W,5,FALSE)),"")</f>
        <v/>
      </c>
      <c r="I1015">
        <f>IFERROR(IF(VLOOKUP($B1015,Показатели!$E:$W,6,FALSE)=0,"",VLOOKUP($B1015,Показатели!$E:$W,6,FALSE)),"")</f>
        <v>186519000000</v>
      </c>
      <c r="J1015">
        <f>IFERROR(IF(VLOOKUP($B1015,Показатели!$E:$W,7,FALSE)=0,"",VLOOKUP($B1015,Показатели!$E:$W,7,FALSE)),"")</f>
        <v>66017000000</v>
      </c>
      <c r="K1015">
        <f>IFERROR(IF(VLOOKUP($B1015,Показатели!$E:$W,8,FALSE)=0,"",VLOOKUP($B1015,Показатели!$E:$W,8,FALSE)),"")</f>
        <v>69429000000</v>
      </c>
      <c r="L1015">
        <f>IFERROR(IF(VLOOKUP($B1015,Показатели!$E:$W,9,FALSE)=0,"",VLOOKUP($B1015,Показатели!$E:$W,9,FALSE)),"")</f>
        <v>35586000000</v>
      </c>
      <c r="M1015">
        <f>IFERROR(IF(VLOOKUP($B1015,Показатели!$E:$W,10,FALSE)=0,"",VLOOKUP($B1015,Показатели!$E:$W,10,FALSE)),"")</f>
        <v>51073000000</v>
      </c>
      <c r="N1015">
        <f>IFERROR(IF(VLOOKUP($B1015,Показатели!$E:$W,11,FALSE)=0,"",VLOOKUP($B1015,Показатели!$E:$W,11,FALSE)),"")</f>
        <v>78655000000</v>
      </c>
      <c r="O1015">
        <f>IFERROR(IF(VLOOKUP($B1015,Показатели!$E:$W,12,FALSE)=0,"",VLOOKUP($B1015,Показатели!$E:$W,12,FALSE)),"")</f>
        <v>10218000000</v>
      </c>
      <c r="P1015">
        <f>IFERROR(IF(VLOOKUP($B1015,Показатели!$E:$W,13,FALSE)=0,"",VLOOKUP($B1015,Показатели!$E:$W,13,FALSE)),"")</f>
        <v>4722000000</v>
      </c>
      <c r="Q1015">
        <f>IFERROR(IF(VLOOKUP($B1015,Показатели!$E:$W,14,FALSE)=0,"",VLOOKUP($B1015,Показатели!$E:$W,14,FALSE)),"")</f>
        <v>2036000000</v>
      </c>
      <c r="R1015">
        <f>IFERROR(IF(VLOOKUP($B1015,Показатели!$E:$W,15,FALSE)=0,"",VLOOKUP($B1015,Показатели!$E:$W,15,FALSE)),"")</f>
        <v>481000000</v>
      </c>
      <c r="S1015">
        <f>IFERROR(IF(VLOOKUP($B1015,Показатели!$E:$W,16,FALSE)=0,"",VLOOKUP($B1015,Показатели!$E:$W,16,FALSE)),"")</f>
        <v>12601000000</v>
      </c>
      <c r="T1015">
        <f>IFERROR(IF(VLOOKUP($B1015,Показатели!$E:$W,17,FALSE)=0,"",VLOOKUP($B1015,Показатели!$E:$W,17,FALSE)),"")</f>
        <v>-396000000</v>
      </c>
      <c r="U1015">
        <f>IFERROR(IF(VLOOKUP($B1015,Показатели!$E:$W,18,FALSE)=0,"",VLOOKUP($B1015,Показатели!$E:$W,18,FALSE)),"")</f>
        <v>84330000000</v>
      </c>
      <c r="V1015">
        <f>IFERROR(IF(VLOOKUP($B1015,Показатели!$E:$W,19,FALSE)=0,"",VLOOKUP($B1015,Показатели!$E:$W,19,FALSE)),"")</f>
        <v>171344000000</v>
      </c>
    </row>
    <row r="1016" spans="1:22" x14ac:dyDescent="0.2">
      <c r="A1016" s="7" t="s">
        <v>2324</v>
      </c>
      <c r="B1016" t="str">
        <f t="shared" si="15"/>
        <v>ETLN IV кв. 2019</v>
      </c>
      <c r="C1016">
        <v>2019</v>
      </c>
      <c r="D1016">
        <f>SUMIFS(Дивиденды!$C:$C,Дивиденды!$A:$A,A1016,Дивиденды!$I:$I,C1016)</f>
        <v>0</v>
      </c>
      <c r="E1016">
        <f>IFERROR(IF(VLOOKUP($B1016,Показатели!$E:$W,2,FALSE)=0,"",VLOOKUP($B1016,Показатели!$E:$W,2,FALSE)),"")</f>
        <v>31128000000</v>
      </c>
      <c r="F1016">
        <f>IFERROR(IF(VLOOKUP($B1016,Показатели!$E:$W,3,FALSE)=0,"",VLOOKUP($B1016,Показатели!$E:$W,3,FALSE)),"")</f>
        <v>157915000000</v>
      </c>
      <c r="G1016">
        <f>IFERROR(IF(VLOOKUP($B1016,Показатели!$E:$W,4,FALSE)=0,"",VLOOKUP($B1016,Показатели!$E:$W,4,FALSE)),"")</f>
        <v>3561000000</v>
      </c>
      <c r="H1016" t="str">
        <f>IFERROR(IF(VLOOKUP($B1016,Показатели!$E:$W,5,FALSE)=0,"",VLOOKUP($B1016,Показатели!$E:$W,5,FALSE)),"")</f>
        <v/>
      </c>
      <c r="I1016">
        <f>IFERROR(IF(VLOOKUP($B1016,Показатели!$E:$W,6,FALSE)=0,"",VLOOKUP($B1016,Показатели!$E:$W,6,FALSE)),"")</f>
        <v>171344000000</v>
      </c>
      <c r="J1016">
        <f>IFERROR(IF(VLOOKUP($B1016,Показатели!$E:$W,7,FALSE)=0,"",VLOOKUP($B1016,Показатели!$E:$W,7,FALSE)),"")</f>
        <v>66704000000</v>
      </c>
      <c r="K1016">
        <f>IFERROR(IF(VLOOKUP($B1016,Показатели!$E:$W,8,FALSE)=0,"",VLOOKUP($B1016,Показатели!$E:$W,8,FALSE)),"")</f>
        <v>52064000000</v>
      </c>
      <c r="L1016">
        <f>IFERROR(IF(VLOOKUP($B1016,Показатели!$E:$W,9,FALSE)=0,"",VLOOKUP($B1016,Показатели!$E:$W,9,FALSE)),"")</f>
        <v>37089000000</v>
      </c>
      <c r="M1016">
        <f>IFERROR(IF(VLOOKUP($B1016,Показатели!$E:$W,10,FALSE)=0,"",VLOOKUP($B1016,Показатели!$E:$W,10,FALSE)),"")</f>
        <v>52576000000</v>
      </c>
      <c r="N1016">
        <f>IFERROR(IF(VLOOKUP($B1016,Показатели!$E:$W,11,FALSE)=0,"",VLOOKUP($B1016,Показатели!$E:$W,11,FALSE)),"")</f>
        <v>84330000000</v>
      </c>
      <c r="O1016">
        <f>IFERROR(IF(VLOOKUP($B1016,Показатели!$E:$W,12,FALSE)=0,"",VLOOKUP($B1016,Показатели!$E:$W,12,FALSE)),"")</f>
        <v>6484000000</v>
      </c>
      <c r="P1016">
        <f>IFERROR(IF(VLOOKUP($B1016,Показатели!$E:$W,13,FALSE)=0,"",VLOOKUP($B1016,Показатели!$E:$W,13,FALSE)),"")</f>
        <v>1771000000</v>
      </c>
      <c r="Q1016">
        <f>IFERROR(IF(VLOOKUP($B1016,Показатели!$E:$W,14,FALSE)=0,"",VLOOKUP($B1016,Показатели!$E:$W,14,FALSE)),"")</f>
        <v>186000000</v>
      </c>
      <c r="R1016">
        <f>IFERROR(IF(VLOOKUP($B1016,Показатели!$E:$W,15,FALSE)=0,"",VLOOKUP($B1016,Показатели!$E:$W,15,FALSE)),"")</f>
        <v>542000000</v>
      </c>
      <c r="S1016">
        <f>IFERROR(IF(VLOOKUP($B1016,Показатели!$E:$W,16,FALSE)=0,"",VLOOKUP($B1016,Показатели!$E:$W,16,FALSE)),"")</f>
        <v>8897000000</v>
      </c>
      <c r="T1016">
        <f>IFERROR(IF(VLOOKUP($B1016,Показатели!$E:$W,17,FALSE)=0,"",VLOOKUP($B1016,Показатели!$E:$W,17,FALSE)),"")</f>
        <v>-496000000</v>
      </c>
      <c r="U1016">
        <f>IFERROR(IF(VLOOKUP($B1016,Показатели!$E:$W,18,FALSE)=0,"",VLOOKUP($B1016,Показатели!$E:$W,18,FALSE)),"")</f>
        <v>72327000000</v>
      </c>
      <c r="V1016">
        <f>IFERROR(IF(VLOOKUP($B1016,Показатели!$E:$W,19,FALSE)=0,"",VLOOKUP($B1016,Показатели!$E:$W,19,FALSE)),"")</f>
        <v>130571000000</v>
      </c>
    </row>
    <row r="1017" spans="1:22" x14ac:dyDescent="0.2">
      <c r="A1017" s="7" t="s">
        <v>2324</v>
      </c>
      <c r="B1017" t="str">
        <f t="shared" si="15"/>
        <v>ETLN IV кв. 2018</v>
      </c>
      <c r="C1017">
        <v>2018</v>
      </c>
      <c r="D1017">
        <f>SUMIFS(Дивиденды!$C:$C,Дивиденды!$A:$A,A1017,Дивиденды!$I:$I,C1017)</f>
        <v>0</v>
      </c>
      <c r="E1017">
        <f>IFERROR(IF(VLOOKUP($B1017,Показатели!$E:$W,2,FALSE)=0,"",VLOOKUP($B1017,Показатели!$E:$W,2,FALSE)),"")</f>
        <v>23066000000</v>
      </c>
      <c r="F1017">
        <f>IFERROR(IF(VLOOKUP($B1017,Показатели!$E:$W,3,FALSE)=0,"",VLOOKUP($B1017,Показатели!$E:$W,3,FALSE)),"")</f>
        <v>117730000000</v>
      </c>
      <c r="G1017">
        <f>IFERROR(IF(VLOOKUP($B1017,Показатели!$E:$W,4,FALSE)=0,"",VLOOKUP($B1017,Показатели!$E:$W,4,FALSE)),"")</f>
        <v>3195000000</v>
      </c>
      <c r="H1017" t="str">
        <f>IFERROR(IF(VLOOKUP($B1017,Показатели!$E:$W,5,FALSE)=0,"",VLOOKUP($B1017,Показатели!$E:$W,5,FALSE)),"")</f>
        <v/>
      </c>
      <c r="I1017">
        <f>IFERROR(IF(VLOOKUP($B1017,Показатели!$E:$W,6,FALSE)=0,"",VLOOKUP($B1017,Показатели!$E:$W,6,FALSE)),"")</f>
        <v>130571000000</v>
      </c>
      <c r="J1017">
        <f>IFERROR(IF(VLOOKUP($B1017,Показатели!$E:$W,7,FALSE)=0,"",VLOOKUP($B1017,Показатели!$E:$W,7,FALSE)),"")</f>
        <v>47972000000</v>
      </c>
      <c r="K1017">
        <f>IFERROR(IF(VLOOKUP($B1017,Показатели!$E:$W,8,FALSE)=0,"",VLOOKUP($B1017,Показатели!$E:$W,8,FALSE)),"")</f>
        <v>22483000000</v>
      </c>
      <c r="L1017">
        <f>IFERROR(IF(VLOOKUP($B1017,Показатели!$E:$W,9,FALSE)=0,"",VLOOKUP($B1017,Показатели!$E:$W,9,FALSE)),"")</f>
        <v>44627000000</v>
      </c>
      <c r="M1017">
        <f>IFERROR(IF(VLOOKUP($B1017,Показатели!$E:$W,10,FALSE)=0,"",VLOOKUP($B1017,Показатели!$E:$W,10,FALSE)),"")</f>
        <v>60116000000</v>
      </c>
      <c r="N1017">
        <f>IFERROR(IF(VLOOKUP($B1017,Показатели!$E:$W,11,FALSE)=0,"",VLOOKUP($B1017,Показатели!$E:$W,11,FALSE)),"")</f>
        <v>72327000000</v>
      </c>
      <c r="O1017">
        <f>IFERROR(IF(VLOOKUP($B1017,Показатели!$E:$W,12,FALSE)=0,"",VLOOKUP($B1017,Показатели!$E:$W,12,FALSE)),"")</f>
        <v>1076000000</v>
      </c>
      <c r="P1017">
        <f>IFERROR(IF(VLOOKUP($B1017,Показатели!$E:$W,13,FALSE)=0,"",VLOOKUP($B1017,Показатели!$E:$W,13,FALSE)),"")</f>
        <v>1345000000</v>
      </c>
      <c r="Q1017">
        <f>IFERROR(IF(VLOOKUP($B1017,Показатели!$E:$W,14,FALSE)=0,"",VLOOKUP($B1017,Показатели!$E:$W,14,FALSE)),"")</f>
        <v>37000000</v>
      </c>
      <c r="R1017">
        <f>IFERROR(IF(VLOOKUP($B1017,Показатели!$E:$W,15,FALSE)=0,"",VLOOKUP($B1017,Показатели!$E:$W,15,FALSE)),"")</f>
        <v>365000000</v>
      </c>
      <c r="S1017">
        <f>IFERROR(IF(VLOOKUP($B1017,Показатели!$E:$W,16,FALSE)=0,"",VLOOKUP($B1017,Показатели!$E:$W,16,FALSE)),"")</f>
        <v>5682000000</v>
      </c>
      <c r="T1017">
        <f>IFERROR(IF(VLOOKUP($B1017,Показатели!$E:$W,17,FALSE)=0,"",VLOOKUP($B1017,Показатели!$E:$W,17,FALSE)),"")</f>
        <v>-550000000</v>
      </c>
      <c r="U1017">
        <f>IFERROR(IF(VLOOKUP($B1017,Показатели!$E:$W,18,FALSE)=0,"",VLOOKUP($B1017,Показатели!$E:$W,18,FALSE)),"")</f>
        <v>70645000000</v>
      </c>
      <c r="V1017">
        <f>IFERROR(IF(VLOOKUP($B1017,Показатели!$E:$W,19,FALSE)=0,"",VLOOKUP($B1017,Показатели!$E:$W,19,FALSE)),"")</f>
        <v>134813000000</v>
      </c>
    </row>
    <row r="1018" spans="1:22" x14ac:dyDescent="0.2">
      <c r="A1018" s="7" t="s">
        <v>2324</v>
      </c>
      <c r="B1018" t="str">
        <f t="shared" si="15"/>
        <v>ETLN IV кв. 2017</v>
      </c>
      <c r="C1018">
        <v>2017</v>
      </c>
      <c r="D1018">
        <f>SUMIFS(Дивиденды!$C:$C,Дивиденды!$A:$A,A1018,Дивиденды!$I:$I,C1018)</f>
        <v>0</v>
      </c>
      <c r="E1018">
        <f>IFERROR(IF(VLOOKUP($B1018,Показатели!$E:$W,2,FALSE)=0,"",VLOOKUP($B1018,Показатели!$E:$W,2,FALSE)),"")</f>
        <v>14125000000</v>
      </c>
      <c r="F1018">
        <f>IFERROR(IF(VLOOKUP($B1018,Показатели!$E:$W,3,FALSE)=0,"",VLOOKUP($B1018,Показатели!$E:$W,3,FALSE)),"")</f>
        <v>122616000000</v>
      </c>
      <c r="G1018">
        <f>IFERROR(IF(VLOOKUP($B1018,Показатели!$E:$W,4,FALSE)=0,"",VLOOKUP($B1018,Показатели!$E:$W,4,FALSE)),"")</f>
        <v>3085000000</v>
      </c>
      <c r="H1018" t="str">
        <f>IFERROR(IF(VLOOKUP($B1018,Показатели!$E:$W,5,FALSE)=0,"",VLOOKUP($B1018,Показатели!$E:$W,5,FALSE)),"")</f>
        <v/>
      </c>
      <c r="I1018">
        <f>IFERROR(IF(VLOOKUP($B1018,Показатели!$E:$W,6,FALSE)=0,"",VLOOKUP($B1018,Показатели!$E:$W,6,FALSE)),"")</f>
        <v>134813000000</v>
      </c>
      <c r="J1018">
        <f>IFERROR(IF(VLOOKUP($B1018,Показатели!$E:$W,7,FALSE)=0,"",VLOOKUP($B1018,Показатели!$E:$W,7,FALSE)),"")</f>
        <v>45001000000</v>
      </c>
      <c r="K1018">
        <f>IFERROR(IF(VLOOKUP($B1018,Показатели!$E:$W,8,FALSE)=0,"",VLOOKUP($B1018,Показатели!$E:$W,8,FALSE)),"")</f>
        <v>27007000000</v>
      </c>
      <c r="L1018">
        <f>IFERROR(IF(VLOOKUP($B1018,Показатели!$E:$W,9,FALSE)=0,"",VLOOKUP($B1018,Показатели!$E:$W,9,FALSE)),"")</f>
        <v>48702000000</v>
      </c>
      <c r="M1018">
        <f>IFERROR(IF(VLOOKUP($B1018,Показатели!$E:$W,10,FALSE)=0,"",VLOOKUP($B1018,Показатели!$E:$W,10,FALSE)),"")</f>
        <v>62805000000</v>
      </c>
      <c r="N1018">
        <f>IFERROR(IF(VLOOKUP($B1018,Показатели!$E:$W,11,FALSE)=0,"",VLOOKUP($B1018,Показатели!$E:$W,11,FALSE)),"")</f>
        <v>70645000000</v>
      </c>
      <c r="O1018">
        <f>IFERROR(IF(VLOOKUP($B1018,Показатели!$E:$W,12,FALSE)=0,"",VLOOKUP($B1018,Показатели!$E:$W,12,FALSE)),"")</f>
        <v>10385000000</v>
      </c>
      <c r="P1018">
        <f>IFERROR(IF(VLOOKUP($B1018,Показатели!$E:$W,13,FALSE)=0,"",VLOOKUP($B1018,Показатели!$E:$W,13,FALSE)),"")</f>
        <v>10417000000</v>
      </c>
      <c r="Q1018">
        <f>IFERROR(IF(VLOOKUP($B1018,Показатели!$E:$W,14,FALSE)=0,"",VLOOKUP($B1018,Показатели!$E:$W,14,FALSE)),"")</f>
        <v>7893000000</v>
      </c>
      <c r="R1018">
        <f>IFERROR(IF(VLOOKUP($B1018,Показатели!$E:$W,15,FALSE)=0,"",VLOOKUP($B1018,Показатели!$E:$W,15,FALSE)),"")</f>
        <v>340000000</v>
      </c>
      <c r="S1018" t="str">
        <f>IFERROR(IF(VLOOKUP($B1018,Показатели!$E:$W,16,FALSE)=0,"",VLOOKUP($B1018,Показатели!$E:$W,16,FALSE)),"")</f>
        <v/>
      </c>
      <c r="T1018">
        <f>IFERROR(IF(VLOOKUP($B1018,Показатели!$E:$W,17,FALSE)=0,"",VLOOKUP($B1018,Показатели!$E:$W,17,FALSE)),"")</f>
        <v>-707000000</v>
      </c>
      <c r="U1018" t="str">
        <f>IFERROR(IF(VLOOKUP($B1018,Показатели!$E:$W,18,FALSE)=0,"",VLOOKUP($B1018,Показатели!$E:$W,18,FALSE)),"")</f>
        <v/>
      </c>
      <c r="V1018" t="str">
        <f>IFERROR(IF(VLOOKUP($B1018,Показатели!$E:$W,19,FALSE)=0,"",VLOOKUP($B1018,Показатели!$E:$W,19,FALSE)),"")</f>
        <v/>
      </c>
    </row>
    <row r="1019" spans="1:22" x14ac:dyDescent="0.2">
      <c r="A1019" s="7" t="s">
        <v>2324</v>
      </c>
      <c r="B1019" t="str">
        <f t="shared" si="15"/>
        <v>ETLN IV кв. 2016</v>
      </c>
      <c r="C1019">
        <v>2016</v>
      </c>
      <c r="D1019">
        <f>SUMIFS(Дивиденды!$C:$C,Дивиденды!$A:$A,A1019,Дивиденды!$I:$I,C1019)</f>
        <v>0</v>
      </c>
      <c r="E1019" t="str">
        <f>IFERROR(IF(VLOOKUP($B1019,Показатели!$E:$W,2,FALSE)=0,"",VLOOKUP($B1019,Показатели!$E:$W,2,FALSE)),"")</f>
        <v/>
      </c>
      <c r="F1019" t="str">
        <f>IFERROR(IF(VLOOKUP($B1019,Показатели!$E:$W,3,FALSE)=0,"",VLOOKUP($B1019,Показатели!$E:$W,3,FALSE)),"")</f>
        <v/>
      </c>
      <c r="G1019" t="str">
        <f>IFERROR(IF(VLOOKUP($B1019,Показатели!$E:$W,4,FALSE)=0,"",VLOOKUP($B1019,Показатели!$E:$W,4,FALSE)),"")</f>
        <v/>
      </c>
      <c r="H1019" t="str">
        <f>IFERROR(IF(VLOOKUP($B1019,Показатели!$E:$W,5,FALSE)=0,"",VLOOKUP($B1019,Показатели!$E:$W,5,FALSE)),"")</f>
        <v/>
      </c>
      <c r="I1019" t="str">
        <f>IFERROR(IF(VLOOKUP($B1019,Показатели!$E:$W,6,FALSE)=0,"",VLOOKUP($B1019,Показатели!$E:$W,6,FALSE)),"")</f>
        <v/>
      </c>
      <c r="J1019" t="str">
        <f>IFERROR(IF(VLOOKUP($B1019,Показатели!$E:$W,7,FALSE)=0,"",VLOOKUP($B1019,Показатели!$E:$W,7,FALSE)),"")</f>
        <v/>
      </c>
      <c r="K1019" t="str">
        <f>IFERROR(IF(VLOOKUP($B1019,Показатели!$E:$W,8,FALSE)=0,"",VLOOKUP($B1019,Показатели!$E:$W,8,FALSE)),"")</f>
        <v/>
      </c>
      <c r="L1019" t="str">
        <f>IFERROR(IF(VLOOKUP($B1019,Показатели!$E:$W,9,FALSE)=0,"",VLOOKUP($B1019,Показатели!$E:$W,9,FALSE)),"")</f>
        <v/>
      </c>
      <c r="M1019" t="str">
        <f>IFERROR(IF(VLOOKUP($B1019,Показатели!$E:$W,10,FALSE)=0,"",VLOOKUP($B1019,Показатели!$E:$W,10,FALSE)),"")</f>
        <v/>
      </c>
      <c r="N1019" t="str">
        <f>IFERROR(IF(VLOOKUP($B1019,Показатели!$E:$W,11,FALSE)=0,"",VLOOKUP($B1019,Показатели!$E:$W,11,FALSE)),"")</f>
        <v/>
      </c>
      <c r="O1019" t="str">
        <f>IFERROR(IF(VLOOKUP($B1019,Показатели!$E:$W,12,FALSE)=0,"",VLOOKUP($B1019,Показатели!$E:$W,12,FALSE)),"")</f>
        <v/>
      </c>
      <c r="P1019" t="str">
        <f>IFERROR(IF(VLOOKUP($B1019,Показатели!$E:$W,13,FALSE)=0,"",VLOOKUP($B1019,Показатели!$E:$W,13,FALSE)),"")</f>
        <v/>
      </c>
      <c r="Q1019" t="str">
        <f>IFERROR(IF(VLOOKUP($B1019,Показатели!$E:$W,14,FALSE)=0,"",VLOOKUP($B1019,Показатели!$E:$W,14,FALSE)),"")</f>
        <v/>
      </c>
      <c r="R1019" t="str">
        <f>IFERROR(IF(VLOOKUP($B1019,Показатели!$E:$W,15,FALSE)=0,"",VLOOKUP($B1019,Показатели!$E:$W,15,FALSE)),"")</f>
        <v/>
      </c>
      <c r="S1019" t="str">
        <f>IFERROR(IF(VLOOKUP($B1019,Показатели!$E:$W,16,FALSE)=0,"",VLOOKUP($B1019,Показатели!$E:$W,16,FALSE)),"")</f>
        <v/>
      </c>
      <c r="T1019" t="str">
        <f>IFERROR(IF(VLOOKUP($B1019,Показатели!$E:$W,17,FALSE)=0,"",VLOOKUP($B1019,Показатели!$E:$W,17,FALSE)),"")</f>
        <v/>
      </c>
      <c r="U1019" t="str">
        <f>IFERROR(IF(VLOOKUP($B1019,Показатели!$E:$W,18,FALSE)=0,"",VLOOKUP($B1019,Показатели!$E:$W,18,FALSE)),"")</f>
        <v/>
      </c>
      <c r="V1019" t="str">
        <f>IFERROR(IF(VLOOKUP($B1019,Показатели!$E:$W,19,FALSE)=0,"",VLOOKUP($B1019,Показатели!$E:$W,19,FALSE)),"")</f>
        <v/>
      </c>
    </row>
    <row r="1020" spans="1:22" x14ac:dyDescent="0.2">
      <c r="A1020" s="7" t="s">
        <v>2324</v>
      </c>
      <c r="B1020" t="str">
        <f t="shared" si="15"/>
        <v>ETLN IV кв. 2015</v>
      </c>
      <c r="C1020">
        <v>2015</v>
      </c>
      <c r="D1020">
        <f>SUMIFS(Дивиденды!$C:$C,Дивиденды!$A:$A,A1020,Дивиденды!$I:$I,C1020)</f>
        <v>0</v>
      </c>
      <c r="E1020" t="str">
        <f>IFERROR(IF(VLOOKUP($B1020,Показатели!$E:$W,2,FALSE)=0,"",VLOOKUP($B1020,Показатели!$E:$W,2,FALSE)),"")</f>
        <v/>
      </c>
      <c r="F1020" t="str">
        <f>IFERROR(IF(VLOOKUP($B1020,Показатели!$E:$W,3,FALSE)=0,"",VLOOKUP($B1020,Показатели!$E:$W,3,FALSE)),"")</f>
        <v/>
      </c>
      <c r="G1020" t="str">
        <f>IFERROR(IF(VLOOKUP($B1020,Показатели!$E:$W,4,FALSE)=0,"",VLOOKUP($B1020,Показатели!$E:$W,4,FALSE)),"")</f>
        <v/>
      </c>
      <c r="H1020" t="str">
        <f>IFERROR(IF(VLOOKUP($B1020,Показатели!$E:$W,5,FALSE)=0,"",VLOOKUP($B1020,Показатели!$E:$W,5,FALSE)),"")</f>
        <v/>
      </c>
      <c r="I1020" t="str">
        <f>IFERROR(IF(VLOOKUP($B1020,Показатели!$E:$W,6,FALSE)=0,"",VLOOKUP($B1020,Показатели!$E:$W,6,FALSE)),"")</f>
        <v/>
      </c>
      <c r="J1020" t="str">
        <f>IFERROR(IF(VLOOKUP($B1020,Показатели!$E:$W,7,FALSE)=0,"",VLOOKUP($B1020,Показатели!$E:$W,7,FALSE)),"")</f>
        <v/>
      </c>
      <c r="K1020" t="str">
        <f>IFERROR(IF(VLOOKUP($B1020,Показатели!$E:$W,8,FALSE)=0,"",VLOOKUP($B1020,Показатели!$E:$W,8,FALSE)),"")</f>
        <v/>
      </c>
      <c r="L1020" t="str">
        <f>IFERROR(IF(VLOOKUP($B1020,Показатели!$E:$W,9,FALSE)=0,"",VLOOKUP($B1020,Показатели!$E:$W,9,FALSE)),"")</f>
        <v/>
      </c>
      <c r="M1020" t="str">
        <f>IFERROR(IF(VLOOKUP($B1020,Показатели!$E:$W,10,FALSE)=0,"",VLOOKUP($B1020,Показатели!$E:$W,10,FALSE)),"")</f>
        <v/>
      </c>
      <c r="N1020" t="str">
        <f>IFERROR(IF(VLOOKUP($B1020,Показатели!$E:$W,11,FALSE)=0,"",VLOOKUP($B1020,Показатели!$E:$W,11,FALSE)),"")</f>
        <v/>
      </c>
      <c r="O1020" t="str">
        <f>IFERROR(IF(VLOOKUP($B1020,Показатели!$E:$W,12,FALSE)=0,"",VLOOKUP($B1020,Показатели!$E:$W,12,FALSE)),"")</f>
        <v/>
      </c>
      <c r="P1020" t="str">
        <f>IFERROR(IF(VLOOKUP($B1020,Показатели!$E:$W,13,FALSE)=0,"",VLOOKUP($B1020,Показатели!$E:$W,13,FALSE)),"")</f>
        <v/>
      </c>
      <c r="Q1020" t="str">
        <f>IFERROR(IF(VLOOKUP($B1020,Показатели!$E:$W,14,FALSE)=0,"",VLOOKUP($B1020,Показатели!$E:$W,14,FALSE)),"")</f>
        <v/>
      </c>
      <c r="R1020" t="str">
        <f>IFERROR(IF(VLOOKUP($B1020,Показатели!$E:$W,15,FALSE)=0,"",VLOOKUP($B1020,Показатели!$E:$W,15,FALSE)),"")</f>
        <v/>
      </c>
      <c r="S1020" t="str">
        <f>IFERROR(IF(VLOOKUP($B1020,Показатели!$E:$W,16,FALSE)=0,"",VLOOKUP($B1020,Показатели!$E:$W,16,FALSE)),"")</f>
        <v/>
      </c>
      <c r="T1020" t="str">
        <f>IFERROR(IF(VLOOKUP($B1020,Показатели!$E:$W,17,FALSE)=0,"",VLOOKUP($B1020,Показатели!$E:$W,17,FALSE)),"")</f>
        <v/>
      </c>
      <c r="U1020" t="str">
        <f>IFERROR(IF(VLOOKUP($B1020,Показатели!$E:$W,18,FALSE)=0,"",VLOOKUP($B1020,Показатели!$E:$W,18,FALSE)),"")</f>
        <v/>
      </c>
      <c r="V1020" t="str">
        <f>IFERROR(IF(VLOOKUP($B1020,Показатели!$E:$W,19,FALSE)=0,"",VLOOKUP($B1020,Показатели!$E:$W,19,FALSE)),"")</f>
        <v/>
      </c>
    </row>
    <row r="1021" spans="1:22" x14ac:dyDescent="0.2">
      <c r="A1021" s="7" t="s">
        <v>2324</v>
      </c>
      <c r="B1021" t="str">
        <f t="shared" si="15"/>
        <v>ETLN IV кв. 2014</v>
      </c>
      <c r="C1021">
        <v>2014</v>
      </c>
      <c r="D1021">
        <f>SUMIFS(Дивиденды!$C:$C,Дивиденды!$A:$A,A1021,Дивиденды!$I:$I,C1021)</f>
        <v>0</v>
      </c>
      <c r="E1021" t="str">
        <f>IFERROR(IF(VLOOKUP($B1021,Показатели!$E:$W,2,FALSE)=0,"",VLOOKUP($B1021,Показатели!$E:$W,2,FALSE)),"")</f>
        <v/>
      </c>
      <c r="F1021" t="str">
        <f>IFERROR(IF(VLOOKUP($B1021,Показатели!$E:$W,3,FALSE)=0,"",VLOOKUP($B1021,Показатели!$E:$W,3,FALSE)),"")</f>
        <v/>
      </c>
      <c r="G1021" t="str">
        <f>IFERROR(IF(VLOOKUP($B1021,Показатели!$E:$W,4,FALSE)=0,"",VLOOKUP($B1021,Показатели!$E:$W,4,FALSE)),"")</f>
        <v/>
      </c>
      <c r="H1021" t="str">
        <f>IFERROR(IF(VLOOKUP($B1021,Показатели!$E:$W,5,FALSE)=0,"",VLOOKUP($B1021,Показатели!$E:$W,5,FALSE)),"")</f>
        <v/>
      </c>
      <c r="I1021" t="str">
        <f>IFERROR(IF(VLOOKUP($B1021,Показатели!$E:$W,6,FALSE)=0,"",VLOOKUP($B1021,Показатели!$E:$W,6,FALSE)),"")</f>
        <v/>
      </c>
      <c r="J1021" t="str">
        <f>IFERROR(IF(VLOOKUP($B1021,Показатели!$E:$W,7,FALSE)=0,"",VLOOKUP($B1021,Показатели!$E:$W,7,FALSE)),"")</f>
        <v/>
      </c>
      <c r="K1021" t="str">
        <f>IFERROR(IF(VLOOKUP($B1021,Показатели!$E:$W,8,FALSE)=0,"",VLOOKUP($B1021,Показатели!$E:$W,8,FALSE)),"")</f>
        <v/>
      </c>
      <c r="L1021" t="str">
        <f>IFERROR(IF(VLOOKUP($B1021,Показатели!$E:$W,9,FALSE)=0,"",VLOOKUP($B1021,Показатели!$E:$W,9,FALSE)),"")</f>
        <v/>
      </c>
      <c r="M1021" t="str">
        <f>IFERROR(IF(VLOOKUP($B1021,Показатели!$E:$W,10,FALSE)=0,"",VLOOKUP($B1021,Показатели!$E:$W,10,FALSE)),"")</f>
        <v/>
      </c>
      <c r="N1021" t="str">
        <f>IFERROR(IF(VLOOKUP($B1021,Показатели!$E:$W,11,FALSE)=0,"",VLOOKUP($B1021,Показатели!$E:$W,11,FALSE)),"")</f>
        <v/>
      </c>
      <c r="O1021" t="str">
        <f>IFERROR(IF(VLOOKUP($B1021,Показатели!$E:$W,12,FALSE)=0,"",VLOOKUP($B1021,Показатели!$E:$W,12,FALSE)),"")</f>
        <v/>
      </c>
      <c r="P1021" t="str">
        <f>IFERROR(IF(VLOOKUP($B1021,Показатели!$E:$W,13,FALSE)=0,"",VLOOKUP($B1021,Показатели!$E:$W,13,FALSE)),"")</f>
        <v/>
      </c>
      <c r="Q1021" t="str">
        <f>IFERROR(IF(VLOOKUP($B1021,Показатели!$E:$W,14,FALSE)=0,"",VLOOKUP($B1021,Показатели!$E:$W,14,FALSE)),"")</f>
        <v/>
      </c>
      <c r="R1021" t="str">
        <f>IFERROR(IF(VLOOKUP($B1021,Показатели!$E:$W,15,FALSE)=0,"",VLOOKUP($B1021,Показатели!$E:$W,15,FALSE)),"")</f>
        <v/>
      </c>
      <c r="S1021" t="str">
        <f>IFERROR(IF(VLOOKUP($B1021,Показатели!$E:$W,16,FALSE)=0,"",VLOOKUP($B1021,Показатели!$E:$W,16,FALSE)),"")</f>
        <v/>
      </c>
      <c r="T1021" t="str">
        <f>IFERROR(IF(VLOOKUP($B1021,Показатели!$E:$W,17,FALSE)=0,"",VLOOKUP($B1021,Показатели!$E:$W,17,FALSE)),"")</f>
        <v/>
      </c>
      <c r="U1021" t="str">
        <f>IFERROR(IF(VLOOKUP($B1021,Показатели!$E:$W,18,FALSE)=0,"",VLOOKUP($B1021,Показатели!$E:$W,18,FALSE)),"")</f>
        <v/>
      </c>
      <c r="V1021" t="str">
        <f>IFERROR(IF(VLOOKUP($B1021,Показатели!$E:$W,19,FALSE)=0,"",VLOOKUP($B1021,Показатели!$E:$W,19,FALSE)),"")</f>
        <v/>
      </c>
    </row>
    <row r="1022" spans="1:22" x14ac:dyDescent="0.2">
      <c r="A1022" s="7" t="s">
        <v>2324</v>
      </c>
      <c r="B1022" t="str">
        <f t="shared" si="15"/>
        <v>ETLN IV кв. 2013</v>
      </c>
      <c r="C1022">
        <v>2013</v>
      </c>
      <c r="D1022">
        <f>SUMIFS(Дивиденды!$C:$C,Дивиденды!$A:$A,A1022,Дивиденды!$I:$I,C1022)</f>
        <v>0</v>
      </c>
      <c r="E1022" t="str">
        <f>IFERROR(IF(VLOOKUP($B1022,Показатели!$E:$W,2,FALSE)=0,"",VLOOKUP($B1022,Показатели!$E:$W,2,FALSE)),"")</f>
        <v/>
      </c>
      <c r="F1022" t="str">
        <f>IFERROR(IF(VLOOKUP($B1022,Показатели!$E:$W,3,FALSE)=0,"",VLOOKUP($B1022,Показатели!$E:$W,3,FALSE)),"")</f>
        <v/>
      </c>
      <c r="G1022" t="str">
        <f>IFERROR(IF(VLOOKUP($B1022,Показатели!$E:$W,4,FALSE)=0,"",VLOOKUP($B1022,Показатели!$E:$W,4,FALSE)),"")</f>
        <v/>
      </c>
      <c r="H1022" t="str">
        <f>IFERROR(IF(VLOOKUP($B1022,Показатели!$E:$W,5,FALSE)=0,"",VLOOKUP($B1022,Показатели!$E:$W,5,FALSE)),"")</f>
        <v/>
      </c>
      <c r="I1022" t="str">
        <f>IFERROR(IF(VLOOKUP($B1022,Показатели!$E:$W,6,FALSE)=0,"",VLOOKUP($B1022,Показатели!$E:$W,6,FALSE)),"")</f>
        <v/>
      </c>
      <c r="J1022" t="str">
        <f>IFERROR(IF(VLOOKUP($B1022,Показатели!$E:$W,7,FALSE)=0,"",VLOOKUP($B1022,Показатели!$E:$W,7,FALSE)),"")</f>
        <v/>
      </c>
      <c r="K1022" t="str">
        <f>IFERROR(IF(VLOOKUP($B1022,Показатели!$E:$W,8,FALSE)=0,"",VLOOKUP($B1022,Показатели!$E:$W,8,FALSE)),"")</f>
        <v/>
      </c>
      <c r="L1022" t="str">
        <f>IFERROR(IF(VLOOKUP($B1022,Показатели!$E:$W,9,FALSE)=0,"",VLOOKUP($B1022,Показатели!$E:$W,9,FALSE)),"")</f>
        <v/>
      </c>
      <c r="M1022" t="str">
        <f>IFERROR(IF(VLOOKUP($B1022,Показатели!$E:$W,10,FALSE)=0,"",VLOOKUP($B1022,Показатели!$E:$W,10,FALSE)),"")</f>
        <v/>
      </c>
      <c r="N1022" t="str">
        <f>IFERROR(IF(VLOOKUP($B1022,Показатели!$E:$W,11,FALSE)=0,"",VLOOKUP($B1022,Показатели!$E:$W,11,FALSE)),"")</f>
        <v/>
      </c>
      <c r="O1022" t="str">
        <f>IFERROR(IF(VLOOKUP($B1022,Показатели!$E:$W,12,FALSE)=0,"",VLOOKUP($B1022,Показатели!$E:$W,12,FALSE)),"")</f>
        <v/>
      </c>
      <c r="P1022" t="str">
        <f>IFERROR(IF(VLOOKUP($B1022,Показатели!$E:$W,13,FALSE)=0,"",VLOOKUP($B1022,Показатели!$E:$W,13,FALSE)),"")</f>
        <v/>
      </c>
      <c r="Q1022" t="str">
        <f>IFERROR(IF(VLOOKUP($B1022,Показатели!$E:$W,14,FALSE)=0,"",VLOOKUP($B1022,Показатели!$E:$W,14,FALSE)),"")</f>
        <v/>
      </c>
      <c r="R1022" t="str">
        <f>IFERROR(IF(VLOOKUP($B1022,Показатели!$E:$W,15,FALSE)=0,"",VLOOKUP($B1022,Показатели!$E:$W,15,FALSE)),"")</f>
        <v/>
      </c>
      <c r="S1022" t="str">
        <f>IFERROR(IF(VLOOKUP($B1022,Показатели!$E:$W,16,FALSE)=0,"",VLOOKUP($B1022,Показатели!$E:$W,16,FALSE)),"")</f>
        <v/>
      </c>
      <c r="T1022" t="str">
        <f>IFERROR(IF(VLOOKUP($B1022,Показатели!$E:$W,17,FALSE)=0,"",VLOOKUP($B1022,Показатели!$E:$W,17,FALSE)),"")</f>
        <v/>
      </c>
      <c r="U1022" t="str">
        <f>IFERROR(IF(VLOOKUP($B1022,Показатели!$E:$W,18,FALSE)=0,"",VLOOKUP($B1022,Показатели!$E:$W,18,FALSE)),"")</f>
        <v/>
      </c>
      <c r="V1022" t="str">
        <f>IFERROR(IF(VLOOKUP($B1022,Показатели!$E:$W,19,FALSE)=0,"",VLOOKUP($B1022,Показатели!$E:$W,19,FALSE)),"")</f>
        <v/>
      </c>
    </row>
    <row r="1023" spans="1:22" x14ac:dyDescent="0.2">
      <c r="A1023" s="7" t="s">
        <v>2324</v>
      </c>
      <c r="B1023" t="str">
        <f t="shared" si="15"/>
        <v>ETLN IV кв. 2012</v>
      </c>
      <c r="C1023">
        <v>2012</v>
      </c>
      <c r="D1023">
        <f>SUMIFS(Дивиденды!$C:$C,Дивиденды!$A:$A,A1023,Дивиденды!$I:$I,C1023)</f>
        <v>0</v>
      </c>
      <c r="E1023" t="str">
        <f>IFERROR(IF(VLOOKUP($B1023,Показатели!$E:$W,2,FALSE)=0,"",VLOOKUP($B1023,Показатели!$E:$W,2,FALSE)),"")</f>
        <v/>
      </c>
      <c r="F1023" t="str">
        <f>IFERROR(IF(VLOOKUP($B1023,Показатели!$E:$W,3,FALSE)=0,"",VLOOKUP($B1023,Показатели!$E:$W,3,FALSE)),"")</f>
        <v/>
      </c>
      <c r="G1023" t="str">
        <f>IFERROR(IF(VLOOKUP($B1023,Показатели!$E:$W,4,FALSE)=0,"",VLOOKUP($B1023,Показатели!$E:$W,4,FALSE)),"")</f>
        <v/>
      </c>
      <c r="H1023" t="str">
        <f>IFERROR(IF(VLOOKUP($B1023,Показатели!$E:$W,5,FALSE)=0,"",VLOOKUP($B1023,Показатели!$E:$W,5,FALSE)),"")</f>
        <v/>
      </c>
      <c r="I1023" t="str">
        <f>IFERROR(IF(VLOOKUP($B1023,Показатели!$E:$W,6,FALSE)=0,"",VLOOKUP($B1023,Показатели!$E:$W,6,FALSE)),"")</f>
        <v/>
      </c>
      <c r="J1023" t="str">
        <f>IFERROR(IF(VLOOKUP($B1023,Показатели!$E:$W,7,FALSE)=0,"",VLOOKUP($B1023,Показатели!$E:$W,7,FALSE)),"")</f>
        <v/>
      </c>
      <c r="K1023" t="str">
        <f>IFERROR(IF(VLOOKUP($B1023,Показатели!$E:$W,8,FALSE)=0,"",VLOOKUP($B1023,Показатели!$E:$W,8,FALSE)),"")</f>
        <v/>
      </c>
      <c r="L1023" t="str">
        <f>IFERROR(IF(VLOOKUP($B1023,Показатели!$E:$W,9,FALSE)=0,"",VLOOKUP($B1023,Показатели!$E:$W,9,FALSE)),"")</f>
        <v/>
      </c>
      <c r="M1023" t="str">
        <f>IFERROR(IF(VLOOKUP($B1023,Показатели!$E:$W,10,FALSE)=0,"",VLOOKUP($B1023,Показатели!$E:$W,10,FALSE)),"")</f>
        <v/>
      </c>
      <c r="N1023" t="str">
        <f>IFERROR(IF(VLOOKUP($B1023,Показатели!$E:$W,11,FALSE)=0,"",VLOOKUP($B1023,Показатели!$E:$W,11,FALSE)),"")</f>
        <v/>
      </c>
      <c r="O1023" t="str">
        <f>IFERROR(IF(VLOOKUP($B1023,Показатели!$E:$W,12,FALSE)=0,"",VLOOKUP($B1023,Показатели!$E:$W,12,FALSE)),"")</f>
        <v/>
      </c>
      <c r="P1023" t="str">
        <f>IFERROR(IF(VLOOKUP($B1023,Показатели!$E:$W,13,FALSE)=0,"",VLOOKUP($B1023,Показатели!$E:$W,13,FALSE)),"")</f>
        <v/>
      </c>
      <c r="Q1023" t="str">
        <f>IFERROR(IF(VLOOKUP($B1023,Показатели!$E:$W,14,FALSE)=0,"",VLOOKUP($B1023,Показатели!$E:$W,14,FALSE)),"")</f>
        <v/>
      </c>
      <c r="R1023" t="str">
        <f>IFERROR(IF(VLOOKUP($B1023,Показатели!$E:$W,15,FALSE)=0,"",VLOOKUP($B1023,Показатели!$E:$W,15,FALSE)),"")</f>
        <v/>
      </c>
      <c r="S1023" t="str">
        <f>IFERROR(IF(VLOOKUP($B1023,Показатели!$E:$W,16,FALSE)=0,"",VLOOKUP($B1023,Показатели!$E:$W,16,FALSE)),"")</f>
        <v/>
      </c>
      <c r="T1023" t="str">
        <f>IFERROR(IF(VLOOKUP($B1023,Показатели!$E:$W,17,FALSE)=0,"",VLOOKUP($B1023,Показатели!$E:$W,17,FALSE)),"")</f>
        <v/>
      </c>
      <c r="U1023" t="str">
        <f>IFERROR(IF(VLOOKUP($B1023,Показатели!$E:$W,18,FALSE)=0,"",VLOOKUP($B1023,Показатели!$E:$W,18,FALSE)),"")</f>
        <v/>
      </c>
      <c r="V1023" t="str">
        <f>IFERROR(IF(VLOOKUP($B1023,Показатели!$E:$W,19,FALSE)=0,"",VLOOKUP($B1023,Показатели!$E:$W,19,FALSE)),"")</f>
        <v/>
      </c>
    </row>
    <row r="1024" spans="1:22" x14ac:dyDescent="0.2">
      <c r="A1024" s="7" t="s">
        <v>2324</v>
      </c>
      <c r="B1024" t="str">
        <f t="shared" si="15"/>
        <v>ETLN IV кв. 2011</v>
      </c>
      <c r="C1024">
        <v>2011</v>
      </c>
      <c r="D1024">
        <f>SUMIFS(Дивиденды!$C:$C,Дивиденды!$A:$A,A1024,Дивиденды!$I:$I,C1024)</f>
        <v>0</v>
      </c>
      <c r="E1024" t="str">
        <f>IFERROR(IF(VLOOKUP($B1024,Показатели!$E:$W,2,FALSE)=0,"",VLOOKUP($B1024,Показатели!$E:$W,2,FALSE)),"")</f>
        <v/>
      </c>
      <c r="F1024" t="str">
        <f>IFERROR(IF(VLOOKUP($B1024,Показатели!$E:$W,3,FALSE)=0,"",VLOOKUP($B1024,Показатели!$E:$W,3,FALSE)),"")</f>
        <v/>
      </c>
      <c r="G1024" t="str">
        <f>IFERROR(IF(VLOOKUP($B1024,Показатели!$E:$W,4,FALSE)=0,"",VLOOKUP($B1024,Показатели!$E:$W,4,FALSE)),"")</f>
        <v/>
      </c>
      <c r="H1024" t="str">
        <f>IFERROR(IF(VLOOKUP($B1024,Показатели!$E:$W,5,FALSE)=0,"",VLOOKUP($B1024,Показатели!$E:$W,5,FALSE)),"")</f>
        <v/>
      </c>
      <c r="I1024" t="str">
        <f>IFERROR(IF(VLOOKUP($B1024,Показатели!$E:$W,6,FALSE)=0,"",VLOOKUP($B1024,Показатели!$E:$W,6,FALSE)),"")</f>
        <v/>
      </c>
      <c r="J1024" t="str">
        <f>IFERROR(IF(VLOOKUP($B1024,Показатели!$E:$W,7,FALSE)=0,"",VLOOKUP($B1024,Показатели!$E:$W,7,FALSE)),"")</f>
        <v/>
      </c>
      <c r="K1024" t="str">
        <f>IFERROR(IF(VLOOKUP($B1024,Показатели!$E:$W,8,FALSE)=0,"",VLOOKUP($B1024,Показатели!$E:$W,8,FALSE)),"")</f>
        <v/>
      </c>
      <c r="L1024" t="str">
        <f>IFERROR(IF(VLOOKUP($B1024,Показатели!$E:$W,9,FALSE)=0,"",VLOOKUP($B1024,Показатели!$E:$W,9,FALSE)),"")</f>
        <v/>
      </c>
      <c r="M1024" t="str">
        <f>IFERROR(IF(VLOOKUP($B1024,Показатели!$E:$W,10,FALSE)=0,"",VLOOKUP($B1024,Показатели!$E:$W,10,FALSE)),"")</f>
        <v/>
      </c>
      <c r="N1024" t="str">
        <f>IFERROR(IF(VLOOKUP($B1024,Показатели!$E:$W,11,FALSE)=0,"",VLOOKUP($B1024,Показатели!$E:$W,11,FALSE)),"")</f>
        <v/>
      </c>
      <c r="O1024" t="str">
        <f>IFERROR(IF(VLOOKUP($B1024,Показатели!$E:$W,12,FALSE)=0,"",VLOOKUP($B1024,Показатели!$E:$W,12,FALSE)),"")</f>
        <v/>
      </c>
      <c r="P1024" t="str">
        <f>IFERROR(IF(VLOOKUP($B1024,Показатели!$E:$W,13,FALSE)=0,"",VLOOKUP($B1024,Показатели!$E:$W,13,FALSE)),"")</f>
        <v/>
      </c>
      <c r="Q1024" t="str">
        <f>IFERROR(IF(VLOOKUP($B1024,Показатели!$E:$W,14,FALSE)=0,"",VLOOKUP($B1024,Показатели!$E:$W,14,FALSE)),"")</f>
        <v/>
      </c>
      <c r="R1024" t="str">
        <f>IFERROR(IF(VLOOKUP($B1024,Показатели!$E:$W,15,FALSE)=0,"",VLOOKUP($B1024,Показатели!$E:$W,15,FALSE)),"")</f>
        <v/>
      </c>
      <c r="S1024" t="str">
        <f>IFERROR(IF(VLOOKUP($B1024,Показатели!$E:$W,16,FALSE)=0,"",VLOOKUP($B1024,Показатели!$E:$W,16,FALSE)),"")</f>
        <v/>
      </c>
      <c r="T1024" t="str">
        <f>IFERROR(IF(VLOOKUP($B1024,Показатели!$E:$W,17,FALSE)=0,"",VLOOKUP($B1024,Показатели!$E:$W,17,FALSE)),"")</f>
        <v/>
      </c>
      <c r="U1024" t="str">
        <f>IFERROR(IF(VLOOKUP($B1024,Показатели!$E:$W,18,FALSE)=0,"",VLOOKUP($B1024,Показатели!$E:$W,18,FALSE)),"")</f>
        <v/>
      </c>
      <c r="V1024" t="str">
        <f>IFERROR(IF(VLOOKUP($B1024,Показатели!$E:$W,19,FALSE)=0,"",VLOOKUP($B1024,Показатели!$E:$W,19,FALSE)),"")</f>
        <v/>
      </c>
    </row>
    <row r="1025" spans="1:22" x14ac:dyDescent="0.2">
      <c r="A1025" s="7" t="s">
        <v>2324</v>
      </c>
      <c r="B1025" t="str">
        <f t="shared" si="15"/>
        <v>ETLN IV кв. 2010</v>
      </c>
      <c r="C1025">
        <v>2010</v>
      </c>
      <c r="D1025">
        <f>SUMIFS(Дивиденды!$C:$C,Дивиденды!$A:$A,A1025,Дивиденды!$I:$I,C1025)</f>
        <v>0</v>
      </c>
      <c r="E1025" t="str">
        <f>IFERROR(IF(VLOOKUP($B1025,Показатели!$E:$W,2,FALSE)=0,"",VLOOKUP($B1025,Показатели!$E:$W,2,FALSE)),"")</f>
        <v/>
      </c>
      <c r="F1025" t="str">
        <f>IFERROR(IF(VLOOKUP($B1025,Показатели!$E:$W,3,FALSE)=0,"",VLOOKUP($B1025,Показатели!$E:$W,3,FALSE)),"")</f>
        <v/>
      </c>
      <c r="G1025" t="str">
        <f>IFERROR(IF(VLOOKUP($B1025,Показатели!$E:$W,4,FALSE)=0,"",VLOOKUP($B1025,Показатели!$E:$W,4,FALSE)),"")</f>
        <v/>
      </c>
      <c r="H1025" t="str">
        <f>IFERROR(IF(VLOOKUP($B1025,Показатели!$E:$W,5,FALSE)=0,"",VLOOKUP($B1025,Показатели!$E:$W,5,FALSE)),"")</f>
        <v/>
      </c>
      <c r="I1025" t="str">
        <f>IFERROR(IF(VLOOKUP($B1025,Показатели!$E:$W,6,FALSE)=0,"",VLOOKUP($B1025,Показатели!$E:$W,6,FALSE)),"")</f>
        <v/>
      </c>
      <c r="J1025" t="str">
        <f>IFERROR(IF(VLOOKUP($B1025,Показатели!$E:$W,7,FALSE)=0,"",VLOOKUP($B1025,Показатели!$E:$W,7,FALSE)),"")</f>
        <v/>
      </c>
      <c r="K1025" t="str">
        <f>IFERROR(IF(VLOOKUP($B1025,Показатели!$E:$W,8,FALSE)=0,"",VLOOKUP($B1025,Показатели!$E:$W,8,FALSE)),"")</f>
        <v/>
      </c>
      <c r="L1025" t="str">
        <f>IFERROR(IF(VLOOKUP($B1025,Показатели!$E:$W,9,FALSE)=0,"",VLOOKUP($B1025,Показатели!$E:$W,9,FALSE)),"")</f>
        <v/>
      </c>
      <c r="M1025" t="str">
        <f>IFERROR(IF(VLOOKUP($B1025,Показатели!$E:$W,10,FALSE)=0,"",VLOOKUP($B1025,Показатели!$E:$W,10,FALSE)),"")</f>
        <v/>
      </c>
      <c r="N1025" t="str">
        <f>IFERROR(IF(VLOOKUP($B1025,Показатели!$E:$W,11,FALSE)=0,"",VLOOKUP($B1025,Показатели!$E:$W,11,FALSE)),"")</f>
        <v/>
      </c>
      <c r="O1025" t="str">
        <f>IFERROR(IF(VLOOKUP($B1025,Показатели!$E:$W,12,FALSE)=0,"",VLOOKUP($B1025,Показатели!$E:$W,12,FALSE)),"")</f>
        <v/>
      </c>
      <c r="P1025" t="str">
        <f>IFERROR(IF(VLOOKUP($B1025,Показатели!$E:$W,13,FALSE)=0,"",VLOOKUP($B1025,Показатели!$E:$W,13,FALSE)),"")</f>
        <v/>
      </c>
      <c r="Q1025" t="str">
        <f>IFERROR(IF(VLOOKUP($B1025,Показатели!$E:$W,14,FALSE)=0,"",VLOOKUP($B1025,Показатели!$E:$W,14,FALSE)),"")</f>
        <v/>
      </c>
      <c r="R1025" t="str">
        <f>IFERROR(IF(VLOOKUP($B1025,Показатели!$E:$W,15,FALSE)=0,"",VLOOKUP($B1025,Показатели!$E:$W,15,FALSE)),"")</f>
        <v/>
      </c>
      <c r="S1025" t="str">
        <f>IFERROR(IF(VLOOKUP($B1025,Показатели!$E:$W,16,FALSE)=0,"",VLOOKUP($B1025,Показатели!$E:$W,16,FALSE)),"")</f>
        <v/>
      </c>
      <c r="T1025" t="str">
        <f>IFERROR(IF(VLOOKUP($B1025,Показатели!$E:$W,17,FALSE)=0,"",VLOOKUP($B1025,Показатели!$E:$W,17,FALSE)),"")</f>
        <v/>
      </c>
      <c r="U1025" t="str">
        <f>IFERROR(IF(VLOOKUP($B1025,Показатели!$E:$W,18,FALSE)=0,"",VLOOKUP($B1025,Показатели!$E:$W,18,FALSE)),"")</f>
        <v/>
      </c>
      <c r="V1025" t="str">
        <f>IFERROR(IF(VLOOKUP($B1025,Показатели!$E:$W,19,FALSE)=0,"",VLOOKUP($B1025,Показатели!$E:$W,19,FALSE)),"")</f>
        <v/>
      </c>
    </row>
    <row r="1026" spans="1:22" x14ac:dyDescent="0.2">
      <c r="A1026" s="7" t="s">
        <v>2306</v>
      </c>
      <c r="B1026" t="str">
        <f t="shared" si="15"/>
        <v>LSRG IV кв. 2025</v>
      </c>
      <c r="C1026">
        <v>2025</v>
      </c>
      <c r="D1026">
        <f>SUMIFS(Дивиденды!$C:$C,Дивиденды!$A:$A,A1026,Дивиденды!$I:$I,C1026)</f>
        <v>78</v>
      </c>
      <c r="E1026" t="str">
        <f>IFERROR(IF(VLOOKUP($B1026,Показатели!$E:$W,2,FALSE)=0,"",VLOOKUP($B1026,Показатели!$E:$W,2,FALSE)),"")</f>
        <v/>
      </c>
      <c r="F1026" t="str">
        <f>IFERROR(IF(VLOOKUP($B1026,Показатели!$E:$W,3,FALSE)=0,"",VLOOKUP($B1026,Показатели!$E:$W,3,FALSE)),"")</f>
        <v/>
      </c>
      <c r="G1026" t="str">
        <f>IFERROR(IF(VLOOKUP($B1026,Показатели!$E:$W,4,FALSE)=0,"",VLOOKUP($B1026,Показатели!$E:$W,4,FALSE)),"")</f>
        <v/>
      </c>
      <c r="H1026" t="str">
        <f>IFERROR(IF(VLOOKUP($B1026,Показатели!$E:$W,5,FALSE)=0,"",VLOOKUP($B1026,Показатели!$E:$W,5,FALSE)),"")</f>
        <v/>
      </c>
      <c r="I1026" t="str">
        <f>IFERROR(IF(VLOOKUP($B1026,Показатели!$E:$W,6,FALSE)=0,"",VLOOKUP($B1026,Показатели!$E:$W,6,FALSE)),"")</f>
        <v/>
      </c>
      <c r="J1026" t="str">
        <f>IFERROR(IF(VLOOKUP($B1026,Показатели!$E:$W,7,FALSE)=0,"",VLOOKUP($B1026,Показатели!$E:$W,7,FALSE)),"")</f>
        <v/>
      </c>
      <c r="K1026" t="str">
        <f>IFERROR(IF(VLOOKUP($B1026,Показатели!$E:$W,8,FALSE)=0,"",VLOOKUP($B1026,Показатели!$E:$W,8,FALSE)),"")</f>
        <v/>
      </c>
      <c r="L1026" t="str">
        <f>IFERROR(IF(VLOOKUP($B1026,Показатели!$E:$W,9,FALSE)=0,"",VLOOKUP($B1026,Показатели!$E:$W,9,FALSE)),"")</f>
        <v/>
      </c>
      <c r="M1026" t="str">
        <f>IFERROR(IF(VLOOKUP($B1026,Показатели!$E:$W,10,FALSE)=0,"",VLOOKUP($B1026,Показатели!$E:$W,10,FALSE)),"")</f>
        <v/>
      </c>
      <c r="N1026" t="str">
        <f>IFERROR(IF(VLOOKUP($B1026,Показатели!$E:$W,11,FALSE)=0,"",VLOOKUP($B1026,Показатели!$E:$W,11,FALSE)),"")</f>
        <v/>
      </c>
      <c r="O1026" t="str">
        <f>IFERROR(IF(VLOOKUP($B1026,Показатели!$E:$W,12,FALSE)=0,"",VLOOKUP($B1026,Показатели!$E:$W,12,FALSE)),"")</f>
        <v/>
      </c>
      <c r="P1026" t="str">
        <f>IFERROR(IF(VLOOKUP($B1026,Показатели!$E:$W,13,FALSE)=0,"",VLOOKUP($B1026,Показатели!$E:$W,13,FALSE)),"")</f>
        <v/>
      </c>
      <c r="Q1026" t="str">
        <f>IFERROR(IF(VLOOKUP($B1026,Показатели!$E:$W,14,FALSE)=0,"",VLOOKUP($B1026,Показатели!$E:$W,14,FALSE)),"")</f>
        <v/>
      </c>
      <c r="R1026" t="str">
        <f>IFERROR(IF(VLOOKUP($B1026,Показатели!$E:$W,15,FALSE)=0,"",VLOOKUP($B1026,Показатели!$E:$W,15,FALSE)),"")</f>
        <v/>
      </c>
      <c r="S1026" t="str">
        <f>IFERROR(IF(VLOOKUP($B1026,Показатели!$E:$W,16,FALSE)=0,"",VLOOKUP($B1026,Показатели!$E:$W,16,FALSE)),"")</f>
        <v/>
      </c>
      <c r="T1026" t="str">
        <f>IFERROR(IF(VLOOKUP($B1026,Показатели!$E:$W,17,FALSE)=0,"",VLOOKUP($B1026,Показатели!$E:$W,17,FALSE)),"")</f>
        <v/>
      </c>
      <c r="U1026" t="str">
        <f>IFERROR(IF(VLOOKUP($B1026,Показатели!$E:$W,18,FALSE)=0,"",VLOOKUP($B1026,Показатели!$E:$W,18,FALSE)),"")</f>
        <v/>
      </c>
      <c r="V1026" t="str">
        <f>IFERROR(IF(VLOOKUP($B1026,Показатели!$E:$W,19,FALSE)=0,"",VLOOKUP($B1026,Показатели!$E:$W,19,FALSE)),"")</f>
        <v/>
      </c>
    </row>
    <row r="1027" spans="1:22" x14ac:dyDescent="0.2">
      <c r="A1027" s="7" t="s">
        <v>2306</v>
      </c>
      <c r="B1027" t="str">
        <f t="shared" ref="B1027:B1073" si="16">A1027&amp;" "&amp;
"IV"
&amp;" кв. "&amp;C1027</f>
        <v>LSRG IV кв. 2024</v>
      </c>
      <c r="C1027">
        <v>2024</v>
      </c>
      <c r="D1027">
        <f>SUMIFS(Дивиденды!$C:$C,Дивиденды!$A:$A,A1027,Дивиденды!$I:$I,C1027)</f>
        <v>0</v>
      </c>
      <c r="E1027">
        <f>IFERROR(IF(VLOOKUP($B1027,Показатели!$E:$W,2,FALSE)=0,"",VLOOKUP($B1027,Показатели!$E:$W,2,FALSE)),"")</f>
        <v>46307000000</v>
      </c>
      <c r="F1027">
        <f>IFERROR(IF(VLOOKUP($B1027,Показатели!$E:$W,3,FALSE)=0,"",VLOOKUP($B1027,Показатели!$E:$W,3,FALSE)),"")</f>
        <v>476910000000</v>
      </c>
      <c r="G1027">
        <f>IFERROR(IF(VLOOKUP($B1027,Показатели!$E:$W,4,FALSE)=0,"",VLOOKUP($B1027,Показатели!$E:$W,4,FALSE)),"")</f>
        <v>56128000000</v>
      </c>
      <c r="H1027">
        <f>IFERROR(IF(VLOOKUP($B1027,Показатели!$E:$W,5,FALSE)=0,"",VLOOKUP($B1027,Показатели!$E:$W,5,FALSE)),"")</f>
        <v>3644000000</v>
      </c>
      <c r="I1027">
        <f>IFERROR(IF(VLOOKUP($B1027,Показатели!$E:$W,6,FALSE)=0,"",VLOOKUP($B1027,Показатели!$E:$W,6,FALSE)),"")</f>
        <v>548721000000</v>
      </c>
      <c r="J1027">
        <f>IFERROR(IF(VLOOKUP($B1027,Показатели!$E:$W,7,FALSE)=0,"",VLOOKUP($B1027,Показатели!$E:$W,7,FALSE)),"")</f>
        <v>146401000000</v>
      </c>
      <c r="K1027">
        <f>IFERROR(IF(VLOOKUP($B1027,Показатели!$E:$W,8,FALSE)=0,"",VLOOKUP($B1027,Показатели!$E:$W,8,FALSE)),"")</f>
        <v>261848000000</v>
      </c>
      <c r="L1027">
        <f>IFERROR(IF(VLOOKUP($B1027,Показатели!$E:$W,9,FALSE)=0,"",VLOOKUP($B1027,Показатели!$E:$W,9,FALSE)),"")</f>
        <v>94934000000</v>
      </c>
      <c r="M1027">
        <f>IFERROR(IF(VLOOKUP($B1027,Показатели!$E:$W,10,FALSE)=0,"",VLOOKUP($B1027,Показатели!$E:$W,10,FALSE)),"")</f>
        <v>140472000000</v>
      </c>
      <c r="N1027">
        <f>IFERROR(IF(VLOOKUP($B1027,Показатели!$E:$W,11,FALSE)=0,"",VLOOKUP($B1027,Показатели!$E:$W,11,FALSE)),"")</f>
        <v>239227000000</v>
      </c>
      <c r="O1027">
        <f>IFERROR(IF(VLOOKUP($B1027,Показатели!$E:$W,12,FALSE)=0,"",VLOOKUP($B1027,Показатели!$E:$W,12,FALSE)),"")</f>
        <v>65766000000</v>
      </c>
      <c r="P1027">
        <f>IFERROR(IF(VLOOKUP($B1027,Показатели!$E:$W,13,FALSE)=0,"",VLOOKUP($B1027,Показатели!$E:$W,13,FALSE)),"")</f>
        <v>37527000000</v>
      </c>
      <c r="Q1027">
        <f>IFERROR(IF(VLOOKUP($B1027,Показатели!$E:$W,14,FALSE)=0,"",VLOOKUP($B1027,Показатели!$E:$W,14,FALSE)),"")</f>
        <v>28598000000</v>
      </c>
      <c r="R1027">
        <f>IFERROR(IF(VLOOKUP($B1027,Показатели!$E:$W,15,FALSE)=0,"",VLOOKUP($B1027,Показатели!$E:$W,15,FALSE)),"")</f>
        <v>2139000000</v>
      </c>
      <c r="S1027">
        <f>IFERROR(IF(VLOOKUP($B1027,Показатели!$E:$W,16,FALSE)=0,"",VLOOKUP($B1027,Показатели!$E:$W,16,FALSE)),"")</f>
        <v>72178000000</v>
      </c>
      <c r="T1027">
        <f>IFERROR(IF(VLOOKUP($B1027,Показатели!$E:$W,17,FALSE)=0,"",VLOOKUP($B1027,Показатели!$E:$W,17,FALSE)),"")</f>
        <v>-18113000000</v>
      </c>
      <c r="U1027">
        <f>IFERROR(IF(VLOOKUP($B1027,Показатели!$E:$W,18,FALSE)=0,"",VLOOKUP($B1027,Показатели!$E:$W,18,FALSE)),"")</f>
        <v>235197000000</v>
      </c>
      <c r="V1027">
        <f>IFERROR(IF(VLOOKUP($B1027,Показатели!$E:$W,19,FALSE)=0,"",VLOOKUP($B1027,Показатели!$E:$W,19,FALSE)),"")</f>
        <v>475601000000</v>
      </c>
    </row>
    <row r="1028" spans="1:22" x14ac:dyDescent="0.2">
      <c r="A1028" s="7" t="s">
        <v>2306</v>
      </c>
      <c r="B1028" t="str">
        <f t="shared" si="16"/>
        <v>LSRG IV кв. 2023</v>
      </c>
      <c r="C1028">
        <v>2023</v>
      </c>
      <c r="D1028">
        <f>SUMIFS(Дивиденды!$C:$C,Дивиденды!$A:$A,A1028,Дивиденды!$I:$I,C1028)</f>
        <v>100</v>
      </c>
      <c r="E1028">
        <f>IFERROR(IF(VLOOKUP($B1028,Показатели!$E:$W,2,FALSE)=0,"",VLOOKUP($B1028,Показатели!$E:$W,2,FALSE)),"")</f>
        <v>51506000000</v>
      </c>
      <c r="F1028">
        <f>IFERROR(IF(VLOOKUP($B1028,Показатели!$E:$W,3,FALSE)=0,"",VLOOKUP($B1028,Показатели!$E:$W,3,FALSE)),"")</f>
        <v>426910000000</v>
      </c>
      <c r="G1028">
        <f>IFERROR(IF(VLOOKUP($B1028,Показатели!$E:$W,4,FALSE)=0,"",VLOOKUP($B1028,Показатели!$E:$W,4,FALSE)),"")</f>
        <v>37856000000</v>
      </c>
      <c r="H1028">
        <f>IFERROR(IF(VLOOKUP($B1028,Показатели!$E:$W,5,FALSE)=0,"",VLOOKUP($B1028,Показатели!$E:$W,5,FALSE)),"")</f>
        <v>3585000000</v>
      </c>
      <c r="I1028">
        <f>IFERROR(IF(VLOOKUP($B1028,Показатели!$E:$W,6,FALSE)=0,"",VLOOKUP($B1028,Показатели!$E:$W,6,FALSE)),"")</f>
        <v>475601000000</v>
      </c>
      <c r="J1028">
        <f>IFERROR(IF(VLOOKUP($B1028,Показатели!$E:$W,7,FALSE)=0,"",VLOOKUP($B1028,Показатели!$E:$W,7,FALSE)),"")</f>
        <v>124360000000</v>
      </c>
      <c r="K1028">
        <f>IFERROR(IF(VLOOKUP($B1028,Показатели!$E:$W,8,FALSE)=0,"",VLOOKUP($B1028,Показатели!$E:$W,8,FALSE)),"")</f>
        <v>232567000000</v>
      </c>
      <c r="L1028">
        <f>IFERROR(IF(VLOOKUP($B1028,Показатели!$E:$W,9,FALSE)=0,"",VLOOKUP($B1028,Показатели!$E:$W,9,FALSE)),"")</f>
        <v>77614000000</v>
      </c>
      <c r="M1028">
        <f>IFERROR(IF(VLOOKUP($B1028,Показатели!$E:$W,10,FALSE)=0,"",VLOOKUP($B1028,Показатели!$E:$W,10,FALSE)),"")</f>
        <v>118674000000</v>
      </c>
      <c r="N1028">
        <f>IFERROR(IF(VLOOKUP($B1028,Показатели!$E:$W,11,FALSE)=0,"",VLOOKUP($B1028,Показатели!$E:$W,11,FALSE)),"")</f>
        <v>235197000000</v>
      </c>
      <c r="O1028">
        <f>IFERROR(IF(VLOOKUP($B1028,Показатели!$E:$W,12,FALSE)=0,"",VLOOKUP($B1028,Показатели!$E:$W,12,FALSE)),"")</f>
        <v>62535000000</v>
      </c>
      <c r="P1028">
        <f>IFERROR(IF(VLOOKUP($B1028,Показатели!$E:$W,13,FALSE)=0,"",VLOOKUP($B1028,Показатели!$E:$W,13,FALSE)),"")</f>
        <v>41664000000</v>
      </c>
      <c r="Q1028">
        <f>IFERROR(IF(VLOOKUP($B1028,Показатели!$E:$W,14,FALSE)=0,"",VLOOKUP($B1028,Показатели!$E:$W,14,FALSE)),"")</f>
        <v>28343000000</v>
      </c>
      <c r="R1028">
        <f>IFERROR(IF(VLOOKUP($B1028,Показатели!$E:$W,15,FALSE)=0,"",VLOOKUP($B1028,Показатели!$E:$W,15,FALSE)),"")</f>
        <v>1905000000</v>
      </c>
      <c r="S1028">
        <f>IFERROR(IF(VLOOKUP($B1028,Показатели!$E:$W,16,FALSE)=0,"",VLOOKUP($B1028,Показатели!$E:$W,16,FALSE)),"")</f>
        <v>77703000000</v>
      </c>
      <c r="T1028">
        <f>IFERROR(IF(VLOOKUP($B1028,Показатели!$E:$W,17,FALSE)=0,"",VLOOKUP($B1028,Показатели!$E:$W,17,FALSE)),"")</f>
        <v>-10509000000</v>
      </c>
      <c r="U1028">
        <f>IFERROR(IF(VLOOKUP($B1028,Показатели!$E:$W,18,FALSE)=0,"",VLOOKUP($B1028,Показатели!$E:$W,18,FALSE)),"")</f>
        <v>139662000000</v>
      </c>
      <c r="V1028">
        <f>IFERROR(IF(VLOOKUP($B1028,Показатели!$E:$W,19,FALSE)=0,"",VLOOKUP($B1028,Показатели!$E:$W,19,FALSE)),"")</f>
        <v>416216000000</v>
      </c>
    </row>
    <row r="1029" spans="1:22" x14ac:dyDescent="0.2">
      <c r="A1029" s="7" t="s">
        <v>2306</v>
      </c>
      <c r="B1029" t="str">
        <f t="shared" si="16"/>
        <v>LSRG IV кв. 2022</v>
      </c>
      <c r="C1029">
        <v>2022</v>
      </c>
      <c r="D1029">
        <f>SUMIFS(Дивиденды!$C:$C,Дивиденды!$A:$A,A1029,Дивиденды!$I:$I,C1029)</f>
        <v>78</v>
      </c>
      <c r="E1029">
        <f>IFERROR(IF(VLOOKUP($B1029,Показатели!$E:$W,2,FALSE)=0,"",VLOOKUP($B1029,Показатели!$E:$W,2,FALSE)),"")</f>
        <v>25109000000</v>
      </c>
      <c r="F1029">
        <f>IFERROR(IF(VLOOKUP($B1029,Показатели!$E:$W,3,FALSE)=0,"",VLOOKUP($B1029,Показатели!$E:$W,3,FALSE)),"")</f>
        <v>375653000000</v>
      </c>
      <c r="G1029">
        <f>IFERROR(IF(VLOOKUP($B1029,Показатели!$E:$W,4,FALSE)=0,"",VLOOKUP($B1029,Показатели!$E:$W,4,FALSE)),"")</f>
        <v>30907000000</v>
      </c>
      <c r="H1029">
        <f>IFERROR(IF(VLOOKUP($B1029,Показатели!$E:$W,5,FALSE)=0,"",VLOOKUP($B1029,Показатели!$E:$W,5,FALSE)),"")</f>
        <v>4252000000</v>
      </c>
      <c r="I1029">
        <f>IFERROR(IF(VLOOKUP($B1029,Показатели!$E:$W,6,FALSE)=0,"",VLOOKUP($B1029,Показатели!$E:$W,6,FALSE)),"")</f>
        <v>416216000000</v>
      </c>
      <c r="J1029">
        <f>IFERROR(IF(VLOOKUP($B1029,Показатели!$E:$W,7,FALSE)=0,"",VLOOKUP($B1029,Показатели!$E:$W,7,FALSE)),"")</f>
        <v>180857000000</v>
      </c>
      <c r="K1029">
        <f>IFERROR(IF(VLOOKUP($B1029,Показатели!$E:$W,8,FALSE)=0,"",VLOOKUP($B1029,Показатели!$E:$W,8,FALSE)),"")</f>
        <v>138558000000</v>
      </c>
      <c r="L1029">
        <f>IFERROR(IF(VLOOKUP($B1029,Показатели!$E:$W,9,FALSE)=0,"",VLOOKUP($B1029,Показатели!$E:$W,9,FALSE)),"")</f>
        <v>74874000000</v>
      </c>
      <c r="M1029">
        <f>IFERROR(IF(VLOOKUP($B1029,Показатели!$E:$W,10,FALSE)=0,"",VLOOKUP($B1029,Показатели!$E:$W,10,FALSE)),"")</f>
        <v>96801000000</v>
      </c>
      <c r="N1029">
        <f>IFERROR(IF(VLOOKUP($B1029,Показатели!$E:$W,11,FALSE)=0,"",VLOOKUP($B1029,Показатели!$E:$W,11,FALSE)),"")</f>
        <v>139662000000</v>
      </c>
      <c r="O1029">
        <f>IFERROR(IF(VLOOKUP($B1029,Показатели!$E:$W,12,FALSE)=0,"",VLOOKUP($B1029,Показатели!$E:$W,12,FALSE)),"")</f>
        <v>34397000000</v>
      </c>
      <c r="P1029">
        <f>IFERROR(IF(VLOOKUP($B1029,Показатели!$E:$W,13,FALSE)=0,"",VLOOKUP($B1029,Показатели!$E:$W,13,FALSE)),"")</f>
        <v>18878000000</v>
      </c>
      <c r="Q1029">
        <f>IFERROR(IF(VLOOKUP($B1029,Показатели!$E:$W,14,FALSE)=0,"",VLOOKUP($B1029,Показатели!$E:$W,14,FALSE)),"")</f>
        <v>13363000000</v>
      </c>
      <c r="R1029">
        <f>IFERROR(IF(VLOOKUP($B1029,Показатели!$E:$W,15,FALSE)=0,"",VLOOKUP($B1029,Показатели!$E:$W,15,FALSE)),"")</f>
        <v>1863000000</v>
      </c>
      <c r="S1029">
        <f>IFERROR(IF(VLOOKUP($B1029,Показатели!$E:$W,16,FALSE)=0,"",VLOOKUP($B1029,Показатели!$E:$W,16,FALSE)),"")</f>
        <v>38568000000</v>
      </c>
      <c r="T1029">
        <f>IFERROR(IF(VLOOKUP($B1029,Показатели!$E:$W,17,FALSE)=0,"",VLOOKUP($B1029,Показатели!$E:$W,17,FALSE)),"")</f>
        <v>-5394000000</v>
      </c>
      <c r="U1029">
        <f>IFERROR(IF(VLOOKUP($B1029,Показатели!$E:$W,18,FALSE)=0,"",VLOOKUP($B1029,Показатели!$E:$W,18,FALSE)),"")</f>
        <v>130515000000</v>
      </c>
      <c r="V1029">
        <f>IFERROR(IF(VLOOKUP($B1029,Показатели!$E:$W,19,FALSE)=0,"",VLOOKUP($B1029,Показатели!$E:$W,19,FALSE)),"")</f>
        <v>348876000000</v>
      </c>
    </row>
    <row r="1030" spans="1:22" x14ac:dyDescent="0.2">
      <c r="A1030" s="7" t="s">
        <v>2306</v>
      </c>
      <c r="B1030" t="str">
        <f t="shared" si="16"/>
        <v>LSRG IV кв. 2021</v>
      </c>
      <c r="C1030">
        <v>2021</v>
      </c>
      <c r="D1030">
        <f>SUMIFS(Дивиденды!$C:$C,Дивиденды!$A:$A,A1030,Дивиденды!$I:$I,C1030)</f>
        <v>0</v>
      </c>
      <c r="E1030">
        <f>IFERROR(IF(VLOOKUP($B1030,Показатели!$E:$W,2,FALSE)=0,"",VLOOKUP($B1030,Показатели!$E:$W,2,FALSE)),"")</f>
        <v>55472000000</v>
      </c>
      <c r="F1030">
        <f>IFERROR(IF(VLOOKUP($B1030,Показатели!$E:$W,3,FALSE)=0,"",VLOOKUP($B1030,Показатели!$E:$W,3,FALSE)),"")</f>
        <v>313334000000</v>
      </c>
      <c r="G1030">
        <f>IFERROR(IF(VLOOKUP($B1030,Показатели!$E:$W,4,FALSE)=0,"",VLOOKUP($B1030,Показатели!$E:$W,4,FALSE)),"")</f>
        <v>27042000000</v>
      </c>
      <c r="H1030">
        <f>IFERROR(IF(VLOOKUP($B1030,Показатели!$E:$W,5,FALSE)=0,"",VLOOKUP($B1030,Показатели!$E:$W,5,FALSE)),"")</f>
        <v>4264000000</v>
      </c>
      <c r="I1030">
        <f>IFERROR(IF(VLOOKUP($B1030,Показатели!$E:$W,6,FALSE)=0,"",VLOOKUP($B1030,Показатели!$E:$W,6,FALSE)),"")</f>
        <v>348876000000</v>
      </c>
      <c r="J1030">
        <f>IFERROR(IF(VLOOKUP($B1030,Показатели!$E:$W,7,FALSE)=0,"",VLOOKUP($B1030,Показатели!$E:$W,7,FALSE)),"")</f>
        <v>107247000000</v>
      </c>
      <c r="K1030">
        <f>IFERROR(IF(VLOOKUP($B1030,Показатели!$E:$W,8,FALSE)=0,"",VLOOKUP($B1030,Показатели!$E:$W,8,FALSE)),"")</f>
        <v>148622000000</v>
      </c>
      <c r="L1030">
        <f>IFERROR(IF(VLOOKUP($B1030,Показатели!$E:$W,9,FALSE)=0,"",VLOOKUP($B1030,Показатели!$E:$W,9,FALSE)),"")</f>
        <v>62764000000</v>
      </c>
      <c r="M1030">
        <f>IFERROR(IF(VLOOKUP($B1030,Показатели!$E:$W,10,FALSE)=0,"",VLOOKUP($B1030,Показатели!$E:$W,10,FALSE)),"")</f>
        <v>93007000000</v>
      </c>
      <c r="N1030">
        <f>IFERROR(IF(VLOOKUP($B1030,Показатели!$E:$W,11,FALSE)=0,"",VLOOKUP($B1030,Показатели!$E:$W,11,FALSE)),"")</f>
        <v>130515000000</v>
      </c>
      <c r="O1030">
        <f>IFERROR(IF(VLOOKUP($B1030,Показатели!$E:$W,12,FALSE)=0,"",VLOOKUP($B1030,Показатели!$E:$W,12,FALSE)),"")</f>
        <v>31675000000</v>
      </c>
      <c r="P1030">
        <f>IFERROR(IF(VLOOKUP($B1030,Показатели!$E:$W,13,FALSE)=0,"",VLOOKUP($B1030,Показатели!$E:$W,13,FALSE)),"")</f>
        <v>23276000000</v>
      </c>
      <c r="Q1030">
        <f>IFERROR(IF(VLOOKUP($B1030,Показатели!$E:$W,14,FALSE)=0,"",VLOOKUP($B1030,Показатели!$E:$W,14,FALSE)),"")</f>
        <v>16272000000</v>
      </c>
      <c r="R1030">
        <f>IFERROR(IF(VLOOKUP($B1030,Показатели!$E:$W,15,FALSE)=0,"",VLOOKUP($B1030,Показатели!$E:$W,15,FALSE)),"")</f>
        <v>1940000000</v>
      </c>
      <c r="S1030">
        <f>IFERROR(IF(VLOOKUP($B1030,Показатели!$E:$W,16,FALSE)=0,"",VLOOKUP($B1030,Показатели!$E:$W,16,FALSE)),"")</f>
        <v>35801000000</v>
      </c>
      <c r="T1030">
        <f>IFERROR(IF(VLOOKUP($B1030,Показатели!$E:$W,17,FALSE)=0,"",VLOOKUP($B1030,Показатели!$E:$W,17,FALSE)),"")</f>
        <v>-5989000000</v>
      </c>
      <c r="U1030">
        <f>IFERROR(IF(VLOOKUP($B1030,Показатели!$E:$W,18,FALSE)=0,"",VLOOKUP($B1030,Показатели!$E:$W,18,FALSE)),"")</f>
        <v>118052000000</v>
      </c>
      <c r="V1030">
        <f>IFERROR(IF(VLOOKUP($B1030,Показатели!$E:$W,19,FALSE)=0,"",VLOOKUP($B1030,Показатели!$E:$W,19,FALSE)),"")</f>
        <v>282405000000</v>
      </c>
    </row>
    <row r="1031" spans="1:22" x14ac:dyDescent="0.2">
      <c r="A1031" s="7" t="s">
        <v>2306</v>
      </c>
      <c r="B1031" t="str">
        <f t="shared" si="16"/>
        <v>LSRG IV кв. 2020</v>
      </c>
      <c r="C1031">
        <v>2020</v>
      </c>
      <c r="D1031">
        <f>SUMIFS(Дивиденды!$C:$C,Дивиденды!$A:$A,A1031,Дивиденды!$I:$I,C1031)</f>
        <v>59</v>
      </c>
      <c r="E1031">
        <f>IFERROR(IF(VLOOKUP($B1031,Показатели!$E:$W,2,FALSE)=0,"",VLOOKUP($B1031,Показатели!$E:$W,2,FALSE)),"")</f>
        <v>73803000000</v>
      </c>
      <c r="F1031">
        <f>IFERROR(IF(VLOOKUP($B1031,Показатели!$E:$W,3,FALSE)=0,"",VLOOKUP($B1031,Показатели!$E:$W,3,FALSE)),"")</f>
        <v>252840000000</v>
      </c>
      <c r="G1031">
        <f>IFERROR(IF(VLOOKUP($B1031,Показатели!$E:$W,4,FALSE)=0,"",VLOOKUP($B1031,Показатели!$E:$W,4,FALSE)),"")</f>
        <v>21398000000</v>
      </c>
      <c r="H1031">
        <f>IFERROR(IF(VLOOKUP($B1031,Показатели!$E:$W,5,FALSE)=0,"",VLOOKUP($B1031,Показатели!$E:$W,5,FALSE)),"")</f>
        <v>4121000000</v>
      </c>
      <c r="I1031">
        <f>IFERROR(IF(VLOOKUP($B1031,Показатели!$E:$W,6,FALSE)=0,"",VLOOKUP($B1031,Показатели!$E:$W,6,FALSE)),"")</f>
        <v>282405000000</v>
      </c>
      <c r="J1031">
        <f>IFERROR(IF(VLOOKUP($B1031,Показатели!$E:$W,7,FALSE)=0,"",VLOOKUP($B1031,Показатели!$E:$W,7,FALSE)),"")</f>
        <v>91339000000</v>
      </c>
      <c r="K1031">
        <f>IFERROR(IF(VLOOKUP($B1031,Показатели!$E:$W,8,FALSE)=0,"",VLOOKUP($B1031,Показатели!$E:$W,8,FALSE)),"")</f>
        <v>99338000000</v>
      </c>
      <c r="L1031">
        <f>IFERROR(IF(VLOOKUP($B1031,Показатели!$E:$W,9,FALSE)=0,"",VLOOKUP($B1031,Показатели!$E:$W,9,FALSE)),"")</f>
        <v>50062000000</v>
      </c>
      <c r="M1031">
        <f>IFERROR(IF(VLOOKUP($B1031,Показатели!$E:$W,10,FALSE)=0,"",VLOOKUP($B1031,Показатели!$E:$W,10,FALSE)),"")</f>
        <v>91728000000</v>
      </c>
      <c r="N1031">
        <f>IFERROR(IF(VLOOKUP($B1031,Показатели!$E:$W,11,FALSE)=0,"",VLOOKUP($B1031,Показатели!$E:$W,11,FALSE)),"")</f>
        <v>118052000000</v>
      </c>
      <c r="O1031">
        <f>IFERROR(IF(VLOOKUP($B1031,Показатели!$E:$W,12,FALSE)=0,"",VLOOKUP($B1031,Показатели!$E:$W,12,FALSE)),"")</f>
        <v>22745000000</v>
      </c>
      <c r="P1031">
        <f>IFERROR(IF(VLOOKUP($B1031,Показатели!$E:$W,13,FALSE)=0,"",VLOOKUP($B1031,Показатели!$E:$W,13,FALSE)),"")</f>
        <v>15830000000</v>
      </c>
      <c r="Q1031">
        <f>IFERROR(IF(VLOOKUP($B1031,Показатели!$E:$W,14,FALSE)=0,"",VLOOKUP($B1031,Показатели!$E:$W,14,FALSE)),"")</f>
        <v>12025000000</v>
      </c>
      <c r="R1031">
        <f>IFERROR(IF(VLOOKUP($B1031,Показатели!$E:$W,15,FALSE)=0,"",VLOOKUP($B1031,Показатели!$E:$W,15,FALSE)),"")</f>
        <v>1920000000</v>
      </c>
      <c r="S1031">
        <f>IFERROR(IF(VLOOKUP($B1031,Показатели!$E:$W,16,FALSE)=0,"",VLOOKUP($B1031,Показатели!$E:$W,16,FALSE)),"")</f>
        <v>27376000000</v>
      </c>
      <c r="T1031">
        <f>IFERROR(IF(VLOOKUP($B1031,Показатели!$E:$W,17,FALSE)=0,"",VLOOKUP($B1031,Показатели!$E:$W,17,FALSE)),"")</f>
        <v>-2438000000</v>
      </c>
      <c r="U1031">
        <f>IFERROR(IF(VLOOKUP($B1031,Показатели!$E:$W,18,FALSE)=0,"",VLOOKUP($B1031,Показатели!$E:$W,18,FALSE)),"")</f>
        <v>110438000000</v>
      </c>
      <c r="V1031">
        <f>IFERROR(IF(VLOOKUP($B1031,Показатели!$E:$W,19,FALSE)=0,"",VLOOKUP($B1031,Показатели!$E:$W,19,FALSE)),"")</f>
        <v>264843000000</v>
      </c>
    </row>
    <row r="1032" spans="1:22" x14ac:dyDescent="0.2">
      <c r="A1032" s="7" t="s">
        <v>2306</v>
      </c>
      <c r="B1032" t="str">
        <f t="shared" si="16"/>
        <v>LSRG IV кв. 2019</v>
      </c>
      <c r="C1032">
        <v>2019</v>
      </c>
      <c r="D1032">
        <f>SUMIFS(Дивиденды!$C:$C,Дивиденды!$A:$A,A1032,Дивиденды!$I:$I,C1032)</f>
        <v>30</v>
      </c>
      <c r="E1032">
        <f>IFERROR(IF(VLOOKUP($B1032,Показатели!$E:$W,2,FALSE)=0,"",VLOOKUP($B1032,Показатели!$E:$W,2,FALSE)),"")</f>
        <v>66684000000</v>
      </c>
      <c r="F1032">
        <f>IFERROR(IF(VLOOKUP($B1032,Показатели!$E:$W,3,FALSE)=0,"",VLOOKUP($B1032,Показатели!$E:$W,3,FALSE)),"")</f>
        <v>233732000000</v>
      </c>
      <c r="G1032">
        <f>IFERROR(IF(VLOOKUP($B1032,Показатели!$E:$W,4,FALSE)=0,"",VLOOKUP($B1032,Показатели!$E:$W,4,FALSE)),"")</f>
        <v>22999000000</v>
      </c>
      <c r="H1032">
        <f>IFERROR(IF(VLOOKUP($B1032,Показатели!$E:$W,5,FALSE)=0,"",VLOOKUP($B1032,Показатели!$E:$W,5,FALSE)),"")</f>
        <v>4016000000</v>
      </c>
      <c r="I1032">
        <f>IFERROR(IF(VLOOKUP($B1032,Показатели!$E:$W,6,FALSE)=0,"",VLOOKUP($B1032,Показатели!$E:$W,6,FALSE)),"")</f>
        <v>264843000000</v>
      </c>
      <c r="J1032">
        <f>IFERROR(IF(VLOOKUP($B1032,Показатели!$E:$W,7,FALSE)=0,"",VLOOKUP($B1032,Показатели!$E:$W,7,FALSE)),"")</f>
        <v>94972000000</v>
      </c>
      <c r="K1032">
        <f>IFERROR(IF(VLOOKUP($B1032,Показатели!$E:$W,8,FALSE)=0,"",VLOOKUP($B1032,Показатели!$E:$W,8,FALSE)),"")</f>
        <v>85961000000</v>
      </c>
      <c r="L1032">
        <f>IFERROR(IF(VLOOKUP($B1032,Показатели!$E:$W,9,FALSE)=0,"",VLOOKUP($B1032,Показатели!$E:$W,9,FALSE)),"")</f>
        <v>42353000000</v>
      </c>
      <c r="M1032">
        <f>IFERROR(IF(VLOOKUP($B1032,Показатели!$E:$W,10,FALSE)=0,"",VLOOKUP($B1032,Показатели!$E:$W,10,FALSE)),"")</f>
        <v>83910000000</v>
      </c>
      <c r="N1032">
        <f>IFERROR(IF(VLOOKUP($B1032,Показатели!$E:$W,11,FALSE)=0,"",VLOOKUP($B1032,Показатели!$E:$W,11,FALSE)),"")</f>
        <v>110438000000</v>
      </c>
      <c r="O1032">
        <f>IFERROR(IF(VLOOKUP($B1032,Показатели!$E:$W,12,FALSE)=0,"",VLOOKUP($B1032,Показатели!$E:$W,12,FALSE)),"")</f>
        <v>16624000000</v>
      </c>
      <c r="P1032">
        <f>IFERROR(IF(VLOOKUP($B1032,Показатели!$E:$W,13,FALSE)=0,"",VLOOKUP($B1032,Показатели!$E:$W,13,FALSE)),"")</f>
        <v>10802000000</v>
      </c>
      <c r="Q1032">
        <f>IFERROR(IF(VLOOKUP($B1032,Показатели!$E:$W,14,FALSE)=0,"",VLOOKUP($B1032,Показатели!$E:$W,14,FALSE)),"")</f>
        <v>7469000000</v>
      </c>
      <c r="R1032">
        <f>IFERROR(IF(VLOOKUP($B1032,Показатели!$E:$W,15,FALSE)=0,"",VLOOKUP($B1032,Показатели!$E:$W,15,FALSE)),"")</f>
        <v>1898000000</v>
      </c>
      <c r="S1032">
        <f>IFERROR(IF(VLOOKUP($B1032,Показатели!$E:$W,16,FALSE)=0,"",VLOOKUP($B1032,Показатели!$E:$W,16,FALSE)),"")</f>
        <v>21037000000</v>
      </c>
      <c r="T1032">
        <f>IFERROR(IF(VLOOKUP($B1032,Показатели!$E:$W,17,FALSE)=0,"",VLOOKUP($B1032,Показатели!$E:$W,17,FALSE)),"")</f>
        <v>-870000000</v>
      </c>
      <c r="U1032">
        <f>IFERROR(IF(VLOOKUP($B1032,Показатели!$E:$W,18,FALSE)=0,"",VLOOKUP($B1032,Показатели!$E:$W,18,FALSE)),"")</f>
        <v>146376000000</v>
      </c>
      <c r="V1032">
        <f>IFERROR(IF(VLOOKUP($B1032,Показатели!$E:$W,19,FALSE)=0,"",VLOOKUP($B1032,Показатели!$E:$W,19,FALSE)),"")</f>
        <v>259520000000</v>
      </c>
    </row>
    <row r="1033" spans="1:22" x14ac:dyDescent="0.2">
      <c r="A1033" s="7" t="s">
        <v>2306</v>
      </c>
      <c r="B1033" t="str">
        <f t="shared" si="16"/>
        <v>LSRG IV кв. 2018</v>
      </c>
      <c r="C1033">
        <v>2018</v>
      </c>
      <c r="D1033">
        <f>SUMIFS(Дивиденды!$C:$C,Дивиденды!$A:$A,A1033,Дивиденды!$I:$I,C1033)</f>
        <v>78</v>
      </c>
      <c r="E1033">
        <f>IFERROR(IF(VLOOKUP($B1033,Показатели!$E:$W,2,FALSE)=0,"",VLOOKUP($B1033,Показатели!$E:$W,2,FALSE)),"")</f>
        <v>55798000000</v>
      </c>
      <c r="F1033">
        <f>IFERROR(IF(VLOOKUP($B1033,Показатели!$E:$W,3,FALSE)=0,"",VLOOKUP($B1033,Показатели!$E:$W,3,FALSE)),"")</f>
        <v>226581000000</v>
      </c>
      <c r="G1033">
        <f>IFERROR(IF(VLOOKUP($B1033,Показатели!$E:$W,4,FALSE)=0,"",VLOOKUP($B1033,Показатели!$E:$W,4,FALSE)),"")</f>
        <v>23867000000</v>
      </c>
      <c r="H1033">
        <f>IFERROR(IF(VLOOKUP($B1033,Показатели!$E:$W,5,FALSE)=0,"",VLOOKUP($B1033,Показатели!$E:$W,5,FALSE)),"")</f>
        <v>4092000000</v>
      </c>
      <c r="I1033">
        <f>IFERROR(IF(VLOOKUP($B1033,Показатели!$E:$W,6,FALSE)=0,"",VLOOKUP($B1033,Показатели!$E:$W,6,FALSE)),"")</f>
        <v>259520000000</v>
      </c>
      <c r="J1033">
        <f>IFERROR(IF(VLOOKUP($B1033,Показатели!$E:$W,7,FALSE)=0,"",VLOOKUP($B1033,Показатели!$E:$W,7,FALSE)),"")</f>
        <v>87201000000</v>
      </c>
      <c r="K1033">
        <f>IFERROR(IF(VLOOKUP($B1033,Показатели!$E:$W,8,FALSE)=0,"",VLOOKUP($B1033,Показатели!$E:$W,8,FALSE)),"")</f>
        <v>87966000000</v>
      </c>
      <c r="L1033">
        <f>IFERROR(IF(VLOOKUP($B1033,Показатели!$E:$W,9,FALSE)=0,"",VLOOKUP($B1033,Показатели!$E:$W,9,FALSE)),"")</f>
        <v>42726000000</v>
      </c>
      <c r="M1033">
        <f>IFERROR(IF(VLOOKUP($B1033,Показатели!$E:$W,10,FALSE)=0,"",VLOOKUP($B1033,Показатели!$E:$W,10,FALSE)),"")</f>
        <v>84353000000</v>
      </c>
      <c r="N1033">
        <f>IFERROR(IF(VLOOKUP($B1033,Показатели!$E:$W,11,FALSE)=0,"",VLOOKUP($B1033,Показатели!$E:$W,11,FALSE)),"")</f>
        <v>146376000000</v>
      </c>
      <c r="O1033">
        <f>IFERROR(IF(VLOOKUP($B1033,Показатели!$E:$W,12,FALSE)=0,"",VLOOKUP($B1033,Показатели!$E:$W,12,FALSE)),"")</f>
        <v>24798000000</v>
      </c>
      <c r="P1033">
        <f>IFERROR(IF(VLOOKUP($B1033,Показатели!$E:$W,13,FALSE)=0,"",VLOOKUP($B1033,Показатели!$E:$W,13,FALSE)),"")</f>
        <v>21087000000</v>
      </c>
      <c r="Q1033">
        <f>IFERROR(IF(VLOOKUP($B1033,Показатели!$E:$W,14,FALSE)=0,"",VLOOKUP($B1033,Показатели!$E:$W,14,FALSE)),"")</f>
        <v>16230000000</v>
      </c>
      <c r="R1033">
        <f>IFERROR(IF(VLOOKUP($B1033,Показатели!$E:$W,15,FALSE)=0,"",VLOOKUP($B1033,Показатели!$E:$W,15,FALSE)),"")</f>
        <v>2452000000</v>
      </c>
      <c r="S1033">
        <f>IFERROR(IF(VLOOKUP($B1033,Показатели!$E:$W,16,FALSE)=0,"",VLOOKUP($B1033,Показатели!$E:$W,16,FALSE)),"")</f>
        <v>36400000000</v>
      </c>
      <c r="T1033">
        <f>IFERROR(IF(VLOOKUP($B1033,Показатели!$E:$W,17,FALSE)=0,"",VLOOKUP($B1033,Показатели!$E:$W,17,FALSE)),"")</f>
        <v>-1189000000</v>
      </c>
      <c r="U1033">
        <f>IFERROR(IF(VLOOKUP($B1033,Показатели!$E:$W,18,FALSE)=0,"",VLOOKUP($B1033,Показатели!$E:$W,18,FALSE)),"")</f>
        <v>138494000000</v>
      </c>
      <c r="V1033">
        <f>IFERROR(IF(VLOOKUP($B1033,Показатели!$E:$W,19,FALSE)=0,"",VLOOKUP($B1033,Показатели!$E:$W,19,FALSE)),"")</f>
        <v>251552000000</v>
      </c>
    </row>
    <row r="1034" spans="1:22" x14ac:dyDescent="0.2">
      <c r="A1034" s="7" t="s">
        <v>2306</v>
      </c>
      <c r="B1034" t="str">
        <f t="shared" si="16"/>
        <v>LSRG IV кв. 2017</v>
      </c>
      <c r="C1034">
        <v>2017</v>
      </c>
      <c r="D1034">
        <f>SUMIFS(Дивиденды!$C:$C,Дивиденды!$A:$A,A1034,Дивиденды!$I:$I,C1034)</f>
        <v>78</v>
      </c>
      <c r="E1034">
        <f>IFERROR(IF(VLOOKUP($B1034,Показатели!$E:$W,2,FALSE)=0,"",VLOOKUP($B1034,Показатели!$E:$W,2,FALSE)),"")</f>
        <v>29713000000</v>
      </c>
      <c r="F1034">
        <f>IFERROR(IF(VLOOKUP($B1034,Показатели!$E:$W,3,FALSE)=0,"",VLOOKUP($B1034,Показатели!$E:$W,3,FALSE)),"")</f>
        <v>214216000000</v>
      </c>
      <c r="G1034">
        <f>IFERROR(IF(VLOOKUP($B1034,Показатели!$E:$W,4,FALSE)=0,"",VLOOKUP($B1034,Показатели!$E:$W,4,FALSE)),"")</f>
        <v>28280000000</v>
      </c>
      <c r="H1034">
        <f>IFERROR(IF(VLOOKUP($B1034,Показатели!$E:$W,5,FALSE)=0,"",VLOOKUP($B1034,Показатели!$E:$W,5,FALSE)),"")</f>
        <v>4262000000</v>
      </c>
      <c r="I1034">
        <f>IFERROR(IF(VLOOKUP($B1034,Показатели!$E:$W,6,FALSE)=0,"",VLOOKUP($B1034,Показатели!$E:$W,6,FALSE)),"")</f>
        <v>251552000000</v>
      </c>
      <c r="J1034">
        <f>IFERROR(IF(VLOOKUP($B1034,Показатели!$E:$W,7,FALSE)=0,"",VLOOKUP($B1034,Показатели!$E:$W,7,FALSE)),"")</f>
        <v>88615000000</v>
      </c>
      <c r="K1034">
        <f>IFERROR(IF(VLOOKUP($B1034,Показатели!$E:$W,8,FALSE)=0,"",VLOOKUP($B1034,Показатели!$E:$W,8,FALSE)),"")</f>
        <v>85248000000</v>
      </c>
      <c r="L1034">
        <f>IFERROR(IF(VLOOKUP($B1034,Показатели!$E:$W,9,FALSE)=0,"",VLOOKUP($B1034,Показатели!$E:$W,9,FALSE)),"")</f>
        <v>34562000000</v>
      </c>
      <c r="M1034">
        <f>IFERROR(IF(VLOOKUP($B1034,Показатели!$E:$W,10,FALSE)=0,"",VLOOKUP($B1034,Показатели!$E:$W,10,FALSE)),"")</f>
        <v>77689000000</v>
      </c>
      <c r="N1034">
        <f>IFERROR(IF(VLOOKUP($B1034,Показатели!$E:$W,11,FALSE)=0,"",VLOOKUP($B1034,Показатели!$E:$W,11,FALSE)),"")</f>
        <v>138494000000</v>
      </c>
      <c r="O1034">
        <f>IFERROR(IF(VLOOKUP($B1034,Показатели!$E:$W,12,FALSE)=0,"",VLOOKUP($B1034,Показатели!$E:$W,12,FALSE)),"")</f>
        <v>22444000000</v>
      </c>
      <c r="P1034">
        <f>IFERROR(IF(VLOOKUP($B1034,Показатели!$E:$W,13,FALSE)=0,"",VLOOKUP($B1034,Показатели!$E:$W,13,FALSE)),"")</f>
        <v>20288000000</v>
      </c>
      <c r="Q1034">
        <f>IFERROR(IF(VLOOKUP($B1034,Показатели!$E:$W,14,FALSE)=0,"",VLOOKUP($B1034,Показатели!$E:$W,14,FALSE)),"")</f>
        <v>15871000000</v>
      </c>
      <c r="R1034">
        <f>IFERROR(IF(VLOOKUP($B1034,Показатели!$E:$W,15,FALSE)=0,"",VLOOKUP($B1034,Показатели!$E:$W,15,FALSE)),"")</f>
        <v>2812000000</v>
      </c>
      <c r="S1034">
        <f>IFERROR(IF(VLOOKUP($B1034,Показатели!$E:$W,16,FALSE)=0,"",VLOOKUP($B1034,Показатели!$E:$W,16,FALSE)),"")</f>
        <v>36845000000</v>
      </c>
      <c r="T1034">
        <f>IFERROR(IF(VLOOKUP($B1034,Показатели!$E:$W,17,FALSE)=0,"",VLOOKUP($B1034,Показатели!$E:$W,17,FALSE)),"")</f>
        <v>-1409000000</v>
      </c>
      <c r="U1034">
        <f>IFERROR(IF(VLOOKUP($B1034,Показатели!$E:$W,18,FALSE)=0,"",VLOOKUP($B1034,Показатели!$E:$W,18,FALSE)),"")</f>
        <v>98072000000</v>
      </c>
      <c r="V1034">
        <f>IFERROR(IF(VLOOKUP($B1034,Показатели!$E:$W,19,FALSE)=0,"",VLOOKUP($B1034,Показатели!$E:$W,19,FALSE)),"")</f>
        <v>245020000000</v>
      </c>
    </row>
    <row r="1035" spans="1:22" x14ac:dyDescent="0.2">
      <c r="A1035" s="7" t="s">
        <v>2306</v>
      </c>
      <c r="B1035" t="str">
        <f t="shared" si="16"/>
        <v>LSRG IV кв. 2016</v>
      </c>
      <c r="C1035">
        <v>2016</v>
      </c>
      <c r="D1035">
        <f>SUMIFS(Дивиденды!$C:$C,Дивиденды!$A:$A,A1035,Дивиденды!$I:$I,C1035)</f>
        <v>78</v>
      </c>
      <c r="E1035">
        <f>IFERROR(IF(VLOOKUP($B1035,Показатели!$E:$W,2,FALSE)=0,"",VLOOKUP($B1035,Показатели!$E:$W,2,FALSE)),"")</f>
        <v>25630000000</v>
      </c>
      <c r="F1035">
        <f>IFERROR(IF(VLOOKUP($B1035,Показатели!$E:$W,3,FALSE)=0,"",VLOOKUP($B1035,Показатели!$E:$W,3,FALSE)),"")</f>
        <v>206973000000</v>
      </c>
      <c r="G1035">
        <f>IFERROR(IF(VLOOKUP($B1035,Показатели!$E:$W,4,FALSE)=0,"",VLOOKUP($B1035,Показатели!$E:$W,4,FALSE)),"")</f>
        <v>30234000000</v>
      </c>
      <c r="H1035" t="str">
        <f>IFERROR(IF(VLOOKUP($B1035,Показатели!$E:$W,5,FALSE)=0,"",VLOOKUP($B1035,Показатели!$E:$W,5,FALSE)),"")</f>
        <v/>
      </c>
      <c r="I1035">
        <f>IFERROR(IF(VLOOKUP($B1035,Показатели!$E:$W,6,FALSE)=0,"",VLOOKUP($B1035,Показатели!$E:$W,6,FALSE)),"")</f>
        <v>245020000000</v>
      </c>
      <c r="J1035">
        <f>IFERROR(IF(VLOOKUP($B1035,Показатели!$E:$W,7,FALSE)=0,"",VLOOKUP($B1035,Показатели!$E:$W,7,FALSE)),"")</f>
        <v>109637000000</v>
      </c>
      <c r="K1035">
        <f>IFERROR(IF(VLOOKUP($B1035,Показатели!$E:$W,8,FALSE)=0,"",VLOOKUP($B1035,Показатели!$E:$W,8,FALSE)),"")</f>
        <v>66924000000</v>
      </c>
      <c r="L1035">
        <f>IFERROR(IF(VLOOKUP($B1035,Показатели!$E:$W,9,FALSE)=0,"",VLOOKUP($B1035,Показатели!$E:$W,9,FALSE)),"")</f>
        <v>26653000000</v>
      </c>
      <c r="M1035">
        <f>IFERROR(IF(VLOOKUP($B1035,Показатели!$E:$W,10,FALSE)=0,"",VLOOKUP($B1035,Показатели!$E:$W,10,FALSE)),"")</f>
        <v>68459000000</v>
      </c>
      <c r="N1035">
        <f>IFERROR(IF(VLOOKUP($B1035,Показатели!$E:$W,11,FALSE)=0,"",VLOOKUP($B1035,Показатели!$E:$W,11,FALSE)),"")</f>
        <v>98072000000</v>
      </c>
      <c r="O1035">
        <f>IFERROR(IF(VLOOKUP($B1035,Показатели!$E:$W,12,FALSE)=0,"",VLOOKUP($B1035,Показатели!$E:$W,12,FALSE)),"")</f>
        <v>14031000000</v>
      </c>
      <c r="P1035">
        <f>IFERROR(IF(VLOOKUP($B1035,Показатели!$E:$W,13,FALSE)=0,"",VLOOKUP($B1035,Показатели!$E:$W,13,FALSE)),"")</f>
        <v>12598000000</v>
      </c>
      <c r="Q1035">
        <f>IFERROR(IF(VLOOKUP($B1035,Показатели!$E:$W,14,FALSE)=0,"",VLOOKUP($B1035,Показатели!$E:$W,14,FALSE)),"")</f>
        <v>9163000000</v>
      </c>
      <c r="R1035" t="str">
        <f>IFERROR(IF(VLOOKUP($B1035,Показатели!$E:$W,15,FALSE)=0,"",VLOOKUP($B1035,Показатели!$E:$W,15,FALSE)),"")</f>
        <v/>
      </c>
      <c r="S1035">
        <f>IFERROR(IF(VLOOKUP($B1035,Показатели!$E:$W,16,FALSE)=0,"",VLOOKUP($B1035,Показатели!$E:$W,16,FALSE)),"")</f>
        <v>19298000000</v>
      </c>
      <c r="T1035">
        <f>IFERROR(IF(VLOOKUP($B1035,Показатели!$E:$W,17,FALSE)=0,"",VLOOKUP($B1035,Показатели!$E:$W,17,FALSE)),"")</f>
        <v>3152000000</v>
      </c>
      <c r="U1035">
        <f>IFERROR(IF(VLOOKUP($B1035,Показатели!$E:$W,18,FALSE)=0,"",VLOOKUP($B1035,Показатели!$E:$W,18,FALSE)),"")</f>
        <v>86830351000</v>
      </c>
      <c r="V1035">
        <f>IFERROR(IF(VLOOKUP($B1035,Показатели!$E:$W,19,FALSE)=0,"",VLOOKUP($B1035,Показатели!$E:$W,19,FALSE)),"")</f>
        <v>204381693000</v>
      </c>
    </row>
    <row r="1036" spans="1:22" x14ac:dyDescent="0.2">
      <c r="A1036" s="7" t="s">
        <v>2306</v>
      </c>
      <c r="B1036" t="str">
        <f t="shared" si="16"/>
        <v>LSRG IV кв. 2015</v>
      </c>
      <c r="C1036">
        <v>2015</v>
      </c>
      <c r="D1036">
        <f>SUMIFS(Дивиденды!$C:$C,Дивиденды!$A:$A,A1036,Дивиденды!$I:$I,C1036)</f>
        <v>78</v>
      </c>
      <c r="E1036">
        <f>IFERROR(IF(VLOOKUP($B1036,Показатели!$E:$W,2,FALSE)=0,"",VLOOKUP($B1036,Показатели!$E:$W,2,FALSE)),"")</f>
        <v>20456675000</v>
      </c>
      <c r="F1036">
        <f>IFERROR(IF(VLOOKUP($B1036,Показатели!$E:$W,3,FALSE)=0,"",VLOOKUP($B1036,Показатели!$E:$W,3,FALSE)),"")</f>
        <v>168366195000</v>
      </c>
      <c r="G1036">
        <f>IFERROR(IF(VLOOKUP($B1036,Показатели!$E:$W,4,FALSE)=0,"",VLOOKUP($B1036,Показатели!$E:$W,4,FALSE)),"")</f>
        <v>29020502000</v>
      </c>
      <c r="H1036" t="str">
        <f>IFERROR(IF(VLOOKUP($B1036,Показатели!$E:$W,5,FALSE)=0,"",VLOOKUP($B1036,Показатели!$E:$W,5,FALSE)),"")</f>
        <v/>
      </c>
      <c r="I1036">
        <f>IFERROR(IF(VLOOKUP($B1036,Показатели!$E:$W,6,FALSE)=0,"",VLOOKUP($B1036,Показатели!$E:$W,6,FALSE)),"")</f>
        <v>204381693000</v>
      </c>
      <c r="J1036">
        <f>IFERROR(IF(VLOOKUP($B1036,Показатели!$E:$W,7,FALSE)=0,"",VLOOKUP($B1036,Показатели!$E:$W,7,FALSE)),"")</f>
        <v>98939654000</v>
      </c>
      <c r="K1036">
        <f>IFERROR(IF(VLOOKUP($B1036,Показатели!$E:$W,8,FALSE)=0,"",VLOOKUP($B1036,Показатели!$E:$W,8,FALSE)),"")</f>
        <v>37447981000</v>
      </c>
      <c r="L1036">
        <f>IFERROR(IF(VLOOKUP($B1036,Показатели!$E:$W,9,FALSE)=0,"",VLOOKUP($B1036,Показатели!$E:$W,9,FALSE)),"")</f>
        <v>25527050000</v>
      </c>
      <c r="M1036">
        <f>IFERROR(IF(VLOOKUP($B1036,Показатели!$E:$W,10,FALSE)=0,"",VLOOKUP($B1036,Показатели!$E:$W,10,FALSE)),"")</f>
        <v>67994058000</v>
      </c>
      <c r="N1036">
        <f>IFERROR(IF(VLOOKUP($B1036,Показатели!$E:$W,11,FALSE)=0,"",VLOOKUP($B1036,Показатели!$E:$W,11,FALSE)),"")</f>
        <v>86830351000</v>
      </c>
      <c r="O1036">
        <f>IFERROR(IF(VLOOKUP($B1036,Показатели!$E:$W,12,FALSE)=0,"",VLOOKUP($B1036,Показатели!$E:$W,12,FALSE)),"")</f>
        <v>13762505000</v>
      </c>
      <c r="P1036">
        <f>IFERROR(IF(VLOOKUP($B1036,Показатели!$E:$W,13,FALSE)=0,"",VLOOKUP($B1036,Показатели!$E:$W,13,FALSE)),"")</f>
        <v>13962494000</v>
      </c>
      <c r="Q1036">
        <f>IFERROR(IF(VLOOKUP($B1036,Показатели!$E:$W,14,FALSE)=0,"",VLOOKUP($B1036,Показатели!$E:$W,14,FALSE)),"")</f>
        <v>10645711000</v>
      </c>
      <c r="R1036" t="str">
        <f>IFERROR(IF(VLOOKUP($B1036,Показатели!$E:$W,15,FALSE)=0,"",VLOOKUP($B1036,Показатели!$E:$W,15,FALSE)),"")</f>
        <v/>
      </c>
      <c r="S1036">
        <f>IFERROR(IF(VLOOKUP($B1036,Показатели!$E:$W,16,FALSE)=0,"",VLOOKUP($B1036,Показатели!$E:$W,16,FALSE)),"")</f>
        <v>18632617000</v>
      </c>
      <c r="T1036">
        <f>IFERROR(IF(VLOOKUP($B1036,Показатели!$E:$W,17,FALSE)=0,"",VLOOKUP($B1036,Показатели!$E:$W,17,FALSE)),"")</f>
        <v>-3305086000</v>
      </c>
      <c r="U1036">
        <f>IFERROR(IF(VLOOKUP($B1036,Показатели!$E:$W,18,FALSE)=0,"",VLOOKUP($B1036,Показатели!$E:$W,18,FALSE)),"")</f>
        <v>92347177000</v>
      </c>
      <c r="V1036">
        <f>IFERROR(IF(VLOOKUP($B1036,Показатели!$E:$W,19,FALSE)=0,"",VLOOKUP($B1036,Показатели!$E:$W,19,FALSE)),"")</f>
        <v>199001649000</v>
      </c>
    </row>
    <row r="1037" spans="1:22" x14ac:dyDescent="0.2">
      <c r="A1037" s="7" t="s">
        <v>2306</v>
      </c>
      <c r="B1037" t="str">
        <f t="shared" si="16"/>
        <v>LSRG IV кв. 2014</v>
      </c>
      <c r="C1037">
        <v>2014</v>
      </c>
      <c r="D1037">
        <f>SUMIFS(Дивиденды!$C:$C,Дивиденды!$A:$A,A1037,Дивиденды!$I:$I,C1037)</f>
        <v>78</v>
      </c>
      <c r="E1037">
        <f>IFERROR(IF(VLOOKUP($B1037,Показатели!$E:$W,2,FALSE)=0,"",VLOOKUP($B1037,Показатели!$E:$W,2,FALSE)),"")</f>
        <v>25277805000</v>
      </c>
      <c r="F1037">
        <f>IFERROR(IF(VLOOKUP($B1037,Показатели!$E:$W,3,FALSE)=0,"",VLOOKUP($B1037,Показатели!$E:$W,3,FALSE)),"")</f>
        <v>164553202000</v>
      </c>
      <c r="G1037">
        <f>IFERROR(IF(VLOOKUP($B1037,Показатели!$E:$W,4,FALSE)=0,"",VLOOKUP($B1037,Показатели!$E:$W,4,FALSE)),"")</f>
        <v>28090403000</v>
      </c>
      <c r="H1037" t="str">
        <f>IFERROR(IF(VLOOKUP($B1037,Показатели!$E:$W,5,FALSE)=0,"",VLOOKUP($B1037,Показатели!$E:$W,5,FALSE)),"")</f>
        <v/>
      </c>
      <c r="I1037">
        <f>IFERROR(IF(VLOOKUP($B1037,Показатели!$E:$W,6,FALSE)=0,"",VLOOKUP($B1037,Показатели!$E:$W,6,FALSE)),"")</f>
        <v>199001649000</v>
      </c>
      <c r="J1037">
        <f>IFERROR(IF(VLOOKUP($B1037,Показатели!$E:$W,7,FALSE)=0,"",VLOOKUP($B1037,Показатели!$E:$W,7,FALSE)),"")</f>
        <v>95854774000</v>
      </c>
      <c r="K1037">
        <f>IFERROR(IF(VLOOKUP($B1037,Показатели!$E:$W,8,FALSE)=0,"",VLOOKUP($B1037,Показатели!$E:$W,8,FALSE)),"")</f>
        <v>37318966000</v>
      </c>
      <c r="L1037">
        <f>IFERROR(IF(VLOOKUP($B1037,Показатели!$E:$W,9,FALSE)=0,"",VLOOKUP($B1037,Показатели!$E:$W,9,FALSE)),"")</f>
        <v>22914203000</v>
      </c>
      <c r="M1037">
        <f>IFERROR(IF(VLOOKUP($B1037,Показатели!$E:$W,10,FALSE)=0,"",VLOOKUP($B1037,Показатели!$E:$W,10,FALSE)),"")</f>
        <v>65827909000</v>
      </c>
      <c r="N1037">
        <f>IFERROR(IF(VLOOKUP($B1037,Показатели!$E:$W,11,FALSE)=0,"",VLOOKUP($B1037,Показатели!$E:$W,11,FALSE)),"")</f>
        <v>92347177000</v>
      </c>
      <c r="O1037">
        <f>IFERROR(IF(VLOOKUP($B1037,Показатели!$E:$W,12,FALSE)=0,"",VLOOKUP($B1037,Показатели!$E:$W,12,FALSE)),"")</f>
        <v>17491906000</v>
      </c>
      <c r="P1037">
        <f>IFERROR(IF(VLOOKUP($B1037,Показатели!$E:$W,13,FALSE)=0,"",VLOOKUP($B1037,Показатели!$E:$W,13,FALSE)),"")</f>
        <v>11460464000</v>
      </c>
      <c r="Q1037">
        <f>IFERROR(IF(VLOOKUP($B1037,Показатели!$E:$W,14,FALSE)=0,"",VLOOKUP($B1037,Показатели!$E:$W,14,FALSE)),"")</f>
        <v>9202070000</v>
      </c>
      <c r="R1037" t="str">
        <f>IFERROR(IF(VLOOKUP($B1037,Показатели!$E:$W,15,FALSE)=0,"",VLOOKUP($B1037,Показатели!$E:$W,15,FALSE)),"")</f>
        <v/>
      </c>
      <c r="S1037">
        <f>IFERROR(IF(VLOOKUP($B1037,Показатели!$E:$W,16,FALSE)=0,"",VLOOKUP($B1037,Показатели!$E:$W,16,FALSE)),"")</f>
        <v>21588000000</v>
      </c>
      <c r="T1037">
        <f>IFERROR(IF(VLOOKUP($B1037,Показатели!$E:$W,17,FALSE)=0,"",VLOOKUP($B1037,Показатели!$E:$W,17,FALSE)),"")</f>
        <v>2017298000</v>
      </c>
      <c r="U1037">
        <f>IFERROR(IF(VLOOKUP($B1037,Показатели!$E:$W,18,FALSE)=0,"",VLOOKUP($B1037,Показатели!$E:$W,18,FALSE)),"")</f>
        <v>65316191000</v>
      </c>
      <c r="V1037">
        <f>IFERROR(IF(VLOOKUP($B1037,Показатели!$E:$W,19,FALSE)=0,"",VLOOKUP($B1037,Показатели!$E:$W,19,FALSE)),"")</f>
        <v>155414592000</v>
      </c>
    </row>
    <row r="1038" spans="1:22" x14ac:dyDescent="0.2">
      <c r="A1038" s="7" t="s">
        <v>2306</v>
      </c>
      <c r="B1038" t="str">
        <f t="shared" si="16"/>
        <v>LSRG IV кв. 2013</v>
      </c>
      <c r="C1038">
        <v>2013</v>
      </c>
      <c r="D1038">
        <f>SUMIFS(Дивиденды!$C:$C,Дивиденды!$A:$A,A1038,Дивиденды!$I:$I,C1038)</f>
        <v>40</v>
      </c>
      <c r="E1038">
        <f>IFERROR(IF(VLOOKUP($B1038,Показатели!$E:$W,2,FALSE)=0,"",VLOOKUP($B1038,Показатели!$E:$W,2,FALSE)),"")</f>
        <v>5899479000</v>
      </c>
      <c r="F1038">
        <f>IFERROR(IF(VLOOKUP($B1038,Показатели!$E:$W,3,FALSE)=0,"",VLOOKUP($B1038,Показатели!$E:$W,3,FALSE)),"")</f>
        <v>104007863000</v>
      </c>
      <c r="G1038">
        <f>IFERROR(IF(VLOOKUP($B1038,Показатели!$E:$W,4,FALSE)=0,"",VLOOKUP($B1038,Показатели!$E:$W,4,FALSE)),"")</f>
        <v>42775672000</v>
      </c>
      <c r="H1038" t="str">
        <f>IFERROR(IF(VLOOKUP($B1038,Показатели!$E:$W,5,FALSE)=0,"",VLOOKUP($B1038,Показатели!$E:$W,5,FALSE)),"")</f>
        <v/>
      </c>
      <c r="I1038">
        <f>IFERROR(IF(VLOOKUP($B1038,Показатели!$E:$W,6,FALSE)=0,"",VLOOKUP($B1038,Показатели!$E:$W,6,FALSE)),"")</f>
        <v>155414592000</v>
      </c>
      <c r="J1038">
        <f>IFERROR(IF(VLOOKUP($B1038,Показатели!$E:$W,7,FALSE)=0,"",VLOOKUP($B1038,Показатели!$E:$W,7,FALSE)),"")</f>
        <v>69050980000</v>
      </c>
      <c r="K1038">
        <f>IFERROR(IF(VLOOKUP($B1038,Показатели!$E:$W,8,FALSE)=0,"",VLOOKUP($B1038,Показатели!$E:$W,8,FALSE)),"")</f>
        <v>27316731000</v>
      </c>
      <c r="L1038" t="str">
        <f>IFERROR(IF(VLOOKUP($B1038,Показатели!$E:$W,9,FALSE)=0,"",VLOOKUP($B1038,Показатели!$E:$W,9,FALSE)),"")</f>
        <v/>
      </c>
      <c r="M1038">
        <f>IFERROR(IF(VLOOKUP($B1038,Показатели!$E:$W,10,FALSE)=0,"",VLOOKUP($B1038,Показатели!$E:$W,10,FALSE)),"")</f>
        <v>59046881000</v>
      </c>
      <c r="N1038">
        <f>IFERROR(IF(VLOOKUP($B1038,Показатели!$E:$W,11,FALSE)=0,"",VLOOKUP($B1038,Показатели!$E:$W,11,FALSE)),"")</f>
        <v>65316191000</v>
      </c>
      <c r="O1038">
        <f>IFERROR(IF(VLOOKUP($B1038,Показатели!$E:$W,12,FALSE)=0,"",VLOOKUP($B1038,Показатели!$E:$W,12,FALSE)),"")</f>
        <v>10915595000</v>
      </c>
      <c r="P1038">
        <f>IFERROR(IF(VLOOKUP($B1038,Показатели!$E:$W,13,FALSE)=0,"",VLOOKUP($B1038,Показатели!$E:$W,13,FALSE)),"")</f>
        <v>6929748000</v>
      </c>
      <c r="Q1038">
        <f>IFERROR(IF(VLOOKUP($B1038,Показатели!$E:$W,14,FALSE)=0,"",VLOOKUP($B1038,Показатели!$E:$W,14,FALSE)),"")</f>
        <v>5233583000</v>
      </c>
      <c r="R1038" t="str">
        <f>IFERROR(IF(VLOOKUP($B1038,Показатели!$E:$W,15,FALSE)=0,"",VLOOKUP($B1038,Показатели!$E:$W,15,FALSE)),"")</f>
        <v/>
      </c>
      <c r="S1038">
        <f>IFERROR(IF(VLOOKUP($B1038,Показатели!$E:$W,16,FALSE)=0,"",VLOOKUP($B1038,Показатели!$E:$W,16,FALSE)),"")</f>
        <v>14156000000</v>
      </c>
      <c r="T1038" t="str">
        <f>IFERROR(IF(VLOOKUP($B1038,Показатели!$E:$W,17,FALSE)=0,"",VLOOKUP($B1038,Показатели!$E:$W,17,FALSE)),"")</f>
        <v/>
      </c>
      <c r="U1038">
        <f>IFERROR(IF(VLOOKUP($B1038,Показатели!$E:$W,18,FALSE)=0,"",VLOOKUP($B1038,Показатели!$E:$W,18,FALSE)),"")</f>
        <v>61121653000</v>
      </c>
      <c r="V1038">
        <f>IFERROR(IF(VLOOKUP($B1038,Показатели!$E:$W,19,FALSE)=0,"",VLOOKUP($B1038,Показатели!$E:$W,19,FALSE)),"")</f>
        <v>137777860000</v>
      </c>
    </row>
    <row r="1039" spans="1:22" x14ac:dyDescent="0.2">
      <c r="A1039" s="7" t="s">
        <v>2306</v>
      </c>
      <c r="B1039" t="str">
        <f t="shared" si="16"/>
        <v>LSRG IV кв. 2012</v>
      </c>
      <c r="C1039">
        <v>2012</v>
      </c>
      <c r="D1039">
        <f>SUMIFS(Дивиденды!$C:$C,Дивиденды!$A:$A,A1039,Дивиденды!$I:$I,C1039)</f>
        <v>20</v>
      </c>
      <c r="E1039">
        <f>IFERROR(IF(VLOOKUP($B1039,Показатели!$E:$W,2,FALSE)=0,"",VLOOKUP($B1039,Показатели!$E:$W,2,FALSE)),"")</f>
        <v>3967086000</v>
      </c>
      <c r="F1039">
        <f>IFERROR(IF(VLOOKUP($B1039,Показатели!$E:$W,3,FALSE)=0,"",VLOOKUP($B1039,Показатели!$E:$W,3,FALSE)),"")</f>
        <v>89605333000</v>
      </c>
      <c r="G1039">
        <f>IFERROR(IF(VLOOKUP($B1039,Показатели!$E:$W,4,FALSE)=0,"",VLOOKUP($B1039,Показатели!$E:$W,4,FALSE)),"")</f>
        <v>39907439000</v>
      </c>
      <c r="H1039" t="str">
        <f>IFERROR(IF(VLOOKUP($B1039,Показатели!$E:$W,5,FALSE)=0,"",VLOOKUP($B1039,Показатели!$E:$W,5,FALSE)),"")</f>
        <v/>
      </c>
      <c r="I1039">
        <f>IFERROR(IF(VLOOKUP($B1039,Показатели!$E:$W,6,FALSE)=0,"",VLOOKUP($B1039,Показатели!$E:$W,6,FALSE)),"")</f>
        <v>137777860000</v>
      </c>
      <c r="J1039">
        <f>IFERROR(IF(VLOOKUP($B1039,Показатели!$E:$W,7,FALSE)=0,"",VLOOKUP($B1039,Показатели!$E:$W,7,FALSE)),"")</f>
        <v>45478790000</v>
      </c>
      <c r="K1039">
        <f>IFERROR(IF(VLOOKUP($B1039,Показатели!$E:$W,8,FALSE)=0,"",VLOOKUP($B1039,Показатели!$E:$W,8,FALSE)),"")</f>
        <v>35597571000</v>
      </c>
      <c r="L1039" t="str">
        <f>IFERROR(IF(VLOOKUP($B1039,Показатели!$E:$W,9,FALSE)=0,"",VLOOKUP($B1039,Показатели!$E:$W,9,FALSE)),"")</f>
        <v/>
      </c>
      <c r="M1039">
        <f>IFERROR(IF(VLOOKUP($B1039,Показатели!$E:$W,10,FALSE)=0,"",VLOOKUP($B1039,Показатели!$E:$W,10,FALSE)),"")</f>
        <v>56701499000</v>
      </c>
      <c r="N1039">
        <f>IFERROR(IF(VLOOKUP($B1039,Показатели!$E:$W,11,FALSE)=0,"",VLOOKUP($B1039,Показатели!$E:$W,11,FALSE)),"")</f>
        <v>61121653000</v>
      </c>
      <c r="O1039">
        <f>IFERROR(IF(VLOOKUP($B1039,Показатели!$E:$W,12,FALSE)=0,"",VLOOKUP($B1039,Показатели!$E:$W,12,FALSE)),"")</f>
        <v>9625762000</v>
      </c>
      <c r="P1039">
        <f>IFERROR(IF(VLOOKUP($B1039,Показатели!$E:$W,13,FALSE)=0,"",VLOOKUP($B1039,Показатели!$E:$W,13,FALSE)),"")</f>
        <v>6420492000</v>
      </c>
      <c r="Q1039">
        <f>IFERROR(IF(VLOOKUP($B1039,Показатели!$E:$W,14,FALSE)=0,"",VLOOKUP($B1039,Показатели!$E:$W,14,FALSE)),"")</f>
        <v>4913935000</v>
      </c>
      <c r="R1039" t="str">
        <f>IFERROR(IF(VLOOKUP($B1039,Показатели!$E:$W,15,FALSE)=0,"",VLOOKUP($B1039,Показатели!$E:$W,15,FALSE)),"")</f>
        <v/>
      </c>
      <c r="S1039">
        <f>IFERROR(IF(VLOOKUP($B1039,Показатели!$E:$W,16,FALSE)=0,"",VLOOKUP($B1039,Показатели!$E:$W,16,FALSE)),"")</f>
        <v>13392000000</v>
      </c>
      <c r="T1039" t="str">
        <f>IFERROR(IF(VLOOKUP($B1039,Показатели!$E:$W,17,FALSE)=0,"",VLOOKUP($B1039,Показатели!$E:$W,17,FALSE)),"")</f>
        <v/>
      </c>
      <c r="U1039">
        <f>IFERROR(IF(VLOOKUP($B1039,Показатели!$E:$W,18,FALSE)=0,"",VLOOKUP($B1039,Показатели!$E:$W,18,FALSE)),"")</f>
        <v>51909689000</v>
      </c>
      <c r="V1039">
        <f>IFERROR(IF(VLOOKUP($B1039,Показатели!$E:$W,19,FALSE)=0,"",VLOOKUP($B1039,Показатели!$E:$W,19,FALSE)),"")</f>
        <v>126862170000</v>
      </c>
    </row>
    <row r="1040" spans="1:22" x14ac:dyDescent="0.2">
      <c r="A1040" s="7" t="s">
        <v>2306</v>
      </c>
      <c r="B1040" t="str">
        <f t="shared" si="16"/>
        <v>LSRG IV кв. 2011</v>
      </c>
      <c r="C1040">
        <v>2011</v>
      </c>
      <c r="D1040">
        <f>SUMIFS(Дивиденды!$C:$C,Дивиденды!$A:$A,A1040,Дивиденды!$I:$I,C1040)</f>
        <v>20</v>
      </c>
      <c r="E1040">
        <f>IFERROR(IF(VLOOKUP($B1040,Показатели!$E:$W,2,FALSE)=0,"",VLOOKUP($B1040,Показатели!$E:$W,2,FALSE)),"")</f>
        <v>5194904000</v>
      </c>
      <c r="F1040">
        <f>IFERROR(IF(VLOOKUP($B1040,Показатели!$E:$W,3,FALSE)=0,"",VLOOKUP($B1040,Показатели!$E:$W,3,FALSE)),"")</f>
        <v>78202694000</v>
      </c>
      <c r="G1040">
        <f>IFERROR(IF(VLOOKUP($B1040,Показатели!$E:$W,4,FALSE)=0,"",VLOOKUP($B1040,Показатели!$E:$W,4,FALSE)),"")</f>
        <v>37329459000</v>
      </c>
      <c r="H1040" t="str">
        <f>IFERROR(IF(VLOOKUP($B1040,Показатели!$E:$W,5,FALSE)=0,"",VLOOKUP($B1040,Показатели!$E:$W,5,FALSE)),"")</f>
        <v/>
      </c>
      <c r="I1040">
        <f>IFERROR(IF(VLOOKUP($B1040,Показатели!$E:$W,6,FALSE)=0,"",VLOOKUP($B1040,Показатели!$E:$W,6,FALSE)),"")</f>
        <v>126862170000</v>
      </c>
      <c r="J1040">
        <f>IFERROR(IF(VLOOKUP($B1040,Показатели!$E:$W,7,FALSE)=0,"",VLOOKUP($B1040,Показатели!$E:$W,7,FALSE)),"")</f>
        <v>34900733000</v>
      </c>
      <c r="K1040">
        <f>IFERROR(IF(VLOOKUP($B1040,Показатели!$E:$W,8,FALSE)=0,"",VLOOKUP($B1040,Показатели!$E:$W,8,FALSE)),"")</f>
        <v>38013939000</v>
      </c>
      <c r="L1040" t="str">
        <f>IFERROR(IF(VLOOKUP($B1040,Показатели!$E:$W,9,FALSE)=0,"",VLOOKUP($B1040,Показатели!$E:$W,9,FALSE)),"")</f>
        <v/>
      </c>
      <c r="M1040">
        <f>IFERROR(IF(VLOOKUP($B1040,Показатели!$E:$W,10,FALSE)=0,"",VLOOKUP($B1040,Показатели!$E:$W,10,FALSE)),"")</f>
        <v>53947498000</v>
      </c>
      <c r="N1040">
        <f>IFERROR(IF(VLOOKUP($B1040,Показатели!$E:$W,11,FALSE)=0,"",VLOOKUP($B1040,Показатели!$E:$W,11,FALSE)),"")</f>
        <v>51909689000</v>
      </c>
      <c r="O1040">
        <f>IFERROR(IF(VLOOKUP($B1040,Показатели!$E:$W,12,FALSE)=0,"",VLOOKUP($B1040,Показатели!$E:$W,12,FALSE)),"")</f>
        <v>7855008000</v>
      </c>
      <c r="P1040">
        <f>IFERROR(IF(VLOOKUP($B1040,Показатели!$E:$W,13,FALSE)=0,"",VLOOKUP($B1040,Показатели!$E:$W,13,FALSE)),"")</f>
        <v>3733965000</v>
      </c>
      <c r="Q1040">
        <f>IFERROR(IF(VLOOKUP($B1040,Показатели!$E:$W,14,FALSE)=0,"",VLOOKUP($B1040,Показатели!$E:$W,14,FALSE)),"")</f>
        <v>2431618000</v>
      </c>
      <c r="R1040" t="str">
        <f>IFERROR(IF(VLOOKUP($B1040,Показатели!$E:$W,15,FALSE)=0,"",VLOOKUP($B1040,Показатели!$E:$W,15,FALSE)),"")</f>
        <v/>
      </c>
      <c r="S1040">
        <f>IFERROR(IF(VLOOKUP($B1040,Показатели!$E:$W,16,FALSE)=0,"",VLOOKUP($B1040,Показатели!$E:$W,16,FALSE)),"")</f>
        <v>10134938000</v>
      </c>
      <c r="T1040" t="str">
        <f>IFERROR(IF(VLOOKUP($B1040,Показатели!$E:$W,17,FALSE)=0,"",VLOOKUP($B1040,Показатели!$E:$W,17,FALSE)),"")</f>
        <v/>
      </c>
      <c r="U1040" t="str">
        <f>IFERROR(IF(VLOOKUP($B1040,Показатели!$E:$W,18,FALSE)=0,"",VLOOKUP($B1040,Показатели!$E:$W,18,FALSE)),"")</f>
        <v/>
      </c>
      <c r="V1040" t="str">
        <f>IFERROR(IF(VLOOKUP($B1040,Показатели!$E:$W,19,FALSE)=0,"",VLOOKUP($B1040,Показатели!$E:$W,19,FALSE)),"")</f>
        <v/>
      </c>
    </row>
    <row r="1041" spans="1:22" x14ac:dyDescent="0.2">
      <c r="A1041" s="7" t="s">
        <v>2306</v>
      </c>
      <c r="B1041" t="str">
        <f t="shared" si="16"/>
        <v>LSRG IV кв. 2010</v>
      </c>
      <c r="C1041">
        <v>2010</v>
      </c>
      <c r="D1041">
        <f>SUMIFS(Дивиденды!$C:$C,Дивиденды!$A:$A,A1041,Дивиденды!$I:$I,C1041)</f>
        <v>15</v>
      </c>
      <c r="E1041" t="str">
        <f>IFERROR(IF(VLOOKUP($B1041,Показатели!$E:$W,2,FALSE)=0,"",VLOOKUP($B1041,Показатели!$E:$W,2,FALSE)),"")</f>
        <v/>
      </c>
      <c r="F1041" t="str">
        <f>IFERROR(IF(VLOOKUP($B1041,Показатели!$E:$W,3,FALSE)=0,"",VLOOKUP($B1041,Показатели!$E:$W,3,FALSE)),"")</f>
        <v/>
      </c>
      <c r="G1041" t="str">
        <f>IFERROR(IF(VLOOKUP($B1041,Показатели!$E:$W,4,FALSE)=0,"",VLOOKUP($B1041,Показатели!$E:$W,4,FALSE)),"")</f>
        <v/>
      </c>
      <c r="H1041" t="str">
        <f>IFERROR(IF(VLOOKUP($B1041,Показатели!$E:$W,5,FALSE)=0,"",VLOOKUP($B1041,Показатели!$E:$W,5,FALSE)),"")</f>
        <v/>
      </c>
      <c r="I1041" t="str">
        <f>IFERROR(IF(VLOOKUP($B1041,Показатели!$E:$W,6,FALSE)=0,"",VLOOKUP($B1041,Показатели!$E:$W,6,FALSE)),"")</f>
        <v/>
      </c>
      <c r="J1041" t="str">
        <f>IFERROR(IF(VLOOKUP($B1041,Показатели!$E:$W,7,FALSE)=0,"",VLOOKUP($B1041,Показатели!$E:$W,7,FALSE)),"")</f>
        <v/>
      </c>
      <c r="K1041" t="str">
        <f>IFERROR(IF(VLOOKUP($B1041,Показатели!$E:$W,8,FALSE)=0,"",VLOOKUP($B1041,Показатели!$E:$W,8,FALSE)),"")</f>
        <v/>
      </c>
      <c r="L1041" t="str">
        <f>IFERROR(IF(VLOOKUP($B1041,Показатели!$E:$W,9,FALSE)=0,"",VLOOKUP($B1041,Показатели!$E:$W,9,FALSE)),"")</f>
        <v/>
      </c>
      <c r="M1041" t="str">
        <f>IFERROR(IF(VLOOKUP($B1041,Показатели!$E:$W,10,FALSE)=0,"",VLOOKUP($B1041,Показатели!$E:$W,10,FALSE)),"")</f>
        <v/>
      </c>
      <c r="N1041" t="str">
        <f>IFERROR(IF(VLOOKUP($B1041,Показатели!$E:$W,11,FALSE)=0,"",VLOOKUP($B1041,Показатели!$E:$W,11,FALSE)),"")</f>
        <v/>
      </c>
      <c r="O1041" t="str">
        <f>IFERROR(IF(VLOOKUP($B1041,Показатели!$E:$W,12,FALSE)=0,"",VLOOKUP($B1041,Показатели!$E:$W,12,FALSE)),"")</f>
        <v/>
      </c>
      <c r="P1041" t="str">
        <f>IFERROR(IF(VLOOKUP($B1041,Показатели!$E:$W,13,FALSE)=0,"",VLOOKUP($B1041,Показатели!$E:$W,13,FALSE)),"")</f>
        <v/>
      </c>
      <c r="Q1041" t="str">
        <f>IFERROR(IF(VLOOKUP($B1041,Показатели!$E:$W,14,FALSE)=0,"",VLOOKUP($B1041,Показатели!$E:$W,14,FALSE)),"")</f>
        <v/>
      </c>
      <c r="R1041" t="str">
        <f>IFERROR(IF(VLOOKUP($B1041,Показатели!$E:$W,15,FALSE)=0,"",VLOOKUP($B1041,Показатели!$E:$W,15,FALSE)),"")</f>
        <v/>
      </c>
      <c r="S1041" t="str">
        <f>IFERROR(IF(VLOOKUP($B1041,Показатели!$E:$W,16,FALSE)=0,"",VLOOKUP($B1041,Показатели!$E:$W,16,FALSE)),"")</f>
        <v/>
      </c>
      <c r="T1041" t="str">
        <f>IFERROR(IF(VLOOKUP($B1041,Показатели!$E:$W,17,FALSE)=0,"",VLOOKUP($B1041,Показатели!$E:$W,17,FALSE)),"")</f>
        <v/>
      </c>
      <c r="U1041" t="str">
        <f>IFERROR(IF(VLOOKUP($B1041,Показатели!$E:$W,18,FALSE)=0,"",VLOOKUP($B1041,Показатели!$E:$W,18,FALSE)),"")</f>
        <v/>
      </c>
      <c r="V1041" t="str">
        <f>IFERROR(IF(VLOOKUP($B1041,Показатели!$E:$W,19,FALSE)=0,"",VLOOKUP($B1041,Показатели!$E:$W,19,FALSE)),"")</f>
        <v/>
      </c>
    </row>
    <row r="1042" spans="1:22" x14ac:dyDescent="0.2">
      <c r="A1042" s="7" t="s">
        <v>2309</v>
      </c>
      <c r="B1042" t="str">
        <f t="shared" si="16"/>
        <v>PIKK IV кв. 2025</v>
      </c>
      <c r="C1042">
        <v>2025</v>
      </c>
      <c r="D1042">
        <f>SUMIFS(Дивиденды!$C:$C,Дивиденды!$A:$A,A1042,Дивиденды!$I:$I,C1042)</f>
        <v>0</v>
      </c>
      <c r="E1042" t="str">
        <f>IFERROR(IF(VLOOKUP($B1042,Показатели!$E:$W,2,FALSE)=0,"",VLOOKUP($B1042,Показатели!$E:$W,2,FALSE)),"")</f>
        <v/>
      </c>
      <c r="F1042" t="str">
        <f>IFERROR(IF(VLOOKUP($B1042,Показатели!$E:$W,3,FALSE)=0,"",VLOOKUP($B1042,Показатели!$E:$W,3,FALSE)),"")</f>
        <v/>
      </c>
      <c r="G1042" t="str">
        <f>IFERROR(IF(VLOOKUP($B1042,Показатели!$E:$W,4,FALSE)=0,"",VLOOKUP($B1042,Показатели!$E:$W,4,FALSE)),"")</f>
        <v/>
      </c>
      <c r="H1042" t="str">
        <f>IFERROR(IF(VLOOKUP($B1042,Показатели!$E:$W,5,FALSE)=0,"",VLOOKUP($B1042,Показатели!$E:$W,5,FALSE)),"")</f>
        <v/>
      </c>
      <c r="I1042" t="str">
        <f>IFERROR(IF(VLOOKUP($B1042,Показатели!$E:$W,6,FALSE)=0,"",VLOOKUP($B1042,Показатели!$E:$W,6,FALSE)),"")</f>
        <v/>
      </c>
      <c r="J1042" t="str">
        <f>IFERROR(IF(VLOOKUP($B1042,Показатели!$E:$W,7,FALSE)=0,"",VLOOKUP($B1042,Показатели!$E:$W,7,FALSE)),"")</f>
        <v/>
      </c>
      <c r="K1042" t="str">
        <f>IFERROR(IF(VLOOKUP($B1042,Показатели!$E:$W,8,FALSE)=0,"",VLOOKUP($B1042,Показатели!$E:$W,8,FALSE)),"")</f>
        <v/>
      </c>
      <c r="L1042" t="str">
        <f>IFERROR(IF(VLOOKUP($B1042,Показатели!$E:$W,9,FALSE)=0,"",VLOOKUP($B1042,Показатели!$E:$W,9,FALSE)),"")</f>
        <v/>
      </c>
      <c r="M1042" t="str">
        <f>IFERROR(IF(VLOOKUP($B1042,Показатели!$E:$W,10,FALSE)=0,"",VLOOKUP($B1042,Показатели!$E:$W,10,FALSE)),"")</f>
        <v/>
      </c>
      <c r="N1042" t="str">
        <f>IFERROR(IF(VLOOKUP($B1042,Показатели!$E:$W,11,FALSE)=0,"",VLOOKUP($B1042,Показатели!$E:$W,11,FALSE)),"")</f>
        <v/>
      </c>
      <c r="O1042" t="str">
        <f>IFERROR(IF(VLOOKUP($B1042,Показатели!$E:$W,12,FALSE)=0,"",VLOOKUP($B1042,Показатели!$E:$W,12,FALSE)),"")</f>
        <v/>
      </c>
      <c r="P1042" t="str">
        <f>IFERROR(IF(VLOOKUP($B1042,Показатели!$E:$W,13,FALSE)=0,"",VLOOKUP($B1042,Показатели!$E:$W,13,FALSE)),"")</f>
        <v/>
      </c>
      <c r="Q1042" t="str">
        <f>IFERROR(IF(VLOOKUP($B1042,Показатели!$E:$W,14,FALSE)=0,"",VLOOKUP($B1042,Показатели!$E:$W,14,FALSE)),"")</f>
        <v/>
      </c>
      <c r="R1042" t="str">
        <f>IFERROR(IF(VLOOKUP($B1042,Показатели!$E:$W,15,FALSE)=0,"",VLOOKUP($B1042,Показатели!$E:$W,15,FALSE)),"")</f>
        <v/>
      </c>
      <c r="S1042" t="str">
        <f>IFERROR(IF(VLOOKUP($B1042,Показатели!$E:$W,16,FALSE)=0,"",VLOOKUP($B1042,Показатели!$E:$W,16,FALSE)),"")</f>
        <v/>
      </c>
      <c r="T1042" t="str">
        <f>IFERROR(IF(VLOOKUP($B1042,Показатели!$E:$W,17,FALSE)=0,"",VLOOKUP($B1042,Показатели!$E:$W,17,FALSE)),"")</f>
        <v/>
      </c>
      <c r="U1042" t="str">
        <f>IFERROR(IF(VLOOKUP($B1042,Показатели!$E:$W,18,FALSE)=0,"",VLOOKUP($B1042,Показатели!$E:$W,18,FALSE)),"")</f>
        <v/>
      </c>
      <c r="V1042" t="str">
        <f>IFERROR(IF(VLOOKUP($B1042,Показатели!$E:$W,19,FALSE)=0,"",VLOOKUP($B1042,Показатели!$E:$W,19,FALSE)),"")</f>
        <v/>
      </c>
    </row>
    <row r="1043" spans="1:22" x14ac:dyDescent="0.2">
      <c r="A1043" s="7" t="s">
        <v>2309</v>
      </c>
      <c r="B1043" t="str">
        <f t="shared" si="16"/>
        <v>PIKK IV кв. 2024</v>
      </c>
      <c r="C1043">
        <v>2024</v>
      </c>
      <c r="D1043">
        <f>SUMIFS(Дивиденды!$C:$C,Дивиденды!$A:$A,A1043,Дивиденды!$I:$I,C1043)</f>
        <v>0</v>
      </c>
      <c r="E1043">
        <f>IFERROR(IF(VLOOKUP($B1043,Показатели!$E:$W,2,FALSE)=0,"",VLOOKUP($B1043,Показатели!$E:$W,2,FALSE)),"")</f>
        <v>232551000000</v>
      </c>
      <c r="F1043">
        <f>IFERROR(IF(VLOOKUP($B1043,Показатели!$E:$W,3,FALSE)=0,"",VLOOKUP($B1043,Показатели!$E:$W,3,FALSE)),"")</f>
        <v>1313033000000</v>
      </c>
      <c r="G1043">
        <f>IFERROR(IF(VLOOKUP($B1043,Показатели!$E:$W,4,FALSE)=0,"",VLOOKUP($B1043,Показатели!$E:$W,4,FALSE)),"")</f>
        <v>65367000000</v>
      </c>
      <c r="H1043">
        <f>IFERROR(IF(VLOOKUP($B1043,Показатели!$E:$W,5,FALSE)=0,"",VLOOKUP($B1043,Показатели!$E:$W,5,FALSE)),"")</f>
        <v>4608000000</v>
      </c>
      <c r="I1043">
        <f>IFERROR(IF(VLOOKUP($B1043,Показатели!$E:$W,6,FALSE)=0,"",VLOOKUP($B1043,Показатели!$E:$W,6,FALSE)),"")</f>
        <v>1522549000000</v>
      </c>
      <c r="J1043">
        <f>IFERROR(IF(VLOOKUP($B1043,Показатели!$E:$W,7,FALSE)=0,"",VLOOKUP($B1043,Показатели!$E:$W,7,FALSE)),"")</f>
        <v>475321000000</v>
      </c>
      <c r="K1043">
        <f>IFERROR(IF(VLOOKUP($B1043,Показатели!$E:$W,8,FALSE)=0,"",VLOOKUP($B1043,Показатели!$E:$W,8,FALSE)),"")</f>
        <v>664769000000</v>
      </c>
      <c r="L1043">
        <f>IFERROR(IF(VLOOKUP($B1043,Показатели!$E:$W,9,FALSE)=0,"",VLOOKUP($B1043,Показатели!$E:$W,9,FALSE)),"")</f>
        <v>371721000000</v>
      </c>
      <c r="M1043">
        <f>IFERROR(IF(VLOOKUP($B1043,Показатели!$E:$W,10,FALSE)=0,"",VLOOKUP($B1043,Показатели!$E:$W,10,FALSE)),"")</f>
        <v>382459000000</v>
      </c>
      <c r="N1043">
        <f>IFERROR(IF(VLOOKUP($B1043,Показатели!$E:$W,11,FALSE)=0,"",VLOOKUP($B1043,Показатели!$E:$W,11,FALSE)),"")</f>
        <v>675051000000</v>
      </c>
      <c r="O1043">
        <f>IFERROR(IF(VLOOKUP($B1043,Показатели!$E:$W,12,FALSE)=0,"",VLOOKUP($B1043,Показатели!$E:$W,12,FALSE)),"")</f>
        <v>127466000000</v>
      </c>
      <c r="P1043">
        <f>IFERROR(IF(VLOOKUP($B1043,Показатели!$E:$W,13,FALSE)=0,"",VLOOKUP($B1043,Показатели!$E:$W,13,FALSE)),"")</f>
        <v>38600000000</v>
      </c>
      <c r="Q1043">
        <f>IFERROR(IF(VLOOKUP($B1043,Показатели!$E:$W,14,FALSE)=0,"",VLOOKUP($B1043,Показатели!$E:$W,14,FALSE)),"")</f>
        <v>28666000000</v>
      </c>
      <c r="R1043">
        <f>IFERROR(IF(VLOOKUP($B1043,Показатели!$E:$W,15,FALSE)=0,"",VLOOKUP($B1043,Показатели!$E:$W,15,FALSE)),"")</f>
        <v>9326000000</v>
      </c>
      <c r="S1043">
        <f>IFERROR(IF(VLOOKUP($B1043,Показатели!$E:$W,16,FALSE)=0,"",VLOOKUP($B1043,Показатели!$E:$W,16,FALSE)),"")</f>
        <v>92152000000</v>
      </c>
      <c r="T1043">
        <f>IFERROR(IF(VLOOKUP($B1043,Показатели!$E:$W,17,FALSE)=0,"",VLOOKUP($B1043,Показатели!$E:$W,17,FALSE)),"")</f>
        <v>-12303000000</v>
      </c>
      <c r="U1043">
        <f>IFERROR(IF(VLOOKUP($B1043,Показатели!$E:$W,18,FALSE)=0,"",VLOOKUP($B1043,Показатели!$E:$W,18,FALSE)),"")</f>
        <v>585273000000</v>
      </c>
      <c r="V1043">
        <f>IFERROR(IF(VLOOKUP($B1043,Показатели!$E:$W,19,FALSE)=0,"",VLOOKUP($B1043,Показатели!$E:$W,19,FALSE)),"")</f>
        <v>1421048000000</v>
      </c>
    </row>
    <row r="1044" spans="1:22" x14ac:dyDescent="0.2">
      <c r="A1044" s="7" t="s">
        <v>2309</v>
      </c>
      <c r="B1044" t="str">
        <f t="shared" si="16"/>
        <v>PIKK IV кв. 2023</v>
      </c>
      <c r="C1044">
        <v>2023</v>
      </c>
      <c r="D1044">
        <f>SUMIFS(Дивиденды!$C:$C,Дивиденды!$A:$A,A1044,Дивиденды!$I:$I,C1044)</f>
        <v>0</v>
      </c>
      <c r="E1044">
        <f>IFERROR(IF(VLOOKUP($B1044,Показатели!$E:$W,2,FALSE)=0,"",VLOOKUP($B1044,Показатели!$E:$W,2,FALSE)),"")</f>
        <v>138647000000</v>
      </c>
      <c r="F1044">
        <f>IFERROR(IF(VLOOKUP($B1044,Показатели!$E:$W,3,FALSE)=0,"",VLOOKUP($B1044,Показатели!$E:$W,3,FALSE)),"")</f>
        <v>1202059000000</v>
      </c>
      <c r="G1044">
        <f>IFERROR(IF(VLOOKUP($B1044,Показатели!$E:$W,4,FALSE)=0,"",VLOOKUP($B1044,Показатели!$E:$W,4,FALSE)),"")</f>
        <v>60904000000</v>
      </c>
      <c r="H1044">
        <f>IFERROR(IF(VLOOKUP($B1044,Показатели!$E:$W,5,FALSE)=0,"",VLOOKUP($B1044,Показатели!$E:$W,5,FALSE)),"")</f>
        <v>6348000000</v>
      </c>
      <c r="I1044">
        <f>IFERROR(IF(VLOOKUP($B1044,Показатели!$E:$W,6,FALSE)=0,"",VLOOKUP($B1044,Показатели!$E:$W,6,FALSE)),"")</f>
        <v>1421048000000</v>
      </c>
      <c r="J1044">
        <f>IFERROR(IF(VLOOKUP($B1044,Показатели!$E:$W,7,FALSE)=0,"",VLOOKUP($B1044,Показатели!$E:$W,7,FALSE)),"")</f>
        <v>380543000000</v>
      </c>
      <c r="K1044">
        <f>IFERROR(IF(VLOOKUP($B1044,Показатели!$E:$W,8,FALSE)=0,"",VLOOKUP($B1044,Показатели!$E:$W,8,FALSE)),"")</f>
        <v>687655000000</v>
      </c>
      <c r="L1044">
        <f>IFERROR(IF(VLOOKUP($B1044,Показатели!$E:$W,9,FALSE)=0,"",VLOOKUP($B1044,Показатели!$E:$W,9,FALSE)),"")</f>
        <v>343322000000</v>
      </c>
      <c r="M1044">
        <f>IFERROR(IF(VLOOKUP($B1044,Показатели!$E:$W,10,FALSE)=0,"",VLOOKUP($B1044,Показатели!$E:$W,10,FALSE)),"")</f>
        <v>352850000000</v>
      </c>
      <c r="N1044">
        <f>IFERROR(IF(VLOOKUP($B1044,Показатели!$E:$W,11,FALSE)=0,"",VLOOKUP($B1044,Показатели!$E:$W,11,FALSE)),"")</f>
        <v>585273000000</v>
      </c>
      <c r="O1044">
        <f>IFERROR(IF(VLOOKUP($B1044,Показатели!$E:$W,12,FALSE)=0,"",VLOOKUP($B1044,Показатели!$E:$W,12,FALSE)),"")</f>
        <v>121836000000</v>
      </c>
      <c r="P1044">
        <f>IFERROR(IF(VLOOKUP($B1044,Показатели!$E:$W,13,FALSE)=0,"",VLOOKUP($B1044,Показатели!$E:$W,13,FALSE)),"")</f>
        <v>63810000000</v>
      </c>
      <c r="Q1044">
        <f>IFERROR(IF(VLOOKUP($B1044,Показатели!$E:$W,14,FALSE)=0,"",VLOOKUP($B1044,Показатели!$E:$W,14,FALSE)),"")</f>
        <v>52310000000</v>
      </c>
      <c r="R1044">
        <f>IFERROR(IF(VLOOKUP($B1044,Показатели!$E:$W,15,FALSE)=0,"",VLOOKUP($B1044,Показатели!$E:$W,15,FALSE)),"")</f>
        <v>7753000000</v>
      </c>
      <c r="S1044">
        <f>IFERROR(IF(VLOOKUP($B1044,Показатели!$E:$W,16,FALSE)=0,"",VLOOKUP($B1044,Показатели!$E:$W,16,FALSE)),"")</f>
        <v>105335000000</v>
      </c>
      <c r="T1044">
        <f>IFERROR(IF(VLOOKUP($B1044,Показатели!$E:$W,17,FALSE)=0,"",VLOOKUP($B1044,Показатели!$E:$W,17,FALSE)),"")</f>
        <v>-8115000000</v>
      </c>
      <c r="U1044" t="str">
        <f>IFERROR(IF(VLOOKUP($B1044,Показатели!$E:$W,18,FALSE)=0,"",VLOOKUP($B1044,Показатели!$E:$W,18,FALSE)),"")</f>
        <v/>
      </c>
      <c r="V1044" t="str">
        <f>IFERROR(IF(VLOOKUP($B1044,Показатели!$E:$W,19,FALSE)=0,"",VLOOKUP($B1044,Показатели!$E:$W,19,FALSE)),"")</f>
        <v/>
      </c>
    </row>
    <row r="1045" spans="1:22" x14ac:dyDescent="0.2">
      <c r="A1045" s="7" t="s">
        <v>2309</v>
      </c>
      <c r="B1045" t="str">
        <f t="shared" si="16"/>
        <v>PIKK IV кв. 2022</v>
      </c>
      <c r="C1045">
        <v>2022</v>
      </c>
      <c r="D1045">
        <f>SUMIFS(Дивиденды!$C:$C,Дивиденды!$A:$A,A1045,Дивиденды!$I:$I,C1045)</f>
        <v>0</v>
      </c>
      <c r="E1045" t="str">
        <f>IFERROR(IF(VLOOKUP($B1045,Показатели!$E:$W,2,FALSE)=0,"",VLOOKUP($B1045,Показатели!$E:$W,2,FALSE)),"")</f>
        <v/>
      </c>
      <c r="F1045" t="str">
        <f>IFERROR(IF(VLOOKUP($B1045,Показатели!$E:$W,3,FALSE)=0,"",VLOOKUP($B1045,Показатели!$E:$W,3,FALSE)),"")</f>
        <v/>
      </c>
      <c r="G1045" t="str">
        <f>IFERROR(IF(VLOOKUP($B1045,Показатели!$E:$W,4,FALSE)=0,"",VLOOKUP($B1045,Показатели!$E:$W,4,FALSE)),"")</f>
        <v/>
      </c>
      <c r="H1045" t="str">
        <f>IFERROR(IF(VLOOKUP($B1045,Показатели!$E:$W,5,FALSE)=0,"",VLOOKUP($B1045,Показатели!$E:$W,5,FALSE)),"")</f>
        <v/>
      </c>
      <c r="I1045" t="str">
        <f>IFERROR(IF(VLOOKUP($B1045,Показатели!$E:$W,6,FALSE)=0,"",VLOOKUP($B1045,Показатели!$E:$W,6,FALSE)),"")</f>
        <v/>
      </c>
      <c r="J1045" t="str">
        <f>IFERROR(IF(VLOOKUP($B1045,Показатели!$E:$W,7,FALSE)=0,"",VLOOKUP($B1045,Показатели!$E:$W,7,FALSE)),"")</f>
        <v/>
      </c>
      <c r="K1045" t="str">
        <f>IFERROR(IF(VLOOKUP($B1045,Показатели!$E:$W,8,FALSE)=0,"",VLOOKUP($B1045,Показатели!$E:$W,8,FALSE)),"")</f>
        <v/>
      </c>
      <c r="L1045" t="str">
        <f>IFERROR(IF(VLOOKUP($B1045,Показатели!$E:$W,9,FALSE)=0,"",VLOOKUP($B1045,Показатели!$E:$W,9,FALSE)),"")</f>
        <v/>
      </c>
      <c r="M1045" t="str">
        <f>IFERROR(IF(VLOOKUP($B1045,Показатели!$E:$W,10,FALSE)=0,"",VLOOKUP($B1045,Показатели!$E:$W,10,FALSE)),"")</f>
        <v/>
      </c>
      <c r="N1045" t="str">
        <f>IFERROR(IF(VLOOKUP($B1045,Показатели!$E:$W,11,FALSE)=0,"",VLOOKUP($B1045,Показатели!$E:$W,11,FALSE)),"")</f>
        <v/>
      </c>
      <c r="O1045" t="str">
        <f>IFERROR(IF(VLOOKUP($B1045,Показатели!$E:$W,12,FALSE)=0,"",VLOOKUP($B1045,Показатели!$E:$W,12,FALSE)),"")</f>
        <v/>
      </c>
      <c r="P1045" t="str">
        <f>IFERROR(IF(VLOOKUP($B1045,Показатели!$E:$W,13,FALSE)=0,"",VLOOKUP($B1045,Показатели!$E:$W,13,FALSE)),"")</f>
        <v/>
      </c>
      <c r="Q1045" t="str">
        <f>IFERROR(IF(VLOOKUP($B1045,Показатели!$E:$W,14,FALSE)=0,"",VLOOKUP($B1045,Показатели!$E:$W,14,FALSE)),"")</f>
        <v/>
      </c>
      <c r="R1045" t="str">
        <f>IFERROR(IF(VLOOKUP($B1045,Показатели!$E:$W,15,FALSE)=0,"",VLOOKUP($B1045,Показатели!$E:$W,15,FALSE)),"")</f>
        <v/>
      </c>
      <c r="S1045" t="str">
        <f>IFERROR(IF(VLOOKUP($B1045,Показатели!$E:$W,16,FALSE)=0,"",VLOOKUP($B1045,Показатели!$E:$W,16,FALSE)),"")</f>
        <v/>
      </c>
      <c r="T1045" t="str">
        <f>IFERROR(IF(VLOOKUP($B1045,Показатели!$E:$W,17,FALSE)=0,"",VLOOKUP($B1045,Показатели!$E:$W,17,FALSE)),"")</f>
        <v/>
      </c>
      <c r="U1045" t="str">
        <f>IFERROR(IF(VLOOKUP($B1045,Показатели!$E:$W,18,FALSE)=0,"",VLOOKUP($B1045,Показатели!$E:$W,18,FALSE)),"")</f>
        <v/>
      </c>
      <c r="V1045" t="str">
        <f>IFERROR(IF(VLOOKUP($B1045,Показатели!$E:$W,19,FALSE)=0,"",VLOOKUP($B1045,Показатели!$E:$W,19,FALSE)),"")</f>
        <v/>
      </c>
    </row>
    <row r="1046" spans="1:22" x14ac:dyDescent="0.2">
      <c r="A1046" s="7" t="s">
        <v>2309</v>
      </c>
      <c r="B1046" t="str">
        <f t="shared" si="16"/>
        <v>PIKK IV кв. 2021</v>
      </c>
      <c r="C1046">
        <v>2021</v>
      </c>
      <c r="D1046">
        <f>SUMIFS(Дивиденды!$C:$C,Дивиденды!$A:$A,A1046,Дивиденды!$I:$I,C1046)</f>
        <v>22.92</v>
      </c>
      <c r="E1046">
        <f>IFERROR(IF(VLOOKUP($B1046,Показатели!$E:$W,2,FALSE)=0,"",VLOOKUP($B1046,Показатели!$E:$W,2,FALSE)),"")</f>
        <v>131200000000</v>
      </c>
      <c r="F1046">
        <f>IFERROR(IF(VLOOKUP($B1046,Показатели!$E:$W,3,FALSE)=0,"",VLOOKUP($B1046,Показатели!$E:$W,3,FALSE)),"")</f>
        <v>872686000000</v>
      </c>
      <c r="G1046">
        <f>IFERROR(IF(VLOOKUP($B1046,Показатели!$E:$W,4,FALSE)=0,"",VLOOKUP($B1046,Показатели!$E:$W,4,FALSE)),"")</f>
        <v>29789000000</v>
      </c>
      <c r="H1046">
        <f>IFERROR(IF(VLOOKUP($B1046,Показатели!$E:$W,5,FALSE)=0,"",VLOOKUP($B1046,Показатели!$E:$W,5,FALSE)),"")</f>
        <v>15772000000</v>
      </c>
      <c r="I1046">
        <f>IFERROR(IF(VLOOKUP($B1046,Показатели!$E:$W,6,FALSE)=0,"",VLOOKUP($B1046,Показатели!$E:$W,6,FALSE)),"")</f>
        <v>1061352000000</v>
      </c>
      <c r="J1046">
        <f>IFERROR(IF(VLOOKUP($B1046,Показатели!$E:$W,7,FALSE)=0,"",VLOOKUP($B1046,Показатели!$E:$W,7,FALSE)),"")</f>
        <v>345902000000</v>
      </c>
      <c r="K1046">
        <f>IFERROR(IF(VLOOKUP($B1046,Показатели!$E:$W,8,FALSE)=0,"",VLOOKUP($B1046,Показатели!$E:$W,8,FALSE)),"")</f>
        <v>455399000000</v>
      </c>
      <c r="L1046">
        <f>IFERROR(IF(VLOOKUP($B1046,Показатели!$E:$W,9,FALSE)=0,"",VLOOKUP($B1046,Показатели!$E:$W,9,FALSE)),"")</f>
        <v>220119000000</v>
      </c>
      <c r="M1046">
        <f>IFERROR(IF(VLOOKUP($B1046,Показатели!$E:$W,10,FALSE)=0,"",VLOOKUP($B1046,Показатели!$E:$W,10,FALSE)),"")</f>
        <v>260051000000</v>
      </c>
      <c r="N1046">
        <f>IFERROR(IF(VLOOKUP($B1046,Показатели!$E:$W,11,FALSE)=0,"",VLOOKUP($B1046,Показатели!$E:$W,11,FALSE)),"")</f>
        <v>487806000000</v>
      </c>
      <c r="O1046">
        <f>IFERROR(IF(VLOOKUP($B1046,Показатели!$E:$W,12,FALSE)=0,"",VLOOKUP($B1046,Показатели!$E:$W,12,FALSE)),"")</f>
        <v>87574000000</v>
      </c>
      <c r="P1046">
        <f>IFERROR(IF(VLOOKUP($B1046,Показатели!$E:$W,13,FALSE)=0,"",VLOOKUP($B1046,Показатели!$E:$W,13,FALSE)),"")</f>
        <v>124142000000</v>
      </c>
      <c r="Q1046">
        <f>IFERROR(IF(VLOOKUP($B1046,Показатели!$E:$W,14,FALSE)=0,"",VLOOKUP($B1046,Показатели!$E:$W,14,FALSE)),"")</f>
        <v>103585000000</v>
      </c>
      <c r="R1046">
        <f>IFERROR(IF(VLOOKUP($B1046,Показатели!$E:$W,15,FALSE)=0,"",VLOOKUP($B1046,Показатели!$E:$W,15,FALSE)),"")</f>
        <v>4943000000</v>
      </c>
      <c r="S1046">
        <f>IFERROR(IF(VLOOKUP($B1046,Показатели!$E:$W,16,FALSE)=0,"",VLOOKUP($B1046,Показатели!$E:$W,16,FALSE)),"")</f>
        <v>143785000000</v>
      </c>
      <c r="T1046">
        <f>IFERROR(IF(VLOOKUP($B1046,Показатели!$E:$W,17,FALSE)=0,"",VLOOKUP($B1046,Показатели!$E:$W,17,FALSE)),"")</f>
        <v>-9856000000</v>
      </c>
      <c r="U1046">
        <f>IFERROR(IF(VLOOKUP($B1046,Показатели!$E:$W,18,FALSE)=0,"",VLOOKUP($B1046,Показатели!$E:$W,18,FALSE)),"")</f>
        <v>380161000000</v>
      </c>
      <c r="V1046">
        <f>IFERROR(IF(VLOOKUP($B1046,Показатели!$E:$W,19,FALSE)=0,"",VLOOKUP($B1046,Показатели!$E:$W,19,FALSE)),"")</f>
        <v>648808000000</v>
      </c>
    </row>
    <row r="1047" spans="1:22" x14ac:dyDescent="0.2">
      <c r="A1047" s="7" t="s">
        <v>2309</v>
      </c>
      <c r="B1047" t="str">
        <f t="shared" si="16"/>
        <v>PIKK IV кв. 2020</v>
      </c>
      <c r="C1047">
        <v>2020</v>
      </c>
      <c r="D1047">
        <f>SUMIFS(Дивиденды!$C:$C,Дивиденды!$A:$A,A1047,Дивиденды!$I:$I,C1047)</f>
        <v>45.22</v>
      </c>
      <c r="E1047">
        <f>IFERROR(IF(VLOOKUP($B1047,Показатели!$E:$W,2,FALSE)=0,"",VLOOKUP($B1047,Показатели!$E:$W,2,FALSE)),"")</f>
        <v>96527000000</v>
      </c>
      <c r="F1047">
        <f>IFERROR(IF(VLOOKUP($B1047,Показатели!$E:$W,3,FALSE)=0,"",VLOOKUP($B1047,Показатели!$E:$W,3,FALSE)),"")</f>
        <v>552335000000</v>
      </c>
      <c r="G1047">
        <f>IFERROR(IF(VLOOKUP($B1047,Показатели!$E:$W,4,FALSE)=0,"",VLOOKUP($B1047,Показатели!$E:$W,4,FALSE)),"")</f>
        <v>35546000000</v>
      </c>
      <c r="H1047">
        <f>IFERROR(IF(VLOOKUP($B1047,Показатели!$E:$W,5,FALSE)=0,"",VLOOKUP($B1047,Показатели!$E:$W,5,FALSE)),"")</f>
        <v>14033000000</v>
      </c>
      <c r="I1047">
        <f>IFERROR(IF(VLOOKUP($B1047,Показатели!$E:$W,6,FALSE)=0,"",VLOOKUP($B1047,Показатели!$E:$W,6,FALSE)),"")</f>
        <v>648808000000</v>
      </c>
      <c r="J1047">
        <f>IFERROR(IF(VLOOKUP($B1047,Показатели!$E:$W,7,FALSE)=0,"",VLOOKUP($B1047,Показатели!$E:$W,7,FALSE)),"")</f>
        <v>217542000000</v>
      </c>
      <c r="K1047">
        <f>IFERROR(IF(VLOOKUP($B1047,Показатели!$E:$W,8,FALSE)=0,"",VLOOKUP($B1047,Показатели!$E:$W,8,FALSE)),"")</f>
        <v>248955000000</v>
      </c>
      <c r="L1047">
        <f>IFERROR(IF(VLOOKUP($B1047,Показатели!$E:$W,9,FALSE)=0,"",VLOOKUP($B1047,Показатели!$E:$W,9,FALSE)),"")</f>
        <v>147343000000</v>
      </c>
      <c r="M1047">
        <f>IFERROR(IF(VLOOKUP($B1047,Показатели!$E:$W,10,FALSE)=0,"",VLOOKUP($B1047,Показатели!$E:$W,10,FALSE)),"")</f>
        <v>182311000000</v>
      </c>
      <c r="N1047">
        <f>IFERROR(IF(VLOOKUP($B1047,Показатели!$E:$W,11,FALSE)=0,"",VLOOKUP($B1047,Показатели!$E:$W,11,FALSE)),"")</f>
        <v>380161000000</v>
      </c>
      <c r="O1047">
        <f>IFERROR(IF(VLOOKUP($B1047,Показатели!$E:$W,12,FALSE)=0,"",VLOOKUP($B1047,Показатели!$E:$W,12,FALSE)),"")</f>
        <v>87899000000</v>
      </c>
      <c r="P1047">
        <f>IFERROR(IF(VLOOKUP($B1047,Показатели!$E:$W,13,FALSE)=0,"",VLOOKUP($B1047,Показатели!$E:$W,13,FALSE)),"")</f>
        <v>105275000000</v>
      </c>
      <c r="Q1047">
        <f>IFERROR(IF(VLOOKUP($B1047,Показатели!$E:$W,14,FALSE)=0,"",VLOOKUP($B1047,Показатели!$E:$W,14,FALSE)),"")</f>
        <v>86493000000</v>
      </c>
      <c r="R1047">
        <f>IFERROR(IF(VLOOKUP($B1047,Показатели!$E:$W,15,FALSE)=0,"",VLOOKUP($B1047,Показатели!$E:$W,15,FALSE)),"")</f>
        <v>3479000000</v>
      </c>
      <c r="S1047">
        <f>IFERROR(IF(VLOOKUP($B1047,Показатели!$E:$W,16,FALSE)=0,"",VLOOKUP($B1047,Показатели!$E:$W,16,FALSE)),"")</f>
        <v>112041000000</v>
      </c>
      <c r="T1047">
        <f>IFERROR(IF(VLOOKUP($B1047,Показатели!$E:$W,17,FALSE)=0,"",VLOOKUP($B1047,Показатели!$E:$W,17,FALSE)),"")</f>
        <v>-3168000000</v>
      </c>
      <c r="U1047">
        <f>IFERROR(IF(VLOOKUP($B1047,Показатели!$E:$W,18,FALSE)=0,"",VLOOKUP($B1047,Показатели!$E:$W,18,FALSE)),"")</f>
        <v>280635000000</v>
      </c>
      <c r="V1047">
        <f>IFERROR(IF(VLOOKUP($B1047,Показатели!$E:$W,19,FALSE)=0,"",VLOOKUP($B1047,Показатели!$E:$W,19,FALSE)),"")</f>
        <v>472003000000</v>
      </c>
    </row>
    <row r="1048" spans="1:22" x14ac:dyDescent="0.2">
      <c r="A1048" s="7" t="s">
        <v>2309</v>
      </c>
      <c r="B1048" t="str">
        <f t="shared" si="16"/>
        <v>PIKK IV кв. 2019</v>
      </c>
      <c r="C1048">
        <v>2019</v>
      </c>
      <c r="D1048">
        <f>SUMIFS(Дивиденды!$C:$C,Дивиденды!$A:$A,A1048,Дивиденды!$I:$I,C1048)</f>
        <v>0</v>
      </c>
      <c r="E1048">
        <f>IFERROR(IF(VLOOKUP($B1048,Показатели!$E:$W,2,FALSE)=0,"",VLOOKUP($B1048,Показатели!$E:$W,2,FALSE)),"")</f>
        <v>66208000000</v>
      </c>
      <c r="F1048">
        <f>IFERROR(IF(VLOOKUP($B1048,Показатели!$E:$W,3,FALSE)=0,"",VLOOKUP($B1048,Показатели!$E:$W,3,FALSE)),"")</f>
        <v>403760000000</v>
      </c>
      <c r="G1048">
        <f>IFERROR(IF(VLOOKUP($B1048,Показатели!$E:$W,4,FALSE)=0,"",VLOOKUP($B1048,Показатели!$E:$W,4,FALSE)),"")</f>
        <v>34453000000</v>
      </c>
      <c r="H1048">
        <f>IFERROR(IF(VLOOKUP($B1048,Показатели!$E:$W,5,FALSE)=0,"",VLOOKUP($B1048,Показатели!$E:$W,5,FALSE)),"")</f>
        <v>13454000000</v>
      </c>
      <c r="I1048">
        <f>IFERROR(IF(VLOOKUP($B1048,Показатели!$E:$W,6,FALSE)=0,"",VLOOKUP($B1048,Показатели!$E:$W,6,FALSE)),"")</f>
        <v>472003000000</v>
      </c>
      <c r="J1048">
        <f>IFERROR(IF(VLOOKUP($B1048,Показатели!$E:$W,7,FALSE)=0,"",VLOOKUP($B1048,Показатели!$E:$W,7,FALSE)),"")</f>
        <v>217843000000</v>
      </c>
      <c r="K1048">
        <f>IFERROR(IF(VLOOKUP($B1048,Показатели!$E:$W,8,FALSE)=0,"",VLOOKUP($B1048,Показатели!$E:$W,8,FALSE)),"")</f>
        <v>143872000000</v>
      </c>
      <c r="L1048">
        <f>IFERROR(IF(VLOOKUP($B1048,Показатели!$E:$W,9,FALSE)=0,"",VLOOKUP($B1048,Показатели!$E:$W,9,FALSE)),"")</f>
        <v>75962000000</v>
      </c>
      <c r="M1048">
        <f>IFERROR(IF(VLOOKUP($B1048,Показатели!$E:$W,10,FALSE)=0,"",VLOOKUP($B1048,Показатели!$E:$W,10,FALSE)),"")</f>
        <v>110288000000</v>
      </c>
      <c r="N1048">
        <f>IFERROR(IF(VLOOKUP($B1048,Показатели!$E:$W,11,FALSE)=0,"",VLOOKUP($B1048,Показатели!$E:$W,11,FALSE)),"")</f>
        <v>280635000000</v>
      </c>
      <c r="O1048">
        <f>IFERROR(IF(VLOOKUP($B1048,Показатели!$E:$W,12,FALSE)=0,"",VLOOKUP($B1048,Показатели!$E:$W,12,FALSE)),"")</f>
        <v>60555000000</v>
      </c>
      <c r="P1048">
        <f>IFERROR(IF(VLOOKUP($B1048,Показатели!$E:$W,13,FALSE)=0,"",VLOOKUP($B1048,Показатели!$E:$W,13,FALSE)),"")</f>
        <v>59238000000</v>
      </c>
      <c r="Q1048">
        <f>IFERROR(IF(VLOOKUP($B1048,Показатели!$E:$W,14,FALSE)=0,"",VLOOKUP($B1048,Показатели!$E:$W,14,FALSE)),"")</f>
        <v>45113000000</v>
      </c>
      <c r="R1048">
        <f>IFERROR(IF(VLOOKUP($B1048,Показатели!$E:$W,15,FALSE)=0,"",VLOOKUP($B1048,Показатели!$E:$W,15,FALSE)),"")</f>
        <v>3024000000</v>
      </c>
      <c r="S1048">
        <f>IFERROR(IF(VLOOKUP($B1048,Показатели!$E:$W,16,FALSE)=0,"",VLOOKUP($B1048,Показатели!$E:$W,16,FALSE)),"")</f>
        <v>67042000000</v>
      </c>
      <c r="T1048">
        <f>IFERROR(IF(VLOOKUP($B1048,Показатели!$E:$W,17,FALSE)=0,"",VLOOKUP($B1048,Показатели!$E:$W,17,FALSE)),"")</f>
        <v>-4150000000</v>
      </c>
      <c r="U1048">
        <f>IFERROR(IF(VLOOKUP($B1048,Показатели!$E:$W,18,FALSE)=0,"",VLOOKUP($B1048,Показатели!$E:$W,18,FALSE)),"")</f>
        <v>245757000000</v>
      </c>
      <c r="V1048">
        <f>IFERROR(IF(VLOOKUP($B1048,Показатели!$E:$W,19,FALSE)=0,"",VLOOKUP($B1048,Показатели!$E:$W,19,FALSE)),"")</f>
        <v>351473000000</v>
      </c>
    </row>
    <row r="1049" spans="1:22" x14ac:dyDescent="0.2">
      <c r="A1049" s="7" t="s">
        <v>2309</v>
      </c>
      <c r="B1049" t="str">
        <f t="shared" si="16"/>
        <v>PIKK IV кв. 2018</v>
      </c>
      <c r="C1049">
        <v>2018</v>
      </c>
      <c r="D1049">
        <f>SUMIFS(Дивиденды!$C:$C,Дивиденды!$A:$A,A1049,Дивиденды!$I:$I,C1049)</f>
        <v>45.42</v>
      </c>
      <c r="E1049">
        <f>IFERROR(IF(VLOOKUP($B1049,Показатели!$E:$W,2,FALSE)=0,"",VLOOKUP($B1049,Показатели!$E:$W,2,FALSE)),"")</f>
        <v>58601000000</v>
      </c>
      <c r="F1049">
        <f>IFERROR(IF(VLOOKUP($B1049,Показатели!$E:$W,3,FALSE)=0,"",VLOOKUP($B1049,Показатели!$E:$W,3,FALSE)),"")</f>
        <v>291248000000</v>
      </c>
      <c r="G1049">
        <f>IFERROR(IF(VLOOKUP($B1049,Показатели!$E:$W,4,FALSE)=0,"",VLOOKUP($B1049,Показатели!$E:$W,4,FALSE)),"")</f>
        <v>26189000000</v>
      </c>
      <c r="H1049">
        <f>IFERROR(IF(VLOOKUP($B1049,Показатели!$E:$W,5,FALSE)=0,"",VLOOKUP($B1049,Показатели!$E:$W,5,FALSE)),"")</f>
        <v>1881000000</v>
      </c>
      <c r="I1049">
        <f>IFERROR(IF(VLOOKUP($B1049,Показатели!$E:$W,6,FALSE)=0,"",VLOOKUP($B1049,Показатели!$E:$W,6,FALSE)),"")</f>
        <v>351473000000</v>
      </c>
      <c r="J1049">
        <f>IFERROR(IF(VLOOKUP($B1049,Показатели!$E:$W,7,FALSE)=0,"",VLOOKUP($B1049,Показатели!$E:$W,7,FALSE)),"")</f>
        <v>215895000000</v>
      </c>
      <c r="K1049">
        <f>IFERROR(IF(VLOOKUP($B1049,Показатели!$E:$W,8,FALSE)=0,"",VLOOKUP($B1049,Показатели!$E:$W,8,FALSE)),"")</f>
        <v>67407000000</v>
      </c>
      <c r="L1049">
        <f>IFERROR(IF(VLOOKUP($B1049,Показатели!$E:$W,9,FALSE)=0,"",VLOOKUP($B1049,Показатели!$E:$W,9,FALSE)),"")</f>
        <v>33478000000</v>
      </c>
      <c r="M1049">
        <f>IFERROR(IF(VLOOKUP($B1049,Показатели!$E:$W,10,FALSE)=0,"",VLOOKUP($B1049,Показатели!$E:$W,10,FALSE)),"")</f>
        <v>68171000000</v>
      </c>
      <c r="N1049">
        <f>IFERROR(IF(VLOOKUP($B1049,Показатели!$E:$W,11,FALSE)=0,"",VLOOKUP($B1049,Показатели!$E:$W,11,FALSE)),"")</f>
        <v>245757000000</v>
      </c>
      <c r="O1049">
        <f>IFERROR(IF(VLOOKUP($B1049,Показатели!$E:$W,12,FALSE)=0,"",VLOOKUP($B1049,Показатели!$E:$W,12,FALSE)),"")</f>
        <v>37505000000</v>
      </c>
      <c r="P1049">
        <f>IFERROR(IF(VLOOKUP($B1049,Показатели!$E:$W,13,FALSE)=0,"",VLOOKUP($B1049,Показатели!$E:$W,13,FALSE)),"")</f>
        <v>28581000000</v>
      </c>
      <c r="Q1049">
        <f>IFERROR(IF(VLOOKUP($B1049,Показатели!$E:$W,14,FALSE)=0,"",VLOOKUP($B1049,Показатели!$E:$W,14,FALSE)),"")</f>
        <v>21252000000</v>
      </c>
      <c r="R1049">
        <f>IFERROR(IF(VLOOKUP($B1049,Показатели!$E:$W,15,FALSE)=0,"",VLOOKUP($B1049,Показатели!$E:$W,15,FALSE)),"")</f>
        <v>2237000000</v>
      </c>
      <c r="S1049">
        <f>IFERROR(IF(VLOOKUP($B1049,Показатели!$E:$W,16,FALSE)=0,"",VLOOKUP($B1049,Показатели!$E:$W,16,FALSE)),"")</f>
        <v>42803000000</v>
      </c>
      <c r="T1049">
        <f>IFERROR(IF(VLOOKUP($B1049,Показатели!$E:$W,17,FALSE)=0,"",VLOOKUP($B1049,Показатели!$E:$W,17,FALSE)),"")</f>
        <v>-3882000000</v>
      </c>
      <c r="U1049">
        <f>IFERROR(IF(VLOOKUP($B1049,Показатели!$E:$W,18,FALSE)=0,"",VLOOKUP($B1049,Показатели!$E:$W,18,FALSE)),"")</f>
        <v>175134000000</v>
      </c>
      <c r="V1049">
        <f>IFERROR(IF(VLOOKUP($B1049,Показатели!$E:$W,19,FALSE)=0,"",VLOOKUP($B1049,Показатели!$E:$W,19,FALSE)),"")</f>
        <v>378188000000</v>
      </c>
    </row>
    <row r="1050" spans="1:22" x14ac:dyDescent="0.2">
      <c r="A1050" s="7" t="s">
        <v>2309</v>
      </c>
      <c r="B1050" t="str">
        <f t="shared" si="16"/>
        <v>PIKK IV кв. 2017</v>
      </c>
      <c r="C1050">
        <v>2017</v>
      </c>
      <c r="D1050">
        <f>SUMIFS(Дивиденды!$C:$C,Дивиденды!$A:$A,A1050,Дивиденды!$I:$I,C1050)</f>
        <v>0</v>
      </c>
      <c r="E1050">
        <f>IFERROR(IF(VLOOKUP($B1050,Показатели!$E:$W,2,FALSE)=0,"",VLOOKUP($B1050,Показатели!$E:$W,2,FALSE)),"")</f>
        <v>45452000000</v>
      </c>
      <c r="F1050">
        <f>IFERROR(IF(VLOOKUP($B1050,Показатели!$E:$W,3,FALSE)=0,"",VLOOKUP($B1050,Показатели!$E:$W,3,FALSE)),"")</f>
        <v>320376000000</v>
      </c>
      <c r="G1050">
        <f>IFERROR(IF(VLOOKUP($B1050,Показатели!$E:$W,4,FALSE)=0,"",VLOOKUP($B1050,Показатели!$E:$W,4,FALSE)),"")</f>
        <v>23524000000</v>
      </c>
      <c r="H1050">
        <f>IFERROR(IF(VLOOKUP($B1050,Показатели!$E:$W,5,FALSE)=0,"",VLOOKUP($B1050,Показатели!$E:$W,5,FALSE)),"")</f>
        <v>779000000</v>
      </c>
      <c r="I1050">
        <f>IFERROR(IF(VLOOKUP($B1050,Показатели!$E:$W,6,FALSE)=0,"",VLOOKUP($B1050,Показатели!$E:$W,6,FALSE)),"")</f>
        <v>378188000000</v>
      </c>
      <c r="J1050">
        <f>IFERROR(IF(VLOOKUP($B1050,Показатели!$E:$W,7,FALSE)=0,"",VLOOKUP($B1050,Показатели!$E:$W,7,FALSE)),"")</f>
        <v>252816000000</v>
      </c>
      <c r="K1050">
        <f>IFERROR(IF(VLOOKUP($B1050,Показатели!$E:$W,8,FALSE)=0,"",VLOOKUP($B1050,Показатели!$E:$W,8,FALSE)),"")</f>
        <v>69224000000</v>
      </c>
      <c r="L1050">
        <f>IFERROR(IF(VLOOKUP($B1050,Показатели!$E:$W,9,FALSE)=0,"",VLOOKUP($B1050,Показатели!$E:$W,9,FALSE)),"")</f>
        <v>22788000000</v>
      </c>
      <c r="M1050">
        <f>IFERROR(IF(VLOOKUP($B1050,Показатели!$E:$W,10,FALSE)=0,"",VLOOKUP($B1050,Показатели!$E:$W,10,FALSE)),"")</f>
        <v>56148000000</v>
      </c>
      <c r="N1050">
        <f>IFERROR(IF(VLOOKUP($B1050,Показатели!$E:$W,11,FALSE)=0,"",VLOOKUP($B1050,Показатели!$E:$W,11,FALSE)),"")</f>
        <v>175134000000</v>
      </c>
      <c r="O1050">
        <f>IFERROR(IF(VLOOKUP($B1050,Показатели!$E:$W,12,FALSE)=0,"",VLOOKUP($B1050,Показатели!$E:$W,12,FALSE)),"")</f>
        <v>9152000000</v>
      </c>
      <c r="P1050">
        <f>IFERROR(IF(VLOOKUP($B1050,Показатели!$E:$W,13,FALSE)=0,"",VLOOKUP($B1050,Показатели!$E:$W,13,FALSE)),"")</f>
        <v>2977000000</v>
      </c>
      <c r="Q1050">
        <f>IFERROR(IF(VLOOKUP($B1050,Показатели!$E:$W,14,FALSE)=0,"",VLOOKUP($B1050,Показатели!$E:$W,14,FALSE)),"")</f>
        <v>2554000000</v>
      </c>
      <c r="R1050">
        <f>IFERROR(IF(VLOOKUP($B1050,Показатели!$E:$W,15,FALSE)=0,"",VLOOKUP($B1050,Показатели!$E:$W,15,FALSE)),"")</f>
        <v>1649000000</v>
      </c>
      <c r="S1050">
        <f>IFERROR(IF(VLOOKUP($B1050,Показатели!$E:$W,16,FALSE)=0,"",VLOOKUP($B1050,Показатели!$E:$W,16,FALSE)),"")</f>
        <v>15648000000</v>
      </c>
      <c r="T1050">
        <f>IFERROR(IF(VLOOKUP($B1050,Показатели!$E:$W,17,FALSE)=0,"",VLOOKUP($B1050,Показатели!$E:$W,17,FALSE)),"")</f>
        <v>-2501000000</v>
      </c>
      <c r="U1050">
        <f>IFERROR(IF(VLOOKUP($B1050,Показатели!$E:$W,18,FALSE)=0,"",VLOOKUP($B1050,Показатели!$E:$W,18,FALSE)),"")</f>
        <v>60090000000</v>
      </c>
      <c r="V1050">
        <f>IFERROR(IF(VLOOKUP($B1050,Показатели!$E:$W,19,FALSE)=0,"",VLOOKUP($B1050,Показатели!$E:$W,19,FALSE)),"")</f>
        <v>357484000000</v>
      </c>
    </row>
    <row r="1051" spans="1:22" x14ac:dyDescent="0.2">
      <c r="A1051" s="7" t="s">
        <v>2309</v>
      </c>
      <c r="B1051" t="str">
        <f t="shared" si="16"/>
        <v>PIKK IV кв. 2016</v>
      </c>
      <c r="C1051">
        <v>2016</v>
      </c>
      <c r="D1051">
        <f>SUMIFS(Дивиденды!$C:$C,Дивиденды!$A:$A,A1051,Дивиденды!$I:$I,C1051)</f>
        <v>0</v>
      </c>
      <c r="E1051">
        <f>IFERROR(IF(VLOOKUP($B1051,Показатели!$E:$W,2,FALSE)=0,"",VLOOKUP($B1051,Показатели!$E:$W,2,FALSE)),"")</f>
        <v>24812000000</v>
      </c>
      <c r="F1051">
        <f>IFERROR(IF(VLOOKUP($B1051,Показатели!$E:$W,3,FALSE)=0,"",VLOOKUP($B1051,Показатели!$E:$W,3,FALSE)),"")</f>
        <v>295333000000</v>
      </c>
      <c r="G1051">
        <f>IFERROR(IF(VLOOKUP($B1051,Показатели!$E:$W,4,FALSE)=0,"",VLOOKUP($B1051,Показатели!$E:$W,4,FALSE)),"")</f>
        <v>23176000000</v>
      </c>
      <c r="H1051" t="str">
        <f>IFERROR(IF(VLOOKUP($B1051,Показатели!$E:$W,5,FALSE)=0,"",VLOOKUP($B1051,Показатели!$E:$W,5,FALSE)),"")</f>
        <v/>
      </c>
      <c r="I1051">
        <f>IFERROR(IF(VLOOKUP($B1051,Показатели!$E:$W,6,FALSE)=0,"",VLOOKUP($B1051,Показатели!$E:$W,6,FALSE)),"")</f>
        <v>357484000000</v>
      </c>
      <c r="J1051">
        <f>IFERROR(IF(VLOOKUP($B1051,Показатели!$E:$W,7,FALSE)=0,"",VLOOKUP($B1051,Показатели!$E:$W,7,FALSE)),"")</f>
        <v>220909000000</v>
      </c>
      <c r="K1051">
        <f>IFERROR(IF(VLOOKUP($B1051,Показатели!$E:$W,8,FALSE)=0,"",VLOOKUP($B1051,Показатели!$E:$W,8,FALSE)),"")</f>
        <v>81276000000</v>
      </c>
      <c r="L1051">
        <f>IFERROR(IF(VLOOKUP($B1051,Показатели!$E:$W,9,FALSE)=0,"",VLOOKUP($B1051,Показатели!$E:$W,9,FALSE)),"")</f>
        <v>22398000000</v>
      </c>
      <c r="M1051">
        <f>IFERROR(IF(VLOOKUP($B1051,Показатели!$E:$W,10,FALSE)=0,"",VLOOKUP($B1051,Показатели!$E:$W,10,FALSE)),"")</f>
        <v>55299000000</v>
      </c>
      <c r="N1051">
        <f>IFERROR(IF(VLOOKUP($B1051,Показатели!$E:$W,11,FALSE)=0,"",VLOOKUP($B1051,Показатели!$E:$W,11,FALSE)),"")</f>
        <v>60090000000</v>
      </c>
      <c r="O1051">
        <f>IFERROR(IF(VLOOKUP($B1051,Показатели!$E:$W,12,FALSE)=0,"",VLOOKUP($B1051,Показатели!$E:$W,12,FALSE)),"")</f>
        <v>25114000000</v>
      </c>
      <c r="P1051">
        <f>IFERROR(IF(VLOOKUP($B1051,Показатели!$E:$W,13,FALSE)=0,"",VLOOKUP($B1051,Показатели!$E:$W,13,FALSE)),"")</f>
        <v>23154000000</v>
      </c>
      <c r="Q1051">
        <f>IFERROR(IF(VLOOKUP($B1051,Показатели!$E:$W,14,FALSE)=0,"",VLOOKUP($B1051,Показатели!$E:$W,14,FALSE)),"")</f>
        <v>20465000000</v>
      </c>
      <c r="R1051" t="str">
        <f>IFERROR(IF(VLOOKUP($B1051,Показатели!$E:$W,15,FALSE)=0,"",VLOOKUP($B1051,Показатели!$E:$W,15,FALSE)),"")</f>
        <v/>
      </c>
      <c r="S1051">
        <f>IFERROR(IF(VLOOKUP($B1051,Показатели!$E:$W,16,FALSE)=0,"",VLOOKUP($B1051,Показатели!$E:$W,16,FALSE)),"")</f>
        <v>11444000000</v>
      </c>
      <c r="T1051" t="str">
        <f>IFERROR(IF(VLOOKUP($B1051,Показатели!$E:$W,17,FALSE)=0,"",VLOOKUP($B1051,Показатели!$E:$W,17,FALSE)),"")</f>
        <v/>
      </c>
      <c r="U1051">
        <f>IFERROR(IF(VLOOKUP($B1051,Показатели!$E:$W,18,FALSE)=0,"",VLOOKUP($B1051,Показатели!$E:$W,18,FALSE)),"")</f>
        <v>51132000000</v>
      </c>
      <c r="V1051">
        <f>IFERROR(IF(VLOOKUP($B1051,Показатели!$E:$W,19,FALSE)=0,"",VLOOKUP($B1051,Показатели!$E:$W,19,FALSE)),"")</f>
        <v>106705000000</v>
      </c>
    </row>
    <row r="1052" spans="1:22" x14ac:dyDescent="0.2">
      <c r="A1052" s="7" t="s">
        <v>2309</v>
      </c>
      <c r="B1052" t="str">
        <f t="shared" si="16"/>
        <v>PIKK IV кв. 2015</v>
      </c>
      <c r="C1052">
        <v>2015</v>
      </c>
      <c r="D1052">
        <f>SUMIFS(Дивиденды!$C:$C,Дивиденды!$A:$A,A1052,Дивиденды!$I:$I,C1052)</f>
        <v>0</v>
      </c>
      <c r="E1052">
        <f>IFERROR(IF(VLOOKUP($B1052,Показатели!$E:$W,2,FALSE)=0,"",VLOOKUP($B1052,Показатели!$E:$W,2,FALSE)),"")</f>
        <v>17022000000</v>
      </c>
      <c r="F1052">
        <f>IFERROR(IF(VLOOKUP($B1052,Показатели!$E:$W,3,FALSE)=0,"",VLOOKUP($B1052,Показатели!$E:$W,3,FALSE)),"")</f>
        <v>97259000000</v>
      </c>
      <c r="G1052">
        <f>IFERROR(IF(VLOOKUP($B1052,Показатели!$E:$W,4,FALSE)=0,"",VLOOKUP($B1052,Показатели!$E:$W,4,FALSE)),"")</f>
        <v>7752000000</v>
      </c>
      <c r="H1052" t="str">
        <f>IFERROR(IF(VLOOKUP($B1052,Показатели!$E:$W,5,FALSE)=0,"",VLOOKUP($B1052,Показатели!$E:$W,5,FALSE)),"")</f>
        <v/>
      </c>
      <c r="I1052">
        <f>IFERROR(IF(VLOOKUP($B1052,Показатели!$E:$W,6,FALSE)=0,"",VLOOKUP($B1052,Показатели!$E:$W,6,FALSE)),"")</f>
        <v>106705000000</v>
      </c>
      <c r="J1052">
        <f>IFERROR(IF(VLOOKUP($B1052,Показатели!$E:$W,7,FALSE)=0,"",VLOOKUP($B1052,Показатели!$E:$W,7,FALSE)),"")</f>
        <v>58998000000</v>
      </c>
      <c r="K1052">
        <f>IFERROR(IF(VLOOKUP($B1052,Показатели!$E:$W,8,FALSE)=0,"",VLOOKUP($B1052,Показатели!$E:$W,8,FALSE)),"")</f>
        <v>14960000000</v>
      </c>
      <c r="L1052">
        <f>IFERROR(IF(VLOOKUP($B1052,Показатели!$E:$W,9,FALSE)=0,"",VLOOKUP($B1052,Показатели!$E:$W,9,FALSE)),"")</f>
        <v>-866000000</v>
      </c>
      <c r="M1052">
        <f>IFERROR(IF(VLOOKUP($B1052,Показатели!$E:$W,10,FALSE)=0,"",VLOOKUP($B1052,Показатели!$E:$W,10,FALSE)),"")</f>
        <v>32747000000</v>
      </c>
      <c r="N1052">
        <f>IFERROR(IF(VLOOKUP($B1052,Показатели!$E:$W,11,FALSE)=0,"",VLOOKUP($B1052,Показатели!$E:$W,11,FALSE)),"")</f>
        <v>51132000000</v>
      </c>
      <c r="O1052">
        <f>IFERROR(IF(VLOOKUP($B1052,Показатели!$E:$W,12,FALSE)=0,"",VLOOKUP($B1052,Показатели!$E:$W,12,FALSE)),"")</f>
        <v>11568000000</v>
      </c>
      <c r="P1052">
        <f>IFERROR(IF(VLOOKUP($B1052,Показатели!$E:$W,13,FALSE)=0,"",VLOOKUP($B1052,Показатели!$E:$W,13,FALSE)),"")</f>
        <v>13282000000</v>
      </c>
      <c r="Q1052">
        <f>IFERROR(IF(VLOOKUP($B1052,Показатели!$E:$W,14,FALSE)=0,"",VLOOKUP($B1052,Показатели!$E:$W,14,FALSE)),"")</f>
        <v>11449000000</v>
      </c>
      <c r="R1052" t="str">
        <f>IFERROR(IF(VLOOKUP($B1052,Показатели!$E:$W,15,FALSE)=0,"",VLOOKUP($B1052,Показатели!$E:$W,15,FALSE)),"")</f>
        <v/>
      </c>
      <c r="S1052">
        <f>IFERROR(IF(VLOOKUP($B1052,Показатели!$E:$W,16,FALSE)=0,"",VLOOKUP($B1052,Показатели!$E:$W,16,FALSE)),"")</f>
        <v>13709000000</v>
      </c>
      <c r="T1052" t="str">
        <f>IFERROR(IF(VLOOKUP($B1052,Показатели!$E:$W,17,FALSE)=0,"",VLOOKUP($B1052,Показатели!$E:$W,17,FALSE)),"")</f>
        <v/>
      </c>
      <c r="U1052">
        <f>IFERROR(IF(VLOOKUP($B1052,Показатели!$E:$W,18,FALSE)=0,"",VLOOKUP($B1052,Показатели!$E:$W,18,FALSE)),"")</f>
        <v>61260000000</v>
      </c>
      <c r="V1052">
        <f>IFERROR(IF(VLOOKUP($B1052,Показатели!$E:$W,19,FALSE)=0,"",VLOOKUP($B1052,Показатели!$E:$W,19,FALSE)),"")</f>
        <v>96948000000</v>
      </c>
    </row>
    <row r="1053" spans="1:22" x14ac:dyDescent="0.2">
      <c r="A1053" s="7" t="s">
        <v>2309</v>
      </c>
      <c r="B1053" t="str">
        <f t="shared" si="16"/>
        <v>PIKK IV кв. 2014</v>
      </c>
      <c r="C1053">
        <v>2014</v>
      </c>
      <c r="D1053">
        <f>SUMIFS(Дивиденды!$C:$C,Дивиденды!$A:$A,A1053,Дивиденды!$I:$I,C1053)</f>
        <v>4.16</v>
      </c>
      <c r="E1053">
        <f>IFERROR(IF(VLOOKUP($B1053,Показатели!$E:$W,2,FALSE)=0,"",VLOOKUP($B1053,Показатели!$E:$W,2,FALSE)),"")</f>
        <v>14239000000</v>
      </c>
      <c r="F1053">
        <f>IFERROR(IF(VLOOKUP($B1053,Показатели!$E:$W,3,FALSE)=0,"",VLOOKUP($B1053,Показатели!$E:$W,3,FALSE)),"")</f>
        <v>69225000000</v>
      </c>
      <c r="G1053">
        <f>IFERROR(IF(VLOOKUP($B1053,Показатели!$E:$W,4,FALSE)=0,"",VLOOKUP($B1053,Показатели!$E:$W,4,FALSE)),"")</f>
        <v>8594000000</v>
      </c>
      <c r="H1053" t="str">
        <f>IFERROR(IF(VLOOKUP($B1053,Показатели!$E:$W,5,FALSE)=0,"",VLOOKUP($B1053,Показатели!$E:$W,5,FALSE)),"")</f>
        <v/>
      </c>
      <c r="I1053">
        <f>IFERROR(IF(VLOOKUP($B1053,Показатели!$E:$W,6,FALSE)=0,"",VLOOKUP($B1053,Показатели!$E:$W,6,FALSE)),"")</f>
        <v>96948000000</v>
      </c>
      <c r="J1053">
        <f>IFERROR(IF(VLOOKUP($B1053,Показатели!$E:$W,7,FALSE)=0,"",VLOOKUP($B1053,Показатели!$E:$W,7,FALSE)),"")</f>
        <v>73974000000</v>
      </c>
      <c r="K1053">
        <f>IFERROR(IF(VLOOKUP($B1053,Показатели!$E:$W,8,FALSE)=0,"",VLOOKUP($B1053,Показатели!$E:$W,8,FALSE)),"")</f>
        <v>1661000000</v>
      </c>
      <c r="L1053">
        <f>IFERROR(IF(VLOOKUP($B1053,Показатели!$E:$W,9,FALSE)=0,"",VLOOKUP($B1053,Показатели!$E:$W,9,FALSE)),"")</f>
        <v>-12058000000</v>
      </c>
      <c r="M1053">
        <f>IFERROR(IF(VLOOKUP($B1053,Показатели!$E:$W,10,FALSE)=0,"",VLOOKUP($B1053,Показатели!$E:$W,10,FALSE)),"")</f>
        <v>21313000000</v>
      </c>
      <c r="N1053">
        <f>IFERROR(IF(VLOOKUP($B1053,Показатели!$E:$W,11,FALSE)=0,"",VLOOKUP($B1053,Показатели!$E:$W,11,FALSE)),"")</f>
        <v>61260000000</v>
      </c>
      <c r="O1053">
        <f>IFERROR(IF(VLOOKUP($B1053,Показатели!$E:$W,12,FALSE)=0,"",VLOOKUP($B1053,Показатели!$E:$W,12,FALSE)),"")</f>
        <v>6479000000</v>
      </c>
      <c r="P1053">
        <f>IFERROR(IF(VLOOKUP($B1053,Показатели!$E:$W,13,FALSE)=0,"",VLOOKUP($B1053,Показатели!$E:$W,13,FALSE)),"")</f>
        <v>4407000000</v>
      </c>
      <c r="Q1053">
        <f>IFERROR(IF(VLOOKUP($B1053,Показатели!$E:$W,14,FALSE)=0,"",VLOOKUP($B1053,Показатели!$E:$W,14,FALSE)),"")</f>
        <v>3792000000</v>
      </c>
      <c r="R1053" t="str">
        <f>IFERROR(IF(VLOOKUP($B1053,Показатели!$E:$W,15,FALSE)=0,"",VLOOKUP($B1053,Показатели!$E:$W,15,FALSE)),"")</f>
        <v/>
      </c>
      <c r="S1053">
        <f>IFERROR(IF(VLOOKUP($B1053,Показатели!$E:$W,16,FALSE)=0,"",VLOOKUP($B1053,Показатели!$E:$W,16,FALSE)),"")</f>
        <v>12517000000</v>
      </c>
      <c r="T1053" t="str">
        <f>IFERROR(IF(VLOOKUP($B1053,Показатели!$E:$W,17,FALSE)=0,"",VLOOKUP($B1053,Показатели!$E:$W,17,FALSE)),"")</f>
        <v/>
      </c>
      <c r="U1053">
        <f>IFERROR(IF(VLOOKUP($B1053,Показатели!$E:$W,18,FALSE)=0,"",VLOOKUP($B1053,Показатели!$E:$W,18,FALSE)),"")</f>
        <v>62543000000</v>
      </c>
      <c r="V1053">
        <f>IFERROR(IF(VLOOKUP($B1053,Показатели!$E:$W,19,FALSE)=0,"",VLOOKUP($B1053,Показатели!$E:$W,19,FALSE)),"")</f>
        <v>117231000000</v>
      </c>
    </row>
    <row r="1054" spans="1:22" x14ac:dyDescent="0.2">
      <c r="A1054" s="7" t="s">
        <v>2309</v>
      </c>
      <c r="B1054" t="str">
        <f t="shared" si="16"/>
        <v>PIKK IV кв. 2013</v>
      </c>
      <c r="C1054">
        <v>2013</v>
      </c>
      <c r="D1054">
        <f>SUMIFS(Дивиденды!$C:$C,Дивиденды!$A:$A,A1054,Дивиденды!$I:$I,C1054)</f>
        <v>0</v>
      </c>
      <c r="E1054">
        <f>IFERROR(IF(VLOOKUP($B1054,Показатели!$E:$W,2,FALSE)=0,"",VLOOKUP($B1054,Показатели!$E:$W,2,FALSE)),"")</f>
        <v>11089000000</v>
      </c>
      <c r="F1054">
        <f>IFERROR(IF(VLOOKUP($B1054,Показатели!$E:$W,3,FALSE)=0,"",VLOOKUP($B1054,Показатели!$E:$W,3,FALSE)),"")</f>
        <v>86962000000</v>
      </c>
      <c r="G1054">
        <f>IFERROR(IF(VLOOKUP($B1054,Показатели!$E:$W,4,FALSE)=0,"",VLOOKUP($B1054,Показатели!$E:$W,4,FALSE)),"")</f>
        <v>9049000000</v>
      </c>
      <c r="H1054" t="str">
        <f>IFERROR(IF(VLOOKUP($B1054,Показатели!$E:$W,5,FALSE)=0,"",VLOOKUP($B1054,Показатели!$E:$W,5,FALSE)),"")</f>
        <v/>
      </c>
      <c r="I1054">
        <f>IFERROR(IF(VLOOKUP($B1054,Показатели!$E:$W,6,FALSE)=0,"",VLOOKUP($B1054,Показатели!$E:$W,6,FALSE)),"")</f>
        <v>117231000000</v>
      </c>
      <c r="J1054">
        <f>IFERROR(IF(VLOOKUP($B1054,Показатели!$E:$W,7,FALSE)=0,"",VLOOKUP($B1054,Показатели!$E:$W,7,FALSE)),"")</f>
        <v>91578000000</v>
      </c>
      <c r="K1054">
        <f>IFERROR(IF(VLOOKUP($B1054,Показатели!$E:$W,8,FALSE)=0,"",VLOOKUP($B1054,Показатели!$E:$W,8,FALSE)),"")</f>
        <v>5030000000</v>
      </c>
      <c r="L1054" t="str">
        <f>IFERROR(IF(VLOOKUP($B1054,Показатели!$E:$W,9,FALSE)=0,"",VLOOKUP($B1054,Показатели!$E:$W,9,FALSE)),"")</f>
        <v/>
      </c>
      <c r="M1054">
        <f>IFERROR(IF(VLOOKUP($B1054,Показатели!$E:$W,10,FALSE)=0,"",VLOOKUP($B1054,Показатели!$E:$W,10,FALSE)),"")</f>
        <v>20623000000</v>
      </c>
      <c r="N1054">
        <f>IFERROR(IF(VLOOKUP($B1054,Показатели!$E:$W,11,FALSE)=0,"",VLOOKUP($B1054,Показатели!$E:$W,11,FALSE)),"")</f>
        <v>62543000000</v>
      </c>
      <c r="O1054">
        <f>IFERROR(IF(VLOOKUP($B1054,Показатели!$E:$W,12,FALSE)=0,"",VLOOKUP($B1054,Показатели!$E:$W,12,FALSE)),"")</f>
        <v>12394000000</v>
      </c>
      <c r="P1054">
        <f>IFERROR(IF(VLOOKUP($B1054,Показатели!$E:$W,13,FALSE)=0,"",VLOOKUP($B1054,Показатели!$E:$W,13,FALSE)),"")</f>
        <v>8694000000</v>
      </c>
      <c r="Q1054">
        <f>IFERROR(IF(VLOOKUP($B1054,Показатели!$E:$W,14,FALSE)=0,"",VLOOKUP($B1054,Показатели!$E:$W,14,FALSE)),"")</f>
        <v>7448000000</v>
      </c>
      <c r="R1054" t="str">
        <f>IFERROR(IF(VLOOKUP($B1054,Показатели!$E:$W,15,FALSE)=0,"",VLOOKUP($B1054,Показатели!$E:$W,15,FALSE)),"")</f>
        <v/>
      </c>
      <c r="S1054">
        <f>IFERROR(IF(VLOOKUP($B1054,Показатели!$E:$W,16,FALSE)=0,"",VLOOKUP($B1054,Показатели!$E:$W,16,FALSE)),"")</f>
        <v>14000000000</v>
      </c>
      <c r="T1054" t="str">
        <f>IFERROR(IF(VLOOKUP($B1054,Показатели!$E:$W,17,FALSE)=0,"",VLOOKUP($B1054,Показатели!$E:$W,17,FALSE)),"")</f>
        <v/>
      </c>
      <c r="U1054">
        <f>IFERROR(IF(VLOOKUP($B1054,Показатели!$E:$W,18,FALSE)=0,"",VLOOKUP($B1054,Показатели!$E:$W,18,FALSE)),"")</f>
        <v>66129000000</v>
      </c>
      <c r="V1054">
        <f>IFERROR(IF(VLOOKUP($B1054,Показатели!$E:$W,19,FALSE)=0,"",VLOOKUP($B1054,Показатели!$E:$W,19,FALSE)),"")</f>
        <v>126501000000</v>
      </c>
    </row>
    <row r="1055" spans="1:22" x14ac:dyDescent="0.2">
      <c r="A1055" s="7" t="s">
        <v>2309</v>
      </c>
      <c r="B1055" t="str">
        <f t="shared" si="16"/>
        <v>PIKK IV кв. 2012</v>
      </c>
      <c r="C1055">
        <v>2012</v>
      </c>
      <c r="D1055">
        <f>SUMIFS(Дивиденды!$C:$C,Дивиденды!$A:$A,A1055,Дивиденды!$I:$I,C1055)</f>
        <v>0</v>
      </c>
      <c r="E1055">
        <f>IFERROR(IF(VLOOKUP($B1055,Показатели!$E:$W,2,FALSE)=0,"",VLOOKUP($B1055,Показатели!$E:$W,2,FALSE)),"")</f>
        <v>5067000000</v>
      </c>
      <c r="F1055">
        <f>IFERROR(IF(VLOOKUP($B1055,Показатели!$E:$W,3,FALSE)=0,"",VLOOKUP($B1055,Показатели!$E:$W,3,FALSE)),"")</f>
        <v>99123000000</v>
      </c>
      <c r="G1055">
        <f>IFERROR(IF(VLOOKUP($B1055,Показатели!$E:$W,4,FALSE)=0,"",VLOOKUP($B1055,Показатели!$E:$W,4,FALSE)),"")</f>
        <v>9076000000</v>
      </c>
      <c r="H1055" t="str">
        <f>IFERROR(IF(VLOOKUP($B1055,Показатели!$E:$W,5,FALSE)=0,"",VLOOKUP($B1055,Показатели!$E:$W,5,FALSE)),"")</f>
        <v/>
      </c>
      <c r="I1055">
        <f>IFERROR(IF(VLOOKUP($B1055,Показатели!$E:$W,6,FALSE)=0,"",VLOOKUP($B1055,Показатели!$E:$W,6,FALSE)),"")</f>
        <v>126501000000</v>
      </c>
      <c r="J1055">
        <f>IFERROR(IF(VLOOKUP($B1055,Показатели!$E:$W,7,FALSE)=0,"",VLOOKUP($B1055,Показатели!$E:$W,7,FALSE)),"")</f>
        <v>88177000000</v>
      </c>
      <c r="K1055">
        <f>IFERROR(IF(VLOOKUP($B1055,Показатели!$E:$W,8,FALSE)=0,"",VLOOKUP($B1055,Показатели!$E:$W,8,FALSE)),"")</f>
        <v>34979000000</v>
      </c>
      <c r="L1055" t="str">
        <f>IFERROR(IF(VLOOKUP($B1055,Показатели!$E:$W,9,FALSE)=0,"",VLOOKUP($B1055,Показатели!$E:$W,9,FALSE)),"")</f>
        <v/>
      </c>
      <c r="M1055">
        <f>IFERROR(IF(VLOOKUP($B1055,Показатели!$E:$W,10,FALSE)=0,"",VLOOKUP($B1055,Показатели!$E:$W,10,FALSE)),"")</f>
        <v>3345000000</v>
      </c>
      <c r="N1055">
        <f>IFERROR(IF(VLOOKUP($B1055,Показатели!$E:$W,11,FALSE)=0,"",VLOOKUP($B1055,Показатели!$E:$W,11,FALSE)),"")</f>
        <v>66129000000</v>
      </c>
      <c r="O1055" t="str">
        <f>IFERROR(IF(VLOOKUP($B1055,Показатели!$E:$W,12,FALSE)=0,"",VLOOKUP($B1055,Показатели!$E:$W,12,FALSE)),"")</f>
        <v/>
      </c>
      <c r="P1055">
        <f>IFERROR(IF(VLOOKUP($B1055,Показатели!$E:$W,13,FALSE)=0,"",VLOOKUP($B1055,Показатели!$E:$W,13,FALSE)),"")</f>
        <v>4031000000</v>
      </c>
      <c r="Q1055">
        <f>IFERROR(IF(VLOOKUP($B1055,Показатели!$E:$W,14,FALSE)=0,"",VLOOKUP($B1055,Показатели!$E:$W,14,FALSE)),"")</f>
        <v>3127000000</v>
      </c>
      <c r="R1055" t="str">
        <f>IFERROR(IF(VLOOKUP($B1055,Показатели!$E:$W,15,FALSE)=0,"",VLOOKUP($B1055,Показатели!$E:$W,15,FALSE)),"")</f>
        <v/>
      </c>
      <c r="S1055">
        <f>IFERROR(IF(VLOOKUP($B1055,Показатели!$E:$W,16,FALSE)=0,"",VLOOKUP($B1055,Показатели!$E:$W,16,FALSE)),"")</f>
        <v>10692000000</v>
      </c>
      <c r="T1055" t="str">
        <f>IFERROR(IF(VLOOKUP($B1055,Показатели!$E:$W,17,FALSE)=0,"",VLOOKUP($B1055,Показатели!$E:$W,17,FALSE)),"")</f>
        <v/>
      </c>
      <c r="U1055">
        <f>IFERROR(IF(VLOOKUP($B1055,Показатели!$E:$W,18,FALSE)=0,"",VLOOKUP($B1055,Показатели!$E:$W,18,FALSE)),"")</f>
        <v>45991000000</v>
      </c>
      <c r="V1055">
        <f>IFERROR(IF(VLOOKUP($B1055,Показатели!$E:$W,19,FALSE)=0,"",VLOOKUP($B1055,Показатели!$E:$W,19,FALSE)),"")</f>
        <v>128774000000</v>
      </c>
    </row>
    <row r="1056" spans="1:22" x14ac:dyDescent="0.2">
      <c r="A1056" s="7" t="s">
        <v>2309</v>
      </c>
      <c r="B1056" t="str">
        <f t="shared" si="16"/>
        <v>PIKK IV кв. 2011</v>
      </c>
      <c r="C1056">
        <v>2011</v>
      </c>
      <c r="D1056">
        <f>SUMIFS(Дивиденды!$C:$C,Дивиденды!$A:$A,A1056,Дивиденды!$I:$I,C1056)</f>
        <v>0</v>
      </c>
      <c r="E1056">
        <f>IFERROR(IF(VLOOKUP($B1056,Показатели!$E:$W,2,FALSE)=0,"",VLOOKUP($B1056,Показатели!$E:$W,2,FALSE)),"")</f>
        <v>2874000000</v>
      </c>
      <c r="F1056">
        <f>IFERROR(IF(VLOOKUP($B1056,Показатели!$E:$W,3,FALSE)=0,"",VLOOKUP($B1056,Показатели!$E:$W,3,FALSE)),"")</f>
        <v>92003000000</v>
      </c>
      <c r="G1056">
        <f>IFERROR(IF(VLOOKUP($B1056,Показатели!$E:$W,4,FALSE)=0,"",VLOOKUP($B1056,Показатели!$E:$W,4,FALSE)),"")</f>
        <v>9023000000</v>
      </c>
      <c r="H1056" t="str">
        <f>IFERROR(IF(VLOOKUP($B1056,Показатели!$E:$W,5,FALSE)=0,"",VLOOKUP($B1056,Показатели!$E:$W,5,FALSE)),"")</f>
        <v/>
      </c>
      <c r="I1056">
        <f>IFERROR(IF(VLOOKUP($B1056,Показатели!$E:$W,6,FALSE)=0,"",VLOOKUP($B1056,Показатели!$E:$W,6,FALSE)),"")</f>
        <v>128774000000</v>
      </c>
      <c r="J1056">
        <f>IFERROR(IF(VLOOKUP($B1056,Показатели!$E:$W,7,FALSE)=0,"",VLOOKUP($B1056,Показатели!$E:$W,7,FALSE)),"")</f>
        <v>99178000000</v>
      </c>
      <c r="K1056">
        <f>IFERROR(IF(VLOOKUP($B1056,Показатели!$E:$W,8,FALSE)=0,"",VLOOKUP($B1056,Показатели!$E:$W,8,FALSE)),"")</f>
        <v>29378000000</v>
      </c>
      <c r="L1056" t="str">
        <f>IFERROR(IF(VLOOKUP($B1056,Показатели!$E:$W,9,FALSE)=0,"",VLOOKUP($B1056,Показатели!$E:$W,9,FALSE)),"")</f>
        <v/>
      </c>
      <c r="M1056">
        <f>IFERROR(IF(VLOOKUP($B1056,Показатели!$E:$W,10,FALSE)=0,"",VLOOKUP($B1056,Показатели!$E:$W,10,FALSE)),"")</f>
        <v>218000000</v>
      </c>
      <c r="N1056">
        <f>IFERROR(IF(VLOOKUP($B1056,Показатели!$E:$W,11,FALSE)=0,"",VLOOKUP($B1056,Показатели!$E:$W,11,FALSE)),"")</f>
        <v>45991000000</v>
      </c>
      <c r="O1056" t="str">
        <f>IFERROR(IF(VLOOKUP($B1056,Показатели!$E:$W,12,FALSE)=0,"",VLOOKUP($B1056,Показатели!$E:$W,12,FALSE)),"")</f>
        <v/>
      </c>
      <c r="P1056">
        <f>IFERROR(IF(VLOOKUP($B1056,Показатели!$E:$W,13,FALSE)=0,"",VLOOKUP($B1056,Показатели!$E:$W,13,FALSE)),"")</f>
        <v>6412000000</v>
      </c>
      <c r="Q1056">
        <f>IFERROR(IF(VLOOKUP($B1056,Показатели!$E:$W,14,FALSE)=0,"",VLOOKUP($B1056,Показатели!$E:$W,14,FALSE)),"")</f>
        <v>4805000000</v>
      </c>
      <c r="R1056" t="str">
        <f>IFERROR(IF(VLOOKUP($B1056,Показатели!$E:$W,15,FALSE)=0,"",VLOOKUP($B1056,Показатели!$E:$W,15,FALSE)),"")</f>
        <v/>
      </c>
      <c r="S1056">
        <f>IFERROR(IF(VLOOKUP($B1056,Показатели!$E:$W,16,FALSE)=0,"",VLOOKUP($B1056,Показатели!$E:$W,16,FALSE)),"")</f>
        <v>11679000000</v>
      </c>
      <c r="T1056" t="str">
        <f>IFERROR(IF(VLOOKUP($B1056,Показатели!$E:$W,17,FALSE)=0,"",VLOOKUP($B1056,Показатели!$E:$W,17,FALSE)),"")</f>
        <v/>
      </c>
      <c r="U1056" t="str">
        <f>IFERROR(IF(VLOOKUP($B1056,Показатели!$E:$W,18,FALSE)=0,"",VLOOKUP($B1056,Показатели!$E:$W,18,FALSE)),"")</f>
        <v/>
      </c>
      <c r="V1056" t="str">
        <f>IFERROR(IF(VLOOKUP($B1056,Показатели!$E:$W,19,FALSE)=0,"",VLOOKUP($B1056,Показатели!$E:$W,19,FALSE)),"")</f>
        <v/>
      </c>
    </row>
    <row r="1057" spans="1:22" x14ac:dyDescent="0.2">
      <c r="A1057" s="7" t="s">
        <v>2309</v>
      </c>
      <c r="B1057" t="str">
        <f t="shared" si="16"/>
        <v>PIKK IV кв. 2010</v>
      </c>
      <c r="C1057">
        <v>2010</v>
      </c>
      <c r="D1057">
        <f>SUMIFS(Дивиденды!$C:$C,Дивиденды!$A:$A,A1057,Дивиденды!$I:$I,C1057)</f>
        <v>0</v>
      </c>
      <c r="E1057" t="str">
        <f>IFERROR(IF(VLOOKUP($B1057,Показатели!$E:$W,2,FALSE)=0,"",VLOOKUP($B1057,Показатели!$E:$W,2,FALSE)),"")</f>
        <v/>
      </c>
      <c r="F1057" t="str">
        <f>IFERROR(IF(VLOOKUP($B1057,Показатели!$E:$W,3,FALSE)=0,"",VLOOKUP($B1057,Показатели!$E:$W,3,FALSE)),"")</f>
        <v/>
      </c>
      <c r="G1057" t="str">
        <f>IFERROR(IF(VLOOKUP($B1057,Показатели!$E:$W,4,FALSE)=0,"",VLOOKUP($B1057,Показатели!$E:$W,4,FALSE)),"")</f>
        <v/>
      </c>
      <c r="H1057" t="str">
        <f>IFERROR(IF(VLOOKUP($B1057,Показатели!$E:$W,5,FALSE)=0,"",VLOOKUP($B1057,Показатели!$E:$W,5,FALSE)),"")</f>
        <v/>
      </c>
      <c r="I1057" t="str">
        <f>IFERROR(IF(VLOOKUP($B1057,Показатели!$E:$W,6,FALSE)=0,"",VLOOKUP($B1057,Показатели!$E:$W,6,FALSE)),"")</f>
        <v/>
      </c>
      <c r="J1057" t="str">
        <f>IFERROR(IF(VLOOKUP($B1057,Показатели!$E:$W,7,FALSE)=0,"",VLOOKUP($B1057,Показатели!$E:$W,7,FALSE)),"")</f>
        <v/>
      </c>
      <c r="K1057" t="str">
        <f>IFERROR(IF(VLOOKUP($B1057,Показатели!$E:$W,8,FALSE)=0,"",VLOOKUP($B1057,Показатели!$E:$W,8,FALSE)),"")</f>
        <v/>
      </c>
      <c r="L1057" t="str">
        <f>IFERROR(IF(VLOOKUP($B1057,Показатели!$E:$W,9,FALSE)=0,"",VLOOKUP($B1057,Показатели!$E:$W,9,FALSE)),"")</f>
        <v/>
      </c>
      <c r="M1057" t="str">
        <f>IFERROR(IF(VLOOKUP($B1057,Показатели!$E:$W,10,FALSE)=0,"",VLOOKUP($B1057,Показатели!$E:$W,10,FALSE)),"")</f>
        <v/>
      </c>
      <c r="N1057" t="str">
        <f>IFERROR(IF(VLOOKUP($B1057,Показатели!$E:$W,11,FALSE)=0,"",VLOOKUP($B1057,Показатели!$E:$W,11,FALSE)),"")</f>
        <v/>
      </c>
      <c r="O1057" t="str">
        <f>IFERROR(IF(VLOOKUP($B1057,Показатели!$E:$W,12,FALSE)=0,"",VLOOKUP($B1057,Показатели!$E:$W,12,FALSE)),"")</f>
        <v/>
      </c>
      <c r="P1057" t="str">
        <f>IFERROR(IF(VLOOKUP($B1057,Показатели!$E:$W,13,FALSE)=0,"",VLOOKUP($B1057,Показатели!$E:$W,13,FALSE)),"")</f>
        <v/>
      </c>
      <c r="Q1057" t="str">
        <f>IFERROR(IF(VLOOKUP($B1057,Показатели!$E:$W,14,FALSE)=0,"",VLOOKUP($B1057,Показатели!$E:$W,14,FALSE)),"")</f>
        <v/>
      </c>
      <c r="R1057" t="str">
        <f>IFERROR(IF(VLOOKUP($B1057,Показатели!$E:$W,15,FALSE)=0,"",VLOOKUP($B1057,Показатели!$E:$W,15,FALSE)),"")</f>
        <v/>
      </c>
      <c r="S1057" t="str">
        <f>IFERROR(IF(VLOOKUP($B1057,Показатели!$E:$W,16,FALSE)=0,"",VLOOKUP($B1057,Показатели!$E:$W,16,FALSE)),"")</f>
        <v/>
      </c>
      <c r="T1057" t="str">
        <f>IFERROR(IF(VLOOKUP($B1057,Показатели!$E:$W,17,FALSE)=0,"",VLOOKUP($B1057,Показатели!$E:$W,17,FALSE)),"")</f>
        <v/>
      </c>
      <c r="U1057" t="str">
        <f>IFERROR(IF(VLOOKUP($B1057,Показатели!$E:$W,18,FALSE)=0,"",VLOOKUP($B1057,Показатели!$E:$W,18,FALSE)),"")</f>
        <v/>
      </c>
      <c r="V1057" t="str">
        <f>IFERROR(IF(VLOOKUP($B1057,Показатели!$E:$W,19,FALSE)=0,"",VLOOKUP($B1057,Показатели!$E:$W,19,FALSE)),"")</f>
        <v/>
      </c>
    </row>
    <row r="1058" spans="1:22" x14ac:dyDescent="0.2">
      <c r="A1058" s="7" t="s">
        <v>2311</v>
      </c>
      <c r="B1058" t="str">
        <f t="shared" si="16"/>
        <v>SMLT IV кв. 2025</v>
      </c>
      <c r="C1058">
        <v>2025</v>
      </c>
      <c r="D1058">
        <f>SUMIFS(Дивиденды!$C:$C,Дивиденды!$A:$A,A1058,Дивиденды!$I:$I,C1058)</f>
        <v>0</v>
      </c>
      <c r="E1058" t="str">
        <f>IFERROR(IF(VLOOKUP($B1058,Показатели!$E:$W,2,FALSE)=0,"",VLOOKUP($B1058,Показатели!$E:$W,2,FALSE)),"")</f>
        <v/>
      </c>
      <c r="F1058" t="str">
        <f>IFERROR(IF(VLOOKUP($B1058,Показатели!$E:$W,3,FALSE)=0,"",VLOOKUP($B1058,Показатели!$E:$W,3,FALSE)),"")</f>
        <v/>
      </c>
      <c r="G1058" t="str">
        <f>IFERROR(IF(VLOOKUP($B1058,Показатели!$E:$W,4,FALSE)=0,"",VLOOKUP($B1058,Показатели!$E:$W,4,FALSE)),"")</f>
        <v/>
      </c>
      <c r="H1058" t="str">
        <f>IFERROR(IF(VLOOKUP($B1058,Показатели!$E:$W,5,FALSE)=0,"",VLOOKUP($B1058,Показатели!$E:$W,5,FALSE)),"")</f>
        <v/>
      </c>
      <c r="I1058" t="str">
        <f>IFERROR(IF(VLOOKUP($B1058,Показатели!$E:$W,6,FALSE)=0,"",VLOOKUP($B1058,Показатели!$E:$W,6,FALSE)),"")</f>
        <v/>
      </c>
      <c r="J1058" t="str">
        <f>IFERROR(IF(VLOOKUP($B1058,Показатели!$E:$W,7,FALSE)=0,"",VLOOKUP($B1058,Показатели!$E:$W,7,FALSE)),"")</f>
        <v/>
      </c>
      <c r="K1058" t="str">
        <f>IFERROR(IF(VLOOKUP($B1058,Показатели!$E:$W,8,FALSE)=0,"",VLOOKUP($B1058,Показатели!$E:$W,8,FALSE)),"")</f>
        <v/>
      </c>
      <c r="L1058" t="str">
        <f>IFERROR(IF(VLOOKUP($B1058,Показатели!$E:$W,9,FALSE)=0,"",VLOOKUP($B1058,Показатели!$E:$W,9,FALSE)),"")</f>
        <v/>
      </c>
      <c r="M1058" t="str">
        <f>IFERROR(IF(VLOOKUP($B1058,Показатели!$E:$W,10,FALSE)=0,"",VLOOKUP($B1058,Показатели!$E:$W,10,FALSE)),"")</f>
        <v/>
      </c>
      <c r="N1058" t="str">
        <f>IFERROR(IF(VLOOKUP($B1058,Показатели!$E:$W,11,FALSE)=0,"",VLOOKUP($B1058,Показатели!$E:$W,11,FALSE)),"")</f>
        <v/>
      </c>
      <c r="O1058" t="str">
        <f>IFERROR(IF(VLOOKUP($B1058,Показатели!$E:$W,12,FALSE)=0,"",VLOOKUP($B1058,Показатели!$E:$W,12,FALSE)),"")</f>
        <v/>
      </c>
      <c r="P1058" t="str">
        <f>IFERROR(IF(VLOOKUP($B1058,Показатели!$E:$W,13,FALSE)=0,"",VLOOKUP($B1058,Показатели!$E:$W,13,FALSE)),"")</f>
        <v/>
      </c>
      <c r="Q1058" t="str">
        <f>IFERROR(IF(VLOOKUP($B1058,Показатели!$E:$W,14,FALSE)=0,"",VLOOKUP($B1058,Показатели!$E:$W,14,FALSE)),"")</f>
        <v/>
      </c>
      <c r="R1058" t="str">
        <f>IFERROR(IF(VLOOKUP($B1058,Показатели!$E:$W,15,FALSE)=0,"",VLOOKUP($B1058,Показатели!$E:$W,15,FALSE)),"")</f>
        <v/>
      </c>
      <c r="S1058" t="str">
        <f>IFERROR(IF(VLOOKUP($B1058,Показатели!$E:$W,16,FALSE)=0,"",VLOOKUP($B1058,Показатели!$E:$W,16,FALSE)),"")</f>
        <v/>
      </c>
      <c r="T1058" t="str">
        <f>IFERROR(IF(VLOOKUP($B1058,Показатели!$E:$W,17,FALSE)=0,"",VLOOKUP($B1058,Показатели!$E:$W,17,FALSE)),"")</f>
        <v/>
      </c>
      <c r="U1058" t="str">
        <f>IFERROR(IF(VLOOKUP($B1058,Показатели!$E:$W,18,FALSE)=0,"",VLOOKUP($B1058,Показатели!$E:$W,18,FALSE)),"")</f>
        <v/>
      </c>
      <c r="V1058" t="str">
        <f>IFERROR(IF(VLOOKUP($B1058,Показатели!$E:$W,19,FALSE)=0,"",VLOOKUP($B1058,Показатели!$E:$W,19,FALSE)),"")</f>
        <v/>
      </c>
    </row>
    <row r="1059" spans="1:22" x14ac:dyDescent="0.2">
      <c r="A1059" s="7" t="s">
        <v>2311</v>
      </c>
      <c r="B1059" t="str">
        <f t="shared" si="16"/>
        <v>SMLT IV кв. 2024</v>
      </c>
      <c r="C1059">
        <v>2024</v>
      </c>
      <c r="D1059">
        <f>SUMIFS(Дивиденды!$C:$C,Дивиденды!$A:$A,A1059,Дивиденды!$I:$I,C1059)</f>
        <v>0</v>
      </c>
      <c r="E1059">
        <f>IFERROR(IF(VLOOKUP($B1059,Показатели!$E:$W,2,FALSE)=0,"",VLOOKUP($B1059,Показатели!$E:$W,2,FALSE)),"")</f>
        <v>25378000000</v>
      </c>
      <c r="F1059">
        <f>IFERROR(IF(VLOOKUP($B1059,Показатели!$E:$W,3,FALSE)=0,"",VLOOKUP($B1059,Показатели!$E:$W,3,FALSE)),"")</f>
        <v>856458000000</v>
      </c>
      <c r="G1059">
        <f>IFERROR(IF(VLOOKUP($B1059,Показатели!$E:$W,4,FALSE)=0,"",VLOOKUP($B1059,Показатели!$E:$W,4,FALSE)),"")</f>
        <v>7937000000</v>
      </c>
      <c r="H1059">
        <f>IFERROR(IF(VLOOKUP($B1059,Показатели!$E:$W,5,FALSE)=0,"",VLOOKUP($B1059,Показатели!$E:$W,5,FALSE)),"")</f>
        <v>34020000000</v>
      </c>
      <c r="I1059">
        <f>IFERROR(IF(VLOOKUP($B1059,Показатели!$E:$W,6,FALSE)=0,"",VLOOKUP($B1059,Показатели!$E:$W,6,FALSE)),"")</f>
        <v>961122000000</v>
      </c>
      <c r="J1059">
        <f>IFERROR(IF(VLOOKUP($B1059,Показатели!$E:$W,7,FALSE)=0,"",VLOOKUP($B1059,Показатели!$E:$W,7,FALSE)),"")</f>
        <v>350957000000</v>
      </c>
      <c r="K1059">
        <f>IFERROR(IF(VLOOKUP($B1059,Показатели!$E:$W,8,FALSE)=0,"",VLOOKUP($B1059,Показатели!$E:$W,8,FALSE)),"")</f>
        <v>557531000000</v>
      </c>
      <c r="L1059">
        <f>IFERROR(IF(VLOOKUP($B1059,Показатели!$E:$W,9,FALSE)=0,"",VLOOKUP($B1059,Показатели!$E:$W,9,FALSE)),"")</f>
        <v>26267000000</v>
      </c>
      <c r="M1059">
        <f>IFERROR(IF(VLOOKUP($B1059,Показатели!$E:$W,10,FALSE)=0,"",VLOOKUP($B1059,Показатели!$E:$W,10,FALSE)),"")</f>
        <v>52634000000</v>
      </c>
      <c r="N1059">
        <f>IFERROR(IF(VLOOKUP($B1059,Показатели!$E:$W,11,FALSE)=0,"",VLOOKUP($B1059,Показатели!$E:$W,11,FALSE)),"")</f>
        <v>339056000000</v>
      </c>
      <c r="O1059">
        <f>IFERROR(IF(VLOOKUP($B1059,Показатели!$E:$W,12,FALSE)=0,"",VLOOKUP($B1059,Показатели!$E:$W,12,FALSE)),"")</f>
        <v>81309000000</v>
      </c>
      <c r="P1059">
        <f>IFERROR(IF(VLOOKUP($B1059,Показатели!$E:$W,13,FALSE)=0,"",VLOOKUP($B1059,Показатели!$E:$W,13,FALSE)),"")</f>
        <v>8638000000</v>
      </c>
      <c r="Q1059">
        <f>IFERROR(IF(VLOOKUP($B1059,Показатели!$E:$W,14,FALSE)=0,"",VLOOKUP($B1059,Показатели!$E:$W,14,FALSE)),"")</f>
        <v>8158000000</v>
      </c>
      <c r="R1059">
        <f>IFERROR(IF(VLOOKUP($B1059,Показатели!$E:$W,15,FALSE)=0,"",VLOOKUP($B1059,Показатели!$E:$W,15,FALSE)),"")</f>
        <v>2295000000</v>
      </c>
      <c r="S1059">
        <f>IFERROR(IF(VLOOKUP($B1059,Показатели!$E:$W,16,FALSE)=0,"",VLOOKUP($B1059,Показатели!$E:$W,16,FALSE)),"")</f>
        <v>109182000000</v>
      </c>
      <c r="T1059">
        <f>IFERROR(IF(VLOOKUP($B1059,Показатели!$E:$W,17,FALSE)=0,"",VLOOKUP($B1059,Показатели!$E:$W,17,FALSE)),"")</f>
        <v>-10591000000</v>
      </c>
      <c r="U1059">
        <f>IFERROR(IF(VLOOKUP($B1059,Показатели!$E:$W,18,FALSE)=0,"",VLOOKUP($B1059,Показатели!$E:$W,18,FALSE)),"")</f>
        <v>256118000000</v>
      </c>
      <c r="V1059">
        <f>IFERROR(IF(VLOOKUP($B1059,Показатели!$E:$W,19,FALSE)=0,"",VLOOKUP($B1059,Показатели!$E:$W,19,FALSE)),"")</f>
        <v>745809000000</v>
      </c>
    </row>
    <row r="1060" spans="1:22" x14ac:dyDescent="0.2">
      <c r="A1060" s="7" t="s">
        <v>2311</v>
      </c>
      <c r="B1060" t="str">
        <f t="shared" si="16"/>
        <v>SMLT IV кв. 2023</v>
      </c>
      <c r="C1060">
        <v>2023</v>
      </c>
      <c r="D1060">
        <f>SUMIFS(Дивиденды!$C:$C,Дивиденды!$A:$A,A1060,Дивиденды!$I:$I,C1060)</f>
        <v>0</v>
      </c>
      <c r="E1060">
        <f>IFERROR(IF(VLOOKUP($B1060,Показатели!$E:$W,2,FALSE)=0,"",VLOOKUP($B1060,Показатели!$E:$W,2,FALSE)),"")</f>
        <v>21824000000</v>
      </c>
      <c r="F1060">
        <f>IFERROR(IF(VLOOKUP($B1060,Показатели!$E:$W,3,FALSE)=0,"",VLOOKUP($B1060,Показатели!$E:$W,3,FALSE)),"")</f>
        <v>678232000000</v>
      </c>
      <c r="G1060">
        <f>IFERROR(IF(VLOOKUP($B1060,Показатели!$E:$W,4,FALSE)=0,"",VLOOKUP($B1060,Показатели!$E:$W,4,FALSE)),"")</f>
        <v>3119000000</v>
      </c>
      <c r="H1060">
        <f>IFERROR(IF(VLOOKUP($B1060,Показатели!$E:$W,5,FALSE)=0,"",VLOOKUP($B1060,Показатели!$E:$W,5,FALSE)),"")</f>
        <v>27431000000</v>
      </c>
      <c r="I1060">
        <f>IFERROR(IF(VLOOKUP($B1060,Показатели!$E:$W,6,FALSE)=0,"",VLOOKUP($B1060,Показатели!$E:$W,6,FALSE)),"")</f>
        <v>745809000000</v>
      </c>
      <c r="J1060">
        <f>IFERROR(IF(VLOOKUP($B1060,Показатели!$E:$W,7,FALSE)=0,"",VLOOKUP($B1060,Показатели!$E:$W,7,FALSE)),"")</f>
        <v>248012000000</v>
      </c>
      <c r="K1060">
        <f>IFERROR(IF(VLOOKUP($B1060,Показатели!$E:$W,8,FALSE)=0,"",VLOOKUP($B1060,Показатели!$E:$W,8,FALSE)),"")</f>
        <v>461458000000</v>
      </c>
      <c r="L1060">
        <f>IFERROR(IF(VLOOKUP($B1060,Показатели!$E:$W,9,FALSE)=0,"",VLOOKUP($B1060,Показатели!$E:$W,9,FALSE)),"")</f>
        <v>14418000000</v>
      </c>
      <c r="M1060">
        <f>IFERROR(IF(VLOOKUP($B1060,Показатели!$E:$W,10,FALSE)=0,"",VLOOKUP($B1060,Показатели!$E:$W,10,FALSE)),"")</f>
        <v>36339000000</v>
      </c>
      <c r="N1060">
        <f>IFERROR(IF(VLOOKUP($B1060,Показатели!$E:$W,11,FALSE)=0,"",VLOOKUP($B1060,Показатели!$E:$W,11,FALSE)),"")</f>
        <v>256118000000</v>
      </c>
      <c r="O1060">
        <f>IFERROR(IF(VLOOKUP($B1060,Показатели!$E:$W,12,FALSE)=0,"",VLOOKUP($B1060,Показатели!$E:$W,12,FALSE)),"")</f>
        <v>71319000000</v>
      </c>
      <c r="P1060">
        <f>IFERROR(IF(VLOOKUP($B1060,Показатели!$E:$W,13,FALSE)=0,"",VLOOKUP($B1060,Показатели!$E:$W,13,FALSE)),"")</f>
        <v>33066000000</v>
      </c>
      <c r="Q1060">
        <f>IFERROR(IF(VLOOKUP($B1060,Показатели!$E:$W,14,FALSE)=0,"",VLOOKUP($B1060,Показатели!$E:$W,14,FALSE)),"")</f>
        <v>26098000000</v>
      </c>
      <c r="R1060">
        <f>IFERROR(IF(VLOOKUP($B1060,Показатели!$E:$W,15,FALSE)=0,"",VLOOKUP($B1060,Показатели!$E:$W,15,FALSE)),"")</f>
        <v>783000000</v>
      </c>
      <c r="S1060">
        <f>IFERROR(IF(VLOOKUP($B1060,Показатели!$E:$W,16,FALSE)=0,"",VLOOKUP($B1060,Показатели!$E:$W,16,FALSE)),"")</f>
        <v>91476000000</v>
      </c>
      <c r="T1060">
        <f>IFERROR(IF(VLOOKUP($B1060,Показатели!$E:$W,17,FALSE)=0,"",VLOOKUP($B1060,Показатели!$E:$W,17,FALSE)),"")</f>
        <v>-8586000000</v>
      </c>
      <c r="U1060">
        <f>IFERROR(IF(VLOOKUP($B1060,Показатели!$E:$W,18,FALSE)=0,"",VLOOKUP($B1060,Показатели!$E:$W,18,FALSE)),"")</f>
        <v>172210000000</v>
      </c>
      <c r="V1060">
        <f>IFERROR(IF(VLOOKUP($B1060,Показатели!$E:$W,19,FALSE)=0,"",VLOOKUP($B1060,Показатели!$E:$W,19,FALSE)),"")</f>
        <v>409780000000</v>
      </c>
    </row>
    <row r="1061" spans="1:22" x14ac:dyDescent="0.2">
      <c r="A1061" s="7" t="s">
        <v>2311</v>
      </c>
      <c r="B1061" t="str">
        <f t="shared" si="16"/>
        <v>SMLT IV кв. 2022</v>
      </c>
      <c r="C1061">
        <v>2022</v>
      </c>
      <c r="D1061">
        <f>SUMIFS(Дивиденды!$C:$C,Дивиденды!$A:$A,A1061,Дивиденды!$I:$I,C1061)</f>
        <v>82</v>
      </c>
      <c r="E1061">
        <f>IFERROR(IF(VLOOKUP($B1061,Показатели!$E:$W,2,FALSE)=0,"",VLOOKUP($B1061,Показатели!$E:$W,2,FALSE)),"")</f>
        <v>9864000000</v>
      </c>
      <c r="F1061">
        <f>IFERROR(IF(VLOOKUP($B1061,Показатели!$E:$W,3,FALSE)=0,"",VLOOKUP($B1061,Показатели!$E:$W,3,FALSE)),"")</f>
        <v>361690000000</v>
      </c>
      <c r="G1061">
        <f>IFERROR(IF(VLOOKUP($B1061,Показатели!$E:$W,4,FALSE)=0,"",VLOOKUP($B1061,Показатели!$E:$W,4,FALSE)),"")</f>
        <v>1858000000</v>
      </c>
      <c r="H1061">
        <f>IFERROR(IF(VLOOKUP($B1061,Показатели!$E:$W,5,FALSE)=0,"",VLOOKUP($B1061,Показатели!$E:$W,5,FALSE)),"")</f>
        <v>22566000000</v>
      </c>
      <c r="I1061">
        <f>IFERROR(IF(VLOOKUP($B1061,Показатели!$E:$W,6,FALSE)=0,"",VLOOKUP($B1061,Показатели!$E:$W,6,FALSE)),"")</f>
        <v>409780000000</v>
      </c>
      <c r="J1061">
        <f>IFERROR(IF(VLOOKUP($B1061,Показатели!$E:$W,7,FALSE)=0,"",VLOOKUP($B1061,Показатели!$E:$W,7,FALSE)),"")</f>
        <v>145475000000</v>
      </c>
      <c r="K1061">
        <f>IFERROR(IF(VLOOKUP($B1061,Показатели!$E:$W,8,FALSE)=0,"",VLOOKUP($B1061,Показатели!$E:$W,8,FALSE)),"")</f>
        <v>237205000000</v>
      </c>
      <c r="L1061">
        <f>IFERROR(IF(VLOOKUP($B1061,Показатели!$E:$W,9,FALSE)=0,"",VLOOKUP($B1061,Показатели!$E:$W,9,FALSE)),"")</f>
        <v>14919000000</v>
      </c>
      <c r="M1061">
        <f>IFERROR(IF(VLOOKUP($B1061,Показатели!$E:$W,10,FALSE)=0,"",VLOOKUP($B1061,Показатели!$E:$W,10,FALSE)),"")</f>
        <v>27100000000</v>
      </c>
      <c r="N1061">
        <f>IFERROR(IF(VLOOKUP($B1061,Показатели!$E:$W,11,FALSE)=0,"",VLOOKUP($B1061,Показатели!$E:$W,11,FALSE)),"")</f>
        <v>172210000000</v>
      </c>
      <c r="O1061">
        <f>IFERROR(IF(VLOOKUP($B1061,Показатели!$E:$W,12,FALSE)=0,"",VLOOKUP($B1061,Показатели!$E:$W,12,FALSE)),"")</f>
        <v>40087000000</v>
      </c>
      <c r="P1061">
        <f>IFERROR(IF(VLOOKUP($B1061,Показатели!$E:$W,13,FALSE)=0,"",VLOOKUP($B1061,Показатели!$E:$W,13,FALSE)),"")</f>
        <v>19257000000</v>
      </c>
      <c r="Q1061">
        <f>IFERROR(IF(VLOOKUP($B1061,Показатели!$E:$W,14,FALSE)=0,"",VLOOKUP($B1061,Показатели!$E:$W,14,FALSE)),"")</f>
        <v>15283000000</v>
      </c>
      <c r="R1061">
        <f>IFERROR(IF(VLOOKUP($B1061,Показатели!$E:$W,15,FALSE)=0,"",VLOOKUP($B1061,Показатели!$E:$W,15,FALSE)),"")</f>
        <v>791000000</v>
      </c>
      <c r="S1061">
        <f>IFERROR(IF(VLOOKUP($B1061,Показатели!$E:$W,16,FALSE)=0,"",VLOOKUP($B1061,Показатели!$E:$W,16,FALSE)),"")</f>
        <v>48232000000</v>
      </c>
      <c r="T1061">
        <f>IFERROR(IF(VLOOKUP($B1061,Показатели!$E:$W,17,FALSE)=0,"",VLOOKUP($B1061,Показатели!$E:$W,17,FALSE)),"")</f>
        <v>-1173000000</v>
      </c>
      <c r="U1061">
        <f>IFERROR(IF(VLOOKUP($B1061,Показатели!$E:$W,18,FALSE)=0,"",VLOOKUP($B1061,Показатели!$E:$W,18,FALSE)),"")</f>
        <v>93014000000</v>
      </c>
      <c r="V1061">
        <f>IFERROR(IF(VLOOKUP($B1061,Показатели!$E:$W,19,FALSE)=0,"",VLOOKUP($B1061,Показатели!$E:$W,19,FALSE)),"")</f>
        <v>207142000000</v>
      </c>
    </row>
    <row r="1062" spans="1:22" x14ac:dyDescent="0.2">
      <c r="A1062" s="7" t="s">
        <v>2311</v>
      </c>
      <c r="B1062" t="str">
        <f t="shared" si="16"/>
        <v>SMLT IV кв. 2021</v>
      </c>
      <c r="C1062">
        <v>2021</v>
      </c>
      <c r="D1062">
        <f>SUMIFS(Дивиденды!$C:$C,Дивиденды!$A:$A,A1062,Дивиденды!$I:$I,C1062)</f>
        <v>41</v>
      </c>
      <c r="E1062">
        <f>IFERROR(IF(VLOOKUP($B1062,Показатели!$E:$W,2,FALSE)=0,"",VLOOKUP($B1062,Показатели!$E:$W,2,FALSE)),"")</f>
        <v>3736000000</v>
      </c>
      <c r="F1062">
        <f>IFERROR(IF(VLOOKUP($B1062,Показатели!$E:$W,3,FALSE)=0,"",VLOOKUP($B1062,Показатели!$E:$W,3,FALSE)),"")</f>
        <v>186894000000</v>
      </c>
      <c r="G1062">
        <f>IFERROR(IF(VLOOKUP($B1062,Показатели!$E:$W,4,FALSE)=0,"",VLOOKUP($B1062,Показатели!$E:$W,4,FALSE)),"")</f>
        <v>1105000000</v>
      </c>
      <c r="H1062">
        <f>IFERROR(IF(VLOOKUP($B1062,Показатели!$E:$W,5,FALSE)=0,"",VLOOKUP($B1062,Показатели!$E:$W,5,FALSE)),"")</f>
        <v>1027000000</v>
      </c>
      <c r="I1062">
        <f>IFERROR(IF(VLOOKUP($B1062,Показатели!$E:$W,6,FALSE)=0,"",VLOOKUP($B1062,Показатели!$E:$W,6,FALSE)),"")</f>
        <v>207142000000</v>
      </c>
      <c r="J1062">
        <f>IFERROR(IF(VLOOKUP($B1062,Показатели!$E:$W,7,FALSE)=0,"",VLOOKUP($B1062,Показатели!$E:$W,7,FALSE)),"")</f>
        <v>84833000000</v>
      </c>
      <c r="K1062">
        <f>IFERROR(IF(VLOOKUP($B1062,Показатели!$E:$W,8,FALSE)=0,"",VLOOKUP($B1062,Показатели!$E:$W,8,FALSE)),"")</f>
        <v>105902000000</v>
      </c>
      <c r="L1062">
        <f>IFERROR(IF(VLOOKUP($B1062,Показатели!$E:$W,9,FALSE)=0,"",VLOOKUP($B1062,Показатели!$E:$W,9,FALSE)),"")</f>
        <v>7802000000</v>
      </c>
      <c r="M1062">
        <f>IFERROR(IF(VLOOKUP($B1062,Показатели!$E:$W,10,FALSE)=0,"",VLOOKUP($B1062,Показатели!$E:$W,10,FALSE)),"")</f>
        <v>16406000000</v>
      </c>
      <c r="N1062">
        <f>IFERROR(IF(VLOOKUP($B1062,Показатели!$E:$W,11,FALSE)=0,"",VLOOKUP($B1062,Показатели!$E:$W,11,FALSE)),"")</f>
        <v>93014000000</v>
      </c>
      <c r="O1062">
        <f>IFERROR(IF(VLOOKUP($B1062,Показатели!$E:$W,12,FALSE)=0,"",VLOOKUP($B1062,Показатели!$E:$W,12,FALSE)),"")</f>
        <v>17840000000</v>
      </c>
      <c r="P1062">
        <f>IFERROR(IF(VLOOKUP($B1062,Показатели!$E:$W,13,FALSE)=0,"",VLOOKUP($B1062,Показатели!$E:$W,13,FALSE)),"")</f>
        <v>10830000000</v>
      </c>
      <c r="Q1062">
        <f>IFERROR(IF(VLOOKUP($B1062,Показатели!$E:$W,14,FALSE)=0,"",VLOOKUP($B1062,Показатели!$E:$W,14,FALSE)),"")</f>
        <v>8423000000</v>
      </c>
      <c r="R1062">
        <f>IFERROR(IF(VLOOKUP($B1062,Показатели!$E:$W,15,FALSE)=0,"",VLOOKUP($B1062,Показатели!$E:$W,15,FALSE)),"")</f>
        <v>325000000</v>
      </c>
      <c r="S1062">
        <f>IFERROR(IF(VLOOKUP($B1062,Показатели!$E:$W,16,FALSE)=0,"",VLOOKUP($B1062,Показатели!$E:$W,16,FALSE)),"")</f>
        <v>23138000000</v>
      </c>
      <c r="T1062">
        <f>IFERROR(IF(VLOOKUP($B1062,Показатели!$E:$W,17,FALSE)=0,"",VLOOKUP($B1062,Показатели!$E:$W,17,FALSE)),"")</f>
        <v>-2380000000</v>
      </c>
      <c r="U1062">
        <f>IFERROR(IF(VLOOKUP($B1062,Показатели!$E:$W,18,FALSE)=0,"",VLOOKUP($B1062,Показатели!$E:$W,18,FALSE)),"")</f>
        <v>60182786000</v>
      </c>
      <c r="V1062">
        <f>IFERROR(IF(VLOOKUP($B1062,Показатели!$E:$W,19,FALSE)=0,"",VLOOKUP($B1062,Показатели!$E:$W,19,FALSE)),"")</f>
        <v>96032271000</v>
      </c>
    </row>
    <row r="1063" spans="1:22" x14ac:dyDescent="0.2">
      <c r="A1063" s="7" t="s">
        <v>2311</v>
      </c>
      <c r="B1063" t="str">
        <f t="shared" si="16"/>
        <v>SMLT IV кв. 2020</v>
      </c>
      <c r="C1063">
        <v>2020</v>
      </c>
      <c r="D1063">
        <f>SUMIFS(Дивиденды!$C:$C,Дивиденды!$A:$A,A1063,Дивиденды!$I:$I,C1063)</f>
        <v>41</v>
      </c>
      <c r="E1063">
        <f>IFERROR(IF(VLOOKUP($B1063,Показатели!$E:$W,2,FALSE)=0,"",VLOOKUP($B1063,Показатели!$E:$W,2,FALSE)),"")</f>
        <v>4627740000</v>
      </c>
      <c r="F1063">
        <f>IFERROR(IF(VLOOKUP($B1063,Показатели!$E:$W,3,FALSE)=0,"",VLOOKUP($B1063,Показатели!$E:$W,3,FALSE)),"")</f>
        <v>80346959000</v>
      </c>
      <c r="G1063">
        <f>IFERROR(IF(VLOOKUP($B1063,Показатели!$E:$W,4,FALSE)=0,"",VLOOKUP($B1063,Показатели!$E:$W,4,FALSE)),"")</f>
        <v>1054420000</v>
      </c>
      <c r="H1063">
        <f>IFERROR(IF(VLOOKUP($B1063,Показатели!$E:$W,5,FALSE)=0,"",VLOOKUP($B1063,Показатели!$E:$W,5,FALSE)),"")</f>
        <v>175600000</v>
      </c>
      <c r="I1063">
        <f>IFERROR(IF(VLOOKUP($B1063,Показатели!$E:$W,6,FALSE)=0,"",VLOOKUP($B1063,Показатели!$E:$W,6,FALSE)),"")</f>
        <v>96032271000</v>
      </c>
      <c r="J1063">
        <f>IFERROR(IF(VLOOKUP($B1063,Показатели!$E:$W,7,FALSE)=0,"",VLOOKUP($B1063,Показатели!$E:$W,7,FALSE)),"")</f>
        <v>58121591000</v>
      </c>
      <c r="K1063">
        <f>IFERROR(IF(VLOOKUP($B1063,Показатели!$E:$W,8,FALSE)=0,"",VLOOKUP($B1063,Показатели!$E:$W,8,FALSE)),"")</f>
        <v>27667928000</v>
      </c>
      <c r="L1063">
        <f>IFERROR(IF(VLOOKUP($B1063,Показатели!$E:$W,9,FALSE)=0,"",VLOOKUP($B1063,Показатели!$E:$W,9,FALSE)),"")</f>
        <v>6206700000</v>
      </c>
      <c r="M1063">
        <f>IFERROR(IF(VLOOKUP($B1063,Показатели!$E:$W,10,FALSE)=0,"",VLOOKUP($B1063,Показатели!$E:$W,10,FALSE)),"")</f>
        <v>10242752000</v>
      </c>
      <c r="N1063">
        <f>IFERROR(IF(VLOOKUP($B1063,Показатели!$E:$W,11,FALSE)=0,"",VLOOKUP($B1063,Показатели!$E:$W,11,FALSE)),"")</f>
        <v>60182786000</v>
      </c>
      <c r="O1063">
        <f>IFERROR(IF(VLOOKUP($B1063,Показатели!$E:$W,12,FALSE)=0,"",VLOOKUP($B1063,Показатели!$E:$W,12,FALSE)),"")</f>
        <v>8647002000</v>
      </c>
      <c r="P1063">
        <f>IFERROR(IF(VLOOKUP($B1063,Показатели!$E:$W,13,FALSE)=0,"",VLOOKUP($B1063,Показатели!$E:$W,13,FALSE)),"")</f>
        <v>5744972000</v>
      </c>
      <c r="Q1063">
        <f>IFERROR(IF(VLOOKUP($B1063,Показатели!$E:$W,14,FALSE)=0,"",VLOOKUP($B1063,Показатели!$E:$W,14,FALSE)),"")</f>
        <v>4464016000</v>
      </c>
      <c r="R1063">
        <f>IFERROR(IF(VLOOKUP($B1063,Показатели!$E:$W,15,FALSE)=0,"",VLOOKUP($B1063,Показатели!$E:$W,15,FALSE)),"")</f>
        <v>344969000</v>
      </c>
      <c r="S1063">
        <f>IFERROR(IF(VLOOKUP($B1063,Показатели!$E:$W,16,FALSE)=0,"",VLOOKUP($B1063,Показатели!$E:$W,16,FALSE)),"")</f>
        <v>11650739000</v>
      </c>
      <c r="T1063">
        <f>IFERROR(IF(VLOOKUP($B1063,Показатели!$E:$W,17,FALSE)=0,"",VLOOKUP($B1063,Показатели!$E:$W,17,FALSE)),"")</f>
        <v>-329435000</v>
      </c>
      <c r="U1063">
        <f>IFERROR(IF(VLOOKUP($B1063,Показатели!$E:$W,18,FALSE)=0,"",VLOOKUP($B1063,Показатели!$E:$W,18,FALSE)),"")</f>
        <v>51145124000</v>
      </c>
      <c r="V1063">
        <f>IFERROR(IF(VLOOKUP($B1063,Показатели!$E:$W,19,FALSE)=0,"",VLOOKUP($B1063,Показатели!$E:$W,19,FALSE)),"")</f>
        <v>78440148000</v>
      </c>
    </row>
    <row r="1064" spans="1:22" x14ac:dyDescent="0.2">
      <c r="A1064" s="7" t="s">
        <v>2311</v>
      </c>
      <c r="B1064" t="str">
        <f t="shared" si="16"/>
        <v>SMLT IV кв. 2019</v>
      </c>
      <c r="C1064">
        <v>2019</v>
      </c>
      <c r="D1064">
        <f>SUMIFS(Дивиденды!$C:$C,Дивиденды!$A:$A,A1064,Дивиденды!$I:$I,C1064)</f>
        <v>0</v>
      </c>
      <c r="E1064">
        <f>IFERROR(IF(VLOOKUP($B1064,Показатели!$E:$W,2,FALSE)=0,"",VLOOKUP($B1064,Показатели!$E:$W,2,FALSE)),"")</f>
        <v>4012350000</v>
      </c>
      <c r="F1064">
        <f>IFERROR(IF(VLOOKUP($B1064,Показатели!$E:$W,3,FALSE)=0,"",VLOOKUP($B1064,Показатели!$E:$W,3,FALSE)),"")</f>
        <v>66067409000</v>
      </c>
      <c r="G1064">
        <f>IFERROR(IF(VLOOKUP($B1064,Показатели!$E:$W,4,FALSE)=0,"",VLOOKUP($B1064,Показатели!$E:$W,4,FALSE)),"")</f>
        <v>736720000</v>
      </c>
      <c r="H1064">
        <f>IFERROR(IF(VLOOKUP($B1064,Показатели!$E:$W,5,FALSE)=0,"",VLOOKUP($B1064,Показатели!$E:$W,5,FALSE)),"")</f>
        <v>82119000</v>
      </c>
      <c r="I1064">
        <f>IFERROR(IF(VLOOKUP($B1064,Показатели!$E:$W,6,FALSE)=0,"",VLOOKUP($B1064,Показатели!$E:$W,6,FALSE)),"")</f>
        <v>78440148000</v>
      </c>
      <c r="J1064">
        <f>IFERROR(IF(VLOOKUP($B1064,Показатели!$E:$W,7,FALSE)=0,"",VLOOKUP($B1064,Показатели!$E:$W,7,FALSE)),"")</f>
        <v>53306182000</v>
      </c>
      <c r="K1064">
        <f>IFERROR(IF(VLOOKUP($B1064,Показатели!$E:$W,8,FALSE)=0,"",VLOOKUP($B1064,Показатели!$E:$W,8,FALSE)),"")</f>
        <v>19511020000</v>
      </c>
      <c r="L1064">
        <f>IFERROR(IF(VLOOKUP($B1064,Показатели!$E:$W,9,FALSE)=0,"",VLOOKUP($B1064,Показатели!$E:$W,9,FALSE)),"")</f>
        <v>3078181000</v>
      </c>
      <c r="M1064">
        <f>IFERROR(IF(VLOOKUP($B1064,Показатели!$E:$W,10,FALSE)=0,"",VLOOKUP($B1064,Показатели!$E:$W,10,FALSE)),"")</f>
        <v>5622946000</v>
      </c>
      <c r="N1064">
        <f>IFERROR(IF(VLOOKUP($B1064,Показатели!$E:$W,11,FALSE)=0,"",VLOOKUP($B1064,Показатели!$E:$W,11,FALSE)),"")</f>
        <v>51145124000</v>
      </c>
      <c r="O1064">
        <f>IFERROR(IF(VLOOKUP($B1064,Показатели!$E:$W,12,FALSE)=0,"",VLOOKUP($B1064,Показатели!$E:$W,12,FALSE)),"")</f>
        <v>5052213000</v>
      </c>
      <c r="P1064">
        <f>IFERROR(IF(VLOOKUP($B1064,Показатели!$E:$W,13,FALSE)=0,"",VLOOKUP($B1064,Показатели!$E:$W,13,FALSE)),"")</f>
        <v>1181124000</v>
      </c>
      <c r="Q1064">
        <f>IFERROR(IF(VLOOKUP($B1064,Показатели!$E:$W,14,FALSE)=0,"",VLOOKUP($B1064,Показатели!$E:$W,14,FALSE)),"")</f>
        <v>864301000</v>
      </c>
      <c r="R1064">
        <f>IFERROR(IF(VLOOKUP($B1064,Показатели!$E:$W,15,FALSE)=0,"",VLOOKUP($B1064,Показатели!$E:$W,15,FALSE)),"")</f>
        <v>302393000</v>
      </c>
      <c r="S1064">
        <f>IFERROR(IF(VLOOKUP($B1064,Показатели!$E:$W,16,FALSE)=0,"",VLOOKUP($B1064,Показатели!$E:$W,16,FALSE)),"")</f>
        <v>7521348000</v>
      </c>
      <c r="T1064">
        <f>IFERROR(IF(VLOOKUP($B1064,Показатели!$E:$W,17,FALSE)=0,"",VLOOKUP($B1064,Показатели!$E:$W,17,FALSE)),"")</f>
        <v>-271033000</v>
      </c>
      <c r="U1064">
        <f>IFERROR(IF(VLOOKUP($B1064,Показатели!$E:$W,18,FALSE)=0,"",VLOOKUP($B1064,Показатели!$E:$W,18,FALSE)),"")</f>
        <v>38717495000</v>
      </c>
      <c r="V1064">
        <f>IFERROR(IF(VLOOKUP($B1064,Показатели!$E:$W,19,FALSE)=0,"",VLOOKUP($B1064,Показатели!$E:$W,19,FALSE)),"")</f>
        <v>62928862000</v>
      </c>
    </row>
    <row r="1065" spans="1:22" x14ac:dyDescent="0.2">
      <c r="A1065" s="7" t="s">
        <v>2311</v>
      </c>
      <c r="B1065" t="str">
        <f t="shared" si="16"/>
        <v>SMLT IV кв. 2018</v>
      </c>
      <c r="C1065">
        <v>2018</v>
      </c>
      <c r="D1065">
        <f>SUMIFS(Дивиденды!$C:$C,Дивиденды!$A:$A,A1065,Дивиденды!$I:$I,C1065)</f>
        <v>0</v>
      </c>
      <c r="E1065">
        <f>IFERROR(IF(VLOOKUP($B1065,Показатели!$E:$W,2,FALSE)=0,"",VLOOKUP($B1065,Показатели!$E:$W,2,FALSE)),"")</f>
        <v>2976545000</v>
      </c>
      <c r="F1065">
        <f>IFERROR(IF(VLOOKUP($B1065,Показатели!$E:$W,3,FALSE)=0,"",VLOOKUP($B1065,Показатели!$E:$W,3,FALSE)),"")</f>
        <v>58829786000</v>
      </c>
      <c r="G1065">
        <f>IFERROR(IF(VLOOKUP($B1065,Показатели!$E:$W,4,FALSE)=0,"",VLOOKUP($B1065,Показатели!$E:$W,4,FALSE)),"")</f>
        <v>159226000</v>
      </c>
      <c r="H1065">
        <f>IFERROR(IF(VLOOKUP($B1065,Показатели!$E:$W,5,FALSE)=0,"",VLOOKUP($B1065,Показатели!$E:$W,5,FALSE)),"")</f>
        <v>83404000</v>
      </c>
      <c r="I1065">
        <f>IFERROR(IF(VLOOKUP($B1065,Показатели!$E:$W,6,FALSE)=0,"",VLOOKUP($B1065,Показатели!$E:$W,6,FALSE)),"")</f>
        <v>62928862000</v>
      </c>
      <c r="J1065">
        <f>IFERROR(IF(VLOOKUP($B1065,Показатели!$E:$W,7,FALSE)=0,"",VLOOKUP($B1065,Показатели!$E:$W,7,FALSE)),"")</f>
        <v>43201896000</v>
      </c>
      <c r="K1065">
        <f>IFERROR(IF(VLOOKUP($B1065,Показатели!$E:$W,8,FALSE)=0,"",VLOOKUP($B1065,Показатели!$E:$W,8,FALSE)),"")</f>
        <v>13466040000</v>
      </c>
      <c r="L1065">
        <f>IFERROR(IF(VLOOKUP($B1065,Показатели!$E:$W,9,FALSE)=0,"",VLOOKUP($B1065,Показатели!$E:$W,9,FALSE)),"")</f>
        <v>4760916000</v>
      </c>
      <c r="M1065">
        <f>IFERROR(IF(VLOOKUP($B1065,Показатели!$E:$W,10,FALSE)=0,"",VLOOKUP($B1065,Показатели!$E:$W,10,FALSE)),"")</f>
        <v>6260926000</v>
      </c>
      <c r="N1065">
        <f>IFERROR(IF(VLOOKUP($B1065,Показатели!$E:$W,11,FALSE)=0,"",VLOOKUP($B1065,Показатели!$E:$W,11,FALSE)),"")</f>
        <v>38717495000</v>
      </c>
      <c r="O1065">
        <f>IFERROR(IF(VLOOKUP($B1065,Показатели!$E:$W,12,FALSE)=0,"",VLOOKUP($B1065,Показатели!$E:$W,12,FALSE)),"")</f>
        <v>3389578000</v>
      </c>
      <c r="P1065">
        <f>IFERROR(IF(VLOOKUP($B1065,Показатели!$E:$W,13,FALSE)=0,"",VLOOKUP($B1065,Показатели!$E:$W,13,FALSE)),"")</f>
        <v>4003979000</v>
      </c>
      <c r="Q1065">
        <f>IFERROR(IF(VLOOKUP($B1065,Показатели!$E:$W,14,FALSE)=0,"",VLOOKUP($B1065,Показатели!$E:$W,14,FALSE)),"")</f>
        <v>3142206000</v>
      </c>
      <c r="R1065">
        <f>IFERROR(IF(VLOOKUP($B1065,Показатели!$E:$W,15,FALSE)=0,"",VLOOKUP($B1065,Показатели!$E:$W,15,FALSE)),"")</f>
        <v>85420000</v>
      </c>
      <c r="S1065">
        <f>IFERROR(IF(VLOOKUP($B1065,Показатели!$E:$W,16,FALSE)=0,"",VLOOKUP($B1065,Показатели!$E:$W,16,FALSE)),"")</f>
        <v>5223657000</v>
      </c>
      <c r="T1065" t="str">
        <f>IFERROR(IF(VLOOKUP($B1065,Показатели!$E:$W,17,FALSE)=0,"",VLOOKUP($B1065,Показатели!$E:$W,17,FALSE)),"")</f>
        <v/>
      </c>
      <c r="U1065">
        <f>IFERROR(IF(VLOOKUP($B1065,Показатели!$E:$W,18,FALSE)=0,"",VLOOKUP($B1065,Показатели!$E:$W,18,FALSE)),"")</f>
        <v>41872266000</v>
      </c>
      <c r="V1065">
        <f>IFERROR(IF(VLOOKUP($B1065,Показатели!$E:$W,19,FALSE)=0,"",VLOOKUP($B1065,Показатели!$E:$W,19,FALSE)),"")</f>
        <v>48852925000</v>
      </c>
    </row>
    <row r="1066" spans="1:22" x14ac:dyDescent="0.2">
      <c r="A1066" s="7" t="s">
        <v>2311</v>
      </c>
      <c r="B1066" t="str">
        <f t="shared" si="16"/>
        <v>SMLT IV кв. 2017</v>
      </c>
      <c r="C1066">
        <v>2017</v>
      </c>
      <c r="D1066">
        <f>SUMIFS(Дивиденды!$C:$C,Дивиденды!$A:$A,A1066,Дивиденды!$I:$I,C1066)</f>
        <v>0</v>
      </c>
      <c r="E1066">
        <f>IFERROR(IF(VLOOKUP($B1066,Показатели!$E:$W,2,FALSE)=0,"",VLOOKUP($B1066,Показатели!$E:$W,2,FALSE)),"")</f>
        <v>3310147000</v>
      </c>
      <c r="F1066">
        <f>IFERROR(IF(VLOOKUP($B1066,Показатели!$E:$W,3,FALSE)=0,"",VLOOKUP($B1066,Показатели!$E:$W,3,FALSE)),"")</f>
        <v>43674514000</v>
      </c>
      <c r="G1066">
        <f>IFERROR(IF(VLOOKUP($B1066,Показатели!$E:$W,4,FALSE)=0,"",VLOOKUP($B1066,Показатели!$E:$W,4,FALSE)),"")</f>
        <v>271425000</v>
      </c>
      <c r="H1066">
        <f>IFERROR(IF(VLOOKUP($B1066,Показатели!$E:$W,5,FALSE)=0,"",VLOOKUP($B1066,Показатели!$E:$W,5,FALSE)),"")</f>
        <v>56867000</v>
      </c>
      <c r="I1066">
        <f>IFERROR(IF(VLOOKUP($B1066,Показатели!$E:$W,6,FALSE)=0,"",VLOOKUP($B1066,Показатели!$E:$W,6,FALSE)),"")</f>
        <v>48852925000</v>
      </c>
      <c r="J1066">
        <f>IFERROR(IF(VLOOKUP($B1066,Показатели!$E:$W,7,FALSE)=0,"",VLOOKUP($B1066,Показатели!$E:$W,7,FALSE)),"")</f>
        <v>27211539000</v>
      </c>
      <c r="K1066">
        <f>IFERROR(IF(VLOOKUP($B1066,Показатели!$E:$W,8,FALSE)=0,"",VLOOKUP($B1066,Показатели!$E:$W,8,FALSE)),"")</f>
        <v>17795361000</v>
      </c>
      <c r="L1066">
        <f>IFERROR(IF(VLOOKUP($B1066,Показатели!$E:$W,9,FALSE)=0,"",VLOOKUP($B1066,Показатели!$E:$W,9,FALSE)),"")</f>
        <v>2346015000</v>
      </c>
      <c r="M1066">
        <f>IFERROR(IF(VLOOKUP($B1066,Показатели!$E:$W,10,FALSE)=0,"",VLOOKUP($B1066,Показатели!$E:$W,10,FALSE)),"")</f>
        <v>3846025000</v>
      </c>
      <c r="N1066">
        <f>IFERROR(IF(VLOOKUP($B1066,Показатели!$E:$W,11,FALSE)=0,"",VLOOKUP($B1066,Показатели!$E:$W,11,FALSE)),"")</f>
        <v>41872266000</v>
      </c>
      <c r="O1066">
        <f>IFERROR(IF(VLOOKUP($B1066,Показатели!$E:$W,12,FALSE)=0,"",VLOOKUP($B1066,Показатели!$E:$W,12,FALSE)),"")</f>
        <v>3230306000</v>
      </c>
      <c r="P1066">
        <f>IFERROR(IF(VLOOKUP($B1066,Показатели!$E:$W,13,FALSE)=0,"",VLOOKUP($B1066,Показатели!$E:$W,13,FALSE)),"")</f>
        <v>4229609000</v>
      </c>
      <c r="Q1066">
        <f>IFERROR(IF(VLOOKUP($B1066,Показатели!$E:$W,14,FALSE)=0,"",VLOOKUP($B1066,Показатели!$E:$W,14,FALSE)),"")</f>
        <v>3407320000</v>
      </c>
      <c r="R1066">
        <f>IFERROR(IF(VLOOKUP($B1066,Показатели!$E:$W,15,FALSE)=0,"",VLOOKUP($B1066,Показатели!$E:$W,15,FALSE)),"")</f>
        <v>92141000</v>
      </c>
      <c r="S1066">
        <f>IFERROR(IF(VLOOKUP($B1066,Показатели!$E:$W,16,FALSE)=0,"",VLOOKUP($B1066,Показатели!$E:$W,16,FALSE)),"")</f>
        <v>8370063000</v>
      </c>
      <c r="T1066">
        <f>IFERROR(IF(VLOOKUP($B1066,Показатели!$E:$W,17,FALSE)=0,"",VLOOKUP($B1066,Показатели!$E:$W,17,FALSE)),"")</f>
        <v>-238403000</v>
      </c>
      <c r="U1066">
        <f>IFERROR(IF(VLOOKUP($B1066,Показатели!$E:$W,18,FALSE)=0,"",VLOOKUP($B1066,Показатели!$E:$W,18,FALSE)),"")</f>
        <v>24797371000</v>
      </c>
      <c r="V1066">
        <f>IFERROR(IF(VLOOKUP($B1066,Показатели!$E:$W,19,FALSE)=0,"",VLOOKUP($B1066,Показатели!$E:$W,19,FALSE)),"")</f>
        <v>34800400000</v>
      </c>
    </row>
    <row r="1067" spans="1:22" x14ac:dyDescent="0.2">
      <c r="A1067" s="7" t="s">
        <v>2311</v>
      </c>
      <c r="B1067" t="str">
        <f t="shared" si="16"/>
        <v>SMLT IV кв. 2016</v>
      </c>
      <c r="C1067">
        <v>2016</v>
      </c>
      <c r="D1067">
        <f>SUMIFS(Дивиденды!$C:$C,Дивиденды!$A:$A,A1067,Дивиденды!$I:$I,C1067)</f>
        <v>0</v>
      </c>
      <c r="E1067">
        <f>IFERROR(IF(VLOOKUP($B1067,Показатели!$E:$W,2,FALSE)=0,"",VLOOKUP($B1067,Показатели!$E:$W,2,FALSE)),"")</f>
        <v>2101117000</v>
      </c>
      <c r="F1067">
        <f>IFERROR(IF(VLOOKUP($B1067,Показатели!$E:$W,3,FALSE)=0,"",VLOOKUP($B1067,Показатели!$E:$W,3,FALSE)),"")</f>
        <v>33709005000</v>
      </c>
      <c r="G1067">
        <f>IFERROR(IF(VLOOKUP($B1067,Показатели!$E:$W,4,FALSE)=0,"",VLOOKUP($B1067,Показатели!$E:$W,4,FALSE)),"")</f>
        <v>134249000</v>
      </c>
      <c r="H1067" t="str">
        <f>IFERROR(IF(VLOOKUP($B1067,Показатели!$E:$W,5,FALSE)=0,"",VLOOKUP($B1067,Показатели!$E:$W,5,FALSE)),"")</f>
        <v/>
      </c>
      <c r="I1067">
        <f>IFERROR(IF(VLOOKUP($B1067,Показатели!$E:$W,6,FALSE)=0,"",VLOOKUP($B1067,Показатели!$E:$W,6,FALSE)),"")</f>
        <v>34800400000</v>
      </c>
      <c r="J1067">
        <f>IFERROR(IF(VLOOKUP($B1067,Показатели!$E:$W,7,FALSE)=0,"",VLOOKUP($B1067,Показатели!$E:$W,7,FALSE)),"")</f>
        <v>20724510000</v>
      </c>
      <c r="K1067">
        <f>IFERROR(IF(VLOOKUP($B1067,Показатели!$E:$W,8,FALSE)=0,"",VLOOKUP($B1067,Показатели!$E:$W,8,FALSE)),"")</f>
        <v>11316379000</v>
      </c>
      <c r="L1067">
        <f>IFERROR(IF(VLOOKUP($B1067,Показатели!$E:$W,9,FALSE)=0,"",VLOOKUP($B1067,Показатели!$E:$W,9,FALSE)),"")</f>
        <v>1259501000</v>
      </c>
      <c r="M1067">
        <f>IFERROR(IF(VLOOKUP($B1067,Показатели!$E:$W,10,FALSE)=0,"",VLOOKUP($B1067,Показатели!$E:$W,10,FALSE)),"")</f>
        <v>2759511000</v>
      </c>
      <c r="N1067">
        <f>IFERROR(IF(VLOOKUP($B1067,Показатели!$E:$W,11,FALSE)=0,"",VLOOKUP($B1067,Показатели!$E:$W,11,FALSE)),"")</f>
        <v>24797371000</v>
      </c>
      <c r="O1067">
        <f>IFERROR(IF(VLOOKUP($B1067,Показатели!$E:$W,12,FALSE)=0,"",VLOOKUP($B1067,Показатели!$E:$W,12,FALSE)),"")</f>
        <v>3226565000</v>
      </c>
      <c r="P1067">
        <f>IFERROR(IF(VLOOKUP($B1067,Показатели!$E:$W,13,FALSE)=0,"",VLOOKUP($B1067,Показатели!$E:$W,13,FALSE)),"")</f>
        <v>3317867000</v>
      </c>
      <c r="Q1067">
        <f>IFERROR(IF(VLOOKUP($B1067,Показатели!$E:$W,14,FALSE)=0,"",VLOOKUP($B1067,Показатели!$E:$W,14,FALSE)),"")</f>
        <v>2684280000</v>
      </c>
      <c r="R1067" t="str">
        <f>IFERROR(IF(VLOOKUP($B1067,Показатели!$E:$W,15,FALSE)=0,"",VLOOKUP($B1067,Показатели!$E:$W,15,FALSE)),"")</f>
        <v/>
      </c>
      <c r="S1067">
        <f>IFERROR(IF(VLOOKUP($B1067,Показатели!$E:$W,16,FALSE)=0,"",VLOOKUP($B1067,Показатели!$E:$W,16,FALSE)),"")</f>
        <v>6430000000</v>
      </c>
      <c r="T1067">
        <f>IFERROR(IF(VLOOKUP($B1067,Показатели!$E:$W,17,FALSE)=0,"",VLOOKUP($B1067,Показатели!$E:$W,17,FALSE)),"")</f>
        <v>-111134000</v>
      </c>
      <c r="U1067" t="str">
        <f>IFERROR(IF(VLOOKUP($B1067,Показатели!$E:$W,18,FALSE)=0,"",VLOOKUP($B1067,Показатели!$E:$W,18,FALSE)),"")</f>
        <v/>
      </c>
      <c r="V1067" t="str">
        <f>IFERROR(IF(VLOOKUP($B1067,Показатели!$E:$W,19,FALSE)=0,"",VLOOKUP($B1067,Показатели!$E:$W,19,FALSE)),"")</f>
        <v/>
      </c>
    </row>
    <row r="1068" spans="1:22" x14ac:dyDescent="0.2">
      <c r="A1068" s="7" t="s">
        <v>2311</v>
      </c>
      <c r="B1068" t="str">
        <f t="shared" si="16"/>
        <v>SMLT IV кв. 2015</v>
      </c>
      <c r="C1068">
        <v>2015</v>
      </c>
      <c r="D1068">
        <f>SUMIFS(Дивиденды!$C:$C,Дивиденды!$A:$A,A1068,Дивиденды!$I:$I,C1068)</f>
        <v>0</v>
      </c>
      <c r="E1068" t="str">
        <f>IFERROR(IF(VLOOKUP($B1068,Показатели!$E:$W,2,FALSE)=0,"",VLOOKUP($B1068,Показатели!$E:$W,2,FALSE)),"")</f>
        <v/>
      </c>
      <c r="F1068" t="str">
        <f>IFERROR(IF(VLOOKUP($B1068,Показатели!$E:$W,3,FALSE)=0,"",VLOOKUP($B1068,Показатели!$E:$W,3,FALSE)),"")</f>
        <v/>
      </c>
      <c r="G1068" t="str">
        <f>IFERROR(IF(VLOOKUP($B1068,Показатели!$E:$W,4,FALSE)=0,"",VLOOKUP($B1068,Показатели!$E:$W,4,FALSE)),"")</f>
        <v/>
      </c>
      <c r="H1068" t="str">
        <f>IFERROR(IF(VLOOKUP($B1068,Показатели!$E:$W,5,FALSE)=0,"",VLOOKUP($B1068,Показатели!$E:$W,5,FALSE)),"")</f>
        <v/>
      </c>
      <c r="I1068" t="str">
        <f>IFERROR(IF(VLOOKUP($B1068,Показатели!$E:$W,6,FALSE)=0,"",VLOOKUP($B1068,Показатели!$E:$W,6,FALSE)),"")</f>
        <v/>
      </c>
      <c r="J1068" t="str">
        <f>IFERROR(IF(VLOOKUP($B1068,Показатели!$E:$W,7,FALSE)=0,"",VLOOKUP($B1068,Показатели!$E:$W,7,FALSE)),"")</f>
        <v/>
      </c>
      <c r="K1068" t="str">
        <f>IFERROR(IF(VLOOKUP($B1068,Показатели!$E:$W,8,FALSE)=0,"",VLOOKUP($B1068,Показатели!$E:$W,8,FALSE)),"")</f>
        <v/>
      </c>
      <c r="L1068" t="str">
        <f>IFERROR(IF(VLOOKUP($B1068,Показатели!$E:$W,9,FALSE)=0,"",VLOOKUP($B1068,Показатели!$E:$W,9,FALSE)),"")</f>
        <v/>
      </c>
      <c r="M1068" t="str">
        <f>IFERROR(IF(VLOOKUP($B1068,Показатели!$E:$W,10,FALSE)=0,"",VLOOKUP($B1068,Показатели!$E:$W,10,FALSE)),"")</f>
        <v/>
      </c>
      <c r="N1068" t="str">
        <f>IFERROR(IF(VLOOKUP($B1068,Показатели!$E:$W,11,FALSE)=0,"",VLOOKUP($B1068,Показатели!$E:$W,11,FALSE)),"")</f>
        <v/>
      </c>
      <c r="O1068" t="str">
        <f>IFERROR(IF(VLOOKUP($B1068,Показатели!$E:$W,12,FALSE)=0,"",VLOOKUP($B1068,Показатели!$E:$W,12,FALSE)),"")</f>
        <v/>
      </c>
      <c r="P1068" t="str">
        <f>IFERROR(IF(VLOOKUP($B1068,Показатели!$E:$W,13,FALSE)=0,"",VLOOKUP($B1068,Показатели!$E:$W,13,FALSE)),"")</f>
        <v/>
      </c>
      <c r="Q1068" t="str">
        <f>IFERROR(IF(VLOOKUP($B1068,Показатели!$E:$W,14,FALSE)=0,"",VLOOKUP($B1068,Показатели!$E:$W,14,FALSE)),"")</f>
        <v/>
      </c>
      <c r="R1068" t="str">
        <f>IFERROR(IF(VLOOKUP($B1068,Показатели!$E:$W,15,FALSE)=0,"",VLOOKUP($B1068,Показатели!$E:$W,15,FALSE)),"")</f>
        <v/>
      </c>
      <c r="S1068" t="str">
        <f>IFERROR(IF(VLOOKUP($B1068,Показатели!$E:$W,16,FALSE)=0,"",VLOOKUP($B1068,Показатели!$E:$W,16,FALSE)),"")</f>
        <v/>
      </c>
      <c r="T1068" t="str">
        <f>IFERROR(IF(VLOOKUP($B1068,Показатели!$E:$W,17,FALSE)=0,"",VLOOKUP($B1068,Показатели!$E:$W,17,FALSE)),"")</f>
        <v/>
      </c>
      <c r="U1068" t="str">
        <f>IFERROR(IF(VLOOKUP($B1068,Показатели!$E:$W,18,FALSE)=0,"",VLOOKUP($B1068,Показатели!$E:$W,18,FALSE)),"")</f>
        <v/>
      </c>
      <c r="V1068" t="str">
        <f>IFERROR(IF(VLOOKUP($B1068,Показатели!$E:$W,19,FALSE)=0,"",VLOOKUP($B1068,Показатели!$E:$W,19,FALSE)),"")</f>
        <v/>
      </c>
    </row>
    <row r="1069" spans="1:22" x14ac:dyDescent="0.2">
      <c r="A1069" s="7" t="s">
        <v>2311</v>
      </c>
      <c r="B1069" t="str">
        <f t="shared" si="16"/>
        <v>SMLT IV кв. 2014</v>
      </c>
      <c r="C1069">
        <v>2014</v>
      </c>
      <c r="D1069">
        <f>SUMIFS(Дивиденды!$C:$C,Дивиденды!$A:$A,A1069,Дивиденды!$I:$I,C1069)</f>
        <v>0</v>
      </c>
      <c r="E1069" t="str">
        <f>IFERROR(IF(VLOOKUP($B1069,Показатели!$E:$W,2,FALSE)=0,"",VLOOKUP($B1069,Показатели!$E:$W,2,FALSE)),"")</f>
        <v/>
      </c>
      <c r="F1069" t="str">
        <f>IFERROR(IF(VLOOKUP($B1069,Показатели!$E:$W,3,FALSE)=0,"",VLOOKUP($B1069,Показатели!$E:$W,3,FALSE)),"")</f>
        <v/>
      </c>
      <c r="G1069" t="str">
        <f>IFERROR(IF(VLOOKUP($B1069,Показатели!$E:$W,4,FALSE)=0,"",VLOOKUP($B1069,Показатели!$E:$W,4,FALSE)),"")</f>
        <v/>
      </c>
      <c r="H1069" t="str">
        <f>IFERROR(IF(VLOOKUP($B1069,Показатели!$E:$W,5,FALSE)=0,"",VLOOKUP($B1069,Показатели!$E:$W,5,FALSE)),"")</f>
        <v/>
      </c>
      <c r="I1069" t="str">
        <f>IFERROR(IF(VLOOKUP($B1069,Показатели!$E:$W,6,FALSE)=0,"",VLOOKUP($B1069,Показатели!$E:$W,6,FALSE)),"")</f>
        <v/>
      </c>
      <c r="J1069" t="str">
        <f>IFERROR(IF(VLOOKUP($B1069,Показатели!$E:$W,7,FALSE)=0,"",VLOOKUP($B1069,Показатели!$E:$W,7,FALSE)),"")</f>
        <v/>
      </c>
      <c r="K1069" t="str">
        <f>IFERROR(IF(VLOOKUP($B1069,Показатели!$E:$W,8,FALSE)=0,"",VLOOKUP($B1069,Показатели!$E:$W,8,FALSE)),"")</f>
        <v/>
      </c>
      <c r="L1069" t="str">
        <f>IFERROR(IF(VLOOKUP($B1069,Показатели!$E:$W,9,FALSE)=0,"",VLOOKUP($B1069,Показатели!$E:$W,9,FALSE)),"")</f>
        <v/>
      </c>
      <c r="M1069" t="str">
        <f>IFERROR(IF(VLOOKUP($B1069,Показатели!$E:$W,10,FALSE)=0,"",VLOOKUP($B1069,Показатели!$E:$W,10,FALSE)),"")</f>
        <v/>
      </c>
      <c r="N1069" t="str">
        <f>IFERROR(IF(VLOOKUP($B1069,Показатели!$E:$W,11,FALSE)=0,"",VLOOKUP($B1069,Показатели!$E:$W,11,FALSE)),"")</f>
        <v/>
      </c>
      <c r="O1069" t="str">
        <f>IFERROR(IF(VLOOKUP($B1069,Показатели!$E:$W,12,FALSE)=0,"",VLOOKUP($B1069,Показатели!$E:$W,12,FALSE)),"")</f>
        <v/>
      </c>
      <c r="P1069" t="str">
        <f>IFERROR(IF(VLOOKUP($B1069,Показатели!$E:$W,13,FALSE)=0,"",VLOOKUP($B1069,Показатели!$E:$W,13,FALSE)),"")</f>
        <v/>
      </c>
      <c r="Q1069" t="str">
        <f>IFERROR(IF(VLOOKUP($B1069,Показатели!$E:$W,14,FALSE)=0,"",VLOOKUP($B1069,Показатели!$E:$W,14,FALSE)),"")</f>
        <v/>
      </c>
      <c r="R1069" t="str">
        <f>IFERROR(IF(VLOOKUP($B1069,Показатели!$E:$W,15,FALSE)=0,"",VLOOKUP($B1069,Показатели!$E:$W,15,FALSE)),"")</f>
        <v/>
      </c>
      <c r="S1069" t="str">
        <f>IFERROR(IF(VLOOKUP($B1069,Показатели!$E:$W,16,FALSE)=0,"",VLOOKUP($B1069,Показатели!$E:$W,16,FALSE)),"")</f>
        <v/>
      </c>
      <c r="T1069" t="str">
        <f>IFERROR(IF(VLOOKUP($B1069,Показатели!$E:$W,17,FALSE)=0,"",VLOOKUP($B1069,Показатели!$E:$W,17,FALSE)),"")</f>
        <v/>
      </c>
      <c r="U1069" t="str">
        <f>IFERROR(IF(VLOOKUP($B1069,Показатели!$E:$W,18,FALSE)=0,"",VLOOKUP($B1069,Показатели!$E:$W,18,FALSE)),"")</f>
        <v/>
      </c>
      <c r="V1069" t="str">
        <f>IFERROR(IF(VLOOKUP($B1069,Показатели!$E:$W,19,FALSE)=0,"",VLOOKUP($B1069,Показатели!$E:$W,19,FALSE)),"")</f>
        <v/>
      </c>
    </row>
    <row r="1070" spans="1:22" x14ac:dyDescent="0.2">
      <c r="A1070" s="7" t="s">
        <v>2311</v>
      </c>
      <c r="B1070" t="str">
        <f t="shared" si="16"/>
        <v>SMLT IV кв. 2013</v>
      </c>
      <c r="C1070">
        <v>2013</v>
      </c>
      <c r="D1070">
        <f>SUMIFS(Дивиденды!$C:$C,Дивиденды!$A:$A,A1070,Дивиденды!$I:$I,C1070)</f>
        <v>0</v>
      </c>
      <c r="E1070" t="str">
        <f>IFERROR(IF(VLOOKUP($B1070,Показатели!$E:$W,2,FALSE)=0,"",VLOOKUP($B1070,Показатели!$E:$W,2,FALSE)),"")</f>
        <v/>
      </c>
      <c r="F1070" t="str">
        <f>IFERROR(IF(VLOOKUP($B1070,Показатели!$E:$W,3,FALSE)=0,"",VLOOKUP($B1070,Показатели!$E:$W,3,FALSE)),"")</f>
        <v/>
      </c>
      <c r="G1070" t="str">
        <f>IFERROR(IF(VLOOKUP($B1070,Показатели!$E:$W,4,FALSE)=0,"",VLOOKUP($B1070,Показатели!$E:$W,4,FALSE)),"")</f>
        <v/>
      </c>
      <c r="H1070" t="str">
        <f>IFERROR(IF(VLOOKUP($B1070,Показатели!$E:$W,5,FALSE)=0,"",VLOOKUP($B1070,Показатели!$E:$W,5,FALSE)),"")</f>
        <v/>
      </c>
      <c r="I1070" t="str">
        <f>IFERROR(IF(VLOOKUP($B1070,Показатели!$E:$W,6,FALSE)=0,"",VLOOKUP($B1070,Показатели!$E:$W,6,FALSE)),"")</f>
        <v/>
      </c>
      <c r="J1070" t="str">
        <f>IFERROR(IF(VLOOKUP($B1070,Показатели!$E:$W,7,FALSE)=0,"",VLOOKUP($B1070,Показатели!$E:$W,7,FALSE)),"")</f>
        <v/>
      </c>
      <c r="K1070" t="str">
        <f>IFERROR(IF(VLOOKUP($B1070,Показатели!$E:$W,8,FALSE)=0,"",VLOOKUP($B1070,Показатели!$E:$W,8,FALSE)),"")</f>
        <v/>
      </c>
      <c r="L1070" t="str">
        <f>IFERROR(IF(VLOOKUP($B1070,Показатели!$E:$W,9,FALSE)=0,"",VLOOKUP($B1070,Показатели!$E:$W,9,FALSE)),"")</f>
        <v/>
      </c>
      <c r="M1070" t="str">
        <f>IFERROR(IF(VLOOKUP($B1070,Показатели!$E:$W,10,FALSE)=0,"",VLOOKUP($B1070,Показатели!$E:$W,10,FALSE)),"")</f>
        <v/>
      </c>
      <c r="N1070" t="str">
        <f>IFERROR(IF(VLOOKUP($B1070,Показатели!$E:$W,11,FALSE)=0,"",VLOOKUP($B1070,Показатели!$E:$W,11,FALSE)),"")</f>
        <v/>
      </c>
      <c r="O1070" t="str">
        <f>IFERROR(IF(VLOOKUP($B1070,Показатели!$E:$W,12,FALSE)=0,"",VLOOKUP($B1070,Показатели!$E:$W,12,FALSE)),"")</f>
        <v/>
      </c>
      <c r="P1070" t="str">
        <f>IFERROR(IF(VLOOKUP($B1070,Показатели!$E:$W,13,FALSE)=0,"",VLOOKUP($B1070,Показатели!$E:$W,13,FALSE)),"")</f>
        <v/>
      </c>
      <c r="Q1070" t="str">
        <f>IFERROR(IF(VLOOKUP($B1070,Показатели!$E:$W,14,FALSE)=0,"",VLOOKUP($B1070,Показатели!$E:$W,14,FALSE)),"")</f>
        <v/>
      </c>
      <c r="R1070" t="str">
        <f>IFERROR(IF(VLOOKUP($B1070,Показатели!$E:$W,15,FALSE)=0,"",VLOOKUP($B1070,Показатели!$E:$W,15,FALSE)),"")</f>
        <v/>
      </c>
      <c r="S1070" t="str">
        <f>IFERROR(IF(VLOOKUP($B1070,Показатели!$E:$W,16,FALSE)=0,"",VLOOKUP($B1070,Показатели!$E:$W,16,FALSE)),"")</f>
        <v/>
      </c>
      <c r="T1070" t="str">
        <f>IFERROR(IF(VLOOKUP($B1070,Показатели!$E:$W,17,FALSE)=0,"",VLOOKUP($B1070,Показатели!$E:$W,17,FALSE)),"")</f>
        <v/>
      </c>
      <c r="U1070" t="str">
        <f>IFERROR(IF(VLOOKUP($B1070,Показатели!$E:$W,18,FALSE)=0,"",VLOOKUP($B1070,Показатели!$E:$W,18,FALSE)),"")</f>
        <v/>
      </c>
      <c r="V1070" t="str">
        <f>IFERROR(IF(VLOOKUP($B1070,Показатели!$E:$W,19,FALSE)=0,"",VLOOKUP($B1070,Показатели!$E:$W,19,FALSE)),"")</f>
        <v/>
      </c>
    </row>
    <row r="1071" spans="1:22" x14ac:dyDescent="0.2">
      <c r="A1071" s="7" t="s">
        <v>2311</v>
      </c>
      <c r="B1071" t="str">
        <f t="shared" si="16"/>
        <v>SMLT IV кв. 2012</v>
      </c>
      <c r="C1071">
        <v>2012</v>
      </c>
      <c r="D1071">
        <f>SUMIFS(Дивиденды!$C:$C,Дивиденды!$A:$A,A1071,Дивиденды!$I:$I,C1071)</f>
        <v>0</v>
      </c>
      <c r="E1071" t="str">
        <f>IFERROR(IF(VLOOKUP($B1071,Показатели!$E:$W,2,FALSE)=0,"",VLOOKUP($B1071,Показатели!$E:$W,2,FALSE)),"")</f>
        <v/>
      </c>
      <c r="F1071" t="str">
        <f>IFERROR(IF(VLOOKUP($B1071,Показатели!$E:$W,3,FALSE)=0,"",VLOOKUP($B1071,Показатели!$E:$W,3,FALSE)),"")</f>
        <v/>
      </c>
      <c r="G1071" t="str">
        <f>IFERROR(IF(VLOOKUP($B1071,Показатели!$E:$W,4,FALSE)=0,"",VLOOKUP($B1071,Показатели!$E:$W,4,FALSE)),"")</f>
        <v/>
      </c>
      <c r="H1071" t="str">
        <f>IFERROR(IF(VLOOKUP($B1071,Показатели!$E:$W,5,FALSE)=0,"",VLOOKUP($B1071,Показатели!$E:$W,5,FALSE)),"")</f>
        <v/>
      </c>
      <c r="I1071" t="str">
        <f>IFERROR(IF(VLOOKUP($B1071,Показатели!$E:$W,6,FALSE)=0,"",VLOOKUP($B1071,Показатели!$E:$W,6,FALSE)),"")</f>
        <v/>
      </c>
      <c r="J1071" t="str">
        <f>IFERROR(IF(VLOOKUP($B1071,Показатели!$E:$W,7,FALSE)=0,"",VLOOKUP($B1071,Показатели!$E:$W,7,FALSE)),"")</f>
        <v/>
      </c>
      <c r="K1071" t="str">
        <f>IFERROR(IF(VLOOKUP($B1071,Показатели!$E:$W,8,FALSE)=0,"",VLOOKUP($B1071,Показатели!$E:$W,8,FALSE)),"")</f>
        <v/>
      </c>
      <c r="L1071" t="str">
        <f>IFERROR(IF(VLOOKUP($B1071,Показатели!$E:$W,9,FALSE)=0,"",VLOOKUP($B1071,Показатели!$E:$W,9,FALSE)),"")</f>
        <v/>
      </c>
      <c r="M1071" t="str">
        <f>IFERROR(IF(VLOOKUP($B1071,Показатели!$E:$W,10,FALSE)=0,"",VLOOKUP($B1071,Показатели!$E:$W,10,FALSE)),"")</f>
        <v/>
      </c>
      <c r="N1071" t="str">
        <f>IFERROR(IF(VLOOKUP($B1071,Показатели!$E:$W,11,FALSE)=0,"",VLOOKUP($B1071,Показатели!$E:$W,11,FALSE)),"")</f>
        <v/>
      </c>
      <c r="O1071" t="str">
        <f>IFERROR(IF(VLOOKUP($B1071,Показатели!$E:$W,12,FALSE)=0,"",VLOOKUP($B1071,Показатели!$E:$W,12,FALSE)),"")</f>
        <v/>
      </c>
      <c r="P1071" t="str">
        <f>IFERROR(IF(VLOOKUP($B1071,Показатели!$E:$W,13,FALSE)=0,"",VLOOKUP($B1071,Показатели!$E:$W,13,FALSE)),"")</f>
        <v/>
      </c>
      <c r="Q1071" t="str">
        <f>IFERROR(IF(VLOOKUP($B1071,Показатели!$E:$W,14,FALSE)=0,"",VLOOKUP($B1071,Показатели!$E:$W,14,FALSE)),"")</f>
        <v/>
      </c>
      <c r="R1071" t="str">
        <f>IFERROR(IF(VLOOKUP($B1071,Показатели!$E:$W,15,FALSE)=0,"",VLOOKUP($B1071,Показатели!$E:$W,15,FALSE)),"")</f>
        <v/>
      </c>
      <c r="S1071" t="str">
        <f>IFERROR(IF(VLOOKUP($B1071,Показатели!$E:$W,16,FALSE)=0,"",VLOOKUP($B1071,Показатели!$E:$W,16,FALSE)),"")</f>
        <v/>
      </c>
      <c r="T1071" t="str">
        <f>IFERROR(IF(VLOOKUP($B1071,Показатели!$E:$W,17,FALSE)=0,"",VLOOKUP($B1071,Показатели!$E:$W,17,FALSE)),"")</f>
        <v/>
      </c>
      <c r="U1071" t="str">
        <f>IFERROR(IF(VLOOKUP($B1071,Показатели!$E:$W,18,FALSE)=0,"",VLOOKUP($B1071,Показатели!$E:$W,18,FALSE)),"")</f>
        <v/>
      </c>
      <c r="V1071" t="str">
        <f>IFERROR(IF(VLOOKUP($B1071,Показатели!$E:$W,19,FALSE)=0,"",VLOOKUP($B1071,Показатели!$E:$W,19,FALSE)),"")</f>
        <v/>
      </c>
    </row>
    <row r="1072" spans="1:22" x14ac:dyDescent="0.2">
      <c r="A1072" s="7" t="s">
        <v>2311</v>
      </c>
      <c r="B1072" t="str">
        <f t="shared" si="16"/>
        <v>SMLT IV кв. 2011</v>
      </c>
      <c r="C1072">
        <v>2011</v>
      </c>
      <c r="D1072">
        <f>SUMIFS(Дивиденды!$C:$C,Дивиденды!$A:$A,A1072,Дивиденды!$I:$I,C1072)</f>
        <v>0</v>
      </c>
      <c r="E1072" t="str">
        <f>IFERROR(IF(VLOOKUP($B1072,Показатели!$E:$W,2,FALSE)=0,"",VLOOKUP($B1072,Показатели!$E:$W,2,FALSE)),"")</f>
        <v/>
      </c>
      <c r="F1072" t="str">
        <f>IFERROR(IF(VLOOKUP($B1072,Показатели!$E:$W,3,FALSE)=0,"",VLOOKUP($B1072,Показатели!$E:$W,3,FALSE)),"")</f>
        <v/>
      </c>
      <c r="G1072" t="str">
        <f>IFERROR(IF(VLOOKUP($B1072,Показатели!$E:$W,4,FALSE)=0,"",VLOOKUP($B1072,Показатели!$E:$W,4,FALSE)),"")</f>
        <v/>
      </c>
      <c r="H1072" t="str">
        <f>IFERROR(IF(VLOOKUP($B1072,Показатели!$E:$W,5,FALSE)=0,"",VLOOKUP($B1072,Показатели!$E:$W,5,FALSE)),"")</f>
        <v/>
      </c>
      <c r="I1072" t="str">
        <f>IFERROR(IF(VLOOKUP($B1072,Показатели!$E:$W,6,FALSE)=0,"",VLOOKUP($B1072,Показатели!$E:$W,6,FALSE)),"")</f>
        <v/>
      </c>
      <c r="J1072" t="str">
        <f>IFERROR(IF(VLOOKUP($B1072,Показатели!$E:$W,7,FALSE)=0,"",VLOOKUP($B1072,Показатели!$E:$W,7,FALSE)),"")</f>
        <v/>
      </c>
      <c r="K1072" t="str">
        <f>IFERROR(IF(VLOOKUP($B1072,Показатели!$E:$W,8,FALSE)=0,"",VLOOKUP($B1072,Показатели!$E:$W,8,FALSE)),"")</f>
        <v/>
      </c>
      <c r="L1072" t="str">
        <f>IFERROR(IF(VLOOKUP($B1072,Показатели!$E:$W,9,FALSE)=0,"",VLOOKUP($B1072,Показатели!$E:$W,9,FALSE)),"")</f>
        <v/>
      </c>
      <c r="M1072" t="str">
        <f>IFERROR(IF(VLOOKUP($B1072,Показатели!$E:$W,10,FALSE)=0,"",VLOOKUP($B1072,Показатели!$E:$W,10,FALSE)),"")</f>
        <v/>
      </c>
      <c r="N1072" t="str">
        <f>IFERROR(IF(VLOOKUP($B1072,Показатели!$E:$W,11,FALSE)=0,"",VLOOKUP($B1072,Показатели!$E:$W,11,FALSE)),"")</f>
        <v/>
      </c>
      <c r="O1072" t="str">
        <f>IFERROR(IF(VLOOKUP($B1072,Показатели!$E:$W,12,FALSE)=0,"",VLOOKUP($B1072,Показатели!$E:$W,12,FALSE)),"")</f>
        <v/>
      </c>
      <c r="P1072" t="str">
        <f>IFERROR(IF(VLOOKUP($B1072,Показатели!$E:$W,13,FALSE)=0,"",VLOOKUP($B1072,Показатели!$E:$W,13,FALSE)),"")</f>
        <v/>
      </c>
      <c r="Q1072" t="str">
        <f>IFERROR(IF(VLOOKUP($B1072,Показатели!$E:$W,14,FALSE)=0,"",VLOOKUP($B1072,Показатели!$E:$W,14,FALSE)),"")</f>
        <v/>
      </c>
      <c r="R1072" t="str">
        <f>IFERROR(IF(VLOOKUP($B1072,Показатели!$E:$W,15,FALSE)=0,"",VLOOKUP($B1072,Показатели!$E:$W,15,FALSE)),"")</f>
        <v/>
      </c>
      <c r="S1072" t="str">
        <f>IFERROR(IF(VLOOKUP($B1072,Показатели!$E:$W,16,FALSE)=0,"",VLOOKUP($B1072,Показатели!$E:$W,16,FALSE)),"")</f>
        <v/>
      </c>
      <c r="T1072" t="str">
        <f>IFERROR(IF(VLOOKUP($B1072,Показатели!$E:$W,17,FALSE)=0,"",VLOOKUP($B1072,Показатели!$E:$W,17,FALSE)),"")</f>
        <v/>
      </c>
      <c r="U1072" t="str">
        <f>IFERROR(IF(VLOOKUP($B1072,Показатели!$E:$W,18,FALSE)=0,"",VLOOKUP($B1072,Показатели!$E:$W,18,FALSE)),"")</f>
        <v/>
      </c>
      <c r="V1072" t="str">
        <f>IFERROR(IF(VLOOKUP($B1072,Показатели!$E:$W,19,FALSE)=0,"",VLOOKUP($B1072,Показатели!$E:$W,19,FALSE)),"")</f>
        <v/>
      </c>
    </row>
    <row r="1073" spans="1:22" x14ac:dyDescent="0.2">
      <c r="A1073" s="7" t="s">
        <v>2311</v>
      </c>
      <c r="B1073" t="str">
        <f t="shared" si="16"/>
        <v>SMLT IV кв. 2010</v>
      </c>
      <c r="C1073">
        <v>2010</v>
      </c>
      <c r="D1073">
        <f>SUMIFS(Дивиденды!$C:$C,Дивиденды!$A:$A,A1073,Дивиденды!$I:$I,C1073)</f>
        <v>0</v>
      </c>
      <c r="E1073" t="str">
        <f>IFERROR(IF(VLOOKUP($B1073,Показатели!$E:$W,2,FALSE)=0,"",VLOOKUP($B1073,Показатели!$E:$W,2,FALSE)),"")</f>
        <v/>
      </c>
      <c r="F1073" t="str">
        <f>IFERROR(IF(VLOOKUP($B1073,Показатели!$E:$W,3,FALSE)=0,"",VLOOKUP($B1073,Показатели!$E:$W,3,FALSE)),"")</f>
        <v/>
      </c>
      <c r="G1073" t="str">
        <f>IFERROR(IF(VLOOKUP($B1073,Показатели!$E:$W,4,FALSE)=0,"",VLOOKUP($B1073,Показатели!$E:$W,4,FALSE)),"")</f>
        <v/>
      </c>
      <c r="H1073" t="str">
        <f>IFERROR(IF(VLOOKUP($B1073,Показатели!$E:$W,5,FALSE)=0,"",VLOOKUP($B1073,Показатели!$E:$W,5,FALSE)),"")</f>
        <v/>
      </c>
      <c r="I1073" t="str">
        <f>IFERROR(IF(VLOOKUP($B1073,Показатели!$E:$W,6,FALSE)=0,"",VLOOKUP($B1073,Показатели!$E:$W,6,FALSE)),"")</f>
        <v/>
      </c>
      <c r="J1073" t="str">
        <f>IFERROR(IF(VLOOKUP($B1073,Показатели!$E:$W,7,FALSE)=0,"",VLOOKUP($B1073,Показатели!$E:$W,7,FALSE)),"")</f>
        <v/>
      </c>
      <c r="K1073" t="str">
        <f>IFERROR(IF(VLOOKUP($B1073,Показатели!$E:$W,8,FALSE)=0,"",VLOOKUP($B1073,Показатели!$E:$W,8,FALSE)),"")</f>
        <v/>
      </c>
      <c r="L1073" t="str">
        <f>IFERROR(IF(VLOOKUP($B1073,Показатели!$E:$W,9,FALSE)=0,"",VLOOKUP($B1073,Показатели!$E:$W,9,FALSE)),"")</f>
        <v/>
      </c>
      <c r="M1073" t="str">
        <f>IFERROR(IF(VLOOKUP($B1073,Показатели!$E:$W,10,FALSE)=0,"",VLOOKUP($B1073,Показатели!$E:$W,10,FALSE)),"")</f>
        <v/>
      </c>
      <c r="N1073" t="str">
        <f>IFERROR(IF(VLOOKUP($B1073,Показатели!$E:$W,11,FALSE)=0,"",VLOOKUP($B1073,Показатели!$E:$W,11,FALSE)),"")</f>
        <v/>
      </c>
      <c r="O1073" t="str">
        <f>IFERROR(IF(VLOOKUP($B1073,Показатели!$E:$W,12,FALSE)=0,"",VLOOKUP($B1073,Показатели!$E:$W,12,FALSE)),"")</f>
        <v/>
      </c>
      <c r="P1073" t="str">
        <f>IFERROR(IF(VLOOKUP($B1073,Показатели!$E:$W,13,FALSE)=0,"",VLOOKUP($B1073,Показатели!$E:$W,13,FALSE)),"")</f>
        <v/>
      </c>
      <c r="Q1073" t="str">
        <f>IFERROR(IF(VLOOKUP($B1073,Показатели!$E:$W,14,FALSE)=0,"",VLOOKUP($B1073,Показатели!$E:$W,14,FALSE)),"")</f>
        <v/>
      </c>
      <c r="R1073" t="str">
        <f>IFERROR(IF(VLOOKUP($B1073,Показатели!$E:$W,15,FALSE)=0,"",VLOOKUP($B1073,Показатели!$E:$W,15,FALSE)),"")</f>
        <v/>
      </c>
      <c r="S1073" t="str">
        <f>IFERROR(IF(VLOOKUP($B1073,Показатели!$E:$W,16,FALSE)=0,"",VLOOKUP($B1073,Показатели!$E:$W,16,FALSE)),"")</f>
        <v/>
      </c>
      <c r="T1073" t="str">
        <f>IFERROR(IF(VLOOKUP($B1073,Показатели!$E:$W,17,FALSE)=0,"",VLOOKUP($B1073,Показатели!$E:$W,17,FALSE)),"")</f>
        <v/>
      </c>
      <c r="U1073" t="str">
        <f>IFERROR(IF(VLOOKUP($B1073,Показатели!$E:$W,18,FALSE)=0,"",VLOOKUP($B1073,Показатели!$E:$W,18,FALSE)),"")</f>
        <v/>
      </c>
      <c r="V1073" t="str">
        <f>IFERROR(IF(VLOOKUP($B1073,Показатели!$E:$W,19,FALSE)=0,"",VLOOKUP($B1073,Показатели!$E:$W,19,FALSE)),"")</f>
        <v/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9A0C-221C-E94A-B9BF-EB238D9BE5C2}">
  <dimension ref="A1:X2139"/>
  <sheetViews>
    <sheetView zoomScale="75" workbookViewId="0">
      <pane xSplit="5" ySplit="1" topLeftCell="J326" activePane="bottomRight" state="frozen"/>
      <selection pane="topRight" activeCell="F1" sqref="F1"/>
      <selection pane="bottomLeft" activeCell="A2" sqref="A2"/>
      <selection pane="bottomRight" activeCell="W345" sqref="W345"/>
    </sheetView>
  </sheetViews>
  <sheetFormatPr baseColWidth="10" defaultRowHeight="16" x14ac:dyDescent="0.2"/>
  <cols>
    <col min="1" max="1" width="11" bestFit="1" customWidth="1"/>
    <col min="2" max="2" width="11" style="4" bestFit="1" customWidth="1"/>
    <col min="3" max="3" width="11" bestFit="1" customWidth="1"/>
    <col min="5" max="5" width="15.1640625" bestFit="1" customWidth="1"/>
    <col min="6" max="14" width="18.5" customWidth="1"/>
    <col min="15" max="15" width="23.6640625" customWidth="1"/>
    <col min="16" max="21" width="18.5" customWidth="1"/>
    <col min="22" max="23" width="13.6640625" bestFit="1" customWidth="1"/>
  </cols>
  <sheetData>
    <row r="1" spans="1:23" ht="48" x14ac:dyDescent="0.2">
      <c r="C1" t="s">
        <v>17</v>
      </c>
      <c r="D1" t="s">
        <v>18</v>
      </c>
      <c r="E1" s="1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2" t="s">
        <v>2157</v>
      </c>
      <c r="W1" s="2" t="s">
        <v>2158</v>
      </c>
    </row>
    <row r="2" spans="1:23" x14ac:dyDescent="0.2">
      <c r="A2">
        <f>IF(D2="USD",VLOOKUP(VALUE(RIGHT(E2,4)),'USD RUB'!$E:$F,2,FALSE),1)</f>
        <v>1</v>
      </c>
      <c r="B2" s="4">
        <v>1</v>
      </c>
      <c r="C2">
        <v>1000000</v>
      </c>
      <c r="D2" t="s">
        <v>20</v>
      </c>
      <c r="E2" s="1" t="s">
        <v>19</v>
      </c>
      <c r="F2">
        <v>675617000000</v>
      </c>
      <c r="G2">
        <v>3732336000000</v>
      </c>
      <c r="H2">
        <v>21827376000000</v>
      </c>
      <c r="I2">
        <v>138420000000</v>
      </c>
      <c r="J2">
        <v>31455796000000</v>
      </c>
      <c r="K2">
        <v>4660456000000</v>
      </c>
      <c r="L2">
        <v>8101409000000</v>
      </c>
      <c r="M2">
        <v>16877948000000</v>
      </c>
      <c r="N2">
        <v>18693931000000</v>
      </c>
      <c r="O2">
        <v>7165136000000</v>
      </c>
      <c r="P2">
        <v>1093572000000</v>
      </c>
      <c r="Q2">
        <v>1678701000000</v>
      </c>
      <c r="R2">
        <v>1182594000000</v>
      </c>
      <c r="S2">
        <v>1075645000000</v>
      </c>
      <c r="U2">
        <v>-1725508000000</v>
      </c>
      <c r="V2">
        <f t="shared" ref="V2:V33" si="0">_xlfn.XLOOKUP(LEFT(E2,LEN(E2)-4)&amp;(VALUE(RIGHT(E2,4))-1),$E:$E,$O:$O,"")</f>
        <v>7499593000000</v>
      </c>
      <c r="W2">
        <f t="shared" ref="W2:W33" si="1">_xlfn.XLOOKUP(LEFT(E2,LEN(E2)-4)&amp;(VALUE(RIGHT(E2,4))-1),$E:$E,$J:$J,"")</f>
        <v>30118258000000</v>
      </c>
    </row>
    <row r="3" spans="1:23" x14ac:dyDescent="0.2">
      <c r="A3">
        <f>IF(D3="USD",VLOOKUP(VALUE(RIGHT(E3,4)),'USD RUB'!$E:$F,2,FALSE),1)</f>
        <v>1</v>
      </c>
      <c r="B3" s="4">
        <v>1</v>
      </c>
      <c r="C3">
        <v>1000000</v>
      </c>
      <c r="D3" t="s">
        <v>20</v>
      </c>
      <c r="E3" s="1" t="s">
        <v>21</v>
      </c>
      <c r="F3">
        <v>537263000000</v>
      </c>
      <c r="G3">
        <v>3420375000000</v>
      </c>
      <c r="H3">
        <v>21263738000000</v>
      </c>
      <c r="I3">
        <v>138420000000</v>
      </c>
      <c r="J3">
        <v>30580217000000</v>
      </c>
      <c r="K3">
        <v>4373772000000</v>
      </c>
      <c r="L3">
        <v>7581502000000</v>
      </c>
      <c r="M3">
        <v>16618900000000</v>
      </c>
      <c r="N3">
        <v>18624943000000</v>
      </c>
      <c r="O3">
        <v>4989693000000</v>
      </c>
      <c r="P3">
        <v>823999000000</v>
      </c>
      <c r="Q3">
        <v>1448399000000</v>
      </c>
      <c r="R3">
        <v>1034473000000</v>
      </c>
      <c r="S3">
        <v>710276000000</v>
      </c>
      <c r="T3">
        <v>1547000000000</v>
      </c>
      <c r="U3">
        <v>-1194700000000</v>
      </c>
      <c r="V3">
        <f t="shared" si="0"/>
        <v>5088055000000</v>
      </c>
      <c r="W3">
        <f t="shared" si="1"/>
        <v>29270926000000</v>
      </c>
    </row>
    <row r="4" spans="1:23" x14ac:dyDescent="0.2">
      <c r="A4">
        <f>IF(D4="USD",VLOOKUP(VALUE(RIGHT(E4,4)),'USD RUB'!$E:$F,2,FALSE),1)</f>
        <v>1</v>
      </c>
      <c r="B4" s="4">
        <v>1</v>
      </c>
      <c r="C4">
        <v>1000000</v>
      </c>
      <c r="D4" t="s">
        <v>20</v>
      </c>
      <c r="E4" s="1" t="s">
        <v>22</v>
      </c>
      <c r="F4">
        <v>896830000000</v>
      </c>
      <c r="G4">
        <v>3905551000000</v>
      </c>
      <c r="H4">
        <v>20868892000000</v>
      </c>
      <c r="I4">
        <v>138420000000</v>
      </c>
      <c r="J4">
        <v>30497901000000</v>
      </c>
      <c r="K4">
        <v>4646179000000</v>
      </c>
      <c r="L4">
        <v>7491160000000</v>
      </c>
      <c r="M4">
        <v>16364119000000</v>
      </c>
      <c r="N4">
        <v>18360562000000</v>
      </c>
      <c r="O4">
        <v>2808692000000</v>
      </c>
      <c r="P4">
        <v>479604000000</v>
      </c>
      <c r="Q4">
        <v>988095000000</v>
      </c>
      <c r="R4">
        <v>694400000000</v>
      </c>
      <c r="S4">
        <v>352420000000</v>
      </c>
      <c r="T4">
        <v>844000000000</v>
      </c>
      <c r="U4">
        <v>-690245000000</v>
      </c>
      <c r="V4">
        <f t="shared" si="0"/>
        <v>2778865000000</v>
      </c>
      <c r="W4">
        <f t="shared" si="1"/>
        <v>0</v>
      </c>
    </row>
    <row r="5" spans="1:23" x14ac:dyDescent="0.2">
      <c r="A5">
        <f>IF(D5="USD",VLOOKUP(VALUE(RIGHT(E5,4)),'USD RUB'!$E:$F,2,FALSE),1)</f>
        <v>1</v>
      </c>
      <c r="B5" s="4">
        <v>1</v>
      </c>
      <c r="C5">
        <v>1000000</v>
      </c>
      <c r="D5" t="s">
        <v>20</v>
      </c>
      <c r="E5" s="1" t="s">
        <v>23</v>
      </c>
      <c r="F5">
        <v>991889000000</v>
      </c>
      <c r="G5">
        <v>4368456000000</v>
      </c>
      <c r="H5">
        <v>20779950000000</v>
      </c>
      <c r="I5">
        <v>138420000000</v>
      </c>
      <c r="J5">
        <v>30698255000000</v>
      </c>
      <c r="K5">
        <v>4971895000000</v>
      </c>
      <c r="L5">
        <v>8065398000000</v>
      </c>
      <c r="M5">
        <v>15628372000000</v>
      </c>
      <c r="N5">
        <v>17660962000000</v>
      </c>
      <c r="O5">
        <v>10714686000000</v>
      </c>
      <c r="P5">
        <v>1456390000000</v>
      </c>
      <c r="Q5">
        <v>1662936000000</v>
      </c>
      <c r="R5">
        <v>1318710000000</v>
      </c>
      <c r="S5">
        <v>1377774000000</v>
      </c>
      <c r="T5">
        <v>3107875000000</v>
      </c>
      <c r="U5">
        <v>-2353789000000</v>
      </c>
      <c r="V5">
        <f t="shared" si="0"/>
        <v>8541818000000</v>
      </c>
      <c r="W5">
        <f t="shared" si="1"/>
        <v>28713748000000</v>
      </c>
    </row>
    <row r="6" spans="1:23" x14ac:dyDescent="0.2">
      <c r="A6">
        <f>IF(D6="USD",VLOOKUP(VALUE(RIGHT(E6,4)),'USD RUB'!$E:$F,2,FALSE),1)</f>
        <v>1</v>
      </c>
      <c r="B6" s="4">
        <v>1</v>
      </c>
      <c r="C6">
        <v>1000000</v>
      </c>
      <c r="D6" t="s">
        <v>20</v>
      </c>
      <c r="E6" s="1" t="s">
        <v>24</v>
      </c>
      <c r="F6">
        <v>933331000000</v>
      </c>
      <c r="G6">
        <v>4251488000000</v>
      </c>
      <c r="H6">
        <v>20164139000000</v>
      </c>
      <c r="I6">
        <v>138835000000</v>
      </c>
      <c r="J6">
        <v>30118258000000</v>
      </c>
      <c r="K6">
        <v>4073811000000</v>
      </c>
      <c r="L6">
        <v>8543618000000</v>
      </c>
      <c r="M6">
        <v>15504215000000</v>
      </c>
      <c r="N6">
        <v>17500829000000</v>
      </c>
      <c r="O6">
        <v>7499593000000</v>
      </c>
      <c r="P6">
        <v>1420359000000</v>
      </c>
      <c r="Q6">
        <v>1540589000000</v>
      </c>
      <c r="R6">
        <v>1057747000000</v>
      </c>
      <c r="S6">
        <v>835933000000</v>
      </c>
      <c r="T6">
        <v>2141000000000</v>
      </c>
      <c r="U6">
        <v>-1644693000000</v>
      </c>
      <c r="V6">
        <f t="shared" si="0"/>
        <v>6233540000000</v>
      </c>
      <c r="W6">
        <f t="shared" si="1"/>
        <v>0</v>
      </c>
    </row>
    <row r="7" spans="1:23" x14ac:dyDescent="0.2">
      <c r="A7">
        <f>IF(D7="USD",VLOOKUP(VALUE(RIGHT(E7,4)),'USD RUB'!$E:$F,2,FALSE),1)</f>
        <v>1</v>
      </c>
      <c r="B7" s="4">
        <v>1</v>
      </c>
      <c r="C7">
        <v>1000000</v>
      </c>
      <c r="D7" t="s">
        <v>20</v>
      </c>
      <c r="E7" s="1" t="s">
        <v>25</v>
      </c>
      <c r="F7">
        <v>669228000000</v>
      </c>
      <c r="G7">
        <v>4354199000000</v>
      </c>
      <c r="H7">
        <v>19564253000000</v>
      </c>
      <c r="I7">
        <v>138835000000</v>
      </c>
      <c r="J7">
        <v>29270926000000</v>
      </c>
      <c r="K7">
        <v>3928456000000</v>
      </c>
      <c r="L7">
        <v>7770719000000</v>
      </c>
      <c r="M7">
        <v>15617937000000</v>
      </c>
      <c r="N7">
        <v>17571751000000</v>
      </c>
      <c r="O7">
        <v>5088055000000</v>
      </c>
      <c r="P7">
        <v>1020154000000</v>
      </c>
      <c r="Q7">
        <v>1253911000000</v>
      </c>
      <c r="R7">
        <v>1095966000000</v>
      </c>
      <c r="S7">
        <v>558647000000</v>
      </c>
      <c r="T7">
        <v>1459000000000</v>
      </c>
      <c r="U7">
        <v>-1057888000000</v>
      </c>
      <c r="V7">
        <f t="shared" si="0"/>
        <v>4114280000000</v>
      </c>
      <c r="W7">
        <f t="shared" si="1"/>
        <v>27501540000000</v>
      </c>
    </row>
    <row r="8" spans="1:23" x14ac:dyDescent="0.2">
      <c r="A8">
        <f>IF(D8="USD",VLOOKUP(VALUE(RIGHT(E8,4)),'USD RUB'!$E:$F,2,FALSE),1)</f>
        <v>1</v>
      </c>
      <c r="B8" s="4">
        <v>1</v>
      </c>
      <c r="C8">
        <v>1000000</v>
      </c>
      <c r="D8" t="s">
        <v>20</v>
      </c>
      <c r="E8" s="1" t="s">
        <v>26</v>
      </c>
      <c r="O8">
        <v>2778865000000</v>
      </c>
      <c r="P8">
        <v>627436000000</v>
      </c>
      <c r="Q8">
        <v>722454000000</v>
      </c>
      <c r="R8">
        <v>677375000000</v>
      </c>
      <c r="S8">
        <v>273154000000</v>
      </c>
      <c r="T8">
        <v>909000000000</v>
      </c>
      <c r="U8">
        <v>-518874000000</v>
      </c>
      <c r="V8" t="str">
        <f t="shared" si="0"/>
        <v/>
      </c>
      <c r="W8" t="str">
        <f t="shared" si="1"/>
        <v/>
      </c>
    </row>
    <row r="9" spans="1:23" x14ac:dyDescent="0.2">
      <c r="A9">
        <f>IF(D9="USD",VLOOKUP(VALUE(RIGHT(E9,4)),'USD RUB'!$E:$F,2,FALSE),1)</f>
        <v>1</v>
      </c>
      <c r="B9" s="4">
        <v>1</v>
      </c>
      <c r="C9">
        <v>1000000</v>
      </c>
      <c r="D9" t="s">
        <v>20</v>
      </c>
      <c r="E9" s="1" t="s">
        <v>27</v>
      </c>
      <c r="F9">
        <v>1426780000000</v>
      </c>
      <c r="G9">
        <v>4780869000000</v>
      </c>
      <c r="H9">
        <v>18436207000000</v>
      </c>
      <c r="I9">
        <v>147273000000</v>
      </c>
      <c r="J9">
        <v>28713748000000</v>
      </c>
      <c r="K9">
        <v>4531986000000</v>
      </c>
      <c r="L9">
        <v>7729048000000</v>
      </c>
      <c r="M9">
        <v>14591946000000</v>
      </c>
      <c r="N9">
        <v>16452714000000</v>
      </c>
      <c r="O9">
        <v>8541818000000</v>
      </c>
      <c r="P9">
        <v>-363689000000</v>
      </c>
      <c r="Q9">
        <v>-659070000000</v>
      </c>
      <c r="R9">
        <v>-583076000000</v>
      </c>
      <c r="S9">
        <v>982058000000</v>
      </c>
      <c r="T9">
        <v>1764554000000</v>
      </c>
      <c r="U9">
        <v>-2422017000000</v>
      </c>
      <c r="V9">
        <f t="shared" si="0"/>
        <v>11673950000000</v>
      </c>
      <c r="W9">
        <f t="shared" si="1"/>
        <v>26128929000000</v>
      </c>
    </row>
    <row r="10" spans="1:23" x14ac:dyDescent="0.2">
      <c r="A10">
        <f>IF(D10="USD",VLOOKUP(VALUE(RIGHT(E10,4)),'USD RUB'!$E:$F,2,FALSE),1)</f>
        <v>1</v>
      </c>
      <c r="B10" s="4">
        <v>1</v>
      </c>
      <c r="C10">
        <v>1000000</v>
      </c>
      <c r="D10" t="s">
        <v>20</v>
      </c>
      <c r="E10" s="1" t="s">
        <v>28</v>
      </c>
      <c r="O10">
        <v>6233540000000</v>
      </c>
      <c r="P10">
        <v>1001608000000</v>
      </c>
      <c r="Q10">
        <v>470179000000</v>
      </c>
      <c r="R10">
        <v>410250000000</v>
      </c>
      <c r="S10">
        <v>707063000000</v>
      </c>
      <c r="U10">
        <v>-1766218000000</v>
      </c>
      <c r="V10" t="str">
        <f t="shared" si="0"/>
        <v/>
      </c>
      <c r="W10" t="str">
        <f t="shared" si="1"/>
        <v/>
      </c>
    </row>
    <row r="11" spans="1:23" x14ac:dyDescent="0.2">
      <c r="A11">
        <f>IF(D11="USD",VLOOKUP(VALUE(RIGHT(E11,4)),'USD RUB'!$E:$F,2,FALSE),1)</f>
        <v>1</v>
      </c>
      <c r="B11" s="4">
        <v>1</v>
      </c>
      <c r="C11">
        <v>1000000</v>
      </c>
      <c r="D11" t="s">
        <v>20</v>
      </c>
      <c r="E11" s="1" t="s">
        <v>29</v>
      </c>
      <c r="F11">
        <v>683574000000</v>
      </c>
      <c r="G11">
        <v>4134258000000</v>
      </c>
      <c r="H11">
        <v>18346111000000</v>
      </c>
      <c r="I11">
        <v>130602000000</v>
      </c>
      <c r="J11">
        <v>27501540000000</v>
      </c>
      <c r="K11">
        <v>3148033000000</v>
      </c>
      <c r="L11">
        <v>7451932000000</v>
      </c>
      <c r="N11">
        <v>16901575000000</v>
      </c>
      <c r="O11">
        <v>4114280000000</v>
      </c>
      <c r="P11">
        <v>744777000000</v>
      </c>
      <c r="Q11">
        <v>360608000000</v>
      </c>
      <c r="R11">
        <v>330996000000</v>
      </c>
      <c r="S11">
        <v>462848000000</v>
      </c>
      <c r="T11">
        <v>1228000000000</v>
      </c>
      <c r="U11">
        <v>-1188000000000</v>
      </c>
      <c r="V11" t="str">
        <f t="shared" si="0"/>
        <v/>
      </c>
      <c r="W11" t="str">
        <f t="shared" si="1"/>
        <v/>
      </c>
    </row>
    <row r="12" spans="1:23" x14ac:dyDescent="0.2">
      <c r="A12">
        <f>IF(D12="USD",VLOOKUP(VALUE(RIGHT(E12,4)),'USD RUB'!$E:$F,2,FALSE),1)</f>
        <v>1</v>
      </c>
      <c r="B12" s="4">
        <v>1</v>
      </c>
      <c r="C12">
        <v>1000000</v>
      </c>
      <c r="D12" t="s">
        <v>20</v>
      </c>
      <c r="E12" s="1" t="s">
        <v>30</v>
      </c>
      <c r="F12">
        <v>1157587000000</v>
      </c>
      <c r="G12">
        <v>4620117000000</v>
      </c>
      <c r="H12">
        <v>17419060000000</v>
      </c>
      <c r="I12">
        <v>130585000000</v>
      </c>
      <c r="J12">
        <v>26128929000000</v>
      </c>
      <c r="K12">
        <v>2900860000000</v>
      </c>
      <c r="L12">
        <v>6782224000000</v>
      </c>
      <c r="M12">
        <v>15126010000000</v>
      </c>
      <c r="N12">
        <v>16445845000000</v>
      </c>
      <c r="O12">
        <v>11673950000000</v>
      </c>
      <c r="P12">
        <v>1935159000000</v>
      </c>
      <c r="Q12">
        <v>2190558000000</v>
      </c>
      <c r="R12">
        <v>1311645000000</v>
      </c>
      <c r="S12">
        <v>862380000000</v>
      </c>
      <c r="T12">
        <v>3637555000000</v>
      </c>
      <c r="U12">
        <v>-2191642000000</v>
      </c>
      <c r="V12">
        <f t="shared" si="0"/>
        <v>10241353000000</v>
      </c>
      <c r="W12">
        <f t="shared" si="1"/>
        <v>27047230000000</v>
      </c>
    </row>
    <row r="13" spans="1:23" x14ac:dyDescent="0.2">
      <c r="A13">
        <f>IF(D13="USD",VLOOKUP(VALUE(RIGHT(E13,4)),'USD RUB'!$E:$F,2,FALSE),1)</f>
        <v>1</v>
      </c>
      <c r="B13" s="4">
        <v>1</v>
      </c>
      <c r="C13">
        <v>1000000</v>
      </c>
      <c r="D13" t="s">
        <v>20</v>
      </c>
      <c r="E13" s="1" t="s">
        <v>31</v>
      </c>
      <c r="F13">
        <v>2013923000000</v>
      </c>
      <c r="G13">
        <v>6214283000000</v>
      </c>
      <c r="H13">
        <v>16673568000000</v>
      </c>
      <c r="I13">
        <v>120768000000</v>
      </c>
      <c r="J13">
        <v>27047230000000</v>
      </c>
      <c r="K13">
        <v>4022945000000</v>
      </c>
      <c r="L13">
        <v>6157706000000</v>
      </c>
      <c r="M13">
        <v>15613466000000</v>
      </c>
      <c r="N13">
        <v>16866579000000</v>
      </c>
      <c r="O13">
        <v>10241353000000</v>
      </c>
      <c r="P13">
        <v>2411261000000</v>
      </c>
      <c r="Q13">
        <v>2769514000000</v>
      </c>
      <c r="R13">
        <v>2159086000000</v>
      </c>
      <c r="S13">
        <v>828027000000</v>
      </c>
      <c r="T13">
        <v>3686890000000</v>
      </c>
      <c r="U13">
        <v>-1933766000000</v>
      </c>
      <c r="V13">
        <f t="shared" si="0"/>
        <v>6321559000000</v>
      </c>
      <c r="W13">
        <f t="shared" si="1"/>
        <v>23352185000000</v>
      </c>
    </row>
    <row r="14" spans="1:23" x14ac:dyDescent="0.2">
      <c r="A14">
        <f>IF(D14="USD",VLOOKUP(VALUE(RIGHT(E14,4)),'USD RUB'!$E:$F,2,FALSE),1)</f>
        <v>1</v>
      </c>
      <c r="B14" s="4">
        <v>1</v>
      </c>
      <c r="C14">
        <v>1000000</v>
      </c>
      <c r="D14" t="s">
        <v>20</v>
      </c>
      <c r="E14" s="1" t="s">
        <v>32</v>
      </c>
      <c r="F14">
        <v>1307630000000</v>
      </c>
      <c r="G14">
        <v>5247814000000</v>
      </c>
      <c r="H14">
        <v>16552055000000</v>
      </c>
      <c r="I14">
        <v>120668000000</v>
      </c>
      <c r="J14">
        <v>26012278000000</v>
      </c>
      <c r="K14">
        <v>3669488000000</v>
      </c>
      <c r="L14">
        <v>6002616000000</v>
      </c>
      <c r="M14">
        <v>15121009000000</v>
      </c>
      <c r="N14">
        <v>16340174000000</v>
      </c>
      <c r="O14">
        <v>6725132000000</v>
      </c>
      <c r="P14">
        <v>1589217000000</v>
      </c>
      <c r="Q14">
        <v>1946480000000</v>
      </c>
      <c r="R14">
        <v>1579938000000</v>
      </c>
      <c r="S14">
        <v>619993000000</v>
      </c>
      <c r="T14">
        <v>2213614000000</v>
      </c>
      <c r="U14">
        <v>-1293894000000</v>
      </c>
      <c r="V14">
        <f t="shared" si="0"/>
        <v>4301218000000</v>
      </c>
      <c r="W14">
        <f t="shared" si="1"/>
        <v>22460133000000</v>
      </c>
    </row>
    <row r="15" spans="1:23" x14ac:dyDescent="0.2">
      <c r="A15">
        <f>IF(D15="USD",VLOOKUP(VALUE(RIGHT(E15,4)),'USD RUB'!$E:$F,2,FALSE),1)</f>
        <v>1</v>
      </c>
      <c r="B15" s="4">
        <v>1</v>
      </c>
      <c r="C15">
        <v>1000000</v>
      </c>
      <c r="D15" t="s">
        <v>20</v>
      </c>
      <c r="E15" s="1" t="s">
        <v>33</v>
      </c>
      <c r="F15">
        <v>1411790000000</v>
      </c>
      <c r="G15">
        <v>4411770000000</v>
      </c>
      <c r="H15">
        <v>16305814000000</v>
      </c>
      <c r="I15">
        <v>120949000000</v>
      </c>
      <c r="J15">
        <v>24624250000000</v>
      </c>
      <c r="K15">
        <v>2966366000000</v>
      </c>
      <c r="L15">
        <v>6025111000000</v>
      </c>
      <c r="M15">
        <v>14483314000000</v>
      </c>
      <c r="N15">
        <v>15632773000000</v>
      </c>
      <c r="O15">
        <v>4351968000000</v>
      </c>
      <c r="P15">
        <v>986598000000</v>
      </c>
      <c r="Q15">
        <v>1241226000000</v>
      </c>
      <c r="R15">
        <v>995521000000</v>
      </c>
      <c r="S15">
        <v>413843000000</v>
      </c>
      <c r="T15">
        <v>1403981000000</v>
      </c>
      <c r="U15">
        <v>-831440000000</v>
      </c>
      <c r="V15">
        <f t="shared" si="0"/>
        <v>2903148000000</v>
      </c>
      <c r="W15">
        <f t="shared" si="1"/>
        <v>22059001000000</v>
      </c>
    </row>
    <row r="16" spans="1:23" x14ac:dyDescent="0.2">
      <c r="A16">
        <f>IF(D16="USD",VLOOKUP(VALUE(RIGHT(E16,4)),'USD RUB'!$E:$F,2,FALSE),1)</f>
        <v>1</v>
      </c>
      <c r="B16" s="4">
        <v>1</v>
      </c>
      <c r="C16">
        <v>1000000</v>
      </c>
      <c r="D16" t="s">
        <v>20</v>
      </c>
      <c r="E16" s="1" t="s">
        <v>34</v>
      </c>
      <c r="F16">
        <v>1271783000000</v>
      </c>
      <c r="G16">
        <v>4083210000000</v>
      </c>
      <c r="H16">
        <v>16148208000000</v>
      </c>
      <c r="I16">
        <v>121208000000</v>
      </c>
      <c r="J16">
        <v>24020955000000</v>
      </c>
      <c r="K16">
        <v>2513817000000</v>
      </c>
      <c r="L16">
        <v>6099450000000</v>
      </c>
      <c r="M16">
        <v>14304146000000</v>
      </c>
      <c r="N16">
        <v>15407688000000</v>
      </c>
      <c r="O16">
        <v>2285161000000</v>
      </c>
      <c r="P16">
        <v>490193000000</v>
      </c>
      <c r="Q16">
        <v>573486000000</v>
      </c>
      <c r="R16">
        <v>465614000000</v>
      </c>
      <c r="S16">
        <v>207670000000</v>
      </c>
      <c r="T16">
        <v>700596000000</v>
      </c>
      <c r="U16">
        <v>-414783000000</v>
      </c>
      <c r="V16">
        <f t="shared" si="0"/>
        <v>1739832000000</v>
      </c>
      <c r="W16">
        <f t="shared" si="1"/>
        <v>22479468000000</v>
      </c>
    </row>
    <row r="17" spans="1:23" x14ac:dyDescent="0.2">
      <c r="A17">
        <f>IF(D17="USD",VLOOKUP(VALUE(RIGHT(E17,4)),'USD RUB'!$E:$F,2,FALSE),1)</f>
        <v>1</v>
      </c>
      <c r="B17" s="4">
        <v>1</v>
      </c>
      <c r="C17">
        <v>1000000</v>
      </c>
      <c r="D17" t="s">
        <v>20</v>
      </c>
      <c r="E17" s="1" t="s">
        <v>35</v>
      </c>
      <c r="F17">
        <v>1034919000000</v>
      </c>
      <c r="G17">
        <v>3774289000000</v>
      </c>
      <c r="H17">
        <v>16103095000000</v>
      </c>
      <c r="I17">
        <v>119854000000</v>
      </c>
      <c r="J17">
        <v>23352185000000</v>
      </c>
      <c r="K17">
        <v>2626964000000</v>
      </c>
      <c r="L17">
        <v>5920489000000</v>
      </c>
      <c r="M17">
        <v>13717464000000</v>
      </c>
      <c r="N17">
        <v>14804732000000</v>
      </c>
      <c r="O17">
        <v>6321559000000</v>
      </c>
      <c r="P17">
        <v>614851000000</v>
      </c>
      <c r="Q17">
        <v>133469000000</v>
      </c>
      <c r="R17">
        <v>162407000000</v>
      </c>
      <c r="S17">
        <v>798436000000</v>
      </c>
      <c r="T17">
        <v>1466541000000</v>
      </c>
      <c r="U17">
        <v>-1522565000000</v>
      </c>
      <c r="V17">
        <f t="shared" si="0"/>
        <v>7659623000000</v>
      </c>
      <c r="W17">
        <f t="shared" si="1"/>
        <v>21882348000000</v>
      </c>
    </row>
    <row r="18" spans="1:23" x14ac:dyDescent="0.2">
      <c r="A18">
        <f>IF(D18="USD",VLOOKUP(VALUE(RIGHT(E18,4)),'USD RUB'!$E:$F,2,FALSE),1)</f>
        <v>1</v>
      </c>
      <c r="B18" s="4">
        <v>1</v>
      </c>
      <c r="C18">
        <v>1000000</v>
      </c>
      <c r="D18" t="s">
        <v>20</v>
      </c>
      <c r="E18" s="1" t="s">
        <v>36</v>
      </c>
      <c r="F18">
        <v>498740000000</v>
      </c>
      <c r="G18">
        <v>3157758000000</v>
      </c>
      <c r="H18">
        <v>15771007000000</v>
      </c>
      <c r="I18">
        <v>133589000000</v>
      </c>
      <c r="J18">
        <v>22460133000000</v>
      </c>
      <c r="K18">
        <v>2251279000000</v>
      </c>
      <c r="L18">
        <v>5871308000000</v>
      </c>
      <c r="M18">
        <v>13469895000000</v>
      </c>
      <c r="N18">
        <v>14337546000000</v>
      </c>
      <c r="O18">
        <v>4301218000000</v>
      </c>
      <c r="P18">
        <v>325152000000</v>
      </c>
      <c r="Q18">
        <v>-327023000000</v>
      </c>
      <c r="R18">
        <v>-202207000000</v>
      </c>
      <c r="S18">
        <v>594635000000</v>
      </c>
      <c r="T18">
        <v>935000000000</v>
      </c>
      <c r="U18">
        <v>-1089456000000</v>
      </c>
      <c r="V18">
        <f t="shared" si="0"/>
        <v>5698339000000</v>
      </c>
      <c r="W18">
        <f t="shared" si="1"/>
        <v>21384390000000</v>
      </c>
    </row>
    <row r="19" spans="1:23" x14ac:dyDescent="0.2">
      <c r="A19">
        <f>IF(D19="USD",VLOOKUP(VALUE(RIGHT(E19,4)),'USD RUB'!$E:$F,2,FALSE),1)</f>
        <v>1</v>
      </c>
      <c r="B19" s="4">
        <v>1</v>
      </c>
      <c r="C19">
        <v>1000000</v>
      </c>
      <c r="D19" t="s">
        <v>20</v>
      </c>
      <c r="E19" s="1" t="s">
        <v>37</v>
      </c>
      <c r="F19">
        <v>738836000000</v>
      </c>
      <c r="G19">
        <v>3511030000000</v>
      </c>
      <c r="H19">
        <v>15259745000000</v>
      </c>
      <c r="I19">
        <v>130995000000</v>
      </c>
      <c r="J19">
        <v>22059001000000</v>
      </c>
      <c r="K19">
        <v>2367514000000</v>
      </c>
      <c r="L19">
        <v>5381914000000</v>
      </c>
      <c r="M19">
        <v>13461589000000</v>
      </c>
      <c r="N19">
        <v>14309573000000</v>
      </c>
      <c r="O19">
        <v>2903148000000</v>
      </c>
      <c r="P19">
        <v>189985000000</v>
      </c>
      <c r="Q19">
        <v>-16806000000</v>
      </c>
      <c r="R19">
        <v>45460000000</v>
      </c>
      <c r="S19">
        <v>396891000000</v>
      </c>
      <c r="T19">
        <v>601000000000</v>
      </c>
      <c r="U19">
        <v>-720196000000</v>
      </c>
      <c r="V19">
        <f t="shared" si="0"/>
        <v>4076751000000</v>
      </c>
      <c r="W19">
        <f t="shared" si="1"/>
        <v>21282648000000</v>
      </c>
    </row>
    <row r="20" spans="1:23" x14ac:dyDescent="0.2">
      <c r="A20">
        <f>IF(D20="USD",VLOOKUP(VALUE(RIGHT(E20,4)),'USD RUB'!$E:$F,2,FALSE),1)</f>
        <v>1</v>
      </c>
      <c r="B20" s="4">
        <v>1</v>
      </c>
      <c r="C20">
        <v>1000000</v>
      </c>
      <c r="D20" t="s">
        <v>20</v>
      </c>
      <c r="E20" s="1" t="s">
        <v>38</v>
      </c>
      <c r="F20">
        <v>772924000000</v>
      </c>
      <c r="G20">
        <v>3802641000000</v>
      </c>
      <c r="H20">
        <v>15357259000000</v>
      </c>
      <c r="I20">
        <v>132609000000</v>
      </c>
      <c r="J20">
        <v>22479468000000</v>
      </c>
      <c r="K20">
        <v>2349965000000</v>
      </c>
      <c r="L20">
        <v>5441798000000</v>
      </c>
      <c r="M20">
        <v>13822007000000</v>
      </c>
      <c r="N20">
        <v>14687705000000</v>
      </c>
      <c r="O20">
        <v>1739832000000</v>
      </c>
      <c r="P20">
        <v>293459000000</v>
      </c>
      <c r="Q20">
        <v>-208720000000</v>
      </c>
      <c r="R20">
        <v>-108082000000</v>
      </c>
      <c r="S20">
        <v>199564000000</v>
      </c>
      <c r="T20">
        <v>507000000000</v>
      </c>
      <c r="U20">
        <v>-419458000000</v>
      </c>
      <c r="V20">
        <f t="shared" si="0"/>
        <v>2291821000000</v>
      </c>
      <c r="W20">
        <f t="shared" si="1"/>
        <v>21234741000000</v>
      </c>
    </row>
    <row r="21" spans="1:23" x14ac:dyDescent="0.2">
      <c r="A21">
        <f>IF(D21="USD",VLOOKUP(VALUE(RIGHT(E21,4)),'USD RUB'!$E:$F,2,FALSE),1)</f>
        <v>1</v>
      </c>
      <c r="B21" s="4">
        <v>1</v>
      </c>
      <c r="C21">
        <v>1000000</v>
      </c>
      <c r="D21" t="s">
        <v>20</v>
      </c>
      <c r="E21" s="1" t="s">
        <v>39</v>
      </c>
      <c r="F21">
        <v>696057000000</v>
      </c>
      <c r="G21">
        <v>3828153000000</v>
      </c>
      <c r="H21">
        <v>14856448000000</v>
      </c>
      <c r="I21">
        <v>130028000000</v>
      </c>
      <c r="J21">
        <v>21882348000000</v>
      </c>
      <c r="K21">
        <v>2527476000000</v>
      </c>
      <c r="L21">
        <v>4739185000000</v>
      </c>
      <c r="M21">
        <v>13779970000000</v>
      </c>
      <c r="N21">
        <v>14615687000000</v>
      </c>
      <c r="O21">
        <v>7659623000000</v>
      </c>
      <c r="P21">
        <v>1119857000000</v>
      </c>
      <c r="Q21">
        <v>1627065000000</v>
      </c>
      <c r="R21">
        <v>1269517000000</v>
      </c>
      <c r="S21">
        <v>715229000000</v>
      </c>
      <c r="T21">
        <v>1859679000000</v>
      </c>
      <c r="U21">
        <v>-1775923000000</v>
      </c>
      <c r="V21">
        <f t="shared" si="0"/>
        <v>8224177000000</v>
      </c>
      <c r="W21">
        <f t="shared" si="1"/>
        <v>20810440000000</v>
      </c>
    </row>
    <row r="22" spans="1:23" x14ac:dyDescent="0.2">
      <c r="A22">
        <f>IF(D22="USD",VLOOKUP(VALUE(RIGHT(E22,4)),'USD RUB'!$E:$F,2,FALSE),1)</f>
        <v>1</v>
      </c>
      <c r="B22" s="4">
        <v>1</v>
      </c>
      <c r="C22">
        <v>1000000</v>
      </c>
      <c r="D22" t="s">
        <v>20</v>
      </c>
      <c r="E22" s="1" t="s">
        <v>40</v>
      </c>
      <c r="F22">
        <v>960597000000</v>
      </c>
      <c r="G22">
        <v>3697370000000</v>
      </c>
      <c r="H22">
        <v>14308754000000</v>
      </c>
      <c r="I22">
        <v>107442000000</v>
      </c>
      <c r="J22">
        <v>21384390000000</v>
      </c>
      <c r="K22">
        <v>2114021000000</v>
      </c>
      <c r="L22">
        <v>4842643000000</v>
      </c>
      <c r="M22">
        <v>13720954000000</v>
      </c>
      <c r="N22">
        <v>14427726000000</v>
      </c>
      <c r="O22">
        <v>5698339000000</v>
      </c>
      <c r="P22">
        <v>972631000000</v>
      </c>
      <c r="Q22">
        <v>1399454000000</v>
      </c>
      <c r="R22">
        <v>1106948000000</v>
      </c>
      <c r="S22">
        <v>525044000000</v>
      </c>
      <c r="T22">
        <v>371000000000</v>
      </c>
      <c r="U22">
        <v>-1224735000000</v>
      </c>
      <c r="V22">
        <f t="shared" si="0"/>
        <v>5901591000000</v>
      </c>
      <c r="W22">
        <f t="shared" si="1"/>
        <v>19935162000000</v>
      </c>
    </row>
    <row r="23" spans="1:23" x14ac:dyDescent="0.2">
      <c r="A23">
        <f>IF(D23="USD",VLOOKUP(VALUE(RIGHT(E23,4)),'USD RUB'!$E:$F,2,FALSE),1)</f>
        <v>1</v>
      </c>
      <c r="B23" s="4">
        <v>1</v>
      </c>
      <c r="C23">
        <v>1000000</v>
      </c>
      <c r="D23" t="s">
        <v>20</v>
      </c>
      <c r="E23" s="1" t="s">
        <v>41</v>
      </c>
      <c r="F23">
        <v>1153970000000</v>
      </c>
      <c r="G23">
        <v>3961800000000</v>
      </c>
      <c r="H23">
        <v>14008873000000</v>
      </c>
      <c r="I23">
        <v>107596000000</v>
      </c>
      <c r="J23">
        <v>21282648000000</v>
      </c>
      <c r="K23">
        <v>2447455000000</v>
      </c>
      <c r="L23">
        <v>4752433000000</v>
      </c>
      <c r="M23">
        <v>13496359000000</v>
      </c>
      <c r="N23">
        <v>14082760000000</v>
      </c>
      <c r="O23">
        <v>4076751000000</v>
      </c>
      <c r="P23">
        <v>780878000000</v>
      </c>
      <c r="Q23">
        <v>1125278000000</v>
      </c>
      <c r="R23">
        <v>878644000000</v>
      </c>
      <c r="S23">
        <v>347875000000</v>
      </c>
      <c r="T23">
        <v>497000000000</v>
      </c>
      <c r="U23">
        <v>-788381000000</v>
      </c>
      <c r="V23">
        <f t="shared" si="0"/>
        <v>3971555000000</v>
      </c>
      <c r="W23">
        <f t="shared" si="1"/>
        <v>19120236000000</v>
      </c>
    </row>
    <row r="24" spans="1:23" x14ac:dyDescent="0.2">
      <c r="A24">
        <f>IF(D24="USD",VLOOKUP(VALUE(RIGHT(E24,4)),'USD RUB'!$E:$F,2,FALSE),1)</f>
        <v>1</v>
      </c>
      <c r="B24" s="4">
        <v>1</v>
      </c>
      <c r="C24">
        <v>1000000</v>
      </c>
      <c r="D24" t="s">
        <v>20</v>
      </c>
      <c r="E24" s="1" t="s">
        <v>42</v>
      </c>
      <c r="F24">
        <v>1053729000000</v>
      </c>
      <c r="G24">
        <v>4171404000000</v>
      </c>
      <c r="H24">
        <v>13803466000000</v>
      </c>
      <c r="I24">
        <v>107797000000</v>
      </c>
      <c r="J24">
        <v>21234741000000</v>
      </c>
      <c r="K24">
        <v>2371026000000</v>
      </c>
      <c r="L24">
        <v>4718066000000</v>
      </c>
      <c r="M24">
        <v>13565381000000</v>
      </c>
      <c r="N24">
        <v>14145649000000</v>
      </c>
      <c r="O24">
        <v>2291821000000</v>
      </c>
      <c r="P24">
        <v>458762000000</v>
      </c>
      <c r="Q24">
        <v>711926000000</v>
      </c>
      <c r="R24">
        <v>559513000000</v>
      </c>
      <c r="S24">
        <v>172652000000</v>
      </c>
      <c r="T24">
        <v>634000000000</v>
      </c>
      <c r="U24">
        <v>-441190000000</v>
      </c>
      <c r="V24">
        <f t="shared" si="0"/>
        <v>2138331000000</v>
      </c>
      <c r="W24">
        <f t="shared" si="1"/>
        <v>18586853000000</v>
      </c>
    </row>
    <row r="25" spans="1:23" x14ac:dyDescent="0.2">
      <c r="A25">
        <f>IF(D25="USD",VLOOKUP(VALUE(RIGHT(E25,4)),'USD RUB'!$E:$F,2,FALSE),1)</f>
        <v>1</v>
      </c>
      <c r="B25" s="4">
        <v>1</v>
      </c>
      <c r="C25">
        <v>1000000</v>
      </c>
      <c r="D25" t="s">
        <v>20</v>
      </c>
      <c r="E25" s="1" t="s">
        <v>43</v>
      </c>
      <c r="F25">
        <v>849419000000</v>
      </c>
      <c r="G25">
        <v>4212230000000</v>
      </c>
      <c r="H25">
        <v>13809434000000</v>
      </c>
      <c r="I25">
        <v>108097000000</v>
      </c>
      <c r="J25">
        <v>20810440000000</v>
      </c>
      <c r="K25">
        <v>2473695000000</v>
      </c>
      <c r="L25">
        <v>4560592000000</v>
      </c>
      <c r="M25">
        <v>13210734000000</v>
      </c>
      <c r="N25">
        <v>13776153000000</v>
      </c>
      <c r="O25">
        <v>8224177000000</v>
      </c>
      <c r="P25">
        <v>1930030000000</v>
      </c>
      <c r="Q25">
        <v>1852562000000</v>
      </c>
      <c r="R25">
        <v>1528996000000</v>
      </c>
      <c r="S25">
        <v>647993000000</v>
      </c>
      <c r="T25">
        <v>2599284000000</v>
      </c>
      <c r="U25">
        <v>-1639474000000</v>
      </c>
      <c r="V25">
        <f t="shared" si="0"/>
        <v>6546143000000</v>
      </c>
      <c r="W25">
        <f t="shared" si="1"/>
        <v>18238770000000</v>
      </c>
    </row>
    <row r="26" spans="1:23" x14ac:dyDescent="0.2">
      <c r="A26">
        <f>IF(D26="USD",VLOOKUP(VALUE(RIGHT(E26,4)),'USD RUB'!$E:$F,2,FALSE),1)</f>
        <v>1</v>
      </c>
      <c r="B26" s="4">
        <v>1</v>
      </c>
      <c r="C26">
        <v>1000000</v>
      </c>
      <c r="D26" t="s">
        <v>20</v>
      </c>
      <c r="E26" s="1" t="s">
        <v>44</v>
      </c>
      <c r="F26">
        <v>885721000000</v>
      </c>
      <c r="G26">
        <v>3827069000000</v>
      </c>
      <c r="H26">
        <v>13377197000000</v>
      </c>
      <c r="I26">
        <v>107497000000</v>
      </c>
      <c r="J26">
        <v>19935162000000</v>
      </c>
      <c r="K26">
        <v>2492947000000</v>
      </c>
      <c r="L26">
        <v>4116455000000</v>
      </c>
      <c r="M26">
        <v>12786824000000</v>
      </c>
      <c r="N26">
        <v>13325760000000</v>
      </c>
      <c r="O26">
        <v>5901591000000</v>
      </c>
      <c r="P26">
        <v>1384951000000</v>
      </c>
      <c r="Q26">
        <v>1315902000000</v>
      </c>
      <c r="R26">
        <v>1064086000000</v>
      </c>
      <c r="S26">
        <v>476136000000</v>
      </c>
      <c r="T26">
        <v>664000000000</v>
      </c>
      <c r="U26">
        <v>-1191595000000</v>
      </c>
      <c r="V26">
        <f t="shared" si="0"/>
        <v>4641596000000</v>
      </c>
      <c r="W26">
        <f t="shared" si="1"/>
        <v>17498077000000</v>
      </c>
    </row>
    <row r="27" spans="1:23" x14ac:dyDescent="0.2">
      <c r="A27">
        <f>IF(D27="USD",VLOOKUP(VALUE(RIGHT(E27,4)),'USD RUB'!$E:$F,2,FALSE),1)</f>
        <v>1</v>
      </c>
      <c r="B27" s="4">
        <v>1</v>
      </c>
      <c r="C27">
        <v>1000000</v>
      </c>
      <c r="D27" t="s">
        <v>20</v>
      </c>
      <c r="E27" s="1" t="s">
        <v>45</v>
      </c>
      <c r="F27">
        <v>933974000000</v>
      </c>
      <c r="G27">
        <v>3589958000000</v>
      </c>
      <c r="H27">
        <v>13029588000000</v>
      </c>
      <c r="I27">
        <v>106941000000</v>
      </c>
      <c r="J27">
        <v>19120236000000</v>
      </c>
      <c r="K27">
        <v>2507630000000</v>
      </c>
      <c r="L27">
        <v>3930067000000</v>
      </c>
      <c r="M27">
        <v>12182943000000</v>
      </c>
      <c r="N27">
        <v>12682539000000</v>
      </c>
      <c r="O27">
        <v>3971555000000</v>
      </c>
      <c r="P27">
        <v>879273000000</v>
      </c>
      <c r="Q27">
        <v>835963000000</v>
      </c>
      <c r="R27">
        <v>663551000000</v>
      </c>
      <c r="S27">
        <v>318547000000</v>
      </c>
      <c r="T27">
        <v>572000000000</v>
      </c>
      <c r="U27">
        <v>-791128000000</v>
      </c>
      <c r="V27">
        <f t="shared" si="0"/>
        <v>3209934000000</v>
      </c>
      <c r="W27">
        <f t="shared" si="1"/>
        <v>17319819000000</v>
      </c>
    </row>
    <row r="28" spans="1:23" x14ac:dyDescent="0.2">
      <c r="A28">
        <f>IF(D28="USD",VLOOKUP(VALUE(RIGHT(E28,4)),'USD RUB'!$E:$F,2,FALSE),1)</f>
        <v>1</v>
      </c>
      <c r="B28" s="4">
        <v>1</v>
      </c>
      <c r="C28">
        <v>1000000</v>
      </c>
      <c r="D28" t="s">
        <v>20</v>
      </c>
      <c r="E28" s="1" t="s">
        <v>46</v>
      </c>
      <c r="F28">
        <v>951055000000</v>
      </c>
      <c r="G28">
        <v>3591510000000</v>
      </c>
      <c r="H28">
        <v>12700244000000</v>
      </c>
      <c r="I28">
        <v>106429000000</v>
      </c>
      <c r="J28">
        <v>18586853000000</v>
      </c>
      <c r="K28">
        <v>2260811000000</v>
      </c>
      <c r="L28">
        <v>3894158000000</v>
      </c>
      <c r="M28">
        <v>11936487000000</v>
      </c>
      <c r="N28">
        <v>12431884000000</v>
      </c>
      <c r="O28">
        <v>2138331000000</v>
      </c>
      <c r="P28">
        <v>467581000000</v>
      </c>
      <c r="Q28">
        <v>495218000000</v>
      </c>
      <c r="R28">
        <v>392169000000</v>
      </c>
      <c r="S28">
        <v>158286000000</v>
      </c>
      <c r="T28">
        <v>630000000000</v>
      </c>
      <c r="U28">
        <v>-435765000000</v>
      </c>
      <c r="V28">
        <f t="shared" si="0"/>
        <v>1815301000000</v>
      </c>
      <c r="W28">
        <f t="shared" si="1"/>
        <v>16808867000000</v>
      </c>
    </row>
    <row r="29" spans="1:23" x14ac:dyDescent="0.2">
      <c r="A29">
        <f>IF(D29="USD",VLOOKUP(VALUE(RIGHT(E29,4)),'USD RUB'!$E:$F,2,FALSE),1)</f>
        <v>1</v>
      </c>
      <c r="B29" s="4">
        <v>1</v>
      </c>
      <c r="C29">
        <v>1000000</v>
      </c>
      <c r="D29" t="s">
        <v>20</v>
      </c>
      <c r="E29" s="1" t="s">
        <v>47</v>
      </c>
      <c r="F29">
        <v>869007000000</v>
      </c>
      <c r="G29">
        <v>3469266000000</v>
      </c>
      <c r="H29">
        <v>12545079000000</v>
      </c>
      <c r="I29">
        <v>105469000000</v>
      </c>
      <c r="J29">
        <v>18238770000000</v>
      </c>
      <c r="K29">
        <v>2589516000000</v>
      </c>
      <c r="L29">
        <v>3633773000000</v>
      </c>
      <c r="M29">
        <v>11539811000000</v>
      </c>
      <c r="N29">
        <v>12015481000000</v>
      </c>
      <c r="O29">
        <v>6546143000000</v>
      </c>
      <c r="P29">
        <v>870523000000</v>
      </c>
      <c r="Q29">
        <v>1018006000000</v>
      </c>
      <c r="R29">
        <v>766879000000</v>
      </c>
      <c r="S29">
        <v>613160000000</v>
      </c>
      <c r="T29">
        <v>1466910000000</v>
      </c>
      <c r="U29">
        <v>-1405780000000</v>
      </c>
      <c r="V29">
        <f t="shared" si="0"/>
        <v>6111051000000</v>
      </c>
      <c r="W29">
        <f t="shared" si="1"/>
        <v>16918938000000</v>
      </c>
    </row>
    <row r="30" spans="1:23" x14ac:dyDescent="0.2">
      <c r="A30">
        <f>IF(D30="USD",VLOOKUP(VALUE(RIGHT(E30,4)),'USD RUB'!$E:$F,2,FALSE),1)</f>
        <v>1</v>
      </c>
      <c r="B30" s="4">
        <v>1</v>
      </c>
      <c r="C30">
        <v>1000000</v>
      </c>
      <c r="D30" t="s">
        <v>20</v>
      </c>
      <c r="E30" s="1" t="s">
        <v>48</v>
      </c>
      <c r="F30">
        <v>499672000000</v>
      </c>
      <c r="G30">
        <v>3249791000000</v>
      </c>
      <c r="H30">
        <v>12005329000000</v>
      </c>
      <c r="I30">
        <v>105302000000</v>
      </c>
      <c r="J30">
        <v>17498077000000</v>
      </c>
      <c r="K30">
        <v>1983959000000</v>
      </c>
      <c r="L30">
        <v>3719290000000</v>
      </c>
      <c r="M30">
        <v>11332336000000</v>
      </c>
      <c r="N30">
        <v>11794828000000</v>
      </c>
      <c r="O30">
        <v>4641596000000</v>
      </c>
      <c r="P30">
        <v>695637000000</v>
      </c>
      <c r="Q30">
        <v>799876000000</v>
      </c>
      <c r="R30">
        <v>615625000000</v>
      </c>
      <c r="S30">
        <v>448579000000</v>
      </c>
      <c r="T30">
        <v>356000000000</v>
      </c>
      <c r="U30">
        <v>-987823000000</v>
      </c>
      <c r="V30">
        <f t="shared" si="0"/>
        <v>4321364000000</v>
      </c>
      <c r="W30">
        <f t="shared" si="1"/>
        <v>16668492000000</v>
      </c>
    </row>
    <row r="31" spans="1:23" x14ac:dyDescent="0.2">
      <c r="A31">
        <f>IF(D31="USD",VLOOKUP(VALUE(RIGHT(E31,4)),'USD RUB'!$E:$F,2,FALSE),1)</f>
        <v>1</v>
      </c>
      <c r="B31" s="4">
        <v>1</v>
      </c>
      <c r="C31">
        <v>1000000</v>
      </c>
      <c r="D31" t="s">
        <v>20</v>
      </c>
      <c r="E31" s="1" t="s">
        <v>49</v>
      </c>
      <c r="F31">
        <v>779999000000</v>
      </c>
      <c r="G31">
        <v>3339702000000</v>
      </c>
      <c r="H31">
        <v>11795518000000</v>
      </c>
      <c r="I31">
        <v>105021000000</v>
      </c>
      <c r="J31">
        <v>17319819000000</v>
      </c>
      <c r="K31">
        <v>1925398000000</v>
      </c>
      <c r="L31">
        <v>3769117000000</v>
      </c>
      <c r="M31">
        <v>11170589000000</v>
      </c>
      <c r="N31">
        <v>11625304000000</v>
      </c>
      <c r="O31">
        <v>3209934000000</v>
      </c>
      <c r="P31">
        <v>484301000000</v>
      </c>
      <c r="Q31">
        <v>536737000000</v>
      </c>
      <c r="R31">
        <v>408054000000</v>
      </c>
      <c r="S31">
        <v>303303000000</v>
      </c>
      <c r="T31">
        <v>349000000000</v>
      </c>
      <c r="U31">
        <v>-651508000000</v>
      </c>
      <c r="V31">
        <f t="shared" si="0"/>
        <v>3064372000000</v>
      </c>
      <c r="W31">
        <f t="shared" si="1"/>
        <v>16903001000000</v>
      </c>
    </row>
    <row r="32" spans="1:23" x14ac:dyDescent="0.2">
      <c r="A32">
        <f>IF(D32="USD",VLOOKUP(VALUE(RIGHT(E32,4)),'USD RUB'!$E:$F,2,FALSE),1)</f>
        <v>1</v>
      </c>
      <c r="B32" s="4">
        <v>1</v>
      </c>
      <c r="C32">
        <v>1000000</v>
      </c>
      <c r="D32" t="s">
        <v>20</v>
      </c>
      <c r="E32" s="1" t="s">
        <v>50</v>
      </c>
      <c r="F32">
        <v>686746000000</v>
      </c>
      <c r="G32">
        <v>3224056000000</v>
      </c>
      <c r="H32">
        <v>11539885000000</v>
      </c>
      <c r="I32">
        <v>103419000000</v>
      </c>
      <c r="J32">
        <v>16808867000000</v>
      </c>
      <c r="K32">
        <v>1644045000000</v>
      </c>
      <c r="L32">
        <v>3520182000000</v>
      </c>
      <c r="M32">
        <v>11196415000000</v>
      </c>
      <c r="N32">
        <v>11644640000000</v>
      </c>
      <c r="O32">
        <v>1815301000000</v>
      </c>
      <c r="P32">
        <v>294003000000</v>
      </c>
      <c r="Q32">
        <v>454048000000</v>
      </c>
      <c r="R32">
        <v>350387000000</v>
      </c>
      <c r="S32">
        <v>149694000000</v>
      </c>
      <c r="T32">
        <v>450000000000</v>
      </c>
      <c r="U32">
        <v>-321487000000</v>
      </c>
      <c r="V32">
        <f t="shared" si="0"/>
        <v>1737364000000</v>
      </c>
      <c r="W32">
        <f t="shared" si="1"/>
        <v>17148311000000</v>
      </c>
    </row>
    <row r="33" spans="1:23" x14ac:dyDescent="0.2">
      <c r="A33">
        <f>IF(D33="USD",VLOOKUP(VALUE(RIGHT(E33,4)),'USD RUB'!$E:$F,2,FALSE),1)</f>
        <v>1</v>
      </c>
      <c r="B33" s="4">
        <v>1</v>
      </c>
      <c r="C33">
        <v>1000000</v>
      </c>
      <c r="D33" t="s">
        <v>20</v>
      </c>
      <c r="E33" s="1" t="s">
        <v>51</v>
      </c>
      <c r="F33">
        <v>896728000000</v>
      </c>
      <c r="G33">
        <v>3234346000000</v>
      </c>
      <c r="H33">
        <v>11502747000000</v>
      </c>
      <c r="J33">
        <v>16918938000000</v>
      </c>
      <c r="K33">
        <v>1921808000000</v>
      </c>
      <c r="L33">
        <v>3555291000000</v>
      </c>
      <c r="M33">
        <v>11005256000000</v>
      </c>
      <c r="N33">
        <v>11441839000000</v>
      </c>
      <c r="O33">
        <v>6111051000000</v>
      </c>
      <c r="P33">
        <v>725580000000</v>
      </c>
      <c r="Q33">
        <v>1285138000000</v>
      </c>
      <c r="R33">
        <v>997104000000</v>
      </c>
      <c r="T33">
        <v>1322000000000</v>
      </c>
      <c r="U33">
        <v>1369000000000</v>
      </c>
      <c r="V33">
        <f t="shared" si="0"/>
        <v>6073318000000</v>
      </c>
      <c r="W33">
        <f t="shared" si="1"/>
        <v>17052040000000</v>
      </c>
    </row>
    <row r="34" spans="1:23" x14ac:dyDescent="0.2">
      <c r="A34">
        <f>IF(D34="USD",VLOOKUP(VALUE(RIGHT(E34,4)),'USD RUB'!$E:$F,2,FALSE),1)</f>
        <v>1</v>
      </c>
      <c r="B34" s="4">
        <v>1</v>
      </c>
      <c r="C34">
        <v>1000000</v>
      </c>
      <c r="D34" t="s">
        <v>20</v>
      </c>
      <c r="E34" s="1" t="s">
        <v>52</v>
      </c>
      <c r="F34">
        <v>787627000000</v>
      </c>
      <c r="G34">
        <v>3073814000000</v>
      </c>
      <c r="H34">
        <v>11311016000000</v>
      </c>
      <c r="J34">
        <v>16668492000000</v>
      </c>
      <c r="K34">
        <v>1758763000000</v>
      </c>
      <c r="L34">
        <v>3795556000000</v>
      </c>
      <c r="M34">
        <v>10682371000000</v>
      </c>
      <c r="N34">
        <v>11114173000000</v>
      </c>
      <c r="O34">
        <v>4321364000000</v>
      </c>
      <c r="P34">
        <v>567820000000</v>
      </c>
      <c r="Q34">
        <v>941690000000</v>
      </c>
      <c r="R34">
        <v>737391000000</v>
      </c>
      <c r="U34">
        <v>1069326000000</v>
      </c>
      <c r="V34">
        <f t="shared" ref="V34:V65" si="2">_xlfn.XLOOKUP(LEFT(E34,LEN(E34)-4)&amp;(VALUE(RIGHT(E34,4))-1),$E:$E,$O:$O,"")</f>
        <v>4206217000000</v>
      </c>
      <c r="W34">
        <f t="shared" ref="W34:W65" si="3">_xlfn.XLOOKUP(LEFT(E34,LEN(E34)-4)&amp;(VALUE(RIGHT(E34,4))-1),$E:$E,$J:$J,"")</f>
        <v>16377825000000</v>
      </c>
    </row>
    <row r="35" spans="1:23" x14ac:dyDescent="0.2">
      <c r="A35">
        <f>IF(D35="USD",VLOOKUP(VALUE(RIGHT(E35,4)),'USD RUB'!$E:$F,2,FALSE),1)</f>
        <v>1</v>
      </c>
      <c r="B35" s="4">
        <v>1</v>
      </c>
      <c r="C35">
        <v>1000000</v>
      </c>
      <c r="D35" t="s">
        <v>20</v>
      </c>
      <c r="E35" s="1" t="s">
        <v>53</v>
      </c>
      <c r="F35">
        <v>1321632000000</v>
      </c>
      <c r="G35">
        <v>3556165000000</v>
      </c>
      <c r="H35">
        <v>11141372000000</v>
      </c>
      <c r="J35">
        <v>16903001000000</v>
      </c>
      <c r="K35">
        <v>1914084000000</v>
      </c>
      <c r="L35">
        <v>3842502000000</v>
      </c>
      <c r="M35">
        <v>10592760000000</v>
      </c>
      <c r="N35">
        <v>11146415000000</v>
      </c>
      <c r="O35">
        <v>3064372000000</v>
      </c>
      <c r="P35">
        <v>413169000000</v>
      </c>
      <c r="Q35">
        <v>780837000000</v>
      </c>
      <c r="R35">
        <v>625405000000</v>
      </c>
      <c r="T35">
        <v>693000000000</v>
      </c>
      <c r="U35">
        <v>723518000000</v>
      </c>
      <c r="V35">
        <f t="shared" si="2"/>
        <v>2913452000000</v>
      </c>
      <c r="W35">
        <f t="shared" si="3"/>
        <v>15357226000000</v>
      </c>
    </row>
    <row r="36" spans="1:23" x14ac:dyDescent="0.2">
      <c r="A36">
        <f>IF(D36="USD",VLOOKUP(VALUE(RIGHT(E36,4)),'USD RUB'!$E:$F,2,FALSE),1)</f>
        <v>1</v>
      </c>
      <c r="B36" s="4">
        <v>1</v>
      </c>
      <c r="C36">
        <v>1000000</v>
      </c>
      <c r="D36" t="s">
        <v>20</v>
      </c>
      <c r="E36" s="1" t="s">
        <v>54</v>
      </c>
      <c r="F36">
        <v>1564565000000</v>
      </c>
      <c r="G36">
        <v>3990806000000</v>
      </c>
      <c r="H36">
        <v>11078191000000</v>
      </c>
      <c r="J36">
        <v>17148311000000</v>
      </c>
      <c r="K36">
        <v>1983081000000</v>
      </c>
      <c r="L36">
        <v>3976316000000</v>
      </c>
      <c r="M36">
        <v>10633491000000</v>
      </c>
      <c r="N36">
        <v>11188914000000</v>
      </c>
      <c r="O36">
        <v>1737364000000</v>
      </c>
      <c r="P36">
        <v>301973000000</v>
      </c>
      <c r="Q36">
        <v>481960000000</v>
      </c>
      <c r="R36">
        <v>373341000000</v>
      </c>
      <c r="T36">
        <v>444000000000</v>
      </c>
      <c r="U36">
        <v>436932000000</v>
      </c>
      <c r="V36">
        <f t="shared" si="2"/>
        <v>1648253000000</v>
      </c>
      <c r="W36">
        <f t="shared" si="3"/>
        <v>15384163000000</v>
      </c>
    </row>
    <row r="37" spans="1:23" x14ac:dyDescent="0.2">
      <c r="A37">
        <f>IF(D37="USD",VLOOKUP(VALUE(RIGHT(E37,4)),'USD RUB'!$E:$F,2,FALSE),1)</f>
        <v>1</v>
      </c>
      <c r="B37" s="4">
        <v>1</v>
      </c>
      <c r="C37">
        <v>1000000</v>
      </c>
      <c r="D37" t="s">
        <v>20</v>
      </c>
      <c r="E37" s="1" t="s">
        <v>55</v>
      </c>
      <c r="F37">
        <v>1359095000000</v>
      </c>
      <c r="G37">
        <v>3993722000000</v>
      </c>
      <c r="H37">
        <v>11003881000000</v>
      </c>
      <c r="J37">
        <v>17052040000000</v>
      </c>
      <c r="K37">
        <v>2124701000000</v>
      </c>
      <c r="L37">
        <v>4012717000000</v>
      </c>
      <c r="M37">
        <v>10368311000000</v>
      </c>
      <c r="N37">
        <v>10914622000000</v>
      </c>
      <c r="O37">
        <v>6073318000000</v>
      </c>
      <c r="P37">
        <v>1228301000000</v>
      </c>
      <c r="Q37">
        <v>925241000000</v>
      </c>
      <c r="R37">
        <v>805199000000</v>
      </c>
      <c r="T37">
        <v>1875000000000</v>
      </c>
      <c r="U37">
        <v>1641024000000</v>
      </c>
      <c r="V37">
        <f t="shared" si="2"/>
        <v>5589811000000</v>
      </c>
      <c r="W37">
        <f t="shared" si="3"/>
        <v>15177470000000</v>
      </c>
    </row>
    <row r="38" spans="1:23" x14ac:dyDescent="0.2">
      <c r="A38">
        <f>IF(D38="USD",VLOOKUP(VALUE(RIGHT(E38,4)),'USD RUB'!$E:$F,2,FALSE),1)</f>
        <v>1</v>
      </c>
      <c r="B38" s="4">
        <v>1</v>
      </c>
      <c r="C38">
        <v>1000000</v>
      </c>
      <c r="D38" t="s">
        <v>20</v>
      </c>
      <c r="E38" s="1" t="s">
        <v>56</v>
      </c>
      <c r="F38">
        <v>1125162000000</v>
      </c>
      <c r="G38">
        <v>3636475000000</v>
      </c>
      <c r="H38">
        <v>10543280000000</v>
      </c>
      <c r="J38">
        <v>16377825000000</v>
      </c>
      <c r="K38">
        <v>1989627000000</v>
      </c>
      <c r="L38">
        <v>3599084000000</v>
      </c>
      <c r="M38">
        <v>10245454000000</v>
      </c>
      <c r="N38">
        <v>10789114000000</v>
      </c>
      <c r="O38">
        <v>4206217000000</v>
      </c>
      <c r="Q38">
        <v>864837000000</v>
      </c>
      <c r="R38">
        <v>690271000000</v>
      </c>
      <c r="U38">
        <v>1165551000000</v>
      </c>
      <c r="V38">
        <f t="shared" si="2"/>
        <v>4007522000000</v>
      </c>
      <c r="W38">
        <f t="shared" si="3"/>
        <v>14052124000000</v>
      </c>
    </row>
    <row r="39" spans="1:23" x14ac:dyDescent="0.2">
      <c r="A39">
        <f>IF(D39="USD",VLOOKUP(VALUE(RIGHT(E39,4)),'USD RUB'!$E:$F,2,FALSE),1)</f>
        <v>1</v>
      </c>
      <c r="B39" s="4">
        <v>1</v>
      </c>
      <c r="C39">
        <v>1000000</v>
      </c>
      <c r="D39" t="s">
        <v>20</v>
      </c>
      <c r="E39" s="1" t="s">
        <v>57</v>
      </c>
      <c r="F39">
        <v>104568000000</v>
      </c>
      <c r="G39">
        <v>3267971000000</v>
      </c>
      <c r="H39">
        <v>10143082000000</v>
      </c>
      <c r="J39">
        <v>15357226000000</v>
      </c>
      <c r="K39">
        <v>1755220000000</v>
      </c>
      <c r="L39">
        <v>3084567000000</v>
      </c>
      <c r="M39">
        <v>9987023000000</v>
      </c>
      <c r="N39">
        <v>10517439000000</v>
      </c>
      <c r="O39">
        <v>2913452000000</v>
      </c>
      <c r="Q39">
        <v>857010000000</v>
      </c>
      <c r="R39">
        <v>691256000000</v>
      </c>
      <c r="T39">
        <v>933000000000</v>
      </c>
      <c r="U39">
        <v>784905000000</v>
      </c>
      <c r="V39">
        <f t="shared" si="2"/>
        <v>2873932000000</v>
      </c>
      <c r="W39">
        <f t="shared" si="3"/>
        <v>13772801000000</v>
      </c>
    </row>
    <row r="40" spans="1:23" x14ac:dyDescent="0.2">
      <c r="A40">
        <f>IF(D40="USD",VLOOKUP(VALUE(RIGHT(E40,4)),'USD RUB'!$E:$F,2,FALSE),1)</f>
        <v>1</v>
      </c>
      <c r="B40" s="4">
        <v>1</v>
      </c>
      <c r="C40">
        <v>1000000</v>
      </c>
      <c r="D40" t="s">
        <v>20</v>
      </c>
      <c r="E40" s="1" t="s">
        <v>58</v>
      </c>
      <c r="F40">
        <v>1228145000000</v>
      </c>
      <c r="G40">
        <v>3534303000000</v>
      </c>
      <c r="H40">
        <v>10016497000000</v>
      </c>
      <c r="J40">
        <v>15384163000000</v>
      </c>
      <c r="K40">
        <v>1753366000000</v>
      </c>
      <c r="L40">
        <v>3178629000000</v>
      </c>
      <c r="M40">
        <v>9923481000000</v>
      </c>
      <c r="N40">
        <v>10452168000000</v>
      </c>
      <c r="O40">
        <v>1648253000000</v>
      </c>
      <c r="Q40">
        <v>496094000000</v>
      </c>
      <c r="R40">
        <v>389618000000</v>
      </c>
      <c r="T40">
        <v>583000000000</v>
      </c>
      <c r="U40">
        <v>444280000000</v>
      </c>
      <c r="V40">
        <f t="shared" si="2"/>
        <v>1558737000000</v>
      </c>
      <c r="W40">
        <f t="shared" si="3"/>
        <v>13737342000000</v>
      </c>
    </row>
    <row r="41" spans="1:23" x14ac:dyDescent="0.2">
      <c r="A41">
        <f>IF(D41="USD",VLOOKUP(VALUE(RIGHT(E41,4)),'USD RUB'!$E:$F,2,FALSE),1)</f>
        <v>1</v>
      </c>
      <c r="B41" s="4">
        <v>1</v>
      </c>
      <c r="C41">
        <v>1000000</v>
      </c>
      <c r="D41" t="s">
        <v>20</v>
      </c>
      <c r="E41" s="1" t="s">
        <v>59</v>
      </c>
      <c r="F41">
        <v>1038191000000</v>
      </c>
      <c r="G41">
        <v>3461155000000</v>
      </c>
      <c r="H41">
        <v>9950209000000</v>
      </c>
      <c r="J41">
        <v>15177470000000</v>
      </c>
      <c r="K41">
        <v>1855947000000</v>
      </c>
      <c r="L41">
        <v>3201502000000</v>
      </c>
      <c r="M41">
        <v>9595283000000</v>
      </c>
      <c r="N41">
        <v>10120021000000</v>
      </c>
      <c r="O41">
        <v>5589811000000</v>
      </c>
      <c r="P41">
        <v>1310424000000</v>
      </c>
      <c r="Q41">
        <v>306823000000</v>
      </c>
      <c r="R41">
        <v>157192000000</v>
      </c>
      <c r="T41">
        <v>1962558000000</v>
      </c>
      <c r="U41">
        <v>1262140000000</v>
      </c>
      <c r="V41">
        <f t="shared" si="2"/>
        <v>5249965000000</v>
      </c>
      <c r="W41">
        <f t="shared" si="3"/>
        <v>13436236000000</v>
      </c>
    </row>
    <row r="42" spans="1:23" x14ac:dyDescent="0.2">
      <c r="A42">
        <f>IF(D42="USD",VLOOKUP(VALUE(RIGHT(E42,4)),'USD RUB'!$E:$F,2,FALSE),1)</f>
        <v>1</v>
      </c>
      <c r="B42" s="4">
        <v>1</v>
      </c>
      <c r="C42">
        <v>1000000</v>
      </c>
      <c r="D42" t="s">
        <v>20</v>
      </c>
      <c r="E42" s="1" t="s">
        <v>60</v>
      </c>
      <c r="F42">
        <v>753767000000</v>
      </c>
      <c r="G42">
        <v>2956248000000</v>
      </c>
      <c r="H42">
        <v>9424849000000</v>
      </c>
      <c r="J42">
        <v>14052124000000</v>
      </c>
      <c r="K42">
        <v>1319099000000</v>
      </c>
      <c r="L42">
        <v>2678668000000</v>
      </c>
      <c r="M42">
        <v>9524171000000</v>
      </c>
      <c r="N42">
        <v>10054357000000</v>
      </c>
      <c r="O42">
        <v>4007522000000</v>
      </c>
      <c r="P42">
        <v>998601000000</v>
      </c>
      <c r="Q42">
        <v>756859000000</v>
      </c>
      <c r="R42">
        <v>572654000000</v>
      </c>
      <c r="U42">
        <v>930005000000</v>
      </c>
      <c r="V42">
        <f t="shared" si="2"/>
        <v>3772668000000</v>
      </c>
      <c r="W42">
        <f t="shared" si="3"/>
        <v>12865916000000</v>
      </c>
    </row>
    <row r="43" spans="1:23" x14ac:dyDescent="0.2">
      <c r="A43">
        <f>IF(D43="USD",VLOOKUP(VALUE(RIGHT(E43,4)),'USD RUB'!$E:$F,2,FALSE),1)</f>
        <v>1</v>
      </c>
      <c r="B43" s="4">
        <v>1</v>
      </c>
      <c r="C43">
        <v>1000000</v>
      </c>
      <c r="D43" t="s">
        <v>20</v>
      </c>
      <c r="E43" s="1" t="s">
        <v>61</v>
      </c>
      <c r="F43">
        <v>943882000000</v>
      </c>
      <c r="G43">
        <v>2908530000000</v>
      </c>
      <c r="H43">
        <v>9177778000000</v>
      </c>
      <c r="J43">
        <v>13772801000000</v>
      </c>
      <c r="K43">
        <v>1325123000000</v>
      </c>
      <c r="L43">
        <v>2541904000000</v>
      </c>
      <c r="M43">
        <v>9368324000000</v>
      </c>
      <c r="N43">
        <v>9905774000000</v>
      </c>
      <c r="O43">
        <v>2873932000000</v>
      </c>
      <c r="P43">
        <v>639650000000</v>
      </c>
      <c r="Q43">
        <v>634564000000</v>
      </c>
      <c r="R43">
        <v>465226000000</v>
      </c>
      <c r="T43">
        <v>872000000000</v>
      </c>
      <c r="U43">
        <v>620690000000</v>
      </c>
      <c r="V43">
        <f t="shared" si="2"/>
        <v>2568122000000</v>
      </c>
      <c r="W43">
        <f t="shared" si="3"/>
        <v>12555820000000</v>
      </c>
    </row>
    <row r="44" spans="1:23" x14ac:dyDescent="0.2">
      <c r="A44">
        <f>IF(D44="USD",VLOOKUP(VALUE(RIGHT(E44,4)),'USD RUB'!$E:$F,2,FALSE),1)</f>
        <v>1</v>
      </c>
      <c r="B44" s="4">
        <v>1</v>
      </c>
      <c r="C44">
        <v>1000000</v>
      </c>
      <c r="D44" t="s">
        <v>20</v>
      </c>
      <c r="E44" s="1" t="s">
        <v>62</v>
      </c>
      <c r="F44">
        <v>956738000000</v>
      </c>
      <c r="G44">
        <v>3032620000000</v>
      </c>
      <c r="H44">
        <v>9078237000000</v>
      </c>
      <c r="J44">
        <v>13737342000000</v>
      </c>
      <c r="K44">
        <v>1200464000000</v>
      </c>
      <c r="L44">
        <v>2640065000000</v>
      </c>
      <c r="M44">
        <v>9352103000000</v>
      </c>
      <c r="N44">
        <v>9896813000000</v>
      </c>
      <c r="O44">
        <v>1558737000000</v>
      </c>
      <c r="P44">
        <v>472790000000</v>
      </c>
      <c r="Q44">
        <v>317950000000</v>
      </c>
      <c r="R44">
        <v>231664000000</v>
      </c>
      <c r="T44">
        <v>591000000000</v>
      </c>
      <c r="U44">
        <v>398557000000</v>
      </c>
      <c r="V44">
        <f t="shared" si="2"/>
        <v>1461441000000</v>
      </c>
      <c r="W44">
        <f t="shared" si="3"/>
        <v>12214858000000</v>
      </c>
    </row>
    <row r="45" spans="1:23" x14ac:dyDescent="0.2">
      <c r="A45">
        <f>IF(D45="USD",VLOOKUP(VALUE(RIGHT(E45,4)),'USD RUB'!$E:$F,2,FALSE),1)</f>
        <v>1</v>
      </c>
      <c r="B45" s="4">
        <v>1</v>
      </c>
      <c r="C45">
        <v>1000000</v>
      </c>
      <c r="D45" t="s">
        <v>20</v>
      </c>
      <c r="E45" s="1" t="s">
        <v>63</v>
      </c>
      <c r="F45">
        <v>689130000000</v>
      </c>
      <c r="G45">
        <v>2862670000000</v>
      </c>
      <c r="H45">
        <v>8940088000000</v>
      </c>
      <c r="J45">
        <v>13436236000000</v>
      </c>
      <c r="K45">
        <v>1391465000000</v>
      </c>
      <c r="L45">
        <v>2410417000000</v>
      </c>
      <c r="M45">
        <f>9098315*C45</f>
        <v>9098315000000</v>
      </c>
      <c r="N45">
        <v>9634354000000</v>
      </c>
      <c r="O45">
        <v>5249965000000</v>
      </c>
      <c r="Q45">
        <v>1486083000000</v>
      </c>
      <c r="R45">
        <v>1165705000000</v>
      </c>
      <c r="T45">
        <v>2009000000000</v>
      </c>
      <c r="V45">
        <f t="shared" si="2"/>
        <v>4764411000000</v>
      </c>
      <c r="W45">
        <f t="shared" si="3"/>
        <v>12068139000000</v>
      </c>
    </row>
    <row r="46" spans="1:23" x14ac:dyDescent="0.2">
      <c r="A46">
        <f>IF(D46="USD",VLOOKUP(VALUE(RIGHT(E46,4)),'USD RUB'!$E:$F,2,FALSE),1)</f>
        <v>1</v>
      </c>
      <c r="B46" s="4">
        <v>1</v>
      </c>
      <c r="C46">
        <v>1000000</v>
      </c>
      <c r="D46" t="s">
        <v>20</v>
      </c>
      <c r="E46" s="1" t="s">
        <v>64</v>
      </c>
      <c r="F46">
        <v>570774000000</v>
      </c>
      <c r="G46">
        <v>2622571000000</v>
      </c>
      <c r="H46">
        <v>8559165000000</v>
      </c>
      <c r="J46">
        <v>12865916000000</v>
      </c>
      <c r="K46">
        <v>1244984000000</v>
      </c>
      <c r="L46">
        <v>2286299000000</v>
      </c>
      <c r="N46">
        <v>9334633000000</v>
      </c>
      <c r="O46">
        <v>3772668000000</v>
      </c>
      <c r="P46">
        <v>1182900000000</v>
      </c>
      <c r="Q46">
        <v>1096976000000</v>
      </c>
      <c r="R46">
        <v>876331000000</v>
      </c>
      <c r="V46">
        <f t="shared" si="2"/>
        <v>3351303000000</v>
      </c>
      <c r="W46">
        <f t="shared" si="3"/>
        <v>11619410000000</v>
      </c>
    </row>
    <row r="47" spans="1:23" x14ac:dyDescent="0.2">
      <c r="A47">
        <f>IF(D47="USD",VLOOKUP(VALUE(RIGHT(E47,4)),'USD RUB'!$E:$F,2,FALSE),1)</f>
        <v>1</v>
      </c>
      <c r="B47" s="4">
        <v>1</v>
      </c>
      <c r="C47">
        <v>1000000</v>
      </c>
      <c r="D47" t="s">
        <v>20</v>
      </c>
      <c r="E47" s="1" t="s">
        <v>65</v>
      </c>
      <c r="F47">
        <v>713201000000</v>
      </c>
      <c r="G47">
        <v>2682676000000</v>
      </c>
      <c r="H47">
        <v>8221881000000</v>
      </c>
      <c r="J47">
        <v>12555820000000</v>
      </c>
      <c r="K47">
        <v>1275282000000</v>
      </c>
      <c r="L47">
        <v>2227426000000</v>
      </c>
      <c r="N47">
        <v>9053112000000</v>
      </c>
      <c r="O47">
        <v>2568122000000</v>
      </c>
      <c r="P47">
        <v>853002000000</v>
      </c>
      <c r="Q47">
        <v>741844000000</v>
      </c>
      <c r="R47">
        <v>593405000000</v>
      </c>
      <c r="T47">
        <v>1065000000000</v>
      </c>
      <c r="V47">
        <f t="shared" si="2"/>
        <v>2230366000000</v>
      </c>
      <c r="W47">
        <f t="shared" si="3"/>
        <v>11412977000000</v>
      </c>
    </row>
    <row r="48" spans="1:23" x14ac:dyDescent="0.2">
      <c r="A48">
        <f>IF(D48="USD",VLOOKUP(VALUE(RIGHT(E48,4)),'USD RUB'!$E:$F,2,FALSE),1)</f>
        <v>1</v>
      </c>
      <c r="B48" s="4">
        <v>1</v>
      </c>
      <c r="C48">
        <v>1000000</v>
      </c>
      <c r="D48" t="s">
        <v>20</v>
      </c>
      <c r="E48" s="1" t="s">
        <v>66</v>
      </c>
      <c r="F48">
        <v>572890000000</v>
      </c>
      <c r="G48">
        <v>2590874000000</v>
      </c>
      <c r="H48">
        <v>8018433000000</v>
      </c>
      <c r="J48">
        <v>12214858000000</v>
      </c>
      <c r="K48">
        <v>1190630000000</v>
      </c>
      <c r="L48">
        <v>2157839000000</v>
      </c>
      <c r="N48">
        <v>8866389000000</v>
      </c>
      <c r="O48">
        <v>1461441000000</v>
      </c>
      <c r="P48">
        <v>515981000000</v>
      </c>
      <c r="Q48">
        <v>489919000000</v>
      </c>
      <c r="R48">
        <v>388152000000</v>
      </c>
      <c r="T48">
        <v>626000000000</v>
      </c>
      <c r="V48">
        <f t="shared" si="2"/>
        <v>1224878000000</v>
      </c>
      <c r="W48">
        <f t="shared" si="3"/>
        <v>11105990000000</v>
      </c>
    </row>
    <row r="49" spans="1:23" x14ac:dyDescent="0.2">
      <c r="A49">
        <f>IF(D49="USD",VLOOKUP(VALUE(RIGHT(E49,4)),'USD RUB'!$E:$F,2,FALSE),1)</f>
        <v>1</v>
      </c>
      <c r="B49" s="4">
        <v>1</v>
      </c>
      <c r="C49">
        <v>1000000</v>
      </c>
      <c r="D49" t="s">
        <v>20</v>
      </c>
      <c r="E49" s="1" t="s">
        <v>67</v>
      </c>
      <c r="F49">
        <v>423194000000</v>
      </c>
      <c r="G49">
        <v>2408746000000</v>
      </c>
      <c r="H49">
        <v>7818392000000</v>
      </c>
      <c r="J49">
        <v>12068139000000</v>
      </c>
      <c r="K49">
        <v>1489817000000</v>
      </c>
      <c r="L49">
        <v>1877228000000</v>
      </c>
      <c r="M49">
        <v>8170631000000</v>
      </c>
      <c r="N49">
        <v>8701094000000</v>
      </c>
      <c r="O49">
        <v>4764411000000</v>
      </c>
      <c r="P49">
        <v>1289176000000</v>
      </c>
      <c r="Q49">
        <v>1511955000000</v>
      </c>
      <c r="R49">
        <v>1210566000000</v>
      </c>
      <c r="U49">
        <v>-1339878000000</v>
      </c>
      <c r="V49">
        <f t="shared" si="2"/>
        <v>4637090000000</v>
      </c>
      <c r="W49">
        <f t="shared" si="3"/>
        <v>10900696000000</v>
      </c>
    </row>
    <row r="50" spans="1:23" x14ac:dyDescent="0.2">
      <c r="A50">
        <f>IF(D50="USD",VLOOKUP(VALUE(RIGHT(E50,4)),'USD RUB'!$E:$F,2,FALSE),1)</f>
        <v>1</v>
      </c>
      <c r="B50" s="4">
        <v>1</v>
      </c>
      <c r="C50">
        <v>1000000</v>
      </c>
      <c r="D50" t="s">
        <v>20</v>
      </c>
      <c r="E50" s="1" t="s">
        <v>68</v>
      </c>
      <c r="F50">
        <v>475152000000</v>
      </c>
      <c r="G50">
        <v>2336291000000</v>
      </c>
      <c r="H50">
        <v>7323898000000</v>
      </c>
      <c r="J50">
        <v>11619410000000</v>
      </c>
      <c r="K50">
        <v>1394153000000</v>
      </c>
      <c r="L50">
        <v>1894660000000</v>
      </c>
      <c r="M50">
        <v>7798312000000</v>
      </c>
      <c r="N50">
        <v>8330597000000</v>
      </c>
      <c r="O50">
        <v>3351303000000</v>
      </c>
      <c r="P50">
        <v>865368000000</v>
      </c>
      <c r="Q50">
        <v>1040217000000</v>
      </c>
      <c r="R50">
        <v>833125000000</v>
      </c>
      <c r="U50">
        <v>-956529000000</v>
      </c>
      <c r="V50">
        <f t="shared" si="2"/>
        <v>3296656000000</v>
      </c>
      <c r="W50">
        <f t="shared" si="3"/>
        <v>10069310000000</v>
      </c>
    </row>
    <row r="51" spans="1:23" x14ac:dyDescent="0.2">
      <c r="A51">
        <f>IF(D51="USD",VLOOKUP(VALUE(RIGHT(E51,4)),'USD RUB'!$E:$F,2,FALSE),1)</f>
        <v>1</v>
      </c>
      <c r="B51" s="4">
        <v>1</v>
      </c>
      <c r="C51">
        <v>1000000</v>
      </c>
      <c r="D51" t="s">
        <v>20</v>
      </c>
      <c r="E51" s="1" t="s">
        <v>69</v>
      </c>
      <c r="F51">
        <v>512809000000</v>
      </c>
      <c r="G51">
        <v>2395939000000</v>
      </c>
      <c r="H51">
        <v>7088061000000</v>
      </c>
      <c r="J51">
        <v>11412977000000</v>
      </c>
      <c r="K51">
        <v>1553704000000</v>
      </c>
      <c r="L51">
        <v>1807783000000</v>
      </c>
      <c r="N51">
        <v>8051490000000</v>
      </c>
      <c r="O51">
        <v>2230366000000</v>
      </c>
      <c r="P51">
        <v>612133000000</v>
      </c>
      <c r="Q51">
        <v>655074000000</v>
      </c>
      <c r="R51">
        <v>525526000000</v>
      </c>
      <c r="V51">
        <f t="shared" si="2"/>
        <v>2347071000000</v>
      </c>
      <c r="W51">
        <f t="shared" si="3"/>
        <v>9732710000000</v>
      </c>
    </row>
    <row r="52" spans="1:23" x14ac:dyDescent="0.2">
      <c r="A52">
        <f>IF(D52="USD",VLOOKUP(VALUE(RIGHT(E52,4)),'USD RUB'!$E:$F,2,FALSE),1)</f>
        <v>1</v>
      </c>
      <c r="B52" s="4">
        <v>1</v>
      </c>
      <c r="C52">
        <v>1000000</v>
      </c>
      <c r="D52" t="s">
        <v>20</v>
      </c>
      <c r="E52" s="1" t="s">
        <v>70</v>
      </c>
      <c r="F52">
        <v>685768000000</v>
      </c>
      <c r="G52">
        <v>2335649000000</v>
      </c>
      <c r="H52">
        <v>6816962000000</v>
      </c>
      <c r="J52">
        <v>11105990000000</v>
      </c>
      <c r="K52">
        <v>1363235000000</v>
      </c>
      <c r="L52">
        <v>1654639000000</v>
      </c>
      <c r="N52">
        <v>8088116000000</v>
      </c>
      <c r="O52">
        <v>1224878000000</v>
      </c>
      <c r="P52">
        <v>298967000000</v>
      </c>
      <c r="Q52">
        <v>456297000000</v>
      </c>
      <c r="R52">
        <v>367615000000</v>
      </c>
      <c r="T52">
        <v>378000000000</v>
      </c>
      <c r="V52">
        <f t="shared" si="2"/>
        <v>1316747000000</v>
      </c>
      <c r="W52">
        <f t="shared" si="3"/>
        <v>9508009000000</v>
      </c>
    </row>
    <row r="53" spans="1:23" x14ac:dyDescent="0.2">
      <c r="A53">
        <f>IF(D53="USD",VLOOKUP(VALUE(RIGHT(E53,4)),'USD RUB'!$E:$F,2,FALSE),1)</f>
        <v>1</v>
      </c>
      <c r="B53" s="4">
        <v>1</v>
      </c>
      <c r="C53">
        <v>1000000</v>
      </c>
      <c r="D53" t="s">
        <v>20</v>
      </c>
      <c r="E53" s="1" t="s">
        <v>71</v>
      </c>
      <c r="F53">
        <v>501344000000</v>
      </c>
      <c r="G53">
        <v>2240293000000</v>
      </c>
      <c r="H53">
        <v>6718575000000</v>
      </c>
      <c r="J53">
        <v>10900696000000</v>
      </c>
      <c r="K53">
        <v>1309255000000</v>
      </c>
      <c r="L53">
        <v>1830450000000</v>
      </c>
      <c r="M53">
        <f>7242982*C53</f>
        <v>7242982000000</v>
      </c>
      <c r="N53">
        <v>7760991000000</v>
      </c>
      <c r="O53">
        <v>4637090000000</v>
      </c>
      <c r="P53">
        <v>1656843000000</v>
      </c>
      <c r="Q53">
        <v>1679936000000</v>
      </c>
      <c r="R53">
        <v>1342442000000</v>
      </c>
      <c r="T53">
        <v>1930533000000</v>
      </c>
      <c r="V53">
        <f t="shared" si="2"/>
        <v>3597054000000</v>
      </c>
      <c r="W53">
        <f t="shared" si="3"/>
        <v>9235993000000</v>
      </c>
    </row>
    <row r="54" spans="1:23" x14ac:dyDescent="0.2">
      <c r="A54">
        <f>IF(D54="USD",VLOOKUP(VALUE(RIGHT(E54,4)),'USD RUB'!$E:$F,2,FALSE),1)</f>
        <v>1</v>
      </c>
      <c r="B54" s="4">
        <v>1</v>
      </c>
      <c r="C54">
        <v>1000000</v>
      </c>
      <c r="D54" t="s">
        <v>20</v>
      </c>
      <c r="E54" s="1" t="s">
        <v>72</v>
      </c>
      <c r="F54">
        <v>381748000000</v>
      </c>
      <c r="G54">
        <v>2002313000000</v>
      </c>
      <c r="H54">
        <v>6046053000000</v>
      </c>
      <c r="J54">
        <v>10069310000000</v>
      </c>
      <c r="K54">
        <v>954577000000</v>
      </c>
      <c r="L54">
        <v>1756314000000</v>
      </c>
      <c r="N54">
        <v>7358419000000</v>
      </c>
      <c r="O54">
        <v>3296656000000</v>
      </c>
      <c r="P54">
        <v>1176530000000</v>
      </c>
      <c r="Q54">
        <v>1173839000000</v>
      </c>
      <c r="R54">
        <v>940827000000</v>
      </c>
      <c r="T54">
        <v>1377000000000</v>
      </c>
      <c r="V54">
        <f t="shared" si="2"/>
        <v>2507744000000</v>
      </c>
      <c r="W54">
        <f t="shared" si="3"/>
        <v>8688286000000</v>
      </c>
    </row>
    <row r="55" spans="1:23" x14ac:dyDescent="0.2">
      <c r="A55">
        <f>IF(D55="USD",VLOOKUP(VALUE(RIGHT(E55,4)),'USD RUB'!$E:$F,2,FALSE),1)</f>
        <v>1</v>
      </c>
      <c r="B55" s="4">
        <v>1</v>
      </c>
      <c r="C55">
        <v>1000000</v>
      </c>
      <c r="D55" t="s">
        <v>20</v>
      </c>
      <c r="E55" s="1" t="s">
        <v>73</v>
      </c>
      <c r="F55">
        <v>455369000000</v>
      </c>
      <c r="G55">
        <v>1931250000000</v>
      </c>
      <c r="H55">
        <v>5751955000000</v>
      </c>
      <c r="J55">
        <v>9732710000000</v>
      </c>
      <c r="K55">
        <v>908825000000</v>
      </c>
      <c r="L55">
        <v>1643668000000</v>
      </c>
      <c r="N55">
        <v>7180217000000</v>
      </c>
      <c r="O55">
        <v>2347071000000</v>
      </c>
      <c r="P55">
        <v>848495000000</v>
      </c>
      <c r="Q55">
        <v>973982000000</v>
      </c>
      <c r="R55">
        <v>785202000000</v>
      </c>
      <c r="V55">
        <f t="shared" si="2"/>
        <v>1721293000000</v>
      </c>
      <c r="W55">
        <f t="shared" si="3"/>
        <v>8516394000000</v>
      </c>
    </row>
    <row r="56" spans="1:23" x14ac:dyDescent="0.2">
      <c r="A56">
        <f>IF(D56="USD",VLOOKUP(VALUE(RIGHT(E56,4)),'USD RUB'!$E:$F,2,FALSE),1)</f>
        <v>1</v>
      </c>
      <c r="B56" s="4">
        <v>1</v>
      </c>
      <c r="C56">
        <v>1000000</v>
      </c>
      <c r="D56" t="s">
        <v>20</v>
      </c>
      <c r="E56" s="1" t="s">
        <v>74</v>
      </c>
      <c r="F56">
        <v>444356000000</v>
      </c>
      <c r="G56">
        <v>1915486000000</v>
      </c>
      <c r="H56">
        <v>5590829000000</v>
      </c>
      <c r="J56">
        <v>9508009000000</v>
      </c>
      <c r="K56">
        <v>851757000000</v>
      </c>
      <c r="L56">
        <v>1675888000000</v>
      </c>
      <c r="N56">
        <v>6980364000000</v>
      </c>
      <c r="O56">
        <v>1316747000000</v>
      </c>
      <c r="P56">
        <v>498508000000</v>
      </c>
      <c r="Q56">
        <v>591066000000</v>
      </c>
      <c r="R56">
        <v>478500000000</v>
      </c>
      <c r="V56">
        <f t="shared" si="2"/>
        <v>956816000000</v>
      </c>
      <c r="W56">
        <f t="shared" si="3"/>
        <v>8558242000000</v>
      </c>
    </row>
    <row r="57" spans="1:23" x14ac:dyDescent="0.2">
      <c r="A57">
        <f>IF(D57="USD",VLOOKUP(VALUE(RIGHT(E57,4)),'USD RUB'!$E:$F,2,FALSE),1)</f>
        <v>1</v>
      </c>
      <c r="B57" s="4">
        <v>1</v>
      </c>
      <c r="C57">
        <v>1000000</v>
      </c>
      <c r="D57" t="s">
        <v>20</v>
      </c>
      <c r="E57" s="1" t="s">
        <v>75</v>
      </c>
      <c r="F57">
        <v>440786000000</v>
      </c>
      <c r="G57">
        <v>1865895000000</v>
      </c>
      <c r="H57">
        <v>5486429000000</v>
      </c>
      <c r="J57">
        <v>9235993000000</v>
      </c>
      <c r="K57">
        <v>1011261000000</v>
      </c>
      <c r="L57">
        <v>1688371000000</v>
      </c>
      <c r="M57">
        <f>6028543*C57</f>
        <v>6028543000000</v>
      </c>
      <c r="N57">
        <v>6536361000000</v>
      </c>
      <c r="O57">
        <v>3597054000000</v>
      </c>
      <c r="P57">
        <v>1113822000000</v>
      </c>
      <c r="Q57">
        <v>1273703000000</v>
      </c>
      <c r="R57">
        <v>997993000000</v>
      </c>
      <c r="T57">
        <v>1363778000000</v>
      </c>
      <c r="V57" t="str">
        <f t="shared" si="2"/>
        <v/>
      </c>
      <c r="W57" t="str">
        <f t="shared" si="3"/>
        <v/>
      </c>
    </row>
    <row r="58" spans="1:23" x14ac:dyDescent="0.2">
      <c r="A58">
        <f>IF(D58="USD",VLOOKUP(VALUE(RIGHT(E58,4)),'USD RUB'!$E:$F,2,FALSE),1)</f>
        <v>1</v>
      </c>
      <c r="B58" s="4">
        <v>1</v>
      </c>
      <c r="C58">
        <v>1000000</v>
      </c>
      <c r="D58" t="s">
        <v>20</v>
      </c>
      <c r="E58" s="1" t="s">
        <v>76</v>
      </c>
      <c r="F58">
        <v>315832000000</v>
      </c>
      <c r="G58">
        <v>1624721000000</v>
      </c>
      <c r="H58">
        <v>5245555000000</v>
      </c>
      <c r="J58">
        <v>8688286000000</v>
      </c>
      <c r="K58">
        <v>845130000000</v>
      </c>
      <c r="L58">
        <v>1594796000000</v>
      </c>
      <c r="N58">
        <v>6248360000000</v>
      </c>
      <c r="O58">
        <v>2507744000000</v>
      </c>
      <c r="P58">
        <v>774739000000</v>
      </c>
      <c r="Q58">
        <v>849938000000</v>
      </c>
      <c r="R58">
        <v>668753000000</v>
      </c>
      <c r="V58" t="str">
        <f t="shared" si="2"/>
        <v/>
      </c>
      <c r="W58" t="str">
        <f t="shared" si="3"/>
        <v/>
      </c>
    </row>
    <row r="59" spans="1:23" x14ac:dyDescent="0.2">
      <c r="A59">
        <f>IF(D59="USD",VLOOKUP(VALUE(RIGHT(E59,4)),'USD RUB'!$E:$F,2,FALSE),1)</f>
        <v>1</v>
      </c>
      <c r="B59" s="4">
        <v>1</v>
      </c>
      <c r="C59">
        <v>1000000</v>
      </c>
      <c r="D59" t="s">
        <v>20</v>
      </c>
      <c r="E59" s="1" t="s">
        <v>77</v>
      </c>
      <c r="F59">
        <v>371178000000</v>
      </c>
      <c r="G59">
        <v>1641051000000</v>
      </c>
      <c r="H59">
        <v>5114504000000</v>
      </c>
      <c r="J59">
        <v>8516394000000</v>
      </c>
      <c r="K59">
        <v>885507000000</v>
      </c>
      <c r="L59">
        <v>1568532000000</v>
      </c>
      <c r="N59">
        <v>6062355000000</v>
      </c>
      <c r="O59">
        <v>1721293000000</v>
      </c>
      <c r="P59">
        <v>577720000000</v>
      </c>
      <c r="Q59">
        <v>640198000000</v>
      </c>
      <c r="R59">
        <v>508234000000</v>
      </c>
      <c r="V59" t="str">
        <f t="shared" si="2"/>
        <v/>
      </c>
      <c r="W59" t="str">
        <f t="shared" si="3"/>
        <v/>
      </c>
    </row>
    <row r="60" spans="1:23" x14ac:dyDescent="0.2">
      <c r="A60">
        <f>IF(D60="USD",VLOOKUP(VALUE(RIGHT(E60,4)),'USD RUB'!$E:$F,2,FALSE),1)</f>
        <v>1</v>
      </c>
      <c r="B60" s="4">
        <v>1</v>
      </c>
      <c r="C60">
        <v>1000000</v>
      </c>
      <c r="D60" t="s">
        <v>20</v>
      </c>
      <c r="E60" s="1" t="s">
        <v>78</v>
      </c>
      <c r="F60">
        <v>398797000000</v>
      </c>
      <c r="G60">
        <v>1830417000000</v>
      </c>
      <c r="H60">
        <v>4983770000000</v>
      </c>
      <c r="J60">
        <v>8558242000000</v>
      </c>
      <c r="K60">
        <v>991944000000</v>
      </c>
      <c r="L60">
        <v>1589988000000</v>
      </c>
      <c r="N60">
        <v>5976310000000</v>
      </c>
      <c r="O60">
        <v>956816000000</v>
      </c>
      <c r="P60">
        <v>339301000000</v>
      </c>
      <c r="Q60">
        <v>421696000000</v>
      </c>
      <c r="R60">
        <v>336849000000</v>
      </c>
      <c r="V60" t="str">
        <f t="shared" si="2"/>
        <v/>
      </c>
      <c r="W60" t="str">
        <f t="shared" si="3"/>
        <v/>
      </c>
    </row>
    <row r="61" spans="1:23" x14ac:dyDescent="0.2">
      <c r="A61">
        <f>IF(D61="USD",VLOOKUP(VALUE(RIGHT(E61,4)),'USD RUB'!$E:$F,2,FALSE),1)</f>
        <v>1</v>
      </c>
      <c r="B61" s="4">
        <v>1</v>
      </c>
      <c r="C61">
        <v>1000000</v>
      </c>
      <c r="D61" t="s">
        <v>20</v>
      </c>
      <c r="E61" s="1" t="s">
        <v>79</v>
      </c>
      <c r="F61">
        <v>543815000000</v>
      </c>
      <c r="G61">
        <v>1128446000000</v>
      </c>
      <c r="H61">
        <v>3754828000000</v>
      </c>
      <c r="I61">
        <v>93327000000</v>
      </c>
      <c r="J61">
        <v>5474421000000</v>
      </c>
      <c r="K61">
        <v>1222340000000</v>
      </c>
      <c r="L61">
        <v>625628000000</v>
      </c>
      <c r="M61">
        <v>4072539000000</v>
      </c>
      <c r="N61">
        <v>3626453000000</v>
      </c>
      <c r="O61">
        <v>3767768000000</v>
      </c>
      <c r="P61">
        <v>526646000000</v>
      </c>
      <c r="Q61">
        <v>219317000000</v>
      </c>
      <c r="R61">
        <v>-1059859000000</v>
      </c>
      <c r="S61">
        <v>522714000000</v>
      </c>
      <c r="T61">
        <v>892086000000</v>
      </c>
      <c r="U61">
        <v>-774550000000</v>
      </c>
      <c r="V61">
        <f t="shared" si="2"/>
        <v>8621561000000</v>
      </c>
      <c r="W61">
        <f t="shared" si="3"/>
        <v>9282619000000</v>
      </c>
    </row>
    <row r="62" spans="1:23" x14ac:dyDescent="0.2">
      <c r="A62">
        <f>IF(D62="USD",VLOOKUP(VALUE(RIGHT(E62,4)),'USD RUB'!$E:$F,2,FALSE),1)</f>
        <v>1</v>
      </c>
      <c r="B62" s="4">
        <v>1</v>
      </c>
      <c r="C62">
        <v>1000000</v>
      </c>
      <c r="D62" t="s">
        <v>20</v>
      </c>
      <c r="E62" s="1" t="s">
        <v>80</v>
      </c>
      <c r="F62">
        <v>488247000000</v>
      </c>
      <c r="G62">
        <v>2014136000000</v>
      </c>
      <c r="H62">
        <v>4930688000000</v>
      </c>
      <c r="I62">
        <v>93135000000</v>
      </c>
      <c r="J62">
        <v>7750749000000</v>
      </c>
      <c r="K62">
        <v>1306038000000</v>
      </c>
      <c r="L62">
        <v>829965000000</v>
      </c>
      <c r="M62">
        <v>5661221000000</v>
      </c>
      <c r="N62">
        <v>5614746000000</v>
      </c>
      <c r="O62">
        <v>3601697000000</v>
      </c>
      <c r="P62">
        <v>344681000000</v>
      </c>
      <c r="Q62">
        <v>414835000000</v>
      </c>
      <c r="R62">
        <v>288566000000</v>
      </c>
      <c r="S62">
        <v>261559000000</v>
      </c>
      <c r="T62">
        <v>606240000000</v>
      </c>
      <c r="U62">
        <v>-386630000000</v>
      </c>
      <c r="V62">
        <f t="shared" si="2"/>
        <v>4333568000000</v>
      </c>
      <c r="W62">
        <f t="shared" si="3"/>
        <v>8619431000000</v>
      </c>
    </row>
    <row r="63" spans="1:23" s="20" customFormat="1" x14ac:dyDescent="0.2">
      <c r="A63" s="20">
        <f>IF(D63="USD",VLOOKUP(VALUE(RIGHT(E63,4)),'USD RUB'!$E:$F,2,FALSE),1)</f>
        <v>1</v>
      </c>
      <c r="B63" s="21">
        <v>1</v>
      </c>
      <c r="C63" s="20">
        <v>1000000</v>
      </c>
      <c r="D63" s="20" t="s">
        <v>20</v>
      </c>
      <c r="E63" s="22" t="s">
        <v>81</v>
      </c>
      <c r="F63" s="20">
        <v>1426264000000</v>
      </c>
      <c r="G63" s="20">
        <v>3309453000000</v>
      </c>
      <c r="H63" s="20">
        <v>5016584000000</v>
      </c>
      <c r="I63" s="20">
        <v>94622000000</v>
      </c>
      <c r="J63" s="20">
        <v>9282619000000</v>
      </c>
      <c r="K63" s="20">
        <v>1486739000000</v>
      </c>
      <c r="L63" s="20">
        <v>903872000000</v>
      </c>
      <c r="M63" s="20">
        <v>5713233000000</v>
      </c>
      <c r="N63" s="20">
        <v>6892008000000</v>
      </c>
      <c r="O63" s="20">
        <v>8621561000000</v>
      </c>
      <c r="P63" s="20">
        <v>1191817000000</v>
      </c>
      <c r="Q63" s="20">
        <v>1202833000000</v>
      </c>
      <c r="R63" s="20">
        <v>851546000000</v>
      </c>
      <c r="S63" s="20">
        <v>593446000000</v>
      </c>
      <c r="T63" s="20">
        <v>1785263000000</v>
      </c>
      <c r="U63" s="20">
        <v>-779724000000</v>
      </c>
      <c r="V63" s="20">
        <f t="shared" si="2"/>
        <v>7928303000000</v>
      </c>
      <c r="W63" s="20">
        <f t="shared" si="3"/>
        <v>8600173000000</v>
      </c>
    </row>
    <row r="64" spans="1:23" x14ac:dyDescent="0.2">
      <c r="A64">
        <f>IF(D64="USD",VLOOKUP(VALUE(RIGHT(E64,4)),'USD RUB'!$E:$F,2,FALSE),1)</f>
        <v>1</v>
      </c>
      <c r="B64" s="4">
        <v>1</v>
      </c>
      <c r="C64">
        <v>1000000</v>
      </c>
      <c r="D64" t="s">
        <v>20</v>
      </c>
      <c r="E64" s="1" t="s">
        <v>82</v>
      </c>
      <c r="F64">
        <v>1127498000000</v>
      </c>
      <c r="G64">
        <v>3009017000000</v>
      </c>
      <c r="H64">
        <v>4722538000000</v>
      </c>
      <c r="I64">
        <v>78976000000</v>
      </c>
      <c r="J64">
        <v>8619431000000</v>
      </c>
      <c r="K64">
        <v>1372259000000</v>
      </c>
      <c r="L64">
        <v>747269000000</v>
      </c>
      <c r="M64">
        <v>5804291000000</v>
      </c>
      <c r="N64">
        <v>6499903000000</v>
      </c>
      <c r="O64">
        <v>4333568000000</v>
      </c>
      <c r="P64">
        <v>694187000000</v>
      </c>
      <c r="Q64">
        <v>714107000000</v>
      </c>
      <c r="R64">
        <v>591542000000</v>
      </c>
      <c r="S64">
        <v>290607000000</v>
      </c>
      <c r="T64">
        <v>984794000000</v>
      </c>
      <c r="U64">
        <v>-327061000000</v>
      </c>
      <c r="V64">
        <f t="shared" si="2"/>
        <v>3606535000000</v>
      </c>
      <c r="W64">
        <f t="shared" si="3"/>
        <v>7907304000000</v>
      </c>
    </row>
    <row r="65" spans="1:23" x14ac:dyDescent="0.2">
      <c r="A65">
        <f>IF(D65="USD",VLOOKUP(VALUE(RIGHT(E65,4)),'USD RUB'!$E:$F,2,FALSE),1)</f>
        <v>1</v>
      </c>
      <c r="B65" s="4">
        <v>1</v>
      </c>
      <c r="C65">
        <v>1000000</v>
      </c>
      <c r="D65" t="s">
        <v>20</v>
      </c>
      <c r="E65" s="1" t="s">
        <v>83</v>
      </c>
      <c r="F65">
        <v>1179673000000</v>
      </c>
      <c r="G65">
        <v>2994282000000</v>
      </c>
      <c r="H65">
        <v>4723002000000</v>
      </c>
      <c r="I65">
        <v>77413000000</v>
      </c>
      <c r="J65">
        <v>8600173000000</v>
      </c>
      <c r="K65">
        <v>1441830000000</v>
      </c>
      <c r="L65">
        <v>757110000000</v>
      </c>
      <c r="M65">
        <v>5558875000000</v>
      </c>
      <c r="N65">
        <v>6401233000000</v>
      </c>
      <c r="O65">
        <v>7928303000000</v>
      </c>
      <c r="P65">
        <v>1427697000000</v>
      </c>
      <c r="Q65">
        <v>1408350000000</v>
      </c>
      <c r="R65">
        <v>1160271000000</v>
      </c>
      <c r="S65">
        <v>577367000000</v>
      </c>
      <c r="T65">
        <v>2005064000000</v>
      </c>
      <c r="V65" t="str">
        <f t="shared" si="2"/>
        <v/>
      </c>
      <c r="W65" t="str">
        <f t="shared" si="3"/>
        <v/>
      </c>
    </row>
    <row r="66" spans="1:23" x14ac:dyDescent="0.2">
      <c r="A66">
        <f>IF(D66="USD",VLOOKUP(VALUE(RIGHT(E66,4)),'USD RUB'!$E:$F,2,FALSE),1)</f>
        <v>1</v>
      </c>
      <c r="B66" s="4">
        <v>1</v>
      </c>
      <c r="C66">
        <v>1000000</v>
      </c>
      <c r="D66" t="s">
        <v>20</v>
      </c>
      <c r="E66" s="1" t="s">
        <v>84</v>
      </c>
      <c r="F66">
        <v>1020064000000</v>
      </c>
      <c r="G66">
        <v>2570430000000</v>
      </c>
      <c r="H66">
        <v>4653247000000</v>
      </c>
      <c r="I66">
        <v>63196000000</v>
      </c>
      <c r="J66">
        <v>7907304000000</v>
      </c>
      <c r="K66">
        <v>1122233000000</v>
      </c>
      <c r="L66">
        <v>746485000000</v>
      </c>
      <c r="M66">
        <v>5280402000000</v>
      </c>
      <c r="N66">
        <v>6038586000000</v>
      </c>
      <c r="O66">
        <v>3606535000000</v>
      </c>
      <c r="P66">
        <v>611801000000</v>
      </c>
      <c r="Q66">
        <v>703735000000</v>
      </c>
      <c r="R66">
        <v>565441000000</v>
      </c>
      <c r="S66">
        <v>258736000000</v>
      </c>
      <c r="T66">
        <v>870537000000</v>
      </c>
      <c r="V66" t="str">
        <f t="shared" ref="V66:V97" si="4">_xlfn.XLOOKUP(LEFT(E66,LEN(E66)-4)&amp;(VALUE(RIGHT(E66,4))-1),$E:$E,$O:$O,"")</f>
        <v/>
      </c>
      <c r="W66" t="str">
        <f t="shared" ref="W66:W97" si="5">_xlfn.XLOOKUP(LEFT(E66,LEN(E66)-4)&amp;(VALUE(RIGHT(E66,4))-1),$E:$E,$J:$J,"")</f>
        <v/>
      </c>
    </row>
    <row r="67" spans="1:23" x14ac:dyDescent="0.2">
      <c r="A67">
        <f>IF(D67="USD",VLOOKUP(VALUE(RIGHT(E67,4)),'USD RUB'!$E:$F,2,FALSE),1)</f>
        <v>1</v>
      </c>
      <c r="B67" s="4">
        <v>1</v>
      </c>
      <c r="C67">
        <v>1000000</v>
      </c>
      <c r="D67" t="s">
        <v>20</v>
      </c>
      <c r="E67" s="1" t="s">
        <v>85</v>
      </c>
      <c r="F67">
        <v>677482000000</v>
      </c>
      <c r="G67">
        <v>2149157000000</v>
      </c>
      <c r="H67">
        <v>4263130000000</v>
      </c>
      <c r="I67">
        <v>44342000000</v>
      </c>
      <c r="J67">
        <v>6864749000000</v>
      </c>
      <c r="K67">
        <v>1244680000000</v>
      </c>
      <c r="L67">
        <v>1096885000000</v>
      </c>
      <c r="M67">
        <v>4280226000000</v>
      </c>
      <c r="N67">
        <v>4523184000000</v>
      </c>
      <c r="O67">
        <v>9435143000000</v>
      </c>
      <c r="P67">
        <v>978945000000</v>
      </c>
      <c r="Q67">
        <v>966964000000</v>
      </c>
      <c r="R67">
        <v>775513000000</v>
      </c>
      <c r="S67">
        <v>425466000000</v>
      </c>
      <c r="T67">
        <v>1404411000000</v>
      </c>
      <c r="U67">
        <v>-433042000000</v>
      </c>
      <c r="V67">
        <f t="shared" si="4"/>
        <v>5639401000000</v>
      </c>
      <c r="W67">
        <f t="shared" si="5"/>
        <v>5991579000000</v>
      </c>
    </row>
    <row r="68" spans="1:23" x14ac:dyDescent="0.2">
      <c r="A68">
        <f>IF(D68="USD",VLOOKUP(VALUE(RIGHT(E68,4)),'USD RUB'!$E:$F,2,FALSE),1)</f>
        <v>1</v>
      </c>
      <c r="B68" s="4">
        <v>1</v>
      </c>
      <c r="C68">
        <v>1000000</v>
      </c>
      <c r="D68" t="s">
        <v>20</v>
      </c>
      <c r="E68" s="1" t="s">
        <v>86</v>
      </c>
      <c r="F68">
        <v>627117000000</v>
      </c>
      <c r="G68">
        <v>1984556000000</v>
      </c>
      <c r="H68">
        <v>4195199000000</v>
      </c>
      <c r="I68">
        <v>49794000000</v>
      </c>
      <c r="J68">
        <v>6634357000000</v>
      </c>
      <c r="K68">
        <v>1188553000000</v>
      </c>
      <c r="L68">
        <v>938618000000</v>
      </c>
      <c r="M68">
        <v>4273654000000</v>
      </c>
      <c r="N68">
        <v>4507186000000</v>
      </c>
      <c r="O68">
        <v>6667112000000</v>
      </c>
      <c r="P68">
        <v>681767000000</v>
      </c>
      <c r="Q68">
        <v>671137000000</v>
      </c>
      <c r="R68">
        <v>541482000000</v>
      </c>
      <c r="S68">
        <v>327631000000</v>
      </c>
      <c r="T68">
        <v>1009398000000</v>
      </c>
      <c r="U68">
        <v>-305761000000</v>
      </c>
      <c r="V68">
        <f t="shared" si="4"/>
        <v>4109062000000</v>
      </c>
      <c r="W68">
        <f t="shared" si="5"/>
        <v>6195855000000</v>
      </c>
    </row>
    <row r="69" spans="1:23" x14ac:dyDescent="0.2">
      <c r="A69">
        <f>IF(D69="USD",VLOOKUP(VALUE(RIGHT(E69,4)),'USD RUB'!$E:$F,2,FALSE),1)</f>
        <v>1</v>
      </c>
      <c r="B69" s="4">
        <v>1</v>
      </c>
      <c r="C69">
        <v>1000000</v>
      </c>
      <c r="D69" t="s">
        <v>20</v>
      </c>
      <c r="E69" s="1" t="s">
        <v>87</v>
      </c>
      <c r="F69">
        <v>555269000000</v>
      </c>
      <c r="G69">
        <v>1838580000000</v>
      </c>
      <c r="H69">
        <v>4217399000000</v>
      </c>
      <c r="I69">
        <v>50050000000</v>
      </c>
      <c r="J69">
        <v>6508931000000</v>
      </c>
      <c r="K69">
        <v>1278284000000</v>
      </c>
      <c r="L69">
        <v>924909000000</v>
      </c>
      <c r="M69">
        <v>4073338000000</v>
      </c>
      <c r="N69">
        <v>4305738000000</v>
      </c>
      <c r="O69">
        <v>4078367000000</v>
      </c>
      <c r="P69">
        <v>433994000000</v>
      </c>
      <c r="Q69">
        <v>428969000000</v>
      </c>
      <c r="R69">
        <v>348363000000</v>
      </c>
      <c r="S69">
        <v>220228000000</v>
      </c>
      <c r="T69">
        <v>654222000000</v>
      </c>
      <c r="U69">
        <v>-211433000000</v>
      </c>
      <c r="V69">
        <f t="shared" si="4"/>
        <v>2652412000000</v>
      </c>
      <c r="W69">
        <f t="shared" si="5"/>
        <v>6002486000000</v>
      </c>
    </row>
    <row r="70" spans="1:23" x14ac:dyDescent="0.2">
      <c r="A70">
        <f>IF(D70="USD",VLOOKUP(VALUE(RIGHT(E70,4)),'USD RUB'!$E:$F,2,FALSE),1)</f>
        <v>1</v>
      </c>
      <c r="B70" s="4">
        <v>1</v>
      </c>
      <c r="C70">
        <v>1000000</v>
      </c>
      <c r="D70" t="s">
        <v>20</v>
      </c>
      <c r="E70" s="1" t="s">
        <v>88</v>
      </c>
      <c r="F70">
        <v>489180000000</v>
      </c>
      <c r="G70">
        <v>1651400000000</v>
      </c>
      <c r="H70">
        <v>4255270000000</v>
      </c>
      <c r="I70">
        <v>50201000000</v>
      </c>
      <c r="J70">
        <v>6378319000000</v>
      </c>
      <c r="K70">
        <v>1070851000000</v>
      </c>
      <c r="L70">
        <v>988019000000</v>
      </c>
      <c r="M70">
        <v>4023326000000</v>
      </c>
      <c r="N70">
        <v>4319449000000</v>
      </c>
      <c r="O70">
        <v>1876483000000</v>
      </c>
      <c r="P70">
        <v>200666000000</v>
      </c>
      <c r="Q70">
        <v>198979000000</v>
      </c>
      <c r="R70">
        <v>157967000000</v>
      </c>
      <c r="S70">
        <v>113714000000</v>
      </c>
      <c r="T70">
        <v>314380000000</v>
      </c>
      <c r="U70">
        <v>-107220000000</v>
      </c>
      <c r="V70">
        <f t="shared" si="4"/>
        <v>1665985000000</v>
      </c>
      <c r="W70">
        <f t="shared" si="5"/>
        <v>6127796000000</v>
      </c>
    </row>
    <row r="71" spans="1:23" x14ac:dyDescent="0.2">
      <c r="A71">
        <f>IF(D71="USD",VLOOKUP(VALUE(RIGHT(E71,4)),'USD RUB'!$E:$F,2,FALSE),1)</f>
        <v>1</v>
      </c>
      <c r="B71" s="4">
        <v>1</v>
      </c>
      <c r="C71">
        <v>1000000</v>
      </c>
      <c r="D71" t="s">
        <v>20</v>
      </c>
      <c r="E71" s="1" t="s">
        <v>89</v>
      </c>
      <c r="F71">
        <v>343832000000</v>
      </c>
      <c r="G71">
        <v>1276460000000</v>
      </c>
      <c r="H71">
        <v>4264474000000</v>
      </c>
      <c r="I71">
        <v>50159000000</v>
      </c>
      <c r="J71">
        <v>5991579000000</v>
      </c>
      <c r="K71">
        <v>885659000000</v>
      </c>
      <c r="L71">
        <v>975154000000</v>
      </c>
      <c r="M71">
        <v>3858057000000</v>
      </c>
      <c r="N71">
        <v>4130766000000</v>
      </c>
      <c r="O71">
        <v>5639401000000</v>
      </c>
      <c r="P71">
        <v>281654000000</v>
      </c>
      <c r="Q71">
        <v>98787000000</v>
      </c>
      <c r="R71">
        <v>16633000000</v>
      </c>
      <c r="S71">
        <v>405440000000</v>
      </c>
      <c r="T71">
        <v>687094000000</v>
      </c>
      <c r="U71">
        <v>-495443000000</v>
      </c>
      <c r="V71">
        <f t="shared" si="4"/>
        <v>7841246000000</v>
      </c>
      <c r="W71">
        <f t="shared" si="5"/>
        <v>5947050000000</v>
      </c>
    </row>
    <row r="72" spans="1:23" x14ac:dyDescent="0.2">
      <c r="A72">
        <f>IF(D72="USD",VLOOKUP(VALUE(RIGHT(E72,4)),'USD RUB'!$E:$F,2,FALSE),1)</f>
        <v>1</v>
      </c>
      <c r="B72" s="4">
        <v>1</v>
      </c>
      <c r="C72">
        <v>1000000</v>
      </c>
      <c r="D72" t="s">
        <v>20</v>
      </c>
      <c r="E72" s="1" t="s">
        <v>90</v>
      </c>
      <c r="F72">
        <v>443975000000</v>
      </c>
      <c r="G72">
        <v>1442886000000</v>
      </c>
      <c r="H72">
        <v>4313143000000</v>
      </c>
      <c r="I72">
        <v>48795000000</v>
      </c>
      <c r="J72">
        <v>6195855000000</v>
      </c>
      <c r="K72">
        <v>951463000000</v>
      </c>
      <c r="L72">
        <v>1017769000000</v>
      </c>
      <c r="M72">
        <v>3852652000000</v>
      </c>
      <c r="N72">
        <v>4226623000000</v>
      </c>
      <c r="O72">
        <v>4109062000000</v>
      </c>
      <c r="P72">
        <v>182600000000</v>
      </c>
      <c r="Q72">
        <v>37969000000</v>
      </c>
      <c r="R72">
        <v>-13329000000</v>
      </c>
      <c r="S72">
        <v>314882000000</v>
      </c>
      <c r="T72">
        <v>497482000000</v>
      </c>
      <c r="U72">
        <v>-360282000000</v>
      </c>
      <c r="V72">
        <f t="shared" si="4"/>
        <v>5928807000000</v>
      </c>
      <c r="W72">
        <f t="shared" si="5"/>
        <v>5848001000000</v>
      </c>
    </row>
    <row r="73" spans="1:23" x14ac:dyDescent="0.2">
      <c r="A73">
        <f>IF(D73="USD",VLOOKUP(VALUE(RIGHT(E73,4)),'USD RUB'!$E:$F,2,FALSE),1)</f>
        <v>1</v>
      </c>
      <c r="B73" s="4">
        <v>1</v>
      </c>
      <c r="C73">
        <v>1000000</v>
      </c>
      <c r="D73" t="s">
        <v>20</v>
      </c>
      <c r="E73" s="1" t="s">
        <v>91</v>
      </c>
      <c r="F73">
        <v>616207000000</v>
      </c>
      <c r="G73">
        <v>1475130000000</v>
      </c>
      <c r="H73">
        <v>4145254000000</v>
      </c>
      <c r="I73">
        <v>45017000000</v>
      </c>
      <c r="J73">
        <v>6002486000000</v>
      </c>
      <c r="K73">
        <v>1105217000000</v>
      </c>
      <c r="L73">
        <v>934821000000</v>
      </c>
      <c r="M73">
        <v>3794391000000</v>
      </c>
      <c r="N73">
        <v>3962448000000</v>
      </c>
      <c r="O73">
        <v>2652412000000</v>
      </c>
      <c r="P73">
        <v>83816000000</v>
      </c>
      <c r="Q73">
        <v>-28199000000</v>
      </c>
      <c r="R73">
        <v>-64241000000</v>
      </c>
      <c r="S73">
        <v>211443000000</v>
      </c>
      <c r="T73">
        <v>295259000000</v>
      </c>
      <c r="U73">
        <v>-247456000000</v>
      </c>
      <c r="V73">
        <f t="shared" si="4"/>
        <v>3976485000000</v>
      </c>
      <c r="W73">
        <f t="shared" si="5"/>
        <v>5898378000000</v>
      </c>
    </row>
    <row r="74" spans="1:23" x14ac:dyDescent="0.2">
      <c r="A74">
        <f>IF(D74="USD",VLOOKUP(VALUE(RIGHT(E74,4)),'USD RUB'!$E:$F,2,FALSE),1)</f>
        <v>1</v>
      </c>
      <c r="B74" s="4">
        <v>1</v>
      </c>
      <c r="C74">
        <v>1000000</v>
      </c>
      <c r="D74" t="s">
        <v>20</v>
      </c>
      <c r="E74" s="1" t="s">
        <v>92</v>
      </c>
      <c r="F74">
        <v>500653000000</v>
      </c>
      <c r="G74">
        <v>1452164000000</v>
      </c>
      <c r="H74">
        <v>4258283000000</v>
      </c>
      <c r="I74">
        <v>46550000000</v>
      </c>
      <c r="J74">
        <v>6127796000000</v>
      </c>
      <c r="K74">
        <v>883170000000</v>
      </c>
      <c r="L74">
        <v>877029000000</v>
      </c>
      <c r="M74">
        <v>4047772000000</v>
      </c>
      <c r="N74">
        <v>4367597000000</v>
      </c>
      <c r="O74">
        <v>1665985000000</v>
      </c>
      <c r="P74">
        <v>40125000000</v>
      </c>
      <c r="Q74">
        <v>-22406000000</v>
      </c>
      <c r="R74">
        <v>-45784000000</v>
      </c>
      <c r="S74">
        <v>110718000000</v>
      </c>
      <c r="T74">
        <v>150843000000</v>
      </c>
      <c r="U74">
        <v>-130211000000</v>
      </c>
      <c r="V74">
        <f t="shared" si="4"/>
        <v>1850933000000</v>
      </c>
      <c r="W74">
        <f t="shared" si="5"/>
        <v>5823274000000</v>
      </c>
    </row>
    <row r="75" spans="1:23" x14ac:dyDescent="0.2">
      <c r="A75">
        <f>IF(D75="USD",VLOOKUP(VALUE(RIGHT(E75,4)),'USD RUB'!$E:$F,2,FALSE),1)</f>
        <v>1</v>
      </c>
      <c r="B75" s="4">
        <v>1</v>
      </c>
      <c r="C75">
        <v>1000000</v>
      </c>
      <c r="D75" t="s">
        <v>20</v>
      </c>
      <c r="E75" s="1" t="s">
        <v>93</v>
      </c>
      <c r="F75">
        <v>516032000000</v>
      </c>
      <c r="G75">
        <v>1554187000000</v>
      </c>
      <c r="H75">
        <v>4026007000000</v>
      </c>
      <c r="I75">
        <v>43108000000</v>
      </c>
      <c r="J75">
        <v>5947050000000</v>
      </c>
      <c r="K75">
        <v>1207677000000</v>
      </c>
      <c r="L75">
        <v>765924000000</v>
      </c>
      <c r="M75">
        <v>4203138000000</v>
      </c>
      <c r="N75">
        <v>3973449000000</v>
      </c>
      <c r="O75">
        <v>7841246000000</v>
      </c>
      <c r="P75">
        <v>821098000000</v>
      </c>
      <c r="Q75">
        <v>793354000000</v>
      </c>
      <c r="R75">
        <v>642221000000</v>
      </c>
      <c r="S75">
        <v>415094000000</v>
      </c>
      <c r="T75">
        <v>1236200000000</v>
      </c>
      <c r="U75">
        <v>-449975000000</v>
      </c>
      <c r="V75">
        <f t="shared" si="4"/>
        <v>8035889000000</v>
      </c>
      <c r="W75">
        <f t="shared" si="5"/>
        <v>5732382000000</v>
      </c>
    </row>
    <row r="76" spans="1:23" x14ac:dyDescent="0.2">
      <c r="A76">
        <f>IF(D76="USD",VLOOKUP(VALUE(RIGHT(E76,4)),'USD RUB'!$E:$F,2,FALSE),1)</f>
        <v>1</v>
      </c>
      <c r="B76" s="4">
        <v>1</v>
      </c>
      <c r="C76">
        <v>1000000</v>
      </c>
      <c r="D76" t="s">
        <v>20</v>
      </c>
      <c r="E76" s="1" t="s">
        <v>94</v>
      </c>
      <c r="F76">
        <v>447168000000</v>
      </c>
      <c r="G76">
        <v>1484617000000</v>
      </c>
      <c r="H76">
        <v>3977151000000</v>
      </c>
      <c r="I76">
        <v>39682000000</v>
      </c>
      <c r="J76">
        <v>5848001000000</v>
      </c>
      <c r="K76">
        <v>874674000000</v>
      </c>
      <c r="L76">
        <v>823218000000</v>
      </c>
      <c r="M76">
        <v>4209090000000</v>
      </c>
      <c r="N76">
        <v>4150109000000</v>
      </c>
      <c r="O76">
        <v>5928807000000</v>
      </c>
      <c r="P76">
        <v>643968000000</v>
      </c>
      <c r="Q76">
        <v>643082000000</v>
      </c>
      <c r="R76">
        <v>522478000000</v>
      </c>
      <c r="S76">
        <v>314064000000</v>
      </c>
      <c r="T76">
        <v>958032000000</v>
      </c>
      <c r="U76">
        <v>-314038000000</v>
      </c>
      <c r="V76">
        <f t="shared" si="4"/>
        <v>5992672000000</v>
      </c>
      <c r="W76">
        <f t="shared" si="5"/>
        <v>5713550000000</v>
      </c>
    </row>
    <row r="77" spans="1:23" x14ac:dyDescent="0.2">
      <c r="A77">
        <f>IF(D77="USD",VLOOKUP(VALUE(RIGHT(E77,4)),'USD RUB'!$E:$F,2,FALSE),1)</f>
        <v>1</v>
      </c>
      <c r="B77" s="4">
        <v>1</v>
      </c>
      <c r="C77">
        <v>1000000</v>
      </c>
      <c r="D77" t="s">
        <v>20</v>
      </c>
      <c r="E77" s="1" t="s">
        <v>95</v>
      </c>
      <c r="F77">
        <v>506116000000</v>
      </c>
      <c r="G77">
        <v>1586417000000</v>
      </c>
      <c r="H77">
        <v>398119000000</v>
      </c>
      <c r="I77">
        <v>39704000000</v>
      </c>
      <c r="J77">
        <v>5898378000000</v>
      </c>
      <c r="K77">
        <v>1197008000000</v>
      </c>
      <c r="L77">
        <v>826418000000</v>
      </c>
      <c r="M77">
        <v>4199220000000</v>
      </c>
      <c r="N77">
        <v>3874952000000</v>
      </c>
      <c r="O77">
        <v>3976485000000</v>
      </c>
      <c r="P77">
        <v>420667000000</v>
      </c>
      <c r="Q77">
        <v>416314000000</v>
      </c>
      <c r="R77">
        <v>331591000000</v>
      </c>
      <c r="S77">
        <v>209560000000</v>
      </c>
      <c r="T77">
        <v>630227000000</v>
      </c>
      <c r="U77">
        <v>-204976000000</v>
      </c>
      <c r="V77">
        <f t="shared" si="4"/>
        <v>2056058000000</v>
      </c>
      <c r="W77">
        <f t="shared" si="5"/>
        <v>5492067000000</v>
      </c>
    </row>
    <row r="78" spans="1:23" x14ac:dyDescent="0.2">
      <c r="A78">
        <f>IF(D78="USD",VLOOKUP(VALUE(RIGHT(E78,4)),'USD RUB'!$E:$F,2,FALSE),1)</f>
        <v>1</v>
      </c>
      <c r="B78" s="4">
        <v>1</v>
      </c>
      <c r="C78">
        <v>1000000</v>
      </c>
      <c r="D78" t="s">
        <v>20</v>
      </c>
      <c r="E78" s="1" t="s">
        <v>96</v>
      </c>
      <c r="F78">
        <v>444494000000</v>
      </c>
      <c r="G78">
        <v>1498146000000</v>
      </c>
      <c r="H78">
        <v>3921362000000</v>
      </c>
      <c r="I78">
        <v>40311000000</v>
      </c>
      <c r="J78">
        <v>5823274000000</v>
      </c>
      <c r="K78">
        <v>924205000000</v>
      </c>
      <c r="L78">
        <v>842285000000</v>
      </c>
      <c r="M78">
        <v>4120706000000</v>
      </c>
      <c r="N78">
        <v>4056784000000</v>
      </c>
      <c r="O78">
        <v>1850933000000</v>
      </c>
      <c r="P78">
        <v>194227000000</v>
      </c>
      <c r="Q78">
        <v>192586000000</v>
      </c>
      <c r="R78">
        <v>149790000000</v>
      </c>
      <c r="S78">
        <v>103830000000</v>
      </c>
      <c r="T78">
        <v>298057000000</v>
      </c>
      <c r="U78">
        <v>-97421000000</v>
      </c>
      <c r="V78">
        <f t="shared" si="4"/>
        <v>1630728000000</v>
      </c>
      <c r="W78">
        <f t="shared" si="5"/>
        <v>5205186000000</v>
      </c>
    </row>
    <row r="79" spans="1:23" x14ac:dyDescent="0.2">
      <c r="A79">
        <f>IF(D79="USD",VLOOKUP(VALUE(RIGHT(E79,4)),'USD RUB'!$E:$F,2,FALSE),1)</f>
        <v>1</v>
      </c>
      <c r="B79" s="4">
        <v>1</v>
      </c>
      <c r="C79">
        <v>1000000</v>
      </c>
      <c r="D79" t="s">
        <v>20</v>
      </c>
      <c r="E79" s="1" t="s">
        <v>97</v>
      </c>
      <c r="F79">
        <v>492650000000</v>
      </c>
      <c r="G79">
        <v>1478479000000</v>
      </c>
      <c r="H79">
        <v>3829164000000</v>
      </c>
      <c r="I79">
        <v>41765000000</v>
      </c>
      <c r="J79">
        <v>5732382000000</v>
      </c>
      <c r="K79">
        <v>914560000000</v>
      </c>
      <c r="L79">
        <v>744296000000</v>
      </c>
      <c r="M79">
        <v>3963628000000</v>
      </c>
      <c r="N79">
        <v>4073526000000</v>
      </c>
      <c r="O79">
        <v>8035889000000</v>
      </c>
      <c r="P79">
        <v>771715000000</v>
      </c>
      <c r="Q79">
        <v>773019000000</v>
      </c>
      <c r="R79">
        <v>621102000000</v>
      </c>
      <c r="S79">
        <v>343085000000</v>
      </c>
      <c r="T79">
        <v>1114800000000</v>
      </c>
      <c r="U79">
        <v>-451526000000</v>
      </c>
      <c r="V79">
        <f t="shared" si="4"/>
        <v>5936705000000</v>
      </c>
      <c r="W79">
        <f t="shared" si="5"/>
        <v>5226215000000</v>
      </c>
    </row>
    <row r="80" spans="1:23" x14ac:dyDescent="0.2">
      <c r="A80">
        <f>IF(D80="USD",VLOOKUP(VALUE(RIGHT(E80,4)),'USD RUB'!$E:$F,2,FALSE),1)</f>
        <v>1</v>
      </c>
      <c r="B80" s="4">
        <v>1</v>
      </c>
      <c r="C80">
        <v>1000000</v>
      </c>
      <c r="D80" t="s">
        <v>20</v>
      </c>
      <c r="E80" s="1" t="s">
        <v>98</v>
      </c>
      <c r="F80">
        <v>371791000000</v>
      </c>
      <c r="G80">
        <v>1618600000000</v>
      </c>
      <c r="H80">
        <v>3722586000000</v>
      </c>
      <c r="I80">
        <v>39956000000</v>
      </c>
      <c r="J80">
        <v>5713550000000</v>
      </c>
      <c r="K80">
        <v>932065000000</v>
      </c>
      <c r="L80">
        <v>819410000000</v>
      </c>
      <c r="M80">
        <v>3955499000000</v>
      </c>
      <c r="N80">
        <v>3962075000000</v>
      </c>
      <c r="O80">
        <v>5992672000000</v>
      </c>
      <c r="P80">
        <v>545302000000</v>
      </c>
      <c r="Q80">
        <v>572755000000</v>
      </c>
      <c r="R80">
        <v>461882000000</v>
      </c>
      <c r="S80">
        <v>291183000000</v>
      </c>
      <c r="T80">
        <v>836500000000</v>
      </c>
      <c r="U80">
        <v>-338260000000</v>
      </c>
      <c r="V80">
        <f t="shared" si="4"/>
        <v>4274253000000</v>
      </c>
      <c r="W80">
        <f t="shared" si="5"/>
        <v>5031753000000</v>
      </c>
    </row>
    <row r="81" spans="1:23" x14ac:dyDescent="0.2">
      <c r="A81">
        <f>IF(D81="USD",VLOOKUP(VALUE(RIGHT(E81,4)),'USD RUB'!$E:$F,2,FALSE),1)</f>
        <v>1</v>
      </c>
      <c r="B81" s="4">
        <v>1</v>
      </c>
      <c r="C81">
        <v>1000000</v>
      </c>
      <c r="D81" t="s">
        <v>20</v>
      </c>
      <c r="E81" s="1" t="s">
        <v>99</v>
      </c>
      <c r="F81">
        <v>339209000000</v>
      </c>
      <c r="G81">
        <v>1465528000000</v>
      </c>
      <c r="H81">
        <v>3665714000000</v>
      </c>
      <c r="I81">
        <v>41355000000</v>
      </c>
      <c r="J81">
        <v>5492067000000</v>
      </c>
      <c r="K81">
        <v>963517000000</v>
      </c>
      <c r="L81">
        <v>798096000000</v>
      </c>
      <c r="M81">
        <v>3753455000000</v>
      </c>
      <c r="N81">
        <v>3730454000000</v>
      </c>
      <c r="O81">
        <v>2056058000000</v>
      </c>
      <c r="P81">
        <v>197558000000</v>
      </c>
      <c r="Q81">
        <v>211863000000</v>
      </c>
      <c r="R81">
        <v>167995000000</v>
      </c>
      <c r="S81">
        <v>185283000000</v>
      </c>
      <c r="T81">
        <v>514700000000</v>
      </c>
      <c r="U81">
        <v>-226834000000</v>
      </c>
      <c r="V81">
        <f t="shared" si="4"/>
        <v>2790769000000</v>
      </c>
      <c r="W81">
        <f t="shared" si="5"/>
        <v>4960480000000</v>
      </c>
    </row>
    <row r="82" spans="1:23" x14ac:dyDescent="0.2">
      <c r="A82">
        <f>IF(D82="USD",VLOOKUP(VALUE(RIGHT(E82,4)),'USD RUB'!$E:$F,2,FALSE),1)</f>
        <v>1</v>
      </c>
      <c r="B82" s="4">
        <v>1</v>
      </c>
      <c r="C82">
        <v>1000000</v>
      </c>
      <c r="D82" t="s">
        <v>20</v>
      </c>
      <c r="E82" s="1" t="s">
        <v>100</v>
      </c>
      <c r="F82">
        <v>296755000000</v>
      </c>
      <c r="G82">
        <v>1280391000000</v>
      </c>
      <c r="H82">
        <v>3588523000000</v>
      </c>
      <c r="I82">
        <v>41344000000</v>
      </c>
      <c r="J82">
        <v>5205186000000</v>
      </c>
      <c r="K82">
        <v>828019000000</v>
      </c>
      <c r="L82">
        <v>780764000000</v>
      </c>
      <c r="M82">
        <v>3678385000000</v>
      </c>
      <c r="N82">
        <v>3596403000000</v>
      </c>
      <c r="O82">
        <v>1630728000000</v>
      </c>
      <c r="P82">
        <v>131834000000</v>
      </c>
      <c r="Q82">
        <v>109425000000</v>
      </c>
      <c r="R82">
        <v>109058000000</v>
      </c>
      <c r="S82">
        <v>87690000000</v>
      </c>
      <c r="T82">
        <v>219500000000</v>
      </c>
      <c r="U82">
        <v>121100000000</v>
      </c>
      <c r="V82">
        <f t="shared" si="4"/>
        <v>1431599000000</v>
      </c>
      <c r="W82">
        <f t="shared" si="5"/>
        <v>4813959000000</v>
      </c>
    </row>
    <row r="83" spans="1:23" x14ac:dyDescent="0.2">
      <c r="A83">
        <f>IF(D83="USD",VLOOKUP(VALUE(RIGHT(E83,4)),'USD RUB'!$E:$F,2,FALSE),1)</f>
        <v>1</v>
      </c>
      <c r="B83" s="4">
        <v>1</v>
      </c>
      <c r="C83">
        <v>1000000</v>
      </c>
      <c r="D83" t="s">
        <v>20</v>
      </c>
      <c r="E83" s="1" t="s">
        <v>101</v>
      </c>
      <c r="F83">
        <v>330390000000</v>
      </c>
      <c r="G83">
        <v>1308114000000</v>
      </c>
      <c r="H83">
        <v>3575165000000</v>
      </c>
      <c r="I83">
        <v>41304000000</v>
      </c>
      <c r="J83">
        <v>5226215000000</v>
      </c>
      <c r="K83">
        <v>958847000000</v>
      </c>
      <c r="L83">
        <v>776969000000</v>
      </c>
      <c r="M83">
        <v>3576158000000</v>
      </c>
      <c r="N83">
        <v>3490399000000</v>
      </c>
      <c r="O83">
        <v>5936705000000</v>
      </c>
      <c r="P83">
        <v>506516000000</v>
      </c>
      <c r="Q83">
        <v>524184000000</v>
      </c>
      <c r="R83">
        <v>420422000000</v>
      </c>
      <c r="S83">
        <v>325054000000</v>
      </c>
      <c r="T83">
        <v>831600000000</v>
      </c>
      <c r="U83">
        <v>511500000000</v>
      </c>
      <c r="V83">
        <f t="shared" si="4"/>
        <v>5227045000000</v>
      </c>
      <c r="W83">
        <f t="shared" si="5"/>
        <v>5014673000000</v>
      </c>
    </row>
    <row r="84" spans="1:23" x14ac:dyDescent="0.2">
      <c r="A84">
        <f>IF(D84="USD",VLOOKUP(VALUE(RIGHT(E84,4)),'USD RUB'!$E:$F,2,FALSE),1)</f>
        <v>1</v>
      </c>
      <c r="B84" s="4">
        <v>1</v>
      </c>
      <c r="C84">
        <v>1000000</v>
      </c>
      <c r="D84" t="s">
        <v>20</v>
      </c>
      <c r="E84" s="1" t="s">
        <v>102</v>
      </c>
      <c r="F84">
        <v>293491000000</v>
      </c>
      <c r="G84">
        <v>1166226000000</v>
      </c>
      <c r="H84">
        <v>3504439000000</v>
      </c>
      <c r="I84">
        <v>42147000000</v>
      </c>
      <c r="J84">
        <v>5031753000000</v>
      </c>
      <c r="K84">
        <v>769657000000</v>
      </c>
      <c r="L84">
        <v>815500000000</v>
      </c>
      <c r="M84">
        <v>3515965000000</v>
      </c>
      <c r="N84">
        <v>3446596000000</v>
      </c>
      <c r="O84">
        <v>4274253000000</v>
      </c>
      <c r="P84">
        <v>358979000000</v>
      </c>
      <c r="Q84">
        <v>377604000000</v>
      </c>
      <c r="R84">
        <v>299263000000</v>
      </c>
      <c r="S84">
        <v>248856000000</v>
      </c>
      <c r="T84">
        <v>607800000000</v>
      </c>
      <c r="U84">
        <v>373770000000</v>
      </c>
      <c r="V84">
        <f t="shared" si="4"/>
        <v>3826121000000</v>
      </c>
      <c r="W84">
        <f t="shared" si="5"/>
        <v>4972564000000</v>
      </c>
    </row>
    <row r="85" spans="1:23" x14ac:dyDescent="0.2">
      <c r="A85">
        <f>IF(D85="USD",VLOOKUP(VALUE(RIGHT(E85,4)),'USD RUB'!$E:$F,2,FALSE),1)</f>
        <v>1</v>
      </c>
      <c r="B85" s="4">
        <v>1</v>
      </c>
      <c r="C85">
        <v>1000000</v>
      </c>
      <c r="D85" t="s">
        <v>20</v>
      </c>
      <c r="E85" s="1" t="s">
        <v>103</v>
      </c>
      <c r="F85">
        <v>299676000000</v>
      </c>
      <c r="G85">
        <v>1126574000000</v>
      </c>
      <c r="H85">
        <v>3471528000000</v>
      </c>
      <c r="I85">
        <v>42857000000</v>
      </c>
      <c r="J85">
        <v>4960480000000</v>
      </c>
      <c r="K85">
        <v>788870000000</v>
      </c>
      <c r="L85">
        <v>826528000000</v>
      </c>
      <c r="M85">
        <v>3418624000000</v>
      </c>
      <c r="N85">
        <v>3345082000000</v>
      </c>
      <c r="O85">
        <v>2790769000000</v>
      </c>
      <c r="P85">
        <v>221753000000</v>
      </c>
      <c r="Q85">
        <v>249235000000</v>
      </c>
      <c r="R85">
        <v>201478000000</v>
      </c>
      <c r="S85">
        <v>164936000000</v>
      </c>
      <c r="T85">
        <v>386700000000</v>
      </c>
      <c r="U85">
        <v>254900000000</v>
      </c>
      <c r="V85">
        <f t="shared" si="4"/>
        <v>2516633000000</v>
      </c>
      <c r="W85">
        <f t="shared" si="5"/>
        <v>5046471000000</v>
      </c>
    </row>
    <row r="86" spans="1:23" x14ac:dyDescent="0.2">
      <c r="A86">
        <f>IF(D86="USD",VLOOKUP(VALUE(RIGHT(E86,4)),'USD RUB'!$E:$F,2,FALSE),1)</f>
        <v>1</v>
      </c>
      <c r="B86" s="4">
        <v>1</v>
      </c>
      <c r="C86">
        <v>1000000</v>
      </c>
      <c r="D86" t="s">
        <v>20</v>
      </c>
      <c r="E86" s="1" t="s">
        <v>104</v>
      </c>
      <c r="F86">
        <v>19641000000</v>
      </c>
      <c r="G86">
        <v>1088461000000</v>
      </c>
      <c r="H86">
        <v>3377943000000</v>
      </c>
      <c r="I86">
        <v>41110000000</v>
      </c>
      <c r="J86">
        <v>4813959000000</v>
      </c>
      <c r="K86">
        <v>647115000000</v>
      </c>
      <c r="L86">
        <v>895338000000</v>
      </c>
      <c r="M86">
        <v>3365132000000</v>
      </c>
      <c r="N86">
        <v>3271506000000</v>
      </c>
      <c r="O86">
        <v>1431599000000</v>
      </c>
      <c r="P86">
        <v>126871000000</v>
      </c>
      <c r="Q86">
        <v>78449000000</v>
      </c>
      <c r="R86">
        <v>62684000000</v>
      </c>
      <c r="S86">
        <v>80774000000</v>
      </c>
      <c r="T86">
        <v>207600000000</v>
      </c>
      <c r="U86">
        <v>130200000000</v>
      </c>
      <c r="V86">
        <f t="shared" si="4"/>
        <v>1177674000000</v>
      </c>
      <c r="W86">
        <f t="shared" si="5"/>
        <v>4982254000000</v>
      </c>
    </row>
    <row r="87" spans="1:23" x14ac:dyDescent="0.2">
      <c r="A87">
        <f>IF(D87="USD",VLOOKUP(VALUE(RIGHT(E87,4)),'USD RUB'!$E:$F,2,FALSE),1)</f>
        <v>1</v>
      </c>
      <c r="B87" s="4">
        <v>1</v>
      </c>
      <c r="C87">
        <v>1000000</v>
      </c>
      <c r="D87" t="s">
        <v>20</v>
      </c>
      <c r="E87" s="1" t="s">
        <v>105</v>
      </c>
      <c r="F87">
        <v>261367000000</v>
      </c>
      <c r="G87">
        <v>1255641000000</v>
      </c>
      <c r="H87">
        <v>3391366000000</v>
      </c>
      <c r="J87">
        <v>5014673000000</v>
      </c>
      <c r="K87">
        <v>830686000000</v>
      </c>
      <c r="L87">
        <v>956323000000</v>
      </c>
      <c r="M87">
        <v>3302855000000</v>
      </c>
      <c r="N87">
        <v>3227664000000</v>
      </c>
      <c r="O87">
        <v>5227045000000</v>
      </c>
      <c r="P87">
        <v>419143000000</v>
      </c>
      <c r="Q87">
        <v>272515000000</v>
      </c>
      <c r="R87">
        <v>207642000000</v>
      </c>
      <c r="T87">
        <v>731000000000</v>
      </c>
      <c r="U87">
        <v>497130000000</v>
      </c>
      <c r="V87">
        <f t="shared" si="4"/>
        <v>5749050000000</v>
      </c>
      <c r="W87">
        <f t="shared" si="5"/>
        <v>5020607000000</v>
      </c>
    </row>
    <row r="88" spans="1:23" x14ac:dyDescent="0.2">
      <c r="A88">
        <f>IF(D88="USD",VLOOKUP(VALUE(RIGHT(E88,4)),'USD RUB'!$E:$F,2,FALSE),1)</f>
        <v>1</v>
      </c>
      <c r="B88" s="4">
        <v>1</v>
      </c>
      <c r="C88">
        <v>1000000</v>
      </c>
      <c r="D88" t="s">
        <v>20</v>
      </c>
      <c r="E88" s="1" t="s">
        <v>106</v>
      </c>
      <c r="F88">
        <v>345175000000</v>
      </c>
      <c r="G88">
        <v>1173823000000</v>
      </c>
      <c r="H88">
        <v>3413480000000</v>
      </c>
      <c r="J88">
        <v>4972564000000</v>
      </c>
      <c r="K88">
        <v>685216000000</v>
      </c>
      <c r="L88">
        <v>1016705000000</v>
      </c>
      <c r="M88">
        <v>3309726000000</v>
      </c>
      <c r="N88">
        <v>3270643000000</v>
      </c>
      <c r="O88">
        <v>3826121000000</v>
      </c>
      <c r="P88">
        <v>316707000000</v>
      </c>
      <c r="Q88">
        <v>211179000000</v>
      </c>
      <c r="R88">
        <v>160767000000</v>
      </c>
      <c r="T88">
        <v>547453000000</v>
      </c>
      <c r="U88">
        <v>357392000000</v>
      </c>
      <c r="V88">
        <f t="shared" si="4"/>
        <v>4576122419657.1436</v>
      </c>
      <c r="W88">
        <f t="shared" si="5"/>
        <v>6650359299163.6367</v>
      </c>
    </row>
    <row r="89" spans="1:23" x14ac:dyDescent="0.2">
      <c r="A89">
        <f>IF(D89="USD",VLOOKUP(VALUE(RIGHT(E89,4)),'USD RUB'!$E:$F,2,FALSE),1)</f>
        <v>1</v>
      </c>
      <c r="B89" s="4">
        <v>1</v>
      </c>
      <c r="C89">
        <v>1000000</v>
      </c>
      <c r="D89" t="s">
        <v>20</v>
      </c>
      <c r="E89" s="1" t="s">
        <v>107</v>
      </c>
      <c r="F89">
        <v>346703000000</v>
      </c>
      <c r="G89">
        <v>1284902000000</v>
      </c>
      <c r="H89">
        <v>3380811000000</v>
      </c>
      <c r="J89">
        <v>5046471000000</v>
      </c>
      <c r="K89">
        <v>798656000000</v>
      </c>
      <c r="L89">
        <v>1030571000000</v>
      </c>
      <c r="M89">
        <v>3254923000000</v>
      </c>
      <c r="N89">
        <v>3217244000000</v>
      </c>
      <c r="O89">
        <v>2516633000000</v>
      </c>
      <c r="P89">
        <v>225607000000</v>
      </c>
      <c r="Q89">
        <v>135387000000</v>
      </c>
      <c r="R89">
        <v>105392000000</v>
      </c>
      <c r="T89">
        <v>381563000000</v>
      </c>
      <c r="U89">
        <v>248664000000</v>
      </c>
      <c r="V89">
        <f t="shared" si="4"/>
        <v>3141766026794.8052</v>
      </c>
      <c r="W89">
        <f t="shared" si="5"/>
        <v>6820144759963.6367</v>
      </c>
    </row>
    <row r="90" spans="1:23" x14ac:dyDescent="0.2">
      <c r="A90">
        <f>IF(D90="USD",VLOOKUP(VALUE(RIGHT(E90,4)),'USD RUB'!$E:$F,2,FALSE),1)</f>
        <v>1</v>
      </c>
      <c r="B90" s="4">
        <v>1</v>
      </c>
      <c r="C90">
        <v>1000000</v>
      </c>
      <c r="D90" t="s">
        <v>20</v>
      </c>
      <c r="E90" s="1" t="s">
        <v>108</v>
      </c>
      <c r="F90">
        <v>314494000000</v>
      </c>
      <c r="G90">
        <v>1208062000000</v>
      </c>
      <c r="H90">
        <v>3382080000000</v>
      </c>
      <c r="J90">
        <v>4982254000000</v>
      </c>
      <c r="K90">
        <v>620265000000</v>
      </c>
      <c r="L90">
        <v>1103016000000</v>
      </c>
      <c r="M90">
        <v>3272204000000</v>
      </c>
      <c r="N90">
        <v>3258973000000</v>
      </c>
      <c r="O90">
        <v>1177674000000</v>
      </c>
      <c r="P90">
        <v>107644000000</v>
      </c>
      <c r="Q90">
        <v>54736000000</v>
      </c>
      <c r="R90">
        <v>-11766000000</v>
      </c>
      <c r="T90">
        <v>145000000000</v>
      </c>
      <c r="U90">
        <v>125807000000</v>
      </c>
      <c r="V90">
        <f t="shared" si="4"/>
        <v>1420391354961.0391</v>
      </c>
      <c r="W90">
        <f t="shared" si="5"/>
        <v>6778678397423.377</v>
      </c>
    </row>
    <row r="91" spans="1:23" x14ac:dyDescent="0.2">
      <c r="A91">
        <f>IF(D91="USD",VLOOKUP(VALUE(RIGHT(E91,4)),'USD RUB'!$E:$F,2,FALSE),1)</f>
        <v>1</v>
      </c>
      <c r="B91" s="4">
        <v>1</v>
      </c>
      <c r="C91">
        <v>1000000</v>
      </c>
      <c r="D91" t="s">
        <v>20</v>
      </c>
      <c r="E91" s="1" t="s">
        <v>109</v>
      </c>
      <c r="F91">
        <v>257263000000</v>
      </c>
      <c r="G91">
        <v>1213647000000</v>
      </c>
      <c r="H91">
        <v>3411153000000</v>
      </c>
      <c r="J91">
        <v>5020607000000</v>
      </c>
      <c r="K91">
        <v>695168000000</v>
      </c>
      <c r="L91">
        <v>1094065000000</v>
      </c>
      <c r="M91">
        <v>3229379000000</v>
      </c>
      <c r="N91">
        <v>3231374000000</v>
      </c>
      <c r="O91">
        <v>5749050000000</v>
      </c>
      <c r="P91">
        <v>465729000000</v>
      </c>
      <c r="Q91">
        <v>389104000000</v>
      </c>
      <c r="R91">
        <v>292745000000</v>
      </c>
      <c r="T91">
        <v>769000000000</v>
      </c>
      <c r="U91">
        <v>600639000000</v>
      </c>
      <c r="V91">
        <f t="shared" si="4"/>
        <v>5588131034255.8926</v>
      </c>
      <c r="W91">
        <f t="shared" si="5"/>
        <v>4333537145323.1934</v>
      </c>
    </row>
    <row r="92" spans="1:23" x14ac:dyDescent="0.2">
      <c r="A92">
        <f>IF(D92="USD",VLOOKUP(VALUE(RIGHT(E92,4)),'USD RUB'!$E:$F,2,FALSE),1)</f>
        <v>61.250166233766237</v>
      </c>
      <c r="B92" s="4">
        <v>61.250166233766237</v>
      </c>
      <c r="C92">
        <v>1000000</v>
      </c>
      <c r="D92" t="s">
        <v>111</v>
      </c>
      <c r="E92" s="1" t="s">
        <v>110</v>
      </c>
      <c r="F92">
        <v>242795658950.64935</v>
      </c>
      <c r="G92">
        <v>1168530671407.7922</v>
      </c>
      <c r="H92">
        <v>5024351136155.8447</v>
      </c>
      <c r="J92">
        <v>6650359299163.6367</v>
      </c>
      <c r="K92">
        <v>626037949075.32471</v>
      </c>
      <c r="L92">
        <v>978287655085.71436</v>
      </c>
      <c r="M92">
        <v>5226047933563.6367</v>
      </c>
      <c r="N92">
        <v>5046033695002.5977</v>
      </c>
      <c r="O92">
        <v>4576122419657.1436</v>
      </c>
      <c r="P92">
        <v>210578071511.68832</v>
      </c>
      <c r="Q92">
        <v>142529136825.97403</v>
      </c>
      <c r="R92">
        <v>141977885329.87015</v>
      </c>
      <c r="T92">
        <v>641656741464.93506</v>
      </c>
      <c r="U92">
        <v>469176273350.64935</v>
      </c>
      <c r="V92">
        <f t="shared" si="4"/>
        <v>4376446140134.2197</v>
      </c>
      <c r="W92">
        <f t="shared" si="5"/>
        <v>4509940790657.4141</v>
      </c>
    </row>
    <row r="93" spans="1:23" x14ac:dyDescent="0.2">
      <c r="A93">
        <f>IF(D93="USD",VLOOKUP(VALUE(RIGHT(E93,4)),'USD RUB'!$E:$F,2,FALSE),1)</f>
        <v>61.250166233766237</v>
      </c>
      <c r="B93" s="4">
        <v>61.250166233766237</v>
      </c>
      <c r="C93">
        <v>1000000</v>
      </c>
      <c r="D93" t="s">
        <v>111</v>
      </c>
      <c r="E93" s="1" t="s">
        <v>112</v>
      </c>
      <c r="F93">
        <v>168009205979.22079</v>
      </c>
      <c r="G93">
        <v>1302301034462.3376</v>
      </c>
      <c r="H93">
        <v>5048361201319.4805</v>
      </c>
      <c r="J93">
        <v>6820144759963.6367</v>
      </c>
      <c r="K93">
        <v>797538414529.87012</v>
      </c>
      <c r="L93">
        <v>1016630259148.052</v>
      </c>
      <c r="M93">
        <v>5187889080000</v>
      </c>
      <c r="N93">
        <v>5005976086285.7148</v>
      </c>
      <c r="O93">
        <v>3141766026794.8052</v>
      </c>
      <c r="P93">
        <v>160536685698.70129</v>
      </c>
      <c r="Q93">
        <v>134689115548.05196</v>
      </c>
      <c r="R93">
        <v>104921534758.44156</v>
      </c>
      <c r="T93">
        <v>1182128208311.6885</v>
      </c>
      <c r="U93">
        <v>339999672763.63635</v>
      </c>
      <c r="V93">
        <f t="shared" si="4"/>
        <v>2863933144180.2275</v>
      </c>
      <c r="W93">
        <f t="shared" si="5"/>
        <v>4491645356555.5127</v>
      </c>
    </row>
    <row r="94" spans="1:23" x14ac:dyDescent="0.2">
      <c r="A94">
        <f>IF(D94="USD",VLOOKUP(VALUE(RIGHT(E94,4)),'USD RUB'!$E:$F,2,FALSE),1)</f>
        <v>61.250166233766237</v>
      </c>
      <c r="B94" s="4">
        <v>61.250166233766237</v>
      </c>
      <c r="C94">
        <v>1000000</v>
      </c>
      <c r="D94" t="s">
        <v>111</v>
      </c>
      <c r="E94" s="1" t="s">
        <v>113</v>
      </c>
      <c r="F94">
        <v>182157994379.22079</v>
      </c>
      <c r="G94">
        <v>1289560999885.7144</v>
      </c>
      <c r="H94">
        <v>5021839879340.2598</v>
      </c>
      <c r="J94">
        <v>6778678397423.377</v>
      </c>
      <c r="K94">
        <v>775304604187.01306</v>
      </c>
      <c r="L94">
        <v>977675153423.37671</v>
      </c>
      <c r="M94">
        <v>5206692881033.7666</v>
      </c>
      <c r="N94">
        <v>5025698639812.9873</v>
      </c>
      <c r="O94">
        <v>1420391354961.0391</v>
      </c>
      <c r="Q94">
        <v>56105152270.129875</v>
      </c>
      <c r="R94">
        <v>42691365864.935066</v>
      </c>
      <c r="T94">
        <v>172480468114.28574</v>
      </c>
      <c r="U94">
        <v>156800425558.44156</v>
      </c>
      <c r="V94">
        <f t="shared" si="4"/>
        <v>1383049542775.2849</v>
      </c>
      <c r="W94">
        <f t="shared" si="5"/>
        <v>4352414002119.0107</v>
      </c>
    </row>
    <row r="95" spans="1:23" x14ac:dyDescent="0.2">
      <c r="A95">
        <f>IF(D95="USD",VLOOKUP(VALUE(RIGHT(E95,4)),'USD RUB'!$E:$F,2,FALSE),1)</f>
        <v>38.761512927756648</v>
      </c>
      <c r="B95" s="4">
        <v>38.761512927756648</v>
      </c>
      <c r="C95">
        <v>1000000</v>
      </c>
      <c r="D95" t="s">
        <v>111</v>
      </c>
      <c r="E95" s="1" t="s">
        <v>114</v>
      </c>
      <c r="F95">
        <v>116439584834.98097</v>
      </c>
      <c r="G95">
        <v>882173272722.8136</v>
      </c>
      <c r="H95">
        <v>3157784173685.5508</v>
      </c>
      <c r="J95">
        <v>4333537145323.1934</v>
      </c>
      <c r="K95">
        <v>550878621729.27747</v>
      </c>
      <c r="L95">
        <v>629331923895.05688</v>
      </c>
      <c r="M95">
        <v>3268254485529.6572</v>
      </c>
      <c r="N95">
        <v>3153326599698.8589</v>
      </c>
      <c r="O95">
        <v>5588131034255.8926</v>
      </c>
      <c r="P95">
        <v>276214541123.19385</v>
      </c>
      <c r="Q95">
        <v>262492965546.76804</v>
      </c>
      <c r="R95">
        <v>182721771941.44482</v>
      </c>
      <c r="T95">
        <v>619486499611.40674</v>
      </c>
      <c r="U95">
        <v>563786205534.22046</v>
      </c>
      <c r="V95">
        <f t="shared" si="4"/>
        <v>4507226528000</v>
      </c>
      <c r="W95">
        <f t="shared" si="5"/>
        <v>3487132431999.9995</v>
      </c>
    </row>
    <row r="96" spans="1:23" x14ac:dyDescent="0.2">
      <c r="A96">
        <f>IF(D96="USD",VLOOKUP(VALUE(RIGHT(E96,4)),'USD RUB'!$E:$F,2,FALSE),1)</f>
        <v>38.761512927756648</v>
      </c>
      <c r="B96" s="4">
        <v>38.761512927756648</v>
      </c>
      <c r="C96">
        <v>1000000</v>
      </c>
      <c r="D96" t="s">
        <v>111</v>
      </c>
      <c r="E96" s="1" t="s">
        <v>115</v>
      </c>
      <c r="F96">
        <v>111090496050.95055</v>
      </c>
      <c r="G96">
        <v>1037800747127.7565</v>
      </c>
      <c r="H96">
        <v>3170265380848.2886</v>
      </c>
      <c r="J96">
        <v>4509940790657.4141</v>
      </c>
      <c r="K96">
        <v>609989928944.10632</v>
      </c>
      <c r="L96">
        <v>674140232839.54358</v>
      </c>
      <c r="M96">
        <v>3338877962084.0298</v>
      </c>
      <c r="N96">
        <v>3225810628873.7637</v>
      </c>
      <c r="O96">
        <v>4376446140134.2197</v>
      </c>
      <c r="P96">
        <v>326526984903.422</v>
      </c>
      <c r="Q96">
        <v>299897825522.05316</v>
      </c>
      <c r="R96">
        <v>223498883541.44482</v>
      </c>
      <c r="T96">
        <v>599834412557.03418</v>
      </c>
      <c r="U96">
        <v>427927102722.43341</v>
      </c>
      <c r="V96">
        <f t="shared" si="4"/>
        <v>3363563839999.9995</v>
      </c>
      <c r="W96">
        <f t="shared" si="5"/>
        <v>3485794143999.9995</v>
      </c>
    </row>
    <row r="97" spans="1:23" x14ac:dyDescent="0.2">
      <c r="A97">
        <f>IF(D97="USD",VLOOKUP(VALUE(RIGHT(E97,4)),'USD RUB'!$E:$F,2,FALSE),1)</f>
        <v>38.761512927756648</v>
      </c>
      <c r="B97" s="4">
        <v>38.761512927756648</v>
      </c>
      <c r="C97">
        <v>1000000</v>
      </c>
      <c r="D97" t="s">
        <v>111</v>
      </c>
      <c r="E97" s="1" t="s">
        <v>116</v>
      </c>
      <c r="F97">
        <v>89112718220.912537</v>
      </c>
      <c r="G97">
        <v>1060592516729.2775</v>
      </c>
      <c r="H97">
        <v>3134527265928.897</v>
      </c>
      <c r="J97">
        <v>4491645356555.5127</v>
      </c>
      <c r="K97">
        <v>679140468007.22424</v>
      </c>
      <c r="L97">
        <v>649991810285.55127</v>
      </c>
      <c r="M97">
        <v>3276084311141.064</v>
      </c>
      <c r="N97">
        <v>3162513078262.7373</v>
      </c>
      <c r="O97">
        <v>2863933144180.2275</v>
      </c>
      <c r="P97">
        <v>215669057930.03799</v>
      </c>
      <c r="Q97">
        <v>204466980693.91632</v>
      </c>
      <c r="R97">
        <v>160356378982.12924</v>
      </c>
      <c r="T97">
        <v>210746345788.21289</v>
      </c>
      <c r="U97">
        <v>276485871713.68817</v>
      </c>
      <c r="V97">
        <f t="shared" si="4"/>
        <v>2192976071999.9998</v>
      </c>
      <c r="W97">
        <f t="shared" si="5"/>
        <v>3409352407999.9995</v>
      </c>
    </row>
    <row r="98" spans="1:23" x14ac:dyDescent="0.2">
      <c r="A98">
        <f>IF(D98="USD",VLOOKUP(VALUE(RIGHT(E98,4)),'USD RUB'!$E:$F,2,FALSE),1)</f>
        <v>38.761512927756648</v>
      </c>
      <c r="B98" s="4">
        <v>38.761512927756648</v>
      </c>
      <c r="C98">
        <v>1000000</v>
      </c>
      <c r="D98" t="s">
        <v>111</v>
      </c>
      <c r="E98" s="1" t="s">
        <v>117</v>
      </c>
      <c r="F98">
        <v>90159279069.96196</v>
      </c>
      <c r="G98">
        <v>978301824783.65002</v>
      </c>
      <c r="H98">
        <v>3070338200520.5317</v>
      </c>
      <c r="J98">
        <v>4352414002119.0107</v>
      </c>
      <c r="K98">
        <v>517504959098.479</v>
      </c>
      <c r="L98">
        <v>712010230969.96191</v>
      </c>
      <c r="M98">
        <v>3235268438028.1362</v>
      </c>
      <c r="N98">
        <v>3122898812050.5698</v>
      </c>
      <c r="O98">
        <v>1383049542775.2849</v>
      </c>
      <c r="Q98">
        <v>93182677078.326981</v>
      </c>
      <c r="R98">
        <v>67328747955.513298</v>
      </c>
      <c r="T98">
        <v>154852244146.38782</v>
      </c>
      <c r="U98">
        <v>117486145684.0304</v>
      </c>
      <c r="V98">
        <f t="shared" ref="V98:V110" si="6">_xlfn.XLOOKUP(LEFT(E98,LEN(E98)-4)&amp;(VALUE(RIGHT(E98,4))-1),$E:$E,$O:$O,"")</f>
        <v>1076047279999.9999</v>
      </c>
      <c r="W98">
        <f t="shared" ref="W98:W110" si="7">_xlfn.XLOOKUP(LEFT(E98,LEN(E98)-4)&amp;(VALUE(RIGHT(E98,4))-1),$E:$E,$J:$J,"")</f>
        <v>3223808335999.9995</v>
      </c>
    </row>
    <row r="99" spans="1:23" x14ac:dyDescent="0.2">
      <c r="A99">
        <f>IF(D99="USD",VLOOKUP(VALUE(RIGHT(E99,4)),'USD RUB'!$E:$F,2,FALSE),1)</f>
        <v>31.863999999999997</v>
      </c>
      <c r="B99" s="4">
        <v>31.863999999999997</v>
      </c>
      <c r="C99">
        <v>1000000</v>
      </c>
      <c r="D99" t="s">
        <v>111</v>
      </c>
      <c r="E99" s="1" t="s">
        <v>118</v>
      </c>
      <c r="F99">
        <v>54551167999.999992</v>
      </c>
      <c r="G99">
        <v>745458279999.99988</v>
      </c>
      <c r="H99">
        <v>2500240624000</v>
      </c>
      <c r="J99">
        <v>3487132431999.9995</v>
      </c>
      <c r="K99">
        <v>417322807999.99994</v>
      </c>
      <c r="L99">
        <v>557205768000</v>
      </c>
      <c r="M99">
        <f>81733*C99*B99</f>
        <v>2604340312000</v>
      </c>
      <c r="N99">
        <v>2512635720000</v>
      </c>
      <c r="O99">
        <v>4507226528000</v>
      </c>
      <c r="Q99">
        <v>333233712000</v>
      </c>
      <c r="R99">
        <v>243026727999.99997</v>
      </c>
      <c r="T99">
        <v>531109151999.99994</v>
      </c>
      <c r="V99">
        <f t="shared" si="6"/>
        <v>4323062694266.6646</v>
      </c>
      <c r="W99">
        <f t="shared" si="7"/>
        <v>3074021220565.5156</v>
      </c>
    </row>
    <row r="100" spans="1:23" x14ac:dyDescent="0.2">
      <c r="A100">
        <f>IF(D100="USD",VLOOKUP(VALUE(RIGHT(E100,4)),'USD RUB'!$E:$F,2,FALSE),1)</f>
        <v>31.863999999999997</v>
      </c>
      <c r="B100" s="4">
        <v>31.863999999999997</v>
      </c>
      <c r="C100">
        <v>1000000</v>
      </c>
      <c r="D100" t="s">
        <v>111</v>
      </c>
      <c r="E100" s="1" t="s">
        <v>119</v>
      </c>
      <c r="F100">
        <v>107477271999.99998</v>
      </c>
      <c r="G100">
        <v>780604271999.99988</v>
      </c>
      <c r="H100">
        <v>2450118552000</v>
      </c>
      <c r="J100">
        <v>3485794143999.9995</v>
      </c>
      <c r="K100">
        <v>429972815999.99994</v>
      </c>
      <c r="L100">
        <v>519924887999.99994</v>
      </c>
      <c r="N100">
        <v>2535896440000</v>
      </c>
      <c r="O100">
        <v>3363563839999.9995</v>
      </c>
      <c r="P100">
        <v>315166824000</v>
      </c>
      <c r="Q100">
        <v>320870480000</v>
      </c>
      <c r="R100">
        <v>247774463999.99997</v>
      </c>
      <c r="V100">
        <f t="shared" si="6"/>
        <v>3204206070510.3433</v>
      </c>
      <c r="W100">
        <f t="shared" si="7"/>
        <v>3005278898225.2856</v>
      </c>
    </row>
    <row r="101" spans="1:23" x14ac:dyDescent="0.2">
      <c r="A101">
        <f>IF(D101="USD",VLOOKUP(VALUE(RIGHT(E101,4)),'USD RUB'!$E:$F,2,FALSE),1)</f>
        <v>31.863999999999997</v>
      </c>
      <c r="B101" s="4">
        <v>31.863999999999997</v>
      </c>
      <c r="C101">
        <v>1000000</v>
      </c>
      <c r="D101" t="s">
        <v>111</v>
      </c>
      <c r="E101" s="1" t="s">
        <v>120</v>
      </c>
      <c r="F101">
        <v>100913287999.99998</v>
      </c>
      <c r="G101">
        <v>769101367999.99988</v>
      </c>
      <c r="H101">
        <v>2388684760000</v>
      </c>
      <c r="J101">
        <v>3409352407999.9995</v>
      </c>
      <c r="K101">
        <v>433445991999.99994</v>
      </c>
      <c r="L101">
        <v>501666815999.99994</v>
      </c>
      <c r="N101">
        <v>2474239600000</v>
      </c>
      <c r="O101">
        <v>2192976071999.9998</v>
      </c>
      <c r="P101">
        <v>198640175999.99997</v>
      </c>
      <c r="Q101">
        <v>198098487999.99997</v>
      </c>
      <c r="R101">
        <v>149123520000</v>
      </c>
      <c r="T101">
        <v>291045776000</v>
      </c>
      <c r="V101">
        <f t="shared" si="6"/>
        <v>2101657498822.9873</v>
      </c>
      <c r="W101">
        <f t="shared" si="7"/>
        <v>2885375886822.9868</v>
      </c>
    </row>
    <row r="102" spans="1:23" x14ac:dyDescent="0.2">
      <c r="A102">
        <f>IF(D102="USD",VLOOKUP(VALUE(RIGHT(E102,4)),'USD RUB'!$E:$F,2,FALSE),1)</f>
        <v>31.863999999999997</v>
      </c>
      <c r="B102" s="4">
        <v>31.863999999999997</v>
      </c>
      <c r="C102">
        <v>1000000</v>
      </c>
      <c r="D102" t="s">
        <v>111</v>
      </c>
      <c r="E102" s="1" t="s">
        <v>121</v>
      </c>
      <c r="F102">
        <v>85427384000</v>
      </c>
      <c r="G102">
        <v>744820999999.99988</v>
      </c>
      <c r="H102">
        <v>2219008960000</v>
      </c>
      <c r="J102">
        <v>3223808335999.9995</v>
      </c>
      <c r="K102">
        <v>380073791999.99994</v>
      </c>
      <c r="L102">
        <v>397439671999.99994</v>
      </c>
      <c r="N102">
        <v>2446294872000</v>
      </c>
      <c r="O102">
        <v>1076047279999.9999</v>
      </c>
      <c r="P102">
        <v>107636591999.99998</v>
      </c>
      <c r="Q102">
        <v>107509135999.99998</v>
      </c>
      <c r="R102">
        <v>82368440000</v>
      </c>
      <c r="T102">
        <v>152150600000</v>
      </c>
      <c r="V102">
        <f t="shared" si="6"/>
        <v>1095310902864.3672</v>
      </c>
      <c r="W102">
        <f t="shared" si="7"/>
        <v>2974247004859.7686</v>
      </c>
    </row>
    <row r="103" spans="1:23" x14ac:dyDescent="0.2">
      <c r="A103">
        <f>IF(D103="USD",VLOOKUP(VALUE(RIGHT(E103,4)),'USD RUB'!$E:$F,2,FALSE),1)</f>
        <v>31.062956321839064</v>
      </c>
      <c r="B103" s="4">
        <v>31.062956321839064</v>
      </c>
      <c r="C103">
        <v>1000000</v>
      </c>
      <c r="D103" t="s">
        <v>111</v>
      </c>
      <c r="E103" s="1" t="s">
        <v>122</v>
      </c>
      <c r="F103">
        <v>90517454721.839035</v>
      </c>
      <c r="G103">
        <v>753991138799.99963</v>
      </c>
      <c r="H103">
        <v>2077583707673.562</v>
      </c>
      <c r="J103">
        <v>3074021220565.5156</v>
      </c>
      <c r="K103">
        <v>386826995075.86188</v>
      </c>
      <c r="L103">
        <v>382695621885.05725</v>
      </c>
      <c r="M103">
        <f>76216*C103*B103</f>
        <v>2367494279025.2861</v>
      </c>
      <c r="N103">
        <v>2304498603604.5967</v>
      </c>
      <c r="O103">
        <v>4323062694266.6646</v>
      </c>
      <c r="P103">
        <v>437055795448.27563</v>
      </c>
      <c r="Q103">
        <v>426276949604.59747</v>
      </c>
      <c r="R103">
        <v>339362797816.0918</v>
      </c>
      <c r="T103">
        <v>587555818827.58594</v>
      </c>
      <c r="V103">
        <f t="shared" si="6"/>
        <v>3929635386346.1543</v>
      </c>
      <c r="W103">
        <f t="shared" si="7"/>
        <v>2681266817446.1538</v>
      </c>
    </row>
    <row r="104" spans="1:23" x14ac:dyDescent="0.2">
      <c r="A104">
        <f>IF(D104="USD",VLOOKUP(VALUE(RIGHT(E104,4)),'USD RUB'!$E:$F,2,FALSE),1)</f>
        <v>31.062956321839064</v>
      </c>
      <c r="B104" s="4">
        <v>31.062956321839064</v>
      </c>
      <c r="C104">
        <v>1000000</v>
      </c>
      <c r="D104" t="s">
        <v>111</v>
      </c>
      <c r="E104" s="1" t="s">
        <v>123</v>
      </c>
      <c r="F104">
        <v>75638298643.678116</v>
      </c>
      <c r="G104">
        <v>775331389793.10303</v>
      </c>
      <c r="H104">
        <v>1985295664441.3782</v>
      </c>
      <c r="J104">
        <v>3005278898225.2856</v>
      </c>
      <c r="K104">
        <v>367070954855.17224</v>
      </c>
      <c r="L104">
        <v>374463938459.7699</v>
      </c>
      <c r="N104">
        <v>2263744004910.3438</v>
      </c>
      <c r="O104">
        <v>3204206070510.3433</v>
      </c>
      <c r="P104">
        <v>332218317862.06879</v>
      </c>
      <c r="Q104">
        <v>321439472018.39062</v>
      </c>
      <c r="R104">
        <v>255710256441.37918</v>
      </c>
      <c r="T104">
        <v>442616064629.88483</v>
      </c>
      <c r="V104">
        <f t="shared" si="6"/>
        <v>2913810672819.231</v>
      </c>
      <c r="W104">
        <f t="shared" si="7"/>
        <v>2684236463342.3081</v>
      </c>
    </row>
    <row r="105" spans="1:23" x14ac:dyDescent="0.2">
      <c r="A105">
        <f>IF(D105="USD",VLOOKUP(VALUE(RIGHT(E105,4)),'USD RUB'!$E:$F,2,FALSE),1)</f>
        <v>31.062956321839064</v>
      </c>
      <c r="B105" s="4">
        <v>31.062956321839064</v>
      </c>
      <c r="C105">
        <v>1000000</v>
      </c>
      <c r="D105" t="s">
        <v>111</v>
      </c>
      <c r="E105" s="1" t="s">
        <v>124</v>
      </c>
      <c r="F105">
        <v>7237668822.9885015</v>
      </c>
      <c r="G105">
        <v>742528907917.24097</v>
      </c>
      <c r="H105">
        <v>1853930422156.3208</v>
      </c>
      <c r="J105">
        <v>2885375886822.9868</v>
      </c>
      <c r="K105">
        <v>389746912970.11475</v>
      </c>
      <c r="L105">
        <v>387448254202.29865</v>
      </c>
      <c r="N105">
        <v>2108180719650.5735</v>
      </c>
      <c r="O105">
        <v>2101657498822.9873</v>
      </c>
      <c r="P105">
        <v>205326141287.3562</v>
      </c>
      <c r="Q105">
        <v>195758750740.22977</v>
      </c>
      <c r="R105">
        <v>147921798004.59763</v>
      </c>
      <c r="T105">
        <v>273602519282.75848</v>
      </c>
      <c r="V105">
        <f t="shared" si="6"/>
        <v>1897574325207.6924</v>
      </c>
      <c r="W105">
        <f t="shared" si="7"/>
        <v>2706464703911.5386</v>
      </c>
    </row>
    <row r="106" spans="1:23" x14ac:dyDescent="0.2">
      <c r="A106">
        <f>IF(D106="USD",VLOOKUP(VALUE(RIGHT(E106,4)),'USD RUB'!$E:$F,2,FALSE),1)</f>
        <v>31.062956321839064</v>
      </c>
      <c r="B106" s="4">
        <v>31.062956321839064</v>
      </c>
      <c r="C106">
        <v>1000000</v>
      </c>
      <c r="D106" t="s">
        <v>111</v>
      </c>
      <c r="E106" s="1" t="s">
        <v>125</v>
      </c>
      <c r="F106">
        <v>128662765085.0574</v>
      </c>
      <c r="G106">
        <v>827423967544.82715</v>
      </c>
      <c r="H106">
        <v>1804105440216.0911</v>
      </c>
      <c r="J106">
        <v>2974247004859.7686</v>
      </c>
      <c r="K106">
        <v>363032770533.33313</v>
      </c>
      <c r="L106">
        <v>405154139305.74689</v>
      </c>
      <c r="N106">
        <v>2206060095020.6885</v>
      </c>
      <c r="O106">
        <v>1095310902864.3672</v>
      </c>
      <c r="P106">
        <v>125556469452.87349</v>
      </c>
      <c r="Q106">
        <v>124873084413.79303</v>
      </c>
      <c r="R106">
        <v>113472979443.6781</v>
      </c>
      <c r="T106">
        <v>166062564496.55164</v>
      </c>
      <c r="V106">
        <f t="shared" si="6"/>
        <v>871076527915.38464</v>
      </c>
      <c r="W106">
        <f t="shared" si="7"/>
        <v>2650952907357.6924</v>
      </c>
    </row>
    <row r="107" spans="1:23" x14ac:dyDescent="0.2">
      <c r="A107">
        <f>IF(D107="USD",VLOOKUP(VALUE(RIGHT(E107,4)),'USD RUB'!$E:$F,2,FALSE),1)</f>
        <v>29.402434615384617</v>
      </c>
      <c r="B107" s="4">
        <v>29.402434615384617</v>
      </c>
      <c r="C107">
        <v>1000000</v>
      </c>
      <c r="D107" t="s">
        <v>111</v>
      </c>
      <c r="E107" s="1" t="s">
        <v>126</v>
      </c>
      <c r="F107">
        <v>80944902496.153854</v>
      </c>
      <c r="G107">
        <v>691809884065.38464</v>
      </c>
      <c r="H107">
        <v>1670146493457.6924</v>
      </c>
      <c r="J107">
        <v>2681266817446.1538</v>
      </c>
      <c r="K107">
        <v>326602243707.69232</v>
      </c>
      <c r="L107">
        <v>370999919976.9231</v>
      </c>
      <c r="M107">
        <f>67940*C107*B107</f>
        <v>1997601407769.231</v>
      </c>
      <c r="N107">
        <v>1983664653761.5386</v>
      </c>
      <c r="O107">
        <v>3929635386346.1543</v>
      </c>
      <c r="P107">
        <v>386789027365.38464</v>
      </c>
      <c r="Q107">
        <v>385730539719.23077</v>
      </c>
      <c r="R107">
        <v>288908322530.76923</v>
      </c>
      <c r="T107">
        <v>573024048219.23083</v>
      </c>
      <c r="V107">
        <f t="shared" si="6"/>
        <v>3187663363035.3843</v>
      </c>
      <c r="W107">
        <f t="shared" si="7"/>
        <v>2551716078853.4614</v>
      </c>
    </row>
    <row r="108" spans="1:23" x14ac:dyDescent="0.2">
      <c r="A108">
        <f>IF(D108="USD",VLOOKUP(VALUE(RIGHT(E108,4)),'USD RUB'!$E:$F,2,FALSE),1)</f>
        <v>29.402434615384617</v>
      </c>
      <c r="B108" s="4">
        <v>29.402434615384617</v>
      </c>
      <c r="C108">
        <v>1000000</v>
      </c>
      <c r="D108" t="s">
        <v>111</v>
      </c>
      <c r="E108" s="1" t="s">
        <v>127</v>
      </c>
      <c r="F108">
        <v>130576212126.92308</v>
      </c>
      <c r="G108">
        <v>709216125357.69238</v>
      </c>
      <c r="H108">
        <v>1657826873353.8462</v>
      </c>
      <c r="J108">
        <v>2684236463342.3081</v>
      </c>
      <c r="K108">
        <v>346360679769.23077</v>
      </c>
      <c r="L108">
        <v>376674589857.69232</v>
      </c>
      <c r="N108">
        <v>1961201193715.3848</v>
      </c>
      <c r="O108">
        <v>2913810672819.231</v>
      </c>
      <c r="P108">
        <v>338363217553.84619</v>
      </c>
      <c r="Q108">
        <v>341215253711.53851</v>
      </c>
      <c r="R108">
        <v>265621594315.38464</v>
      </c>
      <c r="T108">
        <v>450327688569.23077</v>
      </c>
      <c r="V108" t="str">
        <f t="shared" si="6"/>
        <v/>
      </c>
      <c r="W108" t="str">
        <f t="shared" si="7"/>
        <v/>
      </c>
    </row>
    <row r="109" spans="1:23" x14ac:dyDescent="0.2">
      <c r="A109">
        <f>IF(D109="USD",VLOOKUP(VALUE(RIGHT(E109,4)),'USD RUB'!$E:$F,2,FALSE),1)</f>
        <v>29.402434615384617</v>
      </c>
      <c r="B109" s="4">
        <v>29.402434615384617</v>
      </c>
      <c r="C109">
        <v>1000000</v>
      </c>
      <c r="D109" t="s">
        <v>111</v>
      </c>
      <c r="E109" s="1" t="s">
        <v>128</v>
      </c>
      <c r="F109">
        <v>119873725926.92308</v>
      </c>
      <c r="G109">
        <v>749350448607.69238</v>
      </c>
      <c r="H109">
        <v>1640038400411.5386</v>
      </c>
      <c r="J109">
        <v>2706464703911.5386</v>
      </c>
      <c r="K109">
        <v>381349576961.53851</v>
      </c>
      <c r="L109">
        <v>426423509226.9231</v>
      </c>
      <c r="N109">
        <v>1898691617723.0771</v>
      </c>
      <c r="O109">
        <v>1897574325207.6924</v>
      </c>
      <c r="P109">
        <v>230426880080.76926</v>
      </c>
      <c r="Q109">
        <v>238071513080.76926</v>
      </c>
      <c r="T109">
        <v>157156013019.23077</v>
      </c>
      <c r="V109" t="str">
        <f t="shared" si="6"/>
        <v/>
      </c>
      <c r="W109" t="str">
        <f t="shared" si="7"/>
        <v/>
      </c>
    </row>
    <row r="110" spans="1:23" x14ac:dyDescent="0.2">
      <c r="A110">
        <f>IF(D110="USD",VLOOKUP(VALUE(RIGHT(E110,4)),'USD RUB'!$E:$F,2,FALSE),1)</f>
        <v>29.402434615384617</v>
      </c>
      <c r="B110" s="4">
        <v>29.402434615384617</v>
      </c>
      <c r="C110">
        <v>1000000</v>
      </c>
      <c r="D110" t="s">
        <v>111</v>
      </c>
      <c r="E110" s="1" t="s">
        <v>129</v>
      </c>
      <c r="F110">
        <v>73506086538.461548</v>
      </c>
      <c r="G110">
        <v>714537966023.07703</v>
      </c>
      <c r="H110">
        <v>1623161402942.3079</v>
      </c>
      <c r="J110">
        <v>2650952907357.6924</v>
      </c>
      <c r="K110">
        <v>377203833680.76929</v>
      </c>
      <c r="L110">
        <v>419337522484.61542</v>
      </c>
      <c r="N110">
        <v>1854411551192.3079</v>
      </c>
      <c r="O110">
        <v>871076527915.38464</v>
      </c>
      <c r="P110">
        <v>113846226830.76924</v>
      </c>
      <c r="Q110">
        <v>119667908884.61539</v>
      </c>
      <c r="R110">
        <v>100879753165.38463</v>
      </c>
      <c r="T110">
        <v>157097208150</v>
      </c>
      <c r="V110" t="str">
        <f t="shared" si="6"/>
        <v/>
      </c>
      <c r="W110" t="str">
        <f t="shared" si="7"/>
        <v/>
      </c>
    </row>
    <row r="111" spans="1:23" x14ac:dyDescent="0.2">
      <c r="A111">
        <f>IF(D111="USD",VLOOKUP(VALUE(RIGHT(E111,4)),'USD RUB'!$E:$F,2,FALSE),1)</f>
        <v>30.371425769230768</v>
      </c>
      <c r="B111" s="4">
        <v>30.371425769230768</v>
      </c>
      <c r="C111">
        <v>1000000</v>
      </c>
      <c r="D111" t="s">
        <v>111</v>
      </c>
      <c r="E111" s="1" t="s">
        <v>2354</v>
      </c>
      <c r="F111">
        <f>((2368)*1000000)*30.3714257692308</f>
        <v>71919536221.538452</v>
      </c>
      <c r="G111">
        <f>((20617)*1000000)*30.3714257692308</f>
        <v>626167685084.23071</v>
      </c>
      <c r="H111">
        <f>((54629)*1000000)*30.3714257692308</f>
        <v>1659160618347.3076</v>
      </c>
      <c r="J111">
        <f>((84017)*1000000)*30.3714257692308</f>
        <v>2551716078853.4614</v>
      </c>
      <c r="K111">
        <f>((10775)*1000000)*30.3714257692308</f>
        <v>327252112663.46155</v>
      </c>
      <c r="L111">
        <f>((13636)*1000000)*30.3714257692308</f>
        <v>414144761789.23077</v>
      </c>
      <c r="M111">
        <f>((59212)*1000000)*30.3714257692308</f>
        <v>1798352862647.6921</v>
      </c>
      <c r="N111">
        <f>((59608)*1000000)*30.3714257692308</f>
        <v>1810379947252.3076</v>
      </c>
      <c r="O111">
        <f>((104956)*1000000)*30.3714257692308</f>
        <v>3187663363035.3843</v>
      </c>
      <c r="P111">
        <f>((11533)*1000000)*30.3714257692308</f>
        <v>350273653396.53845</v>
      </c>
      <c r="Q111">
        <f>((11470)*1000000)*30.3714257692308</f>
        <v>348360253573.0769</v>
      </c>
      <c r="R111">
        <f>((9119)*1000000)*30.3714257692308</f>
        <v>276957031589.61536</v>
      </c>
      <c r="V111">
        <f>81083*C111*31.74</f>
        <v>2573574420000</v>
      </c>
      <c r="W111">
        <f>79019*31.74*C111</f>
        <v>2508063060000</v>
      </c>
    </row>
    <row r="112" spans="1:23" x14ac:dyDescent="0.2">
      <c r="A112">
        <f>IF(D112="USD",VLOOKUP(VALUE(RIGHT(E112,4)),'USD RUB'!$E:$F,2,FALSE),1)</f>
        <v>1</v>
      </c>
      <c r="B112" s="4">
        <v>1</v>
      </c>
      <c r="C112">
        <v>1000000</v>
      </c>
      <c r="D112" t="s">
        <v>20</v>
      </c>
      <c r="E112" s="1" t="s">
        <v>130</v>
      </c>
      <c r="F112">
        <v>337925000000</v>
      </c>
      <c r="G112">
        <v>770433000000</v>
      </c>
      <c r="H112">
        <v>1257823000000</v>
      </c>
      <c r="J112">
        <v>3589106000000</v>
      </c>
      <c r="K112">
        <v>423192000000</v>
      </c>
      <c r="L112">
        <v>323609000000</v>
      </c>
      <c r="N112">
        <v>2842305000000</v>
      </c>
      <c r="O112">
        <v>1445593000000</v>
      </c>
      <c r="P112">
        <v>280957000000</v>
      </c>
      <c r="Q112">
        <v>239154000000</v>
      </c>
      <c r="R112">
        <v>186033000000</v>
      </c>
      <c r="T112">
        <v>859306000000</v>
      </c>
      <c r="V112">
        <f t="shared" ref="V112:V143" si="8">_xlfn.XLOOKUP(LEFT(E112,LEN(E112)-4)&amp;(VALUE(RIGHT(E112,4))-1),$E:$E,$O:$O,"")</f>
        <v>1545851000000</v>
      </c>
      <c r="W112">
        <f t="shared" ref="W112:W143" si="9">_xlfn.XLOOKUP(LEFT(E112,LEN(E112)-4)&amp;(VALUE(RIGHT(E112,4))-1),$E:$E,$J:$J,"")</f>
        <v>3740785000000</v>
      </c>
    </row>
    <row r="113" spans="1:23" x14ac:dyDescent="0.2">
      <c r="A113">
        <f>IF(D113="USD",VLOOKUP(VALUE(RIGHT(E113,4)),'USD RUB'!$E:$F,2,FALSE),1)</f>
        <v>1</v>
      </c>
      <c r="B113" s="4">
        <v>1</v>
      </c>
      <c r="C113">
        <v>1000000</v>
      </c>
      <c r="D113" t="s">
        <v>20</v>
      </c>
      <c r="E113" s="1" t="s">
        <v>131</v>
      </c>
      <c r="F113">
        <v>234332000000</v>
      </c>
      <c r="G113">
        <v>629670000000</v>
      </c>
      <c r="H113">
        <v>1282191000000</v>
      </c>
      <c r="J113">
        <v>3800386000000</v>
      </c>
      <c r="K113">
        <v>465984000000</v>
      </c>
      <c r="L113">
        <v>359999000000</v>
      </c>
      <c r="N113">
        <v>2974403000000</v>
      </c>
      <c r="O113">
        <v>804320000000</v>
      </c>
      <c r="P113">
        <v>155000000000</v>
      </c>
      <c r="Q113">
        <v>248876000000</v>
      </c>
      <c r="R113">
        <v>227291000000</v>
      </c>
      <c r="T113">
        <v>471806000000</v>
      </c>
      <c r="V113">
        <f t="shared" si="8"/>
        <v>752404000000</v>
      </c>
      <c r="W113">
        <f t="shared" si="9"/>
        <v>3620902000000</v>
      </c>
    </row>
    <row r="114" spans="1:23" x14ac:dyDescent="0.2">
      <c r="A114">
        <f>IF(D114="USD",VLOOKUP(VALUE(RIGHT(E114,4)),'USD RUB'!$E:$F,2,FALSE),1)</f>
        <v>1</v>
      </c>
      <c r="B114" s="4">
        <v>1</v>
      </c>
      <c r="C114">
        <v>1000000</v>
      </c>
      <c r="D114" t="s">
        <v>20</v>
      </c>
      <c r="E114" s="1" t="s">
        <v>132</v>
      </c>
      <c r="F114">
        <v>178436000000</v>
      </c>
      <c r="G114">
        <v>635128000000</v>
      </c>
      <c r="H114">
        <v>1274406000000</v>
      </c>
      <c r="J114">
        <v>3740785000000</v>
      </c>
      <c r="K114">
        <v>495084000000</v>
      </c>
      <c r="L114">
        <v>397700000000</v>
      </c>
      <c r="N114">
        <v>2848001000000</v>
      </c>
      <c r="O114">
        <v>1545851000000</v>
      </c>
      <c r="P114">
        <v>324782000000</v>
      </c>
      <c r="Q114">
        <v>573294000000</v>
      </c>
      <c r="R114">
        <v>500211000000</v>
      </c>
      <c r="T114">
        <v>1007614000000</v>
      </c>
      <c r="V114">
        <f t="shared" si="8"/>
        <v>1371508000000</v>
      </c>
      <c r="W114">
        <f t="shared" si="9"/>
        <v>3219153000000</v>
      </c>
    </row>
    <row r="115" spans="1:23" x14ac:dyDescent="0.2">
      <c r="A115">
        <f>IF(D115="USD",VLOOKUP(VALUE(RIGHT(E115,4)),'USD RUB'!$E:$F,2,FALSE),1)</f>
        <v>1</v>
      </c>
      <c r="B115" s="4">
        <v>1</v>
      </c>
      <c r="C115">
        <v>1000000</v>
      </c>
      <c r="D115" t="s">
        <v>20</v>
      </c>
      <c r="E115" s="1" t="s">
        <v>133</v>
      </c>
      <c r="F115">
        <v>152129000000</v>
      </c>
      <c r="G115">
        <v>587795000000</v>
      </c>
      <c r="H115">
        <v>1239847000000</v>
      </c>
      <c r="J115">
        <v>3620902000000</v>
      </c>
      <c r="K115">
        <v>340388000000</v>
      </c>
      <c r="L115">
        <v>459192000000</v>
      </c>
      <c r="N115">
        <v>2821322000000</v>
      </c>
      <c r="O115">
        <v>752404000000</v>
      </c>
      <c r="P115">
        <v>192665000000</v>
      </c>
      <c r="Q115">
        <v>380163000000</v>
      </c>
      <c r="R115">
        <v>345441000000</v>
      </c>
      <c r="S115">
        <v>44212000000</v>
      </c>
      <c r="T115">
        <v>480652000000</v>
      </c>
      <c r="U115">
        <v>-122047000000</v>
      </c>
      <c r="V115">
        <f t="shared" si="8"/>
        <v>642975000000</v>
      </c>
      <c r="W115">
        <f t="shared" si="9"/>
        <v>2899036000000</v>
      </c>
    </row>
    <row r="116" spans="1:23" x14ac:dyDescent="0.2">
      <c r="A116">
        <f>IF(D116="USD",VLOOKUP(VALUE(RIGHT(E116,4)),'USD RUB'!$E:$F,2,FALSE),1)</f>
        <v>1</v>
      </c>
      <c r="B116" s="4">
        <v>1</v>
      </c>
      <c r="C116">
        <v>1000000</v>
      </c>
      <c r="D116" t="s">
        <v>20</v>
      </c>
      <c r="E116" s="1" t="s">
        <v>134</v>
      </c>
      <c r="F116">
        <v>157661000000</v>
      </c>
      <c r="G116">
        <v>562218000000</v>
      </c>
      <c r="H116">
        <v>1159138000000</v>
      </c>
      <c r="J116">
        <v>3219153000000</v>
      </c>
      <c r="K116">
        <v>301605000000</v>
      </c>
      <c r="L116">
        <v>311916000000</v>
      </c>
      <c r="N116">
        <v>2605632000000</v>
      </c>
      <c r="O116">
        <v>1371508000000</v>
      </c>
      <c r="P116">
        <v>367132000000</v>
      </c>
      <c r="Q116">
        <v>573522000000</v>
      </c>
      <c r="R116">
        <v>469487000000</v>
      </c>
      <c r="S116">
        <v>75326000000</v>
      </c>
      <c r="T116">
        <v>889835000000</v>
      </c>
      <c r="V116" t="str">
        <f t="shared" si="8"/>
        <v/>
      </c>
      <c r="W116" t="str">
        <f t="shared" si="9"/>
        <v/>
      </c>
    </row>
    <row r="117" spans="1:23" x14ac:dyDescent="0.2">
      <c r="A117">
        <f>IF(D117="USD",VLOOKUP(VALUE(RIGHT(E117,4)),'USD RUB'!$E:$F,2,FALSE),1)</f>
        <v>1</v>
      </c>
      <c r="B117" s="4">
        <v>1</v>
      </c>
      <c r="C117">
        <v>1000000</v>
      </c>
      <c r="D117" t="s">
        <v>20</v>
      </c>
      <c r="E117" s="1" t="s">
        <v>135</v>
      </c>
      <c r="F117">
        <v>174853000000</v>
      </c>
      <c r="G117">
        <v>526171000000</v>
      </c>
      <c r="H117">
        <v>1110326000000</v>
      </c>
      <c r="J117">
        <v>2899036000000</v>
      </c>
      <c r="K117">
        <v>230257000000</v>
      </c>
      <c r="L117">
        <v>262133000000</v>
      </c>
      <c r="N117">
        <v>2406646000000</v>
      </c>
      <c r="O117">
        <v>642975000000</v>
      </c>
      <c r="P117">
        <v>142963000000</v>
      </c>
      <c r="Q117">
        <v>220454000000</v>
      </c>
      <c r="R117">
        <v>158172000000</v>
      </c>
      <c r="S117">
        <v>35717000000</v>
      </c>
      <c r="T117">
        <v>415776000000</v>
      </c>
      <c r="V117" t="str">
        <f t="shared" si="8"/>
        <v/>
      </c>
      <c r="W117" t="str">
        <f t="shared" si="9"/>
        <v/>
      </c>
    </row>
    <row r="118" spans="1:23" x14ac:dyDescent="0.2">
      <c r="A118">
        <f>IF(D118="USD",VLOOKUP(VALUE(RIGHT(E118,4)),'USD RUB'!$E:$F,2,FALSE),1)</f>
        <v>1</v>
      </c>
      <c r="B118" s="4">
        <v>1</v>
      </c>
      <c r="C118">
        <v>1000000</v>
      </c>
      <c r="D118" t="s">
        <v>20</v>
      </c>
      <c r="E118" s="1" t="s">
        <v>136</v>
      </c>
      <c r="F118">
        <v>45920000000</v>
      </c>
      <c r="G118">
        <v>577067000000</v>
      </c>
      <c r="H118">
        <v>870541000000</v>
      </c>
      <c r="J118">
        <v>2457664000000</v>
      </c>
      <c r="K118">
        <v>388783000000</v>
      </c>
      <c r="L118">
        <v>157412000000</v>
      </c>
      <c r="M118">
        <v>1881186000000</v>
      </c>
      <c r="N118">
        <v>1911469000000</v>
      </c>
      <c r="O118">
        <v>1156724000000</v>
      </c>
      <c r="P118">
        <v>279046000000</v>
      </c>
      <c r="Q118">
        <v>501204000000</v>
      </c>
      <c r="R118">
        <v>451621000000</v>
      </c>
      <c r="S118">
        <v>56599000000</v>
      </c>
      <c r="T118">
        <v>748337000000</v>
      </c>
      <c r="U118">
        <v>-171620000000</v>
      </c>
      <c r="V118">
        <f t="shared" si="8"/>
        <v>711812000000</v>
      </c>
      <c r="W118">
        <f t="shared" si="9"/>
        <v>2059178000000</v>
      </c>
    </row>
    <row r="119" spans="1:23" x14ac:dyDescent="0.2">
      <c r="A119">
        <f>IF(D119="USD",VLOOKUP(VALUE(RIGHT(E119,4)),'USD RUB'!$E:$F,2,FALSE),1)</f>
        <v>1</v>
      </c>
      <c r="B119" s="4">
        <v>1</v>
      </c>
      <c r="C119">
        <v>1000000</v>
      </c>
      <c r="D119" t="s">
        <v>20</v>
      </c>
      <c r="E119" s="1" t="s">
        <v>137</v>
      </c>
      <c r="F119">
        <v>47718000000</v>
      </c>
      <c r="G119">
        <v>450032000000</v>
      </c>
      <c r="H119">
        <v>791486000000</v>
      </c>
      <c r="J119">
        <v>2162039000000</v>
      </c>
      <c r="K119">
        <v>183929000000</v>
      </c>
      <c r="L119">
        <v>243336000000</v>
      </c>
      <c r="M119">
        <v>1693340000000</v>
      </c>
      <c r="N119">
        <v>1734774000000</v>
      </c>
      <c r="O119">
        <v>509035000000</v>
      </c>
      <c r="P119">
        <v>134616000000</v>
      </c>
      <c r="Q119">
        <v>194787000000</v>
      </c>
      <c r="R119">
        <v>173797000000</v>
      </c>
      <c r="S119">
        <v>25432000000</v>
      </c>
      <c r="T119">
        <v>163230000000</v>
      </c>
      <c r="U119">
        <v>-79588000000</v>
      </c>
      <c r="V119">
        <f t="shared" si="8"/>
        <v>328501000000</v>
      </c>
      <c r="W119">
        <f t="shared" si="9"/>
        <v>1964753000000</v>
      </c>
    </row>
    <row r="120" spans="1:23" x14ac:dyDescent="0.2">
      <c r="A120">
        <f>IF(D120="USD",VLOOKUP(VALUE(RIGHT(E120,4)),'USD RUB'!$E:$F,2,FALSE),1)</f>
        <v>1</v>
      </c>
      <c r="B120" s="4">
        <v>1</v>
      </c>
      <c r="C120">
        <v>1000000</v>
      </c>
      <c r="D120" t="s">
        <v>20</v>
      </c>
      <c r="E120" s="1" t="s">
        <v>138</v>
      </c>
      <c r="F120">
        <v>90442000000</v>
      </c>
      <c r="G120">
        <v>372790000000</v>
      </c>
      <c r="H120">
        <v>760992000000</v>
      </c>
      <c r="J120">
        <v>2097978000000</v>
      </c>
      <c r="K120">
        <v>140232000000</v>
      </c>
      <c r="L120">
        <v>253003000000</v>
      </c>
      <c r="M120">
        <v>1665224000000</v>
      </c>
      <c r="N120">
        <v>1704743000000</v>
      </c>
      <c r="O120">
        <v>244583000000</v>
      </c>
      <c r="P120">
        <v>65142000000</v>
      </c>
      <c r="Q120">
        <v>81597000000</v>
      </c>
      <c r="R120">
        <v>69672000000</v>
      </c>
      <c r="S120">
        <v>12420000000</v>
      </c>
      <c r="T120">
        <v>143836000000</v>
      </c>
      <c r="U120">
        <v>-35752000000</v>
      </c>
      <c r="V120">
        <f t="shared" si="8"/>
        <v>184562000000</v>
      </c>
      <c r="W120">
        <f t="shared" si="9"/>
        <v>2044274000000</v>
      </c>
    </row>
    <row r="121" spans="1:23" x14ac:dyDescent="0.2">
      <c r="A121">
        <f>IF(D121="USD",VLOOKUP(VALUE(RIGHT(E121,4)),'USD RUB'!$E:$F,2,FALSE),1)</f>
        <v>1</v>
      </c>
      <c r="B121" s="4">
        <v>1</v>
      </c>
      <c r="C121">
        <v>1000000</v>
      </c>
      <c r="D121" t="s">
        <v>20</v>
      </c>
      <c r="E121" s="1" t="s">
        <v>139</v>
      </c>
      <c r="F121">
        <v>119707000000</v>
      </c>
      <c r="G121">
        <v>362934000000</v>
      </c>
      <c r="H121">
        <v>729407000000</v>
      </c>
      <c r="J121">
        <v>2059178000000</v>
      </c>
      <c r="K121">
        <v>159996000000</v>
      </c>
      <c r="L121">
        <v>260755000000</v>
      </c>
      <c r="M121">
        <v>1600391000000</v>
      </c>
      <c r="N121">
        <v>1638427000000</v>
      </c>
      <c r="O121">
        <v>711812000000</v>
      </c>
      <c r="P121">
        <v>113012000000</v>
      </c>
      <c r="Q121">
        <v>129596000000</v>
      </c>
      <c r="R121">
        <v>78586000000</v>
      </c>
      <c r="S121">
        <v>39238000000</v>
      </c>
      <c r="T121">
        <v>392008000000</v>
      </c>
      <c r="U121">
        <v>-208706000000</v>
      </c>
      <c r="V121">
        <f t="shared" si="8"/>
        <v>862803000000</v>
      </c>
      <c r="W121">
        <f t="shared" si="9"/>
        <v>2012867000000</v>
      </c>
    </row>
    <row r="122" spans="1:23" x14ac:dyDescent="0.2">
      <c r="A122">
        <f>IF(D122="USD",VLOOKUP(VALUE(RIGHT(E122,4)),'USD RUB'!$E:$F,2,FALSE),1)</f>
        <v>1</v>
      </c>
      <c r="B122" s="4">
        <v>1</v>
      </c>
      <c r="C122">
        <v>1000000</v>
      </c>
      <c r="D122" t="s">
        <v>20</v>
      </c>
      <c r="E122" s="1" t="s">
        <v>140</v>
      </c>
      <c r="F122">
        <v>29464000000</v>
      </c>
      <c r="G122">
        <v>394020000000</v>
      </c>
      <c r="H122">
        <v>677463000000</v>
      </c>
      <c r="J122">
        <v>2017483000000</v>
      </c>
      <c r="K122">
        <v>193347000000</v>
      </c>
      <c r="L122">
        <v>235865000000</v>
      </c>
      <c r="M122">
        <v>1554714000000</v>
      </c>
      <c r="N122">
        <v>1588271000000</v>
      </c>
      <c r="O122">
        <v>492272000000</v>
      </c>
      <c r="P122">
        <v>56967000000</v>
      </c>
      <c r="Q122">
        <v>75976000000</v>
      </c>
      <c r="R122">
        <v>31517000000</v>
      </c>
      <c r="S122">
        <v>27579000000</v>
      </c>
      <c r="T122">
        <v>265821000000</v>
      </c>
      <c r="U122">
        <v>-124982000000</v>
      </c>
      <c r="V122">
        <f t="shared" si="8"/>
        <v>641781000000</v>
      </c>
      <c r="W122">
        <f t="shared" si="9"/>
        <v>1996103000000</v>
      </c>
    </row>
    <row r="123" spans="1:23" x14ac:dyDescent="0.2">
      <c r="A123">
        <f>IF(D123="USD",VLOOKUP(VALUE(RIGHT(E123,4)),'USD RUB'!$E:$F,2,FALSE),1)</f>
        <v>1</v>
      </c>
      <c r="B123" s="4">
        <v>1</v>
      </c>
      <c r="C123">
        <v>1000000</v>
      </c>
      <c r="D123" t="s">
        <v>20</v>
      </c>
      <c r="E123" s="1" t="s">
        <v>141</v>
      </c>
      <c r="F123">
        <v>46090000000</v>
      </c>
      <c r="G123">
        <v>380293000000</v>
      </c>
      <c r="H123">
        <v>644873000000</v>
      </c>
      <c r="J123">
        <v>1964753000000</v>
      </c>
      <c r="K123">
        <v>141233000000</v>
      </c>
      <c r="L123">
        <v>208873000000</v>
      </c>
      <c r="M123">
        <v>1574712000000</v>
      </c>
      <c r="N123">
        <v>1614647000000</v>
      </c>
      <c r="O123">
        <v>328501000000</v>
      </c>
      <c r="P123">
        <v>18414000000</v>
      </c>
      <c r="Q123">
        <v>35740000000</v>
      </c>
      <c r="R123">
        <v>15284000000</v>
      </c>
      <c r="S123">
        <v>17846000000</v>
      </c>
      <c r="T123">
        <v>171938000000</v>
      </c>
      <c r="U123">
        <v>-90878000000</v>
      </c>
      <c r="V123">
        <f t="shared" si="8"/>
        <v>452619000000</v>
      </c>
      <c r="W123">
        <f t="shared" si="9"/>
        <v>1611695000000</v>
      </c>
    </row>
    <row r="124" spans="1:23" x14ac:dyDescent="0.2">
      <c r="A124">
        <f>IF(D124="USD",VLOOKUP(VALUE(RIGHT(E124,4)),'USD RUB'!$E:$F,2,FALSE),1)</f>
        <v>1</v>
      </c>
      <c r="B124" s="4">
        <v>1</v>
      </c>
      <c r="C124">
        <v>1000000</v>
      </c>
      <c r="D124" t="s">
        <v>20</v>
      </c>
      <c r="E124" s="1" t="s">
        <v>142</v>
      </c>
      <c r="F124">
        <v>112711000000</v>
      </c>
      <c r="G124">
        <v>548658000000</v>
      </c>
      <c r="H124">
        <v>595933000000</v>
      </c>
      <c r="J124">
        <v>2044274000000</v>
      </c>
      <c r="K124">
        <v>197197000000</v>
      </c>
      <c r="L124">
        <v>223253000000</v>
      </c>
      <c r="M124">
        <v>1587181000000</v>
      </c>
      <c r="N124">
        <v>1623824000000</v>
      </c>
      <c r="O124">
        <v>184562000000</v>
      </c>
      <c r="P124">
        <v>4791000000</v>
      </c>
      <c r="Q124">
        <v>1013000000</v>
      </c>
      <c r="R124">
        <v>-27612000000</v>
      </c>
      <c r="S124">
        <v>8871000000</v>
      </c>
      <c r="T124">
        <v>100668000000</v>
      </c>
      <c r="U124">
        <v>-35342000000</v>
      </c>
      <c r="V124">
        <f t="shared" si="8"/>
        <v>234106000000</v>
      </c>
      <c r="W124">
        <f t="shared" si="9"/>
        <v>1617714000000</v>
      </c>
    </row>
    <row r="125" spans="1:23" x14ac:dyDescent="0.2">
      <c r="A125">
        <f>IF(D125="USD",VLOOKUP(VALUE(RIGHT(E125,4)),'USD RUB'!$E:$F,2,FALSE),1)</f>
        <v>1</v>
      </c>
      <c r="B125" s="4">
        <v>1</v>
      </c>
      <c r="C125">
        <v>1000000</v>
      </c>
      <c r="D125" t="s">
        <v>20</v>
      </c>
      <c r="E125" s="1" t="s">
        <v>143</v>
      </c>
      <c r="F125">
        <v>53240000000</v>
      </c>
      <c r="G125">
        <v>496496000000</v>
      </c>
      <c r="H125">
        <v>556798000000</v>
      </c>
      <c r="J125">
        <v>2012867000000</v>
      </c>
      <c r="K125">
        <v>117113000000</v>
      </c>
      <c r="L125">
        <v>228678000000</v>
      </c>
      <c r="M125">
        <v>1618696000000</v>
      </c>
      <c r="N125">
        <v>1667076000000</v>
      </c>
      <c r="O125">
        <v>862803000000</v>
      </c>
      <c r="P125">
        <v>869589000000</v>
      </c>
      <c r="Q125">
        <v>1003115000000</v>
      </c>
      <c r="R125">
        <v>883461000000</v>
      </c>
      <c r="S125">
        <v>32230000000</v>
      </c>
      <c r="T125">
        <v>461157000000</v>
      </c>
      <c r="U125">
        <v>-162502000000</v>
      </c>
      <c r="V125">
        <f t="shared" si="8"/>
        <v>831758000000</v>
      </c>
      <c r="W125">
        <f t="shared" si="9"/>
        <v>1216370000000</v>
      </c>
    </row>
    <row r="126" spans="1:23" x14ac:dyDescent="0.2">
      <c r="A126">
        <f>IF(D126="USD",VLOOKUP(VALUE(RIGHT(E126,4)),'USD RUB'!$E:$F,2,FALSE),1)</f>
        <v>1</v>
      </c>
      <c r="B126" s="4">
        <v>1</v>
      </c>
      <c r="C126">
        <v>1000000</v>
      </c>
      <c r="D126" t="s">
        <v>20</v>
      </c>
      <c r="E126" s="1" t="s">
        <v>144</v>
      </c>
      <c r="F126">
        <v>36506000000</v>
      </c>
      <c r="G126">
        <v>502368000000</v>
      </c>
      <c r="H126">
        <v>488254000000</v>
      </c>
      <c r="J126">
        <v>1996103000000</v>
      </c>
      <c r="K126">
        <v>147481000000</v>
      </c>
      <c r="L126">
        <v>232083000000</v>
      </c>
      <c r="M126">
        <v>1574714000000</v>
      </c>
      <c r="N126">
        <v>1616539000000</v>
      </c>
      <c r="O126">
        <v>641781000000</v>
      </c>
      <c r="P126">
        <v>842510000000</v>
      </c>
      <c r="Q126">
        <v>954921000000</v>
      </c>
      <c r="R126">
        <v>834332000000</v>
      </c>
      <c r="S126">
        <v>23677000000</v>
      </c>
      <c r="T126">
        <v>338296000000</v>
      </c>
      <c r="U126">
        <v>-99233000000</v>
      </c>
      <c r="V126">
        <f t="shared" si="8"/>
        <v>594591000000</v>
      </c>
      <c r="W126">
        <f t="shared" si="9"/>
        <v>1198998000000</v>
      </c>
    </row>
    <row r="127" spans="1:23" x14ac:dyDescent="0.2">
      <c r="A127">
        <f>IF(D127="USD",VLOOKUP(VALUE(RIGHT(E127,4)),'USD RUB'!$E:$F,2,FALSE),1)</f>
        <v>1</v>
      </c>
      <c r="B127" s="4">
        <v>1</v>
      </c>
      <c r="C127">
        <v>1000000</v>
      </c>
      <c r="D127" t="s">
        <v>20</v>
      </c>
      <c r="E127" s="1" t="s">
        <v>145</v>
      </c>
      <c r="F127">
        <v>51714000000</v>
      </c>
      <c r="G127">
        <v>381807000000</v>
      </c>
      <c r="H127">
        <v>455605000000</v>
      </c>
      <c r="J127">
        <v>1611695000000</v>
      </c>
      <c r="K127">
        <v>109675000000</v>
      </c>
      <c r="L127">
        <v>219905000000</v>
      </c>
      <c r="M127">
        <v>1243046000000</v>
      </c>
      <c r="N127">
        <v>1282115000000</v>
      </c>
      <c r="O127">
        <v>452619000000</v>
      </c>
      <c r="P127">
        <v>427389000000</v>
      </c>
      <c r="Q127">
        <v>515346000000</v>
      </c>
      <c r="R127">
        <v>460156000000</v>
      </c>
      <c r="S127">
        <v>15494000000</v>
      </c>
      <c r="T127">
        <v>233777000000</v>
      </c>
      <c r="U127">
        <v>-66641000000</v>
      </c>
      <c r="V127">
        <f t="shared" si="8"/>
        <v>375225000000</v>
      </c>
      <c r="W127">
        <f t="shared" si="9"/>
        <v>1111779000000</v>
      </c>
    </row>
    <row r="128" spans="1:23" x14ac:dyDescent="0.2">
      <c r="A128">
        <f>IF(D128="USD",VLOOKUP(VALUE(RIGHT(E128,4)),'USD RUB'!$E:$F,2,FALSE),1)</f>
        <v>1</v>
      </c>
      <c r="B128" s="4">
        <v>1</v>
      </c>
      <c r="C128">
        <v>1000000</v>
      </c>
      <c r="D128" t="s">
        <v>20</v>
      </c>
      <c r="E128" s="1" t="s">
        <v>146</v>
      </c>
      <c r="F128">
        <v>81002000000</v>
      </c>
      <c r="G128">
        <v>380791000000</v>
      </c>
      <c r="H128">
        <v>423545000000</v>
      </c>
      <c r="J128">
        <v>1617714000000</v>
      </c>
      <c r="K128">
        <v>120268000000</v>
      </c>
      <c r="L128">
        <v>230900000000</v>
      </c>
      <c r="M128">
        <v>1224797000000</v>
      </c>
      <c r="N128">
        <v>1266546000000</v>
      </c>
      <c r="O128">
        <v>234106000000</v>
      </c>
      <c r="P128">
        <v>366630000000</v>
      </c>
      <c r="Q128">
        <v>431582000000</v>
      </c>
      <c r="R128">
        <v>386258000000</v>
      </c>
      <c r="S128">
        <v>7487000000</v>
      </c>
      <c r="T128">
        <v>117942000000</v>
      </c>
      <c r="U128">
        <v>-39977000000</v>
      </c>
      <c r="V128">
        <f t="shared" si="8"/>
        <v>179403000000</v>
      </c>
      <c r="W128">
        <f t="shared" si="9"/>
        <v>1088008000000</v>
      </c>
    </row>
    <row r="129" spans="1:23" x14ac:dyDescent="0.2">
      <c r="A129">
        <f>IF(D129="USD",VLOOKUP(VALUE(RIGHT(E129,4)),'USD RUB'!$E:$F,2,FALSE),1)</f>
        <v>1</v>
      </c>
      <c r="B129" s="4">
        <v>1</v>
      </c>
      <c r="C129">
        <v>1000000</v>
      </c>
      <c r="D129" t="s">
        <v>20</v>
      </c>
      <c r="E129" s="1" t="s">
        <v>147</v>
      </c>
      <c r="F129">
        <v>41472000000</v>
      </c>
      <c r="G129">
        <v>293320000000</v>
      </c>
      <c r="H129">
        <v>408201000000</v>
      </c>
      <c r="J129">
        <v>1216370000000</v>
      </c>
      <c r="K129">
        <v>107023000000</v>
      </c>
      <c r="L129">
        <v>222752000000</v>
      </c>
      <c r="M129">
        <v>843094000000</v>
      </c>
      <c r="N129">
        <v>886595000000</v>
      </c>
      <c r="O129">
        <v>831758000000</v>
      </c>
      <c r="P129">
        <v>227184000000</v>
      </c>
      <c r="Q129">
        <v>228534000000</v>
      </c>
      <c r="R129">
        <v>182947000000</v>
      </c>
      <c r="S129">
        <v>33094000000</v>
      </c>
      <c r="T129">
        <v>415296000000</v>
      </c>
      <c r="U129">
        <v>-73564000000</v>
      </c>
      <c r="V129">
        <f t="shared" si="8"/>
        <v>583186000000</v>
      </c>
      <c r="W129">
        <f t="shared" si="9"/>
        <v>1044162000000</v>
      </c>
    </row>
    <row r="130" spans="1:23" x14ac:dyDescent="0.2">
      <c r="A130">
        <f>IF(D130="USD",VLOOKUP(VALUE(RIGHT(E130,4)),'USD RUB'!$E:$F,2,FALSE),1)</f>
        <v>1</v>
      </c>
      <c r="B130" s="4">
        <v>1</v>
      </c>
      <c r="C130">
        <v>1000000</v>
      </c>
      <c r="D130" t="s">
        <v>20</v>
      </c>
      <c r="E130" s="1" t="s">
        <v>148</v>
      </c>
      <c r="F130">
        <v>53479000000</v>
      </c>
      <c r="G130">
        <v>265860000000</v>
      </c>
      <c r="H130">
        <v>384551000000</v>
      </c>
      <c r="J130">
        <v>1198998000000</v>
      </c>
      <c r="K130">
        <v>139949000000</v>
      </c>
      <c r="L130">
        <v>214870000000</v>
      </c>
      <c r="M130">
        <v>801091000000</v>
      </c>
      <c r="N130">
        <v>844179000000</v>
      </c>
      <c r="O130">
        <v>594591000000</v>
      </c>
      <c r="P130">
        <v>171686000000</v>
      </c>
      <c r="Q130">
        <v>170034000000</v>
      </c>
      <c r="R130">
        <v>135600000000</v>
      </c>
      <c r="S130">
        <v>25263000000</v>
      </c>
      <c r="T130">
        <v>295736000000</v>
      </c>
      <c r="U130">
        <v>-42515000000</v>
      </c>
      <c r="V130">
        <f t="shared" si="8"/>
        <v>414161000000</v>
      </c>
      <c r="W130">
        <f t="shared" si="9"/>
        <v>1007784000000</v>
      </c>
    </row>
    <row r="131" spans="1:23" x14ac:dyDescent="0.2">
      <c r="A131">
        <f>IF(D131="USD",VLOOKUP(VALUE(RIGHT(E131,4)),'USD RUB'!$E:$F,2,FALSE),1)</f>
        <v>1</v>
      </c>
      <c r="B131" s="4">
        <v>1</v>
      </c>
      <c r="C131">
        <v>1000000</v>
      </c>
      <c r="D131" t="s">
        <v>20</v>
      </c>
      <c r="E131" s="1" t="s">
        <v>149</v>
      </c>
      <c r="F131">
        <v>35553000000</v>
      </c>
      <c r="G131">
        <v>157416000000</v>
      </c>
      <c r="H131">
        <v>415612000000</v>
      </c>
      <c r="J131">
        <v>1111779000000</v>
      </c>
      <c r="K131">
        <v>76330000000</v>
      </c>
      <c r="L131">
        <v>207345000000</v>
      </c>
      <c r="M131">
        <v>783098000000</v>
      </c>
      <c r="N131">
        <v>828104000000</v>
      </c>
      <c r="O131">
        <v>375225000000</v>
      </c>
      <c r="P131">
        <v>109708000000</v>
      </c>
      <c r="Q131">
        <v>105438000000</v>
      </c>
      <c r="R131">
        <v>84203000000</v>
      </c>
      <c r="S131">
        <v>16752000000</v>
      </c>
      <c r="T131">
        <v>177645000000</v>
      </c>
      <c r="U131">
        <v>-23156000000</v>
      </c>
      <c r="V131">
        <f t="shared" si="8"/>
        <v>283458000000</v>
      </c>
      <c r="W131">
        <f t="shared" si="9"/>
        <v>974502000000</v>
      </c>
    </row>
    <row r="132" spans="1:23" x14ac:dyDescent="0.2">
      <c r="A132">
        <f>IF(D132="USD",VLOOKUP(VALUE(RIGHT(E132,4)),'USD RUB'!$E:$F,2,FALSE),1)</f>
        <v>1</v>
      </c>
      <c r="B132" s="4">
        <v>1</v>
      </c>
      <c r="C132">
        <v>1000000</v>
      </c>
      <c r="D132" t="s">
        <v>20</v>
      </c>
      <c r="E132" s="1" t="s">
        <v>150</v>
      </c>
      <c r="F132">
        <v>55401000000</v>
      </c>
      <c r="G132">
        <v>143552000000</v>
      </c>
      <c r="H132">
        <v>402713000000</v>
      </c>
      <c r="J132">
        <v>1088008000000</v>
      </c>
      <c r="K132">
        <v>76704000000</v>
      </c>
      <c r="L132">
        <v>193657000000</v>
      </c>
      <c r="M132">
        <v>775238000000</v>
      </c>
      <c r="N132">
        <v>817647000000</v>
      </c>
      <c r="O132">
        <v>179403000000</v>
      </c>
      <c r="P132">
        <v>50113000000</v>
      </c>
      <c r="Q132">
        <v>56678000000</v>
      </c>
      <c r="R132">
        <v>46929000000</v>
      </c>
      <c r="S132">
        <v>8097000000</v>
      </c>
      <c r="T132">
        <v>76306000000</v>
      </c>
      <c r="U132">
        <v>-5704000000</v>
      </c>
      <c r="V132">
        <f t="shared" si="8"/>
        <v>154628000000</v>
      </c>
      <c r="W132">
        <f t="shared" si="9"/>
        <v>995061000000</v>
      </c>
    </row>
    <row r="133" spans="1:23" x14ac:dyDescent="0.2">
      <c r="A133">
        <f>IF(D133="USD",VLOOKUP(VALUE(RIGHT(E133,4)),'USD RUB'!$E:$F,2,FALSE),1)</f>
        <v>1</v>
      </c>
      <c r="B133" s="4">
        <v>1</v>
      </c>
      <c r="C133">
        <v>1000000</v>
      </c>
      <c r="D133" t="s">
        <v>20</v>
      </c>
      <c r="E133" s="1" t="s">
        <v>151</v>
      </c>
      <c r="F133">
        <v>65943000000</v>
      </c>
      <c r="G133">
        <v>153436000000</v>
      </c>
      <c r="H133">
        <v>360051000000</v>
      </c>
      <c r="J133">
        <v>1044162000000</v>
      </c>
      <c r="K133">
        <v>83958000000</v>
      </c>
      <c r="L133">
        <v>184545000000</v>
      </c>
      <c r="M133">
        <v>732168000000</v>
      </c>
      <c r="N133">
        <v>775659000000</v>
      </c>
      <c r="O133">
        <v>583186000000</v>
      </c>
      <c r="P133">
        <v>163751000000</v>
      </c>
      <c r="Q133">
        <v>200839000000</v>
      </c>
      <c r="R133">
        <v>166470000000</v>
      </c>
      <c r="S133">
        <v>34523000000</v>
      </c>
      <c r="T133">
        <v>256464000000</v>
      </c>
      <c r="U133">
        <v>-25563000000</v>
      </c>
      <c r="V133">
        <f t="shared" si="8"/>
        <v>537472000000</v>
      </c>
      <c r="W133">
        <f t="shared" si="9"/>
        <v>963834000000</v>
      </c>
    </row>
    <row r="134" spans="1:23" x14ac:dyDescent="0.2">
      <c r="A134">
        <f>IF(D134="USD",VLOOKUP(VALUE(RIGHT(E134,4)),'USD RUB'!$E:$F,2,FALSE),1)</f>
        <v>1</v>
      </c>
      <c r="B134" s="4">
        <v>1</v>
      </c>
      <c r="C134">
        <v>1000000</v>
      </c>
      <c r="D134" t="s">
        <v>20</v>
      </c>
      <c r="E134" s="1" t="s">
        <v>152</v>
      </c>
      <c r="F134">
        <v>73945000000</v>
      </c>
      <c r="G134">
        <v>150190000000</v>
      </c>
      <c r="H134">
        <v>341506000000</v>
      </c>
      <c r="J134">
        <v>1007784000000</v>
      </c>
      <c r="K134">
        <v>92980000000</v>
      </c>
      <c r="L134">
        <v>184426000000</v>
      </c>
      <c r="M134">
        <v>688537000000</v>
      </c>
      <c r="N134">
        <v>730378000000</v>
      </c>
      <c r="O134">
        <v>414161000000</v>
      </c>
      <c r="P134">
        <v>116782000000</v>
      </c>
      <c r="Q134">
        <v>143388000000</v>
      </c>
      <c r="R134">
        <v>118616000000</v>
      </c>
      <c r="S134">
        <v>26057000000</v>
      </c>
      <c r="T134">
        <v>183522000000</v>
      </c>
      <c r="U134">
        <v>-15584000000</v>
      </c>
      <c r="V134">
        <f t="shared" si="8"/>
        <v>393222000000</v>
      </c>
      <c r="W134">
        <f t="shared" si="9"/>
        <v>922861000000</v>
      </c>
    </row>
    <row r="135" spans="1:23" x14ac:dyDescent="0.2">
      <c r="A135">
        <f>IF(D135="USD",VLOOKUP(VALUE(RIGHT(E135,4)),'USD RUB'!$E:$F,2,FALSE),1)</f>
        <v>1</v>
      </c>
      <c r="B135" s="4">
        <v>1</v>
      </c>
      <c r="C135">
        <v>1000000</v>
      </c>
      <c r="D135" t="s">
        <v>20</v>
      </c>
      <c r="E135" s="1" t="s">
        <v>153</v>
      </c>
      <c r="F135">
        <v>63879000000</v>
      </c>
      <c r="G135">
        <v>134117000000</v>
      </c>
      <c r="H135">
        <v>334318000000</v>
      </c>
      <c r="J135">
        <v>974502000000</v>
      </c>
      <c r="K135">
        <v>77962000000</v>
      </c>
      <c r="L135">
        <v>184162000000</v>
      </c>
      <c r="M135">
        <v>671820000000</v>
      </c>
      <c r="N135">
        <v>712378000000</v>
      </c>
      <c r="O135">
        <v>283458000000</v>
      </c>
      <c r="P135">
        <v>80686000000</v>
      </c>
      <c r="Q135">
        <v>95356000000</v>
      </c>
      <c r="R135">
        <v>78450000000</v>
      </c>
      <c r="S135">
        <v>17060000000</v>
      </c>
      <c r="T135">
        <v>124252000000</v>
      </c>
      <c r="U135">
        <v>-11001000000</v>
      </c>
      <c r="V135">
        <f t="shared" si="8"/>
        <v>266739000000</v>
      </c>
      <c r="W135">
        <f t="shared" si="9"/>
        <v>908123000000</v>
      </c>
    </row>
    <row r="136" spans="1:23" x14ac:dyDescent="0.2">
      <c r="A136">
        <f>IF(D136="USD",VLOOKUP(VALUE(RIGHT(E136,4)),'USD RUB'!$E:$F,2,FALSE),1)</f>
        <v>1</v>
      </c>
      <c r="B136" s="4">
        <v>1</v>
      </c>
      <c r="C136">
        <v>1000000</v>
      </c>
      <c r="D136" t="s">
        <v>20</v>
      </c>
      <c r="E136" s="1" t="s">
        <v>154</v>
      </c>
      <c r="F136">
        <v>64977000000</v>
      </c>
      <c r="G136">
        <v>141543000000</v>
      </c>
      <c r="H136">
        <v>328332000000</v>
      </c>
      <c r="J136">
        <v>995061000000</v>
      </c>
      <c r="K136">
        <v>85253000000</v>
      </c>
      <c r="L136">
        <v>180159000000</v>
      </c>
      <c r="M136">
        <v>689599000000</v>
      </c>
      <c r="N136">
        <v>729649000000</v>
      </c>
      <c r="O136">
        <v>154628000000</v>
      </c>
      <c r="P136">
        <v>45538000000</v>
      </c>
      <c r="Q136">
        <v>80562000000</v>
      </c>
      <c r="R136">
        <v>73207000000</v>
      </c>
      <c r="S136">
        <v>8488000000</v>
      </c>
      <c r="T136">
        <v>53815000000</v>
      </c>
      <c r="U136">
        <v>-3460000000</v>
      </c>
      <c r="V136">
        <f t="shared" si="8"/>
        <v>139251000000</v>
      </c>
      <c r="W136">
        <f t="shared" si="9"/>
        <v>940757000000</v>
      </c>
    </row>
    <row r="137" spans="1:23" x14ac:dyDescent="0.2">
      <c r="A137">
        <f>IF(D137="USD",VLOOKUP(VALUE(RIGHT(E137,4)),'USD RUB'!$E:$F,2,FALSE),1)</f>
        <v>1</v>
      </c>
      <c r="B137" s="4">
        <v>1</v>
      </c>
      <c r="C137">
        <v>1000000</v>
      </c>
      <c r="D137" t="s">
        <v>20</v>
      </c>
      <c r="E137" s="1" t="s">
        <v>155</v>
      </c>
      <c r="F137">
        <v>48301000000</v>
      </c>
      <c r="G137">
        <v>132760000000</v>
      </c>
      <c r="H137">
        <v>331795000000</v>
      </c>
      <c r="J137">
        <v>963834000000</v>
      </c>
      <c r="K137">
        <v>108791000000</v>
      </c>
      <c r="L137">
        <v>197323000000</v>
      </c>
      <c r="N137">
        <v>657720000000</v>
      </c>
      <c r="O137">
        <v>537472000000</v>
      </c>
      <c r="P137">
        <v>225266000000</v>
      </c>
      <c r="Q137">
        <v>308164000000</v>
      </c>
      <c r="R137">
        <v>265073000000</v>
      </c>
      <c r="T137">
        <v>242407000000</v>
      </c>
      <c r="U137">
        <v>35400000000</v>
      </c>
      <c r="V137">
        <f t="shared" si="8"/>
        <v>475325000000</v>
      </c>
      <c r="W137">
        <f t="shared" si="9"/>
        <v>880024000000</v>
      </c>
    </row>
    <row r="138" spans="1:23" x14ac:dyDescent="0.2">
      <c r="A138">
        <f>IF(D138="USD",VLOOKUP(VALUE(RIGHT(E138,4)),'USD RUB'!$E:$F,2,FALSE),1)</f>
        <v>1</v>
      </c>
      <c r="B138" s="4">
        <v>1</v>
      </c>
      <c r="C138">
        <v>1000000</v>
      </c>
      <c r="D138" t="s">
        <v>20</v>
      </c>
      <c r="E138" s="1" t="s">
        <v>156</v>
      </c>
      <c r="F138">
        <v>27455000000</v>
      </c>
      <c r="G138">
        <v>118559000000</v>
      </c>
      <c r="H138">
        <v>329870000000</v>
      </c>
      <c r="J138">
        <v>922861000000</v>
      </c>
      <c r="K138">
        <v>109862000000</v>
      </c>
      <c r="L138">
        <v>218036000000</v>
      </c>
      <c r="M138">
        <v>559125000000</v>
      </c>
      <c r="N138">
        <v>594963000000</v>
      </c>
      <c r="O138">
        <v>393222000000</v>
      </c>
      <c r="P138">
        <v>185605000000</v>
      </c>
      <c r="Q138">
        <v>240101000000</v>
      </c>
      <c r="R138">
        <v>203851000000</v>
      </c>
      <c r="T138">
        <v>179369000000</v>
      </c>
      <c r="U138">
        <v>23900000000</v>
      </c>
      <c r="V138">
        <f t="shared" si="8"/>
        <v>343353000000</v>
      </c>
      <c r="W138">
        <f t="shared" si="9"/>
        <v>802449000000</v>
      </c>
    </row>
    <row r="139" spans="1:23" x14ac:dyDescent="0.2">
      <c r="A139">
        <f>IF(D139="USD",VLOOKUP(VALUE(RIGHT(E139,4)),'USD RUB'!$E:$F,2,FALSE),1)</f>
        <v>1</v>
      </c>
      <c r="B139" s="4">
        <v>1</v>
      </c>
      <c r="C139">
        <v>1000000</v>
      </c>
      <c r="D139" t="s">
        <v>20</v>
      </c>
      <c r="E139" s="1" t="s">
        <v>157</v>
      </c>
      <c r="F139">
        <v>25788000000</v>
      </c>
      <c r="G139">
        <v>125163000000</v>
      </c>
      <c r="H139">
        <v>332379000000</v>
      </c>
      <c r="J139">
        <v>908123000000</v>
      </c>
      <c r="K139">
        <v>101958000000</v>
      </c>
      <c r="L139">
        <v>227093000000</v>
      </c>
      <c r="M139">
        <v>543532000000</v>
      </c>
      <c r="N139">
        <v>579072000000</v>
      </c>
      <c r="O139">
        <v>266739000000</v>
      </c>
      <c r="P139">
        <v>151873000000</v>
      </c>
      <c r="Q139">
        <v>195867000000</v>
      </c>
      <c r="R139">
        <v>165901000000</v>
      </c>
      <c r="U139">
        <v>16200000000</v>
      </c>
      <c r="V139">
        <f t="shared" si="8"/>
        <v>225986000000</v>
      </c>
      <c r="W139">
        <f t="shared" si="9"/>
        <v>770507000000</v>
      </c>
    </row>
    <row r="140" spans="1:23" x14ac:dyDescent="0.2">
      <c r="A140">
        <f>IF(D140="USD",VLOOKUP(VALUE(RIGHT(E140,4)),'USD RUB'!$E:$F,2,FALSE),1)</f>
        <v>1</v>
      </c>
      <c r="B140" s="4">
        <v>1</v>
      </c>
      <c r="C140">
        <v>1000000</v>
      </c>
      <c r="D140" t="s">
        <v>20</v>
      </c>
      <c r="E140" s="1" t="s">
        <v>158</v>
      </c>
      <c r="F140">
        <v>85531000000</v>
      </c>
      <c r="G140">
        <v>169075000000</v>
      </c>
      <c r="H140">
        <v>332650000000</v>
      </c>
      <c r="J140">
        <v>940757000000</v>
      </c>
      <c r="K140">
        <v>144567000000</v>
      </c>
      <c r="L140">
        <v>246552000000</v>
      </c>
      <c r="M140">
        <v>518519000000</v>
      </c>
      <c r="N140">
        <v>549638000000</v>
      </c>
      <c r="O140">
        <v>139251000000</v>
      </c>
      <c r="P140">
        <v>116235000000</v>
      </c>
      <c r="Q140">
        <v>140532000000</v>
      </c>
      <c r="R140">
        <v>117577000000</v>
      </c>
      <c r="U140">
        <v>9000000000</v>
      </c>
      <c r="V140">
        <f t="shared" si="8"/>
        <v>113742000000</v>
      </c>
      <c r="W140">
        <f t="shared" si="9"/>
        <v>754509000000</v>
      </c>
    </row>
    <row r="141" spans="1:23" x14ac:dyDescent="0.2">
      <c r="A141">
        <f>IF(D141="USD",VLOOKUP(VALUE(RIGHT(E141,4)),'USD RUB'!$E:$F,2,FALSE),1)</f>
        <v>1</v>
      </c>
      <c r="B141" s="4">
        <v>1</v>
      </c>
      <c r="C141">
        <v>1000000</v>
      </c>
      <c r="D141" t="s">
        <v>20</v>
      </c>
      <c r="E141" s="1" t="s">
        <v>159</v>
      </c>
      <c r="F141">
        <v>29187000000</v>
      </c>
      <c r="G141">
        <v>128472000000</v>
      </c>
      <c r="H141">
        <v>331712000000</v>
      </c>
      <c r="J141">
        <v>880024000000</v>
      </c>
      <c r="K141">
        <v>169675000000</v>
      </c>
      <c r="L141">
        <v>282178000000</v>
      </c>
      <c r="M141">
        <v>399861000000</v>
      </c>
      <c r="N141">
        <v>428171000000</v>
      </c>
      <c r="O141">
        <v>475325000000</v>
      </c>
      <c r="P141">
        <v>140730000000</v>
      </c>
      <c r="Q141">
        <v>92941000000</v>
      </c>
      <c r="R141">
        <v>74119000000</v>
      </c>
      <c r="T141">
        <v>214466000000</v>
      </c>
      <c r="U141">
        <v>59969000000</v>
      </c>
      <c r="V141">
        <f t="shared" si="8"/>
        <v>357643000000</v>
      </c>
      <c r="W141">
        <f t="shared" si="9"/>
        <v>699139000000</v>
      </c>
    </row>
    <row r="142" spans="1:23" x14ac:dyDescent="0.2">
      <c r="A142">
        <f>IF(D142="USD",VLOOKUP(VALUE(RIGHT(E142,4)),'USD RUB'!$E:$F,2,FALSE),1)</f>
        <v>1</v>
      </c>
      <c r="B142" s="4">
        <v>1</v>
      </c>
      <c r="C142">
        <v>1000000</v>
      </c>
      <c r="D142" t="s">
        <v>20</v>
      </c>
      <c r="E142" s="1" t="s">
        <v>160</v>
      </c>
      <c r="F142">
        <v>35193000000</v>
      </c>
      <c r="G142">
        <v>136720000000</v>
      </c>
      <c r="H142">
        <v>322064000000</v>
      </c>
      <c r="J142">
        <v>802449000000</v>
      </c>
      <c r="K142">
        <v>166366000000</v>
      </c>
      <c r="L142">
        <v>223367000000</v>
      </c>
      <c r="M142">
        <v>382061000000</v>
      </c>
      <c r="N142">
        <v>412716000000</v>
      </c>
      <c r="O142">
        <v>343353000000</v>
      </c>
      <c r="P142">
        <v>105610000000</v>
      </c>
      <c r="Q142">
        <v>76885000000</v>
      </c>
      <c r="R142">
        <v>59603000000</v>
      </c>
      <c r="T142">
        <v>157898000000</v>
      </c>
      <c r="U142">
        <v>14534000000</v>
      </c>
      <c r="V142">
        <f t="shared" si="8"/>
        <v>261779000000</v>
      </c>
      <c r="W142">
        <f t="shared" si="9"/>
        <v>669566000000</v>
      </c>
    </row>
    <row r="143" spans="1:23" x14ac:dyDescent="0.2">
      <c r="A143">
        <f>IF(D143="USD",VLOOKUP(VALUE(RIGHT(E143,4)),'USD RUB'!$E:$F,2,FALSE),1)</f>
        <v>1</v>
      </c>
      <c r="B143" s="4">
        <v>1</v>
      </c>
      <c r="C143">
        <v>1000000</v>
      </c>
      <c r="D143" t="s">
        <v>20</v>
      </c>
      <c r="E143" s="1" t="s">
        <v>161</v>
      </c>
      <c r="F143">
        <v>37725000000</v>
      </c>
      <c r="G143">
        <v>129022000000</v>
      </c>
      <c r="H143">
        <v>312306000000</v>
      </c>
      <c r="J143">
        <v>770507000000</v>
      </c>
      <c r="K143">
        <v>138780000000</v>
      </c>
      <c r="L143">
        <v>183565000000</v>
      </c>
      <c r="M143">
        <v>413569000000</v>
      </c>
      <c r="N143">
        <v>448162000000</v>
      </c>
      <c r="O143">
        <v>225986000000</v>
      </c>
      <c r="P143">
        <v>72192000000</v>
      </c>
      <c r="Q143">
        <v>84354000000</v>
      </c>
      <c r="R143">
        <v>72014000000</v>
      </c>
      <c r="T143">
        <v>105324000000</v>
      </c>
      <c r="U143">
        <v>15251000000</v>
      </c>
      <c r="V143">
        <f t="shared" si="8"/>
        <v>177046000000</v>
      </c>
      <c r="W143">
        <f t="shared" si="9"/>
        <v>634214000000</v>
      </c>
    </row>
    <row r="144" spans="1:23" x14ac:dyDescent="0.2">
      <c r="A144">
        <f>IF(D144="USD",VLOOKUP(VALUE(RIGHT(E144,4)),'USD RUB'!$E:$F,2,FALSE),1)</f>
        <v>1</v>
      </c>
      <c r="B144" s="4">
        <v>1</v>
      </c>
      <c r="C144">
        <v>1000000</v>
      </c>
      <c r="D144" t="s">
        <v>20</v>
      </c>
      <c r="E144" s="1" t="s">
        <v>162</v>
      </c>
      <c r="F144">
        <v>52098000000</v>
      </c>
      <c r="G144">
        <v>135932000000</v>
      </c>
      <c r="H144">
        <v>301647000000</v>
      </c>
      <c r="J144">
        <v>754509000000</v>
      </c>
      <c r="K144">
        <v>136508000000</v>
      </c>
      <c r="L144">
        <v>195726000000</v>
      </c>
      <c r="M144">
        <v>387453000000</v>
      </c>
      <c r="N144">
        <v>422275000000</v>
      </c>
      <c r="O144">
        <v>113742000000</v>
      </c>
      <c r="P144">
        <v>39647000000</v>
      </c>
      <c r="Q144">
        <v>36675000000</v>
      </c>
      <c r="R144">
        <v>30745000000</v>
      </c>
      <c r="T144">
        <v>55162000000</v>
      </c>
      <c r="U144">
        <v>14494000000</v>
      </c>
      <c r="V144">
        <f t="shared" ref="V144:V175" si="10">_xlfn.XLOOKUP(LEFT(E144,LEN(E144)-4)&amp;(VALUE(RIGHT(E144,4))-1),$E:$E,$O:$O,"")</f>
        <v>88676000000</v>
      </c>
      <c r="W144">
        <f t="shared" ref="W144:W175" si="11">_xlfn.XLOOKUP(LEFT(E144,LEN(E144)-4)&amp;(VALUE(RIGHT(E144,4))-1),$E:$E,$J:$J,"")</f>
        <v>622907000000</v>
      </c>
    </row>
    <row r="145" spans="1:23" x14ac:dyDescent="0.2">
      <c r="A145">
        <f>IF(D145="USD",VLOOKUP(VALUE(RIGHT(E145,4)),'USD RUB'!$E:$F,2,FALSE),1)</f>
        <v>1</v>
      </c>
      <c r="B145" s="4">
        <v>1</v>
      </c>
      <c r="C145">
        <v>1000000</v>
      </c>
      <c r="D145" t="s">
        <v>20</v>
      </c>
      <c r="E145" s="1" t="s">
        <v>163</v>
      </c>
      <c r="F145">
        <v>41318000000</v>
      </c>
      <c r="G145">
        <v>126591000000</v>
      </c>
      <c r="H145">
        <v>291726000000</v>
      </c>
      <c r="J145">
        <v>699139000000</v>
      </c>
      <c r="K145">
        <v>81208000000</v>
      </c>
      <c r="L145">
        <v>230807000000</v>
      </c>
      <c r="M145">
        <v>352462000000</v>
      </c>
      <c r="N145">
        <v>387124000000</v>
      </c>
      <c r="O145">
        <v>357643000000</v>
      </c>
      <c r="P145">
        <v>127763000000</v>
      </c>
      <c r="Q145">
        <v>52843000000</v>
      </c>
      <c r="R145">
        <v>36915000000</v>
      </c>
      <c r="T145">
        <v>159631000000</v>
      </c>
      <c r="U145">
        <v>66530000000</v>
      </c>
      <c r="V145">
        <f t="shared" si="10"/>
        <v>298158000000</v>
      </c>
      <c r="W145">
        <f t="shared" si="11"/>
        <v>597995000000</v>
      </c>
    </row>
    <row r="146" spans="1:23" x14ac:dyDescent="0.2">
      <c r="A146">
        <f>IF(D146="USD",VLOOKUP(VALUE(RIGHT(E146,4)),'USD RUB'!$E:$F,2,FALSE),1)</f>
        <v>1</v>
      </c>
      <c r="B146" s="4">
        <v>1</v>
      </c>
      <c r="C146">
        <v>1000000</v>
      </c>
      <c r="D146" t="s">
        <v>20</v>
      </c>
      <c r="E146" s="1" t="s">
        <v>164</v>
      </c>
      <c r="F146">
        <v>34850000000</v>
      </c>
      <c r="G146">
        <v>105882000000</v>
      </c>
      <c r="H146">
        <v>281328000000</v>
      </c>
      <c r="J146">
        <v>669566000000</v>
      </c>
      <c r="K146">
        <v>42424000000</v>
      </c>
      <c r="L146">
        <v>199706000000</v>
      </c>
      <c r="M146">
        <v>391496000000</v>
      </c>
      <c r="N146">
        <v>427436000000</v>
      </c>
      <c r="O146">
        <v>261779000000</v>
      </c>
      <c r="P146">
        <v>100837000000</v>
      </c>
      <c r="Q146">
        <v>81575000000</v>
      </c>
      <c r="R146">
        <v>64526000000</v>
      </c>
      <c r="T146">
        <v>109991000000</v>
      </c>
      <c r="U146">
        <v>17264000000</v>
      </c>
      <c r="V146">
        <f t="shared" si="10"/>
        <v>214243000000</v>
      </c>
      <c r="W146">
        <f t="shared" si="11"/>
        <v>525555000000</v>
      </c>
    </row>
    <row r="147" spans="1:23" x14ac:dyDescent="0.2">
      <c r="A147">
        <f>IF(D147="USD",VLOOKUP(VALUE(RIGHT(E147,4)),'USD RUB'!$E:$F,2,FALSE),1)</f>
        <v>1</v>
      </c>
      <c r="B147" s="4">
        <v>1</v>
      </c>
      <c r="C147">
        <v>1000000</v>
      </c>
      <c r="D147" t="s">
        <v>20</v>
      </c>
      <c r="E147" s="1" t="s">
        <v>165</v>
      </c>
      <c r="F147">
        <v>46307000000</v>
      </c>
      <c r="G147">
        <v>107483000000</v>
      </c>
      <c r="H147">
        <v>268405000000</v>
      </c>
      <c r="J147">
        <v>634214000000</v>
      </c>
      <c r="K147">
        <v>34137000000</v>
      </c>
      <c r="L147">
        <v>182267000000</v>
      </c>
      <c r="M147">
        <v>382121000000</v>
      </c>
      <c r="N147">
        <v>417810000000</v>
      </c>
      <c r="O147">
        <v>177046000000</v>
      </c>
      <c r="P147">
        <v>71874000000</v>
      </c>
      <c r="Q147">
        <v>70408000000</v>
      </c>
      <c r="R147">
        <v>57023000000</v>
      </c>
      <c r="T147">
        <v>75862000000</v>
      </c>
      <c r="U147">
        <v>19576000000</v>
      </c>
      <c r="V147">
        <f t="shared" si="10"/>
        <v>138595000000</v>
      </c>
      <c r="W147">
        <f t="shared" si="11"/>
        <v>486864000000</v>
      </c>
    </row>
    <row r="148" spans="1:23" x14ac:dyDescent="0.2">
      <c r="A148">
        <f>IF(D148="USD",VLOOKUP(VALUE(RIGHT(E148,4)),'USD RUB'!$E:$F,2,FALSE),1)</f>
        <v>1</v>
      </c>
      <c r="B148" s="4">
        <v>1</v>
      </c>
      <c r="C148">
        <v>1000000</v>
      </c>
      <c r="D148" t="s">
        <v>20</v>
      </c>
      <c r="E148" s="1" t="s">
        <v>166</v>
      </c>
      <c r="F148">
        <v>43344000000</v>
      </c>
      <c r="G148">
        <v>134958000000</v>
      </c>
      <c r="H148">
        <v>253343000000</v>
      </c>
      <c r="J148">
        <v>622907000000</v>
      </c>
      <c r="K148">
        <v>33804000000</v>
      </c>
      <c r="L148">
        <v>192088000000</v>
      </c>
      <c r="M148">
        <v>359733000000</v>
      </c>
      <c r="N148">
        <v>397015000000</v>
      </c>
      <c r="O148">
        <v>88676000000</v>
      </c>
      <c r="P148">
        <v>37383000000</v>
      </c>
      <c r="Q148">
        <v>31301000000</v>
      </c>
      <c r="R148">
        <v>25109000000</v>
      </c>
      <c r="T148">
        <v>32905000000</v>
      </c>
      <c r="U148">
        <v>13727000000</v>
      </c>
      <c r="V148">
        <f t="shared" si="10"/>
        <v>80565000000</v>
      </c>
      <c r="W148">
        <f t="shared" si="11"/>
        <v>482229000000</v>
      </c>
    </row>
    <row r="149" spans="1:23" x14ac:dyDescent="0.2">
      <c r="A149">
        <f>IF(D149="USD",VLOOKUP(VALUE(RIGHT(E149,4)),'USD RUB'!$E:$F,2,FALSE),1)</f>
        <v>1</v>
      </c>
      <c r="B149" s="4">
        <v>1</v>
      </c>
      <c r="C149">
        <v>1000000</v>
      </c>
      <c r="D149" t="s">
        <v>20</v>
      </c>
      <c r="E149" s="1" t="s">
        <v>167</v>
      </c>
      <c r="F149">
        <v>7889000000</v>
      </c>
      <c r="G149">
        <v>82426000000</v>
      </c>
      <c r="H149">
        <v>243688000000</v>
      </c>
      <c r="J149">
        <v>597995000000</v>
      </c>
      <c r="K149">
        <v>59873000000</v>
      </c>
      <c r="L149">
        <v>165065000000</v>
      </c>
      <c r="M149">
        <f>334614*C149</f>
        <v>334614000000</v>
      </c>
      <c r="N149">
        <v>373057000000</v>
      </c>
      <c r="O149">
        <v>298158000000</v>
      </c>
      <c r="P149">
        <v>143926000000</v>
      </c>
      <c r="Q149">
        <v>137130000000</v>
      </c>
      <c r="R149">
        <v>109945000000</v>
      </c>
      <c r="T149">
        <v>121791000000</v>
      </c>
      <c r="V149">
        <f t="shared" si="10"/>
        <v>210973000000</v>
      </c>
      <c r="W149">
        <f t="shared" si="11"/>
        <v>463133000000</v>
      </c>
    </row>
    <row r="150" spans="1:23" x14ac:dyDescent="0.2">
      <c r="A150">
        <f>IF(D150="USD",VLOOKUP(VALUE(RIGHT(E150,4)),'USD RUB'!$E:$F,2,FALSE),1)</f>
        <v>1</v>
      </c>
      <c r="B150" s="4">
        <v>1</v>
      </c>
      <c r="C150">
        <v>1000000</v>
      </c>
      <c r="D150" t="s">
        <v>20</v>
      </c>
      <c r="E150" s="1" t="s">
        <v>168</v>
      </c>
      <c r="F150">
        <v>10339000000</v>
      </c>
      <c r="G150">
        <v>77842000000</v>
      </c>
      <c r="H150">
        <v>235441000000</v>
      </c>
      <c r="J150">
        <v>525555000000</v>
      </c>
      <c r="K150">
        <v>27163000000</v>
      </c>
      <c r="L150">
        <v>162126000000</v>
      </c>
      <c r="M150">
        <v>299788000000</v>
      </c>
      <c r="N150">
        <v>336266000000</v>
      </c>
      <c r="O150">
        <v>214243000000</v>
      </c>
      <c r="P150">
        <v>77187000000</v>
      </c>
      <c r="Q150">
        <v>72119000000</v>
      </c>
      <c r="R150">
        <v>57828000000</v>
      </c>
      <c r="T150">
        <v>87054000000</v>
      </c>
      <c r="U150">
        <v>-38238000000</v>
      </c>
      <c r="V150">
        <f t="shared" si="10"/>
        <v>152249000000</v>
      </c>
      <c r="W150">
        <f t="shared" si="11"/>
        <v>399223000000</v>
      </c>
    </row>
    <row r="151" spans="1:23" x14ac:dyDescent="0.2">
      <c r="A151">
        <f>IF(D151="USD",VLOOKUP(VALUE(RIGHT(E151,4)),'USD RUB'!$E:$F,2,FALSE),1)</f>
        <v>1</v>
      </c>
      <c r="B151" s="4">
        <v>1</v>
      </c>
      <c r="C151">
        <v>1000000</v>
      </c>
      <c r="D151" t="s">
        <v>20</v>
      </c>
      <c r="E151" s="1" t="s">
        <v>169</v>
      </c>
      <c r="F151">
        <v>6920000000</v>
      </c>
      <c r="G151">
        <v>47198000000</v>
      </c>
      <c r="H151">
        <v>222806000000</v>
      </c>
      <c r="J151">
        <v>486864000000</v>
      </c>
      <c r="K151">
        <v>20116000000</v>
      </c>
      <c r="L151">
        <v>153688000000</v>
      </c>
      <c r="N151">
        <v>313060000000</v>
      </c>
      <c r="O151">
        <v>138595000000</v>
      </c>
      <c r="P151">
        <v>48583000000</v>
      </c>
      <c r="Q151">
        <v>42895000000</v>
      </c>
      <c r="R151">
        <v>34396000000</v>
      </c>
      <c r="T151">
        <v>54161000000</v>
      </c>
      <c r="V151">
        <f t="shared" si="10"/>
        <v>99518000000</v>
      </c>
      <c r="W151">
        <f t="shared" si="11"/>
        <v>385899000000</v>
      </c>
    </row>
    <row r="152" spans="1:23" x14ac:dyDescent="0.2">
      <c r="A152">
        <f>IF(D152="USD",VLOOKUP(VALUE(RIGHT(E152,4)),'USD RUB'!$E:$F,2,FALSE),1)</f>
        <v>1</v>
      </c>
      <c r="B152" s="4">
        <v>1</v>
      </c>
      <c r="C152">
        <v>1000000</v>
      </c>
      <c r="D152" t="s">
        <v>20</v>
      </c>
      <c r="E152" s="1" t="s">
        <v>170</v>
      </c>
      <c r="F152">
        <v>16907000000</v>
      </c>
      <c r="G152">
        <v>59049000000</v>
      </c>
      <c r="H152">
        <v>205499000000</v>
      </c>
      <c r="J152">
        <v>482229000000</v>
      </c>
      <c r="K152">
        <v>35485000000</v>
      </c>
      <c r="L152">
        <v>13317000000</v>
      </c>
      <c r="N152">
        <v>313574000000</v>
      </c>
      <c r="O152">
        <v>80565000000</v>
      </c>
      <c r="P152">
        <v>30200000000</v>
      </c>
      <c r="Q152">
        <v>28324000000</v>
      </c>
      <c r="R152">
        <v>22698000000</v>
      </c>
      <c r="V152">
        <f t="shared" si="10"/>
        <v>54373000000</v>
      </c>
      <c r="W152">
        <f t="shared" si="11"/>
        <v>386716000000</v>
      </c>
    </row>
    <row r="153" spans="1:23" x14ac:dyDescent="0.2">
      <c r="A153">
        <f>IF(D153="USD",VLOOKUP(VALUE(RIGHT(E153,4)),'USD RUB'!$E:$F,2,FALSE),1)</f>
        <v>1</v>
      </c>
      <c r="B153" s="4">
        <v>1</v>
      </c>
      <c r="C153">
        <v>1000000</v>
      </c>
      <c r="D153" t="s">
        <v>20</v>
      </c>
      <c r="E153" s="1" t="s">
        <v>171</v>
      </c>
      <c r="F153">
        <v>18420000000</v>
      </c>
      <c r="G153">
        <v>58243000000</v>
      </c>
      <c r="H153">
        <v>197376000000</v>
      </c>
      <c r="J153">
        <v>463133000000</v>
      </c>
      <c r="K153">
        <v>55130000000</v>
      </c>
      <c r="L153">
        <v>116702000000</v>
      </c>
      <c r="M153">
        <f>253606*C153</f>
        <v>253606000000</v>
      </c>
      <c r="N153">
        <v>291301000000</v>
      </c>
      <c r="O153">
        <v>210973000000</v>
      </c>
      <c r="P153">
        <v>85334000000</v>
      </c>
      <c r="Q153">
        <v>86215000000</v>
      </c>
      <c r="R153">
        <v>69441000000</v>
      </c>
      <c r="T153">
        <v>95106000000</v>
      </c>
      <c r="V153">
        <f t="shared" si="10"/>
        <v>176064000000</v>
      </c>
      <c r="W153">
        <f t="shared" si="11"/>
        <v>383432000000</v>
      </c>
    </row>
    <row r="154" spans="1:23" x14ac:dyDescent="0.2">
      <c r="A154">
        <f>IF(D154="USD",VLOOKUP(VALUE(RIGHT(E154,4)),'USD RUB'!$E:$F,2,FALSE),1)</f>
        <v>1</v>
      </c>
      <c r="B154" s="4">
        <v>1</v>
      </c>
      <c r="C154">
        <v>1000000</v>
      </c>
      <c r="D154" t="s">
        <v>20</v>
      </c>
      <c r="E154" s="1" t="s">
        <v>172</v>
      </c>
      <c r="F154">
        <v>17472000000</v>
      </c>
      <c r="G154">
        <v>48702000000</v>
      </c>
      <c r="H154">
        <v>190032000000</v>
      </c>
      <c r="J154">
        <v>399223000000</v>
      </c>
      <c r="K154">
        <v>33869000000</v>
      </c>
      <c r="L154">
        <v>83120000000</v>
      </c>
      <c r="N154">
        <v>282234000000</v>
      </c>
      <c r="O154">
        <v>152249000000</v>
      </c>
      <c r="P154">
        <v>64117000000</v>
      </c>
      <c r="Q154">
        <v>64676000000</v>
      </c>
      <c r="R154">
        <v>50892000000</v>
      </c>
      <c r="T154">
        <v>25252000000</v>
      </c>
      <c r="V154" t="str">
        <f t="shared" si="10"/>
        <v/>
      </c>
      <c r="W154" t="str">
        <f t="shared" si="11"/>
        <v/>
      </c>
    </row>
    <row r="155" spans="1:23" x14ac:dyDescent="0.2">
      <c r="A155">
        <f>IF(D155="USD",VLOOKUP(VALUE(RIGHT(E155,4)),'USD RUB'!$E:$F,2,FALSE),1)</f>
        <v>1</v>
      </c>
      <c r="B155" s="4">
        <v>1</v>
      </c>
      <c r="C155">
        <v>1000000</v>
      </c>
      <c r="D155" t="s">
        <v>20</v>
      </c>
      <c r="E155" s="1" t="s">
        <v>173</v>
      </c>
      <c r="F155">
        <v>15849000000</v>
      </c>
      <c r="G155">
        <v>44947000000</v>
      </c>
      <c r="H155">
        <v>181229000000</v>
      </c>
      <c r="J155">
        <v>385899000000</v>
      </c>
      <c r="K155">
        <v>35560000000</v>
      </c>
      <c r="L155">
        <v>87813000000</v>
      </c>
      <c r="N155">
        <v>262526000000</v>
      </c>
      <c r="O155">
        <v>99518000000</v>
      </c>
      <c r="P155">
        <v>40892000000</v>
      </c>
      <c r="Q155">
        <v>39407000000</v>
      </c>
      <c r="R155">
        <v>30896000000</v>
      </c>
      <c r="T155">
        <v>20414000000</v>
      </c>
      <c r="V155" t="str">
        <f t="shared" si="10"/>
        <v/>
      </c>
      <c r="W155" t="str">
        <f t="shared" si="11"/>
        <v/>
      </c>
    </row>
    <row r="156" spans="1:23" x14ac:dyDescent="0.2">
      <c r="A156">
        <f>IF(D156="USD",VLOOKUP(VALUE(RIGHT(E156,4)),'USD RUB'!$E:$F,2,FALSE),1)</f>
        <v>1</v>
      </c>
      <c r="B156" s="4">
        <v>1</v>
      </c>
      <c r="C156">
        <v>1000000</v>
      </c>
      <c r="D156" t="s">
        <v>20</v>
      </c>
      <c r="E156" s="1" t="s">
        <v>174</v>
      </c>
      <c r="F156">
        <v>27670000000</v>
      </c>
      <c r="G156">
        <v>54443000000</v>
      </c>
      <c r="H156">
        <v>171696000000</v>
      </c>
      <c r="J156">
        <v>386716000000</v>
      </c>
      <c r="K156">
        <v>38955000000</v>
      </c>
      <c r="L156">
        <v>85306000000</v>
      </c>
      <c r="N156">
        <v>262455000000</v>
      </c>
      <c r="O156">
        <v>54373000000</v>
      </c>
      <c r="P156">
        <v>22563000000</v>
      </c>
      <c r="Q156">
        <v>27196000000</v>
      </c>
      <c r="R156">
        <v>21239000000</v>
      </c>
      <c r="T156">
        <v>24217000000</v>
      </c>
      <c r="V156" t="str">
        <f t="shared" si="10"/>
        <v/>
      </c>
      <c r="W156" t="str">
        <f t="shared" si="11"/>
        <v/>
      </c>
    </row>
    <row r="157" spans="1:23" x14ac:dyDescent="0.2">
      <c r="A157">
        <f>IF(D157="USD",VLOOKUP(VALUE(RIGHT(E157,4)),'USD RUB'!$E:$F,2,FALSE),1)</f>
        <v>1</v>
      </c>
      <c r="B157" s="4">
        <v>1</v>
      </c>
      <c r="C157">
        <v>1000000</v>
      </c>
      <c r="D157" t="s">
        <v>20</v>
      </c>
      <c r="E157" s="1" t="s">
        <v>175</v>
      </c>
      <c r="F157">
        <v>23831000000</v>
      </c>
      <c r="G157">
        <v>58316000000</v>
      </c>
      <c r="H157">
        <v>166784000000</v>
      </c>
      <c r="J157">
        <v>383432000000</v>
      </c>
      <c r="K157">
        <v>50114000000</v>
      </c>
      <c r="L157">
        <v>91636000000</v>
      </c>
      <c r="M157">
        <f>203871*C157</f>
        <v>203871000000</v>
      </c>
      <c r="N157">
        <v>241682000000</v>
      </c>
      <c r="O157">
        <v>176064000000</v>
      </c>
      <c r="P157">
        <v>141608000000</v>
      </c>
      <c r="Q157">
        <v>135025000000</v>
      </c>
      <c r="R157">
        <v>119291000000</v>
      </c>
      <c r="T157">
        <v>148349000000</v>
      </c>
      <c r="V157">
        <f t="shared" si="10"/>
        <v>117024000000</v>
      </c>
      <c r="W157">
        <f t="shared" si="11"/>
        <v>285173000000</v>
      </c>
    </row>
    <row r="158" spans="1:23" x14ac:dyDescent="0.2">
      <c r="A158">
        <f>IF(D158="USD",VLOOKUP(VALUE(RIGHT(E158,4)),'USD RUB'!$E:$F,2,FALSE),1)</f>
        <v>1</v>
      </c>
      <c r="B158" s="4">
        <v>1</v>
      </c>
      <c r="C158">
        <f>1000000</f>
        <v>1000000</v>
      </c>
      <c r="D158" t="s">
        <v>20</v>
      </c>
      <c r="E158" s="1" t="s">
        <v>2355</v>
      </c>
      <c r="F158">
        <f>(10238)*(1000000)</f>
        <v>10238000000</v>
      </c>
      <c r="G158">
        <f>(29565)*(1000000)</f>
        <v>29565000000</v>
      </c>
      <c r="H158">
        <f>(185573)*(1000000)</f>
        <v>185573000000</v>
      </c>
      <c r="J158">
        <f>(285173)*(1000000)</f>
        <v>285173000000</v>
      </c>
      <c r="K158">
        <f>(57441)*(1000000)</f>
        <v>57441000000</v>
      </c>
      <c r="L158">
        <f>(59946)*(1000000)</f>
        <v>59946000000</v>
      </c>
      <c r="M158">
        <f>(110810)*(1000000)</f>
        <v>110810000000</v>
      </c>
      <c r="N158">
        <f>(167786)*(1000000)</f>
        <v>167786000000</v>
      </c>
      <c r="O158">
        <f>(117024)*(1000000)</f>
        <v>117024000000</v>
      </c>
      <c r="P158">
        <f>(50231)*(1000000)</f>
        <v>50231000000</v>
      </c>
      <c r="Q158">
        <f>(51082)*(1000000)</f>
        <v>51082000000</v>
      </c>
      <c r="R158">
        <f>(40278)*(1000000)</f>
        <v>40278000000</v>
      </c>
      <c r="V158" t="str">
        <f t="shared" si="10"/>
        <v/>
      </c>
      <c r="W158" t="str">
        <f t="shared" si="11"/>
        <v/>
      </c>
    </row>
    <row r="159" spans="1:23" x14ac:dyDescent="0.2">
      <c r="A159">
        <f>IF(D159="USD",VLOOKUP(VALUE(RIGHT(E159,4)),'USD RUB'!$E:$F,2,FALSE),1)</f>
        <v>1</v>
      </c>
      <c r="B159" s="4">
        <v>1</v>
      </c>
      <c r="C159">
        <v>1000000</v>
      </c>
      <c r="D159" t="s">
        <v>20</v>
      </c>
      <c r="E159" s="1" t="s">
        <v>2356</v>
      </c>
      <c r="F159">
        <f>(218242)*1000000</f>
        <v>218242000000</v>
      </c>
      <c r="G159">
        <f>(49879)*1000000</f>
        <v>49879000000</v>
      </c>
      <c r="H159">
        <f>(177903)*1000000</f>
        <v>177903000000</v>
      </c>
      <c r="J159">
        <f>(356560)*1000000</f>
        <v>356560000000</v>
      </c>
      <c r="K159">
        <f>(138074)*1000000</f>
        <v>138074000000</v>
      </c>
      <c r="L159">
        <f>(74023)*1000000</f>
        <v>74023000000</v>
      </c>
      <c r="M159">
        <f>(11522)*1000000</f>
        <v>11522000000</v>
      </c>
      <c r="N159">
        <f>(144463)*1000000</f>
        <v>144463000000</v>
      </c>
      <c r="O159">
        <f>(218242)*1000000</f>
        <v>218242000000</v>
      </c>
      <c r="P159">
        <f>(34027)*1000000</f>
        <v>34027000000</v>
      </c>
      <c r="Q159">
        <f>(19641)*1000000</f>
        <v>19641000000</v>
      </c>
      <c r="R159">
        <f>(23806)*1000000</f>
        <v>23806000000</v>
      </c>
      <c r="V159">
        <f t="shared" si="10"/>
        <v>300108000000</v>
      </c>
      <c r="W159">
        <f t="shared" si="11"/>
        <v>352063000000</v>
      </c>
    </row>
    <row r="160" spans="1:23" x14ac:dyDescent="0.2">
      <c r="A160">
        <f>IF(D160="USD",VLOOKUP(VALUE(RIGHT(E160,4)),'USD RUB'!$E:$F,2,FALSE),1)</f>
        <v>1</v>
      </c>
      <c r="B160" s="4">
        <v>1</v>
      </c>
      <c r="C160">
        <v>1000000</v>
      </c>
      <c r="D160" t="s">
        <v>20</v>
      </c>
      <c r="E160" s="1" t="s">
        <v>176</v>
      </c>
      <c r="F160">
        <v>341000000</v>
      </c>
      <c r="G160">
        <v>27191000000</v>
      </c>
      <c r="H160">
        <v>170641000000</v>
      </c>
      <c r="I160">
        <v>9176000000</v>
      </c>
      <c r="J160">
        <v>329863000000</v>
      </c>
      <c r="K160">
        <v>143194000000</v>
      </c>
      <c r="L160">
        <v>54214000000</v>
      </c>
      <c r="M160">
        <v>99441000000</v>
      </c>
      <c r="N160">
        <v>132455000000</v>
      </c>
      <c r="O160">
        <v>119608000000</v>
      </c>
      <c r="P160">
        <v>21492000000</v>
      </c>
      <c r="Q160">
        <v>12526000000</v>
      </c>
      <c r="R160">
        <v>11808000000</v>
      </c>
      <c r="S160">
        <v>2610000000</v>
      </c>
      <c r="U160">
        <v>-14442000000</v>
      </c>
      <c r="V160">
        <f t="shared" si="10"/>
        <v>147257000000</v>
      </c>
      <c r="W160">
        <f t="shared" si="11"/>
        <v>336852000000</v>
      </c>
    </row>
    <row r="161" spans="1:23" x14ac:dyDescent="0.2">
      <c r="A161">
        <f>IF(D161="USD",VLOOKUP(VALUE(RIGHT(E161,4)),'USD RUB'!$E:$F,2,FALSE),1)</f>
        <v>1</v>
      </c>
      <c r="B161" s="4">
        <v>1</v>
      </c>
      <c r="C161">
        <v>1000000</v>
      </c>
      <c r="D161" t="s">
        <v>20</v>
      </c>
      <c r="E161" s="1" t="s">
        <v>177</v>
      </c>
      <c r="F161">
        <v>2562000000</v>
      </c>
      <c r="G161">
        <v>34007000000</v>
      </c>
      <c r="H161">
        <v>156140000000</v>
      </c>
      <c r="I161">
        <v>9176000000</v>
      </c>
      <c r="J161">
        <v>352063000000</v>
      </c>
      <c r="K161">
        <v>68636000000</v>
      </c>
      <c r="L161">
        <v>152209000000</v>
      </c>
      <c r="M161">
        <v>99169000000</v>
      </c>
      <c r="N161">
        <v>131218000000</v>
      </c>
      <c r="O161">
        <v>300108000000</v>
      </c>
      <c r="P161">
        <v>69304000000</v>
      </c>
      <c r="Q161">
        <v>73772000000</v>
      </c>
      <c r="R161">
        <v>52673000000</v>
      </c>
      <c r="S161">
        <v>4943000000</v>
      </c>
      <c r="U161">
        <v>-27350000000</v>
      </c>
      <c r="V161">
        <f t="shared" si="10"/>
        <v>238725000000</v>
      </c>
      <c r="W161">
        <f t="shared" si="11"/>
        <v>320728000000</v>
      </c>
    </row>
    <row r="162" spans="1:23" x14ac:dyDescent="0.2">
      <c r="A162">
        <f>IF(D162="USD",VLOOKUP(VALUE(RIGHT(E162,4)),'USD RUB'!$E:$F,2,FALSE),1)</f>
        <v>1</v>
      </c>
      <c r="B162" s="4">
        <v>1</v>
      </c>
      <c r="C162">
        <v>1000000</v>
      </c>
      <c r="D162" t="s">
        <v>20</v>
      </c>
      <c r="E162" s="1" t="s">
        <v>178</v>
      </c>
      <c r="F162">
        <v>8558000000</v>
      </c>
      <c r="G162">
        <v>49866000000</v>
      </c>
      <c r="H162">
        <v>146194000000</v>
      </c>
      <c r="I162">
        <v>9176000000</v>
      </c>
      <c r="J162">
        <v>336852000000</v>
      </c>
      <c r="K162">
        <v>88886000000</v>
      </c>
      <c r="L162">
        <v>129878000000</v>
      </c>
      <c r="M162">
        <v>83309000000</v>
      </c>
      <c r="N162">
        <v>118088000000</v>
      </c>
      <c r="O162">
        <v>147257000000</v>
      </c>
      <c r="P162">
        <v>39503000000</v>
      </c>
      <c r="Q162">
        <v>41597000000</v>
      </c>
      <c r="R162">
        <v>37444000000</v>
      </c>
      <c r="S162">
        <v>2444000000</v>
      </c>
      <c r="U162">
        <v>-14199000000</v>
      </c>
      <c r="V162">
        <f t="shared" si="10"/>
        <v>91947000000</v>
      </c>
      <c r="W162">
        <f t="shared" si="11"/>
        <v>311065000000</v>
      </c>
    </row>
    <row r="163" spans="1:23" x14ac:dyDescent="0.2">
      <c r="A163">
        <f>IF(D163="USD",VLOOKUP(VALUE(RIGHT(E163,4)),'USD RUB'!$E:$F,2,FALSE),1)</f>
        <v>1</v>
      </c>
      <c r="B163" s="4">
        <v>1</v>
      </c>
      <c r="C163">
        <v>1000000</v>
      </c>
      <c r="D163" t="s">
        <v>20</v>
      </c>
      <c r="E163" s="1" t="s">
        <v>179</v>
      </c>
      <c r="F163">
        <v>9690000000</v>
      </c>
      <c r="G163">
        <v>50663000000</v>
      </c>
      <c r="H163">
        <v>155086000000</v>
      </c>
      <c r="I163">
        <v>9944000000</v>
      </c>
      <c r="J163">
        <v>320728000000</v>
      </c>
      <c r="K163">
        <v>93523000000</v>
      </c>
      <c r="L163">
        <v>132160000000</v>
      </c>
      <c r="M163">
        <v>53553000000</v>
      </c>
      <c r="N163">
        <v>95045000000</v>
      </c>
      <c r="O163">
        <v>238725000000</v>
      </c>
      <c r="P163">
        <v>24439000000</v>
      </c>
      <c r="Q163">
        <v>18364000000</v>
      </c>
      <c r="R163">
        <v>5847000000</v>
      </c>
      <c r="S163">
        <v>16071000000</v>
      </c>
      <c r="U163">
        <v>-19287000000</v>
      </c>
      <c r="V163">
        <f t="shared" si="10"/>
        <v>290862000000</v>
      </c>
      <c r="W163">
        <f t="shared" si="11"/>
        <v>282418000000</v>
      </c>
    </row>
    <row r="164" spans="1:23" x14ac:dyDescent="0.2">
      <c r="A164">
        <f>IF(D164="USD",VLOOKUP(VALUE(RIGHT(E164,4)),'USD RUB'!$E:$F,2,FALSE),1)</f>
        <v>1</v>
      </c>
      <c r="B164" s="4">
        <v>1</v>
      </c>
      <c r="C164">
        <v>1000000</v>
      </c>
      <c r="D164" t="s">
        <v>20</v>
      </c>
      <c r="E164" s="1" t="s">
        <v>180</v>
      </c>
      <c r="F164">
        <v>3069000000</v>
      </c>
      <c r="G164">
        <v>41765000000</v>
      </c>
      <c r="H164">
        <v>156572000000</v>
      </c>
      <c r="I164">
        <v>9965000000</v>
      </c>
      <c r="J164">
        <v>311065000000</v>
      </c>
      <c r="K164">
        <v>83216000000</v>
      </c>
      <c r="L164">
        <v>144117000000</v>
      </c>
      <c r="M164">
        <v>46696000000</v>
      </c>
      <c r="N164">
        <v>83732000000</v>
      </c>
      <c r="O164">
        <v>91947000000</v>
      </c>
      <c r="P164">
        <v>-786000000</v>
      </c>
      <c r="Q164">
        <v>-439000000</v>
      </c>
      <c r="R164">
        <v>-4913000000</v>
      </c>
      <c r="S164">
        <v>7897000000</v>
      </c>
      <c r="U164">
        <v>-8304000000</v>
      </c>
      <c r="V164" t="str">
        <f t="shared" si="10"/>
        <v/>
      </c>
      <c r="W164" t="str">
        <f t="shared" si="11"/>
        <v/>
      </c>
    </row>
    <row r="165" spans="1:23" x14ac:dyDescent="0.2">
      <c r="A165">
        <f>IF(D165="USD",VLOOKUP(VALUE(RIGHT(E165,4)),'USD RUB'!$E:$F,2,FALSE),1)</f>
        <v>1</v>
      </c>
      <c r="B165" s="4">
        <v>1</v>
      </c>
      <c r="C165">
        <v>1000000</v>
      </c>
      <c r="D165" t="s">
        <v>20</v>
      </c>
      <c r="E165" s="1" t="s">
        <v>181</v>
      </c>
      <c r="F165">
        <v>2120000000</v>
      </c>
      <c r="G165">
        <v>32717000000</v>
      </c>
      <c r="H165">
        <v>153807000000</v>
      </c>
      <c r="I165">
        <v>9961000000</v>
      </c>
      <c r="J165">
        <v>282418000000</v>
      </c>
      <c r="K165">
        <v>71491000000</v>
      </c>
      <c r="L165">
        <v>117260000000</v>
      </c>
      <c r="M165">
        <v>43804000000</v>
      </c>
      <c r="N165">
        <v>93667000000</v>
      </c>
      <c r="O165">
        <v>290862000000</v>
      </c>
      <c r="P165">
        <v>34011000000</v>
      </c>
      <c r="Q165">
        <v>26685000000</v>
      </c>
      <c r="R165">
        <v>20137000000</v>
      </c>
      <c r="S165">
        <v>15100000000</v>
      </c>
      <c r="U165">
        <v>-23773000000</v>
      </c>
      <c r="V165">
        <f t="shared" si="10"/>
        <v>269371000000</v>
      </c>
      <c r="W165">
        <f t="shared" si="11"/>
        <v>286968000000</v>
      </c>
    </row>
    <row r="166" spans="1:23" x14ac:dyDescent="0.2">
      <c r="A166">
        <f>IF(D166="USD",VLOOKUP(VALUE(RIGHT(E166,4)),'USD RUB'!$E:$F,2,FALSE),1)</f>
        <v>1</v>
      </c>
      <c r="B166" s="4">
        <v>1</v>
      </c>
      <c r="C166">
        <v>1000000</v>
      </c>
      <c r="D166" t="s">
        <v>20</v>
      </c>
      <c r="E166" s="1" t="s">
        <v>182</v>
      </c>
      <c r="F166">
        <v>8999000000</v>
      </c>
      <c r="G166">
        <v>34395000000</v>
      </c>
      <c r="H166">
        <v>150820000000</v>
      </c>
      <c r="I166">
        <v>11796000000</v>
      </c>
      <c r="J166">
        <v>286968000000</v>
      </c>
      <c r="K166">
        <v>79319000000</v>
      </c>
      <c r="L166">
        <v>130273000000</v>
      </c>
      <c r="M166">
        <v>27995000000</v>
      </c>
      <c r="N166">
        <v>77376000000</v>
      </c>
      <c r="O166">
        <v>269371000000</v>
      </c>
      <c r="P166">
        <v>57991000000</v>
      </c>
      <c r="Q166">
        <v>47228000000</v>
      </c>
      <c r="R166">
        <v>32781000000</v>
      </c>
      <c r="S166">
        <v>12361000000</v>
      </c>
      <c r="U166">
        <v>-18896000000</v>
      </c>
      <c r="V166">
        <f t="shared" si="10"/>
        <v>133196000000</v>
      </c>
      <c r="W166">
        <f t="shared" si="11"/>
        <v>275295000000</v>
      </c>
    </row>
    <row r="167" spans="1:23" x14ac:dyDescent="0.2">
      <c r="A167">
        <f>IF(D167="USD",VLOOKUP(VALUE(RIGHT(E167,4)),'USD RUB'!$E:$F,2,FALSE),1)</f>
        <v>1</v>
      </c>
      <c r="B167" s="4">
        <v>1</v>
      </c>
      <c r="C167">
        <v>1000000</v>
      </c>
      <c r="D167" t="s">
        <v>20</v>
      </c>
      <c r="E167" s="1" t="s">
        <v>183</v>
      </c>
      <c r="F167">
        <v>21954000000</v>
      </c>
      <c r="G167">
        <v>58061000000</v>
      </c>
      <c r="H167">
        <v>147741000000</v>
      </c>
      <c r="I167">
        <v>11796000000</v>
      </c>
      <c r="J167">
        <v>306605000000</v>
      </c>
      <c r="K167">
        <v>94889000000</v>
      </c>
      <c r="L167">
        <v>153802000000</v>
      </c>
      <c r="M167">
        <v>9296000000</v>
      </c>
      <c r="N167">
        <v>57914000000</v>
      </c>
      <c r="O167">
        <v>123880000000</v>
      </c>
      <c r="P167">
        <v>22242000000</v>
      </c>
      <c r="Q167">
        <v>17064000000</v>
      </c>
      <c r="R167">
        <v>12904000000</v>
      </c>
      <c r="S167">
        <v>8146000000</v>
      </c>
      <c r="T167">
        <v>33200000000</v>
      </c>
      <c r="U167">
        <v>-6115000000</v>
      </c>
      <c r="V167">
        <f t="shared" si="10"/>
        <v>60134000000</v>
      </c>
      <c r="W167">
        <f t="shared" si="11"/>
        <v>282306000000</v>
      </c>
    </row>
    <row r="168" spans="1:23" x14ac:dyDescent="0.2">
      <c r="A168">
        <f>IF(D168="USD",VLOOKUP(VALUE(RIGHT(E168,4)),'USD RUB'!$E:$F,2,FALSE),1)</f>
        <v>1</v>
      </c>
      <c r="B168" s="4">
        <v>1</v>
      </c>
      <c r="C168">
        <v>1000000</v>
      </c>
      <c r="D168" t="s">
        <v>20</v>
      </c>
      <c r="E168" s="1" t="s">
        <v>184</v>
      </c>
      <c r="F168">
        <v>4231000000</v>
      </c>
      <c r="G168">
        <v>25070000000</v>
      </c>
      <c r="H168">
        <v>146191000000</v>
      </c>
      <c r="I168">
        <v>11812000000</v>
      </c>
      <c r="J168">
        <v>275295000000</v>
      </c>
      <c r="K168">
        <v>71656000000</v>
      </c>
      <c r="L168">
        <v>154636000000</v>
      </c>
      <c r="M168">
        <v>16000000</v>
      </c>
      <c r="N168">
        <v>49003000000</v>
      </c>
      <c r="O168">
        <v>133196000000</v>
      </c>
      <c r="P168">
        <v>-19861000000</v>
      </c>
      <c r="Q168">
        <v>-20298000000</v>
      </c>
      <c r="R168">
        <v>-21300000000</v>
      </c>
      <c r="S168">
        <v>14864000000</v>
      </c>
      <c r="U168">
        <v>-15667000000</v>
      </c>
      <c r="V168">
        <f t="shared" si="10"/>
        <v>187127000000</v>
      </c>
      <c r="W168">
        <f t="shared" si="11"/>
        <v>280265000000</v>
      </c>
    </row>
    <row r="169" spans="1:23" x14ac:dyDescent="0.2">
      <c r="A169">
        <f>IF(D169="USD",VLOOKUP(VALUE(RIGHT(E169,4)),'USD RUB'!$E:$F,2,FALSE),1)</f>
        <v>1</v>
      </c>
      <c r="B169" s="4">
        <v>1</v>
      </c>
      <c r="C169">
        <v>1000000</v>
      </c>
      <c r="D169" t="s">
        <v>20</v>
      </c>
      <c r="E169" s="1" t="s">
        <v>185</v>
      </c>
      <c r="F169">
        <v>5981000000</v>
      </c>
      <c r="G169">
        <v>41534000000</v>
      </c>
      <c r="H169">
        <v>151551000000</v>
      </c>
      <c r="I169">
        <v>11811000000</v>
      </c>
      <c r="J169">
        <v>282306000000</v>
      </c>
      <c r="K169">
        <v>72739000000</v>
      </c>
      <c r="L169">
        <v>150407000000</v>
      </c>
      <c r="M169">
        <v>8391000000</v>
      </c>
      <c r="N169">
        <v>59160000000</v>
      </c>
      <c r="O169">
        <v>60134000000</v>
      </c>
      <c r="P169">
        <v>-19863000000</v>
      </c>
      <c r="Q169">
        <v>-15860000000</v>
      </c>
      <c r="R169">
        <v>-13607000000</v>
      </c>
      <c r="S169">
        <v>7582000000</v>
      </c>
      <c r="U169">
        <v>-7234000000</v>
      </c>
      <c r="V169">
        <f t="shared" si="10"/>
        <v>100447000000</v>
      </c>
      <c r="W169">
        <f t="shared" si="11"/>
        <v>272903000000</v>
      </c>
    </row>
    <row r="170" spans="1:23" x14ac:dyDescent="0.2">
      <c r="A170">
        <f>IF(D170="USD",VLOOKUP(VALUE(RIGHT(E170,4)),'USD RUB'!$E:$F,2,FALSE),1)</f>
        <v>1</v>
      </c>
      <c r="B170" s="4">
        <v>1</v>
      </c>
      <c r="C170">
        <v>1000000</v>
      </c>
      <c r="D170" t="s">
        <v>20</v>
      </c>
      <c r="E170" s="1" t="s">
        <v>186</v>
      </c>
      <c r="F170">
        <v>2929000000</v>
      </c>
      <c r="G170">
        <v>34920000000</v>
      </c>
      <c r="H170">
        <v>150931000000</v>
      </c>
      <c r="I170">
        <v>13468000000</v>
      </c>
      <c r="J170">
        <v>280265000000</v>
      </c>
      <c r="K170">
        <v>61024000000</v>
      </c>
      <c r="L170">
        <v>142672000000</v>
      </c>
      <c r="M170">
        <v>21672000000</v>
      </c>
      <c r="N170">
        <v>76569000000</v>
      </c>
      <c r="O170">
        <v>187127000000</v>
      </c>
      <c r="P170">
        <v>34623000000</v>
      </c>
      <c r="Q170">
        <v>29166000000</v>
      </c>
      <c r="R170">
        <v>21854000000</v>
      </c>
      <c r="S170">
        <v>14544000000</v>
      </c>
      <c r="U170">
        <v>-21921000000</v>
      </c>
      <c r="V170">
        <f t="shared" si="10"/>
        <v>177802000000</v>
      </c>
      <c r="W170">
        <f t="shared" si="11"/>
        <v>253048000000</v>
      </c>
    </row>
    <row r="171" spans="1:23" x14ac:dyDescent="0.2">
      <c r="A171">
        <f>IF(D171="USD",VLOOKUP(VALUE(RIGHT(E171,4)),'USD RUB'!$E:$F,2,FALSE),1)</f>
        <v>1</v>
      </c>
      <c r="B171" s="4">
        <v>1</v>
      </c>
      <c r="C171">
        <v>1000000</v>
      </c>
      <c r="D171" t="s">
        <v>20</v>
      </c>
      <c r="E171" s="1" t="s">
        <v>187</v>
      </c>
      <c r="F171">
        <v>1648000000</v>
      </c>
      <c r="G171">
        <v>41033000000</v>
      </c>
      <c r="H171">
        <v>141300000000</v>
      </c>
      <c r="I171">
        <v>13469000000</v>
      </c>
      <c r="J171">
        <v>272903000000</v>
      </c>
      <c r="K171">
        <v>73627000000</v>
      </c>
      <c r="L171">
        <v>113008000000</v>
      </c>
      <c r="M171">
        <v>8908000000</v>
      </c>
      <c r="N171">
        <v>86268000000</v>
      </c>
      <c r="O171">
        <v>100447000000</v>
      </c>
      <c r="P171">
        <v>17020000000</v>
      </c>
      <c r="Q171">
        <v>14197000000</v>
      </c>
      <c r="R171">
        <v>10559000000</v>
      </c>
      <c r="S171">
        <v>7921000000</v>
      </c>
      <c r="T171">
        <v>25500000000</v>
      </c>
      <c r="U171">
        <v>-11268000000</v>
      </c>
      <c r="V171">
        <f t="shared" si="10"/>
        <v>88365000000</v>
      </c>
      <c r="W171">
        <f t="shared" si="11"/>
        <v>249897000000</v>
      </c>
    </row>
    <row r="172" spans="1:23" x14ac:dyDescent="0.2">
      <c r="A172">
        <f>IF(D172="USD",VLOOKUP(VALUE(RIGHT(E172,4)),'USD RUB'!$E:$F,2,FALSE),1)</f>
        <v>1</v>
      </c>
      <c r="B172" s="4">
        <v>1</v>
      </c>
      <c r="C172">
        <v>1000000</v>
      </c>
      <c r="D172" t="s">
        <v>20</v>
      </c>
      <c r="E172" s="1" t="s">
        <v>188</v>
      </c>
      <c r="F172">
        <v>2897000000</v>
      </c>
      <c r="G172">
        <v>23434000000</v>
      </c>
      <c r="H172">
        <v>135465000000</v>
      </c>
      <c r="I172">
        <v>13480000000</v>
      </c>
      <c r="J172">
        <v>253048000000</v>
      </c>
      <c r="K172">
        <v>51186000000</v>
      </c>
      <c r="L172">
        <v>123934000000</v>
      </c>
      <c r="M172">
        <v>50000000</v>
      </c>
      <c r="N172">
        <v>77928000000</v>
      </c>
      <c r="O172">
        <v>177802000000</v>
      </c>
      <c r="P172">
        <v>28651000000</v>
      </c>
      <c r="Q172">
        <v>21412000000</v>
      </c>
      <c r="R172">
        <v>14773000000</v>
      </c>
      <c r="S172">
        <v>13272000000</v>
      </c>
      <c r="T172">
        <v>48600000000</v>
      </c>
      <c r="U172">
        <v>-24639000000</v>
      </c>
      <c r="V172">
        <f t="shared" si="10"/>
        <v>129193000000</v>
      </c>
      <c r="W172">
        <f t="shared" si="11"/>
        <v>225043000000</v>
      </c>
    </row>
    <row r="173" spans="1:23" x14ac:dyDescent="0.2">
      <c r="A173">
        <f>IF(D173="USD",VLOOKUP(VALUE(RIGHT(E173,4)),'USD RUB'!$E:$F,2,FALSE),1)</f>
        <v>1</v>
      </c>
      <c r="B173" s="4">
        <v>1</v>
      </c>
      <c r="C173">
        <v>1000000</v>
      </c>
      <c r="D173" t="s">
        <v>20</v>
      </c>
      <c r="E173" s="1" t="s">
        <v>189</v>
      </c>
      <c r="F173">
        <v>5151000000</v>
      </c>
      <c r="G173">
        <v>22315000000</v>
      </c>
      <c r="H173">
        <v>135245000000</v>
      </c>
      <c r="I173">
        <v>13501000000</v>
      </c>
      <c r="J173">
        <v>249897000000</v>
      </c>
      <c r="K173">
        <v>49119000000</v>
      </c>
      <c r="L173">
        <v>135071000000</v>
      </c>
      <c r="M173">
        <v>-12568000000</v>
      </c>
      <c r="N173">
        <v>65707000000</v>
      </c>
      <c r="O173">
        <v>88365000000</v>
      </c>
      <c r="P173">
        <v>5639000000</v>
      </c>
      <c r="Q173">
        <v>2354000000</v>
      </c>
      <c r="R173">
        <v>1898000000</v>
      </c>
      <c r="S173">
        <v>7467000000</v>
      </c>
      <c r="T173">
        <v>24800000000</v>
      </c>
      <c r="U173">
        <v>-14257000000</v>
      </c>
      <c r="V173">
        <f t="shared" si="10"/>
        <v>57690000000</v>
      </c>
      <c r="W173">
        <f t="shared" si="11"/>
        <v>219438000000</v>
      </c>
    </row>
    <row r="174" spans="1:23" x14ac:dyDescent="0.2">
      <c r="A174">
        <f>IF(D174="USD",VLOOKUP(VALUE(RIGHT(E174,4)),'USD RUB'!$E:$F,2,FALSE),1)</f>
        <v>1</v>
      </c>
      <c r="B174" s="4">
        <v>1</v>
      </c>
      <c r="C174">
        <v>1000000</v>
      </c>
      <c r="D174" t="s">
        <v>20</v>
      </c>
      <c r="E174" s="1" t="s">
        <v>190</v>
      </c>
      <c r="F174">
        <v>1962000000</v>
      </c>
      <c r="G174">
        <v>22823000000</v>
      </c>
      <c r="H174">
        <v>122180000000</v>
      </c>
      <c r="I174">
        <v>13543000000</v>
      </c>
      <c r="J174">
        <v>225043000000</v>
      </c>
      <c r="K174">
        <v>37412000000</v>
      </c>
      <c r="L174">
        <v>120805000000</v>
      </c>
      <c r="M174">
        <v>-11585000000</v>
      </c>
      <c r="N174">
        <v>66826000000</v>
      </c>
      <c r="O174">
        <v>129193000000</v>
      </c>
      <c r="P174">
        <v>12608000000</v>
      </c>
      <c r="Q174">
        <v>11281000000</v>
      </c>
      <c r="R174">
        <v>7305000000</v>
      </c>
      <c r="S174">
        <v>11904000000</v>
      </c>
      <c r="T174">
        <v>29900000000</v>
      </c>
      <c r="U174">
        <v>-25781000000</v>
      </c>
      <c r="V174">
        <f t="shared" si="10"/>
        <v>105003000000</v>
      </c>
      <c r="W174">
        <f t="shared" si="11"/>
        <v>214455000000</v>
      </c>
    </row>
    <row r="175" spans="1:23" x14ac:dyDescent="0.2">
      <c r="A175">
        <f>IF(D175="USD",VLOOKUP(VALUE(RIGHT(E175,4)),'USD RUB'!$E:$F,2,FALSE),1)</f>
        <v>1</v>
      </c>
      <c r="B175" s="4">
        <v>1</v>
      </c>
      <c r="C175">
        <v>1000000</v>
      </c>
      <c r="D175" t="s">
        <v>20</v>
      </c>
      <c r="E175" s="1" t="s">
        <v>191</v>
      </c>
      <c r="F175">
        <v>1886000000</v>
      </c>
      <c r="G175">
        <v>19911000000</v>
      </c>
      <c r="H175">
        <v>117901000000</v>
      </c>
      <c r="I175">
        <v>13543000000</v>
      </c>
      <c r="J175">
        <v>219438000000</v>
      </c>
      <c r="K175">
        <v>58525000000</v>
      </c>
      <c r="L175">
        <v>98634000000</v>
      </c>
      <c r="M175">
        <v>-16469000000</v>
      </c>
      <c r="N175">
        <v>62279000000</v>
      </c>
      <c r="O175">
        <v>57690000000</v>
      </c>
      <c r="P175">
        <v>6189000000</v>
      </c>
      <c r="Q175">
        <v>4486000000</v>
      </c>
      <c r="R175">
        <v>2892000000</v>
      </c>
      <c r="S175">
        <v>5818000000</v>
      </c>
      <c r="T175">
        <v>12200000000</v>
      </c>
      <c r="U175">
        <v>-9488000000</v>
      </c>
      <c r="V175">
        <f t="shared" si="10"/>
        <v>49955000000</v>
      </c>
      <c r="W175">
        <f t="shared" si="11"/>
        <v>211808000000</v>
      </c>
    </row>
    <row r="176" spans="1:23" x14ac:dyDescent="0.2">
      <c r="A176">
        <f>IF(D176="USD",VLOOKUP(VALUE(RIGHT(E176,4)),'USD RUB'!$E:$F,2,FALSE),1)</f>
        <v>1</v>
      </c>
      <c r="B176" s="4">
        <v>1</v>
      </c>
      <c r="C176">
        <v>1000000</v>
      </c>
      <c r="D176" t="s">
        <v>20</v>
      </c>
      <c r="E176" s="1" t="s">
        <v>192</v>
      </c>
      <c r="F176">
        <v>3068000000</v>
      </c>
      <c r="G176">
        <v>20581000000</v>
      </c>
      <c r="H176">
        <v>112065000000</v>
      </c>
      <c r="J176">
        <v>214455000000</v>
      </c>
      <c r="K176">
        <v>52147000000</v>
      </c>
      <c r="L176">
        <v>100601000000</v>
      </c>
      <c r="M176">
        <v>-17283000000</v>
      </c>
      <c r="N176">
        <v>61707000000</v>
      </c>
      <c r="O176">
        <v>105003000000</v>
      </c>
      <c r="P176">
        <v>14712000000</v>
      </c>
      <c r="Q176">
        <v>18809000000</v>
      </c>
      <c r="R176">
        <v>13437000000</v>
      </c>
      <c r="T176">
        <v>25200000000</v>
      </c>
      <c r="U176">
        <v>-17846000000</v>
      </c>
      <c r="V176">
        <f t="shared" ref="V176:V207" si="12">_xlfn.XLOOKUP(LEFT(E176,LEN(E176)-4)&amp;(VALUE(RIGHT(E176,4))-1),$E:$E,$O:$O,"")</f>
        <v>104790000000</v>
      </c>
      <c r="W176">
        <f t="shared" ref="W176:W207" si="13">_xlfn.XLOOKUP(LEFT(E176,LEN(E176)-4)&amp;(VALUE(RIGHT(E176,4))-1),$E:$E,$J:$J,"")</f>
        <v>213862000000</v>
      </c>
    </row>
    <row r="177" spans="1:23" x14ac:dyDescent="0.2">
      <c r="A177">
        <f>IF(D177="USD",VLOOKUP(VALUE(RIGHT(E177,4)),'USD RUB'!$E:$F,2,FALSE),1)</f>
        <v>1</v>
      </c>
      <c r="B177" s="4">
        <v>1</v>
      </c>
      <c r="C177">
        <v>1000000</v>
      </c>
      <c r="D177" t="s">
        <v>20</v>
      </c>
      <c r="E177" s="1" t="s">
        <v>193</v>
      </c>
      <c r="F177">
        <v>3049000000</v>
      </c>
      <c r="G177">
        <v>17166000000</v>
      </c>
      <c r="H177">
        <v>108328000000</v>
      </c>
      <c r="J177">
        <v>211808000000</v>
      </c>
      <c r="K177">
        <v>60837000000</v>
      </c>
      <c r="L177">
        <v>104489000000</v>
      </c>
      <c r="M177">
        <v>-23002000000</v>
      </c>
      <c r="N177">
        <v>46482000000</v>
      </c>
      <c r="O177">
        <v>49955000000</v>
      </c>
      <c r="P177">
        <v>7351000000</v>
      </c>
      <c r="Q177">
        <v>12532000000</v>
      </c>
      <c r="R177">
        <v>8470000000</v>
      </c>
      <c r="T177">
        <v>13000000000</v>
      </c>
      <c r="U177">
        <v>-5449000000</v>
      </c>
      <c r="V177" t="str">
        <f t="shared" si="12"/>
        <v/>
      </c>
      <c r="W177" t="str">
        <f t="shared" si="13"/>
        <v/>
      </c>
    </row>
    <row r="178" spans="1:23" x14ac:dyDescent="0.2">
      <c r="A178">
        <f>IF(D178="USD",VLOOKUP(VALUE(RIGHT(E178,4)),'USD RUB'!$E:$F,2,FALSE),1)</f>
        <v>1</v>
      </c>
      <c r="B178" s="4">
        <v>1</v>
      </c>
      <c r="C178">
        <v>1000000</v>
      </c>
      <c r="D178" t="s">
        <v>20</v>
      </c>
      <c r="E178" s="1" t="s">
        <v>194</v>
      </c>
      <c r="F178">
        <v>1943000000</v>
      </c>
      <c r="G178">
        <v>15718000000</v>
      </c>
      <c r="H178">
        <v>105054000000</v>
      </c>
      <c r="J178">
        <v>213862000000</v>
      </c>
      <c r="K178">
        <v>50258000000</v>
      </c>
      <c r="L178">
        <v>186236000000</v>
      </c>
      <c r="M178">
        <v>-19001000000</v>
      </c>
      <c r="N178">
        <v>-22632000000</v>
      </c>
      <c r="O178">
        <v>104790000000</v>
      </c>
      <c r="P178">
        <v>9704000000</v>
      </c>
      <c r="Q178">
        <v>-25985000000</v>
      </c>
      <c r="R178">
        <v>-25960000000</v>
      </c>
      <c r="U178">
        <v>-10077000000</v>
      </c>
      <c r="V178" t="str">
        <f t="shared" si="12"/>
        <v/>
      </c>
      <c r="W178" t="str">
        <f t="shared" si="13"/>
        <v/>
      </c>
    </row>
    <row r="179" spans="1:23" x14ac:dyDescent="0.2">
      <c r="A179">
        <f>IF(D179="USD",VLOOKUP(VALUE(RIGHT(E179,4)),'USD RUB'!$E:$F,2,FALSE),1)</f>
        <v>1</v>
      </c>
      <c r="B179" s="4">
        <v>1</v>
      </c>
      <c r="C179">
        <v>1000000000</v>
      </c>
      <c r="D179" t="s">
        <v>20</v>
      </c>
      <c r="E179" s="1" t="s">
        <v>195</v>
      </c>
      <c r="G179">
        <v>4535000000000</v>
      </c>
      <c r="H179">
        <v>14659000000000</v>
      </c>
      <c r="J179">
        <v>21627000000000</v>
      </c>
      <c r="K179">
        <v>7179000000000</v>
      </c>
      <c r="L179">
        <v>5252000000000</v>
      </c>
      <c r="M179">
        <v>6485000000000</v>
      </c>
      <c r="N179">
        <v>9196000000000</v>
      </c>
      <c r="O179">
        <v>6288000000000</v>
      </c>
      <c r="P179">
        <v>814000000000</v>
      </c>
      <c r="Q179">
        <v>684000000000</v>
      </c>
      <c r="R179">
        <v>479000000000</v>
      </c>
      <c r="T179">
        <v>1641000000000</v>
      </c>
      <c r="U179">
        <v>-1118000000000</v>
      </c>
      <c r="V179">
        <f t="shared" si="12"/>
        <v>7645000000000</v>
      </c>
      <c r="W179">
        <f t="shared" si="13"/>
        <v>19648000000000</v>
      </c>
    </row>
    <row r="180" spans="1:23" x14ac:dyDescent="0.2">
      <c r="A180">
        <f>IF(D180="USD",VLOOKUP(VALUE(RIGHT(E180,4)),'USD RUB'!$E:$F,2,FALSE),1)</f>
        <v>1</v>
      </c>
      <c r="B180" s="4">
        <v>1</v>
      </c>
      <c r="C180">
        <v>1000000000</v>
      </c>
      <c r="D180" t="s">
        <v>20</v>
      </c>
      <c r="E180" s="1" t="s">
        <v>196</v>
      </c>
      <c r="G180">
        <v>3619000000000</v>
      </c>
      <c r="H180">
        <v>14281000000000</v>
      </c>
      <c r="J180">
        <v>20304000000000</v>
      </c>
      <c r="K180">
        <v>6166000000000</v>
      </c>
      <c r="L180">
        <v>5095000000000</v>
      </c>
      <c r="M180">
        <v>6453000000000</v>
      </c>
      <c r="N180">
        <v>9043000000000</v>
      </c>
      <c r="O180">
        <v>4263000000000</v>
      </c>
      <c r="P180">
        <v>582000000000</v>
      </c>
      <c r="Q180">
        <v>568000000000</v>
      </c>
      <c r="R180">
        <v>417000000000</v>
      </c>
      <c r="T180">
        <v>1054000000000</v>
      </c>
      <c r="U180">
        <v>-769000000000</v>
      </c>
      <c r="V180">
        <f t="shared" si="12"/>
        <v>5174000000000</v>
      </c>
      <c r="W180">
        <f t="shared" si="13"/>
        <v>19162000000000</v>
      </c>
    </row>
    <row r="181" spans="1:23" x14ac:dyDescent="0.2">
      <c r="A181">
        <f>IF(D181="USD",VLOOKUP(VALUE(RIGHT(E181,4)),'USD RUB'!$E:$F,2,FALSE),1)</f>
        <v>1</v>
      </c>
      <c r="B181" s="4">
        <v>1</v>
      </c>
      <c r="C181">
        <v>1000000000</v>
      </c>
      <c r="D181" t="s">
        <v>20</v>
      </c>
      <c r="E181" s="1" t="s">
        <v>197</v>
      </c>
      <c r="G181">
        <v>4095000000000</v>
      </c>
      <c r="H181">
        <v>14014000000000</v>
      </c>
      <c r="J181">
        <v>20522000000000</v>
      </c>
      <c r="K181">
        <v>6144000000000</v>
      </c>
      <c r="L181">
        <v>5243000000000</v>
      </c>
      <c r="M181">
        <v>6517000000000</v>
      </c>
      <c r="N181">
        <v>9135000000000</v>
      </c>
      <c r="O181">
        <v>2283000000000</v>
      </c>
      <c r="P181">
        <v>356000000000</v>
      </c>
      <c r="Q181">
        <v>376000000000</v>
      </c>
      <c r="R181">
        <v>277000000000</v>
      </c>
      <c r="T181">
        <v>598000000000</v>
      </c>
      <c r="U181">
        <v>-382000000000</v>
      </c>
      <c r="V181">
        <f t="shared" si="12"/>
        <v>2594000000000</v>
      </c>
      <c r="W181">
        <f t="shared" si="13"/>
        <v>19235000000000</v>
      </c>
    </row>
    <row r="182" spans="1:23" x14ac:dyDescent="0.2">
      <c r="A182">
        <f>IF(D182="USD",VLOOKUP(VALUE(RIGHT(E182,4)),'USD RUB'!$E:$F,2,FALSE),1)</f>
        <v>1</v>
      </c>
      <c r="B182" s="4">
        <v>1</v>
      </c>
      <c r="C182">
        <v>1000000000</v>
      </c>
      <c r="D182" t="s">
        <v>20</v>
      </c>
      <c r="E182" s="1" t="s">
        <v>198</v>
      </c>
      <c r="G182">
        <v>4283000000000</v>
      </c>
      <c r="H182">
        <v>13936000000000</v>
      </c>
      <c r="J182">
        <v>20682000000000</v>
      </c>
      <c r="K182">
        <v>5984000000000</v>
      </c>
      <c r="L182">
        <v>5541000000000</v>
      </c>
      <c r="M182">
        <v>6347000000000</v>
      </c>
      <c r="N182">
        <v>9157000000000</v>
      </c>
      <c r="O182">
        <v>10139000000000</v>
      </c>
      <c r="P182">
        <v>2129000000000</v>
      </c>
      <c r="Q182">
        <v>1893000000000</v>
      </c>
      <c r="R182">
        <v>1341000000000</v>
      </c>
      <c r="T182">
        <v>3029000000000</v>
      </c>
      <c r="U182">
        <v>-1442000000000</v>
      </c>
      <c r="V182">
        <f t="shared" si="12"/>
        <v>9163000000000</v>
      </c>
      <c r="W182">
        <f t="shared" si="13"/>
        <v>18787000000000</v>
      </c>
    </row>
    <row r="183" spans="1:23" x14ac:dyDescent="0.2">
      <c r="A183">
        <f>IF(D183="USD",VLOOKUP(VALUE(RIGHT(E183,4)),'USD RUB'!$E:$F,2,FALSE),1)</f>
        <v>1</v>
      </c>
      <c r="B183" s="4">
        <v>1</v>
      </c>
      <c r="C183">
        <v>1000000000</v>
      </c>
      <c r="D183" t="s">
        <v>20</v>
      </c>
      <c r="E183" s="1" t="s">
        <v>199</v>
      </c>
      <c r="G183">
        <v>3826000000000</v>
      </c>
      <c r="H183">
        <v>13440000000000</v>
      </c>
      <c r="J183">
        <v>19648000000000</v>
      </c>
      <c r="K183">
        <v>5017000000000</v>
      </c>
      <c r="L183">
        <v>5405000000000</v>
      </c>
      <c r="M183">
        <v>6535000000000</v>
      </c>
      <c r="N183">
        <v>9226000000000</v>
      </c>
      <c r="O183">
        <v>7645000000000</v>
      </c>
      <c r="P183">
        <v>1673000000000</v>
      </c>
      <c r="Q183">
        <v>1519000000000</v>
      </c>
      <c r="R183">
        <v>1140000000000</v>
      </c>
      <c r="T183">
        <v>2321000000000</v>
      </c>
      <c r="U183">
        <v>-1052000000000</v>
      </c>
      <c r="V183">
        <f t="shared" si="12"/>
        <v>6612000000000</v>
      </c>
      <c r="W183">
        <f t="shared" si="13"/>
        <v>18760000000000</v>
      </c>
    </row>
    <row r="184" spans="1:23" x14ac:dyDescent="0.2">
      <c r="A184">
        <f>IF(D184="USD",VLOOKUP(VALUE(RIGHT(E184,4)),'USD RUB'!$E:$F,2,FALSE),1)</f>
        <v>1</v>
      </c>
      <c r="B184" s="4">
        <v>1</v>
      </c>
      <c r="C184">
        <v>1000000000</v>
      </c>
      <c r="D184" t="s">
        <v>20</v>
      </c>
      <c r="E184" s="1" t="s">
        <v>200</v>
      </c>
      <c r="G184">
        <v>3798000000000</v>
      </c>
      <c r="H184">
        <v>13071000000000</v>
      </c>
      <c r="J184">
        <v>19162000000000</v>
      </c>
      <c r="K184">
        <v>4984000000000</v>
      </c>
      <c r="L184">
        <v>5208000000000</v>
      </c>
      <c r="M184">
        <v>6382000000000</v>
      </c>
      <c r="N184">
        <v>8970000000000</v>
      </c>
      <c r="O184">
        <v>5174000000000</v>
      </c>
      <c r="P184">
        <v>1227000000000</v>
      </c>
      <c r="Q184">
        <v>1214000000000</v>
      </c>
      <c r="R184">
        <v>942000000000</v>
      </c>
      <c r="T184">
        <v>1650000000000</v>
      </c>
      <c r="U184">
        <v>-696000000000</v>
      </c>
      <c r="V184">
        <f t="shared" si="12"/>
        <v>3866000000000</v>
      </c>
      <c r="W184">
        <f t="shared" si="13"/>
        <v>17369000000000</v>
      </c>
    </row>
    <row r="185" spans="1:23" x14ac:dyDescent="0.2">
      <c r="A185">
        <f>IF(D185="USD",VLOOKUP(VALUE(RIGHT(E185,4)),'USD RUB'!$E:$F,2,FALSE),1)</f>
        <v>1</v>
      </c>
      <c r="B185" s="4">
        <v>1</v>
      </c>
      <c r="C185">
        <v>1000000000</v>
      </c>
      <c r="D185" t="s">
        <v>20</v>
      </c>
      <c r="E185" s="1" t="s">
        <v>201</v>
      </c>
      <c r="G185">
        <v>3934000000000</v>
      </c>
      <c r="H185">
        <v>12893000000000</v>
      </c>
      <c r="J185">
        <v>19235000000000</v>
      </c>
      <c r="K185">
        <v>4745000000000</v>
      </c>
      <c r="L185">
        <v>5538000000000</v>
      </c>
      <c r="M185">
        <v>6284000000000</v>
      </c>
      <c r="N185">
        <v>8952000000000</v>
      </c>
      <c r="O185">
        <v>2594000000000</v>
      </c>
      <c r="P185">
        <v>646000000000</v>
      </c>
      <c r="Q185">
        <v>619000000000</v>
      </c>
      <c r="R185">
        <v>486000000000</v>
      </c>
      <c r="T185">
        <v>857000000000</v>
      </c>
      <c r="U185">
        <v>-269000000000</v>
      </c>
      <c r="V185" t="str">
        <f t="shared" si="12"/>
        <v/>
      </c>
      <c r="W185" t="str">
        <f t="shared" si="13"/>
        <v/>
      </c>
    </row>
    <row r="186" spans="1:23" x14ac:dyDescent="0.2">
      <c r="A186">
        <f>IF(D186="USD",VLOOKUP(VALUE(RIGHT(E186,4)),'USD RUB'!$E:$F,2,FALSE),1)</f>
        <v>1</v>
      </c>
      <c r="B186" s="4">
        <v>1</v>
      </c>
      <c r="C186">
        <v>1000000000</v>
      </c>
      <c r="D186" t="s">
        <v>20</v>
      </c>
      <c r="E186" s="1" t="s">
        <v>202</v>
      </c>
      <c r="G186">
        <v>3839000000000</v>
      </c>
      <c r="H186">
        <v>12639000000000</v>
      </c>
      <c r="J186">
        <v>18787000000000</v>
      </c>
      <c r="K186">
        <v>4832000000000</v>
      </c>
      <c r="L186">
        <v>5541000000000</v>
      </c>
      <c r="M186">
        <v>5885000000000</v>
      </c>
      <c r="N186">
        <v>8414000000000</v>
      </c>
      <c r="O186">
        <v>9163000000000</v>
      </c>
      <c r="P186">
        <v>2182000000000</v>
      </c>
      <c r="Q186">
        <v>1957000000000</v>
      </c>
      <c r="R186">
        <v>1529000000000</v>
      </c>
      <c r="T186">
        <v>3005000000000</v>
      </c>
      <c r="U186">
        <v>-1297000000000</v>
      </c>
      <c r="V186" t="str">
        <f t="shared" si="12"/>
        <v/>
      </c>
      <c r="W186" t="str">
        <f t="shared" si="13"/>
        <v/>
      </c>
    </row>
    <row r="187" spans="1:23" x14ac:dyDescent="0.2">
      <c r="A187">
        <f>IF(D187="USD",VLOOKUP(VALUE(RIGHT(E187,4)),'USD RUB'!$E:$F,2,FALSE),1)</f>
        <v>1</v>
      </c>
      <c r="B187" s="4">
        <v>1</v>
      </c>
      <c r="C187">
        <v>1000000000</v>
      </c>
      <c r="D187" t="s">
        <v>20</v>
      </c>
      <c r="E187" s="1" t="s">
        <v>203</v>
      </c>
      <c r="G187">
        <v>3952000000000</v>
      </c>
      <c r="H187">
        <v>12467000000000</v>
      </c>
      <c r="J187">
        <v>18760000000000</v>
      </c>
      <c r="K187">
        <v>4738000000000</v>
      </c>
      <c r="L187">
        <v>5510000000000</v>
      </c>
      <c r="M187">
        <v>5981000000000</v>
      </c>
      <c r="N187">
        <v>8512000000000</v>
      </c>
      <c r="O187">
        <v>6612000000000</v>
      </c>
      <c r="P187">
        <v>1778000000000</v>
      </c>
      <c r="Q187">
        <v>1624000000000</v>
      </c>
      <c r="R187">
        <v>1272000000000</v>
      </c>
      <c r="S187">
        <v>581000000000</v>
      </c>
      <c r="T187">
        <v>2403000000000</v>
      </c>
      <c r="U187">
        <v>-909000000000</v>
      </c>
      <c r="V187" t="str">
        <f t="shared" si="12"/>
        <v/>
      </c>
      <c r="W187" t="str">
        <f t="shared" si="13"/>
        <v/>
      </c>
    </row>
    <row r="188" spans="1:23" x14ac:dyDescent="0.2">
      <c r="A188">
        <f>IF(D188="USD",VLOOKUP(VALUE(RIGHT(E188,4)),'USD RUB'!$E:$F,2,FALSE),1)</f>
        <v>1</v>
      </c>
      <c r="B188" s="4">
        <v>1</v>
      </c>
      <c r="C188">
        <v>1000000000</v>
      </c>
      <c r="D188" t="s">
        <v>20</v>
      </c>
      <c r="E188" s="1" t="s">
        <v>204</v>
      </c>
      <c r="G188">
        <v>3471000000000</v>
      </c>
      <c r="H188">
        <v>11562000000000</v>
      </c>
      <c r="J188">
        <v>17369000000000</v>
      </c>
      <c r="K188">
        <v>4551000000000</v>
      </c>
      <c r="L188">
        <v>5412000000000</v>
      </c>
      <c r="M188">
        <v>5531000000000</v>
      </c>
      <c r="N188">
        <v>7406000000000</v>
      </c>
      <c r="O188">
        <v>3866000000000</v>
      </c>
      <c r="P188">
        <v>1002000000000</v>
      </c>
      <c r="Q188">
        <v>928000000000</v>
      </c>
      <c r="R188">
        <v>735000000000</v>
      </c>
      <c r="S188">
        <v>375000000000</v>
      </c>
      <c r="T188">
        <v>1401000000000</v>
      </c>
      <c r="U188">
        <v>-599000000000</v>
      </c>
      <c r="V188" t="str">
        <f t="shared" si="12"/>
        <v/>
      </c>
      <c r="W188" t="str">
        <f t="shared" si="13"/>
        <v/>
      </c>
    </row>
    <row r="189" spans="1:23" x14ac:dyDescent="0.2">
      <c r="A189">
        <f>IF(D189="USD",VLOOKUP(VALUE(RIGHT(E189,4)),'USD RUB'!$E:$F,2,FALSE),1)</f>
        <v>1</v>
      </c>
      <c r="B189" s="4">
        <v>1</v>
      </c>
      <c r="C189">
        <v>1000000000</v>
      </c>
      <c r="D189" t="s">
        <v>20</v>
      </c>
      <c r="E189" s="1" t="s">
        <v>205</v>
      </c>
      <c r="F189">
        <v>659000000000</v>
      </c>
      <c r="G189">
        <v>3535000000000</v>
      </c>
      <c r="H189">
        <v>10585000000000</v>
      </c>
      <c r="I189">
        <v>168000000000</v>
      </c>
      <c r="J189">
        <v>16457000000000</v>
      </c>
      <c r="K189">
        <v>3683000000000</v>
      </c>
      <c r="L189">
        <v>6285000000000</v>
      </c>
      <c r="M189">
        <v>4638000000000</v>
      </c>
      <c r="N189">
        <v>6489000000000</v>
      </c>
      <c r="O189">
        <v>8761000000000</v>
      </c>
      <c r="P189">
        <v>1504000000000</v>
      </c>
      <c r="Q189">
        <v>1252000000000</v>
      </c>
      <c r="R189">
        <v>1012000000000</v>
      </c>
      <c r="S189">
        <v>668000000000</v>
      </c>
      <c r="T189">
        <v>2330000000000</v>
      </c>
      <c r="U189">
        <v>-1049000000000</v>
      </c>
      <c r="V189">
        <f t="shared" si="12"/>
        <v>5757000000000</v>
      </c>
      <c r="W189">
        <f t="shared" si="13"/>
        <v>15350000000000</v>
      </c>
    </row>
    <row r="190" spans="1:23" x14ac:dyDescent="0.2">
      <c r="A190">
        <f>IF(D190="USD",VLOOKUP(VALUE(RIGHT(E190,4)),'USD RUB'!$E:$F,2,FALSE),1)</f>
        <v>1</v>
      </c>
      <c r="B190" s="4">
        <v>1</v>
      </c>
      <c r="C190">
        <v>1000000000</v>
      </c>
      <c r="D190" t="s">
        <v>20</v>
      </c>
      <c r="E190" s="1" t="s">
        <v>206</v>
      </c>
      <c r="F190">
        <v>892000000000</v>
      </c>
      <c r="G190">
        <v>3686000000000</v>
      </c>
      <c r="H190">
        <v>10440000000000</v>
      </c>
      <c r="I190">
        <v>157000000000</v>
      </c>
      <c r="J190">
        <v>16267000000000</v>
      </c>
      <c r="K190">
        <v>3623000000000</v>
      </c>
      <c r="L190">
        <v>6375000000000</v>
      </c>
      <c r="M190">
        <v>4466000000000</v>
      </c>
      <c r="N190">
        <v>6269000000000</v>
      </c>
      <c r="O190">
        <v>6224000000000</v>
      </c>
      <c r="P190">
        <v>1035000000000</v>
      </c>
      <c r="Q190">
        <v>948000000000</v>
      </c>
      <c r="R190">
        <v>776000000000</v>
      </c>
      <c r="S190">
        <v>489000000000</v>
      </c>
      <c r="T190">
        <v>1654000000000</v>
      </c>
      <c r="U190">
        <v>-689000000000</v>
      </c>
      <c r="V190">
        <f t="shared" si="12"/>
        <v>4243000000000</v>
      </c>
      <c r="W190">
        <f t="shared" si="13"/>
        <v>13224000000000</v>
      </c>
    </row>
    <row r="191" spans="1:23" x14ac:dyDescent="0.2">
      <c r="A191">
        <f>IF(D191="USD",VLOOKUP(VALUE(RIGHT(E191,4)),'USD RUB'!$E:$F,2,FALSE),1)</f>
        <v>1</v>
      </c>
      <c r="B191" s="4">
        <v>1</v>
      </c>
      <c r="C191">
        <v>1000000000</v>
      </c>
      <c r="D191" t="s">
        <v>20</v>
      </c>
      <c r="E191" s="1" t="s">
        <v>207</v>
      </c>
      <c r="F191">
        <v>525000000000</v>
      </c>
      <c r="G191">
        <v>3072000000000</v>
      </c>
      <c r="H191">
        <v>10407000000000</v>
      </c>
      <c r="I191">
        <v>155000000000</v>
      </c>
      <c r="J191">
        <v>15548000000000</v>
      </c>
      <c r="K191">
        <v>3355000000000</v>
      </c>
      <c r="L191">
        <v>6379000000000</v>
      </c>
      <c r="M191">
        <v>4323000000000</v>
      </c>
      <c r="N191">
        <v>5814000000000</v>
      </c>
      <c r="O191">
        <v>3904000000000</v>
      </c>
      <c r="P191">
        <v>610000000000</v>
      </c>
      <c r="Q191">
        <v>534000000000</v>
      </c>
      <c r="R191">
        <v>431000000000</v>
      </c>
      <c r="S191">
        <v>318000000000</v>
      </c>
      <c r="T191">
        <v>1016000000000</v>
      </c>
      <c r="U191">
        <v>-462000000000</v>
      </c>
      <c r="V191">
        <f t="shared" si="12"/>
        <v>2804000000000</v>
      </c>
      <c r="W191">
        <f t="shared" si="13"/>
        <v>12643000000000</v>
      </c>
    </row>
    <row r="192" spans="1:23" x14ac:dyDescent="0.2">
      <c r="A192">
        <f>IF(D192="USD",VLOOKUP(VALUE(RIGHT(E192,4)),'USD RUB'!$E:$F,2,FALSE),1)</f>
        <v>1</v>
      </c>
      <c r="B192" s="4">
        <v>1</v>
      </c>
      <c r="C192">
        <v>1000000000</v>
      </c>
      <c r="D192" t="s">
        <v>20</v>
      </c>
      <c r="E192" s="1" t="s">
        <v>208</v>
      </c>
      <c r="F192">
        <v>658000000000</v>
      </c>
      <c r="G192">
        <v>3015000000000</v>
      </c>
      <c r="H192">
        <v>10369000000000</v>
      </c>
      <c r="I192">
        <v>160000000000</v>
      </c>
      <c r="J192">
        <v>15459000000000</v>
      </c>
      <c r="K192">
        <v>3126000000000</v>
      </c>
      <c r="L192">
        <v>6674000000000</v>
      </c>
      <c r="M192">
        <v>4156000000000</v>
      </c>
      <c r="N192">
        <v>5659000000000</v>
      </c>
      <c r="O192">
        <v>1737000000000</v>
      </c>
      <c r="P192">
        <v>243000000000</v>
      </c>
      <c r="Q192">
        <v>208000000000</v>
      </c>
      <c r="R192">
        <v>168000000000</v>
      </c>
      <c r="S192">
        <v>155000000000</v>
      </c>
      <c r="T192">
        <v>445000000000</v>
      </c>
      <c r="U192">
        <v>-225000000000</v>
      </c>
      <c r="V192">
        <f t="shared" si="12"/>
        <v>1765000000000</v>
      </c>
      <c r="W192">
        <f t="shared" si="13"/>
        <v>13295000000000</v>
      </c>
    </row>
    <row r="193" spans="1:23" x14ac:dyDescent="0.2">
      <c r="A193">
        <f>IF(D193="USD",VLOOKUP(VALUE(RIGHT(E193,4)),'USD RUB'!$E:$F,2,FALSE),1)</f>
        <v>1</v>
      </c>
      <c r="B193" s="4">
        <v>1</v>
      </c>
      <c r="C193">
        <v>1000000000</v>
      </c>
      <c r="D193" t="s">
        <v>20</v>
      </c>
      <c r="E193" s="1" t="s">
        <v>209</v>
      </c>
      <c r="F193">
        <v>806000000000</v>
      </c>
      <c r="G193">
        <v>2922000000000</v>
      </c>
      <c r="H193">
        <v>10401000000000</v>
      </c>
      <c r="I193">
        <v>162000000000</v>
      </c>
      <c r="J193">
        <v>15350000000000</v>
      </c>
      <c r="K193">
        <v>3092000000000</v>
      </c>
      <c r="L193">
        <v>6771000000000</v>
      </c>
      <c r="M193">
        <v>4007000000000</v>
      </c>
      <c r="N193">
        <v>5487000000000</v>
      </c>
      <c r="O193">
        <v>5757000000000</v>
      </c>
      <c r="P193">
        <v>378000000000</v>
      </c>
      <c r="Q193">
        <v>162000000000</v>
      </c>
      <c r="R193">
        <v>181000000000</v>
      </c>
      <c r="S193">
        <v>663000000000</v>
      </c>
      <c r="T193">
        <v>1209000000000</v>
      </c>
      <c r="U193">
        <v>-785000000000</v>
      </c>
      <c r="V193">
        <f t="shared" si="12"/>
        <v>8676000000000</v>
      </c>
      <c r="W193">
        <f t="shared" si="13"/>
        <v>12950000000000</v>
      </c>
    </row>
    <row r="194" spans="1:23" x14ac:dyDescent="0.2">
      <c r="A194">
        <f>IF(D194="USD",VLOOKUP(VALUE(RIGHT(E194,4)),'USD RUB'!$E:$F,2,FALSE),1)</f>
        <v>1</v>
      </c>
      <c r="B194" s="4">
        <v>1</v>
      </c>
      <c r="C194">
        <v>1000000000</v>
      </c>
      <c r="D194" t="s">
        <v>20</v>
      </c>
      <c r="E194" s="1" t="s">
        <v>210</v>
      </c>
      <c r="F194">
        <v>273000000000</v>
      </c>
      <c r="G194">
        <v>2020000000000</v>
      </c>
      <c r="H194">
        <v>9107000000000</v>
      </c>
      <c r="I194">
        <v>170000000000</v>
      </c>
      <c r="J194">
        <v>13224000000000</v>
      </c>
      <c r="K194">
        <v>2820000000000</v>
      </c>
      <c r="L194">
        <v>5842000000000</v>
      </c>
      <c r="M194">
        <v>3686000000000</v>
      </c>
      <c r="N194">
        <v>4562000000000</v>
      </c>
      <c r="O194">
        <v>4243000000000</v>
      </c>
      <c r="P194">
        <v>228000000000</v>
      </c>
      <c r="Q194">
        <v>-176000000000</v>
      </c>
      <c r="R194">
        <v>-148000000000</v>
      </c>
      <c r="S194">
        <v>501000000000</v>
      </c>
      <c r="T194">
        <v>845000000000</v>
      </c>
      <c r="U194">
        <v>-569000000000</v>
      </c>
      <c r="V194">
        <f t="shared" si="12"/>
        <v>6452000000000</v>
      </c>
      <c r="W194">
        <f t="shared" si="13"/>
        <v>12935000000000</v>
      </c>
    </row>
    <row r="195" spans="1:23" x14ac:dyDescent="0.2">
      <c r="A195">
        <f>IF(D195="USD",VLOOKUP(VALUE(RIGHT(E195,4)),'USD RUB'!$E:$F,2,FALSE),1)</f>
        <v>1</v>
      </c>
      <c r="B195" s="4">
        <v>1</v>
      </c>
      <c r="C195">
        <v>1000000000</v>
      </c>
      <c r="D195" t="s">
        <v>20</v>
      </c>
      <c r="E195" s="1" t="s">
        <v>211</v>
      </c>
      <c r="F195">
        <v>213000000000</v>
      </c>
      <c r="G195">
        <v>1833000000000</v>
      </c>
      <c r="H195">
        <v>8927000000000</v>
      </c>
      <c r="I195">
        <v>166000000000</v>
      </c>
      <c r="J195">
        <v>12643000000000</v>
      </c>
      <c r="K195">
        <v>2978000000000</v>
      </c>
      <c r="L195">
        <v>5109000000000</v>
      </c>
      <c r="M195">
        <v>3750000000000</v>
      </c>
      <c r="N195">
        <v>4556000000000</v>
      </c>
      <c r="O195">
        <v>2804000000000</v>
      </c>
      <c r="P195">
        <v>69000000000</v>
      </c>
      <c r="Q195">
        <v>-118000000000</v>
      </c>
      <c r="R195">
        <v>-98000000000</v>
      </c>
      <c r="S195">
        <v>341000000000</v>
      </c>
      <c r="T195">
        <v>479000000000</v>
      </c>
      <c r="U195">
        <v>-367000000000</v>
      </c>
      <c r="V195">
        <f t="shared" si="12"/>
        <v>4212000000000</v>
      </c>
      <c r="W195">
        <f t="shared" si="13"/>
        <v>12804000000000</v>
      </c>
    </row>
    <row r="196" spans="1:23" x14ac:dyDescent="0.2">
      <c r="A196">
        <f>IF(D196="USD",VLOOKUP(VALUE(RIGHT(E196,4)),'USD RUB'!$E:$F,2,FALSE),1)</f>
        <v>1</v>
      </c>
      <c r="B196" s="4">
        <v>1</v>
      </c>
      <c r="C196">
        <v>1000000000</v>
      </c>
      <c r="D196" t="s">
        <v>20</v>
      </c>
      <c r="E196" s="1" t="s">
        <v>212</v>
      </c>
      <c r="F196">
        <v>265000000000</v>
      </c>
      <c r="G196">
        <v>2358000000000</v>
      </c>
      <c r="H196">
        <v>8924000000000</v>
      </c>
      <c r="I196">
        <v>163000000000</v>
      </c>
      <c r="J196">
        <v>13295000000000</v>
      </c>
      <c r="K196">
        <v>2970000000000</v>
      </c>
      <c r="L196">
        <v>5188000000000</v>
      </c>
      <c r="M196">
        <v>3879000000000</v>
      </c>
      <c r="N196">
        <v>5137000000000</v>
      </c>
      <c r="O196">
        <v>1765000000000</v>
      </c>
      <c r="P196">
        <v>101000000000</v>
      </c>
      <c r="Q196">
        <v>-176000000000</v>
      </c>
      <c r="R196">
        <v>-143000000000</v>
      </c>
      <c r="S196">
        <v>176000000000</v>
      </c>
      <c r="T196">
        <v>309000000000</v>
      </c>
      <c r="U196">
        <v>-185000000000</v>
      </c>
      <c r="V196">
        <f t="shared" si="12"/>
        <v>2077000000000</v>
      </c>
      <c r="W196">
        <f t="shared" si="13"/>
        <v>12651000000000</v>
      </c>
    </row>
    <row r="197" spans="1:23" x14ac:dyDescent="0.2">
      <c r="A197">
        <f>IF(D197="USD",VLOOKUP(VALUE(RIGHT(E197,4)),'USD RUB'!$E:$F,2,FALSE),1)</f>
        <v>1</v>
      </c>
      <c r="B197" s="4">
        <v>1</v>
      </c>
      <c r="C197">
        <v>1000000000</v>
      </c>
      <c r="D197" t="s">
        <v>20</v>
      </c>
      <c r="E197" s="1" t="s">
        <v>213</v>
      </c>
      <c r="F197">
        <v>228000000000</v>
      </c>
      <c r="G197">
        <v>2396000000000</v>
      </c>
      <c r="H197">
        <v>8713000000000</v>
      </c>
      <c r="I197">
        <v>154000000000</v>
      </c>
      <c r="J197">
        <v>12950000000000</v>
      </c>
      <c r="K197">
        <v>2755000000000</v>
      </c>
      <c r="L197">
        <v>5043000000000</v>
      </c>
      <c r="M197">
        <v>4035000000000</v>
      </c>
      <c r="N197">
        <v>5152000000000</v>
      </c>
      <c r="O197">
        <v>8676000000000</v>
      </c>
      <c r="P197">
        <v>1305000000000</v>
      </c>
      <c r="Q197">
        <v>997000000000</v>
      </c>
      <c r="R197">
        <v>805000000000</v>
      </c>
      <c r="S197">
        <v>687000000000</v>
      </c>
      <c r="T197">
        <v>2105000000000</v>
      </c>
      <c r="U197">
        <v>-854000000000</v>
      </c>
      <c r="V197">
        <f t="shared" si="12"/>
        <v>8238000000000</v>
      </c>
      <c r="W197">
        <f t="shared" si="13"/>
        <v>13163000000000</v>
      </c>
    </row>
    <row r="198" spans="1:23" x14ac:dyDescent="0.2">
      <c r="A198">
        <f>IF(D198="USD",VLOOKUP(VALUE(RIGHT(E198,4)),'USD RUB'!$E:$F,2,FALSE),1)</f>
        <v>1</v>
      </c>
      <c r="B198" s="4">
        <v>1</v>
      </c>
      <c r="C198">
        <v>1000000000</v>
      </c>
      <c r="D198" t="s">
        <v>20</v>
      </c>
      <c r="E198" s="1" t="s">
        <v>214</v>
      </c>
      <c r="F198">
        <v>219000000000</v>
      </c>
      <c r="G198">
        <v>2461000000000</v>
      </c>
      <c r="H198">
        <v>8555000000000</v>
      </c>
      <c r="I198">
        <v>136000000000</v>
      </c>
      <c r="J198">
        <v>12935000000000</v>
      </c>
      <c r="K198">
        <v>2971000000000</v>
      </c>
      <c r="L198">
        <v>4993000000000</v>
      </c>
      <c r="M198">
        <v>3877000000000</v>
      </c>
      <c r="N198">
        <v>4971000000000</v>
      </c>
      <c r="O198">
        <v>6452000000000</v>
      </c>
      <c r="P198">
        <v>1018000000000</v>
      </c>
      <c r="Q198">
        <v>759000000000</v>
      </c>
      <c r="R198">
        <v>626000000000</v>
      </c>
      <c r="S198">
        <v>510000000000</v>
      </c>
      <c r="T198">
        <v>1617000000000</v>
      </c>
      <c r="U198">
        <v>-634000000000</v>
      </c>
      <c r="V198">
        <f t="shared" si="12"/>
        <v>6073000000000</v>
      </c>
      <c r="W198">
        <f t="shared" si="13"/>
        <v>12853000000000</v>
      </c>
    </row>
    <row r="199" spans="1:23" x14ac:dyDescent="0.2">
      <c r="A199">
        <f>IF(D199="USD",VLOOKUP(VALUE(RIGHT(E199,4)),'USD RUB'!$E:$F,2,FALSE),1)</f>
        <v>1</v>
      </c>
      <c r="B199" s="4">
        <v>1</v>
      </c>
      <c r="C199">
        <v>1000000000</v>
      </c>
      <c r="D199" t="s">
        <v>20</v>
      </c>
      <c r="E199" s="1" t="s">
        <v>215</v>
      </c>
      <c r="F199">
        <v>257000000000</v>
      </c>
      <c r="G199">
        <v>2537000000000</v>
      </c>
      <c r="H199">
        <v>8431000000000</v>
      </c>
      <c r="I199">
        <v>138000000000</v>
      </c>
      <c r="J199">
        <v>12804000000000</v>
      </c>
      <c r="K199">
        <v>2889000000000</v>
      </c>
      <c r="L199">
        <v>5033000000000</v>
      </c>
      <c r="M199">
        <v>3815000000000</v>
      </c>
      <c r="N199">
        <v>4882000000000</v>
      </c>
      <c r="O199">
        <v>4212000000000</v>
      </c>
      <c r="P199">
        <v>662000000000</v>
      </c>
      <c r="Q199">
        <v>459000000000</v>
      </c>
      <c r="R199">
        <v>376000000000</v>
      </c>
      <c r="S199">
        <v>338000000000</v>
      </c>
      <c r="T199">
        <v>1063000000000</v>
      </c>
      <c r="U199">
        <v>-436000000000</v>
      </c>
      <c r="V199">
        <f t="shared" si="12"/>
        <v>3787000000000</v>
      </c>
      <c r="W199">
        <f t="shared" si="13"/>
        <v>12741000000000</v>
      </c>
    </row>
    <row r="200" spans="1:23" x14ac:dyDescent="0.2">
      <c r="A200">
        <f>IF(D200="USD",VLOOKUP(VALUE(RIGHT(E200,4)),'USD RUB'!$E:$F,2,FALSE),1)</f>
        <v>1</v>
      </c>
      <c r="B200" s="4">
        <v>1</v>
      </c>
      <c r="C200">
        <v>1000000000</v>
      </c>
      <c r="D200" t="s">
        <v>20</v>
      </c>
      <c r="E200" s="1" t="s">
        <v>216</v>
      </c>
      <c r="F200">
        <v>302000000000</v>
      </c>
      <c r="G200">
        <v>2492000000000</v>
      </c>
      <c r="H200">
        <v>8355000000000</v>
      </c>
      <c r="I200">
        <v>139000000000</v>
      </c>
      <c r="J200">
        <v>12651000000000</v>
      </c>
      <c r="K200">
        <v>2661000000000</v>
      </c>
      <c r="L200">
        <v>5170000000000</v>
      </c>
      <c r="M200">
        <v>3741000000000</v>
      </c>
      <c r="N200">
        <v>4820000000000</v>
      </c>
      <c r="O200">
        <v>2077000000000</v>
      </c>
      <c r="P200">
        <v>341000000000</v>
      </c>
      <c r="Q200">
        <v>193000000000</v>
      </c>
      <c r="R200">
        <v>156000000000</v>
      </c>
      <c r="S200">
        <v>174000000000</v>
      </c>
      <c r="T200">
        <v>548000000000</v>
      </c>
      <c r="U200">
        <v>-214000000000</v>
      </c>
      <c r="V200">
        <f t="shared" si="12"/>
        <v>1722000000000</v>
      </c>
      <c r="W200">
        <f t="shared" si="13"/>
        <v>12238000000000</v>
      </c>
    </row>
    <row r="201" spans="1:23" x14ac:dyDescent="0.2">
      <c r="A201">
        <f>IF(D201="USD",VLOOKUP(VALUE(RIGHT(E201,4)),'USD RUB'!$E:$F,2,FALSE),1)</f>
        <v>1</v>
      </c>
      <c r="B201" s="4">
        <v>1</v>
      </c>
      <c r="C201">
        <v>1000000000</v>
      </c>
      <c r="D201" t="s">
        <v>20</v>
      </c>
      <c r="E201" s="1" t="s">
        <v>217</v>
      </c>
      <c r="F201">
        <v>832000000000</v>
      </c>
      <c r="G201">
        <v>3022000000000</v>
      </c>
      <c r="H201">
        <v>8445000000000</v>
      </c>
      <c r="I201">
        <v>160000000000</v>
      </c>
      <c r="J201">
        <v>13163000000000</v>
      </c>
      <c r="K201">
        <v>2874000000000</v>
      </c>
      <c r="L201">
        <v>5612000000000</v>
      </c>
      <c r="M201">
        <v>3610000000000</v>
      </c>
      <c r="N201">
        <v>4677000000000</v>
      </c>
      <c r="O201">
        <v>8238000000000</v>
      </c>
      <c r="P201">
        <v>1284000000000</v>
      </c>
      <c r="Q201">
        <v>832000000000</v>
      </c>
      <c r="R201">
        <v>649000000000</v>
      </c>
      <c r="S201">
        <v>635000000000</v>
      </c>
      <c r="T201">
        <v>2081000000000</v>
      </c>
      <c r="U201">
        <v>-936000000000</v>
      </c>
      <c r="V201">
        <f t="shared" si="12"/>
        <v>6014000000000</v>
      </c>
      <c r="W201">
        <f t="shared" si="13"/>
        <v>12227000000000</v>
      </c>
    </row>
    <row r="202" spans="1:23" x14ac:dyDescent="0.2">
      <c r="A202">
        <f>IF(D202="USD",VLOOKUP(VALUE(RIGHT(E202,4)),'USD RUB'!$E:$F,2,FALSE),1)</f>
        <v>1</v>
      </c>
      <c r="B202" s="4">
        <v>1</v>
      </c>
      <c r="C202">
        <v>1000000000</v>
      </c>
      <c r="D202" t="s">
        <v>20</v>
      </c>
      <c r="E202" s="1" t="s">
        <v>218</v>
      </c>
      <c r="F202">
        <v>434000000000</v>
      </c>
      <c r="G202">
        <v>2603000000000</v>
      </c>
      <c r="H202">
        <v>8359000000000</v>
      </c>
      <c r="I202">
        <v>156000000000</v>
      </c>
      <c r="J202">
        <v>12853000000000</v>
      </c>
      <c r="K202">
        <v>2870000000000</v>
      </c>
      <c r="L202">
        <v>5494000000000</v>
      </c>
      <c r="M202">
        <v>3511000000000</v>
      </c>
      <c r="N202">
        <v>4489000000000</v>
      </c>
      <c r="O202">
        <v>6073000000000</v>
      </c>
      <c r="P202">
        <v>995000000000</v>
      </c>
      <c r="Q202">
        <v>680000000000</v>
      </c>
      <c r="R202">
        <v>528000000000</v>
      </c>
      <c r="S202">
        <v>472000000000</v>
      </c>
      <c r="T202">
        <v>1593000000000</v>
      </c>
      <c r="U202">
        <v>-679000000000</v>
      </c>
      <c r="V202">
        <f t="shared" si="12"/>
        <v>4305000000000</v>
      </c>
      <c r="W202">
        <f t="shared" si="13"/>
        <v>11514000000000</v>
      </c>
    </row>
    <row r="203" spans="1:23" x14ac:dyDescent="0.2">
      <c r="A203">
        <f>IF(D203="USD",VLOOKUP(VALUE(RIGHT(E203,4)),'USD RUB'!$E:$F,2,FALSE),1)</f>
        <v>1</v>
      </c>
      <c r="B203" s="4">
        <v>1</v>
      </c>
      <c r="C203">
        <v>1000000000</v>
      </c>
      <c r="D203" t="s">
        <v>20</v>
      </c>
      <c r="E203" s="1" t="s">
        <v>219</v>
      </c>
      <c r="F203">
        <v>293000000000</v>
      </c>
      <c r="G203">
        <v>2531000000000</v>
      </c>
      <c r="H203">
        <v>8223000000000</v>
      </c>
      <c r="I203">
        <v>288000000000</v>
      </c>
      <c r="J203">
        <v>12741000000000</v>
      </c>
      <c r="K203">
        <v>2777000000000</v>
      </c>
      <c r="L203">
        <v>5496000000000</v>
      </c>
      <c r="M203">
        <v>3527000000000</v>
      </c>
      <c r="N203">
        <v>4468000000000</v>
      </c>
      <c r="O203">
        <v>3787000000000</v>
      </c>
      <c r="P203">
        <v>573000000000</v>
      </c>
      <c r="Q203">
        <v>447000000000</v>
      </c>
      <c r="R203">
        <v>351000000000</v>
      </c>
      <c r="S203">
        <v>309000000000</v>
      </c>
      <c r="T203">
        <v>950000000000</v>
      </c>
      <c r="U203">
        <v>-452000000000</v>
      </c>
      <c r="V203">
        <f t="shared" si="12"/>
        <v>2809000000000</v>
      </c>
      <c r="W203">
        <f t="shared" si="13"/>
        <v>11005000000000</v>
      </c>
    </row>
    <row r="204" spans="1:23" x14ac:dyDescent="0.2">
      <c r="A204">
        <f>IF(D204="USD",VLOOKUP(VALUE(RIGHT(E204,4)),'USD RUB'!$E:$F,2,FALSE),1)</f>
        <v>1</v>
      </c>
      <c r="B204" s="4">
        <v>1</v>
      </c>
      <c r="C204">
        <v>1000000000</v>
      </c>
      <c r="D204" t="s">
        <v>20</v>
      </c>
      <c r="E204" s="1" t="s">
        <v>220</v>
      </c>
      <c r="F204">
        <v>304000000000</v>
      </c>
      <c r="G204">
        <v>2190000000000</v>
      </c>
      <c r="H204">
        <v>8045000000000</v>
      </c>
      <c r="I204">
        <v>333000000000</v>
      </c>
      <c r="J204">
        <v>12238000000000</v>
      </c>
      <c r="K204">
        <v>2786000000000</v>
      </c>
      <c r="L204">
        <v>5166000000000</v>
      </c>
      <c r="M204">
        <v>3367000000000</v>
      </c>
      <c r="N204">
        <v>4286000000000</v>
      </c>
      <c r="O204">
        <v>1722000000000</v>
      </c>
      <c r="P204">
        <v>200000000000</v>
      </c>
      <c r="Q204">
        <v>125000000000</v>
      </c>
      <c r="R204">
        <v>95000000000</v>
      </c>
      <c r="S204">
        <v>152000000000</v>
      </c>
      <c r="T204">
        <v>385000000000</v>
      </c>
      <c r="U204">
        <v>-223000000000</v>
      </c>
      <c r="V204">
        <f t="shared" si="12"/>
        <v>1410000000000</v>
      </c>
      <c r="W204">
        <f t="shared" si="13"/>
        <v>10778000000000</v>
      </c>
    </row>
    <row r="205" spans="1:23" x14ac:dyDescent="0.2">
      <c r="A205">
        <f>IF(D205="USD",VLOOKUP(VALUE(RIGHT(E205,4)),'USD RUB'!$E:$F,2,FALSE),1)</f>
        <v>1</v>
      </c>
      <c r="B205" s="4">
        <v>1</v>
      </c>
      <c r="C205">
        <v>1000000000</v>
      </c>
      <c r="D205" t="s">
        <v>20</v>
      </c>
      <c r="E205" s="1" t="s">
        <v>221</v>
      </c>
      <c r="F205">
        <v>322000000000</v>
      </c>
      <c r="G205">
        <v>2292000000000</v>
      </c>
      <c r="H205">
        <v>7923000000000</v>
      </c>
      <c r="I205">
        <v>336000000000</v>
      </c>
      <c r="J205">
        <v>12227000000000</v>
      </c>
      <c r="K205">
        <v>3836000000000</v>
      </c>
      <c r="L205">
        <v>4208000000000</v>
      </c>
      <c r="M205">
        <v>3313000000000</v>
      </c>
      <c r="N205">
        <v>4183000000000</v>
      </c>
      <c r="O205">
        <v>6014000000000</v>
      </c>
      <c r="P205">
        <v>624000000000</v>
      </c>
      <c r="Q205">
        <v>395000000000</v>
      </c>
      <c r="R205">
        <v>297000000000</v>
      </c>
      <c r="S205">
        <v>586000000000</v>
      </c>
      <c r="T205">
        <v>1403000000000</v>
      </c>
      <c r="U205">
        <v>-922000000000</v>
      </c>
      <c r="V205">
        <f t="shared" si="12"/>
        <v>4988000000000</v>
      </c>
      <c r="W205">
        <f t="shared" si="13"/>
        <v>11030000000000</v>
      </c>
    </row>
    <row r="206" spans="1:23" x14ac:dyDescent="0.2">
      <c r="A206">
        <f>IF(D206="USD",VLOOKUP(VALUE(RIGHT(E206,4)),'USD RUB'!$E:$F,2,FALSE),1)</f>
        <v>1</v>
      </c>
      <c r="B206" s="4">
        <v>1</v>
      </c>
      <c r="C206">
        <v>1000000000</v>
      </c>
      <c r="D206" t="s">
        <v>20</v>
      </c>
      <c r="E206" s="1" t="s">
        <v>222</v>
      </c>
      <c r="F206">
        <v>227000000000</v>
      </c>
      <c r="G206">
        <v>1833000000000</v>
      </c>
      <c r="H206">
        <v>7654000000000</v>
      </c>
      <c r="I206">
        <v>323000000000</v>
      </c>
      <c r="J206">
        <v>11514000000000</v>
      </c>
      <c r="K206">
        <v>3505000000000</v>
      </c>
      <c r="L206">
        <v>4000000000000</v>
      </c>
      <c r="M206">
        <v>3214000000000</v>
      </c>
      <c r="N206">
        <v>4009000000000</v>
      </c>
      <c r="O206">
        <v>4305000000000</v>
      </c>
      <c r="P206">
        <v>425000000000</v>
      </c>
      <c r="Q206">
        <v>196000000000</v>
      </c>
      <c r="R206">
        <v>152000000000</v>
      </c>
      <c r="S206">
        <v>440000000000</v>
      </c>
      <c r="T206">
        <v>1010000000000</v>
      </c>
      <c r="U206">
        <v>-630000000000</v>
      </c>
      <c r="V206">
        <f t="shared" si="12"/>
        <v>3503000000000</v>
      </c>
      <c r="W206">
        <f t="shared" si="13"/>
        <v>9485000000000</v>
      </c>
    </row>
    <row r="207" spans="1:23" x14ac:dyDescent="0.2">
      <c r="A207">
        <f>IF(D207="USD",VLOOKUP(VALUE(RIGHT(E207,4)),'USD RUB'!$E:$F,2,FALSE),1)</f>
        <v>1</v>
      </c>
      <c r="B207" s="4">
        <v>1</v>
      </c>
      <c r="C207">
        <v>1000000000</v>
      </c>
      <c r="D207" t="s">
        <v>20</v>
      </c>
      <c r="E207" s="1" t="s">
        <v>223</v>
      </c>
      <c r="F207">
        <v>439000000000</v>
      </c>
      <c r="G207">
        <v>1882000000000</v>
      </c>
      <c r="H207">
        <v>7409000000000</v>
      </c>
      <c r="I207">
        <v>296000000000</v>
      </c>
      <c r="J207">
        <v>11005000000000</v>
      </c>
      <c r="K207">
        <v>3138000000000</v>
      </c>
      <c r="L207">
        <v>3950000000000</v>
      </c>
      <c r="M207">
        <v>3218000000000</v>
      </c>
      <c r="N207">
        <v>3917000000000</v>
      </c>
      <c r="O207">
        <v>2809000000000</v>
      </c>
      <c r="P207">
        <v>258000000000</v>
      </c>
      <c r="Q207">
        <v>120000000000</v>
      </c>
      <c r="R207">
        <v>101000000000</v>
      </c>
      <c r="S207">
        <v>285000000000</v>
      </c>
      <c r="T207">
        <v>639000000000</v>
      </c>
      <c r="U207">
        <v>-407000000000</v>
      </c>
      <c r="V207">
        <f t="shared" si="12"/>
        <v>2280000000000</v>
      </c>
      <c r="W207">
        <f t="shared" si="13"/>
        <v>9555000000000</v>
      </c>
    </row>
    <row r="208" spans="1:23" x14ac:dyDescent="0.2">
      <c r="A208">
        <f>IF(D208="USD",VLOOKUP(VALUE(RIGHT(E208,4)),'USD RUB'!$E:$F,2,FALSE),1)</f>
        <v>1</v>
      </c>
      <c r="B208" s="4">
        <v>1</v>
      </c>
      <c r="C208">
        <v>1000000000</v>
      </c>
      <c r="D208" t="s">
        <v>20</v>
      </c>
      <c r="E208" s="1" t="s">
        <v>224</v>
      </c>
      <c r="F208">
        <v>607000000000</v>
      </c>
      <c r="G208">
        <v>2047000000000</v>
      </c>
      <c r="H208">
        <v>7136000000000</v>
      </c>
      <c r="I208">
        <v>287000000000</v>
      </c>
      <c r="J208">
        <v>10778000000000</v>
      </c>
      <c r="K208">
        <v>3076000000000</v>
      </c>
      <c r="L208">
        <v>3871000000000</v>
      </c>
      <c r="M208">
        <v>3213000000000</v>
      </c>
      <c r="N208">
        <v>3831000000000</v>
      </c>
      <c r="O208">
        <v>1410000000000</v>
      </c>
      <c r="P208">
        <v>140000000000</v>
      </c>
      <c r="Q208">
        <v>25000000000</v>
      </c>
      <c r="R208">
        <v>21000000000</v>
      </c>
      <c r="S208">
        <v>143000000000</v>
      </c>
      <c r="T208">
        <v>333000000000</v>
      </c>
      <c r="U208">
        <v>-192000000000</v>
      </c>
      <c r="V208">
        <f t="shared" ref="V208:V228" si="14">_xlfn.XLOOKUP(LEFT(E208,LEN(E208)-4)&amp;(VALUE(RIGHT(E208,4))-1),$E:$E,$O:$O,"")</f>
        <v>1048000000000</v>
      </c>
      <c r="W208">
        <f t="shared" ref="W208:W228" si="15">_xlfn.XLOOKUP(LEFT(E208,LEN(E208)-4)&amp;(VALUE(RIGHT(E208,4))-1),$E:$E,$J:$J,"")</f>
        <v>9580000000000</v>
      </c>
    </row>
    <row r="209" spans="1:23" x14ac:dyDescent="0.2">
      <c r="A209">
        <f>IF(D209="USD",VLOOKUP(VALUE(RIGHT(E209,4)),'USD RUB'!$E:$F,2,FALSE),1)</f>
        <v>1</v>
      </c>
      <c r="B209" s="4">
        <v>1</v>
      </c>
      <c r="C209">
        <v>1000000000</v>
      </c>
      <c r="D209" t="s">
        <v>20</v>
      </c>
      <c r="E209" s="1" t="s">
        <v>225</v>
      </c>
      <c r="F209">
        <v>790000000000</v>
      </c>
      <c r="G209">
        <v>2300000000000</v>
      </c>
      <c r="H209">
        <v>7090000000000</v>
      </c>
      <c r="J209">
        <v>11030000000000</v>
      </c>
      <c r="K209">
        <v>2773000000000</v>
      </c>
      <c r="L209">
        <v>4531000000000</v>
      </c>
      <c r="M209">
        <v>3202000000000</v>
      </c>
      <c r="N209">
        <v>3726000000000</v>
      </c>
      <c r="O209">
        <v>4988000000000</v>
      </c>
      <c r="P209">
        <v>4326000000000</v>
      </c>
      <c r="Q209">
        <v>317000000000</v>
      </c>
      <c r="R209">
        <v>201000000000</v>
      </c>
      <c r="T209">
        <v>1278000000000</v>
      </c>
      <c r="U209">
        <v>709000000000</v>
      </c>
      <c r="V209">
        <f t="shared" si="14"/>
        <v>5150000000000</v>
      </c>
      <c r="W209">
        <f t="shared" si="15"/>
        <v>9638000000000</v>
      </c>
    </row>
    <row r="210" spans="1:23" x14ac:dyDescent="0.2">
      <c r="A210">
        <f>IF(D210="USD",VLOOKUP(VALUE(RIGHT(E210,4)),'USD RUB'!$E:$F,2,FALSE),1)</f>
        <v>1</v>
      </c>
      <c r="B210" s="4">
        <v>1</v>
      </c>
      <c r="C210">
        <v>1000000000</v>
      </c>
      <c r="D210" t="s">
        <v>20</v>
      </c>
      <c r="E210" s="1" t="s">
        <v>226</v>
      </c>
      <c r="F210">
        <v>787000000000</v>
      </c>
      <c r="G210">
        <v>2076000000000</v>
      </c>
      <c r="H210">
        <v>6036000000000</v>
      </c>
      <c r="J210">
        <v>9485000000000</v>
      </c>
      <c r="K210">
        <v>1776000000000</v>
      </c>
      <c r="L210">
        <v>4472000000000</v>
      </c>
      <c r="M210">
        <v>3150000000000</v>
      </c>
      <c r="N210">
        <v>3237000000000</v>
      </c>
      <c r="O210">
        <v>3503000000000</v>
      </c>
      <c r="P210">
        <v>469000000000</v>
      </c>
      <c r="Q210">
        <v>189000000000</v>
      </c>
      <c r="R210">
        <v>135000000000</v>
      </c>
      <c r="T210">
        <v>913000000000</v>
      </c>
      <c r="U210">
        <v>475000000000</v>
      </c>
      <c r="V210">
        <f t="shared" si="14"/>
        <v>3866000000000</v>
      </c>
      <c r="W210">
        <f t="shared" si="15"/>
        <v>9425000000000</v>
      </c>
    </row>
    <row r="211" spans="1:23" x14ac:dyDescent="0.2">
      <c r="A211">
        <f>IF(D211="USD",VLOOKUP(VALUE(RIGHT(E211,4)),'USD RUB'!$E:$F,2,FALSE),1)</f>
        <v>1</v>
      </c>
      <c r="B211" s="4">
        <v>1</v>
      </c>
      <c r="C211">
        <v>1000000000</v>
      </c>
      <c r="D211" t="s">
        <v>20</v>
      </c>
      <c r="E211" s="1" t="s">
        <v>227</v>
      </c>
      <c r="F211">
        <v>795000000000</v>
      </c>
      <c r="G211">
        <v>2229000000000</v>
      </c>
      <c r="H211">
        <v>5969000000000</v>
      </c>
      <c r="J211">
        <v>9555000000000</v>
      </c>
      <c r="K211">
        <v>1796000000000</v>
      </c>
      <c r="L211">
        <v>4606000000000</v>
      </c>
      <c r="M211">
        <v>3124000000000</v>
      </c>
      <c r="N211">
        <v>3153000000000</v>
      </c>
      <c r="O211">
        <v>2280000000000</v>
      </c>
      <c r="P211">
        <v>329000000000</v>
      </c>
      <c r="Q211">
        <v>139000000000</v>
      </c>
      <c r="R211">
        <v>105000000000</v>
      </c>
      <c r="T211">
        <v>621000000000</v>
      </c>
      <c r="U211">
        <v>308000000000</v>
      </c>
      <c r="V211">
        <f t="shared" si="14"/>
        <v>2600000000000</v>
      </c>
      <c r="W211">
        <f t="shared" si="15"/>
        <v>8506000000000</v>
      </c>
    </row>
    <row r="212" spans="1:23" x14ac:dyDescent="0.2">
      <c r="A212">
        <f>IF(D212="USD",VLOOKUP(VALUE(RIGHT(E212,4)),'USD RUB'!$E:$F,2,FALSE),1)</f>
        <v>1</v>
      </c>
      <c r="B212" s="4">
        <v>1</v>
      </c>
      <c r="C212">
        <v>1000000000</v>
      </c>
      <c r="D212" t="s">
        <v>20</v>
      </c>
      <c r="E212" s="1" t="s">
        <v>228</v>
      </c>
      <c r="F212">
        <v>882000000000</v>
      </c>
      <c r="G212">
        <v>2298000000000</v>
      </c>
      <c r="H212">
        <v>5940000000000</v>
      </c>
      <c r="J212">
        <v>9580000000000</v>
      </c>
      <c r="K212">
        <v>1763000000000</v>
      </c>
      <c r="L212">
        <v>4765000000000</v>
      </c>
      <c r="M212">
        <v>3160000000000</v>
      </c>
      <c r="N212">
        <v>3052000000000</v>
      </c>
      <c r="O212">
        <v>1048000000000</v>
      </c>
      <c r="P212">
        <v>122000000000</v>
      </c>
      <c r="Q212">
        <v>17000000000</v>
      </c>
      <c r="R212">
        <v>14000000000</v>
      </c>
      <c r="T212">
        <v>273000000000</v>
      </c>
      <c r="U212">
        <v>154000000000</v>
      </c>
      <c r="V212">
        <f t="shared" si="14"/>
        <v>1288000000000</v>
      </c>
      <c r="W212">
        <f t="shared" si="15"/>
        <v>8517000000000</v>
      </c>
    </row>
    <row r="213" spans="1:23" x14ac:dyDescent="0.2">
      <c r="A213">
        <f>IF(D213="USD",VLOOKUP(VALUE(RIGHT(E213,4)),'USD RUB'!$E:$F,2,FALSE),1)</f>
        <v>1</v>
      </c>
      <c r="B213" s="4">
        <v>1</v>
      </c>
      <c r="C213">
        <v>1000000000</v>
      </c>
      <c r="D213" t="s">
        <v>20</v>
      </c>
      <c r="E213" s="1" t="s">
        <v>229</v>
      </c>
      <c r="F213">
        <v>559000000000</v>
      </c>
      <c r="G213">
        <v>2404000000000</v>
      </c>
      <c r="H213">
        <v>5895000000000</v>
      </c>
      <c r="J213">
        <v>9638000000000</v>
      </c>
      <c r="K213">
        <v>1817000000000</v>
      </c>
      <c r="L213">
        <v>4892000000000</v>
      </c>
      <c r="M213">
        <v>3146000000000</v>
      </c>
      <c r="N213">
        <v>2929000000000</v>
      </c>
      <c r="O213">
        <v>5150000000000</v>
      </c>
      <c r="P213">
        <v>708000000000</v>
      </c>
      <c r="Q213">
        <v>460000000000</v>
      </c>
      <c r="R213">
        <v>356000000000</v>
      </c>
      <c r="T213">
        <v>1245000000000</v>
      </c>
      <c r="U213">
        <v>595000000000</v>
      </c>
      <c r="V213">
        <f t="shared" si="14"/>
        <v>5503000000000</v>
      </c>
      <c r="W213">
        <f t="shared" si="15"/>
        <v>8736000000000</v>
      </c>
    </row>
    <row r="214" spans="1:23" x14ac:dyDescent="0.2">
      <c r="A214">
        <f>IF(D214="USD",VLOOKUP(VALUE(RIGHT(E214,4)),'USD RUB'!$E:$F,2,FALSE),1)</f>
        <v>1</v>
      </c>
      <c r="B214" s="4">
        <v>1</v>
      </c>
      <c r="C214">
        <v>1000000000</v>
      </c>
      <c r="D214" t="s">
        <v>20</v>
      </c>
      <c r="E214" s="1" t="s">
        <v>230</v>
      </c>
      <c r="F214">
        <v>657000000000</v>
      </c>
      <c r="G214">
        <v>2526000000000</v>
      </c>
      <c r="H214">
        <v>5850000000000</v>
      </c>
      <c r="J214">
        <v>9425000000000</v>
      </c>
      <c r="K214">
        <v>1775000000000</v>
      </c>
      <c r="L214">
        <v>4742000000000</v>
      </c>
      <c r="M214">
        <v>3093000000000</v>
      </c>
      <c r="N214">
        <v>2908000000000</v>
      </c>
      <c r="O214">
        <v>3866000000000</v>
      </c>
      <c r="P214">
        <v>455000000000</v>
      </c>
      <c r="Q214">
        <v>381000000000</v>
      </c>
      <c r="R214">
        <v>303000000000</v>
      </c>
      <c r="T214">
        <v>820000000000</v>
      </c>
      <c r="U214">
        <v>409000000000</v>
      </c>
      <c r="V214">
        <f t="shared" si="14"/>
        <v>4192000000000</v>
      </c>
      <c r="W214">
        <f t="shared" si="15"/>
        <v>8232000000000</v>
      </c>
    </row>
    <row r="215" spans="1:23" x14ac:dyDescent="0.2">
      <c r="A215">
        <f>IF(D215="USD",VLOOKUP(VALUE(RIGHT(E215,4)),'USD RUB'!$E:$F,2,FALSE),1)</f>
        <v>1</v>
      </c>
      <c r="B215" s="4">
        <v>1</v>
      </c>
      <c r="C215">
        <v>1000000000</v>
      </c>
      <c r="D215" t="s">
        <v>20</v>
      </c>
      <c r="E215" s="1" t="s">
        <v>231</v>
      </c>
      <c r="F215">
        <v>213000000000</v>
      </c>
      <c r="G215">
        <v>1828000000000</v>
      </c>
      <c r="H215">
        <v>5725000000000</v>
      </c>
      <c r="J215">
        <v>8506000000000</v>
      </c>
      <c r="K215">
        <v>1893000000000</v>
      </c>
      <c r="L215">
        <v>3572000000000</v>
      </c>
      <c r="M215">
        <v>2981000000000</v>
      </c>
      <c r="N215">
        <v>3041000000000</v>
      </c>
      <c r="O215">
        <v>2600000000000</v>
      </c>
      <c r="P215">
        <v>332000000000</v>
      </c>
      <c r="Q215">
        <v>239000000000</v>
      </c>
      <c r="R215">
        <v>190000000000</v>
      </c>
      <c r="T215">
        <v>576000000000</v>
      </c>
      <c r="U215">
        <v>269000000000</v>
      </c>
      <c r="V215">
        <f t="shared" si="14"/>
        <v>1435000000000</v>
      </c>
      <c r="W215">
        <f t="shared" si="15"/>
        <v>7908000000000</v>
      </c>
    </row>
    <row r="216" spans="1:23" x14ac:dyDescent="0.2">
      <c r="A216">
        <f>IF(D216="USD",VLOOKUP(VALUE(RIGHT(E216,4)),'USD RUB'!$E:$F,2,FALSE),1)</f>
        <v>1</v>
      </c>
      <c r="B216" s="4">
        <v>1</v>
      </c>
      <c r="C216">
        <v>1000000000</v>
      </c>
      <c r="D216" t="s">
        <v>20</v>
      </c>
      <c r="E216" s="1" t="s">
        <v>232</v>
      </c>
      <c r="F216">
        <v>126000000000</v>
      </c>
      <c r="G216">
        <v>1849000000000</v>
      </c>
      <c r="H216">
        <v>5699000000000</v>
      </c>
      <c r="J216">
        <v>8517000000000</v>
      </c>
      <c r="K216">
        <v>1873000000000</v>
      </c>
      <c r="L216">
        <v>3746000000000</v>
      </c>
      <c r="M216">
        <v>2934000000000</v>
      </c>
      <c r="N216">
        <v>2898000000000</v>
      </c>
      <c r="O216">
        <v>1288000000000</v>
      </c>
      <c r="P216">
        <v>144000000000</v>
      </c>
      <c r="Q216">
        <v>71000000000</v>
      </c>
      <c r="R216">
        <v>56000000000</v>
      </c>
      <c r="T216">
        <v>265000000000</v>
      </c>
      <c r="U216">
        <v>128000000000</v>
      </c>
      <c r="V216">
        <f t="shared" si="14"/>
        <v>1375000000000</v>
      </c>
      <c r="W216">
        <f t="shared" si="15"/>
        <v>7893000000000</v>
      </c>
    </row>
    <row r="217" spans="1:23" x14ac:dyDescent="0.2">
      <c r="A217">
        <f>IF(D217="USD",VLOOKUP(VALUE(RIGHT(E217,4)),'USD RUB'!$E:$F,2,FALSE),1)</f>
        <v>1</v>
      </c>
      <c r="B217" s="4">
        <v>1</v>
      </c>
      <c r="C217">
        <v>1000000000</v>
      </c>
      <c r="D217" t="s">
        <v>20</v>
      </c>
      <c r="E217" s="1" t="s">
        <v>233</v>
      </c>
      <c r="F217">
        <v>216000000000</v>
      </c>
      <c r="G217">
        <v>2131000000000</v>
      </c>
      <c r="H217">
        <v>5666000000000</v>
      </c>
      <c r="J217">
        <v>8736000000000</v>
      </c>
      <c r="K217">
        <v>2031000000000</v>
      </c>
      <c r="L217">
        <v>3824000000000</v>
      </c>
      <c r="M217">
        <v>2878000000000</v>
      </c>
      <c r="N217">
        <v>2881000000000</v>
      </c>
      <c r="O217">
        <v>5503000000000</v>
      </c>
      <c r="P217">
        <v>593000000000</v>
      </c>
      <c r="Q217">
        <v>478000000000</v>
      </c>
      <c r="R217">
        <v>350000000000</v>
      </c>
      <c r="T217">
        <v>1057000000000</v>
      </c>
      <c r="U217">
        <v>533000000000</v>
      </c>
      <c r="V217">
        <f t="shared" si="14"/>
        <v>4694000000000</v>
      </c>
      <c r="W217">
        <f t="shared" si="15"/>
        <v>7538000000000</v>
      </c>
    </row>
    <row r="218" spans="1:23" x14ac:dyDescent="0.2">
      <c r="A218">
        <f>IF(D218="USD",VLOOKUP(VALUE(RIGHT(E218,4)),'USD RUB'!$E:$F,2,FALSE),1)</f>
        <v>1</v>
      </c>
      <c r="B218" s="4">
        <v>1</v>
      </c>
      <c r="C218">
        <v>1000000000</v>
      </c>
      <c r="D218" t="s">
        <v>20</v>
      </c>
      <c r="E218" s="1" t="s">
        <v>234</v>
      </c>
      <c r="F218">
        <v>139000000000</v>
      </c>
      <c r="G218">
        <v>1916000000000</v>
      </c>
      <c r="H218">
        <v>5561000000000</v>
      </c>
      <c r="J218">
        <v>8232000000000</v>
      </c>
      <c r="K218">
        <v>1789000000000</v>
      </c>
      <c r="L218">
        <v>3191000000000</v>
      </c>
      <c r="M218">
        <v>2790000000000</v>
      </c>
      <c r="N218">
        <v>3252000000000</v>
      </c>
      <c r="O218">
        <v>4192000000000</v>
      </c>
      <c r="P218">
        <v>539000000000</v>
      </c>
      <c r="Q218">
        <v>326000000000</v>
      </c>
      <c r="R218">
        <v>261000000000</v>
      </c>
      <c r="T218">
        <v>869000000000</v>
      </c>
      <c r="U218">
        <v>370000000000</v>
      </c>
      <c r="V218">
        <f t="shared" si="14"/>
        <v>3344000000000</v>
      </c>
      <c r="W218">
        <f t="shared" si="15"/>
        <v>7204000000000</v>
      </c>
    </row>
    <row r="219" spans="1:23" x14ac:dyDescent="0.2">
      <c r="A219">
        <f>IF(D219="USD",VLOOKUP(VALUE(RIGHT(E219,4)),'USD RUB'!$E:$F,2,FALSE),1)</f>
        <v>1</v>
      </c>
      <c r="B219" s="4">
        <v>1</v>
      </c>
      <c r="C219">
        <v>1000000000</v>
      </c>
      <c r="D219" t="s">
        <v>20</v>
      </c>
      <c r="E219" s="1" t="s">
        <v>235</v>
      </c>
      <c r="F219">
        <v>142000000000</v>
      </c>
      <c r="G219">
        <v>1710000000000</v>
      </c>
      <c r="H219">
        <v>5500000000000</v>
      </c>
      <c r="J219">
        <v>7908000000000</v>
      </c>
      <c r="K219">
        <v>1622000000000</v>
      </c>
      <c r="L219">
        <v>2999000000000</v>
      </c>
      <c r="M219">
        <v>2783000000000</v>
      </c>
      <c r="N219">
        <v>3287000000000</v>
      </c>
      <c r="O219">
        <v>1435000000000</v>
      </c>
      <c r="P219">
        <v>1240000000000</v>
      </c>
      <c r="Q219">
        <v>214000000000</v>
      </c>
      <c r="R219">
        <v>172000000000</v>
      </c>
      <c r="T219">
        <v>593000000000</v>
      </c>
      <c r="U219">
        <v>237000000000</v>
      </c>
      <c r="V219">
        <f t="shared" si="14"/>
        <v>1988000000000</v>
      </c>
      <c r="W219">
        <f t="shared" si="15"/>
        <v>6802000000000</v>
      </c>
    </row>
    <row r="220" spans="1:23" x14ac:dyDescent="0.2">
      <c r="A220">
        <f>IF(D220="USD",VLOOKUP(VALUE(RIGHT(E220,4)),'USD RUB'!$E:$F,2,FALSE),1)</f>
        <v>1</v>
      </c>
      <c r="B220" s="4">
        <v>1</v>
      </c>
      <c r="C220">
        <v>1000000000</v>
      </c>
      <c r="D220" t="s">
        <v>20</v>
      </c>
      <c r="E220" s="1" t="s">
        <v>236</v>
      </c>
      <c r="F220">
        <v>221000000000</v>
      </c>
      <c r="G220">
        <v>1786000000000</v>
      </c>
      <c r="H220">
        <v>5351000000000</v>
      </c>
      <c r="J220">
        <v>7893000000000</v>
      </c>
      <c r="K220">
        <v>1489000000000</v>
      </c>
      <c r="L220">
        <v>3163000000000</v>
      </c>
      <c r="M220">
        <v>2748000000000</v>
      </c>
      <c r="N220">
        <v>3241000000000</v>
      </c>
      <c r="O220">
        <v>1375000000000</v>
      </c>
      <c r="P220">
        <v>184000000000</v>
      </c>
      <c r="Q220">
        <v>110000000000</v>
      </c>
      <c r="R220">
        <v>88000000000</v>
      </c>
      <c r="T220">
        <v>289000000000</v>
      </c>
      <c r="U220">
        <v>104000000000</v>
      </c>
      <c r="V220">
        <f t="shared" si="14"/>
        <v>812000000000</v>
      </c>
      <c r="W220">
        <f t="shared" si="15"/>
        <v>6559000000000</v>
      </c>
    </row>
    <row r="221" spans="1:23" x14ac:dyDescent="0.2">
      <c r="A221">
        <f>IF(D221="USD",VLOOKUP(VALUE(RIGHT(E221,4)),'USD RUB'!$E:$F,2,FALSE),1)</f>
        <v>1</v>
      </c>
      <c r="B221" s="4">
        <v>1</v>
      </c>
      <c r="C221">
        <v>1000000000</v>
      </c>
      <c r="D221" t="s">
        <v>20</v>
      </c>
      <c r="E221" s="1" t="s">
        <v>237</v>
      </c>
      <c r="F221">
        <v>275000000000</v>
      </c>
      <c r="G221">
        <v>1455000000000</v>
      </c>
      <c r="H221">
        <v>5330000000000</v>
      </c>
      <c r="J221">
        <v>7538000000000</v>
      </c>
      <c r="K221">
        <v>1387000000000</v>
      </c>
      <c r="L221">
        <v>2986000000000</v>
      </c>
      <c r="M221">
        <f>2662*C221</f>
        <v>2662000000000</v>
      </c>
      <c r="N221">
        <v>3165000000000</v>
      </c>
      <c r="O221">
        <v>4694000000000</v>
      </c>
      <c r="P221">
        <v>555000000000</v>
      </c>
      <c r="Q221">
        <v>632000000000</v>
      </c>
      <c r="R221">
        <v>551000000000</v>
      </c>
      <c r="T221">
        <v>947000000000</v>
      </c>
      <c r="V221">
        <f t="shared" si="14"/>
        <v>3078000000000</v>
      </c>
      <c r="W221">
        <f t="shared" si="15"/>
        <v>3858000000000</v>
      </c>
    </row>
    <row r="222" spans="1:23" x14ac:dyDescent="0.2">
      <c r="A222">
        <f>IF(D222="USD",VLOOKUP(VALUE(RIGHT(E222,4)),'USD RUB'!$E:$F,2,FALSE),1)</f>
        <v>1</v>
      </c>
      <c r="B222" s="4">
        <v>1</v>
      </c>
      <c r="C222">
        <v>1000000000</v>
      </c>
      <c r="D222" t="s">
        <v>20</v>
      </c>
      <c r="E222" s="1" t="s">
        <v>238</v>
      </c>
      <c r="F222">
        <v>246000000000</v>
      </c>
      <c r="G222">
        <v>1402000000000</v>
      </c>
      <c r="H222">
        <v>5097000000000</v>
      </c>
      <c r="J222">
        <v>7204000000000</v>
      </c>
      <c r="K222">
        <v>1059000000000</v>
      </c>
      <c r="L222">
        <v>2960000000000</v>
      </c>
      <c r="N222">
        <v>3185000000000</v>
      </c>
      <c r="O222">
        <v>3344000000000</v>
      </c>
      <c r="P222">
        <v>405000000000</v>
      </c>
      <c r="Q222">
        <v>483000000000</v>
      </c>
      <c r="R222">
        <v>417000000000</v>
      </c>
      <c r="T222">
        <v>674000000000</v>
      </c>
      <c r="V222">
        <f t="shared" si="14"/>
        <v>2268000000000</v>
      </c>
      <c r="W222">
        <f t="shared" si="15"/>
        <v>3783000000000</v>
      </c>
    </row>
    <row r="223" spans="1:23" x14ac:dyDescent="0.2">
      <c r="A223">
        <f>IF(D223="USD",VLOOKUP(VALUE(RIGHT(E223,4)),'USD RUB'!$E:$F,2,FALSE),1)</f>
        <v>1</v>
      </c>
      <c r="B223" s="4">
        <v>1</v>
      </c>
      <c r="C223">
        <v>1000000000</v>
      </c>
      <c r="D223" t="s">
        <v>20</v>
      </c>
      <c r="E223" s="1" t="s">
        <v>239</v>
      </c>
      <c r="F223">
        <v>346000000000</v>
      </c>
      <c r="G223">
        <v>1307000000000</v>
      </c>
      <c r="H223">
        <v>4674000000000</v>
      </c>
      <c r="J223">
        <v>6802000000000</v>
      </c>
      <c r="K223">
        <v>1080000000000</v>
      </c>
      <c r="L223">
        <v>2947000000000</v>
      </c>
      <c r="N223">
        <v>2775000000000</v>
      </c>
      <c r="O223">
        <v>1988000000000</v>
      </c>
      <c r="P223">
        <v>222000000000</v>
      </c>
      <c r="Q223">
        <v>163000000000</v>
      </c>
      <c r="R223">
        <v>137000000000</v>
      </c>
      <c r="T223">
        <v>371000000000</v>
      </c>
      <c r="V223">
        <f t="shared" si="14"/>
        <v>1466000000000</v>
      </c>
      <c r="W223">
        <f t="shared" si="15"/>
        <v>3518000000000</v>
      </c>
    </row>
    <row r="224" spans="1:23" x14ac:dyDescent="0.2">
      <c r="A224">
        <f>IF(D224="USD",VLOOKUP(VALUE(RIGHT(E224,4)),'USD RUB'!$E:$F,2,FALSE),1)</f>
        <v>1</v>
      </c>
      <c r="B224" s="4">
        <v>1</v>
      </c>
      <c r="C224">
        <v>1000000000</v>
      </c>
      <c r="D224" t="s">
        <v>20</v>
      </c>
      <c r="E224" s="1" t="s">
        <v>240</v>
      </c>
      <c r="F224">
        <v>318000000000</v>
      </c>
      <c r="G224">
        <v>1144000000000</v>
      </c>
      <c r="H224">
        <v>4601000000000</v>
      </c>
      <c r="J224">
        <v>6559000000000</v>
      </c>
      <c r="K224">
        <v>973000000000</v>
      </c>
      <c r="L224">
        <v>2748000000000</v>
      </c>
      <c r="N224">
        <v>2838000000000</v>
      </c>
      <c r="O224">
        <v>812000000000</v>
      </c>
      <c r="P224">
        <v>100000000000</v>
      </c>
      <c r="Q224">
        <v>118000000000</v>
      </c>
      <c r="R224">
        <v>102000000000</v>
      </c>
      <c r="T224">
        <v>371000000000</v>
      </c>
      <c r="V224">
        <f t="shared" si="14"/>
        <v>748000000000</v>
      </c>
      <c r="W224">
        <f t="shared" si="15"/>
        <v>3454000000000</v>
      </c>
    </row>
    <row r="225" spans="1:23" x14ac:dyDescent="0.2">
      <c r="A225">
        <f>IF(D225="USD",VLOOKUP(VALUE(RIGHT(E225,4)),'USD RUB'!$E:$F,2,FALSE),1)</f>
        <v>1</v>
      </c>
      <c r="B225" s="4">
        <v>1</v>
      </c>
      <c r="C225">
        <v>1000000000</v>
      </c>
      <c r="D225" t="s">
        <v>20</v>
      </c>
      <c r="E225" s="1" t="s">
        <v>241</v>
      </c>
      <c r="F225">
        <v>296000000000</v>
      </c>
      <c r="G225">
        <v>920000000000</v>
      </c>
      <c r="H225">
        <v>2461000000000</v>
      </c>
      <c r="J225">
        <v>3858000000000</v>
      </c>
      <c r="K225">
        <v>427000000000</v>
      </c>
      <c r="L225">
        <v>1165000000000</v>
      </c>
      <c r="M225">
        <f>2147*C225</f>
        <v>2147000000000</v>
      </c>
      <c r="N225">
        <v>2266000000000</v>
      </c>
      <c r="O225">
        <v>3078000000000</v>
      </c>
      <c r="P225">
        <v>382000000000</v>
      </c>
      <c r="Q225">
        <v>437000000000</v>
      </c>
      <c r="R225">
        <v>342000000000</v>
      </c>
      <c r="T225">
        <v>609000000000</v>
      </c>
      <c r="V225">
        <f t="shared" si="14"/>
        <v>2702000000000</v>
      </c>
      <c r="W225">
        <f t="shared" si="15"/>
        <v>3377000000000</v>
      </c>
    </row>
    <row r="226" spans="1:23" x14ac:dyDescent="0.2">
      <c r="A226">
        <f>IF(D226="USD",VLOOKUP(VALUE(RIGHT(E226,4)),'USD RUB'!$E:$F,2,FALSE),1)</f>
        <v>1</v>
      </c>
      <c r="B226" s="4">
        <v>1</v>
      </c>
      <c r="C226">
        <v>1000000000</v>
      </c>
      <c r="D226" t="s">
        <v>20</v>
      </c>
      <c r="E226" s="1" t="s">
        <v>242</v>
      </c>
      <c r="F226">
        <v>240000000000</v>
      </c>
      <c r="G226">
        <v>901000000000</v>
      </c>
      <c r="H226">
        <v>2399000000000</v>
      </c>
      <c r="J226">
        <v>3783000000000</v>
      </c>
      <c r="K226">
        <v>448000000000</v>
      </c>
      <c r="L226">
        <v>1079000000000</v>
      </c>
      <c r="N226">
        <v>2256000000000</v>
      </c>
      <c r="O226">
        <v>2268000000000</v>
      </c>
      <c r="P226">
        <v>279000000000</v>
      </c>
      <c r="Q226">
        <v>363000000000</v>
      </c>
      <c r="R226">
        <v>285000000000</v>
      </c>
      <c r="T226">
        <v>445000000000</v>
      </c>
      <c r="V226">
        <f t="shared" si="14"/>
        <v>2000071212276.9231</v>
      </c>
      <c r="W226">
        <f t="shared" si="15"/>
        <v>3007457427069.231</v>
      </c>
    </row>
    <row r="227" spans="1:23" x14ac:dyDescent="0.2">
      <c r="A227">
        <f>IF(D227="USD",VLOOKUP(VALUE(RIGHT(E227,4)),'USD RUB'!$E:$F,2,FALSE),1)</f>
        <v>1</v>
      </c>
      <c r="B227" s="4">
        <v>1</v>
      </c>
      <c r="C227">
        <v>1000000000</v>
      </c>
      <c r="D227" t="s">
        <v>20</v>
      </c>
      <c r="E227" s="1" t="s">
        <v>243</v>
      </c>
      <c r="F227">
        <v>138000000000</v>
      </c>
      <c r="G227">
        <v>765000000000</v>
      </c>
      <c r="H227">
        <v>2376000000000</v>
      </c>
      <c r="J227">
        <v>3518000000000</v>
      </c>
      <c r="K227">
        <v>455000000000</v>
      </c>
      <c r="L227">
        <v>997000000000</v>
      </c>
      <c r="N227">
        <v>2066000000000</v>
      </c>
      <c r="O227">
        <v>1466000000000</v>
      </c>
      <c r="P227">
        <v>147000000000</v>
      </c>
      <c r="Q227">
        <v>132000000000</v>
      </c>
      <c r="R227">
        <v>104000000000</v>
      </c>
      <c r="T227">
        <v>254000000000</v>
      </c>
      <c r="V227">
        <f t="shared" si="14"/>
        <v>1275977455003.8462</v>
      </c>
      <c r="W227">
        <f t="shared" si="15"/>
        <v>3013455523730.7695</v>
      </c>
    </row>
    <row r="228" spans="1:23" x14ac:dyDescent="0.2">
      <c r="A228">
        <f>IF(D228="USD",VLOOKUP(VALUE(RIGHT(E228,4)),'USD RUB'!$E:$F,2,FALSE),1)</f>
        <v>1</v>
      </c>
      <c r="B228" s="4">
        <v>1</v>
      </c>
      <c r="C228">
        <v>1000000000</v>
      </c>
      <c r="D228" t="s">
        <v>20</v>
      </c>
      <c r="E228" s="1" t="s">
        <v>244</v>
      </c>
      <c r="F228">
        <v>113000000000</v>
      </c>
      <c r="G228">
        <v>791000000000</v>
      </c>
      <c r="H228">
        <v>2302000000000</v>
      </c>
      <c r="J228">
        <v>3454000000000</v>
      </c>
      <c r="K228">
        <v>438000000000</v>
      </c>
      <c r="L228">
        <v>836000000000</v>
      </c>
      <c r="N228">
        <v>2180000000000</v>
      </c>
      <c r="O228">
        <v>748000000000</v>
      </c>
      <c r="P228">
        <v>111000000000</v>
      </c>
      <c r="Q228">
        <v>143000000000</v>
      </c>
      <c r="R228">
        <v>112000000000</v>
      </c>
      <c r="T228">
        <v>165000000000</v>
      </c>
      <c r="V228">
        <f t="shared" si="14"/>
        <v>591665191765.38464</v>
      </c>
      <c r="W228">
        <f t="shared" si="15"/>
        <v>2924219134673.0771</v>
      </c>
    </row>
    <row r="229" spans="1:23" s="17" customFormat="1" x14ac:dyDescent="0.2">
      <c r="A229" s="17">
        <f>IF(D229="USD",VLOOKUP(VALUE(RIGHT(E229,4)),'USD RUB'!$E:$F,2,FALSE),1)</f>
        <v>1</v>
      </c>
      <c r="B229" s="18">
        <v>1</v>
      </c>
      <c r="C229" s="17">
        <v>1000000000</v>
      </c>
      <c r="D229" s="17" t="s">
        <v>20</v>
      </c>
      <c r="E229" s="19" t="s">
        <v>245</v>
      </c>
      <c r="F229" s="17">
        <f>(166)*1000000000</f>
        <v>166000000000</v>
      </c>
      <c r="G229" s="17">
        <f>(815)*1000000000</f>
        <v>815000000000</v>
      </c>
      <c r="H229" s="17">
        <f>(2231)*1000000000</f>
        <v>2231000000000</v>
      </c>
      <c r="J229" s="17">
        <f>(3377)*1000000000</f>
        <v>3377000000000</v>
      </c>
      <c r="K229" s="17">
        <f>(414)*1000000000</f>
        <v>414000000000</v>
      </c>
      <c r="L229" s="17">
        <f>(894)*1000000000</f>
        <v>894000000000</v>
      </c>
      <c r="M229" s="17">
        <f>(1877)*1000000000</f>
        <v>1877000000000</v>
      </c>
      <c r="N229" s="17">
        <f>(2069)*1000000000</f>
        <v>2069000000000</v>
      </c>
      <c r="O229" s="17">
        <f>(2702)*1000000000</f>
        <v>2702000000000</v>
      </c>
      <c r="P229" s="17">
        <f>(433)*1000000000</f>
        <v>433000000000</v>
      </c>
      <c r="Q229" s="17">
        <f>(405)*1000000000</f>
        <v>405000000000</v>
      </c>
      <c r="R229" s="17">
        <f>(319)*1000000000</f>
        <v>319000000000</v>
      </c>
      <c r="V229" s="17">
        <f>1915*10^9</f>
        <v>1915000000000</v>
      </c>
      <c r="W229" s="17">
        <f>3015*10^9</f>
        <v>3015000000000</v>
      </c>
    </row>
    <row r="230" spans="1:23" x14ac:dyDescent="0.2">
      <c r="A230">
        <f>IF(D230="USD",VLOOKUP(VALUE(RIGHT(E230,4)),'USD RUB'!$E:$F,2,FALSE),1)</f>
        <v>29.402434615384617</v>
      </c>
      <c r="B230" s="4">
        <v>29.402434615384617</v>
      </c>
      <c r="C230">
        <v>1000000</v>
      </c>
      <c r="D230" t="s">
        <v>111</v>
      </c>
      <c r="E230" s="1" t="s">
        <v>246</v>
      </c>
      <c r="F230">
        <v>116698262988.46155</v>
      </c>
      <c r="G230">
        <v>729386195503.84619</v>
      </c>
      <c r="H230">
        <v>1931916368838.4617</v>
      </c>
      <c r="J230">
        <v>3007457427069.231</v>
      </c>
      <c r="K230">
        <v>410075755580.76929</v>
      </c>
      <c r="L230">
        <v>713479478376.9231</v>
      </c>
      <c r="N230">
        <v>1883902193111.5386</v>
      </c>
      <c r="O230">
        <v>2000071212276.9231</v>
      </c>
      <c r="P230">
        <v>375792516819.23077</v>
      </c>
      <c r="Q230">
        <v>361150104380.76923</v>
      </c>
      <c r="R230">
        <v>281998750396.15387</v>
      </c>
      <c r="T230">
        <v>508662118846.15387</v>
      </c>
      <c r="V230" t="str">
        <f t="shared" ref="V230:V261" si="16">_xlfn.XLOOKUP(LEFT(E230,LEN(E230)-4)&amp;(VALUE(RIGHT(E230,4))-1),$E:$E,$O:$O,"")</f>
        <v/>
      </c>
      <c r="W230" t="str">
        <f t="shared" ref="W230:W261" si="17">_xlfn.XLOOKUP(LEFT(E230,LEN(E230)-4)&amp;(VALUE(RIGHT(E230,4))-1),$E:$E,$J:$J,"")</f>
        <v/>
      </c>
    </row>
    <row r="231" spans="1:23" x14ac:dyDescent="0.2">
      <c r="A231">
        <f>IF(D231="USD",VLOOKUP(VALUE(RIGHT(E231,4)),'USD RUB'!$E:$F,2,FALSE),1)</f>
        <v>29.402434615384617</v>
      </c>
      <c r="B231" s="4">
        <v>29.402434615384617</v>
      </c>
      <c r="C231">
        <v>1000000</v>
      </c>
      <c r="D231" t="s">
        <v>111</v>
      </c>
      <c r="E231" s="1" t="s">
        <v>247</v>
      </c>
      <c r="F231">
        <v>149246758107.69232</v>
      </c>
      <c r="G231">
        <v>757847752211.53857</v>
      </c>
      <c r="H231">
        <v>1908541433319.231</v>
      </c>
      <c r="J231">
        <v>3013455523730.7695</v>
      </c>
      <c r="K231">
        <v>449974859353.84619</v>
      </c>
      <c r="L231">
        <v>764110470784.61548</v>
      </c>
      <c r="N231">
        <v>1799370193592.3079</v>
      </c>
      <c r="O231">
        <v>1275977455003.8462</v>
      </c>
      <c r="P231">
        <v>267209325784.61542</v>
      </c>
      <c r="Q231">
        <v>260270351215.38464</v>
      </c>
      <c r="R231">
        <v>199142689650</v>
      </c>
      <c r="T231">
        <v>352829215384.61542</v>
      </c>
      <c r="V231" t="str">
        <f t="shared" si="16"/>
        <v/>
      </c>
      <c r="W231" t="str">
        <f t="shared" si="17"/>
        <v/>
      </c>
    </row>
    <row r="232" spans="1:23" x14ac:dyDescent="0.2">
      <c r="A232">
        <f>IF(D232="USD",VLOOKUP(VALUE(RIGHT(E232,4)),'USD RUB'!$E:$F,2,FALSE),1)</f>
        <v>29.402434615384617</v>
      </c>
      <c r="B232" s="4">
        <v>29.402434615384617</v>
      </c>
      <c r="C232">
        <v>1000000</v>
      </c>
      <c r="D232" t="s">
        <v>111</v>
      </c>
      <c r="E232" s="1" t="s">
        <v>248</v>
      </c>
      <c r="F232">
        <v>141366905630.76923</v>
      </c>
      <c r="G232">
        <v>784192333626.9231</v>
      </c>
      <c r="H232">
        <v>1843679662557.6924</v>
      </c>
      <c r="J232">
        <v>2924219134673.0771</v>
      </c>
      <c r="K232">
        <v>396609440526.9231</v>
      </c>
      <c r="L232">
        <v>781016870688.46155</v>
      </c>
      <c r="N232">
        <v>1746592823457.6924</v>
      </c>
      <c r="O232">
        <v>591665191765.38464</v>
      </c>
      <c r="P232">
        <v>152245806438.46155</v>
      </c>
      <c r="Q232">
        <v>150481660361.53848</v>
      </c>
      <c r="R232">
        <v>115904397253.84616</v>
      </c>
      <c r="T232">
        <v>196996311923.07693</v>
      </c>
      <c r="V232" t="str">
        <f t="shared" si="16"/>
        <v/>
      </c>
      <c r="W232" t="str">
        <f t="shared" si="17"/>
        <v/>
      </c>
    </row>
    <row r="233" spans="1:23" x14ac:dyDescent="0.2">
      <c r="A233">
        <f>IF(D233="USD",VLOOKUP(VALUE(RIGHT(E233,4)),'USD RUB'!$E:$F,2,FALSE),1)</f>
        <v>1</v>
      </c>
      <c r="B233" s="4">
        <v>1</v>
      </c>
      <c r="C233">
        <v>1000000</v>
      </c>
      <c r="D233" t="s">
        <v>20</v>
      </c>
      <c r="E233" s="1" t="s">
        <v>249</v>
      </c>
      <c r="F233">
        <v>147671000000</v>
      </c>
      <c r="G233">
        <v>2018797000000</v>
      </c>
      <c r="H233">
        <v>1786038000000</v>
      </c>
      <c r="I233">
        <v>9330000000</v>
      </c>
      <c r="J233">
        <v>8039888000000</v>
      </c>
      <c r="K233">
        <v>469738000000</v>
      </c>
      <c r="L233">
        <v>483409000000</v>
      </c>
      <c r="M233">
        <v>6871487000000</v>
      </c>
      <c r="N233">
        <v>7086741000000</v>
      </c>
      <c r="O233">
        <v>2245468000000</v>
      </c>
      <c r="P233">
        <v>534061000000</v>
      </c>
      <c r="Q233">
        <v>1618248000000</v>
      </c>
      <c r="R233">
        <v>1322113000000</v>
      </c>
      <c r="S233">
        <v>101599000000</v>
      </c>
      <c r="U233">
        <v>-264987000000</v>
      </c>
      <c r="V233">
        <f t="shared" si="16"/>
        <v>2355517000000</v>
      </c>
      <c r="W233">
        <f t="shared" si="17"/>
        <v>6488679000000</v>
      </c>
    </row>
    <row r="234" spans="1:23" x14ac:dyDescent="0.2">
      <c r="A234">
        <f>IF(D234="USD",VLOOKUP(VALUE(RIGHT(E234,4)),'USD RUB'!$E:$F,2,FALSE),1)</f>
        <v>1</v>
      </c>
      <c r="B234" s="4">
        <v>1</v>
      </c>
      <c r="C234">
        <v>1000000</v>
      </c>
      <c r="D234" t="s">
        <v>20</v>
      </c>
      <c r="E234" s="1" t="s">
        <v>250</v>
      </c>
      <c r="F234">
        <v>38783000000</v>
      </c>
      <c r="G234">
        <v>2257933000000</v>
      </c>
      <c r="H234">
        <v>1705268000000</v>
      </c>
      <c r="I234">
        <v>9632000000</v>
      </c>
      <c r="J234">
        <v>7409024000000</v>
      </c>
      <c r="K234">
        <v>341118000000</v>
      </c>
      <c r="L234">
        <v>460905000000</v>
      </c>
      <c r="M234">
        <v>6392478000000</v>
      </c>
      <c r="N234">
        <v>6607001000000</v>
      </c>
      <c r="O234">
        <v>917361000000</v>
      </c>
      <c r="P234">
        <v>236208000000</v>
      </c>
      <c r="Q234">
        <v>1031819000000</v>
      </c>
      <c r="R234">
        <v>841898000000</v>
      </c>
      <c r="S234">
        <v>51765000000</v>
      </c>
      <c r="U234">
        <v>-126743000000</v>
      </c>
      <c r="V234" t="str">
        <f t="shared" si="16"/>
        <v/>
      </c>
      <c r="W234" t="str">
        <f t="shared" si="17"/>
        <v/>
      </c>
    </row>
    <row r="235" spans="1:23" x14ac:dyDescent="0.2">
      <c r="A235">
        <f>IF(D235="USD",VLOOKUP(VALUE(RIGHT(E235,4)),'USD RUB'!$E:$F,2,FALSE),1)</f>
        <v>1</v>
      </c>
      <c r="B235" s="4">
        <v>1</v>
      </c>
      <c r="C235">
        <v>1000000</v>
      </c>
      <c r="D235" t="s">
        <v>20</v>
      </c>
      <c r="E235" s="1" t="s">
        <v>251</v>
      </c>
      <c r="F235">
        <v>137778000000</v>
      </c>
      <c r="G235">
        <v>2704305000000</v>
      </c>
      <c r="H235">
        <v>1635064000000</v>
      </c>
      <c r="I235">
        <v>9509000000</v>
      </c>
      <c r="J235">
        <v>6488679000000</v>
      </c>
      <c r="K235">
        <v>339175000000</v>
      </c>
      <c r="L235">
        <v>349613000000</v>
      </c>
      <c r="M235">
        <v>5585386000000</v>
      </c>
      <c r="N235">
        <v>5799891000000</v>
      </c>
      <c r="O235">
        <v>2355517000000</v>
      </c>
      <c r="P235">
        <v>654623000000</v>
      </c>
      <c r="Q235">
        <v>420566000000</v>
      </c>
      <c r="R235">
        <v>320560000000</v>
      </c>
      <c r="S235">
        <v>88819000000</v>
      </c>
      <c r="U235">
        <v>-226741000000</v>
      </c>
      <c r="V235" t="str">
        <f t="shared" si="16"/>
        <v/>
      </c>
      <c r="W235" t="str">
        <f t="shared" si="17"/>
        <v/>
      </c>
    </row>
    <row r="236" spans="1:23" x14ac:dyDescent="0.2">
      <c r="A236">
        <f>IF(D236="USD",VLOOKUP(VALUE(RIGHT(E236,4)),'USD RUB'!$E:$F,2,FALSE),1)</f>
        <v>1</v>
      </c>
      <c r="B236" s="4">
        <v>1</v>
      </c>
      <c r="C236">
        <v>1000000</v>
      </c>
      <c r="D236" t="s">
        <v>20</v>
      </c>
      <c r="E236" s="1" t="s">
        <v>252</v>
      </c>
      <c r="F236">
        <v>351944000000</v>
      </c>
      <c r="G236">
        <v>1796048000000</v>
      </c>
      <c r="H236">
        <v>1761836000000</v>
      </c>
      <c r="I236">
        <v>9747000000</v>
      </c>
      <c r="J236">
        <v>6103230000000</v>
      </c>
      <c r="K236">
        <v>375489000000</v>
      </c>
      <c r="L236">
        <v>490651000000</v>
      </c>
      <c r="M236">
        <v>5023202000000</v>
      </c>
      <c r="N236">
        <v>5237090000000</v>
      </c>
      <c r="O236">
        <v>855307000000</v>
      </c>
      <c r="P236">
        <v>202108000000</v>
      </c>
      <c r="Q236">
        <v>183694000000</v>
      </c>
      <c r="R236">
        <v>153037000000</v>
      </c>
      <c r="S236">
        <v>40103000000</v>
      </c>
      <c r="U236">
        <v>-79020000000</v>
      </c>
      <c r="V236">
        <f t="shared" si="16"/>
        <v>499455000000</v>
      </c>
      <c r="W236">
        <f t="shared" si="17"/>
        <v>5659490000000</v>
      </c>
    </row>
    <row r="237" spans="1:23" x14ac:dyDescent="0.2">
      <c r="A237">
        <f>IF(D237="USD",VLOOKUP(VALUE(RIGHT(E237,4)),'USD RUB'!$E:$F,2,FALSE),1)</f>
        <v>1</v>
      </c>
      <c r="B237" s="4">
        <v>1</v>
      </c>
      <c r="C237">
        <v>1000000</v>
      </c>
      <c r="D237" t="s">
        <v>20</v>
      </c>
      <c r="E237" s="1" t="s">
        <v>253</v>
      </c>
      <c r="F237">
        <v>179634000000</v>
      </c>
      <c r="G237">
        <v>1659455000000</v>
      </c>
      <c r="H237">
        <v>1726984000000</v>
      </c>
      <c r="I237">
        <v>9332000000</v>
      </c>
      <c r="J237">
        <v>5875687000000</v>
      </c>
      <c r="K237">
        <v>233712000000</v>
      </c>
      <c r="L237">
        <v>481567000000</v>
      </c>
      <c r="M237">
        <v>4946566000000</v>
      </c>
      <c r="N237">
        <v>5160408000000</v>
      </c>
      <c r="O237">
        <v>1075222000000</v>
      </c>
      <c r="P237">
        <v>165063000000</v>
      </c>
      <c r="Q237">
        <v>889309000000</v>
      </c>
      <c r="R237">
        <v>742909000000</v>
      </c>
      <c r="S237">
        <v>83777000000</v>
      </c>
      <c r="U237">
        <v>-171292000000</v>
      </c>
      <c r="V237">
        <f t="shared" si="16"/>
        <v>1570876000000</v>
      </c>
      <c r="W237">
        <f t="shared" si="17"/>
        <v>5267896000000</v>
      </c>
    </row>
    <row r="238" spans="1:23" x14ac:dyDescent="0.2">
      <c r="A238">
        <f>IF(D238="USD",VLOOKUP(VALUE(RIGHT(E238,4)),'USD RUB'!$E:$F,2,FALSE),1)</f>
        <v>1</v>
      </c>
      <c r="B238" s="4">
        <v>1</v>
      </c>
      <c r="C238">
        <v>1000000</v>
      </c>
      <c r="D238" t="s">
        <v>20</v>
      </c>
      <c r="E238" s="1" t="s">
        <v>254</v>
      </c>
      <c r="F238">
        <v>294468000000</v>
      </c>
      <c r="G238">
        <v>1550547000000</v>
      </c>
      <c r="H238">
        <v>1625811000000</v>
      </c>
      <c r="I238">
        <v>9463000000</v>
      </c>
      <c r="J238">
        <v>5659490000000</v>
      </c>
      <c r="K238">
        <v>395795000000</v>
      </c>
      <c r="L238">
        <v>406706000000</v>
      </c>
      <c r="M238">
        <v>4643337000000</v>
      </c>
      <c r="N238">
        <v>4856989000000</v>
      </c>
      <c r="O238">
        <v>499455000000</v>
      </c>
      <c r="P238">
        <v>48779000000</v>
      </c>
      <c r="Q238">
        <v>527052000000</v>
      </c>
      <c r="R238">
        <v>438779000000</v>
      </c>
      <c r="S238">
        <v>41709000000</v>
      </c>
      <c r="U238">
        <v>-82628000000</v>
      </c>
      <c r="V238">
        <f t="shared" si="16"/>
        <v>807368000000</v>
      </c>
      <c r="W238">
        <f t="shared" si="17"/>
        <v>5099345000000</v>
      </c>
    </row>
    <row r="239" spans="1:23" x14ac:dyDescent="0.2">
      <c r="A239">
        <f>IF(D239="USD",VLOOKUP(VALUE(RIGHT(E239,4)),'USD RUB'!$E:$F,2,FALSE),1)</f>
        <v>1</v>
      </c>
      <c r="B239" s="4">
        <v>1</v>
      </c>
      <c r="C239">
        <v>1000000</v>
      </c>
      <c r="D239" t="s">
        <v>20</v>
      </c>
      <c r="E239" s="1" t="s">
        <v>255</v>
      </c>
      <c r="F239">
        <v>398685000000</v>
      </c>
      <c r="G239">
        <v>1468990000000</v>
      </c>
      <c r="H239">
        <v>1591986000000</v>
      </c>
      <c r="I239">
        <v>9302000000</v>
      </c>
      <c r="J239">
        <v>5267896000000</v>
      </c>
      <c r="K239">
        <v>398744000000</v>
      </c>
      <c r="L239">
        <v>419774000000</v>
      </c>
      <c r="M239">
        <v>4235364000000</v>
      </c>
      <c r="N239">
        <v>4449378000000</v>
      </c>
      <c r="O239">
        <v>1570876000000</v>
      </c>
      <c r="P239">
        <v>393007000000</v>
      </c>
      <c r="Q239">
        <v>132935000000</v>
      </c>
      <c r="R239">
        <v>106197000000</v>
      </c>
      <c r="S239">
        <v>71072000000</v>
      </c>
      <c r="U239">
        <v>-159215000000</v>
      </c>
      <c r="V239">
        <f t="shared" si="16"/>
        <v>1555959000000</v>
      </c>
      <c r="W239">
        <f t="shared" si="17"/>
        <v>5135791000000</v>
      </c>
    </row>
    <row r="240" spans="1:23" x14ac:dyDescent="0.2">
      <c r="A240">
        <f>IF(D240="USD",VLOOKUP(VALUE(RIGHT(E240,4)),'USD RUB'!$E:$F,2,FALSE),1)</f>
        <v>1</v>
      </c>
      <c r="B240" s="4">
        <v>1</v>
      </c>
      <c r="C240">
        <v>1000000</v>
      </c>
      <c r="D240" t="s">
        <v>20</v>
      </c>
      <c r="E240" s="1" t="s">
        <v>256</v>
      </c>
      <c r="F240">
        <v>259131000000</v>
      </c>
      <c r="G240">
        <v>1483652000000</v>
      </c>
      <c r="H240">
        <v>1525700000000</v>
      </c>
      <c r="I240">
        <v>9054000000</v>
      </c>
      <c r="J240">
        <v>5099345000000</v>
      </c>
      <c r="K240">
        <v>419867000000</v>
      </c>
      <c r="L240">
        <v>351494000000</v>
      </c>
      <c r="M240">
        <v>4114583000000</v>
      </c>
      <c r="N240">
        <v>4327984000000</v>
      </c>
      <c r="O240">
        <v>807368000000</v>
      </c>
      <c r="P240">
        <v>222437000000</v>
      </c>
      <c r="Q240">
        <v>-18357000000</v>
      </c>
      <c r="R240">
        <v>-15520000000</v>
      </c>
      <c r="S240">
        <v>33711000000</v>
      </c>
      <c r="U240">
        <v>-69379000000</v>
      </c>
      <c r="V240">
        <f t="shared" si="16"/>
        <v>730194000000</v>
      </c>
      <c r="W240">
        <f t="shared" si="17"/>
        <v>4648426000000</v>
      </c>
    </row>
    <row r="241" spans="1:23" x14ac:dyDescent="0.2">
      <c r="A241">
        <f>IF(D241="USD",VLOOKUP(VALUE(RIGHT(E241,4)),'USD RUB'!$E:$F,2,FALSE),1)</f>
        <v>1</v>
      </c>
      <c r="B241" s="4">
        <v>1</v>
      </c>
      <c r="C241">
        <v>1000000</v>
      </c>
      <c r="D241" t="s">
        <v>20</v>
      </c>
      <c r="E241" s="1" t="s">
        <v>257</v>
      </c>
      <c r="F241">
        <v>262440000000</v>
      </c>
      <c r="G241">
        <v>1354886000000</v>
      </c>
      <c r="H241">
        <v>1472101000000</v>
      </c>
      <c r="I241">
        <v>8749000000</v>
      </c>
      <c r="J241">
        <v>5135791000000</v>
      </c>
      <c r="K241">
        <v>372643000000</v>
      </c>
      <c r="L241">
        <v>336804000000</v>
      </c>
      <c r="M241">
        <v>4214571000000</v>
      </c>
      <c r="N241">
        <v>4426344000000</v>
      </c>
      <c r="O241">
        <v>1555959000000</v>
      </c>
      <c r="P241">
        <v>415194000000</v>
      </c>
      <c r="Q241">
        <v>1038895000000</v>
      </c>
      <c r="R241">
        <v>850361000000</v>
      </c>
      <c r="S241">
        <v>66643000000</v>
      </c>
      <c r="U241">
        <v>-450000000</v>
      </c>
      <c r="V241">
        <f t="shared" si="16"/>
        <v>1175019000000</v>
      </c>
      <c r="W241">
        <f t="shared" si="17"/>
        <v>4239690000000</v>
      </c>
    </row>
    <row r="242" spans="1:23" x14ac:dyDescent="0.2">
      <c r="A242">
        <f>IF(D242="USD",VLOOKUP(VALUE(RIGHT(E242,4)),'USD RUB'!$E:$F,2,FALSE),1)</f>
        <v>1</v>
      </c>
      <c r="B242" s="4">
        <v>1</v>
      </c>
      <c r="C242">
        <v>1000000</v>
      </c>
      <c r="D242" t="s">
        <v>20</v>
      </c>
      <c r="E242" s="1" t="s">
        <v>258</v>
      </c>
      <c r="F242">
        <v>207676000000</v>
      </c>
      <c r="G242">
        <v>1209492000000</v>
      </c>
      <c r="H242">
        <v>1474831000000</v>
      </c>
      <c r="I242">
        <v>9034000000</v>
      </c>
      <c r="J242">
        <v>4648426000000</v>
      </c>
      <c r="K242">
        <v>354637000000</v>
      </c>
      <c r="L242">
        <v>331232000000</v>
      </c>
      <c r="M242">
        <v>3749522000000</v>
      </c>
      <c r="N242">
        <v>3962557000000</v>
      </c>
      <c r="O242">
        <v>730194000000</v>
      </c>
      <c r="P242">
        <v>198666000000</v>
      </c>
      <c r="Q242">
        <v>473331000000</v>
      </c>
      <c r="R242">
        <v>390000000000</v>
      </c>
      <c r="S242">
        <v>30458000000</v>
      </c>
      <c r="U242">
        <v>-525000000</v>
      </c>
      <c r="V242">
        <f t="shared" si="16"/>
        <v>547934000000</v>
      </c>
      <c r="W242">
        <f t="shared" si="17"/>
        <v>4078710000000</v>
      </c>
    </row>
    <row r="243" spans="1:23" x14ac:dyDescent="0.2">
      <c r="A243">
        <f>IF(D243="USD",VLOOKUP(VALUE(RIGHT(E243,4)),'USD RUB'!$E:$F,2,FALSE),1)</f>
        <v>1</v>
      </c>
      <c r="B243" s="4">
        <v>1</v>
      </c>
      <c r="C243">
        <v>1000000</v>
      </c>
      <c r="D243" t="s">
        <v>20</v>
      </c>
      <c r="E243" s="1" t="s">
        <v>259</v>
      </c>
      <c r="F243">
        <v>217501000000</v>
      </c>
      <c r="G243">
        <v>1268273000000</v>
      </c>
      <c r="H243">
        <v>1430760000000</v>
      </c>
      <c r="I243">
        <v>9081000000</v>
      </c>
      <c r="J243">
        <v>4239690000000</v>
      </c>
      <c r="K243">
        <v>323771000000</v>
      </c>
      <c r="L243">
        <v>302722000000</v>
      </c>
      <c r="M243">
        <v>3400441000000</v>
      </c>
      <c r="N243">
        <v>3613197000000</v>
      </c>
      <c r="O243">
        <v>1175019000000</v>
      </c>
      <c r="P243">
        <v>272387000000</v>
      </c>
      <c r="Q243">
        <v>246433000000</v>
      </c>
      <c r="R243">
        <v>194718000000</v>
      </c>
      <c r="S243">
        <v>66296000000</v>
      </c>
      <c r="U243">
        <v>-5781000000</v>
      </c>
      <c r="V243">
        <f t="shared" si="16"/>
        <v>1020833000000</v>
      </c>
      <c r="W243">
        <f t="shared" si="17"/>
        <v>3921585000000</v>
      </c>
    </row>
    <row r="244" spans="1:23" x14ac:dyDescent="0.2">
      <c r="A244">
        <f>IF(D244="USD",VLOOKUP(VALUE(RIGHT(E244,4)),'USD RUB'!$E:$F,2,FALSE),1)</f>
        <v>1</v>
      </c>
      <c r="B244" s="4">
        <v>1</v>
      </c>
      <c r="C244">
        <v>1000000</v>
      </c>
      <c r="D244" t="s">
        <v>20</v>
      </c>
      <c r="E244" s="1" t="s">
        <v>260</v>
      </c>
      <c r="F244">
        <v>172088000000</v>
      </c>
      <c r="G244">
        <v>914302000000</v>
      </c>
      <c r="H244">
        <v>1376465000000</v>
      </c>
      <c r="I244">
        <v>9363000000</v>
      </c>
      <c r="J244">
        <v>4078710000000</v>
      </c>
      <c r="K244">
        <v>294220000000</v>
      </c>
      <c r="L244">
        <v>276726000000</v>
      </c>
      <c r="M244">
        <v>3295033000000</v>
      </c>
      <c r="N244">
        <v>3507764000000</v>
      </c>
      <c r="O244">
        <v>547934000000</v>
      </c>
      <c r="P244">
        <v>122636000000</v>
      </c>
      <c r="Q244">
        <v>111818000000</v>
      </c>
      <c r="R244">
        <v>89052000000</v>
      </c>
      <c r="S244">
        <v>31980000000</v>
      </c>
      <c r="U244">
        <v>-2761000000</v>
      </c>
      <c r="V244" t="str">
        <f t="shared" si="16"/>
        <v/>
      </c>
      <c r="W244" t="str">
        <f t="shared" si="17"/>
        <v/>
      </c>
    </row>
    <row r="245" spans="1:23" x14ac:dyDescent="0.2">
      <c r="A245">
        <f>IF(D245="USD",VLOOKUP(VALUE(RIGHT(E245,4)),'USD RUB'!$E:$F,2,FALSE),1)</f>
        <v>1</v>
      </c>
      <c r="B245" s="4">
        <v>1</v>
      </c>
      <c r="C245">
        <v>1000000</v>
      </c>
      <c r="D245" t="s">
        <v>20</v>
      </c>
      <c r="E245" s="1" t="s">
        <v>261</v>
      </c>
      <c r="F245">
        <v>107453000000</v>
      </c>
      <c r="G245">
        <v>814939000000</v>
      </c>
      <c r="H245">
        <v>1331593000000</v>
      </c>
      <c r="J245">
        <v>3921585000000</v>
      </c>
      <c r="K245">
        <v>212399000000</v>
      </c>
      <c r="L245">
        <v>263774000000</v>
      </c>
      <c r="M245">
        <v>3232704000000</v>
      </c>
      <c r="N245">
        <v>3445412000000</v>
      </c>
      <c r="O245">
        <v>1020833000000</v>
      </c>
      <c r="P245">
        <v>260529000000</v>
      </c>
      <c r="Q245">
        <v>-72197000000</v>
      </c>
      <c r="R245">
        <v>-62033000000</v>
      </c>
      <c r="U245">
        <v>-2810000000</v>
      </c>
      <c r="V245" t="str">
        <f t="shared" si="16"/>
        <v/>
      </c>
      <c r="W245" t="str">
        <f t="shared" si="17"/>
        <v/>
      </c>
    </row>
    <row r="246" spans="1:23" x14ac:dyDescent="0.2">
      <c r="A246">
        <f>IF(D246="USD",VLOOKUP(VALUE(RIGHT(E246,4)),'USD RUB'!$E:$F,2,FALSE),1)</f>
        <v>1</v>
      </c>
      <c r="B246" s="4">
        <v>1</v>
      </c>
      <c r="C246">
        <v>1000000</v>
      </c>
      <c r="D246" t="s">
        <v>20</v>
      </c>
      <c r="E246" s="1" t="s">
        <v>262</v>
      </c>
      <c r="F246">
        <v>107069000000</v>
      </c>
      <c r="G246">
        <v>867802000000</v>
      </c>
      <c r="H246">
        <v>1142192000000</v>
      </c>
      <c r="J246">
        <v>3424182000000</v>
      </c>
      <c r="K246">
        <v>262471000000</v>
      </c>
      <c r="L246">
        <v>205531000000</v>
      </c>
      <c r="N246">
        <v>2956180000000</v>
      </c>
      <c r="O246">
        <v>674189000000</v>
      </c>
      <c r="P246">
        <v>150166000000</v>
      </c>
      <c r="Q246">
        <v>163271000000</v>
      </c>
      <c r="R246">
        <v>134905000000</v>
      </c>
      <c r="V246">
        <f t="shared" si="16"/>
        <v>710088000000</v>
      </c>
      <c r="W246">
        <f t="shared" si="17"/>
        <v>2541379000000</v>
      </c>
    </row>
    <row r="247" spans="1:23" x14ac:dyDescent="0.2">
      <c r="A247">
        <f>IF(D247="USD",VLOOKUP(VALUE(RIGHT(E247,4)),'USD RUB'!$E:$F,2,FALSE),1)</f>
        <v>1</v>
      </c>
      <c r="B247" s="4">
        <v>1</v>
      </c>
      <c r="C247">
        <v>1000000</v>
      </c>
      <c r="D247" t="s">
        <v>20</v>
      </c>
      <c r="E247" s="1" t="s">
        <v>263</v>
      </c>
      <c r="F247">
        <v>46102000000</v>
      </c>
      <c r="G247">
        <v>749937000000</v>
      </c>
      <c r="H247">
        <v>1080831000000</v>
      </c>
      <c r="J247">
        <v>2541379000000</v>
      </c>
      <c r="K247">
        <v>177660000000</v>
      </c>
      <c r="L247">
        <v>205862000000</v>
      </c>
      <c r="N247">
        <v>2157857000000</v>
      </c>
      <c r="O247">
        <v>710088000000</v>
      </c>
      <c r="P247">
        <v>108409000000</v>
      </c>
      <c r="Q247">
        <v>164745000000</v>
      </c>
      <c r="R247">
        <v>134086000000</v>
      </c>
      <c r="V247">
        <f t="shared" si="16"/>
        <v>631735000000</v>
      </c>
      <c r="W247">
        <f t="shared" si="17"/>
        <v>2257740000000</v>
      </c>
    </row>
    <row r="248" spans="1:23" x14ac:dyDescent="0.2">
      <c r="A248">
        <f>IF(D248="USD",VLOOKUP(VALUE(RIGHT(E248,4)),'USD RUB'!$E:$F,2,FALSE),1)</f>
        <v>1</v>
      </c>
      <c r="B248" s="4">
        <v>1</v>
      </c>
      <c r="C248">
        <v>1000000</v>
      </c>
      <c r="D248" t="s">
        <v>20</v>
      </c>
      <c r="E248" s="1" t="s">
        <v>264</v>
      </c>
      <c r="F248">
        <v>43138000000</v>
      </c>
      <c r="G248">
        <v>468686000000</v>
      </c>
      <c r="H248">
        <v>996814000000</v>
      </c>
      <c r="J248">
        <v>2257740000000</v>
      </c>
      <c r="K248">
        <v>131041000000</v>
      </c>
      <c r="L248">
        <v>177475000000</v>
      </c>
      <c r="N248">
        <v>1949224000000</v>
      </c>
      <c r="O248">
        <v>631735000000</v>
      </c>
      <c r="P248">
        <v>98748000000</v>
      </c>
      <c r="Q248">
        <v>201069000000</v>
      </c>
      <c r="R248">
        <v>165605000000</v>
      </c>
      <c r="V248" t="str">
        <f t="shared" si="16"/>
        <v/>
      </c>
      <c r="W248" t="str">
        <f t="shared" si="17"/>
        <v/>
      </c>
    </row>
    <row r="249" spans="1:23" x14ac:dyDescent="0.2">
      <c r="A249">
        <f>IF(D249="USD",VLOOKUP(VALUE(RIGHT(E249,4)),'USD RUB'!$E:$F,2,FALSE),1)</f>
        <v>1</v>
      </c>
      <c r="B249" s="4">
        <v>1</v>
      </c>
      <c r="C249">
        <v>1000000</v>
      </c>
      <c r="D249" t="s">
        <v>20</v>
      </c>
      <c r="E249" s="1" t="s">
        <v>265</v>
      </c>
      <c r="F249">
        <v>66949000000</v>
      </c>
      <c r="G249">
        <v>535419000000</v>
      </c>
      <c r="H249">
        <v>1283493000000</v>
      </c>
      <c r="I249">
        <v>31783000000</v>
      </c>
      <c r="J249">
        <v>2133858000000</v>
      </c>
      <c r="K249">
        <v>591000000000</v>
      </c>
      <c r="L249">
        <v>218180000000</v>
      </c>
      <c r="M249">
        <v>1229842000000</v>
      </c>
      <c r="N249">
        <v>1324678000000</v>
      </c>
      <c r="O249">
        <v>1818134000000</v>
      </c>
      <c r="P249">
        <v>254308000000</v>
      </c>
      <c r="Q249">
        <v>221940000000</v>
      </c>
      <c r="R249">
        <v>152048000000</v>
      </c>
      <c r="S249">
        <v>73207000000</v>
      </c>
      <c r="U249">
        <v>-141455000000</v>
      </c>
      <c r="V249">
        <f t="shared" si="16"/>
        <v>2030371000000</v>
      </c>
      <c r="W249">
        <f t="shared" si="17"/>
        <v>2204909000000</v>
      </c>
    </row>
    <row r="250" spans="1:23" x14ac:dyDescent="0.2">
      <c r="A250">
        <f>IF(D250="USD",VLOOKUP(VALUE(RIGHT(E250,4)),'USD RUB'!$E:$F,2,FALSE),1)</f>
        <v>1</v>
      </c>
      <c r="B250" s="4">
        <v>1</v>
      </c>
      <c r="C250">
        <v>1000000</v>
      </c>
      <c r="D250" t="s">
        <v>20</v>
      </c>
      <c r="E250" s="1" t="s">
        <v>266</v>
      </c>
      <c r="F250">
        <v>60579000000</v>
      </c>
      <c r="G250">
        <v>527760000000</v>
      </c>
      <c r="H250">
        <v>1259852000000</v>
      </c>
      <c r="I250">
        <v>28410000000</v>
      </c>
      <c r="J250">
        <v>2087868000000</v>
      </c>
      <c r="K250">
        <v>604154000000</v>
      </c>
      <c r="L250">
        <v>208620000000</v>
      </c>
      <c r="M250">
        <v>1179827000000</v>
      </c>
      <c r="N250">
        <v>1275094000000</v>
      </c>
      <c r="O250">
        <v>878148000000</v>
      </c>
      <c r="P250">
        <v>111178000000</v>
      </c>
      <c r="Q250">
        <v>81543000000</v>
      </c>
      <c r="R250">
        <v>54210000000</v>
      </c>
      <c r="S250">
        <v>33203000000</v>
      </c>
      <c r="T250">
        <v>146366000000</v>
      </c>
      <c r="U250">
        <v>-67779000000</v>
      </c>
      <c r="V250">
        <f t="shared" si="16"/>
        <v>931120000000</v>
      </c>
      <c r="W250">
        <f t="shared" si="17"/>
        <v>2108204000000</v>
      </c>
    </row>
    <row r="251" spans="1:23" x14ac:dyDescent="0.2">
      <c r="A251">
        <f>IF(D251="USD",VLOOKUP(VALUE(RIGHT(E251,4)),'USD RUB'!$E:$F,2,FALSE),1)</f>
        <v>1</v>
      </c>
      <c r="B251" s="4">
        <v>1</v>
      </c>
      <c r="C251">
        <v>1000000</v>
      </c>
      <c r="D251" t="s">
        <v>20</v>
      </c>
      <c r="E251" s="1" t="s">
        <v>267</v>
      </c>
      <c r="F251">
        <v>117454000000</v>
      </c>
      <c r="G251">
        <v>641922000000</v>
      </c>
      <c r="H251">
        <v>1238124000000</v>
      </c>
      <c r="I251">
        <v>27366000000</v>
      </c>
      <c r="J251">
        <v>2204909000000</v>
      </c>
      <c r="K251">
        <v>664840000000</v>
      </c>
      <c r="L251">
        <v>209825000000</v>
      </c>
      <c r="M251">
        <v>1218834000000</v>
      </c>
      <c r="N251">
        <v>1330244000000</v>
      </c>
      <c r="O251">
        <v>2030371000000</v>
      </c>
      <c r="P251">
        <v>403007000000</v>
      </c>
      <c r="Q251">
        <v>421148000000</v>
      </c>
      <c r="R251">
        <v>308929000000</v>
      </c>
      <c r="S251">
        <v>62238000000</v>
      </c>
      <c r="T251">
        <v>478372000000</v>
      </c>
      <c r="U251">
        <v>-174692000000</v>
      </c>
      <c r="V251">
        <f t="shared" si="16"/>
        <v>1589082000000</v>
      </c>
      <c r="W251">
        <f t="shared" si="17"/>
        <v>2045173000000</v>
      </c>
    </row>
    <row r="252" spans="1:23" x14ac:dyDescent="0.2">
      <c r="A252">
        <f>IF(D252="USD",VLOOKUP(VALUE(RIGHT(E252,4)),'USD RUB'!$E:$F,2,FALSE),1)</f>
        <v>1</v>
      </c>
      <c r="B252" s="4">
        <v>1</v>
      </c>
      <c r="C252">
        <v>1000000</v>
      </c>
      <c r="D252" t="s">
        <v>20</v>
      </c>
      <c r="E252" s="1" t="s">
        <v>268</v>
      </c>
      <c r="F252">
        <v>120395000000</v>
      </c>
      <c r="G252">
        <v>605131000000</v>
      </c>
      <c r="H252">
        <v>1167574000000</v>
      </c>
      <c r="J252">
        <v>2108204000000</v>
      </c>
      <c r="K252">
        <v>647624000000</v>
      </c>
      <c r="L252">
        <v>170387000000</v>
      </c>
      <c r="M252">
        <v>1188820000000</v>
      </c>
      <c r="N252">
        <v>1290193000000</v>
      </c>
      <c r="O252">
        <v>931120000000</v>
      </c>
      <c r="P252">
        <v>196976000000</v>
      </c>
      <c r="Q252">
        <v>194756000000</v>
      </c>
      <c r="R252">
        <v>151386000000</v>
      </c>
      <c r="S252">
        <v>29791000000</v>
      </c>
      <c r="T252">
        <v>228538000000</v>
      </c>
      <c r="U252">
        <v>-77832000000</v>
      </c>
      <c r="V252">
        <f t="shared" si="16"/>
        <v>623863000000</v>
      </c>
      <c r="W252">
        <f t="shared" si="17"/>
        <v>1853125000000</v>
      </c>
    </row>
    <row r="253" spans="1:23" x14ac:dyDescent="0.2">
      <c r="A253">
        <f>IF(D253="USD",VLOOKUP(VALUE(RIGHT(E253,4)),'USD RUB'!$E:$F,2,FALSE),1)</f>
        <v>1</v>
      </c>
      <c r="B253" s="4">
        <v>1</v>
      </c>
      <c r="C253">
        <v>1000000</v>
      </c>
      <c r="D253" t="s">
        <v>20</v>
      </c>
      <c r="E253" s="1" t="s">
        <v>269</v>
      </c>
      <c r="F253">
        <v>85018000000</v>
      </c>
      <c r="G253">
        <v>589623000000</v>
      </c>
      <c r="H253">
        <v>1131481000000</v>
      </c>
      <c r="J253">
        <v>2045173000000</v>
      </c>
      <c r="K253">
        <v>671912000000</v>
      </c>
      <c r="L253">
        <v>176091000000</v>
      </c>
      <c r="M253">
        <v>1094451000000</v>
      </c>
      <c r="N253">
        <v>1197170000000</v>
      </c>
      <c r="O253">
        <v>1589082000000</v>
      </c>
      <c r="P253">
        <v>356643000000</v>
      </c>
      <c r="Q253">
        <v>365507000000</v>
      </c>
      <c r="R253">
        <v>286263000000</v>
      </c>
      <c r="S253">
        <v>60647000000</v>
      </c>
      <c r="T253">
        <v>391730000000</v>
      </c>
      <c r="U253">
        <v>-223599000000</v>
      </c>
      <c r="V253">
        <f t="shared" si="16"/>
        <v>1427147000000</v>
      </c>
      <c r="W253">
        <f t="shared" si="17"/>
        <v>1675837000000</v>
      </c>
    </row>
    <row r="254" spans="1:23" x14ac:dyDescent="0.2">
      <c r="A254">
        <f>IF(D254="USD",VLOOKUP(VALUE(RIGHT(E254,4)),'USD RUB'!$E:$F,2,FALSE),1)</f>
        <v>1</v>
      </c>
      <c r="B254" s="4">
        <v>1</v>
      </c>
      <c r="C254">
        <v>1000000</v>
      </c>
      <c r="D254" t="s">
        <v>20</v>
      </c>
      <c r="E254" s="1" t="s">
        <v>270</v>
      </c>
      <c r="F254">
        <v>124567000000</v>
      </c>
      <c r="G254">
        <v>508638000000</v>
      </c>
      <c r="H254">
        <v>1040333000000</v>
      </c>
      <c r="J254">
        <v>1853125000000</v>
      </c>
      <c r="K254">
        <v>501103000000</v>
      </c>
      <c r="L254">
        <v>161828000000</v>
      </c>
      <c r="M254">
        <v>1095494000000</v>
      </c>
      <c r="N254">
        <v>1190194000000</v>
      </c>
      <c r="O254">
        <v>623863000000</v>
      </c>
      <c r="P254">
        <v>157401000000</v>
      </c>
      <c r="Q254">
        <v>183005000000</v>
      </c>
      <c r="R254">
        <v>147671000000</v>
      </c>
      <c r="S254">
        <v>30626000000</v>
      </c>
      <c r="T254">
        <v>168660000000</v>
      </c>
      <c r="U254">
        <v>-97674000000</v>
      </c>
      <c r="V254">
        <f t="shared" si="16"/>
        <v>790798000000</v>
      </c>
      <c r="W254">
        <f t="shared" si="17"/>
        <v>1634454000000</v>
      </c>
    </row>
    <row r="255" spans="1:23" x14ac:dyDescent="0.2">
      <c r="A255">
        <f>IF(D255="USD",VLOOKUP(VALUE(RIGHT(E255,4)),'USD RUB'!$E:$F,2,FALSE),1)</f>
        <v>1</v>
      </c>
      <c r="B255" s="4">
        <v>1</v>
      </c>
      <c r="C255">
        <v>1000000</v>
      </c>
      <c r="D255" t="s">
        <v>20</v>
      </c>
      <c r="E255" s="1" t="s">
        <v>271</v>
      </c>
      <c r="F255">
        <v>167864000000</v>
      </c>
      <c r="G255">
        <v>456426000000</v>
      </c>
      <c r="H255">
        <v>975172000000</v>
      </c>
      <c r="J255">
        <v>1675837000000</v>
      </c>
      <c r="K255">
        <v>415054000000</v>
      </c>
      <c r="L255">
        <v>156339000000</v>
      </c>
      <c r="M255">
        <v>1010027000000</v>
      </c>
      <c r="N255">
        <v>1104444000000</v>
      </c>
      <c r="O255">
        <v>1427147000000</v>
      </c>
      <c r="P255">
        <v>400390000000</v>
      </c>
      <c r="Q255">
        <v>379968000000</v>
      </c>
      <c r="R255">
        <v>299238000000</v>
      </c>
      <c r="S255">
        <v>48547000000</v>
      </c>
      <c r="T255">
        <v>447120000000</v>
      </c>
      <c r="U255">
        <v>-160895000000</v>
      </c>
      <c r="V255">
        <f t="shared" si="16"/>
        <v>1265380000000</v>
      </c>
      <c r="W255">
        <f t="shared" si="17"/>
        <v>1502289000000</v>
      </c>
    </row>
    <row r="256" spans="1:23" x14ac:dyDescent="0.2">
      <c r="A256">
        <f>IF(D256="USD",VLOOKUP(VALUE(RIGHT(E256,4)),'USD RUB'!$E:$F,2,FALSE),1)</f>
        <v>1</v>
      </c>
      <c r="B256" s="4">
        <v>1</v>
      </c>
      <c r="C256">
        <v>1000000</v>
      </c>
      <c r="D256" t="s">
        <v>20</v>
      </c>
      <c r="E256" s="1" t="s">
        <v>272</v>
      </c>
      <c r="F256">
        <v>186946000000</v>
      </c>
      <c r="G256">
        <v>525499000000</v>
      </c>
      <c r="H256">
        <v>899170000000</v>
      </c>
      <c r="J256">
        <v>1634454000000</v>
      </c>
      <c r="K256">
        <v>460705000000</v>
      </c>
      <c r="L256">
        <v>133106000000</v>
      </c>
      <c r="M256">
        <v>953942000000</v>
      </c>
      <c r="N256">
        <v>1040643000000</v>
      </c>
      <c r="O256">
        <v>790798000000</v>
      </c>
      <c r="P256">
        <v>254306000000</v>
      </c>
      <c r="Q256">
        <v>196081000000</v>
      </c>
      <c r="R256">
        <v>139249000000</v>
      </c>
      <c r="S256">
        <v>22356000000</v>
      </c>
      <c r="T256">
        <v>276812000000</v>
      </c>
      <c r="U256">
        <v>-71419000000</v>
      </c>
      <c r="V256">
        <f t="shared" si="16"/>
        <v>568883000000</v>
      </c>
      <c r="W256">
        <f t="shared" si="17"/>
        <v>1383878000000</v>
      </c>
    </row>
    <row r="257" spans="1:23" x14ac:dyDescent="0.2">
      <c r="A257">
        <f>IF(D257="USD",VLOOKUP(VALUE(RIGHT(E257,4)),'USD RUB'!$E:$F,2,FALSE),1)</f>
        <v>1</v>
      </c>
      <c r="B257" s="4">
        <v>1</v>
      </c>
      <c r="C257">
        <v>1000000</v>
      </c>
      <c r="D257" t="s">
        <v>20</v>
      </c>
      <c r="E257" s="1" t="s">
        <v>273</v>
      </c>
      <c r="F257">
        <v>66487000000</v>
      </c>
      <c r="G257">
        <v>412242000000</v>
      </c>
      <c r="H257">
        <v>879782000000</v>
      </c>
      <c r="J257">
        <v>1502289000000</v>
      </c>
      <c r="K257">
        <v>422114000000</v>
      </c>
      <c r="L257">
        <v>136800000000</v>
      </c>
      <c r="M257">
        <v>850198000000</v>
      </c>
      <c r="N257">
        <v>943375000000</v>
      </c>
      <c r="O257">
        <v>1265380000000</v>
      </c>
      <c r="P257">
        <v>256802000000</v>
      </c>
      <c r="Q257">
        <v>257306000000</v>
      </c>
      <c r="R257">
        <v>198886000000</v>
      </c>
      <c r="S257">
        <v>42663000000</v>
      </c>
      <c r="T257">
        <v>293179000000</v>
      </c>
      <c r="U257">
        <v>-119106000000</v>
      </c>
      <c r="V257">
        <f t="shared" si="16"/>
        <v>720677000000</v>
      </c>
      <c r="W257">
        <f t="shared" si="17"/>
        <v>1263441000000</v>
      </c>
    </row>
    <row r="258" spans="1:23" x14ac:dyDescent="0.2">
      <c r="A258">
        <f>IF(D258="USD",VLOOKUP(VALUE(RIGHT(E258,4)),'USD RUB'!$E:$F,2,FALSE),1)</f>
        <v>1</v>
      </c>
      <c r="B258" s="4">
        <v>1</v>
      </c>
      <c r="C258">
        <v>1000000</v>
      </c>
      <c r="D258" t="s">
        <v>20</v>
      </c>
      <c r="E258" s="1" t="s">
        <v>274</v>
      </c>
      <c r="F258">
        <v>45410000000</v>
      </c>
      <c r="G258">
        <v>403494000000</v>
      </c>
      <c r="H258">
        <v>854034000000</v>
      </c>
      <c r="J258">
        <v>1446777000000</v>
      </c>
      <c r="K258">
        <v>393936000000</v>
      </c>
      <c r="L258">
        <v>140601000000</v>
      </c>
      <c r="M258">
        <v>819068000000</v>
      </c>
      <c r="N258">
        <v>912240000000</v>
      </c>
      <c r="O258">
        <v>911190000000</v>
      </c>
      <c r="P258">
        <v>184851000000</v>
      </c>
      <c r="Q258">
        <v>185441000000</v>
      </c>
      <c r="R258">
        <v>145131000000</v>
      </c>
      <c r="S258">
        <v>30974000000</v>
      </c>
      <c r="T258">
        <v>215888000000</v>
      </c>
      <c r="U258">
        <v>-72794000000</v>
      </c>
      <c r="V258">
        <f t="shared" si="16"/>
        <v>521923000000</v>
      </c>
      <c r="W258">
        <f t="shared" si="17"/>
        <v>1265763000000</v>
      </c>
    </row>
    <row r="259" spans="1:23" x14ac:dyDescent="0.2">
      <c r="A259">
        <f>IF(D259="USD",VLOOKUP(VALUE(RIGHT(E259,4)),'USD RUB'!$E:$F,2,FALSE),1)</f>
        <v>1</v>
      </c>
      <c r="B259" s="4">
        <v>1</v>
      </c>
      <c r="C259">
        <v>1000000</v>
      </c>
      <c r="D259" t="s">
        <v>20</v>
      </c>
      <c r="E259" s="1" t="s">
        <v>275</v>
      </c>
      <c r="F259">
        <v>26089000000</v>
      </c>
      <c r="G259">
        <v>359790000000</v>
      </c>
      <c r="H259">
        <v>840755000000</v>
      </c>
      <c r="J259">
        <v>1383878000000</v>
      </c>
      <c r="K259">
        <v>349967000000</v>
      </c>
      <c r="L259">
        <v>137227000000</v>
      </c>
      <c r="M259">
        <v>804190000000</v>
      </c>
      <c r="N259">
        <v>896684000000</v>
      </c>
      <c r="O259">
        <v>568883000000</v>
      </c>
      <c r="P259">
        <v>120178000000</v>
      </c>
      <c r="Q259">
        <v>119427000000</v>
      </c>
      <c r="R259">
        <v>92930000000</v>
      </c>
      <c r="S259">
        <v>20192000000</v>
      </c>
      <c r="T259">
        <v>141424000000</v>
      </c>
      <c r="U259">
        <v>-42349000000</v>
      </c>
      <c r="V259">
        <f t="shared" si="16"/>
        <v>334553000000</v>
      </c>
      <c r="W259">
        <f t="shared" si="17"/>
        <v>1218924000000</v>
      </c>
    </row>
    <row r="260" spans="1:23" x14ac:dyDescent="0.2">
      <c r="A260">
        <f>IF(D260="USD",VLOOKUP(VALUE(RIGHT(E260,4)),'USD RUB'!$E:$F,2,FALSE),1)</f>
        <v>1</v>
      </c>
      <c r="B260" s="4">
        <v>1</v>
      </c>
      <c r="C260">
        <v>1000000</v>
      </c>
      <c r="D260" t="s">
        <v>20</v>
      </c>
      <c r="E260" s="1" t="s">
        <v>276</v>
      </c>
      <c r="F260">
        <v>61004000000</v>
      </c>
      <c r="G260">
        <v>305333000000</v>
      </c>
      <c r="H260">
        <v>825704000000</v>
      </c>
      <c r="J260">
        <v>1317551000000</v>
      </c>
      <c r="K260">
        <v>307805000000</v>
      </c>
      <c r="L260">
        <v>134629000000</v>
      </c>
      <c r="M260">
        <v>783230000000</v>
      </c>
      <c r="N260">
        <v>875117000000</v>
      </c>
      <c r="O260">
        <v>257832000000</v>
      </c>
      <c r="P260">
        <v>54464000000</v>
      </c>
      <c r="Q260">
        <v>55759000000</v>
      </c>
      <c r="R260">
        <v>43684000000</v>
      </c>
      <c r="S260">
        <v>10409000000</v>
      </c>
      <c r="T260">
        <v>66641000000</v>
      </c>
      <c r="U260">
        <v>-17412000000</v>
      </c>
      <c r="V260">
        <f t="shared" si="16"/>
        <v>198284000000</v>
      </c>
      <c r="W260">
        <f t="shared" si="17"/>
        <v>1237017000000</v>
      </c>
    </row>
    <row r="261" spans="1:23" x14ac:dyDescent="0.2">
      <c r="A261">
        <f>IF(D261="USD",VLOOKUP(VALUE(RIGHT(E261,4)),'USD RUB'!$E:$F,2,FALSE),1)</f>
        <v>1</v>
      </c>
      <c r="B261" s="4">
        <v>1</v>
      </c>
      <c r="C261">
        <v>1000000</v>
      </c>
      <c r="D261" t="s">
        <v>20</v>
      </c>
      <c r="E261" s="1" t="s">
        <v>277</v>
      </c>
      <c r="F261">
        <v>40105000000</v>
      </c>
      <c r="G261">
        <v>258995000000</v>
      </c>
      <c r="H261">
        <v>826569000000</v>
      </c>
      <c r="J261">
        <v>1263441000000</v>
      </c>
      <c r="K261">
        <v>291511000000</v>
      </c>
      <c r="L261">
        <v>140340000000</v>
      </c>
      <c r="M261">
        <v>739641000000</v>
      </c>
      <c r="N261">
        <v>831590000000</v>
      </c>
      <c r="O261">
        <v>720677000000</v>
      </c>
      <c r="P261">
        <v>138090000000</v>
      </c>
      <c r="Q261">
        <v>137045000000</v>
      </c>
      <c r="R261">
        <v>102573000000</v>
      </c>
      <c r="S261">
        <v>40865000000</v>
      </c>
      <c r="T261">
        <v>179871000000</v>
      </c>
      <c r="U261">
        <v>-104668000000</v>
      </c>
      <c r="V261">
        <f t="shared" si="16"/>
        <v>932296000000</v>
      </c>
      <c r="W261">
        <f t="shared" si="17"/>
        <v>1238639000000</v>
      </c>
    </row>
    <row r="262" spans="1:23" x14ac:dyDescent="0.2">
      <c r="A262">
        <f>IF(D262="USD",VLOOKUP(VALUE(RIGHT(E262,4)),'USD RUB'!$E:$F,2,FALSE),1)</f>
        <v>1</v>
      </c>
      <c r="B262" s="4">
        <v>1</v>
      </c>
      <c r="C262">
        <v>1000000</v>
      </c>
      <c r="D262" t="s">
        <v>20</v>
      </c>
      <c r="E262" s="1" t="s">
        <v>278</v>
      </c>
      <c r="F262">
        <v>34402000000</v>
      </c>
      <c r="G262">
        <v>244347000000</v>
      </c>
      <c r="H262">
        <v>813758000000</v>
      </c>
      <c r="J262">
        <v>1265763000000</v>
      </c>
      <c r="K262">
        <v>318417000000</v>
      </c>
      <c r="L262">
        <v>138635000000</v>
      </c>
      <c r="M262">
        <v>714748000000</v>
      </c>
      <c r="N262">
        <v>808711000000</v>
      </c>
      <c r="O262">
        <v>521923000000</v>
      </c>
      <c r="P262">
        <v>104007000000</v>
      </c>
      <c r="Q262">
        <v>103572000000</v>
      </c>
      <c r="R262">
        <v>77845000000</v>
      </c>
      <c r="S262">
        <v>27720000000</v>
      </c>
      <c r="T262">
        <v>137904000000</v>
      </c>
      <c r="U262">
        <v>-75914000000</v>
      </c>
      <c r="V262">
        <f t="shared" ref="V262:V296" si="18">_xlfn.XLOOKUP(LEFT(E262,LEN(E262)-4)&amp;(VALUE(RIGHT(E262,4))-1),$E:$E,$O:$O,"")</f>
        <v>691409000000</v>
      </c>
      <c r="W262">
        <f t="shared" ref="W262:W296" si="19">_xlfn.XLOOKUP(LEFT(E262,LEN(E262)-4)&amp;(VALUE(RIGHT(E262,4))-1),$E:$E,$J:$J,"")</f>
        <v>1281491000000</v>
      </c>
    </row>
    <row r="263" spans="1:23" x14ac:dyDescent="0.2">
      <c r="A263">
        <f>IF(D263="USD",VLOOKUP(VALUE(RIGHT(E263,4)),'USD RUB'!$E:$F,2,FALSE),1)</f>
        <v>1</v>
      </c>
      <c r="B263" s="4">
        <v>1</v>
      </c>
      <c r="C263">
        <v>1000000</v>
      </c>
      <c r="D263" t="s">
        <v>20</v>
      </c>
      <c r="E263" s="1" t="s">
        <v>279</v>
      </c>
      <c r="F263">
        <v>26776000000</v>
      </c>
      <c r="G263">
        <v>209941000000</v>
      </c>
      <c r="H263">
        <v>800018000000</v>
      </c>
      <c r="J263">
        <v>1218924000000</v>
      </c>
      <c r="K263">
        <v>284559000000</v>
      </c>
      <c r="L263">
        <v>140104000000</v>
      </c>
      <c r="M263">
        <v>701373000000</v>
      </c>
      <c r="N263">
        <v>794261000000</v>
      </c>
      <c r="O263">
        <v>334553000000</v>
      </c>
      <c r="P263">
        <v>56526000000</v>
      </c>
      <c r="Q263">
        <v>57487000000</v>
      </c>
      <c r="R263">
        <v>42477000000</v>
      </c>
      <c r="S263">
        <v>16826000000</v>
      </c>
      <c r="T263">
        <v>79156000000</v>
      </c>
      <c r="U263">
        <v>-49424000000</v>
      </c>
      <c r="V263">
        <f t="shared" si="18"/>
        <v>449656000000</v>
      </c>
      <c r="W263">
        <f t="shared" si="19"/>
        <v>1265969000000</v>
      </c>
    </row>
    <row r="264" spans="1:23" x14ac:dyDescent="0.2">
      <c r="A264">
        <f>IF(D264="USD",VLOOKUP(VALUE(RIGHT(E264,4)),'USD RUB'!$E:$F,2,FALSE),1)</f>
        <v>1</v>
      </c>
      <c r="B264" s="4">
        <v>1</v>
      </c>
      <c r="C264">
        <v>1000000</v>
      </c>
      <c r="D264" t="s">
        <v>20</v>
      </c>
      <c r="E264" s="1" t="s">
        <v>280</v>
      </c>
      <c r="F264">
        <v>42745000000</v>
      </c>
      <c r="G264">
        <v>254771000000</v>
      </c>
      <c r="H264">
        <v>771132000000</v>
      </c>
      <c r="J264">
        <v>1237017000000</v>
      </c>
      <c r="K264">
        <v>332906000000</v>
      </c>
      <c r="L264">
        <v>125090000000</v>
      </c>
      <c r="M264">
        <v>683866000000</v>
      </c>
      <c r="N264">
        <v>779021000000</v>
      </c>
      <c r="O264">
        <v>198284000000</v>
      </c>
      <c r="P264">
        <v>30361000000</v>
      </c>
      <c r="Q264">
        <v>33330000000</v>
      </c>
      <c r="R264">
        <v>24781000000</v>
      </c>
      <c r="S264">
        <v>8313000000</v>
      </c>
      <c r="T264">
        <v>44359000000</v>
      </c>
      <c r="U264">
        <v>-24690000000</v>
      </c>
      <c r="V264">
        <f t="shared" si="18"/>
        <v>227326000000</v>
      </c>
      <c r="W264">
        <f t="shared" si="19"/>
        <v>1225777000000</v>
      </c>
    </row>
    <row r="265" spans="1:23" x14ac:dyDescent="0.2">
      <c r="A265">
        <f>IF(D265="USD",VLOOKUP(VALUE(RIGHT(E265,4)),'USD RUB'!$E:$F,2,FALSE),1)</f>
        <v>1</v>
      </c>
      <c r="B265" s="4">
        <v>1</v>
      </c>
      <c r="C265">
        <v>1000000</v>
      </c>
      <c r="D265" t="s">
        <v>20</v>
      </c>
      <c r="E265" s="1" t="s">
        <v>281</v>
      </c>
      <c r="F265">
        <v>25157000000</v>
      </c>
      <c r="G265">
        <v>253127000000</v>
      </c>
      <c r="H265">
        <v>768735000000</v>
      </c>
      <c r="J265">
        <v>1238639000000</v>
      </c>
      <c r="K265">
        <v>358093000000</v>
      </c>
      <c r="L265">
        <v>128416000000</v>
      </c>
      <c r="M265">
        <v>658614000000</v>
      </c>
      <c r="N265">
        <v>752130000000</v>
      </c>
      <c r="O265">
        <v>932296000000</v>
      </c>
      <c r="P265">
        <v>254326000000</v>
      </c>
      <c r="Q265">
        <v>252342000000</v>
      </c>
      <c r="R265">
        <v>192818000000</v>
      </c>
      <c r="S265">
        <v>35165000000</v>
      </c>
      <c r="T265">
        <v>290800000000</v>
      </c>
      <c r="U265">
        <v>-95994000000</v>
      </c>
      <c r="V265">
        <f t="shared" si="18"/>
        <v>910534000000</v>
      </c>
      <c r="W265">
        <f t="shared" si="19"/>
        <v>1201288000000</v>
      </c>
    </row>
    <row r="266" spans="1:23" x14ac:dyDescent="0.2">
      <c r="A266">
        <f>IF(D266="USD",VLOOKUP(VALUE(RIGHT(E266,4)),'USD RUB'!$E:$F,2,FALSE),1)</f>
        <v>1</v>
      </c>
      <c r="B266" s="4">
        <v>1</v>
      </c>
      <c r="C266">
        <v>1000000</v>
      </c>
      <c r="D266" t="s">
        <v>20</v>
      </c>
      <c r="E266" s="1" t="s">
        <v>282</v>
      </c>
      <c r="F266">
        <v>57394000000</v>
      </c>
      <c r="G266">
        <v>298792000000</v>
      </c>
      <c r="H266">
        <v>752483000000</v>
      </c>
      <c r="J266">
        <v>1281491000000</v>
      </c>
      <c r="K266">
        <v>389509000000</v>
      </c>
      <c r="L266">
        <v>102375000000</v>
      </c>
      <c r="M266">
        <v>693895000000</v>
      </c>
      <c r="N266">
        <v>789607000000</v>
      </c>
      <c r="O266">
        <v>691409000000</v>
      </c>
      <c r="P266">
        <v>222075000000</v>
      </c>
      <c r="Q266">
        <v>220069000000</v>
      </c>
      <c r="R266">
        <v>173531000000</v>
      </c>
      <c r="S266">
        <v>23273000000</v>
      </c>
      <c r="T266">
        <v>248070000000</v>
      </c>
      <c r="U266">
        <v>-61361000000</v>
      </c>
      <c r="V266">
        <f t="shared" si="18"/>
        <v>675157000000</v>
      </c>
      <c r="W266">
        <f t="shared" si="19"/>
        <v>1237700000000</v>
      </c>
    </row>
    <row r="267" spans="1:23" x14ac:dyDescent="0.2">
      <c r="A267">
        <f>IF(D267="USD",VLOOKUP(VALUE(RIGHT(E267,4)),'USD RUB'!$E:$F,2,FALSE),1)</f>
        <v>1</v>
      </c>
      <c r="B267" s="4">
        <v>1</v>
      </c>
      <c r="C267">
        <v>1000000</v>
      </c>
      <c r="D267" t="s">
        <v>20</v>
      </c>
      <c r="E267" s="1" t="s">
        <v>283</v>
      </c>
      <c r="F267">
        <v>59776000000</v>
      </c>
      <c r="G267">
        <v>331019000000</v>
      </c>
      <c r="H267">
        <v>725529000000</v>
      </c>
      <c r="J267">
        <v>1265969000000</v>
      </c>
      <c r="K267">
        <v>353020000000</v>
      </c>
      <c r="L267">
        <v>93286000000</v>
      </c>
      <c r="M267">
        <v>726050000000</v>
      </c>
      <c r="N267">
        <v>819663000000</v>
      </c>
      <c r="O267">
        <v>449656000000</v>
      </c>
      <c r="P267">
        <v>148929000000</v>
      </c>
      <c r="Q267">
        <v>144994000000</v>
      </c>
      <c r="R267">
        <v>114494000000</v>
      </c>
      <c r="S267">
        <v>14558000000</v>
      </c>
      <c r="T267">
        <v>164382000000</v>
      </c>
      <c r="U267">
        <v>-39433000000</v>
      </c>
      <c r="V267">
        <f t="shared" si="18"/>
        <v>422333000000</v>
      </c>
      <c r="W267">
        <f t="shared" si="19"/>
        <v>1184294000000</v>
      </c>
    </row>
    <row r="268" spans="1:23" x14ac:dyDescent="0.2">
      <c r="A268">
        <f>IF(D268="USD",VLOOKUP(VALUE(RIGHT(E268,4)),'USD RUB'!$E:$F,2,FALSE),1)</f>
        <v>1</v>
      </c>
      <c r="B268" s="4">
        <v>1</v>
      </c>
      <c r="C268">
        <v>1000000</v>
      </c>
      <c r="D268" t="s">
        <v>20</v>
      </c>
      <c r="E268" s="1" t="s">
        <v>284</v>
      </c>
      <c r="F268">
        <v>38988000000</v>
      </c>
      <c r="G268">
        <v>309869000000</v>
      </c>
      <c r="H268">
        <v>711933000000</v>
      </c>
      <c r="J268">
        <v>1225777000000</v>
      </c>
      <c r="K268">
        <v>294371000000</v>
      </c>
      <c r="L268">
        <v>93331000000</v>
      </c>
      <c r="M268">
        <v>743659000000</v>
      </c>
      <c r="N268">
        <v>838075000000</v>
      </c>
      <c r="O268">
        <v>227326000000</v>
      </c>
      <c r="P268">
        <v>79142000000</v>
      </c>
      <c r="Q268">
        <v>76179000000</v>
      </c>
      <c r="R268">
        <v>60235000000</v>
      </c>
      <c r="S268">
        <v>7450000000</v>
      </c>
      <c r="T268">
        <v>87419000000</v>
      </c>
      <c r="U268">
        <v>-19318000000</v>
      </c>
      <c r="V268">
        <f t="shared" si="18"/>
        <v>188345000000</v>
      </c>
      <c r="W268">
        <f t="shared" si="19"/>
        <v>1107300000000</v>
      </c>
    </row>
    <row r="269" spans="1:23" x14ac:dyDescent="0.2">
      <c r="A269">
        <f>IF(D269="USD",VLOOKUP(VALUE(RIGHT(E269,4)),'USD RUB'!$E:$F,2,FALSE),1)</f>
        <v>1</v>
      </c>
      <c r="B269" s="4">
        <v>1</v>
      </c>
      <c r="C269">
        <v>1000000</v>
      </c>
      <c r="D269" t="s">
        <v>20</v>
      </c>
      <c r="E269" s="1" t="s">
        <v>285</v>
      </c>
      <c r="F269">
        <v>67364000000</v>
      </c>
      <c r="G269">
        <v>311732000000</v>
      </c>
      <c r="H269">
        <v>701922000000</v>
      </c>
      <c r="J269">
        <v>1201288000000</v>
      </c>
      <c r="K269">
        <v>346820000000</v>
      </c>
      <c r="L269">
        <v>77687000000</v>
      </c>
      <c r="M269">
        <v>683508000000</v>
      </c>
      <c r="N269">
        <v>776781000000</v>
      </c>
      <c r="O269">
        <v>910534000000</v>
      </c>
      <c r="P269">
        <v>263421000000</v>
      </c>
      <c r="Q269">
        <v>273789000000</v>
      </c>
      <c r="R269">
        <v>211548000000</v>
      </c>
      <c r="S269">
        <v>30520000000</v>
      </c>
      <c r="T269">
        <v>294010000000</v>
      </c>
      <c r="U269">
        <v>-97945000000</v>
      </c>
      <c r="V269">
        <f t="shared" si="18"/>
        <v>681159000000</v>
      </c>
      <c r="W269">
        <f t="shared" si="19"/>
        <v>1107454000000</v>
      </c>
    </row>
    <row r="270" spans="1:23" x14ac:dyDescent="0.2">
      <c r="A270">
        <f>IF(D270="USD",VLOOKUP(VALUE(RIGHT(E270,4)),'USD RUB'!$E:$F,2,FALSE),1)</f>
        <v>1</v>
      </c>
      <c r="B270" s="4">
        <v>1</v>
      </c>
      <c r="C270">
        <v>1000000</v>
      </c>
      <c r="D270" t="s">
        <v>20</v>
      </c>
      <c r="E270" s="1" t="s">
        <v>286</v>
      </c>
      <c r="F270">
        <v>97005000000</v>
      </c>
      <c r="G270">
        <v>366206000000</v>
      </c>
      <c r="H270">
        <v>691529000000</v>
      </c>
      <c r="J270">
        <v>1237700000000</v>
      </c>
      <c r="K270">
        <v>360532000000</v>
      </c>
      <c r="L270">
        <v>90393000000</v>
      </c>
      <c r="M270">
        <v>695550000000</v>
      </c>
      <c r="N270">
        <v>786775000000</v>
      </c>
      <c r="O270">
        <v>675157000000</v>
      </c>
      <c r="P270">
        <v>214202000000</v>
      </c>
      <c r="Q270">
        <v>222414000000</v>
      </c>
      <c r="R270">
        <v>173940000000</v>
      </c>
      <c r="S270">
        <v>22405000000</v>
      </c>
      <c r="T270">
        <v>234674000000</v>
      </c>
      <c r="U270">
        <v>-67172000000</v>
      </c>
      <c r="V270">
        <f t="shared" si="18"/>
        <v>489103000000</v>
      </c>
      <c r="W270">
        <f t="shared" si="19"/>
        <v>1104098000000</v>
      </c>
    </row>
    <row r="271" spans="1:23" x14ac:dyDescent="0.2">
      <c r="A271">
        <f>IF(D271="USD",VLOOKUP(VALUE(RIGHT(E271,4)),'USD RUB'!$E:$F,2,FALSE),1)</f>
        <v>1</v>
      </c>
      <c r="B271" s="4">
        <v>1</v>
      </c>
      <c r="C271">
        <v>1000000</v>
      </c>
      <c r="D271" t="s">
        <v>20</v>
      </c>
      <c r="E271" s="1" t="s">
        <v>287</v>
      </c>
      <c r="F271">
        <v>55772000000</v>
      </c>
      <c r="G271">
        <v>318767000000</v>
      </c>
      <c r="H271">
        <v>677874000000</v>
      </c>
      <c r="J271">
        <v>1184294000000</v>
      </c>
      <c r="K271">
        <v>314034000000</v>
      </c>
      <c r="L271">
        <v>82763000000</v>
      </c>
      <c r="M271">
        <v>695100000000</v>
      </c>
      <c r="N271">
        <v>787497000000</v>
      </c>
      <c r="O271">
        <v>422333000000</v>
      </c>
      <c r="P271">
        <v>129265000000</v>
      </c>
      <c r="Q271">
        <v>133651000000</v>
      </c>
      <c r="R271">
        <v>104949000000</v>
      </c>
      <c r="S271">
        <v>13299000000</v>
      </c>
      <c r="T271">
        <v>143246000000</v>
      </c>
      <c r="U271">
        <v>-44007000000</v>
      </c>
      <c r="V271">
        <f t="shared" si="18"/>
        <v>318705000000</v>
      </c>
      <c r="W271">
        <f t="shared" si="19"/>
        <v>1130777000000</v>
      </c>
    </row>
    <row r="272" spans="1:23" x14ac:dyDescent="0.2">
      <c r="A272">
        <f>IF(D272="USD",VLOOKUP(VALUE(RIGHT(E272,4)),'USD RUB'!$E:$F,2,FALSE),1)</f>
        <v>1</v>
      </c>
      <c r="B272" s="4">
        <v>1</v>
      </c>
      <c r="C272">
        <v>1000000</v>
      </c>
      <c r="D272" t="s">
        <v>20</v>
      </c>
      <c r="E272" s="1" t="s">
        <v>288</v>
      </c>
      <c r="F272">
        <v>30790000000</v>
      </c>
      <c r="G272">
        <v>261342000000</v>
      </c>
      <c r="H272">
        <v>664382000000</v>
      </c>
      <c r="J272">
        <v>1107300000000</v>
      </c>
      <c r="K272">
        <v>272136000000</v>
      </c>
      <c r="L272">
        <v>83497000000</v>
      </c>
      <c r="M272">
        <v>659305000000</v>
      </c>
      <c r="N272">
        <v>751667000000</v>
      </c>
      <c r="O272">
        <v>188345000000</v>
      </c>
      <c r="P272">
        <v>53418000000</v>
      </c>
      <c r="Q272">
        <v>54099000000</v>
      </c>
      <c r="R272">
        <v>41918000000</v>
      </c>
      <c r="S272">
        <v>6725000000</v>
      </c>
      <c r="T272">
        <v>61167000000</v>
      </c>
      <c r="U272">
        <v>-20014000000</v>
      </c>
      <c r="V272">
        <f t="shared" si="18"/>
        <v>166445000000</v>
      </c>
      <c r="W272">
        <f t="shared" si="19"/>
        <v>1120838000000</v>
      </c>
    </row>
    <row r="273" spans="1:23" x14ac:dyDescent="0.2">
      <c r="A273">
        <f>IF(D273="USD",VLOOKUP(VALUE(RIGHT(E273,4)),'USD RUB'!$E:$F,2,FALSE),1)</f>
        <v>1</v>
      </c>
      <c r="B273" s="4">
        <v>1</v>
      </c>
      <c r="C273">
        <v>1000000</v>
      </c>
      <c r="D273" t="s">
        <v>20</v>
      </c>
      <c r="E273" s="1" t="s">
        <v>289</v>
      </c>
      <c r="F273">
        <v>42797000000</v>
      </c>
      <c r="G273">
        <v>285381000000</v>
      </c>
      <c r="H273">
        <v>651460000000</v>
      </c>
      <c r="J273">
        <v>1107454000000</v>
      </c>
      <c r="K273">
        <v>306296000000</v>
      </c>
      <c r="L273">
        <v>82429000000</v>
      </c>
      <c r="M273">
        <v>624254000000</v>
      </c>
      <c r="N273">
        <v>718729000000</v>
      </c>
      <c r="O273">
        <v>681159000000</v>
      </c>
      <c r="P273">
        <v>162575000000</v>
      </c>
      <c r="Q273">
        <v>163538000000</v>
      </c>
      <c r="R273">
        <v>123892000000</v>
      </c>
      <c r="S273">
        <v>24885000000</v>
      </c>
      <c r="T273">
        <v>185309000000</v>
      </c>
      <c r="U273">
        <v>-84986000000</v>
      </c>
      <c r="V273">
        <f t="shared" si="18"/>
        <v>580127000000</v>
      </c>
      <c r="W273">
        <f t="shared" si="19"/>
        <v>1094597000000</v>
      </c>
    </row>
    <row r="274" spans="1:23" x14ac:dyDescent="0.2">
      <c r="A274">
        <f>IF(D274="USD",VLOOKUP(VALUE(RIGHT(E274,4)),'USD RUB'!$E:$F,2,FALSE),1)</f>
        <v>1</v>
      </c>
      <c r="B274" s="4">
        <v>1</v>
      </c>
      <c r="C274">
        <v>1000000</v>
      </c>
      <c r="D274" t="s">
        <v>20</v>
      </c>
      <c r="E274" s="1" t="s">
        <v>290</v>
      </c>
      <c r="F274">
        <v>69841000000</v>
      </c>
      <c r="G274">
        <v>308038000000</v>
      </c>
      <c r="H274">
        <v>626678000000</v>
      </c>
      <c r="J274">
        <v>1104098000000</v>
      </c>
      <c r="K274">
        <v>282792000000</v>
      </c>
      <c r="L274">
        <v>75655000000</v>
      </c>
      <c r="M274">
        <v>652751000000</v>
      </c>
      <c r="N274">
        <v>745651000000</v>
      </c>
      <c r="O274">
        <v>489103000000</v>
      </c>
      <c r="P274">
        <v>111874000000</v>
      </c>
      <c r="Q274">
        <v>114619000000</v>
      </c>
      <c r="R274">
        <v>87981000000</v>
      </c>
      <c r="S274">
        <v>18826000000</v>
      </c>
      <c r="T274">
        <v>132167000000</v>
      </c>
      <c r="U274">
        <v>-59668000000</v>
      </c>
      <c r="V274">
        <f t="shared" si="18"/>
        <v>415239000000</v>
      </c>
      <c r="W274">
        <f t="shared" si="19"/>
        <v>809202000000</v>
      </c>
    </row>
    <row r="275" spans="1:23" x14ac:dyDescent="0.2">
      <c r="A275">
        <f>IF(D275="USD",VLOOKUP(VALUE(RIGHT(E275,4)),'USD RUB'!$E:$F,2,FALSE),1)</f>
        <v>1</v>
      </c>
      <c r="B275" s="4">
        <v>1</v>
      </c>
      <c r="C275">
        <v>1000000</v>
      </c>
      <c r="D275" t="s">
        <v>20</v>
      </c>
      <c r="E275" s="1" t="s">
        <v>291</v>
      </c>
      <c r="F275">
        <v>77131000000</v>
      </c>
      <c r="G275">
        <v>320762000000</v>
      </c>
      <c r="H275">
        <v>612553000000</v>
      </c>
      <c r="J275">
        <v>1130777000000</v>
      </c>
      <c r="K275">
        <v>336080000000</v>
      </c>
      <c r="L275">
        <v>74527000000</v>
      </c>
      <c r="M275">
        <v>625878000000</v>
      </c>
      <c r="N275">
        <v>720170000000</v>
      </c>
      <c r="O275">
        <v>318705000000</v>
      </c>
      <c r="P275">
        <v>75811000000</v>
      </c>
      <c r="Q275">
        <v>79765000000</v>
      </c>
      <c r="R275">
        <v>62373000000</v>
      </c>
      <c r="S275">
        <v>12095000000</v>
      </c>
      <c r="T275">
        <v>90678000000</v>
      </c>
      <c r="U275">
        <v>-39940000000</v>
      </c>
      <c r="V275">
        <f t="shared" si="18"/>
        <v>267844000000</v>
      </c>
      <c r="W275">
        <f t="shared" si="19"/>
        <v>800278000000</v>
      </c>
    </row>
    <row r="276" spans="1:23" x14ac:dyDescent="0.2">
      <c r="A276">
        <f>IF(D276="USD",VLOOKUP(VALUE(RIGHT(E276,4)),'USD RUB'!$E:$F,2,FALSE),1)</f>
        <v>1</v>
      </c>
      <c r="B276" s="4">
        <v>1</v>
      </c>
      <c r="C276">
        <v>1000000</v>
      </c>
      <c r="D276" t="s">
        <v>20</v>
      </c>
      <c r="E276" s="1" t="s">
        <v>292</v>
      </c>
      <c r="F276">
        <v>70362000000</v>
      </c>
      <c r="G276">
        <v>329825000000</v>
      </c>
      <c r="H276">
        <v>596689000000</v>
      </c>
      <c r="J276">
        <v>1120838000000</v>
      </c>
      <c r="K276">
        <v>299270000000</v>
      </c>
      <c r="L276">
        <v>76369000000</v>
      </c>
      <c r="M276">
        <v>651067000000</v>
      </c>
      <c r="N276">
        <v>745199000000</v>
      </c>
      <c r="O276">
        <v>166445000000</v>
      </c>
      <c r="P276">
        <v>44095000000</v>
      </c>
      <c r="Q276">
        <v>45777000000</v>
      </c>
      <c r="R276">
        <v>36636000000</v>
      </c>
      <c r="S276">
        <v>4340000000</v>
      </c>
      <c r="T276">
        <v>51954000000</v>
      </c>
      <c r="U276">
        <v>-19418000000</v>
      </c>
      <c r="V276">
        <f t="shared" si="18"/>
        <v>120981000000</v>
      </c>
      <c r="W276">
        <f t="shared" si="19"/>
        <v>774581000000</v>
      </c>
    </row>
    <row r="277" spans="1:23" x14ac:dyDescent="0.2">
      <c r="A277">
        <f>IF(D277="USD",VLOOKUP(VALUE(RIGHT(E277,4)),'USD RUB'!$E:$F,2,FALSE),1)</f>
        <v>1</v>
      </c>
      <c r="B277" s="4">
        <v>1</v>
      </c>
      <c r="C277">
        <v>1000000</v>
      </c>
      <c r="D277" t="s">
        <v>20</v>
      </c>
      <c r="E277" s="1" t="s">
        <v>293</v>
      </c>
      <c r="F277">
        <v>77106000000</v>
      </c>
      <c r="G277">
        <v>332496000000</v>
      </c>
      <c r="H277">
        <v>583614000000</v>
      </c>
      <c r="J277">
        <v>1094597000000</v>
      </c>
      <c r="K277">
        <v>286363000000</v>
      </c>
      <c r="L277">
        <v>99330000000</v>
      </c>
      <c r="M277">
        <v>615477000000</v>
      </c>
      <c r="N277">
        <v>708904000000</v>
      </c>
      <c r="O277">
        <v>580127000000</v>
      </c>
      <c r="P277">
        <v>144084000000</v>
      </c>
      <c r="Q277">
        <v>140971000000</v>
      </c>
      <c r="R277">
        <v>106130000000</v>
      </c>
      <c r="T277">
        <v>165647000000</v>
      </c>
      <c r="U277">
        <v>-95669000000</v>
      </c>
      <c r="V277">
        <f t="shared" si="18"/>
        <v>552712000000</v>
      </c>
      <c r="W277">
        <f t="shared" si="19"/>
        <v>798691000000</v>
      </c>
    </row>
    <row r="278" spans="1:23" x14ac:dyDescent="0.2">
      <c r="A278">
        <f>IF(D278="USD",VLOOKUP(VALUE(RIGHT(E278,4)),'USD RUB'!$E:$F,2,FALSE),1)</f>
        <v>1</v>
      </c>
      <c r="B278" s="4">
        <v>1</v>
      </c>
      <c r="C278">
        <v>1000000</v>
      </c>
      <c r="D278" t="s">
        <v>20</v>
      </c>
      <c r="E278" s="1" t="s">
        <v>294</v>
      </c>
      <c r="F278">
        <v>26739000000</v>
      </c>
      <c r="G278">
        <v>162106000000</v>
      </c>
      <c r="H278">
        <v>567013000000</v>
      </c>
      <c r="J278">
        <v>809202000000</v>
      </c>
      <c r="K278">
        <v>69184000000</v>
      </c>
      <c r="L278">
        <v>70226000000</v>
      </c>
      <c r="M278">
        <v>583294000000</v>
      </c>
      <c r="N278">
        <v>669792000000</v>
      </c>
      <c r="O278">
        <v>415239000000</v>
      </c>
      <c r="Q278">
        <v>98718000000</v>
      </c>
      <c r="R278">
        <v>75100000000</v>
      </c>
      <c r="T278">
        <v>115152000000</v>
      </c>
      <c r="U278">
        <v>-68954000000</v>
      </c>
      <c r="V278">
        <f t="shared" si="18"/>
        <v>414099000000</v>
      </c>
      <c r="W278">
        <f t="shared" si="19"/>
        <v>796904000000</v>
      </c>
    </row>
    <row r="279" spans="1:23" x14ac:dyDescent="0.2">
      <c r="A279">
        <f>IF(D279="USD",VLOOKUP(VALUE(RIGHT(E279,4)),'USD RUB'!$E:$F,2,FALSE),1)</f>
        <v>1</v>
      </c>
      <c r="B279" s="4">
        <v>1</v>
      </c>
      <c r="C279">
        <v>1000000</v>
      </c>
      <c r="D279" t="s">
        <v>20</v>
      </c>
      <c r="E279" s="1" t="s">
        <v>295</v>
      </c>
      <c r="F279">
        <v>39742000000</v>
      </c>
      <c r="G279">
        <v>167191000000</v>
      </c>
      <c r="H279">
        <v>552855000000</v>
      </c>
      <c r="J279">
        <v>800278000000</v>
      </c>
      <c r="K279">
        <v>89181000000</v>
      </c>
      <c r="L279">
        <v>68013000000</v>
      </c>
      <c r="M279">
        <v>556448000000</v>
      </c>
      <c r="N279">
        <v>643084000000</v>
      </c>
      <c r="O279">
        <v>267844000000</v>
      </c>
      <c r="Q279">
        <v>64567000000</v>
      </c>
      <c r="R279">
        <v>48476000000</v>
      </c>
      <c r="T279">
        <v>75907000000</v>
      </c>
      <c r="U279">
        <v>-47356000000</v>
      </c>
      <c r="V279">
        <f t="shared" si="18"/>
        <v>279511000000</v>
      </c>
      <c r="W279">
        <f t="shared" si="19"/>
        <v>794662000000</v>
      </c>
    </row>
    <row r="280" spans="1:23" x14ac:dyDescent="0.2">
      <c r="A280">
        <f>IF(D280="USD",VLOOKUP(VALUE(RIGHT(E280,4)),'USD RUB'!$E:$F,2,FALSE),1)</f>
        <v>1</v>
      </c>
      <c r="B280" s="4">
        <v>1</v>
      </c>
      <c r="C280">
        <v>1000000</v>
      </c>
      <c r="D280" t="s">
        <v>20</v>
      </c>
      <c r="E280" s="1" t="s">
        <v>296</v>
      </c>
      <c r="F280">
        <v>29913000000</v>
      </c>
      <c r="G280">
        <v>159663000000</v>
      </c>
      <c r="H280">
        <v>534908000000</v>
      </c>
      <c r="J280">
        <v>774581000000</v>
      </c>
      <c r="K280">
        <v>61996000000</v>
      </c>
      <c r="L280">
        <v>67870000000</v>
      </c>
      <c r="M280">
        <v>550442000000</v>
      </c>
      <c r="N280">
        <v>644715000000</v>
      </c>
      <c r="O280">
        <v>120981000000</v>
      </c>
      <c r="Q280">
        <v>24308000000</v>
      </c>
      <c r="R280">
        <v>17582000000</v>
      </c>
      <c r="T280">
        <v>30604000000</v>
      </c>
      <c r="U280">
        <v>-22104000000</v>
      </c>
      <c r="V280">
        <f t="shared" si="18"/>
        <v>135061000000</v>
      </c>
      <c r="W280">
        <f t="shared" si="19"/>
        <v>761314000000</v>
      </c>
    </row>
    <row r="281" spans="1:23" x14ac:dyDescent="0.2">
      <c r="A281">
        <f>IF(D281="USD",VLOOKUP(VALUE(RIGHT(E281,4)),'USD RUB'!$E:$F,2,FALSE),1)</f>
        <v>1</v>
      </c>
      <c r="B281" s="4">
        <v>1</v>
      </c>
      <c r="C281">
        <v>1000000</v>
      </c>
      <c r="D281" t="s">
        <v>20</v>
      </c>
      <c r="E281" s="1" t="s">
        <v>297</v>
      </c>
      <c r="F281">
        <v>24918000000</v>
      </c>
      <c r="G281">
        <v>179229000000</v>
      </c>
      <c r="H281">
        <v>557778000000</v>
      </c>
      <c r="J281">
        <v>798691000000</v>
      </c>
      <c r="K281">
        <v>68911000000</v>
      </c>
      <c r="L281">
        <v>72122000000</v>
      </c>
      <c r="M281">
        <v>532821000000</v>
      </c>
      <c r="N281">
        <v>657658000000</v>
      </c>
      <c r="O281">
        <v>552712000000</v>
      </c>
      <c r="Q281">
        <v>137628000000</v>
      </c>
      <c r="R281">
        <v>105772000000</v>
      </c>
      <c r="T281">
        <v>155553000000</v>
      </c>
      <c r="U281">
        <v>-92872000000</v>
      </c>
      <c r="V281">
        <f t="shared" si="18"/>
        <v>476360000000</v>
      </c>
      <c r="W281">
        <f t="shared" si="19"/>
        <v>732934000000</v>
      </c>
    </row>
    <row r="282" spans="1:23" x14ac:dyDescent="0.2">
      <c r="A282">
        <f>IF(D282="USD",VLOOKUP(VALUE(RIGHT(E282,4)),'USD RUB'!$E:$F,2,FALSE),1)</f>
        <v>1</v>
      </c>
      <c r="B282" s="4">
        <v>1</v>
      </c>
      <c r="C282">
        <v>1000000</v>
      </c>
      <c r="D282" t="s">
        <v>20</v>
      </c>
      <c r="E282" s="1" t="s">
        <v>298</v>
      </c>
      <c r="F282">
        <v>31970000000</v>
      </c>
      <c r="G282">
        <v>177001000000</v>
      </c>
      <c r="H282">
        <v>555219000000</v>
      </c>
      <c r="J282">
        <v>796904000000</v>
      </c>
      <c r="K282">
        <v>69877000000</v>
      </c>
      <c r="L282">
        <v>86971000000</v>
      </c>
      <c r="N282">
        <v>640056000000</v>
      </c>
      <c r="O282">
        <v>414099000000</v>
      </c>
      <c r="Q282">
        <v>109332000000</v>
      </c>
      <c r="R282">
        <v>84331000000</v>
      </c>
      <c r="T282">
        <v>124657000000</v>
      </c>
      <c r="V282">
        <f t="shared" si="18"/>
        <v>371815000000</v>
      </c>
      <c r="W282">
        <f t="shared" si="19"/>
        <v>730950000000</v>
      </c>
    </row>
    <row r="283" spans="1:23" x14ac:dyDescent="0.2">
      <c r="A283">
        <f>IF(D283="USD",VLOOKUP(VALUE(RIGHT(E283,4)),'USD RUB'!$E:$F,2,FALSE),1)</f>
        <v>1</v>
      </c>
      <c r="B283" s="4">
        <v>1</v>
      </c>
      <c r="C283">
        <v>1000000</v>
      </c>
      <c r="D283" t="s">
        <v>20</v>
      </c>
      <c r="E283" s="1" t="s">
        <v>299</v>
      </c>
      <c r="F283">
        <v>23695000000</v>
      </c>
      <c r="G283">
        <v>216937000000</v>
      </c>
      <c r="H283">
        <v>531952000000</v>
      </c>
      <c r="J283">
        <v>794662000000</v>
      </c>
      <c r="K283">
        <v>96005000000</v>
      </c>
      <c r="L283">
        <v>82931000000</v>
      </c>
      <c r="N283">
        <v>615726000000</v>
      </c>
      <c r="O283">
        <v>279511000000</v>
      </c>
      <c r="Q283">
        <v>77840000000</v>
      </c>
      <c r="R283">
        <v>59528000000</v>
      </c>
      <c r="T283">
        <v>90292000000</v>
      </c>
      <c r="V283">
        <f t="shared" si="18"/>
        <v>244250000000</v>
      </c>
      <c r="W283">
        <f t="shared" si="19"/>
        <v>715041000000</v>
      </c>
    </row>
    <row r="284" spans="1:23" x14ac:dyDescent="0.2">
      <c r="A284">
        <f>IF(D284="USD",VLOOKUP(VALUE(RIGHT(E284,4)),'USD RUB'!$E:$F,2,FALSE),1)</f>
        <v>1</v>
      </c>
      <c r="B284" s="4">
        <v>1</v>
      </c>
      <c r="C284">
        <v>1000000</v>
      </c>
      <c r="D284" t="s">
        <v>20</v>
      </c>
      <c r="E284" s="1" t="s">
        <v>300</v>
      </c>
      <c r="F284">
        <v>19863000000</v>
      </c>
      <c r="G284">
        <v>200514000000</v>
      </c>
      <c r="H284">
        <v>516929000000</v>
      </c>
      <c r="J284">
        <v>761314000000</v>
      </c>
      <c r="K284">
        <v>80623000000</v>
      </c>
      <c r="L284">
        <v>70413000000</v>
      </c>
      <c r="N284">
        <v>610278000000</v>
      </c>
      <c r="O284">
        <v>135061000000</v>
      </c>
      <c r="Q284">
        <v>36996000000</v>
      </c>
      <c r="R284">
        <v>28101000000</v>
      </c>
      <c r="T284">
        <v>44469000000</v>
      </c>
      <c r="V284">
        <f t="shared" si="18"/>
        <v>116740000000</v>
      </c>
      <c r="W284">
        <f t="shared" si="19"/>
        <v>714221000000</v>
      </c>
    </row>
    <row r="285" spans="1:23" x14ac:dyDescent="0.2">
      <c r="A285">
        <f>IF(D285="USD",VLOOKUP(VALUE(RIGHT(E285,4)),'USD RUB'!$E:$F,2,FALSE),1)</f>
        <v>1</v>
      </c>
      <c r="B285" s="4">
        <v>1</v>
      </c>
      <c r="C285">
        <v>1000000</v>
      </c>
      <c r="D285" t="s">
        <v>20</v>
      </c>
      <c r="E285" s="1" t="s">
        <v>301</v>
      </c>
      <c r="F285">
        <v>41548000000</v>
      </c>
      <c r="G285">
        <v>180602000000</v>
      </c>
      <c r="H285">
        <v>507586000000</v>
      </c>
      <c r="J285">
        <v>732934000000</v>
      </c>
      <c r="K285">
        <v>68464000000</v>
      </c>
      <c r="L285">
        <v>82226000000</v>
      </c>
      <c r="M285">
        <f>457915*C285</f>
        <v>457915000000</v>
      </c>
      <c r="N285">
        <v>582244000000</v>
      </c>
      <c r="O285">
        <v>476360000000</v>
      </c>
      <c r="Q285">
        <v>123973000000</v>
      </c>
      <c r="R285">
        <v>97677000000</v>
      </c>
      <c r="T285">
        <v>127654000000</v>
      </c>
      <c r="V285">
        <f t="shared" si="18"/>
        <v>454983000000</v>
      </c>
      <c r="W285">
        <f t="shared" si="19"/>
        <v>674089000000</v>
      </c>
    </row>
    <row r="286" spans="1:23" x14ac:dyDescent="0.2">
      <c r="A286">
        <f>IF(D286="USD",VLOOKUP(VALUE(RIGHT(E286,4)),'USD RUB'!$E:$F,2,FALSE),1)</f>
        <v>1</v>
      </c>
      <c r="B286" s="4">
        <v>1</v>
      </c>
      <c r="C286">
        <v>1000000</v>
      </c>
      <c r="D286" t="s">
        <v>20</v>
      </c>
      <c r="E286" s="1" t="s">
        <v>302</v>
      </c>
      <c r="F286">
        <v>32714000000</v>
      </c>
      <c r="G286">
        <v>187196000000</v>
      </c>
      <c r="H286">
        <v>502885000000</v>
      </c>
      <c r="J286">
        <v>730950000000</v>
      </c>
      <c r="K286">
        <v>78561000000</v>
      </c>
      <c r="L286">
        <v>89182000000</v>
      </c>
      <c r="N286">
        <v>563207000000</v>
      </c>
      <c r="O286">
        <v>371815000000</v>
      </c>
      <c r="Q286">
        <v>98533000000</v>
      </c>
      <c r="R286">
        <v>77959000000</v>
      </c>
      <c r="T286">
        <v>112890000000</v>
      </c>
      <c r="V286">
        <f t="shared" si="18"/>
        <v>334390000000</v>
      </c>
      <c r="W286">
        <f t="shared" si="19"/>
        <v>659633000000</v>
      </c>
    </row>
    <row r="287" spans="1:23" x14ac:dyDescent="0.2">
      <c r="A287">
        <f>IF(D287="USD",VLOOKUP(VALUE(RIGHT(E287,4)),'USD RUB'!$E:$F,2,FALSE),1)</f>
        <v>1</v>
      </c>
      <c r="B287" s="4">
        <v>1</v>
      </c>
      <c r="C287">
        <v>1000000</v>
      </c>
      <c r="D287" t="s">
        <v>20</v>
      </c>
      <c r="E287" s="1" t="s">
        <v>303</v>
      </c>
      <c r="F287">
        <v>18653000000</v>
      </c>
      <c r="G287">
        <v>181178000000</v>
      </c>
      <c r="H287">
        <v>493049000000</v>
      </c>
      <c r="J287">
        <v>715041000000</v>
      </c>
      <c r="K287">
        <v>89843000000</v>
      </c>
      <c r="L287">
        <v>86604000000</v>
      </c>
      <c r="N287">
        <v>538594000000</v>
      </c>
      <c r="O287">
        <v>244250000000</v>
      </c>
      <c r="Q287">
        <v>43707000000</v>
      </c>
      <c r="R287">
        <v>33914000000</v>
      </c>
      <c r="T287">
        <v>79270000000</v>
      </c>
      <c r="V287">
        <f t="shared" si="18"/>
        <v>207143000000</v>
      </c>
      <c r="W287">
        <f t="shared" si="19"/>
        <v>656140000000</v>
      </c>
    </row>
    <row r="288" spans="1:23" x14ac:dyDescent="0.2">
      <c r="A288">
        <f>IF(D288="USD",VLOOKUP(VALUE(RIGHT(E288,4)),'USD RUB'!$E:$F,2,FALSE),1)</f>
        <v>1</v>
      </c>
      <c r="B288" s="4">
        <v>1</v>
      </c>
      <c r="C288">
        <v>1000000</v>
      </c>
      <c r="D288" t="s">
        <v>20</v>
      </c>
      <c r="E288" s="1" t="s">
        <v>304</v>
      </c>
      <c r="F288">
        <v>23550000000</v>
      </c>
      <c r="G288">
        <v>185709000000</v>
      </c>
      <c r="H288">
        <v>488128000000</v>
      </c>
      <c r="J288">
        <v>714221000000</v>
      </c>
      <c r="K288">
        <v>99460000000</v>
      </c>
      <c r="L288">
        <v>85073000000</v>
      </c>
      <c r="N288">
        <v>529688000000</v>
      </c>
      <c r="O288">
        <v>116740000000</v>
      </c>
      <c r="Q288">
        <v>31016000000</v>
      </c>
      <c r="R288">
        <v>25494000000</v>
      </c>
      <c r="T288">
        <v>37934000000</v>
      </c>
      <c r="V288">
        <f t="shared" si="18"/>
        <v>106554000000</v>
      </c>
      <c r="W288">
        <f t="shared" si="19"/>
        <v>641636000000</v>
      </c>
    </row>
    <row r="289" spans="1:23" x14ac:dyDescent="0.2">
      <c r="A289">
        <f>IF(D289="USD",VLOOKUP(VALUE(RIGHT(E289,4)),'USD RUB'!$E:$F,2,FALSE),1)</f>
        <v>1</v>
      </c>
      <c r="B289" s="4">
        <v>1</v>
      </c>
      <c r="C289">
        <v>1000000</v>
      </c>
      <c r="D289" t="s">
        <v>20</v>
      </c>
      <c r="E289" s="1" t="s">
        <v>305</v>
      </c>
      <c r="F289">
        <v>29535000000</v>
      </c>
      <c r="G289">
        <v>151998000000</v>
      </c>
      <c r="H289">
        <v>481883000000</v>
      </c>
      <c r="J289">
        <v>674089000000</v>
      </c>
      <c r="K289">
        <v>83173000000</v>
      </c>
      <c r="L289">
        <v>86934000000</v>
      </c>
      <c r="M289">
        <f>384376*C289</f>
        <v>384376000000</v>
      </c>
      <c r="N289">
        <v>503982000000</v>
      </c>
      <c r="O289">
        <v>454983000000</v>
      </c>
      <c r="Q289">
        <v>101291000000</v>
      </c>
      <c r="R289">
        <v>78344000000</v>
      </c>
      <c r="T289">
        <v>123732000000</v>
      </c>
      <c r="V289">
        <f t="shared" si="18"/>
        <v>444099000000</v>
      </c>
      <c r="W289">
        <f t="shared" si="19"/>
        <v>630607000000</v>
      </c>
    </row>
    <row r="290" spans="1:23" x14ac:dyDescent="0.2">
      <c r="A290">
        <f>IF(D290="USD",VLOOKUP(VALUE(RIGHT(E290,4)),'USD RUB'!$E:$F,2,FALSE),1)</f>
        <v>1</v>
      </c>
      <c r="B290" s="4">
        <v>1</v>
      </c>
      <c r="C290">
        <v>1000000</v>
      </c>
      <c r="D290" t="s">
        <v>20</v>
      </c>
      <c r="E290" s="1" t="s">
        <v>306</v>
      </c>
      <c r="F290">
        <v>17234000000</v>
      </c>
      <c r="G290">
        <v>147327000000</v>
      </c>
      <c r="H290">
        <v>471996000000</v>
      </c>
      <c r="J290">
        <v>659633000000</v>
      </c>
      <c r="K290">
        <v>85670000000</v>
      </c>
      <c r="L290">
        <v>87937000000</v>
      </c>
      <c r="N290">
        <v>486026000000</v>
      </c>
      <c r="O290">
        <v>334390000000</v>
      </c>
      <c r="Q290">
        <v>77795000000</v>
      </c>
      <c r="R290">
        <v>59909000000</v>
      </c>
      <c r="T290">
        <v>92948000000</v>
      </c>
      <c r="V290">
        <f t="shared" si="18"/>
        <v>471504000000</v>
      </c>
      <c r="W290">
        <f t="shared" si="19"/>
        <v>653771000000</v>
      </c>
    </row>
    <row r="291" spans="1:23" x14ac:dyDescent="0.2">
      <c r="A291">
        <f>IF(D291="USD",VLOOKUP(VALUE(RIGHT(E291,4)),'USD RUB'!$E:$F,2,FALSE),1)</f>
        <v>1</v>
      </c>
      <c r="B291" s="4">
        <v>1</v>
      </c>
      <c r="C291">
        <v>1000000</v>
      </c>
      <c r="D291" t="s">
        <v>20</v>
      </c>
      <c r="E291" s="1" t="s">
        <v>307</v>
      </c>
      <c r="F291">
        <v>27917000000</v>
      </c>
      <c r="G291">
        <v>152978000000</v>
      </c>
      <c r="H291">
        <v>463519000000</v>
      </c>
      <c r="J291">
        <v>656140000000</v>
      </c>
      <c r="K291">
        <v>107829000000</v>
      </c>
      <c r="L291">
        <v>88078000000</v>
      </c>
      <c r="N291">
        <v>460233000000</v>
      </c>
      <c r="O291">
        <v>207143000000</v>
      </c>
      <c r="Q291">
        <v>43707000000</v>
      </c>
      <c r="R291">
        <v>33914000000</v>
      </c>
      <c r="T291">
        <v>54988000000</v>
      </c>
      <c r="V291">
        <f t="shared" si="18"/>
        <v>294244000000</v>
      </c>
      <c r="W291">
        <f t="shared" si="19"/>
        <v>646881000000</v>
      </c>
    </row>
    <row r="292" spans="1:23" x14ac:dyDescent="0.2">
      <c r="A292">
        <f>IF(D292="USD",VLOOKUP(VALUE(RIGHT(E292,4)),'USD RUB'!$E:$F,2,FALSE),1)</f>
        <v>1</v>
      </c>
      <c r="B292" s="4">
        <v>1</v>
      </c>
      <c r="C292">
        <v>1000000</v>
      </c>
      <c r="D292" t="s">
        <v>20</v>
      </c>
      <c r="E292" s="1" t="s">
        <v>308</v>
      </c>
      <c r="F292">
        <v>20422000000</v>
      </c>
      <c r="G292">
        <v>146003000000</v>
      </c>
      <c r="H292">
        <v>455469000000</v>
      </c>
      <c r="J292">
        <v>641636000000</v>
      </c>
      <c r="K292">
        <v>70998000000</v>
      </c>
      <c r="L292">
        <v>106450000000</v>
      </c>
      <c r="N292">
        <v>464188000000</v>
      </c>
      <c r="O292">
        <v>106554000000</v>
      </c>
      <c r="Q292">
        <v>23663000000</v>
      </c>
      <c r="R292">
        <v>17960000000</v>
      </c>
      <c r="T292">
        <v>28978000000</v>
      </c>
      <c r="V292">
        <f t="shared" si="18"/>
        <v>151030000000</v>
      </c>
      <c r="W292">
        <f t="shared" si="19"/>
        <v>641404000000</v>
      </c>
    </row>
    <row r="293" spans="1:23" x14ac:dyDescent="0.2">
      <c r="A293">
        <f>IF(D293="USD",VLOOKUP(VALUE(RIGHT(E293,4)),'USD RUB'!$E:$F,2,FALSE),1)</f>
        <v>1</v>
      </c>
      <c r="B293" s="4">
        <v>1</v>
      </c>
      <c r="C293">
        <v>1000000</v>
      </c>
      <c r="D293" t="s">
        <v>20</v>
      </c>
      <c r="E293" s="1" t="s">
        <v>309</v>
      </c>
      <c r="F293">
        <v>13083000000</v>
      </c>
      <c r="G293">
        <v>140332000000</v>
      </c>
      <c r="H293">
        <v>448903000000</v>
      </c>
      <c r="J293">
        <v>630607000000</v>
      </c>
      <c r="K293">
        <v>76550000000</v>
      </c>
      <c r="L293">
        <v>107824000000</v>
      </c>
      <c r="M293">
        <f>333072*C293</f>
        <v>333072000000</v>
      </c>
      <c r="N293">
        <v>446233000000</v>
      </c>
      <c r="O293">
        <v>444099000000</v>
      </c>
      <c r="Q293">
        <v>101818000000</v>
      </c>
      <c r="R293">
        <v>78448000000</v>
      </c>
      <c r="T293">
        <v>119445000000</v>
      </c>
      <c r="V293">
        <f t="shared" si="18"/>
        <v>615867000000</v>
      </c>
      <c r="W293">
        <f t="shared" si="19"/>
        <v>627823000000</v>
      </c>
    </row>
    <row r="294" spans="1:23" x14ac:dyDescent="0.2">
      <c r="A294">
        <f>IF(D294="USD",VLOOKUP(VALUE(RIGHT(E294,4)),'USD RUB'!$E:$F,2,FALSE),1)</f>
        <v>1</v>
      </c>
      <c r="B294" s="4">
        <v>1</v>
      </c>
      <c r="C294">
        <v>1000000</v>
      </c>
      <c r="D294" t="s">
        <v>20</v>
      </c>
      <c r="E294" s="1" t="s">
        <v>310</v>
      </c>
      <c r="F294">
        <v>17000000000</v>
      </c>
      <c r="G294">
        <v>159118000000</v>
      </c>
      <c r="H294">
        <v>459772000000</v>
      </c>
      <c r="J294">
        <v>653771000000</v>
      </c>
      <c r="K294">
        <v>88157000000</v>
      </c>
      <c r="L294">
        <v>113079000000</v>
      </c>
      <c r="N294">
        <v>452535000000</v>
      </c>
      <c r="O294">
        <v>471504000000</v>
      </c>
      <c r="Q294">
        <v>84267000000</v>
      </c>
      <c r="R294">
        <v>65347000000</v>
      </c>
      <c r="V294">
        <f t="shared" si="18"/>
        <v>447806000000</v>
      </c>
      <c r="W294">
        <f t="shared" si="19"/>
        <v>601133000000</v>
      </c>
    </row>
    <row r="295" spans="1:23" x14ac:dyDescent="0.2">
      <c r="A295">
        <f>IF(D295="USD",VLOOKUP(VALUE(RIGHT(E295,4)),'USD RUB'!$E:$F,2,FALSE),1)</f>
        <v>1</v>
      </c>
      <c r="B295" s="4">
        <v>1</v>
      </c>
      <c r="C295">
        <v>1000000</v>
      </c>
      <c r="D295" t="s">
        <v>20</v>
      </c>
      <c r="E295" s="1" t="s">
        <v>311</v>
      </c>
      <c r="F295">
        <v>20220000000</v>
      </c>
      <c r="G295">
        <v>162332000000</v>
      </c>
      <c r="H295">
        <v>444859000000</v>
      </c>
      <c r="J295">
        <v>646881000000</v>
      </c>
      <c r="K295">
        <v>102551000000</v>
      </c>
      <c r="L295">
        <v>121455000000</v>
      </c>
      <c r="N295">
        <v>422875000000</v>
      </c>
      <c r="O295">
        <v>294244000000</v>
      </c>
      <c r="P295">
        <v>45859000000</v>
      </c>
      <c r="Q295">
        <v>46381000000</v>
      </c>
      <c r="R295">
        <v>35716000000</v>
      </c>
      <c r="T295">
        <v>53798000000</v>
      </c>
      <c r="V295">
        <f t="shared" si="18"/>
        <v>293990000000</v>
      </c>
      <c r="W295">
        <f t="shared" si="19"/>
        <v>590141000000</v>
      </c>
    </row>
    <row r="296" spans="1:23" x14ac:dyDescent="0.2">
      <c r="A296">
        <f>IF(D296="USD",VLOOKUP(VALUE(RIGHT(E296,4)),'USD RUB'!$E:$F,2,FALSE),1)</f>
        <v>1</v>
      </c>
      <c r="B296" s="4">
        <v>1</v>
      </c>
      <c r="C296">
        <v>1000000</v>
      </c>
      <c r="D296" t="s">
        <v>20</v>
      </c>
      <c r="E296" s="1" t="s">
        <v>312</v>
      </c>
      <c r="F296">
        <v>28144000000</v>
      </c>
      <c r="G296">
        <v>165807000000</v>
      </c>
      <c r="H296">
        <v>435801000000</v>
      </c>
      <c r="J296">
        <v>641404000000</v>
      </c>
      <c r="K296">
        <v>87735000000</v>
      </c>
      <c r="L296">
        <v>121207000000</v>
      </c>
      <c r="N296">
        <v>432462000000</v>
      </c>
      <c r="O296">
        <v>151030000000</v>
      </c>
      <c r="P296">
        <v>32859000000</v>
      </c>
      <c r="Q296">
        <v>37921000000</v>
      </c>
      <c r="R296">
        <v>29409000000</v>
      </c>
      <c r="T296">
        <v>41237000000</v>
      </c>
      <c r="V296">
        <f t="shared" si="18"/>
        <v>131726000000</v>
      </c>
      <c r="W296">
        <f t="shared" si="19"/>
        <v>583264000000</v>
      </c>
    </row>
    <row r="297" spans="1:23" x14ac:dyDescent="0.2">
      <c r="A297">
        <f>IF(D297="USD",VLOOKUP(VALUE(RIGHT(E297,4)),'USD RUB'!$E:$F,2,FALSE),1)</f>
        <v>1</v>
      </c>
      <c r="B297" s="4">
        <v>1</v>
      </c>
      <c r="C297">
        <v>1000000</v>
      </c>
      <c r="D297" t="s">
        <v>20</v>
      </c>
      <c r="E297" s="1" t="s">
        <v>313</v>
      </c>
      <c r="F297">
        <v>17044000000</v>
      </c>
      <c r="G297">
        <v>155600000000</v>
      </c>
      <c r="H297">
        <v>430781000000</v>
      </c>
      <c r="J297">
        <v>627823000000</v>
      </c>
      <c r="K297">
        <v>97061000000</v>
      </c>
      <c r="L297">
        <v>127351000000</v>
      </c>
      <c r="M297">
        <f>291029*C297</f>
        <v>291029000000</v>
      </c>
      <c r="N297">
        <v>403411000000</v>
      </c>
      <c r="O297">
        <v>615867000000</v>
      </c>
      <c r="P297">
        <v>90644000000</v>
      </c>
      <c r="Q297">
        <v>85909000000</v>
      </c>
      <c r="R297">
        <v>63973000000</v>
      </c>
      <c r="T297">
        <v>96057000000</v>
      </c>
      <c r="V297">
        <f>468032*C297</f>
        <v>468032000000</v>
      </c>
      <c r="W297">
        <f>567179*C297</f>
        <v>567179000000</v>
      </c>
    </row>
    <row r="298" spans="1:23" x14ac:dyDescent="0.2">
      <c r="A298">
        <f>IF(D298="USD",VLOOKUP(VALUE(RIGHT(E298,4)),'USD RUB'!$E:$F,2,FALSE),1)</f>
        <v>1</v>
      </c>
      <c r="B298" s="4">
        <v>1</v>
      </c>
      <c r="C298">
        <v>1000000</v>
      </c>
      <c r="D298" t="s">
        <v>20</v>
      </c>
      <c r="E298" s="1" t="s">
        <v>314</v>
      </c>
      <c r="F298">
        <v>16228000000</v>
      </c>
      <c r="G298">
        <v>137789000000</v>
      </c>
      <c r="H298">
        <v>421643000000</v>
      </c>
      <c r="J298">
        <v>601133000000</v>
      </c>
      <c r="K298">
        <v>89753000000</v>
      </c>
      <c r="L298">
        <v>124596000000</v>
      </c>
      <c r="N298">
        <v>386784000000</v>
      </c>
      <c r="O298">
        <v>447806000000</v>
      </c>
      <c r="P298">
        <v>65096000000</v>
      </c>
      <c r="Q298">
        <v>64317000000</v>
      </c>
      <c r="R298">
        <v>47050000000</v>
      </c>
      <c r="T298">
        <v>72823000000</v>
      </c>
      <c r="V298" t="str">
        <f t="shared" ref="V298:V343" si="20">_xlfn.XLOOKUP(LEFT(E298,LEN(E298)-4)&amp;(VALUE(RIGHT(E298,4))-1),$E:$E,$O:$O,"")</f>
        <v/>
      </c>
      <c r="W298" t="str">
        <f t="shared" ref="W298:W343" si="21">_xlfn.XLOOKUP(LEFT(E298,LEN(E298)-4)&amp;(VALUE(RIGHT(E298,4))-1),$E:$E,$J:$J,"")</f>
        <v/>
      </c>
    </row>
    <row r="299" spans="1:23" x14ac:dyDescent="0.2">
      <c r="A299">
        <f>IF(D299="USD",VLOOKUP(VALUE(RIGHT(E299,4)),'USD RUB'!$E:$F,2,FALSE),1)</f>
        <v>1</v>
      </c>
      <c r="B299" s="4">
        <v>1</v>
      </c>
      <c r="C299">
        <v>1000000</v>
      </c>
      <c r="D299" t="s">
        <v>20</v>
      </c>
      <c r="E299" s="1" t="s">
        <v>315</v>
      </c>
      <c r="F299">
        <v>14358000000</v>
      </c>
      <c r="G299">
        <v>135549000000</v>
      </c>
      <c r="H299">
        <v>412254000000</v>
      </c>
      <c r="J299">
        <v>590141000000</v>
      </c>
      <c r="K299">
        <v>94935000000</v>
      </c>
      <c r="L299">
        <v>115741000000</v>
      </c>
      <c r="N299">
        <v>379465000000</v>
      </c>
      <c r="O299">
        <v>293990000000</v>
      </c>
      <c r="P299">
        <v>47663000000</v>
      </c>
      <c r="Q299">
        <v>53025000000</v>
      </c>
      <c r="R299">
        <v>40698000000</v>
      </c>
      <c r="T299">
        <v>58525000000</v>
      </c>
      <c r="V299" t="str">
        <f t="shared" si="20"/>
        <v/>
      </c>
      <c r="W299" t="str">
        <f t="shared" si="21"/>
        <v/>
      </c>
    </row>
    <row r="300" spans="1:23" x14ac:dyDescent="0.2">
      <c r="A300">
        <f>IF(D300="USD",VLOOKUP(VALUE(RIGHT(E300,4)),'USD RUB'!$E:$F,2,FALSE),1)</f>
        <v>1</v>
      </c>
      <c r="B300" s="4">
        <v>1</v>
      </c>
      <c r="C300">
        <v>1000000</v>
      </c>
      <c r="D300" t="s">
        <v>20</v>
      </c>
      <c r="E300" s="1" t="s">
        <v>316</v>
      </c>
      <c r="F300">
        <v>10619000000</v>
      </c>
      <c r="G300">
        <v>137144000000</v>
      </c>
      <c r="H300">
        <v>403664000000</v>
      </c>
      <c r="J300">
        <v>583264000000</v>
      </c>
      <c r="K300">
        <v>83484000000</v>
      </c>
      <c r="L300">
        <v>124374000000</v>
      </c>
      <c r="N300">
        <v>375406000000</v>
      </c>
      <c r="O300">
        <v>131726000000</v>
      </c>
      <c r="P300">
        <v>26855000000</v>
      </c>
      <c r="Q300">
        <v>32141000000</v>
      </c>
      <c r="R300">
        <v>25029000000</v>
      </c>
      <c r="T300">
        <v>34990000000</v>
      </c>
      <c r="V300" t="str">
        <f t="shared" si="20"/>
        <v/>
      </c>
      <c r="W300" t="str">
        <f t="shared" si="21"/>
        <v/>
      </c>
    </row>
    <row r="301" spans="1:23" x14ac:dyDescent="0.2">
      <c r="A301">
        <f>IF(D301="USD",VLOOKUP(VALUE(RIGHT(E301,4)),'USD RUB'!$E:$F,2,FALSE),1)</f>
        <v>1</v>
      </c>
      <c r="B301" s="4">
        <v>1</v>
      </c>
      <c r="C301">
        <v>1000</v>
      </c>
      <c r="D301" t="s">
        <v>20</v>
      </c>
      <c r="E301" s="1" t="s">
        <v>317</v>
      </c>
      <c r="F301">
        <v>3765609000</v>
      </c>
      <c r="G301">
        <v>11822694000</v>
      </c>
      <c r="H301">
        <v>56485374000</v>
      </c>
      <c r="I301">
        <v>185083000</v>
      </c>
      <c r="J301">
        <v>73278333000</v>
      </c>
      <c r="K301">
        <v>19664585000</v>
      </c>
      <c r="L301">
        <v>15749433000</v>
      </c>
      <c r="M301">
        <v>-4189919000</v>
      </c>
      <c r="N301">
        <v>37864315000</v>
      </c>
      <c r="O301">
        <v>57799845000</v>
      </c>
      <c r="P301">
        <v>8470615000</v>
      </c>
      <c r="Q301">
        <v>5189734000</v>
      </c>
      <c r="R301">
        <v>3831580000</v>
      </c>
      <c r="S301">
        <v>3810153000</v>
      </c>
      <c r="V301">
        <f t="shared" si="20"/>
        <v>48242114000</v>
      </c>
      <c r="W301">
        <f t="shared" si="21"/>
        <v>69628274000</v>
      </c>
    </row>
    <row r="302" spans="1:23" x14ac:dyDescent="0.2">
      <c r="A302">
        <f>IF(D302="USD",VLOOKUP(VALUE(RIGHT(E302,4)),'USD RUB'!$E:$F,2,FALSE),1)</f>
        <v>1</v>
      </c>
      <c r="B302" s="4">
        <v>1</v>
      </c>
      <c r="C302">
        <v>1000</v>
      </c>
      <c r="D302" t="s">
        <v>20</v>
      </c>
      <c r="E302" s="1" t="s">
        <v>318</v>
      </c>
      <c r="F302">
        <v>5069977000</v>
      </c>
      <c r="G302">
        <v>11486112000</v>
      </c>
      <c r="H302">
        <v>57695723000</v>
      </c>
      <c r="I302">
        <v>201291000</v>
      </c>
      <c r="J302">
        <v>73302843000</v>
      </c>
      <c r="K302">
        <v>11100904000</v>
      </c>
      <c r="L302">
        <v>24983082000</v>
      </c>
      <c r="M302">
        <v>-4830708000</v>
      </c>
      <c r="N302">
        <v>37218857000</v>
      </c>
      <c r="O302">
        <v>37756973000</v>
      </c>
      <c r="P302">
        <v>6558332000</v>
      </c>
      <c r="Q302">
        <v>4320612000</v>
      </c>
      <c r="R302">
        <v>3186122000</v>
      </c>
      <c r="S302">
        <v>2469076000</v>
      </c>
      <c r="T302">
        <v>8891000000</v>
      </c>
      <c r="U302">
        <v>-4297152000</v>
      </c>
      <c r="V302">
        <f t="shared" si="20"/>
        <v>32613612000</v>
      </c>
      <c r="W302">
        <f t="shared" si="21"/>
        <v>70235701000</v>
      </c>
    </row>
    <row r="303" spans="1:23" x14ac:dyDescent="0.2">
      <c r="A303">
        <f>IF(D303="USD",VLOOKUP(VALUE(RIGHT(E303,4)),'USD RUB'!$E:$F,2,FALSE),1)</f>
        <v>1</v>
      </c>
      <c r="B303" s="4">
        <v>1</v>
      </c>
      <c r="C303">
        <v>1000</v>
      </c>
      <c r="D303" t="s">
        <v>20</v>
      </c>
      <c r="E303" s="1" t="s">
        <v>319</v>
      </c>
      <c r="F303">
        <v>3548268000</v>
      </c>
      <c r="G303">
        <v>11614255000</v>
      </c>
      <c r="H303">
        <v>57043769000</v>
      </c>
      <c r="I303">
        <v>219120000</v>
      </c>
      <c r="J303">
        <v>72856513000</v>
      </c>
      <c r="K303">
        <v>10971471000</v>
      </c>
      <c r="L303">
        <v>25373966000</v>
      </c>
      <c r="M303">
        <v>-5538277000</v>
      </c>
      <c r="N303">
        <v>36511076000</v>
      </c>
      <c r="O303">
        <v>21686748000</v>
      </c>
      <c r="P303">
        <v>4506387000</v>
      </c>
      <c r="Q303">
        <v>3356821000</v>
      </c>
      <c r="R303">
        <v>2478341000</v>
      </c>
      <c r="S303">
        <v>1194411000</v>
      </c>
      <c r="V303">
        <f t="shared" si="20"/>
        <v>19419505000</v>
      </c>
      <c r="W303">
        <f t="shared" si="21"/>
        <v>69984020000</v>
      </c>
    </row>
    <row r="304" spans="1:23" x14ac:dyDescent="0.2">
      <c r="A304">
        <f>IF(D304="USD",VLOOKUP(VALUE(RIGHT(E304,4)),'USD RUB'!$E:$F,2,FALSE),1)</f>
        <v>1</v>
      </c>
      <c r="B304" s="4">
        <v>1</v>
      </c>
      <c r="C304">
        <v>1000</v>
      </c>
      <c r="D304" t="s">
        <v>20</v>
      </c>
      <c r="E304" s="1" t="s">
        <v>320</v>
      </c>
      <c r="F304">
        <v>5472781000</v>
      </c>
      <c r="G304">
        <v>13715707000</v>
      </c>
      <c r="H304">
        <v>55680516000</v>
      </c>
      <c r="I304">
        <v>246355000</v>
      </c>
      <c r="J304">
        <v>73740752000</v>
      </c>
      <c r="K304">
        <v>14391742000</v>
      </c>
      <c r="L304">
        <v>25316275000</v>
      </c>
      <c r="M304">
        <v>-8013423000</v>
      </c>
      <c r="N304">
        <v>34032735000</v>
      </c>
      <c r="O304">
        <v>68556678000</v>
      </c>
      <c r="P304">
        <v>9489235000</v>
      </c>
      <c r="Q304">
        <v>4944994000</v>
      </c>
      <c r="R304">
        <v>4542481000</v>
      </c>
      <c r="S304">
        <v>3163218000</v>
      </c>
      <c r="T304">
        <v>13529000000</v>
      </c>
      <c r="U304">
        <v>-6789864000</v>
      </c>
      <c r="V304">
        <f t="shared" si="20"/>
        <v>60815177000</v>
      </c>
      <c r="W304">
        <f t="shared" si="21"/>
        <v>66977551000</v>
      </c>
    </row>
    <row r="305" spans="1:23" x14ac:dyDescent="0.2">
      <c r="A305">
        <f>IF(D305="USD",VLOOKUP(VALUE(RIGHT(E305,4)),'USD RUB'!$E:$F,2,FALSE),1)</f>
        <v>1</v>
      </c>
      <c r="B305" s="4">
        <v>1</v>
      </c>
      <c r="C305">
        <v>1000</v>
      </c>
      <c r="D305" t="s">
        <v>20</v>
      </c>
      <c r="E305" s="1" t="s">
        <v>321</v>
      </c>
      <c r="F305">
        <v>2624378000</v>
      </c>
      <c r="G305">
        <v>10057464000</v>
      </c>
      <c r="H305">
        <v>55140482000</v>
      </c>
      <c r="I305">
        <v>285956000</v>
      </c>
      <c r="J305">
        <v>69628274000</v>
      </c>
      <c r="K305">
        <v>13464495000</v>
      </c>
      <c r="L305">
        <v>23006871000</v>
      </c>
      <c r="M305">
        <v>-8900660000</v>
      </c>
      <c r="N305">
        <v>33156908000</v>
      </c>
      <c r="O305">
        <v>48242114000</v>
      </c>
      <c r="P305">
        <v>8081895000</v>
      </c>
      <c r="Q305">
        <v>4694496000</v>
      </c>
      <c r="R305">
        <v>3688401000</v>
      </c>
      <c r="S305">
        <v>2390783000</v>
      </c>
      <c r="V305">
        <f t="shared" si="20"/>
        <v>44241076000</v>
      </c>
      <c r="W305">
        <f t="shared" si="21"/>
        <v>63630279000</v>
      </c>
    </row>
    <row r="306" spans="1:23" x14ac:dyDescent="0.2">
      <c r="A306">
        <f>IF(D306="USD",VLOOKUP(VALUE(RIGHT(E306,4)),'USD RUB'!$E:$F,2,FALSE),1)</f>
        <v>1</v>
      </c>
      <c r="B306" s="4">
        <v>1</v>
      </c>
      <c r="C306">
        <v>1000</v>
      </c>
      <c r="D306" t="s">
        <v>20</v>
      </c>
      <c r="E306" s="1" t="s">
        <v>322</v>
      </c>
      <c r="F306">
        <v>4009843000</v>
      </c>
      <c r="G306">
        <v>10980167000</v>
      </c>
      <c r="H306">
        <v>54745340000</v>
      </c>
      <c r="I306">
        <v>335191000</v>
      </c>
      <c r="J306">
        <v>70235701000</v>
      </c>
      <c r="K306">
        <v>13910428000</v>
      </c>
      <c r="L306">
        <v>23690601000</v>
      </c>
      <c r="M306">
        <v>-9419053000</v>
      </c>
      <c r="N306">
        <v>32634672000</v>
      </c>
      <c r="O306">
        <v>32613612000</v>
      </c>
      <c r="P306">
        <v>6115588000</v>
      </c>
      <c r="Q306">
        <v>4030705000</v>
      </c>
      <c r="R306">
        <v>3166165000</v>
      </c>
      <c r="S306">
        <v>1663710000</v>
      </c>
      <c r="T306">
        <v>7308000000</v>
      </c>
      <c r="U306">
        <v>-2932548000</v>
      </c>
      <c r="V306">
        <f t="shared" si="20"/>
        <v>28944337000</v>
      </c>
      <c r="W306">
        <f t="shared" si="21"/>
        <v>63828521000</v>
      </c>
    </row>
    <row r="307" spans="1:23" x14ac:dyDescent="0.2">
      <c r="A307">
        <f>IF(D307="USD",VLOOKUP(VALUE(RIGHT(E307,4)),'USD RUB'!$E:$F,2,FALSE),1)</f>
        <v>1</v>
      </c>
      <c r="B307" s="4">
        <v>1</v>
      </c>
      <c r="C307">
        <v>1000</v>
      </c>
      <c r="D307" t="s">
        <v>20</v>
      </c>
      <c r="E307" s="1" t="s">
        <v>323</v>
      </c>
      <c r="F307">
        <v>3740477000</v>
      </c>
      <c r="G307">
        <v>11169348000</v>
      </c>
      <c r="H307">
        <v>54188636000</v>
      </c>
      <c r="I307">
        <v>386177000</v>
      </c>
      <c r="J307">
        <v>69984020000</v>
      </c>
      <c r="K307">
        <v>14469019000</v>
      </c>
      <c r="L307">
        <v>23609897000</v>
      </c>
      <c r="M307">
        <v>-10142744000</v>
      </c>
      <c r="N307">
        <v>31905104000</v>
      </c>
      <c r="O307">
        <v>19419505000</v>
      </c>
      <c r="P307">
        <v>4377834000</v>
      </c>
      <c r="Q307">
        <v>3101180000</v>
      </c>
      <c r="R307">
        <v>2436597000</v>
      </c>
      <c r="S307">
        <v>849091000</v>
      </c>
      <c r="V307">
        <f t="shared" si="20"/>
        <v>16390581000</v>
      </c>
      <c r="W307">
        <f t="shared" si="21"/>
        <v>66438617000</v>
      </c>
    </row>
    <row r="308" spans="1:23" x14ac:dyDescent="0.2">
      <c r="A308">
        <f>IF(D308="USD",VLOOKUP(VALUE(RIGHT(E308,4)),'USD RUB'!$E:$F,2,FALSE),1)</f>
        <v>1</v>
      </c>
      <c r="B308" s="4">
        <v>1</v>
      </c>
      <c r="C308">
        <v>1000</v>
      </c>
      <c r="D308" t="s">
        <v>20</v>
      </c>
      <c r="E308" s="1" t="s">
        <v>324</v>
      </c>
      <c r="F308">
        <v>908654000</v>
      </c>
      <c r="G308">
        <v>9502667000</v>
      </c>
      <c r="H308">
        <v>52686990000</v>
      </c>
      <c r="I308">
        <v>431195000</v>
      </c>
      <c r="J308">
        <v>66977551000</v>
      </c>
      <c r="K308">
        <v>13193674000</v>
      </c>
      <c r="L308">
        <v>24315370000</v>
      </c>
      <c r="M308">
        <v>-12580600000</v>
      </c>
      <c r="N308">
        <v>29468507000</v>
      </c>
      <c r="O308">
        <v>60815177000</v>
      </c>
      <c r="P308">
        <v>8596355000</v>
      </c>
      <c r="Q308">
        <v>5864053000</v>
      </c>
      <c r="R308">
        <v>4624393000</v>
      </c>
      <c r="S308">
        <v>3210009000</v>
      </c>
      <c r="T308">
        <v>12141000000</v>
      </c>
      <c r="U308">
        <v>-9443523000</v>
      </c>
      <c r="V308">
        <f t="shared" si="20"/>
        <v>50481443000</v>
      </c>
      <c r="W308">
        <f t="shared" si="21"/>
        <v>65354880000</v>
      </c>
    </row>
    <row r="309" spans="1:23" x14ac:dyDescent="0.2">
      <c r="A309">
        <f>IF(D309="USD",VLOOKUP(VALUE(RIGHT(E309,4)),'USD RUB'!$E:$F,2,FALSE),1)</f>
        <v>1</v>
      </c>
      <c r="B309" s="4">
        <v>1</v>
      </c>
      <c r="C309">
        <v>1000</v>
      </c>
      <c r="D309" t="s">
        <v>20</v>
      </c>
      <c r="E309" s="1" t="s">
        <v>325</v>
      </c>
      <c r="F309">
        <v>3108339000</v>
      </c>
      <c r="G309">
        <v>10194290000</v>
      </c>
      <c r="H309">
        <v>48471094000</v>
      </c>
      <c r="I309">
        <v>419401000</v>
      </c>
      <c r="J309">
        <v>63630279000</v>
      </c>
      <c r="K309">
        <v>10877453000</v>
      </c>
      <c r="L309">
        <v>24462861000</v>
      </c>
      <c r="M309">
        <v>-13766096000</v>
      </c>
      <c r="N309">
        <v>28289965000</v>
      </c>
      <c r="O309">
        <v>44241076000</v>
      </c>
      <c r="P309">
        <v>6276243000</v>
      </c>
      <c r="Q309">
        <v>4390439000</v>
      </c>
      <c r="R309">
        <v>3458716000</v>
      </c>
      <c r="S309">
        <v>2365517000</v>
      </c>
      <c r="V309">
        <f t="shared" si="20"/>
        <v>36328817000</v>
      </c>
      <c r="W309">
        <f t="shared" si="21"/>
        <v>78944522000</v>
      </c>
    </row>
    <row r="310" spans="1:23" x14ac:dyDescent="0.2">
      <c r="A310">
        <f>IF(D310="USD",VLOOKUP(VALUE(RIGHT(E310,4)),'USD RUB'!$E:$F,2,FALSE),1)</f>
        <v>1</v>
      </c>
      <c r="B310" s="4">
        <v>1</v>
      </c>
      <c r="C310">
        <v>1000</v>
      </c>
      <c r="D310" t="s">
        <v>20</v>
      </c>
      <c r="E310" s="1" t="s">
        <v>326</v>
      </c>
      <c r="F310">
        <v>4038224000</v>
      </c>
      <c r="G310">
        <v>11608296000</v>
      </c>
      <c r="H310">
        <v>47165979000</v>
      </c>
      <c r="I310">
        <v>444190000</v>
      </c>
      <c r="J310">
        <v>63828521000</v>
      </c>
      <c r="K310">
        <v>11281898000</v>
      </c>
      <c r="L310">
        <v>25135009000</v>
      </c>
      <c r="M310">
        <v>-14640015000</v>
      </c>
      <c r="N310">
        <v>27411614000</v>
      </c>
      <c r="O310">
        <v>28944337000</v>
      </c>
      <c r="P310">
        <v>4516498000</v>
      </c>
      <c r="Q310">
        <v>3268949000</v>
      </c>
      <c r="R310">
        <v>2580365000</v>
      </c>
      <c r="S310">
        <v>1595543000</v>
      </c>
      <c r="U310">
        <v>-2480272000</v>
      </c>
      <c r="V310">
        <f t="shared" si="20"/>
        <v>24630433000</v>
      </c>
      <c r="W310">
        <f t="shared" si="21"/>
        <v>81011664000</v>
      </c>
    </row>
    <row r="311" spans="1:23" x14ac:dyDescent="0.2">
      <c r="A311">
        <f>IF(D311="USD",VLOOKUP(VALUE(RIGHT(E311,4)),'USD RUB'!$E:$F,2,FALSE),1)</f>
        <v>1</v>
      </c>
      <c r="B311" s="4">
        <v>1</v>
      </c>
      <c r="C311">
        <v>1000</v>
      </c>
      <c r="D311" t="s">
        <v>20</v>
      </c>
      <c r="E311" s="1" t="s">
        <v>327</v>
      </c>
      <c r="F311">
        <v>6091705000</v>
      </c>
      <c r="G311">
        <v>14382601000</v>
      </c>
      <c r="H311">
        <v>46921033000</v>
      </c>
      <c r="I311">
        <v>482165000</v>
      </c>
      <c r="J311">
        <v>66438617000</v>
      </c>
      <c r="K311">
        <v>14271243000</v>
      </c>
      <c r="L311">
        <v>25230088000</v>
      </c>
      <c r="M311">
        <v>-15094241000</v>
      </c>
      <c r="N311">
        <v>26937286000</v>
      </c>
      <c r="O311">
        <v>16390581000</v>
      </c>
      <c r="P311">
        <v>3344129000</v>
      </c>
      <c r="Q311">
        <v>2689015000</v>
      </c>
      <c r="R311">
        <v>2106037000</v>
      </c>
      <c r="S311">
        <v>749464000</v>
      </c>
      <c r="V311">
        <f t="shared" si="20"/>
        <v>14649504000</v>
      </c>
      <c r="W311">
        <f t="shared" si="21"/>
        <v>94313595000</v>
      </c>
    </row>
    <row r="312" spans="1:23" x14ac:dyDescent="0.2">
      <c r="A312">
        <f>IF(D312="USD",VLOOKUP(VALUE(RIGHT(E312,4)),'USD RUB'!$E:$F,2,FALSE),1)</f>
        <v>1</v>
      </c>
      <c r="B312" s="4">
        <v>1</v>
      </c>
      <c r="C312">
        <v>1000</v>
      </c>
      <c r="D312" t="s">
        <v>20</v>
      </c>
      <c r="E312" s="1" t="s">
        <v>328</v>
      </c>
      <c r="F312">
        <v>4582088000</v>
      </c>
      <c r="G312">
        <v>13434999000</v>
      </c>
      <c r="H312">
        <v>46612687000</v>
      </c>
      <c r="I312">
        <v>550411000</v>
      </c>
      <c r="J312">
        <v>65354880000</v>
      </c>
      <c r="K312">
        <v>14478760000</v>
      </c>
      <c r="L312">
        <v>26044871000</v>
      </c>
      <c r="M312">
        <v>-17207184000</v>
      </c>
      <c r="N312">
        <v>24831249000</v>
      </c>
      <c r="O312">
        <v>50481443000</v>
      </c>
      <c r="P312">
        <v>-23578520000</v>
      </c>
      <c r="Q312">
        <v>-25123985000</v>
      </c>
      <c r="R312">
        <v>-20218327000</v>
      </c>
      <c r="S312">
        <v>3446317000</v>
      </c>
      <c r="U312">
        <v>-7852378000</v>
      </c>
      <c r="V312">
        <f t="shared" si="20"/>
        <v>48248917000</v>
      </c>
      <c r="W312">
        <f t="shared" si="21"/>
        <v>91520317000</v>
      </c>
    </row>
    <row r="313" spans="1:23" x14ac:dyDescent="0.2">
      <c r="A313">
        <f>IF(D313="USD",VLOOKUP(VALUE(RIGHT(E313,4)),'USD RUB'!$E:$F,2,FALSE),1)</f>
        <v>1</v>
      </c>
      <c r="B313" s="4">
        <v>1</v>
      </c>
      <c r="C313">
        <v>1000</v>
      </c>
      <c r="D313" t="s">
        <v>20</v>
      </c>
      <c r="E313" s="1" t="s">
        <v>329</v>
      </c>
      <c r="F313">
        <v>5422871000</v>
      </c>
      <c r="G313">
        <v>14250232000</v>
      </c>
      <c r="H313">
        <v>60895039000</v>
      </c>
      <c r="I313">
        <v>598811000</v>
      </c>
      <c r="J313">
        <v>78944522000</v>
      </c>
      <c r="K313">
        <v>16357400000</v>
      </c>
      <c r="L313">
        <v>27802901000</v>
      </c>
      <c r="M313">
        <v>-7032274000</v>
      </c>
      <c r="N313">
        <v>34784221000</v>
      </c>
      <c r="O313">
        <v>36328817000</v>
      </c>
      <c r="P313">
        <v>-8817943000</v>
      </c>
      <c r="Q313">
        <v>-9925076000</v>
      </c>
      <c r="R313">
        <v>-8054858000</v>
      </c>
      <c r="S313">
        <v>2566912000</v>
      </c>
      <c r="V313">
        <f t="shared" si="20"/>
        <v>35148370000</v>
      </c>
      <c r="W313">
        <f t="shared" si="21"/>
        <v>88935879000</v>
      </c>
    </row>
    <row r="314" spans="1:23" x14ac:dyDescent="0.2">
      <c r="A314">
        <f>IF(D314="USD",VLOOKUP(VALUE(RIGHT(E314,4)),'USD RUB'!$E:$F,2,FALSE),1)</f>
        <v>1</v>
      </c>
      <c r="B314" s="4">
        <v>1</v>
      </c>
      <c r="C314">
        <v>1000</v>
      </c>
      <c r="D314" t="s">
        <v>20</v>
      </c>
      <c r="E314" s="1" t="s">
        <v>330</v>
      </c>
      <c r="F314">
        <v>8868616000</v>
      </c>
      <c r="G314">
        <v>17209668000</v>
      </c>
      <c r="H314">
        <v>59916683000</v>
      </c>
      <c r="I314">
        <v>609737000</v>
      </c>
      <c r="J314">
        <v>81011664000</v>
      </c>
      <c r="K314">
        <v>14370752000</v>
      </c>
      <c r="L314">
        <v>32395344000</v>
      </c>
      <c r="M314">
        <v>-7570008000</v>
      </c>
      <c r="N314">
        <v>34245568000</v>
      </c>
      <c r="O314">
        <v>24630433000</v>
      </c>
      <c r="P314">
        <v>-9697553000</v>
      </c>
      <c r="Q314">
        <v>-10690159000</v>
      </c>
      <c r="R314">
        <v>-8574814000</v>
      </c>
      <c r="S314">
        <v>1782175000</v>
      </c>
      <c r="U314">
        <v>-3850310000</v>
      </c>
      <c r="V314">
        <f t="shared" si="20"/>
        <v>21588218000</v>
      </c>
      <c r="W314">
        <f t="shared" si="21"/>
        <v>82435472000</v>
      </c>
    </row>
    <row r="315" spans="1:23" x14ac:dyDescent="0.2">
      <c r="A315">
        <f>IF(D315="USD",VLOOKUP(VALUE(RIGHT(E315,4)),'USD RUB'!$E:$F,2,FALSE),1)</f>
        <v>1</v>
      </c>
      <c r="B315" s="4">
        <v>1</v>
      </c>
      <c r="C315">
        <v>1000</v>
      </c>
      <c r="D315" t="s">
        <v>20</v>
      </c>
      <c r="E315" s="1" t="s">
        <v>331</v>
      </c>
      <c r="F315">
        <v>12303100000</v>
      </c>
      <c r="G315">
        <v>20092495000</v>
      </c>
      <c r="H315">
        <v>71839018000</v>
      </c>
      <c r="I315">
        <v>672090000</v>
      </c>
      <c r="J315">
        <v>94313595000</v>
      </c>
      <c r="K315">
        <v>17354860000</v>
      </c>
      <c r="L315">
        <v>32161866000</v>
      </c>
      <c r="M315">
        <v>2905844000</v>
      </c>
      <c r="N315">
        <v>44796869000</v>
      </c>
      <c r="O315">
        <v>14649504000</v>
      </c>
      <c r="P315">
        <v>2389364000</v>
      </c>
      <c r="Q315">
        <v>2415375000</v>
      </c>
      <c r="R315">
        <v>1908146000</v>
      </c>
      <c r="S315">
        <v>897151000</v>
      </c>
      <c r="U315">
        <v>-1051000000</v>
      </c>
      <c r="V315">
        <f t="shared" si="20"/>
        <v>12289140000</v>
      </c>
      <c r="W315">
        <f t="shared" si="21"/>
        <v>84203164000</v>
      </c>
    </row>
    <row r="316" spans="1:23" x14ac:dyDescent="0.2">
      <c r="A316">
        <f>IF(D316="USD",VLOOKUP(VALUE(RIGHT(E316,4)),'USD RUB'!$E:$F,2,FALSE),1)</f>
        <v>1</v>
      </c>
      <c r="B316" s="4">
        <v>1</v>
      </c>
      <c r="C316">
        <v>1000</v>
      </c>
      <c r="D316" t="s">
        <v>20</v>
      </c>
      <c r="E316" s="1" t="s">
        <v>332</v>
      </c>
      <c r="F316">
        <v>10218278000</v>
      </c>
      <c r="G316">
        <v>19022777000</v>
      </c>
      <c r="H316">
        <v>69778627000</v>
      </c>
      <c r="I316">
        <v>723200000</v>
      </c>
      <c r="J316">
        <v>91520317000</v>
      </c>
      <c r="K316">
        <v>16650151000</v>
      </c>
      <c r="L316">
        <v>31971783000</v>
      </c>
      <c r="M316">
        <v>993118000</v>
      </c>
      <c r="N316">
        <v>42898383000</v>
      </c>
      <c r="O316">
        <v>48248917000</v>
      </c>
      <c r="P316">
        <v>3456714000</v>
      </c>
      <c r="Q316">
        <v>3244621000</v>
      </c>
      <c r="R316">
        <v>2579762000</v>
      </c>
      <c r="S316">
        <v>2775014000</v>
      </c>
      <c r="U316">
        <v>-17925878000</v>
      </c>
      <c r="V316">
        <f t="shared" si="20"/>
        <v>44036827000</v>
      </c>
      <c r="W316">
        <f t="shared" si="21"/>
        <v>76737171000</v>
      </c>
    </row>
    <row r="317" spans="1:23" x14ac:dyDescent="0.2">
      <c r="A317">
        <f>IF(D317="USD",VLOOKUP(VALUE(RIGHT(E317,4)),'USD RUB'!$E:$F,2,FALSE),1)</f>
        <v>1</v>
      </c>
      <c r="B317" s="4">
        <v>1</v>
      </c>
      <c r="C317">
        <v>1000</v>
      </c>
      <c r="D317" t="s">
        <v>20</v>
      </c>
      <c r="E317" s="1" t="s">
        <v>333</v>
      </c>
      <c r="F317">
        <v>7688920000</v>
      </c>
      <c r="G317">
        <v>17862219000</v>
      </c>
      <c r="H317">
        <v>68124361000</v>
      </c>
      <c r="I317">
        <v>735920000</v>
      </c>
      <c r="J317">
        <v>88935879000</v>
      </c>
      <c r="K317">
        <v>17721567000</v>
      </c>
      <c r="L317">
        <v>28483503000</v>
      </c>
      <c r="M317">
        <v>-34200000</v>
      </c>
      <c r="N317">
        <v>42730809000</v>
      </c>
      <c r="O317">
        <v>35148370000</v>
      </c>
      <c r="P317">
        <v>3249439000</v>
      </c>
      <c r="Q317">
        <v>3102869000</v>
      </c>
      <c r="R317">
        <v>2163420000</v>
      </c>
      <c r="S317">
        <v>2147670000</v>
      </c>
      <c r="U317">
        <v>-15648000000</v>
      </c>
      <c r="V317">
        <f t="shared" si="20"/>
        <v>32001940000</v>
      </c>
      <c r="W317">
        <f t="shared" si="21"/>
        <v>75469308000</v>
      </c>
    </row>
    <row r="318" spans="1:23" x14ac:dyDescent="0.2">
      <c r="A318">
        <f>IF(D318="USD",VLOOKUP(VALUE(RIGHT(E318,4)),'USD RUB'!$E:$F,2,FALSE),1)</f>
        <v>1</v>
      </c>
      <c r="B318" s="4">
        <v>1</v>
      </c>
      <c r="C318">
        <v>1000</v>
      </c>
      <c r="D318" t="s">
        <v>20</v>
      </c>
      <c r="E318" s="1" t="s">
        <v>334</v>
      </c>
      <c r="F318">
        <v>8128440000</v>
      </c>
      <c r="G318">
        <v>17160088000</v>
      </c>
      <c r="H318">
        <v>61774831000</v>
      </c>
      <c r="I318">
        <v>735200000</v>
      </c>
      <c r="J318">
        <v>82435472000</v>
      </c>
      <c r="K318">
        <v>13832817000</v>
      </c>
      <c r="L318">
        <v>26203702000</v>
      </c>
      <c r="M318">
        <v>270279000</v>
      </c>
      <c r="N318">
        <v>42398953000</v>
      </c>
      <c r="O318">
        <v>21588218000</v>
      </c>
      <c r="P318">
        <v>2599143000</v>
      </c>
      <c r="Q318">
        <v>2562993000</v>
      </c>
      <c r="R318">
        <v>2023891000</v>
      </c>
      <c r="S318">
        <v>1278830000</v>
      </c>
      <c r="U318">
        <v>-9521493000</v>
      </c>
      <c r="V318">
        <f t="shared" si="20"/>
        <v>20872830000</v>
      </c>
      <c r="W318">
        <f t="shared" si="21"/>
        <v>75008654000</v>
      </c>
    </row>
    <row r="319" spans="1:23" x14ac:dyDescent="0.2">
      <c r="A319">
        <f>IF(D319="USD",VLOOKUP(VALUE(RIGHT(E319,4)),'USD RUB'!$E:$F,2,FALSE),1)</f>
        <v>1</v>
      </c>
      <c r="B319" s="4">
        <v>1</v>
      </c>
      <c r="C319">
        <v>1000</v>
      </c>
      <c r="D319" t="s">
        <v>20</v>
      </c>
      <c r="E319" s="1" t="s">
        <v>335</v>
      </c>
      <c r="F319">
        <v>12403290000</v>
      </c>
      <c r="G319">
        <v>22596280000</v>
      </c>
      <c r="H319">
        <v>58208602000</v>
      </c>
      <c r="I319">
        <v>626501000</v>
      </c>
      <c r="J319">
        <v>84203164000</v>
      </c>
      <c r="K319">
        <v>16758130000</v>
      </c>
      <c r="L319">
        <v>25566147000</v>
      </c>
      <c r="M319">
        <v>-193418000</v>
      </c>
      <c r="N319">
        <v>41878887000</v>
      </c>
      <c r="O319">
        <v>12289140000</v>
      </c>
      <c r="P319">
        <v>1996774000</v>
      </c>
      <c r="Q319">
        <v>1989544000</v>
      </c>
      <c r="R319">
        <v>1570164000</v>
      </c>
      <c r="S319">
        <v>600080000</v>
      </c>
      <c r="U319">
        <v>-4502000000</v>
      </c>
      <c r="V319">
        <f t="shared" si="20"/>
        <v>12051790000</v>
      </c>
      <c r="W319">
        <f t="shared" si="21"/>
        <v>74404789000</v>
      </c>
    </row>
    <row r="320" spans="1:23" x14ac:dyDescent="0.2">
      <c r="A320">
        <f>IF(D320="USD",VLOOKUP(VALUE(RIGHT(E320,4)),'USD RUB'!$E:$F,2,FALSE),1)</f>
        <v>1</v>
      </c>
      <c r="B320" s="4">
        <v>1</v>
      </c>
      <c r="C320">
        <v>1000</v>
      </c>
      <c r="D320" t="s">
        <v>20</v>
      </c>
      <c r="E320" s="1" t="s">
        <v>336</v>
      </c>
      <c r="F320">
        <v>11646180000</v>
      </c>
      <c r="G320">
        <v>20336396000</v>
      </c>
      <c r="H320">
        <v>53077215000</v>
      </c>
      <c r="I320">
        <v>628339000</v>
      </c>
      <c r="J320">
        <v>76737171000</v>
      </c>
      <c r="K320">
        <v>14344841000</v>
      </c>
      <c r="L320">
        <v>21830737000</v>
      </c>
      <c r="M320">
        <v>-1733982000</v>
      </c>
      <c r="N320">
        <v>40561593000</v>
      </c>
      <c r="O320">
        <v>44036827000</v>
      </c>
      <c r="P320">
        <v>5532385000</v>
      </c>
      <c r="Q320">
        <v>4572167000</v>
      </c>
      <c r="R320">
        <v>3624916000</v>
      </c>
      <c r="S320">
        <v>2409950000</v>
      </c>
      <c r="U320">
        <v>-14032551000</v>
      </c>
      <c r="V320">
        <f t="shared" si="20"/>
        <v>65834843000</v>
      </c>
      <c r="W320">
        <f t="shared" si="21"/>
        <v>70046665000</v>
      </c>
    </row>
    <row r="321" spans="1:23" x14ac:dyDescent="0.2">
      <c r="A321">
        <f>IF(D321="USD",VLOOKUP(VALUE(RIGHT(E321,4)),'USD RUB'!$E:$F,2,FALSE),1)</f>
        <v>1</v>
      </c>
      <c r="B321" s="4">
        <v>1</v>
      </c>
      <c r="C321">
        <v>1000</v>
      </c>
      <c r="D321" t="s">
        <v>20</v>
      </c>
      <c r="E321" s="1" t="s">
        <v>337</v>
      </c>
      <c r="F321">
        <v>12246990000</v>
      </c>
      <c r="G321">
        <v>22069994000</v>
      </c>
      <c r="H321">
        <v>50904124000</v>
      </c>
      <c r="I321">
        <v>279550000</v>
      </c>
      <c r="J321">
        <v>75469308000</v>
      </c>
      <c r="K321">
        <v>12293055000</v>
      </c>
      <c r="L321">
        <v>22900014000</v>
      </c>
      <c r="M321">
        <v>-2186836000</v>
      </c>
      <c r="N321">
        <v>40276239000</v>
      </c>
      <c r="O321">
        <v>32001940000</v>
      </c>
      <c r="P321">
        <v>4948645000</v>
      </c>
      <c r="Q321">
        <v>3977995000</v>
      </c>
      <c r="R321">
        <v>3160291000</v>
      </c>
      <c r="S321">
        <v>1875320000</v>
      </c>
      <c r="U321">
        <v>-10777000000</v>
      </c>
      <c r="V321">
        <f t="shared" si="20"/>
        <v>52741190000</v>
      </c>
      <c r="W321">
        <f t="shared" si="21"/>
        <v>79092880000</v>
      </c>
    </row>
    <row r="322" spans="1:23" x14ac:dyDescent="0.2">
      <c r="A322">
        <f>IF(D322="USD",VLOOKUP(VALUE(RIGHT(E322,4)),'USD RUB'!$E:$F,2,FALSE),1)</f>
        <v>1</v>
      </c>
      <c r="B322" s="4">
        <v>1</v>
      </c>
      <c r="C322">
        <v>1000</v>
      </c>
      <c r="D322" t="s">
        <v>20</v>
      </c>
      <c r="E322" s="1" t="s">
        <v>338</v>
      </c>
      <c r="F322">
        <v>9866410000</v>
      </c>
      <c r="G322">
        <v>25438682000</v>
      </c>
      <c r="H322">
        <v>46729264000</v>
      </c>
      <c r="I322">
        <v>317530000</v>
      </c>
      <c r="J322">
        <v>75008654000</v>
      </c>
      <c r="K322">
        <v>14444484000</v>
      </c>
      <c r="L322">
        <v>21680512000</v>
      </c>
      <c r="M322">
        <v>-2544687000</v>
      </c>
      <c r="N322">
        <v>38883658000</v>
      </c>
      <c r="O322">
        <v>20872830000</v>
      </c>
      <c r="P322">
        <v>3858271000</v>
      </c>
      <c r="Q322">
        <v>3522571000</v>
      </c>
      <c r="R322">
        <v>2797720000</v>
      </c>
      <c r="S322">
        <v>1331610000</v>
      </c>
      <c r="U322">
        <v>-6711354000</v>
      </c>
      <c r="V322">
        <f t="shared" si="20"/>
        <v>35292510000</v>
      </c>
      <c r="W322">
        <f t="shared" si="21"/>
        <v>80914993000</v>
      </c>
    </row>
    <row r="323" spans="1:23" x14ac:dyDescent="0.2">
      <c r="A323">
        <f>IF(D323="USD",VLOOKUP(VALUE(RIGHT(E323,4)),'USD RUB'!$E:$F,2,FALSE),1)</f>
        <v>1</v>
      </c>
      <c r="B323" s="4">
        <v>1</v>
      </c>
      <c r="C323">
        <v>1000</v>
      </c>
      <c r="D323" t="s">
        <v>20</v>
      </c>
      <c r="E323" s="1" t="s">
        <v>339</v>
      </c>
      <c r="F323">
        <v>10454610000</v>
      </c>
      <c r="G323">
        <v>28417000000</v>
      </c>
      <c r="H323">
        <v>42989993000</v>
      </c>
      <c r="I323">
        <v>305910000</v>
      </c>
      <c r="J323">
        <v>74404789000</v>
      </c>
      <c r="K323">
        <v>14210800000</v>
      </c>
      <c r="L323">
        <v>18762110000</v>
      </c>
      <c r="M323">
        <v>-877966000</v>
      </c>
      <c r="N323">
        <v>41431879000</v>
      </c>
      <c r="O323">
        <v>12051790000</v>
      </c>
      <c r="P323">
        <v>2386600000</v>
      </c>
      <c r="Q323">
        <v>1832050000</v>
      </c>
      <c r="R323">
        <v>1456480000</v>
      </c>
      <c r="S323">
        <v>652270000</v>
      </c>
      <c r="U323">
        <v>-2541000000</v>
      </c>
      <c r="V323" t="str">
        <f t="shared" si="20"/>
        <v/>
      </c>
      <c r="W323" t="str">
        <f t="shared" si="21"/>
        <v/>
      </c>
    </row>
    <row r="324" spans="1:23" x14ac:dyDescent="0.2">
      <c r="A324">
        <f>IF(D324="USD",VLOOKUP(VALUE(RIGHT(E324,4)),'USD RUB'!$E:$F,2,FALSE),1)</f>
        <v>1</v>
      </c>
      <c r="B324" s="4">
        <v>1</v>
      </c>
      <c r="C324">
        <v>1000</v>
      </c>
      <c r="D324" t="s">
        <v>20</v>
      </c>
      <c r="E324" s="1" t="s">
        <v>340</v>
      </c>
      <c r="F324">
        <v>11144720000</v>
      </c>
      <c r="G324">
        <v>25956472000</v>
      </c>
      <c r="H324">
        <v>41095594000</v>
      </c>
      <c r="I324">
        <v>315010000</v>
      </c>
      <c r="J324">
        <v>70046665000</v>
      </c>
      <c r="K324">
        <v>16289676000</v>
      </c>
      <c r="L324">
        <v>15530210000</v>
      </c>
      <c r="M324">
        <v>-2344626000</v>
      </c>
      <c r="N324">
        <v>38226779000</v>
      </c>
      <c r="O324">
        <v>65834843000</v>
      </c>
      <c r="P324">
        <v>2842094000</v>
      </c>
      <c r="Q324">
        <v>1126994000</v>
      </c>
      <c r="R324">
        <v>895651000</v>
      </c>
      <c r="S324">
        <v>3384877000</v>
      </c>
      <c r="U324">
        <v>-9513357000</v>
      </c>
      <c r="V324">
        <f t="shared" si="20"/>
        <v>73264973000</v>
      </c>
      <c r="W324">
        <f t="shared" si="21"/>
        <v>83861945000</v>
      </c>
    </row>
    <row r="325" spans="1:23" x14ac:dyDescent="0.2">
      <c r="A325">
        <f>IF(D325="USD",VLOOKUP(VALUE(RIGHT(E325,4)),'USD RUB'!$E:$F,2,FALSE),1)</f>
        <v>1</v>
      </c>
      <c r="B325" s="4">
        <v>1</v>
      </c>
      <c r="C325">
        <v>1000</v>
      </c>
      <c r="D325" t="s">
        <v>20</v>
      </c>
      <c r="E325" s="1" t="s">
        <v>341</v>
      </c>
      <c r="F325">
        <v>6058280000</v>
      </c>
      <c r="G325">
        <v>37749903000</v>
      </c>
      <c r="H325">
        <v>38441285000</v>
      </c>
      <c r="I325">
        <v>357916000</v>
      </c>
      <c r="J325">
        <v>79092880000</v>
      </c>
      <c r="K325">
        <v>21179189000</v>
      </c>
      <c r="L325">
        <v>20085378000</v>
      </c>
      <c r="M325">
        <v>-3040003000</v>
      </c>
      <c r="N325">
        <v>37828313000</v>
      </c>
      <c r="O325">
        <v>52741190000</v>
      </c>
      <c r="P325">
        <v>1519616000</v>
      </c>
      <c r="Q325">
        <v>-33744000</v>
      </c>
      <c r="R325">
        <v>-27164000</v>
      </c>
      <c r="S325">
        <v>2727790000</v>
      </c>
      <c r="U325">
        <v>-6695000000</v>
      </c>
      <c r="V325" t="str">
        <f t="shared" si="20"/>
        <v/>
      </c>
      <c r="W325" t="str">
        <f t="shared" si="21"/>
        <v/>
      </c>
    </row>
    <row r="326" spans="1:23" x14ac:dyDescent="0.2">
      <c r="A326">
        <f>IF(D326="USD",VLOOKUP(VALUE(RIGHT(E326,4)),'USD RUB'!$E:$F,2,FALSE),1)</f>
        <v>1</v>
      </c>
      <c r="B326" s="4">
        <v>1</v>
      </c>
      <c r="C326">
        <v>1000</v>
      </c>
      <c r="D326" t="s">
        <v>20</v>
      </c>
      <c r="E326" s="1" t="s">
        <v>342</v>
      </c>
      <c r="F326">
        <v>8262380000</v>
      </c>
      <c r="G326">
        <v>39830141000</v>
      </c>
      <c r="H326">
        <v>38071580000</v>
      </c>
      <c r="I326">
        <v>409840000</v>
      </c>
      <c r="J326">
        <v>80914993000</v>
      </c>
      <c r="K326">
        <v>19085130000</v>
      </c>
      <c r="L326">
        <v>25689274000</v>
      </c>
      <c r="M326">
        <v>-5155427000</v>
      </c>
      <c r="N326">
        <v>36140589000</v>
      </c>
      <c r="O326">
        <v>35292510000</v>
      </c>
      <c r="P326">
        <v>-1887330000</v>
      </c>
      <c r="Q326">
        <v>-2641970000</v>
      </c>
      <c r="R326">
        <v>-2142478000</v>
      </c>
      <c r="S326">
        <v>2062110000</v>
      </c>
      <c r="U326">
        <v>-4971075000</v>
      </c>
      <c r="V326">
        <f t="shared" si="20"/>
        <v>34011370000</v>
      </c>
      <c r="W326">
        <f t="shared" si="21"/>
        <v>77153376000</v>
      </c>
    </row>
    <row r="327" spans="1:23" x14ac:dyDescent="0.2">
      <c r="A327">
        <f>IF(D327="USD",VLOOKUP(VALUE(RIGHT(E327,4)),'USD RUB'!$E:$F,2,FALSE),1)</f>
        <v>1</v>
      </c>
      <c r="B327" s="4">
        <v>1</v>
      </c>
      <c r="C327">
        <v>1000</v>
      </c>
      <c r="D327" t="s">
        <v>20</v>
      </c>
      <c r="E327" s="1" t="s">
        <v>343</v>
      </c>
      <c r="F327">
        <v>6090470000</v>
      </c>
      <c r="G327">
        <v>18050551000</v>
      </c>
      <c r="H327">
        <v>62986329000</v>
      </c>
      <c r="I327">
        <v>260720000</v>
      </c>
      <c r="J327">
        <v>83861945000</v>
      </c>
      <c r="K327">
        <v>19883401000</v>
      </c>
      <c r="L327">
        <v>19462250000</v>
      </c>
      <c r="M327">
        <v>1986789000</v>
      </c>
      <c r="N327">
        <v>44516294000</v>
      </c>
      <c r="O327">
        <v>73264973000</v>
      </c>
      <c r="P327">
        <v>12535977000</v>
      </c>
      <c r="Q327">
        <v>9868097000</v>
      </c>
      <c r="R327">
        <v>7698604000</v>
      </c>
      <c r="S327">
        <v>3869460000</v>
      </c>
      <c r="U327">
        <v>-6409038000</v>
      </c>
      <c r="V327">
        <f t="shared" si="20"/>
        <v>74399944000</v>
      </c>
      <c r="W327">
        <f t="shared" si="21"/>
        <v>80990678000</v>
      </c>
    </row>
    <row r="328" spans="1:23" x14ac:dyDescent="0.2">
      <c r="A328">
        <f>IF(D328="USD",VLOOKUP(VALUE(RIGHT(E328,4)),'USD RUB'!$E:$F,2,FALSE),1)</f>
        <v>1</v>
      </c>
      <c r="B328" s="4">
        <v>1</v>
      </c>
      <c r="C328">
        <v>1000</v>
      </c>
      <c r="D328" t="s">
        <v>20</v>
      </c>
      <c r="E328" s="1" t="s">
        <v>344</v>
      </c>
      <c r="F328">
        <v>3440670000</v>
      </c>
      <c r="G328">
        <v>13919516000</v>
      </c>
      <c r="H328">
        <v>60218528000</v>
      </c>
      <c r="I328">
        <v>270480000</v>
      </c>
      <c r="J328">
        <v>77153376000</v>
      </c>
      <c r="K328">
        <v>20760110000</v>
      </c>
      <c r="L328">
        <v>16477424000</v>
      </c>
      <c r="M328">
        <v>-2481293000</v>
      </c>
      <c r="N328">
        <v>39915842000</v>
      </c>
      <c r="O328">
        <v>34011370000</v>
      </c>
      <c r="P328">
        <v>5581190000</v>
      </c>
      <c r="Q328">
        <v>4265660000</v>
      </c>
      <c r="R328">
        <v>3390770000</v>
      </c>
      <c r="S328">
        <v>1923520000</v>
      </c>
      <c r="U328">
        <v>-2649966000</v>
      </c>
      <c r="V328">
        <f t="shared" si="20"/>
        <v>34821600000</v>
      </c>
      <c r="W328">
        <f t="shared" si="21"/>
        <v>77243148000</v>
      </c>
    </row>
    <row r="329" spans="1:23" x14ac:dyDescent="0.2">
      <c r="A329">
        <f>IF(D329="USD",VLOOKUP(VALUE(RIGHT(E329,4)),'USD RUB'!$E:$F,2,FALSE),1)</f>
        <v>1</v>
      </c>
      <c r="B329" s="4">
        <v>1</v>
      </c>
      <c r="C329">
        <v>1000</v>
      </c>
      <c r="D329" t="s">
        <v>20</v>
      </c>
      <c r="E329" s="1" t="s">
        <v>345</v>
      </c>
      <c r="F329">
        <v>5979050000</v>
      </c>
      <c r="G329">
        <v>17468404000</v>
      </c>
      <c r="H329">
        <v>60232616000</v>
      </c>
      <c r="I329">
        <v>288290000</v>
      </c>
      <c r="J329">
        <v>80990678000</v>
      </c>
      <c r="K329">
        <v>25618231000</v>
      </c>
      <c r="L329">
        <v>14062544000</v>
      </c>
      <c r="M329">
        <v>-582412000</v>
      </c>
      <c r="N329">
        <v>41309903000</v>
      </c>
      <c r="O329">
        <v>74399944000</v>
      </c>
      <c r="P329">
        <v>13970017000</v>
      </c>
      <c r="Q329">
        <v>10932547000</v>
      </c>
      <c r="R329">
        <v>8544260000</v>
      </c>
      <c r="S329">
        <v>3497787000</v>
      </c>
      <c r="U329">
        <v>-6209892000</v>
      </c>
      <c r="V329">
        <f t="shared" si="20"/>
        <v>72211396000</v>
      </c>
      <c r="W329">
        <f t="shared" si="21"/>
        <v>77308497000</v>
      </c>
    </row>
    <row r="330" spans="1:23" x14ac:dyDescent="0.2">
      <c r="A330">
        <f>IF(D330="USD",VLOOKUP(VALUE(RIGHT(E330,4)),'USD RUB'!$E:$F,2,FALSE),1)</f>
        <v>1</v>
      </c>
      <c r="B330" s="4">
        <v>1</v>
      </c>
      <c r="C330">
        <v>1000</v>
      </c>
      <c r="D330" t="s">
        <v>20</v>
      </c>
      <c r="E330" s="1" t="s">
        <v>346</v>
      </c>
      <c r="F330">
        <v>3880220000</v>
      </c>
      <c r="G330">
        <v>15400410000</v>
      </c>
      <c r="H330">
        <v>58180729000</v>
      </c>
      <c r="I330">
        <v>309260000</v>
      </c>
      <c r="J330">
        <v>77243148000</v>
      </c>
      <c r="K330">
        <v>19630980000</v>
      </c>
      <c r="L330">
        <v>20474890000</v>
      </c>
      <c r="M330">
        <v>-4793687000</v>
      </c>
      <c r="N330">
        <v>37137278000</v>
      </c>
      <c r="O330">
        <v>34821600000</v>
      </c>
      <c r="P330">
        <v>6934710000</v>
      </c>
      <c r="Q330">
        <v>5429010000</v>
      </c>
      <c r="R330">
        <v>4300180000</v>
      </c>
      <c r="S330">
        <v>1696180000</v>
      </c>
      <c r="U330">
        <v>-2550844000</v>
      </c>
      <c r="V330">
        <f t="shared" si="20"/>
        <v>33169960000</v>
      </c>
      <c r="W330">
        <f t="shared" si="21"/>
        <v>79790546000</v>
      </c>
    </row>
    <row r="331" spans="1:23" x14ac:dyDescent="0.2">
      <c r="A331">
        <f>IF(D331="USD",VLOOKUP(VALUE(RIGHT(E331,4)),'USD RUB'!$E:$F,2,FALSE),1)</f>
        <v>1</v>
      </c>
      <c r="B331" s="4">
        <v>1</v>
      </c>
      <c r="C331">
        <v>1000</v>
      </c>
      <c r="D331" t="s">
        <v>20</v>
      </c>
      <c r="E331" s="1" t="s">
        <v>347</v>
      </c>
      <c r="F331">
        <v>5750770000</v>
      </c>
      <c r="G331">
        <v>16373754000</v>
      </c>
      <c r="H331">
        <v>56517784000</v>
      </c>
      <c r="J331">
        <v>77308497000</v>
      </c>
      <c r="K331">
        <v>15454118000</v>
      </c>
      <c r="L331">
        <v>26577116000</v>
      </c>
      <c r="M331">
        <v>-6689046000</v>
      </c>
      <c r="N331">
        <v>35277263000</v>
      </c>
      <c r="O331">
        <v>72211396000</v>
      </c>
      <c r="P331">
        <v>10333967000</v>
      </c>
      <c r="Q331">
        <v>5497554000</v>
      </c>
      <c r="R331">
        <v>4386882000</v>
      </c>
      <c r="T331">
        <v>13909000000</v>
      </c>
      <c r="U331">
        <v>8534995000</v>
      </c>
      <c r="V331">
        <f t="shared" si="20"/>
        <v>70992133000</v>
      </c>
      <c r="W331">
        <f t="shared" si="21"/>
        <v>86362062000</v>
      </c>
    </row>
    <row r="332" spans="1:23" x14ac:dyDescent="0.2">
      <c r="A332">
        <f>IF(D332="USD",VLOOKUP(VALUE(RIGHT(E332,4)),'USD RUB'!$E:$F,2,FALSE),1)</f>
        <v>1</v>
      </c>
      <c r="B332" s="4">
        <v>1</v>
      </c>
      <c r="C332">
        <v>1000</v>
      </c>
      <c r="D332" t="s">
        <v>20</v>
      </c>
      <c r="E332" s="1" t="s">
        <v>348</v>
      </c>
      <c r="F332">
        <v>7941340000</v>
      </c>
      <c r="G332">
        <v>21177810000</v>
      </c>
      <c r="H332">
        <v>53012558000</v>
      </c>
      <c r="J332">
        <v>79790546000</v>
      </c>
      <c r="K332">
        <v>15616225000</v>
      </c>
      <c r="L332">
        <v>32188060000</v>
      </c>
      <c r="M332">
        <v>-10216436000</v>
      </c>
      <c r="N332">
        <v>31986261000</v>
      </c>
      <c r="O332">
        <v>33169960000</v>
      </c>
      <c r="Q332">
        <v>939666000</v>
      </c>
      <c r="R332">
        <v>787421000</v>
      </c>
      <c r="T332">
        <v>6041000000</v>
      </c>
      <c r="U332">
        <v>3874000000</v>
      </c>
      <c r="V332">
        <f t="shared" si="20"/>
        <v>34547310000</v>
      </c>
      <c r="W332">
        <f t="shared" si="21"/>
        <v>137471162000</v>
      </c>
    </row>
    <row r="333" spans="1:23" x14ac:dyDescent="0.2">
      <c r="A333">
        <f>IF(D333="USD",VLOOKUP(VALUE(RIGHT(E333,4)),'USD RUB'!$E:$F,2,FALSE),1)</f>
        <v>1</v>
      </c>
      <c r="B333" s="4">
        <v>1</v>
      </c>
      <c r="C333">
        <v>1000</v>
      </c>
      <c r="D333" t="s">
        <v>20</v>
      </c>
      <c r="E333" s="1" t="s">
        <v>349</v>
      </c>
      <c r="F333">
        <v>10445150000</v>
      </c>
      <c r="G333">
        <v>28325148000</v>
      </c>
      <c r="H333">
        <v>51887794000</v>
      </c>
      <c r="J333">
        <v>86362062000</v>
      </c>
      <c r="K333">
        <v>20907095000</v>
      </c>
      <c r="L333">
        <v>34424677000</v>
      </c>
      <c r="M333">
        <v>-10909549000</v>
      </c>
      <c r="N333">
        <v>31030290000</v>
      </c>
      <c r="O333">
        <v>70992133000</v>
      </c>
      <c r="P333">
        <v>-54682416000</v>
      </c>
      <c r="Q333">
        <v>-60488793000</v>
      </c>
      <c r="R333">
        <v>-48629447000</v>
      </c>
      <c r="T333">
        <v>10821000000</v>
      </c>
      <c r="U333">
        <v>8074000000</v>
      </c>
      <c r="V333">
        <f t="shared" si="20"/>
        <v>74405168000</v>
      </c>
      <c r="W333">
        <f t="shared" si="21"/>
        <v>141367028000</v>
      </c>
    </row>
    <row r="334" spans="1:23" x14ac:dyDescent="0.2">
      <c r="A334">
        <f>IF(D334="USD",VLOOKUP(VALUE(RIGHT(E334,4)),'USD RUB'!$E:$F,2,FALSE),1)</f>
        <v>1</v>
      </c>
      <c r="B334" s="4">
        <v>1</v>
      </c>
      <c r="C334">
        <v>1000</v>
      </c>
      <c r="D334" t="s">
        <v>20</v>
      </c>
      <c r="E334" s="1" t="s">
        <v>350</v>
      </c>
      <c r="F334">
        <v>6521400000</v>
      </c>
      <c r="G334">
        <v>20062600000</v>
      </c>
      <c r="J334">
        <v>77507639000</v>
      </c>
      <c r="K334">
        <v>17333360000</v>
      </c>
      <c r="L334">
        <v>29588750000</v>
      </c>
      <c r="N334">
        <v>30585529000</v>
      </c>
      <c r="O334">
        <v>51533970000</v>
      </c>
      <c r="P334">
        <v>-56913210000</v>
      </c>
      <c r="Q334">
        <v>-61976620000</v>
      </c>
      <c r="R334">
        <v>-49660230000</v>
      </c>
      <c r="T334">
        <v>7551000000</v>
      </c>
      <c r="V334" t="str">
        <f t="shared" si="20"/>
        <v/>
      </c>
      <c r="W334" t="str">
        <f t="shared" si="21"/>
        <v/>
      </c>
    </row>
    <row r="335" spans="1:23" x14ac:dyDescent="0.2">
      <c r="A335">
        <f>IF(D335="USD",VLOOKUP(VALUE(RIGHT(E335,4)),'USD RUB'!$E:$F,2,FALSE),1)</f>
        <v>1</v>
      </c>
      <c r="B335" s="4">
        <v>1</v>
      </c>
      <c r="C335">
        <v>1000</v>
      </c>
      <c r="D335" t="s">
        <v>20</v>
      </c>
      <c r="E335" s="1" t="s">
        <v>351</v>
      </c>
      <c r="F335">
        <v>12758960000</v>
      </c>
      <c r="G335">
        <v>25603967000</v>
      </c>
      <c r="H335">
        <v>106837477000</v>
      </c>
      <c r="J335">
        <v>137471162000</v>
      </c>
      <c r="K335">
        <v>23210790000</v>
      </c>
      <c r="L335">
        <v>34920544000</v>
      </c>
      <c r="M335">
        <v>37175613000</v>
      </c>
      <c r="N335">
        <v>79339828000</v>
      </c>
      <c r="O335">
        <v>34547310000</v>
      </c>
      <c r="P335">
        <v>1793327000</v>
      </c>
      <c r="Q335">
        <v>-1178918000</v>
      </c>
      <c r="R335">
        <v>-980860000</v>
      </c>
      <c r="T335">
        <v>5773000000</v>
      </c>
      <c r="U335">
        <v>3498000000</v>
      </c>
      <c r="V335">
        <f t="shared" si="20"/>
        <v>36045850000</v>
      </c>
      <c r="W335">
        <f t="shared" si="21"/>
        <v>126397720000</v>
      </c>
    </row>
    <row r="336" spans="1:23" x14ac:dyDescent="0.2">
      <c r="A336">
        <f>IF(D336="USD",VLOOKUP(VALUE(RIGHT(E336,4)),'USD RUB'!$E:$F,2,FALSE),1)</f>
        <v>1</v>
      </c>
      <c r="B336" s="4">
        <v>1</v>
      </c>
      <c r="C336">
        <v>1000</v>
      </c>
      <c r="D336" t="s">
        <v>20</v>
      </c>
      <c r="E336" s="1" t="s">
        <v>352</v>
      </c>
      <c r="F336">
        <v>7557580000</v>
      </c>
      <c r="G336">
        <v>26807906000</v>
      </c>
      <c r="H336">
        <v>110641596000</v>
      </c>
      <c r="J336">
        <v>141367028000</v>
      </c>
      <c r="K336">
        <v>23496095000</v>
      </c>
      <c r="L336">
        <v>34154365000</v>
      </c>
      <c r="M336">
        <v>41005043000</v>
      </c>
      <c r="N336">
        <v>83716568000</v>
      </c>
      <c r="O336">
        <v>74405168000</v>
      </c>
      <c r="P336">
        <v>9778320000</v>
      </c>
      <c r="Q336">
        <v>7062573000</v>
      </c>
      <c r="R336">
        <v>5581828000</v>
      </c>
      <c r="T336">
        <v>15757000000</v>
      </c>
      <c r="U336">
        <v>10489000000</v>
      </c>
      <c r="V336">
        <f t="shared" si="20"/>
        <v>69722598000</v>
      </c>
      <c r="W336">
        <f t="shared" si="21"/>
        <v>132599761000</v>
      </c>
    </row>
    <row r="337" spans="1:23" x14ac:dyDescent="0.2">
      <c r="A337">
        <f>IF(D337="USD",VLOOKUP(VALUE(RIGHT(E337,4)),'USD RUB'!$E:$F,2,FALSE),1)</f>
        <v>1</v>
      </c>
      <c r="B337" s="4">
        <v>1</v>
      </c>
      <c r="C337">
        <v>1000</v>
      </c>
      <c r="D337" t="s">
        <v>20</v>
      </c>
      <c r="E337" s="1" t="s">
        <v>353</v>
      </c>
      <c r="F337">
        <v>2982290000</v>
      </c>
      <c r="G337">
        <v>14782230000</v>
      </c>
      <c r="H337">
        <v>110580878000</v>
      </c>
      <c r="J337">
        <v>126397720000</v>
      </c>
      <c r="K337">
        <v>13901950000</v>
      </c>
      <c r="L337">
        <v>32929370000</v>
      </c>
      <c r="M337">
        <v>37674515000</v>
      </c>
      <c r="N337">
        <v>79566400000</v>
      </c>
      <c r="O337">
        <v>36045850000</v>
      </c>
      <c r="P337">
        <v>5703549000</v>
      </c>
      <c r="Q337">
        <v>4312669000</v>
      </c>
      <c r="R337">
        <v>3429599000</v>
      </c>
      <c r="T337">
        <v>9002000000</v>
      </c>
      <c r="U337">
        <v>6036000000</v>
      </c>
      <c r="V337">
        <f t="shared" si="20"/>
        <v>32656000000</v>
      </c>
      <c r="W337">
        <f t="shared" si="21"/>
        <v>123978510000</v>
      </c>
    </row>
    <row r="338" spans="1:23" x14ac:dyDescent="0.2">
      <c r="A338">
        <f>IF(D338="USD",VLOOKUP(VALUE(RIGHT(E338,4)),'USD RUB'!$E:$F,2,FALSE),1)</f>
        <v>1</v>
      </c>
      <c r="B338" s="4">
        <v>1</v>
      </c>
      <c r="C338">
        <v>1000</v>
      </c>
      <c r="D338" t="s">
        <v>20</v>
      </c>
      <c r="E338" s="1" t="s">
        <v>354</v>
      </c>
      <c r="F338">
        <v>8618040000</v>
      </c>
      <c r="G338">
        <v>21604410000</v>
      </c>
      <c r="H338">
        <v>109822570000</v>
      </c>
      <c r="J338">
        <v>132599761000</v>
      </c>
      <c r="K338">
        <v>21005352000</v>
      </c>
      <c r="L338">
        <v>33490805000</v>
      </c>
      <c r="M338">
        <f>36212889*C338</f>
        <v>36212889000</v>
      </c>
      <c r="N338">
        <v>78103604000</v>
      </c>
      <c r="O338">
        <v>69722598000</v>
      </c>
      <c r="P338">
        <v>9852322000</v>
      </c>
      <c r="Q338">
        <v>6685932000</v>
      </c>
      <c r="R338">
        <v>4938892000</v>
      </c>
      <c r="T338">
        <v>16848000000</v>
      </c>
      <c r="V338">
        <f t="shared" si="20"/>
        <v>66545961000</v>
      </c>
      <c r="W338">
        <f t="shared" si="21"/>
        <v>127863836000</v>
      </c>
    </row>
    <row r="339" spans="1:23" x14ac:dyDescent="0.2">
      <c r="A339">
        <f>IF(D339="USD",VLOOKUP(VALUE(RIGHT(E339,4)),'USD RUB'!$E:$F,2,FALSE),1)</f>
        <v>1</v>
      </c>
      <c r="B339" s="4">
        <v>1</v>
      </c>
      <c r="C339">
        <v>1000</v>
      </c>
      <c r="D339" t="s">
        <v>20</v>
      </c>
      <c r="E339" s="1" t="s">
        <v>355</v>
      </c>
      <c r="F339">
        <v>3125240000</v>
      </c>
      <c r="G339">
        <v>14959370000</v>
      </c>
      <c r="J339">
        <v>124256790000</v>
      </c>
      <c r="K339">
        <v>14788109000</v>
      </c>
      <c r="L339">
        <v>31970956000</v>
      </c>
      <c r="N339">
        <v>77497725000</v>
      </c>
      <c r="O339">
        <v>50699730000</v>
      </c>
      <c r="P339">
        <v>6623650000</v>
      </c>
      <c r="Q339">
        <v>4253290000</v>
      </c>
      <c r="R339">
        <v>3490720000</v>
      </c>
      <c r="V339" t="str">
        <f t="shared" si="20"/>
        <v/>
      </c>
      <c r="W339" t="str">
        <f t="shared" si="21"/>
        <v/>
      </c>
    </row>
    <row r="340" spans="1:23" x14ac:dyDescent="0.2">
      <c r="A340">
        <f>IF(D340="USD",VLOOKUP(VALUE(RIGHT(E340,4)),'USD RUB'!$E:$F,2,FALSE),1)</f>
        <v>1</v>
      </c>
      <c r="B340" s="4">
        <v>1</v>
      </c>
      <c r="C340">
        <v>1000000</v>
      </c>
      <c r="D340" t="s">
        <v>20</v>
      </c>
      <c r="E340" s="1" t="s">
        <v>356</v>
      </c>
      <c r="F340">
        <v>2260840000</v>
      </c>
      <c r="G340">
        <v>109344340000</v>
      </c>
      <c r="H340">
        <v>107981384000</v>
      </c>
      <c r="J340">
        <v>123978510000</v>
      </c>
      <c r="K340">
        <v>15245260000</v>
      </c>
      <c r="L340">
        <v>32717069000</v>
      </c>
      <c r="N340">
        <v>76016181000</v>
      </c>
      <c r="O340">
        <v>32656000000</v>
      </c>
      <c r="P340">
        <v>4157970000.0000005</v>
      </c>
      <c r="Q340">
        <v>2520530000</v>
      </c>
      <c r="R340">
        <v>2005482000</v>
      </c>
      <c r="T340">
        <v>8311000000</v>
      </c>
      <c r="V340">
        <f t="shared" si="20"/>
        <v>31238360000</v>
      </c>
      <c r="W340">
        <f t="shared" si="21"/>
        <v>122026662000</v>
      </c>
    </row>
    <row r="341" spans="1:23" x14ac:dyDescent="0.2">
      <c r="A341">
        <f>IF(D341="USD",VLOOKUP(VALUE(RIGHT(E341,4)),'USD RUB'!$E:$F,2,FALSE),1)</f>
        <v>1</v>
      </c>
      <c r="B341" s="4">
        <v>1</v>
      </c>
      <c r="C341">
        <v>1000000</v>
      </c>
      <c r="D341" t="s">
        <v>20</v>
      </c>
      <c r="E341" s="1" t="s">
        <v>357</v>
      </c>
      <c r="F341">
        <v>5112080000</v>
      </c>
      <c r="G341">
        <v>18137650000</v>
      </c>
      <c r="J341">
        <v>127237950000</v>
      </c>
      <c r="K341">
        <v>14638270000</v>
      </c>
      <c r="L341">
        <v>36587206000</v>
      </c>
      <c r="N341">
        <v>76012474000</v>
      </c>
      <c r="O341">
        <v>17706960000</v>
      </c>
      <c r="P341">
        <v>3154970000</v>
      </c>
      <c r="Q341">
        <v>2450330000</v>
      </c>
      <c r="R341">
        <v>1979599000</v>
      </c>
      <c r="T341">
        <v>4857000000</v>
      </c>
      <c r="V341" t="str">
        <f t="shared" si="20"/>
        <v/>
      </c>
      <c r="W341" t="str">
        <f t="shared" si="21"/>
        <v/>
      </c>
    </row>
    <row r="342" spans="1:23" x14ac:dyDescent="0.2">
      <c r="A342">
        <f>IF(D342="USD",VLOOKUP(VALUE(RIGHT(E342,4)),'USD RUB'!$E:$F,2,FALSE),1)</f>
        <v>1</v>
      </c>
      <c r="B342" s="4">
        <v>1</v>
      </c>
      <c r="C342">
        <v>1000</v>
      </c>
      <c r="D342" t="s">
        <v>20</v>
      </c>
      <c r="E342" s="1" t="s">
        <v>358</v>
      </c>
      <c r="F342">
        <v>5350480000</v>
      </c>
      <c r="G342">
        <v>18306457000</v>
      </c>
      <c r="H342">
        <v>108132493000</v>
      </c>
      <c r="J342">
        <v>127863836000</v>
      </c>
      <c r="K342">
        <v>17459600000</v>
      </c>
      <c r="L342">
        <v>34863468000</v>
      </c>
      <c r="M342">
        <f>33778453*C342</f>
        <v>33778453000</v>
      </c>
      <c r="N342">
        <v>75540768000</v>
      </c>
      <c r="O342">
        <v>66545961000</v>
      </c>
      <c r="P342">
        <v>9679392000</v>
      </c>
      <c r="Q342">
        <v>7039651000</v>
      </c>
      <c r="R342">
        <v>5552902000</v>
      </c>
      <c r="T342">
        <v>15021000000</v>
      </c>
      <c r="V342">
        <f t="shared" si="20"/>
        <v>60102491000</v>
      </c>
      <c r="W342">
        <f t="shared" si="21"/>
        <v>118976291000</v>
      </c>
    </row>
    <row r="343" spans="1:23" x14ac:dyDescent="0.2">
      <c r="A343">
        <f>IF(D343="USD",VLOOKUP(VALUE(RIGHT(E343,4)),'USD RUB'!$E:$F,2,FALSE),1)</f>
        <v>1</v>
      </c>
      <c r="B343" s="4">
        <v>1</v>
      </c>
      <c r="C343">
        <v>1000</v>
      </c>
      <c r="D343" t="s">
        <v>20</v>
      </c>
      <c r="E343" s="1" t="s">
        <v>359</v>
      </c>
      <c r="F343">
        <v>5749510000</v>
      </c>
      <c r="G343">
        <v>17053480000</v>
      </c>
      <c r="H343">
        <v>103047169000</v>
      </c>
      <c r="J343">
        <v>122026662000</v>
      </c>
      <c r="K343">
        <v>13293736000</v>
      </c>
      <c r="L343">
        <v>35526005000</v>
      </c>
      <c r="N343">
        <v>73206921000</v>
      </c>
      <c r="O343">
        <v>31238360000</v>
      </c>
      <c r="P343">
        <v>5328955000</v>
      </c>
      <c r="Q343">
        <v>3753653000</v>
      </c>
      <c r="R343">
        <v>3051554000</v>
      </c>
      <c r="T343">
        <v>7720000000</v>
      </c>
      <c r="V343">
        <f t="shared" si="20"/>
        <v>29684581000</v>
      </c>
      <c r="W343">
        <f t="shared" si="21"/>
        <v>114386235000</v>
      </c>
    </row>
    <row r="344" spans="1:23" x14ac:dyDescent="0.2">
      <c r="A344">
        <f>IF(D344="USD",VLOOKUP(VALUE(RIGHT(E344,4)),'USD RUB'!$E:$F,2,FALSE),1)</f>
        <v>1</v>
      </c>
      <c r="B344" s="4">
        <v>1</v>
      </c>
      <c r="C344">
        <v>1000</v>
      </c>
      <c r="D344" t="s">
        <v>20</v>
      </c>
      <c r="E344" s="1" t="s">
        <v>360</v>
      </c>
      <c r="F344">
        <v>4736990000</v>
      </c>
      <c r="G344">
        <v>16271568000</v>
      </c>
      <c r="H344">
        <v>101003887000</v>
      </c>
      <c r="J344">
        <v>118976291000</v>
      </c>
      <c r="K344">
        <v>9335838000</v>
      </c>
      <c r="L344">
        <v>39485086000</v>
      </c>
      <c r="M344">
        <f>27956949*C344</f>
        <v>27956949000</v>
      </c>
      <c r="N344">
        <v>70155367000</v>
      </c>
      <c r="O344">
        <v>60102491000</v>
      </c>
      <c r="P344">
        <v>8724063000</v>
      </c>
      <c r="Q344">
        <v>6271743000</v>
      </c>
      <c r="R344">
        <v>4963583000</v>
      </c>
      <c r="T344">
        <v>13550000000</v>
      </c>
      <c r="V344">
        <f>52560582*C344</f>
        <v>52560582000</v>
      </c>
      <c r="W344">
        <f>100581528*C344</f>
        <v>100581528000</v>
      </c>
    </row>
    <row r="345" spans="1:23" x14ac:dyDescent="0.2">
      <c r="A345">
        <f>IF(D345="USD",VLOOKUP(VALUE(RIGHT(E345,4)),'USD RUB'!$E:$F,2,FALSE),1)</f>
        <v>1</v>
      </c>
      <c r="B345" s="4">
        <v>1</v>
      </c>
      <c r="C345">
        <v>1000</v>
      </c>
      <c r="D345" t="s">
        <v>20</v>
      </c>
      <c r="E345" s="1" t="s">
        <v>361</v>
      </c>
      <c r="F345">
        <v>8909267000</v>
      </c>
      <c r="G345">
        <v>20499772000</v>
      </c>
      <c r="H345">
        <v>92265094000</v>
      </c>
      <c r="J345">
        <v>114386235000</v>
      </c>
      <c r="K345">
        <v>15426971000</v>
      </c>
      <c r="L345">
        <v>31406171000</v>
      </c>
      <c r="N345">
        <v>67553093000</v>
      </c>
      <c r="O345">
        <v>29684581000</v>
      </c>
      <c r="P345">
        <v>4625436000</v>
      </c>
      <c r="Q345">
        <v>3525369000</v>
      </c>
      <c r="R345">
        <v>2775409000</v>
      </c>
      <c r="T345">
        <v>6140000000</v>
      </c>
      <c r="V345" t="str">
        <f t="shared" ref="V345:V408" si="22">_xlfn.XLOOKUP(LEFT(E345,LEN(E345)-4)&amp;(VALUE(RIGHT(E345,4))-1),$E:$E,$O:$O,"")</f>
        <v/>
      </c>
      <c r="W345" t="str">
        <f t="shared" ref="W345:W408" si="23">_xlfn.XLOOKUP(LEFT(E345,LEN(E345)-4)&amp;(VALUE(RIGHT(E345,4))-1),$E:$E,$J:$J,"")</f>
        <v/>
      </c>
    </row>
    <row r="346" spans="1:23" x14ac:dyDescent="0.2">
      <c r="A346">
        <f>IF(D346="USD",VLOOKUP(VALUE(RIGHT(E346,4)),'USD RUB'!$E:$F,2,FALSE),1)</f>
        <v>1</v>
      </c>
      <c r="B346" s="4">
        <v>1</v>
      </c>
      <c r="C346">
        <v>1000000</v>
      </c>
      <c r="D346" t="s">
        <v>20</v>
      </c>
      <c r="E346" s="1" t="s">
        <v>362</v>
      </c>
      <c r="F346">
        <v>230472000000</v>
      </c>
      <c r="G346">
        <v>573141000000</v>
      </c>
      <c r="H346">
        <v>2840197000000</v>
      </c>
      <c r="I346">
        <v>30912000000</v>
      </c>
      <c r="J346">
        <v>3577606000000</v>
      </c>
      <c r="K346">
        <v>892820000000</v>
      </c>
      <c r="L346">
        <v>858538000000</v>
      </c>
      <c r="M346">
        <v>460440000000</v>
      </c>
      <c r="N346">
        <v>1826248000000</v>
      </c>
      <c r="O346">
        <v>835993000000</v>
      </c>
      <c r="P346">
        <v>179452000000</v>
      </c>
      <c r="Q346">
        <v>170324000000</v>
      </c>
      <c r="R346">
        <v>121279000000</v>
      </c>
      <c r="S346">
        <v>90674000000</v>
      </c>
      <c r="T346">
        <v>335729000000</v>
      </c>
      <c r="U346">
        <v>-234913000000</v>
      </c>
      <c r="V346">
        <f t="shared" si="22"/>
        <v>725437000000</v>
      </c>
      <c r="W346">
        <f t="shared" si="23"/>
        <v>3426026000000</v>
      </c>
    </row>
    <row r="347" spans="1:23" x14ac:dyDescent="0.2">
      <c r="A347">
        <f>IF(D347="USD",VLOOKUP(VALUE(RIGHT(E347,4)),'USD RUB'!$E:$F,2,FALSE),1)</f>
        <v>1</v>
      </c>
      <c r="B347" s="4">
        <v>1</v>
      </c>
      <c r="C347">
        <v>1000000</v>
      </c>
      <c r="D347" t="s">
        <v>20</v>
      </c>
      <c r="E347" s="1" t="s">
        <v>363</v>
      </c>
      <c r="F347">
        <v>226861000000</v>
      </c>
      <c r="G347">
        <v>553207000000</v>
      </c>
      <c r="H347">
        <v>2708910000000</v>
      </c>
      <c r="I347">
        <v>31135000000</v>
      </c>
      <c r="J347">
        <v>3445757000000</v>
      </c>
      <c r="K347">
        <v>905057000000</v>
      </c>
      <c r="L347">
        <v>817334000000</v>
      </c>
      <c r="M347">
        <v>367030000000</v>
      </c>
      <c r="N347">
        <v>1723366000000</v>
      </c>
      <c r="O347">
        <v>1505655000000</v>
      </c>
      <c r="P347">
        <v>-93097000000</v>
      </c>
      <c r="Q347">
        <v>-105873000000</v>
      </c>
      <c r="R347">
        <v>-116863000000</v>
      </c>
      <c r="S347">
        <v>178603000000</v>
      </c>
      <c r="T347">
        <v>434257000000</v>
      </c>
      <c r="U347">
        <v>-553720000000</v>
      </c>
      <c r="V347">
        <f t="shared" si="22"/>
        <v>1378679000000</v>
      </c>
      <c r="W347">
        <f t="shared" si="23"/>
        <v>3290802000000</v>
      </c>
    </row>
    <row r="348" spans="1:23" x14ac:dyDescent="0.2">
      <c r="A348">
        <f>IF(D348="USD",VLOOKUP(VALUE(RIGHT(E348,4)),'USD RUB'!$E:$F,2,FALSE),1)</f>
        <v>1</v>
      </c>
      <c r="B348" s="4">
        <v>1</v>
      </c>
      <c r="C348">
        <v>1000000</v>
      </c>
      <c r="D348" t="s">
        <v>20</v>
      </c>
      <c r="E348" s="1" t="s">
        <v>364</v>
      </c>
      <c r="F348">
        <v>213021000000</v>
      </c>
      <c r="G348">
        <v>500660000000</v>
      </c>
      <c r="H348">
        <v>2742509000000</v>
      </c>
      <c r="I348">
        <v>27599000000</v>
      </c>
      <c r="J348">
        <v>3426026000000</v>
      </c>
      <c r="K348">
        <v>728881000000</v>
      </c>
      <c r="L348">
        <v>766823000000</v>
      </c>
      <c r="M348">
        <v>579429000000</v>
      </c>
      <c r="N348">
        <v>1930322000000</v>
      </c>
      <c r="O348">
        <v>725437000000</v>
      </c>
      <c r="P348">
        <v>130829000000</v>
      </c>
      <c r="Q348">
        <v>126740000000</v>
      </c>
      <c r="R348">
        <v>88424000000</v>
      </c>
      <c r="S348">
        <v>88260000000</v>
      </c>
      <c r="T348">
        <v>295739000000</v>
      </c>
      <c r="U348">
        <v>-187622000000</v>
      </c>
      <c r="V348">
        <f t="shared" si="22"/>
        <v>678858000000</v>
      </c>
      <c r="W348">
        <f t="shared" si="23"/>
        <v>3062490000000</v>
      </c>
    </row>
    <row r="349" spans="1:23" x14ac:dyDescent="0.2">
      <c r="A349">
        <f>IF(D349="USD",VLOOKUP(VALUE(RIGHT(E349,4)),'USD RUB'!$E:$F,2,FALSE),1)</f>
        <v>1</v>
      </c>
      <c r="B349" s="4">
        <v>1</v>
      </c>
      <c r="C349">
        <v>1000000</v>
      </c>
      <c r="D349" t="s">
        <v>20</v>
      </c>
      <c r="E349" s="1" t="s">
        <v>365</v>
      </c>
      <c r="F349">
        <v>166115000000</v>
      </c>
      <c r="G349">
        <v>453028000000</v>
      </c>
      <c r="H349">
        <v>2651474000000</v>
      </c>
      <c r="I349">
        <v>28642000000</v>
      </c>
      <c r="J349">
        <v>3290802000000</v>
      </c>
      <c r="K349">
        <v>676243000000</v>
      </c>
      <c r="L349">
        <v>762643000000</v>
      </c>
      <c r="M349">
        <v>516697000000</v>
      </c>
      <c r="N349">
        <v>1851916000000</v>
      </c>
      <c r="O349">
        <v>1378679000000</v>
      </c>
      <c r="P349">
        <v>222284000000</v>
      </c>
      <c r="Q349">
        <v>214985000000</v>
      </c>
      <c r="R349">
        <v>161321000000</v>
      </c>
      <c r="S349">
        <v>161944000000</v>
      </c>
      <c r="T349">
        <v>779333000000</v>
      </c>
      <c r="U349">
        <v>-468698000000</v>
      </c>
      <c r="V349">
        <f t="shared" si="22"/>
        <v>1181518000000</v>
      </c>
      <c r="W349">
        <f t="shared" si="23"/>
        <v>2924269000000</v>
      </c>
    </row>
    <row r="350" spans="1:23" x14ac:dyDescent="0.2">
      <c r="A350">
        <f>IF(D350="USD",VLOOKUP(VALUE(RIGHT(E350,4)),'USD RUB'!$E:$F,2,FALSE),1)</f>
        <v>1</v>
      </c>
      <c r="B350" s="4">
        <v>1</v>
      </c>
      <c r="C350">
        <v>1000000</v>
      </c>
      <c r="D350" t="s">
        <v>20</v>
      </c>
      <c r="E350" s="1" t="s">
        <v>366</v>
      </c>
      <c r="F350">
        <v>188679000000</v>
      </c>
      <c r="G350">
        <v>442704000000</v>
      </c>
      <c r="H350">
        <v>2401470000000</v>
      </c>
      <c r="I350">
        <v>23291000000</v>
      </c>
      <c r="J350">
        <v>3062490000000</v>
      </c>
      <c r="K350">
        <v>597774000000</v>
      </c>
      <c r="L350">
        <v>686494000000</v>
      </c>
      <c r="N350">
        <v>1778222000000</v>
      </c>
      <c r="O350">
        <v>678858000000</v>
      </c>
      <c r="P350">
        <v>162316000000</v>
      </c>
      <c r="Q350">
        <v>160026000000</v>
      </c>
      <c r="R350">
        <v>123873000000</v>
      </c>
      <c r="V350" t="str">
        <f t="shared" si="22"/>
        <v/>
      </c>
      <c r="W350" t="str">
        <f t="shared" si="23"/>
        <v/>
      </c>
    </row>
    <row r="351" spans="1:23" x14ac:dyDescent="0.2">
      <c r="A351">
        <f>IF(D351="USD",VLOOKUP(VALUE(RIGHT(E351,4)),'USD RUB'!$E:$F,2,FALSE),1)</f>
        <v>1</v>
      </c>
      <c r="B351" s="4">
        <v>1</v>
      </c>
      <c r="C351">
        <v>1000000</v>
      </c>
      <c r="D351" t="s">
        <v>20</v>
      </c>
      <c r="E351" s="1" t="s">
        <v>367</v>
      </c>
      <c r="F351">
        <v>128264000000</v>
      </c>
      <c r="G351">
        <v>406041000000</v>
      </c>
      <c r="H351">
        <v>2306995000000</v>
      </c>
      <c r="I351">
        <v>23373000000</v>
      </c>
      <c r="J351">
        <v>2924269000000</v>
      </c>
      <c r="K351">
        <v>659958000000</v>
      </c>
      <c r="L351">
        <v>657059000000</v>
      </c>
      <c r="M351">
        <v>775827000000</v>
      </c>
      <c r="N351">
        <v>1607252000000</v>
      </c>
      <c r="O351">
        <v>1181518000000</v>
      </c>
      <c r="P351">
        <v>182007000000</v>
      </c>
      <c r="Q351">
        <v>172504000000</v>
      </c>
      <c r="R351">
        <v>132825000000</v>
      </c>
      <c r="S351">
        <v>150367000000</v>
      </c>
      <c r="T351">
        <v>384780000000</v>
      </c>
      <c r="U351">
        <v>-362771000000</v>
      </c>
      <c r="V351" t="str">
        <f t="shared" si="22"/>
        <v/>
      </c>
      <c r="W351" t="str">
        <f t="shared" si="23"/>
        <v/>
      </c>
    </row>
    <row r="352" spans="1:23" x14ac:dyDescent="0.2">
      <c r="A352">
        <f>IF(D352="USD",VLOOKUP(VALUE(RIGHT(E352,4)),'USD RUB'!$E:$F,2,FALSE),1)</f>
        <v>1</v>
      </c>
      <c r="B352" s="4">
        <v>1</v>
      </c>
      <c r="C352">
        <v>1000000</v>
      </c>
      <c r="D352" t="s">
        <v>20</v>
      </c>
      <c r="E352" s="1" t="s">
        <v>368</v>
      </c>
      <c r="F352">
        <v>53222000000</v>
      </c>
      <c r="G352">
        <v>139034000000</v>
      </c>
      <c r="H352">
        <v>1102640000000</v>
      </c>
      <c r="I352">
        <v>7325000000</v>
      </c>
      <c r="J352">
        <v>1378054000000</v>
      </c>
      <c r="K352">
        <v>72196000000</v>
      </c>
      <c r="L352">
        <v>324940000000</v>
      </c>
      <c r="M352">
        <v>309312000000</v>
      </c>
      <c r="N352">
        <v>980918000000</v>
      </c>
      <c r="O352">
        <v>185699000000</v>
      </c>
      <c r="P352">
        <v>64715000000</v>
      </c>
      <c r="Q352">
        <v>69105000000</v>
      </c>
      <c r="R352">
        <v>54731000000</v>
      </c>
      <c r="S352">
        <v>33594000000</v>
      </c>
      <c r="T352">
        <v>107700000000</v>
      </c>
      <c r="U352">
        <v>-64627000000</v>
      </c>
      <c r="V352">
        <f t="shared" si="22"/>
        <v>176162000000</v>
      </c>
      <c r="W352">
        <f t="shared" si="23"/>
        <v>1327001000000</v>
      </c>
    </row>
    <row r="353" spans="1:23" x14ac:dyDescent="0.2">
      <c r="A353">
        <f>IF(D353="USD",VLOOKUP(VALUE(RIGHT(E353,4)),'USD RUB'!$E:$F,2,FALSE),1)</f>
        <v>1</v>
      </c>
      <c r="B353" s="4">
        <v>1</v>
      </c>
      <c r="C353">
        <v>1000000</v>
      </c>
      <c r="D353" t="s">
        <v>20</v>
      </c>
      <c r="E353" s="1" t="s">
        <v>369</v>
      </c>
      <c r="F353">
        <v>64173000000</v>
      </c>
      <c r="G353">
        <v>144226000000</v>
      </c>
      <c r="H353">
        <v>1088083000000</v>
      </c>
      <c r="I353">
        <v>7563000000</v>
      </c>
      <c r="J353">
        <v>1376746000000</v>
      </c>
      <c r="K353">
        <v>93744000000</v>
      </c>
      <c r="L353">
        <v>320394000000</v>
      </c>
      <c r="M353">
        <v>291153000000</v>
      </c>
      <c r="N353">
        <v>962608000000</v>
      </c>
      <c r="O353">
        <v>122975000000</v>
      </c>
      <c r="P353">
        <v>42952000000</v>
      </c>
      <c r="Q353">
        <v>46308000000</v>
      </c>
      <c r="R353">
        <v>36573000000</v>
      </c>
      <c r="S353">
        <v>22307000000</v>
      </c>
      <c r="T353">
        <v>71800000000</v>
      </c>
      <c r="U353">
        <v>-41161000000</v>
      </c>
      <c r="V353">
        <f t="shared" si="22"/>
        <v>114814000000</v>
      </c>
      <c r="W353">
        <f t="shared" si="23"/>
        <v>1327966000000</v>
      </c>
    </row>
    <row r="354" spans="1:23" x14ac:dyDescent="0.2">
      <c r="A354">
        <f>IF(D354="USD",VLOOKUP(VALUE(RIGHT(E354,4)),'USD RUB'!$E:$F,2,FALSE),1)</f>
        <v>1</v>
      </c>
      <c r="B354" s="4">
        <v>1</v>
      </c>
      <c r="C354">
        <v>1000000</v>
      </c>
      <c r="D354" t="s">
        <v>20</v>
      </c>
      <c r="E354" s="1" t="s">
        <v>370</v>
      </c>
      <c r="F354">
        <v>39498000000</v>
      </c>
      <c r="G354">
        <v>121005000000</v>
      </c>
      <c r="H354">
        <v>1073455000000</v>
      </c>
      <c r="I354">
        <v>7602000000</v>
      </c>
      <c r="J354">
        <v>1359388000000</v>
      </c>
      <c r="K354">
        <v>80696000000</v>
      </c>
      <c r="L354">
        <v>308888000000</v>
      </c>
      <c r="M354">
        <v>294522000000</v>
      </c>
      <c r="N354">
        <v>969804000000</v>
      </c>
      <c r="O354">
        <v>61999000000</v>
      </c>
      <c r="P354">
        <v>23516000000</v>
      </c>
      <c r="Q354">
        <v>24391000000</v>
      </c>
      <c r="R354">
        <v>19574000000</v>
      </c>
      <c r="S354">
        <v>11104000000</v>
      </c>
      <c r="T354">
        <v>36500000000</v>
      </c>
      <c r="U354">
        <v>-19263000000</v>
      </c>
      <c r="V354">
        <f t="shared" si="22"/>
        <v>58706000000</v>
      </c>
      <c r="W354">
        <f t="shared" si="23"/>
        <v>1301908000000</v>
      </c>
    </row>
    <row r="355" spans="1:23" x14ac:dyDescent="0.2">
      <c r="A355">
        <f>IF(D355="USD",VLOOKUP(VALUE(RIGHT(E355,4)),'USD RUB'!$E:$F,2,FALSE),1)</f>
        <v>1</v>
      </c>
      <c r="B355" s="4">
        <v>1</v>
      </c>
      <c r="C355">
        <v>1000000</v>
      </c>
      <c r="D355" t="s">
        <v>20</v>
      </c>
      <c r="E355" s="1" t="s">
        <v>371</v>
      </c>
      <c r="F355">
        <v>30096000000</v>
      </c>
      <c r="G355">
        <v>114431000000</v>
      </c>
      <c r="H355">
        <v>1069114000000</v>
      </c>
      <c r="I355">
        <v>7684000000</v>
      </c>
      <c r="J355">
        <v>1340158000000</v>
      </c>
      <c r="K355">
        <v>84224000000</v>
      </c>
      <c r="L355">
        <v>304948000000</v>
      </c>
      <c r="M355">
        <v>274948000000</v>
      </c>
      <c r="N355">
        <v>950986000000</v>
      </c>
      <c r="O355">
        <v>237304000000</v>
      </c>
      <c r="P355">
        <v>69737000000</v>
      </c>
      <c r="Q355">
        <v>75746000000</v>
      </c>
      <c r="R355">
        <v>59390000000</v>
      </c>
      <c r="S355">
        <v>40964000000</v>
      </c>
      <c r="T355">
        <v>133000000000</v>
      </c>
      <c r="U355">
        <v>-92335000000</v>
      </c>
      <c r="V355">
        <f t="shared" si="22"/>
        <v>249611000000</v>
      </c>
      <c r="W355">
        <f t="shared" si="23"/>
        <v>1290341000000</v>
      </c>
    </row>
    <row r="356" spans="1:23" x14ac:dyDescent="0.2">
      <c r="A356">
        <f>IF(D356="USD",VLOOKUP(VALUE(RIGHT(E356,4)),'USD RUB'!$E:$F,2,FALSE),1)</f>
        <v>1</v>
      </c>
      <c r="B356" s="4">
        <v>1</v>
      </c>
      <c r="C356">
        <v>1000000</v>
      </c>
      <c r="D356" t="s">
        <v>20</v>
      </c>
      <c r="E356" s="1" t="s">
        <v>372</v>
      </c>
      <c r="F356">
        <v>24678000000</v>
      </c>
      <c r="G356">
        <v>131018000000</v>
      </c>
      <c r="H356">
        <v>1047821000000</v>
      </c>
      <c r="I356">
        <v>6491000000</v>
      </c>
      <c r="J356">
        <v>1327001000000</v>
      </c>
      <c r="K356">
        <v>67576000000</v>
      </c>
      <c r="L356">
        <v>306294000000</v>
      </c>
      <c r="M356">
        <v>274069000000</v>
      </c>
      <c r="N356">
        <v>953131000000</v>
      </c>
      <c r="O356">
        <v>176162000000</v>
      </c>
      <c r="P356">
        <v>67837000000</v>
      </c>
      <c r="Q356">
        <v>72899000000</v>
      </c>
      <c r="R356">
        <v>58500000000</v>
      </c>
      <c r="S356">
        <v>30247000000</v>
      </c>
      <c r="T356">
        <v>104000000000</v>
      </c>
      <c r="U356">
        <v>-47924000000</v>
      </c>
      <c r="V356">
        <f t="shared" si="22"/>
        <v>173469000000</v>
      </c>
      <c r="W356">
        <f t="shared" si="23"/>
        <v>1269331000000</v>
      </c>
    </row>
    <row r="357" spans="1:23" x14ac:dyDescent="0.2">
      <c r="A357">
        <f>IF(D357="USD",VLOOKUP(VALUE(RIGHT(E357,4)),'USD RUB'!$E:$F,2,FALSE),1)</f>
        <v>1</v>
      </c>
      <c r="B357" s="4">
        <v>1</v>
      </c>
      <c r="C357">
        <v>1000000</v>
      </c>
      <c r="D357" t="s">
        <v>20</v>
      </c>
      <c r="E357" s="1" t="s">
        <v>373</v>
      </c>
      <c r="F357">
        <v>59082000000</v>
      </c>
      <c r="G357">
        <v>157007000000</v>
      </c>
      <c r="H357">
        <v>1032487000000</v>
      </c>
      <c r="I357">
        <v>6610000000</v>
      </c>
      <c r="J357">
        <v>1327966000000</v>
      </c>
      <c r="K357">
        <v>97221000000</v>
      </c>
      <c r="L357">
        <v>304781000000</v>
      </c>
      <c r="M357">
        <v>253064000000</v>
      </c>
      <c r="N357">
        <v>925964000000</v>
      </c>
      <c r="O357">
        <v>114814000000</v>
      </c>
      <c r="P357">
        <v>43267000000</v>
      </c>
      <c r="Q357">
        <v>47301000000</v>
      </c>
      <c r="R357">
        <v>37491000000</v>
      </c>
      <c r="S357">
        <v>20008000000</v>
      </c>
      <c r="T357">
        <v>70700000000</v>
      </c>
      <c r="U357">
        <v>-27348000000</v>
      </c>
      <c r="V357">
        <f t="shared" si="22"/>
        <v>114996000000</v>
      </c>
      <c r="W357">
        <f t="shared" si="23"/>
        <v>1262635000000</v>
      </c>
    </row>
    <row r="358" spans="1:23" x14ac:dyDescent="0.2">
      <c r="A358">
        <f>IF(D358="USD",VLOOKUP(VALUE(RIGHT(E358,4)),'USD RUB'!$E:$F,2,FALSE),1)</f>
        <v>1</v>
      </c>
      <c r="B358" s="4">
        <v>1</v>
      </c>
      <c r="C358">
        <v>1000000</v>
      </c>
      <c r="D358" t="s">
        <v>20</v>
      </c>
      <c r="E358" s="1" t="s">
        <v>374</v>
      </c>
      <c r="F358">
        <v>36007000000</v>
      </c>
      <c r="G358">
        <v>132424000000</v>
      </c>
      <c r="H358">
        <v>1025765000000</v>
      </c>
      <c r="I358">
        <v>6417000000</v>
      </c>
      <c r="J358">
        <v>1301908000000</v>
      </c>
      <c r="K358">
        <v>79552000000</v>
      </c>
      <c r="L358">
        <v>301416000000</v>
      </c>
      <c r="M358">
        <v>247228000000</v>
      </c>
      <c r="N358">
        <v>920940000000</v>
      </c>
      <c r="O358">
        <v>58706000000</v>
      </c>
      <c r="P358">
        <v>23570000000</v>
      </c>
      <c r="Q358">
        <v>24805000000</v>
      </c>
      <c r="R358">
        <v>19666000000</v>
      </c>
      <c r="S358">
        <v>10080000000</v>
      </c>
      <c r="T358">
        <v>36600000000</v>
      </c>
      <c r="U358">
        <v>-12379000000</v>
      </c>
      <c r="V358">
        <f t="shared" si="22"/>
        <v>57517000000</v>
      </c>
      <c r="W358">
        <f t="shared" si="23"/>
        <v>1233527000000</v>
      </c>
    </row>
    <row r="359" spans="1:23" x14ac:dyDescent="0.2">
      <c r="A359">
        <f>IF(D359="USD",VLOOKUP(VALUE(RIGHT(E359,4)),'USD RUB'!$E:$F,2,FALSE),1)</f>
        <v>1</v>
      </c>
      <c r="B359" s="4">
        <v>1</v>
      </c>
      <c r="C359">
        <v>1000000</v>
      </c>
      <c r="D359" t="s">
        <v>20</v>
      </c>
      <c r="E359" s="1" t="s">
        <v>375</v>
      </c>
      <c r="F359">
        <v>37077000000</v>
      </c>
      <c r="G359">
        <v>124639000000</v>
      </c>
      <c r="H359">
        <v>1024901000000</v>
      </c>
      <c r="I359">
        <v>6609000000</v>
      </c>
      <c r="J359">
        <v>1290341000000</v>
      </c>
      <c r="K359">
        <v>101226000000</v>
      </c>
      <c r="L359">
        <v>287331000000</v>
      </c>
      <c r="M359">
        <v>227558000000</v>
      </c>
      <c r="N359">
        <v>901784000000</v>
      </c>
      <c r="O359">
        <v>249611000000</v>
      </c>
      <c r="P359">
        <v>102714000000</v>
      </c>
      <c r="Q359">
        <v>109696000000</v>
      </c>
      <c r="R359">
        <v>86638000000</v>
      </c>
      <c r="S359">
        <v>37868000000</v>
      </c>
      <c r="T359">
        <v>136200000000</v>
      </c>
      <c r="U359">
        <v>-94509000000</v>
      </c>
      <c r="V359">
        <f t="shared" si="22"/>
        <v>253979000000</v>
      </c>
      <c r="W359">
        <f t="shared" si="23"/>
        <v>1209042000000</v>
      </c>
    </row>
    <row r="360" spans="1:23" x14ac:dyDescent="0.2">
      <c r="A360">
        <f>IF(D360="USD",VLOOKUP(VALUE(RIGHT(E360,4)),'USD RUB'!$E:$F,2,FALSE),1)</f>
        <v>1</v>
      </c>
      <c r="B360" s="4">
        <v>1</v>
      </c>
      <c r="C360">
        <v>1000000</v>
      </c>
      <c r="D360" t="s">
        <v>20</v>
      </c>
      <c r="E360" s="1" t="s">
        <v>376</v>
      </c>
      <c r="F360">
        <v>42437000000</v>
      </c>
      <c r="G360">
        <v>134915000000</v>
      </c>
      <c r="H360">
        <v>1003840000000</v>
      </c>
      <c r="I360">
        <v>5728000000</v>
      </c>
      <c r="J360">
        <v>1269331000000</v>
      </c>
      <c r="K360">
        <v>88458000000</v>
      </c>
      <c r="L360">
        <v>288415000000</v>
      </c>
      <c r="M360">
        <v>222470000000</v>
      </c>
      <c r="N360">
        <v>892458000000</v>
      </c>
      <c r="O360">
        <v>173469000000</v>
      </c>
      <c r="P360">
        <v>83136000000</v>
      </c>
      <c r="Q360">
        <v>88540000000</v>
      </c>
      <c r="R360">
        <v>70417000000</v>
      </c>
      <c r="S360">
        <v>27724000000</v>
      </c>
      <c r="T360">
        <v>107900000000</v>
      </c>
      <c r="U360">
        <v>-55251000000</v>
      </c>
      <c r="V360">
        <f t="shared" si="22"/>
        <v>174395000000</v>
      </c>
      <c r="W360">
        <f t="shared" si="23"/>
        <v>1208488000000</v>
      </c>
    </row>
    <row r="361" spans="1:23" x14ac:dyDescent="0.2">
      <c r="A361">
        <f>IF(D361="USD",VLOOKUP(VALUE(RIGHT(E361,4)),'USD RUB'!$E:$F,2,FALSE),1)</f>
        <v>1</v>
      </c>
      <c r="B361" s="4">
        <v>1</v>
      </c>
      <c r="C361">
        <v>1000000</v>
      </c>
      <c r="D361" t="s">
        <v>20</v>
      </c>
      <c r="E361" s="1" t="s">
        <v>377</v>
      </c>
      <c r="F361">
        <v>50260000000</v>
      </c>
      <c r="G361">
        <v>141363000000</v>
      </c>
      <c r="H361">
        <v>991160000000</v>
      </c>
      <c r="I361">
        <v>5898000000</v>
      </c>
      <c r="J361">
        <v>1262635000000</v>
      </c>
      <c r="K361">
        <v>93698000000</v>
      </c>
      <c r="L361">
        <v>294956000000</v>
      </c>
      <c r="M361">
        <v>202732000000</v>
      </c>
      <c r="N361">
        <v>873981000000</v>
      </c>
      <c r="O361">
        <v>114996000000</v>
      </c>
      <c r="P361">
        <v>59886000000</v>
      </c>
      <c r="Q361">
        <v>63724000000</v>
      </c>
      <c r="R361">
        <v>50679000000</v>
      </c>
      <c r="S361">
        <v>18162000000</v>
      </c>
      <c r="T361">
        <v>73800000000</v>
      </c>
      <c r="U361">
        <v>-35580000000</v>
      </c>
      <c r="V361">
        <f t="shared" si="22"/>
        <v>117456000000</v>
      </c>
      <c r="W361">
        <f t="shared" si="23"/>
        <v>1229777000000</v>
      </c>
    </row>
    <row r="362" spans="1:23" x14ac:dyDescent="0.2">
      <c r="A362">
        <f>IF(D362="USD",VLOOKUP(VALUE(RIGHT(E362,4)),'USD RUB'!$E:$F,2,FALSE),1)</f>
        <v>1</v>
      </c>
      <c r="B362" s="4">
        <v>1</v>
      </c>
      <c r="C362">
        <v>1000000</v>
      </c>
      <c r="D362" t="s">
        <v>20</v>
      </c>
      <c r="E362" s="1" t="s">
        <v>378</v>
      </c>
      <c r="F362">
        <v>31397000000</v>
      </c>
      <c r="G362">
        <v>129262000000</v>
      </c>
      <c r="H362">
        <v>973750000000</v>
      </c>
      <c r="I362">
        <v>6244000000</v>
      </c>
      <c r="J362">
        <v>1233527000000</v>
      </c>
      <c r="K362">
        <v>79006000000</v>
      </c>
      <c r="L362">
        <v>289460000000</v>
      </c>
      <c r="M362">
        <v>198092000000</v>
      </c>
      <c r="N362">
        <v>865061000000</v>
      </c>
      <c r="O362">
        <v>57517000000</v>
      </c>
      <c r="P362">
        <v>36080000000</v>
      </c>
      <c r="Q362">
        <v>37165000000</v>
      </c>
      <c r="R362">
        <v>27438000000</v>
      </c>
      <c r="S362">
        <v>9144000000</v>
      </c>
      <c r="T362">
        <v>36900000000</v>
      </c>
      <c r="U362">
        <v>-9648000000</v>
      </c>
      <c r="V362">
        <f t="shared" si="22"/>
        <v>60659000000</v>
      </c>
      <c r="W362">
        <f t="shared" si="23"/>
        <v>1210940000000</v>
      </c>
    </row>
    <row r="363" spans="1:23" x14ac:dyDescent="0.2">
      <c r="A363">
        <f>IF(D363="USD",VLOOKUP(VALUE(RIGHT(E363,4)),'USD RUB'!$E:$F,2,FALSE),1)</f>
        <v>1</v>
      </c>
      <c r="B363" s="4">
        <v>1</v>
      </c>
      <c r="C363">
        <v>1000000</v>
      </c>
      <c r="D363" t="s">
        <v>20</v>
      </c>
      <c r="E363" s="1" t="s">
        <v>379</v>
      </c>
      <c r="F363">
        <v>37618000000</v>
      </c>
      <c r="G363">
        <v>151517000000</v>
      </c>
      <c r="H363">
        <v>937277000000</v>
      </c>
      <c r="I363">
        <v>6638000000</v>
      </c>
      <c r="J363">
        <v>1209042000000</v>
      </c>
      <c r="K363">
        <v>93891000000</v>
      </c>
      <c r="L363">
        <v>275989000000</v>
      </c>
      <c r="M363">
        <v>170699000000</v>
      </c>
      <c r="N363">
        <v>839162000000</v>
      </c>
      <c r="O363">
        <v>253979000000</v>
      </c>
      <c r="P363">
        <v>106857000000</v>
      </c>
      <c r="Q363">
        <v>115101000000</v>
      </c>
      <c r="R363">
        <v>92845000000</v>
      </c>
      <c r="S363">
        <v>33500000000</v>
      </c>
      <c r="T363">
        <v>133600000000</v>
      </c>
      <c r="U363">
        <v>-90990000000</v>
      </c>
      <c r="V363">
        <f t="shared" si="22"/>
        <v>242186000000</v>
      </c>
      <c r="W363">
        <f t="shared" si="23"/>
        <v>1183825000000</v>
      </c>
    </row>
    <row r="364" spans="1:23" x14ac:dyDescent="0.2">
      <c r="A364">
        <f>IF(D364="USD",VLOOKUP(VALUE(RIGHT(E364,4)),'USD RUB'!$E:$F,2,FALSE),1)</f>
        <v>1</v>
      </c>
      <c r="B364" s="4">
        <v>1</v>
      </c>
      <c r="C364">
        <v>1000000</v>
      </c>
      <c r="D364" t="s">
        <v>20</v>
      </c>
      <c r="E364" s="1" t="s">
        <v>380</v>
      </c>
      <c r="F364">
        <v>29284000000</v>
      </c>
      <c r="G364">
        <v>108803000000</v>
      </c>
      <c r="H364">
        <v>967464000000</v>
      </c>
      <c r="I364">
        <v>6057000000</v>
      </c>
      <c r="J364">
        <v>1208488000000</v>
      </c>
      <c r="K364">
        <v>72557000000</v>
      </c>
      <c r="L364">
        <v>285518000000</v>
      </c>
      <c r="M364">
        <v>179392000000</v>
      </c>
      <c r="N364">
        <v>850413000000</v>
      </c>
      <c r="O364">
        <v>174395000000</v>
      </c>
      <c r="P364">
        <v>65492000000</v>
      </c>
      <c r="Q364">
        <v>71755000000</v>
      </c>
      <c r="R364">
        <v>57955000000</v>
      </c>
      <c r="S364">
        <v>25855000000</v>
      </c>
      <c r="T364">
        <v>101700000000</v>
      </c>
      <c r="U364">
        <v>-52098000000</v>
      </c>
      <c r="V364">
        <f t="shared" si="22"/>
        <v>160080000000</v>
      </c>
      <c r="W364">
        <f t="shared" si="23"/>
        <v>1116743000000</v>
      </c>
    </row>
    <row r="365" spans="1:23" x14ac:dyDescent="0.2">
      <c r="A365">
        <f>IF(D365="USD",VLOOKUP(VALUE(RIGHT(E365,4)),'USD RUB'!$E:$F,2,FALSE),1)</f>
        <v>1</v>
      </c>
      <c r="B365" s="4">
        <v>1</v>
      </c>
      <c r="C365">
        <v>1000000</v>
      </c>
      <c r="D365" t="s">
        <v>20</v>
      </c>
      <c r="E365" s="1" t="s">
        <v>381</v>
      </c>
      <c r="F365">
        <v>47558000000</v>
      </c>
      <c r="G365">
        <v>135434000000</v>
      </c>
      <c r="H365">
        <v>953294000000</v>
      </c>
      <c r="I365">
        <v>6137000000</v>
      </c>
      <c r="J365">
        <v>1229777000000</v>
      </c>
      <c r="K365">
        <v>112950000000</v>
      </c>
      <c r="L365">
        <v>282037000000</v>
      </c>
      <c r="M365">
        <v>153392000000</v>
      </c>
      <c r="N365">
        <v>834790000000</v>
      </c>
      <c r="O365">
        <v>117456000000</v>
      </c>
      <c r="P365">
        <v>44334000000</v>
      </c>
      <c r="Q365">
        <v>49217000000</v>
      </c>
      <c r="R365">
        <v>39869000000</v>
      </c>
      <c r="S365">
        <v>16965000000</v>
      </c>
      <c r="U365">
        <v>-34283000000</v>
      </c>
      <c r="V365">
        <f t="shared" si="22"/>
        <v>101619000000</v>
      </c>
      <c r="W365">
        <f t="shared" si="23"/>
        <v>1115429000000</v>
      </c>
    </row>
    <row r="366" spans="1:23" x14ac:dyDescent="0.2">
      <c r="A366">
        <f>IF(D366="USD",VLOOKUP(VALUE(RIGHT(E366,4)),'USD RUB'!$E:$F,2,FALSE),1)</f>
        <v>1</v>
      </c>
      <c r="B366" s="4">
        <v>1</v>
      </c>
      <c r="C366">
        <v>1000000</v>
      </c>
      <c r="D366" t="s">
        <v>20</v>
      </c>
      <c r="E366" s="1" t="s">
        <v>382</v>
      </c>
      <c r="F366">
        <v>33997000000</v>
      </c>
      <c r="G366">
        <v>118960000000</v>
      </c>
      <c r="H366">
        <v>937831000000</v>
      </c>
      <c r="I366">
        <v>6121000000</v>
      </c>
      <c r="J366">
        <v>1210940000000</v>
      </c>
      <c r="K366">
        <v>94640000000</v>
      </c>
      <c r="L366">
        <v>288867000000</v>
      </c>
      <c r="M366">
        <v>138138000000</v>
      </c>
      <c r="N366">
        <v>827433000000</v>
      </c>
      <c r="O366">
        <v>60659000000</v>
      </c>
      <c r="P366">
        <v>23831000000</v>
      </c>
      <c r="Q366">
        <v>26309000000</v>
      </c>
      <c r="R366">
        <v>20962000000</v>
      </c>
      <c r="S366">
        <v>8359000000</v>
      </c>
      <c r="U366">
        <v>-15326000000</v>
      </c>
      <c r="V366">
        <f t="shared" si="22"/>
        <v>49796000000</v>
      </c>
      <c r="W366">
        <f t="shared" si="23"/>
        <v>1109226000000</v>
      </c>
    </row>
    <row r="367" spans="1:23" x14ac:dyDescent="0.2">
      <c r="A367">
        <f>IF(D367="USD",VLOOKUP(VALUE(RIGHT(E367,4)),'USD RUB'!$E:$F,2,FALSE),1)</f>
        <v>1</v>
      </c>
      <c r="B367" s="4">
        <v>1</v>
      </c>
      <c r="C367">
        <v>1000000</v>
      </c>
      <c r="D367" t="s">
        <v>20</v>
      </c>
      <c r="E367" s="1" t="s">
        <v>383</v>
      </c>
      <c r="F367">
        <v>42535000000</v>
      </c>
      <c r="G367">
        <v>104201000000</v>
      </c>
      <c r="H367">
        <v>934417000000</v>
      </c>
      <c r="I367">
        <v>6303000000</v>
      </c>
      <c r="J367">
        <v>1183825000000</v>
      </c>
      <c r="K367">
        <v>88718000000</v>
      </c>
      <c r="L367">
        <v>293339000000</v>
      </c>
      <c r="M367">
        <v>-144118000000</v>
      </c>
      <c r="N367">
        <v>801768000000</v>
      </c>
      <c r="O367">
        <v>242186000000</v>
      </c>
      <c r="P367">
        <v>83021000000</v>
      </c>
      <c r="Q367">
        <v>91135000000</v>
      </c>
      <c r="R367">
        <v>72650000000</v>
      </c>
      <c r="S367">
        <v>45972000000</v>
      </c>
      <c r="U367">
        <v>-87981000000</v>
      </c>
      <c r="V367">
        <f t="shared" si="22"/>
        <v>255603000000</v>
      </c>
      <c r="W367">
        <f t="shared" si="23"/>
        <v>1097110000000</v>
      </c>
    </row>
    <row r="368" spans="1:23" x14ac:dyDescent="0.2">
      <c r="A368">
        <f>IF(D368="USD",VLOOKUP(VALUE(RIGHT(E368,4)),'USD RUB'!$E:$F,2,FALSE),1)</f>
        <v>1</v>
      </c>
      <c r="B368" s="4">
        <v>1</v>
      </c>
      <c r="C368">
        <v>1000000</v>
      </c>
      <c r="D368" t="s">
        <v>20</v>
      </c>
      <c r="E368" s="1" t="s">
        <v>384</v>
      </c>
      <c r="F368">
        <v>29338000000</v>
      </c>
      <c r="G368">
        <v>113592000000</v>
      </c>
      <c r="H368">
        <v>870971000000</v>
      </c>
      <c r="I368">
        <v>6740000000</v>
      </c>
      <c r="J368">
        <v>1116743000000</v>
      </c>
      <c r="K368">
        <v>110340000000</v>
      </c>
      <c r="L368">
        <v>257853000000</v>
      </c>
      <c r="M368">
        <v>-174023000000</v>
      </c>
      <c r="N368">
        <v>748550000000</v>
      </c>
      <c r="O368">
        <v>160080000000</v>
      </c>
      <c r="P368">
        <v>50859000000</v>
      </c>
      <c r="Q368">
        <v>58328000000</v>
      </c>
      <c r="R368">
        <v>43517000000</v>
      </c>
      <c r="S368">
        <v>34486000000</v>
      </c>
      <c r="T368">
        <v>92500000000</v>
      </c>
      <c r="U368">
        <v>-49489000000</v>
      </c>
      <c r="V368">
        <f t="shared" si="22"/>
        <v>165453000000</v>
      </c>
      <c r="W368">
        <f t="shared" si="23"/>
        <v>1055276000000</v>
      </c>
    </row>
    <row r="369" spans="1:23" x14ac:dyDescent="0.2">
      <c r="A369">
        <f>IF(D369="USD",VLOOKUP(VALUE(RIGHT(E369,4)),'USD RUB'!$E:$F,2,FALSE),1)</f>
        <v>1</v>
      </c>
      <c r="B369" s="4">
        <v>1</v>
      </c>
      <c r="C369">
        <v>1000000</v>
      </c>
      <c r="D369" t="s">
        <v>20</v>
      </c>
      <c r="E369" s="1" t="s">
        <v>385</v>
      </c>
      <c r="F369">
        <v>38642000000</v>
      </c>
      <c r="G369">
        <v>125002000000</v>
      </c>
      <c r="H369">
        <v>857945000000</v>
      </c>
      <c r="I369">
        <v>6844000000</v>
      </c>
      <c r="J369">
        <v>1115429000000</v>
      </c>
      <c r="K369">
        <v>107298000000</v>
      </c>
      <c r="L369">
        <v>276205000000</v>
      </c>
      <c r="M369">
        <v>-192742000000</v>
      </c>
      <c r="N369">
        <v>731926000000</v>
      </c>
      <c r="O369">
        <v>101619000000</v>
      </c>
      <c r="P369">
        <v>29023000000</v>
      </c>
      <c r="Q369">
        <v>34551000000</v>
      </c>
      <c r="R369">
        <v>24887000000</v>
      </c>
      <c r="S369">
        <v>22902000000</v>
      </c>
      <c r="T369">
        <v>68600000000</v>
      </c>
      <c r="U369">
        <v>-30622000000</v>
      </c>
      <c r="V369">
        <f t="shared" si="22"/>
        <v>110586000000</v>
      </c>
      <c r="W369">
        <f t="shared" si="23"/>
        <v>1042907000000</v>
      </c>
    </row>
    <row r="370" spans="1:23" x14ac:dyDescent="0.2">
      <c r="A370">
        <f>IF(D370="USD",VLOOKUP(VALUE(RIGHT(E370,4)),'USD RUB'!$E:$F,2,FALSE),1)</f>
        <v>1</v>
      </c>
      <c r="B370" s="4">
        <v>1</v>
      </c>
      <c r="C370">
        <v>1000000</v>
      </c>
      <c r="D370" t="s">
        <v>20</v>
      </c>
      <c r="E370" s="1" t="s">
        <v>386</v>
      </c>
      <c r="F370">
        <v>41784000000</v>
      </c>
      <c r="G370">
        <v>126589000000</v>
      </c>
      <c r="H370">
        <v>847878000000</v>
      </c>
      <c r="I370">
        <v>7036000000</v>
      </c>
      <c r="J370">
        <v>1109226000000</v>
      </c>
      <c r="K370">
        <v>99270000000</v>
      </c>
      <c r="L370">
        <v>274869000000</v>
      </c>
      <c r="M370">
        <v>-192444000000</v>
      </c>
      <c r="N370">
        <v>735087000000</v>
      </c>
      <c r="O370">
        <v>49796000000</v>
      </c>
      <c r="P370">
        <v>9575000000</v>
      </c>
      <c r="Q370">
        <v>10955000000</v>
      </c>
      <c r="R370">
        <v>5788000000</v>
      </c>
      <c r="S370">
        <v>11308000000</v>
      </c>
      <c r="T370">
        <v>35500000000</v>
      </c>
      <c r="U370">
        <v>-15894000000</v>
      </c>
      <c r="V370">
        <f t="shared" si="22"/>
        <v>52540000000</v>
      </c>
      <c r="W370">
        <f t="shared" si="23"/>
        <v>1022108000000</v>
      </c>
    </row>
    <row r="371" spans="1:23" x14ac:dyDescent="0.2">
      <c r="A371">
        <f>IF(D371="USD",VLOOKUP(VALUE(RIGHT(E371,4)),'USD RUB'!$E:$F,2,FALSE),1)</f>
        <v>1</v>
      </c>
      <c r="B371" s="4">
        <v>1</v>
      </c>
      <c r="C371">
        <v>1000000</v>
      </c>
      <c r="D371" t="s">
        <v>20</v>
      </c>
      <c r="E371" s="1" t="s">
        <v>387</v>
      </c>
      <c r="F371">
        <v>44404000000</v>
      </c>
      <c r="G371">
        <v>118386000000</v>
      </c>
      <c r="H371">
        <v>84665000000</v>
      </c>
      <c r="J371">
        <v>1097110000000</v>
      </c>
      <c r="K371">
        <v>99428000000</v>
      </c>
      <c r="L371">
        <v>269265000000</v>
      </c>
      <c r="N371">
        <v>728417000000</v>
      </c>
      <c r="O371">
        <v>255603000000</v>
      </c>
      <c r="P371">
        <v>79847000000</v>
      </c>
      <c r="Q371">
        <v>78484000000</v>
      </c>
      <c r="R371">
        <v>68382000000</v>
      </c>
      <c r="T371">
        <v>116700000000</v>
      </c>
      <c r="U371">
        <v>79774000000</v>
      </c>
      <c r="V371">
        <f t="shared" si="22"/>
        <v>187041000000</v>
      </c>
      <c r="W371">
        <f t="shared" si="23"/>
        <v>995328000000</v>
      </c>
    </row>
    <row r="372" spans="1:23" x14ac:dyDescent="0.2">
      <c r="A372">
        <f>IF(D372="USD",VLOOKUP(VALUE(RIGHT(E372,4)),'USD RUB'!$E:$F,2,FALSE),1)</f>
        <v>1</v>
      </c>
      <c r="B372" s="4">
        <v>1</v>
      </c>
      <c r="C372">
        <v>1000000</v>
      </c>
      <c r="D372" t="s">
        <v>20</v>
      </c>
      <c r="E372" s="1" t="s">
        <v>388</v>
      </c>
      <c r="F372">
        <v>42455000000</v>
      </c>
      <c r="G372">
        <v>131929000000</v>
      </c>
      <c r="H372">
        <v>833196000000</v>
      </c>
      <c r="J372">
        <v>1055276000000</v>
      </c>
      <c r="K372">
        <v>83991000000</v>
      </c>
      <c r="L372">
        <v>275936000000</v>
      </c>
      <c r="N372">
        <v>695349000000</v>
      </c>
      <c r="O372">
        <v>165453000000</v>
      </c>
      <c r="P372">
        <v>68958000000</v>
      </c>
      <c r="Q372">
        <v>67187000000</v>
      </c>
      <c r="R372">
        <v>59193000000</v>
      </c>
      <c r="T372">
        <v>97500000000</v>
      </c>
      <c r="V372">
        <f t="shared" si="22"/>
        <v>125882000000</v>
      </c>
      <c r="W372">
        <f t="shared" si="23"/>
        <v>972965000000</v>
      </c>
    </row>
    <row r="373" spans="1:23" x14ac:dyDescent="0.2">
      <c r="A373">
        <f>IF(D373="USD",VLOOKUP(VALUE(RIGHT(E373,4)),'USD RUB'!$E:$F,2,FALSE),1)</f>
        <v>1</v>
      </c>
      <c r="B373" s="4">
        <v>1</v>
      </c>
      <c r="C373">
        <v>1000000</v>
      </c>
      <c r="D373" t="s">
        <v>20</v>
      </c>
      <c r="E373" s="1" t="s">
        <v>389</v>
      </c>
      <c r="F373">
        <v>53054000000</v>
      </c>
      <c r="G373">
        <v>136902000000</v>
      </c>
      <c r="H373">
        <v>826518000000</v>
      </c>
      <c r="J373">
        <v>1042907000000</v>
      </c>
      <c r="K373">
        <v>100427000000</v>
      </c>
      <c r="L373">
        <v>272112000000</v>
      </c>
      <c r="N373">
        <v>670368000000</v>
      </c>
      <c r="O373">
        <v>110586000000</v>
      </c>
      <c r="P373">
        <v>52751000000</v>
      </c>
      <c r="Q373">
        <v>51297000000</v>
      </c>
      <c r="R373">
        <v>44863000000</v>
      </c>
      <c r="T373">
        <v>66800000000</v>
      </c>
      <c r="U373">
        <v>28900000000</v>
      </c>
      <c r="V373">
        <f t="shared" si="22"/>
        <v>82519000000</v>
      </c>
      <c r="W373">
        <f t="shared" si="23"/>
        <v>973478000000</v>
      </c>
    </row>
    <row r="374" spans="1:23" x14ac:dyDescent="0.2">
      <c r="A374">
        <f>IF(D374="USD",VLOOKUP(VALUE(RIGHT(E374,4)),'USD RUB'!$E:$F,2,FALSE),1)</f>
        <v>1</v>
      </c>
      <c r="B374" s="4">
        <v>1</v>
      </c>
      <c r="C374">
        <v>1000000</v>
      </c>
      <c r="D374" t="s">
        <v>20</v>
      </c>
      <c r="E374" s="1" t="s">
        <v>390</v>
      </c>
      <c r="F374">
        <v>35717000000</v>
      </c>
      <c r="G374">
        <v>129868000000</v>
      </c>
      <c r="H374">
        <v>825175000000</v>
      </c>
      <c r="J374">
        <v>1022108000000</v>
      </c>
      <c r="K374">
        <v>97189000000</v>
      </c>
      <c r="L374">
        <v>277575000000</v>
      </c>
      <c r="N374">
        <v>647344000000</v>
      </c>
      <c r="O374">
        <v>52540000000</v>
      </c>
      <c r="P374">
        <v>21110000000</v>
      </c>
      <c r="Q374">
        <v>20256000000</v>
      </c>
      <c r="R374">
        <v>16421000000</v>
      </c>
      <c r="T374">
        <v>33700000000</v>
      </c>
      <c r="V374" t="str">
        <f t="shared" si="22"/>
        <v/>
      </c>
      <c r="W374" t="str">
        <f t="shared" si="23"/>
        <v/>
      </c>
    </row>
    <row r="375" spans="1:23" x14ac:dyDescent="0.2">
      <c r="A375">
        <f>IF(D375="USD",VLOOKUP(VALUE(RIGHT(E375,4)),'USD RUB'!$E:$F,2,FALSE),1)</f>
        <v>1</v>
      </c>
      <c r="B375" s="4">
        <v>1</v>
      </c>
      <c r="C375">
        <v>1000000</v>
      </c>
      <c r="D375" t="s">
        <v>20</v>
      </c>
      <c r="E375" s="1" t="s">
        <v>391</v>
      </c>
      <c r="F375">
        <v>28176000000</v>
      </c>
      <c r="G375">
        <v>125261000000</v>
      </c>
      <c r="H375">
        <v>821114000000</v>
      </c>
      <c r="J375">
        <v>995328000000</v>
      </c>
      <c r="K375">
        <v>102563000000</v>
      </c>
      <c r="L375">
        <v>273127000000</v>
      </c>
      <c r="N375">
        <v>619638000000</v>
      </c>
      <c r="O375">
        <v>187041000000</v>
      </c>
      <c r="P375">
        <v>57229000000</v>
      </c>
      <c r="Q375">
        <v>56287000000</v>
      </c>
      <c r="R375">
        <v>44098000000</v>
      </c>
      <c r="T375">
        <v>109700000000</v>
      </c>
      <c r="U375">
        <v>76500000000</v>
      </c>
      <c r="V375">
        <f t="shared" si="22"/>
        <v>173353000000</v>
      </c>
      <c r="W375">
        <f t="shared" si="23"/>
        <v>935175000000</v>
      </c>
    </row>
    <row r="376" spans="1:23" x14ac:dyDescent="0.2">
      <c r="A376">
        <f>IF(D376="USD",VLOOKUP(VALUE(RIGHT(E376,4)),'USD RUB'!$E:$F,2,FALSE),1)</f>
        <v>1</v>
      </c>
      <c r="B376" s="4">
        <v>1</v>
      </c>
      <c r="C376">
        <v>1000000</v>
      </c>
      <c r="D376" t="s">
        <v>20</v>
      </c>
      <c r="E376" s="1" t="s">
        <v>392</v>
      </c>
      <c r="F376">
        <v>45007000000</v>
      </c>
      <c r="G376">
        <v>125055000000</v>
      </c>
      <c r="H376">
        <v>805908000000</v>
      </c>
      <c r="J376">
        <v>972965000000</v>
      </c>
      <c r="K376">
        <v>82336000000</v>
      </c>
      <c r="L376">
        <v>282583000000</v>
      </c>
      <c r="N376">
        <v>608046000000</v>
      </c>
      <c r="O376">
        <v>125882000000</v>
      </c>
      <c r="P376">
        <v>41054000000</v>
      </c>
      <c r="Q376">
        <v>40011000000</v>
      </c>
      <c r="R376">
        <v>31910000000</v>
      </c>
      <c r="T376">
        <v>78500000000</v>
      </c>
      <c r="V376" t="str">
        <f t="shared" si="22"/>
        <v/>
      </c>
      <c r="W376" t="str">
        <f t="shared" si="23"/>
        <v/>
      </c>
    </row>
    <row r="377" spans="1:23" x14ac:dyDescent="0.2">
      <c r="A377">
        <f>IF(D377="USD",VLOOKUP(VALUE(RIGHT(E377,4)),'USD RUB'!$E:$F,2,FALSE),1)</f>
        <v>1</v>
      </c>
      <c r="B377" s="4">
        <v>1</v>
      </c>
      <c r="C377">
        <v>1000000</v>
      </c>
      <c r="D377" t="s">
        <v>20</v>
      </c>
      <c r="E377" s="1" t="s">
        <v>393</v>
      </c>
      <c r="F377">
        <v>43935000000</v>
      </c>
      <c r="G377">
        <v>135480000000</v>
      </c>
      <c r="H377">
        <v>800682000000</v>
      </c>
      <c r="J377">
        <v>973478000000</v>
      </c>
      <c r="K377">
        <v>97050000000</v>
      </c>
      <c r="L377">
        <v>280114000000</v>
      </c>
      <c r="N377">
        <v>596314000000</v>
      </c>
      <c r="O377">
        <v>82519000000</v>
      </c>
      <c r="P377">
        <v>21917000000</v>
      </c>
      <c r="Q377">
        <v>21716000000</v>
      </c>
      <c r="R377">
        <v>17342000000</v>
      </c>
      <c r="T377">
        <v>46200000000</v>
      </c>
      <c r="U377">
        <v>45100000000</v>
      </c>
      <c r="V377">
        <f t="shared" si="22"/>
        <v>85360000000</v>
      </c>
      <c r="W377">
        <f t="shared" si="23"/>
        <v>926593000000</v>
      </c>
    </row>
    <row r="378" spans="1:23" x14ac:dyDescent="0.2">
      <c r="A378">
        <f>IF(D378="USD",VLOOKUP(VALUE(RIGHT(E378,4)),'USD RUB'!$E:$F,2,FALSE),1)</f>
        <v>1</v>
      </c>
      <c r="B378" s="4">
        <v>1</v>
      </c>
      <c r="C378">
        <v>1000000</v>
      </c>
      <c r="D378" t="s">
        <v>20</v>
      </c>
      <c r="E378" s="1" t="s">
        <v>394</v>
      </c>
      <c r="F378">
        <v>42068000000</v>
      </c>
      <c r="G378">
        <v>110821000000</v>
      </c>
      <c r="H378">
        <v>795029000000</v>
      </c>
      <c r="J378">
        <v>935175000000</v>
      </c>
      <c r="K378">
        <v>119113000000</v>
      </c>
      <c r="L378">
        <v>242831000000</v>
      </c>
      <c r="N378">
        <v>573231000000</v>
      </c>
      <c r="O378">
        <v>173353000000</v>
      </c>
      <c r="P378">
        <v>-15326000000</v>
      </c>
      <c r="Q378">
        <v>-22513000000</v>
      </c>
      <c r="R378">
        <v>-20601000000</v>
      </c>
      <c r="T378">
        <v>107700000000</v>
      </c>
      <c r="U378">
        <v>74400000000</v>
      </c>
      <c r="V378">
        <f t="shared" si="22"/>
        <v>157970000000</v>
      </c>
      <c r="W378">
        <f t="shared" si="23"/>
        <v>918502000000</v>
      </c>
    </row>
    <row r="379" spans="1:23" x14ac:dyDescent="0.2">
      <c r="A379">
        <f>IF(D379="USD",VLOOKUP(VALUE(RIGHT(E379,4)),'USD RUB'!$E:$F,2,FALSE),1)</f>
        <v>1</v>
      </c>
      <c r="B379" s="4">
        <v>1</v>
      </c>
      <c r="C379">
        <v>1000000</v>
      </c>
      <c r="D379" t="s">
        <v>20</v>
      </c>
      <c r="E379" s="1" t="s">
        <v>395</v>
      </c>
      <c r="F379">
        <v>44146000000</v>
      </c>
      <c r="G379">
        <v>117264000000</v>
      </c>
      <c r="H379">
        <v>771779000000</v>
      </c>
      <c r="J379">
        <v>926593000000</v>
      </c>
      <c r="K379">
        <v>100371000000</v>
      </c>
      <c r="L379">
        <v>256055000000</v>
      </c>
      <c r="N379">
        <v>570167000000</v>
      </c>
      <c r="O379">
        <v>85360000000</v>
      </c>
      <c r="P379">
        <v>25426000000</v>
      </c>
      <c r="Q379">
        <v>24234000000</v>
      </c>
      <c r="R379">
        <v>18610000000</v>
      </c>
      <c r="T379">
        <v>49892000000</v>
      </c>
      <c r="U379">
        <v>32600000000</v>
      </c>
      <c r="V379">
        <f t="shared" si="22"/>
        <v>75826000000</v>
      </c>
      <c r="W379">
        <f t="shared" si="23"/>
        <v>1258143000000</v>
      </c>
    </row>
    <row r="380" spans="1:23" x14ac:dyDescent="0.2">
      <c r="A380">
        <f>IF(D380="USD",VLOOKUP(VALUE(RIGHT(E380,4)),'USD RUB'!$E:$F,2,FALSE),1)</f>
        <v>1</v>
      </c>
      <c r="B380" s="4">
        <v>1</v>
      </c>
      <c r="C380">
        <v>1000000</v>
      </c>
      <c r="D380" t="s">
        <v>20</v>
      </c>
      <c r="E380" s="1" t="s">
        <v>396</v>
      </c>
      <c r="F380">
        <v>21627000000</v>
      </c>
      <c r="G380">
        <v>122352000000</v>
      </c>
      <c r="H380">
        <v>749710000000</v>
      </c>
      <c r="J380">
        <v>918502000000</v>
      </c>
      <c r="K380">
        <v>103817000000</v>
      </c>
      <c r="L380">
        <v>266388000000</v>
      </c>
      <c r="N380">
        <v>548297000000</v>
      </c>
      <c r="O380">
        <v>157970000000</v>
      </c>
      <c r="P380">
        <v>-262546000000</v>
      </c>
      <c r="Q380">
        <v>-289914000000</v>
      </c>
      <c r="R380">
        <v>-234771000000</v>
      </c>
      <c r="T380">
        <v>92551000000</v>
      </c>
      <c r="V380">
        <f t="shared" si="22"/>
        <v>143856000000</v>
      </c>
      <c r="W380">
        <f t="shared" si="23"/>
        <v>1260241000000</v>
      </c>
    </row>
    <row r="381" spans="1:23" x14ac:dyDescent="0.2">
      <c r="A381">
        <f>IF(D381="USD",VLOOKUP(VALUE(RIGHT(E381,4)),'USD RUB'!$E:$F,2,FALSE),1)</f>
        <v>1</v>
      </c>
      <c r="B381" s="4">
        <v>1</v>
      </c>
      <c r="C381">
        <v>1000000</v>
      </c>
      <c r="D381" t="s">
        <v>20</v>
      </c>
      <c r="E381" s="1" t="s">
        <v>397</v>
      </c>
      <c r="F381">
        <v>37192000000</v>
      </c>
      <c r="G381">
        <v>98579000000</v>
      </c>
      <c r="H381">
        <v>1118301000000</v>
      </c>
      <c r="J381">
        <v>1258143000000</v>
      </c>
      <c r="K381">
        <v>87793000000</v>
      </c>
      <c r="L381">
        <v>272236000000</v>
      </c>
      <c r="N381">
        <v>898114000000</v>
      </c>
      <c r="O381">
        <v>75826000000</v>
      </c>
      <c r="P381">
        <v>10551000000</v>
      </c>
      <c r="Q381">
        <v>-11241000000</v>
      </c>
      <c r="R381">
        <v>-10919000000</v>
      </c>
      <c r="T381">
        <v>40448000000</v>
      </c>
      <c r="V381">
        <f t="shared" si="22"/>
        <v>66909000000</v>
      </c>
      <c r="W381">
        <f t="shared" si="23"/>
        <v>1188659000000</v>
      </c>
    </row>
    <row r="382" spans="1:23" x14ac:dyDescent="0.2">
      <c r="A382">
        <f>IF(D382="USD",VLOOKUP(VALUE(RIGHT(E382,4)),'USD RUB'!$E:$F,2,FALSE),1)</f>
        <v>1</v>
      </c>
      <c r="B382" s="4">
        <v>1</v>
      </c>
      <c r="C382">
        <v>1000000</v>
      </c>
      <c r="D382" t="s">
        <v>20</v>
      </c>
      <c r="E382" s="1" t="s">
        <v>398</v>
      </c>
      <c r="F382">
        <v>24056000000</v>
      </c>
      <c r="G382">
        <v>96412000000</v>
      </c>
      <c r="H382">
        <v>1096535000000</v>
      </c>
      <c r="J382">
        <v>1260241000000</v>
      </c>
      <c r="K382">
        <v>73466000000</v>
      </c>
      <c r="L382">
        <v>278979000000</v>
      </c>
      <c r="N382">
        <v>907796000000</v>
      </c>
      <c r="O382">
        <v>143856000000</v>
      </c>
      <c r="P382">
        <v>33279000000</v>
      </c>
      <c r="Q382">
        <v>8799000000</v>
      </c>
      <c r="R382">
        <v>7043000000</v>
      </c>
      <c r="T382">
        <v>82133000000</v>
      </c>
      <c r="V382">
        <f t="shared" si="22"/>
        <v>139571000000</v>
      </c>
      <c r="W382">
        <f t="shared" si="23"/>
        <v>1163677000000</v>
      </c>
    </row>
    <row r="383" spans="1:23" x14ac:dyDescent="0.2">
      <c r="A383">
        <f>IF(D383="USD",VLOOKUP(VALUE(RIGHT(E383,4)),'USD RUB'!$E:$F,2,FALSE),1)</f>
        <v>1</v>
      </c>
      <c r="B383" s="4">
        <v>1</v>
      </c>
      <c r="C383">
        <v>1000000</v>
      </c>
      <c r="D383" t="s">
        <v>20</v>
      </c>
      <c r="E383" s="1" t="s">
        <v>399</v>
      </c>
      <c r="F383">
        <v>29953000000</v>
      </c>
      <c r="G383">
        <v>88223000000</v>
      </c>
      <c r="H383">
        <v>1022111000000</v>
      </c>
      <c r="J383">
        <v>1188659000000</v>
      </c>
      <c r="K383">
        <v>49789000000</v>
      </c>
      <c r="L383">
        <v>234515000000</v>
      </c>
      <c r="N383">
        <v>904355000000</v>
      </c>
      <c r="O383">
        <v>66909000000</v>
      </c>
      <c r="P383">
        <v>15039000000</v>
      </c>
      <c r="Q383">
        <v>4564000000</v>
      </c>
      <c r="R383">
        <v>3914000000</v>
      </c>
      <c r="T383">
        <v>37800000000</v>
      </c>
      <c r="V383">
        <f t="shared" si="22"/>
        <v>71217000000</v>
      </c>
      <c r="W383">
        <f t="shared" si="23"/>
        <v>1077391000000</v>
      </c>
    </row>
    <row r="384" spans="1:23" x14ac:dyDescent="0.2">
      <c r="A384">
        <f>IF(D384="USD",VLOOKUP(VALUE(RIGHT(E384,4)),'USD RUB'!$E:$F,2,FALSE),1)</f>
        <v>1</v>
      </c>
      <c r="B384" s="4">
        <v>1</v>
      </c>
      <c r="C384">
        <v>1000000</v>
      </c>
      <c r="D384" t="s">
        <v>20</v>
      </c>
      <c r="E384" s="1" t="s">
        <v>400</v>
      </c>
      <c r="F384">
        <v>25627000000</v>
      </c>
      <c r="G384">
        <v>89171000000</v>
      </c>
      <c r="H384">
        <v>980677000000</v>
      </c>
      <c r="J384">
        <v>1163677000000</v>
      </c>
      <c r="K384">
        <v>49534000000</v>
      </c>
      <c r="L384">
        <v>216036000000</v>
      </c>
      <c r="N384">
        <v>898107000000</v>
      </c>
      <c r="O384">
        <v>139571000000</v>
      </c>
      <c r="P384">
        <v>71837000000</v>
      </c>
      <c r="Q384">
        <v>62863000000</v>
      </c>
      <c r="R384">
        <v>48988000000</v>
      </c>
      <c r="T384">
        <v>83760000000</v>
      </c>
      <c r="V384" t="str">
        <f t="shared" si="22"/>
        <v/>
      </c>
      <c r="W384" t="str">
        <f t="shared" si="23"/>
        <v/>
      </c>
    </row>
    <row r="385" spans="1:23" x14ac:dyDescent="0.2">
      <c r="A385">
        <f>IF(D385="USD",VLOOKUP(VALUE(RIGHT(E385,4)),'USD RUB'!$E:$F,2,FALSE),1)</f>
        <v>1</v>
      </c>
      <c r="B385" s="4">
        <v>1</v>
      </c>
      <c r="C385">
        <v>1000000</v>
      </c>
      <c r="D385" t="s">
        <v>20</v>
      </c>
      <c r="E385" s="1" t="s">
        <v>401</v>
      </c>
      <c r="F385">
        <v>16467000000</v>
      </c>
      <c r="G385">
        <v>72400000000</v>
      </c>
      <c r="H385">
        <v>907301000000</v>
      </c>
      <c r="J385">
        <v>1077391000000</v>
      </c>
      <c r="K385">
        <v>53929000000</v>
      </c>
      <c r="L385">
        <v>134647000000</v>
      </c>
      <c r="N385">
        <v>888815000000</v>
      </c>
      <c r="O385">
        <v>71217000000</v>
      </c>
      <c r="P385">
        <v>53544000000</v>
      </c>
      <c r="Q385">
        <v>55640000000</v>
      </c>
      <c r="R385">
        <v>43928000000</v>
      </c>
      <c r="T385">
        <v>45459000000</v>
      </c>
      <c r="V385" t="str">
        <f t="shared" si="22"/>
        <v/>
      </c>
      <c r="W385" t="str">
        <f t="shared" si="23"/>
        <v/>
      </c>
    </row>
    <row r="386" spans="1:23" x14ac:dyDescent="0.2">
      <c r="A386">
        <f>IF(D386="USD",VLOOKUP(VALUE(RIGHT(E386,4)),'USD RUB'!$E:$F,2,FALSE),1)</f>
        <v>1</v>
      </c>
      <c r="B386" s="4">
        <v>1</v>
      </c>
      <c r="C386">
        <v>1000000</v>
      </c>
      <c r="D386" t="s">
        <v>20</v>
      </c>
      <c r="E386" s="1" t="s">
        <v>402</v>
      </c>
      <c r="F386">
        <v>68199000000</v>
      </c>
      <c r="G386">
        <v>279826000000</v>
      </c>
      <c r="H386">
        <v>1372817000000</v>
      </c>
      <c r="J386">
        <v>1756059000000</v>
      </c>
      <c r="K386">
        <v>451324000000</v>
      </c>
      <c r="L386">
        <v>601142000000</v>
      </c>
      <c r="M386">
        <v>214340000000</v>
      </c>
      <c r="N386">
        <v>703593000000</v>
      </c>
      <c r="O386">
        <v>663772000000</v>
      </c>
      <c r="P386">
        <v>216613000000</v>
      </c>
      <c r="Q386">
        <v>175713000000</v>
      </c>
      <c r="R386">
        <v>117839000000</v>
      </c>
      <c r="S386">
        <v>41229000000</v>
      </c>
      <c r="T386">
        <v>219707000000</v>
      </c>
      <c r="U386">
        <v>-270901000000</v>
      </c>
      <c r="V386">
        <f t="shared" si="22"/>
        <v>579817000000</v>
      </c>
      <c r="W386">
        <f t="shared" si="23"/>
        <v>1365732000000</v>
      </c>
    </row>
    <row r="387" spans="1:23" x14ac:dyDescent="0.2">
      <c r="A387">
        <f>IF(D387="USD",VLOOKUP(VALUE(RIGHT(E387,4)),'USD RUB'!$E:$F,2,FALSE),1)</f>
        <v>1</v>
      </c>
      <c r="B387" s="4">
        <v>1</v>
      </c>
      <c r="C387">
        <v>1000000</v>
      </c>
      <c r="D387" t="s">
        <v>20</v>
      </c>
      <c r="E387" s="1" t="s">
        <v>403</v>
      </c>
      <c r="F387">
        <v>107245000000</v>
      </c>
      <c r="G387">
        <v>310677000000</v>
      </c>
      <c r="H387">
        <v>1191021000000</v>
      </c>
      <c r="J387">
        <v>1590088000000</v>
      </c>
      <c r="K387">
        <v>445900000000</v>
      </c>
      <c r="L387">
        <v>528645000000</v>
      </c>
      <c r="M387">
        <v>130852000000</v>
      </c>
      <c r="N387">
        <v>615543000000</v>
      </c>
      <c r="O387">
        <v>469671000000</v>
      </c>
      <c r="P387">
        <v>93375000000</v>
      </c>
      <c r="Q387">
        <v>60576000000</v>
      </c>
      <c r="R387">
        <v>30261000000</v>
      </c>
      <c r="S387">
        <v>30017000000</v>
      </c>
      <c r="T387">
        <v>130599000000</v>
      </c>
      <c r="U387">
        <v>-153575000000</v>
      </c>
      <c r="V387">
        <f t="shared" si="22"/>
        <v>411390000000</v>
      </c>
      <c r="W387">
        <f t="shared" si="23"/>
        <v>1323313000000</v>
      </c>
    </row>
    <row r="388" spans="1:23" x14ac:dyDescent="0.2">
      <c r="A388">
        <f>IF(D388="USD",VLOOKUP(VALUE(RIGHT(E388,4)),'USD RUB'!$E:$F,2,FALSE),1)</f>
        <v>1</v>
      </c>
      <c r="B388" s="4">
        <v>1</v>
      </c>
      <c r="C388">
        <v>1000000</v>
      </c>
      <c r="D388" t="s">
        <v>20</v>
      </c>
      <c r="E388" s="1" t="s">
        <v>404</v>
      </c>
      <c r="F388">
        <v>82297000000</v>
      </c>
      <c r="G388">
        <v>272558000000</v>
      </c>
      <c r="H388">
        <v>1130912000000</v>
      </c>
      <c r="J388">
        <v>1488604000000</v>
      </c>
      <c r="K388">
        <v>422588000000</v>
      </c>
      <c r="L388">
        <v>449770000000</v>
      </c>
      <c r="M388">
        <v>130045000000</v>
      </c>
      <c r="N388">
        <v>616246000000</v>
      </c>
      <c r="O388">
        <v>325691000000</v>
      </c>
      <c r="P388">
        <v>74217000000</v>
      </c>
      <c r="Q388">
        <v>51242000000</v>
      </c>
      <c r="R388">
        <v>31596000000</v>
      </c>
      <c r="S388">
        <v>19374000000</v>
      </c>
      <c r="T388">
        <v>98339000000</v>
      </c>
      <c r="U388">
        <v>-101494000000</v>
      </c>
      <c r="V388">
        <f t="shared" si="22"/>
        <v>282968000000</v>
      </c>
      <c r="W388">
        <f t="shared" si="23"/>
        <v>1250660000000</v>
      </c>
    </row>
    <row r="389" spans="1:23" x14ac:dyDescent="0.2">
      <c r="A389">
        <f>IF(D389="USD",VLOOKUP(VALUE(RIGHT(E389,4)),'USD RUB'!$E:$F,2,FALSE),1)</f>
        <v>1</v>
      </c>
      <c r="B389" s="4">
        <v>1</v>
      </c>
      <c r="C389">
        <v>1000000</v>
      </c>
      <c r="D389" t="s">
        <v>20</v>
      </c>
      <c r="E389" s="1" t="s">
        <v>405</v>
      </c>
      <c r="F389">
        <v>72839000000</v>
      </c>
      <c r="G389">
        <v>257550000000</v>
      </c>
      <c r="H389">
        <v>1065710000000</v>
      </c>
      <c r="J389">
        <v>1402131000000</v>
      </c>
      <c r="K389">
        <v>378778000000</v>
      </c>
      <c r="L389">
        <v>419019000000</v>
      </c>
      <c r="M389">
        <v>118078000000</v>
      </c>
      <c r="N389">
        <v>604334000000</v>
      </c>
      <c r="O389">
        <v>177305000000</v>
      </c>
      <c r="P389">
        <v>39545000000</v>
      </c>
      <c r="Q389">
        <v>28455000000</v>
      </c>
      <c r="R389">
        <v>18938000000</v>
      </c>
      <c r="S389">
        <v>9714000000</v>
      </c>
      <c r="T389">
        <v>52838000000</v>
      </c>
      <c r="U389">
        <v>-44996000000</v>
      </c>
      <c r="V389">
        <f t="shared" si="22"/>
        <v>155455000000</v>
      </c>
      <c r="W389">
        <f t="shared" si="23"/>
        <v>1199678000000</v>
      </c>
    </row>
    <row r="390" spans="1:23" x14ac:dyDescent="0.2">
      <c r="A390">
        <f>IF(D390="USD",VLOOKUP(VALUE(RIGHT(E390,4)),'USD RUB'!$E:$F,2,FALSE),1)</f>
        <v>1</v>
      </c>
      <c r="B390" s="4">
        <v>1</v>
      </c>
      <c r="C390">
        <v>1000000</v>
      </c>
      <c r="D390" t="s">
        <v>20</v>
      </c>
      <c r="E390" s="1" t="s">
        <v>406</v>
      </c>
      <c r="F390">
        <v>91265000000</v>
      </c>
      <c r="G390">
        <v>267336000000</v>
      </c>
      <c r="H390">
        <v>1021976000000</v>
      </c>
      <c r="J390">
        <v>1365732000000</v>
      </c>
      <c r="K390">
        <v>299278000000</v>
      </c>
      <c r="L390">
        <v>481150000000</v>
      </c>
      <c r="M390">
        <v>98961000000</v>
      </c>
      <c r="N390">
        <v>585304000000</v>
      </c>
      <c r="O390">
        <v>579817000000</v>
      </c>
      <c r="P390">
        <v>12190000000</v>
      </c>
      <c r="Q390">
        <v>-26407000000</v>
      </c>
      <c r="R390">
        <v>-61162000000</v>
      </c>
      <c r="S390">
        <v>39535000000</v>
      </c>
      <c r="T390">
        <v>150809000000</v>
      </c>
      <c r="U390">
        <v>-199349000000</v>
      </c>
      <c r="V390">
        <f t="shared" si="22"/>
        <v>510325000000</v>
      </c>
      <c r="W390">
        <f t="shared" si="23"/>
        <v>1164353000000</v>
      </c>
    </row>
    <row r="391" spans="1:23" x14ac:dyDescent="0.2">
      <c r="A391">
        <f>IF(D391="USD",VLOOKUP(VALUE(RIGHT(E391,4)),'USD RUB'!$E:$F,2,FALSE),1)</f>
        <v>1</v>
      </c>
      <c r="B391" s="4">
        <v>1</v>
      </c>
      <c r="C391">
        <v>1000000</v>
      </c>
      <c r="D391" t="s">
        <v>20</v>
      </c>
      <c r="E391" s="1" t="s">
        <v>407</v>
      </c>
      <c r="F391">
        <v>43543000000</v>
      </c>
      <c r="G391">
        <v>223787000000</v>
      </c>
      <c r="H391">
        <v>1026279000000</v>
      </c>
      <c r="J391">
        <v>1323313000000</v>
      </c>
      <c r="K391">
        <v>281632000000</v>
      </c>
      <c r="L391">
        <v>371837000000</v>
      </c>
      <c r="M391">
        <v>177378000000</v>
      </c>
      <c r="N391">
        <v>669844000000</v>
      </c>
      <c r="O391">
        <v>411390000000</v>
      </c>
      <c r="P391">
        <v>70329000000</v>
      </c>
      <c r="Q391">
        <v>46608000000</v>
      </c>
      <c r="R391">
        <v>23515000000</v>
      </c>
      <c r="S391">
        <v>29701000000</v>
      </c>
      <c r="T391">
        <v>110092000000</v>
      </c>
      <c r="U391">
        <v>-122648000000</v>
      </c>
      <c r="V391">
        <f t="shared" si="22"/>
        <v>367906000000</v>
      </c>
      <c r="W391">
        <f t="shared" si="23"/>
        <v>1116278000000</v>
      </c>
    </row>
    <row r="392" spans="1:23" x14ac:dyDescent="0.2">
      <c r="A392">
        <f>IF(D392="USD",VLOOKUP(VALUE(RIGHT(E392,4)),'USD RUB'!$E:$F,2,FALSE),1)</f>
        <v>1</v>
      </c>
      <c r="B392" s="4">
        <v>1</v>
      </c>
      <c r="C392">
        <v>1000000</v>
      </c>
      <c r="D392" t="s">
        <v>20</v>
      </c>
      <c r="E392" s="1" t="s">
        <v>408</v>
      </c>
      <c r="F392">
        <v>46381000000</v>
      </c>
      <c r="G392">
        <v>203889000000</v>
      </c>
      <c r="H392">
        <v>977899000000</v>
      </c>
      <c r="J392">
        <v>1250660000000</v>
      </c>
      <c r="K392">
        <v>251032000000</v>
      </c>
      <c r="L392">
        <v>329870000000</v>
      </c>
      <c r="M392">
        <v>176745000000</v>
      </c>
      <c r="N392">
        <v>669758000000</v>
      </c>
      <c r="O392">
        <v>282968000000</v>
      </c>
      <c r="P392">
        <v>48979000000</v>
      </c>
      <c r="Q392">
        <v>37625000000</v>
      </c>
      <c r="R392">
        <v>23650000000</v>
      </c>
      <c r="S392">
        <v>19754000000</v>
      </c>
      <c r="T392">
        <v>75319000000</v>
      </c>
      <c r="U392">
        <v>-68163000000</v>
      </c>
      <c r="V392">
        <f t="shared" si="22"/>
        <v>260734000000</v>
      </c>
      <c r="W392">
        <f t="shared" si="23"/>
        <v>1086194000000</v>
      </c>
    </row>
    <row r="393" spans="1:23" x14ac:dyDescent="0.2">
      <c r="A393">
        <f>IF(D393="USD",VLOOKUP(VALUE(RIGHT(E393,4)),'USD RUB'!$E:$F,2,FALSE),1)</f>
        <v>1</v>
      </c>
      <c r="B393" s="4">
        <v>1</v>
      </c>
      <c r="C393">
        <v>1000000</v>
      </c>
      <c r="D393" t="s">
        <v>20</v>
      </c>
      <c r="E393" s="1" t="s">
        <v>409</v>
      </c>
      <c r="F393">
        <v>47056000000</v>
      </c>
      <c r="G393">
        <v>193020000000</v>
      </c>
      <c r="H393">
        <v>939307000000</v>
      </c>
      <c r="J393">
        <v>1199678000000</v>
      </c>
      <c r="K393">
        <v>213541000000</v>
      </c>
      <c r="L393">
        <v>324205000000</v>
      </c>
      <c r="M393">
        <v>167866000000</v>
      </c>
      <c r="N393">
        <v>661932000000</v>
      </c>
      <c r="O393">
        <v>155455000000</v>
      </c>
      <c r="P393">
        <v>27789000000</v>
      </c>
      <c r="Q393">
        <v>23254000000</v>
      </c>
      <c r="R393">
        <v>16590000000</v>
      </c>
      <c r="S393">
        <v>9621000000</v>
      </c>
      <c r="T393">
        <v>41296000000</v>
      </c>
      <c r="U393">
        <v>-29283000000</v>
      </c>
      <c r="V393">
        <f t="shared" si="22"/>
        <v>141740000000</v>
      </c>
      <c r="W393">
        <f t="shared" si="23"/>
        <v>1057738000000</v>
      </c>
    </row>
    <row r="394" spans="1:23" x14ac:dyDescent="0.2">
      <c r="A394">
        <f>IF(D394="USD",VLOOKUP(VALUE(RIGHT(E394,4)),'USD RUB'!$E:$F,2,FALSE),1)</f>
        <v>1</v>
      </c>
      <c r="B394" s="4">
        <v>1</v>
      </c>
      <c r="C394">
        <v>1000000</v>
      </c>
      <c r="D394" t="s">
        <v>20</v>
      </c>
      <c r="E394" s="1" t="s">
        <v>410</v>
      </c>
      <c r="F394">
        <v>32364000000</v>
      </c>
      <c r="G394">
        <v>179106000000</v>
      </c>
      <c r="H394">
        <v>920989000000</v>
      </c>
      <c r="J394">
        <v>1164353000000</v>
      </c>
      <c r="K394">
        <v>174379000000</v>
      </c>
      <c r="L394">
        <v>344766000000</v>
      </c>
      <c r="M394">
        <v>151002000000</v>
      </c>
      <c r="N394">
        <v>645208000000</v>
      </c>
      <c r="O394">
        <v>510325000000</v>
      </c>
      <c r="P394">
        <v>65480000000</v>
      </c>
      <c r="Q394">
        <v>52065000000</v>
      </c>
      <c r="R394">
        <v>32104000000</v>
      </c>
      <c r="S394">
        <v>34760000000</v>
      </c>
      <c r="T394">
        <v>131473000000</v>
      </c>
      <c r="U394">
        <v>-192702000000</v>
      </c>
      <c r="V394">
        <f t="shared" si="22"/>
        <v>418558000000</v>
      </c>
      <c r="W394">
        <f t="shared" si="23"/>
        <v>993400000000</v>
      </c>
    </row>
    <row r="395" spans="1:23" x14ac:dyDescent="0.2">
      <c r="A395">
        <f>IF(D395="USD",VLOOKUP(VALUE(RIGHT(E395,4)),'USD RUB'!$E:$F,2,FALSE),1)</f>
        <v>1</v>
      </c>
      <c r="B395" s="4">
        <v>1</v>
      </c>
      <c r="C395">
        <v>1000000</v>
      </c>
      <c r="D395" t="s">
        <v>20</v>
      </c>
      <c r="E395" s="1" t="s">
        <v>411</v>
      </c>
      <c r="F395">
        <v>25086000000</v>
      </c>
      <c r="G395">
        <v>173599000000</v>
      </c>
      <c r="H395">
        <v>880752000000</v>
      </c>
      <c r="J395">
        <v>1116278000000</v>
      </c>
      <c r="K395">
        <v>166597000000</v>
      </c>
      <c r="L395">
        <v>279586000000</v>
      </c>
      <c r="M395">
        <v>173834000000</v>
      </c>
      <c r="N395">
        <v>670095000000</v>
      </c>
      <c r="O395">
        <v>367906000000</v>
      </c>
      <c r="P395">
        <v>72196000000</v>
      </c>
      <c r="Q395">
        <v>74470000000</v>
      </c>
      <c r="R395">
        <v>56703000000</v>
      </c>
      <c r="S395">
        <v>25730000000</v>
      </c>
      <c r="T395">
        <v>105223000000</v>
      </c>
      <c r="U395">
        <v>-128638000000</v>
      </c>
      <c r="V395">
        <f t="shared" si="22"/>
        <v>302550000000</v>
      </c>
      <c r="W395">
        <f t="shared" si="23"/>
        <v>977805000000</v>
      </c>
    </row>
    <row r="396" spans="1:23" x14ac:dyDescent="0.2">
      <c r="A396">
        <f>IF(D396="USD",VLOOKUP(VALUE(RIGHT(E396,4)),'USD RUB'!$E:$F,2,FALSE),1)</f>
        <v>1</v>
      </c>
      <c r="B396" s="4">
        <v>1</v>
      </c>
      <c r="C396">
        <v>1000000</v>
      </c>
      <c r="D396" t="s">
        <v>20</v>
      </c>
      <c r="E396" s="1" t="s">
        <v>412</v>
      </c>
      <c r="F396">
        <v>36312000000</v>
      </c>
      <c r="G396">
        <v>169089000000</v>
      </c>
      <c r="H396">
        <v>854456000000</v>
      </c>
      <c r="J396">
        <v>1086194000000</v>
      </c>
      <c r="K396">
        <v>188242000000</v>
      </c>
      <c r="L396">
        <v>236849000000</v>
      </c>
      <c r="M396">
        <v>165059000000</v>
      </c>
      <c r="N396">
        <v>661103000000</v>
      </c>
      <c r="O396">
        <v>260734000000</v>
      </c>
      <c r="P396">
        <v>56288000000</v>
      </c>
      <c r="Q396">
        <v>60380000000</v>
      </c>
      <c r="R396">
        <v>47652000000</v>
      </c>
      <c r="S396">
        <v>16604000000</v>
      </c>
      <c r="T396">
        <v>78378000000</v>
      </c>
      <c r="U396">
        <v>-95187000000</v>
      </c>
      <c r="V396">
        <f t="shared" si="22"/>
        <v>214619000000</v>
      </c>
      <c r="W396">
        <f t="shared" si="23"/>
        <v>966197000000</v>
      </c>
    </row>
    <row r="397" spans="1:23" x14ac:dyDescent="0.2">
      <c r="A397">
        <f>IF(D397="USD",VLOOKUP(VALUE(RIGHT(E397,4)),'USD RUB'!$E:$F,2,FALSE),1)</f>
        <v>1</v>
      </c>
      <c r="B397" s="4">
        <v>1</v>
      </c>
      <c r="C397">
        <v>1000000</v>
      </c>
      <c r="D397" t="s">
        <v>20</v>
      </c>
      <c r="E397" s="1" t="s">
        <v>413</v>
      </c>
      <c r="F397">
        <v>37540000000</v>
      </c>
      <c r="G397">
        <v>170925000000</v>
      </c>
      <c r="H397">
        <v>826735000000</v>
      </c>
      <c r="J397">
        <v>1057738000000</v>
      </c>
      <c r="K397">
        <v>167347000000</v>
      </c>
      <c r="L397">
        <v>227256000000</v>
      </c>
      <c r="M397">
        <v>166814000000</v>
      </c>
      <c r="N397">
        <v>663135000000</v>
      </c>
      <c r="O397">
        <v>141740000000</v>
      </c>
      <c r="P397">
        <v>31495000000</v>
      </c>
      <c r="Q397">
        <v>35222000000</v>
      </c>
      <c r="R397">
        <v>27318000000</v>
      </c>
      <c r="S397">
        <v>7847000000</v>
      </c>
      <c r="T397">
        <v>43263000000</v>
      </c>
      <c r="U397">
        <v>-62199000000</v>
      </c>
      <c r="V397">
        <f t="shared" si="22"/>
        <v>117578000000</v>
      </c>
      <c r="W397">
        <f t="shared" si="23"/>
        <v>946368000000</v>
      </c>
    </row>
    <row r="398" spans="1:23" x14ac:dyDescent="0.2">
      <c r="A398">
        <f>IF(D398="USD",VLOOKUP(VALUE(RIGHT(E398,4)),'USD RUB'!$E:$F,2,FALSE),1)</f>
        <v>1</v>
      </c>
      <c r="B398" s="4">
        <v>1</v>
      </c>
      <c r="C398">
        <v>1000000</v>
      </c>
      <c r="D398" t="s">
        <v>20</v>
      </c>
      <c r="E398" s="1" t="s">
        <v>414</v>
      </c>
      <c r="F398">
        <v>36923000000</v>
      </c>
      <c r="G398">
        <v>164298000000</v>
      </c>
      <c r="H398">
        <v>771729000000</v>
      </c>
      <c r="J398">
        <v>993400000000</v>
      </c>
      <c r="K398">
        <v>174211000000</v>
      </c>
      <c r="L398">
        <v>188998000000</v>
      </c>
      <c r="M398">
        <v>139709000000</v>
      </c>
      <c r="N398">
        <v>630191000000</v>
      </c>
      <c r="O398">
        <v>418558000000</v>
      </c>
      <c r="P398">
        <v>37802000000</v>
      </c>
      <c r="Q398">
        <v>34944000000</v>
      </c>
      <c r="R398">
        <v>19325000000</v>
      </c>
      <c r="S398">
        <v>31633000000</v>
      </c>
      <c r="T398">
        <v>91609000000</v>
      </c>
      <c r="U398">
        <v>-112078000000</v>
      </c>
      <c r="V398">
        <f t="shared" si="22"/>
        <v>406033000000</v>
      </c>
      <c r="W398">
        <f t="shared" si="23"/>
        <v>930487000000</v>
      </c>
    </row>
    <row r="399" spans="1:23" x14ac:dyDescent="0.2">
      <c r="A399">
        <f>IF(D399="USD",VLOOKUP(VALUE(RIGHT(E399,4)),'USD RUB'!$E:$F,2,FALSE),1)</f>
        <v>1</v>
      </c>
      <c r="B399" s="4">
        <v>1</v>
      </c>
      <c r="C399">
        <v>1000000</v>
      </c>
      <c r="D399" t="s">
        <v>20</v>
      </c>
      <c r="E399" s="1" t="s">
        <v>415</v>
      </c>
      <c r="F399">
        <v>39480000000</v>
      </c>
      <c r="G399">
        <v>178985000000</v>
      </c>
      <c r="H399">
        <v>741135000000</v>
      </c>
      <c r="J399">
        <v>977805000000</v>
      </c>
      <c r="K399">
        <v>158373000000</v>
      </c>
      <c r="L399">
        <v>183314000000</v>
      </c>
      <c r="M399">
        <v>144582000000</v>
      </c>
      <c r="N399">
        <v>636118000000</v>
      </c>
      <c r="O399">
        <v>302550000000</v>
      </c>
      <c r="P399">
        <v>46473000000</v>
      </c>
      <c r="Q399">
        <v>42002000000</v>
      </c>
      <c r="R399">
        <v>26686000000</v>
      </c>
      <c r="S399">
        <v>23864000000</v>
      </c>
      <c r="T399">
        <v>76030000000</v>
      </c>
      <c r="U399">
        <v>-59234000000</v>
      </c>
      <c r="V399">
        <f t="shared" si="22"/>
        <v>294443000000</v>
      </c>
      <c r="W399">
        <f t="shared" si="23"/>
        <v>963966000000</v>
      </c>
    </row>
    <row r="400" spans="1:23" x14ac:dyDescent="0.2">
      <c r="A400">
        <f>IF(D400="USD",VLOOKUP(VALUE(RIGHT(E400,4)),'USD RUB'!$E:$F,2,FALSE),1)</f>
        <v>1</v>
      </c>
      <c r="B400" s="4">
        <v>1</v>
      </c>
      <c r="C400">
        <v>1000000</v>
      </c>
      <c r="D400" t="s">
        <v>20</v>
      </c>
      <c r="E400" s="1" t="s">
        <v>416</v>
      </c>
      <c r="F400">
        <v>55510000000</v>
      </c>
      <c r="G400">
        <v>178759000000</v>
      </c>
      <c r="H400">
        <v>729016000000</v>
      </c>
      <c r="J400">
        <v>966197000000</v>
      </c>
      <c r="K400">
        <v>190595000000</v>
      </c>
      <c r="L400">
        <v>140170000000</v>
      </c>
      <c r="M400">
        <v>152453000000</v>
      </c>
      <c r="N400">
        <v>635432000000</v>
      </c>
      <c r="O400">
        <v>214619000000</v>
      </c>
      <c r="P400">
        <v>40886000000</v>
      </c>
      <c r="Q400">
        <v>41608000000</v>
      </c>
      <c r="R400">
        <v>30011000000</v>
      </c>
      <c r="S400">
        <v>15983000000</v>
      </c>
      <c r="T400">
        <v>60699000000</v>
      </c>
      <c r="U400">
        <v>-38988000000</v>
      </c>
      <c r="V400">
        <f t="shared" si="22"/>
        <v>204886000000</v>
      </c>
      <c r="W400">
        <f t="shared" si="23"/>
        <v>960957000000</v>
      </c>
    </row>
    <row r="401" spans="1:23" x14ac:dyDescent="0.2">
      <c r="A401">
        <f>IF(D401="USD",VLOOKUP(VALUE(RIGHT(E401,4)),'USD RUB'!$E:$F,2,FALSE),1)</f>
        <v>1</v>
      </c>
      <c r="B401" s="4">
        <v>1</v>
      </c>
      <c r="C401">
        <v>1000000</v>
      </c>
      <c r="D401" t="s">
        <v>20</v>
      </c>
      <c r="E401" s="1" t="s">
        <v>417</v>
      </c>
      <c r="F401">
        <v>60486000000</v>
      </c>
      <c r="G401">
        <v>177698000000</v>
      </c>
      <c r="H401">
        <v>711963000000</v>
      </c>
      <c r="J401">
        <v>946368000000</v>
      </c>
      <c r="K401">
        <v>150115000000</v>
      </c>
      <c r="L401">
        <v>146771000000</v>
      </c>
      <c r="M401">
        <v>165814000000</v>
      </c>
      <c r="N401">
        <v>649482000000</v>
      </c>
      <c r="O401">
        <v>117578000000</v>
      </c>
      <c r="P401">
        <v>25496000000</v>
      </c>
      <c r="Q401">
        <v>25732000000</v>
      </c>
      <c r="R401">
        <v>19787000000</v>
      </c>
      <c r="S401">
        <v>7544000000</v>
      </c>
      <c r="T401">
        <v>35580000000</v>
      </c>
      <c r="U401">
        <v>-13685000000</v>
      </c>
      <c r="V401">
        <f t="shared" si="22"/>
        <v>111462000000</v>
      </c>
      <c r="W401">
        <f t="shared" si="23"/>
        <v>945598000000</v>
      </c>
    </row>
    <row r="402" spans="1:23" x14ac:dyDescent="0.2">
      <c r="A402">
        <f>IF(D402="USD",VLOOKUP(VALUE(RIGHT(E402,4)),'USD RUB'!$E:$F,2,FALSE),1)</f>
        <v>1</v>
      </c>
      <c r="B402" s="4">
        <v>1</v>
      </c>
      <c r="C402">
        <v>1000000</v>
      </c>
      <c r="D402" t="s">
        <v>20</v>
      </c>
      <c r="E402" s="1" t="s">
        <v>418</v>
      </c>
      <c r="F402">
        <v>59806000000</v>
      </c>
      <c r="G402">
        <v>173071000000</v>
      </c>
      <c r="H402">
        <v>702164000000</v>
      </c>
      <c r="J402">
        <v>930487000000</v>
      </c>
      <c r="K402">
        <v>153785000000</v>
      </c>
      <c r="L402">
        <v>147349000000</v>
      </c>
      <c r="M402">
        <v>145773000000</v>
      </c>
      <c r="N402">
        <v>629353000000</v>
      </c>
      <c r="O402">
        <v>406033000000</v>
      </c>
      <c r="P402">
        <v>57289000000</v>
      </c>
      <c r="Q402">
        <v>54904000000</v>
      </c>
      <c r="R402">
        <v>42078000000</v>
      </c>
      <c r="S402">
        <v>31339000000</v>
      </c>
      <c r="T402">
        <v>122187000000</v>
      </c>
      <c r="U402">
        <v>-77253000000</v>
      </c>
      <c r="V402">
        <f t="shared" si="22"/>
        <v>382845000000</v>
      </c>
      <c r="W402">
        <f t="shared" si="23"/>
        <v>942035000000</v>
      </c>
    </row>
    <row r="403" spans="1:23" x14ac:dyDescent="0.2">
      <c r="A403">
        <f>IF(D403="USD",VLOOKUP(VALUE(RIGHT(E403,4)),'USD RUB'!$E:$F,2,FALSE),1)</f>
        <v>1</v>
      </c>
      <c r="B403" s="4">
        <v>1</v>
      </c>
      <c r="C403">
        <v>1000000</v>
      </c>
      <c r="D403" t="s">
        <v>20</v>
      </c>
      <c r="E403" s="1" t="s">
        <v>419</v>
      </c>
      <c r="F403">
        <v>58694000000</v>
      </c>
      <c r="G403">
        <v>200787000000</v>
      </c>
      <c r="H403">
        <v>709439000000</v>
      </c>
      <c r="J403">
        <v>963966000000</v>
      </c>
      <c r="K403">
        <v>163398000000</v>
      </c>
      <c r="L403">
        <v>161645000000</v>
      </c>
      <c r="M403">
        <v>155294000000</v>
      </c>
      <c r="N403">
        <v>638923000000</v>
      </c>
      <c r="O403">
        <v>294443000000</v>
      </c>
      <c r="P403">
        <v>67526000000</v>
      </c>
      <c r="Q403">
        <v>67789000000</v>
      </c>
      <c r="R403">
        <v>52443000000</v>
      </c>
      <c r="S403">
        <v>23459000000</v>
      </c>
      <c r="T403">
        <v>92001000000</v>
      </c>
      <c r="U403">
        <v>-47371000000</v>
      </c>
      <c r="V403">
        <f t="shared" si="22"/>
        <v>276767000000</v>
      </c>
      <c r="W403">
        <f t="shared" si="23"/>
        <v>975392000000</v>
      </c>
    </row>
    <row r="404" spans="1:23" x14ac:dyDescent="0.2">
      <c r="A404">
        <f>IF(D404="USD",VLOOKUP(VALUE(RIGHT(E404,4)),'USD RUB'!$E:$F,2,FALSE),1)</f>
        <v>1</v>
      </c>
      <c r="B404" s="4">
        <v>1</v>
      </c>
      <c r="C404">
        <v>1000000</v>
      </c>
      <c r="D404" t="s">
        <v>20</v>
      </c>
      <c r="E404" s="1" t="s">
        <v>420</v>
      </c>
      <c r="F404">
        <v>41976000000</v>
      </c>
      <c r="G404">
        <v>215154000000</v>
      </c>
      <c r="H404">
        <v>692336000000</v>
      </c>
      <c r="J404">
        <v>960957000000</v>
      </c>
      <c r="K404">
        <v>164913000000</v>
      </c>
      <c r="L404">
        <v>169272000000</v>
      </c>
      <c r="M404">
        <v>143410000000</v>
      </c>
      <c r="N404">
        <v>626772000000</v>
      </c>
      <c r="O404">
        <v>204886000000</v>
      </c>
      <c r="P404">
        <v>47855000000</v>
      </c>
      <c r="Q404">
        <v>51029000000</v>
      </c>
      <c r="R404">
        <v>40290000000</v>
      </c>
      <c r="S404">
        <v>15512000000</v>
      </c>
      <c r="T404">
        <v>66363000000</v>
      </c>
      <c r="U404">
        <v>-23416000000</v>
      </c>
      <c r="V404">
        <f t="shared" si="22"/>
        <v>193866000000</v>
      </c>
      <c r="W404">
        <f t="shared" si="23"/>
        <v>953038000000</v>
      </c>
    </row>
    <row r="405" spans="1:23" x14ac:dyDescent="0.2">
      <c r="A405">
        <f>IF(D405="USD",VLOOKUP(VALUE(RIGHT(E405,4)),'USD RUB'!$E:$F,2,FALSE),1)</f>
        <v>1</v>
      </c>
      <c r="B405" s="4">
        <v>1</v>
      </c>
      <c r="C405">
        <v>1000000</v>
      </c>
      <c r="D405" t="s">
        <v>20</v>
      </c>
      <c r="E405" s="1" t="s">
        <v>421</v>
      </c>
      <c r="F405">
        <v>38783000000</v>
      </c>
      <c r="G405">
        <v>207846000000</v>
      </c>
      <c r="H405">
        <v>685013000000</v>
      </c>
      <c r="J405">
        <v>945598000000</v>
      </c>
      <c r="K405">
        <v>150992000000</v>
      </c>
      <c r="L405">
        <v>165246000000</v>
      </c>
      <c r="M405">
        <v>145508000000</v>
      </c>
      <c r="N405">
        <v>629360000000</v>
      </c>
      <c r="O405">
        <v>111462000000</v>
      </c>
      <c r="P405">
        <v>25495000000</v>
      </c>
      <c r="Q405">
        <v>26454000000</v>
      </c>
      <c r="R405">
        <v>20429000000</v>
      </c>
      <c r="S405">
        <v>7710000000</v>
      </c>
      <c r="T405">
        <v>34907000000</v>
      </c>
      <c r="U405">
        <v>-9458000000</v>
      </c>
      <c r="V405">
        <f t="shared" si="22"/>
        <v>106214000000</v>
      </c>
      <c r="W405">
        <f t="shared" si="23"/>
        <v>952155000000</v>
      </c>
    </row>
    <row r="406" spans="1:23" x14ac:dyDescent="0.2">
      <c r="A406">
        <f>IF(D406="USD",VLOOKUP(VALUE(RIGHT(E406,4)),'USD RUB'!$E:$F,2,FALSE),1)</f>
        <v>1</v>
      </c>
      <c r="B406" s="4">
        <v>1</v>
      </c>
      <c r="C406">
        <v>1000000</v>
      </c>
      <c r="D406" t="s">
        <v>20</v>
      </c>
      <c r="E406" s="1" t="s">
        <v>422</v>
      </c>
      <c r="F406">
        <v>58291000000</v>
      </c>
      <c r="G406">
        <v>206309000000</v>
      </c>
      <c r="H406">
        <v>682652000000</v>
      </c>
      <c r="J406">
        <v>942035000000</v>
      </c>
      <c r="K406">
        <v>147743000000</v>
      </c>
      <c r="L406">
        <v>185352000000</v>
      </c>
      <c r="M406">
        <v>125709000000</v>
      </c>
      <c r="N406">
        <v>608940000000</v>
      </c>
      <c r="O406">
        <v>382845000000</v>
      </c>
      <c r="P406">
        <v>59170000000</v>
      </c>
      <c r="Q406">
        <v>65813000000</v>
      </c>
      <c r="R406">
        <v>46607000000</v>
      </c>
      <c r="S406">
        <v>28902000000</v>
      </c>
      <c r="T406">
        <v>120268000000</v>
      </c>
      <c r="U406">
        <v>-58519000000</v>
      </c>
      <c r="V406">
        <f t="shared" si="22"/>
        <v>366642000000</v>
      </c>
      <c r="W406">
        <f t="shared" si="23"/>
        <v>925119000000</v>
      </c>
    </row>
    <row r="407" spans="1:23" x14ac:dyDescent="0.2">
      <c r="A407">
        <f>IF(D407="USD",VLOOKUP(VALUE(RIGHT(E407,4)),'USD RUB'!$E:$F,2,FALSE),1)</f>
        <v>1</v>
      </c>
      <c r="B407" s="4">
        <v>1</v>
      </c>
      <c r="C407">
        <v>1000000</v>
      </c>
      <c r="D407" t="s">
        <v>20</v>
      </c>
      <c r="E407" s="1" t="s">
        <v>423</v>
      </c>
      <c r="F407">
        <v>74113000000</v>
      </c>
      <c r="G407">
        <v>221914000000</v>
      </c>
      <c r="H407">
        <v>692297000000</v>
      </c>
      <c r="J407">
        <v>975392000000</v>
      </c>
      <c r="K407">
        <v>146235000000</v>
      </c>
      <c r="L407">
        <v>207176000000</v>
      </c>
      <c r="M407">
        <v>142821000000</v>
      </c>
      <c r="N407">
        <v>621981000000</v>
      </c>
      <c r="O407">
        <v>276767000000</v>
      </c>
      <c r="P407">
        <v>65658000000</v>
      </c>
      <c r="Q407">
        <v>74815000000</v>
      </c>
      <c r="R407">
        <v>60471000000</v>
      </c>
      <c r="S407">
        <v>21235000000</v>
      </c>
      <c r="T407">
        <v>90548000000</v>
      </c>
      <c r="U407">
        <v>-37429000000</v>
      </c>
      <c r="V407">
        <f t="shared" si="22"/>
        <v>258284000000</v>
      </c>
      <c r="W407">
        <f t="shared" si="23"/>
        <v>957348000000</v>
      </c>
    </row>
    <row r="408" spans="1:23" x14ac:dyDescent="0.2">
      <c r="A408">
        <f>IF(D408="USD",VLOOKUP(VALUE(RIGHT(E408,4)),'USD RUB'!$E:$F,2,FALSE),1)</f>
        <v>1</v>
      </c>
      <c r="B408" s="4">
        <v>1</v>
      </c>
      <c r="C408">
        <v>1000000</v>
      </c>
      <c r="D408" t="s">
        <v>20</v>
      </c>
      <c r="E408" s="1" t="s">
        <v>424</v>
      </c>
      <c r="F408">
        <v>59842000000</v>
      </c>
      <c r="G408">
        <v>209265000000</v>
      </c>
      <c r="H408">
        <v>685341000000</v>
      </c>
      <c r="J408">
        <v>953038000000</v>
      </c>
      <c r="K408">
        <v>139450000000</v>
      </c>
      <c r="L408">
        <v>202164000000</v>
      </c>
      <c r="M408">
        <v>144473000000</v>
      </c>
      <c r="N408">
        <v>611424000000</v>
      </c>
      <c r="O408">
        <v>193866000000</v>
      </c>
      <c r="P408">
        <v>50527000000</v>
      </c>
      <c r="Q408">
        <v>57404000000</v>
      </c>
      <c r="R408">
        <v>46825000000</v>
      </c>
      <c r="S408">
        <v>13919000000</v>
      </c>
      <c r="T408">
        <v>67652000000</v>
      </c>
      <c r="U408">
        <v>-22998000000</v>
      </c>
      <c r="V408">
        <f t="shared" si="22"/>
        <v>181604000000</v>
      </c>
      <c r="W408">
        <f t="shared" si="23"/>
        <v>956633000000</v>
      </c>
    </row>
    <row r="409" spans="1:23" x14ac:dyDescent="0.2">
      <c r="A409">
        <f>IF(D409="USD",VLOOKUP(VALUE(RIGHT(E409,4)),'USD RUB'!$E:$F,2,FALSE),1)</f>
        <v>1</v>
      </c>
      <c r="B409" s="4">
        <v>1</v>
      </c>
      <c r="C409">
        <v>1000000</v>
      </c>
      <c r="D409" t="s">
        <v>20</v>
      </c>
      <c r="E409" s="1" t="s">
        <v>425</v>
      </c>
      <c r="F409">
        <v>40129000000</v>
      </c>
      <c r="G409">
        <v>210324000000</v>
      </c>
      <c r="H409">
        <v>682391000000</v>
      </c>
      <c r="J409">
        <v>952155000000</v>
      </c>
      <c r="K409">
        <v>149398000000</v>
      </c>
      <c r="L409">
        <v>206589000000</v>
      </c>
      <c r="M409">
        <v>129803000000</v>
      </c>
      <c r="N409">
        <v>596168000000</v>
      </c>
      <c r="O409">
        <v>106214000000</v>
      </c>
      <c r="P409">
        <v>27032000000</v>
      </c>
      <c r="Q409">
        <v>31495000000</v>
      </c>
      <c r="R409">
        <v>25908000000</v>
      </c>
      <c r="S409">
        <v>7027000000</v>
      </c>
      <c r="T409">
        <v>36613000000</v>
      </c>
      <c r="U409">
        <v>-9470000000</v>
      </c>
      <c r="V409">
        <f t="shared" ref="V409:V472" si="24">_xlfn.XLOOKUP(LEFT(E409,LEN(E409)-4)&amp;(VALUE(RIGHT(E409,4))-1),$E:$E,$O:$O,"")</f>
        <v>99541000000</v>
      </c>
      <c r="W409">
        <f t="shared" ref="W409:W472" si="25">_xlfn.XLOOKUP(LEFT(E409,LEN(E409)-4)&amp;(VALUE(RIGHT(E409,4))-1),$E:$E,$J:$J,"")</f>
        <v>952288000000</v>
      </c>
    </row>
    <row r="410" spans="1:23" x14ac:dyDescent="0.2">
      <c r="A410">
        <f>IF(D410="USD",VLOOKUP(VALUE(RIGHT(E410,4)),'USD RUB'!$E:$F,2,FALSE),1)</f>
        <v>1</v>
      </c>
      <c r="B410" s="4">
        <v>1</v>
      </c>
      <c r="C410">
        <v>1000000</v>
      </c>
      <c r="D410" t="s">
        <v>20</v>
      </c>
      <c r="E410" s="1" t="s">
        <v>426</v>
      </c>
      <c r="F410">
        <v>41047000000</v>
      </c>
      <c r="G410">
        <v>191331000000</v>
      </c>
      <c r="H410">
        <v>677862000000</v>
      </c>
      <c r="J410">
        <v>925119000000</v>
      </c>
      <c r="K410">
        <v>126585000000</v>
      </c>
      <c r="L410">
        <v>228659000000</v>
      </c>
      <c r="M410">
        <v>104786000000</v>
      </c>
      <c r="N410">
        <v>569875000000</v>
      </c>
      <c r="O410">
        <v>366642000000</v>
      </c>
      <c r="P410">
        <v>11156000000</v>
      </c>
      <c r="Q410">
        <v>7859000000</v>
      </c>
      <c r="R410">
        <v>643000000</v>
      </c>
      <c r="S410">
        <v>25686000000</v>
      </c>
      <c r="T410">
        <v>97544000000</v>
      </c>
      <c r="U410">
        <v>-74782000000</v>
      </c>
      <c r="V410">
        <f t="shared" si="24"/>
        <v>358770000000</v>
      </c>
      <c r="W410">
        <f t="shared" si="25"/>
        <v>931931000000</v>
      </c>
    </row>
    <row r="411" spans="1:23" x14ac:dyDescent="0.2">
      <c r="A411">
        <f>IF(D411="USD",VLOOKUP(VALUE(RIGHT(E411,4)),'USD RUB'!$E:$F,2,FALSE),1)</f>
        <v>1</v>
      </c>
      <c r="B411" s="4">
        <v>1</v>
      </c>
      <c r="C411">
        <v>1000000</v>
      </c>
      <c r="D411" t="s">
        <v>20</v>
      </c>
      <c r="E411" s="1" t="s">
        <v>427</v>
      </c>
      <c r="F411">
        <v>50212000000</v>
      </c>
      <c r="G411">
        <v>193842000000</v>
      </c>
      <c r="H411">
        <v>711851000000</v>
      </c>
      <c r="J411">
        <v>957348000000</v>
      </c>
      <c r="K411">
        <v>138306000000</v>
      </c>
      <c r="L411">
        <v>214483000000</v>
      </c>
      <c r="M411">
        <v>137277000000</v>
      </c>
      <c r="N411">
        <v>604559000000</v>
      </c>
      <c r="O411">
        <v>258284000000</v>
      </c>
      <c r="P411">
        <v>45651000000</v>
      </c>
      <c r="Q411">
        <v>48001000000</v>
      </c>
      <c r="R411">
        <v>35157000000</v>
      </c>
      <c r="S411">
        <v>18894000000</v>
      </c>
      <c r="T411">
        <v>70429000000</v>
      </c>
      <c r="U411">
        <v>-51382000000</v>
      </c>
      <c r="V411">
        <f t="shared" si="24"/>
        <v>258472000000</v>
      </c>
      <c r="W411">
        <f t="shared" si="25"/>
        <v>1063981000000</v>
      </c>
    </row>
    <row r="412" spans="1:23" x14ac:dyDescent="0.2">
      <c r="A412">
        <f>IF(D412="USD",VLOOKUP(VALUE(RIGHT(E412,4)),'USD RUB'!$E:$F,2,FALSE),1)</f>
        <v>1</v>
      </c>
      <c r="B412" s="4">
        <v>1</v>
      </c>
      <c r="C412">
        <v>1000000</v>
      </c>
      <c r="D412" t="s">
        <v>20</v>
      </c>
      <c r="E412" s="1" t="s">
        <v>428</v>
      </c>
      <c r="F412">
        <v>61840000000</v>
      </c>
      <c r="G412">
        <v>204277000000</v>
      </c>
      <c r="H412">
        <v>698804000000</v>
      </c>
      <c r="J412">
        <v>956633000000</v>
      </c>
      <c r="K412">
        <v>150935000000</v>
      </c>
      <c r="L412">
        <v>206979000000</v>
      </c>
      <c r="M412">
        <v>130443000000</v>
      </c>
      <c r="N412">
        <v>598719000000</v>
      </c>
      <c r="O412">
        <v>181604000000</v>
      </c>
      <c r="P412">
        <v>32418000000</v>
      </c>
      <c r="Q412">
        <v>37830000000</v>
      </c>
      <c r="R412">
        <v>29385000000</v>
      </c>
      <c r="S412">
        <v>12460000000</v>
      </c>
      <c r="T412">
        <v>50770000000</v>
      </c>
      <c r="U412">
        <v>-33200000000</v>
      </c>
      <c r="V412">
        <f t="shared" si="24"/>
        <v>180853000000</v>
      </c>
      <c r="W412">
        <f t="shared" si="25"/>
        <v>1061007000000</v>
      </c>
    </row>
    <row r="413" spans="1:23" x14ac:dyDescent="0.2">
      <c r="A413">
        <f>IF(D413="USD",VLOOKUP(VALUE(RIGHT(E413,4)),'USD RUB'!$E:$F,2,FALSE),1)</f>
        <v>1</v>
      </c>
      <c r="B413" s="4">
        <v>1</v>
      </c>
      <c r="C413">
        <v>1000000</v>
      </c>
      <c r="D413" t="s">
        <v>20</v>
      </c>
      <c r="E413" s="1" t="s">
        <v>429</v>
      </c>
      <c r="F413">
        <v>43299000000</v>
      </c>
      <c r="G413">
        <v>216774000000</v>
      </c>
      <c r="H413">
        <v>683342000000</v>
      </c>
      <c r="J413">
        <v>952288000000</v>
      </c>
      <c r="K413">
        <v>129558000000</v>
      </c>
      <c r="L413">
        <v>220094000000</v>
      </c>
      <c r="M413">
        <v>131336000000</v>
      </c>
      <c r="N413">
        <v>602636000000</v>
      </c>
      <c r="O413">
        <v>99541000000</v>
      </c>
      <c r="P413">
        <v>20439000000</v>
      </c>
      <c r="Q413">
        <v>21582000000</v>
      </c>
      <c r="R413">
        <v>16512000000</v>
      </c>
      <c r="S413">
        <v>6384000000</v>
      </c>
      <c r="T413">
        <v>29564000000</v>
      </c>
      <c r="U413">
        <v>-13735000000</v>
      </c>
      <c r="V413">
        <f t="shared" si="24"/>
        <v>99699000000</v>
      </c>
      <c r="W413">
        <f t="shared" si="25"/>
        <v>1041457000000</v>
      </c>
    </row>
    <row r="414" spans="1:23" x14ac:dyDescent="0.2">
      <c r="A414">
        <f>IF(D414="USD",VLOOKUP(VALUE(RIGHT(E414,4)),'USD RUB'!$E:$F,2,FALSE),1)</f>
        <v>1</v>
      </c>
      <c r="B414" s="4">
        <v>1</v>
      </c>
      <c r="C414">
        <v>1000000</v>
      </c>
      <c r="D414" t="s">
        <v>20</v>
      </c>
      <c r="E414" s="1" t="s">
        <v>430</v>
      </c>
      <c r="F414">
        <v>65432000000</v>
      </c>
      <c r="G414">
        <v>209402000000</v>
      </c>
      <c r="H414">
        <v>669424000000</v>
      </c>
      <c r="J414">
        <v>931931000000</v>
      </c>
      <c r="K414">
        <v>120078000000</v>
      </c>
      <c r="L414">
        <v>225634000000</v>
      </c>
      <c r="M414">
        <v>115523000000</v>
      </c>
      <c r="N414">
        <v>586219000000</v>
      </c>
      <c r="O414">
        <v>358770000000</v>
      </c>
      <c r="P414">
        <v>61420000000</v>
      </c>
      <c r="Q414">
        <v>47859000000</v>
      </c>
      <c r="R414">
        <v>31837000000</v>
      </c>
      <c r="S414">
        <v>22310000000</v>
      </c>
      <c r="T414">
        <v>109673000000</v>
      </c>
      <c r="U414">
        <v>-67423000000</v>
      </c>
      <c r="V414">
        <f t="shared" si="24"/>
        <v>348119000000</v>
      </c>
      <c r="W414">
        <f t="shared" si="25"/>
        <v>1028251000000</v>
      </c>
    </row>
    <row r="415" spans="1:23" x14ac:dyDescent="0.2">
      <c r="A415">
        <f>IF(D415="USD",VLOOKUP(VALUE(RIGHT(E415,4)),'USD RUB'!$E:$F,2,FALSE),1)</f>
        <v>1</v>
      </c>
      <c r="B415" s="4">
        <v>1</v>
      </c>
      <c r="C415">
        <v>1000000</v>
      </c>
      <c r="D415" t="s">
        <v>20</v>
      </c>
      <c r="E415" s="1" t="s">
        <v>431</v>
      </c>
      <c r="F415">
        <v>69851000000</v>
      </c>
      <c r="G415">
        <v>169345000000</v>
      </c>
      <c r="H415">
        <v>826165000000</v>
      </c>
      <c r="J415">
        <v>1063981000000</v>
      </c>
      <c r="K415">
        <v>94374000000</v>
      </c>
      <c r="L415">
        <v>246427000000</v>
      </c>
      <c r="M415">
        <v>261274000000</v>
      </c>
      <c r="N415">
        <v>723180000000</v>
      </c>
      <c r="O415">
        <v>258472000000</v>
      </c>
      <c r="P415">
        <v>60593000000</v>
      </c>
      <c r="Q415">
        <v>56233000000</v>
      </c>
      <c r="R415">
        <v>43033000000</v>
      </c>
      <c r="S415">
        <v>19956000000</v>
      </c>
      <c r="T415">
        <v>81020000000</v>
      </c>
      <c r="U415">
        <v>-45249000000</v>
      </c>
      <c r="V415">
        <f t="shared" si="24"/>
        <v>248604000000</v>
      </c>
      <c r="W415">
        <f t="shared" si="25"/>
        <v>1050585000000</v>
      </c>
    </row>
    <row r="416" spans="1:23" x14ac:dyDescent="0.2">
      <c r="A416">
        <f>IF(D416="USD",VLOOKUP(VALUE(RIGHT(E416,4)),'USD RUB'!$E:$F,2,FALSE),1)</f>
        <v>1</v>
      </c>
      <c r="B416" s="4">
        <v>1</v>
      </c>
      <c r="C416">
        <v>1000000</v>
      </c>
      <c r="D416" t="s">
        <v>20</v>
      </c>
      <c r="E416" s="1" t="s">
        <v>432</v>
      </c>
      <c r="F416">
        <v>72401000000</v>
      </c>
      <c r="G416">
        <v>190159000000</v>
      </c>
      <c r="H416">
        <v>815094000000</v>
      </c>
      <c r="J416">
        <v>1061007000000</v>
      </c>
      <c r="K416">
        <v>128178000000</v>
      </c>
      <c r="L416">
        <v>211041000000</v>
      </c>
      <c r="M416">
        <v>257313000000</v>
      </c>
      <c r="N416">
        <v>721788000000</v>
      </c>
      <c r="O416">
        <v>180853000000</v>
      </c>
      <c r="P416">
        <v>48150000000</v>
      </c>
      <c r="Q416">
        <v>45725000000</v>
      </c>
      <c r="R416">
        <v>36688000000</v>
      </c>
      <c r="S416">
        <v>13131000000</v>
      </c>
      <c r="T416">
        <v>59950000000</v>
      </c>
      <c r="U416">
        <v>-27985000000</v>
      </c>
      <c r="V416">
        <f t="shared" si="24"/>
        <v>180866000000</v>
      </c>
      <c r="W416">
        <f t="shared" si="25"/>
        <v>1022463000000</v>
      </c>
    </row>
    <row r="417" spans="1:23" x14ac:dyDescent="0.2">
      <c r="A417">
        <f>IF(D417="USD",VLOOKUP(VALUE(RIGHT(E417,4)),'USD RUB'!$E:$F,2,FALSE),1)</f>
        <v>1</v>
      </c>
      <c r="B417" s="4">
        <v>1</v>
      </c>
      <c r="C417">
        <v>1000000</v>
      </c>
      <c r="D417" t="s">
        <v>20</v>
      </c>
      <c r="E417" s="1" t="s">
        <v>433</v>
      </c>
      <c r="F417">
        <v>56437000000</v>
      </c>
      <c r="G417">
        <v>162195000000</v>
      </c>
      <c r="H417">
        <v>803702000000</v>
      </c>
      <c r="J417">
        <v>1041457000000</v>
      </c>
      <c r="K417">
        <v>122764000000</v>
      </c>
      <c r="L417">
        <v>199482000000</v>
      </c>
      <c r="M417">
        <v>253828000000</v>
      </c>
      <c r="N417">
        <v>719211000000</v>
      </c>
      <c r="O417">
        <v>99699000000</v>
      </c>
      <c r="P417">
        <v>25680000000</v>
      </c>
      <c r="Q417">
        <v>27286000000</v>
      </c>
      <c r="R417">
        <v>22951000000</v>
      </c>
      <c r="S417">
        <v>6624000000</v>
      </c>
      <c r="T417">
        <v>32020000000</v>
      </c>
      <c r="U417">
        <v>-10383000000</v>
      </c>
      <c r="V417">
        <f t="shared" si="24"/>
        <v>98779000000</v>
      </c>
      <c r="W417">
        <f t="shared" si="25"/>
        <v>1006167000000</v>
      </c>
    </row>
    <row r="418" spans="1:23" x14ac:dyDescent="0.2">
      <c r="A418">
        <f>IF(D418="USD",VLOOKUP(VALUE(RIGHT(E418,4)),'USD RUB'!$E:$F,2,FALSE),1)</f>
        <v>1</v>
      </c>
      <c r="B418" s="4">
        <v>1</v>
      </c>
      <c r="C418">
        <v>1000000</v>
      </c>
      <c r="D418" t="s">
        <v>20</v>
      </c>
      <c r="E418" s="1" t="s">
        <v>434</v>
      </c>
      <c r="F418">
        <v>70156000000</v>
      </c>
      <c r="G418">
        <v>155119000000</v>
      </c>
      <c r="H418">
        <v>799855000000</v>
      </c>
      <c r="J418">
        <v>1028251000000</v>
      </c>
      <c r="K418">
        <v>151248000000</v>
      </c>
      <c r="L418">
        <v>181439000000</v>
      </c>
      <c r="M418">
        <v>231967000000</v>
      </c>
      <c r="N418">
        <v>695564000000</v>
      </c>
      <c r="O418">
        <v>348119000000</v>
      </c>
      <c r="P418">
        <v>47792000000</v>
      </c>
      <c r="Q418">
        <v>35519000000</v>
      </c>
      <c r="R418">
        <v>22451000000</v>
      </c>
      <c r="S418">
        <v>25023000000</v>
      </c>
      <c r="T418">
        <v>104038000000</v>
      </c>
      <c r="U418">
        <v>-71693000000</v>
      </c>
      <c r="V418">
        <f t="shared" si="24"/>
        <v>374072000000</v>
      </c>
      <c r="W418">
        <f t="shared" si="25"/>
        <v>983446000000</v>
      </c>
    </row>
    <row r="419" spans="1:23" x14ac:dyDescent="0.2">
      <c r="A419">
        <f>IF(D419="USD",VLOOKUP(VALUE(RIGHT(E419,4)),'USD RUB'!$E:$F,2,FALSE),1)</f>
        <v>1</v>
      </c>
      <c r="B419" s="4">
        <v>1</v>
      </c>
      <c r="C419">
        <v>1000000</v>
      </c>
      <c r="D419" t="s">
        <v>20</v>
      </c>
      <c r="E419" s="1" t="s">
        <v>435</v>
      </c>
      <c r="F419">
        <v>83877000000</v>
      </c>
      <c r="G419">
        <v>181057000000</v>
      </c>
      <c r="H419">
        <v>799053000000</v>
      </c>
      <c r="J419">
        <v>1050585000000</v>
      </c>
      <c r="K419">
        <v>143007000000</v>
      </c>
      <c r="L419">
        <v>201158000000</v>
      </c>
      <c r="M419">
        <v>243195000000</v>
      </c>
      <c r="N419">
        <v>706420000000</v>
      </c>
      <c r="O419">
        <v>248604000000</v>
      </c>
      <c r="P419">
        <v>48225000000</v>
      </c>
      <c r="Q419">
        <v>43920000000</v>
      </c>
      <c r="R419">
        <v>30804000000</v>
      </c>
      <c r="S419">
        <v>18375000000</v>
      </c>
      <c r="T419">
        <v>71605000000</v>
      </c>
      <c r="U419">
        <v>-41112000000</v>
      </c>
      <c r="V419">
        <f t="shared" si="24"/>
        <v>268644000000</v>
      </c>
      <c r="W419">
        <f t="shared" si="25"/>
        <v>982893000000</v>
      </c>
    </row>
    <row r="420" spans="1:23" x14ac:dyDescent="0.2">
      <c r="A420">
        <f>IF(D420="USD",VLOOKUP(VALUE(RIGHT(E420,4)),'USD RUB'!$E:$F,2,FALSE),1)</f>
        <v>1</v>
      </c>
      <c r="B420" s="4">
        <v>1</v>
      </c>
      <c r="C420">
        <v>1000000</v>
      </c>
      <c r="D420" t="s">
        <v>20</v>
      </c>
      <c r="E420" s="1" t="s">
        <v>436</v>
      </c>
      <c r="F420">
        <v>85134000000</v>
      </c>
      <c r="G420">
        <v>167092000000</v>
      </c>
      <c r="H420">
        <v>785995000000</v>
      </c>
      <c r="J420">
        <v>1022463000000</v>
      </c>
      <c r="K420">
        <v>142205000000</v>
      </c>
      <c r="L420">
        <v>181989000000</v>
      </c>
      <c r="M420">
        <v>233117000000</v>
      </c>
      <c r="N420">
        <v>698269000000</v>
      </c>
      <c r="O420">
        <v>180866000000</v>
      </c>
      <c r="P420">
        <v>36041000000</v>
      </c>
      <c r="Q420">
        <v>30889000000</v>
      </c>
      <c r="R420">
        <v>22303000000</v>
      </c>
      <c r="S420">
        <v>11408000000</v>
      </c>
      <c r="T420">
        <v>51547000000</v>
      </c>
      <c r="U420">
        <v>-26416000000</v>
      </c>
      <c r="V420">
        <f t="shared" si="24"/>
        <v>187861000000</v>
      </c>
      <c r="W420">
        <f t="shared" si="25"/>
        <v>978339000000</v>
      </c>
    </row>
    <row r="421" spans="1:23" x14ac:dyDescent="0.2">
      <c r="A421">
        <f>IF(D421="USD",VLOOKUP(VALUE(RIGHT(E421,4)),'USD RUB'!$E:$F,2,FALSE),1)</f>
        <v>1</v>
      </c>
      <c r="B421" s="4">
        <v>1</v>
      </c>
      <c r="C421">
        <v>1000000</v>
      </c>
      <c r="D421" t="s">
        <v>20</v>
      </c>
      <c r="E421" s="1" t="s">
        <v>437</v>
      </c>
      <c r="F421">
        <v>77379000000</v>
      </c>
      <c r="G421">
        <v>164155000000</v>
      </c>
      <c r="H421">
        <v>771397000000</v>
      </c>
      <c r="J421">
        <v>1006167000000</v>
      </c>
      <c r="K421">
        <v>139273000000</v>
      </c>
      <c r="L421">
        <v>191733000000</v>
      </c>
      <c r="M421">
        <v>2248446000000</v>
      </c>
      <c r="N421">
        <v>675161000000</v>
      </c>
      <c r="O421">
        <v>98779000000</v>
      </c>
      <c r="P421">
        <v>24490000000</v>
      </c>
      <c r="Q421">
        <v>23937000000</v>
      </c>
      <c r="R421">
        <v>18806000000</v>
      </c>
      <c r="S421">
        <v>5683000000</v>
      </c>
      <c r="T421">
        <v>30234000000</v>
      </c>
      <c r="U421">
        <v>-10531000000</v>
      </c>
      <c r="V421">
        <f t="shared" si="24"/>
        <v>104404000000</v>
      </c>
      <c r="W421">
        <f t="shared" si="25"/>
        <v>958715000000</v>
      </c>
    </row>
    <row r="422" spans="1:23" x14ac:dyDescent="0.2">
      <c r="A422">
        <f>IF(D422="USD",VLOOKUP(VALUE(RIGHT(E422,4)),'USD RUB'!$E:$F,2,FALSE),1)</f>
        <v>1</v>
      </c>
      <c r="B422" s="4">
        <v>1</v>
      </c>
      <c r="C422">
        <v>1000000</v>
      </c>
      <c r="D422" t="s">
        <v>20</v>
      </c>
      <c r="E422" s="1" t="s">
        <v>438</v>
      </c>
      <c r="F422">
        <v>67354000000</v>
      </c>
      <c r="G422">
        <v>148453000000</v>
      </c>
      <c r="H422">
        <v>765047000000</v>
      </c>
      <c r="J422">
        <v>983446000000</v>
      </c>
      <c r="K422">
        <v>116656000000</v>
      </c>
      <c r="L422">
        <v>215858000000</v>
      </c>
      <c r="M422">
        <v>243790000000</v>
      </c>
      <c r="N422">
        <v>650932000000</v>
      </c>
      <c r="O422">
        <v>374072000000</v>
      </c>
      <c r="P422">
        <v>47539000000</v>
      </c>
      <c r="Q422">
        <v>55123000000</v>
      </c>
      <c r="R422">
        <v>39751000000</v>
      </c>
      <c r="T422">
        <v>100341000000</v>
      </c>
      <c r="U422">
        <v>81065000000</v>
      </c>
      <c r="V422">
        <f t="shared" si="24"/>
        <v>347512000000</v>
      </c>
      <c r="W422">
        <f t="shared" si="25"/>
        <v>938137000000</v>
      </c>
    </row>
    <row r="423" spans="1:23" x14ac:dyDescent="0.2">
      <c r="A423">
        <f>IF(D423="USD",VLOOKUP(VALUE(RIGHT(E423,4)),'USD RUB'!$E:$F,2,FALSE),1)</f>
        <v>1</v>
      </c>
      <c r="B423" s="4">
        <v>1</v>
      </c>
      <c r="C423">
        <v>1000000</v>
      </c>
      <c r="D423" t="s">
        <v>20</v>
      </c>
      <c r="E423" s="1" t="s">
        <v>439</v>
      </c>
      <c r="F423">
        <v>54383000000</v>
      </c>
      <c r="G423">
        <v>146219000000</v>
      </c>
      <c r="H423">
        <v>774180000000</v>
      </c>
      <c r="J423">
        <v>982893000000</v>
      </c>
      <c r="K423">
        <v>117051000000</v>
      </c>
      <c r="L423">
        <v>216536000000</v>
      </c>
      <c r="M423">
        <v>243491000000</v>
      </c>
      <c r="N423">
        <v>649306000000</v>
      </c>
      <c r="O423">
        <v>268644000000</v>
      </c>
      <c r="P423">
        <v>46809000000</v>
      </c>
      <c r="Q423">
        <v>48837000000</v>
      </c>
      <c r="R423">
        <v>37400000000</v>
      </c>
      <c r="T423">
        <v>70445000000</v>
      </c>
      <c r="U423">
        <v>53691000000</v>
      </c>
      <c r="V423">
        <f t="shared" si="24"/>
        <v>245083000000</v>
      </c>
      <c r="W423">
        <f t="shared" si="25"/>
        <v>957409000000</v>
      </c>
    </row>
    <row r="424" spans="1:23" x14ac:dyDescent="0.2">
      <c r="A424">
        <f>IF(D424="USD",VLOOKUP(VALUE(RIGHT(E424,4)),'USD RUB'!$E:$F,2,FALSE),1)</f>
        <v>1</v>
      </c>
      <c r="B424" s="4">
        <v>1</v>
      </c>
      <c r="C424">
        <v>1000000</v>
      </c>
      <c r="D424" t="s">
        <v>20</v>
      </c>
      <c r="E424" s="1" t="s">
        <v>440</v>
      </c>
      <c r="F424">
        <v>65853000000</v>
      </c>
      <c r="G424">
        <v>158587000000</v>
      </c>
      <c r="H424">
        <v>764371000000</v>
      </c>
      <c r="J424">
        <v>978339000000</v>
      </c>
      <c r="K424">
        <v>130546000000</v>
      </c>
      <c r="L424">
        <v>214228000000</v>
      </c>
      <c r="M424">
        <v>227457000000</v>
      </c>
      <c r="N424">
        <v>633565000000</v>
      </c>
      <c r="O424">
        <v>187861000000</v>
      </c>
      <c r="P424">
        <v>37565000000</v>
      </c>
      <c r="Q424">
        <v>34305000000</v>
      </c>
      <c r="R424">
        <v>25475000000</v>
      </c>
      <c r="T424">
        <v>48020000000</v>
      </c>
      <c r="U424">
        <v>34631000000</v>
      </c>
      <c r="V424">
        <f t="shared" si="24"/>
        <v>170788000000</v>
      </c>
      <c r="W424">
        <f t="shared" si="25"/>
        <v>924497000000</v>
      </c>
    </row>
    <row r="425" spans="1:23" x14ac:dyDescent="0.2">
      <c r="A425">
        <f>IF(D425="USD",VLOOKUP(VALUE(RIGHT(E425,4)),'USD RUB'!$E:$F,2,FALSE),1)</f>
        <v>1</v>
      </c>
      <c r="B425" s="4">
        <v>1</v>
      </c>
      <c r="C425">
        <v>1000000</v>
      </c>
      <c r="D425" t="s">
        <v>20</v>
      </c>
      <c r="E425" s="1" t="s">
        <v>441</v>
      </c>
      <c r="F425">
        <v>61165000000</v>
      </c>
      <c r="G425">
        <v>154463000000</v>
      </c>
      <c r="H425">
        <v>753149000000</v>
      </c>
      <c r="J425">
        <v>958715000000</v>
      </c>
      <c r="K425">
        <v>138296000000</v>
      </c>
      <c r="L425">
        <v>185089000000</v>
      </c>
      <c r="M425">
        <v>224474000000</v>
      </c>
      <c r="N425">
        <v>635330000000</v>
      </c>
      <c r="O425">
        <v>104404000000</v>
      </c>
      <c r="P425">
        <v>18858000000</v>
      </c>
      <c r="Q425">
        <v>19669000000</v>
      </c>
      <c r="R425">
        <v>15047000000</v>
      </c>
      <c r="T425">
        <v>27212000000</v>
      </c>
      <c r="U425">
        <v>16596000000</v>
      </c>
      <c r="V425">
        <f t="shared" si="24"/>
        <v>94614000000</v>
      </c>
      <c r="W425">
        <f t="shared" si="25"/>
        <v>899600000000</v>
      </c>
    </row>
    <row r="426" spans="1:23" x14ac:dyDescent="0.2">
      <c r="A426">
        <f>IF(D426="USD",VLOOKUP(VALUE(RIGHT(E426,4)),'USD RUB'!$E:$F,2,FALSE),1)</f>
        <v>1</v>
      </c>
      <c r="B426" s="4">
        <v>1</v>
      </c>
      <c r="C426">
        <v>1000000</v>
      </c>
      <c r="D426" t="s">
        <v>20</v>
      </c>
      <c r="E426" s="1" t="s">
        <v>442</v>
      </c>
      <c r="F426">
        <v>48025000000</v>
      </c>
      <c r="G426">
        <v>146428000000</v>
      </c>
      <c r="H426">
        <v>744585000000</v>
      </c>
      <c r="J426">
        <v>938137000000</v>
      </c>
      <c r="K426">
        <v>137454000000</v>
      </c>
      <c r="L426">
        <v>186764000000</v>
      </c>
      <c r="M426">
        <v>203114000000</v>
      </c>
      <c r="N426">
        <v>613919000000</v>
      </c>
      <c r="O426">
        <v>347512000000</v>
      </c>
      <c r="P426">
        <v>34681000000</v>
      </c>
      <c r="Q426">
        <v>37678000000</v>
      </c>
      <c r="R426">
        <v>27159000000</v>
      </c>
      <c r="T426">
        <v>73383000000</v>
      </c>
      <c r="U426">
        <v>101835000000</v>
      </c>
      <c r="V426">
        <f t="shared" si="24"/>
        <v>329560000000</v>
      </c>
      <c r="W426">
        <f t="shared" si="25"/>
        <v>883770000000</v>
      </c>
    </row>
    <row r="427" spans="1:23" x14ac:dyDescent="0.2">
      <c r="A427">
        <f>IF(D427="USD",VLOOKUP(VALUE(RIGHT(E427,4)),'USD RUB'!$E:$F,2,FALSE),1)</f>
        <v>1</v>
      </c>
      <c r="B427" s="4">
        <v>1</v>
      </c>
      <c r="C427">
        <v>1000000</v>
      </c>
      <c r="D427" t="s">
        <v>20</v>
      </c>
      <c r="E427" s="1" t="s">
        <v>443</v>
      </c>
      <c r="F427">
        <v>46526000000</v>
      </c>
      <c r="G427">
        <v>170826000000</v>
      </c>
      <c r="H427">
        <v>735271000000</v>
      </c>
      <c r="J427">
        <v>957409000000</v>
      </c>
      <c r="K427">
        <v>155255000000</v>
      </c>
      <c r="L427">
        <v>187745000000</v>
      </c>
      <c r="M427">
        <v>205213000000</v>
      </c>
      <c r="N427">
        <v>614409000000</v>
      </c>
      <c r="O427">
        <v>245083000000</v>
      </c>
      <c r="P427">
        <v>33994000000</v>
      </c>
      <c r="Q427">
        <v>33055000000</v>
      </c>
      <c r="R427">
        <v>24098000000</v>
      </c>
      <c r="T427">
        <v>47577000000</v>
      </c>
      <c r="U427">
        <v>73534000000</v>
      </c>
      <c r="V427">
        <f t="shared" si="24"/>
        <v>233308000000</v>
      </c>
      <c r="W427">
        <f t="shared" si="25"/>
        <v>877920000000</v>
      </c>
    </row>
    <row r="428" spans="1:23" x14ac:dyDescent="0.2">
      <c r="A428">
        <f>IF(D428="USD",VLOOKUP(VALUE(RIGHT(E428,4)),'USD RUB'!$E:$F,2,FALSE),1)</f>
        <v>1</v>
      </c>
      <c r="B428" s="4">
        <v>1</v>
      </c>
      <c r="C428">
        <v>1000000</v>
      </c>
      <c r="D428" t="s">
        <v>20</v>
      </c>
      <c r="E428" s="1" t="s">
        <v>444</v>
      </c>
      <c r="F428">
        <v>42152000000</v>
      </c>
      <c r="G428">
        <v>149831000000</v>
      </c>
      <c r="H428">
        <v>722054000000</v>
      </c>
      <c r="J428">
        <v>924497000000</v>
      </c>
      <c r="K428">
        <v>154185000000</v>
      </c>
      <c r="L428">
        <v>160654000000</v>
      </c>
      <c r="M428">
        <v>197381000000</v>
      </c>
      <c r="N428">
        <v>609658000000</v>
      </c>
      <c r="O428">
        <v>170788000000</v>
      </c>
      <c r="P428">
        <v>21377000000</v>
      </c>
      <c r="Q428">
        <v>24921000000</v>
      </c>
      <c r="R428">
        <v>18582000000</v>
      </c>
      <c r="T428">
        <v>34427000000</v>
      </c>
      <c r="U428">
        <v>48782000000</v>
      </c>
      <c r="V428">
        <f t="shared" si="24"/>
        <v>165309000000</v>
      </c>
      <c r="W428">
        <f t="shared" si="25"/>
        <v>883414000000</v>
      </c>
    </row>
    <row r="429" spans="1:23" x14ac:dyDescent="0.2">
      <c r="A429">
        <f>IF(D429="USD",VLOOKUP(VALUE(RIGHT(E429,4)),'USD RUB'!$E:$F,2,FALSE),1)</f>
        <v>1</v>
      </c>
      <c r="B429" s="4">
        <v>1</v>
      </c>
      <c r="C429">
        <v>1000000</v>
      </c>
      <c r="D429" t="s">
        <v>20</v>
      </c>
      <c r="E429" s="1" t="s">
        <v>445</v>
      </c>
      <c r="F429">
        <v>47133000000</v>
      </c>
      <c r="G429">
        <v>146229000000</v>
      </c>
      <c r="H429">
        <v>701934000000</v>
      </c>
      <c r="J429">
        <v>899600000000</v>
      </c>
      <c r="K429">
        <v>125716000000</v>
      </c>
      <c r="L429">
        <v>164847000000</v>
      </c>
      <c r="M429">
        <v>193263000000</v>
      </c>
      <c r="N429">
        <v>609037000000</v>
      </c>
      <c r="O429">
        <v>94614000000</v>
      </c>
      <c r="P429">
        <v>13804000000</v>
      </c>
      <c r="Q429">
        <v>14975000000</v>
      </c>
      <c r="R429">
        <v>11862000000</v>
      </c>
      <c r="T429">
        <v>19113000000</v>
      </c>
      <c r="U429">
        <v>21282000000</v>
      </c>
      <c r="V429">
        <f t="shared" si="24"/>
        <v>91616000000</v>
      </c>
      <c r="W429">
        <f t="shared" si="25"/>
        <v>868231000000</v>
      </c>
    </row>
    <row r="430" spans="1:23" x14ac:dyDescent="0.2">
      <c r="A430">
        <f>IF(D430="USD",VLOOKUP(VALUE(RIGHT(E430,4)),'USD RUB'!$E:$F,2,FALSE),1)</f>
        <v>1</v>
      </c>
      <c r="B430" s="4">
        <v>1</v>
      </c>
      <c r="C430">
        <v>1000000</v>
      </c>
      <c r="D430" t="s">
        <v>20</v>
      </c>
      <c r="E430" s="1" t="s">
        <v>446</v>
      </c>
      <c r="F430">
        <v>34394000000</v>
      </c>
      <c r="G430">
        <v>149040000000</v>
      </c>
      <c r="H430">
        <v>686190000000</v>
      </c>
      <c r="J430">
        <v>883770000000</v>
      </c>
      <c r="K430">
        <v>122346000000</v>
      </c>
      <c r="L430">
        <v>166273000000</v>
      </c>
      <c r="M430">
        <v>179556000000</v>
      </c>
      <c r="N430">
        <v>595151000000</v>
      </c>
      <c r="O430">
        <v>329560000000</v>
      </c>
      <c r="P430">
        <v>33882000000</v>
      </c>
      <c r="Q430">
        <v>32191000000</v>
      </c>
      <c r="R430">
        <v>24131000000</v>
      </c>
      <c r="T430">
        <v>73249000000</v>
      </c>
      <c r="U430">
        <v>93022000000</v>
      </c>
      <c r="V430">
        <f t="shared" si="24"/>
        <v>313632000000</v>
      </c>
      <c r="W430">
        <f t="shared" si="25"/>
        <v>852046000000</v>
      </c>
    </row>
    <row r="431" spans="1:23" x14ac:dyDescent="0.2">
      <c r="A431">
        <f>IF(D431="USD",VLOOKUP(VALUE(RIGHT(E431,4)),'USD RUB'!$E:$F,2,FALSE),1)</f>
        <v>1</v>
      </c>
      <c r="B431" s="4">
        <v>1</v>
      </c>
      <c r="C431">
        <v>1000000</v>
      </c>
      <c r="D431" t="s">
        <v>20</v>
      </c>
      <c r="E431" s="1" t="s">
        <v>447</v>
      </c>
      <c r="F431">
        <v>41475000000</v>
      </c>
      <c r="G431">
        <v>160580000000</v>
      </c>
      <c r="H431">
        <v>674023000000</v>
      </c>
      <c r="J431">
        <v>877920000000</v>
      </c>
      <c r="K431">
        <v>92917000000</v>
      </c>
      <c r="L431">
        <v>186340000000</v>
      </c>
      <c r="M431">
        <v>183599000000</v>
      </c>
      <c r="N431">
        <v>598663000000</v>
      </c>
      <c r="O431">
        <v>233308000000</v>
      </c>
      <c r="P431">
        <v>31151000000</v>
      </c>
      <c r="Q431">
        <v>30810000000</v>
      </c>
      <c r="R431">
        <v>22398000000</v>
      </c>
      <c r="T431">
        <v>51507000000</v>
      </c>
      <c r="U431">
        <v>58690000000</v>
      </c>
      <c r="V431">
        <f t="shared" si="24"/>
        <v>222646000000</v>
      </c>
      <c r="W431">
        <f t="shared" si="25"/>
        <v>904046000000</v>
      </c>
    </row>
    <row r="432" spans="1:23" x14ac:dyDescent="0.2">
      <c r="A432">
        <f>IF(D432="USD",VLOOKUP(VALUE(RIGHT(E432,4)),'USD RUB'!$E:$F,2,FALSE),1)</f>
        <v>1</v>
      </c>
      <c r="B432" s="4">
        <v>1</v>
      </c>
      <c r="C432">
        <v>1000000</v>
      </c>
      <c r="D432" t="s">
        <v>20</v>
      </c>
      <c r="E432" s="1" t="s">
        <v>448</v>
      </c>
      <c r="F432">
        <v>42538000000</v>
      </c>
      <c r="G432">
        <v>184054000000</v>
      </c>
      <c r="H432">
        <v>654856000000</v>
      </c>
      <c r="J432">
        <v>883414000000</v>
      </c>
      <c r="K432">
        <v>90116000000</v>
      </c>
      <c r="L432">
        <v>180177000000</v>
      </c>
      <c r="M432">
        <v>180802000000</v>
      </c>
      <c r="N432">
        <v>613121000000</v>
      </c>
      <c r="O432">
        <v>165309000000</v>
      </c>
      <c r="P432">
        <v>27356000000</v>
      </c>
      <c r="Q432">
        <v>27349000000</v>
      </c>
      <c r="R432">
        <v>21336000000</v>
      </c>
      <c r="U432">
        <v>33610000000</v>
      </c>
      <c r="V432">
        <f t="shared" si="24"/>
        <v>156448000000</v>
      </c>
      <c r="W432">
        <f t="shared" si="25"/>
        <v>894657000000</v>
      </c>
    </row>
    <row r="433" spans="1:23" x14ac:dyDescent="0.2">
      <c r="A433">
        <f>IF(D433="USD",VLOOKUP(VALUE(RIGHT(E433,4)),'USD RUB'!$E:$F,2,FALSE),1)</f>
        <v>1</v>
      </c>
      <c r="B433" s="4">
        <v>1</v>
      </c>
      <c r="C433">
        <v>1000000</v>
      </c>
      <c r="D433" t="s">
        <v>20</v>
      </c>
      <c r="E433" s="1" t="s">
        <v>449</v>
      </c>
      <c r="F433">
        <v>46907000000</v>
      </c>
      <c r="G433">
        <v>168209000000</v>
      </c>
      <c r="H433">
        <v>640771000000</v>
      </c>
      <c r="J433">
        <v>868231000000</v>
      </c>
      <c r="K433">
        <v>79326000000</v>
      </c>
      <c r="L433">
        <v>178029000000</v>
      </c>
      <c r="M433">
        <v>176922000000</v>
      </c>
      <c r="N433">
        <v>610876000000</v>
      </c>
      <c r="O433">
        <v>91616000000</v>
      </c>
      <c r="P433">
        <v>18601000000</v>
      </c>
      <c r="Q433">
        <v>18367000000</v>
      </c>
      <c r="R433">
        <v>14294000000</v>
      </c>
      <c r="U433">
        <v>10751000000</v>
      </c>
      <c r="V433">
        <f t="shared" si="24"/>
        <v>85582000000</v>
      </c>
      <c r="W433">
        <f t="shared" si="25"/>
        <v>892686000000</v>
      </c>
    </row>
    <row r="434" spans="1:23" x14ac:dyDescent="0.2">
      <c r="A434">
        <f>IF(D434="USD",VLOOKUP(VALUE(RIGHT(E434,4)),'USD RUB'!$E:$F,2,FALSE),1)</f>
        <v>1</v>
      </c>
      <c r="B434" s="4">
        <v>1</v>
      </c>
      <c r="C434">
        <v>1000000</v>
      </c>
      <c r="D434" t="s">
        <v>20</v>
      </c>
      <c r="E434" s="1" t="s">
        <v>450</v>
      </c>
      <c r="F434">
        <v>34472000000</v>
      </c>
      <c r="G434">
        <v>157129000000</v>
      </c>
      <c r="H434">
        <v>633846000000</v>
      </c>
      <c r="J434">
        <v>852046000000</v>
      </c>
      <c r="K434">
        <v>80419000000</v>
      </c>
      <c r="L434">
        <v>174920000000</v>
      </c>
      <c r="N434">
        <v>596707000000</v>
      </c>
      <c r="O434">
        <v>313632000000</v>
      </c>
      <c r="P434">
        <v>22844000000</v>
      </c>
      <c r="Q434">
        <v>25185000000</v>
      </c>
      <c r="R434">
        <v>20993000000</v>
      </c>
      <c r="T434">
        <v>79171000000</v>
      </c>
      <c r="V434">
        <f t="shared" si="24"/>
        <v>260892000000</v>
      </c>
      <c r="W434">
        <f t="shared" si="25"/>
        <v>854747000000</v>
      </c>
    </row>
    <row r="435" spans="1:23" x14ac:dyDescent="0.2">
      <c r="A435">
        <f>IF(D435="USD",VLOOKUP(VALUE(RIGHT(E435,4)),'USD RUB'!$E:$F,2,FALSE),1)</f>
        <v>1</v>
      </c>
      <c r="B435" s="4">
        <v>1</v>
      </c>
      <c r="C435">
        <v>1000000</v>
      </c>
      <c r="D435" t="s">
        <v>20</v>
      </c>
      <c r="E435" s="1" t="s">
        <v>451</v>
      </c>
      <c r="F435">
        <v>39353000000</v>
      </c>
      <c r="G435">
        <v>218424000000</v>
      </c>
      <c r="H435">
        <v>633973000000</v>
      </c>
      <c r="J435">
        <v>904046000000</v>
      </c>
      <c r="K435">
        <v>212051000000</v>
      </c>
      <c r="L435">
        <v>150652000000</v>
      </c>
      <c r="N435">
        <v>541343000000</v>
      </c>
      <c r="O435">
        <v>222646000000</v>
      </c>
      <c r="Q435">
        <v>24725000000</v>
      </c>
      <c r="R435">
        <v>15914000000</v>
      </c>
      <c r="T435">
        <v>52100000000</v>
      </c>
      <c r="V435">
        <f t="shared" si="24"/>
        <v>215061000000</v>
      </c>
      <c r="W435">
        <f t="shared" si="25"/>
        <v>841997000000</v>
      </c>
    </row>
    <row r="436" spans="1:23" x14ac:dyDescent="0.2">
      <c r="A436">
        <f>IF(D436="USD",VLOOKUP(VALUE(RIGHT(E436,4)),'USD RUB'!$E:$F,2,FALSE),1)</f>
        <v>1</v>
      </c>
      <c r="B436" s="4">
        <v>1</v>
      </c>
      <c r="C436">
        <v>1000000</v>
      </c>
      <c r="D436" t="s">
        <v>20</v>
      </c>
      <c r="E436" s="1" t="s">
        <v>452</v>
      </c>
      <c r="F436">
        <v>51116000000</v>
      </c>
      <c r="G436">
        <v>219754000000</v>
      </c>
      <c r="H436">
        <v>621100000000</v>
      </c>
      <c r="J436">
        <v>894657000000</v>
      </c>
      <c r="K436">
        <v>211705000000</v>
      </c>
      <c r="L436">
        <v>145533000000</v>
      </c>
      <c r="N436">
        <v>537419000000</v>
      </c>
      <c r="O436">
        <v>156448000000</v>
      </c>
      <c r="P436">
        <v>20525000000</v>
      </c>
      <c r="Q436">
        <v>17344000000</v>
      </c>
      <c r="R436">
        <v>10829000000</v>
      </c>
      <c r="V436">
        <f t="shared" si="24"/>
        <v>145802000000</v>
      </c>
      <c r="W436">
        <f t="shared" si="25"/>
        <v>839847000000</v>
      </c>
    </row>
    <row r="437" spans="1:23" x14ac:dyDescent="0.2">
      <c r="A437">
        <f>IF(D437="USD",VLOOKUP(VALUE(RIGHT(E437,4)),'USD RUB'!$E:$F,2,FALSE),1)</f>
        <v>1</v>
      </c>
      <c r="B437" s="4">
        <v>1</v>
      </c>
      <c r="C437">
        <v>1000000</v>
      </c>
      <c r="D437" t="s">
        <v>20</v>
      </c>
      <c r="E437" s="1" t="s">
        <v>453</v>
      </c>
      <c r="F437">
        <v>43981000000</v>
      </c>
      <c r="G437">
        <v>190521000000</v>
      </c>
      <c r="H437">
        <v>610278000000</v>
      </c>
      <c r="J437">
        <v>892686000000</v>
      </c>
      <c r="K437">
        <v>190780000000</v>
      </c>
      <c r="L437">
        <v>145072000000</v>
      </c>
      <c r="N437">
        <v>540174000000</v>
      </c>
      <c r="O437">
        <v>85582000000</v>
      </c>
      <c r="P437">
        <v>14547000000</v>
      </c>
      <c r="Q437">
        <v>14692000000</v>
      </c>
      <c r="R437">
        <v>10698000000</v>
      </c>
      <c r="T437">
        <v>23122000000</v>
      </c>
      <c r="V437">
        <f t="shared" si="24"/>
        <v>82609000000</v>
      </c>
      <c r="W437">
        <f t="shared" si="25"/>
        <v>841603000000</v>
      </c>
    </row>
    <row r="438" spans="1:23" x14ac:dyDescent="0.2">
      <c r="A438">
        <f>IF(D438="USD",VLOOKUP(VALUE(RIGHT(E438,4)),'USD RUB'!$E:$F,2,FALSE),1)</f>
        <v>1</v>
      </c>
      <c r="B438" s="4">
        <v>1</v>
      </c>
      <c r="C438">
        <v>1000000</v>
      </c>
      <c r="D438" t="s">
        <v>20</v>
      </c>
      <c r="E438" s="1" t="s">
        <v>454</v>
      </c>
      <c r="F438">
        <v>39819000000</v>
      </c>
      <c r="G438">
        <v>162696000000</v>
      </c>
      <c r="H438">
        <v>604461000000</v>
      </c>
      <c r="J438">
        <v>854747000000</v>
      </c>
      <c r="K438">
        <v>178972000000</v>
      </c>
      <c r="L438">
        <v>120986000000</v>
      </c>
      <c r="N438">
        <v>538395000000</v>
      </c>
      <c r="O438">
        <v>260892000000</v>
      </c>
      <c r="Q438">
        <v>-18058000000</v>
      </c>
      <c r="R438">
        <v>-25539000000</v>
      </c>
      <c r="V438">
        <f t="shared" si="24"/>
        <v>362599000000</v>
      </c>
      <c r="W438">
        <f t="shared" si="25"/>
        <v>811783000000</v>
      </c>
    </row>
    <row r="439" spans="1:23" x14ac:dyDescent="0.2">
      <c r="A439">
        <f>IF(D439="USD",VLOOKUP(VALUE(RIGHT(E439,4)),'USD RUB'!$E:$F,2,FALSE),1)</f>
        <v>1</v>
      </c>
      <c r="B439" s="4">
        <v>1</v>
      </c>
      <c r="C439">
        <v>1000000</v>
      </c>
      <c r="D439" t="s">
        <v>20</v>
      </c>
      <c r="E439" s="1" t="s">
        <v>455</v>
      </c>
      <c r="F439">
        <v>39539000000</v>
      </c>
      <c r="G439">
        <v>116686000000</v>
      </c>
      <c r="H439">
        <v>611456000000</v>
      </c>
      <c r="J439">
        <v>841997000000</v>
      </c>
      <c r="K439">
        <v>146138000000</v>
      </c>
      <c r="L439">
        <v>153489000000</v>
      </c>
      <c r="N439">
        <v>526552000000</v>
      </c>
      <c r="O439">
        <v>215061000000</v>
      </c>
      <c r="Q439">
        <v>6383000000</v>
      </c>
      <c r="R439">
        <v>-2530000000</v>
      </c>
      <c r="V439">
        <f t="shared" si="24"/>
        <v>196767000000</v>
      </c>
      <c r="W439">
        <f t="shared" si="25"/>
        <v>661882000000</v>
      </c>
    </row>
    <row r="440" spans="1:23" x14ac:dyDescent="0.2">
      <c r="A440">
        <f>IF(D440="USD",VLOOKUP(VALUE(RIGHT(E440,4)),'USD RUB'!$E:$F,2,FALSE),1)</f>
        <v>1</v>
      </c>
      <c r="B440" s="4">
        <v>1</v>
      </c>
      <c r="C440">
        <v>1000000</v>
      </c>
      <c r="D440" t="s">
        <v>20</v>
      </c>
      <c r="E440" s="1" t="s">
        <v>456</v>
      </c>
      <c r="F440">
        <v>59719000000</v>
      </c>
      <c r="G440">
        <v>132256000000</v>
      </c>
      <c r="H440">
        <v>594571000000</v>
      </c>
      <c r="J440">
        <v>839847000000</v>
      </c>
      <c r="K440">
        <v>133892000000</v>
      </c>
      <c r="L440">
        <v>163691000000</v>
      </c>
      <c r="N440">
        <v>528088000000</v>
      </c>
      <c r="O440">
        <v>145802000000</v>
      </c>
      <c r="P440">
        <v>13784000000</v>
      </c>
      <c r="Q440">
        <v>6584000000</v>
      </c>
      <c r="R440">
        <v>-468000000</v>
      </c>
      <c r="V440">
        <f t="shared" si="24"/>
        <v>164343000000</v>
      </c>
      <c r="W440">
        <f t="shared" si="25"/>
        <v>647494000000</v>
      </c>
    </row>
    <row r="441" spans="1:23" x14ac:dyDescent="0.2">
      <c r="A441">
        <f>IF(D441="USD",VLOOKUP(VALUE(RIGHT(E441,4)),'USD RUB'!$E:$F,2,FALSE),1)</f>
        <v>1</v>
      </c>
      <c r="B441" s="4">
        <v>1</v>
      </c>
      <c r="C441">
        <v>1000000</v>
      </c>
      <c r="D441" t="s">
        <v>20</v>
      </c>
      <c r="E441" s="1" t="s">
        <v>457</v>
      </c>
      <c r="F441">
        <v>50389000000</v>
      </c>
      <c r="G441">
        <v>146162000000</v>
      </c>
      <c r="H441">
        <v>578299000000</v>
      </c>
      <c r="J441">
        <v>841603000000</v>
      </c>
      <c r="K441">
        <v>117770000000</v>
      </c>
      <c r="L441">
        <v>174596000000</v>
      </c>
      <c r="N441">
        <v>536674000000</v>
      </c>
      <c r="O441">
        <v>82609000000</v>
      </c>
      <c r="P441">
        <v>13905000000</v>
      </c>
      <c r="Q441">
        <v>13620000000</v>
      </c>
      <c r="R441">
        <v>10652000000</v>
      </c>
      <c r="V441" t="str">
        <f t="shared" si="24"/>
        <v/>
      </c>
      <c r="W441" t="str">
        <f t="shared" si="25"/>
        <v/>
      </c>
    </row>
    <row r="442" spans="1:23" x14ac:dyDescent="0.2">
      <c r="A442">
        <f>IF(D442="USD",VLOOKUP(VALUE(RIGHT(E442,4)),'USD RUB'!$E:$F,2,FALSE),1)</f>
        <v>1</v>
      </c>
      <c r="B442" s="4">
        <v>1</v>
      </c>
      <c r="C442">
        <v>1000000</v>
      </c>
      <c r="D442" t="s">
        <v>20</v>
      </c>
      <c r="E442" s="1" t="s">
        <v>458</v>
      </c>
      <c r="F442">
        <v>47337000000</v>
      </c>
      <c r="G442">
        <v>125124000000</v>
      </c>
      <c r="H442">
        <v>568629000000</v>
      </c>
      <c r="J442">
        <v>811783000000</v>
      </c>
      <c r="K442">
        <v>113066000000</v>
      </c>
      <c r="L442">
        <v>159965000000</v>
      </c>
      <c r="N442">
        <v>525659000000</v>
      </c>
      <c r="O442">
        <v>362599000000</v>
      </c>
      <c r="P442">
        <v>51116000000</v>
      </c>
      <c r="Q442">
        <v>43712000000</v>
      </c>
      <c r="R442">
        <v>29493000000</v>
      </c>
      <c r="V442" t="str">
        <f t="shared" si="24"/>
        <v/>
      </c>
      <c r="W442" t="str">
        <f t="shared" si="25"/>
        <v/>
      </c>
    </row>
    <row r="443" spans="1:23" x14ac:dyDescent="0.2">
      <c r="A443">
        <f>IF(D443="USD",VLOOKUP(VALUE(RIGHT(E443,4)),'USD RUB'!$E:$F,2,FALSE),1)</f>
        <v>1</v>
      </c>
      <c r="B443" s="4">
        <v>1</v>
      </c>
      <c r="C443">
        <v>1000000</v>
      </c>
      <c r="D443" t="s">
        <v>20</v>
      </c>
      <c r="E443" s="1" t="s">
        <v>459</v>
      </c>
      <c r="F443">
        <v>39235000000</v>
      </c>
      <c r="G443">
        <v>72579000000</v>
      </c>
      <c r="H443">
        <v>508070000000</v>
      </c>
      <c r="J443">
        <v>661882000000</v>
      </c>
      <c r="K443">
        <v>34331000000</v>
      </c>
      <c r="L443">
        <v>91284000000</v>
      </c>
      <c r="N443">
        <v>536267000000</v>
      </c>
      <c r="O443">
        <v>196767000000</v>
      </c>
      <c r="P443">
        <v>43052000000</v>
      </c>
      <c r="Q443">
        <v>43953000000</v>
      </c>
      <c r="R443">
        <v>33159000000</v>
      </c>
      <c r="V443" t="str">
        <f t="shared" si="24"/>
        <v/>
      </c>
      <c r="W443" t="str">
        <f t="shared" si="25"/>
        <v/>
      </c>
    </row>
    <row r="444" spans="1:23" x14ac:dyDescent="0.2">
      <c r="A444">
        <f>IF(D444="USD",VLOOKUP(VALUE(RIGHT(E444,4)),'USD RUB'!$E:$F,2,FALSE),1)</f>
        <v>1</v>
      </c>
      <c r="B444" s="4">
        <v>1</v>
      </c>
      <c r="C444">
        <v>1000000</v>
      </c>
      <c r="D444" t="s">
        <v>20</v>
      </c>
      <c r="E444" s="1" t="s">
        <v>460</v>
      </c>
      <c r="F444">
        <v>51687000000</v>
      </c>
      <c r="G444">
        <v>84092000000</v>
      </c>
      <c r="H444">
        <v>485159000000</v>
      </c>
      <c r="J444">
        <v>647494000000</v>
      </c>
      <c r="K444">
        <v>25172000000</v>
      </c>
      <c r="L444">
        <v>90811000000</v>
      </c>
      <c r="N444">
        <v>531511000000</v>
      </c>
      <c r="O444">
        <v>164343000000</v>
      </c>
      <c r="P444">
        <v>33852000000</v>
      </c>
      <c r="Q444">
        <v>35172000000</v>
      </c>
      <c r="R444">
        <v>27053000000</v>
      </c>
      <c r="V444" t="str">
        <f t="shared" si="24"/>
        <v/>
      </c>
      <c r="W444" t="str">
        <f t="shared" si="25"/>
        <v/>
      </c>
    </row>
    <row r="445" spans="1:23" x14ac:dyDescent="0.2">
      <c r="A445">
        <f>IF(D445="USD",VLOOKUP(VALUE(RIGHT(E445,4)),'USD RUB'!$E:$F,2,FALSE),1)</f>
        <v>1</v>
      </c>
      <c r="B445" s="4">
        <v>1</v>
      </c>
      <c r="C445">
        <v>1000000</v>
      </c>
      <c r="D445" t="s">
        <v>20</v>
      </c>
      <c r="E445" s="1" t="s">
        <v>461</v>
      </c>
      <c r="F445">
        <v>266511000000</v>
      </c>
      <c r="G445">
        <v>778698000000</v>
      </c>
      <c r="H445">
        <v>613471000000</v>
      </c>
      <c r="I445">
        <v>83404000000</v>
      </c>
      <c r="J445">
        <v>1577153000000</v>
      </c>
      <c r="K445">
        <v>331000000000</v>
      </c>
      <c r="L445">
        <v>107348000000</v>
      </c>
      <c r="M445">
        <v>853254000000</v>
      </c>
      <c r="N445">
        <v>1138805000000</v>
      </c>
      <c r="O445">
        <v>1760626000000</v>
      </c>
      <c r="P445">
        <v>106800000000</v>
      </c>
      <c r="Q445">
        <v>184785000000</v>
      </c>
      <c r="R445">
        <v>133834000000</v>
      </c>
      <c r="S445">
        <v>42272000000</v>
      </c>
      <c r="T445">
        <v>181544000000</v>
      </c>
      <c r="U445">
        <v>-189944000000</v>
      </c>
      <c r="V445">
        <f t="shared" si="24"/>
        <v>1548447000000</v>
      </c>
      <c r="W445">
        <f t="shared" si="25"/>
        <v>1460989000000</v>
      </c>
    </row>
    <row r="446" spans="1:23" x14ac:dyDescent="0.2">
      <c r="A446">
        <f>IF(D446="USD",VLOOKUP(VALUE(RIGHT(E446,4)),'USD RUB'!$E:$F,2,FALSE),1)</f>
        <v>1</v>
      </c>
      <c r="B446" s="4">
        <v>1</v>
      </c>
      <c r="C446">
        <v>1000000</v>
      </c>
      <c r="D446" t="s">
        <v>20</v>
      </c>
      <c r="E446" s="1" t="s">
        <v>462</v>
      </c>
      <c r="F446">
        <v>256181000000</v>
      </c>
      <c r="G446">
        <v>777632000000</v>
      </c>
      <c r="H446">
        <v>551065000000</v>
      </c>
      <c r="I446">
        <v>84529000000</v>
      </c>
      <c r="J446">
        <v>1509997000000</v>
      </c>
      <c r="K446">
        <v>288767000000</v>
      </c>
      <c r="L446">
        <v>100180000000</v>
      </c>
      <c r="M446">
        <v>832831000000</v>
      </c>
      <c r="N446">
        <v>1121050000000</v>
      </c>
      <c r="O446">
        <v>1242217000000</v>
      </c>
      <c r="P446">
        <v>91694000000</v>
      </c>
      <c r="Q446">
        <v>153970000000</v>
      </c>
      <c r="R446">
        <v>113784000000</v>
      </c>
      <c r="S446">
        <v>28844000000</v>
      </c>
      <c r="T446">
        <v>131186000000</v>
      </c>
      <c r="U446">
        <v>-101748000000</v>
      </c>
      <c r="V446">
        <f t="shared" si="24"/>
        <v>1090365000000</v>
      </c>
      <c r="W446">
        <f t="shared" si="25"/>
        <v>1371666000000</v>
      </c>
    </row>
    <row r="447" spans="1:23" x14ac:dyDescent="0.2">
      <c r="A447">
        <f>IF(D447="USD",VLOOKUP(VALUE(RIGHT(E447,4)),'USD RUB'!$E:$F,2,FALSE),1)</f>
        <v>1</v>
      </c>
      <c r="B447" s="4">
        <v>1</v>
      </c>
      <c r="C447">
        <v>1000000</v>
      </c>
      <c r="D447" t="s">
        <v>20</v>
      </c>
      <c r="E447" s="1" t="s">
        <v>463</v>
      </c>
      <c r="F447">
        <v>320483000000</v>
      </c>
      <c r="G447">
        <v>785720000000</v>
      </c>
      <c r="H447">
        <v>517316000000</v>
      </c>
      <c r="I447">
        <v>79601000000</v>
      </c>
      <c r="J447">
        <v>1475079000000</v>
      </c>
      <c r="K447">
        <v>281830000000</v>
      </c>
      <c r="L447">
        <v>105473000000</v>
      </c>
      <c r="M447">
        <v>802649000000</v>
      </c>
      <c r="N447">
        <v>1087776000000</v>
      </c>
      <c r="O447">
        <v>818085000000</v>
      </c>
      <c r="P447">
        <v>68009000000</v>
      </c>
      <c r="Q447">
        <v>111816000000</v>
      </c>
      <c r="R447">
        <v>82940000000</v>
      </c>
      <c r="S447">
        <v>19025000000</v>
      </c>
      <c r="T447">
        <v>93250000000</v>
      </c>
      <c r="U447">
        <v>-69158000000</v>
      </c>
      <c r="V447">
        <f t="shared" si="24"/>
        <v>727990000000</v>
      </c>
      <c r="W447">
        <f t="shared" si="25"/>
        <v>1303791000000</v>
      </c>
    </row>
    <row r="448" spans="1:23" x14ac:dyDescent="0.2">
      <c r="A448">
        <f>IF(D448="USD",VLOOKUP(VALUE(RIGHT(E448,4)),'USD RUB'!$E:$F,2,FALSE),1)</f>
        <v>1</v>
      </c>
      <c r="B448" s="4">
        <v>1</v>
      </c>
      <c r="C448">
        <v>1000000</v>
      </c>
      <c r="D448" t="s">
        <v>20</v>
      </c>
      <c r="E448" s="1" t="s">
        <v>464</v>
      </c>
      <c r="F448">
        <v>249863000000</v>
      </c>
      <c r="G448">
        <v>817669000000</v>
      </c>
      <c r="H448">
        <v>489191000000</v>
      </c>
      <c r="I448">
        <v>79910000000</v>
      </c>
      <c r="J448">
        <v>1470791000000</v>
      </c>
      <c r="K448">
        <v>285268000000</v>
      </c>
      <c r="L448">
        <v>106056000000</v>
      </c>
      <c r="M448">
        <v>792501000000</v>
      </c>
      <c r="N448">
        <v>1079467000000</v>
      </c>
      <c r="O448">
        <v>441258000000</v>
      </c>
      <c r="P448">
        <v>39865000000</v>
      </c>
      <c r="Q448">
        <v>62466000000</v>
      </c>
      <c r="R448">
        <v>47195000000</v>
      </c>
      <c r="S448">
        <v>9183000000</v>
      </c>
      <c r="T448">
        <v>54600000000</v>
      </c>
      <c r="U448">
        <v>-33523000000</v>
      </c>
      <c r="V448">
        <f t="shared" si="24"/>
        <v>391995000000</v>
      </c>
      <c r="W448">
        <f t="shared" si="25"/>
        <v>1312965000000</v>
      </c>
    </row>
    <row r="449" spans="1:23" x14ac:dyDescent="0.2">
      <c r="A449">
        <f>IF(D449="USD",VLOOKUP(VALUE(RIGHT(E449,4)),'USD RUB'!$E:$F,2,FALSE),1)</f>
        <v>1</v>
      </c>
      <c r="B449" s="4">
        <v>1</v>
      </c>
      <c r="C449">
        <v>1000000</v>
      </c>
      <c r="D449" t="s">
        <v>20</v>
      </c>
      <c r="E449" s="1" t="s">
        <v>465</v>
      </c>
      <c r="F449">
        <v>312088000000</v>
      </c>
      <c r="G449">
        <v>826740000000</v>
      </c>
      <c r="H449">
        <v>473470000000</v>
      </c>
      <c r="I449">
        <v>80297000000</v>
      </c>
      <c r="J449">
        <v>1460989000000</v>
      </c>
      <c r="K449">
        <v>311934000000</v>
      </c>
      <c r="L449">
        <v>109919000000</v>
      </c>
      <c r="M449">
        <v>745840000000</v>
      </c>
      <c r="N449">
        <v>1039136000000</v>
      </c>
      <c r="O449">
        <v>1548447000000</v>
      </c>
      <c r="P449">
        <v>108005000000</v>
      </c>
      <c r="Q449">
        <v>182272000000</v>
      </c>
      <c r="R449">
        <v>147462000000</v>
      </c>
      <c r="S449">
        <v>35862000000</v>
      </c>
      <c r="T449">
        <v>173303000000</v>
      </c>
      <c r="U449">
        <v>-115026000000</v>
      </c>
      <c r="V449">
        <f t="shared" si="24"/>
        <v>1359799000000</v>
      </c>
      <c r="W449">
        <f t="shared" si="25"/>
        <v>1299183000000</v>
      </c>
    </row>
    <row r="450" spans="1:23" x14ac:dyDescent="0.2">
      <c r="A450">
        <f>IF(D450="USD",VLOOKUP(VALUE(RIGHT(E450,4)),'USD RUB'!$E:$F,2,FALSE),1)</f>
        <v>1</v>
      </c>
      <c r="B450" s="4">
        <v>1</v>
      </c>
      <c r="C450">
        <v>1000000</v>
      </c>
      <c r="D450" t="s">
        <v>20</v>
      </c>
      <c r="E450" s="1" t="s">
        <v>466</v>
      </c>
      <c r="F450">
        <v>177893000000</v>
      </c>
      <c r="G450">
        <v>776105000000</v>
      </c>
      <c r="H450">
        <v>445445000000</v>
      </c>
      <c r="I450">
        <v>77194000000</v>
      </c>
      <c r="J450">
        <v>1371666000000</v>
      </c>
      <c r="K450">
        <v>252898000000</v>
      </c>
      <c r="L450">
        <v>119519000000</v>
      </c>
      <c r="M450">
        <v>710631000000</v>
      </c>
      <c r="N450">
        <v>999249000000</v>
      </c>
      <c r="O450">
        <v>1090365000000</v>
      </c>
      <c r="P450">
        <v>83319000000</v>
      </c>
      <c r="Q450">
        <v>137543000000</v>
      </c>
      <c r="R450">
        <v>110857000000</v>
      </c>
      <c r="S450">
        <v>26505000000</v>
      </c>
      <c r="T450">
        <v>114735000000</v>
      </c>
      <c r="U450">
        <v>-68370000000</v>
      </c>
      <c r="V450">
        <f t="shared" si="24"/>
        <v>969188000000</v>
      </c>
      <c r="W450">
        <f t="shared" si="25"/>
        <v>0</v>
      </c>
    </row>
    <row r="451" spans="1:23" x14ac:dyDescent="0.2">
      <c r="A451">
        <f>IF(D451="USD",VLOOKUP(VALUE(RIGHT(E451,4)),'USD RUB'!$E:$F,2,FALSE),1)</f>
        <v>1</v>
      </c>
      <c r="B451" s="4">
        <v>1</v>
      </c>
      <c r="C451">
        <v>1000000</v>
      </c>
      <c r="D451" t="s">
        <v>20</v>
      </c>
      <c r="E451" s="1" t="s">
        <v>467</v>
      </c>
      <c r="F451">
        <v>219188000000</v>
      </c>
      <c r="G451">
        <v>711186000000</v>
      </c>
      <c r="H451">
        <v>410575000000</v>
      </c>
      <c r="I451">
        <v>73101000000</v>
      </c>
      <c r="J451">
        <v>1303791000000</v>
      </c>
      <c r="K451">
        <v>229479000000</v>
      </c>
      <c r="L451">
        <v>109388000000</v>
      </c>
      <c r="M451">
        <v>680114000000</v>
      </c>
      <c r="N451">
        <v>964924000000</v>
      </c>
      <c r="O451">
        <v>727990000000</v>
      </c>
      <c r="P451">
        <v>61723000000</v>
      </c>
      <c r="Q451">
        <v>98644000000</v>
      </c>
      <c r="R451">
        <v>79535000000</v>
      </c>
      <c r="S451">
        <v>16737000000</v>
      </c>
      <c r="T451">
        <v>79714000000</v>
      </c>
      <c r="U451">
        <v>-43053000000</v>
      </c>
      <c r="V451">
        <f t="shared" si="24"/>
        <v>657409000000</v>
      </c>
      <c r="W451">
        <f t="shared" si="25"/>
        <v>1148183000000</v>
      </c>
    </row>
    <row r="452" spans="1:23" x14ac:dyDescent="0.2">
      <c r="A452">
        <f>IF(D452="USD",VLOOKUP(VALUE(RIGHT(E452,4)),'USD RUB'!$E:$F,2,FALSE),1)</f>
        <v>1</v>
      </c>
      <c r="B452" s="4">
        <v>1</v>
      </c>
      <c r="C452">
        <v>1000000</v>
      </c>
      <c r="D452" t="s">
        <v>20</v>
      </c>
      <c r="E452" s="1" t="s">
        <v>468</v>
      </c>
      <c r="F452">
        <v>357257000000</v>
      </c>
      <c r="G452">
        <v>770348000000</v>
      </c>
      <c r="H452">
        <v>395132000000</v>
      </c>
      <c r="I452">
        <v>73640000000</v>
      </c>
      <c r="J452">
        <v>1312965000000</v>
      </c>
      <c r="K452">
        <v>228672000000</v>
      </c>
      <c r="L452">
        <v>111913000000</v>
      </c>
      <c r="M452">
        <v>675656000000</v>
      </c>
      <c r="N452">
        <v>972380000000</v>
      </c>
      <c r="O452">
        <v>391995000000</v>
      </c>
      <c r="P452">
        <v>40479000000</v>
      </c>
      <c r="Q452">
        <v>59673000000</v>
      </c>
      <c r="R452">
        <v>47946000000</v>
      </c>
      <c r="S452">
        <v>7968000000</v>
      </c>
      <c r="T452">
        <v>48984000000</v>
      </c>
      <c r="U452">
        <v>-19803000000</v>
      </c>
      <c r="V452" t="str">
        <f t="shared" si="24"/>
        <v/>
      </c>
      <c r="W452" t="str">
        <f t="shared" si="25"/>
        <v/>
      </c>
    </row>
    <row r="453" spans="1:23" x14ac:dyDescent="0.2">
      <c r="A453">
        <f>IF(D453="USD",VLOOKUP(VALUE(RIGHT(E453,4)),'USD RUB'!$E:$F,2,FALSE),1)</f>
        <v>1</v>
      </c>
      <c r="B453" s="4">
        <v>1</v>
      </c>
      <c r="C453">
        <v>1000000</v>
      </c>
      <c r="D453" t="s">
        <v>20</v>
      </c>
      <c r="E453" s="1" t="s">
        <v>469</v>
      </c>
      <c r="F453">
        <v>403005000000</v>
      </c>
      <c r="G453">
        <v>778716000000</v>
      </c>
      <c r="H453">
        <v>377205000000</v>
      </c>
      <c r="I453">
        <v>69404000000</v>
      </c>
      <c r="J453">
        <v>1299183000000</v>
      </c>
      <c r="K453">
        <v>256917000000</v>
      </c>
      <c r="L453">
        <v>112869000000</v>
      </c>
      <c r="M453">
        <v>629342000000</v>
      </c>
      <c r="N453">
        <v>929397000000</v>
      </c>
      <c r="O453">
        <v>1359799000000</v>
      </c>
      <c r="P453">
        <v>124884000000</v>
      </c>
      <c r="Q453">
        <v>168231000000</v>
      </c>
      <c r="R453">
        <v>135927000000</v>
      </c>
      <c r="S453">
        <v>30409000000</v>
      </c>
      <c r="T453">
        <v>182425000000</v>
      </c>
      <c r="U453">
        <v>-66857000000</v>
      </c>
      <c r="V453">
        <f t="shared" si="24"/>
        <v>1264996000000</v>
      </c>
      <c r="W453">
        <f t="shared" si="25"/>
        <v>1121971000000</v>
      </c>
    </row>
    <row r="454" spans="1:23" x14ac:dyDescent="0.2">
      <c r="A454">
        <f>IF(D454="USD",VLOOKUP(VALUE(RIGHT(E454,4)),'USD RUB'!$E:$F,2,FALSE),1)</f>
        <v>1</v>
      </c>
      <c r="B454" s="4">
        <v>1</v>
      </c>
      <c r="C454">
        <v>1000000</v>
      </c>
      <c r="D454" t="s">
        <v>20</v>
      </c>
      <c r="E454" s="1" t="s">
        <v>470</v>
      </c>
      <c r="O454">
        <v>969188000000</v>
      </c>
      <c r="P454">
        <v>95668000000</v>
      </c>
      <c r="Q454">
        <v>121349000000</v>
      </c>
      <c r="R454">
        <v>97237000000</v>
      </c>
      <c r="S454">
        <v>22558000000</v>
      </c>
      <c r="U454">
        <v>-35480000000</v>
      </c>
      <c r="V454" t="str">
        <f t="shared" si="24"/>
        <v/>
      </c>
      <c r="W454" t="str">
        <f t="shared" si="25"/>
        <v/>
      </c>
    </row>
    <row r="455" spans="1:23" x14ac:dyDescent="0.2">
      <c r="A455">
        <f>IF(D455="USD",VLOOKUP(VALUE(RIGHT(E455,4)),'USD RUB'!$E:$F,2,FALSE),1)</f>
        <v>1</v>
      </c>
      <c r="B455" s="4">
        <v>1</v>
      </c>
      <c r="C455">
        <v>1000000</v>
      </c>
      <c r="D455" t="s">
        <v>20</v>
      </c>
      <c r="E455" s="1" t="s">
        <v>471</v>
      </c>
      <c r="F455">
        <v>272915000000</v>
      </c>
      <c r="G455">
        <v>671985000000</v>
      </c>
      <c r="H455">
        <v>355634000000</v>
      </c>
      <c r="I455">
        <v>62176000000</v>
      </c>
      <c r="J455">
        <v>1148183000000</v>
      </c>
      <c r="K455">
        <v>196476000000</v>
      </c>
      <c r="L455">
        <v>91178000000</v>
      </c>
      <c r="M455">
        <v>562853000000</v>
      </c>
      <c r="N455">
        <v>860529000000</v>
      </c>
      <c r="O455">
        <v>657409000000</v>
      </c>
      <c r="P455">
        <v>65656000000</v>
      </c>
      <c r="Q455">
        <v>82767000000</v>
      </c>
      <c r="R455">
        <v>67812000000</v>
      </c>
      <c r="S455">
        <v>14564000000</v>
      </c>
      <c r="T455">
        <v>88366000000</v>
      </c>
      <c r="U455">
        <v>-21752000000</v>
      </c>
      <c r="V455" t="str">
        <f t="shared" si="24"/>
        <v/>
      </c>
      <c r="W455" t="str">
        <f t="shared" si="25"/>
        <v/>
      </c>
    </row>
    <row r="456" spans="1:23" x14ac:dyDescent="0.2">
      <c r="A456">
        <f>IF(D456="USD",VLOOKUP(VALUE(RIGHT(E456,4)),'USD RUB'!$E:$F,2,FALSE),1)</f>
        <v>1</v>
      </c>
      <c r="B456" s="4">
        <v>1</v>
      </c>
      <c r="C456">
        <v>1000000</v>
      </c>
      <c r="D456" t="s">
        <v>20</v>
      </c>
      <c r="E456" s="1" t="s">
        <v>472</v>
      </c>
      <c r="F456">
        <v>257569000000</v>
      </c>
      <c r="G456">
        <v>659681000000</v>
      </c>
      <c r="H456">
        <v>342539000000</v>
      </c>
      <c r="I456">
        <v>62075000000</v>
      </c>
      <c r="J456">
        <v>1121971000000</v>
      </c>
      <c r="K456">
        <v>219129000000</v>
      </c>
      <c r="L456">
        <v>98158000000</v>
      </c>
      <c r="M456">
        <v>518299000000</v>
      </c>
      <c r="N456">
        <v>804684000000</v>
      </c>
      <c r="O456">
        <v>1264996000000</v>
      </c>
      <c r="P456">
        <v>108419000000</v>
      </c>
      <c r="Q456">
        <v>145951000000</v>
      </c>
      <c r="R456">
        <v>117446000000</v>
      </c>
      <c r="S456">
        <v>26236000000</v>
      </c>
      <c r="T456">
        <v>183275000000</v>
      </c>
      <c r="U456">
        <v>-54920000000</v>
      </c>
      <c r="V456" t="str">
        <f t="shared" si="24"/>
        <v/>
      </c>
      <c r="W456" t="str">
        <f t="shared" si="25"/>
        <v/>
      </c>
    </row>
    <row r="457" spans="1:23" x14ac:dyDescent="0.2">
      <c r="A457">
        <f>IF(D457="USD",VLOOKUP(VALUE(RIGHT(E457,4)),'USD RUB'!$E:$F,2,FALSE),1)</f>
        <v>1</v>
      </c>
      <c r="B457" s="4">
        <v>1</v>
      </c>
      <c r="C457">
        <v>1000000</v>
      </c>
      <c r="D457" t="s">
        <v>20</v>
      </c>
      <c r="E457" s="1" t="s">
        <v>473</v>
      </c>
      <c r="F457">
        <v>127899000000</v>
      </c>
      <c r="G457">
        <v>472881000000</v>
      </c>
      <c r="H457">
        <v>360521000000</v>
      </c>
      <c r="I457">
        <v>64437000000</v>
      </c>
      <c r="J457">
        <v>945573000000</v>
      </c>
      <c r="K457">
        <v>156049000000</v>
      </c>
      <c r="L457">
        <v>110685000000</v>
      </c>
      <c r="M457">
        <v>402105000000</v>
      </c>
      <c r="N457">
        <v>678839000000</v>
      </c>
      <c r="O457">
        <v>851270000000</v>
      </c>
      <c r="P457">
        <v>94344000000</v>
      </c>
      <c r="Q457">
        <v>98044000000</v>
      </c>
      <c r="R457">
        <v>78765000000</v>
      </c>
      <c r="S457">
        <v>22233000000</v>
      </c>
      <c r="T457">
        <v>119413000000</v>
      </c>
      <c r="U457">
        <v>-18531000000</v>
      </c>
      <c r="V457">
        <f t="shared" si="24"/>
        <v>713048000000</v>
      </c>
      <c r="W457">
        <f t="shared" si="25"/>
        <v>809579000000</v>
      </c>
    </row>
    <row r="458" spans="1:23" x14ac:dyDescent="0.2">
      <c r="A458">
        <f>IF(D458="USD",VLOOKUP(VALUE(RIGHT(E458,4)),'USD RUB'!$E:$F,2,FALSE),1)</f>
        <v>1</v>
      </c>
      <c r="B458" s="4">
        <v>1</v>
      </c>
      <c r="C458">
        <v>1000000</v>
      </c>
      <c r="D458" t="s">
        <v>20</v>
      </c>
      <c r="E458" s="1" t="s">
        <v>474</v>
      </c>
      <c r="F458">
        <v>250366000000</v>
      </c>
      <c r="G458">
        <v>443459000000</v>
      </c>
      <c r="H458">
        <v>358135000000</v>
      </c>
      <c r="I458">
        <v>62387000000</v>
      </c>
      <c r="J458">
        <v>909611000000</v>
      </c>
      <c r="K458">
        <v>142037000000</v>
      </c>
      <c r="L458">
        <v>112434000000</v>
      </c>
      <c r="M458">
        <v>377175000000</v>
      </c>
      <c r="N458">
        <v>655140000000</v>
      </c>
      <c r="O458">
        <v>566188000000</v>
      </c>
      <c r="P458">
        <v>63855000000</v>
      </c>
      <c r="Q458">
        <v>65983000000</v>
      </c>
      <c r="R458">
        <v>53285000000</v>
      </c>
      <c r="S458">
        <v>14622000000</v>
      </c>
      <c r="T458">
        <v>80920000000</v>
      </c>
      <c r="U458">
        <v>-12734000000</v>
      </c>
      <c r="V458">
        <f t="shared" si="24"/>
        <v>476657000000</v>
      </c>
      <c r="W458">
        <f t="shared" si="25"/>
        <v>758930000000</v>
      </c>
    </row>
    <row r="459" spans="1:23" x14ac:dyDescent="0.2">
      <c r="A459">
        <f>IF(D459="USD",VLOOKUP(VALUE(RIGHT(E459,4)),'USD RUB'!$E:$F,2,FALSE),1)</f>
        <v>1</v>
      </c>
      <c r="B459" s="4">
        <v>1</v>
      </c>
      <c r="C459">
        <v>1000000</v>
      </c>
      <c r="D459" t="s">
        <v>20</v>
      </c>
      <c r="E459" s="1" t="s">
        <v>475</v>
      </c>
      <c r="F459">
        <v>232381000000</v>
      </c>
      <c r="G459">
        <v>470273000000</v>
      </c>
      <c r="H459">
        <v>357224000000</v>
      </c>
      <c r="I459">
        <v>17836000000</v>
      </c>
      <c r="J459">
        <v>884040000000</v>
      </c>
      <c r="K459">
        <v>124473000000</v>
      </c>
      <c r="L459">
        <v>108675000000</v>
      </c>
      <c r="M459">
        <v>372741000000</v>
      </c>
      <c r="N459">
        <v>650892000000</v>
      </c>
      <c r="O459">
        <v>310476000000</v>
      </c>
      <c r="P459">
        <v>41726000000</v>
      </c>
      <c r="Q459">
        <v>43459000000</v>
      </c>
      <c r="R459">
        <v>34513000000</v>
      </c>
      <c r="S459">
        <v>7318000000</v>
      </c>
      <c r="T459">
        <v>49991000000</v>
      </c>
      <c r="U459">
        <v>-4382000000</v>
      </c>
      <c r="V459">
        <f t="shared" si="24"/>
        <v>266906000000</v>
      </c>
      <c r="W459">
        <f t="shared" si="25"/>
        <v>790728000000</v>
      </c>
    </row>
    <row r="460" spans="1:23" x14ac:dyDescent="0.2">
      <c r="A460">
        <f>IF(D460="USD",VLOOKUP(VALUE(RIGHT(E460,4)),'USD RUB'!$E:$F,2,FALSE),1)</f>
        <v>1</v>
      </c>
      <c r="B460" s="4">
        <v>1</v>
      </c>
      <c r="C460">
        <v>1000000</v>
      </c>
      <c r="D460" t="s">
        <v>20</v>
      </c>
      <c r="E460" s="1" t="s">
        <v>476</v>
      </c>
      <c r="F460">
        <v>181116000000</v>
      </c>
      <c r="G460">
        <v>451229000000</v>
      </c>
      <c r="H460">
        <v>358218000000</v>
      </c>
      <c r="I460">
        <v>17687000000</v>
      </c>
      <c r="J460">
        <v>865243000000</v>
      </c>
      <c r="K460">
        <v>140516000000</v>
      </c>
      <c r="L460">
        <v>108630000000</v>
      </c>
      <c r="M460">
        <v>338548000000</v>
      </c>
      <c r="N460">
        <v>616097000000</v>
      </c>
      <c r="O460">
        <v>986292000000</v>
      </c>
      <c r="P460">
        <v>80540000000</v>
      </c>
      <c r="Q460">
        <v>96201000000</v>
      </c>
      <c r="R460">
        <v>75465000000</v>
      </c>
      <c r="S460">
        <v>28969000000</v>
      </c>
      <c r="T460">
        <v>122273000000</v>
      </c>
      <c r="U460">
        <v>-28546000000</v>
      </c>
      <c r="V460">
        <f t="shared" si="24"/>
        <v>1032120000000</v>
      </c>
      <c r="W460">
        <f t="shared" si="25"/>
        <v>751009000000</v>
      </c>
    </row>
    <row r="461" spans="1:23" x14ac:dyDescent="0.2">
      <c r="A461">
        <f>IF(D461="USD",VLOOKUP(VALUE(RIGHT(E461,4)),'USD RUB'!$E:$F,2,FALSE),1)</f>
        <v>1</v>
      </c>
      <c r="B461" s="4">
        <v>1</v>
      </c>
      <c r="C461">
        <v>1000000</v>
      </c>
      <c r="D461" t="s">
        <v>20</v>
      </c>
      <c r="E461" s="1" t="s">
        <v>477</v>
      </c>
      <c r="F461">
        <v>69890000000</v>
      </c>
      <c r="G461">
        <v>401552000000</v>
      </c>
      <c r="H461">
        <v>353779000000</v>
      </c>
      <c r="I461">
        <v>17466000000</v>
      </c>
      <c r="J461">
        <v>809579000000</v>
      </c>
      <c r="K461">
        <v>103866000000</v>
      </c>
      <c r="L461">
        <v>106352000000</v>
      </c>
      <c r="M461">
        <v>320459000000</v>
      </c>
      <c r="N461">
        <v>599361000000</v>
      </c>
      <c r="O461">
        <v>713048000000</v>
      </c>
      <c r="P461">
        <v>58103000000</v>
      </c>
      <c r="Q461">
        <v>73226000000</v>
      </c>
      <c r="R461">
        <v>57356000000</v>
      </c>
      <c r="S461">
        <v>21203000000</v>
      </c>
      <c r="T461">
        <v>86556000000</v>
      </c>
      <c r="U461">
        <v>-18936000000</v>
      </c>
      <c r="V461">
        <f t="shared" si="24"/>
        <v>753809000000</v>
      </c>
      <c r="W461">
        <f t="shared" si="25"/>
        <v>740701000000</v>
      </c>
    </row>
    <row r="462" spans="1:23" x14ac:dyDescent="0.2">
      <c r="A462">
        <f>IF(D462="USD",VLOOKUP(VALUE(RIGHT(E462,4)),'USD RUB'!$E:$F,2,FALSE),1)</f>
        <v>1</v>
      </c>
      <c r="B462" s="4">
        <v>1</v>
      </c>
      <c r="C462">
        <v>1000000</v>
      </c>
      <c r="D462" t="s">
        <v>20</v>
      </c>
      <c r="E462" s="1" t="s">
        <v>478</v>
      </c>
      <c r="F462">
        <v>81838000000</v>
      </c>
      <c r="G462">
        <v>390507000000</v>
      </c>
      <c r="H462">
        <v>324519000000</v>
      </c>
      <c r="I462">
        <v>10439000000</v>
      </c>
      <c r="J462">
        <v>758930000000</v>
      </c>
      <c r="K462">
        <v>102609000000</v>
      </c>
      <c r="L462">
        <v>75013000000</v>
      </c>
      <c r="M462">
        <v>305348000000</v>
      </c>
      <c r="N462">
        <v>581308000000</v>
      </c>
      <c r="O462">
        <v>476657000000</v>
      </c>
      <c r="P462">
        <v>42209000000</v>
      </c>
      <c r="Q462">
        <v>53973000000</v>
      </c>
      <c r="R462">
        <v>42029000000</v>
      </c>
      <c r="S462">
        <v>13902000000</v>
      </c>
      <c r="T462">
        <v>61427000000</v>
      </c>
      <c r="U462">
        <v>-7432000000</v>
      </c>
      <c r="V462">
        <f t="shared" si="24"/>
        <v>520523000000</v>
      </c>
      <c r="W462">
        <f t="shared" si="25"/>
        <v>738476000000</v>
      </c>
    </row>
    <row r="463" spans="1:23" x14ac:dyDescent="0.2">
      <c r="A463">
        <f>IF(D463="USD",VLOOKUP(VALUE(RIGHT(E463,4)),'USD RUB'!$E:$F,2,FALSE),1)</f>
        <v>1</v>
      </c>
      <c r="B463" s="4">
        <v>1</v>
      </c>
      <c r="C463">
        <v>1000000</v>
      </c>
      <c r="D463" t="s">
        <v>20</v>
      </c>
      <c r="E463" s="1" t="s">
        <v>479</v>
      </c>
      <c r="F463">
        <v>132829000000</v>
      </c>
      <c r="G463">
        <v>420063000000</v>
      </c>
      <c r="H463">
        <v>328287000000</v>
      </c>
      <c r="I463">
        <v>10123000000</v>
      </c>
      <c r="J463">
        <v>790728000000</v>
      </c>
      <c r="K463">
        <v>126811000000</v>
      </c>
      <c r="L463">
        <v>73270000000</v>
      </c>
      <c r="M463">
        <v>313336000000</v>
      </c>
      <c r="N463">
        <v>590647000000</v>
      </c>
      <c r="O463">
        <v>266906000000</v>
      </c>
      <c r="P463">
        <v>32573000000</v>
      </c>
      <c r="Q463">
        <v>44400000000</v>
      </c>
      <c r="R463">
        <v>34619000000</v>
      </c>
      <c r="S463">
        <v>6894000000</v>
      </c>
      <c r="T463">
        <v>41377000000</v>
      </c>
      <c r="U463">
        <v>-3035000000</v>
      </c>
      <c r="V463">
        <f t="shared" si="24"/>
        <v>281446000000</v>
      </c>
      <c r="W463">
        <f t="shared" si="25"/>
        <v>754355000000</v>
      </c>
    </row>
    <row r="464" spans="1:23" x14ac:dyDescent="0.2">
      <c r="A464">
        <f>IF(D464="USD",VLOOKUP(VALUE(RIGHT(E464,4)),'USD RUB'!$E:$F,2,FALSE),1)</f>
        <v>1</v>
      </c>
      <c r="B464" s="4">
        <v>1</v>
      </c>
      <c r="C464">
        <v>1000000</v>
      </c>
      <c r="D464" t="s">
        <v>20</v>
      </c>
      <c r="E464" s="1" t="s">
        <v>480</v>
      </c>
      <c r="F464">
        <v>95924000000</v>
      </c>
      <c r="G464">
        <v>382237000000</v>
      </c>
      <c r="H464">
        <v>327980000000</v>
      </c>
      <c r="I464">
        <v>9804000000</v>
      </c>
      <c r="J464">
        <v>751009000000</v>
      </c>
      <c r="K464">
        <v>127687000000</v>
      </c>
      <c r="L464">
        <v>70543000000</v>
      </c>
      <c r="M464">
        <v>278731000000</v>
      </c>
      <c r="N464">
        <v>552779000000</v>
      </c>
      <c r="O464">
        <v>1032120000000</v>
      </c>
      <c r="P464">
        <v>98307000000</v>
      </c>
      <c r="Q464">
        <v>103781000000</v>
      </c>
      <c r="R464">
        <v>81930000000</v>
      </c>
      <c r="S464">
        <v>28002000000</v>
      </c>
      <c r="T464">
        <v>141547000000</v>
      </c>
      <c r="U464">
        <v>-24466000000</v>
      </c>
      <c r="V464">
        <f t="shared" si="24"/>
        <v>962582000000</v>
      </c>
      <c r="W464">
        <f t="shared" si="25"/>
        <v>728587000000</v>
      </c>
    </row>
    <row r="465" spans="1:23" x14ac:dyDescent="0.2">
      <c r="A465">
        <f>IF(D465="USD",VLOOKUP(VALUE(RIGHT(E465,4)),'USD RUB'!$E:$F,2,FALSE),1)</f>
        <v>1</v>
      </c>
      <c r="B465" s="4">
        <v>1</v>
      </c>
      <c r="C465">
        <v>1000000</v>
      </c>
      <c r="D465" t="s">
        <v>20</v>
      </c>
      <c r="E465" s="1" t="s">
        <v>481</v>
      </c>
      <c r="F465">
        <v>75345000000</v>
      </c>
      <c r="G465">
        <v>375359000000</v>
      </c>
      <c r="H465">
        <v>324877000000</v>
      </c>
      <c r="I465">
        <v>12057000000</v>
      </c>
      <c r="J465">
        <v>740701000000</v>
      </c>
      <c r="K465">
        <v>134917000000</v>
      </c>
      <c r="L465">
        <v>69961000000</v>
      </c>
      <c r="M465">
        <v>261053000000</v>
      </c>
      <c r="N465">
        <v>535823000000</v>
      </c>
      <c r="O465">
        <v>753809000000</v>
      </c>
      <c r="P465">
        <v>77115000000</v>
      </c>
      <c r="Q465">
        <v>81204000000</v>
      </c>
      <c r="R465">
        <v>64711000000</v>
      </c>
      <c r="S465">
        <v>21255000000</v>
      </c>
      <c r="T465">
        <v>105900000000</v>
      </c>
      <c r="U465">
        <v>-15173000000</v>
      </c>
      <c r="V465">
        <f t="shared" si="24"/>
        <v>688228000000</v>
      </c>
      <c r="W465">
        <f t="shared" si="25"/>
        <v>689113000000</v>
      </c>
    </row>
    <row r="466" spans="1:23" x14ac:dyDescent="0.2">
      <c r="A466">
        <f>IF(D466="USD",VLOOKUP(VALUE(RIGHT(E466,4)),'USD RUB'!$E:$F,2,FALSE),1)</f>
        <v>1</v>
      </c>
      <c r="B466" s="4">
        <v>1</v>
      </c>
      <c r="C466">
        <v>1000000</v>
      </c>
      <c r="D466" t="s">
        <v>20</v>
      </c>
      <c r="E466" s="1" t="s">
        <v>482</v>
      </c>
      <c r="F466">
        <v>113392000000</v>
      </c>
      <c r="G466">
        <v>370890000000</v>
      </c>
      <c r="H466">
        <v>327675000000</v>
      </c>
      <c r="I466">
        <v>12184000000</v>
      </c>
      <c r="J466">
        <v>738476000000</v>
      </c>
      <c r="K466">
        <v>148149000000</v>
      </c>
      <c r="L466">
        <v>73366000000</v>
      </c>
      <c r="M466">
        <v>242501000000</v>
      </c>
      <c r="N466">
        <v>516961000000</v>
      </c>
      <c r="O466">
        <v>520523000000</v>
      </c>
      <c r="P466">
        <v>57765000000</v>
      </c>
      <c r="Q466">
        <v>60082000000</v>
      </c>
      <c r="R466">
        <v>47944000000</v>
      </c>
      <c r="S466">
        <v>14456000000</v>
      </c>
      <c r="T466">
        <v>78119000000</v>
      </c>
      <c r="U466">
        <v>-10749000000</v>
      </c>
      <c r="V466">
        <f t="shared" si="24"/>
        <v>460746000000</v>
      </c>
      <c r="W466">
        <f t="shared" si="25"/>
        <v>674920000000</v>
      </c>
    </row>
    <row r="467" spans="1:23" x14ac:dyDescent="0.2">
      <c r="A467">
        <f>IF(D467="USD",VLOOKUP(VALUE(RIGHT(E467,4)),'USD RUB'!$E:$F,2,FALSE),1)</f>
        <v>1</v>
      </c>
      <c r="B467" s="4">
        <v>1</v>
      </c>
      <c r="C467">
        <v>1000000</v>
      </c>
      <c r="D467" t="s">
        <v>20</v>
      </c>
      <c r="E467" s="1" t="s">
        <v>483</v>
      </c>
      <c r="F467">
        <v>105627000000</v>
      </c>
      <c r="G467">
        <v>380842000000</v>
      </c>
      <c r="H467">
        <v>327442000000</v>
      </c>
      <c r="I467">
        <v>12871000000</v>
      </c>
      <c r="J467">
        <v>754355000000</v>
      </c>
      <c r="K467">
        <v>170082000000</v>
      </c>
      <c r="L467">
        <v>67587000000</v>
      </c>
      <c r="M467">
        <v>238771000000</v>
      </c>
      <c r="N467">
        <v>516686000000</v>
      </c>
      <c r="O467">
        <v>281446000000</v>
      </c>
      <c r="P467">
        <v>38380000000</v>
      </c>
      <c r="Q467">
        <v>38779000000</v>
      </c>
      <c r="R467">
        <v>31170000000</v>
      </c>
      <c r="S467">
        <v>7161000000</v>
      </c>
      <c r="T467">
        <v>47612000000</v>
      </c>
      <c r="U467">
        <v>-7868000000</v>
      </c>
      <c r="V467">
        <f t="shared" si="24"/>
        <v>247484000000</v>
      </c>
      <c r="W467">
        <f t="shared" si="25"/>
        <v>677377000000</v>
      </c>
    </row>
    <row r="468" spans="1:23" x14ac:dyDescent="0.2">
      <c r="A468">
        <f>IF(D468="USD",VLOOKUP(VALUE(RIGHT(E468,4)),'USD RUB'!$E:$F,2,FALSE),1)</f>
        <v>1</v>
      </c>
      <c r="B468" s="4">
        <v>1</v>
      </c>
      <c r="C468">
        <v>1000000</v>
      </c>
      <c r="D468" t="s">
        <v>20</v>
      </c>
      <c r="E468" s="1" t="s">
        <v>484</v>
      </c>
      <c r="F468">
        <v>153747000000</v>
      </c>
      <c r="G468">
        <v>359945000000</v>
      </c>
      <c r="H468">
        <v>322976000000</v>
      </c>
      <c r="I468">
        <v>13849000000</v>
      </c>
      <c r="J468">
        <v>728587000000</v>
      </c>
      <c r="K468">
        <v>178255000000</v>
      </c>
      <c r="L468">
        <v>64854000000</v>
      </c>
      <c r="M468">
        <v>207778000000</v>
      </c>
      <c r="N468">
        <v>485478000000</v>
      </c>
      <c r="O468">
        <v>962582000000</v>
      </c>
      <c r="P468">
        <v>87289000000</v>
      </c>
      <c r="Q468">
        <v>92178000000</v>
      </c>
      <c r="R468">
        <v>71675000000</v>
      </c>
      <c r="S468">
        <v>26601000000</v>
      </c>
      <c r="T468">
        <v>121300000000</v>
      </c>
      <c r="U468">
        <v>-25770000000</v>
      </c>
      <c r="V468">
        <f t="shared" si="24"/>
        <v>917049000000</v>
      </c>
      <c r="W468">
        <f t="shared" si="25"/>
        <v>625056000000</v>
      </c>
    </row>
    <row r="469" spans="1:23" x14ac:dyDescent="0.2">
      <c r="A469">
        <f>IF(D469="USD",VLOOKUP(VALUE(RIGHT(E469,4)),'USD RUB'!$E:$F,2,FALSE),1)</f>
        <v>1</v>
      </c>
      <c r="B469" s="4">
        <v>1</v>
      </c>
      <c r="C469">
        <v>1000000</v>
      </c>
      <c r="D469" t="s">
        <v>20</v>
      </c>
      <c r="E469" s="1" t="s">
        <v>485</v>
      </c>
      <c r="F469">
        <v>127921000000</v>
      </c>
      <c r="G469">
        <v>330458000000</v>
      </c>
      <c r="H469">
        <v>307767000000</v>
      </c>
      <c r="I469">
        <v>12890000000</v>
      </c>
      <c r="J469">
        <v>689113000000</v>
      </c>
      <c r="K469">
        <v>142243000000</v>
      </c>
      <c r="L469">
        <v>75745000000</v>
      </c>
      <c r="M469">
        <v>191963000000</v>
      </c>
      <c r="N469">
        <v>471125000000</v>
      </c>
      <c r="O469">
        <v>688228000000</v>
      </c>
      <c r="P469">
        <v>63765000000</v>
      </c>
      <c r="Q469">
        <v>71102000000</v>
      </c>
      <c r="R469">
        <v>55687000000</v>
      </c>
      <c r="S469">
        <v>19675000000</v>
      </c>
      <c r="T469">
        <v>87400000000</v>
      </c>
      <c r="U469">
        <v>-17828000000</v>
      </c>
      <c r="V469">
        <f t="shared" si="24"/>
        <v>653686000000</v>
      </c>
      <c r="W469">
        <f t="shared" si="25"/>
        <v>602010000000</v>
      </c>
    </row>
    <row r="470" spans="1:23" x14ac:dyDescent="0.2">
      <c r="A470">
        <f>IF(D470="USD",VLOOKUP(VALUE(RIGHT(E470,4)),'USD RUB'!$E:$F,2,FALSE),1)</f>
        <v>1</v>
      </c>
      <c r="B470" s="4">
        <v>1</v>
      </c>
      <c r="C470">
        <v>1000000</v>
      </c>
      <c r="D470" t="s">
        <v>20</v>
      </c>
      <c r="E470" s="1" t="s">
        <v>486</v>
      </c>
      <c r="F470">
        <v>156160000000</v>
      </c>
      <c r="G470">
        <v>310872000000</v>
      </c>
      <c r="H470">
        <v>310732000000</v>
      </c>
      <c r="I470">
        <v>13250000000</v>
      </c>
      <c r="J470">
        <v>674920000000</v>
      </c>
      <c r="K470">
        <v>136621000000</v>
      </c>
      <c r="L470">
        <v>69285000000</v>
      </c>
      <c r="M470">
        <v>176522000000</v>
      </c>
      <c r="N470">
        <v>469014000000</v>
      </c>
      <c r="O470">
        <v>460746000000</v>
      </c>
      <c r="P470">
        <v>43456000000</v>
      </c>
      <c r="Q470">
        <v>48222000000</v>
      </c>
      <c r="R470">
        <v>38296000000</v>
      </c>
      <c r="S470">
        <v>12917000000</v>
      </c>
      <c r="T470">
        <v>59400000000</v>
      </c>
      <c r="U470">
        <v>-13787000000</v>
      </c>
      <c r="V470">
        <f t="shared" si="24"/>
        <v>437270000000</v>
      </c>
      <c r="W470">
        <f t="shared" si="25"/>
        <v>588669000000</v>
      </c>
    </row>
    <row r="471" spans="1:23" x14ac:dyDescent="0.2">
      <c r="A471">
        <f>IF(D471="USD",VLOOKUP(VALUE(RIGHT(E471,4)),'USD RUB'!$E:$F,2,FALSE),1)</f>
        <v>1</v>
      </c>
      <c r="B471" s="4">
        <v>1</v>
      </c>
      <c r="C471">
        <v>1000000</v>
      </c>
      <c r="D471" t="s">
        <v>20</v>
      </c>
      <c r="E471" s="1" t="s">
        <v>487</v>
      </c>
      <c r="F471">
        <v>142689000000</v>
      </c>
      <c r="G471">
        <v>313223000000</v>
      </c>
      <c r="H471">
        <v>306615000000</v>
      </c>
      <c r="I471">
        <v>13264000000</v>
      </c>
      <c r="J471">
        <v>677377000000</v>
      </c>
      <c r="K471">
        <v>136910000000</v>
      </c>
      <c r="L471">
        <v>53231000000</v>
      </c>
      <c r="M471">
        <v>177427000000</v>
      </c>
      <c r="N471">
        <v>487236000000</v>
      </c>
      <c r="O471">
        <v>247484000000</v>
      </c>
      <c r="P471">
        <v>26997000000</v>
      </c>
      <c r="Q471">
        <v>28756000000</v>
      </c>
      <c r="R471">
        <v>22621000000</v>
      </c>
      <c r="S471">
        <v>6267000000</v>
      </c>
      <c r="T471">
        <v>34800000000</v>
      </c>
      <c r="U471">
        <v>-3600000000</v>
      </c>
      <c r="V471">
        <f t="shared" si="24"/>
        <v>238580000000</v>
      </c>
      <c r="W471">
        <f t="shared" si="25"/>
        <v>580738000000</v>
      </c>
    </row>
    <row r="472" spans="1:23" x14ac:dyDescent="0.2">
      <c r="A472">
        <f>IF(D472="USD",VLOOKUP(VALUE(RIGHT(E472,4)),'USD RUB'!$E:$F,2,FALSE),1)</f>
        <v>1</v>
      </c>
      <c r="B472" s="4">
        <v>1</v>
      </c>
      <c r="C472">
        <v>1000000</v>
      </c>
      <c r="D472" t="s">
        <v>20</v>
      </c>
      <c r="E472" s="1" t="s">
        <v>488</v>
      </c>
      <c r="F472">
        <v>142062000000</v>
      </c>
      <c r="G472">
        <v>292755000000</v>
      </c>
      <c r="H472">
        <v>275261000000</v>
      </c>
      <c r="I472">
        <v>13183000000</v>
      </c>
      <c r="J472">
        <v>625056000000</v>
      </c>
      <c r="K472">
        <v>141758000000</v>
      </c>
      <c r="L472">
        <v>23889000000</v>
      </c>
      <c r="M472">
        <v>149968000000</v>
      </c>
      <c r="N472">
        <v>459409000000</v>
      </c>
      <c r="O472">
        <v>917049000000</v>
      </c>
      <c r="P472">
        <v>56120000000</v>
      </c>
      <c r="Q472">
        <v>64982000000</v>
      </c>
      <c r="R472">
        <v>54448000000</v>
      </c>
      <c r="S472">
        <v>21048000000</v>
      </c>
      <c r="T472">
        <v>95500000000</v>
      </c>
      <c r="U472">
        <v>-31508000000</v>
      </c>
      <c r="V472">
        <f t="shared" si="24"/>
        <v>868182000000</v>
      </c>
      <c r="W472">
        <f t="shared" si="25"/>
        <v>571594000000</v>
      </c>
    </row>
    <row r="473" spans="1:23" x14ac:dyDescent="0.2">
      <c r="A473">
        <f>IF(D473="USD",VLOOKUP(VALUE(RIGHT(E473,4)),'USD RUB'!$E:$F,2,FALSE),1)</f>
        <v>1</v>
      </c>
      <c r="B473" s="4">
        <v>1</v>
      </c>
      <c r="C473">
        <v>1000000</v>
      </c>
      <c r="D473" t="s">
        <v>20</v>
      </c>
      <c r="E473" s="1" t="s">
        <v>489</v>
      </c>
      <c r="F473">
        <v>110336000000</v>
      </c>
      <c r="G473">
        <v>261304000000</v>
      </c>
      <c r="H473">
        <v>282385000000</v>
      </c>
      <c r="I473">
        <v>14010000000</v>
      </c>
      <c r="J473">
        <v>602010000000</v>
      </c>
      <c r="K473">
        <v>130902000000</v>
      </c>
      <c r="L473">
        <v>24796000000</v>
      </c>
      <c r="M473">
        <v>136373000000</v>
      </c>
      <c r="N473">
        <v>446312000000</v>
      </c>
      <c r="O473">
        <v>653686000000</v>
      </c>
      <c r="P473">
        <v>40733000000</v>
      </c>
      <c r="Q473">
        <v>47338000000</v>
      </c>
      <c r="R473">
        <v>40750000000</v>
      </c>
      <c r="S473">
        <v>15788000000</v>
      </c>
      <c r="T473">
        <v>67009000000</v>
      </c>
      <c r="U473">
        <v>-21718000000</v>
      </c>
      <c r="V473" t="str">
        <f t="shared" ref="V473:V536" si="26">_xlfn.XLOOKUP(LEFT(E473,LEN(E473)-4)&amp;(VALUE(RIGHT(E473,4))-1),$E:$E,$O:$O,"")</f>
        <v/>
      </c>
      <c r="W473" t="str">
        <f t="shared" ref="W473:W536" si="27">_xlfn.XLOOKUP(LEFT(E473,LEN(E473)-4)&amp;(VALUE(RIGHT(E473,4))-1),$E:$E,$J:$J,"")</f>
        <v/>
      </c>
    </row>
    <row r="474" spans="1:23" x14ac:dyDescent="0.2">
      <c r="A474">
        <f>IF(D474="USD",VLOOKUP(VALUE(RIGHT(E474,4)),'USD RUB'!$E:$F,2,FALSE),1)</f>
        <v>1</v>
      </c>
      <c r="B474" s="4">
        <v>1</v>
      </c>
      <c r="C474">
        <v>1000000</v>
      </c>
      <c r="D474" t="s">
        <v>20</v>
      </c>
      <c r="E474" s="1" t="s">
        <v>490</v>
      </c>
      <c r="F474">
        <v>105851000000</v>
      </c>
      <c r="G474">
        <v>248972000000</v>
      </c>
      <c r="H474">
        <v>281311000000</v>
      </c>
      <c r="I474">
        <v>12467000000</v>
      </c>
      <c r="J474">
        <v>588669000000</v>
      </c>
      <c r="K474">
        <v>127292000000</v>
      </c>
      <c r="L474">
        <v>26269000000</v>
      </c>
      <c r="M474">
        <v>125481000000</v>
      </c>
      <c r="N474">
        <v>435108000000</v>
      </c>
      <c r="O474">
        <v>437270000000</v>
      </c>
      <c r="P474">
        <v>28538000000</v>
      </c>
      <c r="Q474">
        <v>33627000000</v>
      </c>
      <c r="R474">
        <v>29947000000</v>
      </c>
      <c r="S474">
        <v>10110000000</v>
      </c>
      <c r="T474">
        <v>47400000000</v>
      </c>
      <c r="U474">
        <v>-12340000000</v>
      </c>
      <c r="V474">
        <f t="shared" si="26"/>
        <v>407093000000</v>
      </c>
      <c r="W474">
        <f t="shared" si="27"/>
        <v>593569000000</v>
      </c>
    </row>
    <row r="475" spans="1:23" x14ac:dyDescent="0.2">
      <c r="A475">
        <f>IF(D475="USD",VLOOKUP(VALUE(RIGHT(E475,4)),'USD RUB'!$E:$F,2,FALSE),1)</f>
        <v>1</v>
      </c>
      <c r="B475" s="4">
        <v>1</v>
      </c>
      <c r="C475">
        <v>1000000</v>
      </c>
      <c r="D475" t="s">
        <v>20</v>
      </c>
      <c r="E475" s="1" t="s">
        <v>491</v>
      </c>
      <c r="F475">
        <v>93273000000</v>
      </c>
      <c r="G475">
        <v>238688000000</v>
      </c>
      <c r="H475">
        <v>280895000000</v>
      </c>
      <c r="I475">
        <v>12928000000</v>
      </c>
      <c r="J475">
        <v>580738000000</v>
      </c>
      <c r="K475">
        <v>118354000000</v>
      </c>
      <c r="L475">
        <v>25118000000</v>
      </c>
      <c r="M475">
        <v>127376000000</v>
      </c>
      <c r="N475">
        <v>437266000000</v>
      </c>
      <c r="O475">
        <v>238580000000</v>
      </c>
      <c r="P475">
        <v>21518000000</v>
      </c>
      <c r="Q475">
        <v>22906000000</v>
      </c>
      <c r="R475">
        <v>18807000000</v>
      </c>
      <c r="S475">
        <v>4909000000</v>
      </c>
      <c r="T475">
        <v>28900000000</v>
      </c>
      <c r="U475">
        <v>-5947000000</v>
      </c>
      <c r="V475">
        <f t="shared" si="26"/>
        <v>224382000000</v>
      </c>
      <c r="W475">
        <f t="shared" si="27"/>
        <v>564148000000</v>
      </c>
    </row>
    <row r="476" spans="1:23" x14ac:dyDescent="0.2">
      <c r="A476">
        <f>IF(D476="USD",VLOOKUP(VALUE(RIGHT(E476,4)),'USD RUB'!$E:$F,2,FALSE),1)</f>
        <v>1</v>
      </c>
      <c r="B476" s="4">
        <v>1</v>
      </c>
      <c r="C476">
        <v>1000000</v>
      </c>
      <c r="D476" t="s">
        <v>20</v>
      </c>
      <c r="E476" s="1" t="s">
        <v>492</v>
      </c>
      <c r="F476">
        <v>95988000000</v>
      </c>
      <c r="G476">
        <v>222534000000</v>
      </c>
      <c r="H476">
        <v>280499000000</v>
      </c>
      <c r="J476">
        <v>571594000000</v>
      </c>
      <c r="K476">
        <v>125544000000</v>
      </c>
      <c r="L476">
        <v>26824000000</v>
      </c>
      <c r="M476">
        <v>107879000000</v>
      </c>
      <c r="N476">
        <v>419226000000</v>
      </c>
      <c r="O476">
        <v>868182000000</v>
      </c>
      <c r="P476">
        <v>77260000000</v>
      </c>
      <c r="Q476">
        <v>68548000000</v>
      </c>
      <c r="R476">
        <v>61312000000</v>
      </c>
      <c r="T476">
        <v>93500000000</v>
      </c>
      <c r="U476">
        <v>-34746000000</v>
      </c>
      <c r="V476" t="str">
        <f t="shared" si="26"/>
        <v/>
      </c>
      <c r="W476" t="str">
        <f t="shared" si="27"/>
        <v/>
      </c>
    </row>
    <row r="477" spans="1:23" x14ac:dyDescent="0.2">
      <c r="A477">
        <f>IF(D477="USD",VLOOKUP(VALUE(RIGHT(E477,4)),'USD RUB'!$E:$F,2,FALSE),1)</f>
        <v>1</v>
      </c>
      <c r="B477" s="4">
        <v>1</v>
      </c>
      <c r="C477">
        <v>1000000</v>
      </c>
      <c r="D477" t="s">
        <v>20</v>
      </c>
      <c r="E477" s="1" t="s">
        <v>493</v>
      </c>
      <c r="F477">
        <v>101126000000</v>
      </c>
      <c r="G477">
        <v>238079000000</v>
      </c>
      <c r="H477">
        <v>282700000000</v>
      </c>
      <c r="J477">
        <v>593569000000</v>
      </c>
      <c r="K477">
        <v>140867000000</v>
      </c>
      <c r="L477">
        <v>32342000000</v>
      </c>
      <c r="M477">
        <v>109646000000</v>
      </c>
      <c r="N477">
        <v>420360000000</v>
      </c>
      <c r="O477">
        <v>407093000000</v>
      </c>
      <c r="P477">
        <v>67741000000</v>
      </c>
      <c r="Q477">
        <v>69303000000</v>
      </c>
      <c r="R477">
        <v>61969000000</v>
      </c>
      <c r="T477">
        <v>53700000000</v>
      </c>
      <c r="U477">
        <v>-13479000000</v>
      </c>
      <c r="V477">
        <f t="shared" si="26"/>
        <v>391633000000</v>
      </c>
      <c r="W477">
        <f t="shared" si="27"/>
        <v>563866000000</v>
      </c>
    </row>
    <row r="478" spans="1:23" x14ac:dyDescent="0.2">
      <c r="A478">
        <f>IF(D478="USD",VLOOKUP(VALUE(RIGHT(E478,4)),'USD RUB'!$E:$F,2,FALSE),1)</f>
        <v>1</v>
      </c>
      <c r="B478" s="4">
        <v>1</v>
      </c>
      <c r="C478">
        <v>1000000</v>
      </c>
      <c r="D478" t="s">
        <v>20</v>
      </c>
      <c r="E478" s="1" t="s">
        <v>494</v>
      </c>
      <c r="F478">
        <v>61054000000</v>
      </c>
      <c r="G478">
        <v>223974000000</v>
      </c>
      <c r="H478">
        <v>277083000000</v>
      </c>
      <c r="J478">
        <v>564148000000</v>
      </c>
      <c r="K478">
        <v>120228000000</v>
      </c>
      <c r="L478">
        <v>64796000000</v>
      </c>
      <c r="M478">
        <v>66694000000</v>
      </c>
      <c r="N478">
        <v>379124000000</v>
      </c>
      <c r="O478">
        <v>224382000000</v>
      </c>
      <c r="P478">
        <v>21294000000</v>
      </c>
      <c r="Q478">
        <v>21688000000</v>
      </c>
      <c r="R478">
        <v>16984000000</v>
      </c>
      <c r="T478">
        <v>32400000000</v>
      </c>
      <c r="U478">
        <v>-5990000000</v>
      </c>
      <c r="V478">
        <f t="shared" si="26"/>
        <v>216462000000</v>
      </c>
      <c r="W478">
        <f t="shared" si="27"/>
        <v>598366000000</v>
      </c>
    </row>
    <row r="479" spans="1:23" x14ac:dyDescent="0.2">
      <c r="A479">
        <f>IF(D479="USD",VLOOKUP(VALUE(RIGHT(E479,4)),'USD RUB'!$E:$F,2,FALSE),1)</f>
        <v>1</v>
      </c>
      <c r="B479" s="4">
        <v>1</v>
      </c>
      <c r="C479">
        <v>1000000</v>
      </c>
      <c r="D479" t="s">
        <v>20</v>
      </c>
      <c r="E479" s="1" t="s">
        <v>495</v>
      </c>
      <c r="F479">
        <v>50360000000</v>
      </c>
      <c r="G479">
        <v>220064000000</v>
      </c>
      <c r="H479">
        <v>298763000000</v>
      </c>
      <c r="J479">
        <v>581051000000</v>
      </c>
      <c r="K479">
        <v>129996000000</v>
      </c>
      <c r="L479">
        <v>85577000000</v>
      </c>
      <c r="N479">
        <v>365478000000</v>
      </c>
      <c r="O479">
        <v>580004000000</v>
      </c>
      <c r="P479">
        <v>28992000000</v>
      </c>
      <c r="Q479">
        <v>28838000000</v>
      </c>
      <c r="R479">
        <v>23340000000</v>
      </c>
      <c r="T479">
        <v>49400000000</v>
      </c>
      <c r="V479" t="str">
        <f t="shared" si="26"/>
        <v/>
      </c>
      <c r="W479" t="str">
        <f t="shared" si="27"/>
        <v/>
      </c>
    </row>
    <row r="480" spans="1:23" x14ac:dyDescent="0.2">
      <c r="A480">
        <f>IF(D480="USD",VLOOKUP(VALUE(RIGHT(E480,4)),'USD RUB'!$E:$F,2,FALSE),1)</f>
        <v>1</v>
      </c>
      <c r="B480" s="4">
        <v>1</v>
      </c>
      <c r="C480">
        <v>1000000</v>
      </c>
      <c r="D480" t="s">
        <v>20</v>
      </c>
      <c r="E480" s="1" t="s">
        <v>496</v>
      </c>
      <c r="F480">
        <v>49379000000</v>
      </c>
      <c r="G480">
        <v>203833000000</v>
      </c>
      <c r="H480">
        <v>294158000000</v>
      </c>
      <c r="J480">
        <v>563866000000</v>
      </c>
      <c r="K480">
        <v>119593000000</v>
      </c>
      <c r="L480">
        <v>84122000000</v>
      </c>
      <c r="N480">
        <v>360151000000</v>
      </c>
      <c r="O480">
        <v>391633000000</v>
      </c>
      <c r="Q480">
        <v>23468000000</v>
      </c>
      <c r="R480">
        <v>19690000000</v>
      </c>
      <c r="T480">
        <v>37300000000</v>
      </c>
      <c r="V480">
        <f t="shared" si="26"/>
        <v>352896000000</v>
      </c>
      <c r="W480">
        <f t="shared" si="27"/>
        <v>522365000000</v>
      </c>
    </row>
    <row r="481" spans="1:23" x14ac:dyDescent="0.2">
      <c r="A481">
        <f>IF(D481="USD",VLOOKUP(VALUE(RIGHT(E481,4)),'USD RUB'!$E:$F,2,FALSE),1)</f>
        <v>1</v>
      </c>
      <c r="B481" s="4">
        <v>1</v>
      </c>
      <c r="C481">
        <v>1000000</v>
      </c>
      <c r="D481" t="s">
        <v>20</v>
      </c>
      <c r="E481" s="1" t="s">
        <v>497</v>
      </c>
      <c r="F481">
        <v>75556000000</v>
      </c>
      <c r="G481">
        <v>231933000000</v>
      </c>
      <c r="H481">
        <v>296315000000</v>
      </c>
      <c r="J481">
        <v>598366000000</v>
      </c>
      <c r="K481">
        <v>147374000000</v>
      </c>
      <c r="L481">
        <v>87586000000</v>
      </c>
      <c r="N481">
        <v>363406000000</v>
      </c>
      <c r="O481">
        <v>216462000000</v>
      </c>
      <c r="P481">
        <v>17378000000</v>
      </c>
      <c r="Q481">
        <v>18069000000</v>
      </c>
      <c r="R481">
        <v>16042000000</v>
      </c>
      <c r="T481">
        <v>25000000000</v>
      </c>
      <c r="V481" t="str">
        <f t="shared" si="26"/>
        <v/>
      </c>
      <c r="W481" t="str">
        <f t="shared" si="27"/>
        <v/>
      </c>
    </row>
    <row r="482" spans="1:23" x14ac:dyDescent="0.2">
      <c r="A482">
        <f>IF(D482="USD",VLOOKUP(VALUE(RIGHT(E482,4)),'USD RUB'!$E:$F,2,FALSE),1)</f>
        <v>1</v>
      </c>
      <c r="B482" s="4">
        <v>1</v>
      </c>
      <c r="C482">
        <v>1000000</v>
      </c>
      <c r="D482" t="s">
        <v>20</v>
      </c>
      <c r="E482" s="1" t="s">
        <v>498</v>
      </c>
      <c r="F482">
        <v>75599000000</v>
      </c>
      <c r="G482">
        <v>220362000000</v>
      </c>
      <c r="H482">
        <v>298625000000</v>
      </c>
      <c r="J482">
        <v>585498000000</v>
      </c>
      <c r="K482">
        <v>146582000000</v>
      </c>
      <c r="L482">
        <v>90667000000</v>
      </c>
      <c r="N482">
        <v>348249000000</v>
      </c>
      <c r="O482">
        <v>741101000000</v>
      </c>
      <c r="P482">
        <v>19946000000</v>
      </c>
      <c r="Q482">
        <v>16998000000</v>
      </c>
      <c r="R482">
        <v>9774000000</v>
      </c>
      <c r="T482">
        <v>57800000000</v>
      </c>
      <c r="V482">
        <f t="shared" si="26"/>
        <v>662321000000</v>
      </c>
      <c r="W482">
        <f t="shared" si="27"/>
        <v>512566000000</v>
      </c>
    </row>
    <row r="483" spans="1:23" x14ac:dyDescent="0.2">
      <c r="A483">
        <f>IF(D483="USD",VLOOKUP(VALUE(RIGHT(E483,4)),'USD RUB'!$E:$F,2,FALSE),1)</f>
        <v>1</v>
      </c>
      <c r="B483" s="4">
        <v>1</v>
      </c>
      <c r="C483">
        <v>1000000</v>
      </c>
      <c r="D483" t="s">
        <v>20</v>
      </c>
      <c r="E483" s="1" t="s">
        <v>499</v>
      </c>
      <c r="F483">
        <v>56499000000</v>
      </c>
      <c r="G483">
        <v>184112000000</v>
      </c>
      <c r="H483">
        <v>285632000000</v>
      </c>
      <c r="J483">
        <v>522365000000</v>
      </c>
      <c r="K483">
        <v>135257000000</v>
      </c>
      <c r="L483">
        <v>46223000000</v>
      </c>
      <c r="N483">
        <v>340885000000</v>
      </c>
      <c r="O483">
        <v>352896000000</v>
      </c>
      <c r="P483">
        <v>12559000000</v>
      </c>
      <c r="Q483">
        <v>10516000000</v>
      </c>
      <c r="R483">
        <v>6856000000</v>
      </c>
      <c r="T483">
        <v>28100000000</v>
      </c>
      <c r="V483">
        <f t="shared" si="26"/>
        <v>317743000000</v>
      </c>
      <c r="W483">
        <f t="shared" si="27"/>
        <v>515607000000</v>
      </c>
    </row>
    <row r="484" spans="1:23" x14ac:dyDescent="0.2">
      <c r="A484">
        <f>IF(D484="USD",VLOOKUP(VALUE(RIGHT(E484,4)),'USD RUB'!$E:$F,2,FALSE),1)</f>
        <v>1</v>
      </c>
      <c r="B484" s="4">
        <v>1</v>
      </c>
      <c r="C484">
        <v>1000000</v>
      </c>
      <c r="D484" t="s">
        <v>20</v>
      </c>
      <c r="E484" s="1" t="s">
        <v>500</v>
      </c>
      <c r="F484">
        <v>39882000000</v>
      </c>
      <c r="G484">
        <v>169731000000</v>
      </c>
      <c r="H484">
        <v>285789000000</v>
      </c>
      <c r="J484">
        <v>512566000000</v>
      </c>
      <c r="K484">
        <v>115811000000</v>
      </c>
      <c r="L484">
        <v>62166000000</v>
      </c>
      <c r="N484">
        <v>334589000000</v>
      </c>
      <c r="O484">
        <v>662321000000</v>
      </c>
      <c r="P484">
        <v>-18473000000</v>
      </c>
      <c r="Q484">
        <v>-27098000000</v>
      </c>
      <c r="R484">
        <v>-24030000000</v>
      </c>
      <c r="T484">
        <v>39200000000</v>
      </c>
      <c r="V484">
        <f t="shared" si="26"/>
        <v>556189000000</v>
      </c>
      <c r="W484">
        <f t="shared" si="27"/>
        <v>528634000000</v>
      </c>
    </row>
    <row r="485" spans="1:23" x14ac:dyDescent="0.2">
      <c r="A485">
        <f>IF(D485="USD",VLOOKUP(VALUE(RIGHT(E485,4)),'USD RUB'!$E:$F,2,FALSE),1)</f>
        <v>1</v>
      </c>
      <c r="B485" s="4">
        <v>1</v>
      </c>
      <c r="C485">
        <v>1000000</v>
      </c>
      <c r="D485" t="s">
        <v>20</v>
      </c>
      <c r="E485" s="1" t="s">
        <v>501</v>
      </c>
      <c r="F485">
        <v>43375000000</v>
      </c>
      <c r="G485">
        <v>179068000000</v>
      </c>
      <c r="H485">
        <v>278686000000</v>
      </c>
      <c r="J485">
        <v>515607000000</v>
      </c>
      <c r="K485">
        <v>113339000000</v>
      </c>
      <c r="L485">
        <v>60004000000</v>
      </c>
      <c r="N485">
        <v>342264000000</v>
      </c>
      <c r="O485">
        <v>317743000000</v>
      </c>
      <c r="P485">
        <v>-9793000000</v>
      </c>
      <c r="Q485">
        <v>-15184000000</v>
      </c>
      <c r="R485">
        <v>-13845000000</v>
      </c>
      <c r="T485">
        <v>21600000000</v>
      </c>
      <c r="V485">
        <f t="shared" si="26"/>
        <v>264635000000</v>
      </c>
      <c r="W485">
        <f t="shared" si="27"/>
        <v>508699000000</v>
      </c>
    </row>
    <row r="486" spans="1:23" x14ac:dyDescent="0.2">
      <c r="A486">
        <f>IF(D486="USD",VLOOKUP(VALUE(RIGHT(E486,4)),'USD RUB'!$E:$F,2,FALSE),1)</f>
        <v>1</v>
      </c>
      <c r="B486" s="4">
        <v>1</v>
      </c>
      <c r="C486">
        <v>1000000</v>
      </c>
      <c r="D486" t="s">
        <v>20</v>
      </c>
      <c r="E486" s="1" t="s">
        <v>502</v>
      </c>
      <c r="F486">
        <v>48049000000</v>
      </c>
      <c r="G486">
        <v>170614000000</v>
      </c>
      <c r="H486">
        <v>282761000000</v>
      </c>
      <c r="J486">
        <v>528634000000</v>
      </c>
      <c r="K486">
        <v>105974000000</v>
      </c>
      <c r="L486">
        <v>68822000000</v>
      </c>
      <c r="N486">
        <v>353838000000</v>
      </c>
      <c r="O486">
        <v>556189000000</v>
      </c>
      <c r="P486">
        <v>-31738000000</v>
      </c>
      <c r="Q486">
        <v>-24273000000</v>
      </c>
      <c r="R486">
        <v>-22355000000</v>
      </c>
      <c r="T486">
        <v>26493000000</v>
      </c>
      <c r="V486">
        <f t="shared" si="26"/>
        <v>536244000000</v>
      </c>
      <c r="W486">
        <f t="shared" si="27"/>
        <v>531916000000</v>
      </c>
    </row>
    <row r="487" spans="1:23" x14ac:dyDescent="0.2">
      <c r="A487">
        <f>IF(D487="USD",VLOOKUP(VALUE(RIGHT(E487,4)),'USD RUB'!$E:$F,2,FALSE),1)</f>
        <v>1</v>
      </c>
      <c r="B487" s="4">
        <v>1</v>
      </c>
      <c r="C487">
        <v>1000000</v>
      </c>
      <c r="D487" t="s">
        <v>20</v>
      </c>
      <c r="E487" s="1" t="s">
        <v>503</v>
      </c>
      <c r="F487">
        <v>64645000000</v>
      </c>
      <c r="G487">
        <v>184337000000</v>
      </c>
      <c r="H487">
        <v>229705000000</v>
      </c>
      <c r="J487">
        <v>508699000000</v>
      </c>
      <c r="K487">
        <v>81867000000</v>
      </c>
      <c r="L487">
        <v>70717000000</v>
      </c>
      <c r="N487">
        <v>356115000000</v>
      </c>
      <c r="O487">
        <v>264635000000</v>
      </c>
      <c r="P487">
        <v>-6598000000</v>
      </c>
      <c r="Q487">
        <v>-8872000000</v>
      </c>
      <c r="R487">
        <v>-10219000000</v>
      </c>
      <c r="T487">
        <v>16872000000</v>
      </c>
      <c r="V487">
        <f t="shared" si="26"/>
        <v>253932000000</v>
      </c>
      <c r="W487">
        <f t="shared" si="27"/>
        <v>515784000000</v>
      </c>
    </row>
    <row r="488" spans="1:23" x14ac:dyDescent="0.2">
      <c r="A488">
        <f>IF(D488="USD",VLOOKUP(VALUE(RIGHT(E488,4)),'USD RUB'!$E:$F,2,FALSE),1)</f>
        <v>1</v>
      </c>
      <c r="B488" s="4">
        <v>1</v>
      </c>
      <c r="C488">
        <v>1000000</v>
      </c>
      <c r="D488" t="s">
        <v>20</v>
      </c>
      <c r="E488" s="1" t="s">
        <v>504</v>
      </c>
      <c r="F488">
        <v>43518000000</v>
      </c>
      <c r="G488">
        <v>203825000000</v>
      </c>
      <c r="H488">
        <v>227525000000</v>
      </c>
      <c r="J488">
        <v>531916000000</v>
      </c>
      <c r="K488">
        <v>65459000000</v>
      </c>
      <c r="L488">
        <v>75800000000</v>
      </c>
      <c r="N488">
        <v>390657000000</v>
      </c>
      <c r="O488">
        <v>536244000000</v>
      </c>
      <c r="P488">
        <v>-4483000000</v>
      </c>
      <c r="Q488">
        <v>51824000000</v>
      </c>
      <c r="R488">
        <v>41457000000</v>
      </c>
      <c r="T488">
        <v>41657000000</v>
      </c>
      <c r="V488" t="str">
        <f t="shared" si="26"/>
        <v/>
      </c>
      <c r="W488" t="str">
        <f t="shared" si="27"/>
        <v/>
      </c>
    </row>
    <row r="489" spans="1:23" x14ac:dyDescent="0.2">
      <c r="A489">
        <f>IF(D489="USD",VLOOKUP(VALUE(RIGHT(E489,4)),'USD RUB'!$E:$F,2,FALSE),1)</f>
        <v>1</v>
      </c>
      <c r="B489" s="4">
        <v>1</v>
      </c>
      <c r="C489">
        <v>1000000</v>
      </c>
      <c r="D489" t="s">
        <v>20</v>
      </c>
      <c r="E489" s="1" t="s">
        <v>505</v>
      </c>
      <c r="F489">
        <v>51390000000</v>
      </c>
      <c r="G489">
        <v>199173000000</v>
      </c>
      <c r="H489">
        <v>215177000000</v>
      </c>
      <c r="J489">
        <v>515784000000</v>
      </c>
      <c r="K489">
        <v>61326000000</v>
      </c>
      <c r="L489">
        <v>67186000000</v>
      </c>
      <c r="N489">
        <v>387272000000</v>
      </c>
      <c r="O489">
        <v>253932000000</v>
      </c>
      <c r="P489">
        <v>14102000000</v>
      </c>
      <c r="Q489">
        <v>54368000000</v>
      </c>
      <c r="R489">
        <v>49807000000</v>
      </c>
      <c r="T489">
        <v>24443000000</v>
      </c>
      <c r="V489" t="str">
        <f t="shared" si="26"/>
        <v/>
      </c>
      <c r="W489" t="str">
        <f t="shared" si="27"/>
        <v/>
      </c>
    </row>
    <row r="490" spans="1:23" x14ac:dyDescent="0.2">
      <c r="A490">
        <f>IF(D490="USD",VLOOKUP(VALUE(RIGHT(E490,4)),'USD RUB'!$E:$F,2,FALSE),1)</f>
        <v>1</v>
      </c>
      <c r="B490" s="4">
        <v>1</v>
      </c>
      <c r="C490">
        <v>1000</v>
      </c>
      <c r="D490" t="s">
        <v>20</v>
      </c>
      <c r="E490" s="1" t="s">
        <v>506</v>
      </c>
      <c r="F490">
        <v>7672356000</v>
      </c>
      <c r="G490">
        <v>29323183000</v>
      </c>
      <c r="H490">
        <v>132823020000</v>
      </c>
      <c r="I490">
        <v>3052632000</v>
      </c>
      <c r="J490">
        <v>173999417000</v>
      </c>
      <c r="K490">
        <v>56001000000</v>
      </c>
      <c r="L490">
        <v>44760455000</v>
      </c>
      <c r="M490">
        <v>69218349000</v>
      </c>
      <c r="N490">
        <v>73237962000</v>
      </c>
      <c r="O490">
        <v>152956712000</v>
      </c>
      <c r="P490">
        <v>22808866000</v>
      </c>
      <c r="Q490">
        <v>16642095000</v>
      </c>
      <c r="R490">
        <v>11602389000</v>
      </c>
      <c r="S490">
        <v>13385308000</v>
      </c>
      <c r="T490">
        <v>43342334000</v>
      </c>
      <c r="U490">
        <v>-26227866000</v>
      </c>
      <c r="V490">
        <f t="shared" si="26"/>
        <v>138151147000</v>
      </c>
      <c r="W490">
        <f t="shared" si="27"/>
        <v>158878431000</v>
      </c>
    </row>
    <row r="491" spans="1:23" x14ac:dyDescent="0.2">
      <c r="A491">
        <f>IF(D491="USD",VLOOKUP(VALUE(RIGHT(E491,4)),'USD RUB'!$E:$F,2,FALSE),1)</f>
        <v>1</v>
      </c>
      <c r="B491" s="4">
        <v>1</v>
      </c>
      <c r="C491">
        <v>1000</v>
      </c>
      <c r="D491" t="s">
        <v>20</v>
      </c>
      <c r="E491" s="1" t="s">
        <v>507</v>
      </c>
      <c r="F491">
        <v>7588914000</v>
      </c>
      <c r="G491">
        <v>27435265000</v>
      </c>
      <c r="H491">
        <v>127786090000</v>
      </c>
      <c r="I491">
        <v>2747780000</v>
      </c>
      <c r="J491">
        <v>167146670000</v>
      </c>
      <c r="K491">
        <v>58029994000</v>
      </c>
      <c r="L491">
        <v>37831178000</v>
      </c>
      <c r="M491">
        <v>67013036000</v>
      </c>
      <c r="N491">
        <v>71285498000</v>
      </c>
      <c r="O491">
        <v>107663420000</v>
      </c>
      <c r="P491">
        <v>18148757000</v>
      </c>
      <c r="Q491">
        <v>13231333000</v>
      </c>
      <c r="R491">
        <v>9395105000</v>
      </c>
      <c r="S491">
        <v>10417157000</v>
      </c>
      <c r="T491">
        <v>30536009000</v>
      </c>
      <c r="U491">
        <v>-16546384000</v>
      </c>
      <c r="V491">
        <f t="shared" si="26"/>
        <v>98085513000</v>
      </c>
      <c r="W491">
        <f t="shared" si="27"/>
        <v>154795717000</v>
      </c>
    </row>
    <row r="492" spans="1:23" x14ac:dyDescent="0.2">
      <c r="A492">
        <f>IF(D492="USD",VLOOKUP(VALUE(RIGHT(E492,4)),'USD RUB'!$E:$F,2,FALSE),1)</f>
        <v>1</v>
      </c>
      <c r="B492" s="4">
        <v>1</v>
      </c>
      <c r="C492">
        <v>1000</v>
      </c>
      <c r="D492" t="s">
        <v>20</v>
      </c>
      <c r="E492" s="1" t="s">
        <v>508</v>
      </c>
      <c r="F492">
        <v>7083848000</v>
      </c>
      <c r="G492">
        <v>24715968000</v>
      </c>
      <c r="H492">
        <v>124479774000</v>
      </c>
      <c r="I492">
        <v>2671917000</v>
      </c>
      <c r="J492">
        <v>161299613000</v>
      </c>
      <c r="K492">
        <v>49838453000</v>
      </c>
      <c r="L492">
        <v>44271087000</v>
      </c>
      <c r="M492">
        <v>62970284000</v>
      </c>
      <c r="N492">
        <v>67190073000</v>
      </c>
      <c r="O492">
        <v>71007918000</v>
      </c>
      <c r="P492">
        <v>11384463000</v>
      </c>
      <c r="Q492">
        <v>8076234000</v>
      </c>
      <c r="R492">
        <v>5388429000</v>
      </c>
      <c r="S492">
        <v>6934057000</v>
      </c>
      <c r="T492">
        <v>19850235000</v>
      </c>
      <c r="U492">
        <v>-11993696000</v>
      </c>
      <c r="V492">
        <f t="shared" si="26"/>
        <v>65151169000</v>
      </c>
      <c r="W492">
        <f t="shared" si="27"/>
        <v>150862531000</v>
      </c>
    </row>
    <row r="493" spans="1:23" x14ac:dyDescent="0.2">
      <c r="A493">
        <f>IF(D493="USD",VLOOKUP(VALUE(RIGHT(E493,4)),'USD RUB'!$E:$F,2,FALSE),1)</f>
        <v>1</v>
      </c>
      <c r="B493" s="4">
        <v>1</v>
      </c>
      <c r="C493">
        <v>1000</v>
      </c>
      <c r="D493" t="s">
        <v>20</v>
      </c>
      <c r="E493" s="1" t="s">
        <v>509</v>
      </c>
      <c r="F493">
        <v>7337651000</v>
      </c>
      <c r="G493">
        <v>25796978000</v>
      </c>
      <c r="H493">
        <v>122916472000</v>
      </c>
      <c r="I493">
        <v>2639509000</v>
      </c>
      <c r="J493">
        <v>161512951000</v>
      </c>
      <c r="K493">
        <v>41958815000</v>
      </c>
      <c r="L493">
        <v>51468849000</v>
      </c>
      <c r="M493">
        <v>63709691000</v>
      </c>
      <c r="N493">
        <v>68085287000</v>
      </c>
      <c r="O493">
        <v>37567676000</v>
      </c>
      <c r="P493">
        <v>6587093000</v>
      </c>
      <c r="Q493">
        <v>4895789000</v>
      </c>
      <c r="R493">
        <v>3269226000</v>
      </c>
      <c r="S493">
        <v>3483007000</v>
      </c>
      <c r="T493">
        <v>10228931000</v>
      </c>
      <c r="U493">
        <v>-5849962000</v>
      </c>
      <c r="V493">
        <f t="shared" si="26"/>
        <v>35152597000</v>
      </c>
      <c r="W493">
        <f t="shared" si="27"/>
        <v>151129562000</v>
      </c>
    </row>
    <row r="494" spans="1:23" x14ac:dyDescent="0.2">
      <c r="A494">
        <f>IF(D494="USD",VLOOKUP(VALUE(RIGHT(E494,4)),'USD RUB'!$E:$F,2,FALSE),1)</f>
        <v>1</v>
      </c>
      <c r="B494" s="4">
        <v>1</v>
      </c>
      <c r="C494">
        <v>1000</v>
      </c>
      <c r="D494" t="s">
        <v>20</v>
      </c>
      <c r="E494" s="1" t="s">
        <v>510</v>
      </c>
      <c r="F494">
        <v>5088988000</v>
      </c>
      <c r="G494">
        <v>24277063000</v>
      </c>
      <c r="H494">
        <v>121769257000</v>
      </c>
      <c r="I494">
        <v>2623924000</v>
      </c>
      <c r="J494">
        <v>158878431000</v>
      </c>
      <c r="K494">
        <v>43481486000</v>
      </c>
      <c r="L494">
        <v>50578810000</v>
      </c>
      <c r="M494">
        <v>60439076000</v>
      </c>
      <c r="N494">
        <v>64818135000</v>
      </c>
      <c r="O494">
        <v>138151147000</v>
      </c>
      <c r="P494">
        <v>17606017000</v>
      </c>
      <c r="Q494">
        <v>12361310000</v>
      </c>
      <c r="R494">
        <v>6560627000</v>
      </c>
      <c r="S494">
        <v>12615166000</v>
      </c>
      <c r="T494">
        <v>35333249000</v>
      </c>
      <c r="U494">
        <v>-24290056000</v>
      </c>
      <c r="V494">
        <f t="shared" si="26"/>
        <v>128454108000</v>
      </c>
      <c r="W494">
        <f t="shared" si="27"/>
        <v>148754288000</v>
      </c>
    </row>
    <row r="495" spans="1:23" x14ac:dyDescent="0.2">
      <c r="A495">
        <f>IF(D495="USD",VLOOKUP(VALUE(RIGHT(E495,4)),'USD RUB'!$E:$F,2,FALSE),1)</f>
        <v>1</v>
      </c>
      <c r="B495" s="4">
        <v>1</v>
      </c>
      <c r="C495">
        <v>1000</v>
      </c>
      <c r="D495" t="s">
        <v>20</v>
      </c>
      <c r="E495" s="1" t="s">
        <v>511</v>
      </c>
      <c r="F495">
        <v>9432916000</v>
      </c>
      <c r="G495">
        <v>28870655000</v>
      </c>
      <c r="H495">
        <v>114377327000</v>
      </c>
      <c r="I495">
        <v>2491122000</v>
      </c>
      <c r="J495">
        <v>154795717000</v>
      </c>
      <c r="K495">
        <v>34381448000</v>
      </c>
      <c r="L495">
        <v>55291301000</v>
      </c>
      <c r="M495">
        <v>60112622000</v>
      </c>
      <c r="N495">
        <v>65122968000</v>
      </c>
      <c r="O495">
        <v>98085513000</v>
      </c>
      <c r="P495">
        <v>13746999000</v>
      </c>
      <c r="Q495">
        <v>9773833000</v>
      </c>
      <c r="R495">
        <v>6605132000</v>
      </c>
      <c r="S495">
        <v>9664355000</v>
      </c>
      <c r="T495">
        <v>27040750000</v>
      </c>
      <c r="U495">
        <v>-14008186000</v>
      </c>
      <c r="V495">
        <f t="shared" si="26"/>
        <v>91419853000</v>
      </c>
      <c r="W495">
        <f t="shared" si="27"/>
        <v>143679111000</v>
      </c>
    </row>
    <row r="496" spans="1:23" x14ac:dyDescent="0.2">
      <c r="A496">
        <f>IF(D496="USD",VLOOKUP(VALUE(RIGHT(E496,4)),'USD RUB'!$E:$F,2,FALSE),1)</f>
        <v>1</v>
      </c>
      <c r="B496" s="4">
        <v>1</v>
      </c>
      <c r="C496">
        <v>1000</v>
      </c>
      <c r="D496" t="s">
        <v>20</v>
      </c>
      <c r="E496" s="1" t="s">
        <v>512</v>
      </c>
      <c r="F496">
        <v>10316854000</v>
      </c>
      <c r="G496">
        <v>28082458000</v>
      </c>
      <c r="H496">
        <v>110591554000</v>
      </c>
      <c r="I496">
        <v>2389315000</v>
      </c>
      <c r="J496">
        <v>150862531000</v>
      </c>
      <c r="K496">
        <v>36057270000</v>
      </c>
      <c r="L496">
        <v>52384589000</v>
      </c>
      <c r="M496">
        <v>57534619000</v>
      </c>
      <c r="N496">
        <v>62420672000</v>
      </c>
      <c r="O496">
        <v>65151169000</v>
      </c>
      <c r="P496">
        <v>8563053000</v>
      </c>
      <c r="Q496">
        <v>6031277000</v>
      </c>
      <c r="R496">
        <v>4020461000</v>
      </c>
      <c r="S496">
        <v>6432768000</v>
      </c>
      <c r="T496">
        <v>17926176000</v>
      </c>
      <c r="U496">
        <v>-9203735000</v>
      </c>
      <c r="V496">
        <f t="shared" si="26"/>
        <v>62895178000</v>
      </c>
      <c r="W496">
        <f t="shared" si="27"/>
        <v>139295855000</v>
      </c>
    </row>
    <row r="497" spans="1:23" x14ac:dyDescent="0.2">
      <c r="A497">
        <f>IF(D497="USD",VLOOKUP(VALUE(RIGHT(E497,4)),'USD RUB'!$E:$F,2,FALSE),1)</f>
        <v>1</v>
      </c>
      <c r="B497" s="4">
        <v>1</v>
      </c>
      <c r="C497">
        <v>1000</v>
      </c>
      <c r="D497" t="s">
        <v>20</v>
      </c>
      <c r="E497" s="1" t="s">
        <v>513</v>
      </c>
      <c r="F497">
        <v>11980090000</v>
      </c>
      <c r="G497">
        <v>30688010000</v>
      </c>
      <c r="H497">
        <v>108361294000</v>
      </c>
      <c r="I497">
        <v>2180435000</v>
      </c>
      <c r="J497">
        <v>151129562000</v>
      </c>
      <c r="K497">
        <v>35632284000</v>
      </c>
      <c r="L497">
        <v>52132317000</v>
      </c>
      <c r="M497">
        <v>58779623000</v>
      </c>
      <c r="N497">
        <v>63364961000</v>
      </c>
      <c r="O497">
        <v>35152597000</v>
      </c>
      <c r="P497">
        <v>4897378000</v>
      </c>
      <c r="Q497">
        <v>3560838000</v>
      </c>
      <c r="R497">
        <v>2477916000</v>
      </c>
      <c r="S497">
        <v>3229737000</v>
      </c>
      <c r="T497">
        <v>8430364000</v>
      </c>
      <c r="U497">
        <v>-4368045000</v>
      </c>
      <c r="V497">
        <f t="shared" si="26"/>
        <v>33653674000</v>
      </c>
      <c r="W497">
        <f t="shared" si="27"/>
        <v>140841718000</v>
      </c>
    </row>
    <row r="498" spans="1:23" x14ac:dyDescent="0.2">
      <c r="A498">
        <f>IF(D498="USD",VLOOKUP(VALUE(RIGHT(E498,4)),'USD RUB'!$E:$F,2,FALSE),1)</f>
        <v>1</v>
      </c>
      <c r="B498" s="4">
        <v>1</v>
      </c>
      <c r="C498">
        <v>1000</v>
      </c>
      <c r="D498" t="s">
        <v>20</v>
      </c>
      <c r="E498" s="1" t="s">
        <v>514</v>
      </c>
      <c r="F498">
        <v>7809829000</v>
      </c>
      <c r="G498">
        <v>26545287000</v>
      </c>
      <c r="H498">
        <v>108901174000</v>
      </c>
      <c r="I498">
        <v>3253483000</v>
      </c>
      <c r="J498">
        <v>148754288000</v>
      </c>
      <c r="K498">
        <v>42808736000</v>
      </c>
      <c r="L498">
        <v>45301072000</v>
      </c>
      <c r="M498">
        <v>56308288000</v>
      </c>
      <c r="N498">
        <v>60644480000</v>
      </c>
      <c r="O498">
        <v>128454108000</v>
      </c>
      <c r="P498">
        <v>13754831000</v>
      </c>
      <c r="Q498">
        <v>11025994000</v>
      </c>
      <c r="R498">
        <v>7916238000</v>
      </c>
      <c r="S498">
        <v>12345512000</v>
      </c>
      <c r="T498">
        <v>29393781000</v>
      </c>
      <c r="U498">
        <v>-20127416000</v>
      </c>
      <c r="V498">
        <f t="shared" si="26"/>
        <v>114588934000</v>
      </c>
      <c r="W498">
        <f t="shared" si="27"/>
        <v>139803807000</v>
      </c>
    </row>
    <row r="499" spans="1:23" x14ac:dyDescent="0.2">
      <c r="A499">
        <f>IF(D499="USD",VLOOKUP(VALUE(RIGHT(E499,4)),'USD RUB'!$E:$F,2,FALSE),1)</f>
        <v>1</v>
      </c>
      <c r="B499" s="4">
        <v>1</v>
      </c>
      <c r="C499">
        <v>1000</v>
      </c>
      <c r="D499" t="s">
        <v>20</v>
      </c>
      <c r="E499" s="1" t="s">
        <v>515</v>
      </c>
      <c r="F499">
        <v>5343235000</v>
      </c>
      <c r="G499">
        <v>25703470000</v>
      </c>
      <c r="H499">
        <v>105874398000</v>
      </c>
      <c r="I499">
        <v>2457905000</v>
      </c>
      <c r="J499">
        <v>143679111000</v>
      </c>
      <c r="K499">
        <v>41416334000</v>
      </c>
      <c r="L499">
        <v>42016971000</v>
      </c>
      <c r="M499">
        <v>55884061000</v>
      </c>
      <c r="N499">
        <v>60245806000</v>
      </c>
      <c r="O499">
        <v>91419853000</v>
      </c>
      <c r="P499">
        <v>13253208000</v>
      </c>
      <c r="Q499">
        <v>10567277000</v>
      </c>
      <c r="R499">
        <v>7484552000</v>
      </c>
      <c r="S499">
        <v>9409127000</v>
      </c>
      <c r="T499">
        <v>23507486000</v>
      </c>
      <c r="U499">
        <v>-12073462000</v>
      </c>
      <c r="V499">
        <f t="shared" si="26"/>
        <v>80801157000</v>
      </c>
      <c r="W499">
        <f t="shared" si="27"/>
        <v>134053352000</v>
      </c>
    </row>
    <row r="500" spans="1:23" x14ac:dyDescent="0.2">
      <c r="A500">
        <f>IF(D500="USD",VLOOKUP(VALUE(RIGHT(E500,4)),'USD RUB'!$E:$F,2,FALSE),1)</f>
        <v>1</v>
      </c>
      <c r="B500" s="4">
        <v>1</v>
      </c>
      <c r="C500">
        <v>1000</v>
      </c>
      <c r="D500" t="s">
        <v>20</v>
      </c>
      <c r="E500" s="1" t="s">
        <v>516</v>
      </c>
      <c r="F500">
        <v>5027393000</v>
      </c>
      <c r="G500">
        <v>24365782000</v>
      </c>
      <c r="H500">
        <v>103918526000</v>
      </c>
      <c r="I500">
        <v>2438367000</v>
      </c>
      <c r="J500">
        <v>139295855000</v>
      </c>
      <c r="K500">
        <v>47019628000</v>
      </c>
      <c r="L500">
        <v>33910316000</v>
      </c>
      <c r="M500">
        <v>54199466000</v>
      </c>
      <c r="N500">
        <v>58365911000</v>
      </c>
      <c r="O500">
        <v>62895178000</v>
      </c>
      <c r="P500">
        <v>9748658000</v>
      </c>
      <c r="Q500">
        <v>8120961000</v>
      </c>
      <c r="R500">
        <v>5791696000</v>
      </c>
      <c r="S500">
        <v>6241407000</v>
      </c>
      <c r="T500">
        <v>16688346000</v>
      </c>
      <c r="U500">
        <v>-8008613000</v>
      </c>
      <c r="V500">
        <f t="shared" si="26"/>
        <v>54613295000</v>
      </c>
      <c r="W500">
        <f t="shared" si="27"/>
        <v>133624402000</v>
      </c>
    </row>
    <row r="501" spans="1:23" x14ac:dyDescent="0.2">
      <c r="A501">
        <f>IF(D501="USD",VLOOKUP(VALUE(RIGHT(E501,4)),'USD RUB'!$E:$F,2,FALSE),1)</f>
        <v>1</v>
      </c>
      <c r="B501" s="4">
        <v>1</v>
      </c>
      <c r="C501">
        <v>1000</v>
      </c>
      <c r="D501" t="s">
        <v>20</v>
      </c>
      <c r="E501" s="1" t="s">
        <v>517</v>
      </c>
      <c r="F501">
        <v>6599391000</v>
      </c>
      <c r="G501">
        <v>26916159000</v>
      </c>
      <c r="H501">
        <v>102895588000</v>
      </c>
      <c r="I501">
        <v>2420908000</v>
      </c>
      <c r="J501">
        <v>140841718000</v>
      </c>
      <c r="K501">
        <v>53194534000</v>
      </c>
      <c r="L501">
        <v>30843365000</v>
      </c>
      <c r="M501">
        <v>52701337000</v>
      </c>
      <c r="N501">
        <v>56803819000</v>
      </c>
      <c r="O501">
        <v>33653674000</v>
      </c>
      <c r="P501">
        <v>5841901000</v>
      </c>
      <c r="Q501">
        <v>5038338000</v>
      </c>
      <c r="R501">
        <v>3811579000</v>
      </c>
      <c r="S501">
        <v>3129902000</v>
      </c>
      <c r="T501">
        <v>9161977000</v>
      </c>
      <c r="U501">
        <v>-4095942000</v>
      </c>
      <c r="V501">
        <f t="shared" si="26"/>
        <v>29316623000</v>
      </c>
      <c r="W501">
        <f t="shared" si="27"/>
        <v>131938323000</v>
      </c>
    </row>
    <row r="502" spans="1:23" x14ac:dyDescent="0.2">
      <c r="A502">
        <f>IF(D502="USD",VLOOKUP(VALUE(RIGHT(E502,4)),'USD RUB'!$E:$F,2,FALSE),1)</f>
        <v>1</v>
      </c>
      <c r="B502" s="4">
        <v>1</v>
      </c>
      <c r="C502">
        <v>1000</v>
      </c>
      <c r="D502" t="s">
        <v>20</v>
      </c>
      <c r="E502" s="1" t="s">
        <v>518</v>
      </c>
      <c r="F502">
        <v>6505927000</v>
      </c>
      <c r="G502">
        <v>26258489000</v>
      </c>
      <c r="H502">
        <v>102626844000</v>
      </c>
      <c r="I502">
        <v>2451676000</v>
      </c>
      <c r="J502">
        <v>139803807000</v>
      </c>
      <c r="K502">
        <v>50244044000</v>
      </c>
      <c r="L502">
        <v>36713194000</v>
      </c>
      <c r="M502">
        <v>48899818000</v>
      </c>
      <c r="N502">
        <v>52846569000</v>
      </c>
      <c r="O502">
        <v>114588934000</v>
      </c>
      <c r="P502">
        <v>11900122000</v>
      </c>
      <c r="Q502">
        <v>7608176000</v>
      </c>
      <c r="R502">
        <v>4905655000</v>
      </c>
      <c r="S502">
        <v>12574553000</v>
      </c>
      <c r="T502">
        <v>25978290000</v>
      </c>
      <c r="U502">
        <v>-14485172000</v>
      </c>
      <c r="V502">
        <f t="shared" si="26"/>
        <v>108101278000</v>
      </c>
      <c r="W502">
        <f t="shared" si="27"/>
        <v>130349711000</v>
      </c>
    </row>
    <row r="503" spans="1:23" x14ac:dyDescent="0.2">
      <c r="A503">
        <f>IF(D503="USD",VLOOKUP(VALUE(RIGHT(E503,4)),'USD RUB'!$E:$F,2,FALSE),1)</f>
        <v>1</v>
      </c>
      <c r="B503" s="4">
        <v>1</v>
      </c>
      <c r="C503">
        <v>1000</v>
      </c>
      <c r="D503" t="s">
        <v>20</v>
      </c>
      <c r="E503" s="1" t="s">
        <v>519</v>
      </c>
      <c r="F503">
        <v>5375928000</v>
      </c>
      <c r="G503">
        <v>23182489000</v>
      </c>
      <c r="H503">
        <v>99580043000</v>
      </c>
      <c r="I503">
        <v>2329019000</v>
      </c>
      <c r="J503">
        <v>134053352000</v>
      </c>
      <c r="K503">
        <v>47323286000</v>
      </c>
      <c r="L503">
        <v>33410419000</v>
      </c>
      <c r="M503">
        <v>49386405000</v>
      </c>
      <c r="N503">
        <v>53319647000</v>
      </c>
      <c r="O503">
        <v>80801157000</v>
      </c>
      <c r="P503">
        <v>9231720000</v>
      </c>
      <c r="Q503">
        <v>5878596000</v>
      </c>
      <c r="R503">
        <v>3949453000</v>
      </c>
      <c r="S503">
        <v>9518622000</v>
      </c>
      <c r="T503">
        <v>19878778000</v>
      </c>
      <c r="U503">
        <v>-9473678000</v>
      </c>
      <c r="V503">
        <f t="shared" si="26"/>
        <v>77595788000</v>
      </c>
      <c r="W503">
        <f t="shared" si="27"/>
        <v>124695117000</v>
      </c>
    </row>
    <row r="504" spans="1:23" x14ac:dyDescent="0.2">
      <c r="A504">
        <f>IF(D504="USD",VLOOKUP(VALUE(RIGHT(E504,4)),'USD RUB'!$E:$F,2,FALSE),1)</f>
        <v>1</v>
      </c>
      <c r="B504" s="4">
        <v>1</v>
      </c>
      <c r="C504">
        <v>1000</v>
      </c>
      <c r="D504" t="s">
        <v>20</v>
      </c>
      <c r="E504" s="1" t="s">
        <v>520</v>
      </c>
      <c r="F504">
        <v>4927205000</v>
      </c>
      <c r="G504">
        <v>22620278000</v>
      </c>
      <c r="H504">
        <v>99491266000</v>
      </c>
      <c r="I504">
        <v>2403127000</v>
      </c>
      <c r="J504">
        <v>133624402000</v>
      </c>
      <c r="K504">
        <v>38281719000</v>
      </c>
      <c r="L504">
        <v>42433992000</v>
      </c>
      <c r="M504">
        <v>48755082000</v>
      </c>
      <c r="N504">
        <v>52908691000</v>
      </c>
      <c r="O504">
        <v>54613295000</v>
      </c>
      <c r="P504">
        <v>7482257000</v>
      </c>
      <c r="Q504">
        <v>5078630000</v>
      </c>
      <c r="R504">
        <v>3470602000</v>
      </c>
      <c r="S504">
        <v>6362478000</v>
      </c>
      <c r="T504">
        <v>13909078000</v>
      </c>
      <c r="U504">
        <v>-6685075000</v>
      </c>
      <c r="V504">
        <f t="shared" si="26"/>
        <v>52142820000</v>
      </c>
      <c r="W504">
        <f t="shared" si="27"/>
        <v>125007354000</v>
      </c>
    </row>
    <row r="505" spans="1:23" x14ac:dyDescent="0.2">
      <c r="A505">
        <f>IF(D505="USD",VLOOKUP(VALUE(RIGHT(E505,4)),'USD RUB'!$E:$F,2,FALSE),1)</f>
        <v>1</v>
      </c>
      <c r="B505" s="4">
        <v>1</v>
      </c>
      <c r="C505">
        <v>1000</v>
      </c>
      <c r="D505" t="s">
        <v>20</v>
      </c>
      <c r="E505" s="1" t="s">
        <v>521</v>
      </c>
      <c r="F505">
        <v>3254120000</v>
      </c>
      <c r="G505">
        <v>21730845000</v>
      </c>
      <c r="H505">
        <v>99309840000</v>
      </c>
      <c r="I505">
        <v>2383686000</v>
      </c>
      <c r="J505">
        <v>131938323000</v>
      </c>
      <c r="K505">
        <v>29066652000</v>
      </c>
      <c r="L505">
        <v>48632106000</v>
      </c>
      <c r="M505">
        <v>49388881000</v>
      </c>
      <c r="N505">
        <v>54239565000</v>
      </c>
      <c r="O505">
        <v>29316623000</v>
      </c>
      <c r="P505">
        <v>4670076000</v>
      </c>
      <c r="Q505">
        <v>3680092000</v>
      </c>
      <c r="R505">
        <v>2668389000</v>
      </c>
      <c r="S505">
        <v>3201756000</v>
      </c>
      <c r="T505">
        <v>8071358000</v>
      </c>
      <c r="U505">
        <v>-3922541000</v>
      </c>
      <c r="V505">
        <f t="shared" si="26"/>
        <v>27881202000</v>
      </c>
      <c r="W505">
        <f t="shared" si="27"/>
        <v>126303213000</v>
      </c>
    </row>
    <row r="506" spans="1:23" x14ac:dyDescent="0.2">
      <c r="A506">
        <f>IF(D506="USD",VLOOKUP(VALUE(RIGHT(E506,4)),'USD RUB'!$E:$F,2,FALSE),1)</f>
        <v>1</v>
      </c>
      <c r="B506" s="4">
        <v>1</v>
      </c>
      <c r="C506">
        <v>1000</v>
      </c>
      <c r="D506" t="s">
        <v>20</v>
      </c>
      <c r="E506" s="1" t="s">
        <v>522</v>
      </c>
      <c r="F506">
        <v>1881546000</v>
      </c>
      <c r="G506">
        <v>18805562000</v>
      </c>
      <c r="H506">
        <v>100269568000</v>
      </c>
      <c r="I506">
        <v>2345248000</v>
      </c>
      <c r="J506">
        <v>130349711000</v>
      </c>
      <c r="K506">
        <v>30798511000</v>
      </c>
      <c r="L506">
        <v>48329703000</v>
      </c>
      <c r="M506">
        <v>46743299000</v>
      </c>
      <c r="N506">
        <v>51221497000</v>
      </c>
      <c r="O506">
        <v>108101278000</v>
      </c>
      <c r="P506">
        <v>10126728000</v>
      </c>
      <c r="Q506">
        <v>6409194000</v>
      </c>
      <c r="R506">
        <v>4372618000</v>
      </c>
      <c r="S506">
        <v>12499771000</v>
      </c>
      <c r="T506">
        <v>22992998000</v>
      </c>
      <c r="U506">
        <v>-16039836000</v>
      </c>
      <c r="V506">
        <f t="shared" si="26"/>
        <v>97638836000</v>
      </c>
      <c r="W506">
        <f t="shared" si="27"/>
        <v>121996294000</v>
      </c>
    </row>
    <row r="507" spans="1:23" x14ac:dyDescent="0.2">
      <c r="A507">
        <f>IF(D507="USD",VLOOKUP(VALUE(RIGHT(E507,4)),'USD RUB'!$E:$F,2,FALSE),1)</f>
        <v>1</v>
      </c>
      <c r="B507" s="4">
        <v>1</v>
      </c>
      <c r="C507">
        <v>1000</v>
      </c>
      <c r="D507" t="s">
        <v>20</v>
      </c>
      <c r="E507" s="1" t="s">
        <v>523</v>
      </c>
      <c r="F507">
        <v>1803181000</v>
      </c>
      <c r="G507">
        <v>20670241000</v>
      </c>
      <c r="H507">
        <v>97257521000</v>
      </c>
      <c r="I507">
        <v>2206834000</v>
      </c>
      <c r="J507">
        <v>124695117000</v>
      </c>
      <c r="K507">
        <v>19059617000</v>
      </c>
      <c r="L507">
        <v>54320859000</v>
      </c>
      <c r="M507">
        <v>46904826000</v>
      </c>
      <c r="N507">
        <v>51314641000</v>
      </c>
      <c r="O507">
        <v>77595788000</v>
      </c>
      <c r="P507">
        <v>8701473000</v>
      </c>
      <c r="Q507">
        <v>6416578000</v>
      </c>
      <c r="R507">
        <v>4501086000</v>
      </c>
      <c r="S507">
        <v>9283759000</v>
      </c>
      <c r="T507">
        <v>17468267000</v>
      </c>
      <c r="U507">
        <v>-10564529000</v>
      </c>
      <c r="V507">
        <f t="shared" si="26"/>
        <v>69732060000</v>
      </c>
      <c r="W507">
        <f t="shared" si="27"/>
        <v>125689779000</v>
      </c>
    </row>
    <row r="508" spans="1:23" x14ac:dyDescent="0.2">
      <c r="A508">
        <f>IF(D508="USD",VLOOKUP(VALUE(RIGHT(E508,4)),'USD RUB'!$E:$F,2,FALSE),1)</f>
        <v>1</v>
      </c>
      <c r="B508" s="4">
        <v>1</v>
      </c>
      <c r="C508">
        <v>1000</v>
      </c>
      <c r="D508" t="s">
        <v>20</v>
      </c>
      <c r="E508" s="1" t="s">
        <v>524</v>
      </c>
      <c r="F508">
        <v>1864347000</v>
      </c>
      <c r="G508">
        <v>21204808000</v>
      </c>
      <c r="H508">
        <v>96764108000</v>
      </c>
      <c r="I508">
        <v>2224162000</v>
      </c>
      <c r="J508">
        <v>125007354000</v>
      </c>
      <c r="K508">
        <v>22614170000</v>
      </c>
      <c r="L508">
        <v>51950889000</v>
      </c>
      <c r="M508">
        <v>46115325000</v>
      </c>
      <c r="N508">
        <v>50442295000</v>
      </c>
      <c r="O508">
        <v>52142820000</v>
      </c>
      <c r="P508">
        <v>6412969000</v>
      </c>
      <c r="Q508">
        <v>4991132000</v>
      </c>
      <c r="R508">
        <v>3678115000</v>
      </c>
      <c r="S508">
        <v>6137061000</v>
      </c>
      <c r="T508">
        <v>12243294000</v>
      </c>
      <c r="U508">
        <v>-6767170000</v>
      </c>
      <c r="V508">
        <f t="shared" si="26"/>
        <v>46440362000</v>
      </c>
      <c r="W508">
        <f t="shared" si="27"/>
        <v>120296103000</v>
      </c>
    </row>
    <row r="509" spans="1:23" x14ac:dyDescent="0.2">
      <c r="A509">
        <f>IF(D509="USD",VLOOKUP(VALUE(RIGHT(E509,4)),'USD RUB'!$E:$F,2,FALSE),1)</f>
        <v>1</v>
      </c>
      <c r="B509" s="4">
        <v>1</v>
      </c>
      <c r="C509">
        <v>1000</v>
      </c>
      <c r="D509" t="s">
        <v>20</v>
      </c>
      <c r="E509" s="1" t="s">
        <v>525</v>
      </c>
      <c r="F509">
        <v>3986167000</v>
      </c>
      <c r="G509">
        <v>24294292000</v>
      </c>
      <c r="H509">
        <v>95527944000</v>
      </c>
      <c r="I509">
        <v>2272490000</v>
      </c>
      <c r="J509">
        <v>126303213000</v>
      </c>
      <c r="K509">
        <v>29725707000</v>
      </c>
      <c r="L509">
        <v>45974897000</v>
      </c>
      <c r="M509">
        <v>46293343000</v>
      </c>
      <c r="N509">
        <v>50602609000</v>
      </c>
      <c r="O509">
        <v>27881202000</v>
      </c>
      <c r="P509">
        <v>3904862000</v>
      </c>
      <c r="Q509">
        <v>3206795000</v>
      </c>
      <c r="R509">
        <v>2425981000</v>
      </c>
      <c r="S509">
        <v>3058257000</v>
      </c>
      <c r="T509">
        <v>6916343000</v>
      </c>
      <c r="U509">
        <v>-3554215000</v>
      </c>
      <c r="V509">
        <f t="shared" si="26"/>
        <v>25293635000</v>
      </c>
      <c r="W509">
        <f t="shared" si="27"/>
        <v>120600258000</v>
      </c>
    </row>
    <row r="510" spans="1:23" x14ac:dyDescent="0.2">
      <c r="A510">
        <f>IF(D510="USD",VLOOKUP(VALUE(RIGHT(E510,4)),'USD RUB'!$E:$F,2,FALSE),1)</f>
        <v>1</v>
      </c>
      <c r="B510" s="4">
        <v>1</v>
      </c>
      <c r="C510">
        <v>1000</v>
      </c>
      <c r="D510" t="s">
        <v>20</v>
      </c>
      <c r="E510" s="1" t="s">
        <v>526</v>
      </c>
      <c r="F510">
        <v>1406311000</v>
      </c>
      <c r="G510">
        <v>19795836000</v>
      </c>
      <c r="H510">
        <v>96105195000</v>
      </c>
      <c r="I510">
        <v>2331958000</v>
      </c>
      <c r="J510">
        <v>121996294000</v>
      </c>
      <c r="K510">
        <v>33049104000</v>
      </c>
      <c r="L510">
        <v>41081247000</v>
      </c>
      <c r="M510">
        <v>43900420000</v>
      </c>
      <c r="N510">
        <v>47865943000</v>
      </c>
      <c r="O510">
        <v>97638836000</v>
      </c>
      <c r="P510">
        <v>5025091000</v>
      </c>
      <c r="Q510">
        <v>3313834000</v>
      </c>
      <c r="R510">
        <v>2156322000</v>
      </c>
      <c r="S510">
        <v>11736288000</v>
      </c>
      <c r="T510">
        <v>21983913000</v>
      </c>
      <c r="U510">
        <v>-13641733000</v>
      </c>
      <c r="V510">
        <f t="shared" si="26"/>
        <v>94641562000</v>
      </c>
      <c r="W510">
        <f t="shared" si="27"/>
        <v>118396419000</v>
      </c>
    </row>
    <row r="511" spans="1:23" x14ac:dyDescent="0.2">
      <c r="A511">
        <f>IF(D511="USD",VLOOKUP(VALUE(RIGHT(E511,4)),'USD RUB'!$E:$F,2,FALSE),1)</f>
        <v>1</v>
      </c>
      <c r="B511" s="4">
        <v>1</v>
      </c>
      <c r="C511">
        <v>1000</v>
      </c>
      <c r="D511" t="s">
        <v>20</v>
      </c>
      <c r="E511" s="1" t="s">
        <v>527</v>
      </c>
      <c r="F511">
        <v>3544745000</v>
      </c>
      <c r="G511">
        <v>22245864000</v>
      </c>
      <c r="H511">
        <v>97535074000</v>
      </c>
      <c r="I511">
        <v>2286157000</v>
      </c>
      <c r="J511">
        <v>125689779000</v>
      </c>
      <c r="K511">
        <v>33693434000</v>
      </c>
      <c r="L511">
        <v>42103284000</v>
      </c>
      <c r="M511">
        <v>45662008000</v>
      </c>
      <c r="N511">
        <v>49893061000</v>
      </c>
      <c r="O511">
        <v>69732060000</v>
      </c>
      <c r="P511">
        <v>6199752000</v>
      </c>
      <c r="Q511">
        <v>4752418000</v>
      </c>
      <c r="R511">
        <v>3823813000</v>
      </c>
      <c r="S511">
        <v>8618346000</v>
      </c>
      <c r="T511">
        <v>14218444000</v>
      </c>
      <c r="U511">
        <v>-9809310000</v>
      </c>
      <c r="V511">
        <f t="shared" si="26"/>
        <v>68690061000</v>
      </c>
      <c r="W511">
        <f t="shared" si="27"/>
        <v>109636157000</v>
      </c>
    </row>
    <row r="512" spans="1:23" x14ac:dyDescent="0.2">
      <c r="A512">
        <f>IF(D512="USD",VLOOKUP(VALUE(RIGHT(E512,4)),'USD RUB'!$E:$F,2,FALSE),1)</f>
        <v>1</v>
      </c>
      <c r="B512" s="4">
        <v>1</v>
      </c>
      <c r="C512">
        <v>1000</v>
      </c>
      <c r="D512" t="s">
        <v>20</v>
      </c>
      <c r="E512" s="1" t="s">
        <v>528</v>
      </c>
      <c r="F512">
        <v>2016862000</v>
      </c>
      <c r="G512">
        <v>20463905000</v>
      </c>
      <c r="H512">
        <v>93747788000</v>
      </c>
      <c r="I512">
        <v>2388510000</v>
      </c>
      <c r="J512">
        <v>120296103000</v>
      </c>
      <c r="K512">
        <v>30303817000</v>
      </c>
      <c r="L512">
        <v>42188982000</v>
      </c>
      <c r="M512">
        <v>43691925000</v>
      </c>
      <c r="N512">
        <v>47803304000</v>
      </c>
      <c r="O512">
        <v>46440362000</v>
      </c>
      <c r="P512">
        <v>3732314000</v>
      </c>
      <c r="Q512">
        <v>2156152000</v>
      </c>
      <c r="R512">
        <v>1808029000</v>
      </c>
      <c r="S512">
        <v>5720066000</v>
      </c>
      <c r="T512">
        <v>9159172000</v>
      </c>
      <c r="U512">
        <v>-4657526000</v>
      </c>
      <c r="V512">
        <f t="shared" si="26"/>
        <v>46570277000</v>
      </c>
      <c r="W512">
        <f t="shared" si="27"/>
        <v>109197376000</v>
      </c>
    </row>
    <row r="513" spans="1:23" x14ac:dyDescent="0.2">
      <c r="A513">
        <f>IF(D513="USD",VLOOKUP(VALUE(RIGHT(E513,4)),'USD RUB'!$E:$F,2,FALSE),1)</f>
        <v>1</v>
      </c>
      <c r="B513" s="4">
        <v>1</v>
      </c>
      <c r="C513">
        <v>1000</v>
      </c>
      <c r="D513" t="s">
        <v>20</v>
      </c>
      <c r="E513" s="1" t="s">
        <v>529</v>
      </c>
      <c r="F513">
        <v>3501691000</v>
      </c>
      <c r="G513">
        <v>20953813000</v>
      </c>
      <c r="H513">
        <v>93420319000</v>
      </c>
      <c r="I513">
        <v>2438730000</v>
      </c>
      <c r="J513">
        <v>120600258000</v>
      </c>
      <c r="K513">
        <v>25211451000</v>
      </c>
      <c r="L513">
        <v>47014668000</v>
      </c>
      <c r="M513">
        <v>44083851000</v>
      </c>
      <c r="N513">
        <v>48374139000</v>
      </c>
      <c r="O513">
        <v>25293635000</v>
      </c>
      <c r="P513">
        <v>3306883000</v>
      </c>
      <c r="Q513">
        <v>2512237000</v>
      </c>
      <c r="R513">
        <v>2177407000</v>
      </c>
      <c r="S513">
        <v>2875808000</v>
      </c>
      <c r="T513">
        <v>6213666000</v>
      </c>
      <c r="U513">
        <v>-2297845000</v>
      </c>
      <c r="V513">
        <f t="shared" si="26"/>
        <v>25110014000</v>
      </c>
      <c r="W513">
        <f t="shared" si="27"/>
        <v>110387238000</v>
      </c>
    </row>
    <row r="514" spans="1:23" x14ac:dyDescent="0.2">
      <c r="A514">
        <f>IF(D514="USD",VLOOKUP(VALUE(RIGHT(E514,4)),'USD RUB'!$E:$F,2,FALSE),1)</f>
        <v>1</v>
      </c>
      <c r="B514" s="4">
        <v>1</v>
      </c>
      <c r="C514">
        <v>1000</v>
      </c>
      <c r="D514" t="s">
        <v>20</v>
      </c>
      <c r="E514" s="1" t="s">
        <v>530</v>
      </c>
      <c r="F514">
        <v>1517108000</v>
      </c>
      <c r="G514">
        <v>17945994000</v>
      </c>
      <c r="H514">
        <v>94313194000</v>
      </c>
      <c r="I514">
        <v>2476115000</v>
      </c>
      <c r="J514">
        <v>118396419000</v>
      </c>
      <c r="K514">
        <v>24620861000</v>
      </c>
      <c r="L514">
        <v>47688402000</v>
      </c>
      <c r="M514">
        <v>41944315000</v>
      </c>
      <c r="N514">
        <v>46087156000</v>
      </c>
      <c r="O514">
        <v>94641562000</v>
      </c>
      <c r="P514">
        <v>8117518000</v>
      </c>
      <c r="Q514">
        <v>4661340000</v>
      </c>
      <c r="R514">
        <v>3153194000</v>
      </c>
      <c r="S514">
        <v>10848219000</v>
      </c>
      <c r="T514">
        <v>16287495000</v>
      </c>
      <c r="U514">
        <v>-11997997000</v>
      </c>
      <c r="V514">
        <f t="shared" si="26"/>
        <v>93935259000</v>
      </c>
      <c r="W514">
        <f t="shared" si="27"/>
        <v>108125465000</v>
      </c>
    </row>
    <row r="515" spans="1:23" x14ac:dyDescent="0.2">
      <c r="A515">
        <f>IF(D515="USD",VLOOKUP(VALUE(RIGHT(E515,4)),'USD RUB'!$E:$F,2,FALSE),1)</f>
        <v>1</v>
      </c>
      <c r="B515" s="4">
        <v>1</v>
      </c>
      <c r="C515">
        <v>1000</v>
      </c>
      <c r="D515" t="s">
        <v>20</v>
      </c>
      <c r="E515" s="1" t="s">
        <v>531</v>
      </c>
      <c r="F515">
        <v>529449000</v>
      </c>
      <c r="G515">
        <v>17664030000</v>
      </c>
      <c r="H515">
        <v>86970754000</v>
      </c>
      <c r="I515">
        <v>2494737000</v>
      </c>
      <c r="J515">
        <v>109636157000</v>
      </c>
      <c r="K515">
        <v>24094868000</v>
      </c>
      <c r="L515">
        <v>39951446000</v>
      </c>
      <c r="M515">
        <v>41633321000</v>
      </c>
      <c r="N515">
        <v>45589843000</v>
      </c>
      <c r="O515">
        <v>68690061000</v>
      </c>
      <c r="P515">
        <v>5374256000</v>
      </c>
      <c r="Q515">
        <v>2745984000</v>
      </c>
      <c r="R515">
        <v>1974560000</v>
      </c>
      <c r="S515">
        <v>8087781000</v>
      </c>
      <c r="T515">
        <v>12836036000</v>
      </c>
      <c r="U515">
        <v>-6816008000</v>
      </c>
      <c r="V515">
        <f t="shared" si="26"/>
        <v>68429532000</v>
      </c>
      <c r="W515">
        <f t="shared" si="27"/>
        <v>104770056000</v>
      </c>
    </row>
    <row r="516" spans="1:23" x14ac:dyDescent="0.2">
      <c r="A516">
        <f>IF(D516="USD",VLOOKUP(VALUE(RIGHT(E516,4)),'USD RUB'!$E:$F,2,FALSE),1)</f>
        <v>1</v>
      </c>
      <c r="B516" s="4">
        <v>1</v>
      </c>
      <c r="C516">
        <v>1000</v>
      </c>
      <c r="D516" t="s">
        <v>20</v>
      </c>
      <c r="E516" s="1" t="s">
        <v>532</v>
      </c>
      <c r="F516">
        <v>92409000</v>
      </c>
      <c r="G516">
        <v>16868242000</v>
      </c>
      <c r="H516">
        <v>86688102000</v>
      </c>
      <c r="I516">
        <v>2588772000</v>
      </c>
      <c r="J516">
        <v>109197376000</v>
      </c>
      <c r="K516">
        <v>23983561000</v>
      </c>
      <c r="L516">
        <v>40004394000</v>
      </c>
      <c r="M516">
        <v>41158288000</v>
      </c>
      <c r="N516">
        <v>45209421000</v>
      </c>
      <c r="O516">
        <v>46570277000</v>
      </c>
      <c r="P516">
        <v>3834962000</v>
      </c>
      <c r="Q516">
        <v>2075951000</v>
      </c>
      <c r="R516">
        <v>1482715000</v>
      </c>
      <c r="S516">
        <v>5385013000</v>
      </c>
      <c r="T516">
        <v>8828194000</v>
      </c>
      <c r="U516">
        <v>-4631376000</v>
      </c>
      <c r="V516">
        <f t="shared" si="26"/>
        <v>46755582000</v>
      </c>
      <c r="W516">
        <f t="shared" si="27"/>
        <v>103568324000</v>
      </c>
    </row>
    <row r="517" spans="1:23" x14ac:dyDescent="0.2">
      <c r="A517">
        <f>IF(D517="USD",VLOOKUP(VALUE(RIGHT(E517,4)),'USD RUB'!$E:$F,2,FALSE),1)</f>
        <v>1</v>
      </c>
      <c r="B517" s="4">
        <v>1</v>
      </c>
      <c r="C517">
        <v>1000</v>
      </c>
      <c r="D517" t="s">
        <v>20</v>
      </c>
      <c r="E517" s="1" t="s">
        <v>533</v>
      </c>
      <c r="F517">
        <v>1293917000</v>
      </c>
      <c r="G517">
        <v>17624913000</v>
      </c>
      <c r="H517">
        <v>86651102000</v>
      </c>
      <c r="I517">
        <v>2677843000</v>
      </c>
      <c r="J517">
        <v>110387238000</v>
      </c>
      <c r="K517">
        <v>24149091000</v>
      </c>
      <c r="L517">
        <v>39975285000</v>
      </c>
      <c r="M517">
        <v>42050230000</v>
      </c>
      <c r="N517">
        <v>46262862000</v>
      </c>
      <c r="O517">
        <v>25110014000</v>
      </c>
      <c r="P517">
        <v>2874469000</v>
      </c>
      <c r="Q517">
        <v>1980077000</v>
      </c>
      <c r="R517">
        <v>1488856000</v>
      </c>
      <c r="S517">
        <v>2694014000</v>
      </c>
      <c r="T517">
        <v>5372613000</v>
      </c>
      <c r="U517">
        <v>-2210044000</v>
      </c>
      <c r="V517">
        <f t="shared" si="26"/>
        <v>25444407000</v>
      </c>
      <c r="W517">
        <f t="shared" si="27"/>
        <v>105191564000</v>
      </c>
    </row>
    <row r="518" spans="1:23" x14ac:dyDescent="0.2">
      <c r="A518">
        <f>IF(D518="USD",VLOOKUP(VALUE(RIGHT(E518,4)),'USD RUB'!$E:$F,2,FALSE),1)</f>
        <v>1</v>
      </c>
      <c r="B518" s="4">
        <v>1</v>
      </c>
      <c r="C518">
        <v>1000</v>
      </c>
      <c r="D518" t="s">
        <v>20</v>
      </c>
      <c r="E518" s="1" t="s">
        <v>534</v>
      </c>
      <c r="F518">
        <v>787053000</v>
      </c>
      <c r="G518">
        <v>16154525000</v>
      </c>
      <c r="H518">
        <v>87860303000</v>
      </c>
      <c r="I518">
        <v>2784394000</v>
      </c>
      <c r="J518">
        <v>108125465000</v>
      </c>
      <c r="K518">
        <v>26396667000</v>
      </c>
      <c r="L518">
        <v>36865824000</v>
      </c>
      <c r="M518">
        <v>40580643000</v>
      </c>
      <c r="N518">
        <v>44862974000</v>
      </c>
      <c r="O518">
        <v>93935259000</v>
      </c>
      <c r="P518">
        <v>7376054000</v>
      </c>
      <c r="Q518">
        <v>4095455000</v>
      </c>
      <c r="R518">
        <v>2995842000</v>
      </c>
      <c r="S518">
        <v>9909297000</v>
      </c>
      <c r="T518">
        <v>16764872000</v>
      </c>
      <c r="U518">
        <v>-13098407000</v>
      </c>
      <c r="V518">
        <f t="shared" si="26"/>
        <v>91115571000</v>
      </c>
      <c r="W518">
        <f t="shared" si="27"/>
        <v>105078716000</v>
      </c>
    </row>
    <row r="519" spans="1:23" x14ac:dyDescent="0.2">
      <c r="A519">
        <f>IF(D519="USD",VLOOKUP(VALUE(RIGHT(E519,4)),'USD RUB'!$E:$F,2,FALSE),1)</f>
        <v>1</v>
      </c>
      <c r="B519" s="4">
        <v>1</v>
      </c>
      <c r="C519">
        <v>1000</v>
      </c>
      <c r="D519" t="s">
        <v>20</v>
      </c>
      <c r="E519" s="1" t="s">
        <v>535</v>
      </c>
      <c r="F519">
        <v>216301000</v>
      </c>
      <c r="G519">
        <v>14203005000</v>
      </c>
      <c r="H519">
        <v>86477481000</v>
      </c>
      <c r="I519">
        <v>2701433000</v>
      </c>
      <c r="J519">
        <v>104770056000</v>
      </c>
      <c r="K519">
        <v>17606458000</v>
      </c>
      <c r="L519">
        <v>41566164000</v>
      </c>
      <c r="M519">
        <v>41185186000</v>
      </c>
      <c r="N519">
        <v>45597434000</v>
      </c>
      <c r="O519">
        <v>68429532000</v>
      </c>
      <c r="P519">
        <v>5503178000</v>
      </c>
      <c r="Q519">
        <v>3038479000</v>
      </c>
      <c r="R519">
        <v>2038912000</v>
      </c>
      <c r="S519">
        <v>7516758000</v>
      </c>
      <c r="T519">
        <v>12651482000</v>
      </c>
      <c r="U519">
        <v>-7900627000</v>
      </c>
      <c r="V519">
        <f t="shared" si="26"/>
        <v>65785154000</v>
      </c>
      <c r="W519">
        <f t="shared" si="27"/>
        <v>105082208000</v>
      </c>
    </row>
    <row r="520" spans="1:23" x14ac:dyDescent="0.2">
      <c r="A520">
        <f>IF(D520="USD",VLOOKUP(VALUE(RIGHT(E520,4)),'USD RUB'!$E:$F,2,FALSE),1)</f>
        <v>1</v>
      </c>
      <c r="B520" s="4">
        <v>1</v>
      </c>
      <c r="C520">
        <v>1000</v>
      </c>
      <c r="D520" t="s">
        <v>20</v>
      </c>
      <c r="E520" s="1" t="s">
        <v>536</v>
      </c>
      <c r="F520">
        <v>318191000</v>
      </c>
      <c r="G520">
        <v>14121350000</v>
      </c>
      <c r="H520">
        <v>85354383000</v>
      </c>
      <c r="I520">
        <v>2500135000</v>
      </c>
      <c r="J520">
        <v>103568324000</v>
      </c>
      <c r="K520">
        <v>11102215000</v>
      </c>
      <c r="L520">
        <v>46939794000</v>
      </c>
      <c r="M520">
        <v>41319887000</v>
      </c>
      <c r="N520">
        <v>45526315000</v>
      </c>
      <c r="O520">
        <v>46755582000</v>
      </c>
      <c r="P520">
        <v>4766540000</v>
      </c>
      <c r="Q520">
        <v>3098847000</v>
      </c>
      <c r="R520">
        <v>2163152000</v>
      </c>
      <c r="S520">
        <v>4996938000</v>
      </c>
      <c r="T520">
        <v>9520590000</v>
      </c>
      <c r="U520">
        <v>-5118728000</v>
      </c>
      <c r="V520">
        <f t="shared" si="26"/>
        <v>45255525000</v>
      </c>
      <c r="W520">
        <f t="shared" si="27"/>
        <v>107831765000</v>
      </c>
    </row>
    <row r="521" spans="1:23" x14ac:dyDescent="0.2">
      <c r="A521">
        <f>IF(D521="USD",VLOOKUP(VALUE(RIGHT(E521,4)),'USD RUB'!$E:$F,2,FALSE),1)</f>
        <v>1</v>
      </c>
      <c r="B521" s="4">
        <v>1</v>
      </c>
      <c r="C521">
        <v>1000</v>
      </c>
      <c r="D521" t="s">
        <v>20</v>
      </c>
      <c r="E521" s="1" t="s">
        <v>537</v>
      </c>
      <c r="F521">
        <v>759478000</v>
      </c>
      <c r="G521">
        <v>15691258000</v>
      </c>
      <c r="H521">
        <v>85122299000</v>
      </c>
      <c r="I521">
        <v>2595679000</v>
      </c>
      <c r="J521">
        <v>105191564000</v>
      </c>
      <c r="K521">
        <v>17462959000</v>
      </c>
      <c r="L521">
        <v>41757344000</v>
      </c>
      <c r="M521">
        <v>41963693000</v>
      </c>
      <c r="N521">
        <v>45971261000</v>
      </c>
      <c r="O521">
        <v>25444407000</v>
      </c>
      <c r="P521">
        <v>3482940000</v>
      </c>
      <c r="Q521">
        <v>2589411000</v>
      </c>
      <c r="R521">
        <v>1919186000</v>
      </c>
      <c r="S521">
        <v>2489741000</v>
      </c>
      <c r="T521">
        <v>5927943000</v>
      </c>
      <c r="U521">
        <v>-2837908000</v>
      </c>
      <c r="V521">
        <f t="shared" si="26"/>
        <v>24297765000</v>
      </c>
      <c r="W521">
        <f t="shared" si="27"/>
        <v>109604731000</v>
      </c>
    </row>
    <row r="522" spans="1:23" x14ac:dyDescent="0.2">
      <c r="A522">
        <f>IF(D522="USD",VLOOKUP(VALUE(RIGHT(E522,4)),'USD RUB'!$E:$F,2,FALSE),1)</f>
        <v>1</v>
      </c>
      <c r="B522" s="4">
        <v>1</v>
      </c>
      <c r="C522">
        <v>1000</v>
      </c>
      <c r="D522" t="s">
        <v>20</v>
      </c>
      <c r="E522" s="1" t="s">
        <v>538</v>
      </c>
      <c r="F522">
        <v>1362307000</v>
      </c>
      <c r="G522">
        <v>15208075000</v>
      </c>
      <c r="H522">
        <v>85721289000</v>
      </c>
      <c r="I522">
        <v>2380170000</v>
      </c>
      <c r="J522">
        <v>105078716000</v>
      </c>
      <c r="K522">
        <v>18891416000</v>
      </c>
      <c r="L522">
        <v>42024785000</v>
      </c>
      <c r="M522">
        <v>40060231000</v>
      </c>
      <c r="N522">
        <v>44162515000</v>
      </c>
      <c r="O522">
        <v>91115571000</v>
      </c>
      <c r="P522">
        <v>9145532000</v>
      </c>
      <c r="Q522">
        <v>5360570000</v>
      </c>
      <c r="R522">
        <v>3022797000</v>
      </c>
      <c r="S522">
        <v>9634052000</v>
      </c>
      <c r="T522">
        <v>19522281000</v>
      </c>
      <c r="U522">
        <v>-12259626000</v>
      </c>
      <c r="V522">
        <f t="shared" si="26"/>
        <v>86294863000</v>
      </c>
      <c r="W522">
        <f t="shared" si="27"/>
        <v>107042166000</v>
      </c>
    </row>
    <row r="523" spans="1:23" x14ac:dyDescent="0.2">
      <c r="A523">
        <f>IF(D523="USD",VLOOKUP(VALUE(RIGHT(E523,4)),'USD RUB'!$E:$F,2,FALSE),1)</f>
        <v>1</v>
      </c>
      <c r="B523" s="4">
        <v>1</v>
      </c>
      <c r="C523">
        <v>1000</v>
      </c>
      <c r="D523" t="s">
        <v>20</v>
      </c>
      <c r="E523" s="1" t="s">
        <v>539</v>
      </c>
      <c r="F523">
        <v>2536017000</v>
      </c>
      <c r="G523">
        <v>18092328000</v>
      </c>
      <c r="H523">
        <v>83894282000</v>
      </c>
      <c r="I523">
        <v>2217474000</v>
      </c>
      <c r="J523">
        <v>105082208000</v>
      </c>
      <c r="K523">
        <v>16903617000</v>
      </c>
      <c r="L523">
        <v>44450937000</v>
      </c>
      <c r="M523">
        <v>39529509000</v>
      </c>
      <c r="N523">
        <v>43727654000</v>
      </c>
      <c r="O523">
        <v>65785154000</v>
      </c>
      <c r="P523">
        <v>7428263000</v>
      </c>
      <c r="Q523">
        <v>4572922000</v>
      </c>
      <c r="R523">
        <v>2482094000</v>
      </c>
      <c r="S523">
        <v>7158167000</v>
      </c>
      <c r="T523">
        <v>14518524000</v>
      </c>
      <c r="U523">
        <v>-7608151000</v>
      </c>
      <c r="V523" t="str">
        <f t="shared" si="26"/>
        <v/>
      </c>
      <c r="W523" t="str">
        <f t="shared" si="27"/>
        <v/>
      </c>
    </row>
    <row r="524" spans="1:23" x14ac:dyDescent="0.2">
      <c r="A524">
        <f>IF(D524="USD",VLOOKUP(VALUE(RIGHT(E524,4)),'USD RUB'!$E:$F,2,FALSE),1)</f>
        <v>1</v>
      </c>
      <c r="B524" s="4">
        <v>1</v>
      </c>
      <c r="C524">
        <v>1000</v>
      </c>
      <c r="D524" t="s">
        <v>20</v>
      </c>
      <c r="E524" s="1" t="s">
        <v>540</v>
      </c>
      <c r="F524">
        <v>3759684000</v>
      </c>
      <c r="G524">
        <v>21308820000</v>
      </c>
      <c r="H524">
        <v>83393116000</v>
      </c>
      <c r="I524">
        <v>2238094000</v>
      </c>
      <c r="J524">
        <v>107831765000</v>
      </c>
      <c r="K524">
        <v>22458089000</v>
      </c>
      <c r="L524">
        <v>41366142000</v>
      </c>
      <c r="M524">
        <v>39783068000</v>
      </c>
      <c r="N524">
        <v>44007534000</v>
      </c>
      <c r="O524">
        <v>45255525000</v>
      </c>
      <c r="P524">
        <v>5987398000</v>
      </c>
      <c r="Q524">
        <v>4102378000</v>
      </c>
      <c r="R524">
        <v>2728101000</v>
      </c>
      <c r="S524">
        <v>4741585000</v>
      </c>
      <c r="T524">
        <v>10755769000</v>
      </c>
      <c r="U524">
        <v>-5155114000</v>
      </c>
      <c r="V524">
        <f t="shared" si="26"/>
        <v>41520011000</v>
      </c>
      <c r="W524">
        <f t="shared" si="27"/>
        <v>102576625000</v>
      </c>
    </row>
    <row r="525" spans="1:23" x14ac:dyDescent="0.2">
      <c r="A525">
        <f>IF(D525="USD",VLOOKUP(VALUE(RIGHT(E525,4)),'USD RUB'!$E:$F,2,FALSE),1)</f>
        <v>1</v>
      </c>
      <c r="B525" s="4">
        <v>1</v>
      </c>
      <c r="C525">
        <v>1000</v>
      </c>
      <c r="D525" t="s">
        <v>20</v>
      </c>
      <c r="E525" s="1" t="s">
        <v>541</v>
      </c>
      <c r="F525">
        <v>8126955000</v>
      </c>
      <c r="G525">
        <v>23443490000</v>
      </c>
      <c r="H525">
        <v>82948231000</v>
      </c>
      <c r="I525">
        <v>2306340000</v>
      </c>
      <c r="J525">
        <v>109604731000</v>
      </c>
      <c r="K525">
        <v>17007328000</v>
      </c>
      <c r="L525">
        <v>46944002000</v>
      </c>
      <c r="M525">
        <v>41384553000</v>
      </c>
      <c r="N525">
        <v>45653401000</v>
      </c>
      <c r="O525">
        <v>24297765000</v>
      </c>
      <c r="P525">
        <v>4194016000</v>
      </c>
      <c r="Q525">
        <v>3243805000</v>
      </c>
      <c r="R525">
        <v>2453185000</v>
      </c>
      <c r="S525">
        <v>2366794000</v>
      </c>
      <c r="T525">
        <v>6579085000</v>
      </c>
      <c r="U525">
        <v>-2688739000</v>
      </c>
      <c r="V525" t="str">
        <f t="shared" si="26"/>
        <v/>
      </c>
      <c r="W525" t="str">
        <f t="shared" si="27"/>
        <v/>
      </c>
    </row>
    <row r="526" spans="1:23" x14ac:dyDescent="0.2">
      <c r="A526">
        <f>IF(D526="USD",VLOOKUP(VALUE(RIGHT(E526,4)),'USD RUB'!$E:$F,2,FALSE),1)</f>
        <v>1</v>
      </c>
      <c r="B526" s="4">
        <v>1</v>
      </c>
      <c r="C526">
        <v>1000</v>
      </c>
      <c r="D526" t="s">
        <v>20</v>
      </c>
      <c r="E526" s="1" t="s">
        <v>542</v>
      </c>
      <c r="F526">
        <v>2567305000</v>
      </c>
      <c r="G526">
        <v>20026329000</v>
      </c>
      <c r="H526">
        <v>83790818000</v>
      </c>
      <c r="J526">
        <v>107042166000</v>
      </c>
      <c r="K526">
        <v>16846793000</v>
      </c>
      <c r="L526">
        <v>46941643000</v>
      </c>
      <c r="M526">
        <v>38947905000</v>
      </c>
      <c r="N526">
        <v>43253730000</v>
      </c>
      <c r="O526">
        <v>86294863000</v>
      </c>
      <c r="P526">
        <v>9245116000</v>
      </c>
      <c r="Q526">
        <v>4748887000</v>
      </c>
      <c r="R526">
        <v>4762293000</v>
      </c>
      <c r="T526">
        <v>17900000000</v>
      </c>
      <c r="U526">
        <v>13420343000</v>
      </c>
      <c r="V526">
        <f t="shared" si="26"/>
        <v>80830287000</v>
      </c>
      <c r="W526">
        <f t="shared" si="27"/>
        <v>100448970000</v>
      </c>
    </row>
    <row r="527" spans="1:23" x14ac:dyDescent="0.2">
      <c r="A527">
        <f>IF(D527="USD",VLOOKUP(VALUE(RIGHT(E527,4)),'USD RUB'!$E:$F,2,FALSE),1)</f>
        <v>1</v>
      </c>
      <c r="B527" s="4">
        <v>1</v>
      </c>
      <c r="C527">
        <v>1000</v>
      </c>
      <c r="D527" t="s">
        <v>20</v>
      </c>
      <c r="E527" s="1" t="s">
        <v>543</v>
      </c>
      <c r="F527">
        <v>2220025000</v>
      </c>
      <c r="G527">
        <v>22011698000</v>
      </c>
      <c r="H527">
        <v>77891365000</v>
      </c>
      <c r="J527">
        <v>102576625000</v>
      </c>
      <c r="K527">
        <v>12794616000</v>
      </c>
      <c r="L527">
        <v>49077455000</v>
      </c>
      <c r="M527">
        <v>36698245000</v>
      </c>
      <c r="N527">
        <v>40704554000</v>
      </c>
      <c r="O527">
        <v>41520011000</v>
      </c>
      <c r="P527">
        <v>4214277000</v>
      </c>
      <c r="Q527">
        <v>1994296000</v>
      </c>
      <c r="R527">
        <v>2506919000</v>
      </c>
      <c r="T527">
        <v>8600000000</v>
      </c>
      <c r="U527">
        <v>4075632000</v>
      </c>
      <c r="V527">
        <f t="shared" si="26"/>
        <v>38905464000</v>
      </c>
      <c r="W527">
        <f t="shared" si="27"/>
        <v>94452391000</v>
      </c>
    </row>
    <row r="528" spans="1:23" x14ac:dyDescent="0.2">
      <c r="A528">
        <f>IF(D528="USD",VLOOKUP(VALUE(RIGHT(E528,4)),'USD RUB'!$E:$F,2,FALSE),1)</f>
        <v>1</v>
      </c>
      <c r="B528" s="4">
        <v>1</v>
      </c>
      <c r="C528">
        <v>1000</v>
      </c>
      <c r="D528" t="s">
        <v>20</v>
      </c>
      <c r="E528" s="1" t="s">
        <v>544</v>
      </c>
      <c r="F528">
        <v>123220000</v>
      </c>
      <c r="G528">
        <v>20273536000</v>
      </c>
      <c r="H528">
        <v>77639154000</v>
      </c>
      <c r="J528">
        <v>100448970000</v>
      </c>
      <c r="K528">
        <v>13223887000</v>
      </c>
      <c r="L528">
        <v>48338740000</v>
      </c>
      <c r="M528">
        <v>34672186000</v>
      </c>
      <c r="N528">
        <v>38886343000</v>
      </c>
      <c r="O528">
        <v>80830287000</v>
      </c>
      <c r="P528">
        <v>7074323000</v>
      </c>
      <c r="Q528">
        <v>2800767000</v>
      </c>
      <c r="R528">
        <v>880947000</v>
      </c>
      <c r="T528">
        <v>15200000000</v>
      </c>
      <c r="U528">
        <v>12991287000</v>
      </c>
      <c r="V528">
        <f t="shared" si="26"/>
        <v>86991622000</v>
      </c>
      <c r="W528">
        <f t="shared" si="27"/>
        <v>93793994000</v>
      </c>
    </row>
    <row r="529" spans="1:23" x14ac:dyDescent="0.2">
      <c r="A529">
        <f>IF(D529="USD",VLOOKUP(VALUE(RIGHT(E529,4)),'USD RUB'!$E:$F,2,FALSE),1)</f>
        <v>1</v>
      </c>
      <c r="B529" s="4">
        <v>1</v>
      </c>
      <c r="C529">
        <v>1000</v>
      </c>
      <c r="D529" t="s">
        <v>20</v>
      </c>
      <c r="E529" s="1" t="s">
        <v>545</v>
      </c>
      <c r="F529">
        <v>1203147000</v>
      </c>
      <c r="G529">
        <v>20597507000</v>
      </c>
      <c r="H529">
        <v>72463936000</v>
      </c>
      <c r="J529">
        <v>94452391000</v>
      </c>
      <c r="K529">
        <v>21977229000</v>
      </c>
      <c r="L529">
        <v>33307128000</v>
      </c>
      <c r="M529">
        <v>34961312000</v>
      </c>
      <c r="N529">
        <v>39168034000</v>
      </c>
      <c r="O529">
        <v>38905464000</v>
      </c>
      <c r="P529">
        <v>3967277000</v>
      </c>
      <c r="Q529">
        <v>1948772000</v>
      </c>
      <c r="R529">
        <v>1165286000</v>
      </c>
      <c r="T529">
        <v>7900000000</v>
      </c>
      <c r="U529">
        <v>2331278000</v>
      </c>
      <c r="V529">
        <f t="shared" si="26"/>
        <v>47690826000</v>
      </c>
      <c r="W529">
        <f t="shared" si="27"/>
        <v>99038127000</v>
      </c>
    </row>
    <row r="530" spans="1:23" x14ac:dyDescent="0.2">
      <c r="A530">
        <f>IF(D530="USD",VLOOKUP(VALUE(RIGHT(E530,4)),'USD RUB'!$E:$F,2,FALSE),1)</f>
        <v>1</v>
      </c>
      <c r="B530" s="4">
        <v>1</v>
      </c>
      <c r="C530">
        <v>1000</v>
      </c>
      <c r="D530" t="s">
        <v>20</v>
      </c>
      <c r="E530" s="1" t="s">
        <v>546</v>
      </c>
      <c r="F530">
        <v>395836000</v>
      </c>
      <c r="G530">
        <v>19479121000</v>
      </c>
      <c r="H530">
        <v>73086442000</v>
      </c>
      <c r="J530">
        <v>93793994000</v>
      </c>
      <c r="K530">
        <v>20539198000</v>
      </c>
      <c r="L530">
        <v>34323134000</v>
      </c>
      <c r="M530">
        <v>34647003000</v>
      </c>
      <c r="N530">
        <v>38931662000</v>
      </c>
      <c r="O530">
        <v>86991622000</v>
      </c>
      <c r="P530">
        <v>-749041000</v>
      </c>
      <c r="Q530">
        <v>-3398338000</v>
      </c>
      <c r="R530">
        <v>-3284521000</v>
      </c>
      <c r="T530">
        <v>7800000000</v>
      </c>
      <c r="U530">
        <v>12381236000</v>
      </c>
      <c r="V530">
        <f t="shared" si="26"/>
        <v>93296538000</v>
      </c>
      <c r="W530">
        <f t="shared" si="27"/>
        <v>96046624000</v>
      </c>
    </row>
    <row r="531" spans="1:23" x14ac:dyDescent="0.2">
      <c r="A531">
        <f>IF(D531="USD",VLOOKUP(VALUE(RIGHT(E531,4)),'USD RUB'!$E:$F,2,FALSE),1)</f>
        <v>1</v>
      </c>
      <c r="B531" s="4">
        <v>1</v>
      </c>
      <c r="C531">
        <v>1000</v>
      </c>
      <c r="D531" t="s">
        <v>20</v>
      </c>
      <c r="E531" s="1" t="s">
        <v>547</v>
      </c>
      <c r="F531">
        <v>366722000</v>
      </c>
      <c r="G531">
        <v>20240252000</v>
      </c>
      <c r="H531">
        <v>77498719000</v>
      </c>
      <c r="J531">
        <v>99038127000</v>
      </c>
      <c r="K531">
        <v>17324306000</v>
      </c>
      <c r="L531">
        <v>37274312000</v>
      </c>
      <c r="M531">
        <v>40539299000</v>
      </c>
      <c r="N531">
        <v>44439509000</v>
      </c>
      <c r="O531">
        <v>47690826000</v>
      </c>
      <c r="P531">
        <v>4837031000</v>
      </c>
      <c r="Q531">
        <v>3508676000</v>
      </c>
      <c r="R531">
        <v>2599174000</v>
      </c>
      <c r="T531">
        <v>6000000000</v>
      </c>
      <c r="U531">
        <v>3367751000</v>
      </c>
      <c r="V531">
        <f t="shared" si="26"/>
        <v>41898316000</v>
      </c>
      <c r="W531">
        <f t="shared" si="27"/>
        <v>90104870000</v>
      </c>
    </row>
    <row r="532" spans="1:23" x14ac:dyDescent="0.2">
      <c r="A532">
        <f>IF(D532="USD",VLOOKUP(VALUE(RIGHT(E532,4)),'USD RUB'!$E:$F,2,FALSE),1)</f>
        <v>1</v>
      </c>
      <c r="B532" s="4">
        <v>1</v>
      </c>
      <c r="C532">
        <v>1000</v>
      </c>
      <c r="D532" t="s">
        <v>20</v>
      </c>
      <c r="E532" s="1" t="s">
        <v>548</v>
      </c>
      <c r="F532">
        <v>1114942000</v>
      </c>
      <c r="G532">
        <v>16708050000</v>
      </c>
      <c r="H532">
        <v>78073742000</v>
      </c>
      <c r="J532">
        <v>96046624000</v>
      </c>
      <c r="K532">
        <v>14863141000</v>
      </c>
      <c r="L532">
        <v>39429504000</v>
      </c>
      <c r="N532">
        <v>41753979000</v>
      </c>
      <c r="O532">
        <v>93296538000</v>
      </c>
      <c r="P532">
        <v>3395410000</v>
      </c>
      <c r="Q532">
        <v>1048583000</v>
      </c>
      <c r="R532">
        <v>266247000</v>
      </c>
      <c r="V532">
        <f t="shared" si="26"/>
        <v>69984035000</v>
      </c>
      <c r="W532">
        <f t="shared" si="27"/>
        <v>89571058000</v>
      </c>
    </row>
    <row r="533" spans="1:23" x14ac:dyDescent="0.2">
      <c r="A533">
        <f>IF(D533="USD",VLOOKUP(VALUE(RIGHT(E533,4)),'USD RUB'!$E:$F,2,FALSE),1)</f>
        <v>1</v>
      </c>
      <c r="B533" s="4">
        <v>1</v>
      </c>
      <c r="C533">
        <v>1000000</v>
      </c>
      <c r="D533" t="s">
        <v>20</v>
      </c>
      <c r="E533" s="1" t="s">
        <v>549</v>
      </c>
      <c r="F533">
        <v>1432954000</v>
      </c>
      <c r="G533">
        <v>17504459000</v>
      </c>
      <c r="H533">
        <v>71350506000</v>
      </c>
      <c r="J533">
        <v>90104870000</v>
      </c>
      <c r="K533">
        <v>13609223000</v>
      </c>
      <c r="L533">
        <v>34030089999.999996</v>
      </c>
      <c r="N533">
        <v>42465557000</v>
      </c>
      <c r="O533">
        <v>41898316000</v>
      </c>
      <c r="P533">
        <v>2054844999.9999998</v>
      </c>
      <c r="Q533">
        <v>908745000</v>
      </c>
      <c r="R533">
        <v>602808000</v>
      </c>
      <c r="T533">
        <v>5841672000</v>
      </c>
      <c r="V533">
        <f t="shared" si="26"/>
        <v>34152960000</v>
      </c>
      <c r="W533">
        <f t="shared" si="27"/>
        <v>82767086000</v>
      </c>
    </row>
    <row r="534" spans="1:23" x14ac:dyDescent="0.2">
      <c r="A534">
        <f>IF(D534="USD",VLOOKUP(VALUE(RIGHT(E534,4)),'USD RUB'!$E:$F,2,FALSE),1)</f>
        <v>1</v>
      </c>
      <c r="B534" s="4">
        <v>1</v>
      </c>
      <c r="C534">
        <v>1000000</v>
      </c>
      <c r="D534" t="s">
        <v>20</v>
      </c>
      <c r="E534" s="1" t="s">
        <v>550</v>
      </c>
      <c r="F534">
        <v>971592000</v>
      </c>
      <c r="G534">
        <v>16808922999.999998</v>
      </c>
      <c r="H534">
        <v>71360324000</v>
      </c>
      <c r="J534">
        <v>89571058000</v>
      </c>
      <c r="K534">
        <v>13559464000</v>
      </c>
      <c r="L534">
        <v>33427788999.999996</v>
      </c>
      <c r="N534">
        <v>42583805000</v>
      </c>
      <c r="O534">
        <v>69984035000</v>
      </c>
      <c r="P534">
        <v>7555774000</v>
      </c>
      <c r="Q534">
        <v>5744119000</v>
      </c>
      <c r="R534">
        <v>4428256000</v>
      </c>
      <c r="T534">
        <v>14845489000</v>
      </c>
      <c r="V534">
        <f t="shared" si="26"/>
        <v>69041226000</v>
      </c>
      <c r="W534">
        <f t="shared" si="27"/>
        <v>76816795000</v>
      </c>
    </row>
    <row r="535" spans="1:23" x14ac:dyDescent="0.2">
      <c r="A535">
        <f>IF(D535="USD",VLOOKUP(VALUE(RIGHT(E535,4)),'USD RUB'!$E:$F,2,FALSE),1)</f>
        <v>1</v>
      </c>
      <c r="B535" s="4">
        <v>1</v>
      </c>
      <c r="C535">
        <v>1000</v>
      </c>
      <c r="D535" t="s">
        <v>20</v>
      </c>
      <c r="E535" s="1" t="s">
        <v>551</v>
      </c>
      <c r="F535">
        <v>3322346000</v>
      </c>
      <c r="G535">
        <v>17673921000</v>
      </c>
      <c r="H535">
        <v>63616958000</v>
      </c>
      <c r="J535">
        <v>82767086000</v>
      </c>
      <c r="K535">
        <v>13738439000</v>
      </c>
      <c r="L535">
        <v>27417104000</v>
      </c>
      <c r="N535">
        <v>41611543000</v>
      </c>
      <c r="O535">
        <v>34152960000</v>
      </c>
      <c r="P535">
        <v>5390199000</v>
      </c>
      <c r="Q535">
        <v>4521911000</v>
      </c>
      <c r="R535">
        <v>3455994000</v>
      </c>
      <c r="T535">
        <v>9100000000</v>
      </c>
      <c r="V535">
        <f t="shared" si="26"/>
        <v>35215286000</v>
      </c>
      <c r="W535">
        <f t="shared" si="27"/>
        <v>67019540000</v>
      </c>
    </row>
    <row r="536" spans="1:23" x14ac:dyDescent="0.2">
      <c r="A536">
        <f>IF(D536="USD",VLOOKUP(VALUE(RIGHT(E536,4)),'USD RUB'!$E:$F,2,FALSE),1)</f>
        <v>1</v>
      </c>
      <c r="B536" s="4">
        <v>1</v>
      </c>
      <c r="C536">
        <v>1000</v>
      </c>
      <c r="D536" t="s">
        <v>20</v>
      </c>
      <c r="E536" s="1" t="s">
        <v>552</v>
      </c>
      <c r="F536">
        <v>2646152000</v>
      </c>
      <c r="G536">
        <v>12967930000</v>
      </c>
      <c r="H536">
        <v>62195991000</v>
      </c>
      <c r="J536">
        <v>76816795000</v>
      </c>
      <c r="K536">
        <v>11325242000</v>
      </c>
      <c r="L536">
        <v>26913825000</v>
      </c>
      <c r="N536">
        <v>38577728000</v>
      </c>
      <c r="O536">
        <v>69041226000</v>
      </c>
      <c r="P536">
        <v>8931806000</v>
      </c>
      <c r="Q536">
        <v>7375517000</v>
      </c>
      <c r="R536">
        <v>5534203000</v>
      </c>
      <c r="T536">
        <v>14800000000</v>
      </c>
      <c r="V536" t="str">
        <f t="shared" si="26"/>
        <v/>
      </c>
      <c r="W536" t="str">
        <f t="shared" si="27"/>
        <v/>
      </c>
    </row>
    <row r="537" spans="1:23" x14ac:dyDescent="0.2">
      <c r="A537">
        <f>IF(D537="USD",VLOOKUP(VALUE(RIGHT(E537,4)),'USD RUB'!$E:$F,2,FALSE),1)</f>
        <v>1</v>
      </c>
      <c r="B537" s="4">
        <v>1</v>
      </c>
      <c r="C537">
        <v>1000</v>
      </c>
      <c r="D537" t="s">
        <v>20</v>
      </c>
      <c r="E537" s="1" t="s">
        <v>553</v>
      </c>
      <c r="F537">
        <v>2798381000</v>
      </c>
      <c r="G537">
        <v>11759358000</v>
      </c>
      <c r="H537">
        <v>53512003000</v>
      </c>
      <c r="J537">
        <v>67019540000</v>
      </c>
      <c r="K537">
        <v>10995760000</v>
      </c>
      <c r="L537">
        <v>19143662000</v>
      </c>
      <c r="N537">
        <v>36880118000</v>
      </c>
      <c r="O537">
        <v>35215286000</v>
      </c>
      <c r="P537">
        <v>5785104000</v>
      </c>
      <c r="Q537">
        <v>4974509000</v>
      </c>
      <c r="R537">
        <v>3836593000</v>
      </c>
      <c r="T537">
        <v>8600000000</v>
      </c>
      <c r="V537" t="str">
        <f t="shared" ref="V537:V600" si="28">_xlfn.XLOOKUP(LEFT(E537,LEN(E537)-4)&amp;(VALUE(RIGHT(E537,4))-1),$E:$E,$O:$O,"")</f>
        <v/>
      </c>
      <c r="W537" t="str">
        <f t="shared" ref="W537:W600" si="29">_xlfn.XLOOKUP(LEFT(E537,LEN(E537)-4)&amp;(VALUE(RIGHT(E537,4))-1),$E:$E,$J:$J,"")</f>
        <v/>
      </c>
    </row>
    <row r="538" spans="1:23" x14ac:dyDescent="0.2">
      <c r="A538">
        <f>IF(D538="USD",VLOOKUP(VALUE(RIGHT(E538,4)),'USD RUB'!$E:$F,2,FALSE),1)</f>
        <v>1</v>
      </c>
      <c r="B538" s="4">
        <v>1</v>
      </c>
      <c r="C538">
        <v>1000</v>
      </c>
      <c r="D538" t="s">
        <v>20</v>
      </c>
      <c r="E538" s="1" t="s">
        <v>554</v>
      </c>
      <c r="F538">
        <v>27847148000</v>
      </c>
      <c r="G538">
        <v>55579067000</v>
      </c>
      <c r="H538">
        <v>144177333000</v>
      </c>
      <c r="I538">
        <v>2298493000</v>
      </c>
      <c r="J538">
        <v>211098814000</v>
      </c>
      <c r="K538">
        <v>67258885000</v>
      </c>
      <c r="L538">
        <v>26348110000</v>
      </c>
      <c r="M538">
        <v>106991151000</v>
      </c>
      <c r="N538">
        <v>117491819000</v>
      </c>
      <c r="O538">
        <v>166059787000</v>
      </c>
      <c r="P538">
        <v>33538346000</v>
      </c>
      <c r="Q538">
        <v>32761179000</v>
      </c>
      <c r="R538">
        <v>23558501000</v>
      </c>
      <c r="S538">
        <v>14380704000</v>
      </c>
      <c r="T538">
        <v>47858239000</v>
      </c>
      <c r="U538">
        <v>-30609959000</v>
      </c>
      <c r="V538">
        <f t="shared" si="28"/>
        <v>143565871000</v>
      </c>
      <c r="W538">
        <f t="shared" si="29"/>
        <v>187536192000</v>
      </c>
    </row>
    <row r="539" spans="1:23" x14ac:dyDescent="0.2">
      <c r="A539">
        <f>IF(D539="USD",VLOOKUP(VALUE(RIGHT(E539,4)),'USD RUB'!$E:$F,2,FALSE),1)</f>
        <v>1</v>
      </c>
      <c r="B539" s="4">
        <v>1</v>
      </c>
      <c r="C539">
        <v>1000</v>
      </c>
      <c r="D539" t="s">
        <v>20</v>
      </c>
      <c r="E539" s="1" t="s">
        <v>555</v>
      </c>
      <c r="F539">
        <v>25420608000</v>
      </c>
      <c r="G539">
        <v>52951889000</v>
      </c>
      <c r="H539">
        <v>131413184000</v>
      </c>
      <c r="I539">
        <v>1934016000</v>
      </c>
      <c r="J539">
        <v>196288630000</v>
      </c>
      <c r="K539">
        <v>70043412000</v>
      </c>
      <c r="L539">
        <v>15394882000</v>
      </c>
      <c r="M539">
        <v>100260303000</v>
      </c>
      <c r="N539">
        <v>110850336000</v>
      </c>
      <c r="O539">
        <v>116008403000</v>
      </c>
      <c r="P539">
        <v>24512072000</v>
      </c>
      <c r="Q539">
        <v>23437848000</v>
      </c>
      <c r="R539">
        <v>16887593000</v>
      </c>
      <c r="S539">
        <v>10872740000</v>
      </c>
      <c r="T539">
        <v>36052308000</v>
      </c>
      <c r="U539">
        <v>-18265710000</v>
      </c>
      <c r="V539">
        <f t="shared" si="28"/>
        <v>101630199000</v>
      </c>
      <c r="W539">
        <f t="shared" si="29"/>
        <v>181774345000</v>
      </c>
    </row>
    <row r="540" spans="1:23" x14ac:dyDescent="0.2">
      <c r="A540">
        <f>IF(D540="USD",VLOOKUP(VALUE(RIGHT(E540,4)),'USD RUB'!$E:$F,2,FALSE),1)</f>
        <v>1</v>
      </c>
      <c r="B540" s="4">
        <v>1</v>
      </c>
      <c r="C540">
        <v>1000</v>
      </c>
      <c r="D540" t="s">
        <v>20</v>
      </c>
      <c r="E540" s="1" t="s">
        <v>556</v>
      </c>
      <c r="F540">
        <v>28594745000</v>
      </c>
      <c r="G540">
        <v>56006484000</v>
      </c>
      <c r="H540">
        <v>125962707000</v>
      </c>
      <c r="I540">
        <v>1895229000</v>
      </c>
      <c r="J540">
        <v>193420332000</v>
      </c>
      <c r="K540">
        <v>73017096000</v>
      </c>
      <c r="L540">
        <v>14483281000</v>
      </c>
      <c r="M540">
        <v>95358479000</v>
      </c>
      <c r="N540">
        <v>105919955000</v>
      </c>
      <c r="O540">
        <v>76143987000</v>
      </c>
      <c r="P540">
        <v>17014687000</v>
      </c>
      <c r="Q540">
        <v>16497726000</v>
      </c>
      <c r="R540">
        <v>11985769000</v>
      </c>
      <c r="S540">
        <v>7208860000</v>
      </c>
      <c r="T540">
        <v>24702484000</v>
      </c>
      <c r="U540">
        <v>-10739167000</v>
      </c>
      <c r="V540">
        <f t="shared" si="28"/>
        <v>67836263000</v>
      </c>
      <c r="W540">
        <f t="shared" si="29"/>
        <v>177682030000</v>
      </c>
    </row>
    <row r="541" spans="1:23" x14ac:dyDescent="0.2">
      <c r="A541">
        <f>IF(D541="USD",VLOOKUP(VALUE(RIGHT(E541,4)),'USD RUB'!$E:$F,2,FALSE),1)</f>
        <v>1</v>
      </c>
      <c r="B541" s="4">
        <v>1</v>
      </c>
      <c r="C541">
        <v>1000</v>
      </c>
      <c r="D541" t="s">
        <v>20</v>
      </c>
      <c r="E541" s="1" t="s">
        <v>557</v>
      </c>
      <c r="F541">
        <v>13617448000</v>
      </c>
      <c r="G541">
        <v>56771108000</v>
      </c>
      <c r="H541">
        <v>124269068000</v>
      </c>
      <c r="I541">
        <v>1840912000</v>
      </c>
      <c r="J541">
        <v>192265029000</v>
      </c>
      <c r="K541">
        <v>55438540000</v>
      </c>
      <c r="L541">
        <v>30152721000</v>
      </c>
      <c r="M541">
        <v>96040075000</v>
      </c>
      <c r="N541">
        <v>106673768000</v>
      </c>
      <c r="O541">
        <v>40734888000</v>
      </c>
      <c r="P541">
        <v>9820857000</v>
      </c>
      <c r="Q541">
        <v>9541267000</v>
      </c>
      <c r="R541">
        <v>7008244000</v>
      </c>
      <c r="S541">
        <v>-3601979000</v>
      </c>
      <c r="T541">
        <v>14728473000</v>
      </c>
      <c r="U541">
        <v>-5567821000</v>
      </c>
      <c r="V541">
        <f t="shared" si="28"/>
        <v>36633848000</v>
      </c>
      <c r="W541">
        <f t="shared" si="29"/>
        <v>173579520000</v>
      </c>
    </row>
    <row r="542" spans="1:23" x14ac:dyDescent="0.2">
      <c r="A542">
        <f>IF(D542="USD",VLOOKUP(VALUE(RIGHT(E542,4)),'USD RUB'!$E:$F,2,FALSE),1)</f>
        <v>1</v>
      </c>
      <c r="B542" s="4">
        <v>1</v>
      </c>
      <c r="C542">
        <v>1000</v>
      </c>
      <c r="D542" t="s">
        <v>20</v>
      </c>
      <c r="E542" s="1" t="s">
        <v>558</v>
      </c>
      <c r="F542">
        <v>21352666000</v>
      </c>
      <c r="G542">
        <v>49259114000</v>
      </c>
      <c r="H542">
        <v>124331101000</v>
      </c>
      <c r="I542">
        <v>1804541000</v>
      </c>
      <c r="J542">
        <v>187536192000</v>
      </c>
      <c r="K542">
        <v>56907464000</v>
      </c>
      <c r="L542">
        <v>30963022000</v>
      </c>
      <c r="M542">
        <v>89031831000</v>
      </c>
      <c r="N542">
        <v>99665706000</v>
      </c>
      <c r="O542">
        <v>143565871000</v>
      </c>
      <c r="P542">
        <v>21684850000</v>
      </c>
      <c r="Q542">
        <v>21232193000</v>
      </c>
      <c r="R542">
        <v>16433157000</v>
      </c>
      <c r="S542">
        <v>13208942000</v>
      </c>
      <c r="T542">
        <v>37025199000</v>
      </c>
      <c r="U542">
        <v>-25495586000</v>
      </c>
      <c r="V542">
        <f t="shared" si="28"/>
        <v>132028653000</v>
      </c>
      <c r="W542">
        <f t="shared" si="29"/>
        <v>168154074000</v>
      </c>
    </row>
    <row r="543" spans="1:23" x14ac:dyDescent="0.2">
      <c r="A543">
        <f>IF(D543="USD",VLOOKUP(VALUE(RIGHT(E543,4)),'USD RUB'!$E:$F,2,FALSE),1)</f>
        <v>1</v>
      </c>
      <c r="B543" s="4">
        <v>1</v>
      </c>
      <c r="C543">
        <v>1000</v>
      </c>
      <c r="D543" t="s">
        <v>20</v>
      </c>
      <c r="E543" s="1" t="s">
        <v>559</v>
      </c>
      <c r="F543">
        <v>26441747000</v>
      </c>
      <c r="G543">
        <v>50493163000</v>
      </c>
      <c r="H543">
        <v>117011077000</v>
      </c>
      <c r="I543">
        <v>1445409000</v>
      </c>
      <c r="J543">
        <v>181774345000</v>
      </c>
      <c r="K543">
        <v>43487325000</v>
      </c>
      <c r="L543">
        <v>39705803000</v>
      </c>
      <c r="M543">
        <v>87835528000</v>
      </c>
      <c r="N543">
        <v>98581217000</v>
      </c>
      <c r="O543">
        <v>101630199000</v>
      </c>
      <c r="P543">
        <v>19560664000</v>
      </c>
      <c r="Q543">
        <v>19105635000</v>
      </c>
      <c r="R543">
        <v>15261719000</v>
      </c>
      <c r="S543">
        <v>9930159000</v>
      </c>
      <c r="T543">
        <v>30282571000</v>
      </c>
      <c r="U543">
        <v>-13706797000</v>
      </c>
      <c r="V543">
        <f t="shared" si="28"/>
        <v>93766776000</v>
      </c>
      <c r="W543">
        <f t="shared" si="29"/>
        <v>159170208000</v>
      </c>
    </row>
    <row r="544" spans="1:23" x14ac:dyDescent="0.2">
      <c r="A544">
        <f>IF(D544="USD",VLOOKUP(VALUE(RIGHT(E544,4)),'USD RUB'!$E:$F,2,FALSE),1)</f>
        <v>1</v>
      </c>
      <c r="B544" s="4">
        <v>1</v>
      </c>
      <c r="C544">
        <v>1000</v>
      </c>
      <c r="D544" t="s">
        <v>20</v>
      </c>
      <c r="E544" s="1" t="s">
        <v>560</v>
      </c>
      <c r="F544">
        <v>24643309000</v>
      </c>
      <c r="G544">
        <v>47736319000</v>
      </c>
      <c r="H544">
        <v>115171739000</v>
      </c>
      <c r="I544">
        <v>1463469000</v>
      </c>
      <c r="J544">
        <v>177682030000</v>
      </c>
      <c r="K544">
        <v>44098913000</v>
      </c>
      <c r="L544">
        <v>39494551000</v>
      </c>
      <c r="M544">
        <v>83408924000</v>
      </c>
      <c r="N544">
        <v>94088566000</v>
      </c>
      <c r="O544">
        <v>67836263000</v>
      </c>
      <c r="P544">
        <v>13337034000</v>
      </c>
      <c r="Q544">
        <v>13353955000</v>
      </c>
      <c r="R544">
        <v>10835115000</v>
      </c>
      <c r="S544">
        <v>6672657000</v>
      </c>
      <c r="T544">
        <v>20515719000</v>
      </c>
      <c r="U544">
        <v>-9342970000</v>
      </c>
      <c r="V544">
        <f t="shared" si="28"/>
        <v>63834009000</v>
      </c>
      <c r="W544">
        <f t="shared" si="29"/>
        <v>154893463000</v>
      </c>
    </row>
    <row r="545" spans="1:23" x14ac:dyDescent="0.2">
      <c r="A545">
        <f>IF(D545="USD",VLOOKUP(VALUE(RIGHT(E545,4)),'USD RUB'!$E:$F,2,FALSE),1)</f>
        <v>1</v>
      </c>
      <c r="B545" s="4">
        <v>1</v>
      </c>
      <c r="C545">
        <v>1000</v>
      </c>
      <c r="D545" t="s">
        <v>20</v>
      </c>
      <c r="E545" s="1" t="s">
        <v>561</v>
      </c>
      <c r="F545">
        <v>20285786000</v>
      </c>
      <c r="G545">
        <v>43473991000</v>
      </c>
      <c r="H545">
        <v>114067665000</v>
      </c>
      <c r="I545">
        <v>1389571000</v>
      </c>
      <c r="J545">
        <v>173579520000</v>
      </c>
      <c r="K545">
        <v>40448883000</v>
      </c>
      <c r="L545">
        <v>39538205000</v>
      </c>
      <c r="M545">
        <v>83071994000</v>
      </c>
      <c r="N545">
        <v>93592432000</v>
      </c>
      <c r="O545">
        <v>36633848000</v>
      </c>
      <c r="P545">
        <v>8122635000</v>
      </c>
      <c r="Q545">
        <v>7446367000</v>
      </c>
      <c r="R545">
        <v>6122129000</v>
      </c>
      <c r="S545">
        <v>3311351000</v>
      </c>
      <c r="T545">
        <v>12090516000</v>
      </c>
      <c r="U545">
        <v>-4449168000</v>
      </c>
      <c r="V545">
        <f t="shared" si="28"/>
        <v>34053431000</v>
      </c>
      <c r="W545">
        <f t="shared" si="29"/>
        <v>154903535000</v>
      </c>
    </row>
    <row r="546" spans="1:23" x14ac:dyDescent="0.2">
      <c r="A546">
        <f>IF(D546="USD",VLOOKUP(VALUE(RIGHT(E546,4)),'USD RUB'!$E:$F,2,FALSE),1)</f>
        <v>1</v>
      </c>
      <c r="B546" s="4">
        <v>1</v>
      </c>
      <c r="C546">
        <v>1000</v>
      </c>
      <c r="D546" t="s">
        <v>20</v>
      </c>
      <c r="E546" s="1" t="s">
        <v>562</v>
      </c>
      <c r="F546">
        <v>14632501000</v>
      </c>
      <c r="G546">
        <v>37635085000</v>
      </c>
      <c r="H546">
        <v>113047461000</v>
      </c>
      <c r="I546">
        <v>1712936000</v>
      </c>
      <c r="J546">
        <v>168154074000</v>
      </c>
      <c r="K546">
        <v>40491137000</v>
      </c>
      <c r="L546">
        <v>40318846000</v>
      </c>
      <c r="M546">
        <v>76949865000</v>
      </c>
      <c r="N546">
        <v>87344091000</v>
      </c>
      <c r="O546">
        <v>132028653000</v>
      </c>
      <c r="P546">
        <v>21112953000</v>
      </c>
      <c r="Q546">
        <v>18956232000</v>
      </c>
      <c r="R546">
        <v>14022619000</v>
      </c>
      <c r="S546">
        <v>12020396000</v>
      </c>
      <c r="T546">
        <v>34453392000</v>
      </c>
      <c r="U546">
        <v>-27064415000</v>
      </c>
      <c r="V546">
        <f t="shared" si="28"/>
        <v>114010994000</v>
      </c>
      <c r="W546">
        <f t="shared" si="29"/>
        <v>151766302000</v>
      </c>
    </row>
    <row r="547" spans="1:23" x14ac:dyDescent="0.2">
      <c r="A547">
        <f>IF(D547="USD",VLOOKUP(VALUE(RIGHT(E547,4)),'USD RUB'!$E:$F,2,FALSE),1)</f>
        <v>1</v>
      </c>
      <c r="B547" s="4">
        <v>1</v>
      </c>
      <c r="C547">
        <v>1000</v>
      </c>
      <c r="D547" t="s">
        <v>20</v>
      </c>
      <c r="E547" s="1" t="s">
        <v>563</v>
      </c>
      <c r="F547">
        <v>13249564000</v>
      </c>
      <c r="G547">
        <v>32664667000</v>
      </c>
      <c r="H547">
        <v>105966988000</v>
      </c>
      <c r="I547">
        <v>839315000</v>
      </c>
      <c r="J547">
        <v>159170208000</v>
      </c>
      <c r="K547">
        <v>34317162000</v>
      </c>
      <c r="L547">
        <v>39013447000</v>
      </c>
      <c r="M547">
        <v>75490674000</v>
      </c>
      <c r="N547">
        <v>85839599000</v>
      </c>
      <c r="O547">
        <v>93766776000</v>
      </c>
      <c r="P547">
        <v>17183138000</v>
      </c>
      <c r="Q547">
        <v>16183042000</v>
      </c>
      <c r="R547">
        <v>12563205000</v>
      </c>
      <c r="S547">
        <v>8916046000</v>
      </c>
      <c r="T547">
        <v>26573724000</v>
      </c>
      <c r="U547">
        <v>-15484299000</v>
      </c>
      <c r="V547">
        <f t="shared" si="28"/>
        <v>81133669000</v>
      </c>
      <c r="W547">
        <f t="shared" si="29"/>
        <v>136800484000</v>
      </c>
    </row>
    <row r="548" spans="1:23" x14ac:dyDescent="0.2">
      <c r="A548">
        <f>IF(D548="USD",VLOOKUP(VALUE(RIGHT(E548,4)),'USD RUB'!$E:$F,2,FALSE),1)</f>
        <v>1</v>
      </c>
      <c r="B548" s="4">
        <v>1</v>
      </c>
      <c r="C548">
        <v>1000</v>
      </c>
      <c r="D548" t="s">
        <v>20</v>
      </c>
      <c r="E548" s="1" t="s">
        <v>564</v>
      </c>
      <c r="F548">
        <v>10096483000</v>
      </c>
      <c r="G548">
        <v>30658615000</v>
      </c>
      <c r="H548">
        <v>102750444000</v>
      </c>
      <c r="I548">
        <v>776362000</v>
      </c>
      <c r="J548">
        <v>154893463000</v>
      </c>
      <c r="K548">
        <v>32200348000</v>
      </c>
      <c r="L548">
        <v>40159878000</v>
      </c>
      <c r="M548">
        <v>72267538000</v>
      </c>
      <c r="N548">
        <v>82533237000</v>
      </c>
      <c r="O548">
        <v>63834009000</v>
      </c>
      <c r="P548">
        <v>12523324000</v>
      </c>
      <c r="Q548">
        <v>12072361000</v>
      </c>
      <c r="R548">
        <v>9353594000</v>
      </c>
      <c r="S548">
        <v>5966263000</v>
      </c>
      <c r="T548">
        <v>18394984000</v>
      </c>
      <c r="U548">
        <v>-9827756000</v>
      </c>
      <c r="V548">
        <f t="shared" si="28"/>
        <v>55069884000</v>
      </c>
      <c r="W548">
        <f t="shared" si="29"/>
        <v>134319485000</v>
      </c>
    </row>
    <row r="549" spans="1:23" x14ac:dyDescent="0.2">
      <c r="A549">
        <f>IF(D549="USD",VLOOKUP(VALUE(RIGHT(E549,4)),'USD RUB'!$E:$F,2,FALSE),1)</f>
        <v>1</v>
      </c>
      <c r="B549" s="4">
        <v>1</v>
      </c>
      <c r="C549">
        <v>1000</v>
      </c>
      <c r="D549" t="s">
        <v>20</v>
      </c>
      <c r="E549" s="1" t="s">
        <v>565</v>
      </c>
      <c r="F549">
        <v>11497384000</v>
      </c>
      <c r="G549">
        <v>33441487000</v>
      </c>
      <c r="H549">
        <v>99772754000</v>
      </c>
      <c r="I549">
        <v>752086000</v>
      </c>
      <c r="J549">
        <v>154903535000</v>
      </c>
      <c r="K549">
        <v>52337005000</v>
      </c>
      <c r="L549">
        <v>22849702000</v>
      </c>
      <c r="M549">
        <v>69485599000</v>
      </c>
      <c r="N549">
        <v>79716828000</v>
      </c>
      <c r="O549">
        <v>34053431000</v>
      </c>
      <c r="P549">
        <v>7902117000</v>
      </c>
      <c r="Q549">
        <v>7833909000</v>
      </c>
      <c r="R549">
        <v>6341751000</v>
      </c>
      <c r="S549">
        <v>2915764000</v>
      </c>
      <c r="T549">
        <v>11382992000</v>
      </c>
      <c r="U549">
        <v>-4156701000</v>
      </c>
      <c r="V549">
        <f t="shared" si="28"/>
        <v>29451072000</v>
      </c>
      <c r="W549">
        <f t="shared" si="29"/>
        <v>134372055000</v>
      </c>
    </row>
    <row r="550" spans="1:23" x14ac:dyDescent="0.2">
      <c r="A550">
        <f>IF(D550="USD",VLOOKUP(VALUE(RIGHT(E550,4)),'USD RUB'!$E:$F,2,FALSE),1)</f>
        <v>1</v>
      </c>
      <c r="B550" s="4">
        <v>1</v>
      </c>
      <c r="C550">
        <v>1000</v>
      </c>
      <c r="D550" t="s">
        <v>20</v>
      </c>
      <c r="E550" s="1" t="s">
        <v>566</v>
      </c>
      <c r="F550">
        <v>8283798000</v>
      </c>
      <c r="G550">
        <v>30823394000</v>
      </c>
      <c r="H550">
        <v>99190754000</v>
      </c>
      <c r="I550">
        <v>752232000</v>
      </c>
      <c r="J550">
        <v>151766302000</v>
      </c>
      <c r="K550">
        <v>55487186000</v>
      </c>
      <c r="L550">
        <v>22965732000</v>
      </c>
      <c r="M550">
        <v>63143848000</v>
      </c>
      <c r="N550">
        <v>73313384000</v>
      </c>
      <c r="O550">
        <v>114010994000</v>
      </c>
      <c r="P550">
        <v>16551258000</v>
      </c>
      <c r="Q550">
        <v>14378136000</v>
      </c>
      <c r="R550">
        <v>11045008000</v>
      </c>
      <c r="S550">
        <v>10668765000</v>
      </c>
      <c r="T550">
        <v>28027154000</v>
      </c>
      <c r="U550">
        <v>-17915265000</v>
      </c>
      <c r="V550">
        <f t="shared" si="28"/>
        <v>106686770000</v>
      </c>
      <c r="W550">
        <f t="shared" si="29"/>
        <v>130482454000</v>
      </c>
    </row>
    <row r="551" spans="1:23" x14ac:dyDescent="0.2">
      <c r="A551">
        <f>IF(D551="USD",VLOOKUP(VALUE(RIGHT(E551,4)),'USD RUB'!$E:$F,2,FALSE),1)</f>
        <v>1</v>
      </c>
      <c r="B551" s="4">
        <v>1</v>
      </c>
      <c r="C551">
        <v>1000</v>
      </c>
      <c r="D551" t="s">
        <v>20</v>
      </c>
      <c r="E551" s="1" t="s">
        <v>567</v>
      </c>
      <c r="F551">
        <v>8738367000</v>
      </c>
      <c r="G551">
        <v>26611422000</v>
      </c>
      <c r="H551">
        <v>91895530000</v>
      </c>
      <c r="I551">
        <v>696841000</v>
      </c>
      <c r="J551">
        <v>136800484000</v>
      </c>
      <c r="K551">
        <v>53291657000</v>
      </c>
      <c r="L551">
        <v>9940640000</v>
      </c>
      <c r="M551">
        <v>63417590000</v>
      </c>
      <c r="N551">
        <v>73568187000</v>
      </c>
      <c r="O551">
        <v>81133669000</v>
      </c>
      <c r="P551">
        <v>12588002000</v>
      </c>
      <c r="Q551">
        <v>10387936000</v>
      </c>
      <c r="R551">
        <v>8041423000</v>
      </c>
      <c r="S551">
        <v>7911040000</v>
      </c>
      <c r="T551">
        <v>20901060000</v>
      </c>
      <c r="U551">
        <v>-9291626000</v>
      </c>
      <c r="V551">
        <f t="shared" si="28"/>
        <v>77053377000</v>
      </c>
      <c r="W551">
        <f t="shared" si="29"/>
        <v>124327801000</v>
      </c>
    </row>
    <row r="552" spans="1:23" x14ac:dyDescent="0.2">
      <c r="A552">
        <f>IF(D552="USD",VLOOKUP(VALUE(RIGHT(E552,4)),'USD RUB'!$E:$F,2,FALSE),1)</f>
        <v>1</v>
      </c>
      <c r="B552" s="4">
        <v>1</v>
      </c>
      <c r="C552">
        <v>1000</v>
      </c>
      <c r="D552" t="s">
        <v>20</v>
      </c>
      <c r="E552" s="1" t="s">
        <v>568</v>
      </c>
      <c r="F552">
        <v>7005799000</v>
      </c>
      <c r="G552">
        <v>24304893000</v>
      </c>
      <c r="H552">
        <v>90787829000</v>
      </c>
      <c r="I552">
        <v>902892000</v>
      </c>
      <c r="J552">
        <v>134319485000</v>
      </c>
      <c r="K552">
        <v>52187920000</v>
      </c>
      <c r="L552">
        <v>10266956000</v>
      </c>
      <c r="M552">
        <v>61945517000</v>
      </c>
      <c r="N552">
        <v>71864609000</v>
      </c>
      <c r="O552">
        <v>55069884000</v>
      </c>
      <c r="P552">
        <v>10426586000</v>
      </c>
      <c r="Q552">
        <v>8436256000</v>
      </c>
      <c r="R552">
        <v>6569350000</v>
      </c>
      <c r="S552">
        <v>5377104000</v>
      </c>
      <c r="T552">
        <v>16201963000</v>
      </c>
      <c r="U552">
        <v>-5852396000</v>
      </c>
      <c r="V552">
        <f t="shared" si="28"/>
        <v>52319500000</v>
      </c>
      <c r="W552">
        <f t="shared" si="29"/>
        <v>122034413000</v>
      </c>
    </row>
    <row r="553" spans="1:23" x14ac:dyDescent="0.2">
      <c r="A553">
        <f>IF(D553="USD",VLOOKUP(VALUE(RIGHT(E553,4)),'USD RUB'!$E:$F,2,FALSE),1)</f>
        <v>1</v>
      </c>
      <c r="B553" s="4">
        <v>1</v>
      </c>
      <c r="C553">
        <v>1000</v>
      </c>
      <c r="D553" t="s">
        <v>20</v>
      </c>
      <c r="E553" s="1" t="s">
        <v>569</v>
      </c>
      <c r="F553">
        <v>5200131000</v>
      </c>
      <c r="G553">
        <v>24425310000</v>
      </c>
      <c r="H553">
        <v>90813844000</v>
      </c>
      <c r="I553">
        <v>931233000</v>
      </c>
      <c r="J553">
        <v>134372055000</v>
      </c>
      <c r="K553">
        <v>31427177000</v>
      </c>
      <c r="L553">
        <v>29394830000</v>
      </c>
      <c r="M553">
        <v>63261695000</v>
      </c>
      <c r="N553">
        <v>73550048000</v>
      </c>
      <c r="O553">
        <v>29451072000</v>
      </c>
      <c r="P553">
        <v>6535199000</v>
      </c>
      <c r="Q553">
        <v>6090152000</v>
      </c>
      <c r="R553">
        <v>4749903000</v>
      </c>
      <c r="S553">
        <v>2685757000</v>
      </c>
      <c r="T553">
        <v>9586578000</v>
      </c>
      <c r="U553">
        <v>-3662690000</v>
      </c>
      <c r="V553">
        <f t="shared" si="28"/>
        <v>28111864000</v>
      </c>
      <c r="W553">
        <f t="shared" si="29"/>
        <v>121567069000</v>
      </c>
    </row>
    <row r="554" spans="1:23" x14ac:dyDescent="0.2">
      <c r="A554">
        <f>IF(D554="USD",VLOOKUP(VALUE(RIGHT(E554,4)),'USD RUB'!$E:$F,2,FALSE),1)</f>
        <v>1</v>
      </c>
      <c r="B554" s="4">
        <v>1</v>
      </c>
      <c r="C554">
        <v>1000</v>
      </c>
      <c r="D554" t="s">
        <v>20</v>
      </c>
      <c r="E554" s="1" t="s">
        <v>570</v>
      </c>
      <c r="F554">
        <v>391137000</v>
      </c>
      <c r="G554">
        <v>19322473000</v>
      </c>
      <c r="H554">
        <v>91814560000</v>
      </c>
      <c r="I554">
        <v>924779000</v>
      </c>
      <c r="J554">
        <v>130482454000</v>
      </c>
      <c r="K554">
        <v>32608778000</v>
      </c>
      <c r="L554">
        <v>29264748000</v>
      </c>
      <c r="M554">
        <v>58511792000</v>
      </c>
      <c r="N554">
        <v>68608928000</v>
      </c>
      <c r="O554">
        <v>106686770000</v>
      </c>
      <c r="P554">
        <v>16499336000</v>
      </c>
      <c r="Q554">
        <v>12923890000</v>
      </c>
      <c r="R554">
        <v>9952294000</v>
      </c>
      <c r="S554">
        <v>9554617000</v>
      </c>
      <c r="T554">
        <v>25324639000</v>
      </c>
      <c r="U554">
        <v>-17451586000</v>
      </c>
      <c r="V554">
        <f t="shared" si="28"/>
        <v>96739852000</v>
      </c>
      <c r="W554">
        <f t="shared" si="29"/>
        <v>118235604000</v>
      </c>
    </row>
    <row r="555" spans="1:23" x14ac:dyDescent="0.2">
      <c r="A555">
        <f>IF(D555="USD",VLOOKUP(VALUE(RIGHT(E555,4)),'USD RUB'!$E:$F,2,FALSE),1)</f>
        <v>1</v>
      </c>
      <c r="B555" s="4">
        <v>1</v>
      </c>
      <c r="C555">
        <v>1000</v>
      </c>
      <c r="D555" t="s">
        <v>20</v>
      </c>
      <c r="E555" s="1" t="s">
        <v>571</v>
      </c>
      <c r="F555">
        <v>1363971000</v>
      </c>
      <c r="G555">
        <v>20811593000</v>
      </c>
      <c r="H555">
        <v>85276328000</v>
      </c>
      <c r="I555">
        <v>863260000</v>
      </c>
      <c r="J555">
        <v>124327801000</v>
      </c>
      <c r="K555">
        <v>23786998000</v>
      </c>
      <c r="L555">
        <v>32169241000</v>
      </c>
      <c r="M555">
        <v>58241821000</v>
      </c>
      <c r="N555">
        <v>68371562000</v>
      </c>
      <c r="O555">
        <v>77053377000</v>
      </c>
      <c r="P555">
        <v>13671673000</v>
      </c>
      <c r="Q555">
        <v>12369204000</v>
      </c>
      <c r="R555">
        <v>9716170000</v>
      </c>
      <c r="S555">
        <v>7093414000</v>
      </c>
      <c r="T555">
        <v>20058840000</v>
      </c>
      <c r="U555">
        <v>-9980835000</v>
      </c>
      <c r="V555">
        <f t="shared" si="28"/>
        <v>68853566000</v>
      </c>
      <c r="W555">
        <f t="shared" si="29"/>
        <v>116231582000</v>
      </c>
    </row>
    <row r="556" spans="1:23" x14ac:dyDescent="0.2">
      <c r="A556">
        <f>IF(D556="USD",VLOOKUP(VALUE(RIGHT(E556,4)),'USD RUB'!$E:$F,2,FALSE),1)</f>
        <v>1</v>
      </c>
      <c r="B556" s="4">
        <v>1</v>
      </c>
      <c r="C556">
        <v>1000</v>
      </c>
      <c r="D556" t="s">
        <v>20</v>
      </c>
      <c r="E556" s="1" t="s">
        <v>572</v>
      </c>
      <c r="F556">
        <v>905229000</v>
      </c>
      <c r="G556">
        <v>19848552000</v>
      </c>
      <c r="H556">
        <v>84071041000</v>
      </c>
      <c r="I556">
        <v>871327000</v>
      </c>
      <c r="J556">
        <v>122034413000</v>
      </c>
      <c r="K556">
        <v>26963732000</v>
      </c>
      <c r="L556">
        <v>29320823000</v>
      </c>
      <c r="M556">
        <v>55645313000</v>
      </c>
      <c r="N556">
        <v>65749858000</v>
      </c>
      <c r="O556">
        <v>52319500000</v>
      </c>
      <c r="P556">
        <v>9858962000</v>
      </c>
      <c r="Q556">
        <v>9178471000</v>
      </c>
      <c r="R556">
        <v>7119662000</v>
      </c>
      <c r="S556">
        <v>4695488000</v>
      </c>
      <c r="T556">
        <v>14755825000</v>
      </c>
      <c r="U556">
        <v>-6224722000</v>
      </c>
      <c r="V556">
        <f t="shared" si="28"/>
        <v>47034383000</v>
      </c>
      <c r="W556">
        <f t="shared" si="29"/>
        <v>112995157000</v>
      </c>
    </row>
    <row r="557" spans="1:23" x14ac:dyDescent="0.2">
      <c r="A557">
        <f>IF(D557="USD",VLOOKUP(VALUE(RIGHT(E557,4)),'USD RUB'!$E:$F,2,FALSE),1)</f>
        <v>1</v>
      </c>
      <c r="B557" s="4">
        <v>1</v>
      </c>
      <c r="C557">
        <v>1000</v>
      </c>
      <c r="D557" t="s">
        <v>20</v>
      </c>
      <c r="E557" s="1" t="s">
        <v>573</v>
      </c>
      <c r="F557">
        <v>1131142000</v>
      </c>
      <c r="G557">
        <v>20905879000</v>
      </c>
      <c r="H557">
        <v>82844062000</v>
      </c>
      <c r="I557">
        <v>890973000</v>
      </c>
      <c r="J557">
        <v>121567069000</v>
      </c>
      <c r="K557">
        <v>29299769000</v>
      </c>
      <c r="L557">
        <v>26303631000</v>
      </c>
      <c r="M557">
        <v>55872109000</v>
      </c>
      <c r="N557">
        <v>65963669000</v>
      </c>
      <c r="O557">
        <v>28111864000</v>
      </c>
      <c r="P557">
        <v>5889448000</v>
      </c>
      <c r="Q557">
        <v>5638718000</v>
      </c>
      <c r="R557">
        <v>4424632000</v>
      </c>
      <c r="S557">
        <v>2327754000</v>
      </c>
      <c r="T557">
        <v>8406691000</v>
      </c>
      <c r="U557">
        <v>-3614797000</v>
      </c>
      <c r="V557">
        <f t="shared" si="28"/>
        <v>25906255000</v>
      </c>
      <c r="W557">
        <f t="shared" si="29"/>
        <v>113749764000</v>
      </c>
    </row>
    <row r="558" spans="1:23" x14ac:dyDescent="0.2">
      <c r="A558">
        <f>IF(D558="USD",VLOOKUP(VALUE(RIGHT(E558,4)),'USD RUB'!$E:$F,2,FALSE),1)</f>
        <v>1</v>
      </c>
      <c r="B558" s="4">
        <v>1</v>
      </c>
      <c r="C558">
        <v>1000</v>
      </c>
      <c r="D558" t="s">
        <v>20</v>
      </c>
      <c r="E558" s="1" t="s">
        <v>574</v>
      </c>
      <c r="F558">
        <v>1763483000</v>
      </c>
      <c r="G558">
        <v>20502851000</v>
      </c>
      <c r="H558">
        <v>82261986000</v>
      </c>
      <c r="I558">
        <v>915451000</v>
      </c>
      <c r="J558">
        <v>118235604000</v>
      </c>
      <c r="K558">
        <v>29845783000</v>
      </c>
      <c r="L558">
        <v>27001939000</v>
      </c>
      <c r="M558">
        <v>51447477000</v>
      </c>
      <c r="N558">
        <v>61387882000</v>
      </c>
      <c r="O558">
        <v>96739852000</v>
      </c>
      <c r="P558">
        <v>11687881000</v>
      </c>
      <c r="Q558">
        <v>8232840000</v>
      </c>
      <c r="R558">
        <v>6429135000</v>
      </c>
      <c r="S558">
        <v>8521106000</v>
      </c>
      <c r="T558">
        <v>20071595000</v>
      </c>
      <c r="U558">
        <v>-12217586000</v>
      </c>
      <c r="V558">
        <f t="shared" si="28"/>
        <v>96534027000</v>
      </c>
      <c r="W558">
        <f t="shared" si="29"/>
        <v>109406792000</v>
      </c>
    </row>
    <row r="559" spans="1:23" x14ac:dyDescent="0.2">
      <c r="A559">
        <f>IF(D559="USD",VLOOKUP(VALUE(RIGHT(E559,4)),'USD RUB'!$E:$F,2,FALSE),1)</f>
        <v>1</v>
      </c>
      <c r="B559" s="4">
        <v>1</v>
      </c>
      <c r="C559">
        <v>1000</v>
      </c>
      <c r="D559" t="s">
        <v>20</v>
      </c>
      <c r="E559" s="1" t="s">
        <v>575</v>
      </c>
      <c r="F559">
        <v>1150109000</v>
      </c>
      <c r="G559">
        <v>33441154000</v>
      </c>
      <c r="H559">
        <v>79148729000</v>
      </c>
      <c r="I559">
        <v>902864000</v>
      </c>
      <c r="J559">
        <v>116231582000</v>
      </c>
      <c r="K559">
        <v>24068084000</v>
      </c>
      <c r="L559">
        <v>30919909000</v>
      </c>
      <c r="M559">
        <v>51299084000</v>
      </c>
      <c r="N559">
        <v>61243589000</v>
      </c>
      <c r="O559">
        <v>68853566000</v>
      </c>
      <c r="P559">
        <v>9431212000</v>
      </c>
      <c r="Q559">
        <v>8049595000</v>
      </c>
      <c r="R559">
        <v>6293429000</v>
      </c>
      <c r="S559">
        <v>6333365000</v>
      </c>
      <c r="T559">
        <v>15486486000</v>
      </c>
      <c r="U559">
        <v>-6848967000</v>
      </c>
      <c r="V559">
        <f t="shared" si="28"/>
        <v>69702913000</v>
      </c>
      <c r="W559">
        <f t="shared" si="29"/>
        <v>104973089000</v>
      </c>
    </row>
    <row r="560" spans="1:23" x14ac:dyDescent="0.2">
      <c r="A560">
        <f>IF(D560="USD",VLOOKUP(VALUE(RIGHT(E560,4)),'USD RUB'!$E:$F,2,FALSE),1)</f>
        <v>1</v>
      </c>
      <c r="B560" s="4">
        <v>1</v>
      </c>
      <c r="C560">
        <v>1000</v>
      </c>
      <c r="D560" t="s">
        <v>20</v>
      </c>
      <c r="E560" s="1" t="s">
        <v>576</v>
      </c>
      <c r="F560">
        <v>868271000</v>
      </c>
      <c r="G560">
        <v>31964182000</v>
      </c>
      <c r="H560">
        <v>77387867000</v>
      </c>
      <c r="I560">
        <v>898047000</v>
      </c>
      <c r="J560">
        <v>112995157000</v>
      </c>
      <c r="K560">
        <v>19791678000</v>
      </c>
      <c r="L560">
        <v>32980915000</v>
      </c>
      <c r="M560">
        <v>50326459000</v>
      </c>
      <c r="N560">
        <v>60222564000</v>
      </c>
      <c r="O560">
        <v>47034383000</v>
      </c>
      <c r="P560">
        <v>7617919000</v>
      </c>
      <c r="Q560">
        <v>6677913000</v>
      </c>
      <c r="R560">
        <v>5320804000</v>
      </c>
      <c r="S560">
        <v>4212055000</v>
      </c>
      <c r="T560">
        <v>11672714000</v>
      </c>
      <c r="U560">
        <v>-3639881000</v>
      </c>
      <c r="V560">
        <f t="shared" si="28"/>
        <v>47458428000</v>
      </c>
      <c r="W560">
        <f t="shared" si="29"/>
        <v>105976305000</v>
      </c>
    </row>
    <row r="561" spans="1:23" x14ac:dyDescent="0.2">
      <c r="A561">
        <f>IF(D561="USD",VLOOKUP(VALUE(RIGHT(E561,4)),'USD RUB'!$E:$F,2,FALSE),1)</f>
        <v>1</v>
      </c>
      <c r="B561" s="4">
        <v>1</v>
      </c>
      <c r="C561">
        <v>1000</v>
      </c>
      <c r="D561" t="s">
        <v>20</v>
      </c>
      <c r="E561" s="1" t="s">
        <v>577</v>
      </c>
      <c r="F561">
        <v>3578519000</v>
      </c>
      <c r="G561">
        <v>33061464000</v>
      </c>
      <c r="H561">
        <v>77022519000</v>
      </c>
      <c r="I561">
        <v>905568000</v>
      </c>
      <c r="J561">
        <v>113749764000</v>
      </c>
      <c r="K561">
        <v>24612854000</v>
      </c>
      <c r="L561">
        <v>29725492000</v>
      </c>
      <c r="M561">
        <v>49397762000</v>
      </c>
      <c r="N561">
        <v>59411418000</v>
      </c>
      <c r="O561">
        <v>25906255000</v>
      </c>
      <c r="P561">
        <v>5935788000</v>
      </c>
      <c r="Q561">
        <v>5464892000</v>
      </c>
      <c r="R561">
        <v>4392107000</v>
      </c>
      <c r="S561">
        <v>2102834000</v>
      </c>
      <c r="T561">
        <v>8082295000</v>
      </c>
      <c r="U561">
        <v>-1891566000</v>
      </c>
      <c r="V561">
        <f t="shared" si="28"/>
        <v>25566603000</v>
      </c>
      <c r="W561">
        <f t="shared" si="29"/>
        <v>103535220000</v>
      </c>
    </row>
    <row r="562" spans="1:23" x14ac:dyDescent="0.2">
      <c r="A562">
        <f>IF(D562="USD",VLOOKUP(VALUE(RIGHT(E562,4)),'USD RUB'!$E:$F,2,FALSE),1)</f>
        <v>1</v>
      </c>
      <c r="B562" s="4">
        <v>1</v>
      </c>
      <c r="C562">
        <v>1000</v>
      </c>
      <c r="D562" t="s">
        <v>20</v>
      </c>
      <c r="E562" s="1" t="s">
        <v>578</v>
      </c>
      <c r="F562">
        <v>2057384000</v>
      </c>
      <c r="G562">
        <v>28483513000</v>
      </c>
      <c r="H562">
        <v>77277693000</v>
      </c>
      <c r="I562">
        <v>932515000</v>
      </c>
      <c r="J562">
        <v>109406792000</v>
      </c>
      <c r="K562">
        <v>28345159000</v>
      </c>
      <c r="L562">
        <v>26113938000</v>
      </c>
      <c r="M562">
        <v>45005427000</v>
      </c>
      <c r="N562">
        <v>54947695000</v>
      </c>
      <c r="O562">
        <v>96534027000</v>
      </c>
      <c r="P562">
        <v>10679591000</v>
      </c>
      <c r="Q562">
        <v>8752205000</v>
      </c>
      <c r="R562">
        <v>6686587000</v>
      </c>
      <c r="S562">
        <v>7683758000</v>
      </c>
      <c r="T562">
        <v>17158189000</v>
      </c>
      <c r="U562">
        <v>-13024157000</v>
      </c>
      <c r="V562">
        <f t="shared" si="28"/>
        <v>94212826000</v>
      </c>
      <c r="W562">
        <f t="shared" si="29"/>
        <v>103649510000</v>
      </c>
    </row>
    <row r="563" spans="1:23" x14ac:dyDescent="0.2">
      <c r="A563">
        <f>IF(D563="USD",VLOOKUP(VALUE(RIGHT(E563,4)),'USD RUB'!$E:$F,2,FALSE),1)</f>
        <v>1</v>
      </c>
      <c r="B563" s="4">
        <v>1</v>
      </c>
      <c r="C563">
        <v>1000</v>
      </c>
      <c r="D563" t="s">
        <v>20</v>
      </c>
      <c r="E563" s="1" t="s">
        <v>579</v>
      </c>
      <c r="F563">
        <v>2094257000</v>
      </c>
      <c r="G563">
        <v>28743885000</v>
      </c>
      <c r="H563">
        <v>72628090000</v>
      </c>
      <c r="I563">
        <v>960253000</v>
      </c>
      <c r="J563">
        <v>104973089000</v>
      </c>
      <c r="K563">
        <v>25327305000</v>
      </c>
      <c r="L563">
        <v>24212931000</v>
      </c>
      <c r="M563">
        <v>45835843000</v>
      </c>
      <c r="N563">
        <v>55432853000</v>
      </c>
      <c r="O563">
        <v>69702913000</v>
      </c>
      <c r="P563">
        <v>8970578000</v>
      </c>
      <c r="Q563">
        <v>7512134000</v>
      </c>
      <c r="R563">
        <v>5686680000</v>
      </c>
      <c r="S563">
        <v>5666121000</v>
      </c>
      <c r="T563">
        <v>14338887000</v>
      </c>
      <c r="U563">
        <v>-6802806000</v>
      </c>
      <c r="V563">
        <f t="shared" si="28"/>
        <v>68890532000</v>
      </c>
      <c r="W563">
        <f t="shared" si="29"/>
        <v>92313338000</v>
      </c>
    </row>
    <row r="564" spans="1:23" x14ac:dyDescent="0.2">
      <c r="A564">
        <f>IF(D564="USD",VLOOKUP(VALUE(RIGHT(E564,4)),'USD RUB'!$E:$F,2,FALSE),1)</f>
        <v>1</v>
      </c>
      <c r="B564" s="4">
        <v>1</v>
      </c>
      <c r="C564">
        <v>1000</v>
      </c>
      <c r="D564" t="s">
        <v>20</v>
      </c>
      <c r="E564" s="1" t="s">
        <v>580</v>
      </c>
      <c r="F564">
        <v>263795000</v>
      </c>
      <c r="G564">
        <v>31497924000</v>
      </c>
      <c r="H564">
        <v>70828382000</v>
      </c>
      <c r="I564">
        <v>939588000</v>
      </c>
      <c r="J564">
        <v>105976305000</v>
      </c>
      <c r="K564">
        <v>35578878000</v>
      </c>
      <c r="L564">
        <v>15290393000</v>
      </c>
      <c r="M564">
        <v>45404328000</v>
      </c>
      <c r="N564">
        <v>55107034000</v>
      </c>
      <c r="O564">
        <v>47458428000</v>
      </c>
      <c r="P564">
        <v>7769271000</v>
      </c>
      <c r="Q564">
        <v>6807143000</v>
      </c>
      <c r="R564">
        <v>5255165000</v>
      </c>
      <c r="S564">
        <v>3772345000</v>
      </c>
      <c r="T564">
        <v>11311981000</v>
      </c>
      <c r="U564">
        <v>-3605728000</v>
      </c>
      <c r="V564">
        <f t="shared" si="28"/>
        <v>47796786000</v>
      </c>
      <c r="W564">
        <f t="shared" si="29"/>
        <v>88644069000</v>
      </c>
    </row>
    <row r="565" spans="1:23" x14ac:dyDescent="0.2">
      <c r="A565">
        <f>IF(D565="USD",VLOOKUP(VALUE(RIGHT(E565,4)),'USD RUB'!$E:$F,2,FALSE),1)</f>
        <v>1</v>
      </c>
      <c r="B565" s="4">
        <v>1</v>
      </c>
      <c r="C565">
        <v>1000</v>
      </c>
      <c r="D565" t="s">
        <v>20</v>
      </c>
      <c r="E565" s="1" t="s">
        <v>581</v>
      </c>
      <c r="F565">
        <v>4569745000</v>
      </c>
      <c r="G565">
        <v>29455093000</v>
      </c>
      <c r="H565">
        <v>70416662000</v>
      </c>
      <c r="I565">
        <v>958164000</v>
      </c>
      <c r="J565">
        <v>103535220000</v>
      </c>
      <c r="K565">
        <v>21612326000</v>
      </c>
      <c r="L565">
        <v>23883715000</v>
      </c>
      <c r="M565">
        <v>48179418000</v>
      </c>
      <c r="N565">
        <v>58039179000</v>
      </c>
      <c r="O565">
        <v>25566603000</v>
      </c>
      <c r="P565">
        <v>4998614000</v>
      </c>
      <c r="Q565">
        <v>4463922000</v>
      </c>
      <c r="R565">
        <v>3438270000</v>
      </c>
      <c r="S565">
        <v>1880595000</v>
      </c>
      <c r="T565">
        <v>6728372000</v>
      </c>
      <c r="U565">
        <v>-1855648000</v>
      </c>
      <c r="V565">
        <f t="shared" si="28"/>
        <v>26870689000</v>
      </c>
      <c r="W565">
        <f t="shared" si="29"/>
        <v>88978835000</v>
      </c>
    </row>
    <row r="566" spans="1:23" x14ac:dyDescent="0.2">
      <c r="A566">
        <f>IF(D566="USD",VLOOKUP(VALUE(RIGHT(E566,4)),'USD RUB'!$E:$F,2,FALSE),1)</f>
        <v>1</v>
      </c>
      <c r="B566" s="4">
        <v>1</v>
      </c>
      <c r="C566">
        <v>1000</v>
      </c>
      <c r="D566" t="s">
        <v>20</v>
      </c>
      <c r="E566" s="1" t="s">
        <v>582</v>
      </c>
      <c r="F566">
        <v>6672387000</v>
      </c>
      <c r="G566">
        <v>28226657000</v>
      </c>
      <c r="H566">
        <v>71298437000</v>
      </c>
      <c r="J566">
        <v>103649510000</v>
      </c>
      <c r="K566">
        <v>25808298000</v>
      </c>
      <c r="L566">
        <v>23161304000</v>
      </c>
      <c r="M566">
        <v>44741148000</v>
      </c>
      <c r="N566">
        <v>54679908000</v>
      </c>
      <c r="O566">
        <v>94212826000</v>
      </c>
      <c r="P566">
        <v>17089780000</v>
      </c>
      <c r="Q566">
        <v>15570833000</v>
      </c>
      <c r="R566">
        <v>11721465000</v>
      </c>
      <c r="S566">
        <v>6969464000</v>
      </c>
      <c r="T566">
        <v>22155339000</v>
      </c>
      <c r="U566">
        <v>-13119612000</v>
      </c>
      <c r="V566">
        <f t="shared" si="28"/>
        <v>91002193000</v>
      </c>
      <c r="W566">
        <f t="shared" si="29"/>
        <v>89903006000</v>
      </c>
    </row>
    <row r="567" spans="1:23" x14ac:dyDescent="0.2">
      <c r="A567">
        <f>IF(D567="USD",VLOOKUP(VALUE(RIGHT(E567,4)),'USD RUB'!$E:$F,2,FALSE),1)</f>
        <v>1</v>
      </c>
      <c r="B567" s="4">
        <v>1</v>
      </c>
      <c r="C567">
        <v>1000</v>
      </c>
      <c r="D567" t="s">
        <v>20</v>
      </c>
      <c r="E567" s="1" t="s">
        <v>583</v>
      </c>
      <c r="F567">
        <v>90520000</v>
      </c>
      <c r="G567">
        <v>20226399000</v>
      </c>
      <c r="H567">
        <v>67390877000</v>
      </c>
      <c r="I567">
        <v>877632000</v>
      </c>
      <c r="J567">
        <v>92313338000</v>
      </c>
      <c r="K567">
        <v>14877519000</v>
      </c>
      <c r="L567">
        <v>24280581000</v>
      </c>
      <c r="M567">
        <v>43358671000</v>
      </c>
      <c r="N567">
        <v>53155238000</v>
      </c>
      <c r="O567">
        <v>68890532000</v>
      </c>
      <c r="P567">
        <v>14489288000</v>
      </c>
      <c r="Q567">
        <v>13436742000</v>
      </c>
      <c r="R567">
        <v>10343015000</v>
      </c>
      <c r="S567">
        <v>5195105000</v>
      </c>
      <c r="T567">
        <v>17834005000</v>
      </c>
      <c r="U567">
        <v>-6692573000</v>
      </c>
      <c r="V567">
        <f t="shared" si="28"/>
        <v>64113478000</v>
      </c>
      <c r="W567">
        <f t="shared" si="29"/>
        <v>86316343000</v>
      </c>
    </row>
    <row r="568" spans="1:23" x14ac:dyDescent="0.2">
      <c r="A568">
        <f>IF(D568="USD",VLOOKUP(VALUE(RIGHT(E568,4)),'USD RUB'!$E:$F,2,FALSE),1)</f>
        <v>1</v>
      </c>
      <c r="B568" s="4">
        <v>1</v>
      </c>
      <c r="C568">
        <v>1000</v>
      </c>
      <c r="D568" t="s">
        <v>20</v>
      </c>
      <c r="E568" s="1" t="s">
        <v>584</v>
      </c>
      <c r="F568">
        <v>985521000</v>
      </c>
      <c r="G568">
        <v>18653752000</v>
      </c>
      <c r="H568">
        <v>64669943000</v>
      </c>
      <c r="J568">
        <v>88644069000</v>
      </c>
      <c r="K568">
        <v>9434392000</v>
      </c>
      <c r="L568">
        <v>29554451000</v>
      </c>
      <c r="M568">
        <v>40008452000</v>
      </c>
      <c r="N568">
        <v>49655226000</v>
      </c>
      <c r="O568">
        <v>47796786000</v>
      </c>
      <c r="P568">
        <v>9874411000</v>
      </c>
      <c r="Q568">
        <v>8992991000</v>
      </c>
      <c r="R568">
        <v>6992796000</v>
      </c>
      <c r="S568">
        <v>3466985000</v>
      </c>
      <c r="T568">
        <v>13242457000</v>
      </c>
      <c r="U568">
        <v>-2999609000</v>
      </c>
      <c r="V568">
        <f t="shared" si="28"/>
        <v>41972740000</v>
      </c>
      <c r="W568">
        <f t="shared" si="29"/>
        <v>84285069000</v>
      </c>
    </row>
    <row r="569" spans="1:23" x14ac:dyDescent="0.2">
      <c r="A569">
        <f>IF(D569="USD",VLOOKUP(VALUE(RIGHT(E569,4)),'USD RUB'!$E:$F,2,FALSE),1)</f>
        <v>1</v>
      </c>
      <c r="B569" s="4">
        <v>1</v>
      </c>
      <c r="C569">
        <v>1000</v>
      </c>
      <c r="D569" t="s">
        <v>20</v>
      </c>
      <c r="E569" s="1" t="s">
        <v>585</v>
      </c>
      <c r="F569">
        <v>1895246000</v>
      </c>
      <c r="G569">
        <v>18844499000</v>
      </c>
      <c r="H569">
        <v>64050622000</v>
      </c>
      <c r="I569">
        <v>882448000</v>
      </c>
      <c r="J569">
        <v>88978835000</v>
      </c>
      <c r="K569">
        <v>10856004000</v>
      </c>
      <c r="L569">
        <v>26878361000</v>
      </c>
      <c r="M569">
        <v>41859133000</v>
      </c>
      <c r="N569">
        <v>51244470000</v>
      </c>
      <c r="O569">
        <v>26870689000</v>
      </c>
      <c r="P569">
        <v>6001136000</v>
      </c>
      <c r="Q569">
        <v>5538263000</v>
      </c>
      <c r="R569">
        <v>4307728000</v>
      </c>
      <c r="S569">
        <v>1735918000</v>
      </c>
      <c r="T569">
        <v>7749815000</v>
      </c>
      <c r="U569">
        <v>-1033944000</v>
      </c>
      <c r="V569">
        <f t="shared" si="28"/>
        <v>23088485000</v>
      </c>
      <c r="W569">
        <f t="shared" si="29"/>
        <v>84609048000</v>
      </c>
    </row>
    <row r="570" spans="1:23" x14ac:dyDescent="0.2">
      <c r="A570">
        <f>IF(D570="USD",VLOOKUP(VALUE(RIGHT(E570,4)),'USD RUB'!$E:$F,2,FALSE),1)</f>
        <v>1</v>
      </c>
      <c r="B570" s="4">
        <v>1</v>
      </c>
      <c r="C570">
        <v>1000</v>
      </c>
      <c r="D570" t="s">
        <v>20</v>
      </c>
      <c r="E570" s="1" t="s">
        <v>586</v>
      </c>
      <c r="F570">
        <v>3815884000</v>
      </c>
      <c r="G570">
        <v>18087673000</v>
      </c>
      <c r="H570">
        <v>64781771000</v>
      </c>
      <c r="I570">
        <v>910793000</v>
      </c>
      <c r="J570">
        <v>89903006000</v>
      </c>
      <c r="K570">
        <v>10073091000</v>
      </c>
      <c r="L570">
        <v>32708633000</v>
      </c>
      <c r="M570">
        <v>37547953000</v>
      </c>
      <c r="N570">
        <v>47121282000</v>
      </c>
      <c r="O570">
        <v>91002193000</v>
      </c>
      <c r="P570">
        <v>16988587000</v>
      </c>
      <c r="Q570">
        <v>14623397000</v>
      </c>
      <c r="R570">
        <v>11352660000</v>
      </c>
      <c r="S570">
        <v>6645166000</v>
      </c>
      <c r="T570">
        <v>23479496000</v>
      </c>
      <c r="U570">
        <v>-9912347000</v>
      </c>
      <c r="V570">
        <f t="shared" si="28"/>
        <v>78386082000</v>
      </c>
      <c r="W570">
        <f t="shared" si="29"/>
        <v>79797632000</v>
      </c>
    </row>
    <row r="571" spans="1:23" x14ac:dyDescent="0.2">
      <c r="A571">
        <f>IF(D571="USD",VLOOKUP(VALUE(RIGHT(E571,4)),'USD RUB'!$E:$F,2,FALSE),1)</f>
        <v>1</v>
      </c>
      <c r="B571" s="4">
        <v>1</v>
      </c>
      <c r="C571">
        <v>1000</v>
      </c>
      <c r="D571" t="s">
        <v>20</v>
      </c>
      <c r="E571" s="1" t="s">
        <v>587</v>
      </c>
      <c r="F571">
        <v>2153403000</v>
      </c>
      <c r="G571">
        <v>21263201000</v>
      </c>
      <c r="H571">
        <v>63705086000</v>
      </c>
      <c r="I571">
        <v>926884000</v>
      </c>
      <c r="J571">
        <v>86316343000</v>
      </c>
      <c r="K571">
        <v>13105313000</v>
      </c>
      <c r="L571">
        <v>29023549000</v>
      </c>
      <c r="M571">
        <v>34381109000</v>
      </c>
      <c r="N571">
        <v>44187481000</v>
      </c>
      <c r="O571">
        <v>64113478000</v>
      </c>
      <c r="P571">
        <v>12128102000</v>
      </c>
      <c r="Q571">
        <v>10429651000</v>
      </c>
      <c r="R571">
        <v>8202749000</v>
      </c>
      <c r="S571">
        <v>4906619000</v>
      </c>
      <c r="T571">
        <v>16869828000</v>
      </c>
      <c r="U571">
        <v>-6283826000</v>
      </c>
      <c r="V571" t="str">
        <f t="shared" si="28"/>
        <v/>
      </c>
      <c r="W571" t="str">
        <f t="shared" si="29"/>
        <v/>
      </c>
    </row>
    <row r="572" spans="1:23" x14ac:dyDescent="0.2">
      <c r="A572">
        <f>IF(D572="USD",VLOOKUP(VALUE(RIGHT(E572,4)),'USD RUB'!$E:$F,2,FALSE),1)</f>
        <v>1</v>
      </c>
      <c r="B572" s="4">
        <v>1</v>
      </c>
      <c r="C572">
        <v>1000</v>
      </c>
      <c r="D572" t="s">
        <v>20</v>
      </c>
      <c r="E572" s="1" t="s">
        <v>588</v>
      </c>
      <c r="F572">
        <v>3070355000</v>
      </c>
      <c r="G572">
        <v>20945011000</v>
      </c>
      <c r="H572">
        <v>61951921000</v>
      </c>
      <c r="I572">
        <v>946570000</v>
      </c>
      <c r="J572">
        <v>84285069000</v>
      </c>
      <c r="K572">
        <v>13570882000</v>
      </c>
      <c r="L572">
        <v>28415450000</v>
      </c>
      <c r="M572">
        <v>32435942000</v>
      </c>
      <c r="N572">
        <v>42298737000</v>
      </c>
      <c r="O572">
        <v>41972740000</v>
      </c>
      <c r="P572">
        <v>9022450000</v>
      </c>
      <c r="Q572">
        <v>7863959000</v>
      </c>
      <c r="R572">
        <v>6256796000</v>
      </c>
      <c r="S572">
        <v>3209089000</v>
      </c>
      <c r="T572">
        <v>12108458000</v>
      </c>
      <c r="U572">
        <v>-3089059000</v>
      </c>
      <c r="V572">
        <f t="shared" si="28"/>
        <v>36631651000</v>
      </c>
      <c r="W572">
        <f t="shared" si="29"/>
        <v>77247339000</v>
      </c>
    </row>
    <row r="573" spans="1:23" x14ac:dyDescent="0.2">
      <c r="A573">
        <f>IF(D573="USD",VLOOKUP(VALUE(RIGHT(E573,4)),'USD RUB'!$E:$F,2,FALSE),1)</f>
        <v>1</v>
      </c>
      <c r="B573" s="4">
        <v>1</v>
      </c>
      <c r="C573">
        <v>1000</v>
      </c>
      <c r="D573" t="s">
        <v>20</v>
      </c>
      <c r="E573" s="1" t="s">
        <v>589</v>
      </c>
      <c r="F573">
        <v>3074139000</v>
      </c>
      <c r="G573">
        <v>21840450000</v>
      </c>
      <c r="H573">
        <v>61292239000</v>
      </c>
      <c r="I573">
        <v>988154000</v>
      </c>
      <c r="J573">
        <v>84609048000</v>
      </c>
      <c r="K573">
        <v>13386602000</v>
      </c>
      <c r="L573">
        <v>29692690000</v>
      </c>
      <c r="M573">
        <v>31697399000</v>
      </c>
      <c r="N573">
        <v>41529756000</v>
      </c>
      <c r="O573">
        <v>23088485000</v>
      </c>
      <c r="P573">
        <v>5915686000</v>
      </c>
      <c r="Q573">
        <v>5333403000</v>
      </c>
      <c r="R573">
        <v>4189033000</v>
      </c>
      <c r="S573">
        <v>1604701000</v>
      </c>
      <c r="T573">
        <v>7437242000</v>
      </c>
      <c r="U573">
        <v>-1184460000</v>
      </c>
      <c r="V573" t="str">
        <f t="shared" si="28"/>
        <v/>
      </c>
      <c r="W573" t="str">
        <f t="shared" si="29"/>
        <v/>
      </c>
    </row>
    <row r="574" spans="1:23" x14ac:dyDescent="0.2">
      <c r="A574">
        <f>IF(D574="USD",VLOOKUP(VALUE(RIGHT(E574,4)),'USD RUB'!$E:$F,2,FALSE),1)</f>
        <v>1</v>
      </c>
      <c r="B574" s="4">
        <v>1</v>
      </c>
      <c r="C574">
        <v>1000</v>
      </c>
      <c r="D574" t="s">
        <v>20</v>
      </c>
      <c r="E574" s="1" t="s">
        <v>590</v>
      </c>
      <c r="F574">
        <v>1710467000</v>
      </c>
      <c r="G574">
        <v>16822106000</v>
      </c>
      <c r="H574">
        <v>61805291000</v>
      </c>
      <c r="J574">
        <v>79797632000</v>
      </c>
      <c r="K574">
        <v>16331089000</v>
      </c>
      <c r="L574">
        <v>26013220000</v>
      </c>
      <c r="M574">
        <v>27506830000</v>
      </c>
      <c r="N574">
        <v>37453323000</v>
      </c>
      <c r="O574">
        <v>78386082000</v>
      </c>
      <c r="P574">
        <v>7405408000</v>
      </c>
      <c r="Q574">
        <v>4904579000</v>
      </c>
      <c r="R574">
        <v>3612063000</v>
      </c>
      <c r="T574">
        <v>13212000000</v>
      </c>
      <c r="U574">
        <v>-7583928000</v>
      </c>
      <c r="V574">
        <f t="shared" si="28"/>
        <v>69217283000</v>
      </c>
      <c r="W574">
        <f t="shared" si="29"/>
        <v>78771520000</v>
      </c>
    </row>
    <row r="575" spans="1:23" x14ac:dyDescent="0.2">
      <c r="A575">
        <f>IF(D575="USD",VLOOKUP(VALUE(RIGHT(E575,4)),'USD RUB'!$E:$F,2,FALSE),1)</f>
        <v>1</v>
      </c>
      <c r="B575" s="4">
        <v>1</v>
      </c>
      <c r="C575">
        <v>1000</v>
      </c>
      <c r="D575" t="s">
        <v>20</v>
      </c>
      <c r="E575" s="1" t="s">
        <v>591</v>
      </c>
      <c r="F575">
        <v>1929815000</v>
      </c>
      <c r="G575">
        <v>15634380000</v>
      </c>
      <c r="H575">
        <v>60395248000</v>
      </c>
      <c r="J575">
        <v>77247339000</v>
      </c>
      <c r="K575">
        <v>21802012000</v>
      </c>
      <c r="L575">
        <v>20650228000</v>
      </c>
      <c r="M575">
        <v>23497950000</v>
      </c>
      <c r="N575">
        <v>34795099000</v>
      </c>
      <c r="O575">
        <v>36631651000</v>
      </c>
      <c r="P575">
        <v>2931801000</v>
      </c>
      <c r="Q575">
        <v>1760320000</v>
      </c>
      <c r="R575">
        <v>1361925000</v>
      </c>
      <c r="U575">
        <v>-3402234000</v>
      </c>
      <c r="V575">
        <f t="shared" si="28"/>
        <v>32509086000</v>
      </c>
      <c r="W575">
        <f t="shared" si="29"/>
        <v>78383856000</v>
      </c>
    </row>
    <row r="576" spans="1:23" x14ac:dyDescent="0.2">
      <c r="A576">
        <f>IF(D576="USD",VLOOKUP(VALUE(RIGHT(E576,4)),'USD RUB'!$E:$F,2,FALSE),1)</f>
        <v>1</v>
      </c>
      <c r="B576" s="4">
        <v>1</v>
      </c>
      <c r="C576">
        <v>1000</v>
      </c>
      <c r="D576" t="s">
        <v>20</v>
      </c>
      <c r="E576" s="1" t="s">
        <v>592</v>
      </c>
      <c r="F576">
        <v>2230432000</v>
      </c>
      <c r="G576">
        <v>17609516000</v>
      </c>
      <c r="H576">
        <v>60006125000</v>
      </c>
      <c r="J576">
        <v>78771520000</v>
      </c>
      <c r="K576">
        <v>21749393000</v>
      </c>
      <c r="L576">
        <v>22273764000</v>
      </c>
      <c r="M576">
        <v>23454115000</v>
      </c>
      <c r="N576">
        <v>34748363000</v>
      </c>
      <c r="O576">
        <v>69217283000</v>
      </c>
      <c r="P576">
        <v>6763308000</v>
      </c>
      <c r="Q576">
        <v>4561527000</v>
      </c>
      <c r="R576">
        <v>3414280000</v>
      </c>
      <c r="U576">
        <v>-5247601000</v>
      </c>
      <c r="V576">
        <f t="shared" si="28"/>
        <v>69773619000</v>
      </c>
      <c r="W576">
        <f t="shared" si="29"/>
        <v>78175494000</v>
      </c>
    </row>
    <row r="577" spans="1:23" x14ac:dyDescent="0.2">
      <c r="A577">
        <f>IF(D577="USD",VLOOKUP(VALUE(RIGHT(E577,4)),'USD RUB'!$E:$F,2,FALSE),1)</f>
        <v>1</v>
      </c>
      <c r="B577" s="4">
        <v>1</v>
      </c>
      <c r="C577">
        <v>1000</v>
      </c>
      <c r="D577" t="s">
        <v>20</v>
      </c>
      <c r="E577" s="1" t="s">
        <v>593</v>
      </c>
      <c r="F577">
        <v>1863523000</v>
      </c>
      <c r="G577">
        <v>18889872000</v>
      </c>
      <c r="H577">
        <v>58168281000</v>
      </c>
      <c r="J577">
        <v>78383856000</v>
      </c>
      <c r="K577">
        <v>18102288000</v>
      </c>
      <c r="L577">
        <v>27420850000</v>
      </c>
      <c r="N577">
        <v>32860718000</v>
      </c>
      <c r="O577">
        <v>32509086000</v>
      </c>
      <c r="P577">
        <v>2537917000</v>
      </c>
      <c r="Q577">
        <v>1462378000</v>
      </c>
      <c r="R577">
        <v>1306711000</v>
      </c>
      <c r="V577">
        <f t="shared" si="28"/>
        <v>36151125000</v>
      </c>
      <c r="W577">
        <f t="shared" si="29"/>
        <v>81064507000</v>
      </c>
    </row>
    <row r="578" spans="1:23" x14ac:dyDescent="0.2">
      <c r="A578">
        <f>IF(D578="USD",VLOOKUP(VALUE(RIGHT(E578,4)),'USD RUB'!$E:$F,2,FALSE),1)</f>
        <v>1</v>
      </c>
      <c r="B578" s="4">
        <v>1</v>
      </c>
      <c r="C578">
        <v>1000</v>
      </c>
      <c r="D578" t="s">
        <v>20</v>
      </c>
      <c r="E578" s="1" t="s">
        <v>594</v>
      </c>
      <c r="F578">
        <v>2300653000</v>
      </c>
      <c r="G578">
        <v>18606596000</v>
      </c>
      <c r="H578">
        <v>58437584000</v>
      </c>
      <c r="J578">
        <v>78175494000</v>
      </c>
      <c r="K578">
        <v>18573934000</v>
      </c>
      <c r="L578">
        <v>27351146000</v>
      </c>
      <c r="N578">
        <v>32250414000</v>
      </c>
      <c r="O578">
        <v>69773619000</v>
      </c>
      <c r="P578">
        <v>923272000</v>
      </c>
      <c r="Q578">
        <v>-943322000</v>
      </c>
      <c r="R578">
        <v>-1629613000</v>
      </c>
      <c r="V578">
        <f t="shared" si="28"/>
        <v>77554395000</v>
      </c>
      <c r="W578">
        <f t="shared" si="29"/>
        <v>76889773000</v>
      </c>
    </row>
    <row r="579" spans="1:23" x14ac:dyDescent="0.2">
      <c r="A579">
        <f>IF(D579="USD",VLOOKUP(VALUE(RIGHT(E579,4)),'USD RUB'!$E:$F,2,FALSE),1)</f>
        <v>1</v>
      </c>
      <c r="B579" s="4">
        <v>1</v>
      </c>
      <c r="C579">
        <v>1000</v>
      </c>
      <c r="D579" t="s">
        <v>20</v>
      </c>
      <c r="E579" s="1" t="s">
        <v>595</v>
      </c>
      <c r="F579">
        <v>3090342000</v>
      </c>
      <c r="G579">
        <v>20113436000</v>
      </c>
      <c r="H579">
        <v>59837628000</v>
      </c>
      <c r="J579">
        <v>81064507000</v>
      </c>
      <c r="K579">
        <v>12556974000</v>
      </c>
      <c r="L579">
        <v>33385174000</v>
      </c>
      <c r="N579">
        <v>35122359000</v>
      </c>
      <c r="O579">
        <v>36151125000</v>
      </c>
      <c r="P579">
        <v>2504754000</v>
      </c>
      <c r="Q579">
        <v>1568386000</v>
      </c>
      <c r="R579">
        <v>1207228000</v>
      </c>
      <c r="V579">
        <f t="shared" si="28"/>
        <v>36749358000</v>
      </c>
      <c r="W579">
        <f t="shared" si="29"/>
        <v>76814429000</v>
      </c>
    </row>
    <row r="580" spans="1:23" x14ac:dyDescent="0.2">
      <c r="A580">
        <f>IF(D580="USD",VLOOKUP(VALUE(RIGHT(E580,4)),'USD RUB'!$E:$F,2,FALSE),1)</f>
        <v>1</v>
      </c>
      <c r="B580" s="4">
        <v>1</v>
      </c>
      <c r="C580">
        <v>1000</v>
      </c>
      <c r="D580" t="s">
        <v>20</v>
      </c>
      <c r="E580" s="1" t="s">
        <v>596</v>
      </c>
      <c r="F580">
        <v>1380280000</v>
      </c>
      <c r="G580">
        <v>15939260000</v>
      </c>
      <c r="H580">
        <v>59794442000</v>
      </c>
      <c r="J580">
        <v>76889773000</v>
      </c>
      <c r="K580">
        <v>12610635000</v>
      </c>
      <c r="L580">
        <v>29823181000</v>
      </c>
      <c r="N580">
        <v>34455957000</v>
      </c>
      <c r="O580">
        <v>77554395000</v>
      </c>
      <c r="P580">
        <v>4238005000</v>
      </c>
      <c r="Q580">
        <v>2322757000</v>
      </c>
      <c r="R580">
        <v>1751535000</v>
      </c>
      <c r="T580">
        <v>9698000</v>
      </c>
      <c r="V580">
        <f t="shared" si="28"/>
        <v>60081658000</v>
      </c>
      <c r="W580">
        <f t="shared" si="29"/>
        <v>73309165000</v>
      </c>
    </row>
    <row r="581" spans="1:23" x14ac:dyDescent="0.2">
      <c r="A581">
        <f>IF(D581="USD",VLOOKUP(VALUE(RIGHT(E581,4)),'USD RUB'!$E:$F,2,FALSE),1)</f>
        <v>1</v>
      </c>
      <c r="B581" s="4">
        <v>1</v>
      </c>
      <c r="C581">
        <v>1000</v>
      </c>
      <c r="D581" t="s">
        <v>20</v>
      </c>
      <c r="E581" s="1" t="s">
        <v>597</v>
      </c>
      <c r="F581">
        <v>3037087000</v>
      </c>
      <c r="G581">
        <v>17398953000</v>
      </c>
      <c r="H581">
        <v>58227554000</v>
      </c>
      <c r="J581">
        <v>76814429000</v>
      </c>
      <c r="K581">
        <v>12901095000</v>
      </c>
      <c r="L581">
        <v>29517662000</v>
      </c>
      <c r="N581">
        <v>34395672000</v>
      </c>
      <c r="O581">
        <v>36749358000</v>
      </c>
      <c r="P581">
        <v>3184612000</v>
      </c>
      <c r="Q581">
        <v>2234867000</v>
      </c>
      <c r="R581">
        <v>1504685000</v>
      </c>
      <c r="T581">
        <v>5869000000</v>
      </c>
      <c r="V581" t="str">
        <f t="shared" si="28"/>
        <v/>
      </c>
      <c r="W581" t="str">
        <f t="shared" si="29"/>
        <v/>
      </c>
    </row>
    <row r="582" spans="1:23" x14ac:dyDescent="0.2">
      <c r="A582">
        <f>IF(D582="USD",VLOOKUP(VALUE(RIGHT(E582,4)),'USD RUB'!$E:$F,2,FALSE),1)</f>
        <v>1</v>
      </c>
      <c r="B582" s="4">
        <v>1</v>
      </c>
      <c r="C582">
        <v>1000</v>
      </c>
      <c r="D582" t="s">
        <v>20</v>
      </c>
      <c r="E582" s="1" t="s">
        <v>598</v>
      </c>
      <c r="F582">
        <v>2606256000</v>
      </c>
      <c r="G582">
        <v>14155262000</v>
      </c>
      <c r="H582">
        <v>57998354000</v>
      </c>
      <c r="J582">
        <v>73309165000</v>
      </c>
      <c r="K582">
        <v>10248848000</v>
      </c>
      <c r="L582">
        <v>28705633000</v>
      </c>
      <c r="N582">
        <v>34354684000</v>
      </c>
      <c r="O582">
        <v>60081658000</v>
      </c>
      <c r="P582">
        <v>3596232000</v>
      </c>
      <c r="Q582">
        <v>2072437000</v>
      </c>
      <c r="R582">
        <v>1543553000</v>
      </c>
      <c r="T582">
        <v>9265000000</v>
      </c>
      <c r="V582" t="str">
        <f t="shared" si="28"/>
        <v/>
      </c>
      <c r="W582" t="str">
        <f t="shared" si="29"/>
        <v/>
      </c>
    </row>
    <row r="583" spans="1:23" x14ac:dyDescent="0.2">
      <c r="A583">
        <f>IF(D583="USD",VLOOKUP(VALUE(RIGHT(E583,4)),'USD RUB'!$E:$F,2,FALSE),1)</f>
        <v>1</v>
      </c>
      <c r="B583" s="4">
        <v>1</v>
      </c>
      <c r="C583">
        <v>1000</v>
      </c>
      <c r="D583" t="s">
        <v>20</v>
      </c>
      <c r="E583" s="1" t="s">
        <v>599</v>
      </c>
      <c r="F583">
        <v>5145481000</v>
      </c>
      <c r="G583">
        <v>12062990000</v>
      </c>
      <c r="H583">
        <v>47839260000</v>
      </c>
      <c r="J583">
        <v>60884078000</v>
      </c>
      <c r="K583">
        <v>9889419000</v>
      </c>
      <c r="L583">
        <v>19525951000</v>
      </c>
      <c r="N583">
        <v>31468708000</v>
      </c>
      <c r="O583">
        <v>33312548000</v>
      </c>
      <c r="P583">
        <v>4223308000</v>
      </c>
      <c r="Q583">
        <v>3791931000</v>
      </c>
      <c r="R583">
        <v>2860100000</v>
      </c>
      <c r="T583">
        <v>6435470000</v>
      </c>
      <c r="V583" t="str">
        <f t="shared" si="28"/>
        <v/>
      </c>
      <c r="W583" t="str">
        <f t="shared" si="29"/>
        <v/>
      </c>
    </row>
    <row r="584" spans="1:23" x14ac:dyDescent="0.2">
      <c r="A584">
        <f>IF(D584="USD",VLOOKUP(VALUE(RIGHT(E584,4)),'USD RUB'!$E:$F,2,FALSE),1)</f>
        <v>1</v>
      </c>
      <c r="B584" s="4">
        <v>1</v>
      </c>
      <c r="C584">
        <v>1000</v>
      </c>
      <c r="D584" t="s">
        <v>20</v>
      </c>
      <c r="E584" s="1" t="s">
        <v>600</v>
      </c>
      <c r="F584">
        <v>3178751000</v>
      </c>
      <c r="G584">
        <v>8983761000</v>
      </c>
      <c r="H584">
        <v>45135110000</v>
      </c>
      <c r="J584">
        <v>55019202000</v>
      </c>
      <c r="K584">
        <v>8243597000</v>
      </c>
      <c r="L584">
        <v>18017075000</v>
      </c>
      <c r="N584">
        <v>28758530000</v>
      </c>
      <c r="O584">
        <v>54629510000</v>
      </c>
      <c r="P584">
        <v>2260243000</v>
      </c>
      <c r="Q584">
        <v>1215830000</v>
      </c>
      <c r="R584">
        <v>834887000</v>
      </c>
      <c r="T584">
        <v>5900000000</v>
      </c>
      <c r="V584" t="str">
        <f t="shared" si="28"/>
        <v/>
      </c>
      <c r="W584" t="str">
        <f t="shared" si="29"/>
        <v/>
      </c>
    </row>
    <row r="585" spans="1:23" x14ac:dyDescent="0.2">
      <c r="A585">
        <f>IF(D585="USD",VLOOKUP(VALUE(RIGHT(E585,4)),'USD RUB'!$E:$F,2,FALSE),1)</f>
        <v>1</v>
      </c>
      <c r="B585" s="4">
        <v>1</v>
      </c>
      <c r="C585">
        <v>1000</v>
      </c>
      <c r="D585" t="s">
        <v>20</v>
      </c>
      <c r="E585" s="1" t="s">
        <v>601</v>
      </c>
      <c r="F585">
        <v>11705517000</v>
      </c>
      <c r="G585">
        <v>26056862000</v>
      </c>
      <c r="H585">
        <v>118936312000</v>
      </c>
      <c r="I585">
        <v>2107946000</v>
      </c>
      <c r="J585">
        <v>158275787000</v>
      </c>
      <c r="K585">
        <v>43521455000</v>
      </c>
      <c r="L585">
        <v>31980628000</v>
      </c>
      <c r="M585">
        <v>66569883000</v>
      </c>
      <c r="N585">
        <v>82773704000</v>
      </c>
      <c r="O585">
        <v>129836251000</v>
      </c>
      <c r="P585">
        <v>20837307000</v>
      </c>
      <c r="Q585">
        <v>18030079000</v>
      </c>
      <c r="R585">
        <v>13298079000</v>
      </c>
      <c r="S585">
        <v>9154935000</v>
      </c>
      <c r="T585">
        <v>34260884000</v>
      </c>
      <c r="U585">
        <v>17486052000</v>
      </c>
      <c r="V585">
        <f t="shared" si="28"/>
        <v>115298849000</v>
      </c>
      <c r="W585">
        <f t="shared" si="29"/>
        <v>137898069000</v>
      </c>
    </row>
    <row r="586" spans="1:23" x14ac:dyDescent="0.2">
      <c r="A586">
        <f>IF(D586="USD",VLOOKUP(VALUE(RIGHT(E586,4)),'USD RUB'!$E:$F,2,FALSE),1)</f>
        <v>1</v>
      </c>
      <c r="B586" s="4">
        <v>1</v>
      </c>
      <c r="C586">
        <v>1000</v>
      </c>
      <c r="D586" t="s">
        <v>20</v>
      </c>
      <c r="E586" s="1" t="s">
        <v>602</v>
      </c>
      <c r="F586">
        <v>7524010000</v>
      </c>
      <c r="G586">
        <v>22203827000</v>
      </c>
      <c r="H586">
        <v>113158661000</v>
      </c>
      <c r="I586">
        <v>1981463000</v>
      </c>
      <c r="J586">
        <v>148036518000</v>
      </c>
      <c r="K586">
        <v>35035272000</v>
      </c>
      <c r="L586">
        <v>36175726000</v>
      </c>
      <c r="M586">
        <v>62424318000</v>
      </c>
      <c r="N586">
        <v>76825520000</v>
      </c>
      <c r="O586">
        <v>91455171000</v>
      </c>
      <c r="P586">
        <v>14490548000</v>
      </c>
      <c r="Q586">
        <v>12346933000</v>
      </c>
      <c r="R586">
        <v>9126690000</v>
      </c>
      <c r="S586">
        <v>6776048000</v>
      </c>
      <c r="T586">
        <v>24311195000</v>
      </c>
      <c r="U586">
        <v>-12080724000</v>
      </c>
      <c r="V586">
        <f t="shared" si="28"/>
        <v>83369743000</v>
      </c>
      <c r="W586">
        <f t="shared" si="29"/>
        <v>127943605000</v>
      </c>
    </row>
    <row r="587" spans="1:23" x14ac:dyDescent="0.2">
      <c r="A587">
        <f>IF(D587="USD",VLOOKUP(VALUE(RIGHT(E587,4)),'USD RUB'!$E:$F,2,FALSE),1)</f>
        <v>1</v>
      </c>
      <c r="B587" s="4">
        <v>1</v>
      </c>
      <c r="C587">
        <v>1000</v>
      </c>
      <c r="D587" t="s">
        <v>20</v>
      </c>
      <c r="E587" s="1" t="s">
        <v>603</v>
      </c>
      <c r="F587">
        <v>7711254000</v>
      </c>
      <c r="G587">
        <v>22404860000</v>
      </c>
      <c r="H587">
        <v>111618021000</v>
      </c>
      <c r="I587">
        <v>2006376000</v>
      </c>
      <c r="J587">
        <v>145671175000</v>
      </c>
      <c r="K587">
        <v>44352898000</v>
      </c>
      <c r="L587">
        <v>29231126000</v>
      </c>
      <c r="M587">
        <v>58548575000</v>
      </c>
      <c r="N587">
        <v>72087151000</v>
      </c>
      <c r="O587">
        <v>59483881000</v>
      </c>
      <c r="P587">
        <v>8191614000</v>
      </c>
      <c r="Q587">
        <v>7060114000</v>
      </c>
      <c r="R587">
        <v>5250939000</v>
      </c>
      <c r="S587">
        <v>4601862000</v>
      </c>
      <c r="T587">
        <v>14930563000</v>
      </c>
      <c r="U587">
        <v>-8678572000</v>
      </c>
      <c r="V587">
        <f t="shared" si="28"/>
        <v>55671771000</v>
      </c>
      <c r="W587">
        <f t="shared" si="29"/>
        <v>125994563000</v>
      </c>
    </row>
    <row r="588" spans="1:23" x14ac:dyDescent="0.2">
      <c r="A588">
        <f>IF(D588="USD",VLOOKUP(VALUE(RIGHT(E588,4)),'USD RUB'!$E:$F,2,FALSE),1)</f>
        <v>1</v>
      </c>
      <c r="B588" s="4">
        <v>1</v>
      </c>
      <c r="C588">
        <v>1000</v>
      </c>
      <c r="D588" t="s">
        <v>20</v>
      </c>
      <c r="E588" s="1" t="s">
        <v>604</v>
      </c>
      <c r="F588">
        <v>9228454000</v>
      </c>
      <c r="G588">
        <v>22142646000</v>
      </c>
      <c r="H588">
        <v>108709032000</v>
      </c>
      <c r="I588">
        <v>1928108000</v>
      </c>
      <c r="J588">
        <v>141506702000</v>
      </c>
      <c r="K588">
        <v>37770003000</v>
      </c>
      <c r="L588">
        <v>30796049000</v>
      </c>
      <c r="M588">
        <v>59690121000</v>
      </c>
      <c r="N588">
        <v>72940650000</v>
      </c>
      <c r="O588">
        <v>31776028000</v>
      </c>
      <c r="P588">
        <v>5051877000</v>
      </c>
      <c r="Q588">
        <v>4222993000</v>
      </c>
      <c r="R588">
        <v>3082018000</v>
      </c>
      <c r="S588">
        <v>2296211000</v>
      </c>
      <c r="T588">
        <v>8582372000</v>
      </c>
      <c r="U588">
        <v>-5136417000</v>
      </c>
      <c r="V588">
        <f t="shared" si="28"/>
        <v>29820830000</v>
      </c>
      <c r="W588">
        <f t="shared" si="29"/>
        <v>127290811000</v>
      </c>
    </row>
    <row r="589" spans="1:23" x14ac:dyDescent="0.2">
      <c r="A589">
        <f>IF(D589="USD",VLOOKUP(VALUE(RIGHT(E589,4)),'USD RUB'!$E:$F,2,FALSE),1)</f>
        <v>1</v>
      </c>
      <c r="B589" s="4">
        <v>1</v>
      </c>
      <c r="C589">
        <v>1000</v>
      </c>
      <c r="D589" t="s">
        <v>20</v>
      </c>
      <c r="E589" s="1" t="s">
        <v>605</v>
      </c>
      <c r="F589">
        <v>7531408000</v>
      </c>
      <c r="G589">
        <v>19889253000</v>
      </c>
      <c r="H589">
        <v>106977487000</v>
      </c>
      <c r="I589">
        <v>2007283000</v>
      </c>
      <c r="J589">
        <v>137898069000</v>
      </c>
      <c r="K589">
        <v>37139801000</v>
      </c>
      <c r="L589">
        <v>30739147000</v>
      </c>
      <c r="M589">
        <v>56644557000</v>
      </c>
      <c r="N589">
        <v>70019121000</v>
      </c>
      <c r="O589">
        <v>115298849000</v>
      </c>
      <c r="P589">
        <v>15895448000</v>
      </c>
      <c r="Q589">
        <v>14215787000</v>
      </c>
      <c r="R589">
        <v>12650708000</v>
      </c>
      <c r="S589">
        <v>8923231000</v>
      </c>
      <c r="T589">
        <v>28567235000</v>
      </c>
      <c r="U589">
        <v>-19926199000</v>
      </c>
      <c r="V589">
        <f t="shared" si="28"/>
        <v>106103561000</v>
      </c>
      <c r="W589">
        <f t="shared" si="29"/>
        <v>123053320000</v>
      </c>
    </row>
    <row r="590" spans="1:23" x14ac:dyDescent="0.2">
      <c r="A590">
        <f>IF(D590="USD",VLOOKUP(VALUE(RIGHT(E590,4)),'USD RUB'!$E:$F,2,FALSE),1)</f>
        <v>1</v>
      </c>
      <c r="B590" s="4">
        <v>1</v>
      </c>
      <c r="C590">
        <v>1000</v>
      </c>
      <c r="D590" t="s">
        <v>20</v>
      </c>
      <c r="E590" s="1" t="s">
        <v>606</v>
      </c>
      <c r="F590">
        <v>5556220000</v>
      </c>
      <c r="G590">
        <v>17365775000</v>
      </c>
      <c r="H590">
        <v>99429680000</v>
      </c>
      <c r="I590">
        <v>1965137000</v>
      </c>
      <c r="J590">
        <v>127943605000</v>
      </c>
      <c r="K590">
        <v>23983234000</v>
      </c>
      <c r="L590">
        <v>34137989000</v>
      </c>
      <c r="M590">
        <v>56228644000</v>
      </c>
      <c r="N590">
        <v>69822382000</v>
      </c>
      <c r="O590">
        <v>83369743000</v>
      </c>
      <c r="P590">
        <v>13492119000</v>
      </c>
      <c r="Q590">
        <v>12418676000</v>
      </c>
      <c r="R590">
        <v>12221687000</v>
      </c>
      <c r="S590">
        <v>6788048000</v>
      </c>
      <c r="T590">
        <v>23034676000</v>
      </c>
      <c r="U590">
        <v>-12086265000</v>
      </c>
      <c r="V590">
        <f t="shared" si="28"/>
        <v>88774159000</v>
      </c>
      <c r="W590">
        <f t="shared" si="29"/>
        <v>114673199000</v>
      </c>
    </row>
    <row r="591" spans="1:23" x14ac:dyDescent="0.2">
      <c r="A591">
        <f>IF(D591="USD",VLOOKUP(VALUE(RIGHT(E591,4)),'USD RUB'!$E:$F,2,FALSE),1)</f>
        <v>1</v>
      </c>
      <c r="B591" s="4">
        <v>1</v>
      </c>
      <c r="C591">
        <v>1000</v>
      </c>
      <c r="D591" t="s">
        <v>20</v>
      </c>
      <c r="E591" s="1" t="s">
        <v>607</v>
      </c>
      <c r="F591">
        <v>5467365000</v>
      </c>
      <c r="G591">
        <v>17741753000</v>
      </c>
      <c r="H591">
        <v>96223672000</v>
      </c>
      <c r="I591">
        <v>2013999000</v>
      </c>
      <c r="J591">
        <v>125994563000</v>
      </c>
      <c r="K591">
        <v>24624616000</v>
      </c>
      <c r="L591">
        <v>33442345000</v>
      </c>
      <c r="M591">
        <v>53802519000</v>
      </c>
      <c r="N591">
        <v>67927602000</v>
      </c>
      <c r="O591">
        <v>55671771000</v>
      </c>
      <c r="P591">
        <v>9665975000</v>
      </c>
      <c r="Q591">
        <v>9207859000</v>
      </c>
      <c r="R591">
        <v>9764445000</v>
      </c>
      <c r="S591">
        <v>4847106000</v>
      </c>
      <c r="T591">
        <v>16567036000</v>
      </c>
      <c r="U591">
        <v>-7411835000</v>
      </c>
      <c r="V591">
        <f t="shared" si="28"/>
        <v>60628000000</v>
      </c>
      <c r="W591">
        <f t="shared" si="29"/>
        <v>111895769000</v>
      </c>
    </row>
    <row r="592" spans="1:23" x14ac:dyDescent="0.2">
      <c r="A592">
        <f>IF(D592="USD",VLOOKUP(VALUE(RIGHT(E592,4)),'USD RUB'!$E:$F,2,FALSE),1)</f>
        <v>1</v>
      </c>
      <c r="B592" s="4">
        <v>1</v>
      </c>
      <c r="C592">
        <v>1000</v>
      </c>
      <c r="D592" t="s">
        <v>20</v>
      </c>
      <c r="E592" s="1" t="s">
        <v>608</v>
      </c>
      <c r="F592">
        <v>5849695000</v>
      </c>
      <c r="G592">
        <v>21237819000</v>
      </c>
      <c r="H592">
        <v>94143146000</v>
      </c>
      <c r="I592">
        <v>2161311000</v>
      </c>
      <c r="J592">
        <v>127290811000</v>
      </c>
      <c r="K592">
        <v>23229829000</v>
      </c>
      <c r="L592">
        <v>32390791000</v>
      </c>
      <c r="M592">
        <v>57978850000</v>
      </c>
      <c r="N592">
        <v>71670191000</v>
      </c>
      <c r="O592">
        <v>29820830000</v>
      </c>
      <c r="P592">
        <v>4960800000</v>
      </c>
      <c r="Q592">
        <v>4389633000</v>
      </c>
      <c r="R592">
        <v>5784181000</v>
      </c>
      <c r="S592">
        <v>2591227000</v>
      </c>
      <c r="T592">
        <v>8627679000</v>
      </c>
      <c r="U592">
        <v>-3200988000</v>
      </c>
      <c r="V592">
        <f t="shared" si="28"/>
        <v>32749329000</v>
      </c>
      <c r="W592">
        <f t="shared" si="29"/>
        <v>108488327000</v>
      </c>
    </row>
    <row r="593" spans="1:23" x14ac:dyDescent="0.2">
      <c r="A593">
        <f>IF(D593="USD",VLOOKUP(VALUE(RIGHT(E593,4)),'USD RUB'!$E:$F,2,FALSE),1)</f>
        <v>1</v>
      </c>
      <c r="B593" s="4">
        <v>1</v>
      </c>
      <c r="C593">
        <v>1000</v>
      </c>
      <c r="D593" t="s">
        <v>20</v>
      </c>
      <c r="E593" s="1" t="s">
        <v>609</v>
      </c>
      <c r="F593">
        <v>3445684000</v>
      </c>
      <c r="G593">
        <v>18633467000</v>
      </c>
      <c r="H593">
        <v>93242874000</v>
      </c>
      <c r="I593">
        <v>2599916000</v>
      </c>
      <c r="J593">
        <v>123053320000</v>
      </c>
      <c r="K593">
        <v>23056451000</v>
      </c>
      <c r="L593">
        <v>34568921000</v>
      </c>
      <c r="M593">
        <v>52354373000</v>
      </c>
      <c r="N593">
        <v>65427948000</v>
      </c>
      <c r="O593">
        <v>106103561000</v>
      </c>
      <c r="P593">
        <v>14486096000</v>
      </c>
      <c r="Q593">
        <v>13180937000</v>
      </c>
      <c r="R593">
        <v>11854873000</v>
      </c>
      <c r="S593">
        <v>8233131000</v>
      </c>
      <c r="T593">
        <v>26804811000</v>
      </c>
      <c r="U593">
        <v>-21242839000</v>
      </c>
      <c r="V593">
        <f t="shared" si="28"/>
        <v>102983768000</v>
      </c>
      <c r="W593">
        <f t="shared" si="29"/>
        <v>106996438000</v>
      </c>
    </row>
    <row r="594" spans="1:23" x14ac:dyDescent="0.2">
      <c r="A594">
        <f>IF(D594="USD",VLOOKUP(VALUE(RIGHT(E594,4)),'USD RUB'!$E:$F,2,FALSE),1)</f>
        <v>1</v>
      </c>
      <c r="B594" s="4">
        <v>1</v>
      </c>
      <c r="C594">
        <v>1000</v>
      </c>
      <c r="D594" t="s">
        <v>20</v>
      </c>
      <c r="E594" s="1" t="s">
        <v>610</v>
      </c>
      <c r="F594">
        <v>4059660000</v>
      </c>
      <c r="G594">
        <v>15676734000</v>
      </c>
      <c r="H594">
        <v>86605966000</v>
      </c>
      <c r="I594">
        <v>2435180000</v>
      </c>
      <c r="J594">
        <v>114673199000</v>
      </c>
      <c r="K594">
        <v>23568846000</v>
      </c>
      <c r="L594">
        <v>24990882000</v>
      </c>
      <c r="M594">
        <v>52193814000</v>
      </c>
      <c r="N594">
        <v>66113471000</v>
      </c>
      <c r="O594">
        <v>88774159000</v>
      </c>
      <c r="P594">
        <v>15240150000</v>
      </c>
      <c r="Q594">
        <v>14391563000</v>
      </c>
      <c r="R594">
        <v>11654064000</v>
      </c>
      <c r="S594">
        <v>6209265000</v>
      </c>
      <c r="T594">
        <v>22808333000</v>
      </c>
      <c r="U594">
        <v>-10624876000</v>
      </c>
      <c r="V594">
        <f t="shared" si="28"/>
        <v>72829685000</v>
      </c>
      <c r="W594">
        <f t="shared" si="29"/>
        <v>100414856000</v>
      </c>
    </row>
    <row r="595" spans="1:23" x14ac:dyDescent="0.2">
      <c r="A595">
        <f>IF(D595="USD",VLOOKUP(VALUE(RIGHT(E595,4)),'USD RUB'!$E:$F,2,FALSE),1)</f>
        <v>1</v>
      </c>
      <c r="B595" s="4">
        <v>1</v>
      </c>
      <c r="C595">
        <v>1000</v>
      </c>
      <c r="D595" t="s">
        <v>20</v>
      </c>
      <c r="E595" s="1" t="s">
        <v>611</v>
      </c>
      <c r="F595">
        <v>3535119000</v>
      </c>
      <c r="G595">
        <v>16505668000</v>
      </c>
      <c r="H595">
        <v>83851011000</v>
      </c>
      <c r="I595">
        <v>2466014000</v>
      </c>
      <c r="J595">
        <v>111895769000</v>
      </c>
      <c r="K595">
        <v>25793504000</v>
      </c>
      <c r="L595">
        <v>23738413000</v>
      </c>
      <c r="M595">
        <v>49337093000</v>
      </c>
      <c r="N595">
        <v>62363852000</v>
      </c>
      <c r="O595">
        <v>60628000000</v>
      </c>
      <c r="P595">
        <v>10884301000</v>
      </c>
      <c r="Q595">
        <v>10435884000</v>
      </c>
      <c r="R595">
        <v>8753898000</v>
      </c>
      <c r="S595">
        <v>4108209000</v>
      </c>
      <c r="T595">
        <v>15850359000</v>
      </c>
      <c r="U595">
        <v>-6240328000</v>
      </c>
      <c r="V595">
        <f t="shared" si="28"/>
        <v>49565568000</v>
      </c>
      <c r="W595">
        <f t="shared" si="29"/>
        <v>102107927000</v>
      </c>
    </row>
    <row r="596" spans="1:23" x14ac:dyDescent="0.2">
      <c r="A596">
        <f>IF(D596="USD",VLOOKUP(VALUE(RIGHT(E596,4)),'USD RUB'!$E:$F,2,FALSE),1)</f>
        <v>1</v>
      </c>
      <c r="B596" s="4">
        <v>1</v>
      </c>
      <c r="C596">
        <v>1000</v>
      </c>
      <c r="D596" t="s">
        <v>20</v>
      </c>
      <c r="E596" s="1" t="s">
        <v>612</v>
      </c>
      <c r="F596">
        <v>3572626000</v>
      </c>
      <c r="G596">
        <v>15655873000</v>
      </c>
      <c r="H596">
        <v>82666082000</v>
      </c>
      <c r="I596">
        <v>2448087000</v>
      </c>
      <c r="J596">
        <v>108488327000</v>
      </c>
      <c r="K596">
        <v>31258130000</v>
      </c>
      <c r="L596">
        <v>19538860000</v>
      </c>
      <c r="M596">
        <v>45881200000</v>
      </c>
      <c r="N596">
        <v>57691337000</v>
      </c>
      <c r="O596">
        <v>32749329000</v>
      </c>
      <c r="P596">
        <v>6419535000</v>
      </c>
      <c r="Q596">
        <v>5976508000</v>
      </c>
      <c r="R596">
        <v>4763233000</v>
      </c>
      <c r="S596">
        <v>2046814000</v>
      </c>
      <c r="T596">
        <v>8819449000</v>
      </c>
      <c r="U596">
        <v>-3053882000</v>
      </c>
      <c r="V596">
        <f t="shared" si="28"/>
        <v>26701206000</v>
      </c>
      <c r="W596">
        <f t="shared" si="29"/>
        <v>103013321000</v>
      </c>
    </row>
    <row r="597" spans="1:23" x14ac:dyDescent="0.2">
      <c r="A597">
        <f>IF(D597="USD",VLOOKUP(VALUE(RIGHT(E597,4)),'USD RUB'!$E:$F,2,FALSE),1)</f>
        <v>1</v>
      </c>
      <c r="B597" s="4">
        <v>1</v>
      </c>
      <c r="C597">
        <v>1000</v>
      </c>
      <c r="D597" t="s">
        <v>20</v>
      </c>
      <c r="E597" s="1" t="s">
        <v>613</v>
      </c>
      <c r="F597">
        <v>3732950000</v>
      </c>
      <c r="G597">
        <v>15597425000</v>
      </c>
      <c r="H597">
        <v>82347472000</v>
      </c>
      <c r="I597">
        <v>2432326000</v>
      </c>
      <c r="J597">
        <v>106996438000</v>
      </c>
      <c r="K597">
        <v>32501952000</v>
      </c>
      <c r="L597">
        <v>22393552000</v>
      </c>
      <c r="M597">
        <v>41199914000</v>
      </c>
      <c r="N597">
        <v>52100934000</v>
      </c>
      <c r="O597">
        <v>102983768000</v>
      </c>
      <c r="P597">
        <v>7231212000</v>
      </c>
      <c r="Q597">
        <v>5840227000</v>
      </c>
      <c r="R597">
        <v>4276476000</v>
      </c>
      <c r="S597">
        <v>8293696000</v>
      </c>
      <c r="T597">
        <v>17297054000</v>
      </c>
      <c r="U597">
        <v>-12821717000</v>
      </c>
      <c r="V597">
        <f t="shared" si="28"/>
        <v>96514083000</v>
      </c>
      <c r="W597">
        <f t="shared" si="29"/>
        <v>101577933000</v>
      </c>
    </row>
    <row r="598" spans="1:23" x14ac:dyDescent="0.2">
      <c r="A598">
        <f>IF(D598="USD",VLOOKUP(VALUE(RIGHT(E598,4)),'USD RUB'!$E:$F,2,FALSE),1)</f>
        <v>1</v>
      </c>
      <c r="B598" s="4">
        <v>1</v>
      </c>
      <c r="C598">
        <v>1000</v>
      </c>
      <c r="D598" t="s">
        <v>20</v>
      </c>
      <c r="E598" s="1" t="s">
        <v>614</v>
      </c>
      <c r="F598">
        <v>2941171000</v>
      </c>
      <c r="G598">
        <v>12303994000</v>
      </c>
      <c r="H598">
        <v>79887223000</v>
      </c>
      <c r="I598">
        <v>2351781000</v>
      </c>
      <c r="J598">
        <v>100414856000</v>
      </c>
      <c r="K598">
        <v>29725912000</v>
      </c>
      <c r="L598">
        <v>17452911000</v>
      </c>
      <c r="M598">
        <v>42621169000</v>
      </c>
      <c r="N598">
        <v>53236033000</v>
      </c>
      <c r="O598">
        <v>72829685000</v>
      </c>
      <c r="P598">
        <v>6361203000</v>
      </c>
      <c r="Q598">
        <v>5369946000</v>
      </c>
      <c r="R598">
        <v>4018411000</v>
      </c>
      <c r="S598">
        <v>6311317000</v>
      </c>
      <c r="T598">
        <v>13635375000</v>
      </c>
      <c r="U598">
        <v>-8281261000</v>
      </c>
      <c r="V598">
        <f t="shared" si="28"/>
        <v>70134705000</v>
      </c>
      <c r="W598">
        <f t="shared" si="29"/>
        <v>98834016000</v>
      </c>
    </row>
    <row r="599" spans="1:23" x14ac:dyDescent="0.2">
      <c r="A599">
        <f>IF(D599="USD",VLOOKUP(VALUE(RIGHT(E599,4)),'USD RUB'!$E:$F,2,FALSE),1)</f>
        <v>1</v>
      </c>
      <c r="B599" s="4">
        <v>1</v>
      </c>
      <c r="C599">
        <v>1000</v>
      </c>
      <c r="D599" t="s">
        <v>20</v>
      </c>
      <c r="E599" s="1" t="s">
        <v>615</v>
      </c>
      <c r="F599">
        <v>3319176000</v>
      </c>
      <c r="G599">
        <v>13464353000</v>
      </c>
      <c r="H599">
        <v>79280892000</v>
      </c>
      <c r="I599">
        <v>2367113000</v>
      </c>
      <c r="J599">
        <v>102107927000</v>
      </c>
      <c r="K599">
        <v>30762458000</v>
      </c>
      <c r="L599">
        <v>18611249000</v>
      </c>
      <c r="M599">
        <v>41750532000</v>
      </c>
      <c r="N599">
        <v>52734220000</v>
      </c>
      <c r="O599">
        <v>49565568000</v>
      </c>
      <c r="P599">
        <v>4662605000</v>
      </c>
      <c r="Q599">
        <v>4107894000</v>
      </c>
      <c r="R599">
        <v>3127217000</v>
      </c>
      <c r="S599">
        <v>4281816000</v>
      </c>
      <c r="T599">
        <v>9582415000</v>
      </c>
      <c r="U599">
        <v>-5453580000</v>
      </c>
      <c r="V599">
        <f t="shared" si="28"/>
        <v>47709935000</v>
      </c>
      <c r="W599">
        <f t="shared" si="29"/>
        <v>98599788000</v>
      </c>
    </row>
    <row r="600" spans="1:23" x14ac:dyDescent="0.2">
      <c r="A600">
        <f>IF(D600="USD",VLOOKUP(VALUE(RIGHT(E600,4)),'USD RUB'!$E:$F,2,FALSE),1)</f>
        <v>1</v>
      </c>
      <c r="B600" s="4">
        <v>1</v>
      </c>
      <c r="C600">
        <v>1000</v>
      </c>
      <c r="D600" t="s">
        <v>20</v>
      </c>
      <c r="E600" s="1" t="s">
        <v>616</v>
      </c>
      <c r="F600">
        <v>3641262000</v>
      </c>
      <c r="G600">
        <v>13765294000</v>
      </c>
      <c r="H600">
        <v>79451381000</v>
      </c>
      <c r="I600">
        <v>2383539000</v>
      </c>
      <c r="J600">
        <v>103013321000</v>
      </c>
      <c r="K600">
        <v>25780360000</v>
      </c>
      <c r="L600">
        <v>22309798000</v>
      </c>
      <c r="M600">
        <v>43639210000</v>
      </c>
      <c r="N600">
        <v>54923163000</v>
      </c>
      <c r="O600">
        <v>26701206000</v>
      </c>
      <c r="P600">
        <v>2870293000</v>
      </c>
      <c r="Q600">
        <v>2399896000</v>
      </c>
      <c r="R600">
        <v>2827786000</v>
      </c>
      <c r="S600">
        <v>2178163000</v>
      </c>
      <c r="T600">
        <v>5374103000</v>
      </c>
      <c r="U600">
        <v>-2989939000</v>
      </c>
      <c r="V600">
        <f t="shared" si="28"/>
        <v>25907455000</v>
      </c>
      <c r="W600">
        <f t="shared" si="29"/>
        <v>96081599000</v>
      </c>
    </row>
    <row r="601" spans="1:23" x14ac:dyDescent="0.2">
      <c r="A601">
        <f>IF(D601="USD",VLOOKUP(VALUE(RIGHT(E601,4)),'USD RUB'!$E:$F,2,FALSE),1)</f>
        <v>1</v>
      </c>
      <c r="B601" s="4">
        <v>1</v>
      </c>
      <c r="C601">
        <v>1000</v>
      </c>
      <c r="D601" t="s">
        <v>20</v>
      </c>
      <c r="E601" s="1" t="s">
        <v>617</v>
      </c>
      <c r="F601">
        <v>3195830000</v>
      </c>
      <c r="G601">
        <v>12827122000</v>
      </c>
      <c r="H601">
        <v>79171197000</v>
      </c>
      <c r="I601">
        <v>2354848000</v>
      </c>
      <c r="J601">
        <v>101577933000</v>
      </c>
      <c r="K601">
        <v>26133994000</v>
      </c>
      <c r="L601">
        <v>22673401000</v>
      </c>
      <c r="M601">
        <v>40909874000</v>
      </c>
      <c r="N601">
        <v>52770538000</v>
      </c>
      <c r="O601">
        <v>96514083000</v>
      </c>
      <c r="P601">
        <v>5568201000</v>
      </c>
      <c r="Q601">
        <v>4971879000</v>
      </c>
      <c r="R601">
        <v>3839898000</v>
      </c>
      <c r="S601">
        <v>7944268000</v>
      </c>
      <c r="T601">
        <v>16350483000</v>
      </c>
      <c r="U601">
        <v>-13428408000</v>
      </c>
      <c r="V601">
        <f t="shared" ref="V601:V664" si="30">_xlfn.XLOOKUP(LEFT(E601,LEN(E601)-4)&amp;(VALUE(RIGHT(E601,4))-1),$E:$E,$O:$O,"")</f>
        <v>88620965000</v>
      </c>
      <c r="W601">
        <f t="shared" ref="W601:W664" si="31">_xlfn.XLOOKUP(LEFT(E601,LEN(E601)-4)&amp;(VALUE(RIGHT(E601,4))-1),$E:$E,$J:$J,"")</f>
        <v>93823202000</v>
      </c>
    </row>
    <row r="602" spans="1:23" x14ac:dyDescent="0.2">
      <c r="A602">
        <f>IF(D602="USD",VLOOKUP(VALUE(RIGHT(E602,4)),'USD RUB'!$E:$F,2,FALSE),1)</f>
        <v>1</v>
      </c>
      <c r="B602" s="4">
        <v>1</v>
      </c>
      <c r="C602">
        <v>1000</v>
      </c>
      <c r="D602" t="s">
        <v>20</v>
      </c>
      <c r="E602" s="1" t="s">
        <v>618</v>
      </c>
      <c r="F602">
        <v>1991151000</v>
      </c>
      <c r="G602">
        <v>10818629000</v>
      </c>
      <c r="H602">
        <v>78677982000</v>
      </c>
      <c r="I602">
        <v>2212704000</v>
      </c>
      <c r="J602">
        <v>98834016000</v>
      </c>
      <c r="K602">
        <v>17002240000</v>
      </c>
      <c r="L602">
        <v>27876823000</v>
      </c>
      <c r="M602">
        <v>42463521000</v>
      </c>
      <c r="N602">
        <v>53954953000</v>
      </c>
      <c r="O602">
        <v>70134705000</v>
      </c>
      <c r="P602">
        <v>7376213000</v>
      </c>
      <c r="Q602">
        <v>6740341000</v>
      </c>
      <c r="R602">
        <v>5440063000</v>
      </c>
      <c r="S602">
        <v>5856990000</v>
      </c>
      <c r="T602">
        <v>13599212000</v>
      </c>
      <c r="U602">
        <v>-9148907000</v>
      </c>
      <c r="V602">
        <f t="shared" si="30"/>
        <v>63853296000</v>
      </c>
      <c r="W602">
        <f t="shared" si="31"/>
        <v>92733062000</v>
      </c>
    </row>
    <row r="603" spans="1:23" x14ac:dyDescent="0.2">
      <c r="A603">
        <f>IF(D603="USD",VLOOKUP(VALUE(RIGHT(E603,4)),'USD RUB'!$E:$F,2,FALSE),1)</f>
        <v>1</v>
      </c>
      <c r="B603" s="4">
        <v>1</v>
      </c>
      <c r="C603">
        <v>1000</v>
      </c>
      <c r="D603" t="s">
        <v>20</v>
      </c>
      <c r="E603" s="1" t="s">
        <v>619</v>
      </c>
      <c r="F603">
        <v>2021312000</v>
      </c>
      <c r="G603">
        <v>12921349000</v>
      </c>
      <c r="H603">
        <v>76574030000</v>
      </c>
      <c r="I603">
        <v>2239656000</v>
      </c>
      <c r="J603">
        <v>98599788000</v>
      </c>
      <c r="K603">
        <v>15774251000</v>
      </c>
      <c r="L603">
        <v>30549128000</v>
      </c>
      <c r="M603">
        <v>41119334000</v>
      </c>
      <c r="N603">
        <v>52276409000</v>
      </c>
      <c r="O603">
        <v>47709935000</v>
      </c>
      <c r="P603">
        <v>5340619000</v>
      </c>
      <c r="Q603">
        <v>5059967000</v>
      </c>
      <c r="R603">
        <v>4068715000</v>
      </c>
      <c r="S603">
        <v>3904076000</v>
      </c>
      <c r="T603">
        <v>9519735000</v>
      </c>
      <c r="U603">
        <v>-6297229000</v>
      </c>
      <c r="V603">
        <f t="shared" si="30"/>
        <v>43210611000</v>
      </c>
      <c r="W603">
        <f t="shared" si="31"/>
        <v>92462627000</v>
      </c>
    </row>
    <row r="604" spans="1:23" x14ac:dyDescent="0.2">
      <c r="A604">
        <f>IF(D604="USD",VLOOKUP(VALUE(RIGHT(E604,4)),'USD RUB'!$E:$F,2,FALSE),1)</f>
        <v>1</v>
      </c>
      <c r="B604" s="4">
        <v>1</v>
      </c>
      <c r="C604">
        <v>1000</v>
      </c>
      <c r="D604" t="s">
        <v>20</v>
      </c>
      <c r="E604" s="1" t="s">
        <v>620</v>
      </c>
      <c r="F604">
        <v>1735074000</v>
      </c>
      <c r="G604">
        <v>11173387000</v>
      </c>
      <c r="H604">
        <v>75730969000</v>
      </c>
      <c r="I604">
        <v>2243123000</v>
      </c>
      <c r="J604">
        <v>96081599000</v>
      </c>
      <c r="K604">
        <v>18065480000</v>
      </c>
      <c r="L604">
        <v>28373367000</v>
      </c>
      <c r="M604">
        <v>38484379000</v>
      </c>
      <c r="N604">
        <v>49642752000</v>
      </c>
      <c r="O604">
        <v>25907455000</v>
      </c>
      <c r="P604">
        <v>2117593000</v>
      </c>
      <c r="Q604">
        <v>1770474000</v>
      </c>
      <c r="R604">
        <v>1393824000</v>
      </c>
      <c r="S604">
        <v>1937526000</v>
      </c>
      <c r="T604">
        <v>4130043000</v>
      </c>
      <c r="U604">
        <v>-3660772000</v>
      </c>
      <c r="V604">
        <f t="shared" si="30"/>
        <v>24123257000</v>
      </c>
      <c r="W604">
        <f t="shared" si="31"/>
        <v>92930036000</v>
      </c>
    </row>
    <row r="605" spans="1:23" x14ac:dyDescent="0.2">
      <c r="A605">
        <f>IF(D605="USD",VLOOKUP(VALUE(RIGHT(E605,4)),'USD RUB'!$E:$F,2,FALSE),1)</f>
        <v>1</v>
      </c>
      <c r="B605" s="4">
        <v>1</v>
      </c>
      <c r="C605">
        <v>1000</v>
      </c>
      <c r="D605" t="s">
        <v>20</v>
      </c>
      <c r="E605" s="1" t="s">
        <v>621</v>
      </c>
      <c r="F605">
        <v>2210397000</v>
      </c>
      <c r="G605">
        <v>10530187000</v>
      </c>
      <c r="H605">
        <v>74495397000</v>
      </c>
      <c r="I605">
        <v>2239668000</v>
      </c>
      <c r="J605">
        <v>93823202000</v>
      </c>
      <c r="K605">
        <v>18052238000</v>
      </c>
      <c r="L605">
        <v>27833166000</v>
      </c>
      <c r="M605">
        <v>37135013000</v>
      </c>
      <c r="N605">
        <v>47937798000</v>
      </c>
      <c r="O605">
        <v>88620965000</v>
      </c>
      <c r="P605">
        <v>1751808000</v>
      </c>
      <c r="Q605">
        <v>789356000</v>
      </c>
      <c r="R605">
        <v>621910000</v>
      </c>
      <c r="S605">
        <v>7649258000</v>
      </c>
      <c r="T605">
        <v>10315769000</v>
      </c>
      <c r="U605">
        <v>-11117369000</v>
      </c>
      <c r="V605">
        <f t="shared" si="30"/>
        <v>106148635000</v>
      </c>
      <c r="W605">
        <f t="shared" si="31"/>
        <v>91038848000</v>
      </c>
    </row>
    <row r="606" spans="1:23" x14ac:dyDescent="0.2">
      <c r="A606">
        <f>IF(D606="USD",VLOOKUP(VALUE(RIGHT(E606,4)),'USD RUB'!$E:$F,2,FALSE),1)</f>
        <v>1</v>
      </c>
      <c r="B606" s="4">
        <v>1</v>
      </c>
      <c r="C606">
        <v>1000</v>
      </c>
      <c r="D606" t="s">
        <v>20</v>
      </c>
      <c r="E606" s="1" t="s">
        <v>622</v>
      </c>
      <c r="F606">
        <v>2704614000</v>
      </c>
      <c r="G606">
        <v>12411558000</v>
      </c>
      <c r="H606">
        <v>71816624000</v>
      </c>
      <c r="I606">
        <v>2066087000</v>
      </c>
      <c r="J606">
        <v>92733062000</v>
      </c>
      <c r="K606">
        <v>15830521000</v>
      </c>
      <c r="L606">
        <v>28838242000</v>
      </c>
      <c r="M606">
        <v>37183225000</v>
      </c>
      <c r="N606">
        <v>48064299000</v>
      </c>
      <c r="O606">
        <v>63853296000</v>
      </c>
      <c r="P606">
        <v>1515698000</v>
      </c>
      <c r="Q606">
        <v>904403000</v>
      </c>
      <c r="R606">
        <v>755749000</v>
      </c>
      <c r="S606">
        <v>5690548000</v>
      </c>
      <c r="T606">
        <v>7641189000</v>
      </c>
      <c r="U606">
        <v>-7732578000</v>
      </c>
      <c r="V606">
        <f t="shared" si="30"/>
        <v>81490147000</v>
      </c>
      <c r="W606">
        <f t="shared" si="31"/>
        <v>87092468000</v>
      </c>
    </row>
    <row r="607" spans="1:23" x14ac:dyDescent="0.2">
      <c r="A607">
        <f>IF(D607="USD",VLOOKUP(VALUE(RIGHT(E607,4)),'USD RUB'!$E:$F,2,FALSE),1)</f>
        <v>1</v>
      </c>
      <c r="B607" s="4">
        <v>1</v>
      </c>
      <c r="C607">
        <v>1000</v>
      </c>
      <c r="D607" t="s">
        <v>20</v>
      </c>
      <c r="E607" s="1" t="s">
        <v>623</v>
      </c>
      <c r="F607">
        <v>2288558000</v>
      </c>
      <c r="G607">
        <v>12536750000</v>
      </c>
      <c r="H607">
        <v>71343308000</v>
      </c>
      <c r="I607">
        <v>2083572000</v>
      </c>
      <c r="J607">
        <v>92462627000</v>
      </c>
      <c r="K607">
        <v>15954106000</v>
      </c>
      <c r="L607">
        <v>28790870000</v>
      </c>
      <c r="M607">
        <v>36886548000</v>
      </c>
      <c r="N607">
        <v>47717651000</v>
      </c>
      <c r="O607">
        <v>43210611000</v>
      </c>
      <c r="P607">
        <v>798074000</v>
      </c>
      <c r="Q607">
        <v>521767000</v>
      </c>
      <c r="R607">
        <v>424889000</v>
      </c>
      <c r="S607">
        <v>3782300000</v>
      </c>
      <c r="T607">
        <v>4854582000</v>
      </c>
      <c r="U607">
        <v>-5461381000</v>
      </c>
      <c r="V607">
        <f t="shared" si="30"/>
        <v>59770871000</v>
      </c>
      <c r="W607">
        <f t="shared" si="31"/>
        <v>84857842000</v>
      </c>
    </row>
    <row r="608" spans="1:23" x14ac:dyDescent="0.2">
      <c r="A608">
        <f>IF(D608="USD",VLOOKUP(VALUE(RIGHT(E608,4)),'USD RUB'!$E:$F,2,FALSE),1)</f>
        <v>1</v>
      </c>
      <c r="B608" s="4">
        <v>1</v>
      </c>
      <c r="C608">
        <v>1000</v>
      </c>
      <c r="D608" t="s">
        <v>20</v>
      </c>
      <c r="E608" s="1" t="s">
        <v>624</v>
      </c>
      <c r="F608">
        <v>3735924000</v>
      </c>
      <c r="G608">
        <v>14154767000</v>
      </c>
      <c r="H608">
        <v>70885131000</v>
      </c>
      <c r="I608">
        <v>2038647000</v>
      </c>
      <c r="J608">
        <v>92930036000</v>
      </c>
      <c r="K608">
        <v>18519882000</v>
      </c>
      <c r="L608">
        <v>25963588000</v>
      </c>
      <c r="M608">
        <v>38081062000</v>
      </c>
      <c r="N608">
        <v>48446566000</v>
      </c>
      <c r="O608">
        <v>24123257000</v>
      </c>
      <c r="P608">
        <v>1574938000</v>
      </c>
      <c r="Q608">
        <v>1448887000</v>
      </c>
      <c r="R608">
        <v>939139000</v>
      </c>
      <c r="S608">
        <v>1885907000</v>
      </c>
      <c r="T608">
        <v>3603439000</v>
      </c>
      <c r="U608">
        <v>-2657917000</v>
      </c>
      <c r="V608">
        <f t="shared" si="30"/>
        <v>32356325000</v>
      </c>
      <c r="W608">
        <f t="shared" si="31"/>
        <v>86248437000</v>
      </c>
    </row>
    <row r="609" spans="1:23" x14ac:dyDescent="0.2">
      <c r="A609">
        <f>IF(D609="USD",VLOOKUP(VALUE(RIGHT(E609,4)),'USD RUB'!$E:$F,2,FALSE),1)</f>
        <v>1</v>
      </c>
      <c r="B609" s="4">
        <v>1</v>
      </c>
      <c r="C609">
        <v>1000</v>
      </c>
      <c r="D609" t="s">
        <v>20</v>
      </c>
      <c r="E609" s="1" t="s">
        <v>625</v>
      </c>
      <c r="F609">
        <v>2256582000</v>
      </c>
      <c r="G609">
        <v>12492257000</v>
      </c>
      <c r="H609">
        <v>70222403000</v>
      </c>
      <c r="I609">
        <v>1945719000</v>
      </c>
      <c r="J609">
        <v>91038848000</v>
      </c>
      <c r="K609">
        <v>17306605000</v>
      </c>
      <c r="L609">
        <v>26191835000</v>
      </c>
      <c r="M609">
        <v>37293969000</v>
      </c>
      <c r="N609">
        <v>47540408000</v>
      </c>
      <c r="O609">
        <v>106148635000</v>
      </c>
      <c r="P609">
        <v>4412240000</v>
      </c>
      <c r="Q609">
        <v>3768876000</v>
      </c>
      <c r="R609">
        <v>2761123000</v>
      </c>
      <c r="S609">
        <v>7089535000</v>
      </c>
      <c r="T609">
        <v>12153503000</v>
      </c>
      <c r="U609">
        <v>-10070281000</v>
      </c>
      <c r="V609">
        <f t="shared" si="30"/>
        <v>100302694000</v>
      </c>
      <c r="W609">
        <f t="shared" si="31"/>
        <v>81576650000</v>
      </c>
    </row>
    <row r="610" spans="1:23" x14ac:dyDescent="0.2">
      <c r="A610">
        <f>IF(D610="USD",VLOOKUP(VALUE(RIGHT(E610,4)),'USD RUB'!$E:$F,2,FALSE),1)</f>
        <v>1</v>
      </c>
      <c r="B610" s="4">
        <v>1</v>
      </c>
      <c r="C610">
        <v>1000</v>
      </c>
      <c r="D610" t="s">
        <v>20</v>
      </c>
      <c r="E610" s="1" t="s">
        <v>626</v>
      </c>
      <c r="F610">
        <v>2164506000</v>
      </c>
      <c r="G610">
        <v>13075195000</v>
      </c>
      <c r="H610">
        <v>65953531000</v>
      </c>
      <c r="I610">
        <v>1613903000</v>
      </c>
      <c r="J610">
        <v>87092468000</v>
      </c>
      <c r="K610">
        <v>15257620000</v>
      </c>
      <c r="L610">
        <v>24294952000</v>
      </c>
      <c r="M610">
        <v>37069901000</v>
      </c>
      <c r="N610">
        <v>47539896000</v>
      </c>
      <c r="O610">
        <v>81490147000</v>
      </c>
      <c r="P610">
        <v>3528611000</v>
      </c>
      <c r="Q610">
        <v>2978347000</v>
      </c>
      <c r="R610">
        <v>2225942000</v>
      </c>
      <c r="S610">
        <v>5238318000</v>
      </c>
      <c r="T610">
        <v>9211817000</v>
      </c>
      <c r="U610">
        <v>-5088158000</v>
      </c>
      <c r="V610">
        <f t="shared" si="30"/>
        <v>69082322000</v>
      </c>
      <c r="W610">
        <f t="shared" si="31"/>
        <v>79477563000</v>
      </c>
    </row>
    <row r="611" spans="1:23" x14ac:dyDescent="0.2">
      <c r="A611">
        <f>IF(D611="USD",VLOOKUP(VALUE(RIGHT(E611,4)),'USD RUB'!$E:$F,2,FALSE),1)</f>
        <v>1</v>
      </c>
      <c r="B611" s="4">
        <v>1</v>
      </c>
      <c r="C611">
        <v>1000</v>
      </c>
      <c r="D611" t="s">
        <v>20</v>
      </c>
      <c r="E611" s="1" t="s">
        <v>627</v>
      </c>
      <c r="F611">
        <v>1727644000</v>
      </c>
      <c r="G611">
        <v>15039215000</v>
      </c>
      <c r="H611">
        <v>62900321000</v>
      </c>
      <c r="I611">
        <v>1510113000</v>
      </c>
      <c r="J611">
        <v>84857842000</v>
      </c>
      <c r="K611">
        <v>19749860000</v>
      </c>
      <c r="L611">
        <v>18501141000</v>
      </c>
      <c r="M611">
        <v>36732913000</v>
      </c>
      <c r="N611">
        <v>46606841000</v>
      </c>
      <c r="O611">
        <v>59770871000</v>
      </c>
      <c r="P611">
        <v>2845859000</v>
      </c>
      <c r="Q611">
        <v>2404390000</v>
      </c>
      <c r="R611">
        <v>1870588000</v>
      </c>
      <c r="S611">
        <v>3485041000</v>
      </c>
      <c r="T611">
        <v>6546042000</v>
      </c>
      <c r="U611">
        <v>-2931922000</v>
      </c>
      <c r="V611">
        <f t="shared" si="30"/>
        <v>43162750000</v>
      </c>
      <c r="W611">
        <f t="shared" si="31"/>
        <v>75196404000</v>
      </c>
    </row>
    <row r="612" spans="1:23" x14ac:dyDescent="0.2">
      <c r="A612">
        <f>IF(D612="USD",VLOOKUP(VALUE(RIGHT(E612,4)),'USD RUB'!$E:$F,2,FALSE),1)</f>
        <v>1</v>
      </c>
      <c r="B612" s="4">
        <v>1</v>
      </c>
      <c r="C612">
        <v>1000</v>
      </c>
      <c r="D612" t="s">
        <v>20</v>
      </c>
      <c r="E612" s="1" t="s">
        <v>628</v>
      </c>
      <c r="F612">
        <v>3516635000</v>
      </c>
      <c r="G612">
        <v>17188382000</v>
      </c>
      <c r="H612">
        <v>62660492000</v>
      </c>
      <c r="I612">
        <v>1475098000</v>
      </c>
      <c r="J612">
        <v>86248437000</v>
      </c>
      <c r="K612">
        <v>23242915000</v>
      </c>
      <c r="L612">
        <v>16695810000</v>
      </c>
      <c r="M612">
        <v>36317177000</v>
      </c>
      <c r="N612">
        <v>46309712000</v>
      </c>
      <c r="O612">
        <v>32356325000</v>
      </c>
      <c r="P612">
        <v>1989892000</v>
      </c>
      <c r="Q612">
        <v>1656226000</v>
      </c>
      <c r="R612">
        <v>1168151000</v>
      </c>
      <c r="S612">
        <v>1754846000</v>
      </c>
      <c r="T612">
        <v>3707355000</v>
      </c>
      <c r="U612">
        <v>-1262139000</v>
      </c>
      <c r="V612">
        <f t="shared" si="30"/>
        <v>22787610000</v>
      </c>
      <c r="W612">
        <f t="shared" si="31"/>
        <v>78219944000</v>
      </c>
    </row>
    <row r="613" spans="1:23" x14ac:dyDescent="0.2">
      <c r="A613">
        <f>IF(D613="USD",VLOOKUP(VALUE(RIGHT(E613,4)),'USD RUB'!$E:$F,2,FALSE),1)</f>
        <v>1</v>
      </c>
      <c r="B613" s="4">
        <v>1</v>
      </c>
      <c r="C613">
        <v>1000</v>
      </c>
      <c r="D613" t="s">
        <v>20</v>
      </c>
      <c r="E613" s="1" t="s">
        <v>629</v>
      </c>
      <c r="F613">
        <v>2139969000</v>
      </c>
      <c r="G613">
        <v>14427278000</v>
      </c>
      <c r="H613">
        <v>63139233000</v>
      </c>
      <c r="I613">
        <v>1257549000</v>
      </c>
      <c r="J613">
        <v>81576650000</v>
      </c>
      <c r="K613">
        <v>21932320000</v>
      </c>
      <c r="L613">
        <v>14509307000</v>
      </c>
      <c r="M613">
        <v>35168845000</v>
      </c>
      <c r="N613">
        <v>45135023000</v>
      </c>
      <c r="O613">
        <v>100302694000</v>
      </c>
      <c r="P613">
        <v>1925433000</v>
      </c>
      <c r="Q613">
        <v>1149116000</v>
      </c>
      <c r="R613">
        <v>640826000</v>
      </c>
      <c r="S613">
        <v>6437449000</v>
      </c>
      <c r="T613">
        <v>8622106000</v>
      </c>
      <c r="U613">
        <v>-7964893000</v>
      </c>
      <c r="V613">
        <f t="shared" si="30"/>
        <v>81162309000</v>
      </c>
      <c r="W613">
        <f t="shared" si="31"/>
        <v>76925485000</v>
      </c>
    </row>
    <row r="614" spans="1:23" x14ac:dyDescent="0.2">
      <c r="A614">
        <f>IF(D614="USD",VLOOKUP(VALUE(RIGHT(E614,4)),'USD RUB'!$E:$F,2,FALSE),1)</f>
        <v>1</v>
      </c>
      <c r="B614" s="4">
        <v>1</v>
      </c>
      <c r="C614">
        <v>1000</v>
      </c>
      <c r="D614" t="s">
        <v>20</v>
      </c>
      <c r="E614" s="1" t="s">
        <v>630</v>
      </c>
      <c r="F614">
        <v>2660971000</v>
      </c>
      <c r="G614">
        <v>14247008000</v>
      </c>
      <c r="H614">
        <v>61647426000</v>
      </c>
      <c r="I614">
        <v>722681000</v>
      </c>
      <c r="J614">
        <v>79477563000</v>
      </c>
      <c r="K614">
        <v>11914215000</v>
      </c>
      <c r="L614">
        <v>21982443000</v>
      </c>
      <c r="M614">
        <v>35541016000</v>
      </c>
      <c r="N614">
        <v>45580905000</v>
      </c>
      <c r="O614">
        <v>69082322000</v>
      </c>
      <c r="P614">
        <v>1636555000</v>
      </c>
      <c r="Q614">
        <v>1127111000</v>
      </c>
      <c r="R614">
        <v>738560000</v>
      </c>
      <c r="S614">
        <v>4844883000</v>
      </c>
      <c r="T614">
        <v>6676115000</v>
      </c>
      <c r="U614">
        <v>-4146144000</v>
      </c>
      <c r="V614">
        <f t="shared" si="30"/>
        <v>58658746000</v>
      </c>
      <c r="W614">
        <f t="shared" si="31"/>
        <v>76404268000</v>
      </c>
    </row>
    <row r="615" spans="1:23" x14ac:dyDescent="0.2">
      <c r="A615">
        <f>IF(D615="USD",VLOOKUP(VALUE(RIGHT(E615,4)),'USD RUB'!$E:$F,2,FALSE),1)</f>
        <v>1</v>
      </c>
      <c r="B615" s="4">
        <v>1</v>
      </c>
      <c r="C615">
        <v>1000</v>
      </c>
      <c r="D615" t="s">
        <v>20</v>
      </c>
      <c r="E615" s="1" t="s">
        <v>631</v>
      </c>
      <c r="F615">
        <v>1884862000</v>
      </c>
      <c r="G615">
        <v>10687110000</v>
      </c>
      <c r="H615">
        <v>61006399000</v>
      </c>
      <c r="I615">
        <v>586217000</v>
      </c>
      <c r="J615">
        <v>75196404000</v>
      </c>
      <c r="K615">
        <v>11367495000</v>
      </c>
      <c r="L615">
        <v>20437411000</v>
      </c>
      <c r="M615">
        <v>33637133000</v>
      </c>
      <c r="N615">
        <v>43391498000</v>
      </c>
      <c r="O615">
        <v>43162750000</v>
      </c>
      <c r="P615">
        <v>-1064087000</v>
      </c>
      <c r="Q615">
        <v>-1286581000</v>
      </c>
      <c r="R615">
        <v>-1205135000</v>
      </c>
      <c r="S615">
        <v>3243802000</v>
      </c>
      <c r="T615">
        <v>2360263000</v>
      </c>
      <c r="U615">
        <v>-2174394000</v>
      </c>
      <c r="V615">
        <f t="shared" si="30"/>
        <v>39707363000</v>
      </c>
      <c r="W615">
        <f t="shared" si="31"/>
        <v>75935109000</v>
      </c>
    </row>
    <row r="616" spans="1:23" x14ac:dyDescent="0.2">
      <c r="A616">
        <f>IF(D616="USD",VLOOKUP(VALUE(RIGHT(E616,4)),'USD RUB'!$E:$F,2,FALSE),1)</f>
        <v>1</v>
      </c>
      <c r="B616" s="4">
        <v>1</v>
      </c>
      <c r="C616">
        <v>1000</v>
      </c>
      <c r="D616" t="s">
        <v>20</v>
      </c>
      <c r="E616" s="1" t="s">
        <v>632</v>
      </c>
      <c r="F616">
        <v>2439565000</v>
      </c>
      <c r="G616">
        <v>13426814000</v>
      </c>
      <c r="H616">
        <v>60918277000</v>
      </c>
      <c r="I616">
        <v>558811000</v>
      </c>
      <c r="J616">
        <v>78219944000</v>
      </c>
      <c r="K616">
        <v>12895827000</v>
      </c>
      <c r="L616">
        <v>18528809000</v>
      </c>
      <c r="M616">
        <v>37220578000</v>
      </c>
      <c r="N616">
        <v>46795308000</v>
      </c>
      <c r="O616">
        <v>22787610000</v>
      </c>
      <c r="P616">
        <v>913657000</v>
      </c>
      <c r="Q616">
        <v>657868000</v>
      </c>
      <c r="R616">
        <v>491499000</v>
      </c>
      <c r="S616">
        <v>1605393000</v>
      </c>
      <c r="T616">
        <v>3009996000</v>
      </c>
      <c r="U616">
        <v>-848736000</v>
      </c>
      <c r="V616">
        <f t="shared" si="30"/>
        <v>21237911000</v>
      </c>
      <c r="W616">
        <f t="shared" si="31"/>
        <v>76342608000</v>
      </c>
    </row>
    <row r="617" spans="1:23" x14ac:dyDescent="0.2">
      <c r="A617">
        <f>IF(D617="USD",VLOOKUP(VALUE(RIGHT(E617,4)),'USD RUB'!$E:$F,2,FALSE),1)</f>
        <v>1</v>
      </c>
      <c r="B617" s="4">
        <v>1</v>
      </c>
      <c r="C617">
        <v>1000</v>
      </c>
      <c r="D617" t="s">
        <v>20</v>
      </c>
      <c r="E617" s="1" t="s">
        <v>633</v>
      </c>
      <c r="F617">
        <v>1463774000</v>
      </c>
      <c r="G617">
        <v>12160108000</v>
      </c>
      <c r="H617">
        <v>61487787000</v>
      </c>
      <c r="I617">
        <v>525446000</v>
      </c>
      <c r="J617">
        <v>76925485000</v>
      </c>
      <c r="K617">
        <v>12065782000</v>
      </c>
      <c r="L617">
        <v>18795527000</v>
      </c>
      <c r="M617">
        <v>36729337000</v>
      </c>
      <c r="N617">
        <v>46064176000</v>
      </c>
      <c r="O617">
        <v>81162309000</v>
      </c>
      <c r="P617">
        <v>6090201000</v>
      </c>
      <c r="Q617">
        <v>5287601000</v>
      </c>
      <c r="R617">
        <v>4155371000</v>
      </c>
      <c r="S617">
        <v>6135361000</v>
      </c>
      <c r="T617">
        <v>13925497000</v>
      </c>
      <c r="U617">
        <v>-6537391000</v>
      </c>
      <c r="V617">
        <f t="shared" si="30"/>
        <v>74725582000</v>
      </c>
      <c r="W617">
        <f t="shared" si="31"/>
        <v>75565002000</v>
      </c>
    </row>
    <row r="618" spans="1:23" x14ac:dyDescent="0.2">
      <c r="A618">
        <f>IF(D618="USD",VLOOKUP(VALUE(RIGHT(E618,4)),'USD RUB'!$E:$F,2,FALSE),1)</f>
        <v>1</v>
      </c>
      <c r="B618" s="4">
        <v>1</v>
      </c>
      <c r="C618">
        <v>1000</v>
      </c>
      <c r="D618" t="s">
        <v>20</v>
      </c>
      <c r="E618" s="1" t="s">
        <v>634</v>
      </c>
      <c r="F618">
        <v>2366015000</v>
      </c>
      <c r="G618">
        <v>13266693000</v>
      </c>
      <c r="H618">
        <v>60015157000</v>
      </c>
      <c r="I618">
        <v>452464000</v>
      </c>
      <c r="J618">
        <v>76404268000</v>
      </c>
      <c r="K618">
        <v>12938568000</v>
      </c>
      <c r="L618">
        <v>18189120000</v>
      </c>
      <c r="M618">
        <v>36130834000</v>
      </c>
      <c r="N618">
        <v>45276580000</v>
      </c>
      <c r="O618">
        <v>58658746000</v>
      </c>
      <c r="P618">
        <v>5132045000</v>
      </c>
      <c r="Q618">
        <v>4457060000</v>
      </c>
      <c r="R618">
        <v>3553064000</v>
      </c>
      <c r="S618">
        <v>4570150000</v>
      </c>
      <c r="U618">
        <v>-3955808000</v>
      </c>
      <c r="V618" t="str">
        <f t="shared" si="30"/>
        <v/>
      </c>
      <c r="W618" t="str">
        <f t="shared" si="31"/>
        <v/>
      </c>
    </row>
    <row r="619" spans="1:23" x14ac:dyDescent="0.2">
      <c r="A619">
        <f>IF(D619="USD",VLOOKUP(VALUE(RIGHT(E619,4)),'USD RUB'!$E:$F,2,FALSE),1)</f>
        <v>1</v>
      </c>
      <c r="B619" s="4">
        <v>1</v>
      </c>
      <c r="C619">
        <v>1000</v>
      </c>
      <c r="D619" t="s">
        <v>20</v>
      </c>
      <c r="E619" s="1" t="s">
        <v>635</v>
      </c>
      <c r="F619">
        <v>1717710000</v>
      </c>
      <c r="G619">
        <v>13785807000</v>
      </c>
      <c r="H619">
        <v>59616120000</v>
      </c>
      <c r="I619">
        <v>370305000</v>
      </c>
      <c r="J619">
        <v>75935109000</v>
      </c>
      <c r="K619">
        <v>12224077000</v>
      </c>
      <c r="L619">
        <v>19387720000</v>
      </c>
      <c r="M619">
        <v>35586627000</v>
      </c>
      <c r="N619">
        <v>44323312000</v>
      </c>
      <c r="O619">
        <v>39707363000</v>
      </c>
      <c r="P619">
        <v>4122894000</v>
      </c>
      <c r="Q619">
        <v>3742760000</v>
      </c>
      <c r="R619">
        <v>2990354000</v>
      </c>
      <c r="S619">
        <v>3035716000</v>
      </c>
      <c r="U619">
        <v>-2169237000</v>
      </c>
      <c r="V619">
        <f t="shared" si="30"/>
        <v>35466572000</v>
      </c>
      <c r="W619">
        <f t="shared" si="31"/>
        <v>73644122000</v>
      </c>
    </row>
    <row r="620" spans="1:23" x14ac:dyDescent="0.2">
      <c r="A620">
        <f>IF(D620="USD",VLOOKUP(VALUE(RIGHT(E620,4)),'USD RUB'!$E:$F,2,FALSE),1)</f>
        <v>1</v>
      </c>
      <c r="B620" s="4">
        <v>1</v>
      </c>
      <c r="C620">
        <v>1000</v>
      </c>
      <c r="D620" t="s">
        <v>20</v>
      </c>
      <c r="E620" s="1" t="s">
        <v>636</v>
      </c>
      <c r="F620">
        <v>2059366000</v>
      </c>
      <c r="G620">
        <v>14251279000</v>
      </c>
      <c r="H620">
        <v>59632353000</v>
      </c>
      <c r="I620">
        <v>367801000</v>
      </c>
      <c r="J620">
        <v>76342608000</v>
      </c>
      <c r="K620">
        <v>14588135000</v>
      </c>
      <c r="L620">
        <v>18779221000</v>
      </c>
      <c r="M620">
        <v>34250592000</v>
      </c>
      <c r="N620">
        <v>42975252000</v>
      </c>
      <c r="O620">
        <v>21237911000</v>
      </c>
      <c r="P620">
        <v>1435182000</v>
      </c>
      <c r="Q620">
        <v>1158593000</v>
      </c>
      <c r="R620">
        <v>909484000</v>
      </c>
      <c r="S620">
        <v>1516252000</v>
      </c>
      <c r="U620">
        <v>-1144995000</v>
      </c>
      <c r="V620" t="str">
        <f t="shared" si="30"/>
        <v/>
      </c>
      <c r="W620" t="str">
        <f t="shared" si="31"/>
        <v/>
      </c>
    </row>
    <row r="621" spans="1:23" x14ac:dyDescent="0.2">
      <c r="A621">
        <f>IF(D621="USD",VLOOKUP(VALUE(RIGHT(E621,4)),'USD RUB'!$E:$F,2,FALSE),1)</f>
        <v>1</v>
      </c>
      <c r="B621" s="4">
        <v>1</v>
      </c>
      <c r="C621">
        <v>1000</v>
      </c>
      <c r="D621" t="s">
        <v>20</v>
      </c>
      <c r="E621" s="1" t="s">
        <v>637</v>
      </c>
      <c r="F621">
        <v>1270720000</v>
      </c>
      <c r="G621">
        <v>12683310000</v>
      </c>
      <c r="H621">
        <v>60515637000</v>
      </c>
      <c r="J621">
        <v>75565002000</v>
      </c>
      <c r="K621">
        <v>14209184000</v>
      </c>
      <c r="L621">
        <v>19234623000</v>
      </c>
      <c r="M621">
        <v>33356865000</v>
      </c>
      <c r="N621">
        <v>42121195000</v>
      </c>
      <c r="O621">
        <v>74725582000</v>
      </c>
      <c r="P621">
        <v>3256721000</v>
      </c>
      <c r="Q621">
        <v>2369389000</v>
      </c>
      <c r="R621">
        <v>1331958000</v>
      </c>
      <c r="T621">
        <v>10447297000</v>
      </c>
      <c r="U621">
        <v>5429000000</v>
      </c>
      <c r="V621">
        <f t="shared" si="30"/>
        <v>69671656000</v>
      </c>
      <c r="W621">
        <f t="shared" si="31"/>
        <v>77358753000</v>
      </c>
    </row>
    <row r="622" spans="1:23" x14ac:dyDescent="0.2">
      <c r="A622">
        <f>IF(D622="USD",VLOOKUP(VALUE(RIGHT(E622,4)),'USD RUB'!$E:$F,2,FALSE),1)</f>
        <v>1</v>
      </c>
      <c r="B622" s="4">
        <v>1</v>
      </c>
      <c r="C622">
        <v>1000</v>
      </c>
      <c r="D622" t="s">
        <v>20</v>
      </c>
      <c r="E622" s="1" t="s">
        <v>638</v>
      </c>
      <c r="F622">
        <v>1486835000</v>
      </c>
      <c r="G622">
        <v>11761098000</v>
      </c>
      <c r="H622">
        <v>60536918000</v>
      </c>
      <c r="J622">
        <v>73644122000</v>
      </c>
      <c r="K622">
        <v>17104878000</v>
      </c>
      <c r="L622">
        <v>15735825000</v>
      </c>
      <c r="M622">
        <v>32854601000</v>
      </c>
      <c r="N622">
        <v>40803419000</v>
      </c>
      <c r="O622">
        <v>35466572000</v>
      </c>
      <c r="P622">
        <v>1446544000</v>
      </c>
      <c r="Q622">
        <v>980116000</v>
      </c>
      <c r="R622">
        <v>873006000</v>
      </c>
      <c r="V622">
        <f t="shared" si="30"/>
        <v>33060024000</v>
      </c>
      <c r="W622">
        <f t="shared" si="31"/>
        <v>75318231000</v>
      </c>
    </row>
    <row r="623" spans="1:23" x14ac:dyDescent="0.2">
      <c r="A623">
        <f>IF(D623="USD",VLOOKUP(VALUE(RIGHT(E623,4)),'USD RUB'!$E:$F,2,FALSE),1)</f>
        <v>1</v>
      </c>
      <c r="B623" s="4">
        <v>1</v>
      </c>
      <c r="C623">
        <v>1000</v>
      </c>
      <c r="D623" t="s">
        <v>20</v>
      </c>
      <c r="E623" s="1" t="s">
        <v>639</v>
      </c>
      <c r="F623">
        <v>4291372000</v>
      </c>
      <c r="G623">
        <v>15204810000</v>
      </c>
      <c r="H623">
        <v>60912946000</v>
      </c>
      <c r="J623">
        <v>77358753000</v>
      </c>
      <c r="K623">
        <v>21972190000</v>
      </c>
      <c r="L623">
        <v>14026893000</v>
      </c>
      <c r="M623">
        <v>33235620000</v>
      </c>
      <c r="N623">
        <v>41359670000</v>
      </c>
      <c r="O623">
        <v>69671656000</v>
      </c>
      <c r="P623">
        <v>2675597000</v>
      </c>
      <c r="Q623">
        <v>1925142000</v>
      </c>
      <c r="R623">
        <v>1477781000</v>
      </c>
      <c r="T623">
        <v>8452839000</v>
      </c>
      <c r="U623">
        <v>6274000000</v>
      </c>
      <c r="V623">
        <f t="shared" si="30"/>
        <v>68975197000</v>
      </c>
      <c r="W623">
        <f t="shared" si="31"/>
        <v>76722782000</v>
      </c>
    </row>
    <row r="624" spans="1:23" x14ac:dyDescent="0.2">
      <c r="A624">
        <f>IF(D624="USD",VLOOKUP(VALUE(RIGHT(E624,4)),'USD RUB'!$E:$F,2,FALSE),1)</f>
        <v>1</v>
      </c>
      <c r="B624" s="4">
        <v>1</v>
      </c>
      <c r="C624">
        <v>1000</v>
      </c>
      <c r="D624" t="s">
        <v>20</v>
      </c>
      <c r="E624" s="1" t="s">
        <v>640</v>
      </c>
      <c r="F624">
        <v>3873022000</v>
      </c>
      <c r="G624">
        <v>13998547000</v>
      </c>
      <c r="H624">
        <v>60427132000</v>
      </c>
      <c r="J624">
        <v>75318231000</v>
      </c>
      <c r="K624">
        <v>22360811000</v>
      </c>
      <c r="L624">
        <v>12366872000</v>
      </c>
      <c r="M624">
        <v>31922811000</v>
      </c>
      <c r="N624">
        <v>40590548000</v>
      </c>
      <c r="O624">
        <v>33060024000</v>
      </c>
      <c r="P624">
        <v>1046260000</v>
      </c>
      <c r="Q624">
        <v>710385000</v>
      </c>
      <c r="R624">
        <v>484955000</v>
      </c>
      <c r="V624">
        <f t="shared" si="30"/>
        <v>34650425000</v>
      </c>
      <c r="W624">
        <f t="shared" si="31"/>
        <v>71607883000</v>
      </c>
    </row>
    <row r="625" spans="1:23" x14ac:dyDescent="0.2">
      <c r="A625">
        <f>IF(D625="USD",VLOOKUP(VALUE(RIGHT(E625,4)),'USD RUB'!$E:$F,2,FALSE),1)</f>
        <v>1</v>
      </c>
      <c r="B625" s="4">
        <v>1</v>
      </c>
      <c r="C625">
        <v>1000</v>
      </c>
      <c r="D625" t="s">
        <v>20</v>
      </c>
      <c r="E625" s="1" t="s">
        <v>641</v>
      </c>
      <c r="F625">
        <v>3665014000</v>
      </c>
      <c r="G625">
        <v>13950809000</v>
      </c>
      <c r="H625">
        <v>62074688000</v>
      </c>
      <c r="J625">
        <v>76722782000</v>
      </c>
      <c r="K625">
        <v>16453363000</v>
      </c>
      <c r="L625">
        <v>18428558000</v>
      </c>
      <c r="M625">
        <v>33201695000</v>
      </c>
      <c r="N625">
        <v>41840861000</v>
      </c>
      <c r="O625">
        <v>68975197000</v>
      </c>
      <c r="P625">
        <v>3069828000</v>
      </c>
      <c r="Q625">
        <v>2380829000</v>
      </c>
      <c r="R625">
        <v>2054634000</v>
      </c>
      <c r="T625">
        <v>7234320000</v>
      </c>
      <c r="U625">
        <v>7166000000</v>
      </c>
      <c r="V625">
        <f t="shared" si="30"/>
        <v>65523246000</v>
      </c>
      <c r="W625">
        <f t="shared" si="31"/>
        <v>70567135000</v>
      </c>
    </row>
    <row r="626" spans="1:23" x14ac:dyDescent="0.2">
      <c r="A626">
        <f>IF(D626="USD",VLOOKUP(VALUE(RIGHT(E626,4)),'USD RUB'!$E:$F,2,FALSE),1)</f>
        <v>1</v>
      </c>
      <c r="B626" s="4">
        <v>1</v>
      </c>
      <c r="C626">
        <v>1000</v>
      </c>
      <c r="D626" t="s">
        <v>20</v>
      </c>
      <c r="E626" s="1" t="s">
        <v>642</v>
      </c>
      <c r="F626">
        <v>3075645000</v>
      </c>
      <c r="G626">
        <v>11892652000</v>
      </c>
      <c r="H626">
        <v>58760103000</v>
      </c>
      <c r="J626">
        <v>71607883000</v>
      </c>
      <c r="K626">
        <v>10870341000</v>
      </c>
      <c r="L626">
        <v>20030957000</v>
      </c>
      <c r="M626">
        <v>21962540000</v>
      </c>
      <c r="N626">
        <v>40706585000</v>
      </c>
      <c r="O626">
        <v>34650425000</v>
      </c>
      <c r="P626">
        <v>1328364000</v>
      </c>
      <c r="Q626">
        <v>917606000</v>
      </c>
      <c r="R626">
        <v>682277000</v>
      </c>
      <c r="V626">
        <f t="shared" si="30"/>
        <v>30391600000</v>
      </c>
      <c r="W626">
        <f t="shared" si="31"/>
        <v>67844344000</v>
      </c>
    </row>
    <row r="627" spans="1:23" x14ac:dyDescent="0.2">
      <c r="A627">
        <f>IF(D627="USD",VLOOKUP(VALUE(RIGHT(E627,4)),'USD RUB'!$E:$F,2,FALSE),1)</f>
        <v>1</v>
      </c>
      <c r="B627" s="4">
        <v>1</v>
      </c>
      <c r="C627">
        <v>1000</v>
      </c>
      <c r="D627" t="s">
        <v>20</v>
      </c>
      <c r="E627" s="1" t="s">
        <v>643</v>
      </c>
      <c r="F627">
        <v>1992380000</v>
      </c>
      <c r="G627">
        <v>11398848000</v>
      </c>
      <c r="H627">
        <v>58335777000</v>
      </c>
      <c r="J627">
        <v>70567135000</v>
      </c>
      <c r="K627">
        <v>10404926000</v>
      </c>
      <c r="L627">
        <v>20198130000</v>
      </c>
      <c r="N627">
        <v>39964079000</v>
      </c>
      <c r="O627">
        <v>65523246000</v>
      </c>
      <c r="P627">
        <v>226027000</v>
      </c>
      <c r="Q627">
        <v>-992607000</v>
      </c>
      <c r="R627">
        <v>-1099879000</v>
      </c>
      <c r="V627">
        <f t="shared" si="30"/>
        <v>59430818000</v>
      </c>
      <c r="W627">
        <f t="shared" si="31"/>
        <v>66825316000</v>
      </c>
    </row>
    <row r="628" spans="1:23" x14ac:dyDescent="0.2">
      <c r="A628">
        <f>IF(D628="USD",VLOOKUP(VALUE(RIGHT(E628,4)),'USD RUB'!$E:$F,2,FALSE),1)</f>
        <v>1</v>
      </c>
      <c r="B628" s="4">
        <v>1</v>
      </c>
      <c r="C628">
        <v>1000</v>
      </c>
      <c r="D628" t="s">
        <v>20</v>
      </c>
      <c r="E628" s="1" t="s">
        <v>644</v>
      </c>
      <c r="F628">
        <v>2524637000</v>
      </c>
      <c r="G628">
        <v>11034434000</v>
      </c>
      <c r="H628">
        <v>55445674000</v>
      </c>
      <c r="J628">
        <v>67844344000</v>
      </c>
      <c r="K628">
        <v>8938318000</v>
      </c>
      <c r="L628">
        <v>17539658000</v>
      </c>
      <c r="N628">
        <v>41366368000</v>
      </c>
      <c r="O628">
        <v>30391600000</v>
      </c>
      <c r="P628">
        <v>631501000</v>
      </c>
      <c r="Q628">
        <v>302649000</v>
      </c>
      <c r="R628">
        <v>143084000</v>
      </c>
      <c r="V628">
        <f t="shared" si="30"/>
        <v>30247201000</v>
      </c>
      <c r="W628">
        <f t="shared" si="31"/>
        <v>64224275000</v>
      </c>
    </row>
    <row r="629" spans="1:23" x14ac:dyDescent="0.2">
      <c r="A629">
        <f>IF(D629="USD",VLOOKUP(VALUE(RIGHT(E629,4)),'USD RUB'!$E:$F,2,FALSE),1)</f>
        <v>1</v>
      </c>
      <c r="B629" s="4">
        <v>1</v>
      </c>
      <c r="C629">
        <v>1000</v>
      </c>
      <c r="D629" t="s">
        <v>20</v>
      </c>
      <c r="E629" s="1" t="s">
        <v>645</v>
      </c>
      <c r="F629">
        <v>2593982000</v>
      </c>
      <c r="G629">
        <v>10520551000</v>
      </c>
      <c r="H629">
        <v>54843634000</v>
      </c>
      <c r="J629">
        <v>66825316000</v>
      </c>
      <c r="K629">
        <v>9446936000</v>
      </c>
      <c r="L629">
        <v>14921051000</v>
      </c>
      <c r="N629">
        <v>42457329000</v>
      </c>
      <c r="O629">
        <v>59430818000</v>
      </c>
      <c r="P629">
        <v>503001000</v>
      </c>
      <c r="Q629">
        <v>589403000</v>
      </c>
      <c r="R629">
        <v>245764000</v>
      </c>
      <c r="V629">
        <f t="shared" si="30"/>
        <v>62000160000</v>
      </c>
      <c r="W629">
        <f t="shared" si="31"/>
        <v>64246438000</v>
      </c>
    </row>
    <row r="630" spans="1:23" x14ac:dyDescent="0.2">
      <c r="A630">
        <f>IF(D630="USD",VLOOKUP(VALUE(RIGHT(E630,4)),'USD RUB'!$E:$F,2,FALSE),1)</f>
        <v>1</v>
      </c>
      <c r="B630" s="4">
        <v>1</v>
      </c>
      <c r="C630">
        <v>1000</v>
      </c>
      <c r="D630" t="s">
        <v>20</v>
      </c>
      <c r="E630" s="1" t="s">
        <v>646</v>
      </c>
      <c r="F630">
        <v>2013662000</v>
      </c>
      <c r="G630">
        <v>10053726000</v>
      </c>
      <c r="H630">
        <v>52408412000</v>
      </c>
      <c r="J630">
        <v>64224275000</v>
      </c>
      <c r="K630">
        <v>7937846000</v>
      </c>
      <c r="L630">
        <v>13890240000</v>
      </c>
      <c r="N630">
        <v>42396189000</v>
      </c>
      <c r="O630">
        <v>30247201000</v>
      </c>
      <c r="P630">
        <v>827217000</v>
      </c>
      <c r="Q630">
        <v>645616000</v>
      </c>
      <c r="R630">
        <v>168372000</v>
      </c>
      <c r="V630">
        <f t="shared" si="30"/>
        <v>31618413000</v>
      </c>
      <c r="W630">
        <f t="shared" si="31"/>
        <v>60162349000</v>
      </c>
    </row>
    <row r="631" spans="1:23" x14ac:dyDescent="0.2">
      <c r="A631">
        <f>IF(D631="USD",VLOOKUP(VALUE(RIGHT(E631,4)),'USD RUB'!$E:$F,2,FALSE),1)</f>
        <v>1</v>
      </c>
      <c r="B631" s="4">
        <v>1</v>
      </c>
      <c r="C631">
        <v>1000</v>
      </c>
      <c r="D631" t="s">
        <v>20</v>
      </c>
      <c r="E631" s="1" t="s">
        <v>647</v>
      </c>
      <c r="F631">
        <v>1429881000</v>
      </c>
      <c r="G631">
        <v>9553394000</v>
      </c>
      <c r="H631">
        <v>52998691000</v>
      </c>
      <c r="J631">
        <v>64246438000</v>
      </c>
      <c r="K631">
        <v>8948004000</v>
      </c>
      <c r="L631">
        <v>12806876000</v>
      </c>
      <c r="N631">
        <v>42491558000</v>
      </c>
      <c r="O631">
        <v>62000160000</v>
      </c>
      <c r="P631">
        <v>4089606000</v>
      </c>
      <c r="Q631">
        <v>4115181000</v>
      </c>
      <c r="R631">
        <v>3270951000</v>
      </c>
      <c r="V631" t="str">
        <f t="shared" si="30"/>
        <v/>
      </c>
      <c r="W631" t="str">
        <f t="shared" si="31"/>
        <v/>
      </c>
    </row>
    <row r="632" spans="1:23" x14ac:dyDescent="0.2">
      <c r="A632">
        <f>IF(D632="USD",VLOOKUP(VALUE(RIGHT(E632,4)),'USD RUB'!$E:$F,2,FALSE),1)</f>
        <v>1</v>
      </c>
      <c r="B632" s="4">
        <v>1</v>
      </c>
      <c r="C632">
        <v>1000</v>
      </c>
      <c r="D632" t="s">
        <v>20</v>
      </c>
      <c r="E632" s="1" t="s">
        <v>648</v>
      </c>
      <c r="F632">
        <v>2275540000</v>
      </c>
      <c r="G632">
        <v>9681851000</v>
      </c>
      <c r="H632">
        <v>48643045000</v>
      </c>
      <c r="J632">
        <v>60162349000</v>
      </c>
      <c r="K632">
        <v>7657411000</v>
      </c>
      <c r="L632">
        <v>10595174000</v>
      </c>
      <c r="N632">
        <v>41909764000</v>
      </c>
      <c r="O632">
        <v>31618413000</v>
      </c>
      <c r="P632">
        <v>2984229000</v>
      </c>
      <c r="Q632">
        <v>3025291000</v>
      </c>
      <c r="R632">
        <v>2664079000</v>
      </c>
      <c r="V632" t="str">
        <f t="shared" si="30"/>
        <v/>
      </c>
      <c r="W632" t="str">
        <f t="shared" si="31"/>
        <v/>
      </c>
    </row>
    <row r="633" spans="1:23" x14ac:dyDescent="0.2">
      <c r="A633">
        <f>IF(D633="USD",VLOOKUP(VALUE(RIGHT(E633,4)),'USD RUB'!$E:$F,2,FALSE),1)</f>
        <v>1</v>
      </c>
      <c r="B633" s="4">
        <v>1</v>
      </c>
      <c r="C633">
        <v>1000</v>
      </c>
      <c r="D633" t="s">
        <v>20</v>
      </c>
      <c r="E633" s="1" t="s">
        <v>649</v>
      </c>
      <c r="F633">
        <v>6333840000</v>
      </c>
      <c r="G633">
        <v>21219171000</v>
      </c>
      <c r="H633">
        <v>74383783000</v>
      </c>
      <c r="I633">
        <v>1205899000</v>
      </c>
      <c r="J633">
        <v>100409512000</v>
      </c>
      <c r="K633">
        <v>23810978000</v>
      </c>
      <c r="L633">
        <v>22008039000</v>
      </c>
      <c r="M633">
        <v>36780639000</v>
      </c>
      <c r="N633">
        <v>54590495000</v>
      </c>
      <c r="O633">
        <v>129253532000</v>
      </c>
      <c r="P633">
        <v>15368441000</v>
      </c>
      <c r="Q633">
        <v>15255695000</v>
      </c>
      <c r="R633">
        <v>11326454000</v>
      </c>
      <c r="S633">
        <v>6939310000</v>
      </c>
      <c r="T633">
        <v>23464141000</v>
      </c>
      <c r="U633">
        <v>-16617539000</v>
      </c>
      <c r="V633">
        <f t="shared" si="30"/>
        <v>83411189000</v>
      </c>
      <c r="W633">
        <f t="shared" si="31"/>
        <v>80870839000</v>
      </c>
    </row>
    <row r="634" spans="1:23" x14ac:dyDescent="0.2">
      <c r="A634">
        <f>IF(D634="USD",VLOOKUP(VALUE(RIGHT(E634,4)),'USD RUB'!$E:$F,2,FALSE),1)</f>
        <v>1</v>
      </c>
      <c r="B634" s="4">
        <v>1</v>
      </c>
      <c r="C634">
        <v>1000</v>
      </c>
      <c r="D634" t="s">
        <v>20</v>
      </c>
      <c r="E634" s="1" t="s">
        <v>650</v>
      </c>
      <c r="F634">
        <v>5075267000</v>
      </c>
      <c r="G634">
        <v>16988572000</v>
      </c>
      <c r="H634">
        <v>64790662000</v>
      </c>
      <c r="I634">
        <v>1024770000</v>
      </c>
      <c r="J634">
        <v>86379502000</v>
      </c>
      <c r="K634">
        <v>20525293000</v>
      </c>
      <c r="L634">
        <v>14956967000</v>
      </c>
      <c r="M634">
        <v>32877925000</v>
      </c>
      <c r="N634">
        <v>50897242000</v>
      </c>
      <c r="O634">
        <v>92165030000</v>
      </c>
      <c r="P634">
        <v>10286757000</v>
      </c>
      <c r="Q634">
        <v>10036410000</v>
      </c>
      <c r="R634">
        <v>7423740000</v>
      </c>
      <c r="S634">
        <v>5095791000</v>
      </c>
      <c r="T634">
        <v>16330544000</v>
      </c>
      <c r="U634">
        <v>-8165173000</v>
      </c>
      <c r="V634">
        <f t="shared" si="30"/>
        <v>59878466000</v>
      </c>
      <c r="W634">
        <f t="shared" si="31"/>
        <v>73996817000</v>
      </c>
    </row>
    <row r="635" spans="1:23" x14ac:dyDescent="0.2">
      <c r="A635">
        <f>IF(D635="USD",VLOOKUP(VALUE(RIGHT(E635,4)),'USD RUB'!$E:$F,2,FALSE),1)</f>
        <v>1</v>
      </c>
      <c r="B635" s="4">
        <v>1</v>
      </c>
      <c r="C635">
        <v>1000</v>
      </c>
      <c r="D635" t="s">
        <v>20</v>
      </c>
      <c r="E635" s="1" t="s">
        <v>651</v>
      </c>
      <c r="F635">
        <v>6604128000</v>
      </c>
      <c r="G635">
        <v>18942094000</v>
      </c>
      <c r="H635">
        <v>62918833000</v>
      </c>
      <c r="I635">
        <v>590391000</v>
      </c>
      <c r="J635">
        <v>86100711000</v>
      </c>
      <c r="K635">
        <v>23529813000</v>
      </c>
      <c r="L635">
        <v>14671937000</v>
      </c>
      <c r="M635">
        <v>29922071000</v>
      </c>
      <c r="N635">
        <v>47898961000</v>
      </c>
      <c r="O635">
        <v>59359850000</v>
      </c>
      <c r="P635">
        <v>6210119000</v>
      </c>
      <c r="Q635">
        <v>6033607000</v>
      </c>
      <c r="R635">
        <v>4468730000</v>
      </c>
      <c r="S635">
        <v>3332310000</v>
      </c>
      <c r="T635">
        <v>10200860000</v>
      </c>
      <c r="U635">
        <v>-5070176000</v>
      </c>
      <c r="V635">
        <f t="shared" si="30"/>
        <v>38763790000</v>
      </c>
      <c r="W635">
        <f t="shared" si="31"/>
        <v>72867817000</v>
      </c>
    </row>
    <row r="636" spans="1:23" x14ac:dyDescent="0.2">
      <c r="A636">
        <f>IF(D636="USD",VLOOKUP(VALUE(RIGHT(E636,4)),'USD RUB'!$E:$F,2,FALSE),1)</f>
        <v>1</v>
      </c>
      <c r="B636" s="4">
        <v>1</v>
      </c>
      <c r="C636">
        <v>1000</v>
      </c>
      <c r="D636" t="s">
        <v>20</v>
      </c>
      <c r="E636" s="1" t="s">
        <v>652</v>
      </c>
      <c r="F636">
        <v>7732168000</v>
      </c>
      <c r="G636">
        <v>19362466000</v>
      </c>
      <c r="H636">
        <v>62262283000</v>
      </c>
      <c r="I636">
        <v>491426000</v>
      </c>
      <c r="J636">
        <v>85862984000</v>
      </c>
      <c r="K636">
        <v>19225099000</v>
      </c>
      <c r="L636">
        <v>18727686000</v>
      </c>
      <c r="M636">
        <v>29820361000</v>
      </c>
      <c r="N636">
        <v>47910199000</v>
      </c>
      <c r="O636">
        <v>31622623000</v>
      </c>
      <c r="P636">
        <v>4281653000</v>
      </c>
      <c r="Q636">
        <v>4101628000</v>
      </c>
      <c r="R636">
        <v>2973541000</v>
      </c>
      <c r="S636">
        <v>1656055000</v>
      </c>
      <c r="T636">
        <v>6131115000</v>
      </c>
      <c r="U636">
        <v>-2604105000</v>
      </c>
      <c r="V636">
        <f t="shared" si="30"/>
        <v>20720366000</v>
      </c>
      <c r="W636">
        <f t="shared" si="31"/>
        <v>72041899000</v>
      </c>
    </row>
    <row r="637" spans="1:23" x14ac:dyDescent="0.2">
      <c r="A637">
        <f>IF(D637="USD",VLOOKUP(VALUE(RIGHT(E637,4)),'USD RUB'!$E:$F,2,FALSE),1)</f>
        <v>1</v>
      </c>
      <c r="B637" s="4">
        <v>1</v>
      </c>
      <c r="C637">
        <v>1000</v>
      </c>
      <c r="D637" t="s">
        <v>20</v>
      </c>
      <c r="E637" s="1" t="s">
        <v>653</v>
      </c>
      <c r="F637">
        <v>4813129000</v>
      </c>
      <c r="G637">
        <v>13722675000</v>
      </c>
      <c r="H637">
        <v>62940680000</v>
      </c>
      <c r="I637">
        <v>517144000</v>
      </c>
      <c r="J637">
        <v>80870839000</v>
      </c>
      <c r="K637">
        <v>17281543000</v>
      </c>
      <c r="L637">
        <v>18652637000</v>
      </c>
      <c r="M637">
        <v>26846820000</v>
      </c>
      <c r="N637">
        <v>44936659000</v>
      </c>
      <c r="O637">
        <v>83411189000</v>
      </c>
      <c r="P637">
        <v>6955025000</v>
      </c>
      <c r="Q637">
        <v>5914498000</v>
      </c>
      <c r="R637">
        <v>3629647000</v>
      </c>
      <c r="S637">
        <v>6377415000</v>
      </c>
      <c r="T637">
        <v>14495839000</v>
      </c>
      <c r="U637">
        <v>-11393964000</v>
      </c>
      <c r="V637">
        <f t="shared" si="30"/>
        <v>77044745000</v>
      </c>
      <c r="W637">
        <f t="shared" si="31"/>
        <v>71736263000</v>
      </c>
    </row>
    <row r="638" spans="1:23" x14ac:dyDescent="0.2">
      <c r="A638">
        <f>IF(D638="USD",VLOOKUP(VALUE(RIGHT(E638,4)),'USD RUB'!$E:$F,2,FALSE),1)</f>
        <v>1</v>
      </c>
      <c r="B638" s="4">
        <v>1</v>
      </c>
      <c r="C638">
        <v>1000</v>
      </c>
      <c r="D638" t="s">
        <v>20</v>
      </c>
      <c r="E638" s="1" t="s">
        <v>654</v>
      </c>
      <c r="F638">
        <v>4578427000</v>
      </c>
      <c r="G638">
        <v>12520010000</v>
      </c>
      <c r="H638">
        <v>57551908000</v>
      </c>
      <c r="I638">
        <v>438988000</v>
      </c>
      <c r="J638">
        <v>73996817000</v>
      </c>
      <c r="K638">
        <v>14160142000</v>
      </c>
      <c r="L638">
        <v>15812451000</v>
      </c>
      <c r="M638">
        <v>25887232000</v>
      </c>
      <c r="N638">
        <v>44024224000</v>
      </c>
      <c r="O638">
        <v>59878466000</v>
      </c>
      <c r="P638">
        <v>4330630000</v>
      </c>
      <c r="Q638">
        <v>3478984000</v>
      </c>
      <c r="R638">
        <v>2670060000</v>
      </c>
      <c r="S638">
        <v>4731902000</v>
      </c>
      <c r="T638">
        <v>9740559000</v>
      </c>
      <c r="U638">
        <v>-7062465000</v>
      </c>
      <c r="V638">
        <f t="shared" si="30"/>
        <v>56364899000</v>
      </c>
      <c r="W638">
        <f t="shared" si="31"/>
        <v>64793808000</v>
      </c>
    </row>
    <row r="639" spans="1:23" x14ac:dyDescent="0.2">
      <c r="A639">
        <f>IF(D639="USD",VLOOKUP(VALUE(RIGHT(E639,4)),'USD RUB'!$E:$F,2,FALSE),1)</f>
        <v>1</v>
      </c>
      <c r="B639" s="4">
        <v>1</v>
      </c>
      <c r="C639">
        <v>1000</v>
      </c>
      <c r="D639" t="s">
        <v>20</v>
      </c>
      <c r="E639" s="1" t="s">
        <v>655</v>
      </c>
      <c r="F639">
        <v>4464368000</v>
      </c>
      <c r="G639">
        <v>12402471000</v>
      </c>
      <c r="H639">
        <v>56604343000</v>
      </c>
      <c r="I639">
        <v>374819000</v>
      </c>
      <c r="J639">
        <v>72867817000</v>
      </c>
      <c r="K639">
        <v>12001845000</v>
      </c>
      <c r="L639">
        <v>18170913000</v>
      </c>
      <c r="M639">
        <v>24614391000</v>
      </c>
      <c r="N639">
        <v>42695059000</v>
      </c>
      <c r="O639">
        <v>38763790000</v>
      </c>
      <c r="P639">
        <v>2429436000</v>
      </c>
      <c r="Q639">
        <v>1841614000</v>
      </c>
      <c r="R639">
        <v>1397218000</v>
      </c>
      <c r="S639">
        <v>3130299000</v>
      </c>
      <c r="T639">
        <v>6151584000</v>
      </c>
      <c r="U639">
        <v>-4922480000</v>
      </c>
      <c r="V639">
        <f t="shared" si="30"/>
        <v>38138586000</v>
      </c>
      <c r="W639">
        <f t="shared" si="31"/>
        <v>66399809000</v>
      </c>
    </row>
    <row r="640" spans="1:23" x14ac:dyDescent="0.2">
      <c r="A640">
        <f>IF(D640="USD",VLOOKUP(VALUE(RIGHT(E640,4)),'USD RUB'!$E:$F,2,FALSE),1)</f>
        <v>1</v>
      </c>
      <c r="B640" s="4">
        <v>1</v>
      </c>
      <c r="C640">
        <v>1000</v>
      </c>
      <c r="D640" t="s">
        <v>20</v>
      </c>
      <c r="E640" s="1" t="s">
        <v>656</v>
      </c>
      <c r="F640">
        <v>3180530000</v>
      </c>
      <c r="G640">
        <v>11936806000</v>
      </c>
      <c r="H640">
        <v>56913315000</v>
      </c>
      <c r="I640">
        <v>363071000</v>
      </c>
      <c r="J640">
        <v>72041899000</v>
      </c>
      <c r="K640">
        <v>11060118000</v>
      </c>
      <c r="L640">
        <v>17115226000</v>
      </c>
      <c r="M640">
        <v>25969683000</v>
      </c>
      <c r="N640">
        <v>43866555000</v>
      </c>
      <c r="O640">
        <v>20720366000</v>
      </c>
      <c r="P640">
        <v>2336370000</v>
      </c>
      <c r="Q640">
        <v>2043127000</v>
      </c>
      <c r="R640">
        <v>1585000000</v>
      </c>
      <c r="S640">
        <v>1561122000</v>
      </c>
      <c r="T640">
        <v>3961876000</v>
      </c>
      <c r="U640">
        <v>-3946058000</v>
      </c>
      <c r="V640">
        <f t="shared" si="30"/>
        <v>20157302000</v>
      </c>
      <c r="W640">
        <f t="shared" si="31"/>
        <v>68047255000</v>
      </c>
    </row>
    <row r="641" spans="1:23" x14ac:dyDescent="0.2">
      <c r="A641">
        <f>IF(D641="USD",VLOOKUP(VALUE(RIGHT(E641,4)),'USD RUB'!$E:$F,2,FALSE),1)</f>
        <v>1</v>
      </c>
      <c r="B641" s="4">
        <v>1</v>
      </c>
      <c r="C641">
        <v>1000</v>
      </c>
      <c r="D641" t="s">
        <v>20</v>
      </c>
      <c r="E641" s="1" t="s">
        <v>657</v>
      </c>
      <c r="F641">
        <v>2855306000</v>
      </c>
      <c r="G641">
        <v>10463376000</v>
      </c>
      <c r="H641">
        <v>57967454000</v>
      </c>
      <c r="I641">
        <v>406604000</v>
      </c>
      <c r="J641">
        <v>71736263000</v>
      </c>
      <c r="K641">
        <v>14478844000</v>
      </c>
      <c r="L641">
        <v>15119328000</v>
      </c>
      <c r="M641">
        <v>24384683000</v>
      </c>
      <c r="N641">
        <v>42138091000</v>
      </c>
      <c r="O641">
        <v>77044745000</v>
      </c>
      <c r="P641">
        <v>4528149000</v>
      </c>
      <c r="Q641">
        <v>3841284000</v>
      </c>
      <c r="R641">
        <v>2972193000</v>
      </c>
      <c r="S641">
        <v>6202413000</v>
      </c>
      <c r="T641">
        <v>10744516000</v>
      </c>
      <c r="U641">
        <v>-8598452000</v>
      </c>
      <c r="V641">
        <f t="shared" si="30"/>
        <v>66800787000</v>
      </c>
      <c r="W641">
        <f t="shared" si="31"/>
        <v>67610686000</v>
      </c>
    </row>
    <row r="642" spans="1:23" x14ac:dyDescent="0.2">
      <c r="A642">
        <f>IF(D642="USD",VLOOKUP(VALUE(RIGHT(E642,4)),'USD RUB'!$E:$F,2,FALSE),1)</f>
        <v>1</v>
      </c>
      <c r="B642" s="4">
        <v>1</v>
      </c>
      <c r="C642">
        <v>1000</v>
      </c>
      <c r="D642" t="s">
        <v>20</v>
      </c>
      <c r="E642" s="1" t="s">
        <v>658</v>
      </c>
      <c r="F642">
        <v>1565723000</v>
      </c>
      <c r="G642">
        <v>9350400000</v>
      </c>
      <c r="H642">
        <v>53168867000</v>
      </c>
      <c r="I642">
        <v>262066000</v>
      </c>
      <c r="J642">
        <v>64793808000</v>
      </c>
      <c r="K642">
        <v>12548938000</v>
      </c>
      <c r="L642">
        <v>11413067000</v>
      </c>
      <c r="M642">
        <v>22991691000</v>
      </c>
      <c r="N642">
        <v>40831803000</v>
      </c>
      <c r="O642">
        <v>56364899000</v>
      </c>
      <c r="P642">
        <v>2577276000</v>
      </c>
      <c r="Q642">
        <v>2068615000</v>
      </c>
      <c r="R642">
        <v>1579201000</v>
      </c>
      <c r="S642">
        <v>4796169000</v>
      </c>
      <c r="T642">
        <v>7397413000</v>
      </c>
      <c r="U642">
        <v>-5228979000</v>
      </c>
      <c r="V642">
        <f t="shared" si="30"/>
        <v>47573764000</v>
      </c>
      <c r="W642">
        <f t="shared" si="31"/>
        <v>63779903000</v>
      </c>
    </row>
    <row r="643" spans="1:23" x14ac:dyDescent="0.2">
      <c r="A643">
        <f>IF(D643="USD",VLOOKUP(VALUE(RIGHT(E643,4)),'USD RUB'!$E:$F,2,FALSE),1)</f>
        <v>1</v>
      </c>
      <c r="B643" s="4">
        <v>1</v>
      </c>
      <c r="C643">
        <v>1000</v>
      </c>
      <c r="D643" t="s">
        <v>20</v>
      </c>
      <c r="E643" s="1" t="s">
        <v>659</v>
      </c>
      <c r="F643">
        <v>1396064000</v>
      </c>
      <c r="G643">
        <v>10840334000</v>
      </c>
      <c r="H643">
        <v>53084557000</v>
      </c>
      <c r="I643">
        <v>285457000</v>
      </c>
      <c r="J643">
        <v>66399809000</v>
      </c>
      <c r="K643">
        <v>14506032000</v>
      </c>
      <c r="L643">
        <v>11592539000</v>
      </c>
      <c r="M643">
        <v>22554596000</v>
      </c>
      <c r="N643">
        <v>40301238000</v>
      </c>
      <c r="O643">
        <v>38138586000</v>
      </c>
      <c r="P643">
        <v>1838834000</v>
      </c>
      <c r="Q643">
        <v>1474633000</v>
      </c>
      <c r="R643">
        <v>1142122000</v>
      </c>
      <c r="S643">
        <v>3220419000</v>
      </c>
      <c r="T643">
        <v>5064224000</v>
      </c>
      <c r="U643">
        <v>-3866358000</v>
      </c>
      <c r="V643">
        <f t="shared" si="30"/>
        <v>31474715000</v>
      </c>
      <c r="W643">
        <f t="shared" si="31"/>
        <v>63301585000</v>
      </c>
    </row>
    <row r="644" spans="1:23" x14ac:dyDescent="0.2">
      <c r="A644">
        <f>IF(D644="USD",VLOOKUP(VALUE(RIGHT(E644,4)),'USD RUB'!$E:$F,2,FALSE),1)</f>
        <v>1</v>
      </c>
      <c r="B644" s="4">
        <v>1</v>
      </c>
      <c r="C644">
        <v>1000</v>
      </c>
      <c r="D644" t="s">
        <v>20</v>
      </c>
      <c r="E644" s="1" t="s">
        <v>660</v>
      </c>
      <c r="F644">
        <v>1345547000</v>
      </c>
      <c r="G644">
        <v>11021794000</v>
      </c>
      <c r="H644">
        <v>53200891000</v>
      </c>
      <c r="I644">
        <v>322722000</v>
      </c>
      <c r="J644">
        <v>68047255000</v>
      </c>
      <c r="K644">
        <v>18318282000</v>
      </c>
      <c r="L644">
        <v>9763499000</v>
      </c>
      <c r="M644">
        <v>22256991000</v>
      </c>
      <c r="N644">
        <v>39965474000</v>
      </c>
      <c r="O644">
        <v>20157302000</v>
      </c>
      <c r="P644">
        <v>1291976000</v>
      </c>
      <c r="Q644">
        <v>1095466000</v>
      </c>
      <c r="R644">
        <v>845888000</v>
      </c>
      <c r="S644">
        <v>1630745000</v>
      </c>
      <c r="T644">
        <v>2960748000</v>
      </c>
      <c r="U644">
        <v>-2735463000</v>
      </c>
      <c r="V644">
        <f t="shared" si="30"/>
        <v>16825313000</v>
      </c>
      <c r="W644">
        <f t="shared" si="31"/>
        <v>65171505000</v>
      </c>
    </row>
    <row r="645" spans="1:23" x14ac:dyDescent="0.2">
      <c r="A645">
        <f>IF(D645="USD",VLOOKUP(VALUE(RIGHT(E645,4)),'USD RUB'!$E:$F,2,FALSE),1)</f>
        <v>1</v>
      </c>
      <c r="B645" s="4">
        <v>1</v>
      </c>
      <c r="C645">
        <v>1000</v>
      </c>
      <c r="D645" t="s">
        <v>20</v>
      </c>
      <c r="E645" s="1" t="s">
        <v>661</v>
      </c>
      <c r="F645">
        <v>378657000</v>
      </c>
      <c r="G645">
        <v>9580410000</v>
      </c>
      <c r="H645">
        <v>53979138000</v>
      </c>
      <c r="I645">
        <v>293782000</v>
      </c>
      <c r="J645">
        <v>67610686000</v>
      </c>
      <c r="K645">
        <v>18088728000</v>
      </c>
      <c r="L645">
        <v>10476344000</v>
      </c>
      <c r="M645">
        <v>21404924000</v>
      </c>
      <c r="N645">
        <v>39045614000</v>
      </c>
      <c r="O645">
        <v>66800787000</v>
      </c>
      <c r="P645">
        <v>551900000</v>
      </c>
      <c r="Q645">
        <v>-495739000</v>
      </c>
      <c r="R645">
        <v>-471490000</v>
      </c>
      <c r="S645">
        <v>6112988000</v>
      </c>
      <c r="T645">
        <v>7028044000</v>
      </c>
      <c r="U645">
        <v>-8393698000</v>
      </c>
      <c r="V645">
        <f t="shared" si="30"/>
        <v>64903605000</v>
      </c>
      <c r="W645">
        <f t="shared" si="31"/>
        <v>64830787000</v>
      </c>
    </row>
    <row r="646" spans="1:23" x14ac:dyDescent="0.2">
      <c r="A646">
        <f>IF(D646="USD",VLOOKUP(VALUE(RIGHT(E646,4)),'USD RUB'!$E:$F,2,FALSE),1)</f>
        <v>1</v>
      </c>
      <c r="B646" s="4">
        <v>1</v>
      </c>
      <c r="C646">
        <v>1000</v>
      </c>
      <c r="D646" t="s">
        <v>20</v>
      </c>
      <c r="E646" s="1" t="s">
        <v>662</v>
      </c>
      <c r="F646">
        <v>1332124000</v>
      </c>
      <c r="G646">
        <v>8969196000</v>
      </c>
      <c r="H646">
        <v>51153883000</v>
      </c>
      <c r="I646">
        <v>171033000</v>
      </c>
      <c r="J646">
        <v>63779903000</v>
      </c>
      <c r="K646">
        <v>15833085000</v>
      </c>
      <c r="L646">
        <v>9604504000</v>
      </c>
      <c r="M646">
        <v>20526016000</v>
      </c>
      <c r="N646">
        <v>38342314000</v>
      </c>
      <c r="O646">
        <v>47573764000</v>
      </c>
      <c r="P646">
        <v>-737299000</v>
      </c>
      <c r="Q646">
        <v>-1603845000</v>
      </c>
      <c r="R646">
        <v>-1350396000</v>
      </c>
      <c r="S646">
        <v>4664088000</v>
      </c>
      <c r="T646">
        <v>4315487000</v>
      </c>
      <c r="U646">
        <v>-5862410000</v>
      </c>
      <c r="V646">
        <f t="shared" si="30"/>
        <v>47169336000</v>
      </c>
      <c r="W646">
        <f t="shared" si="31"/>
        <v>59517132000</v>
      </c>
    </row>
    <row r="647" spans="1:23" x14ac:dyDescent="0.2">
      <c r="A647">
        <f>IF(D647="USD",VLOOKUP(VALUE(RIGHT(E647,4)),'USD RUB'!$E:$F,2,FALSE),1)</f>
        <v>1</v>
      </c>
      <c r="B647" s="4">
        <v>1</v>
      </c>
      <c r="C647">
        <v>1000</v>
      </c>
      <c r="D647" t="s">
        <v>20</v>
      </c>
      <c r="E647" s="1" t="s">
        <v>663</v>
      </c>
      <c r="F647">
        <v>657417000</v>
      </c>
      <c r="G647">
        <v>8232058000</v>
      </c>
      <c r="H647">
        <v>51204092000</v>
      </c>
      <c r="I647">
        <v>199215000</v>
      </c>
      <c r="J647">
        <v>63301585000</v>
      </c>
      <c r="K647">
        <v>10875244000</v>
      </c>
      <c r="L647">
        <v>14498960000</v>
      </c>
      <c r="M647">
        <v>20368104000</v>
      </c>
      <c r="N647">
        <v>37927381000</v>
      </c>
      <c r="O647">
        <v>31474715000</v>
      </c>
      <c r="P647">
        <v>-1200016000</v>
      </c>
      <c r="Q647">
        <v>-1818831000</v>
      </c>
      <c r="R647">
        <v>-1508249000</v>
      </c>
      <c r="S647">
        <v>3086785000</v>
      </c>
      <c r="T647">
        <v>2296633000</v>
      </c>
      <c r="U647">
        <v>-4882731000</v>
      </c>
      <c r="V647">
        <f t="shared" si="30"/>
        <v>31404851000</v>
      </c>
      <c r="W647">
        <f t="shared" si="31"/>
        <v>60276756000</v>
      </c>
    </row>
    <row r="648" spans="1:23" x14ac:dyDescent="0.2">
      <c r="A648">
        <f>IF(D648="USD",VLOOKUP(VALUE(RIGHT(E648,4)),'USD RUB'!$E:$F,2,FALSE),1)</f>
        <v>1</v>
      </c>
      <c r="B648" s="4">
        <v>1</v>
      </c>
      <c r="C648">
        <v>1000</v>
      </c>
      <c r="D648" t="s">
        <v>20</v>
      </c>
      <c r="E648" s="1" t="s">
        <v>664</v>
      </c>
      <c r="F648">
        <v>1300958000</v>
      </c>
      <c r="G648">
        <v>9438444000</v>
      </c>
      <c r="H648">
        <v>51619630000</v>
      </c>
      <c r="I648">
        <v>231128000</v>
      </c>
      <c r="J648">
        <v>65171505000</v>
      </c>
      <c r="K648">
        <v>11259283000</v>
      </c>
      <c r="L648">
        <v>14205695000</v>
      </c>
      <c r="M648">
        <v>21719658000</v>
      </c>
      <c r="N648">
        <v>39706527000</v>
      </c>
      <c r="O648">
        <v>16825313000</v>
      </c>
      <c r="P648">
        <v>-50194000</v>
      </c>
      <c r="Q648">
        <v>-355592000</v>
      </c>
      <c r="R648">
        <v>-202712000</v>
      </c>
      <c r="S648">
        <v>1542653000</v>
      </c>
      <c r="T648">
        <v>1836083000</v>
      </c>
      <c r="U648">
        <v>-3791196000</v>
      </c>
      <c r="V648">
        <f t="shared" si="30"/>
        <v>16636759000</v>
      </c>
      <c r="W648">
        <f t="shared" si="31"/>
        <v>61144935000</v>
      </c>
    </row>
    <row r="649" spans="1:23" x14ac:dyDescent="0.2">
      <c r="A649">
        <f>IF(D649="USD",VLOOKUP(VALUE(RIGHT(E649,4)),'USD RUB'!$E:$F,2,FALSE),1)</f>
        <v>1</v>
      </c>
      <c r="B649" s="4">
        <v>1</v>
      </c>
      <c r="C649">
        <v>1000</v>
      </c>
      <c r="D649" t="s">
        <v>20</v>
      </c>
      <c r="E649" s="1" t="s">
        <v>665</v>
      </c>
      <c r="F649">
        <v>805792000</v>
      </c>
      <c r="G649">
        <v>8506823000</v>
      </c>
      <c r="H649">
        <v>52016303000</v>
      </c>
      <c r="I649">
        <v>259353000</v>
      </c>
      <c r="J649">
        <v>64830787000</v>
      </c>
      <c r="K649">
        <v>10438549000</v>
      </c>
      <c r="L649">
        <v>14692723000</v>
      </c>
      <c r="M649">
        <v>21922370000</v>
      </c>
      <c r="N649">
        <v>39699515000</v>
      </c>
      <c r="O649">
        <v>64903605000</v>
      </c>
      <c r="P649">
        <v>1695172000</v>
      </c>
      <c r="Q649">
        <v>1341042000</v>
      </c>
      <c r="R649">
        <v>982914000</v>
      </c>
      <c r="S649">
        <v>5704853000</v>
      </c>
      <c r="T649">
        <v>6897330000</v>
      </c>
      <c r="U649">
        <v>-7164261000</v>
      </c>
      <c r="V649">
        <f t="shared" si="30"/>
        <v>60391792000</v>
      </c>
      <c r="W649">
        <f t="shared" si="31"/>
        <v>61486820000</v>
      </c>
    </row>
    <row r="650" spans="1:23" x14ac:dyDescent="0.2">
      <c r="A650">
        <f>IF(D650="USD",VLOOKUP(VALUE(RIGHT(E650,4)),'USD RUB'!$E:$F,2,FALSE),1)</f>
        <v>1</v>
      </c>
      <c r="B650" s="4">
        <v>1</v>
      </c>
      <c r="C650">
        <v>1000</v>
      </c>
      <c r="D650" t="s">
        <v>20</v>
      </c>
      <c r="E650" s="1" t="s">
        <v>666</v>
      </c>
      <c r="F650">
        <v>784151000</v>
      </c>
      <c r="G650">
        <v>7887152000</v>
      </c>
      <c r="H650">
        <v>47921427000</v>
      </c>
      <c r="I650">
        <v>201619000</v>
      </c>
      <c r="J650">
        <v>59517132000</v>
      </c>
      <c r="K650">
        <v>8277380000</v>
      </c>
      <c r="L650">
        <v>12373209000</v>
      </c>
      <c r="M650">
        <v>21042058000</v>
      </c>
      <c r="N650">
        <v>38866543000</v>
      </c>
      <c r="O650">
        <v>47169336000</v>
      </c>
      <c r="P650">
        <v>501197000</v>
      </c>
      <c r="Q650">
        <v>225968000</v>
      </c>
      <c r="R650">
        <v>102604000</v>
      </c>
      <c r="S650">
        <v>4264017000</v>
      </c>
      <c r="T650">
        <v>4427862000</v>
      </c>
      <c r="U650">
        <v>-4264632000</v>
      </c>
      <c r="V650">
        <f t="shared" si="30"/>
        <v>44011278000</v>
      </c>
      <c r="W650">
        <f t="shared" si="31"/>
        <v>59604725000</v>
      </c>
    </row>
    <row r="651" spans="1:23" x14ac:dyDescent="0.2">
      <c r="A651">
        <f>IF(D651="USD",VLOOKUP(VALUE(RIGHT(E651,4)),'USD RUB'!$E:$F,2,FALSE),1)</f>
        <v>1</v>
      </c>
      <c r="B651" s="4">
        <v>1</v>
      </c>
      <c r="C651">
        <v>1000</v>
      </c>
      <c r="D651" t="s">
        <v>20</v>
      </c>
      <c r="E651" s="1" t="s">
        <v>667</v>
      </c>
      <c r="F651">
        <v>869421000</v>
      </c>
      <c r="G651">
        <v>8483064000</v>
      </c>
      <c r="H651">
        <v>47972274000</v>
      </c>
      <c r="I651">
        <v>216255000</v>
      </c>
      <c r="J651">
        <v>60276756000</v>
      </c>
      <c r="K651">
        <v>8307181000</v>
      </c>
      <c r="L651">
        <v>13372656000</v>
      </c>
      <c r="M651">
        <v>20803841000</v>
      </c>
      <c r="N651">
        <v>38596919000</v>
      </c>
      <c r="O651">
        <v>31404851000</v>
      </c>
      <c r="P651">
        <v>82041000</v>
      </c>
      <c r="Q651">
        <v>-97434000</v>
      </c>
      <c r="R651">
        <v>-135614000</v>
      </c>
      <c r="S651">
        <v>2834636000</v>
      </c>
      <c r="T651">
        <v>2680154000</v>
      </c>
      <c r="U651">
        <v>-3193803000</v>
      </c>
      <c r="V651">
        <f t="shared" si="30"/>
        <v>29729738000</v>
      </c>
      <c r="W651">
        <f t="shared" si="31"/>
        <v>59191429000</v>
      </c>
    </row>
    <row r="652" spans="1:23" x14ac:dyDescent="0.2">
      <c r="A652">
        <f>IF(D652="USD",VLOOKUP(VALUE(RIGHT(E652,4)),'USD RUB'!$E:$F,2,FALSE),1)</f>
        <v>1</v>
      </c>
      <c r="B652" s="4">
        <v>1</v>
      </c>
      <c r="C652">
        <v>1000</v>
      </c>
      <c r="D652" t="s">
        <v>20</v>
      </c>
      <c r="E652" s="1" t="s">
        <v>668</v>
      </c>
      <c r="F652">
        <v>670986000</v>
      </c>
      <c r="G652">
        <v>8857310000</v>
      </c>
      <c r="H652">
        <v>48281838000</v>
      </c>
      <c r="I652">
        <v>252681000</v>
      </c>
      <c r="J652">
        <v>61144935000</v>
      </c>
      <c r="K652">
        <v>8481209000</v>
      </c>
      <c r="L652">
        <v>13705364000</v>
      </c>
      <c r="M652">
        <v>21179497000</v>
      </c>
      <c r="N652">
        <v>38958362000</v>
      </c>
      <c r="O652">
        <v>16636759000</v>
      </c>
      <c r="P652">
        <v>356675000</v>
      </c>
      <c r="Q652">
        <v>276729000</v>
      </c>
      <c r="R652">
        <v>259690000</v>
      </c>
      <c r="S652">
        <v>1413484000</v>
      </c>
      <c r="T652">
        <v>1809532000</v>
      </c>
      <c r="U652">
        <v>-2333575000</v>
      </c>
      <c r="V652">
        <f t="shared" si="30"/>
        <v>16220658000</v>
      </c>
      <c r="W652">
        <f t="shared" si="31"/>
        <v>60060115000</v>
      </c>
    </row>
    <row r="653" spans="1:23" x14ac:dyDescent="0.2">
      <c r="A653">
        <f>IF(D653="USD",VLOOKUP(VALUE(RIGHT(E653,4)),'USD RUB'!$E:$F,2,FALSE),1)</f>
        <v>1</v>
      </c>
      <c r="B653" s="4">
        <v>1</v>
      </c>
      <c r="C653">
        <v>1000</v>
      </c>
      <c r="D653" t="s">
        <v>20</v>
      </c>
      <c r="E653" s="1" t="s">
        <v>669</v>
      </c>
      <c r="F653">
        <v>563757000</v>
      </c>
      <c r="G653">
        <v>8471088000</v>
      </c>
      <c r="H653">
        <v>48781004000</v>
      </c>
      <c r="I653">
        <v>288345000</v>
      </c>
      <c r="J653">
        <v>61486820000</v>
      </c>
      <c r="K653">
        <v>8952834000</v>
      </c>
      <c r="L653">
        <v>13993188000</v>
      </c>
      <c r="M653">
        <v>20919807000</v>
      </c>
      <c r="N653">
        <v>38540798000</v>
      </c>
      <c r="O653">
        <v>60391792000</v>
      </c>
      <c r="P653">
        <v>288645000</v>
      </c>
      <c r="Q653">
        <v>-17203000</v>
      </c>
      <c r="R653">
        <v>-117216000</v>
      </c>
      <c r="S653">
        <v>5276826000</v>
      </c>
      <c r="T653">
        <v>5113232000</v>
      </c>
      <c r="U653">
        <v>-7787972000</v>
      </c>
      <c r="V653">
        <f t="shared" si="30"/>
        <v>62975762000</v>
      </c>
      <c r="W653">
        <f t="shared" si="31"/>
        <v>58724701000</v>
      </c>
    </row>
    <row r="654" spans="1:23" x14ac:dyDescent="0.2">
      <c r="A654">
        <f>IF(D654="USD",VLOOKUP(VALUE(RIGHT(E654,4)),'USD RUB'!$E:$F,2,FALSE),1)</f>
        <v>1</v>
      </c>
      <c r="B654" s="4">
        <v>1</v>
      </c>
      <c r="C654">
        <v>1000</v>
      </c>
      <c r="D654" t="s">
        <v>20</v>
      </c>
      <c r="E654" s="1" t="s">
        <v>670</v>
      </c>
      <c r="F654">
        <v>724226000</v>
      </c>
      <c r="G654">
        <v>9262253000</v>
      </c>
      <c r="H654">
        <v>46303917000</v>
      </c>
      <c r="I654">
        <v>188695000</v>
      </c>
      <c r="J654">
        <v>59604725000</v>
      </c>
      <c r="K654">
        <v>7822352000</v>
      </c>
      <c r="L654">
        <v>13567119000</v>
      </c>
      <c r="M654">
        <v>20540564000</v>
      </c>
      <c r="N654">
        <v>38215254000</v>
      </c>
      <c r="O654">
        <v>44011278000</v>
      </c>
      <c r="P654">
        <v>-261079000</v>
      </c>
      <c r="Q654">
        <v>-501333000</v>
      </c>
      <c r="R654">
        <v>-496460000</v>
      </c>
      <c r="S654">
        <v>3933493000</v>
      </c>
      <c r="T654">
        <v>3341597000</v>
      </c>
      <c r="U654">
        <v>-4969786000</v>
      </c>
      <c r="V654">
        <f t="shared" si="30"/>
        <v>46463884000</v>
      </c>
      <c r="W654">
        <f t="shared" si="31"/>
        <v>54181418000</v>
      </c>
    </row>
    <row r="655" spans="1:23" x14ac:dyDescent="0.2">
      <c r="A655">
        <f>IF(D655="USD",VLOOKUP(VALUE(RIGHT(E655,4)),'USD RUB'!$E:$F,2,FALSE),1)</f>
        <v>1</v>
      </c>
      <c r="B655" s="4">
        <v>1</v>
      </c>
      <c r="C655">
        <v>1000</v>
      </c>
      <c r="D655" t="s">
        <v>20</v>
      </c>
      <c r="E655" s="1" t="s">
        <v>671</v>
      </c>
      <c r="F655">
        <v>833053000</v>
      </c>
      <c r="G655">
        <v>9836163000</v>
      </c>
      <c r="H655">
        <v>45356209000</v>
      </c>
      <c r="I655">
        <v>213991000</v>
      </c>
      <c r="J655">
        <v>59191429000</v>
      </c>
      <c r="K655">
        <v>8067667000</v>
      </c>
      <c r="L655">
        <v>12749820000</v>
      </c>
      <c r="M655">
        <v>20764636000</v>
      </c>
      <c r="N655">
        <v>38373942000</v>
      </c>
      <c r="O655">
        <v>29729738000</v>
      </c>
      <c r="P655">
        <v>-117783000</v>
      </c>
      <c r="Q655">
        <v>-259525000</v>
      </c>
      <c r="R655">
        <v>-272385000</v>
      </c>
      <c r="S655">
        <v>2612534000</v>
      </c>
      <c r="T655">
        <v>2346432000</v>
      </c>
      <c r="U655">
        <v>-3255400000</v>
      </c>
      <c r="V655">
        <f t="shared" si="30"/>
        <v>31303524000</v>
      </c>
      <c r="W655">
        <f t="shared" si="31"/>
        <v>53828654000</v>
      </c>
    </row>
    <row r="656" spans="1:23" x14ac:dyDescent="0.2">
      <c r="A656">
        <f>IF(D656="USD",VLOOKUP(VALUE(RIGHT(E656,4)),'USD RUB'!$E:$F,2,FALSE),1)</f>
        <v>1</v>
      </c>
      <c r="B656" s="4">
        <v>1</v>
      </c>
      <c r="C656">
        <v>1000</v>
      </c>
      <c r="D656" t="s">
        <v>20</v>
      </c>
      <c r="E656" s="1" t="s">
        <v>672</v>
      </c>
      <c r="F656">
        <v>1344560000</v>
      </c>
      <c r="G656">
        <v>10638885000</v>
      </c>
      <c r="H656">
        <v>45302947000</v>
      </c>
      <c r="I656">
        <v>242363000</v>
      </c>
      <c r="J656">
        <v>60060115000</v>
      </c>
      <c r="K656">
        <v>6957237000</v>
      </c>
      <c r="L656">
        <v>13299665000</v>
      </c>
      <c r="M656">
        <v>22052292000</v>
      </c>
      <c r="N656">
        <v>39803213000</v>
      </c>
      <c r="O656">
        <v>16220658000</v>
      </c>
      <c r="P656">
        <v>1127141000</v>
      </c>
      <c r="Q656">
        <v>1070633000</v>
      </c>
      <c r="R656">
        <v>823538000</v>
      </c>
      <c r="S656">
        <v>1303925000</v>
      </c>
      <c r="T656">
        <v>2496938000</v>
      </c>
      <c r="U656">
        <v>-2223244000</v>
      </c>
      <c r="V656">
        <f t="shared" si="30"/>
        <v>16662248000</v>
      </c>
      <c r="W656">
        <f t="shared" si="31"/>
        <v>56332526000</v>
      </c>
    </row>
    <row r="657" spans="1:23" x14ac:dyDescent="0.2">
      <c r="A657">
        <f>IF(D657="USD",VLOOKUP(VALUE(RIGHT(E657,4)),'USD RUB'!$E:$F,2,FALSE),1)</f>
        <v>1</v>
      </c>
      <c r="B657" s="4">
        <v>1</v>
      </c>
      <c r="C657">
        <v>1000</v>
      </c>
      <c r="D657" t="s">
        <v>20</v>
      </c>
      <c r="E657" s="1" t="s">
        <v>673</v>
      </c>
      <c r="F657">
        <v>970860000</v>
      </c>
      <c r="G657">
        <v>9183442000</v>
      </c>
      <c r="H657">
        <v>45634205000</v>
      </c>
      <c r="I657">
        <v>234610000</v>
      </c>
      <c r="J657">
        <v>58724701000</v>
      </c>
      <c r="K657">
        <v>8776305000</v>
      </c>
      <c r="L657">
        <v>11044962000</v>
      </c>
      <c r="M657">
        <v>21228754000</v>
      </c>
      <c r="N657">
        <v>38903434000</v>
      </c>
      <c r="O657">
        <v>62975762000</v>
      </c>
      <c r="P657">
        <v>5087905000</v>
      </c>
      <c r="Q657">
        <v>4941426000</v>
      </c>
      <c r="R657">
        <v>3912739000</v>
      </c>
      <c r="S657">
        <v>4837796000</v>
      </c>
      <c r="T657">
        <v>9462770000</v>
      </c>
      <c r="U657">
        <v>-8025249000</v>
      </c>
      <c r="V657">
        <f t="shared" si="30"/>
        <v>63686149000</v>
      </c>
      <c r="W657">
        <f t="shared" si="31"/>
        <v>53566451000</v>
      </c>
    </row>
    <row r="658" spans="1:23" x14ac:dyDescent="0.2">
      <c r="A658">
        <f>IF(D658="USD",VLOOKUP(VALUE(RIGHT(E658,4)),'USD RUB'!$E:$F,2,FALSE),1)</f>
        <v>1</v>
      </c>
      <c r="B658" s="4">
        <v>1</v>
      </c>
      <c r="C658">
        <v>1000</v>
      </c>
      <c r="D658" t="s">
        <v>20</v>
      </c>
      <c r="E658" s="1" t="s">
        <v>674</v>
      </c>
      <c r="F658">
        <v>1397342000</v>
      </c>
      <c r="G658">
        <v>10003780000</v>
      </c>
      <c r="H658">
        <v>42050937000</v>
      </c>
      <c r="I658">
        <v>187281000</v>
      </c>
      <c r="J658">
        <v>54181418000</v>
      </c>
      <c r="K658">
        <v>6462815000</v>
      </c>
      <c r="L658">
        <v>9292860000</v>
      </c>
      <c r="M658">
        <v>20717799000</v>
      </c>
      <c r="N658">
        <v>38425743000</v>
      </c>
      <c r="O658">
        <v>46463884000</v>
      </c>
      <c r="P658">
        <v>3191502000</v>
      </c>
      <c r="Q658">
        <v>3036885000</v>
      </c>
      <c r="R658">
        <v>2385939000</v>
      </c>
      <c r="S658">
        <v>3601664000</v>
      </c>
      <c r="T658">
        <v>6523271000</v>
      </c>
      <c r="U658">
        <v>-4071625000</v>
      </c>
      <c r="V658">
        <f t="shared" si="30"/>
        <v>46685272000</v>
      </c>
      <c r="W658">
        <f t="shared" si="31"/>
        <v>52049678000</v>
      </c>
    </row>
    <row r="659" spans="1:23" x14ac:dyDescent="0.2">
      <c r="A659">
        <f>IF(D659="USD",VLOOKUP(VALUE(RIGHT(E659,4)),'USD RUB'!$E:$F,2,FALSE),1)</f>
        <v>1</v>
      </c>
      <c r="B659" s="4">
        <v>1</v>
      </c>
      <c r="C659">
        <v>1000</v>
      </c>
      <c r="D659" t="s">
        <v>20</v>
      </c>
      <c r="E659" s="1" t="s">
        <v>675</v>
      </c>
      <c r="F659">
        <v>868180000</v>
      </c>
      <c r="G659">
        <v>10309687000</v>
      </c>
      <c r="H659">
        <v>40615122000</v>
      </c>
      <c r="I659">
        <v>207716000</v>
      </c>
      <c r="J659">
        <v>53828654000</v>
      </c>
      <c r="K659">
        <v>6393794000</v>
      </c>
      <c r="L659">
        <v>9704390000</v>
      </c>
      <c r="M659">
        <v>19950610000</v>
      </c>
      <c r="N659">
        <v>37730470000</v>
      </c>
      <c r="O659">
        <v>31303524000</v>
      </c>
      <c r="P659">
        <v>2189687000</v>
      </c>
      <c r="Q659">
        <v>2080865000</v>
      </c>
      <c r="R659">
        <v>1620584000</v>
      </c>
      <c r="S659">
        <v>2421037000</v>
      </c>
      <c r="T659">
        <v>4784564000</v>
      </c>
      <c r="U659">
        <v>-2056324000</v>
      </c>
      <c r="V659">
        <f t="shared" si="30"/>
        <v>31103372000</v>
      </c>
      <c r="W659">
        <f t="shared" si="31"/>
        <v>50110172000</v>
      </c>
    </row>
    <row r="660" spans="1:23" x14ac:dyDescent="0.2">
      <c r="A660">
        <f>IF(D660="USD",VLOOKUP(VALUE(RIGHT(E660,4)),'USD RUB'!$E:$F,2,FALSE),1)</f>
        <v>1</v>
      </c>
      <c r="B660" s="4">
        <v>1</v>
      </c>
      <c r="C660">
        <v>1000</v>
      </c>
      <c r="D660" t="s">
        <v>20</v>
      </c>
      <c r="E660" s="1" t="s">
        <v>676</v>
      </c>
      <c r="F660">
        <v>2802945000</v>
      </c>
      <c r="G660">
        <v>12639809000</v>
      </c>
      <c r="H660">
        <v>40690101000</v>
      </c>
      <c r="I660">
        <v>221844000</v>
      </c>
      <c r="J660">
        <v>56332526000</v>
      </c>
      <c r="K660">
        <v>6444721000</v>
      </c>
      <c r="L660">
        <v>9852220000</v>
      </c>
      <c r="M660">
        <v>22144351000</v>
      </c>
      <c r="N660">
        <v>40035585000</v>
      </c>
      <c r="O660">
        <v>16662248000</v>
      </c>
      <c r="P660">
        <v>1790809000</v>
      </c>
      <c r="Q660">
        <v>1708134000</v>
      </c>
      <c r="R660">
        <v>1331255000</v>
      </c>
      <c r="S660">
        <v>1218770000</v>
      </c>
      <c r="T660">
        <v>2906981000</v>
      </c>
      <c r="U660">
        <v>-1163546000</v>
      </c>
      <c r="V660">
        <f t="shared" si="30"/>
        <v>16564325000</v>
      </c>
      <c r="W660">
        <f t="shared" si="31"/>
        <v>52513322000</v>
      </c>
    </row>
    <row r="661" spans="1:23" x14ac:dyDescent="0.2">
      <c r="A661">
        <f>IF(D661="USD",VLOOKUP(VALUE(RIGHT(E661,4)),'USD RUB'!$E:$F,2,FALSE),1)</f>
        <v>1</v>
      </c>
      <c r="B661" s="4">
        <v>1</v>
      </c>
      <c r="C661">
        <v>1000</v>
      </c>
      <c r="D661" t="s">
        <v>20</v>
      </c>
      <c r="E661" s="1" t="s">
        <v>677</v>
      </c>
      <c r="F661">
        <v>1951998000</v>
      </c>
      <c r="G661">
        <v>11229953000</v>
      </c>
      <c r="H661">
        <v>41068666000</v>
      </c>
      <c r="I661">
        <v>250757000</v>
      </c>
      <c r="J661">
        <v>53566451000</v>
      </c>
      <c r="K661">
        <v>6675931000</v>
      </c>
      <c r="L661">
        <v>8131808000</v>
      </c>
      <c r="M661">
        <v>20813096000</v>
      </c>
      <c r="N661">
        <v>38758712000</v>
      </c>
      <c r="O661">
        <v>63686149000</v>
      </c>
      <c r="P661">
        <v>7183896000</v>
      </c>
      <c r="Q661">
        <v>7292523000</v>
      </c>
      <c r="R661">
        <v>5710200000</v>
      </c>
      <c r="S661">
        <v>4645911000</v>
      </c>
      <c r="T661">
        <v>11370369000</v>
      </c>
      <c r="U661">
        <v>-6592355000</v>
      </c>
      <c r="V661">
        <f t="shared" si="30"/>
        <v>59250059000</v>
      </c>
      <c r="W661">
        <f t="shared" si="31"/>
        <v>52369733000</v>
      </c>
    </row>
    <row r="662" spans="1:23" x14ac:dyDescent="0.2">
      <c r="A662">
        <f>IF(D662="USD",VLOOKUP(VALUE(RIGHT(E662,4)),'USD RUB'!$E:$F,2,FALSE),1)</f>
        <v>1</v>
      </c>
      <c r="B662" s="4">
        <v>1</v>
      </c>
      <c r="C662">
        <v>1000</v>
      </c>
      <c r="D662" t="s">
        <v>20</v>
      </c>
      <c r="E662" s="1" t="s">
        <v>678</v>
      </c>
      <c r="F662">
        <v>2785086000</v>
      </c>
      <c r="G662">
        <v>10461630000</v>
      </c>
      <c r="H662">
        <v>39664254000</v>
      </c>
      <c r="I662">
        <v>159957000</v>
      </c>
      <c r="J662">
        <v>52049678000</v>
      </c>
      <c r="K662">
        <v>6552836000</v>
      </c>
      <c r="L662">
        <v>7893020000</v>
      </c>
      <c r="M662">
        <v>19516288000</v>
      </c>
      <c r="N662">
        <v>37603822000</v>
      </c>
      <c r="O662">
        <v>46685272000</v>
      </c>
      <c r="P662">
        <v>5761921000</v>
      </c>
      <c r="Q662">
        <v>5688382000</v>
      </c>
      <c r="R662">
        <v>4413394000</v>
      </c>
      <c r="S662">
        <v>3169457000</v>
      </c>
      <c r="T662">
        <v>8426025000</v>
      </c>
      <c r="U662">
        <v>-3476435000</v>
      </c>
      <c r="V662">
        <f t="shared" si="30"/>
        <v>42521299000</v>
      </c>
      <c r="W662">
        <f t="shared" si="31"/>
        <v>50115175000</v>
      </c>
    </row>
    <row r="663" spans="1:23" x14ac:dyDescent="0.2">
      <c r="A663">
        <f>IF(D663="USD",VLOOKUP(VALUE(RIGHT(E663,4)),'USD RUB'!$E:$F,2,FALSE),1)</f>
        <v>1</v>
      </c>
      <c r="B663" s="4">
        <v>1</v>
      </c>
      <c r="C663">
        <v>1000</v>
      </c>
      <c r="D663" t="s">
        <v>20</v>
      </c>
      <c r="E663" s="1" t="s">
        <v>679</v>
      </c>
      <c r="F663">
        <v>2070473000</v>
      </c>
      <c r="G663">
        <v>9927796000</v>
      </c>
      <c r="H663">
        <v>38247243000</v>
      </c>
      <c r="I663">
        <v>176625000</v>
      </c>
      <c r="J663">
        <v>50110172000</v>
      </c>
      <c r="K663">
        <v>5971682000</v>
      </c>
      <c r="L663">
        <v>8324324000</v>
      </c>
      <c r="M663">
        <v>17842868000</v>
      </c>
      <c r="N663">
        <v>35814166000</v>
      </c>
      <c r="O663">
        <v>31103372000</v>
      </c>
      <c r="P663">
        <v>3504579000</v>
      </c>
      <c r="Q663">
        <v>3452163000</v>
      </c>
      <c r="R663">
        <v>2739973000</v>
      </c>
      <c r="S663">
        <v>2112994000</v>
      </c>
      <c r="T663">
        <v>5188855000</v>
      </c>
      <c r="U663">
        <v>-1744386000</v>
      </c>
      <c r="V663">
        <f t="shared" si="30"/>
        <v>27973934000</v>
      </c>
      <c r="W663">
        <f t="shared" si="31"/>
        <v>50721794000</v>
      </c>
    </row>
    <row r="664" spans="1:23" x14ac:dyDescent="0.2">
      <c r="A664">
        <f>IF(D664="USD",VLOOKUP(VALUE(RIGHT(E664,4)),'USD RUB'!$E:$F,2,FALSE),1)</f>
        <v>1</v>
      </c>
      <c r="B664" s="4">
        <v>1</v>
      </c>
      <c r="C664">
        <v>1000</v>
      </c>
      <c r="D664" t="s">
        <v>20</v>
      </c>
      <c r="E664" s="1" t="s">
        <v>680</v>
      </c>
      <c r="F664">
        <v>3187767000</v>
      </c>
      <c r="G664">
        <v>12808844000</v>
      </c>
      <c r="H664">
        <v>38450593000</v>
      </c>
      <c r="I664">
        <v>202235000</v>
      </c>
      <c r="J664">
        <v>52513322000</v>
      </c>
      <c r="K664">
        <v>6036977000</v>
      </c>
      <c r="L664">
        <v>8825906000</v>
      </c>
      <c r="M664">
        <v>19778333000</v>
      </c>
      <c r="N664">
        <v>37650439000</v>
      </c>
      <c r="O664">
        <v>16564325000</v>
      </c>
      <c r="P664">
        <v>2566689000</v>
      </c>
      <c r="Q664">
        <v>2528878000</v>
      </c>
      <c r="R664">
        <v>1880787000</v>
      </c>
      <c r="S664">
        <v>1063047000</v>
      </c>
      <c r="T664">
        <v>3635402000</v>
      </c>
      <c r="U664">
        <v>-1058222000</v>
      </c>
      <c r="V664">
        <f t="shared" si="30"/>
        <v>14928667000</v>
      </c>
      <c r="W664">
        <f t="shared" si="31"/>
        <v>51135431000</v>
      </c>
    </row>
    <row r="665" spans="1:23" x14ac:dyDescent="0.2">
      <c r="A665">
        <f>IF(D665="USD",VLOOKUP(VALUE(RIGHT(E665,4)),'USD RUB'!$E:$F,2,FALSE),1)</f>
        <v>1</v>
      </c>
      <c r="B665" s="4">
        <v>1</v>
      </c>
      <c r="C665">
        <v>1000</v>
      </c>
      <c r="D665" t="s">
        <v>20</v>
      </c>
      <c r="E665" s="1" t="s">
        <v>681</v>
      </c>
      <c r="F665">
        <v>3847013000</v>
      </c>
      <c r="G665">
        <v>13072769000</v>
      </c>
      <c r="H665">
        <v>38451916000</v>
      </c>
      <c r="I665">
        <v>178793000</v>
      </c>
      <c r="J665">
        <v>52369733000</v>
      </c>
      <c r="K665">
        <v>7009706000</v>
      </c>
      <c r="L665">
        <v>9519793000</v>
      </c>
      <c r="M665">
        <v>17897546000</v>
      </c>
      <c r="N665">
        <v>35840234000</v>
      </c>
      <c r="O665">
        <v>59250059000</v>
      </c>
      <c r="P665">
        <v>7572163000</v>
      </c>
      <c r="Q665">
        <v>7190086000</v>
      </c>
      <c r="R665">
        <v>5589649000</v>
      </c>
      <c r="S665">
        <v>4424165000</v>
      </c>
      <c r="T665">
        <v>12042881000</v>
      </c>
      <c r="U665">
        <v>-3870010000</v>
      </c>
      <c r="V665">
        <f t="shared" ref="V665:V728" si="32">_xlfn.XLOOKUP(LEFT(E665,LEN(E665)-4)&amp;(VALUE(RIGHT(E665,4))-1),$E:$E,$O:$O,"")</f>
        <v>53336415000</v>
      </c>
      <c r="W665">
        <f t="shared" ref="W665:W728" si="33">_xlfn.XLOOKUP(LEFT(E665,LEN(E665)-4)&amp;(VALUE(RIGHT(E665,4))-1),$E:$E,$J:$J,"")</f>
        <v>51080001000</v>
      </c>
    </row>
    <row r="666" spans="1:23" x14ac:dyDescent="0.2">
      <c r="A666">
        <f>IF(D666="USD",VLOOKUP(VALUE(RIGHT(E666,4)),'USD RUB'!$E:$F,2,FALSE),1)</f>
        <v>1</v>
      </c>
      <c r="B666" s="4">
        <v>1</v>
      </c>
      <c r="C666">
        <v>1000</v>
      </c>
      <c r="D666" t="s">
        <v>20</v>
      </c>
      <c r="E666" s="1" t="s">
        <v>682</v>
      </c>
      <c r="F666">
        <v>2876130000</v>
      </c>
      <c r="G666">
        <v>11238701000</v>
      </c>
      <c r="H666">
        <v>38092626000</v>
      </c>
      <c r="I666">
        <v>98899000</v>
      </c>
      <c r="J666">
        <v>50115175000</v>
      </c>
      <c r="K666">
        <v>6543595000</v>
      </c>
      <c r="L666">
        <v>10081331000</v>
      </c>
      <c r="M666">
        <v>15617026000</v>
      </c>
      <c r="N666">
        <v>33490249000</v>
      </c>
      <c r="O666">
        <v>42521299000</v>
      </c>
      <c r="P666">
        <v>4651681000</v>
      </c>
      <c r="Q666">
        <v>4308132000</v>
      </c>
      <c r="R666">
        <v>3309144000</v>
      </c>
      <c r="S666">
        <v>3330418000</v>
      </c>
      <c r="U666">
        <v>-2648500000</v>
      </c>
      <c r="V666" t="str">
        <f t="shared" si="32"/>
        <v/>
      </c>
      <c r="W666" t="str">
        <f t="shared" si="33"/>
        <v/>
      </c>
    </row>
    <row r="667" spans="1:23" x14ac:dyDescent="0.2">
      <c r="A667">
        <f>IF(D667="USD",VLOOKUP(VALUE(RIGHT(E667,4)),'USD RUB'!$E:$F,2,FALSE),1)</f>
        <v>1</v>
      </c>
      <c r="B667" s="4">
        <v>1</v>
      </c>
      <c r="C667">
        <v>1000</v>
      </c>
      <c r="D667" t="s">
        <v>20</v>
      </c>
      <c r="E667" s="1" t="s">
        <v>683</v>
      </c>
      <c r="F667">
        <v>3403564000</v>
      </c>
      <c r="G667">
        <v>12178411000</v>
      </c>
      <c r="H667">
        <v>37748460000</v>
      </c>
      <c r="I667">
        <v>122229000</v>
      </c>
      <c r="J667">
        <v>50721794000</v>
      </c>
      <c r="K667">
        <v>7649206000</v>
      </c>
      <c r="L667">
        <v>10885918000</v>
      </c>
      <c r="M667">
        <v>14414469000</v>
      </c>
      <c r="N667">
        <v>32186670000</v>
      </c>
      <c r="O667">
        <v>27973934000</v>
      </c>
      <c r="P667">
        <v>2915526000</v>
      </c>
      <c r="Q667">
        <v>2664086000</v>
      </c>
      <c r="R667">
        <v>2106749000</v>
      </c>
      <c r="S667">
        <v>2223183000</v>
      </c>
      <c r="U667">
        <v>-1157447000</v>
      </c>
      <c r="V667">
        <f t="shared" si="32"/>
        <v>25424093000</v>
      </c>
      <c r="W667">
        <f t="shared" si="33"/>
        <v>49715772000</v>
      </c>
    </row>
    <row r="668" spans="1:23" x14ac:dyDescent="0.2">
      <c r="A668">
        <f>IF(D668="USD",VLOOKUP(VALUE(RIGHT(E668,4)),'USD RUB'!$E:$F,2,FALSE),1)</f>
        <v>1</v>
      </c>
      <c r="B668" s="4">
        <v>1</v>
      </c>
      <c r="C668">
        <v>1000</v>
      </c>
      <c r="D668" t="s">
        <v>20</v>
      </c>
      <c r="E668" s="1" t="s">
        <v>684</v>
      </c>
      <c r="F668">
        <v>3043718000</v>
      </c>
      <c r="G668">
        <v>12375630000</v>
      </c>
      <c r="H668">
        <v>37932549000</v>
      </c>
      <c r="I668">
        <v>147181000</v>
      </c>
      <c r="J668">
        <v>51135431000</v>
      </c>
      <c r="K668">
        <v>6719523000</v>
      </c>
      <c r="L668">
        <v>11851223000</v>
      </c>
      <c r="M668">
        <v>14784500000</v>
      </c>
      <c r="N668">
        <v>32564685000</v>
      </c>
      <c r="O668">
        <v>14928667000</v>
      </c>
      <c r="P668">
        <v>1858031000</v>
      </c>
      <c r="Q668">
        <v>1727319000</v>
      </c>
      <c r="R668">
        <v>1167969000</v>
      </c>
      <c r="S668">
        <v>1116520000</v>
      </c>
      <c r="T668">
        <v>2969817000</v>
      </c>
      <c r="U668">
        <v>-562350000</v>
      </c>
      <c r="V668" t="str">
        <f t="shared" si="32"/>
        <v/>
      </c>
      <c r="W668" t="str">
        <f t="shared" si="33"/>
        <v/>
      </c>
    </row>
    <row r="669" spans="1:23" x14ac:dyDescent="0.2">
      <c r="A669">
        <f>IF(D669="USD",VLOOKUP(VALUE(RIGHT(E669,4)),'USD RUB'!$E:$F,2,FALSE),1)</f>
        <v>1</v>
      </c>
      <c r="B669" s="4">
        <v>1</v>
      </c>
      <c r="C669">
        <v>1000</v>
      </c>
      <c r="D669" t="s">
        <v>20</v>
      </c>
      <c r="E669" s="1" t="s">
        <v>685</v>
      </c>
      <c r="F669">
        <v>2265917000</v>
      </c>
      <c r="G669">
        <v>11514488000</v>
      </c>
      <c r="H669">
        <v>38752263000</v>
      </c>
      <c r="J669">
        <v>51080001000</v>
      </c>
      <c r="K669">
        <v>6416195000</v>
      </c>
      <c r="L669">
        <v>13238415000</v>
      </c>
      <c r="M669">
        <v>13616531000</v>
      </c>
      <c r="N669">
        <v>31425391000</v>
      </c>
      <c r="O669">
        <v>53336415000</v>
      </c>
      <c r="P669">
        <v>5176928000</v>
      </c>
      <c r="Q669">
        <v>4177095000</v>
      </c>
      <c r="R669">
        <v>2803756000</v>
      </c>
      <c r="T669">
        <v>9470077000</v>
      </c>
      <c r="U669">
        <v>-2924341000</v>
      </c>
      <c r="V669">
        <f t="shared" si="32"/>
        <v>47990986000</v>
      </c>
      <c r="W669">
        <f t="shared" si="33"/>
        <v>51036335000</v>
      </c>
    </row>
    <row r="670" spans="1:23" x14ac:dyDescent="0.2">
      <c r="A670">
        <f>IF(D670="USD",VLOOKUP(VALUE(RIGHT(E670,4)),'USD RUB'!$E:$F,2,FALSE),1)</f>
        <v>1</v>
      </c>
      <c r="B670" s="4">
        <v>1</v>
      </c>
      <c r="C670">
        <v>1000</v>
      </c>
      <c r="D670" t="s">
        <v>20</v>
      </c>
      <c r="E670" s="1" t="s">
        <v>686</v>
      </c>
      <c r="F670">
        <v>770851000</v>
      </c>
      <c r="G670">
        <v>10211822000</v>
      </c>
      <c r="H670">
        <v>38674959000</v>
      </c>
      <c r="J670">
        <v>49715772000</v>
      </c>
      <c r="K670">
        <v>8206593000</v>
      </c>
      <c r="L670">
        <v>12936314000</v>
      </c>
      <c r="M670">
        <v>11347858000</v>
      </c>
      <c r="N670">
        <v>28572865000</v>
      </c>
      <c r="O670">
        <v>25424093000</v>
      </c>
      <c r="P670">
        <v>1473363000</v>
      </c>
      <c r="Q670">
        <v>933924000</v>
      </c>
      <c r="R670">
        <v>537243000</v>
      </c>
      <c r="T670">
        <v>3911171000</v>
      </c>
      <c r="U670">
        <v>-841591000</v>
      </c>
      <c r="V670">
        <f t="shared" si="32"/>
        <v>22694766000</v>
      </c>
      <c r="W670">
        <f t="shared" si="33"/>
        <v>50985033000</v>
      </c>
    </row>
    <row r="671" spans="1:23" x14ac:dyDescent="0.2">
      <c r="A671">
        <f>IF(D671="USD",VLOOKUP(VALUE(RIGHT(E671,4)),'USD RUB'!$E:$F,2,FALSE),1)</f>
        <v>1</v>
      </c>
      <c r="B671" s="4">
        <v>1</v>
      </c>
      <c r="C671">
        <v>1000</v>
      </c>
      <c r="D671" t="s">
        <v>20</v>
      </c>
      <c r="E671" s="1" t="s">
        <v>687</v>
      </c>
      <c r="F671">
        <v>1958398000</v>
      </c>
      <c r="G671">
        <v>10221384000</v>
      </c>
      <c r="H671">
        <v>39983252000</v>
      </c>
      <c r="J671">
        <v>51036335000</v>
      </c>
      <c r="K671">
        <v>9530305000</v>
      </c>
      <c r="L671">
        <v>13320724000</v>
      </c>
      <c r="M671">
        <v>11041379000</v>
      </c>
      <c r="N671">
        <v>28185306000</v>
      </c>
      <c r="O671">
        <v>47990986000</v>
      </c>
      <c r="P671">
        <v>177750000</v>
      </c>
      <c r="Q671">
        <v>1701878000</v>
      </c>
      <c r="R671">
        <v>1267984000</v>
      </c>
      <c r="T671">
        <v>7729995000</v>
      </c>
      <c r="U671">
        <v>-2749040000</v>
      </c>
      <c r="V671" t="str">
        <f t="shared" si="32"/>
        <v/>
      </c>
      <c r="W671" t="str">
        <f t="shared" si="33"/>
        <v/>
      </c>
    </row>
    <row r="672" spans="1:23" x14ac:dyDescent="0.2">
      <c r="A672">
        <f>IF(D672="USD",VLOOKUP(VALUE(RIGHT(E672,4)),'USD RUB'!$E:$F,2,FALSE),1)</f>
        <v>1</v>
      </c>
      <c r="B672" s="4">
        <v>1</v>
      </c>
      <c r="C672">
        <v>1000</v>
      </c>
      <c r="D672" t="s">
        <v>20</v>
      </c>
      <c r="E672" s="1" t="s">
        <v>688</v>
      </c>
      <c r="F672">
        <v>1323465000</v>
      </c>
      <c r="G672">
        <v>9189582000</v>
      </c>
      <c r="H672">
        <v>40993392000</v>
      </c>
      <c r="J672">
        <v>50985033000</v>
      </c>
      <c r="K672">
        <v>7579506000</v>
      </c>
      <c r="L672">
        <v>16346991000</v>
      </c>
      <c r="M672">
        <v>9898604000</v>
      </c>
      <c r="N672">
        <v>27058536000</v>
      </c>
      <c r="O672">
        <v>22694766000</v>
      </c>
      <c r="P672">
        <v>783115000</v>
      </c>
      <c r="Q672">
        <v>205207000</v>
      </c>
      <c r="R672">
        <v>126838000</v>
      </c>
      <c r="T672">
        <v>3224378000</v>
      </c>
      <c r="U672">
        <v>-1581695000</v>
      </c>
      <c r="V672" t="str">
        <f t="shared" si="32"/>
        <v/>
      </c>
      <c r="W672" t="str">
        <f t="shared" si="33"/>
        <v/>
      </c>
    </row>
    <row r="673" spans="1:23" x14ac:dyDescent="0.2">
      <c r="A673">
        <f>IF(D673="USD",VLOOKUP(VALUE(RIGHT(E673,4)),'USD RUB'!$E:$F,2,FALSE),1)</f>
        <v>1</v>
      </c>
      <c r="B673" s="4">
        <v>1</v>
      </c>
      <c r="C673">
        <v>1000</v>
      </c>
      <c r="D673" t="s">
        <v>20</v>
      </c>
      <c r="E673" s="1" t="s">
        <v>689</v>
      </c>
      <c r="F673">
        <v>791382000</v>
      </c>
      <c r="G673">
        <v>6844340000</v>
      </c>
      <c r="H673">
        <v>26428413000</v>
      </c>
      <c r="J673">
        <v>34081478000</v>
      </c>
      <c r="K673">
        <v>4562935000</v>
      </c>
      <c r="L673">
        <v>6275674000</v>
      </c>
      <c r="N673">
        <v>23242869000</v>
      </c>
      <c r="O673">
        <v>24369839000</v>
      </c>
      <c r="P673">
        <v>1891997000</v>
      </c>
      <c r="Q673">
        <v>1790273000</v>
      </c>
      <c r="R673">
        <v>1542157000</v>
      </c>
      <c r="V673" t="str">
        <f t="shared" si="32"/>
        <v/>
      </c>
      <c r="W673" t="str">
        <f t="shared" si="33"/>
        <v/>
      </c>
    </row>
    <row r="674" spans="1:23" x14ac:dyDescent="0.2">
      <c r="A674">
        <f>IF(D674="USD",VLOOKUP(VALUE(RIGHT(E674,4)),'USD RUB'!$E:$F,2,FALSE),1)</f>
        <v>1</v>
      </c>
      <c r="B674" s="4">
        <v>1</v>
      </c>
      <c r="C674">
        <v>1000000</v>
      </c>
      <c r="D674" t="s">
        <v>20</v>
      </c>
      <c r="E674" s="1" t="s">
        <v>690</v>
      </c>
      <c r="F674">
        <v>130000000</v>
      </c>
      <c r="G674">
        <v>84279000000</v>
      </c>
      <c r="H674">
        <v>327875000000</v>
      </c>
      <c r="I674">
        <v>1088000000</v>
      </c>
      <c r="J674">
        <v>460996000000</v>
      </c>
      <c r="K674">
        <v>15229000000</v>
      </c>
      <c r="L674">
        <v>50139000000</v>
      </c>
      <c r="M674">
        <v>-28363000000</v>
      </c>
      <c r="N674">
        <v>395628000000</v>
      </c>
      <c r="O674">
        <v>167869000000</v>
      </c>
      <c r="P674">
        <v>-1174000000</v>
      </c>
      <c r="Q674">
        <v>2121000000</v>
      </c>
      <c r="R674">
        <v>2050000000</v>
      </c>
      <c r="S674">
        <v>24034000000</v>
      </c>
      <c r="T674">
        <v>27533000000</v>
      </c>
      <c r="U674">
        <v>-11971000000</v>
      </c>
      <c r="V674" t="str">
        <f t="shared" si="32"/>
        <v/>
      </c>
      <c r="W674" t="str">
        <f t="shared" si="33"/>
        <v/>
      </c>
    </row>
    <row r="675" spans="1:23" x14ac:dyDescent="0.2">
      <c r="A675">
        <f>IF(D675="USD",VLOOKUP(VALUE(RIGHT(E675,4)),'USD RUB'!$E:$F,2,FALSE),1)</f>
        <v>1</v>
      </c>
      <c r="B675" s="4">
        <v>1</v>
      </c>
      <c r="C675">
        <v>1000000</v>
      </c>
      <c r="D675" t="s">
        <v>20</v>
      </c>
      <c r="E675" s="1" t="s">
        <v>691</v>
      </c>
      <c r="F675">
        <v>69000000</v>
      </c>
      <c r="G675">
        <v>97952000000</v>
      </c>
      <c r="H675">
        <v>332653000000</v>
      </c>
      <c r="I675">
        <v>1019000000</v>
      </c>
      <c r="J675">
        <v>473998000000</v>
      </c>
      <c r="K675">
        <v>22715000000</v>
      </c>
      <c r="L675">
        <v>50844000000</v>
      </c>
      <c r="M675">
        <v>-27764000000</v>
      </c>
      <c r="N675">
        <v>400439000000</v>
      </c>
      <c r="O675">
        <v>128671000000</v>
      </c>
      <c r="P675">
        <v>6345000000</v>
      </c>
      <c r="Q675">
        <v>8241000000</v>
      </c>
      <c r="R675">
        <v>6884000000</v>
      </c>
      <c r="S675">
        <v>15819000000</v>
      </c>
      <c r="T675">
        <v>22182000000</v>
      </c>
      <c r="U675">
        <v>-7978000000</v>
      </c>
      <c r="V675" t="str">
        <f t="shared" si="32"/>
        <v/>
      </c>
      <c r="W675" t="str">
        <f t="shared" si="33"/>
        <v/>
      </c>
    </row>
    <row r="676" spans="1:23" x14ac:dyDescent="0.2">
      <c r="A676">
        <f>IF(D676="USD",VLOOKUP(VALUE(RIGHT(E676,4)),'USD RUB'!$E:$F,2,FALSE),1)</f>
        <v>1</v>
      </c>
      <c r="B676" s="4">
        <v>1</v>
      </c>
      <c r="C676">
        <v>1000000</v>
      </c>
      <c r="D676" t="s">
        <v>20</v>
      </c>
      <c r="E676" s="1" t="s">
        <v>692</v>
      </c>
      <c r="F676">
        <v>128000000</v>
      </c>
      <c r="G676">
        <v>101341000000</v>
      </c>
      <c r="H676">
        <v>247434000000</v>
      </c>
      <c r="I676">
        <v>1271000000</v>
      </c>
      <c r="J676">
        <v>393130000000</v>
      </c>
      <c r="K676">
        <v>30223000000</v>
      </c>
      <c r="L676">
        <v>33863000000</v>
      </c>
      <c r="M676">
        <v>-23967000000</v>
      </c>
      <c r="N676">
        <v>329044000000</v>
      </c>
      <c r="O676">
        <v>75173000000</v>
      </c>
      <c r="P676">
        <v>15282000000</v>
      </c>
      <c r="Q676">
        <v>16209000000</v>
      </c>
      <c r="R676">
        <v>13080000000</v>
      </c>
      <c r="S676">
        <v>5973000000</v>
      </c>
      <c r="T676">
        <v>17632000000</v>
      </c>
      <c r="U676">
        <v>-10479000000</v>
      </c>
      <c r="V676">
        <f t="shared" si="32"/>
        <v>78032000000</v>
      </c>
      <c r="W676">
        <f t="shared" si="33"/>
        <v>414049000000</v>
      </c>
    </row>
    <row r="677" spans="1:23" x14ac:dyDescent="0.2">
      <c r="A677">
        <f>IF(D677="USD",VLOOKUP(VALUE(RIGHT(E677,4)),'USD RUB'!$E:$F,2,FALSE),1)</f>
        <v>1</v>
      </c>
      <c r="B677" s="4">
        <v>1</v>
      </c>
      <c r="C677">
        <v>1000000</v>
      </c>
      <c r="D677" t="s">
        <v>20</v>
      </c>
      <c r="E677" s="1" t="s">
        <v>693</v>
      </c>
      <c r="F677">
        <v>68000000</v>
      </c>
      <c r="G677">
        <v>93838000000</v>
      </c>
      <c r="H677">
        <v>247368000000</v>
      </c>
      <c r="I677">
        <v>1110000000</v>
      </c>
      <c r="J677">
        <v>379058000000</v>
      </c>
      <c r="K677">
        <v>27851000000</v>
      </c>
      <c r="L677">
        <v>35243000000</v>
      </c>
      <c r="M677">
        <v>-37187000000</v>
      </c>
      <c r="N677">
        <v>315964000000</v>
      </c>
      <c r="O677">
        <v>225158000000</v>
      </c>
      <c r="P677">
        <v>2586000000</v>
      </c>
      <c r="Q677">
        <v>4123000000</v>
      </c>
      <c r="R677">
        <v>2894000000</v>
      </c>
      <c r="S677">
        <v>24093000000</v>
      </c>
      <c r="T677">
        <v>39774000000</v>
      </c>
      <c r="U677">
        <v>-22661000000</v>
      </c>
      <c r="V677">
        <f t="shared" si="32"/>
        <v>180908000000</v>
      </c>
      <c r="W677">
        <f t="shared" si="33"/>
        <v>406991000000</v>
      </c>
    </row>
    <row r="678" spans="1:23" x14ac:dyDescent="0.2">
      <c r="A678">
        <f>IF(D678="USD",VLOOKUP(VALUE(RIGHT(E678,4)),'USD RUB'!$E:$F,2,FALSE),1)</f>
        <v>1</v>
      </c>
      <c r="B678" s="4">
        <v>1</v>
      </c>
      <c r="C678">
        <v>1000000</v>
      </c>
      <c r="D678" t="s">
        <v>20</v>
      </c>
      <c r="E678" s="1" t="s">
        <v>694</v>
      </c>
      <c r="F678">
        <v>10788000000</v>
      </c>
      <c r="G678">
        <v>87880000000</v>
      </c>
      <c r="H678">
        <v>271828000000</v>
      </c>
      <c r="I678">
        <v>1098000000</v>
      </c>
      <c r="J678">
        <v>402133000000</v>
      </c>
      <c r="K678">
        <v>16811000000</v>
      </c>
      <c r="L678">
        <v>55115000000</v>
      </c>
      <c r="M678">
        <v>-34200000000</v>
      </c>
      <c r="N678">
        <v>330207000000</v>
      </c>
      <c r="O678">
        <v>37665000000</v>
      </c>
      <c r="P678">
        <v>-3080000000</v>
      </c>
      <c r="Q678">
        <v>-2341000000</v>
      </c>
      <c r="R678">
        <v>-1726000000</v>
      </c>
      <c r="S678">
        <v>17915000000</v>
      </c>
      <c r="U678">
        <v>-15647000000</v>
      </c>
      <c r="V678">
        <f t="shared" si="32"/>
        <v>122108000000</v>
      </c>
      <c r="W678">
        <f t="shared" si="33"/>
        <v>407337000000</v>
      </c>
    </row>
    <row r="679" spans="1:23" x14ac:dyDescent="0.2">
      <c r="A679">
        <f>IF(D679="USD",VLOOKUP(VALUE(RIGHT(E679,4)),'USD RUB'!$E:$F,2,FALSE),1)</f>
        <v>1</v>
      </c>
      <c r="B679" s="4">
        <v>1</v>
      </c>
      <c r="C679">
        <v>1000000</v>
      </c>
      <c r="D679" t="s">
        <v>20</v>
      </c>
      <c r="E679" s="1" t="s">
        <v>695</v>
      </c>
      <c r="F679">
        <v>16125000000</v>
      </c>
      <c r="G679">
        <v>97522000000</v>
      </c>
      <c r="H679">
        <v>272380000000</v>
      </c>
      <c r="I679">
        <v>107000000</v>
      </c>
      <c r="J679">
        <v>410568000000</v>
      </c>
      <c r="K679">
        <v>22793000000</v>
      </c>
      <c r="L679">
        <v>55842000000</v>
      </c>
      <c r="M679">
        <v>-34927000000</v>
      </c>
      <c r="N679">
        <v>331933000000</v>
      </c>
      <c r="O679">
        <v>117652000000</v>
      </c>
      <c r="P679">
        <v>11094000000</v>
      </c>
      <c r="Q679">
        <v>11448000000</v>
      </c>
      <c r="R679">
        <v>9067000000</v>
      </c>
      <c r="S679">
        <v>12079000000</v>
      </c>
      <c r="T679">
        <v>23173000000</v>
      </c>
      <c r="U679">
        <v>-12722000000</v>
      </c>
      <c r="V679">
        <f t="shared" si="32"/>
        <v>92952000000</v>
      </c>
      <c r="W679">
        <f t="shared" si="33"/>
        <v>416915000000</v>
      </c>
    </row>
    <row r="680" spans="1:23" x14ac:dyDescent="0.2">
      <c r="A680">
        <f>IF(D680="USD",VLOOKUP(VALUE(RIGHT(E680,4)),'USD RUB'!$E:$F,2,FALSE),1)</f>
        <v>1</v>
      </c>
      <c r="B680" s="4">
        <v>1</v>
      </c>
      <c r="C680">
        <v>1000000</v>
      </c>
      <c r="D680" t="s">
        <v>20</v>
      </c>
      <c r="E680" s="1" t="s">
        <v>696</v>
      </c>
      <c r="F680">
        <v>5908000000</v>
      </c>
      <c r="G680">
        <v>100799000000</v>
      </c>
      <c r="H680">
        <v>275314000000</v>
      </c>
      <c r="I680">
        <v>999000000</v>
      </c>
      <c r="J680">
        <v>414049000000</v>
      </c>
      <c r="K680">
        <v>17965000000</v>
      </c>
      <c r="L680">
        <v>56671000000</v>
      </c>
      <c r="M680">
        <v>-27560000000</v>
      </c>
      <c r="N680">
        <v>339413000000</v>
      </c>
      <c r="O680">
        <v>78032000000</v>
      </c>
      <c r="P680">
        <v>11498000000</v>
      </c>
      <c r="Q680">
        <v>11814000000</v>
      </c>
      <c r="R680">
        <v>9440000000</v>
      </c>
      <c r="S680">
        <v>6134000000</v>
      </c>
      <c r="T680">
        <v>17632000000</v>
      </c>
      <c r="U680">
        <v>-8840000000</v>
      </c>
      <c r="V680">
        <f t="shared" si="32"/>
        <v>59799000000</v>
      </c>
      <c r="W680">
        <f t="shared" si="33"/>
        <v>417646000000</v>
      </c>
    </row>
    <row r="681" spans="1:23" x14ac:dyDescent="0.2">
      <c r="A681">
        <f>IF(D681="USD",VLOOKUP(VALUE(RIGHT(E681,4)),'USD RUB'!$E:$F,2,FALSE),1)</f>
        <v>1</v>
      </c>
      <c r="B681" s="4">
        <v>1</v>
      </c>
      <c r="C681">
        <v>1000000</v>
      </c>
      <c r="D681" t="s">
        <v>20</v>
      </c>
      <c r="E681" s="1" t="s">
        <v>697</v>
      </c>
      <c r="F681">
        <v>7679000000</v>
      </c>
      <c r="G681">
        <v>92993000000</v>
      </c>
      <c r="H681">
        <v>275107000000</v>
      </c>
      <c r="I681">
        <v>872000000</v>
      </c>
      <c r="J681">
        <v>406991000000</v>
      </c>
      <c r="K681">
        <v>20488000000</v>
      </c>
      <c r="L681">
        <v>56712000000</v>
      </c>
      <c r="M681">
        <v>-37284000000</v>
      </c>
      <c r="N681">
        <v>329791000000</v>
      </c>
      <c r="O681">
        <v>180908000000</v>
      </c>
      <c r="P681">
        <v>7598000000</v>
      </c>
      <c r="Q681">
        <v>10170000000</v>
      </c>
      <c r="R681">
        <v>8045000000</v>
      </c>
      <c r="S681">
        <v>22874000000</v>
      </c>
      <c r="T681">
        <v>32125000000</v>
      </c>
      <c r="U681">
        <v>-15883000000</v>
      </c>
      <c r="V681">
        <f t="shared" si="32"/>
        <v>189777000000</v>
      </c>
      <c r="W681">
        <f t="shared" si="33"/>
        <v>412681000000</v>
      </c>
    </row>
    <row r="682" spans="1:23" x14ac:dyDescent="0.2">
      <c r="A682">
        <f>IF(D682="USD",VLOOKUP(VALUE(RIGHT(E682,4)),'USD RUB'!$E:$F,2,FALSE),1)</f>
        <v>1</v>
      </c>
      <c r="B682" s="4">
        <v>1</v>
      </c>
      <c r="C682">
        <v>1000000</v>
      </c>
      <c r="D682" t="s">
        <v>20</v>
      </c>
      <c r="E682" s="1" t="s">
        <v>698</v>
      </c>
      <c r="F682">
        <v>16626000000</v>
      </c>
      <c r="G682">
        <v>92892000000</v>
      </c>
      <c r="H682">
        <v>275997000000</v>
      </c>
      <c r="I682">
        <v>798000000</v>
      </c>
      <c r="J682">
        <v>407337000000</v>
      </c>
      <c r="K682">
        <v>14197000000</v>
      </c>
      <c r="L682">
        <v>65458000000</v>
      </c>
      <c r="M682">
        <v>-40227000000</v>
      </c>
      <c r="N682">
        <v>327682000000</v>
      </c>
      <c r="O682">
        <v>122108000000</v>
      </c>
      <c r="P682">
        <v>4061000000</v>
      </c>
      <c r="Q682">
        <v>6031000000</v>
      </c>
      <c r="R682">
        <v>5344000000</v>
      </c>
      <c r="S682">
        <v>17203000000</v>
      </c>
      <c r="T682">
        <v>21264000000</v>
      </c>
      <c r="U682">
        <v>-9226000000</v>
      </c>
      <c r="V682">
        <f t="shared" si="32"/>
        <v>133378000000</v>
      </c>
      <c r="W682">
        <f t="shared" si="33"/>
        <v>335488000000</v>
      </c>
    </row>
    <row r="683" spans="1:23" x14ac:dyDescent="0.2">
      <c r="A683">
        <f>IF(D683="USD",VLOOKUP(VALUE(RIGHT(E683,4)),'USD RUB'!$E:$F,2,FALSE),1)</f>
        <v>1</v>
      </c>
      <c r="B683" s="4">
        <v>1</v>
      </c>
      <c r="C683">
        <v>1000000</v>
      </c>
      <c r="D683" t="s">
        <v>20</v>
      </c>
      <c r="E683" s="1" t="s">
        <v>699</v>
      </c>
      <c r="F683">
        <v>14767000000</v>
      </c>
      <c r="G683">
        <v>100444000000</v>
      </c>
      <c r="H683">
        <v>278287000000</v>
      </c>
      <c r="I683">
        <v>808000000</v>
      </c>
      <c r="J683">
        <v>416915000000</v>
      </c>
      <c r="K683">
        <v>22046000000</v>
      </c>
      <c r="L683">
        <v>65841000000</v>
      </c>
      <c r="M683">
        <v>-38879000000</v>
      </c>
      <c r="N683">
        <v>329028000000</v>
      </c>
      <c r="O683">
        <v>92952000000</v>
      </c>
      <c r="P683">
        <v>6779000000</v>
      </c>
      <c r="Q683">
        <v>7872000000</v>
      </c>
      <c r="R683">
        <v>6592000000</v>
      </c>
      <c r="S683">
        <v>11376000000</v>
      </c>
      <c r="T683">
        <v>19530000000</v>
      </c>
      <c r="U683">
        <v>-7206000000</v>
      </c>
      <c r="V683">
        <f t="shared" si="32"/>
        <v>103855000000</v>
      </c>
      <c r="W683">
        <f t="shared" si="33"/>
        <v>344251000000</v>
      </c>
    </row>
    <row r="684" spans="1:23" x14ac:dyDescent="0.2">
      <c r="A684">
        <f>IF(D684="USD",VLOOKUP(VALUE(RIGHT(E684,4)),'USD RUB'!$E:$F,2,FALSE),1)</f>
        <v>1</v>
      </c>
      <c r="B684" s="4">
        <v>1</v>
      </c>
      <c r="C684">
        <v>1000000</v>
      </c>
      <c r="D684" t="s">
        <v>20</v>
      </c>
      <c r="E684" s="1" t="s">
        <v>700</v>
      </c>
      <c r="F684">
        <v>11039000000</v>
      </c>
      <c r="G684">
        <v>98048000000</v>
      </c>
      <c r="H684">
        <v>280143000000</v>
      </c>
      <c r="I684">
        <v>621000000</v>
      </c>
      <c r="J684">
        <v>417646000000</v>
      </c>
      <c r="K684">
        <v>16999000000</v>
      </c>
      <c r="L684">
        <v>68423000000</v>
      </c>
      <c r="M684">
        <v>-35688000000</v>
      </c>
      <c r="N684">
        <v>332224000000</v>
      </c>
      <c r="O684">
        <v>59799000000</v>
      </c>
      <c r="P684">
        <v>7308000000</v>
      </c>
      <c r="Q684">
        <v>7034000000</v>
      </c>
      <c r="R684">
        <v>5696000000</v>
      </c>
      <c r="S684">
        <v>5653000000</v>
      </c>
      <c r="T684">
        <v>12961000000</v>
      </c>
      <c r="U684">
        <v>-3758000000</v>
      </c>
      <c r="V684">
        <f t="shared" si="32"/>
        <v>67092000000</v>
      </c>
      <c r="W684">
        <f t="shared" si="33"/>
        <v>344649000000</v>
      </c>
    </row>
    <row r="685" spans="1:23" x14ac:dyDescent="0.2">
      <c r="A685">
        <f>IF(D685="USD",VLOOKUP(VALUE(RIGHT(E685,4)),'USD RUB'!$E:$F,2,FALSE),1)</f>
        <v>1</v>
      </c>
      <c r="B685" s="4">
        <v>1</v>
      </c>
      <c r="C685">
        <v>1000000</v>
      </c>
      <c r="D685" t="s">
        <v>20</v>
      </c>
      <c r="E685" s="1" t="s">
        <v>701</v>
      </c>
      <c r="F685">
        <v>11658000000</v>
      </c>
      <c r="G685">
        <v>91743000000</v>
      </c>
      <c r="H685">
        <v>270759000000</v>
      </c>
      <c r="I685">
        <v>580000000</v>
      </c>
      <c r="J685">
        <v>412681000000</v>
      </c>
      <c r="K685">
        <v>16994000000</v>
      </c>
      <c r="L685">
        <v>69237000000</v>
      </c>
      <c r="M685">
        <v>-41545000000</v>
      </c>
      <c r="N685">
        <v>326450000000</v>
      </c>
      <c r="O685">
        <v>189777000000</v>
      </c>
      <c r="P685">
        <v>6613000000</v>
      </c>
      <c r="Q685">
        <v>10611000000</v>
      </c>
      <c r="R685">
        <v>9599000000</v>
      </c>
      <c r="S685">
        <v>15359000000</v>
      </c>
      <c r="T685">
        <v>21972000000</v>
      </c>
      <c r="U685">
        <v>-15890000000</v>
      </c>
      <c r="V685">
        <f t="shared" si="32"/>
        <v>198870000000</v>
      </c>
      <c r="W685">
        <f t="shared" si="33"/>
        <v>328159000000</v>
      </c>
    </row>
    <row r="686" spans="1:23" x14ac:dyDescent="0.2">
      <c r="A686">
        <f>IF(D686="USD",VLOOKUP(VALUE(RIGHT(E686,4)),'USD RUB'!$E:$F,2,FALSE),1)</f>
        <v>1</v>
      </c>
      <c r="B686" s="4">
        <v>1</v>
      </c>
      <c r="C686">
        <v>1000000</v>
      </c>
      <c r="D686" t="s">
        <v>20</v>
      </c>
      <c r="E686" s="1" t="s">
        <v>702</v>
      </c>
      <c r="F686">
        <v>25690000000</v>
      </c>
      <c r="G686">
        <v>88020000000</v>
      </c>
      <c r="H686">
        <v>213781000000</v>
      </c>
      <c r="I686">
        <v>680000000</v>
      </c>
      <c r="J686">
        <v>335488000000</v>
      </c>
      <c r="K686">
        <v>17838000000</v>
      </c>
      <c r="L686">
        <v>37242000000</v>
      </c>
      <c r="M686">
        <v>-38606000000</v>
      </c>
      <c r="N686">
        <v>280408000000</v>
      </c>
      <c r="O686">
        <v>133378000000</v>
      </c>
      <c r="P686">
        <v>-12674000000</v>
      </c>
      <c r="Q686">
        <v>15799000000</v>
      </c>
      <c r="R686">
        <v>12624000000</v>
      </c>
      <c r="S686">
        <v>11607000000</v>
      </c>
      <c r="T686">
        <v>24281000000</v>
      </c>
      <c r="U686">
        <v>-9869000000</v>
      </c>
      <c r="V686">
        <f t="shared" si="32"/>
        <v>135988000000</v>
      </c>
      <c r="W686">
        <f t="shared" si="33"/>
        <v>325979000000</v>
      </c>
    </row>
    <row r="687" spans="1:23" x14ac:dyDescent="0.2">
      <c r="A687">
        <f>IF(D687="USD",VLOOKUP(VALUE(RIGHT(E687,4)),'USD RUB'!$E:$F,2,FALSE),1)</f>
        <v>1</v>
      </c>
      <c r="B687" s="4">
        <v>1</v>
      </c>
      <c r="C687">
        <v>1000000</v>
      </c>
      <c r="D687" t="s">
        <v>20</v>
      </c>
      <c r="E687" s="1" t="s">
        <v>703</v>
      </c>
      <c r="F687">
        <v>32579000000</v>
      </c>
      <c r="G687">
        <v>98389000000</v>
      </c>
      <c r="H687">
        <v>213403000000</v>
      </c>
      <c r="I687">
        <v>676000000</v>
      </c>
      <c r="J687">
        <v>344251000000</v>
      </c>
      <c r="K687">
        <v>24519000000</v>
      </c>
      <c r="L687">
        <v>38293000000</v>
      </c>
      <c r="M687">
        <v>-37291000000</v>
      </c>
      <c r="N687">
        <v>281439000000</v>
      </c>
      <c r="O687">
        <v>103855000000</v>
      </c>
      <c r="P687">
        <v>14039000000</v>
      </c>
      <c r="Q687">
        <v>16008000000</v>
      </c>
      <c r="R687">
        <v>12730000000</v>
      </c>
      <c r="S687">
        <v>7719000000</v>
      </c>
      <c r="T687">
        <v>22094000000</v>
      </c>
      <c r="U687">
        <v>-5285000000</v>
      </c>
      <c r="V687">
        <f t="shared" si="32"/>
        <v>35471000000</v>
      </c>
      <c r="W687">
        <f t="shared" si="33"/>
        <v>327639000000</v>
      </c>
    </row>
    <row r="688" spans="1:23" x14ac:dyDescent="0.2">
      <c r="A688">
        <f>IF(D688="USD",VLOOKUP(VALUE(RIGHT(E688,4)),'USD RUB'!$E:$F,2,FALSE),1)</f>
        <v>1</v>
      </c>
      <c r="B688" s="4">
        <v>1</v>
      </c>
      <c r="C688">
        <v>1000000</v>
      </c>
      <c r="D688" t="s">
        <v>20</v>
      </c>
      <c r="E688" s="1" t="s">
        <v>704</v>
      </c>
      <c r="F688">
        <v>20154000000</v>
      </c>
      <c r="G688">
        <v>97993000000</v>
      </c>
      <c r="H688">
        <v>213721000000</v>
      </c>
      <c r="I688">
        <v>693000000</v>
      </c>
      <c r="J688">
        <v>344649000000</v>
      </c>
      <c r="K688">
        <v>19202000000</v>
      </c>
      <c r="L688">
        <v>37756000000</v>
      </c>
      <c r="M688">
        <v>-31046000000</v>
      </c>
      <c r="N688">
        <v>287691000000</v>
      </c>
      <c r="O688">
        <v>67092000000</v>
      </c>
      <c r="P688">
        <v>12485000000</v>
      </c>
      <c r="Q688">
        <v>13443000000</v>
      </c>
      <c r="R688">
        <v>10662000000</v>
      </c>
      <c r="S688">
        <v>3816000000</v>
      </c>
      <c r="T688">
        <v>16301000000</v>
      </c>
      <c r="U688">
        <v>-2977000000</v>
      </c>
      <c r="V688">
        <f t="shared" si="32"/>
        <v>72197000000</v>
      </c>
      <c r="W688">
        <f t="shared" si="33"/>
        <v>342637000000</v>
      </c>
    </row>
    <row r="689" spans="1:23" x14ac:dyDescent="0.2">
      <c r="A689">
        <f>IF(D689="USD",VLOOKUP(VALUE(RIGHT(E689,4)),'USD RUB'!$E:$F,2,FALSE),1)</f>
        <v>1</v>
      </c>
      <c r="B689" s="4">
        <v>1</v>
      </c>
      <c r="C689">
        <v>1000000</v>
      </c>
      <c r="D689" t="s">
        <v>20</v>
      </c>
      <c r="E689" s="1" t="s">
        <v>705</v>
      </c>
      <c r="F689">
        <v>16220000000</v>
      </c>
      <c r="G689">
        <v>83913000000</v>
      </c>
      <c r="H689">
        <v>209691000000</v>
      </c>
      <c r="I689">
        <v>696000000</v>
      </c>
      <c r="J689">
        <v>328159000000</v>
      </c>
      <c r="K689">
        <v>17711000000</v>
      </c>
      <c r="L689">
        <v>33421000000</v>
      </c>
      <c r="M689">
        <v>-41715000000</v>
      </c>
      <c r="N689">
        <v>277027000000</v>
      </c>
      <c r="O689">
        <v>198870000000</v>
      </c>
      <c r="P689">
        <v>25908000000</v>
      </c>
      <c r="Q689">
        <v>27262000000</v>
      </c>
      <c r="R689">
        <v>21405000000</v>
      </c>
      <c r="S689">
        <v>15177000000</v>
      </c>
      <c r="T689">
        <v>43782000000</v>
      </c>
      <c r="U689">
        <v>-16675000000</v>
      </c>
      <c r="V689">
        <f t="shared" si="32"/>
        <v>196056000000</v>
      </c>
      <c r="W689">
        <f t="shared" si="33"/>
        <v>334847000000</v>
      </c>
    </row>
    <row r="690" spans="1:23" x14ac:dyDescent="0.2">
      <c r="A690">
        <f>IF(D690="USD",VLOOKUP(VALUE(RIGHT(E690,4)),'USD RUB'!$E:$F,2,FALSE),1)</f>
        <v>1</v>
      </c>
      <c r="B690" s="4">
        <v>1</v>
      </c>
      <c r="C690">
        <v>1000000</v>
      </c>
      <c r="D690" t="s">
        <v>20</v>
      </c>
      <c r="E690" s="1" t="s">
        <v>706</v>
      </c>
      <c r="F690">
        <v>33450000000</v>
      </c>
      <c r="G690">
        <v>79815000000</v>
      </c>
      <c r="H690">
        <v>210284000000</v>
      </c>
      <c r="I690">
        <v>523000000</v>
      </c>
      <c r="J690">
        <v>325979000000</v>
      </c>
      <c r="K690">
        <v>15672000000</v>
      </c>
      <c r="L690">
        <v>38512000000</v>
      </c>
      <c r="M690">
        <v>-49047000000</v>
      </c>
      <c r="N690">
        <v>271795000000</v>
      </c>
      <c r="O690">
        <v>135988000000</v>
      </c>
      <c r="P690">
        <v>17019000000</v>
      </c>
      <c r="Q690">
        <v>17728000000</v>
      </c>
      <c r="R690">
        <v>14045000000</v>
      </c>
      <c r="S690">
        <v>11142000000</v>
      </c>
      <c r="T690">
        <v>29451000000</v>
      </c>
      <c r="U690">
        <v>-8740000000</v>
      </c>
      <c r="V690">
        <f t="shared" si="32"/>
        <v>31164000000</v>
      </c>
      <c r="W690">
        <f t="shared" si="33"/>
        <v>328450000000</v>
      </c>
    </row>
    <row r="691" spans="1:23" x14ac:dyDescent="0.2">
      <c r="A691">
        <f>IF(D691="USD",VLOOKUP(VALUE(RIGHT(E691,4)),'USD RUB'!$E:$F,2,FALSE),1)</f>
        <v>1</v>
      </c>
      <c r="B691" s="4">
        <v>1</v>
      </c>
      <c r="C691">
        <v>1000000</v>
      </c>
      <c r="D691" t="s">
        <v>20</v>
      </c>
      <c r="E691" s="1" t="s">
        <v>707</v>
      </c>
      <c r="F691">
        <v>25851000000</v>
      </c>
      <c r="G691">
        <v>79537000000</v>
      </c>
      <c r="H691">
        <v>212184000000</v>
      </c>
      <c r="I691">
        <v>569000000</v>
      </c>
      <c r="J691">
        <v>327639000000</v>
      </c>
      <c r="K691">
        <v>15961000000</v>
      </c>
      <c r="L691">
        <v>38696000000</v>
      </c>
      <c r="M691">
        <v>-47939000000</v>
      </c>
      <c r="N691">
        <v>272982000000</v>
      </c>
      <c r="O691">
        <v>35471000000</v>
      </c>
      <c r="P691">
        <v>3008000000</v>
      </c>
      <c r="Q691">
        <v>3208000000</v>
      </c>
      <c r="R691">
        <v>2490000000</v>
      </c>
      <c r="S691">
        <v>7443000000</v>
      </c>
      <c r="T691">
        <v>25304000000</v>
      </c>
      <c r="U691">
        <v>-5431000000</v>
      </c>
      <c r="V691">
        <f t="shared" si="32"/>
        <v>38125000000</v>
      </c>
      <c r="W691">
        <f t="shared" si="33"/>
        <v>325989000000</v>
      </c>
    </row>
    <row r="692" spans="1:23" x14ac:dyDescent="0.2">
      <c r="A692">
        <f>IF(D692="USD",VLOOKUP(VALUE(RIGHT(E692,4)),'USD RUB'!$E:$F,2,FALSE),1)</f>
        <v>1</v>
      </c>
      <c r="B692" s="4">
        <v>1</v>
      </c>
      <c r="C692">
        <v>1000000</v>
      </c>
      <c r="D692" t="s">
        <v>20</v>
      </c>
      <c r="E692" s="1" t="s">
        <v>708</v>
      </c>
      <c r="F692">
        <v>26836000000</v>
      </c>
      <c r="G692">
        <v>90907000000</v>
      </c>
      <c r="H692">
        <v>213457000000</v>
      </c>
      <c r="I692">
        <v>489000000</v>
      </c>
      <c r="J692">
        <v>342637000000</v>
      </c>
      <c r="K692">
        <v>23974000000</v>
      </c>
      <c r="L692">
        <v>39569000000</v>
      </c>
      <c r="M692">
        <v>-42024000000</v>
      </c>
      <c r="N692">
        <v>279094000000</v>
      </c>
      <c r="O692">
        <v>72197000000</v>
      </c>
      <c r="P692">
        <v>15545000000</v>
      </c>
      <c r="Q692">
        <v>15945000000</v>
      </c>
      <c r="R692">
        <v>12742000000</v>
      </c>
      <c r="S692">
        <v>3641000000</v>
      </c>
      <c r="T692">
        <v>19186000000</v>
      </c>
      <c r="U692">
        <v>-2295000000</v>
      </c>
      <c r="V692">
        <f t="shared" si="32"/>
        <v>66056000000</v>
      </c>
      <c r="W692">
        <f t="shared" si="33"/>
        <v>347079000000</v>
      </c>
    </row>
    <row r="693" spans="1:23" x14ac:dyDescent="0.2">
      <c r="A693">
        <f>IF(D693="USD",VLOOKUP(VALUE(RIGHT(E693,4)),'USD RUB'!$E:$F,2,FALSE),1)</f>
        <v>1</v>
      </c>
      <c r="B693" s="4">
        <v>1</v>
      </c>
      <c r="C693">
        <v>1000000</v>
      </c>
      <c r="D693" t="s">
        <v>20</v>
      </c>
      <c r="E693" s="1" t="s">
        <v>709</v>
      </c>
      <c r="F693">
        <v>20627000000</v>
      </c>
      <c r="G693">
        <v>87254000000</v>
      </c>
      <c r="H693">
        <v>215994000000</v>
      </c>
      <c r="I693">
        <v>493000000</v>
      </c>
      <c r="J693">
        <v>334847000000</v>
      </c>
      <c r="K693">
        <v>29152000000</v>
      </c>
      <c r="L693">
        <v>39343000000</v>
      </c>
      <c r="M693">
        <v>-55320000000</v>
      </c>
      <c r="N693">
        <v>266352000000</v>
      </c>
      <c r="O693">
        <v>196056000000</v>
      </c>
      <c r="P693">
        <v>29210000000</v>
      </c>
      <c r="Q693">
        <v>30112000000</v>
      </c>
      <c r="R693">
        <v>24802000000</v>
      </c>
      <c r="S693">
        <v>15117000000</v>
      </c>
      <c r="T693">
        <v>44093000000</v>
      </c>
      <c r="U693">
        <v>-15239000000</v>
      </c>
      <c r="V693">
        <f t="shared" si="32"/>
        <v>190656000000</v>
      </c>
      <c r="W693">
        <f t="shared" si="33"/>
        <v>341274000000</v>
      </c>
    </row>
    <row r="694" spans="1:23" x14ac:dyDescent="0.2">
      <c r="A694">
        <f>IF(D694="USD",VLOOKUP(VALUE(RIGHT(E694,4)),'USD RUB'!$E:$F,2,FALSE),1)</f>
        <v>1</v>
      </c>
      <c r="B694" s="4">
        <v>1</v>
      </c>
      <c r="C694">
        <v>1000000</v>
      </c>
      <c r="D694" t="s">
        <v>20</v>
      </c>
      <c r="E694" s="1" t="s">
        <v>710</v>
      </c>
      <c r="F694">
        <v>27499000000</v>
      </c>
      <c r="G694">
        <v>78933000000</v>
      </c>
      <c r="H694">
        <v>217404000000</v>
      </c>
      <c r="I694">
        <v>378000000</v>
      </c>
      <c r="J694">
        <v>328450000000</v>
      </c>
      <c r="K694">
        <v>18316000000</v>
      </c>
      <c r="L694">
        <v>51755000000</v>
      </c>
      <c r="M694">
        <v>-63261000000</v>
      </c>
      <c r="N694">
        <v>258379000000</v>
      </c>
      <c r="O694">
        <v>31164000000</v>
      </c>
      <c r="P694">
        <v>1565000000</v>
      </c>
      <c r="Q694">
        <v>1828000000</v>
      </c>
      <c r="R694">
        <v>2294000000</v>
      </c>
      <c r="S694">
        <v>11238000000</v>
      </c>
      <c r="T694">
        <v>5412000000</v>
      </c>
      <c r="U694">
        <v>-6014000000</v>
      </c>
      <c r="V694">
        <f t="shared" si="32"/>
        <v>31874000000</v>
      </c>
      <c r="W694">
        <f t="shared" si="33"/>
        <v>331724000000</v>
      </c>
    </row>
    <row r="695" spans="1:23" x14ac:dyDescent="0.2">
      <c r="A695">
        <f>IF(D695="USD",VLOOKUP(VALUE(RIGHT(E695,4)),'USD RUB'!$E:$F,2,FALSE),1)</f>
        <v>1</v>
      </c>
      <c r="B695" s="4">
        <v>1</v>
      </c>
      <c r="C695">
        <v>1000000</v>
      </c>
      <c r="D695" t="s">
        <v>20</v>
      </c>
      <c r="E695" s="1" t="s">
        <v>711</v>
      </c>
      <c r="F695">
        <v>18999000000</v>
      </c>
      <c r="G695">
        <v>73787000000</v>
      </c>
      <c r="H695">
        <v>219599000000</v>
      </c>
      <c r="I695">
        <v>404000000</v>
      </c>
      <c r="J695">
        <v>325989000000</v>
      </c>
      <c r="K695">
        <v>17245000000</v>
      </c>
      <c r="L695">
        <v>52330000000</v>
      </c>
      <c r="M695">
        <v>-65185000000</v>
      </c>
      <c r="N695">
        <v>256414000000</v>
      </c>
      <c r="O695">
        <v>38125000000</v>
      </c>
      <c r="P695">
        <v>4625000000</v>
      </c>
      <c r="Q695">
        <v>3894000000</v>
      </c>
      <c r="R695">
        <v>3166000000</v>
      </c>
      <c r="S695">
        <v>7389000000</v>
      </c>
      <c r="T695">
        <v>8482000000</v>
      </c>
      <c r="U695">
        <v>-4153000000</v>
      </c>
      <c r="V695">
        <f t="shared" si="32"/>
        <v>33190000000</v>
      </c>
      <c r="W695">
        <f t="shared" si="33"/>
        <v>337067000000</v>
      </c>
    </row>
    <row r="696" spans="1:23" x14ac:dyDescent="0.2">
      <c r="A696">
        <f>IF(D696="USD",VLOOKUP(VALUE(RIGHT(E696,4)),'USD RUB'!$E:$F,2,FALSE),1)</f>
        <v>1</v>
      </c>
      <c r="B696" s="4">
        <v>1</v>
      </c>
      <c r="C696">
        <v>1000000</v>
      </c>
      <c r="D696" t="s">
        <v>20</v>
      </c>
      <c r="E696" s="1" t="s">
        <v>712</v>
      </c>
      <c r="F696">
        <v>14469000000</v>
      </c>
      <c r="G696">
        <v>94228000000</v>
      </c>
      <c r="H696">
        <v>222224000000</v>
      </c>
      <c r="I696">
        <v>429000000</v>
      </c>
      <c r="J696">
        <v>347079000000</v>
      </c>
      <c r="K696">
        <v>39150000000</v>
      </c>
      <c r="L696">
        <v>51134000000</v>
      </c>
      <c r="M696">
        <v>-64821000000</v>
      </c>
      <c r="N696">
        <v>256795000000</v>
      </c>
      <c r="O696">
        <v>66056000000</v>
      </c>
      <c r="P696">
        <v>13290000000</v>
      </c>
      <c r="Q696">
        <v>14201000000</v>
      </c>
      <c r="R696">
        <v>11362000000</v>
      </c>
      <c r="S696">
        <v>3532000000</v>
      </c>
      <c r="T696">
        <v>16822000000</v>
      </c>
      <c r="U696">
        <v>-3036000000</v>
      </c>
      <c r="V696">
        <f t="shared" si="32"/>
        <v>62606000000</v>
      </c>
      <c r="W696">
        <f t="shared" si="33"/>
        <v>337299000000</v>
      </c>
    </row>
    <row r="697" spans="1:23" x14ac:dyDescent="0.2">
      <c r="A697">
        <f>IF(D697="USD",VLOOKUP(VALUE(RIGHT(E697,4)),'USD RUB'!$E:$F,2,FALSE),1)</f>
        <v>1</v>
      </c>
      <c r="B697" s="4">
        <v>1</v>
      </c>
      <c r="C697">
        <v>1000000</v>
      </c>
      <c r="D697" t="s">
        <v>20</v>
      </c>
      <c r="E697" s="1" t="s">
        <v>713</v>
      </c>
      <c r="F697">
        <v>10097000000</v>
      </c>
      <c r="G697">
        <v>83818000000</v>
      </c>
      <c r="H697">
        <v>222659000000</v>
      </c>
      <c r="J697">
        <v>341274000000</v>
      </c>
      <c r="K697">
        <v>45360000000</v>
      </c>
      <c r="L697">
        <v>50481000000</v>
      </c>
      <c r="M697">
        <v>-76475000000</v>
      </c>
      <c r="N697">
        <v>245433000000</v>
      </c>
      <c r="O697">
        <v>190656000000</v>
      </c>
      <c r="P697">
        <v>15636000000</v>
      </c>
      <c r="Q697">
        <v>20449000000</v>
      </c>
      <c r="R697">
        <v>13438000000</v>
      </c>
      <c r="T697">
        <v>10635000000</v>
      </c>
      <c r="U697">
        <v>-8192000000</v>
      </c>
      <c r="V697">
        <f t="shared" si="32"/>
        <v>171163000000</v>
      </c>
      <c r="W697">
        <f t="shared" si="33"/>
        <v>330407000000</v>
      </c>
    </row>
    <row r="698" spans="1:23" x14ac:dyDescent="0.2">
      <c r="A698">
        <f>IF(D698="USD",VLOOKUP(VALUE(RIGHT(E698,4)),'USD RUB'!$E:$F,2,FALSE),1)</f>
        <v>1</v>
      </c>
      <c r="B698" s="4">
        <v>1</v>
      </c>
      <c r="C698">
        <v>1000000</v>
      </c>
      <c r="D698" t="s">
        <v>20</v>
      </c>
      <c r="E698" s="1" t="s">
        <v>714</v>
      </c>
      <c r="F698">
        <v>16170000000</v>
      </c>
      <c r="G698">
        <v>70898000000</v>
      </c>
      <c r="H698">
        <v>224225000000</v>
      </c>
      <c r="J698">
        <v>331724000000</v>
      </c>
      <c r="K698">
        <v>36638000000</v>
      </c>
      <c r="L698">
        <v>56187000000</v>
      </c>
      <c r="M698">
        <v>-92155000000</v>
      </c>
      <c r="N698">
        <v>238899000000</v>
      </c>
      <c r="O698">
        <v>31874000000</v>
      </c>
      <c r="P698">
        <v>-1870000000</v>
      </c>
      <c r="Q698">
        <v>-1908000000</v>
      </c>
      <c r="R698">
        <v>-2692000000</v>
      </c>
      <c r="T698">
        <v>1875000000</v>
      </c>
      <c r="U698">
        <v>-4332000000</v>
      </c>
      <c r="V698">
        <f t="shared" si="32"/>
        <v>114314000000</v>
      </c>
      <c r="W698">
        <f t="shared" si="33"/>
        <v>344740000000</v>
      </c>
    </row>
    <row r="699" spans="1:23" x14ac:dyDescent="0.2">
      <c r="A699">
        <f>IF(D699="USD",VLOOKUP(VALUE(RIGHT(E699,4)),'USD RUB'!$E:$F,2,FALSE),1)</f>
        <v>1</v>
      </c>
      <c r="B699" s="4">
        <v>1</v>
      </c>
      <c r="C699">
        <v>1000000</v>
      </c>
      <c r="D699" t="s">
        <v>20</v>
      </c>
      <c r="E699" s="1" t="s">
        <v>715</v>
      </c>
      <c r="F699">
        <v>19476000000</v>
      </c>
      <c r="G699">
        <v>73184000000</v>
      </c>
      <c r="H699">
        <v>226108000000</v>
      </c>
      <c r="J699">
        <v>337067000000</v>
      </c>
      <c r="K699">
        <v>38468000000</v>
      </c>
      <c r="L699">
        <v>58909000000</v>
      </c>
      <c r="M699">
        <v>-91380000000</v>
      </c>
      <c r="N699">
        <v>239690000000</v>
      </c>
      <c r="O699">
        <v>33190000000</v>
      </c>
      <c r="P699">
        <v>965000000</v>
      </c>
      <c r="Q699">
        <v>2268000000</v>
      </c>
      <c r="R699">
        <v>1813000000</v>
      </c>
      <c r="T699">
        <v>4695000000</v>
      </c>
      <c r="U699">
        <v>-4423000000</v>
      </c>
      <c r="V699">
        <f t="shared" si="32"/>
        <v>88326000000</v>
      </c>
      <c r="W699">
        <f t="shared" si="33"/>
        <v>349534000000</v>
      </c>
    </row>
    <row r="700" spans="1:23" x14ac:dyDescent="0.2">
      <c r="A700">
        <f>IF(D700="USD",VLOOKUP(VALUE(RIGHT(E700,4)),'USD RUB'!$E:$F,2,FALSE),1)</f>
        <v>1</v>
      </c>
      <c r="B700" s="4">
        <v>1</v>
      </c>
      <c r="C700">
        <v>1000000</v>
      </c>
      <c r="D700" t="s">
        <v>20</v>
      </c>
      <c r="E700" s="1" t="s">
        <v>716</v>
      </c>
      <c r="F700">
        <v>13346000000</v>
      </c>
      <c r="G700">
        <v>75300000000</v>
      </c>
      <c r="H700">
        <v>227049000000</v>
      </c>
      <c r="J700">
        <v>337299000000</v>
      </c>
      <c r="K700">
        <v>17008000000</v>
      </c>
      <c r="L700">
        <v>80185000000</v>
      </c>
      <c r="N700">
        <v>240106000000</v>
      </c>
      <c r="O700">
        <v>62606000000</v>
      </c>
      <c r="P700">
        <v>9815000000</v>
      </c>
      <c r="Q700">
        <v>10278000000</v>
      </c>
      <c r="R700">
        <v>8208000000</v>
      </c>
      <c r="T700">
        <v>13498000000</v>
      </c>
      <c r="V700">
        <f t="shared" si="32"/>
        <v>55641000000</v>
      </c>
      <c r="W700">
        <f t="shared" si="33"/>
        <v>347875000000</v>
      </c>
    </row>
    <row r="701" spans="1:23" x14ac:dyDescent="0.2">
      <c r="A701">
        <f>IF(D701="USD",VLOOKUP(VALUE(RIGHT(E701,4)),'USD RUB'!$E:$F,2,FALSE),1)</f>
        <v>1</v>
      </c>
      <c r="B701" s="4">
        <v>1</v>
      </c>
      <c r="C701">
        <v>1000000</v>
      </c>
      <c r="D701" t="s">
        <v>20</v>
      </c>
      <c r="E701" s="1" t="s">
        <v>717</v>
      </c>
      <c r="F701">
        <v>5666000000</v>
      </c>
      <c r="G701">
        <v>65654000000</v>
      </c>
      <c r="H701">
        <v>229348000000</v>
      </c>
      <c r="J701">
        <v>330407000000</v>
      </c>
      <c r="K701">
        <v>19724000000</v>
      </c>
      <c r="L701">
        <v>78814000000</v>
      </c>
      <c r="N701">
        <v>231869000000</v>
      </c>
      <c r="O701">
        <v>171163000000</v>
      </c>
      <c r="P701">
        <v>-454000000</v>
      </c>
      <c r="Q701">
        <v>-2397000000</v>
      </c>
      <c r="R701">
        <v>-1778000000</v>
      </c>
      <c r="V701">
        <f t="shared" si="32"/>
        <v>161432000000</v>
      </c>
      <c r="W701">
        <f t="shared" si="33"/>
        <v>348071000000</v>
      </c>
    </row>
    <row r="702" spans="1:23" x14ac:dyDescent="0.2">
      <c r="A702">
        <f>IF(D702="USD",VLOOKUP(VALUE(RIGHT(E702,4)),'USD RUB'!$E:$F,2,FALSE),1)</f>
        <v>1</v>
      </c>
      <c r="B702" s="4">
        <v>1</v>
      </c>
      <c r="C702">
        <v>1000000</v>
      </c>
      <c r="D702" t="s">
        <v>20</v>
      </c>
      <c r="E702" s="1" t="s">
        <v>718</v>
      </c>
      <c r="F702">
        <v>12976000000</v>
      </c>
      <c r="G702">
        <v>60684000000</v>
      </c>
      <c r="H702">
        <v>261320000000</v>
      </c>
      <c r="J702">
        <v>344740000000</v>
      </c>
      <c r="K702">
        <v>15105000000</v>
      </c>
      <c r="L702">
        <v>86342000000</v>
      </c>
      <c r="N702">
        <v>243293000000</v>
      </c>
      <c r="O702">
        <v>114314000000</v>
      </c>
      <c r="P702">
        <v>3776000000</v>
      </c>
      <c r="Q702">
        <v>2828000000</v>
      </c>
      <c r="R702">
        <v>2264000000</v>
      </c>
      <c r="T702">
        <v>18691000000</v>
      </c>
      <c r="V702">
        <f t="shared" si="32"/>
        <v>110168000000</v>
      </c>
      <c r="W702">
        <f t="shared" si="33"/>
        <v>362902000000</v>
      </c>
    </row>
    <row r="703" spans="1:23" x14ac:dyDescent="0.2">
      <c r="A703">
        <f>IF(D703="USD",VLOOKUP(VALUE(RIGHT(E703,4)),'USD RUB'!$E:$F,2,FALSE),1)</f>
        <v>1</v>
      </c>
      <c r="B703" s="4">
        <v>1</v>
      </c>
      <c r="C703">
        <v>1000000</v>
      </c>
      <c r="D703" t="s">
        <v>20</v>
      </c>
      <c r="E703" s="1" t="s">
        <v>719</v>
      </c>
      <c r="F703">
        <v>11682000000</v>
      </c>
      <c r="G703">
        <v>63942000000</v>
      </c>
      <c r="H703">
        <v>263047000000</v>
      </c>
      <c r="J703">
        <v>349534000000</v>
      </c>
      <c r="K703">
        <v>15626000000</v>
      </c>
      <c r="L703">
        <v>85327000000</v>
      </c>
      <c r="N703">
        <v>248581000000</v>
      </c>
      <c r="O703">
        <v>88326000000</v>
      </c>
      <c r="P703">
        <v>8326000000</v>
      </c>
      <c r="Q703">
        <v>10371000000</v>
      </c>
      <c r="R703">
        <v>8227000000</v>
      </c>
      <c r="T703">
        <v>13507000000</v>
      </c>
      <c r="V703">
        <f t="shared" si="32"/>
        <v>84693000000</v>
      </c>
      <c r="W703">
        <f t="shared" si="33"/>
        <v>363263000000</v>
      </c>
    </row>
    <row r="704" spans="1:23" x14ac:dyDescent="0.2">
      <c r="A704">
        <f>IF(D704="USD",VLOOKUP(VALUE(RIGHT(E704,4)),'USD RUB'!$E:$F,2,FALSE),1)</f>
        <v>1</v>
      </c>
      <c r="B704" s="4">
        <v>1</v>
      </c>
      <c r="C704">
        <v>1000000</v>
      </c>
      <c r="D704" t="s">
        <v>20</v>
      </c>
      <c r="E704" s="1" t="s">
        <v>720</v>
      </c>
      <c r="F704">
        <v>6366000000</v>
      </c>
      <c r="G704">
        <v>61890000000</v>
      </c>
      <c r="H704">
        <v>261886000000</v>
      </c>
      <c r="J704">
        <v>347875000000</v>
      </c>
      <c r="K704">
        <v>14722000000</v>
      </c>
      <c r="L704">
        <v>84025000000</v>
      </c>
      <c r="N704">
        <v>249128000000</v>
      </c>
      <c r="O704">
        <v>55641000000</v>
      </c>
      <c r="P704">
        <v>7880000000</v>
      </c>
      <c r="Q704">
        <v>9228000000</v>
      </c>
      <c r="R704">
        <v>7430000000</v>
      </c>
      <c r="T704">
        <v>12334000000</v>
      </c>
      <c r="V704">
        <f t="shared" si="32"/>
        <v>53918000000</v>
      </c>
      <c r="W704">
        <f t="shared" si="33"/>
        <v>347914000000</v>
      </c>
    </row>
    <row r="705" spans="1:23" x14ac:dyDescent="0.2">
      <c r="A705">
        <f>IF(D705="USD",VLOOKUP(VALUE(RIGHT(E705,4)),'USD RUB'!$E:$F,2,FALSE),1)</f>
        <v>1</v>
      </c>
      <c r="B705" s="4">
        <v>1</v>
      </c>
      <c r="C705">
        <v>1000000</v>
      </c>
      <c r="D705" t="s">
        <v>20</v>
      </c>
      <c r="E705" s="1" t="s">
        <v>721</v>
      </c>
      <c r="F705">
        <v>9677000000</v>
      </c>
      <c r="G705">
        <v>61920000000</v>
      </c>
      <c r="H705">
        <v>263287000000</v>
      </c>
      <c r="J705">
        <v>348071000000</v>
      </c>
      <c r="K705">
        <v>22713000000</v>
      </c>
      <c r="L705">
        <v>83663000000</v>
      </c>
      <c r="N705">
        <v>241695000000</v>
      </c>
      <c r="O705">
        <v>161432000000</v>
      </c>
      <c r="P705">
        <v>1571000000</v>
      </c>
      <c r="Q705">
        <v>-3304000000</v>
      </c>
      <c r="R705">
        <v>-2740000000</v>
      </c>
      <c r="T705">
        <v>17040000000</v>
      </c>
      <c r="V705">
        <f t="shared" si="32"/>
        <v>156663000000</v>
      </c>
      <c r="W705">
        <f t="shared" si="33"/>
        <v>338956000000</v>
      </c>
    </row>
    <row r="706" spans="1:23" x14ac:dyDescent="0.2">
      <c r="A706">
        <f>IF(D706="USD",VLOOKUP(VALUE(RIGHT(E706,4)),'USD RUB'!$E:$F,2,FALSE),1)</f>
        <v>1</v>
      </c>
      <c r="B706" s="4">
        <v>1</v>
      </c>
      <c r="C706">
        <v>1000000</v>
      </c>
      <c r="D706" t="s">
        <v>20</v>
      </c>
      <c r="E706" s="1" t="s">
        <v>722</v>
      </c>
      <c r="F706">
        <v>8037000000</v>
      </c>
      <c r="G706">
        <v>71534000000</v>
      </c>
      <c r="H706">
        <v>275855000000</v>
      </c>
      <c r="J706">
        <v>362902000000</v>
      </c>
      <c r="K706">
        <v>23206000000</v>
      </c>
      <c r="L706">
        <v>89428000000</v>
      </c>
      <c r="N706">
        <v>250268000000</v>
      </c>
      <c r="O706">
        <v>110168000000</v>
      </c>
      <c r="P706">
        <v>2025000000</v>
      </c>
      <c r="Q706">
        <v>1107000000</v>
      </c>
      <c r="R706">
        <v>753000000</v>
      </c>
      <c r="T706">
        <v>13053000000</v>
      </c>
      <c r="V706">
        <f t="shared" si="32"/>
        <v>108166000000</v>
      </c>
      <c r="W706">
        <f t="shared" si="33"/>
        <v>268767000000</v>
      </c>
    </row>
    <row r="707" spans="1:23" x14ac:dyDescent="0.2">
      <c r="A707">
        <f>IF(D707="USD",VLOOKUP(VALUE(RIGHT(E707,4)),'USD RUB'!$E:$F,2,FALSE),1)</f>
        <v>1</v>
      </c>
      <c r="B707" s="4">
        <v>1</v>
      </c>
      <c r="C707">
        <v>1000000</v>
      </c>
      <c r="D707" t="s">
        <v>20</v>
      </c>
      <c r="E707" s="1" t="s">
        <v>723</v>
      </c>
      <c r="F707">
        <v>14355000000</v>
      </c>
      <c r="G707">
        <v>72604000000</v>
      </c>
      <c r="H707">
        <v>271729000000</v>
      </c>
      <c r="J707">
        <v>363263000000</v>
      </c>
      <c r="K707">
        <v>21403000000</v>
      </c>
      <c r="L707">
        <v>84714000000</v>
      </c>
      <c r="N707">
        <v>257146000000</v>
      </c>
      <c r="O707">
        <v>84693000000</v>
      </c>
      <c r="P707">
        <v>5733000000</v>
      </c>
      <c r="Q707">
        <v>5780000000</v>
      </c>
      <c r="R707">
        <v>4358000000</v>
      </c>
      <c r="T707">
        <v>13810000000</v>
      </c>
      <c r="V707">
        <f t="shared" si="32"/>
        <v>81351000000</v>
      </c>
      <c r="W707">
        <f t="shared" si="33"/>
        <v>272391000000</v>
      </c>
    </row>
    <row r="708" spans="1:23" x14ac:dyDescent="0.2">
      <c r="A708">
        <f>IF(D708="USD",VLOOKUP(VALUE(RIGHT(E708,4)),'USD RUB'!$E:$F,2,FALSE),1)</f>
        <v>1</v>
      </c>
      <c r="B708" s="4">
        <v>1</v>
      </c>
      <c r="C708">
        <v>1000000</v>
      </c>
      <c r="D708" t="s">
        <v>20</v>
      </c>
      <c r="E708" s="1" t="s">
        <v>724</v>
      </c>
      <c r="F708">
        <v>4743000000</v>
      </c>
      <c r="G708">
        <v>54313000000</v>
      </c>
      <c r="H708">
        <v>273473000000</v>
      </c>
      <c r="J708">
        <v>347914000000</v>
      </c>
      <c r="K708">
        <v>21776000000</v>
      </c>
      <c r="L708">
        <v>62740000000</v>
      </c>
      <c r="N708">
        <v>263398000000</v>
      </c>
      <c r="O708">
        <v>53918000000</v>
      </c>
      <c r="P708">
        <v>6754000000</v>
      </c>
      <c r="Q708">
        <v>5665000000</v>
      </c>
      <c r="R708">
        <v>4282000000</v>
      </c>
      <c r="T708">
        <v>10400000000</v>
      </c>
      <c r="V708">
        <f t="shared" si="32"/>
        <v>53322000000</v>
      </c>
      <c r="W708">
        <f t="shared" si="33"/>
        <v>275139000000</v>
      </c>
    </row>
    <row r="709" spans="1:23" x14ac:dyDescent="0.2">
      <c r="A709">
        <f>IF(D709="USD",VLOOKUP(VALUE(RIGHT(E709,4)),'USD RUB'!$E:$F,2,FALSE),1)</f>
        <v>1</v>
      </c>
      <c r="B709" s="4">
        <v>1</v>
      </c>
      <c r="C709">
        <v>1000000</v>
      </c>
      <c r="D709" t="s">
        <v>20</v>
      </c>
      <c r="E709" s="1" t="s">
        <v>725</v>
      </c>
      <c r="F709">
        <v>2871000000</v>
      </c>
      <c r="G709">
        <v>46641000000</v>
      </c>
      <c r="H709">
        <v>273766000000</v>
      </c>
      <c r="J709">
        <v>338956000000</v>
      </c>
      <c r="K709">
        <v>21548000000</v>
      </c>
      <c r="L709">
        <v>58285000000</v>
      </c>
      <c r="N709">
        <v>259123000000</v>
      </c>
      <c r="O709">
        <v>156663000000</v>
      </c>
      <c r="P709">
        <v>9878000000</v>
      </c>
      <c r="Q709">
        <v>9189000000</v>
      </c>
      <c r="R709">
        <v>7484000000</v>
      </c>
      <c r="T709">
        <v>20250000000</v>
      </c>
      <c r="V709">
        <f t="shared" si="32"/>
        <v>157139000000</v>
      </c>
      <c r="W709">
        <f t="shared" si="33"/>
        <v>267744000000</v>
      </c>
    </row>
    <row r="710" spans="1:23" x14ac:dyDescent="0.2">
      <c r="A710">
        <f>IF(D710="USD",VLOOKUP(VALUE(RIGHT(E710,4)),'USD RUB'!$E:$F,2,FALSE),1)</f>
        <v>1</v>
      </c>
      <c r="B710" s="4">
        <v>1</v>
      </c>
      <c r="C710">
        <v>1000000</v>
      </c>
      <c r="D710" t="s">
        <v>20</v>
      </c>
      <c r="E710" s="1" t="s">
        <v>726</v>
      </c>
      <c r="F710">
        <v>5537000000</v>
      </c>
      <c r="G710">
        <v>44566000000</v>
      </c>
      <c r="H710">
        <v>207946000000</v>
      </c>
      <c r="J710">
        <v>268767000000</v>
      </c>
      <c r="K710">
        <v>15995000000</v>
      </c>
      <c r="L710">
        <v>44138000000</v>
      </c>
      <c r="N710">
        <v>208634000000</v>
      </c>
      <c r="O710">
        <v>108166000000</v>
      </c>
      <c r="P710">
        <v>4962000000</v>
      </c>
      <c r="Q710">
        <v>4636000000</v>
      </c>
      <c r="R710">
        <v>3738000000</v>
      </c>
      <c r="T710">
        <v>14974000000</v>
      </c>
      <c r="V710">
        <f t="shared" si="32"/>
        <v>110766000000</v>
      </c>
      <c r="W710">
        <f t="shared" si="33"/>
        <v>261570000000</v>
      </c>
    </row>
    <row r="711" spans="1:23" x14ac:dyDescent="0.2">
      <c r="A711">
        <f>IF(D711="USD",VLOOKUP(VALUE(RIGHT(E711,4)),'USD RUB'!$E:$F,2,FALSE),1)</f>
        <v>1</v>
      </c>
      <c r="B711" s="4">
        <v>1</v>
      </c>
      <c r="C711">
        <v>1000000</v>
      </c>
      <c r="D711" t="s">
        <v>20</v>
      </c>
      <c r="E711" s="1" t="s">
        <v>727</v>
      </c>
      <c r="F711">
        <v>13758000000</v>
      </c>
      <c r="G711">
        <v>50375000000</v>
      </c>
      <c r="H711">
        <v>204580000000</v>
      </c>
      <c r="J711">
        <v>272391000000</v>
      </c>
      <c r="K711">
        <v>18258000000</v>
      </c>
      <c r="L711">
        <v>44047000000</v>
      </c>
      <c r="N711">
        <v>210086000000</v>
      </c>
      <c r="O711">
        <v>81351000000</v>
      </c>
      <c r="P711">
        <v>6681000000</v>
      </c>
      <c r="Q711">
        <v>6448000000</v>
      </c>
      <c r="R711">
        <v>5190000000</v>
      </c>
      <c r="T711">
        <v>13812000000</v>
      </c>
      <c r="V711">
        <f t="shared" si="32"/>
        <v>85646000000</v>
      </c>
      <c r="W711">
        <f t="shared" si="33"/>
        <v>260934000000</v>
      </c>
    </row>
    <row r="712" spans="1:23" x14ac:dyDescent="0.2">
      <c r="A712">
        <f>IF(D712="USD",VLOOKUP(VALUE(RIGHT(E712,4)),'USD RUB'!$E:$F,2,FALSE),1)</f>
        <v>1</v>
      </c>
      <c r="B712" s="4">
        <v>1</v>
      </c>
      <c r="C712">
        <v>1000000</v>
      </c>
      <c r="D712" t="s">
        <v>20</v>
      </c>
      <c r="E712" s="1" t="s">
        <v>728</v>
      </c>
      <c r="F712">
        <v>13447000000</v>
      </c>
      <c r="G712">
        <v>60527000000</v>
      </c>
      <c r="H712">
        <v>194327000000</v>
      </c>
      <c r="J712">
        <v>275139000000</v>
      </c>
      <c r="K712">
        <v>17791000000</v>
      </c>
      <c r="L712">
        <v>44357000000</v>
      </c>
      <c r="N712">
        <v>212991000000</v>
      </c>
      <c r="O712">
        <v>53322000000</v>
      </c>
      <c r="P712">
        <v>8748000000</v>
      </c>
      <c r="Q712">
        <v>9070000000</v>
      </c>
      <c r="R712">
        <v>7355000000</v>
      </c>
      <c r="T712">
        <v>12300000000</v>
      </c>
      <c r="V712">
        <f t="shared" si="32"/>
        <v>58026000000</v>
      </c>
      <c r="W712">
        <f t="shared" si="33"/>
        <v>262471000000</v>
      </c>
    </row>
    <row r="713" spans="1:23" x14ac:dyDescent="0.2">
      <c r="A713">
        <f>IF(D713="USD",VLOOKUP(VALUE(RIGHT(E713,4)),'USD RUB'!$E:$F,2,FALSE),1)</f>
        <v>1</v>
      </c>
      <c r="B713" s="4">
        <v>1</v>
      </c>
      <c r="C713">
        <v>1000000</v>
      </c>
      <c r="D713" t="s">
        <v>20</v>
      </c>
      <c r="E713" s="1" t="s">
        <v>729</v>
      </c>
      <c r="F713">
        <v>12632000000</v>
      </c>
      <c r="G713">
        <v>55584000000</v>
      </c>
      <c r="H713">
        <v>190387000000</v>
      </c>
      <c r="J713">
        <v>267744000000</v>
      </c>
      <c r="K713">
        <v>18189000000</v>
      </c>
      <c r="L713">
        <v>43919000000</v>
      </c>
      <c r="N713">
        <v>205636000000</v>
      </c>
      <c r="O713">
        <v>157139000000</v>
      </c>
      <c r="P713">
        <v>6534000000</v>
      </c>
      <c r="Q713">
        <v>8014000000</v>
      </c>
      <c r="R713">
        <v>6316000000</v>
      </c>
      <c r="T713">
        <v>20250000000</v>
      </c>
      <c r="V713">
        <f t="shared" si="32"/>
        <v>161119000000</v>
      </c>
      <c r="W713">
        <f t="shared" si="33"/>
        <v>262421000000</v>
      </c>
    </row>
    <row r="714" spans="1:23" x14ac:dyDescent="0.2">
      <c r="A714">
        <f>IF(D714="USD",VLOOKUP(VALUE(RIGHT(E714,4)),'USD RUB'!$E:$F,2,FALSE),1)</f>
        <v>1</v>
      </c>
      <c r="B714" s="4">
        <v>1</v>
      </c>
      <c r="C714">
        <v>1000000</v>
      </c>
      <c r="D714" t="s">
        <v>20</v>
      </c>
      <c r="E714" s="1" t="s">
        <v>730</v>
      </c>
      <c r="F714">
        <v>15791000000</v>
      </c>
      <c r="G714">
        <v>53930000000</v>
      </c>
      <c r="H714">
        <v>186413000000</v>
      </c>
      <c r="J714">
        <v>261570000000</v>
      </c>
      <c r="K714">
        <v>14924000000</v>
      </c>
      <c r="L714">
        <v>44386000000</v>
      </c>
      <c r="N714">
        <v>202260000000</v>
      </c>
      <c r="O714">
        <v>110766000000</v>
      </c>
      <c r="P714">
        <v>2211000000</v>
      </c>
      <c r="Q714">
        <v>3589000000</v>
      </c>
      <c r="R714">
        <v>2837000000</v>
      </c>
      <c r="T714">
        <v>12395000000</v>
      </c>
      <c r="V714">
        <f t="shared" si="32"/>
        <v>113338000000</v>
      </c>
      <c r="W714">
        <f t="shared" si="33"/>
        <v>256230000000</v>
      </c>
    </row>
    <row r="715" spans="1:23" x14ac:dyDescent="0.2">
      <c r="A715">
        <f>IF(D715="USD",VLOOKUP(VALUE(RIGHT(E715,4)),'USD RUB'!$E:$F,2,FALSE),1)</f>
        <v>1</v>
      </c>
      <c r="B715" s="4">
        <v>1</v>
      </c>
      <c r="C715">
        <v>1000000</v>
      </c>
      <c r="D715" t="s">
        <v>20</v>
      </c>
      <c r="E715" s="1" t="s">
        <v>731</v>
      </c>
      <c r="F715">
        <v>24553000000</v>
      </c>
      <c r="G715">
        <v>63944000000</v>
      </c>
      <c r="H715">
        <v>178187000000</v>
      </c>
      <c r="J715">
        <v>260934000000</v>
      </c>
      <c r="K715">
        <v>15414000000</v>
      </c>
      <c r="L715">
        <v>41495000000</v>
      </c>
      <c r="N715">
        <v>204025000000</v>
      </c>
      <c r="O715">
        <v>85646000000</v>
      </c>
      <c r="P715">
        <v>5628000000</v>
      </c>
      <c r="Q715">
        <v>6410000000</v>
      </c>
      <c r="R715">
        <v>5133000000</v>
      </c>
      <c r="T715">
        <v>12317000000</v>
      </c>
      <c r="V715">
        <f t="shared" si="32"/>
        <v>89889000000</v>
      </c>
      <c r="W715">
        <f t="shared" si="33"/>
        <v>259531000000</v>
      </c>
    </row>
    <row r="716" spans="1:23" x14ac:dyDescent="0.2">
      <c r="A716">
        <f>IF(D716="USD",VLOOKUP(VALUE(RIGHT(E716,4)),'USD RUB'!$E:$F,2,FALSE),1)</f>
        <v>1</v>
      </c>
      <c r="B716" s="4">
        <v>1</v>
      </c>
      <c r="C716">
        <v>1000000</v>
      </c>
      <c r="D716" t="s">
        <v>20</v>
      </c>
      <c r="E716" s="1" t="s">
        <v>732</v>
      </c>
      <c r="F716">
        <v>19658000000</v>
      </c>
      <c r="G716">
        <v>60324000000</v>
      </c>
      <c r="H716">
        <v>183209000000</v>
      </c>
      <c r="J716">
        <v>262471000000</v>
      </c>
      <c r="K716">
        <v>20831000000</v>
      </c>
      <c r="L716">
        <v>36305000000</v>
      </c>
      <c r="N716">
        <v>205335000000</v>
      </c>
      <c r="O716">
        <v>58026000000</v>
      </c>
      <c r="P716">
        <v>5984000000</v>
      </c>
      <c r="Q716">
        <v>6700000000</v>
      </c>
      <c r="R716">
        <v>5302000000</v>
      </c>
      <c r="T716">
        <v>12417000000</v>
      </c>
      <c r="V716">
        <f t="shared" si="32"/>
        <v>60255000000</v>
      </c>
      <c r="W716">
        <f t="shared" si="33"/>
        <v>261610000000</v>
      </c>
    </row>
    <row r="717" spans="1:23" x14ac:dyDescent="0.2">
      <c r="A717">
        <f>IF(D717="USD",VLOOKUP(VALUE(RIGHT(E717,4)),'USD RUB'!$E:$F,2,FALSE),1)</f>
        <v>1</v>
      </c>
      <c r="B717" s="4">
        <v>1</v>
      </c>
      <c r="C717">
        <v>1000000</v>
      </c>
      <c r="D717" t="s">
        <v>20</v>
      </c>
      <c r="E717" s="1" t="s">
        <v>733</v>
      </c>
      <c r="F717">
        <v>25572000000</v>
      </c>
      <c r="G717">
        <v>62618000000</v>
      </c>
      <c r="H717">
        <v>185295000000</v>
      </c>
      <c r="J717">
        <v>262421000000</v>
      </c>
      <c r="K717">
        <v>25136000000</v>
      </c>
      <c r="L717">
        <v>37252000000</v>
      </c>
      <c r="N717">
        <v>200033000000</v>
      </c>
      <c r="O717">
        <v>161119000000</v>
      </c>
      <c r="P717">
        <v>10887000000</v>
      </c>
      <c r="Q717">
        <v>11966000000</v>
      </c>
      <c r="R717">
        <v>9892000000</v>
      </c>
      <c r="V717" t="str">
        <f t="shared" si="32"/>
        <v/>
      </c>
      <c r="W717" t="str">
        <f t="shared" si="33"/>
        <v/>
      </c>
    </row>
    <row r="718" spans="1:23" x14ac:dyDescent="0.2">
      <c r="A718">
        <f>IF(D718="USD",VLOOKUP(VALUE(RIGHT(E718,4)),'USD RUB'!$E:$F,2,FALSE),1)</f>
        <v>1</v>
      </c>
      <c r="B718" s="4">
        <v>1</v>
      </c>
      <c r="C718">
        <v>1000000</v>
      </c>
      <c r="D718" t="s">
        <v>20</v>
      </c>
      <c r="E718" s="1" t="s">
        <v>734</v>
      </c>
      <c r="F718">
        <v>23414000000</v>
      </c>
      <c r="G718">
        <v>54828000000</v>
      </c>
      <c r="H718">
        <v>186277000000</v>
      </c>
      <c r="J718">
        <v>256230000000</v>
      </c>
      <c r="K718">
        <v>19261000000</v>
      </c>
      <c r="L718">
        <v>36227000000</v>
      </c>
      <c r="N718">
        <v>200742000000</v>
      </c>
      <c r="O718">
        <v>113338000000</v>
      </c>
      <c r="P718">
        <v>7023000000</v>
      </c>
      <c r="Q718">
        <v>7400000000</v>
      </c>
      <c r="R718">
        <v>7765000000</v>
      </c>
      <c r="V718" t="str">
        <f t="shared" si="32"/>
        <v/>
      </c>
      <c r="W718" t="str">
        <f t="shared" si="33"/>
        <v/>
      </c>
    </row>
    <row r="719" spans="1:23" x14ac:dyDescent="0.2">
      <c r="A719">
        <f>IF(D719="USD",VLOOKUP(VALUE(RIGHT(E719,4)),'USD RUB'!$E:$F,2,FALSE),1)</f>
        <v>1</v>
      </c>
      <c r="B719" s="4">
        <v>1</v>
      </c>
      <c r="C719">
        <v>1000000</v>
      </c>
      <c r="D719" t="s">
        <v>20</v>
      </c>
      <c r="E719" s="1" t="s">
        <v>735</v>
      </c>
      <c r="F719">
        <v>19070000000</v>
      </c>
      <c r="G719">
        <v>64288000000</v>
      </c>
      <c r="H719">
        <v>176898000000</v>
      </c>
      <c r="J719">
        <v>259531000000</v>
      </c>
      <c r="K719">
        <v>20014000000</v>
      </c>
      <c r="L719">
        <v>38673000000</v>
      </c>
      <c r="N719">
        <v>200844000000</v>
      </c>
      <c r="O719">
        <v>89889000000</v>
      </c>
      <c r="P719">
        <v>9308000000</v>
      </c>
      <c r="Q719">
        <v>9797000000</v>
      </c>
      <c r="R719">
        <v>7867000000</v>
      </c>
      <c r="T719">
        <v>15603000000</v>
      </c>
      <c r="V719" t="str">
        <f t="shared" si="32"/>
        <v/>
      </c>
      <c r="W719" t="str">
        <f t="shared" si="33"/>
        <v/>
      </c>
    </row>
    <row r="720" spans="1:23" x14ac:dyDescent="0.2">
      <c r="A720">
        <f>IF(D720="USD",VLOOKUP(VALUE(RIGHT(E720,4)),'USD RUB'!$E:$F,2,FALSE),1)</f>
        <v>1</v>
      </c>
      <c r="B720" s="4">
        <v>1</v>
      </c>
      <c r="C720">
        <v>1000000</v>
      </c>
      <c r="D720" t="s">
        <v>20</v>
      </c>
      <c r="E720" s="1" t="s">
        <v>736</v>
      </c>
      <c r="F720">
        <v>11578000000</v>
      </c>
      <c r="G720">
        <v>65568000000</v>
      </c>
      <c r="H720">
        <v>178549000000</v>
      </c>
      <c r="J720">
        <v>261610000000</v>
      </c>
      <c r="K720">
        <v>22283000000</v>
      </c>
      <c r="L720">
        <v>37576000000</v>
      </c>
      <c r="N720">
        <v>201751000000</v>
      </c>
      <c r="O720">
        <v>60255000000</v>
      </c>
      <c r="P720">
        <v>9700000000</v>
      </c>
      <c r="Q720">
        <v>9951000000</v>
      </c>
      <c r="R720">
        <v>7981000000</v>
      </c>
      <c r="T720">
        <v>12720000000</v>
      </c>
      <c r="V720" t="str">
        <f t="shared" si="32"/>
        <v/>
      </c>
      <c r="W720" t="str">
        <f t="shared" si="33"/>
        <v/>
      </c>
    </row>
    <row r="721" spans="1:23" x14ac:dyDescent="0.2">
      <c r="A721">
        <f>IF(D721="USD",VLOOKUP(VALUE(RIGHT(E721,4)),'USD RUB'!$E:$F,2,FALSE),1)</f>
        <v>1</v>
      </c>
      <c r="B721" s="4">
        <v>1</v>
      </c>
      <c r="C721">
        <v>1000</v>
      </c>
      <c r="D721" t="s">
        <v>20</v>
      </c>
      <c r="E721" s="1" t="s">
        <v>737</v>
      </c>
      <c r="F721">
        <v>13523341000</v>
      </c>
      <c r="G721">
        <v>61315084000</v>
      </c>
      <c r="H721">
        <v>499875233000</v>
      </c>
      <c r="I721">
        <v>5870558000</v>
      </c>
      <c r="J721">
        <v>577378851000</v>
      </c>
      <c r="K721">
        <v>204817515000</v>
      </c>
      <c r="L721">
        <v>115121951000</v>
      </c>
      <c r="M721">
        <v>233085839000</v>
      </c>
      <c r="N721">
        <v>257439385000</v>
      </c>
      <c r="O721">
        <v>284955827000</v>
      </c>
      <c r="P721">
        <v>62989003000</v>
      </c>
      <c r="Q721">
        <v>54568791000</v>
      </c>
      <c r="R721">
        <v>41777667000</v>
      </c>
      <c r="S721">
        <v>29677364000</v>
      </c>
      <c r="U721">
        <v>-101384970000</v>
      </c>
      <c r="V721">
        <f t="shared" si="32"/>
        <v>248986973000</v>
      </c>
      <c r="W721">
        <f t="shared" si="33"/>
        <v>500361923000</v>
      </c>
    </row>
    <row r="722" spans="1:23" x14ac:dyDescent="0.2">
      <c r="A722">
        <f>IF(D722="USD",VLOOKUP(VALUE(RIGHT(E722,4)),'USD RUB'!$E:$F,2,FALSE),1)</f>
        <v>1</v>
      </c>
      <c r="B722" s="4">
        <v>1</v>
      </c>
      <c r="C722">
        <v>1000</v>
      </c>
      <c r="D722" t="s">
        <v>20</v>
      </c>
      <c r="E722" s="1" t="s">
        <v>738</v>
      </c>
      <c r="F722">
        <v>7893641000</v>
      </c>
      <c r="G722">
        <v>51834805000</v>
      </c>
      <c r="H722">
        <v>474773350000</v>
      </c>
      <c r="I722">
        <v>5735236000</v>
      </c>
      <c r="J722">
        <v>542919012000</v>
      </c>
      <c r="K722">
        <v>158134627000</v>
      </c>
      <c r="L722">
        <v>141505437000</v>
      </c>
      <c r="M722">
        <v>218925402000</v>
      </c>
      <c r="N722">
        <v>243278948000</v>
      </c>
      <c r="O722">
        <v>199800493000</v>
      </c>
      <c r="P722">
        <v>42777988000</v>
      </c>
      <c r="Q722">
        <v>36343511000</v>
      </c>
      <c r="R722">
        <v>27593829000</v>
      </c>
      <c r="S722">
        <v>21870331000</v>
      </c>
      <c r="U722">
        <v>-77752534000</v>
      </c>
      <c r="V722">
        <f t="shared" si="32"/>
        <v>178077061000</v>
      </c>
      <c r="W722">
        <f t="shared" si="33"/>
        <v>457101808000</v>
      </c>
    </row>
    <row r="723" spans="1:23" x14ac:dyDescent="0.2">
      <c r="A723">
        <f>IF(D723="USD",VLOOKUP(VALUE(RIGHT(E723,4)),'USD RUB'!$E:$F,2,FALSE),1)</f>
        <v>1</v>
      </c>
      <c r="B723" s="4">
        <v>1</v>
      </c>
      <c r="C723">
        <v>1000</v>
      </c>
      <c r="D723" t="s">
        <v>20</v>
      </c>
      <c r="E723" s="1" t="s">
        <v>739</v>
      </c>
      <c r="F723">
        <v>9831515000</v>
      </c>
      <c r="G723">
        <v>49895273000</v>
      </c>
      <c r="H723">
        <v>454145332000</v>
      </c>
      <c r="I723">
        <v>5809305000</v>
      </c>
      <c r="J723">
        <v>521440113000</v>
      </c>
      <c r="K723">
        <v>164716621000</v>
      </c>
      <c r="L723">
        <v>124518543000</v>
      </c>
      <c r="M723">
        <v>207851403000</v>
      </c>
      <c r="N723">
        <v>232204949000</v>
      </c>
      <c r="O723">
        <v>130066309000</v>
      </c>
      <c r="P723">
        <v>27372945000</v>
      </c>
      <c r="Q723">
        <v>22640851000</v>
      </c>
      <c r="R723">
        <v>16643651000</v>
      </c>
      <c r="S723">
        <v>14394517000</v>
      </c>
      <c r="T723">
        <v>42314317000</v>
      </c>
      <c r="U723">
        <v>-52910909000</v>
      </c>
      <c r="V723">
        <f t="shared" si="32"/>
        <v>119011908000</v>
      </c>
      <c r="W723">
        <f t="shared" si="33"/>
        <v>438712042000</v>
      </c>
    </row>
    <row r="724" spans="1:23" x14ac:dyDescent="0.2">
      <c r="A724">
        <f>IF(D724="USD",VLOOKUP(VALUE(RIGHT(E724,4)),'USD RUB'!$E:$F,2,FALSE),1)</f>
        <v>1</v>
      </c>
      <c r="B724" s="4">
        <v>1</v>
      </c>
      <c r="C724">
        <v>1000</v>
      </c>
      <c r="D724" t="s">
        <v>20</v>
      </c>
      <c r="E724" s="1" t="s">
        <v>740</v>
      </c>
      <c r="F724">
        <v>10133869000</v>
      </c>
      <c r="G724">
        <v>48793271000</v>
      </c>
      <c r="H724">
        <v>438867671000</v>
      </c>
      <c r="I724">
        <v>6102135000</v>
      </c>
      <c r="J724">
        <v>504081168000</v>
      </c>
      <c r="K724">
        <v>146156768000</v>
      </c>
      <c r="L724">
        <v>123989685000</v>
      </c>
      <c r="M724">
        <v>209581169000</v>
      </c>
      <c r="N724">
        <v>233934715000</v>
      </c>
      <c r="O724">
        <v>69041409000</v>
      </c>
      <c r="P724">
        <v>16248644000</v>
      </c>
      <c r="Q724">
        <v>14123474000</v>
      </c>
      <c r="R724">
        <v>10743436000</v>
      </c>
      <c r="S724">
        <v>6742504000</v>
      </c>
      <c r="U724">
        <v>-30294087000</v>
      </c>
      <c r="V724">
        <f t="shared" si="32"/>
        <v>64508683000</v>
      </c>
      <c r="W724">
        <f t="shared" si="33"/>
        <v>432863710000</v>
      </c>
    </row>
    <row r="725" spans="1:23" x14ac:dyDescent="0.2">
      <c r="A725">
        <f>IF(D725="USD",VLOOKUP(VALUE(RIGHT(E725,4)),'USD RUB'!$E:$F,2,FALSE),1)</f>
        <v>1</v>
      </c>
      <c r="B725" s="4">
        <v>1</v>
      </c>
      <c r="C725">
        <v>1000</v>
      </c>
      <c r="D725" t="s">
        <v>20</v>
      </c>
      <c r="E725" s="1" t="s">
        <v>741</v>
      </c>
      <c r="F725">
        <v>17707412000</v>
      </c>
      <c r="G725">
        <v>59112167000</v>
      </c>
      <c r="H725">
        <v>424415017000</v>
      </c>
      <c r="I725">
        <v>6239870000</v>
      </c>
      <c r="J725">
        <v>500361923000</v>
      </c>
      <c r="K725">
        <v>156740233000</v>
      </c>
      <c r="L725">
        <v>120430411000</v>
      </c>
      <c r="M725">
        <v>198837733000</v>
      </c>
      <c r="N725">
        <v>223191279000</v>
      </c>
      <c r="O725">
        <v>248986973000</v>
      </c>
      <c r="P725">
        <v>26035192000</v>
      </c>
      <c r="Q725">
        <v>21722735000</v>
      </c>
      <c r="R725">
        <v>13568351000</v>
      </c>
      <c r="S725">
        <v>27202504000</v>
      </c>
      <c r="T725">
        <v>76296740000</v>
      </c>
      <c r="U725">
        <v>-79485553000</v>
      </c>
      <c r="V725">
        <f t="shared" si="32"/>
        <v>229309394000</v>
      </c>
      <c r="W725">
        <f t="shared" si="33"/>
        <v>418567675000</v>
      </c>
    </row>
    <row r="726" spans="1:23" x14ac:dyDescent="0.2">
      <c r="A726">
        <f>IF(D726="USD",VLOOKUP(VALUE(RIGHT(E726,4)),'USD RUB'!$E:$F,2,FALSE),1)</f>
        <v>1</v>
      </c>
      <c r="B726" s="4">
        <v>1</v>
      </c>
      <c r="C726">
        <v>1000</v>
      </c>
      <c r="D726" t="s">
        <v>20</v>
      </c>
      <c r="E726" s="1" t="s">
        <v>742</v>
      </c>
      <c r="F726">
        <v>6111857000</v>
      </c>
      <c r="G726">
        <v>39059070000</v>
      </c>
      <c r="H726">
        <v>399785321000</v>
      </c>
      <c r="I726">
        <v>6659172000</v>
      </c>
      <c r="J726">
        <v>457101808000</v>
      </c>
      <c r="K726">
        <v>125422127000</v>
      </c>
      <c r="L726">
        <v>99585204000</v>
      </c>
      <c r="M726">
        <v>207740931000</v>
      </c>
      <c r="N726">
        <v>232094477000</v>
      </c>
      <c r="O726">
        <v>178077061000</v>
      </c>
      <c r="P726">
        <v>30604010000</v>
      </c>
      <c r="Q726">
        <v>27431056000</v>
      </c>
      <c r="R726">
        <v>22405230000</v>
      </c>
      <c r="S726">
        <v>20065240000</v>
      </c>
      <c r="U726">
        <v>-53233546000</v>
      </c>
      <c r="V726">
        <f t="shared" si="32"/>
        <v>163712735000</v>
      </c>
      <c r="W726">
        <f t="shared" si="33"/>
        <v>398600287000</v>
      </c>
    </row>
    <row r="727" spans="1:23" x14ac:dyDescent="0.2">
      <c r="A727">
        <f>IF(D727="USD",VLOOKUP(VALUE(RIGHT(E727,4)),'USD RUB'!$E:$F,2,FALSE),1)</f>
        <v>1</v>
      </c>
      <c r="B727" s="4">
        <v>1</v>
      </c>
      <c r="C727">
        <v>1000</v>
      </c>
      <c r="D727" t="s">
        <v>20</v>
      </c>
      <c r="E727" s="1" t="s">
        <v>743</v>
      </c>
      <c r="F727">
        <v>5131501000</v>
      </c>
      <c r="G727">
        <v>37145145000</v>
      </c>
      <c r="H727">
        <v>384463412000</v>
      </c>
      <c r="I727">
        <v>6742598000</v>
      </c>
      <c r="J727">
        <v>438712042000</v>
      </c>
      <c r="K727">
        <v>109843196000</v>
      </c>
      <c r="L727">
        <v>105700904000</v>
      </c>
      <c r="M727">
        <v>198814396000</v>
      </c>
      <c r="N727">
        <v>223167942000</v>
      </c>
      <c r="O727">
        <v>119011908000</v>
      </c>
      <c r="P727">
        <v>19251504000</v>
      </c>
      <c r="Q727">
        <v>17439047000</v>
      </c>
      <c r="R727">
        <v>13576435000</v>
      </c>
      <c r="S727">
        <v>13219520000</v>
      </c>
      <c r="T727">
        <v>33101267000</v>
      </c>
      <c r="U727">
        <v>-34315317000</v>
      </c>
      <c r="V727">
        <f t="shared" si="32"/>
        <v>110884858000</v>
      </c>
      <c r="W727">
        <f t="shared" si="33"/>
        <v>389936547000</v>
      </c>
    </row>
    <row r="728" spans="1:23" x14ac:dyDescent="0.2">
      <c r="A728">
        <f>IF(D728="USD",VLOOKUP(VALUE(RIGHT(E728,4)),'USD RUB'!$E:$F,2,FALSE),1)</f>
        <v>1</v>
      </c>
      <c r="B728" s="4">
        <v>1</v>
      </c>
      <c r="C728">
        <v>1000</v>
      </c>
      <c r="D728" t="s">
        <v>20</v>
      </c>
      <c r="E728" s="1" t="s">
        <v>744</v>
      </c>
      <c r="F728">
        <v>11072520000</v>
      </c>
      <c r="G728">
        <v>44886193000</v>
      </c>
      <c r="H728">
        <v>371119016000</v>
      </c>
      <c r="I728">
        <v>6614580000</v>
      </c>
      <c r="J728">
        <v>432863710000</v>
      </c>
      <c r="K728">
        <v>110453057000</v>
      </c>
      <c r="L728">
        <v>97272850000</v>
      </c>
      <c r="M728">
        <v>200784257000</v>
      </c>
      <c r="N728">
        <v>225137803000</v>
      </c>
      <c r="O728">
        <v>64508683000</v>
      </c>
      <c r="P728">
        <v>11592191000</v>
      </c>
      <c r="Q728">
        <v>10607624000</v>
      </c>
      <c r="R728">
        <v>8710739000</v>
      </c>
      <c r="S728">
        <v>6555146000</v>
      </c>
      <c r="U728">
        <v>-16196026000</v>
      </c>
      <c r="V728">
        <f t="shared" si="32"/>
        <v>60412367000</v>
      </c>
      <c r="W728">
        <f t="shared" si="33"/>
        <v>387384564000</v>
      </c>
    </row>
    <row r="729" spans="1:23" x14ac:dyDescent="0.2">
      <c r="A729">
        <f>IF(D729="USD",VLOOKUP(VALUE(RIGHT(E729,4)),'USD RUB'!$E:$F,2,FALSE),1)</f>
        <v>1</v>
      </c>
      <c r="B729" s="4">
        <v>1</v>
      </c>
      <c r="C729">
        <v>1000</v>
      </c>
      <c r="D729" t="s">
        <v>20</v>
      </c>
      <c r="E729" s="1" t="s">
        <v>745</v>
      </c>
      <c r="F729">
        <v>5269540000</v>
      </c>
      <c r="G729">
        <v>38004533000</v>
      </c>
      <c r="H729">
        <v>364835222000</v>
      </c>
      <c r="I729">
        <v>6808795000</v>
      </c>
      <c r="J729">
        <v>418567675000</v>
      </c>
      <c r="K729">
        <v>112556221000</v>
      </c>
      <c r="L729">
        <v>89738869000</v>
      </c>
      <c r="M729">
        <v>191919039000</v>
      </c>
      <c r="N729">
        <v>216272585000</v>
      </c>
      <c r="O729">
        <v>229309394000</v>
      </c>
      <c r="P729">
        <v>35123817000</v>
      </c>
      <c r="Q729">
        <v>34526753000</v>
      </c>
      <c r="R729">
        <v>26288777000</v>
      </c>
      <c r="S729">
        <v>23772460000</v>
      </c>
      <c r="T729">
        <v>59482700000</v>
      </c>
      <c r="U729">
        <v>-60814269000</v>
      </c>
      <c r="V729">
        <f t="shared" ref="V729:V792" si="34">_xlfn.XLOOKUP(LEFT(E729,LEN(E729)-4)&amp;(VALUE(RIGHT(E729,4))-1),$E:$E,$O:$O,"")</f>
        <v>199664789000</v>
      </c>
      <c r="W729">
        <f t="shared" ref="W729:W792" si="35">_xlfn.XLOOKUP(LEFT(E729,LEN(E729)-4)&amp;(VALUE(RIGHT(E729,4))-1),$E:$E,$J:$J,"")</f>
        <v>388502729000</v>
      </c>
    </row>
    <row r="730" spans="1:23" x14ac:dyDescent="0.2">
      <c r="A730">
        <f>IF(D730="USD",VLOOKUP(VALUE(RIGHT(E730,4)),'USD RUB'!$E:$F,2,FALSE),1)</f>
        <v>1</v>
      </c>
      <c r="B730" s="4">
        <v>1</v>
      </c>
      <c r="C730">
        <v>1000</v>
      </c>
      <c r="D730" t="s">
        <v>20</v>
      </c>
      <c r="E730" s="1" t="s">
        <v>746</v>
      </c>
      <c r="F730">
        <v>5568694000</v>
      </c>
      <c r="G730">
        <v>32801954000</v>
      </c>
      <c r="H730">
        <v>350692017000</v>
      </c>
      <c r="I730">
        <v>6225414000</v>
      </c>
      <c r="J730">
        <v>398600287000</v>
      </c>
      <c r="K730">
        <v>107486195000</v>
      </c>
      <c r="L730">
        <v>78047036000</v>
      </c>
      <c r="M730">
        <v>188713510000</v>
      </c>
      <c r="N730">
        <v>213067056000</v>
      </c>
      <c r="O730">
        <v>163712735000</v>
      </c>
      <c r="P730">
        <v>30491913000</v>
      </c>
      <c r="Q730">
        <v>29850449000</v>
      </c>
      <c r="R730">
        <v>23084433000</v>
      </c>
      <c r="S730">
        <v>17581460000</v>
      </c>
      <c r="U730">
        <v>-38570444000</v>
      </c>
      <c r="V730" t="str">
        <f t="shared" si="34"/>
        <v/>
      </c>
      <c r="W730" t="str">
        <f t="shared" si="35"/>
        <v/>
      </c>
    </row>
    <row r="731" spans="1:23" x14ac:dyDescent="0.2">
      <c r="A731">
        <f>IF(D731="USD",VLOOKUP(VALUE(RIGHT(E731,4)),'USD RUB'!$E:$F,2,FALSE),1)</f>
        <v>1</v>
      </c>
      <c r="B731" s="4">
        <v>1</v>
      </c>
      <c r="C731">
        <v>1000</v>
      </c>
      <c r="D731" t="s">
        <v>20</v>
      </c>
      <c r="E731" s="1" t="s">
        <v>747</v>
      </c>
      <c r="F731">
        <v>8500227000</v>
      </c>
      <c r="G731">
        <v>37539469000</v>
      </c>
      <c r="H731">
        <v>338012517000</v>
      </c>
      <c r="I731">
        <v>6211650000</v>
      </c>
      <c r="J731">
        <v>389936547000</v>
      </c>
      <c r="K731">
        <v>130338415000</v>
      </c>
      <c r="L731">
        <v>54512810000</v>
      </c>
      <c r="M731">
        <v>180731776000</v>
      </c>
      <c r="N731">
        <v>205085322000</v>
      </c>
      <c r="O731">
        <v>110884858000</v>
      </c>
      <c r="P731">
        <v>20118818000</v>
      </c>
      <c r="Q731">
        <v>19575864000</v>
      </c>
      <c r="R731">
        <v>15217438000</v>
      </c>
      <c r="S731">
        <v>11598554000</v>
      </c>
      <c r="T731">
        <v>32049603000</v>
      </c>
      <c r="U731">
        <v>-22423697000</v>
      </c>
      <c r="V731">
        <f t="shared" si="34"/>
        <v>96248491000</v>
      </c>
      <c r="W731">
        <f t="shared" si="35"/>
        <v>386702418000</v>
      </c>
    </row>
    <row r="732" spans="1:23" x14ac:dyDescent="0.2">
      <c r="A732">
        <f>IF(D732="USD",VLOOKUP(VALUE(RIGHT(E732,4)),'USD RUB'!$E:$F,2,FALSE),1)</f>
        <v>1</v>
      </c>
      <c r="B732" s="4">
        <v>1</v>
      </c>
      <c r="C732">
        <v>1000</v>
      </c>
      <c r="D732" t="s">
        <v>20</v>
      </c>
      <c r="E732" s="1" t="s">
        <v>748</v>
      </c>
      <c r="F732">
        <v>9910122000</v>
      </c>
      <c r="G732">
        <v>42845584000</v>
      </c>
      <c r="H732">
        <v>330797563000</v>
      </c>
      <c r="I732">
        <v>5958584000</v>
      </c>
      <c r="J732">
        <v>387384564000</v>
      </c>
      <c r="K732">
        <v>108252786000</v>
      </c>
      <c r="L732">
        <v>76870993000</v>
      </c>
      <c r="M732">
        <v>177907239000</v>
      </c>
      <c r="N732">
        <v>202260785000</v>
      </c>
      <c r="O732">
        <v>60412367000</v>
      </c>
      <c r="P732">
        <v>14951995000</v>
      </c>
      <c r="Q732">
        <v>14633064000</v>
      </c>
      <c r="R732">
        <v>11855609000</v>
      </c>
      <c r="S732">
        <v>5801378000</v>
      </c>
      <c r="U732">
        <v>-11614425000</v>
      </c>
      <c r="V732">
        <f t="shared" si="34"/>
        <v>50485118000</v>
      </c>
      <c r="W732">
        <f t="shared" si="35"/>
        <v>385811867000</v>
      </c>
    </row>
    <row r="733" spans="1:23" x14ac:dyDescent="0.2">
      <c r="A733">
        <f>IF(D733="USD",VLOOKUP(VALUE(RIGHT(E733,4)),'USD RUB'!$E:$F,2,FALSE),1)</f>
        <v>1</v>
      </c>
      <c r="B733" s="4">
        <v>1</v>
      </c>
      <c r="C733">
        <v>1000</v>
      </c>
      <c r="D733" t="s">
        <v>20</v>
      </c>
      <c r="E733" s="1" t="s">
        <v>749</v>
      </c>
      <c r="F733">
        <v>15464193000</v>
      </c>
      <c r="G733">
        <v>47168399000</v>
      </c>
      <c r="H733">
        <v>328040963000</v>
      </c>
      <c r="I733">
        <v>5981780000</v>
      </c>
      <c r="J733">
        <v>388502729000</v>
      </c>
      <c r="K733">
        <v>125808579000</v>
      </c>
      <c r="L733">
        <v>72350974000</v>
      </c>
      <c r="M733">
        <v>165989630000</v>
      </c>
      <c r="N733">
        <v>190343176000</v>
      </c>
      <c r="O733">
        <v>199664789000</v>
      </c>
      <c r="P733">
        <v>19263631000</v>
      </c>
      <c r="Q733">
        <v>17229016000</v>
      </c>
      <c r="R733">
        <v>13451169000</v>
      </c>
      <c r="S733">
        <v>23849531000</v>
      </c>
      <c r="U733">
        <v>-41166506000</v>
      </c>
      <c r="V733">
        <f t="shared" si="34"/>
        <v>184705502000</v>
      </c>
      <c r="W733">
        <f t="shared" si="35"/>
        <v>382384888000</v>
      </c>
    </row>
    <row r="734" spans="1:23" x14ac:dyDescent="0.2">
      <c r="A734">
        <f>IF(D734="USD",VLOOKUP(VALUE(RIGHT(E734,4)),'USD RUB'!$E:$F,2,FALSE),1)</f>
        <v>1</v>
      </c>
      <c r="B734" s="4">
        <v>1</v>
      </c>
      <c r="C734">
        <v>1000</v>
      </c>
      <c r="D734" t="s">
        <v>20</v>
      </c>
      <c r="E734" s="1" t="s">
        <v>750</v>
      </c>
      <c r="F734">
        <v>11832316000</v>
      </c>
      <c r="G734">
        <v>38723331000</v>
      </c>
      <c r="H734">
        <v>334778999000</v>
      </c>
      <c r="I734">
        <v>5465323000</v>
      </c>
      <c r="J734">
        <v>386702418000</v>
      </c>
      <c r="K734">
        <v>88746056000</v>
      </c>
      <c r="L734">
        <v>102571235000</v>
      </c>
      <c r="M734">
        <v>171031581000</v>
      </c>
      <c r="N734">
        <v>195385127000</v>
      </c>
      <c r="O734">
        <v>96248491000</v>
      </c>
      <c r="P734">
        <v>19230039000</v>
      </c>
      <c r="Q734">
        <v>18071954000</v>
      </c>
      <c r="R734">
        <v>14668026000</v>
      </c>
      <c r="S734">
        <v>11730049000</v>
      </c>
      <c r="U734">
        <v>-20510077000</v>
      </c>
      <c r="V734">
        <f t="shared" si="34"/>
        <v>91532999000</v>
      </c>
      <c r="W734">
        <f t="shared" si="35"/>
        <v>362902699000</v>
      </c>
    </row>
    <row r="735" spans="1:23" x14ac:dyDescent="0.2">
      <c r="A735">
        <f>IF(D735="USD",VLOOKUP(VALUE(RIGHT(E735,4)),'USD RUB'!$E:$F,2,FALSE),1)</f>
        <v>1</v>
      </c>
      <c r="B735" s="4">
        <v>1</v>
      </c>
      <c r="C735">
        <v>1000</v>
      </c>
      <c r="D735" t="s">
        <v>20</v>
      </c>
      <c r="E735" s="1" t="s">
        <v>751</v>
      </c>
      <c r="F735">
        <v>15326168000</v>
      </c>
      <c r="G735">
        <v>41284724000</v>
      </c>
      <c r="H735">
        <v>332163108000</v>
      </c>
      <c r="I735">
        <v>5464790000</v>
      </c>
      <c r="J735">
        <v>385811867000</v>
      </c>
      <c r="K735">
        <v>97831106000</v>
      </c>
      <c r="L735">
        <v>96769388000</v>
      </c>
      <c r="M735">
        <v>166857827000</v>
      </c>
      <c r="N735">
        <v>191211373000</v>
      </c>
      <c r="O735">
        <v>50485118000</v>
      </c>
      <c r="P735">
        <v>7533844000</v>
      </c>
      <c r="Q735">
        <v>6794350000</v>
      </c>
      <c r="R735">
        <v>5328345000</v>
      </c>
      <c r="S735">
        <v>5901565000</v>
      </c>
      <c r="U735">
        <v>-10815011000</v>
      </c>
      <c r="V735">
        <f t="shared" si="34"/>
        <v>48996221000</v>
      </c>
      <c r="W735">
        <f t="shared" si="35"/>
        <v>358830826000</v>
      </c>
    </row>
    <row r="736" spans="1:23" x14ac:dyDescent="0.2">
      <c r="A736">
        <f>IF(D736="USD",VLOOKUP(VALUE(RIGHT(E736,4)),'USD RUB'!$E:$F,2,FALSE),1)</f>
        <v>1</v>
      </c>
      <c r="B736" s="4">
        <v>1</v>
      </c>
      <c r="C736">
        <v>1000</v>
      </c>
      <c r="D736" t="s">
        <v>20</v>
      </c>
      <c r="E736" s="1" t="s">
        <v>752</v>
      </c>
      <c r="F736">
        <v>10654224000</v>
      </c>
      <c r="G736">
        <v>38407099000</v>
      </c>
      <c r="H736">
        <v>331683107000</v>
      </c>
      <c r="I736">
        <v>5524779000</v>
      </c>
      <c r="J736">
        <v>382384888000</v>
      </c>
      <c r="K736">
        <v>92273011000</v>
      </c>
      <c r="L736">
        <v>104521754000</v>
      </c>
      <c r="M736">
        <v>161236577000</v>
      </c>
      <c r="N736">
        <v>185590123000</v>
      </c>
      <c r="O736">
        <v>184705502000</v>
      </c>
      <c r="P736">
        <v>17109043000</v>
      </c>
      <c r="Q736">
        <v>13864368000</v>
      </c>
      <c r="R736">
        <v>10457730000</v>
      </c>
      <c r="S736">
        <v>23159939000</v>
      </c>
      <c r="T736">
        <v>40500084000</v>
      </c>
      <c r="U736">
        <v>-32734721000</v>
      </c>
      <c r="V736">
        <f t="shared" si="34"/>
        <v>164090481000</v>
      </c>
      <c r="W736">
        <f t="shared" si="35"/>
        <v>357267841000</v>
      </c>
    </row>
    <row r="737" spans="1:23" x14ac:dyDescent="0.2">
      <c r="A737">
        <f>IF(D737="USD",VLOOKUP(VALUE(RIGHT(E737,4)),'USD RUB'!$E:$F,2,FALSE),1)</f>
        <v>1</v>
      </c>
      <c r="B737" s="4">
        <v>1</v>
      </c>
      <c r="C737">
        <v>1000</v>
      </c>
      <c r="D737" t="s">
        <v>20</v>
      </c>
      <c r="E737" s="1" t="s">
        <v>753</v>
      </c>
      <c r="F737">
        <v>8694479000</v>
      </c>
      <c r="G737">
        <v>34531195000</v>
      </c>
      <c r="H737">
        <v>325431472000</v>
      </c>
      <c r="I737">
        <v>5054377000</v>
      </c>
      <c r="J737">
        <v>371796375000</v>
      </c>
      <c r="K737">
        <v>71593183000</v>
      </c>
      <c r="L737">
        <v>110050880000</v>
      </c>
      <c r="M737">
        <v>165798766000</v>
      </c>
      <c r="N737">
        <v>190152312000</v>
      </c>
      <c r="O737">
        <v>134002731000</v>
      </c>
      <c r="P737">
        <v>21170136000</v>
      </c>
      <c r="Q737">
        <v>18587622000</v>
      </c>
      <c r="R737">
        <v>14889160000</v>
      </c>
      <c r="S737">
        <v>17177696000</v>
      </c>
      <c r="T737">
        <v>38348000000</v>
      </c>
      <c r="U737">
        <v>-21304849000</v>
      </c>
      <c r="V737">
        <f t="shared" si="34"/>
        <v>116415437000</v>
      </c>
      <c r="W737">
        <f t="shared" si="35"/>
        <v>356007428000</v>
      </c>
    </row>
    <row r="738" spans="1:23" x14ac:dyDescent="0.2">
      <c r="A738">
        <f>IF(D738="USD",VLOOKUP(VALUE(RIGHT(E738,4)),'USD RUB'!$E:$F,2,FALSE),1)</f>
        <v>1</v>
      </c>
      <c r="B738" s="4">
        <v>1</v>
      </c>
      <c r="C738">
        <v>1000</v>
      </c>
      <c r="D738" t="s">
        <v>20</v>
      </c>
      <c r="E738" s="1" t="s">
        <v>754</v>
      </c>
      <c r="F738">
        <v>4877042000</v>
      </c>
      <c r="G738">
        <v>29707378000</v>
      </c>
      <c r="H738">
        <v>322023448000</v>
      </c>
      <c r="I738">
        <v>4892575000</v>
      </c>
      <c r="J738">
        <v>362902699000</v>
      </c>
      <c r="K738">
        <v>69679894000</v>
      </c>
      <c r="L738">
        <v>107139146000</v>
      </c>
      <c r="M738">
        <v>161730113000</v>
      </c>
      <c r="N738">
        <v>186083659000</v>
      </c>
      <c r="O738">
        <v>91532999000</v>
      </c>
      <c r="P738">
        <v>15306042000</v>
      </c>
      <c r="Q738">
        <v>13515144000</v>
      </c>
      <c r="R738">
        <v>10857217000</v>
      </c>
      <c r="S738">
        <v>11366949000</v>
      </c>
      <c r="T738">
        <v>6673000000</v>
      </c>
      <c r="U738">
        <v>-15203513000</v>
      </c>
      <c r="V738">
        <f t="shared" si="34"/>
        <v>78621220000</v>
      </c>
      <c r="W738">
        <f t="shared" si="35"/>
        <v>351709285000</v>
      </c>
    </row>
    <row r="739" spans="1:23" x14ac:dyDescent="0.2">
      <c r="A739">
        <f>IF(D739="USD",VLOOKUP(VALUE(RIGHT(E739,4)),'USD RUB'!$E:$F,2,FALSE),1)</f>
        <v>1</v>
      </c>
      <c r="B739" s="4">
        <v>1</v>
      </c>
      <c r="C739">
        <v>1000</v>
      </c>
      <c r="D739" t="s">
        <v>20</v>
      </c>
      <c r="E739" s="1" t="s">
        <v>755</v>
      </c>
      <c r="F739">
        <v>2637787000</v>
      </c>
      <c r="G739">
        <v>27746107000</v>
      </c>
      <c r="H739">
        <v>320442013000</v>
      </c>
      <c r="I739">
        <v>4694900000</v>
      </c>
      <c r="J739">
        <v>358830826000</v>
      </c>
      <c r="K739">
        <v>60272487000</v>
      </c>
      <c r="L739">
        <v>114492951000</v>
      </c>
      <c r="M739">
        <v>159711842000</v>
      </c>
      <c r="N739">
        <v>184065388000</v>
      </c>
      <c r="O739">
        <v>48996221000</v>
      </c>
      <c r="P739">
        <v>8871040000</v>
      </c>
      <c r="Q739">
        <v>7940430000</v>
      </c>
      <c r="R739">
        <v>6456411000</v>
      </c>
      <c r="S739">
        <v>5703637000</v>
      </c>
      <c r="T739">
        <v>14575000000</v>
      </c>
      <c r="U739">
        <v>-9062564000</v>
      </c>
      <c r="V739">
        <f t="shared" si="34"/>
        <v>42075081000</v>
      </c>
      <c r="W739">
        <f t="shared" si="35"/>
        <v>350950422000</v>
      </c>
    </row>
    <row r="740" spans="1:23" x14ac:dyDescent="0.2">
      <c r="A740">
        <f>IF(D740="USD",VLOOKUP(VALUE(RIGHT(E740,4)),'USD RUB'!$E:$F,2,FALSE),1)</f>
        <v>1</v>
      </c>
      <c r="B740" s="4">
        <v>1</v>
      </c>
      <c r="C740">
        <v>1000</v>
      </c>
      <c r="D740" t="s">
        <v>20</v>
      </c>
      <c r="E740" s="1" t="s">
        <v>756</v>
      </c>
      <c r="F740">
        <v>1335885000</v>
      </c>
      <c r="G740">
        <v>26144875000</v>
      </c>
      <c r="H740">
        <v>320436180000</v>
      </c>
      <c r="I740">
        <v>4674085000</v>
      </c>
      <c r="J740">
        <v>357267841000</v>
      </c>
      <c r="K740">
        <v>62903297000</v>
      </c>
      <c r="L740">
        <v>116948150000</v>
      </c>
      <c r="M740">
        <v>153062848000</v>
      </c>
      <c r="N740">
        <v>177416394000</v>
      </c>
      <c r="O740">
        <v>164090481000</v>
      </c>
      <c r="P740">
        <v>10965100000</v>
      </c>
      <c r="Q740">
        <v>6614260000</v>
      </c>
      <c r="R740">
        <v>4754826000</v>
      </c>
      <c r="S740">
        <v>22711095000</v>
      </c>
      <c r="T740">
        <v>33676000000</v>
      </c>
      <c r="U740">
        <v>-28814795000</v>
      </c>
      <c r="V740">
        <f t="shared" si="34"/>
        <v>161462996000</v>
      </c>
      <c r="W740">
        <f t="shared" si="35"/>
        <v>346710892000</v>
      </c>
    </row>
    <row r="741" spans="1:23" x14ac:dyDescent="0.2">
      <c r="A741">
        <f>IF(D741="USD",VLOOKUP(VALUE(RIGHT(E741,4)),'USD RUB'!$E:$F,2,FALSE),1)</f>
        <v>1</v>
      </c>
      <c r="B741" s="4">
        <v>1</v>
      </c>
      <c r="C741">
        <v>1000</v>
      </c>
      <c r="D741" t="s">
        <v>20</v>
      </c>
      <c r="E741" s="1" t="s">
        <v>757</v>
      </c>
      <c r="F741">
        <v>7899942000</v>
      </c>
      <c r="G741">
        <v>30279353000</v>
      </c>
      <c r="H741">
        <v>315111367000</v>
      </c>
      <c r="I741">
        <v>3700349000</v>
      </c>
      <c r="J741">
        <v>356007428000</v>
      </c>
      <c r="K741">
        <v>50857436000</v>
      </c>
      <c r="L741">
        <v>125302034000</v>
      </c>
      <c r="M741">
        <v>155494412000</v>
      </c>
      <c r="N741">
        <v>179847958000</v>
      </c>
      <c r="O741">
        <v>116415437000</v>
      </c>
      <c r="P741">
        <v>12787344000</v>
      </c>
      <c r="Q741">
        <v>9335029000</v>
      </c>
      <c r="R741">
        <v>7152784000</v>
      </c>
      <c r="S741">
        <v>17175272000</v>
      </c>
      <c r="T741">
        <v>30255000000</v>
      </c>
      <c r="U741">
        <v>-17590862000</v>
      </c>
      <c r="V741">
        <f t="shared" si="34"/>
        <v>115876161000</v>
      </c>
      <c r="W741">
        <f t="shared" si="35"/>
        <v>339049255000</v>
      </c>
    </row>
    <row r="742" spans="1:23" x14ac:dyDescent="0.2">
      <c r="A742">
        <f>IF(D742="USD",VLOOKUP(VALUE(RIGHT(E742,4)),'USD RUB'!$E:$F,2,FALSE),1)</f>
        <v>1</v>
      </c>
      <c r="B742" s="4">
        <v>1</v>
      </c>
      <c r="C742">
        <v>1000</v>
      </c>
      <c r="D742" t="s">
        <v>20</v>
      </c>
      <c r="E742" s="1" t="s">
        <v>758</v>
      </c>
      <c r="F742">
        <v>7359458000</v>
      </c>
      <c r="G742">
        <v>30286040000</v>
      </c>
      <c r="H742">
        <v>311346219000</v>
      </c>
      <c r="I742">
        <v>3895808000</v>
      </c>
      <c r="J742">
        <v>351709285000</v>
      </c>
      <c r="K742">
        <v>59335988000</v>
      </c>
      <c r="L742">
        <v>114132596000</v>
      </c>
      <c r="M742">
        <v>153887155000</v>
      </c>
      <c r="N742">
        <v>178240701000</v>
      </c>
      <c r="O742">
        <v>78621220000</v>
      </c>
      <c r="P742">
        <v>9575271000</v>
      </c>
      <c r="Q742">
        <v>7150362000</v>
      </c>
      <c r="R742">
        <v>5612825000</v>
      </c>
      <c r="S742">
        <v>11488267000</v>
      </c>
      <c r="T742">
        <v>21064000000</v>
      </c>
      <c r="U742">
        <v>-10507646000</v>
      </c>
      <c r="V742">
        <f t="shared" si="34"/>
        <v>78506252000</v>
      </c>
      <c r="W742">
        <f t="shared" si="35"/>
        <v>341154334000</v>
      </c>
    </row>
    <row r="743" spans="1:23" x14ac:dyDescent="0.2">
      <c r="A743">
        <f>IF(D743="USD",VLOOKUP(VALUE(RIGHT(E743,4)),'USD RUB'!$E:$F,2,FALSE),1)</f>
        <v>1</v>
      </c>
      <c r="B743" s="4">
        <v>1</v>
      </c>
      <c r="C743">
        <v>1000</v>
      </c>
      <c r="D743" t="s">
        <v>20</v>
      </c>
      <c r="E743" s="1" t="s">
        <v>759</v>
      </c>
      <c r="F743">
        <v>7636015000</v>
      </c>
      <c r="G743">
        <v>29757855000</v>
      </c>
      <c r="H743">
        <v>311254655000</v>
      </c>
      <c r="I743">
        <v>3762047000</v>
      </c>
      <c r="J743">
        <v>350950422000</v>
      </c>
      <c r="K743">
        <v>59469181000</v>
      </c>
      <c r="L743">
        <v>113476077000</v>
      </c>
      <c r="M743">
        <v>153651618000</v>
      </c>
      <c r="N743">
        <v>178005164000</v>
      </c>
      <c r="O743">
        <v>42075081000</v>
      </c>
      <c r="P743">
        <v>6381959000</v>
      </c>
      <c r="Q743">
        <v>5054623000</v>
      </c>
      <c r="R743">
        <v>3965309000</v>
      </c>
      <c r="S743">
        <v>5818225000</v>
      </c>
      <c r="T743">
        <v>12203000000</v>
      </c>
      <c r="U743">
        <v>-6022185000</v>
      </c>
      <c r="V743">
        <f t="shared" si="34"/>
        <v>42141725000</v>
      </c>
      <c r="W743">
        <f t="shared" si="35"/>
        <v>340511059000</v>
      </c>
    </row>
    <row r="744" spans="1:23" x14ac:dyDescent="0.2">
      <c r="A744">
        <f>IF(D744="USD",VLOOKUP(VALUE(RIGHT(E744,4)),'USD RUB'!$E:$F,2,FALSE),1)</f>
        <v>1</v>
      </c>
      <c r="B744" s="4">
        <v>1</v>
      </c>
      <c r="C744">
        <v>1000</v>
      </c>
      <c r="D744" t="s">
        <v>20</v>
      </c>
      <c r="E744" s="1" t="s">
        <v>760</v>
      </c>
      <c r="F744">
        <v>1991498000</v>
      </c>
      <c r="G744">
        <v>23963848000</v>
      </c>
      <c r="H744">
        <v>312916945000</v>
      </c>
      <c r="I744">
        <v>3614040000</v>
      </c>
      <c r="J744">
        <v>346710892000</v>
      </c>
      <c r="K744">
        <v>70648409000</v>
      </c>
      <c r="L744">
        <v>102127226000</v>
      </c>
      <c r="M744">
        <v>149581711000</v>
      </c>
      <c r="N744">
        <v>173935257000</v>
      </c>
      <c r="O744">
        <v>161462996000</v>
      </c>
      <c r="P744">
        <v>16792940000</v>
      </c>
      <c r="Q744">
        <v>11705157000</v>
      </c>
      <c r="R744">
        <v>8106831000</v>
      </c>
      <c r="S744">
        <v>22730245000</v>
      </c>
      <c r="T744">
        <v>39970000000</v>
      </c>
      <c r="U744">
        <v>-27494021000</v>
      </c>
      <c r="V744">
        <f t="shared" si="34"/>
        <v>159484659000</v>
      </c>
      <c r="W744">
        <f t="shared" si="35"/>
        <v>338100532000</v>
      </c>
    </row>
    <row r="745" spans="1:23" x14ac:dyDescent="0.2">
      <c r="A745">
        <f>IF(D745="USD",VLOOKUP(VALUE(RIGHT(E745,4)),'USD RUB'!$E:$F,2,FALSE),1)</f>
        <v>1</v>
      </c>
      <c r="B745" s="4">
        <v>1</v>
      </c>
      <c r="C745">
        <v>1000</v>
      </c>
      <c r="D745" t="s">
        <v>20</v>
      </c>
      <c r="E745" s="1" t="s">
        <v>761</v>
      </c>
      <c r="F745">
        <v>4293690000</v>
      </c>
      <c r="G745">
        <v>27417751000</v>
      </c>
      <c r="H745">
        <v>301663642000</v>
      </c>
      <c r="I745">
        <v>3508747000</v>
      </c>
      <c r="J745">
        <v>339049255000</v>
      </c>
      <c r="K745">
        <v>75972141000</v>
      </c>
      <c r="L745">
        <v>88136087000</v>
      </c>
      <c r="M745">
        <v>150587481000</v>
      </c>
      <c r="N745">
        <v>174941027000</v>
      </c>
      <c r="O745">
        <v>115876161000</v>
      </c>
      <c r="P745">
        <v>13258390000</v>
      </c>
      <c r="Q745">
        <v>9129085000</v>
      </c>
      <c r="R745">
        <v>6686521000</v>
      </c>
      <c r="S745">
        <v>17061961000</v>
      </c>
      <c r="T745">
        <v>30965000000</v>
      </c>
      <c r="U745">
        <v>-15946712000</v>
      </c>
      <c r="V745">
        <f t="shared" si="34"/>
        <v>113702555000</v>
      </c>
      <c r="W745">
        <f t="shared" si="35"/>
        <v>339074506000</v>
      </c>
    </row>
    <row r="746" spans="1:23" x14ac:dyDescent="0.2">
      <c r="A746">
        <f>IF(D746="USD",VLOOKUP(VALUE(RIGHT(E746,4)),'USD RUB'!$E:$F,2,FALSE),1)</f>
        <v>1</v>
      </c>
      <c r="B746" s="4">
        <v>1</v>
      </c>
      <c r="C746">
        <v>1000</v>
      </c>
      <c r="D746" t="s">
        <v>20</v>
      </c>
      <c r="E746" s="1" t="s">
        <v>762</v>
      </c>
      <c r="F746">
        <v>7348735000</v>
      </c>
      <c r="G746">
        <v>29104095000</v>
      </c>
      <c r="H746">
        <v>302157792000</v>
      </c>
      <c r="I746">
        <v>3522671000</v>
      </c>
      <c r="J746">
        <v>341154334000</v>
      </c>
      <c r="K746">
        <v>69336419000</v>
      </c>
      <c r="L746">
        <v>97617492000</v>
      </c>
      <c r="M746">
        <v>149846877000</v>
      </c>
      <c r="N746">
        <v>174200423000</v>
      </c>
      <c r="O746">
        <v>78506252000</v>
      </c>
      <c r="P746">
        <v>10538287000</v>
      </c>
      <c r="Q746">
        <v>7666684000</v>
      </c>
      <c r="R746">
        <v>5885739000</v>
      </c>
      <c r="S746">
        <v>11234561000</v>
      </c>
      <c r="U746">
        <v>-11062066000</v>
      </c>
      <c r="V746">
        <f t="shared" si="34"/>
        <v>77550332000</v>
      </c>
      <c r="W746">
        <f t="shared" si="35"/>
        <v>339294940000</v>
      </c>
    </row>
    <row r="747" spans="1:23" x14ac:dyDescent="0.2">
      <c r="A747">
        <f>IF(D747="USD",VLOOKUP(VALUE(RIGHT(E747,4)),'USD RUB'!$E:$F,2,FALSE),1)</f>
        <v>1</v>
      </c>
      <c r="B747" s="4">
        <v>1</v>
      </c>
      <c r="C747">
        <v>1000</v>
      </c>
      <c r="D747" t="s">
        <v>20</v>
      </c>
      <c r="E747" s="1" t="s">
        <v>763</v>
      </c>
      <c r="F747">
        <v>4479769000</v>
      </c>
      <c r="G747">
        <v>27473908000</v>
      </c>
      <c r="H747">
        <v>303395766000</v>
      </c>
      <c r="I747">
        <v>3555937000</v>
      </c>
      <c r="J747">
        <v>340511059000</v>
      </c>
      <c r="K747">
        <v>74348921000</v>
      </c>
      <c r="L747">
        <v>91217779000</v>
      </c>
      <c r="M747">
        <v>50590813000</v>
      </c>
      <c r="N747">
        <v>174944359000</v>
      </c>
      <c r="O747">
        <v>42141725000</v>
      </c>
      <c r="P747">
        <v>6069467000</v>
      </c>
      <c r="Q747">
        <v>4554101000</v>
      </c>
      <c r="R747">
        <v>3611017000</v>
      </c>
      <c r="S747">
        <v>5688437000</v>
      </c>
      <c r="T747">
        <v>12040000000</v>
      </c>
      <c r="U747">
        <v>-6791632000</v>
      </c>
      <c r="V747">
        <f t="shared" si="34"/>
        <v>41328943000</v>
      </c>
      <c r="W747">
        <f t="shared" si="35"/>
        <v>339053984000</v>
      </c>
    </row>
    <row r="748" spans="1:23" x14ac:dyDescent="0.2">
      <c r="A748">
        <f>IF(D748="USD",VLOOKUP(VALUE(RIGHT(E748,4)),'USD RUB'!$E:$F,2,FALSE),1)</f>
        <v>1</v>
      </c>
      <c r="B748" s="4">
        <v>1</v>
      </c>
      <c r="C748">
        <v>1000</v>
      </c>
      <c r="D748" t="s">
        <v>20</v>
      </c>
      <c r="E748" s="1" t="s">
        <v>764</v>
      </c>
      <c r="F748">
        <v>7093564000</v>
      </c>
      <c r="G748">
        <v>26956961000</v>
      </c>
      <c r="H748">
        <v>305232690000</v>
      </c>
      <c r="I748">
        <v>3618124000</v>
      </c>
      <c r="J748">
        <v>338100532000</v>
      </c>
      <c r="K748">
        <v>68942562000</v>
      </c>
      <c r="L748">
        <v>97751832000</v>
      </c>
      <c r="M748">
        <v>147052592000</v>
      </c>
      <c r="N748">
        <v>171406138000</v>
      </c>
      <c r="O748">
        <v>159484659000</v>
      </c>
      <c r="P748">
        <v>16782208000</v>
      </c>
      <c r="Q748">
        <v>11244794000</v>
      </c>
      <c r="R748">
        <v>6586499000</v>
      </c>
      <c r="S748">
        <v>20910577000</v>
      </c>
      <c r="U748">
        <v>-24276063000</v>
      </c>
      <c r="V748">
        <f t="shared" si="34"/>
        <v>150494410000</v>
      </c>
      <c r="W748">
        <f t="shared" si="35"/>
        <v>339052891000</v>
      </c>
    </row>
    <row r="749" spans="1:23" x14ac:dyDescent="0.2">
      <c r="A749">
        <f>IF(D749="USD",VLOOKUP(VALUE(RIGHT(E749,4)),'USD RUB'!$E:$F,2,FALSE),1)</f>
        <v>1</v>
      </c>
      <c r="B749" s="4">
        <v>1</v>
      </c>
      <c r="C749">
        <v>1000</v>
      </c>
      <c r="D749" t="s">
        <v>20</v>
      </c>
      <c r="E749" s="1" t="s">
        <v>765</v>
      </c>
      <c r="F749">
        <v>3196190000</v>
      </c>
      <c r="G749">
        <v>26858401000</v>
      </c>
      <c r="H749">
        <v>306700917000</v>
      </c>
      <c r="I749">
        <v>3322051000</v>
      </c>
      <c r="J749">
        <v>339074506000</v>
      </c>
      <c r="K749">
        <v>54656303000</v>
      </c>
      <c r="L749">
        <v>107080010000</v>
      </c>
      <c r="M749">
        <v>152984647000</v>
      </c>
      <c r="N749">
        <v>177338193000</v>
      </c>
      <c r="O749">
        <v>113702555000</v>
      </c>
      <c r="P749">
        <v>11573557000</v>
      </c>
      <c r="Q749">
        <v>7429930000</v>
      </c>
      <c r="R749">
        <v>5051486000</v>
      </c>
      <c r="S749">
        <v>15918305000</v>
      </c>
      <c r="T749">
        <v>30427000000</v>
      </c>
      <c r="U749">
        <v>-16382280000</v>
      </c>
      <c r="V749">
        <f t="shared" si="34"/>
        <v>108161783000</v>
      </c>
      <c r="W749">
        <f t="shared" si="35"/>
        <v>339998721000</v>
      </c>
    </row>
    <row r="750" spans="1:23" x14ac:dyDescent="0.2">
      <c r="A750">
        <f>IF(D750="USD",VLOOKUP(VALUE(RIGHT(E750,4)),'USD RUB'!$E:$F,2,FALSE),1)</f>
        <v>1</v>
      </c>
      <c r="B750" s="4">
        <v>1</v>
      </c>
      <c r="C750">
        <v>1000</v>
      </c>
      <c r="D750" t="s">
        <v>20</v>
      </c>
      <c r="E750" s="1" t="s">
        <v>766</v>
      </c>
      <c r="F750">
        <v>2181997000</v>
      </c>
      <c r="G750">
        <v>27492008000</v>
      </c>
      <c r="H750">
        <v>306486966000</v>
      </c>
      <c r="I750">
        <v>3224815000</v>
      </c>
      <c r="J750">
        <v>339294940000</v>
      </c>
      <c r="K750">
        <v>54847492000</v>
      </c>
      <c r="L750">
        <v>109447896000</v>
      </c>
      <c r="M750">
        <v>150646006000</v>
      </c>
      <c r="N750">
        <v>174999552000</v>
      </c>
      <c r="O750">
        <v>77550332000</v>
      </c>
      <c r="P750">
        <v>7535003000</v>
      </c>
      <c r="Q750">
        <v>4683205000</v>
      </c>
      <c r="R750">
        <v>2940746000</v>
      </c>
      <c r="S750">
        <v>10578136000</v>
      </c>
      <c r="T750">
        <v>20310000000</v>
      </c>
      <c r="U750">
        <v>-11843447000</v>
      </c>
      <c r="V750">
        <f t="shared" si="34"/>
        <v>72395468000</v>
      </c>
      <c r="W750">
        <f t="shared" si="35"/>
        <v>338560278000</v>
      </c>
    </row>
    <row r="751" spans="1:23" x14ac:dyDescent="0.2">
      <c r="A751">
        <f>IF(D751="USD",VLOOKUP(VALUE(RIGHT(E751,4)),'USD RUB'!$E:$F,2,FALSE),1)</f>
        <v>1</v>
      </c>
      <c r="B751" s="4">
        <v>1</v>
      </c>
      <c r="C751">
        <v>1000</v>
      </c>
      <c r="D751" t="s">
        <v>20</v>
      </c>
      <c r="E751" s="1" t="s">
        <v>767</v>
      </c>
      <c r="F751">
        <v>860948000</v>
      </c>
      <c r="G751">
        <v>27928895000</v>
      </c>
      <c r="H751">
        <v>305862823000</v>
      </c>
      <c r="I751">
        <v>3082729000</v>
      </c>
      <c r="J751">
        <v>339053984000</v>
      </c>
      <c r="K751">
        <v>44753334000</v>
      </c>
      <c r="L751">
        <v>118260369000</v>
      </c>
      <c r="M751">
        <v>151686735000</v>
      </c>
      <c r="N751">
        <v>176040281000</v>
      </c>
      <c r="O751">
        <v>41328943000</v>
      </c>
      <c r="P751">
        <v>5106317000</v>
      </c>
      <c r="Q751">
        <v>3641374000</v>
      </c>
      <c r="R751">
        <v>2637363000</v>
      </c>
      <c r="S751">
        <v>5269493000</v>
      </c>
      <c r="U751">
        <v>-6114032000</v>
      </c>
      <c r="V751">
        <f t="shared" si="34"/>
        <v>37879828000</v>
      </c>
      <c r="W751">
        <f t="shared" si="35"/>
        <v>337472387000</v>
      </c>
    </row>
    <row r="752" spans="1:23" x14ac:dyDescent="0.2">
      <c r="A752">
        <f>IF(D752="USD",VLOOKUP(VALUE(RIGHT(E752,4)),'USD RUB'!$E:$F,2,FALSE),1)</f>
        <v>1</v>
      </c>
      <c r="B752" s="4">
        <v>1</v>
      </c>
      <c r="C752">
        <v>1000</v>
      </c>
      <c r="D752" t="s">
        <v>20</v>
      </c>
      <c r="E752" s="1" t="s">
        <v>768</v>
      </c>
      <c r="F752">
        <v>721624000</v>
      </c>
      <c r="G752">
        <v>27169300000</v>
      </c>
      <c r="H752">
        <v>306856984000</v>
      </c>
      <c r="I752">
        <v>3045069000</v>
      </c>
      <c r="J752">
        <v>339052891000</v>
      </c>
      <c r="K752">
        <v>55257265000</v>
      </c>
      <c r="L752">
        <v>110252518000</v>
      </c>
      <c r="M752">
        <v>149189562000</v>
      </c>
      <c r="N752">
        <v>173543108000</v>
      </c>
      <c r="O752">
        <v>150494410000</v>
      </c>
      <c r="P752">
        <v>9610250000</v>
      </c>
      <c r="Q752">
        <v>3947008000</v>
      </c>
      <c r="R752">
        <v>3080975000</v>
      </c>
      <c r="S752">
        <v>20847851000</v>
      </c>
      <c r="T752">
        <v>40415000000</v>
      </c>
      <c r="U752">
        <v>-27051493000</v>
      </c>
      <c r="V752">
        <f t="shared" si="34"/>
        <v>143353717000</v>
      </c>
      <c r="W752">
        <f t="shared" si="35"/>
        <v>338515648000</v>
      </c>
    </row>
    <row r="753" spans="1:23" x14ac:dyDescent="0.2">
      <c r="A753">
        <f>IF(D753="USD",VLOOKUP(VALUE(RIGHT(E753,4)),'USD RUB'!$E:$F,2,FALSE),1)</f>
        <v>1</v>
      </c>
      <c r="B753" s="4">
        <v>1</v>
      </c>
      <c r="C753">
        <v>1000</v>
      </c>
      <c r="D753" t="s">
        <v>20</v>
      </c>
      <c r="E753" s="1" t="s">
        <v>769</v>
      </c>
      <c r="F753">
        <v>1166233000</v>
      </c>
      <c r="G753">
        <v>26794527000</v>
      </c>
      <c r="H753">
        <v>306839085000</v>
      </c>
      <c r="I753">
        <v>2610573000</v>
      </c>
      <c r="J753">
        <v>339998721000</v>
      </c>
      <c r="K753">
        <v>65663625000</v>
      </c>
      <c r="L753">
        <v>99992954000</v>
      </c>
      <c r="M753">
        <v>131407708000</v>
      </c>
      <c r="N753">
        <v>174342142000</v>
      </c>
      <c r="O753">
        <v>108161783000</v>
      </c>
      <c r="P753">
        <v>9876499000</v>
      </c>
      <c r="Q753">
        <v>5478102000</v>
      </c>
      <c r="R753">
        <v>3377927000</v>
      </c>
      <c r="S753">
        <v>15693009000</v>
      </c>
      <c r="U753">
        <v>-17650788000</v>
      </c>
      <c r="V753">
        <f t="shared" si="34"/>
        <v>100611436000</v>
      </c>
      <c r="W753">
        <f t="shared" si="35"/>
        <v>325886814000</v>
      </c>
    </row>
    <row r="754" spans="1:23" x14ac:dyDescent="0.2">
      <c r="A754">
        <f>IF(D754="USD",VLOOKUP(VALUE(RIGHT(E754,4)),'USD RUB'!$E:$F,2,FALSE),1)</f>
        <v>1</v>
      </c>
      <c r="B754" s="4">
        <v>1</v>
      </c>
      <c r="C754">
        <v>1000</v>
      </c>
      <c r="D754" t="s">
        <v>20</v>
      </c>
      <c r="E754" s="1" t="s">
        <v>770</v>
      </c>
      <c r="F754">
        <v>2084898000</v>
      </c>
      <c r="G754">
        <v>27957470000</v>
      </c>
      <c r="H754">
        <v>303660586000</v>
      </c>
      <c r="I754">
        <v>2517950000</v>
      </c>
      <c r="J754">
        <v>338560278000</v>
      </c>
      <c r="K754">
        <v>66821635000</v>
      </c>
      <c r="L754">
        <v>97875545000</v>
      </c>
      <c r="M754">
        <v>130928664000</v>
      </c>
      <c r="N754">
        <v>173863098000</v>
      </c>
      <c r="O754">
        <v>72395468000</v>
      </c>
      <c r="P754">
        <v>7384576000</v>
      </c>
      <c r="Q754">
        <v>4403581000</v>
      </c>
      <c r="R754">
        <v>2864609000</v>
      </c>
      <c r="S754">
        <v>11070325000</v>
      </c>
      <c r="T754">
        <v>18455000000</v>
      </c>
      <c r="U754">
        <v>-10851208000</v>
      </c>
      <c r="V754">
        <f t="shared" si="34"/>
        <v>67218401000</v>
      </c>
      <c r="W754">
        <f t="shared" si="35"/>
        <v>323967590000</v>
      </c>
    </row>
    <row r="755" spans="1:23" x14ac:dyDescent="0.2">
      <c r="A755">
        <f>IF(D755="USD",VLOOKUP(VALUE(RIGHT(E755,4)),'USD RUB'!$E:$F,2,FALSE),1)</f>
        <v>1</v>
      </c>
      <c r="B755" s="4">
        <v>1</v>
      </c>
      <c r="C755">
        <v>1000</v>
      </c>
      <c r="D755" t="s">
        <v>20</v>
      </c>
      <c r="E755" s="1" t="s">
        <v>771</v>
      </c>
      <c r="F755">
        <v>465666000</v>
      </c>
      <c r="G755">
        <v>28554951000</v>
      </c>
      <c r="H755">
        <v>302362244000</v>
      </c>
      <c r="I755">
        <v>2546150000</v>
      </c>
      <c r="J755">
        <v>337472387000</v>
      </c>
      <c r="K755">
        <v>67770546000</v>
      </c>
      <c r="L755">
        <v>94529087000</v>
      </c>
      <c r="M755">
        <v>132238320000</v>
      </c>
      <c r="N755">
        <v>175172754000</v>
      </c>
      <c r="O755">
        <v>37879828000</v>
      </c>
      <c r="P755">
        <v>5051676000</v>
      </c>
      <c r="Q755">
        <v>3536295000</v>
      </c>
      <c r="R755">
        <v>2664214000</v>
      </c>
      <c r="S755">
        <v>5546688000</v>
      </c>
      <c r="T755">
        <v>10410000000</v>
      </c>
      <c r="U755">
        <v>-6667343000</v>
      </c>
      <c r="V755" t="str">
        <f t="shared" si="34"/>
        <v/>
      </c>
      <c r="W755" t="str">
        <f t="shared" si="35"/>
        <v/>
      </c>
    </row>
    <row r="756" spans="1:23" x14ac:dyDescent="0.2">
      <c r="A756">
        <f>IF(D756="USD",VLOOKUP(VALUE(RIGHT(E756,4)),'USD RUB'!$E:$F,2,FALSE),1)</f>
        <v>1</v>
      </c>
      <c r="B756" s="4">
        <v>1</v>
      </c>
      <c r="C756">
        <v>1000</v>
      </c>
      <c r="D756" t="s">
        <v>20</v>
      </c>
      <c r="E756" s="1" t="s">
        <v>772</v>
      </c>
      <c r="F756">
        <v>784507000</v>
      </c>
      <c r="G756">
        <v>28542417000</v>
      </c>
      <c r="H756">
        <v>303383007000</v>
      </c>
      <c r="J756">
        <v>338515648000</v>
      </c>
      <c r="K756">
        <v>72053383000</v>
      </c>
      <c r="L756">
        <v>93896851000</v>
      </c>
      <c r="M756">
        <v>129630980000</v>
      </c>
      <c r="N756">
        <v>172565414000</v>
      </c>
      <c r="O756">
        <v>143353717000</v>
      </c>
      <c r="P756">
        <v>16286728000</v>
      </c>
      <c r="Q756">
        <v>10269952000</v>
      </c>
      <c r="R756">
        <v>9394691000</v>
      </c>
      <c r="T756">
        <v>37850000000</v>
      </c>
      <c r="V756">
        <f t="shared" si="34"/>
        <v>132355657000</v>
      </c>
      <c r="W756">
        <f t="shared" si="35"/>
        <v>325617907000</v>
      </c>
    </row>
    <row r="757" spans="1:23" x14ac:dyDescent="0.2">
      <c r="A757">
        <f>IF(D757="USD",VLOOKUP(VALUE(RIGHT(E757,4)),'USD RUB'!$E:$F,2,FALSE),1)</f>
        <v>1</v>
      </c>
      <c r="B757" s="4">
        <v>1</v>
      </c>
      <c r="C757">
        <v>1000</v>
      </c>
      <c r="D757" t="s">
        <v>20</v>
      </c>
      <c r="E757" s="1" t="s">
        <v>773</v>
      </c>
      <c r="F757">
        <v>240360000</v>
      </c>
      <c r="G757">
        <v>26302991000</v>
      </c>
      <c r="H757">
        <v>293002420000</v>
      </c>
      <c r="J757">
        <v>325886814000</v>
      </c>
      <c r="K757">
        <v>77550989000</v>
      </c>
      <c r="L757">
        <v>83196044000</v>
      </c>
      <c r="M757">
        <v>122205347000</v>
      </c>
      <c r="N757">
        <v>165139781000</v>
      </c>
      <c r="O757">
        <v>100611436000</v>
      </c>
      <c r="P757">
        <v>8277158000</v>
      </c>
      <c r="Q757">
        <v>3735529000</v>
      </c>
      <c r="R757">
        <v>2633149000</v>
      </c>
      <c r="T757">
        <v>24530000000</v>
      </c>
      <c r="V757" t="str">
        <f t="shared" si="34"/>
        <v/>
      </c>
      <c r="W757" t="str">
        <f t="shared" si="35"/>
        <v/>
      </c>
    </row>
    <row r="758" spans="1:23" x14ac:dyDescent="0.2">
      <c r="A758">
        <f>IF(D758="USD",VLOOKUP(VALUE(RIGHT(E758,4)),'USD RUB'!$E:$F,2,FALSE),1)</f>
        <v>1</v>
      </c>
      <c r="B758" s="4">
        <v>1</v>
      </c>
      <c r="C758">
        <v>1000</v>
      </c>
      <c r="D758" t="s">
        <v>20</v>
      </c>
      <c r="E758" s="1" t="s">
        <v>774</v>
      </c>
      <c r="F758">
        <v>171978000</v>
      </c>
      <c r="G758">
        <v>26131955000</v>
      </c>
      <c r="H758">
        <v>290987369000</v>
      </c>
      <c r="J758">
        <v>323967590000</v>
      </c>
      <c r="K758">
        <v>64671024000</v>
      </c>
      <c r="L758">
        <v>94881999000</v>
      </c>
      <c r="M758">
        <v>121480133000</v>
      </c>
      <c r="N758">
        <v>164414567000</v>
      </c>
      <c r="O758">
        <v>67218401000</v>
      </c>
      <c r="Q758">
        <v>2725959000</v>
      </c>
      <c r="R758">
        <v>1868981000</v>
      </c>
      <c r="T758">
        <v>16119000000</v>
      </c>
      <c r="V758">
        <f t="shared" si="34"/>
        <v>61526776000</v>
      </c>
      <c r="W758">
        <f t="shared" si="35"/>
        <v>317187149000</v>
      </c>
    </row>
    <row r="759" spans="1:23" x14ac:dyDescent="0.2">
      <c r="A759">
        <f>IF(D759="USD",VLOOKUP(VALUE(RIGHT(E759,4)),'USD RUB'!$E:$F,2,FALSE),1)</f>
        <v>1</v>
      </c>
      <c r="B759" s="4">
        <v>1</v>
      </c>
      <c r="C759">
        <v>1000</v>
      </c>
      <c r="D759" t="s">
        <v>20</v>
      </c>
      <c r="E759" s="1" t="s">
        <v>775</v>
      </c>
      <c r="F759">
        <v>400645000</v>
      </c>
      <c r="G759">
        <v>29148955000</v>
      </c>
      <c r="H759">
        <v>289911674000</v>
      </c>
      <c r="J759">
        <v>325617907000</v>
      </c>
      <c r="K759">
        <v>61792205000</v>
      </c>
      <c r="L759">
        <v>94592997000</v>
      </c>
      <c r="M759">
        <v>126298271000</v>
      </c>
      <c r="N759">
        <v>169232705000</v>
      </c>
      <c r="O759">
        <v>132355657000</v>
      </c>
      <c r="P759">
        <v>23898222000</v>
      </c>
      <c r="Q759">
        <v>19640443000</v>
      </c>
      <c r="R759">
        <v>12630793000</v>
      </c>
      <c r="T759">
        <v>44668000000</v>
      </c>
      <c r="V759">
        <f t="shared" si="34"/>
        <v>128018249000</v>
      </c>
      <c r="W759">
        <f t="shared" si="35"/>
        <v>310583387000</v>
      </c>
    </row>
    <row r="760" spans="1:23" x14ac:dyDescent="0.2">
      <c r="A760">
        <f>IF(D760="USD",VLOOKUP(VALUE(RIGHT(E760,4)),'USD RUB'!$E:$F,2,FALSE),1)</f>
        <v>1</v>
      </c>
      <c r="B760" s="4">
        <v>1</v>
      </c>
      <c r="C760">
        <v>1000</v>
      </c>
      <c r="D760" t="s">
        <v>20</v>
      </c>
      <c r="E760" s="1" t="s">
        <v>776</v>
      </c>
      <c r="F760">
        <v>7294849000</v>
      </c>
      <c r="G760">
        <v>33713975000</v>
      </c>
      <c r="H760">
        <v>277516496000</v>
      </c>
      <c r="J760">
        <v>317187149000</v>
      </c>
      <c r="K760">
        <v>77488051000</v>
      </c>
      <c r="L760">
        <v>77227260000</v>
      </c>
      <c r="M760">
        <v>119119990000</v>
      </c>
      <c r="N760">
        <v>162471838000</v>
      </c>
      <c r="O760">
        <v>61526776000</v>
      </c>
      <c r="P760">
        <v>9375478000</v>
      </c>
      <c r="Q760">
        <v>7437370000</v>
      </c>
      <c r="R760">
        <v>5583922000</v>
      </c>
      <c r="T760">
        <v>19823000000</v>
      </c>
      <c r="V760">
        <f t="shared" si="34"/>
        <v>60273466000</v>
      </c>
      <c r="W760">
        <f t="shared" si="35"/>
        <v>294050121000</v>
      </c>
    </row>
    <row r="761" spans="1:23" x14ac:dyDescent="0.2">
      <c r="A761">
        <f>IF(D761="USD",VLOOKUP(VALUE(RIGHT(E761,4)),'USD RUB'!$E:$F,2,FALSE),1)</f>
        <v>1</v>
      </c>
      <c r="B761" s="4">
        <v>1</v>
      </c>
      <c r="C761">
        <v>1000</v>
      </c>
      <c r="D761" t="s">
        <v>20</v>
      </c>
      <c r="E761" s="1" t="s">
        <v>777</v>
      </c>
      <c r="F761">
        <v>4305289000</v>
      </c>
      <c r="G761">
        <v>30557853000</v>
      </c>
      <c r="H761">
        <v>273668067000</v>
      </c>
      <c r="J761">
        <v>310583387000</v>
      </c>
      <c r="K761">
        <v>76393058000</v>
      </c>
      <c r="L761">
        <v>75164660000</v>
      </c>
      <c r="M761">
        <v>115659250000</v>
      </c>
      <c r="N761">
        <v>159025669000</v>
      </c>
      <c r="O761">
        <v>128018249000</v>
      </c>
      <c r="P761">
        <v>14399278000</v>
      </c>
      <c r="Q761">
        <v>11405635000</v>
      </c>
      <c r="R761">
        <v>8078357000</v>
      </c>
      <c r="T761">
        <v>35000000000</v>
      </c>
      <c r="V761">
        <f t="shared" si="34"/>
        <v>129125139000</v>
      </c>
      <c r="W761">
        <f t="shared" si="35"/>
        <v>286301352000</v>
      </c>
    </row>
    <row r="762" spans="1:23" x14ac:dyDescent="0.2">
      <c r="A762">
        <f>IF(D762="USD",VLOOKUP(VALUE(RIGHT(E762,4)),'USD RUB'!$E:$F,2,FALSE),1)</f>
        <v>1</v>
      </c>
      <c r="B762" s="4">
        <v>1</v>
      </c>
      <c r="C762">
        <v>1000</v>
      </c>
      <c r="D762" t="s">
        <v>20</v>
      </c>
      <c r="E762" s="1" t="s">
        <v>778</v>
      </c>
      <c r="F762">
        <v>4444698000</v>
      </c>
      <c r="G762">
        <v>27260175000</v>
      </c>
      <c r="H762">
        <v>259544615000</v>
      </c>
      <c r="J762">
        <v>294050121000</v>
      </c>
      <c r="K762">
        <v>65593657000</v>
      </c>
      <c r="L762">
        <v>73380207000</v>
      </c>
      <c r="M762">
        <v>111712837000</v>
      </c>
      <c r="N762">
        <v>155076257000</v>
      </c>
      <c r="O762">
        <v>60273466000</v>
      </c>
      <c r="P762">
        <v>7216653000</v>
      </c>
      <c r="Q762">
        <v>5807049000</v>
      </c>
      <c r="R762">
        <v>4314139000</v>
      </c>
      <c r="T762">
        <v>17300000000</v>
      </c>
      <c r="V762">
        <f t="shared" si="34"/>
        <v>61231364000</v>
      </c>
      <c r="W762">
        <f t="shared" si="35"/>
        <v>266106488000</v>
      </c>
    </row>
    <row r="763" spans="1:23" x14ac:dyDescent="0.2">
      <c r="A763">
        <f>IF(D763="USD",VLOOKUP(VALUE(RIGHT(E763,4)),'USD RUB'!$E:$F,2,FALSE),1)</f>
        <v>1</v>
      </c>
      <c r="B763" s="4">
        <v>1</v>
      </c>
      <c r="C763">
        <v>1000</v>
      </c>
      <c r="D763" t="s">
        <v>20</v>
      </c>
      <c r="E763" s="1" t="s">
        <v>779</v>
      </c>
      <c r="F763">
        <v>1596266000</v>
      </c>
      <c r="G763">
        <v>26399271000</v>
      </c>
      <c r="H763">
        <v>253234087000</v>
      </c>
      <c r="J763">
        <v>286301352000</v>
      </c>
      <c r="K763">
        <v>58821899000</v>
      </c>
      <c r="L763">
        <v>73901791000</v>
      </c>
      <c r="N763">
        <v>153577662000</v>
      </c>
      <c r="O763">
        <v>129125139000</v>
      </c>
      <c r="P763">
        <v>26527692000</v>
      </c>
      <c r="Q763">
        <v>24371280000</v>
      </c>
      <c r="R763">
        <v>19473084000</v>
      </c>
      <c r="T763">
        <v>44446000000</v>
      </c>
      <c r="V763">
        <f t="shared" si="34"/>
        <v>125324329000</v>
      </c>
      <c r="W763">
        <f t="shared" si="35"/>
        <v>269056541000</v>
      </c>
    </row>
    <row r="764" spans="1:23" x14ac:dyDescent="0.2">
      <c r="A764">
        <f>IF(D764="USD",VLOOKUP(VALUE(RIGHT(E764,4)),'USD RUB'!$E:$F,2,FALSE),1)</f>
        <v>1</v>
      </c>
      <c r="B764" s="4">
        <v>1</v>
      </c>
      <c r="C764">
        <v>1000</v>
      </c>
      <c r="D764" t="s">
        <v>20</v>
      </c>
      <c r="E764" s="1" t="s">
        <v>780</v>
      </c>
      <c r="F764">
        <v>6956389000</v>
      </c>
      <c r="G764">
        <v>28571724000</v>
      </c>
      <c r="H764">
        <v>230444421000</v>
      </c>
      <c r="J764">
        <v>266106488000</v>
      </c>
      <c r="K764">
        <v>57176097000</v>
      </c>
      <c r="L764">
        <v>67084995000</v>
      </c>
      <c r="N764">
        <v>141845396000</v>
      </c>
      <c r="O764">
        <v>61231364000</v>
      </c>
      <c r="P764">
        <v>10217419000</v>
      </c>
      <c r="Q764">
        <v>8881002000</v>
      </c>
      <c r="R764">
        <v>7188514000</v>
      </c>
      <c r="T764">
        <v>18804000000</v>
      </c>
      <c r="V764">
        <f t="shared" si="34"/>
        <v>57134235000</v>
      </c>
      <c r="W764">
        <f t="shared" si="35"/>
        <v>252644443000</v>
      </c>
    </row>
    <row r="765" spans="1:23" x14ac:dyDescent="0.2">
      <c r="A765">
        <f>IF(D765="USD",VLOOKUP(VALUE(RIGHT(E765,4)),'USD RUB'!$E:$F,2,FALSE),1)</f>
        <v>1</v>
      </c>
      <c r="B765" s="4">
        <v>1</v>
      </c>
      <c r="C765">
        <v>1000</v>
      </c>
      <c r="D765" t="s">
        <v>20</v>
      </c>
      <c r="E765" s="1" t="s">
        <v>781</v>
      </c>
      <c r="F765">
        <v>8331910000</v>
      </c>
      <c r="G765">
        <v>30541492000</v>
      </c>
      <c r="H765">
        <v>226647139000</v>
      </c>
      <c r="J765">
        <v>269056541000</v>
      </c>
      <c r="K765">
        <v>57592516000</v>
      </c>
      <c r="L765">
        <v>70869585000</v>
      </c>
      <c r="N765">
        <v>140594440000</v>
      </c>
      <c r="O765">
        <v>125324329000</v>
      </c>
      <c r="P765">
        <v>26185615000</v>
      </c>
      <c r="Q765">
        <v>25396524000</v>
      </c>
      <c r="R765">
        <v>18949884000</v>
      </c>
      <c r="V765">
        <f t="shared" si="34"/>
        <v>129365994000</v>
      </c>
      <c r="W765">
        <f t="shared" si="35"/>
        <v>249558806000</v>
      </c>
    </row>
    <row r="766" spans="1:23" x14ac:dyDescent="0.2">
      <c r="A766">
        <f>IF(D766="USD",VLOOKUP(VALUE(RIGHT(E766,4)),'USD RUB'!$E:$F,2,FALSE),1)</f>
        <v>1</v>
      </c>
      <c r="B766" s="4">
        <v>1</v>
      </c>
      <c r="C766">
        <v>1000</v>
      </c>
      <c r="D766" t="s">
        <v>20</v>
      </c>
      <c r="E766" s="1" t="s">
        <v>782</v>
      </c>
      <c r="F766">
        <v>1883936000</v>
      </c>
      <c r="G766">
        <v>26313813000</v>
      </c>
      <c r="H766">
        <v>210681180000</v>
      </c>
      <c r="J766">
        <v>252644443000</v>
      </c>
      <c r="K766">
        <v>39619495000</v>
      </c>
      <c r="L766">
        <v>82726909000</v>
      </c>
      <c r="N766">
        <v>130298039000</v>
      </c>
      <c r="O766">
        <v>57134235000</v>
      </c>
      <c r="P766">
        <v>11864303000</v>
      </c>
      <c r="Q766">
        <v>11377627000</v>
      </c>
      <c r="R766">
        <v>8653483000</v>
      </c>
      <c r="T766">
        <v>21678000000</v>
      </c>
      <c r="V766">
        <f t="shared" si="34"/>
        <v>62317097000</v>
      </c>
      <c r="W766">
        <f t="shared" si="35"/>
        <v>234548923000</v>
      </c>
    </row>
    <row r="767" spans="1:23" x14ac:dyDescent="0.2">
      <c r="A767">
        <f>IF(D767="USD",VLOOKUP(VALUE(RIGHT(E767,4)),'USD RUB'!$E:$F,2,FALSE),1)</f>
        <v>1</v>
      </c>
      <c r="B767" s="4">
        <v>1</v>
      </c>
      <c r="C767">
        <v>1000</v>
      </c>
      <c r="D767" t="s">
        <v>20</v>
      </c>
      <c r="E767" s="1" t="s">
        <v>783</v>
      </c>
      <c r="F767">
        <v>3944875000</v>
      </c>
      <c r="G767">
        <v>28782372000</v>
      </c>
      <c r="H767">
        <v>205734239000</v>
      </c>
      <c r="J767">
        <v>249558806000</v>
      </c>
      <c r="K767">
        <v>55068976000</v>
      </c>
      <c r="L767">
        <v>71576597000</v>
      </c>
      <c r="N767">
        <v>122913233000</v>
      </c>
      <c r="O767">
        <v>129365994000</v>
      </c>
      <c r="P767">
        <v>25109737000</v>
      </c>
      <c r="Q767">
        <v>23444592000</v>
      </c>
      <c r="R767">
        <v>18042560000</v>
      </c>
      <c r="T767">
        <v>41800000000</v>
      </c>
      <c r="V767" t="str">
        <f t="shared" si="34"/>
        <v/>
      </c>
      <c r="W767" t="str">
        <f t="shared" si="35"/>
        <v/>
      </c>
    </row>
    <row r="768" spans="1:23" x14ac:dyDescent="0.2">
      <c r="A768">
        <f>IF(D768="USD",VLOOKUP(VALUE(RIGHT(E768,4)),'USD RUB'!$E:$F,2,FALSE),1)</f>
        <v>1</v>
      </c>
      <c r="B768" s="4">
        <v>1</v>
      </c>
      <c r="C768">
        <v>1000</v>
      </c>
      <c r="D768" t="s">
        <v>20</v>
      </c>
      <c r="E768" s="1" t="s">
        <v>784</v>
      </c>
      <c r="F768">
        <v>1337241000</v>
      </c>
      <c r="G768">
        <v>28307180000</v>
      </c>
      <c r="H768">
        <v>190704905000</v>
      </c>
      <c r="J768">
        <v>234548923000</v>
      </c>
      <c r="K768">
        <v>71442039000</v>
      </c>
      <c r="L768">
        <v>48851265000</v>
      </c>
      <c r="N768">
        <v>114255619000</v>
      </c>
      <c r="O768">
        <v>62317097000</v>
      </c>
      <c r="P768">
        <v>13182072000</v>
      </c>
      <c r="Q768">
        <v>12360443000</v>
      </c>
      <c r="R768">
        <v>9384945000</v>
      </c>
      <c r="T768">
        <v>21196000000</v>
      </c>
      <c r="V768" t="str">
        <f t="shared" si="34"/>
        <v/>
      </c>
      <c r="W768" t="str">
        <f t="shared" si="35"/>
        <v/>
      </c>
    </row>
    <row r="769" spans="1:23" x14ac:dyDescent="0.2">
      <c r="A769">
        <f>IF(D769="USD",VLOOKUP(VALUE(RIGHT(E769,4)),'USD RUB'!$E:$F,2,FALSE),1)</f>
        <v>1</v>
      </c>
      <c r="B769" s="4">
        <v>1</v>
      </c>
      <c r="C769">
        <v>1000000</v>
      </c>
      <c r="D769" t="s">
        <v>20</v>
      </c>
      <c r="E769" s="1" t="s">
        <v>785</v>
      </c>
      <c r="F769">
        <v>12000000</v>
      </c>
      <c r="G769">
        <v>33914000000</v>
      </c>
      <c r="H769">
        <v>142771000000</v>
      </c>
      <c r="I769">
        <v>330000000</v>
      </c>
      <c r="J769">
        <v>201891000000</v>
      </c>
      <c r="K769">
        <v>14916000000</v>
      </c>
      <c r="L769">
        <v>32710000000</v>
      </c>
      <c r="M769">
        <v>87362000000</v>
      </c>
      <c r="N769">
        <v>154265000000</v>
      </c>
      <c r="O769">
        <v>119860000000</v>
      </c>
      <c r="P769">
        <v>21849000000</v>
      </c>
      <c r="Q769">
        <v>20651000000</v>
      </c>
      <c r="R769">
        <v>15837000000</v>
      </c>
      <c r="S769">
        <v>8167000000</v>
      </c>
      <c r="T769">
        <v>30051000000</v>
      </c>
      <c r="U769">
        <v>-7161000000</v>
      </c>
      <c r="V769" t="str">
        <f t="shared" si="34"/>
        <v/>
      </c>
      <c r="W769" t="str">
        <f t="shared" si="35"/>
        <v/>
      </c>
    </row>
    <row r="770" spans="1:23" x14ac:dyDescent="0.2">
      <c r="A770">
        <f>IF(D770="USD",VLOOKUP(VALUE(RIGHT(E770,4)),'USD RUB'!$E:$F,2,FALSE),1)</f>
        <v>1</v>
      </c>
      <c r="B770" s="4">
        <v>1</v>
      </c>
      <c r="C770">
        <v>1000000</v>
      </c>
      <c r="D770" t="s">
        <v>20</v>
      </c>
      <c r="E770" s="1" t="s">
        <v>786</v>
      </c>
      <c r="F770">
        <v>12000000</v>
      </c>
      <c r="G770">
        <v>32637000000</v>
      </c>
      <c r="H770">
        <v>2504000000</v>
      </c>
      <c r="I770">
        <v>351000000</v>
      </c>
      <c r="J770">
        <v>201209000000</v>
      </c>
      <c r="K770">
        <v>25735000000</v>
      </c>
      <c r="L770">
        <v>24719000000</v>
      </c>
      <c r="M770">
        <v>83852000000</v>
      </c>
      <c r="N770">
        <v>150755000000</v>
      </c>
      <c r="O770">
        <v>78594000000</v>
      </c>
      <c r="P770">
        <v>16573000000</v>
      </c>
      <c r="Q770">
        <v>15553000000</v>
      </c>
      <c r="R770">
        <v>12347000000</v>
      </c>
      <c r="S770">
        <v>5428000000</v>
      </c>
      <c r="T770">
        <v>22036000000</v>
      </c>
      <c r="U770">
        <v>-4519000000</v>
      </c>
      <c r="V770" t="str">
        <f t="shared" si="34"/>
        <v/>
      </c>
      <c r="W770" t="str">
        <f t="shared" si="35"/>
        <v/>
      </c>
    </row>
    <row r="771" spans="1:23" x14ac:dyDescent="0.2">
      <c r="A771">
        <f>IF(D771="USD",VLOOKUP(VALUE(RIGHT(E771,4)),'USD RUB'!$E:$F,2,FALSE),1)</f>
        <v>1</v>
      </c>
      <c r="B771" s="4">
        <v>1</v>
      </c>
      <c r="C771">
        <v>1000000</v>
      </c>
      <c r="D771" t="s">
        <v>20</v>
      </c>
      <c r="E771" s="1" t="s">
        <v>787</v>
      </c>
      <c r="F771">
        <v>59000000</v>
      </c>
      <c r="G771">
        <v>47529000000</v>
      </c>
      <c r="H771">
        <v>146386000000</v>
      </c>
      <c r="I771">
        <v>276000000</v>
      </c>
      <c r="J771">
        <v>216358000000</v>
      </c>
      <c r="K771">
        <v>38757000000</v>
      </c>
      <c r="L771">
        <v>27581000000</v>
      </c>
      <c r="M771">
        <v>83099000000</v>
      </c>
      <c r="N771">
        <v>150020000000</v>
      </c>
      <c r="O771">
        <v>39589000000</v>
      </c>
      <c r="P771">
        <v>9496000000</v>
      </c>
      <c r="Q771">
        <v>9045000000</v>
      </c>
      <c r="R771">
        <v>7224000000</v>
      </c>
      <c r="S771">
        <v>3170000000</v>
      </c>
      <c r="T771">
        <v>12665000000</v>
      </c>
      <c r="U771">
        <v>-2345000000</v>
      </c>
      <c r="V771">
        <f t="shared" si="34"/>
        <v>36861000000</v>
      </c>
      <c r="W771">
        <f t="shared" si="35"/>
        <v>231184000000</v>
      </c>
    </row>
    <row r="772" spans="1:23" x14ac:dyDescent="0.2">
      <c r="A772">
        <f>IF(D772="USD",VLOOKUP(VALUE(RIGHT(E772,4)),'USD RUB'!$E:$F,2,FALSE),1)</f>
        <v>1</v>
      </c>
      <c r="B772" s="4">
        <v>1</v>
      </c>
      <c r="C772">
        <v>1000000</v>
      </c>
      <c r="D772" t="s">
        <v>20</v>
      </c>
      <c r="E772" s="1" t="s">
        <v>788</v>
      </c>
      <c r="F772">
        <v>70000000</v>
      </c>
      <c r="G772">
        <v>40759000000</v>
      </c>
      <c r="H772">
        <v>147745000000</v>
      </c>
      <c r="I772">
        <v>338000000</v>
      </c>
      <c r="J772">
        <v>210134000000</v>
      </c>
      <c r="K772">
        <v>13893000000</v>
      </c>
      <c r="L772">
        <v>53445000000</v>
      </c>
      <c r="M772">
        <v>75877000000</v>
      </c>
      <c r="N772">
        <v>142796000000</v>
      </c>
      <c r="O772">
        <v>141574000000</v>
      </c>
      <c r="P772">
        <v>7703000000</v>
      </c>
      <c r="Q772">
        <v>5616000000</v>
      </c>
      <c r="R772">
        <v>4435000000</v>
      </c>
      <c r="S772">
        <v>13114000000</v>
      </c>
      <c r="T772">
        <v>39543000000</v>
      </c>
      <c r="U772">
        <v>-14832000000</v>
      </c>
      <c r="V772">
        <f t="shared" si="34"/>
        <v>120687000000</v>
      </c>
      <c r="W772">
        <f t="shared" si="35"/>
        <v>224431000000</v>
      </c>
    </row>
    <row r="773" spans="1:23" x14ac:dyDescent="0.2">
      <c r="A773">
        <f>IF(D773="USD",VLOOKUP(VALUE(RIGHT(E773,4)),'USD RUB'!$E:$F,2,FALSE),1)</f>
        <v>1</v>
      </c>
      <c r="B773" s="4">
        <v>1</v>
      </c>
      <c r="C773">
        <v>1000000</v>
      </c>
      <c r="D773" t="s">
        <v>20</v>
      </c>
      <c r="E773" s="1" t="s">
        <v>789</v>
      </c>
      <c r="F773">
        <v>57000000</v>
      </c>
      <c r="G773">
        <v>38911000000</v>
      </c>
      <c r="H773">
        <v>164508000000</v>
      </c>
      <c r="I773">
        <v>401000000</v>
      </c>
      <c r="J773">
        <v>225330000000</v>
      </c>
      <c r="K773">
        <v>13025000000</v>
      </c>
      <c r="L773">
        <v>59723000000</v>
      </c>
      <c r="M773">
        <v>85663000000</v>
      </c>
      <c r="N773">
        <v>152582000000</v>
      </c>
      <c r="O773">
        <v>104484000000</v>
      </c>
      <c r="P773">
        <v>19233000000</v>
      </c>
      <c r="Q773">
        <v>17837000000</v>
      </c>
      <c r="R773">
        <v>14406000000</v>
      </c>
      <c r="S773">
        <v>10377000000</v>
      </c>
      <c r="T773">
        <v>29610000000</v>
      </c>
      <c r="U773">
        <v>-9175000000</v>
      </c>
      <c r="V773">
        <f t="shared" si="34"/>
        <v>88747000000</v>
      </c>
      <c r="W773">
        <f t="shared" si="35"/>
        <v>212196000000</v>
      </c>
    </row>
    <row r="774" spans="1:23" x14ac:dyDescent="0.2">
      <c r="A774">
        <f>IF(D774="USD",VLOOKUP(VALUE(RIGHT(E774,4)),'USD RUB'!$E:$F,2,FALSE),1)</f>
        <v>1</v>
      </c>
      <c r="B774" s="4">
        <v>1</v>
      </c>
      <c r="C774">
        <v>1000000</v>
      </c>
      <c r="D774" t="s">
        <v>20</v>
      </c>
      <c r="E774" s="1" t="s">
        <v>790</v>
      </c>
      <c r="F774">
        <v>86000000</v>
      </c>
      <c r="G774">
        <v>42419000000</v>
      </c>
      <c r="H774">
        <v>165397000000</v>
      </c>
      <c r="I774">
        <v>443000000</v>
      </c>
      <c r="J774">
        <v>229570000000</v>
      </c>
      <c r="K774">
        <v>20198000000</v>
      </c>
      <c r="L774">
        <v>59882000000</v>
      </c>
      <c r="M774">
        <v>82571000000</v>
      </c>
      <c r="N774">
        <v>149490000000</v>
      </c>
      <c r="O774">
        <v>66488000000</v>
      </c>
      <c r="P774">
        <v>15340000000</v>
      </c>
      <c r="Q774">
        <v>14160000000</v>
      </c>
      <c r="R774">
        <v>11320000000</v>
      </c>
      <c r="S774">
        <v>6954000000</v>
      </c>
      <c r="T774">
        <v>22294000000</v>
      </c>
      <c r="U774">
        <v>-6291000000</v>
      </c>
      <c r="V774">
        <f t="shared" si="34"/>
        <v>60328000000</v>
      </c>
      <c r="W774">
        <f t="shared" si="35"/>
        <v>218735000000</v>
      </c>
    </row>
    <row r="775" spans="1:23" x14ac:dyDescent="0.2">
      <c r="A775">
        <f>IF(D775="USD",VLOOKUP(VALUE(RIGHT(E775,4)),'USD RUB'!$E:$F,2,FALSE),1)</f>
        <v>1</v>
      </c>
      <c r="B775" s="4">
        <v>1</v>
      </c>
      <c r="C775">
        <v>1000000</v>
      </c>
      <c r="D775" t="s">
        <v>20</v>
      </c>
      <c r="E775" s="1" t="s">
        <v>791</v>
      </c>
      <c r="F775">
        <v>66000000</v>
      </c>
      <c r="G775">
        <v>43347000000</v>
      </c>
      <c r="H775">
        <v>165764000000</v>
      </c>
      <c r="I775">
        <v>351000000</v>
      </c>
      <c r="J775">
        <v>231184000000</v>
      </c>
      <c r="K775">
        <v>19637000000</v>
      </c>
      <c r="L775">
        <v>59759000000</v>
      </c>
      <c r="M775">
        <v>84869000000</v>
      </c>
      <c r="N775">
        <v>151788000000</v>
      </c>
      <c r="O775">
        <v>36861000000</v>
      </c>
      <c r="P775">
        <v>9474000000</v>
      </c>
      <c r="Q775">
        <v>8954000000</v>
      </c>
      <c r="R775">
        <v>7143000000</v>
      </c>
      <c r="S775">
        <v>3523000000</v>
      </c>
      <c r="T775">
        <v>12997000000</v>
      </c>
      <c r="U775">
        <v>-4013000000</v>
      </c>
      <c r="V775">
        <f t="shared" si="34"/>
        <v>34350000000</v>
      </c>
      <c r="W775">
        <f t="shared" si="35"/>
        <v>219766000000</v>
      </c>
    </row>
    <row r="776" spans="1:23" x14ac:dyDescent="0.2">
      <c r="A776">
        <f>IF(D776="USD",VLOOKUP(VALUE(RIGHT(E776,4)),'USD RUB'!$E:$F,2,FALSE),1)</f>
        <v>1</v>
      </c>
      <c r="B776" s="4">
        <v>1</v>
      </c>
      <c r="C776">
        <v>1000000</v>
      </c>
      <c r="D776" t="s">
        <v>20</v>
      </c>
      <c r="E776" s="1" t="s">
        <v>792</v>
      </c>
      <c r="F776">
        <v>7000000</v>
      </c>
      <c r="G776">
        <v>41467000000</v>
      </c>
      <c r="H776">
        <v>160851000000</v>
      </c>
      <c r="I776">
        <v>376000000</v>
      </c>
      <c r="J776">
        <v>224431000000</v>
      </c>
      <c r="K776">
        <v>18432000000</v>
      </c>
      <c r="L776">
        <v>61354000000</v>
      </c>
      <c r="M776">
        <v>77726000000</v>
      </c>
      <c r="N776">
        <v>144645000000</v>
      </c>
      <c r="O776">
        <v>120687000000</v>
      </c>
      <c r="P776">
        <v>18384000000</v>
      </c>
      <c r="Q776">
        <v>17162000000</v>
      </c>
      <c r="R776">
        <v>13265000000</v>
      </c>
      <c r="S776">
        <v>13185000000</v>
      </c>
      <c r="T776">
        <v>31569000000</v>
      </c>
      <c r="U776">
        <v>-6910000000</v>
      </c>
      <c r="V776">
        <f t="shared" si="34"/>
        <v>134579000000</v>
      </c>
      <c r="W776">
        <f t="shared" si="35"/>
        <v>225903000000</v>
      </c>
    </row>
    <row r="777" spans="1:23" x14ac:dyDescent="0.2">
      <c r="A777">
        <f>IF(D777="USD",VLOOKUP(VALUE(RIGHT(E777,4)),'USD RUB'!$E:$F,2,FALSE),1)</f>
        <v>1</v>
      </c>
      <c r="B777" s="4">
        <v>1</v>
      </c>
      <c r="C777">
        <v>1000000</v>
      </c>
      <c r="D777" t="s">
        <v>20</v>
      </c>
      <c r="E777" s="1" t="s">
        <v>793</v>
      </c>
      <c r="F777">
        <v>11000000</v>
      </c>
      <c r="G777">
        <v>33904000000</v>
      </c>
      <c r="H777">
        <v>155530000000</v>
      </c>
      <c r="I777">
        <v>441000000</v>
      </c>
      <c r="J777">
        <v>212196000000</v>
      </c>
      <c r="K777">
        <v>20428000000</v>
      </c>
      <c r="L777">
        <v>48434000000</v>
      </c>
      <c r="M777">
        <v>76414000000</v>
      </c>
      <c r="N777">
        <v>143334000000</v>
      </c>
      <c r="O777">
        <v>88747000000</v>
      </c>
      <c r="P777">
        <v>16040000000</v>
      </c>
      <c r="Q777">
        <v>15063000000</v>
      </c>
      <c r="R777">
        <v>12058000000</v>
      </c>
      <c r="S777">
        <v>10185000000</v>
      </c>
      <c r="T777">
        <v>26225000000</v>
      </c>
      <c r="U777">
        <v>-3819000000</v>
      </c>
      <c r="V777">
        <f t="shared" si="34"/>
        <v>99834172000</v>
      </c>
      <c r="W777">
        <f t="shared" si="35"/>
        <v>220619841000</v>
      </c>
    </row>
    <row r="778" spans="1:23" x14ac:dyDescent="0.2">
      <c r="A778">
        <f>IF(D778="USD",VLOOKUP(VALUE(RIGHT(E778,4)),'USD RUB'!$E:$F,2,FALSE),1)</f>
        <v>1</v>
      </c>
      <c r="B778" s="4">
        <v>1</v>
      </c>
      <c r="C778">
        <v>1000000</v>
      </c>
      <c r="D778" t="s">
        <v>20</v>
      </c>
      <c r="E778" s="1" t="s">
        <v>794</v>
      </c>
      <c r="F778">
        <v>19000000</v>
      </c>
      <c r="G778">
        <v>38364000000</v>
      </c>
      <c r="H778">
        <v>157979000000</v>
      </c>
      <c r="I778">
        <v>497000000</v>
      </c>
      <c r="J778">
        <v>218735000000</v>
      </c>
      <c r="K778">
        <v>33943000000</v>
      </c>
      <c r="L778">
        <v>43225000000</v>
      </c>
      <c r="M778">
        <v>74653000000</v>
      </c>
      <c r="N778">
        <v>141567000000</v>
      </c>
      <c r="O778">
        <v>60328000000</v>
      </c>
      <c r="P778">
        <v>13731000000</v>
      </c>
      <c r="Q778">
        <v>12873000000</v>
      </c>
      <c r="R778">
        <v>10293000000</v>
      </c>
      <c r="S778">
        <v>6791000000</v>
      </c>
      <c r="T778">
        <v>20522000000</v>
      </c>
      <c r="U778">
        <v>-2747000000</v>
      </c>
      <c r="V778">
        <f t="shared" si="34"/>
        <v>69303266000</v>
      </c>
      <c r="W778">
        <f t="shared" si="35"/>
        <v>223368503000</v>
      </c>
    </row>
    <row r="779" spans="1:23" x14ac:dyDescent="0.2">
      <c r="A779">
        <f>IF(D779="USD",VLOOKUP(VALUE(RIGHT(E779,4)),'USD RUB'!$E:$F,2,FALSE),1)</f>
        <v>1</v>
      </c>
      <c r="B779" s="4">
        <v>1</v>
      </c>
      <c r="C779">
        <v>1000000</v>
      </c>
      <c r="D779" t="s">
        <v>20</v>
      </c>
      <c r="E779" s="1" t="s">
        <v>795</v>
      </c>
      <c r="F779">
        <v>85000000</v>
      </c>
      <c r="G779">
        <v>37113000000</v>
      </c>
      <c r="H779">
        <v>160386000000</v>
      </c>
      <c r="I779">
        <v>427000000</v>
      </c>
      <c r="J779">
        <v>219766000000</v>
      </c>
      <c r="K779">
        <v>24678000000</v>
      </c>
      <c r="L779">
        <v>49810000000</v>
      </c>
      <c r="M779">
        <v>78362000000</v>
      </c>
      <c r="N779">
        <v>145278000000</v>
      </c>
      <c r="O779">
        <v>34350000000</v>
      </c>
      <c r="P779">
        <v>10588000000</v>
      </c>
      <c r="Q779">
        <v>9982000000</v>
      </c>
      <c r="R779">
        <v>7937000000</v>
      </c>
      <c r="S779">
        <v>3388000000</v>
      </c>
      <c r="T779">
        <v>13976000000</v>
      </c>
      <c r="U779">
        <v>-1588000000</v>
      </c>
      <c r="V779">
        <f t="shared" si="34"/>
        <v>37538079000</v>
      </c>
      <c r="W779">
        <f t="shared" si="35"/>
        <v>222379652000</v>
      </c>
    </row>
    <row r="780" spans="1:23" x14ac:dyDescent="0.2">
      <c r="A780">
        <f>IF(D780="USD",VLOOKUP(VALUE(RIGHT(E780,4)),'USD RUB'!$E:$F,2,FALSE),1)</f>
        <v>1</v>
      </c>
      <c r="B780" s="4">
        <v>1</v>
      </c>
      <c r="C780">
        <v>1000000</v>
      </c>
      <c r="D780" t="s">
        <v>20</v>
      </c>
      <c r="E780" s="1" t="s">
        <v>796</v>
      </c>
      <c r="F780">
        <v>92000000</v>
      </c>
      <c r="G780">
        <v>41449000000</v>
      </c>
      <c r="H780">
        <v>162476000000</v>
      </c>
      <c r="I780">
        <v>442000000</v>
      </c>
      <c r="J780">
        <v>225903000000</v>
      </c>
      <c r="K780">
        <v>37220000000</v>
      </c>
      <c r="L780">
        <v>51342000000</v>
      </c>
      <c r="M780">
        <v>70423000000</v>
      </c>
      <c r="N780">
        <v>137341000000</v>
      </c>
      <c r="O780">
        <v>134579000000</v>
      </c>
      <c r="P780">
        <v>17838000000</v>
      </c>
      <c r="Q780">
        <v>15054000000</v>
      </c>
      <c r="R780">
        <v>12025000000</v>
      </c>
      <c r="S780">
        <v>13365000000</v>
      </c>
      <c r="T780">
        <v>31203000000</v>
      </c>
      <c r="U780">
        <v>-9092000000</v>
      </c>
      <c r="V780">
        <f t="shared" si="34"/>
        <v>143227002000</v>
      </c>
      <c r="W780">
        <f t="shared" si="35"/>
        <v>213381420000</v>
      </c>
    </row>
    <row r="781" spans="1:23" x14ac:dyDescent="0.2">
      <c r="A781">
        <f>IF(D781="USD",VLOOKUP(VALUE(RIGHT(E781,4)),'USD RUB'!$E:$F,2,FALSE),1)</f>
        <v>1</v>
      </c>
      <c r="B781" s="4">
        <v>1</v>
      </c>
      <c r="C781">
        <v>1000</v>
      </c>
      <c r="D781" t="s">
        <v>20</v>
      </c>
      <c r="E781" s="1" t="s">
        <v>797</v>
      </c>
      <c r="F781">
        <v>18680338000</v>
      </c>
      <c r="G781">
        <v>47012653000</v>
      </c>
      <c r="H781">
        <v>171262528000</v>
      </c>
      <c r="I781">
        <v>548457000</v>
      </c>
      <c r="J781">
        <v>220619841000</v>
      </c>
      <c r="K781">
        <v>31551197000</v>
      </c>
      <c r="L781">
        <v>51405917000</v>
      </c>
      <c r="M781">
        <v>70757584000</v>
      </c>
      <c r="N781">
        <v>137662727000</v>
      </c>
      <c r="O781">
        <v>99834172000</v>
      </c>
      <c r="P781">
        <v>17531221000</v>
      </c>
      <c r="Q781">
        <v>15412880000</v>
      </c>
      <c r="R781">
        <v>12241697000</v>
      </c>
      <c r="S781">
        <v>10167472000</v>
      </c>
      <c r="T781">
        <v>27699000000</v>
      </c>
      <c r="U781">
        <v>-5832683000</v>
      </c>
      <c r="V781">
        <f t="shared" si="34"/>
        <v>105271893000</v>
      </c>
      <c r="W781">
        <f t="shared" si="35"/>
        <v>213276392000</v>
      </c>
    </row>
    <row r="782" spans="1:23" x14ac:dyDescent="0.2">
      <c r="A782">
        <f>IF(D782="USD",VLOOKUP(VALUE(RIGHT(E782,4)),'USD RUB'!$E:$F,2,FALSE),1)</f>
        <v>1</v>
      </c>
      <c r="B782" s="4">
        <v>1</v>
      </c>
      <c r="C782">
        <v>1000</v>
      </c>
      <c r="D782" t="s">
        <v>20</v>
      </c>
      <c r="E782" s="1" t="s">
        <v>798</v>
      </c>
      <c r="F782">
        <v>18858008000</v>
      </c>
      <c r="G782">
        <v>48286320000</v>
      </c>
      <c r="H782">
        <v>173089901000</v>
      </c>
      <c r="I782">
        <v>597135000</v>
      </c>
      <c r="J782">
        <v>223368503000</v>
      </c>
      <c r="K782">
        <v>39378874000</v>
      </c>
      <c r="L782">
        <v>51082106000</v>
      </c>
      <c r="M782">
        <v>68167191000</v>
      </c>
      <c r="N782">
        <v>132907523000</v>
      </c>
      <c r="O782">
        <v>69303266000</v>
      </c>
      <c r="P782">
        <v>13600089000</v>
      </c>
      <c r="Q782">
        <v>12258438000</v>
      </c>
      <c r="R782">
        <v>9648927000</v>
      </c>
      <c r="S782">
        <v>6651848000</v>
      </c>
      <c r="T782">
        <v>20252000000</v>
      </c>
      <c r="U782">
        <v>-3427693000</v>
      </c>
      <c r="V782">
        <f t="shared" si="34"/>
        <v>71129195000</v>
      </c>
      <c r="W782">
        <f t="shared" si="35"/>
        <v>213089268000</v>
      </c>
    </row>
    <row r="783" spans="1:23" x14ac:dyDescent="0.2">
      <c r="A783">
        <f>IF(D783="USD",VLOOKUP(VALUE(RIGHT(E783,4)),'USD RUB'!$E:$F,2,FALSE),1)</f>
        <v>1</v>
      </c>
      <c r="B783" s="4">
        <v>1</v>
      </c>
      <c r="C783">
        <v>1000</v>
      </c>
      <c r="D783" t="s">
        <v>20</v>
      </c>
      <c r="E783" s="1" t="s">
        <v>799</v>
      </c>
      <c r="F783">
        <v>16163331000</v>
      </c>
      <c r="G783">
        <v>45290040000</v>
      </c>
      <c r="H783">
        <v>175130592000</v>
      </c>
      <c r="I783">
        <v>614117000</v>
      </c>
      <c r="J783">
        <v>222379652000</v>
      </c>
      <c r="K783">
        <v>29097079000</v>
      </c>
      <c r="L783">
        <v>59705342000</v>
      </c>
      <c r="M783">
        <v>68848502000</v>
      </c>
      <c r="N783">
        <v>133577231000</v>
      </c>
      <c r="O783">
        <v>37538079000</v>
      </c>
      <c r="P783">
        <v>8563416000</v>
      </c>
      <c r="Q783">
        <v>7830639000</v>
      </c>
      <c r="R783">
        <v>6261659000</v>
      </c>
      <c r="S783">
        <v>3323208000</v>
      </c>
      <c r="T783">
        <v>11886000000</v>
      </c>
      <c r="U783">
        <v>-1716043000</v>
      </c>
      <c r="V783">
        <f t="shared" si="34"/>
        <v>39649500000</v>
      </c>
      <c r="W783">
        <f t="shared" si="35"/>
        <v>222326908000</v>
      </c>
    </row>
    <row r="784" spans="1:23" x14ac:dyDescent="0.2">
      <c r="A784">
        <f>IF(D784="USD",VLOOKUP(VALUE(RIGHT(E784,4)),'USD RUB'!$E:$F,2,FALSE),1)</f>
        <v>1</v>
      </c>
      <c r="B784" s="4">
        <v>1</v>
      </c>
      <c r="C784">
        <v>1000</v>
      </c>
      <c r="D784" t="s">
        <v>20</v>
      </c>
      <c r="E784" s="1" t="s">
        <v>800</v>
      </c>
      <c r="F784">
        <v>6577568000</v>
      </c>
      <c r="G784">
        <v>34941795000</v>
      </c>
      <c r="H784">
        <v>176494377000</v>
      </c>
      <c r="I784">
        <v>615685000</v>
      </c>
      <c r="J784">
        <v>213381420000</v>
      </c>
      <c r="K784">
        <v>27185529000</v>
      </c>
      <c r="L784">
        <v>58880319000</v>
      </c>
      <c r="M784">
        <v>62586843000</v>
      </c>
      <c r="N784">
        <v>127315572000</v>
      </c>
      <c r="O784">
        <v>143227002000</v>
      </c>
      <c r="P784">
        <v>13986011000</v>
      </c>
      <c r="Q784">
        <v>10392386000</v>
      </c>
      <c r="R784">
        <v>8304825000</v>
      </c>
      <c r="S784">
        <v>12970321000</v>
      </c>
      <c r="T784">
        <v>26936000000</v>
      </c>
      <c r="U784">
        <v>-9045736000</v>
      </c>
      <c r="V784">
        <f t="shared" si="34"/>
        <v>141307552000</v>
      </c>
      <c r="W784">
        <f t="shared" si="35"/>
        <v>216059784000</v>
      </c>
    </row>
    <row r="785" spans="1:23" x14ac:dyDescent="0.2">
      <c r="A785">
        <f>IF(D785="USD",VLOOKUP(VALUE(RIGHT(E785,4)),'USD RUB'!$E:$F,2,FALSE),1)</f>
        <v>1</v>
      </c>
      <c r="B785" s="4">
        <v>1</v>
      </c>
      <c r="C785">
        <v>1000</v>
      </c>
      <c r="D785" t="s">
        <v>20</v>
      </c>
      <c r="E785" s="1" t="s">
        <v>801</v>
      </c>
      <c r="F785">
        <v>5420898000</v>
      </c>
      <c r="G785">
        <v>29561287000</v>
      </c>
      <c r="H785">
        <v>181781006000</v>
      </c>
      <c r="I785">
        <v>612868000</v>
      </c>
      <c r="J785">
        <v>213276392000</v>
      </c>
      <c r="K785">
        <v>16523109000</v>
      </c>
      <c r="L785">
        <v>70233019000</v>
      </c>
      <c r="M785">
        <v>61791535000</v>
      </c>
      <c r="N785">
        <v>126520264000</v>
      </c>
      <c r="O785">
        <v>105271893000</v>
      </c>
      <c r="P785">
        <v>12882577000</v>
      </c>
      <c r="Q785">
        <v>9736298000</v>
      </c>
      <c r="R785">
        <v>7649621000</v>
      </c>
      <c r="S785">
        <v>9604813000</v>
      </c>
      <c r="T785">
        <v>22487000000</v>
      </c>
      <c r="U785">
        <v>-6491740000</v>
      </c>
      <c r="V785">
        <f t="shared" si="34"/>
        <v>103690336000</v>
      </c>
      <c r="W785">
        <f t="shared" si="35"/>
        <v>215376822000</v>
      </c>
    </row>
    <row r="786" spans="1:23" x14ac:dyDescent="0.2">
      <c r="A786">
        <f>IF(D786="USD",VLOOKUP(VALUE(RIGHT(E786,4)),'USD RUB'!$E:$F,2,FALSE),1)</f>
        <v>1</v>
      </c>
      <c r="B786" s="4">
        <v>1</v>
      </c>
      <c r="C786">
        <v>1000</v>
      </c>
      <c r="D786" t="s">
        <v>20</v>
      </c>
      <c r="E786" s="1" t="s">
        <v>802</v>
      </c>
      <c r="F786">
        <v>4693338000</v>
      </c>
      <c r="G786">
        <v>29659680000</v>
      </c>
      <c r="H786">
        <v>181542084000</v>
      </c>
      <c r="I786">
        <v>634165000</v>
      </c>
      <c r="J786">
        <v>213089268000</v>
      </c>
      <c r="K786">
        <v>16548713000</v>
      </c>
      <c r="L786">
        <v>71134164000</v>
      </c>
      <c r="M786">
        <v>60792072000</v>
      </c>
      <c r="N786">
        <v>125406391000</v>
      </c>
      <c r="O786">
        <v>71129195000</v>
      </c>
      <c r="P786">
        <v>10276710000</v>
      </c>
      <c r="Q786">
        <v>8060937000</v>
      </c>
      <c r="R786">
        <v>6563554000</v>
      </c>
      <c r="S786">
        <v>6305405000</v>
      </c>
      <c r="T786">
        <v>16582000000</v>
      </c>
      <c r="U786">
        <v>-3388498000</v>
      </c>
      <c r="V786">
        <f t="shared" si="34"/>
        <v>70093733000</v>
      </c>
      <c r="W786">
        <f t="shared" si="35"/>
        <v>213656828000</v>
      </c>
    </row>
    <row r="787" spans="1:23" x14ac:dyDescent="0.2">
      <c r="A787">
        <f>IF(D787="USD",VLOOKUP(VALUE(RIGHT(E787,4)),'USD RUB'!$E:$F,2,FALSE),1)</f>
        <v>1</v>
      </c>
      <c r="B787" s="4">
        <v>1</v>
      </c>
      <c r="C787">
        <v>1000</v>
      </c>
      <c r="D787" t="s">
        <v>20</v>
      </c>
      <c r="E787" s="1" t="s">
        <v>803</v>
      </c>
      <c r="F787">
        <v>12763629000</v>
      </c>
      <c r="G787">
        <v>36795790000</v>
      </c>
      <c r="H787">
        <v>183453523000</v>
      </c>
      <c r="I787">
        <v>668589000</v>
      </c>
      <c r="J787">
        <v>222326908000</v>
      </c>
      <c r="K787">
        <v>17247277000</v>
      </c>
      <c r="L787">
        <v>79458042000</v>
      </c>
      <c r="M787">
        <v>61007270000</v>
      </c>
      <c r="N787">
        <v>125621589000</v>
      </c>
      <c r="O787">
        <v>39649500000</v>
      </c>
      <c r="P787">
        <v>6852978000</v>
      </c>
      <c r="Q787">
        <v>5682577000</v>
      </c>
      <c r="R787">
        <v>4608991000</v>
      </c>
      <c r="S787">
        <v>3022270000</v>
      </c>
      <c r="T787">
        <v>10546000000</v>
      </c>
      <c r="U787">
        <v>-2237482000</v>
      </c>
      <c r="V787">
        <f t="shared" si="34"/>
        <v>38145406000</v>
      </c>
      <c r="W787">
        <f t="shared" si="35"/>
        <v>222820454000</v>
      </c>
    </row>
    <row r="788" spans="1:23" x14ac:dyDescent="0.2">
      <c r="A788">
        <f>IF(D788="USD",VLOOKUP(VALUE(RIGHT(E788,4)),'USD RUB'!$E:$F,2,FALSE),1)</f>
        <v>1</v>
      </c>
      <c r="B788" s="4">
        <v>1</v>
      </c>
      <c r="C788">
        <v>1000</v>
      </c>
      <c r="D788" t="s">
        <v>20</v>
      </c>
      <c r="E788" s="1" t="s">
        <v>804</v>
      </c>
      <c r="F788">
        <v>5140926000</v>
      </c>
      <c r="G788">
        <v>29808432000</v>
      </c>
      <c r="H788">
        <v>184267282000</v>
      </c>
      <c r="I788">
        <v>718174000</v>
      </c>
      <c r="J788">
        <v>216059784000</v>
      </c>
      <c r="K788">
        <v>21504680000</v>
      </c>
      <c r="L788">
        <v>73542506000</v>
      </c>
      <c r="M788">
        <v>56398279000</v>
      </c>
      <c r="N788">
        <v>121012598000</v>
      </c>
      <c r="O788">
        <v>141307552000</v>
      </c>
      <c r="P788">
        <v>15551354000</v>
      </c>
      <c r="Q788">
        <v>10147714000</v>
      </c>
      <c r="R788">
        <v>7200861000</v>
      </c>
      <c r="S788">
        <v>11265422000</v>
      </c>
      <c r="T788">
        <v>26816000000</v>
      </c>
      <c r="U788">
        <v>-10239200000</v>
      </c>
      <c r="V788">
        <f t="shared" si="34"/>
        <v>134397876000</v>
      </c>
      <c r="W788">
        <f t="shared" si="35"/>
        <v>216408036000</v>
      </c>
    </row>
    <row r="789" spans="1:23" x14ac:dyDescent="0.2">
      <c r="A789">
        <f>IF(D789="USD",VLOOKUP(VALUE(RIGHT(E789,4)),'USD RUB'!$E:$F,2,FALSE),1)</f>
        <v>1</v>
      </c>
      <c r="B789" s="4">
        <v>1</v>
      </c>
      <c r="C789">
        <v>1000</v>
      </c>
      <c r="D789" t="s">
        <v>20</v>
      </c>
      <c r="E789" s="1" t="s">
        <v>805</v>
      </c>
      <c r="F789">
        <v>5845265000</v>
      </c>
      <c r="G789">
        <v>32264878000</v>
      </c>
      <c r="H789">
        <v>180982651000</v>
      </c>
      <c r="I789">
        <v>913313000</v>
      </c>
      <c r="J789">
        <v>215376822000</v>
      </c>
      <c r="K789">
        <v>20078171000</v>
      </c>
      <c r="L789">
        <v>73763823000</v>
      </c>
      <c r="M789">
        <v>56938351000</v>
      </c>
      <c r="N789">
        <v>121534828000</v>
      </c>
      <c r="O789">
        <v>103690336000</v>
      </c>
      <c r="P789">
        <v>13978457000</v>
      </c>
      <c r="Q789">
        <v>9737671000</v>
      </c>
      <c r="R789">
        <v>7672106000</v>
      </c>
      <c r="S789">
        <v>8351245000</v>
      </c>
      <c r="T789">
        <v>22329000000</v>
      </c>
      <c r="U789">
        <v>-4447535000</v>
      </c>
      <c r="V789">
        <f t="shared" si="34"/>
        <v>94169562000</v>
      </c>
      <c r="W789">
        <f t="shared" si="35"/>
        <v>215712100000</v>
      </c>
    </row>
    <row r="790" spans="1:23" x14ac:dyDescent="0.2">
      <c r="A790">
        <f>IF(D790="USD",VLOOKUP(VALUE(RIGHT(E790,4)),'USD RUB'!$E:$F,2,FALSE),1)</f>
        <v>1</v>
      </c>
      <c r="B790" s="4">
        <v>1</v>
      </c>
      <c r="C790">
        <v>1000</v>
      </c>
      <c r="D790" t="s">
        <v>20</v>
      </c>
      <c r="E790" s="1" t="s">
        <v>806</v>
      </c>
      <c r="F790">
        <v>3001839000</v>
      </c>
      <c r="G790">
        <v>29352661000</v>
      </c>
      <c r="H790">
        <v>182253786000</v>
      </c>
      <c r="I790">
        <v>858178000</v>
      </c>
      <c r="J790">
        <v>213656828000</v>
      </c>
      <c r="K790">
        <v>50719458000</v>
      </c>
      <c r="L790">
        <v>42282171000</v>
      </c>
      <c r="M790">
        <v>56181362000</v>
      </c>
      <c r="N790">
        <v>120655199000</v>
      </c>
      <c r="O790">
        <v>70093733000</v>
      </c>
      <c r="P790">
        <v>11518901000</v>
      </c>
      <c r="Q790">
        <v>8656496000</v>
      </c>
      <c r="R790">
        <v>6826251000</v>
      </c>
      <c r="S790">
        <v>5534357000</v>
      </c>
      <c r="T790">
        <v>17053000000</v>
      </c>
      <c r="U790">
        <v>-2911549000</v>
      </c>
      <c r="V790">
        <f t="shared" si="34"/>
        <v>59719952000</v>
      </c>
      <c r="W790">
        <f t="shared" si="35"/>
        <v>217073914000</v>
      </c>
    </row>
    <row r="791" spans="1:23" x14ac:dyDescent="0.2">
      <c r="A791">
        <f>IF(D791="USD",VLOOKUP(VALUE(RIGHT(E791,4)),'USD RUB'!$E:$F,2,FALSE),1)</f>
        <v>1</v>
      </c>
      <c r="B791" s="4">
        <v>1</v>
      </c>
      <c r="C791">
        <v>1000</v>
      </c>
      <c r="D791" t="s">
        <v>20</v>
      </c>
      <c r="E791" s="1" t="s">
        <v>807</v>
      </c>
      <c r="F791">
        <v>11915274000</v>
      </c>
      <c r="G791">
        <v>37742209000</v>
      </c>
      <c r="H791">
        <v>183015679000</v>
      </c>
      <c r="I791">
        <v>894545000</v>
      </c>
      <c r="J791">
        <v>222820454000</v>
      </c>
      <c r="K791">
        <v>53317236000</v>
      </c>
      <c r="L791">
        <v>49707010000</v>
      </c>
      <c r="M791">
        <v>55322371000</v>
      </c>
      <c r="N791">
        <v>119796208000</v>
      </c>
      <c r="O791">
        <v>38145406000</v>
      </c>
      <c r="P791">
        <v>7804580000</v>
      </c>
      <c r="Q791">
        <v>6362927000</v>
      </c>
      <c r="R791">
        <v>5005308000</v>
      </c>
      <c r="S791">
        <v>2761809000</v>
      </c>
      <c r="T791">
        <v>5968000000</v>
      </c>
      <c r="U791">
        <v>-1321180000</v>
      </c>
      <c r="V791">
        <f t="shared" si="34"/>
        <v>32118109000</v>
      </c>
      <c r="W791">
        <f t="shared" si="35"/>
        <v>218246503000</v>
      </c>
    </row>
    <row r="792" spans="1:23" x14ac:dyDescent="0.2">
      <c r="A792">
        <f>IF(D792="USD",VLOOKUP(VALUE(RIGHT(E792,4)),'USD RUB'!$E:$F,2,FALSE),1)</f>
        <v>1</v>
      </c>
      <c r="B792" s="4">
        <v>1</v>
      </c>
      <c r="C792">
        <v>1000</v>
      </c>
      <c r="D792" t="s">
        <v>20</v>
      </c>
      <c r="E792" s="1" t="s">
        <v>808</v>
      </c>
      <c r="F792">
        <v>4538684000</v>
      </c>
      <c r="G792">
        <v>29563681000</v>
      </c>
      <c r="H792">
        <v>184799186000</v>
      </c>
      <c r="J792">
        <v>216408036000</v>
      </c>
      <c r="K792">
        <v>49694182000</v>
      </c>
      <c r="L792">
        <v>51922954000</v>
      </c>
      <c r="M792">
        <v>50317063000</v>
      </c>
      <c r="N792">
        <v>114790900000</v>
      </c>
      <c r="O792">
        <v>134397876000</v>
      </c>
      <c r="P792">
        <v>9389245000</v>
      </c>
      <c r="Q792">
        <v>4967041000</v>
      </c>
      <c r="R792">
        <v>3052589000</v>
      </c>
      <c r="T792">
        <v>18923000000</v>
      </c>
      <c r="V792">
        <f t="shared" si="34"/>
        <v>112233374000</v>
      </c>
      <c r="W792">
        <f t="shared" si="35"/>
        <v>215377045000</v>
      </c>
    </row>
    <row r="793" spans="1:23" x14ac:dyDescent="0.2">
      <c r="A793">
        <f>IF(D793="USD",VLOOKUP(VALUE(RIGHT(E793,4)),'USD RUB'!$E:$F,2,FALSE),1)</f>
        <v>1</v>
      </c>
      <c r="B793" s="4">
        <v>1</v>
      </c>
      <c r="C793">
        <v>1000</v>
      </c>
      <c r="D793" t="s">
        <v>20</v>
      </c>
      <c r="E793" s="1" t="s">
        <v>809</v>
      </c>
      <c r="F793">
        <v>4852565000</v>
      </c>
      <c r="G793">
        <v>28268361000</v>
      </c>
      <c r="H793">
        <v>185376413000</v>
      </c>
      <c r="J793">
        <v>215712100000</v>
      </c>
      <c r="K793">
        <v>49837910000</v>
      </c>
      <c r="L793">
        <v>52035771000</v>
      </c>
      <c r="M793">
        <v>50768422000</v>
      </c>
      <c r="N793">
        <v>113838419000</v>
      </c>
      <c r="O793">
        <v>94169562000</v>
      </c>
      <c r="P793">
        <v>5927313000</v>
      </c>
      <c r="Q793">
        <v>2952557000</v>
      </c>
      <c r="R793">
        <v>1985221000</v>
      </c>
      <c r="T793">
        <v>8501000000</v>
      </c>
      <c r="V793">
        <f t="shared" ref="V793:V856" si="36">_xlfn.XLOOKUP(LEFT(E793,LEN(E793)-4)&amp;(VALUE(RIGHT(E793,4))-1),$E:$E,$O:$O,"")</f>
        <v>80841501000</v>
      </c>
      <c r="W793">
        <f t="shared" ref="W793:W856" si="37">_xlfn.XLOOKUP(LEFT(E793,LEN(E793)-4)&amp;(VALUE(RIGHT(E793,4))-1),$E:$E,$J:$J,"")</f>
        <v>190166264000</v>
      </c>
    </row>
    <row r="794" spans="1:23" x14ac:dyDescent="0.2">
      <c r="A794">
        <f>IF(D794="USD",VLOOKUP(VALUE(RIGHT(E794,4)),'USD RUB'!$E:$F,2,FALSE),1)</f>
        <v>1</v>
      </c>
      <c r="B794" s="4">
        <v>1</v>
      </c>
      <c r="C794">
        <v>1000</v>
      </c>
      <c r="D794" t="s">
        <v>20</v>
      </c>
      <c r="E794" s="1" t="s">
        <v>810</v>
      </c>
      <c r="F794">
        <v>3260395000</v>
      </c>
      <c r="G794">
        <v>28841254000</v>
      </c>
      <c r="H794">
        <v>186143682000</v>
      </c>
      <c r="J794">
        <v>217073914000</v>
      </c>
      <c r="K794">
        <v>43817221000</v>
      </c>
      <c r="L794">
        <v>59021785000</v>
      </c>
      <c r="M794">
        <v>49949804000</v>
      </c>
      <c r="N794">
        <v>114234908000</v>
      </c>
      <c r="O794">
        <v>59719952000</v>
      </c>
      <c r="P794">
        <v>4689314000</v>
      </c>
      <c r="Q794">
        <v>3314984000</v>
      </c>
      <c r="R794">
        <v>2418580000</v>
      </c>
      <c r="T794">
        <v>8619000000</v>
      </c>
      <c r="V794">
        <f t="shared" si="36"/>
        <v>56070981000</v>
      </c>
      <c r="W794">
        <f t="shared" si="37"/>
        <v>183651219000</v>
      </c>
    </row>
    <row r="795" spans="1:23" x14ac:dyDescent="0.2">
      <c r="A795">
        <f>IF(D795="USD",VLOOKUP(VALUE(RIGHT(E795,4)),'USD RUB'!$E:$F,2,FALSE),1)</f>
        <v>1</v>
      </c>
      <c r="B795" s="4">
        <v>1</v>
      </c>
      <c r="C795">
        <v>1000</v>
      </c>
      <c r="D795" t="s">
        <v>20</v>
      </c>
      <c r="E795" s="1" t="s">
        <v>811</v>
      </c>
      <c r="F795">
        <v>6800898000</v>
      </c>
      <c r="G795">
        <v>33656388000</v>
      </c>
      <c r="H795">
        <v>182476650000</v>
      </c>
      <c r="J795">
        <v>218246503000</v>
      </c>
      <c r="K795">
        <v>40036497000</v>
      </c>
      <c r="L795">
        <v>63126480000</v>
      </c>
      <c r="M795">
        <v>50798422000</v>
      </c>
      <c r="N795">
        <v>115083526000</v>
      </c>
      <c r="O795">
        <v>32118109000</v>
      </c>
      <c r="P795">
        <v>4096648000</v>
      </c>
      <c r="Q795">
        <v>3476597000</v>
      </c>
      <c r="R795">
        <v>2666852000</v>
      </c>
      <c r="T795">
        <v>5968000000</v>
      </c>
      <c r="V795">
        <f t="shared" si="36"/>
        <v>31090227000</v>
      </c>
      <c r="W795">
        <f t="shared" si="37"/>
        <v>184376940000</v>
      </c>
    </row>
    <row r="796" spans="1:23" x14ac:dyDescent="0.2">
      <c r="A796">
        <f>IF(D796="USD",VLOOKUP(VALUE(RIGHT(E796,4)),'USD RUB'!$E:$F,2,FALSE),1)</f>
        <v>1</v>
      </c>
      <c r="B796" s="4">
        <v>1</v>
      </c>
      <c r="C796">
        <v>1000</v>
      </c>
      <c r="D796" t="s">
        <v>20</v>
      </c>
      <c r="E796" s="1" t="s">
        <v>812</v>
      </c>
      <c r="F796">
        <v>7544369000</v>
      </c>
      <c r="G796">
        <v>34896273000</v>
      </c>
      <c r="H796">
        <v>178397832000</v>
      </c>
      <c r="J796">
        <v>215377045000</v>
      </c>
      <c r="K796">
        <v>49651023000</v>
      </c>
      <c r="L796">
        <v>50524960000</v>
      </c>
      <c r="M796">
        <v>48832446000</v>
      </c>
      <c r="N796">
        <v>115201062000</v>
      </c>
      <c r="O796">
        <v>112233374000</v>
      </c>
      <c r="P796">
        <v>3918490000</v>
      </c>
      <c r="Q796">
        <v>3381924000</v>
      </c>
      <c r="R796">
        <v>2596623000</v>
      </c>
      <c r="T796">
        <v>10111000000</v>
      </c>
      <c r="V796">
        <f t="shared" si="36"/>
        <v>116038297000</v>
      </c>
      <c r="W796">
        <f t="shared" si="37"/>
        <v>181365108000</v>
      </c>
    </row>
    <row r="797" spans="1:23" x14ac:dyDescent="0.2">
      <c r="A797">
        <f>IF(D797="USD",VLOOKUP(VALUE(RIGHT(E797,4)),'USD RUB'!$E:$F,2,FALSE),1)</f>
        <v>1</v>
      </c>
      <c r="B797" s="4">
        <v>1</v>
      </c>
      <c r="C797">
        <v>1000</v>
      </c>
      <c r="D797" t="s">
        <v>20</v>
      </c>
      <c r="E797" s="1" t="s">
        <v>813</v>
      </c>
      <c r="F797">
        <v>4345355000</v>
      </c>
      <c r="G797">
        <v>30762457000</v>
      </c>
      <c r="H797">
        <v>155632707000</v>
      </c>
      <c r="J797">
        <v>190166264000</v>
      </c>
      <c r="K797">
        <v>19515393000</v>
      </c>
      <c r="L797">
        <v>57120369000</v>
      </c>
      <c r="M797">
        <v>49262556000</v>
      </c>
      <c r="N797">
        <v>113530502000</v>
      </c>
      <c r="O797">
        <v>80841501000</v>
      </c>
      <c r="P797">
        <v>3064881000</v>
      </c>
      <c r="Q797">
        <v>3752287000</v>
      </c>
      <c r="R797">
        <v>2749751000</v>
      </c>
      <c r="V797">
        <f t="shared" si="36"/>
        <v>83341110000</v>
      </c>
      <c r="W797">
        <f t="shared" si="37"/>
        <v>185302986000</v>
      </c>
    </row>
    <row r="798" spans="1:23" x14ac:dyDescent="0.2">
      <c r="A798">
        <f>IF(D798="USD",VLOOKUP(VALUE(RIGHT(E798,4)),'USD RUB'!$E:$F,2,FALSE),1)</f>
        <v>1</v>
      </c>
      <c r="B798" s="4">
        <v>1</v>
      </c>
      <c r="C798">
        <v>1000</v>
      </c>
      <c r="D798" t="s">
        <v>20</v>
      </c>
      <c r="E798" s="1" t="s">
        <v>814</v>
      </c>
      <c r="F798">
        <v>6710593000</v>
      </c>
      <c r="G798">
        <v>29041013000</v>
      </c>
      <c r="H798">
        <v>150726336000</v>
      </c>
      <c r="J798">
        <v>183651219000</v>
      </c>
      <c r="K798">
        <v>17797359000</v>
      </c>
      <c r="L798">
        <v>51786078000</v>
      </c>
      <c r="M798">
        <v>49971411000</v>
      </c>
      <c r="N798">
        <v>114067782000</v>
      </c>
      <c r="O798">
        <v>56070981000</v>
      </c>
      <c r="P798">
        <v>3649482000</v>
      </c>
      <c r="Q798">
        <v>4316569000</v>
      </c>
      <c r="R798">
        <v>3316037000</v>
      </c>
      <c r="V798">
        <f t="shared" si="36"/>
        <v>55686289000</v>
      </c>
      <c r="W798">
        <f t="shared" si="37"/>
        <v>174712135000</v>
      </c>
    </row>
    <row r="799" spans="1:23" x14ac:dyDescent="0.2">
      <c r="A799">
        <f>IF(D799="USD",VLOOKUP(VALUE(RIGHT(E799,4)),'USD RUB'!$E:$F,2,FALSE),1)</f>
        <v>1</v>
      </c>
      <c r="B799" s="4">
        <v>1</v>
      </c>
      <c r="C799">
        <v>1000</v>
      </c>
      <c r="D799" t="s">
        <v>20</v>
      </c>
      <c r="E799" s="1" t="s">
        <v>815</v>
      </c>
      <c r="F799">
        <v>11546274000</v>
      </c>
      <c r="G799">
        <v>33161397000</v>
      </c>
      <c r="H799">
        <v>147278560000</v>
      </c>
      <c r="J799">
        <v>184376940000</v>
      </c>
      <c r="K799">
        <v>18193329000</v>
      </c>
      <c r="L799">
        <v>50908838000</v>
      </c>
      <c r="M799">
        <v>51178402000</v>
      </c>
      <c r="N799">
        <v>115274773000</v>
      </c>
      <c r="O799">
        <v>31090227000</v>
      </c>
      <c r="P799">
        <v>3921215000</v>
      </c>
      <c r="Q799">
        <v>4535631000</v>
      </c>
      <c r="R799">
        <v>3665994000</v>
      </c>
      <c r="V799">
        <f t="shared" si="36"/>
        <v>29146555000</v>
      </c>
      <c r="W799">
        <f t="shared" si="37"/>
        <v>175424240000</v>
      </c>
    </row>
    <row r="800" spans="1:23" x14ac:dyDescent="0.2">
      <c r="A800">
        <f>IF(D800="USD",VLOOKUP(VALUE(RIGHT(E800,4)),'USD RUB'!$E:$F,2,FALSE),1)</f>
        <v>1</v>
      </c>
      <c r="B800" s="4">
        <v>1</v>
      </c>
      <c r="C800">
        <v>1000</v>
      </c>
      <c r="D800" t="s">
        <v>20</v>
      </c>
      <c r="E800" s="1" t="s">
        <v>816</v>
      </c>
      <c r="F800">
        <v>13055599000</v>
      </c>
      <c r="G800">
        <v>34660478000</v>
      </c>
      <c r="H800">
        <v>142756234000</v>
      </c>
      <c r="J800">
        <v>181365108000</v>
      </c>
      <c r="K800">
        <v>19139813000</v>
      </c>
      <c r="L800">
        <v>50619542000</v>
      </c>
      <c r="M800">
        <v>47509382000</v>
      </c>
      <c r="N800">
        <v>111605753000</v>
      </c>
      <c r="O800">
        <v>116038297000</v>
      </c>
      <c r="P800">
        <v>-691798000</v>
      </c>
      <c r="Q800">
        <v>-487466000</v>
      </c>
      <c r="R800">
        <v>-1432604000</v>
      </c>
      <c r="V800" t="str">
        <f t="shared" si="36"/>
        <v/>
      </c>
      <c r="W800" t="str">
        <f t="shared" si="37"/>
        <v/>
      </c>
    </row>
    <row r="801" spans="1:23" x14ac:dyDescent="0.2">
      <c r="A801">
        <f>IF(D801="USD",VLOOKUP(VALUE(RIGHT(E801,4)),'USD RUB'!$E:$F,2,FALSE),1)</f>
        <v>1</v>
      </c>
      <c r="B801" s="4">
        <v>1</v>
      </c>
      <c r="C801">
        <v>1000</v>
      </c>
      <c r="D801" t="s">
        <v>20</v>
      </c>
      <c r="E801" s="1" t="s">
        <v>817</v>
      </c>
      <c r="F801">
        <v>15309523000</v>
      </c>
      <c r="G801">
        <v>39968055000</v>
      </c>
      <c r="H801">
        <v>141284829000</v>
      </c>
      <c r="J801">
        <v>185302986000</v>
      </c>
      <c r="K801">
        <v>13870753000</v>
      </c>
      <c r="L801">
        <v>52670712000</v>
      </c>
      <c r="M801">
        <v>54193657000</v>
      </c>
      <c r="N801">
        <v>118761521000</v>
      </c>
      <c r="O801">
        <v>83341110000</v>
      </c>
      <c r="P801">
        <v>7191754000</v>
      </c>
      <c r="Q801">
        <v>7247766000</v>
      </c>
      <c r="R801">
        <v>5634313000</v>
      </c>
      <c r="V801" t="str">
        <f t="shared" si="36"/>
        <v/>
      </c>
      <c r="W801" t="str">
        <f t="shared" si="37"/>
        <v/>
      </c>
    </row>
    <row r="802" spans="1:23" x14ac:dyDescent="0.2">
      <c r="A802">
        <f>IF(D802="USD",VLOOKUP(VALUE(RIGHT(E802,4)),'USD RUB'!$E:$F,2,FALSE),1)</f>
        <v>1</v>
      </c>
      <c r="B802" s="4">
        <v>1</v>
      </c>
      <c r="C802">
        <v>1000</v>
      </c>
      <c r="D802" t="s">
        <v>20</v>
      </c>
      <c r="E802" s="1" t="s">
        <v>818</v>
      </c>
      <c r="F802">
        <v>11125915000</v>
      </c>
      <c r="G802">
        <v>35066768000</v>
      </c>
      <c r="H802">
        <v>135645187000</v>
      </c>
      <c r="J802">
        <v>174712135000</v>
      </c>
      <c r="K802">
        <v>8626960000</v>
      </c>
      <c r="L802">
        <v>48607141000</v>
      </c>
      <c r="M802">
        <v>53100121000</v>
      </c>
      <c r="N802">
        <v>117478034000</v>
      </c>
      <c r="O802">
        <v>55686289000</v>
      </c>
      <c r="P802">
        <v>5817479000</v>
      </c>
      <c r="Q802">
        <v>5760957000</v>
      </c>
      <c r="R802">
        <v>4476253000</v>
      </c>
      <c r="V802">
        <f t="shared" si="36"/>
        <v>52705808000</v>
      </c>
      <c r="W802">
        <f t="shared" si="37"/>
        <v>150965131000</v>
      </c>
    </row>
    <row r="803" spans="1:23" x14ac:dyDescent="0.2">
      <c r="A803">
        <f>IF(D803="USD",VLOOKUP(VALUE(RIGHT(E803,4)),'USD RUB'!$E:$F,2,FALSE),1)</f>
        <v>1</v>
      </c>
      <c r="B803" s="4">
        <v>1</v>
      </c>
      <c r="C803">
        <v>1000</v>
      </c>
      <c r="D803" t="s">
        <v>20</v>
      </c>
      <c r="E803" s="1" t="s">
        <v>819</v>
      </c>
      <c r="F803">
        <v>14747726000</v>
      </c>
      <c r="G803">
        <v>39019729000</v>
      </c>
      <c r="H803">
        <v>131979078000</v>
      </c>
      <c r="J803">
        <v>175424240000</v>
      </c>
      <c r="K803">
        <v>10562102000</v>
      </c>
      <c r="L803">
        <v>49168607000</v>
      </c>
      <c r="M803">
        <v>51316685000</v>
      </c>
      <c r="N803">
        <v>115693531000</v>
      </c>
      <c r="O803">
        <v>29146555000</v>
      </c>
      <c r="P803">
        <v>3645657000</v>
      </c>
      <c r="Q803">
        <v>3432633000</v>
      </c>
      <c r="R803">
        <v>2700454000</v>
      </c>
      <c r="V803">
        <f t="shared" si="36"/>
        <v>28145005000</v>
      </c>
      <c r="W803">
        <f t="shared" si="37"/>
        <v>148727899000</v>
      </c>
    </row>
    <row r="804" spans="1:23" x14ac:dyDescent="0.2">
      <c r="A804">
        <f>IF(D804="USD",VLOOKUP(VALUE(RIGHT(E804,4)),'USD RUB'!$E:$F,2,FALSE),1)</f>
        <v>1</v>
      </c>
      <c r="B804" s="4">
        <v>1</v>
      </c>
      <c r="C804">
        <v>1000</v>
      </c>
      <c r="D804" t="s">
        <v>20</v>
      </c>
      <c r="E804" s="1" t="s">
        <v>820</v>
      </c>
      <c r="F804">
        <v>2500959000</v>
      </c>
      <c r="G804">
        <v>26033519000</v>
      </c>
      <c r="H804">
        <v>118381394000</v>
      </c>
      <c r="J804">
        <v>150965131000</v>
      </c>
      <c r="K804">
        <v>8557101000</v>
      </c>
      <c r="L804">
        <v>30625839000</v>
      </c>
      <c r="N804">
        <v>111782191000</v>
      </c>
      <c r="O804">
        <v>52705808000</v>
      </c>
      <c r="P804">
        <v>5562520000</v>
      </c>
      <c r="Q804">
        <v>4756403000</v>
      </c>
      <c r="R804">
        <v>3692969000</v>
      </c>
      <c r="T804">
        <v>7895000000</v>
      </c>
      <c r="V804">
        <f t="shared" si="36"/>
        <v>48113104000</v>
      </c>
      <c r="W804">
        <f t="shared" si="37"/>
        <v>133966192000</v>
      </c>
    </row>
    <row r="805" spans="1:23" x14ac:dyDescent="0.2">
      <c r="A805">
        <f>IF(D805="USD",VLOOKUP(VALUE(RIGHT(E805,4)),'USD RUB'!$E:$F,2,FALSE),1)</f>
        <v>1</v>
      </c>
      <c r="B805" s="4">
        <v>1</v>
      </c>
      <c r="C805">
        <v>1000</v>
      </c>
      <c r="D805" t="s">
        <v>20</v>
      </c>
      <c r="E805" s="1" t="s">
        <v>821</v>
      </c>
      <c r="F805">
        <v>3458050000</v>
      </c>
      <c r="G805">
        <v>26607332000</v>
      </c>
      <c r="H805">
        <v>115899108000</v>
      </c>
      <c r="J805">
        <v>148727899000</v>
      </c>
      <c r="K805">
        <v>8013058000</v>
      </c>
      <c r="L805">
        <v>30098614000</v>
      </c>
      <c r="N805">
        <v>110616227000</v>
      </c>
      <c r="O805">
        <v>28145005000</v>
      </c>
      <c r="P805">
        <v>3587286000</v>
      </c>
      <c r="Q805">
        <v>3197218000</v>
      </c>
      <c r="R805">
        <v>2518784000</v>
      </c>
      <c r="T805">
        <v>4739000000</v>
      </c>
      <c r="V805">
        <f t="shared" si="36"/>
        <v>27118209000</v>
      </c>
      <c r="W805">
        <f t="shared" si="37"/>
        <v>133324924000</v>
      </c>
    </row>
    <row r="806" spans="1:23" x14ac:dyDescent="0.2">
      <c r="A806">
        <f>IF(D806="USD",VLOOKUP(VALUE(RIGHT(E806,4)),'USD RUB'!$E:$F,2,FALSE),1)</f>
        <v>1</v>
      </c>
      <c r="B806" s="4">
        <v>1</v>
      </c>
      <c r="C806">
        <v>1000</v>
      </c>
      <c r="D806" t="s">
        <v>20</v>
      </c>
      <c r="E806" s="1" t="s">
        <v>822</v>
      </c>
      <c r="F806">
        <v>3760344000</v>
      </c>
      <c r="G806">
        <v>29236914000</v>
      </c>
      <c r="H806">
        <v>114100762000</v>
      </c>
      <c r="J806">
        <v>149632070000</v>
      </c>
      <c r="K806">
        <v>11315707000</v>
      </c>
      <c r="L806">
        <v>29572111000</v>
      </c>
      <c r="N806">
        <v>108744252000</v>
      </c>
      <c r="O806">
        <v>104213387000</v>
      </c>
      <c r="P806">
        <v>104213387000</v>
      </c>
      <c r="Q806">
        <v>3953331000</v>
      </c>
      <c r="T806">
        <v>10563000000</v>
      </c>
      <c r="V806">
        <f t="shared" si="36"/>
        <v>104895639000</v>
      </c>
      <c r="W806">
        <f t="shared" si="37"/>
        <v>132002774000</v>
      </c>
    </row>
    <row r="807" spans="1:23" x14ac:dyDescent="0.2">
      <c r="A807">
        <f>IF(D807="USD",VLOOKUP(VALUE(RIGHT(E807,4)),'USD RUB'!$E:$F,2,FALSE),1)</f>
        <v>1</v>
      </c>
      <c r="B807" s="4">
        <v>1</v>
      </c>
      <c r="C807">
        <v>1000</v>
      </c>
      <c r="D807" t="s">
        <v>20</v>
      </c>
      <c r="E807" s="1" t="s">
        <v>823</v>
      </c>
      <c r="F807">
        <v>355406000</v>
      </c>
      <c r="G807">
        <v>22730980000</v>
      </c>
      <c r="H807">
        <v>108149825000</v>
      </c>
      <c r="J807">
        <v>136533351000</v>
      </c>
      <c r="K807">
        <v>23125461000</v>
      </c>
      <c r="L807">
        <v>29420092000</v>
      </c>
      <c r="N807">
        <v>83987798000</v>
      </c>
      <c r="O807">
        <v>76221518000</v>
      </c>
      <c r="P807">
        <v>4186444000</v>
      </c>
      <c r="Q807">
        <v>2170947000</v>
      </c>
      <c r="R807">
        <v>1751171000</v>
      </c>
      <c r="V807">
        <f t="shared" si="36"/>
        <v>39893633000</v>
      </c>
      <c r="W807">
        <f t="shared" si="37"/>
        <v>53832668000</v>
      </c>
    </row>
    <row r="808" spans="1:23" x14ac:dyDescent="0.2">
      <c r="A808">
        <f>IF(D808="USD",VLOOKUP(VALUE(RIGHT(E808,4)),'USD RUB'!$E:$F,2,FALSE),1)</f>
        <v>1</v>
      </c>
      <c r="B808" s="4">
        <v>1</v>
      </c>
      <c r="C808">
        <v>1000</v>
      </c>
      <c r="D808" t="s">
        <v>20</v>
      </c>
      <c r="E808" s="1" t="s">
        <v>824</v>
      </c>
      <c r="F808">
        <v>199389000</v>
      </c>
      <c r="G808">
        <v>20528949000</v>
      </c>
      <c r="H808">
        <v>109210934000</v>
      </c>
      <c r="J808">
        <v>133966192000</v>
      </c>
      <c r="K808">
        <v>12137934000</v>
      </c>
      <c r="L808">
        <v>39166113000</v>
      </c>
      <c r="N808">
        <v>82662145000</v>
      </c>
      <c r="O808">
        <v>48113104000</v>
      </c>
      <c r="P808">
        <v>1898663000</v>
      </c>
      <c r="Q808">
        <v>518518000</v>
      </c>
      <c r="R808">
        <v>428592000</v>
      </c>
      <c r="T808">
        <v>4383000000</v>
      </c>
      <c r="V808">
        <f t="shared" si="36"/>
        <v>27960765000</v>
      </c>
      <c r="W808">
        <f t="shared" si="37"/>
        <v>54750639000</v>
      </c>
    </row>
    <row r="809" spans="1:23" x14ac:dyDescent="0.2">
      <c r="A809">
        <f>IF(D809="USD",VLOOKUP(VALUE(RIGHT(E809,4)),'USD RUB'!$E:$F,2,FALSE),1)</f>
        <v>1</v>
      </c>
      <c r="B809" s="4">
        <v>1</v>
      </c>
      <c r="C809">
        <v>1000</v>
      </c>
      <c r="D809" t="s">
        <v>20</v>
      </c>
      <c r="E809" s="1" t="s">
        <v>825</v>
      </c>
      <c r="F809">
        <v>901748000</v>
      </c>
      <c r="G809">
        <v>21410099000</v>
      </c>
      <c r="H809">
        <v>107273347000</v>
      </c>
      <c r="J809">
        <v>133324924000</v>
      </c>
      <c r="K809">
        <v>12358657000</v>
      </c>
      <c r="L809">
        <v>38064390000</v>
      </c>
      <c r="N809">
        <v>82901877000</v>
      </c>
      <c r="O809">
        <v>27118209000</v>
      </c>
      <c r="P809">
        <v>1352969000</v>
      </c>
      <c r="Q809">
        <v>842725000</v>
      </c>
      <c r="R809">
        <v>576138000</v>
      </c>
      <c r="T809">
        <v>2642000000</v>
      </c>
      <c r="V809">
        <f t="shared" si="36"/>
        <v>15470425000</v>
      </c>
      <c r="W809">
        <f t="shared" si="37"/>
        <v>55911703000</v>
      </c>
    </row>
    <row r="810" spans="1:23" x14ac:dyDescent="0.2">
      <c r="A810">
        <f>IF(D810="USD",VLOOKUP(VALUE(RIGHT(E810,4)),'USD RUB'!$E:$F,2,FALSE),1)</f>
        <v>1</v>
      </c>
      <c r="B810" s="4">
        <v>1</v>
      </c>
      <c r="C810">
        <v>1000</v>
      </c>
      <c r="D810" t="s">
        <v>20</v>
      </c>
      <c r="E810" s="1" t="s">
        <v>826</v>
      </c>
      <c r="F810">
        <v>359116000</v>
      </c>
      <c r="G810">
        <v>20996922000</v>
      </c>
      <c r="H810">
        <v>106497335000</v>
      </c>
      <c r="J810">
        <v>132002774000</v>
      </c>
      <c r="K810">
        <v>13680864000</v>
      </c>
      <c r="L810">
        <v>35847587000</v>
      </c>
      <c r="N810">
        <v>82474323000</v>
      </c>
      <c r="O810">
        <v>104895639000</v>
      </c>
      <c r="P810">
        <v>2217912000</v>
      </c>
      <c r="Q810">
        <v>422363000</v>
      </c>
      <c r="R810">
        <v>10150000</v>
      </c>
      <c r="T810">
        <v>5900000000</v>
      </c>
      <c r="V810" t="str">
        <f t="shared" si="36"/>
        <v/>
      </c>
      <c r="W810" t="str">
        <f t="shared" si="37"/>
        <v/>
      </c>
    </row>
    <row r="811" spans="1:23" x14ac:dyDescent="0.2">
      <c r="A811">
        <f>IF(D811="USD",VLOOKUP(VALUE(RIGHT(E811,4)),'USD RUB'!$E:$F,2,FALSE),1)</f>
        <v>1</v>
      </c>
      <c r="B811" s="4">
        <v>1</v>
      </c>
      <c r="C811">
        <v>1000</v>
      </c>
      <c r="D811" t="s">
        <v>20</v>
      </c>
      <c r="E811" s="1" t="s">
        <v>827</v>
      </c>
      <c r="F811">
        <v>543180000</v>
      </c>
      <c r="G811">
        <v>8298472000</v>
      </c>
      <c r="H811">
        <v>41317745000</v>
      </c>
      <c r="J811">
        <v>53832668000</v>
      </c>
      <c r="K811">
        <v>4638550000</v>
      </c>
      <c r="L811">
        <v>11000053000</v>
      </c>
      <c r="N811">
        <v>38194065000</v>
      </c>
      <c r="O811">
        <v>39893633000</v>
      </c>
      <c r="P811">
        <v>3072471000</v>
      </c>
      <c r="Q811">
        <v>2729766000</v>
      </c>
      <c r="V811" t="str">
        <f t="shared" si="36"/>
        <v/>
      </c>
      <c r="W811" t="str">
        <f t="shared" si="37"/>
        <v/>
      </c>
    </row>
    <row r="812" spans="1:23" x14ac:dyDescent="0.2">
      <c r="A812">
        <f>IF(D812="USD",VLOOKUP(VALUE(RIGHT(E812,4)),'USD RUB'!$E:$F,2,FALSE),1)</f>
        <v>1</v>
      </c>
      <c r="B812" s="4">
        <v>1</v>
      </c>
      <c r="C812">
        <v>1000</v>
      </c>
      <c r="D812" t="s">
        <v>20</v>
      </c>
      <c r="E812" s="1" t="s">
        <v>828</v>
      </c>
      <c r="F812">
        <v>1603044000</v>
      </c>
      <c r="G812">
        <v>9014752000</v>
      </c>
      <c r="H812">
        <v>40356868000</v>
      </c>
      <c r="J812">
        <v>54750639000</v>
      </c>
      <c r="K812">
        <v>8416995000</v>
      </c>
      <c r="L812">
        <v>3303575000</v>
      </c>
      <c r="N812">
        <v>43030069000</v>
      </c>
      <c r="O812">
        <v>27960765000</v>
      </c>
      <c r="P812">
        <v>3782773000</v>
      </c>
      <c r="Q812">
        <v>3606124000</v>
      </c>
      <c r="R812">
        <v>2836079000</v>
      </c>
      <c r="T812">
        <v>6508000000</v>
      </c>
      <c r="V812" t="str">
        <f t="shared" si="36"/>
        <v/>
      </c>
      <c r="W812" t="str">
        <f t="shared" si="37"/>
        <v/>
      </c>
    </row>
    <row r="813" spans="1:23" x14ac:dyDescent="0.2">
      <c r="A813">
        <f>IF(D813="USD",VLOOKUP(VALUE(RIGHT(E813,4)),'USD RUB'!$E:$F,2,FALSE),1)</f>
        <v>1</v>
      </c>
      <c r="B813" s="4">
        <v>1</v>
      </c>
      <c r="C813">
        <v>1000</v>
      </c>
      <c r="D813" t="s">
        <v>20</v>
      </c>
      <c r="E813" s="1" t="s">
        <v>829</v>
      </c>
      <c r="F813">
        <v>1984030000</v>
      </c>
      <c r="G813">
        <v>14413019000</v>
      </c>
      <c r="H813">
        <v>36792190000</v>
      </c>
      <c r="J813">
        <v>55911703000</v>
      </c>
      <c r="K813">
        <v>5268433000</v>
      </c>
      <c r="L813">
        <v>8197567000</v>
      </c>
      <c r="N813">
        <v>42445703000</v>
      </c>
      <c r="O813">
        <v>15470425000</v>
      </c>
      <c r="P813">
        <v>2730398000</v>
      </c>
      <c r="Q813">
        <v>2644250000</v>
      </c>
      <c r="R813">
        <v>2087507000</v>
      </c>
      <c r="T813">
        <v>5100000000</v>
      </c>
      <c r="V813" t="str">
        <f t="shared" si="36"/>
        <v/>
      </c>
      <c r="W813" t="str">
        <f t="shared" si="37"/>
        <v/>
      </c>
    </row>
    <row r="814" spans="1:23" x14ac:dyDescent="0.2">
      <c r="A814">
        <f>IF(D814="USD",VLOOKUP(VALUE(RIGHT(E814,4)),'USD RUB'!$E:$F,2,FALSE),1)</f>
        <v>1</v>
      </c>
      <c r="B814" s="4">
        <v>1</v>
      </c>
      <c r="C814">
        <v>1000000</v>
      </c>
      <c r="D814" t="s">
        <v>20</v>
      </c>
      <c r="E814" s="1" t="s">
        <v>830</v>
      </c>
      <c r="F814">
        <v>169000000</v>
      </c>
      <c r="G814">
        <v>25447000000</v>
      </c>
      <c r="H814">
        <v>168119000000</v>
      </c>
      <c r="I814">
        <v>4062000000</v>
      </c>
      <c r="J814">
        <v>202393000000</v>
      </c>
      <c r="K814">
        <v>22792000000</v>
      </c>
      <c r="L814">
        <v>23436000000</v>
      </c>
      <c r="M814">
        <v>81382000000</v>
      </c>
      <c r="N814">
        <v>156165000000</v>
      </c>
      <c r="O814">
        <v>72502000000</v>
      </c>
      <c r="P814">
        <v>6412000000</v>
      </c>
      <c r="Q814">
        <v>5322000000</v>
      </c>
      <c r="R814">
        <v>4153000000</v>
      </c>
      <c r="S814">
        <v>8285000000</v>
      </c>
      <c r="T814">
        <v>14697000000</v>
      </c>
      <c r="U814">
        <v>-12420000000</v>
      </c>
      <c r="V814" t="str">
        <f t="shared" si="36"/>
        <v/>
      </c>
      <c r="W814" t="str">
        <f t="shared" si="37"/>
        <v/>
      </c>
    </row>
    <row r="815" spans="1:23" x14ac:dyDescent="0.2">
      <c r="A815">
        <f>IF(D815="USD",VLOOKUP(VALUE(RIGHT(E815,4)),'USD RUB'!$E:$F,2,FALSE),1)</f>
        <v>1</v>
      </c>
      <c r="B815" s="4">
        <v>1</v>
      </c>
      <c r="C815">
        <v>1000000</v>
      </c>
      <c r="D815" t="s">
        <v>20</v>
      </c>
      <c r="E815" s="1" t="s">
        <v>831</v>
      </c>
      <c r="F815">
        <v>475000000</v>
      </c>
      <c r="G815">
        <v>27995000000</v>
      </c>
      <c r="H815">
        <v>165683000000</v>
      </c>
      <c r="I815">
        <v>4193000000</v>
      </c>
      <c r="J815">
        <v>202132000000</v>
      </c>
      <c r="K815">
        <v>24785000000</v>
      </c>
      <c r="L815">
        <v>20389000000</v>
      </c>
      <c r="M815">
        <v>82184000000</v>
      </c>
      <c r="N815">
        <v>156958000000</v>
      </c>
      <c r="O815">
        <v>55067000000</v>
      </c>
      <c r="P815">
        <v>7005000000</v>
      </c>
      <c r="Q815">
        <v>6252000000</v>
      </c>
      <c r="R815">
        <v>4946000000</v>
      </c>
      <c r="S815">
        <v>5679000000</v>
      </c>
      <c r="T815">
        <v>12684000000</v>
      </c>
      <c r="U815">
        <v>-7992000000</v>
      </c>
      <c r="V815" t="str">
        <f t="shared" si="36"/>
        <v/>
      </c>
      <c r="W815" t="str">
        <f t="shared" si="37"/>
        <v/>
      </c>
    </row>
    <row r="816" spans="1:23" x14ac:dyDescent="0.2">
      <c r="A816">
        <f>IF(D816="USD",VLOOKUP(VALUE(RIGHT(E816,4)),'USD RUB'!$E:$F,2,FALSE),1)</f>
        <v>1</v>
      </c>
      <c r="B816" s="4">
        <v>1</v>
      </c>
      <c r="C816">
        <v>1000000</v>
      </c>
      <c r="D816" t="s">
        <v>20</v>
      </c>
      <c r="E816" s="1" t="s">
        <v>832</v>
      </c>
      <c r="F816">
        <v>3866000000</v>
      </c>
      <c r="G816">
        <v>34617000000</v>
      </c>
      <c r="H816">
        <v>148531000000</v>
      </c>
      <c r="I816">
        <v>3989000000</v>
      </c>
      <c r="J816">
        <v>197636000000</v>
      </c>
      <c r="K816">
        <v>17160000000</v>
      </c>
      <c r="L816">
        <v>29027000000</v>
      </c>
      <c r="M816">
        <v>76870000000</v>
      </c>
      <c r="N816">
        <v>151449000000</v>
      </c>
      <c r="O816">
        <v>36379000000</v>
      </c>
      <c r="P816">
        <v>7677000000</v>
      </c>
      <c r="Q816">
        <v>7236000000</v>
      </c>
      <c r="R816">
        <v>6266000000</v>
      </c>
      <c r="S816">
        <v>3205000000</v>
      </c>
      <c r="T816">
        <v>10882000000</v>
      </c>
      <c r="U816">
        <v>-6660000000</v>
      </c>
      <c r="V816">
        <f t="shared" si="36"/>
        <v>32503000000</v>
      </c>
      <c r="W816">
        <f t="shared" si="37"/>
        <v>184429000000</v>
      </c>
    </row>
    <row r="817" spans="1:23" x14ac:dyDescent="0.2">
      <c r="A817">
        <f>IF(D817="USD",VLOOKUP(VALUE(RIGHT(E817,4)),'USD RUB'!$E:$F,2,FALSE),1)</f>
        <v>1</v>
      </c>
      <c r="B817" s="4">
        <v>1</v>
      </c>
      <c r="C817">
        <v>1000000</v>
      </c>
      <c r="D817" t="s">
        <v>20</v>
      </c>
      <c r="E817" s="1" t="s">
        <v>833</v>
      </c>
      <c r="F817">
        <v>2653000000</v>
      </c>
      <c r="G817">
        <v>33432000000</v>
      </c>
      <c r="H817">
        <v>154637000000</v>
      </c>
      <c r="I817">
        <v>4063000000</v>
      </c>
      <c r="J817">
        <v>194813000000</v>
      </c>
      <c r="K817">
        <v>20494000000</v>
      </c>
      <c r="L817">
        <v>29136000000</v>
      </c>
      <c r="M817">
        <v>70576000000</v>
      </c>
      <c r="N817">
        <v>145183000000</v>
      </c>
      <c r="O817">
        <v>102280000000</v>
      </c>
      <c r="P817">
        <v>9513000000</v>
      </c>
      <c r="Q817">
        <v>8889000000</v>
      </c>
      <c r="R817">
        <v>7114000000</v>
      </c>
      <c r="S817">
        <v>11658000000</v>
      </c>
      <c r="T817">
        <v>21171000000</v>
      </c>
      <c r="U817">
        <v>-17067000000</v>
      </c>
      <c r="V817">
        <f t="shared" si="36"/>
        <v>88889000000</v>
      </c>
      <c r="W817">
        <f t="shared" si="37"/>
        <v>190787000000</v>
      </c>
    </row>
    <row r="818" spans="1:23" x14ac:dyDescent="0.2">
      <c r="A818">
        <f>IF(D818="USD",VLOOKUP(VALUE(RIGHT(E818,4)),'USD RUB'!$E:$F,2,FALSE),1)</f>
        <v>1</v>
      </c>
      <c r="B818" s="4">
        <v>1</v>
      </c>
      <c r="C818">
        <v>1000000</v>
      </c>
      <c r="D818" t="s">
        <v>20</v>
      </c>
      <c r="E818" s="1" t="s">
        <v>834</v>
      </c>
      <c r="F818">
        <v>2817000000</v>
      </c>
      <c r="G818">
        <v>23325000000</v>
      </c>
      <c r="H818">
        <v>153226000000</v>
      </c>
      <c r="I818">
        <v>3751000000</v>
      </c>
      <c r="J818">
        <v>182248000000</v>
      </c>
      <c r="K818">
        <v>19059000000</v>
      </c>
      <c r="L818">
        <v>18151000000</v>
      </c>
      <c r="M818">
        <v>70562000000</v>
      </c>
      <c r="N818">
        <v>145038000000</v>
      </c>
      <c r="O818">
        <v>71751000000</v>
      </c>
      <c r="P818">
        <v>9181000000</v>
      </c>
      <c r="Q818">
        <v>8875000000</v>
      </c>
      <c r="R818">
        <v>7207000000</v>
      </c>
      <c r="S818">
        <v>8649000000</v>
      </c>
      <c r="T818">
        <v>17830000000</v>
      </c>
      <c r="U818">
        <v>-12837000000</v>
      </c>
      <c r="V818">
        <f t="shared" si="36"/>
        <v>61645000000</v>
      </c>
      <c r="W818">
        <f t="shared" si="37"/>
        <v>174650000000</v>
      </c>
    </row>
    <row r="819" spans="1:23" x14ac:dyDescent="0.2">
      <c r="A819">
        <f>IF(D819="USD",VLOOKUP(VALUE(RIGHT(E819,4)),'USD RUB'!$E:$F,2,FALSE),1)</f>
        <v>1</v>
      </c>
      <c r="B819" s="4">
        <v>1</v>
      </c>
      <c r="C819">
        <v>1000000</v>
      </c>
      <c r="D819" t="s">
        <v>20</v>
      </c>
      <c r="E819" s="1" t="s">
        <v>835</v>
      </c>
      <c r="F819">
        <v>3010000000</v>
      </c>
      <c r="G819">
        <v>28052000000</v>
      </c>
      <c r="H819">
        <v>152227000000</v>
      </c>
      <c r="I819">
        <v>3748000000</v>
      </c>
      <c r="J819">
        <v>185998000000</v>
      </c>
      <c r="K819">
        <v>22672000000</v>
      </c>
      <c r="L819">
        <v>18296000000</v>
      </c>
      <c r="M819">
        <v>71110000000</v>
      </c>
      <c r="N819">
        <v>145030000000</v>
      </c>
      <c r="O819">
        <v>54928000000</v>
      </c>
      <c r="P819">
        <v>9559000000</v>
      </c>
      <c r="Q819">
        <v>9323000000</v>
      </c>
      <c r="R819">
        <v>7698000000</v>
      </c>
      <c r="S819">
        <v>5743000000</v>
      </c>
      <c r="T819">
        <v>15302000000</v>
      </c>
      <c r="U819">
        <v>-9508000000</v>
      </c>
      <c r="V819">
        <f t="shared" si="36"/>
        <v>47280000000</v>
      </c>
      <c r="W819">
        <f t="shared" si="37"/>
        <v>178832000000</v>
      </c>
    </row>
    <row r="820" spans="1:23" x14ac:dyDescent="0.2">
      <c r="A820">
        <f>IF(D820="USD",VLOOKUP(VALUE(RIGHT(E820,4)),'USD RUB'!$E:$F,2,FALSE),1)</f>
        <v>1</v>
      </c>
      <c r="B820" s="4">
        <v>1</v>
      </c>
      <c r="C820">
        <v>1000000</v>
      </c>
      <c r="D820" t="s">
        <v>20</v>
      </c>
      <c r="E820" s="1" t="s">
        <v>836</v>
      </c>
      <c r="F820">
        <v>953000000</v>
      </c>
      <c r="G820">
        <v>26016000000</v>
      </c>
      <c r="H820">
        <v>152598000000</v>
      </c>
      <c r="I820">
        <v>3809000000</v>
      </c>
      <c r="J820">
        <v>184429000000</v>
      </c>
      <c r="K820">
        <v>22785000000</v>
      </c>
      <c r="L820">
        <v>18290000000</v>
      </c>
      <c r="M820">
        <v>71072000000</v>
      </c>
      <c r="N820">
        <v>143354000000</v>
      </c>
      <c r="O820">
        <v>32503000000</v>
      </c>
      <c r="P820">
        <v>5429000000</v>
      </c>
      <c r="Q820">
        <v>5296000000</v>
      </c>
      <c r="R820">
        <v>4396000000</v>
      </c>
      <c r="S820">
        <v>2879000000</v>
      </c>
      <c r="T820">
        <v>8308000000</v>
      </c>
      <c r="U820">
        <v>-6346000000</v>
      </c>
      <c r="V820">
        <f t="shared" si="36"/>
        <v>27722000000</v>
      </c>
      <c r="W820">
        <f t="shared" si="37"/>
        <v>176502000000</v>
      </c>
    </row>
    <row r="821" spans="1:23" x14ac:dyDescent="0.2">
      <c r="A821">
        <f>IF(D821="USD",VLOOKUP(VALUE(RIGHT(E821,4)),'USD RUB'!$E:$F,2,FALSE),1)</f>
        <v>1</v>
      </c>
      <c r="B821" s="4">
        <v>1</v>
      </c>
      <c r="C821">
        <v>1000000</v>
      </c>
      <c r="D821" t="s">
        <v>20</v>
      </c>
      <c r="E821" s="1" t="s">
        <v>837</v>
      </c>
      <c r="F821">
        <v>1036000000</v>
      </c>
      <c r="G821">
        <v>33687000000</v>
      </c>
      <c r="H821">
        <v>151135000000</v>
      </c>
      <c r="I821">
        <v>3859000000</v>
      </c>
      <c r="J821">
        <v>190787000000</v>
      </c>
      <c r="K821">
        <v>25246000000</v>
      </c>
      <c r="L821">
        <v>26583000000</v>
      </c>
      <c r="M821">
        <v>66803000000</v>
      </c>
      <c r="N821">
        <v>138958000000</v>
      </c>
      <c r="O821">
        <v>88889000000</v>
      </c>
      <c r="P821">
        <v>10824000000</v>
      </c>
      <c r="Q821">
        <v>10235000000</v>
      </c>
      <c r="R821">
        <v>8253000000</v>
      </c>
      <c r="S821">
        <v>11111000000</v>
      </c>
      <c r="T821">
        <v>23229000000</v>
      </c>
      <c r="U821">
        <v>-13922000000</v>
      </c>
      <c r="V821">
        <f t="shared" si="36"/>
        <v>97255648000</v>
      </c>
      <c r="W821">
        <f t="shared" si="37"/>
        <v>182504209000</v>
      </c>
    </row>
    <row r="822" spans="1:23" x14ac:dyDescent="0.2">
      <c r="A822">
        <f>IF(D822="USD",VLOOKUP(VALUE(RIGHT(E822,4)),'USD RUB'!$E:$F,2,FALSE),1)</f>
        <v>1</v>
      </c>
      <c r="B822" s="4">
        <v>1</v>
      </c>
      <c r="C822">
        <v>1000000</v>
      </c>
      <c r="D822" t="s">
        <v>20</v>
      </c>
      <c r="E822" s="1" t="s">
        <v>838</v>
      </c>
      <c r="F822">
        <v>1707000000</v>
      </c>
      <c r="G822">
        <v>19258000000</v>
      </c>
      <c r="H822">
        <v>150074000000</v>
      </c>
      <c r="I822">
        <v>3524000000</v>
      </c>
      <c r="J822">
        <v>174650000000</v>
      </c>
      <c r="K822">
        <v>15793000000</v>
      </c>
      <c r="L822">
        <v>21804000000</v>
      </c>
      <c r="M822">
        <v>64648000000</v>
      </c>
      <c r="N822">
        <v>137053000000</v>
      </c>
      <c r="O822">
        <v>61645000000</v>
      </c>
      <c r="P822">
        <v>8233000000</v>
      </c>
      <c r="Q822">
        <v>7820000000</v>
      </c>
      <c r="R822">
        <v>6375000000</v>
      </c>
      <c r="S822">
        <v>8298000000</v>
      </c>
      <c r="T822">
        <v>16531000000</v>
      </c>
      <c r="U822">
        <v>-10352000000</v>
      </c>
      <c r="V822">
        <f t="shared" si="36"/>
        <v>69824765000</v>
      </c>
      <c r="W822">
        <f t="shared" si="37"/>
        <v>173051644000</v>
      </c>
    </row>
    <row r="823" spans="1:23" x14ac:dyDescent="0.2">
      <c r="A823">
        <f>IF(D823="USD",VLOOKUP(VALUE(RIGHT(E823,4)),'USD RUB'!$E:$F,2,FALSE),1)</f>
        <v>1</v>
      </c>
      <c r="B823" s="4">
        <v>1</v>
      </c>
      <c r="C823">
        <v>1000000</v>
      </c>
      <c r="D823" t="s">
        <v>20</v>
      </c>
      <c r="E823" s="1" t="s">
        <v>839</v>
      </c>
      <c r="F823">
        <v>2733000000</v>
      </c>
      <c r="G823">
        <v>23570000000</v>
      </c>
      <c r="H823">
        <v>150342000000</v>
      </c>
      <c r="I823">
        <v>2986000000</v>
      </c>
      <c r="J823">
        <v>178832000000</v>
      </c>
      <c r="K823">
        <v>19107000000</v>
      </c>
      <c r="L823">
        <v>22297000000</v>
      </c>
      <c r="M823">
        <v>65169000000</v>
      </c>
      <c r="N823">
        <v>137428000000</v>
      </c>
      <c r="O823">
        <v>47280000000</v>
      </c>
      <c r="P823">
        <v>8483000000</v>
      </c>
      <c r="Q823">
        <v>8238000000</v>
      </c>
      <c r="R823">
        <v>6750000000</v>
      </c>
      <c r="S823">
        <v>5244000000</v>
      </c>
      <c r="T823">
        <v>13727000000</v>
      </c>
      <c r="U823">
        <v>-7618000000</v>
      </c>
      <c r="V823">
        <f t="shared" si="36"/>
        <v>52712497000</v>
      </c>
      <c r="W823">
        <f t="shared" si="37"/>
        <v>173970396000</v>
      </c>
    </row>
    <row r="824" spans="1:23" x14ac:dyDescent="0.2">
      <c r="A824">
        <f>IF(D824="USD",VLOOKUP(VALUE(RIGHT(E824,4)),'USD RUB'!$E:$F,2,FALSE),1)</f>
        <v>1</v>
      </c>
      <c r="B824" s="4">
        <v>1</v>
      </c>
      <c r="C824">
        <v>1000000</v>
      </c>
      <c r="D824" t="s">
        <v>20</v>
      </c>
      <c r="E824" s="1" t="s">
        <v>840</v>
      </c>
      <c r="F824">
        <v>881000000</v>
      </c>
      <c r="G824">
        <v>22654000000</v>
      </c>
      <c r="H824">
        <v>148683000000</v>
      </c>
      <c r="I824">
        <v>3041000000</v>
      </c>
      <c r="J824">
        <v>176502000000</v>
      </c>
      <c r="K824">
        <v>17782000000</v>
      </c>
      <c r="L824">
        <v>22673000000</v>
      </c>
      <c r="M824">
        <v>65546000000</v>
      </c>
      <c r="N824">
        <v>136047000000</v>
      </c>
      <c r="O824">
        <v>27722000000</v>
      </c>
      <c r="P824">
        <v>5388000000</v>
      </c>
      <c r="Q824">
        <v>5297000000</v>
      </c>
      <c r="R824">
        <v>4374000000</v>
      </c>
      <c r="S824">
        <v>2642000000</v>
      </c>
      <c r="T824">
        <v>8030000000</v>
      </c>
      <c r="U824">
        <v>-4428000000</v>
      </c>
      <c r="V824">
        <f t="shared" si="36"/>
        <v>31900861000</v>
      </c>
      <c r="W824">
        <f t="shared" si="37"/>
        <v>177113262000</v>
      </c>
    </row>
    <row r="825" spans="1:23" x14ac:dyDescent="0.2">
      <c r="A825">
        <f>IF(D825="USD",VLOOKUP(VALUE(RIGHT(E825,4)),'USD RUB'!$E:$F,2,FALSE),1)</f>
        <v>1</v>
      </c>
      <c r="B825" s="4">
        <v>1</v>
      </c>
      <c r="C825">
        <v>1000</v>
      </c>
      <c r="D825" t="s">
        <v>20</v>
      </c>
      <c r="E825" s="1" t="s">
        <v>841</v>
      </c>
      <c r="F825">
        <v>880717000</v>
      </c>
      <c r="G825">
        <v>28375377000</v>
      </c>
      <c r="H825">
        <v>148606618000</v>
      </c>
      <c r="I825">
        <v>3107630000</v>
      </c>
      <c r="J825">
        <v>182504209000</v>
      </c>
      <c r="K825">
        <v>27790314000</v>
      </c>
      <c r="L825">
        <v>23040624000</v>
      </c>
      <c r="M825">
        <v>68649133000</v>
      </c>
      <c r="N825">
        <v>131673271000</v>
      </c>
      <c r="O825">
        <v>97255648000</v>
      </c>
      <c r="P825">
        <v>12148547000</v>
      </c>
      <c r="Q825">
        <v>10338611000</v>
      </c>
      <c r="R825">
        <v>7990226000</v>
      </c>
      <c r="S825">
        <v>10351111000</v>
      </c>
      <c r="T825">
        <v>22500000000</v>
      </c>
      <c r="U825">
        <v>-13624216000</v>
      </c>
      <c r="V825">
        <f t="shared" si="36"/>
        <v>92455180000</v>
      </c>
      <c r="W825">
        <f t="shared" si="37"/>
        <v>167911792000</v>
      </c>
    </row>
    <row r="826" spans="1:23" x14ac:dyDescent="0.2">
      <c r="A826">
        <f>IF(D826="USD",VLOOKUP(VALUE(RIGHT(E826,4)),'USD RUB'!$E:$F,2,FALSE),1)</f>
        <v>1</v>
      </c>
      <c r="B826" s="4">
        <v>1</v>
      </c>
      <c r="C826">
        <v>1000</v>
      </c>
      <c r="D826" t="s">
        <v>20</v>
      </c>
      <c r="E826" s="1" t="s">
        <v>842</v>
      </c>
      <c r="F826">
        <v>5138519000</v>
      </c>
      <c r="G826">
        <v>21918307000</v>
      </c>
      <c r="H826">
        <v>147406556000</v>
      </c>
      <c r="I826">
        <v>2367652000</v>
      </c>
      <c r="J826">
        <v>173051644000</v>
      </c>
      <c r="K826">
        <v>10662276000</v>
      </c>
      <c r="L826">
        <v>27628212000</v>
      </c>
      <c r="M826">
        <v>69868490000</v>
      </c>
      <c r="N826">
        <v>134761156000</v>
      </c>
      <c r="O826">
        <v>69824765000</v>
      </c>
      <c r="P826">
        <v>14784506000</v>
      </c>
      <c r="Q826">
        <v>13427881000</v>
      </c>
      <c r="R826">
        <v>10903574000</v>
      </c>
      <c r="S826">
        <v>7350218000</v>
      </c>
      <c r="T826">
        <v>22146000000</v>
      </c>
      <c r="U826">
        <v>-7201879000</v>
      </c>
      <c r="V826">
        <f t="shared" si="36"/>
        <v>63494128000</v>
      </c>
      <c r="W826">
        <f t="shared" si="37"/>
        <v>158472845000</v>
      </c>
    </row>
    <row r="827" spans="1:23" x14ac:dyDescent="0.2">
      <c r="A827">
        <f>IF(D827="USD",VLOOKUP(VALUE(RIGHT(E827,4)),'USD RUB'!$E:$F,2,FALSE),1)</f>
        <v>1</v>
      </c>
      <c r="B827" s="4">
        <v>1</v>
      </c>
      <c r="C827">
        <v>1000</v>
      </c>
      <c r="D827" t="s">
        <v>20</v>
      </c>
      <c r="E827" s="1" t="s">
        <v>843</v>
      </c>
      <c r="F827">
        <v>8348073000</v>
      </c>
      <c r="G827">
        <v>23692302000</v>
      </c>
      <c r="H827">
        <v>146464532000</v>
      </c>
      <c r="I827">
        <v>2268807000</v>
      </c>
      <c r="J827">
        <v>173970396000</v>
      </c>
      <c r="K827">
        <v>13678447000</v>
      </c>
      <c r="L827">
        <v>27132263000</v>
      </c>
      <c r="M827">
        <v>68439181000</v>
      </c>
      <c r="N827">
        <v>133159686000</v>
      </c>
      <c r="O827">
        <v>52712497000</v>
      </c>
      <c r="P827">
        <v>12078791000</v>
      </c>
      <c r="Q827">
        <v>11045124000</v>
      </c>
      <c r="R827">
        <v>9301671000</v>
      </c>
      <c r="S827">
        <v>4854635000</v>
      </c>
      <c r="T827">
        <v>16941000000</v>
      </c>
      <c r="U827">
        <v>-4709294000</v>
      </c>
      <c r="V827">
        <f t="shared" si="36"/>
        <v>47913313000</v>
      </c>
      <c r="W827">
        <f t="shared" si="37"/>
        <v>157151585000</v>
      </c>
    </row>
    <row r="828" spans="1:23" x14ac:dyDescent="0.2">
      <c r="A828">
        <f>IF(D828="USD",VLOOKUP(VALUE(RIGHT(E828,4)),'USD RUB'!$E:$F,2,FALSE),1)</f>
        <v>1</v>
      </c>
      <c r="B828" s="4">
        <v>1</v>
      </c>
      <c r="C828">
        <v>1000</v>
      </c>
      <c r="D828" t="s">
        <v>20</v>
      </c>
      <c r="E828" s="1" t="s">
        <v>844</v>
      </c>
      <c r="F828">
        <v>7167614000</v>
      </c>
      <c r="G828">
        <v>26775429000</v>
      </c>
      <c r="H828">
        <v>146403029000</v>
      </c>
      <c r="I828">
        <v>2328725000</v>
      </c>
      <c r="J828">
        <v>177113262000</v>
      </c>
      <c r="K828">
        <v>18634616000</v>
      </c>
      <c r="L828">
        <v>27655864000</v>
      </c>
      <c r="M828">
        <v>67643022000</v>
      </c>
      <c r="N828">
        <v>130822782000</v>
      </c>
      <c r="O828">
        <v>31900861000</v>
      </c>
      <c r="P828">
        <v>7909181000</v>
      </c>
      <c r="Q828">
        <v>7167050000</v>
      </c>
      <c r="R828">
        <v>5980239000</v>
      </c>
      <c r="T828">
        <v>10313000000</v>
      </c>
      <c r="V828">
        <f t="shared" si="36"/>
        <v>28861507000</v>
      </c>
      <c r="W828">
        <f t="shared" si="37"/>
        <v>162596269000</v>
      </c>
    </row>
    <row r="829" spans="1:23" x14ac:dyDescent="0.2">
      <c r="A829">
        <f>IF(D829="USD",VLOOKUP(VALUE(RIGHT(E829,4)),'USD RUB'!$E:$F,2,FALSE),1)</f>
        <v>1</v>
      </c>
      <c r="B829" s="4">
        <v>1</v>
      </c>
      <c r="C829">
        <v>1000</v>
      </c>
      <c r="D829" t="s">
        <v>20</v>
      </c>
      <c r="E829" s="1" t="s">
        <v>845</v>
      </c>
      <c r="F829">
        <v>6866953000</v>
      </c>
      <c r="G829">
        <v>25852607000</v>
      </c>
      <c r="H829">
        <v>138343333000</v>
      </c>
      <c r="I829">
        <v>2258148000</v>
      </c>
      <c r="J829">
        <v>167911792000</v>
      </c>
      <c r="K829">
        <v>19668709000</v>
      </c>
      <c r="L829">
        <v>23400540000</v>
      </c>
      <c r="M829">
        <v>61638117000</v>
      </c>
      <c r="N829">
        <v>124842543000</v>
      </c>
      <c r="O829">
        <v>92455180000</v>
      </c>
      <c r="P829">
        <v>12948138000</v>
      </c>
      <c r="Q829">
        <v>12315719000</v>
      </c>
      <c r="R829">
        <v>10421402000</v>
      </c>
      <c r="S829">
        <v>7962519000</v>
      </c>
      <c r="T829">
        <v>20926000000</v>
      </c>
      <c r="U829">
        <v>-11394904000</v>
      </c>
      <c r="V829">
        <f t="shared" si="36"/>
        <v>87394702000</v>
      </c>
      <c r="W829">
        <f t="shared" si="37"/>
        <v>163787703000</v>
      </c>
    </row>
    <row r="830" spans="1:23" x14ac:dyDescent="0.2">
      <c r="A830">
        <f>IF(D830="USD",VLOOKUP(VALUE(RIGHT(E830,4)),'USD RUB'!$E:$F,2,FALSE),1)</f>
        <v>1</v>
      </c>
      <c r="B830" s="4">
        <v>1</v>
      </c>
      <c r="C830">
        <v>1000</v>
      </c>
      <c r="D830" t="s">
        <v>20</v>
      </c>
      <c r="E830" s="1" t="s">
        <v>846</v>
      </c>
      <c r="F830">
        <v>3399733000</v>
      </c>
      <c r="G830">
        <v>20661148000</v>
      </c>
      <c r="H830">
        <v>134112686000</v>
      </c>
      <c r="I830">
        <v>1678338000</v>
      </c>
      <c r="J830">
        <v>158472845000</v>
      </c>
      <c r="K830">
        <v>11029184000</v>
      </c>
      <c r="L830">
        <v>24658883000</v>
      </c>
      <c r="M830">
        <v>59793418000</v>
      </c>
      <c r="N830">
        <v>122784778000</v>
      </c>
      <c r="O830">
        <v>63494128000</v>
      </c>
      <c r="P830">
        <v>10348021000</v>
      </c>
      <c r="Q830">
        <v>9901980000</v>
      </c>
      <c r="R830">
        <v>8548375000</v>
      </c>
      <c r="T830">
        <v>16202000000</v>
      </c>
      <c r="V830">
        <f t="shared" si="36"/>
        <v>60176497000</v>
      </c>
      <c r="W830">
        <f t="shared" si="37"/>
        <v>156159373000</v>
      </c>
    </row>
    <row r="831" spans="1:23" x14ac:dyDescent="0.2">
      <c r="A831">
        <f>IF(D831="USD",VLOOKUP(VALUE(RIGHT(E831,4)),'USD RUB'!$E:$F,2,FALSE),1)</f>
        <v>1</v>
      </c>
      <c r="B831" s="4">
        <v>1</v>
      </c>
      <c r="C831">
        <v>1000</v>
      </c>
      <c r="D831" t="s">
        <v>20</v>
      </c>
      <c r="E831" s="1" t="s">
        <v>847</v>
      </c>
      <c r="F831">
        <v>3587666000</v>
      </c>
      <c r="G831">
        <v>20065953000</v>
      </c>
      <c r="H831">
        <v>133197936000</v>
      </c>
      <c r="I831">
        <v>1716181000</v>
      </c>
      <c r="J831">
        <v>157151585000</v>
      </c>
      <c r="K831">
        <v>12646655000</v>
      </c>
      <c r="L831">
        <v>22311026000</v>
      </c>
      <c r="M831">
        <v>59294857000</v>
      </c>
      <c r="N831">
        <v>122193904000</v>
      </c>
      <c r="O831">
        <v>47913313000</v>
      </c>
      <c r="P831">
        <v>9338653000</v>
      </c>
      <c r="Q831">
        <v>9028497000</v>
      </c>
      <c r="R831">
        <v>7957501000</v>
      </c>
      <c r="S831">
        <v>3863308000</v>
      </c>
      <c r="T831">
        <v>13209000000</v>
      </c>
      <c r="U831">
        <v>-2927132000</v>
      </c>
      <c r="V831">
        <f t="shared" si="36"/>
        <v>44691246000</v>
      </c>
      <c r="W831">
        <f t="shared" si="37"/>
        <v>157645830000</v>
      </c>
    </row>
    <row r="832" spans="1:23" x14ac:dyDescent="0.2">
      <c r="A832">
        <f>IF(D832="USD",VLOOKUP(VALUE(RIGHT(E832,4)),'USD RUB'!$E:$F,2,FALSE),1)</f>
        <v>1</v>
      </c>
      <c r="B832" s="4">
        <v>1</v>
      </c>
      <c r="C832">
        <v>1000</v>
      </c>
      <c r="D832" t="s">
        <v>20</v>
      </c>
      <c r="E832" s="1" t="s">
        <v>848</v>
      </c>
      <c r="F832">
        <v>3941610000</v>
      </c>
      <c r="G832">
        <v>25678673000</v>
      </c>
      <c r="H832">
        <v>133247086000</v>
      </c>
      <c r="I832">
        <v>1469750000</v>
      </c>
      <c r="J832">
        <v>162596269000</v>
      </c>
      <c r="K832">
        <v>18319589000</v>
      </c>
      <c r="L832">
        <v>22141503000</v>
      </c>
      <c r="M832">
        <v>59297212000</v>
      </c>
      <c r="N832">
        <v>122135177000</v>
      </c>
      <c r="O832">
        <v>28861507000</v>
      </c>
      <c r="P832">
        <v>6347366000</v>
      </c>
      <c r="Q832">
        <v>6133892000</v>
      </c>
      <c r="R832">
        <v>5676384000</v>
      </c>
      <c r="T832">
        <v>8271000000</v>
      </c>
      <c r="V832">
        <f t="shared" si="36"/>
        <v>25776109000</v>
      </c>
      <c r="W832">
        <f t="shared" si="37"/>
        <v>160376708000</v>
      </c>
    </row>
    <row r="833" spans="1:23" x14ac:dyDescent="0.2">
      <c r="A833">
        <f>IF(D833="USD",VLOOKUP(VALUE(RIGHT(E833,4)),'USD RUB'!$E:$F,2,FALSE),1)</f>
        <v>1</v>
      </c>
      <c r="B833" s="4">
        <v>1</v>
      </c>
      <c r="C833">
        <v>1000</v>
      </c>
      <c r="D833" t="s">
        <v>20</v>
      </c>
      <c r="E833" s="1" t="s">
        <v>849</v>
      </c>
      <c r="F833">
        <v>6975598000</v>
      </c>
      <c r="G833">
        <v>26832439000</v>
      </c>
      <c r="H833">
        <v>133411806000</v>
      </c>
      <c r="I833">
        <v>1417030000</v>
      </c>
      <c r="J833">
        <v>163787703000</v>
      </c>
      <c r="K833">
        <v>18698224000</v>
      </c>
      <c r="L833">
        <v>28630240000</v>
      </c>
      <c r="M833">
        <v>53740611000</v>
      </c>
      <c r="N833">
        <v>116459239000</v>
      </c>
      <c r="O833">
        <v>87394702000</v>
      </c>
      <c r="P833">
        <v>11985817000</v>
      </c>
      <c r="Q833">
        <v>10519525000</v>
      </c>
      <c r="R833">
        <v>7927499000</v>
      </c>
      <c r="S833">
        <v>8438333000</v>
      </c>
      <c r="T833">
        <v>20440000000</v>
      </c>
      <c r="U833">
        <v>-10281175000</v>
      </c>
      <c r="V833">
        <f t="shared" si="36"/>
        <v>78891102000</v>
      </c>
      <c r="W833">
        <f t="shared" si="37"/>
        <v>159770954000</v>
      </c>
    </row>
    <row r="834" spans="1:23" x14ac:dyDescent="0.2">
      <c r="A834">
        <f>IF(D834="USD",VLOOKUP(VALUE(RIGHT(E834,4)),'USD RUB'!$E:$F,2,FALSE),1)</f>
        <v>1</v>
      </c>
      <c r="B834" s="4">
        <v>1</v>
      </c>
      <c r="C834">
        <v>1000</v>
      </c>
      <c r="D834" t="s">
        <v>20</v>
      </c>
      <c r="E834" s="1" t="s">
        <v>850</v>
      </c>
      <c r="F834">
        <v>2057222000</v>
      </c>
      <c r="G834">
        <v>21647886000</v>
      </c>
      <c r="H834">
        <v>131452269000</v>
      </c>
      <c r="I834">
        <v>948873000</v>
      </c>
      <c r="J834">
        <v>156159373000</v>
      </c>
      <c r="K834">
        <v>11626649000</v>
      </c>
      <c r="L834">
        <v>29114081000</v>
      </c>
      <c r="M834">
        <v>52670514000</v>
      </c>
      <c r="N834">
        <v>115418643000</v>
      </c>
      <c r="O834">
        <v>60176497000</v>
      </c>
      <c r="P834">
        <v>9880884000</v>
      </c>
      <c r="Q834">
        <v>8798700000</v>
      </c>
      <c r="R834">
        <v>6766141000</v>
      </c>
      <c r="T834">
        <v>16038000000</v>
      </c>
      <c r="V834">
        <f t="shared" si="36"/>
        <v>54416498000</v>
      </c>
      <c r="W834">
        <f t="shared" si="37"/>
        <v>157233676000</v>
      </c>
    </row>
    <row r="835" spans="1:23" x14ac:dyDescent="0.2">
      <c r="A835">
        <f>IF(D835="USD",VLOOKUP(VALUE(RIGHT(E835,4)),'USD RUB'!$E:$F,2,FALSE),1)</f>
        <v>1</v>
      </c>
      <c r="B835" s="4">
        <v>1</v>
      </c>
      <c r="C835">
        <v>1000</v>
      </c>
      <c r="D835" t="s">
        <v>20</v>
      </c>
      <c r="E835" s="1" t="s">
        <v>851</v>
      </c>
      <c r="F835">
        <v>3475239000</v>
      </c>
      <c r="G835">
        <v>23457563000</v>
      </c>
      <c r="H835">
        <v>131187480000</v>
      </c>
      <c r="I835">
        <v>837436000</v>
      </c>
      <c r="J835">
        <v>157645830000</v>
      </c>
      <c r="K835">
        <v>19763518000</v>
      </c>
      <c r="L835">
        <v>23410167000</v>
      </c>
      <c r="M835">
        <v>51822585000</v>
      </c>
      <c r="N835">
        <v>114472145000</v>
      </c>
      <c r="O835">
        <v>44691246000</v>
      </c>
      <c r="P835">
        <v>8289234000</v>
      </c>
      <c r="Q835">
        <v>7538119000</v>
      </c>
      <c r="R835">
        <v>5819643000</v>
      </c>
      <c r="T835">
        <v>12356000000</v>
      </c>
      <c r="V835">
        <f t="shared" si="36"/>
        <v>41284372000</v>
      </c>
      <c r="W835">
        <f t="shared" si="37"/>
        <v>155841553000</v>
      </c>
    </row>
    <row r="836" spans="1:23" x14ac:dyDescent="0.2">
      <c r="A836">
        <f>IF(D836="USD",VLOOKUP(VALUE(RIGHT(E836,4)),'USD RUB'!$E:$F,2,FALSE),1)</f>
        <v>1</v>
      </c>
      <c r="B836" s="4">
        <v>1</v>
      </c>
      <c r="C836">
        <v>1000</v>
      </c>
      <c r="D836" t="s">
        <v>20</v>
      </c>
      <c r="E836" s="1" t="s">
        <v>852</v>
      </c>
      <c r="F836">
        <v>4017502000</v>
      </c>
      <c r="G836">
        <v>25863258000</v>
      </c>
      <c r="H836">
        <v>131427100000</v>
      </c>
      <c r="I836">
        <v>756875000</v>
      </c>
      <c r="J836">
        <v>160376708000</v>
      </c>
      <c r="K836">
        <v>22152729000</v>
      </c>
      <c r="L836">
        <v>24274739000</v>
      </c>
      <c r="M836">
        <v>51379207000</v>
      </c>
      <c r="N836">
        <v>113949240000</v>
      </c>
      <c r="O836">
        <v>25776109000</v>
      </c>
      <c r="P836">
        <v>5946374000</v>
      </c>
      <c r="Q836">
        <v>5391251000</v>
      </c>
      <c r="R836">
        <v>3965695000</v>
      </c>
      <c r="T836">
        <v>7974000000</v>
      </c>
      <c r="V836">
        <f t="shared" si="36"/>
        <v>25238236000</v>
      </c>
      <c r="W836">
        <f t="shared" si="37"/>
        <v>158689697000</v>
      </c>
    </row>
    <row r="837" spans="1:23" x14ac:dyDescent="0.2">
      <c r="A837">
        <f>IF(D837="USD",VLOOKUP(VALUE(RIGHT(E837,4)),'USD RUB'!$E:$F,2,FALSE),1)</f>
        <v>1</v>
      </c>
      <c r="B837" s="4">
        <v>1</v>
      </c>
      <c r="C837">
        <v>1000</v>
      </c>
      <c r="D837" t="s">
        <v>20</v>
      </c>
      <c r="E837" s="1" t="s">
        <v>853</v>
      </c>
      <c r="F837">
        <v>3354882000</v>
      </c>
      <c r="G837">
        <v>24184154000</v>
      </c>
      <c r="H837">
        <v>132468741000</v>
      </c>
      <c r="J837">
        <v>159770954000</v>
      </c>
      <c r="K837">
        <v>20772823000</v>
      </c>
      <c r="L837">
        <v>29014259000</v>
      </c>
      <c r="M837">
        <v>47464616000</v>
      </c>
      <c r="N837">
        <v>109983872000</v>
      </c>
      <c r="O837">
        <v>78891102000</v>
      </c>
      <c r="P837">
        <v>8600927000</v>
      </c>
      <c r="Q837">
        <v>6466470000</v>
      </c>
      <c r="R837">
        <v>5324173000</v>
      </c>
      <c r="U837">
        <v>-9218408000</v>
      </c>
      <c r="V837" t="str">
        <f t="shared" si="36"/>
        <v/>
      </c>
      <c r="W837" t="str">
        <f t="shared" si="37"/>
        <v/>
      </c>
    </row>
    <row r="838" spans="1:23" x14ac:dyDescent="0.2">
      <c r="A838">
        <f>IF(D838="USD",VLOOKUP(VALUE(RIGHT(E838,4)),'USD RUB'!$E:$F,2,FALSE),1)</f>
        <v>1</v>
      </c>
      <c r="B838" s="4">
        <v>1</v>
      </c>
      <c r="C838">
        <v>1000</v>
      </c>
      <c r="D838" t="s">
        <v>20</v>
      </c>
      <c r="E838" s="1" t="s">
        <v>854</v>
      </c>
      <c r="F838">
        <v>838698000</v>
      </c>
      <c r="G838">
        <v>21347433000</v>
      </c>
      <c r="H838">
        <v>132940818000</v>
      </c>
      <c r="J838">
        <v>157233676000</v>
      </c>
      <c r="K838">
        <v>21328259000</v>
      </c>
      <c r="L838">
        <v>24566600000</v>
      </c>
      <c r="M838">
        <v>48605217000</v>
      </c>
      <c r="N838">
        <v>111338817000</v>
      </c>
      <c r="O838">
        <v>54416498000</v>
      </c>
      <c r="P838">
        <v>9417361000</v>
      </c>
      <c r="Q838">
        <v>7973713000</v>
      </c>
      <c r="R838">
        <v>6746048000</v>
      </c>
      <c r="V838" t="str">
        <f t="shared" si="36"/>
        <v/>
      </c>
      <c r="W838" t="str">
        <f t="shared" si="37"/>
        <v/>
      </c>
    </row>
    <row r="839" spans="1:23" x14ac:dyDescent="0.2">
      <c r="A839">
        <f>IF(D839="USD",VLOOKUP(VALUE(RIGHT(E839,4)),'USD RUB'!$E:$F,2,FALSE),1)</f>
        <v>1</v>
      </c>
      <c r="B839" s="4">
        <v>1</v>
      </c>
      <c r="C839">
        <v>1000</v>
      </c>
      <c r="D839" t="s">
        <v>20</v>
      </c>
      <c r="E839" s="1" t="s">
        <v>855</v>
      </c>
      <c r="F839">
        <v>1700831000</v>
      </c>
      <c r="G839">
        <v>20660945000</v>
      </c>
      <c r="H839">
        <v>132178420000</v>
      </c>
      <c r="J839">
        <v>155841553000</v>
      </c>
      <c r="K839">
        <v>22846342000</v>
      </c>
      <c r="L839">
        <v>22550802000</v>
      </c>
      <c r="M839">
        <v>47973449000</v>
      </c>
      <c r="N839">
        <v>110444409000</v>
      </c>
      <c r="O839">
        <v>41284372000</v>
      </c>
      <c r="P839">
        <v>8100181000</v>
      </c>
      <c r="Q839">
        <v>7152930000</v>
      </c>
      <c r="R839">
        <v>5851640000</v>
      </c>
      <c r="V839" t="str">
        <f t="shared" si="36"/>
        <v/>
      </c>
      <c r="W839" t="str">
        <f t="shared" si="37"/>
        <v/>
      </c>
    </row>
    <row r="840" spans="1:23" x14ac:dyDescent="0.2">
      <c r="A840">
        <f>IF(D840="USD",VLOOKUP(VALUE(RIGHT(E840,4)),'USD RUB'!$E:$F,2,FALSE),1)</f>
        <v>1</v>
      </c>
      <c r="B840" s="4">
        <v>1</v>
      </c>
      <c r="C840">
        <v>1000</v>
      </c>
      <c r="D840" t="s">
        <v>20</v>
      </c>
      <c r="E840" s="1" t="s">
        <v>856</v>
      </c>
      <c r="F840">
        <v>3303048000</v>
      </c>
      <c r="G840">
        <v>24265219000</v>
      </c>
      <c r="H840">
        <v>131377042000</v>
      </c>
      <c r="J840">
        <v>158689697000</v>
      </c>
      <c r="K840">
        <v>23862407000</v>
      </c>
      <c r="L840">
        <v>24911581000</v>
      </c>
      <c r="M840">
        <v>47425591000</v>
      </c>
      <c r="N840">
        <v>109915709000</v>
      </c>
      <c r="O840">
        <v>25238236000</v>
      </c>
      <c r="P840">
        <v>5928573000</v>
      </c>
      <c r="Q840">
        <v>5397224000</v>
      </c>
      <c r="R840">
        <v>4386321000</v>
      </c>
      <c r="V840" t="str">
        <f t="shared" si="36"/>
        <v/>
      </c>
      <c r="W840" t="str">
        <f t="shared" si="37"/>
        <v/>
      </c>
    </row>
    <row r="841" spans="1:23" x14ac:dyDescent="0.2">
      <c r="A841">
        <f>IF(D841="USD",VLOOKUP(VALUE(RIGHT(E841,4)),'USD RUB'!$E:$F,2,FALSE),1)</f>
        <v>1</v>
      </c>
      <c r="B841" s="4">
        <v>1</v>
      </c>
      <c r="C841">
        <v>1000</v>
      </c>
      <c r="D841" t="s">
        <v>20</v>
      </c>
      <c r="E841" s="1" t="s">
        <v>857</v>
      </c>
      <c r="F841">
        <v>272236000</v>
      </c>
      <c r="G841">
        <v>20084032000</v>
      </c>
      <c r="H841">
        <v>129405968000</v>
      </c>
      <c r="J841">
        <v>151093947000</v>
      </c>
      <c r="K841">
        <v>17313349000</v>
      </c>
      <c r="L841">
        <v>33529759000</v>
      </c>
      <c r="N841">
        <v>100250839000</v>
      </c>
      <c r="O841">
        <v>21971246000</v>
      </c>
      <c r="P841">
        <v>4493993000</v>
      </c>
      <c r="Q841">
        <v>3832630000</v>
      </c>
      <c r="R841">
        <v>3135959000</v>
      </c>
      <c r="T841">
        <v>3425000000</v>
      </c>
      <c r="V841">
        <f t="shared" si="36"/>
        <v>22577095000</v>
      </c>
      <c r="W841">
        <f t="shared" si="37"/>
        <v>150343991000</v>
      </c>
    </row>
    <row r="842" spans="1:23" x14ac:dyDescent="0.2">
      <c r="A842">
        <f>IF(D842="USD",VLOOKUP(VALUE(RIGHT(E842,4)),'USD RUB'!$E:$F,2,FALSE),1)</f>
        <v>1</v>
      </c>
      <c r="B842" s="4">
        <v>1</v>
      </c>
      <c r="C842">
        <v>1000</v>
      </c>
      <c r="D842" t="s">
        <v>20</v>
      </c>
      <c r="E842" s="1" t="s">
        <v>858</v>
      </c>
      <c r="F842">
        <v>243005000</v>
      </c>
      <c r="G842">
        <v>18862269000</v>
      </c>
      <c r="H842">
        <v>130188242000</v>
      </c>
      <c r="J842">
        <v>150601768000</v>
      </c>
      <c r="K842">
        <v>20439480000</v>
      </c>
      <c r="L842">
        <v>33047408000</v>
      </c>
      <c r="N842">
        <v>97114880000</v>
      </c>
      <c r="O842">
        <v>42819556000</v>
      </c>
      <c r="P842">
        <v>9890996000</v>
      </c>
      <c r="Q842">
        <v>7897400000</v>
      </c>
      <c r="R842">
        <v>6767539000</v>
      </c>
      <c r="T842">
        <v>16298000000</v>
      </c>
      <c r="V842">
        <f t="shared" si="36"/>
        <v>62483802000</v>
      </c>
      <c r="W842">
        <f t="shared" si="37"/>
        <v>147935886000</v>
      </c>
    </row>
    <row r="843" spans="1:23" x14ac:dyDescent="0.2">
      <c r="A843">
        <f>IF(D843="USD",VLOOKUP(VALUE(RIGHT(E843,4)),'USD RUB'!$E:$F,2,FALSE),1)</f>
        <v>1</v>
      </c>
      <c r="B843" s="4">
        <v>1</v>
      </c>
      <c r="C843">
        <v>1000</v>
      </c>
      <c r="D843" t="s">
        <v>20</v>
      </c>
      <c r="E843" s="1" t="s">
        <v>859</v>
      </c>
      <c r="F843">
        <v>272336000</v>
      </c>
      <c r="G843">
        <v>16598537000</v>
      </c>
      <c r="H843">
        <v>129146985000</v>
      </c>
      <c r="J843">
        <v>147063063000</v>
      </c>
      <c r="K843">
        <v>19353138000</v>
      </c>
      <c r="L843">
        <v>33192274000</v>
      </c>
      <c r="N843">
        <v>94517651000</v>
      </c>
      <c r="O843">
        <v>48928053000</v>
      </c>
      <c r="P843">
        <v>7250707000</v>
      </c>
      <c r="Q843">
        <v>5409809000</v>
      </c>
      <c r="R843">
        <v>4217749000</v>
      </c>
      <c r="T843">
        <v>12247000000</v>
      </c>
      <c r="V843">
        <f t="shared" si="36"/>
        <v>42419336000</v>
      </c>
      <c r="W843">
        <f t="shared" si="37"/>
        <v>142833423000</v>
      </c>
    </row>
    <row r="844" spans="1:23" x14ac:dyDescent="0.2">
      <c r="A844">
        <f>IF(D844="USD",VLOOKUP(VALUE(RIGHT(E844,4)),'USD RUB'!$E:$F,2,FALSE),1)</f>
        <v>1</v>
      </c>
      <c r="B844" s="4">
        <v>1</v>
      </c>
      <c r="C844">
        <v>1000</v>
      </c>
      <c r="D844" t="s">
        <v>20</v>
      </c>
      <c r="E844" s="1" t="s">
        <v>860</v>
      </c>
      <c r="F844">
        <v>748512000</v>
      </c>
      <c r="G844">
        <v>17013405000</v>
      </c>
      <c r="H844">
        <v>128150644000</v>
      </c>
      <c r="J844">
        <v>146587051000</v>
      </c>
      <c r="K844">
        <v>19217314000</v>
      </c>
      <c r="L844">
        <v>32712767000</v>
      </c>
      <c r="N844">
        <v>94656970000</v>
      </c>
      <c r="O844">
        <v>37421107000</v>
      </c>
      <c r="P844">
        <v>6937007000</v>
      </c>
      <c r="Q844">
        <v>5616615000</v>
      </c>
      <c r="R844">
        <v>4357068000</v>
      </c>
      <c r="T844">
        <v>10259000000</v>
      </c>
      <c r="V844">
        <f t="shared" si="36"/>
        <v>32037600000</v>
      </c>
      <c r="W844">
        <f t="shared" si="37"/>
        <v>139955469000</v>
      </c>
    </row>
    <row r="845" spans="1:23" x14ac:dyDescent="0.2">
      <c r="A845">
        <f>IF(D845="USD",VLOOKUP(VALUE(RIGHT(E845,4)),'USD RUB'!$E:$F,2,FALSE),1)</f>
        <v>1</v>
      </c>
      <c r="B845" s="4">
        <v>1</v>
      </c>
      <c r="C845">
        <v>1000000</v>
      </c>
      <c r="D845" t="s">
        <v>20</v>
      </c>
      <c r="E845" s="1" t="s">
        <v>861</v>
      </c>
      <c r="F845">
        <v>710374000</v>
      </c>
      <c r="G845">
        <v>20129999000</v>
      </c>
      <c r="H845">
        <v>128658273000</v>
      </c>
      <c r="J845">
        <v>150343991000</v>
      </c>
      <c r="K845">
        <v>18900673000</v>
      </c>
      <c r="L845">
        <v>37249409000</v>
      </c>
      <c r="N845">
        <v>94193909000</v>
      </c>
      <c r="O845">
        <v>22577095000</v>
      </c>
      <c r="P845">
        <v>5036959000</v>
      </c>
      <c r="Q845">
        <v>4426005000</v>
      </c>
      <c r="R845">
        <v>3424529000</v>
      </c>
      <c r="T845">
        <v>6733000000</v>
      </c>
      <c r="V845">
        <f t="shared" si="36"/>
        <v>19808347000</v>
      </c>
      <c r="W845">
        <f t="shared" si="37"/>
        <v>139911807000</v>
      </c>
    </row>
    <row r="846" spans="1:23" x14ac:dyDescent="0.2">
      <c r="A846">
        <f>IF(D846="USD",VLOOKUP(VALUE(RIGHT(E846,4)),'USD RUB'!$E:$F,2,FALSE),1)</f>
        <v>1</v>
      </c>
      <c r="B846" s="4">
        <v>1</v>
      </c>
      <c r="C846">
        <v>1000</v>
      </c>
      <c r="D846" t="s">
        <v>20</v>
      </c>
      <c r="E846" s="1" t="s">
        <v>862</v>
      </c>
      <c r="F846">
        <v>719975000</v>
      </c>
      <c r="G846">
        <v>17289229000</v>
      </c>
      <c r="H846">
        <v>129056534000</v>
      </c>
      <c r="J846">
        <v>147935886000</v>
      </c>
      <c r="K846">
        <v>19922890000</v>
      </c>
      <c r="L846">
        <v>37243616000</v>
      </c>
      <c r="N846">
        <v>90769380000</v>
      </c>
      <c r="O846">
        <v>62483802000</v>
      </c>
      <c r="P846">
        <v>9858626000</v>
      </c>
      <c r="Q846">
        <v>8117878000</v>
      </c>
      <c r="R846">
        <v>6241890000</v>
      </c>
      <c r="T846">
        <v>15445000000</v>
      </c>
      <c r="V846">
        <f t="shared" si="36"/>
        <v>60251760000</v>
      </c>
      <c r="W846">
        <f t="shared" si="37"/>
        <v>137942135000</v>
      </c>
    </row>
    <row r="847" spans="1:23" x14ac:dyDescent="0.2">
      <c r="A847">
        <f>IF(D847="USD",VLOOKUP(VALUE(RIGHT(E847,4)),'USD RUB'!$E:$F,2,FALSE),1)</f>
        <v>1</v>
      </c>
      <c r="B847" s="4">
        <v>1</v>
      </c>
      <c r="C847">
        <v>1000</v>
      </c>
      <c r="D847" t="s">
        <v>20</v>
      </c>
      <c r="E847" s="1" t="s">
        <v>863</v>
      </c>
      <c r="F847">
        <v>1185611000</v>
      </c>
      <c r="G847">
        <v>15977287000</v>
      </c>
      <c r="H847">
        <v>125077903000</v>
      </c>
      <c r="J847">
        <v>142833423000</v>
      </c>
      <c r="K847">
        <v>26914285000</v>
      </c>
      <c r="L847">
        <v>28008003000</v>
      </c>
      <c r="N847">
        <v>87911135000</v>
      </c>
      <c r="O847">
        <v>42419336000</v>
      </c>
      <c r="P847">
        <v>6193470000</v>
      </c>
      <c r="Q847">
        <v>4901534000</v>
      </c>
      <c r="R847">
        <v>3383646000</v>
      </c>
      <c r="T847">
        <v>10281000000</v>
      </c>
      <c r="V847">
        <f t="shared" si="36"/>
        <v>43707951000</v>
      </c>
      <c r="W847">
        <f t="shared" si="37"/>
        <v>133432661000</v>
      </c>
    </row>
    <row r="848" spans="1:23" x14ac:dyDescent="0.2">
      <c r="A848">
        <f>IF(D848="USD",VLOOKUP(VALUE(RIGHT(E848,4)),'USD RUB'!$E:$F,2,FALSE),1)</f>
        <v>1</v>
      </c>
      <c r="B848" s="4">
        <v>1</v>
      </c>
      <c r="C848">
        <v>1000</v>
      </c>
      <c r="D848" t="s">
        <v>20</v>
      </c>
      <c r="E848" s="1" t="s">
        <v>864</v>
      </c>
      <c r="F848">
        <v>149854000</v>
      </c>
      <c r="G848">
        <v>15467023000</v>
      </c>
      <c r="H848">
        <v>122692719000</v>
      </c>
      <c r="J848">
        <v>139955469000</v>
      </c>
      <c r="K848">
        <v>25416319000</v>
      </c>
      <c r="L848">
        <v>26832815000</v>
      </c>
      <c r="N848">
        <v>87706335000</v>
      </c>
      <c r="O848">
        <v>32037600000</v>
      </c>
      <c r="P848">
        <v>4951313000</v>
      </c>
      <c r="Q848">
        <v>4065362000</v>
      </c>
      <c r="R848">
        <v>3178846000</v>
      </c>
      <c r="T848">
        <v>7622000000</v>
      </c>
      <c r="V848">
        <f t="shared" si="36"/>
        <v>34533953000</v>
      </c>
      <c r="W848">
        <f t="shared" si="37"/>
        <v>131927803000</v>
      </c>
    </row>
    <row r="849" spans="1:23" x14ac:dyDescent="0.2">
      <c r="A849">
        <f>IF(D849="USD",VLOOKUP(VALUE(RIGHT(E849,4)),'USD RUB'!$E:$F,2,FALSE),1)</f>
        <v>1</v>
      </c>
      <c r="B849" s="4">
        <v>1</v>
      </c>
      <c r="C849">
        <v>1000</v>
      </c>
      <c r="D849" t="s">
        <v>20</v>
      </c>
      <c r="E849" s="1" t="s">
        <v>865</v>
      </c>
      <c r="F849">
        <v>378385000</v>
      </c>
      <c r="G849">
        <v>17385662000</v>
      </c>
      <c r="H849">
        <v>121224456000</v>
      </c>
      <c r="J849">
        <v>139911807000</v>
      </c>
      <c r="K849">
        <v>27601139000</v>
      </c>
      <c r="L849">
        <v>24858824000</v>
      </c>
      <c r="N849">
        <v>87451844000</v>
      </c>
      <c r="O849">
        <v>19808347000</v>
      </c>
      <c r="P849">
        <v>3792770000</v>
      </c>
      <c r="Q849">
        <v>3354391000</v>
      </c>
      <c r="R849">
        <v>2745269000</v>
      </c>
      <c r="T849">
        <v>5153000000</v>
      </c>
      <c r="V849">
        <f t="shared" si="36"/>
        <v>21175334000</v>
      </c>
      <c r="W849">
        <f t="shared" si="37"/>
        <v>123469433000</v>
      </c>
    </row>
    <row r="850" spans="1:23" x14ac:dyDescent="0.2">
      <c r="A850">
        <f>IF(D850="USD",VLOOKUP(VALUE(RIGHT(E850,4)),'USD RUB'!$E:$F,2,FALSE),1)</f>
        <v>1</v>
      </c>
      <c r="B850" s="4">
        <v>1</v>
      </c>
      <c r="C850">
        <v>1000</v>
      </c>
      <c r="D850" t="s">
        <v>20</v>
      </c>
      <c r="E850" s="1" t="s">
        <v>866</v>
      </c>
      <c r="F850">
        <v>375545000</v>
      </c>
      <c r="G850">
        <v>16002170000</v>
      </c>
      <c r="H850">
        <v>120655949000</v>
      </c>
      <c r="J850">
        <v>137942135000</v>
      </c>
      <c r="K850">
        <v>21257209000</v>
      </c>
      <c r="L850">
        <v>31978351000</v>
      </c>
      <c r="N850">
        <v>84706575000</v>
      </c>
      <c r="O850">
        <v>60251760000</v>
      </c>
      <c r="P850">
        <v>7017175000</v>
      </c>
      <c r="Q850">
        <v>5286063000</v>
      </c>
      <c r="R850">
        <v>3901766000</v>
      </c>
      <c r="T850">
        <v>11837000</v>
      </c>
      <c r="V850" t="str">
        <f t="shared" si="36"/>
        <v/>
      </c>
      <c r="W850" t="str">
        <f t="shared" si="37"/>
        <v/>
      </c>
    </row>
    <row r="851" spans="1:23" x14ac:dyDescent="0.2">
      <c r="A851">
        <f>IF(D851="USD",VLOOKUP(VALUE(RIGHT(E851,4)),'USD RUB'!$E:$F,2,FALSE),1)</f>
        <v>1</v>
      </c>
      <c r="B851" s="4">
        <v>1</v>
      </c>
      <c r="C851">
        <v>1000</v>
      </c>
      <c r="D851" t="s">
        <v>20</v>
      </c>
      <c r="E851" s="1" t="s">
        <v>867</v>
      </c>
      <c r="F851">
        <v>153858000</v>
      </c>
      <c r="G851">
        <v>16010836000</v>
      </c>
      <c r="H851">
        <v>116259593000</v>
      </c>
      <c r="J851">
        <v>133432661000</v>
      </c>
      <c r="K851">
        <v>17701085000</v>
      </c>
      <c r="L851">
        <v>37611354000</v>
      </c>
      <c r="N851">
        <v>78120222000</v>
      </c>
      <c r="O851">
        <v>43707951000</v>
      </c>
      <c r="P851">
        <v>5792627000</v>
      </c>
      <c r="Q851">
        <v>5310880000</v>
      </c>
      <c r="R851">
        <v>2996345000</v>
      </c>
      <c r="T851">
        <v>9215000000</v>
      </c>
      <c r="V851" t="str">
        <f t="shared" si="36"/>
        <v/>
      </c>
      <c r="W851" t="str">
        <f t="shared" si="37"/>
        <v/>
      </c>
    </row>
    <row r="852" spans="1:23" x14ac:dyDescent="0.2">
      <c r="A852">
        <f>IF(D852="USD",VLOOKUP(VALUE(RIGHT(E852,4)),'USD RUB'!$E:$F,2,FALSE),1)</f>
        <v>1</v>
      </c>
      <c r="B852" s="4">
        <v>1</v>
      </c>
      <c r="C852">
        <v>1000</v>
      </c>
      <c r="D852" t="s">
        <v>20</v>
      </c>
      <c r="E852" s="1" t="s">
        <v>868</v>
      </c>
      <c r="F852">
        <v>523708000</v>
      </c>
      <c r="G852">
        <v>18995058000</v>
      </c>
      <c r="H852">
        <v>111790317000</v>
      </c>
      <c r="J852">
        <v>131927803000</v>
      </c>
      <c r="K852">
        <v>18941164000</v>
      </c>
      <c r="L852">
        <v>33431605000</v>
      </c>
      <c r="N852">
        <v>79555034000</v>
      </c>
      <c r="O852">
        <v>34533953000</v>
      </c>
      <c r="P852">
        <v>6971420000</v>
      </c>
      <c r="Q852">
        <v>6680181000</v>
      </c>
      <c r="R852">
        <v>4431158000</v>
      </c>
      <c r="T852">
        <v>9133000000</v>
      </c>
      <c r="V852" t="str">
        <f t="shared" si="36"/>
        <v/>
      </c>
      <c r="W852" t="str">
        <f t="shared" si="37"/>
        <v/>
      </c>
    </row>
    <row r="853" spans="1:23" x14ac:dyDescent="0.2">
      <c r="A853">
        <f>IF(D853="USD",VLOOKUP(VALUE(RIGHT(E853,4)),'USD RUB'!$E:$F,2,FALSE),1)</f>
        <v>1</v>
      </c>
      <c r="B853" s="4">
        <v>1</v>
      </c>
      <c r="C853">
        <v>1000</v>
      </c>
      <c r="D853" t="s">
        <v>20</v>
      </c>
      <c r="E853" s="1" t="s">
        <v>869</v>
      </c>
      <c r="F853">
        <v>219503000</v>
      </c>
      <c r="G853">
        <v>21979809000</v>
      </c>
      <c r="H853">
        <v>100331617000</v>
      </c>
      <c r="J853">
        <v>123469433000</v>
      </c>
      <c r="K853">
        <v>19170477000</v>
      </c>
      <c r="L853">
        <v>24355301000</v>
      </c>
      <c r="N853">
        <v>79943655000</v>
      </c>
      <c r="O853">
        <v>21175334000</v>
      </c>
      <c r="P853">
        <v>5099451000</v>
      </c>
      <c r="Q853">
        <v>4918995000</v>
      </c>
      <c r="R853">
        <v>4639431000</v>
      </c>
      <c r="T853">
        <v>6124000000</v>
      </c>
      <c r="V853" t="str">
        <f t="shared" si="36"/>
        <v/>
      </c>
      <c r="W853" t="str">
        <f t="shared" si="37"/>
        <v/>
      </c>
    </row>
    <row r="854" spans="1:23" x14ac:dyDescent="0.2">
      <c r="A854">
        <f>IF(D854="USD",VLOOKUP(VALUE(RIGHT(E854,4)),'USD RUB'!$E:$F,2,FALSE),1)</f>
        <v>1</v>
      </c>
      <c r="B854" s="4">
        <v>1</v>
      </c>
      <c r="C854">
        <v>1000</v>
      </c>
      <c r="D854" t="s">
        <v>20</v>
      </c>
      <c r="E854" s="1" t="s">
        <v>870</v>
      </c>
      <c r="G854">
        <v>129885101000</v>
      </c>
      <c r="H854">
        <v>106420816000</v>
      </c>
      <c r="J854">
        <v>238780590000</v>
      </c>
      <c r="K854">
        <v>10851202000</v>
      </c>
      <c r="L854">
        <v>4200927000</v>
      </c>
      <c r="N854">
        <v>223728461000</v>
      </c>
      <c r="O854">
        <v>134304063000</v>
      </c>
      <c r="P854">
        <v>31246868000</v>
      </c>
      <c r="Q854">
        <v>50863519000</v>
      </c>
      <c r="R854">
        <v>39385545000</v>
      </c>
      <c r="V854">
        <f t="shared" si="36"/>
        <v>128250902000</v>
      </c>
      <c r="W854">
        <f t="shared" si="37"/>
        <v>197150055000</v>
      </c>
    </row>
    <row r="855" spans="1:23" x14ac:dyDescent="0.2">
      <c r="A855">
        <f>IF(D855="USD",VLOOKUP(VALUE(RIGHT(E855,4)),'USD RUB'!$E:$F,2,FALSE),1)</f>
        <v>1</v>
      </c>
      <c r="B855" s="4">
        <v>1</v>
      </c>
      <c r="C855">
        <v>1000</v>
      </c>
      <c r="D855" t="s">
        <v>20</v>
      </c>
      <c r="E855" s="1" t="s">
        <v>871</v>
      </c>
      <c r="G855">
        <v>126627075000</v>
      </c>
      <c r="H855">
        <v>90982928000</v>
      </c>
      <c r="J855">
        <v>219097643000</v>
      </c>
      <c r="K855">
        <v>8629127000</v>
      </c>
      <c r="L855">
        <v>5499167000</v>
      </c>
      <c r="N855">
        <v>204969349000</v>
      </c>
      <c r="O855">
        <v>64123930000</v>
      </c>
      <c r="P855">
        <v>17298668000</v>
      </c>
      <c r="Q855">
        <v>27654333000</v>
      </c>
      <c r="R855">
        <v>20889850000</v>
      </c>
      <c r="V855">
        <f t="shared" si="36"/>
        <v>62963085000</v>
      </c>
      <c r="W855">
        <f t="shared" si="37"/>
        <v>188086519000</v>
      </c>
    </row>
    <row r="856" spans="1:23" x14ac:dyDescent="0.2">
      <c r="A856">
        <f>IF(D856="USD",VLOOKUP(VALUE(RIGHT(E856,4)),'USD RUB'!$E:$F,2,FALSE),1)</f>
        <v>1</v>
      </c>
      <c r="B856" s="4">
        <v>1</v>
      </c>
      <c r="C856">
        <v>1000</v>
      </c>
      <c r="D856" t="s">
        <v>20</v>
      </c>
      <c r="E856" s="1" t="s">
        <v>872</v>
      </c>
      <c r="F856">
        <v>27100815000</v>
      </c>
      <c r="G856">
        <v>106908058000</v>
      </c>
      <c r="H856">
        <v>87625501000</v>
      </c>
      <c r="I856">
        <v>838620000</v>
      </c>
      <c r="J856">
        <v>197150055000</v>
      </c>
      <c r="K856">
        <v>9476038000</v>
      </c>
      <c r="L856">
        <v>3549313000</v>
      </c>
      <c r="M856">
        <v>118360842000</v>
      </c>
      <c r="N856">
        <v>184124704000</v>
      </c>
      <c r="O856">
        <v>128250902000</v>
      </c>
      <c r="P856">
        <v>27739356000</v>
      </c>
      <c r="Q856">
        <v>39736680000</v>
      </c>
      <c r="R856">
        <v>31927474000</v>
      </c>
      <c r="S856">
        <v>5783691000</v>
      </c>
      <c r="T856">
        <v>49106322000</v>
      </c>
      <c r="U856">
        <v>-13236343000</v>
      </c>
      <c r="V856">
        <f t="shared" si="36"/>
        <v>118631946000</v>
      </c>
      <c r="W856">
        <f t="shared" si="37"/>
        <v>166251904000</v>
      </c>
    </row>
    <row r="857" spans="1:23" x14ac:dyDescent="0.2">
      <c r="A857">
        <f>IF(D857="USD",VLOOKUP(VALUE(RIGHT(E857,4)),'USD RUB'!$E:$F,2,FALSE),1)</f>
        <v>1</v>
      </c>
      <c r="B857" s="4">
        <v>1</v>
      </c>
      <c r="C857">
        <v>1000</v>
      </c>
      <c r="D857" t="s">
        <v>20</v>
      </c>
      <c r="E857" s="1" t="s">
        <v>873</v>
      </c>
      <c r="F857">
        <v>44149048000</v>
      </c>
      <c r="G857">
        <v>86950414000</v>
      </c>
      <c r="H857">
        <v>96125958000</v>
      </c>
      <c r="I857">
        <v>812789000</v>
      </c>
      <c r="J857">
        <v>188086519000</v>
      </c>
      <c r="K857">
        <v>9559348000</v>
      </c>
      <c r="L857">
        <v>4357892000</v>
      </c>
      <c r="M857">
        <v>108142498000</v>
      </c>
      <c r="N857">
        <v>174169279000</v>
      </c>
      <c r="O857">
        <v>62963085000</v>
      </c>
      <c r="P857">
        <v>21942950000</v>
      </c>
      <c r="Q857">
        <v>27047366000</v>
      </c>
      <c r="R857">
        <v>21709130000</v>
      </c>
      <c r="S857">
        <v>3690440000</v>
      </c>
      <c r="T857">
        <v>26374698000</v>
      </c>
      <c r="U857">
        <v>-4679593000</v>
      </c>
      <c r="V857">
        <f t="shared" ref="V857:V920" si="38">_xlfn.XLOOKUP(LEFT(E857,LEN(E857)-4)&amp;(VALUE(RIGHT(E857,4))-1),$E:$E,$O:$O,"")</f>
        <v>58337018000</v>
      </c>
      <c r="W857">
        <f t="shared" ref="W857:W920" si="39">_xlfn.XLOOKUP(LEFT(E857,LEN(E857)-4)&amp;(VALUE(RIGHT(E857,4))-1),$E:$E,$J:$J,"")</f>
        <v>161906563000</v>
      </c>
    </row>
    <row r="858" spans="1:23" x14ac:dyDescent="0.2">
      <c r="A858">
        <f>IF(D858="USD",VLOOKUP(VALUE(RIGHT(E858,4)),'USD RUB'!$E:$F,2,FALSE),1)</f>
        <v>1</v>
      </c>
      <c r="B858" s="4">
        <v>1</v>
      </c>
      <c r="C858">
        <v>1000</v>
      </c>
      <c r="D858" t="s">
        <v>20</v>
      </c>
      <c r="E858" s="1" t="s">
        <v>874</v>
      </c>
      <c r="F858">
        <v>50136997000</v>
      </c>
      <c r="G858">
        <v>66314877000</v>
      </c>
      <c r="H858">
        <v>95439443000</v>
      </c>
      <c r="I858">
        <v>714979000</v>
      </c>
      <c r="J858">
        <v>166251904000</v>
      </c>
      <c r="K858">
        <v>8937980000</v>
      </c>
      <c r="L858">
        <v>4818369000</v>
      </c>
      <c r="M858">
        <v>86433368000</v>
      </c>
      <c r="N858">
        <v>152495555000</v>
      </c>
      <c r="O858">
        <v>118631946000</v>
      </c>
      <c r="P858">
        <v>23527274000</v>
      </c>
      <c r="Q858">
        <v>27599631000</v>
      </c>
      <c r="R858">
        <v>22042856000</v>
      </c>
      <c r="S858">
        <v>8129864000</v>
      </c>
      <c r="T858">
        <v>44249555000</v>
      </c>
      <c r="U858">
        <v>-14193504000</v>
      </c>
      <c r="V858">
        <f t="shared" si="38"/>
        <v>105798884000</v>
      </c>
      <c r="W858">
        <f t="shared" si="39"/>
        <v>146366579000</v>
      </c>
    </row>
    <row r="859" spans="1:23" x14ac:dyDescent="0.2">
      <c r="A859">
        <f>IF(D859="USD",VLOOKUP(VALUE(RIGHT(E859,4)),'USD RUB'!$E:$F,2,FALSE),1)</f>
        <v>1</v>
      </c>
      <c r="B859" s="4">
        <v>1</v>
      </c>
      <c r="C859">
        <v>1000</v>
      </c>
      <c r="D859" t="s">
        <v>20</v>
      </c>
      <c r="E859" s="1" t="s">
        <v>875</v>
      </c>
      <c r="F859">
        <v>42133552000</v>
      </c>
      <c r="G859">
        <v>57239104000</v>
      </c>
      <c r="H859">
        <v>100184380000</v>
      </c>
      <c r="I859">
        <v>751546000</v>
      </c>
      <c r="J859">
        <v>161906563000</v>
      </c>
      <c r="K859">
        <v>9053246000</v>
      </c>
      <c r="L859">
        <v>7090813000</v>
      </c>
      <c r="M859">
        <v>79916342000</v>
      </c>
      <c r="N859">
        <v>145762504000</v>
      </c>
      <c r="O859">
        <v>58337018000</v>
      </c>
      <c r="P859">
        <v>18508429000</v>
      </c>
      <c r="Q859">
        <v>19645072000</v>
      </c>
      <c r="R859">
        <v>15525830000</v>
      </c>
      <c r="S859">
        <v>4084492000</v>
      </c>
      <c r="T859">
        <v>23073687000</v>
      </c>
      <c r="U859">
        <v>-2663858000</v>
      </c>
      <c r="V859">
        <f t="shared" si="38"/>
        <v>51415921000</v>
      </c>
      <c r="W859">
        <f t="shared" si="39"/>
        <v>118284746000</v>
      </c>
    </row>
    <row r="860" spans="1:23" x14ac:dyDescent="0.2">
      <c r="A860">
        <f>IF(D860="USD",VLOOKUP(VALUE(RIGHT(E860,4)),'USD RUB'!$E:$F,2,FALSE),1)</f>
        <v>1</v>
      </c>
      <c r="B860" s="4">
        <v>1</v>
      </c>
      <c r="C860">
        <v>1000</v>
      </c>
      <c r="D860" t="s">
        <v>20</v>
      </c>
      <c r="E860" s="1" t="s">
        <v>876</v>
      </c>
      <c r="F860">
        <v>27077433000</v>
      </c>
      <c r="G860">
        <v>41256309000</v>
      </c>
      <c r="H860">
        <v>102010250000</v>
      </c>
      <c r="I860">
        <v>699915000</v>
      </c>
      <c r="J860">
        <v>146366579000</v>
      </c>
      <c r="K860">
        <v>10245946000</v>
      </c>
      <c r="L860">
        <v>6410510000</v>
      </c>
      <c r="M860">
        <v>64390512000</v>
      </c>
      <c r="N860">
        <v>129710123000</v>
      </c>
      <c r="O860">
        <v>105798884000</v>
      </c>
      <c r="P860">
        <v>25220877000</v>
      </c>
      <c r="Q860">
        <v>26315408000</v>
      </c>
      <c r="R860">
        <v>21267722000</v>
      </c>
      <c r="S860">
        <v>7566371000</v>
      </c>
      <c r="T860">
        <v>42040943000</v>
      </c>
      <c r="U860">
        <v>-5895396000</v>
      </c>
      <c r="V860">
        <f t="shared" si="38"/>
        <v>88129314000</v>
      </c>
      <c r="W860">
        <f t="shared" si="39"/>
        <v>127448256000</v>
      </c>
    </row>
    <row r="861" spans="1:23" x14ac:dyDescent="0.2">
      <c r="A861">
        <f>IF(D861="USD",VLOOKUP(VALUE(RIGHT(E861,4)),'USD RUB'!$E:$F,2,FALSE),1)</f>
        <v>1</v>
      </c>
      <c r="B861" s="4">
        <v>1</v>
      </c>
      <c r="C861">
        <v>1000</v>
      </c>
      <c r="D861" t="s">
        <v>20</v>
      </c>
      <c r="E861" s="1" t="s">
        <v>877</v>
      </c>
      <c r="F861">
        <v>18988597000</v>
      </c>
      <c r="G861">
        <v>33131805000</v>
      </c>
      <c r="H861">
        <v>90199566000</v>
      </c>
      <c r="I861">
        <v>652263000</v>
      </c>
      <c r="J861">
        <v>126489357000</v>
      </c>
      <c r="K861">
        <v>9458426000</v>
      </c>
      <c r="L861">
        <v>3712470000</v>
      </c>
      <c r="M861">
        <v>48264263000</v>
      </c>
      <c r="N861">
        <v>113318461000</v>
      </c>
      <c r="O861">
        <v>77626723000</v>
      </c>
      <c r="P861">
        <v>5879628000</v>
      </c>
      <c r="Q861">
        <v>6397137000</v>
      </c>
      <c r="R861">
        <v>5141473000</v>
      </c>
      <c r="S861">
        <v>5612416000</v>
      </c>
      <c r="T861">
        <v>32058193000</v>
      </c>
      <c r="V861">
        <f t="shared" si="38"/>
        <v>63723385000</v>
      </c>
      <c r="W861">
        <f t="shared" si="39"/>
        <v>140637123000</v>
      </c>
    </row>
    <row r="862" spans="1:23" x14ac:dyDescent="0.2">
      <c r="A862">
        <f>IF(D862="USD",VLOOKUP(VALUE(RIGHT(E862,4)),'USD RUB'!$E:$F,2,FALSE),1)</f>
        <v>1</v>
      </c>
      <c r="B862" s="4">
        <v>1</v>
      </c>
      <c r="C862">
        <v>1000</v>
      </c>
      <c r="D862" t="s">
        <v>20</v>
      </c>
      <c r="E862" s="1" t="s">
        <v>878</v>
      </c>
      <c r="F862">
        <v>11925496000</v>
      </c>
      <c r="G862">
        <v>24555851000</v>
      </c>
      <c r="H862">
        <v>91058945000</v>
      </c>
      <c r="I862">
        <v>617747000</v>
      </c>
      <c r="J862">
        <v>118284746000</v>
      </c>
      <c r="K862">
        <v>8251771000</v>
      </c>
      <c r="L862">
        <v>3806213000</v>
      </c>
      <c r="M862">
        <v>41224533000</v>
      </c>
      <c r="N862">
        <v>106226762000</v>
      </c>
      <c r="O862">
        <v>51415921000</v>
      </c>
      <c r="P862">
        <v>-2533032000</v>
      </c>
      <c r="Q862">
        <v>-2365562000</v>
      </c>
      <c r="R862">
        <v>-1898257000</v>
      </c>
      <c r="S862">
        <v>3814636000</v>
      </c>
      <c r="T862">
        <v>21118624000</v>
      </c>
      <c r="U862">
        <v>-2156684000</v>
      </c>
      <c r="V862">
        <f t="shared" si="38"/>
        <v>42100497000</v>
      </c>
      <c r="W862">
        <f t="shared" si="39"/>
        <v>142844290000</v>
      </c>
    </row>
    <row r="863" spans="1:23" x14ac:dyDescent="0.2">
      <c r="A863">
        <f>IF(D863="USD",VLOOKUP(VALUE(RIGHT(E863,4)),'USD RUB'!$E:$F,2,FALSE),1)</f>
        <v>1</v>
      </c>
      <c r="B863" s="4">
        <v>1</v>
      </c>
      <c r="C863">
        <v>1000</v>
      </c>
      <c r="D863" t="s">
        <v>20</v>
      </c>
      <c r="E863" s="1" t="s">
        <v>879</v>
      </c>
      <c r="F863">
        <v>5395168000</v>
      </c>
      <c r="G863">
        <v>18959829000</v>
      </c>
      <c r="H863">
        <v>92088913000</v>
      </c>
      <c r="I863">
        <v>598905000</v>
      </c>
      <c r="J863">
        <v>113208301000</v>
      </c>
      <c r="K863">
        <v>8882613000</v>
      </c>
      <c r="L863">
        <v>3146948000</v>
      </c>
      <c r="M863">
        <v>35314699000</v>
      </c>
      <c r="N863">
        <v>101178740000</v>
      </c>
      <c r="O863">
        <v>28013237000</v>
      </c>
      <c r="P863">
        <v>-9622133000</v>
      </c>
      <c r="Q863">
        <v>-9708810000</v>
      </c>
      <c r="R863">
        <v>-7808091000</v>
      </c>
      <c r="S863">
        <v>1991229000</v>
      </c>
      <c r="T863">
        <v>11403958000</v>
      </c>
      <c r="U863">
        <v>-1100000000</v>
      </c>
      <c r="V863">
        <f t="shared" si="38"/>
        <v>21499872000</v>
      </c>
      <c r="W863">
        <f t="shared" si="39"/>
        <v>138885296000</v>
      </c>
    </row>
    <row r="864" spans="1:23" x14ac:dyDescent="0.2">
      <c r="A864">
        <f>IF(D864="USD",VLOOKUP(VALUE(RIGHT(E864,4)),'USD RUB'!$E:$F,2,FALSE),1)</f>
        <v>1</v>
      </c>
      <c r="B864" s="4">
        <v>1</v>
      </c>
      <c r="C864">
        <v>1000</v>
      </c>
      <c r="D864" t="s">
        <v>20</v>
      </c>
      <c r="E864" s="1" t="s">
        <v>880</v>
      </c>
      <c r="F864">
        <v>29737000</v>
      </c>
      <c r="G864">
        <v>13169549000</v>
      </c>
      <c r="H864">
        <v>112286380000</v>
      </c>
      <c r="I864">
        <v>604688000</v>
      </c>
      <c r="J864">
        <v>127448256000</v>
      </c>
      <c r="K864">
        <v>12290050000</v>
      </c>
      <c r="L864">
        <v>6505137000</v>
      </c>
      <c r="M864">
        <v>43122790000</v>
      </c>
      <c r="N864">
        <v>108653069000</v>
      </c>
      <c r="O864">
        <v>88129314000</v>
      </c>
      <c r="P864">
        <v>10021831000</v>
      </c>
      <c r="Q864">
        <v>10292496000</v>
      </c>
      <c r="R864">
        <v>8232855000</v>
      </c>
      <c r="S864">
        <v>7876780000</v>
      </c>
      <c r="T864">
        <v>29876333000</v>
      </c>
      <c r="U864">
        <v>-11245906000</v>
      </c>
      <c r="V864">
        <f t="shared" si="38"/>
        <v>75316709000</v>
      </c>
      <c r="W864">
        <f t="shared" si="39"/>
        <v>135270962000</v>
      </c>
    </row>
    <row r="865" spans="1:23" x14ac:dyDescent="0.2">
      <c r="A865">
        <f>IF(D865="USD",VLOOKUP(VALUE(RIGHT(E865,4)),'USD RUB'!$E:$F,2,FALSE),1)</f>
        <v>1</v>
      </c>
      <c r="B865" s="4">
        <v>1</v>
      </c>
      <c r="C865">
        <v>1000</v>
      </c>
      <c r="D865" t="s">
        <v>20</v>
      </c>
      <c r="E865" s="1" t="s">
        <v>881</v>
      </c>
      <c r="F865">
        <v>2889348000</v>
      </c>
      <c r="G865">
        <v>14197224000</v>
      </c>
      <c r="H865">
        <v>124840004000</v>
      </c>
      <c r="I865">
        <v>578264000</v>
      </c>
      <c r="J865">
        <v>140637123000</v>
      </c>
      <c r="K865">
        <v>7745624000</v>
      </c>
      <c r="L865">
        <v>8001473000</v>
      </c>
      <c r="M865">
        <v>59456233000</v>
      </c>
      <c r="N865">
        <v>124890026000</v>
      </c>
      <c r="O865">
        <v>63723385000</v>
      </c>
      <c r="P865">
        <v>15474505000</v>
      </c>
      <c r="Q865">
        <v>15541481000</v>
      </c>
      <c r="R865">
        <v>12566298000</v>
      </c>
      <c r="S865">
        <v>5842792000</v>
      </c>
      <c r="T865">
        <v>22000000000</v>
      </c>
      <c r="U865">
        <v>-7900000000</v>
      </c>
      <c r="V865">
        <f t="shared" si="38"/>
        <v>54794772000</v>
      </c>
      <c r="W865">
        <f t="shared" si="39"/>
        <v>136673695000</v>
      </c>
    </row>
    <row r="866" spans="1:23" x14ac:dyDescent="0.2">
      <c r="A866">
        <f>IF(D866="USD",VLOOKUP(VALUE(RIGHT(E866,4)),'USD RUB'!$E:$F,2,FALSE),1)</f>
        <v>1</v>
      </c>
      <c r="B866" s="4">
        <v>1</v>
      </c>
      <c r="C866">
        <v>1000</v>
      </c>
      <c r="D866" t="s">
        <v>20</v>
      </c>
      <c r="E866" s="1" t="s">
        <v>882</v>
      </c>
      <c r="F866">
        <v>5183864000</v>
      </c>
      <c r="G866">
        <v>17595393000</v>
      </c>
      <c r="H866">
        <v>123558269000</v>
      </c>
      <c r="I866">
        <v>410423000</v>
      </c>
      <c r="J866">
        <v>142844290000</v>
      </c>
      <c r="K866">
        <v>13987083000</v>
      </c>
      <c r="L866">
        <v>7945543000</v>
      </c>
      <c r="M866">
        <v>55375034000</v>
      </c>
      <c r="N866">
        <v>120911664000</v>
      </c>
      <c r="O866">
        <v>42100497000</v>
      </c>
      <c r="P866">
        <v>10396539000</v>
      </c>
      <c r="Q866">
        <v>10496299000</v>
      </c>
      <c r="R866">
        <v>8485099000</v>
      </c>
      <c r="S866">
        <v>3693743000</v>
      </c>
      <c r="T866">
        <v>14376961000</v>
      </c>
      <c r="U866">
        <v>-4863999000</v>
      </c>
      <c r="V866">
        <f t="shared" si="38"/>
        <v>37552654000</v>
      </c>
      <c r="W866">
        <f t="shared" si="39"/>
        <v>133159746000</v>
      </c>
    </row>
    <row r="867" spans="1:23" x14ac:dyDescent="0.2">
      <c r="A867">
        <f>IF(D867="USD",VLOOKUP(VALUE(RIGHT(E867,4)),'USD RUB'!$E:$F,2,FALSE),1)</f>
        <v>1</v>
      </c>
      <c r="B867" s="4">
        <v>1</v>
      </c>
      <c r="C867">
        <v>1000</v>
      </c>
      <c r="D867" t="s">
        <v>20</v>
      </c>
      <c r="E867" s="1" t="s">
        <v>883</v>
      </c>
      <c r="F867">
        <v>4357624000</v>
      </c>
      <c r="G867">
        <v>15802061000</v>
      </c>
      <c r="H867">
        <v>122055479000</v>
      </c>
      <c r="I867">
        <v>328774000</v>
      </c>
      <c r="J867">
        <v>138885296000</v>
      </c>
      <c r="K867">
        <v>8466329000</v>
      </c>
      <c r="L867">
        <v>5898184000</v>
      </c>
      <c r="M867">
        <v>58927845000</v>
      </c>
      <c r="N867">
        <v>124520783000</v>
      </c>
      <c r="O867">
        <v>21499872000</v>
      </c>
      <c r="P867">
        <v>4992727000</v>
      </c>
      <c r="Q867">
        <v>5000482000</v>
      </c>
      <c r="R867">
        <v>4037910000</v>
      </c>
      <c r="S867">
        <v>1794725000</v>
      </c>
      <c r="T867">
        <v>6875659000</v>
      </c>
      <c r="V867">
        <f t="shared" si="38"/>
        <v>20421743000</v>
      </c>
      <c r="W867">
        <f t="shared" si="39"/>
        <v>140637593000</v>
      </c>
    </row>
    <row r="868" spans="1:23" x14ac:dyDescent="0.2">
      <c r="A868">
        <f>IF(D868="USD",VLOOKUP(VALUE(RIGHT(E868,4)),'USD RUB'!$E:$F,2,FALSE),1)</f>
        <v>1</v>
      </c>
      <c r="B868" s="4">
        <v>1</v>
      </c>
      <c r="C868">
        <v>1000</v>
      </c>
      <c r="D868" t="s">
        <v>20</v>
      </c>
      <c r="E868" s="1" t="s">
        <v>884</v>
      </c>
      <c r="F868">
        <v>192360000</v>
      </c>
      <c r="G868">
        <v>11643029000</v>
      </c>
      <c r="H868">
        <v>122271484000</v>
      </c>
      <c r="I868">
        <v>353298000</v>
      </c>
      <c r="J868">
        <v>135270962000</v>
      </c>
      <c r="K868">
        <v>8601745000</v>
      </c>
      <c r="L868">
        <v>6124776000</v>
      </c>
      <c r="M868">
        <v>54889935000</v>
      </c>
      <c r="N868">
        <v>120544441000</v>
      </c>
      <c r="O868">
        <v>75316709000</v>
      </c>
      <c r="P868">
        <v>16838970000</v>
      </c>
      <c r="Q868">
        <v>17027426000</v>
      </c>
      <c r="R868">
        <v>13749717000</v>
      </c>
      <c r="S868">
        <v>6139908000</v>
      </c>
      <c r="T868">
        <v>26413218000</v>
      </c>
      <c r="U868">
        <v>-9999328000</v>
      </c>
      <c r="V868">
        <f t="shared" si="38"/>
        <v>80279710000</v>
      </c>
      <c r="W868">
        <f t="shared" si="39"/>
        <v>136588532000</v>
      </c>
    </row>
    <row r="869" spans="1:23" x14ac:dyDescent="0.2">
      <c r="A869">
        <f>IF(D869="USD",VLOOKUP(VALUE(RIGHT(E869,4)),'USD RUB'!$E:$F,2,FALSE),1)</f>
        <v>1</v>
      </c>
      <c r="B869" s="4">
        <v>1</v>
      </c>
      <c r="C869">
        <v>1000</v>
      </c>
      <c r="D869" t="s">
        <v>20</v>
      </c>
      <c r="E869" s="1" t="s">
        <v>885</v>
      </c>
      <c r="F869">
        <v>2832362000</v>
      </c>
      <c r="G869">
        <v>14390991000</v>
      </c>
      <c r="H869">
        <v>121221399000</v>
      </c>
      <c r="I869">
        <v>330161000</v>
      </c>
      <c r="J869">
        <v>136673695000</v>
      </c>
      <c r="K869">
        <v>6688679000</v>
      </c>
      <c r="L869">
        <v>5924073000</v>
      </c>
      <c r="M869">
        <v>58303264000</v>
      </c>
      <c r="N869">
        <v>124060943000</v>
      </c>
      <c r="O869">
        <v>54794772000</v>
      </c>
      <c r="P869">
        <v>12554076000</v>
      </c>
      <c r="Q869">
        <v>12622460000</v>
      </c>
      <c r="R869">
        <v>10163046000</v>
      </c>
      <c r="S869">
        <v>4595646000</v>
      </c>
      <c r="T869">
        <v>19200000000</v>
      </c>
      <c r="U869">
        <v>6800000000</v>
      </c>
      <c r="V869">
        <f t="shared" si="38"/>
        <v>59199618000</v>
      </c>
      <c r="W869">
        <f t="shared" si="39"/>
        <v>136259163000</v>
      </c>
    </row>
    <row r="870" spans="1:23" x14ac:dyDescent="0.2">
      <c r="A870">
        <f>IF(D870="USD",VLOOKUP(VALUE(RIGHT(E870,4)),'USD RUB'!$E:$F,2,FALSE),1)</f>
        <v>1</v>
      </c>
      <c r="B870" s="4">
        <v>1</v>
      </c>
      <c r="C870">
        <v>1000</v>
      </c>
      <c r="D870" t="s">
        <v>20</v>
      </c>
      <c r="E870" s="1" t="s">
        <v>886</v>
      </c>
      <c r="F870">
        <v>682963000</v>
      </c>
      <c r="G870">
        <v>11468023000</v>
      </c>
      <c r="H870">
        <v>120607028000</v>
      </c>
      <c r="I870">
        <v>312598000</v>
      </c>
      <c r="J870">
        <v>133159746000</v>
      </c>
      <c r="K870">
        <v>6799328000</v>
      </c>
      <c r="L870">
        <v>5857132000</v>
      </c>
      <c r="M870">
        <v>55060030000</v>
      </c>
      <c r="N870">
        <v>120503286000</v>
      </c>
      <c r="O870">
        <v>37552654000</v>
      </c>
      <c r="P870">
        <v>8339710000</v>
      </c>
      <c r="Q870">
        <v>8591967000</v>
      </c>
      <c r="R870">
        <v>6919812000</v>
      </c>
      <c r="S870">
        <v>3046913000</v>
      </c>
      <c r="T870">
        <v>13045173000</v>
      </c>
      <c r="U870">
        <v>-4308022000</v>
      </c>
      <c r="V870">
        <f t="shared" si="38"/>
        <v>42715985000</v>
      </c>
      <c r="W870">
        <f t="shared" si="39"/>
        <v>135671285000</v>
      </c>
    </row>
    <row r="871" spans="1:23" x14ac:dyDescent="0.2">
      <c r="A871">
        <f>IF(D871="USD",VLOOKUP(VALUE(RIGHT(E871,4)),'USD RUB'!$E:$F,2,FALSE),1)</f>
        <v>1</v>
      </c>
      <c r="B871" s="4">
        <v>1</v>
      </c>
      <c r="C871">
        <v>1000</v>
      </c>
      <c r="D871" t="s">
        <v>20</v>
      </c>
      <c r="E871" s="1" t="s">
        <v>887</v>
      </c>
      <c r="F871">
        <v>5056087000</v>
      </c>
      <c r="G871">
        <v>18166819000</v>
      </c>
      <c r="H871">
        <v>121381944000</v>
      </c>
      <c r="I871">
        <v>290698000</v>
      </c>
      <c r="J871">
        <v>140637593000</v>
      </c>
      <c r="K871">
        <v>8657816000</v>
      </c>
      <c r="L871">
        <v>6209270000</v>
      </c>
      <c r="M871">
        <v>59906259000</v>
      </c>
      <c r="N871">
        <v>125770507000</v>
      </c>
      <c r="O871">
        <v>20421743000</v>
      </c>
      <c r="P871">
        <v>5891606000</v>
      </c>
      <c r="Q871">
        <v>5925977000</v>
      </c>
      <c r="R871">
        <v>4766041000</v>
      </c>
      <c r="S871">
        <v>1523134000</v>
      </c>
      <c r="T871">
        <v>7645107000</v>
      </c>
      <c r="V871">
        <f t="shared" si="38"/>
        <v>23040265000</v>
      </c>
      <c r="W871">
        <f t="shared" si="39"/>
        <v>137749393000</v>
      </c>
    </row>
    <row r="872" spans="1:23" x14ac:dyDescent="0.2">
      <c r="A872">
        <f>IF(D872="USD",VLOOKUP(VALUE(RIGHT(E872,4)),'USD RUB'!$E:$F,2,FALSE),1)</f>
        <v>1</v>
      </c>
      <c r="B872" s="4">
        <v>1</v>
      </c>
      <c r="C872">
        <v>1000</v>
      </c>
      <c r="D872" t="s">
        <v>20</v>
      </c>
      <c r="E872" s="1" t="s">
        <v>888</v>
      </c>
      <c r="F872">
        <v>3093529000</v>
      </c>
      <c r="G872">
        <v>14474381000</v>
      </c>
      <c r="H872">
        <v>121159059000</v>
      </c>
      <c r="I872">
        <v>307966000</v>
      </c>
      <c r="J872">
        <v>136588532000</v>
      </c>
      <c r="K872">
        <v>9802876000</v>
      </c>
      <c r="L872">
        <v>6140110000</v>
      </c>
      <c r="M872">
        <v>55140218000</v>
      </c>
      <c r="N872">
        <v>120645546000</v>
      </c>
      <c r="O872">
        <v>80279710000</v>
      </c>
      <c r="P872">
        <v>22493909000</v>
      </c>
      <c r="Q872">
        <v>23057828000</v>
      </c>
      <c r="R872">
        <v>18856247000</v>
      </c>
      <c r="S872">
        <v>5909496000</v>
      </c>
      <c r="T872">
        <v>29284224000</v>
      </c>
      <c r="U872">
        <v>-14393167000</v>
      </c>
      <c r="V872">
        <f t="shared" si="38"/>
        <v>77777008000</v>
      </c>
      <c r="W872">
        <f t="shared" si="39"/>
        <v>131025499000</v>
      </c>
    </row>
    <row r="873" spans="1:23" x14ac:dyDescent="0.2">
      <c r="A873">
        <f>IF(D873="USD",VLOOKUP(VALUE(RIGHT(E873,4)),'USD RUB'!$E:$F,2,FALSE),1)</f>
        <v>1</v>
      </c>
      <c r="B873" s="4">
        <v>1</v>
      </c>
      <c r="C873">
        <v>1000</v>
      </c>
      <c r="D873" t="s">
        <v>20</v>
      </c>
      <c r="E873" s="1" t="s">
        <v>889</v>
      </c>
      <c r="F873">
        <v>4819956000</v>
      </c>
      <c r="G873">
        <v>16896624000</v>
      </c>
      <c r="H873">
        <v>118486306000</v>
      </c>
      <c r="I873">
        <v>344986000</v>
      </c>
      <c r="J873">
        <v>136259163000</v>
      </c>
      <c r="K873">
        <v>6478630000</v>
      </c>
      <c r="L873">
        <v>7160132000</v>
      </c>
      <c r="M873">
        <v>56963093000</v>
      </c>
      <c r="N873">
        <v>122620401000</v>
      </c>
      <c r="O873">
        <v>59199618000</v>
      </c>
      <c r="P873">
        <v>16594770000</v>
      </c>
      <c r="Q873">
        <v>17063809000</v>
      </c>
      <c r="R873">
        <v>13679122000</v>
      </c>
      <c r="S873">
        <v>4390639000</v>
      </c>
      <c r="U873">
        <v>-4208506000</v>
      </c>
      <c r="V873">
        <f t="shared" si="38"/>
        <v>54824458000</v>
      </c>
      <c r="W873">
        <f t="shared" si="39"/>
        <v>131983561000</v>
      </c>
    </row>
    <row r="874" spans="1:23" x14ac:dyDescent="0.2">
      <c r="A874">
        <f>IF(D874="USD",VLOOKUP(VALUE(RIGHT(E874,4)),'USD RUB'!$E:$F,2,FALSE),1)</f>
        <v>1</v>
      </c>
      <c r="B874" s="4">
        <v>1</v>
      </c>
      <c r="C874">
        <v>1000</v>
      </c>
      <c r="D874" t="s">
        <v>20</v>
      </c>
      <c r="E874" s="1" t="s">
        <v>890</v>
      </c>
      <c r="F874">
        <v>6343817000</v>
      </c>
      <c r="G874">
        <v>17919826000</v>
      </c>
      <c r="H874">
        <v>116644891000</v>
      </c>
      <c r="I874">
        <v>332725000</v>
      </c>
      <c r="J874">
        <v>135671285000</v>
      </c>
      <c r="K874">
        <v>8573219000</v>
      </c>
      <c r="L874">
        <v>7126937000</v>
      </c>
      <c r="M874">
        <v>54290104000</v>
      </c>
      <c r="N874">
        <v>119971129000</v>
      </c>
      <c r="O874">
        <v>42715985000</v>
      </c>
      <c r="P874">
        <v>13341647000</v>
      </c>
      <c r="Q874">
        <v>13729431000</v>
      </c>
      <c r="R874">
        <v>11006133000</v>
      </c>
      <c r="S874">
        <v>2938033000</v>
      </c>
      <c r="T874">
        <v>16258581000</v>
      </c>
      <c r="U874">
        <v>-6052520000</v>
      </c>
      <c r="V874">
        <f t="shared" si="38"/>
        <v>37595594000</v>
      </c>
      <c r="W874">
        <f t="shared" si="39"/>
        <v>136084022000</v>
      </c>
    </row>
    <row r="875" spans="1:23" x14ac:dyDescent="0.2">
      <c r="A875">
        <f>IF(D875="USD",VLOOKUP(VALUE(RIGHT(E875,4)),'USD RUB'!$E:$F,2,FALSE),1)</f>
        <v>1</v>
      </c>
      <c r="B875" s="4">
        <v>1</v>
      </c>
      <c r="C875">
        <v>1000</v>
      </c>
      <c r="D875" t="s">
        <v>20</v>
      </c>
      <c r="E875" s="1" t="s">
        <v>891</v>
      </c>
      <c r="F875">
        <v>11271542000</v>
      </c>
      <c r="G875">
        <v>21739069000</v>
      </c>
      <c r="H875">
        <v>114827642000</v>
      </c>
      <c r="I875">
        <v>327884000</v>
      </c>
      <c r="J875">
        <v>137749393000</v>
      </c>
      <c r="K875">
        <v>8627707000</v>
      </c>
      <c r="L875">
        <v>6855618000</v>
      </c>
      <c r="M875">
        <v>56497881000</v>
      </c>
      <c r="N875">
        <v>122266068000</v>
      </c>
      <c r="O875">
        <v>23040265000</v>
      </c>
      <c r="P875">
        <v>7530295000</v>
      </c>
      <c r="Q875">
        <v>7711041000</v>
      </c>
      <c r="R875">
        <v>6213910000</v>
      </c>
      <c r="S875">
        <v>1466647000</v>
      </c>
      <c r="V875">
        <f t="shared" si="38"/>
        <v>20339457000</v>
      </c>
      <c r="W875">
        <f t="shared" si="39"/>
        <v>132628799000</v>
      </c>
    </row>
    <row r="876" spans="1:23" x14ac:dyDescent="0.2">
      <c r="A876">
        <f>IF(D876="USD",VLOOKUP(VALUE(RIGHT(E876,4)),'USD RUB'!$E:$F,2,FALSE),1)</f>
        <v>1</v>
      </c>
      <c r="B876" s="4">
        <v>1</v>
      </c>
      <c r="C876">
        <v>1000</v>
      </c>
      <c r="D876" t="s">
        <v>20</v>
      </c>
      <c r="E876" s="1" t="s">
        <v>892</v>
      </c>
      <c r="F876">
        <v>4788075000</v>
      </c>
      <c r="G876">
        <v>15907050000</v>
      </c>
      <c r="H876">
        <v>113931935000</v>
      </c>
      <c r="I876">
        <v>349446000</v>
      </c>
      <c r="J876">
        <v>131025499000</v>
      </c>
      <c r="K876">
        <v>7820506000</v>
      </c>
      <c r="L876">
        <v>6970653000</v>
      </c>
      <c r="M876">
        <v>50283971000</v>
      </c>
      <c r="N876">
        <v>116234340000</v>
      </c>
      <c r="O876">
        <v>77777008000</v>
      </c>
      <c r="P876">
        <v>19946053000</v>
      </c>
      <c r="Q876">
        <v>20444426000</v>
      </c>
      <c r="R876">
        <v>16619914000</v>
      </c>
      <c r="S876">
        <v>6059304000</v>
      </c>
      <c r="T876">
        <v>27761439000</v>
      </c>
      <c r="U876">
        <v>-13926652000</v>
      </c>
      <c r="V876">
        <f t="shared" si="38"/>
        <v>76521542000</v>
      </c>
      <c r="W876">
        <f t="shared" si="39"/>
        <v>126019740000</v>
      </c>
    </row>
    <row r="877" spans="1:23" x14ac:dyDescent="0.2">
      <c r="A877">
        <f>IF(D877="USD",VLOOKUP(VALUE(RIGHT(E877,4)),'USD RUB'!$E:$F,2,FALSE),1)</f>
        <v>1</v>
      </c>
      <c r="B877" s="4">
        <v>1</v>
      </c>
      <c r="C877">
        <v>1000</v>
      </c>
      <c r="D877" t="s">
        <v>20</v>
      </c>
      <c r="E877" s="1" t="s">
        <v>893</v>
      </c>
      <c r="F877">
        <v>7804000000</v>
      </c>
      <c r="G877">
        <v>18830950000</v>
      </c>
      <c r="H877">
        <v>111981758000</v>
      </c>
      <c r="I877">
        <v>377518000</v>
      </c>
      <c r="J877">
        <v>131983561000</v>
      </c>
      <c r="K877">
        <v>6820974000</v>
      </c>
      <c r="L877">
        <v>7485108000</v>
      </c>
      <c r="M877">
        <v>51853238000</v>
      </c>
      <c r="N877">
        <v>117677479000</v>
      </c>
      <c r="O877">
        <v>54824458000</v>
      </c>
      <c r="P877">
        <v>13575726000</v>
      </c>
      <c r="Q877">
        <v>13940480000</v>
      </c>
      <c r="R877">
        <v>11187181000</v>
      </c>
      <c r="S877">
        <v>4586333000</v>
      </c>
      <c r="V877">
        <f t="shared" si="38"/>
        <v>56040235000</v>
      </c>
      <c r="W877">
        <f t="shared" si="39"/>
        <v>130892874000</v>
      </c>
    </row>
    <row r="878" spans="1:23" x14ac:dyDescent="0.2">
      <c r="A878">
        <f>IF(D878="USD",VLOOKUP(VALUE(RIGHT(E878,4)),'USD RUB'!$E:$F,2,FALSE),1)</f>
        <v>1</v>
      </c>
      <c r="B878" s="4">
        <v>1</v>
      </c>
      <c r="C878">
        <v>1000</v>
      </c>
      <c r="D878" t="s">
        <v>20</v>
      </c>
      <c r="E878" s="1" t="s">
        <v>894</v>
      </c>
      <c r="F878">
        <v>8768900000</v>
      </c>
      <c r="G878">
        <v>25779085000</v>
      </c>
      <c r="H878">
        <v>109275903000</v>
      </c>
      <c r="I878">
        <v>419054000</v>
      </c>
      <c r="J878">
        <v>136084022000</v>
      </c>
      <c r="K878">
        <v>13910214000</v>
      </c>
      <c r="L878">
        <v>7468104000</v>
      </c>
      <c r="M878">
        <v>48848273000</v>
      </c>
      <c r="N878">
        <v>114705704000</v>
      </c>
      <c r="O878">
        <v>37595594000</v>
      </c>
      <c r="P878">
        <v>9971286000</v>
      </c>
      <c r="Q878">
        <v>10203597000</v>
      </c>
      <c r="R878">
        <v>8182216000</v>
      </c>
      <c r="S878">
        <v>3027881000</v>
      </c>
      <c r="T878">
        <v>13583120000</v>
      </c>
      <c r="U878">
        <v>-5796217000</v>
      </c>
      <c r="V878">
        <f t="shared" si="38"/>
        <v>37750739000</v>
      </c>
      <c r="W878">
        <f t="shared" si="39"/>
        <v>135631474000</v>
      </c>
    </row>
    <row r="879" spans="1:23" x14ac:dyDescent="0.2">
      <c r="A879">
        <f>IF(D879="USD",VLOOKUP(VALUE(RIGHT(E879,4)),'USD RUB'!$E:$F,2,FALSE),1)</f>
        <v>1</v>
      </c>
      <c r="B879" s="4">
        <v>1</v>
      </c>
      <c r="C879">
        <v>1000</v>
      </c>
      <c r="D879" t="s">
        <v>20</v>
      </c>
      <c r="E879" s="1" t="s">
        <v>895</v>
      </c>
      <c r="F879">
        <v>11970512000</v>
      </c>
      <c r="G879">
        <v>24337787000</v>
      </c>
      <c r="H879">
        <v>107543590000</v>
      </c>
      <c r="I879">
        <v>309487000</v>
      </c>
      <c r="J879">
        <v>132628799000</v>
      </c>
      <c r="K879">
        <v>7806219000</v>
      </c>
      <c r="L879">
        <v>6274393000</v>
      </c>
      <c r="M879">
        <v>52757288000</v>
      </c>
      <c r="N879">
        <v>118548187000</v>
      </c>
      <c r="O879">
        <v>20339457000</v>
      </c>
      <c r="P879">
        <v>6144500000</v>
      </c>
      <c r="Q879">
        <v>6340508000</v>
      </c>
      <c r="R879">
        <v>5079374000</v>
      </c>
      <c r="S879">
        <v>1505124000</v>
      </c>
      <c r="V879">
        <f t="shared" si="38"/>
        <v>20688623000</v>
      </c>
      <c r="W879">
        <f t="shared" si="39"/>
        <v>113232666000</v>
      </c>
    </row>
    <row r="880" spans="1:23" x14ac:dyDescent="0.2">
      <c r="A880">
        <f>IF(D880="USD",VLOOKUP(VALUE(RIGHT(E880,4)),'USD RUB'!$E:$F,2,FALSE),1)</f>
        <v>1</v>
      </c>
      <c r="B880" s="4">
        <v>1</v>
      </c>
      <c r="C880">
        <v>1000</v>
      </c>
      <c r="D880" t="s">
        <v>20</v>
      </c>
      <c r="E880" s="1" t="s">
        <v>896</v>
      </c>
      <c r="F880">
        <v>3058326000</v>
      </c>
      <c r="G880">
        <v>18557460000</v>
      </c>
      <c r="H880">
        <v>106213511000</v>
      </c>
      <c r="I880">
        <v>337742000</v>
      </c>
      <c r="J880">
        <v>126019740000</v>
      </c>
      <c r="K880">
        <v>6375009000</v>
      </c>
      <c r="L880">
        <v>6097256000</v>
      </c>
      <c r="M880">
        <v>47677914000</v>
      </c>
      <c r="N880">
        <v>113547475000</v>
      </c>
      <c r="O880">
        <v>76521542000</v>
      </c>
      <c r="P880">
        <v>41186661000</v>
      </c>
      <c r="Q880">
        <v>40965749000</v>
      </c>
      <c r="R880">
        <v>33605484000</v>
      </c>
      <c r="S880">
        <v>5954354000</v>
      </c>
      <c r="T880">
        <v>47475315000</v>
      </c>
      <c r="U880">
        <v>-14708097000</v>
      </c>
      <c r="V880">
        <f t="shared" si="38"/>
        <v>78031936000</v>
      </c>
      <c r="W880">
        <f t="shared" si="39"/>
        <v>109138793000</v>
      </c>
    </row>
    <row r="881" spans="1:23" x14ac:dyDescent="0.2">
      <c r="A881">
        <f>IF(D881="USD",VLOOKUP(VALUE(RIGHT(E881,4)),'USD RUB'!$E:$F,2,FALSE),1)</f>
        <v>1</v>
      </c>
      <c r="B881" s="4">
        <v>1</v>
      </c>
      <c r="C881">
        <v>1000</v>
      </c>
      <c r="D881" t="s">
        <v>20</v>
      </c>
      <c r="E881" s="1" t="s">
        <v>897</v>
      </c>
      <c r="F881">
        <v>10131531000</v>
      </c>
      <c r="G881">
        <v>26014507000</v>
      </c>
      <c r="H881">
        <v>102491694000</v>
      </c>
      <c r="I881">
        <v>374063000</v>
      </c>
      <c r="J881">
        <v>130892874000</v>
      </c>
      <c r="K881">
        <v>7844353000</v>
      </c>
      <c r="L881">
        <v>7015135000</v>
      </c>
      <c r="M881">
        <v>49949706000</v>
      </c>
      <c r="N881">
        <v>116033386000</v>
      </c>
      <c r="O881">
        <v>56040235000</v>
      </c>
      <c r="P881">
        <v>35428494000</v>
      </c>
      <c r="Q881">
        <v>36203010000</v>
      </c>
      <c r="R881">
        <v>29091522000</v>
      </c>
      <c r="S881">
        <v>4483239000</v>
      </c>
      <c r="V881">
        <f t="shared" si="38"/>
        <v>57023879000</v>
      </c>
      <c r="W881">
        <f t="shared" si="39"/>
        <v>114184354000</v>
      </c>
    </row>
    <row r="882" spans="1:23" x14ac:dyDescent="0.2">
      <c r="A882">
        <f>IF(D882="USD",VLOOKUP(VALUE(RIGHT(E882,4)),'USD RUB'!$E:$F,2,FALSE),1)</f>
        <v>1</v>
      </c>
      <c r="B882" s="4">
        <v>1</v>
      </c>
      <c r="C882">
        <v>1000</v>
      </c>
      <c r="D882" t="s">
        <v>20</v>
      </c>
      <c r="E882" s="1" t="s">
        <v>898</v>
      </c>
      <c r="F882">
        <v>13461979000</v>
      </c>
      <c r="G882">
        <v>34854393000</v>
      </c>
      <c r="H882">
        <v>98870564000</v>
      </c>
      <c r="I882">
        <v>393235000</v>
      </c>
      <c r="J882">
        <v>135631474000</v>
      </c>
      <c r="K882">
        <v>17545286000</v>
      </c>
      <c r="L882">
        <v>6489609000</v>
      </c>
      <c r="M882">
        <v>45364536000</v>
      </c>
      <c r="N882">
        <v>111596579000</v>
      </c>
      <c r="O882">
        <v>37750739000</v>
      </c>
      <c r="P882">
        <v>30041923000</v>
      </c>
      <c r="Q882">
        <v>30444409000</v>
      </c>
      <c r="R882">
        <v>24499419000</v>
      </c>
      <c r="S882">
        <v>2997801000</v>
      </c>
      <c r="T882">
        <v>33197659000</v>
      </c>
      <c r="U882">
        <v>-4110324000</v>
      </c>
      <c r="V882">
        <f t="shared" si="38"/>
        <v>39513502000</v>
      </c>
      <c r="W882">
        <f t="shared" si="39"/>
        <v>122741777000</v>
      </c>
    </row>
    <row r="883" spans="1:23" x14ac:dyDescent="0.2">
      <c r="A883">
        <f>IF(D883="USD",VLOOKUP(VALUE(RIGHT(E883,4)),'USD RUB'!$E:$F,2,FALSE),1)</f>
        <v>1</v>
      </c>
      <c r="B883" s="4">
        <v>1</v>
      </c>
      <c r="C883">
        <v>1000</v>
      </c>
      <c r="D883" t="s">
        <v>20</v>
      </c>
      <c r="E883" s="1" t="s">
        <v>899</v>
      </c>
      <c r="F883">
        <v>5020034000</v>
      </c>
      <c r="G883">
        <v>14051070000</v>
      </c>
      <c r="H883">
        <v>97230675000</v>
      </c>
      <c r="I883">
        <v>309103000</v>
      </c>
      <c r="J883">
        <v>113232666000</v>
      </c>
      <c r="K883">
        <v>8455663000</v>
      </c>
      <c r="L883">
        <v>6024617000</v>
      </c>
      <c r="M883">
        <v>32541460000</v>
      </c>
      <c r="N883">
        <v>98752386000</v>
      </c>
      <c r="O883">
        <v>20688623000</v>
      </c>
      <c r="P883">
        <v>5656225000</v>
      </c>
      <c r="Q883">
        <v>5733945000</v>
      </c>
      <c r="R883">
        <v>4644172000</v>
      </c>
      <c r="S883">
        <v>1502882000</v>
      </c>
      <c r="V883">
        <f t="shared" si="38"/>
        <v>22354112000</v>
      </c>
      <c r="W883">
        <f t="shared" si="39"/>
        <v>122293058000</v>
      </c>
    </row>
    <row r="884" spans="1:23" x14ac:dyDescent="0.2">
      <c r="A884">
        <f>IF(D884="USD",VLOOKUP(VALUE(RIGHT(E884,4)),'USD RUB'!$E:$F,2,FALSE),1)</f>
        <v>1</v>
      </c>
      <c r="B884" s="4">
        <v>1</v>
      </c>
      <c r="C884">
        <v>1000</v>
      </c>
      <c r="D884" t="s">
        <v>20</v>
      </c>
      <c r="E884" s="1" t="s">
        <v>900</v>
      </c>
      <c r="F884">
        <v>1724888000</v>
      </c>
      <c r="G884">
        <v>10054313000</v>
      </c>
      <c r="H884">
        <v>96701223000</v>
      </c>
      <c r="J884">
        <v>109138793000</v>
      </c>
      <c r="K884">
        <v>8577515000</v>
      </c>
      <c r="L884">
        <v>6048971000</v>
      </c>
      <c r="M884">
        <v>27868063000</v>
      </c>
      <c r="N884">
        <v>94512307000</v>
      </c>
      <c r="O884">
        <v>78031936000</v>
      </c>
      <c r="P884">
        <v>6718171000</v>
      </c>
      <c r="Q884">
        <v>7220354000</v>
      </c>
      <c r="R884">
        <v>5166809000</v>
      </c>
      <c r="T884">
        <v>17671063000</v>
      </c>
      <c r="U884">
        <v>-13668702000</v>
      </c>
      <c r="V884">
        <f t="shared" si="38"/>
        <v>76705554000</v>
      </c>
      <c r="W884">
        <f t="shared" si="39"/>
        <v>126765157000</v>
      </c>
    </row>
    <row r="885" spans="1:23" x14ac:dyDescent="0.2">
      <c r="A885">
        <f>IF(D885="USD",VLOOKUP(VALUE(RIGHT(E885,4)),'USD RUB'!$E:$F,2,FALSE),1)</f>
        <v>1</v>
      </c>
      <c r="B885" s="4">
        <v>1</v>
      </c>
      <c r="C885">
        <v>1000</v>
      </c>
      <c r="D885" t="s">
        <v>20</v>
      </c>
      <c r="E885" s="1" t="s">
        <v>901</v>
      </c>
      <c r="F885">
        <v>5101794000</v>
      </c>
      <c r="G885">
        <v>14837693000</v>
      </c>
      <c r="H885">
        <v>96838717000</v>
      </c>
      <c r="J885">
        <v>114184354000</v>
      </c>
      <c r="K885">
        <v>8584005000</v>
      </c>
      <c r="L885">
        <v>7285611000</v>
      </c>
      <c r="M885">
        <v>31583131000</v>
      </c>
      <c r="N885">
        <v>98314738000</v>
      </c>
      <c r="O885">
        <v>57023879000</v>
      </c>
      <c r="P885">
        <v>1410910000</v>
      </c>
      <c r="Q885">
        <v>2115123000</v>
      </c>
      <c r="R885">
        <v>1560759000</v>
      </c>
      <c r="V885">
        <f t="shared" si="38"/>
        <v>52569441000</v>
      </c>
      <c r="W885">
        <f t="shared" si="39"/>
        <v>121062510000</v>
      </c>
    </row>
    <row r="886" spans="1:23" x14ac:dyDescent="0.2">
      <c r="A886">
        <f>IF(D886="USD",VLOOKUP(VALUE(RIGHT(E886,4)),'USD RUB'!$E:$F,2,FALSE),1)</f>
        <v>1</v>
      </c>
      <c r="B886" s="4">
        <v>1</v>
      </c>
      <c r="C886">
        <v>1000</v>
      </c>
      <c r="D886" t="s">
        <v>20</v>
      </c>
      <c r="E886" s="1" t="s">
        <v>902</v>
      </c>
      <c r="F886">
        <v>16303031000</v>
      </c>
      <c r="G886">
        <v>26642033000</v>
      </c>
      <c r="H886">
        <v>93862239000</v>
      </c>
      <c r="J886">
        <v>122741777000</v>
      </c>
      <c r="K886">
        <v>18785521000</v>
      </c>
      <c r="L886">
        <v>7704380000</v>
      </c>
      <c r="M886">
        <v>29366842000</v>
      </c>
      <c r="N886">
        <v>96251876000</v>
      </c>
      <c r="O886">
        <v>39513502000</v>
      </c>
      <c r="P886">
        <v>-1033652000</v>
      </c>
      <c r="Q886">
        <v>-588432000</v>
      </c>
      <c r="R886">
        <v>-608490000</v>
      </c>
      <c r="U886">
        <v>-3201394000</v>
      </c>
      <c r="V886">
        <f t="shared" si="38"/>
        <v>35823560000</v>
      </c>
      <c r="W886">
        <f t="shared" si="39"/>
        <v>135066773000</v>
      </c>
    </row>
    <row r="887" spans="1:23" x14ac:dyDescent="0.2">
      <c r="A887">
        <f>IF(D887="USD",VLOOKUP(VALUE(RIGHT(E887,4)),'USD RUB'!$E:$F,2,FALSE),1)</f>
        <v>1</v>
      </c>
      <c r="B887" s="4">
        <v>1</v>
      </c>
      <c r="C887">
        <v>1000</v>
      </c>
      <c r="D887" t="s">
        <v>20</v>
      </c>
      <c r="E887" s="1" t="s">
        <v>903</v>
      </c>
      <c r="F887">
        <v>14808463000</v>
      </c>
      <c r="G887">
        <v>24849345000</v>
      </c>
      <c r="H887">
        <v>95362866000</v>
      </c>
      <c r="J887">
        <v>122293058000</v>
      </c>
      <c r="K887">
        <v>6966797000</v>
      </c>
      <c r="L887">
        <v>7794196000</v>
      </c>
      <c r="M887">
        <v>40351120000</v>
      </c>
      <c r="N887">
        <v>107532065000</v>
      </c>
      <c r="O887">
        <v>22354112000</v>
      </c>
      <c r="P887">
        <v>-2795572000</v>
      </c>
      <c r="Q887">
        <v>-2574323000</v>
      </c>
      <c r="R887">
        <v>-2063710000</v>
      </c>
      <c r="V887">
        <f t="shared" si="38"/>
        <v>19147535000</v>
      </c>
      <c r="W887">
        <f t="shared" si="39"/>
        <v>131720795000</v>
      </c>
    </row>
    <row r="888" spans="1:23" x14ac:dyDescent="0.2">
      <c r="A888">
        <f>IF(D888="USD",VLOOKUP(VALUE(RIGHT(E888,4)),'USD RUB'!$E:$F,2,FALSE),1)</f>
        <v>1</v>
      </c>
      <c r="B888" s="4">
        <v>1</v>
      </c>
      <c r="C888">
        <v>1000</v>
      </c>
      <c r="D888" t="s">
        <v>20</v>
      </c>
      <c r="E888" s="1" t="s">
        <v>904</v>
      </c>
      <c r="F888">
        <v>9363083000</v>
      </c>
      <c r="G888">
        <v>18809807000</v>
      </c>
      <c r="H888">
        <v>105902885000</v>
      </c>
      <c r="J888">
        <v>126765157000</v>
      </c>
      <c r="K888">
        <v>8904845000</v>
      </c>
      <c r="L888">
        <v>7752677000</v>
      </c>
      <c r="N888">
        <v>110107635000</v>
      </c>
      <c r="O888">
        <v>76705554000</v>
      </c>
      <c r="P888">
        <v>16714934000</v>
      </c>
      <c r="Q888">
        <v>17421272000</v>
      </c>
      <c r="R888">
        <v>13790485000</v>
      </c>
      <c r="V888">
        <f t="shared" si="38"/>
        <v>77693134000</v>
      </c>
      <c r="W888">
        <f t="shared" si="39"/>
        <v>127699405000</v>
      </c>
    </row>
    <row r="889" spans="1:23" x14ac:dyDescent="0.2">
      <c r="A889">
        <f>IF(D889="USD",VLOOKUP(VALUE(RIGHT(E889,4)),'USD RUB'!$E:$F,2,FALSE),1)</f>
        <v>1</v>
      </c>
      <c r="B889" s="4">
        <v>1</v>
      </c>
      <c r="C889">
        <v>1000</v>
      </c>
      <c r="D889" t="s">
        <v>20</v>
      </c>
      <c r="E889" s="1" t="s">
        <v>905</v>
      </c>
      <c r="F889">
        <v>3929599000</v>
      </c>
      <c r="G889">
        <v>14514491000</v>
      </c>
      <c r="H889">
        <v>105471229000</v>
      </c>
      <c r="J889">
        <v>121062510000</v>
      </c>
      <c r="K889">
        <v>10013061000</v>
      </c>
      <c r="L889">
        <v>7170816000</v>
      </c>
      <c r="N889">
        <v>103878633000</v>
      </c>
      <c r="O889">
        <v>52569441000</v>
      </c>
      <c r="P889">
        <v>8394127000</v>
      </c>
      <c r="Q889">
        <v>9400786000</v>
      </c>
      <c r="R889">
        <v>7502658000</v>
      </c>
      <c r="T889">
        <v>19328000000</v>
      </c>
      <c r="V889">
        <f t="shared" si="38"/>
        <v>56534757000</v>
      </c>
      <c r="W889">
        <f t="shared" si="39"/>
        <v>122546320000</v>
      </c>
    </row>
    <row r="890" spans="1:23" x14ac:dyDescent="0.2">
      <c r="A890">
        <f>IF(D890="USD",VLOOKUP(VALUE(RIGHT(E890,4)),'USD RUB'!$E:$F,2,FALSE),1)</f>
        <v>1</v>
      </c>
      <c r="B890" s="4">
        <v>1</v>
      </c>
      <c r="C890">
        <v>1000</v>
      </c>
      <c r="D890" t="s">
        <v>20</v>
      </c>
      <c r="E890" s="1" t="s">
        <v>906</v>
      </c>
      <c r="F890">
        <v>9849050000</v>
      </c>
      <c r="G890">
        <v>27614441000</v>
      </c>
      <c r="H890">
        <v>104837181000</v>
      </c>
      <c r="J890">
        <v>135066773000</v>
      </c>
      <c r="K890">
        <v>25750030000</v>
      </c>
      <c r="L890">
        <v>7373370000</v>
      </c>
      <c r="N890">
        <v>101943373000</v>
      </c>
      <c r="O890">
        <v>35823560000</v>
      </c>
      <c r="P890">
        <v>6502746000</v>
      </c>
      <c r="Q890">
        <v>7198624000</v>
      </c>
      <c r="R890">
        <v>5755057000</v>
      </c>
      <c r="T890">
        <v>10113000000</v>
      </c>
      <c r="V890">
        <f t="shared" si="38"/>
        <v>39255038000</v>
      </c>
      <c r="W890">
        <f t="shared" si="39"/>
        <v>141485921000</v>
      </c>
    </row>
    <row r="891" spans="1:23" x14ac:dyDescent="0.2">
      <c r="A891">
        <f>IF(D891="USD",VLOOKUP(VALUE(RIGHT(E891,4)),'USD RUB'!$E:$F,2,FALSE),1)</f>
        <v>1</v>
      </c>
      <c r="B891" s="4">
        <v>1</v>
      </c>
      <c r="C891">
        <v>1000</v>
      </c>
      <c r="D891" t="s">
        <v>20</v>
      </c>
      <c r="E891" s="1" t="s">
        <v>907</v>
      </c>
      <c r="F891">
        <v>14125403000</v>
      </c>
      <c r="G891">
        <v>25411205000</v>
      </c>
      <c r="H891">
        <v>103834832000</v>
      </c>
      <c r="J891">
        <v>131720795000</v>
      </c>
      <c r="K891">
        <v>6986517000</v>
      </c>
      <c r="L891">
        <v>7162348000</v>
      </c>
      <c r="N891">
        <v>117571930000</v>
      </c>
      <c r="O891">
        <v>19147535000</v>
      </c>
      <c r="P891">
        <v>4201047000</v>
      </c>
      <c r="Q891">
        <v>4533119000</v>
      </c>
      <c r="R891">
        <v>3615141000</v>
      </c>
      <c r="T891">
        <v>6000000000</v>
      </c>
      <c r="V891" t="str">
        <f t="shared" si="38"/>
        <v/>
      </c>
      <c r="W891" t="str">
        <f t="shared" si="39"/>
        <v/>
      </c>
    </row>
    <row r="892" spans="1:23" x14ac:dyDescent="0.2">
      <c r="A892">
        <f>IF(D892="USD",VLOOKUP(VALUE(RIGHT(E892,4)),'USD RUB'!$E:$F,2,FALSE),1)</f>
        <v>1</v>
      </c>
      <c r="B892" s="4">
        <v>1</v>
      </c>
      <c r="C892">
        <v>1000</v>
      </c>
      <c r="D892" t="s">
        <v>20</v>
      </c>
      <c r="E892" s="1" t="s">
        <v>908</v>
      </c>
      <c r="F892">
        <v>13100785000</v>
      </c>
      <c r="G892">
        <v>22202824000</v>
      </c>
      <c r="H892">
        <v>102996512000</v>
      </c>
      <c r="J892">
        <v>127699405000</v>
      </c>
      <c r="K892">
        <v>7074127000</v>
      </c>
      <c r="L892">
        <v>6631096000</v>
      </c>
      <c r="N892">
        <v>113994182000</v>
      </c>
      <c r="O892">
        <v>77693134000</v>
      </c>
      <c r="P892">
        <v>19020686000</v>
      </c>
      <c r="Q892">
        <v>20937102000</v>
      </c>
      <c r="R892">
        <v>16884930000</v>
      </c>
      <c r="T892">
        <v>26200000000</v>
      </c>
      <c r="V892">
        <f t="shared" si="38"/>
        <v>78780504000</v>
      </c>
      <c r="W892">
        <f t="shared" si="39"/>
        <v>130743490000</v>
      </c>
    </row>
    <row r="893" spans="1:23" x14ac:dyDescent="0.2">
      <c r="A893">
        <f>IF(D893="USD",VLOOKUP(VALUE(RIGHT(E893,4)),'USD RUB'!$E:$F,2,FALSE),1)</f>
        <v>1</v>
      </c>
      <c r="B893" s="4">
        <v>1</v>
      </c>
      <c r="C893">
        <v>1000</v>
      </c>
      <c r="D893" t="s">
        <v>20</v>
      </c>
      <c r="E893" s="1" t="s">
        <v>909</v>
      </c>
      <c r="F893">
        <v>9809621000</v>
      </c>
      <c r="G893">
        <v>20140513000</v>
      </c>
      <c r="H893">
        <v>99842605000</v>
      </c>
      <c r="J893">
        <v>122546320000</v>
      </c>
      <c r="K893">
        <v>6406036000</v>
      </c>
      <c r="L893">
        <v>8174012000</v>
      </c>
      <c r="N893">
        <v>107966272000</v>
      </c>
      <c r="O893">
        <v>56534757000</v>
      </c>
      <c r="P893">
        <v>13377446000</v>
      </c>
      <c r="Q893">
        <v>14734406000</v>
      </c>
      <c r="R893">
        <v>11857504000</v>
      </c>
      <c r="T893">
        <v>19300000000</v>
      </c>
      <c r="V893" t="str">
        <f t="shared" si="38"/>
        <v/>
      </c>
      <c r="W893" t="str">
        <f t="shared" si="39"/>
        <v/>
      </c>
    </row>
    <row r="894" spans="1:23" x14ac:dyDescent="0.2">
      <c r="A894">
        <f>IF(D894="USD",VLOOKUP(VALUE(RIGHT(E894,4)),'USD RUB'!$E:$F,2,FALSE),1)</f>
        <v>1</v>
      </c>
      <c r="B894" s="4">
        <v>1</v>
      </c>
      <c r="C894">
        <v>1000</v>
      </c>
      <c r="D894" t="s">
        <v>20</v>
      </c>
      <c r="E894" s="1" t="s">
        <v>910</v>
      </c>
      <c r="F894">
        <v>22557444000</v>
      </c>
      <c r="G894">
        <v>40548037000</v>
      </c>
      <c r="H894">
        <v>95794367000</v>
      </c>
      <c r="J894">
        <v>141485921000</v>
      </c>
      <c r="K894">
        <v>30353226000</v>
      </c>
      <c r="L894">
        <v>7328785000</v>
      </c>
      <c r="M894">
        <v>37311209000</v>
      </c>
      <c r="N894">
        <v>103803910000</v>
      </c>
      <c r="O894">
        <v>39255038000</v>
      </c>
      <c r="P894">
        <v>4155766000</v>
      </c>
      <c r="Q894">
        <v>9938992000</v>
      </c>
      <c r="R894">
        <v>7977133000</v>
      </c>
      <c r="T894">
        <v>12876836000</v>
      </c>
      <c r="U894">
        <v>-7748750000</v>
      </c>
      <c r="V894">
        <f t="shared" si="38"/>
        <v>38399889000</v>
      </c>
      <c r="W894">
        <f t="shared" si="39"/>
        <v>143419837000</v>
      </c>
    </row>
    <row r="895" spans="1:23" x14ac:dyDescent="0.2">
      <c r="A895">
        <f>IF(D895="USD",VLOOKUP(VALUE(RIGHT(E895,4)),'USD RUB'!$E:$F,2,FALSE),1)</f>
        <v>1</v>
      </c>
      <c r="B895" s="4">
        <v>1</v>
      </c>
      <c r="C895">
        <v>1000</v>
      </c>
      <c r="D895" t="s">
        <v>20</v>
      </c>
      <c r="E895" s="1" t="s">
        <v>911</v>
      </c>
      <c r="F895">
        <v>18026997000</v>
      </c>
      <c r="G895">
        <v>36828086000</v>
      </c>
      <c r="H895">
        <v>90416319000</v>
      </c>
      <c r="J895">
        <v>130743490000</v>
      </c>
      <c r="K895">
        <v>5205241000</v>
      </c>
      <c r="L895">
        <v>6191258000</v>
      </c>
      <c r="N895">
        <v>119346991000</v>
      </c>
      <c r="O895">
        <v>78780504000</v>
      </c>
      <c r="P895">
        <v>15738501000</v>
      </c>
      <c r="Q895">
        <v>17814254000</v>
      </c>
      <c r="R895">
        <v>14431931000</v>
      </c>
      <c r="T895">
        <v>29100000000</v>
      </c>
      <c r="V895" t="str">
        <f t="shared" si="38"/>
        <v/>
      </c>
      <c r="W895" t="str">
        <f t="shared" si="39"/>
        <v/>
      </c>
    </row>
    <row r="896" spans="1:23" x14ac:dyDescent="0.2">
      <c r="A896">
        <f>IF(D896="USD",VLOOKUP(VALUE(RIGHT(E896,4)),'USD RUB'!$E:$F,2,FALSE),1)</f>
        <v>1</v>
      </c>
      <c r="B896" s="4">
        <v>1</v>
      </c>
      <c r="C896">
        <v>1000</v>
      </c>
      <c r="D896" t="s">
        <v>20</v>
      </c>
      <c r="E896" s="1" t="s">
        <v>912</v>
      </c>
      <c r="F896">
        <v>18076217000</v>
      </c>
      <c r="G896">
        <v>49222268000</v>
      </c>
      <c r="H896">
        <v>90663051000</v>
      </c>
      <c r="J896">
        <v>143419837000</v>
      </c>
      <c r="K896">
        <v>23577979000</v>
      </c>
      <c r="L896">
        <v>5692459000</v>
      </c>
      <c r="N896">
        <v>114149399000</v>
      </c>
      <c r="O896">
        <v>38399889000</v>
      </c>
      <c r="P896">
        <v>10331631000</v>
      </c>
      <c r="Q896">
        <v>11584001000</v>
      </c>
      <c r="R896">
        <v>9388755000</v>
      </c>
      <c r="V896" t="str">
        <f t="shared" si="38"/>
        <v/>
      </c>
      <c r="W896" t="str">
        <f t="shared" si="39"/>
        <v/>
      </c>
    </row>
    <row r="897" spans="1:23" x14ac:dyDescent="0.2">
      <c r="A897">
        <f>IF(D897="USD",VLOOKUP(VALUE(RIGHT(E897,4)),'USD RUB'!$E:$F,2,FALSE),1)</f>
        <v>1</v>
      </c>
      <c r="B897" s="4">
        <v>1</v>
      </c>
      <c r="C897">
        <v>1000</v>
      </c>
      <c r="D897" t="s">
        <v>20</v>
      </c>
      <c r="E897" s="1" t="s">
        <v>913</v>
      </c>
      <c r="F897">
        <v>899054000</v>
      </c>
      <c r="G897">
        <v>28833670000</v>
      </c>
      <c r="H897">
        <v>81199238000</v>
      </c>
      <c r="J897">
        <v>114069619000</v>
      </c>
      <c r="K897">
        <v>8830085000</v>
      </c>
      <c r="L897">
        <v>4166340000</v>
      </c>
      <c r="N897">
        <v>101073194000</v>
      </c>
      <c r="O897">
        <v>31322733000</v>
      </c>
      <c r="P897">
        <v>8646469000</v>
      </c>
      <c r="Q897">
        <v>8855056000</v>
      </c>
      <c r="R897">
        <v>7090124000</v>
      </c>
      <c r="V897" t="str">
        <f t="shared" si="38"/>
        <v/>
      </c>
      <c r="W897" t="str">
        <f t="shared" si="39"/>
        <v/>
      </c>
    </row>
    <row r="898" spans="1:23" x14ac:dyDescent="0.2">
      <c r="A898">
        <f>IF(D898="USD",VLOOKUP(VALUE(RIGHT(E898,4)),'USD RUB'!$E:$F,2,FALSE),1)</f>
        <v>1</v>
      </c>
      <c r="B898" s="4">
        <v>1</v>
      </c>
      <c r="C898">
        <v>1000000</v>
      </c>
      <c r="D898" t="s">
        <v>20</v>
      </c>
      <c r="E898" s="1" t="s">
        <v>914</v>
      </c>
      <c r="F898">
        <v>38787000000</v>
      </c>
      <c r="G898">
        <v>376865000000</v>
      </c>
      <c r="H898">
        <v>310543000000</v>
      </c>
      <c r="I898">
        <v>5889000000</v>
      </c>
      <c r="J898">
        <v>699482000000</v>
      </c>
      <c r="K898">
        <v>137000000000</v>
      </c>
      <c r="L898">
        <v>155768000000</v>
      </c>
      <c r="M898">
        <v>383794000000</v>
      </c>
      <c r="N898">
        <v>406714000000</v>
      </c>
      <c r="O898">
        <v>235089000000</v>
      </c>
      <c r="Q898">
        <v>40807000000</v>
      </c>
      <c r="R898">
        <v>36239000000</v>
      </c>
      <c r="S898">
        <v>36276000000</v>
      </c>
      <c r="T898">
        <v>57823000000</v>
      </c>
      <c r="U898">
        <v>-49419000000</v>
      </c>
      <c r="V898">
        <f t="shared" si="38"/>
        <v>239067000000</v>
      </c>
      <c r="W898">
        <f t="shared" si="39"/>
        <v>658735000000</v>
      </c>
    </row>
    <row r="899" spans="1:23" x14ac:dyDescent="0.2">
      <c r="A899">
        <f>IF(D899="USD",VLOOKUP(VALUE(RIGHT(E899,4)),'USD RUB'!$E:$F,2,FALSE),1)</f>
        <v>1</v>
      </c>
      <c r="B899" s="4">
        <v>1</v>
      </c>
      <c r="C899">
        <v>1000000</v>
      </c>
      <c r="D899" t="s">
        <v>20</v>
      </c>
      <c r="E899" s="1" t="s">
        <v>915</v>
      </c>
      <c r="F899">
        <v>60642000000</v>
      </c>
      <c r="G899">
        <v>364698000000</v>
      </c>
      <c r="H899">
        <v>299537000000</v>
      </c>
      <c r="I899">
        <v>4612000000</v>
      </c>
      <c r="J899">
        <v>673022000000</v>
      </c>
      <c r="K899">
        <v>134868000000</v>
      </c>
      <c r="L899">
        <v>127370000000</v>
      </c>
      <c r="M899">
        <v>387891000000</v>
      </c>
      <c r="N899">
        <v>410784000000</v>
      </c>
      <c r="O899">
        <v>134257000000</v>
      </c>
      <c r="Q899">
        <v>45941000000</v>
      </c>
      <c r="R899">
        <v>40598000000</v>
      </c>
      <c r="S899">
        <v>17856000000</v>
      </c>
      <c r="T899">
        <v>37095000000</v>
      </c>
      <c r="U899">
        <v>-22282000000</v>
      </c>
      <c r="V899">
        <f t="shared" si="38"/>
        <v>179468000000</v>
      </c>
      <c r="W899">
        <f t="shared" si="39"/>
        <v>599448000000</v>
      </c>
    </row>
    <row r="900" spans="1:23" x14ac:dyDescent="0.2">
      <c r="A900">
        <f>IF(D900="USD",VLOOKUP(VALUE(RIGHT(E900,4)),'USD RUB'!$E:$F,2,FALSE),1)</f>
        <v>1</v>
      </c>
      <c r="B900" s="4">
        <v>1</v>
      </c>
      <c r="C900">
        <v>1000000</v>
      </c>
      <c r="D900" t="s">
        <v>20</v>
      </c>
      <c r="E900" s="1" t="s">
        <v>916</v>
      </c>
      <c r="F900">
        <v>81127000000</v>
      </c>
      <c r="G900">
        <v>346866000000</v>
      </c>
      <c r="H900">
        <v>302848000000</v>
      </c>
      <c r="I900">
        <v>4749000000</v>
      </c>
      <c r="J900">
        <v>658735000000</v>
      </c>
      <c r="K900">
        <v>126484000000</v>
      </c>
      <c r="L900">
        <v>163298000000</v>
      </c>
      <c r="M900">
        <v>348337000000</v>
      </c>
      <c r="N900">
        <v>368953000000</v>
      </c>
      <c r="O900">
        <v>239067000000</v>
      </c>
      <c r="Q900">
        <v>32503000000</v>
      </c>
      <c r="R900">
        <v>19246000000</v>
      </c>
      <c r="S900">
        <v>34034000000</v>
      </c>
      <c r="T900">
        <v>78638000000</v>
      </c>
      <c r="U900">
        <v>-58915000000</v>
      </c>
      <c r="V900">
        <f t="shared" si="38"/>
        <v>322567000000</v>
      </c>
      <c r="W900">
        <f t="shared" si="39"/>
        <v>596617000000</v>
      </c>
    </row>
    <row r="901" spans="1:23" x14ac:dyDescent="0.2">
      <c r="A901">
        <f>IF(D901="USD",VLOOKUP(VALUE(RIGHT(E901,4)),'USD RUB'!$E:$F,2,FALSE),1)</f>
        <v>1</v>
      </c>
      <c r="B901" s="4">
        <v>1</v>
      </c>
      <c r="C901">
        <v>1000000</v>
      </c>
      <c r="D901" t="s">
        <v>20</v>
      </c>
      <c r="E901" s="1" t="s">
        <v>917</v>
      </c>
      <c r="F901">
        <v>26108000000</v>
      </c>
      <c r="G901">
        <v>291223000000</v>
      </c>
      <c r="H901">
        <v>290803000000</v>
      </c>
      <c r="I901">
        <v>2877000000</v>
      </c>
      <c r="J901">
        <v>599448000000</v>
      </c>
      <c r="K901">
        <v>93593000000</v>
      </c>
      <c r="L901">
        <v>101684000000</v>
      </c>
      <c r="M901">
        <v>381366000000</v>
      </c>
      <c r="N901">
        <v>404171000000</v>
      </c>
      <c r="O901">
        <v>179468000000</v>
      </c>
      <c r="Q901">
        <v>45795000000</v>
      </c>
      <c r="R901">
        <v>36626000000</v>
      </c>
      <c r="S901">
        <v>15176000000</v>
      </c>
      <c r="T901">
        <v>64101000000</v>
      </c>
      <c r="U901">
        <v>-22558000000</v>
      </c>
      <c r="V901">
        <f t="shared" si="38"/>
        <v>188164000000</v>
      </c>
      <c r="W901">
        <f t="shared" si="39"/>
        <v>586023000000</v>
      </c>
    </row>
    <row r="902" spans="1:23" x14ac:dyDescent="0.2">
      <c r="A902">
        <f>IF(D902="USD",VLOOKUP(VALUE(RIGHT(E902,4)),'USD RUB'!$E:$F,2,FALSE),1)</f>
        <v>1</v>
      </c>
      <c r="B902" s="4">
        <v>1</v>
      </c>
      <c r="C902">
        <v>1000000</v>
      </c>
      <c r="D902" t="s">
        <v>20</v>
      </c>
      <c r="E902" s="1" t="s">
        <v>918</v>
      </c>
      <c r="F902">
        <v>36437000000</v>
      </c>
      <c r="G902">
        <v>297385000000</v>
      </c>
      <c r="H902">
        <v>282887000000</v>
      </c>
      <c r="I902">
        <v>1439000000</v>
      </c>
      <c r="J902">
        <v>596617000000</v>
      </c>
      <c r="K902">
        <v>104372000000</v>
      </c>
      <c r="L902">
        <v>110386000000</v>
      </c>
      <c r="M902">
        <v>359208000000</v>
      </c>
      <c r="N902">
        <v>381859000000</v>
      </c>
      <c r="O902">
        <v>322567000000</v>
      </c>
      <c r="Q902">
        <v>108195000000</v>
      </c>
      <c r="R902">
        <v>85182000000</v>
      </c>
      <c r="S902">
        <v>28879000000</v>
      </c>
      <c r="U902">
        <v>-63663000000</v>
      </c>
      <c r="V902">
        <f t="shared" si="38"/>
        <v>295439000000</v>
      </c>
      <c r="W902">
        <f t="shared" si="39"/>
        <v>520633000000</v>
      </c>
    </row>
    <row r="903" spans="1:23" x14ac:dyDescent="0.2">
      <c r="A903">
        <f>IF(D903="USD",VLOOKUP(VALUE(RIGHT(E903,4)),'USD RUB'!$E:$F,2,FALSE),1)</f>
        <v>1</v>
      </c>
      <c r="B903" s="4">
        <v>1</v>
      </c>
      <c r="C903">
        <v>1000000</v>
      </c>
      <c r="D903" t="s">
        <v>20</v>
      </c>
      <c r="E903" s="1" t="s">
        <v>919</v>
      </c>
      <c r="F903">
        <v>31322000000</v>
      </c>
      <c r="G903">
        <v>305017000000</v>
      </c>
      <c r="H903">
        <v>259492000000</v>
      </c>
      <c r="I903">
        <v>1439000000</v>
      </c>
      <c r="J903">
        <v>586023000000</v>
      </c>
      <c r="K903">
        <v>94734000000</v>
      </c>
      <c r="L903">
        <v>112393000000</v>
      </c>
      <c r="M903">
        <v>356302000000</v>
      </c>
      <c r="N903">
        <v>378896000000</v>
      </c>
      <c r="O903">
        <v>188164000000</v>
      </c>
      <c r="Q903">
        <v>69553000000</v>
      </c>
      <c r="R903">
        <v>55569000000</v>
      </c>
      <c r="S903">
        <v>12249000000</v>
      </c>
      <c r="U903">
        <v>-24300000000</v>
      </c>
      <c r="V903" t="str">
        <f t="shared" si="38"/>
        <v/>
      </c>
      <c r="W903" t="str">
        <f t="shared" si="39"/>
        <v/>
      </c>
    </row>
    <row r="904" spans="1:23" x14ac:dyDescent="0.2">
      <c r="A904">
        <f>IF(D904="USD",VLOOKUP(VALUE(RIGHT(E904,4)),'USD RUB'!$E:$F,2,FALSE),1)</f>
        <v>1</v>
      </c>
      <c r="B904" s="4">
        <v>1</v>
      </c>
      <c r="C904">
        <v>1000000</v>
      </c>
      <c r="D904" t="s">
        <v>20</v>
      </c>
      <c r="E904" s="1" t="s">
        <v>920</v>
      </c>
      <c r="F904">
        <v>26618000000</v>
      </c>
      <c r="G904">
        <v>252575000000</v>
      </c>
      <c r="H904">
        <v>247951000000</v>
      </c>
      <c r="I904">
        <v>1439000000</v>
      </c>
      <c r="J904">
        <v>520633000000</v>
      </c>
      <c r="K904">
        <v>62142000000</v>
      </c>
      <c r="L904">
        <v>136198000000</v>
      </c>
      <c r="M904">
        <v>299526000000</v>
      </c>
      <c r="N904">
        <v>322293000000</v>
      </c>
      <c r="O904">
        <v>295439000000</v>
      </c>
      <c r="Q904">
        <v>125837000000</v>
      </c>
      <c r="R904">
        <v>100486000000</v>
      </c>
      <c r="S904">
        <v>22591000000</v>
      </c>
      <c r="U904">
        <v>-40870000000</v>
      </c>
      <c r="V904">
        <f t="shared" si="38"/>
        <v>332004000000</v>
      </c>
      <c r="W904">
        <f t="shared" si="39"/>
        <v>423738000000</v>
      </c>
    </row>
    <row r="905" spans="1:23" x14ac:dyDescent="0.2">
      <c r="A905">
        <f>IF(D905="USD",VLOOKUP(VALUE(RIGHT(E905,4)),'USD RUB'!$E:$F,2,FALSE),1)</f>
        <v>1</v>
      </c>
      <c r="B905" s="4">
        <v>1</v>
      </c>
      <c r="C905">
        <v>1000000</v>
      </c>
      <c r="D905" t="s">
        <v>20</v>
      </c>
      <c r="E905" s="1" t="s">
        <v>921</v>
      </c>
      <c r="F905">
        <v>29534000000</v>
      </c>
      <c r="G905">
        <v>167375000000</v>
      </c>
      <c r="H905">
        <v>229903000000</v>
      </c>
      <c r="I905">
        <v>1439000000</v>
      </c>
      <c r="J905">
        <v>423738000000</v>
      </c>
      <c r="K905">
        <v>53364000000</v>
      </c>
      <c r="L905">
        <v>146875000000</v>
      </c>
      <c r="M905">
        <v>200909000000</v>
      </c>
      <c r="N905">
        <v>223499000000</v>
      </c>
      <c r="O905">
        <v>332004000000</v>
      </c>
      <c r="P905">
        <v>114778000000</v>
      </c>
      <c r="Q905">
        <v>116663000000</v>
      </c>
      <c r="R905">
        <v>91319000000</v>
      </c>
      <c r="S905">
        <v>24301000000</v>
      </c>
      <c r="T905">
        <v>139486000000</v>
      </c>
      <c r="U905">
        <v>-18951000000</v>
      </c>
      <c r="V905">
        <f t="shared" si="38"/>
        <v>221484000000</v>
      </c>
      <c r="W905">
        <f t="shared" si="39"/>
        <v>518886000000</v>
      </c>
    </row>
    <row r="906" spans="1:23" x14ac:dyDescent="0.2">
      <c r="A906">
        <f>IF(D906="USD",VLOOKUP(VALUE(RIGHT(E906,4)),'USD RUB'!$E:$F,2,FALSE),1)</f>
        <v>1</v>
      </c>
      <c r="B906" s="4">
        <v>1</v>
      </c>
      <c r="C906">
        <v>1000000</v>
      </c>
      <c r="D906" t="s">
        <v>20</v>
      </c>
      <c r="E906" s="1" t="s">
        <v>922</v>
      </c>
      <c r="F906">
        <v>50121000000</v>
      </c>
      <c r="G906">
        <v>231991000000</v>
      </c>
      <c r="H906">
        <v>221360000000</v>
      </c>
      <c r="I906">
        <v>1439000000</v>
      </c>
      <c r="J906">
        <v>476784000000</v>
      </c>
      <c r="K906">
        <v>131676000000</v>
      </c>
      <c r="L906">
        <v>132580000000</v>
      </c>
      <c r="M906">
        <v>188800000000</v>
      </c>
      <c r="N906">
        <v>212528000000</v>
      </c>
      <c r="O906">
        <v>257417000000</v>
      </c>
      <c r="P906">
        <v>97095000000</v>
      </c>
      <c r="Q906">
        <v>99945000000</v>
      </c>
      <c r="R906">
        <v>79177000000</v>
      </c>
      <c r="S906">
        <v>17838000000</v>
      </c>
      <c r="T906">
        <v>113657000000</v>
      </c>
      <c r="U906">
        <v>-12238000000</v>
      </c>
      <c r="V906">
        <f t="shared" si="38"/>
        <v>119513000000</v>
      </c>
      <c r="W906">
        <f t="shared" si="39"/>
        <v>553641000000</v>
      </c>
    </row>
    <row r="907" spans="1:23" x14ac:dyDescent="0.2">
      <c r="A907">
        <f>IF(D907="USD",VLOOKUP(VALUE(RIGHT(E907,4)),'USD RUB'!$E:$F,2,FALSE),1)</f>
        <v>1</v>
      </c>
      <c r="B907" s="4">
        <v>1</v>
      </c>
      <c r="C907">
        <v>1000000</v>
      </c>
      <c r="D907" t="s">
        <v>20</v>
      </c>
      <c r="E907" s="1" t="s">
        <v>923</v>
      </c>
      <c r="F907">
        <v>64082000000</v>
      </c>
      <c r="G907">
        <v>267909000000</v>
      </c>
      <c r="H907">
        <v>220517000000</v>
      </c>
      <c r="I907">
        <v>1439000000</v>
      </c>
      <c r="J907">
        <v>510569000000</v>
      </c>
      <c r="K907">
        <v>127447000000</v>
      </c>
      <c r="L907">
        <v>132229000000</v>
      </c>
      <c r="M907">
        <v>227180000000</v>
      </c>
      <c r="N907">
        <v>250893000000</v>
      </c>
      <c r="O907">
        <v>181759000000</v>
      </c>
      <c r="P907">
        <v>66917000000</v>
      </c>
      <c r="Q907">
        <v>68665000000</v>
      </c>
      <c r="R907">
        <v>54195000000</v>
      </c>
      <c r="S907">
        <v>11987000000</v>
      </c>
      <c r="T907">
        <v>79030000000</v>
      </c>
      <c r="U907">
        <v>-6844000000</v>
      </c>
      <c r="V907">
        <f t="shared" si="38"/>
        <v>70941000000</v>
      </c>
      <c r="W907">
        <f t="shared" si="39"/>
        <v>530776000000</v>
      </c>
    </row>
    <row r="908" spans="1:23" x14ac:dyDescent="0.2">
      <c r="A908">
        <f>IF(D908="USD",VLOOKUP(VALUE(RIGHT(E908,4)),'USD RUB'!$E:$F,2,FALSE),1)</f>
        <v>1</v>
      </c>
      <c r="B908" s="4">
        <v>1</v>
      </c>
      <c r="C908">
        <v>1000000</v>
      </c>
      <c r="D908" t="s">
        <v>20</v>
      </c>
      <c r="E908" s="1" t="s">
        <v>924</v>
      </c>
      <c r="F908">
        <v>60308000000</v>
      </c>
      <c r="G908">
        <v>308266000000</v>
      </c>
      <c r="H908">
        <v>223077000000</v>
      </c>
      <c r="I908">
        <v>1439000000</v>
      </c>
      <c r="J908">
        <v>556271000000</v>
      </c>
      <c r="K908">
        <v>123162000000</v>
      </c>
      <c r="L908">
        <v>143822000000</v>
      </c>
      <c r="M908">
        <v>265730000000</v>
      </c>
      <c r="N908">
        <v>289287000000</v>
      </c>
      <c r="O908">
        <v>89308000000</v>
      </c>
      <c r="P908">
        <v>29930000000</v>
      </c>
      <c r="Q908">
        <v>29993000000</v>
      </c>
      <c r="R908">
        <v>24019000000</v>
      </c>
      <c r="S908">
        <v>6029000000</v>
      </c>
      <c r="T908">
        <v>33500000000</v>
      </c>
      <c r="U908">
        <v>-2374000000</v>
      </c>
      <c r="V908">
        <f t="shared" si="38"/>
        <v>61937000000</v>
      </c>
      <c r="W908">
        <f t="shared" si="39"/>
        <v>481357000000</v>
      </c>
    </row>
    <row r="909" spans="1:23" x14ac:dyDescent="0.2">
      <c r="A909">
        <f>IF(D909="USD",VLOOKUP(VALUE(RIGHT(E909,4)),'USD RUB'!$E:$F,2,FALSE),1)</f>
        <v>1</v>
      </c>
      <c r="B909" s="4">
        <v>1</v>
      </c>
      <c r="C909">
        <v>1000000</v>
      </c>
      <c r="D909" t="s">
        <v>20</v>
      </c>
      <c r="E909" s="1" t="s">
        <v>925</v>
      </c>
      <c r="F909">
        <v>86872000000</v>
      </c>
      <c r="G909">
        <v>271272000000</v>
      </c>
      <c r="H909">
        <v>225653000000</v>
      </c>
      <c r="I909">
        <v>1439000000</v>
      </c>
      <c r="J909">
        <v>518886000000</v>
      </c>
      <c r="K909">
        <v>96671000000</v>
      </c>
      <c r="L909">
        <v>157141000000</v>
      </c>
      <c r="M909">
        <v>241583000000</v>
      </c>
      <c r="N909">
        <v>265074000000</v>
      </c>
      <c r="O909">
        <v>221484000000</v>
      </c>
      <c r="P909">
        <v>69463000000</v>
      </c>
      <c r="Q909">
        <v>44087000000</v>
      </c>
      <c r="R909">
        <v>32245000000</v>
      </c>
      <c r="S909">
        <v>23507000000</v>
      </c>
      <c r="T909">
        <v>87644000000</v>
      </c>
      <c r="U909">
        <v>-17006000000</v>
      </c>
      <c r="V909">
        <f t="shared" si="38"/>
        <v>232856000000</v>
      </c>
      <c r="W909">
        <f t="shared" si="39"/>
        <v>430098000000</v>
      </c>
    </row>
    <row r="910" spans="1:23" x14ac:dyDescent="0.2">
      <c r="A910">
        <f>IF(D910="USD",VLOOKUP(VALUE(RIGHT(E910,4)),'USD RUB'!$E:$F,2,FALSE),1)</f>
        <v>1</v>
      </c>
      <c r="B910" s="4">
        <v>1</v>
      </c>
      <c r="C910">
        <v>1000000</v>
      </c>
      <c r="D910" t="s">
        <v>20</v>
      </c>
      <c r="E910" s="1" t="s">
        <v>926</v>
      </c>
      <c r="F910">
        <v>83197000000</v>
      </c>
      <c r="G910">
        <v>301319000000</v>
      </c>
      <c r="H910">
        <v>224155000000</v>
      </c>
      <c r="I910">
        <v>1439000000</v>
      </c>
      <c r="J910">
        <v>553641000000</v>
      </c>
      <c r="K910">
        <v>121004000000</v>
      </c>
      <c r="L910">
        <v>187225000000</v>
      </c>
      <c r="M910">
        <v>222041000000</v>
      </c>
      <c r="N910">
        <v>245412000000</v>
      </c>
      <c r="O910">
        <v>119513000000</v>
      </c>
      <c r="P910">
        <v>47957000000</v>
      </c>
      <c r="Q910">
        <v>14708000000</v>
      </c>
      <c r="R910">
        <v>10901000000</v>
      </c>
      <c r="S910">
        <v>17586000000</v>
      </c>
      <c r="T910">
        <v>55809000000</v>
      </c>
      <c r="U910">
        <v>-12585000000</v>
      </c>
      <c r="V910">
        <f t="shared" si="38"/>
        <v>169914000000</v>
      </c>
      <c r="W910">
        <f t="shared" si="39"/>
        <v>429662000000</v>
      </c>
    </row>
    <row r="911" spans="1:23" x14ac:dyDescent="0.2">
      <c r="A911">
        <f>IF(D911="USD",VLOOKUP(VALUE(RIGHT(E911,4)),'USD RUB'!$E:$F,2,FALSE),1)</f>
        <v>1</v>
      </c>
      <c r="B911" s="4">
        <v>1</v>
      </c>
      <c r="C911">
        <v>1000000</v>
      </c>
      <c r="D911" t="s">
        <v>20</v>
      </c>
      <c r="E911" s="1" t="s">
        <v>927</v>
      </c>
      <c r="F911">
        <v>65471000000</v>
      </c>
      <c r="G911">
        <v>279466000000</v>
      </c>
      <c r="H911">
        <v>224230000000</v>
      </c>
      <c r="I911">
        <v>1439000000</v>
      </c>
      <c r="J911">
        <v>530776000000</v>
      </c>
      <c r="K911">
        <v>121508000000</v>
      </c>
      <c r="L911">
        <v>171563000000</v>
      </c>
      <c r="M911">
        <v>214369000000</v>
      </c>
      <c r="N911">
        <v>237705000000</v>
      </c>
      <c r="O911">
        <v>70941000000</v>
      </c>
      <c r="P911">
        <v>17642000000</v>
      </c>
      <c r="Q911">
        <v>5121000000</v>
      </c>
      <c r="R911">
        <v>3321000000</v>
      </c>
      <c r="S911">
        <v>12114000000</v>
      </c>
      <c r="T911">
        <v>30101000000</v>
      </c>
      <c r="U911">
        <v>-7183000000</v>
      </c>
      <c r="V911">
        <f t="shared" si="38"/>
        <v>125446000000</v>
      </c>
      <c r="W911">
        <f t="shared" si="39"/>
        <v>428422000000</v>
      </c>
    </row>
    <row r="912" spans="1:23" x14ac:dyDescent="0.2">
      <c r="A912">
        <f>IF(D912="USD",VLOOKUP(VALUE(RIGHT(E912,4)),'USD RUB'!$E:$F,2,FALSE),1)</f>
        <v>1</v>
      </c>
      <c r="B912" s="4">
        <v>1</v>
      </c>
      <c r="C912">
        <v>1000000</v>
      </c>
      <c r="D912" t="s">
        <v>20</v>
      </c>
      <c r="E912" s="1" t="s">
        <v>928</v>
      </c>
      <c r="F912">
        <v>25786000000</v>
      </c>
      <c r="G912">
        <v>229485000000</v>
      </c>
      <c r="H912">
        <v>223426000000</v>
      </c>
      <c r="I912">
        <v>1439000000</v>
      </c>
      <c r="J912">
        <v>481357000000</v>
      </c>
      <c r="K912">
        <v>91057000000</v>
      </c>
      <c r="L912">
        <v>132933000000</v>
      </c>
      <c r="M912">
        <v>234230000000</v>
      </c>
      <c r="N912">
        <v>257367000000</v>
      </c>
      <c r="O912">
        <v>61937000000</v>
      </c>
      <c r="P912">
        <v>25992000000</v>
      </c>
      <c r="Q912">
        <v>4778000000</v>
      </c>
      <c r="R912">
        <v>3058000000</v>
      </c>
      <c r="S912">
        <v>6295000000</v>
      </c>
      <c r="T912">
        <v>29984000000</v>
      </c>
      <c r="U912">
        <v>-2645000000</v>
      </c>
      <c r="V912">
        <f t="shared" si="38"/>
        <v>69541000000</v>
      </c>
      <c r="W912">
        <f t="shared" si="39"/>
        <v>435996000000</v>
      </c>
    </row>
    <row r="913" spans="1:23" x14ac:dyDescent="0.2">
      <c r="A913">
        <f>IF(D913="USD",VLOOKUP(VALUE(RIGHT(E913,4)),'USD RUB'!$E:$F,2,FALSE),1)</f>
        <v>1</v>
      </c>
      <c r="B913" s="4">
        <v>1</v>
      </c>
      <c r="C913">
        <v>1000000</v>
      </c>
      <c r="D913" t="s">
        <v>20</v>
      </c>
      <c r="E913" s="1" t="s">
        <v>929</v>
      </c>
      <c r="F913">
        <v>13315000000</v>
      </c>
      <c r="G913">
        <v>178733000000</v>
      </c>
      <c r="H913">
        <v>226261000000</v>
      </c>
      <c r="I913">
        <v>1439000000</v>
      </c>
      <c r="J913">
        <v>430098000000</v>
      </c>
      <c r="K913">
        <v>64187000000</v>
      </c>
      <c r="L913">
        <v>111945000000</v>
      </c>
      <c r="M913">
        <v>230737000000</v>
      </c>
      <c r="N913">
        <v>253966000000</v>
      </c>
      <c r="O913">
        <v>232856000000</v>
      </c>
      <c r="P913">
        <v>75143000000</v>
      </c>
      <c r="Q913">
        <v>81456000000</v>
      </c>
      <c r="R913">
        <v>62730000000</v>
      </c>
      <c r="S913">
        <v>24511000000</v>
      </c>
      <c r="T913">
        <v>107054000000</v>
      </c>
      <c r="U913">
        <v>-19974000000</v>
      </c>
      <c r="V913">
        <f t="shared" si="38"/>
        <v>293870000000</v>
      </c>
      <c r="W913">
        <f t="shared" si="39"/>
        <v>411192000000</v>
      </c>
    </row>
    <row r="914" spans="1:23" x14ac:dyDescent="0.2">
      <c r="A914">
        <f>IF(D914="USD",VLOOKUP(VALUE(RIGHT(E914,4)),'USD RUB'!$E:$F,2,FALSE),1)</f>
        <v>1</v>
      </c>
      <c r="B914" s="4">
        <v>1</v>
      </c>
      <c r="C914">
        <v>1000000</v>
      </c>
      <c r="D914" t="s">
        <v>20</v>
      </c>
      <c r="E914" s="1" t="s">
        <v>930</v>
      </c>
      <c r="F914">
        <v>20666000000</v>
      </c>
      <c r="G914">
        <v>178117000000</v>
      </c>
      <c r="H914">
        <v>229907000000</v>
      </c>
      <c r="I914">
        <v>1439000000</v>
      </c>
      <c r="J914">
        <v>429662000000</v>
      </c>
      <c r="K914">
        <v>62233000000</v>
      </c>
      <c r="L914">
        <v>128099000000</v>
      </c>
      <c r="M914">
        <v>216280000000</v>
      </c>
      <c r="N914">
        <v>239330000000</v>
      </c>
      <c r="O914">
        <v>169914000000</v>
      </c>
      <c r="P914">
        <v>60803000000</v>
      </c>
      <c r="Q914">
        <v>64785000000</v>
      </c>
      <c r="R914">
        <v>51067000000</v>
      </c>
      <c r="S914">
        <v>17993000000</v>
      </c>
      <c r="T914">
        <v>77537000000</v>
      </c>
      <c r="U914">
        <v>-13050000000</v>
      </c>
      <c r="V914">
        <f t="shared" si="38"/>
        <v>234193000000</v>
      </c>
      <c r="W914">
        <f t="shared" si="39"/>
        <v>426795000000</v>
      </c>
    </row>
    <row r="915" spans="1:23" x14ac:dyDescent="0.2">
      <c r="A915">
        <f>IF(D915="USD",VLOOKUP(VALUE(RIGHT(E915,4)),'USD RUB'!$E:$F,2,FALSE),1)</f>
        <v>1</v>
      </c>
      <c r="B915" s="4">
        <v>1</v>
      </c>
      <c r="C915">
        <v>1000000</v>
      </c>
      <c r="D915" t="s">
        <v>20</v>
      </c>
      <c r="E915" s="1" t="s">
        <v>931</v>
      </c>
      <c r="F915">
        <v>5706000000</v>
      </c>
      <c r="G915">
        <v>175297000000</v>
      </c>
      <c r="H915">
        <v>229785000000</v>
      </c>
      <c r="I915">
        <v>1439000000</v>
      </c>
      <c r="J915">
        <v>428422000000</v>
      </c>
      <c r="K915">
        <v>61900000000</v>
      </c>
      <c r="L915">
        <v>112547000000</v>
      </c>
      <c r="M915">
        <v>231052000000</v>
      </c>
      <c r="N915">
        <v>253975000000</v>
      </c>
      <c r="O915">
        <v>125446000000</v>
      </c>
      <c r="P915">
        <v>43537000000</v>
      </c>
      <c r="Q915">
        <v>48428000000</v>
      </c>
      <c r="R915">
        <v>37511000000</v>
      </c>
      <c r="S915">
        <v>12474000000</v>
      </c>
      <c r="T915">
        <v>56484000000</v>
      </c>
      <c r="U915">
        <v>-8410000000</v>
      </c>
      <c r="V915">
        <f t="shared" si="38"/>
        <v>165613000000</v>
      </c>
      <c r="W915">
        <f t="shared" si="39"/>
        <v>435902000000</v>
      </c>
    </row>
    <row r="916" spans="1:23" x14ac:dyDescent="0.2">
      <c r="A916">
        <f>IF(D916="USD",VLOOKUP(VALUE(RIGHT(E916,4)),'USD RUB'!$E:$F,2,FALSE),1)</f>
        <v>1</v>
      </c>
      <c r="B916" s="4">
        <v>1</v>
      </c>
      <c r="C916">
        <v>1000000</v>
      </c>
      <c r="D916" t="s">
        <v>20</v>
      </c>
      <c r="E916" s="1" t="s">
        <v>932</v>
      </c>
      <c r="F916">
        <v>16230000000</v>
      </c>
      <c r="G916">
        <v>176572000000</v>
      </c>
      <c r="H916">
        <v>231849000000</v>
      </c>
      <c r="I916">
        <v>1439000000</v>
      </c>
      <c r="J916">
        <v>435996000000</v>
      </c>
      <c r="K916">
        <v>76938000000</v>
      </c>
      <c r="L916">
        <v>88043000000</v>
      </c>
      <c r="M916">
        <v>248136000000</v>
      </c>
      <c r="N916">
        <v>271015000000</v>
      </c>
      <c r="O916">
        <v>69541000000</v>
      </c>
      <c r="P916">
        <v>23598000000</v>
      </c>
      <c r="Q916">
        <v>30524000000</v>
      </c>
      <c r="R916">
        <v>24065000000</v>
      </c>
      <c r="S916">
        <v>6575000000</v>
      </c>
      <c r="T916">
        <v>31352000000</v>
      </c>
      <c r="U916">
        <v>-3876000000</v>
      </c>
      <c r="V916">
        <f t="shared" si="38"/>
        <v>94894000000</v>
      </c>
      <c r="W916">
        <f t="shared" si="39"/>
        <v>407371000000</v>
      </c>
    </row>
    <row r="917" spans="1:23" x14ac:dyDescent="0.2">
      <c r="A917">
        <f>IF(D917="USD",VLOOKUP(VALUE(RIGHT(E917,4)),'USD RUB'!$E:$F,2,FALSE),1)</f>
        <v>1</v>
      </c>
      <c r="B917" s="4">
        <v>1</v>
      </c>
      <c r="C917">
        <v>1000000</v>
      </c>
      <c r="D917" t="s">
        <v>20</v>
      </c>
      <c r="E917" s="1" t="s">
        <v>933</v>
      </c>
      <c r="F917">
        <v>27437000000</v>
      </c>
      <c r="G917">
        <v>154750000000</v>
      </c>
      <c r="H917">
        <v>234873000000</v>
      </c>
      <c r="I917">
        <v>1439000000</v>
      </c>
      <c r="J917">
        <v>411192000000</v>
      </c>
      <c r="K917">
        <v>74581000000</v>
      </c>
      <c r="L917">
        <v>89034000000</v>
      </c>
      <c r="M917">
        <v>224976000000</v>
      </c>
      <c r="N917">
        <v>247577000000</v>
      </c>
      <c r="O917">
        <v>293870000000</v>
      </c>
      <c r="P917">
        <v>127095000000</v>
      </c>
      <c r="Q917">
        <v>114612000000</v>
      </c>
      <c r="R917">
        <v>90404000000</v>
      </c>
      <c r="S917">
        <v>21642000000</v>
      </c>
      <c r="T917">
        <v>155972000000</v>
      </c>
      <c r="U917">
        <v>-27816000000</v>
      </c>
      <c r="V917">
        <f t="shared" si="38"/>
        <v>269706000000</v>
      </c>
      <c r="W917">
        <f t="shared" si="39"/>
        <v>427781000000</v>
      </c>
    </row>
    <row r="918" spans="1:23" x14ac:dyDescent="0.2">
      <c r="A918">
        <f>IF(D918="USD",VLOOKUP(VALUE(RIGHT(E918,4)),'USD RUB'!$E:$F,2,FALSE),1)</f>
        <v>1</v>
      </c>
      <c r="B918" s="4">
        <v>1</v>
      </c>
      <c r="C918">
        <v>1000000</v>
      </c>
      <c r="D918" t="s">
        <v>20</v>
      </c>
      <c r="E918" s="1" t="s">
        <v>934</v>
      </c>
      <c r="F918">
        <v>49403000000</v>
      </c>
      <c r="G918">
        <v>165202000000</v>
      </c>
      <c r="H918">
        <v>240567000000</v>
      </c>
      <c r="I918">
        <v>1439000000</v>
      </c>
      <c r="J918">
        <v>426795000000</v>
      </c>
      <c r="K918">
        <v>97345000000</v>
      </c>
      <c r="L918">
        <v>89769000000</v>
      </c>
      <c r="M918">
        <v>218333000000</v>
      </c>
      <c r="N918">
        <v>239681000000</v>
      </c>
      <c r="O918">
        <v>234193000000</v>
      </c>
      <c r="P918">
        <v>112667000000</v>
      </c>
      <c r="Q918">
        <v>104631000000</v>
      </c>
      <c r="R918">
        <v>82491000000</v>
      </c>
      <c r="S918">
        <v>17193000000</v>
      </c>
      <c r="T918">
        <v>129053000000</v>
      </c>
      <c r="U918">
        <v>-20791000000</v>
      </c>
      <c r="V918">
        <f t="shared" si="38"/>
        <v>214477000000</v>
      </c>
      <c r="W918">
        <f t="shared" si="39"/>
        <v>430605000000</v>
      </c>
    </row>
    <row r="919" spans="1:23" x14ac:dyDescent="0.2">
      <c r="A919">
        <f>IF(D919="USD",VLOOKUP(VALUE(RIGHT(E919,4)),'USD RUB'!$E:$F,2,FALSE),1)</f>
        <v>1</v>
      </c>
      <c r="B919" s="4">
        <v>1</v>
      </c>
      <c r="C919">
        <v>1000000</v>
      </c>
      <c r="D919" t="s">
        <v>20</v>
      </c>
      <c r="E919" s="1" t="s">
        <v>935</v>
      </c>
      <c r="F919">
        <v>52674000000</v>
      </c>
      <c r="G919">
        <v>173367000000</v>
      </c>
      <c r="H919">
        <v>239230000000</v>
      </c>
      <c r="I919">
        <v>1439000000</v>
      </c>
      <c r="J919">
        <v>435902000000</v>
      </c>
      <c r="K919">
        <v>71178000000</v>
      </c>
      <c r="L919">
        <v>90025000000</v>
      </c>
      <c r="M919">
        <v>251532000000</v>
      </c>
      <c r="N919">
        <v>274699000000</v>
      </c>
      <c r="O919">
        <v>165613000000</v>
      </c>
      <c r="P919">
        <v>78126000000</v>
      </c>
      <c r="Q919">
        <v>73856000000</v>
      </c>
      <c r="R919">
        <v>58262000000</v>
      </c>
      <c r="S919">
        <v>12011000000</v>
      </c>
      <c r="T919">
        <v>89078000000</v>
      </c>
      <c r="U919">
        <v>-12026000000</v>
      </c>
      <c r="V919">
        <f t="shared" si="38"/>
        <v>155550000000</v>
      </c>
      <c r="W919">
        <f t="shared" si="39"/>
        <v>474906000000</v>
      </c>
    </row>
    <row r="920" spans="1:23" x14ac:dyDescent="0.2">
      <c r="A920">
        <f>IF(D920="USD",VLOOKUP(VALUE(RIGHT(E920,4)),'USD RUB'!$E:$F,2,FALSE),1)</f>
        <v>1</v>
      </c>
      <c r="B920" s="4">
        <v>1</v>
      </c>
      <c r="C920">
        <v>1000000</v>
      </c>
      <c r="D920" t="s">
        <v>20</v>
      </c>
      <c r="E920" s="1" t="s">
        <v>936</v>
      </c>
      <c r="F920">
        <v>40221000000</v>
      </c>
      <c r="G920">
        <v>147723000000</v>
      </c>
      <c r="H920">
        <v>236769000000</v>
      </c>
      <c r="I920">
        <v>1439000000</v>
      </c>
      <c r="J920">
        <v>407371000000</v>
      </c>
      <c r="K920">
        <v>34376000000</v>
      </c>
      <c r="L920">
        <v>82430000000</v>
      </c>
      <c r="M920">
        <v>267774000000</v>
      </c>
      <c r="N920">
        <v>290565000000</v>
      </c>
      <c r="O920">
        <v>94894000000</v>
      </c>
      <c r="P920">
        <v>41688000000</v>
      </c>
      <c r="Q920">
        <v>42183000000</v>
      </c>
      <c r="R920">
        <v>33181000000</v>
      </c>
      <c r="S920">
        <v>6008000000</v>
      </c>
      <c r="T920">
        <v>48000000000</v>
      </c>
      <c r="U920">
        <v>-4844000000</v>
      </c>
      <c r="V920">
        <f t="shared" si="38"/>
        <v>84813000000</v>
      </c>
      <c r="W920">
        <f t="shared" si="39"/>
        <v>450289000000</v>
      </c>
    </row>
    <row r="921" spans="1:23" x14ac:dyDescent="0.2">
      <c r="A921">
        <f>IF(D921="USD",VLOOKUP(VALUE(RIGHT(E921,4)),'USD RUB'!$E:$F,2,FALSE),1)</f>
        <v>1</v>
      </c>
      <c r="B921" s="4">
        <v>1</v>
      </c>
      <c r="C921">
        <v>1000000</v>
      </c>
      <c r="D921" t="s">
        <v>20</v>
      </c>
      <c r="E921" s="1" t="s">
        <v>937</v>
      </c>
      <c r="F921">
        <v>7381000000</v>
      </c>
      <c r="G921">
        <v>168526000000</v>
      </c>
      <c r="H921">
        <v>236589000000</v>
      </c>
      <c r="I921">
        <v>1439000000</v>
      </c>
      <c r="J921">
        <v>427781000000</v>
      </c>
      <c r="K921">
        <v>75655000000</v>
      </c>
      <c r="L921">
        <v>85639000000</v>
      </c>
      <c r="M921">
        <v>243921000000</v>
      </c>
      <c r="N921">
        <v>266487000000</v>
      </c>
      <c r="O921">
        <v>269706000000</v>
      </c>
      <c r="P921">
        <v>99083000000</v>
      </c>
      <c r="Q921">
        <v>100790000000</v>
      </c>
      <c r="R921">
        <v>78616000000</v>
      </c>
      <c r="S921">
        <v>23962000000</v>
      </c>
      <c r="U921">
        <v>-26944000000</v>
      </c>
      <c r="V921">
        <f t="shared" ref="V921:V984" si="40">_xlfn.XLOOKUP(LEFT(E921,LEN(E921)-4)&amp;(VALUE(RIGHT(E921,4))-1),$E:$E,$O:$O,"")</f>
        <v>317090000000</v>
      </c>
      <c r="W921">
        <f t="shared" ref="W921:W984" si="41">_xlfn.XLOOKUP(LEFT(E921,LEN(E921)-4)&amp;(VALUE(RIGHT(E921,4))-1),$E:$E,$J:$J,"")</f>
        <v>472714000000</v>
      </c>
    </row>
    <row r="922" spans="1:23" x14ac:dyDescent="0.2">
      <c r="A922">
        <f>IF(D922="USD",VLOOKUP(VALUE(RIGHT(E922,4)),'USD RUB'!$E:$F,2,FALSE),1)</f>
        <v>1</v>
      </c>
      <c r="B922" s="4">
        <v>1</v>
      </c>
      <c r="C922">
        <v>1000000</v>
      </c>
      <c r="D922" t="s">
        <v>20</v>
      </c>
      <c r="E922" s="1" t="s">
        <v>938</v>
      </c>
      <c r="F922">
        <v>24933000000</v>
      </c>
      <c r="G922">
        <v>135347000000</v>
      </c>
      <c r="H922">
        <v>281851000000</v>
      </c>
      <c r="I922">
        <v>1439000000</v>
      </c>
      <c r="J922">
        <v>430605000000</v>
      </c>
      <c r="K922">
        <v>45290000000</v>
      </c>
      <c r="L922">
        <v>133681000000</v>
      </c>
      <c r="M922">
        <v>228419000000</v>
      </c>
      <c r="N922">
        <v>251634000000</v>
      </c>
      <c r="O922">
        <v>214477000000</v>
      </c>
      <c r="P922">
        <v>75944000000</v>
      </c>
      <c r="Q922">
        <v>78447000000</v>
      </c>
      <c r="R922">
        <v>61860000000</v>
      </c>
      <c r="S922">
        <v>18695000000</v>
      </c>
      <c r="T922">
        <v>99958000000</v>
      </c>
      <c r="U922">
        <v>-18418000000</v>
      </c>
      <c r="V922">
        <f t="shared" si="40"/>
        <v>255563000000</v>
      </c>
      <c r="W922">
        <f t="shared" si="41"/>
        <v>492483000000</v>
      </c>
    </row>
    <row r="923" spans="1:23" x14ac:dyDescent="0.2">
      <c r="A923">
        <f>IF(D923="USD",VLOOKUP(VALUE(RIGHT(E923,4)),'USD RUB'!$E:$F,2,FALSE),1)</f>
        <v>1</v>
      </c>
      <c r="B923" s="4">
        <v>1</v>
      </c>
      <c r="C923">
        <v>1000000</v>
      </c>
      <c r="D923" t="s">
        <v>20</v>
      </c>
      <c r="E923" s="1" t="s">
        <v>939</v>
      </c>
      <c r="F923">
        <v>61995000000</v>
      </c>
      <c r="G923">
        <v>176137000000</v>
      </c>
      <c r="H923">
        <v>287033000000</v>
      </c>
      <c r="I923">
        <v>1439000000</v>
      </c>
      <c r="J923">
        <v>474906000000</v>
      </c>
      <c r="K923">
        <v>99615000000</v>
      </c>
      <c r="L923">
        <v>136243000000</v>
      </c>
      <c r="M923">
        <v>216035000000</v>
      </c>
      <c r="N923">
        <v>239048000000</v>
      </c>
      <c r="O923">
        <v>155550000000</v>
      </c>
      <c r="P923">
        <v>60946000000</v>
      </c>
      <c r="Q923">
        <v>62128000000</v>
      </c>
      <c r="R923">
        <v>48910000000</v>
      </c>
      <c r="S923">
        <v>13191000000</v>
      </c>
      <c r="T923">
        <v>72800000000</v>
      </c>
      <c r="U923">
        <v>-11432000000</v>
      </c>
      <c r="V923">
        <f t="shared" si="40"/>
        <v>186667000000</v>
      </c>
      <c r="W923">
        <f t="shared" si="41"/>
        <v>478132000000</v>
      </c>
    </row>
    <row r="924" spans="1:23" x14ac:dyDescent="0.2">
      <c r="A924">
        <f>IF(D924="USD",VLOOKUP(VALUE(RIGHT(E924,4)),'USD RUB'!$E:$F,2,FALSE),1)</f>
        <v>1</v>
      </c>
      <c r="B924" s="4">
        <v>1</v>
      </c>
      <c r="C924">
        <v>1000000</v>
      </c>
      <c r="D924" t="s">
        <v>20</v>
      </c>
      <c r="E924" s="1" t="s">
        <v>940</v>
      </c>
      <c r="F924">
        <v>40609000000</v>
      </c>
      <c r="G924">
        <v>151489000000</v>
      </c>
      <c r="H924">
        <v>286698000000</v>
      </c>
      <c r="I924">
        <v>1439000000</v>
      </c>
      <c r="J924">
        <v>450289000000</v>
      </c>
      <c r="K924">
        <v>36074000000</v>
      </c>
      <c r="L924">
        <v>135021000000</v>
      </c>
      <c r="M924">
        <v>256136000000</v>
      </c>
      <c r="N924">
        <v>279194000000</v>
      </c>
      <c r="O924">
        <v>84813000000</v>
      </c>
      <c r="P924">
        <v>24203000000</v>
      </c>
      <c r="Q924">
        <v>30367000000</v>
      </c>
      <c r="R924">
        <v>22686000000</v>
      </c>
      <c r="S924">
        <v>7555000000</v>
      </c>
      <c r="T924">
        <v>35200000000</v>
      </c>
      <c r="U924">
        <v>-5828000000</v>
      </c>
      <c r="V924">
        <f t="shared" si="40"/>
        <v>102339000000</v>
      </c>
      <c r="W924">
        <f t="shared" si="41"/>
        <v>475478000000</v>
      </c>
    </row>
    <row r="925" spans="1:23" x14ac:dyDescent="0.2">
      <c r="A925">
        <f>IF(D925="USD",VLOOKUP(VALUE(RIGHT(E925,4)),'USD RUB'!$E:$F,2,FALSE),1)</f>
        <v>1</v>
      </c>
      <c r="B925" s="4">
        <v>1</v>
      </c>
      <c r="C925">
        <v>1000000</v>
      </c>
      <c r="D925" t="s">
        <v>20</v>
      </c>
      <c r="E925" s="1" t="s">
        <v>941</v>
      </c>
      <c r="F925">
        <v>30410000000</v>
      </c>
      <c r="G925">
        <v>172856000000</v>
      </c>
      <c r="H925">
        <v>288874000000</v>
      </c>
      <c r="J925">
        <v>472714000000</v>
      </c>
      <c r="K925">
        <v>36412000000</v>
      </c>
      <c r="L925">
        <v>179332000000</v>
      </c>
      <c r="M925">
        <v>234298000000</v>
      </c>
      <c r="N925">
        <v>256970000000</v>
      </c>
      <c r="O925">
        <v>317090000000</v>
      </c>
      <c r="P925">
        <v>142965000000</v>
      </c>
      <c r="Q925">
        <v>169739000000</v>
      </c>
      <c r="R925">
        <v>133471000000</v>
      </c>
      <c r="T925">
        <v>176418000000</v>
      </c>
      <c r="U925">
        <v>31752000000</v>
      </c>
      <c r="V925">
        <f t="shared" si="40"/>
        <v>224524000000</v>
      </c>
      <c r="W925">
        <f t="shared" si="41"/>
        <v>435065000000</v>
      </c>
    </row>
    <row r="926" spans="1:23" x14ac:dyDescent="0.2">
      <c r="A926">
        <f>IF(D926="USD",VLOOKUP(VALUE(RIGHT(E926,4)),'USD RUB'!$E:$F,2,FALSE),1)</f>
        <v>1</v>
      </c>
      <c r="B926" s="4">
        <v>1</v>
      </c>
      <c r="C926">
        <v>1000000</v>
      </c>
      <c r="D926" t="s">
        <v>20</v>
      </c>
      <c r="E926" s="1" t="s">
        <v>942</v>
      </c>
      <c r="F926">
        <v>32949000000</v>
      </c>
      <c r="G926">
        <v>191710000000</v>
      </c>
      <c r="H926">
        <v>287361000000</v>
      </c>
      <c r="J926">
        <v>492483000000</v>
      </c>
      <c r="K926">
        <v>61217000000</v>
      </c>
      <c r="L926">
        <v>181508000000</v>
      </c>
      <c r="M926">
        <v>225677000000</v>
      </c>
      <c r="N926">
        <v>249758000000</v>
      </c>
      <c r="O926">
        <v>255563000000</v>
      </c>
      <c r="P926">
        <v>127777000000</v>
      </c>
      <c r="Q926">
        <v>149606000000</v>
      </c>
      <c r="R926">
        <v>116945000000</v>
      </c>
      <c r="T926">
        <v>150000000000</v>
      </c>
      <c r="U926">
        <v>21948000000</v>
      </c>
      <c r="V926">
        <f t="shared" si="40"/>
        <v>172496000000</v>
      </c>
      <c r="W926">
        <f t="shared" si="41"/>
        <v>425841000000</v>
      </c>
    </row>
    <row r="927" spans="1:23" x14ac:dyDescent="0.2">
      <c r="A927">
        <f>IF(D927="USD",VLOOKUP(VALUE(RIGHT(E927,4)),'USD RUB'!$E:$F,2,FALSE),1)</f>
        <v>1</v>
      </c>
      <c r="B927" s="4">
        <v>1</v>
      </c>
      <c r="C927">
        <v>1000000</v>
      </c>
      <c r="D927" t="s">
        <v>20</v>
      </c>
      <c r="E927" s="1" t="s">
        <v>943</v>
      </c>
      <c r="F927">
        <v>20829000000</v>
      </c>
      <c r="G927">
        <v>181188000000</v>
      </c>
      <c r="H927">
        <v>285076000000</v>
      </c>
      <c r="J927">
        <v>478132000000</v>
      </c>
      <c r="K927">
        <v>71905000000</v>
      </c>
      <c r="L927">
        <v>182809000000</v>
      </c>
      <c r="M927">
        <v>199687000000</v>
      </c>
      <c r="N927">
        <v>223418000000</v>
      </c>
      <c r="O927">
        <v>186667000000</v>
      </c>
      <c r="P927">
        <v>94068000000</v>
      </c>
      <c r="Q927">
        <v>113864000000</v>
      </c>
      <c r="R927">
        <v>90385000000</v>
      </c>
      <c r="T927">
        <v>113000000000</v>
      </c>
      <c r="U927">
        <v>14689000000</v>
      </c>
      <c r="V927">
        <f t="shared" si="40"/>
        <v>131868000000</v>
      </c>
      <c r="W927">
        <f t="shared" si="41"/>
        <v>419237000000</v>
      </c>
    </row>
    <row r="928" spans="1:23" x14ac:dyDescent="0.2">
      <c r="A928">
        <f>IF(D928="USD",VLOOKUP(VALUE(RIGHT(E928,4)),'USD RUB'!$E:$F,2,FALSE),1)</f>
        <v>1</v>
      </c>
      <c r="B928" s="4">
        <v>1</v>
      </c>
      <c r="C928">
        <v>1000000</v>
      </c>
      <c r="D928" t="s">
        <v>20</v>
      </c>
      <c r="E928" s="1" t="s">
        <v>944</v>
      </c>
      <c r="F928">
        <v>75963000000</v>
      </c>
      <c r="G928">
        <v>176479000000</v>
      </c>
      <c r="H928">
        <v>284909000000</v>
      </c>
      <c r="J928">
        <v>475478000000</v>
      </c>
      <c r="K928">
        <v>60873000000</v>
      </c>
      <c r="L928">
        <v>214475000000</v>
      </c>
      <c r="M928">
        <v>176764000000</v>
      </c>
      <c r="N928">
        <v>200130000000</v>
      </c>
      <c r="O928">
        <v>102339000000</v>
      </c>
      <c r="P928">
        <v>49616000000</v>
      </c>
      <c r="Q928">
        <v>63216000000</v>
      </c>
      <c r="R928">
        <v>49889000000</v>
      </c>
      <c r="T928">
        <v>59300000000</v>
      </c>
      <c r="U928">
        <v>7043000000</v>
      </c>
      <c r="V928">
        <f t="shared" si="40"/>
        <v>74580000000</v>
      </c>
      <c r="W928">
        <f t="shared" si="41"/>
        <v>417974000000</v>
      </c>
    </row>
    <row r="929" spans="1:23" x14ac:dyDescent="0.2">
      <c r="A929">
        <f>IF(D929="USD",VLOOKUP(VALUE(RIGHT(E929,4)),'USD RUB'!$E:$F,2,FALSE),1)</f>
        <v>1</v>
      </c>
      <c r="B929" s="4">
        <v>1</v>
      </c>
      <c r="C929">
        <v>1000000</v>
      </c>
      <c r="D929" t="s">
        <v>20</v>
      </c>
      <c r="E929" s="1" t="s">
        <v>945</v>
      </c>
      <c r="F929">
        <v>20503000000</v>
      </c>
      <c r="G929">
        <v>136689000000</v>
      </c>
      <c r="H929">
        <v>283963000000</v>
      </c>
      <c r="J929">
        <v>435065000000</v>
      </c>
      <c r="K929">
        <v>55750000000</v>
      </c>
      <c r="L929">
        <v>227830000000</v>
      </c>
      <c r="M929">
        <v>128853000000</v>
      </c>
      <c r="N929">
        <v>151485000000</v>
      </c>
      <c r="O929">
        <v>224524000000</v>
      </c>
      <c r="P929">
        <v>97169000000</v>
      </c>
      <c r="Q929">
        <v>41316000000</v>
      </c>
      <c r="R929">
        <v>32192000000</v>
      </c>
      <c r="T929">
        <v>118500000000</v>
      </c>
      <c r="U929">
        <v>34241000000</v>
      </c>
      <c r="V929">
        <f t="shared" si="40"/>
        <v>207159000000</v>
      </c>
      <c r="W929">
        <f t="shared" si="41"/>
        <v>388249000000</v>
      </c>
    </row>
    <row r="930" spans="1:23" x14ac:dyDescent="0.2">
      <c r="A930">
        <f>IF(D930="USD",VLOOKUP(VALUE(RIGHT(E930,4)),'USD RUB'!$E:$F,2,FALSE),1)</f>
        <v>1</v>
      </c>
      <c r="B930" s="4">
        <v>1</v>
      </c>
      <c r="C930">
        <v>1000000</v>
      </c>
      <c r="D930" t="s">
        <v>20</v>
      </c>
      <c r="E930" s="1" t="s">
        <v>946</v>
      </c>
      <c r="F930">
        <v>28583000000</v>
      </c>
      <c r="G930">
        <v>134037000000</v>
      </c>
      <c r="H930">
        <v>279587000000</v>
      </c>
      <c r="J930">
        <v>425841000000</v>
      </c>
      <c r="K930">
        <v>67957000000</v>
      </c>
      <c r="L930">
        <v>203779000000</v>
      </c>
      <c r="M930">
        <v>130563000000</v>
      </c>
      <c r="N930">
        <v>154105000000</v>
      </c>
      <c r="O930">
        <v>172496000000</v>
      </c>
      <c r="P930">
        <v>74520000000</v>
      </c>
      <c r="Q930">
        <v>39051000000</v>
      </c>
      <c r="R930">
        <v>32220000000</v>
      </c>
      <c r="T930">
        <v>89800000000</v>
      </c>
      <c r="U930">
        <v>24690000000</v>
      </c>
      <c r="V930">
        <f t="shared" si="40"/>
        <v>146907000000</v>
      </c>
      <c r="W930">
        <f t="shared" si="41"/>
        <v>381780000000</v>
      </c>
    </row>
    <row r="931" spans="1:23" x14ac:dyDescent="0.2">
      <c r="A931">
        <f>IF(D931="USD",VLOOKUP(VALUE(RIGHT(E931,4)),'USD RUB'!$E:$F,2,FALSE),1)</f>
        <v>1</v>
      </c>
      <c r="B931" s="4">
        <v>1</v>
      </c>
      <c r="C931">
        <v>1000000</v>
      </c>
      <c r="D931" t="s">
        <v>20</v>
      </c>
      <c r="E931" s="1" t="s">
        <v>947</v>
      </c>
      <c r="F931">
        <v>43237000000</v>
      </c>
      <c r="G931">
        <v>130832000000</v>
      </c>
      <c r="H931">
        <v>276855000000</v>
      </c>
      <c r="J931">
        <v>419237000000</v>
      </c>
      <c r="K931">
        <v>75529000000</v>
      </c>
      <c r="L931">
        <v>174142000000</v>
      </c>
      <c r="M931">
        <v>146260000000</v>
      </c>
      <c r="N931">
        <v>169566000000</v>
      </c>
      <c r="O931">
        <v>131868000000</v>
      </c>
      <c r="P931">
        <v>59783000000</v>
      </c>
      <c r="Q931">
        <v>59533000000</v>
      </c>
      <c r="R931">
        <v>47398000000</v>
      </c>
      <c r="T931">
        <v>70500000000</v>
      </c>
      <c r="U931">
        <v>15568000000</v>
      </c>
      <c r="V931">
        <f t="shared" si="40"/>
        <v>104789000000</v>
      </c>
      <c r="W931">
        <f t="shared" si="41"/>
        <v>380162000000</v>
      </c>
    </row>
    <row r="932" spans="1:23" x14ac:dyDescent="0.2">
      <c r="A932">
        <f>IF(D932="USD",VLOOKUP(VALUE(RIGHT(E932,4)),'USD RUB'!$E:$F,2,FALSE),1)</f>
        <v>1</v>
      </c>
      <c r="B932" s="4">
        <v>1</v>
      </c>
      <c r="C932">
        <v>1000000</v>
      </c>
      <c r="D932" t="s">
        <v>20</v>
      </c>
      <c r="E932" s="1" t="s">
        <v>948</v>
      </c>
      <c r="F932">
        <v>54221000000</v>
      </c>
      <c r="G932">
        <v>131291000000</v>
      </c>
      <c r="H932">
        <v>274064000000</v>
      </c>
      <c r="J932">
        <v>417974000000</v>
      </c>
      <c r="K932">
        <v>55254000000</v>
      </c>
      <c r="L932">
        <v>205199000000</v>
      </c>
      <c r="M932">
        <v>133877000000</v>
      </c>
      <c r="N932">
        <v>157521000000</v>
      </c>
      <c r="O932">
        <v>74580000000</v>
      </c>
      <c r="P932">
        <v>38018000000</v>
      </c>
      <c r="Q932">
        <v>29114000000</v>
      </c>
      <c r="R932">
        <v>22231000000</v>
      </c>
      <c r="T932">
        <v>42900000000</v>
      </c>
      <c r="U932">
        <v>7054000000</v>
      </c>
      <c r="V932">
        <f t="shared" si="40"/>
        <v>56291000000</v>
      </c>
      <c r="W932">
        <f t="shared" si="41"/>
        <v>357871000000</v>
      </c>
    </row>
    <row r="933" spans="1:23" x14ac:dyDescent="0.2">
      <c r="A933">
        <f>IF(D933="USD",VLOOKUP(VALUE(RIGHT(E933,4)),'USD RUB'!$E:$F,2,FALSE),1)</f>
        <v>1</v>
      </c>
      <c r="B933" s="4">
        <v>1</v>
      </c>
      <c r="C933">
        <v>1000000</v>
      </c>
      <c r="D933" t="s">
        <v>20</v>
      </c>
      <c r="E933" s="1" t="s">
        <v>949</v>
      </c>
      <c r="F933">
        <v>21693000000</v>
      </c>
      <c r="G933">
        <v>104093000000</v>
      </c>
      <c r="H933">
        <v>271618000000</v>
      </c>
      <c r="J933">
        <v>388249000000</v>
      </c>
      <c r="K933">
        <v>53276000000</v>
      </c>
      <c r="L933">
        <v>197799000000</v>
      </c>
      <c r="M933">
        <v>114147000000</v>
      </c>
      <c r="N933">
        <v>137174000000</v>
      </c>
      <c r="O933">
        <v>207159000000</v>
      </c>
      <c r="P933">
        <v>74376000000</v>
      </c>
      <c r="Q933">
        <v>-7797000000</v>
      </c>
      <c r="R933">
        <v>-16832000000</v>
      </c>
      <c r="T933">
        <v>93900000000</v>
      </c>
      <c r="U933">
        <v>36056000000</v>
      </c>
      <c r="V933">
        <f t="shared" si="40"/>
        <v>168505000000</v>
      </c>
      <c r="W933">
        <f t="shared" si="41"/>
        <v>354871000000</v>
      </c>
    </row>
    <row r="934" spans="1:23" x14ac:dyDescent="0.2">
      <c r="A934">
        <f>IF(D934="USD",VLOOKUP(VALUE(RIGHT(E934,4)),'USD RUB'!$E:$F,2,FALSE),1)</f>
        <v>1</v>
      </c>
      <c r="B934" s="4">
        <v>1</v>
      </c>
      <c r="C934">
        <v>1000000</v>
      </c>
      <c r="D934" t="s">
        <v>20</v>
      </c>
      <c r="E934" s="1" t="s">
        <v>950</v>
      </c>
      <c r="F934">
        <v>23424000000</v>
      </c>
      <c r="G934">
        <v>106837000000</v>
      </c>
      <c r="H934">
        <v>264900000000</v>
      </c>
      <c r="J934">
        <v>381780000000</v>
      </c>
      <c r="K934">
        <v>61367000000</v>
      </c>
      <c r="L934">
        <v>154801000000</v>
      </c>
      <c r="M934">
        <v>142537000000</v>
      </c>
      <c r="N934">
        <v>165612000000</v>
      </c>
      <c r="O934">
        <v>146907000000</v>
      </c>
      <c r="P934">
        <v>51153000000</v>
      </c>
      <c r="Q934">
        <v>22375000000</v>
      </c>
      <c r="R934">
        <v>12784000000</v>
      </c>
      <c r="T934">
        <v>68500000000</v>
      </c>
      <c r="U934">
        <v>22260000000</v>
      </c>
      <c r="V934">
        <f t="shared" si="40"/>
        <v>121378000000</v>
      </c>
      <c r="W934">
        <f t="shared" si="41"/>
        <v>347198000000</v>
      </c>
    </row>
    <row r="935" spans="1:23" x14ac:dyDescent="0.2">
      <c r="A935">
        <f>IF(D935="USD",VLOOKUP(VALUE(RIGHT(E935,4)),'USD RUB'!$E:$F,2,FALSE),1)</f>
        <v>1</v>
      </c>
      <c r="B935" s="4">
        <v>1</v>
      </c>
      <c r="C935">
        <v>1000000</v>
      </c>
      <c r="D935" t="s">
        <v>20</v>
      </c>
      <c r="E935" s="1" t="s">
        <v>951</v>
      </c>
      <c r="F935">
        <v>31406000000</v>
      </c>
      <c r="G935">
        <v>106998000000</v>
      </c>
      <c r="H935">
        <v>262669000000</v>
      </c>
      <c r="J935">
        <v>380162000000</v>
      </c>
      <c r="K935">
        <v>69543000000</v>
      </c>
      <c r="L935">
        <v>138194000000</v>
      </c>
      <c r="M935">
        <v>149495000000</v>
      </c>
      <c r="N935">
        <v>172425000000</v>
      </c>
      <c r="O935">
        <v>104789000000</v>
      </c>
      <c r="P935">
        <v>39221000000</v>
      </c>
      <c r="Q935">
        <v>32104000000</v>
      </c>
      <c r="R935">
        <v>23117000000</v>
      </c>
      <c r="T935">
        <v>47300000000</v>
      </c>
      <c r="U935">
        <v>15027000000</v>
      </c>
      <c r="V935">
        <f t="shared" si="40"/>
        <v>42770000000</v>
      </c>
      <c r="W935">
        <f t="shared" si="41"/>
        <v>342445000000</v>
      </c>
    </row>
    <row r="936" spans="1:23" x14ac:dyDescent="0.2">
      <c r="A936">
        <f>IF(D936="USD",VLOOKUP(VALUE(RIGHT(E936,4)),'USD RUB'!$E:$F,2,FALSE),1)</f>
        <v>1</v>
      </c>
      <c r="B936" s="4">
        <v>1</v>
      </c>
      <c r="C936">
        <v>1000000</v>
      </c>
      <c r="D936" t="s">
        <v>20</v>
      </c>
      <c r="E936" s="1" t="s">
        <v>952</v>
      </c>
      <c r="F936">
        <v>16143000000</v>
      </c>
      <c r="G936">
        <v>128749000000</v>
      </c>
      <c r="H936">
        <v>219333000000</v>
      </c>
      <c r="J936">
        <v>357871000000</v>
      </c>
      <c r="K936">
        <v>85229000000</v>
      </c>
      <c r="L936">
        <v>104996000000</v>
      </c>
      <c r="M936">
        <v>144709000000</v>
      </c>
      <c r="N936">
        <v>167646000000</v>
      </c>
      <c r="O936">
        <v>56291000000</v>
      </c>
      <c r="P936">
        <v>21900000000</v>
      </c>
      <c r="Q936">
        <v>9844000000</v>
      </c>
      <c r="R936">
        <v>6059000000</v>
      </c>
      <c r="T936">
        <v>26100000000</v>
      </c>
      <c r="U936">
        <v>8338000000</v>
      </c>
      <c r="V936">
        <f t="shared" si="40"/>
        <v>39604000000</v>
      </c>
      <c r="W936">
        <f t="shared" si="41"/>
        <v>327507000000</v>
      </c>
    </row>
    <row r="937" spans="1:23" x14ac:dyDescent="0.2">
      <c r="A937">
        <f>IF(D937="USD",VLOOKUP(VALUE(RIGHT(E937,4)),'USD RUB'!$E:$F,2,FALSE),1)</f>
        <v>1</v>
      </c>
      <c r="B937" s="4">
        <v>1</v>
      </c>
      <c r="C937">
        <v>1000000</v>
      </c>
      <c r="D937" t="s">
        <v>20</v>
      </c>
      <c r="E937" s="1" t="s">
        <v>953</v>
      </c>
      <c r="F937">
        <v>9270000000</v>
      </c>
      <c r="G937">
        <v>129669000000</v>
      </c>
      <c r="H937">
        <v>215277000000</v>
      </c>
      <c r="J937">
        <v>354871000000</v>
      </c>
      <c r="K937">
        <v>93707000000</v>
      </c>
      <c r="L937">
        <v>101703000000</v>
      </c>
      <c r="N937">
        <v>159461000000</v>
      </c>
      <c r="O937">
        <v>168505000000</v>
      </c>
      <c r="P937">
        <v>56871000000</v>
      </c>
      <c r="Q937">
        <v>41501000000</v>
      </c>
      <c r="R937">
        <v>31837000000</v>
      </c>
      <c r="T937">
        <v>69100000000</v>
      </c>
      <c r="V937">
        <f t="shared" si="40"/>
        <v>150880000000</v>
      </c>
      <c r="W937">
        <f t="shared" si="41"/>
        <v>304709000000</v>
      </c>
    </row>
    <row r="938" spans="1:23" x14ac:dyDescent="0.2">
      <c r="A938">
        <f>IF(D938="USD",VLOOKUP(VALUE(RIGHT(E938,4)),'USD RUB'!$E:$F,2,FALSE),1)</f>
        <v>1</v>
      </c>
      <c r="B938" s="4">
        <v>1</v>
      </c>
      <c r="C938">
        <v>1000000</v>
      </c>
      <c r="D938" t="s">
        <v>20</v>
      </c>
      <c r="E938" s="1" t="s">
        <v>954</v>
      </c>
      <c r="F938">
        <v>7304000000</v>
      </c>
      <c r="G938">
        <v>133844000000</v>
      </c>
      <c r="H938">
        <v>203423000000</v>
      </c>
      <c r="J938">
        <v>347198000000</v>
      </c>
      <c r="K938">
        <v>81280000000</v>
      </c>
      <c r="L938">
        <v>117507000000</v>
      </c>
      <c r="N938">
        <v>148411000000</v>
      </c>
      <c r="O938">
        <v>121378000000</v>
      </c>
      <c r="P938">
        <v>42546000000</v>
      </c>
      <c r="Q938">
        <v>30579000000</v>
      </c>
      <c r="R938">
        <v>22936000000</v>
      </c>
      <c r="V938">
        <f t="shared" si="40"/>
        <v>104319000000</v>
      </c>
      <c r="W938">
        <f t="shared" si="41"/>
        <v>311316000000</v>
      </c>
    </row>
    <row r="939" spans="1:23" x14ac:dyDescent="0.2">
      <c r="A939">
        <f>IF(D939="USD",VLOOKUP(VALUE(RIGHT(E939,4)),'USD RUB'!$E:$F,2,FALSE),1)</f>
        <v>1</v>
      </c>
      <c r="B939" s="4">
        <v>1</v>
      </c>
      <c r="C939">
        <v>1000000</v>
      </c>
      <c r="D939" t="s">
        <v>20</v>
      </c>
      <c r="E939" s="1" t="s">
        <v>955</v>
      </c>
      <c r="F939">
        <v>59039000000</v>
      </c>
      <c r="G939">
        <v>134083000000</v>
      </c>
      <c r="H939">
        <v>197301000000</v>
      </c>
      <c r="J939">
        <v>342445000000</v>
      </c>
      <c r="K939">
        <v>83759000000</v>
      </c>
      <c r="L939">
        <v>117796000000</v>
      </c>
      <c r="N939">
        <v>140890000000</v>
      </c>
      <c r="O939">
        <v>42770000000</v>
      </c>
      <c r="P939">
        <v>18451000000</v>
      </c>
      <c r="Q939">
        <v>10960000000</v>
      </c>
      <c r="R939">
        <v>8358000000</v>
      </c>
      <c r="T939">
        <v>35245000000</v>
      </c>
      <c r="V939">
        <f t="shared" si="40"/>
        <v>76529000000</v>
      </c>
      <c r="W939">
        <f t="shared" si="41"/>
        <v>299348000000</v>
      </c>
    </row>
    <row r="940" spans="1:23" x14ac:dyDescent="0.2">
      <c r="A940">
        <f>IF(D940="USD",VLOOKUP(VALUE(RIGHT(E940,4)),'USD RUB'!$E:$F,2,FALSE),1)</f>
        <v>1</v>
      </c>
      <c r="B940" s="4">
        <v>1</v>
      </c>
      <c r="C940">
        <v>1000000</v>
      </c>
      <c r="D940" t="s">
        <v>20</v>
      </c>
      <c r="E940" s="1" t="s">
        <v>956</v>
      </c>
      <c r="F940">
        <v>12387000000</v>
      </c>
      <c r="G940">
        <v>80609000000</v>
      </c>
      <c r="H940">
        <v>239709000000</v>
      </c>
      <c r="J940">
        <v>327507000000</v>
      </c>
      <c r="K940">
        <v>66608000000</v>
      </c>
      <c r="L940">
        <v>120209000000</v>
      </c>
      <c r="N940">
        <v>140690000000</v>
      </c>
      <c r="O940">
        <v>39604000000</v>
      </c>
      <c r="P940">
        <v>11985000000</v>
      </c>
      <c r="Q940">
        <v>8833000000</v>
      </c>
      <c r="R940">
        <v>6258000000</v>
      </c>
      <c r="T940">
        <v>15771000000</v>
      </c>
      <c r="V940">
        <f t="shared" si="40"/>
        <v>37200000000</v>
      </c>
      <c r="W940">
        <f t="shared" si="41"/>
        <v>289669000000</v>
      </c>
    </row>
    <row r="941" spans="1:23" x14ac:dyDescent="0.2">
      <c r="A941">
        <f>IF(D941="USD",VLOOKUP(VALUE(RIGHT(E941,4)),'USD RUB'!$E:$F,2,FALSE),1)</f>
        <v>1</v>
      </c>
      <c r="B941" s="4">
        <v>1</v>
      </c>
      <c r="C941">
        <v>1000000</v>
      </c>
      <c r="D941" t="s">
        <v>20</v>
      </c>
      <c r="E941" s="1" t="s">
        <v>957</v>
      </c>
      <c r="F941">
        <v>6242000000</v>
      </c>
      <c r="G941">
        <v>73691000000</v>
      </c>
      <c r="H941">
        <v>224746000000</v>
      </c>
      <c r="J941">
        <v>304709000000</v>
      </c>
      <c r="K941">
        <v>57230000000</v>
      </c>
      <c r="L941">
        <v>109630000000</v>
      </c>
      <c r="N941">
        <v>137849000000</v>
      </c>
      <c r="O941">
        <v>150880000000</v>
      </c>
      <c r="P941">
        <v>49039000000</v>
      </c>
      <c r="Q941">
        <v>44151000000</v>
      </c>
      <c r="R941">
        <v>33634000000</v>
      </c>
      <c r="T941">
        <v>61950000000</v>
      </c>
      <c r="V941">
        <f t="shared" si="40"/>
        <v>137732000000</v>
      </c>
      <c r="W941">
        <f t="shared" si="41"/>
        <v>240964000000</v>
      </c>
    </row>
    <row r="942" spans="1:23" x14ac:dyDescent="0.2">
      <c r="A942">
        <f>IF(D942="USD",VLOOKUP(VALUE(RIGHT(E942,4)),'USD RUB'!$E:$F,2,FALSE),1)</f>
        <v>1</v>
      </c>
      <c r="B942" s="4">
        <v>1</v>
      </c>
      <c r="C942">
        <v>1000000</v>
      </c>
      <c r="D942" t="s">
        <v>20</v>
      </c>
      <c r="E942" s="1" t="s">
        <v>958</v>
      </c>
      <c r="F942">
        <v>10521000000</v>
      </c>
      <c r="G942">
        <v>86059000000</v>
      </c>
      <c r="H942">
        <v>219870000000</v>
      </c>
      <c r="J942">
        <v>311316000000</v>
      </c>
      <c r="K942">
        <v>105582000000</v>
      </c>
      <c r="L942">
        <v>75286000000</v>
      </c>
      <c r="N942">
        <v>130448000000</v>
      </c>
      <c r="O942">
        <v>104319000000</v>
      </c>
      <c r="P942">
        <v>39397000000</v>
      </c>
      <c r="Q942">
        <v>34401000000</v>
      </c>
      <c r="R942">
        <v>24839000000</v>
      </c>
      <c r="T942">
        <v>48241000000</v>
      </c>
      <c r="V942">
        <f t="shared" si="40"/>
        <v>107315000000</v>
      </c>
      <c r="W942">
        <f t="shared" si="41"/>
        <v>256785000000</v>
      </c>
    </row>
    <row r="943" spans="1:23" x14ac:dyDescent="0.2">
      <c r="A943">
        <f>IF(D943="USD",VLOOKUP(VALUE(RIGHT(E943,4)),'USD RUB'!$E:$F,2,FALSE),1)</f>
        <v>1</v>
      </c>
      <c r="B943" s="4">
        <v>1</v>
      </c>
      <c r="C943">
        <v>1000000</v>
      </c>
      <c r="D943" t="s">
        <v>20</v>
      </c>
      <c r="E943" s="1" t="s">
        <v>959</v>
      </c>
      <c r="F943">
        <v>13530000000</v>
      </c>
      <c r="G943">
        <v>80261000000</v>
      </c>
      <c r="H943">
        <v>212863000000</v>
      </c>
      <c r="J943">
        <v>299348000000</v>
      </c>
      <c r="K943">
        <v>103821000000</v>
      </c>
      <c r="L943">
        <v>73966000000</v>
      </c>
      <c r="N943">
        <v>121561000000</v>
      </c>
      <c r="O943">
        <v>76529000000</v>
      </c>
      <c r="P943">
        <v>30494000000</v>
      </c>
      <c r="Q943">
        <v>22121000000</v>
      </c>
      <c r="R943">
        <v>16191000000</v>
      </c>
      <c r="T943">
        <v>35525000000</v>
      </c>
      <c r="V943">
        <f t="shared" si="40"/>
        <v>66147000000</v>
      </c>
      <c r="W943">
        <f t="shared" si="41"/>
        <v>242411000000</v>
      </c>
    </row>
    <row r="944" spans="1:23" x14ac:dyDescent="0.2">
      <c r="A944">
        <f>IF(D944="USD",VLOOKUP(VALUE(RIGHT(E944,4)),'USD RUB'!$E:$F,2,FALSE),1)</f>
        <v>1</v>
      </c>
      <c r="B944" s="4">
        <v>1</v>
      </c>
      <c r="C944">
        <v>1000000</v>
      </c>
      <c r="D944" t="s">
        <v>20</v>
      </c>
      <c r="E944" s="1" t="s">
        <v>960</v>
      </c>
      <c r="F944">
        <v>16034000000</v>
      </c>
      <c r="G944">
        <v>75122000000</v>
      </c>
      <c r="H944">
        <v>207844000000</v>
      </c>
      <c r="J944">
        <v>289669000000</v>
      </c>
      <c r="K944">
        <v>77772000000</v>
      </c>
      <c r="L944">
        <v>86013000000</v>
      </c>
      <c r="N944">
        <v>125363000000</v>
      </c>
      <c r="O944">
        <v>37200000000</v>
      </c>
      <c r="P944">
        <v>14235000000</v>
      </c>
      <c r="Q944">
        <v>17317000000</v>
      </c>
      <c r="R944">
        <v>12688000000</v>
      </c>
      <c r="T944">
        <v>16191000000</v>
      </c>
      <c r="V944">
        <f t="shared" si="40"/>
        <v>29600000000</v>
      </c>
      <c r="W944">
        <f t="shared" si="41"/>
        <v>232113000000</v>
      </c>
    </row>
    <row r="945" spans="1:23" x14ac:dyDescent="0.2">
      <c r="A945">
        <f>IF(D945="USD",VLOOKUP(VALUE(RIGHT(E945,4)),'USD RUB'!$E:$F,2,FALSE),1)</f>
        <v>1</v>
      </c>
      <c r="B945" s="4">
        <v>1</v>
      </c>
      <c r="C945">
        <v>1000000</v>
      </c>
      <c r="D945" t="s">
        <v>20</v>
      </c>
      <c r="E945" s="1" t="s">
        <v>961</v>
      </c>
      <c r="F945">
        <v>12014000000</v>
      </c>
      <c r="G945">
        <v>65414000000</v>
      </c>
      <c r="H945">
        <v>169534000000</v>
      </c>
      <c r="J945">
        <v>240964000000</v>
      </c>
      <c r="K945">
        <v>43310000000</v>
      </c>
      <c r="L945">
        <v>84557000000</v>
      </c>
      <c r="N945">
        <v>113097000000</v>
      </c>
      <c r="O945">
        <v>137732000000</v>
      </c>
      <c r="P945">
        <v>47263000000</v>
      </c>
      <c r="Q945">
        <v>38313000000</v>
      </c>
      <c r="R945">
        <v>26658000000</v>
      </c>
      <c r="T945">
        <v>65217000000</v>
      </c>
      <c r="V945">
        <f t="shared" si="40"/>
        <v>113394000000</v>
      </c>
      <c r="W945">
        <f t="shared" si="41"/>
        <v>222427000000</v>
      </c>
    </row>
    <row r="946" spans="1:23" x14ac:dyDescent="0.2">
      <c r="A946">
        <f>IF(D946="USD",VLOOKUP(VALUE(RIGHT(E946,4)),'USD RUB'!$E:$F,2,FALSE),1)</f>
        <v>1</v>
      </c>
      <c r="B946" s="4">
        <v>1</v>
      </c>
      <c r="C946">
        <v>1000000</v>
      </c>
      <c r="D946" t="s">
        <v>20</v>
      </c>
      <c r="E946" s="1" t="s">
        <v>962</v>
      </c>
      <c r="F946">
        <v>22749000000</v>
      </c>
      <c r="G946">
        <v>77564000000</v>
      </c>
      <c r="H946">
        <v>173402000000</v>
      </c>
      <c r="J946">
        <v>256785000000</v>
      </c>
      <c r="K946">
        <v>49611000000</v>
      </c>
      <c r="L946">
        <v>84533000000</v>
      </c>
      <c r="N946">
        <v>122641000000</v>
      </c>
      <c r="O946">
        <v>107315000000</v>
      </c>
      <c r="P946">
        <v>50858000000</v>
      </c>
      <c r="Q946">
        <v>43857000000</v>
      </c>
      <c r="R946">
        <v>35528000000</v>
      </c>
      <c r="T946">
        <v>58390000000</v>
      </c>
      <c r="V946">
        <f t="shared" si="40"/>
        <v>90333000000</v>
      </c>
      <c r="W946">
        <f t="shared" si="41"/>
        <v>232112000000</v>
      </c>
    </row>
    <row r="947" spans="1:23" x14ac:dyDescent="0.2">
      <c r="A947">
        <f>IF(D947="USD",VLOOKUP(VALUE(RIGHT(E947,4)),'USD RUB'!$E:$F,2,FALSE),1)</f>
        <v>1</v>
      </c>
      <c r="B947" s="4">
        <v>1</v>
      </c>
      <c r="C947">
        <v>1000000</v>
      </c>
      <c r="D947" t="s">
        <v>20</v>
      </c>
      <c r="E947" s="1" t="s">
        <v>963</v>
      </c>
      <c r="F947">
        <v>13991000000</v>
      </c>
      <c r="G947">
        <v>67187000000</v>
      </c>
      <c r="H947">
        <v>170018000000</v>
      </c>
      <c r="J947">
        <v>242411000000</v>
      </c>
      <c r="K947">
        <v>50474000000</v>
      </c>
      <c r="L947">
        <v>78361000000</v>
      </c>
      <c r="N947">
        <v>113576000000</v>
      </c>
      <c r="O947">
        <v>66147000000</v>
      </c>
      <c r="P947">
        <v>31564000000</v>
      </c>
      <c r="Q947">
        <v>33288000000</v>
      </c>
      <c r="R947">
        <v>26267000000</v>
      </c>
      <c r="T947">
        <v>35879000000</v>
      </c>
      <c r="V947">
        <f t="shared" si="40"/>
        <v>64392000000</v>
      </c>
      <c r="W947">
        <f t="shared" si="41"/>
        <v>232341000000</v>
      </c>
    </row>
    <row r="948" spans="1:23" x14ac:dyDescent="0.2">
      <c r="A948">
        <f>IF(D948="USD",VLOOKUP(VALUE(RIGHT(E948,4)),'USD RUB'!$E:$F,2,FALSE),1)</f>
        <v>1</v>
      </c>
      <c r="B948" s="4">
        <v>1</v>
      </c>
      <c r="C948">
        <v>1000000</v>
      </c>
      <c r="D948" t="s">
        <v>20</v>
      </c>
      <c r="E948" s="1" t="s">
        <v>964</v>
      </c>
      <c r="F948">
        <v>9019000000</v>
      </c>
      <c r="G948">
        <v>57552000000</v>
      </c>
      <c r="H948">
        <v>168921000000</v>
      </c>
      <c r="J948">
        <v>232113000000</v>
      </c>
      <c r="K948">
        <v>35055000000</v>
      </c>
      <c r="L948">
        <v>92882000000</v>
      </c>
      <c r="N948">
        <v>104176000000</v>
      </c>
      <c r="O948">
        <v>29600000000</v>
      </c>
      <c r="P948">
        <v>12138000000</v>
      </c>
      <c r="Q948">
        <v>14647000000</v>
      </c>
      <c r="R948">
        <v>11710000000</v>
      </c>
      <c r="T948">
        <v>14072000000</v>
      </c>
      <c r="V948">
        <f t="shared" si="40"/>
        <v>31082000000</v>
      </c>
      <c r="W948">
        <f t="shared" si="41"/>
        <v>233908000000</v>
      </c>
    </row>
    <row r="949" spans="1:23" x14ac:dyDescent="0.2">
      <c r="A949">
        <f>IF(D949="USD",VLOOKUP(VALUE(RIGHT(E949,4)),'USD RUB'!$E:$F,2,FALSE),1)</f>
        <v>1</v>
      </c>
      <c r="B949" s="4">
        <v>1</v>
      </c>
      <c r="C949">
        <v>1000000</v>
      </c>
      <c r="D949" t="s">
        <v>20</v>
      </c>
      <c r="E949" s="1" t="s">
        <v>965</v>
      </c>
      <c r="F949">
        <v>4136000000</v>
      </c>
      <c r="G949">
        <v>49105000000</v>
      </c>
      <c r="H949">
        <v>168020000000</v>
      </c>
      <c r="J949">
        <v>222427000000</v>
      </c>
      <c r="K949">
        <v>30882000000</v>
      </c>
      <c r="L949">
        <v>98935000000</v>
      </c>
      <c r="N949">
        <v>92610000000</v>
      </c>
      <c r="O949">
        <v>113394000000</v>
      </c>
      <c r="P949">
        <v>27138000000</v>
      </c>
      <c r="Q949">
        <v>15976000000</v>
      </c>
      <c r="R949">
        <v>11788000000</v>
      </c>
      <c r="T949">
        <v>34814000000</v>
      </c>
      <c r="V949" t="str">
        <f t="shared" si="40"/>
        <v/>
      </c>
      <c r="W949" t="str">
        <f t="shared" si="41"/>
        <v/>
      </c>
    </row>
    <row r="950" spans="1:23" x14ac:dyDescent="0.2">
      <c r="A950">
        <f>IF(D950="USD",VLOOKUP(VALUE(RIGHT(E950,4)),'USD RUB'!$E:$F,2,FALSE),1)</f>
        <v>1</v>
      </c>
      <c r="B950" s="4">
        <v>1</v>
      </c>
      <c r="C950">
        <v>1000000</v>
      </c>
      <c r="D950" t="s">
        <v>20</v>
      </c>
      <c r="E950" s="1" t="s">
        <v>966</v>
      </c>
      <c r="F950">
        <v>12485000000</v>
      </c>
      <c r="G950">
        <v>58022000000</v>
      </c>
      <c r="H950">
        <v>167333000000</v>
      </c>
      <c r="J950">
        <v>232112000000</v>
      </c>
      <c r="K950">
        <v>69438000000</v>
      </c>
      <c r="L950">
        <v>69996000000</v>
      </c>
      <c r="N950">
        <v>92678000000</v>
      </c>
      <c r="O950">
        <v>90333000000</v>
      </c>
      <c r="P950">
        <v>23719000000</v>
      </c>
      <c r="Q950">
        <v>14746000000</v>
      </c>
      <c r="R950">
        <v>10989000000</v>
      </c>
      <c r="T950">
        <v>29174000000</v>
      </c>
      <c r="V950" t="str">
        <f t="shared" si="40"/>
        <v/>
      </c>
      <c r="W950" t="str">
        <f t="shared" si="41"/>
        <v/>
      </c>
    </row>
    <row r="951" spans="1:23" x14ac:dyDescent="0.2">
      <c r="A951">
        <f>IF(D951="USD",VLOOKUP(VALUE(RIGHT(E951,4)),'USD RUB'!$E:$F,2,FALSE),1)</f>
        <v>1</v>
      </c>
      <c r="B951" s="4">
        <v>1</v>
      </c>
      <c r="C951">
        <v>1000000</v>
      </c>
      <c r="D951" t="s">
        <v>20</v>
      </c>
      <c r="E951" s="1" t="s">
        <v>967</v>
      </c>
      <c r="F951">
        <v>12948000000</v>
      </c>
      <c r="G951">
        <v>60697000000</v>
      </c>
      <c r="H951">
        <v>165774000000</v>
      </c>
      <c r="J951">
        <v>232341000000</v>
      </c>
      <c r="K951">
        <v>65432000000</v>
      </c>
      <c r="L951">
        <v>80328000000</v>
      </c>
      <c r="N951">
        <v>86581000000</v>
      </c>
      <c r="O951">
        <v>64392000000</v>
      </c>
      <c r="P951">
        <v>15876000000</v>
      </c>
      <c r="Q951">
        <v>6777000000</v>
      </c>
      <c r="R951">
        <v>5015000000</v>
      </c>
      <c r="T951">
        <v>20601000000</v>
      </c>
      <c r="V951" t="str">
        <f t="shared" si="40"/>
        <v/>
      </c>
      <c r="W951" t="str">
        <f t="shared" si="41"/>
        <v/>
      </c>
    </row>
    <row r="952" spans="1:23" x14ac:dyDescent="0.2">
      <c r="A952">
        <f>IF(D952="USD",VLOOKUP(VALUE(RIGHT(E952,4)),'USD RUB'!$E:$F,2,FALSE),1)</f>
        <v>1</v>
      </c>
      <c r="B952" s="4">
        <v>1</v>
      </c>
      <c r="C952">
        <v>1000000</v>
      </c>
      <c r="D952" t="s">
        <v>20</v>
      </c>
      <c r="E952" s="1" t="s">
        <v>968</v>
      </c>
      <c r="F952">
        <v>12495000000</v>
      </c>
      <c r="G952">
        <v>60690000000</v>
      </c>
      <c r="H952">
        <v>167007000000</v>
      </c>
      <c r="J952">
        <v>233908000000</v>
      </c>
      <c r="K952">
        <v>106689000000</v>
      </c>
      <c r="L952">
        <v>36931000000</v>
      </c>
      <c r="N952">
        <v>90288000000</v>
      </c>
      <c r="O952">
        <v>31082000000</v>
      </c>
      <c r="P952">
        <v>10225000000</v>
      </c>
      <c r="Q952">
        <v>9902000000</v>
      </c>
      <c r="R952">
        <v>8465000000</v>
      </c>
      <c r="T952">
        <v>7903000000</v>
      </c>
      <c r="V952" t="str">
        <f t="shared" si="40"/>
        <v/>
      </c>
      <c r="W952" t="str">
        <f t="shared" si="41"/>
        <v/>
      </c>
    </row>
    <row r="953" spans="1:23" x14ac:dyDescent="0.2">
      <c r="A953">
        <f>IF(D953="USD",VLOOKUP(VALUE(RIGHT(E953,4)),'USD RUB'!$E:$F,2,FALSE),1)</f>
        <v>1</v>
      </c>
      <c r="B953" s="4">
        <v>1</v>
      </c>
      <c r="C953">
        <v>1000000</v>
      </c>
      <c r="D953" t="s">
        <v>20</v>
      </c>
      <c r="E953" s="1" t="s">
        <v>969</v>
      </c>
      <c r="F953">
        <v>38394000000</v>
      </c>
      <c r="G953">
        <v>231835000000</v>
      </c>
      <c r="H953">
        <v>575725000000</v>
      </c>
      <c r="I953">
        <v>26037000000</v>
      </c>
      <c r="J953">
        <v>853226000000</v>
      </c>
      <c r="K953">
        <v>242429000000</v>
      </c>
      <c r="L953">
        <v>82490000000</v>
      </c>
      <c r="M953">
        <v>440505000000</v>
      </c>
      <c r="N953">
        <v>528307000000</v>
      </c>
      <c r="O953">
        <v>712896000000</v>
      </c>
      <c r="P953">
        <v>90230000000</v>
      </c>
      <c r="Q953">
        <v>37344000000</v>
      </c>
      <c r="R953">
        <v>31991000000</v>
      </c>
      <c r="S953">
        <v>44338000000</v>
      </c>
      <c r="T953">
        <v>137612000000</v>
      </c>
      <c r="U953">
        <v>-173489000000</v>
      </c>
      <c r="V953">
        <f t="shared" si="40"/>
        <v>829779000000</v>
      </c>
      <c r="W953">
        <f t="shared" si="41"/>
        <v>861780000000</v>
      </c>
    </row>
    <row r="954" spans="1:23" x14ac:dyDescent="0.2">
      <c r="A954">
        <f>IF(D954="USD",VLOOKUP(VALUE(RIGHT(E954,4)),'USD RUB'!$E:$F,2,FALSE),1)</f>
        <v>1</v>
      </c>
      <c r="B954" s="4">
        <v>1</v>
      </c>
      <c r="C954">
        <v>1000000</v>
      </c>
      <c r="D954" t="s">
        <v>20</v>
      </c>
      <c r="E954" s="1" t="s">
        <v>970</v>
      </c>
      <c r="F954">
        <v>72188000000</v>
      </c>
      <c r="G954">
        <v>273470000000</v>
      </c>
      <c r="H954">
        <v>566885000000</v>
      </c>
      <c r="I954">
        <v>25869000000</v>
      </c>
      <c r="J954">
        <v>880722000000</v>
      </c>
      <c r="K954">
        <v>253493000000</v>
      </c>
      <c r="L954">
        <v>81041000000</v>
      </c>
      <c r="M954">
        <v>458425000000</v>
      </c>
      <c r="N954">
        <v>546188000000</v>
      </c>
      <c r="O954">
        <v>543328000000</v>
      </c>
      <c r="P954">
        <v>79296000000</v>
      </c>
      <c r="Q954">
        <v>62805000000</v>
      </c>
      <c r="R954">
        <v>49739000000</v>
      </c>
      <c r="S954">
        <v>31601000000</v>
      </c>
      <c r="T954">
        <v>114154000000</v>
      </c>
      <c r="U954">
        <v>-127323000000</v>
      </c>
      <c r="V954">
        <f t="shared" si="40"/>
        <v>628278000000</v>
      </c>
      <c r="W954">
        <f t="shared" si="41"/>
        <v>865527000000</v>
      </c>
    </row>
    <row r="955" spans="1:23" x14ac:dyDescent="0.2">
      <c r="A955">
        <f>IF(D955="USD",VLOOKUP(VALUE(RIGHT(E955,4)),'USD RUB'!$E:$F,2,FALSE),1)</f>
        <v>1</v>
      </c>
      <c r="B955" s="4">
        <v>1</v>
      </c>
      <c r="C955">
        <v>1000000</v>
      </c>
      <c r="D955" t="s">
        <v>20</v>
      </c>
      <c r="E955" s="1" t="s">
        <v>971</v>
      </c>
      <c r="F955">
        <v>95651000000</v>
      </c>
      <c r="G955">
        <v>310074000000</v>
      </c>
      <c r="H955">
        <v>533323000000</v>
      </c>
      <c r="I955">
        <v>25165000000</v>
      </c>
      <c r="J955">
        <v>884110000000</v>
      </c>
      <c r="K955">
        <v>277505000000</v>
      </c>
      <c r="L955">
        <v>73365000000</v>
      </c>
      <c r="M955">
        <v>445431000000</v>
      </c>
      <c r="N955">
        <v>533240000000</v>
      </c>
      <c r="O955">
        <v>364210000000</v>
      </c>
      <c r="P955">
        <v>56038000000</v>
      </c>
      <c r="Q955">
        <v>46396000000</v>
      </c>
      <c r="R955">
        <v>36746000000</v>
      </c>
      <c r="S955">
        <v>20164000000</v>
      </c>
      <c r="T955">
        <v>78654000000</v>
      </c>
      <c r="U955">
        <v>-87115000000</v>
      </c>
      <c r="V955">
        <f t="shared" si="40"/>
        <v>409138000000</v>
      </c>
      <c r="W955">
        <f t="shared" si="41"/>
        <v>882624000000</v>
      </c>
    </row>
    <row r="956" spans="1:23" x14ac:dyDescent="0.2">
      <c r="A956">
        <f>IF(D956="USD",VLOOKUP(VALUE(RIGHT(E956,4)),'USD RUB'!$E:$F,2,FALSE),1)</f>
        <v>1</v>
      </c>
      <c r="B956" s="4">
        <v>1</v>
      </c>
      <c r="C956">
        <v>1000000</v>
      </c>
      <c r="D956" t="s">
        <v>20</v>
      </c>
      <c r="E956" s="1" t="s">
        <v>972</v>
      </c>
      <c r="F956">
        <v>95866000000</v>
      </c>
      <c r="G956">
        <v>331529000000</v>
      </c>
      <c r="H956">
        <v>496526000000</v>
      </c>
      <c r="I956">
        <v>24410000000</v>
      </c>
      <c r="J956">
        <v>867864000000</v>
      </c>
      <c r="K956">
        <v>241610000000</v>
      </c>
      <c r="L956">
        <v>108716000000</v>
      </c>
      <c r="M956">
        <v>429754000000</v>
      </c>
      <c r="N956">
        <v>517538000000</v>
      </c>
      <c r="O956">
        <v>178733000000</v>
      </c>
      <c r="P956">
        <v>28355000000</v>
      </c>
      <c r="Q956">
        <v>25133000000</v>
      </c>
      <c r="R956">
        <v>21072000000</v>
      </c>
      <c r="S956">
        <v>9495000000</v>
      </c>
      <c r="T956">
        <v>39363000000</v>
      </c>
      <c r="U956">
        <v>-43591000000</v>
      </c>
      <c r="V956">
        <f t="shared" si="40"/>
        <v>188706000000</v>
      </c>
      <c r="W956">
        <f t="shared" si="41"/>
        <v>1053515000000</v>
      </c>
    </row>
    <row r="957" spans="1:23" x14ac:dyDescent="0.2">
      <c r="A957">
        <f>IF(D957="USD",VLOOKUP(VALUE(RIGHT(E957,4)),'USD RUB'!$E:$F,2,FALSE),1)</f>
        <v>1</v>
      </c>
      <c r="B957" s="4">
        <v>1</v>
      </c>
      <c r="C957">
        <v>1000000</v>
      </c>
      <c r="D957" t="s">
        <v>20</v>
      </c>
      <c r="E957" s="1" t="s">
        <v>973</v>
      </c>
      <c r="F957">
        <v>128571000000</v>
      </c>
      <c r="G957">
        <v>354085000000</v>
      </c>
      <c r="H957">
        <v>468286000000</v>
      </c>
      <c r="I957">
        <v>23745000000</v>
      </c>
      <c r="J957">
        <v>861780000000</v>
      </c>
      <c r="K957">
        <v>245959000000</v>
      </c>
      <c r="L957">
        <v>119297000000</v>
      </c>
      <c r="M957">
        <v>408674000000</v>
      </c>
      <c r="N957">
        <v>496524000000</v>
      </c>
      <c r="O957">
        <v>829779000000</v>
      </c>
      <c r="P957">
        <v>192234000000</v>
      </c>
      <c r="Q957">
        <v>189140000000</v>
      </c>
      <c r="R957">
        <v>149554000000</v>
      </c>
      <c r="S957">
        <v>40800000000</v>
      </c>
      <c r="T957">
        <v>237880000000</v>
      </c>
      <c r="U957">
        <v>-118460000000</v>
      </c>
      <c r="V957">
        <f t="shared" si="40"/>
        <v>728314000000</v>
      </c>
      <c r="W957">
        <f t="shared" si="41"/>
        <v>994115000000</v>
      </c>
    </row>
    <row r="958" spans="1:23" x14ac:dyDescent="0.2">
      <c r="A958">
        <f>IF(D958="USD",VLOOKUP(VALUE(RIGHT(E958,4)),'USD RUB'!$E:$F,2,FALSE),1)</f>
        <v>1</v>
      </c>
      <c r="B958" s="4">
        <v>1</v>
      </c>
      <c r="C958">
        <v>1000000</v>
      </c>
      <c r="D958" t="s">
        <v>20</v>
      </c>
      <c r="E958" s="1" t="s">
        <v>974</v>
      </c>
      <c r="F958">
        <v>170014000000</v>
      </c>
      <c r="G958">
        <v>393741000000</v>
      </c>
      <c r="H958">
        <v>433087000000</v>
      </c>
      <c r="I958">
        <v>21402000000</v>
      </c>
      <c r="J958">
        <v>865527000000</v>
      </c>
      <c r="K958">
        <v>233939000000</v>
      </c>
      <c r="L958">
        <v>119874000000</v>
      </c>
      <c r="M958">
        <v>423794000000</v>
      </c>
      <c r="N958">
        <v>511714000000</v>
      </c>
      <c r="O958">
        <v>628278000000</v>
      </c>
      <c r="P958">
        <v>160864000000</v>
      </c>
      <c r="Q958">
        <v>154960000000</v>
      </c>
      <c r="R958">
        <v>118332000000</v>
      </c>
      <c r="S958">
        <v>27261000000</v>
      </c>
      <c r="T958">
        <v>191408000000</v>
      </c>
      <c r="U958">
        <v>-71758000000</v>
      </c>
      <c r="V958" t="str">
        <f t="shared" si="40"/>
        <v/>
      </c>
      <c r="W958" t="str">
        <f t="shared" si="41"/>
        <v/>
      </c>
    </row>
    <row r="959" spans="1:23" x14ac:dyDescent="0.2">
      <c r="A959">
        <f>IF(D959="USD",VLOOKUP(VALUE(RIGHT(E959,4)),'USD RUB'!$E:$F,2,FALSE),1)</f>
        <v>1</v>
      </c>
      <c r="B959" s="4">
        <v>1</v>
      </c>
      <c r="C959">
        <v>1000000</v>
      </c>
      <c r="D959" t="s">
        <v>20</v>
      </c>
      <c r="E959" s="1" t="s">
        <v>975</v>
      </c>
      <c r="F959">
        <v>200053000000</v>
      </c>
      <c r="G959">
        <v>433796000000</v>
      </c>
      <c r="H959">
        <v>410587000000</v>
      </c>
      <c r="I959">
        <v>20815000000</v>
      </c>
      <c r="J959">
        <v>882624000000</v>
      </c>
      <c r="K959">
        <v>273458000000</v>
      </c>
      <c r="L959">
        <v>106446000000</v>
      </c>
      <c r="M959">
        <v>414708000000</v>
      </c>
      <c r="N959">
        <v>502720000000</v>
      </c>
      <c r="O959">
        <v>409138000000</v>
      </c>
      <c r="P959">
        <v>107007000000</v>
      </c>
      <c r="Q959">
        <v>98764000000</v>
      </c>
      <c r="R959">
        <v>83318000000</v>
      </c>
      <c r="S959">
        <v>17637000000</v>
      </c>
      <c r="T959">
        <v>126557000000</v>
      </c>
      <c r="U959">
        <v>-39757000000</v>
      </c>
      <c r="V959">
        <f t="shared" si="40"/>
        <v>339429000000</v>
      </c>
      <c r="W959">
        <f t="shared" si="41"/>
        <v>867680000000</v>
      </c>
    </row>
    <row r="960" spans="1:23" x14ac:dyDescent="0.2">
      <c r="A960">
        <f>IF(D960="USD",VLOOKUP(VALUE(RIGHT(E960,4)),'USD RUB'!$E:$F,2,FALSE),1)</f>
        <v>1</v>
      </c>
      <c r="B960" s="4">
        <v>1</v>
      </c>
      <c r="C960">
        <v>1000000</v>
      </c>
      <c r="D960" t="s">
        <v>20</v>
      </c>
      <c r="E960" s="1" t="s">
        <v>976</v>
      </c>
      <c r="F960">
        <v>403466000000</v>
      </c>
      <c r="G960">
        <v>624324000000</v>
      </c>
      <c r="H960">
        <v>394147000000</v>
      </c>
      <c r="I960">
        <v>16747000000</v>
      </c>
      <c r="J960">
        <v>1053515000000</v>
      </c>
      <c r="K960">
        <v>289541000000</v>
      </c>
      <c r="L960">
        <v>104640000000</v>
      </c>
      <c r="M960">
        <v>571181000000</v>
      </c>
      <c r="N960">
        <v>659334000000</v>
      </c>
      <c r="O960">
        <v>188706000000</v>
      </c>
      <c r="P960">
        <v>55705000000</v>
      </c>
      <c r="Q960">
        <v>56806000000</v>
      </c>
      <c r="R960">
        <v>47416000000</v>
      </c>
      <c r="S960">
        <v>8490000000</v>
      </c>
      <c r="T960">
        <v>65343000000</v>
      </c>
      <c r="U960">
        <v>-18192000000</v>
      </c>
      <c r="V960" t="str">
        <f t="shared" si="40"/>
        <v/>
      </c>
      <c r="W960" t="str">
        <f t="shared" si="41"/>
        <v/>
      </c>
    </row>
    <row r="961" spans="1:23" x14ac:dyDescent="0.2">
      <c r="A961">
        <f>IF(D961="USD",VLOOKUP(VALUE(RIGHT(E961,4)),'USD RUB'!$E:$F,2,FALSE),1)</f>
        <v>1</v>
      </c>
      <c r="B961" s="4">
        <v>1</v>
      </c>
      <c r="C961">
        <v>1000000</v>
      </c>
      <c r="D961" t="s">
        <v>20</v>
      </c>
      <c r="E961" s="1" t="s">
        <v>977</v>
      </c>
      <c r="F961">
        <v>373568000000</v>
      </c>
      <c r="G961">
        <v>568769000000</v>
      </c>
      <c r="H961">
        <v>386361000000</v>
      </c>
      <c r="I961">
        <v>16846000000</v>
      </c>
      <c r="J961">
        <v>994115000000</v>
      </c>
      <c r="K961">
        <v>279226000000</v>
      </c>
      <c r="L961">
        <v>101061000000</v>
      </c>
      <c r="M961">
        <v>523813000000</v>
      </c>
      <c r="N961">
        <v>613828000000</v>
      </c>
      <c r="O961">
        <v>728314000000</v>
      </c>
      <c r="P961">
        <v>223700000000</v>
      </c>
      <c r="Q961">
        <v>239346000000</v>
      </c>
      <c r="R961">
        <v>193875000000</v>
      </c>
      <c r="S961">
        <v>34734000000</v>
      </c>
      <c r="T961">
        <v>262229000000</v>
      </c>
      <c r="U961">
        <v>-72629000000</v>
      </c>
      <c r="V961">
        <f t="shared" si="40"/>
        <v>682226000000</v>
      </c>
      <c r="W961">
        <f t="shared" si="41"/>
        <v>729835000000</v>
      </c>
    </row>
    <row r="962" spans="1:23" x14ac:dyDescent="0.2">
      <c r="A962">
        <f>IF(D962="USD",VLOOKUP(VALUE(RIGHT(E962,4)),'USD RUB'!$E:$F,2,FALSE),1)</f>
        <v>1</v>
      </c>
      <c r="B962" s="4">
        <v>1</v>
      </c>
      <c r="C962">
        <v>1000000</v>
      </c>
      <c r="D962" t="s">
        <v>20</v>
      </c>
      <c r="E962" s="1" t="s">
        <v>978</v>
      </c>
      <c r="F962">
        <v>300746000000</v>
      </c>
      <c r="G962">
        <v>480129000000</v>
      </c>
      <c r="H962">
        <v>352256000000</v>
      </c>
      <c r="I962">
        <v>16101000000</v>
      </c>
      <c r="J962">
        <v>867680000000</v>
      </c>
      <c r="K962">
        <v>206282000000</v>
      </c>
      <c r="L962">
        <v>136733000000</v>
      </c>
      <c r="M962">
        <v>434685000000</v>
      </c>
      <c r="N962">
        <v>524665000000</v>
      </c>
      <c r="O962">
        <v>339429000000</v>
      </c>
      <c r="P962">
        <v>99637000000</v>
      </c>
      <c r="Q962">
        <v>122818000000</v>
      </c>
      <c r="R962">
        <v>105273000000</v>
      </c>
      <c r="S962">
        <v>17248000000</v>
      </c>
      <c r="T962">
        <v>118462000000</v>
      </c>
      <c r="U962">
        <v>-24862000000</v>
      </c>
      <c r="V962" t="str">
        <f t="shared" si="40"/>
        <v/>
      </c>
      <c r="W962" t="str">
        <f t="shared" si="41"/>
        <v/>
      </c>
    </row>
    <row r="963" spans="1:23" x14ac:dyDescent="0.2">
      <c r="A963">
        <f>IF(D963="USD",VLOOKUP(VALUE(RIGHT(E963,4)),'USD RUB'!$E:$F,2,FALSE),1)</f>
        <v>1</v>
      </c>
      <c r="B963" s="4">
        <v>1</v>
      </c>
      <c r="C963">
        <v>1000000</v>
      </c>
      <c r="D963" t="s">
        <v>20</v>
      </c>
      <c r="E963" s="1" t="s">
        <v>979</v>
      </c>
      <c r="F963">
        <v>186219000000</v>
      </c>
      <c r="G963">
        <v>341404000000</v>
      </c>
      <c r="H963">
        <v>345546000000</v>
      </c>
      <c r="I963">
        <v>16942000000</v>
      </c>
      <c r="J963">
        <v>729835000000</v>
      </c>
      <c r="K963">
        <v>152020000000</v>
      </c>
      <c r="L963">
        <v>149538000000</v>
      </c>
      <c r="M963">
        <v>326954000000</v>
      </c>
      <c r="N963">
        <v>428277000000</v>
      </c>
      <c r="O963">
        <v>682226000000</v>
      </c>
      <c r="P963">
        <v>174821000000</v>
      </c>
      <c r="Q963">
        <v>137455000000</v>
      </c>
      <c r="R963">
        <v>108361000000</v>
      </c>
      <c r="S963">
        <v>36336000000</v>
      </c>
      <c r="T963">
        <v>214298000000</v>
      </c>
      <c r="U963">
        <v>-67870000000</v>
      </c>
      <c r="V963">
        <f t="shared" si="40"/>
        <v>858602663064.00012</v>
      </c>
      <c r="W963">
        <f t="shared" si="41"/>
        <v>639488561904.00012</v>
      </c>
    </row>
    <row r="964" spans="1:23" x14ac:dyDescent="0.2">
      <c r="A964">
        <f>IF(D964="USD",VLOOKUP(VALUE(RIGHT(E964,4)),'USD RUB'!$E:$F,2,FALSE),1)</f>
        <v>73.77579163636365</v>
      </c>
      <c r="B964" s="4">
        <v>73.77579163636365</v>
      </c>
      <c r="C964">
        <v>1000000</v>
      </c>
      <c r="D964" t="s">
        <v>111</v>
      </c>
      <c r="E964" s="1" t="s">
        <v>980</v>
      </c>
      <c r="F964">
        <v>30838280904.000004</v>
      </c>
      <c r="G964">
        <v>235270999528.36368</v>
      </c>
      <c r="H964">
        <v>365632823349.81824</v>
      </c>
      <c r="I964">
        <v>19698136366.909096</v>
      </c>
      <c r="J964">
        <v>639488561904.00012</v>
      </c>
      <c r="K964">
        <v>193366349878.90912</v>
      </c>
      <c r="L964">
        <v>135599905027.63638</v>
      </c>
      <c r="M964">
        <v>270978482680.36368</v>
      </c>
      <c r="N964">
        <v>310522306997.45459</v>
      </c>
      <c r="O964">
        <v>858602663064.00012</v>
      </c>
      <c r="P964">
        <v>397725292711.63641</v>
      </c>
      <c r="Q964">
        <v>370870904556.00006</v>
      </c>
      <c r="R964">
        <v>300636350918.18188</v>
      </c>
      <c r="S964">
        <v>40798012774.909096</v>
      </c>
      <c r="T964">
        <v>441031682402.18188</v>
      </c>
      <c r="U964">
        <v>-78792545467.636383</v>
      </c>
      <c r="V964">
        <f t="shared" si="40"/>
        <v>487573181535.88879</v>
      </c>
      <c r="W964">
        <f t="shared" si="41"/>
        <v>534711039537.28253</v>
      </c>
    </row>
    <row r="965" spans="1:23" x14ac:dyDescent="0.2">
      <c r="A965">
        <f>IF(D965="USD",VLOOKUP(VALUE(RIGHT(E965,4)),'USD RUB'!$E:$F,2,FALSE),1)</f>
        <v>73.77579163636365</v>
      </c>
      <c r="B965" s="4">
        <v>73.77579163636365</v>
      </c>
      <c r="C965">
        <v>1000000</v>
      </c>
      <c r="D965" t="s">
        <v>111</v>
      </c>
      <c r="E965" s="1" t="s">
        <v>981</v>
      </c>
      <c r="F965">
        <v>20730997449.818184</v>
      </c>
      <c r="G965">
        <v>216015517911.27277</v>
      </c>
      <c r="H965">
        <v>384002995467.27277</v>
      </c>
      <c r="I965">
        <v>19919463741.818184</v>
      </c>
      <c r="J965">
        <v>639562337695.63647</v>
      </c>
      <c r="K965">
        <v>130214272238.18184</v>
      </c>
      <c r="L965">
        <v>192628591962.5455</v>
      </c>
      <c r="M965">
        <v>263305800350.18185</v>
      </c>
      <c r="N965">
        <v>316719473494.90912</v>
      </c>
      <c r="O965">
        <v>604666388251.63647</v>
      </c>
      <c r="P965">
        <v>302775848875.63641</v>
      </c>
      <c r="Q965">
        <v>281380869301.09094</v>
      </c>
      <c r="R965">
        <v>228483626697.81824</v>
      </c>
      <c r="S965">
        <v>30026747196.000004</v>
      </c>
      <c r="T965">
        <v>334351887696.00006</v>
      </c>
      <c r="U965">
        <v>-57471341684.72728</v>
      </c>
      <c r="V965">
        <f t="shared" si="40"/>
        <v>378982594544.94794</v>
      </c>
      <c r="W965">
        <f t="shared" si="41"/>
        <v>490971155962.36963</v>
      </c>
    </row>
    <row r="966" spans="1:23" x14ac:dyDescent="0.2">
      <c r="A966">
        <f>IF(D966="USD",VLOOKUP(VALUE(RIGHT(E966,4)),'USD RUB'!$E:$F,2,FALSE),1)</f>
        <v>73.77579163636365</v>
      </c>
      <c r="B966" s="4">
        <v>73.77579163636365</v>
      </c>
      <c r="C966">
        <v>1000000</v>
      </c>
      <c r="D966" t="s">
        <v>111</v>
      </c>
      <c r="E966" s="1" t="s">
        <v>982</v>
      </c>
      <c r="F966">
        <v>57766444851.272736</v>
      </c>
      <c r="G966">
        <v>233426604737.45459</v>
      </c>
      <c r="H966">
        <v>376108985762.18188</v>
      </c>
      <c r="I966">
        <v>19255481617.090912</v>
      </c>
      <c r="J966">
        <v>645021746276.72742</v>
      </c>
      <c r="K966">
        <v>155666920352.72729</v>
      </c>
      <c r="L966">
        <v>191374403504.72729</v>
      </c>
      <c r="M966">
        <v>249067072564.36368</v>
      </c>
      <c r="N966">
        <v>297980422419.27277</v>
      </c>
      <c r="O966">
        <v>381051963801.81824</v>
      </c>
      <c r="P966">
        <v>186431425465.09094</v>
      </c>
      <c r="Q966">
        <v>170643406054.90912</v>
      </c>
      <c r="R966">
        <v>137222972443.63638</v>
      </c>
      <c r="S966">
        <v>19919463741.818184</v>
      </c>
      <c r="T966">
        <v>207236198706.5455</v>
      </c>
      <c r="U966">
        <v>-40650461191.636368</v>
      </c>
      <c r="V966">
        <f t="shared" si="40"/>
        <v>243425104126.82941</v>
      </c>
      <c r="W966">
        <f t="shared" si="41"/>
        <v>522926575036.93408</v>
      </c>
    </row>
    <row r="967" spans="1:23" x14ac:dyDescent="0.2">
      <c r="A967">
        <f>IF(D967="USD",VLOOKUP(VALUE(RIGHT(E967,4)),'USD RUB'!$E:$F,2,FALSE),1)</f>
        <v>73.77579163636365</v>
      </c>
      <c r="B967" s="4">
        <v>73.77579163636365</v>
      </c>
      <c r="C967">
        <v>1000000</v>
      </c>
      <c r="D967" t="s">
        <v>111</v>
      </c>
      <c r="E967" s="1" t="s">
        <v>983</v>
      </c>
      <c r="F967">
        <v>67947504097.090919</v>
      </c>
      <c r="G967">
        <v>212179176746.18185</v>
      </c>
      <c r="H967">
        <v>348443063898.54553</v>
      </c>
      <c r="I967">
        <v>18075068950.909096</v>
      </c>
      <c r="J967">
        <v>592419606840.00012</v>
      </c>
      <c r="K967">
        <v>157437539352.00003</v>
      </c>
      <c r="L967">
        <v>185841219132.00003</v>
      </c>
      <c r="M967">
        <v>222360235992.00003</v>
      </c>
      <c r="N967">
        <v>249140848356.00003</v>
      </c>
      <c r="O967">
        <v>163708481641.09094</v>
      </c>
      <c r="P967">
        <v>75325083260.72728</v>
      </c>
      <c r="Q967">
        <v>65439127181.454559</v>
      </c>
      <c r="R967">
        <v>53192345769.818192</v>
      </c>
      <c r="S967">
        <v>9812180287.6363659</v>
      </c>
      <c r="T967">
        <v>85727469881.454559</v>
      </c>
      <c r="U967">
        <v>-20509670074.909096</v>
      </c>
      <c r="V967">
        <f t="shared" si="40"/>
        <v>128472352252.26488</v>
      </c>
      <c r="W967">
        <f t="shared" si="41"/>
        <v>503984675042.50897</v>
      </c>
    </row>
    <row r="968" spans="1:23" x14ac:dyDescent="0.2">
      <c r="A968">
        <f>IF(D968="USD",VLOOKUP(VALUE(RIGHT(E968,4)),'USD RUB'!$E:$F,2,FALSE),1)</f>
        <v>72.297328222996555</v>
      </c>
      <c r="B968" s="4">
        <v>72.297328222996555</v>
      </c>
      <c r="C968">
        <v>1000000</v>
      </c>
      <c r="D968" t="s">
        <v>111</v>
      </c>
      <c r="E968" s="1" t="s">
        <v>984</v>
      </c>
      <c r="F968">
        <v>42149342354.006989</v>
      </c>
      <c r="G968">
        <v>161078447280.83633</v>
      </c>
      <c r="H968">
        <v>343123119746.34167</v>
      </c>
      <c r="I968">
        <v>18218926712.195133</v>
      </c>
      <c r="J968">
        <v>534711039537.28253</v>
      </c>
      <c r="K968">
        <v>127966270954.7039</v>
      </c>
      <c r="L968">
        <v>208360899938.67606</v>
      </c>
      <c r="M968">
        <v>164837908348.43216</v>
      </c>
      <c r="N968">
        <v>198383868643.90256</v>
      </c>
      <c r="O968">
        <v>487573181535.88879</v>
      </c>
      <c r="P968">
        <v>139533843470.38336</v>
      </c>
      <c r="Q968">
        <v>94637202643.902496</v>
      </c>
      <c r="R968">
        <v>73454085474.564499</v>
      </c>
      <c r="S968">
        <v>33256770982.578415</v>
      </c>
      <c r="T968">
        <v>175104128956.09766</v>
      </c>
      <c r="U968">
        <v>-95938554551.916428</v>
      </c>
      <c r="V968">
        <f t="shared" si="40"/>
        <v>527668937718.74963</v>
      </c>
      <c r="W968">
        <f t="shared" si="41"/>
        <v>531873728812.49963</v>
      </c>
    </row>
    <row r="969" spans="1:23" x14ac:dyDescent="0.2">
      <c r="A969">
        <f>IF(D969="USD",VLOOKUP(VALUE(RIGHT(E969,4)),'USD RUB'!$E:$F,2,FALSE),1)</f>
        <v>72.297328222996555</v>
      </c>
      <c r="B969" s="4">
        <v>72.297328222996555</v>
      </c>
      <c r="C969">
        <v>1000000</v>
      </c>
      <c r="D969" t="s">
        <v>111</v>
      </c>
      <c r="E969" s="1" t="s">
        <v>985</v>
      </c>
      <c r="F969">
        <v>56464213342.160309</v>
      </c>
      <c r="G969">
        <v>159343311403.48441</v>
      </c>
      <c r="H969">
        <v>303431886551.91656</v>
      </c>
      <c r="I969">
        <v>15905412209.059242</v>
      </c>
      <c r="J969">
        <v>490971155962.36963</v>
      </c>
      <c r="K969">
        <v>113795994622.99658</v>
      </c>
      <c r="L969">
        <v>192744677042.50882</v>
      </c>
      <c r="M969">
        <v>166428449569.33807</v>
      </c>
      <c r="N969">
        <v>184430484296.8642</v>
      </c>
      <c r="O969">
        <v>378982594544.94794</v>
      </c>
      <c r="P969">
        <v>97239906459.930359</v>
      </c>
      <c r="Q969">
        <v>54656780136.585396</v>
      </c>
      <c r="R969">
        <v>45547316780.487831</v>
      </c>
      <c r="S969">
        <v>24653388924.041824</v>
      </c>
      <c r="T969">
        <v>123773025917.7701</v>
      </c>
      <c r="U969">
        <v>-73454085474.564499</v>
      </c>
      <c r="V969">
        <f t="shared" si="40"/>
        <v>408770383406.24969</v>
      </c>
      <c r="W969">
        <f t="shared" si="41"/>
        <v>504380863968.74963</v>
      </c>
    </row>
    <row r="970" spans="1:23" x14ac:dyDescent="0.2">
      <c r="A970">
        <f>IF(D970="USD",VLOOKUP(VALUE(RIGHT(E970,4)),'USD RUB'!$E:$F,2,FALSE),1)</f>
        <v>72.297328222996555</v>
      </c>
      <c r="B970" s="4">
        <v>72.297328222996555</v>
      </c>
      <c r="C970">
        <v>1000000</v>
      </c>
      <c r="D970" t="s">
        <v>111</v>
      </c>
      <c r="E970" s="1" t="s">
        <v>986</v>
      </c>
      <c r="F970">
        <v>42221639682.229988</v>
      </c>
      <c r="G970">
        <v>164259529722.64816</v>
      </c>
      <c r="H970">
        <v>327868383491.28937</v>
      </c>
      <c r="I970">
        <v>18797305337.979103</v>
      </c>
      <c r="J970">
        <v>522926575036.93408</v>
      </c>
      <c r="K970">
        <v>76635167916.376343</v>
      </c>
      <c r="L970">
        <v>235689290006.96878</v>
      </c>
      <c r="M970">
        <v>166645341554.00705</v>
      </c>
      <c r="N970">
        <v>210602117113.58896</v>
      </c>
      <c r="O970">
        <v>243425104126.82941</v>
      </c>
      <c r="P970">
        <v>58343943875.958221</v>
      </c>
      <c r="Q970">
        <v>39980422507.317093</v>
      </c>
      <c r="R970">
        <v>33473662967.247406</v>
      </c>
      <c r="S970">
        <v>16483790834.843214</v>
      </c>
      <c r="T970">
        <v>76345978603.48436</v>
      </c>
      <c r="U970">
        <v>-48800696550.522675</v>
      </c>
      <c r="V970">
        <f t="shared" si="40"/>
        <v>272211706499.99982</v>
      </c>
      <c r="W970">
        <f t="shared" si="41"/>
        <v>456446245499.99969</v>
      </c>
    </row>
    <row r="971" spans="1:23" x14ac:dyDescent="0.2">
      <c r="A971">
        <f>IF(D971="USD",VLOOKUP(VALUE(RIGHT(E971,4)),'USD RUB'!$E:$F,2,FALSE),1)</f>
        <v>72.297328222996555</v>
      </c>
      <c r="B971" s="4">
        <v>72.297328222996555</v>
      </c>
      <c r="C971">
        <v>1000000</v>
      </c>
      <c r="D971" t="s">
        <v>111</v>
      </c>
      <c r="E971" s="1" t="s">
        <v>987</v>
      </c>
      <c r="F971">
        <v>75333816008.362411</v>
      </c>
      <c r="G971">
        <v>192816974370.73181</v>
      </c>
      <c r="H971">
        <v>282754850680.13953</v>
      </c>
      <c r="I971">
        <v>16917574804.181194</v>
      </c>
      <c r="J971">
        <v>503984675042.50897</v>
      </c>
      <c r="K971">
        <v>70056111048.083664</v>
      </c>
      <c r="L971">
        <v>228965638482.2301</v>
      </c>
      <c r="M971">
        <v>184719673609.7562</v>
      </c>
      <c r="N971">
        <v>204962925512.19522</v>
      </c>
      <c r="O971">
        <v>128472352252.26488</v>
      </c>
      <c r="P971">
        <v>30726364494.773537</v>
      </c>
      <c r="Q971">
        <v>3687163739.3728242</v>
      </c>
      <c r="R971">
        <v>5205407632.0557518</v>
      </c>
      <c r="S971">
        <v>8531084730.3135939</v>
      </c>
      <c r="T971">
        <v>40125017163.763084</v>
      </c>
      <c r="U971">
        <v>-24870280908.710815</v>
      </c>
      <c r="V971">
        <f t="shared" si="40"/>
        <v>131383549406.24991</v>
      </c>
      <c r="W971">
        <f t="shared" si="41"/>
        <v>437298273749.99969</v>
      </c>
    </row>
    <row r="972" spans="1:23" x14ac:dyDescent="0.2">
      <c r="A972">
        <f>IF(D972="USD",VLOOKUP(VALUE(RIGHT(E972,4)),'USD RUB'!$E:$F,2,FALSE),1)</f>
        <v>64.689093749999955</v>
      </c>
      <c r="B972" s="4">
        <v>64.689093749999955</v>
      </c>
      <c r="C972">
        <v>1000000</v>
      </c>
      <c r="D972" t="s">
        <v>111</v>
      </c>
      <c r="E972" s="1" t="s">
        <v>988</v>
      </c>
      <c r="F972">
        <v>69928910343.749954</v>
      </c>
      <c r="G972">
        <v>200212745156.24985</v>
      </c>
      <c r="H972">
        <v>302098067812.49982</v>
      </c>
      <c r="I972">
        <v>18048257156.249989</v>
      </c>
      <c r="J972">
        <v>531873728812.49963</v>
      </c>
      <c r="K972">
        <v>102596902687.49992</v>
      </c>
      <c r="L972">
        <v>204288158062.49985</v>
      </c>
      <c r="M972">
        <v>160623019781.24988</v>
      </c>
      <c r="N972">
        <v>224988668062.49985</v>
      </c>
      <c r="O972">
        <v>527668937718.74963</v>
      </c>
      <c r="P972">
        <v>150531521156.24991</v>
      </c>
      <c r="Q972">
        <v>144386057249.99991</v>
      </c>
      <c r="R972">
        <v>114305628656.24992</v>
      </c>
      <c r="S972">
        <v>30015739499.999981</v>
      </c>
      <c r="T972">
        <v>181452907968.74988</v>
      </c>
      <c r="U972">
        <v>-78791316187.499939</v>
      </c>
      <c r="V972">
        <f t="shared" si="40"/>
        <v>539416935009.96667</v>
      </c>
      <c r="W972">
        <f t="shared" si="41"/>
        <v>369293132429.90027</v>
      </c>
    </row>
    <row r="973" spans="1:23" x14ac:dyDescent="0.2">
      <c r="A973">
        <f>IF(D973="USD",VLOOKUP(VALUE(RIGHT(E973,4)),'USD RUB'!$E:$F,2,FALSE),1)</f>
        <v>64.689093749999955</v>
      </c>
      <c r="B973" s="4">
        <v>64.689093749999955</v>
      </c>
      <c r="C973">
        <v>1000000</v>
      </c>
      <c r="D973" t="s">
        <v>111</v>
      </c>
      <c r="E973" s="1" t="s">
        <v>989</v>
      </c>
      <c r="F973">
        <v>85195536468.749939</v>
      </c>
      <c r="G973">
        <v>213732765749.99985</v>
      </c>
      <c r="H973">
        <v>263090544281.24982</v>
      </c>
      <c r="I973">
        <v>16236962531.249989</v>
      </c>
      <c r="J973">
        <v>504380863968.74963</v>
      </c>
      <c r="K973">
        <v>91276311281.249939</v>
      </c>
      <c r="L973">
        <v>198078005062.49988</v>
      </c>
      <c r="M973">
        <v>160105507031.24988</v>
      </c>
      <c r="N973">
        <v>215026547624.99985</v>
      </c>
      <c r="O973">
        <v>408770383406.24969</v>
      </c>
      <c r="P973">
        <v>119674823437.49992</v>
      </c>
      <c r="Q973">
        <v>112882468593.74992</v>
      </c>
      <c r="R973">
        <v>90111907593.749939</v>
      </c>
      <c r="S973">
        <v>22317737343.749985</v>
      </c>
      <c r="T973">
        <v>142510073531.24991</v>
      </c>
      <c r="U973">
        <v>-50910316781.249962</v>
      </c>
      <c r="V973">
        <f t="shared" si="40"/>
        <v>408334847656.14612</v>
      </c>
      <c r="W973">
        <f t="shared" si="41"/>
        <v>408712062296.01324</v>
      </c>
    </row>
    <row r="974" spans="1:23" x14ac:dyDescent="0.2">
      <c r="A974">
        <f>IF(D974="USD",VLOOKUP(VALUE(RIGHT(E974,4)),'USD RUB'!$E:$F,2,FALSE),1)</f>
        <v>64.689093749999955</v>
      </c>
      <c r="B974" s="4">
        <v>64.689093749999955</v>
      </c>
      <c r="C974">
        <v>1000000</v>
      </c>
      <c r="D974" t="s">
        <v>111</v>
      </c>
      <c r="E974" s="1" t="s">
        <v>990</v>
      </c>
      <c r="F974">
        <v>22317737343.749985</v>
      </c>
      <c r="G974">
        <v>175242754968.74988</v>
      </c>
      <c r="H974">
        <v>254680962093.74982</v>
      </c>
      <c r="I974">
        <v>16366340718.749989</v>
      </c>
      <c r="J974">
        <v>456446245499.99969</v>
      </c>
      <c r="K974">
        <v>98844935249.999939</v>
      </c>
      <c r="L974">
        <v>147038310093.74991</v>
      </c>
      <c r="M974">
        <v>150078697499.99991</v>
      </c>
      <c r="N974">
        <v>210563000156.24985</v>
      </c>
      <c r="O974">
        <v>272211706499.99982</v>
      </c>
      <c r="P974">
        <v>76333130624.999954</v>
      </c>
      <c r="Q974">
        <v>74198390531.249954</v>
      </c>
      <c r="R974">
        <v>58414251656.249962</v>
      </c>
      <c r="S974">
        <v>14878491562.49999</v>
      </c>
      <c r="T974">
        <v>91599756749.999939</v>
      </c>
      <c r="U974">
        <v>-30792008624.999977</v>
      </c>
      <c r="V974">
        <f t="shared" si="40"/>
        <v>278635880648.50494</v>
      </c>
      <c r="W974">
        <f t="shared" si="41"/>
        <v>439895139191.69427</v>
      </c>
    </row>
    <row r="975" spans="1:23" x14ac:dyDescent="0.2">
      <c r="A975">
        <f>IF(D975="USD",VLOOKUP(VALUE(RIGHT(E975,4)),'USD RUB'!$E:$F,2,FALSE),1)</f>
        <v>64.689093749999955</v>
      </c>
      <c r="B975" s="4">
        <v>64.689093749999955</v>
      </c>
      <c r="C975">
        <v>1000000</v>
      </c>
      <c r="D975" t="s">
        <v>111</v>
      </c>
      <c r="E975" s="1" t="s">
        <v>991</v>
      </c>
      <c r="F975">
        <v>37713741656.249977</v>
      </c>
      <c r="G975">
        <v>163275272624.99988</v>
      </c>
      <c r="H975">
        <v>250411481906.24982</v>
      </c>
      <c r="I975">
        <v>14490356999.99999</v>
      </c>
      <c r="J975">
        <v>437298273749.99969</v>
      </c>
      <c r="K975">
        <v>96063304218.749939</v>
      </c>
      <c r="L975">
        <v>112817779499.99992</v>
      </c>
      <c r="M975">
        <v>174660553124.99988</v>
      </c>
      <c r="N975">
        <v>228417190031.24985</v>
      </c>
      <c r="O975">
        <v>131383549406.24991</v>
      </c>
      <c r="P975">
        <v>35902447031.249977</v>
      </c>
      <c r="Q975">
        <v>35708379749.999977</v>
      </c>
      <c r="R975">
        <v>27686932124.999981</v>
      </c>
      <c r="S975">
        <v>7115800312.4999952</v>
      </c>
      <c r="T975">
        <v>42888869156.249969</v>
      </c>
      <c r="U975">
        <v>-13520020593.74999</v>
      </c>
      <c r="V975">
        <f t="shared" si="40"/>
        <v>136614568738.53818</v>
      </c>
      <c r="W975">
        <f t="shared" si="41"/>
        <v>444358845763.45508</v>
      </c>
    </row>
    <row r="976" spans="1:23" x14ac:dyDescent="0.2">
      <c r="A976">
        <f>IF(D976="USD",VLOOKUP(VALUE(RIGHT(E976,4)),'USD RUB'!$E:$F,2,FALSE),1)</f>
        <v>62.869106644518261</v>
      </c>
      <c r="B976" s="4">
        <v>62.869106644518261</v>
      </c>
      <c r="C976">
        <v>1000000</v>
      </c>
      <c r="D976" t="s">
        <v>111</v>
      </c>
      <c r="E976" s="1" t="s">
        <v>992</v>
      </c>
      <c r="F976">
        <v>14334156314.950163</v>
      </c>
      <c r="G976">
        <v>130264788967.44183</v>
      </c>
      <c r="H976">
        <v>218092930949.83386</v>
      </c>
      <c r="I976">
        <v>13328250608.637871</v>
      </c>
      <c r="J976">
        <v>369293132429.90027</v>
      </c>
      <c r="K976">
        <v>70602006761.794006</v>
      </c>
      <c r="L976">
        <v>117690967638.53819</v>
      </c>
      <c r="M976">
        <v>142964348509.63452</v>
      </c>
      <c r="N976">
        <v>181000158029.56808</v>
      </c>
      <c r="O976">
        <v>539416935009.96667</v>
      </c>
      <c r="P976">
        <v>170186671686.71094</v>
      </c>
      <c r="Q976">
        <v>158367279637.5415</v>
      </c>
      <c r="R976">
        <v>128944537727.90695</v>
      </c>
      <c r="S976">
        <v>25461988191.029896</v>
      </c>
      <c r="T976">
        <v>197534733077.07639</v>
      </c>
      <c r="U976">
        <v>-41053526638.870422</v>
      </c>
      <c r="V976">
        <f t="shared" si="40"/>
        <v>457639248095.04932</v>
      </c>
      <c r="W976">
        <f t="shared" si="41"/>
        <v>420377336839.60376</v>
      </c>
    </row>
    <row r="977" spans="1:23" x14ac:dyDescent="0.2">
      <c r="A977">
        <f>IF(D977="USD",VLOOKUP(VALUE(RIGHT(E977,4)),'USD RUB'!$E:$F,2,FALSE),1)</f>
        <v>62.869106644518261</v>
      </c>
      <c r="B977" s="4">
        <v>62.869106644518261</v>
      </c>
      <c r="C977">
        <v>1000000</v>
      </c>
      <c r="D977" t="s">
        <v>111</v>
      </c>
      <c r="E977" s="1" t="s">
        <v>993</v>
      </c>
      <c r="F977">
        <v>66264038403.32225</v>
      </c>
      <c r="G977">
        <v>174838985578.40527</v>
      </c>
      <c r="H977">
        <v>212560449565.11624</v>
      </c>
      <c r="I977">
        <v>13768334355.1495</v>
      </c>
      <c r="J977">
        <v>408712062296.01324</v>
      </c>
      <c r="K977">
        <v>104928538989.70097</v>
      </c>
      <c r="L977">
        <v>115490548905.98004</v>
      </c>
      <c r="M977">
        <v>141015406203.65445</v>
      </c>
      <c r="N977">
        <v>188292974400.33218</v>
      </c>
      <c r="O977">
        <v>408334847656.14612</v>
      </c>
      <c r="P977">
        <v>127121333635.21593</v>
      </c>
      <c r="Q977">
        <v>114861857839.53487</v>
      </c>
      <c r="R977">
        <v>92606194087.375397</v>
      </c>
      <c r="S977">
        <v>18923601099.999996</v>
      </c>
      <c r="T977">
        <v>147616662401.32889</v>
      </c>
      <c r="U977">
        <v>-29171265483.056473</v>
      </c>
      <c r="V977">
        <f t="shared" si="40"/>
        <v>330633860435.64343</v>
      </c>
      <c r="W977">
        <f t="shared" si="41"/>
        <v>459680197850.82489</v>
      </c>
    </row>
    <row r="978" spans="1:23" x14ac:dyDescent="0.2">
      <c r="A978">
        <f>IF(D978="USD",VLOOKUP(VALUE(RIGHT(E978,4)),'USD RUB'!$E:$F,2,FALSE),1)</f>
        <v>62.869106644518261</v>
      </c>
      <c r="B978" s="4">
        <v>62.869106644518261</v>
      </c>
      <c r="C978">
        <v>1000000</v>
      </c>
      <c r="D978" t="s">
        <v>111</v>
      </c>
      <c r="E978" s="1" t="s">
        <v>994</v>
      </c>
      <c r="F978">
        <v>86507890742.857132</v>
      </c>
      <c r="G978">
        <v>200992533942.52487</v>
      </c>
      <c r="H978">
        <v>217967192736.5448</v>
      </c>
      <c r="I978">
        <v>13831203461.794018</v>
      </c>
      <c r="J978">
        <v>439895139191.69427</v>
      </c>
      <c r="K978">
        <v>122531888850.16609</v>
      </c>
      <c r="L978">
        <v>114861857839.53487</v>
      </c>
      <c r="M978">
        <v>146987971334.8837</v>
      </c>
      <c r="N978">
        <v>202501392501.99332</v>
      </c>
      <c r="O978">
        <v>278635880648.50494</v>
      </c>
      <c r="P978">
        <v>96252602272.757462</v>
      </c>
      <c r="Q978">
        <v>78712121518.936859</v>
      </c>
      <c r="R978">
        <v>64000750564.119591</v>
      </c>
      <c r="S978">
        <v>12951035968.770761</v>
      </c>
      <c r="T978">
        <v>99333188498.338852</v>
      </c>
      <c r="U978">
        <v>-18609255566.777405</v>
      </c>
      <c r="V978">
        <f t="shared" si="40"/>
        <v>215640919910.23093</v>
      </c>
      <c r="W978">
        <f t="shared" si="41"/>
        <v>441078398648.18463</v>
      </c>
    </row>
    <row r="979" spans="1:23" x14ac:dyDescent="0.2">
      <c r="A979">
        <f>IF(D979="USD",VLOOKUP(VALUE(RIGHT(E979,4)),'USD RUB'!$E:$F,2,FALSE),1)</f>
        <v>62.869106644518261</v>
      </c>
      <c r="B979" s="4">
        <v>62.869106644518261</v>
      </c>
      <c r="C979">
        <v>1000000</v>
      </c>
      <c r="D979" t="s">
        <v>111</v>
      </c>
      <c r="E979" s="1" t="s">
        <v>995</v>
      </c>
      <c r="F979">
        <v>47591913729.900322</v>
      </c>
      <c r="G979">
        <v>174964723791.69434</v>
      </c>
      <c r="H979">
        <v>234124553144.186</v>
      </c>
      <c r="I979">
        <v>15214323807.973419</v>
      </c>
      <c r="J979">
        <v>444358845763.45508</v>
      </c>
      <c r="K979">
        <v>66955598576.411949</v>
      </c>
      <c r="L979">
        <v>134099804472.75745</v>
      </c>
      <c r="M979">
        <v>166728870821.26242</v>
      </c>
      <c r="N979">
        <v>243303442714.28568</v>
      </c>
      <c r="O979">
        <v>136614568738.53818</v>
      </c>
      <c r="P979">
        <v>36778427387.043182</v>
      </c>
      <c r="Q979">
        <v>35772521680.730888</v>
      </c>
      <c r="R979">
        <v>28982658163.122917</v>
      </c>
      <c r="S979">
        <v>6726994410.9634542</v>
      </c>
      <c r="T979">
        <v>44385589291.029892</v>
      </c>
      <c r="U979">
        <v>-8550198503.6544838</v>
      </c>
      <c r="V979">
        <f t="shared" si="40"/>
        <v>103038806241.58412</v>
      </c>
      <c r="W979">
        <f t="shared" si="41"/>
        <v>459621885000.65985</v>
      </c>
    </row>
    <row r="980" spans="1:23" x14ac:dyDescent="0.2">
      <c r="A980">
        <f>IF(D980="USD",VLOOKUP(VALUE(RIGHT(E980,4)),'USD RUB'!$E:$F,2,FALSE),1)</f>
        <v>58.312850165016478</v>
      </c>
      <c r="B980" s="4">
        <v>58.312850165016478</v>
      </c>
      <c r="C980">
        <v>1000000</v>
      </c>
      <c r="D980" t="s">
        <v>111</v>
      </c>
      <c r="E980" s="1" t="s">
        <v>996</v>
      </c>
      <c r="F980">
        <v>60120548520.131989</v>
      </c>
      <c r="G980">
        <v>172139533687.12863</v>
      </c>
      <c r="H980">
        <v>215815858460.72598</v>
      </c>
      <c r="I980">
        <v>14053396889.76897</v>
      </c>
      <c r="J980">
        <v>420377336839.60376</v>
      </c>
      <c r="K980">
        <v>97382459775.577515</v>
      </c>
      <c r="L980">
        <v>124847812203.30028</v>
      </c>
      <c r="M980">
        <v>127996706112.21117</v>
      </c>
      <c r="N980">
        <v>198147064860.72598</v>
      </c>
      <c r="O980">
        <v>457639248095.04932</v>
      </c>
      <c r="P980">
        <v>126072382056.76562</v>
      </c>
      <c r="Q980">
        <v>102863867691.08907</v>
      </c>
      <c r="R980">
        <v>79013911973.597321</v>
      </c>
      <c r="S980">
        <v>23558391466.666656</v>
      </c>
      <c r="T980">
        <v>150272214875.24747</v>
      </c>
      <c r="U980">
        <v>34462894447.524742</v>
      </c>
      <c r="V980">
        <f t="shared" si="40"/>
        <v>396693660472.34009</v>
      </c>
      <c r="W980">
        <f t="shared" si="41"/>
        <v>434713488986.16986</v>
      </c>
    </row>
    <row r="981" spans="1:23" x14ac:dyDescent="0.2">
      <c r="A981">
        <f>IF(D981="USD",VLOOKUP(VALUE(RIGHT(E981,4)),'USD RUB'!$E:$F,2,FALSE),1)</f>
        <v>58.312850165016478</v>
      </c>
      <c r="B981" s="4">
        <v>58.312850165016478</v>
      </c>
      <c r="C981">
        <v>1000000</v>
      </c>
      <c r="D981" t="s">
        <v>111</v>
      </c>
      <c r="E981" s="1" t="s">
        <v>997</v>
      </c>
      <c r="F981">
        <v>116042571828.3828</v>
      </c>
      <c r="G981">
        <v>226428797190.75897</v>
      </c>
      <c r="H981">
        <v>195173109502.31015</v>
      </c>
      <c r="I981">
        <v>13645206938.613855</v>
      </c>
      <c r="J981">
        <v>459680197850.82489</v>
      </c>
      <c r="K981">
        <v>147531510917.4917</v>
      </c>
      <c r="L981">
        <v>119891219939.27388</v>
      </c>
      <c r="M981">
        <v>124206370851.48509</v>
      </c>
      <c r="N981">
        <v>192257466994.05933</v>
      </c>
      <c r="O981">
        <v>330633860435.64343</v>
      </c>
      <c r="P981">
        <v>87819152348.514816</v>
      </c>
      <c r="Q981">
        <v>62278123976.237595</v>
      </c>
      <c r="R981">
        <v>46183777330.693054</v>
      </c>
      <c r="S981">
        <v>18018670700.990093</v>
      </c>
      <c r="T981">
        <v>106304325850.82504</v>
      </c>
      <c r="U981">
        <v>24549709919.471939</v>
      </c>
      <c r="V981">
        <f t="shared" si="40"/>
        <v>285986893494.6806</v>
      </c>
      <c r="W981">
        <f t="shared" si="41"/>
        <v>428075106229.78687</v>
      </c>
    </row>
    <row r="982" spans="1:23" x14ac:dyDescent="0.2">
      <c r="A982">
        <f>IF(D982="USD",VLOOKUP(VALUE(RIGHT(E982,4)),'USD RUB'!$E:$F,2,FALSE),1)</f>
        <v>58.312850165016478</v>
      </c>
      <c r="B982" s="4">
        <v>58.312850165016478</v>
      </c>
      <c r="C982">
        <v>1000000</v>
      </c>
      <c r="D982" t="s">
        <v>111</v>
      </c>
      <c r="E982" s="1" t="s">
        <v>998</v>
      </c>
      <c r="F982">
        <v>110502851062.70622</v>
      </c>
      <c r="G982">
        <v>218614875268.64679</v>
      </c>
      <c r="H982">
        <v>190216517238.28375</v>
      </c>
      <c r="I982">
        <v>13353642687.788773</v>
      </c>
      <c r="J982">
        <v>441078398648.18463</v>
      </c>
      <c r="K982">
        <v>147006695266.00653</v>
      </c>
      <c r="L982">
        <v>109394906909.57091</v>
      </c>
      <c r="M982">
        <v>125197689304.29037</v>
      </c>
      <c r="N982">
        <v>184676796472.60718</v>
      </c>
      <c r="O982">
        <v>215640919910.23093</v>
      </c>
      <c r="P982">
        <v>58546101565.676544</v>
      </c>
      <c r="Q982">
        <v>38428168258.745857</v>
      </c>
      <c r="R982">
        <v>28864860831.683155</v>
      </c>
      <c r="S982">
        <v>11604257182.83828</v>
      </c>
      <c r="T982">
        <v>70383610149.174896</v>
      </c>
      <c r="U982">
        <v>16152659495.709564</v>
      </c>
      <c r="V982">
        <f t="shared" si="40"/>
        <v>179504551907.44666</v>
      </c>
      <c r="W982">
        <f t="shared" si="41"/>
        <v>469380598936.1698</v>
      </c>
    </row>
    <row r="983" spans="1:23" x14ac:dyDescent="0.2">
      <c r="A983">
        <f>IF(D983="USD",VLOOKUP(VALUE(RIGHT(E983,4)),'USD RUB'!$E:$F,2,FALSE),1)</f>
        <v>58.312850165016478</v>
      </c>
      <c r="B983" s="4">
        <v>58.312850165016478</v>
      </c>
      <c r="C983">
        <v>1000000</v>
      </c>
      <c r="D983" t="s">
        <v>111</v>
      </c>
      <c r="E983" s="1" t="s">
        <v>999</v>
      </c>
      <c r="F983">
        <v>113068616469.96695</v>
      </c>
      <c r="G983">
        <v>230627322402.64017</v>
      </c>
      <c r="H983">
        <v>196047802254.7854</v>
      </c>
      <c r="I983">
        <v>13878458339.273922</v>
      </c>
      <c r="J983">
        <v>459621885000.65985</v>
      </c>
      <c r="K983">
        <v>139950840396.03955</v>
      </c>
      <c r="L983">
        <v>108695152707.59071</v>
      </c>
      <c r="M983">
        <v>160710215054.7854</v>
      </c>
      <c r="N983">
        <v>210975891897.0296</v>
      </c>
      <c r="O983">
        <v>103038806241.58412</v>
      </c>
      <c r="P983">
        <v>27756916678.547844</v>
      </c>
      <c r="Q983">
        <v>27465352427.722759</v>
      </c>
      <c r="R983">
        <v>20934313209.240917</v>
      </c>
      <c r="S983">
        <v>5772972166.3366318</v>
      </c>
      <c r="T983">
        <v>33704827395.379524</v>
      </c>
      <c r="U983">
        <v>8047173322.772274</v>
      </c>
      <c r="V983">
        <f t="shared" si="40"/>
        <v>73558645290.425476</v>
      </c>
      <c r="W983">
        <f t="shared" si="41"/>
        <v>413390198920.2124</v>
      </c>
    </row>
    <row r="984" spans="1:23" x14ac:dyDescent="0.2">
      <c r="A984">
        <f>IF(D984="USD",VLOOKUP(VALUE(RIGHT(E984,4)),'USD RUB'!$E:$F,2,FALSE),1)</f>
        <v>67.054371276595688</v>
      </c>
      <c r="B984" s="4">
        <v>67.054371276595688</v>
      </c>
      <c r="C984">
        <v>1000000</v>
      </c>
      <c r="D984" t="s">
        <v>111</v>
      </c>
      <c r="E984" s="1" t="s">
        <v>1000</v>
      </c>
      <c r="F984">
        <v>77380744453.191422</v>
      </c>
      <c r="G984">
        <v>188288674544.68069</v>
      </c>
      <c r="H984">
        <v>210215453952.12747</v>
      </c>
      <c r="J984">
        <v>434713488986.16986</v>
      </c>
      <c r="K984">
        <v>120429650812.76585</v>
      </c>
      <c r="L984">
        <v>110371495121.2765</v>
      </c>
      <c r="M984">
        <v>164283209627.65942</v>
      </c>
      <c r="N984">
        <v>203912343052.1275</v>
      </c>
      <c r="O984">
        <v>396693660472.34009</v>
      </c>
      <c r="P984">
        <v>101721481226.59566</v>
      </c>
      <c r="Q984">
        <v>115132355481.91479</v>
      </c>
      <c r="R984">
        <v>108628081468.08502</v>
      </c>
      <c r="T984">
        <v>128140903509.57436</v>
      </c>
      <c r="U984">
        <v>36879904202.127632</v>
      </c>
      <c r="V984">
        <f t="shared" si="40"/>
        <v>391751224468.03638</v>
      </c>
      <c r="W984">
        <f t="shared" si="41"/>
        <v>359341556507.76624</v>
      </c>
    </row>
    <row r="985" spans="1:23" x14ac:dyDescent="0.2">
      <c r="A985">
        <f>IF(D985="USD",VLOOKUP(VALUE(RIGHT(E985,4)),'USD RUB'!$E:$F,2,FALSE),1)</f>
        <v>67.054371276595688</v>
      </c>
      <c r="B985" s="4">
        <v>67.054371276595688</v>
      </c>
      <c r="C985">
        <v>1000000</v>
      </c>
      <c r="D985" t="s">
        <v>111</v>
      </c>
      <c r="E985" s="1" t="s">
        <v>1001</v>
      </c>
      <c r="F985">
        <v>76509037626.595688</v>
      </c>
      <c r="G985">
        <v>199218537062.76578</v>
      </c>
      <c r="H985">
        <v>203577071195.74451</v>
      </c>
      <c r="J985">
        <v>428075106229.78687</v>
      </c>
      <c r="K985">
        <v>70943524810.638245</v>
      </c>
      <c r="L985">
        <v>151341715971.27646</v>
      </c>
      <c r="M985">
        <v>164350263998.93604</v>
      </c>
      <c r="N985">
        <v>205789865447.87216</v>
      </c>
      <c r="O985">
        <v>285986893494.6806</v>
      </c>
      <c r="P985">
        <v>72552829721.276535</v>
      </c>
      <c r="Q985">
        <v>89785803139.361633</v>
      </c>
      <c r="R985">
        <v>87640063258.510559</v>
      </c>
      <c r="T985">
        <v>92736195475.53183</v>
      </c>
      <c r="V985">
        <f t="shared" ref="V985:V1048" si="42">_xlfn.XLOOKUP(LEFT(E985,LEN(E985)-4)&amp;(VALUE(RIGHT(E985,4))-1),$E:$E,$O:$O,"")</f>
        <v>306246788657.85974</v>
      </c>
      <c r="W985">
        <f t="shared" ref="W985:W1048" si="43">_xlfn.XLOOKUP(LEFT(E985,LEN(E985)-4)&amp;(VALUE(RIGHT(E985,4))-1),$E:$E,$J:$J,"")</f>
        <v>393994879307.34546</v>
      </c>
    </row>
    <row r="986" spans="1:23" x14ac:dyDescent="0.2">
      <c r="A986">
        <f>IF(D986="USD",VLOOKUP(VALUE(RIGHT(E986,4)),'USD RUB'!$E:$F,2,FALSE),1)</f>
        <v>67.054371276595688</v>
      </c>
      <c r="B986" s="4">
        <v>67.054371276595688</v>
      </c>
      <c r="C986">
        <v>1000000</v>
      </c>
      <c r="D986" t="s">
        <v>111</v>
      </c>
      <c r="E986" s="1" t="s">
        <v>1002</v>
      </c>
      <c r="F986">
        <v>138534331057.44669</v>
      </c>
      <c r="G986">
        <v>244413183303.19128</v>
      </c>
      <c r="H986">
        <v>200961950715.95728</v>
      </c>
      <c r="J986">
        <v>469380598936.1698</v>
      </c>
      <c r="K986">
        <v>120966085782.97862</v>
      </c>
      <c r="L986">
        <v>157443663757.44669</v>
      </c>
      <c r="M986">
        <v>152481640282.97861</v>
      </c>
      <c r="N986">
        <v>190970849395.74451</v>
      </c>
      <c r="O986">
        <v>179504551907.44666</v>
      </c>
      <c r="P986">
        <v>41841927676.595711</v>
      </c>
      <c r="Q986">
        <v>61086532232.978676</v>
      </c>
      <c r="R986">
        <v>58873737980.851013</v>
      </c>
      <c r="T986">
        <v>53576442649.999954</v>
      </c>
      <c r="U986">
        <v>15824831621.276583</v>
      </c>
      <c r="V986">
        <f t="shared" si="42"/>
        <v>204396459734.7117</v>
      </c>
      <c r="W986">
        <f t="shared" si="43"/>
        <v>455511238763.56366</v>
      </c>
    </row>
    <row r="987" spans="1:23" x14ac:dyDescent="0.2">
      <c r="A987">
        <f>IF(D987="USD",VLOOKUP(VALUE(RIGHT(E987,4)),'USD RUB'!$E:$F,2,FALSE),1)</f>
        <v>67.054371276595688</v>
      </c>
      <c r="B987" s="4">
        <v>67.054371276595688</v>
      </c>
      <c r="C987">
        <v>1000000</v>
      </c>
      <c r="D987" t="s">
        <v>111</v>
      </c>
      <c r="E987" s="1" t="s">
        <v>1003</v>
      </c>
      <c r="F987">
        <v>103733112364.89352</v>
      </c>
      <c r="G987">
        <v>202571255626.59558</v>
      </c>
      <c r="H987">
        <v>188758055143.61685</v>
      </c>
      <c r="J987">
        <v>413390198920.2124</v>
      </c>
      <c r="K987">
        <v>86164867090.425461</v>
      </c>
      <c r="L987">
        <v>152414585911.702</v>
      </c>
      <c r="M987">
        <v>135852156206.38286</v>
      </c>
      <c r="N987">
        <v>174810745918.08496</v>
      </c>
      <c r="O987">
        <v>73558645290.425476</v>
      </c>
      <c r="P987">
        <v>12270949943.61701</v>
      </c>
      <c r="Q987">
        <v>22396160006.382961</v>
      </c>
      <c r="R987">
        <v>18104680244.680836</v>
      </c>
      <c r="T987">
        <v>18305843358.510624</v>
      </c>
      <c r="V987">
        <f t="shared" si="42"/>
        <v>93792502054.098709</v>
      </c>
      <c r="W987">
        <f t="shared" si="43"/>
        <v>433383697459.12207</v>
      </c>
    </row>
    <row r="988" spans="1:23" x14ac:dyDescent="0.2">
      <c r="A988">
        <f>IF(D988="USD",VLOOKUP(VALUE(RIGHT(E988,4)),'USD RUB'!$E:$F,2,FALSE),1)</f>
        <v>61.250166233766237</v>
      </c>
      <c r="B988" s="4">
        <v>61.250166233766237</v>
      </c>
      <c r="C988">
        <v>1000</v>
      </c>
      <c r="D988" t="s">
        <v>111</v>
      </c>
      <c r="E988" s="1" t="s">
        <v>1004</v>
      </c>
      <c r="F988">
        <v>100889313814.94026</v>
      </c>
      <c r="G988">
        <v>179890145724.24936</v>
      </c>
      <c r="H988">
        <v>159902195226.68573</v>
      </c>
      <c r="J988">
        <v>359341556507.76624</v>
      </c>
      <c r="K988">
        <v>79440853103.532471</v>
      </c>
      <c r="L988">
        <v>140999536424.61819</v>
      </c>
      <c r="M988">
        <v>107685877260.9039</v>
      </c>
      <c r="N988">
        <v>138901166979.6156</v>
      </c>
      <c r="O988">
        <v>391751224468.03638</v>
      </c>
      <c r="P988">
        <v>104294516806.7065</v>
      </c>
      <c r="Q988">
        <v>44254776358.051949</v>
      </c>
      <c r="R988">
        <v>34450891000.176628</v>
      </c>
      <c r="T988">
        <v>128380348425.97403</v>
      </c>
      <c r="U988">
        <v>29459798704.285717</v>
      </c>
      <c r="V988">
        <f t="shared" si="42"/>
        <v>321581984891.66345</v>
      </c>
      <c r="W988">
        <f t="shared" si="43"/>
        <v>293066574006.69122</v>
      </c>
    </row>
    <row r="989" spans="1:23" x14ac:dyDescent="0.2">
      <c r="A989">
        <f>IF(D989="USD",VLOOKUP(VALUE(RIGHT(E989,4)),'USD RUB'!$E:$F,2,FALSE),1)</f>
        <v>61.250166233766237</v>
      </c>
      <c r="B989" s="4">
        <v>61.250166233766237</v>
      </c>
      <c r="C989">
        <v>1000</v>
      </c>
      <c r="D989" t="s">
        <v>111</v>
      </c>
      <c r="E989" s="1" t="s">
        <v>1005</v>
      </c>
      <c r="F989">
        <v>102563770859.43896</v>
      </c>
      <c r="G989">
        <v>190168291119.27274</v>
      </c>
      <c r="H989">
        <v>174677082825.92728</v>
      </c>
      <c r="J989">
        <v>393994879307.34546</v>
      </c>
      <c r="K989">
        <v>87093816373.776627</v>
      </c>
      <c r="L989">
        <v>144940739621.0961</v>
      </c>
      <c r="M989">
        <v>123984852746.54027</v>
      </c>
      <c r="N989">
        <v>161960323312.47275</v>
      </c>
      <c r="O989">
        <v>306246788657.85974</v>
      </c>
      <c r="P989">
        <v>85755377741.236374</v>
      </c>
      <c r="Q989">
        <v>52313950730.758446</v>
      </c>
      <c r="R989">
        <v>41380979808.529869</v>
      </c>
      <c r="T989">
        <v>103819031766.23376</v>
      </c>
      <c r="V989">
        <f t="shared" si="42"/>
        <v>248783173470.27222</v>
      </c>
      <c r="W989">
        <f t="shared" si="43"/>
        <v>409954862115.32391</v>
      </c>
    </row>
    <row r="990" spans="1:23" x14ac:dyDescent="0.2">
      <c r="A990">
        <f>IF(D990="USD",VLOOKUP(VALUE(RIGHT(E990,4)),'USD RUB'!$E:$F,2,FALSE),1)</f>
        <v>61.250166233766237</v>
      </c>
      <c r="B990" s="4">
        <v>61.250166233766237</v>
      </c>
      <c r="C990">
        <v>1000</v>
      </c>
      <c r="D990" t="s">
        <v>111</v>
      </c>
      <c r="E990" s="1" t="s">
        <v>1006</v>
      </c>
      <c r="F990">
        <v>95074651783.870132</v>
      </c>
      <c r="G990">
        <v>212293627417.72989</v>
      </c>
      <c r="H990">
        <v>207296103854.38443</v>
      </c>
      <c r="J990">
        <v>455511238763.56366</v>
      </c>
      <c r="K990">
        <v>83166333214.535065</v>
      </c>
      <c r="L990">
        <v>180238107918.62338</v>
      </c>
      <c r="M990">
        <v>141235288314.45197</v>
      </c>
      <c r="N990">
        <v>192106797630.40521</v>
      </c>
      <c r="O990">
        <v>204396459734.7117</v>
      </c>
      <c r="P990">
        <v>59904255080.945457</v>
      </c>
      <c r="Q990">
        <v>62263611484.270134</v>
      </c>
      <c r="R990">
        <v>49370022740.898705</v>
      </c>
      <c r="T990">
        <v>71723944659.740265</v>
      </c>
      <c r="V990">
        <f t="shared" si="42"/>
        <v>242651140886.61404</v>
      </c>
      <c r="W990">
        <f t="shared" si="43"/>
        <v>490770252117.4079</v>
      </c>
    </row>
    <row r="991" spans="1:23" x14ac:dyDescent="0.2">
      <c r="A991">
        <f>IF(D991="USD",VLOOKUP(VALUE(RIGHT(E991,4)),'USD RUB'!$E:$F,2,FALSE),1)</f>
        <v>61.250166233766237</v>
      </c>
      <c r="B991" s="4">
        <v>61.250166233766237</v>
      </c>
      <c r="C991">
        <v>1000</v>
      </c>
      <c r="D991" t="s">
        <v>111</v>
      </c>
      <c r="E991" s="1" t="s">
        <v>1007</v>
      </c>
      <c r="F991">
        <v>93247559325.116882</v>
      </c>
      <c r="G991">
        <v>201907497979.63638</v>
      </c>
      <c r="H991">
        <v>196651559964.95065</v>
      </c>
      <c r="J991">
        <v>433383697459.12207</v>
      </c>
      <c r="K991">
        <v>77308551066.436371</v>
      </c>
      <c r="L991">
        <v>173371168031.65717</v>
      </c>
      <c r="M991">
        <v>141131040531.52209</v>
      </c>
      <c r="N991">
        <v>182703978361.02859</v>
      </c>
      <c r="O991">
        <v>93792502054.098709</v>
      </c>
      <c r="P991">
        <v>30774227271.662338</v>
      </c>
      <c r="Q991">
        <v>27292890323.267532</v>
      </c>
      <c r="R991">
        <v>21032939583.677921</v>
      </c>
      <c r="V991">
        <f t="shared" si="42"/>
        <v>115222938467.20454</v>
      </c>
      <c r="W991">
        <f t="shared" si="43"/>
        <v>521143037178.85242</v>
      </c>
    </row>
    <row r="992" spans="1:23" x14ac:dyDescent="0.2">
      <c r="A992">
        <f>IF(D992="USD",VLOOKUP(VALUE(RIGHT(E992,4)),'USD RUB'!$E:$F,2,FALSE),1)</f>
        <v>38.761512927756648</v>
      </c>
      <c r="B992" s="4">
        <v>38.761512927756648</v>
      </c>
      <c r="C992">
        <v>1000</v>
      </c>
      <c r="D992" t="s">
        <v>111</v>
      </c>
      <c r="E992" s="1" t="s">
        <v>1008</v>
      </c>
      <c r="F992">
        <v>73517992532.252838</v>
      </c>
      <c r="G992">
        <v>140321211895.49161</v>
      </c>
      <c r="H992">
        <v>129319958057.84865</v>
      </c>
      <c r="J992">
        <v>293066574006.69122</v>
      </c>
      <c r="K992">
        <v>67227502883.745995</v>
      </c>
      <c r="L992">
        <v>115850448599.992</v>
      </c>
      <c r="M992">
        <v>76133813232.182495</v>
      </c>
      <c r="N992">
        <v>109988622522.95322</v>
      </c>
      <c r="O992">
        <v>321581984891.66345</v>
      </c>
      <c r="P992">
        <v>61796627307.438011</v>
      </c>
      <c r="Q992">
        <v>46536994898.038773</v>
      </c>
      <c r="R992">
        <v>-31565205483.64106</v>
      </c>
      <c r="T992">
        <v>85391612979.8479</v>
      </c>
      <c r="U992">
        <v>32174032567.197334</v>
      </c>
      <c r="V992">
        <f t="shared" si="42"/>
        <v>419512884447.99994</v>
      </c>
      <c r="W992">
        <f t="shared" si="43"/>
        <v>463102677127.99994</v>
      </c>
    </row>
    <row r="993" spans="1:23" x14ac:dyDescent="0.2">
      <c r="A993">
        <f>IF(D993="USD",VLOOKUP(VALUE(RIGHT(E993,4)),'USD RUB'!$E:$F,2,FALSE),1)</f>
        <v>38.761512927756648</v>
      </c>
      <c r="B993" s="4">
        <v>38.761512927756648</v>
      </c>
      <c r="C993">
        <v>1000</v>
      </c>
      <c r="D993" t="s">
        <v>111</v>
      </c>
      <c r="E993" s="1" t="s">
        <v>1009</v>
      </c>
      <c r="F993">
        <v>106720212991.37184</v>
      </c>
      <c r="G993">
        <v>191609864378.8053</v>
      </c>
      <c r="H993">
        <v>184248587935.66916</v>
      </c>
      <c r="J993">
        <v>409954862115.32391</v>
      </c>
      <c r="K993">
        <v>53544146159.06691</v>
      </c>
      <c r="L993">
        <v>152436897991.3205</v>
      </c>
      <c r="M993">
        <v>142996725325.33002</v>
      </c>
      <c r="N993">
        <v>203973817964.93646</v>
      </c>
      <c r="O993">
        <v>248783173470.27222</v>
      </c>
      <c r="P993">
        <v>44240762872.198471</v>
      </c>
      <c r="Q993">
        <v>5396494114.3410635</v>
      </c>
      <c r="R993">
        <v>320131335.27034217</v>
      </c>
      <c r="T993">
        <v>62057182197.338394</v>
      </c>
      <c r="V993">
        <f t="shared" si="42"/>
        <v>316330083048</v>
      </c>
      <c r="W993">
        <f t="shared" si="43"/>
        <v>472649641351.99994</v>
      </c>
    </row>
    <row r="994" spans="1:23" x14ac:dyDescent="0.2">
      <c r="A994">
        <f>IF(D994="USD",VLOOKUP(VALUE(RIGHT(E994,4)),'USD RUB'!$E:$F,2,FALSE),1)</f>
        <v>38.761512927756648</v>
      </c>
      <c r="B994" s="4">
        <v>38.761512927756648</v>
      </c>
      <c r="C994">
        <v>1000</v>
      </c>
      <c r="D994" t="s">
        <v>111</v>
      </c>
      <c r="E994" s="1" t="s">
        <v>1010</v>
      </c>
      <c r="F994">
        <v>30222894290.952847</v>
      </c>
      <c r="G994">
        <v>164407460982.74789</v>
      </c>
      <c r="H994">
        <v>275394037417.53912</v>
      </c>
      <c r="J994">
        <v>490770252117.4079</v>
      </c>
      <c r="K994">
        <v>80681352690.379837</v>
      </c>
      <c r="L994">
        <v>177809409123.57144</v>
      </c>
      <c r="M994">
        <v>146544062703.93951</v>
      </c>
      <c r="N994">
        <v>232279490303.4566</v>
      </c>
      <c r="O994">
        <v>242651140886.61404</v>
      </c>
      <c r="P994">
        <v>28692395953.000378</v>
      </c>
      <c r="Q994">
        <v>-25053658926.907219</v>
      </c>
      <c r="R994">
        <v>-29549064150.216724</v>
      </c>
      <c r="T994">
        <v>23489476834.220528</v>
      </c>
      <c r="V994">
        <f t="shared" si="42"/>
        <v>214624528551.99997</v>
      </c>
      <c r="W994">
        <f t="shared" si="43"/>
        <v>474609436671.99994</v>
      </c>
    </row>
    <row r="995" spans="1:23" x14ac:dyDescent="0.2">
      <c r="A995">
        <f>IF(D995="USD",VLOOKUP(VALUE(RIGHT(E995,4)),'USD RUB'!$E:$F,2,FALSE),1)</f>
        <v>38.761512927756648</v>
      </c>
      <c r="B995" s="4">
        <v>38.761512927756648</v>
      </c>
      <c r="C995">
        <v>1000</v>
      </c>
      <c r="D995" t="s">
        <v>111</v>
      </c>
      <c r="E995" s="1" t="s">
        <v>1011</v>
      </c>
      <c r="F995">
        <v>34566974567.792389</v>
      </c>
      <c r="G995">
        <v>168980272947.37411</v>
      </c>
      <c r="H995">
        <v>301452045905.91742</v>
      </c>
      <c r="J995">
        <v>521143037178.85242</v>
      </c>
      <c r="K995">
        <v>91996342213.660065</v>
      </c>
      <c r="L995">
        <v>171732883026.42584</v>
      </c>
      <c r="M995">
        <v>177921352372.90683</v>
      </c>
      <c r="N995">
        <v>257413811938.76651</v>
      </c>
      <c r="O995">
        <v>115222938467.20454</v>
      </c>
      <c r="P995">
        <v>13028054587.122431</v>
      </c>
      <c r="Q995">
        <v>12085219546.667679</v>
      </c>
      <c r="R995">
        <v>-4871159329.6311779</v>
      </c>
      <c r="T995">
        <v>20698647903.42205</v>
      </c>
      <c r="V995">
        <f t="shared" si="42"/>
        <v>105853578151.99998</v>
      </c>
      <c r="W995">
        <f t="shared" si="43"/>
        <v>491233076655.99994</v>
      </c>
    </row>
    <row r="996" spans="1:23" x14ac:dyDescent="0.2">
      <c r="A996">
        <f>IF(D996="USD",VLOOKUP(VALUE(RIGHT(E996,4)),'USD RUB'!$E:$F,2,FALSE),1)</f>
        <v>31.863999999999997</v>
      </c>
      <c r="B996" s="4">
        <v>31.863999999999997</v>
      </c>
      <c r="C996">
        <v>1000</v>
      </c>
      <c r="D996" t="s">
        <v>111</v>
      </c>
      <c r="E996" s="1" t="s">
        <v>1012</v>
      </c>
      <c r="F996">
        <v>33009447071.999996</v>
      </c>
      <c r="G996">
        <v>156338676704</v>
      </c>
      <c r="H996">
        <v>263011573887.99997</v>
      </c>
      <c r="J996">
        <v>463102677127.99994</v>
      </c>
      <c r="K996">
        <v>158819639608</v>
      </c>
      <c r="L996">
        <v>223056189047.99997</v>
      </c>
      <c r="N996">
        <v>81226848472</v>
      </c>
      <c r="O996">
        <v>419512884447.99994</v>
      </c>
      <c r="P996">
        <v>40095968808</v>
      </c>
      <c r="Q996">
        <v>3689532559.9999995</v>
      </c>
      <c r="R996">
        <v>2842364391.9999995</v>
      </c>
      <c r="T996">
        <v>65735431999.999992</v>
      </c>
      <c r="V996">
        <f t="shared" si="42"/>
        <v>432259830306.96527</v>
      </c>
      <c r="W996">
        <f t="shared" si="43"/>
        <v>487912533482.73535</v>
      </c>
    </row>
    <row r="997" spans="1:23" x14ac:dyDescent="0.2">
      <c r="A997">
        <f>IF(D997="USD",VLOOKUP(VALUE(RIGHT(E997,4)),'USD RUB'!$E:$F,2,FALSE),1)</f>
        <v>31.863999999999997</v>
      </c>
      <c r="B997" s="4">
        <v>31.863999999999997</v>
      </c>
      <c r="C997">
        <v>1000</v>
      </c>
      <c r="D997" t="s">
        <v>111</v>
      </c>
      <c r="E997" s="1" t="s">
        <v>1013</v>
      </c>
      <c r="F997">
        <v>32296744983.999996</v>
      </c>
      <c r="G997">
        <v>158502051120</v>
      </c>
      <c r="H997">
        <v>264776488983.99997</v>
      </c>
      <c r="J997">
        <v>472649641351.99994</v>
      </c>
      <c r="K997">
        <v>79117865904</v>
      </c>
      <c r="L997">
        <v>166835889136</v>
      </c>
      <c r="N997">
        <v>226695886311.99997</v>
      </c>
      <c r="O997">
        <v>316330083048</v>
      </c>
      <c r="P997">
        <v>26996009263.999996</v>
      </c>
      <c r="Q997">
        <v>8260136583.999999</v>
      </c>
      <c r="R997">
        <v>5226205824</v>
      </c>
      <c r="T997">
        <v>46266527999.999992</v>
      </c>
      <c r="V997">
        <f t="shared" si="42"/>
        <v>341321876345.39752</v>
      </c>
      <c r="W997">
        <f t="shared" si="43"/>
        <v>491693951407.6181</v>
      </c>
    </row>
    <row r="998" spans="1:23" x14ac:dyDescent="0.2">
      <c r="A998">
        <f>IF(D998="USD",VLOOKUP(VALUE(RIGHT(E998,4)),'USD RUB'!$E:$F,2,FALSE),1)</f>
        <v>31.863999999999997</v>
      </c>
      <c r="B998" s="4">
        <v>31.863999999999997</v>
      </c>
      <c r="C998">
        <v>1000</v>
      </c>
      <c r="D998" t="s">
        <v>111</v>
      </c>
      <c r="E998" s="1" t="s">
        <v>1014</v>
      </c>
      <c r="F998">
        <v>47606727839.999992</v>
      </c>
      <c r="G998">
        <v>165483039288</v>
      </c>
      <c r="H998">
        <v>260942739959.99997</v>
      </c>
      <c r="J998">
        <v>474609436671.99994</v>
      </c>
      <c r="K998">
        <v>93664897143.999985</v>
      </c>
      <c r="L998">
        <v>161129397240</v>
      </c>
      <c r="N998">
        <v>219815142287.99997</v>
      </c>
      <c r="O998">
        <v>214624528551.99997</v>
      </c>
      <c r="P998">
        <v>15935632495.999998</v>
      </c>
      <c r="Q998">
        <v>695559255.99999988</v>
      </c>
      <c r="R998">
        <v>133924391.99999999</v>
      </c>
      <c r="T998">
        <v>28964375999.999996</v>
      </c>
      <c r="V998">
        <f t="shared" si="42"/>
        <v>229761567374.28033</v>
      </c>
      <c r="W998">
        <f t="shared" si="43"/>
        <v>475916361443.76068</v>
      </c>
    </row>
    <row r="999" spans="1:23" x14ac:dyDescent="0.2">
      <c r="A999">
        <f>IF(D999="USD",VLOOKUP(VALUE(RIGHT(E999,4)),'USD RUB'!$E:$F,2,FALSE),1)</f>
        <v>31.863999999999997</v>
      </c>
      <c r="B999" s="4">
        <v>31.863999999999997</v>
      </c>
      <c r="C999">
        <v>1000</v>
      </c>
      <c r="D999" t="s">
        <v>111</v>
      </c>
      <c r="E999" s="1" t="s">
        <v>1015</v>
      </c>
      <c r="F999">
        <v>49467298663.999992</v>
      </c>
      <c r="G999">
        <v>177130382799.99997</v>
      </c>
      <c r="H999">
        <v>266989921743.99997</v>
      </c>
      <c r="J999">
        <v>491233076655.99994</v>
      </c>
      <c r="K999">
        <v>85494712632</v>
      </c>
      <c r="L999">
        <v>178912281407.99997</v>
      </c>
      <c r="N999">
        <v>226826082615.99997</v>
      </c>
      <c r="O999">
        <v>105853578151.99998</v>
      </c>
      <c r="P999">
        <v>7069920591.999999</v>
      </c>
      <c r="Q999">
        <v>3005508071.9999995</v>
      </c>
      <c r="R999">
        <v>1584501127.9999998</v>
      </c>
      <c r="T999">
        <v>13542199999.999998</v>
      </c>
      <c r="V999">
        <f t="shared" si="42"/>
        <v>114273999898.34937</v>
      </c>
      <c r="W999">
        <f t="shared" si="43"/>
        <v>507353688515.19055</v>
      </c>
    </row>
    <row r="1000" spans="1:23" x14ac:dyDescent="0.2">
      <c r="A1000">
        <f>IF(D1000="USD",VLOOKUP(VALUE(RIGHT(E1000,4)),'USD RUB'!$E:$F,2,FALSE),1)</f>
        <v>31.062956321839064</v>
      </c>
      <c r="B1000" s="4">
        <v>31.062956321839064</v>
      </c>
      <c r="C1000">
        <v>1000</v>
      </c>
      <c r="D1000" t="s">
        <v>111</v>
      </c>
      <c r="E1000" s="1" t="s">
        <v>1016</v>
      </c>
      <c r="F1000">
        <v>53623204924.482727</v>
      </c>
      <c r="G1000">
        <v>176956156900.88266</v>
      </c>
      <c r="H1000">
        <v>262876822157.34698</v>
      </c>
      <c r="J1000">
        <v>487912533482.73535</v>
      </c>
      <c r="K1000">
        <v>104671663525.36087</v>
      </c>
      <c r="L1000">
        <v>159114091796.91946</v>
      </c>
      <c r="N1000">
        <v>224126778160.45505</v>
      </c>
      <c r="O1000">
        <v>432259830306.96527</v>
      </c>
      <c r="P1000">
        <v>42582125603.535606</v>
      </c>
      <c r="Q1000">
        <v>32209831732.197685</v>
      </c>
      <c r="R1000">
        <v>24025208685.737919</v>
      </c>
      <c r="T1000">
        <v>65822404445.976974</v>
      </c>
      <c r="V1000">
        <f t="shared" si="42"/>
        <v>464923057112.30774</v>
      </c>
      <c r="W1000">
        <f t="shared" si="43"/>
        <v>526591458852.70386</v>
      </c>
    </row>
    <row r="1001" spans="1:23" x14ac:dyDescent="0.2">
      <c r="A1001">
        <f>IF(D1001="USD",VLOOKUP(VALUE(RIGHT(E1001,4)),'USD RUB'!$E:$F,2,FALSE),1)</f>
        <v>31.062956321839064</v>
      </c>
      <c r="B1001" s="4">
        <v>31.062956321839064</v>
      </c>
      <c r="C1001">
        <v>1000</v>
      </c>
      <c r="D1001" t="s">
        <v>111</v>
      </c>
      <c r="E1001" s="1" t="s">
        <v>1017</v>
      </c>
      <c r="F1001">
        <v>65894874323.075829</v>
      </c>
      <c r="G1001">
        <v>190251754528.71255</v>
      </c>
      <c r="H1001">
        <v>250785255779.5079</v>
      </c>
      <c r="J1001">
        <v>491693951407.6181</v>
      </c>
      <c r="K1001">
        <v>118979851403.37006</v>
      </c>
      <c r="L1001">
        <v>141611669057.37924</v>
      </c>
      <c r="N1001">
        <v>231102430946.86884</v>
      </c>
      <c r="O1001">
        <v>341321876345.39752</v>
      </c>
      <c r="P1001">
        <v>38364739086.675842</v>
      </c>
      <c r="Q1001">
        <v>32384094917.1632</v>
      </c>
      <c r="R1001">
        <v>29868865217.871246</v>
      </c>
      <c r="T1001">
        <v>55043558602.29882</v>
      </c>
      <c r="V1001">
        <f t="shared" si="42"/>
        <v>378760721996.0885</v>
      </c>
      <c r="W1001">
        <f t="shared" si="43"/>
        <v>514112095321.59235</v>
      </c>
    </row>
    <row r="1002" spans="1:23" x14ac:dyDescent="0.2">
      <c r="A1002">
        <f>IF(D1002="USD",VLOOKUP(VALUE(RIGHT(E1002,4)),'USD RUB'!$E:$F,2,FALSE),1)</f>
        <v>31.062956321839064</v>
      </c>
      <c r="B1002" s="4">
        <v>31.062956321839064</v>
      </c>
      <c r="C1002">
        <v>1000</v>
      </c>
      <c r="D1002" t="s">
        <v>111</v>
      </c>
      <c r="E1002" s="1" t="s">
        <v>1018</v>
      </c>
      <c r="F1002">
        <v>60351720830.399971</v>
      </c>
      <c r="G1002">
        <v>190114176695.16312</v>
      </c>
      <c r="H1002">
        <v>237120288538.05505</v>
      </c>
      <c r="J1002">
        <v>475916361443.76068</v>
      </c>
      <c r="K1002">
        <v>111669961206.93327</v>
      </c>
      <c r="L1002">
        <v>151185955580.80911</v>
      </c>
      <c r="N1002">
        <v>213060444656.01828</v>
      </c>
      <c r="O1002">
        <v>229761567374.28033</v>
      </c>
      <c r="P1002">
        <v>26894835653.705734</v>
      </c>
      <c r="Q1002">
        <v>18857948027.512634</v>
      </c>
      <c r="R1002">
        <v>19539873107.645966</v>
      </c>
      <c r="T1002">
        <v>38083184450.574692</v>
      </c>
      <c r="V1002">
        <f t="shared" si="42"/>
        <v>238439837379.19617</v>
      </c>
      <c r="W1002">
        <f t="shared" si="43"/>
        <v>533979614415.55389</v>
      </c>
    </row>
    <row r="1003" spans="1:23" x14ac:dyDescent="0.2">
      <c r="A1003">
        <f>IF(D1003="USD",VLOOKUP(VALUE(RIGHT(E1003,4)),'USD RUB'!$E:$F,2,FALSE),1)</f>
        <v>31.062956321839064</v>
      </c>
      <c r="B1003" s="4">
        <v>31.062956321839064</v>
      </c>
      <c r="C1003">
        <v>1000</v>
      </c>
      <c r="D1003" t="s">
        <v>111</v>
      </c>
      <c r="E1003" s="1" t="s">
        <v>1019</v>
      </c>
      <c r="F1003">
        <v>69705305049.163177</v>
      </c>
      <c r="G1003">
        <v>209736553014.7999</v>
      </c>
      <c r="H1003">
        <v>248725036264.41824</v>
      </c>
      <c r="J1003">
        <v>507353688515.19055</v>
      </c>
      <c r="K1003">
        <v>115294076321.00224</v>
      </c>
      <c r="L1003">
        <v>155195810486.48267</v>
      </c>
      <c r="N1003">
        <v>236863801707.70563</v>
      </c>
      <c r="O1003">
        <v>114273999898.34937</v>
      </c>
      <c r="P1003">
        <v>11944234776.004591</v>
      </c>
      <c r="Q1003">
        <v>11931995971.213787</v>
      </c>
      <c r="R1003">
        <v>14354036801.540222</v>
      </c>
      <c r="T1003">
        <v>17457381452.873554</v>
      </c>
      <c r="V1003">
        <f t="shared" si="42"/>
        <v>109588813103.33078</v>
      </c>
      <c r="W1003">
        <f t="shared" si="43"/>
        <v>509283215874.96924</v>
      </c>
    </row>
    <row r="1004" spans="1:23" x14ac:dyDescent="0.2">
      <c r="A1004">
        <f>IF(D1004="USD",VLOOKUP(VALUE(RIGHT(E1004,4)),'USD RUB'!$E:$F,2,FALSE),1)</f>
        <v>29.402434615384617</v>
      </c>
      <c r="B1004" s="4">
        <v>29.402434615384617</v>
      </c>
      <c r="C1004">
        <v>1000</v>
      </c>
      <c r="D1004" t="s">
        <v>111</v>
      </c>
      <c r="E1004" s="1" t="s">
        <v>1020</v>
      </c>
      <c r="F1004">
        <v>54792554198.284622</v>
      </c>
      <c r="G1004">
        <v>262557154970.03079</v>
      </c>
      <c r="H1004">
        <v>219441954093.85385</v>
      </c>
      <c r="J1004">
        <v>526591458852.70386</v>
      </c>
      <c r="K1004">
        <v>157885134592.82309</v>
      </c>
      <c r="L1004">
        <v>160909821846.57693</v>
      </c>
      <c r="N1004">
        <v>207796502413.30386</v>
      </c>
      <c r="O1004">
        <v>464923057112.30774</v>
      </c>
      <c r="P1004">
        <v>85777398442.234619</v>
      </c>
      <c r="Q1004">
        <v>71417749217.469238</v>
      </c>
      <c r="R1004">
        <v>63913101208.67308</v>
      </c>
      <c r="T1004">
        <v>105378325661.53847</v>
      </c>
      <c r="V1004" t="str">
        <f t="shared" si="42"/>
        <v/>
      </c>
      <c r="W1004" t="str">
        <f t="shared" si="43"/>
        <v/>
      </c>
    </row>
    <row r="1005" spans="1:23" x14ac:dyDescent="0.2">
      <c r="A1005">
        <f>IF(D1005="USD",VLOOKUP(VALUE(RIGHT(E1005,4)),'USD RUB'!$E:$F,2,FALSE),1)</f>
        <v>29.402434615384617</v>
      </c>
      <c r="B1005" s="4">
        <v>29.402434615384617</v>
      </c>
      <c r="C1005">
        <v>1000</v>
      </c>
      <c r="D1005" t="s">
        <v>111</v>
      </c>
      <c r="E1005" s="1" t="s">
        <v>1021</v>
      </c>
      <c r="F1005">
        <v>58649389156.523079</v>
      </c>
      <c r="G1005">
        <v>206117711604.06924</v>
      </c>
      <c r="H1005">
        <v>228775433535.72693</v>
      </c>
      <c r="J1005">
        <v>514112095321.59235</v>
      </c>
      <c r="K1005">
        <v>105065072123.14616</v>
      </c>
      <c r="L1005">
        <v>167203060146.78464</v>
      </c>
      <c r="N1005">
        <v>241843963051.66156</v>
      </c>
      <c r="O1005">
        <v>378760721996.0885</v>
      </c>
      <c r="P1005">
        <v>74945541529.926926</v>
      </c>
      <c r="Q1005">
        <v>64195658605.326927</v>
      </c>
      <c r="R1005">
        <v>48579907971.357697</v>
      </c>
      <c r="T1005">
        <v>93293925034.615387</v>
      </c>
      <c r="V1005" t="str">
        <f t="shared" si="42"/>
        <v/>
      </c>
      <c r="W1005" t="str">
        <f t="shared" si="43"/>
        <v/>
      </c>
    </row>
    <row r="1006" spans="1:23" x14ac:dyDescent="0.2">
      <c r="A1006">
        <f>IF(D1006="USD",VLOOKUP(VALUE(RIGHT(E1006,4)),'USD RUB'!$E:$F,2,FALSE),1)</f>
        <v>29.402434615384617</v>
      </c>
      <c r="B1006" s="4">
        <v>29.402434615384617</v>
      </c>
      <c r="C1006">
        <v>1000</v>
      </c>
      <c r="D1006" t="s">
        <v>111</v>
      </c>
      <c r="E1006" s="1" t="s">
        <v>1022</v>
      </c>
      <c r="F1006">
        <v>50395625918.596161</v>
      </c>
      <c r="G1006">
        <v>211110509623.6731</v>
      </c>
      <c r="H1006">
        <v>238882255812.85385</v>
      </c>
      <c r="J1006">
        <v>533979614415.55389</v>
      </c>
      <c r="K1006">
        <v>116886909008.95386</v>
      </c>
      <c r="L1006">
        <v>160033217660.95386</v>
      </c>
      <c r="N1006">
        <v>257059487745.64618</v>
      </c>
      <c r="O1006">
        <v>238439837379.19617</v>
      </c>
      <c r="P1006">
        <v>47841612838.16539</v>
      </c>
      <c r="Q1006">
        <v>47459087163.819237</v>
      </c>
      <c r="R1006">
        <v>35333699543.042313</v>
      </c>
      <c r="T1006">
        <v>60069173919.230774</v>
      </c>
      <c r="V1006" t="str">
        <f t="shared" si="42"/>
        <v/>
      </c>
      <c r="W1006" t="str">
        <f t="shared" si="43"/>
        <v/>
      </c>
    </row>
    <row r="1007" spans="1:23" x14ac:dyDescent="0.2">
      <c r="A1007">
        <f>IF(D1007="USD",VLOOKUP(VALUE(RIGHT(E1007,4)),'USD RUB'!$E:$F,2,FALSE),1)</f>
        <v>29.402434615384617</v>
      </c>
      <c r="B1007" s="4">
        <v>29.402434615384617</v>
      </c>
      <c r="C1007">
        <v>1000</v>
      </c>
      <c r="D1007" t="s">
        <v>111</v>
      </c>
      <c r="E1007" s="1" t="s">
        <v>1023</v>
      </c>
      <c r="F1007">
        <v>52283997281.769234</v>
      </c>
      <c r="G1007">
        <v>199764257117.76926</v>
      </c>
      <c r="H1007">
        <v>229543248713.2731</v>
      </c>
      <c r="J1007">
        <v>509283215874.96924</v>
      </c>
      <c r="K1007">
        <v>106297533974.91924</v>
      </c>
      <c r="L1007">
        <v>160304543327.58463</v>
      </c>
      <c r="N1007">
        <v>242681138572.46539</v>
      </c>
      <c r="O1007">
        <v>109588813103.33078</v>
      </c>
      <c r="P1007">
        <v>21792026049.276924</v>
      </c>
      <c r="Q1007">
        <v>23539089311.688461</v>
      </c>
      <c r="R1007">
        <v>16770237229.142309</v>
      </c>
      <c r="T1007">
        <v>27461873930.769234</v>
      </c>
      <c r="V1007" t="str">
        <f t="shared" si="42"/>
        <v/>
      </c>
      <c r="W1007" t="str">
        <f t="shared" si="43"/>
        <v/>
      </c>
    </row>
    <row r="1008" spans="1:23" x14ac:dyDescent="0.2">
      <c r="A1008">
        <f>IF(D1008="USD",VLOOKUP(VALUE(RIGHT(E1008,4)),'USD RUB'!$E:$F,2,FALSE),1)</f>
        <v>83.270722752808965</v>
      </c>
      <c r="B1008" s="4">
        <v>83.270722752808965</v>
      </c>
      <c r="C1008">
        <v>1000000</v>
      </c>
      <c r="D1008" t="s">
        <v>111</v>
      </c>
      <c r="E1008" s="1" t="s">
        <v>1024</v>
      </c>
      <c r="F1008">
        <v>176034307899.43814</v>
      </c>
      <c r="G1008">
        <v>777998362679.49414</v>
      </c>
      <c r="H1008">
        <v>1138227509308.1458</v>
      </c>
      <c r="I1008">
        <v>177949534522.75275</v>
      </c>
      <c r="J1008">
        <v>2733777827974.7183</v>
      </c>
      <c r="K1008">
        <v>1087099285537.921</v>
      </c>
      <c r="L1008">
        <v>477640865710.11224</v>
      </c>
      <c r="M1008">
        <v>146223389153.93256</v>
      </c>
      <c r="N1008">
        <v>1169037676726.6851</v>
      </c>
      <c r="O1008">
        <v>1474141604892.9771</v>
      </c>
      <c r="P1008">
        <v>117744801972.47188</v>
      </c>
      <c r="Q1008">
        <v>69947407112.359528</v>
      </c>
      <c r="R1008">
        <v>19568619846.910107</v>
      </c>
      <c r="S1008">
        <v>79190457337.921326</v>
      </c>
      <c r="T1008">
        <v>224830951432.5842</v>
      </c>
      <c r="U1008">
        <v>-181696717046.62915</v>
      </c>
      <c r="V1008">
        <f t="shared" si="42"/>
        <v>1356495468442.1047</v>
      </c>
      <c r="W1008">
        <f t="shared" si="43"/>
        <v>2543996177521.3286</v>
      </c>
    </row>
    <row r="1009" spans="1:23" x14ac:dyDescent="0.2">
      <c r="A1009">
        <f>IF(D1009="USD",VLOOKUP(VALUE(RIGHT(E1009,4)),'USD RUB'!$E:$F,2,FALSE),1)</f>
        <v>83.270722752808965</v>
      </c>
      <c r="B1009" s="4">
        <v>83.270722752808965</v>
      </c>
      <c r="C1009">
        <v>1000000</v>
      </c>
      <c r="D1009" t="s">
        <v>111</v>
      </c>
      <c r="E1009" s="1" t="s">
        <v>1025</v>
      </c>
      <c r="F1009">
        <v>114830326676.12357</v>
      </c>
      <c r="G1009">
        <v>737445520698.87622</v>
      </c>
      <c r="H1009">
        <v>1074358864956.7412</v>
      </c>
      <c r="I1009">
        <v>183029048610.6741</v>
      </c>
      <c r="J1009">
        <v>2577895034981.46</v>
      </c>
      <c r="K1009">
        <v>930050702426.12329</v>
      </c>
      <c r="L1009">
        <v>470313042107.86505</v>
      </c>
      <c r="M1009">
        <v>172370396098.31454</v>
      </c>
      <c r="N1009">
        <v>1177531290447.4717</v>
      </c>
      <c r="O1009">
        <v>744273719964.60657</v>
      </c>
      <c r="P1009">
        <v>74360755418.258408</v>
      </c>
      <c r="Q1009">
        <v>62536312787.359535</v>
      </c>
      <c r="R1009">
        <v>27729150676.685387</v>
      </c>
      <c r="S1009">
        <v>37888178852.528076</v>
      </c>
      <c r="T1009">
        <v>127320935089.04491</v>
      </c>
      <c r="U1009">
        <v>-80189706010.955032</v>
      </c>
      <c r="V1009">
        <f t="shared" si="42"/>
        <v>650143674239.33484</v>
      </c>
      <c r="W1009">
        <f t="shared" si="43"/>
        <v>2525105804419.9434</v>
      </c>
    </row>
    <row r="1010" spans="1:23" x14ac:dyDescent="0.2">
      <c r="A1010">
        <f>IF(D1010="USD",VLOOKUP(VALUE(RIGHT(E1010,4)),'USD RUB'!$E:$F,2,FALSE),1)</f>
        <v>92.599868144044279</v>
      </c>
      <c r="B1010" s="4">
        <v>92.599868144044279</v>
      </c>
      <c r="C1010">
        <v>1000000</v>
      </c>
      <c r="D1010" t="s">
        <v>111</v>
      </c>
      <c r="E1010" s="1" t="s">
        <v>1026</v>
      </c>
      <c r="F1010">
        <v>174365551715.23538</v>
      </c>
      <c r="G1010">
        <v>839047405253.18518</v>
      </c>
      <c r="H1010">
        <v>993133585844.87488</v>
      </c>
      <c r="I1010">
        <v>177884346704.70908</v>
      </c>
      <c r="J1010">
        <v>2543996177521.3286</v>
      </c>
      <c r="K1010">
        <v>793395670258.17139</v>
      </c>
      <c r="L1010">
        <v>613381526586.14929</v>
      </c>
      <c r="M1010">
        <v>157141976240.44315</v>
      </c>
      <c r="N1010">
        <v>1137218980677.0078</v>
      </c>
      <c r="O1010">
        <v>1356495468442.1047</v>
      </c>
      <c r="P1010">
        <v>139455401424.93069</v>
      </c>
      <c r="Q1010">
        <v>145289193118.00546</v>
      </c>
      <c r="R1010">
        <v>124824622258.17169</v>
      </c>
      <c r="S1010">
        <v>69727700712.465347</v>
      </c>
      <c r="T1010">
        <v>271039814057.61761</v>
      </c>
      <c r="U1010">
        <v>-173902552374.51517</v>
      </c>
      <c r="V1010">
        <f t="shared" si="42"/>
        <v>1251240602944.4448</v>
      </c>
      <c r="W1010">
        <f t="shared" si="43"/>
        <v>2254078169750.001</v>
      </c>
    </row>
    <row r="1011" spans="1:23" x14ac:dyDescent="0.2">
      <c r="A1011">
        <f>IF(D1011="USD",VLOOKUP(VALUE(RIGHT(E1011,4)),'USD RUB'!$E:$F,2,FALSE),1)</f>
        <v>92.599868144044279</v>
      </c>
      <c r="B1011" s="4">
        <v>92.599868144044279</v>
      </c>
      <c r="C1011">
        <v>1000000</v>
      </c>
      <c r="D1011" t="s">
        <v>111</v>
      </c>
      <c r="E1011" s="1" t="s">
        <v>1027</v>
      </c>
      <c r="F1011">
        <v>141862997996.67584</v>
      </c>
      <c r="G1011">
        <v>755892723659.8335</v>
      </c>
      <c r="H1011">
        <v>1017672550903.0466</v>
      </c>
      <c r="I1011">
        <v>193348524684.76447</v>
      </c>
      <c r="J1011">
        <v>2525105804419.9434</v>
      </c>
      <c r="K1011">
        <v>624123111290.8584</v>
      </c>
      <c r="L1011">
        <v>697184407256.5094</v>
      </c>
      <c r="M1011">
        <v>139825800897.50687</v>
      </c>
      <c r="N1011">
        <v>1203798285872.5757</v>
      </c>
      <c r="O1011">
        <v>650143674239.33484</v>
      </c>
      <c r="P1011">
        <v>96211263001.662003</v>
      </c>
      <c r="Q1011">
        <v>115101636103.04704</v>
      </c>
      <c r="R1011">
        <v>88618073813.850372</v>
      </c>
      <c r="S1011">
        <v>33521152268.144028</v>
      </c>
      <c r="T1011">
        <v>139270201688.64261</v>
      </c>
      <c r="U1011">
        <v>-63523509546.814377</v>
      </c>
      <c r="V1011">
        <f t="shared" si="42"/>
        <v>622118057840.27795</v>
      </c>
      <c r="W1011">
        <f t="shared" si="43"/>
        <v>2238617045423.6118</v>
      </c>
    </row>
    <row r="1012" spans="1:23" x14ac:dyDescent="0.2">
      <c r="A1012">
        <f>IF(D1012="USD",VLOOKUP(VALUE(RIGHT(E1012,4)),'USD RUB'!$E:$F,2,FALSE),1)</f>
        <v>85.420576388888918</v>
      </c>
      <c r="B1012" s="4">
        <v>85.420576388888918</v>
      </c>
      <c r="C1012">
        <v>1000000</v>
      </c>
      <c r="D1012" t="s">
        <v>111</v>
      </c>
      <c r="E1012" s="1" t="s">
        <v>1028</v>
      </c>
      <c r="F1012">
        <v>200482092784.72229</v>
      </c>
      <c r="G1012">
        <v>714799383222.22241</v>
      </c>
      <c r="H1012">
        <v>894524275944.4447</v>
      </c>
      <c r="I1012">
        <v>178187322347.22229</v>
      </c>
      <c r="J1012">
        <v>2254078169750.001</v>
      </c>
      <c r="K1012">
        <v>409335402055.55573</v>
      </c>
      <c r="L1012">
        <v>855487072534.72253</v>
      </c>
      <c r="M1012">
        <v>68507302263.888916</v>
      </c>
      <c r="N1012">
        <v>989255695159.72253</v>
      </c>
      <c r="O1012">
        <v>1251240602944.4448</v>
      </c>
      <c r="P1012">
        <v>87983193680.555588</v>
      </c>
      <c r="Q1012">
        <v>74828424916.666687</v>
      </c>
      <c r="R1012">
        <v>61161132694.444466</v>
      </c>
      <c r="S1012">
        <v>65346740937.500023</v>
      </c>
      <c r="T1012">
        <v>184252183270.8334</v>
      </c>
      <c r="U1012">
        <v>-123688994611.11116</v>
      </c>
      <c r="V1012">
        <f t="shared" si="42"/>
        <v>1126633041007.4993</v>
      </c>
      <c r="W1012">
        <f t="shared" si="43"/>
        <v>2088515827664.9985</v>
      </c>
    </row>
    <row r="1013" spans="1:23" x14ac:dyDescent="0.2">
      <c r="A1013">
        <f>IF(D1013="USD",VLOOKUP(VALUE(RIGHT(E1013,4)),'USD RUB'!$E:$F,2,FALSE),1)</f>
        <v>85.420576388888918</v>
      </c>
      <c r="B1013" s="4">
        <v>85.420576388888918</v>
      </c>
      <c r="C1013">
        <v>1000000</v>
      </c>
      <c r="D1013" t="s">
        <v>111</v>
      </c>
      <c r="E1013" s="1" t="s">
        <v>1029</v>
      </c>
      <c r="F1013">
        <v>142652362569.44449</v>
      </c>
      <c r="G1013">
        <v>696263118145.83362</v>
      </c>
      <c r="H1013">
        <v>886409321187.50024</v>
      </c>
      <c r="I1013">
        <v>183312556930.5556</v>
      </c>
      <c r="J1013">
        <v>2238617045423.6118</v>
      </c>
      <c r="K1013">
        <v>315031085722.22235</v>
      </c>
      <c r="L1013">
        <v>924763159986.11145</v>
      </c>
      <c r="M1013">
        <v>58940197708.333351</v>
      </c>
      <c r="N1013">
        <v>998822799715.27808</v>
      </c>
      <c r="O1013">
        <v>622118057840.27795</v>
      </c>
      <c r="P1013">
        <v>50483560645.833351</v>
      </c>
      <c r="Q1013">
        <v>54583748312.500015</v>
      </c>
      <c r="R1013">
        <v>56548421569.444466</v>
      </c>
      <c r="S1013">
        <v>31861874993.055565</v>
      </c>
      <c r="T1013">
        <v>89349922902.777802</v>
      </c>
      <c r="U1013">
        <v>-49800196034.722237</v>
      </c>
      <c r="V1013">
        <f t="shared" si="42"/>
        <v>566686412069.99963</v>
      </c>
      <c r="W1013">
        <f t="shared" si="43"/>
        <v>2255921148097.4985</v>
      </c>
    </row>
    <row r="1014" spans="1:23" x14ac:dyDescent="0.2">
      <c r="A1014">
        <f>IF(D1014="USD",VLOOKUP(VALUE(RIGHT(E1014,4)),'USD RUB'!$E:$F,2,FALSE),1)</f>
        <v>68.07861749999995</v>
      </c>
      <c r="B1014" s="4">
        <v>68.07861749999995</v>
      </c>
      <c r="C1014">
        <v>1000000</v>
      </c>
      <c r="D1014" t="s">
        <v>111</v>
      </c>
      <c r="E1014" s="1" t="s">
        <v>1030</v>
      </c>
      <c r="F1014">
        <v>236709353047.49982</v>
      </c>
      <c r="G1014">
        <v>714961640984.99951</v>
      </c>
      <c r="H1014">
        <v>790188513322.49939</v>
      </c>
      <c r="I1014">
        <v>164546018497.49988</v>
      </c>
      <c r="J1014">
        <v>2088515827664.9985</v>
      </c>
      <c r="K1014">
        <v>440264419372.49969</v>
      </c>
      <c r="L1014">
        <v>781474450282.49939</v>
      </c>
      <c r="M1014">
        <v>14296509674.99999</v>
      </c>
      <c r="N1014">
        <v>866776958009.99939</v>
      </c>
      <c r="O1014">
        <v>1126633041007.4993</v>
      </c>
      <c r="P1014">
        <v>136565706704.99989</v>
      </c>
      <c r="Q1014">
        <v>166996848727.49988</v>
      </c>
      <c r="R1014">
        <v>125673127904.99991</v>
      </c>
      <c r="S1014">
        <v>49016604599.999962</v>
      </c>
      <c r="T1014">
        <v>212337207982.49985</v>
      </c>
      <c r="U1014">
        <v>-116482514542.49991</v>
      </c>
      <c r="V1014">
        <f t="shared" si="42"/>
        <v>1042156832655.2729</v>
      </c>
      <c r="W1014">
        <f t="shared" si="43"/>
        <v>1922375802668.7275</v>
      </c>
    </row>
    <row r="1015" spans="1:23" x14ac:dyDescent="0.2">
      <c r="A1015">
        <f>IF(D1015="USD",VLOOKUP(VALUE(RIGHT(E1015,4)),'USD RUB'!$E:$F,2,FALSE),1)</f>
        <v>68.07861749999995</v>
      </c>
      <c r="B1015" s="4">
        <v>68.07861749999995</v>
      </c>
      <c r="C1015">
        <v>1000000</v>
      </c>
      <c r="D1015" t="s">
        <v>111</v>
      </c>
      <c r="E1015" s="1" t="s">
        <v>1031</v>
      </c>
      <c r="F1015">
        <v>123494612144.99991</v>
      </c>
      <c r="G1015">
        <v>648584988922.49951</v>
      </c>
      <c r="H1015">
        <v>894689191184.99939</v>
      </c>
      <c r="I1015">
        <v>189054320797.49985</v>
      </c>
      <c r="J1015">
        <v>2255921148097.4985</v>
      </c>
      <c r="K1015">
        <v>612979871969.99951</v>
      </c>
      <c r="L1015">
        <v>631905727634.99951</v>
      </c>
      <c r="M1015">
        <v>14364588292.499989</v>
      </c>
      <c r="N1015">
        <v>1011035548492.4993</v>
      </c>
      <c r="O1015">
        <v>566686412069.99963</v>
      </c>
      <c r="P1015">
        <v>132072517949.99991</v>
      </c>
      <c r="Q1015">
        <v>177889427527.49988</v>
      </c>
      <c r="R1015">
        <v>122609590117.49991</v>
      </c>
      <c r="S1015">
        <v>23078651332.499985</v>
      </c>
      <c r="T1015">
        <v>161822873797.49988</v>
      </c>
      <c r="U1015">
        <v>-43502236582.499969</v>
      </c>
      <c r="V1015">
        <f t="shared" si="42"/>
        <v>479985300386.18188</v>
      </c>
      <c r="W1015">
        <f t="shared" si="43"/>
        <v>1906514007466.9094</v>
      </c>
    </row>
    <row r="1016" spans="1:23" x14ac:dyDescent="0.2">
      <c r="A1016">
        <f>IF(D1016="USD",VLOOKUP(VALUE(RIGHT(E1016,4)),'USD RUB'!$E:$F,2,FALSE),1)</f>
        <v>73.77579163636365</v>
      </c>
      <c r="B1016" s="4">
        <v>73.77579163636365</v>
      </c>
      <c r="C1016">
        <v>1000000</v>
      </c>
      <c r="D1016" t="s">
        <v>111</v>
      </c>
      <c r="E1016" s="1" t="s">
        <v>1032</v>
      </c>
      <c r="F1016">
        <v>171897594512.72729</v>
      </c>
      <c r="G1016">
        <v>661547523603.27283</v>
      </c>
      <c r="H1016">
        <v>746389683985.09106</v>
      </c>
      <c r="I1016">
        <v>162232965808.36368</v>
      </c>
      <c r="J1016">
        <v>1922375802668.7275</v>
      </c>
      <c r="K1016">
        <v>431514605281.091</v>
      </c>
      <c r="L1016">
        <v>730159009825.09106</v>
      </c>
      <c r="M1016">
        <v>-65808006139.636375</v>
      </c>
      <c r="N1016">
        <v>760702187562.54553</v>
      </c>
      <c r="O1016">
        <v>1042156832655.2729</v>
      </c>
      <c r="P1016">
        <v>213802244162.18185</v>
      </c>
      <c r="Q1016">
        <v>305284225791.27277</v>
      </c>
      <c r="R1016">
        <v>260723647642.90915</v>
      </c>
      <c r="S1016">
        <v>60643700725.090919</v>
      </c>
      <c r="T1016">
        <v>294512960212.36371</v>
      </c>
      <c r="U1016">
        <v>-111622772745.81821</v>
      </c>
      <c r="V1016">
        <f t="shared" si="42"/>
        <v>748711131077.35229</v>
      </c>
      <c r="W1016">
        <f t="shared" si="43"/>
        <v>1638329754861.325</v>
      </c>
    </row>
    <row r="1017" spans="1:23" x14ac:dyDescent="0.2">
      <c r="A1017">
        <f>IF(D1017="USD",VLOOKUP(VALUE(RIGHT(E1017,4)),'USD RUB'!$E:$F,2,FALSE),1)</f>
        <v>73.77579163636365</v>
      </c>
      <c r="B1017" s="4">
        <v>73.77579163636365</v>
      </c>
      <c r="C1017">
        <v>1000000</v>
      </c>
      <c r="D1017" t="s">
        <v>111</v>
      </c>
      <c r="E1017" s="1" t="s">
        <v>1033</v>
      </c>
      <c r="F1017">
        <v>309710773289.45459</v>
      </c>
      <c r="G1017">
        <v>645611952609.81824</v>
      </c>
      <c r="H1017">
        <v>732814938324.00012</v>
      </c>
      <c r="I1017">
        <v>163634705849.45459</v>
      </c>
      <c r="J1017">
        <v>1906514007466.9094</v>
      </c>
      <c r="K1017">
        <v>358255244186.18188</v>
      </c>
      <c r="L1017">
        <v>878300799430.9093</v>
      </c>
      <c r="M1017">
        <v>-129992944863.27275</v>
      </c>
      <c r="N1017">
        <v>669957963849.81836</v>
      </c>
      <c r="O1017">
        <v>479985300386.18188</v>
      </c>
      <c r="P1017">
        <v>102622126166.18184</v>
      </c>
      <c r="Q1017">
        <v>182447532716.72729</v>
      </c>
      <c r="R1017">
        <v>164593791140.72729</v>
      </c>
      <c r="S1017">
        <v>31649814612.000004</v>
      </c>
      <c r="T1017">
        <v>139436246192.72729</v>
      </c>
      <c r="U1017">
        <v>-51126623604.000008</v>
      </c>
      <c r="V1017">
        <f t="shared" si="42"/>
        <v>357727180047.38696</v>
      </c>
      <c r="W1017">
        <f t="shared" si="43"/>
        <v>1595240547240.4189</v>
      </c>
    </row>
    <row r="1018" spans="1:23" x14ac:dyDescent="0.2">
      <c r="A1018">
        <f>IF(D1018="USD",VLOOKUP(VALUE(RIGHT(E1018,4)),'USD RUB'!$E:$F,2,FALSE),1)</f>
        <v>72.297328222996555</v>
      </c>
      <c r="B1018" s="4">
        <v>72.297328222996555</v>
      </c>
      <c r="C1018">
        <v>1000000</v>
      </c>
      <c r="D1018" t="s">
        <v>111</v>
      </c>
      <c r="E1018" s="1" t="s">
        <v>1034</v>
      </c>
      <c r="F1018">
        <v>185225754907.31717</v>
      </c>
      <c r="G1018">
        <v>477090068943.55426</v>
      </c>
      <c r="H1018">
        <v>692391512391.63806</v>
      </c>
      <c r="I1018">
        <v>157680472854.3555</v>
      </c>
      <c r="J1018">
        <v>1638329754861.325</v>
      </c>
      <c r="K1018">
        <v>330760276620.20923</v>
      </c>
      <c r="L1018">
        <v>869086182568.6416</v>
      </c>
      <c r="M1018">
        <v>-225712258712.19525</v>
      </c>
      <c r="N1018">
        <v>438483295672.47412</v>
      </c>
      <c r="O1018">
        <v>748711131077.35229</v>
      </c>
      <c r="P1018">
        <v>73020301505.226517</v>
      </c>
      <c r="Q1018">
        <v>81334494250.871124</v>
      </c>
      <c r="R1018">
        <v>73454085474.564499</v>
      </c>
      <c r="S1018">
        <v>56464213342.160309</v>
      </c>
      <c r="T1018">
        <v>134545327822.99658</v>
      </c>
      <c r="U1018">
        <v>-81551386235.540115</v>
      </c>
      <c r="V1018">
        <f t="shared" si="42"/>
        <v>760226229749.99951</v>
      </c>
      <c r="W1018">
        <f t="shared" si="43"/>
        <v>1554543611906.249</v>
      </c>
    </row>
    <row r="1019" spans="1:23" x14ac:dyDescent="0.2">
      <c r="A1019">
        <f>IF(D1019="USD",VLOOKUP(VALUE(RIGHT(E1019,4)),'USD RUB'!$E:$F,2,FALSE),1)</f>
        <v>72.297328222996555</v>
      </c>
      <c r="B1019" s="4">
        <v>72.297328222996555</v>
      </c>
      <c r="C1019">
        <v>1000</v>
      </c>
      <c r="D1019" t="s">
        <v>111</v>
      </c>
      <c r="E1019" s="1" t="s">
        <v>1035</v>
      </c>
      <c r="F1019">
        <v>4771623.6627177726</v>
      </c>
      <c r="G1019">
        <v>107000045.77003489</v>
      </c>
      <c r="H1019">
        <v>1012162.5951219518</v>
      </c>
      <c r="J1019">
        <v>354882063289.82739</v>
      </c>
      <c r="K1019">
        <v>13818911316.543562</v>
      </c>
      <c r="L1019">
        <v>41023528358.918488</v>
      </c>
      <c r="M1019">
        <v>190486325400.80707</v>
      </c>
      <c r="N1019">
        <v>300039623614.3653</v>
      </c>
      <c r="P1019">
        <v>-1312774885.8731713</v>
      </c>
      <c r="Q1019">
        <v>12148915331.920565</v>
      </c>
      <c r="R1019">
        <v>12148915331.920565</v>
      </c>
      <c r="S1019">
        <v>650675.954006969</v>
      </c>
      <c r="U1019">
        <v>-650675.954006969</v>
      </c>
      <c r="V1019">
        <f t="shared" si="42"/>
        <v>561048510093.74963</v>
      </c>
      <c r="W1019">
        <f t="shared" si="43"/>
        <v>1515212642906.249</v>
      </c>
    </row>
    <row r="1020" spans="1:23" x14ac:dyDescent="0.2">
      <c r="A1020">
        <f>IF(D1020="USD",VLOOKUP(VALUE(RIGHT(E1020,4)),'USD RUB'!$E:$F,2,FALSE),1)</f>
        <v>72.297328222996555</v>
      </c>
      <c r="B1020" s="4">
        <v>72.297328222996555</v>
      </c>
      <c r="C1020">
        <v>1000000</v>
      </c>
      <c r="D1020" t="s">
        <v>111</v>
      </c>
      <c r="E1020" s="1" t="s">
        <v>1036</v>
      </c>
      <c r="F1020">
        <v>183490619029.96527</v>
      </c>
      <c r="G1020">
        <v>484970477719.8609</v>
      </c>
      <c r="H1020">
        <v>671425287206.96899</v>
      </c>
      <c r="I1020">
        <v>159849392701.04538</v>
      </c>
      <c r="J1020">
        <v>1595240547240.4189</v>
      </c>
      <c r="K1020">
        <v>302998102582.57855</v>
      </c>
      <c r="L1020">
        <v>918103771103.83325</v>
      </c>
      <c r="M1020">
        <v>-269669034271.77716</v>
      </c>
      <c r="N1020">
        <v>374138673554.00714</v>
      </c>
      <c r="O1020">
        <v>357727180047.38696</v>
      </c>
      <c r="P1020">
        <v>22122982436.236946</v>
      </c>
      <c r="Q1020">
        <v>1879730533.7979105</v>
      </c>
      <c r="R1020">
        <v>1445946564.4599311</v>
      </c>
      <c r="S1020">
        <v>27762174037.630676</v>
      </c>
      <c r="T1020">
        <v>54656780136.585396</v>
      </c>
      <c r="U1020">
        <v>-35570285485.714302</v>
      </c>
      <c r="V1020">
        <f t="shared" si="42"/>
        <v>375390811031.24976</v>
      </c>
      <c r="W1020">
        <f t="shared" si="43"/>
        <v>1515600777468.749</v>
      </c>
    </row>
    <row r="1021" spans="1:23" x14ac:dyDescent="0.2">
      <c r="A1021">
        <f>IF(D1021="USD",VLOOKUP(VALUE(RIGHT(E1021,4)),'USD RUB'!$E:$F,2,FALSE),1)</f>
        <v>72.297328222996555</v>
      </c>
      <c r="B1021" s="4">
        <v>72.297328222996555</v>
      </c>
      <c r="C1021">
        <v>1000</v>
      </c>
      <c r="D1021" t="s">
        <v>111</v>
      </c>
      <c r="E1021" s="1" t="s">
        <v>1037</v>
      </c>
      <c r="F1021">
        <v>88853416.386062771</v>
      </c>
      <c r="G1021">
        <v>125074377.82578404</v>
      </c>
      <c r="H1021">
        <v>1373649.2362369346</v>
      </c>
      <c r="J1021">
        <v>355183760040.50195</v>
      </c>
      <c r="K1021">
        <v>14000377610.383284</v>
      </c>
      <c r="L1021">
        <v>40511229491.130333</v>
      </c>
      <c r="M1021">
        <v>191118854725.43005</v>
      </c>
      <c r="N1021">
        <v>300672152938.98834</v>
      </c>
      <c r="P1021">
        <v>-390116383.0912894</v>
      </c>
      <c r="R1021">
        <v>12781444656.54356</v>
      </c>
      <c r="S1021">
        <v>144594.65644599311</v>
      </c>
      <c r="U1021">
        <v>-650675.954006969</v>
      </c>
      <c r="V1021">
        <f t="shared" si="42"/>
        <v>179900369718.74988</v>
      </c>
      <c r="W1021">
        <f t="shared" si="43"/>
        <v>1480474599562.499</v>
      </c>
    </row>
    <row r="1022" spans="1:23" x14ac:dyDescent="0.2">
      <c r="A1022">
        <f>IF(D1022="USD",VLOOKUP(VALUE(RIGHT(E1022,4)),'USD RUB'!$E:$F,2,FALSE),1)</f>
        <v>64.689093749999955</v>
      </c>
      <c r="B1022" s="4">
        <v>64.689093749999955</v>
      </c>
      <c r="C1022">
        <v>1000000</v>
      </c>
      <c r="D1022" t="s">
        <v>111</v>
      </c>
      <c r="E1022" s="1" t="s">
        <v>1038</v>
      </c>
      <c r="F1022">
        <v>147361755562.49991</v>
      </c>
      <c r="G1022">
        <v>466925878687.49969</v>
      </c>
      <c r="H1022">
        <v>639322313531.24951</v>
      </c>
      <c r="I1022">
        <v>153701286749.99991</v>
      </c>
      <c r="J1022">
        <v>1554543611906.249</v>
      </c>
      <c r="K1022">
        <v>224729911687.49985</v>
      </c>
      <c r="L1022">
        <v>852925701093.74939</v>
      </c>
      <c r="M1022">
        <v>-246206690812.49982</v>
      </c>
      <c r="N1022">
        <v>476887999124.99969</v>
      </c>
      <c r="O1022">
        <v>760226229749.99951</v>
      </c>
      <c r="P1022">
        <v>63136555499.999954</v>
      </c>
      <c r="Q1022">
        <v>102208768124.99992</v>
      </c>
      <c r="R1022">
        <v>84354578249.999939</v>
      </c>
      <c r="S1022">
        <v>52139409562.499962</v>
      </c>
      <c r="T1022">
        <v>137593702406.24991</v>
      </c>
      <c r="U1022">
        <v>-68635128468.749954</v>
      </c>
      <c r="V1022">
        <f t="shared" si="42"/>
        <v>778193802045.84705</v>
      </c>
      <c r="W1022">
        <f t="shared" si="43"/>
        <v>1337980327608.6377</v>
      </c>
    </row>
    <row r="1023" spans="1:23" x14ac:dyDescent="0.2">
      <c r="A1023">
        <f>IF(D1023="USD",VLOOKUP(VALUE(RIGHT(E1023,4)),'USD RUB'!$E:$F,2,FALSE),1)</f>
        <v>64.689093749999955</v>
      </c>
      <c r="B1023" s="4">
        <v>64.689093749999955</v>
      </c>
      <c r="C1023">
        <v>1000000</v>
      </c>
      <c r="D1023" t="s">
        <v>111</v>
      </c>
      <c r="E1023" s="1" t="s">
        <v>1039</v>
      </c>
      <c r="F1023">
        <v>131577616687.49991</v>
      </c>
      <c r="G1023">
        <v>461815440281.24969</v>
      </c>
      <c r="H1023">
        <v>626837318437.49951</v>
      </c>
      <c r="I1023">
        <v>150208075687.49991</v>
      </c>
      <c r="J1023">
        <v>1515212642906.249</v>
      </c>
      <c r="K1023">
        <v>252352154718.74982</v>
      </c>
      <c r="L1023">
        <v>818511103218.74939</v>
      </c>
      <c r="M1023">
        <v>-256686323999.99982</v>
      </c>
      <c r="N1023">
        <v>444349384968.74969</v>
      </c>
      <c r="O1023">
        <v>561048510093.74963</v>
      </c>
      <c r="P1023">
        <v>59837411718.749962</v>
      </c>
      <c r="Q1023">
        <v>85907116499.999939</v>
      </c>
      <c r="R1023">
        <v>69411397593.749954</v>
      </c>
      <c r="S1023">
        <v>38554699874.999977</v>
      </c>
      <c r="T1023">
        <v>104602264593.74992</v>
      </c>
      <c r="U1023">
        <v>-47028971156.249969</v>
      </c>
      <c r="V1023">
        <f t="shared" si="42"/>
        <v>593107152084.38525</v>
      </c>
      <c r="W1023">
        <f t="shared" si="43"/>
        <v>1337665982075.415</v>
      </c>
    </row>
    <row r="1024" spans="1:23" x14ac:dyDescent="0.2">
      <c r="A1024">
        <f>IF(D1024="USD",VLOOKUP(VALUE(RIGHT(E1024,4)),'USD RUB'!$E:$F,2,FALSE),1)</f>
        <v>64.689093749999955</v>
      </c>
      <c r="B1024" s="4">
        <v>64.689093749999955</v>
      </c>
      <c r="C1024">
        <v>1000000</v>
      </c>
      <c r="D1024" t="s">
        <v>111</v>
      </c>
      <c r="E1024" s="1" t="s">
        <v>1040</v>
      </c>
      <c r="F1024">
        <v>95675169656.249939</v>
      </c>
      <c r="G1024">
        <v>433352239031.24969</v>
      </c>
      <c r="H1024">
        <v>633694362374.99951</v>
      </c>
      <c r="I1024">
        <v>151372479374.99991</v>
      </c>
      <c r="J1024">
        <v>1515600777468.749</v>
      </c>
      <c r="K1024">
        <v>271370748281.24982</v>
      </c>
      <c r="L1024">
        <v>806284864499.99939</v>
      </c>
      <c r="M1024">
        <v>-264578393437.49982</v>
      </c>
      <c r="N1024">
        <v>437945164687.49969</v>
      </c>
      <c r="O1024">
        <v>375390811031.24976</v>
      </c>
      <c r="P1024">
        <v>47158349343.749969</v>
      </c>
      <c r="Q1024">
        <v>68505750281.249954</v>
      </c>
      <c r="R1024">
        <v>55826687906.249962</v>
      </c>
      <c r="S1024">
        <v>25616881124.999981</v>
      </c>
      <c r="T1024">
        <v>76656576093.749954</v>
      </c>
      <c r="U1024">
        <v>-30921386812.499977</v>
      </c>
      <c r="V1024">
        <f t="shared" si="42"/>
        <v>385764838370.76404</v>
      </c>
      <c r="W1024">
        <f t="shared" si="43"/>
        <v>1357218274241.8601</v>
      </c>
    </row>
    <row r="1025" spans="1:23" x14ac:dyDescent="0.2">
      <c r="A1025">
        <f>IF(D1025="USD",VLOOKUP(VALUE(RIGHT(E1025,4)),'USD RUB'!$E:$F,2,FALSE),1)</f>
        <v>64.689093749999955</v>
      </c>
      <c r="B1025" s="4">
        <v>64.689093749999955</v>
      </c>
      <c r="C1025">
        <v>1000000</v>
      </c>
      <c r="D1025" t="s">
        <v>111</v>
      </c>
      <c r="E1025" s="1" t="s">
        <v>1041</v>
      </c>
      <c r="F1025">
        <v>88753436624.999939</v>
      </c>
      <c r="G1025">
        <v>401331137624.99969</v>
      </c>
      <c r="H1025">
        <v>628583923968.74951</v>
      </c>
      <c r="I1025">
        <v>148784915624.99991</v>
      </c>
      <c r="J1025">
        <v>1480474599562.499</v>
      </c>
      <c r="K1025">
        <v>304232807906.24982</v>
      </c>
      <c r="L1025">
        <v>775428166781.24951</v>
      </c>
      <c r="M1025">
        <v>-283726365187.49982</v>
      </c>
      <c r="N1025">
        <v>400813624874.99969</v>
      </c>
      <c r="O1025">
        <v>179900369718.74988</v>
      </c>
      <c r="P1025">
        <v>23288073749.999985</v>
      </c>
      <c r="Q1025">
        <v>32991437812.499977</v>
      </c>
      <c r="R1025">
        <v>26457839343.749981</v>
      </c>
      <c r="S1025">
        <v>12226238718.749992</v>
      </c>
      <c r="T1025">
        <v>37454985281.249977</v>
      </c>
      <c r="U1025">
        <v>-11514658687.499992</v>
      </c>
      <c r="V1025">
        <f t="shared" si="42"/>
        <v>216143988643.85379</v>
      </c>
      <c r="W1025">
        <f t="shared" si="43"/>
        <v>1420778941059.4683</v>
      </c>
    </row>
    <row r="1026" spans="1:23" x14ac:dyDescent="0.2">
      <c r="A1026">
        <f>IF(D1026="USD",VLOOKUP(VALUE(RIGHT(E1026,4)),'USD RUB'!$E:$F,2,FALSE),1)</f>
        <v>62.869106644518261</v>
      </c>
      <c r="B1026" s="4">
        <v>62.869106644518261</v>
      </c>
      <c r="C1026">
        <v>1000000</v>
      </c>
      <c r="D1026" t="s">
        <v>111</v>
      </c>
      <c r="E1026" s="1" t="s">
        <v>1042</v>
      </c>
      <c r="F1026">
        <v>74374153160.465103</v>
      </c>
      <c r="G1026">
        <v>366464022630.89697</v>
      </c>
      <c r="H1026">
        <v>586065812140.19922</v>
      </c>
      <c r="I1026">
        <v>137997689084.71759</v>
      </c>
      <c r="J1026">
        <v>1337980327608.6377</v>
      </c>
      <c r="K1026">
        <v>249150269632.22586</v>
      </c>
      <c r="L1026">
        <v>749211143882.72412</v>
      </c>
      <c r="M1026">
        <v>-323335815472.75745</v>
      </c>
      <c r="N1026">
        <v>339618914093.68762</v>
      </c>
      <c r="O1026">
        <v>778193802045.84705</v>
      </c>
      <c r="P1026">
        <v>143341563149.50165</v>
      </c>
      <c r="Q1026">
        <v>142587133869.76743</v>
      </c>
      <c r="R1026">
        <v>117062276572.093</v>
      </c>
      <c r="S1026">
        <v>47277568196.677734</v>
      </c>
      <c r="T1026">
        <v>206650753540.53152</v>
      </c>
      <c r="U1026">
        <v>-63120583071.096336</v>
      </c>
      <c r="V1026">
        <f t="shared" si="42"/>
        <v>705235609895.70923</v>
      </c>
      <c r="W1026">
        <f t="shared" si="43"/>
        <v>1272386390600.6597</v>
      </c>
    </row>
    <row r="1027" spans="1:23" x14ac:dyDescent="0.2">
      <c r="A1027">
        <f>IF(D1027="USD",VLOOKUP(VALUE(RIGHT(E1027,4)),'USD RUB'!$E:$F,2,FALSE),1)</f>
        <v>62.869106644518261</v>
      </c>
      <c r="B1027" s="4">
        <v>62.869106644518261</v>
      </c>
      <c r="C1027">
        <v>1000000</v>
      </c>
      <c r="D1027" t="s">
        <v>111</v>
      </c>
      <c r="E1027" s="1" t="s">
        <v>1043</v>
      </c>
      <c r="F1027">
        <v>76637440999.667755</v>
      </c>
      <c r="G1027">
        <v>365772462457.80725</v>
      </c>
      <c r="H1027">
        <v>577829959169.76733</v>
      </c>
      <c r="I1027">
        <v>138940725684.38535</v>
      </c>
      <c r="J1027">
        <v>1337665982075.415</v>
      </c>
      <c r="K1027">
        <v>223562543227.90695</v>
      </c>
      <c r="L1027">
        <v>786932607869.43506</v>
      </c>
      <c r="M1027">
        <v>-332388966829.56805</v>
      </c>
      <c r="N1027">
        <v>327170830978.07306</v>
      </c>
      <c r="O1027">
        <v>593107152084.38525</v>
      </c>
      <c r="P1027">
        <v>115679156225.9136</v>
      </c>
      <c r="Q1027">
        <v>117502360318.60463</v>
      </c>
      <c r="R1027">
        <v>102036560084.05313</v>
      </c>
      <c r="S1027">
        <v>35458176147.508301</v>
      </c>
      <c r="U1027">
        <v>-48660688542.857132</v>
      </c>
      <c r="V1027">
        <f t="shared" si="42"/>
        <v>508254802038.28363</v>
      </c>
      <c r="W1027">
        <f t="shared" si="43"/>
        <v>1254950848401.3196</v>
      </c>
    </row>
    <row r="1028" spans="1:23" x14ac:dyDescent="0.2">
      <c r="A1028">
        <f>IF(D1028="USD",VLOOKUP(VALUE(RIGHT(E1028,4)),'USD RUB'!$E:$F,2,FALSE),1)</f>
        <v>62.869106644518261</v>
      </c>
      <c r="B1028" s="4">
        <v>62.869106644518261</v>
      </c>
      <c r="C1028">
        <v>1000000</v>
      </c>
      <c r="D1028" t="s">
        <v>111</v>
      </c>
      <c r="E1028" s="1" t="s">
        <v>1044</v>
      </c>
      <c r="F1028">
        <v>52055620301.661118</v>
      </c>
      <c r="G1028">
        <v>345654348331.5614</v>
      </c>
      <c r="H1028">
        <v>594678879750.49829</v>
      </c>
      <c r="I1028">
        <v>142335657443.18933</v>
      </c>
      <c r="J1028">
        <v>1357218274241.8601</v>
      </c>
      <c r="K1028">
        <v>234878982423.92023</v>
      </c>
      <c r="L1028">
        <v>818178553871.76062</v>
      </c>
      <c r="M1028">
        <v>-349866578476.74414</v>
      </c>
      <c r="N1028">
        <v>304160737946.17932</v>
      </c>
      <c r="O1028">
        <v>385764838370.76404</v>
      </c>
      <c r="P1028">
        <v>73493985667.441849</v>
      </c>
      <c r="Q1028">
        <v>73871200307.30896</v>
      </c>
      <c r="R1028">
        <v>65195263590.36544</v>
      </c>
      <c r="S1028">
        <v>23324438565.116276</v>
      </c>
      <c r="U1028">
        <v>-33509233841.528233</v>
      </c>
      <c r="V1028">
        <f t="shared" si="42"/>
        <v>340605357813.86127</v>
      </c>
      <c r="W1028">
        <f t="shared" si="43"/>
        <v>1206959372715.511</v>
      </c>
    </row>
    <row r="1029" spans="1:23" x14ac:dyDescent="0.2">
      <c r="A1029">
        <f>IF(D1029="USD",VLOOKUP(VALUE(RIGHT(E1029,4)),'USD RUB'!$E:$F,2,FALSE),1)</f>
        <v>62.869106644518261</v>
      </c>
      <c r="B1029" s="4">
        <v>62.869106644518261</v>
      </c>
      <c r="C1029">
        <v>1000000</v>
      </c>
      <c r="D1029" t="s">
        <v>111</v>
      </c>
      <c r="E1029" s="1" t="s">
        <v>1045</v>
      </c>
      <c r="F1029">
        <v>74248414947.176071</v>
      </c>
      <c r="G1029">
        <v>332577574149.50159</v>
      </c>
      <c r="H1029">
        <v>627245076992.35864</v>
      </c>
      <c r="I1029">
        <v>151074463266.77737</v>
      </c>
      <c r="J1029">
        <v>1420778941059.4683</v>
      </c>
      <c r="K1029">
        <v>283476801860.13281</v>
      </c>
      <c r="L1029">
        <v>821573485630.5647</v>
      </c>
      <c r="M1029">
        <v>-359611290006.64447</v>
      </c>
      <c r="N1029">
        <v>315728653568.77069</v>
      </c>
      <c r="O1029">
        <v>216143988643.85379</v>
      </c>
      <c r="P1029">
        <v>42436646985.049828</v>
      </c>
      <c r="Q1029">
        <v>47277568196.677734</v>
      </c>
      <c r="R1029">
        <v>41933694131.893677</v>
      </c>
      <c r="S1029">
        <v>12322344902.325579</v>
      </c>
      <c r="U1029">
        <v>-14585632741.528236</v>
      </c>
      <c r="V1029" t="str">
        <f t="shared" si="42"/>
        <v/>
      </c>
      <c r="W1029" t="str">
        <f t="shared" si="43"/>
        <v/>
      </c>
    </row>
    <row r="1030" spans="1:23" x14ac:dyDescent="0.2">
      <c r="A1030">
        <f>IF(D1030="USD",VLOOKUP(VALUE(RIGHT(E1030,4)),'USD RUB'!$E:$F,2,FALSE),1)</f>
        <v>58.312850165016478</v>
      </c>
      <c r="B1030" s="4">
        <v>58.312850165016478</v>
      </c>
      <c r="C1030">
        <v>1000000</v>
      </c>
      <c r="D1030" t="s">
        <v>111</v>
      </c>
      <c r="E1030" s="1" t="s">
        <v>1046</v>
      </c>
      <c r="F1030">
        <v>56796716060.726051</v>
      </c>
      <c r="G1030">
        <v>281826004847.52466</v>
      </c>
      <c r="H1030">
        <v>579629730640.26379</v>
      </c>
      <c r="I1030">
        <v>139484337594.71942</v>
      </c>
      <c r="J1030">
        <v>1272386390600.6597</v>
      </c>
      <c r="K1030">
        <v>250861881409.90088</v>
      </c>
      <c r="L1030">
        <v>765822661217.16138</v>
      </c>
      <c r="M1030">
        <v>-351626486495.04938</v>
      </c>
      <c r="N1030">
        <v>255701847973.59726</v>
      </c>
      <c r="O1030">
        <v>705235609895.70923</v>
      </c>
      <c r="P1030">
        <v>138201454891.08905</v>
      </c>
      <c r="Q1030">
        <v>94350191566.996658</v>
      </c>
      <c r="R1030">
        <v>81812928781.518112</v>
      </c>
      <c r="S1030">
        <v>42918257721.452126</v>
      </c>
      <c r="U1030">
        <v>-57729721663.36631</v>
      </c>
      <c r="V1030" t="str">
        <f t="shared" si="42"/>
        <v/>
      </c>
      <c r="W1030" t="str">
        <f t="shared" si="43"/>
        <v/>
      </c>
    </row>
    <row r="1031" spans="1:23" x14ac:dyDescent="0.2">
      <c r="A1031">
        <f>IF(D1031="USD",VLOOKUP(VALUE(RIGHT(E1031,4)),'USD RUB'!$E:$F,2,FALSE),1)</f>
        <v>58.312850165016478</v>
      </c>
      <c r="B1031" s="4">
        <v>58.312850165016478</v>
      </c>
      <c r="C1031">
        <v>1000000</v>
      </c>
      <c r="D1031" t="s">
        <v>111</v>
      </c>
      <c r="E1031" s="1" t="s">
        <v>1047</v>
      </c>
      <c r="F1031">
        <v>70850112950.495026</v>
      </c>
      <c r="G1031">
        <v>291972440776.23749</v>
      </c>
      <c r="H1031">
        <v>561669372789.43872</v>
      </c>
      <c r="I1031">
        <v>139076147643.5643</v>
      </c>
      <c r="J1031">
        <v>1254950848401.3196</v>
      </c>
      <c r="K1031">
        <v>228003244145.21442</v>
      </c>
      <c r="L1031">
        <v>853816752116.17126</v>
      </c>
      <c r="M1031">
        <v>-360315101169.63684</v>
      </c>
      <c r="N1031">
        <v>173130852139.93393</v>
      </c>
      <c r="O1031">
        <v>508254802038.28363</v>
      </c>
      <c r="P1031">
        <v>94291878716.83165</v>
      </c>
      <c r="Q1031">
        <v>61345118373.597336</v>
      </c>
      <c r="R1031">
        <v>52364939448.184799</v>
      </c>
      <c r="S1031">
        <v>31955441890.429031</v>
      </c>
      <c r="U1031">
        <v>-37903352607.260712</v>
      </c>
      <c r="V1031" t="str">
        <f t="shared" si="42"/>
        <v/>
      </c>
      <c r="W1031" t="str">
        <f t="shared" si="43"/>
        <v/>
      </c>
    </row>
    <row r="1032" spans="1:23" x14ac:dyDescent="0.2">
      <c r="A1032">
        <f>IF(D1032="USD",VLOOKUP(VALUE(RIGHT(E1032,4)),'USD RUB'!$E:$F,2,FALSE),1)</f>
        <v>58.312850165016478</v>
      </c>
      <c r="B1032" s="4">
        <v>58.312850165016478</v>
      </c>
      <c r="C1032">
        <v>1000000</v>
      </c>
      <c r="D1032" t="s">
        <v>111</v>
      </c>
      <c r="E1032" s="1" t="s">
        <v>1048</v>
      </c>
      <c r="F1032">
        <v>42101877819.141899</v>
      </c>
      <c r="G1032">
        <v>260600127387.45865</v>
      </c>
      <c r="H1032">
        <v>550823182658.74561</v>
      </c>
      <c r="I1032">
        <v>137210136438.28377</v>
      </c>
      <c r="J1032">
        <v>1206959372715.511</v>
      </c>
      <c r="K1032">
        <v>205494483981.51807</v>
      </c>
      <c r="L1032">
        <v>846527645845.54419</v>
      </c>
      <c r="M1032">
        <v>-368012397391.41901</v>
      </c>
      <c r="N1032">
        <v>154937242888.44879</v>
      </c>
      <c r="O1032">
        <v>340605357813.86127</v>
      </c>
      <c r="P1032">
        <v>62044872575.57753</v>
      </c>
      <c r="Q1032">
        <v>37378536955.775566</v>
      </c>
      <c r="R1032">
        <v>31955441890.429031</v>
      </c>
      <c r="S1032">
        <v>21284190310.231014</v>
      </c>
      <c r="U1032">
        <v>-22100570212.541245</v>
      </c>
      <c r="V1032" t="str">
        <f t="shared" si="42"/>
        <v/>
      </c>
      <c r="W1032" t="str">
        <f t="shared" si="43"/>
        <v/>
      </c>
    </row>
    <row r="1033" spans="1:23" x14ac:dyDescent="0.2">
      <c r="A1033">
        <f>IF(D1033="USD",VLOOKUP(VALUE(RIGHT(E1033,4)),'USD RUB'!$E:$F,2,FALSE),1)</f>
        <v>83.270722752808965</v>
      </c>
      <c r="B1033" s="4">
        <v>83.270722752808965</v>
      </c>
      <c r="C1033">
        <v>1000000</v>
      </c>
      <c r="D1033" t="s">
        <v>111</v>
      </c>
      <c r="E1033" s="1" t="s">
        <v>1049</v>
      </c>
      <c r="F1033">
        <v>175368142117.41568</v>
      </c>
      <c r="G1033">
        <v>643849228324.71887</v>
      </c>
      <c r="H1033">
        <v>1839533536332.3027</v>
      </c>
      <c r="I1033">
        <v>23315802370.78651</v>
      </c>
      <c r="J1033">
        <v>2602709710361.7969</v>
      </c>
      <c r="K1033">
        <v>552168162573.87622</v>
      </c>
      <c r="L1033">
        <v>930966680376.40417</v>
      </c>
      <c r="M1033">
        <v>1246895802500.5615</v>
      </c>
      <c r="N1033">
        <v>1119574867411.5166</v>
      </c>
      <c r="O1033">
        <v>1146054957246.9097</v>
      </c>
      <c r="P1033">
        <v>327920106200.56171</v>
      </c>
      <c r="Q1033">
        <v>273627594965.73026</v>
      </c>
      <c r="R1033">
        <v>205678685199.43814</v>
      </c>
      <c r="S1033">
        <v>117494989804.21346</v>
      </c>
      <c r="T1033">
        <v>471978456562.9212</v>
      </c>
      <c r="U1033">
        <v>-218835459394.38196</v>
      </c>
      <c r="V1033">
        <f t="shared" si="42"/>
        <v>1160739347185.595</v>
      </c>
      <c r="W1033">
        <f t="shared" si="43"/>
        <v>2145538944897.5059</v>
      </c>
    </row>
    <row r="1034" spans="1:23" x14ac:dyDescent="0.2">
      <c r="A1034">
        <f>IF(D1034="USD",VLOOKUP(VALUE(RIGHT(E1034,4)),'USD RUB'!$E:$F,2,FALSE),1)</f>
        <v>83.270722752808965</v>
      </c>
      <c r="B1034" s="4">
        <v>83.270722752808965</v>
      </c>
      <c r="C1034">
        <v>1000000</v>
      </c>
      <c r="D1034" t="s">
        <v>111</v>
      </c>
      <c r="E1034" s="1" t="s">
        <v>1050</v>
      </c>
      <c r="F1034">
        <v>239986222973.59543</v>
      </c>
      <c r="G1034">
        <v>726620326741.01099</v>
      </c>
      <c r="H1034">
        <v>1728783475071.0669</v>
      </c>
      <c r="I1034">
        <v>22150012252.247185</v>
      </c>
      <c r="J1034">
        <v>2585389400029.2129</v>
      </c>
      <c r="K1034">
        <v>584144120110.95483</v>
      </c>
      <c r="L1034">
        <v>1023980077691.2919</v>
      </c>
      <c r="M1034">
        <v>1140975443158.9885</v>
      </c>
      <c r="N1034">
        <v>977265202226.96606</v>
      </c>
      <c r="O1034">
        <v>507951408792.1347</v>
      </c>
      <c r="P1034">
        <v>132150637008.70782</v>
      </c>
      <c r="Q1034">
        <v>99675055135.112335</v>
      </c>
      <c r="R1034">
        <v>70113948557.865143</v>
      </c>
      <c r="S1034">
        <v>54708864848.59549</v>
      </c>
      <c r="T1034">
        <v>219251813008.146</v>
      </c>
      <c r="U1034">
        <v>-92680314423.876373</v>
      </c>
      <c r="V1034">
        <f t="shared" si="42"/>
        <v>519114860815.51221</v>
      </c>
      <c r="W1034">
        <f t="shared" si="43"/>
        <v>2361111437936.8408</v>
      </c>
    </row>
    <row r="1035" spans="1:23" x14ac:dyDescent="0.2">
      <c r="A1035">
        <f>IF(D1035="USD",VLOOKUP(VALUE(RIGHT(E1035,4)),'USD RUB'!$E:$F,2,FALSE),1)</f>
        <v>92.599868144044279</v>
      </c>
      <c r="B1035" s="4">
        <v>92.599868144044279</v>
      </c>
      <c r="C1035">
        <v>1000000</v>
      </c>
      <c r="D1035" t="s">
        <v>111</v>
      </c>
      <c r="E1035" s="1" t="s">
        <v>1051</v>
      </c>
      <c r="F1035">
        <v>168716959758.44867</v>
      </c>
      <c r="G1035">
        <v>633846097445.98303</v>
      </c>
      <c r="H1035">
        <v>1413166587746.2598</v>
      </c>
      <c r="I1035">
        <v>19075572837.673122</v>
      </c>
      <c r="J1035">
        <v>2145538944897.5059</v>
      </c>
      <c r="K1035">
        <v>548098619544.59808</v>
      </c>
      <c r="L1035">
        <v>847659192990.5813</v>
      </c>
      <c r="M1035">
        <v>1170277133604.4316</v>
      </c>
      <c r="N1035">
        <v>749781132362.32654</v>
      </c>
      <c r="O1035">
        <v>1160739347185.595</v>
      </c>
      <c r="P1035">
        <v>330951928746.81427</v>
      </c>
      <c r="Q1035">
        <v>222610083018.28244</v>
      </c>
      <c r="R1035">
        <v>168068760681.44037</v>
      </c>
      <c r="S1035">
        <v>109360444278.11629</v>
      </c>
      <c r="T1035">
        <v>481148914876.4541</v>
      </c>
      <c r="U1035">
        <v>-225758478535.17996</v>
      </c>
      <c r="V1035">
        <f t="shared" si="42"/>
        <v>1230825085187.5005</v>
      </c>
      <c r="W1035">
        <f t="shared" si="43"/>
        <v>2014217191250.0007</v>
      </c>
    </row>
    <row r="1036" spans="1:23" x14ac:dyDescent="0.2">
      <c r="A1036">
        <f>IF(D1036="USD",VLOOKUP(VALUE(RIGHT(E1036,4)),'USD RUB'!$E:$F,2,FALSE),1)</f>
        <v>92.599868144044279</v>
      </c>
      <c r="B1036" s="4">
        <v>92.599868144044279</v>
      </c>
      <c r="C1036">
        <v>1000000</v>
      </c>
      <c r="D1036" t="s">
        <v>111</v>
      </c>
      <c r="E1036" s="1" t="s">
        <v>1052</v>
      </c>
      <c r="F1036">
        <v>176217549078.11627</v>
      </c>
      <c r="G1036">
        <v>715519181149.03015</v>
      </c>
      <c r="H1036">
        <v>1539658007631.0242</v>
      </c>
      <c r="I1036">
        <v>21205369804.986141</v>
      </c>
      <c r="J1036">
        <v>2361111437936.8408</v>
      </c>
      <c r="K1036">
        <v>589768560209.41797</v>
      </c>
      <c r="L1036">
        <v>954334241092.52039</v>
      </c>
      <c r="M1036">
        <v>1109531620101.9385</v>
      </c>
      <c r="N1036">
        <v>817008636634.90271</v>
      </c>
      <c r="O1036">
        <v>519114860815.51221</v>
      </c>
      <c r="P1036">
        <v>133066010522.99162</v>
      </c>
      <c r="Q1036">
        <v>105471249816.06644</v>
      </c>
      <c r="R1036">
        <v>76765290691.412704</v>
      </c>
      <c r="S1036">
        <v>50374328270.360085</v>
      </c>
      <c r="T1036">
        <v>217424490402.21597</v>
      </c>
      <c r="U1036">
        <v>-89358872759.002731</v>
      </c>
      <c r="V1036">
        <f t="shared" si="42"/>
        <v>611696747520.8335</v>
      </c>
      <c r="W1036">
        <f t="shared" si="43"/>
        <v>1963221107145.834</v>
      </c>
    </row>
    <row r="1037" spans="1:23" x14ac:dyDescent="0.2">
      <c r="A1037">
        <f>IF(D1037="USD",VLOOKUP(VALUE(RIGHT(E1037,4)),'USD RUB'!$E:$F,2,FALSE),1)</f>
        <v>85.420576388888918</v>
      </c>
      <c r="B1037" s="4">
        <v>85.420576388888918</v>
      </c>
      <c r="C1037">
        <v>1000000</v>
      </c>
      <c r="D1037" t="s">
        <v>111</v>
      </c>
      <c r="E1037" s="1" t="s">
        <v>1053</v>
      </c>
      <c r="F1037">
        <v>182714612895.8334</v>
      </c>
      <c r="G1037">
        <v>627157871847.22241</v>
      </c>
      <c r="H1037">
        <v>1296769770159.7227</v>
      </c>
      <c r="I1037">
        <v>20330097180.555561</v>
      </c>
      <c r="J1037">
        <v>2014217191250.0007</v>
      </c>
      <c r="K1037">
        <v>754349110090.27808</v>
      </c>
      <c r="L1037">
        <v>611098803486.11133</v>
      </c>
      <c r="M1037">
        <v>967302607027.77808</v>
      </c>
      <c r="N1037">
        <v>648769277673.61133</v>
      </c>
      <c r="O1037">
        <v>1230825085187.5005</v>
      </c>
      <c r="P1037">
        <v>473229993194.44458</v>
      </c>
      <c r="Q1037">
        <v>301876316958.33344</v>
      </c>
      <c r="R1037">
        <v>245157054236.11121</v>
      </c>
      <c r="S1037">
        <v>99514971493.055588</v>
      </c>
      <c r="T1037">
        <v>588035247861.11133</v>
      </c>
      <c r="U1037">
        <v>-259507711069.44452</v>
      </c>
      <c r="V1037">
        <f t="shared" si="42"/>
        <v>1148894748929.9993</v>
      </c>
      <c r="W1037">
        <f t="shared" si="43"/>
        <v>1756087938412.4988</v>
      </c>
    </row>
    <row r="1038" spans="1:23" x14ac:dyDescent="0.2">
      <c r="A1038">
        <f>IF(D1038="USD",VLOOKUP(VALUE(RIGHT(E1038,4)),'USD RUB'!$E:$F,2,FALSE),1)</f>
        <v>85.420576388888918</v>
      </c>
      <c r="B1038" s="4">
        <v>85.420576388888918</v>
      </c>
      <c r="C1038">
        <v>1000000</v>
      </c>
      <c r="D1038" t="s">
        <v>111</v>
      </c>
      <c r="E1038" s="1" t="s">
        <v>1054</v>
      </c>
      <c r="F1038">
        <v>190829567652.77783</v>
      </c>
      <c r="G1038">
        <v>637664602743.05579</v>
      </c>
      <c r="H1038">
        <v>1233729384784.7227</v>
      </c>
      <c r="I1038">
        <v>19988414875.000008</v>
      </c>
      <c r="J1038">
        <v>1963221107145.834</v>
      </c>
      <c r="K1038">
        <v>445126623562.50012</v>
      </c>
      <c r="L1038">
        <v>880600721993.05591</v>
      </c>
      <c r="M1038">
        <v>960981484375.00037</v>
      </c>
      <c r="N1038">
        <v>637493761590.27795</v>
      </c>
      <c r="O1038">
        <v>611696747520.8335</v>
      </c>
      <c r="P1038">
        <v>237127520055.55563</v>
      </c>
      <c r="Q1038">
        <v>108057029131.94449</v>
      </c>
      <c r="R1038">
        <v>91400016736.111145</v>
      </c>
      <c r="S1038">
        <v>49373093152.777794</v>
      </c>
      <c r="T1038">
        <v>287867342430.55566</v>
      </c>
      <c r="U1038">
        <v>-125311985562.50005</v>
      </c>
      <c r="V1038">
        <f t="shared" si="42"/>
        <v>611277906532.49951</v>
      </c>
      <c r="W1038">
        <f t="shared" si="43"/>
        <v>2098591463054.9985</v>
      </c>
    </row>
    <row r="1039" spans="1:23" x14ac:dyDescent="0.2">
      <c r="A1039">
        <f>IF(D1039="USD",VLOOKUP(VALUE(RIGHT(E1039,4)),'USD RUB'!$E:$F,2,FALSE),1)</f>
        <v>68.07861749999995</v>
      </c>
      <c r="B1039" s="4">
        <v>68.07861749999995</v>
      </c>
      <c r="C1039">
        <v>1000000</v>
      </c>
      <c r="D1039" t="s">
        <v>111</v>
      </c>
      <c r="E1039" s="1" t="s">
        <v>1055</v>
      </c>
      <c r="F1039">
        <v>128123958134.99991</v>
      </c>
      <c r="G1039">
        <v>572064622852.49963</v>
      </c>
      <c r="H1039">
        <v>1107230635019.9993</v>
      </c>
      <c r="I1039">
        <v>20559742484.999985</v>
      </c>
      <c r="J1039">
        <v>1756087938412.4988</v>
      </c>
      <c r="K1039">
        <v>523456489957.49963</v>
      </c>
      <c r="L1039">
        <v>649401932332.49951</v>
      </c>
      <c r="M1039">
        <v>711285395639.99951</v>
      </c>
      <c r="N1039">
        <v>583229516122.49963</v>
      </c>
      <c r="O1039">
        <v>1148894748929.9993</v>
      </c>
      <c r="P1039">
        <v>516103999267.49963</v>
      </c>
      <c r="Q1039">
        <v>502352118532.49963</v>
      </c>
      <c r="R1039">
        <v>398532226844.99969</v>
      </c>
      <c r="S1039">
        <v>69848661554.999954</v>
      </c>
      <c r="T1039">
        <v>592079736397.49951</v>
      </c>
      <c r="U1039">
        <v>-292601898014.99976</v>
      </c>
      <c r="V1039">
        <f t="shared" si="42"/>
        <v>1317045432292.3638</v>
      </c>
      <c r="W1039">
        <f t="shared" si="43"/>
        <v>1728935676998.1821</v>
      </c>
    </row>
    <row r="1040" spans="1:23" x14ac:dyDescent="0.2">
      <c r="A1040">
        <f>IF(D1040="USD",VLOOKUP(VALUE(RIGHT(E1040,4)),'USD RUB'!$E:$F,2,FALSE),1)</f>
        <v>68.07861749999995</v>
      </c>
      <c r="B1040" s="4">
        <v>68.07861749999995</v>
      </c>
      <c r="C1040">
        <v>1000000</v>
      </c>
      <c r="D1040" t="s">
        <v>111</v>
      </c>
      <c r="E1040" s="1" t="s">
        <v>1056</v>
      </c>
      <c r="F1040">
        <v>139288851404.99991</v>
      </c>
      <c r="G1040">
        <v>633199221367.49951</v>
      </c>
      <c r="H1040">
        <v>1380089733959.999</v>
      </c>
      <c r="I1040">
        <v>27299525617.499981</v>
      </c>
      <c r="J1040">
        <v>2098591463054.9985</v>
      </c>
      <c r="K1040">
        <v>604810437869.99951</v>
      </c>
      <c r="L1040">
        <v>768471434339.99939</v>
      </c>
      <c r="M1040">
        <v>699848187899.99951</v>
      </c>
      <c r="N1040">
        <v>725309590844.99951</v>
      </c>
      <c r="O1040">
        <v>611277906532.49951</v>
      </c>
      <c r="P1040">
        <v>290763775342.49982</v>
      </c>
      <c r="Q1040">
        <v>441898306192.49969</v>
      </c>
      <c r="R1040">
        <v>344613961784.99976</v>
      </c>
      <c r="S1040">
        <v>32473500547.499977</v>
      </c>
      <c r="T1040">
        <v>326573128147.49976</v>
      </c>
      <c r="U1040">
        <v>-123630769379.99991</v>
      </c>
      <c r="V1040">
        <f t="shared" si="42"/>
        <v>659776904604.00012</v>
      </c>
      <c r="W1040">
        <f t="shared" si="43"/>
        <v>1365294800022.5457</v>
      </c>
    </row>
    <row r="1041" spans="1:23" x14ac:dyDescent="0.2">
      <c r="A1041">
        <f>IF(D1041="USD",VLOOKUP(VALUE(RIGHT(E1041,4)),'USD RUB'!$E:$F,2,FALSE),1)</f>
        <v>73.77579163636365</v>
      </c>
      <c r="B1041" s="4">
        <v>73.77579163636365</v>
      </c>
      <c r="C1041">
        <v>1000000</v>
      </c>
      <c r="D1041" t="s">
        <v>111</v>
      </c>
      <c r="E1041" s="1" t="s">
        <v>1057</v>
      </c>
      <c r="F1041">
        <v>409234316206.90918</v>
      </c>
      <c r="G1041">
        <v>728167063450.90918</v>
      </c>
      <c r="H1041">
        <v>936878777990.18201</v>
      </c>
      <c r="I1041">
        <v>19550584783.636368</v>
      </c>
      <c r="J1041">
        <v>1728935676998.1821</v>
      </c>
      <c r="K1041">
        <v>596329723796.72742</v>
      </c>
      <c r="L1041">
        <v>779367462846.54565</v>
      </c>
      <c r="M1041">
        <v>603781078752.00012</v>
      </c>
      <c r="N1041">
        <v>353238490354.90918</v>
      </c>
      <c r="O1041">
        <v>1317045432292.3638</v>
      </c>
      <c r="P1041">
        <v>703525949044.36377</v>
      </c>
      <c r="Q1041">
        <v>685008225343.63647</v>
      </c>
      <c r="R1041">
        <v>514512370872.00012</v>
      </c>
      <c r="S1041">
        <v>68463934638.545464</v>
      </c>
      <c r="T1041">
        <v>775531121681.45471</v>
      </c>
      <c r="U1041">
        <v>-203916288082.90912</v>
      </c>
      <c r="V1041">
        <f t="shared" si="42"/>
        <v>1123861967226.4814</v>
      </c>
      <c r="W1041">
        <f t="shared" si="43"/>
        <v>1496988478185.3667</v>
      </c>
    </row>
    <row r="1042" spans="1:23" x14ac:dyDescent="0.2">
      <c r="A1042">
        <f>IF(D1042="USD",VLOOKUP(VALUE(RIGHT(E1042,4)),'USD RUB'!$E:$F,2,FALSE),1)</f>
        <v>73.77579163636365</v>
      </c>
      <c r="B1042" s="4">
        <v>73.77579163636365</v>
      </c>
      <c r="C1042">
        <v>1000000</v>
      </c>
      <c r="D1042" t="s">
        <v>111</v>
      </c>
      <c r="E1042" s="1" t="s">
        <v>1058</v>
      </c>
      <c r="F1042">
        <v>145485861106.90912</v>
      </c>
      <c r="G1042">
        <v>428268470449.091</v>
      </c>
      <c r="H1042">
        <v>869964134976.00012</v>
      </c>
      <c r="I1042">
        <v>17411086826.18182</v>
      </c>
      <c r="J1042">
        <v>1365294800022.5457</v>
      </c>
      <c r="K1042">
        <v>257551288602.5455</v>
      </c>
      <c r="L1042">
        <v>745430598693.81836</v>
      </c>
      <c r="M1042">
        <v>749857146192.00012</v>
      </c>
      <c r="N1042">
        <v>362312912726.18188</v>
      </c>
      <c r="O1042">
        <v>659776904604.00012</v>
      </c>
      <c r="P1042">
        <v>393888951546.54553</v>
      </c>
      <c r="Q1042">
        <v>389757507214.90918</v>
      </c>
      <c r="R1042">
        <v>317531007202.90912</v>
      </c>
      <c r="S1042">
        <v>34010639944.363644</v>
      </c>
      <c r="T1042">
        <v>420522012327.27283</v>
      </c>
      <c r="U1042">
        <v>-73038033720.000015</v>
      </c>
      <c r="V1042">
        <f t="shared" si="42"/>
        <v>485187369704.52991</v>
      </c>
      <c r="W1042">
        <f t="shared" si="43"/>
        <v>1474937793077.3528</v>
      </c>
    </row>
    <row r="1043" spans="1:23" x14ac:dyDescent="0.2">
      <c r="A1043">
        <f>IF(D1043="USD",VLOOKUP(VALUE(RIGHT(E1043,4)),'USD RUB'!$E:$F,2,FALSE),1)</f>
        <v>72.297328222996555</v>
      </c>
      <c r="B1043" s="4">
        <v>72.297328222996555</v>
      </c>
      <c r="C1043">
        <v>1000000</v>
      </c>
      <c r="D1043" t="s">
        <v>111</v>
      </c>
      <c r="E1043" s="1" t="s">
        <v>1059</v>
      </c>
      <c r="F1043">
        <v>375295430805.57513</v>
      </c>
      <c r="G1043">
        <v>618792832260.62756</v>
      </c>
      <c r="H1043">
        <v>778063846335.88892</v>
      </c>
      <c r="I1043">
        <v>16050006865.505236</v>
      </c>
      <c r="J1043">
        <v>1496988478185.3667</v>
      </c>
      <c r="K1043">
        <v>391273140342.85736</v>
      </c>
      <c r="L1043">
        <v>767725328400.00037</v>
      </c>
      <c r="M1043">
        <v>599344850968.64148</v>
      </c>
      <c r="N1043">
        <v>337990009442.50891</v>
      </c>
      <c r="O1043">
        <v>1123861967226.4814</v>
      </c>
      <c r="P1043">
        <v>462702900627.17798</v>
      </c>
      <c r="Q1043">
        <v>331049465933.1012</v>
      </c>
      <c r="R1043">
        <v>262728490762.36948</v>
      </c>
      <c r="S1043">
        <v>68176380514.285751</v>
      </c>
      <c r="T1043">
        <v>553146858234.14661</v>
      </c>
      <c r="U1043">
        <v>-127243297672.47394</v>
      </c>
      <c r="V1043">
        <f t="shared" si="42"/>
        <v>877378178531.24939</v>
      </c>
      <c r="W1043">
        <f t="shared" si="43"/>
        <v>1259755411687.499</v>
      </c>
    </row>
    <row r="1044" spans="1:23" x14ac:dyDescent="0.2">
      <c r="A1044">
        <f>IF(D1044="USD",VLOOKUP(VALUE(RIGHT(E1044,4)),'USD RUB'!$E:$F,2,FALSE),1)</f>
        <v>72.297328222996555</v>
      </c>
      <c r="B1044" s="4">
        <v>72.297328222996555</v>
      </c>
      <c r="C1044">
        <v>1000000</v>
      </c>
      <c r="D1044" t="s">
        <v>111</v>
      </c>
      <c r="E1044" s="1" t="s">
        <v>1060</v>
      </c>
      <c r="F1044">
        <v>349919068599.30334</v>
      </c>
      <c r="G1044">
        <v>594573227305.92371</v>
      </c>
      <c r="H1044">
        <v>782329388701.04578</v>
      </c>
      <c r="I1044">
        <v>14965546942.160286</v>
      </c>
      <c r="J1044">
        <v>1474937793077.3528</v>
      </c>
      <c r="K1044">
        <v>419179909036.93402</v>
      </c>
      <c r="L1044">
        <v>868074019973.51965</v>
      </c>
      <c r="M1044">
        <v>449689381547.03857</v>
      </c>
      <c r="N1044">
        <v>187683864066.89905</v>
      </c>
      <c r="O1044">
        <v>485187369704.52991</v>
      </c>
      <c r="P1044">
        <v>99408826306.62027</v>
      </c>
      <c r="Q1044">
        <v>7591219463.4146385</v>
      </c>
      <c r="R1044">
        <v>3253379770.0348449</v>
      </c>
      <c r="S1044">
        <v>34196636249.477371</v>
      </c>
      <c r="T1044">
        <v>132882489273.86766</v>
      </c>
      <c r="U1044">
        <v>-39835827850.871101</v>
      </c>
      <c r="V1044">
        <f t="shared" si="42"/>
        <v>407023777874.99969</v>
      </c>
      <c r="W1044">
        <f t="shared" si="43"/>
        <v>1226246461124.9993</v>
      </c>
    </row>
    <row r="1045" spans="1:23" x14ac:dyDescent="0.2">
      <c r="A1045">
        <f>IF(D1045="USD",VLOOKUP(VALUE(RIGHT(E1045,4)),'USD RUB'!$E:$F,2,FALSE),1)</f>
        <v>64.689093749999955</v>
      </c>
      <c r="B1045" s="4">
        <v>64.689093749999955</v>
      </c>
      <c r="C1045">
        <v>1000000</v>
      </c>
      <c r="D1045" t="s">
        <v>111</v>
      </c>
      <c r="E1045" s="1" t="s">
        <v>1061</v>
      </c>
      <c r="F1045">
        <v>180094436999.99988</v>
      </c>
      <c r="G1045">
        <v>425330791406.24969</v>
      </c>
      <c r="H1045">
        <v>775816301343.74951</v>
      </c>
      <c r="I1045">
        <v>13908155156.24999</v>
      </c>
      <c r="J1045">
        <v>1259755411687.499</v>
      </c>
      <c r="K1045">
        <v>350744266312.49976</v>
      </c>
      <c r="L1045">
        <v>631689000468.74951</v>
      </c>
      <c r="M1045">
        <v>482063126624.99969</v>
      </c>
      <c r="N1045">
        <v>277322144906.24982</v>
      </c>
      <c r="O1045">
        <v>877378178531.24939</v>
      </c>
      <c r="P1045">
        <v>455152463624.99969</v>
      </c>
      <c r="Q1045">
        <v>486720741374.99963</v>
      </c>
      <c r="R1045">
        <v>385935133312.49976</v>
      </c>
      <c r="S1045">
        <v>58931764406.249962</v>
      </c>
      <c r="T1045">
        <v>512531689781.24963</v>
      </c>
      <c r="U1045">
        <v>-85648360124.999939</v>
      </c>
      <c r="V1045">
        <f t="shared" si="42"/>
        <v>733682474541.52808</v>
      </c>
      <c r="W1045">
        <f t="shared" si="43"/>
        <v>958816745435.54797</v>
      </c>
    </row>
    <row r="1046" spans="1:23" x14ac:dyDescent="0.2">
      <c r="A1046">
        <f>IF(D1046="USD",VLOOKUP(VALUE(RIGHT(E1046,4)),'USD RUB'!$E:$F,2,FALSE),1)</f>
        <v>64.689093749999955</v>
      </c>
      <c r="B1046" s="4">
        <v>64.689093749999955</v>
      </c>
      <c r="C1046">
        <v>1000000</v>
      </c>
      <c r="D1046" t="s">
        <v>111</v>
      </c>
      <c r="E1046" s="1" t="s">
        <v>1062</v>
      </c>
      <c r="F1046">
        <v>225635558999.99985</v>
      </c>
      <c r="G1046">
        <v>448230730593.74969</v>
      </c>
      <c r="H1046">
        <v>726846657374.99951</v>
      </c>
      <c r="I1046">
        <v>11967482343.749992</v>
      </c>
      <c r="J1046">
        <v>1226246461124.9993</v>
      </c>
      <c r="K1046">
        <v>281138801437.49982</v>
      </c>
      <c r="L1046">
        <v>627031385718.74951</v>
      </c>
      <c r="M1046">
        <v>534267225281.24963</v>
      </c>
      <c r="N1046">
        <v>318076273968.74976</v>
      </c>
      <c r="O1046">
        <v>407023777874.99969</v>
      </c>
      <c r="P1046">
        <v>211598025656.24985</v>
      </c>
      <c r="Q1046">
        <v>244071950718.74982</v>
      </c>
      <c r="R1046">
        <v>193873213968.74988</v>
      </c>
      <c r="S1046">
        <v>28657268531.249981</v>
      </c>
      <c r="T1046">
        <v>240578739656.24985</v>
      </c>
      <c r="U1046">
        <v>-32344546874.999977</v>
      </c>
      <c r="V1046">
        <f t="shared" si="42"/>
        <v>366778368164.11951</v>
      </c>
      <c r="W1046">
        <f t="shared" si="43"/>
        <v>1156980169579.0696</v>
      </c>
    </row>
    <row r="1047" spans="1:23" x14ac:dyDescent="0.2">
      <c r="A1047">
        <f>IF(D1047="USD",VLOOKUP(VALUE(RIGHT(E1047,4)),'USD RUB'!$E:$F,2,FALSE),1)</f>
        <v>62.869106644518261</v>
      </c>
      <c r="B1047" s="4">
        <v>62.869106644518261</v>
      </c>
      <c r="C1047">
        <v>1000000</v>
      </c>
      <c r="D1047" t="s">
        <v>111</v>
      </c>
      <c r="E1047" s="1" t="s">
        <v>1063</v>
      </c>
      <c r="F1047">
        <v>87262320022.591354</v>
      </c>
      <c r="G1047">
        <v>286305911659.13617</v>
      </c>
      <c r="H1047">
        <v>624541705406.64441</v>
      </c>
      <c r="I1047">
        <v>10247664383.056477</v>
      </c>
      <c r="J1047">
        <v>958816745435.54797</v>
      </c>
      <c r="K1047">
        <v>148245353467.77405</v>
      </c>
      <c r="L1047">
        <v>592226984591.36206</v>
      </c>
      <c r="M1047">
        <v>459321693144.8504</v>
      </c>
      <c r="N1047">
        <v>218344407376.41193</v>
      </c>
      <c r="O1047">
        <v>733682474541.52808</v>
      </c>
      <c r="P1047">
        <v>340499081586.71088</v>
      </c>
      <c r="Q1047">
        <v>245315254126.91025</v>
      </c>
      <c r="R1047">
        <v>192316597225.58136</v>
      </c>
      <c r="S1047">
        <v>48094866583.056473</v>
      </c>
      <c r="T1047">
        <v>391737403501.99329</v>
      </c>
      <c r="U1047">
        <v>-97635722618.936859</v>
      </c>
      <c r="V1047">
        <f t="shared" si="42"/>
        <v>533329327609.24072</v>
      </c>
      <c r="W1047">
        <f t="shared" si="43"/>
        <v>970034262495.04907</v>
      </c>
    </row>
    <row r="1048" spans="1:23" x14ac:dyDescent="0.2">
      <c r="A1048">
        <f>IF(D1048="USD",VLOOKUP(VALUE(RIGHT(E1048,4)),'USD RUB'!$E:$F,2,FALSE),1)</f>
        <v>62.869106644518261</v>
      </c>
      <c r="B1048" s="4">
        <v>62.869106644518261</v>
      </c>
      <c r="C1048">
        <v>1000000</v>
      </c>
      <c r="D1048" t="s">
        <v>111</v>
      </c>
      <c r="E1048" s="1" t="s">
        <v>1064</v>
      </c>
      <c r="F1048">
        <v>216143988643.85379</v>
      </c>
      <c r="G1048">
        <v>445741966109.63446</v>
      </c>
      <c r="H1048">
        <v>649815086277.74072</v>
      </c>
      <c r="I1048">
        <v>9681842423.2558117</v>
      </c>
      <c r="J1048">
        <v>1156980169579.0696</v>
      </c>
      <c r="K1048">
        <v>225951569280.39862</v>
      </c>
      <c r="L1048">
        <v>660062750660.79724</v>
      </c>
      <c r="M1048">
        <v>484595074015.94678</v>
      </c>
      <c r="N1048">
        <v>270965849637.87372</v>
      </c>
      <c r="O1048">
        <v>366778368164.11951</v>
      </c>
      <c r="P1048">
        <v>171192577393.02322</v>
      </c>
      <c r="Q1048">
        <v>129258883261.12955</v>
      </c>
      <c r="R1048">
        <v>103922633283.38869</v>
      </c>
      <c r="S1048">
        <v>22004187325.58139</v>
      </c>
      <c r="T1048">
        <v>193573979358.47174</v>
      </c>
      <c r="U1048">
        <v>33697841161.461788</v>
      </c>
      <c r="V1048">
        <f t="shared" si="42"/>
        <v>247712987500.98999</v>
      </c>
      <c r="W1048">
        <f t="shared" si="43"/>
        <v>984379223635.64319</v>
      </c>
    </row>
    <row r="1049" spans="1:23" x14ac:dyDescent="0.2">
      <c r="A1049">
        <f>IF(D1049="USD",VLOOKUP(VALUE(RIGHT(E1049,4)),'USD RUB'!$E:$F,2,FALSE),1)</f>
        <v>58.312850165016478</v>
      </c>
      <c r="B1049" s="4">
        <v>58.312850165016478</v>
      </c>
      <c r="C1049">
        <v>1000000</v>
      </c>
      <c r="D1049" t="s">
        <v>111</v>
      </c>
      <c r="E1049" s="1" t="s">
        <v>1065</v>
      </c>
      <c r="F1049">
        <v>49682548340.59404</v>
      </c>
      <c r="G1049">
        <v>263923959846.86459</v>
      </c>
      <c r="H1049">
        <v>639108837808.58057</v>
      </c>
      <c r="I1049">
        <v>8630301824.4224396</v>
      </c>
      <c r="J1049">
        <v>970034262495.04907</v>
      </c>
      <c r="K1049">
        <v>137151823588.11876</v>
      </c>
      <c r="L1049">
        <v>561261182838.28357</v>
      </c>
      <c r="M1049">
        <v>440670208697.02954</v>
      </c>
      <c r="N1049">
        <v>271621256068.64676</v>
      </c>
      <c r="O1049">
        <v>533329327609.24072</v>
      </c>
      <c r="P1049">
        <v>182111031065.34647</v>
      </c>
      <c r="Q1049">
        <v>165841745869.30685</v>
      </c>
      <c r="R1049">
        <v>123798180900.32999</v>
      </c>
      <c r="S1049">
        <v>37611788356.435631</v>
      </c>
      <c r="T1049">
        <v>232959836409.24081</v>
      </c>
      <c r="U1049">
        <v>116742326030.36299</v>
      </c>
      <c r="V1049">
        <f t="shared" ref="V1049:V1112" si="44">_xlfn.XLOOKUP(LEFT(E1049,LEN(E1049)-4)&amp;(VALUE(RIGHT(E1049,4))-1),$E:$E,$O:$O,"")</f>
        <v>553802052373.40381</v>
      </c>
      <c r="W1049">
        <f t="shared" ref="W1049:W1112" si="45">_xlfn.XLOOKUP(LEFT(E1049,LEN(E1049)-4)&amp;(VALUE(RIGHT(E1049,4))-1),$E:$E,$J:$J,"")</f>
        <v>1103513788098.9353</v>
      </c>
    </row>
    <row r="1050" spans="1:23" x14ac:dyDescent="0.2">
      <c r="A1050">
        <f>IF(D1050="USD",VLOOKUP(VALUE(RIGHT(E1050,4)),'USD RUB'!$E:$F,2,FALSE),1)</f>
        <v>58.312850165016478</v>
      </c>
      <c r="B1050" s="4">
        <v>58.312850165016478</v>
      </c>
      <c r="C1050">
        <v>1000000</v>
      </c>
      <c r="D1050" t="s">
        <v>111</v>
      </c>
      <c r="E1050" s="1" t="s">
        <v>1066</v>
      </c>
      <c r="F1050">
        <v>153362795933.99335</v>
      </c>
      <c r="G1050">
        <v>336056955500.98999</v>
      </c>
      <c r="H1050">
        <v>570357987464.02612</v>
      </c>
      <c r="I1050">
        <v>6006223566.9966974</v>
      </c>
      <c r="J1050">
        <v>984379223635.64319</v>
      </c>
      <c r="K1050">
        <v>278268920987.45862</v>
      </c>
      <c r="L1050">
        <v>492976835295.04932</v>
      </c>
      <c r="M1050">
        <v>403699861692.40906</v>
      </c>
      <c r="N1050">
        <v>213133467353.13522</v>
      </c>
      <c r="O1050">
        <v>247712987500.98999</v>
      </c>
      <c r="P1050">
        <v>82337744433.003265</v>
      </c>
      <c r="Q1050">
        <v>71025051500.990067</v>
      </c>
      <c r="R1050">
        <v>53356257900.990074</v>
      </c>
      <c r="S1050">
        <v>17902045000.660057</v>
      </c>
      <c r="T1050">
        <v>101697610687.78874</v>
      </c>
      <c r="U1050">
        <v>40760682265.346519</v>
      </c>
      <c r="V1050">
        <f t="shared" si="44"/>
        <v>257689948815.95724</v>
      </c>
      <c r="W1050">
        <f t="shared" si="45"/>
        <v>987710888904.25452</v>
      </c>
    </row>
    <row r="1051" spans="1:23" x14ac:dyDescent="0.2">
      <c r="A1051">
        <f>IF(D1051="USD",VLOOKUP(VALUE(RIGHT(E1051,4)),'USD RUB'!$E:$F,2,FALSE),1)</f>
        <v>67.054371276595688</v>
      </c>
      <c r="B1051" s="4">
        <v>67.054371276595688</v>
      </c>
      <c r="C1051">
        <v>1000000</v>
      </c>
      <c r="D1051" t="s">
        <v>111</v>
      </c>
      <c r="E1051" s="1" t="s">
        <v>1067</v>
      </c>
      <c r="F1051">
        <v>221346479584.04236</v>
      </c>
      <c r="G1051">
        <v>402728553887.2337</v>
      </c>
      <c r="H1051">
        <v>603891667717.02075</v>
      </c>
      <c r="J1051">
        <v>1103513788098.9353</v>
      </c>
      <c r="K1051">
        <v>266608180195.74445</v>
      </c>
      <c r="L1051">
        <v>575661777409.57397</v>
      </c>
      <c r="M1051">
        <v>492179085170.21234</v>
      </c>
      <c r="N1051">
        <v>261243830493.61679</v>
      </c>
      <c r="O1051">
        <v>553802052373.40381</v>
      </c>
      <c r="P1051">
        <v>220005392158.51047</v>
      </c>
      <c r="Q1051">
        <v>219670120302.12747</v>
      </c>
      <c r="R1051">
        <v>169714613701.06369</v>
      </c>
      <c r="T1051">
        <v>261512047978.72318</v>
      </c>
      <c r="U1051">
        <v>113657159313.8297</v>
      </c>
      <c r="V1051">
        <f t="shared" si="44"/>
        <v>523198919968.83118</v>
      </c>
      <c r="W1051">
        <f t="shared" si="45"/>
        <v>818975972711.68835</v>
      </c>
    </row>
    <row r="1052" spans="1:23" x14ac:dyDescent="0.2">
      <c r="A1052">
        <f>IF(D1052="USD",VLOOKUP(VALUE(RIGHT(E1052,4)),'USD RUB'!$E:$F,2,FALSE),1)</f>
        <v>67.054371276595688</v>
      </c>
      <c r="B1052" s="4">
        <v>67.054371276595688</v>
      </c>
      <c r="C1052">
        <v>1000000</v>
      </c>
      <c r="D1052" t="s">
        <v>111</v>
      </c>
      <c r="E1052" s="1" t="s">
        <v>1068</v>
      </c>
      <c r="F1052">
        <v>228923623538.29767</v>
      </c>
      <c r="G1052">
        <v>422643702156.38263</v>
      </c>
      <c r="H1052">
        <v>524164020269.1485</v>
      </c>
      <c r="J1052">
        <v>987710888904.25452</v>
      </c>
      <c r="K1052">
        <v>216920891079.78705</v>
      </c>
      <c r="L1052">
        <v>547633050215.95697</v>
      </c>
      <c r="M1052">
        <v>487284116067.02087</v>
      </c>
      <c r="N1052">
        <v>223156947608.51044</v>
      </c>
      <c r="O1052">
        <v>257689948815.95724</v>
      </c>
      <c r="P1052">
        <v>102995514280.85098</v>
      </c>
      <c r="Q1052">
        <v>112249017517.02118</v>
      </c>
      <c r="R1052">
        <v>87438900144.680771</v>
      </c>
      <c r="T1052">
        <v>120697868297.87224</v>
      </c>
      <c r="U1052">
        <v>47340386121.276558</v>
      </c>
      <c r="V1052">
        <f t="shared" si="44"/>
        <v>300554565709.09094</v>
      </c>
      <c r="W1052">
        <f t="shared" si="45"/>
        <v>835819768425.97412</v>
      </c>
    </row>
    <row r="1053" spans="1:23" x14ac:dyDescent="0.2">
      <c r="A1053">
        <f>IF(D1053="USD",VLOOKUP(VALUE(RIGHT(E1053,4)),'USD RUB'!$E:$F,2,FALSE),1)</f>
        <v>61.250166233766237</v>
      </c>
      <c r="B1053" s="4">
        <v>61.250166233766237</v>
      </c>
      <c r="C1053">
        <v>1000000</v>
      </c>
      <c r="D1053" t="s">
        <v>111</v>
      </c>
      <c r="E1053" s="1" t="s">
        <v>1069</v>
      </c>
      <c r="F1053">
        <v>248308173911.68832</v>
      </c>
      <c r="G1053">
        <v>405782351298.70129</v>
      </c>
      <c r="H1053">
        <v>391511062566.23376</v>
      </c>
      <c r="J1053">
        <v>818975972711.68835</v>
      </c>
      <c r="K1053">
        <v>206780561205.19482</v>
      </c>
      <c r="L1053">
        <v>473708785651.94806</v>
      </c>
      <c r="M1053">
        <v>399534834342.85718</v>
      </c>
      <c r="N1053">
        <v>138486625854.54547</v>
      </c>
      <c r="O1053">
        <v>523198919968.83118</v>
      </c>
      <c r="P1053">
        <v>214743082815.58441</v>
      </c>
      <c r="Q1053">
        <v>137445373028.57144</v>
      </c>
      <c r="R1053">
        <v>105105285257.14287</v>
      </c>
      <c r="T1053">
        <v>263375714805.19482</v>
      </c>
      <c r="U1053">
        <v>101307774950.64935</v>
      </c>
      <c r="V1053">
        <f t="shared" si="44"/>
        <v>422345444860.83643</v>
      </c>
      <c r="W1053">
        <f t="shared" si="45"/>
        <v>509675133487.07214</v>
      </c>
    </row>
    <row r="1054" spans="1:23" x14ac:dyDescent="0.2">
      <c r="A1054">
        <f>IF(D1054="USD",VLOOKUP(VALUE(RIGHT(E1054,4)),'USD RUB'!$E:$F,2,FALSE),1)</f>
        <v>61.250166233766237</v>
      </c>
      <c r="B1054" s="4">
        <v>61.250166233766237</v>
      </c>
      <c r="C1054">
        <v>1000000</v>
      </c>
      <c r="D1054" t="s">
        <v>111</v>
      </c>
      <c r="E1054" s="1" t="s">
        <v>1070</v>
      </c>
      <c r="F1054">
        <v>172357967781.81818</v>
      </c>
      <c r="G1054">
        <v>332282151818.18182</v>
      </c>
      <c r="H1054">
        <v>464705011215.58441</v>
      </c>
      <c r="J1054">
        <v>835819768425.97412</v>
      </c>
      <c r="K1054">
        <v>184669251194.80521</v>
      </c>
      <c r="L1054">
        <v>353719710000</v>
      </c>
      <c r="M1054">
        <v>472238781662.33771</v>
      </c>
      <c r="N1054">
        <v>297430807231.16882</v>
      </c>
      <c r="O1054">
        <v>300554565709.09094</v>
      </c>
      <c r="P1054">
        <v>148592903283.11688</v>
      </c>
      <c r="Q1054">
        <v>121214078976.62338</v>
      </c>
      <c r="R1054">
        <v>91446498187.012985</v>
      </c>
      <c r="T1054">
        <v>165375448831.16885</v>
      </c>
      <c r="U1054">
        <v>34851344587.012985</v>
      </c>
      <c r="V1054">
        <f t="shared" si="44"/>
        <v>199650000000</v>
      </c>
      <c r="W1054">
        <f t="shared" si="45"/>
        <v>656250000000</v>
      </c>
    </row>
    <row r="1055" spans="1:23" x14ac:dyDescent="0.2">
      <c r="A1055">
        <f>IF(D1055="USD",VLOOKUP(VALUE(RIGHT(E1055,4)),'USD RUB'!$E:$F,2,FALSE),1)</f>
        <v>38.761512927756648</v>
      </c>
      <c r="B1055" s="4">
        <v>38.761512927756648</v>
      </c>
      <c r="C1055">
        <v>1000000</v>
      </c>
      <c r="D1055" t="s">
        <v>111</v>
      </c>
      <c r="E1055" s="1" t="s">
        <v>1071</v>
      </c>
      <c r="F1055">
        <v>108260905607.22432</v>
      </c>
      <c r="G1055">
        <v>220359200994.29654</v>
      </c>
      <c r="H1055">
        <v>271756967136.50186</v>
      </c>
      <c r="J1055">
        <v>509675133487.07214</v>
      </c>
      <c r="K1055">
        <v>239313580815.96954</v>
      </c>
      <c r="L1055">
        <v>84577621208.365005</v>
      </c>
      <c r="M1055">
        <v>321526749735.74139</v>
      </c>
      <c r="N1055">
        <v>185783931462.73761</v>
      </c>
      <c r="O1055">
        <v>422345444860.83643</v>
      </c>
      <c r="P1055">
        <v>183962140355.13306</v>
      </c>
      <c r="Q1055">
        <v>103105624387.83269</v>
      </c>
      <c r="R1055">
        <v>77523025855.51329</v>
      </c>
      <c r="T1055">
        <v>220940623688.21289</v>
      </c>
      <c r="U1055">
        <v>50312443780.228127</v>
      </c>
      <c r="V1055">
        <f t="shared" si="44"/>
        <v>366085495999.99994</v>
      </c>
      <c r="W1055">
        <f t="shared" si="45"/>
        <v>598437784000</v>
      </c>
    </row>
    <row r="1056" spans="1:23" x14ac:dyDescent="0.2">
      <c r="A1056">
        <f>IF(D1056="USD",VLOOKUP(VALUE(RIGHT(E1056,4)),'USD RUB'!$E:$F,2,FALSE),1)</f>
        <v>1</v>
      </c>
      <c r="B1056" s="4">
        <v>1</v>
      </c>
      <c r="C1056">
        <v>1000000</v>
      </c>
      <c r="D1056" t="s">
        <v>20</v>
      </c>
      <c r="E1056" s="1" t="s">
        <v>1072</v>
      </c>
      <c r="F1056">
        <v>88268000000</v>
      </c>
      <c r="G1056">
        <v>248677000000</v>
      </c>
      <c r="H1056">
        <v>374439000000</v>
      </c>
      <c r="J1056">
        <v>656250000000</v>
      </c>
      <c r="K1056">
        <v>94663000000</v>
      </c>
      <c r="L1056">
        <v>230638000000</v>
      </c>
      <c r="M1056">
        <v>291535000000</v>
      </c>
      <c r="N1056">
        <v>330949000000</v>
      </c>
      <c r="O1056">
        <v>199650000000</v>
      </c>
      <c r="P1056">
        <v>71006000000</v>
      </c>
      <c r="Q1056">
        <v>65752000000</v>
      </c>
      <c r="R1056">
        <v>50943000000</v>
      </c>
      <c r="T1056">
        <v>2496000000</v>
      </c>
      <c r="U1056">
        <v>393000000</v>
      </c>
      <c r="V1056">
        <f t="shared" si="44"/>
        <v>177323159999.99997</v>
      </c>
      <c r="W1056">
        <f t="shared" si="45"/>
        <v>644481264000</v>
      </c>
    </row>
    <row r="1057" spans="1:23" x14ac:dyDescent="0.2">
      <c r="A1057">
        <f>IF(D1057="USD",VLOOKUP(VALUE(RIGHT(E1057,4)),'USD RUB'!$E:$F,2,FALSE),1)</f>
        <v>31.863999999999997</v>
      </c>
      <c r="B1057" s="4">
        <v>31.863999999999997</v>
      </c>
      <c r="C1057">
        <v>1000000</v>
      </c>
      <c r="D1057" t="s">
        <v>111</v>
      </c>
      <c r="E1057" s="1" t="s">
        <v>1073</v>
      </c>
      <c r="F1057">
        <v>51651543999.999992</v>
      </c>
      <c r="G1057">
        <v>206861087999.99997</v>
      </c>
      <c r="H1057">
        <v>357577807999.99994</v>
      </c>
      <c r="J1057">
        <v>598437784000</v>
      </c>
      <c r="K1057">
        <v>73223472000</v>
      </c>
      <c r="L1057">
        <v>214540311999.99997</v>
      </c>
      <c r="N1057">
        <v>310674000000</v>
      </c>
      <c r="O1057">
        <v>366085495999.99994</v>
      </c>
      <c r="P1057">
        <v>78895264000</v>
      </c>
      <c r="Q1057">
        <v>42379120000</v>
      </c>
      <c r="R1057">
        <v>24375959999.999996</v>
      </c>
      <c r="T1057">
        <v>133828799999.99998</v>
      </c>
      <c r="V1057">
        <f t="shared" si="44"/>
        <v>375120000000</v>
      </c>
      <c r="W1057">
        <f t="shared" si="45"/>
        <v>637046000000</v>
      </c>
    </row>
    <row r="1058" spans="1:23" x14ac:dyDescent="0.2">
      <c r="A1058">
        <f>IF(D1058="USD",VLOOKUP(VALUE(RIGHT(E1058,4)),'USD RUB'!$E:$F,2,FALSE),1)</f>
        <v>31.863999999999997</v>
      </c>
      <c r="B1058" s="4">
        <v>31.863999999999997</v>
      </c>
      <c r="C1058">
        <v>1000000</v>
      </c>
      <c r="D1058" t="s">
        <v>111</v>
      </c>
      <c r="E1058" s="1" t="s">
        <v>1074</v>
      </c>
      <c r="F1058">
        <v>57641975999.999992</v>
      </c>
      <c r="G1058">
        <v>231396367999.99997</v>
      </c>
      <c r="H1058">
        <v>366499727999.99994</v>
      </c>
      <c r="J1058">
        <v>644481264000</v>
      </c>
      <c r="K1058">
        <v>80807104000</v>
      </c>
      <c r="L1058">
        <v>224864247999.99997</v>
      </c>
      <c r="N1058">
        <v>338809912000</v>
      </c>
      <c r="O1058">
        <v>177323159999.99997</v>
      </c>
      <c r="P1058">
        <v>57195879999.999992</v>
      </c>
      <c r="Q1058">
        <v>28327095999.999996</v>
      </c>
      <c r="R1058">
        <v>17365880000</v>
      </c>
      <c r="T1058">
        <v>73255336000</v>
      </c>
      <c r="V1058">
        <f t="shared" si="44"/>
        <v>184172268032.18381</v>
      </c>
      <c r="W1058">
        <f t="shared" si="45"/>
        <v>584698026845.97668</v>
      </c>
    </row>
    <row r="1059" spans="1:23" x14ac:dyDescent="0.2">
      <c r="A1059">
        <f>IF(D1059="USD",VLOOKUP(VALUE(RIGHT(E1059,4)),'USD RUB'!$E:$F,2,FALSE),1)</f>
        <v>1</v>
      </c>
      <c r="B1059" s="4">
        <v>1</v>
      </c>
      <c r="C1059">
        <v>1000000</v>
      </c>
      <c r="D1059" t="s">
        <v>20</v>
      </c>
      <c r="E1059" s="1" t="s">
        <v>1075</v>
      </c>
      <c r="F1059">
        <v>31487000000</v>
      </c>
      <c r="G1059">
        <v>206935000000</v>
      </c>
      <c r="H1059">
        <v>2237000000</v>
      </c>
      <c r="J1059">
        <v>637046000000</v>
      </c>
      <c r="K1059">
        <v>120553000000</v>
      </c>
      <c r="L1059">
        <v>123473000000</v>
      </c>
      <c r="N1059">
        <v>393020000000</v>
      </c>
      <c r="O1059">
        <v>375120000000</v>
      </c>
      <c r="P1059">
        <v>120370000000</v>
      </c>
      <c r="Q1059">
        <v>98433000000</v>
      </c>
      <c r="R1059">
        <v>67355000000</v>
      </c>
      <c r="V1059">
        <f t="shared" si="44"/>
        <v>415221181638.46155</v>
      </c>
      <c r="W1059">
        <f t="shared" si="45"/>
        <v>556058843446.15393</v>
      </c>
    </row>
    <row r="1060" spans="1:23" x14ac:dyDescent="0.2">
      <c r="A1060">
        <f>IF(D1060="USD",VLOOKUP(VALUE(RIGHT(E1060,4)),'USD RUB'!$E:$F,2,FALSE),1)</f>
        <v>31.062956321839064</v>
      </c>
      <c r="B1060" s="4">
        <v>31.062956321839064</v>
      </c>
      <c r="C1060">
        <v>1000000</v>
      </c>
      <c r="D1060" t="s">
        <v>111</v>
      </c>
      <c r="E1060" s="1" t="s">
        <v>1076</v>
      </c>
      <c r="F1060">
        <v>30907641540.22987</v>
      </c>
      <c r="G1060">
        <v>197995283595.40219</v>
      </c>
      <c r="H1060">
        <v>314885188234.4826</v>
      </c>
      <c r="J1060">
        <v>584698026845.97668</v>
      </c>
      <c r="K1060">
        <v>120213640965.51718</v>
      </c>
      <c r="L1060">
        <v>120741711222.98843</v>
      </c>
      <c r="N1060">
        <v>343742674657.47107</v>
      </c>
      <c r="O1060">
        <v>184172268032.18381</v>
      </c>
      <c r="P1060">
        <v>65542837839.080421</v>
      </c>
      <c r="Q1060">
        <v>63213116114.942497</v>
      </c>
      <c r="R1060">
        <v>46004238312.643654</v>
      </c>
      <c r="T1060">
        <v>77471013066.666626</v>
      </c>
      <c r="V1060">
        <f t="shared" si="44"/>
        <v>215666857903.84616</v>
      </c>
      <c r="W1060">
        <f t="shared" si="45"/>
        <v>676314801023.07703</v>
      </c>
    </row>
    <row r="1061" spans="1:23" x14ac:dyDescent="0.2">
      <c r="A1061">
        <f>IF(D1061="USD",VLOOKUP(VALUE(RIGHT(E1061,4)),'USD RUB'!$E:$F,2,FALSE),1)</f>
        <v>29.402434615384617</v>
      </c>
      <c r="B1061" s="4">
        <v>29.402434615384617</v>
      </c>
      <c r="C1061">
        <v>1000000</v>
      </c>
      <c r="D1061" t="s">
        <v>111</v>
      </c>
      <c r="E1061" s="1" t="s">
        <v>1077</v>
      </c>
      <c r="F1061">
        <v>47837761119.230774</v>
      </c>
      <c r="G1061">
        <v>193144592988.46155</v>
      </c>
      <c r="H1061">
        <v>281822335788.46155</v>
      </c>
      <c r="J1061">
        <v>556058843446.15393</v>
      </c>
      <c r="K1061">
        <v>112611324576.92308</v>
      </c>
      <c r="L1061">
        <v>113493397615.38463</v>
      </c>
      <c r="N1061">
        <v>329954121253.84619</v>
      </c>
      <c r="O1061">
        <v>415221181638.46155</v>
      </c>
      <c r="P1061">
        <v>183324179826.9231</v>
      </c>
      <c r="Q1061">
        <v>166006145838.46155</v>
      </c>
      <c r="R1061">
        <v>106613227915.38463</v>
      </c>
      <c r="T1061">
        <v>212844224180.76926</v>
      </c>
      <c r="V1061" t="str">
        <f t="shared" si="44"/>
        <v/>
      </c>
      <c r="W1061" t="str">
        <f t="shared" si="45"/>
        <v/>
      </c>
    </row>
    <row r="1062" spans="1:23" x14ac:dyDescent="0.2">
      <c r="A1062">
        <f>IF(D1062="USD",VLOOKUP(VALUE(RIGHT(E1062,4)),'USD RUB'!$E:$F,2,FALSE),1)</f>
        <v>29.402434615384617</v>
      </c>
      <c r="B1062" s="4">
        <v>29.402434615384617</v>
      </c>
      <c r="C1062">
        <v>1000000</v>
      </c>
      <c r="D1062" t="s">
        <v>111</v>
      </c>
      <c r="E1062" s="1" t="s">
        <v>1078</v>
      </c>
      <c r="F1062">
        <v>93264522600</v>
      </c>
      <c r="G1062">
        <v>269649727857.69232</v>
      </c>
      <c r="H1062">
        <v>305285478611.53851</v>
      </c>
      <c r="J1062">
        <v>676314801023.07703</v>
      </c>
      <c r="K1062">
        <v>113375787876.92308</v>
      </c>
      <c r="L1062">
        <v>74241147403.846161</v>
      </c>
      <c r="N1062">
        <v>488697865742.30774</v>
      </c>
      <c r="O1062">
        <v>215666857903.84616</v>
      </c>
      <c r="P1062">
        <v>99497838738.461548</v>
      </c>
      <c r="Q1062">
        <v>92000217911.538467</v>
      </c>
      <c r="R1062">
        <v>69918989515.384613</v>
      </c>
      <c r="T1062">
        <v>110053312765.38463</v>
      </c>
      <c r="V1062" t="str">
        <f t="shared" si="44"/>
        <v/>
      </c>
      <c r="W1062" t="str">
        <f t="shared" si="45"/>
        <v/>
      </c>
    </row>
    <row r="1063" spans="1:23" x14ac:dyDescent="0.2">
      <c r="A1063">
        <f>IF(D1063="USD",VLOOKUP(VALUE(RIGHT(E1063,4)),'USD RUB'!$E:$F,2,FALSE),1)</f>
        <v>1</v>
      </c>
      <c r="B1063" s="4">
        <v>1</v>
      </c>
      <c r="C1063">
        <v>1000000</v>
      </c>
      <c r="D1063" t="s">
        <v>20</v>
      </c>
      <c r="E1063" s="1" t="s">
        <v>1079</v>
      </c>
      <c r="F1063">
        <v>38107000000</v>
      </c>
      <c r="G1063">
        <v>324231000000</v>
      </c>
      <c r="H1063">
        <v>529833000000</v>
      </c>
      <c r="I1063">
        <v>6031000000</v>
      </c>
      <c r="J1063">
        <v>877943000000</v>
      </c>
      <c r="K1063">
        <v>149083000000</v>
      </c>
      <c r="L1063">
        <v>64141000000</v>
      </c>
      <c r="M1063">
        <v>605562000000</v>
      </c>
      <c r="N1063">
        <v>664719000000</v>
      </c>
      <c r="O1063">
        <v>609865000000</v>
      </c>
      <c r="P1063">
        <v>21444000000</v>
      </c>
      <c r="Q1063">
        <v>-10739000000</v>
      </c>
      <c r="R1063">
        <v>-14855000000</v>
      </c>
      <c r="S1063">
        <v>60064000000</v>
      </c>
      <c r="T1063">
        <v>80757000000</v>
      </c>
      <c r="U1063">
        <v>-89921000000</v>
      </c>
      <c r="V1063">
        <f t="shared" si="44"/>
        <v>768466000000</v>
      </c>
      <c r="W1063">
        <f t="shared" si="45"/>
        <v>913176000000</v>
      </c>
    </row>
    <row r="1064" spans="1:23" x14ac:dyDescent="0.2">
      <c r="A1064">
        <f>IF(D1064="USD",VLOOKUP(VALUE(RIGHT(E1064,4)),'USD RUB'!$E:$F,2,FALSE),1)</f>
        <v>1</v>
      </c>
      <c r="B1064" s="4">
        <v>1</v>
      </c>
      <c r="C1064">
        <v>1000000</v>
      </c>
      <c r="D1064" t="s">
        <v>20</v>
      </c>
      <c r="E1064" s="1" t="s">
        <v>1080</v>
      </c>
      <c r="F1064">
        <v>45318000000</v>
      </c>
      <c r="G1064">
        <v>334753000000</v>
      </c>
      <c r="H1064">
        <v>550412000000</v>
      </c>
      <c r="I1064">
        <v>6060000000</v>
      </c>
      <c r="J1064">
        <v>907776000000</v>
      </c>
      <c r="K1064">
        <v>160936000000</v>
      </c>
      <c r="L1064">
        <v>54531000000</v>
      </c>
      <c r="M1064">
        <v>630099000000</v>
      </c>
      <c r="N1064">
        <v>692309000000</v>
      </c>
      <c r="O1064">
        <v>464100000000</v>
      </c>
      <c r="P1064">
        <v>18109000000</v>
      </c>
      <c r="Q1064">
        <v>14128000000</v>
      </c>
      <c r="R1064">
        <v>10669000000</v>
      </c>
      <c r="S1064">
        <v>43821000000</v>
      </c>
      <c r="T1064">
        <v>61207000000</v>
      </c>
      <c r="U1064">
        <v>-66042000000</v>
      </c>
      <c r="V1064">
        <f t="shared" si="44"/>
        <v>602829000000</v>
      </c>
      <c r="W1064">
        <f t="shared" si="45"/>
        <v>914166000000</v>
      </c>
    </row>
    <row r="1065" spans="1:23" x14ac:dyDescent="0.2">
      <c r="A1065">
        <f>IF(D1065="USD",VLOOKUP(VALUE(RIGHT(E1065,4)),'USD RUB'!$E:$F,2,FALSE),1)</f>
        <v>1</v>
      </c>
      <c r="B1065" s="4">
        <v>1</v>
      </c>
      <c r="C1065">
        <v>1000000</v>
      </c>
      <c r="D1065" t="s">
        <v>20</v>
      </c>
      <c r="E1065" s="1" t="s">
        <v>1081</v>
      </c>
      <c r="F1065">
        <v>31735000000</v>
      </c>
      <c r="G1065">
        <v>333126000000</v>
      </c>
      <c r="H1065">
        <v>540340000000</v>
      </c>
      <c r="I1065">
        <v>6046000000</v>
      </c>
      <c r="J1065">
        <v>895109000000</v>
      </c>
      <c r="K1065">
        <v>155132000000</v>
      </c>
      <c r="L1065">
        <v>54665000000</v>
      </c>
      <c r="M1065">
        <v>625256000000</v>
      </c>
      <c r="N1065">
        <v>685312000000</v>
      </c>
      <c r="O1065">
        <v>313515000000</v>
      </c>
      <c r="P1065">
        <v>14191000000</v>
      </c>
      <c r="Q1065">
        <v>7562000000</v>
      </c>
      <c r="R1065">
        <v>5614000000</v>
      </c>
      <c r="S1065">
        <v>28324000000</v>
      </c>
      <c r="T1065">
        <v>41785000000</v>
      </c>
      <c r="U1065">
        <v>-44710000000</v>
      </c>
      <c r="V1065">
        <f t="shared" si="44"/>
        <v>417829000000</v>
      </c>
      <c r="W1065">
        <f t="shared" si="45"/>
        <v>898909000000</v>
      </c>
    </row>
    <row r="1066" spans="1:23" x14ac:dyDescent="0.2">
      <c r="A1066">
        <f>IF(D1066="USD",VLOOKUP(VALUE(RIGHT(E1066,4)),'USD RUB'!$E:$F,2,FALSE),1)</f>
        <v>1</v>
      </c>
      <c r="B1066" s="4">
        <v>1</v>
      </c>
      <c r="C1066">
        <v>1000000</v>
      </c>
      <c r="D1066" t="s">
        <v>20</v>
      </c>
      <c r="E1066" s="1" t="s">
        <v>1082</v>
      </c>
      <c r="F1066">
        <v>54361000000</v>
      </c>
      <c r="G1066">
        <v>333756000000</v>
      </c>
      <c r="H1066">
        <v>539598000000</v>
      </c>
      <c r="I1066">
        <v>5935000000</v>
      </c>
      <c r="J1066">
        <v>893078000000</v>
      </c>
      <c r="K1066">
        <v>153765000000</v>
      </c>
      <c r="L1066">
        <v>54868000000</v>
      </c>
      <c r="M1066">
        <v>622052000000</v>
      </c>
      <c r="N1066">
        <v>684445000000</v>
      </c>
      <c r="O1066">
        <v>158455000000</v>
      </c>
      <c r="P1066">
        <v>6526000000</v>
      </c>
      <c r="Q1066">
        <v>4353000000</v>
      </c>
      <c r="R1066">
        <v>3138000000</v>
      </c>
      <c r="S1066">
        <v>13854000000</v>
      </c>
      <c r="T1066">
        <v>19758000000</v>
      </c>
      <c r="U1066">
        <v>-20803000000</v>
      </c>
      <c r="V1066">
        <f t="shared" si="44"/>
        <v>192949000000</v>
      </c>
      <c r="W1066">
        <f t="shared" si="45"/>
        <v>933356000000</v>
      </c>
    </row>
    <row r="1067" spans="1:23" x14ac:dyDescent="0.2">
      <c r="A1067">
        <f>IF(D1067="USD",VLOOKUP(VALUE(RIGHT(E1067,4)),'USD RUB'!$E:$F,2,FALSE),1)</f>
        <v>1</v>
      </c>
      <c r="B1067" s="4">
        <v>1</v>
      </c>
      <c r="C1067">
        <v>1000000</v>
      </c>
      <c r="D1067" t="s">
        <v>20</v>
      </c>
      <c r="E1067" s="1" t="s">
        <v>1083</v>
      </c>
      <c r="F1067">
        <v>114435000000</v>
      </c>
      <c r="G1067">
        <v>352600000000</v>
      </c>
      <c r="H1067">
        <v>540812000000</v>
      </c>
      <c r="I1067">
        <v>5344000000</v>
      </c>
      <c r="J1067">
        <v>913176000000</v>
      </c>
      <c r="K1067">
        <v>158694000000</v>
      </c>
      <c r="L1067">
        <v>64670000000</v>
      </c>
      <c r="M1067">
        <v>618899000000</v>
      </c>
      <c r="N1067">
        <v>689812000000</v>
      </c>
      <c r="O1067">
        <v>768466000000</v>
      </c>
      <c r="P1067">
        <v>99699000000</v>
      </c>
      <c r="Q1067">
        <v>109758000000</v>
      </c>
      <c r="R1067">
        <v>79740000000</v>
      </c>
      <c r="S1067">
        <v>54290000000</v>
      </c>
      <c r="T1067">
        <v>153023000000</v>
      </c>
      <c r="U1067">
        <v>-101244000000</v>
      </c>
      <c r="V1067">
        <f t="shared" si="44"/>
        <v>763390000000</v>
      </c>
      <c r="W1067">
        <f t="shared" si="45"/>
        <v>902002000000</v>
      </c>
    </row>
    <row r="1068" spans="1:23" x14ac:dyDescent="0.2">
      <c r="A1068">
        <f>IF(D1068="USD",VLOOKUP(VALUE(RIGHT(E1068,4)),'USD RUB'!$E:$F,2,FALSE),1)</f>
        <v>1</v>
      </c>
      <c r="B1068" s="4">
        <v>1</v>
      </c>
      <c r="C1068">
        <v>1000000</v>
      </c>
      <c r="D1068" t="s">
        <v>20</v>
      </c>
      <c r="E1068" s="1" t="s">
        <v>1084</v>
      </c>
      <c r="F1068">
        <v>139695000000</v>
      </c>
      <c r="G1068">
        <v>378324000000</v>
      </c>
      <c r="H1068">
        <v>517121000000</v>
      </c>
      <c r="I1068">
        <v>4709000000</v>
      </c>
      <c r="J1068">
        <v>914166000000</v>
      </c>
      <c r="K1068">
        <v>174733000000</v>
      </c>
      <c r="L1068">
        <v>65532000000</v>
      </c>
      <c r="M1068">
        <v>607203000000</v>
      </c>
      <c r="N1068">
        <v>673901000000</v>
      </c>
      <c r="O1068">
        <v>602829000000</v>
      </c>
      <c r="P1068">
        <v>90620000000</v>
      </c>
      <c r="Q1068">
        <v>97327000000</v>
      </c>
      <c r="R1068">
        <v>67805000000</v>
      </c>
      <c r="S1068">
        <v>40174000000</v>
      </c>
      <c r="T1068">
        <v>129704000000</v>
      </c>
      <c r="U1068">
        <v>-71667000000</v>
      </c>
      <c r="V1068" t="str">
        <f t="shared" si="44"/>
        <v/>
      </c>
      <c r="W1068" t="str">
        <f t="shared" si="45"/>
        <v/>
      </c>
    </row>
    <row r="1069" spans="1:23" x14ac:dyDescent="0.2">
      <c r="A1069">
        <f>IF(D1069="USD",VLOOKUP(VALUE(RIGHT(E1069,4)),'USD RUB'!$E:$F,2,FALSE),1)</f>
        <v>1</v>
      </c>
      <c r="B1069" s="4">
        <v>1</v>
      </c>
      <c r="C1069">
        <v>1000000</v>
      </c>
      <c r="D1069" t="s">
        <v>20</v>
      </c>
      <c r="E1069" s="1" t="s">
        <v>1085</v>
      </c>
      <c r="F1069">
        <v>123076000000</v>
      </c>
      <c r="G1069">
        <v>376993000000</v>
      </c>
      <c r="H1069">
        <v>505390000000</v>
      </c>
      <c r="I1069">
        <v>4419000000</v>
      </c>
      <c r="J1069">
        <v>898909000000</v>
      </c>
      <c r="K1069">
        <v>162493000000</v>
      </c>
      <c r="L1069">
        <v>55610000000</v>
      </c>
      <c r="M1069">
        <v>617410000000</v>
      </c>
      <c r="N1069">
        <v>680806000000</v>
      </c>
      <c r="O1069">
        <v>417829000000</v>
      </c>
      <c r="P1069">
        <v>67364000000</v>
      </c>
      <c r="Q1069">
        <v>65701000000</v>
      </c>
      <c r="R1069">
        <v>50309000000</v>
      </c>
      <c r="S1069">
        <v>26674000000</v>
      </c>
      <c r="T1069">
        <v>92706000000</v>
      </c>
      <c r="U1069">
        <v>-46276000000</v>
      </c>
      <c r="V1069">
        <f t="shared" si="44"/>
        <v>352708000000</v>
      </c>
      <c r="W1069">
        <f t="shared" si="45"/>
        <v>824597000000</v>
      </c>
    </row>
    <row r="1070" spans="1:23" x14ac:dyDescent="0.2">
      <c r="A1070">
        <f>IF(D1070="USD",VLOOKUP(VALUE(RIGHT(E1070,4)),'USD RUB'!$E:$F,2,FALSE),1)</f>
        <v>1</v>
      </c>
      <c r="B1070" s="4">
        <v>1</v>
      </c>
      <c r="C1070">
        <v>1000000</v>
      </c>
      <c r="D1070" t="s">
        <v>20</v>
      </c>
      <c r="E1070" s="1" t="s">
        <v>1086</v>
      </c>
      <c r="F1070">
        <v>170194000000</v>
      </c>
      <c r="G1070">
        <v>422386000000</v>
      </c>
      <c r="H1070">
        <v>493883000000</v>
      </c>
      <c r="I1070">
        <v>4806000000</v>
      </c>
      <c r="J1070">
        <v>933356000000</v>
      </c>
      <c r="K1070">
        <v>188783000000</v>
      </c>
      <c r="L1070">
        <v>56146000000</v>
      </c>
      <c r="M1070">
        <v>621599000000</v>
      </c>
      <c r="N1070">
        <v>688427000000</v>
      </c>
      <c r="O1070">
        <v>192949000000</v>
      </c>
      <c r="P1070">
        <v>30291000000</v>
      </c>
      <c r="Q1070">
        <v>32163000000</v>
      </c>
      <c r="R1070">
        <v>23746000000</v>
      </c>
      <c r="S1070">
        <v>13349000000</v>
      </c>
      <c r="T1070">
        <v>42147000000</v>
      </c>
      <c r="U1070">
        <v>-21814000000</v>
      </c>
      <c r="V1070" t="str">
        <f t="shared" si="44"/>
        <v/>
      </c>
      <c r="W1070" t="str">
        <f t="shared" si="45"/>
        <v/>
      </c>
    </row>
    <row r="1071" spans="1:23" x14ac:dyDescent="0.2">
      <c r="A1071">
        <f>IF(D1071="USD",VLOOKUP(VALUE(RIGHT(E1071,4)),'USD RUB'!$E:$F,2,FALSE),1)</f>
        <v>1</v>
      </c>
      <c r="B1071" s="4">
        <v>1</v>
      </c>
      <c r="C1071">
        <v>1000000</v>
      </c>
      <c r="D1071" t="s">
        <v>20</v>
      </c>
      <c r="E1071" s="1" t="s">
        <v>1087</v>
      </c>
      <c r="F1071">
        <v>161809000000</v>
      </c>
      <c r="G1071">
        <v>397724000000</v>
      </c>
      <c r="H1071">
        <v>487714000000</v>
      </c>
      <c r="I1071">
        <v>3824000000</v>
      </c>
      <c r="J1071">
        <v>902002000000</v>
      </c>
      <c r="K1071">
        <v>183741000000</v>
      </c>
      <c r="L1071">
        <v>54952000000</v>
      </c>
      <c r="M1071">
        <v>597778000000</v>
      </c>
      <c r="N1071">
        <v>663309000000</v>
      </c>
      <c r="O1071">
        <v>763390000000</v>
      </c>
      <c r="P1071">
        <v>146184000000</v>
      </c>
      <c r="Q1071">
        <v>147341000000</v>
      </c>
      <c r="R1071">
        <v>118360000000</v>
      </c>
      <c r="S1071">
        <v>48348000000</v>
      </c>
      <c r="T1071">
        <v>195597000000</v>
      </c>
      <c r="U1071">
        <v>-94859000000</v>
      </c>
      <c r="V1071">
        <f t="shared" si="44"/>
        <v>699817000000</v>
      </c>
      <c r="W1071">
        <f t="shared" si="45"/>
        <v>737785000000</v>
      </c>
    </row>
    <row r="1072" spans="1:23" x14ac:dyDescent="0.2">
      <c r="A1072">
        <f>IF(D1072="USD",VLOOKUP(VALUE(RIGHT(E1072,4)),'USD RUB'!$E:$F,2,FALSE),1)</f>
        <v>1</v>
      </c>
      <c r="B1072" s="4">
        <v>1</v>
      </c>
      <c r="C1072">
        <v>1000000</v>
      </c>
      <c r="D1072" t="s">
        <v>20</v>
      </c>
      <c r="E1072" s="1" t="s">
        <v>1088</v>
      </c>
      <c r="F1072">
        <v>150901000000</v>
      </c>
      <c r="G1072">
        <v>372633000000</v>
      </c>
      <c r="H1072">
        <v>438225000000</v>
      </c>
      <c r="I1072">
        <v>2574000000</v>
      </c>
      <c r="J1072">
        <v>824597000000</v>
      </c>
      <c r="K1072">
        <v>175576000000</v>
      </c>
      <c r="L1072">
        <v>53601000000</v>
      </c>
      <c r="N1072">
        <v>595420000000</v>
      </c>
      <c r="O1072">
        <v>352708000000</v>
      </c>
      <c r="P1072">
        <v>65996000000</v>
      </c>
      <c r="Q1072">
        <v>66892000000</v>
      </c>
      <c r="R1072">
        <v>51618000000</v>
      </c>
      <c r="T1072">
        <v>88067000000</v>
      </c>
      <c r="V1072" t="str">
        <f t="shared" si="44"/>
        <v/>
      </c>
      <c r="W1072" t="str">
        <f t="shared" si="45"/>
        <v/>
      </c>
    </row>
    <row r="1073" spans="1:23" x14ac:dyDescent="0.2">
      <c r="A1073">
        <f>IF(D1073="USD",VLOOKUP(VALUE(RIGHT(E1073,4)),'USD RUB'!$E:$F,2,FALSE),1)</f>
        <v>1</v>
      </c>
      <c r="B1073" s="4">
        <v>1</v>
      </c>
      <c r="C1073">
        <v>1000000</v>
      </c>
      <c r="D1073" t="s">
        <v>20</v>
      </c>
      <c r="E1073" s="1" t="s">
        <v>1089</v>
      </c>
      <c r="F1073">
        <v>144214000000</v>
      </c>
      <c r="G1073">
        <v>315876000000</v>
      </c>
      <c r="H1073">
        <v>409275000000</v>
      </c>
      <c r="I1073">
        <v>2645000000</v>
      </c>
      <c r="J1073">
        <v>737785000000</v>
      </c>
      <c r="K1073">
        <v>139271000000</v>
      </c>
      <c r="L1073">
        <v>63080000000</v>
      </c>
      <c r="M1073">
        <v>478665000000</v>
      </c>
      <c r="N1073">
        <v>535434000000</v>
      </c>
      <c r="O1073">
        <v>699817000000</v>
      </c>
      <c r="P1073">
        <v>109928000000</v>
      </c>
      <c r="Q1073">
        <v>89341000000</v>
      </c>
      <c r="R1073">
        <v>70368000000</v>
      </c>
      <c r="S1073">
        <v>43607000000</v>
      </c>
      <c r="U1073">
        <v>-79477000000</v>
      </c>
      <c r="V1073">
        <f t="shared" si="44"/>
        <v>875644870932.00012</v>
      </c>
      <c r="W1073">
        <f t="shared" si="45"/>
        <v>716731815747.27283</v>
      </c>
    </row>
    <row r="1074" spans="1:23" x14ac:dyDescent="0.2">
      <c r="A1074">
        <f>IF(D1074="USD",VLOOKUP(VALUE(RIGHT(E1074,4)),'USD RUB'!$E:$F,2,FALSE),1)</f>
        <v>73.77579163636365</v>
      </c>
      <c r="B1074" s="4">
        <v>73.77579163636365</v>
      </c>
      <c r="C1074">
        <v>1000000</v>
      </c>
      <c r="D1074" t="s">
        <v>111</v>
      </c>
      <c r="E1074" s="1" t="s">
        <v>1090</v>
      </c>
      <c r="F1074">
        <v>62192992349.454559</v>
      </c>
      <c r="G1074">
        <v>312588029163.27277</v>
      </c>
      <c r="H1074">
        <v>395290691587.63641</v>
      </c>
      <c r="I1074">
        <v>2803480082.1818185</v>
      </c>
      <c r="J1074">
        <v>716731815747.27283</v>
      </c>
      <c r="K1074">
        <v>168430132305.81821</v>
      </c>
      <c r="L1074">
        <v>81300922383.272736</v>
      </c>
      <c r="M1074">
        <v>832264705449.81836</v>
      </c>
      <c r="N1074">
        <v>467000761058.18188</v>
      </c>
      <c r="O1074">
        <v>875644870932.00012</v>
      </c>
      <c r="P1074">
        <v>276880546011.27277</v>
      </c>
      <c r="Q1074">
        <v>293996529670.90912</v>
      </c>
      <c r="R1074">
        <v>230254245697.09094</v>
      </c>
      <c r="S1074">
        <v>37551877942.909096</v>
      </c>
      <c r="T1074">
        <v>316498146120.00006</v>
      </c>
      <c r="U1074">
        <v>-83514196132.363647</v>
      </c>
      <c r="V1074">
        <f t="shared" si="44"/>
        <v>462341413986.06299</v>
      </c>
      <c r="W1074">
        <f t="shared" si="45"/>
        <v>541651583046.69019</v>
      </c>
    </row>
    <row r="1075" spans="1:23" x14ac:dyDescent="0.2">
      <c r="A1075">
        <f>IF(D1075="USD",VLOOKUP(VALUE(RIGHT(E1075,4)),'USD RUB'!$E:$F,2,FALSE),1)</f>
        <v>73.77579163636365</v>
      </c>
      <c r="B1075" s="4">
        <v>73.77579163636365</v>
      </c>
      <c r="C1075">
        <v>1000000</v>
      </c>
      <c r="D1075" t="s">
        <v>111</v>
      </c>
      <c r="E1075" s="1" t="s">
        <v>1091</v>
      </c>
      <c r="F1075">
        <v>42716183357.454552</v>
      </c>
      <c r="G1075">
        <v>281897299842.54553</v>
      </c>
      <c r="H1075">
        <v>362312912726.18188</v>
      </c>
      <c r="I1075">
        <v>2729704290.545455</v>
      </c>
      <c r="J1075">
        <v>655719236064.00012</v>
      </c>
      <c r="K1075">
        <v>131025805946.18184</v>
      </c>
      <c r="L1075">
        <v>77317029634.909103</v>
      </c>
      <c r="M1075">
        <v>803565922503.27283</v>
      </c>
      <c r="N1075">
        <v>447376400482.90918</v>
      </c>
      <c r="O1075">
        <v>624954730951.63647</v>
      </c>
      <c r="P1075">
        <v>216089293702.90912</v>
      </c>
      <c r="Q1075">
        <v>213359589412.36368</v>
      </c>
      <c r="R1075">
        <v>171676267137.81821</v>
      </c>
      <c r="S1075">
        <v>27665921863.636368</v>
      </c>
      <c r="T1075">
        <v>244788076649.45459</v>
      </c>
      <c r="U1075">
        <v>-52675915228.363647</v>
      </c>
      <c r="V1075">
        <f t="shared" si="44"/>
        <v>328446762117.07336</v>
      </c>
      <c r="W1075">
        <f t="shared" si="45"/>
        <v>484030612452.96191</v>
      </c>
    </row>
    <row r="1076" spans="1:23" x14ac:dyDescent="0.2">
      <c r="A1076">
        <f>IF(D1076="USD",VLOOKUP(VALUE(RIGHT(E1076,4)),'USD RUB'!$E:$F,2,FALSE),1)</f>
        <v>73.77579163636365</v>
      </c>
      <c r="B1076" s="4">
        <v>73.77579163636365</v>
      </c>
      <c r="C1076">
        <v>1000000</v>
      </c>
      <c r="D1076" t="s">
        <v>111</v>
      </c>
      <c r="E1076" s="1" t="s">
        <v>1092</v>
      </c>
      <c r="F1076">
        <v>45667215022.909096</v>
      </c>
      <c r="G1076">
        <v>265519074099.27277</v>
      </c>
      <c r="H1076">
        <v>355968194645.45459</v>
      </c>
      <c r="I1076">
        <v>2803480082.1818185</v>
      </c>
      <c r="J1076">
        <v>631889655365.45471</v>
      </c>
      <c r="K1076">
        <v>125271294198.54547</v>
      </c>
      <c r="L1076">
        <v>78349890717.818192</v>
      </c>
      <c r="M1076">
        <v>782908700845.09106</v>
      </c>
      <c r="N1076">
        <v>428268470449.091</v>
      </c>
      <c r="O1076">
        <v>401340306501.81824</v>
      </c>
      <c r="P1076">
        <v>140616658858.90912</v>
      </c>
      <c r="Q1076">
        <v>138624712484.72729</v>
      </c>
      <c r="R1076">
        <v>111253893787.63638</v>
      </c>
      <c r="S1076">
        <v>18001293159.272732</v>
      </c>
      <c r="T1076">
        <v>159429485726.18185</v>
      </c>
      <c r="U1076">
        <v>-35338604193.818192</v>
      </c>
      <c r="V1076">
        <f t="shared" si="44"/>
        <v>215301443448.08374</v>
      </c>
      <c r="W1076">
        <f t="shared" si="45"/>
        <v>516275220840.4184</v>
      </c>
    </row>
    <row r="1077" spans="1:23" x14ac:dyDescent="0.2">
      <c r="A1077">
        <f>IF(D1077="USD",VLOOKUP(VALUE(RIGHT(E1077,4)),'USD RUB'!$E:$F,2,FALSE),1)</f>
        <v>73.77579163636365</v>
      </c>
      <c r="B1077" s="4">
        <v>73.77579163636365</v>
      </c>
      <c r="C1077">
        <v>1000000</v>
      </c>
      <c r="D1077" t="s">
        <v>111</v>
      </c>
      <c r="E1077" s="1" t="s">
        <v>1093</v>
      </c>
      <c r="F1077">
        <v>28772558738.181824</v>
      </c>
      <c r="G1077">
        <v>211662746204.72733</v>
      </c>
      <c r="H1077">
        <v>327785842240.36371</v>
      </c>
      <c r="I1077">
        <v>2729704290.545455</v>
      </c>
      <c r="J1077">
        <v>547859028691.63647</v>
      </c>
      <c r="K1077">
        <v>104245193582.18184</v>
      </c>
      <c r="L1077">
        <v>77021926468.363647</v>
      </c>
      <c r="M1077">
        <v>737757916363.63647</v>
      </c>
      <c r="N1077">
        <v>366591908641.091</v>
      </c>
      <c r="O1077">
        <v>161200104725.45456</v>
      </c>
      <c r="P1077">
        <v>44265474981.818192</v>
      </c>
      <c r="Q1077">
        <v>44265474981.818192</v>
      </c>
      <c r="R1077">
        <v>35191052610.545464</v>
      </c>
      <c r="S1077">
        <v>8853094996.3636379</v>
      </c>
      <c r="T1077">
        <v>53561224728.000008</v>
      </c>
      <c r="U1077">
        <v>-10476162412.363638</v>
      </c>
      <c r="V1077">
        <f t="shared" si="44"/>
        <v>123628431261.32411</v>
      </c>
      <c r="W1077">
        <f t="shared" si="45"/>
        <v>488006965505.22675</v>
      </c>
    </row>
    <row r="1078" spans="1:23" x14ac:dyDescent="0.2">
      <c r="A1078">
        <f>IF(D1078="USD",VLOOKUP(VALUE(RIGHT(E1078,4)),'USD RUB'!$E:$F,2,FALSE),1)</f>
        <v>72.297328222996555</v>
      </c>
      <c r="B1078" s="4">
        <v>72.297328222996555</v>
      </c>
      <c r="C1078">
        <v>1000000</v>
      </c>
      <c r="D1078" t="s">
        <v>111</v>
      </c>
      <c r="E1078" s="1" t="s">
        <v>1094</v>
      </c>
      <c r="F1078">
        <v>62031107615.331047</v>
      </c>
      <c r="G1078">
        <v>206119682763.76318</v>
      </c>
      <c r="H1078">
        <v>328302167460.62738</v>
      </c>
      <c r="I1078">
        <v>2891893128.9198623</v>
      </c>
      <c r="J1078">
        <v>541651583046.69019</v>
      </c>
      <c r="K1078">
        <v>131942624006.96872</v>
      </c>
      <c r="L1078">
        <v>77068951885.714325</v>
      </c>
      <c r="M1078">
        <v>688415159339.37317</v>
      </c>
      <c r="N1078">
        <v>332640007154.00714</v>
      </c>
      <c r="O1078">
        <v>462341413986.06299</v>
      </c>
      <c r="P1078">
        <v>68104083186.062752</v>
      </c>
      <c r="Q1078">
        <v>57114889296.167282</v>
      </c>
      <c r="R1078">
        <v>43667586246.689919</v>
      </c>
      <c r="S1078">
        <v>34991906859.930336</v>
      </c>
      <c r="T1078">
        <v>107867613708.71086</v>
      </c>
      <c r="U1078">
        <v>-50174345786.759605</v>
      </c>
      <c r="V1078">
        <f t="shared" si="44"/>
        <v>489437683312.49963</v>
      </c>
      <c r="W1078">
        <f t="shared" si="45"/>
        <v>535884452624.99963</v>
      </c>
    </row>
    <row r="1079" spans="1:23" x14ac:dyDescent="0.2">
      <c r="A1079">
        <f>IF(D1079="USD",VLOOKUP(VALUE(RIGHT(E1079,4)),'USD RUB'!$E:$F,2,FALSE),1)</f>
        <v>72.297328222996555</v>
      </c>
      <c r="B1079" s="4">
        <v>72.297328222996555</v>
      </c>
      <c r="C1079">
        <v>1000000</v>
      </c>
      <c r="D1079" t="s">
        <v>111</v>
      </c>
      <c r="E1079" s="1" t="s">
        <v>1095</v>
      </c>
      <c r="F1079">
        <v>52777049602.787483</v>
      </c>
      <c r="G1079">
        <v>179225076664.80847</v>
      </c>
      <c r="H1079">
        <v>298371073576.30676</v>
      </c>
      <c r="I1079">
        <v>2385811831.3588862</v>
      </c>
      <c r="J1079">
        <v>484030612452.96191</v>
      </c>
      <c r="K1079">
        <v>93263553407.665558</v>
      </c>
      <c r="L1079">
        <v>77502735855.052307</v>
      </c>
      <c r="M1079">
        <v>691523944452.96204</v>
      </c>
      <c r="N1079">
        <v>313264323190.24408</v>
      </c>
      <c r="O1079">
        <v>328446762117.07336</v>
      </c>
      <c r="P1079">
        <v>42727720979.790962</v>
      </c>
      <c r="Q1079">
        <v>26966903427.177715</v>
      </c>
      <c r="R1079">
        <v>21038522512.891998</v>
      </c>
      <c r="S1079">
        <v>26605416786.062733</v>
      </c>
      <c r="T1079">
        <v>73598680131.010498</v>
      </c>
      <c r="U1079">
        <v>-33618257623.693398</v>
      </c>
      <c r="V1079">
        <f t="shared" si="44"/>
        <v>378043063874.99976</v>
      </c>
      <c r="W1079">
        <f t="shared" si="45"/>
        <v>514860497156.24963</v>
      </c>
    </row>
    <row r="1080" spans="1:23" x14ac:dyDescent="0.2">
      <c r="A1080">
        <f>IF(D1080="USD",VLOOKUP(VALUE(RIGHT(E1080,4)),'USD RUB'!$E:$F,2,FALSE),1)</f>
        <v>72.297328222996555</v>
      </c>
      <c r="B1080" s="4">
        <v>72.297328222996555</v>
      </c>
      <c r="C1080">
        <v>1000000</v>
      </c>
      <c r="D1080" t="s">
        <v>111</v>
      </c>
      <c r="E1080" s="1" t="s">
        <v>1096</v>
      </c>
      <c r="F1080">
        <v>34485825562.369354</v>
      </c>
      <c r="G1080">
        <v>173152101094.07675</v>
      </c>
      <c r="H1080">
        <v>335821089595.81897</v>
      </c>
      <c r="I1080">
        <v>2819595800.6968656</v>
      </c>
      <c r="J1080">
        <v>516275220840.4184</v>
      </c>
      <c r="K1080">
        <v>81406791579.094116</v>
      </c>
      <c r="L1080">
        <v>82852738143.554047</v>
      </c>
      <c r="M1080">
        <v>690656376514.28613</v>
      </c>
      <c r="N1080">
        <v>352015691117.7702</v>
      </c>
      <c r="O1080">
        <v>215301443448.08374</v>
      </c>
      <c r="P1080">
        <v>26966903427.177715</v>
      </c>
      <c r="Q1080">
        <v>17929737399.303146</v>
      </c>
      <c r="R1080">
        <v>13664195034.146349</v>
      </c>
      <c r="S1080">
        <v>18146629383.972134</v>
      </c>
      <c r="T1080">
        <v>48294615252.9617</v>
      </c>
      <c r="U1080">
        <v>-22122982436.236946</v>
      </c>
      <c r="V1080">
        <f t="shared" si="44"/>
        <v>248082674531.24982</v>
      </c>
      <c r="W1080">
        <f t="shared" si="45"/>
        <v>526569223124.99963</v>
      </c>
    </row>
    <row r="1081" spans="1:23" x14ac:dyDescent="0.2">
      <c r="A1081">
        <f>IF(D1081="USD",VLOOKUP(VALUE(RIGHT(E1081,4)),'USD RUB'!$E:$F,2,FALSE),1)</f>
        <v>72.297328222996555</v>
      </c>
      <c r="B1081" s="4">
        <v>72.297328222996555</v>
      </c>
      <c r="C1081">
        <v>1000000</v>
      </c>
      <c r="D1081" t="s">
        <v>111</v>
      </c>
      <c r="E1081" s="1" t="s">
        <v>1097</v>
      </c>
      <c r="F1081">
        <v>45475019452.264832</v>
      </c>
      <c r="G1081">
        <v>180671023229.2684</v>
      </c>
      <c r="H1081">
        <v>300684588079.44269</v>
      </c>
      <c r="I1081">
        <v>2530406487.8048792</v>
      </c>
      <c r="J1081">
        <v>488006965505.22675</v>
      </c>
      <c r="K1081">
        <v>78442601121.951263</v>
      </c>
      <c r="L1081">
        <v>78225709137.282272</v>
      </c>
      <c r="M1081">
        <v>703597598266.20251</v>
      </c>
      <c r="N1081">
        <v>331338655245.99323</v>
      </c>
      <c r="O1081">
        <v>123628431261.32411</v>
      </c>
      <c r="P1081">
        <v>20460143887.108025</v>
      </c>
      <c r="Q1081">
        <v>11929059156.794432</v>
      </c>
      <c r="R1081">
        <v>9470949997.2125492</v>
      </c>
      <c r="S1081">
        <v>9760139310.1045341</v>
      </c>
      <c r="T1081">
        <v>31955419074.564476</v>
      </c>
      <c r="U1081">
        <v>-9398652668.9895515</v>
      </c>
      <c r="V1081">
        <f t="shared" si="44"/>
        <v>118769176124.99992</v>
      </c>
      <c r="W1081">
        <f t="shared" si="45"/>
        <v>491637112499.99963</v>
      </c>
    </row>
    <row r="1082" spans="1:23" x14ac:dyDescent="0.2">
      <c r="A1082">
        <f>IF(D1082="USD",VLOOKUP(VALUE(RIGHT(E1082,4)),'USD RUB'!$E:$F,2,FALSE),1)</f>
        <v>64.689093749999955</v>
      </c>
      <c r="B1082" s="4">
        <v>64.689093749999955</v>
      </c>
      <c r="C1082">
        <v>1000000</v>
      </c>
      <c r="D1082" t="s">
        <v>111</v>
      </c>
      <c r="E1082" s="1" t="s">
        <v>1098</v>
      </c>
      <c r="F1082">
        <v>71481448593.749954</v>
      </c>
      <c r="G1082">
        <v>193485079406.24988</v>
      </c>
      <c r="H1082">
        <v>335089505624.99976</v>
      </c>
      <c r="I1082">
        <v>3040387406.2499981</v>
      </c>
      <c r="J1082">
        <v>535884452624.99963</v>
      </c>
      <c r="K1082">
        <v>101238431718.74992</v>
      </c>
      <c r="L1082">
        <v>77626912499.999939</v>
      </c>
      <c r="M1082">
        <v>621015299999.99951</v>
      </c>
      <c r="N1082">
        <v>357019108406.24976</v>
      </c>
      <c r="O1082">
        <v>489437683312.49963</v>
      </c>
      <c r="P1082">
        <v>82413905437.499939</v>
      </c>
      <c r="Q1082">
        <v>70834557656.249954</v>
      </c>
      <c r="R1082">
        <v>55373864249.999962</v>
      </c>
      <c r="S1082">
        <v>32991437812.499977</v>
      </c>
      <c r="T1082">
        <v>116246301468.74992</v>
      </c>
      <c r="U1082">
        <v>-55438553343.749962</v>
      </c>
      <c r="V1082">
        <f t="shared" si="44"/>
        <v>516406841978.073</v>
      </c>
      <c r="W1082">
        <f t="shared" si="45"/>
        <v>452971913373.75409</v>
      </c>
    </row>
    <row r="1083" spans="1:23" x14ac:dyDescent="0.2">
      <c r="A1083">
        <f>IF(D1083="USD",VLOOKUP(VALUE(RIGHT(E1083,4)),'USD RUB'!$E:$F,2,FALSE),1)</f>
        <v>64.689093749999955</v>
      </c>
      <c r="B1083" s="4">
        <v>64.689093749999955</v>
      </c>
      <c r="C1083">
        <v>1000000</v>
      </c>
      <c r="D1083" t="s">
        <v>111</v>
      </c>
      <c r="E1083" s="1" t="s">
        <v>1099</v>
      </c>
      <c r="F1083">
        <v>60548991749.999962</v>
      </c>
      <c r="G1083">
        <v>191156272031.24988</v>
      </c>
      <c r="H1083">
        <v>317429383031.24976</v>
      </c>
      <c r="I1083">
        <v>2134740093.7499986</v>
      </c>
      <c r="J1083">
        <v>514860497156.24963</v>
      </c>
      <c r="K1083">
        <v>83837065499.999939</v>
      </c>
      <c r="L1083">
        <v>73939634156.249954</v>
      </c>
      <c r="M1083">
        <v>634858766062.49951</v>
      </c>
      <c r="N1083">
        <v>357083797499.99976</v>
      </c>
      <c r="O1083">
        <v>378043063874.99976</v>
      </c>
      <c r="P1083">
        <v>69993599437.499954</v>
      </c>
      <c r="Q1083">
        <v>62036840906.249954</v>
      </c>
      <c r="R1083">
        <v>49681223999.999962</v>
      </c>
      <c r="S1083">
        <v>23999653781.249985</v>
      </c>
      <c r="T1083">
        <v>94575455062.499939</v>
      </c>
      <c r="U1083">
        <v>-39007523531.249969</v>
      </c>
      <c r="V1083">
        <f t="shared" si="44"/>
        <v>393057654741.5282</v>
      </c>
      <c r="W1083">
        <f t="shared" si="45"/>
        <v>477930948711.62781</v>
      </c>
    </row>
    <row r="1084" spans="1:23" x14ac:dyDescent="0.2">
      <c r="A1084">
        <f>IF(D1084="USD",VLOOKUP(VALUE(RIGHT(E1084,4)),'USD RUB'!$E:$F,2,FALSE),1)</f>
        <v>64.689093749999955</v>
      </c>
      <c r="B1084" s="4">
        <v>64.689093749999955</v>
      </c>
      <c r="C1084">
        <v>1000000</v>
      </c>
      <c r="D1084" t="s">
        <v>111</v>
      </c>
      <c r="E1084" s="1" t="s">
        <v>1100</v>
      </c>
      <c r="F1084">
        <v>58673008031.249962</v>
      </c>
      <c r="G1084">
        <v>199113030562.49985</v>
      </c>
      <c r="H1084">
        <v>320922594093.74976</v>
      </c>
      <c r="I1084">
        <v>2199429187.4999986</v>
      </c>
      <c r="J1084">
        <v>526569223124.99963</v>
      </c>
      <c r="K1084">
        <v>99362447999.999924</v>
      </c>
      <c r="L1084">
        <v>73163365031.249954</v>
      </c>
      <c r="M1084">
        <v>625349469281.24951</v>
      </c>
      <c r="N1084">
        <v>354043410093.74976</v>
      </c>
      <c r="O1084">
        <v>248082674531.24982</v>
      </c>
      <c r="P1084">
        <v>45023609249.999969</v>
      </c>
      <c r="Q1084">
        <v>39977859937.499969</v>
      </c>
      <c r="R1084">
        <v>32150479593.749977</v>
      </c>
      <c r="S1084">
        <v>15525382499.999989</v>
      </c>
      <c r="T1084">
        <v>60613680843.749954</v>
      </c>
      <c r="U1084">
        <v>-26651906624.999981</v>
      </c>
      <c r="V1084">
        <f t="shared" si="44"/>
        <v>261598352747.84048</v>
      </c>
      <c r="W1084">
        <f t="shared" si="45"/>
        <v>476233482832.22583</v>
      </c>
    </row>
    <row r="1085" spans="1:23" x14ac:dyDescent="0.2">
      <c r="A1085">
        <f>IF(D1085="USD",VLOOKUP(VALUE(RIGHT(E1085,4)),'USD RUB'!$E:$F,2,FALSE),1)</f>
        <v>64.689093749999955</v>
      </c>
      <c r="B1085" s="4">
        <v>64.689093749999955</v>
      </c>
      <c r="C1085">
        <v>1000000</v>
      </c>
      <c r="D1085" t="s">
        <v>111</v>
      </c>
      <c r="E1085" s="1" t="s">
        <v>1101</v>
      </c>
      <c r="F1085">
        <v>45929256562.499969</v>
      </c>
      <c r="G1085">
        <v>180288504281.24988</v>
      </c>
      <c r="H1085">
        <v>305073766124.99982</v>
      </c>
      <c r="I1085">
        <v>2134740093.7499986</v>
      </c>
      <c r="J1085">
        <v>491637112499.99963</v>
      </c>
      <c r="K1085">
        <v>88947503906.249939</v>
      </c>
      <c r="L1085">
        <v>42177289124.999969</v>
      </c>
      <c r="M1085">
        <v>639516380812.49951</v>
      </c>
      <c r="N1085">
        <v>360512319468.74976</v>
      </c>
      <c r="O1085">
        <v>118769176124.99992</v>
      </c>
      <c r="P1085">
        <v>20700509999.999985</v>
      </c>
      <c r="Q1085">
        <v>18112946249.999989</v>
      </c>
      <c r="R1085">
        <v>14555046093.74999</v>
      </c>
      <c r="S1085">
        <v>7698002156.2499943</v>
      </c>
      <c r="T1085">
        <v>28463201249.999981</v>
      </c>
      <c r="U1085">
        <v>-10609011374.999992</v>
      </c>
      <c r="V1085">
        <f t="shared" si="44"/>
        <v>129196014154.48503</v>
      </c>
      <c r="W1085">
        <f t="shared" si="45"/>
        <v>495345691252.15936</v>
      </c>
    </row>
    <row r="1086" spans="1:23" x14ac:dyDescent="0.2">
      <c r="A1086">
        <f>IF(D1086="USD",VLOOKUP(VALUE(RIGHT(E1086,4)),'USD RUB'!$E:$F,2,FALSE),1)</f>
        <v>62.869106644518261</v>
      </c>
      <c r="B1086" s="4">
        <v>62.869106644518261</v>
      </c>
      <c r="C1086">
        <v>1000000</v>
      </c>
      <c r="D1086" t="s">
        <v>111</v>
      </c>
      <c r="E1086" s="1" t="s">
        <v>1102</v>
      </c>
      <c r="F1086">
        <v>46460269810.298996</v>
      </c>
      <c r="G1086">
        <v>172261352205.98004</v>
      </c>
      <c r="H1086">
        <v>274737996036.5448</v>
      </c>
      <c r="I1086">
        <v>1508858559.4684384</v>
      </c>
      <c r="J1086">
        <v>452971913373.75409</v>
      </c>
      <c r="K1086">
        <v>88142487515.614609</v>
      </c>
      <c r="L1086">
        <v>49918070675.747498</v>
      </c>
      <c r="M1086">
        <v>607441308399.33545</v>
      </c>
      <c r="N1086">
        <v>314911355182.39197</v>
      </c>
      <c r="O1086">
        <v>516406841978.073</v>
      </c>
      <c r="P1086">
        <v>115239072479.40198</v>
      </c>
      <c r="Q1086">
        <v>111592664294.01991</v>
      </c>
      <c r="R1086">
        <v>82798613450.830551</v>
      </c>
      <c r="S1086">
        <v>35583914360.797333</v>
      </c>
      <c r="T1086">
        <v>152017499866.44516</v>
      </c>
      <c r="U1086">
        <v>-54696122780.730888</v>
      </c>
      <c r="V1086">
        <f t="shared" si="44"/>
        <v>440028767345.21436</v>
      </c>
      <c r="W1086">
        <f t="shared" si="45"/>
        <v>462071024707.59058</v>
      </c>
    </row>
    <row r="1087" spans="1:23" x14ac:dyDescent="0.2">
      <c r="A1087">
        <f>IF(D1087="USD",VLOOKUP(VALUE(RIGHT(E1087,4)),'USD RUB'!$E:$F,2,FALSE),1)</f>
        <v>62.869106644518261</v>
      </c>
      <c r="B1087" s="4">
        <v>62.869106644518261</v>
      </c>
      <c r="C1087">
        <v>1000000</v>
      </c>
      <c r="D1087" t="s">
        <v>111</v>
      </c>
      <c r="E1087" s="1" t="s">
        <v>1103</v>
      </c>
      <c r="F1087">
        <v>52307096728.239197</v>
      </c>
      <c r="G1087">
        <v>184709435321.59467</v>
      </c>
      <c r="H1087">
        <v>287311817365.44843</v>
      </c>
      <c r="I1087">
        <v>1571727666.1129565</v>
      </c>
      <c r="J1087">
        <v>477930948711.62781</v>
      </c>
      <c r="K1087">
        <v>91097335527.906967</v>
      </c>
      <c r="L1087">
        <v>48283473902.990028</v>
      </c>
      <c r="M1087">
        <v>614356910130.23242</v>
      </c>
      <c r="N1087">
        <v>338550139280.73083</v>
      </c>
      <c r="O1087">
        <v>393057654741.5282</v>
      </c>
      <c r="P1087">
        <v>91097335527.906967</v>
      </c>
      <c r="Q1087">
        <v>86633628956.146164</v>
      </c>
      <c r="R1087">
        <v>67395682322.923576</v>
      </c>
      <c r="S1087">
        <v>26342155684.05315</v>
      </c>
      <c r="T1087">
        <v>118256789598.33885</v>
      </c>
      <c r="U1087">
        <v>-41619348598.671089</v>
      </c>
      <c r="V1087">
        <f t="shared" si="44"/>
        <v>326435335223.76227</v>
      </c>
      <c r="W1087">
        <f t="shared" si="45"/>
        <v>436005180683.82819</v>
      </c>
    </row>
    <row r="1088" spans="1:23" x14ac:dyDescent="0.2">
      <c r="A1088">
        <f>IF(D1088="USD",VLOOKUP(VALUE(RIGHT(E1088,4)),'USD RUB'!$E:$F,2,FALSE),1)</f>
        <v>62.869106644518261</v>
      </c>
      <c r="B1088" s="4">
        <v>62.869106644518261</v>
      </c>
      <c r="C1088">
        <v>1000000</v>
      </c>
      <c r="D1088" t="s">
        <v>111</v>
      </c>
      <c r="E1088" s="1" t="s">
        <v>1104</v>
      </c>
      <c r="F1088">
        <v>37721463986.71096</v>
      </c>
      <c r="G1088">
        <v>172135613992.69101</v>
      </c>
      <c r="H1088">
        <v>297622350855.14948</v>
      </c>
      <c r="I1088">
        <v>1508858559.4684384</v>
      </c>
      <c r="J1088">
        <v>476233482832.22583</v>
      </c>
      <c r="K1088">
        <v>82861482557.475067</v>
      </c>
      <c r="L1088">
        <v>49980939782.392021</v>
      </c>
      <c r="M1088">
        <v>606183926266.44507</v>
      </c>
      <c r="N1088">
        <v>343391060492.35876</v>
      </c>
      <c r="O1088">
        <v>261598352747.84048</v>
      </c>
      <c r="P1088">
        <v>57902447219.601318</v>
      </c>
      <c r="Q1088">
        <v>54193169927.574738</v>
      </c>
      <c r="R1088">
        <v>42185170558.471756</v>
      </c>
      <c r="S1088">
        <v>17917695393.687706</v>
      </c>
      <c r="T1088">
        <v>76071619039.867096</v>
      </c>
      <c r="U1088">
        <v>-31245946002.325577</v>
      </c>
      <c r="V1088">
        <f t="shared" si="44"/>
        <v>209109880691.74908</v>
      </c>
      <c r="W1088">
        <f t="shared" si="45"/>
        <v>407198632702.31006</v>
      </c>
    </row>
    <row r="1089" spans="1:23" x14ac:dyDescent="0.2">
      <c r="A1089">
        <f>IF(D1089="USD",VLOOKUP(VALUE(RIGHT(E1089,4)),'USD RUB'!$E:$F,2,FALSE),1)</f>
        <v>62.869106644518261</v>
      </c>
      <c r="B1089" s="4">
        <v>62.869106644518261</v>
      </c>
      <c r="C1089">
        <v>1000000</v>
      </c>
      <c r="D1089" t="s">
        <v>111</v>
      </c>
      <c r="E1089" s="1" t="s">
        <v>1105</v>
      </c>
      <c r="F1089">
        <v>27725276030.232552</v>
      </c>
      <c r="G1089">
        <v>174901854685.0498</v>
      </c>
      <c r="H1089">
        <v>313213889302.98999</v>
      </c>
      <c r="I1089">
        <v>1634596772.7574749</v>
      </c>
      <c r="J1089">
        <v>495345691252.15936</v>
      </c>
      <c r="K1089">
        <v>76637440999.667755</v>
      </c>
      <c r="L1089">
        <v>53941693500.996666</v>
      </c>
      <c r="M1089">
        <v>599645539175.41516</v>
      </c>
      <c r="N1089">
        <v>364766556751.49493</v>
      </c>
      <c r="O1089">
        <v>129196014154.48503</v>
      </c>
      <c r="P1089">
        <v>26027810150.830559</v>
      </c>
      <c r="Q1089">
        <v>22570009285.382057</v>
      </c>
      <c r="R1089">
        <v>17540480753.820595</v>
      </c>
      <c r="S1089">
        <v>9053151356.8106289</v>
      </c>
      <c r="T1089">
        <v>35206699720.930229</v>
      </c>
      <c r="U1089">
        <v>-13956941675.083054</v>
      </c>
      <c r="V1089">
        <f t="shared" si="44"/>
        <v>96799331273.927353</v>
      </c>
      <c r="W1089">
        <f t="shared" si="45"/>
        <v>425858744755.11536</v>
      </c>
    </row>
    <row r="1090" spans="1:23" x14ac:dyDescent="0.2">
      <c r="A1090">
        <f>IF(D1090="USD",VLOOKUP(VALUE(RIGHT(E1090,4)),'USD RUB'!$E:$F,2,FALSE),1)</f>
        <v>58.312850165016478</v>
      </c>
      <c r="B1090" s="4">
        <v>58.312850165016478</v>
      </c>
      <c r="C1090">
        <v>1000000</v>
      </c>
      <c r="D1090" t="s">
        <v>111</v>
      </c>
      <c r="E1090" s="1" t="s">
        <v>1106</v>
      </c>
      <c r="F1090">
        <v>32421944691.749161</v>
      </c>
      <c r="G1090">
        <v>170098583931.35306</v>
      </c>
      <c r="H1090">
        <v>284216831704.29028</v>
      </c>
      <c r="I1090">
        <v>1574446954.4554448</v>
      </c>
      <c r="J1090">
        <v>462071024707.59058</v>
      </c>
      <c r="K1090">
        <v>92250928961.056061</v>
      </c>
      <c r="L1090">
        <v>49274358389.438927</v>
      </c>
      <c r="M1090">
        <v>539918679677.88757</v>
      </c>
      <c r="N1090">
        <v>320545737357.09558</v>
      </c>
      <c r="O1090">
        <v>440028767345.21436</v>
      </c>
      <c r="P1090">
        <v>84845196990.098969</v>
      </c>
      <c r="Q1090">
        <v>87177710996.699631</v>
      </c>
      <c r="R1090">
        <v>69333978846.20459</v>
      </c>
      <c r="S1090">
        <v>31722190489.768963</v>
      </c>
      <c r="T1090">
        <v>118491711535.31348</v>
      </c>
      <c r="U1090">
        <v>-39302861011.221107</v>
      </c>
      <c r="V1090">
        <f t="shared" si="44"/>
        <v>377516110287.2337</v>
      </c>
      <c r="W1090">
        <f t="shared" si="45"/>
        <v>435920467669.14856</v>
      </c>
    </row>
    <row r="1091" spans="1:23" x14ac:dyDescent="0.2">
      <c r="A1091">
        <f>IF(D1091="USD",VLOOKUP(VALUE(RIGHT(E1091,4)),'USD RUB'!$E:$F,2,FALSE),1)</f>
        <v>58.312850165016478</v>
      </c>
      <c r="B1091" s="4">
        <v>58.312850165016478</v>
      </c>
      <c r="C1091">
        <v>1000000</v>
      </c>
      <c r="D1091" t="s">
        <v>111</v>
      </c>
      <c r="E1091" s="1" t="s">
        <v>1107</v>
      </c>
      <c r="F1091">
        <v>36037341401.980186</v>
      </c>
      <c r="G1091">
        <v>156278438442.24417</v>
      </c>
      <c r="H1091">
        <v>273137390172.93719</v>
      </c>
      <c r="I1091">
        <v>1457821254.125412</v>
      </c>
      <c r="J1091">
        <v>436005180683.82819</v>
      </c>
      <c r="K1091">
        <v>75398515263.366302</v>
      </c>
      <c r="L1091">
        <v>51490246695.709549</v>
      </c>
      <c r="M1091">
        <v>530471997951.15491</v>
      </c>
      <c r="N1091">
        <v>309116418724.75232</v>
      </c>
      <c r="O1091">
        <v>326435335223.76227</v>
      </c>
      <c r="P1091">
        <v>59362481467.986778</v>
      </c>
      <c r="Q1091">
        <v>60761989871.947166</v>
      </c>
      <c r="R1091">
        <v>47466660034.32341</v>
      </c>
      <c r="S1091">
        <v>23266827215.841576</v>
      </c>
      <c r="T1091">
        <v>83970504237.623734</v>
      </c>
      <c r="U1091">
        <v>-25191151271.287117</v>
      </c>
      <c r="V1091">
        <f t="shared" si="44"/>
        <v>273581834808.51041</v>
      </c>
      <c r="W1091">
        <f t="shared" si="45"/>
        <v>417279352454.25494</v>
      </c>
    </row>
    <row r="1092" spans="1:23" x14ac:dyDescent="0.2">
      <c r="A1092">
        <f>IF(D1092="USD",VLOOKUP(VALUE(RIGHT(E1092,4)),'USD RUB'!$E:$F,2,FALSE),1)</f>
        <v>58.312850165016478</v>
      </c>
      <c r="B1092" s="4">
        <v>58.312850165016478</v>
      </c>
      <c r="C1092">
        <v>1000000</v>
      </c>
      <c r="D1092" t="s">
        <v>111</v>
      </c>
      <c r="E1092" s="1" t="s">
        <v>1108</v>
      </c>
      <c r="F1092">
        <v>15569530994.059399</v>
      </c>
      <c r="G1092">
        <v>133128236926.73262</v>
      </c>
      <c r="H1092">
        <v>267481043706.93057</v>
      </c>
      <c r="I1092">
        <v>1457821254.125412</v>
      </c>
      <c r="J1092">
        <v>407198632702.31006</v>
      </c>
      <c r="K1092">
        <v>57671408813.201294</v>
      </c>
      <c r="L1092">
        <v>51840123796.699646</v>
      </c>
      <c r="M1092">
        <v>524115897283.16809</v>
      </c>
      <c r="N1092">
        <v>297687100092.40912</v>
      </c>
      <c r="O1092">
        <v>209109880691.74908</v>
      </c>
      <c r="P1092">
        <v>36037341401.980186</v>
      </c>
      <c r="Q1092">
        <v>40702369415.181503</v>
      </c>
      <c r="R1092">
        <v>31372313388.778866</v>
      </c>
      <c r="S1092">
        <v>15569530994.059399</v>
      </c>
      <c r="T1092">
        <v>52889755099.669945</v>
      </c>
      <c r="U1092">
        <v>-16852413697.689762</v>
      </c>
      <c r="V1092">
        <f t="shared" si="44"/>
        <v>174475474061.702</v>
      </c>
      <c r="W1092">
        <f t="shared" si="45"/>
        <v>459925932586.1698</v>
      </c>
    </row>
    <row r="1093" spans="1:23" x14ac:dyDescent="0.2">
      <c r="A1093">
        <f>IF(D1093="USD",VLOOKUP(VALUE(RIGHT(E1093,4)),'USD RUB'!$E:$F,2,FALSE),1)</f>
        <v>58.312850165016478</v>
      </c>
      <c r="B1093" s="4">
        <v>58.312850165016478</v>
      </c>
      <c r="C1093">
        <v>1000000</v>
      </c>
      <c r="D1093" t="s">
        <v>111</v>
      </c>
      <c r="E1093" s="1" t="s">
        <v>1109</v>
      </c>
      <c r="F1093">
        <v>15977720945.214516</v>
      </c>
      <c r="G1093">
        <v>147823075168.31677</v>
      </c>
      <c r="H1093">
        <v>270396686215.1814</v>
      </c>
      <c r="I1093">
        <v>1457821254.125412</v>
      </c>
      <c r="J1093">
        <v>425858744755.11536</v>
      </c>
      <c r="K1093">
        <v>67118090539.933968</v>
      </c>
      <c r="L1093">
        <v>52073375197.359718</v>
      </c>
      <c r="M1093">
        <v>521433506175.57733</v>
      </c>
      <c r="N1093">
        <v>306667279017.82166</v>
      </c>
      <c r="O1093">
        <v>96799331273.927353</v>
      </c>
      <c r="P1093">
        <v>18601799202.640255</v>
      </c>
      <c r="Q1093">
        <v>16794100847.524746</v>
      </c>
      <c r="R1093">
        <v>14053396889.76897</v>
      </c>
      <c r="S1093">
        <v>7580670521.4521418</v>
      </c>
      <c r="T1093">
        <v>26357408274.587448</v>
      </c>
      <c r="U1093">
        <v>-7114167720.1320105</v>
      </c>
      <c r="V1093">
        <f t="shared" si="44"/>
        <v>70407089840.425476</v>
      </c>
      <c r="W1093">
        <f t="shared" si="45"/>
        <v>432031314135.10602</v>
      </c>
    </row>
    <row r="1094" spans="1:23" x14ac:dyDescent="0.2">
      <c r="A1094">
        <f>IF(D1094="USD",VLOOKUP(VALUE(RIGHT(E1094,4)),'USD RUB'!$E:$F,2,FALSE),1)</f>
        <v>67.054371276595688</v>
      </c>
      <c r="B1094" s="4">
        <v>67.054371276595688</v>
      </c>
      <c r="C1094">
        <v>1000000</v>
      </c>
      <c r="D1094" t="s">
        <v>111</v>
      </c>
      <c r="E1094" s="1" t="s">
        <v>1110</v>
      </c>
      <c r="F1094">
        <v>17836462759.574451</v>
      </c>
      <c r="G1094">
        <v>136723863032.97861</v>
      </c>
      <c r="H1094">
        <v>291351243196.80829</v>
      </c>
      <c r="J1094">
        <v>435920467669.14856</v>
      </c>
      <c r="K1094">
        <v>71547014152.127594</v>
      </c>
      <c r="L1094">
        <v>48480310432.978683</v>
      </c>
      <c r="M1094">
        <v>583574193220.21228</v>
      </c>
      <c r="N1094">
        <v>315893143084.0423</v>
      </c>
      <c r="O1094">
        <v>377516110287.2337</v>
      </c>
      <c r="P1094">
        <v>98033490806.382889</v>
      </c>
      <c r="Q1094">
        <v>89986966253.191406</v>
      </c>
      <c r="R1094">
        <v>74497406488.297806</v>
      </c>
      <c r="T1094">
        <v>131158350217.02116</v>
      </c>
      <c r="U1094">
        <v>31046173901.063805</v>
      </c>
      <c r="V1094">
        <f t="shared" si="44"/>
        <v>357639720638.96106</v>
      </c>
      <c r="W1094">
        <f t="shared" si="45"/>
        <v>377117273501.29871</v>
      </c>
    </row>
    <row r="1095" spans="1:23" x14ac:dyDescent="0.2">
      <c r="A1095">
        <f>IF(D1095="USD",VLOOKUP(VALUE(RIGHT(E1095,4)),'USD RUB'!$E:$F,2,FALSE),1)</f>
        <v>67.054371276595688</v>
      </c>
      <c r="B1095" s="4">
        <v>67.054371276595688</v>
      </c>
      <c r="C1095">
        <v>1000000</v>
      </c>
      <c r="D1095" t="s">
        <v>111</v>
      </c>
      <c r="E1095" s="1" t="s">
        <v>1111</v>
      </c>
      <c r="F1095">
        <v>12874439285.106373</v>
      </c>
      <c r="G1095">
        <v>128677338479.78712</v>
      </c>
      <c r="H1095">
        <v>280421380678.72314</v>
      </c>
      <c r="J1095">
        <v>417279352454.25494</v>
      </c>
      <c r="K1095">
        <v>82543931041.489288</v>
      </c>
      <c r="L1095">
        <v>42914797617.02124</v>
      </c>
      <c r="M1095">
        <v>569559829623.40381</v>
      </c>
      <c r="N1095">
        <v>291820623795.74445</v>
      </c>
      <c r="O1095">
        <v>273581834808.51041</v>
      </c>
      <c r="P1095">
        <v>76509037626.595688</v>
      </c>
      <c r="Q1095">
        <v>71412905409.574402</v>
      </c>
      <c r="R1095">
        <v>60550097262.765907</v>
      </c>
      <c r="T1095">
        <v>100581556914.89354</v>
      </c>
      <c r="U1095">
        <v>18641115214.8936</v>
      </c>
      <c r="V1095">
        <f t="shared" si="44"/>
        <v>285303274316.88312</v>
      </c>
      <c r="W1095">
        <f t="shared" si="45"/>
        <v>429363665298.70129</v>
      </c>
    </row>
    <row r="1096" spans="1:23" x14ac:dyDescent="0.2">
      <c r="A1096">
        <f>IF(D1096="USD",VLOOKUP(VALUE(RIGHT(E1096,4)),'USD RUB'!$E:$F,2,FALSE),1)</f>
        <v>67.054371276595688</v>
      </c>
      <c r="B1096" s="4">
        <v>67.054371276595688</v>
      </c>
      <c r="C1096">
        <v>1000000</v>
      </c>
      <c r="D1096" t="s">
        <v>111</v>
      </c>
      <c r="E1096" s="1" t="s">
        <v>1112</v>
      </c>
      <c r="F1096">
        <v>33057805039.361675</v>
      </c>
      <c r="G1096">
        <v>174006093462.76581</v>
      </c>
      <c r="H1096">
        <v>277940368941.48914</v>
      </c>
      <c r="J1096">
        <v>459925932586.1698</v>
      </c>
      <c r="K1096">
        <v>116339334164.89352</v>
      </c>
      <c r="L1096">
        <v>67255534390.425476</v>
      </c>
      <c r="M1096">
        <v>550181116324.46765</v>
      </c>
      <c r="N1096">
        <v>276331064030.85083</v>
      </c>
      <c r="O1096">
        <v>174475474061.702</v>
      </c>
      <c r="P1096">
        <v>41841927676.595711</v>
      </c>
      <c r="Q1096">
        <v>38958589711.702095</v>
      </c>
      <c r="R1096">
        <v>32588424440.425503</v>
      </c>
      <c r="T1096">
        <v>56795052471.27655</v>
      </c>
      <c r="U1096">
        <v>11131025631.914885</v>
      </c>
      <c r="V1096">
        <f t="shared" si="44"/>
        <v>193305524633.76624</v>
      </c>
      <c r="W1096">
        <f t="shared" si="45"/>
        <v>485897568732.46753</v>
      </c>
    </row>
    <row r="1097" spans="1:23" x14ac:dyDescent="0.2">
      <c r="A1097">
        <f>IF(D1097="USD",VLOOKUP(VALUE(RIGHT(E1097,4)),'USD RUB'!$E:$F,2,FALSE),1)</f>
        <v>67.054371276595688</v>
      </c>
      <c r="B1097" s="4">
        <v>67.054371276595688</v>
      </c>
      <c r="C1097">
        <v>1000000</v>
      </c>
      <c r="D1097" t="s">
        <v>111</v>
      </c>
      <c r="E1097" s="1" t="s">
        <v>1113</v>
      </c>
      <c r="F1097">
        <v>16361266591.489347</v>
      </c>
      <c r="G1097">
        <v>155566141361.702</v>
      </c>
      <c r="H1097">
        <v>267748104507.44659</v>
      </c>
      <c r="J1097">
        <v>432031314135.10602</v>
      </c>
      <c r="K1097">
        <v>96223022781.91481</v>
      </c>
      <c r="L1097">
        <v>86567193318.085037</v>
      </c>
      <c r="M1097">
        <v>531674109852.1272</v>
      </c>
      <c r="N1097">
        <v>249241098035.10617</v>
      </c>
      <c r="O1097">
        <v>70407089840.425476</v>
      </c>
      <c r="P1097">
        <v>12874439285.106373</v>
      </c>
      <c r="Q1097">
        <v>12673276171.276585</v>
      </c>
      <c r="R1097">
        <v>10527536290.425524</v>
      </c>
      <c r="T1097">
        <v>19244604556.382961</v>
      </c>
      <c r="U1097">
        <v>5230240959.5744638</v>
      </c>
      <c r="V1097">
        <f t="shared" si="44"/>
        <v>92549001179.220779</v>
      </c>
      <c r="W1097">
        <f t="shared" si="45"/>
        <v>459927498249.35065</v>
      </c>
    </row>
    <row r="1098" spans="1:23" x14ac:dyDescent="0.2">
      <c r="A1098">
        <f>IF(D1098="USD",VLOOKUP(VALUE(RIGHT(E1098,4)),'USD RUB'!$E:$F,2,FALSE),1)</f>
        <v>61.250166233766237</v>
      </c>
      <c r="B1098" s="4">
        <v>61.250166233766237</v>
      </c>
      <c r="C1098">
        <v>1000000</v>
      </c>
      <c r="D1098" t="s">
        <v>111</v>
      </c>
      <c r="E1098" s="1" t="s">
        <v>1114</v>
      </c>
      <c r="F1098">
        <v>22601311340.259743</v>
      </c>
      <c r="G1098">
        <v>126420343106.49352</v>
      </c>
      <c r="H1098">
        <v>230545625703.89612</v>
      </c>
      <c r="J1098">
        <v>377117273501.29871</v>
      </c>
      <c r="K1098">
        <v>87036486218.181824</v>
      </c>
      <c r="L1098">
        <v>86730235387.012985</v>
      </c>
      <c r="M1098">
        <v>476036291968.83118</v>
      </c>
      <c r="N1098">
        <v>203350551896.10391</v>
      </c>
      <c r="O1098">
        <v>357639720638.96106</v>
      </c>
      <c r="P1098">
        <v>68355185516.883118</v>
      </c>
      <c r="Q1098">
        <v>37546351901.298706</v>
      </c>
      <c r="R1098">
        <v>25786319984.415585</v>
      </c>
      <c r="T1098">
        <v>102165277277.92209</v>
      </c>
      <c r="U1098">
        <v>21315057849.350651</v>
      </c>
      <c r="V1098">
        <f t="shared" si="44"/>
        <v>308231550801.52087</v>
      </c>
      <c r="W1098">
        <f t="shared" si="45"/>
        <v>304549207073.38397</v>
      </c>
    </row>
    <row r="1099" spans="1:23" x14ac:dyDescent="0.2">
      <c r="A1099">
        <f>IF(D1099="USD",VLOOKUP(VALUE(RIGHT(E1099,4)),'USD RUB'!$E:$F,2,FALSE),1)</f>
        <v>61.250166233766237</v>
      </c>
      <c r="B1099" s="4">
        <v>61.250166233766237</v>
      </c>
      <c r="C1099">
        <v>1000000</v>
      </c>
      <c r="D1099" t="s">
        <v>111</v>
      </c>
      <c r="E1099" s="1" t="s">
        <v>1115</v>
      </c>
      <c r="F1099">
        <v>20580055854.545456</v>
      </c>
      <c r="G1099">
        <v>146694148129.87015</v>
      </c>
      <c r="H1099">
        <v>260803207823.37665</v>
      </c>
      <c r="J1099">
        <v>429363665298.70129</v>
      </c>
      <c r="K1099">
        <v>100879023787.01299</v>
      </c>
      <c r="L1099">
        <v>100879023787.01299</v>
      </c>
      <c r="M1099">
        <v>484060063745.45459</v>
      </c>
      <c r="N1099">
        <v>227605617724.67532</v>
      </c>
      <c r="O1099">
        <v>285303274316.88312</v>
      </c>
      <c r="P1099">
        <v>60515164238.961044</v>
      </c>
      <c r="Q1099">
        <v>44590121018.181824</v>
      </c>
      <c r="R1099">
        <v>33442590763.636364</v>
      </c>
      <c r="T1099">
        <v>85321481563.636368</v>
      </c>
      <c r="U1099">
        <v>14700039896.103897</v>
      </c>
      <c r="V1099">
        <f t="shared" si="44"/>
        <v>241290417975.28513</v>
      </c>
      <c r="W1099">
        <f t="shared" si="45"/>
        <v>396879130867.30029</v>
      </c>
    </row>
    <row r="1100" spans="1:23" x14ac:dyDescent="0.2">
      <c r="A1100">
        <f>IF(D1100="USD",VLOOKUP(VALUE(RIGHT(E1100,4)),'USD RUB'!$E:$F,2,FALSE),1)</f>
        <v>61.250166233766237</v>
      </c>
      <c r="B1100" s="4">
        <v>61.250166233766237</v>
      </c>
      <c r="C1100">
        <v>1000000</v>
      </c>
      <c r="D1100" t="s">
        <v>111</v>
      </c>
      <c r="E1100" s="1" t="s">
        <v>1116</v>
      </c>
      <c r="F1100">
        <v>15496292057.142859</v>
      </c>
      <c r="G1100">
        <v>153431666415.58441</v>
      </c>
      <c r="H1100">
        <v>307169583662.33771</v>
      </c>
      <c r="J1100">
        <v>485897568732.46753</v>
      </c>
      <c r="K1100">
        <v>96407761651.948059</v>
      </c>
      <c r="L1100">
        <v>123480335127.27274</v>
      </c>
      <c r="M1100">
        <v>485346317236.36365</v>
      </c>
      <c r="N1100">
        <v>266009471953.24677</v>
      </c>
      <c r="O1100">
        <v>193305524633.76624</v>
      </c>
      <c r="P1100">
        <v>42385115033.766235</v>
      </c>
      <c r="Q1100">
        <v>37362601402.597404</v>
      </c>
      <c r="R1100">
        <v>28665077797.402599</v>
      </c>
      <c r="T1100">
        <v>58983910083.116882</v>
      </c>
      <c r="U1100">
        <v>9493775766.2337666</v>
      </c>
      <c r="V1100">
        <f t="shared" si="44"/>
        <v>158534587874.52469</v>
      </c>
      <c r="W1100">
        <f t="shared" si="45"/>
        <v>458742505499.99994</v>
      </c>
    </row>
    <row r="1101" spans="1:23" x14ac:dyDescent="0.2">
      <c r="A1101">
        <f>IF(D1101="USD",VLOOKUP(VALUE(RIGHT(E1101,4)),'USD RUB'!$E:$F,2,FALSE),1)</f>
        <v>61.250166233766237</v>
      </c>
      <c r="B1101" s="4">
        <v>61.250166233766237</v>
      </c>
      <c r="C1101">
        <v>1000000</v>
      </c>
      <c r="D1101" t="s">
        <v>111</v>
      </c>
      <c r="E1101" s="1" t="s">
        <v>1117</v>
      </c>
      <c r="F1101">
        <v>12801284742.857143</v>
      </c>
      <c r="G1101">
        <v>138915377018.18182</v>
      </c>
      <c r="H1101">
        <v>296757055402.59741</v>
      </c>
      <c r="J1101">
        <v>459927498249.35065</v>
      </c>
      <c r="K1101">
        <v>96775262649.350647</v>
      </c>
      <c r="L1101">
        <v>123174084296.1039</v>
      </c>
      <c r="M1101">
        <v>468808772353.24677</v>
      </c>
      <c r="N1101">
        <v>239978151303.89612</v>
      </c>
      <c r="O1101">
        <v>92549001179.220779</v>
      </c>
      <c r="P1101">
        <v>21070057184.415585</v>
      </c>
      <c r="Q1101">
        <v>15067540893.506495</v>
      </c>
      <c r="R1101">
        <v>12005032581.818182</v>
      </c>
      <c r="T1101">
        <v>28787578129.870132</v>
      </c>
      <c r="U1101">
        <v>3920010638.9610391</v>
      </c>
      <c r="V1101">
        <f t="shared" si="44"/>
        <v>72832882791.254745</v>
      </c>
      <c r="W1101">
        <f t="shared" si="45"/>
        <v>439865648704.18243</v>
      </c>
    </row>
    <row r="1102" spans="1:23" x14ac:dyDescent="0.2">
      <c r="A1102">
        <f>IF(D1102="USD",VLOOKUP(VALUE(RIGHT(E1102,4)),'USD RUB'!$E:$F,2,FALSE),1)</f>
        <v>38.761512927756648</v>
      </c>
      <c r="B1102" s="4">
        <v>38.761512927756648</v>
      </c>
      <c r="C1102">
        <v>1000000</v>
      </c>
      <c r="D1102" t="s">
        <v>111</v>
      </c>
      <c r="E1102" s="1" t="s">
        <v>1118</v>
      </c>
      <c r="F1102">
        <v>12675014727.376425</v>
      </c>
      <c r="G1102">
        <v>87601019216.730026</v>
      </c>
      <c r="H1102">
        <v>196598393569.58173</v>
      </c>
      <c r="J1102">
        <v>304549207073.38397</v>
      </c>
      <c r="K1102">
        <v>62328512787.832687</v>
      </c>
      <c r="L1102">
        <v>89422810324.334595</v>
      </c>
      <c r="M1102">
        <v>289083363415.20911</v>
      </c>
      <c r="N1102">
        <v>152797883961.21671</v>
      </c>
      <c r="O1102">
        <v>308231550801.52087</v>
      </c>
      <c r="P1102">
        <v>31125494880.98859</v>
      </c>
      <c r="Q1102">
        <v>-2093121698.0988591</v>
      </c>
      <c r="R1102">
        <v>-1705506568.8212924</v>
      </c>
      <c r="T1102">
        <v>62289751274.90493</v>
      </c>
      <c r="V1102">
        <f t="shared" si="44"/>
        <v>260485000000</v>
      </c>
      <c r="W1102">
        <f t="shared" si="45"/>
        <v>397570000000</v>
      </c>
    </row>
    <row r="1103" spans="1:23" x14ac:dyDescent="0.2">
      <c r="A1103">
        <f>IF(D1103="USD",VLOOKUP(VALUE(RIGHT(E1103,4)),'USD RUB'!$E:$F,2,FALSE),1)</f>
        <v>38.761512927756648</v>
      </c>
      <c r="B1103" s="4">
        <v>38.761512927756648</v>
      </c>
      <c r="C1103">
        <v>1000000</v>
      </c>
      <c r="D1103" t="s">
        <v>111</v>
      </c>
      <c r="E1103" s="1" t="s">
        <v>1119</v>
      </c>
      <c r="F1103">
        <v>8217440740.6844091</v>
      </c>
      <c r="G1103">
        <v>98260435271.863098</v>
      </c>
      <c r="H1103">
        <v>272415912856.27371</v>
      </c>
      <c r="J1103">
        <v>396879130867.30029</v>
      </c>
      <c r="K1103">
        <v>61204428912.92775</v>
      </c>
      <c r="L1103">
        <v>114695316753.23192</v>
      </c>
      <c r="M1103">
        <v>299355164341.06458</v>
      </c>
      <c r="N1103">
        <v>220979385201.14066</v>
      </c>
      <c r="O1103">
        <v>241290417975.28513</v>
      </c>
      <c r="P1103">
        <v>22171585394.676804</v>
      </c>
      <c r="Q1103">
        <v>5465373322.8136873</v>
      </c>
      <c r="R1103">
        <v>4108720370.3422046</v>
      </c>
      <c r="T1103">
        <v>47095238207.224327</v>
      </c>
      <c r="V1103">
        <f t="shared" si="44"/>
        <v>201412343999.99997</v>
      </c>
      <c r="W1103">
        <f t="shared" si="45"/>
        <v>459032783999.99994</v>
      </c>
    </row>
    <row r="1104" spans="1:23" x14ac:dyDescent="0.2">
      <c r="A1104">
        <f>IF(D1104="USD",VLOOKUP(VALUE(RIGHT(E1104,4)),'USD RUB'!$E:$F,2,FALSE),1)</f>
        <v>38.761512927756648</v>
      </c>
      <c r="B1104" s="4">
        <v>38.761512927756648</v>
      </c>
      <c r="C1104">
        <v>1000000</v>
      </c>
      <c r="D1104" t="s">
        <v>111</v>
      </c>
      <c r="E1104" s="1" t="s">
        <v>1120</v>
      </c>
      <c r="F1104">
        <v>13954144653.992393</v>
      </c>
      <c r="G1104">
        <v>106051499370.34219</v>
      </c>
      <c r="H1104">
        <v>318813443830.7984</v>
      </c>
      <c r="J1104">
        <v>458742505499.99994</v>
      </c>
      <c r="K1104">
        <v>77174172239.163483</v>
      </c>
      <c r="L1104">
        <v>124540741036.88211</v>
      </c>
      <c r="M1104">
        <v>298269841979.0874</v>
      </c>
      <c r="N1104">
        <v>257027592223.95435</v>
      </c>
      <c r="O1104">
        <v>158534587874.52469</v>
      </c>
      <c r="P1104">
        <v>10349323951.711025</v>
      </c>
      <c r="Q1104">
        <v>3798628266.9201517</v>
      </c>
      <c r="R1104">
        <v>3100921034.2205319</v>
      </c>
      <c r="T1104">
        <v>26861728458.935356</v>
      </c>
      <c r="V1104">
        <f t="shared" si="44"/>
        <v>68858104000</v>
      </c>
      <c r="W1104">
        <f t="shared" si="45"/>
        <v>455145375999.99994</v>
      </c>
    </row>
    <row r="1105" spans="1:23" x14ac:dyDescent="0.2">
      <c r="A1105">
        <f>IF(D1105="USD",VLOOKUP(VALUE(RIGHT(E1105,4)),'USD RUB'!$E:$F,2,FALSE),1)</f>
        <v>38.761512927756648</v>
      </c>
      <c r="B1105" s="4">
        <v>38.761512927756648</v>
      </c>
      <c r="C1105">
        <v>1000000</v>
      </c>
      <c r="D1105" t="s">
        <v>111</v>
      </c>
      <c r="E1105" s="1" t="s">
        <v>1121</v>
      </c>
      <c r="F1105">
        <v>5697942400.3802271</v>
      </c>
      <c r="G1105">
        <v>96632451728.897324</v>
      </c>
      <c r="H1105">
        <v>304510445560.45624</v>
      </c>
      <c r="J1105">
        <v>439865648704.18243</v>
      </c>
      <c r="K1105">
        <v>75933803825.475281</v>
      </c>
      <c r="L1105">
        <v>120393259153.61215</v>
      </c>
      <c r="M1105">
        <v>292106761423.5741</v>
      </c>
      <c r="N1105">
        <v>243538585725.09503</v>
      </c>
      <c r="O1105">
        <v>72832882791.254745</v>
      </c>
      <c r="P1105">
        <v>3023398008.3650184</v>
      </c>
      <c r="Q1105">
        <v>-4418812473.7642574</v>
      </c>
      <c r="R1105">
        <v>-3062159521.2927752</v>
      </c>
      <c r="T1105">
        <v>11395884800.760454</v>
      </c>
      <c r="V1105">
        <f t="shared" si="44"/>
        <v>72745512000</v>
      </c>
      <c r="W1105">
        <f t="shared" si="45"/>
        <v>493637087999.99994</v>
      </c>
    </row>
    <row r="1106" spans="1:23" x14ac:dyDescent="0.2">
      <c r="A1106">
        <f>IF(D1106="USD",VLOOKUP(VALUE(RIGHT(E1106,4)),'USD RUB'!$E:$F,2,FALSE),1)</f>
        <v>1</v>
      </c>
      <c r="B1106" s="4">
        <v>1</v>
      </c>
      <c r="C1106">
        <v>1000000</v>
      </c>
      <c r="D1106" t="s">
        <v>20</v>
      </c>
      <c r="E1106" s="1" t="s">
        <v>1122</v>
      </c>
      <c r="F1106">
        <v>5040000000</v>
      </c>
      <c r="G1106">
        <v>81033000000</v>
      </c>
      <c r="H1106">
        <v>282040000000</v>
      </c>
      <c r="J1106">
        <v>397570000000</v>
      </c>
      <c r="K1106">
        <v>67584000000</v>
      </c>
      <c r="L1106">
        <v>105454000000</v>
      </c>
      <c r="N1106">
        <v>224532000000</v>
      </c>
      <c r="O1106">
        <v>260485000000</v>
      </c>
      <c r="P1106">
        <v>5534000000</v>
      </c>
      <c r="Q1106">
        <v>89099000000</v>
      </c>
      <c r="R1106">
        <v>-79366000000</v>
      </c>
      <c r="V1106">
        <f t="shared" si="44"/>
        <v>289885000000</v>
      </c>
      <c r="W1106">
        <f t="shared" si="45"/>
        <v>494837000000</v>
      </c>
    </row>
    <row r="1107" spans="1:23" x14ac:dyDescent="0.2">
      <c r="A1107">
        <f>IF(D1107="USD",VLOOKUP(VALUE(RIGHT(E1107,4)),'USD RUB'!$E:$F,2,FALSE),1)</f>
        <v>31.863999999999997</v>
      </c>
      <c r="B1107" s="4">
        <v>31.863999999999997</v>
      </c>
      <c r="C1107">
        <v>1000000</v>
      </c>
      <c r="D1107" t="s">
        <v>111</v>
      </c>
      <c r="E1107" s="1" t="s">
        <v>1123</v>
      </c>
      <c r="F1107">
        <v>6755167999.999999</v>
      </c>
      <c r="G1107">
        <v>81316928000</v>
      </c>
      <c r="H1107">
        <v>340052608000</v>
      </c>
      <c r="J1107">
        <v>459032783999.99994</v>
      </c>
      <c r="K1107">
        <v>76154960000</v>
      </c>
      <c r="L1107">
        <v>98555351999.999985</v>
      </c>
      <c r="N1107">
        <v>284322472000</v>
      </c>
      <c r="O1107">
        <v>201412343999.99997</v>
      </c>
      <c r="P1107">
        <v>254911999.99999997</v>
      </c>
      <c r="Q1107">
        <v>-10546984000</v>
      </c>
      <c r="R1107">
        <v>-8730736000</v>
      </c>
      <c r="T1107">
        <v>24853919999.999996</v>
      </c>
      <c r="V1107">
        <f t="shared" si="44"/>
        <v>225517062896.55161</v>
      </c>
      <c r="W1107">
        <f t="shared" si="45"/>
        <v>498808952616.09167</v>
      </c>
    </row>
    <row r="1108" spans="1:23" x14ac:dyDescent="0.2">
      <c r="A1108">
        <f>IF(D1108="USD",VLOOKUP(VALUE(RIGHT(E1108,4)),'USD RUB'!$E:$F,2,FALSE),1)</f>
        <v>31.863999999999997</v>
      </c>
      <c r="B1108" s="4">
        <v>31.863999999999997</v>
      </c>
      <c r="C1108">
        <v>1000000</v>
      </c>
      <c r="D1108" t="s">
        <v>111</v>
      </c>
      <c r="E1108" s="1" t="s">
        <v>1124</v>
      </c>
      <c r="F1108">
        <v>5225696000</v>
      </c>
      <c r="G1108">
        <v>82910128000</v>
      </c>
      <c r="H1108">
        <v>341932584000</v>
      </c>
      <c r="J1108">
        <v>455145375999.99994</v>
      </c>
      <c r="K1108">
        <v>76696648000</v>
      </c>
      <c r="L1108">
        <v>98810263999.999985</v>
      </c>
      <c r="N1108">
        <v>279638464000</v>
      </c>
      <c r="O1108">
        <v>68858104000</v>
      </c>
      <c r="P1108">
        <v>796599999.99999988</v>
      </c>
      <c r="Q1108">
        <v>-4747736000</v>
      </c>
      <c r="R1108">
        <v>-4938920000</v>
      </c>
      <c r="T1108">
        <v>9272424000</v>
      </c>
      <c r="V1108">
        <f t="shared" si="44"/>
        <v>153482067186.20682</v>
      </c>
      <c r="W1108">
        <f t="shared" si="45"/>
        <v>483060033760.91925</v>
      </c>
    </row>
    <row r="1109" spans="1:23" x14ac:dyDescent="0.2">
      <c r="A1109">
        <f>IF(D1109="USD",VLOOKUP(VALUE(RIGHT(E1109,4)),'USD RUB'!$E:$F,2,FALSE),1)</f>
        <v>31.863999999999997</v>
      </c>
      <c r="B1109" s="4">
        <v>31.863999999999997</v>
      </c>
      <c r="C1109">
        <v>1000000</v>
      </c>
      <c r="D1109" t="s">
        <v>111</v>
      </c>
      <c r="E1109" s="1" t="s">
        <v>1125</v>
      </c>
      <c r="F1109">
        <v>11056807999.999998</v>
      </c>
      <c r="G1109">
        <v>90812399999.999985</v>
      </c>
      <c r="H1109">
        <v>362484863999.99994</v>
      </c>
      <c r="J1109">
        <v>493637087999.99994</v>
      </c>
      <c r="K1109">
        <v>89537839999.999985</v>
      </c>
      <c r="L1109">
        <v>100276007999.99998</v>
      </c>
      <c r="N1109">
        <v>303823240000</v>
      </c>
      <c r="O1109">
        <v>72745512000</v>
      </c>
      <c r="P1109">
        <v>31863999.999999996</v>
      </c>
      <c r="Q1109">
        <v>-223047999.99999997</v>
      </c>
      <c r="R1109">
        <v>605416000</v>
      </c>
      <c r="T1109">
        <v>8157183999.999999</v>
      </c>
      <c r="V1109">
        <f t="shared" si="44"/>
        <v>75327669080.459732</v>
      </c>
      <c r="W1109">
        <f t="shared" si="45"/>
        <v>542141776685.05719</v>
      </c>
    </row>
    <row r="1110" spans="1:23" x14ac:dyDescent="0.2">
      <c r="A1110">
        <f>IF(D1110="USD",VLOOKUP(VALUE(RIGHT(E1110,4)),'USD RUB'!$E:$F,2,FALSE),1)</f>
        <v>1</v>
      </c>
      <c r="B1110" s="4">
        <v>1</v>
      </c>
      <c r="C1110">
        <v>1000000</v>
      </c>
      <c r="D1110" t="s">
        <v>20</v>
      </c>
      <c r="E1110" s="1" t="s">
        <v>1126</v>
      </c>
      <c r="F1110">
        <v>10995000000</v>
      </c>
      <c r="G1110">
        <v>94124000000</v>
      </c>
      <c r="H1110">
        <v>359332000000</v>
      </c>
      <c r="J1110">
        <v>494837000000</v>
      </c>
      <c r="K1110">
        <v>88068000000</v>
      </c>
      <c r="L1110">
        <v>108521000000</v>
      </c>
      <c r="N1110">
        <v>298248000000</v>
      </c>
      <c r="O1110">
        <v>289885000000</v>
      </c>
      <c r="P1110">
        <v>8264000000</v>
      </c>
      <c r="Q1110">
        <v>-1981000000</v>
      </c>
      <c r="R1110">
        <v>-2945000000</v>
      </c>
      <c r="V1110">
        <f t="shared" si="44"/>
        <v>273619056530.76926</v>
      </c>
      <c r="W1110">
        <f t="shared" si="45"/>
        <v>479112672057.69232</v>
      </c>
    </row>
    <row r="1111" spans="1:23" x14ac:dyDescent="0.2">
      <c r="A1111">
        <f>IF(D1111="USD",VLOOKUP(VALUE(RIGHT(E1111,4)),'USD RUB'!$E:$F,2,FALSE),1)</f>
        <v>31.062956321839064</v>
      </c>
      <c r="B1111" s="4">
        <v>31.062956321839064</v>
      </c>
      <c r="C1111">
        <v>1000000</v>
      </c>
      <c r="D1111" t="s">
        <v>111</v>
      </c>
      <c r="E1111" s="1" t="s">
        <v>1127</v>
      </c>
      <c r="F1111">
        <v>6864913347.1264334</v>
      </c>
      <c r="G1111">
        <v>94773079737.930984</v>
      </c>
      <c r="H1111">
        <v>367443710331.0343</v>
      </c>
      <c r="J1111">
        <v>498808952616.09167</v>
      </c>
      <c r="K1111">
        <v>88591551429.88501</v>
      </c>
      <c r="L1111">
        <v>107912710262.06891</v>
      </c>
      <c r="N1111">
        <v>302304690924.13776</v>
      </c>
      <c r="O1111">
        <v>225517062896.55161</v>
      </c>
      <c r="P1111">
        <v>8542312988.5057421</v>
      </c>
      <c r="Q1111">
        <v>2112281029.8850563</v>
      </c>
      <c r="R1111">
        <v>1459958947.126436</v>
      </c>
      <c r="T1111">
        <v>32926733701.149406</v>
      </c>
      <c r="V1111">
        <f t="shared" si="44"/>
        <v>207669395688.46155</v>
      </c>
      <c r="W1111">
        <f t="shared" si="45"/>
        <v>480053549965.38464</v>
      </c>
    </row>
    <row r="1112" spans="1:23" x14ac:dyDescent="0.2">
      <c r="A1112">
        <f>IF(D1112="USD",VLOOKUP(VALUE(RIGHT(E1112,4)),'USD RUB'!$E:$F,2,FALSE),1)</f>
        <v>31.062956321839064</v>
      </c>
      <c r="B1112" s="4">
        <v>31.062956321839064</v>
      </c>
      <c r="C1112">
        <v>1000000</v>
      </c>
      <c r="D1112" t="s">
        <v>111</v>
      </c>
      <c r="E1112" s="1" t="s">
        <v>1128</v>
      </c>
      <c r="F1112">
        <v>6088339439.0804567</v>
      </c>
      <c r="G1112">
        <v>87690725696.551682</v>
      </c>
      <c r="H1112">
        <v>353341128160.91937</v>
      </c>
      <c r="J1112">
        <v>483060033760.91925</v>
      </c>
      <c r="K1112">
        <v>78868846101.149384</v>
      </c>
      <c r="L1112">
        <v>113597231268.96545</v>
      </c>
      <c r="N1112">
        <v>290593956390.80444</v>
      </c>
      <c r="O1112">
        <v>153482067186.20682</v>
      </c>
      <c r="P1112">
        <v>3976058409.1954002</v>
      </c>
      <c r="Q1112">
        <v>-869762777.0114938</v>
      </c>
      <c r="R1112">
        <v>-1087203471.2643673</v>
      </c>
      <c r="T1112">
        <v>20563677085.057461</v>
      </c>
      <c r="V1112">
        <f t="shared" si="44"/>
        <v>136221479573.07693</v>
      </c>
      <c r="W1112">
        <f t="shared" si="45"/>
        <v>545738588896.15387</v>
      </c>
    </row>
    <row r="1113" spans="1:23" x14ac:dyDescent="0.2">
      <c r="A1113">
        <f>IF(D1113="USD",VLOOKUP(VALUE(RIGHT(E1113,4)),'USD RUB'!$E:$F,2,FALSE),1)</f>
        <v>31.062956321839064</v>
      </c>
      <c r="B1113" s="4">
        <v>31.062956321839064</v>
      </c>
      <c r="C1113">
        <v>1000000</v>
      </c>
      <c r="D1113" t="s">
        <v>111</v>
      </c>
      <c r="E1113" s="1" t="s">
        <v>1129</v>
      </c>
      <c r="F1113">
        <v>6119402395.4022951</v>
      </c>
      <c r="G1113">
        <v>98655949278.160873</v>
      </c>
      <c r="H1113">
        <v>393878286160.91931</v>
      </c>
      <c r="J1113">
        <v>542141776685.05719</v>
      </c>
      <c r="K1113">
        <v>76352746639.080414</v>
      </c>
      <c r="L1113">
        <v>138168029719.54016</v>
      </c>
      <c r="N1113">
        <v>327621000326.43658</v>
      </c>
      <c r="O1113">
        <v>75327669080.459732</v>
      </c>
      <c r="P1113">
        <v>1025077558.6206892</v>
      </c>
      <c r="Q1113">
        <v>652322082.75862038</v>
      </c>
      <c r="R1113">
        <v>434881388.5057469</v>
      </c>
      <c r="T1113">
        <v>9101446202.2988453</v>
      </c>
      <c r="V1113">
        <f t="shared" ref="V1113:V1176" si="46">_xlfn.XLOOKUP(LEFT(E1113,LEN(E1113)-4)&amp;(VALUE(RIGHT(E1113,4))-1),$E:$E,$O:$O,"")</f>
        <v>65155795107.692314</v>
      </c>
      <c r="W1113">
        <f t="shared" ref="W1113:W1176" si="47">_xlfn.XLOOKUP(LEFT(E1113,LEN(E1113)-4)&amp;(VALUE(RIGHT(E1113,4))-1),$E:$E,$J:$J,"")</f>
        <v>531654822715.38464</v>
      </c>
    </row>
    <row r="1114" spans="1:23" x14ac:dyDescent="0.2">
      <c r="A1114">
        <f>IF(D1114="USD",VLOOKUP(VALUE(RIGHT(E1114,4)),'USD RUB'!$E:$F,2,FALSE),1)</f>
        <v>29.402434615384617</v>
      </c>
      <c r="B1114" s="4">
        <v>29.402434615384617</v>
      </c>
      <c r="C1114">
        <v>1000000</v>
      </c>
      <c r="D1114" t="s">
        <v>111</v>
      </c>
      <c r="E1114" s="1" t="s">
        <v>1130</v>
      </c>
      <c r="F1114">
        <v>12466632276.923079</v>
      </c>
      <c r="G1114">
        <v>96028351453.846161</v>
      </c>
      <c r="H1114">
        <v>346713508984.61542</v>
      </c>
      <c r="J1114">
        <v>479112672057.69232</v>
      </c>
      <c r="K1114">
        <v>75005610703.846161</v>
      </c>
      <c r="L1114">
        <v>126312859107.69232</v>
      </c>
      <c r="N1114">
        <v>277794202246.15387</v>
      </c>
      <c r="O1114">
        <v>273619056530.76926</v>
      </c>
      <c r="P1114">
        <v>10731888634.615385</v>
      </c>
      <c r="Q1114">
        <v>-4145743280.7692308</v>
      </c>
      <c r="R1114">
        <v>-3675304326.9230771</v>
      </c>
      <c r="T1114">
        <v>39281652646.153847</v>
      </c>
      <c r="V1114" t="str">
        <f t="shared" si="46"/>
        <v/>
      </c>
      <c r="W1114" t="str">
        <f t="shared" si="47"/>
        <v/>
      </c>
    </row>
    <row r="1115" spans="1:23" x14ac:dyDescent="0.2">
      <c r="A1115">
        <f>IF(D1115="USD",VLOOKUP(VALUE(RIGHT(E1115,4)),'USD RUB'!$E:$F,2,FALSE),1)</f>
        <v>29.402434615384617</v>
      </c>
      <c r="B1115" s="4">
        <v>29.402434615384617</v>
      </c>
      <c r="C1115">
        <v>1000000</v>
      </c>
      <c r="D1115" t="s">
        <v>111</v>
      </c>
      <c r="E1115" s="1" t="s">
        <v>1131</v>
      </c>
      <c r="F1115">
        <v>12290217669.23077</v>
      </c>
      <c r="G1115">
        <v>97527875619.230774</v>
      </c>
      <c r="H1115">
        <v>344625936126.9231</v>
      </c>
      <c r="J1115">
        <v>480053549965.38464</v>
      </c>
      <c r="K1115">
        <v>82738451007.692307</v>
      </c>
      <c r="L1115">
        <v>124254688684.61539</v>
      </c>
      <c r="N1115">
        <v>273060410273.07693</v>
      </c>
      <c r="O1115">
        <v>207669395688.46155</v>
      </c>
      <c r="P1115">
        <v>12113803061.538462</v>
      </c>
      <c r="Q1115">
        <v>-1822950946.1538463</v>
      </c>
      <c r="R1115">
        <v>-1705341207.6923077</v>
      </c>
      <c r="T1115">
        <v>33312958419.23077</v>
      </c>
      <c r="V1115" t="str">
        <f t="shared" si="46"/>
        <v/>
      </c>
      <c r="W1115" t="str">
        <f t="shared" si="47"/>
        <v/>
      </c>
    </row>
    <row r="1116" spans="1:23" x14ac:dyDescent="0.2">
      <c r="A1116">
        <f>IF(D1116="USD",VLOOKUP(VALUE(RIGHT(E1116,4)),'USD RUB'!$E:$F,2,FALSE),1)</f>
        <v>29.402434615384617</v>
      </c>
      <c r="B1116" s="4">
        <v>29.402434615384617</v>
      </c>
      <c r="C1116">
        <v>1000000</v>
      </c>
      <c r="D1116" t="s">
        <v>111</v>
      </c>
      <c r="E1116" s="1" t="s">
        <v>1132</v>
      </c>
      <c r="F1116">
        <v>12025595757.692308</v>
      </c>
      <c r="G1116">
        <v>97704290226.92308</v>
      </c>
      <c r="H1116">
        <v>396844660003.84619</v>
      </c>
      <c r="J1116">
        <v>545738588896.15387</v>
      </c>
      <c r="K1116">
        <v>93529144511.538467</v>
      </c>
      <c r="L1116">
        <v>122696359650.00002</v>
      </c>
      <c r="N1116">
        <v>329513084734.61542</v>
      </c>
      <c r="O1116">
        <v>136221479573.07693</v>
      </c>
      <c r="P1116">
        <v>9349974207.6923084</v>
      </c>
      <c r="Q1116">
        <v>5615865011.5384617</v>
      </c>
      <c r="R1116">
        <v>4322157888.4615383</v>
      </c>
      <c r="T1116">
        <v>23022106303.846157</v>
      </c>
      <c r="V1116" t="str">
        <f t="shared" si="46"/>
        <v/>
      </c>
      <c r="W1116" t="str">
        <f t="shared" si="47"/>
        <v/>
      </c>
    </row>
    <row r="1117" spans="1:23" x14ac:dyDescent="0.2">
      <c r="A1117">
        <f>IF(D1117="USD",VLOOKUP(VALUE(RIGHT(E1117,4)),'USD RUB'!$E:$F,2,FALSE),1)</f>
        <v>29.402434615384617</v>
      </c>
      <c r="B1117" s="4">
        <v>29.402434615384617</v>
      </c>
      <c r="C1117">
        <v>1000000</v>
      </c>
      <c r="D1117" t="s">
        <v>111</v>
      </c>
      <c r="E1117" s="1" t="s">
        <v>1133</v>
      </c>
      <c r="F1117">
        <v>13525119923.076923</v>
      </c>
      <c r="G1117">
        <v>96116558757.692322</v>
      </c>
      <c r="H1117">
        <v>389552856219.23077</v>
      </c>
      <c r="J1117">
        <v>531654822715.38464</v>
      </c>
      <c r="K1117">
        <v>86002121250</v>
      </c>
      <c r="L1117">
        <v>118433006630.76924</v>
      </c>
      <c r="N1117">
        <v>327219694834.61542</v>
      </c>
      <c r="O1117">
        <v>65155795107.692314</v>
      </c>
      <c r="P1117">
        <v>4557377365.3846159</v>
      </c>
      <c r="Q1117">
        <v>4939609015.3846159</v>
      </c>
      <c r="R1117">
        <v>3939926238.4615388</v>
      </c>
      <c r="T1117">
        <v>11849181150</v>
      </c>
      <c r="V1117" t="str">
        <f t="shared" si="46"/>
        <v/>
      </c>
      <c r="W1117" t="str">
        <f t="shared" si="47"/>
        <v/>
      </c>
    </row>
    <row r="1118" spans="1:23" x14ac:dyDescent="0.2">
      <c r="A1118">
        <f>IF(D1118="USD",VLOOKUP(VALUE(RIGHT(E1118,4)),'USD RUB'!$E:$F,2,FALSE),1)</f>
        <v>1</v>
      </c>
      <c r="B1118" s="4">
        <v>1</v>
      </c>
      <c r="C1118">
        <v>1000000</v>
      </c>
      <c r="D1118" t="s">
        <v>20</v>
      </c>
      <c r="E1118" s="1" t="s">
        <v>1134</v>
      </c>
      <c r="F1118">
        <v>488000000</v>
      </c>
      <c r="G1118">
        <v>81749000000</v>
      </c>
      <c r="H1118">
        <v>102407000000</v>
      </c>
      <c r="I1118">
        <v>3219000000</v>
      </c>
      <c r="J1118">
        <v>219724000000</v>
      </c>
      <c r="K1118">
        <v>336216000000</v>
      </c>
      <c r="L1118">
        <v>23395000000</v>
      </c>
      <c r="M1118">
        <v>-185231000000</v>
      </c>
      <c r="N1118">
        <v>-139887000000</v>
      </c>
      <c r="O1118">
        <v>152291000000</v>
      </c>
      <c r="P1118">
        <v>-22554000000</v>
      </c>
      <c r="Q1118">
        <v>-42967000000</v>
      </c>
      <c r="R1118">
        <v>-40511000000</v>
      </c>
      <c r="S1118">
        <v>23924000000</v>
      </c>
      <c r="T1118">
        <v>5692000000</v>
      </c>
      <c r="U1118">
        <v>-6395000000</v>
      </c>
      <c r="V1118">
        <f t="shared" si="46"/>
        <v>205952000000</v>
      </c>
      <c r="W1118">
        <f t="shared" si="47"/>
        <v>265084000000</v>
      </c>
    </row>
    <row r="1119" spans="1:23" x14ac:dyDescent="0.2">
      <c r="A1119">
        <f>IF(D1119="USD",VLOOKUP(VALUE(RIGHT(E1119,4)),'USD RUB'!$E:$F,2,FALSE),1)</f>
        <v>1</v>
      </c>
      <c r="B1119" s="4">
        <v>1</v>
      </c>
      <c r="C1119">
        <v>1000000</v>
      </c>
      <c r="D1119" t="s">
        <v>20</v>
      </c>
      <c r="E1119" s="1" t="s">
        <v>1135</v>
      </c>
      <c r="F1119">
        <v>797000000</v>
      </c>
      <c r="G1119">
        <v>105277000000</v>
      </c>
      <c r="H1119">
        <v>109630000000</v>
      </c>
      <c r="I1119">
        <v>3633000000</v>
      </c>
      <c r="J1119">
        <v>256772000000</v>
      </c>
      <c r="K1119">
        <v>336538000000</v>
      </c>
      <c r="L1119">
        <v>20074000000</v>
      </c>
      <c r="M1119">
        <v>-144720000000</v>
      </c>
      <c r="N1119">
        <v>-99840000000</v>
      </c>
      <c r="O1119">
        <v>387477000000</v>
      </c>
      <c r="P1119">
        <v>14155000000</v>
      </c>
      <c r="Q1119">
        <v>-34047000000</v>
      </c>
      <c r="R1119">
        <v>-36271000000</v>
      </c>
      <c r="S1119">
        <v>27152000000</v>
      </c>
      <c r="T1119">
        <v>55902000000</v>
      </c>
      <c r="U1119">
        <v>-17322000000</v>
      </c>
      <c r="V1119">
        <f t="shared" si="46"/>
        <v>405884000000</v>
      </c>
      <c r="W1119">
        <f t="shared" si="47"/>
        <v>271856000000</v>
      </c>
    </row>
    <row r="1120" spans="1:23" x14ac:dyDescent="0.2">
      <c r="A1120">
        <f>IF(D1120="USD",VLOOKUP(VALUE(RIGHT(E1120,4)),'USD RUB'!$E:$F,2,FALSE),1)</f>
        <v>1</v>
      </c>
      <c r="B1120" s="4">
        <v>1</v>
      </c>
      <c r="C1120">
        <v>1000000</v>
      </c>
      <c r="D1120" t="s">
        <v>20</v>
      </c>
      <c r="E1120" s="1" t="s">
        <v>1136</v>
      </c>
      <c r="F1120">
        <v>1039000000</v>
      </c>
      <c r="G1120">
        <v>118096000000</v>
      </c>
      <c r="H1120">
        <v>99674000000</v>
      </c>
      <c r="I1120">
        <v>4143000000</v>
      </c>
      <c r="J1120">
        <v>265084000000</v>
      </c>
      <c r="K1120">
        <v>209796000000</v>
      </c>
      <c r="L1120">
        <v>128583000000</v>
      </c>
      <c r="M1120">
        <v>-124283000000</v>
      </c>
      <c r="N1120">
        <v>-73295000000</v>
      </c>
      <c r="O1120">
        <v>205952000000</v>
      </c>
      <c r="P1120">
        <v>4544000000</v>
      </c>
      <c r="Q1120">
        <v>-11196000000</v>
      </c>
      <c r="R1120">
        <v>-15982000000</v>
      </c>
      <c r="S1120">
        <v>12643000000</v>
      </c>
      <c r="T1120">
        <v>32808000000</v>
      </c>
      <c r="U1120">
        <v>-8722000000</v>
      </c>
      <c r="V1120">
        <f t="shared" si="46"/>
        <v>194686000000</v>
      </c>
      <c r="W1120">
        <f t="shared" si="47"/>
        <v>270272000000</v>
      </c>
    </row>
    <row r="1121" spans="1:23" x14ac:dyDescent="0.2">
      <c r="A1121">
        <f>IF(D1121="USD",VLOOKUP(VALUE(RIGHT(E1121,4)),'USD RUB'!$E:$F,2,FALSE),1)</f>
        <v>1</v>
      </c>
      <c r="B1121" s="4">
        <v>1</v>
      </c>
      <c r="C1121">
        <v>1000000</v>
      </c>
      <c r="D1121" t="s">
        <v>20</v>
      </c>
      <c r="E1121" s="1" t="s">
        <v>1137</v>
      </c>
      <c r="F1121">
        <v>7227000000</v>
      </c>
      <c r="G1121">
        <v>119159000000</v>
      </c>
      <c r="H1121">
        <v>98241000000</v>
      </c>
      <c r="I1121">
        <v>4187000000</v>
      </c>
      <c r="J1121">
        <v>271856000000</v>
      </c>
      <c r="K1121">
        <v>181606000000</v>
      </c>
      <c r="L1121">
        <v>150734000000</v>
      </c>
      <c r="M1121">
        <v>-107445000000</v>
      </c>
      <c r="N1121">
        <v>-60484000000</v>
      </c>
      <c r="O1121">
        <v>405884000000</v>
      </c>
      <c r="P1121">
        <v>64848000000</v>
      </c>
      <c r="Q1121">
        <v>24968000000</v>
      </c>
      <c r="R1121">
        <v>24247000000</v>
      </c>
      <c r="S1121">
        <v>23960000000</v>
      </c>
      <c r="T1121">
        <v>86345000000</v>
      </c>
      <c r="U1121">
        <v>-23344000000</v>
      </c>
      <c r="V1121">
        <f t="shared" si="46"/>
        <v>434045000000</v>
      </c>
      <c r="W1121">
        <f t="shared" si="47"/>
        <v>253113000000</v>
      </c>
    </row>
    <row r="1122" spans="1:23" x14ac:dyDescent="0.2">
      <c r="A1122">
        <f>IF(D1122="USD",VLOOKUP(VALUE(RIGHT(E1122,4)),'USD RUB'!$E:$F,2,FALSE),1)</f>
        <v>1</v>
      </c>
      <c r="B1122" s="4">
        <v>1</v>
      </c>
      <c r="C1122">
        <v>1000000</v>
      </c>
      <c r="D1122" t="s">
        <v>20</v>
      </c>
      <c r="E1122" s="1" t="s">
        <v>1138</v>
      </c>
      <c r="F1122">
        <v>21115000000</v>
      </c>
      <c r="G1122">
        <v>122837000000</v>
      </c>
      <c r="H1122">
        <v>87359000000</v>
      </c>
      <c r="I1122">
        <v>7145000000</v>
      </c>
      <c r="J1122">
        <v>270272000000</v>
      </c>
      <c r="K1122">
        <v>327311000000</v>
      </c>
      <c r="L1122">
        <v>27771000000</v>
      </c>
      <c r="M1122">
        <v>-133244000000</v>
      </c>
      <c r="N1122">
        <v>-84810000000</v>
      </c>
      <c r="O1122">
        <v>194686000000</v>
      </c>
      <c r="P1122">
        <v>28992000000</v>
      </c>
      <c r="Q1122">
        <v>-7373000000</v>
      </c>
      <c r="R1122">
        <v>-3474000000</v>
      </c>
      <c r="S1122">
        <v>11312000000</v>
      </c>
      <c r="T1122">
        <v>39997000000</v>
      </c>
      <c r="U1122">
        <v>-10543000000</v>
      </c>
      <c r="V1122" t="str">
        <f t="shared" si="46"/>
        <v/>
      </c>
      <c r="W1122" t="str">
        <f t="shared" si="47"/>
        <v/>
      </c>
    </row>
    <row r="1123" spans="1:23" x14ac:dyDescent="0.2">
      <c r="A1123">
        <f>IF(D1123="USD",VLOOKUP(VALUE(RIGHT(E1123,4)),'USD RUB'!$E:$F,2,FALSE),1)</f>
        <v>1</v>
      </c>
      <c r="B1123" s="4">
        <v>1</v>
      </c>
      <c r="C1123">
        <v>1000000</v>
      </c>
      <c r="D1123" t="s">
        <v>20</v>
      </c>
      <c r="E1123" s="1" t="s">
        <v>1139</v>
      </c>
      <c r="F1123">
        <v>23700000000</v>
      </c>
      <c r="G1123">
        <v>118908000000</v>
      </c>
      <c r="H1123">
        <v>79246000000</v>
      </c>
      <c r="I1123">
        <v>10601000000</v>
      </c>
      <c r="J1123">
        <v>253113000000</v>
      </c>
      <c r="K1123">
        <v>308611000000</v>
      </c>
      <c r="L1123">
        <v>26758000000</v>
      </c>
      <c r="M1123">
        <v>-129766000000</v>
      </c>
      <c r="N1123">
        <v>-82256000000</v>
      </c>
      <c r="O1123">
        <v>434045000000</v>
      </c>
      <c r="P1123">
        <v>97337000000</v>
      </c>
      <c r="Q1123">
        <v>79635000000</v>
      </c>
      <c r="R1123">
        <v>65171000000</v>
      </c>
      <c r="S1123">
        <v>16818000000</v>
      </c>
      <c r="T1123">
        <v>115115000000</v>
      </c>
      <c r="U1123">
        <v>-12551000000</v>
      </c>
      <c r="V1123">
        <f t="shared" si="46"/>
        <v>402074000000</v>
      </c>
      <c r="W1123">
        <f t="shared" si="47"/>
        <v>237530000000</v>
      </c>
    </row>
    <row r="1124" spans="1:23" x14ac:dyDescent="0.2">
      <c r="A1124">
        <f>IF(D1124="USD",VLOOKUP(VALUE(RIGHT(E1124,4)),'USD RUB'!$E:$F,2,FALSE),1)</f>
        <v>1</v>
      </c>
      <c r="B1124" s="4">
        <v>1</v>
      </c>
      <c r="C1124">
        <v>1000000</v>
      </c>
      <c r="D1124" t="s">
        <v>20</v>
      </c>
      <c r="E1124" s="1" t="s">
        <v>1140</v>
      </c>
      <c r="F1124">
        <v>17701000000</v>
      </c>
      <c r="G1124">
        <v>114937000000</v>
      </c>
      <c r="H1124">
        <v>75509000000</v>
      </c>
      <c r="I1124">
        <v>10684000000</v>
      </c>
      <c r="J1124">
        <v>237530000000</v>
      </c>
      <c r="K1124">
        <v>363439000000</v>
      </c>
      <c r="L1124">
        <v>21369000000</v>
      </c>
      <c r="M1124">
        <v>-192714000000</v>
      </c>
      <c r="N1124">
        <v>-147278000000</v>
      </c>
      <c r="O1124">
        <v>402074000000</v>
      </c>
      <c r="P1124">
        <v>102666000000</v>
      </c>
      <c r="Q1124">
        <v>89130000000</v>
      </c>
      <c r="R1124">
        <v>82619000000</v>
      </c>
      <c r="S1124">
        <v>16659000000</v>
      </c>
      <c r="T1124">
        <v>118907000000</v>
      </c>
      <c r="U1124">
        <v>-6208000000</v>
      </c>
      <c r="V1124">
        <f t="shared" si="46"/>
        <v>265454000000</v>
      </c>
      <c r="W1124">
        <f t="shared" si="47"/>
        <v>193840000000</v>
      </c>
    </row>
    <row r="1125" spans="1:23" x14ac:dyDescent="0.2">
      <c r="A1125">
        <f>IF(D1125="USD",VLOOKUP(VALUE(RIGHT(E1125,4)),'USD RUB'!$E:$F,2,FALSE),1)</f>
        <v>1</v>
      </c>
      <c r="B1125" s="4">
        <v>1</v>
      </c>
      <c r="C1125">
        <v>1000000</v>
      </c>
      <c r="D1125" t="s">
        <v>20</v>
      </c>
      <c r="E1125" s="1" t="s">
        <v>1141</v>
      </c>
      <c r="F1125">
        <v>3965000000</v>
      </c>
      <c r="G1125">
        <v>97861000000</v>
      </c>
      <c r="H1125">
        <v>77848000000</v>
      </c>
      <c r="I1125">
        <v>10697000000</v>
      </c>
      <c r="J1125">
        <v>218688000000</v>
      </c>
      <c r="K1125">
        <v>372974000000</v>
      </c>
      <c r="L1125">
        <v>22037000000</v>
      </c>
      <c r="M1125">
        <v>-220202000000</v>
      </c>
      <c r="N1125">
        <v>-176323000000</v>
      </c>
      <c r="O1125">
        <v>287823000000</v>
      </c>
      <c r="P1125">
        <v>72240000000</v>
      </c>
      <c r="Q1125">
        <v>63480000000</v>
      </c>
      <c r="R1125">
        <v>54964000000</v>
      </c>
      <c r="S1125">
        <v>10967000000</v>
      </c>
      <c r="T1125">
        <v>83887000000</v>
      </c>
      <c r="U1125">
        <v>-4476000000</v>
      </c>
      <c r="V1125">
        <f t="shared" si="46"/>
        <v>196197000000</v>
      </c>
      <c r="W1125">
        <f t="shared" si="47"/>
        <v>197175000000</v>
      </c>
    </row>
    <row r="1126" spans="1:23" x14ac:dyDescent="0.2">
      <c r="A1126">
        <f>IF(D1126="USD",VLOOKUP(VALUE(RIGHT(E1126,4)),'USD RUB'!$E:$F,2,FALSE),1)</f>
        <v>1</v>
      </c>
      <c r="B1126" s="4">
        <v>1</v>
      </c>
      <c r="C1126">
        <v>1000000</v>
      </c>
      <c r="D1126" t="s">
        <v>20</v>
      </c>
      <c r="E1126" s="1" t="s">
        <v>1142</v>
      </c>
      <c r="F1126">
        <v>5124000000</v>
      </c>
      <c r="G1126">
        <v>88134000000</v>
      </c>
      <c r="H1126">
        <v>78676000000</v>
      </c>
      <c r="I1126">
        <v>10354000000</v>
      </c>
      <c r="J1126">
        <v>209210000000</v>
      </c>
      <c r="K1126">
        <v>383123000000</v>
      </c>
      <c r="L1126">
        <v>24328000000</v>
      </c>
      <c r="M1126">
        <v>-241479000000</v>
      </c>
      <c r="N1126">
        <v>-198241000000</v>
      </c>
      <c r="O1126">
        <v>184910000000</v>
      </c>
      <c r="P1126">
        <v>43353000000</v>
      </c>
      <c r="Q1126">
        <v>38964000000</v>
      </c>
      <c r="R1126">
        <v>32920000000</v>
      </c>
      <c r="S1126">
        <v>8012000000</v>
      </c>
      <c r="T1126">
        <v>51969000000</v>
      </c>
      <c r="U1126">
        <v>-2888000000</v>
      </c>
      <c r="V1126">
        <f t="shared" si="46"/>
        <v>131773000000</v>
      </c>
      <c r="W1126">
        <f t="shared" si="47"/>
        <v>196306000000</v>
      </c>
    </row>
    <row r="1127" spans="1:23" x14ac:dyDescent="0.2">
      <c r="A1127">
        <f>IF(D1127="USD",VLOOKUP(VALUE(RIGHT(E1127,4)),'USD RUB'!$E:$F,2,FALSE),1)</f>
        <v>1</v>
      </c>
      <c r="B1127" s="4">
        <v>1</v>
      </c>
      <c r="C1127">
        <v>1000000</v>
      </c>
      <c r="D1127" t="s">
        <v>20</v>
      </c>
      <c r="E1127" s="1" t="s">
        <v>1143</v>
      </c>
      <c r="F1127">
        <v>2359000000</v>
      </c>
      <c r="G1127">
        <v>81212000000</v>
      </c>
      <c r="H1127">
        <v>79670000000</v>
      </c>
      <c r="I1127">
        <v>10388000000</v>
      </c>
      <c r="J1127">
        <v>205081000000</v>
      </c>
      <c r="K1127">
        <v>402864000000</v>
      </c>
      <c r="L1127">
        <v>24089000000</v>
      </c>
      <c r="M1127">
        <v>-265290000000</v>
      </c>
      <c r="N1127">
        <v>-221872000000</v>
      </c>
      <c r="O1127">
        <v>76048000000</v>
      </c>
      <c r="P1127">
        <v>12975000000</v>
      </c>
      <c r="Q1127">
        <v>9295000000</v>
      </c>
      <c r="R1127">
        <v>8437000000</v>
      </c>
      <c r="S1127">
        <v>3999000000</v>
      </c>
      <c r="T1127">
        <v>18200000000</v>
      </c>
      <c r="U1127">
        <v>-1359000000</v>
      </c>
      <c r="V1127">
        <f t="shared" si="46"/>
        <v>68332000000</v>
      </c>
      <c r="W1127">
        <f t="shared" si="47"/>
        <v>323488000000</v>
      </c>
    </row>
    <row r="1128" spans="1:23" x14ac:dyDescent="0.2">
      <c r="A1128">
        <f>IF(D1128="USD",VLOOKUP(VALUE(RIGHT(E1128,4)),'USD RUB'!$E:$F,2,FALSE),1)</f>
        <v>1</v>
      </c>
      <c r="B1128" s="4">
        <v>1</v>
      </c>
      <c r="C1128">
        <v>1000000</v>
      </c>
      <c r="D1128" t="s">
        <v>20</v>
      </c>
      <c r="E1128" s="1" t="s">
        <v>1144</v>
      </c>
      <c r="F1128">
        <v>1706000000</v>
      </c>
      <c r="G1128">
        <v>68856000000</v>
      </c>
      <c r="H1128">
        <v>81345000000</v>
      </c>
      <c r="I1128">
        <v>10383000000</v>
      </c>
      <c r="J1128">
        <v>193840000000</v>
      </c>
      <c r="K1128">
        <v>399343000000</v>
      </c>
      <c r="L1128">
        <v>25168000000</v>
      </c>
      <c r="M1128">
        <v>-273186000000</v>
      </c>
      <c r="N1128">
        <v>-230671000000</v>
      </c>
      <c r="O1128">
        <v>265454000000</v>
      </c>
      <c r="P1128">
        <v>19925000000</v>
      </c>
      <c r="Q1128">
        <v>-37625000000</v>
      </c>
      <c r="R1128">
        <v>1456000000</v>
      </c>
      <c r="S1128">
        <v>19168000000</v>
      </c>
      <c r="T1128">
        <v>41051000000</v>
      </c>
      <c r="U1128">
        <v>-4826000000</v>
      </c>
      <c r="V1128">
        <f t="shared" si="46"/>
        <v>296567000000</v>
      </c>
      <c r="W1128">
        <f t="shared" si="47"/>
        <v>312505000000</v>
      </c>
    </row>
    <row r="1129" spans="1:23" x14ac:dyDescent="0.2">
      <c r="A1129">
        <f>IF(D1129="USD",VLOOKUP(VALUE(RIGHT(E1129,4)),'USD RUB'!$E:$F,2,FALSE),1)</f>
        <v>1</v>
      </c>
      <c r="B1129" s="4">
        <v>1</v>
      </c>
      <c r="C1129">
        <v>1000000</v>
      </c>
      <c r="D1129" t="s">
        <v>20</v>
      </c>
      <c r="E1129" s="1" t="s">
        <v>1145</v>
      </c>
      <c r="F1129">
        <v>3728000000</v>
      </c>
      <c r="G1129">
        <v>72186000000</v>
      </c>
      <c r="H1129">
        <v>81541000000</v>
      </c>
      <c r="I1129">
        <v>10435000000</v>
      </c>
      <c r="J1129">
        <v>197175000000</v>
      </c>
      <c r="K1129">
        <v>415522000000</v>
      </c>
      <c r="L1129">
        <v>28890000000</v>
      </c>
      <c r="M1129">
        <v>-289561000000</v>
      </c>
      <c r="N1129">
        <v>-247237000000</v>
      </c>
      <c r="O1129">
        <v>196197000000</v>
      </c>
      <c r="P1129">
        <v>12023000000</v>
      </c>
      <c r="Q1129">
        <v>-49406000000</v>
      </c>
      <c r="R1129">
        <v>-15659000000</v>
      </c>
      <c r="S1129">
        <v>14886000000</v>
      </c>
      <c r="T1129">
        <v>31362000000</v>
      </c>
      <c r="U1129">
        <v>-3694000000</v>
      </c>
      <c r="V1129">
        <f t="shared" si="46"/>
        <v>228191000000</v>
      </c>
      <c r="W1129">
        <f t="shared" si="47"/>
        <v>323967000000</v>
      </c>
    </row>
    <row r="1130" spans="1:23" x14ac:dyDescent="0.2">
      <c r="A1130">
        <f>IF(D1130="USD",VLOOKUP(VALUE(RIGHT(E1130,4)),'USD RUB'!$E:$F,2,FALSE),1)</f>
        <v>1</v>
      </c>
      <c r="B1130" s="4">
        <v>1</v>
      </c>
      <c r="C1130">
        <v>1000000</v>
      </c>
      <c r="D1130" t="s">
        <v>20</v>
      </c>
      <c r="E1130" s="1" t="s">
        <v>1146</v>
      </c>
      <c r="F1130">
        <v>4272000000</v>
      </c>
      <c r="G1130">
        <v>69523000000</v>
      </c>
      <c r="H1130">
        <v>82585000000</v>
      </c>
      <c r="I1130">
        <v>10371000000</v>
      </c>
      <c r="J1130">
        <v>196306000000</v>
      </c>
      <c r="K1130">
        <v>394261000000</v>
      </c>
      <c r="L1130">
        <v>24029000000</v>
      </c>
      <c r="M1130">
        <v>-263650000000</v>
      </c>
      <c r="N1130">
        <v>-221984000000</v>
      </c>
      <c r="O1130">
        <v>131773000000</v>
      </c>
      <c r="P1130">
        <v>5670000000</v>
      </c>
      <c r="Q1130">
        <v>-26839000000</v>
      </c>
      <c r="R1130">
        <v>10437000000</v>
      </c>
      <c r="S1130">
        <v>11134000000</v>
      </c>
      <c r="T1130">
        <v>22013000000</v>
      </c>
      <c r="U1130">
        <v>-3078000000</v>
      </c>
      <c r="V1130">
        <f t="shared" si="46"/>
        <v>153326000000</v>
      </c>
      <c r="W1130">
        <f t="shared" si="47"/>
        <v>326793000000</v>
      </c>
    </row>
    <row r="1131" spans="1:23" x14ac:dyDescent="0.2">
      <c r="A1131">
        <f>IF(D1131="USD",VLOOKUP(VALUE(RIGHT(E1131,4)),'USD RUB'!$E:$F,2,FALSE),1)</f>
        <v>1</v>
      </c>
      <c r="B1131" s="4">
        <v>1</v>
      </c>
      <c r="C1131">
        <v>1000000</v>
      </c>
      <c r="D1131" t="s">
        <v>20</v>
      </c>
      <c r="E1131" s="1" t="s">
        <v>1147</v>
      </c>
      <c r="F1131">
        <v>6816000000</v>
      </c>
      <c r="G1131">
        <v>79712000000</v>
      </c>
      <c r="H1131">
        <v>178819000000</v>
      </c>
      <c r="I1131">
        <v>13762000000</v>
      </c>
      <c r="J1131">
        <v>323488000000</v>
      </c>
      <c r="K1131">
        <v>504302000000</v>
      </c>
      <c r="L1131">
        <v>87184000000</v>
      </c>
      <c r="M1131">
        <v>-310632000000</v>
      </c>
      <c r="N1131">
        <v>-267998000000</v>
      </c>
      <c r="O1131">
        <v>68332000000</v>
      </c>
      <c r="P1131">
        <v>7016000000</v>
      </c>
      <c r="Q1131">
        <v>-36359000000</v>
      </c>
      <c r="R1131">
        <v>-37072000000</v>
      </c>
      <c r="S1131">
        <v>4146000000</v>
      </c>
      <c r="T1131">
        <v>12690000000</v>
      </c>
      <c r="U1131">
        <v>-1901000000</v>
      </c>
      <c r="V1131">
        <f t="shared" si="46"/>
        <v>74856000000</v>
      </c>
      <c r="W1131">
        <f t="shared" si="47"/>
        <v>322207000000</v>
      </c>
    </row>
    <row r="1132" spans="1:23" x14ac:dyDescent="0.2">
      <c r="A1132">
        <f>IF(D1132="USD",VLOOKUP(VALUE(RIGHT(E1132,4)),'USD RUB'!$E:$F,2,FALSE),1)</f>
        <v>1</v>
      </c>
      <c r="B1132" s="4">
        <v>1</v>
      </c>
      <c r="C1132">
        <v>1000000</v>
      </c>
      <c r="D1132" t="s">
        <v>20</v>
      </c>
      <c r="E1132" s="1" t="s">
        <v>1148</v>
      </c>
      <c r="F1132">
        <v>3509000000</v>
      </c>
      <c r="G1132">
        <v>66032000000</v>
      </c>
      <c r="H1132">
        <v>196992000000</v>
      </c>
      <c r="I1132">
        <v>13652000000</v>
      </c>
      <c r="J1132">
        <v>312505000000</v>
      </c>
      <c r="K1132">
        <v>459439000000</v>
      </c>
      <c r="L1132">
        <v>86663000000</v>
      </c>
      <c r="M1132">
        <v>-273754000000</v>
      </c>
      <c r="N1132">
        <v>-233597000000</v>
      </c>
      <c r="O1132">
        <v>296567000000</v>
      </c>
      <c r="P1132">
        <v>31498000000</v>
      </c>
      <c r="Q1132">
        <v>12272000000</v>
      </c>
      <c r="R1132">
        <v>4285000000</v>
      </c>
      <c r="S1132">
        <v>18056000000</v>
      </c>
      <c r="T1132">
        <v>53428000000</v>
      </c>
      <c r="U1132">
        <v>-6282000000</v>
      </c>
      <c r="V1132">
        <f t="shared" si="46"/>
        <v>312574000000</v>
      </c>
      <c r="W1132">
        <f t="shared" si="47"/>
        <v>317625000000</v>
      </c>
    </row>
    <row r="1133" spans="1:23" x14ac:dyDescent="0.2">
      <c r="A1133">
        <f>IF(D1133="USD",VLOOKUP(VALUE(RIGHT(E1133,4)),'USD RUB'!$E:$F,2,FALSE),1)</f>
        <v>1</v>
      </c>
      <c r="B1133" s="4">
        <v>1</v>
      </c>
      <c r="C1133">
        <v>1000000</v>
      </c>
      <c r="D1133" t="s">
        <v>20</v>
      </c>
      <c r="E1133" s="1" t="s">
        <v>1149</v>
      </c>
      <c r="F1133">
        <v>2947000000</v>
      </c>
      <c r="G1133">
        <v>69977000000</v>
      </c>
      <c r="H1133">
        <v>196342000000</v>
      </c>
      <c r="I1133">
        <v>16819000000</v>
      </c>
      <c r="J1133">
        <v>323967000000</v>
      </c>
      <c r="K1133">
        <v>460745000000</v>
      </c>
      <c r="L1133">
        <v>86717000000</v>
      </c>
      <c r="M1133">
        <v>-263989000000</v>
      </c>
      <c r="N1133">
        <v>-223495000000</v>
      </c>
      <c r="O1133">
        <v>228191000000</v>
      </c>
      <c r="P1133">
        <v>28938000000</v>
      </c>
      <c r="Q1133">
        <v>15646000000</v>
      </c>
      <c r="R1133">
        <v>13427000000</v>
      </c>
      <c r="S1133">
        <v>11883000000</v>
      </c>
      <c r="T1133">
        <v>44067000000</v>
      </c>
      <c r="U1133">
        <v>-4499000000</v>
      </c>
      <c r="V1133">
        <f t="shared" si="46"/>
        <v>237003000000</v>
      </c>
      <c r="W1133">
        <f t="shared" si="47"/>
        <v>317544000000</v>
      </c>
    </row>
    <row r="1134" spans="1:23" x14ac:dyDescent="0.2">
      <c r="A1134">
        <f>IF(D1134="USD",VLOOKUP(VALUE(RIGHT(E1134,4)),'USD RUB'!$E:$F,2,FALSE),1)</f>
        <v>1</v>
      </c>
      <c r="B1134" s="4">
        <v>1</v>
      </c>
      <c r="C1134">
        <v>1000000</v>
      </c>
      <c r="D1134" t="s">
        <v>20</v>
      </c>
      <c r="E1134" s="1" t="s">
        <v>1150</v>
      </c>
      <c r="F1134">
        <v>3772000000</v>
      </c>
      <c r="G1134">
        <v>74154000000</v>
      </c>
      <c r="H1134">
        <v>195729000000</v>
      </c>
      <c r="I1134">
        <v>16818000000</v>
      </c>
      <c r="J1134">
        <v>326793000000</v>
      </c>
      <c r="K1134">
        <v>462746000000</v>
      </c>
      <c r="L1134">
        <v>86944000000</v>
      </c>
      <c r="M1134">
        <v>-263418000000</v>
      </c>
      <c r="N1134">
        <v>-222897000000</v>
      </c>
      <c r="O1134">
        <v>153326000000</v>
      </c>
      <c r="P1134">
        <v>20759000000</v>
      </c>
      <c r="Q1134">
        <v>15602000000</v>
      </c>
      <c r="R1134">
        <v>13434000000</v>
      </c>
      <c r="S1134">
        <v>7399000000</v>
      </c>
      <c r="T1134">
        <v>30347000000</v>
      </c>
      <c r="U1134">
        <v>-2584000000</v>
      </c>
      <c r="V1134">
        <f t="shared" si="46"/>
        <v>157038000000</v>
      </c>
      <c r="W1134">
        <f t="shared" si="47"/>
        <v>321276000000</v>
      </c>
    </row>
    <row r="1135" spans="1:23" x14ac:dyDescent="0.2">
      <c r="A1135">
        <f>IF(D1135="USD",VLOOKUP(VALUE(RIGHT(E1135,4)),'USD RUB'!$E:$F,2,FALSE),1)</f>
        <v>1</v>
      </c>
      <c r="B1135" s="4">
        <v>1</v>
      </c>
      <c r="C1135">
        <v>1000000</v>
      </c>
      <c r="D1135" t="s">
        <v>20</v>
      </c>
      <c r="E1135" s="1" t="s">
        <v>1151</v>
      </c>
      <c r="F1135">
        <v>2745000000</v>
      </c>
      <c r="G1135">
        <v>74316000000</v>
      </c>
      <c r="H1135">
        <v>191345000000</v>
      </c>
      <c r="I1135">
        <v>16942000000</v>
      </c>
      <c r="J1135">
        <v>322207000000</v>
      </c>
      <c r="K1135">
        <v>460737000000</v>
      </c>
      <c r="L1135">
        <v>84284000000</v>
      </c>
      <c r="M1135">
        <v>-263696000000</v>
      </c>
      <c r="N1135">
        <v>-222814000000</v>
      </c>
      <c r="O1135">
        <v>74856000000</v>
      </c>
      <c r="P1135">
        <v>10837000000</v>
      </c>
      <c r="Q1135">
        <v>12845000000</v>
      </c>
      <c r="R1135">
        <v>11714000000</v>
      </c>
      <c r="S1135">
        <v>3658000000</v>
      </c>
      <c r="T1135">
        <v>15300000000</v>
      </c>
      <c r="U1135">
        <v>-1082000000</v>
      </c>
      <c r="V1135">
        <f t="shared" si="46"/>
        <v>74852000000</v>
      </c>
      <c r="W1135">
        <f t="shared" si="47"/>
        <v>320990000000</v>
      </c>
    </row>
    <row r="1136" spans="1:23" x14ac:dyDescent="0.2">
      <c r="A1136">
        <f>IF(D1136="USD",VLOOKUP(VALUE(RIGHT(E1136,4)),'USD RUB'!$E:$F,2,FALSE),1)</f>
        <v>1</v>
      </c>
      <c r="B1136" s="4">
        <v>1</v>
      </c>
      <c r="C1136">
        <v>1000000</v>
      </c>
      <c r="D1136" t="s">
        <v>20</v>
      </c>
      <c r="E1136" s="1" t="s">
        <v>1152</v>
      </c>
      <c r="F1136">
        <v>1803000000</v>
      </c>
      <c r="G1136">
        <v>72140000000</v>
      </c>
      <c r="H1136">
        <v>189879000000</v>
      </c>
      <c r="I1136">
        <v>16883000000</v>
      </c>
      <c r="J1136">
        <v>317625000000</v>
      </c>
      <c r="K1136">
        <v>476195000000</v>
      </c>
      <c r="L1136">
        <v>74625000000</v>
      </c>
      <c r="M1136">
        <v>-274186000000</v>
      </c>
      <c r="N1136">
        <v>-233195000000</v>
      </c>
      <c r="O1136">
        <v>312574000000</v>
      </c>
      <c r="P1136">
        <v>49780000000</v>
      </c>
      <c r="Q1136">
        <v>16217000000</v>
      </c>
      <c r="R1136">
        <v>13536000000</v>
      </c>
      <c r="S1136">
        <v>21081000000</v>
      </c>
      <c r="T1136">
        <v>75700000000</v>
      </c>
      <c r="U1136">
        <v>-5622000000</v>
      </c>
      <c r="V1136">
        <f t="shared" si="46"/>
        <v>299113000000</v>
      </c>
      <c r="W1136">
        <f t="shared" si="47"/>
        <v>319127000000</v>
      </c>
    </row>
    <row r="1137" spans="1:23" x14ac:dyDescent="0.2">
      <c r="A1137">
        <f>IF(D1137="USD",VLOOKUP(VALUE(RIGHT(E1137,4)),'USD RUB'!$E:$F,2,FALSE),1)</f>
        <v>1</v>
      </c>
      <c r="B1137" s="4">
        <v>1</v>
      </c>
      <c r="C1137">
        <v>1000000</v>
      </c>
      <c r="D1137" t="s">
        <v>20</v>
      </c>
      <c r="E1137" s="1" t="s">
        <v>1153</v>
      </c>
      <c r="F1137">
        <v>2777000000</v>
      </c>
      <c r="G1137">
        <v>70303000000</v>
      </c>
      <c r="H1137">
        <v>194352000000</v>
      </c>
      <c r="I1137">
        <v>19247000000</v>
      </c>
      <c r="J1137">
        <v>317544000000</v>
      </c>
      <c r="K1137">
        <v>471863000000</v>
      </c>
      <c r="L1137">
        <v>80886000000</v>
      </c>
      <c r="M1137">
        <v>-275817000000</v>
      </c>
      <c r="N1137">
        <v>-235205000000</v>
      </c>
      <c r="O1137">
        <v>237003000000</v>
      </c>
      <c r="P1137">
        <v>47802000000</v>
      </c>
      <c r="Q1137">
        <v>18118000000</v>
      </c>
      <c r="R1137">
        <v>11930000000</v>
      </c>
      <c r="S1137">
        <v>10159000000</v>
      </c>
      <c r="T1137">
        <v>60600000000</v>
      </c>
      <c r="U1137">
        <v>-3471000000</v>
      </c>
      <c r="V1137">
        <f t="shared" si="46"/>
        <v>222797000000</v>
      </c>
      <c r="W1137">
        <f t="shared" si="47"/>
        <v>322283000000</v>
      </c>
    </row>
    <row r="1138" spans="1:23" x14ac:dyDescent="0.2">
      <c r="A1138">
        <f>IF(D1138="USD",VLOOKUP(VALUE(RIGHT(E1138,4)),'USD RUB'!$E:$F,2,FALSE),1)</f>
        <v>1</v>
      </c>
      <c r="B1138" s="4">
        <v>1</v>
      </c>
      <c r="C1138">
        <v>1000000</v>
      </c>
      <c r="D1138" t="s">
        <v>20</v>
      </c>
      <c r="E1138" s="1" t="s">
        <v>1154</v>
      </c>
      <c r="F1138">
        <v>2936000000</v>
      </c>
      <c r="G1138">
        <v>72410000000</v>
      </c>
      <c r="H1138">
        <v>195635000000</v>
      </c>
      <c r="I1138">
        <v>19234000000</v>
      </c>
      <c r="J1138">
        <v>321276000000</v>
      </c>
      <c r="K1138">
        <v>485156000000</v>
      </c>
      <c r="L1138">
        <v>78364000000</v>
      </c>
      <c r="M1138">
        <v>-282121000000</v>
      </c>
      <c r="N1138">
        <v>-242244000000</v>
      </c>
      <c r="O1138">
        <v>157038000000</v>
      </c>
      <c r="P1138">
        <v>32641000000</v>
      </c>
      <c r="Q1138">
        <v>7745000000</v>
      </c>
      <c r="R1138">
        <v>5280000000</v>
      </c>
      <c r="S1138">
        <v>6991000000</v>
      </c>
      <c r="T1138">
        <v>41400000000</v>
      </c>
      <c r="U1138">
        <v>-2305000000</v>
      </c>
      <c r="V1138">
        <f t="shared" si="46"/>
        <v>149384000000</v>
      </c>
      <c r="W1138">
        <f t="shared" si="47"/>
        <v>325238000000</v>
      </c>
    </row>
    <row r="1139" spans="1:23" x14ac:dyDescent="0.2">
      <c r="A1139">
        <f>IF(D1139="USD",VLOOKUP(VALUE(RIGHT(E1139,4)),'USD RUB'!$E:$F,2,FALSE),1)</f>
        <v>1</v>
      </c>
      <c r="B1139" s="4">
        <v>1</v>
      </c>
      <c r="C1139">
        <v>1000000</v>
      </c>
      <c r="D1139" t="s">
        <v>20</v>
      </c>
      <c r="E1139" s="1" t="s">
        <v>1155</v>
      </c>
      <c r="F1139">
        <v>1277000000</v>
      </c>
      <c r="G1139">
        <v>70745000000</v>
      </c>
      <c r="H1139">
        <v>196736000000</v>
      </c>
      <c r="I1139">
        <v>19208000000</v>
      </c>
      <c r="J1139">
        <v>320990000000</v>
      </c>
      <c r="K1139">
        <v>487370000000</v>
      </c>
      <c r="L1139">
        <v>76303000000</v>
      </c>
      <c r="M1139">
        <v>-282003000000</v>
      </c>
      <c r="N1139">
        <v>-242683000000</v>
      </c>
      <c r="O1139">
        <v>74852000000</v>
      </c>
      <c r="P1139">
        <v>13383000000</v>
      </c>
      <c r="Q1139">
        <v>3541000000</v>
      </c>
      <c r="R1139">
        <v>3531000000</v>
      </c>
      <c r="S1139">
        <v>3477000000</v>
      </c>
      <c r="T1139">
        <v>18400000000</v>
      </c>
      <c r="U1139">
        <v>-1088000000</v>
      </c>
      <c r="V1139">
        <f t="shared" si="46"/>
        <v>77414000000</v>
      </c>
      <c r="W1139">
        <f t="shared" si="47"/>
        <v>330275000000</v>
      </c>
    </row>
    <row r="1140" spans="1:23" x14ac:dyDescent="0.2">
      <c r="A1140">
        <f>IF(D1140="USD",VLOOKUP(VALUE(RIGHT(E1140,4)),'USD RUB'!$E:$F,2,FALSE),1)</f>
        <v>1</v>
      </c>
      <c r="B1140" s="4">
        <v>1</v>
      </c>
      <c r="C1140">
        <v>1000000</v>
      </c>
      <c r="D1140" t="s">
        <v>20</v>
      </c>
      <c r="E1140" s="1" t="s">
        <v>1156</v>
      </c>
      <c r="F1140">
        <v>2452000000</v>
      </c>
      <c r="G1140">
        <v>67462000000</v>
      </c>
      <c r="H1140">
        <v>197875000000</v>
      </c>
      <c r="I1140">
        <v>19211000000</v>
      </c>
      <c r="J1140">
        <v>319127000000</v>
      </c>
      <c r="K1140">
        <v>484148000000</v>
      </c>
      <c r="L1140">
        <v>79112000000</v>
      </c>
      <c r="M1140">
        <v>-283743000000</v>
      </c>
      <c r="N1140">
        <v>-244133000000</v>
      </c>
      <c r="O1140">
        <v>299113000000</v>
      </c>
      <c r="P1140">
        <v>57167000000</v>
      </c>
      <c r="Q1140">
        <v>15720000000</v>
      </c>
      <c r="R1140">
        <v>12570000000</v>
      </c>
      <c r="S1140">
        <v>20308000000</v>
      </c>
      <c r="T1140">
        <v>81100000000</v>
      </c>
      <c r="U1140">
        <v>-7231000000</v>
      </c>
      <c r="V1140">
        <f t="shared" si="46"/>
        <v>276009000000</v>
      </c>
      <c r="W1140">
        <f t="shared" si="47"/>
        <v>325465000000</v>
      </c>
    </row>
    <row r="1141" spans="1:23" x14ac:dyDescent="0.2">
      <c r="A1141">
        <f>IF(D1141="USD",VLOOKUP(VALUE(RIGHT(E1141,4)),'USD RUB'!$E:$F,2,FALSE),1)</f>
        <v>1</v>
      </c>
      <c r="B1141" s="4">
        <v>1</v>
      </c>
      <c r="C1141">
        <v>1000000</v>
      </c>
      <c r="D1141" t="s">
        <v>20</v>
      </c>
      <c r="E1141" s="1" t="s">
        <v>1157</v>
      </c>
      <c r="F1141">
        <v>2239000000</v>
      </c>
      <c r="G1141">
        <v>66920000000</v>
      </c>
      <c r="H1141">
        <v>200697000000</v>
      </c>
      <c r="I1141">
        <v>18336000000</v>
      </c>
      <c r="J1141">
        <v>322283000000</v>
      </c>
      <c r="K1141">
        <v>485546000000</v>
      </c>
      <c r="L1141">
        <v>78399000000</v>
      </c>
      <c r="M1141">
        <v>-284186000000</v>
      </c>
      <c r="N1141">
        <v>-241662000000</v>
      </c>
      <c r="O1141">
        <v>222797000000</v>
      </c>
      <c r="P1141">
        <v>46415000000</v>
      </c>
      <c r="Q1141">
        <v>14768000000</v>
      </c>
      <c r="R1141">
        <v>11962000000</v>
      </c>
      <c r="S1141">
        <v>11041000000</v>
      </c>
      <c r="T1141">
        <v>59100000000</v>
      </c>
      <c r="U1141">
        <v>-4250000000</v>
      </c>
      <c r="V1141">
        <f t="shared" si="46"/>
        <v>196350000000</v>
      </c>
      <c r="W1141">
        <f t="shared" si="47"/>
        <v>333313000000</v>
      </c>
    </row>
    <row r="1142" spans="1:23" x14ac:dyDescent="0.2">
      <c r="A1142">
        <f>IF(D1142="USD",VLOOKUP(VALUE(RIGHT(E1142,4)),'USD RUB'!$E:$F,2,FALSE),1)</f>
        <v>1</v>
      </c>
      <c r="B1142" s="4">
        <v>1</v>
      </c>
      <c r="C1142">
        <v>1000000</v>
      </c>
      <c r="D1142" t="s">
        <v>20</v>
      </c>
      <c r="E1142" s="1" t="s">
        <v>1158</v>
      </c>
      <c r="F1142">
        <v>2951000000</v>
      </c>
      <c r="G1142">
        <v>66675000000</v>
      </c>
      <c r="H1142">
        <v>202254000000</v>
      </c>
      <c r="I1142">
        <v>18344000000</v>
      </c>
      <c r="J1142">
        <v>325238000000</v>
      </c>
      <c r="K1142">
        <v>499142000000</v>
      </c>
      <c r="L1142">
        <v>74161000000</v>
      </c>
      <c r="M1142">
        <v>-290306000000</v>
      </c>
      <c r="N1142">
        <v>-248065000000</v>
      </c>
      <c r="O1142">
        <v>149384000000</v>
      </c>
      <c r="P1142">
        <v>30677000000</v>
      </c>
      <c r="Q1142">
        <v>9309000000</v>
      </c>
      <c r="R1142">
        <v>5682000000</v>
      </c>
      <c r="S1142">
        <v>7228000000</v>
      </c>
      <c r="T1142">
        <v>40200000000</v>
      </c>
      <c r="U1142">
        <v>-3102000000</v>
      </c>
      <c r="V1142">
        <f t="shared" si="46"/>
        <v>130197000000</v>
      </c>
      <c r="W1142">
        <f t="shared" si="47"/>
        <v>340183000000</v>
      </c>
    </row>
    <row r="1143" spans="1:23" x14ac:dyDescent="0.2">
      <c r="A1143">
        <f>IF(D1143="USD",VLOOKUP(VALUE(RIGHT(E1143,4)),'USD RUB'!$E:$F,2,FALSE),1)</f>
        <v>1</v>
      </c>
      <c r="B1143" s="4">
        <v>1</v>
      </c>
      <c r="C1143">
        <v>1000000</v>
      </c>
      <c r="D1143" t="s">
        <v>20</v>
      </c>
      <c r="E1143" s="1" t="s">
        <v>1159</v>
      </c>
      <c r="F1143">
        <v>2888000000</v>
      </c>
      <c r="G1143">
        <v>70275000000</v>
      </c>
      <c r="H1143">
        <v>203142000000</v>
      </c>
      <c r="I1143">
        <v>18324000000</v>
      </c>
      <c r="J1143">
        <v>330275000000</v>
      </c>
      <c r="K1143">
        <v>488886000000</v>
      </c>
      <c r="L1143">
        <v>78693000000</v>
      </c>
      <c r="M1143">
        <v>-280540000000</v>
      </c>
      <c r="N1143">
        <v>-237304000000</v>
      </c>
      <c r="O1143">
        <v>77414000000</v>
      </c>
      <c r="P1143">
        <v>18089000000</v>
      </c>
      <c r="Q1143">
        <v>15997000000</v>
      </c>
      <c r="R1143">
        <v>14458000000</v>
      </c>
      <c r="S1143">
        <v>3417000000</v>
      </c>
      <c r="T1143">
        <v>22800000000</v>
      </c>
      <c r="U1143">
        <v>-971000000</v>
      </c>
      <c r="V1143" t="str">
        <f t="shared" si="46"/>
        <v/>
      </c>
      <c r="W1143" t="str">
        <f t="shared" si="47"/>
        <v/>
      </c>
    </row>
    <row r="1144" spans="1:23" x14ac:dyDescent="0.2">
      <c r="A1144">
        <f>IF(D1144="USD",VLOOKUP(VALUE(RIGHT(E1144,4)),'USD RUB'!$E:$F,2,FALSE),1)</f>
        <v>1</v>
      </c>
      <c r="B1144" s="4">
        <v>1</v>
      </c>
      <c r="C1144">
        <v>1000000</v>
      </c>
      <c r="D1144" t="s">
        <v>20</v>
      </c>
      <c r="E1144" s="1" t="s">
        <v>1160</v>
      </c>
      <c r="F1144">
        <v>1689000000</v>
      </c>
      <c r="G1144">
        <v>63765000000</v>
      </c>
      <c r="H1144">
        <v>204353000000</v>
      </c>
      <c r="J1144">
        <v>325465000000</v>
      </c>
      <c r="K1144">
        <v>505346000000</v>
      </c>
      <c r="L1144">
        <v>72707000000</v>
      </c>
      <c r="M1144">
        <v>-294444000000</v>
      </c>
      <c r="N1144">
        <v>-252588000000</v>
      </c>
      <c r="O1144">
        <v>276009000000</v>
      </c>
      <c r="P1144">
        <v>42690000000</v>
      </c>
      <c r="Q1144">
        <v>14151000000</v>
      </c>
      <c r="R1144">
        <v>9258000000</v>
      </c>
      <c r="T1144">
        <v>66200000000</v>
      </c>
      <c r="V1144">
        <f t="shared" si="46"/>
        <v>254141000000</v>
      </c>
      <c r="W1144">
        <f t="shared" si="47"/>
        <v>342072000000</v>
      </c>
    </row>
    <row r="1145" spans="1:23" x14ac:dyDescent="0.2">
      <c r="A1145">
        <f>IF(D1145="USD",VLOOKUP(VALUE(RIGHT(E1145,4)),'USD RUB'!$E:$F,2,FALSE),1)</f>
        <v>1</v>
      </c>
      <c r="B1145" s="4">
        <v>1</v>
      </c>
      <c r="C1145">
        <v>1000000</v>
      </c>
      <c r="D1145" t="s">
        <v>20</v>
      </c>
      <c r="E1145" s="1" t="s">
        <v>1161</v>
      </c>
      <c r="F1145">
        <v>2350000000</v>
      </c>
      <c r="G1145">
        <v>62832000000</v>
      </c>
      <c r="H1145">
        <v>209254000000</v>
      </c>
      <c r="J1145">
        <v>333313000000</v>
      </c>
      <c r="K1145">
        <v>517804000000</v>
      </c>
      <c r="L1145">
        <v>69276000000</v>
      </c>
      <c r="M1145">
        <v>-295954000000</v>
      </c>
      <c r="N1145">
        <v>-253767000000</v>
      </c>
      <c r="O1145">
        <v>196350000000</v>
      </c>
      <c r="P1145">
        <v>28761000000</v>
      </c>
      <c r="Q1145">
        <v>9466000000</v>
      </c>
      <c r="R1145">
        <v>6696000000</v>
      </c>
      <c r="T1145">
        <v>41600000000</v>
      </c>
      <c r="V1145">
        <f t="shared" si="46"/>
        <v>200585841892.64417</v>
      </c>
      <c r="W1145">
        <f t="shared" si="47"/>
        <v>334457083970.97662</v>
      </c>
    </row>
    <row r="1146" spans="1:23" x14ac:dyDescent="0.2">
      <c r="A1146">
        <f>IF(D1146="USD",VLOOKUP(VALUE(RIGHT(E1146,4)),'USD RUB'!$E:$F,2,FALSE),1)</f>
        <v>1</v>
      </c>
      <c r="B1146" s="4">
        <v>1</v>
      </c>
      <c r="C1146">
        <v>1000000</v>
      </c>
      <c r="D1146" t="s">
        <v>20</v>
      </c>
      <c r="E1146" s="1" t="s">
        <v>1162</v>
      </c>
      <c r="F1146">
        <v>2822000000</v>
      </c>
      <c r="G1146">
        <v>67731000000</v>
      </c>
      <c r="H1146">
        <v>210687000000</v>
      </c>
      <c r="J1146">
        <v>340183000000</v>
      </c>
      <c r="K1146">
        <v>530899000000</v>
      </c>
      <c r="L1146">
        <v>26515000000</v>
      </c>
      <c r="M1146">
        <v>-293232000000</v>
      </c>
      <c r="N1146">
        <v>-217231000000</v>
      </c>
      <c r="O1146">
        <v>130197000000</v>
      </c>
      <c r="P1146">
        <v>17200000000</v>
      </c>
      <c r="Q1146">
        <v>8776000000</v>
      </c>
      <c r="R1146">
        <v>9406000000</v>
      </c>
      <c r="T1146">
        <v>25700000000</v>
      </c>
      <c r="V1146">
        <f t="shared" si="46"/>
        <v>139143166386.40521</v>
      </c>
      <c r="W1146">
        <f t="shared" si="47"/>
        <v>397580892789.8338</v>
      </c>
    </row>
    <row r="1147" spans="1:23" x14ac:dyDescent="0.2">
      <c r="A1147">
        <f>IF(D1147="USD",VLOOKUP(VALUE(RIGHT(E1147,4)),'USD RUB'!$E:$F,2,FALSE),1)</f>
        <v>1</v>
      </c>
      <c r="B1147" s="4">
        <v>1</v>
      </c>
      <c r="C1147">
        <v>1000000</v>
      </c>
      <c r="D1147" t="s">
        <v>20</v>
      </c>
      <c r="E1147" s="1" t="s">
        <v>1163</v>
      </c>
      <c r="F1147">
        <v>3079000000</v>
      </c>
      <c r="G1147">
        <v>63120000000</v>
      </c>
      <c r="H1147">
        <v>215844000000</v>
      </c>
      <c r="J1147">
        <v>342072000000</v>
      </c>
      <c r="K1147">
        <v>580536000000</v>
      </c>
      <c r="L1147">
        <v>23390000000</v>
      </c>
      <c r="N1147">
        <v>-261854000000</v>
      </c>
      <c r="O1147">
        <v>254141000000</v>
      </c>
      <c r="P1147">
        <v>24068000000</v>
      </c>
      <c r="Q1147">
        <v>-107128000000</v>
      </c>
      <c r="R1147">
        <v>-114450000000</v>
      </c>
      <c r="T1147">
        <v>45730000000</v>
      </c>
      <c r="V1147">
        <f t="shared" si="46"/>
        <v>248297220382.69693</v>
      </c>
      <c r="W1147">
        <f t="shared" si="47"/>
        <v>260225029425.36499</v>
      </c>
    </row>
    <row r="1148" spans="1:23" x14ac:dyDescent="0.2">
      <c r="A1148">
        <f>IF(D1148="USD",VLOOKUP(VALUE(RIGHT(E1148,4)),'USD RUB'!$E:$F,2,FALSE),1)</f>
        <v>61.250166233766237</v>
      </c>
      <c r="B1148" s="4">
        <v>61.250166233766237</v>
      </c>
      <c r="C1148">
        <v>1000</v>
      </c>
      <c r="D1148" t="s">
        <v>111</v>
      </c>
      <c r="E1148" s="1" t="s">
        <v>1164</v>
      </c>
      <c r="F1148">
        <v>2195267207.9844155</v>
      </c>
      <c r="G1148">
        <v>68376868075.729874</v>
      </c>
      <c r="H1148">
        <v>203618153872.37924</v>
      </c>
      <c r="J1148">
        <v>334457083970.97662</v>
      </c>
      <c r="K1148">
        <v>510165435845.78186</v>
      </c>
      <c r="L1148">
        <v>16518863582.415585</v>
      </c>
      <c r="N1148">
        <v>-192227215457.22079</v>
      </c>
      <c r="O1148">
        <v>200585841892.64417</v>
      </c>
      <c r="P1148">
        <v>23049295056.093506</v>
      </c>
      <c r="Q1148">
        <v>-61806991494.997406</v>
      </c>
      <c r="R1148">
        <v>-61598005927.807793</v>
      </c>
      <c r="V1148">
        <f t="shared" si="46"/>
        <v>195052623195.53571</v>
      </c>
      <c r="W1148">
        <f t="shared" si="47"/>
        <v>441243232873.63489</v>
      </c>
    </row>
    <row r="1149" spans="1:23" x14ac:dyDescent="0.2">
      <c r="A1149">
        <f>IF(D1149="USD",VLOOKUP(VALUE(RIGHT(E1149,4)),'USD RUB'!$E:$F,2,FALSE),1)</f>
        <v>61.250166233766237</v>
      </c>
      <c r="B1149" s="4">
        <v>61.250166233766237</v>
      </c>
      <c r="C1149">
        <v>1000</v>
      </c>
      <c r="D1149" t="s">
        <v>111</v>
      </c>
      <c r="E1149" s="1" t="s">
        <v>1165</v>
      </c>
      <c r="F1149">
        <v>2759442489.1636367</v>
      </c>
      <c r="G1149">
        <v>79578114726.062347</v>
      </c>
      <c r="H1149">
        <v>243796486666.90909</v>
      </c>
      <c r="J1149">
        <v>397580892789.8338</v>
      </c>
      <c r="K1149">
        <v>552672438710.35327</v>
      </c>
      <c r="L1149">
        <v>19028589143.844158</v>
      </c>
      <c r="N1149">
        <v>-174120135064.36365</v>
      </c>
      <c r="O1149">
        <v>139143166386.40521</v>
      </c>
      <c r="P1149">
        <v>14580847072.612988</v>
      </c>
      <c r="Q1149">
        <v>-13591718138.103897</v>
      </c>
      <c r="R1149">
        <v>-13798559949.475325</v>
      </c>
      <c r="T1149">
        <v>23887564831.168831</v>
      </c>
      <c r="V1149">
        <f t="shared" si="46"/>
        <v>133493526439.31898</v>
      </c>
      <c r="W1149">
        <f t="shared" si="47"/>
        <v>503643531983.40979</v>
      </c>
    </row>
    <row r="1150" spans="1:23" x14ac:dyDescent="0.2">
      <c r="A1150">
        <f>IF(D1150="USD",VLOOKUP(VALUE(RIGHT(E1150,4)),'USD RUB'!$E:$F,2,FALSE),1)</f>
        <v>61.250166233766237</v>
      </c>
      <c r="B1150" s="4">
        <v>61.250166233766237</v>
      </c>
      <c r="C1150">
        <v>1000</v>
      </c>
      <c r="D1150" t="s">
        <v>111</v>
      </c>
      <c r="E1150" s="1" t="s">
        <v>1166</v>
      </c>
      <c r="F1150">
        <v>3866722994.3376627</v>
      </c>
      <c r="G1150">
        <v>83098100529.350647</v>
      </c>
      <c r="H1150">
        <v>231486795758.24417</v>
      </c>
      <c r="J1150">
        <v>468409850020.56628</v>
      </c>
      <c r="K1150">
        <v>526487073892.92468</v>
      </c>
      <c r="L1150">
        <v>111922245008.46234</v>
      </c>
      <c r="N1150">
        <v>-169999468880.8208</v>
      </c>
      <c r="O1150">
        <v>68151283713.490913</v>
      </c>
      <c r="P1150">
        <v>8006805480.5766239</v>
      </c>
      <c r="Q1150">
        <v>-17035018733.267532</v>
      </c>
      <c r="R1150">
        <v>-16266941648.696104</v>
      </c>
      <c r="T1150">
        <v>12923785075.324677</v>
      </c>
      <c r="V1150" t="str">
        <f t="shared" si="46"/>
        <v/>
      </c>
      <c r="W1150" t="str">
        <f t="shared" si="47"/>
        <v/>
      </c>
    </row>
    <row r="1151" spans="1:23" x14ac:dyDescent="0.2">
      <c r="A1151">
        <f>IF(D1151="USD",VLOOKUP(VALUE(RIGHT(E1151,4)),'USD RUB'!$E:$F,2,FALSE),1)</f>
        <v>38.761512927756648</v>
      </c>
      <c r="B1151" s="4">
        <v>38.761512927756648</v>
      </c>
      <c r="C1151">
        <v>1000</v>
      </c>
      <c r="D1151" t="s">
        <v>111</v>
      </c>
      <c r="E1151" s="1" t="s">
        <v>1167</v>
      </c>
      <c r="F1151">
        <v>2744315115.2851706</v>
      </c>
      <c r="G1151">
        <v>59393646074.994667</v>
      </c>
      <c r="H1151">
        <v>152891958153.09238</v>
      </c>
      <c r="J1151">
        <v>260225029425.36499</v>
      </c>
      <c r="K1151">
        <v>342014883862.45282</v>
      </c>
      <c r="L1151">
        <v>3150845862.8714824</v>
      </c>
      <c r="N1151">
        <v>-84940700299.959305</v>
      </c>
      <c r="O1151">
        <v>248297220382.69693</v>
      </c>
      <c r="P1151">
        <v>4900540556.4304171</v>
      </c>
      <c r="Q1151">
        <v>-111863943279.91101</v>
      </c>
      <c r="R1151">
        <v>-168989885802.5802</v>
      </c>
      <c r="T1151">
        <v>27481912665.779465</v>
      </c>
      <c r="V1151">
        <f t="shared" si="46"/>
        <v>273279397383.99997</v>
      </c>
      <c r="W1151">
        <f t="shared" si="47"/>
        <v>440822826639.99994</v>
      </c>
    </row>
    <row r="1152" spans="1:23" x14ac:dyDescent="0.2">
      <c r="A1152">
        <f>IF(D1152="USD",VLOOKUP(VALUE(RIGHT(E1152,4)),'USD RUB'!$E:$F,2,FALSE),1)</f>
        <v>38.761512927756648</v>
      </c>
      <c r="B1152" s="4">
        <v>38.761512927756648</v>
      </c>
      <c r="C1152">
        <v>1000</v>
      </c>
      <c r="D1152" t="s">
        <v>111</v>
      </c>
      <c r="E1152" s="1" t="s">
        <v>1168</v>
      </c>
      <c r="F1152">
        <v>2793232144.5999994</v>
      </c>
      <c r="G1152">
        <v>69356866596.432312</v>
      </c>
      <c r="H1152">
        <v>225215785995.06689</v>
      </c>
      <c r="J1152">
        <v>441243232873.63489</v>
      </c>
      <c r="K1152">
        <v>375834846553.10144</v>
      </c>
      <c r="L1152">
        <v>73989138721.889725</v>
      </c>
      <c r="N1152">
        <v>-8580752401.3562727</v>
      </c>
      <c r="O1152">
        <v>195052623195.53571</v>
      </c>
      <c r="P1152">
        <v>3066733379.8182507</v>
      </c>
      <c r="Q1152">
        <v>-47545259372.315582</v>
      </c>
      <c r="R1152">
        <v>-47234973461.328888</v>
      </c>
      <c r="T1152">
        <v>18217911076.045624</v>
      </c>
      <c r="V1152" t="str">
        <f t="shared" si="46"/>
        <v/>
      </c>
      <c r="W1152" t="str">
        <f t="shared" si="47"/>
        <v/>
      </c>
    </row>
    <row r="1153" spans="1:23" x14ac:dyDescent="0.2">
      <c r="A1153">
        <f>IF(D1153="USD",VLOOKUP(VALUE(RIGHT(E1153,4)),'USD RUB'!$E:$F,2,FALSE),1)</f>
        <v>38.761512927756648</v>
      </c>
      <c r="B1153" s="4">
        <v>38.761512927756648</v>
      </c>
      <c r="C1153">
        <v>1000</v>
      </c>
      <c r="D1153" t="s">
        <v>111</v>
      </c>
      <c r="E1153" s="1" t="s">
        <v>1169</v>
      </c>
      <c r="F1153">
        <v>2673536592.6790872</v>
      </c>
      <c r="G1153">
        <v>82068588476.551315</v>
      </c>
      <c r="H1153">
        <v>262705068545.5087</v>
      </c>
      <c r="J1153">
        <v>503643531983.40979</v>
      </c>
      <c r="K1153">
        <v>413976989265.78546</v>
      </c>
      <c r="L1153">
        <v>84436141686.178696</v>
      </c>
      <c r="N1153">
        <v>5230401031.4456263</v>
      </c>
      <c r="O1153">
        <v>133493526439.31898</v>
      </c>
      <c r="P1153">
        <v>-608090614.8106463</v>
      </c>
      <c r="Q1153">
        <v>-25363440938.225853</v>
      </c>
      <c r="R1153">
        <v>-25042340565.132317</v>
      </c>
      <c r="T1153">
        <v>9690378231.9391613</v>
      </c>
      <c r="V1153">
        <f t="shared" si="46"/>
        <v>146668653712</v>
      </c>
      <c r="W1153">
        <f t="shared" si="47"/>
        <v>475619875975.99994</v>
      </c>
    </row>
    <row r="1154" spans="1:23" x14ac:dyDescent="0.2">
      <c r="A1154">
        <f>IF(D1154="USD",VLOOKUP(VALUE(RIGHT(E1154,4)),'USD RUB'!$E:$F,2,FALSE),1)</f>
        <v>31.863999999999997</v>
      </c>
      <c r="B1154" s="4">
        <v>31.863999999999997</v>
      </c>
      <c r="C1154">
        <v>1000</v>
      </c>
      <c r="D1154" t="s">
        <v>111</v>
      </c>
      <c r="E1154" s="1" t="s">
        <v>1170</v>
      </c>
      <c r="F1154">
        <v>8556280599.999999</v>
      </c>
      <c r="G1154">
        <v>90896457231.999985</v>
      </c>
      <c r="H1154">
        <v>217830142543.99997</v>
      </c>
      <c r="J1154">
        <v>440822826639.99994</v>
      </c>
      <c r="K1154">
        <v>114502582991.99998</v>
      </c>
      <c r="L1154">
        <v>300452411168</v>
      </c>
      <c r="N1154">
        <v>25867832479.999996</v>
      </c>
      <c r="O1154">
        <v>273279397383.99997</v>
      </c>
      <c r="P1154">
        <v>-16859274263.999998</v>
      </c>
      <c r="Q1154">
        <v>-49847914143.999992</v>
      </c>
      <c r="R1154">
        <v>-93107054095.999985</v>
      </c>
      <c r="V1154">
        <f t="shared" si="46"/>
        <v>350232751310.66187</v>
      </c>
      <c r="W1154">
        <f t="shared" si="47"/>
        <v>549668424190.70776</v>
      </c>
    </row>
    <row r="1155" spans="1:23" x14ac:dyDescent="0.2">
      <c r="A1155">
        <f>IF(D1155="USD",VLOOKUP(VALUE(RIGHT(E1155,4)),'USD RUB'!$E:$F,2,FALSE),1)</f>
        <v>31.863999999999997</v>
      </c>
      <c r="B1155" s="4">
        <v>31.863999999999997</v>
      </c>
      <c r="C1155">
        <v>1000</v>
      </c>
      <c r="D1155" t="s">
        <v>111</v>
      </c>
      <c r="E1155" s="1" t="s">
        <v>1171</v>
      </c>
      <c r="F1155">
        <v>3094313039.9999995</v>
      </c>
      <c r="G1155">
        <v>117616396799.99998</v>
      </c>
      <c r="H1155">
        <v>217190154103.99997</v>
      </c>
      <c r="J1155">
        <v>475619875975.99994</v>
      </c>
      <c r="K1155">
        <v>131095506079.99998</v>
      </c>
      <c r="L1155">
        <v>310448976432</v>
      </c>
      <c r="N1155">
        <v>34075393463.999996</v>
      </c>
      <c r="O1155">
        <v>146668653712</v>
      </c>
      <c r="P1155">
        <v>437566899391.99994</v>
      </c>
      <c r="Q1155">
        <v>-33220195567.999996</v>
      </c>
      <c r="R1155">
        <v>-67672317103.999992</v>
      </c>
      <c r="V1155" t="str">
        <f t="shared" si="46"/>
        <v/>
      </c>
      <c r="W1155" t="str">
        <f t="shared" si="47"/>
        <v/>
      </c>
    </row>
    <row r="1156" spans="1:23" x14ac:dyDescent="0.2">
      <c r="A1156">
        <f>IF(D1156="USD",VLOOKUP(VALUE(RIGHT(E1156,4)),'USD RUB'!$E:$F,2,FALSE),1)</f>
        <v>31.863999999999997</v>
      </c>
      <c r="B1156" s="4">
        <v>31.863999999999997</v>
      </c>
      <c r="C1156">
        <v>1000</v>
      </c>
      <c r="D1156" t="s">
        <v>111</v>
      </c>
      <c r="E1156" s="1" t="s">
        <v>1172</v>
      </c>
      <c r="F1156">
        <v>5423475848</v>
      </c>
      <c r="G1156">
        <v>124201506631.99998</v>
      </c>
      <c r="H1156">
        <v>244265090495.99997</v>
      </c>
      <c r="J1156">
        <v>552928089728</v>
      </c>
      <c r="K1156">
        <v>152424407352</v>
      </c>
      <c r="L1156">
        <v>295977558464</v>
      </c>
      <c r="N1156">
        <v>104526123911.99998</v>
      </c>
      <c r="O1156">
        <v>79044355656</v>
      </c>
      <c r="P1156">
        <v>1933571247.9999998</v>
      </c>
      <c r="Q1156">
        <v>-8897575904</v>
      </c>
      <c r="R1156">
        <v>-10475704232</v>
      </c>
      <c r="T1156">
        <v>6691439999.999999</v>
      </c>
      <c r="V1156" t="str">
        <f t="shared" si="46"/>
        <v/>
      </c>
      <c r="W1156" t="str">
        <f t="shared" si="47"/>
        <v/>
      </c>
    </row>
    <row r="1157" spans="1:23" x14ac:dyDescent="0.2">
      <c r="A1157">
        <f>IF(D1157="USD",VLOOKUP(VALUE(RIGHT(E1157,4)),'USD RUB'!$E:$F,2,FALSE),1)</f>
        <v>31.062956321839064</v>
      </c>
      <c r="B1157" s="4">
        <v>31.062956321839064</v>
      </c>
      <c r="C1157">
        <v>1000</v>
      </c>
      <c r="D1157" t="s">
        <v>111</v>
      </c>
      <c r="E1157" s="1" t="s">
        <v>1173</v>
      </c>
      <c r="F1157">
        <v>9162267470.7770061</v>
      </c>
      <c r="G1157">
        <v>129769445029.93556</v>
      </c>
      <c r="H1157">
        <v>242254995218.05505</v>
      </c>
      <c r="J1157">
        <v>549668424190.70776</v>
      </c>
      <c r="K1157">
        <v>116688585619.15855</v>
      </c>
      <c r="L1157">
        <v>323027627786.25732</v>
      </c>
      <c r="N1157">
        <v>109952210785.2919</v>
      </c>
      <c r="O1157">
        <v>350232751310.66187</v>
      </c>
      <c r="P1157">
        <v>-27890651907.471249</v>
      </c>
      <c r="Q1157">
        <v>-42783040805.025261</v>
      </c>
      <c r="R1157">
        <v>-51716250035.885033</v>
      </c>
      <c r="T1157">
        <v>41377566283.287331</v>
      </c>
      <c r="V1157">
        <f t="shared" si="46"/>
        <v>368891324378.48077</v>
      </c>
      <c r="W1157">
        <f t="shared" si="47"/>
        <v>567650371061.61926</v>
      </c>
    </row>
    <row r="1158" spans="1:23" x14ac:dyDescent="0.2">
      <c r="A1158">
        <f>IF(D1158="USD",VLOOKUP(VALUE(RIGHT(E1158,4)),'USD RUB'!$E:$F,2,FALSE),1)</f>
        <v>29.402434615384617</v>
      </c>
      <c r="B1158" s="4">
        <v>29.402434615384617</v>
      </c>
      <c r="C1158">
        <v>1000</v>
      </c>
      <c r="D1158" t="s">
        <v>111</v>
      </c>
      <c r="E1158" s="1" t="s">
        <v>1174</v>
      </c>
      <c r="F1158">
        <v>18916908980.411541</v>
      </c>
      <c r="G1158">
        <v>178551135603.63461</v>
      </c>
      <c r="H1158">
        <v>208060536276.15002</v>
      </c>
      <c r="J1158">
        <v>567650371061.61926</v>
      </c>
      <c r="K1158">
        <v>139344488568.18463</v>
      </c>
      <c r="L1158">
        <v>270552235588.21155</v>
      </c>
      <c r="N1158">
        <v>157753646905.22308</v>
      </c>
      <c r="O1158">
        <v>368891324378.48077</v>
      </c>
      <c r="P1158">
        <v>53855351594.919235</v>
      </c>
      <c r="Q1158">
        <v>34204646053.811543</v>
      </c>
      <c r="R1158">
        <v>23623297884.426926</v>
      </c>
      <c r="V1158" t="str">
        <f t="shared" si="46"/>
        <v/>
      </c>
      <c r="W1158" t="str">
        <f t="shared" si="47"/>
        <v/>
      </c>
    </row>
    <row r="1159" spans="1:23" x14ac:dyDescent="0.2">
      <c r="A1159">
        <f>IF(D1159="USD",VLOOKUP(VALUE(RIGHT(E1159,4)),'USD RUB'!$E:$F,2,FALSE),1)</f>
        <v>29.402434615384617</v>
      </c>
      <c r="B1159" s="4">
        <v>29.402434615384617</v>
      </c>
      <c r="C1159">
        <v>1000</v>
      </c>
      <c r="D1159" t="s">
        <v>111</v>
      </c>
      <c r="E1159" s="1" t="s">
        <v>1175</v>
      </c>
      <c r="F1159">
        <v>15234077630.226925</v>
      </c>
      <c r="G1159">
        <v>163272248663.05386</v>
      </c>
      <c r="H1159">
        <v>192059113907.33078</v>
      </c>
      <c r="J1159">
        <v>530892564597.98083</v>
      </c>
      <c r="K1159">
        <v>120249195016.96155</v>
      </c>
      <c r="L1159">
        <v>259619351910.5654</v>
      </c>
      <c r="N1159">
        <v>151024017670.45386</v>
      </c>
      <c r="O1159">
        <v>282766918402.91541</v>
      </c>
      <c r="P1159">
        <v>42756108942.219231</v>
      </c>
      <c r="Q1159">
        <v>25595083954.603848</v>
      </c>
      <c r="R1159">
        <v>17046825931.569231</v>
      </c>
      <c r="T1159">
        <v>54593352703.765388</v>
      </c>
      <c r="V1159" t="str">
        <f t="shared" si="46"/>
        <v/>
      </c>
      <c r="W1159" t="str">
        <f t="shared" si="47"/>
        <v/>
      </c>
    </row>
    <row r="1160" spans="1:23" x14ac:dyDescent="0.2">
      <c r="A1160">
        <f>IF(D1160="USD",VLOOKUP(VALUE(RIGHT(E1160,4)),'USD RUB'!$E:$F,2,FALSE),1)</f>
        <v>29.402434615384617</v>
      </c>
      <c r="B1160" s="4">
        <v>29.402434615384617</v>
      </c>
      <c r="C1160">
        <v>1000</v>
      </c>
      <c r="D1160" t="s">
        <v>111</v>
      </c>
      <c r="E1160" s="1" t="s">
        <v>1176</v>
      </c>
      <c r="F1160">
        <v>6260278171.0038462</v>
      </c>
      <c r="G1160">
        <v>148966523503.37308</v>
      </c>
      <c r="H1160">
        <v>178846100827.69617</v>
      </c>
      <c r="J1160">
        <v>514832631384.27698</v>
      </c>
      <c r="K1160">
        <v>125465716161.55385</v>
      </c>
      <c r="L1160">
        <v>228635213325.04617</v>
      </c>
      <c r="N1160">
        <v>160731701897.67694</v>
      </c>
      <c r="O1160">
        <v>86281179756.934616</v>
      </c>
      <c r="P1160">
        <v>13182699169.546154</v>
      </c>
      <c r="Q1160">
        <v>13226597004.426924</v>
      </c>
      <c r="R1160">
        <v>9954135434.1692314</v>
      </c>
      <c r="T1160">
        <v>16666828866.6</v>
      </c>
      <c r="V1160" t="str">
        <f t="shared" si="46"/>
        <v/>
      </c>
      <c r="W1160" t="str">
        <f t="shared" si="47"/>
        <v/>
      </c>
    </row>
    <row r="1161" spans="1:23" x14ac:dyDescent="0.2">
      <c r="A1161">
        <f>IF(D1161="USD",VLOOKUP(VALUE(RIGHT(E1161,4)),'USD RUB'!$E:$F,2,FALSE),1)</f>
        <v>1</v>
      </c>
      <c r="B1161" s="4">
        <v>1</v>
      </c>
      <c r="C1161">
        <v>1000000</v>
      </c>
      <c r="D1161" t="s">
        <v>20</v>
      </c>
      <c r="E1161" s="1" t="s">
        <v>1177</v>
      </c>
      <c r="F1161">
        <v>79822000000</v>
      </c>
      <c r="G1161">
        <v>481436000000</v>
      </c>
      <c r="H1161">
        <v>566187000000</v>
      </c>
      <c r="I1161">
        <v>28095000000</v>
      </c>
      <c r="J1161">
        <v>1113377000000</v>
      </c>
      <c r="K1161">
        <v>175399000000</v>
      </c>
      <c r="L1161">
        <v>72240000000</v>
      </c>
      <c r="M1161">
        <v>862434000000</v>
      </c>
      <c r="N1161">
        <v>865738000000</v>
      </c>
      <c r="O1161">
        <v>438708000000</v>
      </c>
      <c r="P1161">
        <v>54765000000</v>
      </c>
      <c r="Q1161">
        <v>60444000000</v>
      </c>
      <c r="R1161">
        <v>44915000000</v>
      </c>
      <c r="S1161">
        <v>29471000000</v>
      </c>
      <c r="T1161">
        <v>84236000000</v>
      </c>
      <c r="U1161">
        <v>-50981000000</v>
      </c>
      <c r="V1161">
        <f t="shared" si="46"/>
        <v>517789000000</v>
      </c>
      <c r="W1161">
        <f t="shared" si="47"/>
        <v>1027581000000</v>
      </c>
    </row>
    <row r="1162" spans="1:23" x14ac:dyDescent="0.2">
      <c r="A1162">
        <f>IF(D1162="USD",VLOOKUP(VALUE(RIGHT(E1162,4)),'USD RUB'!$E:$F,2,FALSE),1)</f>
        <v>1</v>
      </c>
      <c r="B1162" s="4">
        <v>1</v>
      </c>
      <c r="C1162">
        <v>1000000</v>
      </c>
      <c r="D1162" t="s">
        <v>20</v>
      </c>
      <c r="E1162" s="1" t="s">
        <v>1178</v>
      </c>
      <c r="F1162">
        <v>87683000000</v>
      </c>
      <c r="G1162">
        <v>506286000000</v>
      </c>
      <c r="H1162">
        <v>556492000000</v>
      </c>
      <c r="I1162">
        <v>29089000000</v>
      </c>
      <c r="J1162">
        <v>1130870000000</v>
      </c>
      <c r="K1162">
        <v>139974000000</v>
      </c>
      <c r="L1162">
        <v>130983000000</v>
      </c>
      <c r="M1162">
        <v>817550000000</v>
      </c>
      <c r="N1162">
        <v>859913000000</v>
      </c>
      <c r="O1162">
        <v>979593000000</v>
      </c>
      <c r="P1162">
        <v>206222000000</v>
      </c>
      <c r="Q1162">
        <v>173989000000</v>
      </c>
      <c r="R1162">
        <v>121857000000</v>
      </c>
      <c r="S1162">
        <v>50665000000</v>
      </c>
      <c r="T1162">
        <v>256887000000</v>
      </c>
      <c r="U1162">
        <v>-113391000000</v>
      </c>
      <c r="V1162">
        <f t="shared" si="46"/>
        <v>933435000000</v>
      </c>
      <c r="W1162">
        <f t="shared" si="47"/>
        <v>1123752000000</v>
      </c>
    </row>
    <row r="1163" spans="1:23" x14ac:dyDescent="0.2">
      <c r="A1163">
        <f>IF(D1163="USD",VLOOKUP(VALUE(RIGHT(E1163,4)),'USD RUB'!$E:$F,2,FALSE),1)</f>
        <v>1</v>
      </c>
      <c r="B1163" s="4">
        <v>1</v>
      </c>
      <c r="C1163">
        <v>1000000</v>
      </c>
      <c r="D1163" t="s">
        <v>20</v>
      </c>
      <c r="E1163" s="1" t="s">
        <v>1179</v>
      </c>
      <c r="F1163">
        <v>136259000000</v>
      </c>
      <c r="G1163">
        <v>487493000000</v>
      </c>
      <c r="H1163">
        <v>502185000000</v>
      </c>
      <c r="I1163">
        <v>29067000000</v>
      </c>
      <c r="J1163">
        <v>1027581000000</v>
      </c>
      <c r="K1163">
        <v>139075000000</v>
      </c>
      <c r="L1163">
        <v>103446000000</v>
      </c>
      <c r="M1163">
        <v>777387000000</v>
      </c>
      <c r="N1163">
        <v>785060000000</v>
      </c>
      <c r="O1163">
        <v>517789000000</v>
      </c>
      <c r="P1163">
        <v>132769000000</v>
      </c>
      <c r="Q1163">
        <v>103614000000</v>
      </c>
      <c r="R1163">
        <v>81647000000</v>
      </c>
      <c r="S1163">
        <v>23521000000</v>
      </c>
      <c r="T1163">
        <v>156290000000</v>
      </c>
      <c r="U1163">
        <v>-45498000000</v>
      </c>
      <c r="V1163">
        <f t="shared" si="46"/>
        <v>505679000000</v>
      </c>
      <c r="W1163">
        <f t="shared" si="47"/>
        <v>1041789000000</v>
      </c>
    </row>
    <row r="1164" spans="1:23" x14ac:dyDescent="0.2">
      <c r="A1164">
        <f>IF(D1164="USD",VLOOKUP(VALUE(RIGHT(E1164,4)),'USD RUB'!$E:$F,2,FALSE),1)</f>
        <v>1</v>
      </c>
      <c r="B1164" s="4">
        <v>1</v>
      </c>
      <c r="C1164">
        <v>1000000</v>
      </c>
      <c r="D1164" t="s">
        <v>20</v>
      </c>
      <c r="E1164" s="1" t="s">
        <v>1180</v>
      </c>
      <c r="F1164">
        <v>204633000000</v>
      </c>
      <c r="G1164">
        <v>597642000000</v>
      </c>
      <c r="H1164">
        <v>485265000000</v>
      </c>
      <c r="I1164">
        <v>28714000000</v>
      </c>
      <c r="J1164">
        <v>1123752000000</v>
      </c>
      <c r="K1164">
        <v>155092000000</v>
      </c>
      <c r="L1164">
        <v>104811000000</v>
      </c>
      <c r="M1164">
        <v>848179000000</v>
      </c>
      <c r="N1164">
        <v>863849000000</v>
      </c>
      <c r="O1164">
        <v>933435000000</v>
      </c>
      <c r="P1164">
        <v>227849000000</v>
      </c>
      <c r="Q1164">
        <v>201816000000</v>
      </c>
      <c r="R1164">
        <v>209373000000</v>
      </c>
      <c r="S1164">
        <v>45436000000</v>
      </c>
      <c r="T1164">
        <v>273285000000</v>
      </c>
      <c r="V1164">
        <f t="shared" si="46"/>
        <v>900823000000</v>
      </c>
      <c r="W1164">
        <f t="shared" si="47"/>
        <v>950594000000</v>
      </c>
    </row>
    <row r="1165" spans="1:23" x14ac:dyDescent="0.2">
      <c r="A1165">
        <f>IF(D1165="USD",VLOOKUP(VALUE(RIGHT(E1165,4)),'USD RUB'!$E:$F,2,FALSE),1)</f>
        <v>1</v>
      </c>
      <c r="B1165" s="4">
        <v>1</v>
      </c>
      <c r="C1165">
        <v>1000000</v>
      </c>
      <c r="D1165" t="s">
        <v>20</v>
      </c>
      <c r="E1165" s="1" t="s">
        <v>1181</v>
      </c>
      <c r="F1165">
        <v>154601000000</v>
      </c>
      <c r="G1165">
        <v>482418000000</v>
      </c>
      <c r="H1165">
        <v>495288000000</v>
      </c>
      <c r="I1165">
        <v>27276000000</v>
      </c>
      <c r="J1165">
        <v>1041789000000</v>
      </c>
      <c r="K1165">
        <v>177808000000</v>
      </c>
      <c r="L1165">
        <v>124880000000</v>
      </c>
      <c r="M1165">
        <v>730687000000</v>
      </c>
      <c r="N1165">
        <v>739101000000</v>
      </c>
      <c r="O1165">
        <v>505679000000</v>
      </c>
      <c r="P1165">
        <v>126572000000</v>
      </c>
      <c r="Q1165">
        <v>119645000000</v>
      </c>
      <c r="R1165">
        <v>91752000000</v>
      </c>
      <c r="T1165">
        <v>150714000000</v>
      </c>
      <c r="V1165" t="str">
        <f t="shared" si="46"/>
        <v/>
      </c>
      <c r="W1165" t="str">
        <f t="shared" si="47"/>
        <v/>
      </c>
    </row>
    <row r="1166" spans="1:23" x14ac:dyDescent="0.2">
      <c r="A1166">
        <f>IF(D1166="USD",VLOOKUP(VALUE(RIGHT(E1166,4)),'USD RUB'!$E:$F,2,FALSE),1)</f>
        <v>1</v>
      </c>
      <c r="B1166" s="4">
        <v>1</v>
      </c>
      <c r="C1166">
        <v>1000000</v>
      </c>
      <c r="D1166" t="s">
        <v>20</v>
      </c>
      <c r="E1166" s="1" t="s">
        <v>1182</v>
      </c>
      <c r="F1166">
        <v>125378000000</v>
      </c>
      <c r="G1166">
        <v>410478000000</v>
      </c>
      <c r="H1166">
        <v>476628000000</v>
      </c>
      <c r="I1166">
        <v>26649000000</v>
      </c>
      <c r="J1166">
        <v>950594000000</v>
      </c>
      <c r="K1166">
        <v>187223000000</v>
      </c>
      <c r="L1166">
        <v>136936000000</v>
      </c>
      <c r="M1166">
        <v>639148000000</v>
      </c>
      <c r="N1166">
        <v>626435000000</v>
      </c>
      <c r="O1166">
        <v>900823000000</v>
      </c>
      <c r="P1166">
        <v>201701000000</v>
      </c>
      <c r="Q1166">
        <v>204299000000</v>
      </c>
      <c r="R1166">
        <v>166441000000</v>
      </c>
      <c r="S1166">
        <v>42096000000</v>
      </c>
      <c r="T1166">
        <v>243797000000</v>
      </c>
      <c r="V1166">
        <f t="shared" si="46"/>
        <v>1194872721342.5457</v>
      </c>
      <c r="W1166">
        <f t="shared" si="47"/>
        <v>897187402089.81836</v>
      </c>
    </row>
    <row r="1167" spans="1:23" x14ac:dyDescent="0.2">
      <c r="A1167">
        <f>IF(D1167="USD",VLOOKUP(VALUE(RIGHT(E1167,4)),'USD RUB'!$E:$F,2,FALSE),1)</f>
        <v>73.77579163636365</v>
      </c>
      <c r="B1167" s="4">
        <v>73.77579163636365</v>
      </c>
      <c r="C1167">
        <v>1000000</v>
      </c>
      <c r="D1167" t="s">
        <v>111</v>
      </c>
      <c r="E1167" s="1" t="s">
        <v>1183</v>
      </c>
      <c r="F1167">
        <v>39912703275.272736</v>
      </c>
      <c r="G1167">
        <v>396839983212.00006</v>
      </c>
      <c r="H1167">
        <v>456229495479.27283</v>
      </c>
      <c r="I1167">
        <v>25600199697.818188</v>
      </c>
      <c r="J1167">
        <v>897187402089.81836</v>
      </c>
      <c r="K1167">
        <v>244345421899.63641</v>
      </c>
      <c r="L1167">
        <v>177578330468.72729</v>
      </c>
      <c r="M1167">
        <v>979963840305.81836</v>
      </c>
      <c r="N1167">
        <v>475263649721.45465</v>
      </c>
      <c r="O1167">
        <v>1194872721342.5457</v>
      </c>
      <c r="P1167">
        <v>491936978631.27283</v>
      </c>
      <c r="Q1167">
        <v>467295864224.72736</v>
      </c>
      <c r="R1167">
        <v>372862850930.18188</v>
      </c>
      <c r="S1167">
        <v>43896596023.636368</v>
      </c>
      <c r="T1167">
        <v>535833574654.90918</v>
      </c>
      <c r="U1167">
        <v>-89785138421.454559</v>
      </c>
      <c r="V1167">
        <f t="shared" si="46"/>
        <v>668388799421.60315</v>
      </c>
      <c r="W1167">
        <f t="shared" si="47"/>
        <v>712996250935.19202</v>
      </c>
    </row>
    <row r="1168" spans="1:23" x14ac:dyDescent="0.2">
      <c r="A1168">
        <f>IF(D1168="USD",VLOOKUP(VALUE(RIGHT(E1168,4)),'USD RUB'!$E:$F,2,FALSE),1)</f>
        <v>73.77579163636365</v>
      </c>
      <c r="B1168" s="4">
        <v>73.77579163636365</v>
      </c>
      <c r="C1168">
        <v>1000000</v>
      </c>
      <c r="D1168" t="s">
        <v>111</v>
      </c>
      <c r="E1168" s="1" t="s">
        <v>1184</v>
      </c>
      <c r="F1168">
        <v>39986479066.909096</v>
      </c>
      <c r="G1168">
        <v>362534240101.091</v>
      </c>
      <c r="H1168">
        <v>450327432148.36371</v>
      </c>
      <c r="I1168">
        <v>25747751281.090912</v>
      </c>
      <c r="J1168">
        <v>873800476141.09106</v>
      </c>
      <c r="K1168">
        <v>227598317198.18185</v>
      </c>
      <c r="L1168">
        <v>177578330468.72729</v>
      </c>
      <c r="M1168">
        <v>964544699853.81836</v>
      </c>
      <c r="N1168">
        <v>468623828474.18188</v>
      </c>
      <c r="O1168">
        <v>853290806066.18201</v>
      </c>
      <c r="P1168">
        <v>372346420388.72736</v>
      </c>
      <c r="Q1168">
        <v>345049377483.27277</v>
      </c>
      <c r="R1168">
        <v>278134734469.09094</v>
      </c>
      <c r="S1168">
        <v>33789312569.454552</v>
      </c>
      <c r="T1168">
        <v>406135732958.18188</v>
      </c>
      <c r="U1168">
        <v>-63668508182.181831</v>
      </c>
      <c r="V1168">
        <f t="shared" si="46"/>
        <v>495959671609.75635</v>
      </c>
      <c r="W1168">
        <f t="shared" si="47"/>
        <v>666436771559.58228</v>
      </c>
    </row>
    <row r="1169" spans="1:23" x14ac:dyDescent="0.2">
      <c r="A1169">
        <f>IF(D1169="USD",VLOOKUP(VALUE(RIGHT(E1169,4)),'USD RUB'!$E:$F,2,FALSE),1)</f>
        <v>73.77579163636365</v>
      </c>
      <c r="B1169" s="4">
        <v>73.77579163636365</v>
      </c>
      <c r="C1169">
        <v>1000000</v>
      </c>
      <c r="D1169" t="s">
        <v>111</v>
      </c>
      <c r="E1169" s="1" t="s">
        <v>1185</v>
      </c>
      <c r="F1169">
        <v>55184292144.000008</v>
      </c>
      <c r="G1169">
        <v>342172121609.45459</v>
      </c>
      <c r="H1169">
        <v>443244956151.27283</v>
      </c>
      <c r="I1169">
        <v>28034800821.818188</v>
      </c>
      <c r="J1169">
        <v>834699306573.81836</v>
      </c>
      <c r="K1169">
        <v>225753922407.27277</v>
      </c>
      <c r="L1169">
        <v>178389864176.72729</v>
      </c>
      <c r="M1169">
        <v>926255063994.54565</v>
      </c>
      <c r="N1169">
        <v>430555519989.81824</v>
      </c>
      <c r="O1169">
        <v>516873196204.36371</v>
      </c>
      <c r="P1169">
        <v>215056432620.00003</v>
      </c>
      <c r="Q1169">
        <v>194177883586.90912</v>
      </c>
      <c r="R1169">
        <v>158027745685.09094</v>
      </c>
      <c r="S1169">
        <v>22354064865.818188</v>
      </c>
      <c r="T1169">
        <v>237410497485.81824</v>
      </c>
      <c r="U1169">
        <v>-43601492857.090919</v>
      </c>
      <c r="V1169">
        <f t="shared" si="46"/>
        <v>334808927000.69702</v>
      </c>
      <c r="W1169">
        <f t="shared" si="47"/>
        <v>732371934898.95508</v>
      </c>
    </row>
    <row r="1170" spans="1:23" x14ac:dyDescent="0.2">
      <c r="A1170">
        <f>IF(D1170="USD",VLOOKUP(VALUE(RIGHT(E1170,4)),'USD RUB'!$E:$F,2,FALSE),1)</f>
        <v>73.77579163636365</v>
      </c>
      <c r="B1170" s="4">
        <v>73.77579163636365</v>
      </c>
      <c r="C1170">
        <v>1000000</v>
      </c>
      <c r="D1170" t="s">
        <v>111</v>
      </c>
      <c r="E1170" s="1" t="s">
        <v>1186</v>
      </c>
      <c r="F1170">
        <v>36076362110.181824</v>
      </c>
      <c r="G1170">
        <v>275183702803.63641</v>
      </c>
      <c r="H1170">
        <v>411447589956.00006</v>
      </c>
      <c r="I1170">
        <v>26633060780.727276</v>
      </c>
      <c r="J1170">
        <v>734216678365.09106</v>
      </c>
      <c r="K1170">
        <v>154707835061.45456</v>
      </c>
      <c r="L1170">
        <v>182595084300.00003</v>
      </c>
      <c r="M1170">
        <v>916000228957.09106</v>
      </c>
      <c r="N1170">
        <v>396913759003.63641</v>
      </c>
      <c r="O1170">
        <v>211515194621.45459</v>
      </c>
      <c r="P1170">
        <v>74956204302.545471</v>
      </c>
      <c r="Q1170">
        <v>71488742095.636383</v>
      </c>
      <c r="R1170">
        <v>57397565893.090919</v>
      </c>
      <c r="S1170">
        <v>11066368745.454548</v>
      </c>
      <c r="T1170">
        <v>86022573048.000015</v>
      </c>
      <c r="U1170">
        <v>-17115983659.636366</v>
      </c>
      <c r="V1170">
        <f t="shared" si="46"/>
        <v>177634535443.90253</v>
      </c>
      <c r="W1170">
        <f t="shared" si="47"/>
        <v>700850299793.72864</v>
      </c>
    </row>
    <row r="1171" spans="1:23" x14ac:dyDescent="0.2">
      <c r="A1171">
        <f>IF(D1171="USD",VLOOKUP(VALUE(RIGHT(E1171,4)),'USD RUB'!$E:$F,2,FALSE),1)</f>
        <v>72.297328222996555</v>
      </c>
      <c r="B1171" s="4">
        <v>72.297328222996555</v>
      </c>
      <c r="C1171">
        <v>1000000</v>
      </c>
      <c r="D1171" t="s">
        <v>111</v>
      </c>
      <c r="E1171" s="1" t="s">
        <v>1187</v>
      </c>
      <c r="F1171">
        <v>60874350363.7631</v>
      </c>
      <c r="G1171">
        <v>258101461756.09769</v>
      </c>
      <c r="H1171">
        <v>409130580413.9375</v>
      </c>
      <c r="I1171">
        <v>26822308770.73172</v>
      </c>
      <c r="J1171">
        <v>712996250935.19202</v>
      </c>
      <c r="K1171">
        <v>164982503004.87814</v>
      </c>
      <c r="L1171">
        <v>205252114825.08722</v>
      </c>
      <c r="M1171">
        <v>841613197843.90295</v>
      </c>
      <c r="N1171">
        <v>342761633105.22668</v>
      </c>
      <c r="O1171">
        <v>668388799421.60315</v>
      </c>
      <c r="P1171">
        <v>149727766749.82587</v>
      </c>
      <c r="Q1171">
        <v>114229778592.33456</v>
      </c>
      <c r="R1171">
        <v>89431795011.846741</v>
      </c>
      <c r="S1171">
        <v>41498666400.000023</v>
      </c>
      <c r="T1171">
        <v>191226433149.8259</v>
      </c>
      <c r="U1171">
        <v>-81262196922.648132</v>
      </c>
      <c r="V1171">
        <f t="shared" si="46"/>
        <v>682728695437.49951</v>
      </c>
      <c r="W1171">
        <f t="shared" si="47"/>
        <v>678200458874.99951</v>
      </c>
    </row>
    <row r="1172" spans="1:23" x14ac:dyDescent="0.2">
      <c r="A1172">
        <f>IF(D1172="USD",VLOOKUP(VALUE(RIGHT(E1172,4)),'USD RUB'!$E:$F,2,FALSE),1)</f>
        <v>72.297328222996555</v>
      </c>
      <c r="B1172" s="4">
        <v>72.297328222996555</v>
      </c>
      <c r="C1172">
        <v>1000000</v>
      </c>
      <c r="D1172" t="s">
        <v>111</v>
      </c>
      <c r="E1172" s="1" t="s">
        <v>1188</v>
      </c>
      <c r="F1172">
        <v>54584482808.362396</v>
      </c>
      <c r="G1172">
        <v>251450107559.58203</v>
      </c>
      <c r="H1172">
        <v>369583941875.95837</v>
      </c>
      <c r="I1172">
        <v>24653388924.041824</v>
      </c>
      <c r="J1172">
        <v>666436771559.58228</v>
      </c>
      <c r="K1172">
        <v>157246688885.01752</v>
      </c>
      <c r="L1172">
        <v>197371706048.78061</v>
      </c>
      <c r="M1172">
        <v>839444277997.21301</v>
      </c>
      <c r="N1172">
        <v>311818376625.78412</v>
      </c>
      <c r="O1172">
        <v>495959671609.75635</v>
      </c>
      <c r="P1172">
        <v>94926391956.794479</v>
      </c>
      <c r="Q1172">
        <v>67453407232.055786</v>
      </c>
      <c r="R1172">
        <v>49017588535.191666</v>
      </c>
      <c r="S1172">
        <v>31955419074.564476</v>
      </c>
      <c r="T1172">
        <v>126881811031.35895</v>
      </c>
      <c r="U1172">
        <v>-61525026317.770065</v>
      </c>
      <c r="V1172">
        <f t="shared" si="46"/>
        <v>533167510687.49963</v>
      </c>
      <c r="W1172">
        <f t="shared" si="47"/>
        <v>671343414937.49951</v>
      </c>
    </row>
    <row r="1173" spans="1:23" x14ac:dyDescent="0.2">
      <c r="A1173">
        <f>IF(D1173="USD",VLOOKUP(VALUE(RIGHT(E1173,4)),'USD RUB'!$E:$F,2,FALSE),1)</f>
        <v>72.297328222996555</v>
      </c>
      <c r="B1173" s="4">
        <v>72.297328222996555</v>
      </c>
      <c r="C1173">
        <v>1000000</v>
      </c>
      <c r="D1173" t="s">
        <v>111</v>
      </c>
      <c r="E1173" s="1" t="s">
        <v>1189</v>
      </c>
      <c r="F1173">
        <v>81045304937.979141</v>
      </c>
      <c r="G1173">
        <v>280369038848.78064</v>
      </c>
      <c r="H1173">
        <v>402985307514.98279</v>
      </c>
      <c r="I1173">
        <v>27689876709.407681</v>
      </c>
      <c r="J1173">
        <v>732371934898.95508</v>
      </c>
      <c r="K1173">
        <v>179875752618.81543</v>
      </c>
      <c r="L1173">
        <v>184285889640.41821</v>
      </c>
      <c r="M1173">
        <v>843565225705.92383</v>
      </c>
      <c r="N1173">
        <v>368210292639.72144</v>
      </c>
      <c r="O1173">
        <v>334808927000.69702</v>
      </c>
      <c r="P1173">
        <v>63332459523.344978</v>
      </c>
      <c r="Q1173">
        <v>37522313347.735214</v>
      </c>
      <c r="R1173">
        <v>26460822129.616737</v>
      </c>
      <c r="S1173">
        <v>21689198466.898968</v>
      </c>
      <c r="T1173">
        <v>85021657990.243942</v>
      </c>
      <c r="U1173">
        <v>-36654745409.05925</v>
      </c>
      <c r="V1173">
        <f t="shared" si="46"/>
        <v>366528405187.49976</v>
      </c>
      <c r="W1173">
        <f t="shared" si="47"/>
        <v>713779460437.49951</v>
      </c>
    </row>
    <row r="1174" spans="1:23" x14ac:dyDescent="0.2">
      <c r="A1174">
        <f>IF(D1174="USD",VLOOKUP(VALUE(RIGHT(E1174,4)),'USD RUB'!$E:$F,2,FALSE),1)</f>
        <v>72.297328222996555</v>
      </c>
      <c r="B1174" s="4">
        <v>72.297328222996555</v>
      </c>
      <c r="C1174">
        <v>1000000</v>
      </c>
      <c r="D1174" t="s">
        <v>111</v>
      </c>
      <c r="E1174" s="1" t="s">
        <v>1190</v>
      </c>
      <c r="F1174">
        <v>105264909892.68298</v>
      </c>
      <c r="G1174">
        <v>292370395333.7981</v>
      </c>
      <c r="H1174">
        <v>359100829283.6239</v>
      </c>
      <c r="I1174">
        <v>24075010298.257854</v>
      </c>
      <c r="J1174">
        <v>700850299793.72864</v>
      </c>
      <c r="K1174">
        <v>190503459867.59592</v>
      </c>
      <c r="L1174">
        <v>154065606443.20566</v>
      </c>
      <c r="M1174">
        <v>876894294016.72522</v>
      </c>
      <c r="N1174">
        <v>356281233482.927</v>
      </c>
      <c r="O1174">
        <v>177634535443.90253</v>
      </c>
      <c r="P1174">
        <v>31738527089.895489</v>
      </c>
      <c r="Q1174">
        <v>26533119457.839737</v>
      </c>
      <c r="R1174">
        <v>20893927856.446003</v>
      </c>
      <c r="S1174">
        <v>11206085874.564466</v>
      </c>
      <c r="T1174">
        <v>42944612964.459953</v>
      </c>
      <c r="U1174">
        <v>-20821630528.223007</v>
      </c>
      <c r="V1174">
        <f t="shared" si="46"/>
        <v>185593009968.74988</v>
      </c>
      <c r="W1174">
        <f t="shared" si="47"/>
        <v>658146839812.49951</v>
      </c>
    </row>
    <row r="1175" spans="1:23" x14ac:dyDescent="0.2">
      <c r="A1175">
        <f>IF(D1175="USD",VLOOKUP(VALUE(RIGHT(E1175,4)),'USD RUB'!$E:$F,2,FALSE),1)</f>
        <v>64.689093749999955</v>
      </c>
      <c r="B1175" s="4">
        <v>64.689093749999955</v>
      </c>
      <c r="C1175">
        <v>1000000</v>
      </c>
      <c r="D1175" t="s">
        <v>111</v>
      </c>
      <c r="E1175" s="1" t="s">
        <v>1191</v>
      </c>
      <c r="F1175">
        <v>46123323843.749969</v>
      </c>
      <c r="G1175">
        <v>239026201406.24985</v>
      </c>
      <c r="H1175">
        <v>390657437156.24976</v>
      </c>
      <c r="I1175">
        <v>26522528437.499981</v>
      </c>
      <c r="J1175">
        <v>678200458874.99951</v>
      </c>
      <c r="K1175">
        <v>125626220062.49991</v>
      </c>
      <c r="L1175">
        <v>167868198281.24988</v>
      </c>
      <c r="M1175">
        <v>765918869999.99951</v>
      </c>
      <c r="N1175">
        <v>384706040531.24976</v>
      </c>
      <c r="O1175">
        <v>682728695437.49951</v>
      </c>
      <c r="P1175">
        <v>129507565687.49991</v>
      </c>
      <c r="Q1175">
        <v>116052234187.49992</v>
      </c>
      <c r="R1175">
        <v>86748074718.749939</v>
      </c>
      <c r="S1175">
        <v>36355270687.499977</v>
      </c>
      <c r="T1175">
        <v>165862836374.99988</v>
      </c>
      <c r="U1175">
        <v>-69864221249.999954</v>
      </c>
      <c r="V1175">
        <f t="shared" si="46"/>
        <v>757321258639.86694</v>
      </c>
      <c r="W1175">
        <f t="shared" si="47"/>
        <v>625170396473.0896</v>
      </c>
    </row>
    <row r="1176" spans="1:23" x14ac:dyDescent="0.2">
      <c r="A1176">
        <f>IF(D1176="USD",VLOOKUP(VALUE(RIGHT(E1176,4)),'USD RUB'!$E:$F,2,FALSE),1)</f>
        <v>64.689093749999955</v>
      </c>
      <c r="B1176" s="4">
        <v>64.689093749999955</v>
      </c>
      <c r="C1176">
        <v>1000000</v>
      </c>
      <c r="D1176" t="s">
        <v>111</v>
      </c>
      <c r="E1176" s="1" t="s">
        <v>1192</v>
      </c>
      <c r="F1176">
        <v>27234108468.749981</v>
      </c>
      <c r="G1176">
        <v>252999045656.24982</v>
      </c>
      <c r="H1176">
        <v>359089159406.24976</v>
      </c>
      <c r="I1176">
        <v>26522528437.499981</v>
      </c>
      <c r="J1176">
        <v>671343414937.49951</v>
      </c>
      <c r="K1176">
        <v>119416067062.49992</v>
      </c>
      <c r="L1176">
        <v>174466485843.74988</v>
      </c>
      <c r="M1176">
        <v>772969981218.74951</v>
      </c>
      <c r="N1176">
        <v>377460862031.24976</v>
      </c>
      <c r="O1176">
        <v>533167510687.49963</v>
      </c>
      <c r="P1176">
        <v>107642651999.99992</v>
      </c>
      <c r="Q1176">
        <v>96904262437.499939</v>
      </c>
      <c r="R1176">
        <v>73810255968.749954</v>
      </c>
      <c r="S1176">
        <v>27169419374.999981</v>
      </c>
      <c r="T1176">
        <v>134812071374.99991</v>
      </c>
      <c r="U1176">
        <v>-46640836593.749969</v>
      </c>
      <c r="V1176">
        <f t="shared" si="46"/>
        <v>567896640319.93347</v>
      </c>
      <c r="W1176">
        <f t="shared" si="47"/>
        <v>649249264317.94006</v>
      </c>
    </row>
    <row r="1177" spans="1:23" x14ac:dyDescent="0.2">
      <c r="A1177">
        <f>IF(D1177="USD",VLOOKUP(VALUE(RIGHT(E1177,4)),'USD RUB'!$E:$F,2,FALSE),1)</f>
        <v>64.689093749999955</v>
      </c>
      <c r="B1177" s="4">
        <v>64.689093749999955</v>
      </c>
      <c r="C1177">
        <v>1000000</v>
      </c>
      <c r="D1177" t="s">
        <v>111</v>
      </c>
      <c r="E1177" s="1" t="s">
        <v>1193</v>
      </c>
      <c r="F1177">
        <v>73874945062.499954</v>
      </c>
      <c r="G1177">
        <v>305073766124.99982</v>
      </c>
      <c r="H1177">
        <v>354690301031.24976</v>
      </c>
      <c r="I1177">
        <v>27040041187.499981</v>
      </c>
      <c r="J1177">
        <v>713779460437.49951</v>
      </c>
      <c r="K1177">
        <v>157776699656.24988</v>
      </c>
      <c r="L1177">
        <v>171102652968.74988</v>
      </c>
      <c r="M1177">
        <v>772969981218.74951</v>
      </c>
      <c r="N1177">
        <v>384900107812.49976</v>
      </c>
      <c r="O1177">
        <v>366528405187.49976</v>
      </c>
      <c r="P1177">
        <v>74521835999.999954</v>
      </c>
      <c r="Q1177">
        <v>65788808343.749954</v>
      </c>
      <c r="R1177">
        <v>51557207718.749962</v>
      </c>
      <c r="S1177">
        <v>17983568062.499989</v>
      </c>
      <c r="T1177">
        <v>92505404062.499939</v>
      </c>
      <c r="U1177">
        <v>-26199082968.749981</v>
      </c>
      <c r="V1177">
        <f t="shared" ref="V1177:V1240" si="48">_xlfn.XLOOKUP(LEFT(E1177,LEN(E1177)-4)&amp;(VALUE(RIGHT(E1177,4))-1),$E:$E,$O:$O,"")</f>
        <v>371304943842.52484</v>
      </c>
      <c r="W1177">
        <f t="shared" ref="W1177:W1240" si="49">_xlfn.XLOOKUP(LEFT(E1177,LEN(E1177)-4)&amp;(VALUE(RIGHT(E1177,4))-1),$E:$E,$J:$J,"")</f>
        <v>658302415674.75073</v>
      </c>
    </row>
    <row r="1178" spans="1:23" x14ac:dyDescent="0.2">
      <c r="A1178">
        <f>IF(D1178="USD",VLOOKUP(VALUE(RIGHT(E1178,4)),'USD RUB'!$E:$F,2,FALSE),1)</f>
        <v>64.689093749999955</v>
      </c>
      <c r="B1178" s="4">
        <v>64.689093749999955</v>
      </c>
      <c r="C1178">
        <v>1000000</v>
      </c>
      <c r="D1178" t="s">
        <v>111</v>
      </c>
      <c r="E1178" s="1" t="s">
        <v>1194</v>
      </c>
      <c r="F1178">
        <v>47611172999.999969</v>
      </c>
      <c r="G1178">
        <v>263349300656.24982</v>
      </c>
      <c r="H1178">
        <v>337612380281.24976</v>
      </c>
      <c r="I1178">
        <v>26328461156.249981</v>
      </c>
      <c r="J1178">
        <v>658146839812.49951</v>
      </c>
      <c r="K1178">
        <v>84678023718.749939</v>
      </c>
      <c r="L1178">
        <v>145097637281.24991</v>
      </c>
      <c r="M1178">
        <v>824915323499.99939</v>
      </c>
      <c r="N1178">
        <v>428371178812.49969</v>
      </c>
      <c r="O1178">
        <v>185593009968.74988</v>
      </c>
      <c r="P1178">
        <v>36161203406.249977</v>
      </c>
      <c r="Q1178">
        <v>30080428593.749981</v>
      </c>
      <c r="R1178">
        <v>24711233812.499985</v>
      </c>
      <c r="S1178">
        <v>8797716749.9999943</v>
      </c>
      <c r="T1178">
        <v>44958920156.249969</v>
      </c>
      <c r="U1178">
        <v>-11514658687.499992</v>
      </c>
      <c r="V1178">
        <f t="shared" si="48"/>
        <v>175656283964.78403</v>
      </c>
      <c r="W1178">
        <f t="shared" si="49"/>
        <v>706020067617.94006</v>
      </c>
    </row>
    <row r="1179" spans="1:23" x14ac:dyDescent="0.2">
      <c r="A1179">
        <f>IF(D1179="USD",VLOOKUP(VALUE(RIGHT(E1179,4)),'USD RUB'!$E:$F,2,FALSE),1)</f>
        <v>62.869106644518261</v>
      </c>
      <c r="B1179" s="4">
        <v>62.869106644518261</v>
      </c>
      <c r="C1179">
        <v>1000000</v>
      </c>
      <c r="D1179" t="s">
        <v>111</v>
      </c>
      <c r="E1179" s="1" t="s">
        <v>1195</v>
      </c>
      <c r="F1179">
        <v>74122676733.887024</v>
      </c>
      <c r="G1179">
        <v>273480613903.65445</v>
      </c>
      <c r="H1179">
        <v>301645973680.39862</v>
      </c>
      <c r="I1179">
        <v>24456082484.717602</v>
      </c>
      <c r="J1179">
        <v>625170396473.0896</v>
      </c>
      <c r="K1179">
        <v>130327658074.08635</v>
      </c>
      <c r="L1179">
        <v>128064370234.8837</v>
      </c>
      <c r="M1179">
        <v>777690849192.69092</v>
      </c>
      <c r="N1179">
        <v>366778368164.11951</v>
      </c>
      <c r="O1179">
        <v>757321258639.86694</v>
      </c>
      <c r="P1179">
        <v>189361749213.289</v>
      </c>
      <c r="Q1179">
        <v>171569792032.89035</v>
      </c>
      <c r="R1179">
        <v>141015406203.65445</v>
      </c>
      <c r="S1179">
        <v>36275474533.887039</v>
      </c>
      <c r="T1179">
        <v>225637223747.17603</v>
      </c>
      <c r="U1179">
        <v>-42750992518.272415</v>
      </c>
      <c r="V1179">
        <f t="shared" si="48"/>
        <v>586918836910.89087</v>
      </c>
      <c r="W1179">
        <f t="shared" si="49"/>
        <v>641208100414.52124</v>
      </c>
    </row>
    <row r="1180" spans="1:23" x14ac:dyDescent="0.2">
      <c r="A1180">
        <f>IF(D1180="USD",VLOOKUP(VALUE(RIGHT(E1180,4)),'USD RUB'!$E:$F,2,FALSE),1)</f>
        <v>62.869106644518261</v>
      </c>
      <c r="B1180" s="4">
        <v>62.869106644518261</v>
      </c>
      <c r="C1180">
        <v>1000000</v>
      </c>
      <c r="D1180" t="s">
        <v>111</v>
      </c>
      <c r="E1180" s="1" t="s">
        <v>1196</v>
      </c>
      <c r="F1180">
        <v>75191451546.843842</v>
      </c>
      <c r="G1180">
        <v>301960319213.62122</v>
      </c>
      <c r="H1180">
        <v>310384779503.98663</v>
      </c>
      <c r="I1180">
        <v>23701653204.983383</v>
      </c>
      <c r="J1180">
        <v>649249264317.94006</v>
      </c>
      <c r="K1180">
        <v>129510359687.70761</v>
      </c>
      <c r="L1180">
        <v>130264788967.44183</v>
      </c>
      <c r="M1180">
        <v>779451184178.73743</v>
      </c>
      <c r="N1180">
        <v>389474115662.79065</v>
      </c>
      <c r="O1180">
        <v>567896640319.93347</v>
      </c>
      <c r="P1180">
        <v>144536076175.7475</v>
      </c>
      <c r="Q1180">
        <v>134602757325.9136</v>
      </c>
      <c r="R1180">
        <v>109015030921.59467</v>
      </c>
      <c r="S1180">
        <v>27851014243.521591</v>
      </c>
      <c r="T1180">
        <v>172387090419.26907</v>
      </c>
      <c r="U1180">
        <v>-27033715857.142853</v>
      </c>
      <c r="V1180">
        <f t="shared" si="48"/>
        <v>422768163696.36945</v>
      </c>
      <c r="W1180">
        <f t="shared" si="49"/>
        <v>651004659242.24402</v>
      </c>
    </row>
    <row r="1181" spans="1:23" x14ac:dyDescent="0.2">
      <c r="A1181">
        <f>IF(D1181="USD",VLOOKUP(VALUE(RIGHT(E1181,4)),'USD RUB'!$E:$F,2,FALSE),1)</f>
        <v>62.869106644518261</v>
      </c>
      <c r="B1181" s="4">
        <v>62.869106644518261</v>
      </c>
      <c r="C1181">
        <v>1000000</v>
      </c>
      <c r="D1181" t="s">
        <v>111</v>
      </c>
      <c r="E1181" s="1" t="s">
        <v>1197</v>
      </c>
      <c r="F1181">
        <v>60480080592.026566</v>
      </c>
      <c r="G1181">
        <v>295736277655.8139</v>
      </c>
      <c r="H1181">
        <v>321198265846.84381</v>
      </c>
      <c r="I1181">
        <v>24707558911.295677</v>
      </c>
      <c r="J1181">
        <v>658302415674.75073</v>
      </c>
      <c r="K1181">
        <v>123223449023.2558</v>
      </c>
      <c r="L1181">
        <v>140952537097.00995</v>
      </c>
      <c r="M1181">
        <v>768826305155.81384</v>
      </c>
      <c r="N1181">
        <v>394126429554.48499</v>
      </c>
      <c r="O1181">
        <v>371304943842.52484</v>
      </c>
      <c r="P1181">
        <v>89274131435.215927</v>
      </c>
      <c r="Q1181">
        <v>84747555756.810623</v>
      </c>
      <c r="R1181">
        <v>68275849815.946831</v>
      </c>
      <c r="S1181">
        <v>19300815739.867107</v>
      </c>
      <c r="T1181">
        <v>108574947175.08304</v>
      </c>
      <c r="U1181">
        <v>-15528669341.196011</v>
      </c>
      <c r="V1181">
        <f t="shared" si="48"/>
        <v>274012082925.41241</v>
      </c>
      <c r="W1181">
        <f t="shared" si="49"/>
        <v>617824647498.34961</v>
      </c>
    </row>
    <row r="1182" spans="1:23" x14ac:dyDescent="0.2">
      <c r="A1182">
        <f>IF(D1182="USD",VLOOKUP(VALUE(RIGHT(E1182,4)),'USD RUB'!$E:$F,2,FALSE),1)</f>
        <v>62.869106644518261</v>
      </c>
      <c r="B1182" s="4">
        <v>62.869106644518261</v>
      </c>
      <c r="C1182">
        <v>1000000</v>
      </c>
      <c r="D1182" t="s">
        <v>111</v>
      </c>
      <c r="E1182" s="1" t="s">
        <v>1198</v>
      </c>
      <c r="F1182">
        <v>46020186063.787369</v>
      </c>
      <c r="G1182">
        <v>308624444517.94012</v>
      </c>
      <c r="H1182">
        <v>350306662223.25574</v>
      </c>
      <c r="I1182">
        <v>27033715857.142853</v>
      </c>
      <c r="J1182">
        <v>706020067617.94006</v>
      </c>
      <c r="K1182">
        <v>108763554495.01659</v>
      </c>
      <c r="L1182">
        <v>146170672948.50494</v>
      </c>
      <c r="M1182">
        <v>787749906255.81384</v>
      </c>
      <c r="N1182">
        <v>451085840174.41852</v>
      </c>
      <c r="O1182">
        <v>175656283964.78403</v>
      </c>
      <c r="P1182">
        <v>41305003065.448494</v>
      </c>
      <c r="Q1182">
        <v>39481798972.757469</v>
      </c>
      <c r="R1182">
        <v>31686029748.837204</v>
      </c>
      <c r="S1182">
        <v>9744711529.9003296</v>
      </c>
      <c r="T1182">
        <v>51049714595.348831</v>
      </c>
      <c r="U1182">
        <v>-8235852970.4318924</v>
      </c>
      <c r="V1182">
        <f t="shared" si="48"/>
        <v>125699179815.70952</v>
      </c>
      <c r="W1182">
        <f t="shared" si="49"/>
        <v>638723972997.49146</v>
      </c>
    </row>
    <row r="1183" spans="1:23" x14ac:dyDescent="0.2">
      <c r="A1183">
        <f>IF(D1183="USD",VLOOKUP(VALUE(RIGHT(E1183,4)),'USD RUB'!$E:$F,2,FALSE),1)</f>
        <v>58.312850165016478</v>
      </c>
      <c r="B1183" s="4">
        <v>58.312850165016478</v>
      </c>
      <c r="C1183">
        <v>1000000</v>
      </c>
      <c r="D1183" t="s">
        <v>111</v>
      </c>
      <c r="E1183" s="1" t="s">
        <v>1199</v>
      </c>
      <c r="F1183">
        <v>17552167899.66996</v>
      </c>
      <c r="G1183">
        <v>274711837127.39264</v>
      </c>
      <c r="H1183">
        <v>323578005565.67645</v>
      </c>
      <c r="I1183">
        <v>23325140066.006592</v>
      </c>
      <c r="J1183">
        <v>641208100414.52124</v>
      </c>
      <c r="K1183">
        <v>116567387479.86794</v>
      </c>
      <c r="L1183">
        <v>137093510737.95374</v>
      </c>
      <c r="M1183">
        <v>701445274634.98315</v>
      </c>
      <c r="N1183">
        <v>387547202196.69952</v>
      </c>
      <c r="O1183">
        <v>586918836910.89087</v>
      </c>
      <c r="P1183">
        <v>118433398685.14847</v>
      </c>
      <c r="Q1183">
        <v>106304325850.82504</v>
      </c>
      <c r="R1183">
        <v>84670258439.603928</v>
      </c>
      <c r="S1183">
        <v>36387218502.970284</v>
      </c>
      <c r="T1183">
        <v>154820617188.11874</v>
      </c>
      <c r="U1183">
        <v>-34521207297.689758</v>
      </c>
      <c r="V1183">
        <f t="shared" si="48"/>
        <v>512054000816.59534</v>
      </c>
      <c r="W1183">
        <f t="shared" si="49"/>
        <v>686563002063.93555</v>
      </c>
    </row>
    <row r="1184" spans="1:23" x14ac:dyDescent="0.2">
      <c r="A1184">
        <f>IF(D1184="USD",VLOOKUP(VALUE(RIGHT(E1184,4)),'USD RUB'!$E:$F,2,FALSE),1)</f>
        <v>58.312850165016478</v>
      </c>
      <c r="B1184" s="4">
        <v>58.312850165016478</v>
      </c>
      <c r="C1184">
        <v>1000000</v>
      </c>
      <c r="D1184" t="s">
        <v>111</v>
      </c>
      <c r="E1184" s="1" t="s">
        <v>1200</v>
      </c>
      <c r="F1184">
        <v>34871084398.679855</v>
      </c>
      <c r="G1184">
        <v>282584071899.66986</v>
      </c>
      <c r="H1184">
        <v>317163592047.5246</v>
      </c>
      <c r="I1184">
        <v>23150201515.511543</v>
      </c>
      <c r="J1184">
        <v>651004659242.24402</v>
      </c>
      <c r="K1184">
        <v>122690236747.19467</v>
      </c>
      <c r="L1184">
        <v>138084829190.75903</v>
      </c>
      <c r="M1184">
        <v>707101621100.98987</v>
      </c>
      <c r="N1184">
        <v>390229593304.29028</v>
      </c>
      <c r="O1184">
        <v>422768163696.36945</v>
      </c>
      <c r="P1184">
        <v>82570995833.66333</v>
      </c>
      <c r="Q1184">
        <v>75748392364.3564</v>
      </c>
      <c r="R1184">
        <v>59654045718.811859</v>
      </c>
      <c r="S1184">
        <v>26415721124.752464</v>
      </c>
      <c r="T1184">
        <v>108986716958.4158</v>
      </c>
      <c r="U1184">
        <v>-19009989153.795372</v>
      </c>
      <c r="V1184">
        <f t="shared" si="48"/>
        <v>380265339509.57416</v>
      </c>
      <c r="W1184">
        <f t="shared" si="49"/>
        <v>669135570969.14832</v>
      </c>
    </row>
    <row r="1185" spans="1:23" x14ac:dyDescent="0.2">
      <c r="A1185">
        <f>IF(D1185="USD",VLOOKUP(VALUE(RIGHT(E1185,4)),'USD RUB'!$E:$F,2,FALSE),1)</f>
        <v>58.312850165016478</v>
      </c>
      <c r="B1185" s="4">
        <v>58.312850165016478</v>
      </c>
      <c r="C1185">
        <v>1000000</v>
      </c>
      <c r="D1185" t="s">
        <v>111</v>
      </c>
      <c r="E1185" s="1" t="s">
        <v>1201</v>
      </c>
      <c r="F1185">
        <v>44317766125.412521</v>
      </c>
      <c r="G1185">
        <v>255235345172.27713</v>
      </c>
      <c r="H1185">
        <v>312498564034.3233</v>
      </c>
      <c r="I1185">
        <v>22683698714.19141</v>
      </c>
      <c r="J1185">
        <v>617824647498.34961</v>
      </c>
      <c r="K1185">
        <v>122806862447.5247</v>
      </c>
      <c r="L1185">
        <v>113301867870.62701</v>
      </c>
      <c r="M1185">
        <v>705410548446.20435</v>
      </c>
      <c r="N1185">
        <v>381715917180.19788</v>
      </c>
      <c r="O1185">
        <v>274012082925.41241</v>
      </c>
      <c r="P1185">
        <v>53356257900.990074</v>
      </c>
      <c r="Q1185">
        <v>49390984089.768959</v>
      </c>
      <c r="R1185">
        <v>38778045359.735954</v>
      </c>
      <c r="S1185">
        <v>17843732150.495041</v>
      </c>
      <c r="T1185">
        <v>71199990051.485123</v>
      </c>
      <c r="U1185">
        <v>-12012447133.993395</v>
      </c>
      <c r="V1185">
        <f t="shared" si="48"/>
        <v>231089479730.53171</v>
      </c>
      <c r="W1185">
        <f t="shared" si="49"/>
        <v>653920934126.48877</v>
      </c>
    </row>
    <row r="1186" spans="1:23" x14ac:dyDescent="0.2">
      <c r="A1186">
        <f>IF(D1186="USD",VLOOKUP(VALUE(RIGHT(E1186,4)),'USD RUB'!$E:$F,2,FALSE),1)</f>
        <v>58.312850165016478</v>
      </c>
      <c r="B1186" s="4">
        <v>58.312850165016478</v>
      </c>
      <c r="C1186">
        <v>1000000</v>
      </c>
      <c r="D1186" t="s">
        <v>111</v>
      </c>
      <c r="E1186" s="1" t="s">
        <v>1202</v>
      </c>
      <c r="F1186">
        <v>35565007315.643547</v>
      </c>
      <c r="G1186">
        <v>260057817880.92398</v>
      </c>
      <c r="H1186">
        <v>328919462640.79193</v>
      </c>
      <c r="I1186">
        <v>23529235041.584148</v>
      </c>
      <c r="J1186">
        <v>638723972997.49146</v>
      </c>
      <c r="K1186">
        <v>113144423175.18147</v>
      </c>
      <c r="L1186">
        <v>111978166171.88115</v>
      </c>
      <c r="M1186">
        <v>720863453739.93372</v>
      </c>
      <c r="N1186">
        <v>413601383650.42889</v>
      </c>
      <c r="O1186">
        <v>125699179815.70952</v>
      </c>
      <c r="P1186">
        <v>27523665277.887779</v>
      </c>
      <c r="Q1186">
        <v>24223157958.547844</v>
      </c>
      <c r="R1186">
        <v>18800062893.201313</v>
      </c>
      <c r="S1186">
        <v>8513676124.0924053</v>
      </c>
      <c r="T1186">
        <v>36037341401.980186</v>
      </c>
      <c r="U1186">
        <v>-5586371045.8085785</v>
      </c>
      <c r="V1186">
        <f t="shared" si="48"/>
        <v>105738038066.06374</v>
      </c>
      <c r="W1186">
        <f t="shared" si="49"/>
        <v>627830078262.76538</v>
      </c>
    </row>
    <row r="1187" spans="1:23" x14ac:dyDescent="0.2">
      <c r="A1187">
        <f>IF(D1187="USD",VLOOKUP(VALUE(RIGHT(E1187,4)),'USD RUB'!$E:$F,2,FALSE),1)</f>
        <v>67.054371276595688</v>
      </c>
      <c r="B1187" s="4">
        <v>67.054371276595688</v>
      </c>
      <c r="C1187">
        <v>1000000</v>
      </c>
      <c r="D1187" t="s">
        <v>111</v>
      </c>
      <c r="E1187" s="1" t="s">
        <v>1203</v>
      </c>
      <c r="F1187">
        <v>40883050167.340393</v>
      </c>
      <c r="G1187">
        <v>275103969036.48914</v>
      </c>
      <c r="H1187">
        <v>357272395598.82947</v>
      </c>
      <c r="J1187">
        <v>686563002063.93555</v>
      </c>
      <c r="K1187">
        <v>115923597062.97862</v>
      </c>
      <c r="L1187">
        <v>147472678748.61688</v>
      </c>
      <c r="M1187">
        <v>807287692110.31848</v>
      </c>
      <c r="N1187">
        <v>423166726252.34009</v>
      </c>
      <c r="O1187">
        <v>512054000816.59534</v>
      </c>
      <c r="P1187">
        <v>99810431645.212677</v>
      </c>
      <c r="Q1187">
        <v>78601134010.425461</v>
      </c>
      <c r="R1187">
        <v>62950643754.468033</v>
      </c>
      <c r="T1187">
        <v>130219589019.14883</v>
      </c>
      <c r="U1187">
        <v>37483393543.616989</v>
      </c>
      <c r="V1187">
        <f t="shared" si="48"/>
        <v>490509706249.87018</v>
      </c>
      <c r="W1187">
        <f t="shared" si="49"/>
        <v>546314732705.45459</v>
      </c>
    </row>
    <row r="1188" spans="1:23" x14ac:dyDescent="0.2">
      <c r="A1188">
        <f>IF(D1188="USD",VLOOKUP(VALUE(RIGHT(E1188,4)),'USD RUB'!$E:$F,2,FALSE),1)</f>
        <v>67.054371276595688</v>
      </c>
      <c r="B1188" s="4">
        <v>67.054371276595688</v>
      </c>
      <c r="C1188">
        <v>1000000</v>
      </c>
      <c r="D1188" t="s">
        <v>111</v>
      </c>
      <c r="E1188" s="1" t="s">
        <v>1204</v>
      </c>
      <c r="F1188">
        <v>35337653662.76593</v>
      </c>
      <c r="G1188">
        <v>276465172773.40405</v>
      </c>
      <c r="H1188">
        <v>341977293510.638</v>
      </c>
      <c r="J1188">
        <v>669135570969.14832</v>
      </c>
      <c r="K1188">
        <v>87170682659.574402</v>
      </c>
      <c r="L1188">
        <v>170586320527.65942</v>
      </c>
      <c r="M1188">
        <v>810593472614.25464</v>
      </c>
      <c r="N1188">
        <v>411378567781.91455</v>
      </c>
      <c r="O1188">
        <v>380265339509.57416</v>
      </c>
      <c r="P1188">
        <v>73156319062.7659</v>
      </c>
      <c r="Q1188">
        <v>56567067608.936119</v>
      </c>
      <c r="R1188">
        <v>42250959341.382942</v>
      </c>
      <c r="T1188">
        <v>95485424697.872253</v>
      </c>
      <c r="U1188">
        <v>25748878570.212746</v>
      </c>
      <c r="V1188">
        <f t="shared" si="48"/>
        <v>390237059108.57147</v>
      </c>
      <c r="W1188">
        <f t="shared" si="49"/>
        <v>577423692135.58447</v>
      </c>
    </row>
    <row r="1189" spans="1:23" x14ac:dyDescent="0.2">
      <c r="A1189">
        <f>IF(D1189="USD",VLOOKUP(VALUE(RIGHT(E1189,4)),'USD RUB'!$E:$F,2,FALSE),1)</f>
        <v>67.054371276595688</v>
      </c>
      <c r="B1189" s="4">
        <v>67.054371276595688</v>
      </c>
      <c r="C1189">
        <v>1000000</v>
      </c>
      <c r="D1189" t="s">
        <v>111</v>
      </c>
      <c r="E1189" s="1" t="s">
        <v>1205</v>
      </c>
      <c r="F1189">
        <v>21933484844.574451</v>
      </c>
      <c r="G1189">
        <v>264469145752.02106</v>
      </c>
      <c r="H1189">
        <v>337558410443.51038</v>
      </c>
      <c r="J1189">
        <v>653920934126.48877</v>
      </c>
      <c r="K1189">
        <v>93453677248.191406</v>
      </c>
      <c r="L1189">
        <v>174710164361.17007</v>
      </c>
      <c r="M1189">
        <v>791623790980.10571</v>
      </c>
      <c r="N1189">
        <v>385757092517.12732</v>
      </c>
      <c r="O1189">
        <v>231089479730.53171</v>
      </c>
      <c r="P1189">
        <v>35880794070.106354</v>
      </c>
      <c r="Q1189">
        <v>22469919814.787216</v>
      </c>
      <c r="R1189">
        <v>16287506783.085093</v>
      </c>
      <c r="T1189">
        <v>50290778457.44677</v>
      </c>
      <c r="U1189">
        <v>18775223957.446793</v>
      </c>
      <c r="V1189">
        <f t="shared" si="48"/>
        <v>266784715307.26755</v>
      </c>
      <c r="W1189">
        <f t="shared" si="49"/>
        <v>654675219297.2572</v>
      </c>
    </row>
    <row r="1190" spans="1:23" x14ac:dyDescent="0.2">
      <c r="A1190">
        <f>IF(D1190="USD",VLOOKUP(VALUE(RIGHT(E1190,4)),'USD RUB'!$E:$F,2,FALSE),1)</f>
        <v>67.054371276595688</v>
      </c>
      <c r="B1190" s="4">
        <v>67.054371276595688</v>
      </c>
      <c r="C1190">
        <v>1000000</v>
      </c>
      <c r="D1190" t="s">
        <v>111</v>
      </c>
      <c r="E1190" s="1" t="s">
        <v>1206</v>
      </c>
      <c r="F1190">
        <v>36598275842.76593</v>
      </c>
      <c r="G1190">
        <v>255128471833.19128</v>
      </c>
      <c r="H1190">
        <v>320801523061.48907</v>
      </c>
      <c r="J1190">
        <v>627830078262.76538</v>
      </c>
      <c r="K1190">
        <v>86412968264.148865</v>
      </c>
      <c r="L1190">
        <v>163793712717.3403</v>
      </c>
      <c r="M1190">
        <v>800649309353.93555</v>
      </c>
      <c r="N1190">
        <v>377623397281.27631</v>
      </c>
      <c r="O1190">
        <v>105738038066.06374</v>
      </c>
      <c r="P1190">
        <v>12673276171.276585</v>
      </c>
      <c r="Q1190">
        <v>5156481151.170208</v>
      </c>
      <c r="R1190">
        <v>3781866539.9999967</v>
      </c>
      <c r="T1190">
        <v>19445767670.212749</v>
      </c>
      <c r="U1190">
        <v>8113578924.4680786</v>
      </c>
      <c r="V1190">
        <f t="shared" si="48"/>
        <v>135710523320.16624</v>
      </c>
      <c r="W1190">
        <f t="shared" si="49"/>
        <v>622901940564.15588</v>
      </c>
    </row>
    <row r="1191" spans="1:23" x14ac:dyDescent="0.2">
      <c r="A1191">
        <f>IF(D1191="USD",VLOOKUP(VALUE(RIGHT(E1191,4)),'USD RUB'!$E:$F,2,FALSE),1)</f>
        <v>61.250166233766237</v>
      </c>
      <c r="B1191" s="4">
        <v>61.250166233766237</v>
      </c>
      <c r="C1191">
        <v>1000000</v>
      </c>
      <c r="D1191" t="s">
        <v>111</v>
      </c>
      <c r="E1191" s="1" t="s">
        <v>1207</v>
      </c>
      <c r="F1191">
        <v>21008807018.18182</v>
      </c>
      <c r="G1191">
        <v>227887368489.35065</v>
      </c>
      <c r="H1191">
        <v>272704115122.59741</v>
      </c>
      <c r="J1191">
        <v>546314732705.45459</v>
      </c>
      <c r="K1191">
        <v>80476593414.545456</v>
      </c>
      <c r="L1191">
        <v>151153160231.68832</v>
      </c>
      <c r="M1191">
        <v>727860225422.33765</v>
      </c>
      <c r="N1191">
        <v>314684979059.22076</v>
      </c>
      <c r="O1191">
        <v>490509706249.87018</v>
      </c>
      <c r="P1191">
        <v>85033605782.337662</v>
      </c>
      <c r="Q1191">
        <v>80917594611.428574</v>
      </c>
      <c r="R1191">
        <v>59302410947.532471</v>
      </c>
      <c r="T1191">
        <v>119315323823.37663</v>
      </c>
      <c r="U1191">
        <v>36443848909.090912</v>
      </c>
      <c r="V1191">
        <f t="shared" si="48"/>
        <v>402954842972.67444</v>
      </c>
      <c r="W1191">
        <f t="shared" si="49"/>
        <v>403342884478.59424</v>
      </c>
    </row>
    <row r="1192" spans="1:23" x14ac:dyDescent="0.2">
      <c r="A1192">
        <f>IF(D1192="USD",VLOOKUP(VALUE(RIGHT(E1192,4)),'USD RUB'!$E:$F,2,FALSE),1)</f>
        <v>61.250166233766237</v>
      </c>
      <c r="B1192" s="4">
        <v>61.250166233766237</v>
      </c>
      <c r="C1192">
        <v>1000000</v>
      </c>
      <c r="D1192" t="s">
        <v>111</v>
      </c>
      <c r="E1192" s="1" t="s">
        <v>1208</v>
      </c>
      <c r="F1192">
        <v>30196331953.246754</v>
      </c>
      <c r="G1192">
        <v>230815126435.32468</v>
      </c>
      <c r="H1192">
        <v>298159684209.35065</v>
      </c>
      <c r="J1192">
        <v>577423692135.58447</v>
      </c>
      <c r="K1192">
        <v>96640512283.636368</v>
      </c>
      <c r="L1192">
        <v>127253345367.27274</v>
      </c>
      <c r="M1192">
        <v>733244115034.28577</v>
      </c>
      <c r="N1192">
        <v>353529834484.67535</v>
      </c>
      <c r="O1192">
        <v>390237059108.57147</v>
      </c>
      <c r="P1192">
        <v>72661072203.116882</v>
      </c>
      <c r="Q1192">
        <v>71031817781.298706</v>
      </c>
      <c r="R1192">
        <v>54714773496.623383</v>
      </c>
      <c r="T1192">
        <v>99715270628.571426</v>
      </c>
      <c r="U1192">
        <v>27256323974.025974</v>
      </c>
      <c r="V1192">
        <f t="shared" si="48"/>
        <v>312147238837.48285</v>
      </c>
      <c r="W1192">
        <f t="shared" si="49"/>
        <v>543184422651.60486</v>
      </c>
    </row>
    <row r="1193" spans="1:23" x14ac:dyDescent="0.2">
      <c r="A1193">
        <f>IF(D1193="USD",VLOOKUP(VALUE(RIGHT(E1193,4)),'USD RUB'!$E:$F,2,FALSE),1)</f>
        <v>61.250166233766237</v>
      </c>
      <c r="B1193" s="4">
        <v>61.250166233766237</v>
      </c>
      <c r="C1193">
        <v>1000</v>
      </c>
      <c r="D1193" t="s">
        <v>111</v>
      </c>
      <c r="E1193" s="1" t="s">
        <v>1209</v>
      </c>
      <c r="F1193">
        <v>45888624542.337662</v>
      </c>
      <c r="G1193">
        <v>255401310662.55585</v>
      </c>
      <c r="H1193">
        <v>362220620571.58441</v>
      </c>
      <c r="J1193">
        <v>654675219297.2572</v>
      </c>
      <c r="K1193">
        <v>103529930981.6104</v>
      </c>
      <c r="L1193">
        <v>144413743190.8208</v>
      </c>
      <c r="M1193">
        <v>759110917737.13245</v>
      </c>
      <c r="N1193">
        <v>406731545124.82599</v>
      </c>
      <c r="O1193">
        <v>266784715307.26755</v>
      </c>
      <c r="P1193">
        <v>49913066714.727272</v>
      </c>
      <c r="Q1193">
        <v>41533002721.122078</v>
      </c>
      <c r="R1193">
        <v>32576390912.758442</v>
      </c>
      <c r="T1193">
        <v>68293935350.649353</v>
      </c>
      <c r="U1193">
        <v>-17971778775.646755</v>
      </c>
      <c r="V1193">
        <f t="shared" si="48"/>
        <v>211095935873.30832</v>
      </c>
      <c r="W1193">
        <f t="shared" si="49"/>
        <v>614889655508.76526</v>
      </c>
    </row>
    <row r="1194" spans="1:23" x14ac:dyDescent="0.2">
      <c r="A1194">
        <f>IF(D1194="USD",VLOOKUP(VALUE(RIGHT(E1194,4)),'USD RUB'!$E:$F,2,FALSE),1)</f>
        <v>61.250166233766237</v>
      </c>
      <c r="B1194" s="4">
        <v>61.250166233766237</v>
      </c>
      <c r="C1194">
        <v>1000</v>
      </c>
      <c r="D1194" t="s">
        <v>111</v>
      </c>
      <c r="E1194" s="1" t="s">
        <v>1210</v>
      </c>
      <c r="F1194">
        <v>37662359716.145454</v>
      </c>
      <c r="G1194">
        <v>241742462342.25977</v>
      </c>
      <c r="H1194">
        <v>344480244923.96887</v>
      </c>
      <c r="J1194">
        <v>622901940564.15588</v>
      </c>
      <c r="K1194">
        <v>84957349325.376633</v>
      </c>
      <c r="L1194">
        <v>140524541385.47534</v>
      </c>
      <c r="M1194">
        <v>770085538772.40002</v>
      </c>
      <c r="N1194">
        <v>397420049853.30389</v>
      </c>
      <c r="O1194">
        <v>135710523320.16624</v>
      </c>
      <c r="P1194">
        <v>30575654232.732468</v>
      </c>
      <c r="Q1194">
        <v>25480252903.745457</v>
      </c>
      <c r="R1194">
        <v>19729291045.558441</v>
      </c>
      <c r="T1194">
        <v>39077606057.14286</v>
      </c>
      <c r="U1194">
        <v>-7078804211.9688311</v>
      </c>
      <c r="V1194">
        <f t="shared" si="48"/>
        <v>102246242884.7114</v>
      </c>
      <c r="W1194">
        <f t="shared" si="49"/>
        <v>591056751670.00488</v>
      </c>
    </row>
    <row r="1195" spans="1:23" x14ac:dyDescent="0.2">
      <c r="A1195">
        <f>IF(D1195="USD",VLOOKUP(VALUE(RIGHT(E1195,4)),'USD RUB'!$E:$F,2,FALSE),1)</f>
        <v>38.761512927756648</v>
      </c>
      <c r="B1195" s="4">
        <v>38.761512927756648</v>
      </c>
      <c r="C1195">
        <v>1000</v>
      </c>
      <c r="D1195" t="s">
        <v>111</v>
      </c>
      <c r="E1195" s="1" t="s">
        <v>1211</v>
      </c>
      <c r="F1195">
        <v>21288210515.05323</v>
      </c>
      <c r="G1195">
        <v>151766788955.82544</v>
      </c>
      <c r="H1195">
        <v>227400966286.36917</v>
      </c>
      <c r="J1195">
        <v>403342884478.59424</v>
      </c>
      <c r="K1195">
        <v>62796713102.487061</v>
      </c>
      <c r="L1195">
        <v>95460536147.039536</v>
      </c>
      <c r="M1195">
        <v>474881597876.21704</v>
      </c>
      <c r="N1195">
        <v>245085635229.06766</v>
      </c>
      <c r="O1195">
        <v>402954842972.67444</v>
      </c>
      <c r="P1195">
        <v>57521736331.174515</v>
      </c>
      <c r="Q1195">
        <v>68626677215.899231</v>
      </c>
      <c r="R1195">
        <v>52877758228.81292</v>
      </c>
      <c r="T1195">
        <v>92368685306.844086</v>
      </c>
      <c r="U1195">
        <v>21722688313.460453</v>
      </c>
      <c r="V1195">
        <f t="shared" si="48"/>
        <v>347618459888</v>
      </c>
      <c r="W1195">
        <f t="shared" si="49"/>
        <v>518875956983.99994</v>
      </c>
    </row>
    <row r="1196" spans="1:23" x14ac:dyDescent="0.2">
      <c r="A1196">
        <f>IF(D1196="USD",VLOOKUP(VALUE(RIGHT(E1196,4)),'USD RUB'!$E:$F,2,FALSE),1)</f>
        <v>38.761512927756648</v>
      </c>
      <c r="B1196" s="4">
        <v>38.761512927756648</v>
      </c>
      <c r="C1196">
        <v>1000</v>
      </c>
      <c r="D1196" t="s">
        <v>111</v>
      </c>
      <c r="E1196" s="1" t="s">
        <v>1212</v>
      </c>
      <c r="F1196">
        <v>31578074305.933075</v>
      </c>
      <c r="G1196">
        <v>185318018077.34598</v>
      </c>
      <c r="H1196">
        <v>320133273345.98853</v>
      </c>
      <c r="J1196">
        <v>543184422651.60486</v>
      </c>
      <c r="K1196">
        <v>81187461764.677551</v>
      </c>
      <c r="L1196">
        <v>116154765237.98781</v>
      </c>
      <c r="M1196">
        <v>465878189937.89648</v>
      </c>
      <c r="N1196">
        <v>345842195648.93951</v>
      </c>
      <c r="O1196">
        <v>312147238837.48285</v>
      </c>
      <c r="P1196">
        <v>40823702938.539154</v>
      </c>
      <c r="Q1196">
        <v>39358517749.869957</v>
      </c>
      <c r="R1196">
        <v>29965866698.728893</v>
      </c>
      <c r="T1196">
        <v>68065216701.140671</v>
      </c>
      <c r="V1196">
        <f t="shared" si="48"/>
        <v>267806564199.99997</v>
      </c>
      <c r="W1196">
        <f t="shared" si="49"/>
        <v>519556030335.99994</v>
      </c>
    </row>
    <row r="1197" spans="1:23" x14ac:dyDescent="0.2">
      <c r="A1197">
        <f>IF(D1197="USD",VLOOKUP(VALUE(RIGHT(E1197,4)),'USD RUB'!$E:$F,2,FALSE),1)</f>
        <v>38.761512927756648</v>
      </c>
      <c r="B1197" s="4">
        <v>38.761512927756648</v>
      </c>
      <c r="C1197">
        <v>1000</v>
      </c>
      <c r="D1197" t="s">
        <v>111</v>
      </c>
      <c r="E1197" s="1" t="s">
        <v>1213</v>
      </c>
      <c r="F1197">
        <v>36399657660.529655</v>
      </c>
      <c r="G1197">
        <v>199175491518.09656</v>
      </c>
      <c r="H1197">
        <v>372479146094.4068</v>
      </c>
      <c r="J1197">
        <v>614889655508.76526</v>
      </c>
      <c r="K1197">
        <v>89412577284.921661</v>
      </c>
      <c r="L1197">
        <v>129019711378.71025</v>
      </c>
      <c r="M1197">
        <v>460205287474.86761</v>
      </c>
      <c r="N1197">
        <v>396457366845.13342</v>
      </c>
      <c r="O1197">
        <v>211095935873.30832</v>
      </c>
      <c r="P1197">
        <v>25240179327.115585</v>
      </c>
      <c r="Q1197">
        <v>21992468443.437641</v>
      </c>
      <c r="R1197">
        <v>16913353596.949047</v>
      </c>
      <c r="T1197">
        <v>41203488242.205315</v>
      </c>
      <c r="V1197">
        <f t="shared" si="48"/>
        <v>181147604735.99997</v>
      </c>
      <c r="W1197">
        <f t="shared" si="49"/>
        <v>562011560208</v>
      </c>
    </row>
    <row r="1198" spans="1:23" x14ac:dyDescent="0.2">
      <c r="A1198">
        <f>IF(D1198="USD",VLOOKUP(VALUE(RIGHT(E1198,4)),'USD RUB'!$E:$F,2,FALSE),1)</f>
        <v>38.761512927756648</v>
      </c>
      <c r="B1198" s="4">
        <v>38.761512927756648</v>
      </c>
      <c r="C1198">
        <v>1000</v>
      </c>
      <c r="D1198" t="s">
        <v>111</v>
      </c>
      <c r="E1198" s="1" t="s">
        <v>1214</v>
      </c>
      <c r="F1198">
        <v>32169497470.184788</v>
      </c>
      <c r="G1198">
        <v>192474091071.04254</v>
      </c>
      <c r="H1198">
        <v>355132593828.97711</v>
      </c>
      <c r="J1198">
        <v>591056751670.00488</v>
      </c>
      <c r="K1198">
        <v>86896800049.858536</v>
      </c>
      <c r="L1198">
        <v>131923685165.74484</v>
      </c>
      <c r="M1198">
        <v>458524471989.78131</v>
      </c>
      <c r="N1198">
        <v>372236266454.40149</v>
      </c>
      <c r="O1198">
        <v>102246242884.7114</v>
      </c>
      <c r="P1198">
        <v>10425025186.458933</v>
      </c>
      <c r="Q1198">
        <v>10944972120.871862</v>
      </c>
      <c r="R1198">
        <v>6700819024.360075</v>
      </c>
      <c r="T1198">
        <v>18140388050.190113</v>
      </c>
      <c r="V1198">
        <f t="shared" si="48"/>
        <v>90997912207.999985</v>
      </c>
      <c r="W1198">
        <f t="shared" si="49"/>
        <v>589812199200</v>
      </c>
    </row>
    <row r="1199" spans="1:23" s="17" customFormat="1" x14ac:dyDescent="0.2">
      <c r="A1199" s="17">
        <f>IF(D1199="USD",VLOOKUP(VALUE(RIGHT(E1199,4)),'USD RUB'!$E:$F,2,FALSE),1)</f>
        <v>31.863999999999997</v>
      </c>
      <c r="B1199" s="18">
        <v>31.863999999999997</v>
      </c>
      <c r="C1199" s="17">
        <v>1000</v>
      </c>
      <c r="D1199" s="17" t="s">
        <v>111</v>
      </c>
      <c r="E1199" s="19" t="s">
        <v>1215</v>
      </c>
      <c r="F1199" s="17">
        <f>969992*C1199*B1199</f>
        <v>30907825087.999996</v>
      </c>
      <c r="G1199" s="17">
        <f>5101867*C1199*B1199</f>
        <v>162565890088</v>
      </c>
      <c r="H1199" s="17">
        <f>10002996*C1199*B1199</f>
        <v>318735464544</v>
      </c>
      <c r="J1199" s="17">
        <f>16284081*C1199*B1199</f>
        <v>518875956983.99994</v>
      </c>
      <c r="K1199" s="17">
        <f>2316548*C1199*B1199</f>
        <v>73814485472</v>
      </c>
      <c r="L1199" s="17">
        <f>3692724*C1199*B1199</f>
        <v>117664957535.99998</v>
      </c>
      <c r="M1199" s="17">
        <f>11655490*C1199*B1199</f>
        <v>371390533359.99994</v>
      </c>
      <c r="N1199" s="17">
        <f>10274809*C1199*B1199</f>
        <v>327396513976</v>
      </c>
      <c r="O1199" s="17">
        <f>10909442*1000*A1199</f>
        <v>347618459888</v>
      </c>
      <c r="P1199" s="17">
        <f>643816*C1199*B1199</f>
        <v>20514553024</v>
      </c>
      <c r="Q1199" s="17">
        <f>483481*C1199*B1199</f>
        <v>15405638583.999998</v>
      </c>
      <c r="R1199" s="17">
        <f>207586*C1199*B1199</f>
        <v>6614520303.999999</v>
      </c>
      <c r="S1199" s="17">
        <f>861516*C1199*B1199</f>
        <v>27451345823.999996</v>
      </c>
      <c r="U1199" s="17">
        <f>-756290*C1199*B1199</f>
        <v>-24098424559.999996</v>
      </c>
      <c r="V1199" s="17">
        <f t="shared" si="48"/>
        <v>377619686318.41821</v>
      </c>
      <c r="W1199" s="17">
        <f t="shared" si="49"/>
        <v>403449714892.36761</v>
      </c>
    </row>
    <row r="1200" spans="1:23" x14ac:dyDescent="0.2">
      <c r="A1200">
        <f>IF(D1200="USD",VLOOKUP(VALUE(RIGHT(E1200,4)),'USD RUB'!$E:$F,2,FALSE),1)</f>
        <v>31.863999999999997</v>
      </c>
      <c r="B1200" s="4">
        <v>31.863999999999997</v>
      </c>
      <c r="C1200">
        <v>1000</v>
      </c>
      <c r="D1200" t="s">
        <v>111</v>
      </c>
      <c r="E1200" s="1" t="s">
        <v>1216</v>
      </c>
      <c r="F1200">
        <v>26617751719.999996</v>
      </c>
      <c r="G1200">
        <v>156699504640</v>
      </c>
      <c r="H1200">
        <v>323846067776</v>
      </c>
      <c r="J1200">
        <v>519556030335.99994</v>
      </c>
      <c r="K1200">
        <v>56071463167.999992</v>
      </c>
      <c r="L1200">
        <v>132130257615.99998</v>
      </c>
      <c r="N1200">
        <v>331354309552</v>
      </c>
      <c r="O1200">
        <v>267806564199.99997</v>
      </c>
      <c r="P1200">
        <v>14015029895.999998</v>
      </c>
      <c r="Q1200">
        <v>12509041663.999998</v>
      </c>
      <c r="R1200">
        <v>6583102399.999999</v>
      </c>
      <c r="T1200">
        <v>34922944000</v>
      </c>
      <c r="V1200">
        <f t="shared" si="48"/>
        <v>290552518407.07111</v>
      </c>
      <c r="W1200">
        <f t="shared" si="49"/>
        <v>588597918886.271</v>
      </c>
    </row>
    <row r="1201" spans="1:23" x14ac:dyDescent="0.2">
      <c r="A1201">
        <f>IF(D1201="USD",VLOOKUP(VALUE(RIGHT(E1201,4)),'USD RUB'!$E:$F,2,FALSE),1)</f>
        <v>31.863999999999997</v>
      </c>
      <c r="B1201" s="4">
        <v>31.863999999999997</v>
      </c>
      <c r="C1201">
        <v>1000000</v>
      </c>
      <c r="D1201" t="s">
        <v>111</v>
      </c>
      <c r="E1201" s="1" t="s">
        <v>1217</v>
      </c>
      <c r="F1201">
        <v>39534429536</v>
      </c>
      <c r="G1201">
        <v>176437277071.99997</v>
      </c>
      <c r="H1201">
        <v>349911297735.99994</v>
      </c>
      <c r="J1201">
        <v>562011560208</v>
      </c>
      <c r="K1201">
        <v>84336934192</v>
      </c>
      <c r="L1201">
        <v>149602595240</v>
      </c>
      <c r="N1201">
        <v>328072030776</v>
      </c>
      <c r="O1201">
        <v>181147604735.99997</v>
      </c>
      <c r="P1201">
        <v>9266911528</v>
      </c>
      <c r="Q1201">
        <v>6228328623.999999</v>
      </c>
      <c r="R1201">
        <v>2181027072</v>
      </c>
      <c r="T1201">
        <v>22870545319.999996</v>
      </c>
      <c r="V1201">
        <f t="shared" si="48"/>
        <v>197295870070.85965</v>
      </c>
      <c r="W1201">
        <f t="shared" si="49"/>
        <v>531263374066.36755</v>
      </c>
    </row>
    <row r="1202" spans="1:23" x14ac:dyDescent="0.2">
      <c r="A1202">
        <f>IF(D1202="USD",VLOOKUP(VALUE(RIGHT(E1202,4)),'USD RUB'!$E:$F,2,FALSE),1)</f>
        <v>31.863999999999997</v>
      </c>
      <c r="B1202" s="4">
        <v>31.863999999999997</v>
      </c>
      <c r="C1202">
        <v>1000</v>
      </c>
      <c r="D1202" t="s">
        <v>111</v>
      </c>
      <c r="E1202" s="1" t="s">
        <v>1218</v>
      </c>
      <c r="F1202">
        <v>38868663120</v>
      </c>
      <c r="G1202">
        <v>185881766671.99997</v>
      </c>
      <c r="H1202">
        <v>364600729191.99994</v>
      </c>
      <c r="J1202">
        <v>589812199200</v>
      </c>
      <c r="K1202">
        <v>93695900815.999985</v>
      </c>
      <c r="L1202">
        <v>149064189232</v>
      </c>
      <c r="N1202">
        <v>347052109152</v>
      </c>
      <c r="O1202">
        <v>90997912207.999985</v>
      </c>
      <c r="P1202">
        <v>16690936751.999998</v>
      </c>
      <c r="Q1202">
        <v>3531582711.9999995</v>
      </c>
      <c r="R1202">
        <v>1128113056</v>
      </c>
      <c r="T1202">
        <v>10132752000</v>
      </c>
      <c r="V1202">
        <f t="shared" si="48"/>
        <v>96119379327.875809</v>
      </c>
      <c r="W1202">
        <f t="shared" si="49"/>
        <v>578035488659.28699</v>
      </c>
    </row>
    <row r="1203" spans="1:23" x14ac:dyDescent="0.2">
      <c r="A1203">
        <f>IF(D1203="USD",VLOOKUP(VALUE(RIGHT(E1203,4)),'USD RUB'!$E:$F,2,FALSE),1)</f>
        <v>31.062956321839064</v>
      </c>
      <c r="B1203" s="4">
        <v>31.062956321839064</v>
      </c>
      <c r="C1203">
        <v>1000</v>
      </c>
      <c r="D1203" t="s">
        <v>111</v>
      </c>
      <c r="E1203" s="1" t="s">
        <v>1219</v>
      </c>
      <c r="F1203">
        <v>29548544012.280445</v>
      </c>
      <c r="G1203">
        <v>169895422677.10336</v>
      </c>
      <c r="H1203">
        <v>365087802534.71704</v>
      </c>
      <c r="J1203">
        <v>403449714892.36761</v>
      </c>
      <c r="K1203">
        <v>102572180433.48041</v>
      </c>
      <c r="L1203">
        <v>126275763269.46201</v>
      </c>
      <c r="N1203">
        <v>228847943702.94241</v>
      </c>
      <c r="O1203">
        <v>377619686318.41821</v>
      </c>
      <c r="P1203">
        <v>89909832233.227539</v>
      </c>
      <c r="Q1203">
        <v>28418535787.204582</v>
      </c>
      <c r="R1203">
        <v>18961853616.409184</v>
      </c>
      <c r="T1203">
        <v>59019617011.494225</v>
      </c>
      <c r="V1203">
        <f t="shared" si="48"/>
        <v>344848100922.87695</v>
      </c>
      <c r="W1203">
        <f t="shared" si="49"/>
        <v>507402988986.18463</v>
      </c>
    </row>
    <row r="1204" spans="1:23" x14ac:dyDescent="0.2">
      <c r="A1204">
        <f>IF(D1204="USD",VLOOKUP(VALUE(RIGHT(E1204,4)),'USD RUB'!$E:$F,2,FALSE),1)</f>
        <v>31.062956321839064</v>
      </c>
      <c r="B1204" s="4">
        <v>31.062956321839064</v>
      </c>
      <c r="C1204">
        <v>1000</v>
      </c>
      <c r="D1204" t="s">
        <v>111</v>
      </c>
      <c r="E1204" s="1" t="s">
        <v>1220</v>
      </c>
      <c r="F1204">
        <v>56002938008.29882</v>
      </c>
      <c r="G1204">
        <v>195308151495.8252</v>
      </c>
      <c r="H1204">
        <v>355931312773.81592</v>
      </c>
      <c r="J1204">
        <v>588597918886.271</v>
      </c>
      <c r="K1204">
        <v>129058879904.07349</v>
      </c>
      <c r="L1204">
        <v>120375137275.43442</v>
      </c>
      <c r="N1204">
        <v>339163901706.76306</v>
      </c>
      <c r="O1204">
        <v>290552518407.07111</v>
      </c>
      <c r="P1204">
        <v>29255465019.383892</v>
      </c>
      <c r="Q1204">
        <v>26055918392.321823</v>
      </c>
      <c r="R1204">
        <v>19125213703.705738</v>
      </c>
      <c r="T1204">
        <v>46936127002.298828</v>
      </c>
      <c r="V1204">
        <f t="shared" si="48"/>
        <v>255069560373.31155</v>
      </c>
      <c r="W1204">
        <f t="shared" si="49"/>
        <v>502314544846.77698</v>
      </c>
    </row>
    <row r="1205" spans="1:23" x14ac:dyDescent="0.2">
      <c r="A1205">
        <f>IF(D1205="USD",VLOOKUP(VALUE(RIGHT(E1205,4)),'USD RUB'!$E:$F,2,FALSE),1)</f>
        <v>31.062956321839064</v>
      </c>
      <c r="B1205" s="4">
        <v>31.062956321839064</v>
      </c>
      <c r="C1205">
        <v>1000</v>
      </c>
      <c r="D1205" t="s">
        <v>111</v>
      </c>
      <c r="E1205" s="1" t="s">
        <v>1221</v>
      </c>
      <c r="F1205">
        <v>23892352421.549412</v>
      </c>
      <c r="G1205">
        <v>162459075185.48038</v>
      </c>
      <c r="H1205">
        <v>332883717449.4389</v>
      </c>
      <c r="J1205">
        <v>531263374066.36755</v>
      </c>
      <c r="K1205">
        <v>111170903750.66661</v>
      </c>
      <c r="L1205">
        <v>103409296043.39764</v>
      </c>
      <c r="N1205">
        <v>316683174272.30328</v>
      </c>
      <c r="O1205">
        <v>197295870070.85965</v>
      </c>
      <c r="P1205">
        <v>21123307306.151714</v>
      </c>
      <c r="Q1205">
        <v>18938307895.517231</v>
      </c>
      <c r="R1205">
        <v>13954815686.891947</v>
      </c>
      <c r="T1205">
        <v>31932719098.850559</v>
      </c>
      <c r="V1205">
        <f t="shared" si="48"/>
        <v>157042666633.78848</v>
      </c>
      <c r="W1205">
        <f t="shared" si="49"/>
        <v>468984562417.90387</v>
      </c>
    </row>
    <row r="1206" spans="1:23" x14ac:dyDescent="0.2">
      <c r="A1206">
        <f>IF(D1206="USD",VLOOKUP(VALUE(RIGHT(E1206,4)),'USD RUB'!$E:$F,2,FALSE),1)</f>
        <v>31.062956321839064</v>
      </c>
      <c r="B1206" s="4">
        <v>31.062956321839064</v>
      </c>
      <c r="C1206">
        <v>1000</v>
      </c>
      <c r="D1206" t="s">
        <v>111</v>
      </c>
      <c r="E1206" s="1" t="s">
        <v>1222</v>
      </c>
      <c r="F1206">
        <v>28755351422.602283</v>
      </c>
      <c r="G1206">
        <v>177489104042.49646</v>
      </c>
      <c r="H1206">
        <v>362328697565.34235</v>
      </c>
      <c r="J1206">
        <v>578035488659.28699</v>
      </c>
      <c r="K1206">
        <v>111107100438.38155</v>
      </c>
      <c r="L1206">
        <v>120539522440.2896</v>
      </c>
      <c r="N1206">
        <v>346388865780.61591</v>
      </c>
      <c r="O1206">
        <v>96119379327.875809</v>
      </c>
      <c r="P1206">
        <v>7923259331.9678116</v>
      </c>
      <c r="Q1206">
        <v>7784811735.6413755</v>
      </c>
      <c r="R1206">
        <v>5393398980.2482729</v>
      </c>
      <c r="T1206">
        <v>13419197131.034475</v>
      </c>
      <c r="V1206">
        <f t="shared" si="48"/>
        <v>69356756160.669235</v>
      </c>
      <c r="W1206">
        <f t="shared" si="49"/>
        <v>445461026994.12695</v>
      </c>
    </row>
    <row r="1207" spans="1:23" x14ac:dyDescent="0.2">
      <c r="A1207">
        <f>IF(D1207="USD",VLOOKUP(VALUE(RIGHT(E1207,4)),'USD RUB'!$E:$F,2,FALSE),1)</f>
        <v>29.402434615384617</v>
      </c>
      <c r="B1207" s="4">
        <v>29.402434615384617</v>
      </c>
      <c r="C1207">
        <v>1000</v>
      </c>
      <c r="D1207" t="s">
        <v>111</v>
      </c>
      <c r="E1207" s="1" t="s">
        <v>1223</v>
      </c>
      <c r="F1207">
        <v>23438709399.911541</v>
      </c>
      <c r="G1207">
        <v>161824061148.50769</v>
      </c>
      <c r="H1207">
        <v>310778676665.86157</v>
      </c>
      <c r="J1207">
        <v>507402988986.18463</v>
      </c>
      <c r="K1207">
        <v>86441276013.41539</v>
      </c>
      <c r="L1207">
        <v>123845377392.33463</v>
      </c>
      <c r="N1207">
        <v>297116335580.43463</v>
      </c>
      <c r="O1207">
        <v>344848100922.87695</v>
      </c>
      <c r="P1207">
        <v>48975017887.719231</v>
      </c>
      <c r="Q1207">
        <v>49459717022.353851</v>
      </c>
      <c r="R1207">
        <v>38676021297.946159</v>
      </c>
      <c r="T1207">
        <v>67096355792.307693</v>
      </c>
      <c r="V1207" t="str">
        <f t="shared" si="48"/>
        <v/>
      </c>
      <c r="W1207" t="str">
        <f t="shared" si="49"/>
        <v/>
      </c>
    </row>
    <row r="1208" spans="1:23" x14ac:dyDescent="0.2">
      <c r="A1208">
        <f>IF(D1208="USD",VLOOKUP(VALUE(RIGHT(E1208,4)),'USD RUB'!$E:$F,2,FALSE),1)</f>
        <v>29.402434615384617</v>
      </c>
      <c r="B1208" s="4">
        <v>29.402434615384617</v>
      </c>
      <c r="C1208">
        <v>1000</v>
      </c>
      <c r="D1208" t="s">
        <v>111</v>
      </c>
      <c r="E1208" s="1" t="s">
        <v>1224</v>
      </c>
      <c r="F1208">
        <v>24404932206.24231</v>
      </c>
      <c r="G1208">
        <v>165950251810.25769</v>
      </c>
      <c r="H1208">
        <v>302115778550.26154</v>
      </c>
      <c r="J1208">
        <v>502314544846.77698</v>
      </c>
      <c r="K1208">
        <v>92995843152.484619</v>
      </c>
      <c r="L1208">
        <v>82061107121.457703</v>
      </c>
      <c r="N1208">
        <v>296136381837.13849</v>
      </c>
      <c r="O1208">
        <v>255069560373.31155</v>
      </c>
      <c r="P1208">
        <v>41853542406.830772</v>
      </c>
      <c r="Q1208">
        <v>45216622280.573082</v>
      </c>
      <c r="R1208">
        <v>35043409306.084618</v>
      </c>
      <c r="T1208">
        <v>55864625769.230774</v>
      </c>
      <c r="V1208" t="str">
        <f t="shared" si="48"/>
        <v/>
      </c>
      <c r="W1208" t="str">
        <f t="shared" si="49"/>
        <v/>
      </c>
    </row>
    <row r="1209" spans="1:23" x14ac:dyDescent="0.2">
      <c r="A1209">
        <f>IF(D1209="USD",VLOOKUP(VALUE(RIGHT(E1209,4)),'USD RUB'!$E:$F,2,FALSE),1)</f>
        <v>29.402434615384617</v>
      </c>
      <c r="B1209" s="4">
        <v>29.402434615384617</v>
      </c>
      <c r="C1209">
        <v>1000</v>
      </c>
      <c r="D1209" t="s">
        <v>111</v>
      </c>
      <c r="E1209" s="1" t="s">
        <v>1225</v>
      </c>
      <c r="F1209">
        <v>26798407993.67308</v>
      </c>
      <c r="G1209">
        <v>141452407910.63077</v>
      </c>
      <c r="H1209">
        <v>277445783395.96155</v>
      </c>
      <c r="J1209">
        <v>468984562417.90387</v>
      </c>
      <c r="K1209">
        <v>62946025731.738464</v>
      </c>
      <c r="L1209">
        <v>74660543731.200012</v>
      </c>
      <c r="N1209">
        <v>331377992954.96539</v>
      </c>
      <c r="O1209">
        <v>157042666633.78848</v>
      </c>
      <c r="P1209">
        <v>33886776333.184616</v>
      </c>
      <c r="Q1209">
        <v>34403729938.592308</v>
      </c>
      <c r="R1209">
        <v>28573109544.623077</v>
      </c>
      <c r="T1209">
        <v>41810262023.076927</v>
      </c>
      <c r="V1209" t="str">
        <f t="shared" si="48"/>
        <v/>
      </c>
      <c r="W1209" t="str">
        <f t="shared" si="49"/>
        <v/>
      </c>
    </row>
    <row r="1210" spans="1:23" x14ac:dyDescent="0.2">
      <c r="A1210">
        <f>IF(D1210="USD",VLOOKUP(VALUE(RIGHT(E1210,4)),'USD RUB'!$E:$F,2,FALSE),1)</f>
        <v>29.402434615384617</v>
      </c>
      <c r="B1210" s="4">
        <v>29.402434615384617</v>
      </c>
      <c r="C1210">
        <v>1000</v>
      </c>
      <c r="D1210" t="s">
        <v>111</v>
      </c>
      <c r="E1210" s="1" t="s">
        <v>1226</v>
      </c>
      <c r="F1210">
        <v>28736469471.346157</v>
      </c>
      <c r="G1210">
        <v>130477625763.6577</v>
      </c>
      <c r="H1210">
        <v>271172274129.3808</v>
      </c>
      <c r="J1210">
        <v>445461026994.12695</v>
      </c>
      <c r="K1210">
        <v>53838915633.969238</v>
      </c>
      <c r="L1210">
        <v>79922932673.792313</v>
      </c>
      <c r="N1210">
        <v>311699178686.36542</v>
      </c>
      <c r="O1210">
        <v>69356756160.669235</v>
      </c>
      <c r="P1210">
        <v>13625352822.680771</v>
      </c>
      <c r="Q1210">
        <v>13898119208.607693</v>
      </c>
      <c r="R1210">
        <v>11199416747.434616</v>
      </c>
      <c r="T1210">
        <v>17200424250</v>
      </c>
      <c r="V1210" t="str">
        <f t="shared" si="48"/>
        <v/>
      </c>
      <c r="W1210" t="str">
        <f t="shared" si="49"/>
        <v/>
      </c>
    </row>
    <row r="1211" spans="1:23" x14ac:dyDescent="0.2">
      <c r="A1211">
        <f>IF(D1211="USD",VLOOKUP(VALUE(RIGHT(E1211,4)),'USD RUB'!$E:$F,2,FALSE),1)</f>
        <v>1</v>
      </c>
      <c r="B1211" s="4">
        <v>1</v>
      </c>
      <c r="C1211">
        <v>1000000</v>
      </c>
      <c r="D1211" t="s">
        <v>20</v>
      </c>
      <c r="E1211" s="1" t="s">
        <v>1227</v>
      </c>
      <c r="F1211">
        <v>139061000000</v>
      </c>
      <c r="G1211">
        <v>405585000000</v>
      </c>
      <c r="H1211">
        <v>690010000000</v>
      </c>
      <c r="I1211">
        <v>9668000000</v>
      </c>
      <c r="J1211">
        <v>1250409000000</v>
      </c>
      <c r="K1211">
        <v>91361000000</v>
      </c>
      <c r="L1211">
        <v>887129000000</v>
      </c>
      <c r="M1211">
        <v>756307000000</v>
      </c>
      <c r="N1211">
        <v>271919000000</v>
      </c>
      <c r="O1211">
        <v>712773000000</v>
      </c>
      <c r="P1211">
        <v>418055000000</v>
      </c>
      <c r="Q1211">
        <v>428282000000</v>
      </c>
      <c r="R1211">
        <v>314142000000</v>
      </c>
      <c r="S1211">
        <v>44306000000</v>
      </c>
      <c r="T1211">
        <v>517793000000</v>
      </c>
      <c r="U1211">
        <v>-215464000000</v>
      </c>
      <c r="V1211">
        <f t="shared" si="48"/>
        <v>694768000000</v>
      </c>
      <c r="W1211">
        <f t="shared" si="49"/>
        <v>1151895000000</v>
      </c>
    </row>
    <row r="1212" spans="1:23" x14ac:dyDescent="0.2">
      <c r="A1212">
        <f>IF(D1212="USD",VLOOKUP(VALUE(RIGHT(E1212,4)),'USD RUB'!$E:$F,2,FALSE),1)</f>
        <v>1</v>
      </c>
      <c r="B1212" s="4">
        <v>1</v>
      </c>
      <c r="C1212">
        <v>1000000</v>
      </c>
      <c r="D1212" t="s">
        <v>20</v>
      </c>
      <c r="E1212" s="1" t="s">
        <v>1228</v>
      </c>
      <c r="F1212">
        <v>181953000000</v>
      </c>
      <c r="G1212">
        <v>425028000000</v>
      </c>
      <c r="H1212">
        <v>594207000000</v>
      </c>
      <c r="I1212">
        <v>8769000000</v>
      </c>
      <c r="J1212">
        <v>1164004000000</v>
      </c>
      <c r="K1212">
        <v>76809000000</v>
      </c>
      <c r="L1212">
        <v>854912000000</v>
      </c>
      <c r="M1212">
        <v>716039000000</v>
      </c>
      <c r="N1212">
        <v>232283000000</v>
      </c>
      <c r="O1212">
        <v>309794000000</v>
      </c>
      <c r="P1212">
        <v>184337000000</v>
      </c>
      <c r="Q1212">
        <v>230064000000</v>
      </c>
      <c r="R1212">
        <v>172489000000</v>
      </c>
      <c r="S1212">
        <v>20615000000</v>
      </c>
      <c r="T1212">
        <v>224109000000</v>
      </c>
      <c r="U1212">
        <v>-98037000000</v>
      </c>
      <c r="V1212">
        <f t="shared" si="48"/>
        <v>248157000000</v>
      </c>
      <c r="W1212">
        <f t="shared" si="49"/>
        <v>943026000000</v>
      </c>
    </row>
    <row r="1213" spans="1:23" x14ac:dyDescent="0.2">
      <c r="A1213">
        <f>IF(D1213="USD",VLOOKUP(VALUE(RIGHT(E1213,4)),'USD RUB'!$E:$F,2,FALSE),1)</f>
        <v>1</v>
      </c>
      <c r="B1213" s="4">
        <v>1</v>
      </c>
      <c r="C1213">
        <v>1000000</v>
      </c>
      <c r="D1213" t="s">
        <v>20</v>
      </c>
      <c r="E1213" s="1" t="s">
        <v>1229</v>
      </c>
      <c r="F1213">
        <v>160387000000</v>
      </c>
      <c r="G1213">
        <v>490222000000</v>
      </c>
      <c r="H1213">
        <v>519583000000</v>
      </c>
      <c r="I1213">
        <v>8856000000</v>
      </c>
      <c r="J1213">
        <v>1151895000000</v>
      </c>
      <c r="K1213">
        <v>105502000000</v>
      </c>
      <c r="L1213">
        <v>919378000000</v>
      </c>
      <c r="M1213">
        <v>612781000000</v>
      </c>
      <c r="N1213">
        <v>127015000000</v>
      </c>
      <c r="O1213">
        <v>694768000000</v>
      </c>
      <c r="P1213">
        <v>451024000000</v>
      </c>
      <c r="Q1213">
        <v>377062000000</v>
      </c>
      <c r="R1213">
        <v>305538000000</v>
      </c>
      <c r="S1213">
        <v>45259000000</v>
      </c>
      <c r="T1213">
        <v>538690000000</v>
      </c>
      <c r="U1213">
        <v>-137757000000</v>
      </c>
      <c r="V1213">
        <f t="shared" si="48"/>
        <v>469607000000</v>
      </c>
      <c r="W1213">
        <f t="shared" si="49"/>
        <v>832800000000</v>
      </c>
    </row>
    <row r="1214" spans="1:23" x14ac:dyDescent="0.2">
      <c r="A1214">
        <f>IF(D1214="USD",VLOOKUP(VALUE(RIGHT(E1214,4)),'USD RUB'!$E:$F,2,FALSE),1)</f>
        <v>1</v>
      </c>
      <c r="B1214" s="4">
        <v>1</v>
      </c>
      <c r="C1214">
        <v>1000000</v>
      </c>
      <c r="D1214" t="s">
        <v>20</v>
      </c>
      <c r="E1214" s="1" t="s">
        <v>1230</v>
      </c>
      <c r="F1214">
        <v>222292000000</v>
      </c>
      <c r="G1214">
        <v>352759000000</v>
      </c>
      <c r="H1214">
        <v>450477000000</v>
      </c>
      <c r="I1214">
        <v>9575000000</v>
      </c>
      <c r="J1214">
        <v>943026000000</v>
      </c>
      <c r="K1214">
        <v>86151000000</v>
      </c>
      <c r="L1214">
        <v>770119000000</v>
      </c>
      <c r="M1214">
        <v>575104000000</v>
      </c>
      <c r="N1214">
        <v>86756000000</v>
      </c>
      <c r="O1214">
        <v>248157000000</v>
      </c>
      <c r="P1214">
        <v>159159000000</v>
      </c>
      <c r="Q1214">
        <v>164213000000</v>
      </c>
      <c r="R1214">
        <v>143151000000</v>
      </c>
      <c r="S1214">
        <v>19500000000</v>
      </c>
      <c r="T1214">
        <v>183447000000</v>
      </c>
      <c r="U1214">
        <v>-52626000000</v>
      </c>
      <c r="V1214">
        <f t="shared" si="48"/>
        <v>186280000000</v>
      </c>
      <c r="W1214">
        <f t="shared" si="49"/>
        <v>800003000000</v>
      </c>
    </row>
    <row r="1215" spans="1:23" s="20" customFormat="1" x14ac:dyDescent="0.2">
      <c r="A1215" s="20">
        <f>IF(D1215="USD",VLOOKUP(VALUE(RIGHT(E1215,4)),'USD RUB'!$E:$F,2,FALSE),1)</f>
        <v>1</v>
      </c>
      <c r="B1215" s="21">
        <v>1</v>
      </c>
      <c r="C1215" s="20">
        <v>1000000</v>
      </c>
      <c r="D1215" s="20" t="s">
        <v>20</v>
      </c>
      <c r="E1215" s="22" t="s">
        <v>1231</v>
      </c>
      <c r="F1215" s="20">
        <v>153437000000</v>
      </c>
      <c r="G1215" s="20">
        <v>276556000000</v>
      </c>
      <c r="H1215" s="20">
        <v>439386000000</v>
      </c>
      <c r="I1215" s="20">
        <v>10965000000</v>
      </c>
      <c r="J1215" s="20">
        <v>832800000000</v>
      </c>
      <c r="K1215" s="20">
        <v>134084000000</v>
      </c>
      <c r="L1215" s="20">
        <v>754872000000</v>
      </c>
      <c r="M1215" s="20">
        <v>432942000000</v>
      </c>
      <c r="N1215" s="20">
        <v>-56156000000</v>
      </c>
      <c r="O1215" s="20">
        <v>469607000000</v>
      </c>
      <c r="P1215" s="20">
        <v>275455000000</v>
      </c>
      <c r="Q1215" s="20">
        <v>186798000000</v>
      </c>
      <c r="R1215" s="20">
        <v>151390000000</v>
      </c>
      <c r="S1215" s="20">
        <v>41376000000</v>
      </c>
      <c r="T1215" s="20">
        <v>336443000000</v>
      </c>
      <c r="U1215" s="20">
        <v>-102655000000</v>
      </c>
      <c r="V1215" s="20">
        <f t="shared" si="48"/>
        <v>294067000000</v>
      </c>
      <c r="W1215" s="20">
        <f t="shared" si="49"/>
        <v>699209000000</v>
      </c>
    </row>
    <row r="1216" spans="1:23" x14ac:dyDescent="0.2">
      <c r="A1216">
        <f>IF(D1216="USD",VLOOKUP(VALUE(RIGHT(E1216,4)),'USD RUB'!$E:$F,2,FALSE),1)</f>
        <v>1</v>
      </c>
      <c r="B1216" s="4">
        <v>1</v>
      </c>
      <c r="C1216">
        <v>1000000</v>
      </c>
      <c r="D1216" t="s">
        <v>20</v>
      </c>
      <c r="E1216" s="1" t="s">
        <v>1232</v>
      </c>
      <c r="F1216">
        <v>150904000000</v>
      </c>
      <c r="G1216">
        <v>275906000000</v>
      </c>
      <c r="H1216">
        <v>409758000000</v>
      </c>
      <c r="I1216">
        <v>13010000000</v>
      </c>
      <c r="J1216">
        <v>800003000000</v>
      </c>
      <c r="K1216">
        <v>239200000000</v>
      </c>
      <c r="L1216">
        <v>146854000000</v>
      </c>
      <c r="M1216">
        <v>323942000000</v>
      </c>
      <c r="N1216">
        <v>413949000000</v>
      </c>
      <c r="O1216">
        <v>186280000000</v>
      </c>
      <c r="P1216">
        <v>105764000000</v>
      </c>
      <c r="Q1216">
        <v>49982000000</v>
      </c>
      <c r="R1216">
        <v>42374000000</v>
      </c>
      <c r="S1216">
        <v>18352000000</v>
      </c>
      <c r="T1216">
        <v>131890000000</v>
      </c>
      <c r="U1216">
        <v>-39039000000</v>
      </c>
      <c r="V1216">
        <f t="shared" si="48"/>
        <v>145967000000</v>
      </c>
      <c r="W1216">
        <f t="shared" si="49"/>
        <v>609513000000</v>
      </c>
    </row>
    <row r="1217" spans="1:23" x14ac:dyDescent="0.2">
      <c r="A1217">
        <f>IF(D1217="USD",VLOOKUP(VALUE(RIGHT(E1217,4)),'USD RUB'!$E:$F,2,FALSE),1)</f>
        <v>1</v>
      </c>
      <c r="B1217" s="4">
        <v>1</v>
      </c>
      <c r="C1217">
        <v>1000000</v>
      </c>
      <c r="D1217" t="s">
        <v>20</v>
      </c>
      <c r="E1217" s="1" t="s">
        <v>1233</v>
      </c>
      <c r="F1217">
        <v>92614000000</v>
      </c>
      <c r="G1217">
        <v>189860000000</v>
      </c>
      <c r="H1217">
        <v>405931000000</v>
      </c>
      <c r="I1217">
        <v>13425000000</v>
      </c>
      <c r="J1217">
        <v>699209000000</v>
      </c>
      <c r="K1217">
        <v>58113000000</v>
      </c>
      <c r="L1217">
        <v>268107000000</v>
      </c>
      <c r="M1217">
        <v>281693000000</v>
      </c>
      <c r="N1217">
        <v>372989000000</v>
      </c>
      <c r="O1217">
        <v>294067000000</v>
      </c>
      <c r="P1217">
        <v>137191000000</v>
      </c>
      <c r="Q1217">
        <v>136625000000</v>
      </c>
      <c r="R1217">
        <v>111849000000</v>
      </c>
      <c r="S1217">
        <v>29814000000</v>
      </c>
      <c r="T1217">
        <v>182869000000</v>
      </c>
      <c r="U1217">
        <v>-90744000000</v>
      </c>
      <c r="V1217">
        <f t="shared" si="48"/>
        <v>365178000000</v>
      </c>
      <c r="W1217">
        <f t="shared" si="49"/>
        <v>595137000000</v>
      </c>
    </row>
    <row r="1218" spans="1:23" x14ac:dyDescent="0.2">
      <c r="A1218">
        <f>IF(D1218="USD",VLOOKUP(VALUE(RIGHT(E1218,4)),'USD RUB'!$E:$F,2,FALSE),1)</f>
        <v>1</v>
      </c>
      <c r="B1218" s="4">
        <v>1</v>
      </c>
      <c r="C1218">
        <v>1000000</v>
      </c>
      <c r="D1218" t="s">
        <v>20</v>
      </c>
      <c r="E1218" s="1" t="s">
        <v>1234</v>
      </c>
      <c r="F1218">
        <v>39911000000</v>
      </c>
      <c r="G1218">
        <v>132347000000</v>
      </c>
      <c r="H1218">
        <v>383281000000</v>
      </c>
      <c r="I1218">
        <v>12269000000</v>
      </c>
      <c r="J1218">
        <v>609513000000</v>
      </c>
      <c r="K1218">
        <v>46257000000</v>
      </c>
      <c r="L1218">
        <v>202363000000</v>
      </c>
      <c r="M1218">
        <v>269955000000</v>
      </c>
      <c r="N1218">
        <v>360893000000</v>
      </c>
      <c r="O1218">
        <v>145967000000</v>
      </c>
      <c r="P1218">
        <v>84107000000</v>
      </c>
      <c r="Q1218">
        <v>123888000000</v>
      </c>
      <c r="R1218">
        <v>101016000000</v>
      </c>
      <c r="S1218">
        <v>12190000000</v>
      </c>
      <c r="T1218">
        <v>97814000000</v>
      </c>
      <c r="U1218">
        <v>-41392000000</v>
      </c>
      <c r="V1218">
        <f t="shared" si="48"/>
        <v>168594000000</v>
      </c>
      <c r="W1218">
        <f t="shared" si="49"/>
        <v>559111000000</v>
      </c>
    </row>
    <row r="1219" spans="1:23" x14ac:dyDescent="0.2">
      <c r="A1219">
        <f>IF(D1219="USD",VLOOKUP(VALUE(RIGHT(E1219,4)),'USD RUB'!$E:$F,2,FALSE),1)</f>
        <v>1</v>
      </c>
      <c r="B1219" s="4">
        <v>1</v>
      </c>
      <c r="C1219">
        <v>1000000</v>
      </c>
      <c r="D1219" t="s">
        <v>20</v>
      </c>
      <c r="E1219" s="1" t="s">
        <v>1235</v>
      </c>
      <c r="F1219">
        <v>99774000000</v>
      </c>
      <c r="G1219">
        <v>167107000000</v>
      </c>
      <c r="H1219">
        <v>355814000000</v>
      </c>
      <c r="I1219">
        <v>11982000000</v>
      </c>
      <c r="J1219">
        <v>595137000000</v>
      </c>
      <c r="K1219">
        <v>75445000000</v>
      </c>
      <c r="L1219">
        <v>259714000000</v>
      </c>
      <c r="M1219">
        <v>172812000000</v>
      </c>
      <c r="N1219">
        <v>259978000000</v>
      </c>
      <c r="O1219">
        <v>365178000000</v>
      </c>
      <c r="P1219">
        <v>217491000000</v>
      </c>
      <c r="Q1219">
        <v>202788000000</v>
      </c>
      <c r="R1219">
        <v>167421000000</v>
      </c>
      <c r="S1219">
        <v>26298000000</v>
      </c>
      <c r="T1219">
        <v>258610000000</v>
      </c>
      <c r="U1219">
        <v>-83103000000</v>
      </c>
      <c r="V1219">
        <f t="shared" si="48"/>
        <v>364216000000</v>
      </c>
      <c r="W1219">
        <f t="shared" si="49"/>
        <v>538877000000</v>
      </c>
    </row>
    <row r="1220" spans="1:23" x14ac:dyDescent="0.2">
      <c r="A1220">
        <f>IF(D1220="USD",VLOOKUP(VALUE(RIGHT(E1220,4)),'USD RUB'!$E:$F,2,FALSE),1)</f>
        <v>1</v>
      </c>
      <c r="B1220" s="4">
        <v>1</v>
      </c>
      <c r="C1220">
        <v>1000000</v>
      </c>
      <c r="D1220" t="s">
        <v>20</v>
      </c>
      <c r="E1220" s="1" t="s">
        <v>1236</v>
      </c>
      <c r="F1220">
        <v>121885000000</v>
      </c>
      <c r="G1220">
        <v>186547000000</v>
      </c>
      <c r="H1220">
        <v>332775000000</v>
      </c>
      <c r="I1220">
        <v>10493000000</v>
      </c>
      <c r="J1220">
        <v>586373000000</v>
      </c>
      <c r="K1220">
        <v>105787000000</v>
      </c>
      <c r="L1220">
        <v>259286000000</v>
      </c>
      <c r="M1220">
        <v>135212000000</v>
      </c>
      <c r="N1220">
        <v>221300000000</v>
      </c>
      <c r="O1220">
        <v>271378000000</v>
      </c>
      <c r="P1220">
        <v>163056000000</v>
      </c>
      <c r="Q1220">
        <v>156342000000</v>
      </c>
      <c r="R1220">
        <v>129771000000</v>
      </c>
      <c r="S1220">
        <v>19771000000</v>
      </c>
      <c r="T1220">
        <v>193826000000</v>
      </c>
      <c r="U1220">
        <v>-52856000000</v>
      </c>
      <c r="V1220">
        <f t="shared" si="48"/>
        <v>249644000000</v>
      </c>
      <c r="W1220">
        <f t="shared" si="49"/>
        <v>554608000000</v>
      </c>
    </row>
    <row r="1221" spans="1:23" x14ac:dyDescent="0.2">
      <c r="A1221">
        <f>IF(D1221="USD",VLOOKUP(VALUE(RIGHT(E1221,4)),'USD RUB'!$E:$F,2,FALSE),1)</f>
        <v>1</v>
      </c>
      <c r="B1221" s="4">
        <v>1</v>
      </c>
      <c r="C1221">
        <v>1000000</v>
      </c>
      <c r="D1221" t="s">
        <v>20</v>
      </c>
      <c r="E1221" s="1" t="s">
        <v>1237</v>
      </c>
      <c r="F1221">
        <v>110877000000</v>
      </c>
      <c r="G1221">
        <v>175082000000</v>
      </c>
      <c r="H1221">
        <v>318592000000</v>
      </c>
      <c r="I1221">
        <v>10310000000</v>
      </c>
      <c r="J1221">
        <v>559111000000</v>
      </c>
      <c r="K1221">
        <v>92306000000</v>
      </c>
      <c r="L1221">
        <v>258683000000</v>
      </c>
      <c r="M1221">
        <v>123092000000</v>
      </c>
      <c r="N1221">
        <v>208122000000</v>
      </c>
      <c r="O1221">
        <v>168594000000</v>
      </c>
      <c r="P1221">
        <v>101112000000</v>
      </c>
      <c r="Q1221">
        <v>97391000000</v>
      </c>
      <c r="R1221">
        <v>81001000000</v>
      </c>
      <c r="S1221">
        <v>12677000000</v>
      </c>
      <c r="T1221">
        <v>121411000000</v>
      </c>
      <c r="U1221">
        <v>-30887000000</v>
      </c>
      <c r="V1221">
        <f t="shared" si="48"/>
        <v>142158000000</v>
      </c>
      <c r="W1221">
        <f t="shared" si="49"/>
        <v>530819000000</v>
      </c>
    </row>
    <row r="1222" spans="1:23" x14ac:dyDescent="0.2">
      <c r="A1222">
        <f>IF(D1222="USD",VLOOKUP(VALUE(RIGHT(E1222,4)),'USD RUB'!$E:$F,2,FALSE),1)</f>
        <v>1</v>
      </c>
      <c r="B1222" s="4">
        <v>1</v>
      </c>
      <c r="C1222">
        <v>1000000</v>
      </c>
      <c r="D1222" t="s">
        <v>20</v>
      </c>
      <c r="E1222" s="1" t="s">
        <v>1238</v>
      </c>
      <c r="F1222">
        <v>136275000000</v>
      </c>
      <c r="G1222">
        <v>196215000000</v>
      </c>
      <c r="H1222">
        <v>309087000000</v>
      </c>
      <c r="I1222">
        <v>9918000000</v>
      </c>
      <c r="J1222">
        <v>567883000000</v>
      </c>
      <c r="K1222">
        <v>87757000000</v>
      </c>
      <c r="L1222">
        <v>265311000000</v>
      </c>
      <c r="M1222">
        <v>125089000000</v>
      </c>
      <c r="N1222">
        <v>214815000000</v>
      </c>
      <c r="O1222">
        <v>76584000000</v>
      </c>
      <c r="P1222">
        <v>45607000000</v>
      </c>
      <c r="Q1222">
        <v>40125000000</v>
      </c>
      <c r="R1222">
        <v>33647000000</v>
      </c>
      <c r="S1222">
        <v>5957000000</v>
      </c>
      <c r="T1222">
        <v>55078000000</v>
      </c>
      <c r="U1222">
        <v>-14624000000</v>
      </c>
      <c r="V1222">
        <f t="shared" si="48"/>
        <v>58999000000</v>
      </c>
      <c r="W1222">
        <f t="shared" si="49"/>
        <v>550731000000</v>
      </c>
    </row>
    <row r="1223" spans="1:23" x14ac:dyDescent="0.2">
      <c r="A1223">
        <f>IF(D1223="USD",VLOOKUP(VALUE(RIGHT(E1223,4)),'USD RUB'!$E:$F,2,FALSE),1)</f>
        <v>1</v>
      </c>
      <c r="B1223" s="4">
        <v>1</v>
      </c>
      <c r="C1223">
        <v>1000000</v>
      </c>
      <c r="D1223" t="s">
        <v>20</v>
      </c>
      <c r="E1223" s="1" t="s">
        <v>1239</v>
      </c>
      <c r="F1223">
        <v>106777000000</v>
      </c>
      <c r="G1223">
        <v>174986000000</v>
      </c>
      <c r="H1223">
        <v>304427000000</v>
      </c>
      <c r="I1223">
        <v>9765000000</v>
      </c>
      <c r="J1223">
        <v>538877000000</v>
      </c>
      <c r="K1223">
        <v>59857000000</v>
      </c>
      <c r="L1223">
        <v>298360000000</v>
      </c>
      <c r="M1223">
        <v>93390000000</v>
      </c>
      <c r="N1223">
        <v>180660000000</v>
      </c>
      <c r="O1223">
        <v>364216000000</v>
      </c>
      <c r="P1223">
        <v>224065000000</v>
      </c>
      <c r="Q1223">
        <v>153672000000</v>
      </c>
      <c r="R1223">
        <v>122628000000</v>
      </c>
      <c r="S1223">
        <v>25174000000</v>
      </c>
      <c r="T1223">
        <v>269512000000</v>
      </c>
      <c r="U1223">
        <v>-56012000000</v>
      </c>
      <c r="V1223">
        <f t="shared" si="48"/>
        <v>257760000000</v>
      </c>
      <c r="W1223">
        <f t="shared" si="49"/>
        <v>515480000000</v>
      </c>
    </row>
    <row r="1224" spans="1:23" x14ac:dyDescent="0.2">
      <c r="A1224">
        <f>IF(D1224="USD",VLOOKUP(VALUE(RIGHT(E1224,4)),'USD RUB'!$E:$F,2,FALSE),1)</f>
        <v>1</v>
      </c>
      <c r="B1224" s="4">
        <v>1</v>
      </c>
      <c r="C1224">
        <v>1000000</v>
      </c>
      <c r="D1224" t="s">
        <v>20</v>
      </c>
      <c r="E1224" s="1" t="s">
        <v>1240</v>
      </c>
      <c r="F1224">
        <v>130093000000</v>
      </c>
      <c r="G1224">
        <v>197902000000</v>
      </c>
      <c r="H1224">
        <v>299999000000</v>
      </c>
      <c r="I1224">
        <v>8662000000</v>
      </c>
      <c r="J1224">
        <v>554608000000</v>
      </c>
      <c r="K1224">
        <v>85406000000</v>
      </c>
      <c r="L1224">
        <v>326887000000</v>
      </c>
      <c r="M1224">
        <v>32421000000</v>
      </c>
      <c r="N1224">
        <v>142315000000</v>
      </c>
      <c r="O1224">
        <v>249644000000</v>
      </c>
      <c r="P1224">
        <v>153585000000</v>
      </c>
      <c r="Q1224">
        <v>76340000000</v>
      </c>
      <c r="R1224">
        <v>59962000000</v>
      </c>
      <c r="S1224">
        <v>17972000000</v>
      </c>
      <c r="T1224">
        <v>183620000000</v>
      </c>
      <c r="U1224">
        <v>-34706000000</v>
      </c>
      <c r="V1224">
        <f t="shared" si="48"/>
        <v>176113000000</v>
      </c>
      <c r="W1224">
        <f t="shared" si="49"/>
        <v>486238000000</v>
      </c>
    </row>
    <row r="1225" spans="1:23" x14ac:dyDescent="0.2">
      <c r="A1225">
        <f>IF(D1225="USD",VLOOKUP(VALUE(RIGHT(E1225,4)),'USD RUB'!$E:$F,2,FALSE),1)</f>
        <v>1</v>
      </c>
      <c r="B1225" s="4">
        <v>1</v>
      </c>
      <c r="C1225">
        <v>1000000</v>
      </c>
      <c r="D1225" t="s">
        <v>20</v>
      </c>
      <c r="E1225" s="1" t="s">
        <v>1241</v>
      </c>
      <c r="F1225">
        <v>115665000000</v>
      </c>
      <c r="G1225">
        <v>181144000000</v>
      </c>
      <c r="H1225">
        <v>296338000000</v>
      </c>
      <c r="I1225">
        <v>8249000000</v>
      </c>
      <c r="J1225">
        <v>530819000000</v>
      </c>
      <c r="K1225">
        <v>34063000000</v>
      </c>
      <c r="L1225">
        <v>327534000000</v>
      </c>
      <c r="M1225">
        <v>62405000000</v>
      </c>
      <c r="N1225">
        <v>169222000000</v>
      </c>
      <c r="O1225">
        <v>142158000000</v>
      </c>
      <c r="P1225">
        <v>83259000000</v>
      </c>
      <c r="Q1225">
        <v>29023000000</v>
      </c>
      <c r="R1225">
        <v>21620000000</v>
      </c>
      <c r="S1225">
        <v>11126000000</v>
      </c>
      <c r="T1225">
        <v>101955000000</v>
      </c>
      <c r="U1225">
        <v>-22850000000</v>
      </c>
      <c r="V1225">
        <f t="shared" si="48"/>
        <v>106924000000</v>
      </c>
      <c r="W1225">
        <f t="shared" si="49"/>
        <v>457280000000</v>
      </c>
    </row>
    <row r="1226" spans="1:23" x14ac:dyDescent="0.2">
      <c r="A1226">
        <f>IF(D1226="USD",VLOOKUP(VALUE(RIGHT(E1226,4)),'USD RUB'!$E:$F,2,FALSE),1)</f>
        <v>1</v>
      </c>
      <c r="B1226" s="4">
        <v>1</v>
      </c>
      <c r="C1226">
        <v>1000000</v>
      </c>
      <c r="D1226" t="s">
        <v>20</v>
      </c>
      <c r="E1226" s="1" t="s">
        <v>1242</v>
      </c>
      <c r="F1226">
        <v>145949000000</v>
      </c>
      <c r="G1226">
        <v>208524000000</v>
      </c>
      <c r="H1226">
        <v>292687000000</v>
      </c>
      <c r="I1226">
        <v>7940000000</v>
      </c>
      <c r="J1226">
        <v>550731000000</v>
      </c>
      <c r="K1226">
        <v>107758000000</v>
      </c>
      <c r="L1226">
        <v>348724000000</v>
      </c>
      <c r="M1226">
        <v>13020000000</v>
      </c>
      <c r="N1226">
        <v>94249000000</v>
      </c>
      <c r="O1226">
        <v>58999000000</v>
      </c>
      <c r="P1226">
        <v>32867000000</v>
      </c>
      <c r="Q1226">
        <v>-32254000000</v>
      </c>
      <c r="R1226">
        <v>-27716000000</v>
      </c>
      <c r="S1226">
        <v>4902000000</v>
      </c>
      <c r="T1226">
        <v>40166000000</v>
      </c>
      <c r="U1226">
        <v>-11644000000</v>
      </c>
      <c r="V1226">
        <f t="shared" si="48"/>
        <v>49264000000</v>
      </c>
      <c r="W1226">
        <f t="shared" si="49"/>
        <v>464055000000</v>
      </c>
    </row>
    <row r="1227" spans="1:23" x14ac:dyDescent="0.2">
      <c r="A1227">
        <f>IF(D1227="USD",VLOOKUP(VALUE(RIGHT(E1227,4)),'USD RUB'!$E:$F,2,FALSE),1)</f>
        <v>1</v>
      </c>
      <c r="B1227" s="4">
        <v>1</v>
      </c>
      <c r="C1227">
        <v>1000000</v>
      </c>
      <c r="D1227" t="s">
        <v>20</v>
      </c>
      <c r="E1227" s="1" t="s">
        <v>1243</v>
      </c>
      <c r="F1227">
        <v>111483000000</v>
      </c>
      <c r="G1227">
        <v>174893000000</v>
      </c>
      <c r="H1227">
        <v>289719000000</v>
      </c>
      <c r="I1227">
        <v>7586000000</v>
      </c>
      <c r="J1227">
        <v>515480000000</v>
      </c>
      <c r="K1227">
        <v>77533000000</v>
      </c>
      <c r="L1227">
        <v>319506000000</v>
      </c>
      <c r="M1227">
        <v>43745000000</v>
      </c>
      <c r="N1227">
        <v>118441000000</v>
      </c>
      <c r="O1227">
        <v>257760000000</v>
      </c>
      <c r="P1227">
        <v>142359000000</v>
      </c>
      <c r="Q1227">
        <v>152941000000</v>
      </c>
      <c r="R1227">
        <v>124969000000</v>
      </c>
      <c r="S1227">
        <v>23674000000</v>
      </c>
      <c r="T1227">
        <v>172237000000</v>
      </c>
      <c r="U1227">
        <v>-49653000000</v>
      </c>
      <c r="V1227">
        <f t="shared" si="48"/>
        <v>184692000000</v>
      </c>
      <c r="W1227">
        <f t="shared" si="49"/>
        <v>418278000000</v>
      </c>
    </row>
    <row r="1228" spans="1:23" x14ac:dyDescent="0.2">
      <c r="A1228">
        <f>IF(D1228="USD",VLOOKUP(VALUE(RIGHT(E1228,4)),'USD RUB'!$E:$F,2,FALSE),1)</f>
        <v>1</v>
      </c>
      <c r="B1228" s="4">
        <v>1</v>
      </c>
      <c r="C1228">
        <v>1000000</v>
      </c>
      <c r="D1228" t="s">
        <v>20</v>
      </c>
      <c r="E1228" s="1" t="s">
        <v>1244</v>
      </c>
      <c r="F1228">
        <v>99046000000</v>
      </c>
      <c r="G1228">
        <v>161687000000</v>
      </c>
      <c r="H1228">
        <v>281166000000</v>
      </c>
      <c r="I1228">
        <v>6330000000</v>
      </c>
      <c r="J1228">
        <v>486238000000</v>
      </c>
      <c r="K1228">
        <v>96359000000</v>
      </c>
      <c r="L1228">
        <v>316095000000</v>
      </c>
      <c r="M1228">
        <v>-519000000</v>
      </c>
      <c r="N1228">
        <v>73784000000</v>
      </c>
      <c r="O1228">
        <v>176113000000</v>
      </c>
      <c r="P1228">
        <v>96387000000</v>
      </c>
      <c r="Q1228">
        <v>98415000000</v>
      </c>
      <c r="R1228">
        <v>80802000000</v>
      </c>
      <c r="S1228">
        <v>16987000000</v>
      </c>
      <c r="T1228">
        <v>116228000000</v>
      </c>
      <c r="U1228">
        <v>-35305000000</v>
      </c>
      <c r="V1228">
        <f t="shared" si="48"/>
        <v>133082000000</v>
      </c>
      <c r="W1228">
        <f t="shared" si="49"/>
        <v>411692000000</v>
      </c>
    </row>
    <row r="1229" spans="1:23" x14ac:dyDescent="0.2">
      <c r="A1229">
        <f>IF(D1229="USD",VLOOKUP(VALUE(RIGHT(E1229,4)),'USD RUB'!$E:$F,2,FALSE),1)</f>
        <v>1</v>
      </c>
      <c r="B1229" s="4">
        <v>1</v>
      </c>
      <c r="C1229">
        <v>1000000</v>
      </c>
      <c r="D1229" t="s">
        <v>20</v>
      </c>
      <c r="E1229" s="1" t="s">
        <v>1245</v>
      </c>
      <c r="F1229">
        <v>78777000000</v>
      </c>
      <c r="G1229">
        <v>140053000000</v>
      </c>
      <c r="H1229">
        <v>275440000000</v>
      </c>
      <c r="I1229">
        <v>5685000000</v>
      </c>
      <c r="J1229">
        <v>457280000000</v>
      </c>
      <c r="K1229">
        <v>73969000000</v>
      </c>
      <c r="L1229">
        <v>307460000000</v>
      </c>
      <c r="M1229">
        <v>2979000000</v>
      </c>
      <c r="N1229">
        <v>75851000000</v>
      </c>
      <c r="O1229">
        <v>106924000000</v>
      </c>
      <c r="P1229">
        <v>58250000000</v>
      </c>
      <c r="Q1229">
        <v>74030000000</v>
      </c>
      <c r="R1229">
        <v>61576000000</v>
      </c>
      <c r="S1229">
        <v>10877000000</v>
      </c>
      <c r="T1229">
        <v>70670000000</v>
      </c>
      <c r="U1229">
        <v>-21926000000</v>
      </c>
      <c r="V1229">
        <f t="shared" si="48"/>
        <v>78288000000</v>
      </c>
      <c r="W1229">
        <f t="shared" si="49"/>
        <v>390067000000</v>
      </c>
    </row>
    <row r="1230" spans="1:23" x14ac:dyDescent="0.2">
      <c r="A1230">
        <f>IF(D1230="USD",VLOOKUP(VALUE(RIGHT(E1230,4)),'USD RUB'!$E:$F,2,FALSE),1)</f>
        <v>1</v>
      </c>
      <c r="B1230" s="4">
        <v>1</v>
      </c>
      <c r="C1230">
        <v>1000000</v>
      </c>
      <c r="D1230" t="s">
        <v>20</v>
      </c>
      <c r="E1230" s="1" t="s">
        <v>1246</v>
      </c>
      <c r="F1230">
        <v>101048000000</v>
      </c>
      <c r="G1230">
        <v>157637000000</v>
      </c>
      <c r="H1230">
        <v>267220000000</v>
      </c>
      <c r="I1230">
        <v>5319000000</v>
      </c>
      <c r="J1230">
        <v>464055000000</v>
      </c>
      <c r="K1230">
        <v>58536000000</v>
      </c>
      <c r="L1230">
        <v>337496000000</v>
      </c>
      <c r="M1230">
        <v>-4514000000</v>
      </c>
      <c r="N1230">
        <v>68023000000</v>
      </c>
      <c r="O1230">
        <v>49264000000</v>
      </c>
      <c r="P1230">
        <v>25810000000</v>
      </c>
      <c r="Q1230">
        <v>41470000000</v>
      </c>
      <c r="R1230">
        <v>34780000000</v>
      </c>
      <c r="S1230">
        <v>5394000000</v>
      </c>
      <c r="T1230">
        <v>31925000000</v>
      </c>
      <c r="U1230">
        <v>-9695000000</v>
      </c>
      <c r="V1230">
        <f t="shared" si="48"/>
        <v>38790238799.66777</v>
      </c>
      <c r="W1230">
        <f t="shared" si="49"/>
        <v>413050030654.48499</v>
      </c>
    </row>
    <row r="1231" spans="1:23" x14ac:dyDescent="0.2">
      <c r="A1231">
        <f>IF(D1231="USD",VLOOKUP(VALUE(RIGHT(E1231,4)),'USD RUB'!$E:$F,2,FALSE),1)</f>
        <v>1</v>
      </c>
      <c r="B1231" s="4">
        <v>1</v>
      </c>
      <c r="C1231">
        <v>1000000</v>
      </c>
      <c r="D1231" t="s">
        <v>20</v>
      </c>
      <c r="E1231" s="1" t="s">
        <v>1247</v>
      </c>
      <c r="F1231">
        <v>62263000000</v>
      </c>
      <c r="G1231">
        <v>121985000000</v>
      </c>
      <c r="H1231">
        <v>258456000000</v>
      </c>
      <c r="J1231">
        <v>418278000000</v>
      </c>
      <c r="K1231">
        <v>63810000000</v>
      </c>
      <c r="L1231">
        <v>323336000000</v>
      </c>
      <c r="M1231">
        <v>-38691000000</v>
      </c>
      <c r="N1231">
        <v>31132000000</v>
      </c>
      <c r="O1231">
        <v>184692000000</v>
      </c>
      <c r="P1231">
        <v>96601000000</v>
      </c>
      <c r="Q1231">
        <v>34194000000</v>
      </c>
      <c r="R1231">
        <v>29266000000</v>
      </c>
      <c r="S1231">
        <v>15066000000</v>
      </c>
      <c r="T1231">
        <v>118381000000</v>
      </c>
      <c r="U1231">
        <v>-51086000000</v>
      </c>
      <c r="V1231">
        <f t="shared" si="48"/>
        <v>158669265299.00983</v>
      </c>
      <c r="W1231">
        <f t="shared" si="49"/>
        <v>375942945013.86121</v>
      </c>
    </row>
    <row r="1232" spans="1:23" x14ac:dyDescent="0.2">
      <c r="A1232">
        <f>IF(D1232="USD",VLOOKUP(VALUE(RIGHT(E1232,4)),'USD RUB'!$E:$F,2,FALSE),1)</f>
        <v>1</v>
      </c>
      <c r="B1232" s="4">
        <v>1</v>
      </c>
      <c r="C1232">
        <v>1000000</v>
      </c>
      <c r="D1232" t="s">
        <v>20</v>
      </c>
      <c r="E1232" s="1" t="s">
        <v>1248</v>
      </c>
      <c r="F1232">
        <v>65600000000</v>
      </c>
      <c r="G1232">
        <v>124336000000</v>
      </c>
      <c r="H1232">
        <v>250975000000</v>
      </c>
      <c r="J1232">
        <v>411692000000</v>
      </c>
      <c r="K1232">
        <v>74368000000</v>
      </c>
      <c r="L1232">
        <v>304987000000</v>
      </c>
      <c r="M1232">
        <v>-36217000000</v>
      </c>
      <c r="N1232">
        <v>32337000000</v>
      </c>
      <c r="O1232">
        <v>133082000000</v>
      </c>
      <c r="P1232">
        <v>72204000000</v>
      </c>
      <c r="Q1232">
        <v>33390000000</v>
      </c>
      <c r="R1232">
        <v>31272000000</v>
      </c>
      <c r="S1232">
        <v>9504000000</v>
      </c>
      <c r="T1232">
        <v>85944000000</v>
      </c>
      <c r="U1232">
        <v>-35910000000</v>
      </c>
      <c r="V1232">
        <f t="shared" si="48"/>
        <v>115342817626.40259</v>
      </c>
      <c r="W1232">
        <f t="shared" si="49"/>
        <v>352209614996.69952</v>
      </c>
    </row>
    <row r="1233" spans="1:23" x14ac:dyDescent="0.2">
      <c r="A1233">
        <f>IF(D1233="USD",VLOOKUP(VALUE(RIGHT(E1233,4)),'USD RUB'!$E:$F,2,FALSE),1)</f>
        <v>1</v>
      </c>
      <c r="B1233" s="4">
        <v>1</v>
      </c>
      <c r="C1233">
        <v>1000000</v>
      </c>
      <c r="D1233" t="s">
        <v>20</v>
      </c>
      <c r="E1233" s="1" t="s">
        <v>1249</v>
      </c>
      <c r="F1233">
        <v>56962000000</v>
      </c>
      <c r="G1233">
        <v>105777000000</v>
      </c>
      <c r="H1233">
        <v>250056000000</v>
      </c>
      <c r="J1233">
        <v>390067000000</v>
      </c>
      <c r="K1233">
        <v>87529000000</v>
      </c>
      <c r="L1233">
        <v>262630000000</v>
      </c>
      <c r="M1233">
        <v>-27951000000</v>
      </c>
      <c r="N1233">
        <v>39908000000</v>
      </c>
      <c r="O1233">
        <v>78288000000</v>
      </c>
      <c r="P1233">
        <v>43063000000</v>
      </c>
      <c r="Q1233">
        <v>20229000000</v>
      </c>
      <c r="R1233">
        <v>21627000000</v>
      </c>
      <c r="S1233">
        <v>5069000000</v>
      </c>
      <c r="T1233">
        <v>50617000000</v>
      </c>
      <c r="U1233">
        <v>-23491000000</v>
      </c>
      <c r="V1233">
        <f t="shared" si="48"/>
        <v>71958057103.630341</v>
      </c>
      <c r="W1233">
        <f t="shared" si="49"/>
        <v>368945402994.05927</v>
      </c>
    </row>
    <row r="1234" spans="1:23" x14ac:dyDescent="0.2">
      <c r="A1234">
        <f>IF(D1234="USD",VLOOKUP(VALUE(RIGHT(E1234,4)),'USD RUB'!$E:$F,2,FALSE),1)</f>
        <v>62.869106644518261</v>
      </c>
      <c r="B1234" s="4">
        <v>62.869106644518261</v>
      </c>
      <c r="C1234">
        <v>1000000</v>
      </c>
      <c r="D1234" t="s">
        <v>111</v>
      </c>
      <c r="E1234" s="1" t="s">
        <v>1250</v>
      </c>
      <c r="F1234">
        <v>68841671775.747498</v>
      </c>
      <c r="G1234">
        <v>116873669252.15945</v>
      </c>
      <c r="H1234">
        <v>263170080413.95343</v>
      </c>
      <c r="J1234">
        <v>413050030654.48499</v>
      </c>
      <c r="K1234">
        <v>25650595510.963451</v>
      </c>
      <c r="L1234">
        <v>330691500950.16608</v>
      </c>
      <c r="M1234">
        <v>104739931669.76743</v>
      </c>
      <c r="N1234">
        <v>56707934193.355469</v>
      </c>
      <c r="O1234">
        <v>38790238799.66777</v>
      </c>
      <c r="P1234">
        <v>20872543405.980064</v>
      </c>
      <c r="Q1234">
        <v>19300815739.867107</v>
      </c>
      <c r="R1234">
        <v>15340062021.262455</v>
      </c>
      <c r="S1234">
        <v>2703371585.7142854</v>
      </c>
      <c r="T1234">
        <v>24330344271.428566</v>
      </c>
      <c r="U1234">
        <v>-12007999369.102987</v>
      </c>
      <c r="V1234">
        <f t="shared" si="48"/>
        <v>35512525750.495033</v>
      </c>
      <c r="W1234">
        <f t="shared" si="49"/>
        <v>345620262928.05267</v>
      </c>
    </row>
    <row r="1235" spans="1:23" x14ac:dyDescent="0.2">
      <c r="A1235">
        <f>IF(D1235="USD",VLOOKUP(VALUE(RIGHT(E1235,4)),'USD RUB'!$E:$F,2,FALSE),1)</f>
        <v>58.312850165016478</v>
      </c>
      <c r="B1235" s="4">
        <v>58.312850165016478</v>
      </c>
      <c r="C1235">
        <v>1000000</v>
      </c>
      <c r="D1235" t="s">
        <v>111</v>
      </c>
      <c r="E1235" s="1" t="s">
        <v>1251</v>
      </c>
      <c r="F1235">
        <v>70208671598.67984</v>
      </c>
      <c r="G1235">
        <v>110152973961.71613</v>
      </c>
      <c r="H1235">
        <v>233542964910.89099</v>
      </c>
      <c r="J1235">
        <v>375942945013.86121</v>
      </c>
      <c r="K1235">
        <v>24316458518.811871</v>
      </c>
      <c r="L1235">
        <v>313373256786.79852</v>
      </c>
      <c r="M1235">
        <v>83095811485.148483</v>
      </c>
      <c r="N1235">
        <v>38253229708.250809</v>
      </c>
      <c r="O1235">
        <v>158669265299.00983</v>
      </c>
      <c r="P1235">
        <v>84845196990.098969</v>
      </c>
      <c r="Q1235">
        <v>89276973602.640228</v>
      </c>
      <c r="R1235">
        <v>72366247054.785446</v>
      </c>
      <c r="S1235">
        <v>10379687329.372932</v>
      </c>
      <c r="T1235">
        <v>99248470980.858047</v>
      </c>
      <c r="U1235">
        <v>-48457978487.128693</v>
      </c>
      <c r="V1235">
        <f t="shared" si="48"/>
        <v>163273000000</v>
      </c>
      <c r="W1235">
        <f t="shared" si="49"/>
        <v>343696000000</v>
      </c>
    </row>
    <row r="1236" spans="1:23" x14ac:dyDescent="0.2">
      <c r="A1236">
        <f>IF(D1236="USD",VLOOKUP(VALUE(RIGHT(E1236,4)),'USD RUB'!$E:$F,2,FALSE),1)</f>
        <v>58.312850165016478</v>
      </c>
      <c r="B1236" s="4">
        <v>58.312850165016478</v>
      </c>
      <c r="C1236">
        <v>1000000</v>
      </c>
      <c r="D1236" t="s">
        <v>111</v>
      </c>
      <c r="E1236" s="1" t="s">
        <v>1252</v>
      </c>
      <c r="F1236">
        <v>65368705034.983475</v>
      </c>
      <c r="G1236">
        <v>104380001795.3795</v>
      </c>
      <c r="H1236">
        <v>215815858460.72598</v>
      </c>
      <c r="J1236">
        <v>352209614996.69952</v>
      </c>
      <c r="K1236">
        <v>21284190310.231014</v>
      </c>
      <c r="L1236">
        <v>308416664522.77216</v>
      </c>
      <c r="M1236">
        <v>67293029090.429016</v>
      </c>
      <c r="N1236">
        <v>22508760163.696362</v>
      </c>
      <c r="O1236">
        <v>115342817626.40259</v>
      </c>
      <c r="P1236">
        <v>62044872575.57753</v>
      </c>
      <c r="Q1236">
        <v>66826526289.108887</v>
      </c>
      <c r="R1236">
        <v>56796716060.726051</v>
      </c>
      <c r="S1236">
        <v>7522357671.2871256</v>
      </c>
      <c r="T1236">
        <v>72132995654.125381</v>
      </c>
      <c r="U1236">
        <v>-29739553584.158405</v>
      </c>
      <c r="V1236">
        <f t="shared" si="48"/>
        <v>119893215842.55309</v>
      </c>
      <c r="W1236">
        <f t="shared" si="49"/>
        <v>346134664529.78693</v>
      </c>
    </row>
    <row r="1237" spans="1:23" x14ac:dyDescent="0.2">
      <c r="A1237">
        <f>IF(D1237="USD",VLOOKUP(VALUE(RIGHT(E1237,4)),'USD RUB'!$E:$F,2,FALSE),1)</f>
        <v>58.312850165016478</v>
      </c>
      <c r="B1237" s="4">
        <v>58.312850165016478</v>
      </c>
      <c r="C1237">
        <v>1000000</v>
      </c>
      <c r="D1237" t="s">
        <v>111</v>
      </c>
      <c r="E1237" s="1" t="s">
        <v>1253</v>
      </c>
      <c r="F1237">
        <v>86128079693.72934</v>
      </c>
      <c r="G1237">
        <v>146540192464.6864</v>
      </c>
      <c r="H1237">
        <v>192082528443.56427</v>
      </c>
      <c r="J1237">
        <v>368945402994.05927</v>
      </c>
      <c r="K1237">
        <v>39302861011.221107</v>
      </c>
      <c r="L1237">
        <v>317571781998.67975</v>
      </c>
      <c r="M1237">
        <v>60237174220.462021</v>
      </c>
      <c r="N1237">
        <v>12070759984.158411</v>
      </c>
      <c r="O1237">
        <v>71958057103.630341</v>
      </c>
      <c r="P1237">
        <v>38136604007.920776</v>
      </c>
      <c r="Q1237">
        <v>40818995115.511536</v>
      </c>
      <c r="R1237">
        <v>35162648649.504936</v>
      </c>
      <c r="S1237">
        <v>4781653713.5313511</v>
      </c>
      <c r="T1237">
        <v>44434391825.742554</v>
      </c>
      <c r="U1237">
        <v>-16735787997.35973</v>
      </c>
      <c r="V1237">
        <f t="shared" si="48"/>
        <v>72552829721.276535</v>
      </c>
      <c r="W1237">
        <f t="shared" si="49"/>
        <v>330913322249.99969</v>
      </c>
    </row>
    <row r="1238" spans="1:23" x14ac:dyDescent="0.2">
      <c r="A1238">
        <f>IF(D1238="USD",VLOOKUP(VALUE(RIGHT(E1238,4)),'USD RUB'!$E:$F,2,FALSE),1)</f>
        <v>58.312850165016478</v>
      </c>
      <c r="B1238" s="4">
        <v>58.312850165016478</v>
      </c>
      <c r="C1238">
        <v>1000000</v>
      </c>
      <c r="D1238" t="s">
        <v>111</v>
      </c>
      <c r="E1238" s="1" t="s">
        <v>1254</v>
      </c>
      <c r="F1238">
        <v>86711208195.379501</v>
      </c>
      <c r="G1238">
        <v>120532661291.08907</v>
      </c>
      <c r="H1238">
        <v>199779824665.34647</v>
      </c>
      <c r="J1238">
        <v>345620262928.05267</v>
      </c>
      <c r="K1238">
        <v>21459128860.726063</v>
      </c>
      <c r="L1238">
        <v>320312485956.43549</v>
      </c>
      <c r="M1238">
        <v>240307255530.0329</v>
      </c>
      <c r="N1238">
        <v>3848648110.8910875</v>
      </c>
      <c r="O1238">
        <v>35512525750.495033</v>
      </c>
      <c r="P1238">
        <v>19243240554.455437</v>
      </c>
      <c r="Q1238">
        <v>33588201695.049492</v>
      </c>
      <c r="R1238">
        <v>29098112232.343224</v>
      </c>
      <c r="S1238">
        <v>2274201156.4356427</v>
      </c>
      <c r="T1238">
        <v>22333821613.201309</v>
      </c>
      <c r="U1238">
        <v>-6589352068.646862</v>
      </c>
      <c r="V1238" t="str">
        <f t="shared" si="48"/>
        <v/>
      </c>
      <c r="W1238" t="str">
        <f t="shared" si="49"/>
        <v/>
      </c>
    </row>
    <row r="1239" spans="1:23" s="17" customFormat="1" x14ac:dyDescent="0.2">
      <c r="A1239" s="17">
        <f>IF(D1239="USD",VLOOKUP(VALUE(RIGHT(E1239,4)),'USD RUB'!$E:$F,2,FALSE),1)</f>
        <v>1</v>
      </c>
      <c r="B1239" s="17">
        <f>IF(E1239="USD",VLOOKUP(VALUE(RIGHT(F1239,4)),'USD RUB'!$E:$F,2,FALSE),1)</f>
        <v>1</v>
      </c>
      <c r="C1239" s="17">
        <v>1000000</v>
      </c>
      <c r="D1239" s="17" t="s">
        <v>20</v>
      </c>
      <c r="E1239" s="19" t="s">
        <v>1255</v>
      </c>
      <c r="F1239" s="17">
        <f>(105536)*1000000</f>
        <v>105536000000</v>
      </c>
      <c r="G1239" s="17">
        <f>(139236)*1000000</f>
        <v>139236000000</v>
      </c>
      <c r="H1239" s="17">
        <f>(178198)*1000000</f>
        <v>178198000000</v>
      </c>
      <c r="J1239" s="17">
        <f>(343696)*1000000</f>
        <v>343696000000</v>
      </c>
      <c r="K1239" s="17">
        <f>(36300)*1000000</f>
        <v>36300000000</v>
      </c>
      <c r="L1239" s="17">
        <f>(332525)*1000000</f>
        <v>332525000000</v>
      </c>
      <c r="M1239" s="17">
        <f>(165346)*1000000</f>
        <v>165346000000</v>
      </c>
      <c r="N1239" s="17">
        <f>(-25129)*1000000</f>
        <v>-25129000000</v>
      </c>
      <c r="O1239" s="17">
        <f>(163273)*1000000</f>
        <v>163273000000</v>
      </c>
      <c r="P1239" s="17">
        <f>(90816)*1000000</f>
        <v>90816000000</v>
      </c>
      <c r="Q1239" s="17">
        <f>(117104)*1000000</f>
        <v>117104000000</v>
      </c>
      <c r="R1239" s="17">
        <f>(95263)*1000000</f>
        <v>95263000000</v>
      </c>
      <c r="S1239" s="17">
        <f>(9854)*1000000</f>
        <v>9854000000</v>
      </c>
      <c r="U1239" s="17">
        <f>(-26760)*1000000</f>
        <v>-26760000000</v>
      </c>
      <c r="V1239" s="17">
        <f t="shared" si="48"/>
        <v>134076613885.71429</v>
      </c>
      <c r="W1239" s="17">
        <f t="shared" si="49"/>
        <v>302330820529.87012</v>
      </c>
    </row>
    <row r="1240" spans="1:23" x14ac:dyDescent="0.2">
      <c r="A1240">
        <f>IF(D1240="USD",VLOOKUP(VALUE(RIGHT(E1240,4)),'USD RUB'!$E:$F,2,FALSE),1)</f>
        <v>67.054371276595688</v>
      </c>
      <c r="B1240" s="4">
        <v>67.054371276595688</v>
      </c>
      <c r="C1240">
        <v>1000000</v>
      </c>
      <c r="D1240" t="s">
        <v>111</v>
      </c>
      <c r="E1240" s="1" t="s">
        <v>1256</v>
      </c>
      <c r="F1240">
        <v>114662974882.97862</v>
      </c>
      <c r="G1240">
        <v>151073498486.17007</v>
      </c>
      <c r="H1240">
        <v>172329734180.85092</v>
      </c>
      <c r="J1240">
        <v>346134664529.78693</v>
      </c>
      <c r="K1240">
        <v>33326022524.468056</v>
      </c>
      <c r="L1240">
        <v>376376185975.53162</v>
      </c>
      <c r="M1240">
        <v>205186376106.38281</v>
      </c>
      <c r="N1240">
        <v>-63567543970.212715</v>
      </c>
      <c r="O1240">
        <v>119893215842.55309</v>
      </c>
      <c r="P1240">
        <v>68328404330.851006</v>
      </c>
      <c r="Q1240">
        <v>77648961938.297806</v>
      </c>
      <c r="R1240">
        <v>59611336064.89357</v>
      </c>
      <c r="T1240">
        <v>76106711398.936111</v>
      </c>
      <c r="U1240">
        <v>7308926469.1489296</v>
      </c>
      <c r="V1240" t="str">
        <f t="shared" si="48"/>
        <v/>
      </c>
      <c r="W1240" t="str">
        <f t="shared" si="49"/>
        <v/>
      </c>
    </row>
    <row r="1241" spans="1:23" x14ac:dyDescent="0.2">
      <c r="A1241">
        <f>IF(D1241="USD",VLOOKUP(VALUE(RIGHT(E1241,4)),'USD RUB'!$E:$F,2,FALSE),1)</f>
        <v>67.054371276595688</v>
      </c>
      <c r="B1241" s="4">
        <v>67.054371276595688</v>
      </c>
      <c r="C1241">
        <v>1000000</v>
      </c>
      <c r="D1241" t="s">
        <v>111</v>
      </c>
      <c r="E1241" s="1" t="s">
        <v>1257</v>
      </c>
      <c r="F1241">
        <v>92669141104.255234</v>
      </c>
      <c r="G1241">
        <v>144904496328.7233</v>
      </c>
      <c r="H1241">
        <v>163746774657.44669</v>
      </c>
      <c r="J1241">
        <v>330913322249.99969</v>
      </c>
      <c r="K1241">
        <v>26017096055.319126</v>
      </c>
      <c r="L1241">
        <v>374833935436.16992</v>
      </c>
      <c r="M1241">
        <v>180577421847.87219</v>
      </c>
      <c r="N1241">
        <v>-69937709241.489304</v>
      </c>
      <c r="O1241">
        <v>72552829721.276535</v>
      </c>
      <c r="P1241">
        <v>41439601448.936134</v>
      </c>
      <c r="Q1241">
        <v>45462863725.531876</v>
      </c>
      <c r="R1241">
        <v>33460131267.021248</v>
      </c>
      <c r="T1241">
        <v>46334570552.127617</v>
      </c>
      <c r="U1241">
        <v>12472113057.446798</v>
      </c>
      <c r="V1241">
        <f t="shared" ref="V1241:V1304" si="50">_xlfn.XLOOKUP(LEFT(E1241,LEN(E1241)-4)&amp;(VALUE(RIGHT(E1241,4))-1),$E:$E,$O:$O,"")</f>
        <v>62413919392.207794</v>
      </c>
      <c r="W1241">
        <f t="shared" ref="W1241:W1304" si="51">_xlfn.XLOOKUP(LEFT(E1241,LEN(E1241)-4)&amp;(VALUE(RIGHT(E1241,4))-1),$E:$E,$J:$J,"")</f>
        <v>294919550415.58441</v>
      </c>
    </row>
    <row r="1242" spans="1:23" x14ac:dyDescent="0.2">
      <c r="A1242">
        <f>IF(D1242="USD",VLOOKUP(VALUE(RIGHT(E1242,4)),'USD RUB'!$E:$F,2,FALSE),1)</f>
        <v>61.250166233766237</v>
      </c>
      <c r="B1242" s="4">
        <v>61.250166233766237</v>
      </c>
      <c r="C1242">
        <v>1000000</v>
      </c>
      <c r="D1242" t="s">
        <v>111</v>
      </c>
      <c r="E1242" s="1" t="s">
        <v>1258</v>
      </c>
      <c r="F1242">
        <v>124889088950.64935</v>
      </c>
      <c r="G1242">
        <v>150859159433.76624</v>
      </c>
      <c r="H1242">
        <v>123909086290.9091</v>
      </c>
      <c r="J1242">
        <v>302330820529.87012</v>
      </c>
      <c r="K1242">
        <v>13291286072.727274</v>
      </c>
      <c r="L1242">
        <v>174072972436.36365</v>
      </c>
      <c r="M1242">
        <v>129054100254.54546</v>
      </c>
      <c r="N1242">
        <v>114966562020.77922</v>
      </c>
      <c r="O1242">
        <v>134076613885.71429</v>
      </c>
      <c r="P1242">
        <v>69886439672.72728</v>
      </c>
      <c r="Q1242">
        <v>80421468264.935074</v>
      </c>
      <c r="R1242">
        <v>68538936015.584419</v>
      </c>
      <c r="T1242">
        <v>77665210784.415588</v>
      </c>
      <c r="U1242">
        <v>16415044550.649351</v>
      </c>
      <c r="V1242">
        <f t="shared" si="50"/>
        <v>86787027445.247131</v>
      </c>
      <c r="W1242">
        <f t="shared" si="51"/>
        <v>186597923234.22049</v>
      </c>
    </row>
    <row r="1243" spans="1:23" x14ac:dyDescent="0.2">
      <c r="A1243">
        <f>IF(D1243="USD",VLOOKUP(VALUE(RIGHT(E1243,4)),'USD RUB'!$E:$F,2,FALSE),1)</f>
        <v>61.250166233766237</v>
      </c>
      <c r="B1243" s="4">
        <v>61.250166233766237</v>
      </c>
      <c r="C1243">
        <v>1000000</v>
      </c>
      <c r="D1243" t="s">
        <v>111</v>
      </c>
      <c r="E1243" s="1" t="s">
        <v>1259</v>
      </c>
      <c r="F1243">
        <v>81340220758.441559</v>
      </c>
      <c r="G1243">
        <v>117355318503.8961</v>
      </c>
      <c r="H1243">
        <v>59780162244.155846</v>
      </c>
      <c r="J1243">
        <v>294919550415.58441</v>
      </c>
      <c r="K1243">
        <v>27256323974.025974</v>
      </c>
      <c r="L1243">
        <v>141426633833.76624</v>
      </c>
      <c r="M1243">
        <v>99592770296.103897</v>
      </c>
      <c r="N1243">
        <v>126236592607.79222</v>
      </c>
      <c r="O1243">
        <v>62413919392.207794</v>
      </c>
      <c r="P1243">
        <v>32523838270.129871</v>
      </c>
      <c r="Q1243">
        <v>40363859548.051949</v>
      </c>
      <c r="R1243">
        <v>35708846914.285713</v>
      </c>
      <c r="T1243">
        <v>36076347911.688316</v>
      </c>
      <c r="U1243">
        <v>5880015958.4415588</v>
      </c>
      <c r="V1243">
        <f t="shared" si="50"/>
        <v>39032843518.250946</v>
      </c>
      <c r="W1243">
        <f t="shared" si="51"/>
        <v>239933765022.81366</v>
      </c>
    </row>
    <row r="1244" spans="1:23" x14ac:dyDescent="0.2">
      <c r="A1244">
        <f>IF(D1244="USD",VLOOKUP(VALUE(RIGHT(E1244,4)),'USD RUB'!$E:$F,2,FALSE),1)</f>
        <v>38.761512927756648</v>
      </c>
      <c r="B1244" s="4">
        <v>38.761512927756648</v>
      </c>
      <c r="C1244">
        <v>1000000</v>
      </c>
      <c r="D1244" t="s">
        <v>111</v>
      </c>
      <c r="E1244" s="1" t="s">
        <v>1260</v>
      </c>
      <c r="F1244">
        <v>47172761233.079842</v>
      </c>
      <c r="G1244">
        <v>78065687036.501892</v>
      </c>
      <c r="H1244">
        <v>36823437281.368813</v>
      </c>
      <c r="J1244">
        <v>186597923234.22049</v>
      </c>
      <c r="K1244">
        <v>32055771191.254749</v>
      </c>
      <c r="L1244">
        <v>91748501099.999985</v>
      </c>
      <c r="M1244">
        <v>48761983263.117867</v>
      </c>
      <c r="N1244">
        <v>62793650942.965767</v>
      </c>
      <c r="O1244">
        <v>86787027445.247131</v>
      </c>
      <c r="P1244">
        <v>32792239936.882126</v>
      </c>
      <c r="Q1244">
        <v>1550460517.110266</v>
      </c>
      <c r="R1244">
        <v>-7054595352.8517103</v>
      </c>
      <c r="T1244">
        <v>39187889569.961967</v>
      </c>
      <c r="U1244">
        <v>20349794287.072239</v>
      </c>
      <c r="V1244">
        <f t="shared" si="50"/>
        <v>74126000000</v>
      </c>
      <c r="W1244">
        <f t="shared" si="51"/>
        <v>190395000000</v>
      </c>
    </row>
    <row r="1245" spans="1:23" x14ac:dyDescent="0.2">
      <c r="A1245">
        <f>IF(D1245="USD",VLOOKUP(VALUE(RIGHT(E1245,4)),'USD RUB'!$E:$F,2,FALSE),1)</f>
        <v>38.761512927756648</v>
      </c>
      <c r="B1245" s="4">
        <v>38.761512927756648</v>
      </c>
      <c r="C1245">
        <v>1000000</v>
      </c>
      <c r="D1245" t="s">
        <v>111</v>
      </c>
      <c r="E1245" s="1" t="s">
        <v>1261</v>
      </c>
      <c r="F1245">
        <v>33916323811.787067</v>
      </c>
      <c r="G1245">
        <v>83531060359.315582</v>
      </c>
      <c r="H1245">
        <v>55894101641.825089</v>
      </c>
      <c r="J1245">
        <v>239933765022.81366</v>
      </c>
      <c r="K1245">
        <v>16589927533.079845</v>
      </c>
      <c r="L1245">
        <v>64460395998.859306</v>
      </c>
      <c r="M1245">
        <v>83841152462.737625</v>
      </c>
      <c r="N1245">
        <v>158883441490.87451</v>
      </c>
      <c r="O1245">
        <v>39032843518.250946</v>
      </c>
      <c r="P1245">
        <v>10775700593.916348</v>
      </c>
      <c r="Q1245">
        <v>12442445649.809883</v>
      </c>
      <c r="R1245">
        <v>9806662770.7224312</v>
      </c>
      <c r="T1245">
        <v>15233274580.608362</v>
      </c>
      <c r="U1245">
        <v>11124554210.266157</v>
      </c>
      <c r="V1245">
        <f t="shared" si="50"/>
        <v>31748000000</v>
      </c>
      <c r="W1245">
        <f t="shared" si="51"/>
        <v>160092000000</v>
      </c>
    </row>
    <row r="1246" spans="1:23" x14ac:dyDescent="0.2">
      <c r="A1246">
        <f>IF(D1246="USD",VLOOKUP(VALUE(RIGHT(E1246,4)),'USD RUB'!$E:$F,2,FALSE),1)</f>
        <v>1</v>
      </c>
      <c r="B1246" s="4">
        <v>1</v>
      </c>
      <c r="C1246">
        <v>1000000</v>
      </c>
      <c r="D1246" t="s">
        <v>20</v>
      </c>
      <c r="E1246" s="1" t="s">
        <v>1262</v>
      </c>
      <c r="F1246">
        <v>25899000000</v>
      </c>
      <c r="G1246">
        <v>65282000000</v>
      </c>
      <c r="H1246">
        <v>49277000000</v>
      </c>
      <c r="J1246">
        <v>190395000000</v>
      </c>
      <c r="K1246">
        <v>17544000000</v>
      </c>
      <c r="L1246">
        <v>37892000000</v>
      </c>
      <c r="N1246">
        <v>134959000000</v>
      </c>
      <c r="O1246">
        <v>74126000000</v>
      </c>
      <c r="P1246">
        <v>8273000000</v>
      </c>
      <c r="Q1246">
        <v>2300000000</v>
      </c>
      <c r="R1246">
        <v>-807000000</v>
      </c>
      <c r="T1246">
        <v>910000000</v>
      </c>
      <c r="V1246">
        <f t="shared" si="50"/>
        <v>83327000000</v>
      </c>
      <c r="W1246">
        <f t="shared" si="51"/>
        <v>171120000000</v>
      </c>
    </row>
    <row r="1247" spans="1:23" x14ac:dyDescent="0.2">
      <c r="A1247">
        <f>IF(D1247="USD",VLOOKUP(VALUE(RIGHT(E1247,4)),'USD RUB'!$E:$F,2,FALSE),1)</f>
        <v>1</v>
      </c>
      <c r="B1247" s="4">
        <v>1</v>
      </c>
      <c r="C1247">
        <v>1000000</v>
      </c>
      <c r="D1247" t="s">
        <v>20</v>
      </c>
      <c r="E1247" s="1" t="s">
        <v>1263</v>
      </c>
      <c r="F1247">
        <v>21829000000</v>
      </c>
      <c r="G1247">
        <v>58048000000</v>
      </c>
      <c r="H1247">
        <v>48274000000</v>
      </c>
      <c r="J1247">
        <v>160092000000</v>
      </c>
      <c r="K1247">
        <v>17681000000</v>
      </c>
      <c r="L1247">
        <v>17482000000</v>
      </c>
      <c r="N1247">
        <v>124929000000</v>
      </c>
      <c r="O1247">
        <v>31748000000</v>
      </c>
      <c r="P1247">
        <v>-5475000000</v>
      </c>
      <c r="Q1247">
        <v>-10811000000</v>
      </c>
      <c r="R1247">
        <v>-11572000000</v>
      </c>
      <c r="T1247">
        <v>417000000</v>
      </c>
      <c r="V1247">
        <f t="shared" si="50"/>
        <v>38919399234.758598</v>
      </c>
      <c r="W1247">
        <f t="shared" si="51"/>
        <v>144436596431.19992</v>
      </c>
    </row>
    <row r="1248" spans="1:23" x14ac:dyDescent="0.2">
      <c r="A1248">
        <f>IF(D1248="USD",VLOOKUP(VALUE(RIGHT(E1248,4)),'USD RUB'!$E:$F,2,FALSE),1)</f>
        <v>1</v>
      </c>
      <c r="B1248" s="4">
        <v>1</v>
      </c>
      <c r="C1248">
        <v>1000000</v>
      </c>
      <c r="D1248" t="s">
        <v>20</v>
      </c>
      <c r="E1248" s="1" t="s">
        <v>1264</v>
      </c>
      <c r="F1248">
        <v>27044000000</v>
      </c>
      <c r="G1248">
        <v>72707000000</v>
      </c>
      <c r="H1248">
        <v>59230000000</v>
      </c>
      <c r="J1248">
        <v>171120000000</v>
      </c>
      <c r="K1248">
        <v>24463000000</v>
      </c>
      <c r="L1248">
        <v>10681000000</v>
      </c>
      <c r="N1248">
        <v>135976000000</v>
      </c>
      <c r="O1248">
        <v>83327000000</v>
      </c>
      <c r="P1248">
        <v>37248000000</v>
      </c>
      <c r="Q1248">
        <v>35182000000</v>
      </c>
      <c r="R1248">
        <v>27733000000</v>
      </c>
      <c r="V1248">
        <f t="shared" si="50"/>
        <v>70645523674.730774</v>
      </c>
      <c r="W1248">
        <f t="shared" si="51"/>
        <v>124049195069.08847</v>
      </c>
    </row>
    <row r="1249" spans="1:23" x14ac:dyDescent="0.2">
      <c r="A1249">
        <f>IF(D1249="USD",VLOOKUP(VALUE(RIGHT(E1249,4)),'USD RUB'!$E:$F,2,FALSE),1)</f>
        <v>31.062956321839064</v>
      </c>
      <c r="B1249" s="4">
        <v>31.062956321839064</v>
      </c>
      <c r="C1249">
        <v>1000</v>
      </c>
      <c r="D1249" t="s">
        <v>111</v>
      </c>
      <c r="E1249" s="1" t="s">
        <v>1265</v>
      </c>
      <c r="F1249">
        <v>26339958064.928722</v>
      </c>
      <c r="G1249">
        <v>55017465718.98848</v>
      </c>
      <c r="H1249">
        <v>67630330629.820656</v>
      </c>
      <c r="J1249">
        <v>144436596431.19992</v>
      </c>
      <c r="K1249">
        <v>10277955672.988501</v>
      </c>
      <c r="L1249">
        <v>20571504950.050564</v>
      </c>
      <c r="N1249">
        <v>113587135808.16086</v>
      </c>
      <c r="O1249">
        <v>38919399234.758598</v>
      </c>
      <c r="P1249">
        <v>16596720122.06436</v>
      </c>
      <c r="Q1249">
        <v>16740510546.878151</v>
      </c>
      <c r="R1249">
        <v>13229588845.645969</v>
      </c>
      <c r="V1249" t="str">
        <f t="shared" si="50"/>
        <v/>
      </c>
      <c r="W1249" t="str">
        <f t="shared" si="51"/>
        <v/>
      </c>
    </row>
    <row r="1250" spans="1:23" x14ac:dyDescent="0.2">
      <c r="A1250">
        <f>IF(D1250="USD",VLOOKUP(VALUE(RIGHT(E1250,4)),'USD RUB'!$E:$F,2,FALSE),1)</f>
        <v>29.402434615384617</v>
      </c>
      <c r="B1250" s="4">
        <v>29.402434615384617</v>
      </c>
      <c r="C1250">
        <v>1000</v>
      </c>
      <c r="D1250" t="s">
        <v>111</v>
      </c>
      <c r="E1250" s="1" t="s">
        <v>1266</v>
      </c>
      <c r="F1250">
        <v>19330571833.015385</v>
      </c>
      <c r="G1250">
        <v>43716157237.280769</v>
      </c>
      <c r="H1250">
        <v>60463666384.465385</v>
      </c>
      <c r="J1250">
        <v>124049195069.08847</v>
      </c>
      <c r="K1250">
        <v>40820517269.053848</v>
      </c>
      <c r="L1250">
        <v>14044749150.034616</v>
      </c>
      <c r="N1250">
        <v>83228677800.034622</v>
      </c>
      <c r="O1250">
        <v>70645523674.730774</v>
      </c>
      <c r="P1250">
        <v>24658469399.930771</v>
      </c>
      <c r="Q1250">
        <v>22494832443.888462</v>
      </c>
      <c r="R1250">
        <v>16406999551.903847</v>
      </c>
      <c r="V1250" t="str">
        <f t="shared" si="50"/>
        <v/>
      </c>
      <c r="W1250" t="str">
        <f t="shared" si="51"/>
        <v/>
      </c>
    </row>
    <row r="1251" spans="1:23" x14ac:dyDescent="0.2">
      <c r="A1251">
        <f>IF(D1251="USD",VLOOKUP(VALUE(RIGHT(E1251,4)),'USD RUB'!$E:$F,2,FALSE),1)</f>
        <v>1</v>
      </c>
      <c r="B1251" s="4">
        <v>1</v>
      </c>
      <c r="C1251">
        <v>1000000</v>
      </c>
      <c r="D1251" t="s">
        <v>20</v>
      </c>
      <c r="E1251" s="1" t="s">
        <v>1267</v>
      </c>
      <c r="F1251">
        <v>10892000000</v>
      </c>
      <c r="G1251">
        <v>79174000000</v>
      </c>
      <c r="H1251">
        <v>119053000000</v>
      </c>
      <c r="J1251">
        <v>203414000000</v>
      </c>
      <c r="K1251">
        <v>39948000000</v>
      </c>
      <c r="L1251">
        <v>26001000000</v>
      </c>
      <c r="M1251">
        <v>132743000000</v>
      </c>
      <c r="N1251">
        <v>137465000000</v>
      </c>
      <c r="O1251">
        <v>119238000000</v>
      </c>
      <c r="P1251">
        <v>-62169000000</v>
      </c>
      <c r="Q1251">
        <v>-61676000000</v>
      </c>
      <c r="R1251">
        <v>-53045000000</v>
      </c>
      <c r="S1251">
        <v>23267000000</v>
      </c>
      <c r="T1251">
        <v>-16584000000</v>
      </c>
      <c r="U1251">
        <v>-21673000000</v>
      </c>
      <c r="V1251">
        <f t="shared" si="50"/>
        <v>161401570175.06918</v>
      </c>
      <c r="W1251">
        <f t="shared" si="51"/>
        <v>228721674315.78937</v>
      </c>
    </row>
    <row r="1252" spans="1:23" x14ac:dyDescent="0.2">
      <c r="A1252">
        <f>IF(D1252="USD",VLOOKUP(VALUE(RIGHT(E1252,4)),'USD RUB'!$E:$F,2,FALSE),1)</f>
        <v>83.270722752808965</v>
      </c>
      <c r="B1252" s="4">
        <v>83.270722752808965</v>
      </c>
      <c r="C1252">
        <v>1000000</v>
      </c>
      <c r="D1252" t="s">
        <v>111</v>
      </c>
      <c r="E1252" s="1" t="s">
        <v>1268</v>
      </c>
      <c r="F1252">
        <v>5662409147.1910095</v>
      </c>
      <c r="G1252">
        <v>106003630064.32581</v>
      </c>
      <c r="H1252">
        <v>138812294828.93256</v>
      </c>
      <c r="J1252">
        <v>249479085367.41565</v>
      </c>
      <c r="K1252">
        <v>39886676198.595497</v>
      </c>
      <c r="L1252">
        <v>24731404657.584263</v>
      </c>
      <c r="M1252">
        <v>236239040449.71902</v>
      </c>
      <c r="N1252">
        <v>184861004511.2359</v>
      </c>
      <c r="O1252">
        <v>58206235204.213463</v>
      </c>
      <c r="P1252">
        <v>-21483846470.224712</v>
      </c>
      <c r="Q1252">
        <v>-20984222133.707859</v>
      </c>
      <c r="R1252">
        <v>-16570873827.808985</v>
      </c>
      <c r="S1252">
        <v>10575381789.606739</v>
      </c>
      <c r="T1252">
        <v>-8243801552.5280876</v>
      </c>
      <c r="U1252">
        <v>-9409591671.0674133</v>
      </c>
      <c r="V1252">
        <f t="shared" si="50"/>
        <v>92507268275.900238</v>
      </c>
      <c r="W1252">
        <f t="shared" si="51"/>
        <v>271688013134.62592</v>
      </c>
    </row>
    <row r="1253" spans="1:23" x14ac:dyDescent="0.2">
      <c r="A1253">
        <f>IF(D1253="USD",VLOOKUP(VALUE(RIGHT(E1253,4)),'USD RUB'!$E:$F,2,FALSE),1)</f>
        <v>92.599868144044279</v>
      </c>
      <c r="B1253" s="4">
        <v>92.599868144044279</v>
      </c>
      <c r="C1253">
        <v>1000000</v>
      </c>
      <c r="D1253" t="s">
        <v>111</v>
      </c>
      <c r="E1253" s="1" t="s">
        <v>1269</v>
      </c>
      <c r="F1253">
        <v>3981794330.1939039</v>
      </c>
      <c r="G1253">
        <v>107138047442.65923</v>
      </c>
      <c r="H1253">
        <v>118713030960.66476</v>
      </c>
      <c r="J1253">
        <v>228721674315.78937</v>
      </c>
      <c r="K1253">
        <v>30280156883.102478</v>
      </c>
      <c r="L1253">
        <v>24446365190.027691</v>
      </c>
      <c r="M1253">
        <v>281133199685.31842</v>
      </c>
      <c r="N1253">
        <v>173995152242.65921</v>
      </c>
      <c r="O1253">
        <v>161401570175.06918</v>
      </c>
      <c r="P1253">
        <v>-10556384968.421047</v>
      </c>
      <c r="Q1253">
        <v>-8704387605.540163</v>
      </c>
      <c r="R1253">
        <v>-12315782463.157888</v>
      </c>
      <c r="S1253">
        <v>17871774551.800545</v>
      </c>
      <c r="T1253">
        <v>26946561629.916885</v>
      </c>
      <c r="U1253">
        <v>-26853961761.772842</v>
      </c>
      <c r="V1253">
        <f t="shared" si="50"/>
        <v>188779473819.44452</v>
      </c>
      <c r="W1253">
        <f t="shared" si="51"/>
        <v>247890512680.55563</v>
      </c>
    </row>
    <row r="1254" spans="1:23" x14ac:dyDescent="0.2">
      <c r="A1254">
        <f>IF(D1254="USD",VLOOKUP(VALUE(RIGHT(E1254,4)),'USD RUB'!$E:$F,2,FALSE),1)</f>
        <v>92.599868144044279</v>
      </c>
      <c r="B1254" s="4">
        <v>92.599868144044279</v>
      </c>
      <c r="C1254">
        <v>1000000</v>
      </c>
      <c r="D1254" t="s">
        <v>111</v>
      </c>
      <c r="E1254" s="1" t="s">
        <v>1270</v>
      </c>
      <c r="F1254">
        <v>26668762025.484753</v>
      </c>
      <c r="G1254">
        <v>119639029642.10521</v>
      </c>
      <c r="H1254">
        <v>137510804193.90576</v>
      </c>
      <c r="J1254">
        <v>271688013134.62592</v>
      </c>
      <c r="K1254">
        <v>34817550422.160652</v>
      </c>
      <c r="L1254">
        <v>27131761366.204975</v>
      </c>
      <c r="M1254">
        <v>284096395465.92786</v>
      </c>
      <c r="N1254">
        <v>209738701346.26028</v>
      </c>
      <c r="O1254">
        <v>92507268275.900238</v>
      </c>
      <c r="P1254">
        <v>-8333988132.9639854</v>
      </c>
      <c r="Q1254">
        <v>-7593189187.8116312</v>
      </c>
      <c r="R1254">
        <v>-9167386946.2603836</v>
      </c>
      <c r="S1254">
        <v>9167386946.2603836</v>
      </c>
      <c r="T1254">
        <v>19723771914.681431</v>
      </c>
      <c r="U1254">
        <v>-13889980221.606642</v>
      </c>
      <c r="V1254">
        <f t="shared" si="50"/>
        <v>104213103194.44447</v>
      </c>
      <c r="W1254">
        <f t="shared" si="51"/>
        <v>238237987548.61121</v>
      </c>
    </row>
    <row r="1255" spans="1:23" x14ac:dyDescent="0.2">
      <c r="A1255">
        <f>IF(D1255="USD",VLOOKUP(VALUE(RIGHT(E1255,4)),'USD RUB'!$E:$F,2,FALSE),1)</f>
        <v>85.420576388888918</v>
      </c>
      <c r="B1255" s="4">
        <v>85.420576388888918</v>
      </c>
      <c r="C1255">
        <v>1000000</v>
      </c>
      <c r="D1255" t="s">
        <v>111</v>
      </c>
      <c r="E1255" s="1" t="s">
        <v>1271</v>
      </c>
      <c r="F1255">
        <v>5808599194.4444466</v>
      </c>
      <c r="G1255">
        <v>105494411840.27782</v>
      </c>
      <c r="H1255">
        <v>129668434958.33337</v>
      </c>
      <c r="J1255">
        <v>247890512680.55563</v>
      </c>
      <c r="K1255">
        <v>33399445368.055569</v>
      </c>
      <c r="L1255">
        <v>21611405826.388897</v>
      </c>
      <c r="M1255">
        <v>270526965423.61121</v>
      </c>
      <c r="N1255">
        <v>192879661486.11118</v>
      </c>
      <c r="O1255">
        <v>188779473819.44452</v>
      </c>
      <c r="P1255">
        <v>44333279145.833351</v>
      </c>
      <c r="Q1255">
        <v>48177205083.333351</v>
      </c>
      <c r="R1255">
        <v>37585053611.111122</v>
      </c>
      <c r="S1255">
        <v>16400750666.666672</v>
      </c>
      <c r="T1255">
        <v>58854777131.944466</v>
      </c>
      <c r="U1255">
        <v>-18365423923.611118</v>
      </c>
      <c r="V1255">
        <f t="shared" si="50"/>
        <v>193479430934.99985</v>
      </c>
      <c r="W1255">
        <f t="shared" si="51"/>
        <v>211996814894.99985</v>
      </c>
    </row>
    <row r="1256" spans="1:23" x14ac:dyDescent="0.2">
      <c r="A1256">
        <f>IF(D1256="USD",VLOOKUP(VALUE(RIGHT(E1256,4)),'USD RUB'!$E:$F,2,FALSE),1)</f>
        <v>85.420576388888918</v>
      </c>
      <c r="B1256" s="4">
        <v>85.420576388888918</v>
      </c>
      <c r="C1256">
        <v>1000000</v>
      </c>
      <c r="D1256" t="s">
        <v>111</v>
      </c>
      <c r="E1256" s="1" t="s">
        <v>1272</v>
      </c>
      <c r="F1256">
        <v>28188790208.333344</v>
      </c>
      <c r="G1256">
        <v>97037774777.777817</v>
      </c>
      <c r="H1256">
        <v>128045444006.94449</v>
      </c>
      <c r="J1256">
        <v>238237987548.61121</v>
      </c>
      <c r="K1256">
        <v>28274210784.722233</v>
      </c>
      <c r="L1256">
        <v>22807293895.83334</v>
      </c>
      <c r="M1256">
        <v>259507711069.44452</v>
      </c>
      <c r="N1256">
        <v>187156482868.05563</v>
      </c>
      <c r="O1256">
        <v>104213103194.44447</v>
      </c>
      <c r="P1256">
        <v>30495145770.833344</v>
      </c>
      <c r="Q1256">
        <v>33484865944.444454</v>
      </c>
      <c r="R1256">
        <v>26822060986.111122</v>
      </c>
      <c r="S1256">
        <v>8200375333.3333359</v>
      </c>
      <c r="T1256">
        <v>36901689000.000015</v>
      </c>
      <c r="U1256">
        <v>-8712898791.6666698</v>
      </c>
      <c r="V1256">
        <f t="shared" si="50"/>
        <v>115120942192.49991</v>
      </c>
      <c r="W1256">
        <f t="shared" si="51"/>
        <v>297231244004.99976</v>
      </c>
    </row>
    <row r="1257" spans="1:23" x14ac:dyDescent="0.2">
      <c r="A1257">
        <f>IF(D1257="USD",VLOOKUP(VALUE(RIGHT(E1257,4)),'USD RUB'!$E:$F,2,FALSE),1)</f>
        <v>68.07861749999995</v>
      </c>
      <c r="B1257" s="4">
        <v>68.07861749999995</v>
      </c>
      <c r="C1257">
        <v>1000000</v>
      </c>
      <c r="D1257" t="s">
        <v>111</v>
      </c>
      <c r="E1257" s="1" t="s">
        <v>1273</v>
      </c>
      <c r="F1257">
        <v>26210267737.499981</v>
      </c>
      <c r="G1257">
        <v>82647441644.999939</v>
      </c>
      <c r="H1257">
        <v>126966621637.49991</v>
      </c>
      <c r="J1257">
        <v>211996814894.99985</v>
      </c>
      <c r="K1257">
        <v>27435682852.499981</v>
      </c>
      <c r="L1257">
        <v>22602101009.999985</v>
      </c>
      <c r="M1257">
        <v>185446154069.99988</v>
      </c>
      <c r="N1257">
        <v>161959031032.49988</v>
      </c>
      <c r="O1257">
        <v>193479430934.99985</v>
      </c>
      <c r="P1257">
        <v>68078617499.999947</v>
      </c>
      <c r="Q1257">
        <v>68010538882.499947</v>
      </c>
      <c r="R1257">
        <v>53237478884.999962</v>
      </c>
      <c r="S1257">
        <v>13956116587.49999</v>
      </c>
      <c r="T1257">
        <v>88161809662.499939</v>
      </c>
      <c r="U1257">
        <v>-15726160642.499989</v>
      </c>
      <c r="V1257">
        <f t="shared" si="50"/>
        <v>154781610853.09094</v>
      </c>
      <c r="W1257">
        <f t="shared" si="51"/>
        <v>210261006163.63641</v>
      </c>
    </row>
    <row r="1258" spans="1:23" x14ac:dyDescent="0.2">
      <c r="A1258">
        <f>IF(D1258="USD",VLOOKUP(VALUE(RIGHT(E1258,4)),'USD RUB'!$E:$F,2,FALSE),1)</f>
        <v>68.07861749999995</v>
      </c>
      <c r="B1258" s="4">
        <v>68.07861749999995</v>
      </c>
      <c r="C1258">
        <v>1000000</v>
      </c>
      <c r="D1258" t="s">
        <v>111</v>
      </c>
      <c r="E1258" s="1" t="s">
        <v>1274</v>
      </c>
      <c r="F1258">
        <v>16475025434.999989</v>
      </c>
      <c r="G1258">
        <v>121384175002.49991</v>
      </c>
      <c r="H1258">
        <v>172375059509.99988</v>
      </c>
      <c r="J1258">
        <v>297231244004.99976</v>
      </c>
      <c r="K1258">
        <v>48540054277.499962</v>
      </c>
      <c r="L1258">
        <v>36762453449.999969</v>
      </c>
      <c r="M1258">
        <v>176527855177.49988</v>
      </c>
      <c r="N1258">
        <v>211928736277.49985</v>
      </c>
      <c r="O1258">
        <v>115120942192.49991</v>
      </c>
      <c r="P1258">
        <v>57117960082.499962</v>
      </c>
      <c r="Q1258">
        <v>57117960082.499962</v>
      </c>
      <c r="R1258">
        <v>45068044784.999969</v>
      </c>
      <c r="S1258">
        <v>5922839722.4999952</v>
      </c>
      <c r="T1258">
        <v>71754862844.999954</v>
      </c>
      <c r="U1258">
        <v>-6603625897.4999952</v>
      </c>
      <c r="V1258">
        <f t="shared" si="50"/>
        <v>50388865687.636375</v>
      </c>
      <c r="W1258">
        <f t="shared" si="51"/>
        <v>173815765095.27277</v>
      </c>
    </row>
    <row r="1259" spans="1:23" s="20" customFormat="1" x14ac:dyDescent="0.2">
      <c r="A1259" s="20">
        <f>IF(D1259="USD",VLOOKUP(VALUE(RIGHT(E1259,4)),'USD RUB'!$E:$F,2,FALSE),1)</f>
        <v>73.77579163636365</v>
      </c>
      <c r="B1259" s="21">
        <v>73.77579163636365</v>
      </c>
      <c r="C1259" s="20">
        <v>1000000</v>
      </c>
      <c r="D1259" s="20" t="s">
        <v>111</v>
      </c>
      <c r="E1259" s="22" t="s">
        <v>1275</v>
      </c>
      <c r="F1259" s="20">
        <v>29510316654.54546</v>
      </c>
      <c r="G1259" s="20">
        <v>79161424425.818192</v>
      </c>
      <c r="H1259" s="20">
        <v>128074774280.72729</v>
      </c>
      <c r="J1259" s="20">
        <v>210261006163.63641</v>
      </c>
      <c r="K1259" s="20">
        <v>49134677229.818192</v>
      </c>
      <c r="L1259" s="20">
        <v>54225206852.72728</v>
      </c>
      <c r="M1259" s="20">
        <v>142461053649.81821</v>
      </c>
      <c r="N1259" s="20">
        <v>106901122081.09093</v>
      </c>
      <c r="O1259" s="20">
        <v>154781610853.09094</v>
      </c>
      <c r="P1259" s="20">
        <v>82702662424.363647</v>
      </c>
      <c r="Q1259" s="20">
        <v>80415612883.636383</v>
      </c>
      <c r="R1259" s="20">
        <v>64553817681.818192</v>
      </c>
      <c r="S1259" s="20">
        <v>15788019410.181822</v>
      </c>
      <c r="T1259" s="20">
        <v>98269354459.636383</v>
      </c>
      <c r="U1259" s="20">
        <v>-16083122576.727276</v>
      </c>
      <c r="V1259" s="20">
        <f t="shared" si="50"/>
        <v>44752046170.034866</v>
      </c>
      <c r="W1259" s="20">
        <f t="shared" si="51"/>
        <v>197805490018.11856</v>
      </c>
    </row>
    <row r="1260" spans="1:23" x14ac:dyDescent="0.2">
      <c r="A1260">
        <f>IF(D1260="USD",VLOOKUP(VALUE(RIGHT(E1260,4)),'USD RUB'!$E:$F,2,FALSE),1)</f>
        <v>73.77579163636365</v>
      </c>
      <c r="B1260" s="4">
        <v>73.77579163636365</v>
      </c>
      <c r="C1260">
        <v>1000000</v>
      </c>
      <c r="D1260" t="s">
        <v>111</v>
      </c>
      <c r="E1260" s="1" t="s">
        <v>1276</v>
      </c>
      <c r="F1260">
        <v>17189759451.272732</v>
      </c>
      <c r="G1260">
        <v>38215860067.636368</v>
      </c>
      <c r="H1260">
        <v>133903061820.00003</v>
      </c>
      <c r="J1260">
        <v>173815765095.27277</v>
      </c>
      <c r="K1260">
        <v>25231320739.636368</v>
      </c>
      <c r="L1260">
        <v>55848274268.72728</v>
      </c>
      <c r="M1260">
        <v>125566397365.09093</v>
      </c>
      <c r="N1260">
        <v>92736170086.909103</v>
      </c>
      <c r="O1260">
        <v>50388865687.636375</v>
      </c>
      <c r="P1260">
        <v>18370172117.454548</v>
      </c>
      <c r="Q1260">
        <v>16968432076.36364</v>
      </c>
      <c r="R1260">
        <v>13353418286.18182</v>
      </c>
      <c r="S1260">
        <v>6049614914.181819</v>
      </c>
      <c r="T1260">
        <v>22870495407.272732</v>
      </c>
      <c r="U1260">
        <v>-8189112871.6363649</v>
      </c>
      <c r="V1260">
        <f t="shared" si="50"/>
        <v>24075010298.257854</v>
      </c>
      <c r="W1260">
        <f t="shared" si="51"/>
        <v>127749378970.03491</v>
      </c>
    </row>
    <row r="1261" spans="1:23" x14ac:dyDescent="0.2">
      <c r="A1261">
        <f>IF(D1261="USD",VLOOKUP(VALUE(RIGHT(E1261,4)),'USD RUB'!$E:$F,2,FALSE),1)</f>
        <v>72.297328222996555</v>
      </c>
      <c r="B1261" s="4">
        <v>72.297328222996555</v>
      </c>
      <c r="C1261">
        <v>1000000</v>
      </c>
      <c r="D1261" t="s">
        <v>111</v>
      </c>
      <c r="E1261" s="1" t="s">
        <v>1277</v>
      </c>
      <c r="F1261">
        <v>41787855712.892006</v>
      </c>
      <c r="G1261">
        <v>66441244636.93383</v>
      </c>
      <c r="H1261">
        <v>129773704160.27881</v>
      </c>
      <c r="J1261">
        <v>197805490018.11856</v>
      </c>
      <c r="K1261">
        <v>94781797300.34848</v>
      </c>
      <c r="L1261">
        <v>25376362206.27179</v>
      </c>
      <c r="M1261">
        <v>109024370960.27881</v>
      </c>
      <c r="N1261">
        <v>77647330511.498306</v>
      </c>
      <c r="O1261">
        <v>44752046170.034866</v>
      </c>
      <c r="P1261">
        <v>15905412209.059242</v>
      </c>
      <c r="Q1261">
        <v>16194601521.951229</v>
      </c>
      <c r="R1261">
        <v>12796627095.47039</v>
      </c>
      <c r="S1261">
        <v>4988515647.3867626</v>
      </c>
      <c r="T1261">
        <v>14242573659.930321</v>
      </c>
      <c r="U1261">
        <v>-4337839693.3797932</v>
      </c>
      <c r="V1261">
        <f t="shared" si="50"/>
        <v>64430337374.999954</v>
      </c>
      <c r="W1261">
        <f t="shared" si="51"/>
        <v>105572600999.99992</v>
      </c>
    </row>
    <row r="1262" spans="1:23" x14ac:dyDescent="0.2">
      <c r="A1262">
        <f>IF(D1262="USD",VLOOKUP(VALUE(RIGHT(E1262,4)),'USD RUB'!$E:$F,2,FALSE),1)</f>
        <v>72.297328222996555</v>
      </c>
      <c r="B1262" s="4">
        <v>72.297328222996555</v>
      </c>
      <c r="C1262">
        <v>1000000</v>
      </c>
      <c r="D1262" t="s">
        <v>111</v>
      </c>
      <c r="E1262" s="1" t="s">
        <v>1278</v>
      </c>
      <c r="F1262">
        <v>45475019452.264832</v>
      </c>
      <c r="G1262">
        <v>94420310659.233505</v>
      </c>
      <c r="H1262">
        <v>32895284341.463432</v>
      </c>
      <c r="J1262">
        <v>127749378970.03491</v>
      </c>
      <c r="K1262">
        <v>38317583958.188171</v>
      </c>
      <c r="L1262">
        <v>6362164883.6236973</v>
      </c>
      <c r="M1262">
        <v>110181128211.84676</v>
      </c>
      <c r="N1262">
        <v>83069630128.223038</v>
      </c>
      <c r="O1262">
        <v>24075010298.257854</v>
      </c>
      <c r="P1262">
        <v>9470949997.2125492</v>
      </c>
      <c r="Q1262">
        <v>9615544653.6585426</v>
      </c>
      <c r="R1262">
        <v>7518922135.1916418</v>
      </c>
      <c r="S1262">
        <v>2675001144.2508726</v>
      </c>
      <c r="T1262">
        <v>8964868699.6515732</v>
      </c>
      <c r="U1262">
        <v>-2024325190.2439036</v>
      </c>
      <c r="V1262">
        <f t="shared" si="50"/>
        <v>36808094343.749977</v>
      </c>
      <c r="W1262">
        <f t="shared" si="51"/>
        <v>121356739874.99991</v>
      </c>
    </row>
    <row r="1263" spans="1:23" x14ac:dyDescent="0.2">
      <c r="A1263">
        <f>IF(D1263="USD",VLOOKUP(VALUE(RIGHT(E1263,4)),'USD RUB'!$E:$F,2,FALSE),1)</f>
        <v>64.689093749999955</v>
      </c>
      <c r="B1263" s="4">
        <v>64.689093749999955</v>
      </c>
      <c r="C1263">
        <v>1000000</v>
      </c>
      <c r="D1263" t="s">
        <v>111</v>
      </c>
      <c r="E1263" s="1" t="s">
        <v>1279</v>
      </c>
      <c r="F1263">
        <v>36937472531.249977</v>
      </c>
      <c r="G1263">
        <v>71352070406.249954</v>
      </c>
      <c r="H1263">
        <v>33573639656.249977</v>
      </c>
      <c r="J1263">
        <v>105572600999.99992</v>
      </c>
      <c r="K1263">
        <v>21153333656.249985</v>
      </c>
      <c r="L1263">
        <v>6080774812.4999962</v>
      </c>
      <c r="M1263">
        <v>93540429562.499939</v>
      </c>
      <c r="N1263">
        <v>78338492531.249939</v>
      </c>
      <c r="O1263">
        <v>64430337374.999954</v>
      </c>
      <c r="P1263">
        <v>15719449781.249989</v>
      </c>
      <c r="Q1263">
        <v>17142609843.749989</v>
      </c>
      <c r="R1263">
        <v>13455331499.99999</v>
      </c>
      <c r="S1263">
        <v>3493211062.4999976</v>
      </c>
      <c r="T1263">
        <v>30921386812.499977</v>
      </c>
      <c r="U1263">
        <v>-4916371124.9999962</v>
      </c>
      <c r="V1263">
        <f t="shared" si="50"/>
        <v>68212980709.302315</v>
      </c>
      <c r="W1263">
        <f t="shared" si="51"/>
        <v>98138675472.093002</v>
      </c>
    </row>
    <row r="1264" spans="1:23" x14ac:dyDescent="0.2">
      <c r="A1264">
        <f>IF(D1264="USD",VLOOKUP(VALUE(RIGHT(E1264,4)),'USD RUB'!$E:$F,2,FALSE),1)</f>
        <v>64.689093749999955</v>
      </c>
      <c r="B1264" s="4">
        <v>64.689093749999955</v>
      </c>
      <c r="C1264">
        <v>1000000</v>
      </c>
      <c r="D1264" t="s">
        <v>111</v>
      </c>
      <c r="E1264" s="1" t="s">
        <v>1280</v>
      </c>
      <c r="F1264">
        <v>12873129656.24999</v>
      </c>
      <c r="G1264">
        <v>74586525093.749954</v>
      </c>
      <c r="H1264">
        <v>40948196343.749969</v>
      </c>
      <c r="J1264">
        <v>121356739874.99991</v>
      </c>
      <c r="K1264">
        <v>37584363468.749977</v>
      </c>
      <c r="L1264">
        <v>4786992937.4999971</v>
      </c>
      <c r="M1264">
        <v>95675169656.249939</v>
      </c>
      <c r="N1264">
        <v>78985383468.749939</v>
      </c>
      <c r="O1264">
        <v>36808094343.749977</v>
      </c>
      <c r="P1264">
        <v>16431029812.499989</v>
      </c>
      <c r="Q1264">
        <v>17207298937.499989</v>
      </c>
      <c r="R1264">
        <v>13649398781.24999</v>
      </c>
      <c r="S1264">
        <v>1617227343.7499988</v>
      </c>
      <c r="T1264">
        <v>19212660843.749989</v>
      </c>
      <c r="U1264">
        <v>-2393496468.7499986</v>
      </c>
      <c r="V1264">
        <f t="shared" si="50"/>
        <v>34075055801.328899</v>
      </c>
      <c r="W1264">
        <f t="shared" si="51"/>
        <v>107066088615.61459</v>
      </c>
    </row>
    <row r="1265" spans="1:23" x14ac:dyDescent="0.2">
      <c r="A1265">
        <f>IF(D1265="USD",VLOOKUP(VALUE(RIGHT(E1265,4)),'USD RUB'!$E:$F,2,FALSE),1)</f>
        <v>62.869106644518261</v>
      </c>
      <c r="B1265" s="4">
        <v>62.869106644518261</v>
      </c>
      <c r="C1265">
        <v>1000000</v>
      </c>
      <c r="D1265" t="s">
        <v>111</v>
      </c>
      <c r="E1265" s="1" t="s">
        <v>1281</v>
      </c>
      <c r="F1265">
        <v>4212230145.1827235</v>
      </c>
      <c r="G1265">
        <v>54947599207.30896</v>
      </c>
      <c r="H1265">
        <v>35835390787.375412</v>
      </c>
      <c r="J1265">
        <v>98138675472.093002</v>
      </c>
      <c r="K1265">
        <v>34263663121.262451</v>
      </c>
      <c r="L1265">
        <v>4023622825.2491689</v>
      </c>
      <c r="M1265">
        <v>79718027225.249161</v>
      </c>
      <c r="N1265">
        <v>59851389525.581383</v>
      </c>
      <c r="O1265">
        <v>68212980709.302315</v>
      </c>
      <c r="P1265">
        <v>35143830614.285706</v>
      </c>
      <c r="Q1265">
        <v>35583914360.797333</v>
      </c>
      <c r="R1265">
        <v>28165359776.744183</v>
      </c>
      <c r="S1265">
        <v>3080586225.5813947</v>
      </c>
      <c r="T1265">
        <v>37029903813.621254</v>
      </c>
      <c r="U1265">
        <v>-3332062652.1594677</v>
      </c>
      <c r="V1265">
        <f t="shared" si="50"/>
        <v>50615553943.234306</v>
      </c>
      <c r="W1265">
        <f t="shared" si="51"/>
        <v>78255844921.452118</v>
      </c>
    </row>
    <row r="1266" spans="1:23" x14ac:dyDescent="0.2">
      <c r="A1266">
        <f>IF(D1266="USD",VLOOKUP(VALUE(RIGHT(E1266,4)),'USD RUB'!$E:$F,2,FALSE),1)</f>
        <v>62.869106644518261</v>
      </c>
      <c r="B1266" s="4">
        <v>62.869106644518261</v>
      </c>
      <c r="C1266">
        <v>1000000</v>
      </c>
      <c r="D1266" t="s">
        <v>111</v>
      </c>
      <c r="E1266" s="1" t="s">
        <v>1282</v>
      </c>
      <c r="F1266">
        <v>9744711529.9003296</v>
      </c>
      <c r="G1266">
        <v>64629441630.564774</v>
      </c>
      <c r="H1266">
        <v>39607537186.046501</v>
      </c>
      <c r="J1266">
        <v>107066088615.61459</v>
      </c>
      <c r="K1266">
        <v>50923976382.059792</v>
      </c>
      <c r="L1266">
        <v>4652313891.6943512</v>
      </c>
      <c r="M1266">
        <v>65635347336.877068</v>
      </c>
      <c r="N1266">
        <v>51489798341.860458</v>
      </c>
      <c r="O1266">
        <v>34075055801.328899</v>
      </c>
      <c r="P1266">
        <v>17980564500.332222</v>
      </c>
      <c r="Q1266">
        <v>17854826287.043186</v>
      </c>
      <c r="R1266">
        <v>14145548995.016609</v>
      </c>
      <c r="S1266">
        <v>1697465879.401993</v>
      </c>
      <c r="T1266">
        <v>19049339313.289032</v>
      </c>
      <c r="U1266">
        <v>-1634596772.7574749</v>
      </c>
      <c r="V1266">
        <f t="shared" si="50"/>
        <v>25599341222.442234</v>
      </c>
      <c r="W1266">
        <f t="shared" si="51"/>
        <v>69917107347.854752</v>
      </c>
    </row>
    <row r="1267" spans="1:23" x14ac:dyDescent="0.2">
      <c r="A1267">
        <f>IF(D1267="USD",VLOOKUP(VALUE(RIGHT(E1267,4)),'USD RUB'!$E:$F,2,FALSE),1)</f>
        <v>58.312850165016478</v>
      </c>
      <c r="B1267" s="4">
        <v>58.312850165016478</v>
      </c>
      <c r="C1267">
        <v>1000000</v>
      </c>
      <c r="D1267" t="s">
        <v>111</v>
      </c>
      <c r="E1267" s="1" t="s">
        <v>1283</v>
      </c>
      <c r="F1267">
        <v>2624078257.4257417</v>
      </c>
      <c r="G1267">
        <v>34462894447.524742</v>
      </c>
      <c r="H1267">
        <v>40352492314.191406</v>
      </c>
      <c r="J1267">
        <v>78255844921.452118</v>
      </c>
      <c r="K1267">
        <v>34987710099.009888</v>
      </c>
      <c r="L1267">
        <v>4665028013.2013178</v>
      </c>
      <c r="M1267">
        <v>47758224285.148499</v>
      </c>
      <c r="N1267">
        <v>38603106809.240906</v>
      </c>
      <c r="O1267">
        <v>50615553943.234306</v>
      </c>
      <c r="P1267">
        <v>24608022769.636955</v>
      </c>
      <c r="Q1267">
        <v>23325140066.006592</v>
      </c>
      <c r="R1267">
        <v>18601799202.640255</v>
      </c>
      <c r="S1267">
        <v>2973955358.4158401</v>
      </c>
      <c r="T1267">
        <v>26532346825.082497</v>
      </c>
      <c r="U1267">
        <v>-3557083860.0660052</v>
      </c>
      <c r="V1267">
        <f t="shared" si="50"/>
        <v>33661294380.851036</v>
      </c>
      <c r="W1267">
        <f t="shared" si="51"/>
        <v>92602086732.978653</v>
      </c>
    </row>
    <row r="1268" spans="1:23" x14ac:dyDescent="0.2">
      <c r="A1268">
        <f>IF(D1268="USD",VLOOKUP(VALUE(RIGHT(E1268,4)),'USD RUB'!$E:$F,2,FALSE),1)</f>
        <v>58.312850165016478</v>
      </c>
      <c r="B1268" s="4">
        <v>58.312850165016478</v>
      </c>
      <c r="C1268">
        <v>1000000</v>
      </c>
      <c r="D1268" t="s">
        <v>111</v>
      </c>
      <c r="E1268" s="1" t="s">
        <v>1284</v>
      </c>
      <c r="F1268">
        <v>2857329658.0858073</v>
      </c>
      <c r="G1268">
        <v>26065844023.762367</v>
      </c>
      <c r="H1268">
        <v>39011296760.396027</v>
      </c>
      <c r="J1268">
        <v>69917107347.854752</v>
      </c>
      <c r="K1268">
        <v>30847497737.293716</v>
      </c>
      <c r="L1268">
        <v>10088123078.547852</v>
      </c>
      <c r="M1268">
        <v>39011296760.396027</v>
      </c>
      <c r="N1268">
        <v>28981486532.013191</v>
      </c>
      <c r="O1268">
        <v>25599341222.442234</v>
      </c>
      <c r="P1268">
        <v>13120391287.128708</v>
      </c>
      <c r="Q1268">
        <v>12304011384.818478</v>
      </c>
      <c r="R1268">
        <v>9796558827.7227688</v>
      </c>
      <c r="S1268">
        <v>1516134104.2904284</v>
      </c>
      <c r="T1268">
        <v>13703519788.778872</v>
      </c>
      <c r="U1268">
        <v>-2274201156.4356427</v>
      </c>
      <c r="V1268">
        <f t="shared" si="50"/>
        <v>12941493656.382967</v>
      </c>
      <c r="W1268">
        <f t="shared" si="51"/>
        <v>66719099420.212708</v>
      </c>
    </row>
    <row r="1269" spans="1:23" x14ac:dyDescent="0.2">
      <c r="A1269">
        <f>IF(D1269="USD",VLOOKUP(VALUE(RIGHT(E1269,4)),'USD RUB'!$E:$F,2,FALSE),1)</f>
        <v>67.054371276595688</v>
      </c>
      <c r="B1269" s="4">
        <v>67.054371276595688</v>
      </c>
      <c r="C1269">
        <v>1000000</v>
      </c>
      <c r="D1269" t="s">
        <v>111</v>
      </c>
      <c r="E1269" s="1" t="s">
        <v>1285</v>
      </c>
      <c r="F1269">
        <v>2346902994.6808491</v>
      </c>
      <c r="G1269">
        <v>43719450072.340385</v>
      </c>
      <c r="H1269">
        <v>42445417018.085068</v>
      </c>
      <c r="J1269">
        <v>92602086732.978653</v>
      </c>
      <c r="K1269">
        <v>63567543970.212715</v>
      </c>
      <c r="L1269">
        <v>7375980840.4255257</v>
      </c>
      <c r="M1269">
        <v>33594240009.57444</v>
      </c>
      <c r="N1269">
        <v>21658561922.340408</v>
      </c>
      <c r="O1269">
        <v>33661294380.851036</v>
      </c>
      <c r="P1269">
        <v>18171734615.957432</v>
      </c>
      <c r="Q1269">
        <v>15623668507.446795</v>
      </c>
      <c r="R1269">
        <v>12405058686.170202</v>
      </c>
      <c r="T1269">
        <v>13679091740.42552</v>
      </c>
      <c r="V1269">
        <f t="shared" si="50"/>
        <v>25663819651.948051</v>
      </c>
      <c r="W1269">
        <f t="shared" si="51"/>
        <v>54390147615.584419</v>
      </c>
    </row>
    <row r="1270" spans="1:23" x14ac:dyDescent="0.2">
      <c r="A1270">
        <f>IF(D1270="USD",VLOOKUP(VALUE(RIGHT(E1270,4)),'USD RUB'!$E:$F,2,FALSE),1)</f>
        <v>67.054371276595688</v>
      </c>
      <c r="B1270" s="4">
        <v>67.054371276595688</v>
      </c>
      <c r="C1270">
        <v>1000000</v>
      </c>
      <c r="D1270" t="s">
        <v>111</v>
      </c>
      <c r="E1270" s="1" t="s">
        <v>1286</v>
      </c>
      <c r="F1270">
        <v>1810468024.4680836</v>
      </c>
      <c r="G1270">
        <v>22530268748.93615</v>
      </c>
      <c r="H1270">
        <v>36611686717.021248</v>
      </c>
      <c r="J1270">
        <v>66719099420.212708</v>
      </c>
      <c r="K1270">
        <v>46803951151.063789</v>
      </c>
      <c r="L1270">
        <v>8515905152.1276522</v>
      </c>
      <c r="M1270">
        <v>24474845515.957428</v>
      </c>
      <c r="N1270">
        <v>11399243117.021267</v>
      </c>
      <c r="O1270">
        <v>12941493656.382967</v>
      </c>
      <c r="P1270">
        <v>5431404073.4042511</v>
      </c>
      <c r="Q1270">
        <v>4157371019.1489325</v>
      </c>
      <c r="R1270">
        <v>3285664192.5531888</v>
      </c>
      <c r="T1270">
        <v>3553881677.6595716</v>
      </c>
      <c r="V1270">
        <f t="shared" si="50"/>
        <v>13952787868.051949</v>
      </c>
      <c r="W1270">
        <f t="shared" si="51"/>
        <v>62622598708.566238</v>
      </c>
    </row>
    <row r="1271" spans="1:23" x14ac:dyDescent="0.2">
      <c r="A1271">
        <f>IF(D1271="USD",VLOOKUP(VALUE(RIGHT(E1271,4)),'USD RUB'!$E:$F,2,FALSE),1)</f>
        <v>61.250166233766237</v>
      </c>
      <c r="B1271" s="4">
        <v>61.250166233766237</v>
      </c>
      <c r="C1271">
        <v>1000000</v>
      </c>
      <c r="D1271" t="s">
        <v>111</v>
      </c>
      <c r="E1271" s="1" t="s">
        <v>1287</v>
      </c>
      <c r="F1271">
        <v>2940007979.2207794</v>
      </c>
      <c r="G1271">
        <v>17211296711.688313</v>
      </c>
      <c r="H1271">
        <v>30563832950.649353</v>
      </c>
      <c r="J1271">
        <v>54390147615.584419</v>
      </c>
      <c r="K1271">
        <v>15251291392.207792</v>
      </c>
      <c r="L1271">
        <v>32891339267.532471</v>
      </c>
      <c r="M1271">
        <v>19355052529.870132</v>
      </c>
      <c r="N1271">
        <v>6247516955.8441563</v>
      </c>
      <c r="O1271">
        <v>25663819651.948051</v>
      </c>
      <c r="P1271">
        <v>-7288769781.818182</v>
      </c>
      <c r="Q1271">
        <v>-9555025932.4675331</v>
      </c>
      <c r="R1271">
        <v>-7717520945.454546</v>
      </c>
      <c r="T1271">
        <v>3797510306.4935069</v>
      </c>
      <c r="V1271">
        <f t="shared" si="50"/>
        <v>17186428455.525093</v>
      </c>
      <c r="W1271">
        <f t="shared" si="51"/>
        <v>37326600480.684021</v>
      </c>
    </row>
    <row r="1272" spans="1:23" x14ac:dyDescent="0.2">
      <c r="A1272">
        <f>IF(D1272="USD",VLOOKUP(VALUE(RIGHT(E1272,4)),'USD RUB'!$E:$F,2,FALSE),1)</f>
        <v>61.250166233766237</v>
      </c>
      <c r="B1272" s="4">
        <v>61.250166233766237</v>
      </c>
      <c r="C1272">
        <v>1000</v>
      </c>
      <c r="D1272" t="s">
        <v>111</v>
      </c>
      <c r="E1272" s="1" t="s">
        <v>1288</v>
      </c>
      <c r="F1272">
        <v>949132575.95844162</v>
      </c>
      <c r="G1272">
        <v>12947182638.825975</v>
      </c>
      <c r="H1272">
        <v>43143514592.072731</v>
      </c>
      <c r="J1272">
        <v>62622598708.566238</v>
      </c>
      <c r="K1272">
        <v>11469522378.436365</v>
      </c>
      <c r="L1272">
        <v>34134288890.914288</v>
      </c>
      <c r="M1272">
        <v>26565177098.244156</v>
      </c>
      <c r="N1272">
        <v>17018787439.215586</v>
      </c>
      <c r="O1272">
        <v>13952787868.051949</v>
      </c>
      <c r="P1272">
        <v>559030267.2155844</v>
      </c>
      <c r="Q1272">
        <v>-534040199.3922078</v>
      </c>
      <c r="R1272">
        <v>-513276393.03896105</v>
      </c>
      <c r="T1272">
        <v>4103761137.6623378</v>
      </c>
      <c r="U1272">
        <v>-1260099669.9272728</v>
      </c>
      <c r="V1272">
        <f t="shared" si="50"/>
        <v>9489283502.8699608</v>
      </c>
      <c r="W1272">
        <f t="shared" si="51"/>
        <v>62416423899.15284</v>
      </c>
    </row>
    <row r="1273" spans="1:23" x14ac:dyDescent="0.2">
      <c r="A1273">
        <f>IF(D1273="USD",VLOOKUP(VALUE(RIGHT(E1273,4)),'USD RUB'!$E:$F,2,FALSE),1)</f>
        <v>38.761512927756648</v>
      </c>
      <c r="B1273" s="4">
        <v>38.761512927756648</v>
      </c>
      <c r="C1273">
        <v>1000</v>
      </c>
      <c r="D1273" t="s">
        <v>111</v>
      </c>
      <c r="E1273" s="1" t="s">
        <v>1289</v>
      </c>
      <c r="F1273">
        <v>1027955322.8441063</v>
      </c>
      <c r="G1273">
        <v>4556415844.657794</v>
      </c>
      <c r="H1273">
        <v>28494014529.836117</v>
      </c>
      <c r="J1273">
        <v>37326600480.684021</v>
      </c>
      <c r="K1273">
        <v>4145543807.6235733</v>
      </c>
      <c r="L1273">
        <v>22189376929.110641</v>
      </c>
      <c r="M1273">
        <v>17138713033.111025</v>
      </c>
      <c r="N1273">
        <v>10991679743.949808</v>
      </c>
      <c r="O1273">
        <v>17186428455.525093</v>
      </c>
      <c r="P1273">
        <v>-13545830876.811405</v>
      </c>
      <c r="Q1273">
        <v>-15062142501.032316</v>
      </c>
      <c r="R1273">
        <v>-11855751390.135359</v>
      </c>
      <c r="T1273">
        <v>1689924440.6243343</v>
      </c>
      <c r="V1273">
        <f t="shared" si="50"/>
        <v>17379454064</v>
      </c>
      <c r="W1273">
        <f t="shared" si="51"/>
        <v>52859285191.999992</v>
      </c>
    </row>
    <row r="1274" spans="1:23" x14ac:dyDescent="0.2">
      <c r="A1274">
        <f>IF(D1274="USD",VLOOKUP(VALUE(RIGHT(E1274,4)),'USD RUB'!$E:$F,2,FALSE),1)</f>
        <v>38.761512927756648</v>
      </c>
      <c r="B1274" s="4">
        <v>38.761512927756648</v>
      </c>
      <c r="C1274">
        <v>1000</v>
      </c>
      <c r="D1274" t="s">
        <v>111</v>
      </c>
      <c r="E1274" s="1" t="s">
        <v>1290</v>
      </c>
      <c r="F1274">
        <v>318503351.7273764</v>
      </c>
      <c r="G1274">
        <v>6347003934.3555126</v>
      </c>
      <c r="H1274">
        <v>51536028458.818626</v>
      </c>
      <c r="J1274">
        <v>62416423899.15284</v>
      </c>
      <c r="K1274">
        <v>6421309754.6380215</v>
      </c>
      <c r="L1274">
        <v>25302275270.825851</v>
      </c>
      <c r="M1274">
        <v>26116111996.25703</v>
      </c>
      <c r="N1274">
        <v>30692838873.688969</v>
      </c>
      <c r="O1274">
        <v>9489283502.8699608</v>
      </c>
      <c r="P1274">
        <v>-2489768259.8885927</v>
      </c>
      <c r="Q1274">
        <v>-3234028069.6144481</v>
      </c>
      <c r="R1274">
        <v>-2612370925.2790871</v>
      </c>
      <c r="T1274">
        <v>321720557.30038017</v>
      </c>
      <c r="V1274">
        <f t="shared" si="50"/>
        <v>9580644472</v>
      </c>
      <c r="W1274">
        <f t="shared" si="51"/>
        <v>56819343111.999992</v>
      </c>
    </row>
    <row r="1275" spans="1:23" x14ac:dyDescent="0.2">
      <c r="A1275">
        <f>IF(D1275="USD",VLOOKUP(VALUE(RIGHT(E1275,4)),'USD RUB'!$E:$F,2,FALSE),1)</f>
        <v>31.863999999999997</v>
      </c>
      <c r="B1275" s="4">
        <v>31.863999999999997</v>
      </c>
      <c r="C1275">
        <v>1000</v>
      </c>
      <c r="D1275" t="s">
        <v>111</v>
      </c>
      <c r="E1275" s="1" t="s">
        <v>1291</v>
      </c>
      <c r="F1275">
        <v>180222783.99999997</v>
      </c>
      <c r="G1275">
        <v>5725355383.999999</v>
      </c>
      <c r="H1275">
        <v>43772373399.999992</v>
      </c>
      <c r="J1275">
        <v>52859285191.999992</v>
      </c>
      <c r="K1275">
        <v>3405082631.9999995</v>
      </c>
      <c r="L1275">
        <v>21219798936</v>
      </c>
      <c r="N1275">
        <v>28234403623.999996</v>
      </c>
      <c r="O1275">
        <v>17379454064</v>
      </c>
      <c r="P1275">
        <v>-3513452095.9999995</v>
      </c>
      <c r="Q1275">
        <v>-4809775208</v>
      </c>
      <c r="R1275">
        <v>-4019834783.9999995</v>
      </c>
      <c r="T1275">
        <v>894709255.99999988</v>
      </c>
      <c r="V1275">
        <f t="shared" si="50"/>
        <v>16530152206.666658</v>
      </c>
      <c r="W1275">
        <f t="shared" si="51"/>
        <v>60009251736.951691</v>
      </c>
    </row>
    <row r="1276" spans="1:23" x14ac:dyDescent="0.2">
      <c r="A1276">
        <f>IF(D1276="USD",VLOOKUP(VALUE(RIGHT(E1276,4)),'USD RUB'!$E:$F,2,FALSE),1)</f>
        <v>31.863999999999997</v>
      </c>
      <c r="B1276" s="4">
        <v>31.863999999999997</v>
      </c>
      <c r="C1276">
        <v>1000</v>
      </c>
      <c r="D1276" t="s">
        <v>111</v>
      </c>
      <c r="E1276" s="1" t="s">
        <v>1292</v>
      </c>
      <c r="F1276">
        <v>3187802015.9999995</v>
      </c>
      <c r="G1276">
        <v>10373134016</v>
      </c>
      <c r="H1276">
        <v>43662824967.999992</v>
      </c>
      <c r="J1276">
        <v>56819343111.999992</v>
      </c>
      <c r="K1276">
        <v>8687910784</v>
      </c>
      <c r="L1276">
        <v>18508777952</v>
      </c>
      <c r="N1276">
        <v>29622654375.999996</v>
      </c>
      <c r="O1276">
        <v>9580644472</v>
      </c>
      <c r="P1276">
        <v>-1944787375.9999998</v>
      </c>
      <c r="Q1276">
        <v>-2595864488</v>
      </c>
      <c r="R1276">
        <v>-2158148720</v>
      </c>
      <c r="T1276">
        <v>860327999.99999988</v>
      </c>
      <c r="V1276">
        <f t="shared" si="50"/>
        <v>8858254317.255167</v>
      </c>
      <c r="W1276">
        <f t="shared" si="51"/>
        <v>57105020635.64135</v>
      </c>
    </row>
    <row r="1277" spans="1:23" x14ac:dyDescent="0.2">
      <c r="A1277">
        <f>IF(D1277="USD",VLOOKUP(VALUE(RIGHT(E1277,4)),'USD RUB'!$E:$F,2,FALSE),1)</f>
        <v>31.062956321839064</v>
      </c>
      <c r="B1277" s="4">
        <v>31.062956321839064</v>
      </c>
      <c r="C1277">
        <v>1000</v>
      </c>
      <c r="D1277" t="s">
        <v>111</v>
      </c>
      <c r="E1277" s="1" t="s">
        <v>1293</v>
      </c>
      <c r="F1277">
        <v>240147715.32413781</v>
      </c>
      <c r="G1277">
        <v>11422283920.92873</v>
      </c>
      <c r="H1277">
        <v>46380969846.914917</v>
      </c>
      <c r="J1277">
        <v>60009251736.951691</v>
      </c>
      <c r="K1277">
        <v>3330756554.5655155</v>
      </c>
      <c r="L1277">
        <v>22617839323.664356</v>
      </c>
      <c r="N1277">
        <v>34060655858.721821</v>
      </c>
      <c r="O1277">
        <v>16530152206.666658</v>
      </c>
      <c r="P1277">
        <v>129936346.2942528</v>
      </c>
      <c r="Q1277">
        <v>-945711705.21839035</v>
      </c>
      <c r="R1277">
        <v>-962578890.50114894</v>
      </c>
      <c r="T1277">
        <v>4375496964.5379286</v>
      </c>
      <c r="V1277">
        <f t="shared" si="50"/>
        <v>21349137176.665386</v>
      </c>
      <c r="W1277">
        <f t="shared" si="51"/>
        <v>58161661571.123077</v>
      </c>
    </row>
    <row r="1278" spans="1:23" x14ac:dyDescent="0.2">
      <c r="A1278">
        <f>IF(D1278="USD",VLOOKUP(VALUE(RIGHT(E1278,4)),'USD RUB'!$E:$F,2,FALSE),1)</f>
        <v>31.062956321839064</v>
      </c>
      <c r="B1278" s="4">
        <v>31.062956321839064</v>
      </c>
      <c r="C1278">
        <v>1000</v>
      </c>
      <c r="D1278" t="s">
        <v>111</v>
      </c>
      <c r="E1278" s="1" t="s">
        <v>1294</v>
      </c>
      <c r="F1278">
        <v>2276107061.5264354</v>
      </c>
      <c r="G1278">
        <v>11339159449.811487</v>
      </c>
      <c r="H1278">
        <v>43579401816.248253</v>
      </c>
      <c r="J1278">
        <v>57105020635.64135</v>
      </c>
      <c r="K1278">
        <v>4568863867.6413765</v>
      </c>
      <c r="L1278">
        <v>20642918686.634472</v>
      </c>
      <c r="N1278">
        <v>31893238081.365501</v>
      </c>
      <c r="O1278">
        <v>8858254317.255167</v>
      </c>
      <c r="P1278">
        <v>-133694964.00919533</v>
      </c>
      <c r="Q1278">
        <v>-609330951.20919502</v>
      </c>
      <c r="R1278">
        <v>-577180791.41609168</v>
      </c>
      <c r="T1278">
        <v>3075232675.8620672</v>
      </c>
      <c r="V1278">
        <f t="shared" si="50"/>
        <v>11097596116.36154</v>
      </c>
      <c r="W1278">
        <f t="shared" si="51"/>
        <v>68644952621.065392</v>
      </c>
    </row>
    <row r="1279" spans="1:23" x14ac:dyDescent="0.2">
      <c r="A1279">
        <f>IF(D1279="USD",VLOOKUP(VALUE(RIGHT(E1279,4)),'USD RUB'!$E:$F,2,FALSE),1)</f>
        <v>29.402434615384617</v>
      </c>
      <c r="B1279" s="4">
        <v>29.402434615384617</v>
      </c>
      <c r="C1279">
        <v>1000</v>
      </c>
      <c r="D1279" t="s">
        <v>111</v>
      </c>
      <c r="E1279" s="1" t="s">
        <v>1295</v>
      </c>
      <c r="F1279">
        <v>5295378474.2307692</v>
      </c>
      <c r="G1279">
        <v>13580425902.588463</v>
      </c>
      <c r="H1279">
        <v>42979861469.642311</v>
      </c>
      <c r="J1279">
        <v>58161661571.123077</v>
      </c>
      <c r="K1279">
        <v>21927100833.900002</v>
      </c>
      <c r="L1279">
        <v>5012144821.5807695</v>
      </c>
      <c r="N1279">
        <v>31222415915.642311</v>
      </c>
      <c r="O1279">
        <v>21349137176.665386</v>
      </c>
      <c r="P1279">
        <v>5543299802.9076929</v>
      </c>
      <c r="Q1279">
        <v>5212698828.092308</v>
      </c>
      <c r="R1279">
        <v>3990410218.6961541</v>
      </c>
      <c r="V1279" t="str">
        <f t="shared" si="50"/>
        <v/>
      </c>
      <c r="W1279" t="str">
        <f t="shared" si="51"/>
        <v/>
      </c>
    </row>
    <row r="1280" spans="1:23" x14ac:dyDescent="0.2">
      <c r="A1280">
        <f>IF(D1280="USD",VLOOKUP(VALUE(RIGHT(E1280,4)),'USD RUB'!$E:$F,2,FALSE),1)</f>
        <v>29.402434615384617</v>
      </c>
      <c r="B1280" s="4">
        <v>29.402434615384617</v>
      </c>
      <c r="C1280">
        <v>1000</v>
      </c>
      <c r="D1280" t="s">
        <v>111</v>
      </c>
      <c r="E1280" s="1" t="s">
        <v>1296</v>
      </c>
      <c r="F1280">
        <v>7552368160.1769238</v>
      </c>
      <c r="G1280">
        <v>18364643051.030769</v>
      </c>
      <c r="H1280">
        <v>49263044137.21154</v>
      </c>
      <c r="J1280">
        <v>68644952621.065392</v>
      </c>
      <c r="K1280">
        <v>11732130057.796154</v>
      </c>
      <c r="L1280">
        <v>5949082803.0346155</v>
      </c>
      <c r="N1280">
        <v>50963739760.234619</v>
      </c>
      <c r="O1280">
        <v>11097596116.36154</v>
      </c>
      <c r="P1280">
        <v>3892176684.6461539</v>
      </c>
      <c r="Q1280">
        <v>3725494282.8115387</v>
      </c>
      <c r="R1280">
        <v>2912193538.9153848</v>
      </c>
      <c r="T1280">
        <v>5351243100</v>
      </c>
      <c r="V1280" t="str">
        <f t="shared" si="50"/>
        <v/>
      </c>
      <c r="W1280" t="str">
        <f t="shared" si="51"/>
        <v/>
      </c>
    </row>
    <row r="1281" spans="1:23" x14ac:dyDescent="0.2">
      <c r="A1281">
        <f>IF(D1281="USD",VLOOKUP(VALUE(RIGHT(E1281,4)),'USD RUB'!$E:$F,2,FALSE),1)</f>
        <v>83.270722752808965</v>
      </c>
      <c r="B1281" s="4">
        <v>83.270722752808965</v>
      </c>
      <c r="C1281">
        <v>1000000</v>
      </c>
      <c r="D1281" t="s">
        <v>111</v>
      </c>
      <c r="E1281" s="1" t="s">
        <v>1297</v>
      </c>
      <c r="F1281">
        <v>128903078821.34828</v>
      </c>
      <c r="G1281">
        <v>687233274878.93237</v>
      </c>
      <c r="H1281">
        <v>585476451674.99988</v>
      </c>
      <c r="I1281">
        <v>195602927746.34827</v>
      </c>
      <c r="J1281">
        <v>2086431229294.3813</v>
      </c>
      <c r="K1281">
        <v>777415467620.22449</v>
      </c>
      <c r="L1281">
        <v>332583266674.71899</v>
      </c>
      <c r="M1281">
        <v>264134732571.91003</v>
      </c>
      <c r="N1281">
        <v>976432494999.43787</v>
      </c>
      <c r="O1281">
        <v>1233405945414.6064</v>
      </c>
      <c r="P1281">
        <v>10492111066.85393</v>
      </c>
      <c r="Q1281">
        <v>-19901702737.921341</v>
      </c>
      <c r="R1281">
        <v>-37888178852.528076</v>
      </c>
      <c r="S1281">
        <v>57040445085.674141</v>
      </c>
      <c r="T1281">
        <v>87684071058.70784</v>
      </c>
      <c r="U1281">
        <v>-122990857505.89883</v>
      </c>
      <c r="V1281">
        <f t="shared" si="50"/>
        <v>1118791606916.343</v>
      </c>
      <c r="W1281">
        <f t="shared" si="51"/>
        <v>2055809672665.927</v>
      </c>
    </row>
    <row r="1282" spans="1:23" x14ac:dyDescent="0.2">
      <c r="A1282">
        <f>IF(D1282="USD",VLOOKUP(VALUE(RIGHT(E1282,4)),'USD RUB'!$E:$F,2,FALSE),1)</f>
        <v>83.270722752808965</v>
      </c>
      <c r="B1282" s="4">
        <v>83.270722752808965</v>
      </c>
      <c r="C1282">
        <v>1000000</v>
      </c>
      <c r="D1282" t="s">
        <v>111</v>
      </c>
      <c r="E1282" s="1" t="s">
        <v>1298</v>
      </c>
      <c r="F1282">
        <v>93679563096.91008</v>
      </c>
      <c r="G1282">
        <v>685734401869.38184</v>
      </c>
      <c r="H1282">
        <v>551751808960.11218</v>
      </c>
      <c r="I1282">
        <v>201348607616.29208</v>
      </c>
      <c r="J1282">
        <v>2002910694373.314</v>
      </c>
      <c r="K1282">
        <v>734197962511.5166</v>
      </c>
      <c r="L1282">
        <v>260803903661.79767</v>
      </c>
      <c r="M1282">
        <v>294778358544.94373</v>
      </c>
      <c r="N1282">
        <v>1007908828199.9998</v>
      </c>
      <c r="O1282">
        <v>626195835101.12341</v>
      </c>
      <c r="P1282">
        <v>20984222133.707859</v>
      </c>
      <c r="Q1282">
        <v>10408840344.10112</v>
      </c>
      <c r="R1282">
        <v>-7244552879.49438</v>
      </c>
      <c r="S1282">
        <v>27229526340.168533</v>
      </c>
      <c r="T1282">
        <v>62286500619.101105</v>
      </c>
      <c r="U1282">
        <v>-58872400986.235939</v>
      </c>
      <c r="V1282">
        <f t="shared" si="50"/>
        <v>527356249080.33215</v>
      </c>
      <c r="W1282">
        <f t="shared" si="51"/>
        <v>2040160294949.5835</v>
      </c>
    </row>
    <row r="1283" spans="1:23" x14ac:dyDescent="0.2">
      <c r="A1283">
        <f>IF(D1283="USD",VLOOKUP(VALUE(RIGHT(E1283,4)),'USD RUB'!$E:$F,2,FALSE),1)</f>
        <v>92.599868144044279</v>
      </c>
      <c r="B1283" s="4">
        <v>92.599868144044279</v>
      </c>
      <c r="C1283">
        <v>1000000</v>
      </c>
      <c r="D1283" t="s">
        <v>111</v>
      </c>
      <c r="E1283" s="1" t="s">
        <v>1299</v>
      </c>
      <c r="F1283">
        <v>139177601820.49857</v>
      </c>
      <c r="G1283">
        <v>774227497552.35425</v>
      </c>
      <c r="H1283">
        <v>556062208204.98584</v>
      </c>
      <c r="I1283">
        <v>203812309785.04147</v>
      </c>
      <c r="J1283">
        <v>2055809672665.927</v>
      </c>
      <c r="K1283">
        <v>625882508785.59534</v>
      </c>
      <c r="L1283">
        <v>391327042776.73114</v>
      </c>
      <c r="M1283">
        <v>335859721758.44861</v>
      </c>
      <c r="N1283">
        <v>1038600121103.6006</v>
      </c>
      <c r="O1283">
        <v>1118791606916.343</v>
      </c>
      <c r="P1283">
        <v>34076751477.008293</v>
      </c>
      <c r="Q1283">
        <v>79450686867.589996</v>
      </c>
      <c r="R1283">
        <v>74357694119.667557</v>
      </c>
      <c r="S1283">
        <v>49818729061.495819</v>
      </c>
      <c r="T1283">
        <v>138344203007.20215</v>
      </c>
      <c r="U1283">
        <v>-126491419884.76448</v>
      </c>
      <c r="V1283">
        <f t="shared" si="50"/>
        <v>1043241499437.5004</v>
      </c>
      <c r="W1283">
        <f t="shared" si="51"/>
        <v>1833467251611.1118</v>
      </c>
    </row>
    <row r="1284" spans="1:23" x14ac:dyDescent="0.2">
      <c r="A1284">
        <f>IF(D1284="USD",VLOOKUP(VALUE(RIGHT(E1284,4)),'USD RUB'!$E:$F,2,FALSE),1)</f>
        <v>92.599868144044279</v>
      </c>
      <c r="B1284" s="4">
        <v>92.599868144044279</v>
      </c>
      <c r="C1284">
        <v>1000000</v>
      </c>
      <c r="D1284" t="s">
        <v>111</v>
      </c>
      <c r="E1284" s="1" t="s">
        <v>1300</v>
      </c>
      <c r="F1284">
        <v>122694825290.85867</v>
      </c>
      <c r="G1284">
        <v>712926384840.99695</v>
      </c>
      <c r="H1284">
        <v>562173799502.4928</v>
      </c>
      <c r="I1284">
        <v>215479893171.19104</v>
      </c>
      <c r="J1284">
        <v>2040160294949.5835</v>
      </c>
      <c r="K1284">
        <v>500409687450.41528</v>
      </c>
      <c r="L1284">
        <v>431978384891.96655</v>
      </c>
      <c r="M1284">
        <v>330303729669.80597</v>
      </c>
      <c r="N1284">
        <v>1107772222607.2017</v>
      </c>
      <c r="O1284">
        <v>527356249080.33215</v>
      </c>
      <c r="P1284">
        <v>40743941983.379486</v>
      </c>
      <c r="Q1284">
        <v>67505303877.008278</v>
      </c>
      <c r="R1284">
        <v>52318925501.385017</v>
      </c>
      <c r="S1284">
        <v>23057367167.867027</v>
      </c>
      <c r="T1284">
        <v>72783496361.218811</v>
      </c>
      <c r="U1284">
        <v>-47781531962.326851</v>
      </c>
      <c r="V1284">
        <f t="shared" si="50"/>
        <v>507825326631.94464</v>
      </c>
      <c r="W1284">
        <f t="shared" si="51"/>
        <v>1830135849131.9451</v>
      </c>
    </row>
    <row r="1285" spans="1:23" x14ac:dyDescent="0.2">
      <c r="A1285">
        <f>IF(D1285="USD",VLOOKUP(VALUE(RIGHT(E1285,4)),'USD RUB'!$E:$F,2,FALSE),1)</f>
        <v>85.420576388888918</v>
      </c>
      <c r="B1285" s="4">
        <v>85.420576388888918</v>
      </c>
      <c r="C1285">
        <v>1000000</v>
      </c>
      <c r="D1285" t="s">
        <v>111</v>
      </c>
      <c r="E1285" s="1" t="s">
        <v>1301</v>
      </c>
      <c r="F1285">
        <v>178272742923.61118</v>
      </c>
      <c r="G1285">
        <v>678410217680.55579</v>
      </c>
      <c r="H1285">
        <v>495951866513.88904</v>
      </c>
      <c r="I1285">
        <v>199627887020.8334</v>
      </c>
      <c r="J1285">
        <v>1833467251611.1118</v>
      </c>
      <c r="K1285">
        <v>317679123590.27789</v>
      </c>
      <c r="L1285">
        <v>574795058520.8335</v>
      </c>
      <c r="M1285">
        <v>256432570319.44452</v>
      </c>
      <c r="N1285">
        <v>940993069500.00037</v>
      </c>
      <c r="O1285">
        <v>1043241499437.5004</v>
      </c>
      <c r="P1285">
        <v>-6748225534.7222242</v>
      </c>
      <c r="Q1285">
        <v>20842620638.888897</v>
      </c>
      <c r="R1285">
        <v>24088602541.666676</v>
      </c>
      <c r="S1285">
        <v>46127111250.000015</v>
      </c>
      <c r="T1285">
        <v>67140573041.666687</v>
      </c>
      <c r="U1285">
        <v>-90204128666.666702</v>
      </c>
      <c r="V1285">
        <f t="shared" si="50"/>
        <v>951330600944.99927</v>
      </c>
      <c r="W1285">
        <f t="shared" si="51"/>
        <v>1676844427642.4988</v>
      </c>
    </row>
    <row r="1286" spans="1:23" x14ac:dyDescent="0.2">
      <c r="A1286">
        <f>IF(D1286="USD",VLOOKUP(VALUE(RIGHT(E1286,4)),'USD RUB'!$E:$F,2,FALSE),1)</f>
        <v>85.420576388888918</v>
      </c>
      <c r="B1286" s="4">
        <v>85.420576388888918</v>
      </c>
      <c r="C1286">
        <v>1000000</v>
      </c>
      <c r="D1286" t="s">
        <v>111</v>
      </c>
      <c r="E1286" s="1" t="s">
        <v>1302</v>
      </c>
      <c r="F1286">
        <v>127020397090.27782</v>
      </c>
      <c r="G1286">
        <v>673968347708.33362</v>
      </c>
      <c r="H1286">
        <v>484505509277.77795</v>
      </c>
      <c r="I1286">
        <v>204155177569.44452</v>
      </c>
      <c r="J1286">
        <v>1830135849131.9451</v>
      </c>
      <c r="K1286">
        <v>245584157118.05563</v>
      </c>
      <c r="L1286">
        <v>621263852076.38916</v>
      </c>
      <c r="M1286">
        <v>268220609861.11121</v>
      </c>
      <c r="N1286">
        <v>963287839937.50037</v>
      </c>
      <c r="O1286">
        <v>507825326631.94464</v>
      </c>
      <c r="P1286">
        <v>-2818879020.8333344</v>
      </c>
      <c r="Q1286">
        <v>22978135048.611118</v>
      </c>
      <c r="R1286">
        <v>35876642083.333344</v>
      </c>
      <c r="S1286">
        <v>21440564673.611118</v>
      </c>
      <c r="T1286">
        <v>24771967152.777786</v>
      </c>
      <c r="U1286">
        <v>-35620380354.166679</v>
      </c>
      <c r="V1286">
        <f t="shared" si="50"/>
        <v>486966350977.49963</v>
      </c>
      <c r="W1286">
        <f t="shared" si="51"/>
        <v>1730490378232.4988</v>
      </c>
    </row>
    <row r="1287" spans="1:23" x14ac:dyDescent="0.2">
      <c r="A1287">
        <f>IF(D1287="USD",VLOOKUP(VALUE(RIGHT(E1287,4)),'USD RUB'!$E:$F,2,FALSE),1)</f>
        <v>68.07861749999995</v>
      </c>
      <c r="B1287" s="4">
        <v>68.07861749999995</v>
      </c>
      <c r="C1287">
        <v>1000000</v>
      </c>
      <c r="D1287" t="s">
        <v>111</v>
      </c>
      <c r="E1287" s="1" t="s">
        <v>1303</v>
      </c>
      <c r="F1287">
        <v>217579261529.99985</v>
      </c>
      <c r="G1287">
        <v>688615216012.49951</v>
      </c>
      <c r="H1287">
        <v>396830261407.49969</v>
      </c>
      <c r="I1287">
        <v>177344798587.49988</v>
      </c>
      <c r="J1287">
        <v>1676844427642.4988</v>
      </c>
      <c r="K1287">
        <v>312548932942.49976</v>
      </c>
      <c r="L1287">
        <v>526451949127.49963</v>
      </c>
      <c r="M1287">
        <v>185173839599.99988</v>
      </c>
      <c r="N1287">
        <v>837843545572.49939</v>
      </c>
      <c r="O1287">
        <v>951330600944.99927</v>
      </c>
      <c r="P1287">
        <v>89591460629.999939</v>
      </c>
      <c r="Q1287">
        <v>147458285504.99988</v>
      </c>
      <c r="R1287">
        <v>122064961177.49991</v>
      </c>
      <c r="S1287">
        <v>34243544602.499973</v>
      </c>
      <c r="T1287">
        <v>138063436289.99991</v>
      </c>
      <c r="U1287">
        <v>-84349407082.499939</v>
      </c>
      <c r="V1287">
        <f t="shared" si="50"/>
        <v>884866844886.54565</v>
      </c>
      <c r="W1287">
        <f t="shared" si="51"/>
        <v>1542356699949.8184</v>
      </c>
    </row>
    <row r="1288" spans="1:23" x14ac:dyDescent="0.2">
      <c r="A1288">
        <f>IF(D1288="USD",VLOOKUP(VALUE(RIGHT(E1288,4)),'USD RUB'!$E:$F,2,FALSE),1)</f>
        <v>68.07861749999995</v>
      </c>
      <c r="B1288" s="4">
        <v>68.07861749999995</v>
      </c>
      <c r="C1288">
        <v>1000000</v>
      </c>
      <c r="D1288" t="s">
        <v>111</v>
      </c>
      <c r="E1288" s="1" t="s">
        <v>1304</v>
      </c>
      <c r="F1288">
        <v>97420501642.499924</v>
      </c>
      <c r="G1288">
        <v>602631922109.99951</v>
      </c>
      <c r="H1288">
        <v>416913453569.99969</v>
      </c>
      <c r="I1288">
        <v>195453710842.49985</v>
      </c>
      <c r="J1288">
        <v>1730490378232.4988</v>
      </c>
      <c r="K1288">
        <v>398191833757.49969</v>
      </c>
      <c r="L1288">
        <v>321058760129.99976</v>
      </c>
      <c r="M1288">
        <v>198176855542.49985</v>
      </c>
      <c r="N1288">
        <v>1011239784344.9993</v>
      </c>
      <c r="O1288">
        <v>486966350977.49963</v>
      </c>
      <c r="P1288">
        <v>104296442009.99992</v>
      </c>
      <c r="Q1288">
        <v>160937851769.99988</v>
      </c>
      <c r="R1288">
        <v>114372077399.99992</v>
      </c>
      <c r="S1288">
        <v>16815418522.499989</v>
      </c>
      <c r="T1288">
        <v>123018061822.49991</v>
      </c>
      <c r="U1288">
        <v>-31656557137.499977</v>
      </c>
      <c r="V1288">
        <f t="shared" si="50"/>
        <v>402004288626.54553</v>
      </c>
      <c r="W1288">
        <f t="shared" si="51"/>
        <v>1509895351629.8184</v>
      </c>
    </row>
    <row r="1289" spans="1:23" x14ac:dyDescent="0.2">
      <c r="A1289">
        <f>IF(D1289="USD",VLOOKUP(VALUE(RIGHT(E1289,4)),'USD RUB'!$E:$F,2,FALSE),1)</f>
        <v>73.77579163636365</v>
      </c>
      <c r="B1289" s="4">
        <v>73.77579163636365</v>
      </c>
      <c r="C1289">
        <v>1000000</v>
      </c>
      <c r="D1289" t="s">
        <v>111</v>
      </c>
      <c r="E1289" s="1" t="s">
        <v>1305</v>
      </c>
      <c r="F1289">
        <v>146371170606.54547</v>
      </c>
      <c r="G1289">
        <v>622372578244.36377</v>
      </c>
      <c r="H1289">
        <v>394700485254.54553</v>
      </c>
      <c r="I1289">
        <v>177873433635.27277</v>
      </c>
      <c r="J1289">
        <v>1542356699949.8184</v>
      </c>
      <c r="K1289">
        <v>338778435194.18188</v>
      </c>
      <c r="L1289">
        <v>427161833574.54553</v>
      </c>
      <c r="M1289">
        <v>90817999504.363647</v>
      </c>
      <c r="N1289">
        <v>776416431181.09106</v>
      </c>
      <c r="O1289">
        <v>884866844886.54565</v>
      </c>
      <c r="P1289">
        <v>153379870812.00003</v>
      </c>
      <c r="Q1289">
        <v>268617657348.00006</v>
      </c>
      <c r="R1289">
        <v>237926928027.27277</v>
      </c>
      <c r="S1289">
        <v>43970371815.272736</v>
      </c>
      <c r="T1289">
        <v>213433365204.00003</v>
      </c>
      <c r="U1289">
        <v>-87940743630.545471</v>
      </c>
      <c r="V1289">
        <f t="shared" si="50"/>
        <v>619298913558.18848</v>
      </c>
      <c r="W1289">
        <f t="shared" si="51"/>
        <v>1256382969859.2341</v>
      </c>
    </row>
    <row r="1290" spans="1:23" x14ac:dyDescent="0.2">
      <c r="A1290">
        <f>IF(D1290="USD",VLOOKUP(VALUE(RIGHT(E1290,4)),'USD RUB'!$E:$F,2,FALSE),1)</f>
        <v>73.77579163636365</v>
      </c>
      <c r="B1290" s="4">
        <v>73.77579163636365</v>
      </c>
      <c r="C1290">
        <v>1000000</v>
      </c>
      <c r="D1290" t="s">
        <v>111</v>
      </c>
      <c r="E1290" s="1" t="s">
        <v>1306</v>
      </c>
      <c r="F1290">
        <v>277839631302.54553</v>
      </c>
      <c r="G1290">
        <v>594927983755.63647</v>
      </c>
      <c r="H1290">
        <v>375961434178.90918</v>
      </c>
      <c r="I1290">
        <v>179717828426.18185</v>
      </c>
      <c r="J1290">
        <v>1509895351629.8184</v>
      </c>
      <c r="K1290">
        <v>264043558266.5455</v>
      </c>
      <c r="L1290">
        <v>556785899479.63647</v>
      </c>
      <c r="M1290">
        <v>-7746458121.8181829</v>
      </c>
      <c r="N1290">
        <v>689065893883.63647</v>
      </c>
      <c r="O1290">
        <v>402004288626.54553</v>
      </c>
      <c r="P1290">
        <v>69496795721.454559</v>
      </c>
      <c r="Q1290">
        <v>159429485726.18185</v>
      </c>
      <c r="R1290">
        <v>148879547522.18185</v>
      </c>
      <c r="S1290">
        <v>23386925948.727276</v>
      </c>
      <c r="T1290">
        <v>97015166001.818207</v>
      </c>
      <c r="U1290">
        <v>-40871788566.545464</v>
      </c>
      <c r="V1290">
        <f t="shared" si="50"/>
        <v>290273772815.33118</v>
      </c>
      <c r="W1290">
        <f t="shared" si="51"/>
        <v>1208955922544.9485</v>
      </c>
    </row>
    <row r="1291" spans="1:23" x14ac:dyDescent="0.2">
      <c r="A1291">
        <f>IF(D1291="USD",VLOOKUP(VALUE(RIGHT(E1291,4)),'USD RUB'!$E:$F,2,FALSE),1)</f>
        <v>72.297328222996555</v>
      </c>
      <c r="B1291" s="4">
        <v>72.297328222996555</v>
      </c>
      <c r="C1291">
        <v>1000000</v>
      </c>
      <c r="D1291" t="s">
        <v>111</v>
      </c>
      <c r="E1291" s="1" t="s">
        <v>1307</v>
      </c>
      <c r="F1291">
        <v>161150744609.05933</v>
      </c>
      <c r="G1291">
        <v>424891397966.55078</v>
      </c>
      <c r="H1291">
        <v>351003528522.64825</v>
      </c>
      <c r="I1291">
        <v>174019669032.75272</v>
      </c>
      <c r="J1291">
        <v>1256382969859.2341</v>
      </c>
      <c r="K1291">
        <v>201781843070.38339</v>
      </c>
      <c r="L1291">
        <v>581559708225.7843</v>
      </c>
      <c r="M1291">
        <v>-153487227817.42169</v>
      </c>
      <c r="N1291">
        <v>473041418563.06647</v>
      </c>
      <c r="O1291">
        <v>619298913558.18848</v>
      </c>
      <c r="P1291">
        <v>20170954574.216038</v>
      </c>
      <c r="Q1291">
        <v>51764887007.665535</v>
      </c>
      <c r="R1291">
        <v>54873672121.254387</v>
      </c>
      <c r="S1291">
        <v>41209477087.10804</v>
      </c>
      <c r="T1291">
        <v>62970972882.229996</v>
      </c>
      <c r="U1291">
        <v>-64850703416.027908</v>
      </c>
      <c r="V1291">
        <f t="shared" si="50"/>
        <v>628195789406.24951</v>
      </c>
      <c r="W1291">
        <f t="shared" si="51"/>
        <v>1152371516062.4993</v>
      </c>
    </row>
    <row r="1292" spans="1:23" x14ac:dyDescent="0.2">
      <c r="A1292">
        <f>IF(D1292="USD",VLOOKUP(VALUE(RIGHT(E1292,4)),'USD RUB'!$E:$F,2,FALSE),1)</f>
        <v>72.297328222996555</v>
      </c>
      <c r="B1292" s="4">
        <v>72.297328222996555</v>
      </c>
      <c r="C1292">
        <v>1000000</v>
      </c>
      <c r="D1292" t="s">
        <v>111</v>
      </c>
      <c r="E1292" s="1" t="s">
        <v>1308</v>
      </c>
      <c r="F1292">
        <v>151535199955.40079</v>
      </c>
      <c r="G1292">
        <v>428723156362.36957</v>
      </c>
      <c r="H1292">
        <v>330037303337.97925</v>
      </c>
      <c r="I1292">
        <v>175393318268.98965</v>
      </c>
      <c r="J1292">
        <v>1208955922544.9485</v>
      </c>
      <c r="K1292">
        <v>183418321701.74225</v>
      </c>
      <c r="L1292">
        <v>593344172726.13269</v>
      </c>
      <c r="M1292">
        <v>-217325768638.32764</v>
      </c>
      <c r="N1292">
        <v>432193428117.07343</v>
      </c>
      <c r="O1292">
        <v>290273772815.33118</v>
      </c>
      <c r="P1292">
        <v>-7663516791.6376352</v>
      </c>
      <c r="Q1292">
        <v>-14748654957.491297</v>
      </c>
      <c r="R1292">
        <v>-8964868699.6515732</v>
      </c>
      <c r="S1292">
        <v>19809467933.101055</v>
      </c>
      <c r="T1292">
        <v>15833114880.836245</v>
      </c>
      <c r="U1292">
        <v>-28991228617.421619</v>
      </c>
      <c r="V1292">
        <f t="shared" si="50"/>
        <v>306367547999.99982</v>
      </c>
      <c r="W1292">
        <f t="shared" si="51"/>
        <v>1120350414656.2493</v>
      </c>
    </row>
    <row r="1293" spans="1:23" x14ac:dyDescent="0.2">
      <c r="A1293">
        <f>IF(D1293="USD",VLOOKUP(VALUE(RIGHT(E1293,4)),'USD RUB'!$E:$F,2,FALSE),1)</f>
        <v>64.689093749999955</v>
      </c>
      <c r="B1293" s="4">
        <v>64.689093749999955</v>
      </c>
      <c r="C1293">
        <v>1000000</v>
      </c>
      <c r="D1293" t="s">
        <v>111</v>
      </c>
      <c r="E1293" s="1" t="s">
        <v>1309</v>
      </c>
      <c r="F1293">
        <v>115211275968.74992</v>
      </c>
      <c r="G1293">
        <v>405471239624.99969</v>
      </c>
      <c r="H1293">
        <v>291036232781.24982</v>
      </c>
      <c r="I1293">
        <v>165410012718.74988</v>
      </c>
      <c r="J1293">
        <v>1152371516062.4993</v>
      </c>
      <c r="K1293">
        <v>154606934062.49988</v>
      </c>
      <c r="L1293">
        <v>561307266468.74963</v>
      </c>
      <c r="M1293">
        <v>-186433968187.49988</v>
      </c>
      <c r="N1293">
        <v>436457315531.24969</v>
      </c>
      <c r="O1293">
        <v>628195789406.24951</v>
      </c>
      <c r="P1293">
        <v>5627951156.2499962</v>
      </c>
      <c r="Q1293">
        <v>68182304812.499954</v>
      </c>
      <c r="R1293">
        <v>62101529999.999954</v>
      </c>
      <c r="S1293">
        <v>36614027062.499977</v>
      </c>
      <c r="T1293">
        <v>62489664562.499954</v>
      </c>
      <c r="U1293">
        <v>-54856351499.999962</v>
      </c>
      <c r="V1293">
        <f t="shared" si="50"/>
        <v>646294416305.64771</v>
      </c>
      <c r="W1293">
        <f t="shared" si="51"/>
        <v>991885895530.56458</v>
      </c>
    </row>
    <row r="1294" spans="1:23" x14ac:dyDescent="0.2">
      <c r="A1294">
        <f>IF(D1294="USD",VLOOKUP(VALUE(RIGHT(E1294,4)),'USD RUB'!$E:$F,2,FALSE),1)</f>
        <v>64.689093749999955</v>
      </c>
      <c r="B1294" s="4">
        <v>64.689093749999955</v>
      </c>
      <c r="C1294">
        <v>1000000</v>
      </c>
      <c r="D1294" t="s">
        <v>111</v>
      </c>
      <c r="E1294" s="1" t="s">
        <v>1310</v>
      </c>
      <c r="F1294">
        <v>104537575499.99992</v>
      </c>
      <c r="G1294">
        <v>405406550531.24969</v>
      </c>
      <c r="H1294">
        <v>294852889312.49982</v>
      </c>
      <c r="I1294">
        <v>162757759874.99988</v>
      </c>
      <c r="J1294">
        <v>1135228906218.7493</v>
      </c>
      <c r="K1294">
        <v>157841388749.99988</v>
      </c>
      <c r="L1294">
        <v>565317990281.24963</v>
      </c>
      <c r="M1294">
        <v>-195555130406.24988</v>
      </c>
      <c r="N1294">
        <v>412069527187.49969</v>
      </c>
      <c r="O1294">
        <v>467184635062.49969</v>
      </c>
      <c r="P1294">
        <v>17142609843.749989</v>
      </c>
      <c r="Q1294">
        <v>61001815406.249954</v>
      </c>
      <c r="R1294">
        <v>52980367781.249962</v>
      </c>
      <c r="S1294">
        <v>26845973906.249981</v>
      </c>
      <c r="T1294">
        <v>49487156718.749969</v>
      </c>
      <c r="U1294">
        <v>-35967136124.999977</v>
      </c>
      <c r="V1294">
        <f t="shared" si="50"/>
        <v>497608979091.36206</v>
      </c>
      <c r="W1294">
        <f t="shared" si="51"/>
        <v>1004522585966.1128</v>
      </c>
    </row>
    <row r="1295" spans="1:23" x14ac:dyDescent="0.2">
      <c r="A1295">
        <f>IF(D1295="USD",VLOOKUP(VALUE(RIGHT(E1295,4)),'USD RUB'!$E:$F,2,FALSE),1)</f>
        <v>64.689093749999955</v>
      </c>
      <c r="B1295" s="4">
        <v>64.689093749999955</v>
      </c>
      <c r="C1295">
        <v>1000000</v>
      </c>
      <c r="D1295" t="s">
        <v>111</v>
      </c>
      <c r="E1295" s="1" t="s">
        <v>1311</v>
      </c>
      <c r="F1295">
        <v>62683731843.749954</v>
      </c>
      <c r="G1295">
        <v>372156356343.74976</v>
      </c>
      <c r="H1295">
        <v>293300351062.49982</v>
      </c>
      <c r="I1295">
        <v>163534028999.99988</v>
      </c>
      <c r="J1295">
        <v>1120350414656.2493</v>
      </c>
      <c r="K1295">
        <v>167868198281.24988</v>
      </c>
      <c r="L1295">
        <v>549081027749.99963</v>
      </c>
      <c r="M1295">
        <v>-212438983874.99985</v>
      </c>
      <c r="N1295">
        <v>403401188624.99969</v>
      </c>
      <c r="O1295">
        <v>306367547999.99982</v>
      </c>
      <c r="P1295">
        <v>13002507843.74999</v>
      </c>
      <c r="Q1295">
        <v>41918532749.999969</v>
      </c>
      <c r="R1295">
        <v>36096514312.499977</v>
      </c>
      <c r="S1295">
        <v>17595433499.999989</v>
      </c>
      <c r="T1295">
        <v>34155841499.999977</v>
      </c>
      <c r="U1295">
        <v>-22835250093.749985</v>
      </c>
      <c r="V1295">
        <f t="shared" si="50"/>
        <v>314156925902.65778</v>
      </c>
      <c r="W1295">
        <f t="shared" si="51"/>
        <v>1016090501588.7041</v>
      </c>
    </row>
    <row r="1296" spans="1:23" x14ac:dyDescent="0.2">
      <c r="A1296">
        <f>IF(D1296="USD",VLOOKUP(VALUE(RIGHT(E1296,4)),'USD RUB'!$E:$F,2,FALSE),1)</f>
        <v>64.689093749999955</v>
      </c>
      <c r="B1296" s="4">
        <v>64.689093749999955</v>
      </c>
      <c r="C1296">
        <v>1000000</v>
      </c>
      <c r="D1296" t="s">
        <v>111</v>
      </c>
      <c r="E1296" s="1" t="s">
        <v>1312</v>
      </c>
      <c r="F1296">
        <v>53433191437.499962</v>
      </c>
      <c r="G1296">
        <v>339164918531.24976</v>
      </c>
      <c r="H1296">
        <v>288513358124.99982</v>
      </c>
      <c r="I1296">
        <v>161463977999.99988</v>
      </c>
      <c r="J1296">
        <v>1087294287749.9993</v>
      </c>
      <c r="K1296">
        <v>172137678468.74988</v>
      </c>
      <c r="L1296">
        <v>538730772749.99963</v>
      </c>
      <c r="M1296">
        <v>-230875375593.74985</v>
      </c>
      <c r="N1296">
        <v>376425836531.24976</v>
      </c>
      <c r="O1296">
        <v>140375333437.49991</v>
      </c>
      <c r="P1296">
        <v>4722303843.7499971</v>
      </c>
      <c r="Q1296">
        <v>20441753624.999985</v>
      </c>
      <c r="R1296">
        <v>17660122593.749989</v>
      </c>
      <c r="S1296">
        <v>8086136718.7499943</v>
      </c>
      <c r="T1296">
        <v>14619735187.49999</v>
      </c>
      <c r="U1296">
        <v>-8797716749.9999943</v>
      </c>
      <c r="V1296">
        <f t="shared" si="50"/>
        <v>172512828632.55811</v>
      </c>
      <c r="W1296">
        <f t="shared" si="51"/>
        <v>1035014102688.7041</v>
      </c>
    </row>
    <row r="1297" spans="1:23" x14ac:dyDescent="0.2">
      <c r="A1297">
        <f>IF(D1297="USD",VLOOKUP(VALUE(RIGHT(E1297,4)),'USD RUB'!$E:$F,2,FALSE),1)</f>
        <v>62.869106644518261</v>
      </c>
      <c r="B1297" s="4">
        <v>62.869106644518261</v>
      </c>
      <c r="C1297">
        <v>1000000</v>
      </c>
      <c r="D1297" t="s">
        <v>111</v>
      </c>
      <c r="E1297" s="1" t="s">
        <v>1313</v>
      </c>
      <c r="F1297">
        <v>53061526007.973412</v>
      </c>
      <c r="G1297">
        <v>318494894261.12952</v>
      </c>
      <c r="H1297">
        <v>277944320475.41522</v>
      </c>
      <c r="I1297">
        <v>151451677906.6445</v>
      </c>
      <c r="J1297">
        <v>991885895530.56458</v>
      </c>
      <c r="K1297">
        <v>141706966376.74417</v>
      </c>
      <c r="L1297">
        <v>522693752642.52484</v>
      </c>
      <c r="M1297">
        <v>-241543107728.23917</v>
      </c>
      <c r="N1297">
        <v>327485176511.29559</v>
      </c>
      <c r="O1297">
        <v>646294416305.64771</v>
      </c>
      <c r="P1297">
        <v>93109146940.53154</v>
      </c>
      <c r="Q1297">
        <v>122783365276.74417</v>
      </c>
      <c r="R1297">
        <v>106751743082.39201</v>
      </c>
      <c r="S1297">
        <v>32251851708.637867</v>
      </c>
      <c r="T1297">
        <v>135985877672.093</v>
      </c>
      <c r="U1297">
        <v>-52432834941.528229</v>
      </c>
      <c r="V1297">
        <f t="shared" si="50"/>
        <v>581320803295.04932</v>
      </c>
      <c r="W1297">
        <f t="shared" si="51"/>
        <v>919826898502.96997</v>
      </c>
    </row>
    <row r="1298" spans="1:23" x14ac:dyDescent="0.2">
      <c r="A1298">
        <f>IF(D1298="USD",VLOOKUP(VALUE(RIGHT(E1298,4)),'USD RUB'!$E:$F,2,FALSE),1)</f>
        <v>62.869106644518261</v>
      </c>
      <c r="B1298" s="4">
        <v>62.869106644518261</v>
      </c>
      <c r="C1298">
        <v>1000000</v>
      </c>
      <c r="D1298" t="s">
        <v>111</v>
      </c>
      <c r="E1298" s="1" t="s">
        <v>1314</v>
      </c>
      <c r="F1298">
        <v>59285567565.780724</v>
      </c>
      <c r="G1298">
        <v>328742558644.18597</v>
      </c>
      <c r="H1298">
        <v>273229137477.07635</v>
      </c>
      <c r="I1298">
        <v>151451677906.6445</v>
      </c>
      <c r="J1298">
        <v>1004522585966.1128</v>
      </c>
      <c r="K1298">
        <v>133848328046.17938</v>
      </c>
      <c r="L1298">
        <v>536650694317.60785</v>
      </c>
      <c r="M1298">
        <v>-250910604618.27237</v>
      </c>
      <c r="N1298">
        <v>334023563602.3255</v>
      </c>
      <c r="O1298">
        <v>497608979091.36206</v>
      </c>
      <c r="P1298">
        <v>78397775985.714279</v>
      </c>
      <c r="Q1298">
        <v>106437397549.16942</v>
      </c>
      <c r="R1298">
        <v>97384246192.35878</v>
      </c>
      <c r="S1298">
        <v>24078867844.850494</v>
      </c>
      <c r="T1298">
        <v>113164391960.13287</v>
      </c>
      <c r="U1298">
        <v>-43442552691.362122</v>
      </c>
      <c r="V1298">
        <f t="shared" si="50"/>
        <v>421252029592.07904</v>
      </c>
      <c r="W1298">
        <f t="shared" si="51"/>
        <v>909797088274.58704</v>
      </c>
    </row>
    <row r="1299" spans="1:23" x14ac:dyDescent="0.2">
      <c r="A1299">
        <f>IF(D1299="USD",VLOOKUP(VALUE(RIGHT(E1299,4)),'USD RUB'!$E:$F,2,FALSE),1)</f>
        <v>62.869106644518261</v>
      </c>
      <c r="B1299" s="4">
        <v>62.869106644518261</v>
      </c>
      <c r="C1299">
        <v>1000000</v>
      </c>
      <c r="D1299" t="s">
        <v>111</v>
      </c>
      <c r="E1299" s="1" t="s">
        <v>1315</v>
      </c>
      <c r="F1299">
        <v>40550573785.714279</v>
      </c>
      <c r="G1299">
        <v>316420213741.86041</v>
      </c>
      <c r="H1299">
        <v>273669221223.58798</v>
      </c>
      <c r="I1299">
        <v>154092180385.71426</v>
      </c>
      <c r="J1299">
        <v>1016090501588.7041</v>
      </c>
      <c r="K1299">
        <v>155349562518.60461</v>
      </c>
      <c r="L1299">
        <v>550921981525.91357</v>
      </c>
      <c r="M1299">
        <v>-288443461285.0498</v>
      </c>
      <c r="N1299">
        <v>309818957544.18597</v>
      </c>
      <c r="O1299">
        <v>314156925902.65778</v>
      </c>
      <c r="P1299">
        <v>47403306409.966766</v>
      </c>
      <c r="Q1299">
        <v>63937881457.475075</v>
      </c>
      <c r="R1299">
        <v>59851389525.581383</v>
      </c>
      <c r="S1299">
        <v>15340062021.262455</v>
      </c>
      <c r="T1299">
        <v>70664875868.438522</v>
      </c>
      <c r="U1299">
        <v>-30617254935.880394</v>
      </c>
      <c r="V1299">
        <f t="shared" si="50"/>
        <v>277802418186.13849</v>
      </c>
      <c r="W1299">
        <f t="shared" si="51"/>
        <v>871543858566.3363</v>
      </c>
    </row>
    <row r="1300" spans="1:23" x14ac:dyDescent="0.2">
      <c r="A1300">
        <f>IF(D1300="USD",VLOOKUP(VALUE(RIGHT(E1300,4)),'USD RUB'!$E:$F,2,FALSE),1)</f>
        <v>62.869106644518261</v>
      </c>
      <c r="B1300" s="4">
        <v>62.869106644518261</v>
      </c>
      <c r="C1300">
        <v>1000000</v>
      </c>
      <c r="D1300" t="s">
        <v>111</v>
      </c>
      <c r="E1300" s="1" t="s">
        <v>1316</v>
      </c>
      <c r="F1300">
        <v>58971222032.558128</v>
      </c>
      <c r="G1300">
        <v>291775523937.20923</v>
      </c>
      <c r="H1300">
        <v>274360781396.6777</v>
      </c>
      <c r="I1300">
        <v>161007782116.61127</v>
      </c>
      <c r="J1300">
        <v>1035014102688.7041</v>
      </c>
      <c r="K1300">
        <v>162768117102.65778</v>
      </c>
      <c r="L1300">
        <v>557208892190.36536</v>
      </c>
      <c r="M1300">
        <v>-314094056796.01324</v>
      </c>
      <c r="N1300">
        <v>315037093395.68103</v>
      </c>
      <c r="O1300">
        <v>172512828632.55811</v>
      </c>
      <c r="P1300">
        <v>24707558911.295677</v>
      </c>
      <c r="Q1300">
        <v>36149736320.598</v>
      </c>
      <c r="R1300">
        <v>34200794014.617935</v>
      </c>
      <c r="S1300">
        <v>8047245650.4983377</v>
      </c>
      <c r="T1300">
        <v>35961129000.664444</v>
      </c>
      <c r="U1300">
        <v>-13831203461.794018</v>
      </c>
      <c r="V1300">
        <f t="shared" si="50"/>
        <v>133944616829.04285</v>
      </c>
      <c r="W1300">
        <f t="shared" si="51"/>
        <v>866004137800.65967</v>
      </c>
    </row>
    <row r="1301" spans="1:23" x14ac:dyDescent="0.2">
      <c r="A1301">
        <f>IF(D1301="USD",VLOOKUP(VALUE(RIGHT(E1301,4)),'USD RUB'!$E:$F,2,FALSE),1)</f>
        <v>58.312850165016478</v>
      </c>
      <c r="B1301" s="4">
        <v>58.312850165016478</v>
      </c>
      <c r="C1301">
        <v>1000000</v>
      </c>
      <c r="D1301" t="s">
        <v>111</v>
      </c>
      <c r="E1301" s="1" t="s">
        <v>1317</v>
      </c>
      <c r="F1301">
        <v>48457978487.128693</v>
      </c>
      <c r="G1301">
        <v>249695624406.60056</v>
      </c>
      <c r="H1301">
        <v>252086451263.36624</v>
      </c>
      <c r="I1301">
        <v>148814393621.12204</v>
      </c>
      <c r="J1301">
        <v>919826898502.96997</v>
      </c>
      <c r="K1301">
        <v>144149365607.92075</v>
      </c>
      <c r="L1301">
        <v>516535226761.71594</v>
      </c>
      <c r="M1301">
        <v>-323053189914.19128</v>
      </c>
      <c r="N1301">
        <v>259142306133.33322</v>
      </c>
      <c r="O1301">
        <v>581320803295.04932</v>
      </c>
      <c r="P1301">
        <v>88810470801.320099</v>
      </c>
      <c r="Q1301">
        <v>75106951012.541229</v>
      </c>
      <c r="R1301">
        <v>71258302901.650131</v>
      </c>
      <c r="S1301">
        <v>28456670880.528042</v>
      </c>
      <c r="T1301">
        <v>123623242349.83493</v>
      </c>
      <c r="U1301">
        <v>-49099419838.943878</v>
      </c>
      <c r="V1301">
        <f t="shared" si="50"/>
        <v>535295045901.06335</v>
      </c>
      <c r="W1301">
        <f t="shared" si="51"/>
        <v>969069773689.36084</v>
      </c>
    </row>
    <row r="1302" spans="1:23" x14ac:dyDescent="0.2">
      <c r="A1302">
        <f>IF(D1302="USD",VLOOKUP(VALUE(RIGHT(E1302,4)),'USD RUB'!$E:$F,2,FALSE),1)</f>
        <v>58.312850165016478</v>
      </c>
      <c r="B1302" s="4">
        <v>58.312850165016478</v>
      </c>
      <c r="C1302">
        <v>1000000</v>
      </c>
      <c r="D1302" t="s">
        <v>111</v>
      </c>
      <c r="E1302" s="1" t="s">
        <v>1318</v>
      </c>
      <c r="F1302">
        <v>65485330735.313507</v>
      </c>
      <c r="G1302">
        <v>263282518495.04941</v>
      </c>
      <c r="H1302">
        <v>238266305774.25732</v>
      </c>
      <c r="I1302">
        <v>148581142220.46198</v>
      </c>
      <c r="J1302">
        <v>909797088274.58704</v>
      </c>
      <c r="K1302">
        <v>144557555559.07584</v>
      </c>
      <c r="L1302">
        <v>534262333211.88098</v>
      </c>
      <c r="M1302">
        <v>-348710843986.79852</v>
      </c>
      <c r="N1302">
        <v>230977199503.63028</v>
      </c>
      <c r="O1302">
        <v>421252029592.07904</v>
      </c>
      <c r="P1302">
        <v>59654045718.811859</v>
      </c>
      <c r="Q1302">
        <v>48749542737.953773</v>
      </c>
      <c r="R1302">
        <v>45600648829.042885</v>
      </c>
      <c r="S1302">
        <v>21225877460.065998</v>
      </c>
      <c r="T1302">
        <v>89451912153.135284</v>
      </c>
      <c r="U1302">
        <v>-31897129040.264015</v>
      </c>
      <c r="V1302">
        <f t="shared" si="50"/>
        <v>399375835323.40393</v>
      </c>
      <c r="W1302">
        <f t="shared" si="51"/>
        <v>911872394990.4248</v>
      </c>
    </row>
    <row r="1303" spans="1:23" x14ac:dyDescent="0.2">
      <c r="A1303">
        <f>IF(D1303="USD",VLOOKUP(VALUE(RIGHT(E1303,4)),'USD RUB'!$E:$F,2,FALSE),1)</f>
        <v>58.312850165016478</v>
      </c>
      <c r="B1303" s="4">
        <v>58.312850165016478</v>
      </c>
      <c r="C1303">
        <v>1000000</v>
      </c>
      <c r="D1303" t="s">
        <v>111</v>
      </c>
      <c r="E1303" s="1" t="s">
        <v>1319</v>
      </c>
      <c r="F1303">
        <v>36095654252.145203</v>
      </c>
      <c r="G1303">
        <v>233134774959.73587</v>
      </c>
      <c r="H1303">
        <v>236575233119.47186</v>
      </c>
      <c r="I1303">
        <v>147006695266.00653</v>
      </c>
      <c r="J1303">
        <v>871543858566.3363</v>
      </c>
      <c r="K1303">
        <v>119424717137.95375</v>
      </c>
      <c r="L1303">
        <v>527498042592.73907</v>
      </c>
      <c r="M1303">
        <v>-349468911038.94373</v>
      </c>
      <c r="N1303">
        <v>224621098835.64346</v>
      </c>
      <c r="O1303">
        <v>277802418186.13849</v>
      </c>
      <c r="P1303">
        <v>38486481108.910873</v>
      </c>
      <c r="Q1303">
        <v>29039799382.178207</v>
      </c>
      <c r="R1303">
        <v>27407039577.557743</v>
      </c>
      <c r="S1303">
        <v>14170022590.099005</v>
      </c>
      <c r="T1303">
        <v>57438157412.541229</v>
      </c>
      <c r="U1303">
        <v>-18718424902.970291</v>
      </c>
      <c r="V1303">
        <f t="shared" si="50"/>
        <v>261243830493.61679</v>
      </c>
      <c r="W1303">
        <f t="shared" si="51"/>
        <v>914353406727.65881</v>
      </c>
    </row>
    <row r="1304" spans="1:23" x14ac:dyDescent="0.2">
      <c r="A1304">
        <f>IF(D1304="USD",VLOOKUP(VALUE(RIGHT(E1304,4)),'USD RUB'!$E:$F,2,FALSE),1)</f>
        <v>58.312850165016478</v>
      </c>
      <c r="B1304" s="4">
        <v>58.312850165016478</v>
      </c>
      <c r="C1304">
        <v>1000000</v>
      </c>
      <c r="D1304" t="s">
        <v>111</v>
      </c>
      <c r="E1304" s="1" t="s">
        <v>1320</v>
      </c>
      <c r="F1304">
        <v>23150201515.511543</v>
      </c>
      <c r="G1304">
        <v>199488260414.52136</v>
      </c>
      <c r="H1304">
        <v>235758853217.16162</v>
      </c>
      <c r="I1304">
        <v>149455834972.93723</v>
      </c>
      <c r="J1304">
        <v>866004137800.65967</v>
      </c>
      <c r="K1304">
        <v>121349041193.39929</v>
      </c>
      <c r="L1304">
        <v>520792064823.76215</v>
      </c>
      <c r="M1304">
        <v>-365971447635.64343</v>
      </c>
      <c r="N1304">
        <v>223863031783.49826</v>
      </c>
      <c r="O1304">
        <v>133944616829.04285</v>
      </c>
      <c r="P1304">
        <v>20001307606.600651</v>
      </c>
      <c r="Q1304">
        <v>10029810228.382833</v>
      </c>
      <c r="R1304">
        <v>10904502980.858082</v>
      </c>
      <c r="S1304">
        <v>6647664918.8118782</v>
      </c>
      <c r="T1304">
        <v>27698603828.382828</v>
      </c>
      <c r="U1304">
        <v>-7522357671.2871256</v>
      </c>
      <c r="V1304">
        <f t="shared" si="50"/>
        <v>128342066623.40414</v>
      </c>
      <c r="W1304">
        <f t="shared" si="51"/>
        <v>883307232826.59497</v>
      </c>
    </row>
    <row r="1305" spans="1:23" x14ac:dyDescent="0.2">
      <c r="A1305">
        <f>IF(D1305="USD",VLOOKUP(VALUE(RIGHT(E1305,4)),'USD RUB'!$E:$F,2,FALSE),1)</f>
        <v>67.054371276595688</v>
      </c>
      <c r="B1305" s="4">
        <v>67.054371276595688</v>
      </c>
      <c r="C1305">
        <v>1000000</v>
      </c>
      <c r="D1305" t="s">
        <v>111</v>
      </c>
      <c r="E1305" s="1" t="s">
        <v>1321</v>
      </c>
      <c r="F1305">
        <v>36477577974.468056</v>
      </c>
      <c r="G1305">
        <v>242468606536.17001</v>
      </c>
      <c r="H1305">
        <v>272576019239.36148</v>
      </c>
      <c r="J1305">
        <v>969069773689.36084</v>
      </c>
      <c r="K1305">
        <v>171592136096.80838</v>
      </c>
      <c r="L1305">
        <v>576265266751.06335</v>
      </c>
      <c r="M1305">
        <v>-433372401560.63794</v>
      </c>
      <c r="N1305">
        <v>221212370841.48917</v>
      </c>
      <c r="O1305">
        <v>535295045901.06335</v>
      </c>
      <c r="P1305">
        <v>71614068523.40419</v>
      </c>
      <c r="Q1305">
        <v>90791618708.510559</v>
      </c>
      <c r="R1305">
        <v>79057103735.106323</v>
      </c>
      <c r="T1305">
        <v>99843958830.850983</v>
      </c>
      <c r="U1305">
        <v>38556263484.042519</v>
      </c>
      <c r="V1305">
        <f t="shared" ref="V1305:V1368" si="52">_xlfn.XLOOKUP(LEFT(E1305,LEN(E1305)-4)&amp;(VALUE(RIGHT(E1305,4))-1),$E:$E,$O:$O,"")</f>
        <v>531651442909.09094</v>
      </c>
      <c r="W1305">
        <f t="shared" ref="W1305:W1368" si="53">_xlfn.XLOOKUP(LEFT(E1305,LEN(E1305)-4)&amp;(VALUE(RIGHT(E1305,4))-1),$E:$E,$J:$J,"")</f>
        <v>784553379288.31177</v>
      </c>
    </row>
    <row r="1306" spans="1:23" x14ac:dyDescent="0.2">
      <c r="A1306">
        <f>IF(D1306="USD",VLOOKUP(VALUE(RIGHT(E1306,4)),'USD RUB'!$E:$F,2,FALSE),1)</f>
        <v>67.054371276595688</v>
      </c>
      <c r="B1306" s="4">
        <v>67.054371276595688</v>
      </c>
      <c r="C1306">
        <v>1000000</v>
      </c>
      <c r="D1306" t="s">
        <v>111</v>
      </c>
      <c r="E1306" s="1" t="s">
        <v>1322</v>
      </c>
      <c r="F1306">
        <v>35203544920.212738</v>
      </c>
      <c r="G1306">
        <v>206125137304.25516</v>
      </c>
      <c r="H1306">
        <v>259902743068.0849</v>
      </c>
      <c r="J1306">
        <v>911872394990.4248</v>
      </c>
      <c r="K1306">
        <v>158918859925.53177</v>
      </c>
      <c r="L1306">
        <v>574454798726.59521</v>
      </c>
      <c r="M1306">
        <v>-459858878214.89325</v>
      </c>
      <c r="N1306">
        <v>178498736338.29773</v>
      </c>
      <c r="O1306">
        <v>399375835323.40393</v>
      </c>
      <c r="P1306">
        <v>41841927676.595711</v>
      </c>
      <c r="Q1306">
        <v>38958589711.702095</v>
      </c>
      <c r="R1306">
        <v>35807034261.702095</v>
      </c>
      <c r="T1306">
        <v>72217557864.893555</v>
      </c>
      <c r="U1306">
        <v>27291129109.574444</v>
      </c>
      <c r="V1306">
        <f t="shared" si="52"/>
        <v>417909884212.98706</v>
      </c>
      <c r="W1306">
        <f t="shared" si="53"/>
        <v>800539672675.32471</v>
      </c>
    </row>
    <row r="1307" spans="1:23" x14ac:dyDescent="0.2">
      <c r="A1307">
        <f>IF(D1307="USD",VLOOKUP(VALUE(RIGHT(E1307,4)),'USD RUB'!$E:$F,2,FALSE),1)</f>
        <v>67.054371276595688</v>
      </c>
      <c r="B1307" s="4">
        <v>67.054371276595688</v>
      </c>
      <c r="C1307">
        <v>1000000</v>
      </c>
      <c r="D1307" t="s">
        <v>111</v>
      </c>
      <c r="E1307" s="1" t="s">
        <v>1323</v>
      </c>
      <c r="F1307">
        <v>47742712348.936127</v>
      </c>
      <c r="G1307">
        <v>225436796231.9147</v>
      </c>
      <c r="H1307">
        <v>256214752647.87213</v>
      </c>
      <c r="J1307">
        <v>914353406727.65881</v>
      </c>
      <c r="K1307">
        <v>176688268313.82965</v>
      </c>
      <c r="L1307">
        <v>581897833938.29736</v>
      </c>
      <c r="M1307">
        <v>-478164721573.40387</v>
      </c>
      <c r="N1307">
        <v>155767304475.53177</v>
      </c>
      <c r="O1307">
        <v>261243830493.61679</v>
      </c>
      <c r="P1307">
        <v>24676008629.787212</v>
      </c>
      <c r="Q1307">
        <v>19781039526.59573</v>
      </c>
      <c r="R1307">
        <v>17501190903.191475</v>
      </c>
      <c r="T1307">
        <v>43987667557.44677</v>
      </c>
      <c r="U1307">
        <v>13008548027.659563</v>
      </c>
      <c r="V1307">
        <f t="shared" si="52"/>
        <v>290938289610.38965</v>
      </c>
      <c r="W1307">
        <f t="shared" si="53"/>
        <v>927205016446.7533</v>
      </c>
    </row>
    <row r="1308" spans="1:23" x14ac:dyDescent="0.2">
      <c r="A1308">
        <f>IF(D1308="USD",VLOOKUP(VALUE(RIGHT(E1308,4)),'USD RUB'!$E:$F,2,FALSE),1)</f>
        <v>67.054371276595688</v>
      </c>
      <c r="B1308" s="4">
        <v>67.054371276595688</v>
      </c>
      <c r="C1308">
        <v>1000000</v>
      </c>
      <c r="D1308" t="s">
        <v>111</v>
      </c>
      <c r="E1308" s="1" t="s">
        <v>1324</v>
      </c>
      <c r="F1308">
        <v>52436518338.297829</v>
      </c>
      <c r="G1308">
        <v>216250347367.02109</v>
      </c>
      <c r="H1308">
        <v>256550024504.2551</v>
      </c>
      <c r="J1308">
        <v>883307232826.59497</v>
      </c>
      <c r="K1308">
        <v>200023189518.08493</v>
      </c>
      <c r="L1308">
        <v>559702837045.74426</v>
      </c>
      <c r="M1308">
        <v>-487217061695.74426</v>
      </c>
      <c r="N1308">
        <v>123581206262.76585</v>
      </c>
      <c r="O1308">
        <v>128342066623.40414</v>
      </c>
      <c r="P1308">
        <v>11399243117.021267</v>
      </c>
      <c r="Q1308">
        <v>10460481919.148928</v>
      </c>
      <c r="R1308">
        <v>8448850780.8510571</v>
      </c>
      <c r="T1308">
        <v>20920963838.297855</v>
      </c>
      <c r="U1308">
        <v>5632567187.2340374</v>
      </c>
      <c r="V1308">
        <f t="shared" si="52"/>
        <v>151716661761.03897</v>
      </c>
      <c r="W1308">
        <f t="shared" si="53"/>
        <v>896089932000</v>
      </c>
    </row>
    <row r="1309" spans="1:23" x14ac:dyDescent="0.2">
      <c r="A1309">
        <f>IF(D1309="USD",VLOOKUP(VALUE(RIGHT(E1309,4)),'USD RUB'!$E:$F,2,FALSE),1)</f>
        <v>61.250166233766237</v>
      </c>
      <c r="B1309" s="4">
        <v>61.250166233766237</v>
      </c>
      <c r="C1309">
        <v>1000000</v>
      </c>
      <c r="D1309" t="s">
        <v>111</v>
      </c>
      <c r="E1309" s="1" t="s">
        <v>1325</v>
      </c>
      <c r="F1309">
        <v>31115084446.75325</v>
      </c>
      <c r="G1309">
        <v>201758047574.02597</v>
      </c>
      <c r="H1309">
        <v>236058140664.93509</v>
      </c>
      <c r="J1309">
        <v>784553379288.31177</v>
      </c>
      <c r="K1309">
        <v>172235467449.35065</v>
      </c>
      <c r="L1309">
        <v>527118930607.79224</v>
      </c>
      <c r="M1309">
        <v>-452761228800</v>
      </c>
      <c r="N1309">
        <v>85198981231.168839</v>
      </c>
      <c r="O1309">
        <v>531651442909.09094</v>
      </c>
      <c r="P1309">
        <v>86301484223.376633</v>
      </c>
      <c r="Q1309">
        <v>46733876836.36364</v>
      </c>
      <c r="R1309">
        <v>34177592758.441559</v>
      </c>
      <c r="T1309">
        <v>123419084961.03897</v>
      </c>
      <c r="U1309">
        <v>31972586774.025974</v>
      </c>
      <c r="V1309">
        <f t="shared" si="52"/>
        <v>362691476465.01898</v>
      </c>
      <c r="W1309">
        <f t="shared" si="53"/>
        <v>575879797567.68054</v>
      </c>
    </row>
    <row r="1310" spans="1:23" x14ac:dyDescent="0.2">
      <c r="A1310">
        <f>IF(D1310="USD",VLOOKUP(VALUE(RIGHT(E1310,4)),'USD RUB'!$E:$F,2,FALSE),1)</f>
        <v>61.250166233766237</v>
      </c>
      <c r="B1310" s="4">
        <v>61.250166233766237</v>
      </c>
      <c r="C1310">
        <v>1000000</v>
      </c>
      <c r="D1310" t="s">
        <v>111</v>
      </c>
      <c r="E1310" s="1" t="s">
        <v>1326</v>
      </c>
      <c r="F1310">
        <v>43855119023.376625</v>
      </c>
      <c r="G1310">
        <v>207086812036.36365</v>
      </c>
      <c r="H1310">
        <v>238018145984.41559</v>
      </c>
      <c r="J1310">
        <v>800539672675.32471</v>
      </c>
      <c r="K1310">
        <v>148164152119.48053</v>
      </c>
      <c r="L1310">
        <v>549842742280.51953</v>
      </c>
      <c r="M1310">
        <v>-421094892857.14288</v>
      </c>
      <c r="N1310">
        <v>102532778275.32468</v>
      </c>
      <c r="O1310">
        <v>417909884212.98706</v>
      </c>
      <c r="P1310">
        <v>78706463610.389618</v>
      </c>
      <c r="Q1310">
        <v>61127665901.298706</v>
      </c>
      <c r="R1310">
        <v>50531387142.857147</v>
      </c>
      <c r="T1310">
        <v>104676534093.5065</v>
      </c>
      <c r="U1310">
        <v>22172560176.623379</v>
      </c>
      <c r="V1310">
        <f t="shared" si="52"/>
        <v>265942740197.33835</v>
      </c>
      <c r="W1310">
        <f t="shared" si="53"/>
        <v>705226966207.60449</v>
      </c>
    </row>
    <row r="1311" spans="1:23" x14ac:dyDescent="0.2">
      <c r="A1311">
        <f>IF(D1311="USD",VLOOKUP(VALUE(RIGHT(E1311,4)),'USD RUB'!$E:$F,2,FALSE),1)</f>
        <v>61.250166233766237</v>
      </c>
      <c r="B1311" s="4">
        <v>61.250166233766237</v>
      </c>
      <c r="C1311">
        <v>1000000</v>
      </c>
      <c r="D1311" t="s">
        <v>111</v>
      </c>
      <c r="E1311" s="1" t="s">
        <v>1327</v>
      </c>
      <c r="F1311">
        <v>55370150275.324677</v>
      </c>
      <c r="G1311">
        <v>221664351600</v>
      </c>
      <c r="H1311">
        <v>238630647646.75327</v>
      </c>
      <c r="J1311">
        <v>927205016446.7533</v>
      </c>
      <c r="K1311">
        <v>146020396301.29871</v>
      </c>
      <c r="L1311">
        <v>574220308441.55847</v>
      </c>
      <c r="M1311">
        <v>-417787383880.51947</v>
      </c>
      <c r="N1311">
        <v>206964311703.89612</v>
      </c>
      <c r="O1311">
        <v>290938289610.38965</v>
      </c>
      <c r="P1311">
        <v>62536419724.675331</v>
      </c>
      <c r="Q1311">
        <v>62842670555.844162</v>
      </c>
      <c r="R1311">
        <v>53838896119.480522</v>
      </c>
      <c r="T1311">
        <v>80788969262.337662</v>
      </c>
      <c r="U1311">
        <v>13291286072.727274</v>
      </c>
      <c r="V1311">
        <f t="shared" si="52"/>
        <v>169930472675.28516</v>
      </c>
      <c r="W1311">
        <f t="shared" si="53"/>
        <v>775036450990.49414</v>
      </c>
    </row>
    <row r="1312" spans="1:23" x14ac:dyDescent="0.2">
      <c r="A1312">
        <f>IF(D1312="USD",VLOOKUP(VALUE(RIGHT(E1312,4)),'USD RUB'!$E:$F,2,FALSE),1)</f>
        <v>61.250166233766237</v>
      </c>
      <c r="B1312" s="4">
        <v>61.250166233766237</v>
      </c>
      <c r="C1312">
        <v>1000000</v>
      </c>
      <c r="D1312" t="s">
        <v>111</v>
      </c>
      <c r="E1312" s="1" t="s">
        <v>1328</v>
      </c>
      <c r="F1312">
        <v>37975103064.935066</v>
      </c>
      <c r="G1312">
        <v>197041784774.02597</v>
      </c>
      <c r="H1312">
        <v>239059398810.38962</v>
      </c>
      <c r="J1312">
        <v>896089932000</v>
      </c>
      <c r="K1312">
        <v>145591645137.66235</v>
      </c>
      <c r="L1312">
        <v>596760369615.58447</v>
      </c>
      <c r="M1312">
        <v>-436591184914.28571</v>
      </c>
      <c r="N1312">
        <v>153737917246.75327</v>
      </c>
      <c r="O1312">
        <v>151716661761.03897</v>
      </c>
      <c r="P1312">
        <v>35708846914.285713</v>
      </c>
      <c r="Q1312">
        <v>39567607387.012985</v>
      </c>
      <c r="R1312">
        <v>35035095085.714287</v>
      </c>
      <c r="T1312">
        <v>44161369854.545456</v>
      </c>
      <c r="U1312">
        <v>5328764462.3376627</v>
      </c>
      <c r="V1312">
        <f t="shared" si="52"/>
        <v>82290691945.627365</v>
      </c>
      <c r="W1312">
        <f t="shared" si="53"/>
        <v>746856831092.01514</v>
      </c>
    </row>
    <row r="1313" spans="1:23" x14ac:dyDescent="0.2">
      <c r="A1313">
        <f>IF(D1313="USD",VLOOKUP(VALUE(RIGHT(E1313,4)),'USD RUB'!$E:$F,2,FALSE),1)</f>
        <v>38.761512927756648</v>
      </c>
      <c r="B1313" s="4">
        <v>38.761512927756648</v>
      </c>
      <c r="C1313">
        <v>1000000</v>
      </c>
      <c r="D1313" t="s">
        <v>111</v>
      </c>
      <c r="E1313" s="1" t="s">
        <v>1329</v>
      </c>
      <c r="F1313">
        <v>22094062368.821289</v>
      </c>
      <c r="G1313">
        <v>127370331480.60835</v>
      </c>
      <c r="H1313">
        <v>153224260603.42203</v>
      </c>
      <c r="J1313">
        <v>575879797567.68054</v>
      </c>
      <c r="K1313">
        <v>86825788958.174896</v>
      </c>
      <c r="L1313">
        <v>402344504190.11401</v>
      </c>
      <c r="M1313">
        <v>-298463649543.7262</v>
      </c>
      <c r="N1313">
        <v>86709504419.391617</v>
      </c>
      <c r="O1313">
        <v>362691476465.01898</v>
      </c>
      <c r="P1313">
        <v>36513345177.946762</v>
      </c>
      <c r="Q1313">
        <v>5697942400.3802271</v>
      </c>
      <c r="R1313">
        <v>-3527297676.4258552</v>
      </c>
      <c r="T1313">
        <v>58684930572.623566</v>
      </c>
      <c r="U1313">
        <v>18566764692.395435</v>
      </c>
      <c r="V1313" t="str">
        <f t="shared" si="52"/>
        <v/>
      </c>
      <c r="W1313" t="str">
        <f t="shared" si="53"/>
        <v/>
      </c>
    </row>
    <row r="1314" spans="1:23" x14ac:dyDescent="0.2">
      <c r="A1314">
        <f>IF(D1314="USD",VLOOKUP(VALUE(RIGHT(E1314,4)),'USD RUB'!$E:$F,2,FALSE),1)</f>
        <v>38.761512927756648</v>
      </c>
      <c r="B1314" s="4">
        <v>38.761512927756648</v>
      </c>
      <c r="C1314">
        <v>1000000</v>
      </c>
      <c r="D1314" t="s">
        <v>111</v>
      </c>
      <c r="E1314" s="1" t="s">
        <v>1330</v>
      </c>
      <c r="F1314">
        <v>1511699004.1825092</v>
      </c>
      <c r="G1314">
        <v>125471017347.14827</v>
      </c>
      <c r="H1314">
        <v>156557750715.20911</v>
      </c>
      <c r="J1314">
        <v>705226966207.60449</v>
      </c>
      <c r="K1314">
        <v>79228532424.334595</v>
      </c>
      <c r="L1314">
        <v>433857614200.38019</v>
      </c>
      <c r="M1314">
        <v>-294509975225.09503</v>
      </c>
      <c r="N1314">
        <v>192140819582.88971</v>
      </c>
      <c r="O1314">
        <v>265942740197.33835</v>
      </c>
      <c r="P1314">
        <v>17210111739.92395</v>
      </c>
      <c r="Q1314">
        <v>5736703913.3079844</v>
      </c>
      <c r="R1314">
        <v>426376642.2053231</v>
      </c>
      <c r="T1314">
        <v>33451185656.653988</v>
      </c>
      <c r="U1314">
        <v>13527768011.787069</v>
      </c>
      <c r="V1314" t="str">
        <f t="shared" si="52"/>
        <v/>
      </c>
      <c r="W1314" t="str">
        <f t="shared" si="53"/>
        <v/>
      </c>
    </row>
    <row r="1315" spans="1:23" x14ac:dyDescent="0.2">
      <c r="A1315">
        <f>IF(D1315="USD",VLOOKUP(VALUE(RIGHT(E1315,4)),'USD RUB'!$E:$F,2,FALSE),1)</f>
        <v>38.761512927756648</v>
      </c>
      <c r="B1315" s="4">
        <v>38.761512927756648</v>
      </c>
      <c r="C1315">
        <v>1000000</v>
      </c>
      <c r="D1315" t="s">
        <v>111</v>
      </c>
      <c r="E1315" s="1" t="s">
        <v>1331</v>
      </c>
      <c r="F1315">
        <v>14613090373.764256</v>
      </c>
      <c r="G1315">
        <v>141750852776.80606</v>
      </c>
      <c r="H1315">
        <v>158573349387.45245</v>
      </c>
      <c r="J1315">
        <v>775036450990.49414</v>
      </c>
      <c r="K1315">
        <v>464595493952.09119</v>
      </c>
      <c r="L1315">
        <v>72406506149.049423</v>
      </c>
      <c r="M1315">
        <v>-303037508069.20148</v>
      </c>
      <c r="N1315">
        <v>238034450889.35358</v>
      </c>
      <c r="O1315">
        <v>169930472675.28516</v>
      </c>
      <c r="P1315">
        <v>3837389779.847908</v>
      </c>
      <c r="Q1315">
        <v>-63956496330.79847</v>
      </c>
      <c r="R1315">
        <v>-8101156201.9011393</v>
      </c>
      <c r="T1315">
        <v>15233274580.608362</v>
      </c>
      <c r="U1315">
        <v>9186478563.8783264</v>
      </c>
      <c r="V1315" t="str">
        <f t="shared" si="52"/>
        <v/>
      </c>
      <c r="W1315" t="str">
        <f t="shared" si="53"/>
        <v/>
      </c>
    </row>
    <row r="1316" spans="1:23" x14ac:dyDescent="0.2">
      <c r="A1316">
        <f>IF(D1316="USD",VLOOKUP(VALUE(RIGHT(E1316,4)),'USD RUB'!$E:$F,2,FALSE),1)</f>
        <v>38.761512927756648</v>
      </c>
      <c r="B1316" s="4">
        <v>38.761512927756648</v>
      </c>
      <c r="C1316">
        <v>1000000</v>
      </c>
      <c r="D1316" t="s">
        <v>111</v>
      </c>
      <c r="E1316" s="1" t="s">
        <v>1332</v>
      </c>
      <c r="F1316">
        <v>21396355136.12167</v>
      </c>
      <c r="G1316">
        <v>138184793587.45245</v>
      </c>
      <c r="H1316">
        <v>158612110900.38022</v>
      </c>
      <c r="J1316">
        <v>746856831092.01514</v>
      </c>
      <c r="K1316">
        <v>446300059850.19006</v>
      </c>
      <c r="L1316">
        <v>94035430362.737625</v>
      </c>
      <c r="M1316">
        <v>-307533843568.82123</v>
      </c>
      <c r="N1316">
        <v>206521340879.08743</v>
      </c>
      <c r="O1316">
        <v>82290691945.627365</v>
      </c>
      <c r="P1316">
        <v>11628453878.326994</v>
      </c>
      <c r="Q1316">
        <v>-11822261442.965778</v>
      </c>
      <c r="R1316">
        <v>-12597491701.52091</v>
      </c>
      <c r="T1316">
        <v>6705741736.5018997</v>
      </c>
      <c r="U1316">
        <v>4612620038.4030409</v>
      </c>
      <c r="V1316" t="str">
        <f t="shared" si="52"/>
        <v/>
      </c>
      <c r="W1316" t="str">
        <f t="shared" si="53"/>
        <v/>
      </c>
    </row>
    <row r="1317" spans="1:23" x14ac:dyDescent="0.2">
      <c r="A1317">
        <f>IF(D1317="USD",VLOOKUP(VALUE(RIGHT(E1317,4)),'USD RUB'!$E:$F,2,FALSE),1)</f>
        <v>1</v>
      </c>
      <c r="B1317" s="4">
        <v>1</v>
      </c>
      <c r="C1317">
        <v>1000</v>
      </c>
      <c r="D1317" t="s">
        <v>20</v>
      </c>
      <c r="E1317" s="1" t="s">
        <v>1333</v>
      </c>
      <c r="F1317">
        <v>7499846000</v>
      </c>
      <c r="G1317">
        <v>73929582000</v>
      </c>
      <c r="H1317">
        <v>95393484000</v>
      </c>
      <c r="I1317">
        <v>1924530000</v>
      </c>
      <c r="J1317">
        <v>204103102000</v>
      </c>
      <c r="K1317">
        <v>91429549000</v>
      </c>
      <c r="L1317">
        <v>98744207000</v>
      </c>
      <c r="M1317">
        <v>-25286508000</v>
      </c>
      <c r="N1317">
        <v>13929346000</v>
      </c>
      <c r="O1317">
        <v>61822134000</v>
      </c>
      <c r="P1317">
        <v>10142294000</v>
      </c>
      <c r="Q1317">
        <v>-5469238000</v>
      </c>
      <c r="R1317">
        <v>-7672530000</v>
      </c>
      <c r="S1317">
        <v>7568684000</v>
      </c>
      <c r="T1317">
        <v>23779475000</v>
      </c>
      <c r="U1317">
        <v>-5487503000</v>
      </c>
      <c r="V1317">
        <f t="shared" si="52"/>
        <v>42971498000</v>
      </c>
      <c r="W1317">
        <f t="shared" si="53"/>
        <v>154419836000</v>
      </c>
    </row>
    <row r="1318" spans="1:23" x14ac:dyDescent="0.2">
      <c r="A1318">
        <f>IF(D1318="USD",VLOOKUP(VALUE(RIGHT(E1318,4)),'USD RUB'!$E:$F,2,FALSE),1)</f>
        <v>1</v>
      </c>
      <c r="B1318" s="4">
        <v>1</v>
      </c>
      <c r="C1318">
        <v>1000</v>
      </c>
      <c r="D1318" t="s">
        <v>20</v>
      </c>
      <c r="E1318" s="1" t="s">
        <v>1334</v>
      </c>
      <c r="F1318">
        <v>2361889000</v>
      </c>
      <c r="G1318">
        <v>73542315000</v>
      </c>
      <c r="H1318">
        <v>94439606000</v>
      </c>
      <c r="I1318">
        <v>1873933000</v>
      </c>
      <c r="J1318">
        <v>194858994000</v>
      </c>
      <c r="K1318">
        <v>94799724000</v>
      </c>
      <c r="L1318">
        <v>80613967000</v>
      </c>
      <c r="M1318">
        <v>-20273526000</v>
      </c>
      <c r="N1318">
        <v>19445303000</v>
      </c>
      <c r="O1318">
        <v>28429251000</v>
      </c>
      <c r="P1318">
        <v>14556000</v>
      </c>
      <c r="Q1318">
        <v>-2250748000</v>
      </c>
      <c r="R1318">
        <v>-2156573000</v>
      </c>
      <c r="S1318">
        <v>5333112000</v>
      </c>
      <c r="T1318">
        <v>9019616000</v>
      </c>
      <c r="U1318">
        <v>-3564857000</v>
      </c>
      <c r="V1318">
        <f t="shared" si="52"/>
        <v>20851532000</v>
      </c>
      <c r="W1318">
        <f t="shared" si="53"/>
        <v>161648155000</v>
      </c>
    </row>
    <row r="1319" spans="1:23" x14ac:dyDescent="0.2">
      <c r="A1319">
        <f>IF(D1319="USD",VLOOKUP(VALUE(RIGHT(E1319,4)),'USD RUB'!$E:$F,2,FALSE),1)</f>
        <v>1</v>
      </c>
      <c r="B1319" s="4">
        <v>1</v>
      </c>
      <c r="C1319">
        <v>1000</v>
      </c>
      <c r="D1319" t="s">
        <v>20</v>
      </c>
      <c r="E1319" s="1" t="s">
        <v>1335</v>
      </c>
      <c r="F1319">
        <v>8425975000</v>
      </c>
      <c r="G1319">
        <v>65550943000</v>
      </c>
      <c r="H1319">
        <v>94335759000</v>
      </c>
      <c r="I1319">
        <v>1881983000</v>
      </c>
      <c r="J1319">
        <v>179170970000</v>
      </c>
      <c r="K1319">
        <v>87448850000</v>
      </c>
      <c r="L1319">
        <v>70120244000</v>
      </c>
      <c r="M1319">
        <v>-19483870000</v>
      </c>
      <c r="N1319">
        <v>21601876000</v>
      </c>
      <c r="O1319">
        <v>59289035000</v>
      </c>
      <c r="P1319">
        <v>12890631000</v>
      </c>
      <c r="Q1319">
        <v>-11518333000</v>
      </c>
      <c r="R1319">
        <v>-12824787000</v>
      </c>
      <c r="S1319">
        <v>8320358000</v>
      </c>
      <c r="T1319">
        <v>23624950000</v>
      </c>
      <c r="U1319">
        <v>-10969301000</v>
      </c>
      <c r="V1319">
        <f t="shared" si="52"/>
        <v>55974088000</v>
      </c>
      <c r="W1319">
        <f t="shared" si="53"/>
        <v>134943905000</v>
      </c>
    </row>
    <row r="1320" spans="1:23" x14ac:dyDescent="0.2">
      <c r="A1320">
        <f>IF(D1320="USD",VLOOKUP(VALUE(RIGHT(E1320,4)),'USD RUB'!$E:$F,2,FALSE),1)</f>
        <v>1</v>
      </c>
      <c r="B1320" s="4">
        <v>1</v>
      </c>
      <c r="C1320">
        <v>1000</v>
      </c>
      <c r="D1320" t="s">
        <v>20</v>
      </c>
      <c r="E1320" s="1" t="s">
        <v>1336</v>
      </c>
      <c r="F1320">
        <v>8250524000</v>
      </c>
      <c r="G1320">
        <v>62900989000</v>
      </c>
      <c r="H1320">
        <v>76390350000</v>
      </c>
      <c r="I1320">
        <v>1761180000</v>
      </c>
      <c r="J1320">
        <v>154419836000</v>
      </c>
      <c r="K1320">
        <v>71502375000</v>
      </c>
      <c r="L1320">
        <v>73056887000</v>
      </c>
      <c r="M1320">
        <v>-17255979000</v>
      </c>
      <c r="N1320">
        <v>9860574000</v>
      </c>
      <c r="O1320">
        <v>42971498000</v>
      </c>
      <c r="P1320">
        <v>6905282000</v>
      </c>
      <c r="Q1320">
        <v>-11222369000</v>
      </c>
      <c r="R1320">
        <v>-10106648000</v>
      </c>
      <c r="S1320">
        <v>7475779000</v>
      </c>
      <c r="T1320">
        <v>16377193000</v>
      </c>
      <c r="U1320">
        <v>-8692949000</v>
      </c>
      <c r="V1320">
        <f t="shared" si="52"/>
        <v>37151524000</v>
      </c>
      <c r="W1320">
        <f t="shared" si="53"/>
        <v>141689934000</v>
      </c>
    </row>
    <row r="1321" spans="1:23" x14ac:dyDescent="0.2">
      <c r="A1321">
        <f>IF(D1321="USD",VLOOKUP(VALUE(RIGHT(E1321,4)),'USD RUB'!$E:$F,2,FALSE),1)</f>
        <v>1</v>
      </c>
      <c r="B1321" s="4">
        <v>1</v>
      </c>
      <c r="C1321">
        <v>1000</v>
      </c>
      <c r="D1321" t="s">
        <v>20</v>
      </c>
      <c r="E1321" s="1" t="s">
        <v>1337</v>
      </c>
      <c r="F1321">
        <v>21885345000</v>
      </c>
      <c r="G1321">
        <v>83538488000</v>
      </c>
      <c r="H1321">
        <v>72483367000</v>
      </c>
      <c r="I1321">
        <v>1808975000</v>
      </c>
      <c r="J1321">
        <v>161648155000</v>
      </c>
      <c r="K1321">
        <v>73429627000</v>
      </c>
      <c r="L1321">
        <v>69347375000</v>
      </c>
      <c r="M1321">
        <v>-8470906000</v>
      </c>
      <c r="N1321">
        <v>18871153000</v>
      </c>
      <c r="O1321">
        <v>20851532000</v>
      </c>
      <c r="P1321">
        <v>32083000</v>
      </c>
      <c r="Q1321">
        <v>-6032335000</v>
      </c>
      <c r="R1321">
        <v>-5235016000</v>
      </c>
      <c r="S1321">
        <v>5070687000</v>
      </c>
      <c r="T1321">
        <v>6800916000</v>
      </c>
      <c r="U1321">
        <v>-4922797000</v>
      </c>
      <c r="V1321">
        <f t="shared" si="52"/>
        <v>20989762000</v>
      </c>
      <c r="W1321">
        <f t="shared" si="53"/>
        <v>150109697000</v>
      </c>
    </row>
    <row r="1322" spans="1:23" x14ac:dyDescent="0.2">
      <c r="A1322">
        <f>IF(D1322="USD",VLOOKUP(VALUE(RIGHT(E1322,4)),'USD RUB'!$E:$F,2,FALSE),1)</f>
        <v>1</v>
      </c>
      <c r="B1322" s="4">
        <v>1</v>
      </c>
      <c r="C1322">
        <v>1000</v>
      </c>
      <c r="D1322" t="s">
        <v>20</v>
      </c>
      <c r="E1322" s="1" t="s">
        <v>1338</v>
      </c>
      <c r="F1322">
        <v>10272040000</v>
      </c>
      <c r="G1322">
        <v>59026930000</v>
      </c>
      <c r="H1322">
        <v>71250438000</v>
      </c>
      <c r="I1322">
        <v>1907762000</v>
      </c>
      <c r="J1322">
        <v>134943905000</v>
      </c>
      <c r="K1322">
        <v>62338484000</v>
      </c>
      <c r="L1322">
        <v>46984081000</v>
      </c>
      <c r="M1322">
        <v>-2262431000</v>
      </c>
      <c r="N1322">
        <v>25621340000</v>
      </c>
      <c r="O1322">
        <v>55974088000</v>
      </c>
      <c r="P1322">
        <v>4934121000</v>
      </c>
      <c r="Q1322">
        <v>-13939116000</v>
      </c>
      <c r="R1322">
        <v>-11514894000</v>
      </c>
      <c r="S1322">
        <v>10093137000</v>
      </c>
      <c r="T1322">
        <v>18563373000</v>
      </c>
      <c r="U1322">
        <v>-8938245000</v>
      </c>
      <c r="V1322">
        <f t="shared" si="52"/>
        <v>34721582000</v>
      </c>
      <c r="W1322">
        <f t="shared" si="53"/>
        <v>136133383000</v>
      </c>
    </row>
    <row r="1323" spans="1:23" x14ac:dyDescent="0.2">
      <c r="A1323">
        <f>IF(D1323="USD",VLOOKUP(VALUE(RIGHT(E1323,4)),'USD RUB'!$E:$F,2,FALSE),1)</f>
        <v>1</v>
      </c>
      <c r="B1323" s="4">
        <v>1</v>
      </c>
      <c r="C1323">
        <v>1000</v>
      </c>
      <c r="D1323" t="s">
        <v>20</v>
      </c>
      <c r="E1323" s="1" t="s">
        <v>1339</v>
      </c>
      <c r="F1323">
        <v>9594083000</v>
      </c>
      <c r="G1323">
        <v>64928465000</v>
      </c>
      <c r="H1323">
        <v>71752970000</v>
      </c>
      <c r="I1323">
        <v>1883557000</v>
      </c>
      <c r="J1323">
        <v>141689934000</v>
      </c>
      <c r="K1323">
        <v>70197826000</v>
      </c>
      <c r="L1323">
        <v>41456796000</v>
      </c>
      <c r="M1323">
        <v>1998051000</v>
      </c>
      <c r="N1323">
        <v>30035312000</v>
      </c>
      <c r="O1323">
        <v>37151524000</v>
      </c>
      <c r="P1323">
        <v>5324373000</v>
      </c>
      <c r="Q1323">
        <v>-10338568000</v>
      </c>
      <c r="R1323">
        <v>-8961054000</v>
      </c>
      <c r="S1323">
        <v>5688097000</v>
      </c>
      <c r="T1323">
        <v>12758627000</v>
      </c>
      <c r="U1323">
        <v>-7282955000</v>
      </c>
      <c r="V1323">
        <f t="shared" si="52"/>
        <v>20694371000</v>
      </c>
      <c r="W1323">
        <f t="shared" si="53"/>
        <v>110817143000</v>
      </c>
    </row>
    <row r="1324" spans="1:23" x14ac:dyDescent="0.2">
      <c r="A1324">
        <f>IF(D1324="USD",VLOOKUP(VALUE(RIGHT(E1324,4)),'USD RUB'!$E:$F,2,FALSE),1)</f>
        <v>1</v>
      </c>
      <c r="B1324" s="4">
        <v>1</v>
      </c>
      <c r="C1324">
        <v>1000</v>
      </c>
      <c r="D1324" t="s">
        <v>20</v>
      </c>
      <c r="E1324" s="1" t="s">
        <v>1340</v>
      </c>
      <c r="F1324">
        <v>20423859000</v>
      </c>
      <c r="G1324">
        <v>73292580000</v>
      </c>
      <c r="H1324">
        <v>71914417000</v>
      </c>
      <c r="I1324">
        <v>1878096000</v>
      </c>
      <c r="J1324">
        <v>150109697000</v>
      </c>
      <c r="K1324">
        <v>71125609000</v>
      </c>
      <c r="L1324">
        <v>47250132000</v>
      </c>
      <c r="M1324">
        <v>3565831000</v>
      </c>
      <c r="N1324">
        <v>31733956000</v>
      </c>
      <c r="O1324">
        <v>20989762000</v>
      </c>
      <c r="P1324">
        <v>1415500000</v>
      </c>
      <c r="Q1324">
        <v>-8474287000</v>
      </c>
      <c r="R1324">
        <v>-7262410000</v>
      </c>
      <c r="S1324">
        <v>3304476000</v>
      </c>
      <c r="T1324">
        <v>5940345000</v>
      </c>
      <c r="U1324">
        <v>-4222245000</v>
      </c>
      <c r="V1324">
        <f t="shared" si="52"/>
        <v>11581303000</v>
      </c>
      <c r="W1324">
        <f t="shared" si="53"/>
        <v>106859802000</v>
      </c>
    </row>
    <row r="1325" spans="1:23" x14ac:dyDescent="0.2">
      <c r="A1325">
        <f>IF(D1325="USD",VLOOKUP(VALUE(RIGHT(E1325,4)),'USD RUB'!$E:$F,2,FALSE),1)</f>
        <v>1</v>
      </c>
      <c r="B1325" s="4">
        <v>1</v>
      </c>
      <c r="C1325">
        <v>1000</v>
      </c>
      <c r="D1325" t="s">
        <v>20</v>
      </c>
      <c r="E1325" s="1" t="s">
        <v>1341</v>
      </c>
      <c r="F1325">
        <v>18746827000</v>
      </c>
      <c r="G1325">
        <v>61826419000</v>
      </c>
      <c r="H1325">
        <v>69601351000</v>
      </c>
      <c r="I1325">
        <v>1818118000</v>
      </c>
      <c r="J1325">
        <v>136133383000</v>
      </c>
      <c r="K1325">
        <v>57867107000</v>
      </c>
      <c r="L1325">
        <v>39910910000</v>
      </c>
      <c r="M1325">
        <v>9882442000</v>
      </c>
      <c r="N1325">
        <v>38355366000</v>
      </c>
      <c r="O1325">
        <v>34721582000</v>
      </c>
      <c r="P1325">
        <v>4342320000</v>
      </c>
      <c r="Q1325">
        <v>5408642000</v>
      </c>
      <c r="R1325">
        <v>4143200000</v>
      </c>
      <c r="S1325">
        <v>5949931000</v>
      </c>
      <c r="T1325">
        <v>11831121000</v>
      </c>
      <c r="U1325">
        <v>-17963176000</v>
      </c>
      <c r="V1325">
        <f t="shared" si="52"/>
        <v>35615505000</v>
      </c>
      <c r="W1325">
        <f t="shared" si="53"/>
        <v>85303960000</v>
      </c>
    </row>
    <row r="1326" spans="1:23" x14ac:dyDescent="0.2">
      <c r="A1326">
        <f>IF(D1326="USD",VLOOKUP(VALUE(RIGHT(E1326,4)),'USD RUB'!$E:$F,2,FALSE),1)</f>
        <v>1</v>
      </c>
      <c r="B1326" s="4">
        <v>1</v>
      </c>
      <c r="C1326">
        <v>1000</v>
      </c>
      <c r="D1326" t="s">
        <v>20</v>
      </c>
      <c r="E1326" s="1" t="s">
        <v>1342</v>
      </c>
      <c r="F1326">
        <v>4119205000</v>
      </c>
      <c r="G1326">
        <v>49528609000</v>
      </c>
      <c r="H1326">
        <v>57011567000</v>
      </c>
      <c r="I1326">
        <v>1776383000</v>
      </c>
      <c r="J1326">
        <v>110817143000</v>
      </c>
      <c r="K1326">
        <v>36611370000</v>
      </c>
      <c r="L1326">
        <v>38528545000</v>
      </c>
      <c r="M1326">
        <v>14539843000</v>
      </c>
      <c r="N1326">
        <v>35677228000</v>
      </c>
      <c r="O1326">
        <v>20694371000</v>
      </c>
      <c r="P1326">
        <v>2399306000</v>
      </c>
      <c r="Q1326">
        <v>11255932000</v>
      </c>
      <c r="R1326">
        <v>9081598000</v>
      </c>
      <c r="S1326">
        <v>4033765000</v>
      </c>
      <c r="T1326">
        <v>7554400000</v>
      </c>
      <c r="U1326">
        <v>-13870343000</v>
      </c>
      <c r="V1326">
        <f t="shared" si="52"/>
        <v>24174221000</v>
      </c>
      <c r="W1326">
        <f t="shared" si="53"/>
        <v>83462996000</v>
      </c>
    </row>
    <row r="1327" spans="1:23" x14ac:dyDescent="0.2">
      <c r="A1327">
        <f>IF(D1327="USD",VLOOKUP(VALUE(RIGHT(E1327,4)),'USD RUB'!$E:$F,2,FALSE),1)</f>
        <v>1</v>
      </c>
      <c r="B1327" s="4">
        <v>1</v>
      </c>
      <c r="C1327">
        <v>1000</v>
      </c>
      <c r="D1327" t="s">
        <v>20</v>
      </c>
      <c r="E1327" s="1" t="s">
        <v>1343</v>
      </c>
      <c r="F1327">
        <v>3715977000</v>
      </c>
      <c r="G1327">
        <v>48545539000</v>
      </c>
      <c r="H1327">
        <v>53998373000</v>
      </c>
      <c r="I1327">
        <v>1754785000</v>
      </c>
      <c r="J1327">
        <v>106859802000</v>
      </c>
      <c r="K1327">
        <v>25456890000</v>
      </c>
      <c r="L1327">
        <v>43664529000</v>
      </c>
      <c r="M1327">
        <v>17218106000</v>
      </c>
      <c r="N1327">
        <v>37738383000</v>
      </c>
      <c r="O1327">
        <v>11581303000</v>
      </c>
      <c r="P1327">
        <v>3095266000</v>
      </c>
      <c r="Q1327">
        <v>13487509000</v>
      </c>
      <c r="R1327">
        <v>10709355000</v>
      </c>
      <c r="S1327">
        <v>2165840000</v>
      </c>
      <c r="T1327">
        <v>5695070000</v>
      </c>
      <c r="U1327">
        <v>-10545721000</v>
      </c>
      <c r="V1327">
        <f t="shared" si="52"/>
        <v>11311526000</v>
      </c>
      <c r="W1327">
        <f t="shared" si="53"/>
        <v>78775263000</v>
      </c>
    </row>
    <row r="1328" spans="1:23" x14ac:dyDescent="0.2">
      <c r="A1328">
        <f>IF(D1328="USD",VLOOKUP(VALUE(RIGHT(E1328,4)),'USD RUB'!$E:$F,2,FALSE),1)</f>
        <v>1</v>
      </c>
      <c r="B1328" s="4">
        <v>1</v>
      </c>
      <c r="C1328">
        <v>1000</v>
      </c>
      <c r="D1328" t="s">
        <v>20</v>
      </c>
      <c r="E1328" s="1" t="s">
        <v>1344</v>
      </c>
      <c r="F1328">
        <v>650406000</v>
      </c>
      <c r="G1328">
        <v>34831859000</v>
      </c>
      <c r="H1328">
        <v>46350315000</v>
      </c>
      <c r="I1328">
        <v>1724472000</v>
      </c>
      <c r="J1328">
        <v>85303960000</v>
      </c>
      <c r="K1328">
        <v>15282765000</v>
      </c>
      <c r="L1328">
        <v>38526571000</v>
      </c>
      <c r="M1328">
        <v>11156293000</v>
      </c>
      <c r="N1328">
        <v>31494624000</v>
      </c>
      <c r="O1328">
        <v>35615505000</v>
      </c>
      <c r="P1328">
        <v>12335281000</v>
      </c>
      <c r="Q1328">
        <v>11664286000</v>
      </c>
      <c r="R1328">
        <v>10397834000</v>
      </c>
      <c r="S1328">
        <v>6035488000</v>
      </c>
      <c r="T1328">
        <v>19241704000</v>
      </c>
      <c r="U1328">
        <v>-8598391000</v>
      </c>
      <c r="V1328">
        <f t="shared" si="52"/>
        <v>33313789000</v>
      </c>
      <c r="W1328">
        <f t="shared" si="53"/>
        <v>75404084000</v>
      </c>
    </row>
    <row r="1329" spans="1:23" x14ac:dyDescent="0.2">
      <c r="A1329">
        <f>IF(D1329="USD",VLOOKUP(VALUE(RIGHT(E1329,4)),'USD RUB'!$E:$F,2,FALSE),1)</f>
        <v>1</v>
      </c>
      <c r="B1329" s="4">
        <v>1</v>
      </c>
      <c r="C1329">
        <v>1000</v>
      </c>
      <c r="D1329" t="s">
        <v>20</v>
      </c>
      <c r="E1329" s="1" t="s">
        <v>1345</v>
      </c>
      <c r="F1329">
        <v>2325366000</v>
      </c>
      <c r="G1329">
        <v>34464789000</v>
      </c>
      <c r="H1329">
        <v>44651474000</v>
      </c>
      <c r="I1329">
        <v>2239010000</v>
      </c>
      <c r="J1329">
        <v>83462996000</v>
      </c>
      <c r="K1329">
        <v>17667151000</v>
      </c>
      <c r="L1329">
        <v>35435712000</v>
      </c>
      <c r="M1329">
        <v>10169950000</v>
      </c>
      <c r="N1329">
        <v>30360133000</v>
      </c>
      <c r="O1329">
        <v>24174221000</v>
      </c>
      <c r="P1329">
        <v>8598551000</v>
      </c>
      <c r="Q1329">
        <v>10273044000</v>
      </c>
      <c r="R1329">
        <v>9263342000</v>
      </c>
      <c r="S1329">
        <v>4765319000</v>
      </c>
      <c r="T1329">
        <v>13987960000</v>
      </c>
      <c r="U1329">
        <v>-6890581000</v>
      </c>
      <c r="V1329">
        <f t="shared" si="52"/>
        <v>20623611000</v>
      </c>
      <c r="W1329">
        <f t="shared" si="53"/>
        <v>66090018000</v>
      </c>
    </row>
    <row r="1330" spans="1:23" x14ac:dyDescent="0.2">
      <c r="A1330">
        <f>IF(D1330="USD",VLOOKUP(VALUE(RIGHT(E1330,4)),'USD RUB'!$E:$F,2,FALSE),1)</f>
        <v>1</v>
      </c>
      <c r="B1330" s="4">
        <v>1</v>
      </c>
      <c r="C1330">
        <v>1000</v>
      </c>
      <c r="D1330" t="s">
        <v>20</v>
      </c>
      <c r="E1330" s="1" t="s">
        <v>1346</v>
      </c>
      <c r="F1330">
        <v>721186000</v>
      </c>
      <c r="G1330">
        <v>31067512000</v>
      </c>
      <c r="H1330">
        <v>42631053000</v>
      </c>
      <c r="I1330">
        <v>2217853000</v>
      </c>
      <c r="J1330">
        <v>78775263000</v>
      </c>
      <c r="K1330">
        <v>14037979000</v>
      </c>
      <c r="L1330">
        <v>39886750000</v>
      </c>
      <c r="M1330">
        <v>4708786000</v>
      </c>
      <c r="N1330">
        <v>24850534000</v>
      </c>
      <c r="O1330">
        <v>11311526000</v>
      </c>
      <c r="P1330">
        <v>2954827000</v>
      </c>
      <c r="Q1330">
        <v>4614668000</v>
      </c>
      <c r="R1330">
        <v>3764209000</v>
      </c>
      <c r="S1330">
        <v>2824522000</v>
      </c>
      <c r="T1330">
        <v>6238339000</v>
      </c>
      <c r="U1330">
        <v>-3341128000</v>
      </c>
      <c r="V1330">
        <f t="shared" si="52"/>
        <v>10293091000</v>
      </c>
      <c r="W1330">
        <f t="shared" si="53"/>
        <v>62745549000</v>
      </c>
    </row>
    <row r="1331" spans="1:23" x14ac:dyDescent="0.2">
      <c r="A1331">
        <f>IF(D1331="USD",VLOOKUP(VALUE(RIGHT(E1331,4)),'USD RUB'!$E:$F,2,FALSE),1)</f>
        <v>1</v>
      </c>
      <c r="B1331" s="4">
        <v>1</v>
      </c>
      <c r="C1331">
        <v>1000</v>
      </c>
      <c r="D1331" t="s">
        <v>20</v>
      </c>
      <c r="E1331" s="1" t="s">
        <v>1347</v>
      </c>
      <c r="F1331">
        <v>3576378000</v>
      </c>
      <c r="G1331">
        <v>28562394000</v>
      </c>
      <c r="H1331">
        <v>41794663000</v>
      </c>
      <c r="I1331">
        <v>2198276000</v>
      </c>
      <c r="J1331">
        <v>75404084000</v>
      </c>
      <c r="K1331">
        <v>8497500000</v>
      </c>
      <c r="L1331">
        <v>43839763000</v>
      </c>
      <c r="M1331">
        <v>3055718000</v>
      </c>
      <c r="N1331">
        <v>23066822000</v>
      </c>
      <c r="O1331">
        <v>33313789000</v>
      </c>
      <c r="P1331">
        <v>11337837000</v>
      </c>
      <c r="Q1331">
        <v>-2168396000</v>
      </c>
      <c r="R1331">
        <v>4384000</v>
      </c>
      <c r="S1331">
        <v>2491791000</v>
      </c>
      <c r="T1331">
        <v>14506785000</v>
      </c>
      <c r="U1331">
        <v>-4347369000</v>
      </c>
      <c r="V1331">
        <f t="shared" si="52"/>
        <v>22071600000</v>
      </c>
      <c r="W1331">
        <f t="shared" si="53"/>
        <v>57689206000</v>
      </c>
    </row>
    <row r="1332" spans="1:23" x14ac:dyDescent="0.2">
      <c r="A1332">
        <f>IF(D1332="USD",VLOOKUP(VALUE(RIGHT(E1332,4)),'USD RUB'!$E:$F,2,FALSE),1)</f>
        <v>1</v>
      </c>
      <c r="B1332" s="4">
        <v>1</v>
      </c>
      <c r="C1332">
        <v>1000</v>
      </c>
      <c r="D1332" t="s">
        <v>20</v>
      </c>
      <c r="E1332" s="1" t="s">
        <v>1348</v>
      </c>
      <c r="F1332">
        <v>1372492000</v>
      </c>
      <c r="G1332">
        <v>29267883000</v>
      </c>
      <c r="H1332">
        <v>30680696000</v>
      </c>
      <c r="I1332">
        <v>2489446000</v>
      </c>
      <c r="J1332">
        <v>66090018000</v>
      </c>
      <c r="K1332">
        <v>7689727000</v>
      </c>
      <c r="L1332">
        <v>44677968000</v>
      </c>
      <c r="M1332">
        <v>-1024006000</v>
      </c>
      <c r="N1332">
        <v>13722323000</v>
      </c>
      <c r="O1332">
        <v>20623611000</v>
      </c>
      <c r="P1332">
        <v>7595863000</v>
      </c>
      <c r="Q1332">
        <v>-9253287000</v>
      </c>
      <c r="R1332">
        <v>-6547867000</v>
      </c>
      <c r="S1332">
        <v>1923083000</v>
      </c>
      <c r="T1332">
        <v>10043608000</v>
      </c>
      <c r="U1332">
        <v>-3206504000</v>
      </c>
      <c r="V1332">
        <f t="shared" si="52"/>
        <v>16709945000</v>
      </c>
      <c r="W1332">
        <f t="shared" si="53"/>
        <v>55568575000</v>
      </c>
    </row>
    <row r="1333" spans="1:23" x14ac:dyDescent="0.2">
      <c r="A1333">
        <f>IF(D1333="USD",VLOOKUP(VALUE(RIGHT(E1333,4)),'USD RUB'!$E:$F,2,FALSE),1)</f>
        <v>1</v>
      </c>
      <c r="B1333" s="4">
        <v>1</v>
      </c>
      <c r="C1333">
        <v>1000</v>
      </c>
      <c r="D1333" t="s">
        <v>20</v>
      </c>
      <c r="E1333" s="1" t="s">
        <v>1349</v>
      </c>
      <c r="F1333">
        <v>1547284000</v>
      </c>
      <c r="G1333">
        <v>28136646000</v>
      </c>
      <c r="H1333">
        <v>29523884000</v>
      </c>
      <c r="I1333">
        <v>2482836000</v>
      </c>
      <c r="J1333">
        <v>62745549000</v>
      </c>
      <c r="K1333">
        <v>7808989000</v>
      </c>
      <c r="L1333">
        <v>38687549000</v>
      </c>
      <c r="M1333">
        <v>1482042000</v>
      </c>
      <c r="N1333">
        <v>16249011000</v>
      </c>
      <c r="O1333">
        <v>10293091000</v>
      </c>
      <c r="P1333">
        <v>3191116000</v>
      </c>
      <c r="Q1333">
        <v>-5562588000</v>
      </c>
      <c r="R1333">
        <v>-4021392000</v>
      </c>
      <c r="S1333">
        <v>1197810000</v>
      </c>
      <c r="T1333">
        <v>4727399000</v>
      </c>
      <c r="U1333">
        <v>-1269515000</v>
      </c>
      <c r="V1333">
        <f t="shared" si="52"/>
        <v>7485296000</v>
      </c>
      <c r="W1333">
        <f t="shared" si="53"/>
        <v>54033971000</v>
      </c>
    </row>
    <row r="1334" spans="1:23" x14ac:dyDescent="0.2">
      <c r="A1334">
        <f>IF(D1334="USD",VLOOKUP(VALUE(RIGHT(E1334,4)),'USD RUB'!$E:$F,2,FALSE),1)</f>
        <v>1</v>
      </c>
      <c r="B1334" s="4">
        <v>1</v>
      </c>
      <c r="C1334">
        <v>1000</v>
      </c>
      <c r="D1334" t="s">
        <v>20</v>
      </c>
      <c r="E1334" s="1" t="s">
        <v>1350</v>
      </c>
      <c r="F1334">
        <v>721026000</v>
      </c>
      <c r="G1334">
        <v>22831075000</v>
      </c>
      <c r="H1334">
        <v>28863987000</v>
      </c>
      <c r="I1334">
        <v>2486576000</v>
      </c>
      <c r="J1334">
        <v>57689206000</v>
      </c>
      <c r="K1334">
        <v>6452956000</v>
      </c>
      <c r="L1334">
        <v>29960769000</v>
      </c>
      <c r="M1334">
        <v>6759544000</v>
      </c>
      <c r="N1334">
        <v>21275480000</v>
      </c>
      <c r="O1334">
        <v>22071600000</v>
      </c>
      <c r="P1334">
        <v>5113672000</v>
      </c>
      <c r="Q1334">
        <v>2447732000</v>
      </c>
      <c r="R1334">
        <v>2125947000</v>
      </c>
      <c r="S1334">
        <v>2094282000</v>
      </c>
      <c r="T1334">
        <v>9395643000</v>
      </c>
      <c r="U1334">
        <v>-3071642000</v>
      </c>
      <c r="V1334">
        <f t="shared" si="52"/>
        <v>15891575000</v>
      </c>
      <c r="W1334">
        <f t="shared" si="53"/>
        <v>51185929000</v>
      </c>
    </row>
    <row r="1335" spans="1:23" x14ac:dyDescent="0.2">
      <c r="A1335">
        <f>IF(D1335="USD",VLOOKUP(VALUE(RIGHT(E1335,4)),'USD RUB'!$E:$F,2,FALSE),1)</f>
        <v>1</v>
      </c>
      <c r="B1335" s="4">
        <v>1</v>
      </c>
      <c r="C1335">
        <v>1000</v>
      </c>
      <c r="D1335" t="s">
        <v>20</v>
      </c>
      <c r="E1335" s="1" t="s">
        <v>1351</v>
      </c>
      <c r="F1335">
        <v>2440624000</v>
      </c>
      <c r="G1335">
        <v>21164762000</v>
      </c>
      <c r="H1335">
        <v>27926410000</v>
      </c>
      <c r="I1335">
        <v>2752947000</v>
      </c>
      <c r="J1335">
        <v>55568575000</v>
      </c>
      <c r="K1335">
        <v>7530417000</v>
      </c>
      <c r="L1335">
        <v>28375655000</v>
      </c>
      <c r="M1335">
        <v>5929017000</v>
      </c>
      <c r="N1335">
        <v>19662503000</v>
      </c>
      <c r="O1335">
        <v>16709945000</v>
      </c>
      <c r="P1335">
        <v>3240738000</v>
      </c>
      <c r="Q1335">
        <v>395855000</v>
      </c>
      <c r="R1335">
        <v>188542000</v>
      </c>
      <c r="S1335">
        <v>1601333000</v>
      </c>
      <c r="T1335">
        <v>6840427000</v>
      </c>
      <c r="U1335">
        <v>-1805613000</v>
      </c>
      <c r="V1335">
        <f t="shared" si="52"/>
        <v>10724236000</v>
      </c>
      <c r="W1335">
        <f t="shared" si="53"/>
        <v>49552039000</v>
      </c>
    </row>
    <row r="1336" spans="1:23" x14ac:dyDescent="0.2">
      <c r="A1336">
        <f>IF(D1336="USD",VLOOKUP(VALUE(RIGHT(E1336,4)),'USD RUB'!$E:$F,2,FALSE),1)</f>
        <v>1</v>
      </c>
      <c r="B1336" s="4">
        <v>1</v>
      </c>
      <c r="C1336">
        <v>1000</v>
      </c>
      <c r="D1336" t="s">
        <v>20</v>
      </c>
      <c r="E1336" s="1" t="s">
        <v>1352</v>
      </c>
      <c r="F1336">
        <v>1837634000</v>
      </c>
      <c r="G1336">
        <v>19824228000</v>
      </c>
      <c r="H1336">
        <v>27132539000</v>
      </c>
      <c r="I1336">
        <v>2752953000</v>
      </c>
      <c r="J1336">
        <v>54033971000</v>
      </c>
      <c r="K1336">
        <v>25729403000</v>
      </c>
      <c r="L1336">
        <v>10023677000</v>
      </c>
      <c r="M1336">
        <v>5151111000</v>
      </c>
      <c r="N1336">
        <v>18280891000</v>
      </c>
      <c r="O1336">
        <v>7485296000</v>
      </c>
      <c r="P1336">
        <v>89663000</v>
      </c>
      <c r="Q1336">
        <v>-947117000</v>
      </c>
      <c r="R1336">
        <v>-928323000</v>
      </c>
      <c r="S1336">
        <v>1030851000</v>
      </c>
      <c r="T1336">
        <v>2583314000</v>
      </c>
      <c r="U1336">
        <v>-1177494000</v>
      </c>
      <c r="V1336">
        <f t="shared" si="52"/>
        <v>3808268000</v>
      </c>
      <c r="W1336">
        <f t="shared" si="53"/>
        <v>47158955000</v>
      </c>
    </row>
    <row r="1337" spans="1:23" x14ac:dyDescent="0.2">
      <c r="A1337">
        <f>IF(D1337="USD",VLOOKUP(VALUE(RIGHT(E1337,4)),'USD RUB'!$E:$F,2,FALSE),1)</f>
        <v>1</v>
      </c>
      <c r="B1337" s="4">
        <v>1</v>
      </c>
      <c r="C1337">
        <v>1000</v>
      </c>
      <c r="D1337" t="s">
        <v>20</v>
      </c>
      <c r="E1337" s="1" t="s">
        <v>1353</v>
      </c>
      <c r="F1337">
        <v>2376241000</v>
      </c>
      <c r="G1337">
        <v>17741966000</v>
      </c>
      <c r="H1337">
        <v>26708972000</v>
      </c>
      <c r="I1337">
        <v>2711767000</v>
      </c>
      <c r="J1337">
        <v>51185929000</v>
      </c>
      <c r="K1337">
        <v>23647901000</v>
      </c>
      <c r="L1337">
        <v>8019334000</v>
      </c>
      <c r="M1337">
        <v>6278434000</v>
      </c>
      <c r="N1337">
        <v>19518694000</v>
      </c>
      <c r="O1337">
        <v>15891575000</v>
      </c>
      <c r="P1337">
        <v>4303399000</v>
      </c>
      <c r="Q1337">
        <v>658235000</v>
      </c>
      <c r="R1337">
        <v>728982000</v>
      </c>
      <c r="S1337">
        <v>1260889000</v>
      </c>
      <c r="T1337">
        <v>6362370000</v>
      </c>
      <c r="U1337">
        <v>-2062733000</v>
      </c>
      <c r="V1337">
        <f t="shared" si="52"/>
        <v>11638005000</v>
      </c>
      <c r="W1337">
        <f t="shared" si="53"/>
        <v>44474751000</v>
      </c>
    </row>
    <row r="1338" spans="1:23" x14ac:dyDescent="0.2">
      <c r="A1338">
        <f>IF(D1338="USD",VLOOKUP(VALUE(RIGHT(E1338,4)),'USD RUB'!$E:$F,2,FALSE),1)</f>
        <v>1</v>
      </c>
      <c r="B1338" s="4">
        <v>1</v>
      </c>
      <c r="C1338">
        <v>1000</v>
      </c>
      <c r="D1338" t="s">
        <v>20</v>
      </c>
      <c r="E1338" s="1" t="s">
        <v>1354</v>
      </c>
      <c r="F1338">
        <v>2505437000</v>
      </c>
      <c r="G1338">
        <v>16496799000</v>
      </c>
      <c r="H1338">
        <v>26082957000</v>
      </c>
      <c r="I1338">
        <v>2961214000</v>
      </c>
      <c r="J1338">
        <v>49552039000</v>
      </c>
      <c r="K1338">
        <v>17252169000</v>
      </c>
      <c r="L1338">
        <v>12186242000</v>
      </c>
      <c r="M1338">
        <v>6863374000</v>
      </c>
      <c r="N1338">
        <v>20113627000</v>
      </c>
      <c r="O1338">
        <v>10724236000</v>
      </c>
      <c r="P1338">
        <v>2831617000</v>
      </c>
      <c r="Q1338">
        <v>1639906000</v>
      </c>
      <c r="R1338">
        <v>1303203000</v>
      </c>
      <c r="S1338">
        <v>907513000</v>
      </c>
      <c r="T1338">
        <v>4083671000</v>
      </c>
      <c r="U1338">
        <v>-1143059000</v>
      </c>
      <c r="V1338">
        <f t="shared" si="52"/>
        <v>8332708000</v>
      </c>
      <c r="W1338">
        <f t="shared" si="53"/>
        <v>38017435000</v>
      </c>
    </row>
    <row r="1339" spans="1:23" x14ac:dyDescent="0.2">
      <c r="A1339">
        <f>IF(D1339="USD",VLOOKUP(VALUE(RIGHT(E1339,4)),'USD RUB'!$E:$F,2,FALSE),1)</f>
        <v>1</v>
      </c>
      <c r="B1339" s="4">
        <v>1</v>
      </c>
      <c r="C1339">
        <v>1000</v>
      </c>
      <c r="D1339" t="s">
        <v>20</v>
      </c>
      <c r="E1339" s="1" t="s">
        <v>1355</v>
      </c>
      <c r="F1339">
        <v>479338000</v>
      </c>
      <c r="G1339">
        <v>14587008000</v>
      </c>
      <c r="H1339">
        <v>25723188000</v>
      </c>
      <c r="I1339">
        <v>2961224000</v>
      </c>
      <c r="J1339">
        <v>47158955000</v>
      </c>
      <c r="K1339">
        <v>18537674000</v>
      </c>
      <c r="L1339">
        <v>10570780000</v>
      </c>
      <c r="M1339">
        <v>4897580000</v>
      </c>
      <c r="N1339">
        <v>18050501000</v>
      </c>
      <c r="O1339">
        <v>3808268000</v>
      </c>
      <c r="P1339">
        <v>444369000</v>
      </c>
      <c r="Q1339">
        <v>-940593000</v>
      </c>
      <c r="R1339">
        <v>-759925000</v>
      </c>
      <c r="S1339">
        <v>596981000</v>
      </c>
      <c r="T1339">
        <v>1380251000</v>
      </c>
      <c r="U1339">
        <v>-471172000</v>
      </c>
      <c r="V1339">
        <f t="shared" si="52"/>
        <v>2286940000</v>
      </c>
      <c r="W1339">
        <f t="shared" si="53"/>
        <v>39880079000</v>
      </c>
    </row>
    <row r="1340" spans="1:23" x14ac:dyDescent="0.2">
      <c r="A1340">
        <f>IF(D1340="USD",VLOOKUP(VALUE(RIGHT(E1340,4)),'USD RUB'!$E:$F,2,FALSE),1)</f>
        <v>1</v>
      </c>
      <c r="B1340" s="4">
        <v>1</v>
      </c>
      <c r="C1340">
        <v>1000</v>
      </c>
      <c r="D1340" t="s">
        <v>20</v>
      </c>
      <c r="E1340" s="1" t="s">
        <v>1356</v>
      </c>
      <c r="F1340">
        <v>606926000</v>
      </c>
      <c r="G1340">
        <v>11861567000</v>
      </c>
      <c r="H1340">
        <v>25801799000</v>
      </c>
      <c r="I1340">
        <v>2961215000</v>
      </c>
      <c r="J1340">
        <v>44474751000</v>
      </c>
      <c r="K1340">
        <v>15888072000</v>
      </c>
      <c r="L1340">
        <v>9550863000</v>
      </c>
      <c r="M1340">
        <v>5847067000</v>
      </c>
      <c r="N1340">
        <v>19035816000</v>
      </c>
      <c r="O1340">
        <v>11638005000</v>
      </c>
      <c r="P1340">
        <v>2090162000</v>
      </c>
      <c r="Q1340">
        <v>1799889000</v>
      </c>
      <c r="R1340">
        <v>1402440000</v>
      </c>
      <c r="S1340">
        <v>977399000</v>
      </c>
      <c r="T1340">
        <v>4618741000</v>
      </c>
      <c r="U1340">
        <v>1723092000</v>
      </c>
      <c r="V1340">
        <f t="shared" si="52"/>
        <v>11257279000</v>
      </c>
      <c r="W1340">
        <f t="shared" si="53"/>
        <v>29830690000</v>
      </c>
    </row>
    <row r="1341" spans="1:23" x14ac:dyDescent="0.2">
      <c r="A1341">
        <f>IF(D1341="USD",VLOOKUP(VALUE(RIGHT(E1341,4)),'USD RUB'!$E:$F,2,FALSE),1)</f>
        <v>1</v>
      </c>
      <c r="B1341" s="4">
        <v>1</v>
      </c>
      <c r="C1341">
        <v>1000</v>
      </c>
      <c r="D1341" t="s">
        <v>20</v>
      </c>
      <c r="E1341" s="1" t="s">
        <v>1357</v>
      </c>
      <c r="F1341">
        <v>959593000</v>
      </c>
      <c r="G1341">
        <v>13033325000</v>
      </c>
      <c r="H1341">
        <v>16325961000</v>
      </c>
      <c r="I1341">
        <v>3331308000</v>
      </c>
      <c r="J1341">
        <v>38017435000</v>
      </c>
      <c r="K1341">
        <v>11495053000</v>
      </c>
      <c r="L1341">
        <v>13641156000</v>
      </c>
      <c r="M1341">
        <v>5366414000</v>
      </c>
      <c r="N1341">
        <v>12881226000</v>
      </c>
      <c r="O1341">
        <v>8332708000</v>
      </c>
      <c r="P1341">
        <v>2018979000</v>
      </c>
      <c r="Q1341">
        <v>1192543000</v>
      </c>
      <c r="R1341">
        <v>950260000</v>
      </c>
      <c r="T1341">
        <v>3110823000</v>
      </c>
      <c r="U1341">
        <v>-1530826000</v>
      </c>
      <c r="V1341">
        <f t="shared" si="52"/>
        <v>7856809000</v>
      </c>
      <c r="W1341">
        <f t="shared" si="53"/>
        <v>28752499000</v>
      </c>
    </row>
    <row r="1342" spans="1:23" x14ac:dyDescent="0.2">
      <c r="A1342">
        <f>IF(D1342="USD",VLOOKUP(VALUE(RIGHT(E1342,4)),'USD RUB'!$E:$F,2,FALSE),1)</f>
        <v>1</v>
      </c>
      <c r="B1342" s="4">
        <v>1</v>
      </c>
      <c r="C1342">
        <v>1000</v>
      </c>
      <c r="D1342" t="s">
        <v>20</v>
      </c>
      <c r="E1342" s="1" t="s">
        <v>1358</v>
      </c>
      <c r="F1342">
        <v>78290000</v>
      </c>
      <c r="G1342">
        <v>15586758000</v>
      </c>
      <c r="H1342">
        <v>15255097000</v>
      </c>
      <c r="I1342">
        <v>3331307000</v>
      </c>
      <c r="J1342">
        <v>39880079000</v>
      </c>
      <c r="K1342">
        <v>19218916000</v>
      </c>
      <c r="L1342">
        <v>9013529000</v>
      </c>
      <c r="M1342">
        <v>4125897000</v>
      </c>
      <c r="N1342">
        <v>11647634000</v>
      </c>
      <c r="O1342">
        <v>2286940000</v>
      </c>
      <c r="P1342">
        <v>131532000</v>
      </c>
      <c r="Q1342">
        <v>-343467000</v>
      </c>
      <c r="R1342">
        <v>-283332000</v>
      </c>
      <c r="T1342">
        <v>711994000</v>
      </c>
      <c r="U1342">
        <v>-420195000</v>
      </c>
      <c r="V1342">
        <f t="shared" si="52"/>
        <v>1912275000</v>
      </c>
      <c r="W1342">
        <f t="shared" si="53"/>
        <v>28073406000</v>
      </c>
    </row>
    <row r="1343" spans="1:23" x14ac:dyDescent="0.2">
      <c r="A1343">
        <f>IF(D1343="USD",VLOOKUP(VALUE(RIGHT(E1343,4)),'USD RUB'!$E:$F,2,FALSE),1)</f>
        <v>1</v>
      </c>
      <c r="B1343" s="4">
        <v>1</v>
      </c>
      <c r="C1343">
        <v>1000</v>
      </c>
      <c r="D1343" t="s">
        <v>20</v>
      </c>
      <c r="E1343" s="1" t="s">
        <v>1359</v>
      </c>
      <c r="F1343">
        <v>4779000</v>
      </c>
      <c r="G1343">
        <v>9959047000</v>
      </c>
      <c r="H1343">
        <v>12056472000</v>
      </c>
      <c r="J1343">
        <v>29830690000</v>
      </c>
      <c r="K1343">
        <v>9797238000</v>
      </c>
      <c r="L1343">
        <v>8404189000</v>
      </c>
      <c r="M1343">
        <v>4118814000</v>
      </c>
      <c r="N1343">
        <v>11629263000</v>
      </c>
      <c r="O1343">
        <v>11257279000</v>
      </c>
      <c r="P1343">
        <v>4214051000</v>
      </c>
      <c r="Q1343">
        <v>4632086000</v>
      </c>
      <c r="R1343">
        <v>3696009000</v>
      </c>
      <c r="T1343">
        <v>5045551000</v>
      </c>
      <c r="U1343">
        <v>-1963127000</v>
      </c>
      <c r="V1343">
        <f t="shared" si="52"/>
        <v>8092833000</v>
      </c>
      <c r="W1343">
        <f t="shared" si="53"/>
        <v>26339545000</v>
      </c>
    </row>
    <row r="1344" spans="1:23" x14ac:dyDescent="0.2">
      <c r="A1344">
        <f>IF(D1344="USD",VLOOKUP(VALUE(RIGHT(E1344,4)),'USD RUB'!$E:$F,2,FALSE),1)</f>
        <v>1</v>
      </c>
      <c r="B1344" s="4">
        <v>1</v>
      </c>
      <c r="C1344">
        <v>1000</v>
      </c>
      <c r="D1344" t="s">
        <v>20</v>
      </c>
      <c r="E1344" s="1" t="s">
        <v>1360</v>
      </c>
      <c r="F1344">
        <v>1211092000</v>
      </c>
      <c r="G1344">
        <v>10116020000</v>
      </c>
      <c r="H1344">
        <v>11415981000</v>
      </c>
      <c r="J1344">
        <v>28752499000</v>
      </c>
      <c r="K1344">
        <v>5006277000</v>
      </c>
      <c r="L1344">
        <v>15518417000</v>
      </c>
      <c r="M1344">
        <v>1247458000</v>
      </c>
      <c r="N1344">
        <v>8227805000</v>
      </c>
      <c r="O1344">
        <v>7856809000</v>
      </c>
      <c r="P1344">
        <v>2584355000</v>
      </c>
      <c r="Q1344">
        <v>1047931000</v>
      </c>
      <c r="R1344">
        <v>833967000</v>
      </c>
      <c r="T1344">
        <v>3278320000</v>
      </c>
      <c r="U1344">
        <v>-1188992000</v>
      </c>
      <c r="V1344">
        <f t="shared" si="52"/>
        <v>5378578000</v>
      </c>
      <c r="W1344">
        <f t="shared" si="53"/>
        <v>23111237000</v>
      </c>
    </row>
    <row r="1345" spans="1:23" x14ac:dyDescent="0.2">
      <c r="A1345">
        <f>IF(D1345="USD",VLOOKUP(VALUE(RIGHT(E1345,4)),'USD RUB'!$E:$F,2,FALSE),1)</f>
        <v>1</v>
      </c>
      <c r="B1345" s="4">
        <v>1</v>
      </c>
      <c r="C1345">
        <v>1000</v>
      </c>
      <c r="D1345" t="s">
        <v>20</v>
      </c>
      <c r="E1345" s="1" t="s">
        <v>1361</v>
      </c>
      <c r="F1345">
        <v>369994000</v>
      </c>
      <c r="G1345">
        <v>10304283000</v>
      </c>
      <c r="H1345">
        <v>11153067000</v>
      </c>
      <c r="J1345">
        <v>28073406000</v>
      </c>
      <c r="K1345">
        <v>12757604000</v>
      </c>
      <c r="L1345">
        <v>8407766000</v>
      </c>
      <c r="M1345">
        <v>-66258000</v>
      </c>
      <c r="N1345">
        <v>6908036000</v>
      </c>
      <c r="O1345">
        <v>1912275000</v>
      </c>
      <c r="P1345">
        <v>304373000</v>
      </c>
      <c r="Q1345">
        <v>-604454000</v>
      </c>
      <c r="R1345">
        <v>-485802000</v>
      </c>
      <c r="T1345">
        <v>851580000</v>
      </c>
      <c r="U1345">
        <v>-680129000</v>
      </c>
      <c r="V1345">
        <f t="shared" si="52"/>
        <v>1021892000</v>
      </c>
      <c r="W1345">
        <f t="shared" si="53"/>
        <v>22697464000</v>
      </c>
    </row>
    <row r="1346" spans="1:23" x14ac:dyDescent="0.2">
      <c r="A1346">
        <f>IF(D1346="USD",VLOOKUP(VALUE(RIGHT(E1346,4)),'USD RUB'!$E:$F,2,FALSE),1)</f>
        <v>1</v>
      </c>
      <c r="B1346" s="4">
        <v>1</v>
      </c>
      <c r="C1346">
        <v>1000</v>
      </c>
      <c r="D1346" t="s">
        <v>20</v>
      </c>
      <c r="E1346" s="1" t="s">
        <v>1362</v>
      </c>
      <c r="F1346">
        <v>316725000</v>
      </c>
      <c r="G1346">
        <v>8930610000</v>
      </c>
      <c r="H1346">
        <v>10901754000</v>
      </c>
      <c r="J1346">
        <v>26339545000</v>
      </c>
      <c r="K1346">
        <v>10272997000</v>
      </c>
      <c r="L1346">
        <v>8721950000</v>
      </c>
      <c r="M1346">
        <v>418704000</v>
      </c>
      <c r="N1346">
        <v>7344598000</v>
      </c>
      <c r="O1346">
        <v>8092833000</v>
      </c>
      <c r="P1346">
        <v>1307826000</v>
      </c>
      <c r="Q1346">
        <v>-1671764000</v>
      </c>
      <c r="R1346">
        <v>-1362422000</v>
      </c>
      <c r="T1346">
        <v>3547176000</v>
      </c>
      <c r="U1346">
        <v>-2350155000</v>
      </c>
      <c r="V1346" t="str">
        <f t="shared" si="52"/>
        <v/>
      </c>
      <c r="W1346" t="str">
        <f t="shared" si="53"/>
        <v/>
      </c>
    </row>
    <row r="1347" spans="1:23" x14ac:dyDescent="0.2">
      <c r="A1347">
        <f>IF(D1347="USD",VLOOKUP(VALUE(RIGHT(E1347,4)),'USD RUB'!$E:$F,2,FALSE),1)</f>
        <v>1</v>
      </c>
      <c r="B1347" s="4">
        <v>1</v>
      </c>
      <c r="C1347">
        <v>1000</v>
      </c>
      <c r="D1347" t="s">
        <v>20</v>
      </c>
      <c r="E1347" s="1" t="s">
        <v>1363</v>
      </c>
      <c r="F1347">
        <v>136690000</v>
      </c>
      <c r="G1347">
        <v>10288243000</v>
      </c>
      <c r="H1347">
        <v>10191402000</v>
      </c>
      <c r="J1347">
        <v>23111237000</v>
      </c>
      <c r="K1347">
        <v>2896089000</v>
      </c>
      <c r="L1347">
        <v>12095890000</v>
      </c>
      <c r="M1347">
        <v>1386559000</v>
      </c>
      <c r="N1347">
        <v>8119258000</v>
      </c>
      <c r="O1347">
        <v>5378578000</v>
      </c>
      <c r="P1347">
        <v>1568861000</v>
      </c>
      <c r="Q1347">
        <v>-368860000</v>
      </c>
      <c r="R1347">
        <v>-441356000</v>
      </c>
      <c r="T1347">
        <v>2164127000</v>
      </c>
      <c r="U1347">
        <v>-1225150000</v>
      </c>
      <c r="V1347" t="str">
        <f t="shared" si="52"/>
        <v/>
      </c>
      <c r="W1347" t="str">
        <f t="shared" si="53"/>
        <v/>
      </c>
    </row>
    <row r="1348" spans="1:23" x14ac:dyDescent="0.2">
      <c r="A1348">
        <f>IF(D1348="USD",VLOOKUP(VALUE(RIGHT(E1348,4)),'USD RUB'!$E:$F,2,FALSE),1)</f>
        <v>1</v>
      </c>
      <c r="B1348" s="4">
        <v>1</v>
      </c>
      <c r="C1348">
        <v>1000</v>
      </c>
      <c r="D1348" t="s">
        <v>20</v>
      </c>
      <c r="E1348" s="1" t="s">
        <v>1364</v>
      </c>
      <c r="F1348">
        <v>47303000</v>
      </c>
      <c r="G1348">
        <v>9927587000</v>
      </c>
      <c r="H1348">
        <v>9610901000</v>
      </c>
      <c r="J1348">
        <v>22697464000</v>
      </c>
      <c r="K1348">
        <v>4538427000</v>
      </c>
      <c r="L1348">
        <v>9692404000</v>
      </c>
      <c r="M1348">
        <v>1587920000</v>
      </c>
      <c r="N1348">
        <v>8466633000</v>
      </c>
      <c r="O1348">
        <v>1021892000</v>
      </c>
      <c r="P1348">
        <v>-168086000</v>
      </c>
      <c r="Q1348">
        <v>-280533000</v>
      </c>
      <c r="R1348">
        <v>-238000000</v>
      </c>
      <c r="T1348">
        <v>351919000</v>
      </c>
      <c r="U1348">
        <v>-373043000</v>
      </c>
      <c r="V1348" t="str">
        <f t="shared" si="52"/>
        <v/>
      </c>
      <c r="W1348" t="str">
        <f t="shared" si="53"/>
        <v/>
      </c>
    </row>
    <row r="1349" spans="1:23" x14ac:dyDescent="0.2">
      <c r="A1349">
        <f>IF(D1349="USD",VLOOKUP(VALUE(RIGHT(E1349,4)),'USD RUB'!$E:$F,2,FALSE),1)</f>
        <v>1</v>
      </c>
      <c r="B1349" s="4">
        <v>1</v>
      </c>
      <c r="C1349">
        <v>1000000</v>
      </c>
      <c r="D1349" t="s">
        <v>20</v>
      </c>
      <c r="E1349" s="1" t="s">
        <v>1365</v>
      </c>
      <c r="F1349">
        <v>95772000000</v>
      </c>
      <c r="G1349">
        <v>268363000000</v>
      </c>
      <c r="H1349">
        <v>230453000000</v>
      </c>
      <c r="I1349">
        <v>49759000000</v>
      </c>
      <c r="J1349">
        <v>596497000000</v>
      </c>
      <c r="K1349">
        <v>290112000000</v>
      </c>
      <c r="L1349">
        <v>273789000000</v>
      </c>
      <c r="M1349">
        <v>2467000000</v>
      </c>
      <c r="N1349">
        <v>32596000000</v>
      </c>
      <c r="O1349">
        <v>404359000000</v>
      </c>
      <c r="P1349">
        <v>28646000000</v>
      </c>
      <c r="Q1349">
        <v>-32527000000</v>
      </c>
      <c r="R1349">
        <v>-24458000000</v>
      </c>
      <c r="S1349">
        <v>26709000000</v>
      </c>
      <c r="T1349">
        <v>74677000000</v>
      </c>
      <c r="U1349">
        <v>-17891000000</v>
      </c>
      <c r="V1349">
        <f t="shared" si="52"/>
        <v>532165000000</v>
      </c>
      <c r="W1349">
        <f t="shared" si="53"/>
        <v>692913000000</v>
      </c>
    </row>
    <row r="1350" spans="1:23" x14ac:dyDescent="0.2">
      <c r="A1350">
        <f>IF(D1350="USD",VLOOKUP(VALUE(RIGHT(E1350,4)),'USD RUB'!$E:$F,2,FALSE),1)</f>
        <v>1</v>
      </c>
      <c r="B1350" s="4">
        <v>1</v>
      </c>
      <c r="C1350">
        <v>1000000</v>
      </c>
      <c r="D1350" t="s">
        <v>20</v>
      </c>
      <c r="E1350" s="1" t="s">
        <v>1366</v>
      </c>
      <c r="F1350">
        <v>56612000000</v>
      </c>
      <c r="G1350">
        <v>274116000000</v>
      </c>
      <c r="H1350">
        <v>234490000000</v>
      </c>
      <c r="I1350">
        <v>50120000000</v>
      </c>
      <c r="J1350">
        <v>600586000000</v>
      </c>
      <c r="K1350">
        <v>290817000000</v>
      </c>
      <c r="L1350">
        <v>256432000000</v>
      </c>
      <c r="M1350">
        <v>22008000000</v>
      </c>
      <c r="N1350">
        <v>53337000000</v>
      </c>
      <c r="O1350">
        <v>236989000000</v>
      </c>
      <c r="P1350">
        <v>26918000000</v>
      </c>
      <c r="Q1350">
        <v>-3256000000</v>
      </c>
      <c r="R1350">
        <v>-3249000000</v>
      </c>
      <c r="S1350">
        <v>13275000000</v>
      </c>
      <c r="T1350">
        <v>45084000000</v>
      </c>
      <c r="U1350">
        <v>-9316000000</v>
      </c>
      <c r="V1350">
        <f t="shared" si="52"/>
        <v>276728000000</v>
      </c>
      <c r="W1350">
        <f t="shared" si="53"/>
        <v>640514000000</v>
      </c>
    </row>
    <row r="1351" spans="1:23" x14ac:dyDescent="0.2">
      <c r="A1351">
        <f>IF(D1351="USD",VLOOKUP(VALUE(RIGHT(E1351,4)),'USD RUB'!$E:$F,2,FALSE),1)</f>
        <v>1</v>
      </c>
      <c r="B1351" s="4">
        <v>1</v>
      </c>
      <c r="C1351">
        <v>1000000</v>
      </c>
      <c r="D1351" t="s">
        <v>20</v>
      </c>
      <c r="E1351" s="1" t="s">
        <v>1367</v>
      </c>
      <c r="F1351">
        <v>120996000000</v>
      </c>
      <c r="G1351">
        <v>362516000000</v>
      </c>
      <c r="H1351">
        <v>236539000000</v>
      </c>
      <c r="I1351">
        <v>52718000000</v>
      </c>
      <c r="J1351">
        <v>692913000000</v>
      </c>
      <c r="K1351">
        <v>329422000000</v>
      </c>
      <c r="L1351">
        <v>306251000000</v>
      </c>
      <c r="M1351">
        <v>23568000000</v>
      </c>
      <c r="N1351">
        <v>57240000000</v>
      </c>
      <c r="O1351">
        <v>532165000000</v>
      </c>
      <c r="P1351">
        <v>36357000000</v>
      </c>
      <c r="Q1351">
        <v>-33016000000</v>
      </c>
      <c r="R1351">
        <v>-27728000000</v>
      </c>
      <c r="S1351">
        <v>25773000000</v>
      </c>
      <c r="T1351">
        <v>92404000000</v>
      </c>
      <c r="U1351">
        <v>-28821000000</v>
      </c>
      <c r="V1351">
        <f t="shared" si="52"/>
        <v>544265000000</v>
      </c>
      <c r="W1351">
        <f t="shared" si="53"/>
        <v>584874000000</v>
      </c>
    </row>
    <row r="1352" spans="1:23" x14ac:dyDescent="0.2">
      <c r="A1352">
        <f>IF(D1352="USD",VLOOKUP(VALUE(RIGHT(E1352,4)),'USD RUB'!$E:$F,2,FALSE),1)</f>
        <v>1</v>
      </c>
      <c r="B1352" s="4">
        <v>1</v>
      </c>
      <c r="C1352">
        <v>1000000</v>
      </c>
      <c r="D1352" t="s">
        <v>20</v>
      </c>
      <c r="E1352" s="1" t="s">
        <v>1368</v>
      </c>
      <c r="F1352">
        <v>73993000000</v>
      </c>
      <c r="G1352">
        <v>329215000000</v>
      </c>
      <c r="H1352">
        <v>227779000000</v>
      </c>
      <c r="I1352">
        <v>52600000000</v>
      </c>
      <c r="J1352">
        <v>640514000000</v>
      </c>
      <c r="K1352">
        <v>268323000000</v>
      </c>
      <c r="L1352">
        <v>289147000000</v>
      </c>
      <c r="M1352">
        <v>46912000000</v>
      </c>
      <c r="N1352">
        <v>83044000000</v>
      </c>
      <c r="O1352">
        <v>276728000000</v>
      </c>
      <c r="P1352">
        <v>22638000000</v>
      </c>
      <c r="Q1352">
        <v>-1806000000</v>
      </c>
      <c r="R1352">
        <v>-1816000000</v>
      </c>
      <c r="S1352">
        <v>12695000000</v>
      </c>
      <c r="T1352">
        <v>46033000000</v>
      </c>
      <c r="U1352">
        <v>-12635000000</v>
      </c>
      <c r="V1352">
        <f t="shared" si="52"/>
        <v>278857000000</v>
      </c>
      <c r="W1352">
        <f t="shared" si="53"/>
        <v>578732000000</v>
      </c>
    </row>
    <row r="1353" spans="1:23" x14ac:dyDescent="0.2">
      <c r="A1353">
        <f>IF(D1353="USD",VLOOKUP(VALUE(RIGHT(E1353,4)),'USD RUB'!$E:$F,2,FALSE),1)</f>
        <v>1</v>
      </c>
      <c r="B1353" s="4">
        <v>1</v>
      </c>
      <c r="C1353">
        <v>1000000</v>
      </c>
      <c r="D1353" t="s">
        <v>20</v>
      </c>
      <c r="E1353" s="1" t="s">
        <v>1369</v>
      </c>
      <c r="F1353">
        <v>69572000000</v>
      </c>
      <c r="G1353">
        <v>312475000000</v>
      </c>
      <c r="H1353">
        <v>189409000000</v>
      </c>
      <c r="I1353">
        <v>48141000000</v>
      </c>
      <c r="J1353">
        <v>584874000000</v>
      </c>
      <c r="K1353">
        <v>299657000000</v>
      </c>
      <c r="L1353">
        <v>198503000000</v>
      </c>
      <c r="M1353">
        <v>57464000000</v>
      </c>
      <c r="N1353">
        <v>86714000000</v>
      </c>
      <c r="O1353">
        <v>544265000000</v>
      </c>
      <c r="P1353">
        <v>93641000000</v>
      </c>
      <c r="Q1353">
        <v>52605000000</v>
      </c>
      <c r="R1353">
        <v>39384000000</v>
      </c>
      <c r="S1353">
        <v>22560000000</v>
      </c>
      <c r="T1353">
        <v>130085000000</v>
      </c>
      <c r="U1353">
        <v>-41230000000</v>
      </c>
      <c r="V1353">
        <f t="shared" si="52"/>
        <v>629185000000</v>
      </c>
      <c r="W1353">
        <f t="shared" si="53"/>
        <v>600123000000</v>
      </c>
    </row>
    <row r="1354" spans="1:23" x14ac:dyDescent="0.2">
      <c r="A1354">
        <f>IF(D1354="USD",VLOOKUP(VALUE(RIGHT(E1354,4)),'USD RUB'!$E:$F,2,FALSE),1)</f>
        <v>1</v>
      </c>
      <c r="B1354" s="4">
        <v>1</v>
      </c>
      <c r="C1354">
        <v>1000000</v>
      </c>
      <c r="D1354" t="s">
        <v>20</v>
      </c>
      <c r="E1354" s="1" t="s">
        <v>1370</v>
      </c>
      <c r="F1354">
        <v>48074000000</v>
      </c>
      <c r="G1354">
        <v>312240000000</v>
      </c>
      <c r="H1354">
        <v>188873000000</v>
      </c>
      <c r="I1354">
        <v>45850000000</v>
      </c>
      <c r="J1354">
        <v>578732000000</v>
      </c>
      <c r="K1354">
        <v>302842000000</v>
      </c>
      <c r="L1354">
        <v>186244000000</v>
      </c>
      <c r="M1354">
        <v>60977000000</v>
      </c>
      <c r="N1354">
        <v>89646000000</v>
      </c>
      <c r="O1354">
        <v>278857000000</v>
      </c>
      <c r="P1354">
        <v>58202000000</v>
      </c>
      <c r="Q1354">
        <v>37276000000</v>
      </c>
      <c r="R1354">
        <v>28317000000</v>
      </c>
      <c r="S1354">
        <v>11672000000</v>
      </c>
      <c r="V1354">
        <f t="shared" si="52"/>
        <v>300837000000</v>
      </c>
      <c r="W1354">
        <f t="shared" si="53"/>
        <v>637068000000</v>
      </c>
    </row>
    <row r="1355" spans="1:23" x14ac:dyDescent="0.2">
      <c r="A1355">
        <f>IF(D1355="USD",VLOOKUP(VALUE(RIGHT(E1355,4)),'USD RUB'!$E:$F,2,FALSE),1)</f>
        <v>1</v>
      </c>
      <c r="B1355" s="4">
        <v>1</v>
      </c>
      <c r="C1355">
        <v>1000000</v>
      </c>
      <c r="D1355" t="s">
        <v>20</v>
      </c>
      <c r="E1355" s="1" t="s">
        <v>1371</v>
      </c>
      <c r="F1355">
        <v>44176000000</v>
      </c>
      <c r="G1355">
        <v>335739000000</v>
      </c>
      <c r="H1355">
        <v>187731000000</v>
      </c>
      <c r="I1355">
        <v>49400000000</v>
      </c>
      <c r="J1355">
        <v>600123000000</v>
      </c>
      <c r="K1355">
        <v>315831000000</v>
      </c>
      <c r="L1355">
        <v>216127000000</v>
      </c>
      <c r="M1355">
        <v>40004000000</v>
      </c>
      <c r="N1355">
        <v>68165000000</v>
      </c>
      <c r="O1355">
        <v>629185000000</v>
      </c>
      <c r="P1355">
        <v>96147000000</v>
      </c>
      <c r="Q1355">
        <v>55126000000</v>
      </c>
      <c r="R1355">
        <v>41929000000</v>
      </c>
      <c r="S1355">
        <v>26479000000</v>
      </c>
      <c r="T1355">
        <v>130169000000</v>
      </c>
      <c r="U1355">
        <v>-18859000000</v>
      </c>
      <c r="V1355">
        <f t="shared" si="52"/>
        <v>428981000000</v>
      </c>
      <c r="W1355">
        <f t="shared" si="53"/>
        <v>694577000000</v>
      </c>
    </row>
    <row r="1356" spans="1:23" x14ac:dyDescent="0.2">
      <c r="A1356">
        <f>IF(D1356="USD",VLOOKUP(VALUE(RIGHT(E1356,4)),'USD RUB'!$E:$F,2,FALSE),1)</f>
        <v>1</v>
      </c>
      <c r="B1356" s="4">
        <v>1</v>
      </c>
      <c r="C1356">
        <v>1000000</v>
      </c>
      <c r="D1356" t="s">
        <v>20</v>
      </c>
      <c r="E1356" s="1" t="s">
        <v>1372</v>
      </c>
      <c r="F1356">
        <v>48904000000</v>
      </c>
      <c r="G1356">
        <v>323226000000</v>
      </c>
      <c r="H1356">
        <v>216742000000</v>
      </c>
      <c r="I1356">
        <v>58254000000</v>
      </c>
      <c r="J1356">
        <v>637068000000</v>
      </c>
      <c r="K1356">
        <v>326375000000</v>
      </c>
      <c r="L1356">
        <v>251884000000</v>
      </c>
      <c r="M1356">
        <v>27921000000</v>
      </c>
      <c r="N1356">
        <v>58809000000</v>
      </c>
      <c r="O1356">
        <v>300837000000</v>
      </c>
      <c r="P1356">
        <v>42910000000</v>
      </c>
      <c r="Q1356">
        <v>25800000000</v>
      </c>
      <c r="R1356">
        <v>20412000000</v>
      </c>
      <c r="S1356">
        <v>13352000000</v>
      </c>
      <c r="T1356">
        <v>52644000000</v>
      </c>
      <c r="U1356">
        <v>-7317000000</v>
      </c>
      <c r="V1356">
        <f t="shared" si="52"/>
        <v>174277000000</v>
      </c>
      <c r="W1356">
        <f t="shared" si="53"/>
        <v>655012000000</v>
      </c>
    </row>
    <row r="1357" spans="1:23" x14ac:dyDescent="0.2">
      <c r="A1357">
        <f>IF(D1357="USD",VLOOKUP(VALUE(RIGHT(E1357,4)),'USD RUB'!$E:$F,2,FALSE),1)</f>
        <v>1</v>
      </c>
      <c r="B1357" s="4">
        <v>1</v>
      </c>
      <c r="C1357">
        <v>1000000</v>
      </c>
      <c r="D1357" t="s">
        <v>20</v>
      </c>
      <c r="E1357" s="1" t="s">
        <v>1373</v>
      </c>
      <c r="F1357">
        <v>96340000000</v>
      </c>
      <c r="G1357">
        <v>348442000000</v>
      </c>
      <c r="H1357">
        <v>225278000000</v>
      </c>
      <c r="I1357">
        <v>70917000000</v>
      </c>
      <c r="J1357">
        <v>694577000000</v>
      </c>
      <c r="K1357">
        <v>317539000000</v>
      </c>
      <c r="L1357">
        <v>327137000000</v>
      </c>
      <c r="M1357">
        <v>14345000000</v>
      </c>
      <c r="N1357">
        <v>49901000000</v>
      </c>
      <c r="O1357">
        <v>428981000000</v>
      </c>
      <c r="P1357">
        <v>35212000000</v>
      </c>
      <c r="Q1357">
        <v>11609000000</v>
      </c>
      <c r="R1357">
        <v>7183000000</v>
      </c>
      <c r="S1357">
        <v>17799000000</v>
      </c>
      <c r="T1357">
        <v>60698000000</v>
      </c>
      <c r="U1357">
        <v>-14536000000</v>
      </c>
      <c r="V1357">
        <f t="shared" si="52"/>
        <v>222621000000</v>
      </c>
      <c r="W1357">
        <f t="shared" si="53"/>
        <v>419099000000</v>
      </c>
    </row>
    <row r="1358" spans="1:23" x14ac:dyDescent="0.2">
      <c r="A1358">
        <f>IF(D1358="USD",VLOOKUP(VALUE(RIGHT(E1358,4)),'USD RUB'!$E:$F,2,FALSE),1)</f>
        <v>1</v>
      </c>
      <c r="B1358" s="4">
        <v>1</v>
      </c>
      <c r="C1358">
        <v>1000000</v>
      </c>
      <c r="D1358" t="s">
        <v>20</v>
      </c>
      <c r="E1358" s="1" t="s">
        <v>1374</v>
      </c>
      <c r="F1358">
        <v>57328000000</v>
      </c>
      <c r="G1358">
        <v>283839000000</v>
      </c>
      <c r="H1358">
        <v>222116000000</v>
      </c>
      <c r="I1358">
        <v>68032000000</v>
      </c>
      <c r="J1358">
        <v>642174000000</v>
      </c>
      <c r="K1358">
        <v>284846000000</v>
      </c>
      <c r="L1358">
        <v>311800000000</v>
      </c>
      <c r="M1358">
        <v>10163000000</v>
      </c>
      <c r="N1358">
        <v>45528000000</v>
      </c>
      <c r="O1358">
        <v>291536000000</v>
      </c>
      <c r="P1358">
        <v>22163000000</v>
      </c>
      <c r="Q1358">
        <v>5964000000</v>
      </c>
      <c r="R1358">
        <v>2899000000</v>
      </c>
      <c r="S1358">
        <v>13049000000</v>
      </c>
      <c r="T1358">
        <v>39458000000</v>
      </c>
      <c r="U1358">
        <v>-10547000000</v>
      </c>
      <c r="V1358">
        <f t="shared" si="52"/>
        <v>163146000000</v>
      </c>
      <c r="W1358">
        <f t="shared" si="53"/>
        <v>384253000000</v>
      </c>
    </row>
    <row r="1359" spans="1:23" x14ac:dyDescent="0.2">
      <c r="A1359">
        <f>IF(D1359="USD",VLOOKUP(VALUE(RIGHT(E1359,4)),'USD RUB'!$E:$F,2,FALSE),1)</f>
        <v>1</v>
      </c>
      <c r="B1359" s="4">
        <v>1</v>
      </c>
      <c r="C1359">
        <v>1000000</v>
      </c>
      <c r="D1359" t="s">
        <v>20</v>
      </c>
      <c r="E1359" s="1" t="s">
        <v>1375</v>
      </c>
      <c r="F1359">
        <v>59937000000</v>
      </c>
      <c r="G1359">
        <v>291106000000</v>
      </c>
      <c r="H1359">
        <v>224514000000</v>
      </c>
      <c r="I1359">
        <v>68704000000</v>
      </c>
      <c r="J1359">
        <v>655012000000</v>
      </c>
      <c r="K1359">
        <v>280994000000</v>
      </c>
      <c r="L1359">
        <v>313364000000</v>
      </c>
      <c r="M1359">
        <v>25256000000</v>
      </c>
      <c r="N1359">
        <v>60654000000</v>
      </c>
      <c r="O1359">
        <v>174277000000</v>
      </c>
      <c r="P1359">
        <v>11681000000</v>
      </c>
      <c r="Q1359">
        <v>1330000000</v>
      </c>
      <c r="R1359">
        <v>-379000000</v>
      </c>
      <c r="S1359">
        <v>8420000000</v>
      </c>
      <c r="T1359">
        <v>22700000000</v>
      </c>
      <c r="U1359">
        <v>-7189000000</v>
      </c>
      <c r="V1359">
        <f t="shared" si="52"/>
        <v>111990000000</v>
      </c>
      <c r="W1359">
        <f t="shared" si="53"/>
        <v>354121000000</v>
      </c>
    </row>
    <row r="1360" spans="1:23" x14ac:dyDescent="0.2">
      <c r="A1360">
        <f>IF(D1360="USD",VLOOKUP(VALUE(RIGHT(E1360,4)),'USD RUB'!$E:$F,2,FALSE),1)</f>
        <v>1</v>
      </c>
      <c r="B1360" s="4">
        <v>1</v>
      </c>
      <c r="C1360">
        <v>1000000</v>
      </c>
      <c r="D1360" t="s">
        <v>20</v>
      </c>
      <c r="E1360" s="1" t="s">
        <v>1376</v>
      </c>
      <c r="F1360">
        <v>45033000000</v>
      </c>
      <c r="G1360">
        <v>257467000000</v>
      </c>
      <c r="H1360">
        <v>226542000000</v>
      </c>
      <c r="I1360">
        <v>69151000000</v>
      </c>
      <c r="J1360">
        <v>621932000000</v>
      </c>
      <c r="K1360">
        <v>243717000000</v>
      </c>
      <c r="L1360">
        <v>311496000000</v>
      </c>
      <c r="M1360">
        <v>30795000000</v>
      </c>
      <c r="N1360">
        <v>66719000000</v>
      </c>
      <c r="O1360">
        <v>65061000000</v>
      </c>
      <c r="P1360">
        <v>1433000000</v>
      </c>
      <c r="Q1360">
        <v>-5125000000</v>
      </c>
      <c r="R1360">
        <v>-4847000000</v>
      </c>
      <c r="S1360">
        <v>3616000000</v>
      </c>
      <c r="T1360">
        <v>8590000000</v>
      </c>
      <c r="U1360">
        <v>-3172000000</v>
      </c>
      <c r="V1360">
        <f t="shared" si="52"/>
        <v>55319000000</v>
      </c>
      <c r="W1360">
        <f t="shared" si="53"/>
        <v>400753000000</v>
      </c>
    </row>
    <row r="1361" spans="1:23" x14ac:dyDescent="0.2">
      <c r="A1361">
        <f>IF(D1361="USD",VLOOKUP(VALUE(RIGHT(E1361,4)),'USD RUB'!$E:$F,2,FALSE),1)</f>
        <v>1</v>
      </c>
      <c r="B1361" s="4">
        <v>1</v>
      </c>
      <c r="C1361">
        <v>1000000</v>
      </c>
      <c r="D1361" t="s">
        <v>20</v>
      </c>
      <c r="E1361" s="1" t="s">
        <v>1377</v>
      </c>
      <c r="F1361">
        <v>73036000000</v>
      </c>
      <c r="G1361">
        <v>231152000000</v>
      </c>
      <c r="H1361">
        <v>132735000000</v>
      </c>
      <c r="I1361">
        <v>4562000000</v>
      </c>
      <c r="J1361">
        <v>419099000000</v>
      </c>
      <c r="K1361">
        <v>154775000000</v>
      </c>
      <c r="L1361">
        <v>192596000000</v>
      </c>
      <c r="M1361">
        <v>35661000000</v>
      </c>
      <c r="N1361">
        <v>71728000000</v>
      </c>
      <c r="O1361">
        <v>222621000000</v>
      </c>
      <c r="P1361">
        <v>15451000000</v>
      </c>
      <c r="Q1361">
        <v>30358000000</v>
      </c>
      <c r="R1361">
        <v>24301000000</v>
      </c>
      <c r="S1361">
        <v>12651000000</v>
      </c>
      <c r="T1361">
        <v>42480000000</v>
      </c>
      <c r="U1361">
        <v>-11081000000</v>
      </c>
      <c r="V1361">
        <f t="shared" si="52"/>
        <v>308378000000</v>
      </c>
      <c r="W1361">
        <f t="shared" si="53"/>
        <v>352182000000</v>
      </c>
    </row>
    <row r="1362" spans="1:23" x14ac:dyDescent="0.2">
      <c r="A1362">
        <f>IF(D1362="USD",VLOOKUP(VALUE(RIGHT(E1362,4)),'USD RUB'!$E:$F,2,FALSE),1)</f>
        <v>1</v>
      </c>
      <c r="B1362" s="4">
        <v>1</v>
      </c>
      <c r="C1362">
        <v>1000000</v>
      </c>
      <c r="D1362" t="s">
        <v>20</v>
      </c>
      <c r="E1362" s="1" t="s">
        <v>1378</v>
      </c>
      <c r="F1362">
        <v>60822000000</v>
      </c>
      <c r="G1362">
        <v>244687000000</v>
      </c>
      <c r="H1362">
        <v>117252000000</v>
      </c>
      <c r="I1362">
        <v>2144000000</v>
      </c>
      <c r="J1362">
        <v>384253000000</v>
      </c>
      <c r="K1362">
        <v>150795000000</v>
      </c>
      <c r="L1362">
        <v>173414000000</v>
      </c>
      <c r="M1362">
        <v>39601000000</v>
      </c>
      <c r="N1362">
        <v>60044000000</v>
      </c>
      <c r="O1362">
        <v>163146000000</v>
      </c>
      <c r="P1362">
        <v>11654000000</v>
      </c>
      <c r="Q1362">
        <v>30946000000</v>
      </c>
      <c r="R1362">
        <v>25061000000</v>
      </c>
      <c r="S1362">
        <v>9316000000</v>
      </c>
      <c r="T1362">
        <v>34789000000</v>
      </c>
      <c r="U1362">
        <v>-8265000000</v>
      </c>
      <c r="V1362">
        <f t="shared" si="52"/>
        <v>237183209125.31235</v>
      </c>
      <c r="W1362">
        <f t="shared" si="53"/>
        <v>341165428755.46851</v>
      </c>
    </row>
    <row r="1363" spans="1:23" x14ac:dyDescent="0.2">
      <c r="A1363">
        <f>IF(D1363="USD",VLOOKUP(VALUE(RIGHT(E1363,4)),'USD RUB'!$E:$F,2,FALSE),1)</f>
        <v>1</v>
      </c>
      <c r="B1363" s="4">
        <v>1</v>
      </c>
      <c r="C1363">
        <v>1000000</v>
      </c>
      <c r="D1363" t="s">
        <v>20</v>
      </c>
      <c r="E1363" s="1" t="s">
        <v>1379</v>
      </c>
      <c r="F1363">
        <v>51790000000</v>
      </c>
      <c r="G1363">
        <v>213010000000</v>
      </c>
      <c r="H1363">
        <v>114646000000</v>
      </c>
      <c r="I1363">
        <v>2046000000</v>
      </c>
      <c r="J1363">
        <v>354121000000</v>
      </c>
      <c r="K1363">
        <v>151254000000</v>
      </c>
      <c r="L1363">
        <v>156117000000</v>
      </c>
      <c r="M1363">
        <v>34770000000</v>
      </c>
      <c r="N1363">
        <v>46750000000</v>
      </c>
      <c r="O1363">
        <v>111990000000</v>
      </c>
      <c r="P1363">
        <v>7418000000</v>
      </c>
      <c r="Q1363">
        <v>24357000000</v>
      </c>
      <c r="R1363">
        <v>20228000000</v>
      </c>
      <c r="S1363">
        <v>6214000000</v>
      </c>
      <c r="T1363">
        <v>17186000000</v>
      </c>
      <c r="U1363">
        <v>-5344000000</v>
      </c>
      <c r="V1363">
        <f t="shared" si="52"/>
        <v>165883084061.34363</v>
      </c>
      <c r="W1363">
        <f t="shared" si="53"/>
        <v>345778990232.62476</v>
      </c>
    </row>
    <row r="1364" spans="1:23" x14ac:dyDescent="0.2">
      <c r="A1364">
        <f>IF(D1364="USD",VLOOKUP(VALUE(RIGHT(E1364,4)),'USD RUB'!$E:$F,2,FALSE),1)</f>
        <v>1</v>
      </c>
      <c r="B1364" s="4">
        <v>1</v>
      </c>
      <c r="C1364">
        <v>1000000</v>
      </c>
      <c r="D1364" t="s">
        <v>20</v>
      </c>
      <c r="E1364" s="1" t="s">
        <v>1380</v>
      </c>
      <c r="F1364">
        <v>81284000000</v>
      </c>
      <c r="G1364">
        <v>250703000000</v>
      </c>
      <c r="H1364">
        <v>116955000000</v>
      </c>
      <c r="I1364">
        <v>2079000000</v>
      </c>
      <c r="J1364">
        <v>400753000000</v>
      </c>
      <c r="K1364">
        <v>161249000000</v>
      </c>
      <c r="L1364">
        <v>169519000000</v>
      </c>
      <c r="M1364">
        <v>34262000000</v>
      </c>
      <c r="N1364">
        <v>69985000000</v>
      </c>
      <c r="O1364">
        <v>55319000000</v>
      </c>
      <c r="P1364">
        <v>2990000000</v>
      </c>
      <c r="Q1364">
        <v>-3103000000</v>
      </c>
      <c r="R1364">
        <v>-2986000000</v>
      </c>
      <c r="S1364">
        <v>2859000000</v>
      </c>
      <c r="T1364">
        <v>8737000000</v>
      </c>
      <c r="U1364">
        <v>-3198000000</v>
      </c>
      <c r="V1364">
        <f t="shared" si="52"/>
        <v>81324152964.187439</v>
      </c>
      <c r="W1364">
        <f t="shared" si="53"/>
        <v>341020913320.03101</v>
      </c>
    </row>
    <row r="1365" spans="1:23" x14ac:dyDescent="0.2">
      <c r="A1365">
        <f>IF(D1365="USD",VLOOKUP(VALUE(RIGHT(E1365,4)),'USD RUB'!$E:$F,2,FALSE),1)</f>
        <v>1</v>
      </c>
      <c r="B1365" s="4">
        <v>1</v>
      </c>
      <c r="C1365">
        <v>1000000</v>
      </c>
      <c r="D1365" t="s">
        <v>20</v>
      </c>
      <c r="E1365" s="1" t="s">
        <v>1381</v>
      </c>
      <c r="F1365">
        <v>21899000000</v>
      </c>
      <c r="G1365">
        <v>213490000000</v>
      </c>
      <c r="H1365">
        <v>117403000000</v>
      </c>
      <c r="I1365">
        <v>1810000000</v>
      </c>
      <c r="J1365">
        <v>352182000000</v>
      </c>
      <c r="K1365">
        <v>166022000000</v>
      </c>
      <c r="L1365">
        <v>132565000000</v>
      </c>
      <c r="M1365">
        <v>14633000000</v>
      </c>
      <c r="N1365">
        <v>53595000000</v>
      </c>
      <c r="O1365">
        <v>308378000000</v>
      </c>
      <c r="P1365">
        <v>25899000000</v>
      </c>
      <c r="Q1365">
        <v>6027000000</v>
      </c>
      <c r="R1365">
        <v>3946000000</v>
      </c>
      <c r="S1365">
        <v>13613000000</v>
      </c>
      <c r="T1365">
        <v>44138000000</v>
      </c>
      <c r="U1365">
        <v>-14926000000</v>
      </c>
      <c r="V1365">
        <f t="shared" si="52"/>
        <v>320555492100.51025</v>
      </c>
      <c r="W1365">
        <f t="shared" si="53"/>
        <v>314627375427.67871</v>
      </c>
    </row>
    <row r="1366" spans="1:23" x14ac:dyDescent="0.2">
      <c r="A1366">
        <f>IF(D1366="USD",VLOOKUP(VALUE(RIGHT(E1366,4)),'USD RUB'!$E:$F,2,FALSE),1)</f>
        <v>64.689093749999955</v>
      </c>
      <c r="B1366" s="4">
        <v>64.689093749999955</v>
      </c>
      <c r="C1366">
        <v>1000</v>
      </c>
      <c r="D1366" t="s">
        <v>111</v>
      </c>
      <c r="E1366" s="1" t="s">
        <v>1382</v>
      </c>
      <c r="F1366">
        <v>17563412398.593739</v>
      </c>
      <c r="G1366">
        <v>204499950155.43735</v>
      </c>
      <c r="H1366">
        <v>117792306120.28117</v>
      </c>
      <c r="I1366">
        <v>2167731531.5624986</v>
      </c>
      <c r="J1366">
        <v>341165428755.46851</v>
      </c>
      <c r="K1366">
        <v>157725207137.62488</v>
      </c>
      <c r="L1366">
        <v>125814853459.87491</v>
      </c>
      <c r="M1366">
        <v>81011834019.562439</v>
      </c>
      <c r="N1366">
        <v>57625368157.968712</v>
      </c>
      <c r="O1366">
        <v>237183209125.31235</v>
      </c>
      <c r="P1366">
        <v>19237954279.406239</v>
      </c>
      <c r="Q1366">
        <v>9457933640.8124943</v>
      </c>
      <c r="R1366">
        <v>6803998880.6249952</v>
      </c>
      <c r="S1366">
        <v>10765817738.249992</v>
      </c>
      <c r="T1366">
        <v>33737367752.531227</v>
      </c>
      <c r="U1366">
        <v>-9855836256.4687424</v>
      </c>
      <c r="V1366">
        <f t="shared" si="52"/>
        <v>241099691919.07538</v>
      </c>
      <c r="W1366">
        <f t="shared" si="53"/>
        <v>314424874035.1767</v>
      </c>
    </row>
    <row r="1367" spans="1:23" x14ac:dyDescent="0.2">
      <c r="A1367">
        <f>IF(D1367="USD",VLOOKUP(VALUE(RIGHT(E1367,4)),'USD RUB'!$E:$F,2,FALSE),1)</f>
        <v>64.689093749999955</v>
      </c>
      <c r="B1367" s="4">
        <v>64.689093749999955</v>
      </c>
      <c r="C1367">
        <v>1000</v>
      </c>
      <c r="D1367" t="s">
        <v>111</v>
      </c>
      <c r="E1367" s="1" t="s">
        <v>1383</v>
      </c>
      <c r="F1367">
        <v>18649606971.749989</v>
      </c>
      <c r="G1367">
        <v>207397439353.5936</v>
      </c>
      <c r="H1367">
        <v>120063216756.37492</v>
      </c>
      <c r="I1367">
        <v>2210426333.4374986</v>
      </c>
      <c r="J1367">
        <v>345778990232.62476</v>
      </c>
      <c r="K1367">
        <v>156276753639.46863</v>
      </c>
      <c r="L1367">
        <v>130406161888.78116</v>
      </c>
      <c r="M1367">
        <v>81040103153.531189</v>
      </c>
      <c r="N1367">
        <v>59096074704.374962</v>
      </c>
      <c r="O1367">
        <v>165883084061.34363</v>
      </c>
      <c r="P1367">
        <v>14476190088.46874</v>
      </c>
      <c r="Q1367">
        <v>9085324460.8124943</v>
      </c>
      <c r="R1367">
        <v>6797400593.0624952</v>
      </c>
      <c r="S1367">
        <v>7702142258.2499943</v>
      </c>
      <c r="T1367">
        <v>23932571191.031235</v>
      </c>
      <c r="U1367">
        <v>-6527323626.6562452</v>
      </c>
      <c r="V1367">
        <f t="shared" si="52"/>
        <v>165240507590.56009</v>
      </c>
      <c r="W1367">
        <f t="shared" si="53"/>
        <v>323015245897.97699</v>
      </c>
    </row>
    <row r="1368" spans="1:23" x14ac:dyDescent="0.2">
      <c r="A1368">
        <f>IF(D1368="USD",VLOOKUP(VALUE(RIGHT(E1368,4)),'USD RUB'!$E:$F,2,FALSE),1)</f>
        <v>64.689093749999955</v>
      </c>
      <c r="B1368" s="4">
        <v>64.689093749999955</v>
      </c>
      <c r="C1368">
        <v>1000</v>
      </c>
      <c r="D1368" t="s">
        <v>111</v>
      </c>
      <c r="E1368" s="1" t="s">
        <v>1384</v>
      </c>
      <c r="F1368">
        <v>17366757553.593739</v>
      </c>
      <c r="G1368">
        <v>135663121092.37491</v>
      </c>
      <c r="H1368">
        <v>117114170350.49992</v>
      </c>
      <c r="I1368">
        <v>2190308025.2812486</v>
      </c>
      <c r="J1368">
        <v>341020913320.03101</v>
      </c>
      <c r="K1368">
        <v>122772654758.99991</v>
      </c>
      <c r="L1368">
        <v>161188919973.37488</v>
      </c>
      <c r="M1368">
        <v>80002231333.406189</v>
      </c>
      <c r="N1368">
        <v>57059338587.656212</v>
      </c>
      <c r="O1368">
        <v>81324152964.187439</v>
      </c>
      <c r="P1368">
        <v>6126057178.1249962</v>
      </c>
      <c r="Q1368">
        <v>4036922895.4687471</v>
      </c>
      <c r="R1368">
        <v>3009142573.9687481</v>
      </c>
      <c r="S1368">
        <v>4241663877.1874971</v>
      </c>
      <c r="T1368">
        <v>11332106064.937492</v>
      </c>
      <c r="U1368">
        <v>-3243123026.0624976</v>
      </c>
      <c r="V1368">
        <f t="shared" si="52"/>
        <v>80076444002.229553</v>
      </c>
      <c r="W1368">
        <f t="shared" si="53"/>
        <v>343045028929.38733</v>
      </c>
    </row>
    <row r="1369" spans="1:23" x14ac:dyDescent="0.2">
      <c r="A1369">
        <f>IF(D1369="USD",VLOOKUP(VALUE(RIGHT(E1369,4)),'USD RUB'!$E:$F,2,FALSE),1)</f>
        <v>62.869106644518261</v>
      </c>
      <c r="B1369" s="4">
        <v>62.869106644518261</v>
      </c>
      <c r="C1369">
        <v>1000</v>
      </c>
      <c r="D1369" t="s">
        <v>111</v>
      </c>
      <c r="E1369" s="1" t="s">
        <v>1385</v>
      </c>
      <c r="F1369">
        <v>24634316402.054813</v>
      </c>
      <c r="G1369">
        <v>154042325184.14514</v>
      </c>
      <c r="H1369">
        <v>130465530024.95778</v>
      </c>
      <c r="I1369">
        <v>16198665410.706642</v>
      </c>
      <c r="J1369">
        <v>314627375427.67871</v>
      </c>
      <c r="K1369">
        <v>125448826791.15181</v>
      </c>
      <c r="L1369">
        <v>137776515567.54218</v>
      </c>
      <c r="M1369">
        <v>74922937592.365097</v>
      </c>
      <c r="N1369">
        <v>51402033068.984711</v>
      </c>
      <c r="O1369">
        <v>320555492100.51025</v>
      </c>
      <c r="P1369">
        <v>24993927692.061459</v>
      </c>
      <c r="Q1369">
        <v>2817479014.274086</v>
      </c>
      <c r="R1369">
        <v>-9870449.7431893665</v>
      </c>
      <c r="S1369">
        <v>17909836755.35714</v>
      </c>
      <c r="T1369">
        <v>44021828639.984711</v>
      </c>
      <c r="U1369">
        <v>-17168924333.551493</v>
      </c>
      <c r="V1369">
        <f t="shared" ref="V1369:V1432" si="54">_xlfn.XLOOKUP(LEFT(E1369,LEN(E1369)-4)&amp;(VALUE(RIGHT(E1369,4))-1),$E:$E,$O:$O,"")</f>
        <v>256206429066.07513</v>
      </c>
      <c r="W1369">
        <f t="shared" ref="W1369:W1432" si="55">_xlfn.XLOOKUP(LEFT(E1369,LEN(E1369)-4)&amp;(VALUE(RIGHT(E1369,4))-1),$E:$E,$J:$J,"")</f>
        <v>322864897721.00842</v>
      </c>
    </row>
    <row r="1370" spans="1:23" x14ac:dyDescent="0.2">
      <c r="A1370">
        <f>IF(D1370="USD",VLOOKUP(VALUE(RIGHT(E1370,4)),'USD RUB'!$E:$F,2,FALSE),1)</f>
        <v>62.869106644518261</v>
      </c>
      <c r="B1370" s="4">
        <v>62.869106644518261</v>
      </c>
      <c r="C1370">
        <v>1000</v>
      </c>
      <c r="D1370" t="s">
        <v>111</v>
      </c>
      <c r="E1370" s="1" t="s">
        <v>1386</v>
      </c>
      <c r="F1370">
        <v>14341512000.427572</v>
      </c>
      <c r="G1370">
        <v>149894975957.01956</v>
      </c>
      <c r="H1370">
        <v>133077364191.39764</v>
      </c>
      <c r="I1370">
        <v>17081724882.635546</v>
      </c>
      <c r="J1370">
        <v>314424874035.1767</v>
      </c>
      <c r="K1370">
        <v>112962204913.16409</v>
      </c>
      <c r="L1370">
        <v>147334002897.85513</v>
      </c>
      <c r="M1370">
        <v>76883447813.967758</v>
      </c>
      <c r="N1370">
        <v>54128666224.157463</v>
      </c>
      <c r="O1370">
        <v>241099691919.07538</v>
      </c>
      <c r="P1370">
        <v>18949440302.830894</v>
      </c>
      <c r="Q1370">
        <v>2990054712.0132885</v>
      </c>
      <c r="R1370">
        <v>1241476248.909302</v>
      </c>
      <c r="S1370">
        <v>12914068934.063786</v>
      </c>
      <c r="T1370">
        <v>32788188057.422253</v>
      </c>
      <c r="U1370">
        <v>-11696671552.999334</v>
      </c>
      <c r="V1370">
        <f t="shared" si="54"/>
        <v>186072222977.05603</v>
      </c>
      <c r="W1370">
        <f t="shared" si="55"/>
        <v>312383337842.39722</v>
      </c>
    </row>
    <row r="1371" spans="1:23" x14ac:dyDescent="0.2">
      <c r="A1371">
        <f>IF(D1371="USD",VLOOKUP(VALUE(RIGHT(E1371,4)),'USD RUB'!$E:$F,2,FALSE),1)</f>
        <v>62.869106644518261</v>
      </c>
      <c r="B1371" s="4">
        <v>62.869106644518261</v>
      </c>
      <c r="C1371">
        <v>1000</v>
      </c>
      <c r="D1371" t="s">
        <v>111</v>
      </c>
      <c r="E1371" s="1" t="s">
        <v>1387</v>
      </c>
      <c r="F1371">
        <v>14588587589.540529</v>
      </c>
      <c r="G1371">
        <v>150605962684.06244</v>
      </c>
      <c r="H1371">
        <v>142294603916.55048</v>
      </c>
      <c r="I1371">
        <v>16907828933.656807</v>
      </c>
      <c r="J1371">
        <v>323015245897.97699</v>
      </c>
      <c r="K1371">
        <v>108899288896.2621</v>
      </c>
      <c r="L1371">
        <v>159563804475.19998</v>
      </c>
      <c r="M1371">
        <v>77334407915.928894</v>
      </c>
      <c r="N1371">
        <v>54552152526.514938</v>
      </c>
      <c r="O1371">
        <v>165240507590.56009</v>
      </c>
      <c r="P1371">
        <v>12597585851.215281</v>
      </c>
      <c r="Q1371">
        <v>2818862134.6202655</v>
      </c>
      <c r="R1371">
        <v>1738456536.9342189</v>
      </c>
      <c r="S1371">
        <v>8925464201.2156124</v>
      </c>
      <c r="T1371">
        <v>22444271072.093018</v>
      </c>
      <c r="U1371">
        <v>-8151105414.6750813</v>
      </c>
      <c r="V1371">
        <f t="shared" si="54"/>
        <v>119569158067.8125</v>
      </c>
      <c r="W1371">
        <f t="shared" si="55"/>
        <v>302897120003.25269</v>
      </c>
    </row>
    <row r="1372" spans="1:23" x14ac:dyDescent="0.2">
      <c r="A1372">
        <f>IF(D1372="USD",VLOOKUP(VALUE(RIGHT(E1372,4)),'USD RUB'!$E:$F,2,FALSE),1)</f>
        <v>62.869106644518261</v>
      </c>
      <c r="B1372" s="4">
        <v>62.869106644518261</v>
      </c>
      <c r="C1372">
        <v>1000</v>
      </c>
      <c r="D1372" t="s">
        <v>111</v>
      </c>
      <c r="E1372" s="1" t="s">
        <v>1388</v>
      </c>
      <c r="F1372">
        <v>22908873770.196011</v>
      </c>
      <c r="G1372">
        <v>160843505140.94913</v>
      </c>
      <c r="H1372">
        <v>151708183861.75412</v>
      </c>
      <c r="I1372">
        <v>17256060915.360794</v>
      </c>
      <c r="J1372">
        <v>343045028929.38733</v>
      </c>
      <c r="K1372">
        <v>115572341613.72456</v>
      </c>
      <c r="L1372">
        <v>167583513456.98801</v>
      </c>
      <c r="M1372">
        <v>78384384865.998993</v>
      </c>
      <c r="N1372">
        <v>59889173858.674744</v>
      </c>
      <c r="O1372">
        <v>80076444002.229553</v>
      </c>
      <c r="P1372">
        <v>4944403761.1647835</v>
      </c>
      <c r="Q1372">
        <v>1005402753.459136</v>
      </c>
      <c r="R1372">
        <v>524202611.20199329</v>
      </c>
      <c r="S1372">
        <v>4548328389.3043184</v>
      </c>
      <c r="T1372">
        <v>10059057063.122921</v>
      </c>
      <c r="U1372">
        <v>-4090704162.0388699</v>
      </c>
      <c r="V1372">
        <f t="shared" si="54"/>
        <v>55038875192.501625</v>
      </c>
      <c r="W1372">
        <f t="shared" si="55"/>
        <v>305715904867.37939</v>
      </c>
    </row>
    <row r="1373" spans="1:23" x14ac:dyDescent="0.2">
      <c r="A1373">
        <f>IF(D1373="USD",VLOOKUP(VALUE(RIGHT(E1373,4)),'USD RUB'!$E:$F,2,FALSE),1)</f>
        <v>58.312850165016478</v>
      </c>
      <c r="B1373" s="4">
        <v>58.312850165016478</v>
      </c>
      <c r="C1373">
        <v>1000</v>
      </c>
      <c r="D1373" t="s">
        <v>111</v>
      </c>
      <c r="E1373" s="1" t="s">
        <v>1389</v>
      </c>
      <c r="F1373">
        <v>28642397308.303619</v>
      </c>
      <c r="G1373">
        <v>152987086240.38013</v>
      </c>
      <c r="H1373">
        <v>141614272759.8468</v>
      </c>
      <c r="I1373">
        <v>15868792541.106264</v>
      </c>
      <c r="J1373">
        <v>322864897721.00842</v>
      </c>
      <c r="K1373">
        <v>101330997798.80128</v>
      </c>
      <c r="L1373">
        <v>167114073947.05734</v>
      </c>
      <c r="M1373">
        <v>72163551587.611847</v>
      </c>
      <c r="N1373">
        <v>54419825975.149811</v>
      </c>
      <c r="O1373">
        <v>256206429066.07513</v>
      </c>
      <c r="P1373">
        <v>19157170787.611874</v>
      </c>
      <c r="Q1373">
        <v>4519245887.7887774</v>
      </c>
      <c r="R1373">
        <v>1724252666.5293722</v>
      </c>
      <c r="S1373">
        <v>16624643704.945208</v>
      </c>
      <c r="T1373">
        <v>35279274349.834969</v>
      </c>
      <c r="U1373">
        <v>-13739032314.529367</v>
      </c>
      <c r="V1373">
        <f t="shared" si="54"/>
        <v>223820785884.14874</v>
      </c>
      <c r="W1373">
        <f t="shared" si="55"/>
        <v>317562796928.82953</v>
      </c>
    </row>
    <row r="1374" spans="1:23" x14ac:dyDescent="0.2">
      <c r="A1374">
        <f>IF(D1374="USD",VLOOKUP(VALUE(RIGHT(E1374,4)),'USD RUB'!$E:$F,2,FALSE),1)</f>
        <v>58.312850165016478</v>
      </c>
      <c r="B1374" s="4">
        <v>58.312850165016478</v>
      </c>
      <c r="C1374">
        <v>1000</v>
      </c>
      <c r="D1374" t="s">
        <v>111</v>
      </c>
      <c r="E1374" s="1" t="s">
        <v>1390</v>
      </c>
      <c r="F1374">
        <v>22807963397.893059</v>
      </c>
      <c r="G1374">
        <v>142294317218.47122</v>
      </c>
      <c r="H1374">
        <v>139718055498.18079</v>
      </c>
      <c r="I1374">
        <v>16710655158.938606</v>
      </c>
      <c r="J1374">
        <v>312383337842.39722</v>
      </c>
      <c r="K1374">
        <v>96704922769.510193</v>
      </c>
      <c r="L1374">
        <v>160411886513.34119</v>
      </c>
      <c r="M1374">
        <v>72955848282.803925</v>
      </c>
      <c r="N1374">
        <v>55266528559.545853</v>
      </c>
      <c r="O1374">
        <v>186072222977.05603</v>
      </c>
      <c r="P1374">
        <v>15158017210.444878</v>
      </c>
      <c r="Q1374">
        <v>4785735613.042902</v>
      </c>
      <c r="R1374">
        <v>2658249587.6224413</v>
      </c>
      <c r="S1374">
        <v>11375029368.8396</v>
      </c>
      <c r="T1374">
        <v>25890905473.267315</v>
      </c>
      <c r="U1374">
        <v>-10750207179.321447</v>
      </c>
      <c r="V1374">
        <f t="shared" si="54"/>
        <v>163374354679.37646</v>
      </c>
      <c r="W1374">
        <f t="shared" si="55"/>
        <v>316808301143.22528</v>
      </c>
    </row>
    <row r="1375" spans="1:23" x14ac:dyDescent="0.2">
      <c r="A1375">
        <f>IF(D1375="USD",VLOOKUP(VALUE(RIGHT(E1375,4)),'USD RUB'!$E:$F,2,FALSE),1)</f>
        <v>58.312850165016478</v>
      </c>
      <c r="B1375" s="4">
        <v>58.312850165016478</v>
      </c>
      <c r="C1375">
        <v>1000</v>
      </c>
      <c r="D1375" t="s">
        <v>111</v>
      </c>
      <c r="E1375" s="1" t="s">
        <v>1391</v>
      </c>
      <c r="F1375">
        <v>23623002104.649494</v>
      </c>
      <c r="G1375">
        <v>134430712748.01843</v>
      </c>
      <c r="H1375">
        <v>137456916420.18213</v>
      </c>
      <c r="I1375">
        <v>16690129035.680521</v>
      </c>
      <c r="J1375">
        <v>302897120003.25269</v>
      </c>
      <c r="K1375">
        <v>89774848717.349136</v>
      </c>
      <c r="L1375">
        <v>159995532763.16296</v>
      </c>
      <c r="M1375">
        <v>71544327431.709549</v>
      </c>
      <c r="N1375">
        <v>53126738522.74057</v>
      </c>
      <c r="O1375">
        <v>119569158067.8125</v>
      </c>
      <c r="P1375">
        <v>9368425881.8112164</v>
      </c>
      <c r="Q1375">
        <v>2507044367.1445537</v>
      </c>
      <c r="R1375">
        <v>1357639777.5419137</v>
      </c>
      <c r="S1375">
        <v>7760390725.6607227</v>
      </c>
      <c r="T1375">
        <v>16036033795.379532</v>
      </c>
      <c r="U1375">
        <v>-7236916269.7293701</v>
      </c>
      <c r="V1375">
        <f t="shared" si="54"/>
        <v>108224145935.5148</v>
      </c>
      <c r="W1375">
        <f t="shared" si="55"/>
        <v>311891002934.39868</v>
      </c>
    </row>
    <row r="1376" spans="1:23" x14ac:dyDescent="0.2">
      <c r="A1376">
        <f>IF(D1376="USD",VLOOKUP(VALUE(RIGHT(E1376,4)),'USD RUB'!$E:$F,2,FALSE),1)</f>
        <v>58.312850165016478</v>
      </c>
      <c r="B1376" s="4">
        <v>58.312850165016478</v>
      </c>
      <c r="C1376">
        <v>1000</v>
      </c>
      <c r="D1376" t="s">
        <v>111</v>
      </c>
      <c r="E1376" s="1" t="s">
        <v>1392</v>
      </c>
      <c r="F1376">
        <v>26782334013.739922</v>
      </c>
      <c r="G1376">
        <v>132591000638.16232</v>
      </c>
      <c r="H1376">
        <v>141090273488.26398</v>
      </c>
      <c r="I1376">
        <v>16935276257.77425</v>
      </c>
      <c r="J1376">
        <v>305715904867.37939</v>
      </c>
      <c r="K1376">
        <v>87836063075.062668</v>
      </c>
      <c r="L1376">
        <v>161033209931.84943</v>
      </c>
      <c r="M1376">
        <v>74719520436.044861</v>
      </c>
      <c r="N1376">
        <v>56846631860.4673</v>
      </c>
      <c r="O1376">
        <v>55038875192.501625</v>
      </c>
      <c r="P1376">
        <v>4560822949.9564342</v>
      </c>
      <c r="Q1376">
        <v>3387626717.4864674</v>
      </c>
      <c r="R1376">
        <v>2450305963.9339924</v>
      </c>
      <c r="S1376">
        <v>3916990771.2844868</v>
      </c>
      <c r="T1376">
        <v>8280424723.4323397</v>
      </c>
      <c r="U1376">
        <v>-3611431436.4198003</v>
      </c>
      <c r="V1376">
        <f t="shared" si="54"/>
        <v>51050839755.866982</v>
      </c>
      <c r="W1376">
        <f t="shared" si="55"/>
        <v>301904930692.03168</v>
      </c>
    </row>
    <row r="1377" spans="1:23" x14ac:dyDescent="0.2">
      <c r="A1377">
        <f>IF(D1377="USD",VLOOKUP(VALUE(RIGHT(E1377,4)),'USD RUB'!$E:$F,2,FALSE),1)</f>
        <v>67.054371276595688</v>
      </c>
      <c r="B1377" s="4">
        <v>67.054371276595688</v>
      </c>
      <c r="C1377">
        <v>1000</v>
      </c>
      <c r="D1377" t="s">
        <v>111</v>
      </c>
      <c r="E1377" s="1" t="s">
        <v>1393</v>
      </c>
      <c r="F1377">
        <v>18548110801.932964</v>
      </c>
      <c r="G1377">
        <v>126285777273.83606</v>
      </c>
      <c r="H1377">
        <v>154059899019.71582</v>
      </c>
      <c r="J1377">
        <v>317562796928.82953</v>
      </c>
      <c r="K1377">
        <v>70452418595.408447</v>
      </c>
      <c r="L1377">
        <v>186845396257.32324</v>
      </c>
      <c r="M1377">
        <v>82997084482.576523</v>
      </c>
      <c r="N1377">
        <v>60264982076.097824</v>
      </c>
      <c r="O1377">
        <v>223820785884.14874</v>
      </c>
      <c r="P1377">
        <v>17874750805.573391</v>
      </c>
      <c r="Q1377">
        <v>11342783336.406374</v>
      </c>
      <c r="R1377">
        <v>11105477916.458502</v>
      </c>
      <c r="T1377">
        <v>35538816776.595718</v>
      </c>
      <c r="U1377">
        <v>11734514973.404245</v>
      </c>
      <c r="V1377">
        <f t="shared" si="54"/>
        <v>252758610990.23376</v>
      </c>
      <c r="W1377">
        <f t="shared" si="55"/>
        <v>270213867114.03119</v>
      </c>
    </row>
    <row r="1378" spans="1:23" x14ac:dyDescent="0.2">
      <c r="A1378">
        <f>IF(D1378="USD",VLOOKUP(VALUE(RIGHT(E1378,4)),'USD RUB'!$E:$F,2,FALSE),1)</f>
        <v>67.054371276595688</v>
      </c>
      <c r="B1378" s="4">
        <v>67.054371276595688</v>
      </c>
      <c r="C1378">
        <v>1000</v>
      </c>
      <c r="D1378" t="s">
        <v>111</v>
      </c>
      <c r="E1378" s="1" t="s">
        <v>1394</v>
      </c>
      <c r="F1378">
        <v>13592457492.736158</v>
      </c>
      <c r="G1378">
        <v>124604187750.96159</v>
      </c>
      <c r="H1378">
        <v>151654658722.02435</v>
      </c>
      <c r="J1378">
        <v>316808301143.22528</v>
      </c>
      <c r="K1378">
        <v>92541268418.230774</v>
      </c>
      <c r="L1378">
        <v>169521094785.55942</v>
      </c>
      <c r="M1378">
        <v>77540132693.715897</v>
      </c>
      <c r="N1378">
        <v>54745937939.435059</v>
      </c>
      <c r="O1378">
        <v>163374354679.37646</v>
      </c>
      <c r="P1378">
        <v>13164851767.105309</v>
      </c>
      <c r="Q1378">
        <v>4909586956.1297827</v>
      </c>
      <c r="R1378">
        <v>5460304507.4244633</v>
      </c>
      <c r="T1378">
        <v>26151204797.872318</v>
      </c>
      <c r="V1378">
        <f t="shared" si="54"/>
        <v>196809401643.33508</v>
      </c>
      <c r="W1378">
        <f t="shared" si="55"/>
        <v>300572879508.7948</v>
      </c>
    </row>
    <row r="1379" spans="1:23" x14ac:dyDescent="0.2">
      <c r="A1379">
        <f>IF(D1379="USD",VLOOKUP(VALUE(RIGHT(E1379,4)),'USD RUB'!$E:$F,2,FALSE),1)</f>
        <v>67.054371276595688</v>
      </c>
      <c r="B1379" s="4">
        <v>67.054371276595688</v>
      </c>
      <c r="C1379">
        <v>1000</v>
      </c>
      <c r="D1379" t="s">
        <v>111</v>
      </c>
      <c r="E1379" s="1" t="s">
        <v>1395</v>
      </c>
      <c r="F1379">
        <v>20986811230.891472</v>
      </c>
      <c r="G1379">
        <v>121522368847.08926</v>
      </c>
      <c r="H1379">
        <v>151088585719.70731</v>
      </c>
      <c r="J1379">
        <v>311891002934.39868</v>
      </c>
      <c r="K1379">
        <v>116032828633.78819</v>
      </c>
      <c r="L1379">
        <v>139408585950.15094</v>
      </c>
      <c r="M1379">
        <v>78832672754.443558</v>
      </c>
      <c r="N1379">
        <v>56449588350.459526</v>
      </c>
      <c r="O1379">
        <v>108224145935.5148</v>
      </c>
      <c r="P1379">
        <v>9560478147.8744602</v>
      </c>
      <c r="Q1379">
        <v>4332047656.3244648</v>
      </c>
      <c r="R1379">
        <v>4740676994.8840389</v>
      </c>
      <c r="T1379">
        <v>17702354017.021263</v>
      </c>
      <c r="U1379">
        <v>4224425390.4255285</v>
      </c>
      <c r="V1379">
        <f t="shared" si="54"/>
        <v>140658127998.03119</v>
      </c>
      <c r="W1379">
        <f t="shared" si="55"/>
        <v>329703029818.4104</v>
      </c>
    </row>
    <row r="1380" spans="1:23" x14ac:dyDescent="0.2">
      <c r="A1380">
        <f>IF(D1380="USD",VLOOKUP(VALUE(RIGHT(E1380,4)),'USD RUB'!$E:$F,2,FALSE),1)</f>
        <v>67.054371276595688</v>
      </c>
      <c r="B1380" s="4">
        <v>67.054371276595688</v>
      </c>
      <c r="C1380">
        <v>1000</v>
      </c>
      <c r="D1380" t="s">
        <v>111</v>
      </c>
      <c r="E1380" s="1" t="s">
        <v>1396</v>
      </c>
      <c r="F1380">
        <v>14296059010.541477</v>
      </c>
      <c r="G1380">
        <v>114518740930.36267</v>
      </c>
      <c r="H1380">
        <v>148669800439.01797</v>
      </c>
      <c r="J1380">
        <v>301904930692.03168</v>
      </c>
      <c r="K1380">
        <v>88100793843.552048</v>
      </c>
      <c r="L1380">
        <v>161796632377.60944</v>
      </c>
      <c r="M1380">
        <v>75026532532.041428</v>
      </c>
      <c r="N1380">
        <v>52007504470.870171</v>
      </c>
      <c r="O1380">
        <v>51050839755.866982</v>
      </c>
      <c r="P1380">
        <v>2410604647.3936148</v>
      </c>
      <c r="Q1380">
        <v>482724418.82021236</v>
      </c>
      <c r="R1380">
        <v>951568582.78616941</v>
      </c>
      <c r="T1380">
        <v>8046524553.1914825</v>
      </c>
      <c r="V1380">
        <f t="shared" si="54"/>
        <v>69461057268.233765</v>
      </c>
      <c r="W1380">
        <f t="shared" si="55"/>
        <v>331186570094.75848</v>
      </c>
    </row>
    <row r="1381" spans="1:23" x14ac:dyDescent="0.2">
      <c r="A1381">
        <f>IF(D1381="USD",VLOOKUP(VALUE(RIGHT(E1381,4)),'USD RUB'!$E:$F,2,FALSE),1)</f>
        <v>61.250166233766237</v>
      </c>
      <c r="B1381" s="4">
        <v>61.250166233766237</v>
      </c>
      <c r="C1381">
        <v>1000</v>
      </c>
      <c r="D1381" t="s">
        <v>111</v>
      </c>
      <c r="E1381" s="1" t="s">
        <v>1397</v>
      </c>
      <c r="F1381">
        <v>18693856985.376625</v>
      </c>
      <c r="G1381">
        <v>105022842533.39221</v>
      </c>
      <c r="H1381">
        <v>129944800171.91689</v>
      </c>
      <c r="J1381">
        <v>270213867114.03119</v>
      </c>
      <c r="K1381">
        <v>81003651094.987015</v>
      </c>
      <c r="L1381">
        <v>145438274721.41299</v>
      </c>
      <c r="M1381">
        <v>67588272185.470131</v>
      </c>
      <c r="N1381">
        <v>43771941297.631172</v>
      </c>
      <c r="O1381">
        <v>252758610990.23376</v>
      </c>
      <c r="P1381">
        <v>19650829582.612988</v>
      </c>
      <c r="Q1381">
        <v>-27131741135.906494</v>
      </c>
      <c r="R1381">
        <v>-22540612425.522079</v>
      </c>
      <c r="T1381">
        <v>38955105724.675323</v>
      </c>
      <c r="V1381">
        <f t="shared" si="54"/>
        <v>232915838061.19159</v>
      </c>
      <c r="W1381">
        <f t="shared" si="55"/>
        <v>218978825995.91327</v>
      </c>
    </row>
    <row r="1382" spans="1:23" x14ac:dyDescent="0.2">
      <c r="A1382">
        <f>IF(D1382="USD",VLOOKUP(VALUE(RIGHT(E1382,4)),'USD RUB'!$E:$F,2,FALSE),1)</f>
        <v>61.250166233766237</v>
      </c>
      <c r="B1382" s="4">
        <v>61.250166233766237</v>
      </c>
      <c r="C1382">
        <v>1000</v>
      </c>
      <c r="D1382" t="s">
        <v>111</v>
      </c>
      <c r="E1382" s="1" t="s">
        <v>1398</v>
      </c>
      <c r="F1382">
        <v>10124162477.111689</v>
      </c>
      <c r="G1382">
        <v>103414719418.92468</v>
      </c>
      <c r="H1382">
        <v>141036286524.35846</v>
      </c>
      <c r="J1382">
        <v>300572879508.7948</v>
      </c>
      <c r="K1382">
        <v>72386977709.220779</v>
      </c>
      <c r="L1382">
        <v>161627734909.82339</v>
      </c>
      <c r="M1382">
        <v>91985744650.535065</v>
      </c>
      <c r="N1382">
        <v>66558166889.750656</v>
      </c>
      <c r="O1382">
        <v>196809401643.33508</v>
      </c>
      <c r="Q1382">
        <v>-1024960281.7558442</v>
      </c>
      <c r="R1382">
        <v>195265529.95324677</v>
      </c>
      <c r="T1382">
        <v>29461329958.441559</v>
      </c>
      <c r="V1382">
        <f t="shared" si="54"/>
        <v>174768452149.85016</v>
      </c>
      <c r="W1382">
        <f t="shared" si="55"/>
        <v>259445225308.28436</v>
      </c>
    </row>
    <row r="1383" spans="1:23" x14ac:dyDescent="0.2">
      <c r="A1383">
        <f>IF(D1383="USD",VLOOKUP(VALUE(RIGHT(E1383,4)),'USD RUB'!$E:$F,2,FALSE),1)</f>
        <v>61.250166233766237</v>
      </c>
      <c r="B1383" s="4">
        <v>61.250166233766237</v>
      </c>
      <c r="C1383">
        <v>1000</v>
      </c>
      <c r="D1383" t="s">
        <v>111</v>
      </c>
      <c r="E1383" s="1" t="s">
        <v>1399</v>
      </c>
      <c r="F1383">
        <v>8796197622.9974022</v>
      </c>
      <c r="G1383">
        <v>114392525462.83636</v>
      </c>
      <c r="H1383">
        <v>159099144297.19482</v>
      </c>
      <c r="J1383">
        <v>329703029818.4104</v>
      </c>
      <c r="K1383">
        <v>80103151151.018188</v>
      </c>
      <c r="L1383">
        <v>169220856767.65717</v>
      </c>
      <c r="M1383">
        <v>96456578034.436371</v>
      </c>
      <c r="N1383">
        <v>80379021899.735062</v>
      </c>
      <c r="O1383">
        <v>140658127998.03119</v>
      </c>
      <c r="Q1383">
        <v>5455123555.2779226</v>
      </c>
      <c r="R1383">
        <v>4724715322.9402599</v>
      </c>
      <c r="T1383">
        <v>21805059179.220779</v>
      </c>
      <c r="V1383">
        <f t="shared" si="54"/>
        <v>115600514364.63382</v>
      </c>
      <c r="W1383">
        <f t="shared" si="55"/>
        <v>283265802985.93378</v>
      </c>
    </row>
    <row r="1384" spans="1:23" x14ac:dyDescent="0.2">
      <c r="A1384">
        <f>IF(D1384="USD",VLOOKUP(VALUE(RIGHT(E1384,4)),'USD RUB'!$E:$F,2,FALSE),1)</f>
        <v>61.250166233766237</v>
      </c>
      <c r="B1384" s="4">
        <v>61.250166233766237</v>
      </c>
      <c r="C1384">
        <v>1000</v>
      </c>
      <c r="D1384" t="s">
        <v>111</v>
      </c>
      <c r="E1384" s="1" t="s">
        <v>1400</v>
      </c>
      <c r="F1384">
        <v>5330785717.8233767</v>
      </c>
      <c r="G1384">
        <v>120713420117.82858</v>
      </c>
      <c r="H1384">
        <v>153923382750.1091</v>
      </c>
      <c r="J1384">
        <v>331186570094.75848</v>
      </c>
      <c r="K1384">
        <v>78125444533.496109</v>
      </c>
      <c r="L1384">
        <v>177166534582.33249</v>
      </c>
      <c r="M1384">
        <v>93441354851.080521</v>
      </c>
      <c r="N1384">
        <v>75894590978.929871</v>
      </c>
      <c r="O1384">
        <v>69461057268.233765</v>
      </c>
      <c r="Q1384">
        <v>2195634708.9818182</v>
      </c>
      <c r="R1384">
        <v>1823723699.6103897</v>
      </c>
      <c r="T1384">
        <v>11331280753.246754</v>
      </c>
      <c r="V1384">
        <f t="shared" si="54"/>
        <v>56827595157.664253</v>
      </c>
      <c r="W1384">
        <f t="shared" si="55"/>
        <v>271470635840.50452</v>
      </c>
    </row>
    <row r="1385" spans="1:23" x14ac:dyDescent="0.2">
      <c r="A1385">
        <f>IF(D1385="USD",VLOOKUP(VALUE(RIGHT(E1385,4)),'USD RUB'!$E:$F,2,FALSE),1)</f>
        <v>38.761512927756648</v>
      </c>
      <c r="B1385" s="4">
        <v>38.761512927756648</v>
      </c>
      <c r="C1385">
        <v>1000</v>
      </c>
      <c r="D1385" t="s">
        <v>111</v>
      </c>
      <c r="E1385" s="1" t="s">
        <v>1401</v>
      </c>
      <c r="F1385">
        <v>9802709096.403801</v>
      </c>
      <c r="G1385">
        <v>83020299903.466522</v>
      </c>
      <c r="H1385">
        <v>101174138198.64256</v>
      </c>
      <c r="J1385">
        <v>218978825995.91327</v>
      </c>
      <c r="K1385">
        <v>63703034797.76387</v>
      </c>
      <c r="L1385">
        <v>106015334878.78059</v>
      </c>
      <c r="M1385">
        <v>57966485930.507599</v>
      </c>
      <c r="N1385">
        <v>49260456319.368813</v>
      </c>
      <c r="O1385">
        <v>232915838061.19159</v>
      </c>
      <c r="Q1385">
        <v>-7805522142.8011398</v>
      </c>
      <c r="R1385">
        <v>-8397643014.2855501</v>
      </c>
      <c r="T1385">
        <v>31164256393.916344</v>
      </c>
      <c r="V1385">
        <f t="shared" si="54"/>
        <v>204843000000</v>
      </c>
      <c r="W1385">
        <f t="shared" si="55"/>
        <v>242805000000</v>
      </c>
    </row>
    <row r="1386" spans="1:23" x14ac:dyDescent="0.2">
      <c r="A1386">
        <f>IF(D1386="USD",VLOOKUP(VALUE(RIGHT(E1386,4)),'USD RUB'!$E:$F,2,FALSE),1)</f>
        <v>38.761512927756648</v>
      </c>
      <c r="B1386" s="4">
        <v>38.761512927756648</v>
      </c>
      <c r="C1386">
        <v>1000</v>
      </c>
      <c r="D1386" t="s">
        <v>111</v>
      </c>
      <c r="E1386" s="1" t="s">
        <v>1402</v>
      </c>
      <c r="F1386">
        <v>1429912211.9049428</v>
      </c>
      <c r="G1386">
        <v>91174094239.923553</v>
      </c>
      <c r="H1386">
        <v>131147369584.82774</v>
      </c>
      <c r="J1386">
        <v>259445225308.28436</v>
      </c>
      <c r="K1386">
        <v>64930495627.647141</v>
      </c>
      <c r="L1386">
        <v>123015630549.22659</v>
      </c>
      <c r="M1386">
        <v>68032424461.203789</v>
      </c>
      <c r="N1386">
        <v>71499099131.410629</v>
      </c>
      <c r="O1386">
        <v>174768452149.85016</v>
      </c>
      <c r="Q1386">
        <v>2469030850.4722428</v>
      </c>
      <c r="R1386">
        <v>1442083326.9642584</v>
      </c>
      <c r="T1386">
        <v>22365392959.315586</v>
      </c>
      <c r="V1386" t="str">
        <f t="shared" si="54"/>
        <v/>
      </c>
      <c r="W1386" t="str">
        <f t="shared" si="55"/>
        <v/>
      </c>
    </row>
    <row r="1387" spans="1:23" x14ac:dyDescent="0.2">
      <c r="A1387">
        <f>IF(D1387="USD",VLOOKUP(VALUE(RIGHT(E1387,4)),'USD RUB'!$E:$F,2,FALSE),1)</f>
        <v>38.761512927756648</v>
      </c>
      <c r="B1387" s="4">
        <v>38.761512927756648</v>
      </c>
      <c r="C1387">
        <v>1000</v>
      </c>
      <c r="D1387" t="s">
        <v>111</v>
      </c>
      <c r="E1387" s="1" t="s">
        <v>1403</v>
      </c>
      <c r="F1387">
        <v>4733090820.582509</v>
      </c>
      <c r="G1387">
        <v>98738713579.878693</v>
      </c>
      <c r="H1387">
        <v>147835402507.12775</v>
      </c>
      <c r="J1387">
        <v>283265802985.93378</v>
      </c>
      <c r="K1387">
        <v>69395124209.692001</v>
      </c>
      <c r="L1387">
        <v>131735459258.96767</v>
      </c>
      <c r="M1387">
        <v>68331198202.850937</v>
      </c>
      <c r="N1387">
        <v>82135219517.274139</v>
      </c>
      <c r="O1387">
        <v>115600514364.63382</v>
      </c>
      <c r="P1387">
        <v>21937659664.157791</v>
      </c>
      <c r="Q1387">
        <v>2397128243.9912543</v>
      </c>
      <c r="R1387">
        <v>1728840999.603802</v>
      </c>
      <c r="T1387">
        <v>14535567347.908743</v>
      </c>
      <c r="V1387">
        <f t="shared" si="54"/>
        <v>107501169999.99998</v>
      </c>
      <c r="W1387">
        <f t="shared" si="55"/>
        <v>229959174143.99997</v>
      </c>
    </row>
    <row r="1388" spans="1:23" x14ac:dyDescent="0.2">
      <c r="A1388">
        <f>IF(D1388="USD",VLOOKUP(VALUE(RIGHT(E1388,4)),'USD RUB'!$E:$F,2,FALSE),1)</f>
        <v>38.761512927756648</v>
      </c>
      <c r="B1388" s="4">
        <v>38.761512927756648</v>
      </c>
      <c r="C1388">
        <v>1000</v>
      </c>
      <c r="D1388" t="s">
        <v>111</v>
      </c>
      <c r="E1388" s="1" t="s">
        <v>1404</v>
      </c>
      <c r="F1388">
        <v>2633999849.4927754</v>
      </c>
      <c r="G1388">
        <v>92221817934.360825</v>
      </c>
      <c r="H1388">
        <v>140434317990.21481</v>
      </c>
      <c r="J1388">
        <v>271470635840.50452</v>
      </c>
      <c r="K1388">
        <v>67490189656.857407</v>
      </c>
      <c r="L1388">
        <v>127245635693.51976</v>
      </c>
      <c r="M1388">
        <v>66707478426.307213</v>
      </c>
      <c r="N1388">
        <v>76734810490.127365</v>
      </c>
      <c r="O1388">
        <v>56827595157.664253</v>
      </c>
      <c r="Q1388">
        <v>-551421282.91026604</v>
      </c>
      <c r="R1388">
        <v>-609330983.22433448</v>
      </c>
      <c r="T1388">
        <v>7132118378.7072229</v>
      </c>
      <c r="V1388">
        <f t="shared" si="54"/>
        <v>54955840799.999992</v>
      </c>
      <c r="W1388">
        <f t="shared" si="55"/>
        <v>235858984927.99997</v>
      </c>
    </row>
    <row r="1389" spans="1:23" x14ac:dyDescent="0.2">
      <c r="A1389">
        <f>IF(D1389="USD",VLOOKUP(VALUE(RIGHT(E1389,4)),'USD RUB'!$E:$F,2,FALSE),1)</f>
        <v>1</v>
      </c>
      <c r="B1389" s="4">
        <v>1</v>
      </c>
      <c r="C1389">
        <v>1000000</v>
      </c>
      <c r="D1389" t="s">
        <v>20</v>
      </c>
      <c r="E1389" s="1" t="s">
        <v>1405</v>
      </c>
      <c r="F1389">
        <v>3054000000</v>
      </c>
      <c r="G1389">
        <v>83825000000</v>
      </c>
      <c r="H1389">
        <v>125855000000</v>
      </c>
      <c r="J1389">
        <v>242805000000</v>
      </c>
      <c r="K1389">
        <v>51404000000</v>
      </c>
      <c r="L1389">
        <v>121701000000</v>
      </c>
      <c r="N1389">
        <v>69700000000</v>
      </c>
      <c r="O1389">
        <v>204843000000</v>
      </c>
      <c r="Q1389">
        <v>9930000000</v>
      </c>
      <c r="R1389">
        <v>6814000000</v>
      </c>
      <c r="V1389">
        <f t="shared" si="54"/>
        <v>207740975511.81598</v>
      </c>
      <c r="W1389">
        <f t="shared" si="55"/>
        <v>2360857802658.9507</v>
      </c>
    </row>
    <row r="1390" spans="1:23" x14ac:dyDescent="0.2">
      <c r="A1390">
        <f>IF(D1390="USD",VLOOKUP(VALUE(RIGHT(E1390,4)),'USD RUB'!$E:$F,2,FALSE),1)</f>
        <v>31.863999999999997</v>
      </c>
      <c r="B1390" s="4">
        <v>31.863999999999997</v>
      </c>
      <c r="C1390">
        <v>1000</v>
      </c>
      <c r="D1390" t="s">
        <v>111</v>
      </c>
      <c r="E1390" s="1" t="s">
        <v>1406</v>
      </c>
      <c r="F1390">
        <v>4256775487.9999995</v>
      </c>
      <c r="G1390">
        <v>78634329704</v>
      </c>
      <c r="H1390">
        <v>117343035543.99998</v>
      </c>
      <c r="J1390">
        <v>229959174143.99997</v>
      </c>
      <c r="K1390">
        <v>47851985047.999992</v>
      </c>
      <c r="L1390">
        <v>116515017639.99998</v>
      </c>
      <c r="N1390">
        <v>65592171455.999992</v>
      </c>
      <c r="O1390">
        <v>107501169999.99998</v>
      </c>
      <c r="Q1390">
        <v>5505238871.999999</v>
      </c>
      <c r="R1390">
        <v>3988066375.9999995</v>
      </c>
      <c r="T1390">
        <v>16653209775.999998</v>
      </c>
      <c r="V1390">
        <f t="shared" si="54"/>
        <v>106834204418.57466</v>
      </c>
      <c r="W1390">
        <f t="shared" si="55"/>
        <v>217469831305.90332</v>
      </c>
    </row>
    <row r="1391" spans="1:23" x14ac:dyDescent="0.2">
      <c r="A1391">
        <f>IF(D1391="USD",VLOOKUP(VALUE(RIGHT(E1391,4)),'USD RUB'!$E:$F,2,FALSE),1)</f>
        <v>31.863999999999997</v>
      </c>
      <c r="B1391" s="4">
        <v>31.863999999999997</v>
      </c>
      <c r="C1391">
        <v>1000</v>
      </c>
      <c r="D1391" t="s">
        <v>111</v>
      </c>
      <c r="E1391" s="1" t="s">
        <v>1407</v>
      </c>
      <c r="F1391">
        <v>3751954135.9999995</v>
      </c>
      <c r="G1391">
        <v>81426030336</v>
      </c>
      <c r="H1391">
        <v>119580398167.99998</v>
      </c>
      <c r="J1391">
        <v>235858984927.99997</v>
      </c>
      <c r="K1391">
        <v>65648379551.999992</v>
      </c>
      <c r="L1391">
        <v>102718829695.99998</v>
      </c>
      <c r="N1391">
        <v>67491775679.999992</v>
      </c>
      <c r="O1391">
        <v>54955840799.999992</v>
      </c>
      <c r="Q1391">
        <v>3561439279.9999995</v>
      </c>
      <c r="R1391">
        <v>2716883960</v>
      </c>
      <c r="T1391">
        <v>8688038240</v>
      </c>
      <c r="V1391">
        <f t="shared" si="54"/>
        <v>51520460222.188477</v>
      </c>
      <c r="W1391">
        <f t="shared" si="55"/>
        <v>236536864092.41827</v>
      </c>
    </row>
    <row r="1392" spans="1:23" x14ac:dyDescent="0.2">
      <c r="A1392">
        <f>IF(D1392="USD",VLOOKUP(VALUE(RIGHT(E1392,4)),'USD RUB'!$E:$F,2,FALSE),1)</f>
        <v>31.062956321839064</v>
      </c>
      <c r="B1392" s="4">
        <v>31.062956321839064</v>
      </c>
      <c r="C1392">
        <v>1000</v>
      </c>
      <c r="D1392" t="s">
        <v>111</v>
      </c>
      <c r="E1392" s="1" t="s">
        <v>1408</v>
      </c>
      <c r="F1392">
        <v>6991060012.7494211</v>
      </c>
      <c r="G1392">
        <v>82939832904.864319</v>
      </c>
      <c r="H1392">
        <v>118222878220.76315</v>
      </c>
      <c r="J1392">
        <v>2360857802658.9507</v>
      </c>
      <c r="K1392">
        <v>70675401175.094208</v>
      </c>
      <c r="L1392">
        <v>100740522151.00684</v>
      </c>
      <c r="N1392">
        <v>64669813451.655136</v>
      </c>
      <c r="O1392">
        <v>207740975511.81598</v>
      </c>
      <c r="Q1392">
        <v>12571582241.880453</v>
      </c>
      <c r="R1392">
        <v>8762207656.3080406</v>
      </c>
      <c r="T1392">
        <v>32299727927.793087</v>
      </c>
      <c r="V1392" t="str">
        <f t="shared" si="54"/>
        <v/>
      </c>
      <c r="W1392" t="str">
        <f t="shared" si="55"/>
        <v/>
      </c>
    </row>
    <row r="1393" spans="1:23" x14ac:dyDescent="0.2">
      <c r="A1393">
        <f>IF(D1393="USD",VLOOKUP(VALUE(RIGHT(E1393,4)),'USD RUB'!$E:$F,2,FALSE),1)</f>
        <v>31.062956321839064</v>
      </c>
      <c r="B1393" s="4">
        <v>31.062956321839064</v>
      </c>
      <c r="C1393">
        <v>1000</v>
      </c>
      <c r="D1393" t="s">
        <v>111</v>
      </c>
      <c r="E1393" s="1" t="s">
        <v>1409</v>
      </c>
      <c r="F1393">
        <v>3929650352.4505725</v>
      </c>
      <c r="G1393">
        <v>78091961563.540192</v>
      </c>
      <c r="H1393">
        <v>110783393370.55167</v>
      </c>
      <c r="J1393">
        <v>223842521047.1539</v>
      </c>
      <c r="K1393">
        <v>57323268966.758591</v>
      </c>
      <c r="L1393">
        <v>103010509810.13788</v>
      </c>
      <c r="N1393">
        <v>63508742270.257439</v>
      </c>
      <c r="O1393">
        <v>157062725224.38153</v>
      </c>
      <c r="Q1393">
        <v>10910366400.744822</v>
      </c>
      <c r="R1393">
        <v>7779903788.5425243</v>
      </c>
      <c r="T1393">
        <v>17727877676.524128</v>
      </c>
      <c r="V1393">
        <f t="shared" si="54"/>
        <v>198569842016.38849</v>
      </c>
      <c r="W1393">
        <f t="shared" si="55"/>
        <v>209705249663.66541</v>
      </c>
    </row>
    <row r="1394" spans="1:23" x14ac:dyDescent="0.2">
      <c r="A1394">
        <f>IF(D1394="USD",VLOOKUP(VALUE(RIGHT(E1394,4)),'USD RUB'!$E:$F,2,FALSE),1)</f>
        <v>31.062956321839064</v>
      </c>
      <c r="B1394" s="4">
        <v>31.062956321839064</v>
      </c>
      <c r="C1394">
        <v>1000</v>
      </c>
      <c r="D1394" t="s">
        <v>111</v>
      </c>
      <c r="E1394" s="1" t="s">
        <v>1410</v>
      </c>
      <c r="F1394">
        <v>4266994058.1057448</v>
      </c>
      <c r="G1394">
        <v>77761234267.581573</v>
      </c>
      <c r="H1394">
        <v>103839642240.28041</v>
      </c>
      <c r="J1394">
        <v>217469831305.90332</v>
      </c>
      <c r="K1394">
        <v>61598059826.901115</v>
      </c>
      <c r="L1394">
        <v>97541441468.289597</v>
      </c>
      <c r="N1394">
        <v>58330330010.712608</v>
      </c>
      <c r="O1394">
        <v>106834204418.57466</v>
      </c>
      <c r="P1394">
        <v>12156146264.032177</v>
      </c>
      <c r="Q1394">
        <v>7995729209.0666628</v>
      </c>
      <c r="R1394">
        <v>5648550103.4758587</v>
      </c>
      <c r="T1394">
        <v>17606359391.393093</v>
      </c>
      <c r="V1394">
        <f t="shared" si="54"/>
        <v>104296874713.95001</v>
      </c>
      <c r="W1394">
        <f t="shared" si="55"/>
        <v>223522541579.51541</v>
      </c>
    </row>
    <row r="1395" spans="1:23" x14ac:dyDescent="0.2">
      <c r="A1395">
        <f>IF(D1395="USD",VLOOKUP(VALUE(RIGHT(E1395,4)),'USD RUB'!$E:$F,2,FALSE),1)</f>
        <v>31.062956321839064</v>
      </c>
      <c r="B1395" s="4">
        <v>31.062956321839064</v>
      </c>
      <c r="C1395">
        <v>1000</v>
      </c>
      <c r="D1395" t="s">
        <v>111</v>
      </c>
      <c r="E1395" s="1" t="s">
        <v>1411</v>
      </c>
      <c r="F1395">
        <v>6789088670.7448235</v>
      </c>
      <c r="G1395">
        <v>87940161235.81604</v>
      </c>
      <c r="H1395">
        <v>113107679077.33327</v>
      </c>
      <c r="J1395">
        <v>236536864092.41827</v>
      </c>
      <c r="K1395">
        <v>66350070885.016052</v>
      </c>
      <c r="L1395">
        <v>105499460248.38155</v>
      </c>
      <c r="N1395">
        <v>64687332959.020653</v>
      </c>
      <c r="O1395">
        <v>51520460222.188477</v>
      </c>
      <c r="P1395">
        <v>6350386538.6114912</v>
      </c>
      <c r="Q1395">
        <v>4697619821.5953999</v>
      </c>
      <c r="R1395">
        <v>3273507526.0643659</v>
      </c>
      <c r="T1395">
        <v>8602171305.3379269</v>
      </c>
      <c r="V1395">
        <f t="shared" si="54"/>
        <v>49060020326.192314</v>
      </c>
      <c r="W1395">
        <f t="shared" si="55"/>
        <v>216730402768.75388</v>
      </c>
    </row>
    <row r="1396" spans="1:23" x14ac:dyDescent="0.2">
      <c r="A1396">
        <f>IF(D1396="USD",VLOOKUP(VALUE(RIGHT(E1396,4)),'USD RUB'!$E:$F,2,FALSE),1)</f>
        <v>29.402434615384617</v>
      </c>
      <c r="B1396" s="4">
        <v>29.402434615384617</v>
      </c>
      <c r="C1396">
        <v>1000</v>
      </c>
      <c r="D1396" t="s">
        <v>111</v>
      </c>
      <c r="E1396" s="1" t="s">
        <v>1412</v>
      </c>
      <c r="F1396">
        <v>6779995605.2653847</v>
      </c>
      <c r="G1396">
        <v>77183272621.200012</v>
      </c>
      <c r="H1396">
        <v>98429001435.32309</v>
      </c>
      <c r="J1396">
        <v>209705249663.66541</v>
      </c>
      <c r="K1396">
        <v>50143235419.857697</v>
      </c>
      <c r="L1396">
        <v>105908921996.6077</v>
      </c>
      <c r="N1396">
        <v>53653092247.200005</v>
      </c>
      <c r="O1396">
        <v>198569842016.38849</v>
      </c>
      <c r="P1396">
        <v>20114440739.861542</v>
      </c>
      <c r="Q1396">
        <v>15998981966.746155</v>
      </c>
      <c r="R1396">
        <v>11311028389.234615</v>
      </c>
      <c r="T1396">
        <v>30876261052.915386</v>
      </c>
      <c r="V1396" t="str">
        <f t="shared" si="54"/>
        <v/>
      </c>
      <c r="W1396" t="str">
        <f t="shared" si="55"/>
        <v/>
      </c>
    </row>
    <row r="1397" spans="1:23" x14ac:dyDescent="0.2">
      <c r="A1397">
        <f>IF(D1397="USD",VLOOKUP(VALUE(RIGHT(E1397,4)),'USD RUB'!$E:$F,2,FALSE),1)</f>
        <v>29.402434615384617</v>
      </c>
      <c r="B1397" s="4">
        <v>29.402434615384617</v>
      </c>
      <c r="C1397">
        <v>1000</v>
      </c>
      <c r="D1397" t="s">
        <v>111</v>
      </c>
      <c r="E1397" s="1" t="s">
        <v>1413</v>
      </c>
      <c r="F1397">
        <v>5000178030.6923084</v>
      </c>
      <c r="G1397">
        <v>82083217752.288467</v>
      </c>
      <c r="H1397">
        <v>107260845940.22308</v>
      </c>
      <c r="J1397">
        <v>223522541579.51541</v>
      </c>
      <c r="K1397">
        <v>50569658929.084618</v>
      </c>
      <c r="L1397">
        <v>114332601904.17693</v>
      </c>
      <c r="N1397">
        <v>58620280746.253853</v>
      </c>
      <c r="O1397">
        <v>104296874713.95001</v>
      </c>
      <c r="P1397">
        <v>12936865413.726925</v>
      </c>
      <c r="Q1397">
        <v>10584229607.976923</v>
      </c>
      <c r="R1397">
        <v>7575919510.3038464</v>
      </c>
      <c r="T1397">
        <v>18390546595.926926</v>
      </c>
      <c r="V1397" t="str">
        <f t="shared" si="54"/>
        <v/>
      </c>
      <c r="W1397" t="str">
        <f t="shared" si="55"/>
        <v/>
      </c>
    </row>
    <row r="1398" spans="1:23" x14ac:dyDescent="0.2">
      <c r="A1398">
        <f>IF(D1398="USD",VLOOKUP(VALUE(RIGHT(E1398,4)),'USD RUB'!$E:$F,2,FALSE),1)</f>
        <v>29.402434615384617</v>
      </c>
      <c r="B1398" s="4">
        <v>29.402434615384617</v>
      </c>
      <c r="C1398">
        <v>1000</v>
      </c>
      <c r="D1398" t="s">
        <v>111</v>
      </c>
      <c r="E1398" s="1" t="s">
        <v>1414</v>
      </c>
      <c r="F1398">
        <v>5050309181.7115393</v>
      </c>
      <c r="G1398">
        <v>76584403832.953857</v>
      </c>
      <c r="H1398">
        <v>105470355281.88463</v>
      </c>
      <c r="J1398">
        <v>216730402768.75388</v>
      </c>
      <c r="K1398">
        <v>47244537598.430771</v>
      </c>
      <c r="L1398">
        <v>115090273241.78078</v>
      </c>
      <c r="N1398">
        <v>54395591928.542313</v>
      </c>
      <c r="O1398">
        <v>49060020326.192314</v>
      </c>
      <c r="P1398">
        <v>6259984146.6576929</v>
      </c>
      <c r="Q1398">
        <v>4602098468.4346161</v>
      </c>
      <c r="R1398">
        <v>3061851931.1076927</v>
      </c>
      <c r="T1398">
        <v>8621117256.0115395</v>
      </c>
      <c r="V1398" t="str">
        <f t="shared" si="54"/>
        <v/>
      </c>
      <c r="W1398" t="str">
        <f t="shared" si="55"/>
        <v/>
      </c>
    </row>
    <row r="1399" spans="1:23" x14ac:dyDescent="0.2">
      <c r="A1399">
        <f>IF(D1399="USD",VLOOKUP(VALUE(RIGHT(E1399,4)),'USD RUB'!$E:$F,2,FALSE),1)</f>
        <v>1</v>
      </c>
      <c r="B1399" s="4">
        <v>1</v>
      </c>
      <c r="C1399">
        <v>1000000</v>
      </c>
      <c r="D1399" t="s">
        <v>20</v>
      </c>
      <c r="E1399" s="1" t="s">
        <v>1415</v>
      </c>
      <c r="F1399">
        <v>616000000</v>
      </c>
      <c r="G1399">
        <v>20795000000</v>
      </c>
      <c r="H1399">
        <v>1678000000</v>
      </c>
      <c r="I1399">
        <v>19864000000</v>
      </c>
      <c r="J1399">
        <v>60979000000</v>
      </c>
      <c r="K1399">
        <v>37933000000</v>
      </c>
      <c r="L1399">
        <v>30570000000</v>
      </c>
      <c r="M1399">
        <v>-55468000000</v>
      </c>
      <c r="N1399">
        <v>-7524000000</v>
      </c>
      <c r="O1399">
        <v>51135000000</v>
      </c>
      <c r="Q1399">
        <v>67000000</v>
      </c>
      <c r="R1399">
        <v>40000000</v>
      </c>
      <c r="S1399">
        <v>3234000000</v>
      </c>
      <c r="T1399">
        <v>7844000000</v>
      </c>
      <c r="U1399">
        <v>-1046000000</v>
      </c>
      <c r="V1399">
        <f t="shared" si="54"/>
        <v>41545000000</v>
      </c>
      <c r="W1399">
        <f t="shared" si="55"/>
        <v>53800000000</v>
      </c>
    </row>
    <row r="1400" spans="1:23" x14ac:dyDescent="0.2">
      <c r="A1400">
        <f>IF(D1400="USD",VLOOKUP(VALUE(RIGHT(E1400,4)),'USD RUB'!$E:$F,2,FALSE),1)</f>
        <v>1</v>
      </c>
      <c r="B1400" s="4">
        <v>1</v>
      </c>
      <c r="C1400">
        <v>1000000</v>
      </c>
      <c r="D1400" t="s">
        <v>20</v>
      </c>
      <c r="E1400" s="1" t="s">
        <v>1416</v>
      </c>
      <c r="F1400">
        <v>1955000000</v>
      </c>
      <c r="G1400">
        <v>21183000000</v>
      </c>
      <c r="H1400">
        <v>1559000000</v>
      </c>
      <c r="I1400">
        <v>19598000000</v>
      </c>
      <c r="J1400">
        <v>60786000000</v>
      </c>
      <c r="K1400">
        <v>38675000000</v>
      </c>
      <c r="L1400">
        <v>29675000000</v>
      </c>
      <c r="M1400">
        <v>-55508000000</v>
      </c>
      <c r="N1400">
        <v>-7564000000</v>
      </c>
      <c r="O1400">
        <v>87163000000</v>
      </c>
      <c r="Q1400">
        <v>209000000</v>
      </c>
      <c r="R1400">
        <v>267000000</v>
      </c>
      <c r="S1400">
        <v>6598000000</v>
      </c>
      <c r="T1400">
        <v>13151000000</v>
      </c>
      <c r="U1400">
        <v>-1508000000</v>
      </c>
      <c r="V1400">
        <f t="shared" si="54"/>
        <v>67358000000</v>
      </c>
      <c r="W1400">
        <f t="shared" si="55"/>
        <v>53218000000</v>
      </c>
    </row>
    <row r="1401" spans="1:23" x14ac:dyDescent="0.2">
      <c r="A1401">
        <f>IF(D1401="USD",VLOOKUP(VALUE(RIGHT(E1401,4)),'USD RUB'!$E:$F,2,FALSE),1)</f>
        <v>1</v>
      </c>
      <c r="B1401" s="4">
        <v>1</v>
      </c>
      <c r="C1401">
        <v>1000000</v>
      </c>
      <c r="D1401" t="s">
        <v>20</v>
      </c>
      <c r="E1401" s="1" t="s">
        <v>1417</v>
      </c>
      <c r="F1401">
        <v>2162000000</v>
      </c>
      <c r="G1401">
        <v>18609000000</v>
      </c>
      <c r="H1401">
        <v>1675000000</v>
      </c>
      <c r="I1401">
        <v>16940000000</v>
      </c>
      <c r="J1401">
        <v>53800000000</v>
      </c>
      <c r="K1401">
        <v>31629000000</v>
      </c>
      <c r="L1401">
        <v>28944000000</v>
      </c>
      <c r="M1401">
        <v>-55717000000</v>
      </c>
      <c r="N1401">
        <v>-6773000000</v>
      </c>
      <c r="O1401">
        <v>41545000000</v>
      </c>
      <c r="Q1401">
        <v>90000000</v>
      </c>
      <c r="R1401">
        <v>58000000</v>
      </c>
      <c r="S1401">
        <v>3207000000</v>
      </c>
      <c r="T1401">
        <v>6359000000</v>
      </c>
      <c r="U1401">
        <v>-531000000</v>
      </c>
      <c r="V1401">
        <f t="shared" si="54"/>
        <v>30501000000</v>
      </c>
      <c r="W1401">
        <f t="shared" si="55"/>
        <v>42718000000</v>
      </c>
    </row>
    <row r="1402" spans="1:23" x14ac:dyDescent="0.2">
      <c r="A1402">
        <f>IF(D1402="USD",VLOOKUP(VALUE(RIGHT(E1402,4)),'USD RUB'!$E:$F,2,FALSE),1)</f>
        <v>1</v>
      </c>
      <c r="B1402" s="4">
        <v>1</v>
      </c>
      <c r="C1402">
        <v>1000000</v>
      </c>
      <c r="D1402" t="s">
        <v>20</v>
      </c>
      <c r="E1402" s="1" t="s">
        <v>1418</v>
      </c>
      <c r="F1402">
        <v>2086000000</v>
      </c>
      <c r="G1402">
        <v>18270000000</v>
      </c>
      <c r="H1402">
        <v>1804000000</v>
      </c>
      <c r="I1402">
        <v>17188000000</v>
      </c>
      <c r="J1402">
        <v>53218000000</v>
      </c>
      <c r="K1402">
        <v>31723000000</v>
      </c>
      <c r="L1402">
        <v>28326000000</v>
      </c>
      <c r="M1402">
        <v>-55775000000</v>
      </c>
      <c r="N1402">
        <v>-6831000000</v>
      </c>
      <c r="O1402">
        <v>67358000000</v>
      </c>
      <c r="Q1402">
        <v>162000000</v>
      </c>
      <c r="R1402">
        <v>120000000</v>
      </c>
      <c r="S1402">
        <v>6033000000</v>
      </c>
      <c r="T1402">
        <v>10413000000</v>
      </c>
      <c r="U1402">
        <v>-1276000000</v>
      </c>
      <c r="V1402">
        <f t="shared" si="54"/>
        <v>59048000000</v>
      </c>
      <c r="W1402">
        <f t="shared" si="55"/>
        <v>43618000000</v>
      </c>
    </row>
    <row r="1403" spans="1:23" x14ac:dyDescent="0.2">
      <c r="A1403">
        <f>IF(D1403="USD",VLOOKUP(VALUE(RIGHT(E1403,4)),'USD RUB'!$E:$F,2,FALSE),1)</f>
        <v>1</v>
      </c>
      <c r="B1403" s="4">
        <v>1</v>
      </c>
      <c r="C1403">
        <v>1000000</v>
      </c>
      <c r="D1403" t="s">
        <v>20</v>
      </c>
      <c r="E1403" s="1" t="s">
        <v>1419</v>
      </c>
      <c r="F1403">
        <v>521000000</v>
      </c>
      <c r="G1403">
        <v>13384000000</v>
      </c>
      <c r="H1403">
        <v>2029000000</v>
      </c>
      <c r="I1403">
        <v>13282000000</v>
      </c>
      <c r="J1403">
        <v>42718000000</v>
      </c>
      <c r="K1403">
        <v>25948000000</v>
      </c>
      <c r="L1403">
        <v>23414000000</v>
      </c>
      <c r="M1403">
        <v>-55808000000</v>
      </c>
      <c r="N1403">
        <v>-6644000000</v>
      </c>
      <c r="O1403">
        <v>30501000000</v>
      </c>
      <c r="Q1403">
        <v>159000000</v>
      </c>
      <c r="R1403">
        <v>87000000</v>
      </c>
      <c r="S1403">
        <v>3035000000</v>
      </c>
      <c r="T1403">
        <v>4938000000</v>
      </c>
      <c r="U1403">
        <v>-570000000</v>
      </c>
      <c r="V1403" t="str">
        <f t="shared" si="54"/>
        <v/>
      </c>
      <c r="W1403" t="str">
        <f t="shared" si="55"/>
        <v/>
      </c>
    </row>
    <row r="1404" spans="1:23" x14ac:dyDescent="0.2">
      <c r="A1404">
        <f>IF(D1404="USD",VLOOKUP(VALUE(RIGHT(E1404,4)),'USD RUB'!$E:$F,2,FALSE),1)</f>
        <v>1</v>
      </c>
      <c r="B1404" s="4">
        <v>1</v>
      </c>
      <c r="C1404">
        <v>1000000</v>
      </c>
      <c r="D1404" t="s">
        <v>20</v>
      </c>
      <c r="E1404" s="1" t="s">
        <v>1420</v>
      </c>
      <c r="F1404">
        <v>811000000</v>
      </c>
      <c r="G1404">
        <v>14797000000</v>
      </c>
      <c r="H1404">
        <v>2059000000</v>
      </c>
      <c r="I1404">
        <v>13497000000</v>
      </c>
      <c r="J1404">
        <v>43618000000</v>
      </c>
      <c r="K1404">
        <v>27534000000</v>
      </c>
      <c r="L1404">
        <v>22515000000</v>
      </c>
      <c r="M1404">
        <v>-55895000000</v>
      </c>
      <c r="N1404">
        <v>-6431000000</v>
      </c>
      <c r="O1404">
        <v>59048000000</v>
      </c>
      <c r="Q1404">
        <v>411000000</v>
      </c>
      <c r="R1404">
        <v>223000000</v>
      </c>
      <c r="S1404">
        <v>5789000000</v>
      </c>
      <c r="T1404">
        <v>10192000000</v>
      </c>
      <c r="U1404">
        <v>-1035000000</v>
      </c>
      <c r="V1404">
        <f t="shared" si="54"/>
        <v>44104000000</v>
      </c>
      <c r="W1404">
        <f t="shared" si="55"/>
        <v>37831000000</v>
      </c>
    </row>
    <row r="1405" spans="1:23" x14ac:dyDescent="0.2">
      <c r="A1405">
        <f>IF(D1405="USD",VLOOKUP(VALUE(RIGHT(E1405,4)),'USD RUB'!$E:$F,2,FALSE),1)</f>
        <v>1</v>
      </c>
      <c r="B1405" s="4">
        <v>1</v>
      </c>
      <c r="C1405">
        <v>1000000</v>
      </c>
      <c r="D1405" t="s">
        <v>20</v>
      </c>
      <c r="E1405" s="1" t="s">
        <v>1421</v>
      </c>
      <c r="F1405">
        <v>1727000000</v>
      </c>
      <c r="G1405">
        <v>13500000000</v>
      </c>
      <c r="H1405">
        <v>2075000000</v>
      </c>
      <c r="I1405">
        <v>12860000000</v>
      </c>
      <c r="J1405">
        <v>37831000000</v>
      </c>
      <c r="K1405">
        <v>28894000000</v>
      </c>
      <c r="L1405">
        <v>15591000000</v>
      </c>
      <c r="M1405">
        <v>-56118000000</v>
      </c>
      <c r="N1405">
        <v>-6654000000</v>
      </c>
      <c r="O1405">
        <v>44104000000</v>
      </c>
      <c r="Q1405">
        <v>-1442000000</v>
      </c>
      <c r="R1405">
        <v>-950000000</v>
      </c>
      <c r="S1405">
        <v>5807000000</v>
      </c>
      <c r="T1405">
        <v>6795000000</v>
      </c>
      <c r="U1405">
        <v>-981000000</v>
      </c>
      <c r="V1405">
        <f t="shared" si="54"/>
        <v>39267000000</v>
      </c>
      <c r="W1405">
        <f t="shared" si="55"/>
        <v>54428000000</v>
      </c>
    </row>
    <row r="1406" spans="1:23" x14ac:dyDescent="0.2">
      <c r="A1406">
        <f>IF(D1406="USD",VLOOKUP(VALUE(RIGHT(E1406,4)),'USD RUB'!$E:$F,2,FALSE),1)</f>
        <v>1</v>
      </c>
      <c r="B1406" s="4">
        <v>1</v>
      </c>
      <c r="C1406">
        <v>1000000</v>
      </c>
      <c r="D1406" t="s">
        <v>20</v>
      </c>
      <c r="E1406" s="1" t="s">
        <v>1422</v>
      </c>
      <c r="F1406">
        <v>1659000000</v>
      </c>
      <c r="G1406">
        <v>10638000000</v>
      </c>
      <c r="H1406">
        <v>1945000000</v>
      </c>
      <c r="I1406">
        <v>12239000000</v>
      </c>
      <c r="J1406">
        <v>34441000000</v>
      </c>
      <c r="K1406">
        <v>15102000000</v>
      </c>
      <c r="L1406">
        <v>26334000000</v>
      </c>
      <c r="M1406">
        <v>-56459000000</v>
      </c>
      <c r="N1406">
        <v>-6995000000</v>
      </c>
      <c r="O1406">
        <v>20846000000</v>
      </c>
      <c r="Q1406">
        <v>-1256000000</v>
      </c>
      <c r="R1406">
        <v>-1291000000</v>
      </c>
      <c r="S1406">
        <v>2820000000</v>
      </c>
      <c r="U1406">
        <v>-336000000</v>
      </c>
      <c r="V1406">
        <f t="shared" si="54"/>
        <v>26490000000</v>
      </c>
      <c r="W1406">
        <f t="shared" si="55"/>
        <v>35777000000</v>
      </c>
    </row>
    <row r="1407" spans="1:23" x14ac:dyDescent="0.2">
      <c r="A1407">
        <f>IF(D1407="USD",VLOOKUP(VALUE(RIGHT(E1407,4)),'USD RUB'!$E:$F,2,FALSE),1)</f>
        <v>1</v>
      </c>
      <c r="B1407" s="4">
        <v>1</v>
      </c>
      <c r="C1407">
        <v>1000000</v>
      </c>
      <c r="D1407" t="s">
        <v>20</v>
      </c>
      <c r="E1407" s="1" t="s">
        <v>1423</v>
      </c>
      <c r="F1407">
        <v>1003000000</v>
      </c>
      <c r="G1407">
        <v>30336000000</v>
      </c>
      <c r="H1407">
        <v>2047000000</v>
      </c>
      <c r="I1407">
        <v>12497000000</v>
      </c>
      <c r="J1407">
        <v>54428000000</v>
      </c>
      <c r="K1407">
        <v>24573000000</v>
      </c>
      <c r="L1407">
        <v>35559000000</v>
      </c>
      <c r="M1407">
        <v>-55168000000</v>
      </c>
      <c r="N1407">
        <v>-5704000000</v>
      </c>
      <c r="O1407">
        <v>39267000000</v>
      </c>
      <c r="Q1407">
        <v>-643000000</v>
      </c>
      <c r="R1407">
        <v>-992000000</v>
      </c>
      <c r="S1407">
        <v>5341000000</v>
      </c>
      <c r="U1407">
        <v>-1922000000</v>
      </c>
      <c r="V1407">
        <f t="shared" si="54"/>
        <v>46049000000</v>
      </c>
      <c r="W1407">
        <f t="shared" si="55"/>
        <v>32620000000</v>
      </c>
    </row>
    <row r="1408" spans="1:23" x14ac:dyDescent="0.2">
      <c r="A1408">
        <f>IF(D1408="USD",VLOOKUP(VALUE(RIGHT(E1408,4)),'USD RUB'!$E:$F,2,FALSE),1)</f>
        <v>1</v>
      </c>
      <c r="B1408" s="4">
        <v>1</v>
      </c>
      <c r="C1408">
        <v>1000000</v>
      </c>
      <c r="D1408" t="s">
        <v>20</v>
      </c>
      <c r="E1408" s="1" t="s">
        <v>1424</v>
      </c>
      <c r="F1408">
        <v>1144000000</v>
      </c>
      <c r="G1408">
        <v>16175000000</v>
      </c>
      <c r="H1408">
        <v>2760000000</v>
      </c>
      <c r="I1408">
        <v>9526000000</v>
      </c>
      <c r="J1408">
        <v>35777000000</v>
      </c>
      <c r="K1408">
        <v>21300000000</v>
      </c>
      <c r="L1408">
        <v>40414000000</v>
      </c>
      <c r="M1408">
        <v>-63900000000</v>
      </c>
      <c r="N1408">
        <v>-25937000000</v>
      </c>
      <c r="O1408">
        <v>26490000000</v>
      </c>
      <c r="Q1408">
        <v>-2139000000</v>
      </c>
      <c r="R1408">
        <v>-2381000000</v>
      </c>
      <c r="S1408">
        <v>2525000000</v>
      </c>
      <c r="U1408">
        <v>-1555000000</v>
      </c>
      <c r="V1408">
        <f t="shared" si="54"/>
        <v>20864000000</v>
      </c>
      <c r="W1408">
        <f t="shared" si="55"/>
        <v>33420000000</v>
      </c>
    </row>
    <row r="1409" spans="1:23" x14ac:dyDescent="0.2">
      <c r="A1409">
        <f>IF(D1409="USD",VLOOKUP(VALUE(RIGHT(E1409,4)),'USD RUB'!$E:$F,2,FALSE),1)</f>
        <v>1</v>
      </c>
      <c r="B1409" s="4">
        <v>1</v>
      </c>
      <c r="C1409">
        <v>1000000</v>
      </c>
      <c r="D1409" t="s">
        <v>20</v>
      </c>
      <c r="E1409" s="1" t="s">
        <v>1425</v>
      </c>
      <c r="F1409">
        <v>847000000</v>
      </c>
      <c r="G1409">
        <v>14230000000</v>
      </c>
      <c r="H1409">
        <v>1604000000</v>
      </c>
      <c r="I1409">
        <v>9637000000</v>
      </c>
      <c r="J1409">
        <v>32620000000</v>
      </c>
      <c r="K1409">
        <v>26224000000</v>
      </c>
      <c r="L1409">
        <v>29952000000</v>
      </c>
      <c r="M1409">
        <v>-61519000000</v>
      </c>
      <c r="N1409">
        <v>-23556000000</v>
      </c>
      <c r="O1409">
        <v>46049000000</v>
      </c>
      <c r="Q1409">
        <v>-8745000000</v>
      </c>
      <c r="R1409">
        <v>-8855000000</v>
      </c>
      <c r="S1409">
        <v>5151000000</v>
      </c>
      <c r="U1409">
        <v>-2020000000</v>
      </c>
      <c r="V1409">
        <f t="shared" si="54"/>
        <v>44664000000</v>
      </c>
      <c r="W1409">
        <f t="shared" si="55"/>
        <v>32719000000</v>
      </c>
    </row>
    <row r="1410" spans="1:23" x14ac:dyDescent="0.2">
      <c r="A1410">
        <f>IF(D1410="USD",VLOOKUP(VALUE(RIGHT(E1410,4)),'USD RUB'!$E:$F,2,FALSE),1)</f>
        <v>1</v>
      </c>
      <c r="B1410" s="4">
        <v>1</v>
      </c>
      <c r="C1410">
        <v>1000000</v>
      </c>
      <c r="D1410" t="s">
        <v>20</v>
      </c>
      <c r="E1410" s="1" t="s">
        <v>1426</v>
      </c>
      <c r="F1410">
        <v>420000000</v>
      </c>
      <c r="G1410">
        <v>12332000000</v>
      </c>
      <c r="H1410">
        <v>1300000000</v>
      </c>
      <c r="I1410">
        <v>11167000000</v>
      </c>
      <c r="J1410">
        <v>33420000000</v>
      </c>
      <c r="K1410">
        <v>26345000000</v>
      </c>
      <c r="L1410">
        <v>25541000000</v>
      </c>
      <c r="M1410">
        <v>-56429000000</v>
      </c>
      <c r="N1410">
        <v>-18466000000</v>
      </c>
      <c r="O1410">
        <v>20864000000</v>
      </c>
      <c r="Q1410">
        <v>-3740000000</v>
      </c>
      <c r="R1410">
        <v>-3765000000</v>
      </c>
      <c r="S1410">
        <v>2525000000</v>
      </c>
      <c r="U1410">
        <v>-536000000</v>
      </c>
      <c r="V1410">
        <f t="shared" si="54"/>
        <v>22603000000</v>
      </c>
      <c r="W1410">
        <f t="shared" si="55"/>
        <v>37359000000</v>
      </c>
    </row>
    <row r="1411" spans="1:23" x14ac:dyDescent="0.2">
      <c r="A1411">
        <f>IF(D1411="USD",VLOOKUP(VALUE(RIGHT(E1411,4)),'USD RUB'!$E:$F,2,FALSE),1)</f>
        <v>1</v>
      </c>
      <c r="B1411" s="4">
        <v>1</v>
      </c>
      <c r="C1411">
        <v>1000000</v>
      </c>
      <c r="D1411" t="s">
        <v>20</v>
      </c>
      <c r="E1411" s="1" t="s">
        <v>1427</v>
      </c>
      <c r="F1411">
        <v>503000000</v>
      </c>
      <c r="G1411">
        <v>11053000000</v>
      </c>
      <c r="H1411">
        <v>1050000000</v>
      </c>
      <c r="I1411">
        <v>11342000000</v>
      </c>
      <c r="J1411">
        <v>32719000000</v>
      </c>
      <c r="K1411">
        <v>36794000000</v>
      </c>
      <c r="L1411">
        <v>32733000000</v>
      </c>
      <c r="M1411">
        <v>-52664000000</v>
      </c>
      <c r="N1411">
        <v>-36808000000</v>
      </c>
      <c r="O1411">
        <v>44664000000</v>
      </c>
      <c r="Q1411">
        <v>-22757000000</v>
      </c>
      <c r="R1411">
        <v>-22977000000</v>
      </c>
      <c r="S1411">
        <v>10225000000</v>
      </c>
      <c r="U1411">
        <v>-822000000</v>
      </c>
      <c r="V1411">
        <f t="shared" si="54"/>
        <v>48253000000</v>
      </c>
      <c r="W1411">
        <f t="shared" si="55"/>
        <v>39909000000</v>
      </c>
    </row>
    <row r="1412" spans="1:23" x14ac:dyDescent="0.2">
      <c r="A1412">
        <f>IF(D1412="USD",VLOOKUP(VALUE(RIGHT(E1412,4)),'USD RUB'!$E:$F,2,FALSE),1)</f>
        <v>1</v>
      </c>
      <c r="B1412" s="4">
        <v>1</v>
      </c>
      <c r="C1412">
        <v>1000000</v>
      </c>
      <c r="D1412" t="s">
        <v>20</v>
      </c>
      <c r="E1412" s="1" t="s">
        <v>1428</v>
      </c>
      <c r="F1412">
        <v>714000000</v>
      </c>
      <c r="G1412">
        <v>14073000000</v>
      </c>
      <c r="H1412">
        <v>808000000</v>
      </c>
      <c r="I1412">
        <v>22091000000</v>
      </c>
      <c r="J1412">
        <v>37359000000</v>
      </c>
      <c r="K1412">
        <v>27460000000</v>
      </c>
      <c r="L1412">
        <v>28784000000</v>
      </c>
      <c r="M1412">
        <v>-34754000000</v>
      </c>
      <c r="N1412">
        <v>-18885000000</v>
      </c>
      <c r="O1412">
        <v>22603000000</v>
      </c>
      <c r="Q1412">
        <v>-4938000000</v>
      </c>
      <c r="R1412">
        <v>-5067000000</v>
      </c>
      <c r="S1412">
        <v>601000000</v>
      </c>
      <c r="U1412">
        <v>-171000000</v>
      </c>
      <c r="V1412">
        <f t="shared" si="54"/>
        <v>24679000000</v>
      </c>
      <c r="W1412">
        <f t="shared" si="55"/>
        <v>44987000000</v>
      </c>
    </row>
    <row r="1413" spans="1:23" x14ac:dyDescent="0.2">
      <c r="A1413">
        <f>IF(D1413="USD",VLOOKUP(VALUE(RIGHT(E1413,4)),'USD RUB'!$E:$F,2,FALSE),1)</f>
        <v>1</v>
      </c>
      <c r="B1413" s="4">
        <v>1</v>
      </c>
      <c r="C1413">
        <v>1000000</v>
      </c>
      <c r="D1413" t="s">
        <v>20</v>
      </c>
      <c r="E1413" s="1" t="s">
        <v>1429</v>
      </c>
      <c r="F1413">
        <v>659000000</v>
      </c>
      <c r="G1413">
        <v>15753000000</v>
      </c>
      <c r="H1413">
        <v>781000000</v>
      </c>
      <c r="I1413">
        <v>22944000000</v>
      </c>
      <c r="J1413">
        <v>39909000000</v>
      </c>
      <c r="K1413">
        <v>25123000000</v>
      </c>
      <c r="L1413">
        <v>28604000000</v>
      </c>
      <c r="M1413">
        <v>-29687000000</v>
      </c>
      <c r="N1413">
        <v>-13818000000</v>
      </c>
      <c r="O1413">
        <v>48253000000</v>
      </c>
      <c r="Q1413">
        <v>-13140000000</v>
      </c>
      <c r="R1413">
        <v>-13097000000</v>
      </c>
      <c r="S1413">
        <v>2901000000</v>
      </c>
      <c r="U1413">
        <v>-365000000</v>
      </c>
      <c r="V1413">
        <f t="shared" si="54"/>
        <v>45947000000</v>
      </c>
      <c r="W1413">
        <f t="shared" si="55"/>
        <v>44763000000</v>
      </c>
    </row>
    <row r="1414" spans="1:23" x14ac:dyDescent="0.2">
      <c r="A1414">
        <f>IF(D1414="USD",VLOOKUP(VALUE(RIGHT(E1414,4)),'USD RUB'!$E:$F,2,FALSE),1)</f>
        <v>1</v>
      </c>
      <c r="B1414" s="4">
        <v>1</v>
      </c>
      <c r="C1414">
        <v>1000000</v>
      </c>
      <c r="D1414" t="s">
        <v>20</v>
      </c>
      <c r="E1414" s="1" t="s">
        <v>1430</v>
      </c>
      <c r="F1414">
        <v>316000000</v>
      </c>
      <c r="G1414">
        <v>14079000000</v>
      </c>
      <c r="H1414">
        <v>967000000</v>
      </c>
      <c r="I1414">
        <v>29424000000</v>
      </c>
      <c r="J1414">
        <v>44987000000</v>
      </c>
      <c r="K1414">
        <v>22162000000</v>
      </c>
      <c r="L1414">
        <v>22799000000</v>
      </c>
      <c r="M1414">
        <v>-16245000000</v>
      </c>
      <c r="N1414">
        <v>26000000</v>
      </c>
      <c r="O1414">
        <v>24679000000</v>
      </c>
      <c r="Q1414">
        <v>290000000</v>
      </c>
      <c r="R1414">
        <v>345000000</v>
      </c>
      <c r="S1414">
        <v>671000000</v>
      </c>
      <c r="T1414">
        <v>2499000000</v>
      </c>
      <c r="U1414">
        <v>-178000000</v>
      </c>
      <c r="V1414">
        <f t="shared" si="54"/>
        <v>22698000000</v>
      </c>
      <c r="W1414">
        <f t="shared" si="55"/>
        <v>45000000000</v>
      </c>
    </row>
    <row r="1415" spans="1:23" s="20" customFormat="1" x14ac:dyDescent="0.2">
      <c r="A1415" s="20">
        <f>IF(D1415="USD",VLOOKUP(VALUE(RIGHT(E1415,4)),'USD RUB'!$E:$F,2,FALSE),1)</f>
        <v>1</v>
      </c>
      <c r="B1415" s="21">
        <v>1</v>
      </c>
      <c r="C1415" s="20">
        <v>1000000</v>
      </c>
      <c r="D1415" s="20" t="s">
        <v>20</v>
      </c>
      <c r="E1415" s="22" t="s">
        <v>1431</v>
      </c>
      <c r="F1415" s="20">
        <v>585000000</v>
      </c>
      <c r="G1415" s="20">
        <v>13133000000</v>
      </c>
      <c r="H1415" s="20">
        <v>1026000000</v>
      </c>
      <c r="J1415" s="20">
        <v>44763000000</v>
      </c>
      <c r="K1415" s="20">
        <v>27896000000</v>
      </c>
      <c r="L1415" s="20">
        <v>17398000000</v>
      </c>
      <c r="M1415" s="20">
        <v>-16590000000</v>
      </c>
      <c r="N1415" s="20">
        <v>-531000000</v>
      </c>
      <c r="O1415" s="20">
        <v>45947000000</v>
      </c>
      <c r="Q1415" s="20">
        <v>-9399000000</v>
      </c>
      <c r="R1415" s="20">
        <v>-9345000000</v>
      </c>
      <c r="T1415" s="20">
        <v>519000000</v>
      </c>
      <c r="V1415" s="20">
        <f t="shared" si="54"/>
        <v>31890000000</v>
      </c>
      <c r="W1415" s="20">
        <f t="shared" si="55"/>
        <v>27314000000</v>
      </c>
    </row>
    <row r="1416" spans="1:23" x14ac:dyDescent="0.2">
      <c r="A1416">
        <f>IF(D1416="USD",VLOOKUP(VALUE(RIGHT(E1416,4)),'USD RUB'!$E:$F,2,FALSE),1)</f>
        <v>1</v>
      </c>
      <c r="B1416" s="4">
        <v>1</v>
      </c>
      <c r="C1416">
        <v>1000000</v>
      </c>
      <c r="D1416" t="s">
        <v>20</v>
      </c>
      <c r="E1416" s="1" t="s">
        <v>1432</v>
      </c>
      <c r="F1416">
        <v>297000000</v>
      </c>
      <c r="G1416">
        <v>26380000000</v>
      </c>
      <c r="H1416">
        <v>1166000000</v>
      </c>
      <c r="J1416">
        <v>45000000000</v>
      </c>
      <c r="K1416">
        <v>25604000000</v>
      </c>
      <c r="L1416">
        <v>15562000000</v>
      </c>
      <c r="M1416">
        <v>-7212000000</v>
      </c>
      <c r="N1416">
        <v>3834000000</v>
      </c>
      <c r="O1416">
        <v>22698000000</v>
      </c>
      <c r="P1416">
        <v>801000000</v>
      </c>
      <c r="Q1416">
        <v>-72000000</v>
      </c>
      <c r="R1416">
        <v>33000000</v>
      </c>
      <c r="V1416">
        <f t="shared" si="54"/>
        <v>16101000000</v>
      </c>
      <c r="W1416">
        <f t="shared" si="55"/>
        <v>28734000000</v>
      </c>
    </row>
    <row r="1417" spans="1:23" s="20" customFormat="1" x14ac:dyDescent="0.2">
      <c r="A1417" s="20">
        <f>IF(D1417="USD",VLOOKUP(VALUE(RIGHT(E1417,4)),'USD RUB'!$E:$F,2,FALSE),1)</f>
        <v>1</v>
      </c>
      <c r="B1417" s="21">
        <v>1</v>
      </c>
      <c r="C1417" s="20">
        <v>1000000</v>
      </c>
      <c r="D1417" s="20" t="s">
        <v>20</v>
      </c>
      <c r="E1417" s="22" t="s">
        <v>1433</v>
      </c>
      <c r="F1417" s="20">
        <v>284000000</v>
      </c>
      <c r="G1417" s="20">
        <v>9258000000</v>
      </c>
      <c r="H1417" s="20">
        <v>1004000000</v>
      </c>
      <c r="J1417" s="20">
        <v>27314000000</v>
      </c>
      <c r="K1417" s="20">
        <v>13191000000</v>
      </c>
      <c r="L1417" s="20">
        <v>12735000000</v>
      </c>
      <c r="M1417" s="20">
        <v>-7245000000</v>
      </c>
      <c r="N1417" s="20">
        <v>1388000000</v>
      </c>
      <c r="O1417" s="20">
        <v>31890000000</v>
      </c>
      <c r="P1417" s="20">
        <v>1024000000</v>
      </c>
      <c r="Q1417" s="20">
        <v>-1330000000</v>
      </c>
      <c r="R1417" s="20">
        <v>-1160000000</v>
      </c>
      <c r="V1417" s="20">
        <f t="shared" si="54"/>
        <v>19071000000</v>
      </c>
      <c r="W1417" s="20">
        <f t="shared" si="55"/>
        <v>32550000000</v>
      </c>
    </row>
    <row r="1418" spans="1:23" x14ac:dyDescent="0.2">
      <c r="A1418">
        <f>IF(D1418="USD",VLOOKUP(VALUE(RIGHT(E1418,4)),'USD RUB'!$E:$F,2,FALSE),1)</f>
        <v>1</v>
      </c>
      <c r="B1418" s="4">
        <v>1</v>
      </c>
      <c r="C1418">
        <v>1000000</v>
      </c>
      <c r="D1418" t="s">
        <v>20</v>
      </c>
      <c r="E1418" s="1" t="s">
        <v>1434</v>
      </c>
      <c r="F1418">
        <v>728000000</v>
      </c>
      <c r="G1418">
        <v>12133000000</v>
      </c>
      <c r="H1418">
        <v>1345000000</v>
      </c>
      <c r="J1418">
        <v>28734000000</v>
      </c>
      <c r="K1418">
        <v>16003000000</v>
      </c>
      <c r="L1418">
        <v>9606000000</v>
      </c>
      <c r="M1418">
        <v>-5859000000</v>
      </c>
      <c r="N1418">
        <v>3125000000</v>
      </c>
      <c r="O1418">
        <v>16101000000</v>
      </c>
      <c r="P1418">
        <v>1135000000</v>
      </c>
      <c r="Q1418">
        <v>350000000</v>
      </c>
      <c r="R1418">
        <v>492000000</v>
      </c>
      <c r="U1418">
        <v>-691000000</v>
      </c>
      <c r="V1418">
        <f t="shared" si="54"/>
        <v>4713000000</v>
      </c>
      <c r="W1418">
        <f t="shared" si="55"/>
        <v>3476000000</v>
      </c>
    </row>
    <row r="1419" spans="1:23" s="17" customFormat="1" x14ac:dyDescent="0.2">
      <c r="A1419" s="17">
        <f>IF(D1419="USD",VLOOKUP(VALUE(RIGHT(E1419,4)),'USD RUB'!$E:$F,2,FALSE),1)</f>
        <v>1</v>
      </c>
      <c r="B1419" s="18">
        <v>1</v>
      </c>
      <c r="C1419" s="17">
        <v>1000000</v>
      </c>
      <c r="D1419" s="17" t="s">
        <v>20</v>
      </c>
      <c r="E1419" s="19" t="s">
        <v>1435</v>
      </c>
      <c r="F1419" s="17">
        <f>392*C1419</f>
        <v>392000000</v>
      </c>
      <c r="G1419" s="17">
        <f>18453*C1419</f>
        <v>18453000000</v>
      </c>
      <c r="H1419" s="17">
        <f>1584*C1419</f>
        <v>1584000000</v>
      </c>
      <c r="J1419" s="17">
        <f>32550*C1419</f>
        <v>32550000000</v>
      </c>
      <c r="K1419" s="17">
        <f>24042*C1419</f>
        <v>24042000000</v>
      </c>
      <c r="L1419" s="17">
        <f>8266*C1419</f>
        <v>8266000000</v>
      </c>
      <c r="M1419" s="17">
        <f>-6985*C1419</f>
        <v>-6985000000</v>
      </c>
      <c r="N1419" s="17">
        <f>242*C1419</f>
        <v>242000000</v>
      </c>
      <c r="O1419" s="17">
        <f>19071*C1419</f>
        <v>19071000000</v>
      </c>
      <c r="P1419" s="17">
        <f>837*C1419</f>
        <v>837000000</v>
      </c>
      <c r="Q1419" s="17">
        <f>-579*C1419</f>
        <v>-579000000</v>
      </c>
      <c r="R1419" s="17">
        <f>43*C1419</f>
        <v>43000000</v>
      </c>
      <c r="S1419" s="17">
        <f>163*C1419</f>
        <v>163000000</v>
      </c>
      <c r="U1419" s="17">
        <f>-255*C1419</f>
        <v>-255000000</v>
      </c>
      <c r="V1419" s="17">
        <f t="shared" si="54"/>
        <v>11911000000</v>
      </c>
      <c r="W1419" s="17">
        <f t="shared" si="55"/>
        <v>3798000000</v>
      </c>
    </row>
    <row r="1420" spans="1:23" x14ac:dyDescent="0.2">
      <c r="A1420">
        <f>IF(D1420="USD",VLOOKUP(VALUE(RIGHT(E1420,4)),'USD RUB'!$E:$F,2,FALSE),1)</f>
        <v>1</v>
      </c>
      <c r="B1420" s="4">
        <v>1</v>
      </c>
      <c r="C1420">
        <v>1000000</v>
      </c>
      <c r="D1420" t="s">
        <v>20</v>
      </c>
      <c r="E1420" s="1" t="s">
        <v>1436</v>
      </c>
      <c r="F1420">
        <v>222000000</v>
      </c>
      <c r="G1420">
        <v>2609000000</v>
      </c>
      <c r="H1420">
        <v>764000000</v>
      </c>
      <c r="J1420">
        <v>3476000000</v>
      </c>
      <c r="K1420">
        <v>6664000000</v>
      </c>
      <c r="L1420">
        <v>7863000000</v>
      </c>
      <c r="M1420">
        <v>-17393000000</v>
      </c>
      <c r="N1420">
        <v>-11051000000</v>
      </c>
      <c r="O1420">
        <v>4713000000</v>
      </c>
      <c r="P1420">
        <v>17000000</v>
      </c>
      <c r="Q1420">
        <v>-376000000</v>
      </c>
      <c r="R1420">
        <v>-383000000</v>
      </c>
      <c r="V1420">
        <f t="shared" si="54"/>
        <v>9389000000</v>
      </c>
      <c r="W1420">
        <f t="shared" si="55"/>
        <v>22252000000</v>
      </c>
    </row>
    <row r="1421" spans="1:23" s="20" customFormat="1" x14ac:dyDescent="0.2">
      <c r="A1421" s="20">
        <f>IF(D1421="USD",VLOOKUP(VALUE(RIGHT(E1421,4)),'USD RUB'!$E:$F,2,FALSE),1)</f>
        <v>1</v>
      </c>
      <c r="B1421" s="21">
        <v>1</v>
      </c>
      <c r="C1421" s="20">
        <v>1000000</v>
      </c>
      <c r="D1421" s="20" t="s">
        <v>20</v>
      </c>
      <c r="E1421" s="22" t="s">
        <v>1437</v>
      </c>
      <c r="F1421" s="20">
        <v>489000000</v>
      </c>
      <c r="G1421" s="20">
        <v>2662000000</v>
      </c>
      <c r="H1421" s="20">
        <v>1019000000</v>
      </c>
      <c r="J1421" s="20">
        <v>3798000000</v>
      </c>
      <c r="K1421" s="20">
        <v>7951000000</v>
      </c>
      <c r="L1421" s="20">
        <v>6485000000</v>
      </c>
      <c r="N1421" s="20">
        <v>-10638000000</v>
      </c>
      <c r="O1421" s="20">
        <v>11911000000</v>
      </c>
      <c r="P1421" s="20">
        <v>-7806000000</v>
      </c>
      <c r="Q1421" s="20">
        <v>-9884000000</v>
      </c>
      <c r="R1421" s="20">
        <v>-10054000000</v>
      </c>
      <c r="V1421" s="20">
        <f t="shared" si="54"/>
        <v>14899000000</v>
      </c>
      <c r="W1421" s="20">
        <f t="shared" si="55"/>
        <v>22241000000</v>
      </c>
    </row>
    <row r="1422" spans="1:23" x14ac:dyDescent="0.2">
      <c r="A1422">
        <f>IF(D1422="USD",VLOOKUP(VALUE(RIGHT(E1422,4)),'USD RUB'!$E:$F,2,FALSE),1)</f>
        <v>1</v>
      </c>
      <c r="B1422" s="4">
        <v>1</v>
      </c>
      <c r="C1422">
        <v>1000000</v>
      </c>
      <c r="D1422" t="s">
        <v>20</v>
      </c>
      <c r="E1422" s="1" t="s">
        <v>1438</v>
      </c>
      <c r="F1422">
        <v>719000000</v>
      </c>
      <c r="G1422">
        <v>11754000000</v>
      </c>
      <c r="H1422">
        <v>4811000000</v>
      </c>
      <c r="J1422">
        <v>22252000000</v>
      </c>
      <c r="K1422">
        <v>13895000000</v>
      </c>
      <c r="L1422">
        <v>5609000000</v>
      </c>
      <c r="N1422">
        <v>2748000000</v>
      </c>
      <c r="O1422">
        <v>9389000000</v>
      </c>
      <c r="P1422">
        <v>155000000</v>
      </c>
      <c r="Q1422">
        <v>-822000000</v>
      </c>
      <c r="R1422">
        <v>-926000000</v>
      </c>
      <c r="V1422">
        <f t="shared" si="54"/>
        <v>11015000000</v>
      </c>
      <c r="W1422">
        <f t="shared" si="55"/>
        <v>22659000000</v>
      </c>
    </row>
    <row r="1423" spans="1:23" s="17" customFormat="1" x14ac:dyDescent="0.2">
      <c r="A1423" s="17">
        <f>IF(D1423="USD",VLOOKUP(VALUE(RIGHT(E1423,4)),'USD RUB'!$E:$F,2,FALSE),1)</f>
        <v>1</v>
      </c>
      <c r="B1423" s="18">
        <v>1</v>
      </c>
      <c r="C1423" s="17">
        <v>1000000</v>
      </c>
      <c r="D1423" s="17" t="s">
        <v>20</v>
      </c>
      <c r="E1423" s="19" t="s">
        <v>1439</v>
      </c>
      <c r="F1423" s="17">
        <f>838*C1423</f>
        <v>838000000</v>
      </c>
      <c r="G1423" s="17">
        <f>12909*C1423</f>
        <v>12909000000</v>
      </c>
      <c r="H1423" s="17">
        <f>3775*C1423</f>
        <v>3775000000</v>
      </c>
      <c r="J1423" s="17">
        <f>22241*C1423</f>
        <v>22241000000</v>
      </c>
      <c r="K1423" s="17">
        <f>15837*C1423</f>
        <v>15837000000</v>
      </c>
      <c r="L1423" s="17">
        <f>2730*C1423</f>
        <v>2730000000</v>
      </c>
      <c r="M1423" s="17">
        <f>-6485*C1423</f>
        <v>-6485000000</v>
      </c>
      <c r="N1423" s="17">
        <f>3674*C1423</f>
        <v>3674000000</v>
      </c>
      <c r="O1423" s="17">
        <f>14899*C1423</f>
        <v>14899000000</v>
      </c>
      <c r="P1423" s="17">
        <f>878*C1423</f>
        <v>878000000</v>
      </c>
      <c r="Q1423" s="17">
        <f>-267*C1423</f>
        <v>-267000000</v>
      </c>
      <c r="R1423" s="17">
        <f>1038*C1423</f>
        <v>1038000000</v>
      </c>
      <c r="S1423" s="17">
        <f>263*1000000</f>
        <v>263000000</v>
      </c>
      <c r="U1423" s="17">
        <f>-124*1000000</f>
        <v>-124000000</v>
      </c>
      <c r="V1423" s="17">
        <f t="shared" si="54"/>
        <v>21594000000</v>
      </c>
      <c r="W1423" s="17">
        <f t="shared" si="55"/>
        <v>21867000000</v>
      </c>
    </row>
    <row r="1424" spans="1:23" x14ac:dyDescent="0.2">
      <c r="A1424">
        <f>IF(D1424="USD",VLOOKUP(VALUE(RIGHT(E1424,4)),'USD RUB'!$E:$F,2,FALSE),1)</f>
        <v>1</v>
      </c>
      <c r="B1424" s="4">
        <v>1</v>
      </c>
      <c r="C1424">
        <v>1000000</v>
      </c>
      <c r="D1424" t="s">
        <v>20</v>
      </c>
      <c r="E1424" s="1" t="s">
        <v>1440</v>
      </c>
      <c r="F1424">
        <v>1166000000</v>
      </c>
      <c r="G1424">
        <v>13766000000</v>
      </c>
      <c r="H1424">
        <v>3716000000</v>
      </c>
      <c r="J1424">
        <v>22929000000</v>
      </c>
      <c r="K1424">
        <v>18490000000</v>
      </c>
      <c r="L1424">
        <v>891000000</v>
      </c>
      <c r="N1424">
        <v>3548000000</v>
      </c>
      <c r="O1424">
        <v>15588000000</v>
      </c>
      <c r="P1424">
        <v>716000000</v>
      </c>
      <c r="Q1424">
        <v>-521000000</v>
      </c>
      <c r="R1424">
        <v>-650000000</v>
      </c>
      <c r="V1424">
        <f t="shared" si="54"/>
        <v>15693000000</v>
      </c>
      <c r="W1424">
        <f t="shared" si="55"/>
        <v>20224000000</v>
      </c>
    </row>
    <row r="1425" spans="1:23" x14ac:dyDescent="0.2">
      <c r="A1425">
        <f>IF(D1425="USD",VLOOKUP(VALUE(RIGHT(E1425,4)),'USD RUB'!$E:$F,2,FALSE),1)</f>
        <v>1</v>
      </c>
      <c r="B1425" s="4">
        <v>1</v>
      </c>
      <c r="C1425">
        <v>1000000</v>
      </c>
      <c r="D1425" t="s">
        <v>20</v>
      </c>
      <c r="E1425" s="1" t="s">
        <v>1441</v>
      </c>
      <c r="F1425">
        <v>596000000</v>
      </c>
      <c r="G1425">
        <v>13721000000</v>
      </c>
      <c r="H1425">
        <v>3461000000</v>
      </c>
      <c r="J1425">
        <v>22659000000</v>
      </c>
      <c r="K1425">
        <v>16462000000</v>
      </c>
      <c r="L1425">
        <v>2331000000</v>
      </c>
      <c r="N1425">
        <v>3866000000</v>
      </c>
      <c r="O1425">
        <v>11015000000</v>
      </c>
      <c r="P1425">
        <v>725000000</v>
      </c>
      <c r="Q1425">
        <v>-102000000</v>
      </c>
      <c r="R1425">
        <v>-333000000</v>
      </c>
      <c r="V1425">
        <f t="shared" si="54"/>
        <v>10811000000</v>
      </c>
      <c r="W1425">
        <f t="shared" si="55"/>
        <v>19515000000</v>
      </c>
    </row>
    <row r="1426" spans="1:23" x14ac:dyDescent="0.2">
      <c r="A1426">
        <f>IF(D1426="USD",VLOOKUP(VALUE(RIGHT(E1426,4)),'USD RUB'!$E:$F,2,FALSE),1)</f>
        <v>1</v>
      </c>
      <c r="B1426" s="4">
        <v>1</v>
      </c>
      <c r="C1426">
        <v>1000000</v>
      </c>
      <c r="D1426" t="s">
        <v>20</v>
      </c>
      <c r="E1426" s="1" t="s">
        <v>1442</v>
      </c>
      <c r="F1426">
        <v>898000000</v>
      </c>
      <c r="G1426">
        <v>12911000000</v>
      </c>
      <c r="H1426">
        <v>3374000000</v>
      </c>
      <c r="J1426">
        <v>21739000000</v>
      </c>
      <c r="K1426">
        <v>15656000000</v>
      </c>
      <c r="L1426">
        <v>1883000000</v>
      </c>
      <c r="N1426">
        <v>4200000000</v>
      </c>
      <c r="O1426">
        <v>5590000000</v>
      </c>
      <c r="P1426">
        <v>396000000</v>
      </c>
      <c r="Q1426">
        <v>147000000</v>
      </c>
      <c r="R1426">
        <v>2000000</v>
      </c>
      <c r="V1426">
        <f t="shared" si="54"/>
        <v>5291900000</v>
      </c>
      <c r="W1426">
        <f t="shared" si="55"/>
        <v>19363800000</v>
      </c>
    </row>
    <row r="1427" spans="1:23" x14ac:dyDescent="0.2">
      <c r="A1427">
        <f>IF(D1427="USD",VLOOKUP(VALUE(RIGHT(E1427,4)),'USD RUB'!$E:$F,2,FALSE),1)</f>
        <v>1</v>
      </c>
      <c r="B1427" s="4">
        <v>1</v>
      </c>
      <c r="C1427">
        <v>1000000</v>
      </c>
      <c r="D1427" t="s">
        <v>20</v>
      </c>
      <c r="E1427" s="1" t="s">
        <v>1443</v>
      </c>
      <c r="F1427">
        <v>889000000</v>
      </c>
      <c r="G1427">
        <v>13016000000</v>
      </c>
      <c r="H1427">
        <v>3295000000</v>
      </c>
      <c r="J1427">
        <v>21867000000</v>
      </c>
      <c r="K1427">
        <v>15848000000</v>
      </c>
      <c r="L1427">
        <v>1821000000</v>
      </c>
      <c r="N1427">
        <v>4198000000</v>
      </c>
      <c r="O1427">
        <v>21594000000</v>
      </c>
      <c r="P1427">
        <v>1781000000</v>
      </c>
      <c r="Q1427">
        <v>-23000000</v>
      </c>
      <c r="R1427">
        <v>-288000000</v>
      </c>
      <c r="V1427">
        <f t="shared" si="54"/>
        <v>20381100000</v>
      </c>
      <c r="W1427">
        <f t="shared" si="55"/>
        <v>18779100000</v>
      </c>
    </row>
    <row r="1428" spans="1:23" x14ac:dyDescent="0.2">
      <c r="A1428">
        <f>IF(D1428="USD",VLOOKUP(VALUE(RIGHT(E1428,4)),'USD RUB'!$E:$F,2,FALSE),1)</f>
        <v>1</v>
      </c>
      <c r="B1428" s="4">
        <v>1</v>
      </c>
      <c r="C1428">
        <v>1000000</v>
      </c>
      <c r="D1428" t="s">
        <v>20</v>
      </c>
      <c r="E1428" s="1" t="s">
        <v>1444</v>
      </c>
      <c r="F1428">
        <v>364000000</v>
      </c>
      <c r="G1428">
        <v>11801000000</v>
      </c>
      <c r="H1428">
        <v>2938000000</v>
      </c>
      <c r="J1428">
        <v>20224000000</v>
      </c>
      <c r="K1428">
        <v>9230000000</v>
      </c>
      <c r="L1428">
        <v>6821000000</v>
      </c>
      <c r="N1428">
        <v>4173000000</v>
      </c>
      <c r="O1428">
        <v>15693000000</v>
      </c>
      <c r="P1428">
        <v>963000000</v>
      </c>
      <c r="Q1428">
        <v>-382000000</v>
      </c>
      <c r="R1428">
        <v>-552000000</v>
      </c>
      <c r="V1428">
        <f t="shared" si="54"/>
        <v>14616800000</v>
      </c>
      <c r="W1428">
        <f t="shared" si="55"/>
        <v>18844300000</v>
      </c>
    </row>
    <row r="1429" spans="1:23" x14ac:dyDescent="0.2">
      <c r="A1429">
        <f>IF(D1429="USD",VLOOKUP(VALUE(RIGHT(E1429,4)),'USD RUB'!$E:$F,2,FALSE),1)</f>
        <v>1</v>
      </c>
      <c r="B1429" s="4">
        <v>1</v>
      </c>
      <c r="C1429">
        <v>1000000</v>
      </c>
      <c r="D1429" t="s">
        <v>20</v>
      </c>
      <c r="E1429" s="1" t="s">
        <v>1445</v>
      </c>
      <c r="F1429">
        <v>751000000</v>
      </c>
      <c r="G1429">
        <v>11260000000</v>
      </c>
      <c r="H1429">
        <v>2813000000</v>
      </c>
      <c r="J1429">
        <v>19515000000</v>
      </c>
      <c r="K1429">
        <v>8656000000</v>
      </c>
      <c r="L1429">
        <v>6439000000</v>
      </c>
      <c r="N1429">
        <v>4420000000</v>
      </c>
      <c r="O1429">
        <v>10811000000</v>
      </c>
      <c r="P1429">
        <v>787000000</v>
      </c>
      <c r="Q1429">
        <v>-182000000</v>
      </c>
      <c r="R1429">
        <v>-304000000</v>
      </c>
      <c r="V1429">
        <f t="shared" si="54"/>
        <v>9749400000</v>
      </c>
      <c r="W1429">
        <f t="shared" si="55"/>
        <v>18003200000</v>
      </c>
    </row>
    <row r="1430" spans="1:23" x14ac:dyDescent="0.2">
      <c r="A1430">
        <f>IF(D1430="USD",VLOOKUP(VALUE(RIGHT(E1430,4)),'USD RUB'!$E:$F,2,FALSE),1)</f>
        <v>1</v>
      </c>
      <c r="B1430" s="4">
        <v>1</v>
      </c>
      <c r="C1430">
        <v>1000000</v>
      </c>
      <c r="D1430" t="s">
        <v>20</v>
      </c>
      <c r="E1430" s="1" t="s">
        <v>1446</v>
      </c>
      <c r="F1430">
        <v>906300000</v>
      </c>
      <c r="G1430">
        <v>11109000000</v>
      </c>
      <c r="H1430">
        <v>2809900000</v>
      </c>
      <c r="J1430">
        <v>19363800000</v>
      </c>
      <c r="K1430">
        <v>11162300000</v>
      </c>
      <c r="L1430">
        <v>3178900000</v>
      </c>
      <c r="N1430">
        <v>5022500000</v>
      </c>
      <c r="O1430">
        <v>5291900000</v>
      </c>
      <c r="P1430">
        <v>324000000</v>
      </c>
      <c r="Q1430">
        <v>246600000</v>
      </c>
      <c r="R1430">
        <v>205900000</v>
      </c>
      <c r="V1430" t="str">
        <f t="shared" si="54"/>
        <v/>
      </c>
      <c r="W1430" t="str">
        <f t="shared" si="55"/>
        <v/>
      </c>
    </row>
    <row r="1431" spans="1:23" x14ac:dyDescent="0.2">
      <c r="A1431">
        <f>IF(D1431="USD",VLOOKUP(VALUE(RIGHT(E1431,4)),'USD RUB'!$E:$F,2,FALSE),1)</f>
        <v>1</v>
      </c>
      <c r="B1431" s="4">
        <v>1</v>
      </c>
      <c r="C1431">
        <v>1000000</v>
      </c>
      <c r="D1431" t="s">
        <v>20</v>
      </c>
      <c r="E1431" s="1" t="s">
        <v>1447</v>
      </c>
      <c r="F1431">
        <v>1021200000</v>
      </c>
      <c r="G1431">
        <v>10508400000</v>
      </c>
      <c r="H1431">
        <v>2858600000</v>
      </c>
      <c r="J1431">
        <v>18779100000</v>
      </c>
      <c r="K1431">
        <v>7980600000</v>
      </c>
      <c r="L1431">
        <v>5982000000</v>
      </c>
      <c r="N1431">
        <v>4816600000</v>
      </c>
      <c r="O1431">
        <v>20381100000</v>
      </c>
      <c r="P1431">
        <v>1261400000</v>
      </c>
      <c r="Q1431">
        <v>-39100000</v>
      </c>
      <c r="R1431">
        <v>-432600000</v>
      </c>
      <c r="V1431" t="str">
        <f t="shared" si="54"/>
        <v/>
      </c>
      <c r="W1431" t="str">
        <f t="shared" si="55"/>
        <v/>
      </c>
    </row>
    <row r="1432" spans="1:23" x14ac:dyDescent="0.2">
      <c r="A1432">
        <f>IF(D1432="USD",VLOOKUP(VALUE(RIGHT(E1432,4)),'USD RUB'!$E:$F,2,FALSE),1)</f>
        <v>1</v>
      </c>
      <c r="B1432" s="4">
        <v>1</v>
      </c>
      <c r="C1432">
        <v>1000000</v>
      </c>
      <c r="D1432" t="s">
        <v>20</v>
      </c>
      <c r="E1432" s="1" t="s">
        <v>1448</v>
      </c>
      <c r="F1432">
        <v>1111000000</v>
      </c>
      <c r="G1432">
        <v>10621900000</v>
      </c>
      <c r="H1432">
        <v>2834500000</v>
      </c>
      <c r="J1432">
        <v>18844300000</v>
      </c>
      <c r="K1432">
        <v>8417500000</v>
      </c>
      <c r="L1432">
        <v>5452000000</v>
      </c>
      <c r="N1432">
        <v>4974800000</v>
      </c>
      <c r="O1432">
        <v>14616800000</v>
      </c>
      <c r="P1432">
        <v>736500000</v>
      </c>
      <c r="Q1432">
        <v>-186900000</v>
      </c>
      <c r="R1432">
        <v>-420400000</v>
      </c>
      <c r="V1432" t="str">
        <f t="shared" si="54"/>
        <v/>
      </c>
      <c r="W1432" t="str">
        <f t="shared" si="55"/>
        <v/>
      </c>
    </row>
    <row r="1433" spans="1:23" x14ac:dyDescent="0.2">
      <c r="A1433">
        <f>IF(D1433="USD",VLOOKUP(VALUE(RIGHT(E1433,4)),'USD RUB'!$E:$F,2,FALSE),1)</f>
        <v>1</v>
      </c>
      <c r="B1433" s="4">
        <v>1</v>
      </c>
      <c r="C1433">
        <v>1000000</v>
      </c>
      <c r="D1433" t="s">
        <v>20</v>
      </c>
      <c r="E1433" s="1" t="s">
        <v>1449</v>
      </c>
      <c r="F1433">
        <v>567000000</v>
      </c>
      <c r="G1433">
        <v>9730300000</v>
      </c>
      <c r="H1433">
        <v>2883500000</v>
      </c>
      <c r="J1433">
        <v>18003200000</v>
      </c>
      <c r="K1433">
        <v>6924200000</v>
      </c>
      <c r="L1433">
        <v>5906700000</v>
      </c>
      <c r="N1433">
        <v>5172300000</v>
      </c>
      <c r="O1433">
        <v>9749400000</v>
      </c>
      <c r="P1433">
        <v>633300000</v>
      </c>
      <c r="Q1433">
        <v>-89400000</v>
      </c>
      <c r="R1433">
        <v>-546300000</v>
      </c>
      <c r="V1433" t="str">
        <f t="shared" ref="V1433:V1496" si="56">_xlfn.XLOOKUP(LEFT(E1433,LEN(E1433)-4)&amp;(VALUE(RIGHT(E1433,4))-1),$E:$E,$O:$O,"")</f>
        <v/>
      </c>
      <c r="W1433" t="str">
        <f t="shared" ref="W1433:W1496" si="57">_xlfn.XLOOKUP(LEFT(E1433,LEN(E1433)-4)&amp;(VALUE(RIGHT(E1433,4))-1),$E:$E,$J:$J,"")</f>
        <v/>
      </c>
    </row>
    <row r="1434" spans="1:23" x14ac:dyDescent="0.2">
      <c r="A1434">
        <f>IF(D1434="USD",VLOOKUP(VALUE(RIGHT(E1434,4)),'USD RUB'!$E:$F,2,FALSE),1)</f>
        <v>1</v>
      </c>
      <c r="B1434" s="4">
        <v>1</v>
      </c>
      <c r="C1434">
        <v>1000</v>
      </c>
      <c r="D1434" t="s">
        <v>20</v>
      </c>
      <c r="E1434" s="1" t="s">
        <v>1450</v>
      </c>
      <c r="F1434">
        <v>6073374000</v>
      </c>
      <c r="G1434">
        <v>34392116000</v>
      </c>
      <c r="H1434">
        <v>19023142000</v>
      </c>
      <c r="I1434">
        <v>735883000</v>
      </c>
      <c r="J1434">
        <v>57233855000</v>
      </c>
      <c r="K1434">
        <v>9251332000</v>
      </c>
      <c r="L1434">
        <v>13465939000</v>
      </c>
      <c r="M1434">
        <v>25377496000</v>
      </c>
      <c r="N1434">
        <v>34516584000</v>
      </c>
      <c r="O1434">
        <v>10047449000</v>
      </c>
      <c r="Q1434">
        <v>-7499986000</v>
      </c>
      <c r="R1434">
        <v>-7463887000</v>
      </c>
      <c r="S1434">
        <v>540317000</v>
      </c>
      <c r="T1434">
        <v>2463887000</v>
      </c>
      <c r="U1434">
        <v>-1978908000</v>
      </c>
      <c r="V1434">
        <f t="shared" si="56"/>
        <v>18266213000</v>
      </c>
      <c r="W1434">
        <f t="shared" si="57"/>
        <v>49721645000</v>
      </c>
    </row>
    <row r="1435" spans="1:23" x14ac:dyDescent="0.2">
      <c r="A1435">
        <f>IF(D1435="USD",VLOOKUP(VALUE(RIGHT(E1435,4)),'USD RUB'!$E:$F,2,FALSE),1)</f>
        <v>1</v>
      </c>
      <c r="B1435" s="4">
        <v>1</v>
      </c>
      <c r="C1435">
        <v>1000</v>
      </c>
      <c r="D1435" t="s">
        <v>20</v>
      </c>
      <c r="E1435" s="1" t="s">
        <v>1451</v>
      </c>
      <c r="F1435">
        <v>1445200000</v>
      </c>
      <c r="G1435">
        <v>37268933000</v>
      </c>
      <c r="H1435">
        <v>17413759000</v>
      </c>
      <c r="I1435">
        <v>791052000</v>
      </c>
      <c r="J1435">
        <v>58762478000</v>
      </c>
      <c r="K1435">
        <v>3899646000</v>
      </c>
      <c r="L1435">
        <v>12096726000</v>
      </c>
      <c r="M1435">
        <v>33707401000</v>
      </c>
      <c r="N1435">
        <v>42766106000</v>
      </c>
      <c r="O1435">
        <v>31545568000</v>
      </c>
      <c r="Q1435">
        <v>7750839000</v>
      </c>
      <c r="R1435">
        <v>7761778000</v>
      </c>
      <c r="S1435">
        <v>1378639000</v>
      </c>
      <c r="T1435">
        <v>12478330000</v>
      </c>
      <c r="U1435">
        <v>6177706000</v>
      </c>
      <c r="V1435">
        <f t="shared" si="56"/>
        <v>28480217000</v>
      </c>
      <c r="W1435">
        <f t="shared" si="57"/>
        <v>56785756000</v>
      </c>
    </row>
    <row r="1436" spans="1:23" x14ac:dyDescent="0.2">
      <c r="A1436">
        <f>IF(D1436="USD",VLOOKUP(VALUE(RIGHT(E1436,4)),'USD RUB'!$E:$F,2,FALSE),1)</f>
        <v>1</v>
      </c>
      <c r="B1436" s="4">
        <v>1</v>
      </c>
      <c r="C1436">
        <v>1000</v>
      </c>
      <c r="D1436" t="s">
        <v>20</v>
      </c>
      <c r="E1436" s="1" t="s">
        <v>1452</v>
      </c>
      <c r="F1436">
        <v>3106730000</v>
      </c>
      <c r="G1436">
        <v>30852167000</v>
      </c>
      <c r="H1436">
        <v>14344711000</v>
      </c>
      <c r="I1436">
        <v>776598000</v>
      </c>
      <c r="J1436">
        <v>49721645000</v>
      </c>
      <c r="K1436">
        <v>6972487000</v>
      </c>
      <c r="L1436">
        <v>6253389000</v>
      </c>
      <c r="M1436">
        <v>27132034000</v>
      </c>
      <c r="N1436">
        <v>36495769000</v>
      </c>
      <c r="O1436">
        <v>18266213000</v>
      </c>
      <c r="Q1436">
        <v>-1428674000</v>
      </c>
      <c r="R1436">
        <v>-1415901000</v>
      </c>
      <c r="S1436">
        <v>843947000</v>
      </c>
      <c r="T1436">
        <v>7378680000</v>
      </c>
      <c r="U1436">
        <v>-3546259000</v>
      </c>
      <c r="V1436">
        <f t="shared" si="56"/>
        <v>12913154000</v>
      </c>
      <c r="W1436">
        <f t="shared" si="57"/>
        <v>51141353000</v>
      </c>
    </row>
    <row r="1437" spans="1:23" x14ac:dyDescent="0.2">
      <c r="A1437">
        <f>IF(D1437="USD",VLOOKUP(VALUE(RIGHT(E1437,4)),'USD RUB'!$E:$F,2,FALSE),1)</f>
        <v>1</v>
      </c>
      <c r="B1437" s="4">
        <v>1</v>
      </c>
      <c r="C1437">
        <v>1000</v>
      </c>
      <c r="D1437" t="s">
        <v>20</v>
      </c>
      <c r="E1437" s="1" t="s">
        <v>1453</v>
      </c>
      <c r="F1437">
        <v>885348000</v>
      </c>
      <c r="G1437">
        <v>40750675000</v>
      </c>
      <c r="H1437">
        <v>11683324000</v>
      </c>
      <c r="I1437">
        <v>780383000</v>
      </c>
      <c r="J1437">
        <v>56785756000</v>
      </c>
      <c r="K1437">
        <v>12910213000</v>
      </c>
      <c r="L1437">
        <v>4174036000</v>
      </c>
      <c r="M1437">
        <v>30293171000</v>
      </c>
      <c r="N1437">
        <v>39701507000</v>
      </c>
      <c r="O1437">
        <v>28480217000</v>
      </c>
      <c r="Q1437">
        <v>15957966000</v>
      </c>
      <c r="R1437">
        <v>15471194000</v>
      </c>
      <c r="S1437">
        <v>1250526000</v>
      </c>
      <c r="T1437">
        <v>12865382000</v>
      </c>
      <c r="U1437">
        <v>-4630205000</v>
      </c>
      <c r="V1437">
        <f t="shared" si="56"/>
        <v>23500965000</v>
      </c>
      <c r="W1437">
        <f t="shared" si="57"/>
        <v>42415376000</v>
      </c>
    </row>
    <row r="1438" spans="1:23" x14ac:dyDescent="0.2">
      <c r="A1438">
        <f>IF(D1438="USD",VLOOKUP(VALUE(RIGHT(E1438,4)),'USD RUB'!$E:$F,2,FALSE),1)</f>
        <v>1</v>
      </c>
      <c r="B1438" s="4">
        <v>1</v>
      </c>
      <c r="C1438">
        <v>1000</v>
      </c>
      <c r="D1438" t="s">
        <v>20</v>
      </c>
      <c r="E1438" s="1" t="s">
        <v>1454</v>
      </c>
      <c r="F1438">
        <v>2236416000</v>
      </c>
      <c r="G1438">
        <v>37101440000</v>
      </c>
      <c r="H1438">
        <v>10336979000</v>
      </c>
      <c r="I1438">
        <v>671753000</v>
      </c>
      <c r="J1438">
        <v>51141353000</v>
      </c>
      <c r="K1438">
        <v>9852536000</v>
      </c>
      <c r="L1438">
        <v>6248650000</v>
      </c>
      <c r="M1438">
        <v>26501157000</v>
      </c>
      <c r="N1438">
        <v>35040166000</v>
      </c>
      <c r="O1438">
        <v>12913154000</v>
      </c>
      <c r="Q1438">
        <v>8665066000</v>
      </c>
      <c r="R1438">
        <v>8638420000</v>
      </c>
      <c r="S1438">
        <v>574259000</v>
      </c>
      <c r="T1438">
        <v>6283019000</v>
      </c>
      <c r="U1438">
        <v>-2130601000</v>
      </c>
      <c r="V1438">
        <f t="shared" si="56"/>
        <v>14311107000</v>
      </c>
      <c r="W1438">
        <f t="shared" si="57"/>
        <v>35731019000</v>
      </c>
    </row>
    <row r="1439" spans="1:23" x14ac:dyDescent="0.2">
      <c r="A1439">
        <f>IF(D1439="USD",VLOOKUP(VALUE(RIGHT(E1439,4)),'USD RUB'!$E:$F,2,FALSE),1)</f>
        <v>1</v>
      </c>
      <c r="B1439" s="4">
        <v>1</v>
      </c>
      <c r="C1439">
        <v>1000</v>
      </c>
      <c r="D1439" t="s">
        <v>20</v>
      </c>
      <c r="E1439" s="1" t="s">
        <v>1455</v>
      </c>
      <c r="F1439">
        <v>339130000</v>
      </c>
      <c r="G1439">
        <v>30537820000</v>
      </c>
      <c r="H1439">
        <v>9638606000</v>
      </c>
      <c r="I1439">
        <v>445522000</v>
      </c>
      <c r="J1439">
        <v>42415376000</v>
      </c>
      <c r="K1439">
        <v>6057423000</v>
      </c>
      <c r="L1439">
        <v>9083486000</v>
      </c>
      <c r="M1439">
        <v>18726211000</v>
      </c>
      <c r="N1439">
        <v>27274467000</v>
      </c>
      <c r="O1439">
        <v>23500965000</v>
      </c>
      <c r="Q1439">
        <v>12256209000</v>
      </c>
      <c r="R1439">
        <v>11927393000</v>
      </c>
      <c r="S1439">
        <v>929337000</v>
      </c>
      <c r="T1439">
        <v>12932353000</v>
      </c>
      <c r="U1439">
        <v>-3521374000</v>
      </c>
      <c r="V1439">
        <f t="shared" si="56"/>
        <v>15904080000</v>
      </c>
      <c r="W1439">
        <f t="shared" si="57"/>
        <v>28887182000</v>
      </c>
    </row>
    <row r="1440" spans="1:23" x14ac:dyDescent="0.2">
      <c r="A1440">
        <f>IF(D1440="USD",VLOOKUP(VALUE(RIGHT(E1440,4)),'USD RUB'!$E:$F,2,FALSE),1)</f>
        <v>1</v>
      </c>
      <c r="B1440" s="4">
        <v>1</v>
      </c>
      <c r="C1440">
        <v>1000</v>
      </c>
      <c r="D1440" t="s">
        <v>20</v>
      </c>
      <c r="E1440" s="1" t="s">
        <v>1456</v>
      </c>
      <c r="F1440">
        <v>2676137000</v>
      </c>
      <c r="G1440">
        <v>25069584000</v>
      </c>
      <c r="H1440">
        <v>9430451000</v>
      </c>
      <c r="I1440">
        <v>534360000</v>
      </c>
      <c r="J1440">
        <v>35731019000</v>
      </c>
      <c r="K1440">
        <v>3742469000</v>
      </c>
      <c r="L1440">
        <v>6063622000</v>
      </c>
      <c r="M1440">
        <v>17682176000</v>
      </c>
      <c r="N1440">
        <v>25924928000</v>
      </c>
      <c r="O1440">
        <v>14311107000</v>
      </c>
      <c r="Q1440">
        <v>8291686000</v>
      </c>
      <c r="R1440">
        <v>8280555000</v>
      </c>
      <c r="S1440">
        <v>451639000</v>
      </c>
      <c r="T1440">
        <v>8233878000</v>
      </c>
      <c r="U1440">
        <v>-1679457000</v>
      </c>
      <c r="V1440">
        <f t="shared" si="56"/>
        <v>6717783000</v>
      </c>
      <c r="W1440">
        <f t="shared" si="57"/>
        <v>24052301000</v>
      </c>
    </row>
    <row r="1441" spans="1:23" x14ac:dyDescent="0.2">
      <c r="A1441">
        <f>IF(D1441="USD",VLOOKUP(VALUE(RIGHT(E1441,4)),'USD RUB'!$E:$F,2,FALSE),1)</f>
        <v>1</v>
      </c>
      <c r="B1441" s="4">
        <v>1</v>
      </c>
      <c r="C1441">
        <v>1000</v>
      </c>
      <c r="D1441" t="s">
        <v>20</v>
      </c>
      <c r="E1441" s="1" t="s">
        <v>1457</v>
      </c>
      <c r="F1441">
        <v>298730000</v>
      </c>
      <c r="G1441">
        <v>19018477000</v>
      </c>
      <c r="H1441">
        <v>8771811000</v>
      </c>
      <c r="I1441">
        <v>539314000</v>
      </c>
      <c r="J1441">
        <v>28887182000</v>
      </c>
      <c r="K1441">
        <v>5182290000</v>
      </c>
      <c r="L1441">
        <v>4997654000</v>
      </c>
      <c r="M1441">
        <v>10094154000</v>
      </c>
      <c r="N1441">
        <v>18707238000</v>
      </c>
      <c r="O1441">
        <v>15904080000</v>
      </c>
      <c r="Q1441">
        <v>8596775000</v>
      </c>
      <c r="R1441">
        <v>8493303000</v>
      </c>
      <c r="S1441">
        <v>779822000</v>
      </c>
      <c r="T1441">
        <v>6799977000</v>
      </c>
      <c r="U1441">
        <v>-3203721000</v>
      </c>
      <c r="V1441">
        <f t="shared" si="56"/>
        <v>8335917000</v>
      </c>
      <c r="W1441">
        <f t="shared" si="57"/>
        <v>19813427000</v>
      </c>
    </row>
    <row r="1442" spans="1:23" x14ac:dyDescent="0.2">
      <c r="A1442">
        <f>IF(D1442="USD",VLOOKUP(VALUE(RIGHT(E1442,4)),'USD RUB'!$E:$F,2,FALSE),1)</f>
        <v>1</v>
      </c>
      <c r="B1442" s="4">
        <v>1</v>
      </c>
      <c r="C1442">
        <v>1000</v>
      </c>
      <c r="D1442" t="s">
        <v>20</v>
      </c>
      <c r="E1442" s="1" t="s">
        <v>1458</v>
      </c>
      <c r="F1442">
        <v>457283000</v>
      </c>
      <c r="G1442">
        <v>16648515000</v>
      </c>
      <c r="H1442">
        <v>7895534000</v>
      </c>
      <c r="I1442">
        <v>494123000</v>
      </c>
      <c r="J1442">
        <v>25382348000</v>
      </c>
      <c r="K1442">
        <v>5351702000</v>
      </c>
      <c r="L1442">
        <v>4514002000</v>
      </c>
      <c r="M1442">
        <v>6756530000</v>
      </c>
      <c r="N1442">
        <v>15516644000</v>
      </c>
      <c r="O1442">
        <v>9690371000</v>
      </c>
      <c r="Q1442">
        <v>4915204000</v>
      </c>
      <c r="R1442">
        <v>4809054000</v>
      </c>
      <c r="S1442">
        <v>533680000</v>
      </c>
      <c r="T1442">
        <v>3872479000</v>
      </c>
      <c r="U1442">
        <v>-2107046000</v>
      </c>
      <c r="V1442" t="str">
        <f t="shared" si="56"/>
        <v/>
      </c>
      <c r="W1442" t="str">
        <f t="shared" si="57"/>
        <v/>
      </c>
    </row>
    <row r="1443" spans="1:23" x14ac:dyDescent="0.2">
      <c r="A1443">
        <f>IF(D1443="USD",VLOOKUP(VALUE(RIGHT(E1443,4)),'USD RUB'!$E:$F,2,FALSE),1)</f>
        <v>1</v>
      </c>
      <c r="B1443" s="4">
        <v>1</v>
      </c>
      <c r="C1443">
        <v>1000</v>
      </c>
      <c r="D1443" t="s">
        <v>20</v>
      </c>
      <c r="E1443" s="1" t="s">
        <v>1459</v>
      </c>
      <c r="F1443">
        <v>2592821000</v>
      </c>
      <c r="G1443">
        <v>15231079000</v>
      </c>
      <c r="H1443">
        <v>7779006000</v>
      </c>
      <c r="I1443">
        <v>493335000</v>
      </c>
      <c r="J1443">
        <v>24052301000</v>
      </c>
      <c r="K1443">
        <v>5766763000</v>
      </c>
      <c r="L1443">
        <v>5287866000</v>
      </c>
      <c r="M1443">
        <v>4259296000</v>
      </c>
      <c r="N1443">
        <v>12997672000</v>
      </c>
      <c r="O1443">
        <v>6717783000</v>
      </c>
      <c r="Q1443">
        <v>2043471000</v>
      </c>
      <c r="R1443">
        <v>1961275000</v>
      </c>
      <c r="S1443">
        <v>387729000</v>
      </c>
      <c r="T1443">
        <v>2428128000</v>
      </c>
      <c r="U1443">
        <v>-1918178000</v>
      </c>
      <c r="V1443">
        <f t="shared" si="56"/>
        <v>5255009000</v>
      </c>
      <c r="W1443">
        <f t="shared" si="57"/>
        <v>13479624000</v>
      </c>
    </row>
    <row r="1444" spans="1:23" x14ac:dyDescent="0.2">
      <c r="A1444">
        <f>IF(D1444="USD",VLOOKUP(VALUE(RIGHT(E1444,4)),'USD RUB'!$E:$F,2,FALSE),1)</f>
        <v>1</v>
      </c>
      <c r="B1444" s="4">
        <v>1</v>
      </c>
      <c r="C1444">
        <v>1000</v>
      </c>
      <c r="D1444" t="s">
        <v>20</v>
      </c>
      <c r="E1444" s="1" t="s">
        <v>1460</v>
      </c>
      <c r="F1444">
        <v>627884000</v>
      </c>
      <c r="G1444">
        <v>12552536000</v>
      </c>
      <c r="H1444">
        <v>6369612000</v>
      </c>
      <c r="I1444">
        <v>441672000</v>
      </c>
      <c r="J1444">
        <v>19813427000</v>
      </c>
      <c r="K1444">
        <v>6354700000</v>
      </c>
      <c r="L1444">
        <v>1732331000</v>
      </c>
      <c r="M1444">
        <v>3198756000</v>
      </c>
      <c r="N1444">
        <v>11726396000</v>
      </c>
      <c r="O1444">
        <v>8335917000</v>
      </c>
      <c r="Q1444">
        <v>3148814000</v>
      </c>
      <c r="R1444">
        <v>3112629000</v>
      </c>
      <c r="S1444">
        <v>498747000</v>
      </c>
      <c r="T1444">
        <v>3374601000</v>
      </c>
      <c r="U1444">
        <v>-1840014000</v>
      </c>
      <c r="V1444">
        <f t="shared" si="56"/>
        <v>8798302000</v>
      </c>
      <c r="W1444">
        <f t="shared" si="57"/>
        <v>14035540000</v>
      </c>
    </row>
    <row r="1445" spans="1:23" x14ac:dyDescent="0.2">
      <c r="A1445">
        <f>IF(D1445="USD",VLOOKUP(VALUE(RIGHT(E1445,4)),'USD RUB'!$E:$F,2,FALSE),1)</f>
        <v>1</v>
      </c>
      <c r="B1445" s="4">
        <v>1</v>
      </c>
      <c r="C1445">
        <v>1000</v>
      </c>
      <c r="D1445" t="s">
        <v>20</v>
      </c>
      <c r="E1445" s="1" t="s">
        <v>1461</v>
      </c>
      <c r="F1445">
        <v>1241992000</v>
      </c>
      <c r="G1445">
        <v>6933617000</v>
      </c>
      <c r="H1445">
        <v>5954621000</v>
      </c>
      <c r="I1445">
        <v>49961000</v>
      </c>
      <c r="J1445">
        <v>13479624000</v>
      </c>
      <c r="K1445">
        <v>3706725000</v>
      </c>
      <c r="L1445">
        <v>1203213000</v>
      </c>
      <c r="M1445">
        <v>125843000</v>
      </c>
      <c r="N1445">
        <v>8569686000</v>
      </c>
      <c r="O1445">
        <v>5255009000</v>
      </c>
      <c r="Q1445">
        <v>-374322000</v>
      </c>
      <c r="R1445">
        <v>-401881000</v>
      </c>
      <c r="S1445">
        <v>240009000</v>
      </c>
      <c r="T1445">
        <v>2296719000</v>
      </c>
      <c r="U1445">
        <v>-1232253000</v>
      </c>
      <c r="V1445">
        <f t="shared" si="56"/>
        <v>4853687000</v>
      </c>
      <c r="W1445">
        <f t="shared" si="57"/>
        <v>11554926000</v>
      </c>
    </row>
    <row r="1446" spans="1:23" x14ac:dyDescent="0.2">
      <c r="A1446">
        <f>IF(D1446="USD",VLOOKUP(VALUE(RIGHT(E1446,4)),'USD RUB'!$E:$F,2,FALSE),1)</f>
        <v>1</v>
      </c>
      <c r="B1446" s="4">
        <v>1</v>
      </c>
      <c r="C1446">
        <v>1000</v>
      </c>
      <c r="D1446" t="s">
        <v>20</v>
      </c>
      <c r="E1446" s="1" t="s">
        <v>1462</v>
      </c>
      <c r="F1446">
        <v>84981000</v>
      </c>
      <c r="G1446">
        <v>8459729000</v>
      </c>
      <c r="H1446">
        <v>4783866000</v>
      </c>
      <c r="I1446">
        <v>49045000</v>
      </c>
      <c r="J1446">
        <v>14035540000</v>
      </c>
      <c r="K1446">
        <v>2897705000</v>
      </c>
      <c r="L1446">
        <v>2073174000</v>
      </c>
      <c r="M1446">
        <v>527408000</v>
      </c>
      <c r="N1446">
        <v>9064661000</v>
      </c>
      <c r="O1446">
        <v>8798302000</v>
      </c>
      <c r="Q1446">
        <v>3284574000</v>
      </c>
      <c r="R1446">
        <v>3257979000</v>
      </c>
      <c r="S1446">
        <v>435034000</v>
      </c>
      <c r="T1446">
        <v>3431909000</v>
      </c>
      <c r="U1446">
        <v>-2536894000</v>
      </c>
      <c r="V1446">
        <f t="shared" si="56"/>
        <v>3211572000</v>
      </c>
      <c r="W1446">
        <f t="shared" si="57"/>
        <v>10952766000</v>
      </c>
    </row>
    <row r="1447" spans="1:23" x14ac:dyDescent="0.2">
      <c r="A1447">
        <f>IF(D1447="USD",VLOOKUP(VALUE(RIGHT(E1447,4)),'USD RUB'!$E:$F,2,FALSE),1)</f>
        <v>1</v>
      </c>
      <c r="B1447" s="4">
        <v>1</v>
      </c>
      <c r="C1447">
        <v>1000</v>
      </c>
      <c r="D1447" t="s">
        <v>20</v>
      </c>
      <c r="E1447" s="1" t="s">
        <v>1463</v>
      </c>
      <c r="F1447">
        <v>1063806000</v>
      </c>
      <c r="G1447">
        <v>6883935000</v>
      </c>
      <c r="H1447">
        <v>4133753000</v>
      </c>
      <c r="I1447">
        <v>47508000</v>
      </c>
      <c r="J1447">
        <v>11554926000</v>
      </c>
      <c r="K1447">
        <v>1358336000</v>
      </c>
      <c r="L1447">
        <v>3277214000</v>
      </c>
      <c r="M1447">
        <v>-1767170000</v>
      </c>
      <c r="N1447">
        <v>6919376000</v>
      </c>
      <c r="O1447">
        <v>4853687000</v>
      </c>
      <c r="Q1447">
        <v>1044678000</v>
      </c>
      <c r="R1447">
        <v>1007666000</v>
      </c>
      <c r="S1447">
        <v>191384000</v>
      </c>
      <c r="T1447">
        <v>2121444000</v>
      </c>
      <c r="U1447">
        <v>-1433177000</v>
      </c>
      <c r="V1447">
        <f t="shared" si="56"/>
        <v>304747000</v>
      </c>
      <c r="W1447">
        <f t="shared" si="57"/>
        <v>7246277000</v>
      </c>
    </row>
    <row r="1448" spans="1:23" x14ac:dyDescent="0.2">
      <c r="A1448">
        <f>IF(D1448="USD",VLOOKUP(VALUE(RIGHT(E1448,4)),'USD RUB'!$E:$F,2,FALSE),1)</f>
        <v>1</v>
      </c>
      <c r="B1448" s="4">
        <v>1</v>
      </c>
      <c r="C1448">
        <v>1000</v>
      </c>
      <c r="D1448" t="s">
        <v>20</v>
      </c>
      <c r="E1448" s="1" t="s">
        <v>1464</v>
      </c>
      <c r="F1448">
        <v>104702000</v>
      </c>
      <c r="G1448">
        <v>7136074000</v>
      </c>
      <c r="H1448">
        <v>3064930000</v>
      </c>
      <c r="I1448">
        <v>49055000</v>
      </c>
      <c r="J1448">
        <v>10952766000</v>
      </c>
      <c r="K1448">
        <v>1280882000</v>
      </c>
      <c r="L1448">
        <v>3669030000</v>
      </c>
      <c r="M1448">
        <v>-3534702000</v>
      </c>
      <c r="N1448">
        <v>6002854000</v>
      </c>
      <c r="O1448">
        <v>3211572000</v>
      </c>
      <c r="Q1448">
        <v>2318671000</v>
      </c>
      <c r="R1448">
        <v>2290940000</v>
      </c>
      <c r="S1448">
        <v>164766000</v>
      </c>
      <c r="T1448">
        <v>973603000</v>
      </c>
      <c r="U1448">
        <v>-1274191000</v>
      </c>
      <c r="V1448">
        <f t="shared" si="56"/>
        <v>5022087000</v>
      </c>
      <c r="W1448">
        <f t="shared" si="57"/>
        <v>5546745000</v>
      </c>
    </row>
    <row r="1449" spans="1:23" x14ac:dyDescent="0.2">
      <c r="A1449">
        <f>IF(D1449="USD",VLOOKUP(VALUE(RIGHT(E1449,4)),'USD RUB'!$E:$F,2,FALSE),1)</f>
        <v>1</v>
      </c>
      <c r="B1449" s="4">
        <v>1</v>
      </c>
      <c r="C1449">
        <v>1000</v>
      </c>
      <c r="D1449" t="s">
        <v>20</v>
      </c>
      <c r="E1449" s="1" t="s">
        <v>1465</v>
      </c>
      <c r="F1449">
        <v>207033000</v>
      </c>
      <c r="G1449">
        <v>4167673000</v>
      </c>
      <c r="H1449">
        <v>2457432000</v>
      </c>
      <c r="I1449">
        <v>15016000</v>
      </c>
      <c r="J1449">
        <v>7246277000</v>
      </c>
      <c r="K1449">
        <v>690622000</v>
      </c>
      <c r="L1449">
        <v>2868225000</v>
      </c>
      <c r="M1449">
        <v>-5711047000</v>
      </c>
      <c r="N1449">
        <v>3687430000</v>
      </c>
      <c r="O1449">
        <v>304747000</v>
      </c>
      <c r="Q1449">
        <v>176101000</v>
      </c>
      <c r="R1449">
        <v>153775000</v>
      </c>
      <c r="S1449">
        <v>21728000</v>
      </c>
      <c r="T1449">
        <v>-41714000</v>
      </c>
      <c r="U1449">
        <v>-567076000</v>
      </c>
      <c r="V1449">
        <f t="shared" si="56"/>
        <v>3343353000</v>
      </c>
      <c r="W1449">
        <f t="shared" si="57"/>
        <v>4118463000</v>
      </c>
    </row>
    <row r="1450" spans="1:23" x14ac:dyDescent="0.2">
      <c r="A1450">
        <f>IF(D1450="USD",VLOOKUP(VALUE(RIGHT(E1450,4)),'USD RUB'!$E:$F,2,FALSE),1)</f>
        <v>1</v>
      </c>
      <c r="B1450" s="4">
        <v>1</v>
      </c>
      <c r="C1450">
        <v>1000</v>
      </c>
      <c r="D1450" t="s">
        <v>20</v>
      </c>
      <c r="E1450" s="1" t="s">
        <v>1466</v>
      </c>
      <c r="F1450">
        <v>1094110000</v>
      </c>
      <c r="G1450">
        <v>3307241000</v>
      </c>
      <c r="H1450">
        <v>2019317000</v>
      </c>
      <c r="I1450">
        <v>13458000</v>
      </c>
      <c r="J1450">
        <v>5546745000</v>
      </c>
      <c r="K1450">
        <v>880456000</v>
      </c>
      <c r="L1450">
        <v>1152441000</v>
      </c>
      <c r="M1450">
        <v>-5864822000</v>
      </c>
      <c r="N1450">
        <v>3513848000</v>
      </c>
      <c r="O1450">
        <v>5022087000</v>
      </c>
      <c r="Q1450">
        <v>372997000</v>
      </c>
      <c r="R1450">
        <v>376252000</v>
      </c>
      <c r="S1450">
        <v>237180000</v>
      </c>
      <c r="T1450">
        <v>2061385000</v>
      </c>
      <c r="U1450">
        <v>-571942000</v>
      </c>
      <c r="V1450">
        <f t="shared" si="56"/>
        <v>2475528000</v>
      </c>
      <c r="W1450">
        <f t="shared" si="57"/>
        <v>5944949000</v>
      </c>
    </row>
    <row r="1451" spans="1:23" x14ac:dyDescent="0.2">
      <c r="A1451">
        <f>IF(D1451="USD",VLOOKUP(VALUE(RIGHT(E1451,4)),'USD RUB'!$E:$F,2,FALSE),1)</f>
        <v>1</v>
      </c>
      <c r="B1451" s="4">
        <v>1</v>
      </c>
      <c r="C1451">
        <v>1000</v>
      </c>
      <c r="D1451" t="s">
        <v>20</v>
      </c>
      <c r="E1451" s="1" t="s">
        <v>1467</v>
      </c>
      <c r="F1451">
        <v>149774000</v>
      </c>
      <c r="G1451">
        <v>2297278000</v>
      </c>
      <c r="H1451">
        <v>1804162000</v>
      </c>
      <c r="I1451">
        <v>11085000</v>
      </c>
      <c r="J1451">
        <v>4118463000</v>
      </c>
      <c r="K1451">
        <v>1565140000</v>
      </c>
      <c r="L1451">
        <v>128941000</v>
      </c>
      <c r="M1451">
        <v>-6183418000</v>
      </c>
      <c r="N1451">
        <v>2424382000</v>
      </c>
      <c r="O1451">
        <v>3343353000</v>
      </c>
      <c r="Q1451">
        <v>69118000</v>
      </c>
      <c r="R1451">
        <v>57656000</v>
      </c>
      <c r="S1451">
        <v>152863000</v>
      </c>
      <c r="U1451">
        <v>-203094000</v>
      </c>
      <c r="V1451">
        <f t="shared" si="56"/>
        <v>295784000</v>
      </c>
      <c r="W1451">
        <f t="shared" si="57"/>
        <v>7033641000</v>
      </c>
    </row>
    <row r="1452" spans="1:23" x14ac:dyDescent="0.2">
      <c r="A1452">
        <f>IF(D1452="USD",VLOOKUP(VALUE(RIGHT(E1452,4)),'USD RUB'!$E:$F,2,FALSE),1)</f>
        <v>1</v>
      </c>
      <c r="B1452" s="4">
        <v>1</v>
      </c>
      <c r="C1452">
        <v>1000</v>
      </c>
      <c r="D1452" t="s">
        <v>20</v>
      </c>
      <c r="E1452" s="1" t="s">
        <v>1468</v>
      </c>
      <c r="F1452">
        <v>33887000</v>
      </c>
      <c r="G1452">
        <v>4209359000</v>
      </c>
      <c r="H1452">
        <v>1722708000</v>
      </c>
      <c r="J1452">
        <v>5944949000</v>
      </c>
      <c r="K1452">
        <v>3231349000</v>
      </c>
      <c r="L1452">
        <v>346874000</v>
      </c>
      <c r="M1452">
        <v>-6241074000</v>
      </c>
      <c r="N1452">
        <v>2366726000</v>
      </c>
      <c r="O1452">
        <v>2475528000</v>
      </c>
      <c r="Q1452">
        <v>2190646000</v>
      </c>
      <c r="R1452">
        <v>2133074000</v>
      </c>
      <c r="U1452">
        <v>-150070000</v>
      </c>
      <c r="V1452" t="str">
        <f t="shared" si="56"/>
        <v/>
      </c>
      <c r="W1452" t="str">
        <f t="shared" si="57"/>
        <v/>
      </c>
    </row>
    <row r="1453" spans="1:23" x14ac:dyDescent="0.2">
      <c r="A1453">
        <f>IF(D1453="USD",VLOOKUP(VALUE(RIGHT(E1453,4)),'USD RUB'!$E:$F,2,FALSE),1)</f>
        <v>1</v>
      </c>
      <c r="B1453" s="4">
        <v>1</v>
      </c>
      <c r="C1453">
        <v>1000</v>
      </c>
      <c r="D1453" t="s">
        <v>20</v>
      </c>
      <c r="E1453" s="1" t="s">
        <v>1469</v>
      </c>
      <c r="F1453">
        <v>20655000</v>
      </c>
      <c r="G1453">
        <v>5258825000</v>
      </c>
      <c r="H1453">
        <v>1704314000</v>
      </c>
      <c r="J1453">
        <v>7033641000</v>
      </c>
      <c r="K1453">
        <v>8350368000</v>
      </c>
      <c r="M1453">
        <v>-4737058000</v>
      </c>
      <c r="N1453">
        <v>-1316727000</v>
      </c>
      <c r="O1453">
        <v>295784000</v>
      </c>
      <c r="Q1453">
        <v>-64614000</v>
      </c>
      <c r="R1453">
        <v>-87963000</v>
      </c>
      <c r="U1453">
        <v>-35332000</v>
      </c>
      <c r="V1453" t="str">
        <f t="shared" si="56"/>
        <v/>
      </c>
      <c r="W1453" t="str">
        <f t="shared" si="57"/>
        <v/>
      </c>
    </row>
    <row r="1454" spans="1:23" x14ac:dyDescent="0.2">
      <c r="A1454">
        <f>IF(D1454="USD",VLOOKUP(VALUE(RIGHT(E1454,4)),'USD RUB'!$E:$F,2,FALSE),1)</f>
        <v>1</v>
      </c>
      <c r="B1454" s="4">
        <v>1</v>
      </c>
      <c r="C1454">
        <v>1000</v>
      </c>
      <c r="D1454" t="s">
        <v>20</v>
      </c>
      <c r="E1454" s="1" t="s">
        <v>1470</v>
      </c>
      <c r="F1454">
        <v>640894000</v>
      </c>
      <c r="G1454">
        <v>5187510000</v>
      </c>
      <c r="H1454">
        <v>444408000</v>
      </c>
      <c r="J1454">
        <v>5735042000</v>
      </c>
      <c r="K1454">
        <v>3934674000</v>
      </c>
      <c r="L1454">
        <v>2011332000</v>
      </c>
      <c r="N1454">
        <v>-210964000</v>
      </c>
      <c r="O1454">
        <v>16008257000</v>
      </c>
      <c r="Q1454">
        <v>-106560000</v>
      </c>
      <c r="R1454">
        <v>-102329000</v>
      </c>
      <c r="T1454">
        <v>62700000</v>
      </c>
      <c r="V1454">
        <f t="shared" si="56"/>
        <v>18557606000</v>
      </c>
      <c r="W1454">
        <f t="shared" si="57"/>
        <v>6670426000</v>
      </c>
    </row>
    <row r="1455" spans="1:23" x14ac:dyDescent="0.2">
      <c r="A1455">
        <f>IF(D1455="USD",VLOOKUP(VALUE(RIGHT(E1455,4)),'USD RUB'!$E:$F,2,FALSE),1)</f>
        <v>1</v>
      </c>
      <c r="B1455" s="4">
        <v>1</v>
      </c>
      <c r="C1455">
        <v>1000</v>
      </c>
      <c r="D1455" t="s">
        <v>20</v>
      </c>
      <c r="E1455" s="1" t="s">
        <v>1471</v>
      </c>
      <c r="F1455">
        <v>494737000</v>
      </c>
      <c r="G1455">
        <v>3726574000</v>
      </c>
      <c r="H1455">
        <v>1512865000</v>
      </c>
      <c r="J1455">
        <v>5472992000</v>
      </c>
      <c r="K1455">
        <v>4515928000</v>
      </c>
      <c r="L1455">
        <v>351891000</v>
      </c>
      <c r="N1455">
        <v>605173000</v>
      </c>
      <c r="O1455">
        <v>7607428000</v>
      </c>
      <c r="Q1455">
        <v>-321029000</v>
      </c>
      <c r="R1455">
        <v>-290603000</v>
      </c>
      <c r="T1455">
        <v>-68100000</v>
      </c>
      <c r="V1455">
        <f t="shared" si="56"/>
        <v>8623230000</v>
      </c>
      <c r="W1455">
        <f t="shared" si="57"/>
        <v>6013352000</v>
      </c>
    </row>
    <row r="1456" spans="1:23" x14ac:dyDescent="0.2">
      <c r="A1456">
        <f>IF(D1456="USD",VLOOKUP(VALUE(RIGHT(E1456,4)),'USD RUB'!$E:$F,2,FALSE),1)</f>
        <v>1</v>
      </c>
      <c r="B1456" s="4">
        <v>1</v>
      </c>
      <c r="C1456">
        <v>1000</v>
      </c>
      <c r="D1456" t="s">
        <v>20</v>
      </c>
      <c r="E1456" s="1" t="s">
        <v>1472</v>
      </c>
      <c r="F1456">
        <v>506443000</v>
      </c>
      <c r="G1456">
        <v>5074273000</v>
      </c>
      <c r="H1456">
        <v>1394084000</v>
      </c>
      <c r="J1456">
        <v>6670426000</v>
      </c>
      <c r="K1456">
        <v>5774650000</v>
      </c>
      <c r="N1456">
        <v>895776000</v>
      </c>
      <c r="O1456">
        <v>18557606000</v>
      </c>
      <c r="Q1456">
        <v>-453054000</v>
      </c>
      <c r="R1456">
        <v>-486649000</v>
      </c>
      <c r="T1456">
        <v>117100000</v>
      </c>
      <c r="V1456" t="str">
        <f t="shared" si="56"/>
        <v/>
      </c>
      <c r="W1456" t="str">
        <f t="shared" si="57"/>
        <v/>
      </c>
    </row>
    <row r="1457" spans="1:23" x14ac:dyDescent="0.2">
      <c r="A1457">
        <f>IF(D1457="USD",VLOOKUP(VALUE(RIGHT(E1457,4)),'USD RUB'!$E:$F,2,FALSE),1)</f>
        <v>1</v>
      </c>
      <c r="B1457" s="4">
        <v>1</v>
      </c>
      <c r="C1457">
        <v>1000</v>
      </c>
      <c r="D1457" t="s">
        <v>20</v>
      </c>
      <c r="E1457" s="1" t="s">
        <v>1473</v>
      </c>
      <c r="F1457">
        <v>453736000</v>
      </c>
      <c r="G1457">
        <v>4474997000</v>
      </c>
      <c r="H1457">
        <v>1323005000</v>
      </c>
      <c r="J1457">
        <v>6013352000</v>
      </c>
      <c r="K1457">
        <v>5010594000</v>
      </c>
      <c r="N1457">
        <v>1002758000</v>
      </c>
      <c r="O1457">
        <v>8623230000</v>
      </c>
      <c r="Q1457">
        <v>-418607000</v>
      </c>
      <c r="R1457">
        <v>-442684000</v>
      </c>
      <c r="T1457">
        <v>-265900000</v>
      </c>
      <c r="V1457" t="str">
        <f t="shared" si="56"/>
        <v/>
      </c>
      <c r="W1457" t="str">
        <f t="shared" si="57"/>
        <v/>
      </c>
    </row>
    <row r="1458" spans="1:23" x14ac:dyDescent="0.2">
      <c r="A1458">
        <f>IF(D1458="USD",VLOOKUP(VALUE(RIGHT(E1458,4)),'USD RUB'!$E:$F,2,FALSE),1)</f>
        <v>1</v>
      </c>
      <c r="B1458" s="4">
        <v>1</v>
      </c>
      <c r="C1458">
        <v>1000000</v>
      </c>
      <c r="D1458" t="s">
        <v>20</v>
      </c>
      <c r="E1458" s="1" t="s">
        <v>1474</v>
      </c>
      <c r="F1458">
        <v>18483000000</v>
      </c>
      <c r="G1458">
        <v>64703000000</v>
      </c>
      <c r="H1458">
        <v>34371000000</v>
      </c>
      <c r="I1458">
        <v>11242000000</v>
      </c>
      <c r="J1458">
        <v>113018000000</v>
      </c>
      <c r="K1458">
        <v>40315000000</v>
      </c>
      <c r="L1458">
        <v>48661000000</v>
      </c>
      <c r="M1458">
        <v>8988000000</v>
      </c>
      <c r="N1458">
        <v>24042000000</v>
      </c>
      <c r="O1458">
        <v>69150000000</v>
      </c>
      <c r="P1458">
        <v>5786000000</v>
      </c>
      <c r="Q1458">
        <v>2955000000</v>
      </c>
      <c r="R1458">
        <v>2102000000</v>
      </c>
      <c r="S1458">
        <v>3431000000</v>
      </c>
      <c r="T1458">
        <v>9217000000</v>
      </c>
      <c r="U1458">
        <v>-1466000000</v>
      </c>
      <c r="V1458">
        <f t="shared" si="56"/>
        <v>57097000000</v>
      </c>
      <c r="W1458">
        <f t="shared" si="57"/>
        <v>100290000000</v>
      </c>
    </row>
    <row r="1459" spans="1:23" x14ac:dyDescent="0.2">
      <c r="A1459">
        <f>IF(D1459="USD",VLOOKUP(VALUE(RIGHT(E1459,4)),'USD RUB'!$E:$F,2,FALSE),1)</f>
        <v>1</v>
      </c>
      <c r="B1459" s="4">
        <v>1</v>
      </c>
      <c r="C1459">
        <v>1000000</v>
      </c>
      <c r="D1459" t="s">
        <v>20</v>
      </c>
      <c r="E1459" s="1" t="s">
        <v>1475</v>
      </c>
      <c r="F1459">
        <v>22521000000</v>
      </c>
      <c r="G1459">
        <v>74380000000</v>
      </c>
      <c r="H1459">
        <v>35195000000</v>
      </c>
      <c r="I1459">
        <v>10679000000</v>
      </c>
      <c r="J1459">
        <v>122861000000</v>
      </c>
      <c r="K1459">
        <v>42328000000</v>
      </c>
      <c r="L1459">
        <v>53851000000</v>
      </c>
      <c r="M1459">
        <v>9326000000</v>
      </c>
      <c r="N1459">
        <v>26682000000</v>
      </c>
      <c r="O1459">
        <v>135464000000</v>
      </c>
      <c r="P1459">
        <v>12345000000</v>
      </c>
      <c r="Q1459">
        <v>6108000000</v>
      </c>
      <c r="R1459">
        <v>4588000000</v>
      </c>
      <c r="S1459">
        <v>6313000000</v>
      </c>
      <c r="T1459">
        <v>18658000000</v>
      </c>
      <c r="U1459">
        <v>-3243000000</v>
      </c>
      <c r="V1459">
        <f t="shared" si="56"/>
        <v>116888000000</v>
      </c>
      <c r="W1459">
        <f t="shared" si="57"/>
        <v>96244000000</v>
      </c>
    </row>
    <row r="1460" spans="1:23" x14ac:dyDescent="0.2">
      <c r="A1460">
        <f>IF(D1460="USD",VLOOKUP(VALUE(RIGHT(E1460,4)),'USD RUB'!$E:$F,2,FALSE),1)</f>
        <v>1</v>
      </c>
      <c r="B1460" s="4">
        <v>1</v>
      </c>
      <c r="C1460">
        <v>1000000</v>
      </c>
      <c r="D1460" t="s">
        <v>20</v>
      </c>
      <c r="E1460" s="1" t="s">
        <v>1476</v>
      </c>
      <c r="F1460">
        <v>2273000000</v>
      </c>
      <c r="G1460">
        <v>54696000000</v>
      </c>
      <c r="H1460">
        <v>32388000000</v>
      </c>
      <c r="I1460">
        <v>10674000000</v>
      </c>
      <c r="J1460">
        <v>100290000000</v>
      </c>
      <c r="K1460">
        <v>36427000000</v>
      </c>
      <c r="L1460">
        <v>38444000000</v>
      </c>
      <c r="M1460">
        <v>19095000000</v>
      </c>
      <c r="N1460">
        <v>25419000000</v>
      </c>
      <c r="O1460">
        <v>57097000000</v>
      </c>
      <c r="P1460">
        <v>4515000000</v>
      </c>
      <c r="Q1460">
        <v>2479000000</v>
      </c>
      <c r="R1460">
        <v>2017000000</v>
      </c>
      <c r="S1460">
        <v>3038000000</v>
      </c>
      <c r="T1460">
        <v>7553000000</v>
      </c>
      <c r="U1460">
        <v>-1387000000</v>
      </c>
      <c r="V1460">
        <f t="shared" si="56"/>
        <v>47934000000</v>
      </c>
      <c r="W1460">
        <f t="shared" si="57"/>
        <v>88728000000</v>
      </c>
    </row>
    <row r="1461" spans="1:23" x14ac:dyDescent="0.2">
      <c r="A1461">
        <f>IF(D1461="USD",VLOOKUP(VALUE(RIGHT(E1461,4)),'USD RUB'!$E:$F,2,FALSE),1)</f>
        <v>1</v>
      </c>
      <c r="B1461" s="4">
        <v>1</v>
      </c>
      <c r="C1461">
        <v>1000000</v>
      </c>
      <c r="D1461" t="s">
        <v>20</v>
      </c>
      <c r="E1461" s="1" t="s">
        <v>1477</v>
      </c>
      <c r="F1461">
        <v>3423000000</v>
      </c>
      <c r="G1461">
        <v>53858000000</v>
      </c>
      <c r="H1461">
        <v>29662000000</v>
      </c>
      <c r="I1461">
        <v>10421000000</v>
      </c>
      <c r="J1461">
        <v>96244000000</v>
      </c>
      <c r="K1461">
        <v>40414000000</v>
      </c>
      <c r="L1461">
        <v>29233000000</v>
      </c>
      <c r="M1461">
        <v>19891000000</v>
      </c>
      <c r="N1461">
        <v>26597000000</v>
      </c>
      <c r="O1461">
        <v>116888000000</v>
      </c>
      <c r="P1461">
        <v>13934000000</v>
      </c>
      <c r="Q1461">
        <v>10120000000</v>
      </c>
      <c r="R1461">
        <v>8064000000</v>
      </c>
      <c r="S1461">
        <v>5350000000</v>
      </c>
      <c r="T1461">
        <v>19284000000</v>
      </c>
      <c r="U1461">
        <v>-2982000000</v>
      </c>
      <c r="V1461">
        <f t="shared" si="56"/>
        <v>97316000000</v>
      </c>
      <c r="W1461">
        <f t="shared" si="57"/>
        <v>93139000000</v>
      </c>
    </row>
    <row r="1462" spans="1:23" x14ac:dyDescent="0.2">
      <c r="A1462">
        <f>IF(D1462="USD",VLOOKUP(VALUE(RIGHT(E1462,4)),'USD RUB'!$E:$F,2,FALSE),1)</f>
        <v>1</v>
      </c>
      <c r="B1462" s="4">
        <v>1</v>
      </c>
      <c r="C1462">
        <v>1000000</v>
      </c>
      <c r="D1462" t="s">
        <v>20</v>
      </c>
      <c r="E1462" s="1" t="s">
        <v>1478</v>
      </c>
      <c r="F1462">
        <v>4954000000</v>
      </c>
      <c r="G1462">
        <v>48384000000</v>
      </c>
      <c r="H1462">
        <v>27075000000</v>
      </c>
      <c r="I1462">
        <v>10654000000</v>
      </c>
      <c r="J1462">
        <v>88728000000</v>
      </c>
      <c r="K1462">
        <v>32984000000</v>
      </c>
      <c r="L1462">
        <v>32080000000</v>
      </c>
      <c r="M1462">
        <v>20665000000</v>
      </c>
      <c r="N1462">
        <v>23664000000</v>
      </c>
      <c r="O1462">
        <v>47934000000</v>
      </c>
      <c r="P1462">
        <v>4994000000</v>
      </c>
      <c r="Q1462">
        <v>33311000000</v>
      </c>
      <c r="R1462">
        <v>3046000000</v>
      </c>
      <c r="S1462">
        <v>2567000000</v>
      </c>
      <c r="T1462">
        <v>7561000000</v>
      </c>
      <c r="U1462">
        <v>-1441000000</v>
      </c>
      <c r="V1462">
        <f t="shared" si="56"/>
        <v>42053000000</v>
      </c>
      <c r="W1462">
        <f t="shared" si="57"/>
        <v>81126000000</v>
      </c>
    </row>
    <row r="1463" spans="1:23" x14ac:dyDescent="0.2">
      <c r="A1463">
        <f>IF(D1463="USD",VLOOKUP(VALUE(RIGHT(E1463,4)),'USD RUB'!$E:$F,2,FALSE),1)</f>
        <v>1</v>
      </c>
      <c r="B1463" s="4">
        <v>1</v>
      </c>
      <c r="C1463">
        <v>1000000</v>
      </c>
      <c r="D1463" t="s">
        <v>20</v>
      </c>
      <c r="E1463" s="1" t="s">
        <v>1479</v>
      </c>
      <c r="F1463">
        <v>13241000000</v>
      </c>
      <c r="G1463">
        <v>56128000000</v>
      </c>
      <c r="H1463">
        <v>24094000000</v>
      </c>
      <c r="I1463">
        <v>10741000000</v>
      </c>
      <c r="J1463">
        <v>93139000000</v>
      </c>
      <c r="K1463">
        <v>38636000000</v>
      </c>
      <c r="L1463">
        <v>29114000000</v>
      </c>
      <c r="M1463">
        <v>23447000000</v>
      </c>
      <c r="N1463">
        <v>25389000000</v>
      </c>
      <c r="O1463">
        <v>97316000000</v>
      </c>
      <c r="P1463">
        <v>13055000000</v>
      </c>
      <c r="Q1463">
        <v>10650000000</v>
      </c>
      <c r="R1463">
        <v>8442000000</v>
      </c>
      <c r="S1463">
        <v>4301000000</v>
      </c>
      <c r="T1463">
        <v>17356000000</v>
      </c>
      <c r="U1463">
        <v>-3391000000</v>
      </c>
      <c r="V1463">
        <f t="shared" si="56"/>
        <v>74937000000</v>
      </c>
      <c r="W1463">
        <f t="shared" si="57"/>
        <v>78489000000</v>
      </c>
    </row>
    <row r="1464" spans="1:23" x14ac:dyDescent="0.2">
      <c r="A1464">
        <f>IF(D1464="USD",VLOOKUP(VALUE(RIGHT(E1464,4)),'USD RUB'!$E:$F,2,FALSE),1)</f>
        <v>1</v>
      </c>
      <c r="B1464" s="4">
        <v>1</v>
      </c>
      <c r="C1464">
        <v>1000000</v>
      </c>
      <c r="D1464" t="s">
        <v>20</v>
      </c>
      <c r="E1464" s="1" t="s">
        <v>1480</v>
      </c>
      <c r="F1464">
        <v>8312000000</v>
      </c>
      <c r="G1464">
        <v>42469000000</v>
      </c>
      <c r="H1464">
        <v>22593000000</v>
      </c>
      <c r="I1464">
        <v>13466000000</v>
      </c>
      <c r="J1464">
        <v>81126000000</v>
      </c>
      <c r="K1464">
        <v>25343000000</v>
      </c>
      <c r="L1464">
        <v>29337000000</v>
      </c>
      <c r="M1464">
        <v>19254000000</v>
      </c>
      <c r="N1464">
        <v>26446000000</v>
      </c>
      <c r="O1464">
        <v>42053000000</v>
      </c>
      <c r="P1464">
        <v>5129000000</v>
      </c>
      <c r="Q1464">
        <v>2932000000</v>
      </c>
      <c r="R1464">
        <v>2263000000</v>
      </c>
      <c r="S1464">
        <v>2039000000</v>
      </c>
      <c r="T1464">
        <v>7168000000</v>
      </c>
      <c r="U1464">
        <v>-2205000000</v>
      </c>
      <c r="V1464">
        <f t="shared" si="56"/>
        <v>30752000000</v>
      </c>
      <c r="W1464">
        <f t="shared" si="57"/>
        <v>64284000000</v>
      </c>
    </row>
    <row r="1465" spans="1:23" x14ac:dyDescent="0.2">
      <c r="A1465">
        <f>IF(D1465="USD",VLOOKUP(VALUE(RIGHT(E1465,4)),'USD RUB'!$E:$F,2,FALSE),1)</f>
        <v>1</v>
      </c>
      <c r="B1465" s="4">
        <v>1</v>
      </c>
      <c r="C1465">
        <v>1000000</v>
      </c>
      <c r="D1465" t="s">
        <v>20</v>
      </c>
      <c r="E1465" s="1" t="s">
        <v>1481</v>
      </c>
      <c r="F1465">
        <v>9712000000</v>
      </c>
      <c r="G1465">
        <v>44431000000</v>
      </c>
      <c r="H1465">
        <v>18365000000</v>
      </c>
      <c r="I1465">
        <v>13317000000</v>
      </c>
      <c r="J1465">
        <v>78489000000</v>
      </c>
      <c r="K1465">
        <v>33372000000</v>
      </c>
      <c r="L1465">
        <v>19033000000</v>
      </c>
      <c r="M1465">
        <v>17650000000</v>
      </c>
      <c r="N1465">
        <v>26084000000</v>
      </c>
      <c r="O1465">
        <v>74937000000</v>
      </c>
      <c r="P1465">
        <v>7742000000</v>
      </c>
      <c r="Q1465">
        <v>5088000000</v>
      </c>
      <c r="R1465">
        <v>3877000000</v>
      </c>
      <c r="S1465">
        <v>2745000000</v>
      </c>
      <c r="T1465">
        <v>10487000000</v>
      </c>
      <c r="U1465">
        <v>-2319000000</v>
      </c>
      <c r="V1465">
        <f t="shared" si="56"/>
        <v>63292000000</v>
      </c>
      <c r="W1465">
        <f t="shared" si="57"/>
        <v>63530000000</v>
      </c>
    </row>
    <row r="1466" spans="1:23" x14ac:dyDescent="0.2">
      <c r="A1466">
        <f>IF(D1466="USD",VLOOKUP(VALUE(RIGHT(E1466,4)),'USD RUB'!$E:$F,2,FALSE),1)</f>
        <v>1</v>
      </c>
      <c r="B1466" s="4">
        <v>1</v>
      </c>
      <c r="C1466">
        <v>1000000</v>
      </c>
      <c r="D1466" t="s">
        <v>20</v>
      </c>
      <c r="E1466" s="1" t="s">
        <v>1482</v>
      </c>
      <c r="F1466">
        <v>6189000000</v>
      </c>
      <c r="G1466">
        <v>34669000000</v>
      </c>
      <c r="H1466">
        <v>13839000000</v>
      </c>
      <c r="I1466">
        <v>13762000000</v>
      </c>
      <c r="J1466">
        <v>64284000000</v>
      </c>
      <c r="K1466">
        <v>21393000000</v>
      </c>
      <c r="L1466">
        <v>18503000000</v>
      </c>
      <c r="M1466">
        <v>15972000000</v>
      </c>
      <c r="N1466">
        <v>24388000000</v>
      </c>
      <c r="O1466">
        <v>30752000000</v>
      </c>
      <c r="P1466">
        <v>2423000000</v>
      </c>
      <c r="Q1466">
        <v>1416000000</v>
      </c>
      <c r="R1466">
        <v>1150000000</v>
      </c>
      <c r="S1466">
        <v>1278000000</v>
      </c>
      <c r="T1466">
        <v>3701000000</v>
      </c>
      <c r="U1466">
        <v>-635000000</v>
      </c>
      <c r="V1466">
        <f t="shared" si="56"/>
        <v>26283000000</v>
      </c>
      <c r="W1466">
        <f t="shared" si="57"/>
        <v>59567000000</v>
      </c>
    </row>
    <row r="1467" spans="1:23" x14ac:dyDescent="0.2">
      <c r="A1467">
        <f>IF(D1467="USD",VLOOKUP(VALUE(RIGHT(E1467,4)),'USD RUB'!$E:$F,2,FALSE),1)</f>
        <v>1</v>
      </c>
      <c r="B1467" s="4">
        <v>1</v>
      </c>
      <c r="C1467">
        <v>1000000</v>
      </c>
      <c r="D1467" t="s">
        <v>20</v>
      </c>
      <c r="E1467" s="1" t="s">
        <v>1483</v>
      </c>
      <c r="F1467">
        <v>4890000000</v>
      </c>
      <c r="G1467">
        <v>35184000000</v>
      </c>
      <c r="H1467">
        <v>12880000000</v>
      </c>
      <c r="I1467">
        <v>13582000000</v>
      </c>
      <c r="J1467">
        <v>63530000000</v>
      </c>
      <c r="K1467">
        <v>23665000000</v>
      </c>
      <c r="L1467">
        <v>19520000000</v>
      </c>
      <c r="M1467">
        <v>15903000000</v>
      </c>
      <c r="N1467">
        <v>20345000000</v>
      </c>
      <c r="O1467">
        <v>63292000000</v>
      </c>
      <c r="P1467">
        <v>6842000000</v>
      </c>
      <c r="Q1467">
        <v>3575000000</v>
      </c>
      <c r="R1467">
        <v>2459000000</v>
      </c>
      <c r="S1467">
        <v>2365000000</v>
      </c>
      <c r="T1467">
        <v>9207000000</v>
      </c>
      <c r="U1467">
        <v>-1056000000</v>
      </c>
      <c r="V1467">
        <f t="shared" si="56"/>
        <v>53074000000</v>
      </c>
      <c r="W1467">
        <f t="shared" si="57"/>
        <v>57428000000</v>
      </c>
    </row>
    <row r="1468" spans="1:23" x14ac:dyDescent="0.2">
      <c r="A1468">
        <f>IF(D1468="USD",VLOOKUP(VALUE(RIGHT(E1468,4)),'USD RUB'!$E:$F,2,FALSE),1)</f>
        <v>1</v>
      </c>
      <c r="B1468" s="4">
        <v>1</v>
      </c>
      <c r="C1468">
        <v>1000000</v>
      </c>
      <c r="D1468" t="s">
        <v>20</v>
      </c>
      <c r="E1468" s="1" t="s">
        <v>1484</v>
      </c>
      <c r="F1468">
        <v>3017000000</v>
      </c>
      <c r="G1468">
        <v>30444000000</v>
      </c>
      <c r="H1468">
        <v>13382000000</v>
      </c>
      <c r="I1468">
        <v>13536000000</v>
      </c>
      <c r="J1468">
        <v>59567000000</v>
      </c>
      <c r="K1468">
        <v>19518000000</v>
      </c>
      <c r="L1468">
        <v>20551000000</v>
      </c>
      <c r="M1468">
        <v>14271000000</v>
      </c>
      <c r="N1468">
        <v>19498000000</v>
      </c>
      <c r="O1468">
        <v>26283000000</v>
      </c>
      <c r="P1468">
        <v>2167000000</v>
      </c>
      <c r="Q1468">
        <v>566000000</v>
      </c>
      <c r="R1468">
        <v>460000000</v>
      </c>
      <c r="S1468">
        <v>1158000000</v>
      </c>
      <c r="T1468">
        <v>3325000000</v>
      </c>
      <c r="U1468">
        <v>-459000000</v>
      </c>
      <c r="V1468">
        <f t="shared" si="56"/>
        <v>21450000000</v>
      </c>
      <c r="W1468">
        <f t="shared" si="57"/>
        <v>53387000000</v>
      </c>
    </row>
    <row r="1469" spans="1:23" x14ac:dyDescent="0.2">
      <c r="A1469">
        <f>IF(D1469="USD",VLOOKUP(VALUE(RIGHT(E1469,4)),'USD RUB'!$E:$F,2,FALSE),1)</f>
        <v>1</v>
      </c>
      <c r="B1469" s="4">
        <v>1</v>
      </c>
      <c r="C1469">
        <v>1000000</v>
      </c>
      <c r="D1469" t="s">
        <v>20</v>
      </c>
      <c r="E1469" s="1" t="s">
        <v>1485</v>
      </c>
      <c r="F1469">
        <v>1085000000</v>
      </c>
      <c r="G1469">
        <v>27969000000</v>
      </c>
      <c r="H1469">
        <v>13885000000</v>
      </c>
      <c r="I1469">
        <v>13528000000</v>
      </c>
      <c r="J1469">
        <v>57428000000</v>
      </c>
      <c r="K1469">
        <v>20784000000</v>
      </c>
      <c r="L1469">
        <v>16611000000</v>
      </c>
      <c r="M1469">
        <v>14222000000</v>
      </c>
      <c r="N1469">
        <v>20033000000</v>
      </c>
      <c r="O1469">
        <v>53074000000</v>
      </c>
      <c r="P1469">
        <v>4392000000</v>
      </c>
      <c r="Q1469">
        <v>1963000000</v>
      </c>
      <c r="R1469">
        <v>1433000000</v>
      </c>
      <c r="S1469">
        <v>2103000000</v>
      </c>
      <c r="T1469">
        <v>6495000000</v>
      </c>
      <c r="U1469">
        <v>-1660000000</v>
      </c>
      <c r="V1469">
        <f t="shared" si="56"/>
        <v>43411000000</v>
      </c>
      <c r="W1469">
        <f t="shared" si="57"/>
        <v>48470000000</v>
      </c>
    </row>
    <row r="1470" spans="1:23" x14ac:dyDescent="0.2">
      <c r="A1470">
        <f>IF(D1470="USD",VLOOKUP(VALUE(RIGHT(E1470,4)),'USD RUB'!$E:$F,2,FALSE),1)</f>
        <v>1</v>
      </c>
      <c r="B1470" s="4">
        <v>1</v>
      </c>
      <c r="C1470">
        <v>1000000</v>
      </c>
      <c r="D1470" t="s">
        <v>20</v>
      </c>
      <c r="E1470" s="1" t="s">
        <v>1486</v>
      </c>
      <c r="F1470">
        <v>812000000</v>
      </c>
      <c r="G1470">
        <v>23930000000</v>
      </c>
      <c r="H1470">
        <v>14202000000</v>
      </c>
      <c r="I1470">
        <v>13143000000</v>
      </c>
      <c r="J1470">
        <v>53387000000</v>
      </c>
      <c r="K1470">
        <v>18380000000</v>
      </c>
      <c r="L1470">
        <v>15640000000</v>
      </c>
      <c r="M1470">
        <v>13274000000</v>
      </c>
      <c r="N1470">
        <v>19367000000</v>
      </c>
      <c r="O1470">
        <v>21450000000</v>
      </c>
      <c r="P1470">
        <v>1734000000</v>
      </c>
      <c r="Q1470">
        <v>606000000</v>
      </c>
      <c r="R1470">
        <v>452000000</v>
      </c>
      <c r="S1470">
        <v>969000000</v>
      </c>
      <c r="T1470">
        <v>2703000000</v>
      </c>
      <c r="U1470">
        <v>-877000000</v>
      </c>
      <c r="V1470">
        <f t="shared" si="56"/>
        <v>18782000000</v>
      </c>
      <c r="W1470">
        <f t="shared" si="57"/>
        <v>44929000000</v>
      </c>
    </row>
    <row r="1471" spans="1:23" x14ac:dyDescent="0.2">
      <c r="A1471">
        <f>IF(D1471="USD",VLOOKUP(VALUE(RIGHT(E1471,4)),'USD RUB'!$E:$F,2,FALSE),1)</f>
        <v>1</v>
      </c>
      <c r="B1471" s="4">
        <v>1</v>
      </c>
      <c r="C1471">
        <v>1000000</v>
      </c>
      <c r="D1471" t="s">
        <v>20</v>
      </c>
      <c r="E1471" s="1" t="s">
        <v>1487</v>
      </c>
      <c r="F1471">
        <v>1083000000</v>
      </c>
      <c r="G1471">
        <v>22756000000</v>
      </c>
      <c r="H1471">
        <v>10593000000</v>
      </c>
      <c r="I1471">
        <v>13192000000</v>
      </c>
      <c r="J1471">
        <v>48470000000</v>
      </c>
      <c r="K1471">
        <v>14767000000</v>
      </c>
      <c r="L1471">
        <v>14236000000</v>
      </c>
      <c r="M1471">
        <v>13012000000</v>
      </c>
      <c r="N1471">
        <v>19467000000</v>
      </c>
      <c r="O1471">
        <v>43411000000</v>
      </c>
      <c r="P1471">
        <v>3273000000</v>
      </c>
      <c r="Q1471">
        <v>1214000000</v>
      </c>
      <c r="R1471">
        <v>938000000</v>
      </c>
      <c r="S1471">
        <v>978000000</v>
      </c>
      <c r="T1471">
        <v>4251000000</v>
      </c>
      <c r="U1471">
        <v>-1756000000</v>
      </c>
      <c r="V1471">
        <f t="shared" si="56"/>
        <v>37303000000</v>
      </c>
      <c r="W1471">
        <f t="shared" si="57"/>
        <v>40995000000</v>
      </c>
    </row>
    <row r="1472" spans="1:23" x14ac:dyDescent="0.2">
      <c r="A1472">
        <f>IF(D1472="USD",VLOOKUP(VALUE(RIGHT(E1472,4)),'USD RUB'!$E:$F,2,FALSE),1)</f>
        <v>1</v>
      </c>
      <c r="B1472" s="4">
        <v>1</v>
      </c>
      <c r="C1472">
        <v>1000000</v>
      </c>
      <c r="D1472" t="s">
        <v>20</v>
      </c>
      <c r="E1472" s="1" t="s">
        <v>1488</v>
      </c>
      <c r="F1472">
        <v>680000000</v>
      </c>
      <c r="G1472">
        <v>22414000000</v>
      </c>
      <c r="H1472">
        <v>7410000000</v>
      </c>
      <c r="I1472">
        <v>12929000000</v>
      </c>
      <c r="J1472">
        <v>44929000000</v>
      </c>
      <c r="K1472">
        <v>11367000000</v>
      </c>
      <c r="L1472">
        <v>14433000000</v>
      </c>
      <c r="M1472">
        <v>12465000000</v>
      </c>
      <c r="N1472">
        <v>19129000000</v>
      </c>
      <c r="O1472">
        <v>18782000000</v>
      </c>
      <c r="P1472">
        <v>1412000000</v>
      </c>
      <c r="Q1472">
        <v>460000000</v>
      </c>
      <c r="R1472">
        <v>410000000</v>
      </c>
      <c r="S1472">
        <v>507000000</v>
      </c>
      <c r="T1472">
        <v>1919000000</v>
      </c>
      <c r="U1472">
        <v>-971000000</v>
      </c>
      <c r="V1472">
        <f t="shared" si="56"/>
        <v>15735000000</v>
      </c>
      <c r="W1472">
        <f t="shared" si="57"/>
        <v>37352000000</v>
      </c>
    </row>
    <row r="1473" spans="1:23" x14ac:dyDescent="0.2">
      <c r="A1473">
        <f>IF(D1473="USD",VLOOKUP(VALUE(RIGHT(E1473,4)),'USD RUB'!$E:$F,2,FALSE),1)</f>
        <v>1</v>
      </c>
      <c r="B1473" s="4">
        <v>1</v>
      </c>
      <c r="C1473">
        <v>1000000</v>
      </c>
      <c r="D1473" t="s">
        <v>20</v>
      </c>
      <c r="E1473" s="1" t="s">
        <v>1489</v>
      </c>
      <c r="F1473">
        <v>819000000</v>
      </c>
      <c r="G1473">
        <v>23134000000</v>
      </c>
      <c r="H1473">
        <v>6501000000</v>
      </c>
      <c r="I1473">
        <v>8842000000</v>
      </c>
      <c r="J1473">
        <v>40995000000</v>
      </c>
      <c r="K1473">
        <v>10591000000</v>
      </c>
      <c r="L1473">
        <v>10956000000</v>
      </c>
      <c r="M1473">
        <v>12093000000</v>
      </c>
      <c r="N1473">
        <v>19448000000</v>
      </c>
      <c r="O1473">
        <v>37303000000</v>
      </c>
      <c r="P1473">
        <v>2848000000</v>
      </c>
      <c r="Q1473">
        <v>926000000</v>
      </c>
      <c r="R1473">
        <v>655000000</v>
      </c>
      <c r="S1473">
        <v>768000000</v>
      </c>
      <c r="T1473">
        <v>3625000000</v>
      </c>
      <c r="U1473">
        <v>-918000000</v>
      </c>
      <c r="V1473">
        <f t="shared" si="56"/>
        <v>35903000000</v>
      </c>
      <c r="W1473">
        <f t="shared" si="57"/>
        <v>37993000000</v>
      </c>
    </row>
    <row r="1474" spans="1:23" x14ac:dyDescent="0.2">
      <c r="A1474">
        <f>IF(D1474="USD",VLOOKUP(VALUE(RIGHT(E1474,4)),'USD RUB'!$E:$F,2,FALSE),1)</f>
        <v>1</v>
      </c>
      <c r="B1474" s="4">
        <v>1</v>
      </c>
      <c r="C1474">
        <v>1000000</v>
      </c>
      <c r="D1474" t="s">
        <v>20</v>
      </c>
      <c r="E1474" s="1" t="s">
        <v>1490</v>
      </c>
      <c r="F1474">
        <v>583000000</v>
      </c>
      <c r="G1474">
        <v>19980000000</v>
      </c>
      <c r="H1474">
        <v>6401000000</v>
      </c>
      <c r="I1474">
        <v>8854000000</v>
      </c>
      <c r="J1474">
        <v>37352000000</v>
      </c>
      <c r="K1474">
        <v>7389000000</v>
      </c>
      <c r="L1474">
        <v>10423000000</v>
      </c>
      <c r="M1474">
        <v>11705000000</v>
      </c>
      <c r="N1474">
        <v>19540000000</v>
      </c>
      <c r="O1474">
        <v>15735000000</v>
      </c>
      <c r="P1474">
        <v>1221000000</v>
      </c>
      <c r="Q1474">
        <v>301000000</v>
      </c>
      <c r="R1474">
        <v>229000000</v>
      </c>
      <c r="S1474">
        <v>379000000</v>
      </c>
      <c r="T1474">
        <v>1604000000</v>
      </c>
      <c r="U1474">
        <v>411000000</v>
      </c>
      <c r="V1474">
        <f t="shared" si="56"/>
        <v>16106000000</v>
      </c>
      <c r="W1474">
        <f t="shared" si="57"/>
        <v>36296000000</v>
      </c>
    </row>
    <row r="1475" spans="1:23" x14ac:dyDescent="0.2">
      <c r="A1475">
        <f>IF(D1475="USD",VLOOKUP(VALUE(RIGHT(E1475,4)),'USD RUB'!$E:$F,2,FALSE),1)</f>
        <v>1</v>
      </c>
      <c r="B1475" s="4">
        <v>1</v>
      </c>
      <c r="C1475">
        <v>1000000</v>
      </c>
      <c r="D1475" t="s">
        <v>20</v>
      </c>
      <c r="E1475" s="1" t="s">
        <v>1491</v>
      </c>
      <c r="F1475">
        <v>1010000000</v>
      </c>
      <c r="G1475">
        <v>21100000000</v>
      </c>
      <c r="H1475">
        <v>6579000000</v>
      </c>
      <c r="J1475">
        <v>37993000000</v>
      </c>
      <c r="K1475">
        <v>11572000000</v>
      </c>
      <c r="L1475">
        <v>6968000000</v>
      </c>
      <c r="M1475">
        <v>11505000000</v>
      </c>
      <c r="N1475">
        <v>19453000000</v>
      </c>
      <c r="O1475">
        <v>35903000000</v>
      </c>
      <c r="P1475">
        <v>2486000000</v>
      </c>
      <c r="Q1475">
        <v>453000000</v>
      </c>
      <c r="R1475">
        <v>275000000</v>
      </c>
      <c r="T1475">
        <v>3218000000</v>
      </c>
      <c r="U1475">
        <v>624000000</v>
      </c>
      <c r="V1475">
        <f t="shared" si="56"/>
        <v>30706000000</v>
      </c>
      <c r="W1475">
        <f t="shared" si="57"/>
        <v>35653000000</v>
      </c>
    </row>
    <row r="1476" spans="1:23" x14ac:dyDescent="0.2">
      <c r="A1476">
        <f>IF(D1476="USD",VLOOKUP(VALUE(RIGHT(E1476,4)),'USD RUB'!$E:$F,2,FALSE),1)</f>
        <v>1</v>
      </c>
      <c r="B1476" s="4">
        <v>1</v>
      </c>
      <c r="C1476">
        <v>1000000</v>
      </c>
      <c r="D1476" t="s">
        <v>20</v>
      </c>
      <c r="E1476" s="1" t="s">
        <v>1492</v>
      </c>
      <c r="F1476">
        <v>830000000</v>
      </c>
      <c r="G1476">
        <v>20383000000</v>
      </c>
      <c r="H1476">
        <v>6598000000</v>
      </c>
      <c r="J1476">
        <v>36296000000</v>
      </c>
      <c r="K1476">
        <v>10001000000</v>
      </c>
      <c r="L1476">
        <v>6999000000</v>
      </c>
      <c r="M1476">
        <v>11367000000</v>
      </c>
      <c r="N1476">
        <v>19296000000</v>
      </c>
      <c r="O1476">
        <v>16106000000</v>
      </c>
      <c r="P1476">
        <v>1170000000</v>
      </c>
      <c r="Q1476">
        <v>113000000</v>
      </c>
      <c r="R1476">
        <v>128000000</v>
      </c>
      <c r="T1476">
        <v>1569000000</v>
      </c>
      <c r="U1476">
        <v>695000000</v>
      </c>
      <c r="V1476">
        <f t="shared" si="56"/>
        <v>20253000000</v>
      </c>
      <c r="W1476">
        <f t="shared" si="57"/>
        <v>33383000000</v>
      </c>
    </row>
    <row r="1477" spans="1:23" x14ac:dyDescent="0.2">
      <c r="A1477">
        <f>IF(D1477="USD",VLOOKUP(VALUE(RIGHT(E1477,4)),'USD RUB'!$E:$F,2,FALSE),1)</f>
        <v>1</v>
      </c>
      <c r="B1477" s="4">
        <v>1</v>
      </c>
      <c r="C1477">
        <v>1000000</v>
      </c>
      <c r="D1477" t="s">
        <v>20</v>
      </c>
      <c r="E1477" s="1" t="s">
        <v>1493</v>
      </c>
      <c r="F1477">
        <v>1161000000</v>
      </c>
      <c r="G1477">
        <v>20186000000</v>
      </c>
      <c r="H1477">
        <v>6724000000</v>
      </c>
      <c r="J1477">
        <v>35653000000</v>
      </c>
      <c r="K1477">
        <v>10190000000</v>
      </c>
      <c r="L1477">
        <v>6202000000</v>
      </c>
      <c r="M1477">
        <v>11268000000</v>
      </c>
      <c r="N1477">
        <v>19261000000</v>
      </c>
      <c r="O1477">
        <v>30706000000</v>
      </c>
      <c r="P1477">
        <v>2109000000</v>
      </c>
      <c r="Q1477">
        <v>372000000</v>
      </c>
      <c r="R1477">
        <v>241000000</v>
      </c>
      <c r="T1477">
        <v>2885000000</v>
      </c>
      <c r="U1477">
        <v>956000000</v>
      </c>
      <c r="V1477">
        <f t="shared" si="56"/>
        <v>28163000000</v>
      </c>
      <c r="W1477">
        <f t="shared" si="57"/>
        <v>34719000000</v>
      </c>
    </row>
    <row r="1478" spans="1:23" x14ac:dyDescent="0.2">
      <c r="A1478">
        <f>IF(D1478="USD",VLOOKUP(VALUE(RIGHT(E1478,4)),'USD RUB'!$E:$F,2,FALSE),1)</f>
        <v>1</v>
      </c>
      <c r="B1478" s="4">
        <v>1</v>
      </c>
      <c r="C1478">
        <v>1000000</v>
      </c>
      <c r="D1478" t="s">
        <v>20</v>
      </c>
      <c r="E1478" s="1" t="s">
        <v>1494</v>
      </c>
      <c r="F1478">
        <v>431000000</v>
      </c>
      <c r="G1478">
        <v>17707000000</v>
      </c>
      <c r="H1478">
        <v>6905000000</v>
      </c>
      <c r="J1478">
        <v>33383000000</v>
      </c>
      <c r="K1478">
        <v>6819000000</v>
      </c>
      <c r="L1478">
        <v>7277000000</v>
      </c>
      <c r="M1478">
        <v>11197000000</v>
      </c>
      <c r="N1478">
        <v>19287000000</v>
      </c>
      <c r="O1478">
        <v>20253000000</v>
      </c>
      <c r="P1478">
        <v>1031000000</v>
      </c>
      <c r="Q1478">
        <v>71000000</v>
      </c>
      <c r="R1478">
        <v>98000000</v>
      </c>
      <c r="T1478">
        <v>1418000000</v>
      </c>
      <c r="U1478">
        <v>437000000</v>
      </c>
      <c r="V1478">
        <f t="shared" si="56"/>
        <v>11032000000</v>
      </c>
      <c r="W1478">
        <f t="shared" si="57"/>
        <v>30975000000</v>
      </c>
    </row>
    <row r="1479" spans="1:23" s="20" customFormat="1" x14ac:dyDescent="0.2">
      <c r="A1479" s="20">
        <f>IF(D1479="USD",VLOOKUP(VALUE(RIGHT(E1479,4)),'USD RUB'!$E:$F,2,FALSE),1)</f>
        <v>1</v>
      </c>
      <c r="B1479" s="21">
        <v>1</v>
      </c>
      <c r="C1479" s="20">
        <v>1000000</v>
      </c>
      <c r="D1479" s="20" t="s">
        <v>20</v>
      </c>
      <c r="E1479" s="22" t="s">
        <v>1495</v>
      </c>
      <c r="F1479" s="20">
        <v>482000000</v>
      </c>
      <c r="G1479" s="20">
        <v>19883000000</v>
      </c>
      <c r="H1479" s="20">
        <v>7021000000</v>
      </c>
      <c r="J1479" s="20">
        <v>34719000000</v>
      </c>
      <c r="K1479" s="20">
        <v>9499000000</v>
      </c>
      <c r="L1479" s="20">
        <v>6076000000</v>
      </c>
      <c r="M1479" s="20">
        <v>11127000000</v>
      </c>
      <c r="N1479" s="20">
        <v>19144000000</v>
      </c>
      <c r="O1479" s="20">
        <v>28163000000</v>
      </c>
      <c r="P1479" s="20">
        <v>2274000000</v>
      </c>
      <c r="Q1479" s="20">
        <v>1329000000</v>
      </c>
      <c r="R1479" s="20">
        <v>1090000000</v>
      </c>
      <c r="T1479" s="20">
        <v>2973000000</v>
      </c>
      <c r="U1479" s="20">
        <v>1622000000</v>
      </c>
      <c r="V1479" s="20">
        <f t="shared" si="56"/>
        <v>44594000000</v>
      </c>
      <c r="W1479" s="20">
        <f t="shared" si="57"/>
        <v>34282000000</v>
      </c>
    </row>
    <row r="1480" spans="1:23" x14ac:dyDescent="0.2">
      <c r="A1480">
        <f>IF(D1480="USD",VLOOKUP(VALUE(RIGHT(E1480,4)),'USD RUB'!$E:$F,2,FALSE),1)</f>
        <v>1</v>
      </c>
      <c r="B1480" s="4">
        <v>1</v>
      </c>
      <c r="C1480">
        <v>1000000</v>
      </c>
      <c r="D1480" t="s">
        <v>20</v>
      </c>
      <c r="E1480" s="1" t="s">
        <v>1496</v>
      </c>
      <c r="F1480">
        <v>423000000</v>
      </c>
      <c r="G1480">
        <v>16641000000</v>
      </c>
      <c r="H1480">
        <v>6645000000</v>
      </c>
      <c r="J1480">
        <v>30975000000</v>
      </c>
      <c r="K1480">
        <v>7293000000</v>
      </c>
      <c r="L1480">
        <v>5393000000</v>
      </c>
      <c r="M1480">
        <v>10356000000</v>
      </c>
      <c r="N1480">
        <v>18289000000</v>
      </c>
      <c r="O1480">
        <v>11032000000</v>
      </c>
      <c r="P1480">
        <v>945000000</v>
      </c>
      <c r="Q1480">
        <v>235000000</v>
      </c>
      <c r="R1480">
        <v>275000000</v>
      </c>
      <c r="T1480">
        <v>1301000000</v>
      </c>
      <c r="V1480">
        <f t="shared" si="56"/>
        <v>10762513000</v>
      </c>
      <c r="W1480">
        <f t="shared" si="57"/>
        <v>28637361000</v>
      </c>
    </row>
    <row r="1481" spans="1:23" x14ac:dyDescent="0.2">
      <c r="A1481">
        <f>IF(D1481="USD",VLOOKUP(VALUE(RIGHT(E1481,4)),'USD RUB'!$E:$F,2,FALSE),1)</f>
        <v>1</v>
      </c>
      <c r="B1481" s="4">
        <v>1</v>
      </c>
      <c r="C1481">
        <v>1000000</v>
      </c>
      <c r="D1481" t="s">
        <v>20</v>
      </c>
      <c r="E1481" s="1" t="s">
        <v>1497</v>
      </c>
      <c r="F1481">
        <v>467000000</v>
      </c>
      <c r="G1481">
        <v>20289000000</v>
      </c>
      <c r="H1481">
        <v>6327000000</v>
      </c>
      <c r="J1481">
        <v>34282000000</v>
      </c>
      <c r="K1481">
        <v>6347000000</v>
      </c>
      <c r="L1481">
        <v>9566000000</v>
      </c>
      <c r="N1481">
        <v>18369000000</v>
      </c>
      <c r="O1481">
        <v>44594000000</v>
      </c>
      <c r="P1481">
        <v>3127000000</v>
      </c>
      <c r="Q1481">
        <v>1925000000</v>
      </c>
      <c r="R1481">
        <v>1541000000</v>
      </c>
      <c r="T1481">
        <v>3674000000</v>
      </c>
      <c r="V1481">
        <f t="shared" si="56"/>
        <v>26664482000</v>
      </c>
      <c r="W1481">
        <f t="shared" si="57"/>
        <v>30756406000</v>
      </c>
    </row>
    <row r="1482" spans="1:23" x14ac:dyDescent="0.2">
      <c r="A1482">
        <f>IF(D1482="USD",VLOOKUP(VALUE(RIGHT(E1482,4)),'USD RUB'!$E:$F,2,FALSE),1)</f>
        <v>1</v>
      </c>
      <c r="B1482" s="4">
        <v>1</v>
      </c>
      <c r="C1482">
        <v>1000000</v>
      </c>
      <c r="D1482" t="s">
        <v>20</v>
      </c>
      <c r="E1482" s="1" t="s">
        <v>1498</v>
      </c>
      <c r="F1482">
        <v>654283000</v>
      </c>
      <c r="G1482">
        <v>16140045000</v>
      </c>
      <c r="H1482">
        <v>5861040000</v>
      </c>
      <c r="J1482">
        <v>28637361000</v>
      </c>
      <c r="K1482">
        <v>5339732000</v>
      </c>
      <c r="L1482">
        <v>5861732000</v>
      </c>
      <c r="N1482">
        <v>17435897000</v>
      </c>
      <c r="O1482">
        <v>10762513000</v>
      </c>
      <c r="P1482">
        <v>1102905000</v>
      </c>
      <c r="Q1482">
        <v>473119000</v>
      </c>
      <c r="R1482">
        <v>417315000</v>
      </c>
      <c r="T1482">
        <v>1383000000</v>
      </c>
      <c r="V1482">
        <f t="shared" si="56"/>
        <v>11392451000</v>
      </c>
      <c r="W1482">
        <f t="shared" si="57"/>
        <v>29967385000</v>
      </c>
    </row>
    <row r="1483" spans="1:23" x14ac:dyDescent="0.2">
      <c r="A1483">
        <f>IF(D1483="USD",VLOOKUP(VALUE(RIGHT(E1483,4)),'USD RUB'!$E:$F,2,FALSE),1)</f>
        <v>1</v>
      </c>
      <c r="B1483" s="4">
        <v>1</v>
      </c>
      <c r="C1483">
        <v>1000000</v>
      </c>
      <c r="D1483" t="s">
        <v>20</v>
      </c>
      <c r="E1483" s="1" t="s">
        <v>1499</v>
      </c>
      <c r="F1483">
        <v>707454000</v>
      </c>
      <c r="G1483">
        <v>18339176000</v>
      </c>
      <c r="H1483">
        <v>5944495000</v>
      </c>
      <c r="J1483">
        <v>30756406000</v>
      </c>
      <c r="K1483">
        <v>7709755000</v>
      </c>
      <c r="L1483">
        <v>5675144000</v>
      </c>
      <c r="N1483">
        <v>17371507000</v>
      </c>
      <c r="O1483">
        <v>26664482000</v>
      </c>
      <c r="P1483">
        <v>3122968000</v>
      </c>
      <c r="Q1483">
        <v>2130178000</v>
      </c>
      <c r="R1483">
        <v>1701954000</v>
      </c>
      <c r="T1483">
        <v>3593000000</v>
      </c>
      <c r="V1483">
        <f t="shared" si="56"/>
        <v>25213402000</v>
      </c>
      <c r="W1483">
        <f t="shared" si="57"/>
        <v>28078949000</v>
      </c>
    </row>
    <row r="1484" spans="1:23" x14ac:dyDescent="0.2">
      <c r="A1484">
        <f>IF(D1484="USD",VLOOKUP(VALUE(RIGHT(E1484,4)),'USD RUB'!$E:$F,2,FALSE),1)</f>
        <v>1</v>
      </c>
      <c r="B1484" s="4">
        <v>1</v>
      </c>
      <c r="C1484">
        <v>1000</v>
      </c>
      <c r="D1484" t="s">
        <v>20</v>
      </c>
      <c r="E1484" s="1" t="s">
        <v>1500</v>
      </c>
      <c r="F1484">
        <v>1020252000</v>
      </c>
      <c r="G1484">
        <v>18391718000</v>
      </c>
      <c r="H1484">
        <v>5098989000</v>
      </c>
      <c r="J1484">
        <v>29967385000</v>
      </c>
      <c r="K1484">
        <v>7001913000</v>
      </c>
      <c r="L1484">
        <v>6768997000</v>
      </c>
      <c r="N1484">
        <v>16196475000</v>
      </c>
      <c r="O1484">
        <v>11392451000</v>
      </c>
      <c r="P1484">
        <v>1076064000</v>
      </c>
      <c r="Q1484">
        <v>639287000</v>
      </c>
      <c r="R1484">
        <v>500781000</v>
      </c>
      <c r="V1484">
        <f t="shared" si="56"/>
        <v>10219100000</v>
      </c>
      <c r="W1484">
        <f t="shared" si="57"/>
        <v>24978405000</v>
      </c>
    </row>
    <row r="1485" spans="1:23" x14ac:dyDescent="0.2">
      <c r="A1485">
        <f>IF(D1485="USD",VLOOKUP(VALUE(RIGHT(E1485,4)),'USD RUB'!$E:$F,2,FALSE),1)</f>
        <v>1</v>
      </c>
      <c r="B1485" s="4">
        <v>1</v>
      </c>
      <c r="C1485">
        <v>1000</v>
      </c>
      <c r="D1485" t="s">
        <v>20</v>
      </c>
      <c r="E1485" s="1" t="s">
        <v>1501</v>
      </c>
      <c r="F1485">
        <v>717807000</v>
      </c>
      <c r="G1485">
        <v>17348603000</v>
      </c>
      <c r="H1485">
        <v>4627001000</v>
      </c>
      <c r="J1485">
        <v>28078949000</v>
      </c>
      <c r="K1485">
        <v>6175994000</v>
      </c>
      <c r="L1485">
        <v>5211249000</v>
      </c>
      <c r="N1485">
        <v>16691706000</v>
      </c>
      <c r="O1485">
        <v>25213402000</v>
      </c>
      <c r="P1485">
        <v>2843368000</v>
      </c>
      <c r="Q1485">
        <v>2177466000</v>
      </c>
      <c r="R1485">
        <v>1661224000</v>
      </c>
      <c r="T1485">
        <v>3244000000</v>
      </c>
      <c r="V1485" t="str">
        <f t="shared" si="56"/>
        <v/>
      </c>
      <c r="W1485" t="str">
        <f t="shared" si="57"/>
        <v/>
      </c>
    </row>
    <row r="1486" spans="1:23" x14ac:dyDescent="0.2">
      <c r="A1486">
        <f>IF(D1486="USD",VLOOKUP(VALUE(RIGHT(E1486,4)),'USD RUB'!$E:$F,2,FALSE),1)</f>
        <v>1</v>
      </c>
      <c r="B1486" s="4">
        <v>1</v>
      </c>
      <c r="C1486">
        <v>1000</v>
      </c>
      <c r="D1486" t="s">
        <v>20</v>
      </c>
      <c r="E1486" s="1" t="s">
        <v>1502</v>
      </c>
      <c r="F1486">
        <v>613655000</v>
      </c>
      <c r="G1486">
        <v>14959214000</v>
      </c>
      <c r="H1486">
        <v>3995806000</v>
      </c>
      <c r="J1486">
        <v>24978405000</v>
      </c>
      <c r="K1486">
        <v>4934518000</v>
      </c>
      <c r="L1486">
        <v>4238165000</v>
      </c>
      <c r="N1486">
        <v>16390722000</v>
      </c>
      <c r="O1486">
        <v>10219100000</v>
      </c>
      <c r="P1486">
        <v>1150809000</v>
      </c>
      <c r="Q1486">
        <v>1149920000</v>
      </c>
      <c r="R1486">
        <v>975586000</v>
      </c>
      <c r="V1486" t="str">
        <f t="shared" si="56"/>
        <v/>
      </c>
      <c r="W1486" t="str">
        <f t="shared" si="57"/>
        <v/>
      </c>
    </row>
    <row r="1487" spans="1:23" x14ac:dyDescent="0.2">
      <c r="A1487">
        <f>IF(D1487="USD",VLOOKUP(VALUE(RIGHT(E1487,4)),'USD RUB'!$E:$F,2,FALSE),1)</f>
        <v>1</v>
      </c>
      <c r="B1487" s="4">
        <v>1</v>
      </c>
      <c r="C1487">
        <v>1000</v>
      </c>
      <c r="D1487" t="s">
        <v>20</v>
      </c>
      <c r="E1487" s="1" t="s">
        <v>1503</v>
      </c>
      <c r="F1487">
        <v>222274000</v>
      </c>
      <c r="G1487">
        <v>57290500000</v>
      </c>
      <c r="H1487">
        <v>32224965000</v>
      </c>
      <c r="I1487">
        <v>4444930000</v>
      </c>
      <c r="J1487">
        <v>118743873000</v>
      </c>
      <c r="K1487">
        <v>45249513000</v>
      </c>
      <c r="L1487">
        <v>39764103000</v>
      </c>
      <c r="M1487">
        <v>6881560000</v>
      </c>
      <c r="N1487">
        <v>33730257000</v>
      </c>
      <c r="O1487">
        <v>107132124000</v>
      </c>
      <c r="P1487">
        <v>9323552000</v>
      </c>
      <c r="Q1487">
        <v>4334666000</v>
      </c>
      <c r="R1487">
        <v>3233176000</v>
      </c>
      <c r="S1487">
        <v>869910000</v>
      </c>
      <c r="T1487">
        <v>10614846000</v>
      </c>
      <c r="U1487">
        <v>-8362585000</v>
      </c>
      <c r="V1487">
        <f t="shared" si="56"/>
        <v>82292228000</v>
      </c>
      <c r="W1487">
        <f t="shared" si="57"/>
        <v>89249497000</v>
      </c>
    </row>
    <row r="1488" spans="1:23" x14ac:dyDescent="0.2">
      <c r="A1488">
        <f>IF(D1488="USD",VLOOKUP(VALUE(RIGHT(E1488,4)),'USD RUB'!$E:$F,2,FALSE),1)</f>
        <v>1</v>
      </c>
      <c r="B1488" s="4">
        <v>1</v>
      </c>
      <c r="C1488">
        <v>1000</v>
      </c>
      <c r="D1488" t="s">
        <v>20</v>
      </c>
      <c r="E1488" s="1" t="s">
        <v>1504</v>
      </c>
      <c r="F1488">
        <v>181069000</v>
      </c>
      <c r="G1488">
        <v>48107386000</v>
      </c>
      <c r="H1488">
        <v>25768551000</v>
      </c>
      <c r="I1488">
        <v>4500765000</v>
      </c>
      <c r="J1488">
        <v>103873440000</v>
      </c>
      <c r="K1488">
        <v>37213940000</v>
      </c>
      <c r="L1488">
        <v>34013566000</v>
      </c>
      <c r="M1488">
        <v>6392357000</v>
      </c>
      <c r="N1488">
        <v>32645934000</v>
      </c>
      <c r="O1488">
        <v>186195094000</v>
      </c>
      <c r="P1488">
        <v>14805473000</v>
      </c>
      <c r="Q1488">
        <v>7295871000</v>
      </c>
      <c r="R1488">
        <v>5538473000</v>
      </c>
      <c r="S1488">
        <v>1733710000</v>
      </c>
      <c r="T1488">
        <v>16946066000</v>
      </c>
      <c r="U1488">
        <v>-269871000</v>
      </c>
      <c r="V1488">
        <f t="shared" si="56"/>
        <v>126763125000</v>
      </c>
      <c r="W1488">
        <f t="shared" si="57"/>
        <v>84991994000</v>
      </c>
    </row>
    <row r="1489" spans="1:23" x14ac:dyDescent="0.2">
      <c r="A1489">
        <f>IF(D1489="USD",VLOOKUP(VALUE(RIGHT(E1489,4)),'USD RUB'!$E:$F,2,FALSE),1)</f>
        <v>1</v>
      </c>
      <c r="B1489" s="4">
        <v>1</v>
      </c>
      <c r="C1489">
        <v>1000</v>
      </c>
      <c r="D1489" t="s">
        <v>20</v>
      </c>
      <c r="E1489" s="1" t="s">
        <v>1505</v>
      </c>
      <c r="F1489">
        <v>191673000</v>
      </c>
      <c r="G1489">
        <v>38603585000</v>
      </c>
      <c r="H1489">
        <v>20809970000</v>
      </c>
      <c r="I1489">
        <v>4327117000</v>
      </c>
      <c r="J1489">
        <v>89249497000</v>
      </c>
      <c r="K1489">
        <v>25012182000</v>
      </c>
      <c r="L1489">
        <v>35535228000</v>
      </c>
      <c r="M1489">
        <v>4884509000</v>
      </c>
      <c r="N1489">
        <v>28702087000</v>
      </c>
      <c r="O1489">
        <v>82292228000</v>
      </c>
      <c r="P1489">
        <v>6074614000</v>
      </c>
      <c r="Q1489">
        <v>2782977000</v>
      </c>
      <c r="R1489">
        <v>2229971000</v>
      </c>
      <c r="S1489">
        <v>894937000</v>
      </c>
      <c r="T1489">
        <v>7102898000</v>
      </c>
      <c r="U1489">
        <v>-9039517000</v>
      </c>
      <c r="V1489">
        <f t="shared" si="56"/>
        <v>45484025000</v>
      </c>
      <c r="W1489">
        <f t="shared" si="57"/>
        <v>63041675000</v>
      </c>
    </row>
    <row r="1490" spans="1:23" x14ac:dyDescent="0.2">
      <c r="A1490">
        <f>IF(D1490="USD",VLOOKUP(VALUE(RIGHT(E1490,4)),'USD RUB'!$E:$F,2,FALSE),1)</f>
        <v>1</v>
      </c>
      <c r="B1490" s="4">
        <v>1</v>
      </c>
      <c r="C1490">
        <v>1000</v>
      </c>
      <c r="D1490" t="s">
        <v>20</v>
      </c>
      <c r="E1490" s="1" t="s">
        <v>1506</v>
      </c>
      <c r="F1490">
        <v>181794000</v>
      </c>
      <c r="G1490">
        <v>42559133000</v>
      </c>
      <c r="H1490">
        <v>12117084000</v>
      </c>
      <c r="I1490">
        <v>4395092000</v>
      </c>
      <c r="J1490">
        <v>84991994000</v>
      </c>
      <c r="K1490">
        <v>24149176000</v>
      </c>
      <c r="L1490">
        <v>33241482000</v>
      </c>
      <c r="M1490">
        <v>5693330000</v>
      </c>
      <c r="N1490">
        <v>27601336000</v>
      </c>
      <c r="O1490">
        <v>126763125000</v>
      </c>
      <c r="P1490">
        <v>10984291000</v>
      </c>
      <c r="Q1490">
        <v>6479828000</v>
      </c>
      <c r="R1490">
        <v>5158217000</v>
      </c>
      <c r="S1490">
        <v>1177429000</v>
      </c>
      <c r="T1490">
        <v>12307669000</v>
      </c>
      <c r="U1490">
        <v>-13322172000</v>
      </c>
      <c r="V1490">
        <f t="shared" si="56"/>
        <v>61886486000</v>
      </c>
      <c r="W1490">
        <f t="shared" si="57"/>
        <v>51871163000</v>
      </c>
    </row>
    <row r="1491" spans="1:23" x14ac:dyDescent="0.2">
      <c r="A1491">
        <f>IF(D1491="USD",VLOOKUP(VALUE(RIGHT(E1491,4)),'USD RUB'!$E:$F,2,FALSE),1)</f>
        <v>1</v>
      </c>
      <c r="B1491" s="4">
        <v>1</v>
      </c>
      <c r="C1491">
        <v>1000</v>
      </c>
      <c r="D1491" t="s">
        <v>20</v>
      </c>
      <c r="E1491" s="1" t="s">
        <v>1507</v>
      </c>
      <c r="F1491">
        <v>120986000</v>
      </c>
      <c r="G1491">
        <v>31922086000</v>
      </c>
      <c r="H1491">
        <v>4974716000</v>
      </c>
      <c r="I1491">
        <v>873008000</v>
      </c>
      <c r="J1491">
        <v>63041675000</v>
      </c>
      <c r="K1491">
        <v>17003318000</v>
      </c>
      <c r="L1491">
        <v>32714404000</v>
      </c>
      <c r="M1491">
        <v>3297291000</v>
      </c>
      <c r="N1491">
        <v>13323953000</v>
      </c>
      <c r="O1491">
        <v>45484025000</v>
      </c>
      <c r="P1491">
        <v>3717237000</v>
      </c>
      <c r="Q1491">
        <v>1832642000</v>
      </c>
      <c r="R1491">
        <v>1381880000</v>
      </c>
      <c r="S1491">
        <v>514231000</v>
      </c>
      <c r="T1491">
        <v>4392479000</v>
      </c>
      <c r="U1491">
        <v>-2836812000</v>
      </c>
      <c r="V1491">
        <f t="shared" si="56"/>
        <v>14599806000</v>
      </c>
      <c r="W1491">
        <f t="shared" si="57"/>
        <v>43971358000</v>
      </c>
    </row>
    <row r="1492" spans="1:23" x14ac:dyDescent="0.2">
      <c r="A1492">
        <f>IF(D1492="USD",VLOOKUP(VALUE(RIGHT(E1492,4)),'USD RUB'!$E:$F,2,FALSE),1)</f>
        <v>1</v>
      </c>
      <c r="B1492" s="4">
        <v>1</v>
      </c>
      <c r="C1492">
        <v>1000</v>
      </c>
      <c r="D1492" t="s">
        <v>20</v>
      </c>
      <c r="E1492" s="1" t="s">
        <v>1508</v>
      </c>
      <c r="F1492">
        <v>100510000</v>
      </c>
      <c r="G1492">
        <v>26233315000</v>
      </c>
      <c r="H1492">
        <v>3215321000</v>
      </c>
      <c r="I1492">
        <v>873008000</v>
      </c>
      <c r="J1492">
        <v>55957042000</v>
      </c>
      <c r="K1492">
        <v>15155987000</v>
      </c>
      <c r="L1492">
        <v>28312236000</v>
      </c>
      <c r="M1492">
        <v>2462204000</v>
      </c>
      <c r="N1492">
        <v>12488818000</v>
      </c>
      <c r="O1492">
        <v>22430640000</v>
      </c>
      <c r="P1492">
        <v>1611277000</v>
      </c>
      <c r="Q1492">
        <v>737488000</v>
      </c>
      <c r="R1492">
        <v>546744000</v>
      </c>
      <c r="V1492" t="str">
        <f t="shared" si="56"/>
        <v/>
      </c>
      <c r="W1492" t="str">
        <f t="shared" si="57"/>
        <v/>
      </c>
    </row>
    <row r="1493" spans="1:23" x14ac:dyDescent="0.2">
      <c r="A1493">
        <f>IF(D1493="USD",VLOOKUP(VALUE(RIGHT(E1493,4)),'USD RUB'!$E:$F,2,FALSE),1)</f>
        <v>1</v>
      </c>
      <c r="B1493" s="4">
        <v>1</v>
      </c>
      <c r="C1493">
        <v>1000</v>
      </c>
      <c r="D1493" t="s">
        <v>20</v>
      </c>
      <c r="E1493" s="1" t="s">
        <v>1509</v>
      </c>
      <c r="F1493">
        <v>203854000</v>
      </c>
      <c r="G1493">
        <v>23229441000</v>
      </c>
      <c r="H1493">
        <v>1628171000</v>
      </c>
      <c r="I1493">
        <v>744894000</v>
      </c>
      <c r="J1493">
        <v>51871163000</v>
      </c>
      <c r="K1493">
        <v>16929489000</v>
      </c>
      <c r="L1493">
        <v>22996890000</v>
      </c>
      <c r="M1493">
        <v>1918205000</v>
      </c>
      <c r="N1493">
        <v>11944785000</v>
      </c>
      <c r="O1493">
        <v>61886486000</v>
      </c>
      <c r="P1493">
        <v>4777201000</v>
      </c>
      <c r="Q1493">
        <v>1592586000</v>
      </c>
      <c r="R1493">
        <v>1745478000</v>
      </c>
      <c r="S1493">
        <v>846323000</v>
      </c>
      <c r="U1493">
        <v>-72859000</v>
      </c>
      <c r="V1493">
        <f t="shared" si="56"/>
        <v>48928106000</v>
      </c>
      <c r="W1493">
        <f t="shared" si="57"/>
        <v>33548262000</v>
      </c>
    </row>
    <row r="1494" spans="1:23" x14ac:dyDescent="0.2">
      <c r="A1494">
        <f>IF(D1494="USD",VLOOKUP(VALUE(RIGHT(E1494,4)),'USD RUB'!$E:$F,2,FALSE),1)</f>
        <v>1</v>
      </c>
      <c r="B1494" s="4">
        <v>1</v>
      </c>
      <c r="C1494">
        <v>1000</v>
      </c>
      <c r="D1494" t="s">
        <v>20</v>
      </c>
      <c r="E1494" s="1" t="s">
        <v>1510</v>
      </c>
      <c r="F1494">
        <v>110322000</v>
      </c>
      <c r="G1494">
        <v>16935880000</v>
      </c>
      <c r="H1494">
        <v>1627532000</v>
      </c>
      <c r="J1494">
        <v>44402398000</v>
      </c>
      <c r="K1494">
        <v>12459064000</v>
      </c>
      <c r="L1494">
        <v>20260926000</v>
      </c>
      <c r="M1494">
        <v>1674899000</v>
      </c>
      <c r="N1494">
        <v>11682408000</v>
      </c>
      <c r="O1494">
        <v>31236044000</v>
      </c>
      <c r="P1494">
        <v>3614841000</v>
      </c>
      <c r="Q1494">
        <v>1445192000</v>
      </c>
      <c r="R1494">
        <v>1500909000</v>
      </c>
      <c r="S1494">
        <v>691327000</v>
      </c>
      <c r="T1494">
        <v>4300000000</v>
      </c>
      <c r="U1494">
        <v>-1561813000</v>
      </c>
      <c r="V1494" t="str">
        <f t="shared" si="56"/>
        <v/>
      </c>
      <c r="W1494" t="str">
        <f t="shared" si="57"/>
        <v/>
      </c>
    </row>
    <row r="1495" spans="1:23" x14ac:dyDescent="0.2">
      <c r="A1495">
        <f>IF(D1495="USD",VLOOKUP(VALUE(RIGHT(E1495,4)),'USD RUB'!$E:$F,2,FALSE),1)</f>
        <v>1</v>
      </c>
      <c r="B1495" s="4">
        <v>1</v>
      </c>
      <c r="C1495">
        <v>1000</v>
      </c>
      <c r="D1495" t="s">
        <v>20</v>
      </c>
      <c r="E1495" s="1" t="s">
        <v>1511</v>
      </c>
      <c r="F1495">
        <v>109110000</v>
      </c>
      <c r="G1495">
        <v>14858292000</v>
      </c>
      <c r="H1495">
        <v>73275000</v>
      </c>
      <c r="J1495">
        <v>43971358000</v>
      </c>
      <c r="K1495">
        <v>8447092000</v>
      </c>
      <c r="L1495">
        <v>25137980000</v>
      </c>
      <c r="M1495">
        <v>378777000</v>
      </c>
      <c r="N1495">
        <v>10386286000</v>
      </c>
      <c r="O1495">
        <v>14599806000</v>
      </c>
      <c r="P1495">
        <v>1628640000</v>
      </c>
      <c r="Q1495">
        <v>33201000</v>
      </c>
      <c r="R1495">
        <v>-304138000</v>
      </c>
      <c r="S1495">
        <v>431847000</v>
      </c>
      <c r="T1495">
        <v>2224344000</v>
      </c>
      <c r="U1495">
        <v>-2211000</v>
      </c>
      <c r="V1495" t="str">
        <f t="shared" si="56"/>
        <v/>
      </c>
      <c r="W1495" t="str">
        <f t="shared" si="57"/>
        <v/>
      </c>
    </row>
    <row r="1496" spans="1:23" x14ac:dyDescent="0.2">
      <c r="A1496">
        <f>IF(D1496="USD",VLOOKUP(VALUE(RIGHT(E1496,4)),'USD RUB'!$E:$F,2,FALSE),1)</f>
        <v>1</v>
      </c>
      <c r="B1496" s="4">
        <v>1</v>
      </c>
      <c r="C1496">
        <v>1000</v>
      </c>
      <c r="D1496" t="s">
        <v>20</v>
      </c>
      <c r="E1496" s="1" t="s">
        <v>1512</v>
      </c>
      <c r="F1496">
        <v>80459000</v>
      </c>
      <c r="G1496">
        <v>29363305000</v>
      </c>
      <c r="H1496">
        <v>79500000</v>
      </c>
      <c r="J1496">
        <v>33548262000</v>
      </c>
      <c r="K1496">
        <v>29391889000</v>
      </c>
      <c r="L1496">
        <v>3977083000</v>
      </c>
      <c r="M1496">
        <v>173990000</v>
      </c>
      <c r="N1496">
        <v>179290000</v>
      </c>
      <c r="O1496">
        <v>48928106000</v>
      </c>
      <c r="P1496">
        <v>1618914000</v>
      </c>
      <c r="Q1496">
        <v>696428000</v>
      </c>
      <c r="R1496">
        <v>555864000</v>
      </c>
      <c r="S1496">
        <v>1067271000</v>
      </c>
      <c r="T1496">
        <v>3000000000</v>
      </c>
      <c r="U1496">
        <v>-23922000</v>
      </c>
      <c r="V1496">
        <f t="shared" si="56"/>
        <v>35974609000</v>
      </c>
      <c r="W1496">
        <f t="shared" si="57"/>
        <v>26310908000</v>
      </c>
    </row>
    <row r="1497" spans="1:23" s="20" customFormat="1" x14ac:dyDescent="0.2">
      <c r="A1497" s="20">
        <f>IF(D1497="USD",VLOOKUP(VALUE(RIGHT(E1497,4)),'USD RUB'!$E:$F,2,FALSE),1)</f>
        <v>1</v>
      </c>
      <c r="B1497" s="21">
        <v>1</v>
      </c>
      <c r="C1497" s="20">
        <v>1000</v>
      </c>
      <c r="D1497" s="20" t="s">
        <v>20</v>
      </c>
      <c r="E1497" s="22" t="s">
        <v>1513</v>
      </c>
      <c r="F1497" s="20">
        <v>42085000</v>
      </c>
      <c r="G1497" s="20">
        <v>24950780000</v>
      </c>
      <c r="H1497" s="20">
        <v>68163000</v>
      </c>
      <c r="J1497" s="20">
        <v>26310908000</v>
      </c>
      <c r="K1497" s="20">
        <v>26361362000</v>
      </c>
      <c r="L1497" s="20">
        <v>326120000</v>
      </c>
      <c r="M1497" s="20">
        <v>-381874000</v>
      </c>
      <c r="N1497" s="20">
        <v>-376574000</v>
      </c>
      <c r="O1497" s="20">
        <v>35974609000</v>
      </c>
      <c r="P1497" s="20">
        <v>1056287000</v>
      </c>
      <c r="Q1497" s="20">
        <v>388013000</v>
      </c>
      <c r="R1497" s="20">
        <v>283803000</v>
      </c>
      <c r="S1497" s="20">
        <v>1064381000</v>
      </c>
      <c r="T1497" s="20">
        <v>2800000000</v>
      </c>
      <c r="U1497" s="20">
        <v>-70405000</v>
      </c>
      <c r="V1497" s="20">
        <f t="shared" ref="V1497:V1560" si="58">_xlfn.XLOOKUP(LEFT(E1497,LEN(E1497)-4)&amp;(VALUE(RIGHT(E1497,4))-1),$E:$E,$O:$O,"")</f>
        <v>33876935000</v>
      </c>
      <c r="W1497" s="20">
        <f t="shared" ref="W1497:W1560" si="59">_xlfn.XLOOKUP(LEFT(E1497,LEN(E1497)-4)&amp;(VALUE(RIGHT(E1497,4))-1),$E:$E,$J:$J,"")</f>
        <v>24333083000</v>
      </c>
    </row>
    <row r="1498" spans="1:23" s="20" customFormat="1" x14ac:dyDescent="0.2">
      <c r="A1498" s="20">
        <f>IF(D1498="USD",VLOOKUP(VALUE(RIGHT(E1498,4)),'USD RUB'!$E:$F,2,FALSE),1)</f>
        <v>1</v>
      </c>
      <c r="B1498" s="21">
        <v>1</v>
      </c>
      <c r="C1498" s="20">
        <v>1000</v>
      </c>
      <c r="D1498" s="20" t="s">
        <v>20</v>
      </c>
      <c r="E1498" s="22" t="s">
        <v>1514</v>
      </c>
      <c r="F1498" s="20">
        <v>73725000</v>
      </c>
      <c r="G1498" s="20">
        <v>5349120000</v>
      </c>
      <c r="H1498" s="20">
        <v>1980000</v>
      </c>
      <c r="J1498" s="20">
        <v>24333083000</v>
      </c>
      <c r="K1498" s="20">
        <v>24304863000</v>
      </c>
      <c r="L1498" s="20">
        <v>688597000</v>
      </c>
      <c r="M1498" s="20">
        <v>-665677000</v>
      </c>
      <c r="N1498" s="20">
        <v>-660377000</v>
      </c>
      <c r="O1498" s="20">
        <v>33876935000</v>
      </c>
      <c r="P1498" s="20">
        <v>691456000</v>
      </c>
      <c r="Q1498" s="20">
        <v>-942602000</v>
      </c>
      <c r="R1498" s="20">
        <v>-758770000</v>
      </c>
      <c r="S1498" s="20">
        <v>1076147000</v>
      </c>
      <c r="T1498" s="20">
        <v>1900000000</v>
      </c>
      <c r="U1498" s="20">
        <v>-555000</v>
      </c>
      <c r="V1498" s="20" t="str">
        <f t="shared" si="58"/>
        <v/>
      </c>
      <c r="W1498" s="20" t="str">
        <f t="shared" si="59"/>
        <v/>
      </c>
    </row>
    <row r="1499" spans="1:23" x14ac:dyDescent="0.2">
      <c r="A1499">
        <f>IF(D1499="USD",VLOOKUP(VALUE(RIGHT(E1499,4)),'USD RUB'!$E:$F,2,FALSE),1)</f>
        <v>1</v>
      </c>
      <c r="B1499" s="4">
        <v>1</v>
      </c>
      <c r="C1499">
        <v>1000000</v>
      </c>
      <c r="D1499" t="s">
        <v>20</v>
      </c>
      <c r="E1499" s="1" t="s">
        <v>1515</v>
      </c>
      <c r="F1499">
        <v>13836000000</v>
      </c>
      <c r="G1499">
        <v>82763000000</v>
      </c>
      <c r="H1499">
        <v>37644000000</v>
      </c>
      <c r="I1499">
        <v>3774000000</v>
      </c>
      <c r="J1499">
        <v>146655000000</v>
      </c>
      <c r="K1499">
        <v>65903000000</v>
      </c>
      <c r="L1499">
        <v>16760000000</v>
      </c>
      <c r="M1499">
        <v>63978000000</v>
      </c>
      <c r="N1499">
        <v>63992000000</v>
      </c>
      <c r="O1499">
        <v>327507000000</v>
      </c>
      <c r="P1499">
        <v>27065000000</v>
      </c>
      <c r="Q1499">
        <v>21401000000</v>
      </c>
      <c r="R1499">
        <v>15721000000</v>
      </c>
      <c r="S1499">
        <v>19167000000</v>
      </c>
      <c r="T1499">
        <v>46232000000</v>
      </c>
      <c r="U1499">
        <v>-10904000000</v>
      </c>
      <c r="V1499">
        <f t="shared" si="58"/>
        <v>314938000000</v>
      </c>
      <c r="W1499">
        <f t="shared" si="59"/>
        <v>136708000000</v>
      </c>
    </row>
    <row r="1500" spans="1:23" x14ac:dyDescent="0.2">
      <c r="A1500">
        <f>IF(D1500="USD",VLOOKUP(VALUE(RIGHT(E1500,4)),'USD RUB'!$E:$F,2,FALSE),1)</f>
        <v>1</v>
      </c>
      <c r="B1500" s="4">
        <v>1</v>
      </c>
      <c r="C1500">
        <v>1000000</v>
      </c>
      <c r="D1500" t="s">
        <v>20</v>
      </c>
      <c r="E1500" s="1" t="s">
        <v>1516</v>
      </c>
      <c r="F1500">
        <v>5646000000</v>
      </c>
      <c r="G1500">
        <v>71949000000</v>
      </c>
      <c r="H1500">
        <v>31865000000</v>
      </c>
      <c r="I1500">
        <v>3406000000</v>
      </c>
      <c r="J1500">
        <v>126437000000</v>
      </c>
      <c r="K1500">
        <v>59164000000</v>
      </c>
      <c r="L1500">
        <v>12668000000</v>
      </c>
      <c r="M1500">
        <v>54980000000</v>
      </c>
      <c r="N1500">
        <v>54605000000</v>
      </c>
      <c r="O1500">
        <v>154517000000</v>
      </c>
      <c r="P1500">
        <v>11353000000</v>
      </c>
      <c r="Q1500">
        <v>8339000000</v>
      </c>
      <c r="R1500">
        <v>6171000000</v>
      </c>
      <c r="S1500">
        <v>9191000000</v>
      </c>
      <c r="T1500">
        <v>20544000000</v>
      </c>
      <c r="U1500">
        <v>-4847000000</v>
      </c>
      <c r="V1500">
        <f t="shared" si="58"/>
        <v>148391000000</v>
      </c>
      <c r="W1500">
        <f t="shared" si="59"/>
        <v>142807000000</v>
      </c>
    </row>
    <row r="1501" spans="1:23" x14ac:dyDescent="0.2">
      <c r="A1501">
        <f>IF(D1501="USD",VLOOKUP(VALUE(RIGHT(E1501,4)),'USD RUB'!$E:$F,2,FALSE),1)</f>
        <v>1</v>
      </c>
      <c r="B1501" s="4">
        <v>1</v>
      </c>
      <c r="C1501">
        <v>1000000</v>
      </c>
      <c r="D1501" t="s">
        <v>20</v>
      </c>
      <c r="E1501" s="1" t="s">
        <v>1517</v>
      </c>
      <c r="F1501">
        <v>19579000000</v>
      </c>
      <c r="G1501">
        <v>86331000000</v>
      </c>
      <c r="H1501">
        <v>30921000000</v>
      </c>
      <c r="I1501">
        <v>3039000000</v>
      </c>
      <c r="J1501">
        <v>136708000000</v>
      </c>
      <c r="K1501">
        <v>78374000000</v>
      </c>
      <c r="L1501">
        <v>9557000000</v>
      </c>
      <c r="M1501">
        <v>48789000000</v>
      </c>
      <c r="N1501">
        <v>48777000000</v>
      </c>
      <c r="O1501">
        <v>314938000000</v>
      </c>
      <c r="P1501">
        <v>36135000000</v>
      </c>
      <c r="Q1501">
        <v>35279000000</v>
      </c>
      <c r="R1501">
        <v>22200000000</v>
      </c>
      <c r="S1501">
        <v>16917000000</v>
      </c>
      <c r="T1501">
        <v>53052000000</v>
      </c>
      <c r="U1501">
        <v>-8763000000</v>
      </c>
      <c r="V1501">
        <f t="shared" si="58"/>
        <v>291865000000</v>
      </c>
      <c r="W1501">
        <f t="shared" si="59"/>
        <v>137706000000</v>
      </c>
    </row>
    <row r="1502" spans="1:23" x14ac:dyDescent="0.2">
      <c r="A1502">
        <f>IF(D1502="USD",VLOOKUP(VALUE(RIGHT(E1502,4)),'USD RUB'!$E:$F,2,FALSE),1)</f>
        <v>1</v>
      </c>
      <c r="B1502" s="4">
        <v>1</v>
      </c>
      <c r="C1502">
        <v>1000000</v>
      </c>
      <c r="D1502" t="s">
        <v>20</v>
      </c>
      <c r="E1502" s="1" t="s">
        <v>1518</v>
      </c>
      <c r="F1502">
        <v>39518000000</v>
      </c>
      <c r="G1502">
        <v>97375000000</v>
      </c>
      <c r="H1502">
        <v>29645000000</v>
      </c>
      <c r="I1502">
        <v>2623000000</v>
      </c>
      <c r="J1502">
        <v>142807000000</v>
      </c>
      <c r="K1502">
        <v>66267000000</v>
      </c>
      <c r="L1502">
        <v>10113000000</v>
      </c>
      <c r="M1502">
        <v>66489000000</v>
      </c>
      <c r="N1502">
        <v>66427000000</v>
      </c>
      <c r="O1502">
        <v>148391000000</v>
      </c>
      <c r="P1502">
        <v>14283000000</v>
      </c>
      <c r="Q1502">
        <v>13365000000</v>
      </c>
      <c r="R1502">
        <v>9100000000</v>
      </c>
      <c r="S1502">
        <v>8262000000</v>
      </c>
      <c r="T1502">
        <v>22545000000</v>
      </c>
      <c r="U1502">
        <v>-2671000000</v>
      </c>
      <c r="V1502">
        <f t="shared" si="58"/>
        <v>135677000000</v>
      </c>
      <c r="W1502">
        <f t="shared" si="59"/>
        <v>118743000000</v>
      </c>
    </row>
    <row r="1503" spans="1:23" x14ac:dyDescent="0.2">
      <c r="A1503">
        <f>IF(D1503="USD",VLOOKUP(VALUE(RIGHT(E1503,4)),'USD RUB'!$E:$F,2,FALSE),1)</f>
        <v>1</v>
      </c>
      <c r="B1503" s="4">
        <v>1</v>
      </c>
      <c r="C1503">
        <v>1000000</v>
      </c>
      <c r="D1503" t="s">
        <v>20</v>
      </c>
      <c r="E1503" s="1" t="s">
        <v>1519</v>
      </c>
      <c r="F1503">
        <v>37343000000</v>
      </c>
      <c r="G1503">
        <v>92661000000</v>
      </c>
      <c r="H1503">
        <v>29317000000</v>
      </c>
      <c r="I1503">
        <v>2409000000</v>
      </c>
      <c r="J1503">
        <v>137706000000</v>
      </c>
      <c r="K1503">
        <v>62320000000</v>
      </c>
      <c r="L1503">
        <v>10067000000</v>
      </c>
      <c r="M1503">
        <v>65352000000</v>
      </c>
      <c r="N1503">
        <v>65319000000</v>
      </c>
      <c r="O1503">
        <v>291865000000</v>
      </c>
      <c r="P1503">
        <v>37927000000</v>
      </c>
      <c r="Q1503">
        <v>38038000000</v>
      </c>
      <c r="R1503">
        <v>35707000000</v>
      </c>
      <c r="S1503">
        <v>15138000000</v>
      </c>
      <c r="T1503">
        <v>53063000000</v>
      </c>
      <c r="U1503">
        <v>-6558000000</v>
      </c>
      <c r="V1503">
        <f t="shared" si="58"/>
        <v>277644000000</v>
      </c>
      <c r="W1503">
        <f t="shared" si="59"/>
        <v>113026000000</v>
      </c>
    </row>
    <row r="1504" spans="1:23" x14ac:dyDescent="0.2">
      <c r="A1504">
        <f>IF(D1504="USD",VLOOKUP(VALUE(RIGHT(E1504,4)),'USD RUB'!$E:$F,2,FALSE),1)</f>
        <v>1</v>
      </c>
      <c r="B1504" s="4">
        <v>1</v>
      </c>
      <c r="C1504">
        <v>1000000</v>
      </c>
      <c r="D1504" t="s">
        <v>20</v>
      </c>
      <c r="E1504" s="1" t="s">
        <v>1520</v>
      </c>
      <c r="F1504">
        <v>29373000000</v>
      </c>
      <c r="G1504">
        <v>75435000000</v>
      </c>
      <c r="H1504">
        <v>24747000000</v>
      </c>
      <c r="I1504">
        <v>2157000000</v>
      </c>
      <c r="J1504">
        <v>118743000000</v>
      </c>
      <c r="K1504">
        <v>59694000000</v>
      </c>
      <c r="L1504">
        <v>9730000000</v>
      </c>
      <c r="M1504">
        <v>49418000000</v>
      </c>
      <c r="N1504">
        <v>49319000000</v>
      </c>
      <c r="O1504">
        <v>135677000000</v>
      </c>
      <c r="P1504">
        <v>16327000000</v>
      </c>
      <c r="Q1504">
        <v>16643000000</v>
      </c>
      <c r="R1504">
        <v>19646000000</v>
      </c>
      <c r="S1504">
        <v>7235000000</v>
      </c>
      <c r="T1504">
        <v>23600000000</v>
      </c>
      <c r="U1504">
        <v>-3441000000</v>
      </c>
      <c r="V1504">
        <f t="shared" si="58"/>
        <v>131788000000</v>
      </c>
      <c r="W1504">
        <f t="shared" si="59"/>
        <v>89143000000</v>
      </c>
    </row>
    <row r="1505" spans="1:23" x14ac:dyDescent="0.2">
      <c r="A1505">
        <f>IF(D1505="USD",VLOOKUP(VALUE(RIGHT(E1505,4)),'USD RUB'!$E:$F,2,FALSE),1)</f>
        <v>1</v>
      </c>
      <c r="B1505" s="4">
        <v>1</v>
      </c>
      <c r="C1505">
        <v>1000000</v>
      </c>
      <c r="D1505" t="s">
        <v>20</v>
      </c>
      <c r="E1505" s="1" t="s">
        <v>1521</v>
      </c>
      <c r="F1505">
        <v>23584000000</v>
      </c>
      <c r="G1505">
        <v>72494000000</v>
      </c>
      <c r="H1505">
        <v>19692000000</v>
      </c>
      <c r="I1505">
        <v>1900000000</v>
      </c>
      <c r="J1505">
        <v>113026000000</v>
      </c>
      <c r="K1505">
        <v>74371000000</v>
      </c>
      <c r="L1505">
        <v>9388000000</v>
      </c>
      <c r="M1505">
        <v>29241000000</v>
      </c>
      <c r="N1505">
        <v>29267000000</v>
      </c>
      <c r="O1505">
        <v>277644000000</v>
      </c>
      <c r="P1505">
        <v>41060000000</v>
      </c>
      <c r="Q1505">
        <v>37825000000</v>
      </c>
      <c r="R1505">
        <v>21411000000</v>
      </c>
      <c r="S1505">
        <v>13138000000</v>
      </c>
      <c r="T1505">
        <v>54200000000</v>
      </c>
      <c r="U1505">
        <v>-12015000000</v>
      </c>
      <c r="V1505">
        <f t="shared" si="58"/>
        <v>230473000000</v>
      </c>
      <c r="W1505">
        <f t="shared" si="59"/>
        <v>84929000000</v>
      </c>
    </row>
    <row r="1506" spans="1:23" x14ac:dyDescent="0.2">
      <c r="A1506">
        <f>IF(D1506="USD",VLOOKUP(VALUE(RIGHT(E1506,4)),'USD RUB'!$E:$F,2,FALSE),1)</f>
        <v>1</v>
      </c>
      <c r="B1506" s="4">
        <v>1</v>
      </c>
      <c r="C1506">
        <v>1000000</v>
      </c>
      <c r="D1506" t="s">
        <v>20</v>
      </c>
      <c r="E1506" s="1" t="s">
        <v>1522</v>
      </c>
      <c r="F1506">
        <v>7700000000</v>
      </c>
      <c r="G1506">
        <v>55378000000</v>
      </c>
      <c r="H1506">
        <v>18593000000</v>
      </c>
      <c r="I1506">
        <v>1630000000</v>
      </c>
      <c r="J1506">
        <v>89143000000</v>
      </c>
      <c r="K1506">
        <v>72462000000</v>
      </c>
      <c r="L1506">
        <v>9207000000</v>
      </c>
      <c r="M1506">
        <v>7125000000</v>
      </c>
      <c r="N1506">
        <v>7474000000</v>
      </c>
      <c r="O1506">
        <v>131788000000</v>
      </c>
      <c r="P1506">
        <v>19618000000</v>
      </c>
      <c r="Q1506">
        <v>16104000000</v>
      </c>
      <c r="R1506">
        <v>5095000000</v>
      </c>
      <c r="S1506">
        <v>6373000000</v>
      </c>
      <c r="T1506">
        <v>25991000000</v>
      </c>
      <c r="U1506">
        <v>-3692000000</v>
      </c>
      <c r="V1506">
        <f t="shared" si="58"/>
        <v>106116000000</v>
      </c>
      <c r="W1506">
        <f t="shared" si="59"/>
        <v>70445000000</v>
      </c>
    </row>
    <row r="1507" spans="1:23" x14ac:dyDescent="0.2">
      <c r="A1507">
        <f>IF(D1507="USD",VLOOKUP(VALUE(RIGHT(E1507,4)),'USD RUB'!$E:$F,2,FALSE),1)</f>
        <v>1</v>
      </c>
      <c r="B1507" s="4">
        <v>1</v>
      </c>
      <c r="C1507">
        <v>1000000</v>
      </c>
      <c r="D1507" t="s">
        <v>20</v>
      </c>
      <c r="E1507" s="1" t="s">
        <v>1523</v>
      </c>
      <c r="F1507">
        <v>8779000000</v>
      </c>
      <c r="G1507">
        <v>55125000000</v>
      </c>
      <c r="H1507">
        <v>18142000000</v>
      </c>
      <c r="I1507">
        <v>1419000000</v>
      </c>
      <c r="J1507">
        <v>84929000000</v>
      </c>
      <c r="K1507">
        <v>72652000000</v>
      </c>
      <c r="L1507">
        <v>4298000000</v>
      </c>
      <c r="M1507">
        <v>7830000000</v>
      </c>
      <c r="N1507">
        <v>7979000000</v>
      </c>
      <c r="O1507">
        <v>230473000000</v>
      </c>
      <c r="P1507">
        <v>32326000000</v>
      </c>
      <c r="Q1507">
        <v>30596000000</v>
      </c>
      <c r="R1507">
        <v>21389000000</v>
      </c>
      <c r="S1507">
        <v>11829000000</v>
      </c>
      <c r="T1507">
        <v>44155000000</v>
      </c>
      <c r="U1507">
        <v>-6279000000</v>
      </c>
      <c r="V1507">
        <f t="shared" si="58"/>
        <v>190059000000</v>
      </c>
      <c r="W1507">
        <f t="shared" si="59"/>
        <v>82107000000</v>
      </c>
    </row>
    <row r="1508" spans="1:23" x14ac:dyDescent="0.2">
      <c r="A1508">
        <f>IF(D1508="USD",VLOOKUP(VALUE(RIGHT(E1508,4)),'USD RUB'!$E:$F,2,FALSE),1)</f>
        <v>1</v>
      </c>
      <c r="B1508" s="4">
        <v>1</v>
      </c>
      <c r="C1508">
        <v>1000000</v>
      </c>
      <c r="D1508" t="s">
        <v>20</v>
      </c>
      <c r="E1508" s="1" t="s">
        <v>1524</v>
      </c>
      <c r="F1508">
        <v>4959000000</v>
      </c>
      <c r="G1508">
        <v>41472000000</v>
      </c>
      <c r="H1508">
        <v>13923000000</v>
      </c>
      <c r="I1508">
        <v>1229000000</v>
      </c>
      <c r="J1508">
        <v>70445000000</v>
      </c>
      <c r="K1508">
        <v>58714000000</v>
      </c>
      <c r="L1508">
        <v>5573000000</v>
      </c>
      <c r="M1508">
        <v>6017000000</v>
      </c>
      <c r="N1508">
        <v>6158000000</v>
      </c>
      <c r="O1508">
        <v>106116000000</v>
      </c>
      <c r="P1508">
        <v>14152000000</v>
      </c>
      <c r="Q1508">
        <v>13601000000</v>
      </c>
      <c r="R1508">
        <v>9788000000</v>
      </c>
      <c r="S1508">
        <v>5676000000</v>
      </c>
      <c r="T1508">
        <v>19828000000</v>
      </c>
      <c r="U1508">
        <v>-3794000000</v>
      </c>
      <c r="V1508">
        <f t="shared" si="58"/>
        <v>82869000000</v>
      </c>
      <c r="W1508">
        <f t="shared" si="59"/>
        <v>55742000000</v>
      </c>
    </row>
    <row r="1509" spans="1:23" x14ac:dyDescent="0.2">
      <c r="A1509">
        <f>IF(D1509="USD",VLOOKUP(VALUE(RIGHT(E1509,4)),'USD RUB'!$E:$F,2,FALSE),1)</f>
        <v>1</v>
      </c>
      <c r="B1509" s="4">
        <v>1</v>
      </c>
      <c r="C1509">
        <v>1000000</v>
      </c>
      <c r="D1509" t="s">
        <v>20</v>
      </c>
      <c r="E1509" s="1" t="s">
        <v>1525</v>
      </c>
      <c r="F1509">
        <v>26375000000</v>
      </c>
      <c r="G1509">
        <v>56810000000</v>
      </c>
      <c r="H1509">
        <v>13308000000</v>
      </c>
      <c r="I1509">
        <v>1078000000</v>
      </c>
      <c r="J1509">
        <v>82107000000</v>
      </c>
      <c r="K1509">
        <v>81618000000</v>
      </c>
      <c r="L1509">
        <v>4098000000</v>
      </c>
      <c r="M1509">
        <v>-3771000000</v>
      </c>
      <c r="N1509">
        <v>-3609000000</v>
      </c>
      <c r="O1509">
        <v>190059000000</v>
      </c>
      <c r="P1509">
        <v>26923000000</v>
      </c>
      <c r="Q1509">
        <v>26310000000</v>
      </c>
      <c r="R1509">
        <v>17575000000</v>
      </c>
      <c r="S1509">
        <v>9865000000</v>
      </c>
      <c r="T1509">
        <v>36788000000</v>
      </c>
      <c r="U1509">
        <v>-6167000000</v>
      </c>
      <c r="V1509">
        <f t="shared" si="58"/>
        <v>142880000000</v>
      </c>
      <c r="W1509">
        <f t="shared" si="59"/>
        <v>53660000000</v>
      </c>
    </row>
    <row r="1510" spans="1:23" x14ac:dyDescent="0.2">
      <c r="A1510">
        <f>IF(D1510="USD",VLOOKUP(VALUE(RIGHT(E1510,4)),'USD RUB'!$E:$F,2,FALSE),1)</f>
        <v>1</v>
      </c>
      <c r="B1510" s="4">
        <v>1</v>
      </c>
      <c r="C1510">
        <v>1000000</v>
      </c>
      <c r="D1510" t="s">
        <v>20</v>
      </c>
      <c r="E1510" s="1" t="s">
        <v>1526</v>
      </c>
      <c r="F1510">
        <v>7789000000</v>
      </c>
      <c r="G1510">
        <v>34434000000</v>
      </c>
      <c r="H1510">
        <v>12507000000</v>
      </c>
      <c r="I1510">
        <v>815000000</v>
      </c>
      <c r="J1510">
        <v>55742000000</v>
      </c>
      <c r="K1510">
        <v>40926000000</v>
      </c>
      <c r="L1510">
        <v>2982000000</v>
      </c>
      <c r="M1510">
        <v>11666000000</v>
      </c>
      <c r="N1510">
        <v>11834000000</v>
      </c>
      <c r="O1510">
        <v>82869000000</v>
      </c>
      <c r="P1510">
        <v>11199000000</v>
      </c>
      <c r="Q1510">
        <v>11982000000</v>
      </c>
      <c r="R1510">
        <v>9014000000</v>
      </c>
      <c r="S1510">
        <v>4782000000</v>
      </c>
      <c r="T1510">
        <v>15981000000</v>
      </c>
      <c r="U1510">
        <v>-2512000000</v>
      </c>
      <c r="V1510" t="str">
        <f t="shared" si="58"/>
        <v/>
      </c>
      <c r="W1510" t="str">
        <f t="shared" si="59"/>
        <v/>
      </c>
    </row>
    <row r="1511" spans="1:23" x14ac:dyDescent="0.2">
      <c r="A1511">
        <f>IF(D1511="USD",VLOOKUP(VALUE(RIGHT(E1511,4)),'USD RUB'!$E:$F,2,FALSE),1)</f>
        <v>1</v>
      </c>
      <c r="B1511" s="4">
        <v>1</v>
      </c>
      <c r="C1511">
        <v>1000000</v>
      </c>
      <c r="D1511" t="s">
        <v>20</v>
      </c>
      <c r="E1511" s="1" t="s">
        <v>1527</v>
      </c>
      <c r="F1511">
        <v>11881000000</v>
      </c>
      <c r="G1511">
        <v>34730000000</v>
      </c>
      <c r="H1511">
        <v>10882000000</v>
      </c>
      <c r="I1511">
        <v>688000000</v>
      </c>
      <c r="J1511">
        <v>53660000000</v>
      </c>
      <c r="K1511">
        <v>39365000000</v>
      </c>
      <c r="L1511">
        <v>2842000000</v>
      </c>
      <c r="M1511">
        <v>11298000000</v>
      </c>
      <c r="N1511">
        <v>11453000000</v>
      </c>
      <c r="O1511">
        <v>142880000000</v>
      </c>
      <c r="P1511">
        <v>18455000000</v>
      </c>
      <c r="Q1511">
        <v>17535000000</v>
      </c>
      <c r="R1511">
        <v>13173000000</v>
      </c>
      <c r="S1511">
        <v>8695000000</v>
      </c>
      <c r="T1511">
        <v>27150000000</v>
      </c>
      <c r="U1511">
        <v>-4196000000</v>
      </c>
      <c r="V1511">
        <f t="shared" si="58"/>
        <v>108763000000</v>
      </c>
      <c r="W1511">
        <f t="shared" si="59"/>
        <v>35278000000</v>
      </c>
    </row>
    <row r="1512" spans="1:23" x14ac:dyDescent="0.2">
      <c r="A1512">
        <f>IF(D1512="USD",VLOOKUP(VALUE(RIGHT(E1512,4)),'USD RUB'!$E:$F,2,FALSE),1)</f>
        <v>1</v>
      </c>
      <c r="B1512" s="4">
        <v>1</v>
      </c>
      <c r="C1512">
        <v>1000000</v>
      </c>
      <c r="D1512" t="s">
        <v>20</v>
      </c>
      <c r="E1512" s="1" t="s">
        <v>1528</v>
      </c>
      <c r="F1512">
        <v>5882000000</v>
      </c>
      <c r="G1512">
        <v>23207000000</v>
      </c>
      <c r="H1512">
        <v>9108000000</v>
      </c>
      <c r="I1512">
        <v>1577000000</v>
      </c>
      <c r="J1512">
        <v>35278000000</v>
      </c>
      <c r="K1512">
        <v>21458000000</v>
      </c>
      <c r="L1512">
        <v>583000000</v>
      </c>
      <c r="M1512">
        <v>13082000000</v>
      </c>
      <c r="N1512">
        <v>13237000000</v>
      </c>
      <c r="O1512">
        <v>108763000000</v>
      </c>
      <c r="P1512">
        <v>12644000000</v>
      </c>
      <c r="Q1512">
        <v>12269000000</v>
      </c>
      <c r="R1512">
        <v>9128000000</v>
      </c>
      <c r="S1512">
        <v>1464000000</v>
      </c>
      <c r="T1512">
        <v>14201000000</v>
      </c>
      <c r="U1512">
        <v>-4217000000</v>
      </c>
      <c r="V1512">
        <f t="shared" si="58"/>
        <v>80652000000</v>
      </c>
      <c r="W1512">
        <f t="shared" si="59"/>
        <v>30160000000</v>
      </c>
    </row>
    <row r="1513" spans="1:23" x14ac:dyDescent="0.2">
      <c r="A1513">
        <f>IF(D1513="USD",VLOOKUP(VALUE(RIGHT(E1513,4)),'USD RUB'!$E:$F,2,FALSE),1)</f>
        <v>1</v>
      </c>
      <c r="B1513" s="4">
        <v>1</v>
      </c>
      <c r="C1513">
        <v>1000000</v>
      </c>
      <c r="D1513" t="s">
        <v>20</v>
      </c>
      <c r="E1513" s="1" t="s">
        <v>1529</v>
      </c>
      <c r="F1513">
        <v>6102000000</v>
      </c>
      <c r="G1513">
        <v>20943000000</v>
      </c>
      <c r="H1513">
        <v>7980000000</v>
      </c>
      <c r="I1513">
        <v>632000000</v>
      </c>
      <c r="J1513">
        <v>30160000000</v>
      </c>
      <c r="K1513">
        <v>18537000000</v>
      </c>
      <c r="L1513">
        <v>881000000</v>
      </c>
      <c r="M1513">
        <v>10587000000</v>
      </c>
      <c r="N1513">
        <v>10742000000</v>
      </c>
      <c r="O1513">
        <v>80652000000</v>
      </c>
      <c r="P1513">
        <v>8109000000</v>
      </c>
      <c r="Q1513">
        <v>7443000000</v>
      </c>
      <c r="R1513">
        <v>5563000000</v>
      </c>
      <c r="S1513">
        <v>757000000</v>
      </c>
      <c r="T1513">
        <v>9005000000</v>
      </c>
      <c r="U1513">
        <v>-1503000000</v>
      </c>
      <c r="V1513" t="str">
        <f t="shared" si="58"/>
        <v/>
      </c>
      <c r="W1513" t="str">
        <f t="shared" si="59"/>
        <v/>
      </c>
    </row>
    <row r="1514" spans="1:23" x14ac:dyDescent="0.2">
      <c r="A1514">
        <f>IF(D1514="USD",VLOOKUP(VALUE(RIGHT(E1514,4)),'USD RUB'!$E:$F,2,FALSE),1)</f>
        <v>1</v>
      </c>
      <c r="B1514" s="4">
        <v>1</v>
      </c>
      <c r="C1514">
        <v>1000</v>
      </c>
      <c r="D1514" t="s">
        <v>1531</v>
      </c>
      <c r="E1514" s="1" t="s">
        <v>1530</v>
      </c>
      <c r="F1514">
        <v>63731000</v>
      </c>
      <c r="G1514">
        <v>88058000</v>
      </c>
      <c r="H1514">
        <v>124101000</v>
      </c>
      <c r="I1514">
        <v>143888000</v>
      </c>
      <c r="J1514">
        <v>357780000</v>
      </c>
      <c r="K1514">
        <v>105401000</v>
      </c>
      <c r="L1514">
        <v>109104000</v>
      </c>
      <c r="M1514">
        <v>211065000</v>
      </c>
      <c r="N1514">
        <v>143275000</v>
      </c>
      <c r="O1514">
        <v>139169000</v>
      </c>
      <c r="P1514">
        <v>46148000</v>
      </c>
      <c r="Q1514">
        <v>54550000</v>
      </c>
      <c r="R1514">
        <v>54151000</v>
      </c>
      <c r="S1514">
        <v>10442000</v>
      </c>
      <c r="V1514">
        <f t="shared" si="58"/>
        <v>139765000</v>
      </c>
      <c r="W1514">
        <f t="shared" si="59"/>
        <v>582182000</v>
      </c>
    </row>
    <row r="1515" spans="1:23" x14ac:dyDescent="0.2">
      <c r="A1515">
        <f>IF(D1515="USD",VLOOKUP(VALUE(RIGHT(E1515,4)),'USD RUB'!$E:$F,2,FALSE),1)</f>
        <v>1</v>
      </c>
      <c r="B1515" s="4">
        <v>1</v>
      </c>
      <c r="C1515">
        <v>1000</v>
      </c>
      <c r="D1515" t="s">
        <v>1531</v>
      </c>
      <c r="E1515" s="1" t="s">
        <v>1532</v>
      </c>
      <c r="F1515">
        <v>57016000</v>
      </c>
      <c r="G1515">
        <v>85954000</v>
      </c>
      <c r="H1515">
        <v>163297000</v>
      </c>
      <c r="I1515">
        <v>181677000</v>
      </c>
      <c r="J1515">
        <v>435643000</v>
      </c>
      <c r="K1515">
        <v>139719000</v>
      </c>
      <c r="L1515">
        <v>159322000</v>
      </c>
      <c r="M1515">
        <v>165182000</v>
      </c>
      <c r="N1515">
        <v>136602000</v>
      </c>
      <c r="O1515">
        <v>326270000</v>
      </c>
      <c r="P1515">
        <v>87643000</v>
      </c>
      <c r="Q1515">
        <v>46627000</v>
      </c>
      <c r="R1515">
        <v>45035000</v>
      </c>
      <c r="S1515">
        <v>22506000</v>
      </c>
      <c r="V1515">
        <f t="shared" si="58"/>
        <v>290157000</v>
      </c>
      <c r="W1515">
        <f t="shared" si="59"/>
        <v>340386000</v>
      </c>
    </row>
    <row r="1516" spans="1:23" x14ac:dyDescent="0.2">
      <c r="A1516">
        <f>IF(D1516="USD",VLOOKUP(VALUE(RIGHT(E1516,4)),'USD RUB'!$E:$F,2,FALSE),1)</f>
        <v>1</v>
      </c>
      <c r="B1516" s="4">
        <v>1</v>
      </c>
      <c r="C1516">
        <v>1000</v>
      </c>
      <c r="D1516" t="s">
        <v>1531</v>
      </c>
      <c r="E1516" s="1" t="s">
        <v>1533</v>
      </c>
      <c r="F1516">
        <v>52947000</v>
      </c>
      <c r="G1516">
        <v>114201000</v>
      </c>
      <c r="H1516">
        <v>226553000</v>
      </c>
      <c r="I1516">
        <v>215731000</v>
      </c>
      <c r="J1516">
        <v>582182000</v>
      </c>
      <c r="K1516">
        <v>154650000</v>
      </c>
      <c r="L1516">
        <v>279031000</v>
      </c>
      <c r="M1516">
        <v>117120000</v>
      </c>
      <c r="N1516">
        <v>148501000</v>
      </c>
      <c r="O1516">
        <v>139765000</v>
      </c>
      <c r="P1516">
        <v>41790000</v>
      </c>
      <c r="Q1516">
        <v>-3790000</v>
      </c>
      <c r="R1516">
        <v>-4035000</v>
      </c>
      <c r="S1516">
        <v>9862000</v>
      </c>
      <c r="V1516">
        <f t="shared" si="58"/>
        <v>135109000</v>
      </c>
      <c r="W1516">
        <f t="shared" si="59"/>
        <v>354441000</v>
      </c>
    </row>
    <row r="1517" spans="1:23" x14ac:dyDescent="0.2">
      <c r="A1517">
        <f>IF(D1517="USD",VLOOKUP(VALUE(RIGHT(E1517,4)),'USD RUB'!$E:$F,2,FALSE),1)</f>
        <v>1</v>
      </c>
      <c r="B1517" s="4">
        <v>1</v>
      </c>
      <c r="C1517">
        <v>1000</v>
      </c>
      <c r="D1517" t="s">
        <v>1531</v>
      </c>
      <c r="E1517" s="1" t="s">
        <v>1534</v>
      </c>
      <c r="F1517">
        <v>32562000</v>
      </c>
      <c r="G1517">
        <v>79157000</v>
      </c>
      <c r="H1517">
        <v>151750000</v>
      </c>
      <c r="I1517">
        <v>93435000</v>
      </c>
      <c r="J1517">
        <v>340386000</v>
      </c>
      <c r="K1517">
        <v>85426000</v>
      </c>
      <c r="L1517">
        <v>176341000</v>
      </c>
      <c r="M1517">
        <v>122248000</v>
      </c>
      <c r="N1517">
        <v>78619000</v>
      </c>
      <c r="O1517">
        <v>290157000</v>
      </c>
      <c r="P1517">
        <v>91098000</v>
      </c>
      <c r="Q1517">
        <v>75262000</v>
      </c>
      <c r="R1517">
        <v>68009000</v>
      </c>
      <c r="S1517">
        <v>18310000</v>
      </c>
      <c r="V1517">
        <f t="shared" si="58"/>
        <v>259026000</v>
      </c>
      <c r="W1517">
        <f t="shared" si="59"/>
        <v>314558000</v>
      </c>
    </row>
    <row r="1518" spans="1:23" x14ac:dyDescent="0.2">
      <c r="A1518">
        <f>IF(D1518="USD",VLOOKUP(VALUE(RIGHT(E1518,4)),'USD RUB'!$E:$F,2,FALSE),1)</f>
        <v>1</v>
      </c>
      <c r="B1518" s="4">
        <v>1</v>
      </c>
      <c r="C1518">
        <v>1000</v>
      </c>
      <c r="D1518" t="s">
        <v>1531</v>
      </c>
      <c r="E1518" s="1" t="s">
        <v>1535</v>
      </c>
      <c r="F1518">
        <v>45548000</v>
      </c>
      <c r="G1518">
        <v>96839000</v>
      </c>
      <c r="H1518">
        <v>151714000</v>
      </c>
      <c r="I1518">
        <v>90275000</v>
      </c>
      <c r="J1518">
        <v>354441000</v>
      </c>
      <c r="K1518">
        <v>79152000</v>
      </c>
      <c r="L1518">
        <v>116166000</v>
      </c>
      <c r="M1518">
        <v>206007000</v>
      </c>
      <c r="N1518">
        <v>159123000</v>
      </c>
      <c r="O1518">
        <v>135109000</v>
      </c>
      <c r="P1518">
        <v>47329000</v>
      </c>
      <c r="Q1518">
        <v>38331000</v>
      </c>
      <c r="R1518">
        <v>38423000</v>
      </c>
      <c r="S1518">
        <v>8638000</v>
      </c>
      <c r="V1518" t="str">
        <f t="shared" si="58"/>
        <v/>
      </c>
      <c r="W1518" t="str">
        <f t="shared" si="59"/>
        <v/>
      </c>
    </row>
    <row r="1519" spans="1:23" x14ac:dyDescent="0.2">
      <c r="A1519">
        <f>IF(D1519="USD",VLOOKUP(VALUE(RIGHT(E1519,4)),'USD RUB'!$E:$F,2,FALSE),1)</f>
        <v>1</v>
      </c>
      <c r="B1519" s="4">
        <v>1</v>
      </c>
      <c r="C1519">
        <v>1000</v>
      </c>
      <c r="D1519" t="s">
        <v>1531</v>
      </c>
      <c r="E1519" s="1" t="s">
        <v>1536</v>
      </c>
      <c r="F1519">
        <v>20353000</v>
      </c>
      <c r="G1519">
        <v>68995000</v>
      </c>
      <c r="H1519">
        <v>146512000</v>
      </c>
      <c r="I1519">
        <v>85330000</v>
      </c>
      <c r="J1519">
        <v>314558000</v>
      </c>
      <c r="K1519">
        <v>74353000</v>
      </c>
      <c r="L1519">
        <v>130735000</v>
      </c>
      <c r="M1519">
        <v>166642000</v>
      </c>
      <c r="N1519">
        <v>109470000</v>
      </c>
      <c r="O1519">
        <v>259026000</v>
      </c>
      <c r="P1519">
        <v>81509000</v>
      </c>
      <c r="Q1519">
        <v>80524000</v>
      </c>
      <c r="R1519">
        <v>80560000</v>
      </c>
      <c r="S1519">
        <v>15521000</v>
      </c>
      <c r="V1519">
        <f t="shared" si="58"/>
        <v>245203000</v>
      </c>
      <c r="W1519">
        <f t="shared" si="59"/>
        <v>320991000</v>
      </c>
    </row>
    <row r="1520" spans="1:23" x14ac:dyDescent="0.2">
      <c r="A1520">
        <f>IF(D1520="USD",VLOOKUP(VALUE(RIGHT(E1520,4)),'USD RUB'!$E:$F,2,FALSE),1)</f>
        <v>1</v>
      </c>
      <c r="B1520" s="4">
        <v>1</v>
      </c>
      <c r="C1520">
        <v>1000</v>
      </c>
      <c r="D1520" t="s">
        <v>1531</v>
      </c>
      <c r="E1520" s="1" t="s">
        <v>1537</v>
      </c>
      <c r="F1520">
        <v>9201000</v>
      </c>
      <c r="G1520">
        <v>46402000</v>
      </c>
      <c r="H1520">
        <v>176070000</v>
      </c>
      <c r="I1520">
        <v>88092000</v>
      </c>
      <c r="J1520">
        <v>320991000</v>
      </c>
      <c r="K1520">
        <v>81477000</v>
      </c>
      <c r="L1520">
        <v>166818000</v>
      </c>
      <c r="M1520">
        <v>83815000</v>
      </c>
      <c r="N1520">
        <v>72696000</v>
      </c>
      <c r="O1520">
        <v>245203000</v>
      </c>
      <c r="P1520">
        <v>66299000</v>
      </c>
      <c r="Q1520">
        <v>55571000</v>
      </c>
      <c r="R1520">
        <v>59518000</v>
      </c>
      <c r="S1520">
        <v>16826000</v>
      </c>
      <c r="V1520">
        <f t="shared" si="58"/>
        <v>194620000</v>
      </c>
      <c r="W1520">
        <f t="shared" si="59"/>
        <v>228117000</v>
      </c>
    </row>
    <row r="1521" spans="1:23" x14ac:dyDescent="0.2">
      <c r="A1521">
        <f>IF(D1521="USD",VLOOKUP(VALUE(RIGHT(E1521,4)),'USD RUB'!$E:$F,2,FALSE),1)</f>
        <v>1</v>
      </c>
      <c r="B1521" s="4">
        <v>1</v>
      </c>
      <c r="C1521">
        <v>1000</v>
      </c>
      <c r="D1521" t="s">
        <v>1531</v>
      </c>
      <c r="E1521" s="1" t="s">
        <v>1538</v>
      </c>
      <c r="F1521">
        <v>16429000</v>
      </c>
      <c r="G1521">
        <v>38270000</v>
      </c>
      <c r="H1521">
        <v>127650000</v>
      </c>
      <c r="I1521">
        <v>26239000</v>
      </c>
      <c r="J1521">
        <v>228117000</v>
      </c>
      <c r="K1521">
        <v>51963000</v>
      </c>
      <c r="L1521">
        <v>97545000</v>
      </c>
      <c r="M1521">
        <v>21825000</v>
      </c>
      <c r="N1521">
        <v>78609000</v>
      </c>
      <c r="O1521">
        <v>194620000</v>
      </c>
      <c r="P1521">
        <v>67031000</v>
      </c>
      <c r="Q1521">
        <v>66938000</v>
      </c>
      <c r="R1521">
        <v>51669000</v>
      </c>
      <c r="S1521">
        <v>13665000</v>
      </c>
      <c r="V1521" t="str">
        <f t="shared" si="58"/>
        <v/>
      </c>
      <c r="W1521" t="str">
        <f t="shared" si="59"/>
        <v/>
      </c>
    </row>
    <row r="1522" spans="1:23" x14ac:dyDescent="0.2">
      <c r="A1522">
        <f>IF(D1522="USD",VLOOKUP(VALUE(RIGHT(E1522,4)),'USD RUB'!$E:$F,2,FALSE),1)</f>
        <v>1</v>
      </c>
      <c r="B1522" s="4">
        <v>1</v>
      </c>
      <c r="C1522">
        <v>1000</v>
      </c>
      <c r="D1522" t="s">
        <v>20</v>
      </c>
      <c r="E1522" s="1" t="s">
        <v>1539</v>
      </c>
      <c r="F1522">
        <v>1114519000</v>
      </c>
      <c r="G1522">
        <v>9087778000</v>
      </c>
      <c r="H1522">
        <v>4591545000</v>
      </c>
      <c r="I1522">
        <v>2412426000</v>
      </c>
      <c r="J1522">
        <v>23965627000</v>
      </c>
      <c r="K1522">
        <v>5479287000</v>
      </c>
      <c r="L1522">
        <v>9398746000</v>
      </c>
      <c r="M1522">
        <v>4588111000</v>
      </c>
      <c r="N1522">
        <v>9087594000</v>
      </c>
      <c r="O1522">
        <v>10814084000</v>
      </c>
      <c r="P1522">
        <v>2090830000</v>
      </c>
      <c r="Q1522">
        <v>1299794000</v>
      </c>
      <c r="R1522">
        <v>964311000</v>
      </c>
      <c r="S1522">
        <v>1446377000</v>
      </c>
      <c r="T1522">
        <v>7908974000</v>
      </c>
      <c r="U1522">
        <v>-1577945000</v>
      </c>
      <c r="V1522">
        <f t="shared" si="58"/>
        <v>9232121000</v>
      </c>
      <c r="W1522">
        <f t="shared" si="59"/>
        <v>20806191000</v>
      </c>
    </row>
    <row r="1523" spans="1:23" x14ac:dyDescent="0.2">
      <c r="A1523">
        <f>IF(D1523="USD",VLOOKUP(VALUE(RIGHT(E1523,4)),'USD RUB'!$E:$F,2,FALSE),1)</f>
        <v>1</v>
      </c>
      <c r="B1523" s="4">
        <v>1</v>
      </c>
      <c r="C1523">
        <v>1000</v>
      </c>
      <c r="D1523" t="s">
        <v>20</v>
      </c>
      <c r="E1523" s="1" t="s">
        <v>1540</v>
      </c>
      <c r="F1523">
        <v>1562946000</v>
      </c>
      <c r="G1523">
        <v>8794951000</v>
      </c>
      <c r="H1523">
        <v>4022733000</v>
      </c>
      <c r="I1523">
        <v>2434566000</v>
      </c>
      <c r="J1523">
        <v>22564402000</v>
      </c>
      <c r="K1523">
        <v>6486741000</v>
      </c>
      <c r="L1523">
        <v>7145489000</v>
      </c>
      <c r="M1523">
        <v>4431761000</v>
      </c>
      <c r="N1523">
        <v>8932172000</v>
      </c>
      <c r="O1523">
        <v>20839998000</v>
      </c>
      <c r="P1523">
        <v>5335995000</v>
      </c>
      <c r="Q1523">
        <v>3759011000</v>
      </c>
      <c r="R1523">
        <v>3049669000</v>
      </c>
      <c r="S1523">
        <v>2586339000</v>
      </c>
      <c r="T1523">
        <v>7809416000</v>
      </c>
      <c r="U1523">
        <v>-1929888000</v>
      </c>
      <c r="V1523">
        <f t="shared" si="58"/>
        <v>16762043000</v>
      </c>
      <c r="W1523">
        <f t="shared" si="59"/>
        <v>20078216000</v>
      </c>
    </row>
    <row r="1524" spans="1:23" x14ac:dyDescent="0.2">
      <c r="A1524">
        <f>IF(D1524="USD",VLOOKUP(VALUE(RIGHT(E1524,4)),'USD RUB'!$E:$F,2,FALSE),1)</f>
        <v>1</v>
      </c>
      <c r="B1524" s="4">
        <v>1</v>
      </c>
      <c r="C1524">
        <v>1000</v>
      </c>
      <c r="D1524" t="s">
        <v>20</v>
      </c>
      <c r="E1524" s="1" t="s">
        <v>1541</v>
      </c>
      <c r="F1524">
        <v>1534718000</v>
      </c>
      <c r="G1524">
        <v>7721057000</v>
      </c>
      <c r="H1524">
        <v>3519102000</v>
      </c>
      <c r="I1524">
        <v>2407579000</v>
      </c>
      <c r="J1524">
        <v>20806191000</v>
      </c>
      <c r="K1524">
        <v>5987462000</v>
      </c>
      <c r="L1524">
        <v>6790496000</v>
      </c>
      <c r="M1524">
        <v>3535759000</v>
      </c>
      <c r="N1524">
        <v>8028233000</v>
      </c>
      <c r="O1524">
        <v>9232121000</v>
      </c>
      <c r="P1524">
        <v>2267994000</v>
      </c>
      <c r="Q1524">
        <v>1776691000</v>
      </c>
      <c r="R1524">
        <v>1433140000</v>
      </c>
      <c r="S1524">
        <v>1257046000</v>
      </c>
      <c r="U1524">
        <v>-936340000</v>
      </c>
      <c r="V1524">
        <f t="shared" si="58"/>
        <v>6993358000</v>
      </c>
      <c r="W1524">
        <f t="shared" si="59"/>
        <v>16170833000</v>
      </c>
    </row>
    <row r="1525" spans="1:23" x14ac:dyDescent="0.2">
      <c r="A1525">
        <f>IF(D1525="USD",VLOOKUP(VALUE(RIGHT(E1525,4)),'USD RUB'!$E:$F,2,FALSE),1)</f>
        <v>1</v>
      </c>
      <c r="B1525" s="4">
        <v>1</v>
      </c>
      <c r="C1525">
        <v>1000</v>
      </c>
      <c r="D1525" t="s">
        <v>20</v>
      </c>
      <c r="E1525" s="1" t="s">
        <v>1542</v>
      </c>
      <c r="F1525">
        <v>2574878000</v>
      </c>
      <c r="G1525">
        <v>7848809000</v>
      </c>
      <c r="H1525">
        <v>2963217000</v>
      </c>
      <c r="I1525">
        <v>2489089000</v>
      </c>
      <c r="J1525">
        <v>20078216000</v>
      </c>
      <c r="K1525">
        <v>5267368000</v>
      </c>
      <c r="L1525">
        <v>7002422000</v>
      </c>
      <c r="M1525">
        <v>3315952000</v>
      </c>
      <c r="N1525">
        <v>7808426000</v>
      </c>
      <c r="O1525">
        <v>16762043000</v>
      </c>
      <c r="P1525">
        <v>4557480000</v>
      </c>
      <c r="Q1525">
        <v>3017051000</v>
      </c>
      <c r="R1525">
        <v>2351930000</v>
      </c>
      <c r="S1525">
        <v>2214335000</v>
      </c>
      <c r="T1525">
        <v>6568894000</v>
      </c>
      <c r="U1525">
        <v>-1356407000</v>
      </c>
      <c r="V1525">
        <f t="shared" si="58"/>
        <v>12432544000</v>
      </c>
      <c r="W1525">
        <f t="shared" si="59"/>
        <v>14418595000</v>
      </c>
    </row>
    <row r="1526" spans="1:23" x14ac:dyDescent="0.2">
      <c r="A1526">
        <f>IF(D1526="USD",VLOOKUP(VALUE(RIGHT(E1526,4)),'USD RUB'!$E:$F,2,FALSE),1)</f>
        <v>1</v>
      </c>
      <c r="B1526" s="4">
        <v>1</v>
      </c>
      <c r="C1526">
        <v>1000</v>
      </c>
      <c r="D1526" t="s">
        <v>20</v>
      </c>
      <c r="E1526" s="1" t="s">
        <v>1543</v>
      </c>
      <c r="F1526">
        <v>224360000</v>
      </c>
      <c r="G1526">
        <v>4562745000</v>
      </c>
      <c r="H1526">
        <v>2601753000</v>
      </c>
      <c r="I1526">
        <v>2569614000</v>
      </c>
      <c r="J1526">
        <v>16170833000</v>
      </c>
      <c r="K1526">
        <v>5361452000</v>
      </c>
      <c r="L1526">
        <v>7299166000</v>
      </c>
      <c r="M1526">
        <v>1681397000</v>
      </c>
      <c r="N1526">
        <v>3510215000</v>
      </c>
      <c r="O1526">
        <v>6993358000</v>
      </c>
      <c r="P1526">
        <v>1669363000</v>
      </c>
      <c r="Q1526">
        <v>811594000</v>
      </c>
      <c r="R1526">
        <v>638174000</v>
      </c>
      <c r="S1526">
        <v>1077339000</v>
      </c>
      <c r="U1526">
        <v>-692262000</v>
      </c>
      <c r="V1526" t="str">
        <f t="shared" si="58"/>
        <v/>
      </c>
      <c r="W1526" t="str">
        <f t="shared" si="59"/>
        <v/>
      </c>
    </row>
    <row r="1527" spans="1:23" x14ac:dyDescent="0.2">
      <c r="A1527">
        <f>IF(D1527="USD",VLOOKUP(VALUE(RIGHT(E1527,4)),'USD RUB'!$E:$F,2,FALSE),1)</f>
        <v>1</v>
      </c>
      <c r="B1527" s="4">
        <v>1</v>
      </c>
      <c r="C1527">
        <v>1000</v>
      </c>
      <c r="D1527" t="s">
        <v>20</v>
      </c>
      <c r="E1527" s="1" t="s">
        <v>1544</v>
      </c>
      <c r="F1527">
        <v>562126000</v>
      </c>
      <c r="G1527">
        <v>4121041000</v>
      </c>
      <c r="H1527">
        <v>2189619000</v>
      </c>
      <c r="I1527">
        <v>2659527000</v>
      </c>
      <c r="J1527">
        <v>14418595000</v>
      </c>
      <c r="K1527">
        <v>4722394000</v>
      </c>
      <c r="L1527">
        <v>6739200000</v>
      </c>
      <c r="M1527">
        <v>1128183000</v>
      </c>
      <c r="N1527">
        <v>2957001000</v>
      </c>
      <c r="O1527">
        <v>12432544000</v>
      </c>
      <c r="P1527">
        <v>3029031000</v>
      </c>
      <c r="Q1527">
        <v>2297901000</v>
      </c>
      <c r="R1527">
        <v>1831799000</v>
      </c>
      <c r="S1527">
        <v>1788522000</v>
      </c>
      <c r="U1527">
        <v>-1945071000</v>
      </c>
      <c r="V1527">
        <f t="shared" si="58"/>
        <v>9521805000</v>
      </c>
      <c r="W1527">
        <f t="shared" si="59"/>
        <v>9639519000</v>
      </c>
    </row>
    <row r="1528" spans="1:23" x14ac:dyDescent="0.2">
      <c r="A1528">
        <f>IF(D1528="USD",VLOOKUP(VALUE(RIGHT(E1528,4)),'USD RUB'!$E:$F,2,FALSE),1)</f>
        <v>1</v>
      </c>
      <c r="B1528" s="4">
        <v>1</v>
      </c>
      <c r="C1528">
        <v>1000</v>
      </c>
      <c r="D1528" t="s">
        <v>20</v>
      </c>
      <c r="E1528" s="1" t="s">
        <v>1545</v>
      </c>
      <c r="F1528">
        <v>13877000</v>
      </c>
      <c r="G1528">
        <v>3426874000</v>
      </c>
      <c r="H1528">
        <v>992524000</v>
      </c>
      <c r="I1528">
        <v>80565000</v>
      </c>
      <c r="J1528">
        <v>9639519000</v>
      </c>
      <c r="K1528">
        <v>4279033000</v>
      </c>
      <c r="L1528">
        <v>6373033000</v>
      </c>
      <c r="M1528">
        <v>1095484000</v>
      </c>
      <c r="N1528">
        <v>-1012547000</v>
      </c>
      <c r="O1528">
        <v>9521805000</v>
      </c>
      <c r="P1528">
        <v>1208749000</v>
      </c>
      <c r="Q1528">
        <v>581211000</v>
      </c>
      <c r="R1528">
        <v>456402000</v>
      </c>
      <c r="S1528">
        <v>1533325000</v>
      </c>
      <c r="U1528">
        <v>-544515000</v>
      </c>
      <c r="V1528" t="str">
        <f t="shared" si="58"/>
        <v/>
      </c>
      <c r="W1528" t="str">
        <f t="shared" si="59"/>
        <v/>
      </c>
    </row>
    <row r="1529" spans="1:23" x14ac:dyDescent="0.2">
      <c r="A1529">
        <f>IF(D1529="USD",VLOOKUP(VALUE(RIGHT(E1529,4)),'USD RUB'!$E:$F,2,FALSE),1)</f>
        <v>1</v>
      </c>
      <c r="B1529" s="4">
        <v>1</v>
      </c>
      <c r="C1529">
        <v>1000</v>
      </c>
      <c r="D1529" t="s">
        <v>20</v>
      </c>
      <c r="E1529" s="1" t="s">
        <v>1546</v>
      </c>
      <c r="F1529">
        <v>30935770000</v>
      </c>
      <c r="G1529">
        <v>136259641000</v>
      </c>
      <c r="H1529">
        <v>185197202000</v>
      </c>
      <c r="I1529">
        <v>78125725000</v>
      </c>
      <c r="J1529">
        <v>497738945000</v>
      </c>
      <c r="K1529">
        <v>189267164000</v>
      </c>
      <c r="L1529">
        <v>145169928000</v>
      </c>
      <c r="M1529">
        <v>118668964000</v>
      </c>
      <c r="N1529">
        <v>163301853000</v>
      </c>
      <c r="O1529">
        <v>513933284000</v>
      </c>
      <c r="P1529">
        <v>31288665000</v>
      </c>
      <c r="Q1529">
        <v>19570963000</v>
      </c>
      <c r="R1529">
        <v>14314184000</v>
      </c>
      <c r="S1529">
        <v>20333651000</v>
      </c>
      <c r="T1529">
        <v>52095445000</v>
      </c>
      <c r="U1529">
        <v>-19384744000</v>
      </c>
      <c r="V1529">
        <f t="shared" si="58"/>
        <v>413601954000</v>
      </c>
      <c r="W1529">
        <f t="shared" si="59"/>
        <v>448422314000</v>
      </c>
    </row>
    <row r="1530" spans="1:23" x14ac:dyDescent="0.2">
      <c r="A1530">
        <f>IF(D1530="USD",VLOOKUP(VALUE(RIGHT(E1530,4)),'USD RUB'!$E:$F,2,FALSE),1)</f>
        <v>1</v>
      </c>
      <c r="B1530" s="4">
        <v>1</v>
      </c>
      <c r="C1530">
        <v>1000</v>
      </c>
      <c r="D1530" t="s">
        <v>20</v>
      </c>
      <c r="E1530" s="1" t="s">
        <v>1547</v>
      </c>
      <c r="F1530">
        <v>47032323000</v>
      </c>
      <c r="G1530">
        <v>151269843000</v>
      </c>
      <c r="H1530">
        <v>177689497000</v>
      </c>
      <c r="I1530">
        <v>72379787000</v>
      </c>
      <c r="J1530">
        <v>495398367000</v>
      </c>
      <c r="K1530">
        <v>205160265000</v>
      </c>
      <c r="L1530">
        <v>141250433000</v>
      </c>
      <c r="M1530">
        <v>104354780000</v>
      </c>
      <c r="N1530">
        <v>148987669000</v>
      </c>
      <c r="O1530">
        <v>888306765000</v>
      </c>
      <c r="P1530">
        <v>50006244000</v>
      </c>
      <c r="Q1530">
        <v>30137455000</v>
      </c>
      <c r="R1530">
        <v>22463392000</v>
      </c>
      <c r="S1530">
        <v>35257569000</v>
      </c>
      <c r="T1530">
        <v>88081579000</v>
      </c>
      <c r="U1530">
        <v>-30401519000</v>
      </c>
      <c r="V1530">
        <f t="shared" si="58"/>
        <v>615923126000</v>
      </c>
      <c r="W1530">
        <f t="shared" si="59"/>
        <v>462168570000</v>
      </c>
    </row>
    <row r="1531" spans="1:23" x14ac:dyDescent="0.2">
      <c r="A1531">
        <f>IF(D1531="USD",VLOOKUP(VALUE(RIGHT(E1531,4)),'USD RUB'!$E:$F,2,FALSE),1)</f>
        <v>1</v>
      </c>
      <c r="B1531" s="4">
        <v>1</v>
      </c>
      <c r="C1531">
        <v>1000</v>
      </c>
      <c r="D1531" t="s">
        <v>20</v>
      </c>
      <c r="E1531" s="1" t="s">
        <v>1548</v>
      </c>
      <c r="F1531">
        <v>41464528000</v>
      </c>
      <c r="G1531">
        <v>128240951000</v>
      </c>
      <c r="H1531">
        <v>177216306000</v>
      </c>
      <c r="I1531">
        <v>69153105000</v>
      </c>
      <c r="J1531">
        <v>448422314000</v>
      </c>
      <c r="K1531">
        <v>156981018000</v>
      </c>
      <c r="L1531">
        <v>154669201000</v>
      </c>
      <c r="M1531">
        <v>92139206000</v>
      </c>
      <c r="N1531">
        <v>136772095000</v>
      </c>
      <c r="O1531">
        <v>413601954000</v>
      </c>
      <c r="P1531">
        <v>22195032000</v>
      </c>
      <c r="Q1531">
        <v>12999877000</v>
      </c>
      <c r="R1531">
        <v>10247818000</v>
      </c>
      <c r="S1531">
        <v>17270028000</v>
      </c>
      <c r="T1531">
        <v>39516549000</v>
      </c>
      <c r="U1531">
        <v>-11078279000</v>
      </c>
      <c r="V1531">
        <f t="shared" si="58"/>
        <v>257152928000</v>
      </c>
      <c r="W1531">
        <f t="shared" si="59"/>
        <v>331801891000</v>
      </c>
    </row>
    <row r="1532" spans="1:23" x14ac:dyDescent="0.2">
      <c r="A1532">
        <f>IF(D1532="USD",VLOOKUP(VALUE(RIGHT(E1532,4)),'USD RUB'!$E:$F,2,FALSE),1)</f>
        <v>1</v>
      </c>
      <c r="B1532" s="4">
        <v>1</v>
      </c>
      <c r="C1532">
        <v>1000</v>
      </c>
      <c r="D1532" t="s">
        <v>20</v>
      </c>
      <c r="E1532" s="1" t="s">
        <v>1549</v>
      </c>
      <c r="F1532">
        <v>44516248000</v>
      </c>
      <c r="G1532">
        <v>140906315000</v>
      </c>
      <c r="H1532">
        <v>177894356000</v>
      </c>
      <c r="I1532">
        <v>68521107000</v>
      </c>
      <c r="J1532">
        <v>462168570000</v>
      </c>
      <c r="K1532">
        <v>161599740000</v>
      </c>
      <c r="L1532">
        <v>173723770000</v>
      </c>
      <c r="M1532">
        <v>81891388000</v>
      </c>
      <c r="N1532">
        <v>126845060000</v>
      </c>
      <c r="O1532">
        <v>615923126000</v>
      </c>
      <c r="P1532">
        <v>12304042000</v>
      </c>
      <c r="Q1532">
        <v>-931294000</v>
      </c>
      <c r="R1532">
        <v>-2629374000</v>
      </c>
      <c r="S1532">
        <v>28086941000</v>
      </c>
      <c r="T1532">
        <v>47421153000</v>
      </c>
      <c r="U1532">
        <v>-10980575000</v>
      </c>
      <c r="V1532">
        <f t="shared" si="58"/>
        <v>537400687000</v>
      </c>
      <c r="W1532">
        <f t="shared" si="59"/>
        <v>347561983000</v>
      </c>
    </row>
    <row r="1533" spans="1:23" x14ac:dyDescent="0.2">
      <c r="A1533">
        <f>IF(D1533="USD",VLOOKUP(VALUE(RIGHT(E1533,4)),'USD RUB'!$E:$F,2,FALSE),1)</f>
        <v>1</v>
      </c>
      <c r="B1533" s="4">
        <v>1</v>
      </c>
      <c r="C1533">
        <v>1000</v>
      </c>
      <c r="D1533" t="s">
        <v>20</v>
      </c>
      <c r="E1533" s="1" t="s">
        <v>1550</v>
      </c>
      <c r="F1533">
        <v>29856736000</v>
      </c>
      <c r="G1533">
        <v>104907169000</v>
      </c>
      <c r="H1533">
        <v>164500176000</v>
      </c>
      <c r="I1533">
        <v>14242035000</v>
      </c>
      <c r="J1533">
        <v>331801891000</v>
      </c>
      <c r="K1533">
        <v>89708765000</v>
      </c>
      <c r="L1533">
        <v>115614673000</v>
      </c>
      <c r="M1533">
        <v>81444667000</v>
      </c>
      <c r="N1533">
        <v>126478453000</v>
      </c>
      <c r="O1533">
        <v>257152928000</v>
      </c>
      <c r="P1533">
        <v>1957151000</v>
      </c>
      <c r="Q1533">
        <v>-3619445000</v>
      </c>
      <c r="R1533">
        <v>-3076095000</v>
      </c>
      <c r="S1533">
        <v>12185680000</v>
      </c>
      <c r="T1533">
        <v>14326575000</v>
      </c>
      <c r="U1533">
        <v>-3912944000</v>
      </c>
      <c r="V1533">
        <f t="shared" si="58"/>
        <v>262458832000</v>
      </c>
      <c r="W1533">
        <f t="shared" si="59"/>
        <v>336957026000</v>
      </c>
    </row>
    <row r="1534" spans="1:23" x14ac:dyDescent="0.2">
      <c r="A1534">
        <f>IF(D1534="USD",VLOOKUP(VALUE(RIGHT(E1534,4)),'USD RUB'!$E:$F,2,FALSE),1)</f>
        <v>1</v>
      </c>
      <c r="B1534" s="4">
        <v>1</v>
      </c>
      <c r="C1534">
        <v>1000</v>
      </c>
      <c r="D1534" t="s">
        <v>20</v>
      </c>
      <c r="E1534" s="1" t="s">
        <v>1551</v>
      </c>
      <c r="F1534">
        <v>29019581000</v>
      </c>
      <c r="G1534">
        <v>111135716000</v>
      </c>
      <c r="H1534">
        <v>170962881000</v>
      </c>
      <c r="I1534">
        <v>13752218000</v>
      </c>
      <c r="J1534">
        <v>347561983000</v>
      </c>
      <c r="K1534">
        <v>140408994000</v>
      </c>
      <c r="L1534">
        <v>77148214000</v>
      </c>
      <c r="M1534">
        <v>84520762000</v>
      </c>
      <c r="N1534">
        <v>130004775000</v>
      </c>
      <c r="O1534">
        <v>537400687000</v>
      </c>
      <c r="P1534">
        <v>15412470000</v>
      </c>
      <c r="Q1534">
        <v>5557156000</v>
      </c>
      <c r="R1534">
        <v>3611429000</v>
      </c>
      <c r="S1534">
        <v>25930430000</v>
      </c>
      <c r="T1534">
        <v>43665141000</v>
      </c>
      <c r="U1534">
        <v>-10818731000</v>
      </c>
      <c r="V1534">
        <f t="shared" si="58"/>
        <v>483640887000</v>
      </c>
      <c r="W1534">
        <f t="shared" si="59"/>
        <v>343288021000</v>
      </c>
    </row>
    <row r="1535" spans="1:23" x14ac:dyDescent="0.2">
      <c r="A1535">
        <f>IF(D1535="USD",VLOOKUP(VALUE(RIGHT(E1535,4)),'USD RUB'!$E:$F,2,FALSE),1)</f>
        <v>1</v>
      </c>
      <c r="B1535" s="4">
        <v>1</v>
      </c>
      <c r="C1535">
        <v>1000</v>
      </c>
      <c r="D1535" t="s">
        <v>20</v>
      </c>
      <c r="E1535" s="1" t="s">
        <v>1552</v>
      </c>
      <c r="F1535">
        <v>13227792000</v>
      </c>
      <c r="G1535">
        <v>80993314000</v>
      </c>
      <c r="H1535">
        <v>176346326000</v>
      </c>
      <c r="I1535">
        <v>15026056000</v>
      </c>
      <c r="J1535">
        <v>336957026000</v>
      </c>
      <c r="K1535">
        <v>121977326000</v>
      </c>
      <c r="L1535">
        <v>84788388000</v>
      </c>
      <c r="M1535">
        <v>84139721000</v>
      </c>
      <c r="N1535">
        <v>130191312000</v>
      </c>
      <c r="O1535">
        <v>262458832000</v>
      </c>
      <c r="Q1535">
        <v>4334315000</v>
      </c>
      <c r="R1535">
        <v>3230388000</v>
      </c>
      <c r="S1535">
        <v>12695461000</v>
      </c>
      <c r="T1535">
        <v>20686082000</v>
      </c>
      <c r="U1535">
        <v>-7132799000</v>
      </c>
      <c r="V1535">
        <f t="shared" si="58"/>
        <v>218087513000</v>
      </c>
      <c r="W1535">
        <f t="shared" si="59"/>
        <v>276180184000</v>
      </c>
    </row>
    <row r="1536" spans="1:23" x14ac:dyDescent="0.2">
      <c r="A1536">
        <f>IF(D1536="USD",VLOOKUP(VALUE(RIGHT(E1536,4)),'USD RUB'!$E:$F,2,FALSE),1)</f>
        <v>1</v>
      </c>
      <c r="B1536" s="4">
        <v>1</v>
      </c>
      <c r="C1536">
        <v>1000</v>
      </c>
      <c r="D1536" t="s">
        <v>20</v>
      </c>
      <c r="E1536" s="1" t="s">
        <v>1553</v>
      </c>
      <c r="F1536">
        <v>33326489000</v>
      </c>
      <c r="G1536">
        <v>101007437000</v>
      </c>
      <c r="H1536">
        <v>170369752000</v>
      </c>
      <c r="I1536">
        <v>11448017000</v>
      </c>
      <c r="J1536">
        <v>343288021000</v>
      </c>
      <c r="K1536">
        <v>107275971000</v>
      </c>
      <c r="L1536">
        <v>129051127000</v>
      </c>
      <c r="M1536">
        <v>80909333000</v>
      </c>
      <c r="N1536">
        <v>106960923000</v>
      </c>
      <c r="O1536">
        <v>483640887000</v>
      </c>
      <c r="P1536">
        <v>25422224000</v>
      </c>
      <c r="Q1536">
        <v>16470490000</v>
      </c>
      <c r="R1536">
        <v>12479546000</v>
      </c>
      <c r="S1536">
        <v>21626854000</v>
      </c>
      <c r="T1536">
        <v>46885172000</v>
      </c>
      <c r="U1536">
        <v>-9339252000</v>
      </c>
      <c r="V1536">
        <f t="shared" si="58"/>
        <v>445543829000</v>
      </c>
      <c r="W1536">
        <f t="shared" si="59"/>
        <v>278461182000</v>
      </c>
    </row>
    <row r="1537" spans="1:23" x14ac:dyDescent="0.2">
      <c r="A1537">
        <f>IF(D1537="USD",VLOOKUP(VALUE(RIGHT(E1537,4)),'USD RUB'!$E:$F,2,FALSE),1)</f>
        <v>1</v>
      </c>
      <c r="B1537" s="4">
        <v>1</v>
      </c>
      <c r="C1537">
        <v>1000</v>
      </c>
      <c r="D1537" t="s">
        <v>20</v>
      </c>
      <c r="E1537" s="1" t="s">
        <v>1554</v>
      </c>
      <c r="F1537">
        <v>29860577000</v>
      </c>
      <c r="G1537">
        <v>79749935000</v>
      </c>
      <c r="H1537">
        <v>159085345000</v>
      </c>
      <c r="I1537">
        <v>2512904000</v>
      </c>
      <c r="J1537">
        <v>276180184000</v>
      </c>
      <c r="K1537">
        <v>78985111000</v>
      </c>
      <c r="L1537">
        <v>97608467000</v>
      </c>
      <c r="M1537">
        <v>73535016000</v>
      </c>
      <c r="N1537">
        <v>99586606000</v>
      </c>
      <c r="O1537">
        <v>218087513000</v>
      </c>
      <c r="P1537">
        <v>10884052000</v>
      </c>
      <c r="Q1537">
        <v>6583865000</v>
      </c>
      <c r="R1537">
        <v>5105229000</v>
      </c>
      <c r="S1537">
        <v>9754249000</v>
      </c>
      <c r="T1537">
        <v>20647399000</v>
      </c>
      <c r="U1537">
        <v>-4975546000</v>
      </c>
      <c r="V1537">
        <f t="shared" si="58"/>
        <v>216975140000</v>
      </c>
      <c r="W1537">
        <f t="shared" si="59"/>
        <v>265471905000</v>
      </c>
    </row>
    <row r="1538" spans="1:23" x14ac:dyDescent="0.2">
      <c r="A1538">
        <f>IF(D1538="USD",VLOOKUP(VALUE(RIGHT(E1538,4)),'USD RUB'!$E:$F,2,FALSE),1)</f>
        <v>1</v>
      </c>
      <c r="B1538" s="4">
        <v>1</v>
      </c>
      <c r="C1538">
        <v>1000</v>
      </c>
      <c r="D1538" t="s">
        <v>20</v>
      </c>
      <c r="E1538" s="1" t="s">
        <v>1555</v>
      </c>
      <c r="F1538">
        <v>21808874000</v>
      </c>
      <c r="G1538">
        <v>77205042000</v>
      </c>
      <c r="H1538">
        <v>163900997000</v>
      </c>
      <c r="I1538">
        <v>2580972000</v>
      </c>
      <c r="J1538">
        <v>278461182000</v>
      </c>
      <c r="K1538">
        <v>100189171000</v>
      </c>
      <c r="L1538">
        <v>83790663000</v>
      </c>
      <c r="M1538">
        <v>68382844000</v>
      </c>
      <c r="N1538">
        <v>94481348000</v>
      </c>
      <c r="O1538">
        <v>445543829000</v>
      </c>
      <c r="P1538">
        <v>29286021000</v>
      </c>
      <c r="Q1538">
        <v>19997615000</v>
      </c>
      <c r="R1538">
        <v>16540631000</v>
      </c>
      <c r="S1538">
        <v>18540233000</v>
      </c>
      <c r="T1538">
        <v>44919129000</v>
      </c>
      <c r="U1538">
        <v>-7612088000</v>
      </c>
      <c r="V1538">
        <f t="shared" si="58"/>
        <v>417500015000</v>
      </c>
      <c r="W1538">
        <f t="shared" si="59"/>
        <v>325450268000</v>
      </c>
    </row>
    <row r="1539" spans="1:23" x14ac:dyDescent="0.2">
      <c r="A1539">
        <f>IF(D1539="USD",VLOOKUP(VALUE(RIGHT(E1539,4)),'USD RUB'!$E:$F,2,FALSE),1)</f>
        <v>1</v>
      </c>
      <c r="B1539" s="4">
        <v>1</v>
      </c>
      <c r="C1539">
        <v>1000</v>
      </c>
      <c r="D1539" t="s">
        <v>20</v>
      </c>
      <c r="E1539" s="1" t="s">
        <v>1556</v>
      </c>
      <c r="F1539">
        <v>19323227000</v>
      </c>
      <c r="G1539">
        <v>66171612000</v>
      </c>
      <c r="H1539">
        <v>159905786000</v>
      </c>
      <c r="I1539">
        <v>2328957000</v>
      </c>
      <c r="J1539">
        <v>265471905000</v>
      </c>
      <c r="K1539">
        <v>64490677000</v>
      </c>
      <c r="L1539">
        <v>113914750000</v>
      </c>
      <c r="M1539">
        <v>60734784000</v>
      </c>
      <c r="N1539">
        <v>87066478000</v>
      </c>
      <c r="O1539">
        <v>216975140000</v>
      </c>
      <c r="P1539">
        <v>15614347000</v>
      </c>
      <c r="Q1539">
        <v>10622670000</v>
      </c>
      <c r="R1539">
        <v>8911134000</v>
      </c>
      <c r="S1539">
        <v>9239580000</v>
      </c>
      <c r="T1539">
        <v>24812173000</v>
      </c>
      <c r="U1539">
        <v>-3514881000</v>
      </c>
      <c r="V1539">
        <f t="shared" si="58"/>
        <v>199210950000</v>
      </c>
      <c r="W1539">
        <f t="shared" si="59"/>
        <v>328203678000</v>
      </c>
    </row>
    <row r="1540" spans="1:23" x14ac:dyDescent="0.2">
      <c r="A1540">
        <f>IF(D1540="USD",VLOOKUP(VALUE(RIGHT(E1540,4)),'USD RUB'!$E:$F,2,FALSE),1)</f>
        <v>1</v>
      </c>
      <c r="B1540" s="4">
        <v>1</v>
      </c>
      <c r="C1540">
        <v>1000</v>
      </c>
      <c r="D1540" t="s">
        <v>20</v>
      </c>
      <c r="E1540" s="1" t="s">
        <v>1557</v>
      </c>
      <c r="F1540">
        <v>73404760000</v>
      </c>
      <c r="G1540">
        <v>122311481000</v>
      </c>
      <c r="H1540">
        <v>165443239000</v>
      </c>
      <c r="I1540">
        <v>2270975000</v>
      </c>
      <c r="J1540">
        <v>325450268000</v>
      </c>
      <c r="K1540">
        <v>129160225000</v>
      </c>
      <c r="L1540">
        <v>118139151000</v>
      </c>
      <c r="M1540">
        <v>51708795000</v>
      </c>
      <c r="N1540">
        <v>78150892000</v>
      </c>
      <c r="O1540">
        <v>417500015000</v>
      </c>
      <c r="P1540">
        <v>9216075000</v>
      </c>
      <c r="Q1540">
        <v>-2603190000</v>
      </c>
      <c r="R1540">
        <v>-2793874000</v>
      </c>
      <c r="S1540">
        <v>18439679000</v>
      </c>
      <c r="T1540">
        <v>39505713000</v>
      </c>
      <c r="U1540">
        <v>-14041075000</v>
      </c>
      <c r="V1540">
        <f t="shared" si="58"/>
        <v>413562197000</v>
      </c>
      <c r="W1540">
        <f t="shared" si="59"/>
        <v>278393188000</v>
      </c>
    </row>
    <row r="1541" spans="1:23" x14ac:dyDescent="0.2">
      <c r="A1541">
        <f>IF(D1541="USD",VLOOKUP(VALUE(RIGHT(E1541,4)),'USD RUB'!$E:$F,2,FALSE),1)</f>
        <v>1</v>
      </c>
      <c r="B1541" s="4">
        <v>1</v>
      </c>
      <c r="C1541">
        <v>1000</v>
      </c>
      <c r="D1541" t="s">
        <v>20</v>
      </c>
      <c r="E1541" s="1" t="s">
        <v>1558</v>
      </c>
      <c r="F1541">
        <v>70969409000</v>
      </c>
      <c r="G1541">
        <v>121204696000</v>
      </c>
      <c r="H1541">
        <v>165175343000</v>
      </c>
      <c r="I1541">
        <v>1897055000</v>
      </c>
      <c r="J1541">
        <v>328203678000</v>
      </c>
      <c r="K1541">
        <v>126078613000</v>
      </c>
      <c r="L1541">
        <v>126150407000</v>
      </c>
      <c r="M1541">
        <v>49673826000</v>
      </c>
      <c r="N1541">
        <v>75974658000</v>
      </c>
      <c r="O1541">
        <v>199210950000</v>
      </c>
      <c r="P1541">
        <v>583356000</v>
      </c>
      <c r="Q1541">
        <v>-5299049000</v>
      </c>
      <c r="R1541">
        <v>-4828843000</v>
      </c>
      <c r="S1541">
        <v>9234868000</v>
      </c>
      <c r="T1541">
        <v>18823663000</v>
      </c>
      <c r="U1541">
        <v>-5800699000</v>
      </c>
      <c r="V1541">
        <f t="shared" si="58"/>
        <v>193220200000</v>
      </c>
      <c r="W1541">
        <f t="shared" si="59"/>
        <v>235360176000</v>
      </c>
    </row>
    <row r="1542" spans="1:23" x14ac:dyDescent="0.2">
      <c r="A1542">
        <f>IF(D1542="USD",VLOOKUP(VALUE(RIGHT(E1542,4)),'USD RUB'!$E:$F,2,FALSE),1)</f>
        <v>1</v>
      </c>
      <c r="B1542" s="4">
        <v>1</v>
      </c>
      <c r="C1542">
        <v>1000</v>
      </c>
      <c r="D1542" t="s">
        <v>20</v>
      </c>
      <c r="E1542" s="1" t="s">
        <v>1559</v>
      </c>
      <c r="F1542">
        <v>33804860000</v>
      </c>
      <c r="G1542">
        <v>90465976000</v>
      </c>
      <c r="H1542">
        <v>177024063000</v>
      </c>
      <c r="I1542">
        <v>5076427000</v>
      </c>
      <c r="J1542">
        <v>278393188000</v>
      </c>
      <c r="K1542">
        <v>79261482000</v>
      </c>
      <c r="L1542">
        <v>116381047000</v>
      </c>
      <c r="M1542">
        <v>55473276000</v>
      </c>
      <c r="N1542">
        <v>82750659000</v>
      </c>
      <c r="O1542">
        <v>413562197000</v>
      </c>
      <c r="P1542">
        <v>24084453000</v>
      </c>
      <c r="Q1542">
        <v>14817282000</v>
      </c>
      <c r="R1542">
        <v>11794294000</v>
      </c>
      <c r="S1542">
        <v>12109707000</v>
      </c>
      <c r="T1542">
        <v>36194160000</v>
      </c>
      <c r="U1542">
        <v>-22321415000</v>
      </c>
      <c r="V1542">
        <f t="shared" si="58"/>
        <v>365177586000</v>
      </c>
      <c r="W1542">
        <f t="shared" si="59"/>
        <v>246730588000</v>
      </c>
    </row>
    <row r="1543" spans="1:23" x14ac:dyDescent="0.2">
      <c r="A1543">
        <f>IF(D1543="USD",VLOOKUP(VALUE(RIGHT(E1543,4)),'USD RUB'!$E:$F,2,FALSE),1)</f>
        <v>1</v>
      </c>
      <c r="B1543" s="4">
        <v>1</v>
      </c>
      <c r="C1543">
        <v>1000</v>
      </c>
      <c r="D1543" t="s">
        <v>20</v>
      </c>
      <c r="E1543" s="1" t="s">
        <v>1560</v>
      </c>
      <c r="F1543">
        <v>4944358000</v>
      </c>
      <c r="G1543">
        <v>53879146000</v>
      </c>
      <c r="H1543">
        <v>171620570000</v>
      </c>
      <c r="I1543">
        <v>4923214000</v>
      </c>
      <c r="J1543">
        <v>235360176000</v>
      </c>
      <c r="K1543">
        <v>64438806000</v>
      </c>
      <c r="L1543">
        <v>93965529000</v>
      </c>
      <c r="M1543">
        <v>49411628000</v>
      </c>
      <c r="N1543">
        <v>76955841000</v>
      </c>
      <c r="O1543">
        <v>193220200000</v>
      </c>
      <c r="P1543">
        <v>11026601000</v>
      </c>
      <c r="Q1543">
        <v>6353621000</v>
      </c>
      <c r="R1543">
        <v>5160672000</v>
      </c>
      <c r="S1543">
        <v>6085095000</v>
      </c>
      <c r="T1543">
        <v>17111696000</v>
      </c>
      <c r="U1543">
        <v>-10797326000</v>
      </c>
      <c r="V1543">
        <f t="shared" si="58"/>
        <v>163530864000</v>
      </c>
      <c r="W1543">
        <f t="shared" si="59"/>
        <v>215879397000</v>
      </c>
    </row>
    <row r="1544" spans="1:23" x14ac:dyDescent="0.2">
      <c r="A1544">
        <f>IF(D1544="USD",VLOOKUP(VALUE(RIGHT(E1544,4)),'USD RUB'!$E:$F,2,FALSE),1)</f>
        <v>1</v>
      </c>
      <c r="B1544" s="4">
        <v>1</v>
      </c>
      <c r="C1544">
        <v>1000</v>
      </c>
      <c r="D1544" t="s">
        <v>20</v>
      </c>
      <c r="E1544" s="1" t="s">
        <v>1561</v>
      </c>
      <c r="F1544">
        <v>14301859000</v>
      </c>
      <c r="G1544">
        <v>68485155000</v>
      </c>
      <c r="H1544">
        <v>170308406000</v>
      </c>
      <c r="I1544">
        <v>4891743000</v>
      </c>
      <c r="J1544">
        <v>246730588000</v>
      </c>
      <c r="K1544">
        <v>104362376000</v>
      </c>
      <c r="L1544">
        <v>70580936000</v>
      </c>
      <c r="M1544">
        <v>44316449000</v>
      </c>
      <c r="N1544">
        <v>71787276000</v>
      </c>
      <c r="O1544">
        <v>365177586000</v>
      </c>
      <c r="P1544">
        <v>25576564000</v>
      </c>
      <c r="Q1544">
        <v>15171893000</v>
      </c>
      <c r="R1544">
        <v>13263539000</v>
      </c>
      <c r="S1544">
        <v>9691447000</v>
      </c>
      <c r="T1544">
        <v>35490158000</v>
      </c>
      <c r="U1544">
        <v>-27600534000</v>
      </c>
      <c r="V1544" t="str">
        <f t="shared" si="58"/>
        <v/>
      </c>
      <c r="W1544" t="str">
        <f t="shared" si="59"/>
        <v/>
      </c>
    </row>
    <row r="1545" spans="1:23" x14ac:dyDescent="0.2">
      <c r="A1545">
        <f>IF(D1545="USD",VLOOKUP(VALUE(RIGHT(E1545,4)),'USD RUB'!$E:$F,2,FALSE),1)</f>
        <v>1</v>
      </c>
      <c r="B1545" s="4">
        <v>1</v>
      </c>
      <c r="C1545">
        <v>1000</v>
      </c>
      <c r="D1545" t="s">
        <v>20</v>
      </c>
      <c r="E1545" s="1" t="s">
        <v>1562</v>
      </c>
      <c r="F1545">
        <v>11490897000</v>
      </c>
      <c r="G1545">
        <v>51209461000</v>
      </c>
      <c r="H1545">
        <v>150030365000</v>
      </c>
      <c r="I1545">
        <v>5091295000</v>
      </c>
      <c r="J1545">
        <v>215879397000</v>
      </c>
      <c r="K1545">
        <v>66156055000</v>
      </c>
      <c r="L1545">
        <v>86863231000</v>
      </c>
      <c r="M1545">
        <v>35544609000</v>
      </c>
      <c r="N1545">
        <v>62860111000</v>
      </c>
      <c r="O1545">
        <v>163530864000</v>
      </c>
      <c r="P1545">
        <v>10880333000</v>
      </c>
      <c r="Q1545">
        <v>5560396000</v>
      </c>
      <c r="R1545">
        <v>4491699000</v>
      </c>
      <c r="S1545">
        <v>4738653000</v>
      </c>
      <c r="T1545">
        <v>15618986000</v>
      </c>
      <c r="U1545">
        <v>-10068963000</v>
      </c>
      <c r="V1545" t="str">
        <f t="shared" si="58"/>
        <v/>
      </c>
      <c r="W1545" t="str">
        <f t="shared" si="59"/>
        <v/>
      </c>
    </row>
    <row r="1546" spans="1:23" x14ac:dyDescent="0.2">
      <c r="A1546">
        <f>IF(D1546="USD",VLOOKUP(VALUE(RIGHT(E1546,4)),'USD RUB'!$E:$F,2,FALSE),1)</f>
        <v>1</v>
      </c>
      <c r="B1546" s="4">
        <v>1</v>
      </c>
      <c r="C1546">
        <v>1000</v>
      </c>
      <c r="D1546" t="s">
        <v>20</v>
      </c>
      <c r="E1546" s="1" t="s">
        <v>1563</v>
      </c>
      <c r="F1546">
        <v>71205955000</v>
      </c>
      <c r="G1546">
        <v>533367626000</v>
      </c>
      <c r="H1546">
        <v>490508517000</v>
      </c>
      <c r="I1546">
        <v>147462557000</v>
      </c>
      <c r="J1546">
        <v>1670048135000</v>
      </c>
      <c r="K1546">
        <v>670066479000</v>
      </c>
      <c r="L1546">
        <v>815957147000</v>
      </c>
      <c r="M1546">
        <v>180618742000</v>
      </c>
      <c r="N1546">
        <v>184024509000</v>
      </c>
      <c r="O1546">
        <v>1673223617000</v>
      </c>
      <c r="P1546">
        <v>73037223000</v>
      </c>
      <c r="Q1546">
        <v>1846067000</v>
      </c>
      <c r="R1546">
        <v>154479000</v>
      </c>
      <c r="S1546">
        <v>78037301000</v>
      </c>
      <c r="T1546">
        <v>151075000000</v>
      </c>
      <c r="U1546">
        <v>-74498262000</v>
      </c>
      <c r="V1546">
        <f t="shared" si="58"/>
        <v>1460058332000</v>
      </c>
      <c r="W1546">
        <f t="shared" si="59"/>
        <v>1398211355000</v>
      </c>
    </row>
    <row r="1547" spans="1:23" x14ac:dyDescent="0.2">
      <c r="A1547">
        <f>IF(D1547="USD",VLOOKUP(VALUE(RIGHT(E1547,4)),'USD RUB'!$E:$F,2,FALSE),1)</f>
        <v>1</v>
      </c>
      <c r="B1547" s="4">
        <v>1</v>
      </c>
      <c r="C1547">
        <v>1000</v>
      </c>
      <c r="D1547" t="s">
        <v>20</v>
      </c>
      <c r="E1547" s="1" t="s">
        <v>1564</v>
      </c>
      <c r="F1547">
        <v>159470281000</v>
      </c>
      <c r="G1547">
        <v>523471409000</v>
      </c>
      <c r="H1547">
        <v>451406356000</v>
      </c>
      <c r="I1547">
        <v>119779190000</v>
      </c>
      <c r="J1547">
        <v>1563913815000</v>
      </c>
      <c r="K1547">
        <v>731132037000</v>
      </c>
      <c r="L1547">
        <v>651468160000</v>
      </c>
      <c r="M1547">
        <v>180006190000</v>
      </c>
      <c r="N1547">
        <v>181313618000</v>
      </c>
      <c r="O1547">
        <v>3043433503000</v>
      </c>
      <c r="P1547">
        <v>143968871000</v>
      </c>
      <c r="Q1547">
        <v>60042406000</v>
      </c>
      <c r="R1547">
        <v>44333844000</v>
      </c>
      <c r="S1547">
        <v>146966549000</v>
      </c>
      <c r="T1547">
        <v>290935000000</v>
      </c>
      <c r="U1547">
        <v>-157403830000</v>
      </c>
      <c r="V1547">
        <f t="shared" si="58"/>
        <v>2544688774000</v>
      </c>
      <c r="W1547">
        <f t="shared" si="59"/>
        <v>1429543267000</v>
      </c>
    </row>
    <row r="1548" spans="1:23" x14ac:dyDescent="0.2">
      <c r="A1548">
        <f>IF(D1548="USD",VLOOKUP(VALUE(RIGHT(E1548,4)),'USD RUB'!$E:$F,2,FALSE),1)</f>
        <v>1</v>
      </c>
      <c r="B1548" s="4">
        <v>1</v>
      </c>
      <c r="C1548">
        <v>1000</v>
      </c>
      <c r="D1548" t="s">
        <v>20</v>
      </c>
      <c r="E1548" s="1" t="s">
        <v>1565</v>
      </c>
      <c r="F1548">
        <v>113232665000</v>
      </c>
      <c r="G1548">
        <v>428694726000</v>
      </c>
      <c r="H1548">
        <v>388390665000</v>
      </c>
      <c r="I1548">
        <v>117675313000</v>
      </c>
      <c r="J1548">
        <v>1398211355000</v>
      </c>
      <c r="K1548">
        <v>635097231000</v>
      </c>
      <c r="L1548">
        <v>611095664000</v>
      </c>
      <c r="M1548">
        <v>151307969000</v>
      </c>
      <c r="N1548">
        <v>152018460000</v>
      </c>
      <c r="O1548">
        <v>1460058332000</v>
      </c>
      <c r="P1548">
        <v>66384287000</v>
      </c>
      <c r="Q1548">
        <v>24028447000</v>
      </c>
      <c r="R1548">
        <v>17454237000</v>
      </c>
      <c r="S1548">
        <v>68675135000</v>
      </c>
      <c r="T1548">
        <v>135059000000</v>
      </c>
      <c r="U1548">
        <v>-60952288000</v>
      </c>
      <c r="V1548">
        <f t="shared" si="58"/>
        <v>1229455981000</v>
      </c>
      <c r="W1548">
        <f t="shared" si="59"/>
        <v>1400140169000</v>
      </c>
    </row>
    <row r="1549" spans="1:23" x14ac:dyDescent="0.2">
      <c r="A1549">
        <f>IF(D1549="USD",VLOOKUP(VALUE(RIGHT(E1549,4)),'USD RUB'!$E:$F,2,FALSE),1)</f>
        <v>1</v>
      </c>
      <c r="B1549" s="4">
        <v>1</v>
      </c>
      <c r="C1549">
        <v>1000</v>
      </c>
      <c r="D1549" t="s">
        <v>20</v>
      </c>
      <c r="E1549" s="1" t="s">
        <v>1566</v>
      </c>
      <c r="F1549">
        <v>221285893000</v>
      </c>
      <c r="G1549">
        <v>544425405000</v>
      </c>
      <c r="H1549">
        <v>367049986000</v>
      </c>
      <c r="I1549">
        <v>88080601000</v>
      </c>
      <c r="J1549">
        <v>1429543267000</v>
      </c>
      <c r="K1549">
        <v>555032003000</v>
      </c>
      <c r="L1549">
        <v>716043932000</v>
      </c>
      <c r="M1549">
        <v>163162053000</v>
      </c>
      <c r="N1549">
        <v>158467332000</v>
      </c>
      <c r="O1549">
        <v>2544688774000</v>
      </c>
      <c r="P1549">
        <v>135516932000</v>
      </c>
      <c r="Q1549">
        <v>82735798000</v>
      </c>
      <c r="R1549">
        <v>58677601000</v>
      </c>
      <c r="S1549">
        <v>134097502000</v>
      </c>
      <c r="T1549">
        <v>269614000000</v>
      </c>
      <c r="U1549">
        <v>-67090535000</v>
      </c>
      <c r="V1549">
        <f t="shared" si="58"/>
        <v>2351996423000</v>
      </c>
      <c r="W1549">
        <f t="shared" si="59"/>
        <v>1395998440000</v>
      </c>
    </row>
    <row r="1550" spans="1:23" x14ac:dyDescent="0.2">
      <c r="A1550">
        <f>IF(D1550="USD",VLOOKUP(VALUE(RIGHT(E1550,4)),'USD RUB'!$E:$F,2,FALSE),1)</f>
        <v>1</v>
      </c>
      <c r="B1550" s="4">
        <v>1</v>
      </c>
      <c r="C1550">
        <v>1000</v>
      </c>
      <c r="D1550" t="s">
        <v>20</v>
      </c>
      <c r="E1550" s="1" t="s">
        <v>1567</v>
      </c>
      <c r="F1550">
        <v>299454165000</v>
      </c>
      <c r="G1550">
        <v>570882538000</v>
      </c>
      <c r="H1550">
        <v>355702424000</v>
      </c>
      <c r="I1550">
        <v>77433293000</v>
      </c>
      <c r="J1550">
        <v>1400140169000</v>
      </c>
      <c r="K1550">
        <v>474427929000</v>
      </c>
      <c r="L1550">
        <v>685314837000</v>
      </c>
      <c r="M1550">
        <v>166472145000</v>
      </c>
      <c r="N1550">
        <v>240397403000</v>
      </c>
      <c r="O1550">
        <v>1229455981000</v>
      </c>
      <c r="P1550">
        <v>67096018000</v>
      </c>
      <c r="Q1550">
        <v>42971919000</v>
      </c>
      <c r="R1550">
        <v>34015921000</v>
      </c>
      <c r="S1550">
        <v>65328147000</v>
      </c>
      <c r="T1550">
        <v>132424000000</v>
      </c>
      <c r="U1550">
        <v>-26693674000</v>
      </c>
      <c r="V1550">
        <f t="shared" si="58"/>
        <v>1136265794000</v>
      </c>
      <c r="W1550">
        <f t="shared" si="59"/>
        <v>1207532350000</v>
      </c>
    </row>
    <row r="1551" spans="1:23" x14ac:dyDescent="0.2">
      <c r="A1551">
        <f>IF(D1551="USD",VLOOKUP(VALUE(RIGHT(E1551,4)),'USD RUB'!$E:$F,2,FALSE),1)</f>
        <v>1</v>
      </c>
      <c r="B1551" s="4">
        <v>1</v>
      </c>
      <c r="C1551">
        <v>1000</v>
      </c>
      <c r="D1551" t="s">
        <v>20</v>
      </c>
      <c r="E1551" s="1" t="s">
        <v>1568</v>
      </c>
      <c r="F1551">
        <v>314912124000</v>
      </c>
      <c r="G1551">
        <v>568621840000</v>
      </c>
      <c r="H1551">
        <v>361751315000</v>
      </c>
      <c r="I1551">
        <v>78934799000</v>
      </c>
      <c r="J1551">
        <v>1395998440000</v>
      </c>
      <c r="K1551">
        <v>523022963000</v>
      </c>
      <c r="L1551">
        <v>665593173000</v>
      </c>
      <c r="M1551">
        <v>132700300000</v>
      </c>
      <c r="N1551">
        <v>207382304000</v>
      </c>
      <c r="O1551">
        <v>2351996423000</v>
      </c>
      <c r="P1551">
        <v>98016523000</v>
      </c>
      <c r="Q1551">
        <v>42864550000</v>
      </c>
      <c r="R1551">
        <v>27932517000</v>
      </c>
      <c r="S1551">
        <v>159337276000</v>
      </c>
      <c r="T1551">
        <v>257354000000</v>
      </c>
      <c r="U1551">
        <v>-52075369000</v>
      </c>
      <c r="V1551">
        <f t="shared" si="58"/>
        <v>1856078950000</v>
      </c>
      <c r="W1551">
        <f t="shared" si="59"/>
        <v>1209443631000</v>
      </c>
    </row>
    <row r="1552" spans="1:23" x14ac:dyDescent="0.2">
      <c r="A1552">
        <f>IF(D1552="USD",VLOOKUP(VALUE(RIGHT(E1552,4)),'USD RUB'!$E:$F,2,FALSE),1)</f>
        <v>1</v>
      </c>
      <c r="B1552" s="4">
        <v>1</v>
      </c>
      <c r="C1552">
        <v>1000</v>
      </c>
      <c r="D1552" t="s">
        <v>20</v>
      </c>
      <c r="E1552" s="1" t="s">
        <v>1569</v>
      </c>
      <c r="F1552">
        <v>93822035000</v>
      </c>
      <c r="G1552">
        <v>344747227000</v>
      </c>
      <c r="H1552">
        <v>369847377000</v>
      </c>
      <c r="I1552">
        <v>107765510000</v>
      </c>
      <c r="J1552">
        <v>1207532350000</v>
      </c>
      <c r="K1552">
        <v>487056952000</v>
      </c>
      <c r="L1552">
        <v>512119200000</v>
      </c>
      <c r="M1552">
        <v>134110359000</v>
      </c>
      <c r="N1552">
        <v>208356198000</v>
      </c>
      <c r="O1552">
        <v>1136265794000</v>
      </c>
      <c r="P1552">
        <v>66113670000</v>
      </c>
      <c r="Q1552">
        <v>37508159000</v>
      </c>
      <c r="R1552">
        <v>29342577000</v>
      </c>
      <c r="S1552">
        <v>62325435000</v>
      </c>
      <c r="T1552">
        <v>128439000000</v>
      </c>
      <c r="U1552">
        <v>-31628386000</v>
      </c>
      <c r="V1552">
        <f t="shared" si="58"/>
        <v>822230436000</v>
      </c>
      <c r="W1552">
        <f t="shared" si="59"/>
        <v>1032945332000</v>
      </c>
    </row>
    <row r="1553" spans="1:23" x14ac:dyDescent="0.2">
      <c r="A1553">
        <f>IF(D1553="USD",VLOOKUP(VALUE(RIGHT(E1553,4)),'USD RUB'!$E:$F,2,FALSE),1)</f>
        <v>1</v>
      </c>
      <c r="B1553" s="4">
        <v>1</v>
      </c>
      <c r="C1553">
        <v>1000</v>
      </c>
      <c r="D1553" t="s">
        <v>20</v>
      </c>
      <c r="E1553" s="1" t="s">
        <v>1570</v>
      </c>
      <c r="F1553">
        <v>73398608000</v>
      </c>
      <c r="G1553">
        <v>320098125000</v>
      </c>
      <c r="H1553">
        <v>377302570000</v>
      </c>
      <c r="I1553">
        <v>111540564000</v>
      </c>
      <c r="J1553">
        <v>1209443631000</v>
      </c>
      <c r="K1553">
        <v>415039529000</v>
      </c>
      <c r="L1553">
        <v>615418923000</v>
      </c>
      <c r="M1553">
        <v>104808170000</v>
      </c>
      <c r="N1553">
        <v>178985179000</v>
      </c>
      <c r="O1553">
        <v>1856078950000</v>
      </c>
      <c r="P1553">
        <v>108896987000</v>
      </c>
      <c r="Q1553">
        <v>62599719000</v>
      </c>
      <c r="R1553">
        <v>48105862000</v>
      </c>
      <c r="S1553">
        <v>105323380000</v>
      </c>
      <c r="T1553">
        <v>214220000000</v>
      </c>
      <c r="U1553">
        <v>-59875411000</v>
      </c>
      <c r="V1553">
        <f t="shared" si="58"/>
        <v>1553777351000</v>
      </c>
      <c r="W1553">
        <f t="shared" si="59"/>
        <v>945392206000</v>
      </c>
    </row>
    <row r="1554" spans="1:23" x14ac:dyDescent="0.2">
      <c r="A1554">
        <f>IF(D1554="USD",VLOOKUP(VALUE(RIGHT(E1554,4)),'USD RUB'!$E:$F,2,FALSE),1)</f>
        <v>1</v>
      </c>
      <c r="B1554" s="4">
        <v>1</v>
      </c>
      <c r="C1554">
        <v>1000</v>
      </c>
      <c r="D1554" t="s">
        <v>20</v>
      </c>
      <c r="E1554" s="1" t="s">
        <v>1571</v>
      </c>
      <c r="F1554">
        <v>129369722000</v>
      </c>
      <c r="G1554">
        <v>348178491000</v>
      </c>
      <c r="H1554">
        <v>333038318000</v>
      </c>
      <c r="I1554">
        <v>37030371000</v>
      </c>
      <c r="J1554">
        <v>1032945332000</v>
      </c>
      <c r="K1554">
        <v>292786206000</v>
      </c>
      <c r="L1554">
        <v>558360676000</v>
      </c>
      <c r="M1554">
        <v>107740209000</v>
      </c>
      <c r="N1554">
        <v>181798450000</v>
      </c>
      <c r="O1554">
        <v>822230436000</v>
      </c>
      <c r="P1554">
        <v>49106656000</v>
      </c>
      <c r="Q1554">
        <v>28959411000</v>
      </c>
      <c r="R1554">
        <v>22299701000</v>
      </c>
      <c r="S1554">
        <v>45256340000</v>
      </c>
      <c r="T1554">
        <v>94363000000</v>
      </c>
      <c r="U1554">
        <v>-22635546000</v>
      </c>
      <c r="V1554">
        <f t="shared" si="58"/>
        <v>763361237000</v>
      </c>
      <c r="W1554">
        <f t="shared" si="59"/>
        <v>936276458000</v>
      </c>
    </row>
    <row r="1555" spans="1:23" x14ac:dyDescent="0.2">
      <c r="A1555">
        <f>IF(D1555="USD",VLOOKUP(VALUE(RIGHT(E1555,4)),'USD RUB'!$E:$F,2,FALSE),1)</f>
        <v>1</v>
      </c>
      <c r="B1555" s="4">
        <v>1</v>
      </c>
      <c r="C1555">
        <v>1000</v>
      </c>
      <c r="D1555" t="s">
        <v>20</v>
      </c>
      <c r="E1555" s="1" t="s">
        <v>1572</v>
      </c>
      <c r="F1555">
        <v>44699581000</v>
      </c>
      <c r="G1555">
        <v>266931047000</v>
      </c>
      <c r="H1555">
        <v>336513344000</v>
      </c>
      <c r="I1555">
        <v>32385569000</v>
      </c>
      <c r="J1555">
        <v>945392206000</v>
      </c>
      <c r="K1555">
        <v>284273270000</v>
      </c>
      <c r="L1555">
        <v>478230012000</v>
      </c>
      <c r="M1555">
        <v>109463257000</v>
      </c>
      <c r="N1555">
        <v>182888924000</v>
      </c>
      <c r="O1555">
        <v>1553777351000</v>
      </c>
      <c r="Q1555">
        <v>42702515000</v>
      </c>
      <c r="R1555">
        <v>32993292000</v>
      </c>
      <c r="S1555">
        <v>89765378000</v>
      </c>
      <c r="T1555">
        <v>178189000000</v>
      </c>
      <c r="U1555">
        <v>-31476830000</v>
      </c>
      <c r="V1555">
        <f t="shared" si="58"/>
        <v>1368705394000</v>
      </c>
      <c r="W1555">
        <f t="shared" si="59"/>
        <v>948689323000</v>
      </c>
    </row>
    <row r="1556" spans="1:23" x14ac:dyDescent="0.2">
      <c r="A1556">
        <f>IF(D1556="USD",VLOOKUP(VALUE(RIGHT(E1556,4)),'USD RUB'!$E:$F,2,FALSE),1)</f>
        <v>1</v>
      </c>
      <c r="B1556" s="4">
        <v>1</v>
      </c>
      <c r="C1556">
        <v>1000</v>
      </c>
      <c r="D1556" t="s">
        <v>20</v>
      </c>
      <c r="E1556" s="1" t="s">
        <v>1573</v>
      </c>
      <c r="F1556">
        <v>21149496000</v>
      </c>
      <c r="G1556">
        <v>256186752000</v>
      </c>
      <c r="H1556">
        <v>341189977000</v>
      </c>
      <c r="I1556">
        <v>31509182000</v>
      </c>
      <c r="J1556">
        <v>936276458000</v>
      </c>
      <c r="K1556">
        <v>299384718000</v>
      </c>
      <c r="L1556">
        <v>449589875000</v>
      </c>
      <c r="M1556">
        <v>114334304000</v>
      </c>
      <c r="N1556">
        <v>187301865000</v>
      </c>
      <c r="O1556">
        <v>763361237000</v>
      </c>
      <c r="Q1556">
        <v>17947775000</v>
      </c>
      <c r="R1556">
        <v>13771146000</v>
      </c>
      <c r="S1556">
        <v>45088273000</v>
      </c>
      <c r="T1556">
        <v>86891000000</v>
      </c>
      <c r="U1556">
        <v>-12368949000</v>
      </c>
      <c r="V1556">
        <f t="shared" si="58"/>
        <v>657916638000</v>
      </c>
      <c r="W1556">
        <f t="shared" si="59"/>
        <v>923325427000</v>
      </c>
    </row>
    <row r="1557" spans="1:23" x14ac:dyDescent="0.2">
      <c r="A1557">
        <f>IF(D1557="USD",VLOOKUP(VALUE(RIGHT(E1557,4)),'USD RUB'!$E:$F,2,FALSE),1)</f>
        <v>1</v>
      </c>
      <c r="B1557" s="4">
        <v>1</v>
      </c>
      <c r="C1557">
        <v>1000</v>
      </c>
      <c r="D1557" t="s">
        <v>20</v>
      </c>
      <c r="E1557" s="1" t="s">
        <v>1574</v>
      </c>
      <c r="F1557">
        <v>8901298000</v>
      </c>
      <c r="G1557">
        <v>251342816000</v>
      </c>
      <c r="H1557">
        <v>352985987000</v>
      </c>
      <c r="I1557">
        <v>30793994000</v>
      </c>
      <c r="J1557">
        <v>948689323000</v>
      </c>
      <c r="K1557">
        <v>300398817000</v>
      </c>
      <c r="L1557">
        <v>459757693000</v>
      </c>
      <c r="M1557">
        <v>115983222000</v>
      </c>
      <c r="N1557">
        <v>188532813000</v>
      </c>
      <c r="O1557">
        <v>1368705394000</v>
      </c>
      <c r="Q1557">
        <v>12579472000</v>
      </c>
      <c r="R1557">
        <v>9564222000</v>
      </c>
      <c r="S1557">
        <v>88094436000</v>
      </c>
      <c r="T1557">
        <v>147310000000</v>
      </c>
      <c r="U1557">
        <v>-57148757000</v>
      </c>
      <c r="V1557">
        <f t="shared" si="58"/>
        <v>1237015457000</v>
      </c>
      <c r="W1557">
        <f t="shared" si="59"/>
        <v>611587689000</v>
      </c>
    </row>
    <row r="1558" spans="1:23" x14ac:dyDescent="0.2">
      <c r="A1558">
        <f>IF(D1558="USD",VLOOKUP(VALUE(RIGHT(E1558,4)),'USD RUB'!$E:$F,2,FALSE),1)</f>
        <v>1</v>
      </c>
      <c r="B1558" s="4">
        <v>1</v>
      </c>
      <c r="C1558">
        <v>1000</v>
      </c>
      <c r="D1558" t="s">
        <v>20</v>
      </c>
      <c r="E1558" s="1" t="s">
        <v>1575</v>
      </c>
      <c r="F1558">
        <v>16912143000</v>
      </c>
      <c r="G1558">
        <v>230910137000</v>
      </c>
      <c r="H1558">
        <v>343646781000</v>
      </c>
      <c r="I1558">
        <v>26056172000</v>
      </c>
      <c r="J1558">
        <v>923325427000</v>
      </c>
      <c r="K1558">
        <v>254428499000</v>
      </c>
      <c r="L1558">
        <v>467855840000</v>
      </c>
      <c r="M1558">
        <v>129552044000</v>
      </c>
      <c r="N1558">
        <v>201041088000</v>
      </c>
      <c r="O1558">
        <v>657916638000</v>
      </c>
      <c r="Q1558">
        <v>5982950000</v>
      </c>
      <c r="R1558">
        <v>3992906000</v>
      </c>
      <c r="S1558">
        <v>45477397000</v>
      </c>
      <c r="T1558">
        <v>74371000000</v>
      </c>
      <c r="U1558">
        <v>-21617024000</v>
      </c>
      <c r="V1558">
        <f t="shared" si="58"/>
        <v>595262549000</v>
      </c>
      <c r="W1558">
        <f t="shared" si="59"/>
        <v>531640591000</v>
      </c>
    </row>
    <row r="1559" spans="1:23" x14ac:dyDescent="0.2">
      <c r="A1559">
        <f>IF(D1559="USD",VLOOKUP(VALUE(RIGHT(E1559,4)),'USD RUB'!$E:$F,2,FALSE),1)</f>
        <v>1</v>
      </c>
      <c r="B1559" s="4">
        <v>1</v>
      </c>
      <c r="C1559">
        <v>1000</v>
      </c>
      <c r="D1559" t="s">
        <v>20</v>
      </c>
      <c r="E1559" s="1" t="s">
        <v>1576</v>
      </c>
      <c r="F1559">
        <v>26747754000</v>
      </c>
      <c r="G1559">
        <v>228688153000</v>
      </c>
      <c r="H1559">
        <v>350331456000</v>
      </c>
      <c r="I1559">
        <v>27533947000</v>
      </c>
      <c r="J1559">
        <v>611587689000</v>
      </c>
      <c r="K1559">
        <v>235612997000</v>
      </c>
      <c r="L1559">
        <v>122670785000</v>
      </c>
      <c r="M1559">
        <v>178097010000</v>
      </c>
      <c r="N1559">
        <v>253303907000</v>
      </c>
      <c r="O1559">
        <v>1237015457000</v>
      </c>
      <c r="Q1559">
        <v>43071995000</v>
      </c>
      <c r="R1559">
        <v>33864524000</v>
      </c>
      <c r="S1559">
        <v>36517438000</v>
      </c>
      <c r="T1559">
        <v>89931000000</v>
      </c>
      <c r="U1559">
        <v>-53758095000</v>
      </c>
      <c r="V1559">
        <f t="shared" si="58"/>
        <v>1142529679506.7349</v>
      </c>
      <c r="W1559">
        <f t="shared" si="59"/>
        <v>532837225466.69812</v>
      </c>
    </row>
    <row r="1560" spans="1:23" x14ac:dyDescent="0.2">
      <c r="A1560">
        <f>IF(D1560="USD",VLOOKUP(VALUE(RIGHT(E1560,4)),'USD RUB'!$E:$F,2,FALSE),1)</f>
        <v>1</v>
      </c>
      <c r="B1560" s="4">
        <v>1</v>
      </c>
      <c r="C1560">
        <v>1000</v>
      </c>
      <c r="D1560" t="s">
        <v>20</v>
      </c>
      <c r="E1560" s="1" t="s">
        <v>1577</v>
      </c>
      <c r="F1560">
        <v>10533662000</v>
      </c>
      <c r="G1560">
        <v>192406220000</v>
      </c>
      <c r="H1560">
        <v>332781412000</v>
      </c>
      <c r="I1560">
        <v>4080786000</v>
      </c>
      <c r="J1560">
        <v>531640591000</v>
      </c>
      <c r="K1560">
        <v>175495748000</v>
      </c>
      <c r="L1560">
        <v>92881658000</v>
      </c>
      <c r="M1560">
        <v>175626205000</v>
      </c>
      <c r="N1560">
        <v>263263185000</v>
      </c>
      <c r="O1560">
        <v>595262549000</v>
      </c>
      <c r="Q1560">
        <v>22461547000</v>
      </c>
      <c r="R1560">
        <v>17764735000</v>
      </c>
      <c r="S1560">
        <v>17437457000</v>
      </c>
      <c r="T1560">
        <v>44163000000</v>
      </c>
      <c r="U1560">
        <v>-21882800000</v>
      </c>
      <c r="V1560">
        <f t="shared" si="58"/>
        <v>558151416851.8335</v>
      </c>
      <c r="W1560">
        <f t="shared" si="59"/>
        <v>465087840010.87769</v>
      </c>
    </row>
    <row r="1561" spans="1:23" x14ac:dyDescent="0.2">
      <c r="A1561">
        <f>IF(D1561="USD",VLOOKUP(VALUE(RIGHT(E1561,4)),'USD RUB'!$E:$F,2,FALSE),1)</f>
        <v>58.312850165016478</v>
      </c>
      <c r="B1561" s="4">
        <v>58.312850165016478</v>
      </c>
      <c r="C1561">
        <v>1000</v>
      </c>
      <c r="D1561" t="s">
        <v>111</v>
      </c>
      <c r="E1561" s="1" t="s">
        <v>1578</v>
      </c>
      <c r="F1561">
        <v>18564304039.98415</v>
      </c>
      <c r="G1561">
        <v>191884323065.85339</v>
      </c>
      <c r="H1561">
        <v>333907660469.60779</v>
      </c>
      <c r="I1561">
        <v>3680415538.1650152</v>
      </c>
      <c r="J1561">
        <v>532837225466.69812</v>
      </c>
      <c r="K1561">
        <v>160012968305.3623</v>
      </c>
      <c r="L1561">
        <v>110308552645.95639</v>
      </c>
      <c r="M1561">
        <v>259215372134.59</v>
      </c>
      <c r="N1561">
        <v>262515704515.37943</v>
      </c>
      <c r="O1561">
        <v>1142529679506.7349</v>
      </c>
      <c r="Q1561">
        <v>45392588579.654106</v>
      </c>
      <c r="R1561">
        <v>35514566700.250809</v>
      </c>
      <c r="S1561">
        <v>33692581696.844872</v>
      </c>
      <c r="T1561">
        <v>91714450739.537918</v>
      </c>
      <c r="U1561">
        <v>-75037383782.294357</v>
      </c>
      <c r="V1561">
        <f t="shared" ref="V1561:V1624" si="60">_xlfn.XLOOKUP(LEFT(E1561,LEN(E1561)-4)&amp;(VALUE(RIGHT(E1561,4))-1),$E:$E,$O:$O,"")</f>
        <v>1075123771952.88</v>
      </c>
      <c r="W1561">
        <f t="shared" ref="W1561:W1624" si="61">_xlfn.XLOOKUP(LEFT(E1561,LEN(E1561)-4)&amp;(VALUE(RIGHT(E1561,4))-1),$E:$E,$J:$J,"")</f>
        <v>502895245407.03894</v>
      </c>
    </row>
    <row r="1562" spans="1:23" x14ac:dyDescent="0.2">
      <c r="A1562">
        <f>IF(D1562="USD",VLOOKUP(VALUE(RIGHT(E1562,4)),'USD RUB'!$E:$F,2,FALSE),1)</f>
        <v>58.312850165016478</v>
      </c>
      <c r="B1562" s="4">
        <v>58.312850165016478</v>
      </c>
      <c r="C1562">
        <v>1000</v>
      </c>
      <c r="D1562" t="s">
        <v>111</v>
      </c>
      <c r="E1562" s="1" t="s">
        <v>1579</v>
      </c>
      <c r="F1562">
        <v>5534064419.2105589</v>
      </c>
      <c r="G1562">
        <v>162642178093.60257</v>
      </c>
      <c r="H1562">
        <v>296182511932.45135</v>
      </c>
      <c r="I1562">
        <v>3010984018.2706261</v>
      </c>
      <c r="J1562">
        <v>465087840010.87769</v>
      </c>
      <c r="K1562">
        <v>206667913465.3887</v>
      </c>
      <c r="L1562">
        <v>50720925263.482491</v>
      </c>
      <c r="M1562">
        <v>255411275041.22498</v>
      </c>
      <c r="N1562">
        <v>207699001282.00653</v>
      </c>
      <c r="O1562">
        <v>558151416851.8335</v>
      </c>
      <c r="Q1562">
        <v>26208768819.516823</v>
      </c>
      <c r="R1562">
        <v>20865387420.345867</v>
      </c>
      <c r="S1562">
        <v>16540265010.75643</v>
      </c>
      <c r="T1562">
        <v>49065015257.346512</v>
      </c>
      <c r="U1562">
        <v>-27270529195.321442</v>
      </c>
      <c r="V1562">
        <f t="shared" si="60"/>
        <v>497744799149.28363</v>
      </c>
      <c r="W1562">
        <f t="shared" si="61"/>
        <v>433644172927.422</v>
      </c>
    </row>
    <row r="1563" spans="1:23" x14ac:dyDescent="0.2">
      <c r="A1563">
        <f>IF(D1563="USD",VLOOKUP(VALUE(RIGHT(E1563,4)),'USD RUB'!$E:$F,2,FALSE),1)</f>
        <v>67.054371276595688</v>
      </c>
      <c r="B1563" s="4">
        <v>67.054371276595688</v>
      </c>
      <c r="C1563">
        <v>1000</v>
      </c>
      <c r="D1563" t="s">
        <v>111</v>
      </c>
      <c r="E1563" s="1" t="s">
        <v>1580</v>
      </c>
      <c r="F1563">
        <v>18305776304.139347</v>
      </c>
      <c r="G1563">
        <v>175647584471.61688</v>
      </c>
      <c r="H1563">
        <v>320525795486.79974</v>
      </c>
      <c r="J1563">
        <v>502895245407.03894</v>
      </c>
      <c r="K1563">
        <v>183190530696.52112</v>
      </c>
      <c r="L1563">
        <v>102947570405.38821</v>
      </c>
      <c r="M1563">
        <v>277259431801.17529</v>
      </c>
      <c r="N1563">
        <v>216757144305.12961</v>
      </c>
      <c r="O1563">
        <v>1075123771952.88</v>
      </c>
      <c r="Q1563">
        <v>68799930669.66803</v>
      </c>
      <c r="R1563">
        <v>54424814555.391441</v>
      </c>
      <c r="T1563">
        <v>107824099556.47864</v>
      </c>
      <c r="V1563">
        <f t="shared" si="60"/>
        <v>955171107347.09619</v>
      </c>
      <c r="W1563">
        <f t="shared" si="61"/>
        <v>339681233149.38702</v>
      </c>
    </row>
    <row r="1564" spans="1:23" x14ac:dyDescent="0.2">
      <c r="A1564">
        <f>IF(D1564="USD",VLOOKUP(VALUE(RIGHT(E1564,4)),'USD RUB'!$E:$F,2,FALSE),1)</f>
        <v>67.054371276595688</v>
      </c>
      <c r="B1564" s="4">
        <v>67.054371276595688</v>
      </c>
      <c r="C1564">
        <v>1000</v>
      </c>
      <c r="D1564" t="s">
        <v>111</v>
      </c>
      <c r="E1564" s="1" t="s">
        <v>1581</v>
      </c>
      <c r="F1564">
        <v>5098143848.1595697</v>
      </c>
      <c r="G1564">
        <v>140213573677.32648</v>
      </c>
      <c r="H1564">
        <v>287062378555.58594</v>
      </c>
      <c r="J1564">
        <v>433644172927.422</v>
      </c>
      <c r="K1564">
        <v>187935365062.42432</v>
      </c>
      <c r="L1564">
        <v>51116418930.975487</v>
      </c>
      <c r="M1564">
        <v>268593995401.10083</v>
      </c>
      <c r="N1564">
        <v>194592388934.02219</v>
      </c>
      <c r="O1564">
        <v>497744799149.28363</v>
      </c>
      <c r="Q1564">
        <v>31156277178.699974</v>
      </c>
      <c r="R1564">
        <v>24916599713.927639</v>
      </c>
      <c r="T1564">
        <v>49246741896.670174</v>
      </c>
      <c r="V1564">
        <f t="shared" si="60"/>
        <v>485342458475.89093</v>
      </c>
      <c r="W1564">
        <f t="shared" si="61"/>
        <v>394180528561.20001</v>
      </c>
    </row>
    <row r="1565" spans="1:23" x14ac:dyDescent="0.2">
      <c r="A1565">
        <f>IF(D1565="USD",VLOOKUP(VALUE(RIGHT(E1565,4)),'USD RUB'!$E:$F,2,FALSE),1)</f>
        <v>61.250166233766237</v>
      </c>
      <c r="B1565" s="4">
        <v>61.250166233766237</v>
      </c>
      <c r="C1565">
        <v>1000</v>
      </c>
      <c r="D1565" t="s">
        <v>111</v>
      </c>
      <c r="E1565" s="1" t="s">
        <v>1582</v>
      </c>
      <c r="F1565">
        <v>7051670388.3272734</v>
      </c>
      <c r="G1565">
        <v>110777540651.71948</v>
      </c>
      <c r="H1565">
        <v>223541301694.06754</v>
      </c>
      <c r="J1565">
        <v>339681233149.38702</v>
      </c>
      <c r="K1565">
        <v>140045381335.02856</v>
      </c>
      <c r="L1565">
        <v>60852713905.075325</v>
      </c>
      <c r="M1565">
        <v>226257746566.53506</v>
      </c>
      <c r="N1565">
        <v>138783137909.28311</v>
      </c>
      <c r="O1565">
        <v>955171107347.09619</v>
      </c>
      <c r="Q1565">
        <v>71537254153.059738</v>
      </c>
      <c r="R1565">
        <v>59344367311.402603</v>
      </c>
      <c r="T1565">
        <v>104471346036.62338</v>
      </c>
      <c r="V1565">
        <f t="shared" si="60"/>
        <v>770280103262.15503</v>
      </c>
      <c r="W1565">
        <f t="shared" si="61"/>
        <v>237537295724.54218</v>
      </c>
    </row>
    <row r="1566" spans="1:23" x14ac:dyDescent="0.2">
      <c r="A1566">
        <f>IF(D1566="USD",VLOOKUP(VALUE(RIGHT(E1566,4)),'USD RUB'!$E:$F,2,FALSE),1)</f>
        <v>61.250166233766237</v>
      </c>
      <c r="B1566" s="4">
        <v>61.250166233766237</v>
      </c>
      <c r="C1566">
        <v>1000</v>
      </c>
      <c r="D1566" t="s">
        <v>111</v>
      </c>
      <c r="E1566" s="1" t="s">
        <v>1583</v>
      </c>
      <c r="F1566">
        <v>13143795672.436365</v>
      </c>
      <c r="G1566">
        <v>114239216296.75325</v>
      </c>
      <c r="H1566">
        <v>272942194518.74808</v>
      </c>
      <c r="J1566">
        <v>394180528561.20001</v>
      </c>
      <c r="K1566">
        <v>165474367849.63638</v>
      </c>
      <c r="L1566">
        <v>56336494147.994804</v>
      </c>
      <c r="M1566">
        <v>216230788103.23639</v>
      </c>
      <c r="N1566">
        <v>172369666563.56885</v>
      </c>
      <c r="O1566">
        <v>485342458475.89093</v>
      </c>
      <c r="Q1566">
        <v>34925457288.155846</v>
      </c>
      <c r="R1566">
        <v>26961955675.106495</v>
      </c>
      <c r="T1566">
        <v>51892365836.571434</v>
      </c>
      <c r="V1566">
        <f t="shared" si="60"/>
        <v>386785284047.29614</v>
      </c>
      <c r="W1566">
        <f t="shared" si="61"/>
        <v>322949801159.85815</v>
      </c>
    </row>
    <row r="1567" spans="1:23" x14ac:dyDescent="0.2">
      <c r="A1567">
        <f>IF(D1567="USD",VLOOKUP(VALUE(RIGHT(E1567,4)),'USD RUB'!$E:$F,2,FALSE),1)</f>
        <v>38.761512927756648</v>
      </c>
      <c r="B1567" s="4">
        <v>38.761512927756648</v>
      </c>
      <c r="C1567">
        <v>1000</v>
      </c>
      <c r="D1567" t="s">
        <v>111</v>
      </c>
      <c r="E1567" s="1" t="s">
        <v>1584</v>
      </c>
      <c r="F1567">
        <v>12189294208.878706</v>
      </c>
      <c r="G1567">
        <v>72859860804.252457</v>
      </c>
      <c r="H1567">
        <v>160513324347.97375</v>
      </c>
      <c r="J1567">
        <v>237537295724.54218</v>
      </c>
      <c r="K1567">
        <v>100649035983.01025</v>
      </c>
      <c r="L1567">
        <v>37913721117.000755</v>
      </c>
      <c r="M1567">
        <v>128928389254.25246</v>
      </c>
      <c r="N1567">
        <v>98974538624.531158</v>
      </c>
      <c r="O1567">
        <v>770280103262.15503</v>
      </c>
      <c r="Q1567">
        <v>62575152294.592003</v>
      </c>
      <c r="R1567">
        <v>48107611401.871475</v>
      </c>
      <c r="T1567">
        <v>86669580061.076035</v>
      </c>
      <c r="V1567">
        <f t="shared" si="60"/>
        <v>579986106336</v>
      </c>
      <c r="W1567">
        <f t="shared" si="61"/>
        <v>261091130607.99997</v>
      </c>
    </row>
    <row r="1568" spans="1:23" x14ac:dyDescent="0.2">
      <c r="A1568">
        <f>IF(D1568="USD",VLOOKUP(VALUE(RIGHT(E1568,4)),'USD RUB'!$E:$F,2,FALSE),1)</f>
        <v>38.761512927756648</v>
      </c>
      <c r="B1568" s="4">
        <v>38.761512927756648</v>
      </c>
      <c r="C1568">
        <v>1000</v>
      </c>
      <c r="D1568" t="s">
        <v>111</v>
      </c>
      <c r="E1568" s="1" t="s">
        <v>1585</v>
      </c>
      <c r="F1568">
        <v>4298845591.2528515</v>
      </c>
      <c r="G1568">
        <v>78209647295.515579</v>
      </c>
      <c r="H1568">
        <v>238168992100.72583</v>
      </c>
      <c r="J1568">
        <v>322949801159.85815</v>
      </c>
      <c r="K1568">
        <v>91971496083.873367</v>
      </c>
      <c r="L1568">
        <v>73216040346.545624</v>
      </c>
      <c r="M1568">
        <v>119857923898.56689</v>
      </c>
      <c r="N1568">
        <v>157762264729.43915</v>
      </c>
      <c r="O1568">
        <v>386785284047.29614</v>
      </c>
      <c r="Q1568">
        <v>27966470338.889351</v>
      </c>
      <c r="R1568">
        <v>21705865816.849808</v>
      </c>
      <c r="T1568">
        <v>40501129627.954369</v>
      </c>
      <c r="V1568">
        <f t="shared" si="60"/>
        <v>280289509248</v>
      </c>
      <c r="W1568">
        <f t="shared" si="61"/>
        <v>223984164319.99997</v>
      </c>
    </row>
    <row r="1569" spans="1:23" x14ac:dyDescent="0.2">
      <c r="A1569">
        <f>IF(D1569="USD",VLOOKUP(VALUE(RIGHT(E1569,4)),'USD RUB'!$E:$F,2,FALSE),1)</f>
        <v>31.863999999999997</v>
      </c>
      <c r="B1569" s="4">
        <v>31.863999999999997</v>
      </c>
      <c r="C1569">
        <v>1000</v>
      </c>
      <c r="D1569" t="s">
        <v>111</v>
      </c>
      <c r="E1569" s="1" t="s">
        <v>1586</v>
      </c>
      <c r="F1569">
        <v>5774330351.999999</v>
      </c>
      <c r="G1569">
        <v>65481858287.999992</v>
      </c>
      <c r="H1569">
        <v>189999200887.99997</v>
      </c>
      <c r="J1569">
        <v>261091130607.99997</v>
      </c>
      <c r="K1569">
        <v>93573797967.999985</v>
      </c>
      <c r="L1569">
        <v>44690343375.999992</v>
      </c>
      <c r="N1569">
        <v>122826989263.99998</v>
      </c>
      <c r="O1569">
        <v>579986106336</v>
      </c>
      <c r="Q1569">
        <v>45777001367.999992</v>
      </c>
      <c r="R1569">
        <v>35625640792</v>
      </c>
      <c r="T1569">
        <v>48555319119.999992</v>
      </c>
      <c r="V1569">
        <f t="shared" si="60"/>
        <v>448227618752.38135</v>
      </c>
      <c r="W1569">
        <f t="shared" si="61"/>
        <v>225539956295.36081</v>
      </c>
    </row>
    <row r="1570" spans="1:23" x14ac:dyDescent="0.2">
      <c r="A1570">
        <f>IF(D1570="USD",VLOOKUP(VALUE(RIGHT(E1570,4)),'USD RUB'!$E:$F,2,FALSE),1)</f>
        <v>31.863999999999997</v>
      </c>
      <c r="B1570" s="4">
        <v>31.863999999999997</v>
      </c>
      <c r="C1570">
        <v>1000</v>
      </c>
      <c r="D1570" t="s">
        <v>111</v>
      </c>
      <c r="E1570" s="1" t="s">
        <v>1587</v>
      </c>
      <c r="F1570">
        <v>8479265311.999999</v>
      </c>
      <c r="G1570">
        <v>51899350327.999992</v>
      </c>
      <c r="H1570">
        <v>167949663392</v>
      </c>
      <c r="J1570">
        <v>223984164319.99997</v>
      </c>
      <c r="K1570">
        <v>81978647688</v>
      </c>
      <c r="L1570">
        <v>35899830512</v>
      </c>
      <c r="N1570">
        <v>106105686119.99998</v>
      </c>
      <c r="O1570">
        <v>280289509248</v>
      </c>
      <c r="Q1570">
        <v>19120471160</v>
      </c>
      <c r="R1570">
        <v>14941443831.999998</v>
      </c>
      <c r="T1570">
        <v>28357048159.999996</v>
      </c>
      <c r="V1570">
        <f t="shared" si="60"/>
        <v>210475167990.22058</v>
      </c>
      <c r="W1570">
        <f t="shared" si="61"/>
        <v>170459401712.08267</v>
      </c>
    </row>
    <row r="1571" spans="1:23" x14ac:dyDescent="0.2">
      <c r="A1571">
        <f>IF(D1571="USD",VLOOKUP(VALUE(RIGHT(E1571,4)),'USD RUB'!$E:$F,2,FALSE),1)</f>
        <v>31.062956321839064</v>
      </c>
      <c r="B1571" s="4">
        <v>31.062956321839064</v>
      </c>
      <c r="C1571">
        <v>1000</v>
      </c>
      <c r="D1571" t="s">
        <v>111</v>
      </c>
      <c r="E1571" s="1" t="s">
        <v>1588</v>
      </c>
      <c r="F1571">
        <v>12735594651.259764</v>
      </c>
      <c r="G1571">
        <v>59141135296.625252</v>
      </c>
      <c r="H1571">
        <v>162360419236.20221</v>
      </c>
      <c r="J1571">
        <v>225539956295.36081</v>
      </c>
      <c r="K1571">
        <v>78634072277.268921</v>
      </c>
      <c r="L1571">
        <v>45415005094.17469</v>
      </c>
      <c r="N1571">
        <v>101490878923.91719</v>
      </c>
      <c r="O1571">
        <v>448227618752.38135</v>
      </c>
      <c r="Q1571">
        <v>32281804601.995384</v>
      </c>
      <c r="R1571">
        <v>25092935683.388493</v>
      </c>
      <c r="T1571">
        <v>47333732843.218369</v>
      </c>
      <c r="V1571">
        <f t="shared" si="60"/>
        <v>335871684646.97308</v>
      </c>
      <c r="W1571">
        <f t="shared" si="61"/>
        <v>160163793873.08078</v>
      </c>
    </row>
    <row r="1572" spans="1:23" x14ac:dyDescent="0.2">
      <c r="A1572">
        <f>IF(D1572="USD",VLOOKUP(VALUE(RIGHT(E1572,4)),'USD RUB'!$E:$F,2,FALSE),1)</f>
        <v>31.062956321839064</v>
      </c>
      <c r="B1572" s="4">
        <v>31.062956321839064</v>
      </c>
      <c r="C1572">
        <v>1000</v>
      </c>
      <c r="D1572" t="s">
        <v>111</v>
      </c>
      <c r="E1572" s="1" t="s">
        <v>1589</v>
      </c>
      <c r="F1572">
        <v>3986837255.0390782</v>
      </c>
      <c r="G1572">
        <v>36510032090.611473</v>
      </c>
      <c r="H1572">
        <v>130585158262.94705</v>
      </c>
      <c r="J1572">
        <v>170459401712.08267</v>
      </c>
      <c r="K1572">
        <v>40086092811.250549</v>
      </c>
      <c r="L1572">
        <v>47995342749.917213</v>
      </c>
      <c r="N1572">
        <v>82377966150.914902</v>
      </c>
      <c r="O1572">
        <v>210475167990.22058</v>
      </c>
      <c r="Q1572">
        <v>13784000490.078154</v>
      </c>
      <c r="R1572">
        <v>10557677594.66666</v>
      </c>
      <c r="T1572">
        <v>20830818509.425278</v>
      </c>
      <c r="V1572">
        <f t="shared" si="60"/>
        <v>160853045745.33463</v>
      </c>
      <c r="W1572">
        <f t="shared" si="61"/>
        <v>140809847104.54617</v>
      </c>
    </row>
    <row r="1573" spans="1:23" x14ac:dyDescent="0.2">
      <c r="A1573">
        <f>IF(D1573="USD",VLOOKUP(VALUE(RIGHT(E1573,4)),'USD RUB'!$E:$F,2,FALSE),1)</f>
        <v>29.402434615384617</v>
      </c>
      <c r="B1573" s="4">
        <v>29.402434615384617</v>
      </c>
      <c r="C1573">
        <v>1000</v>
      </c>
      <c r="D1573" t="s">
        <v>111</v>
      </c>
      <c r="E1573" s="1" t="s">
        <v>1590</v>
      </c>
      <c r="F1573">
        <v>15712425838.984617</v>
      </c>
      <c r="G1573">
        <v>44998544423.030769</v>
      </c>
      <c r="H1573">
        <v>112212392344.06154</v>
      </c>
      <c r="J1573">
        <v>160163793873.08078</v>
      </c>
      <c r="K1573">
        <v>42618975987.17308</v>
      </c>
      <c r="L1573">
        <v>45677593650.473083</v>
      </c>
      <c r="N1573">
        <v>71867224235.434616</v>
      </c>
      <c r="O1573">
        <v>335871684646.97308</v>
      </c>
      <c r="Q1573">
        <v>16498705745.469233</v>
      </c>
      <c r="R1573">
        <v>12310093715.030769</v>
      </c>
      <c r="T1573">
        <v>27617706834.23077</v>
      </c>
      <c r="V1573" t="str">
        <f t="shared" si="60"/>
        <v/>
      </c>
      <c r="W1573" t="str">
        <f t="shared" si="61"/>
        <v/>
      </c>
    </row>
    <row r="1574" spans="1:23" x14ac:dyDescent="0.2">
      <c r="A1574">
        <f>IF(D1574="USD",VLOOKUP(VALUE(RIGHT(E1574,4)),'USD RUB'!$E:$F,2,FALSE),1)</f>
        <v>29.402434615384617</v>
      </c>
      <c r="B1574" s="4">
        <v>29.402434615384617</v>
      </c>
      <c r="C1574">
        <v>1000</v>
      </c>
      <c r="D1574" t="s">
        <v>111</v>
      </c>
      <c r="E1574" s="1" t="s">
        <v>1591</v>
      </c>
      <c r="F1574">
        <v>2228087092.7192311</v>
      </c>
      <c r="G1574">
        <v>33830323658.72308</v>
      </c>
      <c r="H1574">
        <v>104161652917.15385</v>
      </c>
      <c r="J1574">
        <v>140809847104.54617</v>
      </c>
      <c r="K1574">
        <v>42920409746.850006</v>
      </c>
      <c r="L1574">
        <v>39746416930.119232</v>
      </c>
      <c r="N1574">
        <v>58143020427.576927</v>
      </c>
      <c r="O1574">
        <v>160853045745.33463</v>
      </c>
      <c r="Q1574">
        <v>5666348991.773077</v>
      </c>
      <c r="R1574">
        <v>4126631698.2692308</v>
      </c>
      <c r="T1574">
        <v>10555474026.923079</v>
      </c>
      <c r="V1574" t="str">
        <f t="shared" si="60"/>
        <v/>
      </c>
      <c r="W1574" t="str">
        <f t="shared" si="61"/>
        <v/>
      </c>
    </row>
    <row r="1575" spans="1:23" x14ac:dyDescent="0.2">
      <c r="A1575">
        <f>IF(D1575="USD",VLOOKUP(VALUE(RIGHT(E1575,4)),'USD RUB'!$E:$F,2,FALSE),1)</f>
        <v>1</v>
      </c>
      <c r="B1575" s="4">
        <v>1</v>
      </c>
      <c r="C1575">
        <v>1000000</v>
      </c>
      <c r="D1575" t="s">
        <v>20</v>
      </c>
      <c r="E1575" s="1" t="s">
        <v>1592</v>
      </c>
      <c r="F1575">
        <v>2524000000</v>
      </c>
      <c r="G1575">
        <v>30222000000</v>
      </c>
      <c r="J1575">
        <v>51336000000</v>
      </c>
      <c r="K1575">
        <v>10760000000</v>
      </c>
      <c r="L1575">
        <v>9903000000</v>
      </c>
      <c r="N1575">
        <v>30673000000</v>
      </c>
      <c r="O1575">
        <v>21433000000</v>
      </c>
      <c r="P1575">
        <v>6831000000</v>
      </c>
      <c r="Q1575">
        <v>4474000000</v>
      </c>
      <c r="R1575">
        <v>3445000000</v>
      </c>
      <c r="T1575">
        <v>7709000000</v>
      </c>
      <c r="U1575">
        <v>-2990000000</v>
      </c>
      <c r="V1575">
        <f t="shared" si="60"/>
        <v>18137000000</v>
      </c>
      <c r="W1575">
        <f t="shared" si="61"/>
        <v>40793000000</v>
      </c>
    </row>
    <row r="1576" spans="1:23" x14ac:dyDescent="0.2">
      <c r="A1576">
        <f>IF(D1576="USD",VLOOKUP(VALUE(RIGHT(E1576,4)),'USD RUB'!$E:$F,2,FALSE),1)</f>
        <v>1</v>
      </c>
      <c r="B1576" s="4">
        <v>1</v>
      </c>
      <c r="C1576">
        <v>1000</v>
      </c>
      <c r="D1576" t="s">
        <v>20</v>
      </c>
      <c r="E1576" s="1" t="s">
        <v>1593</v>
      </c>
      <c r="F1576">
        <v>3036478000</v>
      </c>
      <c r="G1576">
        <v>30274246000</v>
      </c>
      <c r="H1576">
        <v>10040121000</v>
      </c>
      <c r="I1576">
        <v>8426882000</v>
      </c>
      <c r="J1576">
        <v>50344568000</v>
      </c>
      <c r="K1576">
        <v>10987072000</v>
      </c>
      <c r="L1576">
        <v>10251069000</v>
      </c>
      <c r="M1576">
        <v>23628138000</v>
      </c>
      <c r="N1576">
        <v>29106427000</v>
      </c>
      <c r="O1576">
        <v>13264026000</v>
      </c>
      <c r="P1576">
        <v>3947203000</v>
      </c>
      <c r="Q1576">
        <v>2223450000</v>
      </c>
      <c r="R1576">
        <v>1712057000</v>
      </c>
      <c r="S1576">
        <v>580016000</v>
      </c>
      <c r="T1576">
        <v>4527219000</v>
      </c>
      <c r="U1576">
        <v>-1980477000</v>
      </c>
      <c r="V1576">
        <f t="shared" si="60"/>
        <v>12573821000</v>
      </c>
      <c r="W1576">
        <f t="shared" si="61"/>
        <v>38440570000</v>
      </c>
    </row>
    <row r="1577" spans="1:23" x14ac:dyDescent="0.2">
      <c r="A1577">
        <f>IF(D1577="USD",VLOOKUP(VALUE(RIGHT(E1577,4)),'USD RUB'!$E:$F,2,FALSE),1)</f>
        <v>1</v>
      </c>
      <c r="B1577" s="4">
        <v>1</v>
      </c>
      <c r="C1577">
        <v>1000000</v>
      </c>
      <c r="D1577" t="s">
        <v>20</v>
      </c>
      <c r="E1577" s="1" t="s">
        <v>1594</v>
      </c>
      <c r="F1577">
        <v>3455000000</v>
      </c>
      <c r="G1577">
        <v>30797000000</v>
      </c>
      <c r="J1577">
        <v>49636000000</v>
      </c>
      <c r="K1577">
        <v>13378000000</v>
      </c>
      <c r="L1577">
        <v>9927000000</v>
      </c>
      <c r="N1577">
        <v>26331000000</v>
      </c>
      <c r="O1577">
        <v>6855000000</v>
      </c>
      <c r="P1577">
        <v>2207000000</v>
      </c>
      <c r="Q1577">
        <v>1290000000</v>
      </c>
      <c r="R1577">
        <v>993000000</v>
      </c>
      <c r="T1577">
        <v>2494000000</v>
      </c>
      <c r="U1577">
        <v>-735000000</v>
      </c>
      <c r="V1577">
        <f t="shared" si="60"/>
        <v>4722000000</v>
      </c>
      <c r="W1577">
        <f t="shared" si="61"/>
        <v>0</v>
      </c>
    </row>
    <row r="1578" spans="1:23" x14ac:dyDescent="0.2">
      <c r="A1578">
        <f>IF(D1578="USD",VLOOKUP(VALUE(RIGHT(E1578,4)),'USD RUB'!$E:$F,2,FALSE),1)</f>
        <v>1</v>
      </c>
      <c r="B1578" s="4">
        <v>1</v>
      </c>
      <c r="C1578">
        <v>1000</v>
      </c>
      <c r="D1578" t="s">
        <v>20</v>
      </c>
      <c r="E1578" s="1" t="s">
        <v>1595</v>
      </c>
      <c r="F1578">
        <v>5578280000</v>
      </c>
      <c r="G1578">
        <v>31509813000</v>
      </c>
      <c r="H1578">
        <v>9809309000</v>
      </c>
      <c r="I1578">
        <v>6797084000</v>
      </c>
      <c r="J1578">
        <v>49543119000</v>
      </c>
      <c r="K1578">
        <v>12791691000</v>
      </c>
      <c r="L1578">
        <v>11414278000</v>
      </c>
      <c r="M1578">
        <v>22521913000</v>
      </c>
      <c r="N1578">
        <v>25337150000</v>
      </c>
      <c r="O1578">
        <v>25562050000</v>
      </c>
      <c r="P1578">
        <v>7941470000</v>
      </c>
      <c r="Q1578">
        <v>5823863000</v>
      </c>
      <c r="R1578">
        <v>4610665000</v>
      </c>
      <c r="S1578">
        <v>1126414000</v>
      </c>
      <c r="T1578">
        <v>9067884000</v>
      </c>
      <c r="U1578">
        <v>-4281866000</v>
      </c>
      <c r="V1578">
        <f t="shared" si="60"/>
        <v>19724449000</v>
      </c>
      <c r="W1578">
        <f t="shared" si="61"/>
        <v>34118959000</v>
      </c>
    </row>
    <row r="1579" spans="1:23" x14ac:dyDescent="0.2">
      <c r="A1579">
        <f>IF(D1579="USD",VLOOKUP(VALUE(RIGHT(E1579,4)),'USD RUB'!$E:$F,2,FALSE),1)</f>
        <v>1</v>
      </c>
      <c r="B1579" s="4">
        <v>1</v>
      </c>
      <c r="C1579">
        <v>1000000</v>
      </c>
      <c r="D1579" t="s">
        <v>20</v>
      </c>
      <c r="E1579" s="1" t="s">
        <v>1596</v>
      </c>
      <c r="F1579">
        <v>2667000000</v>
      </c>
      <c r="G1579">
        <v>24822000000</v>
      </c>
      <c r="J1579">
        <v>40793000000</v>
      </c>
      <c r="K1579">
        <v>7619000000</v>
      </c>
      <c r="L1579">
        <v>10238000000</v>
      </c>
      <c r="N1579">
        <v>22936000000</v>
      </c>
      <c r="O1579">
        <v>18137000000</v>
      </c>
      <c r="P1579">
        <v>5956000000</v>
      </c>
      <c r="Q1579">
        <v>4213000000</v>
      </c>
      <c r="R1579">
        <v>3413000000</v>
      </c>
      <c r="V1579">
        <f t="shared" si="60"/>
        <v>13576000000</v>
      </c>
      <c r="W1579">
        <f t="shared" si="61"/>
        <v>0</v>
      </c>
    </row>
    <row r="1580" spans="1:23" x14ac:dyDescent="0.2">
      <c r="A1580">
        <f>IF(D1580="USD",VLOOKUP(VALUE(RIGHT(E1580,4)),'USD RUB'!$E:$F,2,FALSE),1)</f>
        <v>1</v>
      </c>
      <c r="B1580" s="4">
        <v>1</v>
      </c>
      <c r="C1580">
        <v>1000</v>
      </c>
      <c r="D1580" t="s">
        <v>20</v>
      </c>
      <c r="E1580" s="1" t="s">
        <v>1597</v>
      </c>
      <c r="F1580">
        <v>2685094000</v>
      </c>
      <c r="G1580">
        <v>23081317000</v>
      </c>
      <c r="H1580">
        <v>9182732000</v>
      </c>
      <c r="I1580">
        <v>5189045000</v>
      </c>
      <c r="J1580">
        <v>38440570000</v>
      </c>
      <c r="K1580">
        <v>6815230000</v>
      </c>
      <c r="L1580">
        <v>9241592000</v>
      </c>
      <c r="M1580">
        <v>22129748000</v>
      </c>
      <c r="N1580">
        <v>22383748000</v>
      </c>
      <c r="O1580">
        <v>12573821000</v>
      </c>
      <c r="P1580">
        <v>4508063000</v>
      </c>
      <c r="Q1580">
        <v>3530977000</v>
      </c>
      <c r="R1580">
        <v>2860090000</v>
      </c>
      <c r="S1580">
        <v>526886000</v>
      </c>
      <c r="T1580">
        <v>5034949000</v>
      </c>
      <c r="U1580">
        <v>-1473781000</v>
      </c>
      <c r="V1580">
        <f t="shared" si="60"/>
        <v>7729863000</v>
      </c>
      <c r="W1580">
        <f t="shared" si="61"/>
        <v>0</v>
      </c>
    </row>
    <row r="1581" spans="1:23" x14ac:dyDescent="0.2">
      <c r="A1581">
        <f>IF(D1581="USD",VLOOKUP(VALUE(RIGHT(E1581,4)),'USD RUB'!$E:$F,2,FALSE),1)</f>
        <v>1</v>
      </c>
      <c r="B1581" s="4">
        <v>1</v>
      </c>
      <c r="C1581">
        <v>1000000</v>
      </c>
      <c r="D1581" t="s">
        <v>20</v>
      </c>
      <c r="E1581" s="1" t="s">
        <v>1598</v>
      </c>
      <c r="O1581">
        <v>4722000000</v>
      </c>
      <c r="P1581">
        <v>1298000000</v>
      </c>
      <c r="Q1581">
        <v>958000000</v>
      </c>
      <c r="R1581">
        <v>776000000</v>
      </c>
      <c r="T1581">
        <v>1556000000</v>
      </c>
      <c r="U1581">
        <v>-214000000</v>
      </c>
      <c r="V1581" t="str">
        <f t="shared" si="60"/>
        <v/>
      </c>
      <c r="W1581" t="str">
        <f t="shared" si="61"/>
        <v/>
      </c>
    </row>
    <row r="1582" spans="1:23" x14ac:dyDescent="0.2">
      <c r="A1582">
        <f>IF(D1582="USD",VLOOKUP(VALUE(RIGHT(E1582,4)),'USD RUB'!$E:$F,2,FALSE),1)</f>
        <v>1</v>
      </c>
      <c r="B1582" s="4">
        <v>1</v>
      </c>
      <c r="C1582">
        <v>1000</v>
      </c>
      <c r="D1582" t="s">
        <v>20</v>
      </c>
      <c r="E1582" s="1" t="s">
        <v>1599</v>
      </c>
      <c r="F1582">
        <v>600283000</v>
      </c>
      <c r="G1582">
        <v>23394810000</v>
      </c>
      <c r="H1582">
        <v>4923802000</v>
      </c>
      <c r="I1582">
        <v>286057000</v>
      </c>
      <c r="J1582">
        <v>34118959000</v>
      </c>
      <c r="K1582">
        <v>8871813000</v>
      </c>
      <c r="L1582">
        <v>8129341000</v>
      </c>
      <c r="M1582">
        <v>16863805000</v>
      </c>
      <c r="N1582">
        <v>17117805000</v>
      </c>
      <c r="O1582">
        <v>19724449000</v>
      </c>
      <c r="P1582">
        <v>6148356000</v>
      </c>
      <c r="Q1582">
        <v>5065235000</v>
      </c>
      <c r="R1582">
        <v>4003410000</v>
      </c>
      <c r="S1582">
        <v>932174000</v>
      </c>
      <c r="T1582">
        <v>7080530000</v>
      </c>
      <c r="U1582">
        <v>-705613000</v>
      </c>
      <c r="V1582">
        <f t="shared" si="60"/>
        <v>18959966000</v>
      </c>
      <c r="W1582">
        <f t="shared" si="61"/>
        <v>34103575000</v>
      </c>
    </row>
    <row r="1583" spans="1:23" x14ac:dyDescent="0.2">
      <c r="A1583">
        <f>IF(D1583="USD",VLOOKUP(VALUE(RIGHT(E1583,4)),'USD RUB'!$E:$F,2,FALSE),1)</f>
        <v>1</v>
      </c>
      <c r="B1583" s="4">
        <v>1</v>
      </c>
      <c r="C1583">
        <v>1000000</v>
      </c>
      <c r="D1583" t="s">
        <v>20</v>
      </c>
      <c r="E1583" s="1" t="s">
        <v>1600</v>
      </c>
      <c r="O1583">
        <v>13576000000</v>
      </c>
      <c r="P1583">
        <v>4009000000</v>
      </c>
      <c r="Q1583">
        <v>3268000000</v>
      </c>
      <c r="R1583">
        <v>2582000000</v>
      </c>
      <c r="V1583" t="str">
        <f t="shared" si="60"/>
        <v/>
      </c>
      <c r="W1583" t="str">
        <f t="shared" si="61"/>
        <v/>
      </c>
    </row>
    <row r="1584" spans="1:23" x14ac:dyDescent="0.2">
      <c r="A1584">
        <f>IF(D1584="USD",VLOOKUP(VALUE(RIGHT(E1584,4)),'USD RUB'!$E:$F,2,FALSE),1)</f>
        <v>1</v>
      </c>
      <c r="B1584" s="4">
        <v>1</v>
      </c>
      <c r="C1584">
        <v>1000</v>
      </c>
      <c r="D1584" t="s">
        <v>20</v>
      </c>
      <c r="E1584" s="1" t="s">
        <v>1601</v>
      </c>
      <c r="O1584">
        <v>7729863000</v>
      </c>
      <c r="P1584">
        <v>1430657000</v>
      </c>
      <c r="Q1584">
        <v>820397000</v>
      </c>
      <c r="R1584">
        <v>648114000</v>
      </c>
      <c r="S1584">
        <v>450447000</v>
      </c>
      <c r="T1584">
        <v>1881104000</v>
      </c>
      <c r="U1584">
        <v>-219264000</v>
      </c>
      <c r="V1584" t="str">
        <f t="shared" si="60"/>
        <v/>
      </c>
      <c r="W1584" t="str">
        <f t="shared" si="61"/>
        <v/>
      </c>
    </row>
    <row r="1585" spans="1:23" x14ac:dyDescent="0.2">
      <c r="A1585">
        <f>IF(D1585="USD",VLOOKUP(VALUE(RIGHT(E1585,4)),'USD RUB'!$E:$F,2,FALSE),1)</f>
        <v>1</v>
      </c>
      <c r="B1585" s="4">
        <v>1</v>
      </c>
      <c r="C1585">
        <v>1000</v>
      </c>
      <c r="D1585" t="s">
        <v>20</v>
      </c>
      <c r="E1585" s="1" t="s">
        <v>1602</v>
      </c>
      <c r="F1585">
        <v>1113261000</v>
      </c>
      <c r="G1585">
        <v>23552317000</v>
      </c>
      <c r="H1585">
        <v>5109770000</v>
      </c>
      <c r="I1585">
        <v>207924000</v>
      </c>
      <c r="J1585">
        <v>34103575000</v>
      </c>
      <c r="K1585">
        <v>10672017000</v>
      </c>
      <c r="L1585">
        <v>8778699000</v>
      </c>
      <c r="M1585">
        <v>14398859000</v>
      </c>
      <c r="N1585">
        <v>14652859000</v>
      </c>
      <c r="O1585">
        <v>18959966000</v>
      </c>
      <c r="P1585">
        <v>5502984000</v>
      </c>
      <c r="Q1585">
        <v>4338308000</v>
      </c>
      <c r="R1585">
        <v>3652496000</v>
      </c>
      <c r="S1585">
        <v>746417000</v>
      </c>
      <c r="T1585">
        <v>6249401000</v>
      </c>
      <c r="U1585">
        <v>-682050000</v>
      </c>
      <c r="V1585">
        <f t="shared" si="60"/>
        <v>17648272000</v>
      </c>
      <c r="W1585">
        <f t="shared" si="61"/>
        <v>29683918000</v>
      </c>
    </row>
    <row r="1586" spans="1:23" x14ac:dyDescent="0.2">
      <c r="A1586">
        <f>IF(D1586="USD",VLOOKUP(VALUE(RIGHT(E1586,4)),'USD RUB'!$E:$F,2,FALSE),1)</f>
        <v>1</v>
      </c>
      <c r="B1586" s="4">
        <v>1</v>
      </c>
      <c r="C1586">
        <v>1000</v>
      </c>
      <c r="D1586" t="s">
        <v>20</v>
      </c>
      <c r="E1586" s="1" t="s">
        <v>1603</v>
      </c>
      <c r="F1586">
        <v>1372719000</v>
      </c>
      <c r="G1586">
        <v>19129933000</v>
      </c>
      <c r="H1586">
        <v>4857857000</v>
      </c>
      <c r="I1586">
        <v>104321000</v>
      </c>
      <c r="J1586">
        <v>29683918000</v>
      </c>
      <c r="K1586">
        <v>6198433000</v>
      </c>
      <c r="L1586">
        <v>10688047000</v>
      </c>
      <c r="M1586">
        <v>12543438000</v>
      </c>
      <c r="N1586">
        <v>12797438000</v>
      </c>
      <c r="O1586">
        <v>17648272000</v>
      </c>
      <c r="P1586">
        <v>5443617000</v>
      </c>
      <c r="Q1586">
        <v>4715785000</v>
      </c>
      <c r="R1586">
        <v>3947756000</v>
      </c>
      <c r="S1586">
        <v>592440000</v>
      </c>
      <c r="T1586">
        <v>6035957000</v>
      </c>
      <c r="U1586">
        <v>-1187665000</v>
      </c>
      <c r="V1586" t="str">
        <f t="shared" si="60"/>
        <v/>
      </c>
      <c r="W1586" t="str">
        <f t="shared" si="61"/>
        <v/>
      </c>
    </row>
    <row r="1587" spans="1:23" x14ac:dyDescent="0.2">
      <c r="A1587">
        <f>IF(D1587="USD",VLOOKUP(VALUE(RIGHT(E1587,4)),'USD RUB'!$E:$F,2,FALSE),1)</f>
        <v>1</v>
      </c>
      <c r="B1587" s="4">
        <v>1</v>
      </c>
      <c r="C1587">
        <v>1000</v>
      </c>
      <c r="D1587" t="s">
        <v>20</v>
      </c>
      <c r="E1587" s="1" t="s">
        <v>1604</v>
      </c>
      <c r="F1587">
        <v>2595132000</v>
      </c>
      <c r="G1587">
        <v>30460764000</v>
      </c>
      <c r="H1587">
        <v>17159921000</v>
      </c>
      <c r="I1587">
        <v>5864555000</v>
      </c>
      <c r="J1587">
        <v>57440076000</v>
      </c>
      <c r="K1587">
        <v>26175849000</v>
      </c>
      <c r="L1587">
        <v>10238563000</v>
      </c>
      <c r="M1587">
        <v>16943257000</v>
      </c>
      <c r="N1587">
        <v>21025664000</v>
      </c>
      <c r="O1587">
        <v>12974689000</v>
      </c>
      <c r="P1587">
        <v>3479386000</v>
      </c>
      <c r="Q1587">
        <v>1974620000</v>
      </c>
      <c r="R1587">
        <v>1417974000</v>
      </c>
      <c r="S1587">
        <v>651127000</v>
      </c>
      <c r="T1587">
        <v>4368242000</v>
      </c>
      <c r="U1587">
        <v>-1392520000</v>
      </c>
      <c r="V1587">
        <f t="shared" si="60"/>
        <v>7134266000</v>
      </c>
      <c r="W1587">
        <f t="shared" si="61"/>
        <v>38615598000</v>
      </c>
    </row>
    <row r="1588" spans="1:23" x14ac:dyDescent="0.2">
      <c r="A1588">
        <f>IF(D1588="USD",VLOOKUP(VALUE(RIGHT(E1588,4)),'USD RUB'!$E:$F,2,FALSE),1)</f>
        <v>1</v>
      </c>
      <c r="B1588" s="4">
        <v>1</v>
      </c>
      <c r="C1588">
        <v>1000</v>
      </c>
      <c r="D1588" t="s">
        <v>20</v>
      </c>
      <c r="E1588" s="1" t="s">
        <v>1605</v>
      </c>
      <c r="F1588">
        <v>4082103000</v>
      </c>
      <c r="G1588">
        <v>27965690000</v>
      </c>
      <c r="H1588">
        <v>16105376000</v>
      </c>
      <c r="I1588">
        <v>5483585000</v>
      </c>
      <c r="J1588">
        <v>53105216000</v>
      </c>
      <c r="K1588">
        <v>13238411000</v>
      </c>
      <c r="L1588">
        <v>20216323000</v>
      </c>
      <c r="M1588">
        <v>15666082000</v>
      </c>
      <c r="N1588">
        <v>19650482000</v>
      </c>
      <c r="O1588">
        <v>21448519000</v>
      </c>
      <c r="P1588">
        <v>6895746000</v>
      </c>
      <c r="Q1588">
        <v>4595519000</v>
      </c>
      <c r="R1588">
        <v>2875644000</v>
      </c>
      <c r="S1588">
        <v>1053830000</v>
      </c>
      <c r="T1588">
        <v>8228985000</v>
      </c>
      <c r="U1588">
        <v>-4062862000</v>
      </c>
      <c r="V1588">
        <f t="shared" si="60"/>
        <v>15842029000</v>
      </c>
      <c r="W1588">
        <f t="shared" si="61"/>
        <v>34821734000</v>
      </c>
    </row>
    <row r="1589" spans="1:23" x14ac:dyDescent="0.2">
      <c r="A1589">
        <f>IF(D1589="USD",VLOOKUP(VALUE(RIGHT(E1589,4)),'USD RUB'!$E:$F,2,FALSE),1)</f>
        <v>1</v>
      </c>
      <c r="B1589" s="4">
        <v>1</v>
      </c>
      <c r="C1589">
        <v>1000</v>
      </c>
      <c r="D1589" t="s">
        <v>20</v>
      </c>
      <c r="E1589" s="1" t="s">
        <v>1606</v>
      </c>
      <c r="F1589">
        <v>1626738000</v>
      </c>
      <c r="G1589">
        <v>18337298000</v>
      </c>
      <c r="H1589">
        <v>13890012000</v>
      </c>
      <c r="I1589">
        <v>5059336000</v>
      </c>
      <c r="J1589">
        <v>38615598000</v>
      </c>
      <c r="K1589">
        <v>8126231000</v>
      </c>
      <c r="L1589">
        <v>18472264000</v>
      </c>
      <c r="M1589">
        <v>12716713000</v>
      </c>
      <c r="N1589">
        <v>12017103000</v>
      </c>
      <c r="O1589">
        <v>7134266000</v>
      </c>
      <c r="P1589">
        <v>1517793000</v>
      </c>
      <c r="Q1589">
        <v>605418000</v>
      </c>
      <c r="R1589">
        <v>5082000</v>
      </c>
      <c r="S1589">
        <v>483510000</v>
      </c>
      <c r="T1589">
        <v>2285107000</v>
      </c>
      <c r="U1589">
        <v>-1339134000</v>
      </c>
      <c r="V1589" t="str">
        <f t="shared" si="60"/>
        <v/>
      </c>
      <c r="W1589" t="str">
        <f t="shared" si="61"/>
        <v/>
      </c>
    </row>
    <row r="1590" spans="1:23" x14ac:dyDescent="0.2">
      <c r="A1590">
        <f>IF(D1590="USD",VLOOKUP(VALUE(RIGHT(E1590,4)),'USD RUB'!$E:$F,2,FALSE),1)</f>
        <v>1</v>
      </c>
      <c r="B1590" s="4">
        <v>1</v>
      </c>
      <c r="C1590">
        <v>1000</v>
      </c>
      <c r="D1590" t="s">
        <v>20</v>
      </c>
      <c r="E1590" s="1" t="s">
        <v>1607</v>
      </c>
      <c r="F1590">
        <v>702667000</v>
      </c>
      <c r="G1590">
        <v>15156103000</v>
      </c>
      <c r="H1590">
        <v>13519258000</v>
      </c>
      <c r="I1590">
        <v>4901302000</v>
      </c>
      <c r="J1590">
        <v>35059288000</v>
      </c>
      <c r="K1590">
        <v>5784702000</v>
      </c>
      <c r="L1590">
        <v>17634542000</v>
      </c>
      <c r="M1590">
        <v>12326165000</v>
      </c>
      <c r="N1590">
        <v>11640044000</v>
      </c>
      <c r="O1590">
        <v>2410738000</v>
      </c>
      <c r="P1590">
        <v>-34212000</v>
      </c>
      <c r="Q1590">
        <v>-521892000</v>
      </c>
      <c r="R1590">
        <v>-442327000</v>
      </c>
      <c r="S1590">
        <v>224437000</v>
      </c>
      <c r="T1590">
        <v>178847000</v>
      </c>
      <c r="U1590">
        <v>-713980000</v>
      </c>
      <c r="V1590" t="str">
        <f t="shared" si="60"/>
        <v/>
      </c>
      <c r="W1590" t="str">
        <f t="shared" si="61"/>
        <v/>
      </c>
    </row>
    <row r="1591" spans="1:23" x14ac:dyDescent="0.2">
      <c r="A1591">
        <f>IF(D1591="USD",VLOOKUP(VALUE(RIGHT(E1591,4)),'USD RUB'!$E:$F,2,FALSE),1)</f>
        <v>1</v>
      </c>
      <c r="B1591" s="4">
        <v>1</v>
      </c>
      <c r="C1591">
        <v>1000</v>
      </c>
      <c r="D1591" t="s">
        <v>20</v>
      </c>
      <c r="E1591" s="1" t="s">
        <v>1608</v>
      </c>
      <c r="F1591">
        <v>621725000</v>
      </c>
      <c r="G1591">
        <v>15578319000</v>
      </c>
      <c r="H1591">
        <v>13054369000</v>
      </c>
      <c r="I1591">
        <v>4720222000</v>
      </c>
      <c r="J1591">
        <v>34821734000</v>
      </c>
      <c r="K1591">
        <v>5864929000</v>
      </c>
      <c r="L1591">
        <v>15952212000</v>
      </c>
      <c r="M1591">
        <v>12772871000</v>
      </c>
      <c r="N1591">
        <v>13004593000</v>
      </c>
      <c r="O1591">
        <v>15842029000</v>
      </c>
      <c r="P1591">
        <v>5598580000</v>
      </c>
      <c r="Q1591">
        <v>4446391000</v>
      </c>
      <c r="R1591">
        <v>2968815000</v>
      </c>
      <c r="S1591">
        <v>966435000</v>
      </c>
      <c r="U1591">
        <v>-4422179000</v>
      </c>
      <c r="V1591">
        <f t="shared" si="60"/>
        <v>13970794000</v>
      </c>
      <c r="W1591">
        <f t="shared" si="61"/>
        <v>28517787000</v>
      </c>
    </row>
    <row r="1592" spans="1:23" x14ac:dyDescent="0.2">
      <c r="A1592">
        <f>IF(D1592="USD",VLOOKUP(VALUE(RIGHT(E1592,4)),'USD RUB'!$E:$F,2,FALSE),1)</f>
        <v>1</v>
      </c>
      <c r="B1592" s="4">
        <v>1</v>
      </c>
      <c r="C1592">
        <v>1000</v>
      </c>
      <c r="D1592" t="s">
        <v>20</v>
      </c>
      <c r="E1592" s="1" t="s">
        <v>1609</v>
      </c>
      <c r="F1592">
        <v>2136538000</v>
      </c>
      <c r="G1592">
        <v>14190986000</v>
      </c>
      <c r="H1592">
        <v>9827965000</v>
      </c>
      <c r="I1592">
        <v>3639440000</v>
      </c>
      <c r="J1592">
        <v>28517787000</v>
      </c>
      <c r="K1592">
        <v>8606375000</v>
      </c>
      <c r="L1592">
        <v>6850554000</v>
      </c>
      <c r="M1592">
        <v>12877140000</v>
      </c>
      <c r="N1592">
        <v>13060858000</v>
      </c>
      <c r="O1592">
        <v>13970794000</v>
      </c>
      <c r="P1592">
        <v>5647067000</v>
      </c>
      <c r="Q1592">
        <v>5335282000</v>
      </c>
      <c r="R1592">
        <v>4213091000</v>
      </c>
      <c r="S1592">
        <v>603289000</v>
      </c>
      <c r="U1592">
        <v>-6645351000</v>
      </c>
      <c r="V1592">
        <f t="shared" si="60"/>
        <v>16373277000</v>
      </c>
      <c r="W1592">
        <f t="shared" si="61"/>
        <v>18708986000</v>
      </c>
    </row>
    <row r="1593" spans="1:23" x14ac:dyDescent="0.2">
      <c r="A1593">
        <f>IF(D1593="USD",VLOOKUP(VALUE(RIGHT(E1593,4)),'USD RUB'!$E:$F,2,FALSE),1)</f>
        <v>1</v>
      </c>
      <c r="B1593" s="4">
        <v>1</v>
      </c>
      <c r="C1593">
        <v>1000</v>
      </c>
      <c r="D1593" t="s">
        <v>20</v>
      </c>
      <c r="E1593" s="1" t="s">
        <v>1610</v>
      </c>
      <c r="F1593">
        <v>263242000</v>
      </c>
      <c r="G1593">
        <v>11593694000</v>
      </c>
      <c r="H1593">
        <v>4910492000</v>
      </c>
      <c r="I1593">
        <v>1715767000</v>
      </c>
      <c r="J1593">
        <v>18708986000</v>
      </c>
      <c r="K1593">
        <v>5865151000</v>
      </c>
      <c r="L1593">
        <v>3335328000</v>
      </c>
      <c r="M1593">
        <v>9308690000</v>
      </c>
      <c r="N1593">
        <v>9508507000</v>
      </c>
      <c r="O1593">
        <v>16373277000</v>
      </c>
      <c r="P1593">
        <v>7765370000</v>
      </c>
      <c r="Q1593">
        <v>7409531000</v>
      </c>
      <c r="R1593">
        <v>5890193000</v>
      </c>
      <c r="S1593">
        <v>406401000</v>
      </c>
      <c r="U1593">
        <v>-3284668000</v>
      </c>
      <c r="V1593" t="str">
        <f t="shared" si="60"/>
        <v/>
      </c>
      <c r="W1593" t="str">
        <f t="shared" si="61"/>
        <v/>
      </c>
    </row>
    <row r="1594" spans="1:23" x14ac:dyDescent="0.2">
      <c r="A1594">
        <f>IF(D1594="USD",VLOOKUP(VALUE(RIGHT(E1594,4)),'USD RUB'!$E:$F,2,FALSE),1)</f>
        <v>1</v>
      </c>
      <c r="B1594" s="4">
        <v>1</v>
      </c>
      <c r="C1594">
        <v>1000</v>
      </c>
      <c r="D1594" t="s">
        <v>20</v>
      </c>
      <c r="E1594" s="1" t="s">
        <v>1611</v>
      </c>
      <c r="F1594">
        <v>14560243000</v>
      </c>
      <c r="G1594">
        <v>269778789000</v>
      </c>
      <c r="H1594">
        <v>210637858000</v>
      </c>
      <c r="I1594">
        <v>12826748000</v>
      </c>
      <c r="J1594">
        <v>551166166000</v>
      </c>
      <c r="K1594">
        <v>195038898000</v>
      </c>
      <c r="L1594">
        <v>95748597000</v>
      </c>
      <c r="M1594">
        <v>233531805000</v>
      </c>
      <c r="N1594">
        <v>260378671000</v>
      </c>
      <c r="O1594">
        <v>396450473000</v>
      </c>
      <c r="P1594">
        <v>37284923000</v>
      </c>
      <c r="Q1594">
        <v>24940999000</v>
      </c>
      <c r="R1594">
        <v>19956647000</v>
      </c>
      <c r="S1594">
        <v>19315967000</v>
      </c>
      <c r="T1594">
        <v>55970753000</v>
      </c>
      <c r="U1594">
        <v>-35519786000</v>
      </c>
      <c r="V1594">
        <f t="shared" si="60"/>
        <v>340089483000</v>
      </c>
      <c r="W1594">
        <f t="shared" si="61"/>
        <v>488244736000</v>
      </c>
    </row>
    <row r="1595" spans="1:23" x14ac:dyDescent="0.2">
      <c r="A1595">
        <f>IF(D1595="USD",VLOOKUP(VALUE(RIGHT(E1595,4)),'USD RUB'!$E:$F,2,FALSE),1)</f>
        <v>1</v>
      </c>
      <c r="B1595" s="4">
        <v>1</v>
      </c>
      <c r="C1595">
        <v>1000</v>
      </c>
      <c r="D1595" t="s">
        <v>20</v>
      </c>
      <c r="E1595" s="1" t="s">
        <v>1612</v>
      </c>
      <c r="F1595">
        <v>27414889000</v>
      </c>
      <c r="G1595">
        <v>245545258000</v>
      </c>
      <c r="H1595">
        <v>178427865000</v>
      </c>
      <c r="I1595">
        <v>11379466000</v>
      </c>
      <c r="J1595">
        <v>497140836000</v>
      </c>
      <c r="K1595">
        <v>171210572000</v>
      </c>
      <c r="L1595">
        <v>93637525000</v>
      </c>
      <c r="M1595">
        <v>211383884000</v>
      </c>
      <c r="N1595">
        <v>232292739000</v>
      </c>
      <c r="O1595">
        <v>167774391000</v>
      </c>
      <c r="P1595">
        <v>11727239000</v>
      </c>
      <c r="Q1595">
        <v>4823083000</v>
      </c>
      <c r="R1595">
        <v>5162339000</v>
      </c>
      <c r="S1595">
        <v>7534267000</v>
      </c>
      <c r="T1595">
        <v>17680721000</v>
      </c>
      <c r="U1595">
        <v>-14054722000</v>
      </c>
      <c r="V1595">
        <f t="shared" si="60"/>
        <v>110672093000</v>
      </c>
      <c r="W1595">
        <f t="shared" si="61"/>
        <v>338420149000</v>
      </c>
    </row>
    <row r="1596" spans="1:23" x14ac:dyDescent="0.2">
      <c r="A1596">
        <f>IF(D1596="USD",VLOOKUP(VALUE(RIGHT(E1596,4)),'USD RUB'!$E:$F,2,FALSE),1)</f>
        <v>1</v>
      </c>
      <c r="B1596" s="4">
        <v>1</v>
      </c>
      <c r="C1596">
        <v>1000</v>
      </c>
      <c r="D1596" t="s">
        <v>20</v>
      </c>
      <c r="E1596" s="1" t="s">
        <v>1613</v>
      </c>
      <c r="F1596">
        <v>33329058000</v>
      </c>
      <c r="G1596">
        <v>246549715000</v>
      </c>
      <c r="H1596">
        <v>170662564000</v>
      </c>
      <c r="I1596">
        <v>11799065000</v>
      </c>
      <c r="J1596">
        <v>488244736000</v>
      </c>
      <c r="K1596">
        <v>164725620000</v>
      </c>
      <c r="L1596">
        <v>96388714000</v>
      </c>
      <c r="M1596">
        <v>205403170000</v>
      </c>
      <c r="N1596">
        <v>227130402000</v>
      </c>
      <c r="O1596">
        <v>340089483000</v>
      </c>
      <c r="P1596">
        <v>38888907000</v>
      </c>
      <c r="Q1596">
        <v>38753258000</v>
      </c>
      <c r="R1596">
        <v>31577017000</v>
      </c>
      <c r="S1596">
        <v>14318899000</v>
      </c>
      <c r="T1596">
        <v>52990068000</v>
      </c>
      <c r="U1596">
        <v>-29577140000</v>
      </c>
      <c r="V1596">
        <f t="shared" si="60"/>
        <v>248113822000</v>
      </c>
      <c r="W1596">
        <f t="shared" si="61"/>
        <v>328138439000</v>
      </c>
    </row>
    <row r="1597" spans="1:23" x14ac:dyDescent="0.2">
      <c r="A1597">
        <f>IF(D1597="USD",VLOOKUP(VALUE(RIGHT(E1597,4)),'USD RUB'!$E:$F,2,FALSE),1)</f>
        <v>1</v>
      </c>
      <c r="B1597" s="4">
        <v>1</v>
      </c>
      <c r="C1597">
        <v>1000</v>
      </c>
      <c r="D1597" t="s">
        <v>20</v>
      </c>
      <c r="E1597" s="1" t="s">
        <v>1614</v>
      </c>
      <c r="F1597">
        <v>1081752000</v>
      </c>
      <c r="G1597">
        <v>142380162000</v>
      </c>
      <c r="H1597">
        <v>130782077000</v>
      </c>
      <c r="I1597">
        <v>2364942000</v>
      </c>
      <c r="J1597">
        <v>338420149000</v>
      </c>
      <c r="K1597">
        <v>101688573000</v>
      </c>
      <c r="L1597">
        <v>85719860000</v>
      </c>
      <c r="M1597">
        <v>148684218000</v>
      </c>
      <c r="N1597">
        <v>151011716000</v>
      </c>
      <c r="O1597">
        <v>110672093000</v>
      </c>
      <c r="P1597">
        <v>1772586000</v>
      </c>
      <c r="Q1597">
        <v>384822000</v>
      </c>
      <c r="R1597">
        <v>-226748000</v>
      </c>
      <c r="S1597">
        <v>5238000000</v>
      </c>
      <c r="T1597">
        <v>8407874000</v>
      </c>
      <c r="U1597">
        <v>-10752749000</v>
      </c>
      <c r="V1597" t="str">
        <f t="shared" si="60"/>
        <v/>
      </c>
      <c r="W1597" t="str">
        <f t="shared" si="61"/>
        <v/>
      </c>
    </row>
    <row r="1598" spans="1:23" x14ac:dyDescent="0.2">
      <c r="A1598">
        <f>IF(D1598="USD",VLOOKUP(VALUE(RIGHT(E1598,4)),'USD RUB'!$E:$F,2,FALSE),1)</f>
        <v>1</v>
      </c>
      <c r="B1598" s="4">
        <v>1</v>
      </c>
      <c r="C1598">
        <v>1000</v>
      </c>
      <c r="D1598" t="s">
        <v>20</v>
      </c>
      <c r="E1598" s="1" t="s">
        <v>1615</v>
      </c>
      <c r="F1598">
        <v>1862986000</v>
      </c>
      <c r="G1598">
        <v>139302358000</v>
      </c>
      <c r="H1598">
        <v>126609728000</v>
      </c>
      <c r="I1598">
        <v>3943209000</v>
      </c>
      <c r="J1598">
        <v>328138439000</v>
      </c>
      <c r="K1598">
        <v>100260956000</v>
      </c>
      <c r="L1598">
        <v>76639019000</v>
      </c>
      <c r="M1598">
        <v>148873963000</v>
      </c>
      <c r="N1598">
        <v>151238464000</v>
      </c>
      <c r="O1598">
        <v>248113822000</v>
      </c>
      <c r="P1598">
        <v>43178348000</v>
      </c>
      <c r="Q1598">
        <v>46881703000</v>
      </c>
      <c r="R1598">
        <v>40213681000</v>
      </c>
      <c r="S1598">
        <v>15023959000</v>
      </c>
      <c r="T1598">
        <v>51139375000</v>
      </c>
      <c r="U1598">
        <v>-18530610000</v>
      </c>
      <c r="V1598">
        <f t="shared" si="60"/>
        <v>236956166000</v>
      </c>
      <c r="W1598">
        <f t="shared" si="61"/>
        <v>420781586000</v>
      </c>
    </row>
    <row r="1599" spans="1:23" x14ac:dyDescent="0.2">
      <c r="A1599">
        <f>IF(D1599="USD",VLOOKUP(VALUE(RIGHT(E1599,4)),'USD RUB'!$E:$F,2,FALSE),1)</f>
        <v>1</v>
      </c>
      <c r="B1599" s="4">
        <v>1</v>
      </c>
      <c r="C1599">
        <v>1000</v>
      </c>
      <c r="D1599" t="s">
        <v>20</v>
      </c>
      <c r="E1599" s="1" t="s">
        <v>1616</v>
      </c>
      <c r="F1599">
        <v>20885278000</v>
      </c>
      <c r="G1599">
        <v>232422799000</v>
      </c>
      <c r="H1599">
        <v>119065689000</v>
      </c>
      <c r="I1599">
        <v>3649205000</v>
      </c>
      <c r="J1599">
        <v>420781586000</v>
      </c>
      <c r="K1599">
        <v>230890307000</v>
      </c>
      <c r="L1599">
        <v>78866496000</v>
      </c>
      <c r="M1599">
        <v>108659137000</v>
      </c>
      <c r="N1599">
        <v>111024783000</v>
      </c>
      <c r="O1599">
        <v>236956166000</v>
      </c>
      <c r="P1599">
        <v>13586212000</v>
      </c>
      <c r="Q1599">
        <v>3099519000</v>
      </c>
      <c r="R1599">
        <v>1294551000</v>
      </c>
      <c r="S1599">
        <v>14161391000</v>
      </c>
      <c r="T1599">
        <v>37274025000</v>
      </c>
      <c r="U1599">
        <v>-12645498000</v>
      </c>
      <c r="V1599">
        <f t="shared" si="60"/>
        <v>218647077000</v>
      </c>
      <c r="W1599">
        <f t="shared" si="61"/>
        <v>326368082000</v>
      </c>
    </row>
    <row r="1600" spans="1:23" x14ac:dyDescent="0.2">
      <c r="A1600">
        <f>IF(D1600="USD",VLOOKUP(VALUE(RIGHT(E1600,4)),'USD RUB'!$E:$F,2,FALSE),1)</f>
        <v>1</v>
      </c>
      <c r="B1600" s="4">
        <v>1</v>
      </c>
      <c r="C1600">
        <v>1000</v>
      </c>
      <c r="D1600" t="s">
        <v>20</v>
      </c>
      <c r="E1600" s="1" t="s">
        <v>1617</v>
      </c>
      <c r="F1600">
        <v>46333799000</v>
      </c>
      <c r="G1600">
        <v>167451101000</v>
      </c>
      <c r="H1600">
        <v>117059327000</v>
      </c>
      <c r="I1600">
        <v>3508999000</v>
      </c>
      <c r="J1600">
        <v>326368082000</v>
      </c>
      <c r="K1600">
        <v>136497177000</v>
      </c>
      <c r="L1600">
        <v>80518574000</v>
      </c>
      <c r="M1600">
        <v>107009887000</v>
      </c>
      <c r="N1600">
        <v>109352331000</v>
      </c>
      <c r="O1600">
        <v>218647077000</v>
      </c>
      <c r="P1600">
        <v>34634462000</v>
      </c>
      <c r="Q1600">
        <v>34631536000</v>
      </c>
      <c r="R1600">
        <v>32602370000</v>
      </c>
      <c r="S1600">
        <v>13945515000</v>
      </c>
      <c r="T1600">
        <v>41057371000</v>
      </c>
      <c r="U1600">
        <v>-43226148000</v>
      </c>
      <c r="V1600">
        <f t="shared" si="60"/>
        <v>156088488000</v>
      </c>
      <c r="W1600">
        <f t="shared" si="61"/>
        <v>244285237000</v>
      </c>
    </row>
    <row r="1601" spans="1:23" x14ac:dyDescent="0.2">
      <c r="A1601">
        <f>IF(D1601="USD",VLOOKUP(VALUE(RIGHT(E1601,4)),'USD RUB'!$E:$F,2,FALSE),1)</f>
        <v>1</v>
      </c>
      <c r="B1601" s="4">
        <v>1</v>
      </c>
      <c r="C1601">
        <v>1000</v>
      </c>
      <c r="D1601" t="s">
        <v>20</v>
      </c>
      <c r="E1601" s="1" t="s">
        <v>1618</v>
      </c>
      <c r="F1601">
        <v>11301968000</v>
      </c>
      <c r="G1601">
        <v>117894992000</v>
      </c>
      <c r="H1601">
        <v>85418971000</v>
      </c>
      <c r="I1601">
        <v>2984735000</v>
      </c>
      <c r="J1601">
        <v>244285237000</v>
      </c>
      <c r="K1601">
        <v>83969344000</v>
      </c>
      <c r="L1601">
        <v>77048077000</v>
      </c>
      <c r="M1601">
        <v>80870900000</v>
      </c>
      <c r="N1601">
        <v>83267816000</v>
      </c>
      <c r="O1601">
        <v>156088488000</v>
      </c>
      <c r="P1601">
        <v>18697827000</v>
      </c>
      <c r="Q1601">
        <v>15929145000</v>
      </c>
      <c r="R1601">
        <v>16564769000</v>
      </c>
      <c r="S1601">
        <v>10794014000</v>
      </c>
      <c r="T1601">
        <v>27474933000</v>
      </c>
      <c r="U1601">
        <v>-12979183000</v>
      </c>
      <c r="V1601">
        <f t="shared" si="60"/>
        <v>136508474000</v>
      </c>
      <c r="W1601">
        <f t="shared" si="61"/>
        <v>214740733000</v>
      </c>
    </row>
    <row r="1602" spans="1:23" x14ac:dyDescent="0.2">
      <c r="A1602">
        <f>IF(D1602="USD",VLOOKUP(VALUE(RIGHT(E1602,4)),'USD RUB'!$E:$F,2,FALSE),1)</f>
        <v>1</v>
      </c>
      <c r="B1602" s="4">
        <v>1</v>
      </c>
      <c r="C1602">
        <v>1000</v>
      </c>
      <c r="D1602" t="s">
        <v>20</v>
      </c>
      <c r="E1602" s="1" t="s">
        <v>1619</v>
      </c>
      <c r="F1602">
        <v>1731152000</v>
      </c>
      <c r="G1602">
        <v>96725276000</v>
      </c>
      <c r="H1602">
        <v>78529334000</v>
      </c>
      <c r="I1602">
        <v>2973577000</v>
      </c>
      <c r="J1602">
        <v>214740733000</v>
      </c>
      <c r="K1602">
        <v>57206545000</v>
      </c>
      <c r="L1602">
        <v>78832341000</v>
      </c>
      <c r="M1602">
        <v>76239080000</v>
      </c>
      <c r="N1602">
        <v>78701847000</v>
      </c>
      <c r="O1602">
        <v>136508474000</v>
      </c>
      <c r="P1602">
        <v>8502111000</v>
      </c>
      <c r="Q1602">
        <v>7120075000</v>
      </c>
      <c r="R1602">
        <v>6476707000</v>
      </c>
      <c r="S1602">
        <v>8479933000</v>
      </c>
      <c r="T1602">
        <v>18959631000</v>
      </c>
      <c r="U1602">
        <v>-15149879000</v>
      </c>
      <c r="V1602" t="str">
        <f t="shared" si="60"/>
        <v/>
      </c>
      <c r="W1602" t="str">
        <f t="shared" si="61"/>
        <v/>
      </c>
    </row>
    <row r="1603" spans="1:23" x14ac:dyDescent="0.2">
      <c r="A1603">
        <f>IF(D1603="USD",VLOOKUP(VALUE(RIGHT(E1603,4)),'USD RUB'!$E:$F,2,FALSE),1)</f>
        <v>1</v>
      </c>
      <c r="B1603" s="4">
        <v>1</v>
      </c>
      <c r="C1603">
        <v>1000000</v>
      </c>
      <c r="D1603" t="s">
        <v>20</v>
      </c>
      <c r="E1603" s="1" t="s">
        <v>1620</v>
      </c>
      <c r="F1603">
        <v>17672000000</v>
      </c>
      <c r="G1603">
        <v>52587000000</v>
      </c>
      <c r="H1603">
        <v>23616000000</v>
      </c>
      <c r="I1603">
        <v>1943000000</v>
      </c>
      <c r="J1603">
        <v>90656000000</v>
      </c>
      <c r="K1603">
        <v>56958000000</v>
      </c>
      <c r="L1603">
        <v>12127000000</v>
      </c>
      <c r="M1603">
        <v>5773000000</v>
      </c>
      <c r="N1603">
        <v>21571000000</v>
      </c>
      <c r="O1603">
        <v>25517000000</v>
      </c>
      <c r="P1603">
        <v>48000000</v>
      </c>
      <c r="Q1603">
        <v>-594000000</v>
      </c>
      <c r="R1603">
        <v>-1227000000</v>
      </c>
      <c r="S1603">
        <v>1374000000</v>
      </c>
      <c r="T1603">
        <v>1400000000</v>
      </c>
      <c r="U1603">
        <v>-3107000000</v>
      </c>
      <c r="V1603">
        <f t="shared" si="60"/>
        <v>44145000000</v>
      </c>
      <c r="W1603">
        <f t="shared" si="61"/>
        <v>84340000000</v>
      </c>
    </row>
    <row r="1604" spans="1:23" x14ac:dyDescent="0.2">
      <c r="A1604">
        <f>IF(D1604="USD",VLOOKUP(VALUE(RIGHT(E1604,4)),'USD RUB'!$E:$F,2,FALSE),1)</f>
        <v>1</v>
      </c>
      <c r="B1604" s="4">
        <v>1</v>
      </c>
      <c r="C1604">
        <v>1000000</v>
      </c>
      <c r="D1604" t="s">
        <v>20</v>
      </c>
      <c r="E1604" s="1" t="s">
        <v>1621</v>
      </c>
      <c r="F1604">
        <v>8300000000</v>
      </c>
      <c r="G1604">
        <v>44167000000</v>
      </c>
      <c r="H1604">
        <v>21294000000</v>
      </c>
      <c r="I1604">
        <v>1959000000</v>
      </c>
      <c r="J1604">
        <v>78239000000</v>
      </c>
      <c r="K1604">
        <v>40700000000</v>
      </c>
      <c r="L1604">
        <v>12537000000</v>
      </c>
      <c r="M1604">
        <v>9209000000</v>
      </c>
      <c r="N1604">
        <v>25002000000</v>
      </c>
      <c r="O1604">
        <v>91761000000</v>
      </c>
      <c r="P1604">
        <v>2848000000</v>
      </c>
      <c r="Q1604">
        <v>5038000000</v>
      </c>
      <c r="R1604">
        <v>3733000000</v>
      </c>
      <c r="S1604">
        <v>2865000000</v>
      </c>
      <c r="U1604">
        <v>-6005000000</v>
      </c>
      <c r="V1604">
        <f t="shared" si="60"/>
        <v>82289000000</v>
      </c>
      <c r="W1604">
        <f t="shared" si="61"/>
        <v>70611000000</v>
      </c>
    </row>
    <row r="1605" spans="1:23" x14ac:dyDescent="0.2">
      <c r="A1605">
        <f>IF(D1605="USD",VLOOKUP(VALUE(RIGHT(E1605,4)),'USD RUB'!$E:$F,2,FALSE),1)</f>
        <v>1</v>
      </c>
      <c r="B1605" s="4">
        <v>1</v>
      </c>
      <c r="C1605">
        <v>1000000</v>
      </c>
      <c r="D1605" t="s">
        <v>20</v>
      </c>
      <c r="E1605" s="1" t="s">
        <v>1622</v>
      </c>
      <c r="F1605">
        <v>21999000000</v>
      </c>
      <c r="G1605">
        <v>53199000000</v>
      </c>
      <c r="H1605">
        <v>18618000000</v>
      </c>
      <c r="I1605">
        <v>1932000000</v>
      </c>
      <c r="J1605">
        <v>84340000000</v>
      </c>
      <c r="K1605">
        <v>51871000000</v>
      </c>
      <c r="L1605">
        <v>9599000000</v>
      </c>
      <c r="M1605">
        <v>7078000000</v>
      </c>
      <c r="N1605">
        <v>22870000000</v>
      </c>
      <c r="O1605">
        <v>44145000000</v>
      </c>
      <c r="P1605">
        <v>2806000000</v>
      </c>
      <c r="Q1605">
        <v>2190000000</v>
      </c>
      <c r="R1605">
        <v>1601000000</v>
      </c>
      <c r="S1605">
        <v>1395000000</v>
      </c>
      <c r="T1605">
        <v>4127000000</v>
      </c>
      <c r="U1605">
        <v>-2506000000</v>
      </c>
      <c r="V1605">
        <f t="shared" si="60"/>
        <v>32701000000</v>
      </c>
      <c r="W1605">
        <f t="shared" si="61"/>
        <v>72509000000</v>
      </c>
    </row>
    <row r="1606" spans="1:23" x14ac:dyDescent="0.2">
      <c r="A1606">
        <f>IF(D1606="USD",VLOOKUP(VALUE(RIGHT(E1606,4)),'USD RUB'!$E:$F,2,FALSE),1)</f>
        <v>1</v>
      </c>
      <c r="B1606" s="4">
        <v>1</v>
      </c>
      <c r="C1606">
        <v>1000000</v>
      </c>
      <c r="D1606" t="s">
        <v>20</v>
      </c>
      <c r="E1606" s="1" t="s">
        <v>1623</v>
      </c>
      <c r="F1606">
        <v>9313000000</v>
      </c>
      <c r="G1606">
        <v>41615000000</v>
      </c>
      <c r="H1606">
        <v>18148000000</v>
      </c>
      <c r="I1606">
        <v>1923000000</v>
      </c>
      <c r="J1606">
        <v>70611000000</v>
      </c>
      <c r="K1606">
        <v>37944000000</v>
      </c>
      <c r="L1606">
        <v>8596000000</v>
      </c>
      <c r="M1606">
        <v>8284000000</v>
      </c>
      <c r="N1606">
        <v>24071000000</v>
      </c>
      <c r="O1606">
        <v>82289000000</v>
      </c>
      <c r="P1606">
        <v>6885000000</v>
      </c>
      <c r="Q1606">
        <v>5941000000</v>
      </c>
      <c r="R1606">
        <v>4934000000</v>
      </c>
      <c r="S1606">
        <v>2870000000</v>
      </c>
      <c r="U1606">
        <v>-3457000000</v>
      </c>
      <c r="V1606" t="str">
        <f t="shared" si="60"/>
        <v/>
      </c>
      <c r="W1606" t="str">
        <f t="shared" si="61"/>
        <v/>
      </c>
    </row>
    <row r="1607" spans="1:23" x14ac:dyDescent="0.2">
      <c r="A1607">
        <f>IF(D1607="USD",VLOOKUP(VALUE(RIGHT(E1607,4)),'USD RUB'!$E:$F,2,FALSE),1)</f>
        <v>1</v>
      </c>
      <c r="B1607" s="4">
        <v>1</v>
      </c>
      <c r="C1607">
        <v>1000000</v>
      </c>
      <c r="D1607" t="s">
        <v>20</v>
      </c>
      <c r="E1607" s="1" t="s">
        <v>1624</v>
      </c>
      <c r="F1607">
        <v>11987000000</v>
      </c>
      <c r="G1607">
        <v>43107000000</v>
      </c>
      <c r="H1607">
        <v>17849000000</v>
      </c>
      <c r="I1607">
        <v>1788000000</v>
      </c>
      <c r="J1607">
        <v>72509000000</v>
      </c>
      <c r="K1607">
        <v>49139000000</v>
      </c>
      <c r="L1607">
        <v>2858000000</v>
      </c>
      <c r="M1607">
        <v>4973000000</v>
      </c>
      <c r="N1607">
        <v>20512000000</v>
      </c>
      <c r="O1607">
        <v>32701000000</v>
      </c>
      <c r="P1607">
        <v>2707000000</v>
      </c>
      <c r="Q1607">
        <v>1945000000</v>
      </c>
      <c r="R1607">
        <v>1375000000</v>
      </c>
      <c r="S1607">
        <v>1328000000</v>
      </c>
      <c r="T1607">
        <v>3900000000</v>
      </c>
      <c r="U1607">
        <v>-555000000</v>
      </c>
      <c r="V1607">
        <f t="shared" si="60"/>
        <v>26200000000</v>
      </c>
      <c r="W1607">
        <f t="shared" si="61"/>
        <v>56200000000</v>
      </c>
    </row>
    <row r="1608" spans="1:23" x14ac:dyDescent="0.2">
      <c r="A1608">
        <f>IF(D1608="USD",VLOOKUP(VALUE(RIGHT(E1608,4)),'USD RUB'!$E:$F,2,FALSE),1)</f>
        <v>1</v>
      </c>
      <c r="B1608" s="4">
        <v>1</v>
      </c>
      <c r="C1608">
        <v>1000000</v>
      </c>
      <c r="D1608" t="s">
        <v>20</v>
      </c>
      <c r="E1608" s="1" t="s">
        <v>1625</v>
      </c>
      <c r="F1608">
        <v>10615000000</v>
      </c>
      <c r="G1608">
        <v>25334000000</v>
      </c>
      <c r="H1608">
        <v>20057000000</v>
      </c>
      <c r="I1608">
        <v>1879000000</v>
      </c>
      <c r="J1608">
        <v>56200000000</v>
      </c>
      <c r="K1608">
        <v>26440000000</v>
      </c>
      <c r="L1608">
        <v>3543000000</v>
      </c>
      <c r="M1608">
        <v>11021000000</v>
      </c>
      <c r="N1608">
        <v>26217000000</v>
      </c>
      <c r="O1608">
        <v>26200000000</v>
      </c>
      <c r="P1608">
        <v>-2578000000</v>
      </c>
      <c r="Q1608">
        <v>-1131000000</v>
      </c>
      <c r="R1608">
        <v>-1101000000</v>
      </c>
      <c r="S1608">
        <v>1286000000</v>
      </c>
      <c r="U1608">
        <v>-1546000000</v>
      </c>
      <c r="V1608">
        <f t="shared" si="60"/>
        <v>36812000000</v>
      </c>
      <c r="W1608">
        <f t="shared" si="61"/>
        <v>67524000000</v>
      </c>
    </row>
    <row r="1609" spans="1:23" x14ac:dyDescent="0.2">
      <c r="A1609">
        <f>IF(D1609="USD",VLOOKUP(VALUE(RIGHT(E1609,4)),'USD RUB'!$E:$F,2,FALSE),1)</f>
        <v>1</v>
      </c>
      <c r="B1609" s="4">
        <v>1</v>
      </c>
      <c r="C1609">
        <v>1000000</v>
      </c>
      <c r="D1609" t="s">
        <v>20</v>
      </c>
      <c r="E1609" s="1" t="s">
        <v>1626</v>
      </c>
      <c r="F1609">
        <v>15343000000</v>
      </c>
      <c r="G1609">
        <v>39359000000</v>
      </c>
      <c r="H1609">
        <v>20933000000</v>
      </c>
      <c r="I1609">
        <v>3457000000</v>
      </c>
      <c r="J1609">
        <v>72242000000</v>
      </c>
      <c r="K1609">
        <v>40075000000</v>
      </c>
      <c r="L1609">
        <v>4437000000</v>
      </c>
      <c r="M1609">
        <v>12548000000</v>
      </c>
      <c r="N1609">
        <v>27730000000</v>
      </c>
      <c r="O1609">
        <v>91709000000</v>
      </c>
      <c r="P1609">
        <v>5346000000</v>
      </c>
      <c r="Q1609">
        <v>5238000000</v>
      </c>
      <c r="R1609">
        <v>4545000000</v>
      </c>
      <c r="S1609">
        <v>3157000000</v>
      </c>
      <c r="T1609">
        <v>8649000000</v>
      </c>
      <c r="U1609">
        <v>-1283000000</v>
      </c>
      <c r="V1609">
        <f t="shared" si="60"/>
        <v>65985000000</v>
      </c>
      <c r="W1609">
        <f t="shared" si="61"/>
        <v>67551000000</v>
      </c>
    </row>
    <row r="1610" spans="1:23" x14ac:dyDescent="0.2">
      <c r="A1610">
        <f>IF(D1610="USD",VLOOKUP(VALUE(RIGHT(E1610,4)),'USD RUB'!$E:$F,2,FALSE),1)</f>
        <v>1</v>
      </c>
      <c r="B1610" s="4">
        <v>1</v>
      </c>
      <c r="C1610">
        <v>1000000</v>
      </c>
      <c r="D1610" t="s">
        <v>20</v>
      </c>
      <c r="E1610" s="1" t="s">
        <v>1627</v>
      </c>
      <c r="F1610">
        <v>10452000000</v>
      </c>
      <c r="G1610">
        <v>34626000000</v>
      </c>
      <c r="H1610">
        <v>21201000000</v>
      </c>
      <c r="I1610">
        <v>3586000000</v>
      </c>
      <c r="J1610">
        <v>67524000000</v>
      </c>
      <c r="K1610">
        <v>35789000000</v>
      </c>
      <c r="L1610">
        <v>7181000000</v>
      </c>
      <c r="M1610">
        <v>10396000000</v>
      </c>
      <c r="N1610">
        <v>24554000000</v>
      </c>
      <c r="O1610">
        <v>36812000000</v>
      </c>
      <c r="P1610">
        <v>1622000000</v>
      </c>
      <c r="Q1610">
        <v>1091000000</v>
      </c>
      <c r="R1610">
        <v>820000000</v>
      </c>
      <c r="S1610">
        <v>1539000000</v>
      </c>
      <c r="T1610">
        <v>3398000000</v>
      </c>
      <c r="U1610">
        <v>-78000000</v>
      </c>
      <c r="V1610">
        <f t="shared" si="60"/>
        <v>23140000000</v>
      </c>
      <c r="W1610">
        <f t="shared" si="61"/>
        <v>61312000000</v>
      </c>
    </row>
    <row r="1611" spans="1:23" x14ac:dyDescent="0.2">
      <c r="A1611">
        <f>IF(D1611="USD",VLOOKUP(VALUE(RIGHT(E1611,4)),'USD RUB'!$E:$F,2,FALSE),1)</f>
        <v>1</v>
      </c>
      <c r="B1611" s="4">
        <v>1</v>
      </c>
      <c r="C1611">
        <v>1000000</v>
      </c>
      <c r="D1611" t="s">
        <v>20</v>
      </c>
      <c r="E1611" s="1" t="s">
        <v>1628</v>
      </c>
      <c r="F1611">
        <v>9825000000</v>
      </c>
      <c r="G1611">
        <v>33351000000</v>
      </c>
      <c r="H1611">
        <v>22521000000</v>
      </c>
      <c r="I1611">
        <v>3720000000</v>
      </c>
      <c r="J1611">
        <v>67551000000</v>
      </c>
      <c r="K1611">
        <v>34036000000</v>
      </c>
      <c r="L1611">
        <v>8284000000</v>
      </c>
      <c r="M1611">
        <v>10119000000</v>
      </c>
      <c r="N1611">
        <v>25231000000</v>
      </c>
      <c r="O1611">
        <v>65985000000</v>
      </c>
      <c r="P1611">
        <v>-517000000</v>
      </c>
      <c r="Q1611">
        <v>-2397000000</v>
      </c>
      <c r="R1611">
        <v>-1745000000</v>
      </c>
      <c r="S1611">
        <v>3494000000</v>
      </c>
      <c r="T1611">
        <v>3197000000</v>
      </c>
      <c r="U1611">
        <v>-2621000000</v>
      </c>
      <c r="V1611">
        <f t="shared" si="60"/>
        <v>57839000000</v>
      </c>
      <c r="W1611">
        <f t="shared" si="61"/>
        <v>64958000000</v>
      </c>
    </row>
    <row r="1612" spans="1:23" x14ac:dyDescent="0.2">
      <c r="A1612">
        <f>IF(D1612="USD",VLOOKUP(VALUE(RIGHT(E1612,4)),'USD RUB'!$E:$F,2,FALSE),1)</f>
        <v>1</v>
      </c>
      <c r="B1612" s="4">
        <v>1</v>
      </c>
      <c r="C1612">
        <v>1000000</v>
      </c>
      <c r="D1612" t="s">
        <v>20</v>
      </c>
      <c r="E1612" s="1" t="s">
        <v>1629</v>
      </c>
      <c r="F1612">
        <v>5664000000</v>
      </c>
      <c r="G1612">
        <v>28134000000</v>
      </c>
      <c r="H1612">
        <v>22191000000</v>
      </c>
      <c r="I1612">
        <v>3923000000</v>
      </c>
      <c r="J1612">
        <v>61312000000</v>
      </c>
      <c r="K1612">
        <v>33556000000</v>
      </c>
      <c r="L1612">
        <v>1838000000</v>
      </c>
      <c r="M1612">
        <v>11083000000</v>
      </c>
      <c r="N1612">
        <v>25918000000</v>
      </c>
      <c r="O1612">
        <v>23140000000</v>
      </c>
      <c r="P1612">
        <v>-496000000</v>
      </c>
      <c r="Q1612">
        <v>-1442000000</v>
      </c>
      <c r="R1612">
        <v>-1058000000</v>
      </c>
      <c r="S1612">
        <v>1636000000</v>
      </c>
      <c r="T1612">
        <v>1160000000</v>
      </c>
      <c r="U1612">
        <v>-502000000</v>
      </c>
      <c r="V1612">
        <f t="shared" si="60"/>
        <v>15107000000</v>
      </c>
      <c r="W1612">
        <f t="shared" si="61"/>
        <v>46794000000</v>
      </c>
    </row>
    <row r="1613" spans="1:23" x14ac:dyDescent="0.2">
      <c r="A1613">
        <f>IF(D1613="USD",VLOOKUP(VALUE(RIGHT(E1613,4)),'USD RUB'!$E:$F,2,FALSE),1)</f>
        <v>1</v>
      </c>
      <c r="B1613" s="4">
        <v>1</v>
      </c>
      <c r="C1613">
        <v>1000000</v>
      </c>
      <c r="D1613" t="s">
        <v>20</v>
      </c>
      <c r="E1613" s="1" t="s">
        <v>1630</v>
      </c>
      <c r="F1613">
        <v>6689000000</v>
      </c>
      <c r="G1613">
        <v>31023000000</v>
      </c>
      <c r="H1613">
        <v>23160000000</v>
      </c>
      <c r="I1613">
        <v>4081000000</v>
      </c>
      <c r="J1613">
        <v>64958000000</v>
      </c>
      <c r="K1613">
        <v>35527000000</v>
      </c>
      <c r="L1613">
        <v>2455000000</v>
      </c>
      <c r="M1613">
        <v>12244000000</v>
      </c>
      <c r="N1613">
        <v>26976000000</v>
      </c>
      <c r="O1613">
        <v>57839000000</v>
      </c>
      <c r="P1613">
        <v>2340000000</v>
      </c>
      <c r="Q1613">
        <v>703000000</v>
      </c>
      <c r="R1613">
        <v>1349000000</v>
      </c>
      <c r="S1613">
        <v>2660000000</v>
      </c>
      <c r="T1613">
        <v>2896000000</v>
      </c>
      <c r="U1613">
        <v>-941000000</v>
      </c>
      <c r="V1613">
        <f t="shared" si="60"/>
        <v>39479000000</v>
      </c>
      <c r="W1613">
        <f t="shared" si="61"/>
        <v>50612000000</v>
      </c>
    </row>
    <row r="1614" spans="1:23" x14ac:dyDescent="0.2">
      <c r="A1614">
        <f>IF(D1614="USD",VLOOKUP(VALUE(RIGHT(E1614,4)),'USD RUB'!$E:$F,2,FALSE),1)</f>
        <v>1</v>
      </c>
      <c r="B1614" s="4">
        <v>1</v>
      </c>
      <c r="C1614">
        <v>1000000</v>
      </c>
      <c r="D1614" t="s">
        <v>20</v>
      </c>
      <c r="E1614" s="1" t="s">
        <v>1631</v>
      </c>
      <c r="F1614">
        <v>2523000000</v>
      </c>
      <c r="G1614">
        <v>26923000000</v>
      </c>
      <c r="H1614">
        <v>10729000000</v>
      </c>
      <c r="I1614">
        <v>2224000000</v>
      </c>
      <c r="J1614">
        <v>46794000000</v>
      </c>
      <c r="K1614">
        <v>24381000000</v>
      </c>
      <c r="L1614">
        <v>3580000000</v>
      </c>
      <c r="M1614">
        <v>11969000000</v>
      </c>
      <c r="N1614">
        <v>18833000000</v>
      </c>
      <c r="O1614">
        <v>15107000000</v>
      </c>
      <c r="P1614">
        <v>1086000000</v>
      </c>
      <c r="Q1614">
        <v>230000000</v>
      </c>
      <c r="R1614">
        <v>-136000000</v>
      </c>
      <c r="S1614">
        <v>738000000</v>
      </c>
      <c r="T1614">
        <v>1824000000</v>
      </c>
      <c r="U1614">
        <v>-478000000</v>
      </c>
      <c r="V1614">
        <f t="shared" si="60"/>
        <v>14132000000</v>
      </c>
      <c r="W1614">
        <f t="shared" si="61"/>
        <v>42018000000</v>
      </c>
    </row>
    <row r="1615" spans="1:23" x14ac:dyDescent="0.2">
      <c r="A1615">
        <f>IF(D1615="USD",VLOOKUP(VALUE(RIGHT(E1615,4)),'USD RUB'!$E:$F,2,FALSE),1)</f>
        <v>1</v>
      </c>
      <c r="B1615" s="4">
        <v>1</v>
      </c>
      <c r="C1615">
        <v>1000000</v>
      </c>
      <c r="D1615" t="s">
        <v>20</v>
      </c>
      <c r="E1615" s="1" t="s">
        <v>1632</v>
      </c>
      <c r="F1615">
        <v>226000000</v>
      </c>
      <c r="G1615">
        <v>30668000000</v>
      </c>
      <c r="H1615">
        <v>10970000000</v>
      </c>
      <c r="I1615">
        <v>2257000000</v>
      </c>
      <c r="J1615">
        <v>50612000000</v>
      </c>
      <c r="K1615">
        <v>27735000000</v>
      </c>
      <c r="L1615">
        <v>3908000000</v>
      </c>
      <c r="M1615">
        <v>12099000000</v>
      </c>
      <c r="N1615">
        <v>18969000000</v>
      </c>
      <c r="O1615">
        <v>39479000000</v>
      </c>
      <c r="P1615">
        <v>-1023000000</v>
      </c>
      <c r="Q1615">
        <v>-39000000</v>
      </c>
      <c r="R1615">
        <v>46000000</v>
      </c>
      <c r="S1615">
        <v>1493000000</v>
      </c>
      <c r="T1615">
        <v>481000000</v>
      </c>
      <c r="U1615">
        <v>-985000000</v>
      </c>
      <c r="V1615">
        <f t="shared" si="60"/>
        <v>35764000000</v>
      </c>
      <c r="W1615">
        <f t="shared" si="61"/>
        <v>43852000000</v>
      </c>
    </row>
    <row r="1616" spans="1:23" x14ac:dyDescent="0.2">
      <c r="A1616">
        <f>IF(D1616="USD",VLOOKUP(VALUE(RIGHT(E1616,4)),'USD RUB'!$E:$F,2,FALSE),1)</f>
        <v>1</v>
      </c>
      <c r="B1616" s="4">
        <v>1</v>
      </c>
      <c r="C1616">
        <v>1000000</v>
      </c>
      <c r="D1616" t="s">
        <v>20</v>
      </c>
      <c r="E1616" s="1" t="s">
        <v>1633</v>
      </c>
      <c r="F1616">
        <v>403000000</v>
      </c>
      <c r="G1616">
        <v>15072000000</v>
      </c>
      <c r="H1616">
        <v>11030000000</v>
      </c>
      <c r="I1616">
        <v>1969000000</v>
      </c>
      <c r="J1616">
        <v>42018000000</v>
      </c>
      <c r="K1616">
        <v>18229000000</v>
      </c>
      <c r="L1616">
        <v>4369000000</v>
      </c>
      <c r="M1616">
        <v>12449000000</v>
      </c>
      <c r="N1616">
        <v>19420000000</v>
      </c>
      <c r="O1616">
        <v>14132000000</v>
      </c>
      <c r="P1616">
        <v>416000000</v>
      </c>
      <c r="Q1616">
        <v>550000000</v>
      </c>
      <c r="R1616">
        <v>443000000</v>
      </c>
      <c r="S1616">
        <v>725000000</v>
      </c>
      <c r="T1616">
        <v>1178000000</v>
      </c>
      <c r="U1616">
        <v>-446000000</v>
      </c>
      <c r="V1616">
        <f t="shared" si="60"/>
        <v>16012000000</v>
      </c>
      <c r="W1616">
        <f t="shared" si="61"/>
        <v>38272000000</v>
      </c>
    </row>
    <row r="1617" spans="1:23" x14ac:dyDescent="0.2">
      <c r="A1617">
        <f>IF(D1617="USD",VLOOKUP(VALUE(RIGHT(E1617,4)),'USD RUB'!$E:$F,2,FALSE),1)</f>
        <v>1</v>
      </c>
      <c r="B1617" s="4">
        <v>1</v>
      </c>
      <c r="C1617">
        <v>1000000</v>
      </c>
      <c r="D1617" t="s">
        <v>20</v>
      </c>
      <c r="E1617" s="1" t="s">
        <v>1634</v>
      </c>
      <c r="F1617">
        <v>2306000000</v>
      </c>
      <c r="G1617">
        <v>17840000000</v>
      </c>
      <c r="H1617">
        <v>11181000000</v>
      </c>
      <c r="I1617">
        <v>1922000000</v>
      </c>
      <c r="J1617">
        <v>43852000000</v>
      </c>
      <c r="K1617">
        <v>19763000000</v>
      </c>
      <c r="L1617">
        <v>5112000000</v>
      </c>
      <c r="M1617">
        <v>12007000000</v>
      </c>
      <c r="N1617">
        <v>18977000000</v>
      </c>
      <c r="O1617">
        <v>35764000000</v>
      </c>
      <c r="P1617">
        <v>1788000000</v>
      </c>
      <c r="Q1617">
        <v>1351000000</v>
      </c>
      <c r="R1617">
        <v>999000000</v>
      </c>
      <c r="S1617">
        <v>1354000000</v>
      </c>
      <c r="T1617">
        <v>3377000000</v>
      </c>
      <c r="U1617">
        <v>-1260000000</v>
      </c>
      <c r="V1617">
        <f t="shared" si="60"/>
        <v>35621000000</v>
      </c>
      <c r="W1617">
        <f t="shared" si="61"/>
        <v>41203000000</v>
      </c>
    </row>
    <row r="1618" spans="1:23" x14ac:dyDescent="0.2">
      <c r="A1618">
        <f>IF(D1618="USD",VLOOKUP(VALUE(RIGHT(E1618,4)),'USD RUB'!$E:$F,2,FALSE),1)</f>
        <v>1</v>
      </c>
      <c r="B1618" s="4">
        <v>1</v>
      </c>
      <c r="C1618">
        <v>1000000</v>
      </c>
      <c r="D1618" t="s">
        <v>20</v>
      </c>
      <c r="E1618" s="1" t="s">
        <v>1635</v>
      </c>
      <c r="F1618">
        <v>1041000000</v>
      </c>
      <c r="G1618">
        <v>13133000000</v>
      </c>
      <c r="H1618">
        <v>11058000000</v>
      </c>
      <c r="I1618">
        <v>1763000000</v>
      </c>
      <c r="J1618">
        <v>38272000000</v>
      </c>
      <c r="K1618">
        <v>15418000000</v>
      </c>
      <c r="L1618">
        <v>4301000000</v>
      </c>
      <c r="M1618">
        <v>11592000000</v>
      </c>
      <c r="N1618">
        <v>18553000000</v>
      </c>
      <c r="O1618">
        <v>16012000000</v>
      </c>
      <c r="P1618">
        <v>1012000000</v>
      </c>
      <c r="Q1618">
        <v>828000000</v>
      </c>
      <c r="R1618">
        <v>575000000</v>
      </c>
      <c r="S1618">
        <v>678000000</v>
      </c>
      <c r="T1618">
        <v>1687000000</v>
      </c>
      <c r="U1618">
        <v>-499000000</v>
      </c>
      <c r="V1618">
        <f t="shared" si="60"/>
        <v>13426000000</v>
      </c>
      <c r="W1618">
        <f t="shared" si="61"/>
        <v>35904000000</v>
      </c>
    </row>
    <row r="1619" spans="1:23" x14ac:dyDescent="0.2">
      <c r="A1619">
        <f>IF(D1619="USD",VLOOKUP(VALUE(RIGHT(E1619,4)),'USD RUB'!$E:$F,2,FALSE),1)</f>
        <v>1</v>
      </c>
      <c r="B1619" s="4">
        <v>1</v>
      </c>
      <c r="C1619">
        <v>1000000</v>
      </c>
      <c r="D1619" t="s">
        <v>20</v>
      </c>
      <c r="E1619" s="1" t="s">
        <v>1636</v>
      </c>
      <c r="F1619">
        <v>2336000000</v>
      </c>
      <c r="G1619">
        <v>16145000000</v>
      </c>
      <c r="H1619">
        <v>11154000000</v>
      </c>
      <c r="J1619">
        <v>41203000000</v>
      </c>
      <c r="K1619">
        <v>18157000000</v>
      </c>
      <c r="L1619">
        <v>5068000000</v>
      </c>
      <c r="M1619">
        <v>11018000000</v>
      </c>
      <c r="N1619">
        <v>17978000000</v>
      </c>
      <c r="O1619">
        <v>35621000000</v>
      </c>
      <c r="P1619">
        <v>2269000000</v>
      </c>
      <c r="Q1619">
        <v>1737000000</v>
      </c>
      <c r="R1619">
        <v>1601000000</v>
      </c>
      <c r="T1619">
        <v>3903000000</v>
      </c>
      <c r="U1619">
        <v>-1570000000</v>
      </c>
      <c r="V1619">
        <f t="shared" si="60"/>
        <v>38349000000</v>
      </c>
      <c r="W1619">
        <f t="shared" si="61"/>
        <v>34368000000</v>
      </c>
    </row>
    <row r="1620" spans="1:23" x14ac:dyDescent="0.2">
      <c r="A1620">
        <f>IF(D1620="USD",VLOOKUP(VALUE(RIGHT(E1620,4)),'USD RUB'!$E:$F,2,FALSE),1)</f>
        <v>1</v>
      </c>
      <c r="B1620" s="4">
        <v>1</v>
      </c>
      <c r="C1620">
        <v>1000000</v>
      </c>
      <c r="D1620" t="s">
        <v>20</v>
      </c>
      <c r="E1620" s="1" t="s">
        <v>1637</v>
      </c>
      <c r="F1620">
        <v>2620000000</v>
      </c>
      <c r="G1620">
        <v>12818000000</v>
      </c>
      <c r="H1620">
        <v>10398000000</v>
      </c>
      <c r="J1620">
        <v>35904000000</v>
      </c>
      <c r="K1620">
        <v>13829000000</v>
      </c>
      <c r="L1620">
        <v>5664000000</v>
      </c>
      <c r="M1620">
        <v>9456000000</v>
      </c>
      <c r="N1620">
        <v>16411000000</v>
      </c>
      <c r="O1620">
        <v>13426000000</v>
      </c>
      <c r="P1620">
        <v>1316000000</v>
      </c>
      <c r="Q1620">
        <v>169000000</v>
      </c>
      <c r="R1620">
        <v>34000000</v>
      </c>
      <c r="U1620">
        <v>-410000000</v>
      </c>
      <c r="V1620">
        <f t="shared" si="60"/>
        <v>15690000000</v>
      </c>
      <c r="W1620">
        <f t="shared" si="61"/>
        <v>35213000000</v>
      </c>
    </row>
    <row r="1621" spans="1:23" x14ac:dyDescent="0.2">
      <c r="A1621">
        <f>IF(D1621="USD",VLOOKUP(VALUE(RIGHT(E1621,4)),'USD RUB'!$E:$F,2,FALSE),1)</f>
        <v>1</v>
      </c>
      <c r="B1621" s="4">
        <v>1</v>
      </c>
      <c r="C1621">
        <v>1000000</v>
      </c>
      <c r="D1621" t="s">
        <v>20</v>
      </c>
      <c r="E1621" s="1" t="s">
        <v>1638</v>
      </c>
      <c r="F1621">
        <v>711000000</v>
      </c>
      <c r="G1621">
        <v>10304000000</v>
      </c>
      <c r="H1621">
        <v>10477000000</v>
      </c>
      <c r="J1621">
        <v>34368000000</v>
      </c>
      <c r="K1621">
        <v>13015000000</v>
      </c>
      <c r="L1621">
        <v>4976000000</v>
      </c>
      <c r="M1621">
        <v>9416000000</v>
      </c>
      <c r="N1621">
        <v>16377000000</v>
      </c>
      <c r="O1621">
        <v>38349000000</v>
      </c>
      <c r="P1621">
        <v>3017000000</v>
      </c>
      <c r="Q1621">
        <v>3623000000</v>
      </c>
      <c r="R1621">
        <v>3113000000</v>
      </c>
      <c r="U1621">
        <v>-1306000000</v>
      </c>
      <c r="V1621">
        <f t="shared" si="60"/>
        <v>47907000000</v>
      </c>
      <c r="W1621">
        <f t="shared" si="61"/>
        <v>41180000000</v>
      </c>
    </row>
    <row r="1622" spans="1:23" x14ac:dyDescent="0.2">
      <c r="A1622">
        <f>IF(D1622="USD",VLOOKUP(VALUE(RIGHT(E1622,4)),'USD RUB'!$E:$F,2,FALSE),1)</f>
        <v>1</v>
      </c>
      <c r="B1622" s="4">
        <v>1</v>
      </c>
      <c r="C1622">
        <v>1000000</v>
      </c>
      <c r="D1622" t="s">
        <v>20</v>
      </c>
      <c r="E1622" s="1" t="s">
        <v>1639</v>
      </c>
      <c r="F1622">
        <v>1024000000</v>
      </c>
      <c r="G1622">
        <v>11950000000</v>
      </c>
      <c r="H1622">
        <v>10377000000</v>
      </c>
      <c r="J1622">
        <v>35213000000</v>
      </c>
      <c r="K1622">
        <v>17076000000</v>
      </c>
      <c r="L1622">
        <v>3936000000</v>
      </c>
      <c r="N1622">
        <v>14201000000</v>
      </c>
      <c r="O1622">
        <v>15690000000</v>
      </c>
      <c r="P1622">
        <v>1240000000</v>
      </c>
      <c r="Q1622">
        <v>862000000</v>
      </c>
      <c r="R1622">
        <v>938000000</v>
      </c>
      <c r="T1622">
        <v>1790000000</v>
      </c>
      <c r="V1622">
        <f t="shared" si="60"/>
        <v>23596000000</v>
      </c>
      <c r="W1622">
        <f t="shared" si="61"/>
        <v>42839000000</v>
      </c>
    </row>
    <row r="1623" spans="1:23" x14ac:dyDescent="0.2">
      <c r="A1623">
        <f>IF(D1623="USD",VLOOKUP(VALUE(RIGHT(E1623,4)),'USD RUB'!$E:$F,2,FALSE),1)</f>
        <v>1</v>
      </c>
      <c r="B1623" s="4">
        <v>1</v>
      </c>
      <c r="C1623">
        <v>1000000</v>
      </c>
      <c r="D1623" t="s">
        <v>20</v>
      </c>
      <c r="E1623" s="1" t="s">
        <v>1640</v>
      </c>
      <c r="F1623">
        <v>6484000000</v>
      </c>
      <c r="G1623">
        <v>18219000000</v>
      </c>
      <c r="H1623">
        <v>9602000000</v>
      </c>
      <c r="J1623">
        <v>41180000000</v>
      </c>
      <c r="K1623">
        <v>23375000000</v>
      </c>
      <c r="L1623">
        <v>4345000000</v>
      </c>
      <c r="N1623">
        <v>13460000000</v>
      </c>
      <c r="O1623">
        <v>47907000000</v>
      </c>
      <c r="P1623">
        <v>3561000000</v>
      </c>
      <c r="Q1623">
        <v>-3212000000</v>
      </c>
      <c r="R1623">
        <v>-3736000000</v>
      </c>
      <c r="V1623">
        <f t="shared" si="60"/>
        <v>61317000000</v>
      </c>
      <c r="W1623">
        <f t="shared" si="61"/>
        <v>44621000000</v>
      </c>
    </row>
    <row r="1624" spans="1:23" x14ac:dyDescent="0.2">
      <c r="A1624">
        <f>IF(D1624="USD",VLOOKUP(VALUE(RIGHT(E1624,4)),'USD RUB'!$E:$F,2,FALSE),1)</f>
        <v>1</v>
      </c>
      <c r="B1624" s="4">
        <v>1</v>
      </c>
      <c r="C1624">
        <v>1000000</v>
      </c>
      <c r="D1624" t="s">
        <v>20</v>
      </c>
      <c r="E1624" s="1" t="s">
        <v>1641</v>
      </c>
      <c r="F1624">
        <v>2673000000</v>
      </c>
      <c r="G1624">
        <v>16606000000</v>
      </c>
      <c r="H1624">
        <v>9272000000</v>
      </c>
      <c r="J1624">
        <v>42839000000</v>
      </c>
      <c r="K1624">
        <v>19745000000</v>
      </c>
      <c r="L1624">
        <v>4417000000</v>
      </c>
      <c r="N1624">
        <v>18677000000</v>
      </c>
      <c r="O1624">
        <v>23596000000</v>
      </c>
      <c r="P1624">
        <v>2336000000</v>
      </c>
      <c r="Q1624">
        <v>588000000</v>
      </c>
      <c r="R1624">
        <v>256000000</v>
      </c>
      <c r="V1624">
        <f t="shared" si="60"/>
        <v>27418000000</v>
      </c>
      <c r="W1624">
        <f t="shared" si="61"/>
        <v>47223000000</v>
      </c>
    </row>
    <row r="1625" spans="1:23" x14ac:dyDescent="0.2">
      <c r="A1625">
        <f>IF(D1625="USD",VLOOKUP(VALUE(RIGHT(E1625,4)),'USD RUB'!$E:$F,2,FALSE),1)</f>
        <v>1</v>
      </c>
      <c r="B1625" s="4">
        <v>1</v>
      </c>
      <c r="C1625">
        <v>1000000</v>
      </c>
      <c r="D1625" t="s">
        <v>20</v>
      </c>
      <c r="E1625" s="1" t="s">
        <v>1642</v>
      </c>
      <c r="F1625">
        <v>6020000000</v>
      </c>
      <c r="G1625">
        <v>17480000000</v>
      </c>
      <c r="H1625">
        <v>9451000000</v>
      </c>
      <c r="J1625">
        <v>44621000000</v>
      </c>
      <c r="K1625">
        <v>17613000000</v>
      </c>
      <c r="L1625">
        <v>6232000000</v>
      </c>
      <c r="N1625">
        <v>20776000000</v>
      </c>
      <c r="O1625">
        <v>61317000000</v>
      </c>
      <c r="P1625">
        <v>5241000000</v>
      </c>
      <c r="Q1625">
        <v>4671000000</v>
      </c>
      <c r="R1625">
        <v>3578000000</v>
      </c>
      <c r="V1625">
        <f t="shared" ref="V1625:V1688" si="62">_xlfn.XLOOKUP(LEFT(E1625,LEN(E1625)-4)&amp;(VALUE(RIGHT(E1625,4))-1),$E:$E,$O:$O,"")</f>
        <v>65549000000</v>
      </c>
      <c r="W1625">
        <f t="shared" ref="W1625:W1688" si="63">_xlfn.XLOOKUP(LEFT(E1625,LEN(E1625)-4)&amp;(VALUE(RIGHT(E1625,4))-1),$E:$E,$J:$J,"")</f>
        <v>46173000000</v>
      </c>
    </row>
    <row r="1626" spans="1:23" x14ac:dyDescent="0.2">
      <c r="A1626">
        <f>IF(D1626="USD",VLOOKUP(VALUE(RIGHT(E1626,4)),'USD RUB'!$E:$F,2,FALSE),1)</f>
        <v>1</v>
      </c>
      <c r="B1626" s="4">
        <v>1</v>
      </c>
      <c r="C1626">
        <v>1000000</v>
      </c>
      <c r="D1626" t="s">
        <v>20</v>
      </c>
      <c r="E1626" s="1" t="s">
        <v>1643</v>
      </c>
      <c r="F1626">
        <v>3859000000</v>
      </c>
      <c r="G1626">
        <v>18769000000</v>
      </c>
      <c r="H1626">
        <v>11097000000</v>
      </c>
      <c r="J1626">
        <v>47223000000</v>
      </c>
      <c r="K1626">
        <v>21723000000</v>
      </c>
      <c r="L1626">
        <v>5711000000</v>
      </c>
      <c r="N1626">
        <v>19789000000</v>
      </c>
      <c r="O1626">
        <v>27418000000</v>
      </c>
      <c r="P1626">
        <v>2615000000</v>
      </c>
      <c r="Q1626">
        <v>2189000000</v>
      </c>
      <c r="R1626">
        <v>1691000000</v>
      </c>
      <c r="T1626">
        <v>3121000000</v>
      </c>
      <c r="V1626">
        <f t="shared" si="62"/>
        <v>30967000000</v>
      </c>
      <c r="W1626">
        <f t="shared" si="63"/>
        <v>46543000000</v>
      </c>
    </row>
    <row r="1627" spans="1:23" x14ac:dyDescent="0.2">
      <c r="A1627">
        <f>IF(D1627="USD",VLOOKUP(VALUE(RIGHT(E1627,4)),'USD RUB'!$E:$F,2,FALSE),1)</f>
        <v>1</v>
      </c>
      <c r="B1627" s="4">
        <v>1</v>
      </c>
      <c r="C1627">
        <v>1000000</v>
      </c>
      <c r="D1627" t="s">
        <v>20</v>
      </c>
      <c r="E1627" s="1" t="s">
        <v>1644</v>
      </c>
      <c r="F1627">
        <v>2560000000</v>
      </c>
      <c r="G1627">
        <v>17110000000</v>
      </c>
      <c r="H1627">
        <v>11539000000</v>
      </c>
      <c r="J1627">
        <v>46173000000</v>
      </c>
      <c r="K1627">
        <v>21666000000</v>
      </c>
      <c r="L1627">
        <v>4627000000</v>
      </c>
      <c r="N1627">
        <v>19880000000</v>
      </c>
      <c r="O1627">
        <v>65549000000</v>
      </c>
      <c r="P1627">
        <v>7245000000</v>
      </c>
      <c r="Q1627">
        <v>7584000000</v>
      </c>
      <c r="R1627">
        <v>5881000000</v>
      </c>
      <c r="T1627">
        <v>7652000000</v>
      </c>
      <c r="V1627">
        <f t="shared" si="62"/>
        <v>69531000000</v>
      </c>
      <c r="W1627">
        <f t="shared" si="63"/>
        <v>49094000000</v>
      </c>
    </row>
    <row r="1628" spans="1:23" x14ac:dyDescent="0.2">
      <c r="A1628">
        <f>IF(D1628="USD",VLOOKUP(VALUE(RIGHT(E1628,4)),'USD RUB'!$E:$F,2,FALSE),1)</f>
        <v>1</v>
      </c>
      <c r="B1628" s="4">
        <v>1</v>
      </c>
      <c r="C1628">
        <v>1000000</v>
      </c>
      <c r="D1628" t="s">
        <v>20</v>
      </c>
      <c r="E1628" s="1" t="s">
        <v>1645</v>
      </c>
      <c r="F1628">
        <v>2594000000</v>
      </c>
      <c r="G1628">
        <v>18674000000</v>
      </c>
      <c r="H1628">
        <v>11860000000</v>
      </c>
      <c r="J1628">
        <v>46543000000</v>
      </c>
      <c r="K1628">
        <v>22509000000</v>
      </c>
      <c r="L1628">
        <v>7666000000</v>
      </c>
      <c r="N1628">
        <v>16368000000</v>
      </c>
      <c r="O1628">
        <v>30967000000</v>
      </c>
      <c r="P1628">
        <v>3439000000</v>
      </c>
      <c r="Q1628">
        <v>3259000000</v>
      </c>
      <c r="R1628">
        <v>2609000000</v>
      </c>
      <c r="T1628">
        <v>3935000000</v>
      </c>
      <c r="V1628">
        <f t="shared" si="62"/>
        <v>31550000000</v>
      </c>
      <c r="W1628">
        <f t="shared" si="63"/>
        <v>54536000000</v>
      </c>
    </row>
    <row r="1629" spans="1:23" x14ac:dyDescent="0.2">
      <c r="A1629">
        <f>IF(D1629="USD",VLOOKUP(VALUE(RIGHT(E1629,4)),'USD RUB'!$E:$F,2,FALSE),1)</f>
        <v>1</v>
      </c>
      <c r="B1629" s="4">
        <v>1</v>
      </c>
      <c r="C1629">
        <v>1000000</v>
      </c>
      <c r="D1629" t="s">
        <v>20</v>
      </c>
      <c r="E1629" s="1" t="s">
        <v>1646</v>
      </c>
      <c r="F1629">
        <v>2957000000</v>
      </c>
      <c r="G1629">
        <v>20947000000</v>
      </c>
      <c r="H1629">
        <v>12527000000</v>
      </c>
      <c r="J1629">
        <v>49094000000</v>
      </c>
      <c r="K1629">
        <v>28433000000</v>
      </c>
      <c r="L1629">
        <v>7107000000</v>
      </c>
      <c r="N1629">
        <v>13554000000</v>
      </c>
      <c r="O1629">
        <v>69531000000</v>
      </c>
      <c r="P1629">
        <v>8556000000</v>
      </c>
      <c r="Q1629">
        <v>6275000000</v>
      </c>
      <c r="R1629">
        <v>4694000000</v>
      </c>
      <c r="V1629" t="str">
        <f t="shared" si="62"/>
        <v/>
      </c>
      <c r="W1629" t="str">
        <f t="shared" si="63"/>
        <v/>
      </c>
    </row>
    <row r="1630" spans="1:23" x14ac:dyDescent="0.2">
      <c r="A1630">
        <f>IF(D1630="USD",VLOOKUP(VALUE(RIGHT(E1630,4)),'USD RUB'!$E:$F,2,FALSE),1)</f>
        <v>1</v>
      </c>
      <c r="B1630" s="4">
        <v>1</v>
      </c>
      <c r="C1630">
        <v>1000000</v>
      </c>
      <c r="D1630" t="s">
        <v>20</v>
      </c>
      <c r="E1630" s="1" t="s">
        <v>1647</v>
      </c>
      <c r="F1630">
        <v>3796000000</v>
      </c>
      <c r="G1630">
        <v>25971000000</v>
      </c>
      <c r="H1630">
        <v>22457000000</v>
      </c>
      <c r="J1630">
        <v>54536000000</v>
      </c>
      <c r="K1630">
        <v>28984000000</v>
      </c>
      <c r="L1630">
        <v>15650000000</v>
      </c>
      <c r="N1630">
        <v>9902000000</v>
      </c>
      <c r="O1630">
        <v>31550000000</v>
      </c>
      <c r="P1630">
        <v>1997000000</v>
      </c>
      <c r="Q1630">
        <v>1220000000</v>
      </c>
      <c r="R1630">
        <v>897000000</v>
      </c>
      <c r="T1630">
        <v>2863000000</v>
      </c>
      <c r="V1630" t="str">
        <f t="shared" si="62"/>
        <v/>
      </c>
      <c r="W1630" t="str">
        <f t="shared" si="63"/>
        <v/>
      </c>
    </row>
    <row r="1631" spans="1:23" x14ac:dyDescent="0.2">
      <c r="A1631">
        <f>IF(D1631="USD",VLOOKUP(VALUE(RIGHT(E1631,4)),'USD RUB'!$E:$F,2,FALSE),1)</f>
        <v>1</v>
      </c>
      <c r="B1631" s="4">
        <v>1</v>
      </c>
      <c r="C1631">
        <v>1000</v>
      </c>
      <c r="D1631" t="s">
        <v>20</v>
      </c>
      <c r="E1631" s="1" t="s">
        <v>1648</v>
      </c>
      <c r="F1631">
        <v>9596410000</v>
      </c>
      <c r="G1631">
        <v>53263031000</v>
      </c>
      <c r="H1631">
        <v>3579783000</v>
      </c>
      <c r="I1631">
        <v>352576000</v>
      </c>
      <c r="J1631">
        <v>70595170000</v>
      </c>
      <c r="K1631">
        <v>45433185000</v>
      </c>
      <c r="L1631">
        <v>21543989000</v>
      </c>
      <c r="M1631">
        <v>3612996000</v>
      </c>
      <c r="N1631">
        <v>3617996000</v>
      </c>
      <c r="O1631">
        <v>134334021000</v>
      </c>
      <c r="P1631">
        <v>6812904000</v>
      </c>
      <c r="Q1631">
        <v>2106571000</v>
      </c>
      <c r="R1631">
        <v>1398528000</v>
      </c>
      <c r="S1631">
        <v>4740650000</v>
      </c>
      <c r="T1631">
        <v>12139115000</v>
      </c>
      <c r="U1631">
        <v>-1003116000</v>
      </c>
      <c r="V1631">
        <f t="shared" si="62"/>
        <v>120299610000</v>
      </c>
      <c r="W1631">
        <f t="shared" si="63"/>
        <v>71305582000</v>
      </c>
    </row>
    <row r="1632" spans="1:23" x14ac:dyDescent="0.2">
      <c r="A1632">
        <f>IF(D1632="USD",VLOOKUP(VALUE(RIGHT(E1632,4)),'USD RUB'!$E:$F,2,FALSE),1)</f>
        <v>1</v>
      </c>
      <c r="B1632" s="4">
        <v>1</v>
      </c>
      <c r="C1632">
        <v>1000</v>
      </c>
      <c r="D1632" t="s">
        <v>20</v>
      </c>
      <c r="E1632" s="1" t="s">
        <v>1649</v>
      </c>
      <c r="F1632">
        <v>4322458000</v>
      </c>
      <c r="G1632">
        <v>48698211000</v>
      </c>
      <c r="H1632">
        <v>3501081000</v>
      </c>
      <c r="I1632">
        <v>329420000</v>
      </c>
      <c r="J1632">
        <v>66617880000</v>
      </c>
      <c r="K1632">
        <v>37968662000</v>
      </c>
      <c r="L1632">
        <v>25930099000</v>
      </c>
      <c r="M1632">
        <v>2714119000</v>
      </c>
      <c r="N1632">
        <v>2719119000</v>
      </c>
      <c r="O1632">
        <v>86839764000</v>
      </c>
      <c r="P1632">
        <v>3812850000</v>
      </c>
      <c r="Q1632">
        <v>469049000</v>
      </c>
      <c r="R1632">
        <v>191878000</v>
      </c>
      <c r="S1632">
        <v>3170843000</v>
      </c>
      <c r="T1632">
        <v>7377027000</v>
      </c>
      <c r="U1632">
        <v>-589978000</v>
      </c>
      <c r="V1632">
        <f t="shared" si="62"/>
        <v>76088198000</v>
      </c>
      <c r="W1632">
        <f t="shared" si="63"/>
        <v>59770892000</v>
      </c>
    </row>
    <row r="1633" spans="1:23" x14ac:dyDescent="0.2">
      <c r="A1633">
        <f>IF(D1633="USD",VLOOKUP(VALUE(RIGHT(E1633,4)),'USD RUB'!$E:$F,2,FALSE),1)</f>
        <v>1</v>
      </c>
      <c r="B1633" s="4">
        <v>1</v>
      </c>
      <c r="C1633">
        <v>1000</v>
      </c>
      <c r="D1633" t="s">
        <v>20</v>
      </c>
      <c r="E1633" s="1" t="s">
        <v>1650</v>
      </c>
      <c r="F1633">
        <v>5578905000</v>
      </c>
      <c r="G1633">
        <v>51521184000</v>
      </c>
      <c r="H1633">
        <v>3633616000</v>
      </c>
      <c r="I1633">
        <v>351068000</v>
      </c>
      <c r="J1633">
        <v>74354290000</v>
      </c>
      <c r="K1633">
        <v>42866518000</v>
      </c>
      <c r="L1633">
        <v>29827026000</v>
      </c>
      <c r="M1633">
        <v>1655746000</v>
      </c>
      <c r="N1633">
        <v>1660746000</v>
      </c>
      <c r="O1633">
        <v>40689064000</v>
      </c>
      <c r="P1633">
        <v>948521000</v>
      </c>
      <c r="Q1633">
        <v>-799465000</v>
      </c>
      <c r="R1633">
        <v>-669554000</v>
      </c>
      <c r="S1633">
        <v>1564801000</v>
      </c>
      <c r="T1633">
        <v>2709715000</v>
      </c>
      <c r="U1633">
        <v>-388446000</v>
      </c>
      <c r="V1633">
        <f t="shared" si="62"/>
        <v>48630072000</v>
      </c>
      <c r="W1633">
        <f t="shared" si="63"/>
        <v>56588685000</v>
      </c>
    </row>
    <row r="1634" spans="1:23" x14ac:dyDescent="0.2">
      <c r="A1634">
        <f>IF(D1634="USD",VLOOKUP(VALUE(RIGHT(E1634,4)),'USD RUB'!$E:$F,2,FALSE),1)</f>
        <v>1</v>
      </c>
      <c r="B1634" s="4">
        <v>1</v>
      </c>
      <c r="C1634">
        <v>1000</v>
      </c>
      <c r="D1634" t="s">
        <v>20</v>
      </c>
      <c r="E1634" s="1" t="s">
        <v>1651</v>
      </c>
      <c r="F1634">
        <v>9362918000</v>
      </c>
      <c r="G1634">
        <v>58323418000</v>
      </c>
      <c r="H1634">
        <v>3512689000</v>
      </c>
      <c r="I1634">
        <v>347996000</v>
      </c>
      <c r="J1634">
        <v>78343558000</v>
      </c>
      <c r="K1634">
        <v>52820331000</v>
      </c>
      <c r="L1634">
        <v>23389320000</v>
      </c>
      <c r="M1634">
        <v>2128907000</v>
      </c>
      <c r="N1634">
        <v>2133907000</v>
      </c>
      <c r="O1634">
        <v>170064103000</v>
      </c>
      <c r="P1634">
        <v>5833049000</v>
      </c>
      <c r="Q1634">
        <v>1540039000</v>
      </c>
      <c r="R1634">
        <v>669769000</v>
      </c>
      <c r="S1634">
        <v>4783380000</v>
      </c>
      <c r="T1634">
        <v>12813417000</v>
      </c>
      <c r="U1634">
        <v>-1952490000</v>
      </c>
      <c r="V1634">
        <f t="shared" si="62"/>
        <v>132750803000</v>
      </c>
      <c r="W1634">
        <f t="shared" si="63"/>
        <v>49725214000</v>
      </c>
    </row>
    <row r="1635" spans="1:23" x14ac:dyDescent="0.2">
      <c r="A1635">
        <f>IF(D1635="USD",VLOOKUP(VALUE(RIGHT(E1635,4)),'USD RUB'!$E:$F,2,FALSE),1)</f>
        <v>1</v>
      </c>
      <c r="B1635" s="4">
        <v>1</v>
      </c>
      <c r="C1635">
        <v>1000</v>
      </c>
      <c r="D1635" t="s">
        <v>20</v>
      </c>
      <c r="E1635" s="1" t="s">
        <v>1652</v>
      </c>
      <c r="F1635">
        <v>6762475000</v>
      </c>
      <c r="G1635">
        <v>51429455000</v>
      </c>
      <c r="H1635">
        <v>2675372000</v>
      </c>
      <c r="I1635">
        <v>208074000</v>
      </c>
      <c r="J1635">
        <v>71305582000</v>
      </c>
      <c r="K1635">
        <v>50687431000</v>
      </c>
      <c r="L1635">
        <v>19167946000</v>
      </c>
      <c r="M1635">
        <v>695205000</v>
      </c>
      <c r="N1635">
        <v>1450205000</v>
      </c>
      <c r="O1635">
        <v>120299610000</v>
      </c>
      <c r="P1635">
        <v>3942035000</v>
      </c>
      <c r="Q1635">
        <v>946986000</v>
      </c>
      <c r="R1635">
        <v>120683000</v>
      </c>
      <c r="S1635">
        <v>3346284000</v>
      </c>
      <c r="T1635">
        <v>9348031000</v>
      </c>
      <c r="U1635">
        <v>-752004000</v>
      </c>
      <c r="V1635">
        <f t="shared" si="62"/>
        <v>92993155000</v>
      </c>
      <c r="W1635">
        <f t="shared" si="63"/>
        <v>0</v>
      </c>
    </row>
    <row r="1636" spans="1:23" x14ac:dyDescent="0.2">
      <c r="A1636">
        <f>IF(D1636="USD",VLOOKUP(VALUE(RIGHT(E1636,4)),'USD RUB'!$E:$F,2,FALSE),1)</f>
        <v>1</v>
      </c>
      <c r="B1636" s="4">
        <v>1</v>
      </c>
      <c r="C1636">
        <v>1000</v>
      </c>
      <c r="D1636" t="s">
        <v>20</v>
      </c>
      <c r="E1636" s="1" t="s">
        <v>1653</v>
      </c>
      <c r="F1636">
        <v>5640783000</v>
      </c>
      <c r="G1636">
        <v>39761051000</v>
      </c>
      <c r="H1636">
        <v>2676463000</v>
      </c>
      <c r="I1636">
        <v>202394000</v>
      </c>
      <c r="J1636">
        <v>59770892000</v>
      </c>
      <c r="K1636">
        <v>40377390000</v>
      </c>
      <c r="L1636">
        <v>18783694000</v>
      </c>
      <c r="M1636">
        <v>604809000</v>
      </c>
      <c r="N1636">
        <v>609809000</v>
      </c>
      <c r="O1636">
        <v>76088198000</v>
      </c>
      <c r="P1636">
        <v>2690167000</v>
      </c>
      <c r="Q1636">
        <v>797719000</v>
      </c>
      <c r="R1636">
        <v>295625000</v>
      </c>
      <c r="S1636">
        <v>2140824000</v>
      </c>
      <c r="T1636">
        <v>5860458000</v>
      </c>
      <c r="U1636">
        <v>-547251000</v>
      </c>
      <c r="V1636" t="str">
        <f t="shared" si="62"/>
        <v/>
      </c>
      <c r="W1636" t="str">
        <f t="shared" si="63"/>
        <v/>
      </c>
    </row>
    <row r="1637" spans="1:23" x14ac:dyDescent="0.2">
      <c r="A1637">
        <f>IF(D1637="USD",VLOOKUP(VALUE(RIGHT(E1637,4)),'USD RUB'!$E:$F,2,FALSE),1)</f>
        <v>1</v>
      </c>
      <c r="B1637" s="4">
        <v>1</v>
      </c>
      <c r="C1637">
        <v>1000</v>
      </c>
      <c r="D1637" t="s">
        <v>20</v>
      </c>
      <c r="E1637" s="1" t="s">
        <v>1654</v>
      </c>
      <c r="F1637">
        <v>3990316000</v>
      </c>
      <c r="G1637">
        <v>37486909000</v>
      </c>
      <c r="H1637">
        <v>2568502000</v>
      </c>
      <c r="I1637">
        <v>220232000</v>
      </c>
      <c r="J1637">
        <v>56588685000</v>
      </c>
      <c r="K1637">
        <v>36892832000</v>
      </c>
      <c r="L1637">
        <v>19217979000</v>
      </c>
      <c r="M1637">
        <v>472874000</v>
      </c>
      <c r="N1637">
        <v>477874000</v>
      </c>
      <c r="O1637">
        <v>48630072000</v>
      </c>
      <c r="P1637">
        <v>2769263000</v>
      </c>
      <c r="Q1637">
        <v>1463453000</v>
      </c>
      <c r="R1637">
        <v>1185107000</v>
      </c>
      <c r="S1637">
        <v>1382244000</v>
      </c>
      <c r="T1637">
        <v>4151507000</v>
      </c>
      <c r="U1637">
        <v>-294289000</v>
      </c>
      <c r="V1637" t="str">
        <f t="shared" si="62"/>
        <v/>
      </c>
      <c r="W1637" t="str">
        <f t="shared" si="63"/>
        <v/>
      </c>
    </row>
    <row r="1638" spans="1:23" x14ac:dyDescent="0.2">
      <c r="A1638">
        <f>IF(D1638="USD",VLOOKUP(VALUE(RIGHT(E1638,4)),'USD RUB'!$E:$F,2,FALSE),1)</f>
        <v>1</v>
      </c>
      <c r="B1638" s="4">
        <v>1</v>
      </c>
      <c r="C1638">
        <v>1000</v>
      </c>
      <c r="D1638" t="s">
        <v>20</v>
      </c>
      <c r="E1638" s="1" t="s">
        <v>1655</v>
      </c>
      <c r="F1638">
        <v>1725859000</v>
      </c>
      <c r="G1638">
        <v>35270428000</v>
      </c>
      <c r="H1638">
        <v>2514442000</v>
      </c>
      <c r="I1638">
        <v>231563000</v>
      </c>
      <c r="J1638">
        <v>49725214000</v>
      </c>
      <c r="K1638">
        <v>31539458000</v>
      </c>
      <c r="L1638">
        <v>15055331000</v>
      </c>
      <c r="M1638">
        <v>3130425000</v>
      </c>
      <c r="N1638">
        <v>3130425000</v>
      </c>
      <c r="O1638">
        <v>132750803000</v>
      </c>
      <c r="P1638">
        <v>6971714000</v>
      </c>
      <c r="Q1638">
        <v>4816744000</v>
      </c>
      <c r="R1638">
        <v>3760054000</v>
      </c>
      <c r="S1638">
        <v>3069204000</v>
      </c>
      <c r="T1638">
        <v>10040918000</v>
      </c>
      <c r="U1638">
        <v>-1631485000</v>
      </c>
      <c r="V1638" t="str">
        <f t="shared" si="62"/>
        <v/>
      </c>
      <c r="W1638" t="str">
        <f t="shared" si="63"/>
        <v/>
      </c>
    </row>
    <row r="1639" spans="1:23" x14ac:dyDescent="0.2">
      <c r="A1639">
        <f>IF(D1639="USD",VLOOKUP(VALUE(RIGHT(E1639,4)),'USD RUB'!$E:$F,2,FALSE),1)</f>
        <v>1</v>
      </c>
      <c r="B1639" s="4">
        <v>1</v>
      </c>
      <c r="C1639">
        <v>1000</v>
      </c>
      <c r="D1639" t="s">
        <v>20</v>
      </c>
      <c r="E1639" s="1" t="s">
        <v>1656</v>
      </c>
      <c r="O1639">
        <v>92993155000</v>
      </c>
      <c r="P1639">
        <v>3961962000</v>
      </c>
      <c r="Q1639">
        <v>2732688000</v>
      </c>
      <c r="R1639">
        <v>2492748000</v>
      </c>
      <c r="S1639">
        <v>2203871000</v>
      </c>
      <c r="T1639">
        <v>6165833000</v>
      </c>
      <c r="U1639">
        <v>-750631000</v>
      </c>
      <c r="V1639" t="str">
        <f t="shared" si="62"/>
        <v/>
      </c>
      <c r="W1639" t="str">
        <f t="shared" si="63"/>
        <v/>
      </c>
    </row>
    <row r="1640" spans="1:23" x14ac:dyDescent="0.2">
      <c r="A1640">
        <f>IF(D1640="USD",VLOOKUP(VALUE(RIGHT(E1640,4)),'USD RUB'!$E:$F,2,FALSE),1)</f>
        <v>1</v>
      </c>
      <c r="B1640" s="4">
        <v>1</v>
      </c>
      <c r="C1640">
        <v>1000</v>
      </c>
      <c r="D1640" t="s">
        <v>20</v>
      </c>
      <c r="E1640" s="1" t="s">
        <v>1657</v>
      </c>
      <c r="F1640">
        <v>673040000</v>
      </c>
      <c r="G1640">
        <v>3666799000</v>
      </c>
      <c r="H1640">
        <v>15501753000</v>
      </c>
      <c r="I1640">
        <v>406728000</v>
      </c>
      <c r="J1640">
        <v>19647236000</v>
      </c>
      <c r="K1640">
        <v>5643940000</v>
      </c>
      <c r="L1640">
        <v>10002005000</v>
      </c>
      <c r="M1640">
        <v>1181876000</v>
      </c>
      <c r="N1640">
        <v>4001291000</v>
      </c>
      <c r="O1640">
        <v>12458142000</v>
      </c>
      <c r="P1640">
        <v>256476000</v>
      </c>
      <c r="Q1640">
        <v>-2614596000</v>
      </c>
      <c r="R1640">
        <v>-2932108000</v>
      </c>
      <c r="S1640">
        <v>2914759000</v>
      </c>
      <c r="T1640">
        <v>3560177000</v>
      </c>
      <c r="U1640">
        <v>-3675076000</v>
      </c>
      <c r="V1640">
        <f t="shared" si="62"/>
        <v>14304301000</v>
      </c>
      <c r="W1640">
        <f t="shared" si="63"/>
        <v>21919440000</v>
      </c>
    </row>
    <row r="1641" spans="1:23" x14ac:dyDescent="0.2">
      <c r="A1641">
        <f>IF(D1641="USD",VLOOKUP(VALUE(RIGHT(E1641,4)),'USD RUB'!$E:$F,2,FALSE),1)</f>
        <v>1</v>
      </c>
      <c r="B1641" s="4">
        <v>1</v>
      </c>
      <c r="C1641">
        <v>1000</v>
      </c>
      <c r="D1641" t="s">
        <v>20</v>
      </c>
      <c r="E1641" s="1" t="s">
        <v>1658</v>
      </c>
      <c r="F1641">
        <v>959150000</v>
      </c>
      <c r="G1641">
        <v>5934622000</v>
      </c>
      <c r="H1641">
        <v>15363573000</v>
      </c>
      <c r="I1641">
        <v>363667000</v>
      </c>
      <c r="J1641">
        <v>21714040000</v>
      </c>
      <c r="K1641">
        <v>5952710000</v>
      </c>
      <c r="L1641">
        <v>10002986000</v>
      </c>
      <c r="M1641">
        <v>2950804000</v>
      </c>
      <c r="N1641">
        <v>5758344000</v>
      </c>
      <c r="O1641">
        <v>10765182000</v>
      </c>
      <c r="P1641">
        <v>917969000</v>
      </c>
      <c r="Q1641">
        <v>-983104000</v>
      </c>
      <c r="R1641">
        <v>-1163176000</v>
      </c>
      <c r="S1641">
        <v>2505867000</v>
      </c>
      <c r="T1641">
        <v>3694039000</v>
      </c>
      <c r="U1641">
        <v>-3431154000</v>
      </c>
      <c r="V1641">
        <f t="shared" si="62"/>
        <v>12504787000</v>
      </c>
      <c r="W1641">
        <f t="shared" si="63"/>
        <v>23545163000</v>
      </c>
    </row>
    <row r="1642" spans="1:23" x14ac:dyDescent="0.2">
      <c r="A1642">
        <f>IF(D1642="USD",VLOOKUP(VALUE(RIGHT(E1642,4)),'USD RUB'!$E:$F,2,FALSE),1)</f>
        <v>1</v>
      </c>
      <c r="B1642" s="4">
        <v>1</v>
      </c>
      <c r="C1642">
        <v>1000</v>
      </c>
      <c r="D1642" t="s">
        <v>20</v>
      </c>
      <c r="E1642" s="1" t="s">
        <v>1659</v>
      </c>
      <c r="F1642">
        <v>2451462000</v>
      </c>
      <c r="G1642">
        <v>5342351000</v>
      </c>
      <c r="H1642">
        <v>16138135000</v>
      </c>
      <c r="I1642">
        <v>331194000</v>
      </c>
      <c r="J1642">
        <v>21944139000</v>
      </c>
      <c r="K1642">
        <v>3100820000</v>
      </c>
      <c r="L1642">
        <v>14186408000</v>
      </c>
      <c r="M1642">
        <v>2237354000</v>
      </c>
      <c r="N1642">
        <v>4656911000</v>
      </c>
      <c r="O1642">
        <v>5368838000</v>
      </c>
      <c r="P1642">
        <v>-608611000</v>
      </c>
      <c r="Q1642">
        <v>-1783154000</v>
      </c>
      <c r="R1642">
        <v>-1892948000</v>
      </c>
      <c r="S1642">
        <v>1343834000</v>
      </c>
      <c r="T1642">
        <v>1006321000</v>
      </c>
      <c r="U1642">
        <v>-2411447000</v>
      </c>
      <c r="V1642">
        <f t="shared" si="62"/>
        <v>6297554000</v>
      </c>
      <c r="W1642">
        <f t="shared" si="63"/>
        <v>18578282000</v>
      </c>
    </row>
    <row r="1643" spans="1:23" x14ac:dyDescent="0.2">
      <c r="A1643">
        <f>IF(D1643="USD",VLOOKUP(VALUE(RIGHT(E1643,4)),'USD RUB'!$E:$F,2,FALSE),1)</f>
        <v>1</v>
      </c>
      <c r="B1643" s="4">
        <v>1</v>
      </c>
      <c r="C1643">
        <v>1000</v>
      </c>
      <c r="D1643" t="s">
        <v>20</v>
      </c>
      <c r="E1643" s="1" t="s">
        <v>1660</v>
      </c>
      <c r="F1643">
        <v>3580665000</v>
      </c>
      <c r="G1643">
        <v>6608682000</v>
      </c>
      <c r="H1643">
        <v>14007676000</v>
      </c>
      <c r="I1643">
        <v>277046000</v>
      </c>
      <c r="J1643">
        <v>21919440000</v>
      </c>
      <c r="K1643">
        <v>5339279000</v>
      </c>
      <c r="L1643">
        <v>9300987000</v>
      </c>
      <c r="M1643">
        <v>4170845000</v>
      </c>
      <c r="N1643">
        <v>7279174000</v>
      </c>
      <c r="O1643">
        <v>14304301000</v>
      </c>
      <c r="P1643">
        <v>3211637000</v>
      </c>
      <c r="Q1643">
        <v>1915779000</v>
      </c>
      <c r="R1643">
        <v>1986148000</v>
      </c>
      <c r="S1643">
        <v>2626331000</v>
      </c>
      <c r="T1643">
        <v>6054048000</v>
      </c>
      <c r="U1643">
        <v>-4891007000</v>
      </c>
      <c r="V1643">
        <f t="shared" si="62"/>
        <v>10731215000</v>
      </c>
      <c r="W1643">
        <f t="shared" si="63"/>
        <v>18132840000</v>
      </c>
    </row>
    <row r="1644" spans="1:23" x14ac:dyDescent="0.2">
      <c r="A1644">
        <f>IF(D1644="USD",VLOOKUP(VALUE(RIGHT(E1644,4)),'USD RUB'!$E:$F,2,FALSE),1)</f>
        <v>1</v>
      </c>
      <c r="B1644" s="4">
        <v>1</v>
      </c>
      <c r="C1644">
        <v>1000</v>
      </c>
      <c r="D1644" t="s">
        <v>20</v>
      </c>
      <c r="E1644" s="1" t="s">
        <v>1661</v>
      </c>
      <c r="F1644">
        <v>4395074000</v>
      </c>
      <c r="G1644">
        <v>9001202000</v>
      </c>
      <c r="H1644">
        <v>13849357000</v>
      </c>
      <c r="I1644">
        <v>265132000</v>
      </c>
      <c r="J1644">
        <v>23545163000</v>
      </c>
      <c r="K1644">
        <v>5755684000</v>
      </c>
      <c r="L1644">
        <v>9405244000</v>
      </c>
      <c r="M1644">
        <v>5325641000</v>
      </c>
      <c r="N1644">
        <v>8384235000</v>
      </c>
      <c r="O1644">
        <v>12504787000</v>
      </c>
      <c r="P1644">
        <v>4165880000</v>
      </c>
      <c r="Q1644">
        <v>3070029000</v>
      </c>
      <c r="R1644">
        <v>2905875000</v>
      </c>
      <c r="S1644">
        <v>2347270000</v>
      </c>
      <c r="T1644">
        <v>6507392000</v>
      </c>
      <c r="U1644">
        <v>-4024539000</v>
      </c>
      <c r="V1644">
        <f t="shared" si="62"/>
        <v>9479912000</v>
      </c>
      <c r="W1644">
        <f t="shared" si="63"/>
        <v>19862436000</v>
      </c>
    </row>
    <row r="1645" spans="1:23" x14ac:dyDescent="0.2">
      <c r="A1645">
        <f>IF(D1645="USD",VLOOKUP(VALUE(RIGHT(E1645,4)),'USD RUB'!$E:$F,2,FALSE),1)</f>
        <v>1</v>
      </c>
      <c r="B1645" s="4">
        <v>1</v>
      </c>
      <c r="C1645">
        <v>1000</v>
      </c>
      <c r="D1645" t="s">
        <v>20</v>
      </c>
      <c r="E1645" s="1" t="s">
        <v>1662</v>
      </c>
      <c r="F1645">
        <v>1172651000</v>
      </c>
      <c r="G1645">
        <v>3580599000</v>
      </c>
      <c r="H1645">
        <v>14352136000</v>
      </c>
      <c r="I1645">
        <v>141323000</v>
      </c>
      <c r="J1645">
        <v>18578282000</v>
      </c>
      <c r="K1645">
        <v>7192583000</v>
      </c>
      <c r="L1645">
        <v>5823614000</v>
      </c>
      <c r="M1645">
        <v>2678460000</v>
      </c>
      <c r="N1645">
        <v>5562085000</v>
      </c>
      <c r="O1645">
        <v>6297554000</v>
      </c>
      <c r="P1645">
        <v>1546655000</v>
      </c>
      <c r="Q1645">
        <v>428559000</v>
      </c>
      <c r="R1645">
        <v>258695000</v>
      </c>
      <c r="S1645">
        <v>1226775000</v>
      </c>
      <c r="T1645">
        <v>2767068000</v>
      </c>
      <c r="U1645">
        <v>-3458978000</v>
      </c>
      <c r="V1645">
        <f t="shared" si="62"/>
        <v>4436504000</v>
      </c>
      <c r="W1645">
        <f t="shared" si="63"/>
        <v>13573125000</v>
      </c>
    </row>
    <row r="1646" spans="1:23" x14ac:dyDescent="0.2">
      <c r="A1646">
        <f>IF(D1646="USD",VLOOKUP(VALUE(RIGHT(E1646,4)),'USD RUB'!$E:$F,2,FALSE),1)</f>
        <v>1</v>
      </c>
      <c r="B1646" s="4">
        <v>1</v>
      </c>
      <c r="C1646">
        <v>1000</v>
      </c>
      <c r="D1646" t="s">
        <v>20</v>
      </c>
      <c r="E1646" s="1" t="s">
        <v>1663</v>
      </c>
      <c r="F1646">
        <v>3161032000</v>
      </c>
      <c r="G1646">
        <v>5375576000</v>
      </c>
      <c r="H1646">
        <v>11269385000</v>
      </c>
      <c r="I1646">
        <v>70241000</v>
      </c>
      <c r="J1646">
        <v>18132840000</v>
      </c>
      <c r="K1646">
        <v>2808221000</v>
      </c>
      <c r="L1646">
        <v>9591856000</v>
      </c>
      <c r="M1646">
        <v>2419765000</v>
      </c>
      <c r="N1646">
        <v>5732763000</v>
      </c>
      <c r="O1646">
        <v>10731215000</v>
      </c>
      <c r="P1646">
        <v>2685178000</v>
      </c>
      <c r="Q1646">
        <v>2082036000</v>
      </c>
      <c r="R1646">
        <v>1940162000</v>
      </c>
      <c r="S1646">
        <v>1782573000</v>
      </c>
      <c r="U1646">
        <v>-6362865000</v>
      </c>
      <c r="V1646">
        <f t="shared" si="62"/>
        <v>6960851000</v>
      </c>
      <c r="W1646">
        <f t="shared" si="63"/>
        <v>11427755000</v>
      </c>
    </row>
    <row r="1647" spans="1:23" x14ac:dyDescent="0.2">
      <c r="A1647">
        <f>IF(D1647="USD",VLOOKUP(VALUE(RIGHT(E1647,4)),'USD RUB'!$E:$F,2,FALSE),1)</f>
        <v>1</v>
      </c>
      <c r="B1647" s="4">
        <v>1</v>
      </c>
      <c r="C1647">
        <v>1000</v>
      </c>
      <c r="D1647" t="s">
        <v>20</v>
      </c>
      <c r="E1647" s="1" t="s">
        <v>1664</v>
      </c>
      <c r="F1647">
        <v>5239436000</v>
      </c>
      <c r="G1647">
        <v>9465323000</v>
      </c>
      <c r="H1647">
        <v>10096098000</v>
      </c>
      <c r="I1647">
        <v>54726000</v>
      </c>
      <c r="J1647">
        <v>19862436000</v>
      </c>
      <c r="K1647">
        <v>2440721000</v>
      </c>
      <c r="L1647">
        <v>9328193000</v>
      </c>
      <c r="M1647">
        <v>4710225000</v>
      </c>
      <c r="N1647">
        <v>8093522000</v>
      </c>
      <c r="O1647">
        <v>9479912000</v>
      </c>
      <c r="P1647">
        <v>3423081000</v>
      </c>
      <c r="Q1647">
        <v>3412624000</v>
      </c>
      <c r="R1647">
        <v>3088952000</v>
      </c>
      <c r="S1647">
        <v>1487451000</v>
      </c>
      <c r="T1647">
        <v>4898789000</v>
      </c>
      <c r="U1647">
        <v>-3366779000</v>
      </c>
      <c r="V1647">
        <f t="shared" si="62"/>
        <v>6294567000</v>
      </c>
      <c r="W1647">
        <f t="shared" si="63"/>
        <v>7015025000</v>
      </c>
    </row>
    <row r="1648" spans="1:23" x14ac:dyDescent="0.2">
      <c r="A1648">
        <f>IF(D1648="USD",VLOOKUP(VALUE(RIGHT(E1648,4)),'USD RUB'!$E:$F,2,FALSE),1)</f>
        <v>1</v>
      </c>
      <c r="B1648" s="4">
        <v>1</v>
      </c>
      <c r="C1648">
        <v>1000</v>
      </c>
      <c r="D1648" t="s">
        <v>20</v>
      </c>
      <c r="E1648" s="1" t="s">
        <v>1665</v>
      </c>
      <c r="F1648">
        <v>2021130000</v>
      </c>
      <c r="G1648">
        <v>3805452000</v>
      </c>
      <c r="H1648">
        <v>9396540000</v>
      </c>
      <c r="I1648">
        <v>39302000</v>
      </c>
      <c r="J1648">
        <v>13573125000</v>
      </c>
      <c r="K1648">
        <v>1724313000</v>
      </c>
      <c r="L1648">
        <v>5613131000</v>
      </c>
      <c r="M1648">
        <v>2883796000</v>
      </c>
      <c r="N1648">
        <v>6235681000</v>
      </c>
      <c r="O1648">
        <v>4436504000</v>
      </c>
      <c r="P1648">
        <v>1284470000</v>
      </c>
      <c r="Q1648">
        <v>1376370000</v>
      </c>
      <c r="R1648">
        <v>1262523000</v>
      </c>
      <c r="S1648">
        <v>756546000</v>
      </c>
      <c r="U1648">
        <v>-2226194000</v>
      </c>
      <c r="V1648" t="str">
        <f t="shared" si="62"/>
        <v/>
      </c>
      <c r="W1648" t="str">
        <f t="shared" si="63"/>
        <v/>
      </c>
    </row>
    <row r="1649" spans="1:23" x14ac:dyDescent="0.2">
      <c r="A1649">
        <f>IF(D1649="USD",VLOOKUP(VALUE(RIGHT(E1649,4)),'USD RUB'!$E:$F,2,FALSE),1)</f>
        <v>1</v>
      </c>
      <c r="B1649" s="4">
        <v>1</v>
      </c>
      <c r="C1649">
        <v>1000</v>
      </c>
      <c r="D1649" t="s">
        <v>20</v>
      </c>
      <c r="E1649" s="1" t="s">
        <v>1666</v>
      </c>
      <c r="F1649">
        <v>2726478000</v>
      </c>
      <c r="G1649">
        <v>3907231000</v>
      </c>
      <c r="H1649">
        <v>6603575000</v>
      </c>
      <c r="I1649">
        <v>23358000</v>
      </c>
      <c r="J1649">
        <v>11427755000</v>
      </c>
      <c r="K1649">
        <v>1979281000</v>
      </c>
      <c r="L1649">
        <v>4579327000</v>
      </c>
      <c r="M1649">
        <v>1621273000</v>
      </c>
      <c r="N1649">
        <v>4869147000</v>
      </c>
      <c r="O1649">
        <v>6960851000</v>
      </c>
      <c r="P1649">
        <v>1407142000</v>
      </c>
      <c r="Q1649">
        <v>819743000</v>
      </c>
      <c r="R1649">
        <v>830504000</v>
      </c>
      <c r="S1649">
        <v>1118503000</v>
      </c>
      <c r="U1649">
        <v>-3765379000</v>
      </c>
      <c r="V1649" t="str">
        <f t="shared" si="62"/>
        <v/>
      </c>
      <c r="W1649" t="str">
        <f t="shared" si="63"/>
        <v/>
      </c>
    </row>
    <row r="1650" spans="1:23" x14ac:dyDescent="0.2">
      <c r="A1650">
        <f>IF(D1650="USD",VLOOKUP(VALUE(RIGHT(E1650,4)),'USD RUB'!$E:$F,2,FALSE),1)</f>
        <v>1</v>
      </c>
      <c r="B1650" s="4">
        <v>1</v>
      </c>
      <c r="C1650">
        <v>1000</v>
      </c>
      <c r="D1650" t="s">
        <v>20</v>
      </c>
      <c r="E1650" s="1" t="s">
        <v>1667</v>
      </c>
      <c r="F1650">
        <v>784838000</v>
      </c>
      <c r="G1650">
        <v>1617873000</v>
      </c>
      <c r="H1650">
        <v>5106071000</v>
      </c>
      <c r="I1650">
        <v>21929000</v>
      </c>
      <c r="J1650">
        <v>7015025000</v>
      </c>
      <c r="K1650">
        <v>376867000</v>
      </c>
      <c r="L1650">
        <v>3641178000</v>
      </c>
      <c r="M1650">
        <v>2422546000</v>
      </c>
      <c r="N1650">
        <v>2996980000</v>
      </c>
      <c r="O1650">
        <v>6294567000</v>
      </c>
      <c r="P1650">
        <v>2286792000</v>
      </c>
      <c r="Q1650">
        <v>1631523000</v>
      </c>
      <c r="R1650">
        <v>1631777000</v>
      </c>
      <c r="S1650">
        <v>960181000</v>
      </c>
      <c r="U1650">
        <v>-1823487000</v>
      </c>
      <c r="V1650" t="str">
        <f t="shared" si="62"/>
        <v/>
      </c>
      <c r="W1650" t="str">
        <f t="shared" si="63"/>
        <v/>
      </c>
    </row>
    <row r="1651" spans="1:23" x14ac:dyDescent="0.2">
      <c r="A1651">
        <f>IF(D1651="USD",VLOOKUP(VALUE(RIGHT(E1651,4)),'USD RUB'!$E:$F,2,FALSE),1)</f>
        <v>1</v>
      </c>
      <c r="B1651" s="4">
        <v>1</v>
      </c>
      <c r="C1651">
        <v>1000000</v>
      </c>
      <c r="D1651" t="s">
        <v>20</v>
      </c>
      <c r="E1651" s="1" t="s">
        <v>1668</v>
      </c>
      <c r="F1651">
        <v>178454000000</v>
      </c>
      <c r="G1651">
        <v>593982000000</v>
      </c>
      <c r="H1651">
        <v>513535000000</v>
      </c>
      <c r="I1651">
        <v>184512000000</v>
      </c>
      <c r="J1651">
        <v>1925482000000</v>
      </c>
      <c r="K1651">
        <v>885447000000</v>
      </c>
      <c r="L1651">
        <v>943124000000</v>
      </c>
      <c r="M1651">
        <v>152630000000</v>
      </c>
      <c r="N1651">
        <v>96911000000</v>
      </c>
      <c r="O1651">
        <v>4642034000000</v>
      </c>
      <c r="P1651">
        <v>247644000000</v>
      </c>
      <c r="Q1651">
        <v>108788000000</v>
      </c>
      <c r="R1651">
        <v>83189000000</v>
      </c>
      <c r="S1651">
        <v>193032000000</v>
      </c>
      <c r="T1651">
        <v>273109000000</v>
      </c>
      <c r="U1651">
        <v>-214021000000</v>
      </c>
      <c r="V1651">
        <f t="shared" si="62"/>
        <v>3908047000000</v>
      </c>
      <c r="W1651">
        <f t="shared" si="63"/>
        <v>1843135000000</v>
      </c>
    </row>
    <row r="1652" spans="1:23" x14ac:dyDescent="0.2">
      <c r="A1652">
        <f>IF(D1652="USD",VLOOKUP(VALUE(RIGHT(E1652,4)),'USD RUB'!$E:$F,2,FALSE),1)</f>
        <v>1</v>
      </c>
      <c r="B1652" s="4">
        <v>1</v>
      </c>
      <c r="C1652">
        <v>1000000</v>
      </c>
      <c r="D1652" t="s">
        <v>20</v>
      </c>
      <c r="E1652" s="1" t="s">
        <v>1669</v>
      </c>
      <c r="F1652">
        <v>66444000000</v>
      </c>
      <c r="G1652">
        <v>436511000000</v>
      </c>
      <c r="H1652">
        <v>486764000000</v>
      </c>
      <c r="I1652">
        <v>179281000000</v>
      </c>
      <c r="J1652">
        <v>1713783000000</v>
      </c>
      <c r="K1652">
        <v>723388000000</v>
      </c>
      <c r="L1652">
        <v>820667000000</v>
      </c>
      <c r="M1652">
        <v>225395000000</v>
      </c>
      <c r="N1652">
        <v>169728000000</v>
      </c>
      <c r="O1652">
        <v>3404069000000</v>
      </c>
      <c r="P1652">
        <v>177809000000</v>
      </c>
      <c r="Q1652">
        <v>83005000000</v>
      </c>
      <c r="R1652">
        <v>65729000000</v>
      </c>
      <c r="S1652">
        <v>140119000000</v>
      </c>
      <c r="T1652">
        <v>194462000000</v>
      </c>
      <c r="U1652">
        <v>-153278000000</v>
      </c>
      <c r="V1652">
        <f t="shared" si="62"/>
        <v>2830267000000</v>
      </c>
      <c r="W1652">
        <f t="shared" si="63"/>
        <v>1677784000000</v>
      </c>
    </row>
    <row r="1653" spans="1:23" x14ac:dyDescent="0.2">
      <c r="A1653">
        <f>IF(D1653="USD",VLOOKUP(VALUE(RIGHT(E1653,4)),'USD RUB'!$E:$F,2,FALSE),1)</f>
        <v>1</v>
      </c>
      <c r="B1653" s="4">
        <v>1</v>
      </c>
      <c r="C1653">
        <v>1000000</v>
      </c>
      <c r="D1653" t="s">
        <v>20</v>
      </c>
      <c r="E1653" s="1" t="s">
        <v>1670</v>
      </c>
      <c r="F1653">
        <v>55940000000</v>
      </c>
      <c r="G1653">
        <v>586352000000</v>
      </c>
      <c r="H1653">
        <v>464840000000</v>
      </c>
      <c r="I1653">
        <v>176007000000</v>
      </c>
      <c r="J1653">
        <v>1819307000000</v>
      </c>
      <c r="K1653">
        <v>882365000000</v>
      </c>
      <c r="L1653">
        <v>790740000000</v>
      </c>
      <c r="M1653">
        <v>202014000000</v>
      </c>
      <c r="N1653">
        <v>146202000000</v>
      </c>
      <c r="O1653">
        <v>2243992000000</v>
      </c>
      <c r="P1653">
        <v>112310000000</v>
      </c>
      <c r="Q1653">
        <v>57099000000</v>
      </c>
      <c r="R1653">
        <v>42380000000</v>
      </c>
      <c r="S1653">
        <v>91821000000</v>
      </c>
      <c r="T1653">
        <v>125942000000</v>
      </c>
      <c r="U1653">
        <v>-100980000000</v>
      </c>
      <c r="V1653">
        <f t="shared" si="62"/>
        <v>1851711000000</v>
      </c>
      <c r="W1653">
        <f t="shared" si="63"/>
        <v>1636568000000</v>
      </c>
    </row>
    <row r="1654" spans="1:23" x14ac:dyDescent="0.2">
      <c r="A1654">
        <f>IF(D1654="USD",VLOOKUP(VALUE(RIGHT(E1654,4)),'USD RUB'!$E:$F,2,FALSE),1)</f>
        <v>1</v>
      </c>
      <c r="B1654" s="4">
        <v>1</v>
      </c>
      <c r="C1654">
        <v>1000000</v>
      </c>
      <c r="D1654" t="s">
        <v>20</v>
      </c>
      <c r="E1654" s="1" t="s">
        <v>1671</v>
      </c>
      <c r="F1654">
        <v>44997000000</v>
      </c>
      <c r="G1654">
        <v>619375000000</v>
      </c>
      <c r="H1654">
        <v>435497000000</v>
      </c>
      <c r="I1654">
        <v>174665000000</v>
      </c>
      <c r="J1654">
        <v>1823968000000</v>
      </c>
      <c r="K1654">
        <v>732672000000</v>
      </c>
      <c r="L1654">
        <v>812071000000</v>
      </c>
      <c r="M1654">
        <v>334832000000</v>
      </c>
      <c r="N1654">
        <v>279225000000</v>
      </c>
      <c r="O1654">
        <v>1069786000000</v>
      </c>
      <c r="P1654">
        <v>45820000000</v>
      </c>
      <c r="Q1654">
        <v>21531000000</v>
      </c>
      <c r="R1654">
        <v>16386000000</v>
      </c>
      <c r="S1654">
        <v>44756000000</v>
      </c>
      <c r="T1654">
        <v>49981000000</v>
      </c>
      <c r="U1654">
        <v>-46101000000</v>
      </c>
      <c r="V1654" t="str">
        <f t="shared" si="62"/>
        <v/>
      </c>
      <c r="W1654" t="str">
        <f t="shared" si="63"/>
        <v/>
      </c>
    </row>
    <row r="1655" spans="1:23" x14ac:dyDescent="0.2">
      <c r="A1655">
        <f>IF(D1655="USD",VLOOKUP(VALUE(RIGHT(E1655,4)),'USD RUB'!$E:$F,2,FALSE),1)</f>
        <v>1</v>
      </c>
      <c r="B1655" s="4">
        <v>1</v>
      </c>
      <c r="C1655">
        <v>1000000</v>
      </c>
      <c r="D1655" t="s">
        <v>20</v>
      </c>
      <c r="E1655" s="1" t="s">
        <v>1672</v>
      </c>
      <c r="F1655">
        <v>67933000000</v>
      </c>
      <c r="G1655">
        <v>645597000000</v>
      </c>
      <c r="H1655">
        <v>421511000000</v>
      </c>
      <c r="I1655">
        <v>172817000000</v>
      </c>
      <c r="J1655">
        <v>1843135000000</v>
      </c>
      <c r="K1655">
        <v>837841000000</v>
      </c>
      <c r="L1655">
        <v>734106000000</v>
      </c>
      <c r="M1655">
        <v>318591000000</v>
      </c>
      <c r="N1655">
        <v>271188000000</v>
      </c>
      <c r="O1655">
        <v>3908047000000</v>
      </c>
      <c r="P1655">
        <v>218138000000</v>
      </c>
      <c r="Q1655">
        <v>127475000000</v>
      </c>
      <c r="R1655">
        <v>104064000000</v>
      </c>
      <c r="S1655">
        <v>181252000000</v>
      </c>
      <c r="T1655">
        <v>256141000000</v>
      </c>
      <c r="U1655">
        <v>-157212000000</v>
      </c>
      <c r="V1655">
        <f t="shared" si="62"/>
        <v>3145859000000</v>
      </c>
      <c r="W1655">
        <f t="shared" si="63"/>
        <v>1590281000000</v>
      </c>
    </row>
    <row r="1656" spans="1:23" x14ac:dyDescent="0.2">
      <c r="A1656">
        <f>IF(D1656="USD",VLOOKUP(VALUE(RIGHT(E1656,4)),'USD RUB'!$E:$F,2,FALSE),1)</f>
        <v>1</v>
      </c>
      <c r="B1656" s="4">
        <v>1</v>
      </c>
      <c r="C1656">
        <v>1000000</v>
      </c>
      <c r="D1656" t="s">
        <v>20</v>
      </c>
      <c r="E1656" s="1" t="s">
        <v>1673</v>
      </c>
      <c r="F1656">
        <v>26989000000</v>
      </c>
      <c r="G1656">
        <v>509343000000</v>
      </c>
      <c r="H1656">
        <v>390652000000</v>
      </c>
      <c r="I1656">
        <v>166136000000</v>
      </c>
      <c r="J1656">
        <v>1677784000000</v>
      </c>
      <c r="K1656">
        <v>621986000000</v>
      </c>
      <c r="L1656">
        <v>748220000000</v>
      </c>
      <c r="M1656">
        <v>305911000000</v>
      </c>
      <c r="N1656">
        <v>307578000000</v>
      </c>
      <c r="O1656">
        <v>2830267000000</v>
      </c>
      <c r="P1656">
        <v>175226000000</v>
      </c>
      <c r="Q1656">
        <v>110606000000</v>
      </c>
      <c r="R1656">
        <v>91143000000</v>
      </c>
      <c r="S1656">
        <v>133172000000</v>
      </c>
      <c r="T1656">
        <v>198873000000</v>
      </c>
      <c r="U1656">
        <v>-105145000000</v>
      </c>
      <c r="V1656" t="str">
        <f t="shared" si="62"/>
        <v/>
      </c>
      <c r="W1656" t="str">
        <f t="shared" si="63"/>
        <v/>
      </c>
    </row>
    <row r="1657" spans="1:23" x14ac:dyDescent="0.2">
      <c r="A1657">
        <f>IF(D1657="USD",VLOOKUP(VALUE(RIGHT(E1657,4)),'USD RUB'!$E:$F,2,FALSE),1)</f>
        <v>1</v>
      </c>
      <c r="B1657" s="4">
        <v>1</v>
      </c>
      <c r="C1657">
        <v>1000000</v>
      </c>
      <c r="D1657" t="s">
        <v>20</v>
      </c>
      <c r="E1657" s="1" t="s">
        <v>1674</v>
      </c>
      <c r="F1657">
        <v>45908000000</v>
      </c>
      <c r="G1657">
        <v>479409000000</v>
      </c>
      <c r="H1657">
        <v>381340000000</v>
      </c>
      <c r="I1657">
        <v>164926000000</v>
      </c>
      <c r="J1657">
        <v>1636568000000</v>
      </c>
      <c r="K1657">
        <v>611883000000</v>
      </c>
      <c r="L1657">
        <v>754268000000</v>
      </c>
      <c r="M1657">
        <v>268565000000</v>
      </c>
      <c r="N1657">
        <v>270417000000</v>
      </c>
      <c r="O1657">
        <v>1851711000000</v>
      </c>
      <c r="P1657">
        <v>111270000000</v>
      </c>
      <c r="Q1657">
        <v>69398000000</v>
      </c>
      <c r="R1657">
        <v>53633000000</v>
      </c>
      <c r="S1657">
        <v>88270000000</v>
      </c>
      <c r="T1657">
        <v>129213000000</v>
      </c>
      <c r="U1657">
        <v>-72301000000</v>
      </c>
      <c r="V1657" t="str">
        <f t="shared" si="62"/>
        <v/>
      </c>
      <c r="W1657" t="str">
        <f t="shared" si="63"/>
        <v/>
      </c>
    </row>
    <row r="1658" spans="1:23" x14ac:dyDescent="0.2">
      <c r="A1658">
        <f>IF(D1658="USD",VLOOKUP(VALUE(RIGHT(E1658,4)),'USD RUB'!$E:$F,2,FALSE),1)</f>
        <v>1</v>
      </c>
      <c r="B1658" s="4">
        <v>1</v>
      </c>
      <c r="C1658">
        <v>1000000</v>
      </c>
      <c r="D1658" t="s">
        <v>20</v>
      </c>
      <c r="E1658" s="1" t="s">
        <v>1675</v>
      </c>
      <c r="F1658">
        <v>39104000000</v>
      </c>
      <c r="G1658">
        <v>447821000000</v>
      </c>
      <c r="H1658">
        <v>364391000000</v>
      </c>
      <c r="I1658">
        <v>162263000000</v>
      </c>
      <c r="J1658">
        <v>1590281000000</v>
      </c>
      <c r="K1658">
        <v>637896000000</v>
      </c>
      <c r="L1658">
        <v>734806000000</v>
      </c>
      <c r="M1658">
        <v>215277000000</v>
      </c>
      <c r="N1658">
        <v>217579000000</v>
      </c>
      <c r="O1658">
        <v>3145859000000</v>
      </c>
      <c r="P1658">
        <v>178873000000</v>
      </c>
      <c r="Q1658">
        <v>103916000000</v>
      </c>
      <c r="R1658">
        <v>78611000000</v>
      </c>
      <c r="S1658">
        <v>165956000000</v>
      </c>
      <c r="T1658">
        <v>220387000000</v>
      </c>
      <c r="U1658">
        <v>-117684000000</v>
      </c>
      <c r="V1658">
        <f t="shared" si="62"/>
        <v>2605206000000</v>
      </c>
      <c r="W1658">
        <f t="shared" si="63"/>
        <v>1368490000000</v>
      </c>
    </row>
    <row r="1659" spans="1:23" x14ac:dyDescent="0.2">
      <c r="A1659">
        <f>IF(D1659="USD",VLOOKUP(VALUE(RIGHT(E1659,4)),'USD RUB'!$E:$F,2,FALSE),1)</f>
        <v>1</v>
      </c>
      <c r="B1659" s="4">
        <v>1</v>
      </c>
      <c r="C1659">
        <v>1000000</v>
      </c>
      <c r="D1659" t="s">
        <v>20</v>
      </c>
      <c r="E1659" s="1" t="s">
        <v>1676</v>
      </c>
      <c r="F1659">
        <v>41732000000</v>
      </c>
      <c r="G1659">
        <v>347947000000</v>
      </c>
      <c r="H1659">
        <v>315604000000</v>
      </c>
      <c r="I1659">
        <v>151256000000</v>
      </c>
      <c r="J1659">
        <v>1368490000000</v>
      </c>
      <c r="K1659">
        <v>546672000000</v>
      </c>
      <c r="L1659">
        <v>680455000000</v>
      </c>
      <c r="M1659">
        <v>136978000000</v>
      </c>
      <c r="N1659">
        <v>141363000000</v>
      </c>
      <c r="O1659">
        <v>2605206000000</v>
      </c>
      <c r="P1659">
        <v>139164000000</v>
      </c>
      <c r="Q1659">
        <v>66032000000</v>
      </c>
      <c r="R1659">
        <v>44144000000</v>
      </c>
      <c r="S1659">
        <v>164731000000</v>
      </c>
      <c r="T1659">
        <v>190332000000</v>
      </c>
      <c r="U1659">
        <v>-74624000000</v>
      </c>
      <c r="V1659">
        <f t="shared" si="62"/>
        <v>2204814000000</v>
      </c>
      <c r="W1659">
        <f t="shared" si="63"/>
        <v>1257470000000</v>
      </c>
    </row>
    <row r="1660" spans="1:23" x14ac:dyDescent="0.2">
      <c r="A1660">
        <f>IF(D1660="USD",VLOOKUP(VALUE(RIGHT(E1660,4)),'USD RUB'!$E:$F,2,FALSE),1)</f>
        <v>1</v>
      </c>
      <c r="B1660" s="4">
        <v>1</v>
      </c>
      <c r="C1660">
        <v>1000000</v>
      </c>
      <c r="D1660" t="s">
        <v>20</v>
      </c>
      <c r="E1660" s="1" t="s">
        <v>1677</v>
      </c>
      <c r="F1660">
        <v>26011000000</v>
      </c>
      <c r="G1660">
        <v>229479000000</v>
      </c>
      <c r="H1660">
        <v>332133000000</v>
      </c>
      <c r="I1660">
        <v>144034000000</v>
      </c>
      <c r="J1660">
        <v>1257470000000</v>
      </c>
      <c r="K1660">
        <v>483278000000</v>
      </c>
      <c r="L1660">
        <v>726251000000</v>
      </c>
      <c r="M1660">
        <v>92823000000</v>
      </c>
      <c r="N1660">
        <v>47941000000</v>
      </c>
      <c r="O1660">
        <v>2204814000000</v>
      </c>
      <c r="P1660">
        <v>117839000000</v>
      </c>
      <c r="Q1660">
        <v>61081000000</v>
      </c>
      <c r="R1660">
        <v>46628000000</v>
      </c>
      <c r="S1660">
        <v>150273000000</v>
      </c>
      <c r="T1660">
        <v>164207000000</v>
      </c>
      <c r="U1660">
        <v>-92316000000</v>
      </c>
      <c r="V1660" t="str">
        <f t="shared" si="62"/>
        <v/>
      </c>
      <c r="W1660" t="str">
        <f t="shared" si="63"/>
        <v/>
      </c>
    </row>
    <row r="1661" spans="1:23" x14ac:dyDescent="0.2">
      <c r="A1661">
        <f>IF(D1661="USD",VLOOKUP(VALUE(RIGHT(E1661,4)),'USD RUB'!$E:$F,2,FALSE),1)</f>
        <v>1</v>
      </c>
      <c r="B1661" s="4">
        <v>1</v>
      </c>
      <c r="C1661">
        <v>1000</v>
      </c>
      <c r="D1661" t="s">
        <v>20</v>
      </c>
      <c r="E1661" s="1" t="s">
        <v>1678</v>
      </c>
      <c r="F1661">
        <v>1465174000</v>
      </c>
      <c r="G1661">
        <v>6320060000</v>
      </c>
      <c r="H1661">
        <v>2105257000</v>
      </c>
      <c r="I1661">
        <v>6482579000</v>
      </c>
      <c r="J1661">
        <v>18165805000</v>
      </c>
      <c r="K1661">
        <v>7159804000</v>
      </c>
      <c r="L1661">
        <v>2916817000</v>
      </c>
      <c r="M1661">
        <v>7519347000</v>
      </c>
      <c r="N1661">
        <v>8089184000</v>
      </c>
      <c r="O1661">
        <v>10431327000</v>
      </c>
      <c r="P1661">
        <v>958707000</v>
      </c>
      <c r="Q1661">
        <v>858424000</v>
      </c>
      <c r="R1661">
        <v>817770000</v>
      </c>
      <c r="S1661">
        <v>1308776000</v>
      </c>
      <c r="T1661">
        <v>1964997000</v>
      </c>
      <c r="U1661">
        <v>-3029527000</v>
      </c>
      <c r="V1661">
        <f t="shared" si="62"/>
        <v>8585099000</v>
      </c>
      <c r="W1661">
        <f t="shared" si="63"/>
        <v>13177831000</v>
      </c>
    </row>
    <row r="1662" spans="1:23" x14ac:dyDescent="0.2">
      <c r="A1662">
        <f>IF(D1662="USD",VLOOKUP(VALUE(RIGHT(E1662,4)),'USD RUB'!$E:$F,2,FALSE),1)</f>
        <v>1</v>
      </c>
      <c r="B1662" s="4">
        <v>1</v>
      </c>
      <c r="C1662">
        <v>1000</v>
      </c>
      <c r="D1662" t="s">
        <v>20</v>
      </c>
      <c r="E1662" s="1" t="s">
        <v>1679</v>
      </c>
      <c r="F1662">
        <v>953812000</v>
      </c>
      <c r="G1662">
        <v>5828150000</v>
      </c>
      <c r="H1662">
        <v>1495240000</v>
      </c>
      <c r="I1662">
        <v>6102098000</v>
      </c>
      <c r="J1662">
        <v>16554285000</v>
      </c>
      <c r="K1662">
        <v>6068176000</v>
      </c>
      <c r="L1662">
        <v>2693020000</v>
      </c>
      <c r="M1662">
        <v>7285098000</v>
      </c>
      <c r="N1662">
        <v>7793089000</v>
      </c>
      <c r="O1662">
        <v>6625406000</v>
      </c>
      <c r="P1662">
        <v>673876000</v>
      </c>
      <c r="Q1662">
        <v>705621000</v>
      </c>
      <c r="R1662">
        <v>660579000</v>
      </c>
      <c r="S1662">
        <v>847388000</v>
      </c>
      <c r="T1662">
        <v>1338543000</v>
      </c>
      <c r="U1662">
        <v>-1765745000</v>
      </c>
      <c r="V1662">
        <f t="shared" si="62"/>
        <v>4926538000</v>
      </c>
      <c r="W1662">
        <f t="shared" si="63"/>
        <v>14395725000</v>
      </c>
    </row>
    <row r="1663" spans="1:23" x14ac:dyDescent="0.2">
      <c r="A1663">
        <f>IF(D1663="USD",VLOOKUP(VALUE(RIGHT(E1663,4)),'USD RUB'!$E:$F,2,FALSE),1)</f>
        <v>1</v>
      </c>
      <c r="B1663" s="4">
        <v>1</v>
      </c>
      <c r="C1663">
        <v>1000</v>
      </c>
      <c r="D1663" t="s">
        <v>20</v>
      </c>
      <c r="E1663" s="1" t="s">
        <v>1680</v>
      </c>
      <c r="F1663">
        <v>2733771000</v>
      </c>
      <c r="G1663">
        <v>7077290000</v>
      </c>
      <c r="H1663">
        <v>1217621000</v>
      </c>
      <c r="I1663">
        <v>5797421000</v>
      </c>
      <c r="J1663">
        <v>16790521000</v>
      </c>
      <c r="K1663">
        <v>5210853000</v>
      </c>
      <c r="L1663">
        <v>3176096000</v>
      </c>
      <c r="M1663">
        <v>7757020000</v>
      </c>
      <c r="N1663">
        <v>8403572000</v>
      </c>
      <c r="O1663">
        <v>3140261000</v>
      </c>
      <c r="P1663">
        <v>211416000</v>
      </c>
      <c r="Q1663">
        <v>231985000</v>
      </c>
      <c r="R1663">
        <v>183739000</v>
      </c>
      <c r="S1663">
        <v>363122000</v>
      </c>
      <c r="T1663">
        <v>457348000</v>
      </c>
      <c r="U1663">
        <v>-1182339000</v>
      </c>
      <c r="V1663">
        <f t="shared" si="62"/>
        <v>1852094000</v>
      </c>
      <c r="W1663">
        <f t="shared" si="63"/>
        <v>12547581000</v>
      </c>
    </row>
    <row r="1664" spans="1:23" x14ac:dyDescent="0.2">
      <c r="A1664">
        <f>IF(D1664="USD",VLOOKUP(VALUE(RIGHT(E1664,4)),'USD RUB'!$E:$F,2,FALSE),1)</f>
        <v>1</v>
      </c>
      <c r="B1664" s="4">
        <v>1</v>
      </c>
      <c r="C1664">
        <v>1000</v>
      </c>
      <c r="D1664" t="s">
        <v>20</v>
      </c>
      <c r="E1664" s="1" t="s">
        <v>1681</v>
      </c>
      <c r="F1664">
        <v>1358891000</v>
      </c>
      <c r="G1664">
        <v>9890598000</v>
      </c>
      <c r="H1664">
        <v>1015970000</v>
      </c>
      <c r="I1664">
        <v>5514662000</v>
      </c>
      <c r="J1664">
        <v>19172165000</v>
      </c>
      <c r="K1664">
        <v>7088326000</v>
      </c>
      <c r="L1664">
        <v>3919314000</v>
      </c>
      <c r="M1664">
        <v>7466783000</v>
      </c>
      <c r="N1664">
        <v>8164525000</v>
      </c>
      <c r="O1664">
        <v>17206135000</v>
      </c>
      <c r="P1664">
        <v>5517758000</v>
      </c>
      <c r="Q1664">
        <v>6012395000</v>
      </c>
      <c r="R1664">
        <v>6040730000</v>
      </c>
      <c r="S1664">
        <v>1325295000</v>
      </c>
      <c r="T1664">
        <v>6599261000</v>
      </c>
      <c r="U1664">
        <v>-4024580000</v>
      </c>
      <c r="V1664">
        <f t="shared" si="62"/>
        <v>9540560000</v>
      </c>
      <c r="W1664">
        <f t="shared" si="63"/>
        <v>12349619000</v>
      </c>
    </row>
    <row r="1665" spans="1:23" x14ac:dyDescent="0.2">
      <c r="A1665">
        <f>IF(D1665="USD",VLOOKUP(VALUE(RIGHT(E1665,4)),'USD RUB'!$E:$F,2,FALSE),1)</f>
        <v>1</v>
      </c>
      <c r="B1665" s="4">
        <v>1</v>
      </c>
      <c r="C1665">
        <v>1000</v>
      </c>
      <c r="D1665" t="s">
        <v>20</v>
      </c>
      <c r="E1665" s="1" t="s">
        <v>1682</v>
      </c>
      <c r="F1665">
        <v>1280393000</v>
      </c>
      <c r="G1665">
        <v>5865660000</v>
      </c>
      <c r="H1665">
        <v>785355000</v>
      </c>
      <c r="I1665">
        <v>4269070000</v>
      </c>
      <c r="J1665">
        <v>13177831000</v>
      </c>
      <c r="K1665">
        <v>4802405000</v>
      </c>
      <c r="L1665">
        <v>3426033000</v>
      </c>
      <c r="M1665">
        <v>4178574000</v>
      </c>
      <c r="N1665">
        <v>4949393000</v>
      </c>
      <c r="O1665">
        <v>8585099000</v>
      </c>
      <c r="P1665">
        <v>1597190000</v>
      </c>
      <c r="Q1665">
        <v>1952204000</v>
      </c>
      <c r="R1665">
        <v>2009562000</v>
      </c>
      <c r="S1665">
        <v>634944000</v>
      </c>
      <c r="T1665">
        <v>2030665000</v>
      </c>
      <c r="U1665">
        <v>-2514497000</v>
      </c>
      <c r="V1665">
        <f t="shared" si="62"/>
        <v>4671988000</v>
      </c>
      <c r="W1665">
        <f t="shared" si="63"/>
        <v>7148213000</v>
      </c>
    </row>
    <row r="1666" spans="1:23" x14ac:dyDescent="0.2">
      <c r="A1666">
        <f>IF(D1666="USD",VLOOKUP(VALUE(RIGHT(E1666,4)),'USD RUB'!$E:$F,2,FALSE),1)</f>
        <v>1</v>
      </c>
      <c r="B1666" s="4">
        <v>1</v>
      </c>
      <c r="C1666">
        <v>1000</v>
      </c>
      <c r="D1666" t="s">
        <v>20</v>
      </c>
      <c r="E1666" s="1" t="s">
        <v>1683</v>
      </c>
      <c r="F1666">
        <v>4238261000</v>
      </c>
      <c r="G1666">
        <v>7571468000</v>
      </c>
      <c r="H1666">
        <v>932637000</v>
      </c>
      <c r="I1666">
        <v>3879563000</v>
      </c>
      <c r="J1666">
        <v>14395725000</v>
      </c>
      <c r="K1666">
        <v>6375077000</v>
      </c>
      <c r="L1666">
        <v>3670460000</v>
      </c>
      <c r="M1666">
        <v>3843809000</v>
      </c>
      <c r="N1666">
        <v>4350188000</v>
      </c>
      <c r="O1666">
        <v>4926538000</v>
      </c>
      <c r="P1666">
        <v>810841000</v>
      </c>
      <c r="Q1666">
        <v>1122890000</v>
      </c>
      <c r="R1666">
        <v>1405708000</v>
      </c>
      <c r="S1666">
        <v>355775000</v>
      </c>
      <c r="T1666">
        <v>1049157000</v>
      </c>
      <c r="U1666">
        <v>-1237947000</v>
      </c>
      <c r="V1666">
        <f t="shared" si="62"/>
        <v>3110316000</v>
      </c>
      <c r="W1666">
        <f t="shared" si="63"/>
        <v>6488814000</v>
      </c>
    </row>
    <row r="1667" spans="1:23" x14ac:dyDescent="0.2">
      <c r="A1667">
        <f>IF(D1667="USD",VLOOKUP(VALUE(RIGHT(E1667,4)),'USD RUB'!$E:$F,2,FALSE),1)</f>
        <v>1</v>
      </c>
      <c r="B1667" s="4">
        <v>1</v>
      </c>
      <c r="C1667">
        <v>1000</v>
      </c>
      <c r="D1667" t="s">
        <v>20</v>
      </c>
      <c r="E1667" s="1" t="s">
        <v>1684</v>
      </c>
      <c r="F1667">
        <v>4985547000</v>
      </c>
      <c r="G1667">
        <v>7124588000</v>
      </c>
      <c r="H1667">
        <v>486342000</v>
      </c>
      <c r="I1667">
        <v>3244010000</v>
      </c>
      <c r="J1667">
        <v>12547581000</v>
      </c>
      <c r="K1667">
        <v>3976777000</v>
      </c>
      <c r="L1667">
        <v>3619664000</v>
      </c>
      <c r="M1667">
        <v>4442343000</v>
      </c>
      <c r="N1667">
        <v>4951140000</v>
      </c>
      <c r="O1667">
        <v>1852094000</v>
      </c>
      <c r="P1667">
        <v>-59974000</v>
      </c>
      <c r="Q1667">
        <v>204579000</v>
      </c>
      <c r="R1667">
        <v>202112000</v>
      </c>
      <c r="S1667">
        <v>139907000</v>
      </c>
      <c r="T1667">
        <v>24061000</v>
      </c>
      <c r="U1667">
        <v>-535313000</v>
      </c>
      <c r="V1667" t="str">
        <f t="shared" si="62"/>
        <v/>
      </c>
      <c r="W1667" t="str">
        <f t="shared" si="63"/>
        <v/>
      </c>
    </row>
    <row r="1668" spans="1:23" x14ac:dyDescent="0.2">
      <c r="A1668">
        <f>IF(D1668="USD",VLOOKUP(VALUE(RIGHT(E1668,4)),'USD RUB'!$E:$F,2,FALSE),1)</f>
        <v>1</v>
      </c>
      <c r="B1668" s="4">
        <v>1</v>
      </c>
      <c r="C1668">
        <v>1000</v>
      </c>
      <c r="D1668" t="s">
        <v>20</v>
      </c>
      <c r="E1668" s="1" t="s">
        <v>1685</v>
      </c>
      <c r="F1668">
        <v>2640062000</v>
      </c>
      <c r="G1668">
        <v>7461218000</v>
      </c>
      <c r="H1668">
        <v>467969000</v>
      </c>
      <c r="I1668">
        <v>2823252000</v>
      </c>
      <c r="J1668">
        <v>12349619000</v>
      </c>
      <c r="K1668">
        <v>4339298000</v>
      </c>
      <c r="L1668">
        <v>3251765000</v>
      </c>
      <c r="M1668">
        <v>4220950000</v>
      </c>
      <c r="N1668">
        <v>4758556000</v>
      </c>
      <c r="O1668">
        <v>9540560000</v>
      </c>
      <c r="P1668">
        <v>4088330000</v>
      </c>
      <c r="Q1668">
        <v>3561906000</v>
      </c>
      <c r="R1668">
        <v>3638324000</v>
      </c>
      <c r="S1668">
        <v>290536000</v>
      </c>
      <c r="T1668">
        <v>4154631000</v>
      </c>
      <c r="U1668">
        <v>-1302302000</v>
      </c>
      <c r="V1668">
        <f t="shared" si="62"/>
        <v>5394988000</v>
      </c>
      <c r="W1668">
        <f t="shared" si="63"/>
        <v>6099931000</v>
      </c>
    </row>
    <row r="1669" spans="1:23" x14ac:dyDescent="0.2">
      <c r="A1669">
        <f>IF(D1669="USD",VLOOKUP(VALUE(RIGHT(E1669,4)),'USD RUB'!$E:$F,2,FALSE),1)</f>
        <v>1</v>
      </c>
      <c r="B1669" s="4">
        <v>1</v>
      </c>
      <c r="C1669">
        <v>1000</v>
      </c>
      <c r="D1669" t="s">
        <v>20</v>
      </c>
      <c r="E1669" s="1" t="s">
        <v>1686</v>
      </c>
      <c r="F1669">
        <v>1466144000</v>
      </c>
      <c r="G1669">
        <v>3898485000</v>
      </c>
      <c r="H1669">
        <v>411464000</v>
      </c>
      <c r="I1669">
        <v>1324142000</v>
      </c>
      <c r="J1669">
        <v>7148213000</v>
      </c>
      <c r="K1669">
        <v>2484603000</v>
      </c>
      <c r="L1669">
        <v>3161955000</v>
      </c>
      <c r="M1669">
        <v>1533791000</v>
      </c>
      <c r="N1669">
        <v>1501655000</v>
      </c>
      <c r="O1669">
        <v>4671988000</v>
      </c>
      <c r="P1669">
        <v>1227806000</v>
      </c>
      <c r="Q1669">
        <v>1436978000</v>
      </c>
      <c r="R1669">
        <v>1335110000</v>
      </c>
      <c r="S1669">
        <v>176389000</v>
      </c>
      <c r="T1669">
        <v>1236771000</v>
      </c>
      <c r="U1669">
        <v>-713288000</v>
      </c>
      <c r="V1669" t="str">
        <f t="shared" si="62"/>
        <v/>
      </c>
      <c r="W1669" t="str">
        <f t="shared" si="63"/>
        <v/>
      </c>
    </row>
    <row r="1670" spans="1:23" x14ac:dyDescent="0.2">
      <c r="A1670">
        <f>IF(D1670="USD",VLOOKUP(VALUE(RIGHT(E1670,4)),'USD RUB'!$E:$F,2,FALSE),1)</f>
        <v>1</v>
      </c>
      <c r="B1670" s="4">
        <v>1</v>
      </c>
      <c r="C1670">
        <v>1000</v>
      </c>
      <c r="D1670" t="s">
        <v>20</v>
      </c>
      <c r="E1670" s="1" t="s">
        <v>1687</v>
      </c>
      <c r="F1670">
        <v>1465507000</v>
      </c>
      <c r="G1670">
        <v>3715986000</v>
      </c>
      <c r="H1670">
        <v>345033000</v>
      </c>
      <c r="I1670">
        <v>1084718000</v>
      </c>
      <c r="J1670">
        <v>6488814000</v>
      </c>
      <c r="K1670">
        <v>2830902000</v>
      </c>
      <c r="L1670">
        <v>2032303000</v>
      </c>
      <c r="M1670">
        <v>1615609000</v>
      </c>
      <c r="N1670">
        <v>1625609000</v>
      </c>
      <c r="O1670">
        <v>3110316000</v>
      </c>
      <c r="P1670">
        <v>1091232000</v>
      </c>
      <c r="Q1670">
        <v>1160453000</v>
      </c>
      <c r="R1670">
        <v>1162881000</v>
      </c>
      <c r="S1670">
        <v>105541000</v>
      </c>
      <c r="T1670">
        <v>1031267000</v>
      </c>
      <c r="U1670">
        <v>-363935000</v>
      </c>
      <c r="V1670" t="str">
        <f t="shared" si="62"/>
        <v/>
      </c>
      <c r="W1670" t="str">
        <f t="shared" si="63"/>
        <v/>
      </c>
    </row>
    <row r="1671" spans="1:23" x14ac:dyDescent="0.2">
      <c r="A1671">
        <f>IF(D1671="USD",VLOOKUP(VALUE(RIGHT(E1671,4)),'USD RUB'!$E:$F,2,FALSE),1)</f>
        <v>1</v>
      </c>
      <c r="B1671" s="4">
        <v>1</v>
      </c>
      <c r="C1671">
        <v>1000</v>
      </c>
      <c r="D1671" t="s">
        <v>20</v>
      </c>
      <c r="E1671" s="1" t="s">
        <v>1688</v>
      </c>
      <c r="F1671">
        <v>697516000</v>
      </c>
      <c r="G1671">
        <v>4184273000</v>
      </c>
      <c r="H1671">
        <v>218108000</v>
      </c>
      <c r="I1671">
        <v>925390000</v>
      </c>
      <c r="J1671">
        <v>6099931000</v>
      </c>
      <c r="K1671">
        <v>3346721000</v>
      </c>
      <c r="L1671">
        <v>1290408000</v>
      </c>
      <c r="M1671">
        <v>1452802000</v>
      </c>
      <c r="N1671">
        <v>1462802000</v>
      </c>
      <c r="O1671">
        <v>5394988000</v>
      </c>
      <c r="P1671">
        <v>2796687000</v>
      </c>
      <c r="Q1671">
        <v>3102707000</v>
      </c>
      <c r="R1671">
        <v>3074043000</v>
      </c>
      <c r="S1671">
        <v>211031000</v>
      </c>
      <c r="T1671">
        <v>2887106000</v>
      </c>
      <c r="U1671">
        <v>-640881000</v>
      </c>
      <c r="V1671">
        <f t="shared" si="62"/>
        <v>2159121000</v>
      </c>
      <c r="W1671">
        <f t="shared" si="63"/>
        <v>2146685000</v>
      </c>
    </row>
    <row r="1672" spans="1:23" x14ac:dyDescent="0.2">
      <c r="A1672">
        <f>IF(D1672="USD",VLOOKUP(VALUE(RIGHT(E1672,4)),'USD RUB'!$E:$F,2,FALSE),1)</f>
        <v>1</v>
      </c>
      <c r="B1672" s="4">
        <v>1</v>
      </c>
      <c r="C1672">
        <v>1000</v>
      </c>
      <c r="D1672" t="s">
        <v>20</v>
      </c>
      <c r="E1672" s="1" t="s">
        <v>1689</v>
      </c>
      <c r="F1672">
        <v>116308000</v>
      </c>
      <c r="G1672">
        <v>1191692000</v>
      </c>
      <c r="H1672">
        <v>81241000</v>
      </c>
      <c r="I1672">
        <v>383741000</v>
      </c>
      <c r="J1672">
        <v>2146685000</v>
      </c>
      <c r="K1672">
        <v>1329511000</v>
      </c>
      <c r="L1672">
        <v>692311000</v>
      </c>
      <c r="M1672">
        <v>86670000</v>
      </c>
      <c r="N1672">
        <v>124863000</v>
      </c>
      <c r="O1672">
        <v>2159121000</v>
      </c>
      <c r="P1672">
        <v>1032008000</v>
      </c>
      <c r="Q1672">
        <v>1110011000</v>
      </c>
      <c r="R1672">
        <v>1079408000</v>
      </c>
      <c r="S1672">
        <v>125377000</v>
      </c>
      <c r="T1672">
        <v>1082050000</v>
      </c>
      <c r="U1672">
        <v>-293959000</v>
      </c>
      <c r="V1672" t="str">
        <f t="shared" si="62"/>
        <v/>
      </c>
      <c r="W1672" t="str">
        <f t="shared" si="63"/>
        <v/>
      </c>
    </row>
    <row r="1673" spans="1:23" x14ac:dyDescent="0.2">
      <c r="A1673">
        <f>IF(D1673="USD",VLOOKUP(VALUE(RIGHT(E1673,4)),'USD RUB'!$E:$F,2,FALSE),1)</f>
        <v>1</v>
      </c>
      <c r="B1673" s="4">
        <v>1</v>
      </c>
      <c r="C1673">
        <v>1000</v>
      </c>
      <c r="D1673" t="s">
        <v>20</v>
      </c>
      <c r="E1673" s="1" t="s">
        <v>1690</v>
      </c>
      <c r="F1673">
        <v>1626779000</v>
      </c>
      <c r="G1673">
        <v>4961358000</v>
      </c>
      <c r="H1673">
        <v>378698000</v>
      </c>
      <c r="I1673">
        <v>1730696000</v>
      </c>
      <c r="J1673">
        <v>7339525000</v>
      </c>
      <c r="K1673">
        <v>1550271000</v>
      </c>
      <c r="L1673">
        <v>253160000</v>
      </c>
      <c r="M1673">
        <v>4820094000</v>
      </c>
      <c r="N1673">
        <v>5536094000</v>
      </c>
      <c r="O1673">
        <v>6302750000</v>
      </c>
      <c r="P1673">
        <v>2451784000</v>
      </c>
      <c r="Q1673">
        <v>2287188000</v>
      </c>
      <c r="R1673">
        <v>2218819000</v>
      </c>
      <c r="S1673">
        <v>1188803000</v>
      </c>
      <c r="U1673">
        <v>-1559384000</v>
      </c>
      <c r="V1673" t="str">
        <f t="shared" si="62"/>
        <v/>
      </c>
      <c r="W1673" t="str">
        <f t="shared" si="63"/>
        <v/>
      </c>
    </row>
    <row r="1674" spans="1:23" x14ac:dyDescent="0.2">
      <c r="A1674">
        <f>IF(D1674="USD",VLOOKUP(VALUE(RIGHT(E1674,4)),'USD RUB'!$E:$F,2,FALSE),1)</f>
        <v>1</v>
      </c>
      <c r="B1674" s="4">
        <v>1</v>
      </c>
      <c r="C1674">
        <v>1000</v>
      </c>
      <c r="D1674" t="s">
        <v>20</v>
      </c>
      <c r="E1674" s="1" t="s">
        <v>1691</v>
      </c>
      <c r="F1674">
        <v>450916000</v>
      </c>
      <c r="G1674">
        <v>4113650000</v>
      </c>
      <c r="H1674">
        <v>287099000</v>
      </c>
      <c r="I1674">
        <v>1550135000</v>
      </c>
      <c r="J1674">
        <v>6200388000</v>
      </c>
      <c r="K1674">
        <v>1222567000</v>
      </c>
      <c r="L1674">
        <v>249680000</v>
      </c>
      <c r="M1674">
        <v>4012141000</v>
      </c>
      <c r="N1674">
        <v>4728141000</v>
      </c>
      <c r="O1674">
        <v>3464954000</v>
      </c>
      <c r="P1674">
        <v>952816000</v>
      </c>
      <c r="Q1674">
        <v>1073155000</v>
      </c>
      <c r="R1674">
        <v>1018252000</v>
      </c>
      <c r="S1674">
        <v>870414000</v>
      </c>
      <c r="U1674">
        <v>-1040066000</v>
      </c>
      <c r="V1674" t="str">
        <f t="shared" si="62"/>
        <v/>
      </c>
      <c r="W1674" t="str">
        <f t="shared" si="63"/>
        <v/>
      </c>
    </row>
    <row r="1675" spans="1:23" x14ac:dyDescent="0.2">
      <c r="A1675">
        <f>IF(D1675="USD",VLOOKUP(VALUE(RIGHT(E1675,4)),'USD RUB'!$E:$F,2,FALSE),1)</f>
        <v>1</v>
      </c>
      <c r="B1675" s="4">
        <v>1</v>
      </c>
      <c r="C1675">
        <v>1000</v>
      </c>
      <c r="D1675" t="s">
        <v>20</v>
      </c>
      <c r="E1675" s="1" t="s">
        <v>1692</v>
      </c>
      <c r="F1675">
        <v>552000000</v>
      </c>
      <c r="G1675">
        <v>3891130000</v>
      </c>
      <c r="H1675">
        <v>238020000</v>
      </c>
      <c r="I1675">
        <v>1413716000</v>
      </c>
      <c r="J1675">
        <v>5753949000</v>
      </c>
      <c r="K1675">
        <v>1099131000</v>
      </c>
      <c r="L1675">
        <v>245590000</v>
      </c>
      <c r="M1675">
        <v>3693228000</v>
      </c>
      <c r="N1675">
        <v>4409228000</v>
      </c>
      <c r="O1675">
        <v>1944045000</v>
      </c>
      <c r="P1675">
        <v>359970000</v>
      </c>
      <c r="Q1675">
        <v>455928000</v>
      </c>
      <c r="R1675">
        <v>437330000</v>
      </c>
      <c r="S1675">
        <v>568691000</v>
      </c>
      <c r="U1675">
        <v>-628343000</v>
      </c>
      <c r="V1675" t="str">
        <f t="shared" si="62"/>
        <v/>
      </c>
      <c r="W1675" t="str">
        <f t="shared" si="63"/>
        <v/>
      </c>
    </row>
    <row r="1676" spans="1:23" x14ac:dyDescent="0.2">
      <c r="A1676">
        <f>IF(D1676="USD",VLOOKUP(VALUE(RIGHT(E1676,4)),'USD RUB'!$E:$F,2,FALSE),1)</f>
        <v>1</v>
      </c>
      <c r="B1676" s="4">
        <v>1</v>
      </c>
      <c r="C1676">
        <v>1000000</v>
      </c>
      <c r="D1676" t="s">
        <v>20</v>
      </c>
      <c r="E1676" s="1" t="s">
        <v>1693</v>
      </c>
      <c r="F1676">
        <v>5186000000</v>
      </c>
      <c r="G1676">
        <v>12380000000</v>
      </c>
      <c r="H1676">
        <v>85000000</v>
      </c>
      <c r="I1676">
        <v>2205000000</v>
      </c>
      <c r="J1676">
        <v>14914000000</v>
      </c>
      <c r="K1676">
        <v>3694000000</v>
      </c>
      <c r="L1676">
        <v>224000000</v>
      </c>
      <c r="M1676">
        <v>1670000000</v>
      </c>
      <c r="N1676">
        <v>10996000000</v>
      </c>
      <c r="O1676">
        <v>6906000000</v>
      </c>
      <c r="P1676">
        <v>1189000000</v>
      </c>
      <c r="Q1676">
        <v>1530000000</v>
      </c>
      <c r="R1676">
        <v>1007000000</v>
      </c>
      <c r="S1676">
        <v>191000000</v>
      </c>
      <c r="T1676">
        <v>1618000000</v>
      </c>
      <c r="U1676">
        <v>-69000000</v>
      </c>
      <c r="V1676" t="str">
        <f t="shared" si="62"/>
        <v/>
      </c>
      <c r="W1676" t="str">
        <f t="shared" si="63"/>
        <v/>
      </c>
    </row>
    <row r="1677" spans="1:23" x14ac:dyDescent="0.2">
      <c r="A1677">
        <f>IF(D1677="USD",VLOOKUP(VALUE(RIGHT(E1677,4)),'USD RUB'!$E:$F,2,FALSE),1)</f>
        <v>1</v>
      </c>
      <c r="B1677" s="4">
        <v>1</v>
      </c>
      <c r="C1677">
        <v>1000000</v>
      </c>
      <c r="D1677" t="s">
        <v>20</v>
      </c>
      <c r="E1677" s="1" t="s">
        <v>1694</v>
      </c>
      <c r="F1677">
        <v>9220000000</v>
      </c>
      <c r="G1677">
        <v>10258000000</v>
      </c>
      <c r="H1677">
        <v>85000000</v>
      </c>
      <c r="I1677">
        <v>2304000000</v>
      </c>
      <c r="J1677">
        <v>13045000000</v>
      </c>
      <c r="K1677">
        <v>2791000000</v>
      </c>
      <c r="L1677">
        <v>245000000</v>
      </c>
      <c r="M1677">
        <v>551000000</v>
      </c>
      <c r="N1677">
        <v>10009000000</v>
      </c>
      <c r="O1677">
        <v>12987000000</v>
      </c>
      <c r="P1677">
        <v>2228000000</v>
      </c>
      <c r="Q1677">
        <v>3307000000</v>
      </c>
      <c r="R1677">
        <v>2464000000</v>
      </c>
      <c r="S1677">
        <v>356000000</v>
      </c>
      <c r="T1677">
        <v>3207000000</v>
      </c>
      <c r="U1677">
        <v>-159000000</v>
      </c>
      <c r="V1677">
        <f t="shared" si="62"/>
        <v>11571000000</v>
      </c>
      <c r="W1677">
        <f t="shared" si="63"/>
        <v>10294000000</v>
      </c>
    </row>
    <row r="1678" spans="1:23" x14ac:dyDescent="0.2">
      <c r="A1678">
        <f>IF(D1678="USD",VLOOKUP(VALUE(RIGHT(E1678,4)),'USD RUB'!$E:$F,2,FALSE),1)</f>
        <v>1</v>
      </c>
      <c r="B1678" s="4">
        <v>1</v>
      </c>
      <c r="C1678">
        <v>1000000</v>
      </c>
      <c r="D1678" t="s">
        <v>20</v>
      </c>
      <c r="E1678" s="1" t="s">
        <v>1695</v>
      </c>
      <c r="F1678">
        <v>6434000000</v>
      </c>
      <c r="G1678">
        <v>7500000000</v>
      </c>
      <c r="H1678">
        <v>73000000</v>
      </c>
      <c r="I1678">
        <v>2474000000</v>
      </c>
      <c r="J1678">
        <v>10294000000</v>
      </c>
      <c r="K1678">
        <v>2892000000</v>
      </c>
      <c r="L1678">
        <v>227000000</v>
      </c>
      <c r="M1678">
        <v>-1152000000</v>
      </c>
      <c r="N1678">
        <v>7175000000</v>
      </c>
      <c r="O1678">
        <v>11571000000</v>
      </c>
      <c r="P1678">
        <v>1817000000</v>
      </c>
      <c r="Q1678">
        <v>2334000000</v>
      </c>
      <c r="R1678">
        <v>1691000000</v>
      </c>
      <c r="S1678">
        <v>276000000</v>
      </c>
      <c r="T1678">
        <v>2778000000</v>
      </c>
      <c r="U1678">
        <v>-134000000</v>
      </c>
      <c r="V1678" t="str">
        <f t="shared" si="62"/>
        <v/>
      </c>
      <c r="W1678" t="str">
        <f t="shared" si="63"/>
        <v/>
      </c>
    </row>
    <row r="1679" spans="1:23" x14ac:dyDescent="0.2">
      <c r="A1679">
        <f>IF(D1679="USD",VLOOKUP(VALUE(RIGHT(E1679,4)),'USD RUB'!$E:$F,2,FALSE),1)</f>
        <v>1</v>
      </c>
      <c r="B1679" s="4">
        <v>1</v>
      </c>
      <c r="C1679">
        <v>1000</v>
      </c>
      <c r="D1679" t="s">
        <v>20</v>
      </c>
      <c r="E1679" s="1" t="s">
        <v>1696</v>
      </c>
      <c r="F1679">
        <v>695977000</v>
      </c>
      <c r="G1679">
        <v>1815010000</v>
      </c>
      <c r="H1679">
        <v>78598000</v>
      </c>
      <c r="I1679">
        <v>387623000</v>
      </c>
      <c r="J1679">
        <v>2859276000</v>
      </c>
      <c r="K1679">
        <v>1654228000</v>
      </c>
      <c r="L1679">
        <v>417753000</v>
      </c>
      <c r="M1679">
        <v>546022000</v>
      </c>
      <c r="N1679">
        <v>787295000</v>
      </c>
      <c r="O1679">
        <v>1356426000</v>
      </c>
      <c r="P1679">
        <v>-1254507000</v>
      </c>
      <c r="Q1679">
        <v>-997879000</v>
      </c>
      <c r="R1679">
        <v>-920044000</v>
      </c>
      <c r="S1679">
        <v>63754000</v>
      </c>
      <c r="U1679">
        <v>-186912000</v>
      </c>
      <c r="V1679">
        <f t="shared" si="62"/>
        <v>2328621000</v>
      </c>
      <c r="W1679">
        <f t="shared" si="63"/>
        <v>2615654000</v>
      </c>
    </row>
    <row r="1680" spans="1:23" x14ac:dyDescent="0.2">
      <c r="A1680">
        <f>IF(D1680="USD",VLOOKUP(VALUE(RIGHT(E1680,4)),'USD RUB'!$E:$F,2,FALSE),1)</f>
        <v>1</v>
      </c>
      <c r="B1680" s="4">
        <v>1</v>
      </c>
      <c r="C1680">
        <v>1000</v>
      </c>
      <c r="D1680" t="s">
        <v>20</v>
      </c>
      <c r="E1680" s="1" t="s">
        <v>1697</v>
      </c>
      <c r="F1680">
        <v>1365937000</v>
      </c>
      <c r="G1680">
        <v>3910717000</v>
      </c>
      <c r="H1680">
        <v>73086000</v>
      </c>
      <c r="I1680">
        <v>109134000</v>
      </c>
      <c r="J1680">
        <v>4433421000</v>
      </c>
      <c r="K1680">
        <v>1510347000</v>
      </c>
      <c r="L1680">
        <v>538637000</v>
      </c>
      <c r="M1680">
        <v>2075628000</v>
      </c>
      <c r="N1680">
        <v>2384437000</v>
      </c>
      <c r="O1680">
        <v>6014692000</v>
      </c>
      <c r="P1680">
        <v>1831379000</v>
      </c>
      <c r="Q1680">
        <v>1850047000</v>
      </c>
      <c r="R1680">
        <v>1938422000</v>
      </c>
      <c r="S1680">
        <v>102735000</v>
      </c>
      <c r="U1680">
        <v>-66328000</v>
      </c>
      <c r="V1680">
        <f t="shared" si="62"/>
        <v>3950686000</v>
      </c>
      <c r="W1680">
        <f t="shared" si="63"/>
        <v>3356172000</v>
      </c>
    </row>
    <row r="1681" spans="1:23" x14ac:dyDescent="0.2">
      <c r="A1681">
        <f>IF(D1681="USD",VLOOKUP(VALUE(RIGHT(E1681,4)),'USD RUB'!$E:$F,2,FALSE),1)</f>
        <v>1</v>
      </c>
      <c r="B1681" s="4">
        <v>1</v>
      </c>
      <c r="C1681">
        <v>1000</v>
      </c>
      <c r="D1681" t="s">
        <v>20</v>
      </c>
      <c r="E1681" s="1" t="s">
        <v>1698</v>
      </c>
      <c r="F1681">
        <v>150322000</v>
      </c>
      <c r="G1681">
        <v>2029373000</v>
      </c>
      <c r="H1681">
        <v>61403000</v>
      </c>
      <c r="I1681">
        <v>127010000</v>
      </c>
      <c r="J1681">
        <v>2615654000</v>
      </c>
      <c r="K1681">
        <v>1183778000</v>
      </c>
      <c r="L1681">
        <v>472040000</v>
      </c>
      <c r="M1681">
        <v>729183000</v>
      </c>
      <c r="N1681">
        <v>959836000</v>
      </c>
      <c r="O1681">
        <v>2328621000</v>
      </c>
      <c r="P1681">
        <v>554180000</v>
      </c>
      <c r="Q1681">
        <v>608091000</v>
      </c>
      <c r="R1681">
        <v>608029000</v>
      </c>
      <c r="S1681">
        <v>47039000</v>
      </c>
      <c r="U1681">
        <v>-27537000</v>
      </c>
      <c r="V1681">
        <f t="shared" si="62"/>
        <v>1030501000</v>
      </c>
      <c r="W1681">
        <f t="shared" si="63"/>
        <v>0</v>
      </c>
    </row>
    <row r="1682" spans="1:23" x14ac:dyDescent="0.2">
      <c r="A1682">
        <f>IF(D1682="USD",VLOOKUP(VALUE(RIGHT(E1682,4)),'USD RUB'!$E:$F,2,FALSE),1)</f>
        <v>1</v>
      </c>
      <c r="B1682" s="4">
        <v>1</v>
      </c>
      <c r="C1682">
        <v>1000</v>
      </c>
      <c r="D1682" t="s">
        <v>20</v>
      </c>
      <c r="E1682" s="1" t="s">
        <v>1699</v>
      </c>
      <c r="F1682">
        <v>1251248000</v>
      </c>
      <c r="G1682">
        <v>3029096000</v>
      </c>
      <c r="H1682">
        <v>53997000</v>
      </c>
      <c r="I1682">
        <v>143861000</v>
      </c>
      <c r="J1682">
        <v>3356172000</v>
      </c>
      <c r="K1682">
        <v>1087225000</v>
      </c>
      <c r="L1682">
        <v>460066000</v>
      </c>
      <c r="M1682">
        <v>1576111000</v>
      </c>
      <c r="N1682">
        <v>1808881000</v>
      </c>
      <c r="O1682">
        <v>3950686000</v>
      </c>
      <c r="P1682">
        <v>1594831000</v>
      </c>
      <c r="Q1682">
        <v>1466126000</v>
      </c>
      <c r="R1682">
        <v>1456433000</v>
      </c>
      <c r="S1682">
        <v>67030000</v>
      </c>
      <c r="U1682">
        <v>-144297000</v>
      </c>
      <c r="V1682" t="str">
        <f t="shared" si="62"/>
        <v/>
      </c>
      <c r="W1682" t="str">
        <f t="shared" si="63"/>
        <v/>
      </c>
    </row>
    <row r="1683" spans="1:23" x14ac:dyDescent="0.2">
      <c r="A1683">
        <f>IF(D1683="USD",VLOOKUP(VALUE(RIGHT(E1683,4)),'USD RUB'!$E:$F,2,FALSE),1)</f>
        <v>1</v>
      </c>
      <c r="B1683" s="4">
        <v>1</v>
      </c>
      <c r="C1683">
        <v>1000</v>
      </c>
      <c r="D1683" t="s">
        <v>20</v>
      </c>
      <c r="E1683" s="1" t="s">
        <v>1700</v>
      </c>
      <c r="O1683">
        <v>1030501000</v>
      </c>
      <c r="P1683">
        <v>-65875000</v>
      </c>
      <c r="Q1683">
        <v>-75787000</v>
      </c>
      <c r="R1683">
        <v>-75286000</v>
      </c>
      <c r="S1683">
        <v>29730000</v>
      </c>
      <c r="U1683">
        <v>-51335000</v>
      </c>
      <c r="V1683" t="str">
        <f t="shared" si="62"/>
        <v/>
      </c>
      <c r="W1683" t="str">
        <f t="shared" si="63"/>
        <v/>
      </c>
    </row>
    <row r="1684" spans="1:23" x14ac:dyDescent="0.2">
      <c r="A1684">
        <f>IF(D1684="USD",VLOOKUP(VALUE(RIGHT(E1684,4)),'USD RUB'!$E:$F,2,FALSE),1)</f>
        <v>1</v>
      </c>
      <c r="B1684" s="4">
        <v>1</v>
      </c>
      <c r="C1684">
        <v>1000</v>
      </c>
      <c r="D1684" t="s">
        <v>20</v>
      </c>
      <c r="E1684" s="1" t="s">
        <v>1701</v>
      </c>
      <c r="F1684">
        <v>14501243000</v>
      </c>
      <c r="G1684">
        <v>15537710000</v>
      </c>
      <c r="H1684">
        <v>2153761000</v>
      </c>
      <c r="I1684">
        <v>13643640000</v>
      </c>
      <c r="J1684">
        <v>34882549000</v>
      </c>
      <c r="K1684">
        <v>19032748000</v>
      </c>
      <c r="L1684">
        <v>2702254000</v>
      </c>
      <c r="M1684">
        <v>1777983000</v>
      </c>
      <c r="N1684">
        <v>13147547000</v>
      </c>
      <c r="O1684">
        <v>41203402000</v>
      </c>
      <c r="Q1684">
        <v>19996663000</v>
      </c>
      <c r="R1684">
        <v>17989497000</v>
      </c>
      <c r="S1684">
        <v>1651180000</v>
      </c>
      <c r="T1684">
        <v>20348170000</v>
      </c>
      <c r="U1684">
        <v>-1587973000</v>
      </c>
      <c r="V1684">
        <f t="shared" si="62"/>
        <v>39618860000</v>
      </c>
      <c r="W1684">
        <f t="shared" si="63"/>
        <v>24493775000</v>
      </c>
    </row>
    <row r="1685" spans="1:23" x14ac:dyDescent="0.2">
      <c r="A1685">
        <f>IF(D1685="USD",VLOOKUP(VALUE(RIGHT(E1685,4)),'USD RUB'!$E:$F,2,FALSE),1)</f>
        <v>1</v>
      </c>
      <c r="B1685" s="4">
        <v>1</v>
      </c>
      <c r="C1685">
        <v>1000</v>
      </c>
      <c r="D1685" t="s">
        <v>20</v>
      </c>
      <c r="E1685" s="1" t="s">
        <v>1702</v>
      </c>
      <c r="F1685">
        <v>17407327000</v>
      </c>
      <c r="G1685">
        <v>18458548000</v>
      </c>
      <c r="H1685">
        <v>1505012000</v>
      </c>
      <c r="I1685">
        <v>13805220000</v>
      </c>
      <c r="J1685">
        <v>36898105000</v>
      </c>
      <c r="K1685">
        <v>25527626000</v>
      </c>
      <c r="L1685">
        <v>2321341000</v>
      </c>
      <c r="M1685">
        <v>-1452631000</v>
      </c>
      <c r="N1685">
        <v>9049138000</v>
      </c>
      <c r="O1685">
        <v>30732324000</v>
      </c>
      <c r="Q1685">
        <v>14940411000</v>
      </c>
      <c r="R1685">
        <v>13357521000</v>
      </c>
      <c r="S1685">
        <v>1222275000</v>
      </c>
      <c r="T1685">
        <v>15068919000</v>
      </c>
      <c r="U1685">
        <v>-822541000</v>
      </c>
      <c r="V1685">
        <f t="shared" si="62"/>
        <v>29186365000</v>
      </c>
      <c r="W1685">
        <f t="shared" si="63"/>
        <v>52217819000</v>
      </c>
    </row>
    <row r="1686" spans="1:23" x14ac:dyDescent="0.2">
      <c r="A1686">
        <f>IF(D1686="USD",VLOOKUP(VALUE(RIGHT(E1686,4)),'USD RUB'!$E:$F,2,FALSE),1)</f>
        <v>1</v>
      </c>
      <c r="B1686" s="4">
        <v>1</v>
      </c>
      <c r="C1686">
        <v>1000</v>
      </c>
      <c r="D1686" t="s">
        <v>20</v>
      </c>
      <c r="E1686" s="1" t="s">
        <v>1703</v>
      </c>
      <c r="F1686">
        <v>12806290000</v>
      </c>
      <c r="G1686">
        <v>13795607000</v>
      </c>
      <c r="H1686">
        <v>1057896000</v>
      </c>
      <c r="I1686">
        <v>13978177000</v>
      </c>
      <c r="J1686">
        <v>31717579000</v>
      </c>
      <c r="K1686">
        <v>15916413000</v>
      </c>
      <c r="L1686">
        <v>2357276000</v>
      </c>
      <c r="M1686">
        <v>3078704000</v>
      </c>
      <c r="N1686">
        <v>13443890000</v>
      </c>
      <c r="O1686">
        <v>19787720000</v>
      </c>
      <c r="Q1686">
        <v>8578483000</v>
      </c>
      <c r="R1686">
        <v>7611436000</v>
      </c>
      <c r="S1686">
        <v>809591000</v>
      </c>
      <c r="T1686">
        <v>10268621000</v>
      </c>
      <c r="U1686">
        <v>-308685000</v>
      </c>
      <c r="V1686">
        <f t="shared" si="62"/>
        <v>18449332000</v>
      </c>
      <c r="W1686">
        <f t="shared" si="63"/>
        <v>41069981000</v>
      </c>
    </row>
    <row r="1687" spans="1:23" x14ac:dyDescent="0.2">
      <c r="A1687">
        <f>IF(D1687="USD",VLOOKUP(VALUE(RIGHT(E1687,4)),'USD RUB'!$E:$F,2,FALSE),1)</f>
        <v>1</v>
      </c>
      <c r="B1687" s="4">
        <v>1</v>
      </c>
      <c r="C1687">
        <v>1000</v>
      </c>
      <c r="D1687" t="s">
        <v>20</v>
      </c>
      <c r="E1687" s="1" t="s">
        <v>1704</v>
      </c>
      <c r="F1687">
        <v>9870646000</v>
      </c>
      <c r="G1687">
        <v>10775823000</v>
      </c>
      <c r="H1687">
        <v>1005265000</v>
      </c>
      <c r="I1687">
        <v>14169706000</v>
      </c>
      <c r="J1687">
        <v>28980799000</v>
      </c>
      <c r="K1687">
        <v>17836464000</v>
      </c>
      <c r="L1687">
        <v>2419338000</v>
      </c>
      <c r="M1687">
        <v>-447997000</v>
      </c>
      <c r="N1687">
        <v>8724997000</v>
      </c>
      <c r="O1687">
        <v>9639101000</v>
      </c>
      <c r="Q1687">
        <v>3873506000</v>
      </c>
      <c r="R1687">
        <v>3427533000</v>
      </c>
      <c r="S1687">
        <v>399440000</v>
      </c>
      <c r="T1687">
        <v>4085842000</v>
      </c>
      <c r="U1687">
        <v>-175547000</v>
      </c>
      <c r="V1687" t="str">
        <f t="shared" si="62"/>
        <v/>
      </c>
      <c r="W1687" t="str">
        <f t="shared" si="63"/>
        <v/>
      </c>
    </row>
    <row r="1688" spans="1:23" x14ac:dyDescent="0.2">
      <c r="A1688">
        <f>IF(D1688="USD",VLOOKUP(VALUE(RIGHT(E1688,4)),'USD RUB'!$E:$F,2,FALSE),1)</f>
        <v>1</v>
      </c>
      <c r="B1688" s="4">
        <v>1</v>
      </c>
      <c r="C1688">
        <v>1000</v>
      </c>
      <c r="D1688" t="s">
        <v>20</v>
      </c>
      <c r="E1688" s="1" t="s">
        <v>1705</v>
      </c>
      <c r="F1688">
        <v>5435959000</v>
      </c>
      <c r="G1688">
        <v>6234432000</v>
      </c>
      <c r="H1688">
        <v>930126000</v>
      </c>
      <c r="I1688">
        <v>14394290000</v>
      </c>
      <c r="J1688">
        <v>24493775000</v>
      </c>
      <c r="K1688">
        <v>17305532000</v>
      </c>
      <c r="L1688">
        <v>2521101000</v>
      </c>
      <c r="M1688">
        <v>-3326601000</v>
      </c>
      <c r="N1688">
        <v>4667142000</v>
      </c>
      <c r="O1688">
        <v>39618860000</v>
      </c>
      <c r="Q1688">
        <v>24480090000</v>
      </c>
      <c r="R1688">
        <v>23881807000</v>
      </c>
      <c r="S1688">
        <v>1258961000</v>
      </c>
      <c r="T1688">
        <v>23334523000</v>
      </c>
      <c r="U1688">
        <v>-591999000</v>
      </c>
      <c r="V1688">
        <f t="shared" si="62"/>
        <v>29449103000</v>
      </c>
      <c r="W1688">
        <f t="shared" si="63"/>
        <v>36745321000</v>
      </c>
    </row>
    <row r="1689" spans="1:23" x14ac:dyDescent="0.2">
      <c r="A1689">
        <f>IF(D1689="USD",VLOOKUP(VALUE(RIGHT(E1689,4)),'USD RUB'!$E:$F,2,FALSE),1)</f>
        <v>1</v>
      </c>
      <c r="B1689" s="4">
        <v>1</v>
      </c>
      <c r="C1689">
        <v>1000</v>
      </c>
      <c r="D1689" t="s">
        <v>20</v>
      </c>
      <c r="E1689" s="1" t="s">
        <v>1706</v>
      </c>
      <c r="F1689">
        <v>36209395000</v>
      </c>
      <c r="G1689">
        <v>36992422000</v>
      </c>
      <c r="H1689">
        <v>688896000</v>
      </c>
      <c r="I1689">
        <v>11516390000</v>
      </c>
      <c r="J1689">
        <v>52217819000</v>
      </c>
      <c r="K1689">
        <v>12888189000</v>
      </c>
      <c r="L1689">
        <v>2316713000</v>
      </c>
      <c r="M1689">
        <v>30428068000</v>
      </c>
      <c r="N1689">
        <v>37012917000</v>
      </c>
      <c r="O1689">
        <v>29186365000</v>
      </c>
      <c r="Q1689">
        <v>17294524000</v>
      </c>
      <c r="R1689">
        <v>16890902000</v>
      </c>
      <c r="S1689">
        <v>934750000</v>
      </c>
      <c r="T1689">
        <v>17688191000</v>
      </c>
      <c r="U1689">
        <v>-313918000</v>
      </c>
      <c r="V1689" t="str">
        <f t="shared" ref="V1689:V1752" si="64">_xlfn.XLOOKUP(LEFT(E1689,LEN(E1689)-4)&amp;(VALUE(RIGHT(E1689,4))-1),$E:$E,$O:$O,"")</f>
        <v/>
      </c>
      <c r="W1689" t="str">
        <f t="shared" ref="W1689:W1752" si="65">_xlfn.XLOOKUP(LEFT(E1689,LEN(E1689)-4)&amp;(VALUE(RIGHT(E1689,4))-1),$E:$E,$J:$J,"")</f>
        <v/>
      </c>
    </row>
    <row r="1690" spans="1:23" x14ac:dyDescent="0.2">
      <c r="A1690">
        <f>IF(D1690="USD",VLOOKUP(VALUE(RIGHT(E1690,4)),'USD RUB'!$E:$F,2,FALSE),1)</f>
        <v>1</v>
      </c>
      <c r="B1690" s="4">
        <v>1</v>
      </c>
      <c r="C1690">
        <v>1000</v>
      </c>
      <c r="D1690" t="s">
        <v>20</v>
      </c>
      <c r="E1690" s="1" t="s">
        <v>1707</v>
      </c>
      <c r="F1690">
        <v>27262266000</v>
      </c>
      <c r="G1690">
        <v>27972175000</v>
      </c>
      <c r="H1690">
        <v>658947000</v>
      </c>
      <c r="I1690">
        <v>11672284000</v>
      </c>
      <c r="J1690">
        <v>41069981000</v>
      </c>
      <c r="K1690">
        <v>13498268000</v>
      </c>
      <c r="L1690">
        <v>523315000</v>
      </c>
      <c r="M1690">
        <v>18426680000</v>
      </c>
      <c r="N1690">
        <v>27048398000</v>
      </c>
      <c r="O1690">
        <v>18449332000</v>
      </c>
      <c r="Q1690">
        <v>7619030000</v>
      </c>
      <c r="R1690">
        <v>7176630000</v>
      </c>
      <c r="S1690">
        <v>573611000</v>
      </c>
      <c r="T1690">
        <v>10853572000</v>
      </c>
      <c r="U1690">
        <v>-202428000</v>
      </c>
      <c r="V1690" t="str">
        <f t="shared" si="64"/>
        <v/>
      </c>
      <c r="W1690" t="str">
        <f t="shared" si="65"/>
        <v/>
      </c>
    </row>
    <row r="1691" spans="1:23" x14ac:dyDescent="0.2">
      <c r="A1691">
        <f>IF(D1691="USD",VLOOKUP(VALUE(RIGHT(E1691,4)),'USD RUB'!$E:$F,2,FALSE),1)</f>
        <v>1</v>
      </c>
      <c r="B1691" s="4">
        <v>1</v>
      </c>
      <c r="C1691">
        <v>1000</v>
      </c>
      <c r="D1691" t="s">
        <v>20</v>
      </c>
      <c r="E1691" s="1" t="s">
        <v>1708</v>
      </c>
      <c r="F1691">
        <v>22596051000</v>
      </c>
      <c r="G1691">
        <v>23378029000</v>
      </c>
      <c r="H1691">
        <v>651200000</v>
      </c>
      <c r="I1691">
        <v>11984933000</v>
      </c>
      <c r="J1691">
        <v>36745321000</v>
      </c>
      <c r="K1691">
        <v>13937014000</v>
      </c>
      <c r="L1691">
        <v>3207781000</v>
      </c>
      <c r="M1691">
        <v>12475006000</v>
      </c>
      <c r="N1691">
        <v>19600526000</v>
      </c>
      <c r="O1691">
        <v>29449103000</v>
      </c>
      <c r="Q1691">
        <v>17222895000</v>
      </c>
      <c r="R1691">
        <v>12394329000</v>
      </c>
      <c r="S1691">
        <v>1165389000</v>
      </c>
      <c r="T1691">
        <v>17574284000</v>
      </c>
      <c r="U1691">
        <v>-516871000</v>
      </c>
      <c r="V1691" t="str">
        <f t="shared" si="64"/>
        <v/>
      </c>
      <c r="W1691" t="str">
        <f t="shared" si="65"/>
        <v/>
      </c>
    </row>
    <row r="1692" spans="1:23" x14ac:dyDescent="0.2">
      <c r="A1692">
        <f>IF(D1692="USD",VLOOKUP(VALUE(RIGHT(E1692,4)),'USD RUB'!$E:$F,2,FALSE),1)</f>
        <v>1</v>
      </c>
      <c r="B1692" s="4">
        <v>1</v>
      </c>
      <c r="C1692">
        <v>1000000</v>
      </c>
      <c r="D1692" t="s">
        <v>20</v>
      </c>
      <c r="E1692" s="1" t="s">
        <v>1709</v>
      </c>
      <c r="F1692">
        <v>650730000000</v>
      </c>
      <c r="G1692">
        <v>900846000000</v>
      </c>
      <c r="H1692">
        <v>158727000000</v>
      </c>
      <c r="I1692">
        <v>858000000</v>
      </c>
      <c r="J1692">
        <v>1429778000000</v>
      </c>
      <c r="K1692">
        <v>1277194000000</v>
      </c>
      <c r="L1692">
        <v>300990000000</v>
      </c>
      <c r="M1692">
        <v>-311033000000</v>
      </c>
      <c r="N1692">
        <v>-148406000000</v>
      </c>
      <c r="O1692">
        <v>997989000000</v>
      </c>
      <c r="P1692">
        <v>71370000000</v>
      </c>
      <c r="Q1692">
        <v>6775000000</v>
      </c>
      <c r="R1692">
        <v>-938000000</v>
      </c>
      <c r="S1692">
        <v>62207000000</v>
      </c>
      <c r="T1692">
        <v>156381000000</v>
      </c>
      <c r="U1692">
        <v>-58164000000</v>
      </c>
      <c r="V1692" t="str">
        <f t="shared" si="64"/>
        <v/>
      </c>
      <c r="W1692" t="str">
        <f t="shared" si="65"/>
        <v/>
      </c>
    </row>
    <row r="1693" spans="1:23" x14ac:dyDescent="0.2">
      <c r="A1693">
        <f>IF(D1693="USD",VLOOKUP(VALUE(RIGHT(E1693,4)),'USD RUB'!$E:$F,2,FALSE),1)</f>
        <v>1</v>
      </c>
      <c r="B1693" s="4">
        <v>1</v>
      </c>
      <c r="C1693">
        <v>1000000</v>
      </c>
      <c r="D1693" t="s">
        <v>20</v>
      </c>
      <c r="E1693" s="1" t="s">
        <v>1710</v>
      </c>
      <c r="F1693">
        <v>565692000000</v>
      </c>
      <c r="G1693">
        <v>795846000000</v>
      </c>
      <c r="H1693">
        <v>146792000000</v>
      </c>
      <c r="I1693">
        <v>704000000</v>
      </c>
      <c r="J1693">
        <v>1248585000000</v>
      </c>
      <c r="K1693">
        <v>1094112000000</v>
      </c>
      <c r="L1693">
        <v>291835000000</v>
      </c>
      <c r="M1693">
        <v>-284554000000</v>
      </c>
      <c r="N1693">
        <v>-137362000000</v>
      </c>
      <c r="O1693">
        <v>688637000000</v>
      </c>
      <c r="P1693">
        <v>49514000000</v>
      </c>
      <c r="Q1693">
        <v>509000000</v>
      </c>
      <c r="R1693">
        <v>-4597000000</v>
      </c>
      <c r="S1693">
        <v>45402000000</v>
      </c>
      <c r="T1693">
        <v>113190000000</v>
      </c>
      <c r="U1693">
        <v>-40553000000</v>
      </c>
      <c r="V1693" t="str">
        <f t="shared" si="64"/>
        <v/>
      </c>
      <c r="W1693" t="str">
        <f t="shared" si="65"/>
        <v/>
      </c>
    </row>
    <row r="1694" spans="1:23" x14ac:dyDescent="0.2">
      <c r="A1694">
        <f>IF(D1694="USD",VLOOKUP(VALUE(RIGHT(E1694,4)),'USD RUB'!$E:$F,2,FALSE),1)</f>
        <v>1</v>
      </c>
      <c r="B1694" s="4">
        <v>1</v>
      </c>
      <c r="C1694">
        <v>1000</v>
      </c>
      <c r="D1694" t="s">
        <v>20</v>
      </c>
      <c r="E1694" s="1" t="s">
        <v>1711</v>
      </c>
      <c r="F1694">
        <v>3091139000</v>
      </c>
      <c r="G1694">
        <v>11998413000</v>
      </c>
      <c r="H1694">
        <v>3232337000</v>
      </c>
      <c r="I1694">
        <v>24778586000</v>
      </c>
      <c r="J1694">
        <v>42252118000</v>
      </c>
      <c r="K1694">
        <v>8946479000</v>
      </c>
      <c r="L1694">
        <v>22114083000</v>
      </c>
      <c r="M1694">
        <v>4562481000</v>
      </c>
      <c r="N1694">
        <v>11191556000</v>
      </c>
      <c r="O1694">
        <v>10906057000</v>
      </c>
      <c r="P1694">
        <v>-4048749000</v>
      </c>
      <c r="Q1694">
        <v>-5499277000</v>
      </c>
      <c r="R1694">
        <v>-5760529000</v>
      </c>
      <c r="S1694">
        <v>2172524000</v>
      </c>
      <c r="T1694">
        <v>-1892453000</v>
      </c>
      <c r="U1694">
        <v>-5534788000</v>
      </c>
      <c r="V1694">
        <f t="shared" si="64"/>
        <v>9716086000</v>
      </c>
      <c r="W1694">
        <f t="shared" si="65"/>
        <v>23789837000</v>
      </c>
    </row>
    <row r="1695" spans="1:23" x14ac:dyDescent="0.2">
      <c r="A1695">
        <f>IF(D1695="USD",VLOOKUP(VALUE(RIGHT(E1695,4)),'USD RUB'!$E:$F,2,FALSE),1)</f>
        <v>1</v>
      </c>
      <c r="B1695" s="4">
        <v>1</v>
      </c>
      <c r="C1695">
        <v>1000</v>
      </c>
      <c r="D1695" t="s">
        <v>20</v>
      </c>
      <c r="E1695" s="1" t="s">
        <v>1712</v>
      </c>
      <c r="F1695">
        <v>4507254000</v>
      </c>
      <c r="G1695">
        <v>12433867000</v>
      </c>
      <c r="H1695">
        <v>3301987000</v>
      </c>
      <c r="I1695">
        <v>23893057000</v>
      </c>
      <c r="J1695">
        <v>41788671000</v>
      </c>
      <c r="K1695">
        <v>8076413000</v>
      </c>
      <c r="L1695">
        <v>21775960000</v>
      </c>
      <c r="M1695">
        <v>5305329000</v>
      </c>
      <c r="N1695">
        <v>11936298000</v>
      </c>
      <c r="O1695">
        <v>6756954000</v>
      </c>
      <c r="P1695">
        <v>-3837565000</v>
      </c>
      <c r="Q1695">
        <v>-4790992000</v>
      </c>
      <c r="R1695">
        <v>-5016592000</v>
      </c>
      <c r="S1695">
        <v>1366963000</v>
      </c>
      <c r="T1695">
        <v>-2484348000</v>
      </c>
      <c r="U1695">
        <v>-4020754000</v>
      </c>
      <c r="V1695">
        <f t="shared" si="64"/>
        <v>5285500000</v>
      </c>
      <c r="W1695">
        <f t="shared" si="65"/>
        <v>19254801000</v>
      </c>
    </row>
    <row r="1696" spans="1:23" x14ac:dyDescent="0.2">
      <c r="A1696">
        <f>IF(D1696="USD",VLOOKUP(VALUE(RIGHT(E1696,4)),'USD RUB'!$E:$F,2,FALSE),1)</f>
        <v>1</v>
      </c>
      <c r="B1696" s="4">
        <v>1</v>
      </c>
      <c r="C1696">
        <v>1000</v>
      </c>
      <c r="D1696" t="s">
        <v>20</v>
      </c>
      <c r="E1696" s="1" t="s">
        <v>1713</v>
      </c>
      <c r="F1696">
        <v>13509960000</v>
      </c>
      <c r="G1696">
        <v>20065577000</v>
      </c>
      <c r="H1696">
        <v>3314570000</v>
      </c>
      <c r="I1696">
        <v>22703969000</v>
      </c>
      <c r="J1696">
        <v>48296306000</v>
      </c>
      <c r="K1696">
        <v>22258255000</v>
      </c>
      <c r="L1696">
        <v>11860759000</v>
      </c>
      <c r="M1696">
        <v>7536701000</v>
      </c>
      <c r="N1696">
        <v>14177292000</v>
      </c>
      <c r="O1696">
        <v>2344058000</v>
      </c>
      <c r="P1696">
        <v>-2224008000</v>
      </c>
      <c r="Q1696">
        <v>-2758600000</v>
      </c>
      <c r="R1696">
        <v>-2774226000</v>
      </c>
      <c r="S1696">
        <v>653506000</v>
      </c>
      <c r="T1696">
        <v>-1575150000</v>
      </c>
      <c r="U1696">
        <v>-2002263000</v>
      </c>
      <c r="V1696">
        <f t="shared" si="64"/>
        <v>2178321000</v>
      </c>
      <c r="W1696">
        <f t="shared" si="65"/>
        <v>23615366000</v>
      </c>
    </row>
    <row r="1697" spans="1:23" x14ac:dyDescent="0.2">
      <c r="A1697">
        <f>IF(D1697="USD",VLOOKUP(VALUE(RIGHT(E1697,4)),'USD RUB'!$E:$F,2,FALSE),1)</f>
        <v>1</v>
      </c>
      <c r="B1697" s="4">
        <v>1</v>
      </c>
      <c r="C1697">
        <v>1000</v>
      </c>
      <c r="D1697" t="s">
        <v>20</v>
      </c>
      <c r="E1697" s="1" t="s">
        <v>1714</v>
      </c>
      <c r="F1697">
        <v>6225167000</v>
      </c>
      <c r="G1697">
        <v>25922638000</v>
      </c>
      <c r="H1697">
        <v>3279653000</v>
      </c>
      <c r="I1697">
        <v>21457217000</v>
      </c>
      <c r="J1697">
        <v>52718993000</v>
      </c>
      <c r="K1697">
        <v>21970335000</v>
      </c>
      <c r="L1697">
        <v>13688876000</v>
      </c>
      <c r="M1697">
        <v>9491947000</v>
      </c>
      <c r="N1697">
        <v>17059782000</v>
      </c>
      <c r="O1697">
        <v>24456985000</v>
      </c>
      <c r="P1697">
        <v>4614837000</v>
      </c>
      <c r="Q1697">
        <v>3849128000</v>
      </c>
      <c r="R1697">
        <v>3663989000</v>
      </c>
      <c r="S1697">
        <v>1892006000</v>
      </c>
      <c r="T1697">
        <v>6458413000</v>
      </c>
      <c r="U1697">
        <v>-6671333000</v>
      </c>
      <c r="V1697">
        <f t="shared" si="64"/>
        <v>22212552000</v>
      </c>
      <c r="W1697">
        <f t="shared" si="65"/>
        <v>28364134000</v>
      </c>
    </row>
    <row r="1698" spans="1:23" x14ac:dyDescent="0.2">
      <c r="A1698">
        <f>IF(D1698="USD",VLOOKUP(VALUE(RIGHT(E1698,4)),'USD RUB'!$E:$F,2,FALSE),1)</f>
        <v>1</v>
      </c>
      <c r="B1698" s="4">
        <v>1</v>
      </c>
      <c r="C1698">
        <v>1000</v>
      </c>
      <c r="D1698" t="s">
        <v>20</v>
      </c>
      <c r="E1698" s="1" t="s">
        <v>1715</v>
      </c>
      <c r="F1698">
        <v>2579342000</v>
      </c>
      <c r="G1698">
        <v>10344033000</v>
      </c>
      <c r="H1698">
        <v>2848751000</v>
      </c>
      <c r="I1698">
        <v>10269700000</v>
      </c>
      <c r="J1698">
        <v>23789837000</v>
      </c>
      <c r="K1698">
        <v>15912536000</v>
      </c>
      <c r="L1698">
        <v>9791373000</v>
      </c>
      <c r="M1698">
        <v>1355310000</v>
      </c>
      <c r="N1698">
        <v>-1914072000</v>
      </c>
      <c r="O1698">
        <v>9716086000</v>
      </c>
      <c r="P1698">
        <v>-4898758000</v>
      </c>
      <c r="Q1698">
        <v>-5160066000</v>
      </c>
      <c r="R1698">
        <v>-5268956000</v>
      </c>
      <c r="S1698">
        <v>1337383000</v>
      </c>
      <c r="T1698">
        <v>-3590901000</v>
      </c>
      <c r="U1698">
        <v>-4922666000</v>
      </c>
      <c r="V1698">
        <f t="shared" si="64"/>
        <v>8362894000</v>
      </c>
      <c r="W1698">
        <f t="shared" si="65"/>
        <v>13635414000</v>
      </c>
    </row>
    <row r="1699" spans="1:23" x14ac:dyDescent="0.2">
      <c r="A1699">
        <f>IF(D1699="USD",VLOOKUP(VALUE(RIGHT(E1699,4)),'USD RUB'!$E:$F,2,FALSE),1)</f>
        <v>1</v>
      </c>
      <c r="B1699" s="4">
        <v>1</v>
      </c>
      <c r="C1699">
        <v>1000</v>
      </c>
      <c r="D1699" t="s">
        <v>20</v>
      </c>
      <c r="E1699" s="1" t="s">
        <v>1716</v>
      </c>
      <c r="F1699">
        <v>2437983000</v>
      </c>
      <c r="G1699">
        <v>7401773000</v>
      </c>
      <c r="H1699">
        <v>2255787000</v>
      </c>
      <c r="I1699">
        <v>9301257000</v>
      </c>
      <c r="J1699">
        <v>19254801000</v>
      </c>
      <c r="K1699">
        <v>12350431000</v>
      </c>
      <c r="L1699">
        <v>4685546000</v>
      </c>
      <c r="M1699">
        <v>2192257000</v>
      </c>
      <c r="N1699">
        <v>2218824000</v>
      </c>
      <c r="O1699">
        <v>5285500000</v>
      </c>
      <c r="P1699">
        <v>-4447403000</v>
      </c>
      <c r="Q1699">
        <v>-4274191000</v>
      </c>
      <c r="R1699">
        <v>-4432406000</v>
      </c>
      <c r="S1699">
        <v>809560000</v>
      </c>
      <c r="T1699">
        <v>-3662898000</v>
      </c>
      <c r="U1699">
        <v>-3025304000</v>
      </c>
      <c r="V1699">
        <f t="shared" si="64"/>
        <v>4695754000</v>
      </c>
      <c r="W1699">
        <f t="shared" si="65"/>
        <v>12338830000</v>
      </c>
    </row>
    <row r="1700" spans="1:23" x14ac:dyDescent="0.2">
      <c r="A1700">
        <f>IF(D1700="USD",VLOOKUP(VALUE(RIGHT(E1700,4)),'USD RUB'!$E:$F,2,FALSE),1)</f>
        <v>1</v>
      </c>
      <c r="B1700" s="4">
        <v>1</v>
      </c>
      <c r="C1700">
        <v>1000</v>
      </c>
      <c r="D1700" t="s">
        <v>20</v>
      </c>
      <c r="E1700" s="1" t="s">
        <v>1717</v>
      </c>
      <c r="F1700">
        <v>10327853000</v>
      </c>
      <c r="G1700">
        <v>13221910000</v>
      </c>
      <c r="H1700">
        <v>1802494000</v>
      </c>
      <c r="I1700">
        <v>8371557000</v>
      </c>
      <c r="J1700">
        <v>23615366000</v>
      </c>
      <c r="K1700">
        <v>7664068000</v>
      </c>
      <c r="L1700">
        <v>4241773000</v>
      </c>
      <c r="M1700">
        <v>11679905000</v>
      </c>
      <c r="N1700">
        <v>11709525000</v>
      </c>
      <c r="O1700">
        <v>2178321000</v>
      </c>
      <c r="P1700">
        <v>-1509896000</v>
      </c>
      <c r="Q1700">
        <v>-1433225000</v>
      </c>
      <c r="R1700">
        <v>-1491210000</v>
      </c>
      <c r="S1700">
        <v>366217000</v>
      </c>
      <c r="T1700">
        <v>-1145322000</v>
      </c>
      <c r="U1700">
        <v>-1354024000</v>
      </c>
      <c r="V1700">
        <f t="shared" si="64"/>
        <v>1537760000</v>
      </c>
      <c r="W1700">
        <f t="shared" si="65"/>
        <v>15960196000</v>
      </c>
    </row>
    <row r="1701" spans="1:23" x14ac:dyDescent="0.2">
      <c r="A1701">
        <f>IF(D1701="USD",VLOOKUP(VALUE(RIGHT(E1701,4)),'USD RUB'!$E:$F,2,FALSE),1)</f>
        <v>1</v>
      </c>
      <c r="B1701" s="4">
        <v>1</v>
      </c>
      <c r="C1701">
        <v>1000</v>
      </c>
      <c r="D1701" t="s">
        <v>20</v>
      </c>
      <c r="E1701" s="1" t="s">
        <v>1718</v>
      </c>
      <c r="F1701">
        <v>1683655000</v>
      </c>
      <c r="G1701">
        <v>18773549000</v>
      </c>
      <c r="H1701">
        <v>1768391000</v>
      </c>
      <c r="I1701">
        <v>7543568000</v>
      </c>
      <c r="J1701">
        <v>28364134000</v>
      </c>
      <c r="K1701">
        <v>8736015000</v>
      </c>
      <c r="L1701">
        <v>6427831000</v>
      </c>
      <c r="M1701">
        <v>13171115000</v>
      </c>
      <c r="N1701">
        <v>13200288000</v>
      </c>
      <c r="O1701">
        <v>22212552000</v>
      </c>
      <c r="P1701">
        <v>9822582000</v>
      </c>
      <c r="Q1701">
        <v>9891083000</v>
      </c>
      <c r="R1701">
        <v>9696212000</v>
      </c>
      <c r="S1701">
        <v>1031469000</v>
      </c>
      <c r="T1701">
        <v>10825677000</v>
      </c>
      <c r="U1701">
        <v>-3561052000</v>
      </c>
      <c r="V1701">
        <f t="shared" si="64"/>
        <v>13774995000</v>
      </c>
      <c r="W1701">
        <f t="shared" si="65"/>
        <v>17542113000</v>
      </c>
    </row>
    <row r="1702" spans="1:23" x14ac:dyDescent="0.2">
      <c r="A1702">
        <f>IF(D1702="USD",VLOOKUP(VALUE(RIGHT(E1702,4)),'USD RUB'!$E:$F,2,FALSE),1)</f>
        <v>1</v>
      </c>
      <c r="B1702" s="4">
        <v>1</v>
      </c>
      <c r="C1702">
        <v>1000</v>
      </c>
      <c r="D1702" t="s">
        <v>20</v>
      </c>
      <c r="E1702" s="1" t="s">
        <v>1719</v>
      </c>
      <c r="F1702">
        <v>1382369000</v>
      </c>
      <c r="G1702">
        <v>5346565000</v>
      </c>
      <c r="H1702">
        <v>1349279000</v>
      </c>
      <c r="I1702">
        <v>6887938000</v>
      </c>
      <c r="J1702">
        <v>13635414000</v>
      </c>
      <c r="K1702">
        <v>5623856000</v>
      </c>
      <c r="L1702">
        <v>3307891000</v>
      </c>
      <c r="M1702">
        <v>4670295000</v>
      </c>
      <c r="N1702">
        <v>4703667000</v>
      </c>
      <c r="O1702">
        <v>8362894000</v>
      </c>
      <c r="P1702">
        <v>299712000</v>
      </c>
      <c r="Q1702">
        <v>372642000</v>
      </c>
      <c r="R1702">
        <v>152592000</v>
      </c>
      <c r="S1702">
        <v>692177000</v>
      </c>
      <c r="T1702">
        <v>972297000</v>
      </c>
      <c r="U1702">
        <v>-2534976000</v>
      </c>
      <c r="V1702">
        <f t="shared" si="64"/>
        <v>7008100000</v>
      </c>
      <c r="W1702">
        <f t="shared" si="65"/>
        <v>11309056000</v>
      </c>
    </row>
    <row r="1703" spans="1:23" x14ac:dyDescent="0.2">
      <c r="A1703">
        <f>IF(D1703="USD",VLOOKUP(VALUE(RIGHT(E1703,4)),'USD RUB'!$E:$F,2,FALSE),1)</f>
        <v>1</v>
      </c>
      <c r="B1703" s="4">
        <v>1</v>
      </c>
      <c r="C1703">
        <v>1000</v>
      </c>
      <c r="D1703" t="s">
        <v>20</v>
      </c>
      <c r="E1703" s="1" t="s">
        <v>1720</v>
      </c>
      <c r="F1703">
        <v>1900276000</v>
      </c>
      <c r="G1703">
        <v>4741668000</v>
      </c>
      <c r="H1703">
        <v>1298811000</v>
      </c>
      <c r="I1703">
        <v>6212071000</v>
      </c>
      <c r="J1703">
        <v>12338830000</v>
      </c>
      <c r="K1703">
        <v>5036333000</v>
      </c>
      <c r="L1703">
        <v>3140130000</v>
      </c>
      <c r="M1703">
        <v>4129552000</v>
      </c>
      <c r="N1703">
        <v>4162367000</v>
      </c>
      <c r="O1703">
        <v>4695754000</v>
      </c>
      <c r="P1703">
        <v>-426934000</v>
      </c>
      <c r="Q1703">
        <v>-353017000</v>
      </c>
      <c r="R1703">
        <v>-388151000</v>
      </c>
      <c r="S1703">
        <v>415812000</v>
      </c>
      <c r="T1703">
        <v>-17133000</v>
      </c>
      <c r="U1703">
        <v>-1544081000</v>
      </c>
      <c r="V1703">
        <f t="shared" si="64"/>
        <v>3508035000</v>
      </c>
      <c r="W1703">
        <f t="shared" si="65"/>
        <v>8866251000</v>
      </c>
    </row>
    <row r="1704" spans="1:23" x14ac:dyDescent="0.2">
      <c r="A1704">
        <f>IF(D1704="USD",VLOOKUP(VALUE(RIGHT(E1704,4)),'USD RUB'!$E:$F,2,FALSE),1)</f>
        <v>1</v>
      </c>
      <c r="B1704" s="4">
        <v>1</v>
      </c>
      <c r="C1704">
        <v>1000</v>
      </c>
      <c r="D1704" t="s">
        <v>20</v>
      </c>
      <c r="E1704" s="1" t="s">
        <v>1721</v>
      </c>
      <c r="F1704">
        <v>7463384000</v>
      </c>
      <c r="G1704">
        <v>8987203000</v>
      </c>
      <c r="H1704">
        <v>1222071000</v>
      </c>
      <c r="I1704">
        <v>5675567000</v>
      </c>
      <c r="J1704">
        <v>15960196000</v>
      </c>
      <c r="K1704">
        <v>4937146000</v>
      </c>
      <c r="L1704">
        <v>3193510000</v>
      </c>
      <c r="M1704">
        <v>7797203000</v>
      </c>
      <c r="N1704">
        <v>7829540000</v>
      </c>
      <c r="O1704">
        <v>1537760000</v>
      </c>
      <c r="P1704">
        <v>-496075000</v>
      </c>
      <c r="Q1704">
        <v>-447957000</v>
      </c>
      <c r="R1704">
        <v>-469960000</v>
      </c>
      <c r="S1704">
        <v>192063000</v>
      </c>
      <c r="T1704">
        <v>-307938000</v>
      </c>
      <c r="U1704">
        <v>-882348000</v>
      </c>
      <c r="V1704">
        <f t="shared" si="64"/>
        <v>1388747000</v>
      </c>
      <c r="W1704">
        <f t="shared" si="65"/>
        <v>9241180000</v>
      </c>
    </row>
    <row r="1705" spans="1:23" x14ac:dyDescent="0.2">
      <c r="A1705">
        <f>IF(D1705="USD",VLOOKUP(VALUE(RIGHT(E1705,4)),'USD RUB'!$E:$F,2,FALSE),1)</f>
        <v>1</v>
      </c>
      <c r="B1705" s="4">
        <v>1</v>
      </c>
      <c r="C1705">
        <v>1000</v>
      </c>
      <c r="D1705" t="s">
        <v>20</v>
      </c>
      <c r="E1705" s="1" t="s">
        <v>1722</v>
      </c>
      <c r="F1705">
        <v>4122220000</v>
      </c>
      <c r="G1705">
        <v>11230721000</v>
      </c>
      <c r="H1705">
        <v>1009848000</v>
      </c>
      <c r="I1705">
        <v>5174639000</v>
      </c>
      <c r="J1705">
        <v>17542113000</v>
      </c>
      <c r="K1705">
        <v>5903021000</v>
      </c>
      <c r="L1705">
        <v>3341152000</v>
      </c>
      <c r="M1705">
        <v>8267163000</v>
      </c>
      <c r="N1705">
        <v>8297940000</v>
      </c>
      <c r="O1705">
        <v>13774995000</v>
      </c>
      <c r="P1705">
        <v>6101300000</v>
      </c>
      <c r="Q1705">
        <v>6090768000</v>
      </c>
      <c r="R1705">
        <v>6088180000</v>
      </c>
      <c r="S1705">
        <v>734646000</v>
      </c>
      <c r="T1705">
        <v>6823942000</v>
      </c>
      <c r="U1705">
        <v>-1874946000</v>
      </c>
      <c r="V1705">
        <f t="shared" si="64"/>
        <v>7076061000</v>
      </c>
      <c r="W1705">
        <f t="shared" si="65"/>
        <v>9371724000</v>
      </c>
    </row>
    <row r="1706" spans="1:23" x14ac:dyDescent="0.2">
      <c r="A1706">
        <f>IF(D1706="USD",VLOOKUP(VALUE(RIGHT(E1706,4)),'USD RUB'!$E:$F,2,FALSE),1)</f>
        <v>1</v>
      </c>
      <c r="B1706" s="4">
        <v>1</v>
      </c>
      <c r="C1706">
        <v>1000</v>
      </c>
      <c r="D1706" t="s">
        <v>20</v>
      </c>
      <c r="E1706" s="1" t="s">
        <v>1723</v>
      </c>
      <c r="F1706">
        <v>2439467000</v>
      </c>
      <c r="G1706">
        <v>5393970000</v>
      </c>
      <c r="H1706">
        <v>802369000</v>
      </c>
      <c r="I1706">
        <v>4993035000</v>
      </c>
      <c r="J1706">
        <v>11309056000</v>
      </c>
      <c r="K1706">
        <v>5887113000</v>
      </c>
      <c r="L1706">
        <v>805437000</v>
      </c>
      <c r="M1706">
        <v>4587089000</v>
      </c>
      <c r="N1706">
        <v>4616506000</v>
      </c>
      <c r="O1706">
        <v>7008100000</v>
      </c>
      <c r="P1706">
        <v>2082650000</v>
      </c>
      <c r="Q1706">
        <v>2080944000</v>
      </c>
      <c r="R1706">
        <v>2067546000</v>
      </c>
      <c r="S1706">
        <v>539233000</v>
      </c>
      <c r="T1706">
        <v>2600000000</v>
      </c>
      <c r="U1706">
        <v>-1242075000</v>
      </c>
      <c r="V1706">
        <f t="shared" si="64"/>
        <v>3255213000</v>
      </c>
      <c r="W1706">
        <f t="shared" si="65"/>
        <v>7450815000</v>
      </c>
    </row>
    <row r="1707" spans="1:23" x14ac:dyDescent="0.2">
      <c r="A1707">
        <f>IF(D1707="USD",VLOOKUP(VALUE(RIGHT(E1707,4)),'USD RUB'!$E:$F,2,FALSE),1)</f>
        <v>1</v>
      </c>
      <c r="B1707" s="4">
        <v>1</v>
      </c>
      <c r="C1707">
        <v>1000</v>
      </c>
      <c r="D1707" t="s">
        <v>20</v>
      </c>
      <c r="E1707" s="1" t="s">
        <v>1724</v>
      </c>
      <c r="F1707">
        <v>1244094000</v>
      </c>
      <c r="G1707">
        <v>3151826000</v>
      </c>
      <c r="H1707">
        <v>727000000</v>
      </c>
      <c r="I1707">
        <v>4812527000</v>
      </c>
      <c r="J1707">
        <v>8866251000</v>
      </c>
      <c r="K1707">
        <v>4950832000</v>
      </c>
      <c r="L1707">
        <v>985232000</v>
      </c>
      <c r="M1707">
        <v>2900862000</v>
      </c>
      <c r="N1707">
        <v>2930187000</v>
      </c>
      <c r="O1707">
        <v>3508035000</v>
      </c>
      <c r="P1707">
        <v>345448000</v>
      </c>
      <c r="Q1707">
        <v>365642000</v>
      </c>
      <c r="R1707">
        <v>381319000</v>
      </c>
      <c r="S1707">
        <v>346818000</v>
      </c>
      <c r="T1707">
        <v>684991000</v>
      </c>
      <c r="U1707">
        <v>-896157000</v>
      </c>
      <c r="V1707" t="str">
        <f t="shared" si="64"/>
        <v/>
      </c>
      <c r="W1707" t="str">
        <f t="shared" si="65"/>
        <v/>
      </c>
    </row>
    <row r="1708" spans="1:23" x14ac:dyDescent="0.2">
      <c r="A1708">
        <f>IF(D1708="USD",VLOOKUP(VALUE(RIGHT(E1708,4)),'USD RUB'!$E:$F,2,FALSE),1)</f>
        <v>1</v>
      </c>
      <c r="B1708" s="4">
        <v>1</v>
      </c>
      <c r="C1708">
        <v>1000</v>
      </c>
      <c r="D1708" t="s">
        <v>20</v>
      </c>
      <c r="E1708" s="1" t="s">
        <v>1725</v>
      </c>
      <c r="F1708">
        <v>2234931000</v>
      </c>
      <c r="G1708">
        <v>3771887000</v>
      </c>
      <c r="H1708">
        <v>697689000</v>
      </c>
      <c r="I1708">
        <v>4582204000</v>
      </c>
      <c r="J1708">
        <v>9241180000</v>
      </c>
      <c r="K1708">
        <v>3616527000</v>
      </c>
      <c r="L1708">
        <v>1976162000</v>
      </c>
      <c r="M1708">
        <v>3615935000</v>
      </c>
      <c r="N1708">
        <v>3648491000</v>
      </c>
      <c r="O1708">
        <v>1388747000</v>
      </c>
      <c r="P1708">
        <v>93873000</v>
      </c>
      <c r="Q1708">
        <v>110530000</v>
      </c>
      <c r="R1708">
        <v>145992000</v>
      </c>
      <c r="S1708">
        <v>170106000</v>
      </c>
      <c r="U1708">
        <v>-475779000</v>
      </c>
      <c r="V1708" t="str">
        <f t="shared" si="64"/>
        <v/>
      </c>
      <c r="W1708" t="str">
        <f t="shared" si="65"/>
        <v/>
      </c>
    </row>
    <row r="1709" spans="1:23" x14ac:dyDescent="0.2">
      <c r="A1709">
        <f>IF(D1709="USD",VLOOKUP(VALUE(RIGHT(E1709,4)),'USD RUB'!$E:$F,2,FALSE),1)</f>
        <v>1</v>
      </c>
      <c r="B1709" s="4">
        <v>1</v>
      </c>
      <c r="C1709">
        <v>1000</v>
      </c>
      <c r="D1709" t="s">
        <v>20</v>
      </c>
      <c r="E1709" s="1" t="s">
        <v>1726</v>
      </c>
      <c r="F1709">
        <v>765054000</v>
      </c>
      <c r="G1709">
        <v>4215089000</v>
      </c>
      <c r="H1709">
        <v>554102000</v>
      </c>
      <c r="I1709">
        <v>4325721000</v>
      </c>
      <c r="J1709">
        <v>9371724000</v>
      </c>
      <c r="K1709">
        <v>4449863000</v>
      </c>
      <c r="L1709">
        <v>1419132000</v>
      </c>
      <c r="M1709">
        <v>3469943000</v>
      </c>
      <c r="N1709">
        <v>3502729000</v>
      </c>
      <c r="O1709">
        <v>7076061000</v>
      </c>
      <c r="P1709">
        <v>2080967000</v>
      </c>
      <c r="Q1709">
        <v>2028110000</v>
      </c>
      <c r="R1709">
        <v>1913891000</v>
      </c>
      <c r="S1709">
        <v>623391000</v>
      </c>
      <c r="T1709">
        <v>2697737000</v>
      </c>
      <c r="U1709">
        <v>-1261909000</v>
      </c>
      <c r="V1709">
        <f t="shared" si="64"/>
        <v>5530321000</v>
      </c>
      <c r="W1709">
        <f t="shared" si="65"/>
        <v>6535467000</v>
      </c>
    </row>
    <row r="1710" spans="1:23" x14ac:dyDescent="0.2">
      <c r="A1710">
        <f>IF(D1710="USD",VLOOKUP(VALUE(RIGHT(E1710,4)),'USD RUB'!$E:$F,2,FALSE),1)</f>
        <v>1</v>
      </c>
      <c r="B1710" s="4">
        <v>1</v>
      </c>
      <c r="C1710">
        <v>1000</v>
      </c>
      <c r="D1710" t="s">
        <v>20</v>
      </c>
      <c r="E1710" s="1" t="s">
        <v>1727</v>
      </c>
      <c r="F1710">
        <v>1128946000</v>
      </c>
      <c r="G1710">
        <v>2629180000</v>
      </c>
      <c r="H1710">
        <v>514466000</v>
      </c>
      <c r="I1710">
        <v>4039865000</v>
      </c>
      <c r="J1710">
        <v>7450815000</v>
      </c>
      <c r="K1710">
        <v>3242991000</v>
      </c>
      <c r="L1710">
        <v>2212927000</v>
      </c>
      <c r="M1710">
        <v>1960705000</v>
      </c>
      <c r="N1710">
        <v>1994897000</v>
      </c>
      <c r="O1710">
        <v>3255213000</v>
      </c>
      <c r="P1710">
        <v>140673000</v>
      </c>
      <c r="Q1710">
        <v>102425000</v>
      </c>
      <c r="R1710">
        <v>64673000</v>
      </c>
      <c r="S1710">
        <v>462697000</v>
      </c>
      <c r="U1710">
        <v>-909001000</v>
      </c>
      <c r="V1710" t="str">
        <f t="shared" si="64"/>
        <v/>
      </c>
      <c r="W1710" t="str">
        <f t="shared" si="65"/>
        <v/>
      </c>
    </row>
    <row r="1711" spans="1:23" x14ac:dyDescent="0.2">
      <c r="A1711">
        <f>IF(D1711="USD",VLOOKUP(VALUE(RIGHT(E1711,4)),'USD RUB'!$E:$F,2,FALSE),1)</f>
        <v>1</v>
      </c>
      <c r="B1711" s="4">
        <v>1</v>
      </c>
      <c r="C1711">
        <v>1000</v>
      </c>
      <c r="D1711" t="s">
        <v>20</v>
      </c>
      <c r="E1711" s="1" t="s">
        <v>1728</v>
      </c>
      <c r="F1711">
        <v>451329000</v>
      </c>
      <c r="G1711">
        <v>2440409000</v>
      </c>
      <c r="H1711">
        <v>367536000</v>
      </c>
      <c r="I1711">
        <v>3534446000</v>
      </c>
      <c r="J1711">
        <v>6535467000</v>
      </c>
      <c r="K1711">
        <v>2658471000</v>
      </c>
      <c r="L1711">
        <v>1354226000</v>
      </c>
      <c r="M1711">
        <v>2488088000</v>
      </c>
      <c r="N1711">
        <v>2522770000</v>
      </c>
      <c r="O1711">
        <v>5530321000</v>
      </c>
      <c r="P1711">
        <v>1672771000</v>
      </c>
      <c r="Q1711">
        <v>1575401000</v>
      </c>
      <c r="R1711">
        <v>1512942000</v>
      </c>
      <c r="S1711">
        <v>519978000</v>
      </c>
      <c r="U1711">
        <v>-1035816000</v>
      </c>
      <c r="V1711">
        <f t="shared" si="64"/>
        <v>3450804000</v>
      </c>
      <c r="W1711">
        <f t="shared" si="65"/>
        <v>5071111000</v>
      </c>
    </row>
    <row r="1712" spans="1:23" x14ac:dyDescent="0.2">
      <c r="A1712">
        <f>IF(D1712="USD",VLOOKUP(VALUE(RIGHT(E1712,4)),'USD RUB'!$E:$F,2,FALSE),1)</f>
        <v>1</v>
      </c>
      <c r="B1712" s="4">
        <v>1</v>
      </c>
      <c r="C1712">
        <v>1000</v>
      </c>
      <c r="D1712" t="s">
        <v>20</v>
      </c>
      <c r="E1712" s="1" t="s">
        <v>1729</v>
      </c>
      <c r="F1712">
        <v>243766000</v>
      </c>
      <c r="G1712">
        <v>1203738000</v>
      </c>
      <c r="H1712">
        <v>380618000</v>
      </c>
      <c r="I1712">
        <v>2870157000</v>
      </c>
      <c r="J1712">
        <v>5071111000</v>
      </c>
      <c r="K1712">
        <v>2252829000</v>
      </c>
      <c r="L1712">
        <v>1808492000</v>
      </c>
      <c r="M1712">
        <v>976119000</v>
      </c>
      <c r="N1712">
        <v>1009790000</v>
      </c>
      <c r="O1712">
        <v>3450804000</v>
      </c>
      <c r="P1712">
        <v>311346000</v>
      </c>
      <c r="Q1712">
        <v>203787000</v>
      </c>
      <c r="R1712">
        <v>160913000</v>
      </c>
      <c r="S1712">
        <v>393388000</v>
      </c>
      <c r="U1712">
        <v>-912464000</v>
      </c>
      <c r="V1712">
        <f t="shared" si="64"/>
        <v>2577274000</v>
      </c>
      <c r="W1712">
        <f t="shared" si="65"/>
        <v>4260187000</v>
      </c>
    </row>
    <row r="1713" spans="1:23" x14ac:dyDescent="0.2">
      <c r="A1713">
        <f>IF(D1713="USD",VLOOKUP(VALUE(RIGHT(E1713,4)),'USD RUB'!$E:$F,2,FALSE),1)</f>
        <v>1</v>
      </c>
      <c r="B1713" s="4">
        <v>1</v>
      </c>
      <c r="C1713">
        <v>1000</v>
      </c>
      <c r="D1713" t="s">
        <v>20</v>
      </c>
      <c r="E1713" s="1" t="s">
        <v>1730</v>
      </c>
      <c r="F1713">
        <v>204854000</v>
      </c>
      <c r="G1713">
        <v>1151488000</v>
      </c>
      <c r="H1713">
        <v>343135000</v>
      </c>
      <c r="I1713">
        <v>2277800000</v>
      </c>
      <c r="J1713">
        <v>4260187000</v>
      </c>
      <c r="K1713">
        <v>1995929000</v>
      </c>
      <c r="L1713">
        <v>1416083000</v>
      </c>
      <c r="M1713">
        <v>815602000</v>
      </c>
      <c r="N1713">
        <v>848175000</v>
      </c>
      <c r="O1713">
        <v>2577274000</v>
      </c>
      <c r="P1713">
        <v>473502000</v>
      </c>
      <c r="Q1713">
        <v>380638000</v>
      </c>
      <c r="R1713">
        <v>318190000</v>
      </c>
      <c r="S1713">
        <v>227552000</v>
      </c>
      <c r="U1713">
        <v>-909505000</v>
      </c>
      <c r="V1713" t="str">
        <f t="shared" si="64"/>
        <v/>
      </c>
      <c r="W1713" t="str">
        <f t="shared" si="65"/>
        <v/>
      </c>
    </row>
    <row r="1714" spans="1:23" x14ac:dyDescent="0.2">
      <c r="A1714">
        <f>IF(D1714="USD",VLOOKUP(VALUE(RIGHT(E1714,4)),'USD RUB'!$E:$F,2,FALSE),1)</f>
        <v>1</v>
      </c>
      <c r="B1714" s="4">
        <v>1</v>
      </c>
      <c r="C1714">
        <v>1000000</v>
      </c>
      <c r="D1714" t="s">
        <v>20</v>
      </c>
      <c r="E1714" s="1" t="s">
        <v>1731</v>
      </c>
      <c r="F1714">
        <v>2992000000</v>
      </c>
      <c r="G1714">
        <v>51431000000</v>
      </c>
      <c r="H1714">
        <v>5809000000</v>
      </c>
      <c r="I1714">
        <v>24048000000</v>
      </c>
      <c r="J1714">
        <v>85384000000</v>
      </c>
      <c r="K1714">
        <v>49173000000</v>
      </c>
      <c r="L1714">
        <v>13512000000</v>
      </c>
      <c r="M1714">
        <v>11007000000</v>
      </c>
      <c r="N1714">
        <v>22699000000</v>
      </c>
      <c r="O1714">
        <v>33526000000</v>
      </c>
      <c r="P1714">
        <v>719000000</v>
      </c>
      <c r="Q1714">
        <v>-1029000000</v>
      </c>
      <c r="R1714">
        <v>-88000000</v>
      </c>
      <c r="S1714">
        <v>2024000000</v>
      </c>
      <c r="T1714">
        <v>3501000000</v>
      </c>
      <c r="U1714">
        <v>-2410000000</v>
      </c>
      <c r="V1714">
        <f t="shared" si="64"/>
        <v>34197000000</v>
      </c>
      <c r="W1714">
        <f t="shared" si="65"/>
        <v>70017000000</v>
      </c>
    </row>
    <row r="1715" spans="1:23" x14ac:dyDescent="0.2">
      <c r="A1715">
        <f>IF(D1715="USD",VLOOKUP(VALUE(RIGHT(E1715,4)),'USD RUB'!$E:$F,2,FALSE),1)</f>
        <v>1</v>
      </c>
      <c r="B1715" s="4">
        <v>1</v>
      </c>
      <c r="C1715">
        <v>1000000</v>
      </c>
      <c r="D1715" t="s">
        <v>20</v>
      </c>
      <c r="E1715" s="1" t="s">
        <v>1732</v>
      </c>
      <c r="F1715">
        <v>10694000000</v>
      </c>
      <c r="G1715">
        <v>66098000000</v>
      </c>
      <c r="H1715">
        <v>5564000000</v>
      </c>
      <c r="I1715">
        <v>23258000000</v>
      </c>
      <c r="J1715">
        <v>98874000000</v>
      </c>
      <c r="K1715">
        <v>56354000000</v>
      </c>
      <c r="L1715">
        <v>20233000000</v>
      </c>
      <c r="M1715">
        <v>11216000000</v>
      </c>
      <c r="N1715">
        <v>22287000000</v>
      </c>
      <c r="O1715">
        <v>81126000000</v>
      </c>
      <c r="P1715">
        <v>2373000000</v>
      </c>
      <c r="Q1715">
        <v>3304000000</v>
      </c>
      <c r="R1715">
        <v>2604000000</v>
      </c>
      <c r="S1715">
        <v>2943000000</v>
      </c>
      <c r="T1715">
        <v>7083000000</v>
      </c>
      <c r="U1715">
        <v>-4384000000</v>
      </c>
      <c r="V1715">
        <f t="shared" si="64"/>
        <v>73181000000</v>
      </c>
      <c r="W1715">
        <f t="shared" si="65"/>
        <v>74517000000</v>
      </c>
    </row>
    <row r="1716" spans="1:23" x14ac:dyDescent="0.2">
      <c r="A1716">
        <f>IF(D1716="USD",VLOOKUP(VALUE(RIGHT(E1716,4)),'USD RUB'!$E:$F,2,FALSE),1)</f>
        <v>1</v>
      </c>
      <c r="B1716" s="4">
        <v>1</v>
      </c>
      <c r="C1716">
        <v>1000000</v>
      </c>
      <c r="D1716" t="s">
        <v>20</v>
      </c>
      <c r="E1716" s="1" t="s">
        <v>1733</v>
      </c>
      <c r="F1716">
        <v>7230000000</v>
      </c>
      <c r="G1716">
        <v>48744000000</v>
      </c>
      <c r="H1716">
        <v>2266000000</v>
      </c>
      <c r="I1716">
        <v>16920000000</v>
      </c>
      <c r="J1716">
        <v>70017000000</v>
      </c>
      <c r="K1716">
        <v>39901000000</v>
      </c>
      <c r="L1716">
        <v>18893000000</v>
      </c>
      <c r="M1716">
        <v>9299000000</v>
      </c>
      <c r="N1716">
        <v>11223000000</v>
      </c>
      <c r="O1716">
        <v>34197000000</v>
      </c>
      <c r="P1716">
        <v>1000000000</v>
      </c>
      <c r="Q1716">
        <v>446000000</v>
      </c>
      <c r="R1716">
        <v>-514000000</v>
      </c>
      <c r="S1716">
        <v>1272000000</v>
      </c>
      <c r="T1716">
        <v>3383000000</v>
      </c>
      <c r="U1716">
        <v>-1848000000</v>
      </c>
      <c r="V1716">
        <f t="shared" si="64"/>
        <v>25013000000</v>
      </c>
      <c r="W1716">
        <f t="shared" si="65"/>
        <v>60534000000</v>
      </c>
    </row>
    <row r="1717" spans="1:23" x14ac:dyDescent="0.2">
      <c r="A1717">
        <f>IF(D1717="USD",VLOOKUP(VALUE(RIGHT(E1717,4)),'USD RUB'!$E:$F,2,FALSE),1)</f>
        <v>1</v>
      </c>
      <c r="B1717" s="4">
        <v>1</v>
      </c>
      <c r="C1717">
        <v>1000000</v>
      </c>
      <c r="D1717" t="s">
        <v>20</v>
      </c>
      <c r="E1717" s="1" t="s">
        <v>1734</v>
      </c>
      <c r="F1717">
        <v>13767000000</v>
      </c>
      <c r="G1717">
        <v>55517000000</v>
      </c>
      <c r="H1717">
        <v>2050000000</v>
      </c>
      <c r="I1717">
        <v>14716000000</v>
      </c>
      <c r="J1717">
        <v>74517000000</v>
      </c>
      <c r="K1717">
        <v>53787000000</v>
      </c>
      <c r="L1717">
        <v>12214000000</v>
      </c>
      <c r="M1717">
        <v>9785000000</v>
      </c>
      <c r="N1717">
        <v>8516000000</v>
      </c>
      <c r="O1717">
        <v>73181000000</v>
      </c>
      <c r="P1717">
        <v>1534000000</v>
      </c>
      <c r="Q1717">
        <v>3763000000</v>
      </c>
      <c r="R1717">
        <v>3078000000</v>
      </c>
      <c r="S1717">
        <v>1764000000</v>
      </c>
      <c r="T1717">
        <v>4489000000</v>
      </c>
      <c r="U1717">
        <v>-2422000000</v>
      </c>
      <c r="V1717">
        <f t="shared" si="64"/>
        <v>56246000000</v>
      </c>
      <c r="W1717">
        <f t="shared" si="65"/>
        <v>44773000000</v>
      </c>
    </row>
    <row r="1718" spans="1:23" x14ac:dyDescent="0.2">
      <c r="A1718">
        <f>IF(D1718="USD",VLOOKUP(VALUE(RIGHT(E1718,4)),'USD RUB'!$E:$F,2,FALSE),1)</f>
        <v>1</v>
      </c>
      <c r="B1718" s="4">
        <v>1</v>
      </c>
      <c r="C1718">
        <v>1000000</v>
      </c>
      <c r="D1718" t="s">
        <v>20</v>
      </c>
      <c r="E1718" s="1" t="s">
        <v>1735</v>
      </c>
      <c r="F1718">
        <v>6255000000</v>
      </c>
      <c r="G1718">
        <v>46612000000</v>
      </c>
      <c r="H1718">
        <v>1360000000</v>
      </c>
      <c r="I1718">
        <v>10569000000</v>
      </c>
      <c r="J1718">
        <v>60534000000</v>
      </c>
      <c r="K1718">
        <v>34314000000</v>
      </c>
      <c r="L1718">
        <v>11081000000</v>
      </c>
      <c r="M1718">
        <v>15956000000</v>
      </c>
      <c r="N1718">
        <v>15139000000</v>
      </c>
      <c r="O1718">
        <v>25013000000</v>
      </c>
      <c r="P1718">
        <v>-503000000</v>
      </c>
      <c r="Q1718">
        <v>9759000000</v>
      </c>
      <c r="R1718">
        <v>9500000000</v>
      </c>
      <c r="S1718">
        <v>653000000</v>
      </c>
      <c r="T1718">
        <v>1097000000</v>
      </c>
      <c r="U1718">
        <v>-1231000000</v>
      </c>
      <c r="V1718" t="str">
        <f t="shared" si="64"/>
        <v/>
      </c>
      <c r="W1718" t="str">
        <f t="shared" si="65"/>
        <v/>
      </c>
    </row>
    <row r="1719" spans="1:23" x14ac:dyDescent="0.2">
      <c r="A1719">
        <f>IF(D1719="USD",VLOOKUP(VALUE(RIGHT(E1719,4)),'USD RUB'!$E:$F,2,FALSE),1)</f>
        <v>1</v>
      </c>
      <c r="B1719" s="4">
        <v>1</v>
      </c>
      <c r="C1719">
        <v>1000000</v>
      </c>
      <c r="D1719" t="s">
        <v>20</v>
      </c>
      <c r="E1719" s="1" t="s">
        <v>1736</v>
      </c>
      <c r="F1719">
        <v>13363000000</v>
      </c>
      <c r="G1719">
        <v>37813000000</v>
      </c>
      <c r="H1719">
        <v>1119000000</v>
      </c>
      <c r="I1719">
        <v>4242000000</v>
      </c>
      <c r="J1719">
        <v>44773000000</v>
      </c>
      <c r="K1719">
        <v>30857000000</v>
      </c>
      <c r="L1719">
        <v>4121000000</v>
      </c>
      <c r="M1719">
        <v>6788000000</v>
      </c>
      <c r="N1719">
        <v>9795000000</v>
      </c>
      <c r="O1719">
        <v>56246000000</v>
      </c>
      <c r="P1719">
        <v>875000000</v>
      </c>
      <c r="Q1719">
        <v>6660000000</v>
      </c>
      <c r="R1719">
        <v>6485000000</v>
      </c>
      <c r="S1719">
        <v>1256000000</v>
      </c>
      <c r="T1719">
        <v>2578000000</v>
      </c>
      <c r="U1719">
        <v>-1481000000</v>
      </c>
      <c r="V1719">
        <f t="shared" si="64"/>
        <v>66532000000</v>
      </c>
      <c r="W1719">
        <f t="shared" si="65"/>
        <v>33939000000</v>
      </c>
    </row>
    <row r="1720" spans="1:23" x14ac:dyDescent="0.2">
      <c r="A1720">
        <f>IF(D1720="USD",VLOOKUP(VALUE(RIGHT(E1720,4)),'USD RUB'!$E:$F,2,FALSE),1)</f>
        <v>1</v>
      </c>
      <c r="B1720" s="4">
        <v>1</v>
      </c>
      <c r="C1720">
        <v>1000000</v>
      </c>
      <c r="D1720" t="s">
        <v>20</v>
      </c>
      <c r="E1720" s="1" t="s">
        <v>1737</v>
      </c>
      <c r="F1720">
        <v>4022000000</v>
      </c>
      <c r="G1720">
        <v>21790000000</v>
      </c>
      <c r="H1720">
        <v>760000000</v>
      </c>
      <c r="I1720">
        <v>2459000000</v>
      </c>
      <c r="J1720">
        <v>33939000000</v>
      </c>
      <c r="K1720">
        <v>24404000000</v>
      </c>
      <c r="L1720">
        <v>7770000000</v>
      </c>
      <c r="M1720">
        <v>322000000</v>
      </c>
      <c r="N1720">
        <v>1765000000</v>
      </c>
      <c r="O1720">
        <v>66532000000</v>
      </c>
      <c r="P1720">
        <v>1969000000</v>
      </c>
      <c r="Q1720">
        <v>1294000000</v>
      </c>
      <c r="R1720">
        <v>962000000</v>
      </c>
      <c r="S1720">
        <v>1003000000</v>
      </c>
      <c r="T1720">
        <v>3595000000</v>
      </c>
      <c r="U1720">
        <v>-1329000000</v>
      </c>
      <c r="V1720">
        <f t="shared" si="64"/>
        <v>69342000000</v>
      </c>
      <c r="W1720">
        <f t="shared" si="65"/>
        <v>32298000000</v>
      </c>
    </row>
    <row r="1721" spans="1:23" x14ac:dyDescent="0.2">
      <c r="A1721">
        <f>IF(D1721="USD",VLOOKUP(VALUE(RIGHT(E1721,4)),'USD RUB'!$E:$F,2,FALSE),1)</f>
        <v>1</v>
      </c>
      <c r="B1721" s="4">
        <v>1</v>
      </c>
      <c r="C1721">
        <v>1000000</v>
      </c>
      <c r="D1721" t="s">
        <v>20</v>
      </c>
      <c r="E1721" s="1" t="s">
        <v>1738</v>
      </c>
      <c r="F1721">
        <v>3838000000</v>
      </c>
      <c r="G1721">
        <v>19640000000</v>
      </c>
      <c r="H1721">
        <v>377000000</v>
      </c>
      <c r="I1721">
        <v>1417000000</v>
      </c>
      <c r="J1721">
        <v>32298000000</v>
      </c>
      <c r="K1721">
        <v>21009000000</v>
      </c>
      <c r="L1721">
        <v>6906000000</v>
      </c>
      <c r="M1721">
        <v>3354000000</v>
      </c>
      <c r="N1721">
        <v>4383000000</v>
      </c>
      <c r="O1721">
        <v>69342000000</v>
      </c>
      <c r="P1721">
        <v>2028000000</v>
      </c>
      <c r="Q1721">
        <v>1977000000</v>
      </c>
      <c r="R1721">
        <v>776000000</v>
      </c>
      <c r="S1721">
        <v>761000000</v>
      </c>
      <c r="T1721">
        <v>3350000000</v>
      </c>
      <c r="U1721">
        <v>-794000000</v>
      </c>
      <c r="V1721" t="str">
        <f t="shared" si="64"/>
        <v/>
      </c>
      <c r="W1721" t="str">
        <f t="shared" si="65"/>
        <v/>
      </c>
    </row>
    <row r="1722" spans="1:23" x14ac:dyDescent="0.2">
      <c r="A1722">
        <f>IF(D1722="USD",VLOOKUP(VALUE(RIGHT(E1722,4)),'USD RUB'!$E:$F,2,FALSE),1)</f>
        <v>1</v>
      </c>
      <c r="B1722" s="4">
        <v>1</v>
      </c>
      <c r="C1722">
        <v>1000000</v>
      </c>
      <c r="D1722" t="s">
        <v>20</v>
      </c>
      <c r="E1722" s="1" t="s">
        <v>1739</v>
      </c>
      <c r="F1722">
        <v>32759000000</v>
      </c>
      <c r="G1722">
        <v>70952000000</v>
      </c>
      <c r="H1722">
        <v>51503000000</v>
      </c>
      <c r="I1722">
        <v>170884000000</v>
      </c>
      <c r="J1722">
        <v>333276000000</v>
      </c>
      <c r="K1722">
        <v>112954000000</v>
      </c>
      <c r="L1722">
        <v>87448000000</v>
      </c>
      <c r="M1722">
        <v>-66667000000</v>
      </c>
      <c r="N1722">
        <v>132874000000</v>
      </c>
      <c r="O1722">
        <v>159960000000</v>
      </c>
      <c r="Q1722">
        <v>-15296000000</v>
      </c>
      <c r="R1722">
        <v>-24961000000</v>
      </c>
      <c r="S1722">
        <v>33676000000</v>
      </c>
      <c r="T1722">
        <v>22584000000</v>
      </c>
      <c r="U1722">
        <v>-24927000000</v>
      </c>
      <c r="V1722">
        <f t="shared" si="64"/>
        <v>147573000000</v>
      </c>
      <c r="W1722">
        <f t="shared" si="65"/>
        <v>333492000000</v>
      </c>
    </row>
    <row r="1723" spans="1:23" x14ac:dyDescent="0.2">
      <c r="A1723">
        <f>IF(D1723="USD",VLOOKUP(VALUE(RIGHT(E1723,4)),'USD RUB'!$E:$F,2,FALSE),1)</f>
        <v>1</v>
      </c>
      <c r="B1723" s="4">
        <v>1</v>
      </c>
      <c r="C1723">
        <v>1000000</v>
      </c>
      <c r="D1723" t="s">
        <v>20</v>
      </c>
      <c r="E1723" s="1" t="s">
        <v>1740</v>
      </c>
      <c r="F1723">
        <v>37745000000</v>
      </c>
      <c r="G1723">
        <v>82036000000</v>
      </c>
      <c r="H1723">
        <v>48742000000</v>
      </c>
      <c r="I1723">
        <v>171450000000</v>
      </c>
      <c r="J1723">
        <v>338066000000</v>
      </c>
      <c r="K1723">
        <v>96607000000</v>
      </c>
      <c r="L1723">
        <v>98046000000</v>
      </c>
      <c r="M1723">
        <v>-54097000000</v>
      </c>
      <c r="N1723">
        <v>143413000000</v>
      </c>
      <c r="O1723">
        <v>72567000000</v>
      </c>
      <c r="Q1723">
        <v>-8421000000</v>
      </c>
      <c r="R1723">
        <v>-12671000000</v>
      </c>
      <c r="S1723">
        <v>16126000000</v>
      </c>
      <c r="T1723">
        <v>10441000000</v>
      </c>
      <c r="U1723">
        <v>-7244000000</v>
      </c>
      <c r="V1723">
        <f t="shared" si="64"/>
        <v>70188000000</v>
      </c>
      <c r="W1723">
        <f t="shared" si="65"/>
        <v>377287000000</v>
      </c>
    </row>
    <row r="1724" spans="1:23" x14ac:dyDescent="0.2">
      <c r="A1724">
        <f>IF(D1724="USD",VLOOKUP(VALUE(RIGHT(E1724,4)),'USD RUB'!$E:$F,2,FALSE),1)</f>
        <v>1</v>
      </c>
      <c r="B1724" s="4">
        <v>1</v>
      </c>
      <c r="C1724">
        <v>1000000</v>
      </c>
      <c r="D1724" t="s">
        <v>20</v>
      </c>
      <c r="E1724" s="1" t="s">
        <v>1741</v>
      </c>
      <c r="F1724">
        <v>28424000000</v>
      </c>
      <c r="G1724">
        <v>60714000000</v>
      </c>
      <c r="H1724">
        <v>54833000000</v>
      </c>
      <c r="I1724">
        <v>177460000000</v>
      </c>
      <c r="J1724">
        <v>333492000000</v>
      </c>
      <c r="K1724">
        <v>174250000000</v>
      </c>
      <c r="L1724">
        <v>114433000000</v>
      </c>
      <c r="M1724">
        <v>-41244000000</v>
      </c>
      <c r="N1724">
        <v>44809000000</v>
      </c>
      <c r="O1724">
        <v>147573000000</v>
      </c>
      <c r="Q1724">
        <v>-101428000000</v>
      </c>
      <c r="R1724">
        <v>-94948000000</v>
      </c>
      <c r="S1724">
        <v>40358000000</v>
      </c>
      <c r="T1724">
        <v>-4920000000</v>
      </c>
      <c r="U1724">
        <v>-26924000000</v>
      </c>
      <c r="V1724">
        <f t="shared" si="64"/>
        <v>132770000000</v>
      </c>
      <c r="W1724">
        <f t="shared" si="65"/>
        <v>400740000000</v>
      </c>
    </row>
    <row r="1725" spans="1:23" x14ac:dyDescent="0.2">
      <c r="A1725">
        <f>IF(D1725="USD",VLOOKUP(VALUE(RIGHT(E1725,4)),'USD RUB'!$E:$F,2,FALSE),1)</f>
        <v>1</v>
      </c>
      <c r="B1725" s="4">
        <v>1</v>
      </c>
      <c r="C1725">
        <v>1000000</v>
      </c>
      <c r="D1725" t="s">
        <v>20</v>
      </c>
      <c r="E1725" s="1" t="s">
        <v>1742</v>
      </c>
      <c r="F1725">
        <v>31092000000</v>
      </c>
      <c r="G1725">
        <v>96511000000</v>
      </c>
      <c r="H1725">
        <v>52973000000</v>
      </c>
      <c r="I1725">
        <v>195371000000</v>
      </c>
      <c r="J1725">
        <v>377287000000</v>
      </c>
      <c r="K1725">
        <v>133707000000</v>
      </c>
      <c r="L1725">
        <v>130208000000</v>
      </c>
      <c r="M1725">
        <v>29892000000</v>
      </c>
      <c r="N1725">
        <v>113372000000</v>
      </c>
      <c r="O1725">
        <v>70188000000</v>
      </c>
      <c r="Q1725">
        <v>-24415000000</v>
      </c>
      <c r="R1725">
        <v>-24617000000</v>
      </c>
      <c r="S1725">
        <v>14202000000</v>
      </c>
      <c r="T1725">
        <v>-691000000</v>
      </c>
      <c r="U1725">
        <v>-12682000000</v>
      </c>
      <c r="V1725" t="str">
        <f t="shared" si="64"/>
        <v/>
      </c>
      <c r="W1725" t="str">
        <f t="shared" si="65"/>
        <v/>
      </c>
    </row>
    <row r="1726" spans="1:23" x14ac:dyDescent="0.2">
      <c r="A1726">
        <f>IF(D1726="USD",VLOOKUP(VALUE(RIGHT(E1726,4)),'USD RUB'!$E:$F,2,FALSE),1)</f>
        <v>1</v>
      </c>
      <c r="B1726" s="4">
        <v>1</v>
      </c>
      <c r="C1726">
        <v>1000000</v>
      </c>
      <c r="D1726" t="s">
        <v>20</v>
      </c>
      <c r="E1726" s="1" t="s">
        <v>1743</v>
      </c>
      <c r="F1726">
        <v>51294000000</v>
      </c>
      <c r="G1726">
        <v>125553000000</v>
      </c>
      <c r="H1726">
        <v>51089000000</v>
      </c>
      <c r="I1726">
        <v>196176000000</v>
      </c>
      <c r="J1726">
        <v>400740000000</v>
      </c>
      <c r="K1726">
        <v>121600000000</v>
      </c>
      <c r="L1726">
        <v>141606000000</v>
      </c>
      <c r="M1726">
        <v>54414000000</v>
      </c>
      <c r="N1726">
        <v>137534000000</v>
      </c>
      <c r="O1726">
        <v>132770000000</v>
      </c>
      <c r="Q1726">
        <v>-34208000000</v>
      </c>
      <c r="R1726">
        <v>-34291000000</v>
      </c>
      <c r="S1726">
        <v>23714000000</v>
      </c>
      <c r="T1726">
        <v>495000000</v>
      </c>
      <c r="U1726">
        <v>-32404000000</v>
      </c>
      <c r="V1726">
        <f t="shared" si="64"/>
        <v>97770000000</v>
      </c>
      <c r="W1726">
        <f t="shared" si="65"/>
        <v>360915000000</v>
      </c>
    </row>
    <row r="1727" spans="1:23" x14ac:dyDescent="0.2">
      <c r="A1727">
        <f>IF(D1727="USD",VLOOKUP(VALUE(RIGHT(E1727,4)),'USD RUB'!$E:$F,2,FALSE),1)</f>
        <v>1</v>
      </c>
      <c r="B1727" s="4">
        <v>1</v>
      </c>
      <c r="C1727">
        <v>1000000</v>
      </c>
      <c r="D1727" t="s">
        <v>20</v>
      </c>
      <c r="E1727" s="1" t="s">
        <v>1744</v>
      </c>
      <c r="F1727">
        <v>48759000000</v>
      </c>
      <c r="G1727">
        <v>123845000000</v>
      </c>
      <c r="H1727">
        <v>39250000000</v>
      </c>
      <c r="I1727">
        <v>178478000000</v>
      </c>
      <c r="J1727">
        <v>360915000000</v>
      </c>
      <c r="K1727">
        <v>142282000000</v>
      </c>
      <c r="L1727">
        <v>50521000000</v>
      </c>
      <c r="M1727">
        <v>86841000000</v>
      </c>
      <c r="N1727">
        <v>168112000000</v>
      </c>
      <c r="O1727">
        <v>97770000000</v>
      </c>
      <c r="Q1727">
        <v>-29497000000</v>
      </c>
      <c r="R1727">
        <v>-3910000000</v>
      </c>
      <c r="S1727">
        <v>29755000000</v>
      </c>
      <c r="T1727">
        <v>19975000000</v>
      </c>
      <c r="U1727">
        <v>-22590000000</v>
      </c>
      <c r="V1727" t="str">
        <f t="shared" si="64"/>
        <v/>
      </c>
      <c r="W1727" t="str">
        <f t="shared" si="65"/>
        <v/>
      </c>
    </row>
    <row r="1728" spans="1:23" x14ac:dyDescent="0.2">
      <c r="A1728">
        <f>IF(D1728="USD",VLOOKUP(VALUE(RIGHT(E1728,4)),'USD RUB'!$E:$F,2,FALSE),1)</f>
        <v>1</v>
      </c>
      <c r="B1728" s="4">
        <v>1</v>
      </c>
      <c r="C1728">
        <v>1000000</v>
      </c>
      <c r="D1728" t="s">
        <v>20</v>
      </c>
      <c r="E1728" s="1" t="s">
        <v>1745</v>
      </c>
      <c r="F1728">
        <v>250210000000</v>
      </c>
      <c r="G1728">
        <v>589196000000</v>
      </c>
      <c r="H1728">
        <v>331165000000</v>
      </c>
      <c r="I1728">
        <v>187146000000</v>
      </c>
      <c r="J1728">
        <v>1368342000000</v>
      </c>
      <c r="K1728">
        <v>722569000000</v>
      </c>
      <c r="L1728">
        <v>294557000000</v>
      </c>
      <c r="M1728">
        <v>258894000000</v>
      </c>
      <c r="N1728">
        <v>351216000000</v>
      </c>
      <c r="O1728">
        <v>1441098000000</v>
      </c>
      <c r="P1728">
        <v>173642000000</v>
      </c>
      <c r="Q1728">
        <v>111092000000</v>
      </c>
      <c r="R1728">
        <v>79579000000</v>
      </c>
      <c r="S1728">
        <v>98525000000</v>
      </c>
      <c r="T1728">
        <v>280834000000</v>
      </c>
      <c r="U1728">
        <v>-145868000000</v>
      </c>
      <c r="V1728">
        <f t="shared" si="64"/>
        <v>1094560000000</v>
      </c>
      <c r="W1728">
        <f t="shared" si="65"/>
        <v>1098688000000</v>
      </c>
    </row>
    <row r="1729" spans="1:23" x14ac:dyDescent="0.2">
      <c r="A1729">
        <f>IF(D1729="USD",VLOOKUP(VALUE(RIGHT(E1729,4)),'USD RUB'!$E:$F,2,FALSE),1)</f>
        <v>1</v>
      </c>
      <c r="B1729" s="4">
        <v>1</v>
      </c>
      <c r="C1729">
        <v>1000000000</v>
      </c>
      <c r="D1729" t="s">
        <v>20</v>
      </c>
      <c r="E1729" s="1" t="s">
        <v>1746</v>
      </c>
      <c r="F1729">
        <v>201300000000</v>
      </c>
      <c r="G1729">
        <v>525000000000</v>
      </c>
      <c r="H1729">
        <v>289100000000</v>
      </c>
      <c r="I1729">
        <v>184500000000</v>
      </c>
      <c r="J1729">
        <v>1242300000000</v>
      </c>
      <c r="K1729">
        <v>699300000000</v>
      </c>
      <c r="L1729">
        <v>236600000000</v>
      </c>
      <c r="N1729">
        <v>306400000000</v>
      </c>
      <c r="O1729">
        <v>1005100000000</v>
      </c>
      <c r="P1729">
        <v>113700000000</v>
      </c>
      <c r="Q1729">
        <v>65800000000</v>
      </c>
      <c r="R1729">
        <v>40100000000</v>
      </c>
      <c r="S1729">
        <v>71000000000</v>
      </c>
      <c r="T1729">
        <v>193000000000</v>
      </c>
      <c r="U1729">
        <v>-86900000000</v>
      </c>
      <c r="V1729">
        <f t="shared" si="64"/>
        <v>754400000000</v>
      </c>
      <c r="W1729">
        <f t="shared" si="65"/>
        <v>903900000000</v>
      </c>
    </row>
    <row r="1730" spans="1:23" x14ac:dyDescent="0.2">
      <c r="A1730">
        <f>IF(D1730="USD",VLOOKUP(VALUE(RIGHT(E1730,4)),'USD RUB'!$E:$F,2,FALSE),1)</f>
        <v>1</v>
      </c>
      <c r="B1730" s="4">
        <v>1</v>
      </c>
      <c r="C1730">
        <v>1000000</v>
      </c>
      <c r="D1730" t="s">
        <v>20</v>
      </c>
      <c r="E1730" s="1" t="s">
        <v>1747</v>
      </c>
      <c r="F1730">
        <v>182454000000</v>
      </c>
      <c r="G1730">
        <v>491440000000</v>
      </c>
      <c r="H1730">
        <v>265165000000</v>
      </c>
      <c r="I1730">
        <v>182723000000</v>
      </c>
      <c r="J1730">
        <v>1145673000000</v>
      </c>
      <c r="K1730">
        <v>632689000000</v>
      </c>
      <c r="L1730">
        <v>221347000000</v>
      </c>
      <c r="M1730">
        <v>214922000000</v>
      </c>
      <c r="N1730">
        <v>291637000000</v>
      </c>
      <c r="O1730">
        <v>639026000000</v>
      </c>
      <c r="P1730">
        <v>60654000000</v>
      </c>
      <c r="Q1730">
        <v>24909000000</v>
      </c>
      <c r="R1730">
        <v>5419000000</v>
      </c>
      <c r="S1730">
        <v>45778000000</v>
      </c>
      <c r="T1730">
        <v>114942000000</v>
      </c>
      <c r="U1730">
        <v>-47235000000</v>
      </c>
      <c r="V1730">
        <f t="shared" si="64"/>
        <v>477629000000</v>
      </c>
      <c r="W1730">
        <f t="shared" si="65"/>
        <v>829598000000</v>
      </c>
    </row>
    <row r="1731" spans="1:23" x14ac:dyDescent="0.2">
      <c r="A1731">
        <f>IF(D1731="USD",VLOOKUP(VALUE(RIGHT(E1731,4)),'USD RUB'!$E:$F,2,FALSE),1)</f>
        <v>1</v>
      </c>
      <c r="B1731" s="4">
        <v>1</v>
      </c>
      <c r="C1731">
        <v>1000000000</v>
      </c>
      <c r="D1731" t="s">
        <v>20</v>
      </c>
      <c r="E1731" s="1" t="s">
        <v>1748</v>
      </c>
      <c r="F1731">
        <v>201300000000</v>
      </c>
      <c r="G1731">
        <v>496900000000</v>
      </c>
      <c r="H1731">
        <v>244600000000</v>
      </c>
      <c r="I1731">
        <v>181100000000</v>
      </c>
      <c r="J1731">
        <v>1115000000000</v>
      </c>
      <c r="K1731">
        <v>631300000000</v>
      </c>
      <c r="L1731">
        <v>185900000000</v>
      </c>
      <c r="N1731">
        <v>297800000000</v>
      </c>
      <c r="O1731">
        <v>306500000000</v>
      </c>
      <c r="P1731">
        <v>19500000000</v>
      </c>
      <c r="Q1731">
        <v>100000000</v>
      </c>
      <c r="R1731">
        <v>-10800000000</v>
      </c>
      <c r="S1731">
        <v>22500000000</v>
      </c>
      <c r="T1731">
        <v>48900000000</v>
      </c>
      <c r="U1731">
        <v>-24100000000</v>
      </c>
      <c r="V1731">
        <f t="shared" si="64"/>
        <v>228314000000</v>
      </c>
      <c r="W1731">
        <f t="shared" si="65"/>
        <v>751947000000</v>
      </c>
    </row>
    <row r="1732" spans="1:23" x14ac:dyDescent="0.2">
      <c r="A1732">
        <f>IF(D1732="USD",VLOOKUP(VALUE(RIGHT(E1732,4)),'USD RUB'!$E:$F,2,FALSE),1)</f>
        <v>1</v>
      </c>
      <c r="B1732" s="4">
        <v>1</v>
      </c>
      <c r="C1732">
        <v>1000000</v>
      </c>
      <c r="D1732" t="s">
        <v>20</v>
      </c>
      <c r="E1732" s="1" t="s">
        <v>1749</v>
      </c>
      <c r="F1732">
        <v>211563000000</v>
      </c>
      <c r="G1732">
        <v>506701000000</v>
      </c>
      <c r="H1732">
        <v>230107000000</v>
      </c>
      <c r="I1732">
        <v>182952000000</v>
      </c>
      <c r="J1732">
        <v>1098688000000</v>
      </c>
      <c r="K1732">
        <v>611573000000</v>
      </c>
      <c r="L1732">
        <v>193318000000</v>
      </c>
      <c r="M1732">
        <v>239658000000</v>
      </c>
      <c r="N1732">
        <v>293797000000</v>
      </c>
      <c r="O1732">
        <v>1094560000000</v>
      </c>
      <c r="P1732">
        <v>51546000000</v>
      </c>
      <c r="Q1732">
        <v>25870000000</v>
      </c>
      <c r="R1732">
        <v>11468000000</v>
      </c>
      <c r="S1732">
        <v>76888000000</v>
      </c>
      <c r="T1732">
        <v>188601000000</v>
      </c>
      <c r="U1732">
        <v>-124624000000</v>
      </c>
      <c r="V1732" t="str">
        <f t="shared" si="64"/>
        <v/>
      </c>
      <c r="W1732" t="str">
        <f t="shared" si="65"/>
        <v/>
      </c>
    </row>
    <row r="1733" spans="1:23" x14ac:dyDescent="0.2">
      <c r="A1733">
        <f>IF(D1733="USD",VLOOKUP(VALUE(RIGHT(E1733,4)),'USD RUB'!$E:$F,2,FALSE),1)</f>
        <v>1</v>
      </c>
      <c r="B1733" s="4">
        <v>1</v>
      </c>
      <c r="C1733">
        <v>1000000000</v>
      </c>
      <c r="D1733" t="s">
        <v>20</v>
      </c>
      <c r="E1733" s="1" t="s">
        <v>1750</v>
      </c>
      <c r="F1733">
        <v>126800000000</v>
      </c>
      <c r="G1733">
        <v>374100000000</v>
      </c>
      <c r="H1733">
        <v>193200000000</v>
      </c>
      <c r="I1733">
        <v>177000000000</v>
      </c>
      <c r="J1733">
        <v>903900000000</v>
      </c>
      <c r="K1733">
        <v>453900000000</v>
      </c>
      <c r="L1733">
        <v>180200000000</v>
      </c>
      <c r="N1733">
        <v>269899999999.99997</v>
      </c>
      <c r="O1733">
        <v>754400000000</v>
      </c>
      <c r="P1733">
        <v>35300000000</v>
      </c>
      <c r="Q1733">
        <v>14500000000</v>
      </c>
      <c r="R1733">
        <v>-4099999999.9999995</v>
      </c>
      <c r="S1733">
        <v>54100000000</v>
      </c>
      <c r="T1733">
        <v>139900000000</v>
      </c>
      <c r="U1733">
        <v>-78900000000</v>
      </c>
      <c r="V1733" t="str">
        <f t="shared" si="64"/>
        <v/>
      </c>
      <c r="W1733" t="str">
        <f t="shared" si="65"/>
        <v/>
      </c>
    </row>
    <row r="1734" spans="1:23" x14ac:dyDescent="0.2">
      <c r="A1734">
        <f>IF(D1734="USD",VLOOKUP(VALUE(RIGHT(E1734,4)),'USD RUB'!$E:$F,2,FALSE),1)</f>
        <v>1</v>
      </c>
      <c r="B1734" s="4">
        <v>1</v>
      </c>
      <c r="C1734">
        <v>1000000</v>
      </c>
      <c r="D1734" t="s">
        <v>20</v>
      </c>
      <c r="E1734" s="1" t="s">
        <v>1751</v>
      </c>
      <c r="F1734">
        <v>102933000000</v>
      </c>
      <c r="G1734">
        <v>319803000000</v>
      </c>
      <c r="H1734">
        <v>165756000000</v>
      </c>
      <c r="I1734">
        <v>177406000000</v>
      </c>
      <c r="J1734">
        <v>829598000000</v>
      </c>
      <c r="K1734">
        <v>420186000000</v>
      </c>
      <c r="L1734">
        <v>136855000000</v>
      </c>
      <c r="M1734">
        <v>247062000000</v>
      </c>
      <c r="N1734">
        <v>272557000000</v>
      </c>
      <c r="O1734">
        <v>477629000000</v>
      </c>
      <c r="P1734">
        <v>9877000000</v>
      </c>
      <c r="Q1734">
        <v>-4713000000</v>
      </c>
      <c r="R1734">
        <v>-11679000000</v>
      </c>
      <c r="S1734">
        <v>34986000000</v>
      </c>
      <c r="T1734">
        <v>85206000000</v>
      </c>
      <c r="U1734">
        <v>-40897000000</v>
      </c>
      <c r="V1734" t="str">
        <f t="shared" si="64"/>
        <v/>
      </c>
      <c r="W1734" t="str">
        <f t="shared" si="65"/>
        <v/>
      </c>
    </row>
    <row r="1735" spans="1:23" x14ac:dyDescent="0.2">
      <c r="A1735">
        <f>IF(D1735="USD",VLOOKUP(VALUE(RIGHT(E1735,4)),'USD RUB'!$E:$F,2,FALSE),1)</f>
        <v>1</v>
      </c>
      <c r="B1735" s="4">
        <v>1</v>
      </c>
      <c r="C1735">
        <v>1000000</v>
      </c>
      <c r="D1735" t="s">
        <v>20</v>
      </c>
      <c r="E1735" s="1" t="s">
        <v>1752</v>
      </c>
      <c r="F1735">
        <v>72821000000</v>
      </c>
      <c r="G1735">
        <v>277641000000</v>
      </c>
      <c r="H1735">
        <v>188345000000</v>
      </c>
      <c r="I1735">
        <v>169615000000</v>
      </c>
      <c r="J1735">
        <v>751947000000</v>
      </c>
      <c r="K1735">
        <v>338340000000</v>
      </c>
      <c r="L1735">
        <v>145813000000</v>
      </c>
      <c r="N1735">
        <v>267794000000</v>
      </c>
      <c r="O1735">
        <v>228314000000</v>
      </c>
      <c r="P1735">
        <v>23244000000</v>
      </c>
      <c r="R1735">
        <v>19376000000</v>
      </c>
      <c r="S1735">
        <v>11365000000</v>
      </c>
      <c r="T1735">
        <v>37601000000</v>
      </c>
      <c r="V1735" t="str">
        <f t="shared" si="64"/>
        <v/>
      </c>
      <c r="W1735" t="str">
        <f t="shared" si="65"/>
        <v/>
      </c>
    </row>
    <row r="1736" spans="1:23" x14ac:dyDescent="0.2">
      <c r="A1736">
        <f>IF(D1736="USD",VLOOKUP(VALUE(RIGHT(E1736,4)),'USD RUB'!$E:$F,2,FALSE),1)</f>
        <v>1</v>
      </c>
      <c r="B1736" s="4">
        <v>1</v>
      </c>
      <c r="C1736">
        <v>1000000</v>
      </c>
      <c r="D1736" t="s">
        <v>20</v>
      </c>
      <c r="E1736" s="1" t="s">
        <v>1753</v>
      </c>
      <c r="F1736">
        <v>77966000000</v>
      </c>
      <c r="G1736">
        <v>615848000000</v>
      </c>
      <c r="H1736">
        <v>391190000000</v>
      </c>
      <c r="I1736">
        <v>229799000000</v>
      </c>
      <c r="J1736">
        <v>1768424000000</v>
      </c>
      <c r="K1736">
        <v>1300894000000</v>
      </c>
      <c r="L1736">
        <v>450572000000</v>
      </c>
      <c r="N1736">
        <v>16958000000</v>
      </c>
      <c r="O1736">
        <v>807186000000</v>
      </c>
      <c r="P1736">
        <v>154609000000</v>
      </c>
      <c r="Q1736">
        <v>47021000000</v>
      </c>
      <c r="R1736">
        <v>38637000000</v>
      </c>
      <c r="S1736">
        <v>125086000000</v>
      </c>
      <c r="U1736">
        <v>-120610000000</v>
      </c>
      <c r="V1736">
        <f t="shared" si="64"/>
        <v>703741000000</v>
      </c>
      <c r="W1736">
        <f t="shared" si="65"/>
        <v>1516963000000</v>
      </c>
    </row>
    <row r="1737" spans="1:23" x14ac:dyDescent="0.2">
      <c r="A1737">
        <f>IF(D1737="USD",VLOOKUP(VALUE(RIGHT(E1737,4)),'USD RUB'!$E:$F,2,FALSE),1)</f>
        <v>1</v>
      </c>
      <c r="B1737" s="4">
        <v>1</v>
      </c>
      <c r="C1737">
        <v>1000000</v>
      </c>
      <c r="D1737" t="s">
        <v>20</v>
      </c>
      <c r="E1737" s="1" t="s">
        <v>1754</v>
      </c>
      <c r="F1737">
        <v>113052000000</v>
      </c>
      <c r="G1737">
        <v>685948000000</v>
      </c>
      <c r="H1737">
        <v>384450000000</v>
      </c>
      <c r="I1737">
        <v>222420000000</v>
      </c>
      <c r="J1737">
        <v>1775451000000</v>
      </c>
      <c r="K1737">
        <v>1268844000000</v>
      </c>
      <c r="L1737">
        <v>510952000000</v>
      </c>
      <c r="N1737">
        <v>-4345000000</v>
      </c>
      <c r="O1737">
        <v>584678000000</v>
      </c>
      <c r="P1737">
        <v>109529000000</v>
      </c>
      <c r="Q1737">
        <v>19477000000</v>
      </c>
      <c r="R1737">
        <v>16057000000</v>
      </c>
      <c r="S1737">
        <v>98325000000</v>
      </c>
      <c r="U1737">
        <v>-94212000000</v>
      </c>
      <c r="V1737">
        <f t="shared" si="64"/>
        <v>512566000000</v>
      </c>
      <c r="W1737">
        <f t="shared" si="65"/>
        <v>1426700000000</v>
      </c>
    </row>
    <row r="1738" spans="1:23" x14ac:dyDescent="0.2">
      <c r="A1738">
        <f>IF(D1738="USD",VLOOKUP(VALUE(RIGHT(E1738,4)),'USD RUB'!$E:$F,2,FALSE),1)</f>
        <v>1</v>
      </c>
      <c r="B1738" s="4">
        <v>1</v>
      </c>
      <c r="C1738">
        <v>1000000</v>
      </c>
      <c r="D1738" t="s">
        <v>20</v>
      </c>
      <c r="E1738" s="1" t="s">
        <v>1755</v>
      </c>
      <c r="F1738">
        <v>71254000000</v>
      </c>
      <c r="G1738">
        <v>630425000000</v>
      </c>
      <c r="H1738">
        <v>339748000000</v>
      </c>
      <c r="I1738">
        <v>221197000000</v>
      </c>
      <c r="J1738">
        <v>1690213000000</v>
      </c>
      <c r="K1738">
        <v>1211247000000</v>
      </c>
      <c r="L1738">
        <v>524259000000</v>
      </c>
      <c r="N1738">
        <v>-45293000000</v>
      </c>
      <c r="O1738">
        <v>370906000000</v>
      </c>
      <c r="P1738">
        <v>71263000000</v>
      </c>
      <c r="Q1738">
        <v>10243000000</v>
      </c>
      <c r="R1738">
        <v>8867000000</v>
      </c>
      <c r="S1738">
        <v>64814000000</v>
      </c>
      <c r="U1738">
        <v>-62398000000</v>
      </c>
      <c r="V1738">
        <f t="shared" si="64"/>
        <v>332183000000</v>
      </c>
      <c r="W1738">
        <f t="shared" si="65"/>
        <v>1345108000000</v>
      </c>
    </row>
    <row r="1739" spans="1:23" x14ac:dyDescent="0.2">
      <c r="A1739">
        <f>IF(D1739="USD",VLOOKUP(VALUE(RIGHT(E1739,4)),'USD RUB'!$E:$F,2,FALSE),1)</f>
        <v>1</v>
      </c>
      <c r="B1739" s="4">
        <v>1</v>
      </c>
      <c r="C1739">
        <v>1000000</v>
      </c>
      <c r="D1739" t="s">
        <v>20</v>
      </c>
      <c r="E1739" s="1" t="s">
        <v>1756</v>
      </c>
      <c r="F1739">
        <v>92615000000</v>
      </c>
      <c r="G1739">
        <v>577210000000</v>
      </c>
      <c r="H1739">
        <v>341540000000</v>
      </c>
      <c r="I1739">
        <v>220695000000</v>
      </c>
      <c r="J1739">
        <v>1543238000000</v>
      </c>
      <c r="K1739">
        <v>976341000000</v>
      </c>
      <c r="L1739">
        <v>572686000000</v>
      </c>
      <c r="N1739">
        <v>-5789000000</v>
      </c>
      <c r="O1739">
        <v>175512000000</v>
      </c>
      <c r="P1739">
        <v>31870000000</v>
      </c>
      <c r="Q1739">
        <v>6011000000</v>
      </c>
      <c r="R1739">
        <v>5274000000</v>
      </c>
      <c r="S1739">
        <v>31462000000</v>
      </c>
      <c r="U1739">
        <v>-34294000000</v>
      </c>
      <c r="V1739">
        <f t="shared" si="64"/>
        <v>161315000000</v>
      </c>
      <c r="W1739">
        <f t="shared" si="65"/>
        <v>1324373000000</v>
      </c>
    </row>
    <row r="1740" spans="1:23" s="20" customFormat="1" x14ac:dyDescent="0.2">
      <c r="A1740" s="20">
        <f>IF(D1740="USD",VLOOKUP(VALUE(RIGHT(E1740,4)),'USD RUB'!$E:$F,2,FALSE),1)</f>
        <v>1</v>
      </c>
      <c r="B1740" s="21">
        <v>1</v>
      </c>
      <c r="C1740" s="20">
        <v>1000000</v>
      </c>
      <c r="D1740" s="20" t="s">
        <v>20</v>
      </c>
      <c r="E1740" s="22" t="s">
        <v>1757</v>
      </c>
      <c r="F1740" s="20">
        <v>109776000000</v>
      </c>
      <c r="G1740" s="20">
        <v>538494000000</v>
      </c>
      <c r="H1740" s="20">
        <v>339510000000</v>
      </c>
      <c r="I1740" s="20">
        <v>219144000000</v>
      </c>
      <c r="J1740" s="20">
        <v>1516963000000</v>
      </c>
      <c r="K1740" s="20">
        <v>1130265000000</v>
      </c>
      <c r="L1740" s="20">
        <v>397932000000</v>
      </c>
      <c r="M1740" s="20">
        <v>56113000000</v>
      </c>
      <c r="N1740" s="20">
        <v>-11234000000</v>
      </c>
      <c r="O1740" s="20">
        <v>703741000000</v>
      </c>
      <c r="P1740" s="20">
        <v>135930000000</v>
      </c>
      <c r="Q1740" s="20">
        <v>35478000000</v>
      </c>
      <c r="R1740" s="20">
        <v>51300000000</v>
      </c>
      <c r="S1740" s="20">
        <v>110757000000</v>
      </c>
      <c r="U1740" s="20">
        <v>-132373000000</v>
      </c>
      <c r="V1740" s="20">
        <f t="shared" si="64"/>
        <v>605991000000</v>
      </c>
      <c r="W1740" s="20">
        <f t="shared" si="65"/>
        <v>1291545000000</v>
      </c>
    </row>
    <row r="1741" spans="1:23" x14ac:dyDescent="0.2">
      <c r="A1741">
        <f>IF(D1741="USD",VLOOKUP(VALUE(RIGHT(E1741,4)),'USD RUB'!$E:$F,2,FALSE),1)</f>
        <v>1</v>
      </c>
      <c r="B1741" s="4">
        <v>1</v>
      </c>
      <c r="C1741">
        <v>1000000</v>
      </c>
      <c r="D1741" t="s">
        <v>20</v>
      </c>
      <c r="E1741" s="1" t="s">
        <v>1758</v>
      </c>
      <c r="F1741">
        <v>58887000000</v>
      </c>
      <c r="G1741">
        <v>502409000000</v>
      </c>
      <c r="H1741">
        <v>331713000000</v>
      </c>
      <c r="I1741">
        <v>202530000000</v>
      </c>
      <c r="J1741">
        <v>1426700000000</v>
      </c>
      <c r="K1741">
        <v>1007015000000</v>
      </c>
      <c r="L1741">
        <v>436138000000</v>
      </c>
      <c r="N1741">
        <v>-16453000000</v>
      </c>
      <c r="O1741">
        <v>512566000000</v>
      </c>
      <c r="P1741">
        <v>104341000000</v>
      </c>
      <c r="Q1741">
        <v>32451000000</v>
      </c>
      <c r="R1741">
        <v>49405000000</v>
      </c>
      <c r="S1741">
        <v>81920000000</v>
      </c>
      <c r="U1741">
        <v>-94180000000</v>
      </c>
      <c r="V1741">
        <f t="shared" si="64"/>
        <v>446001000000</v>
      </c>
      <c r="W1741">
        <f t="shared" si="65"/>
        <v>1158091000000</v>
      </c>
    </row>
    <row r="1742" spans="1:23" x14ac:dyDescent="0.2">
      <c r="A1742">
        <f>IF(D1742="USD",VLOOKUP(VALUE(RIGHT(E1742,4)),'USD RUB'!$E:$F,2,FALSE),1)</f>
        <v>1</v>
      </c>
      <c r="B1742" s="4">
        <v>1</v>
      </c>
      <c r="C1742">
        <v>1000000</v>
      </c>
      <c r="D1742" t="s">
        <v>20</v>
      </c>
      <c r="E1742" s="1" t="s">
        <v>1759</v>
      </c>
      <c r="F1742">
        <v>71647000000</v>
      </c>
      <c r="G1742">
        <v>449044000000</v>
      </c>
      <c r="H1742">
        <v>321316000000</v>
      </c>
      <c r="I1742">
        <v>197137000000</v>
      </c>
      <c r="J1742">
        <v>1345108000000</v>
      </c>
      <c r="K1742">
        <v>909317000000</v>
      </c>
      <c r="L1742">
        <v>454335000000</v>
      </c>
      <c r="N1742">
        <v>-18544000000</v>
      </c>
      <c r="O1742">
        <v>332183000000</v>
      </c>
      <c r="P1742">
        <v>70929000000</v>
      </c>
      <c r="Q1742">
        <v>34989000000</v>
      </c>
      <c r="R1742">
        <v>47550000000</v>
      </c>
      <c r="S1742">
        <v>53851000000</v>
      </c>
      <c r="U1742">
        <v>-60593000000</v>
      </c>
      <c r="V1742">
        <f t="shared" si="64"/>
        <v>286329000000</v>
      </c>
      <c r="W1742">
        <f t="shared" si="65"/>
        <v>1094579000000</v>
      </c>
    </row>
    <row r="1743" spans="1:23" x14ac:dyDescent="0.2">
      <c r="A1743">
        <f>IF(D1743="USD",VLOOKUP(VALUE(RIGHT(E1743,4)),'USD RUB'!$E:$F,2,FALSE),1)</f>
        <v>1</v>
      </c>
      <c r="B1743" s="4">
        <v>1</v>
      </c>
      <c r="C1743">
        <v>1000000</v>
      </c>
      <c r="D1743" t="s">
        <v>20</v>
      </c>
      <c r="E1743" s="1" t="s">
        <v>1760</v>
      </c>
      <c r="F1743">
        <v>81056000000</v>
      </c>
      <c r="G1743">
        <v>403293000000</v>
      </c>
      <c r="H1743">
        <v>312842000000</v>
      </c>
      <c r="I1743">
        <v>174854000000</v>
      </c>
      <c r="J1743">
        <v>1324373000000</v>
      </c>
      <c r="K1743">
        <v>912847000000</v>
      </c>
      <c r="L1743">
        <v>386749000000</v>
      </c>
      <c r="N1743">
        <v>24777000000</v>
      </c>
      <c r="O1743">
        <v>161315000000</v>
      </c>
      <c r="P1743">
        <v>33206000000</v>
      </c>
      <c r="Q1743">
        <v>25557000000</v>
      </c>
      <c r="R1743">
        <v>39784000000</v>
      </c>
      <c r="S1743">
        <v>26199000000</v>
      </c>
      <c r="U1743">
        <v>-29446000000</v>
      </c>
      <c r="V1743">
        <f t="shared" si="64"/>
        <v>139602000000</v>
      </c>
      <c r="W1743">
        <f t="shared" si="65"/>
        <v>1086721000000</v>
      </c>
    </row>
    <row r="1744" spans="1:23" x14ac:dyDescent="0.2">
      <c r="A1744">
        <f>IF(D1744="USD",VLOOKUP(VALUE(RIGHT(E1744,4)),'USD RUB'!$E:$F,2,FALSE),1)</f>
        <v>1</v>
      </c>
      <c r="B1744" s="4">
        <v>1</v>
      </c>
      <c r="C1744">
        <v>1000000</v>
      </c>
      <c r="D1744" t="s">
        <v>20</v>
      </c>
      <c r="E1744" s="1" t="s">
        <v>1761</v>
      </c>
      <c r="F1744">
        <v>73752000000</v>
      </c>
      <c r="G1744">
        <v>405608000000</v>
      </c>
      <c r="H1744">
        <v>314270000000</v>
      </c>
      <c r="I1744">
        <v>169699000000</v>
      </c>
      <c r="J1744">
        <v>1291545000000</v>
      </c>
      <c r="K1744">
        <v>817137000000</v>
      </c>
      <c r="L1744">
        <v>472688000000</v>
      </c>
      <c r="N1744">
        <v>1720000000</v>
      </c>
      <c r="O1744">
        <v>605991000000</v>
      </c>
      <c r="P1744">
        <v>122846000000</v>
      </c>
      <c r="Q1744">
        <v>65396000000</v>
      </c>
      <c r="R1744">
        <v>55529000000</v>
      </c>
      <c r="S1744">
        <v>114359000000</v>
      </c>
      <c r="U1744">
        <v>-101506000000</v>
      </c>
      <c r="V1744">
        <f t="shared" si="64"/>
        <v>541749000000</v>
      </c>
      <c r="W1744">
        <f t="shared" si="65"/>
        <v>1082930000000</v>
      </c>
    </row>
    <row r="1745" spans="1:23" x14ac:dyDescent="0.2">
      <c r="A1745">
        <f>IF(D1745="USD",VLOOKUP(VALUE(RIGHT(E1745,4)),'USD RUB'!$E:$F,2,FALSE),1)</f>
        <v>1</v>
      </c>
      <c r="B1745" s="4">
        <v>1</v>
      </c>
      <c r="C1745">
        <v>1000000</v>
      </c>
      <c r="D1745" t="s">
        <v>20</v>
      </c>
      <c r="E1745" s="1" t="s">
        <v>1762</v>
      </c>
      <c r="F1745">
        <v>41329000000</v>
      </c>
      <c r="G1745">
        <v>293299000000</v>
      </c>
      <c r="H1745">
        <v>306511000000</v>
      </c>
      <c r="I1745">
        <v>173942000000</v>
      </c>
      <c r="J1745">
        <v>1158091000000</v>
      </c>
      <c r="K1745">
        <v>698944000000</v>
      </c>
      <c r="L1745">
        <v>470849000000</v>
      </c>
      <c r="N1745">
        <v>-11702000000</v>
      </c>
      <c r="O1745">
        <v>446001000000</v>
      </c>
      <c r="P1745">
        <v>94625000000</v>
      </c>
      <c r="Q1745">
        <v>49453000000</v>
      </c>
      <c r="R1745">
        <v>39195000000</v>
      </c>
      <c r="S1745">
        <v>87597000000</v>
      </c>
      <c r="U1745">
        <v>-59714000000</v>
      </c>
      <c r="V1745">
        <f t="shared" si="64"/>
        <v>397393000000</v>
      </c>
      <c r="W1745">
        <f t="shared" si="65"/>
        <v>1057122000000</v>
      </c>
    </row>
    <row r="1746" spans="1:23" x14ac:dyDescent="0.2">
      <c r="A1746">
        <f>IF(D1746="USD",VLOOKUP(VALUE(RIGHT(E1746,4)),'USD RUB'!$E:$F,2,FALSE),1)</f>
        <v>1</v>
      </c>
      <c r="B1746" s="4">
        <v>1</v>
      </c>
      <c r="C1746">
        <v>1000000</v>
      </c>
      <c r="D1746" t="s">
        <v>20</v>
      </c>
      <c r="E1746" s="1" t="s">
        <v>1763</v>
      </c>
      <c r="F1746">
        <v>46606000000</v>
      </c>
      <c r="G1746">
        <v>280047000000</v>
      </c>
      <c r="H1746">
        <v>306026000000</v>
      </c>
      <c r="I1746">
        <v>172176000000</v>
      </c>
      <c r="J1746">
        <v>1094579000000</v>
      </c>
      <c r="K1746">
        <v>608914000000</v>
      </c>
      <c r="L1746">
        <v>509046000000</v>
      </c>
      <c r="N1746">
        <v>-23381000000</v>
      </c>
      <c r="O1746">
        <v>286329000000</v>
      </c>
      <c r="P1746">
        <v>63472000000</v>
      </c>
      <c r="Q1746">
        <v>37088000000</v>
      </c>
      <c r="R1746">
        <v>29966000000</v>
      </c>
      <c r="S1746">
        <v>57933000000</v>
      </c>
      <c r="U1746">
        <v>-37407000000</v>
      </c>
      <c r="V1746">
        <f t="shared" si="64"/>
        <v>259739000000</v>
      </c>
      <c r="W1746">
        <f t="shared" si="65"/>
        <v>1013458000000</v>
      </c>
    </row>
    <row r="1747" spans="1:23" x14ac:dyDescent="0.2">
      <c r="A1747">
        <f>IF(D1747="USD",VLOOKUP(VALUE(RIGHT(E1747,4)),'USD RUB'!$E:$F,2,FALSE),1)</f>
        <v>1</v>
      </c>
      <c r="B1747" s="4">
        <v>1</v>
      </c>
      <c r="C1747">
        <v>1000000</v>
      </c>
      <c r="D1747" t="s">
        <v>20</v>
      </c>
      <c r="E1747" s="1" t="s">
        <v>1764</v>
      </c>
      <c r="F1747">
        <v>61704000000</v>
      </c>
      <c r="G1747">
        <v>285312000000</v>
      </c>
      <c r="H1747">
        <v>308405000000</v>
      </c>
      <c r="I1747">
        <v>166929000000</v>
      </c>
      <c r="J1747">
        <v>1086721000000</v>
      </c>
      <c r="K1747">
        <v>572985000000</v>
      </c>
      <c r="L1747">
        <v>502050000000</v>
      </c>
      <c r="N1747">
        <v>11686000000</v>
      </c>
      <c r="O1747">
        <v>139602000000</v>
      </c>
      <c r="P1747">
        <v>29180000000</v>
      </c>
      <c r="Q1747">
        <v>16192000000</v>
      </c>
      <c r="R1747">
        <v>12930000000</v>
      </c>
      <c r="S1747">
        <v>28549000000</v>
      </c>
      <c r="U1747">
        <v>-17430000000</v>
      </c>
      <c r="V1747">
        <f t="shared" si="64"/>
        <v>134447000000</v>
      </c>
      <c r="W1747">
        <f t="shared" si="65"/>
        <v>1039426000000</v>
      </c>
    </row>
    <row r="1748" spans="1:23" s="20" customFormat="1" x14ac:dyDescent="0.2">
      <c r="A1748" s="20">
        <f>IF(D1748="USD",VLOOKUP(VALUE(RIGHT(E1748,4)),'USD RUB'!$E:$F,2,FALSE),1)</f>
        <v>1</v>
      </c>
      <c r="B1748" s="21">
        <v>1</v>
      </c>
      <c r="C1748" s="20">
        <v>1000000</v>
      </c>
      <c r="D1748" s="20" t="s">
        <v>20</v>
      </c>
      <c r="E1748" s="22" t="s">
        <v>1765</v>
      </c>
      <c r="F1748" s="20">
        <v>78292000000</v>
      </c>
      <c r="G1748" s="20">
        <v>300883000000</v>
      </c>
      <c r="H1748" s="20">
        <v>312509000000</v>
      </c>
      <c r="I1748" s="20">
        <v>165243000000</v>
      </c>
      <c r="J1748" s="20">
        <v>1082930000000</v>
      </c>
      <c r="K1748" s="20">
        <v>551345000000</v>
      </c>
      <c r="L1748" s="20">
        <v>535202000000</v>
      </c>
      <c r="N1748" s="20">
        <v>-3617000000</v>
      </c>
      <c r="O1748" s="20">
        <v>541749000000</v>
      </c>
      <c r="P1748" s="20">
        <v>109437000000</v>
      </c>
      <c r="Q1748" s="20">
        <v>50001000000</v>
      </c>
      <c r="R1748" s="20">
        <v>33435000000</v>
      </c>
      <c r="S1748" s="20">
        <v>114491000000</v>
      </c>
      <c r="U1748" s="20">
        <v>-112581000000</v>
      </c>
      <c r="V1748" s="20">
        <f t="shared" si="64"/>
        <v>534403000000</v>
      </c>
      <c r="W1748" s="20">
        <f t="shared" si="65"/>
        <v>1015818000000</v>
      </c>
    </row>
    <row r="1749" spans="1:23" x14ac:dyDescent="0.2">
      <c r="A1749">
        <f>IF(D1749="USD",VLOOKUP(VALUE(RIGHT(E1749,4)),'USD RUB'!$E:$F,2,FALSE),1)</f>
        <v>1</v>
      </c>
      <c r="B1749" s="4">
        <v>1</v>
      </c>
      <c r="C1749">
        <v>1000000</v>
      </c>
      <c r="D1749" t="s">
        <v>20</v>
      </c>
      <c r="E1749" s="1" t="s">
        <v>1766</v>
      </c>
      <c r="F1749">
        <v>81094000000</v>
      </c>
      <c r="G1749">
        <v>301668000000</v>
      </c>
      <c r="H1749">
        <v>309039000000</v>
      </c>
      <c r="I1749">
        <v>158953000000</v>
      </c>
      <c r="J1749">
        <v>1057122000000</v>
      </c>
      <c r="K1749">
        <v>533127000000</v>
      </c>
      <c r="L1749">
        <v>539049000000</v>
      </c>
      <c r="N1749">
        <v>-15054000000</v>
      </c>
      <c r="O1749">
        <v>397393000000</v>
      </c>
      <c r="P1749">
        <v>81605000000</v>
      </c>
      <c r="Q1749">
        <v>40071000000</v>
      </c>
      <c r="R1749">
        <v>27742000000</v>
      </c>
      <c r="S1749">
        <v>86699000000</v>
      </c>
      <c r="U1749">
        <v>-75767000000</v>
      </c>
      <c r="V1749">
        <f t="shared" si="64"/>
        <v>390680000000</v>
      </c>
      <c r="W1749">
        <f t="shared" si="65"/>
        <v>954722000000</v>
      </c>
    </row>
    <row r="1750" spans="1:23" x14ac:dyDescent="0.2">
      <c r="A1750">
        <f>IF(D1750="USD",VLOOKUP(VALUE(RIGHT(E1750,4)),'USD RUB'!$E:$F,2,FALSE),1)</f>
        <v>1</v>
      </c>
      <c r="B1750" s="4">
        <v>1</v>
      </c>
      <c r="C1750">
        <v>1000000</v>
      </c>
      <c r="D1750" t="s">
        <v>20</v>
      </c>
      <c r="E1750" s="1" t="s">
        <v>1767</v>
      </c>
      <c r="F1750">
        <v>57850000000</v>
      </c>
      <c r="G1750">
        <v>263917000000</v>
      </c>
      <c r="H1750">
        <v>313617000000</v>
      </c>
      <c r="I1750">
        <v>153207000000</v>
      </c>
      <c r="J1750">
        <v>1013458000000</v>
      </c>
      <c r="K1750">
        <v>522478000000</v>
      </c>
      <c r="L1750">
        <v>520936000000</v>
      </c>
      <c r="N1750">
        <v>-29956000000</v>
      </c>
      <c r="O1750">
        <v>259739000000</v>
      </c>
      <c r="P1750">
        <v>48990000000</v>
      </c>
      <c r="Q1750">
        <v>23780000000</v>
      </c>
      <c r="R1750">
        <v>15135000000</v>
      </c>
      <c r="S1750">
        <v>58825000000</v>
      </c>
      <c r="U1750">
        <v>-59410000000</v>
      </c>
      <c r="V1750">
        <f t="shared" si="64"/>
        <v>252515000000</v>
      </c>
      <c r="W1750">
        <f t="shared" si="65"/>
        <v>941589000000</v>
      </c>
    </row>
    <row r="1751" spans="1:23" x14ac:dyDescent="0.2">
      <c r="A1751">
        <f>IF(D1751="USD",VLOOKUP(VALUE(RIGHT(E1751,4)),'USD RUB'!$E:$F,2,FALSE),1)</f>
        <v>1</v>
      </c>
      <c r="B1751" s="4">
        <v>1</v>
      </c>
      <c r="C1751">
        <v>1000000</v>
      </c>
      <c r="D1751" t="s">
        <v>20</v>
      </c>
      <c r="E1751" s="1" t="s">
        <v>1768</v>
      </c>
      <c r="F1751">
        <v>34958000000</v>
      </c>
      <c r="G1751">
        <v>261953000000</v>
      </c>
      <c r="H1751">
        <v>320296000000</v>
      </c>
      <c r="I1751">
        <v>152172000000</v>
      </c>
      <c r="J1751">
        <v>1039426000000</v>
      </c>
      <c r="K1751">
        <v>479617000000</v>
      </c>
      <c r="L1751">
        <v>537956000000</v>
      </c>
      <c r="N1751">
        <v>21853000000</v>
      </c>
      <c r="O1751">
        <v>134447000000</v>
      </c>
      <c r="P1751">
        <v>26669000000</v>
      </c>
      <c r="Q1751">
        <v>8343000000</v>
      </c>
      <c r="R1751">
        <v>4020000000</v>
      </c>
      <c r="S1751">
        <v>29586000000</v>
      </c>
      <c r="U1751">
        <v>-37335000000</v>
      </c>
      <c r="V1751">
        <f t="shared" si="64"/>
        <v>123940000000</v>
      </c>
      <c r="W1751">
        <f t="shared" si="65"/>
        <v>909206000000</v>
      </c>
    </row>
    <row r="1752" spans="1:23" x14ac:dyDescent="0.2">
      <c r="A1752">
        <f>IF(D1752="USD",VLOOKUP(VALUE(RIGHT(E1752,4)),'USD RUB'!$E:$F,2,FALSE),1)</f>
        <v>1</v>
      </c>
      <c r="B1752" s="4">
        <v>1</v>
      </c>
      <c r="C1752">
        <v>1000000</v>
      </c>
      <c r="D1752" t="s">
        <v>20</v>
      </c>
      <c r="E1752" s="1" t="s">
        <v>1769</v>
      </c>
      <c r="F1752">
        <v>40590000000</v>
      </c>
      <c r="G1752">
        <v>263300000000</v>
      </c>
      <c r="H1752">
        <v>311250000000</v>
      </c>
      <c r="I1752">
        <v>142951000000</v>
      </c>
      <c r="J1752">
        <v>1015818000000</v>
      </c>
      <c r="K1752">
        <v>473420000000</v>
      </c>
      <c r="L1752">
        <v>527794000000</v>
      </c>
      <c r="M1752">
        <v>94935000000</v>
      </c>
      <c r="N1752">
        <v>14604000000</v>
      </c>
      <c r="O1752">
        <v>534403000000</v>
      </c>
      <c r="P1752">
        <v>118279000000</v>
      </c>
      <c r="Q1752">
        <v>79202000000</v>
      </c>
      <c r="R1752">
        <v>64269000000</v>
      </c>
      <c r="S1752">
        <v>111088000000</v>
      </c>
      <c r="U1752">
        <v>-111143000000</v>
      </c>
      <c r="V1752">
        <f t="shared" si="64"/>
        <v>494926000000</v>
      </c>
      <c r="W1752">
        <f t="shared" si="65"/>
        <v>919203000000</v>
      </c>
    </row>
    <row r="1753" spans="1:23" x14ac:dyDescent="0.2">
      <c r="A1753">
        <f>IF(D1753="USD",VLOOKUP(VALUE(RIGHT(E1753,4)),'USD RUB'!$E:$F,2,FALSE),1)</f>
        <v>1</v>
      </c>
      <c r="B1753" s="4">
        <v>1</v>
      </c>
      <c r="C1753">
        <v>1000000</v>
      </c>
      <c r="D1753" t="s">
        <v>20</v>
      </c>
      <c r="E1753" s="1" t="s">
        <v>1770</v>
      </c>
      <c r="F1753">
        <v>21338000000</v>
      </c>
      <c r="G1753">
        <v>228182000000</v>
      </c>
      <c r="H1753">
        <v>302895000000</v>
      </c>
      <c r="I1753">
        <v>140018000000</v>
      </c>
      <c r="J1753">
        <v>954722000000</v>
      </c>
      <c r="K1753">
        <v>395632000000</v>
      </c>
      <c r="L1753">
        <v>556130000000</v>
      </c>
      <c r="N1753">
        <v>2960000000</v>
      </c>
      <c r="O1753">
        <v>390680000000</v>
      </c>
      <c r="P1753">
        <v>92467000000</v>
      </c>
      <c r="Q1753">
        <v>65701000000</v>
      </c>
      <c r="R1753">
        <v>50517000000</v>
      </c>
      <c r="S1753">
        <v>81408000000</v>
      </c>
      <c r="U1753">
        <v>-88219000000</v>
      </c>
      <c r="V1753">
        <f t="shared" ref="V1753:V1816" si="66">_xlfn.XLOOKUP(LEFT(E1753,LEN(E1753)-4)&amp;(VALUE(RIGHT(E1753,4))-1),$E:$E,$O:$O,"")</f>
        <v>366386000000</v>
      </c>
      <c r="W1753">
        <f t="shared" ref="W1753:W1816" si="67">_xlfn.XLOOKUP(LEFT(E1753,LEN(E1753)-4)&amp;(VALUE(RIGHT(E1753,4))-1),$E:$E,$J:$J,"")</f>
        <v>904325000000</v>
      </c>
    </row>
    <row r="1754" spans="1:23" x14ac:dyDescent="0.2">
      <c r="A1754">
        <f>IF(D1754="USD",VLOOKUP(VALUE(RIGHT(E1754,4)),'USD RUB'!$E:$F,2,FALSE),1)</f>
        <v>1</v>
      </c>
      <c r="B1754" s="4">
        <v>1</v>
      </c>
      <c r="C1754">
        <v>1000000</v>
      </c>
      <c r="D1754" t="s">
        <v>20</v>
      </c>
      <c r="E1754" s="1" t="s">
        <v>1771</v>
      </c>
      <c r="F1754">
        <v>42326000000</v>
      </c>
      <c r="G1754">
        <v>240953000000</v>
      </c>
      <c r="H1754">
        <v>297193000000</v>
      </c>
      <c r="I1754">
        <v>135867000000</v>
      </c>
      <c r="J1754">
        <v>941589000000</v>
      </c>
      <c r="K1754">
        <v>398805000000</v>
      </c>
      <c r="L1754">
        <v>534827000000</v>
      </c>
      <c r="N1754">
        <v>7957000000</v>
      </c>
      <c r="O1754">
        <v>252515000000</v>
      </c>
      <c r="P1754">
        <v>58995000000</v>
      </c>
      <c r="Q1754">
        <v>42888000000</v>
      </c>
      <c r="R1754">
        <v>33812000000</v>
      </c>
      <c r="S1754">
        <v>53545000000</v>
      </c>
      <c r="U1754">
        <v>-55148000000</v>
      </c>
      <c r="V1754">
        <f t="shared" si="66"/>
        <v>237338000000</v>
      </c>
      <c r="W1754">
        <f t="shared" si="67"/>
        <v>902444000000</v>
      </c>
    </row>
    <row r="1755" spans="1:23" x14ac:dyDescent="0.2">
      <c r="A1755">
        <f>IF(D1755="USD",VLOOKUP(VALUE(RIGHT(E1755,4)),'USD RUB'!$E:$F,2,FALSE),1)</f>
        <v>1</v>
      </c>
      <c r="B1755" s="4">
        <v>1</v>
      </c>
      <c r="C1755">
        <v>1000000</v>
      </c>
      <c r="D1755" t="s">
        <v>20</v>
      </c>
      <c r="E1755" s="1" t="s">
        <v>1772</v>
      </c>
      <c r="F1755">
        <v>57267000000</v>
      </c>
      <c r="G1755">
        <v>242640000000</v>
      </c>
      <c r="H1755">
        <v>285044000000</v>
      </c>
      <c r="I1755">
        <v>127356000000</v>
      </c>
      <c r="J1755">
        <v>909206000000</v>
      </c>
      <c r="K1755">
        <v>311920000000</v>
      </c>
      <c r="L1755">
        <v>548139000000</v>
      </c>
      <c r="N1755">
        <v>49147000000</v>
      </c>
      <c r="O1755">
        <v>123940000000</v>
      </c>
      <c r="P1755">
        <v>28579000000</v>
      </c>
      <c r="Q1755">
        <v>20315000000</v>
      </c>
      <c r="R1755">
        <v>16347000000</v>
      </c>
      <c r="S1755">
        <v>26784000000</v>
      </c>
      <c r="U1755">
        <v>-29349000000</v>
      </c>
      <c r="V1755">
        <f t="shared" si="66"/>
        <v>119608000000</v>
      </c>
      <c r="W1755">
        <f t="shared" si="67"/>
        <v>924201000000</v>
      </c>
    </row>
    <row r="1756" spans="1:23" x14ac:dyDescent="0.2">
      <c r="A1756">
        <f>IF(D1756="USD",VLOOKUP(VALUE(RIGHT(E1756,4)),'USD RUB'!$E:$F,2,FALSE),1)</f>
        <v>1</v>
      </c>
      <c r="B1756" s="4">
        <v>1</v>
      </c>
      <c r="C1756">
        <v>1000000</v>
      </c>
      <c r="D1756" t="s">
        <v>20</v>
      </c>
      <c r="E1756" s="1" t="s">
        <v>1773</v>
      </c>
      <c r="F1756">
        <v>85405000000</v>
      </c>
      <c r="G1756">
        <v>262354000000</v>
      </c>
      <c r="H1756">
        <v>284804000000</v>
      </c>
      <c r="I1756">
        <v>128144000000</v>
      </c>
      <c r="J1756">
        <v>919203000000</v>
      </c>
      <c r="K1756">
        <v>328614000000</v>
      </c>
      <c r="L1756">
        <v>557899000000</v>
      </c>
      <c r="M1756">
        <v>94391000000</v>
      </c>
      <c r="N1756">
        <v>32690000000</v>
      </c>
      <c r="O1756">
        <v>494926000000</v>
      </c>
      <c r="P1756">
        <v>112893000000</v>
      </c>
      <c r="Q1756">
        <v>77583000000</v>
      </c>
      <c r="R1756">
        <v>62073000000</v>
      </c>
      <c r="S1756">
        <v>100205000000</v>
      </c>
      <c r="U1756">
        <v>-97409000000</v>
      </c>
      <c r="V1756">
        <f t="shared" si="66"/>
        <v>476106000000</v>
      </c>
      <c r="W1756">
        <f t="shared" si="67"/>
        <v>823910000000</v>
      </c>
    </row>
    <row r="1757" spans="1:23" x14ac:dyDescent="0.2">
      <c r="A1757">
        <f>IF(D1757="USD",VLOOKUP(VALUE(RIGHT(E1757,4)),'USD RUB'!$E:$F,2,FALSE),1)</f>
        <v>1</v>
      </c>
      <c r="B1757" s="4">
        <v>1</v>
      </c>
      <c r="C1757">
        <v>1000000</v>
      </c>
      <c r="D1757" t="s">
        <v>20</v>
      </c>
      <c r="E1757" s="1" t="s">
        <v>1774</v>
      </c>
      <c r="F1757">
        <v>82649000000</v>
      </c>
      <c r="G1757">
        <v>260390000000</v>
      </c>
      <c r="H1757">
        <v>271877000000</v>
      </c>
      <c r="I1757">
        <v>123414000000</v>
      </c>
      <c r="J1757">
        <v>904325000000</v>
      </c>
      <c r="K1757">
        <v>317073000000</v>
      </c>
      <c r="L1757">
        <v>556976000000</v>
      </c>
      <c r="N1757">
        <v>30276000000</v>
      </c>
      <c r="O1757">
        <v>366386000000</v>
      </c>
      <c r="P1757">
        <v>85717000000</v>
      </c>
      <c r="Q1757">
        <v>61038000000</v>
      </c>
      <c r="R1757">
        <v>48808000000</v>
      </c>
      <c r="S1757">
        <v>74705000000</v>
      </c>
      <c r="U1757">
        <v>-64182000000</v>
      </c>
      <c r="V1757">
        <f t="shared" si="66"/>
        <v>377056000000</v>
      </c>
      <c r="W1757">
        <f t="shared" si="67"/>
        <v>882259000000</v>
      </c>
    </row>
    <row r="1758" spans="1:23" x14ac:dyDescent="0.2">
      <c r="A1758">
        <f>IF(D1758="USD",VLOOKUP(VALUE(RIGHT(E1758,4)),'USD RUB'!$E:$F,2,FALSE),1)</f>
        <v>1</v>
      </c>
      <c r="B1758" s="4">
        <v>1</v>
      </c>
      <c r="C1758">
        <v>1000000</v>
      </c>
      <c r="D1758" t="s">
        <v>20</v>
      </c>
      <c r="E1758" s="1" t="s">
        <v>1775</v>
      </c>
      <c r="F1758">
        <v>98253000000</v>
      </c>
      <c r="G1758">
        <v>269129000000</v>
      </c>
      <c r="H1758">
        <v>267873000000</v>
      </c>
      <c r="I1758">
        <v>120306000000</v>
      </c>
      <c r="J1758">
        <v>902444000000</v>
      </c>
      <c r="K1758">
        <v>309255000000</v>
      </c>
      <c r="L1758">
        <v>562411000000</v>
      </c>
      <c r="N1758">
        <v>30778000000</v>
      </c>
      <c r="O1758">
        <v>237338000000</v>
      </c>
      <c r="P1758">
        <v>52508000000</v>
      </c>
      <c r="Q1758">
        <v>36812000000</v>
      </c>
      <c r="R1758">
        <v>29815000000</v>
      </c>
      <c r="S1758">
        <v>49352000000</v>
      </c>
      <c r="U1758">
        <v>-40810000000</v>
      </c>
      <c r="V1758">
        <f t="shared" si="66"/>
        <v>243174000000</v>
      </c>
      <c r="W1758">
        <f t="shared" si="67"/>
        <v>863617000000</v>
      </c>
    </row>
    <row r="1759" spans="1:23" x14ac:dyDescent="0.2">
      <c r="A1759">
        <f>IF(D1759="USD",VLOOKUP(VALUE(RIGHT(E1759,4)),'USD RUB'!$E:$F,2,FALSE),1)</f>
        <v>1</v>
      </c>
      <c r="B1759" s="4">
        <v>1</v>
      </c>
      <c r="C1759">
        <v>1000000</v>
      </c>
      <c r="D1759" t="s">
        <v>20</v>
      </c>
      <c r="E1759" s="1" t="s">
        <v>1776</v>
      </c>
      <c r="F1759">
        <v>101163000000</v>
      </c>
      <c r="G1759">
        <v>284432000000</v>
      </c>
      <c r="H1759">
        <v>265507000000</v>
      </c>
      <c r="I1759">
        <v>120269000000</v>
      </c>
      <c r="J1759">
        <v>924201000000</v>
      </c>
      <c r="K1759">
        <v>306899000000</v>
      </c>
      <c r="L1759">
        <v>559743000000</v>
      </c>
      <c r="N1759">
        <v>57559000000</v>
      </c>
      <c r="O1759">
        <v>119608000000</v>
      </c>
      <c r="P1759">
        <v>26524000000</v>
      </c>
      <c r="Q1759">
        <v>22147000000</v>
      </c>
      <c r="R1759">
        <v>17916000000</v>
      </c>
      <c r="S1759">
        <v>24701000000</v>
      </c>
      <c r="U1759">
        <v>-20205000000</v>
      </c>
      <c r="V1759">
        <f t="shared" si="66"/>
        <v>118025000000</v>
      </c>
      <c r="W1759">
        <f t="shared" si="67"/>
        <v>870371000000</v>
      </c>
    </row>
    <row r="1760" spans="1:23" x14ac:dyDescent="0.2">
      <c r="A1760">
        <f>IF(D1760="USD",VLOOKUP(VALUE(RIGHT(E1760,4)),'USD RUB'!$E:$F,2,FALSE),1)</f>
        <v>1</v>
      </c>
      <c r="B1760" s="4">
        <v>1</v>
      </c>
      <c r="C1760">
        <v>1000000</v>
      </c>
      <c r="D1760" t="s">
        <v>20</v>
      </c>
      <c r="E1760" s="1" t="s">
        <v>1777</v>
      </c>
      <c r="F1760">
        <v>38070000000</v>
      </c>
      <c r="G1760">
        <v>194588000000</v>
      </c>
      <c r="H1760">
        <v>265479000000</v>
      </c>
      <c r="I1760">
        <v>118404000000</v>
      </c>
      <c r="J1760">
        <v>823910000000</v>
      </c>
      <c r="K1760">
        <v>348457000000</v>
      </c>
      <c r="L1760">
        <v>439059000000</v>
      </c>
      <c r="M1760">
        <v>85249000000</v>
      </c>
      <c r="N1760">
        <v>36394000000</v>
      </c>
      <c r="O1760">
        <v>476106000000</v>
      </c>
      <c r="P1760">
        <v>114188000000</v>
      </c>
      <c r="Q1760">
        <v>66873000000</v>
      </c>
      <c r="R1760">
        <v>55099000000</v>
      </c>
      <c r="S1760">
        <v>106948000000</v>
      </c>
      <c r="U1760">
        <v>-91481000000</v>
      </c>
      <c r="V1760">
        <f t="shared" si="66"/>
        <v>480293000000</v>
      </c>
      <c r="W1760">
        <f t="shared" si="67"/>
        <v>915993000000</v>
      </c>
    </row>
    <row r="1761" spans="1:23" x14ac:dyDescent="0.2">
      <c r="A1761">
        <f>IF(D1761="USD",VLOOKUP(VALUE(RIGHT(E1761,4)),'USD RUB'!$E:$F,2,FALSE),1)</f>
        <v>1</v>
      </c>
      <c r="B1761" s="4">
        <v>1</v>
      </c>
      <c r="C1761">
        <v>1000000</v>
      </c>
      <c r="D1761" t="s">
        <v>20</v>
      </c>
      <c r="E1761" s="1" t="s">
        <v>1778</v>
      </c>
      <c r="F1761">
        <v>52518000000</v>
      </c>
      <c r="G1761">
        <v>210456000000</v>
      </c>
      <c r="H1761">
        <v>281187000000</v>
      </c>
      <c r="I1761">
        <v>134782000000</v>
      </c>
      <c r="J1761">
        <v>882259000000</v>
      </c>
      <c r="K1761">
        <v>379577000000</v>
      </c>
      <c r="L1761">
        <v>455035000000</v>
      </c>
      <c r="N1761">
        <v>47647000000</v>
      </c>
      <c r="O1761">
        <v>377056000000</v>
      </c>
      <c r="P1761">
        <v>93837000000</v>
      </c>
      <c r="Q1761">
        <v>59992000000</v>
      </c>
      <c r="R1761">
        <v>49359000000</v>
      </c>
      <c r="S1761">
        <v>80323000000</v>
      </c>
      <c r="U1761">
        <v>-61087000000</v>
      </c>
      <c r="V1761">
        <f t="shared" si="66"/>
        <v>350229000000</v>
      </c>
      <c r="W1761">
        <f t="shared" si="67"/>
        <v>907496000000</v>
      </c>
    </row>
    <row r="1762" spans="1:23" x14ac:dyDescent="0.2">
      <c r="A1762">
        <f>IF(D1762="USD",VLOOKUP(VALUE(RIGHT(E1762,4)),'USD RUB'!$E:$F,2,FALSE),1)</f>
        <v>1</v>
      </c>
      <c r="B1762" s="4">
        <v>1</v>
      </c>
      <c r="C1762">
        <v>1000000</v>
      </c>
      <c r="D1762" t="s">
        <v>20</v>
      </c>
      <c r="E1762" s="1" t="s">
        <v>1779</v>
      </c>
      <c r="F1762">
        <v>51243000000</v>
      </c>
      <c r="G1762">
        <v>202847000000</v>
      </c>
      <c r="H1762">
        <v>276530000000</v>
      </c>
      <c r="I1762">
        <v>133947000000</v>
      </c>
      <c r="J1762">
        <v>863617000000</v>
      </c>
      <c r="K1762">
        <v>335175000000</v>
      </c>
      <c r="L1762">
        <v>487904000000</v>
      </c>
      <c r="N1762">
        <v>40538000000</v>
      </c>
      <c r="O1762">
        <v>243174000000</v>
      </c>
      <c r="P1762">
        <v>57953000000</v>
      </c>
      <c r="Q1762">
        <v>34865000000</v>
      </c>
      <c r="R1762">
        <v>30693000000</v>
      </c>
      <c r="S1762">
        <v>53393000000</v>
      </c>
      <c r="U1762">
        <v>-27513000000</v>
      </c>
      <c r="V1762">
        <f t="shared" si="66"/>
        <v>222271000000</v>
      </c>
      <c r="W1762">
        <f t="shared" si="67"/>
        <v>752192000000</v>
      </c>
    </row>
    <row r="1763" spans="1:23" x14ac:dyDescent="0.2">
      <c r="A1763">
        <f>IF(D1763="USD",VLOOKUP(VALUE(RIGHT(E1763,4)),'USD RUB'!$E:$F,2,FALSE),1)</f>
        <v>1</v>
      </c>
      <c r="B1763" s="4">
        <v>1</v>
      </c>
      <c r="C1763">
        <v>1000000</v>
      </c>
      <c r="D1763" t="s">
        <v>20</v>
      </c>
      <c r="E1763" s="1" t="s">
        <v>1780</v>
      </c>
      <c r="F1763">
        <v>66346000000</v>
      </c>
      <c r="G1763">
        <v>220565000000</v>
      </c>
      <c r="H1763">
        <v>273276000000</v>
      </c>
      <c r="I1763">
        <v>132289000000</v>
      </c>
      <c r="J1763">
        <v>870371000000</v>
      </c>
      <c r="K1763">
        <v>276080000000</v>
      </c>
      <c r="L1763">
        <v>523567000000</v>
      </c>
      <c r="N1763">
        <v>70724000000</v>
      </c>
      <c r="O1763">
        <v>118025000000</v>
      </c>
      <c r="P1763">
        <v>28839000000</v>
      </c>
      <c r="Q1763">
        <v>18514000000</v>
      </c>
      <c r="R1763">
        <v>17821000000</v>
      </c>
      <c r="S1763">
        <v>26418000000</v>
      </c>
      <c r="U1763">
        <v>-12457000000</v>
      </c>
      <c r="V1763">
        <f t="shared" si="66"/>
        <v>107925000000</v>
      </c>
      <c r="W1763">
        <f t="shared" si="67"/>
        <v>702071000000</v>
      </c>
    </row>
    <row r="1764" spans="1:23" x14ac:dyDescent="0.2">
      <c r="A1764">
        <f>IF(D1764="USD",VLOOKUP(VALUE(RIGHT(E1764,4)),'USD RUB'!$E:$F,2,FALSE),1)</f>
        <v>1</v>
      </c>
      <c r="B1764" s="4">
        <v>1</v>
      </c>
      <c r="C1764">
        <v>1000000</v>
      </c>
      <c r="D1764" t="s">
        <v>20</v>
      </c>
      <c r="E1764" s="1" t="s">
        <v>1781</v>
      </c>
      <c r="F1764">
        <v>84075000000</v>
      </c>
      <c r="G1764">
        <v>268934000000</v>
      </c>
      <c r="H1764">
        <v>276443000000</v>
      </c>
      <c r="I1764">
        <v>135069000000</v>
      </c>
      <c r="J1764">
        <v>915993000000</v>
      </c>
      <c r="K1764">
        <v>295471000000</v>
      </c>
      <c r="L1764">
        <v>542957000000</v>
      </c>
      <c r="M1764">
        <v>110946000000</v>
      </c>
      <c r="N1764">
        <v>77565000000</v>
      </c>
      <c r="O1764">
        <v>480293000000</v>
      </c>
      <c r="P1764">
        <v>116185000000</v>
      </c>
      <c r="Q1764">
        <v>83851000000</v>
      </c>
      <c r="R1764">
        <v>7832000000</v>
      </c>
      <c r="S1764">
        <v>104588000000</v>
      </c>
      <c r="U1764">
        <v>-86482000000</v>
      </c>
      <c r="V1764">
        <f t="shared" si="66"/>
        <v>442911000000</v>
      </c>
      <c r="W1764">
        <f t="shared" si="67"/>
        <v>551070000000</v>
      </c>
    </row>
    <row r="1765" spans="1:23" x14ac:dyDescent="0.2">
      <c r="A1765">
        <f>IF(D1765="USD",VLOOKUP(VALUE(RIGHT(E1765,4)),'USD RUB'!$E:$F,2,FALSE),1)</f>
        <v>1</v>
      </c>
      <c r="B1765" s="4">
        <v>1</v>
      </c>
      <c r="C1765">
        <v>1000000</v>
      </c>
      <c r="D1765" t="s">
        <v>20</v>
      </c>
      <c r="E1765" s="1" t="s">
        <v>1782</v>
      </c>
      <c r="F1765">
        <v>101144000000</v>
      </c>
      <c r="G1765">
        <v>284498000000</v>
      </c>
      <c r="H1765">
        <v>268493000000</v>
      </c>
      <c r="I1765">
        <v>129002000000</v>
      </c>
      <c r="J1765">
        <v>907496000000</v>
      </c>
      <c r="K1765">
        <v>288586000000</v>
      </c>
      <c r="L1765">
        <v>546868000000</v>
      </c>
      <c r="N1765">
        <v>72042000000</v>
      </c>
      <c r="O1765">
        <v>350229000000</v>
      </c>
      <c r="P1765">
        <v>87248000000</v>
      </c>
      <c r="Q1765">
        <v>64172000000</v>
      </c>
      <c r="R1765">
        <v>-6397000000</v>
      </c>
      <c r="S1765">
        <v>78063000000</v>
      </c>
      <c r="U1765">
        <v>-44660000000</v>
      </c>
      <c r="V1765">
        <f t="shared" si="66"/>
        <v>326087000000</v>
      </c>
      <c r="W1765">
        <f t="shared" si="67"/>
        <v>556690000000</v>
      </c>
    </row>
    <row r="1766" spans="1:23" x14ac:dyDescent="0.2">
      <c r="A1766">
        <f>IF(D1766="USD",VLOOKUP(VALUE(RIGHT(E1766,4)),'USD RUB'!$E:$F,2,FALSE),1)</f>
        <v>1</v>
      </c>
      <c r="B1766" s="4">
        <v>1</v>
      </c>
      <c r="C1766">
        <v>1000000</v>
      </c>
      <c r="D1766" t="s">
        <v>20</v>
      </c>
      <c r="E1766" s="1" t="s">
        <v>1783</v>
      </c>
      <c r="F1766">
        <v>57292000000</v>
      </c>
      <c r="G1766">
        <v>187848000000</v>
      </c>
      <c r="H1766">
        <v>256472000000</v>
      </c>
      <c r="I1766">
        <v>129582000000</v>
      </c>
      <c r="J1766">
        <v>752192000000</v>
      </c>
      <c r="K1766">
        <v>217646000000</v>
      </c>
      <c r="L1766">
        <v>422036000000</v>
      </c>
      <c r="M1766">
        <v>142519000000</v>
      </c>
      <c r="N1766">
        <v>112510000000</v>
      </c>
      <c r="O1766">
        <v>222271000000</v>
      </c>
      <c r="P1766">
        <v>54405000000</v>
      </c>
      <c r="Q1766">
        <v>38550000000</v>
      </c>
      <c r="R1766">
        <v>29953000000</v>
      </c>
      <c r="S1766">
        <v>51608000000</v>
      </c>
      <c r="U1766">
        <v>-34237000000</v>
      </c>
      <c r="V1766">
        <f t="shared" si="66"/>
        <v>211521000000</v>
      </c>
      <c r="W1766">
        <f t="shared" si="67"/>
        <v>575005000000</v>
      </c>
    </row>
    <row r="1767" spans="1:23" x14ac:dyDescent="0.2">
      <c r="A1767">
        <f>IF(D1767="USD",VLOOKUP(VALUE(RIGHT(E1767,4)),'USD RUB'!$E:$F,2,FALSE),1)</f>
        <v>1</v>
      </c>
      <c r="B1767" s="4">
        <v>1</v>
      </c>
      <c r="C1767">
        <v>1000000</v>
      </c>
      <c r="D1767" t="s">
        <v>20</v>
      </c>
      <c r="E1767" s="1" t="s">
        <v>1784</v>
      </c>
      <c r="F1767">
        <v>56923000000</v>
      </c>
      <c r="G1767">
        <v>152608000000</v>
      </c>
      <c r="H1767">
        <v>251944000000</v>
      </c>
      <c r="I1767">
        <v>126298000000</v>
      </c>
      <c r="J1767">
        <v>702071000000</v>
      </c>
      <c r="K1767">
        <v>181446000000</v>
      </c>
      <c r="L1767">
        <v>384811000000</v>
      </c>
      <c r="N1767">
        <v>135814000000</v>
      </c>
      <c r="O1767">
        <v>107925000000</v>
      </c>
      <c r="P1767">
        <v>26804000000</v>
      </c>
      <c r="Q1767">
        <v>20279000000</v>
      </c>
      <c r="R1767">
        <v>15529000000</v>
      </c>
      <c r="S1767">
        <v>25322000000</v>
      </c>
      <c r="V1767">
        <f t="shared" si="66"/>
        <v>104683000000</v>
      </c>
      <c r="W1767">
        <f t="shared" si="67"/>
        <v>537444000000</v>
      </c>
    </row>
    <row r="1768" spans="1:23" x14ac:dyDescent="0.2">
      <c r="A1768">
        <f>IF(D1768="USD",VLOOKUP(VALUE(RIGHT(E1768,4)),'USD RUB'!$E:$F,2,FALSE),1)</f>
        <v>1</v>
      </c>
      <c r="B1768" s="4">
        <v>1</v>
      </c>
      <c r="C1768">
        <v>1000000</v>
      </c>
      <c r="D1768" t="s">
        <v>20</v>
      </c>
      <c r="E1768" s="1" t="s">
        <v>1785</v>
      </c>
      <c r="F1768">
        <v>30586000000</v>
      </c>
      <c r="G1768">
        <v>146032000000</v>
      </c>
      <c r="H1768">
        <v>263063000000</v>
      </c>
      <c r="I1768">
        <v>113678000000</v>
      </c>
      <c r="J1768">
        <v>551070000000</v>
      </c>
      <c r="K1768">
        <v>156671000000</v>
      </c>
      <c r="L1768">
        <v>270194000000</v>
      </c>
      <c r="M1768">
        <v>151043000000</v>
      </c>
      <c r="N1768">
        <v>124205000000</v>
      </c>
      <c r="O1768">
        <v>442911000000</v>
      </c>
      <c r="P1768">
        <v>96100000000</v>
      </c>
      <c r="Q1768">
        <v>75567000000</v>
      </c>
      <c r="R1768">
        <v>56590000000</v>
      </c>
      <c r="S1768">
        <v>79912000000</v>
      </c>
      <c r="U1768">
        <v>-76431000000</v>
      </c>
      <c r="V1768">
        <f t="shared" si="66"/>
        <v>435692000000</v>
      </c>
      <c r="W1768">
        <f t="shared" si="67"/>
        <v>544470000000</v>
      </c>
    </row>
    <row r="1769" spans="1:23" x14ac:dyDescent="0.2">
      <c r="A1769">
        <f>IF(D1769="USD",VLOOKUP(VALUE(RIGHT(E1769,4)),'USD RUB'!$E:$F,2,FALSE),1)</f>
        <v>1</v>
      </c>
      <c r="B1769" s="4">
        <v>1</v>
      </c>
      <c r="C1769">
        <v>1000000</v>
      </c>
      <c r="D1769" t="s">
        <v>20</v>
      </c>
      <c r="E1769" s="1" t="s">
        <v>1786</v>
      </c>
      <c r="F1769">
        <v>23430000000</v>
      </c>
      <c r="G1769">
        <v>148743000000</v>
      </c>
      <c r="H1769">
        <v>262257000000</v>
      </c>
      <c r="I1769">
        <v>106201000000</v>
      </c>
      <c r="J1769">
        <v>556690000000</v>
      </c>
      <c r="K1769">
        <v>160156000000</v>
      </c>
      <c r="L1769">
        <v>271324000000</v>
      </c>
      <c r="N1769">
        <v>125210000000</v>
      </c>
      <c r="O1769">
        <v>326087000000</v>
      </c>
      <c r="P1769">
        <v>73150000000</v>
      </c>
      <c r="Q1769">
        <v>58549000000</v>
      </c>
      <c r="R1769">
        <v>45559000000</v>
      </c>
      <c r="S1769">
        <v>60294000000</v>
      </c>
      <c r="U1769">
        <v>-48716000000</v>
      </c>
      <c r="V1769">
        <f t="shared" si="66"/>
        <v>324102000000</v>
      </c>
      <c r="W1769">
        <f t="shared" si="67"/>
        <v>563405000000</v>
      </c>
    </row>
    <row r="1770" spans="1:23" x14ac:dyDescent="0.2">
      <c r="A1770">
        <f>IF(D1770="USD",VLOOKUP(VALUE(RIGHT(E1770,4)),'USD RUB'!$E:$F,2,FALSE),1)</f>
        <v>1</v>
      </c>
      <c r="B1770" s="4">
        <v>1</v>
      </c>
      <c r="C1770">
        <v>1000000</v>
      </c>
      <c r="D1770" t="s">
        <v>20</v>
      </c>
      <c r="E1770" s="1" t="s">
        <v>1787</v>
      </c>
      <c r="F1770">
        <v>34272000000</v>
      </c>
      <c r="G1770">
        <v>163986000000</v>
      </c>
      <c r="H1770">
        <v>263991000000</v>
      </c>
      <c r="I1770">
        <v>106249000000</v>
      </c>
      <c r="J1770">
        <v>575005000000</v>
      </c>
      <c r="K1770">
        <v>153295000000</v>
      </c>
      <c r="L1770">
        <v>291058000000</v>
      </c>
      <c r="M1770">
        <v>142341000000</v>
      </c>
      <c r="N1770">
        <v>130652000000</v>
      </c>
      <c r="O1770">
        <v>211521000000</v>
      </c>
      <c r="P1770">
        <v>45576000000</v>
      </c>
      <c r="Q1770">
        <v>34921000000</v>
      </c>
      <c r="R1770">
        <v>27465000000</v>
      </c>
      <c r="S1770">
        <v>40245000000</v>
      </c>
      <c r="U1770">
        <v>-26428000000</v>
      </c>
      <c r="V1770">
        <f t="shared" si="66"/>
        <v>216226000000</v>
      </c>
      <c r="W1770">
        <f t="shared" si="67"/>
        <v>595353000000</v>
      </c>
    </row>
    <row r="1771" spans="1:23" x14ac:dyDescent="0.2">
      <c r="A1771">
        <f>IF(D1771="USD",VLOOKUP(VALUE(RIGHT(E1771,4)),'USD RUB'!$E:$F,2,FALSE),1)</f>
        <v>1</v>
      </c>
      <c r="B1771" s="4">
        <v>1</v>
      </c>
      <c r="C1771">
        <v>1000000</v>
      </c>
      <c r="D1771" t="s">
        <v>20</v>
      </c>
      <c r="E1771" s="1" t="s">
        <v>1788</v>
      </c>
      <c r="F1771">
        <v>25353000000</v>
      </c>
      <c r="G1771">
        <v>128722000000</v>
      </c>
      <c r="H1771">
        <v>262296000000</v>
      </c>
      <c r="I1771">
        <v>106663000000</v>
      </c>
      <c r="J1771">
        <v>537444000000</v>
      </c>
      <c r="K1771">
        <v>127368000000</v>
      </c>
      <c r="L1771">
        <v>265627000000</v>
      </c>
      <c r="N1771">
        <v>144449000000</v>
      </c>
      <c r="O1771">
        <v>104683000000</v>
      </c>
      <c r="P1771">
        <v>21715000000</v>
      </c>
      <c r="Q1771">
        <v>16274000000</v>
      </c>
      <c r="R1771">
        <v>12596000000</v>
      </c>
      <c r="S1771">
        <v>20130000000</v>
      </c>
      <c r="U1771">
        <v>-11106000000</v>
      </c>
      <c r="V1771">
        <f t="shared" si="66"/>
        <v>108090000000</v>
      </c>
      <c r="W1771">
        <f t="shared" si="67"/>
        <v>625016000000</v>
      </c>
    </row>
    <row r="1772" spans="1:23" x14ac:dyDescent="0.2">
      <c r="A1772">
        <f>IF(D1772="USD",VLOOKUP(VALUE(RIGHT(E1772,4)),'USD RUB'!$E:$F,2,FALSE),1)</f>
        <v>1</v>
      </c>
      <c r="B1772" s="4">
        <v>1</v>
      </c>
      <c r="C1772">
        <v>1000000</v>
      </c>
      <c r="D1772" t="s">
        <v>20</v>
      </c>
      <c r="E1772" s="1" t="s">
        <v>1789</v>
      </c>
      <c r="F1772">
        <v>16470000000</v>
      </c>
      <c r="G1772">
        <v>90994000000</v>
      </c>
      <c r="H1772">
        <v>272841000000</v>
      </c>
      <c r="J1772">
        <v>544470000000</v>
      </c>
      <c r="K1772">
        <v>127545000000</v>
      </c>
      <c r="L1772">
        <v>272977000000</v>
      </c>
      <c r="M1772">
        <v>145622000000</v>
      </c>
      <c r="N1772">
        <v>143948000000</v>
      </c>
      <c r="O1772">
        <v>435692000000</v>
      </c>
      <c r="P1772">
        <v>87669000000</v>
      </c>
      <c r="Q1772">
        <v>67609000000</v>
      </c>
      <c r="R1772">
        <v>52471000000</v>
      </c>
      <c r="U1772">
        <v>83600000000</v>
      </c>
      <c r="V1772">
        <f t="shared" si="66"/>
        <v>431232000000</v>
      </c>
      <c r="W1772">
        <f t="shared" si="67"/>
        <v>653378000000</v>
      </c>
    </row>
    <row r="1773" spans="1:23" x14ac:dyDescent="0.2">
      <c r="A1773">
        <f>IF(D1773="USD",VLOOKUP(VALUE(RIGHT(E1773,4)),'USD RUB'!$E:$F,2,FALSE),1)</f>
        <v>1</v>
      </c>
      <c r="B1773" s="4">
        <v>1</v>
      </c>
      <c r="C1773">
        <v>1000000</v>
      </c>
      <c r="D1773" t="s">
        <v>20</v>
      </c>
      <c r="E1773" s="1" t="s">
        <v>1790</v>
      </c>
      <c r="F1773">
        <v>36489000000</v>
      </c>
      <c r="G1773">
        <v>110875000000</v>
      </c>
      <c r="H1773">
        <v>275670000000</v>
      </c>
      <c r="J1773">
        <v>563405000000</v>
      </c>
      <c r="K1773">
        <v>175091000000</v>
      </c>
      <c r="L1773">
        <v>253173000000</v>
      </c>
      <c r="N1773">
        <v>135141000000</v>
      </c>
      <c r="O1773">
        <v>324102000000</v>
      </c>
      <c r="P1773">
        <v>66272000000</v>
      </c>
      <c r="Q1773">
        <v>51063000000</v>
      </c>
      <c r="R1773">
        <v>39953000000</v>
      </c>
      <c r="U1773">
        <v>-36925000000</v>
      </c>
      <c r="V1773">
        <f t="shared" si="66"/>
        <v>317907000000</v>
      </c>
      <c r="W1773">
        <f t="shared" si="67"/>
        <v>649120000000</v>
      </c>
    </row>
    <row r="1774" spans="1:23" x14ac:dyDescent="0.2">
      <c r="A1774">
        <f>IF(D1774="USD",VLOOKUP(VALUE(RIGHT(E1774,4)),'USD RUB'!$E:$F,2,FALSE),1)</f>
        <v>1</v>
      </c>
      <c r="B1774" s="4">
        <v>1</v>
      </c>
      <c r="C1774">
        <v>1000000</v>
      </c>
      <c r="D1774" t="s">
        <v>20</v>
      </c>
      <c r="E1774" s="1" t="s">
        <v>1791</v>
      </c>
      <c r="F1774">
        <v>24956000000</v>
      </c>
      <c r="G1774">
        <v>122268000000</v>
      </c>
      <c r="H1774">
        <v>288402000000</v>
      </c>
      <c r="J1774">
        <v>595353000000</v>
      </c>
      <c r="K1774">
        <v>173234000000</v>
      </c>
      <c r="L1774">
        <v>270685000000</v>
      </c>
      <c r="M1774">
        <v>168789000000</v>
      </c>
      <c r="N1774">
        <v>151434000000</v>
      </c>
      <c r="O1774">
        <v>216226000000</v>
      </c>
      <c r="P1774">
        <v>41084000000</v>
      </c>
      <c r="Q1774">
        <v>30008000000</v>
      </c>
      <c r="R1774">
        <v>23288000000</v>
      </c>
      <c r="V1774">
        <f t="shared" si="66"/>
        <v>202873000000</v>
      </c>
      <c r="W1774">
        <f t="shared" si="67"/>
        <v>635283000000</v>
      </c>
    </row>
    <row r="1775" spans="1:23" x14ac:dyDescent="0.2">
      <c r="A1775">
        <f>IF(D1775="USD",VLOOKUP(VALUE(RIGHT(E1775,4)),'USD RUB'!$E:$F,2,FALSE),1)</f>
        <v>1</v>
      </c>
      <c r="B1775" s="4">
        <v>1</v>
      </c>
      <c r="C1775">
        <v>1000000</v>
      </c>
      <c r="D1775" t="s">
        <v>20</v>
      </c>
      <c r="E1775" s="1" t="s">
        <v>1792</v>
      </c>
      <c r="F1775">
        <v>44389000000</v>
      </c>
      <c r="G1775">
        <v>149134000000</v>
      </c>
      <c r="H1775">
        <v>292949000000</v>
      </c>
      <c r="J1775">
        <v>625016000000</v>
      </c>
      <c r="K1775">
        <v>147140000000</v>
      </c>
      <c r="L1775">
        <v>304893000000</v>
      </c>
      <c r="N1775">
        <v>172983000000</v>
      </c>
      <c r="O1775">
        <v>108090000000</v>
      </c>
      <c r="P1775">
        <v>21031000000</v>
      </c>
      <c r="Q1775">
        <v>17580000000</v>
      </c>
      <c r="R1775">
        <v>14317000000</v>
      </c>
      <c r="V1775">
        <f t="shared" si="66"/>
        <v>100182000000</v>
      </c>
      <c r="W1775">
        <f t="shared" si="67"/>
        <v>640795000000</v>
      </c>
    </row>
    <row r="1776" spans="1:23" x14ac:dyDescent="0.2">
      <c r="A1776">
        <f>IF(D1776="USD",VLOOKUP(VALUE(RIGHT(E1776,4)),'USD RUB'!$E:$F,2,FALSE),1)</f>
        <v>1</v>
      </c>
      <c r="B1776" s="4">
        <v>1</v>
      </c>
      <c r="C1776">
        <v>1000000</v>
      </c>
      <c r="D1776" t="s">
        <v>20</v>
      </c>
      <c r="E1776" s="1" t="s">
        <v>1793</v>
      </c>
      <c r="F1776">
        <v>33464000000</v>
      </c>
      <c r="G1776">
        <v>159017000000</v>
      </c>
      <c r="H1776">
        <v>302662000000</v>
      </c>
      <c r="J1776">
        <v>653378000000</v>
      </c>
      <c r="K1776">
        <v>157910000000</v>
      </c>
      <c r="L1776">
        <v>327097000000</v>
      </c>
      <c r="N1776">
        <v>168371000000</v>
      </c>
      <c r="O1776">
        <v>431232000000</v>
      </c>
      <c r="P1776">
        <v>87859000000</v>
      </c>
      <c r="Q1776">
        <v>60673000000</v>
      </c>
      <c r="R1776">
        <v>47404000000</v>
      </c>
      <c r="U1776">
        <v>96111000000</v>
      </c>
      <c r="V1776">
        <f t="shared" si="66"/>
        <v>410758000000</v>
      </c>
      <c r="W1776">
        <f t="shared" si="67"/>
        <v>608927000000</v>
      </c>
    </row>
    <row r="1777" spans="1:23" x14ac:dyDescent="0.2">
      <c r="A1777">
        <f>IF(D1777="USD",VLOOKUP(VALUE(RIGHT(E1777,4)),'USD RUB'!$E:$F,2,FALSE),1)</f>
        <v>1</v>
      </c>
      <c r="B1777" s="4">
        <v>1</v>
      </c>
      <c r="C1777">
        <v>1000000</v>
      </c>
      <c r="D1777" t="s">
        <v>20</v>
      </c>
      <c r="E1777" s="1" t="s">
        <v>1794</v>
      </c>
      <c r="F1777">
        <v>25149000000</v>
      </c>
      <c r="G1777">
        <v>167208000000</v>
      </c>
      <c r="H1777">
        <v>295220000000</v>
      </c>
      <c r="J1777">
        <v>649120000000</v>
      </c>
      <c r="K1777">
        <v>164822000000</v>
      </c>
      <c r="L1777">
        <v>320383000000</v>
      </c>
      <c r="N1777">
        <v>163915000000</v>
      </c>
      <c r="O1777">
        <v>317907000000</v>
      </c>
      <c r="P1777">
        <v>68984000000</v>
      </c>
      <c r="Q1777">
        <v>51420000000</v>
      </c>
      <c r="R1777">
        <v>40631000000</v>
      </c>
      <c r="V1777" t="str">
        <f t="shared" si="66"/>
        <v/>
      </c>
      <c r="W1777" t="str">
        <f t="shared" si="67"/>
        <v/>
      </c>
    </row>
    <row r="1778" spans="1:23" x14ac:dyDescent="0.2">
      <c r="A1778">
        <f>IF(D1778="USD",VLOOKUP(VALUE(RIGHT(E1778,4)),'USD RUB'!$E:$F,2,FALSE),1)</f>
        <v>1</v>
      </c>
      <c r="B1778" s="4">
        <v>1</v>
      </c>
      <c r="C1778">
        <v>1000000</v>
      </c>
      <c r="D1778" t="s">
        <v>20</v>
      </c>
      <c r="E1778" s="1" t="s">
        <v>1795</v>
      </c>
      <c r="F1778">
        <v>44120000000</v>
      </c>
      <c r="G1778">
        <v>159024000000</v>
      </c>
      <c r="H1778">
        <v>291118000000</v>
      </c>
      <c r="J1778">
        <v>635283000000</v>
      </c>
      <c r="K1778">
        <v>176364000000</v>
      </c>
      <c r="L1778">
        <v>302062000000</v>
      </c>
      <c r="M1778">
        <v>163532000000</v>
      </c>
      <c r="N1778">
        <v>156857000000</v>
      </c>
      <c r="O1778">
        <v>202873000000</v>
      </c>
      <c r="P1778">
        <v>41664000000</v>
      </c>
      <c r="Q1778">
        <v>33326000000</v>
      </c>
      <c r="R1778">
        <v>26677000000</v>
      </c>
      <c r="V1778">
        <f t="shared" si="66"/>
        <v>196422000000</v>
      </c>
      <c r="W1778">
        <f t="shared" si="67"/>
        <v>519024000000</v>
      </c>
    </row>
    <row r="1779" spans="1:23" x14ac:dyDescent="0.2">
      <c r="A1779">
        <f>IF(D1779="USD",VLOOKUP(VALUE(RIGHT(E1779,4)),'USD RUB'!$E:$F,2,FALSE),1)</f>
        <v>1</v>
      </c>
      <c r="B1779" s="4">
        <v>1</v>
      </c>
      <c r="C1779">
        <v>1000000</v>
      </c>
      <c r="D1779" t="s">
        <v>20</v>
      </c>
      <c r="E1779" s="1" t="s">
        <v>1796</v>
      </c>
      <c r="F1779">
        <v>43776000000</v>
      </c>
      <c r="G1779">
        <v>154458000000</v>
      </c>
      <c r="H1779">
        <v>293770000000</v>
      </c>
      <c r="J1779">
        <v>640795000000</v>
      </c>
      <c r="K1779">
        <v>140944000000</v>
      </c>
      <c r="L1779">
        <v>320067000000</v>
      </c>
      <c r="N1779">
        <v>179784000000</v>
      </c>
      <c r="O1779">
        <v>100182000000</v>
      </c>
      <c r="P1779">
        <v>19163000000</v>
      </c>
      <c r="Q1779">
        <v>11927000000</v>
      </c>
      <c r="R1779">
        <v>9989000000</v>
      </c>
      <c r="V1779">
        <f t="shared" si="66"/>
        <v>97562000000</v>
      </c>
      <c r="W1779">
        <f t="shared" si="67"/>
        <v>502858000000</v>
      </c>
    </row>
    <row r="1780" spans="1:23" x14ac:dyDescent="0.2">
      <c r="A1780">
        <f>IF(D1780="USD",VLOOKUP(VALUE(RIGHT(E1780,4)),'USD RUB'!$E:$F,2,FALSE),1)</f>
        <v>1</v>
      </c>
      <c r="B1780" s="4">
        <v>1</v>
      </c>
      <c r="C1780">
        <v>1000000</v>
      </c>
      <c r="D1780" t="s">
        <v>20</v>
      </c>
      <c r="E1780" s="1" t="s">
        <v>1797</v>
      </c>
      <c r="F1780">
        <v>61410000000</v>
      </c>
      <c r="G1780">
        <v>152124000000</v>
      </c>
      <c r="H1780">
        <v>299479000000</v>
      </c>
      <c r="J1780">
        <v>608927000000</v>
      </c>
      <c r="K1780">
        <v>137439000000</v>
      </c>
      <c r="L1780">
        <v>292371000000</v>
      </c>
      <c r="M1780">
        <v>174556000000</v>
      </c>
      <c r="N1780">
        <v>179117000000</v>
      </c>
      <c r="O1780">
        <v>410758000000</v>
      </c>
      <c r="P1780">
        <v>102349000000</v>
      </c>
      <c r="Q1780">
        <v>68740000000</v>
      </c>
      <c r="R1780">
        <v>52393000000</v>
      </c>
      <c r="V1780">
        <f t="shared" si="66"/>
        <v>398443000000</v>
      </c>
      <c r="W1780">
        <f t="shared" si="67"/>
        <v>485524000000</v>
      </c>
    </row>
    <row r="1781" spans="1:23" x14ac:dyDescent="0.2">
      <c r="A1781">
        <f>IF(D1781="USD",VLOOKUP(VALUE(RIGHT(E1781,4)),'USD RUB'!$E:$F,2,FALSE),1)</f>
        <v>1</v>
      </c>
      <c r="B1781" s="4">
        <v>1</v>
      </c>
      <c r="C1781">
        <v>1000000</v>
      </c>
      <c r="D1781" t="s">
        <v>20</v>
      </c>
      <c r="E1781" s="1" t="s">
        <v>1798</v>
      </c>
      <c r="F1781">
        <v>53449000000</v>
      </c>
      <c r="G1781">
        <v>139934000000</v>
      </c>
      <c r="H1781">
        <v>265723000000</v>
      </c>
      <c r="J1781">
        <v>519024000000</v>
      </c>
      <c r="K1781">
        <v>122148000000</v>
      </c>
      <c r="L1781">
        <v>246861000000</v>
      </c>
      <c r="N1781">
        <v>150015000000</v>
      </c>
      <c r="O1781">
        <v>196422000000</v>
      </c>
      <c r="P1781">
        <v>48410000000</v>
      </c>
      <c r="Q1781">
        <v>44277000000</v>
      </c>
      <c r="R1781">
        <v>34554000000</v>
      </c>
      <c r="V1781">
        <f t="shared" si="66"/>
        <v>190304000000</v>
      </c>
      <c r="W1781">
        <f t="shared" si="67"/>
        <v>510102000000</v>
      </c>
    </row>
    <row r="1782" spans="1:23" x14ac:dyDescent="0.2">
      <c r="A1782">
        <f>IF(D1782="USD",VLOOKUP(VALUE(RIGHT(E1782,4)),'USD RUB'!$E:$F,2,FALSE),1)</f>
        <v>1</v>
      </c>
      <c r="B1782" s="4">
        <v>1</v>
      </c>
      <c r="C1782">
        <v>1000000</v>
      </c>
      <c r="D1782" t="s">
        <v>20</v>
      </c>
      <c r="E1782" s="1" t="s">
        <v>1799</v>
      </c>
      <c r="F1782">
        <v>37207000000</v>
      </c>
      <c r="G1782">
        <v>142126000000</v>
      </c>
      <c r="H1782">
        <v>261467000000</v>
      </c>
      <c r="J1782">
        <v>502858000000</v>
      </c>
      <c r="K1782">
        <v>104762000000</v>
      </c>
      <c r="L1782">
        <v>229713000000</v>
      </c>
      <c r="N1782">
        <v>168383000000</v>
      </c>
      <c r="O1782">
        <v>97562000000</v>
      </c>
      <c r="P1782">
        <v>23437000000</v>
      </c>
      <c r="Q1782">
        <v>17032000000</v>
      </c>
      <c r="R1782">
        <v>13240000000</v>
      </c>
      <c r="V1782">
        <f t="shared" si="66"/>
        <v>92856000000</v>
      </c>
      <c r="W1782">
        <f t="shared" si="67"/>
        <v>466027000000</v>
      </c>
    </row>
    <row r="1783" spans="1:23" x14ac:dyDescent="0.2">
      <c r="A1783">
        <f>IF(D1783="USD",VLOOKUP(VALUE(RIGHT(E1783,4)),'USD RUB'!$E:$F,2,FALSE),1)</f>
        <v>1</v>
      </c>
      <c r="B1783" s="4">
        <v>1</v>
      </c>
      <c r="C1783">
        <v>1000000</v>
      </c>
      <c r="D1783" t="s">
        <v>20</v>
      </c>
      <c r="E1783" s="1" t="s">
        <v>1800</v>
      </c>
      <c r="F1783">
        <v>30612000000</v>
      </c>
      <c r="G1783">
        <v>116676000000</v>
      </c>
      <c r="H1783">
        <v>270660000000</v>
      </c>
      <c r="J1783">
        <v>485524000000</v>
      </c>
      <c r="K1783">
        <v>101862000000</v>
      </c>
      <c r="L1783">
        <v>224677000000</v>
      </c>
      <c r="N1783">
        <v>158985000000</v>
      </c>
      <c r="O1783">
        <v>398443000000</v>
      </c>
      <c r="P1783">
        <v>101758000000</v>
      </c>
      <c r="Q1783">
        <v>98688000000</v>
      </c>
      <c r="R1783">
        <v>77055000000</v>
      </c>
      <c r="T1783">
        <v>175000000000</v>
      </c>
      <c r="V1783">
        <f t="shared" si="66"/>
        <v>386288208098.45953</v>
      </c>
      <c r="W1783">
        <f t="shared" si="67"/>
        <v>465318364131.78827</v>
      </c>
    </row>
    <row r="1784" spans="1:23" x14ac:dyDescent="0.2">
      <c r="A1784">
        <f>IF(D1784="USD",VLOOKUP(VALUE(RIGHT(E1784,4)),'USD RUB'!$E:$F,2,FALSE),1)</f>
        <v>1</v>
      </c>
      <c r="B1784" s="4">
        <v>1</v>
      </c>
      <c r="C1784">
        <v>1000000</v>
      </c>
      <c r="D1784" t="s">
        <v>20</v>
      </c>
      <c r="E1784" s="1" t="s">
        <v>1801</v>
      </c>
      <c r="F1784">
        <v>45084000000</v>
      </c>
      <c r="G1784">
        <v>134160000000</v>
      </c>
      <c r="H1784">
        <v>256650000000</v>
      </c>
      <c r="J1784">
        <v>485724000000</v>
      </c>
      <c r="K1784">
        <v>125708000000</v>
      </c>
      <c r="L1784">
        <v>224135000000</v>
      </c>
      <c r="N1784">
        <v>135881000000</v>
      </c>
      <c r="O1784">
        <v>293692000000</v>
      </c>
      <c r="P1784">
        <v>74538000000</v>
      </c>
      <c r="Q1784">
        <v>71100000000</v>
      </c>
      <c r="R1784">
        <v>57136000000</v>
      </c>
      <c r="T1784">
        <v>46000000000</v>
      </c>
      <c r="V1784">
        <f t="shared" si="66"/>
        <v>287893560408.87799</v>
      </c>
      <c r="W1784">
        <f t="shared" si="67"/>
        <v>451015519082.26642</v>
      </c>
    </row>
    <row r="1785" spans="1:23" x14ac:dyDescent="0.2">
      <c r="A1785">
        <f>IF(D1785="USD",VLOOKUP(VALUE(RIGHT(E1785,4)),'USD RUB'!$E:$F,2,FALSE),1)</f>
        <v>1</v>
      </c>
      <c r="B1785" s="4">
        <v>1</v>
      </c>
      <c r="C1785">
        <v>1000000</v>
      </c>
      <c r="D1785" t="s">
        <v>20</v>
      </c>
      <c r="E1785" s="1" t="s">
        <v>1802</v>
      </c>
      <c r="F1785">
        <v>64156000000</v>
      </c>
      <c r="G1785">
        <v>158335000000</v>
      </c>
      <c r="H1785">
        <v>257642000000</v>
      </c>
      <c r="J1785">
        <v>510102000000</v>
      </c>
      <c r="K1785">
        <v>158029000000</v>
      </c>
      <c r="L1785">
        <v>223553000000</v>
      </c>
      <c r="N1785">
        <v>128520000000</v>
      </c>
      <c r="O1785">
        <v>190304000000</v>
      </c>
      <c r="P1785">
        <v>47144000000</v>
      </c>
      <c r="Q1785">
        <v>46460000000</v>
      </c>
      <c r="R1785">
        <v>38778000000</v>
      </c>
      <c r="V1785">
        <f t="shared" si="66"/>
        <v>190601740857.5907</v>
      </c>
      <c r="W1785">
        <f t="shared" si="67"/>
        <v>450997875323.07562</v>
      </c>
    </row>
    <row r="1786" spans="1:23" x14ac:dyDescent="0.2">
      <c r="A1786">
        <f>IF(D1786="USD",VLOOKUP(VALUE(RIGHT(E1786,4)),'USD RUB'!$E:$F,2,FALSE),1)</f>
        <v>1</v>
      </c>
      <c r="B1786" s="4">
        <v>1</v>
      </c>
      <c r="C1786">
        <v>1000000</v>
      </c>
      <c r="D1786" t="s">
        <v>20</v>
      </c>
      <c r="E1786" s="1" t="s">
        <v>1803</v>
      </c>
      <c r="F1786">
        <v>20585000000</v>
      </c>
      <c r="G1786">
        <v>109718000000</v>
      </c>
      <c r="H1786">
        <v>266482000000</v>
      </c>
      <c r="J1786">
        <v>466027000000</v>
      </c>
      <c r="K1786">
        <v>110205000000</v>
      </c>
      <c r="L1786">
        <v>225607000000</v>
      </c>
      <c r="N1786">
        <v>130215000000</v>
      </c>
      <c r="O1786">
        <v>92856000000</v>
      </c>
      <c r="P1786">
        <v>22692000000</v>
      </c>
      <c r="Q1786">
        <v>17739000000</v>
      </c>
      <c r="R1786">
        <v>13207000000</v>
      </c>
      <c r="V1786" t="str">
        <f t="shared" si="66"/>
        <v/>
      </c>
      <c r="W1786" t="str">
        <f t="shared" si="67"/>
        <v/>
      </c>
    </row>
    <row r="1787" spans="1:23" x14ac:dyDescent="0.2">
      <c r="A1787">
        <f>IF(D1787="USD",VLOOKUP(VALUE(RIGHT(E1787,4)),'USD RUB'!$E:$F,2,FALSE),1)</f>
        <v>31.062956321839064</v>
      </c>
      <c r="B1787" s="4">
        <v>31.062956321839064</v>
      </c>
      <c r="C1787">
        <v>1000</v>
      </c>
      <c r="D1787" t="s">
        <v>111</v>
      </c>
      <c r="E1787" s="1" t="s">
        <v>1804</v>
      </c>
      <c r="F1787">
        <v>22514523930.93792</v>
      </c>
      <c r="G1787">
        <v>94461114467.590759</v>
      </c>
      <c r="H1787">
        <v>277957918514.55615</v>
      </c>
      <c r="J1787">
        <v>465318364131.78827</v>
      </c>
      <c r="K1787">
        <v>115982742062.65741</v>
      </c>
      <c r="L1787">
        <v>230403638681.45276</v>
      </c>
      <c r="N1787">
        <v>116581729049.41144</v>
      </c>
      <c r="O1787">
        <v>386288208098.45953</v>
      </c>
      <c r="P1787">
        <v>62003555658.726402</v>
      </c>
      <c r="Q1787">
        <v>50315372831.682732</v>
      </c>
      <c r="R1787">
        <v>32257637621.976994</v>
      </c>
      <c r="V1787" t="str">
        <f t="shared" si="66"/>
        <v/>
      </c>
      <c r="W1787" t="str">
        <f t="shared" si="67"/>
        <v/>
      </c>
    </row>
    <row r="1788" spans="1:23" x14ac:dyDescent="0.2">
      <c r="A1788">
        <f>IF(D1788="USD",VLOOKUP(VALUE(RIGHT(E1788,4)),'USD RUB'!$E:$F,2,FALSE),1)</f>
        <v>31.062956321839064</v>
      </c>
      <c r="B1788" s="4">
        <v>31.062956321839064</v>
      </c>
      <c r="C1788">
        <v>1000</v>
      </c>
      <c r="D1788" t="s">
        <v>111</v>
      </c>
      <c r="E1788" s="1" t="s">
        <v>1805</v>
      </c>
      <c r="F1788">
        <v>23353348003.452862</v>
      </c>
      <c r="G1788">
        <v>98648897987.075806</v>
      </c>
      <c r="H1788">
        <v>258878677986.20676</v>
      </c>
      <c r="J1788">
        <v>451015519082.26642</v>
      </c>
      <c r="K1788">
        <v>129266784270.73557</v>
      </c>
      <c r="L1788">
        <v>221342294755.76541</v>
      </c>
      <c r="N1788">
        <v>98437483506.349365</v>
      </c>
      <c r="O1788">
        <v>287893560408.87799</v>
      </c>
      <c r="P1788">
        <v>36966812863.32412</v>
      </c>
      <c r="Q1788">
        <v>28244893861.365501</v>
      </c>
      <c r="R1788">
        <v>15027885513.029877</v>
      </c>
      <c r="V1788" t="str">
        <f t="shared" si="66"/>
        <v/>
      </c>
      <c r="W1788" t="str">
        <f t="shared" si="67"/>
        <v/>
      </c>
    </row>
    <row r="1789" spans="1:23" x14ac:dyDescent="0.2">
      <c r="A1789">
        <f>IF(D1789="USD",VLOOKUP(VALUE(RIGHT(E1789,4)),'USD RUB'!$E:$F,2,FALSE),1)</f>
        <v>31.062956321839064</v>
      </c>
      <c r="B1789" s="4">
        <v>31.062956321839064</v>
      </c>
      <c r="C1789">
        <v>1000</v>
      </c>
      <c r="D1789" t="s">
        <v>111</v>
      </c>
      <c r="E1789" s="1" t="s">
        <v>1806</v>
      </c>
      <c r="F1789">
        <v>27367520660.055157</v>
      </c>
      <c r="G1789">
        <v>121398817001.02063</v>
      </c>
      <c r="H1789">
        <v>240876856097.88034</v>
      </c>
      <c r="J1789">
        <v>450997875323.07562</v>
      </c>
      <c r="K1789">
        <v>162126453049.18613</v>
      </c>
      <c r="L1789">
        <v>210943131427.20908</v>
      </c>
      <c r="N1789">
        <v>75959334297.264328</v>
      </c>
      <c r="O1789">
        <v>190601740857.5907</v>
      </c>
      <c r="P1789">
        <v>11345806922.464361</v>
      </c>
      <c r="Q1789">
        <v>2465901724.6528721</v>
      </c>
      <c r="R1789">
        <v>-4805035524.5563192</v>
      </c>
      <c r="V1789" t="str">
        <f t="shared" si="66"/>
        <v/>
      </c>
      <c r="W1789" t="str">
        <f t="shared" si="67"/>
        <v/>
      </c>
    </row>
    <row r="1790" spans="1:23" x14ac:dyDescent="0.2">
      <c r="A1790">
        <f>IF(D1790="USD",VLOOKUP(VALUE(RIGHT(E1790,4)),'USD RUB'!$E:$F,2,FALSE),1)</f>
        <v>1</v>
      </c>
      <c r="B1790" s="4">
        <v>1</v>
      </c>
      <c r="C1790">
        <v>1000000</v>
      </c>
      <c r="D1790" t="s">
        <v>20</v>
      </c>
      <c r="E1790" s="1" t="s">
        <v>1807</v>
      </c>
      <c r="F1790">
        <v>26245000000</v>
      </c>
      <c r="G1790">
        <v>210134000000</v>
      </c>
      <c r="H1790">
        <v>736123000000</v>
      </c>
      <c r="I1790">
        <v>232488000000</v>
      </c>
      <c r="J1790">
        <v>1432881000000</v>
      </c>
      <c r="K1790">
        <v>555745000000</v>
      </c>
      <c r="L1790">
        <v>596937000000</v>
      </c>
      <c r="M1790">
        <v>228296000000</v>
      </c>
      <c r="N1790">
        <v>280199000000</v>
      </c>
      <c r="O1790">
        <v>872790000000</v>
      </c>
      <c r="P1790">
        <v>149359000000</v>
      </c>
      <c r="Q1790">
        <v>26352000000</v>
      </c>
      <c r="R1790">
        <v>18715000000</v>
      </c>
      <c r="S1790">
        <v>177776000000</v>
      </c>
      <c r="U1790">
        <v>-158039000000</v>
      </c>
      <c r="V1790">
        <f t="shared" si="66"/>
        <v>779945000000</v>
      </c>
      <c r="W1790">
        <f t="shared" si="67"/>
        <v>1380913000000</v>
      </c>
    </row>
    <row r="1791" spans="1:23" x14ac:dyDescent="0.2">
      <c r="A1791">
        <f>IF(D1791="USD",VLOOKUP(VALUE(RIGHT(E1791,4)),'USD RUB'!$E:$F,2,FALSE),1)</f>
        <v>1</v>
      </c>
      <c r="B1791" s="4">
        <v>1</v>
      </c>
      <c r="C1791">
        <v>1000000</v>
      </c>
      <c r="D1791" t="s">
        <v>20</v>
      </c>
      <c r="E1791" s="1" t="s">
        <v>1808</v>
      </c>
      <c r="F1791">
        <v>24895000000</v>
      </c>
      <c r="G1791">
        <v>227930000000</v>
      </c>
      <c r="H1791">
        <v>712405000000</v>
      </c>
      <c r="I1791">
        <v>224035000000</v>
      </c>
      <c r="J1791">
        <v>1411608000000</v>
      </c>
      <c r="K1791">
        <v>658583000000</v>
      </c>
      <c r="L1791">
        <v>471915000000</v>
      </c>
      <c r="M1791">
        <v>231400000000</v>
      </c>
      <c r="N1791">
        <v>281110000000</v>
      </c>
      <c r="O1791">
        <v>602324000000</v>
      </c>
      <c r="P1791">
        <v>106599000000</v>
      </c>
      <c r="Q1791">
        <v>21718000000</v>
      </c>
      <c r="R1791">
        <v>18466000000</v>
      </c>
      <c r="S1791">
        <v>126576000000</v>
      </c>
      <c r="U1791">
        <v>-106416000000</v>
      </c>
      <c r="V1791">
        <f t="shared" si="66"/>
        <v>546055000000</v>
      </c>
      <c r="W1791">
        <f t="shared" si="67"/>
        <v>1331557000000</v>
      </c>
    </row>
    <row r="1792" spans="1:23" x14ac:dyDescent="0.2">
      <c r="A1792">
        <f>IF(D1792="USD",VLOOKUP(VALUE(RIGHT(E1792,4)),'USD RUB'!$E:$F,2,FALSE),1)</f>
        <v>1</v>
      </c>
      <c r="B1792" s="4">
        <v>1</v>
      </c>
      <c r="C1792">
        <v>1000000</v>
      </c>
      <c r="D1792" t="s">
        <v>20</v>
      </c>
      <c r="E1792" s="1" t="s">
        <v>1809</v>
      </c>
      <c r="F1792">
        <v>37150000000</v>
      </c>
      <c r="G1792">
        <v>224621000000</v>
      </c>
      <c r="H1792">
        <v>711570000000</v>
      </c>
      <c r="I1792">
        <v>220723000000</v>
      </c>
      <c r="J1792">
        <v>1402228000000</v>
      </c>
      <c r="K1792">
        <v>578644000000</v>
      </c>
      <c r="L1792">
        <v>538209000000</v>
      </c>
      <c r="M1792">
        <v>237386000000</v>
      </c>
      <c r="N1792">
        <v>285375000000</v>
      </c>
      <c r="O1792">
        <v>393605000000</v>
      </c>
      <c r="P1792">
        <v>70338000000</v>
      </c>
      <c r="Q1792">
        <v>14436000000</v>
      </c>
      <c r="R1792">
        <v>12844000000</v>
      </c>
      <c r="S1792">
        <v>82472000000</v>
      </c>
      <c r="U1792">
        <v>-74608000000</v>
      </c>
      <c r="V1792">
        <f t="shared" si="66"/>
        <v>353067000000</v>
      </c>
      <c r="W1792">
        <f t="shared" si="67"/>
        <v>1277114000000</v>
      </c>
    </row>
    <row r="1793" spans="1:23" x14ac:dyDescent="0.2">
      <c r="A1793">
        <f>IF(D1793="USD",VLOOKUP(VALUE(RIGHT(E1793,4)),'USD RUB'!$E:$F,2,FALSE),1)</f>
        <v>1</v>
      </c>
      <c r="B1793" s="4">
        <v>1</v>
      </c>
      <c r="C1793">
        <v>1000000</v>
      </c>
      <c r="D1793" t="s">
        <v>20</v>
      </c>
      <c r="E1793" s="1" t="s">
        <v>1810</v>
      </c>
      <c r="F1793">
        <v>21583000000</v>
      </c>
      <c r="G1793">
        <v>199543000000</v>
      </c>
      <c r="H1793">
        <v>711245000000</v>
      </c>
      <c r="I1793">
        <v>218635000000</v>
      </c>
      <c r="J1793">
        <v>1375335000000</v>
      </c>
      <c r="K1793">
        <v>554669000000</v>
      </c>
      <c r="L1793">
        <v>541365000000</v>
      </c>
      <c r="M1793">
        <v>233845000000</v>
      </c>
      <c r="N1793">
        <v>279301000000</v>
      </c>
      <c r="O1793">
        <v>190143000000</v>
      </c>
      <c r="P1793">
        <v>33247000000</v>
      </c>
      <c r="Q1793">
        <v>7130000000</v>
      </c>
      <c r="R1793">
        <v>6790000000</v>
      </c>
      <c r="S1793">
        <v>39801000000</v>
      </c>
      <c r="U1793">
        <v>-43860000000</v>
      </c>
      <c r="V1793">
        <f t="shared" si="66"/>
        <v>173756000000</v>
      </c>
      <c r="W1793">
        <f t="shared" si="67"/>
        <v>1246668000000</v>
      </c>
    </row>
    <row r="1794" spans="1:23" x14ac:dyDescent="0.2">
      <c r="A1794">
        <f>IF(D1794="USD",VLOOKUP(VALUE(RIGHT(E1794,4)),'USD RUB'!$E:$F,2,FALSE),1)</f>
        <v>1</v>
      </c>
      <c r="B1794" s="4">
        <v>1</v>
      </c>
      <c r="C1794">
        <v>1000000</v>
      </c>
      <c r="D1794" t="s">
        <v>20</v>
      </c>
      <c r="E1794" s="1" t="s">
        <v>1811</v>
      </c>
      <c r="F1794">
        <v>46409000000</v>
      </c>
      <c r="G1794">
        <v>209203000000</v>
      </c>
      <c r="H1794">
        <v>714018000000</v>
      </c>
      <c r="I1794">
        <v>215103000000</v>
      </c>
      <c r="J1794">
        <v>1380913000000</v>
      </c>
      <c r="K1794">
        <v>552301000000</v>
      </c>
      <c r="L1794">
        <v>554994000000</v>
      </c>
      <c r="M1794">
        <v>229005000000</v>
      </c>
      <c r="N1794">
        <v>273618000000</v>
      </c>
      <c r="O1794">
        <v>779945000000</v>
      </c>
      <c r="P1794">
        <v>124380000000</v>
      </c>
      <c r="Q1794">
        <v>35263000000</v>
      </c>
      <c r="R1794">
        <v>24060000000</v>
      </c>
      <c r="S1794">
        <v>172267000000</v>
      </c>
      <c r="U1794">
        <v>-178798000000</v>
      </c>
      <c r="V1794">
        <f t="shared" si="66"/>
        <v>707801000000</v>
      </c>
      <c r="W1794">
        <f t="shared" si="67"/>
        <v>1243808000000</v>
      </c>
    </row>
    <row r="1795" spans="1:23" x14ac:dyDescent="0.2">
      <c r="A1795">
        <f>IF(D1795="USD",VLOOKUP(VALUE(RIGHT(E1795,4)),'USD RUB'!$E:$F,2,FALSE),1)</f>
        <v>1</v>
      </c>
      <c r="B1795" s="4">
        <v>1</v>
      </c>
      <c r="C1795">
        <v>1000000</v>
      </c>
      <c r="D1795" t="s">
        <v>20</v>
      </c>
      <c r="E1795" s="1" t="s">
        <v>1812</v>
      </c>
      <c r="F1795">
        <v>37331000000</v>
      </c>
      <c r="G1795">
        <v>229282000000</v>
      </c>
      <c r="H1795">
        <v>677548000000</v>
      </c>
      <c r="I1795">
        <v>204555000000</v>
      </c>
      <c r="J1795">
        <v>1331557000000</v>
      </c>
      <c r="K1795">
        <v>431854000000</v>
      </c>
      <c r="L1795">
        <v>629868000000</v>
      </c>
      <c r="M1795">
        <v>227810000000</v>
      </c>
      <c r="N1795">
        <v>269835000000</v>
      </c>
      <c r="O1795">
        <v>546055000000</v>
      </c>
      <c r="P1795">
        <v>92958000000</v>
      </c>
      <c r="Q1795">
        <v>35881000000</v>
      </c>
      <c r="R1795">
        <v>19341000000</v>
      </c>
      <c r="S1795">
        <v>124950000000</v>
      </c>
      <c r="U1795">
        <v>-113387000000</v>
      </c>
      <c r="V1795">
        <f t="shared" si="66"/>
        <v>498464000000</v>
      </c>
      <c r="W1795">
        <f t="shared" si="67"/>
        <v>1198832000000</v>
      </c>
    </row>
    <row r="1796" spans="1:23" x14ac:dyDescent="0.2">
      <c r="A1796">
        <f>IF(D1796="USD",VLOOKUP(VALUE(RIGHT(E1796,4)),'USD RUB'!$E:$F,2,FALSE),1)</f>
        <v>1</v>
      </c>
      <c r="B1796" s="4">
        <v>1</v>
      </c>
      <c r="C1796">
        <v>1000000</v>
      </c>
      <c r="D1796" t="s">
        <v>20</v>
      </c>
      <c r="E1796" s="1" t="s">
        <v>1813</v>
      </c>
      <c r="F1796">
        <v>41413000000</v>
      </c>
      <c r="G1796">
        <v>223403000000</v>
      </c>
      <c r="H1796">
        <v>645688000000</v>
      </c>
      <c r="I1796">
        <v>198879000000</v>
      </c>
      <c r="J1796">
        <v>1277114000000</v>
      </c>
      <c r="K1796">
        <v>475471000000</v>
      </c>
      <c r="L1796">
        <v>506676000000</v>
      </c>
      <c r="M1796">
        <v>254262000000</v>
      </c>
      <c r="N1796">
        <v>294967000000</v>
      </c>
      <c r="O1796">
        <v>353067000000</v>
      </c>
      <c r="P1796">
        <v>62608000000</v>
      </c>
      <c r="Q1796">
        <v>29819000000</v>
      </c>
      <c r="R1796">
        <v>26078000000</v>
      </c>
      <c r="S1796">
        <v>81821000000</v>
      </c>
      <c r="U1796">
        <v>-73887000000</v>
      </c>
      <c r="V1796">
        <f t="shared" si="66"/>
        <v>324536000000</v>
      </c>
      <c r="W1796">
        <f t="shared" si="67"/>
        <v>1141795000000</v>
      </c>
    </row>
    <row r="1797" spans="1:23" x14ac:dyDescent="0.2">
      <c r="A1797">
        <f>IF(D1797="USD",VLOOKUP(VALUE(RIGHT(E1797,4)),'USD RUB'!$E:$F,2,FALSE),1)</f>
        <v>1</v>
      </c>
      <c r="B1797" s="4">
        <v>1</v>
      </c>
      <c r="C1797">
        <v>1000000</v>
      </c>
      <c r="D1797" t="s">
        <v>20</v>
      </c>
      <c r="E1797" s="1" t="s">
        <v>1814</v>
      </c>
      <c r="F1797">
        <v>34671000000</v>
      </c>
      <c r="G1797">
        <v>196248000000</v>
      </c>
      <c r="H1797">
        <v>642865000000</v>
      </c>
      <c r="I1797">
        <v>196438000000</v>
      </c>
      <c r="J1797">
        <v>1246668000000</v>
      </c>
      <c r="K1797">
        <v>469740000000</v>
      </c>
      <c r="L1797">
        <v>488835000000</v>
      </c>
      <c r="M1797">
        <v>245356000000</v>
      </c>
      <c r="N1797">
        <v>288093000000</v>
      </c>
      <c r="O1797">
        <v>173756000000</v>
      </c>
      <c r="P1797">
        <v>31807000000</v>
      </c>
      <c r="Q1797">
        <v>15072000000</v>
      </c>
      <c r="R1797">
        <v>12511000000</v>
      </c>
      <c r="S1797">
        <v>40989000000</v>
      </c>
      <c r="U1797">
        <v>-38446000000</v>
      </c>
      <c r="V1797" t="str">
        <f t="shared" si="66"/>
        <v/>
      </c>
      <c r="W1797" t="str">
        <f t="shared" si="67"/>
        <v/>
      </c>
    </row>
    <row r="1798" spans="1:23" x14ac:dyDescent="0.2">
      <c r="A1798">
        <f>IF(D1798="USD",VLOOKUP(VALUE(RIGHT(E1798,4)),'USD RUB'!$E:$F,2,FALSE),1)</f>
        <v>1</v>
      </c>
      <c r="B1798" s="4">
        <v>1</v>
      </c>
      <c r="C1798">
        <v>1000000</v>
      </c>
      <c r="D1798" t="s">
        <v>20</v>
      </c>
      <c r="E1798" s="1" t="s">
        <v>1815</v>
      </c>
      <c r="F1798">
        <v>44646000000</v>
      </c>
      <c r="G1798">
        <v>215181000000</v>
      </c>
      <c r="H1798">
        <v>637469000000</v>
      </c>
      <c r="I1798">
        <v>180175000000</v>
      </c>
      <c r="J1798">
        <v>1243808000000</v>
      </c>
      <c r="K1798">
        <v>450011000000</v>
      </c>
      <c r="L1798">
        <v>519513000000</v>
      </c>
      <c r="M1798">
        <v>234189000000</v>
      </c>
      <c r="N1798">
        <v>274284000000</v>
      </c>
      <c r="O1798">
        <v>707801000000</v>
      </c>
      <c r="P1798">
        <v>119343000000</v>
      </c>
      <c r="Q1798">
        <v>62011000000</v>
      </c>
      <c r="R1798">
        <v>42327000000</v>
      </c>
      <c r="S1798">
        <v>157478000000</v>
      </c>
      <c r="U1798">
        <v>-147195000000</v>
      </c>
      <c r="V1798" t="str">
        <f t="shared" si="66"/>
        <v/>
      </c>
      <c r="W1798" t="str">
        <f t="shared" si="67"/>
        <v/>
      </c>
    </row>
    <row r="1799" spans="1:23" x14ac:dyDescent="0.2">
      <c r="A1799">
        <f>IF(D1799="USD",VLOOKUP(VALUE(RIGHT(E1799,4)),'USD RUB'!$E:$F,2,FALSE),1)</f>
        <v>1</v>
      </c>
      <c r="B1799" s="4">
        <v>1</v>
      </c>
      <c r="C1799">
        <v>1000000</v>
      </c>
      <c r="D1799" t="s">
        <v>20</v>
      </c>
      <c r="E1799" s="1" t="s">
        <v>1816</v>
      </c>
      <c r="F1799">
        <v>40098000000</v>
      </c>
      <c r="G1799">
        <v>220323000000</v>
      </c>
      <c r="H1799">
        <v>605260000000</v>
      </c>
      <c r="I1799">
        <v>176653000000</v>
      </c>
      <c r="J1799">
        <v>1198832000000</v>
      </c>
      <c r="K1799">
        <v>424158000000</v>
      </c>
      <c r="L1799">
        <v>482206000000</v>
      </c>
      <c r="M1799">
        <v>256014000000</v>
      </c>
      <c r="N1799">
        <v>292468000000</v>
      </c>
      <c r="O1799">
        <v>498464000000</v>
      </c>
      <c r="P1799">
        <v>92816000000</v>
      </c>
      <c r="Q1799">
        <v>53450000000</v>
      </c>
      <c r="R1799">
        <v>40450000000</v>
      </c>
      <c r="S1799">
        <v>111599000000</v>
      </c>
      <c r="U1799">
        <v>-77270000000</v>
      </c>
      <c r="V1799" t="str">
        <f t="shared" si="66"/>
        <v/>
      </c>
      <c r="W1799" t="str">
        <f t="shared" si="67"/>
        <v/>
      </c>
    </row>
    <row r="1800" spans="1:23" x14ac:dyDescent="0.2">
      <c r="A1800">
        <f>IF(D1800="USD",VLOOKUP(VALUE(RIGHT(E1800,4)),'USD RUB'!$E:$F,2,FALSE),1)</f>
        <v>1</v>
      </c>
      <c r="B1800" s="4">
        <v>1</v>
      </c>
      <c r="C1800">
        <v>1000000</v>
      </c>
      <c r="D1800" t="s">
        <v>20</v>
      </c>
      <c r="E1800" s="1" t="s">
        <v>1817</v>
      </c>
      <c r="F1800">
        <v>33621000000</v>
      </c>
      <c r="G1800">
        <v>187307000000</v>
      </c>
      <c r="H1800">
        <v>599912000000</v>
      </c>
      <c r="I1800">
        <v>165730000000</v>
      </c>
      <c r="J1800">
        <v>1141795000000</v>
      </c>
      <c r="K1800">
        <v>307549000000</v>
      </c>
      <c r="L1800">
        <v>556077000000</v>
      </c>
      <c r="M1800">
        <v>243047000000</v>
      </c>
      <c r="N1800">
        <v>278169000000</v>
      </c>
      <c r="O1800">
        <v>324536000000</v>
      </c>
      <c r="P1800">
        <v>58577000000</v>
      </c>
      <c r="Q1800">
        <v>35860000000</v>
      </c>
      <c r="R1800">
        <v>26888000000</v>
      </c>
      <c r="S1800">
        <v>73322000000</v>
      </c>
      <c r="U1800">
        <v>-45931000000</v>
      </c>
      <c r="V1800" t="str">
        <f t="shared" si="66"/>
        <v/>
      </c>
      <c r="W1800" t="str">
        <f t="shared" si="67"/>
        <v/>
      </c>
    </row>
    <row r="1801" spans="1:23" x14ac:dyDescent="0.2">
      <c r="A1801">
        <f>IF(D1801="USD",VLOOKUP(VALUE(RIGHT(E1801,4)),'USD RUB'!$E:$F,2,FALSE),1)</f>
        <v>1</v>
      </c>
      <c r="B1801" s="4">
        <v>1</v>
      </c>
      <c r="C1801">
        <v>1000000</v>
      </c>
      <c r="D1801" t="s">
        <v>20</v>
      </c>
      <c r="E1801" s="1" t="s">
        <v>1818</v>
      </c>
      <c r="F1801">
        <v>49570000000</v>
      </c>
      <c r="G1801">
        <v>167877000000</v>
      </c>
      <c r="H1801">
        <v>607638000000</v>
      </c>
      <c r="I1801">
        <v>149007000000</v>
      </c>
      <c r="J1801">
        <v>1102888000000</v>
      </c>
      <c r="K1801">
        <v>291275000000</v>
      </c>
      <c r="L1801">
        <v>584211000000</v>
      </c>
      <c r="M1801">
        <v>200726000000</v>
      </c>
      <c r="N1801">
        <v>227402000000</v>
      </c>
      <c r="O1801">
        <v>580092000000</v>
      </c>
      <c r="P1801">
        <v>73707000000</v>
      </c>
      <c r="Q1801">
        <v>40816000000</v>
      </c>
      <c r="R1801">
        <v>31832000000</v>
      </c>
      <c r="S1801">
        <v>140059000000</v>
      </c>
      <c r="U1801">
        <v>-147840000000</v>
      </c>
      <c r="V1801">
        <f t="shared" si="66"/>
        <v>546889000000</v>
      </c>
      <c r="W1801">
        <f t="shared" si="67"/>
        <v>999761000000</v>
      </c>
    </row>
    <row r="1802" spans="1:23" x14ac:dyDescent="0.2">
      <c r="A1802">
        <f>IF(D1802="USD",VLOOKUP(VALUE(RIGHT(E1802,4)),'USD RUB'!$E:$F,2,FALSE),1)</f>
        <v>1</v>
      </c>
      <c r="B1802" s="4">
        <v>1</v>
      </c>
      <c r="C1802">
        <v>1000000</v>
      </c>
      <c r="D1802" t="s">
        <v>20</v>
      </c>
      <c r="E1802" s="1" t="s">
        <v>1819</v>
      </c>
      <c r="F1802">
        <v>26907000000</v>
      </c>
      <c r="G1802">
        <v>156327000000</v>
      </c>
      <c r="H1802">
        <v>586136000000</v>
      </c>
      <c r="I1802">
        <v>143275000000</v>
      </c>
      <c r="J1802">
        <v>1055742000000</v>
      </c>
      <c r="K1802">
        <v>229731000000</v>
      </c>
      <c r="L1802">
        <v>594204000000</v>
      </c>
      <c r="M1802">
        <v>204637000000</v>
      </c>
      <c r="N1802">
        <v>231807000000</v>
      </c>
      <c r="O1802">
        <v>411760000000</v>
      </c>
      <c r="P1802">
        <v>65698000000</v>
      </c>
      <c r="Q1802">
        <v>41437000000</v>
      </c>
      <c r="R1802">
        <v>31382000000</v>
      </c>
      <c r="S1802">
        <v>100631000000</v>
      </c>
      <c r="U1802">
        <v>-91258000000</v>
      </c>
      <c r="V1802">
        <f t="shared" si="66"/>
        <v>383880000000</v>
      </c>
      <c r="W1802">
        <f t="shared" si="67"/>
        <v>942465000000</v>
      </c>
    </row>
    <row r="1803" spans="1:23" x14ac:dyDescent="0.2">
      <c r="A1803">
        <f>IF(D1803="USD",VLOOKUP(VALUE(RIGHT(E1803,4)),'USD RUB'!$E:$F,2,FALSE),1)</f>
        <v>1</v>
      </c>
      <c r="B1803" s="4">
        <v>1</v>
      </c>
      <c r="C1803">
        <v>1000000</v>
      </c>
      <c r="D1803" t="s">
        <v>20</v>
      </c>
      <c r="E1803" s="1" t="s">
        <v>1820</v>
      </c>
      <c r="F1803">
        <v>23530000000</v>
      </c>
      <c r="G1803">
        <v>139928000000</v>
      </c>
      <c r="H1803">
        <v>579121000000</v>
      </c>
      <c r="I1803">
        <v>143393000000</v>
      </c>
      <c r="J1803">
        <v>1035204000000</v>
      </c>
      <c r="K1803">
        <v>251006000000</v>
      </c>
      <c r="L1803">
        <v>560323000000</v>
      </c>
      <c r="M1803">
        <v>200333000000</v>
      </c>
      <c r="N1803">
        <v>223875000000</v>
      </c>
      <c r="O1803">
        <v>270547000000</v>
      </c>
      <c r="P1803">
        <v>44470000000</v>
      </c>
      <c r="Q1803">
        <v>29346000000</v>
      </c>
      <c r="R1803">
        <v>22984000000</v>
      </c>
      <c r="S1803">
        <v>64646000000</v>
      </c>
      <c r="U1803">
        <v>-61475000000</v>
      </c>
      <c r="V1803">
        <f t="shared" si="66"/>
        <v>248892000000</v>
      </c>
      <c r="W1803">
        <f t="shared" si="67"/>
        <v>916174000000</v>
      </c>
    </row>
    <row r="1804" spans="1:23" x14ac:dyDescent="0.2">
      <c r="A1804">
        <f>IF(D1804="USD",VLOOKUP(VALUE(RIGHT(E1804,4)),'USD RUB'!$E:$F,2,FALSE),1)</f>
        <v>1</v>
      </c>
      <c r="B1804" s="4">
        <v>1</v>
      </c>
      <c r="C1804">
        <v>1000000</v>
      </c>
      <c r="D1804" t="s">
        <v>20</v>
      </c>
      <c r="E1804" s="1" t="s">
        <v>1821</v>
      </c>
      <c r="F1804">
        <v>28297000000</v>
      </c>
      <c r="G1804">
        <v>138015000000</v>
      </c>
      <c r="H1804">
        <v>573428000000</v>
      </c>
      <c r="I1804">
        <v>142275000000</v>
      </c>
      <c r="J1804">
        <v>1007934000000</v>
      </c>
      <c r="K1804">
        <v>216234000000</v>
      </c>
      <c r="L1804">
        <v>561479000000</v>
      </c>
      <c r="M1804">
        <v>206710000000</v>
      </c>
      <c r="N1804">
        <v>230221000000</v>
      </c>
      <c r="O1804">
        <v>131958000000</v>
      </c>
      <c r="P1804">
        <v>22672000000</v>
      </c>
      <c r="Q1804">
        <v>15132000000</v>
      </c>
      <c r="R1804">
        <v>11810000000</v>
      </c>
      <c r="S1804">
        <v>31656000000</v>
      </c>
      <c r="U1804">
        <v>-30687000000</v>
      </c>
      <c r="V1804">
        <f t="shared" si="66"/>
        <v>121613000000</v>
      </c>
      <c r="W1804">
        <f t="shared" si="67"/>
        <v>889917000000</v>
      </c>
    </row>
    <row r="1805" spans="1:23" x14ac:dyDescent="0.2">
      <c r="A1805">
        <f>IF(D1805="USD",VLOOKUP(VALUE(RIGHT(E1805,4)),'USD RUB'!$E:$F,2,FALSE),1)</f>
        <v>1</v>
      </c>
      <c r="B1805" s="4">
        <v>1</v>
      </c>
      <c r="C1805">
        <v>1000000</v>
      </c>
      <c r="D1805" t="s">
        <v>20</v>
      </c>
      <c r="E1805" s="1" t="s">
        <v>1822</v>
      </c>
      <c r="F1805">
        <v>31215000000</v>
      </c>
      <c r="G1805">
        <v>130080000000</v>
      </c>
      <c r="H1805">
        <v>575356000000</v>
      </c>
      <c r="I1805">
        <v>141321000000</v>
      </c>
      <c r="J1805">
        <v>999761000000</v>
      </c>
      <c r="K1805">
        <v>208141000000</v>
      </c>
      <c r="L1805">
        <v>573944000000</v>
      </c>
      <c r="M1805">
        <v>194409000000</v>
      </c>
      <c r="N1805">
        <v>217676000000</v>
      </c>
      <c r="O1805">
        <v>546889000000</v>
      </c>
      <c r="P1805">
        <v>68965000000</v>
      </c>
      <c r="Q1805">
        <v>34007000000</v>
      </c>
      <c r="R1805">
        <v>25348000000</v>
      </c>
      <c r="S1805">
        <v>119702000000</v>
      </c>
      <c r="U1805">
        <v>-135987000000</v>
      </c>
      <c r="V1805">
        <f t="shared" si="66"/>
        <v>337421000000</v>
      </c>
      <c r="W1805">
        <f t="shared" si="67"/>
        <v>728276000000</v>
      </c>
    </row>
    <row r="1806" spans="1:23" x14ac:dyDescent="0.2">
      <c r="A1806">
        <f>IF(D1806="USD",VLOOKUP(VALUE(RIGHT(E1806,4)),'USD RUB'!$E:$F,2,FALSE),1)</f>
        <v>1</v>
      </c>
      <c r="B1806" s="4">
        <v>1</v>
      </c>
      <c r="C1806">
        <v>1000000</v>
      </c>
      <c r="D1806" t="s">
        <v>20</v>
      </c>
      <c r="E1806" s="1" t="s">
        <v>1823</v>
      </c>
      <c r="F1806">
        <v>20879000000</v>
      </c>
      <c r="G1806">
        <v>139931000000</v>
      </c>
      <c r="H1806">
        <v>545235000000</v>
      </c>
      <c r="I1806">
        <v>135607000000</v>
      </c>
      <c r="J1806">
        <v>942465000000</v>
      </c>
      <c r="K1806">
        <v>201949000000</v>
      </c>
      <c r="L1806">
        <v>555437000000</v>
      </c>
      <c r="M1806">
        <v>195157000000</v>
      </c>
      <c r="N1806">
        <v>185079000000</v>
      </c>
      <c r="O1806">
        <v>383880000000</v>
      </c>
      <c r="P1806">
        <v>60591000000</v>
      </c>
      <c r="Q1806">
        <v>35459000000</v>
      </c>
      <c r="R1806">
        <v>27431000000</v>
      </c>
      <c r="S1806">
        <v>85536000000</v>
      </c>
      <c r="U1806">
        <v>-83842000000</v>
      </c>
      <c r="V1806">
        <f t="shared" si="66"/>
        <v>242554000000</v>
      </c>
      <c r="W1806">
        <f t="shared" si="67"/>
        <v>670544000000</v>
      </c>
    </row>
    <row r="1807" spans="1:23" x14ac:dyDescent="0.2">
      <c r="A1807">
        <f>IF(D1807="USD",VLOOKUP(VALUE(RIGHT(E1807,4)),'USD RUB'!$E:$F,2,FALSE),1)</f>
        <v>1</v>
      </c>
      <c r="B1807" s="4">
        <v>1</v>
      </c>
      <c r="C1807">
        <v>1000000</v>
      </c>
      <c r="D1807" t="s">
        <v>20</v>
      </c>
      <c r="E1807" s="1" t="s">
        <v>1824</v>
      </c>
      <c r="F1807">
        <v>28515000000</v>
      </c>
      <c r="G1807">
        <v>135317000000</v>
      </c>
      <c r="H1807">
        <v>529047000000</v>
      </c>
      <c r="I1807">
        <v>134351000000</v>
      </c>
      <c r="J1807">
        <v>916174000000</v>
      </c>
      <c r="K1807">
        <v>199231000000</v>
      </c>
      <c r="L1807">
        <v>527142000000</v>
      </c>
      <c r="M1807">
        <v>199184000000</v>
      </c>
      <c r="N1807">
        <v>189801000000</v>
      </c>
      <c r="O1807">
        <v>248892000000</v>
      </c>
      <c r="P1807">
        <v>37504000000</v>
      </c>
      <c r="Q1807">
        <v>20071000000</v>
      </c>
      <c r="R1807">
        <v>15443000000</v>
      </c>
      <c r="S1807">
        <v>55949000000</v>
      </c>
      <c r="U1807">
        <v>-46658000000</v>
      </c>
      <c r="V1807">
        <f t="shared" si="66"/>
        <v>158827000000</v>
      </c>
      <c r="W1807">
        <f t="shared" si="67"/>
        <v>656420000000</v>
      </c>
    </row>
    <row r="1808" spans="1:23" x14ac:dyDescent="0.2">
      <c r="A1808">
        <f>IF(D1808="USD",VLOOKUP(VALUE(RIGHT(E1808,4)),'USD RUB'!$E:$F,2,FALSE),1)</f>
        <v>1</v>
      </c>
      <c r="B1808" s="4">
        <v>1</v>
      </c>
      <c r="C1808">
        <v>1000000</v>
      </c>
      <c r="D1808" t="s">
        <v>20</v>
      </c>
      <c r="E1808" s="1" t="s">
        <v>1825</v>
      </c>
      <c r="F1808">
        <v>28223000000</v>
      </c>
      <c r="G1808">
        <v>125543000000</v>
      </c>
      <c r="H1808">
        <v>523191000000</v>
      </c>
      <c r="I1808">
        <v>132720000000</v>
      </c>
      <c r="J1808">
        <v>889917000000</v>
      </c>
      <c r="K1808">
        <v>199372000000</v>
      </c>
      <c r="L1808">
        <v>509182000000</v>
      </c>
      <c r="M1808">
        <v>196781000000</v>
      </c>
      <c r="N1808">
        <v>181363000000</v>
      </c>
      <c r="O1808">
        <v>121613000000</v>
      </c>
      <c r="P1808">
        <v>18947000000</v>
      </c>
      <c r="Q1808">
        <v>10054000000</v>
      </c>
      <c r="R1808">
        <v>7712000000</v>
      </c>
      <c r="S1808">
        <v>27128000000</v>
      </c>
      <c r="U1808">
        <v>-26025000000</v>
      </c>
      <c r="V1808">
        <f t="shared" si="66"/>
        <v>78667000000</v>
      </c>
      <c r="W1808">
        <f t="shared" si="67"/>
        <v>654328000000</v>
      </c>
    </row>
    <row r="1809" spans="1:23" x14ac:dyDescent="0.2">
      <c r="A1809">
        <f>IF(D1809="USD",VLOOKUP(VALUE(RIGHT(E1809,4)),'USD RUB'!$E:$F,2,FALSE),1)</f>
        <v>1</v>
      </c>
      <c r="B1809" s="4">
        <v>1</v>
      </c>
      <c r="C1809">
        <v>1000000</v>
      </c>
      <c r="D1809" t="s">
        <v>20</v>
      </c>
      <c r="E1809" s="1" t="s">
        <v>1826</v>
      </c>
      <c r="F1809">
        <v>19556000000</v>
      </c>
      <c r="G1809">
        <v>100283000000</v>
      </c>
      <c r="H1809">
        <v>401516000000</v>
      </c>
      <c r="I1809">
        <v>91318000000</v>
      </c>
      <c r="J1809">
        <v>728276000000</v>
      </c>
      <c r="K1809">
        <v>141811000000</v>
      </c>
      <c r="L1809">
        <v>324277000000</v>
      </c>
      <c r="M1809">
        <v>310807000000</v>
      </c>
      <c r="N1809">
        <v>262188000000</v>
      </c>
      <c r="O1809">
        <v>337421000000</v>
      </c>
      <c r="P1809">
        <v>33852000000</v>
      </c>
      <c r="Q1809">
        <v>18521000000</v>
      </c>
      <c r="R1809">
        <v>16474000000</v>
      </c>
      <c r="S1809">
        <v>67313000000</v>
      </c>
      <c r="U1809">
        <v>-100513000000</v>
      </c>
      <c r="V1809">
        <f t="shared" si="66"/>
        <v>320239000000</v>
      </c>
      <c r="W1809">
        <f t="shared" si="67"/>
        <v>646766000000</v>
      </c>
    </row>
    <row r="1810" spans="1:23" x14ac:dyDescent="0.2">
      <c r="A1810">
        <f>IF(D1810="USD",VLOOKUP(VALUE(RIGHT(E1810,4)),'USD RUB'!$E:$F,2,FALSE),1)</f>
        <v>1</v>
      </c>
      <c r="B1810" s="4">
        <v>1</v>
      </c>
      <c r="C1810">
        <v>1000000</v>
      </c>
      <c r="D1810" t="s">
        <v>20</v>
      </c>
      <c r="E1810" s="1" t="s">
        <v>1827</v>
      </c>
      <c r="F1810">
        <v>6870000000</v>
      </c>
      <c r="G1810">
        <v>100631000000</v>
      </c>
      <c r="H1810">
        <v>374239000000</v>
      </c>
      <c r="I1810">
        <v>69872000000</v>
      </c>
      <c r="J1810">
        <v>670544000000</v>
      </c>
      <c r="K1810">
        <v>109409000000</v>
      </c>
      <c r="L1810">
        <v>299252000000</v>
      </c>
      <c r="M1810">
        <v>311230000000</v>
      </c>
      <c r="N1810">
        <v>261883000000</v>
      </c>
      <c r="O1810">
        <v>242554000000</v>
      </c>
      <c r="P1810">
        <v>29920000000</v>
      </c>
      <c r="Q1810">
        <v>20450000000</v>
      </c>
      <c r="R1810">
        <v>16362000000</v>
      </c>
      <c r="S1810">
        <v>47970000000</v>
      </c>
      <c r="U1810">
        <v>-53667000000</v>
      </c>
      <c r="V1810">
        <f t="shared" si="66"/>
        <v>232982000000</v>
      </c>
      <c r="W1810">
        <f t="shared" si="67"/>
        <v>623781000000</v>
      </c>
    </row>
    <row r="1811" spans="1:23" x14ac:dyDescent="0.2">
      <c r="A1811">
        <f>IF(D1811="USD",VLOOKUP(VALUE(RIGHT(E1811,4)),'USD RUB'!$E:$F,2,FALSE),1)</f>
        <v>1</v>
      </c>
      <c r="B1811" s="4">
        <v>1</v>
      </c>
      <c r="C1811">
        <v>1000000</v>
      </c>
      <c r="D1811" t="s">
        <v>20</v>
      </c>
      <c r="E1811" s="1" t="s">
        <v>1828</v>
      </c>
      <c r="F1811">
        <v>6032000000</v>
      </c>
      <c r="G1811">
        <v>95504000000</v>
      </c>
      <c r="H1811">
        <v>371486000000</v>
      </c>
      <c r="I1811">
        <v>67320000000</v>
      </c>
      <c r="J1811">
        <v>656420000000</v>
      </c>
      <c r="K1811">
        <v>117579000000</v>
      </c>
      <c r="L1811">
        <v>284131000000</v>
      </c>
      <c r="M1811">
        <v>308669000000</v>
      </c>
      <c r="N1811">
        <v>254710000000</v>
      </c>
      <c r="O1811">
        <v>158827000000</v>
      </c>
      <c r="P1811">
        <v>19465000000</v>
      </c>
      <c r="Q1811">
        <v>12669000000</v>
      </c>
      <c r="R1811">
        <v>9950000000</v>
      </c>
      <c r="S1811">
        <v>31696000000</v>
      </c>
      <c r="U1811">
        <v>-37586000000</v>
      </c>
      <c r="V1811">
        <f t="shared" si="66"/>
        <v>153568000000</v>
      </c>
      <c r="W1811">
        <f t="shared" si="67"/>
        <v>610429000000</v>
      </c>
    </row>
    <row r="1812" spans="1:23" x14ac:dyDescent="0.2">
      <c r="A1812">
        <f>IF(D1812="USD",VLOOKUP(VALUE(RIGHT(E1812,4)),'USD RUB'!$E:$F,2,FALSE),1)</f>
        <v>1</v>
      </c>
      <c r="B1812" s="4">
        <v>1</v>
      </c>
      <c r="C1812">
        <v>1000000</v>
      </c>
      <c r="D1812" t="s">
        <v>20</v>
      </c>
      <c r="E1812" s="1" t="s">
        <v>1829</v>
      </c>
      <c r="F1812">
        <v>6170000000</v>
      </c>
      <c r="G1812">
        <v>98466000000</v>
      </c>
      <c r="H1812">
        <v>370487000000</v>
      </c>
      <c r="I1812">
        <v>66595000000</v>
      </c>
      <c r="J1812">
        <v>654328000000</v>
      </c>
      <c r="K1812">
        <v>137039000000</v>
      </c>
      <c r="L1812">
        <v>260706000000</v>
      </c>
      <c r="M1812">
        <v>312791000000</v>
      </c>
      <c r="N1812">
        <v>256583000000</v>
      </c>
      <c r="O1812">
        <v>78667000000</v>
      </c>
      <c r="P1812">
        <v>9709000000</v>
      </c>
      <c r="Q1812">
        <v>6865000000</v>
      </c>
      <c r="R1812">
        <v>5631000000</v>
      </c>
      <c r="S1812">
        <v>15506000000</v>
      </c>
      <c r="U1812">
        <v>-22343000000</v>
      </c>
      <c r="V1812">
        <f t="shared" si="66"/>
        <v>76203000000</v>
      </c>
      <c r="W1812">
        <f t="shared" si="67"/>
        <v>601176000000</v>
      </c>
    </row>
    <row r="1813" spans="1:23" x14ac:dyDescent="0.2">
      <c r="A1813">
        <f>IF(D1813="USD",VLOOKUP(VALUE(RIGHT(E1813,4)),'USD RUB'!$E:$F,2,FALSE),1)</f>
        <v>1</v>
      </c>
      <c r="B1813" s="4">
        <v>1</v>
      </c>
      <c r="C1813">
        <v>1000000</v>
      </c>
      <c r="D1813" t="s">
        <v>20</v>
      </c>
      <c r="E1813" s="1" t="s">
        <v>1830</v>
      </c>
      <c r="F1813">
        <v>1080000000</v>
      </c>
      <c r="G1813">
        <v>87672000000</v>
      </c>
      <c r="H1813">
        <v>373839000000</v>
      </c>
      <c r="I1813">
        <v>66246000000</v>
      </c>
      <c r="J1813">
        <v>646766000000</v>
      </c>
      <c r="K1813">
        <v>137269000000</v>
      </c>
      <c r="L1813">
        <v>258544000000</v>
      </c>
      <c r="M1813">
        <v>307234000000</v>
      </c>
      <c r="N1813">
        <v>250953000000</v>
      </c>
      <c r="O1813">
        <v>320239000000</v>
      </c>
      <c r="P1813">
        <v>35800000000</v>
      </c>
      <c r="Q1813">
        <v>19439000000</v>
      </c>
      <c r="R1813">
        <v>15012000000</v>
      </c>
      <c r="S1813">
        <v>60329000000</v>
      </c>
      <c r="U1813">
        <v>-73179000000</v>
      </c>
      <c r="V1813">
        <f t="shared" si="66"/>
        <v>305329000000</v>
      </c>
      <c r="W1813">
        <f t="shared" si="67"/>
        <v>560229000000</v>
      </c>
    </row>
    <row r="1814" spans="1:23" x14ac:dyDescent="0.2">
      <c r="A1814">
        <f>IF(D1814="USD",VLOOKUP(VALUE(RIGHT(E1814,4)),'USD RUB'!$E:$F,2,FALSE),1)</f>
        <v>1</v>
      </c>
      <c r="B1814" s="4">
        <v>1</v>
      </c>
      <c r="C1814">
        <v>1000000</v>
      </c>
      <c r="D1814" t="s">
        <v>20</v>
      </c>
      <c r="E1814" s="1" t="s">
        <v>1831</v>
      </c>
      <c r="F1814">
        <v>3596000000</v>
      </c>
      <c r="G1814">
        <v>91646000000</v>
      </c>
      <c r="H1814">
        <v>351303000000</v>
      </c>
      <c r="I1814">
        <v>61188000000</v>
      </c>
      <c r="J1814">
        <v>623781000000</v>
      </c>
      <c r="K1814">
        <v>117657000000</v>
      </c>
      <c r="L1814">
        <v>252541000000</v>
      </c>
      <c r="M1814">
        <v>310506000000</v>
      </c>
      <c r="N1814">
        <v>253583000000</v>
      </c>
      <c r="O1814">
        <v>232982000000</v>
      </c>
      <c r="P1814">
        <v>27633000000</v>
      </c>
      <c r="Q1814">
        <v>16641000000</v>
      </c>
      <c r="R1814">
        <v>12661000000</v>
      </c>
      <c r="S1814">
        <v>43616000000</v>
      </c>
      <c r="U1814">
        <v>-45892000000</v>
      </c>
      <c r="V1814">
        <f t="shared" si="66"/>
        <v>221216000000</v>
      </c>
      <c r="W1814">
        <f t="shared" si="67"/>
        <v>556621000000</v>
      </c>
    </row>
    <row r="1815" spans="1:23" x14ac:dyDescent="0.2">
      <c r="A1815">
        <f>IF(D1815="USD",VLOOKUP(VALUE(RIGHT(E1815,4)),'USD RUB'!$E:$F,2,FALSE),1)</f>
        <v>1</v>
      </c>
      <c r="B1815" s="4">
        <v>1</v>
      </c>
      <c r="C1815">
        <v>1000000</v>
      </c>
      <c r="D1815" t="s">
        <v>20</v>
      </c>
      <c r="E1815" s="1" t="s">
        <v>1832</v>
      </c>
      <c r="F1815">
        <v>4116000000</v>
      </c>
      <c r="G1815">
        <v>85163000000</v>
      </c>
      <c r="H1815">
        <v>347240000000</v>
      </c>
      <c r="I1815">
        <v>60382000000</v>
      </c>
      <c r="J1815">
        <v>610429000000</v>
      </c>
      <c r="K1815">
        <v>91389000000</v>
      </c>
      <c r="L1815">
        <v>272050000000</v>
      </c>
      <c r="M1815">
        <v>303738000000</v>
      </c>
      <c r="N1815">
        <v>246990000000</v>
      </c>
      <c r="O1815">
        <v>153568000000</v>
      </c>
      <c r="P1815">
        <v>16699000000</v>
      </c>
      <c r="Q1815">
        <v>9397000000</v>
      </c>
      <c r="R1815">
        <v>6958000000</v>
      </c>
      <c r="S1815">
        <v>28475000000</v>
      </c>
      <c r="U1815">
        <v>29567000000</v>
      </c>
      <c r="V1815">
        <f t="shared" si="66"/>
        <v>145602000000</v>
      </c>
      <c r="W1815">
        <f t="shared" si="67"/>
        <v>560862000000</v>
      </c>
    </row>
    <row r="1816" spans="1:23" x14ac:dyDescent="0.2">
      <c r="A1816">
        <f>IF(D1816="USD",VLOOKUP(VALUE(RIGHT(E1816,4)),'USD RUB'!$E:$F,2,FALSE),1)</f>
        <v>1</v>
      </c>
      <c r="B1816" s="4">
        <v>1</v>
      </c>
      <c r="C1816">
        <v>1000000</v>
      </c>
      <c r="D1816" t="s">
        <v>20</v>
      </c>
      <c r="E1816" s="1" t="s">
        <v>1833</v>
      </c>
      <c r="F1816">
        <v>3299000000</v>
      </c>
      <c r="G1816">
        <v>82726000000</v>
      </c>
      <c r="H1816">
        <v>346104000000</v>
      </c>
      <c r="I1816">
        <v>59027000000</v>
      </c>
      <c r="J1816">
        <v>601176000000</v>
      </c>
      <c r="K1816">
        <v>97907000000</v>
      </c>
      <c r="L1816">
        <v>248467000000</v>
      </c>
      <c r="M1816">
        <v>316712000000</v>
      </c>
      <c r="N1816">
        <v>254802000000</v>
      </c>
      <c r="O1816">
        <v>76203000000</v>
      </c>
      <c r="P1816">
        <v>8357000000</v>
      </c>
      <c r="Q1816">
        <v>4863000000</v>
      </c>
      <c r="R1816">
        <v>3864000000</v>
      </c>
      <c r="S1816">
        <v>14078000000</v>
      </c>
      <c r="U1816">
        <v>15125000000</v>
      </c>
      <c r="V1816">
        <f t="shared" si="66"/>
        <v>70436000000</v>
      </c>
      <c r="W1816">
        <f t="shared" si="67"/>
        <v>556690000000</v>
      </c>
    </row>
    <row r="1817" spans="1:23" x14ac:dyDescent="0.2">
      <c r="A1817">
        <f>IF(D1817="USD",VLOOKUP(VALUE(RIGHT(E1817,4)),'USD RUB'!$E:$F,2,FALSE),1)</f>
        <v>1</v>
      </c>
      <c r="B1817" s="4">
        <v>1</v>
      </c>
      <c r="C1817">
        <v>1000000</v>
      </c>
      <c r="D1817" t="s">
        <v>20</v>
      </c>
      <c r="E1817" s="1" t="s">
        <v>1834</v>
      </c>
      <c r="F1817">
        <v>3815000000</v>
      </c>
      <c r="G1817">
        <v>70990000000</v>
      </c>
      <c r="H1817">
        <v>348430000000</v>
      </c>
      <c r="I1817">
        <v>59820000000</v>
      </c>
      <c r="J1817">
        <v>560229000000</v>
      </c>
      <c r="K1817">
        <v>95175000000</v>
      </c>
      <c r="L1817">
        <v>215690000000</v>
      </c>
      <c r="M1817">
        <v>311494000000</v>
      </c>
      <c r="N1817">
        <v>249364000000</v>
      </c>
      <c r="O1817">
        <v>305329000000</v>
      </c>
      <c r="P1817">
        <v>37885000000</v>
      </c>
      <c r="Q1817">
        <v>18906000000</v>
      </c>
      <c r="R1817">
        <v>14050000000</v>
      </c>
      <c r="S1817">
        <v>56628000000</v>
      </c>
      <c r="U1817">
        <v>60752000000</v>
      </c>
      <c r="V1817">
        <f t="shared" ref="V1817:V1880" si="68">_xlfn.XLOOKUP(LEFT(E1817,LEN(E1817)-4)&amp;(VALUE(RIGHT(E1817,4))-1),$E:$E,$O:$O,"")</f>
        <v>297446000000</v>
      </c>
      <c r="W1817">
        <f t="shared" ref="W1817:W1880" si="69">_xlfn.XLOOKUP(LEFT(E1817,LEN(E1817)-4)&amp;(VALUE(RIGHT(E1817,4))-1),$E:$E,$J:$J,"")</f>
        <v>555682000000</v>
      </c>
    </row>
    <row r="1818" spans="1:23" x14ac:dyDescent="0.2">
      <c r="A1818">
        <f>IF(D1818="USD",VLOOKUP(VALUE(RIGHT(E1818,4)),'USD RUB'!$E:$F,2,FALSE),1)</f>
        <v>1</v>
      </c>
      <c r="B1818" s="4">
        <v>1</v>
      </c>
      <c r="C1818">
        <v>1000000</v>
      </c>
      <c r="D1818" t="s">
        <v>20</v>
      </c>
      <c r="E1818" s="1" t="s">
        <v>1835</v>
      </c>
      <c r="F1818">
        <v>1343000000</v>
      </c>
      <c r="G1818">
        <v>76769000000</v>
      </c>
      <c r="H1818">
        <v>338056000000</v>
      </c>
      <c r="I1818">
        <v>59312000000</v>
      </c>
      <c r="J1818">
        <v>556621000000</v>
      </c>
      <c r="K1818">
        <v>116024000000</v>
      </c>
      <c r="L1818">
        <v>196515000000</v>
      </c>
      <c r="M1818">
        <v>306202000000</v>
      </c>
      <c r="N1818">
        <v>244082000000</v>
      </c>
      <c r="O1818">
        <v>221216000000</v>
      </c>
      <c r="P1818">
        <v>28573000000</v>
      </c>
      <c r="Q1818">
        <v>13709000000</v>
      </c>
      <c r="R1818">
        <v>9881000000</v>
      </c>
      <c r="S1818">
        <v>41184000000</v>
      </c>
      <c r="U1818">
        <v>42290000000</v>
      </c>
      <c r="V1818">
        <f t="shared" si="68"/>
        <v>217039000000</v>
      </c>
      <c r="W1818">
        <f t="shared" si="69"/>
        <v>551086000000</v>
      </c>
    </row>
    <row r="1819" spans="1:23" x14ac:dyDescent="0.2">
      <c r="A1819">
        <f>IF(D1819="USD",VLOOKUP(VALUE(RIGHT(E1819,4)),'USD RUB'!$E:$F,2,FALSE),1)</f>
        <v>1</v>
      </c>
      <c r="B1819" s="4">
        <v>1</v>
      </c>
      <c r="C1819">
        <v>1000000</v>
      </c>
      <c r="D1819" t="s">
        <v>20</v>
      </c>
      <c r="E1819" s="1" t="s">
        <v>1836</v>
      </c>
      <c r="F1819">
        <v>6388000000</v>
      </c>
      <c r="G1819">
        <v>78682000000</v>
      </c>
      <c r="H1819">
        <v>339034000000</v>
      </c>
      <c r="I1819">
        <v>59950000000</v>
      </c>
      <c r="J1819">
        <v>560862000000</v>
      </c>
      <c r="K1819">
        <v>130130000000</v>
      </c>
      <c r="L1819">
        <v>191297000000</v>
      </c>
      <c r="M1819">
        <v>300716000000</v>
      </c>
      <c r="N1819">
        <v>239435000000</v>
      </c>
      <c r="O1819">
        <v>145602000000</v>
      </c>
      <c r="P1819">
        <v>19396000000</v>
      </c>
      <c r="Q1819">
        <v>8601000000</v>
      </c>
      <c r="R1819">
        <v>5975000000</v>
      </c>
      <c r="S1819">
        <v>27201000000</v>
      </c>
      <c r="U1819">
        <v>30165000000</v>
      </c>
      <c r="V1819">
        <f t="shared" si="68"/>
        <v>144258000000</v>
      </c>
      <c r="W1819">
        <f t="shared" si="69"/>
        <v>549897000000</v>
      </c>
    </row>
    <row r="1820" spans="1:23" x14ac:dyDescent="0.2">
      <c r="A1820">
        <f>IF(D1820="USD",VLOOKUP(VALUE(RIGHT(E1820,4)),'USD RUB'!$E:$F,2,FALSE),1)</f>
        <v>1</v>
      </c>
      <c r="B1820" s="4">
        <v>1</v>
      </c>
      <c r="C1820">
        <v>1000000</v>
      </c>
      <c r="D1820" t="s">
        <v>20</v>
      </c>
      <c r="E1820" s="1" t="s">
        <v>1837</v>
      </c>
      <c r="F1820">
        <v>5828000000</v>
      </c>
      <c r="G1820">
        <v>73616000000</v>
      </c>
      <c r="H1820">
        <v>341177000000</v>
      </c>
      <c r="I1820">
        <v>60479000000</v>
      </c>
      <c r="J1820">
        <v>556690000000</v>
      </c>
      <c r="K1820">
        <v>134723000000</v>
      </c>
      <c r="L1820">
        <v>170475000000</v>
      </c>
      <c r="M1820">
        <v>313912000000</v>
      </c>
      <c r="N1820">
        <v>251492000000</v>
      </c>
      <c r="O1820">
        <v>70436000000</v>
      </c>
      <c r="P1820">
        <v>8093000000</v>
      </c>
      <c r="Q1820">
        <v>4007000000</v>
      </c>
      <c r="R1820">
        <v>3150000000</v>
      </c>
      <c r="S1820">
        <v>13470000000</v>
      </c>
      <c r="U1820">
        <v>17714000000</v>
      </c>
      <c r="V1820">
        <f t="shared" si="68"/>
        <v>72464000000</v>
      </c>
      <c r="W1820">
        <f t="shared" si="69"/>
        <v>552586000000</v>
      </c>
    </row>
    <row r="1821" spans="1:23" x14ac:dyDescent="0.2">
      <c r="A1821">
        <f>IF(D1821="USD",VLOOKUP(VALUE(RIGHT(E1821,4)),'USD RUB'!$E:$F,2,FALSE),1)</f>
        <v>1</v>
      </c>
      <c r="B1821" s="4">
        <v>1</v>
      </c>
      <c r="C1821">
        <v>1000000</v>
      </c>
      <c r="D1821" t="s">
        <v>20</v>
      </c>
      <c r="E1821" s="1" t="s">
        <v>1838</v>
      </c>
      <c r="F1821">
        <v>4257000000</v>
      </c>
      <c r="G1821">
        <v>68872000000</v>
      </c>
      <c r="H1821">
        <v>343667000000</v>
      </c>
      <c r="J1821">
        <v>555682000000</v>
      </c>
      <c r="K1821">
        <v>134060000000</v>
      </c>
      <c r="L1821">
        <v>172989000000</v>
      </c>
      <c r="M1821">
        <v>311167000000</v>
      </c>
      <c r="N1821">
        <v>248633000000</v>
      </c>
      <c r="O1821">
        <v>297446000000</v>
      </c>
      <c r="P1821">
        <v>39836000000</v>
      </c>
      <c r="Q1821">
        <v>16941000000</v>
      </c>
      <c r="R1821">
        <v>12249000000</v>
      </c>
      <c r="U1821">
        <v>61857000000</v>
      </c>
      <c r="V1821">
        <f t="shared" si="68"/>
        <v>297355000000</v>
      </c>
      <c r="W1821">
        <f t="shared" si="69"/>
        <v>551320000000</v>
      </c>
    </row>
    <row r="1822" spans="1:23" x14ac:dyDescent="0.2">
      <c r="A1822">
        <f>IF(D1822="USD",VLOOKUP(VALUE(RIGHT(E1822,4)),'USD RUB'!$E:$F,2,FALSE),1)</f>
        <v>1</v>
      </c>
      <c r="B1822" s="4">
        <v>1</v>
      </c>
      <c r="C1822">
        <v>1000000</v>
      </c>
      <c r="D1822" t="s">
        <v>20</v>
      </c>
      <c r="E1822" s="1" t="s">
        <v>1839</v>
      </c>
      <c r="F1822">
        <v>4427000000</v>
      </c>
      <c r="G1822">
        <v>74186000000</v>
      </c>
      <c r="H1822">
        <v>334580000000</v>
      </c>
      <c r="J1822">
        <v>551086000000</v>
      </c>
      <c r="K1822">
        <v>115185000000</v>
      </c>
      <c r="L1822">
        <v>190166000000</v>
      </c>
      <c r="M1822">
        <v>308238000000</v>
      </c>
      <c r="N1822">
        <v>245735000000</v>
      </c>
      <c r="O1822">
        <v>217039000000</v>
      </c>
      <c r="P1822">
        <v>28588000000</v>
      </c>
      <c r="Q1822">
        <v>12047000000</v>
      </c>
      <c r="R1822">
        <v>8663000000</v>
      </c>
      <c r="U1822">
        <v>46797000000</v>
      </c>
      <c r="V1822">
        <f t="shared" si="68"/>
        <v>216336000000</v>
      </c>
      <c r="W1822">
        <f t="shared" si="69"/>
        <v>545290000000</v>
      </c>
    </row>
    <row r="1823" spans="1:23" x14ac:dyDescent="0.2">
      <c r="A1823">
        <f>IF(D1823="USD",VLOOKUP(VALUE(RIGHT(E1823,4)),'USD RUB'!$E:$F,2,FALSE),1)</f>
        <v>1</v>
      </c>
      <c r="B1823" s="4">
        <v>1</v>
      </c>
      <c r="C1823">
        <v>1000000</v>
      </c>
      <c r="D1823" t="s">
        <v>20</v>
      </c>
      <c r="E1823" s="1" t="s">
        <v>1840</v>
      </c>
      <c r="F1823">
        <v>3640000000</v>
      </c>
      <c r="G1823">
        <v>74231000000</v>
      </c>
      <c r="H1823">
        <v>331771000000</v>
      </c>
      <c r="J1823">
        <v>549897000000</v>
      </c>
      <c r="K1823">
        <v>126122000000</v>
      </c>
      <c r="L1823">
        <v>182344000000</v>
      </c>
      <c r="M1823">
        <v>304177000000</v>
      </c>
      <c r="N1823">
        <v>241431000000</v>
      </c>
      <c r="O1823">
        <v>144258000000</v>
      </c>
      <c r="P1823">
        <v>16773000000</v>
      </c>
      <c r="Q1823">
        <v>6051000000</v>
      </c>
      <c r="R1823">
        <v>4603000000</v>
      </c>
      <c r="U1823">
        <v>33768000000</v>
      </c>
      <c r="V1823">
        <f t="shared" si="68"/>
        <v>143840000000</v>
      </c>
      <c r="W1823">
        <f t="shared" si="69"/>
        <v>548066000000</v>
      </c>
    </row>
    <row r="1824" spans="1:23" x14ac:dyDescent="0.2">
      <c r="A1824">
        <f>IF(D1824="USD",VLOOKUP(VALUE(RIGHT(E1824,4)),'USD RUB'!$E:$F,2,FALSE),1)</f>
        <v>1</v>
      </c>
      <c r="B1824" s="4">
        <v>1</v>
      </c>
      <c r="C1824">
        <v>1000000</v>
      </c>
      <c r="D1824" t="s">
        <v>20</v>
      </c>
      <c r="E1824" s="1" t="s">
        <v>1841</v>
      </c>
      <c r="F1824">
        <v>5144000000</v>
      </c>
      <c r="G1824">
        <v>75632000000</v>
      </c>
      <c r="H1824">
        <v>333579000000</v>
      </c>
      <c r="J1824">
        <v>552586000000</v>
      </c>
      <c r="K1824">
        <v>112277000000</v>
      </c>
      <c r="L1824">
        <v>187429000000</v>
      </c>
      <c r="M1824">
        <v>317330000000</v>
      </c>
      <c r="N1824">
        <v>252880000000</v>
      </c>
      <c r="O1824">
        <v>72464000000</v>
      </c>
      <c r="P1824">
        <v>8502000000</v>
      </c>
      <c r="Q1824">
        <v>3769000000</v>
      </c>
      <c r="R1824">
        <v>3002000000</v>
      </c>
      <c r="U1824">
        <v>18964000000</v>
      </c>
      <c r="V1824">
        <f t="shared" si="68"/>
        <v>71710000000</v>
      </c>
      <c r="W1824">
        <f t="shared" si="69"/>
        <v>546575000000</v>
      </c>
    </row>
    <row r="1825" spans="1:23" x14ac:dyDescent="0.2">
      <c r="A1825">
        <f>IF(D1825="USD",VLOOKUP(VALUE(RIGHT(E1825,4)),'USD RUB'!$E:$F,2,FALSE),1)</f>
        <v>1</v>
      </c>
      <c r="B1825" s="4">
        <v>1</v>
      </c>
      <c r="C1825">
        <v>1000000</v>
      </c>
      <c r="D1825" t="s">
        <v>20</v>
      </c>
      <c r="E1825" s="1" t="s">
        <v>1842</v>
      </c>
      <c r="F1825">
        <v>7165000000</v>
      </c>
      <c r="G1825">
        <v>67796000000</v>
      </c>
      <c r="H1825">
        <v>338699000000</v>
      </c>
      <c r="J1825">
        <v>551320000000</v>
      </c>
      <c r="K1825">
        <v>130689000000</v>
      </c>
      <c r="L1825">
        <v>170967000000</v>
      </c>
      <c r="M1825">
        <v>314237000000</v>
      </c>
      <c r="N1825">
        <v>249664000000</v>
      </c>
      <c r="O1825">
        <v>297355000000</v>
      </c>
      <c r="P1825">
        <v>38586000000</v>
      </c>
      <c r="Q1825">
        <v>16827000000</v>
      </c>
      <c r="R1825">
        <v>14391000000</v>
      </c>
      <c r="U1825">
        <v>62726000000</v>
      </c>
      <c r="V1825">
        <f t="shared" si="68"/>
        <v>298937000000</v>
      </c>
      <c r="W1825">
        <f t="shared" si="69"/>
        <v>548634000000</v>
      </c>
    </row>
    <row r="1826" spans="1:23" x14ac:dyDescent="0.2">
      <c r="A1826">
        <f>IF(D1826="USD",VLOOKUP(VALUE(RIGHT(E1826,4)),'USD RUB'!$E:$F,2,FALSE),1)</f>
        <v>1</v>
      </c>
      <c r="B1826" s="4">
        <v>1</v>
      </c>
      <c r="C1826">
        <v>1000000</v>
      </c>
      <c r="D1826" t="s">
        <v>20</v>
      </c>
      <c r="E1826" s="1" t="s">
        <v>1843</v>
      </c>
      <c r="F1826">
        <v>12466000000</v>
      </c>
      <c r="G1826">
        <v>76709000000</v>
      </c>
      <c r="H1826">
        <v>324907000000</v>
      </c>
      <c r="J1826">
        <v>545290000000</v>
      </c>
      <c r="K1826">
        <v>145022000000</v>
      </c>
      <c r="L1826">
        <v>155132000000</v>
      </c>
      <c r="M1826">
        <v>324876000000</v>
      </c>
      <c r="N1826">
        <v>245136000000</v>
      </c>
      <c r="O1826">
        <v>216336000000</v>
      </c>
      <c r="P1826">
        <v>29328000000</v>
      </c>
      <c r="Q1826">
        <v>14306000000</v>
      </c>
      <c r="R1826">
        <v>10274000000</v>
      </c>
      <c r="U1826">
        <v>43383000000</v>
      </c>
      <c r="V1826">
        <f t="shared" si="68"/>
        <v>231870000000</v>
      </c>
      <c r="W1826">
        <f t="shared" si="69"/>
        <v>531948000000</v>
      </c>
    </row>
    <row r="1827" spans="1:23" x14ac:dyDescent="0.2">
      <c r="A1827">
        <f>IF(D1827="USD",VLOOKUP(VALUE(RIGHT(E1827,4)),'USD RUB'!$E:$F,2,FALSE),1)</f>
        <v>1</v>
      </c>
      <c r="B1827" s="4">
        <v>1</v>
      </c>
      <c r="C1827">
        <v>1000000</v>
      </c>
      <c r="D1827" t="s">
        <v>20</v>
      </c>
      <c r="E1827" s="1" t="s">
        <v>1844</v>
      </c>
      <c r="F1827">
        <v>11607000000</v>
      </c>
      <c r="G1827">
        <v>78951000000</v>
      </c>
      <c r="H1827">
        <v>323730000000</v>
      </c>
      <c r="J1827">
        <v>548066000000</v>
      </c>
      <c r="K1827">
        <v>146888000000</v>
      </c>
      <c r="L1827">
        <v>155496000000</v>
      </c>
      <c r="M1827">
        <v>320355000000</v>
      </c>
      <c r="N1827">
        <v>245682000000</v>
      </c>
      <c r="O1827">
        <v>143840000000</v>
      </c>
      <c r="P1827">
        <v>19384000000</v>
      </c>
      <c r="Q1827">
        <v>10761000000</v>
      </c>
      <c r="R1827">
        <v>8228000000</v>
      </c>
      <c r="U1827">
        <v>27405000000</v>
      </c>
      <c r="V1827">
        <f t="shared" si="68"/>
        <v>141564000000</v>
      </c>
      <c r="W1827">
        <f t="shared" si="69"/>
        <v>513093000000</v>
      </c>
    </row>
    <row r="1828" spans="1:23" x14ac:dyDescent="0.2">
      <c r="A1828">
        <f>IF(D1828="USD",VLOOKUP(VALUE(RIGHT(E1828,4)),'USD RUB'!$E:$F,2,FALSE),1)</f>
        <v>1</v>
      </c>
      <c r="B1828" s="4">
        <v>1</v>
      </c>
      <c r="C1828">
        <v>1000000</v>
      </c>
      <c r="D1828" t="s">
        <v>20</v>
      </c>
      <c r="E1828" s="1" t="s">
        <v>1845</v>
      </c>
      <c r="F1828">
        <v>13519000000</v>
      </c>
      <c r="G1828">
        <v>79784000000</v>
      </c>
      <c r="H1828">
        <v>322819000000</v>
      </c>
      <c r="J1828">
        <v>546575000000</v>
      </c>
      <c r="K1828">
        <v>148932000000</v>
      </c>
      <c r="L1828">
        <v>148614000000</v>
      </c>
      <c r="M1828">
        <v>324682000000</v>
      </c>
      <c r="N1828">
        <v>249029000000</v>
      </c>
      <c r="O1828">
        <v>71710000000</v>
      </c>
      <c r="P1828">
        <v>9305000000</v>
      </c>
      <c r="Q1828">
        <v>3258000000</v>
      </c>
      <c r="R1828">
        <v>2143000000</v>
      </c>
      <c r="U1828">
        <v>16286000000</v>
      </c>
      <c r="V1828">
        <f t="shared" si="68"/>
        <v>80406000000</v>
      </c>
      <c r="W1828">
        <f t="shared" si="69"/>
        <v>541265000000</v>
      </c>
    </row>
    <row r="1829" spans="1:23" x14ac:dyDescent="0.2">
      <c r="A1829">
        <f>IF(D1829="USD",VLOOKUP(VALUE(RIGHT(E1829,4)),'USD RUB'!$E:$F,2,FALSE),1)</f>
        <v>1</v>
      </c>
      <c r="B1829" s="4">
        <v>1</v>
      </c>
      <c r="C1829">
        <v>1000000</v>
      </c>
      <c r="D1829" t="s">
        <v>20</v>
      </c>
      <c r="E1829" s="1" t="s">
        <v>1846</v>
      </c>
      <c r="F1829">
        <v>16945000000</v>
      </c>
      <c r="G1829">
        <v>76933000000</v>
      </c>
      <c r="H1829">
        <v>328266000000</v>
      </c>
      <c r="J1829">
        <v>548634000000</v>
      </c>
      <c r="K1829">
        <v>123244000000</v>
      </c>
      <c r="L1829">
        <v>180163000000</v>
      </c>
      <c r="M1829">
        <v>322258000000</v>
      </c>
      <c r="N1829">
        <v>245227000000</v>
      </c>
      <c r="O1829">
        <v>298937000000</v>
      </c>
      <c r="P1829">
        <v>39994000000</v>
      </c>
      <c r="Q1829">
        <v>20393000000</v>
      </c>
      <c r="R1829">
        <v>13182000000</v>
      </c>
      <c r="U1829">
        <v>57666000000</v>
      </c>
      <c r="V1829">
        <f t="shared" si="68"/>
        <v>290736000000</v>
      </c>
      <c r="W1829">
        <f t="shared" si="69"/>
        <v>560972000000</v>
      </c>
    </row>
    <row r="1830" spans="1:23" x14ac:dyDescent="0.2">
      <c r="A1830">
        <f>IF(D1830="USD",VLOOKUP(VALUE(RIGHT(E1830,4)),'USD RUB'!$E:$F,2,FALSE),1)</f>
        <v>1</v>
      </c>
      <c r="B1830" s="4">
        <v>1</v>
      </c>
      <c r="C1830">
        <v>1000000</v>
      </c>
      <c r="D1830" t="s">
        <v>20</v>
      </c>
      <c r="E1830" s="1" t="s">
        <v>1847</v>
      </c>
      <c r="F1830">
        <v>3724000000</v>
      </c>
      <c r="G1830">
        <v>71542000000</v>
      </c>
      <c r="H1830">
        <v>321580000000</v>
      </c>
      <c r="J1830">
        <v>531948000000</v>
      </c>
      <c r="K1830">
        <v>87498000000</v>
      </c>
      <c r="L1830">
        <v>201651000000</v>
      </c>
      <c r="M1830">
        <v>319797000000</v>
      </c>
      <c r="N1830">
        <v>242799000000</v>
      </c>
      <c r="O1830">
        <v>231870000000</v>
      </c>
      <c r="P1830">
        <v>35065000000</v>
      </c>
      <c r="Q1830">
        <v>47324000000</v>
      </c>
      <c r="R1830">
        <v>39556000000</v>
      </c>
      <c r="U1830">
        <v>36157000000</v>
      </c>
      <c r="V1830">
        <f t="shared" si="68"/>
        <v>232317000000</v>
      </c>
      <c r="W1830">
        <f t="shared" si="69"/>
        <v>542800000000</v>
      </c>
    </row>
    <row r="1831" spans="1:23" x14ac:dyDescent="0.2">
      <c r="A1831">
        <f>IF(D1831="USD",VLOOKUP(VALUE(RIGHT(E1831,4)),'USD RUB'!$E:$F,2,FALSE),1)</f>
        <v>1</v>
      </c>
      <c r="B1831" s="4">
        <v>1</v>
      </c>
      <c r="C1831">
        <v>1000000</v>
      </c>
      <c r="D1831" t="s">
        <v>20</v>
      </c>
      <c r="E1831" s="1" t="s">
        <v>1848</v>
      </c>
      <c r="F1831">
        <v>708000000</v>
      </c>
      <c r="G1831">
        <v>97882000000</v>
      </c>
      <c r="H1831">
        <v>323050000000</v>
      </c>
      <c r="J1831">
        <v>513093000000</v>
      </c>
      <c r="K1831">
        <v>92720000000</v>
      </c>
      <c r="L1831">
        <v>202566000000</v>
      </c>
      <c r="M1831">
        <v>294346000000</v>
      </c>
      <c r="N1831">
        <v>217807000000</v>
      </c>
      <c r="O1831">
        <v>141564000000</v>
      </c>
      <c r="P1831">
        <v>23979000000</v>
      </c>
      <c r="Q1831">
        <v>18201000000</v>
      </c>
      <c r="R1831">
        <v>14420000000</v>
      </c>
      <c r="U1831">
        <v>24798000000</v>
      </c>
      <c r="V1831">
        <f t="shared" si="68"/>
        <v>154097000000</v>
      </c>
      <c r="W1831">
        <f t="shared" si="69"/>
        <v>544371000000</v>
      </c>
    </row>
    <row r="1832" spans="1:23" x14ac:dyDescent="0.2">
      <c r="A1832">
        <f>IF(D1832="USD",VLOOKUP(VALUE(RIGHT(E1832,4)),'USD RUB'!$E:$F,2,FALSE),1)</f>
        <v>1</v>
      </c>
      <c r="B1832" s="4">
        <v>1</v>
      </c>
      <c r="C1832">
        <v>1000000</v>
      </c>
      <c r="D1832" t="s">
        <v>20</v>
      </c>
      <c r="E1832" s="1" t="s">
        <v>1849</v>
      </c>
      <c r="F1832">
        <v>6250000000</v>
      </c>
      <c r="G1832">
        <v>122236000000</v>
      </c>
      <c r="H1832">
        <v>327111000000</v>
      </c>
      <c r="J1832">
        <v>541265000000</v>
      </c>
      <c r="K1832">
        <v>101475000000</v>
      </c>
      <c r="L1832">
        <v>222874000000</v>
      </c>
      <c r="M1832">
        <v>293156000000</v>
      </c>
      <c r="N1832">
        <v>216916000000</v>
      </c>
      <c r="O1832">
        <v>80406000000</v>
      </c>
      <c r="P1832">
        <v>11983000000</v>
      </c>
      <c r="Q1832">
        <v>9237000000</v>
      </c>
      <c r="R1832">
        <v>6892000000</v>
      </c>
      <c r="U1832">
        <v>9959000000</v>
      </c>
      <c r="V1832">
        <f t="shared" si="68"/>
        <v>77067000000</v>
      </c>
      <c r="W1832">
        <f t="shared" si="69"/>
        <v>541289000000</v>
      </c>
    </row>
    <row r="1833" spans="1:23" x14ac:dyDescent="0.2">
      <c r="A1833">
        <f>IF(D1833="USD",VLOOKUP(VALUE(RIGHT(E1833,4)),'USD RUB'!$E:$F,2,FALSE),1)</f>
        <v>1</v>
      </c>
      <c r="B1833" s="4">
        <v>1</v>
      </c>
      <c r="C1833">
        <v>1000000</v>
      </c>
      <c r="D1833" t="s">
        <v>20</v>
      </c>
      <c r="E1833" s="1" t="s">
        <v>1850</v>
      </c>
      <c r="F1833">
        <v>7960000000</v>
      </c>
      <c r="G1833">
        <v>155750000000</v>
      </c>
      <c r="H1833">
        <v>335059000000</v>
      </c>
      <c r="J1833">
        <v>560972000000</v>
      </c>
      <c r="K1833">
        <v>133910000000</v>
      </c>
      <c r="L1833">
        <v>227306000000</v>
      </c>
      <c r="N1833">
        <v>199756000000</v>
      </c>
      <c r="O1833">
        <v>290736000000</v>
      </c>
      <c r="P1833">
        <v>45234000000</v>
      </c>
      <c r="Q1833">
        <v>35056000000</v>
      </c>
      <c r="R1833">
        <v>26686000000</v>
      </c>
      <c r="T1833">
        <v>113300000000</v>
      </c>
      <c r="V1833">
        <f t="shared" si="68"/>
        <v>321251000000</v>
      </c>
      <c r="W1833">
        <f t="shared" si="69"/>
        <v>580031000000</v>
      </c>
    </row>
    <row r="1834" spans="1:23" x14ac:dyDescent="0.2">
      <c r="A1834">
        <f>IF(D1834="USD",VLOOKUP(VALUE(RIGHT(E1834,4)),'USD RUB'!$E:$F,2,FALSE),1)</f>
        <v>1</v>
      </c>
      <c r="B1834" s="4">
        <v>1</v>
      </c>
      <c r="C1834">
        <v>1000000</v>
      </c>
      <c r="D1834" t="s">
        <v>20</v>
      </c>
      <c r="E1834" s="1" t="s">
        <v>1851</v>
      </c>
      <c r="F1834">
        <v>4492000000</v>
      </c>
      <c r="G1834">
        <v>67840000000</v>
      </c>
      <c r="H1834">
        <v>375462000000</v>
      </c>
      <c r="J1834">
        <v>542800000000</v>
      </c>
      <c r="K1834">
        <v>114962000000</v>
      </c>
      <c r="L1834">
        <v>204502000000</v>
      </c>
      <c r="N1834">
        <v>223336000000</v>
      </c>
      <c r="O1834">
        <v>232317000000</v>
      </c>
      <c r="P1834">
        <v>37521000000</v>
      </c>
      <c r="Q1834">
        <v>30350000000</v>
      </c>
      <c r="R1834">
        <v>24232000000</v>
      </c>
      <c r="T1834">
        <v>87100000000</v>
      </c>
      <c r="V1834">
        <f t="shared" si="68"/>
        <v>238691000000</v>
      </c>
      <c r="W1834">
        <f t="shared" si="69"/>
        <v>551911000000</v>
      </c>
    </row>
    <row r="1835" spans="1:23" x14ac:dyDescent="0.2">
      <c r="A1835">
        <f>IF(D1835="USD",VLOOKUP(VALUE(RIGHT(E1835,4)),'USD RUB'!$E:$F,2,FALSE),1)</f>
        <v>1</v>
      </c>
      <c r="B1835" s="4">
        <v>1</v>
      </c>
      <c r="C1835">
        <v>1000000</v>
      </c>
      <c r="D1835" t="s">
        <v>20</v>
      </c>
      <c r="E1835" s="1" t="s">
        <v>1852</v>
      </c>
      <c r="F1835">
        <v>10761000000</v>
      </c>
      <c r="G1835">
        <v>65142000000</v>
      </c>
      <c r="H1835">
        <v>379991000000</v>
      </c>
      <c r="J1835">
        <v>544371000000</v>
      </c>
      <c r="K1835">
        <v>146729000000</v>
      </c>
      <c r="L1835">
        <v>189455000000</v>
      </c>
      <c r="N1835">
        <v>208187000000</v>
      </c>
      <c r="O1835">
        <v>154097000000</v>
      </c>
      <c r="P1835">
        <v>24264000000</v>
      </c>
      <c r="Q1835">
        <v>17239000000</v>
      </c>
      <c r="R1835">
        <v>13688000000</v>
      </c>
      <c r="V1835">
        <f t="shared" si="68"/>
        <v>159915000000</v>
      </c>
      <c r="W1835">
        <f t="shared" si="69"/>
        <v>535865000000</v>
      </c>
    </row>
    <row r="1836" spans="1:23" x14ac:dyDescent="0.2">
      <c r="A1836">
        <f>IF(D1836="USD",VLOOKUP(VALUE(RIGHT(E1836,4)),'USD RUB'!$E:$F,2,FALSE),1)</f>
        <v>1</v>
      </c>
      <c r="B1836" s="4">
        <v>1</v>
      </c>
      <c r="C1836">
        <v>1000000</v>
      </c>
      <c r="D1836" t="s">
        <v>20</v>
      </c>
      <c r="E1836" s="1" t="s">
        <v>1853</v>
      </c>
      <c r="F1836">
        <v>4008000000</v>
      </c>
      <c r="G1836">
        <v>56326000000</v>
      </c>
      <c r="H1836">
        <v>383424000000</v>
      </c>
      <c r="J1836">
        <v>541289000000</v>
      </c>
      <c r="K1836">
        <v>113291000000</v>
      </c>
      <c r="L1836">
        <v>194830000000</v>
      </c>
      <c r="N1836">
        <v>233168000000</v>
      </c>
      <c r="O1836">
        <v>77067000000</v>
      </c>
      <c r="P1836">
        <v>11482000000</v>
      </c>
      <c r="Q1836">
        <v>8182000000</v>
      </c>
      <c r="R1836">
        <v>6413000000</v>
      </c>
      <c r="V1836" t="str">
        <f t="shared" si="68"/>
        <v/>
      </c>
      <c r="W1836" t="str">
        <f t="shared" si="69"/>
        <v/>
      </c>
    </row>
    <row r="1837" spans="1:23" x14ac:dyDescent="0.2">
      <c r="A1837">
        <f>IF(D1837="USD",VLOOKUP(VALUE(RIGHT(E1837,4)),'USD RUB'!$E:$F,2,FALSE),1)</f>
        <v>1</v>
      </c>
      <c r="B1837" s="4">
        <v>1</v>
      </c>
      <c r="C1837">
        <v>1000000</v>
      </c>
      <c r="D1837" t="s">
        <v>20</v>
      </c>
      <c r="E1837" s="1" t="s">
        <v>1854</v>
      </c>
      <c r="F1837">
        <v>10370000000</v>
      </c>
      <c r="G1837">
        <v>57939000000</v>
      </c>
      <c r="H1837">
        <v>385994000000</v>
      </c>
      <c r="J1837">
        <v>580031000000</v>
      </c>
      <c r="K1837">
        <v>133426000000</v>
      </c>
      <c r="L1837">
        <v>190639000000</v>
      </c>
      <c r="N1837">
        <v>255966000000</v>
      </c>
      <c r="O1837">
        <v>321251000000</v>
      </c>
      <c r="P1837">
        <v>53825000000</v>
      </c>
      <c r="Q1837">
        <v>44033000000</v>
      </c>
      <c r="R1837">
        <v>35240000000</v>
      </c>
      <c r="V1837">
        <f t="shared" si="68"/>
        <v>296015000000</v>
      </c>
      <c r="W1837">
        <f t="shared" si="69"/>
        <v>511108000000</v>
      </c>
    </row>
    <row r="1838" spans="1:23" x14ac:dyDescent="0.2">
      <c r="A1838">
        <f>IF(D1838="USD",VLOOKUP(VALUE(RIGHT(E1838,4)),'USD RUB'!$E:$F,2,FALSE),1)</f>
        <v>1</v>
      </c>
      <c r="B1838" s="4">
        <v>1</v>
      </c>
      <c r="C1838">
        <v>1000000</v>
      </c>
      <c r="D1838" t="s">
        <v>20</v>
      </c>
      <c r="E1838" s="1" t="s">
        <v>1855</v>
      </c>
      <c r="F1838">
        <v>3369000000</v>
      </c>
      <c r="G1838">
        <v>54211000000</v>
      </c>
      <c r="H1838">
        <v>358260000000</v>
      </c>
      <c r="J1838">
        <v>551911000000</v>
      </c>
      <c r="K1838">
        <v>134444000000</v>
      </c>
      <c r="L1838">
        <v>165259000000</v>
      </c>
      <c r="N1838">
        <v>252208000000</v>
      </c>
      <c r="O1838">
        <v>238691000000</v>
      </c>
      <c r="P1838">
        <v>45871000000</v>
      </c>
      <c r="Q1838">
        <v>39308000000</v>
      </c>
      <c r="R1838">
        <v>30626000000</v>
      </c>
      <c r="V1838">
        <f t="shared" si="68"/>
        <v>217458000000</v>
      </c>
      <c r="W1838">
        <f t="shared" si="69"/>
        <v>476047000000</v>
      </c>
    </row>
    <row r="1839" spans="1:23" x14ac:dyDescent="0.2">
      <c r="A1839">
        <f>IF(D1839="USD",VLOOKUP(VALUE(RIGHT(E1839,4)),'USD RUB'!$E:$F,2,FALSE),1)</f>
        <v>1</v>
      </c>
      <c r="B1839" s="4">
        <v>1</v>
      </c>
      <c r="C1839">
        <v>1000000</v>
      </c>
      <c r="D1839" t="s">
        <v>20</v>
      </c>
      <c r="E1839" s="1" t="s">
        <v>1856</v>
      </c>
      <c r="F1839">
        <v>9286000000</v>
      </c>
      <c r="G1839">
        <v>66164000000</v>
      </c>
      <c r="H1839">
        <v>339559000000</v>
      </c>
      <c r="J1839">
        <v>535865000000</v>
      </c>
      <c r="K1839">
        <v>131966000000</v>
      </c>
      <c r="L1839">
        <v>165876000000</v>
      </c>
      <c r="N1839">
        <v>238023000000</v>
      </c>
      <c r="O1839">
        <v>159915000000</v>
      </c>
      <c r="P1839">
        <v>34103000000</v>
      </c>
      <c r="Q1839">
        <v>29961000000</v>
      </c>
      <c r="R1839">
        <v>23381000000</v>
      </c>
      <c r="V1839">
        <f t="shared" si="68"/>
        <v>143598000000</v>
      </c>
      <c r="W1839">
        <f t="shared" si="69"/>
        <v>474425000000</v>
      </c>
    </row>
    <row r="1840" spans="1:23" x14ac:dyDescent="0.2">
      <c r="A1840">
        <f>IF(D1840="USD",VLOOKUP(VALUE(RIGHT(E1840,4)),'USD RUB'!$E:$F,2,FALSE),1)</f>
        <v>1</v>
      </c>
      <c r="B1840" s="4">
        <v>1</v>
      </c>
      <c r="C1840">
        <v>1000000</v>
      </c>
      <c r="D1840" t="s">
        <v>20</v>
      </c>
      <c r="E1840" s="1" t="s">
        <v>1857</v>
      </c>
      <c r="F1840">
        <v>7177000000</v>
      </c>
      <c r="G1840">
        <v>51834000000</v>
      </c>
      <c r="H1840">
        <v>327971000000</v>
      </c>
      <c r="J1840">
        <v>511108000000</v>
      </c>
      <c r="K1840">
        <v>124481000000</v>
      </c>
      <c r="L1840">
        <v>118701000000</v>
      </c>
      <c r="N1840">
        <v>267926000000</v>
      </c>
      <c r="O1840">
        <v>296015000000</v>
      </c>
      <c r="P1840">
        <v>63668000000</v>
      </c>
      <c r="Q1840">
        <v>57025000000</v>
      </c>
      <c r="R1840">
        <v>46070000000</v>
      </c>
      <c r="V1840" t="str">
        <f t="shared" si="68"/>
        <v/>
      </c>
      <c r="W1840" t="str">
        <f t="shared" si="69"/>
        <v/>
      </c>
    </row>
    <row r="1841" spans="1:23" x14ac:dyDescent="0.2">
      <c r="A1841">
        <f>IF(D1841="USD",VLOOKUP(VALUE(RIGHT(E1841,4)),'USD RUB'!$E:$F,2,FALSE),1)</f>
        <v>1</v>
      </c>
      <c r="B1841" s="4">
        <v>1</v>
      </c>
      <c r="C1841">
        <v>1000000</v>
      </c>
      <c r="D1841" t="s">
        <v>20</v>
      </c>
      <c r="E1841" s="1" t="s">
        <v>1858</v>
      </c>
      <c r="F1841">
        <v>6051000000</v>
      </c>
      <c r="G1841">
        <v>49463000000</v>
      </c>
      <c r="H1841">
        <v>311077000000</v>
      </c>
      <c r="J1841">
        <v>476047000000</v>
      </c>
      <c r="K1841">
        <v>110899000000</v>
      </c>
      <c r="L1841">
        <v>114402000000</v>
      </c>
      <c r="N1841">
        <v>250746000000</v>
      </c>
      <c r="O1841">
        <v>217458000000</v>
      </c>
      <c r="P1841">
        <v>44100000000</v>
      </c>
      <c r="Q1841">
        <v>38081000000</v>
      </c>
      <c r="R1841">
        <v>29397000000</v>
      </c>
      <c r="V1841" t="str">
        <f t="shared" si="68"/>
        <v/>
      </c>
      <c r="W1841" t="str">
        <f t="shared" si="69"/>
        <v/>
      </c>
    </row>
    <row r="1842" spans="1:23" x14ac:dyDescent="0.2">
      <c r="A1842">
        <f>IF(D1842="USD",VLOOKUP(VALUE(RIGHT(E1842,4)),'USD RUB'!$E:$F,2,FALSE),1)</f>
        <v>1</v>
      </c>
      <c r="B1842" s="4">
        <v>1</v>
      </c>
      <c r="C1842">
        <v>1000000</v>
      </c>
      <c r="D1842" t="s">
        <v>20</v>
      </c>
      <c r="E1842" s="1" t="s">
        <v>1859</v>
      </c>
      <c r="F1842">
        <v>8754000000</v>
      </c>
      <c r="G1842">
        <v>54400000000</v>
      </c>
      <c r="H1842">
        <v>304492000000</v>
      </c>
      <c r="J1842">
        <v>474425000000</v>
      </c>
      <c r="K1842">
        <v>96500000000</v>
      </c>
      <c r="L1842">
        <v>137029000000</v>
      </c>
      <c r="N1842">
        <v>240896000000</v>
      </c>
      <c r="O1842">
        <v>143598000000</v>
      </c>
      <c r="P1842">
        <v>28813000000</v>
      </c>
      <c r="Q1842">
        <v>24859000000</v>
      </c>
      <c r="R1842">
        <v>19112000000</v>
      </c>
      <c r="V1842" t="str">
        <f t="shared" si="68"/>
        <v/>
      </c>
      <c r="W1842" t="str">
        <f t="shared" si="69"/>
        <v/>
      </c>
    </row>
    <row r="1843" spans="1:23" x14ac:dyDescent="0.2">
      <c r="A1843">
        <f>IF(D1843="USD",VLOOKUP(VALUE(RIGHT(E1843,4)),'USD RUB'!$E:$F,2,FALSE),1)</f>
        <v>1</v>
      </c>
      <c r="B1843" s="4">
        <v>1</v>
      </c>
      <c r="C1843">
        <v>1000000</v>
      </c>
      <c r="D1843" t="s">
        <v>20</v>
      </c>
      <c r="E1843" s="1" t="s">
        <v>1860</v>
      </c>
      <c r="F1843">
        <v>8423000000</v>
      </c>
      <c r="G1843">
        <v>62692000000</v>
      </c>
      <c r="H1843">
        <v>303943000000</v>
      </c>
      <c r="J1843">
        <v>476676000000</v>
      </c>
      <c r="K1843">
        <v>93852000000</v>
      </c>
      <c r="L1843">
        <v>154534000000</v>
      </c>
      <c r="N1843">
        <v>228290000000</v>
      </c>
      <c r="O1843">
        <v>72366000000</v>
      </c>
      <c r="P1843">
        <v>14220000000</v>
      </c>
      <c r="Q1843">
        <v>13420000000</v>
      </c>
      <c r="R1843">
        <v>10562000000</v>
      </c>
      <c r="V1843" t="str">
        <f t="shared" si="68"/>
        <v/>
      </c>
      <c r="W1843" t="str">
        <f t="shared" si="69"/>
        <v/>
      </c>
    </row>
    <row r="1844" spans="1:23" x14ac:dyDescent="0.2">
      <c r="A1844">
        <f>IF(D1844="USD",VLOOKUP(VALUE(RIGHT(E1844,4)),'USD RUB'!$E:$F,2,FALSE),1)</f>
        <v>1</v>
      </c>
      <c r="B1844" s="4">
        <v>1</v>
      </c>
      <c r="C1844">
        <v>1000000</v>
      </c>
      <c r="D1844" t="s">
        <v>20</v>
      </c>
      <c r="E1844" s="1" t="s">
        <v>1861</v>
      </c>
      <c r="F1844">
        <v>38785000000</v>
      </c>
      <c r="G1844">
        <v>251475000000</v>
      </c>
      <c r="H1844">
        <v>229044000000</v>
      </c>
      <c r="I1844">
        <v>29055000000</v>
      </c>
      <c r="J1844">
        <v>1126499000000</v>
      </c>
      <c r="K1844">
        <v>396446000000</v>
      </c>
      <c r="L1844">
        <v>679347000000</v>
      </c>
      <c r="M1844">
        <v>-92530000000</v>
      </c>
      <c r="N1844">
        <v>50706000000</v>
      </c>
      <c r="O1844">
        <v>902261000000</v>
      </c>
      <c r="P1844">
        <v>138638000000</v>
      </c>
      <c r="Q1844">
        <v>143165000000</v>
      </c>
      <c r="R1844">
        <v>105505000000</v>
      </c>
      <c r="S1844">
        <v>115013000000</v>
      </c>
      <c r="T1844">
        <v>253651000000</v>
      </c>
      <c r="U1844">
        <v>-209740000000</v>
      </c>
      <c r="V1844">
        <f t="shared" si="68"/>
        <v>856785000000</v>
      </c>
      <c r="W1844">
        <f t="shared" si="69"/>
        <v>1156896000000</v>
      </c>
    </row>
    <row r="1845" spans="1:23" x14ac:dyDescent="0.2">
      <c r="A1845">
        <f>IF(D1845="USD",VLOOKUP(VALUE(RIGHT(E1845,4)),'USD RUB'!$E:$F,2,FALSE),1)</f>
        <v>1</v>
      </c>
      <c r="B1845" s="4">
        <v>1</v>
      </c>
      <c r="C1845">
        <v>1000000</v>
      </c>
      <c r="D1845" t="s">
        <v>20</v>
      </c>
      <c r="E1845" s="1" t="s">
        <v>1862</v>
      </c>
      <c r="F1845">
        <v>53845000000</v>
      </c>
      <c r="G1845">
        <v>270013000000</v>
      </c>
      <c r="H1845">
        <v>204318000000</v>
      </c>
      <c r="I1845">
        <v>22854000000</v>
      </c>
      <c r="J1845">
        <v>1141684000000</v>
      </c>
      <c r="K1845">
        <v>420645000000</v>
      </c>
      <c r="L1845">
        <v>674888000000</v>
      </c>
      <c r="M1845">
        <v>-90874000000</v>
      </c>
      <c r="N1845">
        <v>46151000000</v>
      </c>
      <c r="O1845">
        <v>676483000000</v>
      </c>
      <c r="P1845">
        <v>143832000000</v>
      </c>
      <c r="Q1845">
        <v>146802000000</v>
      </c>
      <c r="R1845">
        <v>107205000000</v>
      </c>
      <c r="S1845">
        <v>87059000000</v>
      </c>
      <c r="T1845">
        <v>230891000000</v>
      </c>
      <c r="U1845">
        <v>-167430000000</v>
      </c>
      <c r="V1845">
        <f t="shared" si="68"/>
        <v>636557000000</v>
      </c>
      <c r="W1845">
        <f t="shared" si="69"/>
        <v>1138089000000</v>
      </c>
    </row>
    <row r="1846" spans="1:23" x14ac:dyDescent="0.2">
      <c r="A1846">
        <f>IF(D1846="USD",VLOOKUP(VALUE(RIGHT(E1846,4)),'USD RUB'!$E:$F,2,FALSE),1)</f>
        <v>1</v>
      </c>
      <c r="B1846" s="4">
        <v>1</v>
      </c>
      <c r="C1846">
        <v>1000000</v>
      </c>
      <c r="D1846" t="s">
        <v>20</v>
      </c>
      <c r="E1846" s="1" t="s">
        <v>1863</v>
      </c>
      <c r="F1846">
        <v>59167000000</v>
      </c>
      <c r="G1846">
        <v>256440000000</v>
      </c>
      <c r="H1846">
        <v>193778000000</v>
      </c>
      <c r="I1846">
        <v>22151000000</v>
      </c>
      <c r="J1846">
        <v>1099333000000</v>
      </c>
      <c r="K1846">
        <v>435817000000</v>
      </c>
      <c r="L1846">
        <v>643535000000</v>
      </c>
      <c r="M1846">
        <v>-124346000000</v>
      </c>
      <c r="N1846">
        <v>19981000000</v>
      </c>
      <c r="O1846">
        <v>414781000000</v>
      </c>
      <c r="P1846">
        <v>82625000000</v>
      </c>
      <c r="Q1846">
        <v>100309000000</v>
      </c>
      <c r="R1846">
        <v>74314000000</v>
      </c>
      <c r="S1846">
        <v>58839000000</v>
      </c>
      <c r="T1846">
        <v>141464000000</v>
      </c>
      <c r="U1846">
        <v>-100613000000</v>
      </c>
      <c r="V1846">
        <f t="shared" si="68"/>
        <v>377215000000</v>
      </c>
      <c r="W1846">
        <f t="shared" si="69"/>
        <v>1102302000000</v>
      </c>
    </row>
    <row r="1847" spans="1:23" x14ac:dyDescent="0.2">
      <c r="A1847">
        <f>IF(D1847="USD",VLOOKUP(VALUE(RIGHT(E1847,4)),'USD RUB'!$E:$F,2,FALSE),1)</f>
        <v>1</v>
      </c>
      <c r="B1847" s="4">
        <v>1</v>
      </c>
      <c r="C1847">
        <v>1000000</v>
      </c>
      <c r="D1847" t="s">
        <v>20</v>
      </c>
      <c r="E1847" s="1" t="s">
        <v>1864</v>
      </c>
      <c r="F1847">
        <v>77696000000</v>
      </c>
      <c r="G1847">
        <v>251330000000</v>
      </c>
      <c r="H1847">
        <v>187205000000</v>
      </c>
      <c r="I1847">
        <v>21571000000</v>
      </c>
      <c r="J1847">
        <v>1092402000000</v>
      </c>
      <c r="K1847">
        <v>393060000000</v>
      </c>
      <c r="L1847">
        <v>713784000000</v>
      </c>
      <c r="M1847">
        <v>-150940000000</v>
      </c>
      <c r="N1847">
        <v>-14442000000</v>
      </c>
      <c r="O1847">
        <v>190242000000</v>
      </c>
      <c r="P1847">
        <v>19102000000</v>
      </c>
      <c r="Q1847">
        <v>37581000000</v>
      </c>
      <c r="R1847">
        <v>26878000000</v>
      </c>
      <c r="S1847">
        <v>29943000000</v>
      </c>
      <c r="T1847">
        <v>49045000000</v>
      </c>
      <c r="U1847">
        <v>-29891000000</v>
      </c>
      <c r="V1847">
        <f t="shared" si="68"/>
        <v>173586000000</v>
      </c>
      <c r="W1847">
        <f t="shared" si="69"/>
        <v>1110270000000</v>
      </c>
    </row>
    <row r="1848" spans="1:23" x14ac:dyDescent="0.2">
      <c r="A1848">
        <f>IF(D1848="USD",VLOOKUP(VALUE(RIGHT(E1848,4)),'USD RUB'!$E:$F,2,FALSE),1)</f>
        <v>1</v>
      </c>
      <c r="B1848" s="4">
        <v>1</v>
      </c>
      <c r="C1848">
        <v>1000000</v>
      </c>
      <c r="D1848" t="s">
        <v>20</v>
      </c>
      <c r="E1848" s="1" t="s">
        <v>1865</v>
      </c>
      <c r="F1848">
        <v>67814000000</v>
      </c>
      <c r="G1848">
        <v>253737000000</v>
      </c>
      <c r="H1848">
        <v>159838000000</v>
      </c>
      <c r="I1848">
        <v>21245000000</v>
      </c>
      <c r="J1848">
        <v>1156896000000</v>
      </c>
      <c r="K1848">
        <v>409065000000</v>
      </c>
      <c r="L1848">
        <v>820328000000</v>
      </c>
      <c r="M1848">
        <v>-176492000000</v>
      </c>
      <c r="N1848">
        <v>-72497000000</v>
      </c>
      <c r="O1848">
        <v>856785000000</v>
      </c>
      <c r="P1848">
        <v>99537000000</v>
      </c>
      <c r="Q1848">
        <v>42209000000</v>
      </c>
      <c r="R1848">
        <v>55020000000</v>
      </c>
      <c r="S1848">
        <v>113972000000</v>
      </c>
      <c r="T1848">
        <v>214075000000</v>
      </c>
      <c r="U1848">
        <v>-91852000000</v>
      </c>
      <c r="V1848">
        <f t="shared" si="68"/>
        <v>612194000000</v>
      </c>
      <c r="W1848">
        <f t="shared" si="69"/>
        <v>1114014000000</v>
      </c>
    </row>
    <row r="1849" spans="1:23" x14ac:dyDescent="0.2">
      <c r="A1849">
        <f>IF(D1849="USD",VLOOKUP(VALUE(RIGHT(E1849,4)),'USD RUB'!$E:$F,2,FALSE),1)</f>
        <v>1</v>
      </c>
      <c r="B1849" s="4">
        <v>1</v>
      </c>
      <c r="C1849">
        <v>1000000</v>
      </c>
      <c r="D1849" t="s">
        <v>20</v>
      </c>
      <c r="E1849" s="1" t="s">
        <v>1866</v>
      </c>
      <c r="F1849">
        <v>71941000000</v>
      </c>
      <c r="G1849">
        <v>276784000000</v>
      </c>
      <c r="H1849">
        <v>138528000000</v>
      </c>
      <c r="I1849">
        <v>10167000000</v>
      </c>
      <c r="J1849">
        <v>1138089000000</v>
      </c>
      <c r="K1849">
        <v>412582000000</v>
      </c>
      <c r="L1849">
        <v>777972000000</v>
      </c>
      <c r="M1849">
        <v>-172691000000</v>
      </c>
      <c r="N1849">
        <v>-52465000000</v>
      </c>
      <c r="O1849">
        <v>636557000000</v>
      </c>
      <c r="P1849">
        <v>82463000000</v>
      </c>
      <c r="Q1849">
        <v>50625000000</v>
      </c>
      <c r="R1849">
        <v>59936000000</v>
      </c>
      <c r="S1849">
        <v>84617000000</v>
      </c>
      <c r="T1849">
        <v>184257000000</v>
      </c>
      <c r="U1849">
        <v>-52943000000</v>
      </c>
      <c r="V1849">
        <f t="shared" si="68"/>
        <v>441104000000</v>
      </c>
      <c r="W1849">
        <f t="shared" si="69"/>
        <v>1107334000000</v>
      </c>
    </row>
    <row r="1850" spans="1:23" x14ac:dyDescent="0.2">
      <c r="A1850">
        <f>IF(D1850="USD",VLOOKUP(VALUE(RIGHT(E1850,4)),'USD RUB'!$E:$F,2,FALSE),1)</f>
        <v>1</v>
      </c>
      <c r="B1850" s="4">
        <v>1</v>
      </c>
      <c r="C1850">
        <v>1000000</v>
      </c>
      <c r="D1850" t="s">
        <v>20</v>
      </c>
      <c r="E1850" s="1" t="s">
        <v>1867</v>
      </c>
      <c r="F1850">
        <v>74203000000</v>
      </c>
      <c r="G1850">
        <v>259845000000</v>
      </c>
      <c r="H1850">
        <v>142343000000</v>
      </c>
      <c r="I1850">
        <v>9808000000</v>
      </c>
      <c r="J1850">
        <v>1102302000000</v>
      </c>
      <c r="K1850">
        <v>398251000000</v>
      </c>
      <c r="L1850">
        <v>760518000000</v>
      </c>
      <c r="M1850">
        <v>-193519000000</v>
      </c>
      <c r="N1850">
        <v>-56467000000</v>
      </c>
      <c r="O1850">
        <v>377215000000</v>
      </c>
      <c r="P1850">
        <v>69183000000</v>
      </c>
      <c r="Q1850">
        <v>54825000000</v>
      </c>
      <c r="R1850">
        <v>42287000000</v>
      </c>
      <c r="S1850">
        <v>56669000000</v>
      </c>
      <c r="T1850">
        <v>125948000000</v>
      </c>
      <c r="U1850">
        <v>-56452000000</v>
      </c>
      <c r="V1850">
        <f t="shared" si="68"/>
        <v>252176000000</v>
      </c>
      <c r="W1850">
        <f t="shared" si="69"/>
        <v>1059786000000</v>
      </c>
    </row>
    <row r="1851" spans="1:23" x14ac:dyDescent="0.2">
      <c r="A1851">
        <f>IF(D1851="USD",VLOOKUP(VALUE(RIGHT(E1851,4)),'USD RUB'!$E:$F,2,FALSE),1)</f>
        <v>1</v>
      </c>
      <c r="B1851" s="4">
        <v>1</v>
      </c>
      <c r="C1851">
        <v>1000000</v>
      </c>
      <c r="D1851" t="s">
        <v>20</v>
      </c>
      <c r="E1851" s="1" t="s">
        <v>1868</v>
      </c>
      <c r="F1851">
        <v>79231000000</v>
      </c>
      <c r="G1851">
        <v>237120000000</v>
      </c>
      <c r="H1851">
        <v>125432000000</v>
      </c>
      <c r="I1851">
        <v>7752000000</v>
      </c>
      <c r="J1851">
        <v>1110270000000</v>
      </c>
      <c r="K1851">
        <v>367422000000</v>
      </c>
      <c r="L1851">
        <v>840493000000</v>
      </c>
      <c r="M1851">
        <v>-233904000000</v>
      </c>
      <c r="N1851">
        <v>-97645000000</v>
      </c>
      <c r="O1851">
        <v>173586000000</v>
      </c>
      <c r="P1851">
        <v>30795000000</v>
      </c>
      <c r="Q1851">
        <v>3466000000</v>
      </c>
      <c r="R1851">
        <v>1109000000</v>
      </c>
      <c r="S1851">
        <v>28511000000</v>
      </c>
      <c r="T1851">
        <v>59351000000</v>
      </c>
      <c r="U1851">
        <v>-28401000000</v>
      </c>
      <c r="V1851" t="str">
        <f t="shared" si="68"/>
        <v/>
      </c>
      <c r="W1851" t="str">
        <f t="shared" si="69"/>
        <v/>
      </c>
    </row>
    <row r="1852" spans="1:23" x14ac:dyDescent="0.2">
      <c r="A1852">
        <f>IF(D1852="USD",VLOOKUP(VALUE(RIGHT(E1852,4)),'USD RUB'!$E:$F,2,FALSE),1)</f>
        <v>1</v>
      </c>
      <c r="B1852" s="4">
        <v>1</v>
      </c>
      <c r="C1852">
        <v>1000000</v>
      </c>
      <c r="D1852" t="s">
        <v>20</v>
      </c>
      <c r="E1852" s="1" t="s">
        <v>1869</v>
      </c>
      <c r="F1852">
        <v>83117000000</v>
      </c>
      <c r="G1852">
        <v>250802000000</v>
      </c>
      <c r="H1852">
        <v>104922000000</v>
      </c>
      <c r="I1852">
        <v>7475000000</v>
      </c>
      <c r="J1852">
        <v>1114014000000</v>
      </c>
      <c r="K1852">
        <v>339604000000</v>
      </c>
      <c r="L1852">
        <v>873164000000</v>
      </c>
      <c r="M1852">
        <v>-234993000000</v>
      </c>
      <c r="N1852">
        <v>-98754000000</v>
      </c>
      <c r="O1852">
        <v>612194000000</v>
      </c>
      <c r="P1852">
        <v>182253000000</v>
      </c>
      <c r="Q1852">
        <v>-11350000000</v>
      </c>
      <c r="R1852">
        <v>-14021000000</v>
      </c>
      <c r="S1852">
        <v>135958000000</v>
      </c>
      <c r="T1852">
        <v>318347000000</v>
      </c>
      <c r="U1852">
        <v>-99462000000</v>
      </c>
      <c r="V1852">
        <f t="shared" si="68"/>
        <v>413316000000</v>
      </c>
      <c r="W1852">
        <f t="shared" si="69"/>
        <v>957125000000</v>
      </c>
    </row>
    <row r="1853" spans="1:23" x14ac:dyDescent="0.2">
      <c r="A1853">
        <f>IF(D1853="USD",VLOOKUP(VALUE(RIGHT(E1853,4)),'USD RUB'!$E:$F,2,FALSE),1)</f>
        <v>1</v>
      </c>
      <c r="B1853" s="4">
        <v>1</v>
      </c>
      <c r="C1853">
        <v>1000000</v>
      </c>
      <c r="D1853" t="s">
        <v>20</v>
      </c>
      <c r="E1853" s="1" t="s">
        <v>1870</v>
      </c>
      <c r="F1853">
        <v>93896000000</v>
      </c>
      <c r="G1853">
        <v>303085000000</v>
      </c>
      <c r="H1853">
        <v>50438000000</v>
      </c>
      <c r="I1853">
        <v>4969000000</v>
      </c>
      <c r="J1853">
        <v>1107334000000</v>
      </c>
      <c r="K1853">
        <v>383515000000</v>
      </c>
      <c r="L1853">
        <v>919815000000</v>
      </c>
      <c r="M1853">
        <v>-333578000000</v>
      </c>
      <c r="N1853">
        <v>-195996000000</v>
      </c>
      <c r="O1853">
        <v>441104000000</v>
      </c>
      <c r="P1853">
        <v>70560000000</v>
      </c>
      <c r="Q1853">
        <v>-135826000000</v>
      </c>
      <c r="R1853">
        <v>-111322000000</v>
      </c>
      <c r="S1853">
        <v>103624000000</v>
      </c>
      <c r="T1853">
        <v>174273000000</v>
      </c>
      <c r="U1853">
        <v>-40585000000</v>
      </c>
      <c r="V1853" t="str">
        <f t="shared" si="68"/>
        <v/>
      </c>
      <c r="W1853" t="str">
        <f t="shared" si="69"/>
        <v/>
      </c>
    </row>
    <row r="1854" spans="1:23" x14ac:dyDescent="0.2">
      <c r="A1854">
        <f>IF(D1854="USD",VLOOKUP(VALUE(RIGHT(E1854,4)),'USD RUB'!$E:$F,2,FALSE),1)</f>
        <v>1</v>
      </c>
      <c r="B1854" s="4">
        <v>1</v>
      </c>
      <c r="C1854">
        <v>1000000</v>
      </c>
      <c r="D1854" t="s">
        <v>20</v>
      </c>
      <c r="E1854" s="1" t="s">
        <v>1871</v>
      </c>
      <c r="F1854">
        <v>85886000000</v>
      </c>
      <c r="G1854">
        <v>315431000000</v>
      </c>
      <c r="H1854">
        <v>46524000000</v>
      </c>
      <c r="I1854">
        <v>2945000000</v>
      </c>
      <c r="J1854">
        <v>1059786000000</v>
      </c>
      <c r="K1854">
        <v>385953000000</v>
      </c>
      <c r="L1854">
        <v>860446000000</v>
      </c>
      <c r="M1854">
        <v>-322734000000</v>
      </c>
      <c r="N1854">
        <v>-186613000000</v>
      </c>
      <c r="O1854">
        <v>252176000000</v>
      </c>
      <c r="P1854">
        <v>-2931000000</v>
      </c>
      <c r="Q1854">
        <v>-128380000000</v>
      </c>
      <c r="R1854">
        <v>-102000000000</v>
      </c>
      <c r="S1854">
        <v>69095000000</v>
      </c>
      <c r="T1854">
        <v>66214000000</v>
      </c>
      <c r="U1854">
        <v>-12496000000</v>
      </c>
      <c r="V1854" t="str">
        <f t="shared" si="68"/>
        <v/>
      </c>
      <c r="W1854" t="str">
        <f t="shared" si="69"/>
        <v/>
      </c>
    </row>
    <row r="1855" spans="1:23" x14ac:dyDescent="0.2">
      <c r="A1855">
        <f>IF(D1855="USD",VLOOKUP(VALUE(RIGHT(E1855,4)),'USD RUB'!$E:$F,2,FALSE),1)</f>
        <v>1</v>
      </c>
      <c r="B1855" s="4">
        <v>1</v>
      </c>
      <c r="C1855">
        <v>1000000</v>
      </c>
      <c r="D1855" t="s">
        <v>20</v>
      </c>
      <c r="E1855" s="1" t="s">
        <v>1872</v>
      </c>
      <c r="F1855">
        <v>51877000000</v>
      </c>
      <c r="G1855">
        <v>231732000000</v>
      </c>
      <c r="H1855">
        <v>49067000000</v>
      </c>
      <c r="I1855">
        <v>2521000000</v>
      </c>
      <c r="J1855">
        <v>957125000000</v>
      </c>
      <c r="K1855">
        <v>268380000000</v>
      </c>
      <c r="L1855">
        <v>788084000000</v>
      </c>
      <c r="M1855">
        <v>-226131000000</v>
      </c>
      <c r="N1855">
        <v>-99339000000</v>
      </c>
      <c r="O1855">
        <v>413316000000</v>
      </c>
      <c r="P1855">
        <v>-13367000000</v>
      </c>
      <c r="Q1855">
        <v>-59991000000</v>
      </c>
      <c r="R1855">
        <v>-50371000000</v>
      </c>
      <c r="S1855">
        <v>126103000000</v>
      </c>
      <c r="T1855">
        <v>112907000000</v>
      </c>
      <c r="U1855">
        <v>-7510000000</v>
      </c>
      <c r="V1855">
        <f t="shared" si="68"/>
        <v>491733000000</v>
      </c>
      <c r="W1855">
        <f t="shared" si="69"/>
        <v>1109450000000</v>
      </c>
    </row>
    <row r="1856" spans="1:23" x14ac:dyDescent="0.2">
      <c r="A1856">
        <f>IF(D1856="USD",VLOOKUP(VALUE(RIGHT(E1856,4)),'USD RUB'!$E:$F,2,FALSE),1)</f>
        <v>1</v>
      </c>
      <c r="B1856" s="4">
        <v>1</v>
      </c>
      <c r="C1856">
        <v>1000000</v>
      </c>
      <c r="D1856" t="s">
        <v>20</v>
      </c>
      <c r="E1856" s="1" t="s">
        <v>1873</v>
      </c>
      <c r="F1856">
        <v>74180000000</v>
      </c>
      <c r="G1856">
        <v>190344000000</v>
      </c>
      <c r="H1856">
        <v>19893000000</v>
      </c>
      <c r="I1856">
        <v>3221000000</v>
      </c>
      <c r="J1856">
        <v>1109450000000</v>
      </c>
      <c r="K1856">
        <v>272588000000</v>
      </c>
      <c r="L1856">
        <v>983300000000</v>
      </c>
      <c r="M1856">
        <v>-175770000000</v>
      </c>
      <c r="N1856">
        <v>-146438000000</v>
      </c>
      <c r="O1856">
        <v>491733000000</v>
      </c>
      <c r="P1856">
        <v>-5015000000</v>
      </c>
      <c r="Q1856">
        <v>-42494000000</v>
      </c>
      <c r="R1856">
        <v>-34460000000</v>
      </c>
      <c r="S1856">
        <v>120506000000</v>
      </c>
      <c r="T1856">
        <v>116536000000</v>
      </c>
      <c r="U1856">
        <v>-17319000000</v>
      </c>
      <c r="V1856">
        <f t="shared" si="68"/>
        <v>302182000000</v>
      </c>
      <c r="W1856">
        <f t="shared" si="69"/>
        <v>1016204000000</v>
      </c>
    </row>
    <row r="1857" spans="1:23" x14ac:dyDescent="0.2">
      <c r="A1857">
        <f>IF(D1857="USD",VLOOKUP(VALUE(RIGHT(E1857,4)),'USD RUB'!$E:$F,2,FALSE),1)</f>
        <v>1</v>
      </c>
      <c r="B1857" s="4">
        <v>1</v>
      </c>
      <c r="C1857">
        <v>1000000</v>
      </c>
      <c r="D1857" t="s">
        <v>20</v>
      </c>
      <c r="E1857" s="1" t="s">
        <v>1874</v>
      </c>
      <c r="F1857">
        <v>70700000000</v>
      </c>
      <c r="G1857">
        <v>189358000000</v>
      </c>
      <c r="H1857">
        <v>19535000000</v>
      </c>
      <c r="I1857">
        <v>2859000000</v>
      </c>
      <c r="J1857">
        <v>1100429000000</v>
      </c>
      <c r="K1857">
        <v>269261000000</v>
      </c>
      <c r="L1857">
        <v>952148000000</v>
      </c>
      <c r="M1857">
        <v>-157988000000</v>
      </c>
      <c r="N1857">
        <v>-120980000000</v>
      </c>
      <c r="O1857">
        <v>362220000000</v>
      </c>
      <c r="P1857">
        <v>8014000000</v>
      </c>
      <c r="Q1857">
        <v>-18610000000</v>
      </c>
      <c r="R1857">
        <v>-16102000000</v>
      </c>
      <c r="S1857">
        <v>87241000000</v>
      </c>
      <c r="T1857">
        <v>95635000000</v>
      </c>
      <c r="U1857">
        <v>-11209000000</v>
      </c>
      <c r="V1857">
        <f t="shared" si="68"/>
        <v>234213000000</v>
      </c>
      <c r="W1857">
        <f t="shared" si="69"/>
        <v>1014343000000</v>
      </c>
    </row>
    <row r="1858" spans="1:23" x14ac:dyDescent="0.2">
      <c r="A1858">
        <f>IF(D1858="USD",VLOOKUP(VALUE(RIGHT(E1858,4)),'USD RUB'!$E:$F,2,FALSE),1)</f>
        <v>1</v>
      </c>
      <c r="B1858" s="4">
        <v>1</v>
      </c>
      <c r="C1858">
        <v>1000000</v>
      </c>
      <c r="D1858" t="s">
        <v>20</v>
      </c>
      <c r="E1858" s="1" t="s">
        <v>1875</v>
      </c>
      <c r="F1858">
        <v>94340000000</v>
      </c>
      <c r="G1858">
        <v>206973000000</v>
      </c>
      <c r="H1858">
        <v>19023000000</v>
      </c>
      <c r="I1858">
        <v>2790000000</v>
      </c>
      <c r="J1858">
        <v>1064546000000</v>
      </c>
      <c r="K1858">
        <v>295034000000</v>
      </c>
      <c r="L1858">
        <v>900137000000</v>
      </c>
      <c r="M1858">
        <v>-169462000000</v>
      </c>
      <c r="N1858">
        <v>-130625000000</v>
      </c>
      <c r="O1858">
        <v>195148000000</v>
      </c>
      <c r="P1858">
        <v>-15382000000</v>
      </c>
      <c r="Q1858">
        <v>-33630000000</v>
      </c>
      <c r="R1858">
        <v>-27737000000</v>
      </c>
      <c r="S1858">
        <v>56739000000</v>
      </c>
      <c r="T1858">
        <v>41583000000</v>
      </c>
      <c r="U1858">
        <v>-7612000000</v>
      </c>
      <c r="V1858">
        <f t="shared" si="68"/>
        <v>149352000000</v>
      </c>
      <c r="W1858">
        <f t="shared" si="69"/>
        <v>975690000000</v>
      </c>
    </row>
    <row r="1859" spans="1:23" x14ac:dyDescent="0.2">
      <c r="A1859">
        <f>IF(D1859="USD",VLOOKUP(VALUE(RIGHT(E1859,4)),'USD RUB'!$E:$F,2,FALSE),1)</f>
        <v>1</v>
      </c>
      <c r="B1859" s="4">
        <v>1</v>
      </c>
      <c r="C1859">
        <v>1000000</v>
      </c>
      <c r="D1859" t="s">
        <v>20</v>
      </c>
      <c r="E1859" s="1" t="s">
        <v>1876</v>
      </c>
      <c r="F1859">
        <v>68577000000</v>
      </c>
      <c r="G1859">
        <v>178256000000</v>
      </c>
      <c r="H1859">
        <v>19304000000</v>
      </c>
      <c r="I1859">
        <v>2902000000</v>
      </c>
      <c r="J1859">
        <v>995748000000</v>
      </c>
      <c r="K1859">
        <v>311913000000</v>
      </c>
      <c r="L1859">
        <v>834081000000</v>
      </c>
      <c r="M1859">
        <v>-166402000000</v>
      </c>
      <c r="N1859">
        <v>-150246000000</v>
      </c>
      <c r="O1859">
        <v>75498000000</v>
      </c>
      <c r="P1859">
        <v>-20672000000</v>
      </c>
      <c r="Q1859">
        <v>-30442000000</v>
      </c>
      <c r="R1859">
        <v>-25143000000</v>
      </c>
      <c r="S1859">
        <v>28275000000</v>
      </c>
      <c r="T1859">
        <v>7708000000</v>
      </c>
      <c r="U1859">
        <v>-3572000000</v>
      </c>
      <c r="V1859">
        <f t="shared" si="68"/>
        <v>123894000000</v>
      </c>
      <c r="W1859">
        <f t="shared" si="69"/>
        <v>1050280000000</v>
      </c>
    </row>
    <row r="1860" spans="1:23" x14ac:dyDescent="0.2">
      <c r="A1860">
        <f>IF(D1860="USD",VLOOKUP(VALUE(RIGHT(E1860,4)),'USD RUB'!$E:$F,2,FALSE),1)</f>
        <v>1</v>
      </c>
      <c r="B1860" s="4">
        <v>1</v>
      </c>
      <c r="C1860">
        <v>1000000</v>
      </c>
      <c r="D1860" t="s">
        <v>20</v>
      </c>
      <c r="E1860" s="1" t="s">
        <v>1877</v>
      </c>
      <c r="F1860">
        <v>88944000000</v>
      </c>
      <c r="G1860">
        <v>185082000000</v>
      </c>
      <c r="H1860">
        <v>19825000000</v>
      </c>
      <c r="I1860">
        <v>2414000000</v>
      </c>
      <c r="J1860">
        <v>1016204000000</v>
      </c>
      <c r="K1860">
        <v>281285000000</v>
      </c>
      <c r="L1860">
        <v>850265000000</v>
      </c>
      <c r="M1860">
        <v>-141664000000</v>
      </c>
      <c r="N1860">
        <v>-115346000000</v>
      </c>
      <c r="O1860">
        <v>302182000000</v>
      </c>
      <c r="P1860">
        <v>-92153000000</v>
      </c>
      <c r="Q1860">
        <v>-153487000000</v>
      </c>
      <c r="R1860">
        <v>-123208000000</v>
      </c>
      <c r="S1860">
        <v>125135000000</v>
      </c>
      <c r="T1860">
        <v>26989000000</v>
      </c>
      <c r="U1860">
        <v>-15344000000</v>
      </c>
      <c r="V1860">
        <f t="shared" si="68"/>
        <v>677881000000</v>
      </c>
      <c r="W1860">
        <f t="shared" si="69"/>
        <v>933318000000</v>
      </c>
    </row>
    <row r="1861" spans="1:23" x14ac:dyDescent="0.2">
      <c r="A1861">
        <f>IF(D1861="USD",VLOOKUP(VALUE(RIGHT(E1861,4)),'USD RUB'!$E:$F,2,FALSE),1)</f>
        <v>1</v>
      </c>
      <c r="B1861" s="4">
        <v>1</v>
      </c>
      <c r="C1861">
        <v>1000000</v>
      </c>
      <c r="D1861" t="s">
        <v>20</v>
      </c>
      <c r="E1861" s="1" t="s">
        <v>1878</v>
      </c>
      <c r="F1861">
        <v>27964000000</v>
      </c>
      <c r="G1861">
        <v>159602000000</v>
      </c>
      <c r="H1861">
        <v>24667000000</v>
      </c>
      <c r="I1861">
        <v>9151000000</v>
      </c>
      <c r="J1861">
        <v>1014343000000</v>
      </c>
      <c r="K1861">
        <v>331014000000</v>
      </c>
      <c r="L1861">
        <v>869030000000</v>
      </c>
      <c r="M1861">
        <v>-98338000000</v>
      </c>
      <c r="N1861">
        <v>-185701000000</v>
      </c>
      <c r="O1861">
        <v>234213000000</v>
      </c>
      <c r="P1861">
        <v>-56755000000</v>
      </c>
      <c r="Q1861">
        <v>-100710000000</v>
      </c>
      <c r="R1861">
        <v>-79406000000</v>
      </c>
      <c r="S1861">
        <v>87525000000</v>
      </c>
      <c r="T1861">
        <v>31180000000</v>
      </c>
      <c r="U1861">
        <v>-12078000000</v>
      </c>
      <c r="V1861">
        <f t="shared" si="68"/>
        <v>523983000000</v>
      </c>
      <c r="W1861">
        <f t="shared" si="69"/>
        <v>959287000000</v>
      </c>
    </row>
    <row r="1862" spans="1:23" x14ac:dyDescent="0.2">
      <c r="A1862">
        <f>IF(D1862="USD",VLOOKUP(VALUE(RIGHT(E1862,4)),'USD RUB'!$E:$F,2,FALSE),1)</f>
        <v>1</v>
      </c>
      <c r="B1862" s="4">
        <v>1</v>
      </c>
      <c r="C1862">
        <v>1000000</v>
      </c>
      <c r="D1862" t="s">
        <v>20</v>
      </c>
      <c r="E1862" s="1" t="s">
        <v>1879</v>
      </c>
      <c r="F1862">
        <v>39318000000</v>
      </c>
      <c r="G1862">
        <v>150687000000</v>
      </c>
      <c r="H1862">
        <v>25494000000</v>
      </c>
      <c r="I1862">
        <v>9207000000</v>
      </c>
      <c r="J1862">
        <v>975690000000</v>
      </c>
      <c r="K1862">
        <v>286074000000</v>
      </c>
      <c r="L1862">
        <v>793346000000</v>
      </c>
      <c r="M1862">
        <v>-78859000000</v>
      </c>
      <c r="N1862">
        <v>-103730000000</v>
      </c>
      <c r="O1862">
        <v>149352000000</v>
      </c>
      <c r="P1862">
        <v>-46119000000</v>
      </c>
      <c r="Q1862">
        <v>-75190000000</v>
      </c>
      <c r="R1862">
        <v>-58270000000</v>
      </c>
      <c r="S1862">
        <v>56897000000</v>
      </c>
      <c r="T1862">
        <v>11092000000</v>
      </c>
      <c r="U1862">
        <v>-9805000000</v>
      </c>
      <c r="V1862">
        <f t="shared" si="68"/>
        <v>311440000000</v>
      </c>
      <c r="W1862">
        <f t="shared" si="69"/>
        <v>976881000000</v>
      </c>
    </row>
    <row r="1863" spans="1:23" x14ac:dyDescent="0.2">
      <c r="A1863">
        <f>IF(D1863="USD",VLOOKUP(VALUE(RIGHT(E1863,4)),'USD RUB'!$E:$F,2,FALSE),1)</f>
        <v>1</v>
      </c>
      <c r="B1863" s="4">
        <v>1</v>
      </c>
      <c r="C1863">
        <v>1000000</v>
      </c>
      <c r="D1863" t="s">
        <v>20</v>
      </c>
      <c r="E1863" s="1" t="s">
        <v>1880</v>
      </c>
      <c r="F1863">
        <v>26962000000</v>
      </c>
      <c r="G1863">
        <v>152934000000</v>
      </c>
      <c r="H1863">
        <v>26378000000</v>
      </c>
      <c r="I1863">
        <v>9253000000</v>
      </c>
      <c r="J1863">
        <v>1050280000000</v>
      </c>
      <c r="K1863">
        <v>286639000000</v>
      </c>
      <c r="L1863">
        <v>882659000000</v>
      </c>
      <c r="M1863">
        <v>-43912000000</v>
      </c>
      <c r="N1863">
        <v>-119018000000</v>
      </c>
      <c r="O1863">
        <v>123894000000</v>
      </c>
      <c r="P1863">
        <v>-13156000000</v>
      </c>
      <c r="Q1863">
        <v>-31070000000</v>
      </c>
      <c r="R1863">
        <v>-22484000000</v>
      </c>
      <c r="S1863">
        <v>26022000000</v>
      </c>
      <c r="T1863">
        <v>13054000000</v>
      </c>
      <c r="U1863">
        <v>-7016000000</v>
      </c>
      <c r="V1863">
        <f t="shared" si="68"/>
        <v>138041000000</v>
      </c>
      <c r="W1863">
        <f t="shared" si="69"/>
        <v>995243000000</v>
      </c>
    </row>
    <row r="1864" spans="1:23" s="20" customFormat="1" x14ac:dyDescent="0.2">
      <c r="A1864" s="20">
        <f>IF(D1864="USD",VLOOKUP(VALUE(RIGHT(E1864,4)),'USD RUB'!$E:$F,2,FALSE),1)</f>
        <v>1</v>
      </c>
      <c r="B1864" s="21">
        <v>1</v>
      </c>
      <c r="C1864" s="20">
        <v>1000000</v>
      </c>
      <c r="D1864" s="20" t="s">
        <v>20</v>
      </c>
      <c r="E1864" s="22" t="s">
        <v>1881</v>
      </c>
      <c r="F1864" s="20">
        <v>12883000000</v>
      </c>
      <c r="G1864" s="20">
        <v>146852000000</v>
      </c>
      <c r="H1864" s="20">
        <v>26743000000</v>
      </c>
      <c r="I1864" s="20">
        <v>9260000000</v>
      </c>
      <c r="J1864" s="20">
        <v>933318000000</v>
      </c>
      <c r="K1864" s="20">
        <v>237418000000</v>
      </c>
      <c r="L1864" s="20">
        <v>693950000000</v>
      </c>
      <c r="M1864" s="20">
        <v>-24051000000</v>
      </c>
      <c r="N1864" s="20">
        <v>1950000000</v>
      </c>
      <c r="O1864" s="20">
        <v>677881000000</v>
      </c>
      <c r="P1864" s="20">
        <v>60663000000</v>
      </c>
      <c r="Q1864" s="20">
        <v>13803000000</v>
      </c>
      <c r="R1864" s="20">
        <v>13512000000</v>
      </c>
      <c r="S1864" s="20">
        <v>107477000000</v>
      </c>
      <c r="T1864" s="20">
        <v>168924000000</v>
      </c>
      <c r="U1864" s="20">
        <v>-26781000000</v>
      </c>
      <c r="V1864" s="20">
        <f t="shared" si="68"/>
        <v>611570000000</v>
      </c>
      <c r="W1864" s="20">
        <f t="shared" si="69"/>
        <v>316626000000</v>
      </c>
    </row>
    <row r="1865" spans="1:23" x14ac:dyDescent="0.2">
      <c r="A1865">
        <f>IF(D1865="USD",VLOOKUP(VALUE(RIGHT(E1865,4)),'USD RUB'!$E:$F,2,FALSE),1)</f>
        <v>1</v>
      </c>
      <c r="B1865" s="4">
        <v>1</v>
      </c>
      <c r="C1865">
        <v>1000000</v>
      </c>
      <c r="D1865" t="s">
        <v>20</v>
      </c>
      <c r="E1865" s="1" t="s">
        <v>1882</v>
      </c>
      <c r="F1865">
        <v>15536000000</v>
      </c>
      <c r="G1865">
        <v>155160000000</v>
      </c>
      <c r="H1865">
        <v>26926000000</v>
      </c>
      <c r="I1865">
        <v>9013000000</v>
      </c>
      <c r="J1865">
        <v>959287000000</v>
      </c>
      <c r="K1865">
        <v>230944000000</v>
      </c>
      <c r="L1865">
        <v>735496000000</v>
      </c>
      <c r="M1865">
        <v>-17372000000</v>
      </c>
      <c r="N1865">
        <v>-7153000000</v>
      </c>
      <c r="O1865">
        <v>523983000000</v>
      </c>
      <c r="P1865">
        <v>61695000000</v>
      </c>
      <c r="Q1865">
        <v>23625000000</v>
      </c>
      <c r="R1865">
        <v>20305000000</v>
      </c>
      <c r="S1865">
        <v>79415000000</v>
      </c>
      <c r="T1865">
        <v>141675000000</v>
      </c>
      <c r="U1865">
        <v>-17661000000</v>
      </c>
      <c r="V1865">
        <f t="shared" si="68"/>
        <v>466345000000</v>
      </c>
      <c r="W1865">
        <f t="shared" si="69"/>
        <v>336795000000</v>
      </c>
    </row>
    <row r="1866" spans="1:23" x14ac:dyDescent="0.2">
      <c r="A1866">
        <f>IF(D1866="USD",VLOOKUP(VALUE(RIGHT(E1866,4)),'USD RUB'!$E:$F,2,FALSE),1)</f>
        <v>1</v>
      </c>
      <c r="B1866" s="4">
        <v>1</v>
      </c>
      <c r="C1866">
        <v>1000000</v>
      </c>
      <c r="D1866" t="s">
        <v>20</v>
      </c>
      <c r="E1866" s="1" t="s">
        <v>1883</v>
      </c>
      <c r="F1866">
        <v>40262000000</v>
      </c>
      <c r="G1866">
        <v>164137000000</v>
      </c>
      <c r="H1866">
        <v>26675000000</v>
      </c>
      <c r="I1866">
        <v>8802000000</v>
      </c>
      <c r="J1866">
        <v>976881000000</v>
      </c>
      <c r="K1866">
        <v>274092000000</v>
      </c>
      <c r="L1866">
        <v>730365000000</v>
      </c>
      <c r="M1866">
        <v>-46008000000</v>
      </c>
      <c r="N1866">
        <v>-27576000000</v>
      </c>
      <c r="O1866">
        <v>311440000000</v>
      </c>
      <c r="P1866">
        <v>14618000000</v>
      </c>
      <c r="Q1866">
        <v>-10466000000</v>
      </c>
      <c r="R1866">
        <v>-8784000000</v>
      </c>
      <c r="S1866">
        <v>53305000000</v>
      </c>
      <c r="T1866">
        <v>68296000000</v>
      </c>
      <c r="U1866">
        <v>-9436000000</v>
      </c>
      <c r="V1866">
        <f t="shared" si="68"/>
        <v>265822000000</v>
      </c>
      <c r="W1866">
        <f t="shared" si="69"/>
        <v>362606000000</v>
      </c>
    </row>
    <row r="1867" spans="1:23" x14ac:dyDescent="0.2">
      <c r="A1867">
        <f>IF(D1867="USD",VLOOKUP(VALUE(RIGHT(E1867,4)),'USD RUB'!$E:$F,2,FALSE),1)</f>
        <v>1</v>
      </c>
      <c r="B1867" s="4">
        <v>1</v>
      </c>
      <c r="C1867">
        <v>1000000</v>
      </c>
      <c r="D1867" t="s">
        <v>20</v>
      </c>
      <c r="E1867" s="1" t="s">
        <v>1884</v>
      </c>
      <c r="F1867">
        <v>41142000000</v>
      </c>
      <c r="G1867">
        <v>159440000000</v>
      </c>
      <c r="H1867">
        <v>26601000000</v>
      </c>
      <c r="I1867">
        <v>8821000000</v>
      </c>
      <c r="J1867">
        <v>995243000000</v>
      </c>
      <c r="K1867">
        <v>279395000000</v>
      </c>
      <c r="L1867">
        <v>760781000000</v>
      </c>
      <c r="M1867">
        <v>-50580000000</v>
      </c>
      <c r="N1867">
        <v>-44933000000</v>
      </c>
      <c r="O1867">
        <v>138041000000</v>
      </c>
      <c r="P1867">
        <v>-5899000000</v>
      </c>
      <c r="Q1867">
        <v>-19690000000</v>
      </c>
      <c r="R1867">
        <v>-15746000000</v>
      </c>
      <c r="S1867">
        <v>27074000000</v>
      </c>
      <c r="T1867">
        <v>21333000000</v>
      </c>
      <c r="U1867">
        <v>-4251000000</v>
      </c>
      <c r="V1867">
        <f t="shared" si="68"/>
        <v>111942000000</v>
      </c>
      <c r="W1867">
        <f t="shared" si="69"/>
        <v>335365000000</v>
      </c>
    </row>
    <row r="1868" spans="1:23" s="20" customFormat="1" x14ac:dyDescent="0.2">
      <c r="A1868" s="20">
        <f>IF(D1868="USD",VLOOKUP(VALUE(RIGHT(E1868,4)),'USD RUB'!$E:$F,2,FALSE),1)</f>
        <v>1</v>
      </c>
      <c r="B1868" s="21">
        <v>1</v>
      </c>
      <c r="C1868" s="20">
        <v>1000000</v>
      </c>
      <c r="D1868" s="20" t="s">
        <v>20</v>
      </c>
      <c r="E1868" s="22" t="s">
        <v>1885</v>
      </c>
      <c r="F1868" s="20">
        <v>23711000000</v>
      </c>
      <c r="G1868" s="20">
        <v>145318000000</v>
      </c>
      <c r="H1868" s="20">
        <v>90964000000</v>
      </c>
      <c r="I1868" s="20">
        <v>8910000000</v>
      </c>
      <c r="J1868" s="20">
        <v>316626000000</v>
      </c>
      <c r="K1868" s="20">
        <v>156735000000</v>
      </c>
      <c r="L1868" s="20">
        <v>114556000000</v>
      </c>
      <c r="M1868" s="20">
        <v>74958000000</v>
      </c>
      <c r="N1868" s="20">
        <v>45335000000</v>
      </c>
      <c r="O1868" s="20">
        <v>611570000000</v>
      </c>
      <c r="P1868" s="20">
        <v>19657000000</v>
      </c>
      <c r="Q1868" s="20">
        <v>9934000000</v>
      </c>
      <c r="R1868" s="20">
        <v>5713000000</v>
      </c>
      <c r="S1868" s="20">
        <v>12912000000</v>
      </c>
      <c r="T1868" s="20">
        <v>33598000000</v>
      </c>
      <c r="U1868" s="20">
        <v>-13131000000</v>
      </c>
      <c r="V1868" s="20">
        <f t="shared" si="68"/>
        <v>532934000000</v>
      </c>
      <c r="W1868" s="20">
        <f t="shared" si="69"/>
        <v>323330000000</v>
      </c>
    </row>
    <row r="1869" spans="1:23" x14ac:dyDescent="0.2">
      <c r="A1869">
        <f>IF(D1869="USD",VLOOKUP(VALUE(RIGHT(E1869,4)),'USD RUB'!$E:$F,2,FALSE),1)</f>
        <v>1</v>
      </c>
      <c r="B1869" s="4">
        <v>1</v>
      </c>
      <c r="C1869">
        <v>1000000</v>
      </c>
      <c r="D1869" t="s">
        <v>20</v>
      </c>
      <c r="E1869" s="1" t="s">
        <v>1886</v>
      </c>
      <c r="F1869">
        <v>51709000000</v>
      </c>
      <c r="G1869">
        <v>173492000000</v>
      </c>
      <c r="H1869">
        <v>88996000000</v>
      </c>
      <c r="I1869">
        <v>8507000000</v>
      </c>
      <c r="J1869">
        <v>336795000000</v>
      </c>
      <c r="K1869">
        <v>157152000000</v>
      </c>
      <c r="L1869">
        <v>114800000000</v>
      </c>
      <c r="M1869">
        <v>91199000000</v>
      </c>
      <c r="N1869">
        <v>64843000000</v>
      </c>
      <c r="O1869">
        <v>466345000000</v>
      </c>
      <c r="P1869">
        <v>36846000000</v>
      </c>
      <c r="Q1869">
        <v>30043000000</v>
      </c>
      <c r="R1869">
        <v>22490000000</v>
      </c>
      <c r="S1869">
        <v>9590000000</v>
      </c>
      <c r="T1869">
        <v>47189000000</v>
      </c>
      <c r="U1869">
        <v>-8592000000</v>
      </c>
      <c r="V1869">
        <f t="shared" si="68"/>
        <v>404773000000</v>
      </c>
      <c r="W1869">
        <f t="shared" si="69"/>
        <v>329722000000</v>
      </c>
    </row>
    <row r="1870" spans="1:23" x14ac:dyDescent="0.2">
      <c r="A1870">
        <f>IF(D1870="USD",VLOOKUP(VALUE(RIGHT(E1870,4)),'USD RUB'!$E:$F,2,FALSE),1)</f>
        <v>1</v>
      </c>
      <c r="B1870" s="4">
        <v>1</v>
      </c>
      <c r="C1870">
        <v>1000000</v>
      </c>
      <c r="D1870" t="s">
        <v>20</v>
      </c>
      <c r="E1870" s="1" t="s">
        <v>1887</v>
      </c>
      <c r="F1870">
        <v>87785000000</v>
      </c>
      <c r="G1870">
        <v>208801000000</v>
      </c>
      <c r="H1870">
        <v>89347000000</v>
      </c>
      <c r="I1870">
        <v>8478000000</v>
      </c>
      <c r="J1870">
        <v>362606000000</v>
      </c>
      <c r="K1870">
        <v>212968000000</v>
      </c>
      <c r="L1870">
        <v>112093000000</v>
      </c>
      <c r="M1870">
        <v>63358000000</v>
      </c>
      <c r="N1870">
        <v>37545000000</v>
      </c>
      <c r="O1870">
        <v>265822000000</v>
      </c>
      <c r="P1870">
        <v>-279000000</v>
      </c>
      <c r="Q1870">
        <v>-5358000000</v>
      </c>
      <c r="R1870">
        <v>-5228000000</v>
      </c>
      <c r="S1870">
        <v>6394000000</v>
      </c>
      <c r="T1870">
        <v>6622000000</v>
      </c>
      <c r="U1870">
        <v>-5750000000</v>
      </c>
      <c r="V1870">
        <f t="shared" si="68"/>
        <v>234860000000</v>
      </c>
      <c r="W1870">
        <f t="shared" si="69"/>
        <v>347623000000</v>
      </c>
    </row>
    <row r="1871" spans="1:23" x14ac:dyDescent="0.2">
      <c r="A1871">
        <f>IF(D1871="USD",VLOOKUP(VALUE(RIGHT(E1871,4)),'USD RUB'!$E:$F,2,FALSE),1)</f>
        <v>1</v>
      </c>
      <c r="B1871" s="4">
        <v>1</v>
      </c>
      <c r="C1871">
        <v>1000000</v>
      </c>
      <c r="D1871" t="s">
        <v>20</v>
      </c>
      <c r="E1871" s="1" t="s">
        <v>1888</v>
      </c>
      <c r="F1871">
        <v>59105000000</v>
      </c>
      <c r="G1871">
        <v>186885000000</v>
      </c>
      <c r="H1871">
        <v>87959000000</v>
      </c>
      <c r="I1871">
        <v>8523000000</v>
      </c>
      <c r="J1871">
        <v>335365000000</v>
      </c>
      <c r="K1871">
        <v>170286000000</v>
      </c>
      <c r="L1871">
        <v>106711000000</v>
      </c>
      <c r="M1871">
        <v>71393000000</v>
      </c>
      <c r="N1871">
        <v>58368000000</v>
      </c>
      <c r="O1871">
        <v>111942000000</v>
      </c>
      <c r="P1871">
        <v>-11596000000</v>
      </c>
      <c r="Q1871">
        <v>-13727000000</v>
      </c>
      <c r="R1871">
        <v>-11543000000</v>
      </c>
      <c r="S1871">
        <v>3458000000</v>
      </c>
      <c r="T1871">
        <v>-7732000000</v>
      </c>
      <c r="U1871">
        <v>-1824000000</v>
      </c>
      <c r="V1871" t="str">
        <f t="shared" si="68"/>
        <v/>
      </c>
      <c r="W1871" t="str">
        <f t="shared" si="69"/>
        <v/>
      </c>
    </row>
    <row r="1872" spans="1:23" x14ac:dyDescent="0.2">
      <c r="A1872">
        <f>IF(D1872="USD",VLOOKUP(VALUE(RIGHT(E1872,4)),'USD RUB'!$E:$F,2,FALSE),1)</f>
        <v>1</v>
      </c>
      <c r="B1872" s="4">
        <v>1</v>
      </c>
      <c r="C1872">
        <v>1000000</v>
      </c>
      <c r="D1872" t="s">
        <v>20</v>
      </c>
      <c r="E1872" s="1" t="s">
        <v>1889</v>
      </c>
      <c r="F1872">
        <v>45978000000</v>
      </c>
      <c r="G1872">
        <v>168202000000</v>
      </c>
      <c r="H1872">
        <v>97932000000</v>
      </c>
      <c r="I1872">
        <v>8714000000</v>
      </c>
      <c r="J1872">
        <v>323330000000</v>
      </c>
      <c r="K1872">
        <v>141026000000</v>
      </c>
      <c r="L1872">
        <v>115005000000</v>
      </c>
      <c r="M1872">
        <v>81476000000</v>
      </c>
      <c r="N1872">
        <v>67299000000</v>
      </c>
      <c r="O1872">
        <v>532934000000</v>
      </c>
      <c r="P1872">
        <v>40411000000</v>
      </c>
      <c r="Q1872">
        <v>33726000000</v>
      </c>
      <c r="R1872">
        <v>23060000000</v>
      </c>
      <c r="S1872">
        <v>14084000000</v>
      </c>
      <c r="T1872">
        <v>56015000000</v>
      </c>
      <c r="U1872">
        <v>-7681000000</v>
      </c>
      <c r="V1872">
        <f t="shared" si="68"/>
        <v>495880000000</v>
      </c>
      <c r="W1872">
        <f t="shared" si="69"/>
        <v>299307000000</v>
      </c>
    </row>
    <row r="1873" spans="1:23" x14ac:dyDescent="0.2">
      <c r="A1873">
        <f>IF(D1873="USD",VLOOKUP(VALUE(RIGHT(E1873,4)),'USD RUB'!$E:$F,2,FALSE),1)</f>
        <v>1</v>
      </c>
      <c r="B1873" s="4">
        <v>1</v>
      </c>
      <c r="C1873">
        <v>1000000</v>
      </c>
      <c r="D1873" t="s">
        <v>20</v>
      </c>
      <c r="E1873" s="1" t="s">
        <v>1890</v>
      </c>
      <c r="F1873">
        <v>52088000000</v>
      </c>
      <c r="G1873">
        <v>176618000000</v>
      </c>
      <c r="H1873">
        <v>97485000000</v>
      </c>
      <c r="I1873">
        <v>8783000000</v>
      </c>
      <c r="J1873">
        <v>329722000000</v>
      </c>
      <c r="K1873">
        <v>144131000000</v>
      </c>
      <c r="L1873">
        <v>115787000000</v>
      </c>
      <c r="M1873">
        <v>85597000000</v>
      </c>
      <c r="N1873">
        <v>69804000000</v>
      </c>
      <c r="O1873">
        <v>404773000000</v>
      </c>
      <c r="P1873">
        <v>41862000000</v>
      </c>
      <c r="Q1873">
        <v>37686000000</v>
      </c>
      <c r="R1873">
        <v>27149000000</v>
      </c>
      <c r="S1873">
        <v>10412000000</v>
      </c>
      <c r="T1873">
        <v>53306000000</v>
      </c>
      <c r="U1873">
        <v>-3889000000</v>
      </c>
      <c r="V1873">
        <f t="shared" si="68"/>
        <v>381306000000</v>
      </c>
      <c r="W1873">
        <f t="shared" si="69"/>
        <v>329802000000</v>
      </c>
    </row>
    <row r="1874" spans="1:23" x14ac:dyDescent="0.2">
      <c r="A1874">
        <f>IF(D1874="USD",VLOOKUP(VALUE(RIGHT(E1874,4)),'USD RUB'!$E:$F,2,FALSE),1)</f>
        <v>1</v>
      </c>
      <c r="B1874" s="4">
        <v>1</v>
      </c>
      <c r="C1874">
        <v>1000000</v>
      </c>
      <c r="D1874" t="s">
        <v>20</v>
      </c>
      <c r="E1874" s="1" t="s">
        <v>1891</v>
      </c>
      <c r="F1874">
        <v>81055000000</v>
      </c>
      <c r="G1874">
        <v>198212000000</v>
      </c>
      <c r="H1874">
        <v>99386000000</v>
      </c>
      <c r="I1874">
        <v>8562000000</v>
      </c>
      <c r="J1874">
        <v>347623000000</v>
      </c>
      <c r="K1874">
        <v>194518000000</v>
      </c>
      <c r="L1874">
        <v>124436000000</v>
      </c>
      <c r="M1874">
        <v>60656000000</v>
      </c>
      <c r="N1874">
        <v>28669000000</v>
      </c>
      <c r="O1874">
        <v>234860000000</v>
      </c>
      <c r="P1874">
        <v>7697000000</v>
      </c>
      <c r="Q1874">
        <v>5537000000</v>
      </c>
      <c r="R1874">
        <v>2890000000</v>
      </c>
      <c r="S1874">
        <v>7004000000</v>
      </c>
      <c r="T1874">
        <v>15403000000</v>
      </c>
      <c r="U1874">
        <v>-2445000000</v>
      </c>
      <c r="V1874">
        <f t="shared" si="68"/>
        <v>223824000000</v>
      </c>
      <c r="W1874">
        <f t="shared" si="69"/>
        <v>328491000000</v>
      </c>
    </row>
    <row r="1875" spans="1:23" x14ac:dyDescent="0.2">
      <c r="A1875">
        <f>IF(D1875="USD",VLOOKUP(VALUE(RIGHT(E1875,4)),'USD RUB'!$E:$F,2,FALSE),1)</f>
        <v>1</v>
      </c>
      <c r="B1875" s="4">
        <v>1</v>
      </c>
      <c r="C1875">
        <v>1000000</v>
      </c>
      <c r="D1875" t="s">
        <v>20</v>
      </c>
      <c r="E1875" s="1" t="s">
        <v>1892</v>
      </c>
      <c r="F1875">
        <v>31476000000</v>
      </c>
      <c r="G1875">
        <v>130146000000</v>
      </c>
      <c r="H1875">
        <v>104897000000</v>
      </c>
      <c r="J1875">
        <v>299307000000</v>
      </c>
      <c r="K1875">
        <v>120725000000</v>
      </c>
      <c r="L1875">
        <v>137813000000</v>
      </c>
      <c r="M1875">
        <v>77198000000</v>
      </c>
      <c r="N1875">
        <v>40769000000</v>
      </c>
      <c r="O1875">
        <v>495880000000</v>
      </c>
      <c r="P1875">
        <v>63254000000</v>
      </c>
      <c r="Q1875">
        <v>53281000000</v>
      </c>
      <c r="R1875">
        <v>38826000000</v>
      </c>
      <c r="T1875">
        <v>78004000000</v>
      </c>
      <c r="U1875">
        <v>-10222000000</v>
      </c>
      <c r="V1875">
        <f t="shared" si="68"/>
        <v>415173000000</v>
      </c>
      <c r="W1875">
        <f t="shared" si="69"/>
        <v>315194000000</v>
      </c>
    </row>
    <row r="1876" spans="1:23" x14ac:dyDescent="0.2">
      <c r="A1876">
        <f>IF(D1876="USD",VLOOKUP(VALUE(RIGHT(E1876,4)),'USD RUB'!$E:$F,2,FALSE),1)</f>
        <v>1</v>
      </c>
      <c r="B1876" s="4">
        <v>1</v>
      </c>
      <c r="C1876">
        <v>1000000</v>
      </c>
      <c r="D1876" t="s">
        <v>20</v>
      </c>
      <c r="E1876" s="1" t="s">
        <v>1893</v>
      </c>
      <c r="F1876">
        <v>52121000000</v>
      </c>
      <c r="G1876">
        <v>156467000000</v>
      </c>
      <c r="H1876">
        <v>103595000000</v>
      </c>
      <c r="J1876">
        <v>329802000000</v>
      </c>
      <c r="K1876">
        <v>139638000000</v>
      </c>
      <c r="L1876">
        <v>149511000000</v>
      </c>
      <c r="M1876">
        <v>82343000000</v>
      </c>
      <c r="N1876">
        <v>40653000000</v>
      </c>
      <c r="O1876">
        <v>381306000000</v>
      </c>
      <c r="P1876">
        <v>66926000000</v>
      </c>
      <c r="Q1876">
        <v>58954000000</v>
      </c>
      <c r="R1876">
        <v>43798000000</v>
      </c>
      <c r="T1876">
        <v>77160000000</v>
      </c>
      <c r="U1876">
        <v>-7712000000</v>
      </c>
      <c r="V1876">
        <f t="shared" si="68"/>
        <v>309510000000</v>
      </c>
      <c r="W1876">
        <f t="shared" si="69"/>
        <v>301728000000</v>
      </c>
    </row>
    <row r="1877" spans="1:23" x14ac:dyDescent="0.2">
      <c r="A1877">
        <f>IF(D1877="USD",VLOOKUP(VALUE(RIGHT(E1877,4)),'USD RUB'!$E:$F,2,FALSE),1)</f>
        <v>1</v>
      </c>
      <c r="B1877" s="4">
        <v>1</v>
      </c>
      <c r="C1877">
        <v>1000000</v>
      </c>
      <c r="D1877" t="s">
        <v>20</v>
      </c>
      <c r="E1877" s="1" t="s">
        <v>1894</v>
      </c>
      <c r="F1877">
        <v>51997000000</v>
      </c>
      <c r="G1877">
        <v>159513000000</v>
      </c>
      <c r="H1877">
        <v>100990000000</v>
      </c>
      <c r="J1877">
        <v>328491000000</v>
      </c>
      <c r="K1877">
        <v>172442000000</v>
      </c>
      <c r="L1877">
        <v>160023000000</v>
      </c>
      <c r="M1877">
        <v>41098000000</v>
      </c>
      <c r="N1877">
        <v>-3974000000</v>
      </c>
      <c r="O1877">
        <v>223824000000</v>
      </c>
      <c r="P1877">
        <v>23250000000</v>
      </c>
      <c r="Q1877">
        <v>8211000000</v>
      </c>
      <c r="R1877">
        <v>2467000000</v>
      </c>
      <c r="T1877">
        <v>30035000000</v>
      </c>
      <c r="U1877">
        <v>-3519000000</v>
      </c>
      <c r="V1877">
        <f t="shared" si="68"/>
        <v>176467000000</v>
      </c>
      <c r="W1877">
        <f t="shared" si="69"/>
        <v>304137000000</v>
      </c>
    </row>
    <row r="1878" spans="1:23" x14ac:dyDescent="0.2">
      <c r="A1878">
        <f>IF(D1878="USD",VLOOKUP(VALUE(RIGHT(E1878,4)),'USD RUB'!$E:$F,2,FALSE),1)</f>
        <v>1</v>
      </c>
      <c r="B1878" s="4">
        <v>1</v>
      </c>
      <c r="C1878">
        <v>1000000</v>
      </c>
      <c r="D1878" t="s">
        <v>20</v>
      </c>
      <c r="E1878" s="1" t="s">
        <v>1895</v>
      </c>
      <c r="F1878">
        <v>30693000000</v>
      </c>
      <c r="G1878">
        <v>133306000000</v>
      </c>
      <c r="H1878">
        <v>104494000000</v>
      </c>
      <c r="J1878">
        <v>315194000000</v>
      </c>
      <c r="K1878">
        <v>178081000000</v>
      </c>
      <c r="L1878">
        <v>173233000000</v>
      </c>
      <c r="N1878">
        <v>-36120000000</v>
      </c>
      <c r="O1878">
        <v>415173000000</v>
      </c>
      <c r="P1878">
        <v>44107000000</v>
      </c>
      <c r="Q1878">
        <v>-1560000000</v>
      </c>
      <c r="R1878">
        <v>-6494000000</v>
      </c>
      <c r="V1878">
        <f t="shared" si="68"/>
        <v>319771000000</v>
      </c>
      <c r="W1878">
        <f t="shared" si="69"/>
        <v>277718000000</v>
      </c>
    </row>
    <row r="1879" spans="1:23" x14ac:dyDescent="0.2">
      <c r="A1879">
        <f>IF(D1879="USD",VLOOKUP(VALUE(RIGHT(E1879,4)),'USD RUB'!$E:$F,2,FALSE),1)</f>
        <v>1</v>
      </c>
      <c r="B1879" s="4">
        <v>1</v>
      </c>
      <c r="C1879">
        <v>1000000</v>
      </c>
      <c r="D1879" t="s">
        <v>20</v>
      </c>
      <c r="E1879" s="1" t="s">
        <v>1896</v>
      </c>
      <c r="F1879">
        <v>29357000000</v>
      </c>
      <c r="G1879">
        <v>128448000000</v>
      </c>
      <c r="H1879">
        <v>106083000000</v>
      </c>
      <c r="J1879">
        <v>301728000000</v>
      </c>
      <c r="K1879">
        <v>163150000000</v>
      </c>
      <c r="L1879">
        <v>160231000000</v>
      </c>
      <c r="N1879">
        <v>-21653000000</v>
      </c>
      <c r="O1879">
        <v>309510000000</v>
      </c>
      <c r="P1879">
        <v>36808000000</v>
      </c>
      <c r="Q1879">
        <v>7920000000</v>
      </c>
      <c r="R1879">
        <v>1826000000</v>
      </c>
      <c r="T1879">
        <v>47846000000</v>
      </c>
      <c r="V1879">
        <f t="shared" si="68"/>
        <v>236698000000</v>
      </c>
      <c r="W1879">
        <f t="shared" si="69"/>
        <v>251266000000</v>
      </c>
    </row>
    <row r="1880" spans="1:23" x14ac:dyDescent="0.2">
      <c r="A1880">
        <f>IF(D1880="USD",VLOOKUP(VALUE(RIGHT(E1880,4)),'USD RUB'!$E:$F,2,FALSE),1)</f>
        <v>1</v>
      </c>
      <c r="B1880" s="4">
        <v>1</v>
      </c>
      <c r="C1880">
        <v>1000000</v>
      </c>
      <c r="D1880" t="s">
        <v>20</v>
      </c>
      <c r="E1880" s="1" t="s">
        <v>1897</v>
      </c>
      <c r="F1880">
        <v>47932000000</v>
      </c>
      <c r="G1880">
        <v>124448000000</v>
      </c>
      <c r="H1880">
        <v>113430000000</v>
      </c>
      <c r="J1880">
        <v>304137000000</v>
      </c>
      <c r="K1880">
        <v>174706000000</v>
      </c>
      <c r="L1880">
        <v>138194000000</v>
      </c>
      <c r="N1880">
        <v>-8763000000</v>
      </c>
      <c r="O1880">
        <v>176467000000</v>
      </c>
      <c r="P1880">
        <v>5866000000</v>
      </c>
      <c r="Q1880">
        <v>-3296000000</v>
      </c>
      <c r="R1880">
        <v>-3541000000</v>
      </c>
      <c r="T1880">
        <v>13311000000</v>
      </c>
      <c r="V1880">
        <f t="shared" si="68"/>
        <v>121796000000</v>
      </c>
      <c r="W1880">
        <f t="shared" si="69"/>
        <v>257877000000</v>
      </c>
    </row>
    <row r="1881" spans="1:23" x14ac:dyDescent="0.2">
      <c r="A1881">
        <f>IF(D1881="USD",VLOOKUP(VALUE(RIGHT(E1881,4)),'USD RUB'!$E:$F,2,FALSE),1)</f>
        <v>1</v>
      </c>
      <c r="B1881" s="4">
        <v>1</v>
      </c>
      <c r="C1881">
        <v>1000000</v>
      </c>
      <c r="D1881" t="s">
        <v>20</v>
      </c>
      <c r="E1881" s="1" t="s">
        <v>1898</v>
      </c>
      <c r="F1881">
        <v>26547000000</v>
      </c>
      <c r="G1881">
        <v>92213000000</v>
      </c>
      <c r="H1881">
        <v>116044000000</v>
      </c>
      <c r="J1881">
        <v>277718000000</v>
      </c>
      <c r="K1881">
        <v>135136000000</v>
      </c>
      <c r="L1881">
        <v>156087000000</v>
      </c>
      <c r="N1881">
        <v>-13505000000</v>
      </c>
      <c r="O1881">
        <v>319771000000</v>
      </c>
      <c r="P1881">
        <v>11268000000</v>
      </c>
      <c r="Q1881">
        <v>-16352000000</v>
      </c>
      <c r="R1881">
        <v>-17146000000</v>
      </c>
      <c r="T1881">
        <v>24839000000</v>
      </c>
      <c r="V1881">
        <f t="shared" ref="V1881:V1944" si="70">_xlfn.XLOOKUP(LEFT(E1881,LEN(E1881)-4)&amp;(VALUE(RIGHT(E1881,4))-1),$E:$E,$O:$O,"")</f>
        <v>290955800000</v>
      </c>
      <c r="W1881">
        <f t="shared" ref="W1881:W1944" si="71">_xlfn.XLOOKUP(LEFT(E1881,LEN(E1881)-4)&amp;(VALUE(RIGHT(E1881,4))-1),$E:$E,$J:$J,"")</f>
        <v>209183900000</v>
      </c>
    </row>
    <row r="1882" spans="1:23" x14ac:dyDescent="0.2">
      <c r="A1882">
        <f>IF(D1882="USD",VLOOKUP(VALUE(RIGHT(E1882,4)),'USD RUB'!$E:$F,2,FALSE),1)</f>
        <v>1</v>
      </c>
      <c r="B1882" s="4">
        <v>1</v>
      </c>
      <c r="C1882">
        <v>1000000</v>
      </c>
      <c r="D1882" t="s">
        <v>20</v>
      </c>
      <c r="E1882" s="1" t="s">
        <v>1899</v>
      </c>
      <c r="F1882">
        <v>29307000000</v>
      </c>
      <c r="G1882">
        <v>87060000000</v>
      </c>
      <c r="H1882">
        <v>116930000000</v>
      </c>
      <c r="J1882">
        <v>251266000000</v>
      </c>
      <c r="K1882">
        <v>86285000000</v>
      </c>
      <c r="L1882">
        <v>117244000000</v>
      </c>
      <c r="N1882">
        <v>47737000000</v>
      </c>
      <c r="O1882">
        <v>236698000000</v>
      </c>
      <c r="P1882">
        <v>13662000000</v>
      </c>
      <c r="Q1882">
        <v>-3241000000</v>
      </c>
      <c r="R1882">
        <v>-3563000000</v>
      </c>
      <c r="T1882">
        <v>23559000000</v>
      </c>
      <c r="V1882">
        <f t="shared" si="70"/>
        <v>222352200000</v>
      </c>
      <c r="W1882">
        <f t="shared" si="71"/>
        <v>127079800000</v>
      </c>
    </row>
    <row r="1883" spans="1:23" x14ac:dyDescent="0.2">
      <c r="A1883">
        <f>IF(D1883="USD",VLOOKUP(VALUE(RIGHT(E1883,4)),'USD RUB'!$E:$F,2,FALSE),1)</f>
        <v>1</v>
      </c>
      <c r="B1883" s="4">
        <v>1</v>
      </c>
      <c r="C1883">
        <v>1000000</v>
      </c>
      <c r="D1883" t="s">
        <v>20</v>
      </c>
      <c r="E1883" s="1" t="s">
        <v>1900</v>
      </c>
      <c r="F1883">
        <v>36703000000</v>
      </c>
      <c r="G1883">
        <v>96153000000</v>
      </c>
      <c r="H1883">
        <v>119152000000</v>
      </c>
      <c r="J1883">
        <v>257877000000</v>
      </c>
      <c r="K1883">
        <v>110770000000</v>
      </c>
      <c r="L1883">
        <v>97470000000</v>
      </c>
      <c r="N1883">
        <v>49637000000</v>
      </c>
      <c r="O1883">
        <v>121796000000</v>
      </c>
      <c r="P1883">
        <v>-1384000000</v>
      </c>
      <c r="Q1883">
        <v>-1205000000</v>
      </c>
      <c r="R1883">
        <v>-1905000000</v>
      </c>
      <c r="T1883">
        <v>16657000000</v>
      </c>
      <c r="V1883">
        <f t="shared" si="70"/>
        <v>128180000000</v>
      </c>
      <c r="W1883">
        <f t="shared" si="71"/>
        <v>128500400000</v>
      </c>
    </row>
    <row r="1884" spans="1:23" x14ac:dyDescent="0.2">
      <c r="A1884">
        <f>IF(D1884="USD",VLOOKUP(VALUE(RIGHT(E1884,4)),'USD RUB'!$E:$F,2,FALSE),1)</f>
        <v>1</v>
      </c>
      <c r="B1884" s="4">
        <v>1</v>
      </c>
      <c r="C1884">
        <v>1000000</v>
      </c>
      <c r="D1884" t="s">
        <v>20</v>
      </c>
      <c r="E1884" s="1" t="s">
        <v>1901</v>
      </c>
      <c r="F1884">
        <v>18659700000</v>
      </c>
      <c r="G1884">
        <v>81464700000</v>
      </c>
      <c r="H1884">
        <v>88777200000</v>
      </c>
      <c r="J1884">
        <v>209183900000</v>
      </c>
      <c r="K1884">
        <v>67970700000</v>
      </c>
      <c r="L1884">
        <v>86733200000</v>
      </c>
      <c r="N1884">
        <v>54480000000</v>
      </c>
      <c r="O1884">
        <v>290955800000</v>
      </c>
      <c r="P1884">
        <v>19794800000</v>
      </c>
      <c r="Q1884">
        <v>13703800000</v>
      </c>
      <c r="R1884">
        <v>7334700000</v>
      </c>
      <c r="V1884">
        <f t="shared" si="70"/>
        <v>252793444842.75848</v>
      </c>
      <c r="W1884">
        <f t="shared" si="71"/>
        <v>194016118890.57462</v>
      </c>
    </row>
    <row r="1885" spans="1:23" x14ac:dyDescent="0.2">
      <c r="A1885">
        <f>IF(D1885="USD",VLOOKUP(VALUE(RIGHT(E1885,4)),'USD RUB'!$E:$F,2,FALSE),1)</f>
        <v>1</v>
      </c>
      <c r="B1885" s="4">
        <v>1</v>
      </c>
      <c r="C1885">
        <v>1000000</v>
      </c>
      <c r="D1885" t="s">
        <v>20</v>
      </c>
      <c r="E1885" s="1" t="s">
        <v>1902</v>
      </c>
      <c r="G1885">
        <v>62273500000</v>
      </c>
      <c r="H1885">
        <v>91410900000</v>
      </c>
      <c r="J1885">
        <v>127079800000</v>
      </c>
      <c r="K1885">
        <v>54553500000</v>
      </c>
      <c r="L1885">
        <v>13341100000</v>
      </c>
      <c r="N1885">
        <v>86965500000</v>
      </c>
      <c r="O1885">
        <v>222352200000</v>
      </c>
      <c r="P1885">
        <v>26869500000</v>
      </c>
      <c r="Q1885">
        <v>21927100000</v>
      </c>
      <c r="R1885">
        <v>17237200000</v>
      </c>
      <c r="V1885">
        <f t="shared" si="70"/>
        <v>187020741126.89645</v>
      </c>
      <c r="W1885">
        <f t="shared" si="71"/>
        <v>188592526716.78149</v>
      </c>
    </row>
    <row r="1886" spans="1:23" x14ac:dyDescent="0.2">
      <c r="A1886">
        <f>IF(D1886="USD",VLOOKUP(VALUE(RIGHT(E1886,4)),'USD RUB'!$E:$F,2,FALSE),1)</f>
        <v>1</v>
      </c>
      <c r="B1886" s="4">
        <v>1</v>
      </c>
      <c r="C1886">
        <v>1000000</v>
      </c>
      <c r="D1886" t="s">
        <v>20</v>
      </c>
      <c r="E1886" s="1" t="s">
        <v>1903</v>
      </c>
      <c r="G1886">
        <v>63006800000</v>
      </c>
      <c r="H1886">
        <v>91125700000</v>
      </c>
      <c r="J1886">
        <v>128500400000</v>
      </c>
      <c r="K1886">
        <v>68237800000</v>
      </c>
      <c r="L1886">
        <v>14196100000</v>
      </c>
      <c r="N1886">
        <v>92809200000</v>
      </c>
      <c r="O1886">
        <v>128180000000</v>
      </c>
      <c r="P1886">
        <v>5181000000</v>
      </c>
      <c r="Q1886">
        <v>556800000</v>
      </c>
      <c r="R1886">
        <v>45200000</v>
      </c>
      <c r="V1886">
        <f t="shared" si="70"/>
        <v>112273949329.65511</v>
      </c>
      <c r="W1886">
        <f t="shared" si="71"/>
        <v>170961192708.50565</v>
      </c>
    </row>
    <row r="1887" spans="1:23" x14ac:dyDescent="0.2">
      <c r="A1887">
        <f>IF(D1887="USD",VLOOKUP(VALUE(RIGHT(E1887,4)),'USD RUB'!$E:$F,2,FALSE),1)</f>
        <v>31.062956321839064</v>
      </c>
      <c r="B1887" s="4">
        <v>31.062956321839064</v>
      </c>
      <c r="C1887">
        <v>1000000</v>
      </c>
      <c r="D1887" t="s">
        <v>111</v>
      </c>
      <c r="E1887" s="1" t="s">
        <v>1904</v>
      </c>
      <c r="F1887">
        <v>15413438926.896544</v>
      </c>
      <c r="G1887">
        <v>72454345620.689621</v>
      </c>
      <c r="H1887">
        <v>75666255304.367783</v>
      </c>
      <c r="J1887">
        <v>194016118890.57462</v>
      </c>
      <c r="K1887">
        <v>69767399898.85054</v>
      </c>
      <c r="L1887">
        <v>73731033125.517197</v>
      </c>
      <c r="N1887">
        <v>50517685866.206871</v>
      </c>
      <c r="O1887">
        <v>252793444842.75848</v>
      </c>
      <c r="P1887">
        <v>11111219476.321833</v>
      </c>
      <c r="Q1887">
        <v>11111219476.321833</v>
      </c>
      <c r="R1887">
        <v>5165769636.3218365</v>
      </c>
      <c r="T1887">
        <v>18762025618.390793</v>
      </c>
      <c r="V1887">
        <f t="shared" si="70"/>
        <v>158123353118.07693</v>
      </c>
      <c r="W1887">
        <f t="shared" si="71"/>
        <v>156888450864.23077</v>
      </c>
    </row>
    <row r="1888" spans="1:23" x14ac:dyDescent="0.2">
      <c r="A1888">
        <f>IF(D1888="USD",VLOOKUP(VALUE(RIGHT(E1888,4)),'USD RUB'!$E:$F,2,FALSE),1)</f>
        <v>31.062956321839064</v>
      </c>
      <c r="B1888" s="4">
        <v>31.062956321839064</v>
      </c>
      <c r="C1888">
        <v>1000000</v>
      </c>
      <c r="D1888" t="s">
        <v>111</v>
      </c>
      <c r="E1888" s="1" t="s">
        <v>1905</v>
      </c>
      <c r="F1888">
        <v>18544584924.13792</v>
      </c>
      <c r="G1888">
        <v>79238495281.379272</v>
      </c>
      <c r="H1888">
        <v>3230547457.4712625</v>
      </c>
      <c r="J1888">
        <v>188592526716.78149</v>
      </c>
      <c r="K1888">
        <v>73271301371.953979</v>
      </c>
      <c r="L1888">
        <v>61846346036.781578</v>
      </c>
      <c r="N1888">
        <v>53474879308.045952</v>
      </c>
      <c r="O1888">
        <v>187020741126.89645</v>
      </c>
      <c r="P1888">
        <v>13204862732.413786</v>
      </c>
      <c r="Q1888">
        <v>12785512822.068958</v>
      </c>
      <c r="R1888">
        <v>9200847662.5287304</v>
      </c>
      <c r="T1888">
        <v>20346236390.804588</v>
      </c>
      <c r="V1888">
        <f t="shared" si="70"/>
        <v>115239902231.53847</v>
      </c>
      <c r="W1888">
        <f t="shared" si="71"/>
        <v>141387487335</v>
      </c>
    </row>
    <row r="1889" spans="1:23" x14ac:dyDescent="0.2">
      <c r="A1889">
        <f>IF(D1889="USD",VLOOKUP(VALUE(RIGHT(E1889,4)),'USD RUB'!$E:$F,2,FALSE),1)</f>
        <v>31.062956321839064</v>
      </c>
      <c r="B1889" s="4">
        <v>31.062956321839064</v>
      </c>
      <c r="C1889">
        <v>1000000</v>
      </c>
      <c r="D1889" t="s">
        <v>111</v>
      </c>
      <c r="E1889" s="1" t="s">
        <v>1906</v>
      </c>
      <c r="F1889">
        <v>17072200794.48275</v>
      </c>
      <c r="G1889">
        <v>75374263514.94249</v>
      </c>
      <c r="H1889">
        <v>58662393013.793068</v>
      </c>
      <c r="J1889">
        <v>170961192708.50565</v>
      </c>
      <c r="K1889">
        <v>77759898560.459732</v>
      </c>
      <c r="L1889">
        <v>51785054484.137901</v>
      </c>
      <c r="N1889">
        <v>41416239663.90802</v>
      </c>
      <c r="O1889">
        <v>112273949329.65511</v>
      </c>
      <c r="P1889">
        <v>3047276015.1724119</v>
      </c>
      <c r="Q1889">
        <v>1040609036.7816086</v>
      </c>
      <c r="R1889">
        <v>220546989.88505736</v>
      </c>
      <c r="T1889">
        <v>7688081689.6551685</v>
      </c>
      <c r="V1889">
        <f t="shared" si="70"/>
        <v>68916366495</v>
      </c>
      <c r="W1889">
        <f t="shared" si="71"/>
        <v>157205997158.07693</v>
      </c>
    </row>
    <row r="1890" spans="1:23" x14ac:dyDescent="0.2">
      <c r="A1890">
        <f>IF(D1890="USD",VLOOKUP(VALUE(RIGHT(E1890,4)),'USD RUB'!$E:$F,2,FALSE),1)</f>
        <v>29.402434615384617</v>
      </c>
      <c r="B1890" s="4">
        <v>29.402434615384617</v>
      </c>
      <c r="C1890">
        <v>1000000</v>
      </c>
      <c r="D1890" t="s">
        <v>111</v>
      </c>
      <c r="E1890" s="1" t="s">
        <v>1907</v>
      </c>
      <c r="F1890">
        <v>11558097047.307693</v>
      </c>
      <c r="G1890">
        <v>58878375317.307693</v>
      </c>
      <c r="H1890">
        <v>57928676679.230774</v>
      </c>
      <c r="J1890">
        <v>156888450864.23077</v>
      </c>
      <c r="K1890">
        <v>59266487454.230774</v>
      </c>
      <c r="L1890">
        <v>56335064723.076927</v>
      </c>
      <c r="N1890">
        <v>41286898686.92308</v>
      </c>
      <c r="O1890">
        <v>158123353118.07693</v>
      </c>
      <c r="P1890">
        <v>11416965361.153847</v>
      </c>
      <c r="Q1890">
        <v>17209244980.384617</v>
      </c>
      <c r="R1890">
        <v>14445416126.538462</v>
      </c>
      <c r="V1890">
        <f t="shared" si="70"/>
        <v>131183299325.03845</v>
      </c>
      <c r="W1890">
        <f t="shared" si="71"/>
        <v>137458035888.96155</v>
      </c>
    </row>
    <row r="1891" spans="1:23" x14ac:dyDescent="0.2">
      <c r="A1891">
        <f>IF(D1891="USD",VLOOKUP(VALUE(RIGHT(E1891,4)),'USD RUB'!$E:$F,2,FALSE),1)</f>
        <v>29.402434615384617</v>
      </c>
      <c r="B1891" s="4">
        <v>29.402434615384617</v>
      </c>
      <c r="C1891">
        <v>1000000</v>
      </c>
      <c r="D1891" t="s">
        <v>111</v>
      </c>
      <c r="E1891" s="1" t="s">
        <v>1908</v>
      </c>
      <c r="F1891">
        <v>16036087839.23077</v>
      </c>
      <c r="G1891">
        <v>58025704713.46154</v>
      </c>
      <c r="H1891">
        <v>63676852646.538467</v>
      </c>
      <c r="J1891">
        <v>141387487335</v>
      </c>
      <c r="K1891">
        <v>39566856261.92308</v>
      </c>
      <c r="L1891">
        <v>63109385658.46154</v>
      </c>
      <c r="N1891">
        <v>38711245414.615387</v>
      </c>
      <c r="O1891">
        <v>115239902231.53847</v>
      </c>
      <c r="P1891">
        <v>13645669905.000002</v>
      </c>
      <c r="Q1891">
        <v>14227838110.384617</v>
      </c>
      <c r="R1891">
        <v>11281714161.923079</v>
      </c>
      <c r="V1891">
        <f t="shared" si="70"/>
        <v>95967631145.615387</v>
      </c>
      <c r="W1891">
        <f t="shared" si="71"/>
        <v>139517218556.11539</v>
      </c>
    </row>
    <row r="1892" spans="1:23" x14ac:dyDescent="0.2">
      <c r="A1892">
        <f>IF(D1892="USD",VLOOKUP(VALUE(RIGHT(E1892,4)),'USD RUB'!$E:$F,2,FALSE),1)</f>
        <v>29.402434615384617</v>
      </c>
      <c r="B1892" s="4">
        <v>29.402434615384617</v>
      </c>
      <c r="C1892">
        <v>1000000</v>
      </c>
      <c r="D1892" t="s">
        <v>111</v>
      </c>
      <c r="E1892" s="1" t="s">
        <v>1909</v>
      </c>
      <c r="F1892">
        <v>25759472966.538464</v>
      </c>
      <c r="G1892">
        <v>65129332916.538467</v>
      </c>
      <c r="H1892">
        <v>70354145547.692307</v>
      </c>
      <c r="J1892">
        <v>157205997158.07693</v>
      </c>
      <c r="K1892">
        <v>50422235121.92308</v>
      </c>
      <c r="L1892">
        <v>61803917561.538467</v>
      </c>
      <c r="N1892">
        <v>44979844474.615387</v>
      </c>
      <c r="O1892">
        <v>68916366495</v>
      </c>
      <c r="P1892">
        <v>6018678365.7692308</v>
      </c>
      <c r="Q1892">
        <v>12948832204.615385</v>
      </c>
      <c r="R1892">
        <v>11078837363.076923</v>
      </c>
      <c r="T1892">
        <v>9729265614.2307701</v>
      </c>
      <c r="V1892">
        <f t="shared" si="70"/>
        <v>56317734803.884613</v>
      </c>
      <c r="W1892">
        <f t="shared" si="71"/>
        <v>135587156061.57692</v>
      </c>
    </row>
    <row r="1893" spans="1:23" x14ac:dyDescent="0.2">
      <c r="A1893">
        <f>IF(D1893="USD",VLOOKUP(VALUE(RIGHT(E1893,4)),'USD RUB'!$E:$F,2,FALSE),1)</f>
        <v>30.371425769230768</v>
      </c>
      <c r="B1893" s="4">
        <v>30.371425769230768</v>
      </c>
      <c r="C1893">
        <v>1000000</v>
      </c>
      <c r="D1893" t="s">
        <v>111</v>
      </c>
      <c r="E1893" s="1" t="s">
        <v>1910</v>
      </c>
      <c r="F1893">
        <v>20057289578</v>
      </c>
      <c r="G1893">
        <v>53113549385.230766</v>
      </c>
      <c r="H1893">
        <v>66452679583.07692</v>
      </c>
      <c r="J1893">
        <v>137458035888.96155</v>
      </c>
      <c r="K1893">
        <v>37393299407.07692</v>
      </c>
      <c r="L1893">
        <v>64988776861.000008</v>
      </c>
      <c r="N1893">
        <v>35075959620.884613</v>
      </c>
      <c r="O1893">
        <v>131183299325.03845</v>
      </c>
      <c r="P1893">
        <v>15167490029.153845</v>
      </c>
      <c r="Q1893">
        <v>10736299009.423077</v>
      </c>
      <c r="R1893">
        <v>7690045004.7692308</v>
      </c>
      <c r="V1893" t="str">
        <f t="shared" si="70"/>
        <v/>
      </c>
      <c r="W1893" t="str">
        <f t="shared" si="71"/>
        <v/>
      </c>
    </row>
    <row r="1894" spans="1:23" x14ac:dyDescent="0.2">
      <c r="A1894">
        <f>IF(D1894="USD",VLOOKUP(VALUE(RIGHT(E1894,4)),'USD RUB'!$E:$F,2,FALSE),1)</f>
        <v>30.371425769230768</v>
      </c>
      <c r="B1894" s="4">
        <v>30.371425769230768</v>
      </c>
      <c r="C1894">
        <v>1000000</v>
      </c>
      <c r="D1894" t="s">
        <v>111</v>
      </c>
      <c r="E1894" s="1" t="s">
        <v>1911</v>
      </c>
      <c r="F1894">
        <v>19200815371.307693</v>
      </c>
      <c r="G1894">
        <v>55354960607</v>
      </c>
      <c r="H1894">
        <v>63424648433.884621</v>
      </c>
      <c r="J1894">
        <v>139517218556.11539</v>
      </c>
      <c r="K1894">
        <v>38140436481</v>
      </c>
      <c r="L1894">
        <v>66701725274.384613</v>
      </c>
      <c r="N1894">
        <v>34675056800.730766</v>
      </c>
      <c r="O1894">
        <v>95967631145.615387</v>
      </c>
      <c r="P1894">
        <v>13390761621.653845</v>
      </c>
      <c r="Q1894">
        <v>11352838952.538462</v>
      </c>
      <c r="R1894">
        <v>8531333498.5769224</v>
      </c>
      <c r="T1894">
        <v>18648055422.307693</v>
      </c>
      <c r="V1894" t="str">
        <f t="shared" si="70"/>
        <v/>
      </c>
      <c r="W1894" t="str">
        <f t="shared" si="71"/>
        <v/>
      </c>
    </row>
    <row r="1895" spans="1:23" x14ac:dyDescent="0.2">
      <c r="A1895">
        <f>IF(D1895="USD",VLOOKUP(VALUE(RIGHT(E1895,4)),'USD RUB'!$E:$F,2,FALSE),1)</f>
        <v>30.371425769230768</v>
      </c>
      <c r="B1895" s="4">
        <v>30.371425769230768</v>
      </c>
      <c r="C1895">
        <v>1000000</v>
      </c>
      <c r="D1895" t="s">
        <v>111</v>
      </c>
      <c r="E1895" s="1" t="s">
        <v>1912</v>
      </c>
      <c r="F1895">
        <v>18435455441.923077</v>
      </c>
      <c r="G1895">
        <v>52876652264.230766</v>
      </c>
      <c r="H1895">
        <v>62474022807.307693</v>
      </c>
      <c r="J1895">
        <v>135587156061.57692</v>
      </c>
      <c r="K1895">
        <v>41566333307.769226</v>
      </c>
      <c r="L1895">
        <v>66677428133.769226</v>
      </c>
      <c r="N1895">
        <v>27343394620.03846</v>
      </c>
      <c r="O1895">
        <v>56317734803.884613</v>
      </c>
      <c r="P1895">
        <v>5029508107.3846149</v>
      </c>
      <c r="Q1895">
        <v>1281674167.4615383</v>
      </c>
      <c r="R1895">
        <v>531499950.96153843</v>
      </c>
      <c r="V1895" t="str">
        <f t="shared" si="70"/>
        <v/>
      </c>
      <c r="W1895" t="str">
        <f t="shared" si="71"/>
        <v/>
      </c>
    </row>
    <row r="1896" spans="1:23" x14ac:dyDescent="0.2">
      <c r="A1896">
        <f>IF(D1896="USD",VLOOKUP(VALUE(RIGHT(E1896,4)),'USD RUB'!$E:$F,2,FALSE),1)</f>
        <v>1</v>
      </c>
      <c r="B1896" s="4">
        <v>1</v>
      </c>
      <c r="C1896">
        <v>1000000</v>
      </c>
      <c r="D1896" t="s">
        <v>20</v>
      </c>
      <c r="E1896" s="23" t="s">
        <v>1913</v>
      </c>
      <c r="F1896">
        <v>25095000000</v>
      </c>
      <c r="G1896">
        <v>79908000000</v>
      </c>
      <c r="H1896">
        <v>138049000000</v>
      </c>
      <c r="I1896">
        <v>9926000000</v>
      </c>
      <c r="J1896">
        <v>242625000000</v>
      </c>
      <c r="K1896">
        <v>41788000000</v>
      </c>
      <c r="L1896">
        <v>48465000000</v>
      </c>
      <c r="M1896">
        <v>155819000000</v>
      </c>
      <c r="N1896">
        <v>152372000000</v>
      </c>
      <c r="O1896">
        <v>87708000000</v>
      </c>
      <c r="P1896">
        <v>13694000000</v>
      </c>
      <c r="Q1896">
        <v>2680000000</v>
      </c>
      <c r="R1896">
        <v>709000000</v>
      </c>
      <c r="S1896">
        <v>7224000000</v>
      </c>
      <c r="T1896">
        <v>19790000000</v>
      </c>
      <c r="U1896">
        <v>-3841000000</v>
      </c>
      <c r="V1896">
        <f t="shared" si="70"/>
        <v>78372000000</v>
      </c>
      <c r="W1896">
        <f t="shared" si="71"/>
        <v>225914000000</v>
      </c>
    </row>
    <row r="1897" spans="1:23" x14ac:dyDescent="0.2">
      <c r="A1897">
        <f>IF(D1897="USD",VLOOKUP(VALUE(RIGHT(E1897,4)),'USD RUB'!$E:$F,2,FALSE),1)</f>
        <v>1</v>
      </c>
      <c r="B1897" s="4">
        <v>1</v>
      </c>
      <c r="C1897">
        <v>1000000</v>
      </c>
      <c r="D1897" t="s">
        <v>20</v>
      </c>
      <c r="E1897" s="23" t="s">
        <v>1914</v>
      </c>
      <c r="F1897">
        <v>20279000000</v>
      </c>
      <c r="G1897">
        <v>95765000000</v>
      </c>
      <c r="H1897">
        <v>157517000000</v>
      </c>
      <c r="I1897">
        <v>9273000000</v>
      </c>
      <c r="J1897">
        <v>278453000000</v>
      </c>
      <c r="K1897">
        <v>55932000000</v>
      </c>
      <c r="L1897">
        <v>53941000000</v>
      </c>
      <c r="M1897">
        <v>154163000000</v>
      </c>
      <c r="N1897">
        <v>168580000000</v>
      </c>
      <c r="O1897">
        <v>184978000000</v>
      </c>
      <c r="P1897">
        <v>36297000000</v>
      </c>
      <c r="Q1897">
        <v>32525000000</v>
      </c>
      <c r="R1897">
        <v>25408000000</v>
      </c>
      <c r="S1897">
        <v>12907000000</v>
      </c>
      <c r="T1897">
        <v>54498000000</v>
      </c>
      <c r="U1897">
        <v>-22695000000</v>
      </c>
      <c r="V1897">
        <f t="shared" si="70"/>
        <v>172004000000</v>
      </c>
      <c r="W1897">
        <f t="shared" si="71"/>
        <v>210748000000</v>
      </c>
    </row>
    <row r="1898" spans="1:23" x14ac:dyDescent="0.2">
      <c r="A1898">
        <f>IF(D1898="USD",VLOOKUP(VALUE(RIGHT(E1898,4)),'USD RUB'!$E:$F,2,FALSE),1)</f>
        <v>1</v>
      </c>
      <c r="B1898" s="4">
        <v>1</v>
      </c>
      <c r="C1898">
        <v>1000000</v>
      </c>
      <c r="D1898" t="s">
        <v>20</v>
      </c>
      <c r="E1898" s="23" t="s">
        <v>1915</v>
      </c>
      <c r="F1898">
        <v>8255000000</v>
      </c>
      <c r="G1898">
        <v>54435000000</v>
      </c>
      <c r="H1898">
        <v>139140000000</v>
      </c>
      <c r="I1898">
        <v>7537000000</v>
      </c>
      <c r="J1898">
        <v>225914000000</v>
      </c>
      <c r="K1898">
        <v>39748000000</v>
      </c>
      <c r="L1898">
        <v>49748000000</v>
      </c>
      <c r="M1898">
        <v>129488000000</v>
      </c>
      <c r="N1898">
        <v>136418000000</v>
      </c>
      <c r="O1898">
        <v>78372000000</v>
      </c>
      <c r="P1898">
        <v>8253000000</v>
      </c>
      <c r="Q1898">
        <v>2838000000</v>
      </c>
      <c r="R1898">
        <v>1781000000</v>
      </c>
      <c r="S1898">
        <v>7914000000</v>
      </c>
      <c r="T1898">
        <v>18075000000</v>
      </c>
      <c r="U1898">
        <v>-13777000000</v>
      </c>
      <c r="V1898">
        <f t="shared" si="70"/>
        <v>91735000000</v>
      </c>
      <c r="W1898">
        <f t="shared" si="71"/>
        <v>201608000000</v>
      </c>
    </row>
    <row r="1899" spans="1:23" x14ac:dyDescent="0.2">
      <c r="A1899">
        <f>IF(D1899="USD",VLOOKUP(VALUE(RIGHT(E1899,4)),'USD RUB'!$E:$F,2,FALSE),1)</f>
        <v>1</v>
      </c>
      <c r="B1899" s="4">
        <v>1</v>
      </c>
      <c r="C1899">
        <v>1000000</v>
      </c>
      <c r="D1899" t="s">
        <v>20</v>
      </c>
      <c r="E1899" s="23" t="s">
        <v>1916</v>
      </c>
      <c r="F1899">
        <v>4641000000</v>
      </c>
      <c r="G1899">
        <v>47922000000</v>
      </c>
      <c r="H1899">
        <v>129948000000</v>
      </c>
      <c r="I1899">
        <v>7569000000</v>
      </c>
      <c r="J1899">
        <v>210748000000</v>
      </c>
      <c r="K1899">
        <v>38803000000</v>
      </c>
      <c r="L1899">
        <v>34886000000</v>
      </c>
      <c r="M1899">
        <v>126593000000</v>
      </c>
      <c r="N1899">
        <v>137059000000</v>
      </c>
      <c r="O1899">
        <v>172004000000</v>
      </c>
      <c r="P1899">
        <v>38375000000</v>
      </c>
      <c r="Q1899">
        <v>42838000000</v>
      </c>
      <c r="R1899">
        <v>37851000000</v>
      </c>
      <c r="S1899">
        <v>11514000000</v>
      </c>
      <c r="T1899">
        <v>53607000000</v>
      </c>
      <c r="U1899">
        <v>-60346000000</v>
      </c>
      <c r="V1899">
        <f t="shared" si="70"/>
        <v>162639000000</v>
      </c>
      <c r="W1899">
        <f t="shared" si="71"/>
        <v>166327000000</v>
      </c>
    </row>
    <row r="1900" spans="1:23" x14ac:dyDescent="0.2">
      <c r="A1900">
        <f>IF(D1900="USD",VLOOKUP(VALUE(RIGHT(E1900,4)),'USD RUB'!$E:$F,2,FALSE),1)</f>
        <v>1</v>
      </c>
      <c r="B1900" s="4">
        <v>1</v>
      </c>
      <c r="C1900">
        <v>1000000</v>
      </c>
      <c r="D1900" t="s">
        <v>20</v>
      </c>
      <c r="E1900" s="23" t="s">
        <v>1917</v>
      </c>
      <c r="F1900">
        <v>18436000000</v>
      </c>
      <c r="G1900">
        <v>66615000000</v>
      </c>
      <c r="H1900">
        <v>106203000000</v>
      </c>
      <c r="I1900">
        <v>7550000000</v>
      </c>
      <c r="J1900">
        <v>201608000000</v>
      </c>
      <c r="K1900">
        <v>36284000000</v>
      </c>
      <c r="L1900">
        <v>35630000000</v>
      </c>
      <c r="M1900">
        <v>119669000000</v>
      </c>
      <c r="N1900">
        <v>129694000000</v>
      </c>
      <c r="O1900">
        <v>91735000000</v>
      </c>
      <c r="P1900">
        <v>31144000000</v>
      </c>
      <c r="Q1900">
        <v>33958000000</v>
      </c>
      <c r="R1900">
        <v>31295000000</v>
      </c>
      <c r="S1900">
        <v>4936000000</v>
      </c>
      <c r="T1900">
        <v>35285000000</v>
      </c>
      <c r="U1900">
        <v>-28053000000</v>
      </c>
      <c r="V1900">
        <f t="shared" si="70"/>
        <v>84347000000</v>
      </c>
      <c r="W1900">
        <f t="shared" si="71"/>
        <v>124519000000</v>
      </c>
    </row>
    <row r="1901" spans="1:23" x14ac:dyDescent="0.2">
      <c r="A1901">
        <f>IF(D1901="USD",VLOOKUP(VALUE(RIGHT(E1901,4)),'USD RUB'!$E:$F,2,FALSE),1)</f>
        <v>1</v>
      </c>
      <c r="B1901" s="4">
        <v>1</v>
      </c>
      <c r="C1901">
        <v>1000000</v>
      </c>
      <c r="D1901" t="s">
        <v>20</v>
      </c>
      <c r="E1901" s="23" t="s">
        <v>1918</v>
      </c>
      <c r="F1901">
        <v>30677000000</v>
      </c>
      <c r="G1901">
        <v>72313000000</v>
      </c>
      <c r="H1901">
        <v>74851000000</v>
      </c>
      <c r="I1901">
        <v>7459000000</v>
      </c>
      <c r="J1901">
        <v>166327000000</v>
      </c>
      <c r="K1901">
        <v>38359000000</v>
      </c>
      <c r="L1901">
        <v>37374000000</v>
      </c>
      <c r="M1901">
        <v>88341000000</v>
      </c>
      <c r="N1901">
        <v>90594000000</v>
      </c>
      <c r="O1901">
        <v>162639000000</v>
      </c>
      <c r="P1901">
        <v>50899000000</v>
      </c>
      <c r="Q1901">
        <v>44091000000</v>
      </c>
      <c r="R1901">
        <v>39388000000</v>
      </c>
      <c r="S1901">
        <v>6648000000</v>
      </c>
      <c r="T1901">
        <v>71483000000</v>
      </c>
      <c r="U1901">
        <v>-36733000000</v>
      </c>
      <c r="V1901">
        <f t="shared" si="70"/>
        <v>113709000000</v>
      </c>
      <c r="W1901">
        <f t="shared" si="71"/>
        <v>119618000000</v>
      </c>
    </row>
    <row r="1902" spans="1:23" x14ac:dyDescent="0.2">
      <c r="A1902">
        <f>IF(D1902="USD",VLOOKUP(VALUE(RIGHT(E1902,4)),'USD RUB'!$E:$F,2,FALSE),1)</f>
        <v>1</v>
      </c>
      <c r="B1902" s="4">
        <v>1</v>
      </c>
      <c r="C1902">
        <v>1000000</v>
      </c>
      <c r="D1902" t="s">
        <v>20</v>
      </c>
      <c r="E1902" s="23" t="s">
        <v>1919</v>
      </c>
      <c r="F1902">
        <v>23734000000</v>
      </c>
      <c r="G1902">
        <v>50273000000</v>
      </c>
      <c r="H1902">
        <v>60759000000</v>
      </c>
      <c r="I1902">
        <v>7357000000</v>
      </c>
      <c r="J1902">
        <v>124519000000</v>
      </c>
      <c r="K1902">
        <v>23399000000</v>
      </c>
      <c r="L1902">
        <v>34542000000</v>
      </c>
      <c r="M1902">
        <v>61305000000</v>
      </c>
      <c r="N1902">
        <v>66578000000</v>
      </c>
      <c r="O1902">
        <v>84347000000</v>
      </c>
      <c r="P1902">
        <v>31486000000</v>
      </c>
      <c r="Q1902">
        <v>14625000000</v>
      </c>
      <c r="R1902">
        <v>14465000000</v>
      </c>
      <c r="S1902">
        <v>5868000000</v>
      </c>
      <c r="T1902">
        <v>37969000000</v>
      </c>
      <c r="U1902">
        <v>-13091000000</v>
      </c>
      <c r="V1902">
        <f t="shared" si="70"/>
        <v>47797000000</v>
      </c>
      <c r="W1902">
        <f t="shared" si="71"/>
        <v>69345000000</v>
      </c>
    </row>
    <row r="1903" spans="1:23" x14ac:dyDescent="0.2">
      <c r="A1903">
        <f>IF(D1903="USD",VLOOKUP(VALUE(RIGHT(E1903,4)),'USD RUB'!$E:$F,2,FALSE),1)</f>
        <v>1</v>
      </c>
      <c r="B1903" s="4">
        <v>1</v>
      </c>
      <c r="C1903">
        <v>1000000</v>
      </c>
      <c r="D1903" t="s">
        <v>20</v>
      </c>
      <c r="E1903" s="23" t="s">
        <v>1920</v>
      </c>
      <c r="F1903">
        <v>11068000000</v>
      </c>
      <c r="G1903">
        <v>40800000000</v>
      </c>
      <c r="H1903">
        <v>65524000000</v>
      </c>
      <c r="I1903">
        <v>7498000000</v>
      </c>
      <c r="J1903">
        <v>119618000000</v>
      </c>
      <c r="K1903">
        <v>28974000000</v>
      </c>
      <c r="L1903">
        <v>36405000000</v>
      </c>
      <c r="M1903">
        <v>44624000000</v>
      </c>
      <c r="N1903">
        <v>54239000000</v>
      </c>
      <c r="O1903">
        <v>113709000000</v>
      </c>
      <c r="P1903">
        <v>43420000000</v>
      </c>
      <c r="Q1903">
        <v>40311000000</v>
      </c>
      <c r="R1903">
        <v>37850000000</v>
      </c>
      <c r="S1903">
        <v>6909000000</v>
      </c>
      <c r="T1903">
        <v>47474000000</v>
      </c>
      <c r="U1903">
        <v>-23928000000</v>
      </c>
      <c r="V1903">
        <f t="shared" si="70"/>
        <v>62168000000</v>
      </c>
      <c r="W1903">
        <f t="shared" si="71"/>
        <v>54705000000</v>
      </c>
    </row>
    <row r="1904" spans="1:23" x14ac:dyDescent="0.2">
      <c r="A1904">
        <f>IF(D1904="USD",VLOOKUP(VALUE(RIGHT(E1904,4)),'USD RUB'!$E:$F,2,FALSE),1)</f>
        <v>1</v>
      </c>
      <c r="B1904" s="4">
        <v>1</v>
      </c>
      <c r="C1904">
        <v>1000000</v>
      </c>
      <c r="D1904" t="s">
        <v>20</v>
      </c>
      <c r="E1904" s="23" t="s">
        <v>1921</v>
      </c>
      <c r="F1904">
        <v>8562000000</v>
      </c>
      <c r="G1904">
        <v>27484000000</v>
      </c>
      <c r="H1904">
        <v>33672000000</v>
      </c>
      <c r="I1904">
        <v>6496000000</v>
      </c>
      <c r="J1904">
        <v>69345000000</v>
      </c>
      <c r="K1904">
        <v>20534000000</v>
      </c>
      <c r="L1904">
        <v>30691000000</v>
      </c>
      <c r="M1904">
        <v>18683000000</v>
      </c>
      <c r="N1904">
        <v>18120000000</v>
      </c>
      <c r="O1904">
        <v>47797000000</v>
      </c>
      <c r="P1904">
        <v>15749000000</v>
      </c>
      <c r="Q1904">
        <v>13064000000</v>
      </c>
      <c r="R1904">
        <v>11564000000</v>
      </c>
      <c r="S1904">
        <v>1611000000</v>
      </c>
      <c r="U1904">
        <v>-2434000000</v>
      </c>
      <c r="V1904">
        <f t="shared" si="70"/>
        <v>27596000000</v>
      </c>
      <c r="W1904">
        <f t="shared" si="71"/>
        <v>51132000000</v>
      </c>
    </row>
    <row r="1905" spans="1:23" x14ac:dyDescent="0.2">
      <c r="A1905">
        <f>IF(D1905="USD",VLOOKUP(VALUE(RIGHT(E1905,4)),'USD RUB'!$E:$F,2,FALSE),1)</f>
        <v>1</v>
      </c>
      <c r="B1905" s="4">
        <v>1</v>
      </c>
      <c r="C1905">
        <v>1000000</v>
      </c>
      <c r="D1905" t="s">
        <v>20</v>
      </c>
      <c r="E1905" s="23" t="s">
        <v>1922</v>
      </c>
      <c r="F1905">
        <v>4140000000</v>
      </c>
      <c r="G1905">
        <v>16754000000</v>
      </c>
      <c r="H1905">
        <v>30541000000</v>
      </c>
      <c r="I1905">
        <v>6517000000</v>
      </c>
      <c r="J1905">
        <v>54705000000</v>
      </c>
      <c r="K1905">
        <v>21385000000</v>
      </c>
      <c r="L1905">
        <v>28457000000</v>
      </c>
      <c r="M1905">
        <v>7308000000</v>
      </c>
      <c r="N1905">
        <v>4863000000</v>
      </c>
      <c r="O1905">
        <v>62168000000</v>
      </c>
      <c r="P1905">
        <v>8157000000</v>
      </c>
      <c r="Q1905">
        <v>9861000000</v>
      </c>
      <c r="R1905">
        <v>8346000000</v>
      </c>
      <c r="S1905">
        <v>2959000000</v>
      </c>
      <c r="T1905">
        <v>12293000000</v>
      </c>
      <c r="U1905">
        <v>-3103000000</v>
      </c>
      <c r="V1905">
        <f t="shared" si="70"/>
        <v>56673000000</v>
      </c>
      <c r="W1905">
        <f t="shared" si="71"/>
        <v>61327000000</v>
      </c>
    </row>
    <row r="1906" spans="1:23" x14ac:dyDescent="0.2">
      <c r="A1906">
        <f>IF(D1906="USD",VLOOKUP(VALUE(RIGHT(E1906,4)),'USD RUB'!$E:$F,2,FALSE),1)</f>
        <v>1</v>
      </c>
      <c r="B1906" s="4">
        <v>1</v>
      </c>
      <c r="C1906">
        <v>1000000</v>
      </c>
      <c r="D1906" t="s">
        <v>20</v>
      </c>
      <c r="E1906" s="23" t="s">
        <v>1923</v>
      </c>
      <c r="F1906">
        <v>2987000000</v>
      </c>
      <c r="G1906">
        <v>12833000000</v>
      </c>
      <c r="H1906">
        <v>29779000000</v>
      </c>
      <c r="I1906">
        <v>6461000000</v>
      </c>
      <c r="J1906">
        <v>51132000000</v>
      </c>
      <c r="K1906">
        <v>16622000000</v>
      </c>
      <c r="L1906">
        <v>30108000000</v>
      </c>
      <c r="M1906">
        <v>4376000000</v>
      </c>
      <c r="N1906">
        <v>4402000000</v>
      </c>
      <c r="O1906">
        <v>27596000000</v>
      </c>
      <c r="P1906">
        <v>3665000000</v>
      </c>
      <c r="Q1906">
        <v>5506000000</v>
      </c>
      <c r="R1906">
        <v>5266000000</v>
      </c>
      <c r="S1906">
        <v>1381000000</v>
      </c>
      <c r="U1906">
        <v>-2052000000</v>
      </c>
      <c r="V1906">
        <f t="shared" si="70"/>
        <v>27585000000</v>
      </c>
      <c r="W1906">
        <f t="shared" si="71"/>
        <v>62194000000</v>
      </c>
    </row>
    <row r="1907" spans="1:23" x14ac:dyDescent="0.2">
      <c r="A1907">
        <f>IF(D1907="USD",VLOOKUP(VALUE(RIGHT(E1907,4)),'USD RUB'!$E:$F,2,FALSE),1)</f>
        <v>1</v>
      </c>
      <c r="B1907" s="4">
        <v>1</v>
      </c>
      <c r="C1907">
        <v>1000000</v>
      </c>
      <c r="D1907" t="s">
        <v>20</v>
      </c>
      <c r="E1907" s="23" t="s">
        <v>1924</v>
      </c>
      <c r="F1907">
        <v>1232000000</v>
      </c>
      <c r="G1907">
        <v>24208000000</v>
      </c>
      <c r="H1907">
        <v>29049000000</v>
      </c>
      <c r="I1907">
        <v>6418000000</v>
      </c>
      <c r="J1907">
        <v>61327000000</v>
      </c>
      <c r="K1907">
        <v>24408000000</v>
      </c>
      <c r="L1907">
        <v>31310000000</v>
      </c>
      <c r="M1907">
        <v>-908000000</v>
      </c>
      <c r="N1907">
        <v>5609000000</v>
      </c>
      <c r="O1907">
        <v>56673000000</v>
      </c>
      <c r="P1907">
        <v>8304000000</v>
      </c>
      <c r="Q1907">
        <v>740000000</v>
      </c>
      <c r="R1907">
        <v>-1842000000</v>
      </c>
      <c r="S1907">
        <v>3485000000</v>
      </c>
      <c r="T1907">
        <v>12231000000</v>
      </c>
      <c r="U1907">
        <v>-3838000000</v>
      </c>
      <c r="V1907">
        <f t="shared" si="70"/>
        <v>56993000000</v>
      </c>
      <c r="W1907">
        <f t="shared" si="71"/>
        <v>60827000000</v>
      </c>
    </row>
    <row r="1908" spans="1:23" x14ac:dyDescent="0.2">
      <c r="A1908">
        <f>IF(D1908="USD",VLOOKUP(VALUE(RIGHT(E1908,4)),'USD RUB'!$E:$F,2,FALSE),1)</f>
        <v>1</v>
      </c>
      <c r="B1908" s="4">
        <v>1</v>
      </c>
      <c r="C1908">
        <v>1000000</v>
      </c>
      <c r="D1908" t="s">
        <v>20</v>
      </c>
      <c r="E1908" s="23" t="s">
        <v>1925</v>
      </c>
      <c r="F1908">
        <v>1539000000</v>
      </c>
      <c r="G1908">
        <v>13279000000</v>
      </c>
      <c r="H1908">
        <v>38688000000</v>
      </c>
      <c r="I1908">
        <v>8457000000</v>
      </c>
      <c r="J1908">
        <v>62194000000</v>
      </c>
      <c r="K1908">
        <v>15534000000</v>
      </c>
      <c r="L1908">
        <v>41145000000</v>
      </c>
      <c r="M1908">
        <v>-104000000</v>
      </c>
      <c r="N1908">
        <v>5515000000</v>
      </c>
      <c r="O1908">
        <v>27585000000</v>
      </c>
      <c r="P1908">
        <v>4476000000</v>
      </c>
      <c r="Q1908">
        <v>27000000</v>
      </c>
      <c r="R1908">
        <v>-1201000000</v>
      </c>
      <c r="S1908">
        <v>1757000000</v>
      </c>
      <c r="U1908">
        <v>-2249000000</v>
      </c>
      <c r="V1908">
        <f t="shared" si="70"/>
        <v>26510000000</v>
      </c>
      <c r="W1908">
        <f t="shared" si="71"/>
        <v>67547000000</v>
      </c>
    </row>
    <row r="1909" spans="1:23" x14ac:dyDescent="0.2">
      <c r="A1909">
        <f>IF(D1909="USD",VLOOKUP(VALUE(RIGHT(E1909,4)),'USD RUB'!$E:$F,2,FALSE),1)</f>
        <v>1</v>
      </c>
      <c r="B1909" s="4">
        <v>1</v>
      </c>
      <c r="C1909">
        <v>1000000</v>
      </c>
      <c r="D1909" t="s">
        <v>20</v>
      </c>
      <c r="E1909" s="23" t="s">
        <v>1926</v>
      </c>
      <c r="F1909">
        <v>3313000000</v>
      </c>
      <c r="G1909">
        <v>15647000000</v>
      </c>
      <c r="H1909">
        <v>35504000000</v>
      </c>
      <c r="I1909">
        <v>8493000000</v>
      </c>
      <c r="J1909">
        <v>60827000000</v>
      </c>
      <c r="K1909">
        <v>15151000000</v>
      </c>
      <c r="L1909">
        <v>42500000000</v>
      </c>
      <c r="M1909">
        <v>1312000000</v>
      </c>
      <c r="N1909">
        <v>3176000000</v>
      </c>
      <c r="O1909">
        <v>56993000000</v>
      </c>
      <c r="P1909">
        <v>8334000000</v>
      </c>
      <c r="Q1909">
        <v>9954000000</v>
      </c>
      <c r="R1909">
        <v>7009000000</v>
      </c>
      <c r="S1909">
        <v>2480000000</v>
      </c>
      <c r="U1909">
        <v>-5304000000</v>
      </c>
      <c r="V1909">
        <f t="shared" si="70"/>
        <v>43746000000</v>
      </c>
      <c r="W1909">
        <f t="shared" si="71"/>
        <v>62535000000</v>
      </c>
    </row>
    <row r="1910" spans="1:23" x14ac:dyDescent="0.2">
      <c r="A1910">
        <f>IF(D1910="USD",VLOOKUP(VALUE(RIGHT(E1910,4)),'USD RUB'!$E:$F,2,FALSE),1)</f>
        <v>1</v>
      </c>
      <c r="B1910" s="4">
        <v>1</v>
      </c>
      <c r="C1910">
        <v>1000000</v>
      </c>
      <c r="D1910" t="s">
        <v>20</v>
      </c>
      <c r="E1910" s="23" t="s">
        <v>1927</v>
      </c>
      <c r="F1910">
        <v>2945000000</v>
      </c>
      <c r="G1910">
        <v>14339000000</v>
      </c>
      <c r="H1910">
        <v>29736000000</v>
      </c>
      <c r="I1910">
        <v>8462000000</v>
      </c>
      <c r="J1910">
        <v>67547000000</v>
      </c>
      <c r="K1910">
        <v>24661000000</v>
      </c>
      <c r="L1910">
        <v>39203000000</v>
      </c>
      <c r="M1910">
        <v>-2838000000</v>
      </c>
      <c r="N1910">
        <v>3683000000</v>
      </c>
      <c r="O1910">
        <v>26510000000</v>
      </c>
      <c r="P1910">
        <v>4136000000</v>
      </c>
      <c r="Q1910">
        <v>4439000000</v>
      </c>
      <c r="R1910">
        <v>2755000000</v>
      </c>
      <c r="S1910">
        <v>1184000000</v>
      </c>
      <c r="U1910">
        <v>-2172000000</v>
      </c>
      <c r="V1910">
        <f t="shared" si="70"/>
        <v>19130000000</v>
      </c>
      <c r="W1910">
        <f t="shared" si="71"/>
        <v>54376000000</v>
      </c>
    </row>
    <row r="1911" spans="1:23" x14ac:dyDescent="0.2">
      <c r="A1911">
        <f>IF(D1911="USD",VLOOKUP(VALUE(RIGHT(E1911,4)),'USD RUB'!$E:$F,2,FALSE),1)</f>
        <v>1</v>
      </c>
      <c r="B1911" s="4">
        <v>1</v>
      </c>
      <c r="C1911">
        <v>1000000</v>
      </c>
      <c r="D1911" t="s">
        <v>20</v>
      </c>
      <c r="E1911" s="23" t="s">
        <v>1928</v>
      </c>
      <c r="F1911">
        <v>5711000000</v>
      </c>
      <c r="G1911">
        <v>16253000000</v>
      </c>
      <c r="H1911">
        <v>22074000000</v>
      </c>
      <c r="I1911">
        <v>8443000000</v>
      </c>
      <c r="J1911">
        <v>62535000000</v>
      </c>
      <c r="K1911">
        <v>24209000000</v>
      </c>
      <c r="L1911">
        <v>35172000000</v>
      </c>
      <c r="M1911">
        <v>-5483000000</v>
      </c>
      <c r="N1911">
        <v>3154000000</v>
      </c>
      <c r="O1911">
        <v>43746000000</v>
      </c>
      <c r="P1911">
        <v>8391000000</v>
      </c>
      <c r="Q1911">
        <v>14896000000</v>
      </c>
      <c r="R1911">
        <v>13332000000</v>
      </c>
      <c r="S1911">
        <v>2165000000</v>
      </c>
      <c r="U1911">
        <v>-4084000000</v>
      </c>
      <c r="V1911">
        <f t="shared" si="70"/>
        <v>37021000000</v>
      </c>
      <c r="W1911">
        <f t="shared" si="71"/>
        <v>53697000000</v>
      </c>
    </row>
    <row r="1912" spans="1:23" x14ac:dyDescent="0.2">
      <c r="A1912">
        <f>IF(D1912="USD",VLOOKUP(VALUE(RIGHT(E1912,4)),'USD RUB'!$E:$F,2,FALSE),1)</f>
        <v>1</v>
      </c>
      <c r="B1912" s="4">
        <v>1</v>
      </c>
      <c r="C1912">
        <v>1000000</v>
      </c>
      <c r="D1912" t="s">
        <v>20</v>
      </c>
      <c r="E1912" s="23" t="s">
        <v>1929</v>
      </c>
      <c r="F1912">
        <v>1602000000</v>
      </c>
      <c r="G1912">
        <v>9739000000</v>
      </c>
      <c r="H1912">
        <v>23125000000</v>
      </c>
      <c r="I1912">
        <v>6409000000</v>
      </c>
      <c r="J1912">
        <v>54376000000</v>
      </c>
      <c r="K1912">
        <v>64940000000</v>
      </c>
      <c r="L1912">
        <v>808000000</v>
      </c>
      <c r="M1912">
        <v>-19347000000</v>
      </c>
      <c r="N1912">
        <v>-11372000000</v>
      </c>
      <c r="O1912">
        <v>19130000000</v>
      </c>
      <c r="P1912">
        <v>2296000000</v>
      </c>
      <c r="Q1912">
        <v>-150000000</v>
      </c>
      <c r="R1912">
        <v>-720000000</v>
      </c>
      <c r="S1912">
        <v>1098000000</v>
      </c>
      <c r="U1912">
        <v>-902000000</v>
      </c>
      <c r="V1912">
        <f t="shared" si="70"/>
        <v>17300027789.361687</v>
      </c>
      <c r="W1912">
        <f t="shared" si="71"/>
        <v>57532650555.319099</v>
      </c>
    </row>
    <row r="1913" spans="1:23" x14ac:dyDescent="0.2">
      <c r="A1913">
        <f>IF(D1913="USD",VLOOKUP(VALUE(RIGHT(E1913,4)),'USD RUB'!$E:$F,2,FALSE),1)</f>
        <v>1</v>
      </c>
      <c r="B1913" s="4">
        <v>1</v>
      </c>
      <c r="C1913">
        <v>1000000</v>
      </c>
      <c r="D1913" t="s">
        <v>20</v>
      </c>
      <c r="E1913" s="23" t="s">
        <v>1930</v>
      </c>
      <c r="F1913">
        <v>2582000000</v>
      </c>
      <c r="G1913">
        <v>9053000000</v>
      </c>
      <c r="H1913">
        <v>20220000000</v>
      </c>
      <c r="J1913">
        <v>53697000000</v>
      </c>
      <c r="K1913">
        <v>64125000000</v>
      </c>
      <c r="L1913">
        <v>1628000000</v>
      </c>
      <c r="M1913">
        <v>-18534000000</v>
      </c>
      <c r="N1913">
        <v>-12056000000</v>
      </c>
      <c r="O1913">
        <v>37021000000</v>
      </c>
      <c r="P1913">
        <v>2428000000</v>
      </c>
      <c r="Q1913">
        <v>1900000000</v>
      </c>
      <c r="R1913">
        <v>1077000000</v>
      </c>
      <c r="T1913">
        <v>5110000000</v>
      </c>
      <c r="U1913">
        <v>-1180000000</v>
      </c>
      <c r="V1913">
        <f t="shared" si="70"/>
        <v>42140114368.831169</v>
      </c>
      <c r="W1913">
        <f t="shared" si="71"/>
        <v>49306383818.181824</v>
      </c>
    </row>
    <row r="1914" spans="1:23" x14ac:dyDescent="0.2">
      <c r="A1914">
        <f>IF(D1914="USD",VLOOKUP(VALUE(RIGHT(E1914,4)),'USD RUB'!$E:$F,2,FALSE),1)</f>
        <v>67.054371276595688</v>
      </c>
      <c r="B1914" s="4">
        <v>67.054371276595688</v>
      </c>
      <c r="C1914">
        <v>1000000</v>
      </c>
      <c r="D1914" t="s">
        <v>111</v>
      </c>
      <c r="E1914" s="23" t="s">
        <v>1931</v>
      </c>
      <c r="F1914">
        <v>2883337964.8936148</v>
      </c>
      <c r="G1914">
        <v>10594590661.702118</v>
      </c>
      <c r="H1914">
        <v>14148472339.361691</v>
      </c>
      <c r="J1914">
        <v>58739629238.297821</v>
      </c>
      <c r="K1914">
        <v>69669491756.382919</v>
      </c>
      <c r="L1914">
        <v>1877522395.7446792</v>
      </c>
      <c r="M1914">
        <v>-15556614136.1702</v>
      </c>
      <c r="N1914">
        <v>-12807384913.829777</v>
      </c>
      <c r="O1914">
        <v>26553531025.531891</v>
      </c>
      <c r="P1914">
        <v>2615120479.7872319</v>
      </c>
      <c r="Q1914">
        <v>3956207905.3191457</v>
      </c>
      <c r="R1914">
        <v>3285664192.5531888</v>
      </c>
      <c r="T1914">
        <v>4291479761.7021241</v>
      </c>
      <c r="V1914">
        <f t="shared" si="70"/>
        <v>33320090431.168831</v>
      </c>
      <c r="W1914">
        <f t="shared" si="71"/>
        <v>65905178867.532471</v>
      </c>
    </row>
    <row r="1915" spans="1:23" x14ac:dyDescent="0.2">
      <c r="A1915">
        <f>IF(D1915="USD",VLOOKUP(VALUE(RIGHT(E1915,4)),'USD RUB'!$E:$F,2,FALSE),1)</f>
        <v>67.054371276595688</v>
      </c>
      <c r="B1915" s="4">
        <v>67.054371276595688</v>
      </c>
      <c r="C1915">
        <v>1000000</v>
      </c>
      <c r="D1915" t="s">
        <v>111</v>
      </c>
      <c r="E1915" s="23" t="s">
        <v>1932</v>
      </c>
      <c r="F1915">
        <v>1609304910.6382966</v>
      </c>
      <c r="G1915">
        <v>8717068265.9574394</v>
      </c>
      <c r="H1915">
        <v>26955857253.191467</v>
      </c>
      <c r="J1915">
        <v>57532650555.319099</v>
      </c>
      <c r="K1915">
        <v>68395458702.127602</v>
      </c>
      <c r="L1915">
        <v>1877522395.7446792</v>
      </c>
      <c r="M1915">
        <v>-14953124794.680838</v>
      </c>
      <c r="N1915">
        <v>-12740330542.553181</v>
      </c>
      <c r="O1915">
        <v>17300027789.361687</v>
      </c>
      <c r="P1915">
        <v>1206978682.9787223</v>
      </c>
      <c r="Q1915">
        <v>4023262276.5957413</v>
      </c>
      <c r="R1915">
        <v>3889153534.0425501</v>
      </c>
      <c r="V1915">
        <f t="shared" si="70"/>
        <v>23458813667.532467</v>
      </c>
      <c r="W1915">
        <f t="shared" si="71"/>
        <v>73990200810.389618</v>
      </c>
    </row>
    <row r="1916" spans="1:23" x14ac:dyDescent="0.2">
      <c r="A1916">
        <f>IF(D1916="USD",VLOOKUP(VALUE(RIGHT(E1916,4)),'USD RUB'!$E:$F,2,FALSE),1)</f>
        <v>67.054371276595688</v>
      </c>
      <c r="B1916" s="4">
        <v>67.054371276595688</v>
      </c>
      <c r="C1916">
        <v>1000000</v>
      </c>
      <c r="D1916" t="s">
        <v>111</v>
      </c>
      <c r="E1916" s="23" t="s">
        <v>1933</v>
      </c>
      <c r="F1916">
        <v>2682174851.0638275</v>
      </c>
      <c r="G1916">
        <v>9119394493.6170139</v>
      </c>
      <c r="H1916">
        <v>26553531025.531891</v>
      </c>
      <c r="J1916">
        <v>56392726243.616974</v>
      </c>
      <c r="K1916">
        <v>15958940363.829773</v>
      </c>
      <c r="L1916">
        <v>60684206005.319099</v>
      </c>
      <c r="M1916">
        <v>-20250420125.531898</v>
      </c>
      <c r="N1916">
        <v>-20250420125.531898</v>
      </c>
      <c r="O1916">
        <v>8448850780.8510571</v>
      </c>
      <c r="P1916">
        <v>1005815569.1489353</v>
      </c>
      <c r="Q1916">
        <v>-1408141796.8085093</v>
      </c>
      <c r="R1916">
        <v>-1475196168.0851052</v>
      </c>
      <c r="V1916">
        <f t="shared" si="70"/>
        <v>12495033911.688313</v>
      </c>
      <c r="W1916">
        <f t="shared" si="71"/>
        <v>81952722420.779221</v>
      </c>
    </row>
    <row r="1917" spans="1:23" x14ac:dyDescent="0.2">
      <c r="A1917">
        <f>IF(D1917="USD",VLOOKUP(VALUE(RIGHT(E1917,4)),'USD RUB'!$E:$F,2,FALSE),1)</f>
        <v>61.250166233766237</v>
      </c>
      <c r="B1917" s="4">
        <v>61.250166233766237</v>
      </c>
      <c r="C1917">
        <v>1000000</v>
      </c>
      <c r="D1917" t="s">
        <v>111</v>
      </c>
      <c r="E1917" s="23" t="s">
        <v>1934</v>
      </c>
      <c r="F1917">
        <v>2205005984.4155846</v>
      </c>
      <c r="G1917">
        <v>8330022607.7922077</v>
      </c>
      <c r="H1917">
        <v>23275063168.831169</v>
      </c>
      <c r="J1917">
        <v>49306383818.181824</v>
      </c>
      <c r="K1917">
        <v>14026288067.532469</v>
      </c>
      <c r="L1917">
        <v>54941399111.688316</v>
      </c>
      <c r="M1917">
        <v>-17150046545.454546</v>
      </c>
      <c r="N1917">
        <v>-19661303361.038963</v>
      </c>
      <c r="O1917">
        <v>42140114368.831169</v>
      </c>
      <c r="P1917">
        <v>3430009309.0909095</v>
      </c>
      <c r="Q1917">
        <v>-9065024602.5974026</v>
      </c>
      <c r="R1917">
        <v>-10167527594.805195</v>
      </c>
      <c r="V1917">
        <f t="shared" si="70"/>
        <v>42787000000</v>
      </c>
      <c r="W1917">
        <f t="shared" si="71"/>
        <v>72355000000</v>
      </c>
    </row>
    <row r="1918" spans="1:23" x14ac:dyDescent="0.2">
      <c r="A1918">
        <f>IF(D1918="USD",VLOOKUP(VALUE(RIGHT(E1918,4)),'USD RUB'!$E:$F,2,FALSE),1)</f>
        <v>61.250166233766237</v>
      </c>
      <c r="B1918" s="4">
        <v>61.250166233766237</v>
      </c>
      <c r="C1918">
        <v>1000000</v>
      </c>
      <c r="D1918" t="s">
        <v>111</v>
      </c>
      <c r="E1918" s="23" t="s">
        <v>1935</v>
      </c>
      <c r="F1918">
        <v>4165011303.8961039</v>
      </c>
      <c r="G1918">
        <v>11025029922.077923</v>
      </c>
      <c r="H1918">
        <v>14332538898.7013</v>
      </c>
      <c r="J1918">
        <v>65905178867.532471</v>
      </c>
      <c r="K1918">
        <v>12801284742.857143</v>
      </c>
      <c r="L1918">
        <v>58677659251.948051</v>
      </c>
      <c r="M1918">
        <v>-6247516955.8441563</v>
      </c>
      <c r="N1918">
        <v>-5573765127.272728</v>
      </c>
      <c r="O1918">
        <v>33320090431.168831</v>
      </c>
      <c r="P1918">
        <v>3736260140.2597404</v>
      </c>
      <c r="Q1918">
        <v>1837504987.0129871</v>
      </c>
      <c r="R1918">
        <v>735001994.80519485</v>
      </c>
      <c r="T1918">
        <v>5420639711.6883116</v>
      </c>
      <c r="V1918">
        <f t="shared" si="70"/>
        <v>33141093553.231934</v>
      </c>
      <c r="W1918">
        <f t="shared" si="71"/>
        <v>73414305485.171097</v>
      </c>
    </row>
    <row r="1919" spans="1:23" x14ac:dyDescent="0.2">
      <c r="A1919">
        <f>IF(D1919="USD",VLOOKUP(VALUE(RIGHT(E1919,4)),'USD RUB'!$E:$F,2,FALSE),1)</f>
        <v>61.250166233766237</v>
      </c>
      <c r="B1919" s="4">
        <v>61.250166233766237</v>
      </c>
      <c r="C1919">
        <v>1000000</v>
      </c>
      <c r="D1919" t="s">
        <v>111</v>
      </c>
      <c r="E1919" s="23" t="s">
        <v>1936</v>
      </c>
      <c r="F1919">
        <v>2450006649.3506494</v>
      </c>
      <c r="G1919">
        <v>11576281418.181818</v>
      </c>
      <c r="H1919">
        <v>16292544218.18182</v>
      </c>
      <c r="J1919">
        <v>73990200810.389618</v>
      </c>
      <c r="K1919">
        <v>14087538233.766235</v>
      </c>
      <c r="L1919">
        <v>59167660581.818184</v>
      </c>
      <c r="M1919">
        <v>-6492517620.7792215</v>
      </c>
      <c r="N1919">
        <v>735001994.80519485</v>
      </c>
      <c r="O1919">
        <v>23458813667.532467</v>
      </c>
      <c r="P1919">
        <v>2327506316.8831172</v>
      </c>
      <c r="Q1919">
        <v>1225003324.6753247</v>
      </c>
      <c r="R1919">
        <v>490001329.87012988</v>
      </c>
      <c r="T1919">
        <v>3840385422.8571429</v>
      </c>
      <c r="U1919">
        <v>557376512.72727275</v>
      </c>
      <c r="V1919">
        <f t="shared" si="70"/>
        <v>19884656131.939159</v>
      </c>
      <c r="W1919">
        <f t="shared" si="71"/>
        <v>80197570247.528503</v>
      </c>
    </row>
    <row r="1920" spans="1:23" x14ac:dyDescent="0.2">
      <c r="A1920">
        <f>IF(D1920="USD",VLOOKUP(VALUE(RIGHT(E1920,4)),'USD RUB'!$E:$F,2,FALSE),1)</f>
        <v>61.250166233766237</v>
      </c>
      <c r="B1920" s="4">
        <v>61.250166233766237</v>
      </c>
      <c r="C1920">
        <v>1000000</v>
      </c>
      <c r="D1920" t="s">
        <v>111</v>
      </c>
      <c r="E1920" s="23" t="s">
        <v>1937</v>
      </c>
      <c r="F1920">
        <v>15618792389.61039</v>
      </c>
      <c r="G1920">
        <v>21988809677.922077</v>
      </c>
      <c r="H1920">
        <v>28910078462.337666</v>
      </c>
      <c r="J1920">
        <v>81952722420.779221</v>
      </c>
      <c r="K1920">
        <v>19722553527.272728</v>
      </c>
      <c r="L1920">
        <v>63087671220.779221</v>
      </c>
      <c r="M1920">
        <v>-5941266124.6753254</v>
      </c>
      <c r="N1920">
        <v>-857502327.27272737</v>
      </c>
      <c r="O1920">
        <v>12495033911.688313</v>
      </c>
      <c r="P1920">
        <v>1347503657.1428573</v>
      </c>
      <c r="Q1920">
        <v>1408753823.3766234</v>
      </c>
      <c r="R1920">
        <v>980002659.74025977</v>
      </c>
      <c r="V1920">
        <f t="shared" si="70"/>
        <v>9380286128.5171089</v>
      </c>
      <c r="W1920">
        <f t="shared" si="71"/>
        <v>81903076816.349792</v>
      </c>
    </row>
    <row r="1921" spans="1:23" s="24" customFormat="1" x14ac:dyDescent="0.2">
      <c r="A1921" s="24">
        <f>IF(D1921="USD",VLOOKUP(VALUE(RIGHT(E1921,4)),'USD RUB'!$E:$F,2,FALSE),1)</f>
        <v>1</v>
      </c>
      <c r="B1921" s="25"/>
      <c r="C1921" s="24">
        <v>1000000</v>
      </c>
      <c r="D1921" s="24" t="s">
        <v>20</v>
      </c>
      <c r="E1921" s="23" t="s">
        <v>1938</v>
      </c>
      <c r="F1921" s="24">
        <f>3723*C1921</f>
        <v>3723000000</v>
      </c>
      <c r="G1921" s="24">
        <f>15515*C1921</f>
        <v>15515000000</v>
      </c>
      <c r="H1921" s="24">
        <f>15376*C1921</f>
        <v>15376000000</v>
      </c>
      <c r="J1921" s="24">
        <f>72355*C1921</f>
        <v>72355000000</v>
      </c>
      <c r="K1921" s="24">
        <f>11240*C1921</f>
        <v>11240000000</v>
      </c>
      <c r="L1921" s="24">
        <f>61162*C1921</f>
        <v>61162000000</v>
      </c>
      <c r="M1921" s="24">
        <f>-7715*C1921</f>
        <v>-7715000000</v>
      </c>
      <c r="N1921" s="24">
        <f>-47*C1921</f>
        <v>-47000000</v>
      </c>
      <c r="O1921" s="24">
        <f>42787*C1921</f>
        <v>42787000000</v>
      </c>
      <c r="P1921" s="24">
        <f>-1797*C1921</f>
        <v>-1797000000</v>
      </c>
      <c r="Q1921" s="24">
        <f>-5902*C1921</f>
        <v>-5902000000</v>
      </c>
      <c r="R1921" s="24">
        <f>-6205*C1921</f>
        <v>-6205000000</v>
      </c>
      <c r="S1921" s="24">
        <f>2787*C1921</f>
        <v>2787000000</v>
      </c>
      <c r="U1921" s="24">
        <f>-571*C1921</f>
        <v>-571000000</v>
      </c>
      <c r="V1921" s="24">
        <f t="shared" si="70"/>
        <v>36321000000</v>
      </c>
      <c r="W1921" s="24">
        <f t="shared" si="71"/>
        <v>68711000000</v>
      </c>
    </row>
    <row r="1922" spans="1:23" x14ac:dyDescent="0.2">
      <c r="A1922">
        <f>IF(D1922="USD",VLOOKUP(VALUE(RIGHT(E1922,4)),'USD RUB'!$E:$F,2,FALSE),1)</f>
        <v>38.761512927756648</v>
      </c>
      <c r="B1922" s="4">
        <v>38.761512927756648</v>
      </c>
      <c r="C1922">
        <v>1000000</v>
      </c>
      <c r="D1922" t="s">
        <v>111</v>
      </c>
      <c r="E1922" s="23" t="s">
        <v>1939</v>
      </c>
      <c r="F1922">
        <v>6201842068.4410639</v>
      </c>
      <c r="G1922">
        <v>17093827201.140682</v>
      </c>
      <c r="H1922">
        <v>28877327131.178703</v>
      </c>
      <c r="J1922">
        <v>73414305485.171097</v>
      </c>
      <c r="K1922">
        <v>14729374912.547525</v>
      </c>
      <c r="L1922">
        <v>43296609940.304176</v>
      </c>
      <c r="M1922">
        <v>-813991771.48288965</v>
      </c>
      <c r="N1922">
        <v>15388320632.319389</v>
      </c>
      <c r="O1922">
        <v>33141093553.231934</v>
      </c>
      <c r="P1922">
        <v>2403213801.5209122</v>
      </c>
      <c r="Q1922">
        <v>-426376642.2053231</v>
      </c>
      <c r="R1922">
        <v>-1124083874.9049428</v>
      </c>
      <c r="T1922">
        <v>4767666090.114068</v>
      </c>
      <c r="V1922">
        <f t="shared" si="70"/>
        <v>27084399999.999996</v>
      </c>
      <c r="W1922">
        <f t="shared" si="71"/>
        <v>68889968000</v>
      </c>
    </row>
    <row r="1923" spans="1:23" x14ac:dyDescent="0.2">
      <c r="A1923">
        <f>IF(D1923="USD",VLOOKUP(VALUE(RIGHT(E1923,4)),'USD RUB'!$E:$F,2,FALSE),1)</f>
        <v>38.761512927756648</v>
      </c>
      <c r="B1923" s="4">
        <v>38.761512927756648</v>
      </c>
      <c r="C1923">
        <v>1000000</v>
      </c>
      <c r="D1923" t="s">
        <v>111</v>
      </c>
      <c r="E1923" s="23" t="s">
        <v>1940</v>
      </c>
      <c r="F1923">
        <v>5387850296.9581738</v>
      </c>
      <c r="G1923">
        <v>16861258123.574142</v>
      </c>
      <c r="H1923">
        <v>19225710412.167297</v>
      </c>
      <c r="J1923">
        <v>80197570247.528503</v>
      </c>
      <c r="K1923">
        <v>13140152882.509504</v>
      </c>
      <c r="L1923">
        <v>45118401047.908737</v>
      </c>
      <c r="M1923">
        <v>-387615129.27756649</v>
      </c>
      <c r="N1923">
        <v>21939016317.110264</v>
      </c>
      <c r="O1923">
        <v>19884656131.939159</v>
      </c>
      <c r="P1923">
        <v>1046560849.0494295</v>
      </c>
      <c r="Q1923">
        <v>-387615129.27756649</v>
      </c>
      <c r="R1923">
        <v>-736468745.62737632</v>
      </c>
      <c r="T1923">
        <v>2806333535.9695811</v>
      </c>
      <c r="U1923">
        <v>1407042919.2775664</v>
      </c>
      <c r="V1923">
        <f t="shared" si="70"/>
        <v>17780112000</v>
      </c>
      <c r="W1923">
        <f t="shared" si="71"/>
        <v>68539463999.999992</v>
      </c>
    </row>
    <row r="1924" spans="1:23" x14ac:dyDescent="0.2">
      <c r="A1924">
        <f>IF(D1924="USD",VLOOKUP(VALUE(RIGHT(E1924,4)),'USD RUB'!$E:$F,2,FALSE),1)</f>
        <v>38.761512927756648</v>
      </c>
      <c r="B1924" s="4">
        <v>38.761512927756648</v>
      </c>
      <c r="C1924">
        <v>1000000</v>
      </c>
      <c r="D1924" t="s">
        <v>111</v>
      </c>
      <c r="E1924" s="23" t="s">
        <v>1941</v>
      </c>
      <c r="F1924">
        <v>13489006498.859314</v>
      </c>
      <c r="G1924">
        <v>60933098322.433449</v>
      </c>
      <c r="H1924">
        <v>18799333769.961975</v>
      </c>
      <c r="J1924">
        <v>81903076816.349792</v>
      </c>
      <c r="K1924">
        <v>18334195614.828896</v>
      </c>
      <c r="L1924">
        <v>43645463556.653984</v>
      </c>
      <c r="M1924">
        <v>-155046051.71102658</v>
      </c>
      <c r="N1924">
        <v>19923417644.866917</v>
      </c>
      <c r="O1924">
        <v>9380286128.5171089</v>
      </c>
      <c r="P1924">
        <v>465138155.13307977</v>
      </c>
      <c r="Q1924">
        <v>-387615129.27756649</v>
      </c>
      <c r="R1924">
        <v>-503899668.06083643</v>
      </c>
      <c r="T1924">
        <v>1271377624.0304179</v>
      </c>
      <c r="V1924">
        <f t="shared" si="70"/>
        <v>8762600000</v>
      </c>
      <c r="W1924">
        <f t="shared" si="71"/>
        <v>84662648000</v>
      </c>
    </row>
    <row r="1925" spans="1:23" x14ac:dyDescent="0.2">
      <c r="A1925">
        <f>IF(D1925="USD",VLOOKUP(VALUE(RIGHT(E1925,4)),'USD RUB'!$E:$F,2,FALSE),1)</f>
        <v>1</v>
      </c>
      <c r="B1925" s="4">
        <v>1</v>
      </c>
      <c r="C1925">
        <v>1000000</v>
      </c>
      <c r="D1925" t="s">
        <v>20</v>
      </c>
      <c r="E1925" s="23" t="s">
        <v>1942</v>
      </c>
      <c r="F1925">
        <v>6263000000</v>
      </c>
      <c r="G1925">
        <v>13406000000</v>
      </c>
      <c r="H1925">
        <v>29267000000</v>
      </c>
      <c r="J1925">
        <v>68711000000</v>
      </c>
      <c r="K1925">
        <v>9901000000</v>
      </c>
      <c r="L1925">
        <v>37803000000</v>
      </c>
      <c r="N1925">
        <v>21007000000</v>
      </c>
      <c r="O1925">
        <v>36321000000</v>
      </c>
      <c r="P1925">
        <v>3061000000</v>
      </c>
      <c r="Q1925">
        <v>1301000000</v>
      </c>
      <c r="R1925">
        <v>550000000</v>
      </c>
      <c r="V1925">
        <f t="shared" si="70"/>
        <v>37219000000</v>
      </c>
      <c r="W1925">
        <f t="shared" si="71"/>
        <v>81406000000</v>
      </c>
    </row>
    <row r="1926" spans="1:23" x14ac:dyDescent="0.2">
      <c r="A1926">
        <f>IF(D1926="USD",VLOOKUP(VALUE(RIGHT(E1926,4)),'USD RUB'!$E:$F,2,FALSE),1)</f>
        <v>31.863999999999997</v>
      </c>
      <c r="B1926" s="4">
        <v>31.863999999999997</v>
      </c>
      <c r="C1926">
        <v>1000000</v>
      </c>
      <c r="D1926" t="s">
        <v>111</v>
      </c>
      <c r="E1926" s="23" t="s">
        <v>1943</v>
      </c>
      <c r="F1926">
        <v>4938920000</v>
      </c>
      <c r="G1926">
        <v>17079103999.999998</v>
      </c>
      <c r="H1926">
        <v>17620792000</v>
      </c>
      <c r="J1926">
        <v>68889968000</v>
      </c>
      <c r="K1926">
        <v>11247991999.999998</v>
      </c>
      <c r="L1926">
        <v>36356824000</v>
      </c>
      <c r="N1926">
        <v>21285152000</v>
      </c>
      <c r="O1926">
        <v>27084399999.999996</v>
      </c>
      <c r="P1926">
        <v>2612848000</v>
      </c>
      <c r="Q1926">
        <v>1210832000</v>
      </c>
      <c r="R1926">
        <v>892191999.99999988</v>
      </c>
      <c r="T1926">
        <v>4856073600</v>
      </c>
      <c r="V1926" t="str">
        <f t="shared" si="70"/>
        <v/>
      </c>
      <c r="W1926" t="str">
        <f t="shared" si="71"/>
        <v/>
      </c>
    </row>
    <row r="1927" spans="1:23" x14ac:dyDescent="0.2">
      <c r="A1927">
        <f>IF(D1927="USD",VLOOKUP(VALUE(RIGHT(E1927,4)),'USD RUB'!$E:$F,2,FALSE),1)</f>
        <v>31.863999999999997</v>
      </c>
      <c r="B1927" s="4">
        <v>31.863999999999997</v>
      </c>
      <c r="C1927">
        <v>1000000</v>
      </c>
      <c r="D1927" t="s">
        <v>111</v>
      </c>
      <c r="E1927" s="23" t="s">
        <v>1944</v>
      </c>
      <c r="F1927">
        <v>6086023999.999999</v>
      </c>
      <c r="G1927">
        <v>14338799999.999998</v>
      </c>
      <c r="H1927">
        <v>29410471999.999996</v>
      </c>
      <c r="J1927">
        <v>68539463999.999992</v>
      </c>
      <c r="K1927">
        <v>9399880000</v>
      </c>
      <c r="L1927">
        <v>38619168000</v>
      </c>
      <c r="N1927">
        <v>20520416000</v>
      </c>
      <c r="O1927">
        <v>17780112000</v>
      </c>
      <c r="P1927">
        <v>1656927999.9999998</v>
      </c>
      <c r="Q1927">
        <v>892191999.99999988</v>
      </c>
      <c r="R1927">
        <v>446095999.99999994</v>
      </c>
      <c r="T1927">
        <v>3167281599.9999995</v>
      </c>
      <c r="V1927">
        <f t="shared" si="70"/>
        <v>18094762253.641369</v>
      </c>
      <c r="W1927">
        <f t="shared" si="71"/>
        <v>69802159346.97467</v>
      </c>
    </row>
    <row r="1928" spans="1:23" x14ac:dyDescent="0.2">
      <c r="A1928">
        <f>IF(D1928="USD",VLOOKUP(VALUE(RIGHT(E1928,4)),'USD RUB'!$E:$F,2,FALSE),1)</f>
        <v>31.863999999999997</v>
      </c>
      <c r="B1928" s="4">
        <v>31.863999999999997</v>
      </c>
      <c r="C1928">
        <v>1000000</v>
      </c>
      <c r="D1928" t="s">
        <v>111</v>
      </c>
      <c r="E1928" s="23" t="s">
        <v>1945</v>
      </c>
      <c r="F1928">
        <v>6627711999.999999</v>
      </c>
      <c r="G1928">
        <v>15039807999.999998</v>
      </c>
      <c r="H1928">
        <v>30844351999.999996</v>
      </c>
      <c r="J1928">
        <v>84662648000</v>
      </c>
      <c r="K1928">
        <v>13542199999.999998</v>
      </c>
      <c r="L1928">
        <v>22495983999.999996</v>
      </c>
      <c r="N1928">
        <v>48624463999.999992</v>
      </c>
      <c r="O1928">
        <v>8762600000</v>
      </c>
      <c r="P1928">
        <v>860327999.99999988</v>
      </c>
      <c r="Q1928">
        <v>892191999.99999988</v>
      </c>
      <c r="R1928">
        <v>669144000</v>
      </c>
      <c r="T1928">
        <v>1529471999.9999998</v>
      </c>
      <c r="V1928" t="str">
        <f t="shared" si="70"/>
        <v/>
      </c>
      <c r="W1928" t="str">
        <f t="shared" si="71"/>
        <v/>
      </c>
    </row>
    <row r="1929" spans="1:23" x14ac:dyDescent="0.2">
      <c r="A1929">
        <f>IF(D1929="USD",VLOOKUP(VALUE(RIGHT(E1929,4)),'USD RUB'!$E:$F,2,FALSE),1)</f>
        <v>1</v>
      </c>
      <c r="B1929" s="4">
        <v>1</v>
      </c>
      <c r="C1929">
        <v>1000000</v>
      </c>
      <c r="D1929" t="s">
        <v>20</v>
      </c>
      <c r="E1929" s="23" t="s">
        <v>1946</v>
      </c>
      <c r="F1929">
        <v>7057000000</v>
      </c>
      <c r="G1929">
        <v>14484000000</v>
      </c>
      <c r="H1929">
        <v>30180000000</v>
      </c>
      <c r="J1929">
        <v>81406000000</v>
      </c>
      <c r="K1929">
        <v>11354000000</v>
      </c>
      <c r="L1929">
        <v>23510000000</v>
      </c>
      <c r="N1929">
        <v>46542000000</v>
      </c>
      <c r="O1929">
        <v>37219000000</v>
      </c>
      <c r="P1929">
        <v>724000000</v>
      </c>
      <c r="Q1929">
        <v>646000000</v>
      </c>
      <c r="R1929">
        <v>-533000000</v>
      </c>
      <c r="V1929">
        <f t="shared" si="70"/>
        <v>30247901622.750004</v>
      </c>
      <c r="W1929">
        <f t="shared" si="71"/>
        <v>68599937493.669235</v>
      </c>
    </row>
    <row r="1930" spans="1:23" x14ac:dyDescent="0.2">
      <c r="A1930">
        <f>IF(D1930="USD",VLOOKUP(VALUE(RIGHT(E1930,4)),'USD RUB'!$E:$F,2,FALSE),1)</f>
        <v>31.062956321839064</v>
      </c>
      <c r="B1930" s="4">
        <v>31.062956321839064</v>
      </c>
      <c r="C1930">
        <v>1000</v>
      </c>
      <c r="D1930" t="s">
        <v>111</v>
      </c>
      <c r="E1930" s="23" t="s">
        <v>1947</v>
      </c>
      <c r="F1930">
        <v>7783662406.2574673</v>
      </c>
      <c r="G1930">
        <v>17090186246.193094</v>
      </c>
      <c r="H1930">
        <v>21970456250.960907</v>
      </c>
      <c r="J1930">
        <v>69802159346.97467</v>
      </c>
      <c r="K1930">
        <v>13893839103.632175</v>
      </c>
      <c r="L1930">
        <v>15511473617.048267</v>
      </c>
      <c r="N1930">
        <v>40396846626.294228</v>
      </c>
      <c r="O1930">
        <v>18094762253.641369</v>
      </c>
      <c r="P1930">
        <v>-1022934214.6344821</v>
      </c>
      <c r="Q1930">
        <v>-1286254895.374712</v>
      </c>
      <c r="R1930">
        <v>-1892914432.3402288</v>
      </c>
      <c r="V1930">
        <f t="shared" si="70"/>
        <v>13494364976.469233</v>
      </c>
      <c r="W1930">
        <f t="shared" si="71"/>
        <v>70615856618.203857</v>
      </c>
    </row>
    <row r="1931" spans="1:23" x14ac:dyDescent="0.2">
      <c r="A1931">
        <f>IF(D1931="USD",VLOOKUP(VALUE(RIGHT(E1931,4)),'USD RUB'!$E:$F,2,FALSE),1)</f>
        <v>29.402434615384617</v>
      </c>
      <c r="B1931" s="4">
        <v>29.402434615384617</v>
      </c>
      <c r="C1931">
        <v>1000</v>
      </c>
      <c r="D1931" t="s">
        <v>111</v>
      </c>
      <c r="E1931" s="23" t="s">
        <v>1948</v>
      </c>
      <c r="F1931">
        <v>6808898198.4923086</v>
      </c>
      <c r="G1931">
        <v>13311952272.115385</v>
      </c>
      <c r="H1931">
        <v>26057937080.319233</v>
      </c>
      <c r="J1931">
        <v>68599937493.669235</v>
      </c>
      <c r="K1931">
        <v>9762813792.1269245</v>
      </c>
      <c r="L1931">
        <v>16471038054.496155</v>
      </c>
      <c r="N1931">
        <v>42366085647.046158</v>
      </c>
      <c r="O1931">
        <v>30247901622.750004</v>
      </c>
      <c r="P1931">
        <v>2398503603.75</v>
      </c>
      <c r="Q1931">
        <v>1735978544.5615387</v>
      </c>
      <c r="R1931">
        <v>856698737.38846159</v>
      </c>
      <c r="V1931" t="str">
        <f t="shared" si="70"/>
        <v/>
      </c>
      <c r="W1931" t="str">
        <f t="shared" si="71"/>
        <v/>
      </c>
    </row>
    <row r="1932" spans="1:23" x14ac:dyDescent="0.2">
      <c r="A1932">
        <f>IF(D1932="USD",VLOOKUP(VALUE(RIGHT(E1932,4)),'USD RUB'!$E:$F,2,FALSE),1)</f>
        <v>29.402434615384617</v>
      </c>
      <c r="B1932" s="4">
        <v>29.402434615384617</v>
      </c>
      <c r="C1932">
        <v>1000</v>
      </c>
      <c r="D1932" t="s">
        <v>111</v>
      </c>
      <c r="E1932" s="23" t="s">
        <v>1949</v>
      </c>
      <c r="F1932">
        <v>15097709138.48077</v>
      </c>
      <c r="G1932">
        <v>21630900707.584618</v>
      </c>
      <c r="H1932">
        <v>26709230409.484619</v>
      </c>
      <c r="J1932">
        <v>70615856618.203857</v>
      </c>
      <c r="K1932">
        <v>5769786756.75</v>
      </c>
      <c r="L1932">
        <v>16309177651.938463</v>
      </c>
      <c r="N1932">
        <v>48536892209.515388</v>
      </c>
      <c r="O1932">
        <v>13494364976.469233</v>
      </c>
      <c r="P1932">
        <v>1271861114.1576924</v>
      </c>
      <c r="Q1932">
        <v>1520664515.8730769</v>
      </c>
      <c r="R1932">
        <v>1257483323.6307693</v>
      </c>
      <c r="V1932" t="str">
        <f t="shared" si="70"/>
        <v/>
      </c>
      <c r="W1932" t="str">
        <f t="shared" si="71"/>
        <v/>
      </c>
    </row>
    <row r="1933" spans="1:23" s="20" customFormat="1" x14ac:dyDescent="0.2">
      <c r="A1933" s="20">
        <f>IF(D1933="USD",VLOOKUP(VALUE(RIGHT(E1933,4)),'USD RUB'!$E:$F,2,FALSE),1)</f>
        <v>83.270722752808965</v>
      </c>
      <c r="B1933" s="21">
        <v>83.270722752808965</v>
      </c>
      <c r="C1933" s="20">
        <v>1000</v>
      </c>
      <c r="D1933" s="20" t="s">
        <v>111</v>
      </c>
      <c r="E1933" s="22" t="s">
        <v>1950</v>
      </c>
      <c r="F1933" s="20">
        <v>58562800439.040993</v>
      </c>
      <c r="G1933" s="20">
        <v>165033329445.8418</v>
      </c>
      <c r="J1933" s="20">
        <v>577525180171.50232</v>
      </c>
      <c r="K1933" s="20">
        <v>60530987242.02639</v>
      </c>
      <c r="L1933" s="20">
        <v>128996175489.38593</v>
      </c>
      <c r="N1933" s="20">
        <v>387998017440.09003</v>
      </c>
      <c r="O1933" s="20">
        <v>109076236463.18172</v>
      </c>
      <c r="P1933" s="20">
        <v>-43576984818.831726</v>
      </c>
      <c r="Q1933" s="20">
        <v>-48091756865.043526</v>
      </c>
      <c r="R1933" s="20">
        <v>-53993069715.812347</v>
      </c>
      <c r="S1933" s="20">
        <v>-86752937836.885925</v>
      </c>
      <c r="T1933" s="20">
        <v>43800400167.977516</v>
      </c>
      <c r="V1933" s="20">
        <f t="shared" si="70"/>
        <v>173138418262.59052</v>
      </c>
      <c r="W1933" s="20">
        <f t="shared" si="71"/>
        <v>618989467200.8208</v>
      </c>
    </row>
    <row r="1934" spans="1:23" x14ac:dyDescent="0.2">
      <c r="A1934">
        <f>IF(D1934="USD",VLOOKUP(VALUE(RIGHT(E1934,4)),'USD RUB'!$E:$F,2,FALSE),1)</f>
        <v>83.270722752808965</v>
      </c>
      <c r="B1934" s="4">
        <v>83.270722752808965</v>
      </c>
      <c r="C1934">
        <v>1000</v>
      </c>
      <c r="D1934" t="s">
        <v>111</v>
      </c>
      <c r="E1934" s="1" t="s">
        <v>1951</v>
      </c>
      <c r="F1934">
        <v>81352664924.920761</v>
      </c>
      <c r="G1934">
        <v>171175711038.98001</v>
      </c>
      <c r="J1934">
        <v>540526582450.14252</v>
      </c>
      <c r="K1934">
        <v>63859318030.456161</v>
      </c>
      <c r="L1934">
        <v>75961301980.290146</v>
      </c>
      <c r="N1934">
        <v>400705962439.39624</v>
      </c>
      <c r="O1934">
        <v>78330270771.884811</v>
      </c>
      <c r="P1934">
        <v>-28824160680.884823</v>
      </c>
      <c r="Q1934">
        <v>-27910431040.118252</v>
      </c>
      <c r="R1934">
        <v>-33142580362.845497</v>
      </c>
      <c r="S1934">
        <v>60676377923.952789</v>
      </c>
      <c r="T1934">
        <v>32475581873.595497</v>
      </c>
      <c r="V1934">
        <f t="shared" si="70"/>
        <v>136371640615.99773</v>
      </c>
      <c r="W1934">
        <f t="shared" si="71"/>
        <v>645903618876.88721</v>
      </c>
    </row>
    <row r="1935" spans="1:23" x14ac:dyDescent="0.2">
      <c r="A1935">
        <f>IF(D1935="USD",VLOOKUP(VALUE(RIGHT(E1935,4)),'USD RUB'!$E:$F,2,FALSE),1)</f>
        <v>83.270722752808965</v>
      </c>
      <c r="B1935" s="4">
        <v>83.270722752808965</v>
      </c>
      <c r="C1935">
        <v>1000</v>
      </c>
      <c r="D1935" t="s">
        <v>111</v>
      </c>
      <c r="E1935" s="1" t="s">
        <v>1952</v>
      </c>
      <c r="F1935">
        <v>74892355712.312332</v>
      </c>
      <c r="G1935">
        <v>167694495203.57608</v>
      </c>
      <c r="J1935">
        <v>543789795533.37964</v>
      </c>
      <c r="K1935">
        <v>61457623844.819649</v>
      </c>
      <c r="L1935">
        <v>77882773907.811218</v>
      </c>
      <c r="N1935">
        <v>404449397780.74878</v>
      </c>
      <c r="O1935">
        <v>51464137865.809532</v>
      </c>
      <c r="P1935">
        <v>-28848059378.31488</v>
      </c>
      <c r="Q1935">
        <v>-33654278954.161507</v>
      </c>
      <c r="R1935">
        <v>-36229675867.460381</v>
      </c>
      <c r="S1935">
        <v>50749508523.144928</v>
      </c>
      <c r="T1935">
        <v>21900200083.988758</v>
      </c>
      <c r="V1935">
        <f t="shared" si="70"/>
        <v>94380563608.454254</v>
      </c>
      <c r="W1935">
        <f t="shared" si="71"/>
        <v>664205056816.8761</v>
      </c>
    </row>
    <row r="1936" spans="1:23" x14ac:dyDescent="0.2">
      <c r="A1936">
        <f>IF(D1936="USD",VLOOKUP(VALUE(RIGHT(E1936,4)),'USD RUB'!$E:$F,2,FALSE),1)</f>
        <v>83.270722752808965</v>
      </c>
      <c r="B1936" s="4">
        <v>83.270722752808965</v>
      </c>
      <c r="C1936">
        <v>1000</v>
      </c>
      <c r="D1936" t="s">
        <v>111</v>
      </c>
      <c r="E1936" s="1" t="s">
        <v>1953</v>
      </c>
      <c r="F1936">
        <v>76333688652.440704</v>
      </c>
      <c r="G1936">
        <v>149351370583.41907</v>
      </c>
      <c r="J1936">
        <v>536402433364.3642</v>
      </c>
      <c r="K1936">
        <v>57377025347.040993</v>
      </c>
      <c r="L1936">
        <v>78846049628.615707</v>
      </c>
      <c r="N1936">
        <v>400179358388.70746</v>
      </c>
      <c r="O1936">
        <v>23188231623.529205</v>
      </c>
      <c r="P1936">
        <v>-28894690983.056454</v>
      </c>
      <c r="Q1936">
        <v>-31872368757.974148</v>
      </c>
      <c r="R1936">
        <v>-32726559831.972462</v>
      </c>
      <c r="S1936">
        <v>37642113866.793526</v>
      </c>
      <c r="T1936">
        <v>8743425889.0449409</v>
      </c>
      <c r="V1936">
        <f t="shared" si="70"/>
        <v>50538322636.843193</v>
      </c>
      <c r="W1936">
        <f t="shared" si="71"/>
        <v>649161652637.66724</v>
      </c>
    </row>
    <row r="1937" spans="1:23" s="20" customFormat="1" x14ac:dyDescent="0.2">
      <c r="A1937" s="20">
        <f>IF(D1937="USD",VLOOKUP(VALUE(RIGHT(E1937,4)),'USD RUB'!$E:$F,2,FALSE),1)</f>
        <v>92.599868144044279</v>
      </c>
      <c r="B1937" s="21">
        <v>92.599868144044279</v>
      </c>
      <c r="C1937" s="20">
        <v>1000</v>
      </c>
      <c r="D1937" s="20" t="s">
        <v>111</v>
      </c>
      <c r="E1937" s="22" t="s">
        <v>1954</v>
      </c>
      <c r="F1937" s="20">
        <v>106716810642.47197</v>
      </c>
      <c r="G1937" s="20">
        <v>149864089603.66199</v>
      </c>
      <c r="H1937" s="20">
        <v>420698980153.07684</v>
      </c>
      <c r="I1937" s="20">
        <v>102322854.29916893</v>
      </c>
      <c r="J1937" s="20">
        <v>618989467200.8208</v>
      </c>
      <c r="K1937" s="20">
        <v>40121115270.242638</v>
      </c>
      <c r="L1937" s="20">
        <v>113496139589.1656</v>
      </c>
      <c r="N1937" s="20">
        <v>465372212341.41254</v>
      </c>
      <c r="O1937" s="20">
        <v>173138418262.59052</v>
      </c>
      <c r="P1937" s="20">
        <v>45618028643.009399</v>
      </c>
      <c r="Q1937" s="20">
        <v>45677199958.753441</v>
      </c>
      <c r="R1937" s="20">
        <v>39303921433.871452</v>
      </c>
      <c r="S1937" s="20">
        <v>50798713466.06424</v>
      </c>
      <c r="T1937" s="20">
        <v>96396462737.950089</v>
      </c>
      <c r="V1937" s="20">
        <f t="shared" si="70"/>
        <v>197873262961.22925</v>
      </c>
      <c r="W1937" s="20">
        <f t="shared" si="71"/>
        <v>597994005759.40991</v>
      </c>
    </row>
    <row r="1938" spans="1:23" x14ac:dyDescent="0.2">
      <c r="A1938">
        <f>IF(D1938="USD",VLOOKUP(VALUE(RIGHT(E1938,4)),'USD RUB'!$E:$F,2,FALSE),1)</f>
        <v>92.599868144044279</v>
      </c>
      <c r="B1938" s="4">
        <v>92.599868144044279</v>
      </c>
      <c r="C1938">
        <v>1000</v>
      </c>
      <c r="D1938" t="s">
        <v>111</v>
      </c>
      <c r="E1938" s="1" t="s">
        <v>1955</v>
      </c>
      <c r="F1938">
        <v>114638636762.32681</v>
      </c>
      <c r="G1938">
        <v>154397501348.38995</v>
      </c>
      <c r="H1938">
        <v>439392022935.4469</v>
      </c>
      <c r="I1938">
        <v>108897444.93739608</v>
      </c>
      <c r="J1938">
        <v>645903618876.88721</v>
      </c>
      <c r="K1938">
        <v>39549311084.453171</v>
      </c>
      <c r="L1938">
        <v>125890724540.11407</v>
      </c>
      <c r="N1938">
        <v>480463583252.32001</v>
      </c>
      <c r="O1938">
        <v>136371640615.99773</v>
      </c>
      <c r="P1938">
        <v>47588461237.246513</v>
      </c>
      <c r="Q1938">
        <v>51364591260.292496</v>
      </c>
      <c r="R1938">
        <v>46757655220.258148</v>
      </c>
      <c r="S1938">
        <v>31230324130.128517</v>
      </c>
      <c r="T1938">
        <v>78802487790.58168</v>
      </c>
      <c r="V1938">
        <f t="shared" si="70"/>
        <v>150175181890.86118</v>
      </c>
      <c r="W1938">
        <f t="shared" si="71"/>
        <v>586770083704.21545</v>
      </c>
    </row>
    <row r="1939" spans="1:23" x14ac:dyDescent="0.2">
      <c r="A1939">
        <f>IF(D1939="USD",VLOOKUP(VALUE(RIGHT(E1939,4)),'USD RUB'!$E:$F,2,FALSE),1)</f>
        <v>92.599868144044279</v>
      </c>
      <c r="B1939" s="4">
        <v>92.599868144044279</v>
      </c>
      <c r="C1939">
        <v>1000</v>
      </c>
      <c r="D1939" t="s">
        <v>111</v>
      </c>
      <c r="E1939" s="1" t="s">
        <v>1956</v>
      </c>
      <c r="F1939">
        <v>103437201112.41435</v>
      </c>
      <c r="G1939">
        <v>165107694697.79825</v>
      </c>
      <c r="H1939">
        <v>448388748324.71777</v>
      </c>
      <c r="I1939">
        <v>101582055.35401657</v>
      </c>
      <c r="J1939">
        <v>664205056816.8761</v>
      </c>
      <c r="K1939">
        <v>70290615310.912994</v>
      </c>
      <c r="L1939">
        <v>124655534898.94066</v>
      </c>
      <c r="N1939">
        <v>469258906607.02252</v>
      </c>
      <c r="O1939">
        <v>94380563608.454254</v>
      </c>
      <c r="P1939">
        <v>33973410024.159542</v>
      </c>
      <c r="Q1939">
        <v>32345226542.582809</v>
      </c>
      <c r="R1939">
        <v>29987356100.03101</v>
      </c>
      <c r="S1939">
        <v>20711071708.833233</v>
      </c>
      <c r="T1939">
        <v>54726522073.130173</v>
      </c>
      <c r="V1939">
        <f t="shared" si="70"/>
        <v>103792663117.45837</v>
      </c>
      <c r="W1939">
        <f t="shared" si="71"/>
        <v>580555565930.771</v>
      </c>
    </row>
    <row r="1940" spans="1:23" x14ac:dyDescent="0.2">
      <c r="A1940">
        <f>IF(D1940="USD",VLOOKUP(VALUE(RIGHT(E1940,4)),'USD RUB'!$E:$F,2,FALSE),1)</f>
        <v>92.599868144044279</v>
      </c>
      <c r="B1940" s="4">
        <v>92.599868144044279</v>
      </c>
      <c r="C1940">
        <v>1000</v>
      </c>
      <c r="D1940" t="s">
        <v>111</v>
      </c>
      <c r="E1940" s="1" t="s">
        <v>1957</v>
      </c>
      <c r="F1940">
        <v>102935772826.41435</v>
      </c>
      <c r="G1940">
        <v>144005018146.58386</v>
      </c>
      <c r="H1940">
        <v>456493459184.1571</v>
      </c>
      <c r="I1940">
        <v>109175244.5418282</v>
      </c>
      <c r="J1940">
        <v>649161652637.66724</v>
      </c>
      <c r="K1940">
        <v>52473659881.053719</v>
      </c>
      <c r="L1940">
        <v>115159788820.2415</v>
      </c>
      <c r="N1940">
        <v>481528203936.37207</v>
      </c>
      <c r="O1940">
        <v>50538322636.843193</v>
      </c>
      <c r="P1940">
        <v>20625787230.272568</v>
      </c>
      <c r="Q1940">
        <v>21259818527.454838</v>
      </c>
      <c r="R1940">
        <v>20003330916.608303</v>
      </c>
      <c r="S1940">
        <v>10305902325.091408</v>
      </c>
      <c r="T1940">
        <v>30928355960.11079</v>
      </c>
      <c r="V1940" t="str">
        <f t="shared" si="70"/>
        <v/>
      </c>
      <c r="W1940" t="str">
        <f t="shared" si="71"/>
        <v/>
      </c>
    </row>
    <row r="1941" spans="1:23" x14ac:dyDescent="0.2">
      <c r="A1941">
        <f>IF(D1941="USD",VLOOKUP(VALUE(RIGHT(E1941,4)),'USD RUB'!$E:$F,2,FALSE),1)</f>
        <v>85.420576388888918</v>
      </c>
      <c r="B1941" s="4">
        <v>85.420576388888918</v>
      </c>
      <c r="C1941">
        <v>1000</v>
      </c>
      <c r="D1941" t="s">
        <v>111</v>
      </c>
      <c r="E1941" s="1" t="s">
        <v>1958</v>
      </c>
      <c r="F1941">
        <v>88963394794.618088</v>
      </c>
      <c r="G1941">
        <v>129361006303.90976</v>
      </c>
      <c r="H1941">
        <v>428939424336.80573</v>
      </c>
      <c r="I1941">
        <v>104298523.77083337</v>
      </c>
      <c r="J1941">
        <v>597994005759.40991</v>
      </c>
      <c r="K1941">
        <v>62197028024.312523</v>
      </c>
      <c r="L1941">
        <v>107925908547.18753</v>
      </c>
      <c r="N1941">
        <v>427871069187.90985</v>
      </c>
      <c r="O1941">
        <v>197873262961.22925</v>
      </c>
      <c r="P1941">
        <v>99449112228.65976</v>
      </c>
      <c r="Q1941">
        <v>89325834300.236145</v>
      </c>
      <c r="R1941">
        <v>80578852698.590302</v>
      </c>
      <c r="T1941">
        <v>134469071351.38893</v>
      </c>
      <c r="V1941" t="str">
        <f t="shared" si="70"/>
        <v/>
      </c>
      <c r="W1941" t="str">
        <f t="shared" si="71"/>
        <v/>
      </c>
    </row>
    <row r="1942" spans="1:23" x14ac:dyDescent="0.2">
      <c r="A1942">
        <f>IF(D1942="USD",VLOOKUP(VALUE(RIGHT(E1942,4)),'USD RUB'!$E:$F,2,FALSE),1)</f>
        <v>85.420576388888918</v>
      </c>
      <c r="B1942" s="4">
        <v>85.420576388888918</v>
      </c>
      <c r="C1942">
        <v>1000</v>
      </c>
      <c r="D1942" t="s">
        <v>111</v>
      </c>
      <c r="E1942" s="1" t="s">
        <v>1959</v>
      </c>
      <c r="F1942">
        <v>83202289440.645859</v>
      </c>
      <c r="G1942">
        <v>131368304428.47226</v>
      </c>
      <c r="H1942">
        <v>415392660547.86823</v>
      </c>
      <c r="I1942">
        <v>114463572.36111115</v>
      </c>
      <c r="J1942">
        <v>586770083704.21545</v>
      </c>
      <c r="K1942">
        <v>65282077561.17363</v>
      </c>
      <c r="L1942">
        <v>100015536070.69447</v>
      </c>
      <c r="N1942">
        <v>421472470072.34735</v>
      </c>
      <c r="O1942">
        <v>150175181890.86118</v>
      </c>
      <c r="P1942">
        <v>79471460346.284744</v>
      </c>
      <c r="Q1942">
        <v>66441661885.652802</v>
      </c>
      <c r="R1942">
        <v>59983012104.888908</v>
      </c>
      <c r="T1942">
        <v>106066729702.08337</v>
      </c>
      <c r="V1942" t="str">
        <f t="shared" si="70"/>
        <v/>
      </c>
      <c r="W1942" t="str">
        <f t="shared" si="71"/>
        <v/>
      </c>
    </row>
    <row r="1943" spans="1:23" x14ac:dyDescent="0.2">
      <c r="A1943">
        <f>IF(D1943="USD",VLOOKUP(VALUE(RIGHT(E1943,4)),'USD RUB'!$E:$F,2,FALSE),1)</f>
        <v>85.420576388888918</v>
      </c>
      <c r="B1943" s="4">
        <v>85.420576388888918</v>
      </c>
      <c r="C1943">
        <v>1000</v>
      </c>
      <c r="D1943" t="s">
        <v>111</v>
      </c>
      <c r="E1943" s="1" t="s">
        <v>1960</v>
      </c>
      <c r="F1943">
        <v>91446741791.395859</v>
      </c>
      <c r="G1943">
        <v>121375207458.46532</v>
      </c>
      <c r="H1943">
        <v>422499310821.11823</v>
      </c>
      <c r="I1943">
        <v>126678714.78472227</v>
      </c>
      <c r="J1943">
        <v>580555565930.771</v>
      </c>
      <c r="K1943">
        <v>75309171920.583359</v>
      </c>
      <c r="L1943">
        <v>101053566914.97226</v>
      </c>
      <c r="N1943">
        <v>404192827095.21539</v>
      </c>
      <c r="O1943">
        <v>103792663117.45837</v>
      </c>
      <c r="P1943">
        <v>56571826807.375023</v>
      </c>
      <c r="Q1943">
        <v>47624961056.979179</v>
      </c>
      <c r="R1943">
        <v>42371766450.215294</v>
      </c>
      <c r="T1943">
        <v>74025471498.61113</v>
      </c>
      <c r="V1943" t="str">
        <f t="shared" si="70"/>
        <v/>
      </c>
      <c r="W1943" t="str">
        <f t="shared" si="71"/>
        <v/>
      </c>
    </row>
    <row r="1944" spans="1:23" x14ac:dyDescent="0.2">
      <c r="A1944">
        <f>IF(D1944="USD",VLOOKUP(VALUE(RIGHT(E1944,4)),'USD RUB'!$E:$F,2,FALSE),1)</f>
        <v>73.77579163636365</v>
      </c>
      <c r="B1944" s="4">
        <v>73.77579163636365</v>
      </c>
      <c r="C1944">
        <v>1000</v>
      </c>
      <c r="D1944" t="s">
        <v>111</v>
      </c>
      <c r="E1944" s="1" t="s">
        <v>1961</v>
      </c>
      <c r="F1944">
        <v>45298631167.893829</v>
      </c>
      <c r="G1944">
        <v>62000732636.450195</v>
      </c>
      <c r="H1944">
        <v>427370102634.33496</v>
      </c>
      <c r="I1944">
        <v>204285167.04109094</v>
      </c>
      <c r="J1944">
        <v>540322167593.85718</v>
      </c>
      <c r="K1944">
        <v>42365748347.181824</v>
      </c>
      <c r="L1944">
        <v>205362146047.39859</v>
      </c>
      <c r="N1944">
        <v>292594273199.27679</v>
      </c>
      <c r="O1944">
        <v>113642606369.23857</v>
      </c>
      <c r="P1944">
        <v>16987097351.64764</v>
      </c>
      <c r="Q1944">
        <v>5166592464.0861826</v>
      </c>
      <c r="R1944">
        <v>2641173340.5818186</v>
      </c>
      <c r="T1944">
        <v>50056874625.272736</v>
      </c>
      <c r="U1944">
        <v>-4025649846.4298191</v>
      </c>
      <c r="V1944">
        <f t="shared" si="70"/>
        <v>119470467320.56313</v>
      </c>
      <c r="W1944">
        <f t="shared" si="71"/>
        <v>559804502298.21777</v>
      </c>
    </row>
    <row r="1945" spans="1:23" x14ac:dyDescent="0.2">
      <c r="A1945">
        <f>IF(D1945="USD",VLOOKUP(VALUE(RIGHT(E1945,4)),'USD RUB'!$E:$F,2,FALSE),1)</f>
        <v>73.77579163636365</v>
      </c>
      <c r="B1945" s="4">
        <v>73.77579163636365</v>
      </c>
      <c r="C1945">
        <v>1000</v>
      </c>
      <c r="D1945" t="s">
        <v>111</v>
      </c>
      <c r="E1945" s="1" t="s">
        <v>1962</v>
      </c>
      <c r="F1945">
        <v>52100242726.225098</v>
      </c>
      <c r="G1945">
        <v>71111526472.999649</v>
      </c>
      <c r="H1945">
        <v>436424015335.53278</v>
      </c>
      <c r="I1945">
        <v>190267766.63018185</v>
      </c>
      <c r="J1945">
        <v>547757882081.30298</v>
      </c>
      <c r="K1945">
        <v>45688019796.150551</v>
      </c>
      <c r="L1945">
        <v>211964194089.35349</v>
      </c>
      <c r="N1945">
        <v>290105668195.79895</v>
      </c>
      <c r="O1945">
        <v>85578295230.765839</v>
      </c>
      <c r="P1945">
        <v>12061530398.837458</v>
      </c>
      <c r="Q1945">
        <v>3230125485.2149096</v>
      </c>
      <c r="R1945">
        <v>1489680784.7214549</v>
      </c>
      <c r="T1945">
        <v>37426459097.127281</v>
      </c>
      <c r="U1945">
        <v>-3035357395.2949095</v>
      </c>
      <c r="V1945">
        <f t="shared" ref="V1945:V2008" si="72">_xlfn.XLOOKUP(LEFT(E1945,LEN(E1945)-4)&amp;(VALUE(RIGHT(E1945,4))-1),$E:$E,$O:$O,"")</f>
        <v>93861452312.069733</v>
      </c>
      <c r="W1945">
        <f t="shared" ref="W1945:W2008" si="73">_xlfn.XLOOKUP(LEFT(E1945,LEN(E1945)-4)&amp;(VALUE(RIGHT(E1945,4))-1),$E:$E,$J:$J,"")</f>
        <v>540677738035.52643</v>
      </c>
    </row>
    <row r="1946" spans="1:23" x14ac:dyDescent="0.2">
      <c r="A1946">
        <f>IF(D1946="USD",VLOOKUP(VALUE(RIGHT(E1946,4)),'USD RUB'!$E:$F,2,FALSE),1)</f>
        <v>73.77579163636365</v>
      </c>
      <c r="B1946" s="4">
        <v>73.77579163636365</v>
      </c>
      <c r="C1946">
        <v>1000</v>
      </c>
      <c r="D1946" t="s">
        <v>111</v>
      </c>
      <c r="E1946" s="1" t="s">
        <v>1963</v>
      </c>
      <c r="F1946">
        <v>62805405195.828011</v>
      </c>
      <c r="G1946">
        <v>90278182036.960373</v>
      </c>
      <c r="H1946">
        <v>442835648059.27429</v>
      </c>
      <c r="I1946">
        <v>200227498.50109094</v>
      </c>
      <c r="J1946">
        <v>566699890359.73096</v>
      </c>
      <c r="K1946">
        <v>57558987325.191284</v>
      </c>
      <c r="L1946">
        <v>220483084749.6044</v>
      </c>
      <c r="N1946">
        <v>288657818284.9353</v>
      </c>
      <c r="O1946">
        <v>41309942993.073822</v>
      </c>
      <c r="P1946">
        <v>7189229567.5887289</v>
      </c>
      <c r="Q1946">
        <v>1385435591.1392729</v>
      </c>
      <c r="R1946">
        <v>416021689.03745461</v>
      </c>
      <c r="T1946">
        <v>13368173444.509094</v>
      </c>
      <c r="U1946">
        <v>-1651397319.988364</v>
      </c>
      <c r="V1946">
        <f t="shared" si="72"/>
        <v>68776809825.177734</v>
      </c>
      <c r="W1946">
        <f t="shared" si="73"/>
        <v>543151535715.3327</v>
      </c>
    </row>
    <row r="1947" spans="1:23" x14ac:dyDescent="0.2">
      <c r="A1947">
        <f>IF(D1947="USD",VLOOKUP(VALUE(RIGHT(E1947,4)),'USD RUB'!$E:$F,2,FALSE),1)</f>
        <v>73.77579163636365</v>
      </c>
      <c r="B1947" s="4">
        <v>73.77579163636365</v>
      </c>
      <c r="C1947">
        <v>1000</v>
      </c>
      <c r="D1947" t="s">
        <v>111</v>
      </c>
      <c r="E1947" s="1" t="s">
        <v>1964</v>
      </c>
      <c r="F1947">
        <v>59267044453.156372</v>
      </c>
      <c r="G1947">
        <v>75879139455.916382</v>
      </c>
      <c r="H1947">
        <v>462409324665.69281</v>
      </c>
      <c r="I1947">
        <v>203694960.70800003</v>
      </c>
      <c r="J1947">
        <v>571343707564.28186</v>
      </c>
      <c r="K1947">
        <v>41963227628.013824</v>
      </c>
      <c r="L1947">
        <v>224684320980.12875</v>
      </c>
      <c r="N1947">
        <v>304696158956.13934</v>
      </c>
      <c r="O1947">
        <v>26769988650.004368</v>
      </c>
      <c r="P1947">
        <v>4129673712.6370916</v>
      </c>
      <c r="Q1947">
        <v>592714710.00654554</v>
      </c>
      <c r="R1947">
        <v>-123279347.82436366</v>
      </c>
      <c r="T1947">
        <v>11509023495.27273</v>
      </c>
      <c r="U1947">
        <v>-939239603.32254565</v>
      </c>
      <c r="V1947">
        <f t="shared" si="72"/>
        <v>35664199715.075981</v>
      </c>
      <c r="W1947">
        <f t="shared" si="73"/>
        <v>539880009315.91388</v>
      </c>
    </row>
    <row r="1948" spans="1:23" x14ac:dyDescent="0.2">
      <c r="A1948">
        <f>IF(D1948="USD",VLOOKUP(VALUE(RIGHT(E1948,4)),'USD RUB'!$E:$F,2,FALSE),1)</f>
        <v>72.297328222996555</v>
      </c>
      <c r="B1948" s="4">
        <v>72.297328222996555</v>
      </c>
      <c r="C1948">
        <v>1000</v>
      </c>
      <c r="D1948" t="s">
        <v>111</v>
      </c>
      <c r="E1948" s="1" t="s">
        <v>1965</v>
      </c>
      <c r="F1948">
        <v>61412676269.711533</v>
      </c>
      <c r="G1948">
        <v>76530336790.453003</v>
      </c>
      <c r="H1948">
        <v>446557099801.77722</v>
      </c>
      <c r="I1948">
        <v>211541982.38048792</v>
      </c>
      <c r="J1948">
        <v>559804502298.21777</v>
      </c>
      <c r="K1948">
        <v>43249129310.935219</v>
      </c>
      <c r="L1948">
        <v>220252219890.13809</v>
      </c>
      <c r="N1948">
        <v>296303153097.14441</v>
      </c>
      <c r="O1948">
        <v>119470467320.56313</v>
      </c>
      <c r="P1948">
        <v>35523292222.369354</v>
      </c>
      <c r="Q1948">
        <v>21360317920.812553</v>
      </c>
      <c r="R1948">
        <v>19293626496.229977</v>
      </c>
      <c r="T1948">
        <v>65284487385.365891</v>
      </c>
      <c r="U1948">
        <v>-6493239939.6919899</v>
      </c>
      <c r="V1948">
        <f t="shared" si="72"/>
        <v>107720731736.15617</v>
      </c>
      <c r="W1948">
        <f t="shared" si="73"/>
        <v>474555310404.37469</v>
      </c>
    </row>
    <row r="1949" spans="1:23" x14ac:dyDescent="0.2">
      <c r="A1949">
        <f>IF(D1949="USD",VLOOKUP(VALUE(RIGHT(E1949,4)),'USD RUB'!$E:$F,2,FALSE),1)</f>
        <v>72.297328222996555</v>
      </c>
      <c r="B1949" s="4">
        <v>72.297328222996555</v>
      </c>
      <c r="C1949">
        <v>1000</v>
      </c>
      <c r="D1949" t="s">
        <v>111</v>
      </c>
      <c r="E1949" s="1" t="s">
        <v>1966</v>
      </c>
      <c r="F1949">
        <v>43625147715.023018</v>
      </c>
      <c r="G1949">
        <v>58976184011.268326</v>
      </c>
      <c r="H1949">
        <v>451977736579.95288</v>
      </c>
      <c r="I1949">
        <v>220073067.11080152</v>
      </c>
      <c r="J1949">
        <v>540677738035.52643</v>
      </c>
      <c r="K1949">
        <v>57354048857.928947</v>
      </c>
      <c r="L1949">
        <v>222968285916.81964</v>
      </c>
      <c r="N1949">
        <v>260355403260.77783</v>
      </c>
      <c r="O1949">
        <v>93861452312.069733</v>
      </c>
      <c r="P1949">
        <v>31523659430.41674</v>
      </c>
      <c r="Q1949">
        <v>20091644405.155411</v>
      </c>
      <c r="R1949">
        <v>18036231363.77562</v>
      </c>
      <c r="T1949">
        <v>53601239144.529648</v>
      </c>
      <c r="U1949">
        <v>-4128322036.1895494</v>
      </c>
      <c r="V1949">
        <f t="shared" si="72"/>
        <v>80652744860.156189</v>
      </c>
      <c r="W1949">
        <f t="shared" si="73"/>
        <v>472769567971.40594</v>
      </c>
    </row>
    <row r="1950" spans="1:23" x14ac:dyDescent="0.2">
      <c r="A1950">
        <f>IF(D1950="USD",VLOOKUP(VALUE(RIGHT(E1950,4)),'USD RUB'!$E:$F,2,FALSE),1)</f>
        <v>72.297328222996555</v>
      </c>
      <c r="B1950" s="4">
        <v>72.297328222996555</v>
      </c>
      <c r="C1950">
        <v>1000</v>
      </c>
      <c r="D1950" t="s">
        <v>111</v>
      </c>
      <c r="E1950" s="1" t="s">
        <v>1967</v>
      </c>
      <c r="F1950">
        <v>48621254581.873199</v>
      </c>
      <c r="G1950">
        <v>65845153165.735229</v>
      </c>
      <c r="H1950">
        <v>226760280782.11581</v>
      </c>
      <c r="I1950">
        <v>232725099.54982591</v>
      </c>
      <c r="J1950">
        <v>543151535715.3327</v>
      </c>
      <c r="K1950">
        <v>55655856915.298988</v>
      </c>
      <c r="L1950">
        <v>222189426799.87329</v>
      </c>
      <c r="N1950">
        <v>265306252000.16043</v>
      </c>
      <c r="O1950">
        <v>68776809825.177734</v>
      </c>
      <c r="P1950">
        <v>25626149475.282246</v>
      </c>
      <c r="Q1950">
        <v>17966753631.353321</v>
      </c>
      <c r="R1950">
        <v>16365946189.839729</v>
      </c>
      <c r="T1950">
        <v>41831234109.825806</v>
      </c>
      <c r="U1950">
        <v>-1945015021.1832764</v>
      </c>
      <c r="V1950">
        <f t="shared" si="72"/>
        <v>53562699003.187462</v>
      </c>
      <c r="W1950">
        <f t="shared" si="73"/>
        <v>472352905518.56219</v>
      </c>
    </row>
    <row r="1951" spans="1:23" x14ac:dyDescent="0.2">
      <c r="A1951">
        <f>IF(D1951="USD",VLOOKUP(VALUE(RIGHT(E1951,4)),'USD RUB'!$E:$F,2,FALSE),1)</f>
        <v>72.297328222996555</v>
      </c>
      <c r="B1951" s="4">
        <v>72.297328222996555</v>
      </c>
      <c r="C1951">
        <v>1000</v>
      </c>
      <c r="D1951" t="s">
        <v>111</v>
      </c>
      <c r="E1951" s="1" t="s">
        <v>1968</v>
      </c>
      <c r="F1951">
        <v>38605978000.469704</v>
      </c>
      <c r="G1951">
        <v>56693829656.59655</v>
      </c>
      <c r="H1951">
        <v>449571536902.0351</v>
      </c>
      <c r="I1951">
        <v>395249493.39512217</v>
      </c>
      <c r="J1951">
        <v>539880009315.91388</v>
      </c>
      <c r="K1951">
        <v>57348481963.655777</v>
      </c>
      <c r="L1951">
        <v>224951980008.6022</v>
      </c>
      <c r="N1951">
        <v>257579547343.65588</v>
      </c>
      <c r="O1951">
        <v>35664199715.075981</v>
      </c>
      <c r="P1951">
        <v>13731359252.065514</v>
      </c>
      <c r="Q1951">
        <v>8975134920.2592392</v>
      </c>
      <c r="R1951">
        <v>8391333994.8585415</v>
      </c>
      <c r="T1951">
        <v>20785481864.111511</v>
      </c>
      <c r="U1951">
        <v>-710827331.08850217</v>
      </c>
      <c r="V1951">
        <f t="shared" si="72"/>
        <v>26569880854.124981</v>
      </c>
      <c r="W1951">
        <f t="shared" si="73"/>
        <v>471092503215.93719</v>
      </c>
    </row>
    <row r="1952" spans="1:23" x14ac:dyDescent="0.2">
      <c r="A1952">
        <f>IF(D1952="USD",VLOOKUP(VALUE(RIGHT(E1952,4)),'USD RUB'!$E:$F,2,FALSE),1)</f>
        <v>64.689093749999955</v>
      </c>
      <c r="B1952" s="4">
        <v>64.689093749999955</v>
      </c>
      <c r="C1952">
        <v>1000</v>
      </c>
      <c r="D1952" t="s">
        <v>111</v>
      </c>
      <c r="E1952" s="1" t="s">
        <v>1969</v>
      </c>
      <c r="F1952">
        <v>24246830808.468735</v>
      </c>
      <c r="G1952">
        <v>45262053249.562469</v>
      </c>
      <c r="H1952">
        <v>396009424638.56226</v>
      </c>
      <c r="I1952">
        <v>381083451.28124976</v>
      </c>
      <c r="J1952">
        <v>474555310404.37469</v>
      </c>
      <c r="K1952">
        <v>43317563780.531219</v>
      </c>
      <c r="L1952">
        <v>204529577760.37485</v>
      </c>
      <c r="N1952">
        <v>226708168863.4686</v>
      </c>
      <c r="O1952">
        <v>107720731736.15617</v>
      </c>
      <c r="P1952">
        <v>28227150746.906231</v>
      </c>
      <c r="Q1952">
        <v>16455870424.499989</v>
      </c>
      <c r="R1952">
        <v>14579498571.18749</v>
      </c>
      <c r="T1952">
        <v>53239124156.249962</v>
      </c>
      <c r="U1952">
        <v>-4784146617.3749971</v>
      </c>
      <c r="V1952">
        <f t="shared" si="72"/>
        <v>95557081345.949158</v>
      </c>
      <c r="W1952">
        <f t="shared" si="73"/>
        <v>449026625455.38397</v>
      </c>
    </row>
    <row r="1953" spans="1:23" x14ac:dyDescent="0.2">
      <c r="A1953">
        <f>IF(D1953="USD",VLOOKUP(VALUE(RIGHT(E1953,4)),'USD RUB'!$E:$F,2,FALSE),1)</f>
        <v>64.689093749999955</v>
      </c>
      <c r="B1953" s="4">
        <v>64.689093749999955</v>
      </c>
      <c r="C1953">
        <v>1000</v>
      </c>
      <c r="D1953" t="s">
        <v>111</v>
      </c>
      <c r="E1953" s="1" t="s">
        <v>1970</v>
      </c>
      <c r="F1953">
        <v>21037540178.437485</v>
      </c>
      <c r="G1953">
        <v>34294211471.531227</v>
      </c>
      <c r="H1953">
        <v>406084298166.46844</v>
      </c>
      <c r="I1953">
        <v>379919047.59374976</v>
      </c>
      <c r="J1953">
        <v>472769567971.40594</v>
      </c>
      <c r="K1953">
        <v>40112413252.499969</v>
      </c>
      <c r="L1953">
        <v>213286540381.31235</v>
      </c>
      <c r="N1953">
        <v>219370614337.5936</v>
      </c>
      <c r="O1953">
        <v>80652744860.156189</v>
      </c>
      <c r="P1953">
        <v>17635993561.781239</v>
      </c>
      <c r="Q1953">
        <v>8849273957.7187443</v>
      </c>
      <c r="R1953">
        <v>7561896302.9999952</v>
      </c>
      <c r="U1953">
        <v>-4204402959.1874971</v>
      </c>
      <c r="V1953">
        <f t="shared" si="72"/>
        <v>69564603633.052811</v>
      </c>
      <c r="W1953">
        <f t="shared" si="73"/>
        <v>453477318122.06934</v>
      </c>
    </row>
    <row r="1954" spans="1:23" x14ac:dyDescent="0.2">
      <c r="A1954">
        <f>IF(D1954="USD",VLOOKUP(VALUE(RIGHT(E1954,4)),'USD RUB'!$E:$F,2,FALSE),1)</f>
        <v>64.689093749999955</v>
      </c>
      <c r="B1954" s="4">
        <v>64.689093749999955</v>
      </c>
      <c r="C1954">
        <v>1000</v>
      </c>
      <c r="D1954" t="s">
        <v>111</v>
      </c>
      <c r="E1954" s="1" t="s">
        <v>1971</v>
      </c>
      <c r="F1954">
        <v>22020490957.968735</v>
      </c>
      <c r="G1954">
        <v>36662737950.093727</v>
      </c>
      <c r="H1954">
        <v>401795152494.46844</v>
      </c>
      <c r="I1954">
        <v>404500903.2187497</v>
      </c>
      <c r="J1954">
        <v>472352905518.56219</v>
      </c>
      <c r="K1954">
        <v>41186058141.468719</v>
      </c>
      <c r="L1954">
        <v>212944723209.93735</v>
      </c>
      <c r="N1954">
        <v>218222124167.1561</v>
      </c>
      <c r="O1954">
        <v>53562699003.187462</v>
      </c>
      <c r="P1954">
        <v>12515463656.90624</v>
      </c>
      <c r="Q1954">
        <v>6882984264.0937452</v>
      </c>
      <c r="R1954">
        <v>5884314034.7812462</v>
      </c>
      <c r="U1954">
        <v>-2153629309.1249986</v>
      </c>
      <c r="V1954">
        <f t="shared" si="72"/>
        <v>44644295664.872086</v>
      </c>
      <c r="W1954">
        <f t="shared" si="73"/>
        <v>453618773612.01953</v>
      </c>
    </row>
    <row r="1955" spans="1:23" x14ac:dyDescent="0.2">
      <c r="A1955">
        <f>IF(D1955="USD",VLOOKUP(VALUE(RIGHT(E1955,4)),'USD RUB'!$E:$F,2,FALSE),1)</f>
        <v>64.689093749999955</v>
      </c>
      <c r="B1955" s="4">
        <v>64.689093749999955</v>
      </c>
      <c r="C1955">
        <v>1000</v>
      </c>
      <c r="D1955" t="s">
        <v>111</v>
      </c>
      <c r="E1955" s="1" t="s">
        <v>1972</v>
      </c>
      <c r="F1955">
        <v>21326441671.124985</v>
      </c>
      <c r="G1955">
        <v>36795803415.937477</v>
      </c>
      <c r="H1955">
        <v>402291511910.81219</v>
      </c>
      <c r="I1955">
        <v>428241800.6249997</v>
      </c>
      <c r="J1955">
        <v>471092503215.93719</v>
      </c>
      <c r="K1955">
        <v>39225396398.999969</v>
      </c>
      <c r="L1955">
        <v>212230361547.6561</v>
      </c>
      <c r="N1955">
        <v>219636745269.2811</v>
      </c>
      <c r="O1955">
        <v>26569880854.124981</v>
      </c>
      <c r="P1955">
        <v>7404572426.9999952</v>
      </c>
      <c r="Q1955">
        <v>4790809594.0312471</v>
      </c>
      <c r="R1955">
        <v>4531729773.5624971</v>
      </c>
      <c r="U1955">
        <v>-922272409.5937494</v>
      </c>
      <c r="V1955">
        <f t="shared" si="72"/>
        <v>21712977623.603981</v>
      </c>
      <c r="W1955">
        <f t="shared" si="73"/>
        <v>466645189639.65704</v>
      </c>
    </row>
    <row r="1956" spans="1:23" x14ac:dyDescent="0.2">
      <c r="A1956">
        <f>IF(D1956="USD",VLOOKUP(VALUE(RIGHT(E1956,4)),'USD RUB'!$E:$F,2,FALSE),1)</f>
        <v>62.869106644518261</v>
      </c>
      <c r="B1956" s="4">
        <v>62.869106644518261</v>
      </c>
      <c r="C1956">
        <v>1000</v>
      </c>
      <c r="D1956" t="s">
        <v>111</v>
      </c>
      <c r="E1956" s="1" t="s">
        <v>1973</v>
      </c>
      <c r="F1956">
        <v>18636477889.954483</v>
      </c>
      <c r="G1956">
        <v>33988925125.225906</v>
      </c>
      <c r="H1956">
        <v>387629724681.1604</v>
      </c>
      <c r="I1956">
        <v>425749590.19667768</v>
      </c>
      <c r="J1956">
        <v>449026625455.38397</v>
      </c>
      <c r="K1956">
        <v>36856070733.749161</v>
      </c>
      <c r="L1956">
        <v>201555086708.78003</v>
      </c>
      <c r="N1956">
        <v>210615468012.85477</v>
      </c>
      <c r="O1956">
        <v>95557081345.949158</v>
      </c>
      <c r="P1956">
        <v>11774189161.492025</v>
      </c>
      <c r="Q1956">
        <v>-1392424973.9627905</v>
      </c>
      <c r="R1956">
        <v>-2864065022.2976737</v>
      </c>
      <c r="U1956">
        <v>-2566128325.9093018</v>
      </c>
      <c r="V1956">
        <f t="shared" si="72"/>
        <v>83700224177.108871</v>
      </c>
      <c r="W1956">
        <f t="shared" si="73"/>
        <v>428418329000.25854</v>
      </c>
    </row>
    <row r="1957" spans="1:23" x14ac:dyDescent="0.2">
      <c r="A1957">
        <f>IF(D1957="USD",VLOOKUP(VALUE(RIGHT(E1957,4)),'USD RUB'!$E:$F,2,FALSE),1)</f>
        <v>62.869106644518261</v>
      </c>
      <c r="B1957" s="4">
        <v>62.869106644518261</v>
      </c>
      <c r="C1957">
        <v>1000</v>
      </c>
      <c r="D1957" t="s">
        <v>111</v>
      </c>
      <c r="E1957" s="1" t="s">
        <v>1974</v>
      </c>
      <c r="F1957">
        <v>17800067295.155811</v>
      </c>
      <c r="G1957">
        <v>32724124437.751488</v>
      </c>
      <c r="H1957">
        <v>389058739475.19031</v>
      </c>
      <c r="I1957">
        <v>452028876.7740863</v>
      </c>
      <c r="J1957">
        <v>453477318122.06934</v>
      </c>
      <c r="K1957">
        <v>40084776574.585045</v>
      </c>
      <c r="L1957">
        <v>202142724248.58633</v>
      </c>
      <c r="N1957">
        <v>211249817298.89798</v>
      </c>
      <c r="O1957">
        <v>69564603633.052811</v>
      </c>
      <c r="P1957">
        <v>6876119931.9242516</v>
      </c>
      <c r="Q1957">
        <v>-2898391554.5255809</v>
      </c>
      <c r="R1957">
        <v>-3612207391.3674412</v>
      </c>
      <c r="U1957">
        <v>-1621582867.6820595</v>
      </c>
      <c r="V1957">
        <f t="shared" si="72"/>
        <v>61851390538.730011</v>
      </c>
      <c r="W1957">
        <f t="shared" si="73"/>
        <v>428557113583.65131</v>
      </c>
    </row>
    <row r="1958" spans="1:23" x14ac:dyDescent="0.2">
      <c r="A1958">
        <f>IF(D1958="USD",VLOOKUP(VALUE(RIGHT(E1958,4)),'USD RUB'!$E:$F,2,FALSE),1)</f>
        <v>62.869106644518261</v>
      </c>
      <c r="B1958" s="4">
        <v>62.869106644518261</v>
      </c>
      <c r="C1958">
        <v>1000</v>
      </c>
      <c r="D1958" t="s">
        <v>111</v>
      </c>
      <c r="E1958" s="1" t="s">
        <v>1975</v>
      </c>
      <c r="F1958">
        <v>20809988644.868767</v>
      </c>
      <c r="G1958">
        <v>34277179979.191025</v>
      </c>
      <c r="H1958">
        <v>391105254634.68268</v>
      </c>
      <c r="I1958">
        <v>479251199.9511627</v>
      </c>
      <c r="J1958">
        <v>453618773612.01953</v>
      </c>
      <c r="K1958">
        <v>42946578309.04351</v>
      </c>
      <c r="L1958">
        <v>200182716979.83685</v>
      </c>
      <c r="N1958">
        <v>210489478323.13916</v>
      </c>
      <c r="O1958">
        <v>44644295664.872086</v>
      </c>
      <c r="P1958">
        <v>3356958818.390697</v>
      </c>
      <c r="Q1958">
        <v>-3154080211.2488365</v>
      </c>
      <c r="R1958">
        <v>-3632011159.9604645</v>
      </c>
      <c r="U1958">
        <v>-1009677852.7109632</v>
      </c>
      <c r="V1958">
        <f t="shared" si="72"/>
        <v>41415244008.44883</v>
      </c>
      <c r="W1958">
        <f t="shared" si="73"/>
        <v>431656733134.17279</v>
      </c>
    </row>
    <row r="1959" spans="1:23" x14ac:dyDescent="0.2">
      <c r="A1959">
        <f>IF(D1959="USD",VLOOKUP(VALUE(RIGHT(E1959,4)),'USD RUB'!$E:$F,2,FALSE),1)</f>
        <v>62.869106644518261</v>
      </c>
      <c r="B1959" s="4">
        <v>62.869106644518261</v>
      </c>
      <c r="C1959">
        <v>1000</v>
      </c>
      <c r="D1959" t="s">
        <v>111</v>
      </c>
      <c r="E1959" s="1" t="s">
        <v>1976</v>
      </c>
      <c r="F1959">
        <v>22646583857.275078</v>
      </c>
      <c r="G1959">
        <v>39390387291.696335</v>
      </c>
      <c r="H1959">
        <v>398815270397.13977</v>
      </c>
      <c r="I1959">
        <v>522442276.21594673</v>
      </c>
      <c r="J1959">
        <v>466645189639.65704</v>
      </c>
      <c r="K1959">
        <v>46806049896.843849</v>
      </c>
      <c r="L1959">
        <v>205498865768.59067</v>
      </c>
      <c r="N1959">
        <v>214340273974.22256</v>
      </c>
      <c r="O1959">
        <v>21712977623.603981</v>
      </c>
      <c r="P1959">
        <v>2319932904.2893682</v>
      </c>
      <c r="Q1959">
        <v>-683072843.69269097</v>
      </c>
      <c r="R1959">
        <v>-1010746627.5239201</v>
      </c>
      <c r="U1959">
        <v>-355273321.64817268</v>
      </c>
      <c r="V1959">
        <f t="shared" si="72"/>
        <v>21059860775.646194</v>
      </c>
      <c r="W1959">
        <f t="shared" si="73"/>
        <v>433910816357.30145</v>
      </c>
    </row>
    <row r="1960" spans="1:23" x14ac:dyDescent="0.2">
      <c r="A1960">
        <f>IF(D1960="USD",VLOOKUP(VALUE(RIGHT(E1960,4)),'USD RUB'!$E:$F,2,FALSE),1)</f>
        <v>58.312850165016478</v>
      </c>
      <c r="B1960" s="4">
        <v>58.312850165016478</v>
      </c>
      <c r="C1960">
        <v>1000</v>
      </c>
      <c r="D1960" t="s">
        <v>111</v>
      </c>
      <c r="E1960" s="1" t="s">
        <v>1977</v>
      </c>
      <c r="F1960">
        <v>20255085130.518803</v>
      </c>
      <c r="G1960">
        <v>38761367884.58876</v>
      </c>
      <c r="H1960">
        <v>366866200008.57544</v>
      </c>
      <c r="I1960">
        <v>504930969.57887769</v>
      </c>
      <c r="J1960">
        <v>428418329000.25854</v>
      </c>
      <c r="K1960">
        <v>42283289096.005264</v>
      </c>
      <c r="L1960">
        <v>187345250809.00851</v>
      </c>
      <c r="N1960">
        <v>198789789095.24481</v>
      </c>
      <c r="O1960">
        <v>83700224177.108871</v>
      </c>
      <c r="P1960">
        <v>9595321181.803297</v>
      </c>
      <c r="Q1960">
        <v>-5691159237.5551128</v>
      </c>
      <c r="R1960">
        <v>-6587544370.2917461</v>
      </c>
      <c r="T1960">
        <v>31774672054.91748</v>
      </c>
      <c r="U1960">
        <v>-3573644709.5128698</v>
      </c>
      <c r="V1960">
        <f t="shared" si="72"/>
        <v>93079983237.06694</v>
      </c>
      <c r="W1960">
        <f t="shared" si="73"/>
        <v>479924697656.30066</v>
      </c>
    </row>
    <row r="1961" spans="1:23" x14ac:dyDescent="0.2">
      <c r="A1961">
        <f>IF(D1961="USD",VLOOKUP(VALUE(RIGHT(E1961,4)),'USD RUB'!$E:$F,2,FALSE),1)</f>
        <v>58.312850165016478</v>
      </c>
      <c r="B1961" s="4">
        <v>58.312850165016478</v>
      </c>
      <c r="C1961">
        <v>1000</v>
      </c>
      <c r="D1961" t="s">
        <v>111</v>
      </c>
      <c r="E1961" s="1" t="s">
        <v>1978</v>
      </c>
      <c r="F1961">
        <v>20334215668.19273</v>
      </c>
      <c r="G1961">
        <v>41055162158.679848</v>
      </c>
      <c r="H1961">
        <v>366925212612.94244</v>
      </c>
      <c r="I1961">
        <v>512919830.05148494</v>
      </c>
      <c r="J1961">
        <v>428557113583.65131</v>
      </c>
      <c r="K1961">
        <v>39240816138.645531</v>
      </c>
      <c r="L1961">
        <v>184918036733.73987</v>
      </c>
      <c r="N1961">
        <v>204398260711.26593</v>
      </c>
      <c r="O1961">
        <v>61851390538.730011</v>
      </c>
      <c r="P1961">
        <v>8439968681.4838247</v>
      </c>
      <c r="Q1961">
        <v>239432562.77755767</v>
      </c>
      <c r="R1961">
        <v>-396119191.17095691</v>
      </c>
      <c r="T1961">
        <v>23809136722.376228</v>
      </c>
      <c r="U1961">
        <v>-3035475415.3399329</v>
      </c>
      <c r="V1961">
        <f t="shared" si="72"/>
        <v>69693899547.527603</v>
      </c>
      <c r="W1961">
        <f t="shared" si="73"/>
        <v>472971561681.14532</v>
      </c>
    </row>
    <row r="1962" spans="1:23" x14ac:dyDescent="0.2">
      <c r="A1962">
        <f>IF(D1962="USD",VLOOKUP(VALUE(RIGHT(E1962,4)),'USD RUB'!$E:$F,2,FALSE),1)</f>
        <v>58.312850165016478</v>
      </c>
      <c r="B1962" s="4">
        <v>58.312850165016478</v>
      </c>
      <c r="C1962">
        <v>1000</v>
      </c>
      <c r="D1962" t="s">
        <v>111</v>
      </c>
      <c r="E1962" s="1" t="s">
        <v>1979</v>
      </c>
      <c r="F1962">
        <v>15653968001.098343</v>
      </c>
      <c r="G1962">
        <v>41061926449.298996</v>
      </c>
      <c r="H1962">
        <v>371014051353.66321</v>
      </c>
      <c r="I1962">
        <v>520967003.37425721</v>
      </c>
      <c r="J1962">
        <v>431656733134.17279</v>
      </c>
      <c r="K1962">
        <v>36087548765.97226</v>
      </c>
      <c r="L1962">
        <v>190430058895.58804</v>
      </c>
      <c r="N1962">
        <v>205139125472.61246</v>
      </c>
      <c r="O1962">
        <v>41415244008.44883</v>
      </c>
      <c r="P1962">
        <v>6402809260.9689741</v>
      </c>
      <c r="Q1962">
        <v>1059077984.6970292</v>
      </c>
      <c r="R1962">
        <v>885597255.45610523</v>
      </c>
      <c r="T1962">
        <v>16496705311.683161</v>
      </c>
      <c r="U1962">
        <v>-1912311608.3115504</v>
      </c>
      <c r="V1962">
        <f t="shared" si="72"/>
        <v>45614406604.616982</v>
      </c>
      <c r="W1962">
        <f t="shared" si="73"/>
        <v>444301727643.75281</v>
      </c>
    </row>
    <row r="1963" spans="1:23" x14ac:dyDescent="0.2">
      <c r="A1963">
        <f>IF(D1963="USD",VLOOKUP(VALUE(RIGHT(E1963,4)),'USD RUB'!$E:$F,2,FALSE),1)</f>
        <v>58.312850165016478</v>
      </c>
      <c r="B1963" s="4">
        <v>58.312850165016478</v>
      </c>
      <c r="C1963">
        <v>1000</v>
      </c>
      <c r="D1963" t="s">
        <v>111</v>
      </c>
      <c r="E1963" s="1" t="s">
        <v>1980</v>
      </c>
      <c r="F1963">
        <v>27393336057.768967</v>
      </c>
      <c r="G1963">
        <v>47323327048.617805</v>
      </c>
      <c r="H1963">
        <v>366507051164.40912</v>
      </c>
      <c r="I1963">
        <v>216165735.56171608</v>
      </c>
      <c r="J1963">
        <v>433910816357.30145</v>
      </c>
      <c r="K1963">
        <v>50064205944.924072</v>
      </c>
      <c r="L1963">
        <v>170940329923.48508</v>
      </c>
      <c r="N1963">
        <v>212906280488.89233</v>
      </c>
      <c r="O1963">
        <v>21059860775.646194</v>
      </c>
      <c r="P1963">
        <v>4396555651.0415821</v>
      </c>
      <c r="Q1963">
        <v>2366452085.3966985</v>
      </c>
      <c r="R1963">
        <v>2327674040.036963</v>
      </c>
      <c r="T1963">
        <v>9400031446.6006565</v>
      </c>
      <c r="U1963">
        <v>-617008267.5960393</v>
      </c>
      <c r="V1963">
        <f t="shared" si="72"/>
        <v>22901884074.551044</v>
      </c>
      <c r="W1963">
        <f t="shared" si="73"/>
        <v>449213192122.27832</v>
      </c>
    </row>
    <row r="1964" spans="1:23" x14ac:dyDescent="0.2">
      <c r="A1964">
        <f>IF(D1964="USD",VLOOKUP(VALUE(RIGHT(E1964,4)),'USD RUB'!$E:$F,2,FALSE),1)</f>
        <v>67.054371276595688</v>
      </c>
      <c r="B1964" s="4">
        <v>67.054371276595688</v>
      </c>
      <c r="C1964">
        <v>1000</v>
      </c>
      <c r="D1964" t="s">
        <v>111</v>
      </c>
      <c r="E1964" s="1" t="s">
        <v>1981</v>
      </c>
      <c r="F1964">
        <v>31558335188.874443</v>
      </c>
      <c r="G1964">
        <v>52750265741.501022</v>
      </c>
      <c r="H1964">
        <v>414390985411.51562</v>
      </c>
      <c r="J1964">
        <v>479924697656.30066</v>
      </c>
      <c r="K1964">
        <v>56934860835.388252</v>
      </c>
      <c r="L1964">
        <v>181304693558.73816</v>
      </c>
      <c r="N1964">
        <v>241685143262.17426</v>
      </c>
      <c r="O1964">
        <v>93079983237.06694</v>
      </c>
      <c r="P1964">
        <v>23321510329.999981</v>
      </c>
      <c r="Q1964">
        <v>15655653442.545731</v>
      </c>
      <c r="R1964">
        <v>13866374599.401052</v>
      </c>
      <c r="T1964">
        <v>47373913306.914856</v>
      </c>
      <c r="V1964">
        <f t="shared" si="72"/>
        <v>75955473644.166245</v>
      </c>
      <c r="W1964">
        <f t="shared" si="73"/>
        <v>410468785267.74548</v>
      </c>
    </row>
    <row r="1965" spans="1:23" x14ac:dyDescent="0.2">
      <c r="A1965">
        <f>IF(D1965="USD",VLOOKUP(VALUE(RIGHT(E1965,4)),'USD RUB'!$E:$F,2,FALSE),1)</f>
        <v>67.054371276595688</v>
      </c>
      <c r="B1965" s="4">
        <v>67.054371276595688</v>
      </c>
      <c r="C1965">
        <v>1000</v>
      </c>
      <c r="D1965" t="s">
        <v>111</v>
      </c>
      <c r="E1965" s="1" t="s">
        <v>1982</v>
      </c>
      <c r="F1965">
        <v>21299753981.639343</v>
      </c>
      <c r="G1965">
        <v>41889066899.603157</v>
      </c>
      <c r="H1965">
        <v>411166675968.68048</v>
      </c>
      <c r="J1965">
        <v>472971561681.14532</v>
      </c>
      <c r="K1965">
        <v>37517591272.968056</v>
      </c>
      <c r="L1965">
        <v>195231953527.25833</v>
      </c>
      <c r="N1965">
        <v>240222016880.91895</v>
      </c>
      <c r="O1965">
        <v>69693899547.527603</v>
      </c>
      <c r="P1965">
        <v>21668083643.061684</v>
      </c>
      <c r="Q1965">
        <v>15466426006.803179</v>
      </c>
      <c r="R1965">
        <v>14621406819.975519</v>
      </c>
      <c r="T1965">
        <v>38824480969.148903</v>
      </c>
      <c r="V1965">
        <f t="shared" si="72"/>
        <v>57979223606.384415</v>
      </c>
      <c r="W1965">
        <f t="shared" si="73"/>
        <v>416204802085.37146</v>
      </c>
    </row>
    <row r="1966" spans="1:23" x14ac:dyDescent="0.2">
      <c r="A1966">
        <f>IF(D1966="USD",VLOOKUP(VALUE(RIGHT(E1966,4)),'USD RUB'!$E:$F,2,FALSE),1)</f>
        <v>67.054371276595688</v>
      </c>
      <c r="B1966" s="4">
        <v>67.054371276595688</v>
      </c>
      <c r="C1966">
        <v>1000</v>
      </c>
      <c r="D1966" t="s">
        <v>111</v>
      </c>
      <c r="E1966" s="1" t="s">
        <v>1983</v>
      </c>
      <c r="F1966">
        <v>26589874494.763809</v>
      </c>
      <c r="G1966">
        <v>44036349030.993584</v>
      </c>
      <c r="H1966">
        <v>383279969933.42731</v>
      </c>
      <c r="J1966">
        <v>444301727643.75281</v>
      </c>
      <c r="K1966">
        <v>32000156441.215931</v>
      </c>
      <c r="L1966">
        <v>176506685076.41263</v>
      </c>
      <c r="N1966">
        <v>235794886126.12427</v>
      </c>
      <c r="O1966">
        <v>45614406604.616982</v>
      </c>
      <c r="P1966">
        <v>15480038044.172327</v>
      </c>
      <c r="Q1966">
        <v>11394348147.918076</v>
      </c>
      <c r="R1966">
        <v>11130489196.944672</v>
      </c>
      <c r="T1966">
        <v>25869576438.510616</v>
      </c>
      <c r="V1966">
        <f t="shared" si="72"/>
        <v>37826081410.488312</v>
      </c>
      <c r="W1966">
        <f t="shared" si="73"/>
        <v>420658730423.39221</v>
      </c>
    </row>
    <row r="1967" spans="1:23" x14ac:dyDescent="0.2">
      <c r="A1967">
        <f>IF(D1967="USD",VLOOKUP(VALUE(RIGHT(E1967,4)),'USD RUB'!$E:$F,2,FALSE),1)</f>
        <v>67.054371276595688</v>
      </c>
      <c r="B1967" s="4">
        <v>67.054371276595688</v>
      </c>
      <c r="C1967">
        <v>1000</v>
      </c>
      <c r="D1967" t="s">
        <v>111</v>
      </c>
      <c r="E1967" s="1" t="s">
        <v>1984</v>
      </c>
      <c r="F1967">
        <v>29203452724.011677</v>
      </c>
      <c r="G1967">
        <v>43520365644.02018</v>
      </c>
      <c r="H1967">
        <v>356572415017.07312</v>
      </c>
      <c r="J1967">
        <v>449213192122.27832</v>
      </c>
      <c r="K1967">
        <v>31913857465.382954</v>
      </c>
      <c r="L1967">
        <v>178835550445.22006</v>
      </c>
      <c r="N1967">
        <v>238463784211.67532</v>
      </c>
      <c r="O1967">
        <v>22901884074.551044</v>
      </c>
      <c r="P1967">
        <v>8166149551.5489292</v>
      </c>
      <c r="Q1967">
        <v>6951996050.8436108</v>
      </c>
      <c r="R1967">
        <v>6913708004.8446751</v>
      </c>
      <c r="T1967">
        <v>12572694614.361692</v>
      </c>
      <c r="V1967">
        <f t="shared" si="72"/>
        <v>21990157181.579224</v>
      </c>
      <c r="W1967">
        <f t="shared" si="73"/>
        <v>413418287022.73248</v>
      </c>
    </row>
    <row r="1968" spans="1:23" x14ac:dyDescent="0.2">
      <c r="A1968">
        <f>IF(D1968="USD",VLOOKUP(VALUE(RIGHT(E1968,4)),'USD RUB'!$E:$F,2,FALSE),1)</f>
        <v>61.250166233766237</v>
      </c>
      <c r="B1968" s="4">
        <v>61.250166233766237</v>
      </c>
      <c r="C1968">
        <v>1000</v>
      </c>
      <c r="D1968" t="s">
        <v>111</v>
      </c>
      <c r="E1968" s="1" t="s">
        <v>1985</v>
      </c>
      <c r="F1968">
        <v>21892463166.436363</v>
      </c>
      <c r="G1968">
        <v>37473647953.979225</v>
      </c>
      <c r="H1968">
        <v>330049093257.63116</v>
      </c>
      <c r="J1968">
        <v>410468785267.74548</v>
      </c>
      <c r="K1968">
        <v>32027283172.472729</v>
      </c>
      <c r="L1968">
        <v>165230837188.69092</v>
      </c>
      <c r="N1968">
        <v>213210664906.58182</v>
      </c>
      <c r="O1968">
        <v>75955473644.166245</v>
      </c>
      <c r="P1968">
        <v>28095328751.096104</v>
      </c>
      <c r="Q1968">
        <v>22771341801.724678</v>
      </c>
      <c r="R1968">
        <v>21711468925.215584</v>
      </c>
      <c r="T1968">
        <v>47781254678.961044</v>
      </c>
      <c r="V1968">
        <f t="shared" si="72"/>
        <v>53776405144.530029</v>
      </c>
      <c r="W1968">
        <f t="shared" si="73"/>
        <v>249574373472.15356</v>
      </c>
    </row>
    <row r="1969" spans="1:23" x14ac:dyDescent="0.2">
      <c r="A1969">
        <f>IF(D1969="USD",VLOOKUP(VALUE(RIGHT(E1969,4)),'USD RUB'!$E:$F,2,FALSE),1)</f>
        <v>61.250166233766237</v>
      </c>
      <c r="B1969" s="4">
        <v>61.250166233766237</v>
      </c>
      <c r="C1969">
        <v>1000</v>
      </c>
      <c r="D1969" t="s">
        <v>111</v>
      </c>
      <c r="E1969" s="1" t="s">
        <v>1986</v>
      </c>
      <c r="F1969">
        <v>25539665564.99221</v>
      </c>
      <c r="G1969">
        <v>41494353866.228577</v>
      </c>
      <c r="H1969">
        <v>359018645631.38184</v>
      </c>
      <c r="J1969">
        <v>416204802085.37146</v>
      </c>
      <c r="K1969">
        <v>29284316978.025974</v>
      </c>
      <c r="L1969">
        <v>177594734494.47275</v>
      </c>
      <c r="N1969">
        <v>209325750612.87274</v>
      </c>
      <c r="O1969">
        <v>57979223606.384415</v>
      </c>
      <c r="P1969">
        <v>23263793138.244156</v>
      </c>
      <c r="Q1969">
        <v>19373427579.740261</v>
      </c>
      <c r="R1969">
        <v>18244832016.716885</v>
      </c>
      <c r="T1969">
        <v>35335220900.259743</v>
      </c>
      <c r="V1969">
        <f t="shared" si="72"/>
        <v>41057163530.903038</v>
      </c>
      <c r="W1969">
        <f t="shared" si="73"/>
        <v>257355708430.88779</v>
      </c>
    </row>
    <row r="1970" spans="1:23" x14ac:dyDescent="0.2">
      <c r="A1970">
        <f>IF(D1970="USD",VLOOKUP(VALUE(RIGHT(E1970,4)),'USD RUB'!$E:$F,2,FALSE),1)</f>
        <v>61.250166233766237</v>
      </c>
      <c r="B1970" s="4">
        <v>61.250166233766237</v>
      </c>
      <c r="C1970">
        <v>1000</v>
      </c>
      <c r="D1970" t="s">
        <v>111</v>
      </c>
      <c r="E1970" s="1" t="s">
        <v>1987</v>
      </c>
      <c r="F1970">
        <v>20405064129.615585</v>
      </c>
      <c r="G1970">
        <v>40887609719.516884</v>
      </c>
      <c r="H1970">
        <v>363400298773.24677</v>
      </c>
      <c r="J1970">
        <v>420658730423.39221</v>
      </c>
      <c r="K1970">
        <v>36730683437.563637</v>
      </c>
      <c r="L1970">
        <v>177913357859.22079</v>
      </c>
      <c r="N1970">
        <v>206014689126.60779</v>
      </c>
      <c r="O1970">
        <v>37826081410.488312</v>
      </c>
      <c r="P1970">
        <v>14941181800.566235</v>
      </c>
      <c r="Q1970">
        <v>13526364210.732468</v>
      </c>
      <c r="R1970">
        <v>13248778457.36104</v>
      </c>
      <c r="T1970">
        <v>22540061174.025974</v>
      </c>
      <c r="V1970">
        <f t="shared" si="72"/>
        <v>26170261829.817108</v>
      </c>
      <c r="W1970">
        <f t="shared" si="73"/>
        <v>247881541918.05966</v>
      </c>
    </row>
    <row r="1971" spans="1:23" x14ac:dyDescent="0.2">
      <c r="A1971">
        <f>IF(D1971="USD",VLOOKUP(VALUE(RIGHT(E1971,4)),'USD RUB'!$E:$F,2,FALSE),1)</f>
        <v>61.250166233766237</v>
      </c>
      <c r="B1971" s="4">
        <v>61.250166233766237</v>
      </c>
      <c r="C1971">
        <v>1000</v>
      </c>
      <c r="D1971" t="s">
        <v>111</v>
      </c>
      <c r="E1971" s="1" t="s">
        <v>1988</v>
      </c>
      <c r="F1971">
        <v>20981918195.205196</v>
      </c>
      <c r="G1971">
        <v>40505653682.883118</v>
      </c>
      <c r="H1971">
        <v>331986436015.60522</v>
      </c>
      <c r="J1971">
        <v>413418287022.73248</v>
      </c>
      <c r="K1971">
        <v>42763947311.922081</v>
      </c>
      <c r="L1971">
        <v>171993284292.06235</v>
      </c>
      <c r="N1971">
        <v>198661055418.74805</v>
      </c>
      <c r="O1971">
        <v>21990157181.579224</v>
      </c>
      <c r="P1971">
        <v>6697521927.1636372</v>
      </c>
      <c r="Q1971">
        <v>6066093963.4597406</v>
      </c>
      <c r="R1971">
        <v>5938326116.696104</v>
      </c>
      <c r="V1971">
        <f t="shared" si="72"/>
        <v>14150549239.997335</v>
      </c>
      <c r="W1971">
        <f t="shared" si="73"/>
        <v>254370723081.83417</v>
      </c>
    </row>
    <row r="1972" spans="1:23" x14ac:dyDescent="0.2">
      <c r="A1972">
        <f>IF(D1972="USD",VLOOKUP(VALUE(RIGHT(E1972,4)),'USD RUB'!$E:$F,2,FALSE),1)</f>
        <v>38.761512927756648</v>
      </c>
      <c r="B1972" s="4">
        <v>38.761512927756648</v>
      </c>
      <c r="C1972">
        <v>1000</v>
      </c>
      <c r="D1972" t="s">
        <v>111</v>
      </c>
      <c r="E1972" s="1" t="s">
        <v>1989</v>
      </c>
      <c r="F1972">
        <v>11028270612.15361</v>
      </c>
      <c r="G1972">
        <v>23030114144.513683</v>
      </c>
      <c r="H1972">
        <v>204621367799.90756</v>
      </c>
      <c r="J1972">
        <v>249574373472.15356</v>
      </c>
      <c r="K1972">
        <v>24066519477.176041</v>
      </c>
      <c r="L1972">
        <v>103119113394.33154</v>
      </c>
      <c r="N1972">
        <v>122388740600.646</v>
      </c>
      <c r="O1972">
        <v>53776405144.530029</v>
      </c>
      <c r="P1972">
        <v>9621150169.8501892</v>
      </c>
      <c r="Q1972">
        <v>3526483684.6543722</v>
      </c>
      <c r="R1972">
        <v>3251858365.5612164</v>
      </c>
      <c r="T1972">
        <v>20861446257.718628</v>
      </c>
      <c r="V1972">
        <f t="shared" si="72"/>
        <v>40238369024</v>
      </c>
      <c r="W1972">
        <f t="shared" si="73"/>
        <v>204185563511.99997</v>
      </c>
    </row>
    <row r="1973" spans="1:23" x14ac:dyDescent="0.2">
      <c r="A1973">
        <f>IF(D1973="USD",VLOOKUP(VALUE(RIGHT(E1973,4)),'USD RUB'!$E:$F,2,FALSE),1)</f>
        <v>38.761512927756648</v>
      </c>
      <c r="B1973" s="4">
        <v>38.761512927756648</v>
      </c>
      <c r="C1973">
        <v>1000</v>
      </c>
      <c r="D1973" t="s">
        <v>111</v>
      </c>
      <c r="E1973" s="1" t="s">
        <v>1990</v>
      </c>
      <c r="F1973">
        <v>11958701968.471481</v>
      </c>
      <c r="G1973">
        <v>24018532724.171478</v>
      </c>
      <c r="H1973">
        <v>210891430131.1015</v>
      </c>
      <c r="J1973">
        <v>257355708430.88779</v>
      </c>
      <c r="K1973">
        <v>26823780937.779083</v>
      </c>
      <c r="L1973">
        <v>106224104387.40948</v>
      </c>
      <c r="N1973">
        <v>124307823105.69922</v>
      </c>
      <c r="O1973">
        <v>41057163530.903038</v>
      </c>
      <c r="P1973">
        <v>8438226318.3209114</v>
      </c>
      <c r="Q1973">
        <v>4512460288.9977179</v>
      </c>
      <c r="R1973">
        <v>4227059269.3106456</v>
      </c>
      <c r="V1973">
        <f t="shared" si="72"/>
        <v>30601771367.999996</v>
      </c>
      <c r="W1973">
        <f t="shared" si="73"/>
        <v>207211560135.99997</v>
      </c>
    </row>
    <row r="1974" spans="1:23" x14ac:dyDescent="0.2">
      <c r="A1974">
        <f>IF(D1974="USD",VLOOKUP(VALUE(RIGHT(E1974,4)),'USD RUB'!$E:$F,2,FALSE),1)</f>
        <v>38.761512927756648</v>
      </c>
      <c r="B1974" s="4">
        <v>38.761512927756648</v>
      </c>
      <c r="C1974">
        <v>1000</v>
      </c>
      <c r="D1974" t="s">
        <v>111</v>
      </c>
      <c r="E1974" s="1" t="s">
        <v>1991</v>
      </c>
      <c r="F1974">
        <v>11672913333.65513</v>
      </c>
      <c r="G1974">
        <v>21774086079.602657</v>
      </c>
      <c r="H1974">
        <v>212227655766.26004</v>
      </c>
      <c r="J1974">
        <v>247881541918.05966</v>
      </c>
      <c r="K1974">
        <v>23320747968.446003</v>
      </c>
      <c r="L1974">
        <v>102131625090.98401</v>
      </c>
      <c r="N1974">
        <v>122429168858.62964</v>
      </c>
      <c r="O1974">
        <v>26170261829.817108</v>
      </c>
      <c r="P1974">
        <v>4978916335.5703411</v>
      </c>
      <c r="Q1974">
        <v>2638845038.6087446</v>
      </c>
      <c r="R1974">
        <v>2465270983.7182508</v>
      </c>
      <c r="T1974">
        <v>9756272803.9163475</v>
      </c>
      <c r="V1974">
        <f t="shared" si="72"/>
        <v>14271000000</v>
      </c>
      <c r="W1974">
        <f t="shared" si="73"/>
        <v>211700000000</v>
      </c>
    </row>
    <row r="1975" spans="1:23" x14ac:dyDescent="0.2">
      <c r="A1975">
        <f>IF(D1975="USD",VLOOKUP(VALUE(RIGHT(E1975,4)),'USD RUB'!$E:$F,2,FALSE),1)</f>
        <v>38.761512927756648</v>
      </c>
      <c r="B1975" s="4">
        <v>38.761512927756648</v>
      </c>
      <c r="C1975">
        <v>1000</v>
      </c>
      <c r="D1975" t="s">
        <v>111</v>
      </c>
      <c r="E1975" s="1" t="s">
        <v>1992</v>
      </c>
      <c r="F1975">
        <v>15013186710.204561</v>
      </c>
      <c r="G1975">
        <v>26617685973.542202</v>
      </c>
      <c r="H1975">
        <v>213745982989.1532</v>
      </c>
      <c r="J1975">
        <v>254370723081.83417</v>
      </c>
      <c r="K1975">
        <v>25620274722.885166</v>
      </c>
      <c r="L1975">
        <v>106062778970.60417</v>
      </c>
      <c r="N1975">
        <v>122687669388.34485</v>
      </c>
      <c r="O1975">
        <v>14150549239.997335</v>
      </c>
      <c r="P1975">
        <v>3508149489.0395432</v>
      </c>
      <c r="Q1975">
        <v>2297007256.0988588</v>
      </c>
      <c r="R1975">
        <v>2253826930.6973381</v>
      </c>
      <c r="V1975" t="str">
        <f t="shared" si="72"/>
        <v/>
      </c>
      <c r="W1975" t="str">
        <f t="shared" si="73"/>
        <v/>
      </c>
    </row>
    <row r="1976" spans="1:23" x14ac:dyDescent="0.2">
      <c r="A1976">
        <f>IF(D1976="USD",VLOOKUP(VALUE(RIGHT(E1976,4)),'USD RUB'!$E:$F,2,FALSE),1)</f>
        <v>31.863999999999997</v>
      </c>
      <c r="B1976" s="4">
        <v>31.863999999999997</v>
      </c>
      <c r="C1976">
        <v>1000</v>
      </c>
      <c r="D1976" t="s">
        <v>111</v>
      </c>
      <c r="E1976" s="1" t="s">
        <v>1993</v>
      </c>
      <c r="F1976">
        <v>8970990560</v>
      </c>
      <c r="G1976">
        <v>18833376520</v>
      </c>
      <c r="H1976">
        <v>173722336816</v>
      </c>
      <c r="J1976">
        <v>204185563511.99997</v>
      </c>
      <c r="K1976">
        <v>20667595816</v>
      </c>
      <c r="L1976">
        <v>84380396688</v>
      </c>
      <c r="N1976">
        <v>99137571007.999985</v>
      </c>
      <c r="O1976">
        <v>40238369024</v>
      </c>
      <c r="P1976">
        <v>2601313232</v>
      </c>
      <c r="Q1976">
        <v>-876674231.99999988</v>
      </c>
      <c r="R1976">
        <v>-1249897264</v>
      </c>
      <c r="V1976" t="str">
        <f t="shared" si="72"/>
        <v/>
      </c>
      <c r="W1976" t="str">
        <f t="shared" si="73"/>
        <v/>
      </c>
    </row>
    <row r="1977" spans="1:23" x14ac:dyDescent="0.2">
      <c r="A1977">
        <f>IF(D1977="USD",VLOOKUP(VALUE(RIGHT(E1977,4)),'USD RUB'!$E:$F,2,FALSE),1)</f>
        <v>31.863999999999997</v>
      </c>
      <c r="B1977" s="4">
        <v>31.863999999999997</v>
      </c>
      <c r="C1977">
        <v>1000</v>
      </c>
      <c r="D1977" t="s">
        <v>111</v>
      </c>
      <c r="E1977" s="1" t="s">
        <v>1994</v>
      </c>
      <c r="F1977">
        <v>9068621856</v>
      </c>
      <c r="G1977">
        <v>20197952320</v>
      </c>
      <c r="H1977">
        <v>165063932096</v>
      </c>
      <c r="J1977">
        <v>207211560135.99997</v>
      </c>
      <c r="K1977">
        <v>17818093888</v>
      </c>
      <c r="L1977">
        <v>89484818303.999985</v>
      </c>
      <c r="N1977">
        <v>99908647943.999985</v>
      </c>
      <c r="O1977">
        <v>30601771367.999996</v>
      </c>
      <c r="P1977">
        <v>2449194496</v>
      </c>
      <c r="Q1977">
        <v>-193478207.99999997</v>
      </c>
      <c r="R1977">
        <v>-274986320</v>
      </c>
      <c r="V1977" t="str">
        <f t="shared" si="72"/>
        <v/>
      </c>
      <c r="W1977" t="str">
        <f t="shared" si="73"/>
        <v/>
      </c>
    </row>
    <row r="1978" spans="1:23" x14ac:dyDescent="0.2">
      <c r="A1978">
        <f>IF(D1978="USD",VLOOKUP(VALUE(RIGHT(E1978,4)),'USD RUB'!$E:$F,2,FALSE),1)</f>
        <v>1</v>
      </c>
      <c r="B1978" s="4">
        <v>1</v>
      </c>
      <c r="C1978">
        <v>1000000</v>
      </c>
      <c r="D1978" t="s">
        <v>20</v>
      </c>
      <c r="E1978" s="1" t="s">
        <v>1995</v>
      </c>
      <c r="F1978">
        <v>10932000000</v>
      </c>
      <c r="G1978">
        <v>22069000000</v>
      </c>
      <c r="H1978">
        <v>165953000000</v>
      </c>
      <c r="J1978">
        <v>211700000000</v>
      </c>
      <c r="K1978">
        <v>18432000000</v>
      </c>
      <c r="L1978">
        <v>91030000000</v>
      </c>
      <c r="N1978">
        <v>102238000000</v>
      </c>
      <c r="O1978">
        <v>14271000000</v>
      </c>
      <c r="P1978">
        <v>3261000000</v>
      </c>
      <c r="Q1978">
        <v>1765000000</v>
      </c>
      <c r="R1978">
        <v>1561000000</v>
      </c>
      <c r="V1978" t="str">
        <f t="shared" si="72"/>
        <v/>
      </c>
      <c r="W1978" t="str">
        <f t="shared" si="73"/>
        <v/>
      </c>
    </row>
    <row r="1979" spans="1:23" x14ac:dyDescent="0.2">
      <c r="A1979">
        <f>IF(D1979="USD",VLOOKUP(VALUE(RIGHT(E1979,4)),'USD RUB'!$E:$F,2,FALSE),1)</f>
        <v>1</v>
      </c>
      <c r="B1979" s="4">
        <v>1</v>
      </c>
      <c r="C1979">
        <v>1000</v>
      </c>
      <c r="D1979" t="s">
        <v>20</v>
      </c>
      <c r="E1979" s="1" t="s">
        <v>1996</v>
      </c>
      <c r="F1979">
        <v>5321545000</v>
      </c>
      <c r="G1979">
        <v>6528507000</v>
      </c>
      <c r="H1979">
        <v>11114723000</v>
      </c>
      <c r="I1979">
        <v>13971000</v>
      </c>
      <c r="J1979">
        <v>18028102000</v>
      </c>
      <c r="K1979">
        <v>1228483000</v>
      </c>
      <c r="L1979">
        <v>538815000</v>
      </c>
      <c r="M1979">
        <v>16193213000</v>
      </c>
      <c r="N1979">
        <v>16260804000</v>
      </c>
      <c r="O1979">
        <v>2134147000</v>
      </c>
      <c r="P1979">
        <v>630679000</v>
      </c>
      <c r="Q1979">
        <v>1237434000</v>
      </c>
      <c r="R1979">
        <v>931139000</v>
      </c>
      <c r="S1979">
        <v>297485000</v>
      </c>
      <c r="T1979">
        <v>928164000</v>
      </c>
      <c r="U1979">
        <v>-273874000</v>
      </c>
      <c r="V1979">
        <f t="shared" si="72"/>
        <v>5428298000</v>
      </c>
      <c r="W1979">
        <f t="shared" si="73"/>
        <v>17402086000</v>
      </c>
    </row>
    <row r="1980" spans="1:23" x14ac:dyDescent="0.2">
      <c r="A1980">
        <f>IF(D1980="USD",VLOOKUP(VALUE(RIGHT(E1980,4)),'USD RUB'!$E:$F,2,FALSE),1)</f>
        <v>1</v>
      </c>
      <c r="B1980" s="4">
        <v>1</v>
      </c>
      <c r="C1980">
        <v>1000</v>
      </c>
      <c r="D1980" t="s">
        <v>20</v>
      </c>
      <c r="E1980" s="1" t="s">
        <v>1997</v>
      </c>
      <c r="F1980">
        <v>6322248000</v>
      </c>
      <c r="G1980">
        <v>6870312000</v>
      </c>
      <c r="H1980">
        <v>11143941000</v>
      </c>
      <c r="I1980">
        <v>15133000</v>
      </c>
      <c r="J1980">
        <v>18378104000</v>
      </c>
      <c r="K1980">
        <v>2023275000</v>
      </c>
      <c r="L1980">
        <v>478633000</v>
      </c>
      <c r="M1980">
        <v>15808611000</v>
      </c>
      <c r="N1980">
        <v>15876196000</v>
      </c>
      <c r="O1980">
        <v>11159907000</v>
      </c>
      <c r="P1980">
        <v>7240752000</v>
      </c>
      <c r="Q1980">
        <v>8142132000</v>
      </c>
      <c r="R1980">
        <v>6408602000</v>
      </c>
      <c r="S1980">
        <v>601340000</v>
      </c>
      <c r="T1980">
        <v>7837301000</v>
      </c>
      <c r="U1980">
        <v>-639642000</v>
      </c>
      <c r="V1980">
        <f t="shared" si="72"/>
        <v>9243468000</v>
      </c>
      <c r="W1980">
        <f t="shared" si="73"/>
        <v>16897603000</v>
      </c>
    </row>
    <row r="1981" spans="1:23" x14ac:dyDescent="0.2">
      <c r="A1981">
        <f>IF(D1981="USD",VLOOKUP(VALUE(RIGHT(E1981,4)),'USD RUB'!$E:$F,2,FALSE),1)</f>
        <v>1</v>
      </c>
      <c r="B1981" s="4">
        <v>1</v>
      </c>
      <c r="C1981">
        <v>1000</v>
      </c>
      <c r="D1981" t="s">
        <v>20</v>
      </c>
      <c r="E1981" s="1" t="s">
        <v>1998</v>
      </c>
      <c r="F1981">
        <v>5064998000</v>
      </c>
      <c r="G1981">
        <v>5693352000</v>
      </c>
      <c r="H1981">
        <v>11305209000</v>
      </c>
      <c r="I1981">
        <v>15419000</v>
      </c>
      <c r="J1981">
        <v>17402086000</v>
      </c>
      <c r="K1981">
        <v>1025150000</v>
      </c>
      <c r="L1981">
        <v>570066000</v>
      </c>
      <c r="M1981">
        <v>15739273000</v>
      </c>
      <c r="N1981">
        <v>15806870000</v>
      </c>
      <c r="O1981">
        <v>5428298000</v>
      </c>
      <c r="P1981">
        <v>3674184000</v>
      </c>
      <c r="Q1981">
        <v>3979117000</v>
      </c>
      <c r="R1981">
        <v>3186095000</v>
      </c>
      <c r="S1981">
        <v>273208000</v>
      </c>
      <c r="T1981">
        <v>3947392000</v>
      </c>
      <c r="U1981">
        <v>-460770000</v>
      </c>
      <c r="V1981">
        <f t="shared" si="72"/>
        <v>4475595000</v>
      </c>
      <c r="W1981">
        <f t="shared" si="73"/>
        <v>15134455000</v>
      </c>
    </row>
    <row r="1982" spans="1:23" x14ac:dyDescent="0.2">
      <c r="A1982">
        <f>IF(D1982="USD",VLOOKUP(VALUE(RIGHT(E1982,4)),'USD RUB'!$E:$F,2,FALSE),1)</f>
        <v>1</v>
      </c>
      <c r="B1982" s="4">
        <v>1</v>
      </c>
      <c r="C1982">
        <v>1000</v>
      </c>
      <c r="D1982" t="s">
        <v>20</v>
      </c>
      <c r="E1982" s="1" t="s">
        <v>1999</v>
      </c>
      <c r="F1982">
        <v>4594061000</v>
      </c>
      <c r="G1982">
        <v>5407775000</v>
      </c>
      <c r="H1982">
        <v>11409289000</v>
      </c>
      <c r="I1982">
        <v>24607000</v>
      </c>
      <c r="J1982">
        <v>16897603000</v>
      </c>
      <c r="K1982">
        <v>2819357000</v>
      </c>
      <c r="L1982">
        <v>993993000</v>
      </c>
      <c r="M1982">
        <v>13016656000</v>
      </c>
      <c r="N1982">
        <v>13084253000</v>
      </c>
      <c r="O1982">
        <v>9243468000</v>
      </c>
      <c r="P1982">
        <v>5834250000</v>
      </c>
      <c r="Q1982">
        <v>6142120000</v>
      </c>
      <c r="R1982">
        <v>4887368000</v>
      </c>
      <c r="S1982">
        <v>328251000</v>
      </c>
      <c r="T1982">
        <v>6162501000</v>
      </c>
      <c r="U1982">
        <v>-1288241000</v>
      </c>
      <c r="V1982">
        <f t="shared" si="72"/>
        <v>4962954000</v>
      </c>
      <c r="W1982">
        <f t="shared" si="73"/>
        <v>12535195000</v>
      </c>
    </row>
    <row r="1983" spans="1:23" x14ac:dyDescent="0.2">
      <c r="A1983">
        <f>IF(D1983="USD",VLOOKUP(VALUE(RIGHT(E1983,4)),'USD RUB'!$E:$F,2,FALSE),1)</f>
        <v>1</v>
      </c>
      <c r="B1983" s="4">
        <v>1</v>
      </c>
      <c r="C1983">
        <v>1000</v>
      </c>
      <c r="D1983" t="s">
        <v>20</v>
      </c>
      <c r="E1983" s="1" t="s">
        <v>2000</v>
      </c>
      <c r="F1983">
        <v>3379041000</v>
      </c>
      <c r="G1983">
        <v>4166656000</v>
      </c>
      <c r="H1983">
        <v>10751741000</v>
      </c>
      <c r="I1983">
        <v>20641000</v>
      </c>
      <c r="J1983">
        <v>15134455000</v>
      </c>
      <c r="K1983">
        <v>1481642000</v>
      </c>
      <c r="L1983">
        <v>1009730000</v>
      </c>
      <c r="M1983">
        <v>12575486000</v>
      </c>
      <c r="N1983">
        <v>12643083000</v>
      </c>
      <c r="O1983">
        <v>4475595000</v>
      </c>
      <c r="P1983">
        <v>2990260000</v>
      </c>
      <c r="Q1983">
        <v>3063604000</v>
      </c>
      <c r="R1983">
        <v>2452299000</v>
      </c>
      <c r="S1983">
        <v>158043000</v>
      </c>
      <c r="T1983">
        <v>3148303000</v>
      </c>
      <c r="U1983">
        <v>-610410000</v>
      </c>
      <c r="V1983">
        <f t="shared" si="72"/>
        <v>1696277000</v>
      </c>
      <c r="W1983">
        <f t="shared" si="73"/>
        <v>11067297000</v>
      </c>
    </row>
    <row r="1984" spans="1:23" x14ac:dyDescent="0.2">
      <c r="A1984">
        <f>IF(D1984="USD",VLOOKUP(VALUE(RIGHT(E1984,4)),'USD RUB'!$E:$F,2,FALSE),1)</f>
        <v>1</v>
      </c>
      <c r="B1984" s="4">
        <v>1</v>
      </c>
      <c r="C1984">
        <v>1000</v>
      </c>
      <c r="D1984" t="s">
        <v>20</v>
      </c>
      <c r="E1984" s="1" t="s">
        <v>2001</v>
      </c>
      <c r="F1984">
        <v>1359013000</v>
      </c>
      <c r="G1984">
        <v>2012586000</v>
      </c>
      <c r="H1984">
        <v>10485495000</v>
      </c>
      <c r="I1984">
        <v>10656000</v>
      </c>
      <c r="J1984">
        <v>12535195000</v>
      </c>
      <c r="K1984">
        <v>963267000</v>
      </c>
      <c r="L1984">
        <v>391802000</v>
      </c>
      <c r="M1984">
        <v>11112529000</v>
      </c>
      <c r="N1984">
        <v>11180126000</v>
      </c>
      <c r="O1984">
        <v>4962954000</v>
      </c>
      <c r="P1984">
        <v>2453652000</v>
      </c>
      <c r="Q1984">
        <v>2456920000</v>
      </c>
      <c r="R1984">
        <v>1958112000</v>
      </c>
      <c r="S1984">
        <v>300127000</v>
      </c>
      <c r="T1984">
        <v>2753779000</v>
      </c>
      <c r="U1984">
        <v>-1131395000</v>
      </c>
      <c r="V1984">
        <f t="shared" si="72"/>
        <v>6375915000</v>
      </c>
      <c r="W1984">
        <f t="shared" si="73"/>
        <v>11346417000</v>
      </c>
    </row>
    <row r="1985" spans="1:23" x14ac:dyDescent="0.2">
      <c r="A1985">
        <f>IF(D1985="USD",VLOOKUP(VALUE(RIGHT(E1985,4)),'USD RUB'!$E:$F,2,FALSE),1)</f>
        <v>1</v>
      </c>
      <c r="B1985" s="4">
        <v>1</v>
      </c>
      <c r="C1985">
        <v>1000</v>
      </c>
      <c r="D1985" t="s">
        <v>20</v>
      </c>
      <c r="E1985" s="1" t="s">
        <v>2002</v>
      </c>
      <c r="F1985">
        <v>427807000</v>
      </c>
      <c r="G1985">
        <v>866479000</v>
      </c>
      <c r="H1985">
        <v>10073153000</v>
      </c>
      <c r="J1985">
        <v>11067297000</v>
      </c>
      <c r="K1985">
        <v>952096000</v>
      </c>
      <c r="L1985">
        <v>400123000</v>
      </c>
      <c r="M1985">
        <v>9647481000</v>
      </c>
      <c r="N1985">
        <v>9715078000</v>
      </c>
      <c r="O1985">
        <v>1696277000</v>
      </c>
      <c r="P1985">
        <v>630212000</v>
      </c>
      <c r="Q1985">
        <v>630150000</v>
      </c>
      <c r="R1985">
        <v>501350000</v>
      </c>
      <c r="S1985">
        <v>149125000</v>
      </c>
      <c r="T1985">
        <v>779337000</v>
      </c>
      <c r="U1985">
        <v>-540054000</v>
      </c>
      <c r="V1985">
        <f t="shared" si="72"/>
        <v>3569242000</v>
      </c>
      <c r="W1985">
        <f t="shared" si="73"/>
        <v>12254989000</v>
      </c>
    </row>
    <row r="1986" spans="1:23" x14ac:dyDescent="0.2">
      <c r="A1986">
        <f>IF(D1986="USD",VLOOKUP(VALUE(RIGHT(E1986,4)),'USD RUB'!$E:$F,2,FALSE),1)</f>
        <v>1</v>
      </c>
      <c r="B1986" s="4">
        <v>1</v>
      </c>
      <c r="C1986">
        <v>1000</v>
      </c>
      <c r="D1986" t="s">
        <v>20</v>
      </c>
      <c r="E1986" s="1" t="s">
        <v>2003</v>
      </c>
      <c r="F1986">
        <v>902392000</v>
      </c>
      <c r="G1986">
        <v>1455264000</v>
      </c>
      <c r="H1986">
        <v>9851191000</v>
      </c>
      <c r="J1986">
        <v>11346417000</v>
      </c>
      <c r="K1986">
        <v>1403502000</v>
      </c>
      <c r="L1986">
        <v>730409000</v>
      </c>
      <c r="M1986">
        <v>9144909000</v>
      </c>
      <c r="N1986">
        <v>9212506000</v>
      </c>
      <c r="O1986">
        <v>6375915000</v>
      </c>
      <c r="P1986">
        <v>3018445000</v>
      </c>
      <c r="Q1986">
        <v>2994662000</v>
      </c>
      <c r="R1986">
        <v>2382714000</v>
      </c>
      <c r="S1986">
        <v>304882000</v>
      </c>
      <c r="T1986">
        <v>3323327000</v>
      </c>
      <c r="U1986">
        <v>-759659000</v>
      </c>
      <c r="V1986">
        <f t="shared" si="72"/>
        <v>7651783000</v>
      </c>
      <c r="W1986">
        <f t="shared" si="73"/>
        <v>12694049000</v>
      </c>
    </row>
    <row r="1987" spans="1:23" x14ac:dyDescent="0.2">
      <c r="A1987">
        <f>IF(D1987="USD",VLOOKUP(VALUE(RIGHT(E1987,4)),'USD RUB'!$E:$F,2,FALSE),1)</f>
        <v>1</v>
      </c>
      <c r="B1987" s="4">
        <v>1</v>
      </c>
      <c r="C1987">
        <v>1000</v>
      </c>
      <c r="D1987" t="s">
        <v>20</v>
      </c>
      <c r="E1987" s="1" t="s">
        <v>2004</v>
      </c>
      <c r="F1987">
        <v>2116478000</v>
      </c>
      <c r="G1987">
        <v>2670518000</v>
      </c>
      <c r="H1987">
        <v>9506555000</v>
      </c>
      <c r="J1987">
        <v>12254989000</v>
      </c>
      <c r="K1987">
        <v>2341872000</v>
      </c>
      <c r="L1987">
        <v>1181627000</v>
      </c>
      <c r="M1987">
        <v>8663893000</v>
      </c>
      <c r="N1987">
        <v>8731490000</v>
      </c>
      <c r="O1987">
        <v>3569242000</v>
      </c>
      <c r="P1987">
        <v>1611466000</v>
      </c>
      <c r="Q1987">
        <v>1595263000</v>
      </c>
      <c r="R1987">
        <v>1271446000</v>
      </c>
      <c r="S1987">
        <v>152700000</v>
      </c>
      <c r="T1987">
        <v>1764166000</v>
      </c>
      <c r="U1987">
        <v>-362557000</v>
      </c>
      <c r="V1987">
        <f t="shared" si="72"/>
        <v>3561160000</v>
      </c>
      <c r="W1987">
        <f t="shared" si="73"/>
        <v>11626933000</v>
      </c>
    </row>
    <row r="1988" spans="1:23" s="20" customFormat="1" x14ac:dyDescent="0.2">
      <c r="A1988" s="20">
        <f>IF(D1988="USD",VLOOKUP(VALUE(RIGHT(E1988,4)),'USD RUB'!$E:$F,2,FALSE),1)</f>
        <v>1</v>
      </c>
      <c r="B1988" s="21">
        <v>1</v>
      </c>
      <c r="C1988" s="20">
        <v>1000</v>
      </c>
      <c r="D1988" s="20" t="s">
        <v>20</v>
      </c>
      <c r="E1988" s="22" t="s">
        <v>2005</v>
      </c>
      <c r="F1988" s="20">
        <v>3017011000</v>
      </c>
      <c r="G1988" s="20">
        <v>3437248000</v>
      </c>
      <c r="H1988" s="20">
        <v>9170414000</v>
      </c>
      <c r="J1988" s="20">
        <v>12694049000</v>
      </c>
      <c r="K1988" s="20">
        <v>3210100000</v>
      </c>
      <c r="L1988" s="20">
        <v>1601786000</v>
      </c>
      <c r="M1988" s="20">
        <v>7814566000</v>
      </c>
      <c r="N1988" s="20">
        <v>7882163000</v>
      </c>
      <c r="O1988" s="20">
        <v>7651783000</v>
      </c>
      <c r="P1988" s="20">
        <v>3120705000</v>
      </c>
      <c r="Q1988" s="20">
        <v>2913852000</v>
      </c>
      <c r="R1988" s="20">
        <v>2309579000</v>
      </c>
      <c r="S1988" s="20">
        <v>282310000</v>
      </c>
      <c r="T1988" s="20">
        <v>3403015000</v>
      </c>
      <c r="U1988" s="20">
        <v>-766259000</v>
      </c>
      <c r="V1988" s="20">
        <f t="shared" si="72"/>
        <v>18543942000</v>
      </c>
      <c r="W1988" s="20">
        <f t="shared" si="73"/>
        <v>14540534000</v>
      </c>
    </row>
    <row r="1989" spans="1:23" x14ac:dyDescent="0.2">
      <c r="A1989">
        <f>IF(D1989="USD",VLOOKUP(VALUE(RIGHT(E1989,4)),'USD RUB'!$E:$F,2,FALSE),1)</f>
        <v>1</v>
      </c>
      <c r="B1989" s="4">
        <v>1</v>
      </c>
      <c r="C1989">
        <v>1000</v>
      </c>
      <c r="D1989" t="s">
        <v>20</v>
      </c>
      <c r="E1989" s="1" t="s">
        <v>2006</v>
      </c>
      <c r="F1989">
        <v>2195938000</v>
      </c>
      <c r="G1989">
        <v>2846633000</v>
      </c>
      <c r="H1989">
        <v>8751595000</v>
      </c>
      <c r="J1989">
        <v>11626933000</v>
      </c>
      <c r="K1989">
        <v>2780667000</v>
      </c>
      <c r="L1989">
        <v>1991297000</v>
      </c>
      <c r="M1989">
        <v>6787372000</v>
      </c>
      <c r="N1989">
        <v>6854969000</v>
      </c>
      <c r="O1989">
        <v>3561160000</v>
      </c>
      <c r="P1989">
        <v>797586000</v>
      </c>
      <c r="Q1989">
        <v>606185000</v>
      </c>
      <c r="R1989">
        <v>477981000</v>
      </c>
      <c r="S1989">
        <v>131660000</v>
      </c>
      <c r="T1989">
        <v>929246000</v>
      </c>
      <c r="U1989">
        <v>-212229000</v>
      </c>
      <c r="V1989">
        <f t="shared" si="72"/>
        <v>3197607000</v>
      </c>
      <c r="W1989">
        <f t="shared" si="73"/>
        <v>11839785000</v>
      </c>
    </row>
    <row r="1990" spans="1:23" x14ac:dyDescent="0.2">
      <c r="A1990">
        <f>IF(D1990="USD",VLOOKUP(VALUE(RIGHT(E1990,4)),'USD RUB'!$E:$F,2,FALSE),1)</f>
        <v>1</v>
      </c>
      <c r="B1990" s="4">
        <v>1</v>
      </c>
      <c r="C1990">
        <v>1000</v>
      </c>
      <c r="D1990" t="s">
        <v>20</v>
      </c>
      <c r="E1990" s="1" t="s">
        <v>2007</v>
      </c>
      <c r="F1990">
        <v>818651000</v>
      </c>
      <c r="G1990">
        <v>5912226000</v>
      </c>
      <c r="H1990">
        <v>8584621000</v>
      </c>
      <c r="J1990">
        <v>14540534000</v>
      </c>
      <c r="K1990">
        <v>4915237000</v>
      </c>
      <c r="L1990">
        <v>3249652000</v>
      </c>
      <c r="M1990">
        <v>6308048000</v>
      </c>
      <c r="N1990">
        <v>6375645000</v>
      </c>
      <c r="O1990">
        <v>18543942000</v>
      </c>
      <c r="P1990">
        <v>1494513000</v>
      </c>
      <c r="Q1990">
        <v>1281190000</v>
      </c>
      <c r="R1990">
        <v>981921000</v>
      </c>
      <c r="S1990">
        <v>286017000</v>
      </c>
      <c r="T1990">
        <v>1780530000</v>
      </c>
      <c r="U1990">
        <v>-952601000</v>
      </c>
      <c r="V1990">
        <f t="shared" si="72"/>
        <v>13596860000</v>
      </c>
      <c r="W1990">
        <f t="shared" si="73"/>
        <v>12164794000</v>
      </c>
    </row>
    <row r="1991" spans="1:23" x14ac:dyDescent="0.2">
      <c r="A1991">
        <f>IF(D1991="USD",VLOOKUP(VALUE(RIGHT(E1991,4)),'USD RUB'!$E:$F,2,FALSE),1)</f>
        <v>1</v>
      </c>
      <c r="B1991" s="4">
        <v>1</v>
      </c>
      <c r="C1991">
        <v>1000</v>
      </c>
      <c r="D1991" t="s">
        <v>20</v>
      </c>
      <c r="E1991" s="1" t="s">
        <v>2008</v>
      </c>
      <c r="F1991">
        <v>2124696000</v>
      </c>
      <c r="G1991">
        <v>3576959000</v>
      </c>
      <c r="H1991">
        <v>8095597000</v>
      </c>
      <c r="J1991">
        <v>11839785000</v>
      </c>
      <c r="K1991">
        <v>2398976000</v>
      </c>
      <c r="L1991">
        <v>3264222000</v>
      </c>
      <c r="M1991">
        <v>6108990000</v>
      </c>
      <c r="N1991">
        <v>6176587000</v>
      </c>
      <c r="O1991">
        <v>3197607000</v>
      </c>
      <c r="P1991">
        <v>615000000</v>
      </c>
      <c r="Q1991">
        <v>473510000</v>
      </c>
      <c r="R1991">
        <v>343695000</v>
      </c>
      <c r="S1991">
        <v>186997000</v>
      </c>
      <c r="T1991">
        <v>801997000</v>
      </c>
      <c r="U1991">
        <v>-549212000</v>
      </c>
      <c r="V1991">
        <f t="shared" si="72"/>
        <v>5005579000</v>
      </c>
      <c r="W1991">
        <f t="shared" si="73"/>
        <v>10449441000</v>
      </c>
    </row>
    <row r="1992" spans="1:23" x14ac:dyDescent="0.2">
      <c r="A1992">
        <f>IF(D1992="USD",VLOOKUP(VALUE(RIGHT(E1992,4)),'USD RUB'!$E:$F,2,FALSE),1)</f>
        <v>1</v>
      </c>
      <c r="B1992" s="4">
        <v>1</v>
      </c>
      <c r="C1992">
        <v>1000</v>
      </c>
      <c r="D1992" t="s">
        <v>20</v>
      </c>
      <c r="E1992" s="1" t="s">
        <v>2009</v>
      </c>
      <c r="F1992">
        <v>1356334000</v>
      </c>
      <c r="G1992">
        <v>4334271000</v>
      </c>
      <c r="H1992">
        <v>7452623000</v>
      </c>
      <c r="J1992">
        <v>12164794000</v>
      </c>
      <c r="K1992">
        <v>2489580000</v>
      </c>
      <c r="L1992">
        <v>3372716000</v>
      </c>
      <c r="M1992">
        <v>6231001000</v>
      </c>
      <c r="N1992">
        <v>6302498000</v>
      </c>
      <c r="O1992">
        <v>13596860000</v>
      </c>
      <c r="P1992">
        <v>4324660000</v>
      </c>
      <c r="Q1992">
        <v>4289470000</v>
      </c>
      <c r="R1992">
        <v>3398129000</v>
      </c>
      <c r="S1992">
        <v>215971000</v>
      </c>
      <c r="T1992">
        <v>3121031000</v>
      </c>
      <c r="U1992">
        <v>-1722470000</v>
      </c>
      <c r="V1992">
        <f t="shared" si="72"/>
        <v>6347614000</v>
      </c>
      <c r="W1992">
        <f t="shared" si="73"/>
        <v>8840238000</v>
      </c>
    </row>
    <row r="1993" spans="1:23" x14ac:dyDescent="0.2">
      <c r="A1993">
        <f>IF(D1993="USD",VLOOKUP(VALUE(RIGHT(E1993,4)),'USD RUB'!$E:$F,2,FALSE),1)</f>
        <v>1</v>
      </c>
      <c r="B1993" s="4">
        <v>1</v>
      </c>
      <c r="C1993">
        <v>1000</v>
      </c>
      <c r="D1993" t="s">
        <v>20</v>
      </c>
      <c r="E1993" s="1" t="s">
        <v>2010</v>
      </c>
      <c r="F1993">
        <v>1206289000</v>
      </c>
      <c r="G1993">
        <v>3419831000</v>
      </c>
      <c r="H1993">
        <v>4806820000</v>
      </c>
      <c r="J1993">
        <v>10449441000</v>
      </c>
      <c r="K1993">
        <v>2028764000</v>
      </c>
      <c r="L1993">
        <v>2905945000</v>
      </c>
      <c r="M1993">
        <v>5447135000</v>
      </c>
      <c r="N1993">
        <v>5514732000</v>
      </c>
      <c r="O1993">
        <v>5005579000</v>
      </c>
      <c r="P1993">
        <v>1781401000</v>
      </c>
      <c r="Q1993">
        <v>1779384000</v>
      </c>
      <c r="R1993">
        <v>1411491000</v>
      </c>
      <c r="S1993">
        <v>94229000</v>
      </c>
      <c r="T1993">
        <v>1875630000</v>
      </c>
      <c r="U1993">
        <v>-1145691000</v>
      </c>
      <c r="V1993">
        <f t="shared" si="72"/>
        <v>2458987000</v>
      </c>
      <c r="W1993">
        <f t="shared" si="73"/>
        <v>6698861000</v>
      </c>
    </row>
    <row r="1994" spans="1:23" x14ac:dyDescent="0.2">
      <c r="A1994">
        <f>IF(D1994="USD",VLOOKUP(VALUE(RIGHT(E1994,4)),'USD RUB'!$E:$F,2,FALSE),1)</f>
        <v>1</v>
      </c>
      <c r="B1994" s="4">
        <v>1</v>
      </c>
      <c r="C1994">
        <v>1000</v>
      </c>
      <c r="D1994" t="s">
        <v>20</v>
      </c>
      <c r="E1994" s="1" t="s">
        <v>2011</v>
      </c>
      <c r="F1994">
        <v>1863308000</v>
      </c>
      <c r="G1994">
        <v>3049853000</v>
      </c>
      <c r="H1994">
        <v>4477204000</v>
      </c>
      <c r="J1994">
        <v>8840238000</v>
      </c>
      <c r="K1994">
        <v>896099000</v>
      </c>
      <c r="L1994">
        <v>3460579000</v>
      </c>
      <c r="M1994">
        <v>4415963000</v>
      </c>
      <c r="N1994">
        <v>4483560000</v>
      </c>
      <c r="O1994">
        <v>6347614000</v>
      </c>
      <c r="P1994">
        <v>2941217000</v>
      </c>
      <c r="Q1994">
        <v>3034074000</v>
      </c>
      <c r="R1994">
        <v>2395241000</v>
      </c>
      <c r="S1994">
        <v>179814000</v>
      </c>
      <c r="T1994">
        <v>3121031000</v>
      </c>
      <c r="U1994">
        <v>-1854656000</v>
      </c>
      <c r="V1994">
        <f t="shared" si="72"/>
        <v>4724536000</v>
      </c>
      <c r="W1994">
        <f t="shared" si="73"/>
        <v>5175690000</v>
      </c>
    </row>
    <row r="1995" spans="1:23" x14ac:dyDescent="0.2">
      <c r="A1995">
        <f>IF(D1995="USD",VLOOKUP(VALUE(RIGHT(E1995,4)),'USD RUB'!$E:$F,2,FALSE),1)</f>
        <v>1</v>
      </c>
      <c r="B1995" s="4">
        <v>1</v>
      </c>
      <c r="C1995">
        <v>1000</v>
      </c>
      <c r="D1995" t="s">
        <v>20</v>
      </c>
      <c r="E1995" s="1" t="s">
        <v>2012</v>
      </c>
      <c r="F1995">
        <v>1538216000</v>
      </c>
      <c r="G1995">
        <v>2193876000</v>
      </c>
      <c r="H1995">
        <v>3730471000</v>
      </c>
      <c r="J1995">
        <v>6698861000</v>
      </c>
      <c r="K1995">
        <v>476241000</v>
      </c>
      <c r="L1995">
        <v>2222315000</v>
      </c>
      <c r="M1995">
        <v>3932708000</v>
      </c>
      <c r="N1995">
        <v>4000305000</v>
      </c>
      <c r="O1995">
        <v>2458987000</v>
      </c>
      <c r="P1995">
        <v>1156691000</v>
      </c>
      <c r="Q1995">
        <v>1215671000</v>
      </c>
      <c r="R1995">
        <v>949527000</v>
      </c>
      <c r="S1995">
        <v>88462000</v>
      </c>
      <c r="T1995">
        <v>1245154000</v>
      </c>
      <c r="U1995">
        <v>-640958000</v>
      </c>
      <c r="V1995" t="str">
        <f t="shared" si="72"/>
        <v/>
      </c>
      <c r="W1995" t="str">
        <f t="shared" si="73"/>
        <v/>
      </c>
    </row>
    <row r="1996" spans="1:23" x14ac:dyDescent="0.2">
      <c r="A1996">
        <f>IF(D1996="USD",VLOOKUP(VALUE(RIGHT(E1996,4)),'USD RUB'!$E:$F,2,FALSE),1)</f>
        <v>1</v>
      </c>
      <c r="B1996" s="4">
        <v>1</v>
      </c>
      <c r="C1996">
        <v>1000</v>
      </c>
      <c r="D1996" t="s">
        <v>20</v>
      </c>
      <c r="E1996" s="1" t="s">
        <v>2013</v>
      </c>
      <c r="F1996">
        <v>121722000</v>
      </c>
      <c r="G1996">
        <v>1291983000</v>
      </c>
      <c r="H1996">
        <v>3550421000</v>
      </c>
      <c r="J1996">
        <v>5175690000</v>
      </c>
      <c r="K1996">
        <v>1849061000</v>
      </c>
      <c r="L1996">
        <v>119557000</v>
      </c>
      <c r="M1996">
        <v>3139475000</v>
      </c>
      <c r="N1996">
        <v>3207072000</v>
      </c>
      <c r="O1996">
        <v>4724536000</v>
      </c>
      <c r="P1996">
        <v>1785153000</v>
      </c>
      <c r="Q1996">
        <v>1780650000</v>
      </c>
      <c r="R1996">
        <v>1405486000</v>
      </c>
      <c r="T1996">
        <v>1928595000</v>
      </c>
      <c r="U1996">
        <v>-1921506000</v>
      </c>
      <c r="V1996" t="str">
        <f t="shared" si="72"/>
        <v/>
      </c>
      <c r="W1996" t="str">
        <f t="shared" si="73"/>
        <v/>
      </c>
    </row>
    <row r="1997" spans="1:23" x14ac:dyDescent="0.2">
      <c r="A1997">
        <f>IF(D1997="USD",VLOOKUP(VALUE(RIGHT(E1997,4)),'USD RUB'!$E:$F,2,FALSE),1)</f>
        <v>1</v>
      </c>
      <c r="B1997" s="4">
        <v>1</v>
      </c>
      <c r="C1997">
        <v>1000000</v>
      </c>
      <c r="D1997" t="s">
        <v>20</v>
      </c>
      <c r="E1997" s="1" t="s">
        <v>2014</v>
      </c>
      <c r="F1997">
        <v>22048000000</v>
      </c>
      <c r="G1997">
        <v>70258000000</v>
      </c>
      <c r="H1997">
        <v>113936000000</v>
      </c>
      <c r="I1997">
        <v>31255000000</v>
      </c>
      <c r="J1997">
        <v>236646000000</v>
      </c>
      <c r="K1997">
        <v>18877000000</v>
      </c>
      <c r="L1997">
        <v>32333000000</v>
      </c>
      <c r="M1997">
        <v>182516000000</v>
      </c>
      <c r="N1997">
        <v>185436000000</v>
      </c>
      <c r="O1997">
        <v>56317000000</v>
      </c>
      <c r="P1997">
        <v>36124000000</v>
      </c>
      <c r="Q1997">
        <v>41705000000</v>
      </c>
      <c r="R1997">
        <v>31821000000</v>
      </c>
      <c r="S1997">
        <v>4783000000</v>
      </c>
      <c r="U1997">
        <v>-13362000000</v>
      </c>
      <c r="V1997">
        <f t="shared" si="72"/>
        <v>54416000000</v>
      </c>
      <c r="W1997">
        <f t="shared" si="73"/>
        <v>0</v>
      </c>
    </row>
    <row r="1998" spans="1:23" x14ac:dyDescent="0.2">
      <c r="A1998">
        <f>IF(D1998="USD",VLOOKUP(VALUE(RIGHT(E1998,4)),'USD RUB'!$E:$F,2,FALSE),1)</f>
        <v>1</v>
      </c>
      <c r="B1998" s="4">
        <v>1</v>
      </c>
      <c r="C1998">
        <v>1000000</v>
      </c>
      <c r="D1998" t="s">
        <v>20</v>
      </c>
      <c r="E1998" s="1" t="s">
        <v>2015</v>
      </c>
      <c r="F1998">
        <v>39243000000</v>
      </c>
      <c r="G1998">
        <v>84202000000</v>
      </c>
      <c r="H1998">
        <v>108368000000</v>
      </c>
      <c r="I1998">
        <v>31239000000</v>
      </c>
      <c r="J1998">
        <v>246806000000</v>
      </c>
      <c r="K1998">
        <v>37905000000</v>
      </c>
      <c r="L1998">
        <v>33684000000</v>
      </c>
      <c r="M1998">
        <v>172453000000</v>
      </c>
      <c r="N1998">
        <v>175217000000</v>
      </c>
      <c r="O1998">
        <v>38685000000</v>
      </c>
      <c r="P1998">
        <v>26736000000</v>
      </c>
      <c r="Q1998">
        <v>28716000000</v>
      </c>
      <c r="R1998">
        <v>21553000000</v>
      </c>
      <c r="S1998">
        <v>3162000000</v>
      </c>
      <c r="U1998">
        <v>-6802000000</v>
      </c>
      <c r="V1998">
        <f t="shared" si="72"/>
        <v>38618000000</v>
      </c>
      <c r="W1998">
        <f t="shared" si="73"/>
        <v>216326000000</v>
      </c>
    </row>
    <row r="1999" spans="1:23" x14ac:dyDescent="0.2">
      <c r="A1999">
        <f>IF(D1999="USD",VLOOKUP(VALUE(RIGHT(E1999,4)),'USD RUB'!$E:$F,2,FALSE),1)</f>
        <v>1</v>
      </c>
      <c r="B1999" s="4">
        <v>1</v>
      </c>
      <c r="C1999">
        <v>1000000</v>
      </c>
      <c r="D1999" t="s">
        <v>20</v>
      </c>
      <c r="E1999" s="1" t="s">
        <v>2016</v>
      </c>
      <c r="F1999">
        <v>26209000000</v>
      </c>
      <c r="G1999">
        <v>72216000000</v>
      </c>
      <c r="H1999">
        <v>104268000000</v>
      </c>
      <c r="I1999">
        <v>30799000000</v>
      </c>
      <c r="J1999">
        <v>232118000000</v>
      </c>
      <c r="K1999">
        <v>19876000000</v>
      </c>
      <c r="L1999">
        <v>30668000000</v>
      </c>
      <c r="M1999">
        <v>178524000000</v>
      </c>
      <c r="N1999">
        <v>181574000000</v>
      </c>
      <c r="O1999">
        <v>19826000000</v>
      </c>
      <c r="P1999">
        <v>14474000000</v>
      </c>
      <c r="Q1999">
        <v>14084000000</v>
      </c>
      <c r="R1999">
        <v>10422000000</v>
      </c>
      <c r="S1999">
        <v>1571000000</v>
      </c>
      <c r="U1999">
        <v>-2077000000</v>
      </c>
      <c r="V1999">
        <f t="shared" si="72"/>
        <v>19783000000</v>
      </c>
      <c r="W1999">
        <f t="shared" si="73"/>
        <v>0</v>
      </c>
    </row>
    <row r="2000" spans="1:23" x14ac:dyDescent="0.2">
      <c r="A2000">
        <f>IF(D2000="USD",VLOOKUP(VALUE(RIGHT(E2000,4)),'USD RUB'!$E:$F,2,FALSE),1)</f>
        <v>1</v>
      </c>
      <c r="B2000" s="4">
        <v>1</v>
      </c>
      <c r="C2000">
        <v>1000000</v>
      </c>
      <c r="D2000" t="s">
        <v>20</v>
      </c>
      <c r="E2000" s="1" t="s">
        <v>2017</v>
      </c>
      <c r="F2000">
        <v>34936000000</v>
      </c>
      <c r="G2000">
        <v>63283000000</v>
      </c>
      <c r="H2000">
        <v>102766000000</v>
      </c>
      <c r="I2000">
        <v>31249000000</v>
      </c>
      <c r="J2000">
        <v>219960000000</v>
      </c>
      <c r="K2000">
        <v>19073000000</v>
      </c>
      <c r="L2000">
        <v>29677000000</v>
      </c>
      <c r="M2000">
        <v>168252000000</v>
      </c>
      <c r="N2000">
        <v>171210000000</v>
      </c>
      <c r="O2000">
        <v>71156000000</v>
      </c>
      <c r="P2000">
        <v>41784000000</v>
      </c>
      <c r="Q2000">
        <v>48688000000</v>
      </c>
      <c r="R2000">
        <v>37823000000</v>
      </c>
      <c r="S2000">
        <v>6390000000</v>
      </c>
      <c r="U2000">
        <v>-19995000000</v>
      </c>
      <c r="V2000">
        <f t="shared" si="72"/>
        <v>67482000000</v>
      </c>
      <c r="W2000">
        <f t="shared" si="73"/>
        <v>192646000000</v>
      </c>
    </row>
    <row r="2001" spans="1:23" x14ac:dyDescent="0.2">
      <c r="A2001">
        <f>IF(D2001="USD",VLOOKUP(VALUE(RIGHT(E2001,4)),'USD RUB'!$E:$F,2,FALSE),1)</f>
        <v>1</v>
      </c>
      <c r="B2001" s="4">
        <v>1</v>
      </c>
      <c r="C2001">
        <v>1000000</v>
      </c>
      <c r="D2001" t="s">
        <v>20</v>
      </c>
      <c r="E2001" s="1" t="s">
        <v>2018</v>
      </c>
      <c r="O2001">
        <v>54416000000</v>
      </c>
      <c r="P2001">
        <v>33138000000</v>
      </c>
      <c r="Q2001">
        <v>37544000000</v>
      </c>
      <c r="R2001">
        <v>30459000000</v>
      </c>
      <c r="S2001">
        <v>4898000000</v>
      </c>
      <c r="U2001">
        <v>-12418000000</v>
      </c>
      <c r="V2001" t="str">
        <f t="shared" si="72"/>
        <v/>
      </c>
      <c r="W2001" t="str">
        <f t="shared" si="73"/>
        <v/>
      </c>
    </row>
    <row r="2002" spans="1:23" x14ac:dyDescent="0.2">
      <c r="A2002">
        <f>IF(D2002="USD",VLOOKUP(VALUE(RIGHT(E2002,4)),'USD RUB'!$E:$F,2,FALSE),1)</f>
        <v>1</v>
      </c>
      <c r="B2002" s="4">
        <v>1</v>
      </c>
      <c r="C2002">
        <v>1000000</v>
      </c>
      <c r="D2002" t="s">
        <v>20</v>
      </c>
      <c r="E2002" s="1" t="s">
        <v>2019</v>
      </c>
      <c r="F2002">
        <v>42636000000</v>
      </c>
      <c r="G2002">
        <v>72469000000</v>
      </c>
      <c r="H2002">
        <v>88527000000</v>
      </c>
      <c r="I2002">
        <v>31190000000</v>
      </c>
      <c r="J2002">
        <v>216326000000</v>
      </c>
      <c r="K2002">
        <v>31294000000</v>
      </c>
      <c r="L2002">
        <v>30040000000</v>
      </c>
      <c r="N2002">
        <v>154992000000</v>
      </c>
      <c r="O2002">
        <v>38618000000</v>
      </c>
      <c r="P2002">
        <v>24855000000</v>
      </c>
      <c r="Q2002">
        <v>26899000000</v>
      </c>
      <c r="R2002">
        <v>21869000000</v>
      </c>
      <c r="S2002">
        <v>3237000000</v>
      </c>
      <c r="U2002">
        <v>-3297000000</v>
      </c>
      <c r="V2002">
        <f t="shared" si="72"/>
        <v>34588000000</v>
      </c>
      <c r="W2002">
        <f t="shared" si="73"/>
        <v>190103000000</v>
      </c>
    </row>
    <row r="2003" spans="1:23" x14ac:dyDescent="0.2">
      <c r="A2003">
        <f>IF(D2003="USD",VLOOKUP(VALUE(RIGHT(E2003,4)),'USD RUB'!$E:$F,2,FALSE),1)</f>
        <v>1</v>
      </c>
      <c r="B2003" s="4">
        <v>1</v>
      </c>
      <c r="C2003">
        <v>1000000</v>
      </c>
      <c r="D2003" t="s">
        <v>20</v>
      </c>
      <c r="E2003" s="1" t="s">
        <v>2020</v>
      </c>
      <c r="O2003">
        <v>19783000000</v>
      </c>
      <c r="P2003">
        <v>12139000000</v>
      </c>
      <c r="Q2003">
        <v>13716000000</v>
      </c>
      <c r="R2003">
        <v>10930000000</v>
      </c>
      <c r="S2003">
        <v>1838000000</v>
      </c>
      <c r="U2003">
        <v>-886000000</v>
      </c>
      <c r="V2003" t="str">
        <f t="shared" si="72"/>
        <v/>
      </c>
      <c r="W2003" t="str">
        <f t="shared" si="73"/>
        <v/>
      </c>
    </row>
    <row r="2004" spans="1:23" x14ac:dyDescent="0.2">
      <c r="A2004">
        <f>IF(D2004="USD",VLOOKUP(VALUE(RIGHT(E2004,4)),'USD RUB'!$E:$F,2,FALSE),1)</f>
        <v>1</v>
      </c>
      <c r="B2004" s="4">
        <v>1</v>
      </c>
      <c r="C2004">
        <v>1000000</v>
      </c>
      <c r="D2004" t="s">
        <v>20</v>
      </c>
      <c r="E2004" s="1" t="s">
        <v>2021</v>
      </c>
      <c r="F2004">
        <v>29040000000</v>
      </c>
      <c r="G2004">
        <v>49072000000</v>
      </c>
      <c r="H2004">
        <v>87677000000</v>
      </c>
      <c r="I2004">
        <v>31023000000</v>
      </c>
      <c r="J2004">
        <v>192646000000</v>
      </c>
      <c r="K2004">
        <v>10258000000</v>
      </c>
      <c r="L2004">
        <v>34897000000</v>
      </c>
      <c r="N2004">
        <v>147491000000</v>
      </c>
      <c r="O2004">
        <v>67482000000</v>
      </c>
      <c r="P2004">
        <v>36897000000</v>
      </c>
      <c r="Q2004">
        <v>38835000000</v>
      </c>
      <c r="R2004">
        <v>30228000000</v>
      </c>
      <c r="S2004">
        <v>6326000000</v>
      </c>
      <c r="U2004">
        <v>-6076000000</v>
      </c>
      <c r="V2004">
        <f t="shared" si="72"/>
        <v>55045000000</v>
      </c>
      <c r="W2004">
        <f t="shared" si="73"/>
        <v>179533000000</v>
      </c>
    </row>
    <row r="2005" spans="1:23" x14ac:dyDescent="0.2">
      <c r="A2005">
        <f>IF(D2005="USD",VLOOKUP(VALUE(RIGHT(E2005,4)),'USD RUB'!$E:$F,2,FALSE),1)</f>
        <v>1</v>
      </c>
      <c r="B2005" s="4">
        <v>1</v>
      </c>
      <c r="C2005">
        <v>1000000</v>
      </c>
      <c r="D2005" t="s">
        <v>20</v>
      </c>
      <c r="E2005" s="1" t="s">
        <v>2022</v>
      </c>
      <c r="F2005">
        <v>28104000000</v>
      </c>
      <c r="G2005">
        <v>47737000000</v>
      </c>
      <c r="H2005">
        <v>85643000000</v>
      </c>
      <c r="I2005">
        <v>31028000000</v>
      </c>
      <c r="J2005">
        <v>190103000000</v>
      </c>
      <c r="K2005">
        <v>21854000000</v>
      </c>
      <c r="L2005">
        <v>34483000000</v>
      </c>
      <c r="N2005">
        <v>133766000000</v>
      </c>
      <c r="O2005">
        <v>34588000000</v>
      </c>
      <c r="P2005">
        <v>21382000000</v>
      </c>
      <c r="Q2005">
        <v>22173000000</v>
      </c>
      <c r="R2005">
        <v>17815000000</v>
      </c>
      <c r="V2005" t="str">
        <f t="shared" si="72"/>
        <v/>
      </c>
      <c r="W2005" t="str">
        <f t="shared" si="73"/>
        <v/>
      </c>
    </row>
    <row r="2006" spans="1:23" x14ac:dyDescent="0.2">
      <c r="A2006">
        <f>IF(D2006="USD",VLOOKUP(VALUE(RIGHT(E2006,4)),'USD RUB'!$E:$F,2,FALSE),1)</f>
        <v>1</v>
      </c>
      <c r="B2006" s="4">
        <v>1</v>
      </c>
      <c r="C2006">
        <v>1000000</v>
      </c>
      <c r="D2006" t="s">
        <v>20</v>
      </c>
      <c r="E2006" s="1" t="s">
        <v>2023</v>
      </c>
      <c r="F2006">
        <v>20112000000</v>
      </c>
      <c r="G2006">
        <v>35929000000</v>
      </c>
      <c r="H2006">
        <v>86096000000</v>
      </c>
      <c r="I2006">
        <v>31026000000</v>
      </c>
      <c r="J2006">
        <v>179533000000</v>
      </c>
      <c r="K2006">
        <v>14058000000</v>
      </c>
      <c r="L2006">
        <v>35101000000</v>
      </c>
      <c r="N2006">
        <v>130374000000</v>
      </c>
      <c r="O2006">
        <v>55045000000</v>
      </c>
      <c r="P2006">
        <v>29356000000</v>
      </c>
      <c r="Q2006">
        <v>35405000000</v>
      </c>
      <c r="R2006">
        <v>34784000000</v>
      </c>
      <c r="S2006">
        <v>6362000000</v>
      </c>
      <c r="U2006">
        <v>-5372000000</v>
      </c>
      <c r="V2006" t="str">
        <f t="shared" si="72"/>
        <v/>
      </c>
      <c r="W2006" t="str">
        <f t="shared" si="73"/>
        <v/>
      </c>
    </row>
    <row r="2007" spans="1:23" x14ac:dyDescent="0.2">
      <c r="A2007">
        <f>IF(D2007="USD",VLOOKUP(VALUE(RIGHT(E2007,4)),'USD RUB'!$E:$F,2,FALSE),1)</f>
        <v>73.77579163636365</v>
      </c>
      <c r="B2007" s="4">
        <v>73.77579163636365</v>
      </c>
      <c r="C2007">
        <v>1000</v>
      </c>
      <c r="D2007" t="s">
        <v>111</v>
      </c>
      <c r="E2007" s="1" t="s">
        <v>2024</v>
      </c>
      <c r="F2007">
        <v>15953646062.405457</v>
      </c>
      <c r="G2007">
        <v>28143472562.898552</v>
      </c>
      <c r="H2007">
        <v>84939175547.820023</v>
      </c>
      <c r="I2007">
        <v>31407830015.432732</v>
      </c>
      <c r="J2007">
        <v>169531235995.99094</v>
      </c>
      <c r="K2007">
        <v>21618225120.037094</v>
      </c>
      <c r="L2007">
        <v>48324028831.317825</v>
      </c>
      <c r="M2007">
        <v>148852840685.60947</v>
      </c>
      <c r="N2007">
        <v>99588982044.636017</v>
      </c>
      <c r="O2007">
        <v>38810271620.850555</v>
      </c>
      <c r="P2007">
        <v>21187669600.047276</v>
      </c>
      <c r="Q2007">
        <v>20599897868.080368</v>
      </c>
      <c r="R2007">
        <v>17255419905.829094</v>
      </c>
      <c r="T2007">
        <v>26780612364.000004</v>
      </c>
      <c r="U2007">
        <v>-6046885209.8912735</v>
      </c>
      <c r="V2007">
        <f t="shared" si="72"/>
        <v>34814416919.142876</v>
      </c>
      <c r="W2007">
        <f t="shared" si="73"/>
        <v>155414313101.20566</v>
      </c>
    </row>
    <row r="2008" spans="1:23" x14ac:dyDescent="0.2">
      <c r="A2008">
        <f>IF(D2008="USD",VLOOKUP(VALUE(RIGHT(E2008,4)),'USD RUB'!$E:$F,2,FALSE),1)</f>
        <v>1</v>
      </c>
      <c r="B2008" s="4">
        <v>1</v>
      </c>
      <c r="C2008">
        <v>1000000</v>
      </c>
      <c r="D2008" t="s">
        <v>20</v>
      </c>
      <c r="E2008" s="1" t="s">
        <v>2025</v>
      </c>
      <c r="F2008">
        <v>17187000000</v>
      </c>
      <c r="G2008">
        <v>24439000000</v>
      </c>
      <c r="H2008">
        <v>83521000000</v>
      </c>
      <c r="I2008">
        <v>30972000000</v>
      </c>
      <c r="J2008">
        <v>164174000000</v>
      </c>
      <c r="K2008">
        <v>22592000000</v>
      </c>
      <c r="L2008">
        <v>47954000000</v>
      </c>
      <c r="M2008">
        <v>91874000000</v>
      </c>
      <c r="N2008">
        <v>93628000000</v>
      </c>
      <c r="O2008">
        <v>26932000000</v>
      </c>
      <c r="P2008">
        <v>15186000000</v>
      </c>
      <c r="Q2008">
        <v>15073000000</v>
      </c>
      <c r="R2008">
        <v>12714000000</v>
      </c>
      <c r="S2008">
        <v>3071000000</v>
      </c>
      <c r="T2008">
        <v>18929000000</v>
      </c>
      <c r="U2008">
        <v>-4429000000</v>
      </c>
      <c r="V2008">
        <f t="shared" si="72"/>
        <v>25777901567.222313</v>
      </c>
      <c r="W2008">
        <f t="shared" si="73"/>
        <v>198007994834.47119</v>
      </c>
    </row>
    <row r="2009" spans="1:23" x14ac:dyDescent="0.2">
      <c r="A2009">
        <f>IF(D2009="USD",VLOOKUP(VALUE(RIGHT(E2009,4)),'USD RUB'!$E:$F,2,FALSE),1)</f>
        <v>73.77579163636365</v>
      </c>
      <c r="B2009" s="4">
        <v>73.77579163636365</v>
      </c>
      <c r="C2009">
        <v>1000</v>
      </c>
      <c r="D2009" t="s">
        <v>111</v>
      </c>
      <c r="E2009" s="1" t="s">
        <v>2026</v>
      </c>
      <c r="F2009">
        <v>15293131399.885094</v>
      </c>
      <c r="G2009">
        <v>26488902883.869823</v>
      </c>
      <c r="H2009">
        <v>80402923447.47493</v>
      </c>
      <c r="I2009">
        <v>30196210189.388733</v>
      </c>
      <c r="J2009">
        <v>162295527679.6713</v>
      </c>
      <c r="K2009">
        <v>21409513405.497822</v>
      </c>
      <c r="L2009">
        <v>56022975343.322189</v>
      </c>
      <c r="M2009">
        <v>137696317922.7753</v>
      </c>
      <c r="N2009">
        <v>84863038930.851288</v>
      </c>
      <c r="O2009">
        <v>12807993858.614183</v>
      </c>
      <c r="P2009">
        <v>7026775274.4054556</v>
      </c>
      <c r="Q2009">
        <v>5876094252.2530918</v>
      </c>
      <c r="R2009">
        <v>4843970927.2603645</v>
      </c>
      <c r="T2009">
        <v>8896770265.0123653</v>
      </c>
      <c r="U2009">
        <v>-2513983875.8007278</v>
      </c>
      <c r="V2009">
        <f t="shared" ref="V2009:V2072" si="74">_xlfn.XLOOKUP(LEFT(E2009,LEN(E2009)-4)&amp;(VALUE(RIGHT(E2009,4))-1),$E:$E,$O:$O,"")</f>
        <v>14464526457.574921</v>
      </c>
      <c r="W2009">
        <f t="shared" ref="W2009:W2072" si="75">_xlfn.XLOOKUP(LEFT(E2009,LEN(E2009)-4)&amp;(VALUE(RIGHT(E2009,4))-1),$E:$E,$J:$J,"")</f>
        <v>182855703893.51089</v>
      </c>
    </row>
    <row r="2010" spans="1:23" x14ac:dyDescent="0.2">
      <c r="A2010">
        <f>IF(D2010="USD",VLOOKUP(VALUE(RIGHT(E2010,4)),'USD RUB'!$E:$F,2,FALSE),1)</f>
        <v>72.297328222996555</v>
      </c>
      <c r="B2010" s="4">
        <v>72.297328222996555</v>
      </c>
      <c r="C2010">
        <v>1000</v>
      </c>
      <c r="D2010" t="s">
        <v>111</v>
      </c>
      <c r="E2010" s="1" t="s">
        <v>2027</v>
      </c>
      <c r="F2010">
        <v>13779726164.646698</v>
      </c>
      <c r="G2010">
        <v>22597758990.677364</v>
      </c>
      <c r="H2010">
        <v>79343787318.250916</v>
      </c>
      <c r="I2010">
        <v>30332127163.973537</v>
      </c>
      <c r="J2010">
        <v>157847913466.51996</v>
      </c>
      <c r="K2010">
        <v>21521107178.780499</v>
      </c>
      <c r="L2010">
        <v>55898125262.174248</v>
      </c>
      <c r="M2010">
        <v>130249565174.64258</v>
      </c>
      <c r="N2010">
        <v>80428681025.565201</v>
      </c>
      <c r="O2010">
        <v>45712805364.790268</v>
      </c>
      <c r="P2010">
        <v>23702462165.924751</v>
      </c>
      <c r="Q2010">
        <v>13125001560.259241</v>
      </c>
      <c r="R2010">
        <v>4853681130.2508736</v>
      </c>
      <c r="S2010">
        <v>5370534729.7170763</v>
      </c>
      <c r="U2010">
        <v>-7204790244.0627213</v>
      </c>
      <c r="V2010">
        <f t="shared" si="74"/>
        <v>56048636186.906212</v>
      </c>
      <c r="W2010">
        <f t="shared" si="75"/>
        <v>194831259447.18738</v>
      </c>
    </row>
    <row r="2011" spans="1:23" x14ac:dyDescent="0.2">
      <c r="A2011">
        <f>IF(D2011="USD",VLOOKUP(VALUE(RIGHT(E2011,4)),'USD RUB'!$E:$F,2,FALSE),1)</f>
        <v>72.297328222996555</v>
      </c>
      <c r="B2011" s="4">
        <v>72.297328222996555</v>
      </c>
      <c r="C2011">
        <v>1000</v>
      </c>
      <c r="D2011" t="s">
        <v>111</v>
      </c>
      <c r="E2011" s="1" t="s">
        <v>2028</v>
      </c>
      <c r="F2011">
        <v>10043978620.708019</v>
      </c>
      <c r="G2011">
        <v>30135767620.519878</v>
      </c>
      <c r="H2011">
        <v>72505978312.248123</v>
      </c>
      <c r="I2011">
        <v>28102983642.873882</v>
      </c>
      <c r="J2011">
        <v>155414313101.20566</v>
      </c>
      <c r="K2011">
        <v>19845905786.525448</v>
      </c>
      <c r="L2011">
        <v>61565874308.216064</v>
      </c>
      <c r="M2011">
        <v>129685501419.84676</v>
      </c>
      <c r="N2011">
        <v>74002533006.464157</v>
      </c>
      <c r="O2011">
        <v>34814416919.142876</v>
      </c>
      <c r="P2011">
        <v>18678882314.349834</v>
      </c>
      <c r="Q2011">
        <v>4789625697.4452991</v>
      </c>
      <c r="R2011">
        <v>4258023443.021605</v>
      </c>
      <c r="T2011">
        <v>23691834458.675972</v>
      </c>
      <c r="U2011">
        <v>-4996106866.8501768</v>
      </c>
      <c r="V2011">
        <f t="shared" si="74"/>
        <v>43050527201.531219</v>
      </c>
      <c r="W2011">
        <f t="shared" si="75"/>
        <v>186293334097.68738</v>
      </c>
    </row>
    <row r="2012" spans="1:23" x14ac:dyDescent="0.2">
      <c r="A2012">
        <f>IF(D2012="USD",VLOOKUP(VALUE(RIGHT(E2012,4)),'USD RUB'!$E:$F,2,FALSE),1)</f>
        <v>72.297328222996555</v>
      </c>
      <c r="B2012" s="4">
        <v>72.297328222996555</v>
      </c>
      <c r="C2012">
        <v>1000</v>
      </c>
      <c r="D2012" t="s">
        <v>111</v>
      </c>
      <c r="E2012" s="1" t="s">
        <v>2029</v>
      </c>
      <c r="F2012">
        <v>42124255181.113609</v>
      </c>
      <c r="G2012">
        <v>55868772546.91571</v>
      </c>
      <c r="H2012">
        <v>81615658560.330353</v>
      </c>
      <c r="I2012">
        <v>32010075854.701061</v>
      </c>
      <c r="J2012">
        <v>198007994834.47119</v>
      </c>
      <c r="K2012">
        <v>20302969495.551231</v>
      </c>
      <c r="L2012">
        <v>65720874058.519897</v>
      </c>
      <c r="M2012">
        <v>157145834112.14642</v>
      </c>
      <c r="N2012">
        <v>111984151280.40005</v>
      </c>
      <c r="O2012">
        <v>25777901567.222313</v>
      </c>
      <c r="P2012">
        <v>15061991578.009764</v>
      </c>
      <c r="Q2012">
        <v>7408596412.323349</v>
      </c>
      <c r="R2012">
        <v>6249959430.2216063</v>
      </c>
      <c r="S2012">
        <v>2752793069.418817</v>
      </c>
      <c r="T2012">
        <v>18399670032.752625</v>
      </c>
      <c r="U2012">
        <v>-2859142439.2348447</v>
      </c>
      <c r="V2012">
        <f t="shared" si="74"/>
        <v>29438454027.374981</v>
      </c>
      <c r="W2012">
        <f t="shared" si="75"/>
        <v>187519709936.99988</v>
      </c>
    </row>
    <row r="2013" spans="1:23" x14ac:dyDescent="0.2">
      <c r="A2013">
        <f>IF(D2013="USD",VLOOKUP(VALUE(RIGHT(E2013,4)),'USD RUB'!$E:$F,2,FALSE),1)</f>
        <v>72.297328222996555</v>
      </c>
      <c r="B2013" s="4">
        <v>72.297328222996555</v>
      </c>
      <c r="C2013">
        <v>1000</v>
      </c>
      <c r="D2013" t="s">
        <v>111</v>
      </c>
      <c r="E2013" s="1" t="s">
        <v>2030</v>
      </c>
      <c r="F2013">
        <v>32026993429.505245</v>
      </c>
      <c r="G2013">
        <v>54595761191.565186</v>
      </c>
      <c r="H2013">
        <v>72378012041.293427</v>
      </c>
      <c r="I2013">
        <v>28820245436.174232</v>
      </c>
      <c r="J2013">
        <v>182855703893.51089</v>
      </c>
      <c r="K2013">
        <v>19731748305.261333</v>
      </c>
      <c r="L2013">
        <v>70555324099.463455</v>
      </c>
      <c r="M2013">
        <v>147769521317.57779</v>
      </c>
      <c r="N2013">
        <v>92568631488.786118</v>
      </c>
      <c r="O2013">
        <v>14464526457.574921</v>
      </c>
      <c r="P2013">
        <v>8694982773.3951263</v>
      </c>
      <c r="Q2013">
        <v>-4267783582.3317099</v>
      </c>
      <c r="R2013">
        <v>-3172623654.4097576</v>
      </c>
      <c r="T2013">
        <v>10584618041.159588</v>
      </c>
      <c r="U2013">
        <v>-655375280.3414638</v>
      </c>
      <c r="V2013">
        <f t="shared" si="74"/>
        <v>15517943254.218739</v>
      </c>
      <c r="W2013">
        <f t="shared" si="75"/>
        <v>161871713357.90613</v>
      </c>
    </row>
    <row r="2014" spans="1:23" x14ac:dyDescent="0.2">
      <c r="A2014">
        <f>IF(D2014="USD",VLOOKUP(VALUE(RIGHT(E2014,4)),'USD RUB'!$E:$F,2,FALSE),1)</f>
        <v>64.689093749999955</v>
      </c>
      <c r="B2014" s="4">
        <v>64.689093749999955</v>
      </c>
      <c r="C2014">
        <v>1000</v>
      </c>
      <c r="D2014" t="s">
        <v>111</v>
      </c>
      <c r="E2014" s="1" t="s">
        <v>2031</v>
      </c>
      <c r="F2014">
        <v>28041428358.749981</v>
      </c>
      <c r="G2014">
        <v>52719864800.718712</v>
      </c>
      <c r="H2014">
        <v>81080533837.124939</v>
      </c>
      <c r="I2014">
        <v>32393063695.312477</v>
      </c>
      <c r="J2014">
        <v>194831259447.18738</v>
      </c>
      <c r="K2014">
        <v>17191320731.343739</v>
      </c>
      <c r="L2014">
        <v>70784682364.968704</v>
      </c>
      <c r="M2014">
        <v>135123937495.96866</v>
      </c>
      <c r="N2014">
        <v>106855256350.87492</v>
      </c>
      <c r="O2014">
        <v>56048636186.906212</v>
      </c>
      <c r="P2014">
        <v>36050649745.031227</v>
      </c>
      <c r="Q2014">
        <v>68787665351.812454</v>
      </c>
      <c r="R2014">
        <v>61019928352.499954</v>
      </c>
      <c r="S2014">
        <v>4628892792.3749971</v>
      </c>
      <c r="T2014">
        <v>41820205327.499969</v>
      </c>
      <c r="U2014">
        <v>-5147569946.0624962</v>
      </c>
      <c r="V2014">
        <f t="shared" si="74"/>
        <v>59804426302.917931</v>
      </c>
      <c r="W2014">
        <f t="shared" si="75"/>
        <v>125272981899.86708</v>
      </c>
    </row>
    <row r="2015" spans="1:23" x14ac:dyDescent="0.2">
      <c r="A2015">
        <f>IF(D2015="USD",VLOOKUP(VALUE(RIGHT(E2015,4)),'USD RUB'!$E:$F,2,FALSE),1)</f>
        <v>64.689093749999955</v>
      </c>
      <c r="B2015" s="4">
        <v>64.689093749999955</v>
      </c>
      <c r="C2015">
        <v>1000</v>
      </c>
      <c r="D2015" t="s">
        <v>111</v>
      </c>
      <c r="E2015" s="1" t="s">
        <v>2032</v>
      </c>
      <c r="F2015">
        <v>24075404710.031235</v>
      </c>
      <c r="G2015">
        <v>50867492601.187462</v>
      </c>
      <c r="H2015">
        <v>74663828560.781204</v>
      </c>
      <c r="I2015">
        <v>31133372972.718727</v>
      </c>
      <c r="J2015">
        <v>186293334097.68738</v>
      </c>
      <c r="K2015">
        <v>16242396415.124989</v>
      </c>
      <c r="L2015">
        <v>75465391121.437454</v>
      </c>
      <c r="M2015">
        <v>126480310167.28116</v>
      </c>
      <c r="N2015">
        <v>94585546561.124939</v>
      </c>
      <c r="O2015">
        <v>43050527201.531219</v>
      </c>
      <c r="P2015">
        <v>27273374748.656231</v>
      </c>
      <c r="Q2015">
        <v>58164357687.093712</v>
      </c>
      <c r="R2015">
        <v>52428440433.374962</v>
      </c>
      <c r="T2015">
        <v>32398238822.812477</v>
      </c>
      <c r="U2015">
        <v>-2733502345.4999981</v>
      </c>
      <c r="V2015">
        <f t="shared" si="74"/>
        <v>44794238484.219261</v>
      </c>
      <c r="W2015">
        <f t="shared" si="75"/>
        <v>140321834219.15213</v>
      </c>
    </row>
    <row r="2016" spans="1:23" x14ac:dyDescent="0.2">
      <c r="A2016">
        <f>IF(D2016="USD",VLOOKUP(VALUE(RIGHT(E2016,4)),'USD RUB'!$E:$F,2,FALSE),1)</f>
        <v>64.689093749999955</v>
      </c>
      <c r="B2016" s="4">
        <v>64.689093749999955</v>
      </c>
      <c r="C2016">
        <v>1000</v>
      </c>
      <c r="D2016" t="s">
        <v>111</v>
      </c>
      <c r="E2016" s="1" t="s">
        <v>2033</v>
      </c>
      <c r="F2016">
        <v>32620963372.593727</v>
      </c>
      <c r="G2016">
        <v>50488220444.531212</v>
      </c>
      <c r="H2016">
        <v>75184187630.906204</v>
      </c>
      <c r="I2016">
        <v>31773406866.281227</v>
      </c>
      <c r="J2016">
        <v>187519709936.99988</v>
      </c>
      <c r="K2016">
        <v>26441731759.406231</v>
      </c>
      <c r="L2016">
        <v>76350079167.562454</v>
      </c>
      <c r="M2016">
        <v>114886860163.59367</v>
      </c>
      <c r="N2016">
        <v>84727899010.031189</v>
      </c>
      <c r="O2016">
        <v>29438454027.374981</v>
      </c>
      <c r="P2016">
        <v>18880999860.093739</v>
      </c>
      <c r="Q2016">
        <v>51428605800.374962</v>
      </c>
      <c r="R2016">
        <v>40777869959.906219</v>
      </c>
      <c r="S2016">
        <v>2999180453.5312481</v>
      </c>
      <c r="T2016">
        <v>22260293428.499985</v>
      </c>
      <c r="U2016">
        <v>-1660698414.7499988</v>
      </c>
      <c r="V2016">
        <f t="shared" si="74"/>
        <v>30207222622.344845</v>
      </c>
      <c r="W2016">
        <f t="shared" si="75"/>
        <v>138541758333.61923</v>
      </c>
    </row>
    <row r="2017" spans="1:23" x14ac:dyDescent="0.2">
      <c r="A2017">
        <f>IF(D2017="USD",VLOOKUP(VALUE(RIGHT(E2017,4)),'USD RUB'!$E:$F,2,FALSE),1)</f>
        <v>64.689093749999955</v>
      </c>
      <c r="B2017" s="4">
        <v>64.689093749999955</v>
      </c>
      <c r="C2017">
        <v>1000</v>
      </c>
      <c r="D2017" t="s">
        <v>111</v>
      </c>
      <c r="E2017" s="1" t="s">
        <v>2034</v>
      </c>
      <c r="F2017">
        <v>11852594513.249992</v>
      </c>
      <c r="G2017">
        <v>25411040428.687481</v>
      </c>
      <c r="H2017">
        <v>73194415796.249954</v>
      </c>
      <c r="I2017">
        <v>30947197760.906227</v>
      </c>
      <c r="J2017">
        <v>161871713357.90613</v>
      </c>
      <c r="K2017">
        <v>16793224048.406239</v>
      </c>
      <c r="L2017">
        <v>83235004104.468689</v>
      </c>
      <c r="M2017">
        <v>94514776692.562439</v>
      </c>
      <c r="N2017">
        <v>61843485205.031204</v>
      </c>
      <c r="O2017">
        <v>15517943254.218739</v>
      </c>
      <c r="P2017">
        <v>10409445520.781242</v>
      </c>
      <c r="Q2017">
        <v>13488517005.09374</v>
      </c>
      <c r="R2017">
        <v>10850754518.343742</v>
      </c>
      <c r="T2017">
        <v>12076418777.624992</v>
      </c>
      <c r="U2017">
        <v>-590287980.46874964</v>
      </c>
      <c r="V2017">
        <f t="shared" si="74"/>
        <v>14957063423.584051</v>
      </c>
      <c r="W2017">
        <f t="shared" si="75"/>
        <v>148849902797.26776</v>
      </c>
    </row>
    <row r="2018" spans="1:23" x14ac:dyDescent="0.2">
      <c r="A2018">
        <f>IF(D2018="USD",VLOOKUP(VALUE(RIGHT(E2018,4)),'USD RUB'!$E:$F,2,FALSE),1)</f>
        <v>62.869106644518261</v>
      </c>
      <c r="B2018" s="4">
        <v>62.869106644518261</v>
      </c>
      <c r="C2018">
        <v>1000</v>
      </c>
      <c r="D2018" t="s">
        <v>111</v>
      </c>
      <c r="E2018" s="1" t="s">
        <v>2035</v>
      </c>
      <c r="F2018">
        <v>10867868120.104649</v>
      </c>
      <c r="G2018">
        <v>15481957594.959133</v>
      </c>
      <c r="H2018">
        <v>68980801108.751816</v>
      </c>
      <c r="I2018">
        <v>32337982384.74086</v>
      </c>
      <c r="J2018">
        <v>125272981899.86708</v>
      </c>
      <c r="K2018">
        <v>20202798812.896011</v>
      </c>
      <c r="L2018">
        <v>59049745546.757133</v>
      </c>
      <c r="M2018">
        <v>81370981777.146835</v>
      </c>
      <c r="N2018">
        <v>46020437540.213943</v>
      </c>
      <c r="O2018">
        <v>59804426302.917931</v>
      </c>
      <c r="P2018">
        <v>36721593714.636536</v>
      </c>
      <c r="Q2018">
        <v>20965149600.06744</v>
      </c>
      <c r="R2018">
        <v>16855899051.568436</v>
      </c>
      <c r="S2018">
        <v>4549271425.903986</v>
      </c>
      <c r="T2018">
        <v>42086654668.359795</v>
      </c>
      <c r="U2018">
        <v>-5348212033.1425238</v>
      </c>
      <c r="V2018">
        <f t="shared" si="74"/>
        <v>52471710276.836945</v>
      </c>
      <c r="W2018">
        <f t="shared" si="75"/>
        <v>128899563971.31612</v>
      </c>
    </row>
    <row r="2019" spans="1:23" x14ac:dyDescent="0.2">
      <c r="A2019">
        <f>IF(D2019="USD",VLOOKUP(VALUE(RIGHT(E2019,4)),'USD RUB'!$E:$F,2,FALSE),1)</f>
        <v>62.869106644518261</v>
      </c>
      <c r="B2019" s="4">
        <v>62.869106644518261</v>
      </c>
      <c r="C2019">
        <v>1000</v>
      </c>
      <c r="D2019" t="s">
        <v>111</v>
      </c>
      <c r="E2019" s="1" t="s">
        <v>2036</v>
      </c>
      <c r="F2019">
        <v>21081394578.253151</v>
      </c>
      <c r="G2019">
        <v>26340395349.067104</v>
      </c>
      <c r="H2019">
        <v>71048377418.970093</v>
      </c>
      <c r="I2019">
        <v>34226381741.022255</v>
      </c>
      <c r="J2019">
        <v>140321834219.15213</v>
      </c>
      <c r="K2019">
        <v>24805697586.767769</v>
      </c>
      <c r="L2019">
        <v>65488610841.968758</v>
      </c>
      <c r="M2019">
        <v>82001496047.684708</v>
      </c>
      <c r="N2019">
        <v>50027525790.415604</v>
      </c>
      <c r="O2019">
        <v>44794238484.219261</v>
      </c>
      <c r="Q2019">
        <v>16886830652.037539</v>
      </c>
      <c r="R2019">
        <v>13560740565.0093</v>
      </c>
      <c r="T2019">
        <v>32247513740.279396</v>
      </c>
      <c r="U2019">
        <v>-3082598036.9940195</v>
      </c>
      <c r="V2019">
        <f t="shared" si="74"/>
        <v>38577274216.617805</v>
      </c>
      <c r="W2019">
        <f t="shared" si="75"/>
        <v>129022254208.06331</v>
      </c>
    </row>
    <row r="2020" spans="1:23" x14ac:dyDescent="0.2">
      <c r="A2020">
        <f>IF(D2020="USD",VLOOKUP(VALUE(RIGHT(E2020,4)),'USD RUB'!$E:$F,2,FALSE),1)</f>
        <v>62.869106644518261</v>
      </c>
      <c r="B2020" s="4">
        <v>62.869106644518261</v>
      </c>
      <c r="C2020">
        <v>1000</v>
      </c>
      <c r="D2020" t="s">
        <v>111</v>
      </c>
      <c r="E2020" s="1" t="s">
        <v>2037</v>
      </c>
      <c r="F2020">
        <v>14283295207.674747</v>
      </c>
      <c r="G2020">
        <v>20238382727.256805</v>
      </c>
      <c r="H2020">
        <v>73464500056.425568</v>
      </c>
      <c r="I2020">
        <v>35767617890.412621</v>
      </c>
      <c r="J2020">
        <v>138541758333.61923</v>
      </c>
      <c r="K2020">
        <v>15991197358.779732</v>
      </c>
      <c r="L2020">
        <v>65614537662.577728</v>
      </c>
      <c r="M2020">
        <v>87129100385.611618</v>
      </c>
      <c r="N2020">
        <v>56936023312.261787</v>
      </c>
      <c r="O2020">
        <v>30207222622.344845</v>
      </c>
      <c r="Q2020">
        <v>11001779317.257473</v>
      </c>
      <c r="R2020">
        <v>8819655494.7328892</v>
      </c>
      <c r="S2020">
        <v>2342754390.0013285</v>
      </c>
      <c r="T2020">
        <v>21542728082.810627</v>
      </c>
      <c r="U2020">
        <v>-1880289241.5242522</v>
      </c>
      <c r="V2020">
        <f t="shared" si="74"/>
        <v>26174247612.219131</v>
      </c>
      <c r="W2020">
        <f t="shared" si="75"/>
        <v>125800294297.89566</v>
      </c>
    </row>
    <row r="2021" spans="1:23" x14ac:dyDescent="0.2">
      <c r="A2021">
        <f>IF(D2021="USD",VLOOKUP(VALUE(RIGHT(E2021,4)),'USD RUB'!$E:$F,2,FALSE),1)</f>
        <v>62.869106644518261</v>
      </c>
      <c r="B2021" s="4">
        <v>62.869106644518261</v>
      </c>
      <c r="C2021">
        <v>1000</v>
      </c>
      <c r="D2021" t="s">
        <v>111</v>
      </c>
      <c r="E2021" s="1" t="s">
        <v>2038</v>
      </c>
      <c r="F2021">
        <v>14198233306.384716</v>
      </c>
      <c r="G2021">
        <v>19858967668.657139</v>
      </c>
      <c r="H2021">
        <v>80395316111.130554</v>
      </c>
      <c r="I2021">
        <v>39170534025.76046</v>
      </c>
      <c r="J2021">
        <v>148849902797.26776</v>
      </c>
      <c r="K2021">
        <v>15931848922.107306</v>
      </c>
      <c r="L2021">
        <v>72682596977.087692</v>
      </c>
      <c r="M2021">
        <v>85383476770.519913</v>
      </c>
      <c r="N2021">
        <v>60235456898.072746</v>
      </c>
      <c r="O2021">
        <v>14957063423.584051</v>
      </c>
      <c r="Q2021">
        <v>8720196568.0212612</v>
      </c>
      <c r="R2021">
        <v>6989158585.6710949</v>
      </c>
      <c r="T2021">
        <v>10561318356.105978</v>
      </c>
      <c r="U2021">
        <v>-834147306.95946825</v>
      </c>
      <c r="V2021">
        <f t="shared" si="74"/>
        <v>13207743936.675901</v>
      </c>
      <c r="W2021">
        <f t="shared" si="75"/>
        <v>141649143844.24548</v>
      </c>
    </row>
    <row r="2022" spans="1:23" x14ac:dyDescent="0.2">
      <c r="A2022">
        <f>IF(D2022="USD",VLOOKUP(VALUE(RIGHT(E2022,4)),'USD RUB'!$E:$F,2,FALSE),1)</f>
        <v>58.312850165016478</v>
      </c>
      <c r="B2022" s="4">
        <v>58.312850165016478</v>
      </c>
      <c r="C2022">
        <v>1000</v>
      </c>
      <c r="D2022" t="s">
        <v>111</v>
      </c>
      <c r="E2022" s="1" t="s">
        <v>2039</v>
      </c>
      <c r="F2022">
        <v>7086644054.8541222</v>
      </c>
      <c r="G2022">
        <v>11187495242.708906</v>
      </c>
      <c r="H2022">
        <v>74648028881.742538</v>
      </c>
      <c r="I2022">
        <v>34147538553.832329</v>
      </c>
      <c r="J2022">
        <v>128899563971.31612</v>
      </c>
      <c r="K2022">
        <v>15031070135.635637</v>
      </c>
      <c r="L2022">
        <v>66676195761.383469</v>
      </c>
      <c r="M2022">
        <v>70847955375.03891</v>
      </c>
      <c r="N2022">
        <v>47192298074.297012</v>
      </c>
      <c r="O2022">
        <v>52471710276.836945</v>
      </c>
      <c r="Q2022">
        <v>32282693605.555103</v>
      </c>
      <c r="R2022">
        <v>25596542205.634312</v>
      </c>
      <c r="S2022">
        <v>4286869179.8811865</v>
      </c>
      <c r="T2022">
        <v>38121617605.428368</v>
      </c>
      <c r="U2022">
        <v>-8683774708.0237579</v>
      </c>
      <c r="V2022">
        <f t="shared" si="74"/>
        <v>58024793000</v>
      </c>
      <c r="W2022">
        <f t="shared" si="75"/>
        <v>132350434000</v>
      </c>
    </row>
    <row r="2023" spans="1:23" x14ac:dyDescent="0.2">
      <c r="A2023">
        <f>IF(D2023="USD",VLOOKUP(VALUE(RIGHT(E2023,4)),'USD RUB'!$E:$F,2,FALSE),1)</f>
        <v>58.312850165016478</v>
      </c>
      <c r="B2023" s="4">
        <v>58.312850165016478</v>
      </c>
      <c r="C2023">
        <v>1000</v>
      </c>
      <c r="D2023" t="s">
        <v>111</v>
      </c>
      <c r="E2023" s="1" t="s">
        <v>2040</v>
      </c>
      <c r="F2023">
        <v>8757248899.2316799</v>
      </c>
      <c r="G2023">
        <v>11729688123.54323</v>
      </c>
      <c r="H2023">
        <v>73645397736.005249</v>
      </c>
      <c r="I2023">
        <v>35848466080.295692</v>
      </c>
      <c r="J2023">
        <v>129022254208.06331</v>
      </c>
      <c r="K2023">
        <v>14302392759.973591</v>
      </c>
      <c r="L2023">
        <v>72438613301.84024</v>
      </c>
      <c r="M2023">
        <v>66293080335.799316</v>
      </c>
      <c r="N2023">
        <v>42281248146.249489</v>
      </c>
      <c r="O2023">
        <v>38577274216.617805</v>
      </c>
      <c r="P2023">
        <v>24540088299.19471</v>
      </c>
      <c r="Q2023">
        <v>25988754435.844215</v>
      </c>
      <c r="R2023">
        <v>20954955958.199333</v>
      </c>
      <c r="T2023">
        <v>28133209500.662693</v>
      </c>
      <c r="U2023">
        <v>-7018126455.9102278</v>
      </c>
      <c r="V2023">
        <f t="shared" si="74"/>
        <v>43538738541.749962</v>
      </c>
      <c r="W2023">
        <f t="shared" si="75"/>
        <v>152352426509.52859</v>
      </c>
    </row>
    <row r="2024" spans="1:23" x14ac:dyDescent="0.2">
      <c r="A2024">
        <f>IF(D2024="USD",VLOOKUP(VALUE(RIGHT(E2024,4)),'USD RUB'!$E:$F,2,FALSE),1)</f>
        <v>58.312850165016478</v>
      </c>
      <c r="B2024" s="4">
        <v>58.312850165016478</v>
      </c>
      <c r="C2024">
        <v>1000</v>
      </c>
      <c r="D2024" t="s">
        <v>111</v>
      </c>
      <c r="E2024" s="1" t="s">
        <v>2041</v>
      </c>
      <c r="F2024">
        <v>7157494167.8046179</v>
      </c>
      <c r="G2024">
        <v>11056233016.987453</v>
      </c>
      <c r="H2024">
        <v>71582405722.867294</v>
      </c>
      <c r="I2024">
        <v>35209532181.037613</v>
      </c>
      <c r="J2024">
        <v>125800294297.89566</v>
      </c>
      <c r="K2024">
        <v>18623608208.601974</v>
      </c>
      <c r="L2024">
        <v>72256560583.625046</v>
      </c>
      <c r="M2024">
        <v>59723379697.658058</v>
      </c>
      <c r="N2024">
        <v>34920125505.668633</v>
      </c>
      <c r="O2024">
        <v>26174247612.219131</v>
      </c>
      <c r="P2024">
        <v>16785353919.999992</v>
      </c>
      <c r="Q2024">
        <v>17859768184.290421</v>
      </c>
      <c r="R2024">
        <v>14345019453.444218</v>
      </c>
      <c r="S2024">
        <v>2050396437.5023093</v>
      </c>
      <c r="T2024">
        <v>19270472655.482502</v>
      </c>
      <c r="U2024">
        <v>-3850164244.995378</v>
      </c>
      <c r="V2024">
        <f t="shared" si="74"/>
        <v>31051640000</v>
      </c>
      <c r="W2024">
        <f t="shared" si="75"/>
        <v>139694250000</v>
      </c>
    </row>
    <row r="2025" spans="1:23" x14ac:dyDescent="0.2">
      <c r="A2025">
        <f>IF(D2025="USD",VLOOKUP(VALUE(RIGHT(E2025,4)),'USD RUB'!$E:$F,2,FALSE),1)</f>
        <v>58.312850165016478</v>
      </c>
      <c r="B2025" s="4">
        <v>58.312850165016478</v>
      </c>
      <c r="C2025">
        <v>1000</v>
      </c>
      <c r="D2025" t="s">
        <v>111</v>
      </c>
      <c r="E2025" s="1" t="s">
        <v>2042</v>
      </c>
      <c r="F2025">
        <v>20315438930.439594</v>
      </c>
      <c r="G2025">
        <v>23853337862.801311</v>
      </c>
      <c r="H2025">
        <v>72249329790.20459</v>
      </c>
      <c r="I2025">
        <v>36890924902.695694</v>
      </c>
      <c r="J2025">
        <v>141649143844.24548</v>
      </c>
      <c r="K2025">
        <v>14732858219.891743</v>
      </c>
      <c r="L2025">
        <v>78386698957.222412</v>
      </c>
      <c r="M2025">
        <v>71391955954.228348</v>
      </c>
      <c r="N2025">
        <v>48529586667.131332</v>
      </c>
      <c r="O2025">
        <v>13207743936.675901</v>
      </c>
      <c r="P2025">
        <v>8792994676.3828354</v>
      </c>
      <c r="Q2025">
        <v>13884406249.990753</v>
      </c>
      <c r="R2025">
        <v>11156706057.821777</v>
      </c>
      <c r="T2025">
        <v>10047537334.832998</v>
      </c>
      <c r="U2025">
        <v>-1575963088.5597353</v>
      </c>
      <c r="V2025">
        <f t="shared" si="74"/>
        <v>14836785460.515945</v>
      </c>
      <c r="W2025">
        <f t="shared" si="75"/>
        <v>134230915617.65733</v>
      </c>
    </row>
    <row r="2026" spans="1:23" x14ac:dyDescent="0.2">
      <c r="A2026">
        <f>IF(D2026="USD",VLOOKUP(VALUE(RIGHT(E2026,4)),'USD RUB'!$E:$F,2,FALSE),1)</f>
        <v>1</v>
      </c>
      <c r="B2026" s="4">
        <v>1</v>
      </c>
      <c r="C2026">
        <v>1000</v>
      </c>
      <c r="D2026" t="s">
        <v>20</v>
      </c>
      <c r="E2026" s="1" t="s">
        <v>2043</v>
      </c>
      <c r="F2026">
        <v>14202111000</v>
      </c>
      <c r="G2026">
        <v>18153922000</v>
      </c>
      <c r="H2026">
        <v>69424210000</v>
      </c>
      <c r="J2026">
        <v>132350434000</v>
      </c>
      <c r="K2026">
        <v>15562857000</v>
      </c>
      <c r="L2026">
        <v>80920798000</v>
      </c>
      <c r="M2026">
        <v>34458562000</v>
      </c>
      <c r="N2026">
        <v>35866779000</v>
      </c>
      <c r="O2026">
        <v>58024793000</v>
      </c>
      <c r="P2026">
        <v>40226734000</v>
      </c>
      <c r="Q2026">
        <v>53067119000</v>
      </c>
      <c r="R2026">
        <v>42421861000</v>
      </c>
      <c r="U2026">
        <v>-6640164000</v>
      </c>
      <c r="V2026" t="str">
        <f t="shared" si="74"/>
        <v/>
      </c>
      <c r="W2026" t="str">
        <f t="shared" si="75"/>
        <v/>
      </c>
    </row>
    <row r="2027" spans="1:23" x14ac:dyDescent="0.2">
      <c r="A2027">
        <f>IF(D2027="USD",VLOOKUP(VALUE(RIGHT(E2027,4)),'USD RUB'!$E:$F,2,FALSE),1)</f>
        <v>67.054371276595688</v>
      </c>
      <c r="B2027" s="4">
        <v>67.054371276595688</v>
      </c>
      <c r="C2027">
        <v>1000</v>
      </c>
      <c r="D2027" t="s">
        <v>111</v>
      </c>
      <c r="E2027" s="1" t="s">
        <v>2044</v>
      </c>
      <c r="F2027">
        <v>25695838562.532959</v>
      </c>
      <c r="G2027">
        <v>31564638299.774441</v>
      </c>
      <c r="H2027">
        <v>71750457114.580795</v>
      </c>
      <c r="J2027">
        <v>152352426509.52859</v>
      </c>
      <c r="K2027">
        <v>25649235774.495724</v>
      </c>
      <c r="L2027">
        <v>95792936044.546722</v>
      </c>
      <c r="M2027">
        <v>62553950093.995689</v>
      </c>
      <c r="N2027">
        <v>30910254690.486145</v>
      </c>
      <c r="O2027">
        <v>43538738541.749962</v>
      </c>
      <c r="P2027">
        <v>29550190877.882954</v>
      </c>
      <c r="Q2027">
        <v>40895321117.284012</v>
      </c>
      <c r="R2027">
        <v>32753981683.107418</v>
      </c>
      <c r="T2027">
        <v>34662349089.639336</v>
      </c>
      <c r="U2027">
        <v>-3837052287.5606351</v>
      </c>
      <c r="V2027">
        <f t="shared" si="74"/>
        <v>40099013829.257141</v>
      </c>
      <c r="W2027">
        <f t="shared" si="75"/>
        <v>126975085862.07274</v>
      </c>
    </row>
    <row r="2028" spans="1:23" x14ac:dyDescent="0.2">
      <c r="A2028">
        <f>IF(D2028="USD",VLOOKUP(VALUE(RIGHT(E2028,4)),'USD RUB'!$E:$F,2,FALSE),1)</f>
        <v>1</v>
      </c>
      <c r="B2028" s="4">
        <v>1</v>
      </c>
      <c r="C2028">
        <v>1000</v>
      </c>
      <c r="D2028" t="s">
        <v>20</v>
      </c>
      <c r="E2028" s="1" t="s">
        <v>2045</v>
      </c>
      <c r="F2028">
        <v>21311202000</v>
      </c>
      <c r="G2028">
        <v>25057211000</v>
      </c>
      <c r="H2028">
        <v>67082541000</v>
      </c>
      <c r="J2028">
        <v>139694250000</v>
      </c>
      <c r="K2028">
        <v>16899996000</v>
      </c>
      <c r="L2028">
        <v>91641102000</v>
      </c>
      <c r="M2028">
        <v>29068856000</v>
      </c>
      <c r="N2028">
        <v>31153152000</v>
      </c>
      <c r="O2028">
        <v>31051640000</v>
      </c>
      <c r="P2028">
        <v>21106932000</v>
      </c>
      <c r="Q2028">
        <v>31826601000</v>
      </c>
      <c r="R2028">
        <v>25572820000</v>
      </c>
      <c r="U2028">
        <v>-2245499000</v>
      </c>
      <c r="V2028">
        <f t="shared" si="74"/>
        <v>26834800330.005196</v>
      </c>
      <c r="W2028">
        <f t="shared" si="75"/>
        <v>143030714437.26236</v>
      </c>
    </row>
    <row r="2029" spans="1:23" x14ac:dyDescent="0.2">
      <c r="A2029">
        <f>IF(D2029="USD",VLOOKUP(VALUE(RIGHT(E2029,4)),'USD RUB'!$E:$F,2,FALSE),1)</f>
        <v>67.054371276595688</v>
      </c>
      <c r="B2029" s="4">
        <v>67.054371276595688</v>
      </c>
      <c r="C2029">
        <v>1000</v>
      </c>
      <c r="D2029" t="s">
        <v>111</v>
      </c>
      <c r="E2029" s="1" t="s">
        <v>2046</v>
      </c>
      <c r="F2029">
        <v>16004336173.184029</v>
      </c>
      <c r="G2029">
        <v>19672612608.241474</v>
      </c>
      <c r="H2029">
        <v>65773029295.871223</v>
      </c>
      <c r="J2029">
        <v>134230915617.65733</v>
      </c>
      <c r="K2029">
        <v>26094677962.886147</v>
      </c>
      <c r="L2029">
        <v>85960351258.031845</v>
      </c>
      <c r="M2029">
        <v>54097991549.789314</v>
      </c>
      <c r="N2029">
        <v>22175886396.739342</v>
      </c>
      <c r="O2029">
        <v>14836785460.515945</v>
      </c>
      <c r="P2029">
        <v>10145058156.663822</v>
      </c>
      <c r="Q2029">
        <v>17472759849.770199</v>
      </c>
      <c r="R2029">
        <v>14095030005.454243</v>
      </c>
      <c r="T2029">
        <v>12854322973.723394</v>
      </c>
      <c r="U2029">
        <v>-897925085.76489282</v>
      </c>
      <c r="V2029">
        <f t="shared" si="74"/>
        <v>13464869043.833767</v>
      </c>
      <c r="W2029">
        <f t="shared" si="75"/>
        <v>143888033014.03638</v>
      </c>
    </row>
    <row r="2030" spans="1:23" x14ac:dyDescent="0.2">
      <c r="A2030">
        <f>IF(D2030="USD",VLOOKUP(VALUE(RIGHT(E2030,4)),'USD RUB'!$E:$F,2,FALSE),1)</f>
        <v>61.250166233766237</v>
      </c>
      <c r="B2030" s="4">
        <v>61.250166233766237</v>
      </c>
      <c r="C2030">
        <v>1000</v>
      </c>
      <c r="D2030" t="s">
        <v>111</v>
      </c>
      <c r="E2030" s="1" t="s">
        <v>2047</v>
      </c>
      <c r="F2030">
        <v>19441109013.428574</v>
      </c>
      <c r="G2030">
        <v>22805090643.319481</v>
      </c>
      <c r="H2030">
        <v>61220704903.807793</v>
      </c>
      <c r="J2030">
        <v>126975085862.07274</v>
      </c>
      <c r="K2030">
        <v>17426836046.664936</v>
      </c>
      <c r="L2030">
        <v>89878187680.597412</v>
      </c>
      <c r="N2030">
        <v>19670062134.81039</v>
      </c>
      <c r="O2030">
        <v>40099013829.257141</v>
      </c>
      <c r="P2030">
        <v>27342809208.748055</v>
      </c>
      <c r="Q2030">
        <v>10821863120.680519</v>
      </c>
      <c r="R2030">
        <v>9585773515.9168835</v>
      </c>
      <c r="T2030">
        <v>29914581188.57143</v>
      </c>
      <c r="V2030">
        <f t="shared" si="74"/>
        <v>28951710474.487068</v>
      </c>
      <c r="W2030">
        <f t="shared" si="75"/>
        <v>121470131505.77109</v>
      </c>
    </row>
    <row r="2031" spans="1:23" x14ac:dyDescent="0.2">
      <c r="A2031">
        <f>IF(D2031="USD",VLOOKUP(VALUE(RIGHT(E2031,4)),'USD RUB'!$E:$F,2,FALSE),1)</f>
        <v>61.250166233766237</v>
      </c>
      <c r="B2031" s="4">
        <v>61.250166233766237</v>
      </c>
      <c r="C2031">
        <v>1000</v>
      </c>
      <c r="D2031" t="s">
        <v>111</v>
      </c>
      <c r="E2031" s="1" t="s">
        <v>2048</v>
      </c>
      <c r="F2031">
        <v>18438076291.184418</v>
      </c>
      <c r="G2031">
        <v>22615766379.49091</v>
      </c>
      <c r="H2031">
        <v>72062229327.84935</v>
      </c>
      <c r="J2031">
        <v>143030714437.26236</v>
      </c>
      <c r="K2031">
        <v>22676281543.72987</v>
      </c>
      <c r="L2031">
        <v>91408890584.945465</v>
      </c>
      <c r="N2031">
        <v>28945542308.587013</v>
      </c>
      <c r="O2031">
        <v>26834800330.005196</v>
      </c>
      <c r="P2031">
        <v>18192401874.42078</v>
      </c>
      <c r="Q2031">
        <v>18100894126.067532</v>
      </c>
      <c r="R2031">
        <v>15329814105.319481</v>
      </c>
      <c r="T2031">
        <v>20097343294.457146</v>
      </c>
      <c r="V2031">
        <f t="shared" si="74"/>
        <v>19811009257.376423</v>
      </c>
      <c r="W2031">
        <f t="shared" si="75"/>
        <v>137692095996.62775</v>
      </c>
    </row>
    <row r="2032" spans="1:23" x14ac:dyDescent="0.2">
      <c r="A2032">
        <f>IF(D2032="USD",VLOOKUP(VALUE(RIGHT(E2032,4)),'USD RUB'!$E:$F,2,FALSE),1)</f>
        <v>61.250166233766237</v>
      </c>
      <c r="B2032" s="4">
        <v>61.250166233766237</v>
      </c>
      <c r="C2032">
        <v>1000</v>
      </c>
      <c r="D2032" t="s">
        <v>111</v>
      </c>
      <c r="E2032" s="1" t="s">
        <v>2049</v>
      </c>
      <c r="F2032">
        <v>24619933068.825974</v>
      </c>
      <c r="G2032">
        <v>28743233009.516884</v>
      </c>
      <c r="H2032">
        <v>68539364766.748055</v>
      </c>
      <c r="J2032">
        <v>143888033014.03638</v>
      </c>
      <c r="K2032">
        <v>20281216293.49091</v>
      </c>
      <c r="L2032">
        <v>101625847063.90131</v>
      </c>
      <c r="N2032">
        <v>21980969656.644157</v>
      </c>
      <c r="O2032">
        <v>13464869043.833767</v>
      </c>
      <c r="P2032">
        <v>9555883434.7948055</v>
      </c>
      <c r="Q2032">
        <v>5445139778.181818</v>
      </c>
      <c r="R2032">
        <v>4348823052.7636366</v>
      </c>
      <c r="T2032">
        <v>10314527993.766233</v>
      </c>
      <c r="V2032">
        <f t="shared" si="74"/>
        <v>9901085816.214447</v>
      </c>
      <c r="W2032">
        <f t="shared" si="75"/>
        <v>134553304964.27678</v>
      </c>
    </row>
    <row r="2033" spans="1:24" x14ac:dyDescent="0.2">
      <c r="A2033">
        <f>IF(D2033="USD",VLOOKUP(VALUE(RIGHT(E2033,4)),'USD RUB'!$E:$F,2,FALSE),1)</f>
        <v>38.761512927756648</v>
      </c>
      <c r="B2033" s="4">
        <v>38.761512927756648</v>
      </c>
      <c r="C2033">
        <v>1000</v>
      </c>
      <c r="D2033" t="s">
        <v>111</v>
      </c>
      <c r="E2033" s="1" t="s">
        <v>2050</v>
      </c>
      <c r="F2033">
        <v>12044093581.451328</v>
      </c>
      <c r="G2033">
        <v>14160162095.203421</v>
      </c>
      <c r="H2033">
        <v>45094795286.535736</v>
      </c>
      <c r="J2033">
        <v>89942757258.747513</v>
      </c>
      <c r="K2033">
        <v>72042458019.631927</v>
      </c>
      <c r="L2033">
        <v>6513213301.7897329</v>
      </c>
      <c r="N2033">
        <v>11387085937.325853</v>
      </c>
      <c r="O2033">
        <v>37042246021.846001</v>
      </c>
      <c r="P2033">
        <v>18677855188.446384</v>
      </c>
      <c r="Q2033">
        <v>-19071168260.124332</v>
      </c>
      <c r="R2033">
        <v>-16072965235.162355</v>
      </c>
      <c r="T2033">
        <v>22059177007.18631</v>
      </c>
      <c r="V2033">
        <f t="shared" si="74"/>
        <v>29557805000</v>
      </c>
      <c r="W2033">
        <f t="shared" si="75"/>
        <v>119707738000</v>
      </c>
    </row>
    <row r="2034" spans="1:24" x14ac:dyDescent="0.2">
      <c r="A2034">
        <f>IF(D2034="USD",VLOOKUP(VALUE(RIGHT(E2034,4)),'USD RUB'!$E:$F,2,FALSE),1)</f>
        <v>38.761512927756648</v>
      </c>
      <c r="B2034" s="4">
        <v>38.761512927756648</v>
      </c>
      <c r="C2034">
        <v>1000</v>
      </c>
      <c r="D2034" t="s">
        <v>111</v>
      </c>
      <c r="E2034" s="1" t="s">
        <v>2051</v>
      </c>
      <c r="F2034">
        <v>17162086225.406462</v>
      </c>
      <c r="G2034">
        <v>20346073181.831177</v>
      </c>
      <c r="H2034">
        <v>63226965895.985161</v>
      </c>
      <c r="J2034">
        <v>121470131505.77109</v>
      </c>
      <c r="K2034">
        <v>76492667318.867676</v>
      </c>
      <c r="L2034">
        <v>8917279856.5950565</v>
      </c>
      <c r="N2034">
        <v>36060184330.308357</v>
      </c>
      <c r="O2034">
        <v>28951710474.487068</v>
      </c>
      <c r="P2034">
        <v>15306611363.067678</v>
      </c>
      <c r="Q2034">
        <v>591849540.89391625</v>
      </c>
      <c r="R2034">
        <v>390987380.90228128</v>
      </c>
      <c r="T2034">
        <v>17473690027.832699</v>
      </c>
      <c r="V2034">
        <f t="shared" si="74"/>
        <v>22030546551.999996</v>
      </c>
      <c r="W2034">
        <f t="shared" si="75"/>
        <v>123574359383.99998</v>
      </c>
    </row>
    <row r="2035" spans="1:24" x14ac:dyDescent="0.2">
      <c r="A2035">
        <f>IF(D2035="USD",VLOOKUP(VALUE(RIGHT(E2035,4)),'USD RUB'!$E:$F,2,FALSE),1)</f>
        <v>38.761512927756648</v>
      </c>
      <c r="B2035" s="4">
        <v>38.761512927756648</v>
      </c>
      <c r="C2035">
        <v>1000</v>
      </c>
      <c r="D2035" t="s">
        <v>111</v>
      </c>
      <c r="E2035" s="1" t="s">
        <v>2052</v>
      </c>
      <c r="F2035">
        <v>15717599684.640682</v>
      </c>
      <c r="G2035">
        <v>19516111667.022049</v>
      </c>
      <c r="H2035">
        <v>73685791121.717102</v>
      </c>
      <c r="J2035">
        <v>137692095996.62775</v>
      </c>
      <c r="K2035">
        <v>78741687821.96196</v>
      </c>
      <c r="L2035">
        <v>11681014489.857033</v>
      </c>
      <c r="N2035">
        <v>47269393684.808739</v>
      </c>
      <c r="O2035">
        <v>19811009257.376423</v>
      </c>
      <c r="P2035">
        <v>10187533396.750568</v>
      </c>
      <c r="Q2035">
        <v>6615117319.2768049</v>
      </c>
      <c r="R2035">
        <v>5343933502.8110256</v>
      </c>
      <c r="T2035">
        <v>11814509140.380226</v>
      </c>
      <c r="V2035">
        <f t="shared" si="74"/>
        <v>14906457159.999998</v>
      </c>
      <c r="W2035">
        <f t="shared" si="75"/>
        <v>121261861447.99998</v>
      </c>
    </row>
    <row r="2036" spans="1:24" x14ac:dyDescent="0.2">
      <c r="A2036">
        <f>IF(D2036="USD",VLOOKUP(VALUE(RIGHT(E2036,4)),'USD RUB'!$E:$F,2,FALSE),1)</f>
        <v>38.761512927756648</v>
      </c>
      <c r="B2036" s="4">
        <v>38.761512927756648</v>
      </c>
      <c r="C2036">
        <v>1000</v>
      </c>
      <c r="D2036" t="s">
        <v>111</v>
      </c>
      <c r="E2036" s="1" t="s">
        <v>2053</v>
      </c>
      <c r="F2036">
        <v>18491412311.263874</v>
      </c>
      <c r="G2036">
        <v>22345934679.825851</v>
      </c>
      <c r="H2036">
        <v>69385395069.947144</v>
      </c>
      <c r="J2036">
        <v>134553304964.27678</v>
      </c>
      <c r="K2036">
        <v>16513296022.021671</v>
      </c>
      <c r="L2036">
        <v>79441061799.717484</v>
      </c>
      <c r="N2036">
        <v>38598947142.537636</v>
      </c>
      <c r="O2036">
        <v>9901085816.214447</v>
      </c>
      <c r="P2036">
        <v>5157606910.1672993</v>
      </c>
      <c r="Q2036">
        <v>-1499217797.0197716</v>
      </c>
      <c r="R2036">
        <v>-1247810624.170342</v>
      </c>
      <c r="T2036">
        <v>5880121511.1406832</v>
      </c>
      <c r="V2036">
        <f t="shared" si="74"/>
        <v>7628878879.999999</v>
      </c>
      <c r="W2036">
        <f t="shared" si="75"/>
        <v>125449587647.99998</v>
      </c>
    </row>
    <row r="2037" spans="1:24" x14ac:dyDescent="0.2">
      <c r="A2037">
        <f>IF(D2037="USD",VLOOKUP(VALUE(RIGHT(E2037,4)),'USD RUB'!$E:$F,2,FALSE),1)</f>
        <v>1</v>
      </c>
      <c r="B2037" s="4">
        <v>1</v>
      </c>
      <c r="C2037">
        <v>1000</v>
      </c>
      <c r="D2037" t="s">
        <v>20</v>
      </c>
      <c r="E2037" s="1" t="s">
        <v>2054</v>
      </c>
      <c r="F2037">
        <v>13777885000</v>
      </c>
      <c r="G2037">
        <v>16963174000</v>
      </c>
      <c r="H2037">
        <v>64143085000</v>
      </c>
      <c r="J2037">
        <v>119707738000</v>
      </c>
      <c r="K2037">
        <v>15169581000</v>
      </c>
      <c r="L2037">
        <v>67924655000</v>
      </c>
      <c r="N2037">
        <v>36613502000</v>
      </c>
      <c r="O2037" s="16">
        <v>29557805000</v>
      </c>
      <c r="P2037">
        <v>5322807000</v>
      </c>
      <c r="Q2037">
        <v>-2168964000</v>
      </c>
      <c r="R2037">
        <v>-3334630000</v>
      </c>
      <c r="V2037" s="15">
        <f t="shared" si="74"/>
        <v>32140198000</v>
      </c>
      <c r="W2037">
        <f t="shared" si="75"/>
        <v>120921805000</v>
      </c>
      <c r="X2037">
        <f>O2037/V2037-1</f>
        <v>-8.0347762636683195E-2</v>
      </c>
    </row>
    <row r="2038" spans="1:24" x14ac:dyDescent="0.2">
      <c r="A2038">
        <f>IF(D2038="USD",VLOOKUP(VALUE(RIGHT(E2038,4)),'USD RUB'!$E:$F,2,FALSE),1)</f>
        <v>31.863999999999997</v>
      </c>
      <c r="B2038" s="4">
        <v>31.863999999999997</v>
      </c>
      <c r="C2038">
        <v>1000</v>
      </c>
      <c r="D2038" t="s">
        <v>111</v>
      </c>
      <c r="E2038" s="1" t="s">
        <v>2055</v>
      </c>
      <c r="F2038">
        <v>11903434479.999998</v>
      </c>
      <c r="G2038">
        <v>14777376095.999998</v>
      </c>
      <c r="H2038">
        <v>62560534903.999992</v>
      </c>
      <c r="J2038">
        <v>123574359383.99998</v>
      </c>
      <c r="K2038">
        <v>16339668015.999998</v>
      </c>
      <c r="L2038">
        <v>64722985263.999992</v>
      </c>
      <c r="N2038">
        <v>42511706104</v>
      </c>
      <c r="O2038">
        <v>22030546551.999996</v>
      </c>
      <c r="P2038">
        <v>10083012296</v>
      </c>
      <c r="Q2038">
        <v>4030509223.9999995</v>
      </c>
      <c r="R2038">
        <v>3245189079.9999995</v>
      </c>
      <c r="T2038">
        <v>12097454375.999998</v>
      </c>
      <c r="V2038">
        <f t="shared" si="74"/>
        <v>24411818240.119526</v>
      </c>
      <c r="W2038">
        <f t="shared" si="75"/>
        <v>122974019516.10109</v>
      </c>
    </row>
    <row r="2039" spans="1:24" x14ac:dyDescent="0.2">
      <c r="A2039">
        <f>IF(D2039="USD",VLOOKUP(VALUE(RIGHT(E2039,4)),'USD RUB'!$E:$F,2,FALSE),1)</f>
        <v>31.863999999999997</v>
      </c>
      <c r="B2039" s="4">
        <v>31.863999999999997</v>
      </c>
      <c r="C2039">
        <v>1000</v>
      </c>
      <c r="D2039" t="s">
        <v>111</v>
      </c>
      <c r="E2039" s="1" t="s">
        <v>2056</v>
      </c>
      <c r="F2039">
        <v>10402863128</v>
      </c>
      <c r="G2039">
        <v>13595922703.999998</v>
      </c>
      <c r="H2039">
        <v>61692527679.999992</v>
      </c>
      <c r="J2039">
        <v>121261861447.99998</v>
      </c>
      <c r="K2039">
        <v>12851006111.999998</v>
      </c>
      <c r="L2039">
        <v>69083223160</v>
      </c>
      <c r="N2039">
        <v>39327632176</v>
      </c>
      <c r="O2039">
        <v>14906457159.999998</v>
      </c>
      <c r="P2039">
        <v>6659321087.999999</v>
      </c>
      <c r="Q2039">
        <v>566382600</v>
      </c>
      <c r="R2039">
        <v>442081135.99999994</v>
      </c>
      <c r="T2039">
        <v>8017970183.999999</v>
      </c>
      <c r="V2039">
        <f t="shared" si="74"/>
        <v>16807326965.926428</v>
      </c>
      <c r="W2039">
        <f t="shared" si="75"/>
        <v>115492320108.24821</v>
      </c>
    </row>
    <row r="2040" spans="1:24" x14ac:dyDescent="0.2">
      <c r="A2040">
        <f>IF(D2040="USD",VLOOKUP(VALUE(RIGHT(E2040,4)),'USD RUB'!$E:$F,2,FALSE),1)</f>
        <v>31.863999999999997</v>
      </c>
      <c r="B2040" s="4">
        <v>31.863999999999997</v>
      </c>
      <c r="C2040">
        <v>1000</v>
      </c>
      <c r="D2040" t="s">
        <v>111</v>
      </c>
      <c r="E2040" s="1" t="s">
        <v>2057</v>
      </c>
      <c r="F2040">
        <v>9974993336</v>
      </c>
      <c r="G2040">
        <v>13088584095.999998</v>
      </c>
      <c r="H2040">
        <v>64485502871.999992</v>
      </c>
      <c r="J2040">
        <v>125449587647.99998</v>
      </c>
      <c r="K2040">
        <v>8801569672</v>
      </c>
      <c r="L2040">
        <v>74099891320</v>
      </c>
      <c r="N2040">
        <v>42548126656</v>
      </c>
      <c r="O2040">
        <v>7628878879.999999</v>
      </c>
      <c r="P2040">
        <v>3668629775.9999995</v>
      </c>
      <c r="Q2040">
        <v>1491267063.9999998</v>
      </c>
      <c r="R2040">
        <v>1204044968</v>
      </c>
      <c r="T2040">
        <v>4374640424</v>
      </c>
      <c r="V2040">
        <f t="shared" si="74"/>
        <v>8532310716.5701103</v>
      </c>
      <c r="W2040">
        <f t="shared" si="75"/>
        <v>131337254561.41142</v>
      </c>
    </row>
    <row r="2041" spans="1:24" x14ac:dyDescent="0.2">
      <c r="A2041">
        <f>IF(D2041="USD",VLOOKUP(VALUE(RIGHT(E2041,4)),'USD RUB'!$E:$F,2,FALSE),1)</f>
        <v>1</v>
      </c>
      <c r="B2041" s="4">
        <v>31.062956321839064</v>
      </c>
      <c r="C2041">
        <v>1000</v>
      </c>
      <c r="D2041" t="s">
        <v>20</v>
      </c>
      <c r="E2041" s="1" t="s">
        <v>2058</v>
      </c>
      <c r="F2041">
        <v>7367793000</v>
      </c>
      <c r="G2041">
        <v>11428398000</v>
      </c>
      <c r="H2041">
        <v>62836769000</v>
      </c>
      <c r="J2041">
        <v>120921805000</v>
      </c>
      <c r="K2041">
        <v>75477227000</v>
      </c>
      <c r="L2041">
        <v>5099793000</v>
      </c>
      <c r="N2041">
        <v>40344785000</v>
      </c>
      <c r="O2041">
        <v>32140198000</v>
      </c>
      <c r="P2041">
        <v>13019586000</v>
      </c>
      <c r="Q2041">
        <v>12930909000</v>
      </c>
      <c r="R2041">
        <v>9824085000</v>
      </c>
      <c r="V2041">
        <f t="shared" si="74"/>
        <v>30859001823.796158</v>
      </c>
      <c r="W2041">
        <f t="shared" si="75"/>
        <v>112696150600.78847</v>
      </c>
    </row>
    <row r="2042" spans="1:24" x14ac:dyDescent="0.2">
      <c r="A2042">
        <f>IF(D2042="USD",VLOOKUP(VALUE(RIGHT(E2042,4)),'USD RUB'!$E:$F,2,FALSE),1)</f>
        <v>31.062956321839064</v>
      </c>
      <c r="B2042" s="4">
        <v>31.062956321839064</v>
      </c>
      <c r="C2042">
        <v>1000</v>
      </c>
      <c r="D2042" t="s">
        <v>111</v>
      </c>
      <c r="E2042" s="1" t="s">
        <v>2059</v>
      </c>
      <c r="F2042">
        <v>4112486913.3609171</v>
      </c>
      <c r="G2042">
        <v>8886242040.901144</v>
      </c>
      <c r="H2042">
        <v>63124586689.425255</v>
      </c>
      <c r="J2042">
        <v>122974019516.10109</v>
      </c>
      <c r="K2042">
        <v>4938575173.783905</v>
      </c>
      <c r="L2042">
        <v>77321910876.321793</v>
      </c>
      <c r="N2042">
        <v>40713533465.995377</v>
      </c>
      <c r="O2042">
        <v>24411818240.119526</v>
      </c>
      <c r="P2042">
        <v>12722641398.473557</v>
      </c>
      <c r="Q2042">
        <v>12324352172.514936</v>
      </c>
      <c r="R2042">
        <v>9929895247.4022942</v>
      </c>
      <c r="T2042">
        <v>14562313923.678152</v>
      </c>
      <c r="V2042">
        <f t="shared" si="74"/>
        <v>22993909369.050003</v>
      </c>
      <c r="W2042">
        <f t="shared" si="75"/>
        <v>111790790834.11154</v>
      </c>
    </row>
    <row r="2043" spans="1:24" x14ac:dyDescent="0.2">
      <c r="A2043">
        <f>IF(D2043="USD",VLOOKUP(VALUE(RIGHT(E2043,4)),'USD RUB'!$E:$F,2,FALSE),1)</f>
        <v>31.062956321839064</v>
      </c>
      <c r="B2043" s="4">
        <v>31.062956321839064</v>
      </c>
      <c r="C2043">
        <v>1000</v>
      </c>
      <c r="D2043" t="s">
        <v>111</v>
      </c>
      <c r="E2043" s="1" t="s">
        <v>2060</v>
      </c>
      <c r="F2043">
        <v>4664196080.5931005</v>
      </c>
      <c r="G2043">
        <v>8437102755.4436731</v>
      </c>
      <c r="H2043">
        <v>59594996151.443649</v>
      </c>
      <c r="J2043">
        <v>115492320108.24821</v>
      </c>
      <c r="K2043">
        <v>5398741808.7356291</v>
      </c>
      <c r="L2043">
        <v>77026657476.482712</v>
      </c>
      <c r="N2043">
        <v>33066920823.029865</v>
      </c>
      <c r="O2043">
        <v>16807326965.926428</v>
      </c>
      <c r="P2043">
        <v>8713811570.3586159</v>
      </c>
      <c r="Q2043">
        <v>5416012812.450572</v>
      </c>
      <c r="R2043">
        <v>4381398926.2390785</v>
      </c>
      <c r="T2043">
        <v>9896657884.1379261</v>
      </c>
      <c r="V2043">
        <f t="shared" si="74"/>
        <v>14528242784.85</v>
      </c>
      <c r="W2043">
        <f t="shared" si="75"/>
        <v>124623218800.08463</v>
      </c>
    </row>
    <row r="2044" spans="1:24" x14ac:dyDescent="0.2">
      <c r="A2044">
        <f>IF(D2044="USD",VLOOKUP(VALUE(RIGHT(E2044,4)),'USD RUB'!$E:$F,2,FALSE),1)</f>
        <v>31.062956321839064</v>
      </c>
      <c r="B2044" s="4">
        <v>31.062956321839064</v>
      </c>
      <c r="C2044">
        <v>1000</v>
      </c>
      <c r="D2044" t="s">
        <v>111</v>
      </c>
      <c r="E2044" s="1" t="s">
        <v>2061</v>
      </c>
      <c r="F2044">
        <v>7229281824.7816057</v>
      </c>
      <c r="G2044">
        <v>11363481744.611488</v>
      </c>
      <c r="H2044">
        <v>66592051314.763184</v>
      </c>
      <c r="J2044">
        <v>131337254561.41142</v>
      </c>
      <c r="K2044">
        <v>15128249924.905739</v>
      </c>
      <c r="L2044">
        <v>75275421187.926392</v>
      </c>
      <c r="N2044">
        <v>40933583448.579285</v>
      </c>
      <c r="O2044">
        <v>8532310716.5701103</v>
      </c>
      <c r="P2044">
        <v>4601262531.0850554</v>
      </c>
      <c r="Q2044">
        <v>9771877988.5930977</v>
      </c>
      <c r="R2044">
        <v>7854206380.0643635</v>
      </c>
      <c r="T2044">
        <v>5408402388.151721</v>
      </c>
      <c r="V2044">
        <f t="shared" si="74"/>
        <v>6852413801.7230778</v>
      </c>
      <c r="W2044">
        <f t="shared" si="75"/>
        <v>122271288652.7654</v>
      </c>
    </row>
    <row r="2045" spans="1:24" x14ac:dyDescent="0.2">
      <c r="A2045">
        <f>IF(D2045="USD",VLOOKUP(VALUE(RIGHT(E2045,4)),'USD RUB'!$E:$F,2,FALSE),1)</f>
        <v>29.402434615384617</v>
      </c>
      <c r="B2045" s="4">
        <v>29.402434615384617</v>
      </c>
      <c r="C2045">
        <v>1000</v>
      </c>
      <c r="D2045" t="s">
        <v>111</v>
      </c>
      <c r="E2045" s="1" t="s">
        <v>2062</v>
      </c>
      <c r="F2045">
        <v>3749457267.023077</v>
      </c>
      <c r="G2045">
        <v>8636700546.3576927</v>
      </c>
      <c r="H2045">
        <v>57862168372.130775</v>
      </c>
      <c r="J2045">
        <v>112696150600.78847</v>
      </c>
      <c r="K2045">
        <v>14048777283.576923</v>
      </c>
      <c r="L2045">
        <v>70298280921.92308</v>
      </c>
      <c r="N2045">
        <v>28349092395.288464</v>
      </c>
      <c r="O2045">
        <v>30859001823.796158</v>
      </c>
      <c r="P2045">
        <v>13973183624.180771</v>
      </c>
      <c r="Q2045">
        <v>4837288542.9230776</v>
      </c>
      <c r="R2045">
        <v>3831519462.0346155</v>
      </c>
      <c r="T2045">
        <v>16179395305.546156</v>
      </c>
      <c r="V2045" t="str">
        <f t="shared" si="74"/>
        <v/>
      </c>
      <c r="W2045" t="str">
        <f t="shared" si="75"/>
        <v/>
      </c>
    </row>
    <row r="2046" spans="1:24" x14ac:dyDescent="0.2">
      <c r="A2046">
        <f>IF(D2046="USD",VLOOKUP(VALUE(RIGHT(E2046,4)),'USD RUB'!$E:$F,2,FALSE),1)</f>
        <v>29.402434615384617</v>
      </c>
      <c r="B2046" s="4">
        <v>29.402434615384617</v>
      </c>
      <c r="C2046">
        <v>1000</v>
      </c>
      <c r="D2046" t="s">
        <v>111</v>
      </c>
      <c r="E2046" s="1" t="s">
        <v>2063</v>
      </c>
      <c r="F2046">
        <v>1626572085.3576925</v>
      </c>
      <c r="G2046">
        <v>7973087597.0884619</v>
      </c>
      <c r="H2046">
        <v>58027174835.192314</v>
      </c>
      <c r="J2046">
        <v>111790790834.11154</v>
      </c>
      <c r="K2046">
        <v>13799885674.557693</v>
      </c>
      <c r="L2046">
        <v>70989649769.469238</v>
      </c>
      <c r="N2046">
        <v>27001255390.084618</v>
      </c>
      <c r="O2046">
        <v>22993909369.050003</v>
      </c>
      <c r="P2046">
        <v>10174888913.261539</v>
      </c>
      <c r="Q2046">
        <v>2642132176.9730773</v>
      </c>
      <c r="R2046">
        <v>2110389146.9538462</v>
      </c>
      <c r="T2046">
        <v>11872908914.734615</v>
      </c>
      <c r="V2046" t="str">
        <f t="shared" si="74"/>
        <v/>
      </c>
      <c r="W2046" t="str">
        <f t="shared" si="75"/>
        <v/>
      </c>
    </row>
    <row r="2047" spans="1:24" x14ac:dyDescent="0.2">
      <c r="A2047">
        <f>IF(D2047="USD",VLOOKUP(VALUE(RIGHT(E2047,4)),'USD RUB'!$E:$F,2,FALSE),1)</f>
        <v>29.402434615384617</v>
      </c>
      <c r="B2047" s="4">
        <v>29.402434615384617</v>
      </c>
      <c r="C2047">
        <v>1000</v>
      </c>
      <c r="D2047" t="s">
        <v>111</v>
      </c>
      <c r="E2047" s="1" t="s">
        <v>2064</v>
      </c>
      <c r="F2047">
        <v>1418638067.7576923</v>
      </c>
      <c r="G2047">
        <v>6740684550.1846161</v>
      </c>
      <c r="H2047">
        <v>65649344375.146156</v>
      </c>
      <c r="J2047">
        <v>124623218800.08463</v>
      </c>
      <c r="K2047">
        <v>15589406052.553846</v>
      </c>
      <c r="L2047">
        <v>73937596668.876923</v>
      </c>
      <c r="N2047">
        <v>35096216078.653847</v>
      </c>
      <c r="O2047">
        <v>14528242784.85</v>
      </c>
      <c r="P2047">
        <v>5851554927.4153852</v>
      </c>
      <c r="Q2047">
        <v>8202867623.6076927</v>
      </c>
      <c r="R2047">
        <v>6541218433.7538462</v>
      </c>
      <c r="T2047">
        <v>7147085001.4384623</v>
      </c>
      <c r="V2047" t="str">
        <f t="shared" si="74"/>
        <v/>
      </c>
      <c r="W2047" t="str">
        <f t="shared" si="75"/>
        <v/>
      </c>
    </row>
    <row r="2048" spans="1:24" x14ac:dyDescent="0.2">
      <c r="A2048">
        <f>IF(D2048="USD",VLOOKUP(VALUE(RIGHT(E2048,4)),'USD RUB'!$E:$F,2,FALSE),1)</f>
        <v>29.402434615384617</v>
      </c>
      <c r="B2048" s="4">
        <v>29.402434615384617</v>
      </c>
      <c r="C2048">
        <v>1000</v>
      </c>
      <c r="D2048" t="s">
        <v>111</v>
      </c>
      <c r="E2048" s="1" t="s">
        <v>2065</v>
      </c>
      <c r="F2048">
        <v>1316846839.1192307</v>
      </c>
      <c r="G2048">
        <v>5228340923.3076925</v>
      </c>
      <c r="H2048">
        <v>64920105191.815392</v>
      </c>
      <c r="J2048">
        <v>122271288652.7654</v>
      </c>
      <c r="K2048">
        <v>6005006233.6730776</v>
      </c>
      <c r="L2048">
        <v>83391684897.542313</v>
      </c>
      <c r="N2048">
        <v>32874597521.550003</v>
      </c>
      <c r="O2048">
        <v>6852413801.7230778</v>
      </c>
      <c r="P2048">
        <v>2820310930.7423077</v>
      </c>
      <c r="Q2048">
        <v>5281412317.7884617</v>
      </c>
      <c r="R2048">
        <v>4223718537.3692312</v>
      </c>
      <c r="T2048">
        <v>3458931810.5884619</v>
      </c>
      <c r="V2048" t="str">
        <f t="shared" si="74"/>
        <v/>
      </c>
      <c r="W2048" t="str">
        <f t="shared" si="75"/>
        <v/>
      </c>
    </row>
    <row r="2049" spans="1:23" x14ac:dyDescent="0.2">
      <c r="A2049">
        <f>IF(D2049="USD",VLOOKUP(VALUE(RIGHT(E2049,4)),'USD RUB'!$E:$F,2,FALSE),1)</f>
        <v>1</v>
      </c>
      <c r="B2049" s="4">
        <v>1</v>
      </c>
      <c r="C2049">
        <v>1000000</v>
      </c>
      <c r="D2049" t="s">
        <v>20</v>
      </c>
      <c r="E2049" s="1" t="s">
        <v>2066</v>
      </c>
      <c r="F2049">
        <v>4320000000</v>
      </c>
      <c r="G2049">
        <v>279950000000</v>
      </c>
      <c r="H2049">
        <v>7259000000</v>
      </c>
      <c r="I2049">
        <v>6714000000</v>
      </c>
      <c r="J2049">
        <v>321906000000</v>
      </c>
      <c r="K2049">
        <v>99035000000</v>
      </c>
      <c r="L2049">
        <v>158086000000</v>
      </c>
      <c r="M2049">
        <v>37609000000</v>
      </c>
      <c r="N2049">
        <v>64785000000</v>
      </c>
      <c r="O2049">
        <v>130946000000</v>
      </c>
      <c r="P2049">
        <v>23721000000</v>
      </c>
      <c r="Q2049">
        <v>-7093000000</v>
      </c>
      <c r="R2049">
        <v>-6914000000</v>
      </c>
      <c r="S2049">
        <v>911000000</v>
      </c>
      <c r="T2049">
        <v>27646000000</v>
      </c>
      <c r="U2049">
        <v>-6467000000</v>
      </c>
      <c r="V2049">
        <f t="shared" si="74"/>
        <v>88791000000</v>
      </c>
      <c r="W2049">
        <f t="shared" si="75"/>
        <v>260391000000</v>
      </c>
    </row>
    <row r="2050" spans="1:23" x14ac:dyDescent="0.2">
      <c r="A2050">
        <f>IF(D2050="USD",VLOOKUP(VALUE(RIGHT(E2050,4)),'USD RUB'!$E:$F,2,FALSE),1)</f>
        <v>1</v>
      </c>
      <c r="B2050" s="4">
        <v>1</v>
      </c>
      <c r="C2050">
        <v>1000000</v>
      </c>
      <c r="D2050" t="s">
        <v>20</v>
      </c>
      <c r="E2050" s="1" t="s">
        <v>2067</v>
      </c>
      <c r="F2050">
        <v>6999000000</v>
      </c>
      <c r="G2050">
        <v>233471000000</v>
      </c>
      <c r="H2050">
        <v>6743000000</v>
      </c>
      <c r="I2050">
        <v>6599000000</v>
      </c>
      <c r="J2050">
        <v>274393000000</v>
      </c>
      <c r="K2050">
        <v>70617000000</v>
      </c>
      <c r="L2050">
        <v>133574000000</v>
      </c>
      <c r="M2050">
        <v>43026000000</v>
      </c>
      <c r="N2050">
        <v>70202000000</v>
      </c>
      <c r="O2050">
        <v>57360000000</v>
      </c>
      <c r="P2050">
        <v>10530000000</v>
      </c>
      <c r="Q2050">
        <v>-686000000</v>
      </c>
      <c r="R2050">
        <v>-1497000000</v>
      </c>
      <c r="S2050">
        <v>450000000</v>
      </c>
      <c r="U2050">
        <v>-1640000000</v>
      </c>
      <c r="V2050">
        <f t="shared" si="74"/>
        <v>32769000000</v>
      </c>
      <c r="W2050">
        <f t="shared" si="75"/>
        <v>251350000000</v>
      </c>
    </row>
    <row r="2051" spans="1:23" x14ac:dyDescent="0.2">
      <c r="A2051">
        <f>IF(D2051="USD",VLOOKUP(VALUE(RIGHT(E2051,4)),'USD RUB'!$E:$F,2,FALSE),1)</f>
        <v>1</v>
      </c>
      <c r="B2051" s="4">
        <v>1</v>
      </c>
      <c r="C2051">
        <v>1000000</v>
      </c>
      <c r="D2051" t="s">
        <v>20</v>
      </c>
      <c r="E2051" s="1" t="s">
        <v>2068</v>
      </c>
      <c r="F2051">
        <v>9724000000</v>
      </c>
      <c r="G2051">
        <v>224736000000</v>
      </c>
      <c r="H2051">
        <v>6184000000</v>
      </c>
      <c r="I2051">
        <v>2956000000</v>
      </c>
      <c r="J2051">
        <v>260391000000</v>
      </c>
      <c r="K2051">
        <v>94487000000</v>
      </c>
      <c r="L2051">
        <v>95013000000</v>
      </c>
      <c r="M2051">
        <v>44523000000</v>
      </c>
      <c r="N2051">
        <v>70891000000</v>
      </c>
      <c r="O2051">
        <v>88791000000</v>
      </c>
      <c r="P2051">
        <v>11941000000</v>
      </c>
      <c r="Q2051">
        <v>-954000000</v>
      </c>
      <c r="R2051">
        <v>-3370000000</v>
      </c>
      <c r="S2051">
        <v>797000000</v>
      </c>
      <c r="T2051">
        <v>18135000000</v>
      </c>
      <c r="U2051">
        <v>-2146000000</v>
      </c>
      <c r="V2051">
        <f t="shared" si="74"/>
        <v>80556000000</v>
      </c>
      <c r="W2051">
        <f t="shared" si="75"/>
        <v>248045000000</v>
      </c>
    </row>
    <row r="2052" spans="1:23" x14ac:dyDescent="0.2">
      <c r="A2052">
        <f>IF(D2052="USD",VLOOKUP(VALUE(RIGHT(E2052,4)),'USD RUB'!$E:$F,2,FALSE),1)</f>
        <v>1</v>
      </c>
      <c r="B2052" s="4">
        <v>1</v>
      </c>
      <c r="C2052">
        <v>1000000</v>
      </c>
      <c r="D2052" t="s">
        <v>20</v>
      </c>
      <c r="E2052" s="1" t="s">
        <v>2069</v>
      </c>
      <c r="F2052">
        <v>25687000000</v>
      </c>
      <c r="G2052">
        <v>230150000000</v>
      </c>
      <c r="H2052">
        <v>4983000000</v>
      </c>
      <c r="I2052">
        <v>2645000000</v>
      </c>
      <c r="J2052">
        <v>251350000000</v>
      </c>
      <c r="K2052">
        <v>80524000000</v>
      </c>
      <c r="L2052">
        <v>98679000000</v>
      </c>
      <c r="M2052">
        <v>45779000000</v>
      </c>
      <c r="N2052">
        <v>72147000000</v>
      </c>
      <c r="O2052">
        <v>32769000000</v>
      </c>
      <c r="P2052">
        <v>3993000000</v>
      </c>
      <c r="Q2052">
        <v>-1617000000</v>
      </c>
      <c r="R2052">
        <v>-2119000000</v>
      </c>
      <c r="S2052">
        <v>894000000</v>
      </c>
      <c r="T2052">
        <v>6533000000</v>
      </c>
      <c r="U2052">
        <v>-981000000</v>
      </c>
      <c r="V2052">
        <f t="shared" si="74"/>
        <v>32740000000</v>
      </c>
      <c r="W2052">
        <f t="shared" si="75"/>
        <v>254552000000</v>
      </c>
    </row>
    <row r="2053" spans="1:23" x14ac:dyDescent="0.2">
      <c r="A2053">
        <f>IF(D2053="USD",VLOOKUP(VALUE(RIGHT(E2053,4)),'USD RUB'!$E:$F,2,FALSE),1)</f>
        <v>1</v>
      </c>
      <c r="B2053" s="4">
        <v>1</v>
      </c>
      <c r="C2053">
        <v>1000000</v>
      </c>
      <c r="D2053" t="s">
        <v>20</v>
      </c>
      <c r="E2053" s="1" t="s">
        <v>2070</v>
      </c>
      <c r="F2053">
        <v>23811000000</v>
      </c>
      <c r="G2053">
        <v>226941000000</v>
      </c>
      <c r="H2053">
        <v>4531000000</v>
      </c>
      <c r="I2053">
        <v>2652000000</v>
      </c>
      <c r="J2053">
        <v>248045000000</v>
      </c>
      <c r="K2053">
        <v>68989000000</v>
      </c>
      <c r="L2053">
        <v>104867000000</v>
      </c>
      <c r="M2053">
        <v>47821000000</v>
      </c>
      <c r="N2053">
        <v>74189000000</v>
      </c>
      <c r="O2053">
        <v>80556000000</v>
      </c>
      <c r="P2053">
        <v>25055000000</v>
      </c>
      <c r="Q2053">
        <v>15887000000</v>
      </c>
      <c r="R2053">
        <v>13001000000</v>
      </c>
      <c r="S2053">
        <v>541000000</v>
      </c>
      <c r="T2053">
        <v>16484000000</v>
      </c>
      <c r="U2053">
        <v>-1201000000</v>
      </c>
      <c r="V2053">
        <f t="shared" si="74"/>
        <v>87138000000</v>
      </c>
      <c r="W2053">
        <f t="shared" si="75"/>
        <v>222098000000</v>
      </c>
    </row>
    <row r="2054" spans="1:23" x14ac:dyDescent="0.2">
      <c r="A2054">
        <f>IF(D2054="USD",VLOOKUP(VALUE(RIGHT(E2054,4)),'USD RUB'!$E:$F,2,FALSE),1)</f>
        <v>1</v>
      </c>
      <c r="B2054" s="4">
        <v>1</v>
      </c>
      <c r="C2054">
        <v>1000000</v>
      </c>
      <c r="D2054" t="s">
        <v>20</v>
      </c>
      <c r="E2054" s="1" t="s">
        <v>2071</v>
      </c>
      <c r="F2054">
        <v>39194000000</v>
      </c>
      <c r="G2054">
        <v>236269000000</v>
      </c>
      <c r="H2054">
        <v>4494000000</v>
      </c>
      <c r="I2054">
        <v>194000000</v>
      </c>
      <c r="J2054">
        <v>254552000000</v>
      </c>
      <c r="K2054">
        <v>73803000000</v>
      </c>
      <c r="L2054">
        <v>107522000000</v>
      </c>
      <c r="M2054">
        <v>46655000000</v>
      </c>
      <c r="N2054">
        <v>73227000000</v>
      </c>
      <c r="O2054">
        <v>32740000000</v>
      </c>
      <c r="P2054">
        <v>17394000000</v>
      </c>
      <c r="Q2054">
        <v>13086000000</v>
      </c>
      <c r="R2054">
        <v>11672000000</v>
      </c>
      <c r="S2054">
        <v>273000000</v>
      </c>
      <c r="T2054">
        <v>5493000000</v>
      </c>
      <c r="U2054">
        <v>-331000000</v>
      </c>
      <c r="V2054">
        <f t="shared" si="74"/>
        <v>39884000000</v>
      </c>
      <c r="W2054">
        <f t="shared" si="75"/>
        <v>204237000000</v>
      </c>
    </row>
    <row r="2055" spans="1:23" x14ac:dyDescent="0.2">
      <c r="A2055">
        <f>IF(D2055="USD",VLOOKUP(VALUE(RIGHT(E2055,4)),'USD RUB'!$E:$F,2,FALSE),1)</f>
        <v>1</v>
      </c>
      <c r="B2055" s="4">
        <v>1</v>
      </c>
      <c r="C2055">
        <v>1000000</v>
      </c>
      <c r="D2055" t="s">
        <v>20</v>
      </c>
      <c r="E2055" s="1" t="s">
        <v>2072</v>
      </c>
      <c r="F2055">
        <v>44587000000</v>
      </c>
      <c r="G2055">
        <v>205451000000</v>
      </c>
      <c r="H2055">
        <v>4050000000</v>
      </c>
      <c r="J2055">
        <v>222098000000</v>
      </c>
      <c r="K2055">
        <v>54831000000</v>
      </c>
      <c r="L2055">
        <v>105907000000</v>
      </c>
      <c r="M2055">
        <v>34992000000</v>
      </c>
      <c r="N2055">
        <v>61360000000</v>
      </c>
      <c r="O2055">
        <v>87138000000</v>
      </c>
      <c r="P2055">
        <v>13246000000</v>
      </c>
      <c r="Q2055">
        <v>5849000000</v>
      </c>
      <c r="R2055">
        <v>3007000000</v>
      </c>
      <c r="S2055">
        <v>521000000</v>
      </c>
      <c r="T2055">
        <v>17880000000</v>
      </c>
      <c r="U2055">
        <v>-560000000</v>
      </c>
      <c r="V2055">
        <f t="shared" si="74"/>
        <v>78655000000</v>
      </c>
      <c r="W2055">
        <f t="shared" si="75"/>
        <v>186519000000</v>
      </c>
    </row>
    <row r="2056" spans="1:23" x14ac:dyDescent="0.2">
      <c r="A2056">
        <f>IF(D2056="USD",VLOOKUP(VALUE(RIGHT(E2056,4)),'USD RUB'!$E:$F,2,FALSE),1)</f>
        <v>1</v>
      </c>
      <c r="B2056" s="4">
        <v>1</v>
      </c>
      <c r="C2056">
        <v>1000000</v>
      </c>
      <c r="D2056" t="s">
        <v>20</v>
      </c>
      <c r="E2056" s="1" t="s">
        <v>2073</v>
      </c>
      <c r="F2056">
        <v>39980000000</v>
      </c>
      <c r="G2056">
        <v>188698000000</v>
      </c>
      <c r="H2056">
        <v>3334000000</v>
      </c>
      <c r="J2056">
        <v>204237000000</v>
      </c>
      <c r="K2056">
        <v>54013000000</v>
      </c>
      <c r="L2056">
        <v>86853000000</v>
      </c>
      <c r="M2056">
        <v>36881000000</v>
      </c>
      <c r="N2056">
        <v>63371000000</v>
      </c>
      <c r="O2056">
        <v>39884000000</v>
      </c>
      <c r="P2056">
        <v>6461000000</v>
      </c>
      <c r="Q2056">
        <v>2756000000</v>
      </c>
      <c r="R2056">
        <v>1295000000</v>
      </c>
      <c r="S2056">
        <v>233000000</v>
      </c>
      <c r="T2056">
        <v>9614000000</v>
      </c>
      <c r="U2056">
        <v>-236000000</v>
      </c>
      <c r="V2056">
        <f t="shared" si="74"/>
        <v>30868000000</v>
      </c>
      <c r="W2056">
        <f t="shared" si="75"/>
        <v>162289000000</v>
      </c>
    </row>
    <row r="2057" spans="1:23" x14ac:dyDescent="0.2">
      <c r="A2057">
        <f>IF(D2057="USD",VLOOKUP(VALUE(RIGHT(E2057,4)),'USD RUB'!$E:$F,2,FALSE),1)</f>
        <v>1</v>
      </c>
      <c r="B2057" s="4">
        <v>1</v>
      </c>
      <c r="C2057">
        <v>1000000</v>
      </c>
      <c r="D2057" t="s">
        <v>20</v>
      </c>
      <c r="E2057" s="1" t="s">
        <v>2074</v>
      </c>
      <c r="F2057">
        <v>25830000000</v>
      </c>
      <c r="G2057">
        <v>170951000000</v>
      </c>
      <c r="H2057">
        <v>3508000000</v>
      </c>
      <c r="J2057">
        <v>186519000000</v>
      </c>
      <c r="K2057">
        <v>66017000000</v>
      </c>
      <c r="L2057">
        <v>69429000000</v>
      </c>
      <c r="M2057">
        <v>35586000000</v>
      </c>
      <c r="N2057">
        <v>51073000000</v>
      </c>
      <c r="O2057">
        <v>78655000000</v>
      </c>
      <c r="P2057">
        <v>10218000000</v>
      </c>
      <c r="Q2057">
        <v>4722000000</v>
      </c>
      <c r="R2057">
        <v>2036000000</v>
      </c>
      <c r="S2057">
        <v>481000000</v>
      </c>
      <c r="T2057">
        <v>12601000000</v>
      </c>
      <c r="U2057">
        <v>-396000000</v>
      </c>
      <c r="V2057">
        <f t="shared" si="74"/>
        <v>84330000000</v>
      </c>
      <c r="W2057">
        <f t="shared" si="75"/>
        <v>171344000000</v>
      </c>
    </row>
    <row r="2058" spans="1:23" x14ac:dyDescent="0.2">
      <c r="A2058">
        <f>IF(D2058="USD",VLOOKUP(VALUE(RIGHT(E2058,4)),'USD RUB'!$E:$F,2,FALSE),1)</f>
        <v>1</v>
      </c>
      <c r="B2058" s="4">
        <v>1</v>
      </c>
      <c r="C2058">
        <v>1000000</v>
      </c>
      <c r="D2058" t="s">
        <v>20</v>
      </c>
      <c r="E2058" s="1" t="s">
        <v>2075</v>
      </c>
      <c r="F2058">
        <v>24678000000</v>
      </c>
      <c r="G2058">
        <v>148271000000</v>
      </c>
      <c r="H2058">
        <v>3431000000</v>
      </c>
      <c r="J2058">
        <v>162289000000</v>
      </c>
      <c r="K2058">
        <v>68925000000</v>
      </c>
      <c r="L2058">
        <v>42559000000</v>
      </c>
      <c r="M2058">
        <v>35317000000</v>
      </c>
      <c r="N2058">
        <v>50805000000</v>
      </c>
      <c r="O2058">
        <v>30868000000</v>
      </c>
      <c r="P2058">
        <v>2202000000</v>
      </c>
      <c r="Q2058">
        <v>-689000000</v>
      </c>
      <c r="R2058">
        <v>-1771000000</v>
      </c>
      <c r="S2058">
        <v>385000000</v>
      </c>
      <c r="T2058">
        <v>2950000000</v>
      </c>
      <c r="U2058">
        <v>-306000000</v>
      </c>
      <c r="V2058">
        <f t="shared" si="74"/>
        <v>39562000000</v>
      </c>
      <c r="W2058">
        <f t="shared" si="75"/>
        <v>183817000000</v>
      </c>
    </row>
    <row r="2059" spans="1:23" x14ac:dyDescent="0.2">
      <c r="A2059">
        <f>IF(D2059="USD",VLOOKUP(VALUE(RIGHT(E2059,4)),'USD RUB'!$E:$F,2,FALSE),1)</f>
        <v>1</v>
      </c>
      <c r="B2059" s="4">
        <v>1</v>
      </c>
      <c r="C2059">
        <v>1000000</v>
      </c>
      <c r="D2059" t="s">
        <v>20</v>
      </c>
      <c r="E2059" s="1" t="s">
        <v>2076</v>
      </c>
      <c r="F2059">
        <v>31128000000</v>
      </c>
      <c r="G2059">
        <v>157915000000</v>
      </c>
      <c r="H2059">
        <v>3561000000</v>
      </c>
      <c r="J2059">
        <v>171344000000</v>
      </c>
      <c r="K2059">
        <v>66704000000</v>
      </c>
      <c r="L2059">
        <v>52064000000</v>
      </c>
      <c r="M2059">
        <v>37089000000</v>
      </c>
      <c r="N2059">
        <v>52576000000</v>
      </c>
      <c r="O2059">
        <v>84330000000</v>
      </c>
      <c r="P2059">
        <v>6484000000</v>
      </c>
      <c r="Q2059">
        <v>1771000000</v>
      </c>
      <c r="R2059">
        <v>186000000</v>
      </c>
      <c r="S2059">
        <v>542000000</v>
      </c>
      <c r="T2059">
        <v>8897000000</v>
      </c>
      <c r="U2059">
        <v>-496000000</v>
      </c>
      <c r="V2059">
        <f t="shared" si="74"/>
        <v>72327000000</v>
      </c>
      <c r="W2059">
        <f t="shared" si="75"/>
        <v>130571000000</v>
      </c>
    </row>
    <row r="2060" spans="1:23" x14ac:dyDescent="0.2">
      <c r="A2060">
        <f>IF(D2060="USD",VLOOKUP(VALUE(RIGHT(E2060,4)),'USD RUB'!$E:$F,2,FALSE),1)</f>
        <v>1</v>
      </c>
      <c r="B2060" s="4">
        <v>1</v>
      </c>
      <c r="C2060">
        <v>1000000</v>
      </c>
      <c r="D2060" t="s">
        <v>20</v>
      </c>
      <c r="E2060" s="1" t="s">
        <v>2077</v>
      </c>
      <c r="F2060">
        <v>35797000000</v>
      </c>
      <c r="G2060">
        <v>169412000000</v>
      </c>
      <c r="H2060">
        <v>3637000000</v>
      </c>
      <c r="J2060">
        <v>183817000000</v>
      </c>
      <c r="K2060">
        <v>68426000000</v>
      </c>
      <c r="L2060">
        <v>42977000000</v>
      </c>
      <c r="M2060">
        <v>41848000000</v>
      </c>
      <c r="N2060">
        <v>72414000000</v>
      </c>
      <c r="O2060">
        <v>39562000000</v>
      </c>
      <c r="P2060">
        <v>3929000000</v>
      </c>
      <c r="Q2060">
        <v>1816000000</v>
      </c>
      <c r="R2060">
        <v>959000000</v>
      </c>
      <c r="S2060">
        <v>270000000</v>
      </c>
      <c r="T2060">
        <v>5447000000</v>
      </c>
      <c r="U2060">
        <v>-335000000</v>
      </c>
      <c r="V2060">
        <f t="shared" si="74"/>
        <v>24699000000</v>
      </c>
      <c r="W2060">
        <f t="shared" si="75"/>
        <v>138127000000</v>
      </c>
    </row>
    <row r="2061" spans="1:23" x14ac:dyDescent="0.2">
      <c r="A2061">
        <f>IF(D2061="USD",VLOOKUP(VALUE(RIGHT(E2061,4)),'USD RUB'!$E:$F,2,FALSE),1)</f>
        <v>1</v>
      </c>
      <c r="B2061" s="4">
        <v>1</v>
      </c>
      <c r="C2061">
        <v>1000000</v>
      </c>
      <c r="D2061" t="s">
        <v>20</v>
      </c>
      <c r="E2061" s="1" t="s">
        <v>2078</v>
      </c>
      <c r="F2061">
        <v>23066000000</v>
      </c>
      <c r="G2061">
        <v>117730000000</v>
      </c>
      <c r="H2061">
        <v>3195000000</v>
      </c>
      <c r="J2061">
        <v>130571000000</v>
      </c>
      <c r="K2061">
        <v>47972000000</v>
      </c>
      <c r="L2061">
        <v>22483000000</v>
      </c>
      <c r="M2061">
        <v>44627000000</v>
      </c>
      <c r="N2061">
        <v>60116000000</v>
      </c>
      <c r="O2061">
        <v>72327000000</v>
      </c>
      <c r="P2061">
        <v>1076000000</v>
      </c>
      <c r="Q2061">
        <v>1345000000</v>
      </c>
      <c r="R2061">
        <v>37000000</v>
      </c>
      <c r="S2061">
        <v>365000000</v>
      </c>
      <c r="T2061">
        <v>5682000000</v>
      </c>
      <c r="U2061">
        <v>-550000000</v>
      </c>
      <c r="V2061">
        <f t="shared" si="74"/>
        <v>70645000000</v>
      </c>
      <c r="W2061">
        <f t="shared" si="75"/>
        <v>134813000000</v>
      </c>
    </row>
    <row r="2062" spans="1:23" x14ac:dyDescent="0.2">
      <c r="A2062">
        <f>IF(D2062="USD",VLOOKUP(VALUE(RIGHT(E2062,4)),'USD RUB'!$E:$F,2,FALSE),1)</f>
        <v>1</v>
      </c>
      <c r="B2062" s="4">
        <v>1</v>
      </c>
      <c r="C2062">
        <v>1000000</v>
      </c>
      <c r="D2062" t="s">
        <v>20</v>
      </c>
      <c r="E2062" s="1" t="s">
        <v>2079</v>
      </c>
      <c r="F2062">
        <v>18865000000</v>
      </c>
      <c r="G2062">
        <v>124657000000</v>
      </c>
      <c r="H2062">
        <v>3162000000</v>
      </c>
      <c r="J2062">
        <v>138127000000</v>
      </c>
      <c r="K2062">
        <v>53871000000</v>
      </c>
      <c r="L2062">
        <v>25340000000</v>
      </c>
      <c r="M2062">
        <v>43428000000</v>
      </c>
      <c r="N2062">
        <v>58916000000</v>
      </c>
      <c r="O2062">
        <v>24699000000</v>
      </c>
      <c r="P2062">
        <v>-1990000000</v>
      </c>
      <c r="Q2062">
        <v>-1327000000</v>
      </c>
      <c r="R2062">
        <v>-1163000000</v>
      </c>
      <c r="S2062">
        <v>169000000</v>
      </c>
      <c r="U2062">
        <v>-266000000</v>
      </c>
      <c r="V2062">
        <f t="shared" si="74"/>
        <v>24151000000</v>
      </c>
      <c r="W2062">
        <f t="shared" si="75"/>
        <v>125699000000</v>
      </c>
    </row>
    <row r="2063" spans="1:23" x14ac:dyDescent="0.2">
      <c r="A2063">
        <f>IF(D2063="USD",VLOOKUP(VALUE(RIGHT(E2063,4)),'USD RUB'!$E:$F,2,FALSE),1)</f>
        <v>1</v>
      </c>
      <c r="B2063" s="4">
        <v>1</v>
      </c>
      <c r="C2063">
        <v>1000000</v>
      </c>
      <c r="D2063" t="s">
        <v>20</v>
      </c>
      <c r="E2063" s="1" t="s">
        <v>2080</v>
      </c>
      <c r="F2063">
        <v>14125000000</v>
      </c>
      <c r="G2063">
        <v>122616000000</v>
      </c>
      <c r="H2063">
        <v>3085000000</v>
      </c>
      <c r="J2063">
        <v>134813000000</v>
      </c>
      <c r="K2063">
        <v>45001000000</v>
      </c>
      <c r="L2063">
        <v>27007000000</v>
      </c>
      <c r="M2063">
        <v>48702000000</v>
      </c>
      <c r="N2063">
        <v>62805000000</v>
      </c>
      <c r="O2063">
        <v>70645000000</v>
      </c>
      <c r="P2063">
        <v>10385000000</v>
      </c>
      <c r="Q2063">
        <v>10417000000</v>
      </c>
      <c r="R2063">
        <v>7893000000</v>
      </c>
      <c r="S2063">
        <v>340000000</v>
      </c>
      <c r="U2063">
        <v>-707000000</v>
      </c>
      <c r="V2063" t="str">
        <f t="shared" si="74"/>
        <v/>
      </c>
      <c r="W2063" t="str">
        <f t="shared" si="75"/>
        <v/>
      </c>
    </row>
    <row r="2064" spans="1:23" x14ac:dyDescent="0.2">
      <c r="A2064">
        <f>IF(D2064="USD",VLOOKUP(VALUE(RIGHT(E2064,4)),'USD RUB'!$E:$F,2,FALSE),1)</f>
        <v>1</v>
      </c>
      <c r="B2064" s="4">
        <v>1</v>
      </c>
      <c r="C2064">
        <v>1000000</v>
      </c>
      <c r="D2064" t="s">
        <v>20</v>
      </c>
      <c r="E2064" s="1" t="s">
        <v>2081</v>
      </c>
      <c r="F2064">
        <v>9392000000</v>
      </c>
      <c r="G2064">
        <v>114538000000</v>
      </c>
      <c r="H2064">
        <v>2927000000</v>
      </c>
      <c r="J2064">
        <v>125699000000</v>
      </c>
      <c r="K2064">
        <v>47318000000</v>
      </c>
      <c r="L2064">
        <v>19515000000</v>
      </c>
      <c r="M2064">
        <v>44263000000</v>
      </c>
      <c r="N2064">
        <v>58866000000</v>
      </c>
      <c r="O2064">
        <v>24151000000</v>
      </c>
      <c r="P2064">
        <v>1378000000</v>
      </c>
      <c r="Q2064">
        <v>1741000000</v>
      </c>
      <c r="R2064">
        <v>1214000000</v>
      </c>
      <c r="S2064">
        <v>172000000</v>
      </c>
      <c r="U2064">
        <v>-365000000</v>
      </c>
      <c r="V2064" t="str">
        <f t="shared" si="74"/>
        <v/>
      </c>
      <c r="W2064" t="str">
        <f t="shared" si="75"/>
        <v/>
      </c>
    </row>
    <row r="2065" spans="1:23" x14ac:dyDescent="0.2">
      <c r="A2065">
        <f>IF(D2065="USD",VLOOKUP(VALUE(RIGHT(E2065,4)),'USD RUB'!$E:$F,2,FALSE),1)</f>
        <v>1</v>
      </c>
      <c r="B2065" s="4">
        <v>1</v>
      </c>
      <c r="C2065">
        <v>1000000</v>
      </c>
      <c r="D2065" t="s">
        <v>20</v>
      </c>
      <c r="E2065" s="1" t="s">
        <v>2082</v>
      </c>
      <c r="F2065">
        <v>24903000000</v>
      </c>
      <c r="G2065">
        <v>485523000000</v>
      </c>
      <c r="H2065">
        <v>67695000000</v>
      </c>
      <c r="I2065">
        <v>3674000000</v>
      </c>
      <c r="J2065">
        <v>570971000000</v>
      </c>
      <c r="K2065">
        <v>133736000000</v>
      </c>
      <c r="L2065">
        <v>316432000000</v>
      </c>
      <c r="M2065">
        <v>84542000000</v>
      </c>
      <c r="N2065">
        <v>120803000000</v>
      </c>
      <c r="O2065">
        <v>96404000000</v>
      </c>
      <c r="P2065">
        <v>18322000000</v>
      </c>
      <c r="Q2065">
        <v>-2001000000</v>
      </c>
      <c r="R2065">
        <v>-2517000000</v>
      </c>
      <c r="S2065">
        <v>1082000000</v>
      </c>
      <c r="T2065">
        <v>22000000000</v>
      </c>
      <c r="U2065">
        <v>-10697000000</v>
      </c>
      <c r="V2065">
        <f t="shared" si="74"/>
        <v>85147000000</v>
      </c>
      <c r="W2065">
        <f t="shared" si="75"/>
        <v>494322000000</v>
      </c>
    </row>
    <row r="2066" spans="1:23" x14ac:dyDescent="0.2">
      <c r="A2066">
        <f>IF(D2066="USD",VLOOKUP(VALUE(RIGHT(E2066,4)),'USD RUB'!$E:$F,2,FALSE),1)</f>
        <v>1</v>
      </c>
      <c r="B2066" s="4">
        <v>1</v>
      </c>
      <c r="C2066">
        <v>1000000</v>
      </c>
      <c r="D2066" t="s">
        <v>20</v>
      </c>
      <c r="E2066" s="1" t="s">
        <v>2083</v>
      </c>
      <c r="F2066">
        <v>46307000000</v>
      </c>
      <c r="G2066">
        <v>476910000000</v>
      </c>
      <c r="H2066">
        <v>56128000000</v>
      </c>
      <c r="I2066">
        <v>3644000000</v>
      </c>
      <c r="J2066">
        <v>548721000000</v>
      </c>
      <c r="K2066">
        <v>146401000000</v>
      </c>
      <c r="L2066">
        <v>261848000000</v>
      </c>
      <c r="M2066">
        <v>94934000000</v>
      </c>
      <c r="N2066">
        <v>140472000000</v>
      </c>
      <c r="O2066">
        <v>239227000000</v>
      </c>
      <c r="P2066">
        <v>65766000000</v>
      </c>
      <c r="Q2066">
        <v>37527000000</v>
      </c>
      <c r="R2066">
        <v>28598000000</v>
      </c>
      <c r="S2066">
        <v>2139000000</v>
      </c>
      <c r="T2066">
        <v>72178000000</v>
      </c>
      <c r="U2066">
        <v>-18113000000</v>
      </c>
      <c r="V2066">
        <f t="shared" si="74"/>
        <v>235197000000</v>
      </c>
      <c r="W2066">
        <f t="shared" si="75"/>
        <v>475601000000</v>
      </c>
    </row>
    <row r="2067" spans="1:23" x14ac:dyDescent="0.2">
      <c r="A2067">
        <f>IF(D2067="USD",VLOOKUP(VALUE(RIGHT(E2067,4)),'USD RUB'!$E:$F,2,FALSE),1)</f>
        <v>1</v>
      </c>
      <c r="B2067" s="4">
        <v>1</v>
      </c>
      <c r="C2067">
        <v>1000000</v>
      </c>
      <c r="D2067" t="s">
        <v>20</v>
      </c>
      <c r="E2067" s="1" t="s">
        <v>2084</v>
      </c>
      <c r="F2067">
        <v>37705000000</v>
      </c>
      <c r="G2067">
        <v>436630000000</v>
      </c>
      <c r="H2067">
        <v>45514000000</v>
      </c>
      <c r="I2067">
        <v>3582000000</v>
      </c>
      <c r="J2067">
        <v>494322000000</v>
      </c>
      <c r="K2067">
        <v>129976000000</v>
      </c>
      <c r="L2067">
        <v>252559000000</v>
      </c>
      <c r="M2067">
        <v>70759000000</v>
      </c>
      <c r="N2067">
        <v>111787000000</v>
      </c>
      <c r="O2067">
        <v>85147000000</v>
      </c>
      <c r="P2067">
        <v>17697000000</v>
      </c>
      <c r="Q2067">
        <v>6244000000</v>
      </c>
      <c r="R2067">
        <v>4426000000</v>
      </c>
      <c r="S2067">
        <v>1028000000</v>
      </c>
      <c r="T2067">
        <v>20294000000</v>
      </c>
      <c r="U2067">
        <v>-7115000000</v>
      </c>
      <c r="V2067">
        <f t="shared" si="74"/>
        <v>74809000000</v>
      </c>
      <c r="W2067">
        <f t="shared" si="75"/>
        <v>441890000000</v>
      </c>
    </row>
    <row r="2068" spans="1:23" x14ac:dyDescent="0.2">
      <c r="A2068">
        <f>IF(D2068="USD",VLOOKUP(VALUE(RIGHT(E2068,4)),'USD RUB'!$E:$F,2,FALSE),1)</f>
        <v>1</v>
      </c>
      <c r="B2068" s="4">
        <v>1</v>
      </c>
      <c r="C2068">
        <v>1000000</v>
      </c>
      <c r="D2068" t="s">
        <v>20</v>
      </c>
      <c r="E2068" s="1" t="s">
        <v>2085</v>
      </c>
      <c r="F2068">
        <v>51506000000</v>
      </c>
      <c r="G2068">
        <v>426910000000</v>
      </c>
      <c r="H2068">
        <v>37856000000</v>
      </c>
      <c r="I2068">
        <v>3585000000</v>
      </c>
      <c r="J2068">
        <v>475601000000</v>
      </c>
      <c r="K2068">
        <v>124360000000</v>
      </c>
      <c r="L2068">
        <v>232567000000</v>
      </c>
      <c r="M2068">
        <v>77614000000</v>
      </c>
      <c r="N2068">
        <v>118674000000</v>
      </c>
      <c r="O2068">
        <v>235197000000</v>
      </c>
      <c r="P2068">
        <v>62535000000</v>
      </c>
      <c r="Q2068">
        <v>41664000000</v>
      </c>
      <c r="R2068">
        <v>28343000000</v>
      </c>
      <c r="S2068">
        <v>1905000000</v>
      </c>
      <c r="T2068">
        <v>77703000000</v>
      </c>
      <c r="U2068">
        <v>-10509000000</v>
      </c>
      <c r="V2068">
        <f t="shared" si="74"/>
        <v>139662000000</v>
      </c>
      <c r="W2068">
        <f t="shared" si="75"/>
        <v>416216000000</v>
      </c>
    </row>
    <row r="2069" spans="1:23" x14ac:dyDescent="0.2">
      <c r="A2069">
        <f>IF(D2069="USD",VLOOKUP(VALUE(RIGHT(E2069,4)),'USD RUB'!$E:$F,2,FALSE),1)</f>
        <v>1</v>
      </c>
      <c r="B2069" s="4">
        <v>1</v>
      </c>
      <c r="C2069">
        <v>1000000</v>
      </c>
      <c r="D2069" t="s">
        <v>20</v>
      </c>
      <c r="E2069" s="1" t="s">
        <v>2086</v>
      </c>
      <c r="F2069">
        <v>30889000000</v>
      </c>
      <c r="G2069">
        <v>399282000000</v>
      </c>
      <c r="H2069">
        <v>33449000000</v>
      </c>
      <c r="I2069">
        <v>3617000000</v>
      </c>
      <c r="J2069">
        <v>441890000000</v>
      </c>
      <c r="K2069">
        <v>145326000000</v>
      </c>
      <c r="L2069">
        <v>205193000000</v>
      </c>
      <c r="M2069">
        <v>50002000000</v>
      </c>
      <c r="N2069">
        <v>91371000000</v>
      </c>
      <c r="O2069">
        <v>74809000000</v>
      </c>
      <c r="P2069">
        <v>12825000000</v>
      </c>
      <c r="Q2069">
        <v>4029000000</v>
      </c>
      <c r="R2069">
        <v>1735000000</v>
      </c>
      <c r="S2069">
        <v>929000000</v>
      </c>
      <c r="T2069">
        <v>19628000000</v>
      </c>
      <c r="U2069">
        <v>-4536000000</v>
      </c>
      <c r="V2069">
        <f t="shared" si="74"/>
        <v>65369000000</v>
      </c>
      <c r="W2069">
        <f t="shared" si="75"/>
        <v>385699000000</v>
      </c>
    </row>
    <row r="2070" spans="1:23" x14ac:dyDescent="0.2">
      <c r="A2070">
        <f>IF(D2070="USD",VLOOKUP(VALUE(RIGHT(E2070,4)),'USD RUB'!$E:$F,2,FALSE),1)</f>
        <v>1</v>
      </c>
      <c r="B2070" s="4">
        <v>1</v>
      </c>
      <c r="C2070">
        <v>1000000</v>
      </c>
      <c r="D2070" t="s">
        <v>20</v>
      </c>
      <c r="E2070" s="1" t="s">
        <v>2087</v>
      </c>
      <c r="F2070">
        <v>25109000000</v>
      </c>
      <c r="G2070">
        <v>375653000000</v>
      </c>
      <c r="H2070">
        <v>30907000000</v>
      </c>
      <c r="I2070">
        <v>4252000000</v>
      </c>
      <c r="J2070">
        <v>416216000000</v>
      </c>
      <c r="K2070">
        <v>180857000000</v>
      </c>
      <c r="L2070">
        <v>138558000000</v>
      </c>
      <c r="M2070">
        <v>74874000000</v>
      </c>
      <c r="N2070">
        <v>96801000000</v>
      </c>
      <c r="O2070">
        <v>139662000000</v>
      </c>
      <c r="P2070">
        <v>34397000000</v>
      </c>
      <c r="Q2070">
        <v>18878000000</v>
      </c>
      <c r="R2070">
        <v>13363000000</v>
      </c>
      <c r="S2070">
        <v>1863000000</v>
      </c>
      <c r="T2070">
        <v>38568000000</v>
      </c>
      <c r="U2070">
        <v>-5394000000</v>
      </c>
      <c r="V2070">
        <f t="shared" si="74"/>
        <v>130515000000</v>
      </c>
      <c r="W2070">
        <f t="shared" si="75"/>
        <v>348876000000</v>
      </c>
    </row>
    <row r="2071" spans="1:23" x14ac:dyDescent="0.2">
      <c r="A2071">
        <f>IF(D2071="USD",VLOOKUP(VALUE(RIGHT(E2071,4)),'USD RUB'!$E:$F,2,FALSE),1)</f>
        <v>1</v>
      </c>
      <c r="B2071" s="4">
        <v>1</v>
      </c>
      <c r="C2071">
        <v>1000000</v>
      </c>
      <c r="D2071" t="s">
        <v>20</v>
      </c>
      <c r="E2071" s="1" t="s">
        <v>2088</v>
      </c>
      <c r="F2071">
        <v>46792000000</v>
      </c>
      <c r="G2071">
        <v>344538000000</v>
      </c>
      <c r="H2071">
        <v>27868000000</v>
      </c>
      <c r="I2071">
        <v>4255000000</v>
      </c>
      <c r="J2071">
        <v>385699000000</v>
      </c>
      <c r="K2071">
        <v>168559000000</v>
      </c>
      <c r="L2071">
        <v>120306000000</v>
      </c>
      <c r="M2071">
        <v>69168000000</v>
      </c>
      <c r="N2071">
        <v>96834000000</v>
      </c>
      <c r="O2071">
        <v>65369000000</v>
      </c>
      <c r="P2071">
        <v>16466000000</v>
      </c>
      <c r="Q2071">
        <v>8487000000</v>
      </c>
      <c r="R2071">
        <v>6404000000</v>
      </c>
      <c r="S2071">
        <v>929000000</v>
      </c>
      <c r="T2071">
        <v>18433000000</v>
      </c>
      <c r="U2071">
        <v>-1673000000</v>
      </c>
      <c r="V2071">
        <f t="shared" si="74"/>
        <v>54821000000</v>
      </c>
      <c r="W2071">
        <f t="shared" si="75"/>
        <v>312365000000</v>
      </c>
    </row>
    <row r="2072" spans="1:23" x14ac:dyDescent="0.2">
      <c r="A2072">
        <f>IF(D2072="USD",VLOOKUP(VALUE(RIGHT(E2072,4)),'USD RUB'!$E:$F,2,FALSE),1)</f>
        <v>1</v>
      </c>
      <c r="B2072" s="4">
        <v>1</v>
      </c>
      <c r="C2072">
        <v>1000000</v>
      </c>
      <c r="D2072" t="s">
        <v>20</v>
      </c>
      <c r="E2072" s="1" t="s">
        <v>2089</v>
      </c>
      <c r="F2072">
        <v>55472000000</v>
      </c>
      <c r="G2072">
        <v>313334000000</v>
      </c>
      <c r="H2072">
        <v>27042000000</v>
      </c>
      <c r="I2072">
        <v>4264000000</v>
      </c>
      <c r="J2072">
        <v>348876000000</v>
      </c>
      <c r="K2072">
        <v>107247000000</v>
      </c>
      <c r="L2072">
        <v>148622000000</v>
      </c>
      <c r="M2072">
        <v>62764000000</v>
      </c>
      <c r="N2072">
        <v>93007000000</v>
      </c>
      <c r="O2072">
        <v>130515000000</v>
      </c>
      <c r="P2072">
        <v>31675000000</v>
      </c>
      <c r="Q2072">
        <v>23276000000</v>
      </c>
      <c r="R2072">
        <v>16272000000</v>
      </c>
      <c r="S2072">
        <v>1940000000</v>
      </c>
      <c r="T2072">
        <v>35801000000</v>
      </c>
      <c r="U2072">
        <v>-5989000000</v>
      </c>
      <c r="V2072">
        <f t="shared" si="74"/>
        <v>118052000000</v>
      </c>
      <c r="W2072">
        <f t="shared" si="75"/>
        <v>282405000000</v>
      </c>
    </row>
    <row r="2073" spans="1:23" x14ac:dyDescent="0.2">
      <c r="A2073">
        <f>IF(D2073="USD",VLOOKUP(VALUE(RIGHT(E2073,4)),'USD RUB'!$E:$F,2,FALSE),1)</f>
        <v>1</v>
      </c>
      <c r="B2073" s="4">
        <v>1</v>
      </c>
      <c r="C2073">
        <v>1000000</v>
      </c>
      <c r="D2073" t="s">
        <v>20</v>
      </c>
      <c r="E2073" s="1" t="s">
        <v>2090</v>
      </c>
      <c r="F2073">
        <v>69125000000</v>
      </c>
      <c r="G2073">
        <v>280487000000</v>
      </c>
      <c r="H2073">
        <v>22973000000</v>
      </c>
      <c r="I2073">
        <v>4256000000</v>
      </c>
      <c r="J2073">
        <v>312365000000</v>
      </c>
      <c r="K2073">
        <v>96108000000</v>
      </c>
      <c r="L2073">
        <v>122654000000</v>
      </c>
      <c r="M2073">
        <v>51834000000</v>
      </c>
      <c r="N2073">
        <v>93603000000</v>
      </c>
      <c r="O2073">
        <v>54821000000</v>
      </c>
      <c r="P2073">
        <v>11393000000</v>
      </c>
      <c r="Q2073">
        <v>8309000000</v>
      </c>
      <c r="R2073">
        <v>5694000000</v>
      </c>
      <c r="S2073">
        <v>957000000</v>
      </c>
      <c r="T2073">
        <v>13419000000</v>
      </c>
      <c r="U2073">
        <v>-1743000000</v>
      </c>
      <c r="V2073">
        <f t="shared" ref="V2073:V2139" si="76">_xlfn.XLOOKUP(LEFT(E2073,LEN(E2073)-4)&amp;(VALUE(RIGHT(E2073,4))-1),$E:$E,$O:$O,"")</f>
        <v>48101000000</v>
      </c>
      <c r="W2073">
        <f t="shared" ref="W2073:W2139" si="77">_xlfn.XLOOKUP(LEFT(E2073,LEN(E2073)-4)&amp;(VALUE(RIGHT(E2073,4))-1),$E:$E,$J:$J,"")</f>
        <v>266445000000</v>
      </c>
    </row>
    <row r="2074" spans="1:23" x14ac:dyDescent="0.2">
      <c r="A2074">
        <f>IF(D2074="USD",VLOOKUP(VALUE(RIGHT(E2074,4)),'USD RUB'!$E:$F,2,FALSE),1)</f>
        <v>1</v>
      </c>
      <c r="B2074" s="4">
        <v>1</v>
      </c>
      <c r="C2074">
        <v>1000000</v>
      </c>
      <c r="D2074" t="s">
        <v>20</v>
      </c>
      <c r="E2074" s="1" t="s">
        <v>2091</v>
      </c>
      <c r="F2074">
        <v>73803000000</v>
      </c>
      <c r="G2074">
        <v>252840000000</v>
      </c>
      <c r="H2074">
        <v>21398000000</v>
      </c>
      <c r="I2074">
        <v>4121000000</v>
      </c>
      <c r="J2074">
        <v>282405000000</v>
      </c>
      <c r="K2074">
        <v>91339000000</v>
      </c>
      <c r="L2074">
        <v>99338000000</v>
      </c>
      <c r="M2074">
        <v>50062000000</v>
      </c>
      <c r="N2074">
        <v>91728000000</v>
      </c>
      <c r="O2074">
        <v>118052000000</v>
      </c>
      <c r="P2074">
        <v>22745000000</v>
      </c>
      <c r="Q2074">
        <v>15830000000</v>
      </c>
      <c r="R2074">
        <v>12025000000</v>
      </c>
      <c r="S2074">
        <v>1920000000</v>
      </c>
      <c r="T2074">
        <v>27376000000</v>
      </c>
      <c r="U2074">
        <v>-2438000000</v>
      </c>
      <c r="V2074">
        <f t="shared" si="76"/>
        <v>110438000000</v>
      </c>
      <c r="W2074">
        <f t="shared" si="77"/>
        <v>264843000000</v>
      </c>
    </row>
    <row r="2075" spans="1:23" x14ac:dyDescent="0.2">
      <c r="A2075">
        <f>IF(D2075="USD",VLOOKUP(VALUE(RIGHT(E2075,4)),'USD RUB'!$E:$F,2,FALSE),1)</f>
        <v>1</v>
      </c>
      <c r="B2075" s="4">
        <v>1</v>
      </c>
      <c r="C2075">
        <v>1000000</v>
      </c>
      <c r="D2075" t="s">
        <v>20</v>
      </c>
      <c r="E2075" s="1" t="s">
        <v>2092</v>
      </c>
      <c r="F2075">
        <v>65436000000</v>
      </c>
      <c r="G2075">
        <v>235654000000</v>
      </c>
      <c r="H2075">
        <v>22461000000</v>
      </c>
      <c r="I2075">
        <v>4015000000</v>
      </c>
      <c r="J2075">
        <v>266445000000</v>
      </c>
      <c r="K2075">
        <v>89451000000</v>
      </c>
      <c r="L2075">
        <v>93520000000</v>
      </c>
      <c r="M2075">
        <v>41908000000</v>
      </c>
      <c r="N2075">
        <v>83474000000</v>
      </c>
      <c r="O2075">
        <v>48101000000</v>
      </c>
      <c r="P2075">
        <v>6664000000</v>
      </c>
      <c r="Q2075">
        <v>3569000000</v>
      </c>
      <c r="R2075">
        <v>2573000000</v>
      </c>
      <c r="S2075">
        <v>947000000</v>
      </c>
      <c r="T2075">
        <v>9162000000</v>
      </c>
      <c r="U2075">
        <v>-509000000</v>
      </c>
      <c r="V2075">
        <f t="shared" si="76"/>
        <v>46608000000</v>
      </c>
      <c r="W2075">
        <f t="shared" si="77"/>
        <v>268313000000</v>
      </c>
    </row>
    <row r="2076" spans="1:23" x14ac:dyDescent="0.2">
      <c r="A2076">
        <f>IF(D2076="USD",VLOOKUP(VALUE(RIGHT(E2076,4)),'USD RUB'!$E:$F,2,FALSE),1)</f>
        <v>1</v>
      </c>
      <c r="B2076" s="4">
        <v>1</v>
      </c>
      <c r="C2076">
        <v>1000000</v>
      </c>
      <c r="D2076" t="s">
        <v>20</v>
      </c>
      <c r="E2076" s="1" t="s">
        <v>2093</v>
      </c>
      <c r="F2076">
        <v>66684000000</v>
      </c>
      <c r="G2076">
        <v>233732000000</v>
      </c>
      <c r="H2076">
        <v>22999000000</v>
      </c>
      <c r="I2076">
        <v>4016000000</v>
      </c>
      <c r="J2076">
        <v>264843000000</v>
      </c>
      <c r="K2076">
        <v>94972000000</v>
      </c>
      <c r="L2076">
        <v>85961000000</v>
      </c>
      <c r="M2076">
        <v>42353000000</v>
      </c>
      <c r="N2076">
        <v>83910000000</v>
      </c>
      <c r="O2076">
        <v>110438000000</v>
      </c>
      <c r="P2076">
        <v>16624000000</v>
      </c>
      <c r="Q2076">
        <v>10802000000</v>
      </c>
      <c r="R2076">
        <v>7469000000</v>
      </c>
      <c r="S2076">
        <v>1898000000</v>
      </c>
      <c r="T2076">
        <v>21037000000</v>
      </c>
      <c r="U2076">
        <v>-870000000</v>
      </c>
      <c r="V2076">
        <f t="shared" si="76"/>
        <v>146376000000</v>
      </c>
      <c r="W2076">
        <f t="shared" si="77"/>
        <v>259520000000</v>
      </c>
    </row>
    <row r="2077" spans="1:23" x14ac:dyDescent="0.2">
      <c r="A2077">
        <f>IF(D2077="USD",VLOOKUP(VALUE(RIGHT(E2077,4)),'USD RUB'!$E:$F,2,FALSE),1)</f>
        <v>1</v>
      </c>
      <c r="B2077" s="4">
        <v>1</v>
      </c>
      <c r="C2077">
        <v>1000000</v>
      </c>
      <c r="D2077" t="s">
        <v>20</v>
      </c>
      <c r="E2077" s="1" t="s">
        <v>2094</v>
      </c>
      <c r="F2077">
        <v>66407000000</v>
      </c>
      <c r="G2077">
        <v>237134000000</v>
      </c>
      <c r="H2077">
        <v>22618000000</v>
      </c>
      <c r="I2077">
        <v>3991000000</v>
      </c>
      <c r="J2077">
        <v>268313000000</v>
      </c>
      <c r="K2077">
        <v>120056000000</v>
      </c>
      <c r="L2077">
        <v>70042000000</v>
      </c>
      <c r="M2077">
        <v>36748000000</v>
      </c>
      <c r="N2077">
        <v>78215000000</v>
      </c>
      <c r="O2077">
        <v>46608000000</v>
      </c>
      <c r="P2077">
        <v>5759000000</v>
      </c>
      <c r="Q2077">
        <v>3364000000</v>
      </c>
      <c r="R2077">
        <v>1864000000</v>
      </c>
      <c r="S2077">
        <v>972000000</v>
      </c>
      <c r="T2077">
        <v>7817000000</v>
      </c>
      <c r="U2077">
        <v>-329000000</v>
      </c>
      <c r="V2077">
        <f t="shared" si="76"/>
        <v>51696000000</v>
      </c>
      <c r="W2077">
        <f t="shared" si="77"/>
        <v>256615000000</v>
      </c>
    </row>
    <row r="2078" spans="1:23" x14ac:dyDescent="0.2">
      <c r="A2078">
        <f>IF(D2078="USD",VLOOKUP(VALUE(RIGHT(E2078,4)),'USD RUB'!$E:$F,2,FALSE),1)</f>
        <v>1</v>
      </c>
      <c r="B2078" s="4">
        <v>1</v>
      </c>
      <c r="C2078">
        <v>1000000</v>
      </c>
      <c r="D2078" t="s">
        <v>20</v>
      </c>
      <c r="E2078" s="1" t="s">
        <v>2095</v>
      </c>
      <c r="F2078">
        <v>55798000000</v>
      </c>
      <c r="G2078">
        <v>226581000000</v>
      </c>
      <c r="H2078">
        <v>23867000000</v>
      </c>
      <c r="I2078">
        <v>4092000000</v>
      </c>
      <c r="J2078">
        <v>259520000000</v>
      </c>
      <c r="K2078">
        <v>87201000000</v>
      </c>
      <c r="L2078">
        <v>87966000000</v>
      </c>
      <c r="M2078">
        <v>42726000000</v>
      </c>
      <c r="N2078">
        <v>84353000000</v>
      </c>
      <c r="O2078">
        <v>146376000000</v>
      </c>
      <c r="P2078">
        <v>24798000000</v>
      </c>
      <c r="Q2078">
        <v>21087000000</v>
      </c>
      <c r="R2078">
        <v>16230000000</v>
      </c>
      <c r="S2078">
        <v>2452000000</v>
      </c>
      <c r="T2078">
        <v>36400000000</v>
      </c>
      <c r="U2078">
        <v>-1189000000</v>
      </c>
      <c r="V2078">
        <f t="shared" si="76"/>
        <v>138494000000</v>
      </c>
      <c r="W2078">
        <f t="shared" si="77"/>
        <v>251552000000</v>
      </c>
    </row>
    <row r="2079" spans="1:23" x14ac:dyDescent="0.2">
      <c r="A2079">
        <f>IF(D2079="USD",VLOOKUP(VALUE(RIGHT(E2079,4)),'USD RUB'!$E:$F,2,FALSE),1)</f>
        <v>1</v>
      </c>
      <c r="B2079" s="4">
        <v>1</v>
      </c>
      <c r="C2079">
        <v>1000000</v>
      </c>
      <c r="D2079" t="s">
        <v>20</v>
      </c>
      <c r="E2079" s="1" t="s">
        <v>2096</v>
      </c>
      <c r="F2079">
        <v>36873000000</v>
      </c>
      <c r="G2079">
        <v>221716000000</v>
      </c>
      <c r="H2079">
        <v>25557000000</v>
      </c>
      <c r="I2079">
        <v>4193000000</v>
      </c>
      <c r="J2079">
        <v>256615000000</v>
      </c>
      <c r="K2079">
        <v>90044000000</v>
      </c>
      <c r="L2079">
        <v>93375000000</v>
      </c>
      <c r="M2079">
        <v>30332000000</v>
      </c>
      <c r="N2079">
        <v>73196000000</v>
      </c>
      <c r="O2079">
        <v>51696000000</v>
      </c>
      <c r="P2079">
        <v>5573000000</v>
      </c>
      <c r="Q2079">
        <v>4604000000</v>
      </c>
      <c r="R2079">
        <v>3758000000</v>
      </c>
      <c r="S2079">
        <v>1299000000</v>
      </c>
      <c r="T2079">
        <v>9537000000</v>
      </c>
      <c r="U2079">
        <v>-644000000</v>
      </c>
      <c r="V2079">
        <f t="shared" si="76"/>
        <v>26348000000</v>
      </c>
      <c r="W2079">
        <f t="shared" si="77"/>
        <v>262385000000</v>
      </c>
    </row>
    <row r="2080" spans="1:23" x14ac:dyDescent="0.2">
      <c r="A2080">
        <f>IF(D2080="USD",VLOOKUP(VALUE(RIGHT(E2080,4)),'USD RUB'!$E:$F,2,FALSE),1)</f>
        <v>1</v>
      </c>
      <c r="B2080" s="4">
        <v>1</v>
      </c>
      <c r="C2080">
        <v>1000000</v>
      </c>
      <c r="D2080" t="s">
        <v>20</v>
      </c>
      <c r="E2080" s="1" t="s">
        <v>2097</v>
      </c>
      <c r="F2080">
        <v>29713000000</v>
      </c>
      <c r="G2080">
        <v>214216000000</v>
      </c>
      <c r="H2080">
        <v>28280000000</v>
      </c>
      <c r="I2080">
        <v>4262000000</v>
      </c>
      <c r="J2080">
        <v>251552000000</v>
      </c>
      <c r="K2080">
        <v>88615000000</v>
      </c>
      <c r="L2080">
        <v>85248000000</v>
      </c>
      <c r="M2080">
        <v>34562000000</v>
      </c>
      <c r="N2080">
        <v>77689000000</v>
      </c>
      <c r="O2080">
        <v>138494000000</v>
      </c>
      <c r="P2080">
        <v>22444000000</v>
      </c>
      <c r="Q2080">
        <v>20288000000</v>
      </c>
      <c r="R2080">
        <v>15871000000</v>
      </c>
      <c r="S2080">
        <v>2812000000</v>
      </c>
      <c r="T2080">
        <v>36845000000</v>
      </c>
      <c r="U2080">
        <v>-1409000000</v>
      </c>
      <c r="V2080">
        <f t="shared" si="76"/>
        <v>98072000000</v>
      </c>
      <c r="W2080">
        <f t="shared" si="77"/>
        <v>245020000000</v>
      </c>
    </row>
    <row r="2081" spans="1:23" x14ac:dyDescent="0.2">
      <c r="A2081">
        <f>IF(D2081="USD",VLOOKUP(VALUE(RIGHT(E2081,4)),'USD RUB'!$E:$F,2,FALSE),1)</f>
        <v>1</v>
      </c>
      <c r="B2081" s="4">
        <v>1</v>
      </c>
      <c r="C2081">
        <v>1000000</v>
      </c>
      <c r="D2081" t="s">
        <v>20</v>
      </c>
      <c r="E2081" s="1" t="s">
        <v>2098</v>
      </c>
      <c r="F2081">
        <v>28043000000</v>
      </c>
      <c r="G2081">
        <v>224676000000</v>
      </c>
      <c r="H2081">
        <v>20146000000</v>
      </c>
      <c r="I2081">
        <v>4285000000</v>
      </c>
      <c r="J2081">
        <v>262385000000</v>
      </c>
      <c r="K2081">
        <v>125695000000</v>
      </c>
      <c r="L2081">
        <v>75751000000</v>
      </c>
      <c r="M2081">
        <v>17625000000</v>
      </c>
      <c r="N2081">
        <v>60939000000</v>
      </c>
      <c r="O2081">
        <v>26348000000</v>
      </c>
      <c r="P2081">
        <v>-627000000</v>
      </c>
      <c r="Q2081">
        <v>-1501000000</v>
      </c>
      <c r="R2081">
        <v>-1069000000</v>
      </c>
      <c r="S2081">
        <v>1440000000</v>
      </c>
      <c r="T2081">
        <v>1367000000</v>
      </c>
      <c r="U2081">
        <v>320000000</v>
      </c>
      <c r="V2081">
        <f t="shared" si="76"/>
        <v>31618000000</v>
      </c>
      <c r="W2081">
        <f t="shared" si="77"/>
        <v>226400000000</v>
      </c>
    </row>
    <row r="2082" spans="1:23" x14ac:dyDescent="0.2">
      <c r="A2082">
        <f>IF(D2082="USD",VLOOKUP(VALUE(RIGHT(E2082,4)),'USD RUB'!$E:$F,2,FALSE),1)</f>
        <v>1</v>
      </c>
      <c r="B2082" s="4">
        <v>1</v>
      </c>
      <c r="C2082">
        <v>1000000</v>
      </c>
      <c r="D2082" t="s">
        <v>20</v>
      </c>
      <c r="E2082" s="1" t="s">
        <v>2099</v>
      </c>
      <c r="F2082">
        <v>25630000000</v>
      </c>
      <c r="G2082">
        <v>206973000000</v>
      </c>
      <c r="H2082">
        <v>30234000000</v>
      </c>
      <c r="J2082">
        <v>245020000000</v>
      </c>
      <c r="K2082">
        <v>109637000000</v>
      </c>
      <c r="L2082">
        <v>66924000000</v>
      </c>
      <c r="M2082">
        <v>26653000000</v>
      </c>
      <c r="N2082">
        <v>68459000000</v>
      </c>
      <c r="O2082">
        <v>98072000000</v>
      </c>
      <c r="P2082">
        <v>14031000000</v>
      </c>
      <c r="Q2082">
        <v>12598000000</v>
      </c>
      <c r="R2082">
        <v>9163000000</v>
      </c>
      <c r="T2082">
        <v>19298000000</v>
      </c>
      <c r="U2082">
        <v>3152000000</v>
      </c>
      <c r="V2082">
        <f t="shared" si="76"/>
        <v>86830351000</v>
      </c>
      <c r="W2082">
        <f t="shared" si="77"/>
        <v>204381693000</v>
      </c>
    </row>
    <row r="2083" spans="1:23" x14ac:dyDescent="0.2">
      <c r="A2083">
        <f>IF(D2083="USD",VLOOKUP(VALUE(RIGHT(E2083,4)),'USD RUB'!$E:$F,2,FALSE),1)</f>
        <v>1</v>
      </c>
      <c r="B2083" s="4">
        <v>1</v>
      </c>
      <c r="C2083">
        <v>1000000</v>
      </c>
      <c r="D2083" t="s">
        <v>20</v>
      </c>
      <c r="E2083" s="1" t="s">
        <v>2100</v>
      </c>
      <c r="F2083">
        <v>25054000000</v>
      </c>
      <c r="G2083">
        <v>188286000000</v>
      </c>
      <c r="H2083">
        <v>30455000000</v>
      </c>
      <c r="J2083">
        <v>226400000000</v>
      </c>
      <c r="K2083">
        <v>122946000000</v>
      </c>
      <c r="L2083">
        <v>42692000000</v>
      </c>
      <c r="M2083">
        <v>18589000000</v>
      </c>
      <c r="N2083">
        <v>60762000000</v>
      </c>
      <c r="O2083">
        <v>31618000000</v>
      </c>
      <c r="P2083">
        <v>2080000000</v>
      </c>
      <c r="Q2083">
        <v>1785000000</v>
      </c>
      <c r="R2083">
        <v>1100000000</v>
      </c>
      <c r="T2083">
        <v>4486000000</v>
      </c>
      <c r="U2083">
        <v>1826000000</v>
      </c>
      <c r="V2083">
        <f t="shared" si="76"/>
        <v>28740763000</v>
      </c>
      <c r="W2083">
        <f t="shared" si="77"/>
        <v>203254374000</v>
      </c>
    </row>
    <row r="2084" spans="1:23" x14ac:dyDescent="0.2">
      <c r="A2084">
        <f>IF(D2084="USD",VLOOKUP(VALUE(RIGHT(E2084,4)),'USD RUB'!$E:$F,2,FALSE),1)</f>
        <v>1</v>
      </c>
      <c r="B2084" s="4">
        <v>1</v>
      </c>
      <c r="C2084">
        <v>1000</v>
      </c>
      <c r="D2084" t="s">
        <v>20</v>
      </c>
      <c r="E2084" s="1" t="s">
        <v>2101</v>
      </c>
      <c r="F2084">
        <v>20456675000</v>
      </c>
      <c r="G2084">
        <v>168366195000</v>
      </c>
      <c r="H2084">
        <v>29020502000</v>
      </c>
      <c r="J2084">
        <v>204381693000</v>
      </c>
      <c r="K2084">
        <v>98939654000</v>
      </c>
      <c r="L2084">
        <v>37447981000</v>
      </c>
      <c r="M2084">
        <v>25527050000</v>
      </c>
      <c r="N2084">
        <v>67994058000</v>
      </c>
      <c r="O2084">
        <v>86830351000</v>
      </c>
      <c r="P2084">
        <v>13762505000</v>
      </c>
      <c r="Q2084">
        <v>13962494000</v>
      </c>
      <c r="R2084">
        <v>10645711000</v>
      </c>
      <c r="T2084">
        <v>18632617000</v>
      </c>
      <c r="U2084">
        <v>-3305086000</v>
      </c>
      <c r="V2084">
        <f t="shared" si="76"/>
        <v>92347177000</v>
      </c>
      <c r="W2084">
        <f t="shared" si="77"/>
        <v>199001649000</v>
      </c>
    </row>
    <row r="2085" spans="1:23" x14ac:dyDescent="0.2">
      <c r="A2085">
        <f>IF(D2085="USD",VLOOKUP(VALUE(RIGHT(E2085,4)),'USD RUB'!$E:$F,2,FALSE),1)</f>
        <v>1</v>
      </c>
      <c r="B2085" s="4">
        <v>1</v>
      </c>
      <c r="C2085">
        <v>1000</v>
      </c>
      <c r="D2085" t="s">
        <v>20</v>
      </c>
      <c r="E2085" s="1" t="s">
        <v>2102</v>
      </c>
      <c r="F2085">
        <v>18939700000</v>
      </c>
      <c r="G2085">
        <v>168273022000</v>
      </c>
      <c r="H2085">
        <v>27822017000</v>
      </c>
      <c r="J2085">
        <v>203254374000</v>
      </c>
      <c r="K2085">
        <v>109109363000</v>
      </c>
      <c r="L2085">
        <v>33164330000</v>
      </c>
      <c r="M2085">
        <v>18823429000</v>
      </c>
      <c r="N2085">
        <v>60980681000</v>
      </c>
      <c r="O2085">
        <v>28740763000</v>
      </c>
      <c r="P2085">
        <v>4200663000</v>
      </c>
      <c r="Q2085">
        <v>4534561000</v>
      </c>
      <c r="R2085">
        <v>3943781000</v>
      </c>
      <c r="T2085">
        <v>5767418000</v>
      </c>
      <c r="U2085">
        <v>-1721355000</v>
      </c>
      <c r="V2085">
        <f t="shared" si="76"/>
        <v>32408312000</v>
      </c>
      <c r="W2085">
        <f t="shared" si="77"/>
        <v>175019566000</v>
      </c>
    </row>
    <row r="2086" spans="1:23" x14ac:dyDescent="0.2">
      <c r="A2086">
        <f>IF(D2086="USD",VLOOKUP(VALUE(RIGHT(E2086,4)),'USD RUB'!$E:$F,2,FALSE),1)</f>
        <v>1</v>
      </c>
      <c r="B2086" s="4">
        <v>1</v>
      </c>
      <c r="C2086">
        <v>1000</v>
      </c>
      <c r="D2086" t="s">
        <v>20</v>
      </c>
      <c r="E2086" s="1" t="s">
        <v>2103</v>
      </c>
      <c r="F2086">
        <v>25277805000</v>
      </c>
      <c r="G2086">
        <v>164553202000</v>
      </c>
      <c r="H2086">
        <v>28090403000</v>
      </c>
      <c r="J2086">
        <v>199001649000</v>
      </c>
      <c r="K2086">
        <v>95854774000</v>
      </c>
      <c r="L2086">
        <v>37318966000</v>
      </c>
      <c r="M2086">
        <v>22914203000</v>
      </c>
      <c r="N2086">
        <v>65827909000</v>
      </c>
      <c r="O2086">
        <v>92347177000</v>
      </c>
      <c r="P2086">
        <v>17491906000</v>
      </c>
      <c r="Q2086">
        <v>11460464000</v>
      </c>
      <c r="R2086">
        <v>9202070000</v>
      </c>
      <c r="T2086">
        <v>21588000000</v>
      </c>
      <c r="U2086">
        <v>2017298000</v>
      </c>
      <c r="V2086">
        <f t="shared" si="76"/>
        <v>65316191000</v>
      </c>
      <c r="W2086">
        <f t="shared" si="77"/>
        <v>155414592000</v>
      </c>
    </row>
    <row r="2087" spans="1:23" x14ac:dyDescent="0.2">
      <c r="A2087">
        <f>IF(D2087="USD",VLOOKUP(VALUE(RIGHT(E2087,4)),'USD RUB'!$E:$F,2,FALSE),1)</f>
        <v>1</v>
      </c>
      <c r="B2087" s="4">
        <v>1</v>
      </c>
      <c r="C2087">
        <v>1000</v>
      </c>
      <c r="D2087" t="s">
        <v>20</v>
      </c>
      <c r="E2087" s="1" t="s">
        <v>2104</v>
      </c>
      <c r="F2087">
        <v>14574341000</v>
      </c>
      <c r="G2087">
        <v>125283785000</v>
      </c>
      <c r="H2087">
        <v>41240480000</v>
      </c>
      <c r="J2087">
        <v>175019566000</v>
      </c>
      <c r="K2087">
        <v>90051242000</v>
      </c>
      <c r="L2087">
        <v>27715381000</v>
      </c>
      <c r="M2087">
        <v>14726840000</v>
      </c>
      <c r="N2087">
        <v>57252943000</v>
      </c>
      <c r="O2087">
        <v>32408312000</v>
      </c>
      <c r="P2087">
        <v>3535070000</v>
      </c>
      <c r="Q2087">
        <v>1554107000</v>
      </c>
      <c r="R2087">
        <v>1053737000</v>
      </c>
      <c r="T2087">
        <v>5357000000</v>
      </c>
      <c r="U2087">
        <v>1074113000</v>
      </c>
      <c r="V2087">
        <f t="shared" si="76"/>
        <v>27508238000</v>
      </c>
      <c r="W2087">
        <f t="shared" si="77"/>
        <v>144465425000</v>
      </c>
    </row>
    <row r="2088" spans="1:23" x14ac:dyDescent="0.2">
      <c r="A2088">
        <f>IF(D2088="USD",VLOOKUP(VALUE(RIGHT(E2088,4)),'USD RUB'!$E:$F,2,FALSE),1)</f>
        <v>1</v>
      </c>
      <c r="B2088" s="4">
        <v>1</v>
      </c>
      <c r="C2088">
        <v>1000</v>
      </c>
      <c r="D2088" t="s">
        <v>20</v>
      </c>
      <c r="E2088" s="1" t="s">
        <v>2105</v>
      </c>
      <c r="F2088">
        <v>5899479000</v>
      </c>
      <c r="G2088">
        <v>104007863000</v>
      </c>
      <c r="H2088">
        <v>42775672000</v>
      </c>
      <c r="J2088">
        <v>155414592000</v>
      </c>
      <c r="K2088">
        <v>69050980000</v>
      </c>
      <c r="L2088">
        <v>27316731000</v>
      </c>
      <c r="N2088">
        <v>59046881000</v>
      </c>
      <c r="O2088">
        <v>65316191000</v>
      </c>
      <c r="P2088">
        <v>10915595000</v>
      </c>
      <c r="Q2088">
        <v>6929748000</v>
      </c>
      <c r="R2088">
        <v>5233583000</v>
      </c>
      <c r="T2088">
        <v>14156000000</v>
      </c>
      <c r="V2088">
        <f t="shared" si="76"/>
        <v>61121653000</v>
      </c>
      <c r="W2088">
        <f t="shared" si="77"/>
        <v>137777860000</v>
      </c>
    </row>
    <row r="2089" spans="1:23" x14ac:dyDescent="0.2">
      <c r="A2089">
        <f>IF(D2089="USD",VLOOKUP(VALUE(RIGHT(E2089,4)),'USD RUB'!$E:$F,2,FALSE),1)</f>
        <v>1</v>
      </c>
      <c r="B2089" s="4">
        <v>1</v>
      </c>
      <c r="C2089">
        <v>1000</v>
      </c>
      <c r="D2089" t="s">
        <v>20</v>
      </c>
      <c r="E2089" s="1" t="s">
        <v>2106</v>
      </c>
      <c r="F2089">
        <v>4071628000</v>
      </c>
      <c r="G2089">
        <v>95984573000</v>
      </c>
      <c r="H2089">
        <v>40251090000</v>
      </c>
      <c r="J2089">
        <v>144465425000</v>
      </c>
      <c r="K2089">
        <v>53983440000</v>
      </c>
      <c r="L2089">
        <v>35004555000</v>
      </c>
      <c r="N2089">
        <v>55477430000</v>
      </c>
      <c r="O2089">
        <v>27508238000</v>
      </c>
      <c r="P2089">
        <v>3762607000</v>
      </c>
      <c r="Q2089">
        <v>1416677000</v>
      </c>
      <c r="R2089">
        <v>945274000</v>
      </c>
      <c r="T2089">
        <v>5280000000</v>
      </c>
      <c r="V2089">
        <f t="shared" si="76"/>
        <v>22680804000</v>
      </c>
      <c r="W2089">
        <f t="shared" si="77"/>
        <v>138234668000</v>
      </c>
    </row>
    <row r="2090" spans="1:23" x14ac:dyDescent="0.2">
      <c r="A2090">
        <f>IF(D2090="USD",VLOOKUP(VALUE(RIGHT(E2090,4)),'USD RUB'!$E:$F,2,FALSE),1)</f>
        <v>1</v>
      </c>
      <c r="B2090" s="4">
        <v>1</v>
      </c>
      <c r="C2090">
        <v>1000000</v>
      </c>
      <c r="D2090" t="s">
        <v>20</v>
      </c>
      <c r="E2090" s="1" t="s">
        <v>2107</v>
      </c>
      <c r="F2090">
        <v>3967086000</v>
      </c>
      <c r="G2090">
        <v>89605333000</v>
      </c>
      <c r="H2090">
        <v>39907439000</v>
      </c>
      <c r="J2090">
        <v>137777860000</v>
      </c>
      <c r="K2090">
        <v>45478790000</v>
      </c>
      <c r="L2090">
        <v>35597571000</v>
      </c>
      <c r="N2090">
        <v>56701499000</v>
      </c>
      <c r="O2090">
        <v>61121653000</v>
      </c>
      <c r="P2090">
        <v>9625762000</v>
      </c>
      <c r="Q2090">
        <v>6420492000</v>
      </c>
      <c r="R2090">
        <v>4913935000</v>
      </c>
      <c r="T2090">
        <v>13392000000</v>
      </c>
      <c r="V2090">
        <f t="shared" si="76"/>
        <v>51909689000</v>
      </c>
      <c r="W2090">
        <f t="shared" si="77"/>
        <v>126862170000</v>
      </c>
    </row>
    <row r="2091" spans="1:23" x14ac:dyDescent="0.2">
      <c r="A2091">
        <f>IF(D2091="USD",VLOOKUP(VALUE(RIGHT(E2091,4)),'USD RUB'!$E:$F,2,FALSE),1)</f>
        <v>1</v>
      </c>
      <c r="B2091" s="4">
        <v>1</v>
      </c>
      <c r="C2091">
        <v>1000</v>
      </c>
      <c r="D2091" t="s">
        <v>20</v>
      </c>
      <c r="E2091" s="1" t="s">
        <v>2108</v>
      </c>
      <c r="F2091">
        <v>3681734000</v>
      </c>
      <c r="G2091">
        <v>88919051000</v>
      </c>
      <c r="H2091">
        <v>39557972000</v>
      </c>
      <c r="J2091">
        <v>138234668000</v>
      </c>
      <c r="K2091">
        <v>53012767000</v>
      </c>
      <c r="L2091">
        <v>33089204000</v>
      </c>
      <c r="N2091">
        <v>52132697000</v>
      </c>
      <c r="O2091">
        <v>22680804000</v>
      </c>
      <c r="P2091">
        <v>2306389000</v>
      </c>
      <c r="Q2091">
        <v>460982000</v>
      </c>
      <c r="R2091">
        <v>259659000</v>
      </c>
      <c r="T2091">
        <v>4666472000</v>
      </c>
      <c r="V2091">
        <f t="shared" si="76"/>
        <v>22963555000</v>
      </c>
      <c r="W2091">
        <f t="shared" si="77"/>
        <v>113235085000</v>
      </c>
    </row>
    <row r="2092" spans="1:23" x14ac:dyDescent="0.2">
      <c r="A2092">
        <f>IF(D2092="USD",VLOOKUP(VALUE(RIGHT(E2092,4)),'USD RUB'!$E:$F,2,FALSE),1)</f>
        <v>1</v>
      </c>
      <c r="B2092" s="4">
        <v>1</v>
      </c>
      <c r="C2092">
        <v>1000</v>
      </c>
      <c r="D2092" t="s">
        <v>20</v>
      </c>
      <c r="E2092" s="1" t="s">
        <v>2109</v>
      </c>
      <c r="F2092">
        <v>5194904000</v>
      </c>
      <c r="G2092">
        <v>78202694000</v>
      </c>
      <c r="H2092">
        <v>37329459000</v>
      </c>
      <c r="J2092">
        <v>126862170000</v>
      </c>
      <c r="K2092">
        <v>34900733000</v>
      </c>
      <c r="L2092">
        <v>38013939000</v>
      </c>
      <c r="N2092">
        <v>53947498000</v>
      </c>
      <c r="O2092">
        <v>51909689000</v>
      </c>
      <c r="P2092">
        <v>7855008000</v>
      </c>
      <c r="Q2092">
        <v>3733965000</v>
      </c>
      <c r="R2092">
        <v>2431618000</v>
      </c>
      <c r="T2092">
        <v>10134938000</v>
      </c>
      <c r="V2092" t="str">
        <f t="shared" si="76"/>
        <v/>
      </c>
      <c r="W2092" t="str">
        <f t="shared" si="77"/>
        <v/>
      </c>
    </row>
    <row r="2093" spans="1:23" x14ac:dyDescent="0.2">
      <c r="A2093">
        <f>IF(D2093="USD",VLOOKUP(VALUE(RIGHT(E2093,4)),'USD RUB'!$E:$F,2,FALSE),1)</f>
        <v>1</v>
      </c>
      <c r="B2093" s="4">
        <v>1</v>
      </c>
      <c r="C2093">
        <v>1000</v>
      </c>
      <c r="D2093" t="s">
        <v>20</v>
      </c>
      <c r="E2093" s="1" t="s">
        <v>2110</v>
      </c>
      <c r="F2093">
        <v>1531141000</v>
      </c>
      <c r="G2093">
        <v>68704369000</v>
      </c>
      <c r="H2093">
        <v>34353483000</v>
      </c>
      <c r="J2093">
        <v>113235085000</v>
      </c>
      <c r="K2093">
        <v>26512976000</v>
      </c>
      <c r="L2093">
        <v>34393692000</v>
      </c>
      <c r="N2093">
        <v>52328417000</v>
      </c>
      <c r="O2093">
        <v>22963555000</v>
      </c>
      <c r="P2093">
        <v>2685277000</v>
      </c>
      <c r="Q2093">
        <v>1309960000</v>
      </c>
      <c r="R2093">
        <v>667692000</v>
      </c>
      <c r="T2093">
        <v>3834433000</v>
      </c>
      <c r="V2093" t="str">
        <f t="shared" si="76"/>
        <v/>
      </c>
      <c r="W2093" t="str">
        <f t="shared" si="77"/>
        <v/>
      </c>
    </row>
    <row r="2094" spans="1:23" x14ac:dyDescent="0.2">
      <c r="A2094">
        <f>IF(D2094="USD",VLOOKUP(VALUE(RIGHT(E2094,4)),'USD RUB'!$E:$F,2,FALSE),1)</f>
        <v>1</v>
      </c>
      <c r="B2094" s="4">
        <v>1</v>
      </c>
      <c r="C2094">
        <v>1000000</v>
      </c>
      <c r="D2094" t="s">
        <v>20</v>
      </c>
      <c r="E2094" s="1" t="s">
        <v>2111</v>
      </c>
      <c r="F2094">
        <v>228728000000</v>
      </c>
      <c r="G2094">
        <v>1490068000000</v>
      </c>
      <c r="H2094">
        <v>59326000000</v>
      </c>
      <c r="I2094">
        <v>3437000000</v>
      </c>
      <c r="J2094">
        <v>1695718000000</v>
      </c>
      <c r="K2094">
        <v>590636000000</v>
      </c>
      <c r="L2094">
        <v>693244000000</v>
      </c>
      <c r="M2094">
        <v>403601000000</v>
      </c>
      <c r="N2094">
        <v>411838000000</v>
      </c>
      <c r="O2094">
        <v>328068000000</v>
      </c>
      <c r="P2094">
        <v>38928000000</v>
      </c>
      <c r="Q2094">
        <v>42656000000</v>
      </c>
      <c r="R2094">
        <v>31991000000</v>
      </c>
      <c r="S2094">
        <v>4445000000</v>
      </c>
      <c r="T2094">
        <v>59655000000</v>
      </c>
      <c r="U2094">
        <v>-4002000000</v>
      </c>
      <c r="V2094">
        <f t="shared" si="76"/>
        <v>264759000000</v>
      </c>
      <c r="W2094">
        <f t="shared" si="77"/>
        <v>1530251000000</v>
      </c>
    </row>
    <row r="2095" spans="1:23" x14ac:dyDescent="0.2">
      <c r="A2095">
        <f>IF(D2095="USD",VLOOKUP(VALUE(RIGHT(E2095,4)),'USD RUB'!$E:$F,2,FALSE),1)</f>
        <v>1</v>
      </c>
      <c r="B2095" s="4">
        <v>1</v>
      </c>
      <c r="C2095">
        <v>1000000</v>
      </c>
      <c r="D2095" t="s">
        <v>20</v>
      </c>
      <c r="E2095" s="1" t="s">
        <v>2112</v>
      </c>
      <c r="F2095">
        <v>232551000000</v>
      </c>
      <c r="G2095">
        <v>1313033000000</v>
      </c>
      <c r="H2095">
        <v>65367000000</v>
      </c>
      <c r="I2095">
        <v>4608000000</v>
      </c>
      <c r="J2095">
        <v>1522549000000</v>
      </c>
      <c r="K2095">
        <v>475321000000</v>
      </c>
      <c r="L2095">
        <v>664769000000</v>
      </c>
      <c r="M2095">
        <v>371721000000</v>
      </c>
      <c r="N2095">
        <v>382459000000</v>
      </c>
      <c r="O2095">
        <v>675051000000</v>
      </c>
      <c r="P2095">
        <v>127466000000</v>
      </c>
      <c r="Q2095">
        <v>38600000000</v>
      </c>
      <c r="R2095">
        <v>28666000000</v>
      </c>
      <c r="S2095">
        <v>9326000000</v>
      </c>
      <c r="T2095">
        <v>92152000000</v>
      </c>
      <c r="U2095">
        <v>-12303000000</v>
      </c>
      <c r="V2095">
        <f t="shared" si="76"/>
        <v>585273000000</v>
      </c>
      <c r="W2095">
        <f t="shared" si="77"/>
        <v>1421048000000</v>
      </c>
    </row>
    <row r="2096" spans="1:23" x14ac:dyDescent="0.2">
      <c r="A2096">
        <f>IF(D2096="USD",VLOOKUP(VALUE(RIGHT(E2096,4)),'USD RUB'!$E:$F,2,FALSE),1)</f>
        <v>1</v>
      </c>
      <c r="B2096" s="4">
        <v>1</v>
      </c>
      <c r="C2096">
        <v>1000000</v>
      </c>
      <c r="D2096" t="s">
        <v>20</v>
      </c>
      <c r="E2096" s="1" t="s">
        <v>2113</v>
      </c>
      <c r="F2096">
        <v>90259000000</v>
      </c>
      <c r="G2096">
        <v>1275825000000</v>
      </c>
      <c r="H2096">
        <v>64034000000</v>
      </c>
      <c r="I2096">
        <v>5837000000</v>
      </c>
      <c r="J2096">
        <v>1530251000000</v>
      </c>
      <c r="K2096">
        <v>416493000000</v>
      </c>
      <c r="L2096">
        <v>720917000000</v>
      </c>
      <c r="M2096">
        <v>383968000000</v>
      </c>
      <c r="N2096">
        <v>392841000000</v>
      </c>
      <c r="O2096">
        <v>264759000000</v>
      </c>
      <c r="P2096">
        <v>51645000000</v>
      </c>
      <c r="Q2096">
        <v>50388000000</v>
      </c>
      <c r="R2096">
        <v>40813000000</v>
      </c>
      <c r="S2096">
        <v>4347000000</v>
      </c>
      <c r="T2096">
        <v>74719000000</v>
      </c>
      <c r="U2096">
        <v>-4566000000</v>
      </c>
      <c r="V2096">
        <f t="shared" si="76"/>
        <v>264895000000</v>
      </c>
      <c r="W2096">
        <f t="shared" si="77"/>
        <v>1410942000000</v>
      </c>
    </row>
    <row r="2097" spans="1:23" x14ac:dyDescent="0.2">
      <c r="A2097">
        <f>IF(D2097="USD",VLOOKUP(VALUE(RIGHT(E2097,4)),'USD RUB'!$E:$F,2,FALSE),1)</f>
        <v>1</v>
      </c>
      <c r="B2097" s="4">
        <v>1</v>
      </c>
      <c r="C2097">
        <v>1000000</v>
      </c>
      <c r="D2097" t="s">
        <v>20</v>
      </c>
      <c r="E2097" s="1" t="s">
        <v>2114</v>
      </c>
      <c r="F2097">
        <v>138647000000</v>
      </c>
      <c r="G2097">
        <v>1202059000000</v>
      </c>
      <c r="H2097">
        <v>60904000000</v>
      </c>
      <c r="I2097">
        <v>6348000000</v>
      </c>
      <c r="J2097">
        <v>1421048000000</v>
      </c>
      <c r="K2097">
        <v>380543000000</v>
      </c>
      <c r="L2097">
        <v>687655000000</v>
      </c>
      <c r="M2097">
        <v>343322000000</v>
      </c>
      <c r="N2097">
        <v>352850000000</v>
      </c>
      <c r="O2097">
        <v>585273000000</v>
      </c>
      <c r="P2097">
        <v>121836000000</v>
      </c>
      <c r="Q2097">
        <v>63810000000</v>
      </c>
      <c r="R2097">
        <v>52310000000</v>
      </c>
      <c r="S2097">
        <v>7753000000</v>
      </c>
      <c r="T2097">
        <v>105335000000</v>
      </c>
      <c r="U2097">
        <v>-8115000000</v>
      </c>
      <c r="V2097" t="str">
        <f t="shared" si="76"/>
        <v/>
      </c>
      <c r="W2097" t="str">
        <f t="shared" si="77"/>
        <v/>
      </c>
    </row>
    <row r="2098" spans="1:23" x14ac:dyDescent="0.2">
      <c r="A2098">
        <f>IF(D2098="USD",VLOOKUP(VALUE(RIGHT(E2098,4)),'USD RUB'!$E:$F,2,FALSE),1)</f>
        <v>1</v>
      </c>
      <c r="B2098" s="4">
        <v>1</v>
      </c>
      <c r="C2098">
        <v>1000000</v>
      </c>
      <c r="D2098" t="s">
        <v>20</v>
      </c>
      <c r="E2098" s="1" t="s">
        <v>2115</v>
      </c>
      <c r="F2098">
        <v>90501000000</v>
      </c>
      <c r="G2098">
        <v>1201134000000</v>
      </c>
      <c r="H2098">
        <v>57224000000</v>
      </c>
      <c r="I2098">
        <v>9983000000</v>
      </c>
      <c r="J2098">
        <v>1410942000000</v>
      </c>
      <c r="K2098">
        <v>308374000000</v>
      </c>
      <c r="L2098">
        <v>749101000000</v>
      </c>
      <c r="M2098">
        <v>318650000000</v>
      </c>
      <c r="N2098">
        <v>353467000000</v>
      </c>
      <c r="O2098">
        <v>264895000000</v>
      </c>
      <c r="P2098">
        <v>50822000000</v>
      </c>
      <c r="Q2098">
        <v>33202000000</v>
      </c>
      <c r="R2098">
        <v>27891000000</v>
      </c>
      <c r="S2098">
        <v>3677000000</v>
      </c>
      <c r="T2098">
        <v>55320000000</v>
      </c>
      <c r="U2098">
        <v>-3663000000</v>
      </c>
      <c r="V2098" t="str">
        <f t="shared" si="76"/>
        <v/>
      </c>
      <c r="W2098" t="str">
        <f t="shared" si="77"/>
        <v/>
      </c>
    </row>
    <row r="2099" spans="1:23" x14ac:dyDescent="0.2">
      <c r="A2099">
        <f>IF(D2099="USD",VLOOKUP(VALUE(RIGHT(E2099,4)),'USD RUB'!$E:$F,2,FALSE),1)</f>
        <v>1</v>
      </c>
      <c r="B2099" s="4">
        <v>1</v>
      </c>
      <c r="C2099">
        <v>1000000</v>
      </c>
      <c r="D2099" t="s">
        <v>20</v>
      </c>
      <c r="E2099" s="1" t="s">
        <v>2116</v>
      </c>
      <c r="F2099">
        <v>131200000000</v>
      </c>
      <c r="G2099">
        <v>872686000000</v>
      </c>
      <c r="H2099">
        <v>29789000000</v>
      </c>
      <c r="I2099">
        <v>15772000000</v>
      </c>
      <c r="J2099">
        <v>1061352000000</v>
      </c>
      <c r="K2099">
        <v>345902000000</v>
      </c>
      <c r="L2099">
        <v>455399000000</v>
      </c>
      <c r="M2099">
        <v>220119000000</v>
      </c>
      <c r="N2099">
        <v>260051000000</v>
      </c>
      <c r="O2099">
        <v>487806000000</v>
      </c>
      <c r="P2099">
        <v>87574000000</v>
      </c>
      <c r="Q2099">
        <v>124142000000</v>
      </c>
      <c r="R2099">
        <v>103585000000</v>
      </c>
      <c r="S2099">
        <v>4943000000</v>
      </c>
      <c r="T2099">
        <v>143785000000</v>
      </c>
      <c r="U2099">
        <v>-9856000000</v>
      </c>
      <c r="V2099">
        <f t="shared" si="76"/>
        <v>380161000000</v>
      </c>
      <c r="W2099">
        <f t="shared" si="77"/>
        <v>648808000000</v>
      </c>
    </row>
    <row r="2100" spans="1:23" x14ac:dyDescent="0.2">
      <c r="A2100">
        <f>IF(D2100="USD",VLOOKUP(VALUE(RIGHT(E2100,4)),'USD RUB'!$E:$F,2,FALSE),1)</f>
        <v>1</v>
      </c>
      <c r="B2100" s="4">
        <v>1</v>
      </c>
      <c r="C2100">
        <v>1000000</v>
      </c>
      <c r="D2100" t="s">
        <v>20</v>
      </c>
      <c r="E2100" s="1" t="s">
        <v>2117</v>
      </c>
      <c r="F2100">
        <v>52918000000</v>
      </c>
      <c r="G2100">
        <v>647969000000</v>
      </c>
      <c r="H2100">
        <v>39206000000</v>
      </c>
      <c r="I2100">
        <v>14569000000</v>
      </c>
      <c r="J2100">
        <v>809272000000</v>
      </c>
      <c r="K2100">
        <v>288584000000</v>
      </c>
      <c r="L2100">
        <v>298997000000</v>
      </c>
      <c r="M2100">
        <v>186379000000</v>
      </c>
      <c r="N2100">
        <v>221691000000</v>
      </c>
      <c r="O2100">
        <v>189279000000</v>
      </c>
      <c r="P2100">
        <v>35053000000</v>
      </c>
      <c r="Q2100">
        <v>84709000000</v>
      </c>
      <c r="R2100">
        <v>69423000000</v>
      </c>
      <c r="S2100">
        <v>2285000000</v>
      </c>
      <c r="T2100">
        <v>91918000000</v>
      </c>
      <c r="U2100">
        <v>-4416000000</v>
      </c>
      <c r="V2100">
        <f t="shared" si="76"/>
        <v>138529000000</v>
      </c>
      <c r="W2100">
        <f t="shared" si="77"/>
        <v>534950000000</v>
      </c>
    </row>
    <row r="2101" spans="1:23" x14ac:dyDescent="0.2">
      <c r="A2101">
        <f>IF(D2101="USD",VLOOKUP(VALUE(RIGHT(E2101,4)),'USD RUB'!$E:$F,2,FALSE),1)</f>
        <v>1</v>
      </c>
      <c r="B2101" s="4">
        <v>1</v>
      </c>
      <c r="C2101">
        <v>1000000</v>
      </c>
      <c r="D2101" t="s">
        <v>20</v>
      </c>
      <c r="E2101" s="1" t="s">
        <v>2118</v>
      </c>
      <c r="F2101">
        <v>96527000000</v>
      </c>
      <c r="G2101">
        <v>552335000000</v>
      </c>
      <c r="H2101">
        <v>35546000000</v>
      </c>
      <c r="I2101">
        <v>14033000000</v>
      </c>
      <c r="J2101">
        <v>648808000000</v>
      </c>
      <c r="K2101">
        <v>217542000000</v>
      </c>
      <c r="L2101">
        <v>248955000000</v>
      </c>
      <c r="M2101">
        <v>147343000000</v>
      </c>
      <c r="N2101">
        <v>182311000000</v>
      </c>
      <c r="O2101">
        <v>380161000000</v>
      </c>
      <c r="P2101">
        <v>87899000000</v>
      </c>
      <c r="Q2101">
        <v>105275000000</v>
      </c>
      <c r="R2101">
        <v>86493000000</v>
      </c>
      <c r="S2101">
        <v>3479000000</v>
      </c>
      <c r="T2101">
        <v>112041000000</v>
      </c>
      <c r="U2101">
        <v>-3168000000</v>
      </c>
      <c r="V2101">
        <f t="shared" si="76"/>
        <v>280635000000</v>
      </c>
      <c r="W2101">
        <f t="shared" si="77"/>
        <v>472003000000</v>
      </c>
    </row>
    <row r="2102" spans="1:23" x14ac:dyDescent="0.2">
      <c r="A2102">
        <f>IF(D2102="USD",VLOOKUP(VALUE(RIGHT(E2102,4)),'USD RUB'!$E:$F,2,FALSE),1)</f>
        <v>1</v>
      </c>
      <c r="B2102" s="4">
        <v>1</v>
      </c>
      <c r="C2102">
        <v>1000000</v>
      </c>
      <c r="D2102" t="s">
        <v>20</v>
      </c>
      <c r="E2102" s="1" t="s">
        <v>2119</v>
      </c>
      <c r="F2102">
        <v>78051000000</v>
      </c>
      <c r="G2102">
        <v>464511000000</v>
      </c>
      <c r="H2102">
        <v>35171000000</v>
      </c>
      <c r="I2102">
        <v>13354000000</v>
      </c>
      <c r="J2102">
        <v>534950000000</v>
      </c>
      <c r="K2102">
        <v>226537000000</v>
      </c>
      <c r="L2102">
        <v>180209000000</v>
      </c>
      <c r="M2102">
        <v>94163000000</v>
      </c>
      <c r="N2102">
        <v>128204000000</v>
      </c>
      <c r="O2102">
        <v>138529000000</v>
      </c>
      <c r="P2102">
        <v>23573000000</v>
      </c>
      <c r="Q2102">
        <v>23740000000</v>
      </c>
      <c r="R2102">
        <v>17986000000</v>
      </c>
      <c r="S2102">
        <v>1721000000</v>
      </c>
      <c r="T2102">
        <v>27457000000</v>
      </c>
      <c r="U2102">
        <v>-976000000</v>
      </c>
      <c r="V2102">
        <f t="shared" si="76"/>
        <v>103583000000</v>
      </c>
      <c r="W2102">
        <f t="shared" si="77"/>
        <v>367806000000</v>
      </c>
    </row>
    <row r="2103" spans="1:23" x14ac:dyDescent="0.2">
      <c r="A2103">
        <f>IF(D2103="USD",VLOOKUP(VALUE(RIGHT(E2103,4)),'USD RUB'!$E:$F,2,FALSE),1)</f>
        <v>1</v>
      </c>
      <c r="B2103" s="4">
        <v>1</v>
      </c>
      <c r="C2103">
        <v>1000000</v>
      </c>
      <c r="D2103" t="s">
        <v>20</v>
      </c>
      <c r="E2103" s="1" t="s">
        <v>2120</v>
      </c>
      <c r="F2103">
        <v>66208000000</v>
      </c>
      <c r="G2103">
        <v>403760000000</v>
      </c>
      <c r="H2103">
        <v>34453000000</v>
      </c>
      <c r="I2103">
        <v>13454000000</v>
      </c>
      <c r="J2103">
        <v>472003000000</v>
      </c>
      <c r="K2103">
        <v>217843000000</v>
      </c>
      <c r="L2103">
        <v>143872000000</v>
      </c>
      <c r="M2103">
        <v>75962000000</v>
      </c>
      <c r="N2103">
        <v>110288000000</v>
      </c>
      <c r="O2103">
        <v>280635000000</v>
      </c>
      <c r="P2103">
        <v>60555000000</v>
      </c>
      <c r="Q2103">
        <v>59238000000</v>
      </c>
      <c r="R2103">
        <v>45113000000</v>
      </c>
      <c r="S2103">
        <v>3024000000</v>
      </c>
      <c r="T2103">
        <v>67042000000</v>
      </c>
      <c r="U2103">
        <v>-4150000000</v>
      </c>
      <c r="V2103">
        <f t="shared" si="76"/>
        <v>245757000000</v>
      </c>
      <c r="W2103">
        <f t="shared" si="77"/>
        <v>351473000000</v>
      </c>
    </row>
    <row r="2104" spans="1:23" x14ac:dyDescent="0.2">
      <c r="A2104">
        <f>IF(D2104="USD",VLOOKUP(VALUE(RIGHT(E2104,4)),'USD RUB'!$E:$F,2,FALSE),1)</f>
        <v>1</v>
      </c>
      <c r="B2104" s="4">
        <v>1</v>
      </c>
      <c r="C2104">
        <v>1000000</v>
      </c>
      <c r="D2104" t="s">
        <v>20</v>
      </c>
      <c r="E2104" s="1" t="s">
        <v>2121</v>
      </c>
      <c r="F2104">
        <v>42204000000</v>
      </c>
      <c r="G2104">
        <v>320958000000</v>
      </c>
      <c r="H2104">
        <v>27223000000</v>
      </c>
      <c r="I2104">
        <v>2138000000</v>
      </c>
      <c r="J2104">
        <v>367806000000</v>
      </c>
      <c r="K2104">
        <v>238578000000</v>
      </c>
      <c r="L2104">
        <v>68699000000</v>
      </c>
      <c r="M2104">
        <v>26598000000</v>
      </c>
      <c r="N2104">
        <v>60529000000</v>
      </c>
      <c r="O2104">
        <v>103583000000</v>
      </c>
      <c r="P2104">
        <v>14370000000</v>
      </c>
      <c r="Q2104">
        <v>9711000000</v>
      </c>
      <c r="R2104">
        <v>7380000000</v>
      </c>
      <c r="S2104">
        <v>1320000000</v>
      </c>
      <c r="T2104">
        <v>16990000000</v>
      </c>
      <c r="U2104">
        <v>-899000000</v>
      </c>
      <c r="V2104">
        <f t="shared" si="76"/>
        <v>90347000000</v>
      </c>
      <c r="W2104">
        <f t="shared" si="77"/>
        <v>353143000000</v>
      </c>
    </row>
    <row r="2105" spans="1:23" x14ac:dyDescent="0.2">
      <c r="A2105">
        <f>IF(D2105="USD",VLOOKUP(VALUE(RIGHT(E2105,4)),'USD RUB'!$E:$F,2,FALSE),1)</f>
        <v>1</v>
      </c>
      <c r="B2105" s="4">
        <v>1</v>
      </c>
      <c r="C2105">
        <v>1000000</v>
      </c>
      <c r="D2105" t="s">
        <v>20</v>
      </c>
      <c r="E2105" s="1" t="s">
        <v>2122</v>
      </c>
      <c r="F2105">
        <v>58601000000</v>
      </c>
      <c r="G2105">
        <v>291248000000</v>
      </c>
      <c r="H2105">
        <v>26189000000</v>
      </c>
      <c r="I2105">
        <v>1881000000</v>
      </c>
      <c r="J2105">
        <v>351473000000</v>
      </c>
      <c r="K2105">
        <v>215895000000</v>
      </c>
      <c r="L2105">
        <v>67407000000</v>
      </c>
      <c r="M2105">
        <v>33478000000</v>
      </c>
      <c r="N2105">
        <v>68171000000</v>
      </c>
      <c r="O2105">
        <v>245757000000</v>
      </c>
      <c r="P2105">
        <v>37505000000</v>
      </c>
      <c r="Q2105">
        <v>28581000000</v>
      </c>
      <c r="R2105">
        <v>21252000000</v>
      </c>
      <c r="S2105">
        <v>2237000000</v>
      </c>
      <c r="T2105">
        <v>42803000000</v>
      </c>
      <c r="U2105">
        <v>-3882000000</v>
      </c>
      <c r="V2105">
        <f t="shared" si="76"/>
        <v>175134000000</v>
      </c>
      <c r="W2105">
        <f t="shared" si="77"/>
        <v>378188000000</v>
      </c>
    </row>
    <row r="2106" spans="1:23" x14ac:dyDescent="0.2">
      <c r="A2106">
        <f>IF(D2106="USD",VLOOKUP(VALUE(RIGHT(E2106,4)),'USD RUB'!$E:$F,2,FALSE),1)</f>
        <v>1</v>
      </c>
      <c r="B2106" s="4">
        <v>1</v>
      </c>
      <c r="C2106">
        <v>1000000</v>
      </c>
      <c r="D2106" t="s">
        <v>20</v>
      </c>
      <c r="E2106" s="1" t="s">
        <v>2123</v>
      </c>
      <c r="F2106">
        <v>60223000000</v>
      </c>
      <c r="G2106">
        <v>297792000000</v>
      </c>
      <c r="H2106">
        <v>24913000000</v>
      </c>
      <c r="I2106">
        <v>866000000</v>
      </c>
      <c r="J2106">
        <v>353143000000</v>
      </c>
      <c r="K2106">
        <v>203200000000</v>
      </c>
      <c r="L2106">
        <v>88412000000</v>
      </c>
      <c r="M2106">
        <v>28080000000</v>
      </c>
      <c r="N2106">
        <v>61531000000</v>
      </c>
      <c r="O2106">
        <v>90347000000</v>
      </c>
      <c r="P2106">
        <v>9341000000</v>
      </c>
      <c r="Q2106">
        <v>414000000</v>
      </c>
      <c r="R2106">
        <v>315000000</v>
      </c>
      <c r="S2106">
        <v>952000000</v>
      </c>
      <c r="T2106">
        <v>10446000000</v>
      </c>
      <c r="U2106">
        <v>-1959000000</v>
      </c>
      <c r="V2106">
        <f t="shared" si="76"/>
        <v>41479000000</v>
      </c>
      <c r="W2106">
        <f t="shared" si="77"/>
        <v>407163000000</v>
      </c>
    </row>
    <row r="2107" spans="1:23" s="20" customFormat="1" x14ac:dyDescent="0.2">
      <c r="A2107" s="20">
        <f>IF(D2107="USD",VLOOKUP(VALUE(RIGHT(E2107,4)),'USD RUB'!$E:$F,2,FALSE),1)</f>
        <v>1</v>
      </c>
      <c r="B2107" s="21">
        <v>1</v>
      </c>
      <c r="C2107" s="20">
        <v>1000000</v>
      </c>
      <c r="D2107" s="20" t="s">
        <v>20</v>
      </c>
      <c r="E2107" s="22" t="s">
        <v>2124</v>
      </c>
      <c r="F2107" s="20">
        <v>45452000000</v>
      </c>
      <c r="G2107" s="20">
        <v>320376000000</v>
      </c>
      <c r="H2107" s="20">
        <v>23524000000</v>
      </c>
      <c r="I2107" s="20">
        <v>779000000</v>
      </c>
      <c r="J2107" s="20">
        <v>378188000000</v>
      </c>
      <c r="K2107" s="20">
        <v>252816000000</v>
      </c>
      <c r="L2107" s="20">
        <v>69224000000</v>
      </c>
      <c r="M2107" s="20">
        <v>22788000000</v>
      </c>
      <c r="N2107" s="20">
        <v>56148000000</v>
      </c>
      <c r="O2107" s="20">
        <v>175134000000</v>
      </c>
      <c r="P2107" s="20">
        <v>9152000000</v>
      </c>
      <c r="Q2107" s="20">
        <v>2977000000</v>
      </c>
      <c r="R2107" s="20">
        <v>2554000000</v>
      </c>
      <c r="S2107" s="20">
        <v>1649000000</v>
      </c>
      <c r="T2107" s="20">
        <v>15648000000</v>
      </c>
      <c r="U2107" s="20">
        <v>-2501000000</v>
      </c>
      <c r="V2107" s="20">
        <f t="shared" si="76"/>
        <v>60090000000</v>
      </c>
      <c r="W2107" s="20">
        <f t="shared" si="77"/>
        <v>357484000000</v>
      </c>
    </row>
    <row r="2108" spans="1:23" x14ac:dyDescent="0.2">
      <c r="A2108">
        <f>IF(D2108="USD",VLOOKUP(VALUE(RIGHT(E2108,4)),'USD RUB'!$E:$F,2,FALSE),1)</f>
        <v>1</v>
      </c>
      <c r="B2108" s="4">
        <v>1</v>
      </c>
      <c r="C2108">
        <v>1000000</v>
      </c>
      <c r="D2108" t="s">
        <v>20</v>
      </c>
      <c r="E2108" s="1" t="s">
        <v>2125</v>
      </c>
      <c r="F2108">
        <v>31945000000</v>
      </c>
      <c r="G2108">
        <v>344552000000</v>
      </c>
      <c r="H2108">
        <v>22374000000</v>
      </c>
      <c r="I2108">
        <v>3452000000</v>
      </c>
      <c r="J2108">
        <v>407163000000</v>
      </c>
      <c r="K2108">
        <v>261596000000</v>
      </c>
      <c r="L2108">
        <v>94032000000</v>
      </c>
      <c r="M2108">
        <v>19878000000</v>
      </c>
      <c r="N2108">
        <v>51535000000</v>
      </c>
      <c r="O2108">
        <v>41479000000</v>
      </c>
      <c r="P2108">
        <v>-385000000</v>
      </c>
      <c r="Q2108">
        <v>-3149000000</v>
      </c>
      <c r="R2108">
        <v>-2519000000</v>
      </c>
      <c r="S2108">
        <v>708000000</v>
      </c>
      <c r="T2108">
        <v>2917000000</v>
      </c>
      <c r="U2108">
        <v>-1095000000</v>
      </c>
      <c r="V2108">
        <f t="shared" si="76"/>
        <v>18914000000</v>
      </c>
      <c r="W2108">
        <f t="shared" si="77"/>
        <v>125925000000</v>
      </c>
    </row>
    <row r="2109" spans="1:23" s="20" customFormat="1" x14ac:dyDescent="0.2">
      <c r="A2109" s="20">
        <f>IF(D2109="USD",VLOOKUP(VALUE(RIGHT(E2109,4)),'USD RUB'!$E:$F,2,FALSE),1)</f>
        <v>1</v>
      </c>
      <c r="B2109" s="21">
        <v>1</v>
      </c>
      <c r="C2109" s="20">
        <v>1000000</v>
      </c>
      <c r="D2109" s="20" t="s">
        <v>20</v>
      </c>
      <c r="E2109" s="22" t="s">
        <v>2126</v>
      </c>
      <c r="F2109" s="20">
        <v>24812000000</v>
      </c>
      <c r="G2109" s="20">
        <v>295333000000</v>
      </c>
      <c r="H2109" s="20">
        <v>23176000000</v>
      </c>
      <c r="J2109" s="20">
        <v>357484000000</v>
      </c>
      <c r="K2109" s="20">
        <v>220909000000</v>
      </c>
      <c r="L2109" s="20">
        <v>81276000000</v>
      </c>
      <c r="M2109" s="20">
        <v>22398000000</v>
      </c>
      <c r="N2109" s="20">
        <v>55299000000</v>
      </c>
      <c r="O2109" s="20">
        <v>60090000000</v>
      </c>
      <c r="P2109" s="20">
        <v>25114000000</v>
      </c>
      <c r="Q2109" s="20">
        <v>23154000000</v>
      </c>
      <c r="R2109" s="20">
        <v>20465000000</v>
      </c>
      <c r="T2109" s="20">
        <v>11444000000</v>
      </c>
      <c r="V2109" s="20">
        <f t="shared" si="76"/>
        <v>51132000000</v>
      </c>
      <c r="W2109" s="20">
        <f t="shared" si="77"/>
        <v>106705000000</v>
      </c>
    </row>
    <row r="2110" spans="1:23" x14ac:dyDescent="0.2">
      <c r="A2110">
        <f>IF(D2110="USD",VLOOKUP(VALUE(RIGHT(E2110,4)),'USD RUB'!$E:$F,2,FALSE),1)</f>
        <v>1</v>
      </c>
      <c r="B2110" s="4">
        <v>1</v>
      </c>
      <c r="C2110">
        <v>1000000</v>
      </c>
      <c r="D2110" t="s">
        <v>20</v>
      </c>
      <c r="E2110" s="1" t="s">
        <v>2127</v>
      </c>
      <c r="F2110">
        <v>19812000000</v>
      </c>
      <c r="G2110">
        <v>116865000000</v>
      </c>
      <c r="H2110">
        <v>7130000000</v>
      </c>
      <c r="J2110">
        <v>125925000000</v>
      </c>
      <c r="K2110">
        <v>84856000000</v>
      </c>
      <c r="L2110">
        <v>6640000000</v>
      </c>
      <c r="M2110">
        <v>423000000</v>
      </c>
      <c r="N2110">
        <v>34429000000</v>
      </c>
      <c r="O2110">
        <v>18914000000</v>
      </c>
      <c r="Q2110">
        <v>1960000000</v>
      </c>
      <c r="R2110">
        <v>1667000000</v>
      </c>
      <c r="T2110">
        <v>2512000000</v>
      </c>
      <c r="U2110">
        <v>-321000000</v>
      </c>
      <c r="V2110">
        <f t="shared" si="76"/>
        <v>22053000000</v>
      </c>
      <c r="W2110">
        <f t="shared" si="77"/>
        <v>106273000000</v>
      </c>
    </row>
    <row r="2111" spans="1:23" x14ac:dyDescent="0.2">
      <c r="A2111">
        <f>IF(D2111="USD",VLOOKUP(VALUE(RIGHT(E2111,4)),'USD RUB'!$E:$F,2,FALSE),1)</f>
        <v>1</v>
      </c>
      <c r="B2111" s="4">
        <v>1</v>
      </c>
      <c r="C2111">
        <v>1000000</v>
      </c>
      <c r="D2111" t="s">
        <v>20</v>
      </c>
      <c r="E2111" s="1" t="s">
        <v>2128</v>
      </c>
      <c r="F2111">
        <v>17022000000</v>
      </c>
      <c r="G2111">
        <v>97259000000</v>
      </c>
      <c r="H2111">
        <v>7752000000</v>
      </c>
      <c r="J2111">
        <v>106705000000</v>
      </c>
      <c r="K2111">
        <v>58998000000</v>
      </c>
      <c r="L2111">
        <v>14960000000</v>
      </c>
      <c r="M2111">
        <v>-866000000</v>
      </c>
      <c r="N2111">
        <v>32747000000</v>
      </c>
      <c r="O2111">
        <v>51132000000</v>
      </c>
      <c r="P2111">
        <v>11568000000</v>
      </c>
      <c r="Q2111">
        <v>13282000000</v>
      </c>
      <c r="R2111">
        <v>11449000000</v>
      </c>
      <c r="T2111">
        <v>13709000000</v>
      </c>
      <c r="V2111">
        <f t="shared" si="76"/>
        <v>61260000000</v>
      </c>
      <c r="W2111">
        <f t="shared" si="77"/>
        <v>96948000000</v>
      </c>
    </row>
    <row r="2112" spans="1:23" x14ac:dyDescent="0.2">
      <c r="A2112">
        <f>IF(D2112="USD",VLOOKUP(VALUE(RIGHT(E2112,4)),'USD RUB'!$E:$F,2,FALSE),1)</f>
        <v>1</v>
      </c>
      <c r="B2112" s="4">
        <v>1</v>
      </c>
      <c r="C2112">
        <v>1000000</v>
      </c>
      <c r="D2112" t="s">
        <v>20</v>
      </c>
      <c r="E2112" s="1" t="s">
        <v>2129</v>
      </c>
      <c r="F2112">
        <v>17792000000</v>
      </c>
      <c r="G2112">
        <v>72971000000</v>
      </c>
      <c r="H2112">
        <v>8169000000</v>
      </c>
      <c r="J2112">
        <v>106273000000</v>
      </c>
      <c r="K2112">
        <v>61093000000</v>
      </c>
      <c r="L2112">
        <v>19784000000</v>
      </c>
      <c r="M2112">
        <v>-8048000000</v>
      </c>
      <c r="N2112">
        <v>25396000000</v>
      </c>
      <c r="O2112">
        <v>22053000000</v>
      </c>
      <c r="Q2112">
        <v>5180000000</v>
      </c>
      <c r="R2112">
        <v>4080000000</v>
      </c>
      <c r="T2112">
        <v>7100000000</v>
      </c>
      <c r="V2112">
        <f t="shared" si="76"/>
        <v>28634000000</v>
      </c>
      <c r="W2112">
        <f t="shared" si="77"/>
        <v>108280000000</v>
      </c>
    </row>
    <row r="2113" spans="1:23" x14ac:dyDescent="0.2">
      <c r="A2113">
        <f>IF(D2113="USD",VLOOKUP(VALUE(RIGHT(E2113,4)),'USD RUB'!$E:$F,2,FALSE),1)</f>
        <v>1</v>
      </c>
      <c r="B2113" s="4">
        <v>1</v>
      </c>
      <c r="C2113">
        <v>1000000</v>
      </c>
      <c r="D2113" t="s">
        <v>20</v>
      </c>
      <c r="E2113" s="1" t="s">
        <v>2130</v>
      </c>
      <c r="F2113">
        <v>14239000000</v>
      </c>
      <c r="G2113">
        <v>69225000000</v>
      </c>
      <c r="H2113">
        <v>8594000000</v>
      </c>
      <c r="J2113">
        <v>96948000000</v>
      </c>
      <c r="K2113">
        <v>73974000000</v>
      </c>
      <c r="L2113">
        <v>1661000000</v>
      </c>
      <c r="M2113">
        <v>-12058000000</v>
      </c>
      <c r="N2113">
        <v>21313000000</v>
      </c>
      <c r="O2113">
        <v>61260000000</v>
      </c>
      <c r="P2113">
        <v>6479000000</v>
      </c>
      <c r="Q2113">
        <v>4407000000</v>
      </c>
      <c r="R2113">
        <v>3792000000</v>
      </c>
      <c r="T2113">
        <v>12517000000</v>
      </c>
      <c r="V2113">
        <f t="shared" si="76"/>
        <v>62543000000</v>
      </c>
      <c r="W2113">
        <f t="shared" si="77"/>
        <v>117231000000</v>
      </c>
    </row>
    <row r="2114" spans="1:23" x14ac:dyDescent="0.2">
      <c r="A2114">
        <f>IF(D2114="USD",VLOOKUP(VALUE(RIGHT(E2114,4)),'USD RUB'!$E:$F,2,FALSE),1)</f>
        <v>1</v>
      </c>
      <c r="B2114" s="4">
        <v>1</v>
      </c>
      <c r="C2114">
        <v>1000000</v>
      </c>
      <c r="D2114" t="s">
        <v>20</v>
      </c>
      <c r="E2114" s="1" t="s">
        <v>2131</v>
      </c>
      <c r="F2114">
        <v>9704000000</v>
      </c>
      <c r="G2114">
        <v>78216000000</v>
      </c>
      <c r="H2114">
        <v>9006000000</v>
      </c>
      <c r="J2114">
        <v>108280000000</v>
      </c>
      <c r="K2114">
        <v>84024000000</v>
      </c>
      <c r="L2114">
        <v>2174000000</v>
      </c>
      <c r="M2114">
        <v>-11444000000</v>
      </c>
      <c r="N2114">
        <v>22082000000</v>
      </c>
      <c r="O2114">
        <v>28634000000</v>
      </c>
      <c r="Q2114">
        <v>1839000000</v>
      </c>
      <c r="R2114">
        <v>1464000000</v>
      </c>
      <c r="T2114">
        <v>5900000000</v>
      </c>
      <c r="V2114">
        <f t="shared" si="76"/>
        <v>25041000000</v>
      </c>
      <c r="W2114">
        <f t="shared" si="77"/>
        <v>138521000000</v>
      </c>
    </row>
    <row r="2115" spans="1:23" x14ac:dyDescent="0.2">
      <c r="A2115">
        <f>IF(D2115="USD",VLOOKUP(VALUE(RIGHT(E2115,4)),'USD RUB'!$E:$F,2,FALSE),1)</f>
        <v>1</v>
      </c>
      <c r="B2115" s="4">
        <v>1</v>
      </c>
      <c r="C2115">
        <v>1000000</v>
      </c>
      <c r="D2115" t="s">
        <v>20</v>
      </c>
      <c r="E2115" s="1" t="s">
        <v>2132</v>
      </c>
      <c r="F2115">
        <v>11089000000</v>
      </c>
      <c r="G2115">
        <v>86962000000</v>
      </c>
      <c r="H2115">
        <v>9049000000</v>
      </c>
      <c r="J2115">
        <v>117231000000</v>
      </c>
      <c r="K2115">
        <v>91578000000</v>
      </c>
      <c r="L2115">
        <v>5030000000</v>
      </c>
      <c r="N2115">
        <v>20623000000</v>
      </c>
      <c r="O2115">
        <v>62543000000</v>
      </c>
      <c r="P2115">
        <v>12394000000</v>
      </c>
      <c r="Q2115">
        <v>8694000000</v>
      </c>
      <c r="R2115">
        <v>7448000000</v>
      </c>
      <c r="T2115">
        <v>14000000000</v>
      </c>
      <c r="V2115">
        <f t="shared" si="76"/>
        <v>66129000000</v>
      </c>
      <c r="W2115">
        <f t="shared" si="77"/>
        <v>126501000000</v>
      </c>
    </row>
    <row r="2116" spans="1:23" x14ac:dyDescent="0.2">
      <c r="A2116">
        <f>IF(D2116="USD",VLOOKUP(VALUE(RIGHT(E2116,4)),'USD RUB'!$E:$F,2,FALSE),1)</f>
        <v>1</v>
      </c>
      <c r="B2116" s="4">
        <v>1</v>
      </c>
      <c r="C2116">
        <v>1000000</v>
      </c>
      <c r="D2116" t="s">
        <v>20</v>
      </c>
      <c r="E2116" s="1" t="s">
        <v>2133</v>
      </c>
      <c r="F2116">
        <v>12615000000</v>
      </c>
      <c r="G2116">
        <v>109713000000</v>
      </c>
      <c r="H2116">
        <v>9060000000</v>
      </c>
      <c r="J2116">
        <v>138521000000</v>
      </c>
      <c r="K2116">
        <v>110859000000</v>
      </c>
      <c r="L2116">
        <v>11492000000</v>
      </c>
      <c r="N2116">
        <v>16170000000</v>
      </c>
      <c r="O2116">
        <v>25041000000</v>
      </c>
      <c r="Q2116">
        <v>3320000000</v>
      </c>
      <c r="R2116">
        <v>2630000000</v>
      </c>
      <c r="T2116">
        <v>6300000000</v>
      </c>
      <c r="V2116">
        <f t="shared" si="76"/>
        <v>15085000000</v>
      </c>
      <c r="W2116">
        <f t="shared" si="77"/>
        <v>134195000000</v>
      </c>
    </row>
    <row r="2117" spans="1:23" x14ac:dyDescent="0.2">
      <c r="A2117">
        <f>IF(D2117="USD",VLOOKUP(VALUE(RIGHT(E2117,4)),'USD RUB'!$E:$F,2,FALSE),1)</f>
        <v>1</v>
      </c>
      <c r="B2117" s="4">
        <v>1</v>
      </c>
      <c r="C2117">
        <v>1000000</v>
      </c>
      <c r="D2117" t="s">
        <v>20</v>
      </c>
      <c r="E2117" s="1" t="s">
        <v>2134</v>
      </c>
      <c r="F2117">
        <v>5067000000</v>
      </c>
      <c r="G2117">
        <v>99123000000</v>
      </c>
      <c r="H2117">
        <v>9076000000</v>
      </c>
      <c r="J2117">
        <v>126501000000</v>
      </c>
      <c r="K2117">
        <v>88177000000</v>
      </c>
      <c r="L2117">
        <v>34979000000</v>
      </c>
      <c r="N2117">
        <v>3345000000</v>
      </c>
      <c r="O2117">
        <v>66129000000</v>
      </c>
      <c r="Q2117">
        <v>4031000000</v>
      </c>
      <c r="R2117">
        <v>3127000000</v>
      </c>
      <c r="T2117">
        <v>10692000000</v>
      </c>
      <c r="V2117">
        <f t="shared" si="76"/>
        <v>45991000000</v>
      </c>
      <c r="W2117">
        <f t="shared" si="77"/>
        <v>128774000000</v>
      </c>
    </row>
    <row r="2118" spans="1:23" x14ac:dyDescent="0.2">
      <c r="A2118">
        <f>IF(D2118="USD",VLOOKUP(VALUE(RIGHT(E2118,4)),'USD RUB'!$E:$F,2,FALSE),1)</f>
        <v>1</v>
      </c>
      <c r="B2118" s="4">
        <v>1</v>
      </c>
      <c r="C2118">
        <v>1000000</v>
      </c>
      <c r="D2118" t="s">
        <v>20</v>
      </c>
      <c r="E2118" s="1" t="s">
        <v>2135</v>
      </c>
      <c r="F2118">
        <v>2668000000</v>
      </c>
      <c r="G2118">
        <v>108242000000</v>
      </c>
      <c r="H2118">
        <v>9090000000</v>
      </c>
      <c r="J2118">
        <v>134195000000</v>
      </c>
      <c r="K2118">
        <v>105431000000</v>
      </c>
      <c r="L2118">
        <v>29508000000</v>
      </c>
      <c r="N2118">
        <v>-744000000</v>
      </c>
      <c r="O2118">
        <v>15085000000</v>
      </c>
      <c r="Q2118">
        <v>-1293000000</v>
      </c>
      <c r="R2118">
        <v>-962000000</v>
      </c>
      <c r="T2118">
        <v>1800000000</v>
      </c>
      <c r="V2118">
        <f t="shared" si="76"/>
        <v>22794000000</v>
      </c>
      <c r="W2118">
        <f t="shared" si="77"/>
        <v>129497000000</v>
      </c>
    </row>
    <row r="2119" spans="1:23" x14ac:dyDescent="0.2">
      <c r="A2119">
        <f>IF(D2119="USD",VLOOKUP(VALUE(RIGHT(E2119,4)),'USD RUB'!$E:$F,2,FALSE),1)</f>
        <v>1</v>
      </c>
      <c r="B2119" s="4">
        <v>1</v>
      </c>
      <c r="C2119">
        <v>1000000</v>
      </c>
      <c r="D2119" t="s">
        <v>20</v>
      </c>
      <c r="E2119" s="1" t="s">
        <v>2136</v>
      </c>
      <c r="F2119">
        <v>2874000000</v>
      </c>
      <c r="G2119">
        <v>92003000000</v>
      </c>
      <c r="H2119">
        <v>9023000000</v>
      </c>
      <c r="J2119">
        <v>128774000000</v>
      </c>
      <c r="K2119">
        <v>99178000000</v>
      </c>
      <c r="L2119">
        <v>29378000000</v>
      </c>
      <c r="N2119">
        <v>218000000</v>
      </c>
      <c r="O2119">
        <v>45991000000</v>
      </c>
      <c r="Q2119">
        <v>6412000000</v>
      </c>
      <c r="R2119">
        <v>4805000000</v>
      </c>
      <c r="T2119">
        <v>11679000000</v>
      </c>
      <c r="V2119" t="str">
        <f t="shared" si="76"/>
        <v/>
      </c>
      <c r="W2119" t="str">
        <f t="shared" si="77"/>
        <v/>
      </c>
    </row>
    <row r="2120" spans="1:23" x14ac:dyDescent="0.2">
      <c r="A2120">
        <f>IF(D2120="USD",VLOOKUP(VALUE(RIGHT(E2120,4)),'USD RUB'!$E:$F,2,FALSE),1)</f>
        <v>1</v>
      </c>
      <c r="B2120" s="4">
        <v>1</v>
      </c>
      <c r="C2120">
        <v>1000000</v>
      </c>
      <c r="D2120" t="s">
        <v>20</v>
      </c>
      <c r="E2120" s="1" t="s">
        <v>2137</v>
      </c>
      <c r="F2120">
        <v>2503000000</v>
      </c>
      <c r="G2120">
        <v>95358000000</v>
      </c>
      <c r="H2120">
        <v>9576000000</v>
      </c>
      <c r="J2120">
        <v>129497000000</v>
      </c>
      <c r="K2120">
        <v>97331000000</v>
      </c>
      <c r="L2120">
        <v>30975000000</v>
      </c>
      <c r="N2120">
        <v>1191000000</v>
      </c>
      <c r="O2120">
        <v>22794000000</v>
      </c>
      <c r="Q2120">
        <v>4016000000</v>
      </c>
      <c r="R2120">
        <v>3186000000</v>
      </c>
      <c r="T2120">
        <v>5500000000</v>
      </c>
      <c r="V2120" t="str">
        <f t="shared" si="76"/>
        <v/>
      </c>
      <c r="W2120" t="str">
        <f t="shared" si="77"/>
        <v/>
      </c>
    </row>
    <row r="2121" spans="1:23" x14ac:dyDescent="0.2">
      <c r="A2121">
        <f>IF(D2121="USD",VLOOKUP(VALUE(RIGHT(E2121,4)),'USD RUB'!$E:$F,2,FALSE),1)</f>
        <v>1</v>
      </c>
      <c r="B2121" s="4">
        <v>1</v>
      </c>
      <c r="C2121">
        <v>1000000</v>
      </c>
      <c r="D2121" t="s">
        <v>20</v>
      </c>
      <c r="E2121" s="1" t="s">
        <v>2138</v>
      </c>
      <c r="F2121">
        <v>26546000000</v>
      </c>
      <c r="G2121">
        <v>908982000000</v>
      </c>
      <c r="H2121">
        <v>8376000000</v>
      </c>
      <c r="I2121">
        <v>34877000000</v>
      </c>
      <c r="J2121">
        <v>1009101000000</v>
      </c>
      <c r="K2121">
        <v>477917000000</v>
      </c>
      <c r="L2121">
        <v>475016000000</v>
      </c>
      <c r="M2121">
        <v>26329000000</v>
      </c>
      <c r="N2121">
        <v>56168000000</v>
      </c>
      <c r="O2121">
        <v>170967000000</v>
      </c>
      <c r="P2121">
        <v>50295000000</v>
      </c>
      <c r="Q2121">
        <v>2444000000</v>
      </c>
      <c r="R2121">
        <v>1843000000</v>
      </c>
      <c r="S2121">
        <v>1780000000</v>
      </c>
      <c r="T2121">
        <v>52075000000</v>
      </c>
      <c r="U2121">
        <v>-3282000000</v>
      </c>
      <c r="V2121">
        <f t="shared" si="76"/>
        <v>170822000000</v>
      </c>
      <c r="W2121">
        <f t="shared" si="77"/>
        <v>933722000000</v>
      </c>
    </row>
    <row r="2122" spans="1:23" x14ac:dyDescent="0.2">
      <c r="A2122">
        <f>IF(D2122="USD",VLOOKUP(VALUE(RIGHT(E2122,4)),'USD RUB'!$E:$F,2,FALSE),1)</f>
        <v>1</v>
      </c>
      <c r="B2122" s="4">
        <v>1</v>
      </c>
      <c r="C2122">
        <v>1000000</v>
      </c>
      <c r="D2122" t="s">
        <v>20</v>
      </c>
      <c r="E2122" s="1" t="s">
        <v>2139</v>
      </c>
      <c r="F2122">
        <v>25378000000</v>
      </c>
      <c r="G2122">
        <v>856458000000</v>
      </c>
      <c r="H2122">
        <v>7937000000</v>
      </c>
      <c r="I2122">
        <v>34020000000</v>
      </c>
      <c r="J2122">
        <v>961122000000</v>
      </c>
      <c r="K2122">
        <v>350957000000</v>
      </c>
      <c r="L2122">
        <v>557531000000</v>
      </c>
      <c r="M2122">
        <v>26267000000</v>
      </c>
      <c r="N2122">
        <v>52634000000</v>
      </c>
      <c r="O2122">
        <v>339056000000</v>
      </c>
      <c r="P2122">
        <v>81309000000</v>
      </c>
      <c r="Q2122">
        <v>8638000000</v>
      </c>
      <c r="R2122">
        <v>8158000000</v>
      </c>
      <c r="S2122">
        <v>2295000000</v>
      </c>
      <c r="T2122">
        <v>109182000000</v>
      </c>
      <c r="U2122">
        <v>-10591000000</v>
      </c>
      <c r="V2122">
        <f t="shared" si="76"/>
        <v>256118000000</v>
      </c>
      <c r="W2122">
        <f t="shared" si="77"/>
        <v>745809000000</v>
      </c>
    </row>
    <row r="2123" spans="1:23" x14ac:dyDescent="0.2">
      <c r="A2123">
        <f>IF(D2123="USD",VLOOKUP(VALUE(RIGHT(E2123,4)),'USD RUB'!$E:$F,2,FALSE),1)</f>
        <v>1</v>
      </c>
      <c r="B2123" s="4">
        <v>1</v>
      </c>
      <c r="C2123">
        <v>1000000</v>
      </c>
      <c r="D2123" t="s">
        <v>20</v>
      </c>
      <c r="E2123" s="1" t="s">
        <v>2140</v>
      </c>
      <c r="F2123">
        <v>19996000000</v>
      </c>
      <c r="G2123">
        <v>859011000000</v>
      </c>
      <c r="H2123">
        <v>3423000000</v>
      </c>
      <c r="I2123">
        <v>29184000000</v>
      </c>
      <c r="J2123">
        <v>933722000000</v>
      </c>
      <c r="K2123">
        <v>352286000000</v>
      </c>
      <c r="L2123">
        <v>532058000000</v>
      </c>
      <c r="M2123">
        <v>24668000000</v>
      </c>
      <c r="N2123">
        <v>49378000000</v>
      </c>
      <c r="O2123">
        <v>170822000000</v>
      </c>
      <c r="P2123">
        <v>42496000000</v>
      </c>
      <c r="Q2123">
        <v>6047000000</v>
      </c>
      <c r="R2123">
        <v>4718000000</v>
      </c>
      <c r="S2123">
        <v>597000000</v>
      </c>
      <c r="T2123">
        <v>53548000000</v>
      </c>
      <c r="U2123">
        <v>-2643000000</v>
      </c>
      <c r="V2123">
        <f t="shared" si="76"/>
        <v>101365000000</v>
      </c>
      <c r="W2123">
        <f t="shared" si="77"/>
        <v>443719000000</v>
      </c>
    </row>
    <row r="2124" spans="1:23" x14ac:dyDescent="0.2">
      <c r="A2124">
        <f>IF(D2124="USD",VLOOKUP(VALUE(RIGHT(E2124,4)),'USD RUB'!$E:$F,2,FALSE),1)</f>
        <v>1</v>
      </c>
      <c r="B2124" s="4">
        <v>1</v>
      </c>
      <c r="C2124">
        <v>1000000</v>
      </c>
      <c r="D2124" t="s">
        <v>20</v>
      </c>
      <c r="E2124" s="1" t="s">
        <v>2141</v>
      </c>
      <c r="F2124">
        <v>21824000000</v>
      </c>
      <c r="G2124">
        <v>678232000000</v>
      </c>
      <c r="H2124">
        <v>3119000000</v>
      </c>
      <c r="I2124">
        <v>27431000000</v>
      </c>
      <c r="J2124">
        <v>745809000000</v>
      </c>
      <c r="K2124">
        <v>248012000000</v>
      </c>
      <c r="L2124">
        <v>461458000000</v>
      </c>
      <c r="M2124">
        <v>14418000000</v>
      </c>
      <c r="N2124">
        <v>36339000000</v>
      </c>
      <c r="O2124">
        <v>256118000000</v>
      </c>
      <c r="P2124">
        <v>71319000000</v>
      </c>
      <c r="Q2124">
        <v>33066000000</v>
      </c>
      <c r="R2124">
        <v>26098000000</v>
      </c>
      <c r="S2124">
        <v>783000000</v>
      </c>
      <c r="T2124">
        <v>91476000000</v>
      </c>
      <c r="U2124">
        <v>-8586000000</v>
      </c>
      <c r="V2124">
        <f t="shared" si="76"/>
        <v>172210000000</v>
      </c>
      <c r="W2124">
        <f t="shared" si="77"/>
        <v>409780000000</v>
      </c>
    </row>
    <row r="2125" spans="1:23" x14ac:dyDescent="0.2">
      <c r="A2125">
        <f>IF(D2125="USD",VLOOKUP(VALUE(RIGHT(E2125,4)),'USD RUB'!$E:$F,2,FALSE),1)</f>
        <v>1</v>
      </c>
      <c r="B2125" s="4">
        <v>1</v>
      </c>
      <c r="C2125">
        <v>1000000</v>
      </c>
      <c r="D2125" t="s">
        <v>20</v>
      </c>
      <c r="E2125" s="1" t="s">
        <v>2142</v>
      </c>
      <c r="F2125">
        <v>13257000000</v>
      </c>
      <c r="G2125">
        <v>386216000000</v>
      </c>
      <c r="H2125">
        <v>1977000000</v>
      </c>
      <c r="I2125">
        <v>22227000000</v>
      </c>
      <c r="J2125">
        <v>443719000000</v>
      </c>
      <c r="K2125">
        <v>187652000000</v>
      </c>
      <c r="L2125">
        <v>223588000000</v>
      </c>
      <c r="M2125">
        <v>17662000000</v>
      </c>
      <c r="N2125">
        <v>32479000000</v>
      </c>
      <c r="O2125">
        <v>101365000000</v>
      </c>
      <c r="P2125">
        <v>26228000000</v>
      </c>
      <c r="Q2125">
        <v>11940000000</v>
      </c>
      <c r="R2125">
        <v>9241000000</v>
      </c>
      <c r="S2125">
        <v>416000000</v>
      </c>
      <c r="T2125">
        <v>33084000000</v>
      </c>
      <c r="U2125">
        <v>-375000000</v>
      </c>
      <c r="V2125">
        <f t="shared" si="76"/>
        <v>66251000000</v>
      </c>
      <c r="W2125">
        <f t="shared" si="77"/>
        <v>301849000000</v>
      </c>
    </row>
    <row r="2126" spans="1:23" x14ac:dyDescent="0.2">
      <c r="A2126">
        <f>IF(D2126="USD",VLOOKUP(VALUE(RIGHT(E2126,4)),'USD RUB'!$E:$F,2,FALSE),1)</f>
        <v>1</v>
      </c>
      <c r="B2126" s="4">
        <v>1</v>
      </c>
      <c r="C2126">
        <v>1000000</v>
      </c>
      <c r="D2126" t="s">
        <v>20</v>
      </c>
      <c r="E2126" s="1" t="s">
        <v>2143</v>
      </c>
      <c r="F2126">
        <v>9864000000</v>
      </c>
      <c r="G2126">
        <v>361690000000</v>
      </c>
      <c r="H2126">
        <v>1858000000</v>
      </c>
      <c r="I2126">
        <v>22566000000</v>
      </c>
      <c r="J2126">
        <v>409780000000</v>
      </c>
      <c r="K2126">
        <v>145475000000</v>
      </c>
      <c r="L2126">
        <v>237205000000</v>
      </c>
      <c r="M2126">
        <v>14919000000</v>
      </c>
      <c r="N2126">
        <v>27100000000</v>
      </c>
      <c r="O2126">
        <v>172210000000</v>
      </c>
      <c r="P2126">
        <v>40087000000</v>
      </c>
      <c r="Q2126">
        <v>19257000000</v>
      </c>
      <c r="R2126">
        <v>15283000000</v>
      </c>
      <c r="S2126">
        <v>791000000</v>
      </c>
      <c r="T2126">
        <v>48232000000</v>
      </c>
      <c r="U2126">
        <v>-1173000000</v>
      </c>
      <c r="V2126">
        <f t="shared" si="76"/>
        <v>93014000000</v>
      </c>
      <c r="W2126">
        <f t="shared" si="77"/>
        <v>207142000000</v>
      </c>
    </row>
    <row r="2127" spans="1:23" x14ac:dyDescent="0.2">
      <c r="A2127">
        <f>IF(D2127="USD",VLOOKUP(VALUE(RIGHT(E2127,4)),'USD RUB'!$E:$F,2,FALSE),1)</f>
        <v>1</v>
      </c>
      <c r="B2127" s="4">
        <v>1</v>
      </c>
      <c r="C2127">
        <v>1000000</v>
      </c>
      <c r="D2127" t="s">
        <v>20</v>
      </c>
      <c r="E2127" s="1" t="s">
        <v>2144</v>
      </c>
      <c r="F2127">
        <v>2657000000</v>
      </c>
      <c r="G2127">
        <v>261219000000</v>
      </c>
      <c r="H2127">
        <v>1871000000</v>
      </c>
      <c r="I2127">
        <v>17659000000</v>
      </c>
      <c r="J2127">
        <v>301849000000</v>
      </c>
      <c r="K2127">
        <v>111447000000</v>
      </c>
      <c r="L2127">
        <v>172307000000</v>
      </c>
      <c r="M2127">
        <v>8041000000</v>
      </c>
      <c r="N2127">
        <v>18095000000</v>
      </c>
      <c r="O2127">
        <v>66251000000</v>
      </c>
      <c r="P2127">
        <v>15458000000</v>
      </c>
      <c r="Q2127">
        <v>6735000000</v>
      </c>
      <c r="R2127">
        <v>5337000000</v>
      </c>
      <c r="S2127">
        <v>229000000</v>
      </c>
      <c r="T2127">
        <v>18324000000</v>
      </c>
      <c r="U2127">
        <v>-1239000000</v>
      </c>
      <c r="V2127">
        <f t="shared" si="76"/>
        <v>33275972000</v>
      </c>
      <c r="W2127">
        <f t="shared" si="77"/>
        <v>126842398000</v>
      </c>
    </row>
    <row r="2128" spans="1:23" x14ac:dyDescent="0.2">
      <c r="A2128">
        <f>IF(D2128="USD",VLOOKUP(VALUE(RIGHT(E2128,4)),'USD RUB'!$E:$F,2,FALSE),1)</f>
        <v>1</v>
      </c>
      <c r="B2128" s="4">
        <v>1</v>
      </c>
      <c r="C2128">
        <v>1000000</v>
      </c>
      <c r="D2128" t="s">
        <v>20</v>
      </c>
      <c r="E2128" s="1" t="s">
        <v>2145</v>
      </c>
      <c r="F2128">
        <v>3736000000</v>
      </c>
      <c r="G2128">
        <v>186894000000</v>
      </c>
      <c r="H2128">
        <v>1105000000</v>
      </c>
      <c r="I2128">
        <v>1027000000</v>
      </c>
      <c r="J2128">
        <v>207142000000</v>
      </c>
      <c r="K2128">
        <v>84833000000</v>
      </c>
      <c r="L2128">
        <v>105902000000</v>
      </c>
      <c r="M2128">
        <v>7802000000</v>
      </c>
      <c r="N2128">
        <v>16406000000</v>
      </c>
      <c r="O2128">
        <v>93014000000</v>
      </c>
      <c r="P2128">
        <v>17840000000</v>
      </c>
      <c r="Q2128">
        <v>10830000000</v>
      </c>
      <c r="R2128">
        <v>8423000000</v>
      </c>
      <c r="S2128">
        <v>325000000</v>
      </c>
      <c r="T2128">
        <v>23138000000</v>
      </c>
      <c r="U2128">
        <v>-2380000000</v>
      </c>
      <c r="V2128">
        <f t="shared" si="76"/>
        <v>60182786000</v>
      </c>
      <c r="W2128">
        <f t="shared" si="77"/>
        <v>96032271000</v>
      </c>
    </row>
    <row r="2129" spans="1:23" x14ac:dyDescent="0.2">
      <c r="A2129">
        <f>IF(D2129="USD",VLOOKUP(VALUE(RIGHT(E2129,4)),'USD RUB'!$E:$F,2,FALSE),1)</f>
        <v>1</v>
      </c>
      <c r="B2129" s="4">
        <v>1</v>
      </c>
      <c r="C2129">
        <v>1000</v>
      </c>
      <c r="D2129" t="s">
        <v>20</v>
      </c>
      <c r="E2129" s="1" t="s">
        <v>2146</v>
      </c>
      <c r="F2129">
        <v>2210297000</v>
      </c>
      <c r="G2129">
        <v>108131017000</v>
      </c>
      <c r="H2129">
        <v>928721000</v>
      </c>
      <c r="I2129">
        <v>215194000</v>
      </c>
      <c r="J2129">
        <v>126842398000</v>
      </c>
      <c r="K2129">
        <v>56547408000</v>
      </c>
      <c r="L2129">
        <v>59225813000</v>
      </c>
      <c r="M2129">
        <v>6627479000</v>
      </c>
      <c r="N2129">
        <v>11069177000</v>
      </c>
      <c r="O2129">
        <v>33275972000</v>
      </c>
      <c r="P2129">
        <v>6404742000</v>
      </c>
      <c r="Q2129">
        <v>4101453000</v>
      </c>
      <c r="R2129">
        <v>3154363000</v>
      </c>
      <c r="S2129">
        <v>121957000</v>
      </c>
      <c r="T2129">
        <v>8140101000</v>
      </c>
      <c r="U2129">
        <v>-34941000</v>
      </c>
      <c r="V2129">
        <f t="shared" si="76"/>
        <v>22675944000</v>
      </c>
      <c r="W2129">
        <f t="shared" si="77"/>
        <v>87513903000</v>
      </c>
    </row>
    <row r="2130" spans="1:23" x14ac:dyDescent="0.2">
      <c r="A2130">
        <f>IF(D2130="USD",VLOOKUP(VALUE(RIGHT(E2130,4)),'USD RUB'!$E:$F,2,FALSE),1)</f>
        <v>1</v>
      </c>
      <c r="B2130" s="4">
        <v>1</v>
      </c>
      <c r="C2130">
        <v>1000</v>
      </c>
      <c r="D2130" t="s">
        <v>20</v>
      </c>
      <c r="E2130" s="1" t="s">
        <v>2147</v>
      </c>
      <c r="F2130">
        <v>4627740000</v>
      </c>
      <c r="G2130">
        <v>80346959000</v>
      </c>
      <c r="H2130">
        <v>1054420000</v>
      </c>
      <c r="I2130">
        <v>175600000</v>
      </c>
      <c r="J2130">
        <v>96032271000</v>
      </c>
      <c r="K2130">
        <v>58121591000</v>
      </c>
      <c r="L2130">
        <v>27667928000</v>
      </c>
      <c r="M2130">
        <v>6206700000</v>
      </c>
      <c r="N2130">
        <v>10242752000</v>
      </c>
      <c r="O2130">
        <v>60182786000</v>
      </c>
      <c r="P2130">
        <v>8647002000</v>
      </c>
      <c r="Q2130">
        <v>5744972000</v>
      </c>
      <c r="R2130">
        <v>4464016000</v>
      </c>
      <c r="S2130">
        <v>344969000</v>
      </c>
      <c r="T2130">
        <v>11650739000</v>
      </c>
      <c r="U2130">
        <v>-329435000</v>
      </c>
      <c r="V2130">
        <f t="shared" si="76"/>
        <v>51145124000</v>
      </c>
      <c r="W2130">
        <f t="shared" si="77"/>
        <v>78440148000</v>
      </c>
    </row>
    <row r="2131" spans="1:23" x14ac:dyDescent="0.2">
      <c r="A2131">
        <f>IF(D2131="USD",VLOOKUP(VALUE(RIGHT(E2131,4)),'USD RUB'!$E:$F,2,FALSE),1)</f>
        <v>1</v>
      </c>
      <c r="B2131" s="4">
        <v>1</v>
      </c>
      <c r="C2131">
        <v>1000</v>
      </c>
      <c r="D2131" t="s">
        <v>20</v>
      </c>
      <c r="E2131" s="1" t="s">
        <v>2148</v>
      </c>
      <c r="F2131">
        <v>8108043000</v>
      </c>
      <c r="G2131">
        <v>72945433000</v>
      </c>
      <c r="H2131">
        <v>744887000</v>
      </c>
      <c r="I2131">
        <v>96709000</v>
      </c>
      <c r="J2131">
        <v>87513903000</v>
      </c>
      <c r="K2131">
        <v>58732950000</v>
      </c>
      <c r="L2131">
        <v>22830950000</v>
      </c>
      <c r="M2131">
        <v>3597991000</v>
      </c>
      <c r="N2131">
        <v>5950003000</v>
      </c>
      <c r="O2131">
        <v>22675944000</v>
      </c>
      <c r="P2131">
        <v>2736587000</v>
      </c>
      <c r="Q2131">
        <v>962832000</v>
      </c>
      <c r="R2131">
        <v>688151000</v>
      </c>
      <c r="S2131">
        <v>128319000</v>
      </c>
      <c r="T2131">
        <v>3948864000</v>
      </c>
      <c r="U2131">
        <v>-47668000</v>
      </c>
      <c r="V2131">
        <f t="shared" si="76"/>
        <v>23414592000</v>
      </c>
      <c r="W2131">
        <f t="shared" si="77"/>
        <v>78112135000</v>
      </c>
    </row>
    <row r="2132" spans="1:23" x14ac:dyDescent="0.2">
      <c r="A2132">
        <f>IF(D2132="USD",VLOOKUP(VALUE(RIGHT(E2132,4)),'USD RUB'!$E:$F,2,FALSE),1)</f>
        <v>1</v>
      </c>
      <c r="B2132" s="4">
        <v>1</v>
      </c>
      <c r="C2132">
        <v>1000</v>
      </c>
      <c r="D2132" t="s">
        <v>20</v>
      </c>
      <c r="E2132" s="1" t="s">
        <v>2149</v>
      </c>
      <c r="F2132">
        <v>4012350000</v>
      </c>
      <c r="G2132">
        <v>66067409000</v>
      </c>
      <c r="H2132">
        <v>736720000</v>
      </c>
      <c r="I2132">
        <v>82119000</v>
      </c>
      <c r="J2132">
        <v>78440148000</v>
      </c>
      <c r="K2132">
        <v>53306182000</v>
      </c>
      <c r="L2132">
        <v>19511020000</v>
      </c>
      <c r="M2132">
        <v>3078181000</v>
      </c>
      <c r="N2132">
        <v>5622946000</v>
      </c>
      <c r="O2132">
        <v>51145124000</v>
      </c>
      <c r="P2132">
        <v>5052213000</v>
      </c>
      <c r="Q2132">
        <v>1181124000</v>
      </c>
      <c r="R2132">
        <v>864301000</v>
      </c>
      <c r="S2132">
        <v>302393000</v>
      </c>
      <c r="T2132">
        <v>7521348000</v>
      </c>
      <c r="U2132">
        <v>-271033000</v>
      </c>
      <c r="V2132">
        <f t="shared" si="76"/>
        <v>38717495000</v>
      </c>
      <c r="W2132">
        <f t="shared" si="77"/>
        <v>62928862000</v>
      </c>
    </row>
    <row r="2133" spans="1:23" x14ac:dyDescent="0.2">
      <c r="A2133">
        <f>IF(D2133="USD",VLOOKUP(VALUE(RIGHT(E2133,4)),'USD RUB'!$E:$F,2,FALSE),1)</f>
        <v>1</v>
      </c>
      <c r="B2133" s="4">
        <v>1</v>
      </c>
      <c r="C2133">
        <v>1000</v>
      </c>
      <c r="D2133" t="s">
        <v>20</v>
      </c>
      <c r="E2133" s="1" t="s">
        <v>2150</v>
      </c>
      <c r="F2133">
        <v>6536145000</v>
      </c>
      <c r="G2133">
        <v>67928688000</v>
      </c>
      <c r="H2133">
        <v>626034000</v>
      </c>
      <c r="I2133">
        <v>14555000</v>
      </c>
      <c r="J2133">
        <v>78112135000</v>
      </c>
      <c r="K2133">
        <v>57714951000</v>
      </c>
      <c r="L2133">
        <v>15031725000</v>
      </c>
      <c r="M2133">
        <v>3865449000</v>
      </c>
      <c r="N2133">
        <v>5365459000</v>
      </c>
      <c r="O2133">
        <v>23414592000</v>
      </c>
      <c r="P2133">
        <v>2781675000</v>
      </c>
      <c r="Q2133">
        <v>810407000</v>
      </c>
      <c r="R2133">
        <v>477145000</v>
      </c>
      <c r="S2133">
        <v>185942000</v>
      </c>
      <c r="T2133">
        <v>3770032000</v>
      </c>
      <c r="U2133">
        <v>-69334000</v>
      </c>
      <c r="V2133">
        <f t="shared" si="76"/>
        <v>17284530000</v>
      </c>
      <c r="W2133">
        <f t="shared" si="77"/>
        <v>60251296000</v>
      </c>
    </row>
    <row r="2134" spans="1:23" x14ac:dyDescent="0.2">
      <c r="A2134">
        <f>IF(D2134="USD",VLOOKUP(VALUE(RIGHT(E2134,4)),'USD RUB'!$E:$F,2,FALSE),1)</f>
        <v>1</v>
      </c>
      <c r="B2134" s="4">
        <v>1</v>
      </c>
      <c r="C2134">
        <v>1000</v>
      </c>
      <c r="D2134" t="s">
        <v>20</v>
      </c>
      <c r="E2134" s="1" t="s">
        <v>2151</v>
      </c>
      <c r="F2134">
        <v>2976545000</v>
      </c>
      <c r="G2134">
        <v>58829786000</v>
      </c>
      <c r="H2134">
        <v>159226000</v>
      </c>
      <c r="I2134">
        <v>83404000</v>
      </c>
      <c r="J2134">
        <v>62928862000</v>
      </c>
      <c r="K2134">
        <v>43201896000</v>
      </c>
      <c r="L2134">
        <v>13466040000</v>
      </c>
      <c r="M2134">
        <v>4760916000</v>
      </c>
      <c r="N2134">
        <v>6260926000</v>
      </c>
      <c r="O2134">
        <v>38717495000</v>
      </c>
      <c r="P2134">
        <v>3389578000</v>
      </c>
      <c r="Q2134">
        <v>4003979000</v>
      </c>
      <c r="R2134">
        <v>3142206000</v>
      </c>
      <c r="S2134">
        <v>85420000</v>
      </c>
      <c r="T2134">
        <v>5223657000</v>
      </c>
      <c r="V2134">
        <f t="shared" si="76"/>
        <v>41872266000</v>
      </c>
      <c r="W2134">
        <f t="shared" si="77"/>
        <v>48852925000</v>
      </c>
    </row>
    <row r="2135" spans="1:23" x14ac:dyDescent="0.2">
      <c r="A2135">
        <f>IF(D2135="USD",VLOOKUP(VALUE(RIGHT(E2135,4)),'USD RUB'!$E:$F,2,FALSE),1)</f>
        <v>1</v>
      </c>
      <c r="B2135" s="4">
        <v>1</v>
      </c>
      <c r="C2135">
        <v>1000</v>
      </c>
      <c r="D2135" t="s">
        <v>20</v>
      </c>
      <c r="E2135" s="1" t="s">
        <v>2152</v>
      </c>
      <c r="F2135">
        <v>2737568000</v>
      </c>
      <c r="G2135">
        <v>53021833000</v>
      </c>
      <c r="H2135">
        <v>280402000</v>
      </c>
      <c r="I2135">
        <v>115716000</v>
      </c>
      <c r="J2135">
        <v>60251296000</v>
      </c>
      <c r="K2135">
        <v>38025704000</v>
      </c>
      <c r="L2135">
        <v>17711372000</v>
      </c>
      <c r="M2135">
        <v>3014210000</v>
      </c>
      <c r="N2135">
        <v>4514220000</v>
      </c>
      <c r="O2135">
        <v>17284530000</v>
      </c>
      <c r="P2135">
        <v>2090460000</v>
      </c>
      <c r="Q2135">
        <v>1102592000</v>
      </c>
      <c r="R2135">
        <v>882074000</v>
      </c>
      <c r="S2135">
        <v>25105000</v>
      </c>
      <c r="T2135">
        <v>2677809000</v>
      </c>
      <c r="U2135">
        <v>-11547000</v>
      </c>
      <c r="V2135">
        <f t="shared" si="76"/>
        <v>955274000</v>
      </c>
      <c r="W2135">
        <f t="shared" si="77"/>
        <v>46877762000</v>
      </c>
    </row>
    <row r="2136" spans="1:23" x14ac:dyDescent="0.2">
      <c r="A2136">
        <f>IF(D2136="USD",VLOOKUP(VALUE(RIGHT(E2136,4)),'USD RUB'!$E:$F,2,FALSE),1)</f>
        <v>1</v>
      </c>
      <c r="B2136" s="4">
        <v>1</v>
      </c>
      <c r="C2136">
        <v>1000</v>
      </c>
      <c r="D2136" t="s">
        <v>20</v>
      </c>
      <c r="E2136" s="1" t="s">
        <v>2153</v>
      </c>
      <c r="F2136">
        <v>3310147000</v>
      </c>
      <c r="G2136">
        <v>43674514000</v>
      </c>
      <c r="H2136">
        <v>271425000</v>
      </c>
      <c r="I2136">
        <v>56867000</v>
      </c>
      <c r="J2136">
        <v>48852925000</v>
      </c>
      <c r="K2136">
        <v>27211539000</v>
      </c>
      <c r="L2136">
        <v>17795361000</v>
      </c>
      <c r="M2136">
        <v>2346015000</v>
      </c>
      <c r="N2136">
        <v>3846025000</v>
      </c>
      <c r="O2136">
        <v>41872266000</v>
      </c>
      <c r="P2136">
        <v>3230306000</v>
      </c>
      <c r="Q2136">
        <v>4229609000</v>
      </c>
      <c r="R2136">
        <v>3407320000</v>
      </c>
      <c r="S2136">
        <v>92141000</v>
      </c>
      <c r="T2136">
        <v>8370063000</v>
      </c>
      <c r="U2136">
        <v>-238403000</v>
      </c>
      <c r="V2136">
        <f t="shared" si="76"/>
        <v>24797371000</v>
      </c>
      <c r="W2136">
        <f t="shared" si="77"/>
        <v>34800400000</v>
      </c>
    </row>
    <row r="2137" spans="1:23" x14ac:dyDescent="0.2">
      <c r="A2137">
        <f>IF(D2137="USD",VLOOKUP(VALUE(RIGHT(E2137,4)),'USD RUB'!$E:$F,2,FALSE),1)</f>
        <v>1</v>
      </c>
      <c r="B2137" s="4">
        <v>1</v>
      </c>
      <c r="C2137">
        <v>1000</v>
      </c>
      <c r="D2137" t="s">
        <v>20</v>
      </c>
      <c r="E2137" s="1" t="s">
        <v>2154</v>
      </c>
      <c r="F2137">
        <v>576770000</v>
      </c>
      <c r="G2137">
        <v>45488511000</v>
      </c>
      <c r="H2137">
        <v>144261000</v>
      </c>
      <c r="I2137">
        <v>39687000</v>
      </c>
      <c r="J2137">
        <v>46877762000</v>
      </c>
      <c r="K2137">
        <v>35079490000</v>
      </c>
      <c r="L2137">
        <v>9857341000</v>
      </c>
      <c r="M2137">
        <v>440921000</v>
      </c>
      <c r="N2137">
        <v>1940931000</v>
      </c>
      <c r="O2137">
        <v>955274000</v>
      </c>
      <c r="P2137">
        <v>-1053147000</v>
      </c>
      <c r="Q2137">
        <v>-955655000</v>
      </c>
      <c r="R2137">
        <v>-777222000</v>
      </c>
      <c r="S2137">
        <v>26268000</v>
      </c>
      <c r="U2137">
        <v>-35830000</v>
      </c>
      <c r="V2137">
        <f t="shared" si="76"/>
        <v>47739000</v>
      </c>
      <c r="W2137">
        <f t="shared" si="77"/>
        <v>37192784000</v>
      </c>
    </row>
    <row r="2138" spans="1:23" x14ac:dyDescent="0.2">
      <c r="A2138">
        <f>IF(D2138="USD",VLOOKUP(VALUE(RIGHT(E2138,4)),'USD RUB'!$E:$F,2,FALSE),1)</f>
        <v>1</v>
      </c>
      <c r="B2138" s="4">
        <v>1</v>
      </c>
      <c r="C2138">
        <v>1000</v>
      </c>
      <c r="D2138" t="s">
        <v>20</v>
      </c>
      <c r="E2138" s="1" t="s">
        <v>2155</v>
      </c>
      <c r="F2138">
        <v>2101117000</v>
      </c>
      <c r="G2138">
        <v>33709005000</v>
      </c>
      <c r="H2138">
        <v>134249000</v>
      </c>
      <c r="J2138">
        <v>34800400000</v>
      </c>
      <c r="K2138">
        <v>20724510000</v>
      </c>
      <c r="L2138">
        <v>11316379000</v>
      </c>
      <c r="M2138">
        <v>1259501000</v>
      </c>
      <c r="N2138">
        <v>2759511000</v>
      </c>
      <c r="O2138">
        <v>24797371000</v>
      </c>
      <c r="P2138">
        <v>3226565000</v>
      </c>
      <c r="Q2138">
        <v>3317867000</v>
      </c>
      <c r="R2138">
        <v>2684280000</v>
      </c>
      <c r="T2138">
        <v>6430000000</v>
      </c>
      <c r="U2138">
        <v>-111134000</v>
      </c>
      <c r="V2138" t="str">
        <f t="shared" si="76"/>
        <v/>
      </c>
      <c r="W2138" t="str">
        <f t="shared" si="77"/>
        <v/>
      </c>
    </row>
    <row r="2139" spans="1:23" x14ac:dyDescent="0.2">
      <c r="A2139">
        <f>IF(D2139="USD",VLOOKUP(VALUE(RIGHT(E2139,4)),'USD RUB'!$E:$F,2,FALSE),1)</f>
        <v>1</v>
      </c>
      <c r="B2139" s="4">
        <v>1</v>
      </c>
      <c r="C2139">
        <v>1000</v>
      </c>
      <c r="D2139" t="s">
        <v>20</v>
      </c>
      <c r="E2139" s="1" t="s">
        <v>2156</v>
      </c>
      <c r="F2139">
        <v>995816000</v>
      </c>
      <c r="G2139">
        <v>36621309000</v>
      </c>
      <c r="H2139">
        <v>85969000</v>
      </c>
      <c r="J2139">
        <v>37192784000</v>
      </c>
      <c r="K2139">
        <v>28842813000</v>
      </c>
      <c r="L2139">
        <v>8857369000</v>
      </c>
      <c r="M2139">
        <v>-506624000</v>
      </c>
      <c r="N2139">
        <v>-507398000</v>
      </c>
      <c r="O2139">
        <v>47739000</v>
      </c>
      <c r="P2139">
        <v>-622255000</v>
      </c>
      <c r="Q2139">
        <v>-1349157000</v>
      </c>
      <c r="R2139">
        <v>-1007228000</v>
      </c>
      <c r="V2139" t="str">
        <f t="shared" si="76"/>
        <v/>
      </c>
      <c r="W2139" t="str">
        <f t="shared" si="77"/>
        <v/>
      </c>
    </row>
  </sheetData>
  <autoFilter ref="A1:X2139" xr:uid="{2C519A0C-221C-E94A-B9BF-EB238D9BE5C2}"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03D2-B456-5A43-ADBB-7B8DE9693720}">
  <dimension ref="A1:K934"/>
  <sheetViews>
    <sheetView topLeftCell="A55" workbookViewId="0">
      <selection activeCell="C630" sqref="C630"/>
    </sheetView>
  </sheetViews>
  <sheetFormatPr baseColWidth="10" defaultColWidth="8.83203125" defaultRowHeight="16" x14ac:dyDescent="0.2"/>
  <cols>
    <col min="5" max="5" width="26" bestFit="1" customWidth="1"/>
    <col min="6" max="6" width="19.5" bestFit="1" customWidth="1"/>
    <col min="7" max="8" width="18" bestFit="1" customWidth="1"/>
    <col min="9" max="9" width="13.33203125" customWidth="1"/>
    <col min="10" max="10" width="14" customWidth="1"/>
    <col min="11" max="11" width="13.1640625" customWidth="1"/>
  </cols>
  <sheetData>
    <row r="1" spans="1:11" x14ac:dyDescent="0.2">
      <c r="A1" s="1" t="s">
        <v>2163</v>
      </c>
      <c r="B1" s="1" t="s">
        <v>2164</v>
      </c>
      <c r="C1" s="1" t="s">
        <v>2165</v>
      </c>
      <c r="D1" s="1" t="s">
        <v>18</v>
      </c>
      <c r="E1" s="1" t="s">
        <v>2166</v>
      </c>
      <c r="F1" s="1" t="s">
        <v>2167</v>
      </c>
      <c r="G1" s="1" t="s">
        <v>2168</v>
      </c>
      <c r="H1" s="1" t="s">
        <v>2169</v>
      </c>
      <c r="I1" s="1" t="s">
        <v>2170</v>
      </c>
      <c r="J1" s="1" t="s">
        <v>2171</v>
      </c>
      <c r="K1" s="1" t="s">
        <v>2172</v>
      </c>
    </row>
    <row r="2" spans="1:11" x14ac:dyDescent="0.2">
      <c r="A2" t="s">
        <v>2173</v>
      </c>
      <c r="B2" t="s">
        <v>2174</v>
      </c>
      <c r="C2">
        <v>0.3</v>
      </c>
      <c r="D2" t="s">
        <v>20</v>
      </c>
      <c r="E2" s="6">
        <v>37014</v>
      </c>
      <c r="F2" s="6">
        <v>37015</v>
      </c>
      <c r="G2" s="6">
        <v>37015</v>
      </c>
      <c r="I2">
        <v>2000</v>
      </c>
      <c r="J2" t="s">
        <v>2175</v>
      </c>
      <c r="K2" t="s">
        <v>2176</v>
      </c>
    </row>
    <row r="3" spans="1:11" x14ac:dyDescent="0.2">
      <c r="A3" t="s">
        <v>2173</v>
      </c>
      <c r="B3" t="s">
        <v>2174</v>
      </c>
      <c r="C3">
        <v>0.44</v>
      </c>
      <c r="D3" t="s">
        <v>20</v>
      </c>
      <c r="E3" s="6">
        <v>37384</v>
      </c>
      <c r="F3" s="6">
        <v>37385</v>
      </c>
      <c r="G3" s="6">
        <v>37389</v>
      </c>
      <c r="I3">
        <v>2001</v>
      </c>
      <c r="J3" t="s">
        <v>2175</v>
      </c>
      <c r="K3" t="s">
        <v>2176</v>
      </c>
    </row>
    <row r="4" spans="1:11" x14ac:dyDescent="0.2">
      <c r="A4" t="s">
        <v>2173</v>
      </c>
      <c r="B4" t="s">
        <v>2174</v>
      </c>
      <c r="C4">
        <v>0.4</v>
      </c>
      <c r="D4" t="s">
        <v>20</v>
      </c>
      <c r="E4" s="6">
        <v>37749</v>
      </c>
      <c r="F4" s="6">
        <v>37750</v>
      </c>
      <c r="G4" s="6">
        <v>37753</v>
      </c>
      <c r="I4">
        <v>2002</v>
      </c>
      <c r="J4" t="s">
        <v>2175</v>
      </c>
      <c r="K4" t="s">
        <v>2176</v>
      </c>
    </row>
    <row r="5" spans="1:11" x14ac:dyDescent="0.2">
      <c r="A5" t="s">
        <v>2173</v>
      </c>
      <c r="B5" t="s">
        <v>2174</v>
      </c>
      <c r="C5">
        <v>0.69</v>
      </c>
      <c r="D5" t="s">
        <v>20</v>
      </c>
      <c r="E5" s="6">
        <v>38113</v>
      </c>
      <c r="F5" s="6">
        <v>38114</v>
      </c>
      <c r="G5" s="6">
        <v>38114</v>
      </c>
      <c r="I5">
        <v>2003</v>
      </c>
      <c r="J5" t="s">
        <v>2175</v>
      </c>
      <c r="K5" t="s">
        <v>2176</v>
      </c>
    </row>
    <row r="6" spans="1:11" x14ac:dyDescent="0.2">
      <c r="A6" t="s">
        <v>2173</v>
      </c>
      <c r="B6" t="s">
        <v>2174</v>
      </c>
      <c r="C6">
        <v>1.19</v>
      </c>
      <c r="D6" t="s">
        <v>20</v>
      </c>
      <c r="E6" s="6">
        <v>38477</v>
      </c>
      <c r="F6" s="6">
        <v>38478</v>
      </c>
      <c r="G6" s="6">
        <v>38478</v>
      </c>
      <c r="I6">
        <v>2004</v>
      </c>
      <c r="J6" t="s">
        <v>2175</v>
      </c>
      <c r="K6" t="s">
        <v>2176</v>
      </c>
    </row>
    <row r="7" spans="1:11" x14ac:dyDescent="0.2">
      <c r="A7" t="s">
        <v>2173</v>
      </c>
      <c r="B7" t="s">
        <v>2174</v>
      </c>
      <c r="C7">
        <v>1.5</v>
      </c>
      <c r="D7" t="s">
        <v>20</v>
      </c>
      <c r="E7" s="6">
        <v>38848</v>
      </c>
      <c r="F7" s="6">
        <v>38849</v>
      </c>
      <c r="G7" s="6">
        <v>38849</v>
      </c>
      <c r="I7">
        <v>2005</v>
      </c>
      <c r="J7" t="s">
        <v>2175</v>
      </c>
      <c r="K7" t="s">
        <v>2176</v>
      </c>
    </row>
    <row r="8" spans="1:11" x14ac:dyDescent="0.2">
      <c r="A8" t="s">
        <v>2173</v>
      </c>
      <c r="B8" t="s">
        <v>2174</v>
      </c>
      <c r="C8">
        <v>2.54</v>
      </c>
      <c r="D8" t="s">
        <v>20</v>
      </c>
      <c r="E8" s="6">
        <v>39212</v>
      </c>
      <c r="F8" s="6">
        <v>39213</v>
      </c>
      <c r="G8" s="6">
        <v>39213</v>
      </c>
      <c r="I8">
        <v>2006</v>
      </c>
      <c r="J8" t="s">
        <v>2175</v>
      </c>
      <c r="K8" t="s">
        <v>2176</v>
      </c>
    </row>
    <row r="9" spans="1:11" x14ac:dyDescent="0.2">
      <c r="A9" t="s">
        <v>2173</v>
      </c>
      <c r="B9" t="s">
        <v>2174</v>
      </c>
      <c r="C9">
        <v>2.66</v>
      </c>
      <c r="D9" t="s">
        <v>20</v>
      </c>
      <c r="E9" s="6">
        <v>39574</v>
      </c>
      <c r="F9" s="6">
        <v>39575</v>
      </c>
      <c r="G9" s="6">
        <v>39576</v>
      </c>
      <c r="I9">
        <v>2007</v>
      </c>
      <c r="J9" t="s">
        <v>2175</v>
      </c>
      <c r="K9" t="s">
        <v>2176</v>
      </c>
    </row>
    <row r="10" spans="1:11" x14ac:dyDescent="0.2">
      <c r="A10" t="s">
        <v>2173</v>
      </c>
      <c r="B10" t="s">
        <v>2174</v>
      </c>
      <c r="C10">
        <v>0.36</v>
      </c>
      <c r="D10" t="s">
        <v>20</v>
      </c>
      <c r="E10" s="6">
        <v>39939</v>
      </c>
      <c r="F10" s="6">
        <v>39940</v>
      </c>
      <c r="G10" s="6">
        <v>39941</v>
      </c>
      <c r="I10">
        <v>2008</v>
      </c>
      <c r="J10" t="s">
        <v>2175</v>
      </c>
      <c r="K10" t="s">
        <v>2176</v>
      </c>
    </row>
    <row r="11" spans="1:11" x14ac:dyDescent="0.2">
      <c r="A11" t="s">
        <v>2173</v>
      </c>
      <c r="B11" t="s">
        <v>2174</v>
      </c>
      <c r="C11">
        <v>2.39</v>
      </c>
      <c r="D11" t="s">
        <v>20</v>
      </c>
      <c r="E11" s="6">
        <v>40303</v>
      </c>
      <c r="F11" s="6">
        <v>40304</v>
      </c>
      <c r="G11" s="6">
        <v>40305</v>
      </c>
      <c r="I11">
        <v>2009</v>
      </c>
      <c r="J11" t="s">
        <v>2175</v>
      </c>
      <c r="K11" t="s">
        <v>2176</v>
      </c>
    </row>
    <row r="12" spans="1:11" x14ac:dyDescent="0.2">
      <c r="A12" t="s">
        <v>2173</v>
      </c>
      <c r="B12" t="s">
        <v>2174</v>
      </c>
      <c r="C12">
        <v>3.85</v>
      </c>
      <c r="D12" t="s">
        <v>20</v>
      </c>
      <c r="E12" s="6">
        <v>40673</v>
      </c>
      <c r="F12" s="6">
        <v>40674</v>
      </c>
      <c r="G12" s="6">
        <v>40675</v>
      </c>
      <c r="I12">
        <v>2010</v>
      </c>
      <c r="J12" t="s">
        <v>2175</v>
      </c>
      <c r="K12" t="s">
        <v>2176</v>
      </c>
    </row>
    <row r="13" spans="1:11" x14ac:dyDescent="0.2">
      <c r="A13" t="s">
        <v>2173</v>
      </c>
      <c r="B13" t="s">
        <v>2174</v>
      </c>
      <c r="C13">
        <v>8.9700000000000006</v>
      </c>
      <c r="D13" t="s">
        <v>20</v>
      </c>
      <c r="E13" s="6">
        <v>41037</v>
      </c>
      <c r="F13" s="6">
        <v>41038</v>
      </c>
      <c r="G13" s="6">
        <v>41039</v>
      </c>
      <c r="I13">
        <v>2011</v>
      </c>
      <c r="J13" t="s">
        <v>2175</v>
      </c>
      <c r="K13" t="s">
        <v>2176</v>
      </c>
    </row>
    <row r="14" spans="1:11" x14ac:dyDescent="0.2">
      <c r="A14" t="s">
        <v>2173</v>
      </c>
      <c r="B14" t="s">
        <v>2174</v>
      </c>
      <c r="C14">
        <v>5.99</v>
      </c>
      <c r="D14" t="s">
        <v>20</v>
      </c>
      <c r="E14" s="6">
        <v>41403</v>
      </c>
      <c r="F14" s="6">
        <v>41404</v>
      </c>
      <c r="G14" s="6">
        <v>41407</v>
      </c>
      <c r="I14">
        <v>2012</v>
      </c>
      <c r="J14" t="s">
        <v>2175</v>
      </c>
      <c r="K14" t="s">
        <v>2176</v>
      </c>
    </row>
    <row r="15" spans="1:11" x14ac:dyDescent="0.2">
      <c r="A15" t="s">
        <v>2173</v>
      </c>
      <c r="B15" t="s">
        <v>2174</v>
      </c>
      <c r="C15">
        <v>7.2</v>
      </c>
      <c r="D15" t="s">
        <v>20</v>
      </c>
      <c r="E15" s="6">
        <v>41835</v>
      </c>
      <c r="F15" s="6">
        <v>41836</v>
      </c>
      <c r="G15" s="6">
        <v>41837</v>
      </c>
      <c r="I15">
        <v>2013</v>
      </c>
      <c r="J15" t="s">
        <v>2175</v>
      </c>
      <c r="K15" t="s">
        <v>2176</v>
      </c>
    </row>
    <row r="16" spans="1:11" x14ac:dyDescent="0.2">
      <c r="A16" t="s">
        <v>2173</v>
      </c>
      <c r="B16" t="s">
        <v>2174</v>
      </c>
      <c r="C16">
        <v>7.2</v>
      </c>
      <c r="D16" t="s">
        <v>20</v>
      </c>
      <c r="E16" s="6">
        <v>42199</v>
      </c>
      <c r="F16" s="6">
        <v>42200</v>
      </c>
      <c r="G16" s="6">
        <v>42201</v>
      </c>
      <c r="I16">
        <v>2014</v>
      </c>
      <c r="J16" t="s">
        <v>2175</v>
      </c>
      <c r="K16" t="s">
        <v>2176</v>
      </c>
    </row>
    <row r="17" spans="1:11" x14ac:dyDescent="0.2">
      <c r="A17" t="s">
        <v>2173</v>
      </c>
      <c r="B17" t="s">
        <v>2174</v>
      </c>
      <c r="C17">
        <v>7.89</v>
      </c>
      <c r="D17" t="s">
        <v>20</v>
      </c>
      <c r="E17" s="6">
        <v>42569</v>
      </c>
      <c r="F17" s="6">
        <v>42570</v>
      </c>
      <c r="G17" s="6">
        <v>42571</v>
      </c>
      <c r="I17">
        <v>2015</v>
      </c>
      <c r="J17" t="s">
        <v>2175</v>
      </c>
      <c r="K17" t="s">
        <v>2176</v>
      </c>
    </row>
    <row r="18" spans="1:11" x14ac:dyDescent="0.2">
      <c r="A18" t="s">
        <v>2173</v>
      </c>
      <c r="B18" t="s">
        <v>2174</v>
      </c>
      <c r="C18">
        <v>8.0399999999999991</v>
      </c>
      <c r="D18" t="s">
        <v>20</v>
      </c>
      <c r="E18" s="6">
        <v>42934</v>
      </c>
      <c r="F18" s="6">
        <v>42935</v>
      </c>
      <c r="G18" s="6">
        <v>42936</v>
      </c>
      <c r="I18">
        <v>2016</v>
      </c>
      <c r="J18" t="s">
        <v>2175</v>
      </c>
      <c r="K18" t="s">
        <v>2176</v>
      </c>
    </row>
    <row r="19" spans="1:11" x14ac:dyDescent="0.2">
      <c r="A19" t="s">
        <v>2173</v>
      </c>
      <c r="B19" t="s">
        <v>2174</v>
      </c>
      <c r="C19">
        <v>8.0399999999999991</v>
      </c>
      <c r="D19" t="s">
        <v>20</v>
      </c>
      <c r="E19" s="6">
        <v>43298</v>
      </c>
      <c r="F19" s="6">
        <v>43299</v>
      </c>
      <c r="G19" s="6">
        <v>43300</v>
      </c>
      <c r="I19">
        <v>2017</v>
      </c>
      <c r="J19" t="s">
        <v>2175</v>
      </c>
      <c r="K19" t="s">
        <v>2176</v>
      </c>
    </row>
    <row r="20" spans="1:11" x14ac:dyDescent="0.2">
      <c r="A20" t="s">
        <v>2173</v>
      </c>
      <c r="B20" t="s">
        <v>2174</v>
      </c>
      <c r="C20">
        <v>16.61</v>
      </c>
      <c r="D20" t="s">
        <v>20</v>
      </c>
      <c r="E20" s="6">
        <v>43662</v>
      </c>
      <c r="F20" s="6">
        <v>43663</v>
      </c>
      <c r="G20" s="6">
        <v>43664</v>
      </c>
      <c r="I20">
        <v>2018</v>
      </c>
      <c r="J20" t="s">
        <v>2175</v>
      </c>
      <c r="K20" t="s">
        <v>2176</v>
      </c>
    </row>
    <row r="21" spans="1:11" x14ac:dyDescent="0.2">
      <c r="A21" t="s">
        <v>2173</v>
      </c>
      <c r="B21" t="s">
        <v>2174</v>
      </c>
      <c r="C21">
        <v>15.24</v>
      </c>
      <c r="D21" t="s">
        <v>20</v>
      </c>
      <c r="E21" s="6">
        <v>44026</v>
      </c>
      <c r="F21" s="6">
        <v>44027</v>
      </c>
      <c r="G21" s="6">
        <v>44028</v>
      </c>
      <c r="I21">
        <v>2019</v>
      </c>
      <c r="J21" t="s">
        <v>2175</v>
      </c>
      <c r="K21" t="s">
        <v>2176</v>
      </c>
    </row>
    <row r="22" spans="1:11" x14ac:dyDescent="0.2">
      <c r="A22" t="s">
        <v>2173</v>
      </c>
      <c r="B22" t="s">
        <v>2174</v>
      </c>
      <c r="C22">
        <v>12.55</v>
      </c>
      <c r="D22" t="s">
        <v>20</v>
      </c>
      <c r="E22" s="6">
        <v>44390</v>
      </c>
      <c r="F22" s="6">
        <v>44391</v>
      </c>
      <c r="G22" s="6">
        <v>44392</v>
      </c>
      <c r="I22">
        <v>2020</v>
      </c>
      <c r="J22" t="s">
        <v>2175</v>
      </c>
      <c r="K22" t="s">
        <v>2176</v>
      </c>
    </row>
    <row r="23" spans="1:11" x14ac:dyDescent="0.2">
      <c r="A23" t="s">
        <v>2173</v>
      </c>
      <c r="B23" t="s">
        <v>2174</v>
      </c>
      <c r="C23">
        <v>51.03</v>
      </c>
      <c r="D23" t="s">
        <v>20</v>
      </c>
      <c r="E23" s="6">
        <v>44841</v>
      </c>
      <c r="F23" s="6">
        <v>44844</v>
      </c>
      <c r="G23" s="6">
        <v>44845</v>
      </c>
      <c r="H23" s="6">
        <v>44880</v>
      </c>
      <c r="I23">
        <v>2022</v>
      </c>
      <c r="J23" t="s">
        <v>2177</v>
      </c>
      <c r="K23" t="s">
        <v>2176</v>
      </c>
    </row>
    <row r="24" spans="1:11" x14ac:dyDescent="0.2">
      <c r="A24" t="s">
        <v>2178</v>
      </c>
      <c r="B24" t="s">
        <v>2174</v>
      </c>
      <c r="C24">
        <v>8</v>
      </c>
      <c r="D24" t="s">
        <v>20</v>
      </c>
      <c r="E24" s="6">
        <v>37022</v>
      </c>
      <c r="F24" s="6">
        <v>37023</v>
      </c>
      <c r="G24" s="6">
        <v>37025</v>
      </c>
      <c r="I24">
        <v>2000</v>
      </c>
      <c r="J24" t="s">
        <v>2175</v>
      </c>
      <c r="K24" t="s">
        <v>2179</v>
      </c>
    </row>
    <row r="25" spans="1:11" x14ac:dyDescent="0.2">
      <c r="A25" t="s">
        <v>2178</v>
      </c>
      <c r="B25" t="s">
        <v>2174</v>
      </c>
      <c r="C25">
        <v>15</v>
      </c>
      <c r="D25" t="s">
        <v>20</v>
      </c>
      <c r="E25" s="6">
        <v>37393</v>
      </c>
      <c r="F25" s="6">
        <v>37394</v>
      </c>
      <c r="G25" s="6">
        <v>37394</v>
      </c>
      <c r="I25">
        <v>2001</v>
      </c>
      <c r="J25" t="s">
        <v>2175</v>
      </c>
      <c r="K25" t="s">
        <v>2179</v>
      </c>
    </row>
    <row r="26" spans="1:11" x14ac:dyDescent="0.2">
      <c r="A26" t="s">
        <v>2178</v>
      </c>
      <c r="B26" t="s">
        <v>2174</v>
      </c>
      <c r="C26">
        <v>19.5</v>
      </c>
      <c r="D26" t="s">
        <v>20</v>
      </c>
      <c r="E26" s="6">
        <v>37749</v>
      </c>
      <c r="F26" s="6">
        <v>37750</v>
      </c>
      <c r="G26" s="6">
        <v>37753</v>
      </c>
      <c r="I26">
        <v>2002</v>
      </c>
      <c r="J26" t="s">
        <v>2175</v>
      </c>
      <c r="K26" t="s">
        <v>2179</v>
      </c>
    </row>
    <row r="27" spans="1:11" x14ac:dyDescent="0.2">
      <c r="A27" t="s">
        <v>2178</v>
      </c>
      <c r="B27" t="s">
        <v>2174</v>
      </c>
      <c r="C27">
        <v>24</v>
      </c>
      <c r="D27" t="s">
        <v>20</v>
      </c>
      <c r="E27" s="6">
        <v>38113</v>
      </c>
      <c r="F27" s="6">
        <v>38114</v>
      </c>
      <c r="G27" s="6">
        <v>38114</v>
      </c>
      <c r="I27">
        <v>2003</v>
      </c>
      <c r="J27" t="s">
        <v>2175</v>
      </c>
      <c r="K27" t="s">
        <v>2179</v>
      </c>
    </row>
    <row r="28" spans="1:11" x14ac:dyDescent="0.2">
      <c r="A28" t="s">
        <v>2178</v>
      </c>
      <c r="B28" t="s">
        <v>2174</v>
      </c>
      <c r="C28">
        <v>28</v>
      </c>
      <c r="D28" t="s">
        <v>20</v>
      </c>
      <c r="E28" s="6">
        <v>38483</v>
      </c>
      <c r="F28" s="6">
        <v>38484</v>
      </c>
      <c r="G28" s="6">
        <v>38484</v>
      </c>
      <c r="I28">
        <v>2004</v>
      </c>
      <c r="J28" t="s">
        <v>2175</v>
      </c>
      <c r="K28" t="s">
        <v>2179</v>
      </c>
    </row>
    <row r="29" spans="1:11" x14ac:dyDescent="0.2">
      <c r="A29" t="s">
        <v>2178</v>
      </c>
      <c r="B29" t="s">
        <v>2174</v>
      </c>
      <c r="C29">
        <v>33</v>
      </c>
      <c r="D29" t="s">
        <v>20</v>
      </c>
      <c r="E29" s="6">
        <v>38847</v>
      </c>
      <c r="F29" s="6">
        <v>38848</v>
      </c>
      <c r="G29" s="6">
        <v>38848</v>
      </c>
      <c r="I29">
        <v>2005</v>
      </c>
      <c r="J29" t="s">
        <v>2175</v>
      </c>
      <c r="K29" t="s">
        <v>2179</v>
      </c>
    </row>
    <row r="30" spans="1:11" x14ac:dyDescent="0.2">
      <c r="A30" t="s">
        <v>2178</v>
      </c>
      <c r="B30" t="s">
        <v>2174</v>
      </c>
      <c r="C30">
        <v>38</v>
      </c>
      <c r="D30" t="s">
        <v>20</v>
      </c>
      <c r="E30" s="6">
        <v>39212</v>
      </c>
      <c r="F30" s="6">
        <v>39213</v>
      </c>
      <c r="G30" s="6">
        <v>39213</v>
      </c>
      <c r="I30">
        <v>2006</v>
      </c>
      <c r="J30" t="s">
        <v>2175</v>
      </c>
      <c r="K30" t="s">
        <v>2179</v>
      </c>
    </row>
    <row r="31" spans="1:11" x14ac:dyDescent="0.2">
      <c r="A31" t="s">
        <v>2178</v>
      </c>
      <c r="B31" t="s">
        <v>2174</v>
      </c>
      <c r="C31">
        <v>42</v>
      </c>
      <c r="D31" t="s">
        <v>20</v>
      </c>
      <c r="E31" s="6">
        <v>39574</v>
      </c>
      <c r="F31" s="6">
        <v>39575</v>
      </c>
      <c r="G31" s="6">
        <v>39576</v>
      </c>
      <c r="I31">
        <v>2007</v>
      </c>
      <c r="J31" t="s">
        <v>2175</v>
      </c>
      <c r="K31" t="s">
        <v>2179</v>
      </c>
    </row>
    <row r="32" spans="1:11" x14ac:dyDescent="0.2">
      <c r="A32" t="s">
        <v>2178</v>
      </c>
      <c r="B32" t="s">
        <v>2174</v>
      </c>
      <c r="C32">
        <v>50</v>
      </c>
      <c r="D32" t="s">
        <v>20</v>
      </c>
      <c r="E32" s="6">
        <v>39939</v>
      </c>
      <c r="F32" s="6">
        <v>39940</v>
      </c>
      <c r="G32" s="6">
        <v>39941</v>
      </c>
      <c r="I32">
        <v>2008</v>
      </c>
      <c r="J32" t="s">
        <v>2175</v>
      </c>
      <c r="K32" t="s">
        <v>2179</v>
      </c>
    </row>
    <row r="33" spans="1:11" x14ac:dyDescent="0.2">
      <c r="A33" t="s">
        <v>2178</v>
      </c>
      <c r="B33" t="s">
        <v>2174</v>
      </c>
      <c r="C33">
        <v>52</v>
      </c>
      <c r="D33" t="s">
        <v>20</v>
      </c>
      <c r="E33" s="6">
        <v>40303</v>
      </c>
      <c r="F33" s="6">
        <v>40304</v>
      </c>
      <c r="G33" s="6">
        <v>40305</v>
      </c>
      <c r="I33">
        <v>2009</v>
      </c>
      <c r="J33" t="s">
        <v>2175</v>
      </c>
      <c r="K33" t="s">
        <v>2179</v>
      </c>
    </row>
    <row r="34" spans="1:11" x14ac:dyDescent="0.2">
      <c r="A34" t="s">
        <v>2178</v>
      </c>
      <c r="B34" t="s">
        <v>2174</v>
      </c>
      <c r="C34">
        <v>59</v>
      </c>
      <c r="D34" t="s">
        <v>20</v>
      </c>
      <c r="E34" s="6">
        <v>40667</v>
      </c>
      <c r="F34" s="6">
        <v>40668</v>
      </c>
      <c r="G34" s="6">
        <v>40669</v>
      </c>
      <c r="I34">
        <v>2010</v>
      </c>
      <c r="J34" t="s">
        <v>2175</v>
      </c>
      <c r="K34" t="s">
        <v>2179</v>
      </c>
    </row>
    <row r="35" spans="1:11" x14ac:dyDescent="0.2">
      <c r="A35" t="s">
        <v>2178</v>
      </c>
      <c r="B35" t="s">
        <v>2174</v>
      </c>
      <c r="C35">
        <v>75</v>
      </c>
      <c r="D35" t="s">
        <v>20</v>
      </c>
      <c r="E35" s="6">
        <v>41038</v>
      </c>
      <c r="F35" s="6">
        <v>41039</v>
      </c>
      <c r="G35" s="6">
        <v>41040</v>
      </c>
      <c r="I35">
        <v>2011</v>
      </c>
      <c r="J35" t="s">
        <v>2175</v>
      </c>
      <c r="K35" t="s">
        <v>2179</v>
      </c>
    </row>
    <row r="36" spans="1:11" x14ac:dyDescent="0.2">
      <c r="A36" t="s">
        <v>2178</v>
      </c>
      <c r="B36" t="s">
        <v>2174</v>
      </c>
      <c r="C36">
        <v>40</v>
      </c>
      <c r="D36" t="s">
        <v>20</v>
      </c>
      <c r="E36" s="6">
        <v>41221</v>
      </c>
      <c r="F36" s="6">
        <v>41222</v>
      </c>
      <c r="G36" s="6">
        <v>41225</v>
      </c>
      <c r="I36">
        <v>2012</v>
      </c>
      <c r="J36" t="s">
        <v>2180</v>
      </c>
      <c r="K36" t="s">
        <v>2179</v>
      </c>
    </row>
    <row r="37" spans="1:11" x14ac:dyDescent="0.2">
      <c r="A37" t="s">
        <v>2178</v>
      </c>
      <c r="B37" t="s">
        <v>2174</v>
      </c>
      <c r="C37">
        <v>50</v>
      </c>
      <c r="D37" t="s">
        <v>20</v>
      </c>
      <c r="E37" s="6">
        <v>41403</v>
      </c>
      <c r="F37" s="6">
        <v>41404</v>
      </c>
      <c r="G37" s="6">
        <v>41407</v>
      </c>
      <c r="I37">
        <v>2012</v>
      </c>
      <c r="J37" t="s">
        <v>2175</v>
      </c>
      <c r="K37" t="s">
        <v>2179</v>
      </c>
    </row>
    <row r="38" spans="1:11" x14ac:dyDescent="0.2">
      <c r="A38" t="s">
        <v>2178</v>
      </c>
      <c r="B38" t="s">
        <v>2174</v>
      </c>
      <c r="C38">
        <v>50</v>
      </c>
      <c r="D38" t="s">
        <v>20</v>
      </c>
      <c r="E38" s="6">
        <v>41499</v>
      </c>
      <c r="F38" s="6">
        <v>41500</v>
      </c>
      <c r="G38" s="6">
        <v>41501</v>
      </c>
      <c r="I38">
        <v>2013</v>
      </c>
      <c r="J38" t="s">
        <v>2177</v>
      </c>
      <c r="K38" t="s">
        <v>2179</v>
      </c>
    </row>
    <row r="39" spans="1:11" x14ac:dyDescent="0.2">
      <c r="A39" t="s">
        <v>2178</v>
      </c>
      <c r="B39" t="s">
        <v>2174</v>
      </c>
      <c r="C39">
        <v>60</v>
      </c>
      <c r="D39" t="s">
        <v>20</v>
      </c>
      <c r="E39" s="6">
        <v>41831</v>
      </c>
      <c r="F39" s="6">
        <v>41834</v>
      </c>
      <c r="G39" s="6">
        <v>41835</v>
      </c>
      <c r="I39">
        <v>2013</v>
      </c>
      <c r="J39" t="s">
        <v>2175</v>
      </c>
      <c r="K39" t="s">
        <v>2179</v>
      </c>
    </row>
    <row r="40" spans="1:11" x14ac:dyDescent="0.2">
      <c r="A40" t="s">
        <v>2178</v>
      </c>
      <c r="B40" t="s">
        <v>2174</v>
      </c>
      <c r="C40">
        <v>60</v>
      </c>
      <c r="D40" t="s">
        <v>20</v>
      </c>
      <c r="E40" s="6">
        <v>41997</v>
      </c>
      <c r="F40" s="6">
        <v>41998</v>
      </c>
      <c r="G40" s="6">
        <v>41999</v>
      </c>
      <c r="I40">
        <v>2014</v>
      </c>
      <c r="J40" t="s">
        <v>2180</v>
      </c>
      <c r="K40" t="s">
        <v>2179</v>
      </c>
    </row>
    <row r="41" spans="1:11" x14ac:dyDescent="0.2">
      <c r="A41" t="s">
        <v>2178</v>
      </c>
      <c r="B41" t="s">
        <v>2174</v>
      </c>
      <c r="C41">
        <v>94</v>
      </c>
      <c r="D41" t="s">
        <v>20</v>
      </c>
      <c r="E41" s="6">
        <v>42195</v>
      </c>
      <c r="F41" s="6">
        <v>42198</v>
      </c>
      <c r="G41" s="6">
        <v>42199</v>
      </c>
      <c r="I41">
        <v>2014</v>
      </c>
      <c r="J41" t="s">
        <v>2175</v>
      </c>
      <c r="K41" t="s">
        <v>2179</v>
      </c>
    </row>
    <row r="42" spans="1:11" x14ac:dyDescent="0.2">
      <c r="A42" t="s">
        <v>2178</v>
      </c>
      <c r="B42" t="s">
        <v>2174</v>
      </c>
      <c r="C42">
        <v>65</v>
      </c>
      <c r="D42" t="s">
        <v>20</v>
      </c>
      <c r="E42" s="6">
        <v>42360</v>
      </c>
      <c r="F42" s="6">
        <v>42361</v>
      </c>
      <c r="G42" s="6">
        <v>42362</v>
      </c>
      <c r="I42">
        <v>2015</v>
      </c>
      <c r="J42" t="s">
        <v>2180</v>
      </c>
      <c r="K42" t="s">
        <v>2179</v>
      </c>
    </row>
    <row r="43" spans="1:11" x14ac:dyDescent="0.2">
      <c r="A43" t="s">
        <v>2178</v>
      </c>
      <c r="B43" t="s">
        <v>2174</v>
      </c>
      <c r="C43">
        <v>112</v>
      </c>
      <c r="D43" t="s">
        <v>20</v>
      </c>
      <c r="E43" s="6">
        <v>42559</v>
      </c>
      <c r="F43" s="6">
        <v>42562</v>
      </c>
      <c r="G43" s="6">
        <v>42563</v>
      </c>
      <c r="I43">
        <v>2015</v>
      </c>
      <c r="J43" t="s">
        <v>2175</v>
      </c>
      <c r="K43" t="s">
        <v>2179</v>
      </c>
    </row>
    <row r="44" spans="1:11" x14ac:dyDescent="0.2">
      <c r="A44" t="s">
        <v>2178</v>
      </c>
      <c r="B44" t="s">
        <v>2174</v>
      </c>
      <c r="C44">
        <v>75</v>
      </c>
      <c r="D44" t="s">
        <v>20</v>
      </c>
      <c r="E44" s="6">
        <v>42725</v>
      </c>
      <c r="F44" s="6">
        <v>42726</v>
      </c>
      <c r="G44" s="6">
        <v>42727</v>
      </c>
      <c r="I44">
        <v>2016</v>
      </c>
      <c r="J44" t="s">
        <v>2180</v>
      </c>
      <c r="K44" t="s">
        <v>2179</v>
      </c>
    </row>
    <row r="45" spans="1:11" x14ac:dyDescent="0.2">
      <c r="A45" t="s">
        <v>2178</v>
      </c>
      <c r="B45" t="s">
        <v>2174</v>
      </c>
      <c r="C45">
        <v>120</v>
      </c>
      <c r="D45" t="s">
        <v>20</v>
      </c>
      <c r="E45" s="6">
        <v>42922</v>
      </c>
      <c r="F45" s="6">
        <v>42923</v>
      </c>
      <c r="G45" s="6">
        <v>42926</v>
      </c>
      <c r="I45">
        <v>2016</v>
      </c>
      <c r="J45" t="s">
        <v>2175</v>
      </c>
      <c r="K45" t="s">
        <v>2179</v>
      </c>
    </row>
    <row r="46" spans="1:11" x14ac:dyDescent="0.2">
      <c r="A46" t="s">
        <v>2178</v>
      </c>
      <c r="B46" t="s">
        <v>2174</v>
      </c>
      <c r="C46">
        <v>85</v>
      </c>
      <c r="D46" t="s">
        <v>20</v>
      </c>
      <c r="E46" s="6">
        <v>43089</v>
      </c>
      <c r="F46" s="6">
        <v>43090</v>
      </c>
      <c r="G46" s="6">
        <v>43091</v>
      </c>
      <c r="I46">
        <v>2017</v>
      </c>
      <c r="J46" t="s">
        <v>2180</v>
      </c>
      <c r="K46" t="s">
        <v>2179</v>
      </c>
    </row>
    <row r="47" spans="1:11" x14ac:dyDescent="0.2">
      <c r="A47" t="s">
        <v>2178</v>
      </c>
      <c r="B47" t="s">
        <v>2174</v>
      </c>
      <c r="C47">
        <v>130</v>
      </c>
      <c r="D47" t="s">
        <v>20</v>
      </c>
      <c r="E47" s="6">
        <v>43290</v>
      </c>
      <c r="F47" s="6">
        <v>43291</v>
      </c>
      <c r="G47" s="6">
        <v>43292</v>
      </c>
      <c r="I47">
        <v>2017</v>
      </c>
      <c r="J47" t="s">
        <v>2175</v>
      </c>
      <c r="K47" t="s">
        <v>2179</v>
      </c>
    </row>
    <row r="48" spans="1:11" x14ac:dyDescent="0.2">
      <c r="A48" t="s">
        <v>2178</v>
      </c>
      <c r="B48" t="s">
        <v>2174</v>
      </c>
      <c r="C48">
        <v>95</v>
      </c>
      <c r="D48" t="s">
        <v>20</v>
      </c>
      <c r="E48" s="6">
        <v>43453</v>
      </c>
      <c r="F48" s="6">
        <v>43454</v>
      </c>
      <c r="G48" s="6">
        <v>43455</v>
      </c>
      <c r="I48">
        <v>2018</v>
      </c>
      <c r="J48" t="s">
        <v>2180</v>
      </c>
      <c r="K48" t="s">
        <v>2179</v>
      </c>
    </row>
    <row r="49" spans="1:11" x14ac:dyDescent="0.2">
      <c r="A49" t="s">
        <v>2178</v>
      </c>
      <c r="B49" t="s">
        <v>2174</v>
      </c>
      <c r="C49">
        <v>155</v>
      </c>
      <c r="D49" t="s">
        <v>20</v>
      </c>
      <c r="E49" s="6">
        <v>43651</v>
      </c>
      <c r="F49" s="6">
        <v>43654</v>
      </c>
      <c r="G49" s="6">
        <v>43655</v>
      </c>
      <c r="I49">
        <v>2018</v>
      </c>
      <c r="J49" t="s">
        <v>2175</v>
      </c>
      <c r="K49" t="s">
        <v>2179</v>
      </c>
    </row>
    <row r="50" spans="1:11" x14ac:dyDescent="0.2">
      <c r="A50" t="s">
        <v>2178</v>
      </c>
      <c r="B50" t="s">
        <v>2174</v>
      </c>
      <c r="C50">
        <v>192</v>
      </c>
      <c r="D50" t="s">
        <v>20</v>
      </c>
      <c r="E50" s="6">
        <v>43817</v>
      </c>
      <c r="F50" s="6">
        <v>43818</v>
      </c>
      <c r="G50" s="6">
        <v>43819</v>
      </c>
      <c r="I50">
        <v>2019</v>
      </c>
      <c r="J50" t="s">
        <v>2180</v>
      </c>
      <c r="K50" t="s">
        <v>2179</v>
      </c>
    </row>
    <row r="51" spans="1:11" x14ac:dyDescent="0.2">
      <c r="A51" t="s">
        <v>2178</v>
      </c>
      <c r="B51" t="s">
        <v>2174</v>
      </c>
      <c r="C51">
        <v>350</v>
      </c>
      <c r="D51" t="s">
        <v>20</v>
      </c>
      <c r="E51" s="6">
        <v>44020</v>
      </c>
      <c r="F51" s="6">
        <v>44021</v>
      </c>
      <c r="G51" s="6">
        <v>44022</v>
      </c>
      <c r="H51" s="6">
        <v>44055</v>
      </c>
      <c r="I51">
        <v>2019</v>
      </c>
      <c r="J51" t="s">
        <v>2175</v>
      </c>
      <c r="K51" t="s">
        <v>2179</v>
      </c>
    </row>
    <row r="52" spans="1:11" x14ac:dyDescent="0.2">
      <c r="A52" t="s">
        <v>2178</v>
      </c>
      <c r="B52" t="s">
        <v>2174</v>
      </c>
      <c r="C52">
        <v>46</v>
      </c>
      <c r="D52" t="s">
        <v>20</v>
      </c>
      <c r="E52" s="6">
        <v>44182</v>
      </c>
      <c r="F52" s="6">
        <v>44183</v>
      </c>
      <c r="G52" s="6">
        <v>44183</v>
      </c>
      <c r="H52" s="6">
        <v>44225</v>
      </c>
      <c r="I52">
        <v>2020</v>
      </c>
      <c r="J52" t="s">
        <v>2180</v>
      </c>
      <c r="K52" t="s">
        <v>2179</v>
      </c>
    </row>
    <row r="53" spans="1:11" x14ac:dyDescent="0.2">
      <c r="A53" t="s">
        <v>2178</v>
      </c>
      <c r="B53" t="s">
        <v>2174</v>
      </c>
      <c r="C53">
        <v>213</v>
      </c>
      <c r="D53" t="s">
        <v>20</v>
      </c>
      <c r="E53" s="6">
        <v>44378</v>
      </c>
      <c r="F53" s="6">
        <v>44379</v>
      </c>
      <c r="G53" s="6">
        <v>44382</v>
      </c>
      <c r="H53" s="6">
        <v>44410</v>
      </c>
      <c r="I53">
        <v>2020</v>
      </c>
      <c r="J53" t="s">
        <v>2175</v>
      </c>
      <c r="K53" t="s">
        <v>2179</v>
      </c>
    </row>
    <row r="54" spans="1:11" x14ac:dyDescent="0.2">
      <c r="A54" t="s">
        <v>2178</v>
      </c>
      <c r="B54" t="s">
        <v>2174</v>
      </c>
      <c r="C54">
        <v>340</v>
      </c>
      <c r="D54" t="s">
        <v>20</v>
      </c>
      <c r="E54" s="6">
        <v>44550</v>
      </c>
      <c r="F54" s="6">
        <v>44551</v>
      </c>
      <c r="G54" s="6">
        <v>44551</v>
      </c>
      <c r="H54" s="6">
        <v>44593</v>
      </c>
      <c r="I54">
        <v>2021</v>
      </c>
      <c r="J54" t="s">
        <v>2180</v>
      </c>
      <c r="K54" t="s">
        <v>2179</v>
      </c>
    </row>
    <row r="55" spans="1:11" x14ac:dyDescent="0.2">
      <c r="A55" t="s">
        <v>2178</v>
      </c>
      <c r="B55" t="s">
        <v>2174</v>
      </c>
      <c r="C55">
        <v>256</v>
      </c>
      <c r="D55" t="s">
        <v>20</v>
      </c>
      <c r="E55" s="6">
        <v>44914</v>
      </c>
      <c r="F55" s="6">
        <v>44915</v>
      </c>
      <c r="G55" s="6">
        <v>44916</v>
      </c>
      <c r="H55" s="6">
        <v>44957</v>
      </c>
      <c r="I55">
        <v>2022</v>
      </c>
      <c r="J55" t="s">
        <v>2180</v>
      </c>
      <c r="K55" t="s">
        <v>2179</v>
      </c>
    </row>
    <row r="56" spans="1:11" x14ac:dyDescent="0.2">
      <c r="A56" t="s">
        <v>2178</v>
      </c>
      <c r="B56" t="s">
        <v>2174</v>
      </c>
      <c r="C56">
        <v>537</v>
      </c>
      <c r="D56" t="s">
        <v>20</v>
      </c>
      <c r="E56" s="6">
        <v>44914</v>
      </c>
      <c r="F56" s="6">
        <v>44915</v>
      </c>
      <c r="G56" s="6">
        <v>44916</v>
      </c>
      <c r="H56" s="6">
        <v>44957</v>
      </c>
      <c r="I56">
        <v>2022</v>
      </c>
      <c r="J56" t="s">
        <v>2181</v>
      </c>
      <c r="K56" t="s">
        <v>2179</v>
      </c>
    </row>
    <row r="57" spans="1:11" x14ac:dyDescent="0.2">
      <c r="A57" t="s">
        <v>2178</v>
      </c>
      <c r="B57" t="s">
        <v>2174</v>
      </c>
      <c r="C57">
        <v>438</v>
      </c>
      <c r="D57" t="s">
        <v>20</v>
      </c>
      <c r="E57" s="6">
        <v>45078</v>
      </c>
      <c r="F57" s="6">
        <v>45079</v>
      </c>
      <c r="G57" s="6">
        <v>45082</v>
      </c>
      <c r="H57" s="6">
        <v>45114</v>
      </c>
      <c r="I57">
        <v>2022</v>
      </c>
      <c r="J57" t="s">
        <v>2175</v>
      </c>
      <c r="K57" t="s">
        <v>2179</v>
      </c>
    </row>
    <row r="58" spans="1:11" x14ac:dyDescent="0.2">
      <c r="A58" t="s">
        <v>2178</v>
      </c>
      <c r="B58" t="s">
        <v>2174</v>
      </c>
      <c r="C58">
        <v>447</v>
      </c>
      <c r="D58" t="s">
        <v>20</v>
      </c>
      <c r="E58" s="6">
        <v>45275</v>
      </c>
      <c r="F58" s="6">
        <v>45275</v>
      </c>
      <c r="G58" s="6">
        <v>45277</v>
      </c>
      <c r="H58" s="6">
        <v>45317</v>
      </c>
      <c r="I58">
        <v>2023</v>
      </c>
      <c r="J58" t="s">
        <v>2180</v>
      </c>
      <c r="K58" t="s">
        <v>2179</v>
      </c>
    </row>
    <row r="59" spans="1:11" x14ac:dyDescent="0.2">
      <c r="A59" t="s">
        <v>2178</v>
      </c>
      <c r="B59" t="s">
        <v>2174</v>
      </c>
      <c r="C59">
        <v>498</v>
      </c>
      <c r="D59" t="s">
        <v>20</v>
      </c>
      <c r="E59" s="6">
        <v>45418</v>
      </c>
      <c r="F59" s="6">
        <v>45419</v>
      </c>
      <c r="G59" s="6">
        <v>45419</v>
      </c>
      <c r="H59" s="6">
        <v>45456</v>
      </c>
      <c r="I59">
        <v>2023</v>
      </c>
      <c r="J59" t="s">
        <v>2175</v>
      </c>
      <c r="K59" t="s">
        <v>2179</v>
      </c>
    </row>
    <row r="60" spans="1:11" x14ac:dyDescent="0.2">
      <c r="A60" t="s">
        <v>2178</v>
      </c>
      <c r="B60" t="s">
        <v>2174</v>
      </c>
      <c r="C60">
        <v>514</v>
      </c>
      <c r="D60" t="s">
        <v>20</v>
      </c>
      <c r="E60" s="6">
        <v>45642</v>
      </c>
      <c r="F60" s="6">
        <v>45643</v>
      </c>
      <c r="G60" s="6">
        <v>45643</v>
      </c>
      <c r="H60" s="6">
        <v>45686</v>
      </c>
      <c r="I60">
        <v>2024</v>
      </c>
      <c r="J60" t="s">
        <v>2180</v>
      </c>
      <c r="K60" t="s">
        <v>2179</v>
      </c>
    </row>
    <row r="61" spans="1:11" x14ac:dyDescent="0.2">
      <c r="A61" t="s">
        <v>2178</v>
      </c>
      <c r="B61" t="s">
        <v>2174</v>
      </c>
      <c r="C61">
        <v>541</v>
      </c>
      <c r="D61" t="s">
        <v>20</v>
      </c>
      <c r="E61" s="6">
        <v>45810</v>
      </c>
      <c r="F61" s="6">
        <v>45811</v>
      </c>
      <c r="G61" s="6">
        <v>45811</v>
      </c>
      <c r="H61" s="6">
        <v>45847</v>
      </c>
      <c r="I61">
        <v>2024</v>
      </c>
      <c r="J61" t="s">
        <v>2175</v>
      </c>
      <c r="K61" t="s">
        <v>2179</v>
      </c>
    </row>
    <row r="62" spans="1:11" x14ac:dyDescent="0.2">
      <c r="A62" t="s">
        <v>2178</v>
      </c>
      <c r="B62" t="s">
        <v>2174</v>
      </c>
      <c r="C62">
        <v>397</v>
      </c>
      <c r="D62" t="s">
        <v>20</v>
      </c>
      <c r="E62" s="6">
        <v>46031</v>
      </c>
      <c r="F62" s="6">
        <v>46034</v>
      </c>
      <c r="G62" s="6">
        <v>46034</v>
      </c>
      <c r="H62" s="6">
        <v>46069</v>
      </c>
      <c r="I62">
        <v>2025</v>
      </c>
      <c r="J62" t="s">
        <v>2180</v>
      </c>
      <c r="K62" t="s">
        <v>2179</v>
      </c>
    </row>
    <row r="63" spans="1:11" x14ac:dyDescent="0.2">
      <c r="A63" t="s">
        <v>2182</v>
      </c>
      <c r="B63" t="s">
        <v>2174</v>
      </c>
      <c r="C63">
        <v>1.1000000000000001</v>
      </c>
      <c r="D63" t="s">
        <v>20</v>
      </c>
      <c r="E63" s="6">
        <v>39176</v>
      </c>
      <c r="F63" s="6">
        <v>39177</v>
      </c>
      <c r="G63" s="6">
        <v>39177</v>
      </c>
      <c r="I63">
        <v>2006</v>
      </c>
      <c r="J63" t="s">
        <v>2175</v>
      </c>
      <c r="K63" t="s">
        <v>2183</v>
      </c>
    </row>
    <row r="64" spans="1:11" x14ac:dyDescent="0.2">
      <c r="A64" t="s">
        <v>2182</v>
      </c>
      <c r="B64" t="s">
        <v>2174</v>
      </c>
      <c r="C64">
        <v>0.83</v>
      </c>
      <c r="D64" t="s">
        <v>20</v>
      </c>
      <c r="E64" s="6">
        <v>39325</v>
      </c>
      <c r="F64" s="6">
        <v>39326</v>
      </c>
      <c r="G64" s="6">
        <v>39328</v>
      </c>
      <c r="I64">
        <v>2007</v>
      </c>
      <c r="J64" t="s">
        <v>2177</v>
      </c>
      <c r="K64" t="s">
        <v>2183</v>
      </c>
    </row>
    <row r="65" spans="1:11" x14ac:dyDescent="0.2">
      <c r="A65" t="s">
        <v>2182</v>
      </c>
      <c r="B65" t="s">
        <v>2174</v>
      </c>
      <c r="C65">
        <v>1.52</v>
      </c>
      <c r="D65" t="s">
        <v>20</v>
      </c>
      <c r="E65" s="6">
        <v>39546</v>
      </c>
      <c r="F65" s="6">
        <v>39547</v>
      </c>
      <c r="G65" s="6">
        <v>39548</v>
      </c>
      <c r="I65">
        <v>2007</v>
      </c>
      <c r="J65" t="s">
        <v>2175</v>
      </c>
      <c r="K65" t="s">
        <v>2183</v>
      </c>
    </row>
    <row r="66" spans="1:11" x14ac:dyDescent="0.2">
      <c r="A66" t="s">
        <v>2182</v>
      </c>
      <c r="B66" t="s">
        <v>2174</v>
      </c>
      <c r="C66">
        <v>1</v>
      </c>
      <c r="D66" t="s">
        <v>20</v>
      </c>
      <c r="E66" s="6">
        <v>39651</v>
      </c>
      <c r="F66" s="6">
        <v>39652</v>
      </c>
      <c r="G66" s="6">
        <v>39653</v>
      </c>
      <c r="I66">
        <v>2008</v>
      </c>
      <c r="J66" t="s">
        <v>2177</v>
      </c>
      <c r="K66" t="s">
        <v>2183</v>
      </c>
    </row>
    <row r="67" spans="1:11" x14ac:dyDescent="0.2">
      <c r="A67" t="s">
        <v>2182</v>
      </c>
      <c r="B67" t="s">
        <v>2174</v>
      </c>
      <c r="C67">
        <v>1.52</v>
      </c>
      <c r="D67" t="s">
        <v>20</v>
      </c>
      <c r="E67" s="6">
        <v>39919</v>
      </c>
      <c r="F67" s="6">
        <v>39920</v>
      </c>
      <c r="G67" s="6">
        <v>39923</v>
      </c>
      <c r="I67">
        <v>2008</v>
      </c>
      <c r="J67" t="s">
        <v>2175</v>
      </c>
      <c r="K67" t="s">
        <v>2183</v>
      </c>
    </row>
    <row r="68" spans="1:11" x14ac:dyDescent="0.2">
      <c r="A68" t="s">
        <v>2182</v>
      </c>
      <c r="B68" t="s">
        <v>2174</v>
      </c>
      <c r="C68">
        <v>1</v>
      </c>
      <c r="D68" t="s">
        <v>20</v>
      </c>
      <c r="E68" s="6">
        <v>40063</v>
      </c>
      <c r="F68" s="6">
        <v>40064</v>
      </c>
      <c r="G68" s="6">
        <v>40065</v>
      </c>
      <c r="I68">
        <v>2009</v>
      </c>
      <c r="J68" t="s">
        <v>2177</v>
      </c>
      <c r="K68" t="s">
        <v>2183</v>
      </c>
    </row>
    <row r="69" spans="1:11" x14ac:dyDescent="0.2">
      <c r="A69" t="s">
        <v>2182</v>
      </c>
      <c r="B69" t="s">
        <v>2174</v>
      </c>
      <c r="C69">
        <v>1.75</v>
      </c>
      <c r="D69" t="s">
        <v>20</v>
      </c>
      <c r="E69" s="6">
        <v>40255</v>
      </c>
      <c r="F69" s="6">
        <v>40256</v>
      </c>
      <c r="G69" s="6">
        <v>40259</v>
      </c>
      <c r="I69">
        <v>2009</v>
      </c>
      <c r="J69" t="s">
        <v>2175</v>
      </c>
      <c r="K69" t="s">
        <v>2183</v>
      </c>
    </row>
    <row r="70" spans="1:11" x14ac:dyDescent="0.2">
      <c r="A70" t="s">
        <v>2182</v>
      </c>
      <c r="B70" t="s">
        <v>2174</v>
      </c>
      <c r="C70">
        <v>1.5</v>
      </c>
      <c r="D70" t="s">
        <v>20</v>
      </c>
      <c r="E70" s="6">
        <v>40428</v>
      </c>
      <c r="F70" s="6">
        <v>40429</v>
      </c>
      <c r="G70" s="6">
        <v>40430</v>
      </c>
      <c r="I70">
        <v>2010</v>
      </c>
      <c r="J70" t="s">
        <v>2177</v>
      </c>
      <c r="K70" t="s">
        <v>2183</v>
      </c>
    </row>
    <row r="71" spans="1:11" x14ac:dyDescent="0.2">
      <c r="A71" t="s">
        <v>2182</v>
      </c>
      <c r="B71" t="s">
        <v>2174</v>
      </c>
      <c r="C71">
        <v>2.5</v>
      </c>
      <c r="D71" t="s">
        <v>20</v>
      </c>
      <c r="E71" s="6">
        <v>40620</v>
      </c>
      <c r="F71" s="6">
        <v>40623</v>
      </c>
      <c r="G71" s="6">
        <v>40624</v>
      </c>
      <c r="I71">
        <v>2010</v>
      </c>
      <c r="J71" t="s">
        <v>2175</v>
      </c>
      <c r="K71" t="s">
        <v>2183</v>
      </c>
    </row>
    <row r="72" spans="1:11" x14ac:dyDescent="0.2">
      <c r="A72" t="s">
        <v>2182</v>
      </c>
      <c r="B72" t="s">
        <v>2174</v>
      </c>
      <c r="C72">
        <v>2.5</v>
      </c>
      <c r="D72" t="s">
        <v>20</v>
      </c>
      <c r="E72" s="6">
        <v>40792</v>
      </c>
      <c r="F72" s="6">
        <v>40793</v>
      </c>
      <c r="G72" s="6">
        <v>40794</v>
      </c>
      <c r="I72">
        <v>2011</v>
      </c>
      <c r="J72" t="s">
        <v>2177</v>
      </c>
      <c r="K72" t="s">
        <v>2183</v>
      </c>
    </row>
    <row r="73" spans="1:11" x14ac:dyDescent="0.2">
      <c r="A73" t="s">
        <v>2182</v>
      </c>
      <c r="B73" t="s">
        <v>2174</v>
      </c>
      <c r="C73">
        <v>3.5</v>
      </c>
      <c r="D73" t="s">
        <v>20</v>
      </c>
      <c r="E73" s="6">
        <v>40989</v>
      </c>
      <c r="F73" s="6">
        <v>40990</v>
      </c>
      <c r="G73" s="6">
        <v>40991</v>
      </c>
      <c r="I73">
        <v>2011</v>
      </c>
      <c r="J73" t="s">
        <v>2175</v>
      </c>
      <c r="K73" t="s">
        <v>2183</v>
      </c>
    </row>
    <row r="74" spans="1:11" x14ac:dyDescent="0.2">
      <c r="A74" t="s">
        <v>2182</v>
      </c>
      <c r="B74" t="s">
        <v>2174</v>
      </c>
      <c r="C74">
        <v>3</v>
      </c>
      <c r="D74" t="s">
        <v>20</v>
      </c>
      <c r="E74" s="6">
        <v>41158</v>
      </c>
      <c r="F74" s="6">
        <v>41159</v>
      </c>
      <c r="G74" s="6">
        <v>41162</v>
      </c>
      <c r="I74">
        <v>2012</v>
      </c>
      <c r="J74" t="s">
        <v>2177</v>
      </c>
      <c r="K74" t="s">
        <v>2183</v>
      </c>
    </row>
    <row r="75" spans="1:11" x14ac:dyDescent="0.2">
      <c r="A75" t="s">
        <v>2182</v>
      </c>
      <c r="B75" t="s">
        <v>2174</v>
      </c>
      <c r="C75">
        <v>3.86</v>
      </c>
      <c r="D75" t="s">
        <v>20</v>
      </c>
      <c r="E75" s="6">
        <v>41352</v>
      </c>
      <c r="F75" s="6">
        <v>41353</v>
      </c>
      <c r="G75" s="6">
        <v>41354</v>
      </c>
      <c r="I75">
        <v>2012</v>
      </c>
      <c r="J75" t="s">
        <v>2175</v>
      </c>
      <c r="K75" t="s">
        <v>2183</v>
      </c>
    </row>
    <row r="76" spans="1:11" x14ac:dyDescent="0.2">
      <c r="A76" t="s">
        <v>2182</v>
      </c>
      <c r="B76" t="s">
        <v>2174</v>
      </c>
      <c r="C76">
        <v>3.4</v>
      </c>
      <c r="D76" t="s">
        <v>20</v>
      </c>
      <c r="E76" s="6">
        <v>41529</v>
      </c>
      <c r="F76" s="6">
        <v>41530</v>
      </c>
      <c r="G76" s="6">
        <v>41533</v>
      </c>
      <c r="I76">
        <v>2013</v>
      </c>
      <c r="J76" t="s">
        <v>2177</v>
      </c>
      <c r="K76" t="s">
        <v>2183</v>
      </c>
    </row>
    <row r="77" spans="1:11" x14ac:dyDescent="0.2">
      <c r="A77" t="s">
        <v>2182</v>
      </c>
      <c r="B77" t="s">
        <v>2174</v>
      </c>
      <c r="C77">
        <v>4.49</v>
      </c>
      <c r="D77" t="s">
        <v>20</v>
      </c>
      <c r="E77" s="6">
        <v>41754</v>
      </c>
      <c r="F77" s="6">
        <v>41757</v>
      </c>
      <c r="G77" s="6">
        <v>41758</v>
      </c>
      <c r="I77">
        <v>2013</v>
      </c>
      <c r="J77" t="s">
        <v>2175</v>
      </c>
      <c r="K77" t="s">
        <v>2183</v>
      </c>
    </row>
    <row r="78" spans="1:11" x14ac:dyDescent="0.2">
      <c r="A78" t="s">
        <v>2182</v>
      </c>
      <c r="B78" t="s">
        <v>2174</v>
      </c>
      <c r="C78">
        <v>5.0999999999999996</v>
      </c>
      <c r="D78" t="s">
        <v>20</v>
      </c>
      <c r="E78" s="6">
        <v>41935</v>
      </c>
      <c r="F78" s="6">
        <v>41936</v>
      </c>
      <c r="G78" s="6">
        <v>41939</v>
      </c>
      <c r="I78">
        <v>2014</v>
      </c>
      <c r="J78" t="s">
        <v>2177</v>
      </c>
      <c r="K78" t="s">
        <v>2183</v>
      </c>
    </row>
    <row r="79" spans="1:11" x14ac:dyDescent="0.2">
      <c r="A79" t="s">
        <v>2182</v>
      </c>
      <c r="B79" t="s">
        <v>2174</v>
      </c>
      <c r="C79">
        <v>5.2</v>
      </c>
      <c r="D79" t="s">
        <v>20</v>
      </c>
      <c r="E79" s="6">
        <v>42125</v>
      </c>
      <c r="F79" s="6">
        <v>42128</v>
      </c>
      <c r="G79" s="6">
        <v>42129</v>
      </c>
      <c r="I79">
        <v>2014</v>
      </c>
      <c r="J79" t="s">
        <v>2175</v>
      </c>
      <c r="K79" t="s">
        <v>2183</v>
      </c>
    </row>
    <row r="80" spans="1:11" x14ac:dyDescent="0.2">
      <c r="A80" t="s">
        <v>2182</v>
      </c>
      <c r="B80" t="s">
        <v>2174</v>
      </c>
      <c r="C80">
        <v>6.6</v>
      </c>
      <c r="D80" t="s">
        <v>20</v>
      </c>
      <c r="E80" s="6">
        <v>42279</v>
      </c>
      <c r="F80" s="6">
        <v>42282</v>
      </c>
      <c r="G80" s="6">
        <v>42283</v>
      </c>
      <c r="I80">
        <v>2015</v>
      </c>
      <c r="J80" t="s">
        <v>2177</v>
      </c>
      <c r="K80" t="s">
        <v>2183</v>
      </c>
    </row>
    <row r="81" spans="1:11" x14ac:dyDescent="0.2">
      <c r="A81" t="s">
        <v>2182</v>
      </c>
      <c r="B81" t="s">
        <v>2174</v>
      </c>
      <c r="C81">
        <v>6.9</v>
      </c>
      <c r="D81" t="s">
        <v>20</v>
      </c>
      <c r="E81" s="6">
        <v>42488</v>
      </c>
      <c r="F81" s="6">
        <v>42489</v>
      </c>
      <c r="G81" s="6">
        <v>42494</v>
      </c>
      <c r="I81">
        <v>2015</v>
      </c>
      <c r="J81" t="s">
        <v>2175</v>
      </c>
      <c r="K81" t="s">
        <v>2183</v>
      </c>
    </row>
    <row r="82" spans="1:11" x14ac:dyDescent="0.2">
      <c r="A82" t="s">
        <v>2182</v>
      </c>
      <c r="B82" t="s">
        <v>2174</v>
      </c>
      <c r="C82">
        <v>6.9</v>
      </c>
      <c r="D82" t="s">
        <v>20</v>
      </c>
      <c r="E82" s="6">
        <v>42650</v>
      </c>
      <c r="F82" s="6">
        <v>42653</v>
      </c>
      <c r="G82" s="6">
        <v>42654</v>
      </c>
      <c r="I82">
        <v>2016</v>
      </c>
      <c r="J82" t="s">
        <v>2177</v>
      </c>
      <c r="K82" t="s">
        <v>2183</v>
      </c>
    </row>
    <row r="83" spans="1:11" x14ac:dyDescent="0.2">
      <c r="A83" t="s">
        <v>2182</v>
      </c>
      <c r="B83" t="s">
        <v>2174</v>
      </c>
      <c r="C83">
        <v>7</v>
      </c>
      <c r="D83" t="s">
        <v>20</v>
      </c>
      <c r="E83" s="6">
        <v>42852</v>
      </c>
      <c r="F83" s="6">
        <v>42853</v>
      </c>
      <c r="G83" s="6">
        <v>42857</v>
      </c>
      <c r="I83">
        <v>2016</v>
      </c>
      <c r="J83" t="s">
        <v>2175</v>
      </c>
      <c r="K83" t="s">
        <v>2183</v>
      </c>
    </row>
    <row r="84" spans="1:11" x14ac:dyDescent="0.2">
      <c r="A84" t="s">
        <v>2182</v>
      </c>
      <c r="B84" t="s">
        <v>2174</v>
      </c>
      <c r="C84">
        <v>6.95</v>
      </c>
      <c r="D84" t="s">
        <v>20</v>
      </c>
      <c r="E84" s="6">
        <v>43014</v>
      </c>
      <c r="F84" s="6">
        <v>43017</v>
      </c>
      <c r="G84" s="6">
        <v>43018</v>
      </c>
      <c r="I84">
        <v>2017</v>
      </c>
      <c r="J84" t="s">
        <v>2177</v>
      </c>
      <c r="K84" t="s">
        <v>2183</v>
      </c>
    </row>
    <row r="85" spans="1:11" x14ac:dyDescent="0.2">
      <c r="A85" t="s">
        <v>2182</v>
      </c>
      <c r="B85" t="s">
        <v>2174</v>
      </c>
      <c r="C85">
        <v>8</v>
      </c>
      <c r="D85" t="s">
        <v>20</v>
      </c>
      <c r="E85" s="6">
        <v>43220</v>
      </c>
      <c r="F85" s="6">
        <v>43222</v>
      </c>
      <c r="G85" s="6">
        <v>43223</v>
      </c>
      <c r="I85">
        <v>2017</v>
      </c>
      <c r="J85" t="s">
        <v>2175</v>
      </c>
      <c r="K85" t="s">
        <v>2183</v>
      </c>
    </row>
    <row r="86" spans="1:11" x14ac:dyDescent="0.2">
      <c r="A86" t="s">
        <v>2182</v>
      </c>
      <c r="B86" t="s">
        <v>2174</v>
      </c>
      <c r="C86">
        <v>9.25</v>
      </c>
      <c r="D86" t="s">
        <v>20</v>
      </c>
      <c r="E86" s="6">
        <v>43381</v>
      </c>
      <c r="F86" s="6">
        <v>43382</v>
      </c>
      <c r="G86" s="6">
        <v>43383</v>
      </c>
      <c r="I86">
        <v>2018</v>
      </c>
      <c r="J86" t="s">
        <v>2177</v>
      </c>
      <c r="K86" t="s">
        <v>2183</v>
      </c>
    </row>
    <row r="87" spans="1:11" x14ac:dyDescent="0.2">
      <c r="A87" t="s">
        <v>2182</v>
      </c>
      <c r="B87" t="s">
        <v>2174</v>
      </c>
      <c r="C87">
        <v>16.809999999999999</v>
      </c>
      <c r="D87" t="s">
        <v>20</v>
      </c>
      <c r="E87" s="6">
        <v>43587</v>
      </c>
      <c r="F87" s="6">
        <v>43588</v>
      </c>
      <c r="G87" s="6">
        <v>43591</v>
      </c>
      <c r="I87">
        <v>2018</v>
      </c>
      <c r="J87" t="s">
        <v>2175</v>
      </c>
      <c r="K87" t="s">
        <v>2183</v>
      </c>
    </row>
    <row r="88" spans="1:11" x14ac:dyDescent="0.2">
      <c r="A88" t="s">
        <v>2182</v>
      </c>
      <c r="B88" t="s">
        <v>2174</v>
      </c>
      <c r="C88">
        <v>14.23</v>
      </c>
      <c r="D88" t="s">
        <v>20</v>
      </c>
      <c r="E88" s="6">
        <v>43746</v>
      </c>
      <c r="F88" s="6">
        <v>43747</v>
      </c>
      <c r="G88" s="6">
        <v>43748</v>
      </c>
      <c r="I88">
        <v>2019</v>
      </c>
      <c r="J88" t="s">
        <v>2177</v>
      </c>
      <c r="K88" t="s">
        <v>2183</v>
      </c>
    </row>
    <row r="89" spans="1:11" x14ac:dyDescent="0.2">
      <c r="A89" t="s">
        <v>2182</v>
      </c>
      <c r="B89" t="s">
        <v>2174</v>
      </c>
      <c r="C89">
        <v>18.100000000000001</v>
      </c>
      <c r="D89" t="s">
        <v>20</v>
      </c>
      <c r="E89" s="6">
        <v>43957</v>
      </c>
      <c r="F89" s="6">
        <v>43958</v>
      </c>
      <c r="G89" s="6">
        <v>43959</v>
      </c>
      <c r="I89">
        <v>2019</v>
      </c>
      <c r="J89" t="s">
        <v>2175</v>
      </c>
      <c r="K89" t="s">
        <v>2183</v>
      </c>
    </row>
    <row r="90" spans="1:11" x14ac:dyDescent="0.2">
      <c r="A90" t="s">
        <v>2182</v>
      </c>
      <c r="B90" t="s">
        <v>2174</v>
      </c>
      <c r="C90">
        <v>11.82</v>
      </c>
      <c r="D90" t="s">
        <v>20</v>
      </c>
      <c r="E90" s="6">
        <v>44112</v>
      </c>
      <c r="F90" s="6">
        <v>44113</v>
      </c>
      <c r="G90" s="6">
        <v>44116</v>
      </c>
      <c r="I90">
        <v>2020</v>
      </c>
      <c r="J90" t="s">
        <v>2177</v>
      </c>
      <c r="K90" t="s">
        <v>2183</v>
      </c>
    </row>
    <row r="91" spans="1:11" x14ac:dyDescent="0.2">
      <c r="A91" t="s">
        <v>2182</v>
      </c>
      <c r="B91" t="s">
        <v>2174</v>
      </c>
      <c r="C91">
        <v>23.74</v>
      </c>
      <c r="D91" t="s">
        <v>20</v>
      </c>
      <c r="E91" s="6">
        <v>44321</v>
      </c>
      <c r="F91" s="6">
        <v>44322</v>
      </c>
      <c r="G91" s="6">
        <v>44323</v>
      </c>
      <c r="I91">
        <v>2020</v>
      </c>
      <c r="J91" t="s">
        <v>2175</v>
      </c>
      <c r="K91" t="s">
        <v>2183</v>
      </c>
    </row>
    <row r="92" spans="1:11" x14ac:dyDescent="0.2">
      <c r="A92" t="s">
        <v>2182</v>
      </c>
      <c r="B92" t="s">
        <v>2174</v>
      </c>
      <c r="C92">
        <v>27.67</v>
      </c>
      <c r="D92" t="s">
        <v>20</v>
      </c>
      <c r="E92" s="6">
        <v>44476</v>
      </c>
      <c r="F92" s="6">
        <v>44477</v>
      </c>
      <c r="G92" s="6">
        <v>44480</v>
      </c>
      <c r="H92" s="6">
        <v>44517</v>
      </c>
      <c r="I92">
        <v>2021</v>
      </c>
      <c r="J92" t="s">
        <v>2177</v>
      </c>
      <c r="K92" t="s">
        <v>2183</v>
      </c>
    </row>
    <row r="93" spans="1:11" x14ac:dyDescent="0.2">
      <c r="A93" t="s">
        <v>2182</v>
      </c>
      <c r="B93" t="s">
        <v>2174</v>
      </c>
      <c r="C93">
        <v>43.77</v>
      </c>
      <c r="D93" t="s">
        <v>20</v>
      </c>
      <c r="E93" s="6">
        <v>44680</v>
      </c>
      <c r="F93" s="6">
        <v>44685</v>
      </c>
      <c r="G93" s="6">
        <v>44686</v>
      </c>
      <c r="H93" s="6">
        <v>44726</v>
      </c>
      <c r="I93">
        <v>2021</v>
      </c>
      <c r="J93" t="s">
        <v>2175</v>
      </c>
      <c r="K93" t="s">
        <v>2183</v>
      </c>
    </row>
    <row r="94" spans="1:11" x14ac:dyDescent="0.2">
      <c r="A94" t="s">
        <v>2182</v>
      </c>
      <c r="B94" t="s">
        <v>2174</v>
      </c>
      <c r="C94">
        <v>45</v>
      </c>
      <c r="D94" t="s">
        <v>20</v>
      </c>
      <c r="E94" s="6">
        <v>44840</v>
      </c>
      <c r="F94" s="6">
        <v>44841</v>
      </c>
      <c r="G94" s="6">
        <v>44843</v>
      </c>
      <c r="H94" s="6">
        <v>44879</v>
      </c>
      <c r="I94">
        <v>2022</v>
      </c>
      <c r="J94" t="s">
        <v>2177</v>
      </c>
      <c r="K94" t="s">
        <v>2183</v>
      </c>
    </row>
    <row r="95" spans="1:11" x14ac:dyDescent="0.2">
      <c r="A95" t="s">
        <v>2182</v>
      </c>
      <c r="B95" t="s">
        <v>2174</v>
      </c>
      <c r="C95">
        <v>60.58</v>
      </c>
      <c r="D95" t="s">
        <v>20</v>
      </c>
      <c r="E95" s="6">
        <v>45044</v>
      </c>
      <c r="F95" s="6">
        <v>45048</v>
      </c>
      <c r="G95" s="6">
        <v>45049</v>
      </c>
      <c r="H95" s="6">
        <v>45086</v>
      </c>
      <c r="I95">
        <v>2022</v>
      </c>
      <c r="J95" t="s">
        <v>2175</v>
      </c>
      <c r="K95" t="s">
        <v>2183</v>
      </c>
    </row>
    <row r="96" spans="1:11" x14ac:dyDescent="0.2">
      <c r="A96" t="s">
        <v>2182</v>
      </c>
      <c r="B96" t="s">
        <v>2174</v>
      </c>
      <c r="C96">
        <v>34.5</v>
      </c>
      <c r="D96" t="s">
        <v>20</v>
      </c>
      <c r="E96" s="6">
        <v>45208</v>
      </c>
      <c r="F96" s="6">
        <v>45209</v>
      </c>
      <c r="G96" s="6">
        <v>45209</v>
      </c>
      <c r="H96" s="6">
        <v>45245</v>
      </c>
      <c r="I96">
        <v>2023</v>
      </c>
      <c r="J96" t="s">
        <v>2177</v>
      </c>
      <c r="K96" t="s">
        <v>2183</v>
      </c>
    </row>
    <row r="97" spans="1:11" x14ac:dyDescent="0.2">
      <c r="A97" t="s">
        <v>2182</v>
      </c>
      <c r="B97" t="s">
        <v>2174</v>
      </c>
      <c r="C97">
        <v>44.09</v>
      </c>
      <c r="D97" t="s">
        <v>20</v>
      </c>
      <c r="E97" s="6">
        <v>45376</v>
      </c>
      <c r="F97" s="6">
        <v>45377</v>
      </c>
      <c r="G97" s="6">
        <v>45377</v>
      </c>
      <c r="H97" s="6">
        <v>45414</v>
      </c>
      <c r="I97">
        <v>2023</v>
      </c>
      <c r="J97" t="s">
        <v>2175</v>
      </c>
      <c r="K97" t="s">
        <v>2183</v>
      </c>
    </row>
    <row r="98" spans="1:11" x14ac:dyDescent="0.2">
      <c r="A98" t="s">
        <v>2182</v>
      </c>
      <c r="B98" t="s">
        <v>2174</v>
      </c>
      <c r="C98">
        <v>35.5</v>
      </c>
      <c r="D98" t="s">
        <v>20</v>
      </c>
      <c r="E98" s="6">
        <v>45575</v>
      </c>
      <c r="F98" s="6">
        <v>45576</v>
      </c>
      <c r="G98" s="6">
        <v>45576</v>
      </c>
      <c r="H98" s="6">
        <v>45611</v>
      </c>
      <c r="I98">
        <v>2024</v>
      </c>
      <c r="J98" t="s">
        <v>2177</v>
      </c>
      <c r="K98" t="s">
        <v>2183</v>
      </c>
    </row>
    <row r="99" spans="1:11" x14ac:dyDescent="0.2">
      <c r="A99" t="s">
        <v>2182</v>
      </c>
      <c r="B99" t="s">
        <v>2174</v>
      </c>
      <c r="C99">
        <v>46.65</v>
      </c>
      <c r="D99" t="s">
        <v>20</v>
      </c>
      <c r="E99" s="6">
        <v>45772</v>
      </c>
      <c r="F99" s="6">
        <v>45772</v>
      </c>
      <c r="G99" s="6">
        <v>45775</v>
      </c>
      <c r="H99" s="6">
        <v>45814</v>
      </c>
      <c r="I99">
        <v>2024</v>
      </c>
      <c r="J99" t="s">
        <v>2175</v>
      </c>
      <c r="K99" t="s">
        <v>2183</v>
      </c>
    </row>
    <row r="100" spans="1:11" x14ac:dyDescent="0.2">
      <c r="A100" t="s">
        <v>2182</v>
      </c>
      <c r="B100" t="s">
        <v>2174</v>
      </c>
      <c r="C100">
        <v>35.5</v>
      </c>
      <c r="D100" t="s">
        <v>20</v>
      </c>
      <c r="E100" s="6">
        <v>45933</v>
      </c>
      <c r="F100" s="6">
        <v>45936</v>
      </c>
      <c r="G100" s="6">
        <v>45936</v>
      </c>
      <c r="H100" s="6">
        <v>45972</v>
      </c>
      <c r="I100">
        <v>2025</v>
      </c>
      <c r="J100" t="s">
        <v>2177</v>
      </c>
      <c r="K100" t="s">
        <v>2183</v>
      </c>
    </row>
    <row r="101" spans="1:11" x14ac:dyDescent="0.2">
      <c r="A101" t="s">
        <v>2184</v>
      </c>
      <c r="B101" t="s">
        <v>2174</v>
      </c>
      <c r="C101">
        <v>1.25</v>
      </c>
      <c r="D101" t="s">
        <v>20</v>
      </c>
      <c r="E101" s="6">
        <v>38874</v>
      </c>
      <c r="F101" s="6">
        <v>38875</v>
      </c>
      <c r="G101" s="6">
        <v>38875</v>
      </c>
      <c r="I101">
        <v>2005</v>
      </c>
      <c r="J101" t="s">
        <v>2175</v>
      </c>
      <c r="K101" t="s">
        <v>2185</v>
      </c>
    </row>
    <row r="102" spans="1:11" x14ac:dyDescent="0.2">
      <c r="A102" t="s">
        <v>2184</v>
      </c>
      <c r="B102" t="s">
        <v>2174</v>
      </c>
      <c r="C102">
        <v>1.33</v>
      </c>
      <c r="D102" t="s">
        <v>20</v>
      </c>
      <c r="E102" s="6">
        <v>39224</v>
      </c>
      <c r="F102" s="6">
        <v>39225</v>
      </c>
      <c r="G102" s="6">
        <v>39225</v>
      </c>
      <c r="I102">
        <v>2006</v>
      </c>
      <c r="J102" t="s">
        <v>2175</v>
      </c>
      <c r="K102" t="s">
        <v>2185</v>
      </c>
    </row>
    <row r="103" spans="1:11" x14ac:dyDescent="0.2">
      <c r="A103" t="s">
        <v>2184</v>
      </c>
      <c r="B103" t="s">
        <v>2174</v>
      </c>
      <c r="C103">
        <v>1.6</v>
      </c>
      <c r="D103" t="s">
        <v>20</v>
      </c>
      <c r="E103" s="6">
        <v>39552</v>
      </c>
      <c r="F103" s="6">
        <v>39553</v>
      </c>
      <c r="G103" s="6">
        <v>39554</v>
      </c>
      <c r="I103">
        <v>2007</v>
      </c>
      <c r="J103" t="s">
        <v>2175</v>
      </c>
      <c r="K103" t="s">
        <v>2185</v>
      </c>
    </row>
    <row r="104" spans="1:11" x14ac:dyDescent="0.2">
      <c r="A104" t="s">
        <v>2184</v>
      </c>
      <c r="B104" t="s">
        <v>2174</v>
      </c>
      <c r="C104">
        <v>1.92</v>
      </c>
      <c r="D104" t="s">
        <v>20</v>
      </c>
      <c r="E104" s="6">
        <v>39931</v>
      </c>
      <c r="F104" s="6">
        <v>39932</v>
      </c>
      <c r="G104" s="6">
        <v>39933</v>
      </c>
      <c r="I104">
        <v>2008</v>
      </c>
      <c r="J104" t="s">
        <v>2175</v>
      </c>
      <c r="K104" t="s">
        <v>2185</v>
      </c>
    </row>
    <row r="105" spans="1:11" x14ac:dyDescent="0.2">
      <c r="A105" t="s">
        <v>2184</v>
      </c>
      <c r="B105" t="s">
        <v>2174</v>
      </c>
      <c r="C105">
        <v>2.2999999999999998</v>
      </c>
      <c r="D105" t="s">
        <v>20</v>
      </c>
      <c r="E105" s="6">
        <v>40295</v>
      </c>
      <c r="F105" s="6">
        <v>40296</v>
      </c>
      <c r="G105" s="6">
        <v>40297</v>
      </c>
      <c r="I105">
        <v>2009</v>
      </c>
      <c r="J105" t="s">
        <v>2175</v>
      </c>
      <c r="K105" t="s">
        <v>2185</v>
      </c>
    </row>
    <row r="106" spans="1:11" x14ac:dyDescent="0.2">
      <c r="A106" t="s">
        <v>2184</v>
      </c>
      <c r="B106" t="s">
        <v>2174</v>
      </c>
      <c r="C106">
        <v>2.76</v>
      </c>
      <c r="D106" t="s">
        <v>20</v>
      </c>
      <c r="E106" s="6">
        <v>40652</v>
      </c>
      <c r="F106" s="6">
        <v>40653</v>
      </c>
      <c r="G106" s="6">
        <v>40654</v>
      </c>
      <c r="I106">
        <v>2010</v>
      </c>
      <c r="J106" t="s">
        <v>2175</v>
      </c>
      <c r="K106" t="s">
        <v>2185</v>
      </c>
    </row>
    <row r="107" spans="1:11" x14ac:dyDescent="0.2">
      <c r="A107" t="s">
        <v>2184</v>
      </c>
      <c r="B107" t="s">
        <v>2174</v>
      </c>
      <c r="C107">
        <v>3.45</v>
      </c>
      <c r="D107" t="s">
        <v>20</v>
      </c>
      <c r="E107" s="6">
        <v>41032</v>
      </c>
      <c r="F107" s="6">
        <v>41033</v>
      </c>
      <c r="G107" s="6">
        <v>41033</v>
      </c>
      <c r="I107">
        <v>2011</v>
      </c>
      <c r="J107" t="s">
        <v>2175</v>
      </c>
      <c r="K107" t="s">
        <v>2185</v>
      </c>
    </row>
    <row r="108" spans="1:11" x14ac:dyDescent="0.2">
      <c r="A108" t="s">
        <v>2184</v>
      </c>
      <c r="B108" t="s">
        <v>2174</v>
      </c>
      <c r="C108">
        <v>4.08</v>
      </c>
      <c r="D108" t="s">
        <v>20</v>
      </c>
      <c r="E108" s="6">
        <v>41172</v>
      </c>
      <c r="F108" s="6">
        <v>41173</v>
      </c>
      <c r="G108" s="6">
        <v>41173</v>
      </c>
      <c r="I108">
        <v>2011</v>
      </c>
      <c r="J108" t="s">
        <v>2181</v>
      </c>
      <c r="K108" t="s">
        <v>2185</v>
      </c>
    </row>
    <row r="109" spans="1:11" x14ac:dyDescent="0.2">
      <c r="A109" t="s">
        <v>2184</v>
      </c>
      <c r="B109" t="s">
        <v>2174</v>
      </c>
      <c r="C109">
        <v>8.0500000000000007</v>
      </c>
      <c r="D109" t="s">
        <v>20</v>
      </c>
      <c r="E109" s="6">
        <v>41397</v>
      </c>
      <c r="F109" s="6">
        <v>41400</v>
      </c>
      <c r="G109" s="6">
        <v>41400</v>
      </c>
      <c r="I109">
        <v>2012</v>
      </c>
      <c r="J109" t="s">
        <v>2175</v>
      </c>
      <c r="K109" t="s">
        <v>2185</v>
      </c>
    </row>
    <row r="110" spans="1:11" x14ac:dyDescent="0.2">
      <c r="A110" t="s">
        <v>2184</v>
      </c>
      <c r="B110" t="s">
        <v>2174</v>
      </c>
      <c r="C110">
        <v>12.85</v>
      </c>
      <c r="D110" t="s">
        <v>20</v>
      </c>
      <c r="E110" s="6">
        <v>41824</v>
      </c>
      <c r="F110" s="6">
        <v>41827</v>
      </c>
      <c r="G110" s="6">
        <v>41828</v>
      </c>
      <c r="I110">
        <v>2013</v>
      </c>
      <c r="J110" t="s">
        <v>2175</v>
      </c>
      <c r="K110" t="s">
        <v>2185</v>
      </c>
    </row>
    <row r="111" spans="1:11" x14ac:dyDescent="0.2">
      <c r="A111" t="s">
        <v>2184</v>
      </c>
      <c r="B111" t="s">
        <v>2174</v>
      </c>
      <c r="C111">
        <v>8.2100000000000009</v>
      </c>
      <c r="D111" t="s">
        <v>20</v>
      </c>
      <c r="E111" s="6">
        <v>42180</v>
      </c>
      <c r="F111" s="6">
        <v>42181</v>
      </c>
      <c r="G111" s="6">
        <v>42184</v>
      </c>
      <c r="I111">
        <v>2014</v>
      </c>
      <c r="J111" t="s">
        <v>2175</v>
      </c>
      <c r="K111" t="s">
        <v>2185</v>
      </c>
    </row>
    <row r="112" spans="1:11" x14ac:dyDescent="0.2">
      <c r="A112" t="s">
        <v>2184</v>
      </c>
      <c r="B112" t="s">
        <v>2174</v>
      </c>
      <c r="C112">
        <v>11.75</v>
      </c>
      <c r="D112" t="s">
        <v>20</v>
      </c>
      <c r="E112" s="6">
        <v>42544</v>
      </c>
      <c r="F112" s="6">
        <v>42545</v>
      </c>
      <c r="G112" s="6">
        <v>42548</v>
      </c>
      <c r="I112">
        <v>2015</v>
      </c>
      <c r="J112" t="s">
        <v>2175</v>
      </c>
      <c r="K112" t="s">
        <v>2185</v>
      </c>
    </row>
    <row r="113" spans="1:11" x14ac:dyDescent="0.2">
      <c r="A113" t="s">
        <v>2184</v>
      </c>
      <c r="B113" t="s">
        <v>2174</v>
      </c>
      <c r="C113">
        <v>5.98</v>
      </c>
      <c r="D113" t="s">
        <v>20</v>
      </c>
      <c r="E113" s="6">
        <v>42915</v>
      </c>
      <c r="F113" s="6">
        <v>42916</v>
      </c>
      <c r="G113" s="6">
        <v>42919</v>
      </c>
      <c r="I113">
        <v>2016</v>
      </c>
      <c r="J113" t="s">
        <v>2175</v>
      </c>
      <c r="K113" t="s">
        <v>2185</v>
      </c>
    </row>
    <row r="114" spans="1:11" x14ac:dyDescent="0.2">
      <c r="A114" t="s">
        <v>2184</v>
      </c>
      <c r="B114" t="s">
        <v>2174</v>
      </c>
      <c r="C114">
        <v>3.83</v>
      </c>
      <c r="D114" t="s">
        <v>20</v>
      </c>
      <c r="E114" s="6">
        <v>43014</v>
      </c>
      <c r="F114" s="6">
        <v>43017</v>
      </c>
      <c r="G114" s="6">
        <v>43018</v>
      </c>
      <c r="I114">
        <v>2017</v>
      </c>
      <c r="J114" t="s">
        <v>2177</v>
      </c>
      <c r="K114" t="s">
        <v>2185</v>
      </c>
    </row>
    <row r="115" spans="1:11" x14ac:dyDescent="0.2">
      <c r="A115" t="s">
        <v>2184</v>
      </c>
      <c r="B115" t="s">
        <v>2174</v>
      </c>
      <c r="C115">
        <v>6.65</v>
      </c>
      <c r="D115" t="s">
        <v>20</v>
      </c>
      <c r="E115" s="6">
        <v>43279</v>
      </c>
      <c r="F115" s="6">
        <v>43280</v>
      </c>
      <c r="G115" s="6">
        <v>43283</v>
      </c>
      <c r="I115">
        <v>2017</v>
      </c>
      <c r="J115" t="s">
        <v>2175</v>
      </c>
      <c r="K115" t="s">
        <v>2185</v>
      </c>
    </row>
    <row r="116" spans="1:11" x14ac:dyDescent="0.2">
      <c r="A116" t="s">
        <v>2184</v>
      </c>
      <c r="B116" t="s">
        <v>2174</v>
      </c>
      <c r="C116">
        <v>14.58</v>
      </c>
      <c r="D116" t="s">
        <v>20</v>
      </c>
      <c r="E116" s="6">
        <v>43378</v>
      </c>
      <c r="F116" s="6">
        <v>43381</v>
      </c>
      <c r="G116" s="6">
        <v>43382</v>
      </c>
      <c r="I116">
        <v>2018</v>
      </c>
      <c r="J116" t="s">
        <v>2177</v>
      </c>
      <c r="K116" t="s">
        <v>2185</v>
      </c>
    </row>
    <row r="117" spans="1:11" x14ac:dyDescent="0.2">
      <c r="A117" t="s">
        <v>2184</v>
      </c>
      <c r="B117" t="s">
        <v>2174</v>
      </c>
      <c r="C117">
        <v>11.33</v>
      </c>
      <c r="D117" t="s">
        <v>20</v>
      </c>
      <c r="E117" s="6">
        <v>43629</v>
      </c>
      <c r="F117" s="6">
        <v>43630</v>
      </c>
      <c r="G117" s="6">
        <v>43633</v>
      </c>
      <c r="I117">
        <v>2018</v>
      </c>
      <c r="J117" t="s">
        <v>2175</v>
      </c>
      <c r="K117" t="s">
        <v>2185</v>
      </c>
    </row>
    <row r="118" spans="1:11" x14ac:dyDescent="0.2">
      <c r="A118" t="s">
        <v>2184</v>
      </c>
      <c r="B118" t="s">
        <v>2174</v>
      </c>
      <c r="C118">
        <v>15.34</v>
      </c>
      <c r="D118" t="s">
        <v>20</v>
      </c>
      <c r="E118" s="6">
        <v>43747</v>
      </c>
      <c r="F118" s="6">
        <v>43748</v>
      </c>
      <c r="G118" s="6">
        <v>43749</v>
      </c>
      <c r="I118">
        <v>2019</v>
      </c>
      <c r="J118" t="s">
        <v>2177</v>
      </c>
      <c r="K118" t="s">
        <v>2185</v>
      </c>
    </row>
    <row r="119" spans="1:11" x14ac:dyDescent="0.2">
      <c r="A119" t="s">
        <v>2184</v>
      </c>
      <c r="B119" t="s">
        <v>2174</v>
      </c>
      <c r="C119">
        <v>18.07</v>
      </c>
      <c r="D119" t="s">
        <v>20</v>
      </c>
      <c r="E119" s="6">
        <v>43992</v>
      </c>
      <c r="F119" s="6">
        <v>43993</v>
      </c>
      <c r="G119" s="6">
        <v>43997</v>
      </c>
      <c r="I119">
        <v>2019</v>
      </c>
      <c r="J119" t="s">
        <v>2175</v>
      </c>
      <c r="K119" t="s">
        <v>2185</v>
      </c>
    </row>
    <row r="120" spans="1:11" x14ac:dyDescent="0.2">
      <c r="A120" t="s">
        <v>2184</v>
      </c>
      <c r="B120" t="s">
        <v>2174</v>
      </c>
      <c r="C120">
        <v>6.94</v>
      </c>
      <c r="D120" t="s">
        <v>20</v>
      </c>
      <c r="E120" s="6">
        <v>44358</v>
      </c>
      <c r="F120" s="6">
        <v>44361</v>
      </c>
      <c r="G120" s="6">
        <v>44362</v>
      </c>
      <c r="I120">
        <v>2020</v>
      </c>
      <c r="J120" t="s">
        <v>2175</v>
      </c>
      <c r="K120" t="s">
        <v>2185</v>
      </c>
    </row>
    <row r="121" spans="1:11" x14ac:dyDescent="0.2">
      <c r="A121" t="s">
        <v>2184</v>
      </c>
      <c r="B121" t="s">
        <v>2174</v>
      </c>
      <c r="C121">
        <v>18.03</v>
      </c>
      <c r="D121" t="s">
        <v>20</v>
      </c>
      <c r="E121" s="6">
        <v>44476</v>
      </c>
      <c r="F121" s="6">
        <v>44477</v>
      </c>
      <c r="G121" s="6">
        <v>44480</v>
      </c>
      <c r="H121" s="6">
        <v>44517</v>
      </c>
      <c r="I121">
        <v>2021</v>
      </c>
      <c r="J121" t="s">
        <v>2177</v>
      </c>
      <c r="K121" t="s">
        <v>2185</v>
      </c>
    </row>
    <row r="122" spans="1:11" x14ac:dyDescent="0.2">
      <c r="A122" t="s">
        <v>2184</v>
      </c>
      <c r="B122" t="s">
        <v>2174</v>
      </c>
      <c r="C122">
        <v>23.63</v>
      </c>
      <c r="D122" t="s">
        <v>20</v>
      </c>
      <c r="E122" s="6">
        <v>44749</v>
      </c>
      <c r="F122" s="6">
        <v>44750</v>
      </c>
      <c r="G122" s="6">
        <v>44753</v>
      </c>
      <c r="H122" s="6">
        <v>44788</v>
      </c>
      <c r="I122">
        <v>2021</v>
      </c>
      <c r="J122" t="s">
        <v>2175</v>
      </c>
      <c r="K122" t="s">
        <v>2185</v>
      </c>
    </row>
    <row r="123" spans="1:11" x14ac:dyDescent="0.2">
      <c r="A123" t="s">
        <v>2184</v>
      </c>
      <c r="B123" t="s">
        <v>2174</v>
      </c>
      <c r="C123">
        <v>20.39</v>
      </c>
      <c r="D123" t="s">
        <v>20</v>
      </c>
      <c r="E123" s="6">
        <v>44936</v>
      </c>
      <c r="F123" s="6">
        <v>44937</v>
      </c>
      <c r="G123" s="6">
        <v>44938</v>
      </c>
      <c r="H123" s="6">
        <v>44973</v>
      </c>
      <c r="I123">
        <v>2022</v>
      </c>
      <c r="J123" t="s">
        <v>2180</v>
      </c>
      <c r="K123" t="s">
        <v>2185</v>
      </c>
    </row>
    <row r="124" spans="1:11" x14ac:dyDescent="0.2">
      <c r="A124" t="s">
        <v>2184</v>
      </c>
      <c r="B124" t="s">
        <v>2174</v>
      </c>
      <c r="C124">
        <v>17.97</v>
      </c>
      <c r="D124" t="s">
        <v>20</v>
      </c>
      <c r="E124" s="6">
        <v>45114</v>
      </c>
      <c r="F124" s="6">
        <v>45117</v>
      </c>
      <c r="G124" s="6">
        <v>45118</v>
      </c>
      <c r="H124" s="6">
        <v>45153</v>
      </c>
      <c r="I124">
        <v>2022</v>
      </c>
      <c r="J124" t="s">
        <v>2175</v>
      </c>
      <c r="K124" t="s">
        <v>2185</v>
      </c>
    </row>
    <row r="125" spans="1:11" x14ac:dyDescent="0.2">
      <c r="A125" t="s">
        <v>2184</v>
      </c>
      <c r="B125" t="s">
        <v>2174</v>
      </c>
      <c r="C125">
        <v>30.77</v>
      </c>
      <c r="D125" t="s">
        <v>20</v>
      </c>
      <c r="E125" s="6">
        <v>45301</v>
      </c>
      <c r="F125" s="6">
        <v>45302</v>
      </c>
      <c r="G125" s="6">
        <v>45302</v>
      </c>
      <c r="H125" s="6">
        <v>45337</v>
      </c>
      <c r="I125">
        <v>2023</v>
      </c>
      <c r="J125" t="s">
        <v>2177</v>
      </c>
      <c r="K125" t="s">
        <v>2185</v>
      </c>
    </row>
    <row r="126" spans="1:11" x14ac:dyDescent="0.2">
      <c r="A126" t="s">
        <v>2184</v>
      </c>
      <c r="B126" t="s">
        <v>2174</v>
      </c>
      <c r="C126">
        <v>29.01</v>
      </c>
      <c r="D126" t="s">
        <v>20</v>
      </c>
      <c r="E126" s="6">
        <v>45481</v>
      </c>
      <c r="F126" s="6">
        <v>45482</v>
      </c>
      <c r="G126" s="6">
        <v>45482</v>
      </c>
      <c r="H126" s="6">
        <v>45517</v>
      </c>
      <c r="I126">
        <v>2023</v>
      </c>
      <c r="J126" t="s">
        <v>2175</v>
      </c>
      <c r="K126" t="s">
        <v>2185</v>
      </c>
    </row>
    <row r="127" spans="1:11" x14ac:dyDescent="0.2">
      <c r="A127" t="s">
        <v>2184</v>
      </c>
      <c r="B127" t="s">
        <v>2174</v>
      </c>
      <c r="C127">
        <v>36.47</v>
      </c>
      <c r="D127" t="s">
        <v>20</v>
      </c>
      <c r="E127" s="6">
        <v>45666</v>
      </c>
      <c r="F127" s="6">
        <v>45667</v>
      </c>
      <c r="G127" s="6">
        <v>45667</v>
      </c>
      <c r="H127" s="6">
        <v>45702</v>
      </c>
      <c r="I127">
        <v>2024</v>
      </c>
      <c r="J127" t="s">
        <v>2180</v>
      </c>
      <c r="K127" t="s">
        <v>2185</v>
      </c>
    </row>
    <row r="128" spans="1:11" x14ac:dyDescent="0.2">
      <c r="A128" t="s">
        <v>2184</v>
      </c>
      <c r="B128" t="s">
        <v>2174</v>
      </c>
      <c r="C128">
        <v>14.68</v>
      </c>
      <c r="D128" t="s">
        <v>20</v>
      </c>
      <c r="E128" s="6">
        <v>45855</v>
      </c>
      <c r="F128" s="6">
        <v>45856</v>
      </c>
      <c r="G128" s="6">
        <v>45858</v>
      </c>
      <c r="H128" s="6">
        <v>45891</v>
      </c>
      <c r="I128">
        <v>2024</v>
      </c>
      <c r="J128" t="s">
        <v>2175</v>
      </c>
      <c r="K128" t="s">
        <v>2185</v>
      </c>
    </row>
    <row r="129" spans="1:11" x14ac:dyDescent="0.2">
      <c r="A129" t="s">
        <v>2184</v>
      </c>
      <c r="B129" t="s">
        <v>2174</v>
      </c>
      <c r="C129">
        <v>11.56</v>
      </c>
      <c r="D129" t="s">
        <v>20</v>
      </c>
      <c r="E129" s="6">
        <v>46021</v>
      </c>
      <c r="F129" s="6">
        <v>46034</v>
      </c>
      <c r="G129" s="6">
        <v>46034</v>
      </c>
      <c r="H129" s="6">
        <v>46069</v>
      </c>
      <c r="I129">
        <v>2025</v>
      </c>
      <c r="J129" t="s">
        <v>2180</v>
      </c>
      <c r="K129" t="s">
        <v>2185</v>
      </c>
    </row>
    <row r="130" spans="1:11" x14ac:dyDescent="0.2">
      <c r="A130" t="s">
        <v>2186</v>
      </c>
      <c r="B130" t="s">
        <v>2174</v>
      </c>
      <c r="C130">
        <v>4.1000000000000002E-2</v>
      </c>
      <c r="D130" t="s">
        <v>20</v>
      </c>
      <c r="E130" s="6">
        <v>36965</v>
      </c>
      <c r="F130" s="6">
        <v>36966</v>
      </c>
      <c r="G130" s="6">
        <v>36966</v>
      </c>
      <c r="I130">
        <v>2000</v>
      </c>
      <c r="J130" t="s">
        <v>2175</v>
      </c>
      <c r="K130" t="s">
        <v>2187</v>
      </c>
    </row>
    <row r="131" spans="1:11" x14ac:dyDescent="0.2">
      <c r="A131" t="s">
        <v>2186</v>
      </c>
      <c r="B131" t="s">
        <v>2174</v>
      </c>
      <c r="C131">
        <v>3.3000000000000002E-2</v>
      </c>
      <c r="D131" t="s">
        <v>20</v>
      </c>
      <c r="E131" s="6">
        <v>37298</v>
      </c>
      <c r="F131" s="6">
        <v>37299</v>
      </c>
      <c r="G131" s="6">
        <v>37299</v>
      </c>
      <c r="I131">
        <v>2001</v>
      </c>
      <c r="J131" t="s">
        <v>2175</v>
      </c>
      <c r="K131" t="s">
        <v>2187</v>
      </c>
    </row>
    <row r="132" spans="1:11" x14ac:dyDescent="0.2">
      <c r="A132" t="s">
        <v>2186</v>
      </c>
      <c r="B132" t="s">
        <v>2174</v>
      </c>
      <c r="C132">
        <v>3.2000000000000001E-2</v>
      </c>
      <c r="D132" t="s">
        <v>20</v>
      </c>
      <c r="E132" s="6">
        <v>37651</v>
      </c>
      <c r="F132" s="6">
        <v>37652</v>
      </c>
      <c r="G132" s="6">
        <v>37652</v>
      </c>
      <c r="I132">
        <v>2002</v>
      </c>
      <c r="J132" t="s">
        <v>2175</v>
      </c>
      <c r="K132" t="s">
        <v>2187</v>
      </c>
    </row>
    <row r="133" spans="1:11" x14ac:dyDescent="0.2">
      <c r="A133" t="s">
        <v>2186</v>
      </c>
      <c r="B133" t="s">
        <v>2174</v>
      </c>
      <c r="C133">
        <v>0.14000000000000001</v>
      </c>
      <c r="D133" t="s">
        <v>20</v>
      </c>
      <c r="E133" s="6">
        <v>38016</v>
      </c>
      <c r="F133" s="6">
        <v>38017</v>
      </c>
      <c r="G133" s="6">
        <v>38019</v>
      </c>
      <c r="I133">
        <v>2003</v>
      </c>
      <c r="J133" t="s">
        <v>2175</v>
      </c>
      <c r="K133" t="s">
        <v>2187</v>
      </c>
    </row>
    <row r="134" spans="1:11" x14ac:dyDescent="0.2">
      <c r="A134" t="s">
        <v>2186</v>
      </c>
      <c r="B134" t="s">
        <v>2174</v>
      </c>
      <c r="C134">
        <v>0.4</v>
      </c>
      <c r="D134" t="s">
        <v>20</v>
      </c>
      <c r="E134" s="6">
        <v>38435</v>
      </c>
      <c r="F134" s="6">
        <v>38436</v>
      </c>
      <c r="G134" s="6">
        <v>38436</v>
      </c>
      <c r="I134">
        <v>2004</v>
      </c>
      <c r="J134" t="s">
        <v>2175</v>
      </c>
      <c r="K134" t="s">
        <v>2187</v>
      </c>
    </row>
    <row r="135" spans="1:11" x14ac:dyDescent="0.2">
      <c r="A135" t="s">
        <v>2186</v>
      </c>
      <c r="B135" t="s">
        <v>2174</v>
      </c>
      <c r="C135">
        <v>0.8</v>
      </c>
      <c r="D135" t="s">
        <v>20</v>
      </c>
      <c r="E135" s="6">
        <v>38793</v>
      </c>
      <c r="F135" s="6">
        <v>38794</v>
      </c>
      <c r="G135" s="6">
        <v>38796</v>
      </c>
      <c r="I135">
        <v>2005</v>
      </c>
      <c r="J135" t="s">
        <v>2175</v>
      </c>
      <c r="K135" t="s">
        <v>2187</v>
      </c>
    </row>
    <row r="136" spans="1:11" x14ac:dyDescent="0.2">
      <c r="A136" t="s">
        <v>2186</v>
      </c>
      <c r="B136" t="s">
        <v>2174</v>
      </c>
      <c r="C136">
        <v>0.53</v>
      </c>
      <c r="D136" t="s">
        <v>20</v>
      </c>
      <c r="E136" s="6">
        <v>39157</v>
      </c>
      <c r="F136" s="6">
        <v>39158</v>
      </c>
      <c r="G136" s="6">
        <v>39158</v>
      </c>
      <c r="I136">
        <v>2006</v>
      </c>
      <c r="J136" t="s">
        <v>2175</v>
      </c>
      <c r="K136" t="s">
        <v>2187</v>
      </c>
    </row>
    <row r="137" spans="1:11" x14ac:dyDescent="0.2">
      <c r="A137" t="s">
        <v>2186</v>
      </c>
      <c r="B137" t="s">
        <v>2174</v>
      </c>
      <c r="C137">
        <v>0.6</v>
      </c>
      <c r="D137" t="s">
        <v>20</v>
      </c>
      <c r="E137" s="6">
        <v>39520</v>
      </c>
      <c r="F137" s="6">
        <v>39521</v>
      </c>
      <c r="G137" s="6">
        <v>39521</v>
      </c>
      <c r="I137">
        <v>2007</v>
      </c>
      <c r="J137" t="s">
        <v>2175</v>
      </c>
      <c r="K137" t="s">
        <v>2187</v>
      </c>
    </row>
    <row r="138" spans="1:11" x14ac:dyDescent="0.2">
      <c r="A138" t="s">
        <v>2186</v>
      </c>
      <c r="B138" t="s">
        <v>2174</v>
      </c>
      <c r="C138">
        <v>0.6</v>
      </c>
      <c r="D138" t="s">
        <v>20</v>
      </c>
      <c r="E138" s="6">
        <v>39947</v>
      </c>
      <c r="F138" s="6">
        <v>39948</v>
      </c>
      <c r="G138" s="6">
        <v>39948</v>
      </c>
      <c r="I138">
        <v>2008</v>
      </c>
      <c r="J138" t="s">
        <v>2175</v>
      </c>
      <c r="K138" t="s">
        <v>2187</v>
      </c>
    </row>
    <row r="139" spans="1:11" x14ac:dyDescent="0.2">
      <c r="A139" t="s">
        <v>2186</v>
      </c>
      <c r="B139" t="s">
        <v>2174</v>
      </c>
      <c r="C139">
        <v>0.45</v>
      </c>
      <c r="D139" t="s">
        <v>20</v>
      </c>
      <c r="E139" s="6">
        <v>40311</v>
      </c>
      <c r="F139" s="6">
        <v>40312</v>
      </c>
      <c r="G139" s="6">
        <v>40312</v>
      </c>
      <c r="I139">
        <v>2009</v>
      </c>
      <c r="J139" t="s">
        <v>2175</v>
      </c>
      <c r="K139" t="s">
        <v>2187</v>
      </c>
    </row>
    <row r="140" spans="1:11" x14ac:dyDescent="0.2">
      <c r="A140" t="s">
        <v>2186</v>
      </c>
      <c r="B140" t="s">
        <v>2174</v>
      </c>
      <c r="C140">
        <v>0.5</v>
      </c>
      <c r="D140" t="s">
        <v>20</v>
      </c>
      <c r="E140" s="6">
        <v>40675</v>
      </c>
      <c r="F140" s="6">
        <v>40676</v>
      </c>
      <c r="G140" s="6">
        <v>40676</v>
      </c>
      <c r="I140">
        <v>2010</v>
      </c>
      <c r="J140" t="s">
        <v>2175</v>
      </c>
      <c r="K140" t="s">
        <v>2187</v>
      </c>
    </row>
    <row r="141" spans="1:11" x14ac:dyDescent="0.2">
      <c r="A141" t="s">
        <v>2186</v>
      </c>
      <c r="B141" t="s">
        <v>2174</v>
      </c>
      <c r="C141">
        <v>0.6</v>
      </c>
      <c r="D141" t="s">
        <v>20</v>
      </c>
      <c r="E141" s="6">
        <v>41041</v>
      </c>
      <c r="F141" s="6">
        <v>41043</v>
      </c>
      <c r="G141" s="6">
        <v>41043</v>
      </c>
      <c r="I141">
        <v>2011</v>
      </c>
      <c r="J141" t="s">
        <v>2175</v>
      </c>
      <c r="K141" t="s">
        <v>2187</v>
      </c>
    </row>
    <row r="142" spans="1:11" x14ac:dyDescent="0.2">
      <c r="A142" t="s">
        <v>2186</v>
      </c>
      <c r="B142" t="s">
        <v>2174</v>
      </c>
      <c r="C142">
        <v>0.5</v>
      </c>
      <c r="D142" t="s">
        <v>20</v>
      </c>
      <c r="E142" s="6">
        <v>41407</v>
      </c>
      <c r="F142" s="6">
        <v>41408</v>
      </c>
      <c r="G142" s="6">
        <v>41408</v>
      </c>
      <c r="I142">
        <v>2012</v>
      </c>
      <c r="J142" t="s">
        <v>2175</v>
      </c>
      <c r="K142" t="s">
        <v>2187</v>
      </c>
    </row>
    <row r="143" spans="1:11" x14ac:dyDescent="0.2">
      <c r="A143" t="s">
        <v>2186</v>
      </c>
      <c r="B143" t="s">
        <v>2174</v>
      </c>
      <c r="C143">
        <v>0.6</v>
      </c>
      <c r="D143" t="s">
        <v>20</v>
      </c>
      <c r="E143" s="6">
        <v>41834</v>
      </c>
      <c r="F143" s="6">
        <v>41835</v>
      </c>
      <c r="G143" s="6">
        <v>41836</v>
      </c>
      <c r="I143">
        <v>2013</v>
      </c>
      <c r="J143" t="s">
        <v>2175</v>
      </c>
      <c r="K143" t="s">
        <v>2187</v>
      </c>
    </row>
    <row r="144" spans="1:11" x14ac:dyDescent="0.2">
      <c r="A144" t="s">
        <v>2186</v>
      </c>
      <c r="B144" t="s">
        <v>2174</v>
      </c>
      <c r="C144">
        <v>0.65</v>
      </c>
      <c r="D144" t="s">
        <v>20</v>
      </c>
      <c r="E144" s="6">
        <v>42199</v>
      </c>
      <c r="F144" s="6">
        <v>42200</v>
      </c>
      <c r="G144" s="6">
        <v>42201</v>
      </c>
      <c r="I144">
        <v>2014</v>
      </c>
      <c r="J144" t="s">
        <v>2175</v>
      </c>
      <c r="K144" t="s">
        <v>2187</v>
      </c>
    </row>
    <row r="145" spans="1:11" x14ac:dyDescent="0.2">
      <c r="A145" t="s">
        <v>2186</v>
      </c>
      <c r="B145" t="s">
        <v>2174</v>
      </c>
      <c r="C145">
        <v>0.6</v>
      </c>
      <c r="D145" t="s">
        <v>20</v>
      </c>
      <c r="E145" s="6">
        <v>42565</v>
      </c>
      <c r="F145" s="6">
        <v>42566</v>
      </c>
      <c r="G145" s="6">
        <v>42569</v>
      </c>
      <c r="I145">
        <v>2015</v>
      </c>
      <c r="J145" t="s">
        <v>2175</v>
      </c>
      <c r="K145" t="s">
        <v>2187</v>
      </c>
    </row>
    <row r="146" spans="1:11" x14ac:dyDescent="0.2">
      <c r="A146" t="s">
        <v>2186</v>
      </c>
      <c r="B146" t="s">
        <v>2174</v>
      </c>
      <c r="C146">
        <v>0.6</v>
      </c>
      <c r="D146" t="s">
        <v>20</v>
      </c>
      <c r="E146" s="6">
        <v>42933</v>
      </c>
      <c r="F146" s="6">
        <v>42934</v>
      </c>
      <c r="G146" s="6">
        <v>42935</v>
      </c>
      <c r="I146">
        <v>2016</v>
      </c>
      <c r="J146" t="s">
        <v>2175</v>
      </c>
      <c r="K146" t="s">
        <v>2187</v>
      </c>
    </row>
    <row r="147" spans="1:11" x14ac:dyDescent="0.2">
      <c r="A147" t="s">
        <v>2186</v>
      </c>
      <c r="B147" t="s">
        <v>2174</v>
      </c>
      <c r="C147">
        <v>0.65</v>
      </c>
      <c r="D147" t="s">
        <v>20</v>
      </c>
      <c r="E147" s="6">
        <v>43298</v>
      </c>
      <c r="F147" s="6">
        <v>43299</v>
      </c>
      <c r="G147" s="6">
        <v>43300</v>
      </c>
      <c r="I147">
        <v>2017</v>
      </c>
      <c r="J147" t="s">
        <v>2175</v>
      </c>
      <c r="K147" t="s">
        <v>2187</v>
      </c>
    </row>
    <row r="148" spans="1:11" x14ac:dyDescent="0.2">
      <c r="A148" t="s">
        <v>2186</v>
      </c>
      <c r="B148" t="s">
        <v>2174</v>
      </c>
      <c r="C148">
        <v>0.65</v>
      </c>
      <c r="D148" t="s">
        <v>20</v>
      </c>
      <c r="E148" s="6">
        <v>43662</v>
      </c>
      <c r="F148" s="6">
        <v>43663</v>
      </c>
      <c r="G148" s="6">
        <v>43664</v>
      </c>
      <c r="I148">
        <v>2018</v>
      </c>
      <c r="J148" t="s">
        <v>2175</v>
      </c>
      <c r="K148" t="s">
        <v>2187</v>
      </c>
    </row>
    <row r="149" spans="1:11" x14ac:dyDescent="0.2">
      <c r="A149" t="s">
        <v>2186</v>
      </c>
      <c r="B149" t="s">
        <v>2174</v>
      </c>
      <c r="C149">
        <v>0.65</v>
      </c>
      <c r="D149" t="s">
        <v>20</v>
      </c>
      <c r="E149" s="6">
        <v>44028</v>
      </c>
      <c r="F149" s="6">
        <v>44029</v>
      </c>
      <c r="G149" s="6">
        <v>44032</v>
      </c>
      <c r="I149">
        <v>2019</v>
      </c>
      <c r="J149" t="s">
        <v>2175</v>
      </c>
      <c r="K149" t="s">
        <v>2187</v>
      </c>
    </row>
    <row r="150" spans="1:11" x14ac:dyDescent="0.2">
      <c r="A150" t="s">
        <v>2186</v>
      </c>
      <c r="B150" t="s">
        <v>2174</v>
      </c>
      <c r="C150">
        <v>0.7</v>
      </c>
      <c r="D150" t="s">
        <v>20</v>
      </c>
      <c r="E150" s="6">
        <v>44393</v>
      </c>
      <c r="F150" s="6">
        <v>44396</v>
      </c>
      <c r="G150" s="6">
        <v>44397</v>
      </c>
      <c r="I150">
        <v>2020</v>
      </c>
      <c r="J150" t="s">
        <v>2175</v>
      </c>
      <c r="K150" t="s">
        <v>2187</v>
      </c>
    </row>
    <row r="151" spans="1:11" x14ac:dyDescent="0.2">
      <c r="A151" t="s">
        <v>2186</v>
      </c>
      <c r="B151" t="s">
        <v>2174</v>
      </c>
      <c r="C151">
        <v>0.8</v>
      </c>
      <c r="D151" t="s">
        <v>20</v>
      </c>
      <c r="E151" s="6">
        <v>44760</v>
      </c>
      <c r="F151" s="6">
        <v>44761</v>
      </c>
      <c r="G151" s="6">
        <v>44762</v>
      </c>
      <c r="H151" s="6">
        <v>44797</v>
      </c>
      <c r="I151">
        <v>2021</v>
      </c>
      <c r="J151" t="s">
        <v>2175</v>
      </c>
      <c r="K151" t="s">
        <v>2187</v>
      </c>
    </row>
    <row r="152" spans="1:11" x14ac:dyDescent="0.2">
      <c r="A152" t="s">
        <v>2186</v>
      </c>
      <c r="B152" t="s">
        <v>2174</v>
      </c>
      <c r="C152">
        <v>0.8</v>
      </c>
      <c r="D152" t="s">
        <v>20</v>
      </c>
      <c r="E152" s="6">
        <v>45125</v>
      </c>
      <c r="F152" s="6">
        <v>45126</v>
      </c>
      <c r="G152" s="6">
        <v>45127</v>
      </c>
      <c r="H152" s="6">
        <v>45162</v>
      </c>
      <c r="I152">
        <v>2022</v>
      </c>
      <c r="J152" t="s">
        <v>2175</v>
      </c>
      <c r="K152" t="s">
        <v>2187</v>
      </c>
    </row>
    <row r="153" spans="1:11" x14ac:dyDescent="0.2">
      <c r="A153" t="s">
        <v>2186</v>
      </c>
      <c r="B153" t="s">
        <v>2174</v>
      </c>
      <c r="C153">
        <v>0.85</v>
      </c>
      <c r="D153" t="s">
        <v>20</v>
      </c>
      <c r="E153" s="6">
        <v>45490</v>
      </c>
      <c r="F153" s="6">
        <v>45491</v>
      </c>
      <c r="G153" s="6">
        <v>45491</v>
      </c>
      <c r="H153" s="6">
        <v>45526</v>
      </c>
      <c r="I153">
        <v>2023</v>
      </c>
      <c r="J153" t="s">
        <v>2175</v>
      </c>
      <c r="K153" t="s">
        <v>2187</v>
      </c>
    </row>
    <row r="154" spans="1:11" x14ac:dyDescent="0.2">
      <c r="A154" t="s">
        <v>2186</v>
      </c>
      <c r="B154" t="s">
        <v>2174</v>
      </c>
      <c r="C154">
        <v>0.9</v>
      </c>
      <c r="D154" t="s">
        <v>20</v>
      </c>
      <c r="E154" s="6">
        <v>45854</v>
      </c>
      <c r="F154" s="6">
        <v>45855</v>
      </c>
      <c r="G154" s="6">
        <v>45855</v>
      </c>
      <c r="H154" s="6">
        <v>45890</v>
      </c>
      <c r="I154">
        <v>2024</v>
      </c>
      <c r="J154" t="s">
        <v>2175</v>
      </c>
      <c r="K154" t="s">
        <v>2187</v>
      </c>
    </row>
    <row r="155" spans="1:11" x14ac:dyDescent="0.2">
      <c r="A155" t="s">
        <v>2188</v>
      </c>
      <c r="B155" t="s">
        <v>2174</v>
      </c>
      <c r="C155">
        <v>0.1</v>
      </c>
      <c r="D155" t="s">
        <v>20</v>
      </c>
      <c r="E155" s="6">
        <v>37384</v>
      </c>
      <c r="F155" s="6">
        <v>37385</v>
      </c>
      <c r="G155" s="6">
        <v>37385</v>
      </c>
      <c r="I155">
        <v>2001</v>
      </c>
      <c r="J155" t="s">
        <v>2175</v>
      </c>
      <c r="K155" t="s">
        <v>2189</v>
      </c>
    </row>
    <row r="156" spans="1:11" x14ac:dyDescent="0.2">
      <c r="A156" t="s">
        <v>2188</v>
      </c>
      <c r="B156" t="s">
        <v>2174</v>
      </c>
      <c r="C156">
        <v>0.1</v>
      </c>
      <c r="D156" t="s">
        <v>20</v>
      </c>
      <c r="E156" s="6">
        <v>37749</v>
      </c>
      <c r="F156" s="6">
        <v>37750</v>
      </c>
      <c r="G156" s="6">
        <v>37753</v>
      </c>
      <c r="I156">
        <v>2002</v>
      </c>
      <c r="J156" t="s">
        <v>2175</v>
      </c>
      <c r="K156" t="s">
        <v>2189</v>
      </c>
    </row>
    <row r="157" spans="1:11" x14ac:dyDescent="0.2">
      <c r="A157" t="s">
        <v>2188</v>
      </c>
      <c r="B157" t="s">
        <v>2174</v>
      </c>
      <c r="C157">
        <v>0.3</v>
      </c>
      <c r="D157" t="s">
        <v>20</v>
      </c>
      <c r="E157" s="6">
        <v>38113</v>
      </c>
      <c r="F157" s="6">
        <v>38114</v>
      </c>
      <c r="G157" s="6">
        <v>38114</v>
      </c>
      <c r="I157">
        <v>2003</v>
      </c>
      <c r="J157" t="s">
        <v>2175</v>
      </c>
      <c r="K157" t="s">
        <v>2189</v>
      </c>
    </row>
    <row r="158" spans="1:11" x14ac:dyDescent="0.2">
      <c r="A158" t="s">
        <v>2188</v>
      </c>
      <c r="B158" t="s">
        <v>2174</v>
      </c>
      <c r="C158">
        <v>0.67</v>
      </c>
      <c r="D158" t="s">
        <v>20</v>
      </c>
      <c r="E158" s="6">
        <v>38260</v>
      </c>
      <c r="F158" s="6">
        <v>38261</v>
      </c>
      <c r="G158" s="6">
        <v>38261</v>
      </c>
      <c r="I158">
        <v>2004</v>
      </c>
      <c r="J158" t="s">
        <v>2180</v>
      </c>
      <c r="K158" t="s">
        <v>2189</v>
      </c>
    </row>
    <row r="159" spans="1:11" x14ac:dyDescent="0.2">
      <c r="A159" t="s">
        <v>2188</v>
      </c>
      <c r="B159" t="s">
        <v>2174</v>
      </c>
      <c r="C159">
        <v>0.9</v>
      </c>
      <c r="D159" t="s">
        <v>20</v>
      </c>
      <c r="E159" s="6">
        <v>38483</v>
      </c>
      <c r="F159" s="6">
        <v>38484</v>
      </c>
      <c r="G159" s="6">
        <v>38484</v>
      </c>
      <c r="I159">
        <v>2004</v>
      </c>
      <c r="J159" t="s">
        <v>2175</v>
      </c>
      <c r="K159" t="s">
        <v>2189</v>
      </c>
    </row>
    <row r="160" spans="1:11" x14ac:dyDescent="0.2">
      <c r="A160" t="s">
        <v>2188</v>
      </c>
      <c r="B160" t="s">
        <v>2174</v>
      </c>
      <c r="C160">
        <v>1</v>
      </c>
      <c r="D160" t="s">
        <v>20</v>
      </c>
      <c r="E160" s="6">
        <v>38849</v>
      </c>
      <c r="F160" s="6">
        <v>38850</v>
      </c>
      <c r="G160" s="6">
        <v>38852</v>
      </c>
      <c r="I160">
        <v>2005</v>
      </c>
      <c r="J160" t="s">
        <v>2175</v>
      </c>
      <c r="K160" t="s">
        <v>2189</v>
      </c>
    </row>
    <row r="161" spans="1:11" x14ac:dyDescent="0.2">
      <c r="A161" t="s">
        <v>2188</v>
      </c>
      <c r="B161" t="s">
        <v>2174</v>
      </c>
      <c r="C161">
        <v>4.5999999999999996</v>
      </c>
      <c r="D161" t="s">
        <v>20</v>
      </c>
      <c r="E161" s="6">
        <v>39213</v>
      </c>
      <c r="F161" s="6">
        <v>39214</v>
      </c>
      <c r="G161" s="6">
        <v>39216</v>
      </c>
      <c r="I161">
        <v>2006</v>
      </c>
      <c r="J161" t="s">
        <v>2175</v>
      </c>
      <c r="K161" t="s">
        <v>2189</v>
      </c>
    </row>
    <row r="162" spans="1:11" x14ac:dyDescent="0.2">
      <c r="A162" t="s">
        <v>2188</v>
      </c>
      <c r="B162" t="s">
        <v>2174</v>
      </c>
      <c r="C162">
        <v>5.65</v>
      </c>
      <c r="D162" t="s">
        <v>20</v>
      </c>
      <c r="E162" s="6">
        <v>39576</v>
      </c>
      <c r="F162" s="6">
        <v>39577</v>
      </c>
      <c r="G162" s="6">
        <v>39580</v>
      </c>
      <c r="I162">
        <v>2007</v>
      </c>
      <c r="J162" t="s">
        <v>2175</v>
      </c>
      <c r="K162" t="s">
        <v>2189</v>
      </c>
    </row>
    <row r="163" spans="1:11" x14ac:dyDescent="0.2">
      <c r="A163" t="s">
        <v>2188</v>
      </c>
      <c r="B163" t="s">
        <v>2174</v>
      </c>
      <c r="C163">
        <v>4.42</v>
      </c>
      <c r="D163" t="s">
        <v>20</v>
      </c>
      <c r="E163" s="6">
        <v>39941</v>
      </c>
      <c r="F163" s="6">
        <v>39944</v>
      </c>
      <c r="G163" s="6">
        <v>39945</v>
      </c>
      <c r="I163">
        <v>2008</v>
      </c>
      <c r="J163" t="s">
        <v>2175</v>
      </c>
      <c r="K163" t="s">
        <v>2189</v>
      </c>
    </row>
    <row r="164" spans="1:11" x14ac:dyDescent="0.2">
      <c r="A164" t="s">
        <v>2188</v>
      </c>
      <c r="B164" t="s">
        <v>2174</v>
      </c>
      <c r="C164">
        <v>6.56</v>
      </c>
      <c r="D164" t="s">
        <v>20</v>
      </c>
      <c r="E164" s="6">
        <v>40304</v>
      </c>
      <c r="F164" s="6">
        <v>40305</v>
      </c>
      <c r="G164" s="6">
        <v>40305</v>
      </c>
      <c r="I164">
        <v>2009</v>
      </c>
      <c r="J164" t="s">
        <v>2175</v>
      </c>
      <c r="K164" t="s">
        <v>2189</v>
      </c>
    </row>
    <row r="165" spans="1:11" x14ac:dyDescent="0.2">
      <c r="A165" t="s">
        <v>2188</v>
      </c>
      <c r="B165" t="s">
        <v>2174</v>
      </c>
      <c r="C165">
        <v>5.0199999999999996</v>
      </c>
      <c r="D165" t="s">
        <v>20</v>
      </c>
      <c r="E165" s="6">
        <v>40668</v>
      </c>
      <c r="F165" s="6">
        <v>40669</v>
      </c>
      <c r="G165" s="6">
        <v>40669</v>
      </c>
      <c r="I165">
        <v>2010</v>
      </c>
      <c r="J165" t="s">
        <v>2175</v>
      </c>
      <c r="K165" t="s">
        <v>2189</v>
      </c>
    </row>
    <row r="166" spans="1:11" x14ac:dyDescent="0.2">
      <c r="A166" t="s">
        <v>2188</v>
      </c>
      <c r="B166" t="s">
        <v>2174</v>
      </c>
      <c r="C166">
        <v>7.08</v>
      </c>
      <c r="D166" t="s">
        <v>20</v>
      </c>
      <c r="E166" s="6">
        <v>41041</v>
      </c>
      <c r="F166" s="6">
        <v>41043</v>
      </c>
      <c r="G166" s="6">
        <v>41043</v>
      </c>
      <c r="I166">
        <v>2011</v>
      </c>
      <c r="J166" t="s">
        <v>2175</v>
      </c>
      <c r="K166" t="s">
        <v>2189</v>
      </c>
    </row>
    <row r="167" spans="1:11" x14ac:dyDescent="0.2">
      <c r="A167" t="s">
        <v>2188</v>
      </c>
      <c r="B167" t="s">
        <v>2174</v>
      </c>
      <c r="C167">
        <v>8.6</v>
      </c>
      <c r="D167" t="s">
        <v>20</v>
      </c>
      <c r="E167" s="6">
        <v>41404</v>
      </c>
      <c r="F167" s="6">
        <v>41407</v>
      </c>
      <c r="G167" s="6">
        <v>41407</v>
      </c>
      <c r="I167">
        <v>2012</v>
      </c>
      <c r="J167" t="s">
        <v>2175</v>
      </c>
      <c r="K167" t="s">
        <v>2189</v>
      </c>
    </row>
    <row r="168" spans="1:11" x14ac:dyDescent="0.2">
      <c r="A168" t="s">
        <v>2188</v>
      </c>
      <c r="B168" t="s">
        <v>2174</v>
      </c>
      <c r="C168">
        <v>8.23</v>
      </c>
      <c r="D168" t="s">
        <v>20</v>
      </c>
      <c r="E168" s="6">
        <v>41834</v>
      </c>
      <c r="F168" s="6">
        <v>41835</v>
      </c>
      <c r="G168" s="6">
        <v>41836</v>
      </c>
      <c r="I168">
        <v>2013</v>
      </c>
      <c r="J168" t="s">
        <v>2175</v>
      </c>
      <c r="K168" t="s">
        <v>2189</v>
      </c>
    </row>
    <row r="169" spans="1:11" x14ac:dyDescent="0.2">
      <c r="A169" t="s">
        <v>2188</v>
      </c>
      <c r="B169" t="s">
        <v>2174</v>
      </c>
      <c r="C169">
        <v>10.58</v>
      </c>
      <c r="D169" t="s">
        <v>20</v>
      </c>
      <c r="E169" s="6">
        <v>42198</v>
      </c>
      <c r="F169" s="6">
        <v>42199</v>
      </c>
      <c r="G169" s="6">
        <v>42200</v>
      </c>
      <c r="I169">
        <v>2014</v>
      </c>
      <c r="J169" t="s">
        <v>2175</v>
      </c>
      <c r="K169" t="s">
        <v>2189</v>
      </c>
    </row>
    <row r="170" spans="1:11" x14ac:dyDescent="0.2">
      <c r="A170" t="s">
        <v>2188</v>
      </c>
      <c r="B170" t="s">
        <v>2174</v>
      </c>
      <c r="C170">
        <v>10.96</v>
      </c>
      <c r="D170" t="s">
        <v>20</v>
      </c>
      <c r="E170" s="6">
        <v>42557</v>
      </c>
      <c r="F170" s="6">
        <v>42558</v>
      </c>
      <c r="G170" s="6">
        <v>42559</v>
      </c>
      <c r="I170">
        <v>2015</v>
      </c>
      <c r="J170" t="s">
        <v>2175</v>
      </c>
      <c r="K170" t="s">
        <v>2189</v>
      </c>
    </row>
    <row r="171" spans="1:11" x14ac:dyDescent="0.2">
      <c r="A171" t="s">
        <v>2188</v>
      </c>
      <c r="B171" t="s">
        <v>2174</v>
      </c>
      <c r="C171">
        <v>22.81</v>
      </c>
      <c r="D171" t="s">
        <v>20</v>
      </c>
      <c r="E171" s="6">
        <v>42921</v>
      </c>
      <c r="F171" s="6">
        <v>42922</v>
      </c>
      <c r="G171" s="6">
        <v>42923</v>
      </c>
      <c r="I171">
        <v>2016</v>
      </c>
      <c r="J171" t="s">
        <v>2175</v>
      </c>
      <c r="K171" t="s">
        <v>2189</v>
      </c>
    </row>
    <row r="172" spans="1:11" x14ac:dyDescent="0.2">
      <c r="A172" t="s">
        <v>2188</v>
      </c>
      <c r="B172" t="s">
        <v>2174</v>
      </c>
      <c r="C172">
        <v>27.78</v>
      </c>
      <c r="D172" t="s">
        <v>20</v>
      </c>
      <c r="E172" s="6">
        <v>43090</v>
      </c>
      <c r="F172" s="6">
        <v>43091</v>
      </c>
      <c r="G172" s="6">
        <v>43092</v>
      </c>
      <c r="I172">
        <v>2017</v>
      </c>
      <c r="J172" t="s">
        <v>2180</v>
      </c>
      <c r="K172" t="s">
        <v>2189</v>
      </c>
    </row>
    <row r="173" spans="1:11" x14ac:dyDescent="0.2">
      <c r="A173" t="s">
        <v>2188</v>
      </c>
      <c r="B173" t="s">
        <v>2174</v>
      </c>
      <c r="C173">
        <v>12.16</v>
      </c>
      <c r="D173" t="s">
        <v>20</v>
      </c>
      <c r="E173" s="6">
        <v>43285</v>
      </c>
      <c r="F173" s="6">
        <v>43286</v>
      </c>
      <c r="G173" s="6">
        <v>43287</v>
      </c>
      <c r="I173">
        <v>2017</v>
      </c>
      <c r="J173" t="s">
        <v>2175</v>
      </c>
      <c r="K173" t="s">
        <v>2189</v>
      </c>
    </row>
    <row r="174" spans="1:11" x14ac:dyDescent="0.2">
      <c r="A174" t="s">
        <v>2188</v>
      </c>
      <c r="B174" t="s">
        <v>2174</v>
      </c>
      <c r="C174">
        <v>30.27</v>
      </c>
      <c r="D174" t="s">
        <v>20</v>
      </c>
      <c r="E174" s="6">
        <v>43383</v>
      </c>
      <c r="F174" s="6">
        <v>43384</v>
      </c>
      <c r="G174" s="6">
        <v>43385</v>
      </c>
      <c r="I174">
        <v>2018</v>
      </c>
      <c r="J174" t="s">
        <v>2177</v>
      </c>
      <c r="K174" t="s">
        <v>2189</v>
      </c>
    </row>
    <row r="175" spans="1:11" x14ac:dyDescent="0.2">
      <c r="A175" t="s">
        <v>2188</v>
      </c>
      <c r="B175" t="s">
        <v>2174</v>
      </c>
      <c r="C175">
        <v>22.26</v>
      </c>
      <c r="D175" t="s">
        <v>20</v>
      </c>
      <c r="E175" s="6">
        <v>43469</v>
      </c>
      <c r="F175" s="6">
        <v>43473</v>
      </c>
      <c r="G175" s="6">
        <v>43474</v>
      </c>
      <c r="I175">
        <v>2018</v>
      </c>
      <c r="J175" t="s">
        <v>2180</v>
      </c>
      <c r="K175" t="s">
        <v>2189</v>
      </c>
    </row>
    <row r="176" spans="1:11" x14ac:dyDescent="0.2">
      <c r="A176" t="s">
        <v>2188</v>
      </c>
      <c r="B176" t="s">
        <v>2174</v>
      </c>
      <c r="C176">
        <v>32.380000000000003</v>
      </c>
      <c r="D176" t="s">
        <v>20</v>
      </c>
      <c r="E176" s="6">
        <v>43649</v>
      </c>
      <c r="F176" s="6">
        <v>43650</v>
      </c>
      <c r="G176" s="6">
        <v>43651</v>
      </c>
      <c r="I176">
        <v>2018</v>
      </c>
      <c r="J176" t="s">
        <v>2175</v>
      </c>
      <c r="K176" t="s">
        <v>2189</v>
      </c>
    </row>
    <row r="177" spans="1:11" x14ac:dyDescent="0.2">
      <c r="A177" t="s">
        <v>2188</v>
      </c>
      <c r="B177" t="s">
        <v>2174</v>
      </c>
      <c r="C177">
        <v>40.11</v>
      </c>
      <c r="D177" t="s">
        <v>20</v>
      </c>
      <c r="E177" s="6">
        <v>43733</v>
      </c>
      <c r="F177" s="6">
        <v>43734</v>
      </c>
      <c r="G177" s="6">
        <v>43735</v>
      </c>
      <c r="I177">
        <v>2019</v>
      </c>
      <c r="J177" t="s">
        <v>2177</v>
      </c>
      <c r="K177" t="s">
        <v>2189</v>
      </c>
    </row>
    <row r="178" spans="1:11" x14ac:dyDescent="0.2">
      <c r="A178" t="s">
        <v>2188</v>
      </c>
      <c r="B178" t="s">
        <v>2174</v>
      </c>
      <c r="C178">
        <v>24.36</v>
      </c>
      <c r="D178" t="s">
        <v>20</v>
      </c>
      <c r="E178" s="6">
        <v>43825</v>
      </c>
      <c r="F178" s="6">
        <v>43826</v>
      </c>
      <c r="G178" s="6">
        <v>43829</v>
      </c>
      <c r="I178">
        <v>2019</v>
      </c>
      <c r="J178" t="s">
        <v>2180</v>
      </c>
      <c r="K178" t="s">
        <v>2189</v>
      </c>
    </row>
    <row r="179" spans="1:11" x14ac:dyDescent="0.2">
      <c r="A179" t="s">
        <v>2188</v>
      </c>
      <c r="B179" t="s">
        <v>2174</v>
      </c>
      <c r="C179">
        <v>9.94</v>
      </c>
      <c r="D179" t="s">
        <v>20</v>
      </c>
      <c r="E179" s="6">
        <v>44112</v>
      </c>
      <c r="F179" s="6">
        <v>44113</v>
      </c>
      <c r="G179" s="6">
        <v>44116</v>
      </c>
      <c r="I179">
        <v>2020</v>
      </c>
      <c r="J179" t="s">
        <v>2177</v>
      </c>
      <c r="K179" t="s">
        <v>2189</v>
      </c>
    </row>
    <row r="180" spans="1:11" x14ac:dyDescent="0.2">
      <c r="A180" t="s">
        <v>2188</v>
      </c>
      <c r="B180" t="s">
        <v>2174</v>
      </c>
      <c r="C180">
        <v>12.3</v>
      </c>
      <c r="D180" t="s">
        <v>20</v>
      </c>
      <c r="E180" s="6">
        <v>44384</v>
      </c>
      <c r="F180" s="6">
        <v>44385</v>
      </c>
      <c r="G180" s="6">
        <v>44386</v>
      </c>
      <c r="I180">
        <v>2020</v>
      </c>
      <c r="J180" t="s">
        <v>2175</v>
      </c>
      <c r="K180" t="s">
        <v>2189</v>
      </c>
    </row>
    <row r="181" spans="1:11" x14ac:dyDescent="0.2">
      <c r="A181" t="s">
        <v>2188</v>
      </c>
      <c r="B181" t="s">
        <v>2174</v>
      </c>
      <c r="C181">
        <v>16.52</v>
      </c>
      <c r="D181" t="s">
        <v>20</v>
      </c>
      <c r="E181" s="6">
        <v>44477</v>
      </c>
      <c r="F181" s="6">
        <v>44480</v>
      </c>
      <c r="G181" s="6">
        <v>44481</v>
      </c>
      <c r="H181" s="6">
        <v>44518</v>
      </c>
      <c r="I181">
        <v>2021</v>
      </c>
      <c r="J181" t="s">
        <v>2177</v>
      </c>
      <c r="K181" t="s">
        <v>2189</v>
      </c>
    </row>
    <row r="182" spans="1:11" x14ac:dyDescent="0.2">
      <c r="A182" t="s">
        <v>2188</v>
      </c>
      <c r="B182" t="s">
        <v>2174</v>
      </c>
      <c r="C182">
        <v>9.98</v>
      </c>
      <c r="D182" t="s">
        <v>20</v>
      </c>
      <c r="E182" s="6">
        <v>44559</v>
      </c>
      <c r="F182" s="6">
        <v>44560</v>
      </c>
      <c r="G182" s="6">
        <v>44571</v>
      </c>
      <c r="H182" s="6">
        <v>44606</v>
      </c>
      <c r="I182">
        <v>2021</v>
      </c>
      <c r="J182" t="s">
        <v>2180</v>
      </c>
      <c r="K182" t="s">
        <v>2189</v>
      </c>
    </row>
    <row r="183" spans="1:11" x14ac:dyDescent="0.2">
      <c r="A183" t="s">
        <v>2188</v>
      </c>
      <c r="B183" t="s">
        <v>2174</v>
      </c>
      <c r="C183">
        <v>16.14</v>
      </c>
      <c r="D183" t="s">
        <v>20</v>
      </c>
      <c r="E183" s="6">
        <v>44748</v>
      </c>
      <c r="F183" s="6">
        <v>44749</v>
      </c>
      <c r="G183" s="6">
        <v>44750</v>
      </c>
      <c r="H183" s="6">
        <v>44785</v>
      </c>
      <c r="I183">
        <v>2021</v>
      </c>
      <c r="J183" t="s">
        <v>2175</v>
      </c>
      <c r="K183" t="s">
        <v>2189</v>
      </c>
    </row>
    <row r="184" spans="1:11" x14ac:dyDescent="0.2">
      <c r="A184" t="s">
        <v>2188</v>
      </c>
      <c r="B184" t="s">
        <v>2174</v>
      </c>
      <c r="C184">
        <v>32.71</v>
      </c>
      <c r="D184" t="s">
        <v>20</v>
      </c>
      <c r="E184" s="6">
        <v>44841</v>
      </c>
      <c r="F184" s="6">
        <v>44844</v>
      </c>
      <c r="G184" s="6">
        <v>44845</v>
      </c>
      <c r="H184" s="6">
        <v>44881</v>
      </c>
      <c r="I184">
        <v>2022</v>
      </c>
      <c r="J184" t="s">
        <v>2177</v>
      </c>
      <c r="K184" t="s">
        <v>2189</v>
      </c>
    </row>
    <row r="185" spans="1:11" x14ac:dyDescent="0.2">
      <c r="A185" t="s">
        <v>2188</v>
      </c>
      <c r="B185" t="s">
        <v>2174</v>
      </c>
      <c r="C185">
        <v>6.86</v>
      </c>
      <c r="D185" t="s">
        <v>20</v>
      </c>
      <c r="E185" s="6">
        <v>44925</v>
      </c>
      <c r="F185" s="6">
        <v>44929</v>
      </c>
      <c r="G185" s="6">
        <v>44936</v>
      </c>
      <c r="H185" s="6">
        <v>44971</v>
      </c>
      <c r="I185">
        <v>2022</v>
      </c>
      <c r="J185" t="s">
        <v>2180</v>
      </c>
      <c r="K185" t="s">
        <v>2189</v>
      </c>
    </row>
    <row r="186" spans="1:11" x14ac:dyDescent="0.2">
      <c r="A186" t="s">
        <v>2188</v>
      </c>
      <c r="B186" t="s">
        <v>2174</v>
      </c>
      <c r="C186">
        <v>27.71</v>
      </c>
      <c r="D186" t="s">
        <v>20</v>
      </c>
      <c r="E186" s="6">
        <v>45114</v>
      </c>
      <c r="F186" s="6">
        <v>45117</v>
      </c>
      <c r="G186" s="6">
        <v>45118</v>
      </c>
      <c r="H186" s="6">
        <v>45153</v>
      </c>
      <c r="I186">
        <v>2022</v>
      </c>
      <c r="J186" t="s">
        <v>2175</v>
      </c>
      <c r="K186" t="s">
        <v>2189</v>
      </c>
    </row>
    <row r="187" spans="1:11" x14ac:dyDescent="0.2">
      <c r="A187" t="s">
        <v>2188</v>
      </c>
      <c r="B187" t="s">
        <v>2174</v>
      </c>
      <c r="C187">
        <v>27.54</v>
      </c>
      <c r="D187" t="s">
        <v>20</v>
      </c>
      <c r="E187" s="6">
        <v>45209</v>
      </c>
      <c r="F187" s="6">
        <v>45210</v>
      </c>
      <c r="G187" s="6">
        <v>45210</v>
      </c>
      <c r="H187" s="6">
        <v>45246</v>
      </c>
      <c r="I187">
        <v>2023</v>
      </c>
      <c r="J187" t="s">
        <v>2177</v>
      </c>
      <c r="K187" t="s">
        <v>2189</v>
      </c>
    </row>
    <row r="188" spans="1:11" x14ac:dyDescent="0.2">
      <c r="A188" t="s">
        <v>2188</v>
      </c>
      <c r="B188" t="s">
        <v>2174</v>
      </c>
      <c r="C188">
        <v>35.17</v>
      </c>
      <c r="D188" t="s">
        <v>20</v>
      </c>
      <c r="E188" s="6">
        <v>45299</v>
      </c>
      <c r="F188" s="6">
        <v>45300</v>
      </c>
      <c r="G188" s="6">
        <v>45300</v>
      </c>
      <c r="H188" s="6">
        <v>45335</v>
      </c>
      <c r="I188">
        <v>2023</v>
      </c>
      <c r="J188" t="s">
        <v>2180</v>
      </c>
      <c r="K188" t="s">
        <v>2189</v>
      </c>
    </row>
    <row r="189" spans="1:11" x14ac:dyDescent="0.2">
      <c r="A189" t="s">
        <v>2188</v>
      </c>
      <c r="B189" t="s">
        <v>2174</v>
      </c>
      <c r="C189">
        <v>25.17</v>
      </c>
      <c r="D189" t="s">
        <v>20</v>
      </c>
      <c r="E189" s="6">
        <v>45481</v>
      </c>
      <c r="F189" s="6">
        <v>45482</v>
      </c>
      <c r="G189" s="6">
        <v>45482</v>
      </c>
      <c r="H189" s="6">
        <v>45517</v>
      </c>
      <c r="I189">
        <v>2023</v>
      </c>
      <c r="J189" t="s">
        <v>2175</v>
      </c>
      <c r="K189" t="s">
        <v>2189</v>
      </c>
    </row>
    <row r="190" spans="1:11" x14ac:dyDescent="0.2">
      <c r="A190" t="s">
        <v>2188</v>
      </c>
      <c r="B190" t="s">
        <v>2174</v>
      </c>
      <c r="C190">
        <v>38.200000000000003</v>
      </c>
      <c r="D190" t="s">
        <v>20</v>
      </c>
      <c r="E190" s="6">
        <v>45572</v>
      </c>
      <c r="F190" s="6">
        <v>45573</v>
      </c>
      <c r="G190" s="6">
        <v>45573</v>
      </c>
      <c r="H190" s="6">
        <v>45608</v>
      </c>
      <c r="I190">
        <v>2024</v>
      </c>
      <c r="J190" t="s">
        <v>2177</v>
      </c>
      <c r="K190" t="s">
        <v>2189</v>
      </c>
    </row>
    <row r="191" spans="1:11" x14ac:dyDescent="0.2">
      <c r="A191" t="s">
        <v>2188</v>
      </c>
      <c r="B191" t="s">
        <v>2174</v>
      </c>
      <c r="C191">
        <v>17.39</v>
      </c>
      <c r="D191" t="s">
        <v>20</v>
      </c>
      <c r="E191" s="6">
        <v>45660</v>
      </c>
      <c r="F191" s="6">
        <v>45663</v>
      </c>
      <c r="G191" s="6">
        <v>45665</v>
      </c>
      <c r="H191" s="6">
        <v>45700</v>
      </c>
      <c r="I191">
        <v>2024</v>
      </c>
      <c r="J191" t="s">
        <v>2180</v>
      </c>
      <c r="K191" t="s">
        <v>2189</v>
      </c>
    </row>
    <row r="192" spans="1:11" x14ac:dyDescent="0.2">
      <c r="A192" t="s">
        <v>2188</v>
      </c>
      <c r="B192" t="s">
        <v>2174</v>
      </c>
      <c r="C192">
        <v>43.11</v>
      </c>
      <c r="D192" t="s">
        <v>20</v>
      </c>
      <c r="E192" s="6">
        <v>45807</v>
      </c>
      <c r="F192" s="6">
        <v>45810</v>
      </c>
      <c r="G192" s="6">
        <v>45810</v>
      </c>
      <c r="H192" s="6">
        <v>45847</v>
      </c>
      <c r="I192">
        <v>2024</v>
      </c>
      <c r="J192" t="s">
        <v>2175</v>
      </c>
      <c r="K192" t="s">
        <v>2189</v>
      </c>
    </row>
    <row r="193" spans="1:11" x14ac:dyDescent="0.2">
      <c r="A193" t="s">
        <v>2188</v>
      </c>
      <c r="B193" t="s">
        <v>2174</v>
      </c>
      <c r="C193">
        <v>14.35</v>
      </c>
      <c r="D193" t="s">
        <v>20</v>
      </c>
      <c r="E193" s="6">
        <v>45943</v>
      </c>
      <c r="F193" s="6">
        <v>45944</v>
      </c>
      <c r="G193" s="6">
        <v>45944</v>
      </c>
      <c r="H193" s="6">
        <v>45980</v>
      </c>
      <c r="I193">
        <v>2025</v>
      </c>
      <c r="J193" t="s">
        <v>2177</v>
      </c>
      <c r="K193" t="s">
        <v>2189</v>
      </c>
    </row>
    <row r="194" spans="1:11" x14ac:dyDescent="0.2">
      <c r="A194" t="s">
        <v>2188</v>
      </c>
      <c r="B194" t="s">
        <v>2174</v>
      </c>
      <c r="C194">
        <v>8.1300000000000008</v>
      </c>
      <c r="D194" t="s">
        <v>20</v>
      </c>
      <c r="E194" s="6">
        <v>46030</v>
      </c>
      <c r="F194" s="6">
        <v>46031</v>
      </c>
      <c r="G194" s="6">
        <v>46033</v>
      </c>
      <c r="H194" s="6">
        <v>46066</v>
      </c>
      <c r="I194">
        <v>2025</v>
      </c>
      <c r="J194" t="s">
        <v>2180</v>
      </c>
      <c r="K194" t="s">
        <v>2189</v>
      </c>
    </row>
    <row r="195" spans="1:11" x14ac:dyDescent="0.2">
      <c r="A195" t="s">
        <v>2190</v>
      </c>
      <c r="B195" t="s">
        <v>2191</v>
      </c>
      <c r="C195">
        <v>6.6100000000000004E-3</v>
      </c>
      <c r="D195" t="s">
        <v>20</v>
      </c>
      <c r="E195" s="6">
        <v>38842</v>
      </c>
      <c r="F195" s="6">
        <v>38843</v>
      </c>
      <c r="G195" s="6">
        <v>38843</v>
      </c>
      <c r="I195">
        <v>2005</v>
      </c>
      <c r="J195" t="s">
        <v>2175</v>
      </c>
      <c r="K195" t="s">
        <v>2192</v>
      </c>
    </row>
    <row r="196" spans="1:11" x14ac:dyDescent="0.2">
      <c r="A196" t="s">
        <v>2190</v>
      </c>
      <c r="B196" t="s">
        <v>2191</v>
      </c>
      <c r="C196">
        <v>1.0500000000000001E-2</v>
      </c>
      <c r="D196" t="s">
        <v>20</v>
      </c>
      <c r="E196" s="6">
        <v>38943</v>
      </c>
      <c r="F196" s="6">
        <v>38944</v>
      </c>
      <c r="G196" s="6">
        <v>38944</v>
      </c>
      <c r="I196">
        <v>2006</v>
      </c>
      <c r="J196" t="s">
        <v>2177</v>
      </c>
      <c r="K196" t="s">
        <v>2192</v>
      </c>
    </row>
    <row r="197" spans="1:11" x14ac:dyDescent="0.2">
      <c r="A197" t="s">
        <v>2190</v>
      </c>
      <c r="B197" t="s">
        <v>2191</v>
      </c>
      <c r="C197">
        <v>6.3499999999999997E-3</v>
      </c>
      <c r="D197" t="s">
        <v>20</v>
      </c>
      <c r="E197" s="6">
        <v>39184</v>
      </c>
      <c r="F197" s="6">
        <v>39185</v>
      </c>
      <c r="G197" s="6">
        <v>39185</v>
      </c>
      <c r="I197">
        <v>2006</v>
      </c>
      <c r="J197" t="s">
        <v>2175</v>
      </c>
      <c r="K197" t="s">
        <v>2192</v>
      </c>
    </row>
    <row r="198" spans="1:11" x14ac:dyDescent="0.2">
      <c r="A198" t="s">
        <v>2190</v>
      </c>
      <c r="B198" t="s">
        <v>2191</v>
      </c>
      <c r="C198">
        <v>5.5899999999999998E-2</v>
      </c>
      <c r="D198" t="s">
        <v>20</v>
      </c>
      <c r="E198" s="6">
        <v>41823</v>
      </c>
      <c r="F198" s="6">
        <v>41824</v>
      </c>
      <c r="G198" s="6">
        <v>41827</v>
      </c>
      <c r="I198">
        <v>2013</v>
      </c>
      <c r="J198" t="s">
        <v>2175</v>
      </c>
      <c r="K198" t="s">
        <v>2192</v>
      </c>
    </row>
    <row r="199" spans="1:11" x14ac:dyDescent="0.2">
      <c r="A199" t="s">
        <v>2190</v>
      </c>
      <c r="B199" t="s">
        <v>2191</v>
      </c>
      <c r="C199">
        <v>8.0699999999999994E-2</v>
      </c>
      <c r="D199" t="s">
        <v>20</v>
      </c>
      <c r="E199" s="6">
        <v>42180</v>
      </c>
      <c r="F199" s="6">
        <v>42181</v>
      </c>
      <c r="G199" s="6">
        <v>42184</v>
      </c>
      <c r="I199">
        <v>2014</v>
      </c>
      <c r="J199" t="s">
        <v>2175</v>
      </c>
      <c r="K199" t="s">
        <v>2192</v>
      </c>
    </row>
    <row r="200" spans="1:11" x14ac:dyDescent="0.2">
      <c r="A200" t="s">
        <v>2190</v>
      </c>
      <c r="B200" t="s">
        <v>2191</v>
      </c>
      <c r="C200">
        <v>6.8199999999999997E-2</v>
      </c>
      <c r="D200" t="s">
        <v>20</v>
      </c>
      <c r="E200" s="6">
        <v>42912</v>
      </c>
      <c r="F200" s="6">
        <v>42913</v>
      </c>
      <c r="G200" s="6">
        <v>42914</v>
      </c>
      <c r="I200">
        <v>2016</v>
      </c>
      <c r="J200" t="s">
        <v>2175</v>
      </c>
      <c r="K200" t="s">
        <v>2192</v>
      </c>
    </row>
    <row r="201" spans="1:11" x14ac:dyDescent="0.2">
      <c r="A201" t="s">
        <v>2190</v>
      </c>
      <c r="B201" t="s">
        <v>2191</v>
      </c>
      <c r="C201">
        <v>0.14000000000000001</v>
      </c>
      <c r="D201" t="s">
        <v>20</v>
      </c>
      <c r="E201" s="6">
        <v>43271</v>
      </c>
      <c r="F201" s="6">
        <v>43272</v>
      </c>
      <c r="G201" s="6">
        <v>43273</v>
      </c>
      <c r="I201">
        <v>2017</v>
      </c>
      <c r="J201" t="s">
        <v>2175</v>
      </c>
      <c r="K201" t="s">
        <v>2192</v>
      </c>
    </row>
    <row r="202" spans="1:11" x14ac:dyDescent="0.2">
      <c r="A202" t="s">
        <v>2190</v>
      </c>
      <c r="B202" t="s">
        <v>2191</v>
      </c>
      <c r="C202">
        <v>0.14000000000000001</v>
      </c>
      <c r="D202" t="s">
        <v>20</v>
      </c>
      <c r="E202" s="6">
        <v>43650</v>
      </c>
      <c r="F202" s="6">
        <v>43651</v>
      </c>
      <c r="G202" s="6">
        <v>43654</v>
      </c>
      <c r="I202">
        <v>2018</v>
      </c>
      <c r="J202" t="s">
        <v>2175</v>
      </c>
      <c r="K202" t="s">
        <v>2192</v>
      </c>
    </row>
    <row r="203" spans="1:11" x14ac:dyDescent="0.2">
      <c r="A203" t="s">
        <v>2190</v>
      </c>
      <c r="B203" t="s">
        <v>2191</v>
      </c>
      <c r="C203">
        <v>8.5000000000000006E-2</v>
      </c>
      <c r="D203" t="s">
        <v>20</v>
      </c>
      <c r="E203" s="6">
        <v>44019</v>
      </c>
      <c r="F203" s="6">
        <v>44020</v>
      </c>
      <c r="G203" s="6">
        <v>44021</v>
      </c>
      <c r="I203">
        <v>2019</v>
      </c>
      <c r="J203" t="s">
        <v>2175</v>
      </c>
      <c r="K203" t="s">
        <v>2192</v>
      </c>
    </row>
    <row r="204" spans="1:11" x14ac:dyDescent="0.2">
      <c r="A204" t="s">
        <v>2193</v>
      </c>
      <c r="B204" t="s">
        <v>2191</v>
      </c>
      <c r="C204">
        <v>1.5100000000000001E-3</v>
      </c>
      <c r="D204" t="s">
        <v>20</v>
      </c>
      <c r="E204" s="6">
        <v>38890</v>
      </c>
      <c r="F204" s="6">
        <v>38891</v>
      </c>
      <c r="G204" s="6">
        <v>38891</v>
      </c>
      <c r="I204">
        <v>2005</v>
      </c>
      <c r="J204" t="s">
        <v>2175</v>
      </c>
      <c r="K204" t="s">
        <v>2194</v>
      </c>
    </row>
    <row r="205" spans="1:11" x14ac:dyDescent="0.2">
      <c r="A205" t="s">
        <v>2193</v>
      </c>
      <c r="B205" t="s">
        <v>2191</v>
      </c>
      <c r="C205">
        <v>1.627E-3</v>
      </c>
      <c r="D205" t="s">
        <v>20</v>
      </c>
      <c r="E205" s="6">
        <v>39230</v>
      </c>
      <c r="F205" s="6">
        <v>39231</v>
      </c>
      <c r="G205" s="6">
        <v>39231</v>
      </c>
      <c r="I205">
        <v>2006</v>
      </c>
      <c r="J205" t="s">
        <v>2175</v>
      </c>
      <c r="K205" t="s">
        <v>2194</v>
      </c>
    </row>
    <row r="206" spans="1:11" x14ac:dyDescent="0.2">
      <c r="A206" t="s">
        <v>2193</v>
      </c>
      <c r="B206" t="s">
        <v>2191</v>
      </c>
      <c r="C206">
        <v>7.9799999999999999E-4</v>
      </c>
      <c r="D206" t="s">
        <v>20</v>
      </c>
      <c r="E206" s="6">
        <v>39581</v>
      </c>
      <c r="F206" s="6">
        <v>39582</v>
      </c>
      <c r="G206" s="6">
        <v>39583</v>
      </c>
      <c r="I206">
        <v>2007</v>
      </c>
      <c r="J206" t="s">
        <v>2175</v>
      </c>
      <c r="K206" t="s">
        <v>2194</v>
      </c>
    </row>
    <row r="207" spans="1:11" x14ac:dyDescent="0.2">
      <c r="A207" t="s">
        <v>2193</v>
      </c>
      <c r="B207" t="s">
        <v>2191</v>
      </c>
      <c r="C207">
        <v>2.052E-3</v>
      </c>
      <c r="D207" t="s">
        <v>20</v>
      </c>
      <c r="E207" s="6">
        <v>40675</v>
      </c>
      <c r="F207" s="6">
        <v>40676</v>
      </c>
      <c r="G207" s="6">
        <v>40679</v>
      </c>
      <c r="I207">
        <v>2010</v>
      </c>
      <c r="J207" t="s">
        <v>2175</v>
      </c>
      <c r="K207" t="s">
        <v>2194</v>
      </c>
    </row>
    <row r="208" spans="1:11" x14ac:dyDescent="0.2">
      <c r="A208" t="s">
        <v>2193</v>
      </c>
      <c r="B208" t="s">
        <v>2191</v>
      </c>
      <c r="C208">
        <v>3.4299999999999999E-4</v>
      </c>
      <c r="D208" t="s">
        <v>20</v>
      </c>
      <c r="E208" s="6">
        <v>41834</v>
      </c>
      <c r="F208" s="6">
        <v>41835</v>
      </c>
      <c r="G208" s="6">
        <v>41836</v>
      </c>
      <c r="I208">
        <v>2014</v>
      </c>
      <c r="J208" t="s">
        <v>2195</v>
      </c>
      <c r="K208" t="s">
        <v>2194</v>
      </c>
    </row>
    <row r="209" spans="1:11" x14ac:dyDescent="0.2">
      <c r="A209" t="s">
        <v>2193</v>
      </c>
      <c r="B209" t="s">
        <v>2191</v>
      </c>
      <c r="C209">
        <v>6.6500000000000001E-4</v>
      </c>
      <c r="D209" t="s">
        <v>20</v>
      </c>
      <c r="E209" s="6">
        <v>42199</v>
      </c>
      <c r="F209" s="6">
        <v>42200</v>
      </c>
      <c r="G209" s="6">
        <v>42201</v>
      </c>
      <c r="I209">
        <v>2014</v>
      </c>
      <c r="J209" t="s">
        <v>2175</v>
      </c>
      <c r="K209" t="s">
        <v>2194</v>
      </c>
    </row>
    <row r="210" spans="1:11" x14ac:dyDescent="0.2">
      <c r="A210" t="s">
        <v>2193</v>
      </c>
      <c r="B210" t="s">
        <v>2191</v>
      </c>
      <c r="C210">
        <v>1.3299999999999999E-2</v>
      </c>
      <c r="D210" t="s">
        <v>20</v>
      </c>
      <c r="E210" s="6">
        <v>42558</v>
      </c>
      <c r="F210" s="6">
        <v>42559</v>
      </c>
      <c r="G210" s="6">
        <v>42562</v>
      </c>
      <c r="I210">
        <v>2015</v>
      </c>
      <c r="J210" t="s">
        <v>2175</v>
      </c>
      <c r="K210" t="s">
        <v>2194</v>
      </c>
    </row>
    <row r="211" spans="1:11" x14ac:dyDescent="0.2">
      <c r="A211" t="s">
        <v>2193</v>
      </c>
      <c r="B211" t="s">
        <v>2191</v>
      </c>
      <c r="C211">
        <v>1.43E-2</v>
      </c>
      <c r="D211" t="s">
        <v>20</v>
      </c>
      <c r="E211" s="6">
        <v>42933</v>
      </c>
      <c r="F211" s="6">
        <v>42934</v>
      </c>
      <c r="G211" s="6">
        <v>42935</v>
      </c>
      <c r="I211">
        <v>2016</v>
      </c>
      <c r="J211" t="s">
        <v>2175</v>
      </c>
      <c r="K211" t="s">
        <v>2194</v>
      </c>
    </row>
    <row r="212" spans="1:11" x14ac:dyDescent="0.2">
      <c r="A212" t="s">
        <v>2193</v>
      </c>
      <c r="B212" t="s">
        <v>2191</v>
      </c>
      <c r="C212">
        <v>1.116E-3</v>
      </c>
      <c r="D212" t="s">
        <v>20</v>
      </c>
      <c r="E212" s="6">
        <v>42933</v>
      </c>
      <c r="F212" s="6">
        <v>42934</v>
      </c>
      <c r="G212" s="6">
        <v>42935</v>
      </c>
      <c r="I212">
        <v>2017</v>
      </c>
      <c r="J212" t="s">
        <v>2177</v>
      </c>
      <c r="K212" t="s">
        <v>2194</v>
      </c>
    </row>
    <row r="213" spans="1:11" x14ac:dyDescent="0.2">
      <c r="A213" t="s">
        <v>2193</v>
      </c>
      <c r="B213" t="s">
        <v>2191</v>
      </c>
      <c r="C213">
        <v>1.4800000000000001E-2</v>
      </c>
      <c r="D213" t="s">
        <v>20</v>
      </c>
      <c r="E213" s="6">
        <v>43297</v>
      </c>
      <c r="F213" s="6">
        <v>43298</v>
      </c>
      <c r="G213" s="6">
        <v>43299</v>
      </c>
      <c r="I213">
        <v>2017</v>
      </c>
      <c r="J213" t="s">
        <v>2175</v>
      </c>
      <c r="K213" t="s">
        <v>2194</v>
      </c>
    </row>
    <row r="214" spans="1:11" x14ac:dyDescent="0.2">
      <c r="A214" t="s">
        <v>2193</v>
      </c>
      <c r="B214" t="s">
        <v>2191</v>
      </c>
      <c r="C214">
        <v>1.6E-2</v>
      </c>
      <c r="D214" t="s">
        <v>20</v>
      </c>
      <c r="E214" s="6">
        <v>43658</v>
      </c>
      <c r="F214" s="6">
        <v>43661</v>
      </c>
      <c r="G214" s="6">
        <v>43662</v>
      </c>
      <c r="I214">
        <v>2018</v>
      </c>
      <c r="J214" t="s">
        <v>2175</v>
      </c>
      <c r="K214" t="s">
        <v>2194</v>
      </c>
    </row>
    <row r="215" spans="1:11" x14ac:dyDescent="0.2">
      <c r="A215" t="s">
        <v>2193</v>
      </c>
      <c r="B215" t="s">
        <v>2191</v>
      </c>
      <c r="C215">
        <v>8.8100000000000001E-3</v>
      </c>
      <c r="D215" t="s">
        <v>20</v>
      </c>
      <c r="E215" s="6">
        <v>43839</v>
      </c>
      <c r="F215" s="6">
        <v>43840</v>
      </c>
      <c r="G215" s="6">
        <v>43843</v>
      </c>
      <c r="I215">
        <v>2019</v>
      </c>
      <c r="J215" t="s">
        <v>2180</v>
      </c>
      <c r="K215" t="s">
        <v>2194</v>
      </c>
    </row>
    <row r="216" spans="1:11" x14ac:dyDescent="0.2">
      <c r="A216" t="s">
        <v>2193</v>
      </c>
      <c r="B216" t="s">
        <v>2191</v>
      </c>
      <c r="C216">
        <v>9.4940000000000007E-3</v>
      </c>
      <c r="D216" t="s">
        <v>20</v>
      </c>
      <c r="E216" s="6">
        <v>43978</v>
      </c>
      <c r="F216" s="6">
        <v>43979</v>
      </c>
      <c r="G216" s="6">
        <v>43980</v>
      </c>
      <c r="H216" s="6">
        <v>44020</v>
      </c>
      <c r="I216">
        <v>2019</v>
      </c>
      <c r="J216" t="s">
        <v>2175</v>
      </c>
      <c r="K216" t="s">
        <v>2194</v>
      </c>
    </row>
    <row r="217" spans="1:11" x14ac:dyDescent="0.2">
      <c r="A217" t="s">
        <v>2193</v>
      </c>
      <c r="B217" t="s">
        <v>2191</v>
      </c>
      <c r="C217">
        <v>1.61E-2</v>
      </c>
      <c r="D217" t="s">
        <v>20</v>
      </c>
      <c r="E217" s="6">
        <v>44391</v>
      </c>
      <c r="F217" s="6">
        <v>44392</v>
      </c>
      <c r="G217" s="6">
        <v>44393</v>
      </c>
      <c r="I217">
        <v>2020</v>
      </c>
      <c r="J217" t="s">
        <v>2175</v>
      </c>
      <c r="K217" t="s">
        <v>2194</v>
      </c>
    </row>
    <row r="218" spans="1:11" x14ac:dyDescent="0.2">
      <c r="A218" t="s">
        <v>2196</v>
      </c>
      <c r="B218" t="s">
        <v>2191</v>
      </c>
      <c r="C218">
        <v>8.6009999999999993E-3</v>
      </c>
      <c r="D218" t="s">
        <v>20</v>
      </c>
      <c r="E218" s="6">
        <v>40682</v>
      </c>
      <c r="F218" s="6">
        <v>40683</v>
      </c>
      <c r="G218" s="6">
        <v>40686</v>
      </c>
      <c r="I218">
        <v>2010</v>
      </c>
      <c r="J218" t="s">
        <v>2175</v>
      </c>
      <c r="K218" t="s">
        <v>2197</v>
      </c>
    </row>
    <row r="219" spans="1:11" x14ac:dyDescent="0.2">
      <c r="A219" t="s">
        <v>2196</v>
      </c>
      <c r="B219" t="s">
        <v>2191</v>
      </c>
      <c r="C219">
        <v>7.8930000000000007E-3</v>
      </c>
      <c r="D219" t="s">
        <v>20</v>
      </c>
      <c r="E219" s="6">
        <v>41018</v>
      </c>
      <c r="F219" s="6">
        <v>41019</v>
      </c>
      <c r="G219" s="6">
        <v>41022</v>
      </c>
      <c r="I219">
        <v>2011</v>
      </c>
      <c r="J219" t="s">
        <v>2175</v>
      </c>
      <c r="K219" t="s">
        <v>2197</v>
      </c>
    </row>
    <row r="220" spans="1:11" x14ac:dyDescent="0.2">
      <c r="A220" t="s">
        <v>2196</v>
      </c>
      <c r="B220" t="s">
        <v>2191</v>
      </c>
      <c r="C220">
        <v>9.5560000000000003E-3</v>
      </c>
      <c r="D220" t="s">
        <v>20</v>
      </c>
      <c r="E220" s="6">
        <v>41415</v>
      </c>
      <c r="F220" s="6">
        <v>41416</v>
      </c>
      <c r="G220" s="6">
        <v>41417</v>
      </c>
      <c r="I220">
        <v>2012</v>
      </c>
      <c r="J220" t="s">
        <v>2175</v>
      </c>
      <c r="K220" t="s">
        <v>2197</v>
      </c>
    </row>
    <row r="221" spans="1:11" x14ac:dyDescent="0.2">
      <c r="A221" t="s">
        <v>2196</v>
      </c>
      <c r="B221" t="s">
        <v>2191</v>
      </c>
      <c r="C221">
        <v>1.3599999999999999E-2</v>
      </c>
      <c r="D221" t="s">
        <v>20</v>
      </c>
      <c r="E221" s="6">
        <v>41824</v>
      </c>
      <c r="F221" s="6">
        <v>41827</v>
      </c>
      <c r="G221" s="6">
        <v>41828</v>
      </c>
      <c r="I221">
        <v>2013</v>
      </c>
      <c r="J221" t="s">
        <v>2175</v>
      </c>
      <c r="K221" t="s">
        <v>2197</v>
      </c>
    </row>
    <row r="222" spans="1:11" x14ac:dyDescent="0.2">
      <c r="A222" t="s">
        <v>2196</v>
      </c>
      <c r="B222" t="s">
        <v>2191</v>
      </c>
      <c r="C222">
        <v>1.5599999999999999E-2</v>
      </c>
      <c r="D222" t="s">
        <v>20</v>
      </c>
      <c r="E222" s="6">
        <v>42188</v>
      </c>
      <c r="F222" s="6">
        <v>42191</v>
      </c>
      <c r="G222" s="6">
        <v>42192</v>
      </c>
      <c r="I222">
        <v>2014</v>
      </c>
      <c r="J222" t="s">
        <v>2175</v>
      </c>
      <c r="K222" t="s">
        <v>2197</v>
      </c>
    </row>
    <row r="223" spans="1:11" x14ac:dyDescent="0.2">
      <c r="A223" t="s">
        <v>2196</v>
      </c>
      <c r="B223" t="s">
        <v>2191</v>
      </c>
      <c r="C223">
        <v>3.8899999999999997E-2</v>
      </c>
      <c r="D223" t="s">
        <v>20</v>
      </c>
      <c r="E223" s="6">
        <v>42557</v>
      </c>
      <c r="F223" s="6">
        <v>42558</v>
      </c>
      <c r="G223" s="6">
        <v>42559</v>
      </c>
      <c r="I223">
        <v>2015</v>
      </c>
      <c r="J223" t="s">
        <v>2175</v>
      </c>
      <c r="K223" t="s">
        <v>2197</v>
      </c>
    </row>
    <row r="224" spans="1:11" x14ac:dyDescent="0.2">
      <c r="A224" t="s">
        <v>2196</v>
      </c>
      <c r="B224" t="s">
        <v>2191</v>
      </c>
      <c r="C224">
        <v>4.6600000000000003E-2</v>
      </c>
      <c r="D224" t="s">
        <v>20</v>
      </c>
      <c r="E224" s="6">
        <v>42922</v>
      </c>
      <c r="F224" s="6">
        <v>42923</v>
      </c>
      <c r="G224" s="6">
        <v>42926</v>
      </c>
      <c r="I224">
        <v>2016</v>
      </c>
      <c r="J224" t="s">
        <v>2175</v>
      </c>
      <c r="K224" t="s">
        <v>2197</v>
      </c>
    </row>
    <row r="225" spans="1:11" x14ac:dyDescent="0.2">
      <c r="A225" t="s">
        <v>2196</v>
      </c>
      <c r="B225" t="s">
        <v>2191</v>
      </c>
      <c r="C225">
        <v>2.63E-2</v>
      </c>
      <c r="D225" t="s">
        <v>20</v>
      </c>
      <c r="E225" s="6">
        <v>43286</v>
      </c>
      <c r="F225" s="6">
        <v>43287</v>
      </c>
      <c r="G225" s="6">
        <v>43288</v>
      </c>
      <c r="I225">
        <v>2017</v>
      </c>
      <c r="J225" t="s">
        <v>2175</v>
      </c>
      <c r="K225" t="s">
        <v>2197</v>
      </c>
    </row>
    <row r="226" spans="1:11" x14ac:dyDescent="0.2">
      <c r="A226" t="s">
        <v>2196</v>
      </c>
      <c r="B226" t="s">
        <v>2191</v>
      </c>
      <c r="C226">
        <v>3.6700000000000003E-2</v>
      </c>
      <c r="D226" t="s">
        <v>20</v>
      </c>
      <c r="E226" s="6">
        <v>43651</v>
      </c>
      <c r="F226" s="6">
        <v>43654</v>
      </c>
      <c r="G226" s="6">
        <v>43655</v>
      </c>
      <c r="H226" s="6">
        <v>43690</v>
      </c>
      <c r="I226">
        <v>2018</v>
      </c>
      <c r="J226" t="s">
        <v>2175</v>
      </c>
      <c r="K226" t="s">
        <v>2197</v>
      </c>
    </row>
    <row r="227" spans="1:11" x14ac:dyDescent="0.2">
      <c r="A227" t="s">
        <v>2196</v>
      </c>
      <c r="B227" t="s">
        <v>2191</v>
      </c>
      <c r="C227">
        <v>3.5700000000000003E-2</v>
      </c>
      <c r="D227" t="s">
        <v>20</v>
      </c>
      <c r="E227" s="6">
        <v>44113</v>
      </c>
      <c r="F227" s="6">
        <v>44116</v>
      </c>
      <c r="G227" s="6">
        <v>44114</v>
      </c>
      <c r="H227" s="6">
        <v>44151</v>
      </c>
      <c r="I227">
        <v>2019</v>
      </c>
      <c r="J227" t="s">
        <v>2175</v>
      </c>
      <c r="K227" t="s">
        <v>2197</v>
      </c>
    </row>
    <row r="228" spans="1:11" x14ac:dyDescent="0.2">
      <c r="A228" t="s">
        <v>2196</v>
      </c>
      <c r="B228" t="s">
        <v>2191</v>
      </c>
      <c r="C228">
        <v>5.2999999999999999E-2</v>
      </c>
      <c r="D228" t="s">
        <v>20</v>
      </c>
      <c r="E228" s="6">
        <v>44384</v>
      </c>
      <c r="F228" s="6">
        <v>44385</v>
      </c>
      <c r="G228" s="6">
        <v>44387</v>
      </c>
      <c r="I228">
        <v>2020</v>
      </c>
      <c r="J228" t="s">
        <v>2175</v>
      </c>
      <c r="K228" t="s">
        <v>2197</v>
      </c>
    </row>
    <row r="229" spans="1:11" x14ac:dyDescent="0.2">
      <c r="A229" t="s">
        <v>2196</v>
      </c>
      <c r="B229" t="s">
        <v>2191</v>
      </c>
      <c r="C229">
        <v>5.2999999999999999E-2</v>
      </c>
      <c r="D229" t="s">
        <v>20</v>
      </c>
      <c r="E229" s="6">
        <v>44749</v>
      </c>
      <c r="F229" s="6">
        <v>44750</v>
      </c>
      <c r="G229" s="6">
        <v>44752</v>
      </c>
      <c r="H229" s="6">
        <v>44785</v>
      </c>
      <c r="I229">
        <v>2021</v>
      </c>
      <c r="J229" t="s">
        <v>2175</v>
      </c>
      <c r="K229" t="s">
        <v>2197</v>
      </c>
    </row>
    <row r="230" spans="1:11" x14ac:dyDescent="0.2">
      <c r="A230" t="s">
        <v>2196</v>
      </c>
      <c r="B230" t="s">
        <v>2191</v>
      </c>
      <c r="C230">
        <v>5.0299999999999997E-2</v>
      </c>
      <c r="D230" t="s">
        <v>20</v>
      </c>
      <c r="E230" s="6">
        <v>45114</v>
      </c>
      <c r="F230" s="6">
        <v>45117</v>
      </c>
      <c r="G230" s="6">
        <v>45118</v>
      </c>
      <c r="H230" s="6">
        <v>45153</v>
      </c>
      <c r="I230">
        <v>2022</v>
      </c>
      <c r="J230" t="s">
        <v>2175</v>
      </c>
      <c r="K230" t="s">
        <v>2197</v>
      </c>
    </row>
    <row r="231" spans="1:11" x14ac:dyDescent="0.2">
      <c r="A231" t="s">
        <v>2198</v>
      </c>
      <c r="B231" t="s">
        <v>2191</v>
      </c>
      <c r="C231">
        <v>5.7000000000000003E-5</v>
      </c>
      <c r="D231" t="s">
        <v>20</v>
      </c>
      <c r="E231" s="6">
        <v>39261</v>
      </c>
      <c r="F231" s="6">
        <v>39262</v>
      </c>
      <c r="G231" s="6">
        <v>39262</v>
      </c>
      <c r="I231">
        <v>2006</v>
      </c>
      <c r="J231" t="s">
        <v>2175</v>
      </c>
      <c r="K231" t="s">
        <v>2199</v>
      </c>
    </row>
    <row r="232" spans="1:11" x14ac:dyDescent="0.2">
      <c r="A232" t="s">
        <v>2198</v>
      </c>
      <c r="B232" t="s">
        <v>2191</v>
      </c>
      <c r="C232">
        <v>1.5E-5</v>
      </c>
      <c r="D232" t="s">
        <v>20</v>
      </c>
      <c r="E232" s="6">
        <v>40679</v>
      </c>
      <c r="F232" s="6">
        <v>40680</v>
      </c>
      <c r="G232" s="6">
        <v>40680</v>
      </c>
      <c r="I232">
        <v>2010</v>
      </c>
      <c r="J232" t="s">
        <v>2175</v>
      </c>
      <c r="K232" t="s">
        <v>2199</v>
      </c>
    </row>
    <row r="233" spans="1:11" x14ac:dyDescent="0.2">
      <c r="A233" t="s">
        <v>2198</v>
      </c>
      <c r="B233" t="s">
        <v>2191</v>
      </c>
      <c r="C233">
        <v>1.0399999999999999E-3</v>
      </c>
      <c r="D233" t="s">
        <v>20</v>
      </c>
      <c r="E233" s="6">
        <v>42160</v>
      </c>
      <c r="F233" s="6">
        <v>42163</v>
      </c>
      <c r="G233" s="6">
        <v>42164</v>
      </c>
      <c r="I233">
        <v>2014</v>
      </c>
      <c r="J233" t="s">
        <v>2175</v>
      </c>
      <c r="K233" t="s">
        <v>2199</v>
      </c>
    </row>
    <row r="234" spans="1:11" x14ac:dyDescent="0.2">
      <c r="A234" t="s">
        <v>2198</v>
      </c>
      <c r="B234" t="s">
        <v>2191</v>
      </c>
      <c r="C234">
        <v>1.78E-2</v>
      </c>
      <c r="D234" t="s">
        <v>20</v>
      </c>
      <c r="E234" s="6">
        <v>42538</v>
      </c>
      <c r="F234" s="6">
        <v>42541</v>
      </c>
      <c r="G234" s="6">
        <v>42542</v>
      </c>
      <c r="I234">
        <v>2015</v>
      </c>
      <c r="J234" t="s">
        <v>2175</v>
      </c>
      <c r="K234" t="s">
        <v>2199</v>
      </c>
    </row>
    <row r="235" spans="1:11" x14ac:dyDescent="0.2">
      <c r="A235" t="s">
        <v>2198</v>
      </c>
      <c r="B235" t="s">
        <v>2191</v>
      </c>
      <c r="C235">
        <v>0.15</v>
      </c>
      <c r="D235" t="s">
        <v>20</v>
      </c>
      <c r="E235" s="6">
        <v>42902</v>
      </c>
      <c r="F235" s="6">
        <v>42905</v>
      </c>
      <c r="G235" s="6">
        <v>42906</v>
      </c>
      <c r="I235">
        <v>2016</v>
      </c>
      <c r="J235" t="s">
        <v>2175</v>
      </c>
      <c r="K235" t="s">
        <v>2199</v>
      </c>
    </row>
    <row r="236" spans="1:11" x14ac:dyDescent="0.2">
      <c r="A236" t="s">
        <v>2198</v>
      </c>
      <c r="B236" t="s">
        <v>2191</v>
      </c>
      <c r="C236">
        <v>0.13</v>
      </c>
      <c r="D236" t="s">
        <v>20</v>
      </c>
      <c r="E236" s="6">
        <v>43250</v>
      </c>
      <c r="F236" s="6">
        <v>43251</v>
      </c>
      <c r="G236" s="6">
        <v>43252</v>
      </c>
      <c r="I236">
        <v>2017</v>
      </c>
      <c r="J236" t="s">
        <v>2175</v>
      </c>
      <c r="K236" t="s">
        <v>2199</v>
      </c>
    </row>
    <row r="237" spans="1:11" x14ac:dyDescent="0.2">
      <c r="A237" t="s">
        <v>2198</v>
      </c>
      <c r="B237" t="s">
        <v>2191</v>
      </c>
      <c r="C237">
        <v>0.17</v>
      </c>
      <c r="D237" t="s">
        <v>20</v>
      </c>
      <c r="E237" s="6">
        <v>43614</v>
      </c>
      <c r="F237" s="6">
        <v>43615</v>
      </c>
      <c r="G237" s="6">
        <v>43616</v>
      </c>
      <c r="H237" s="6">
        <v>43654</v>
      </c>
      <c r="I237">
        <v>2018</v>
      </c>
      <c r="J237" t="s">
        <v>2175</v>
      </c>
      <c r="K237" t="s">
        <v>2199</v>
      </c>
    </row>
    <row r="238" spans="1:11" x14ac:dyDescent="0.2">
      <c r="A238" t="s">
        <v>2198</v>
      </c>
      <c r="B238" t="s">
        <v>2191</v>
      </c>
      <c r="C238">
        <v>0.2</v>
      </c>
      <c r="D238" t="s">
        <v>20</v>
      </c>
      <c r="E238" s="6">
        <v>43979</v>
      </c>
      <c r="F238" s="6">
        <v>43980</v>
      </c>
      <c r="G238" s="6">
        <v>43983</v>
      </c>
      <c r="I238">
        <v>2019</v>
      </c>
      <c r="J238" t="s">
        <v>2175</v>
      </c>
      <c r="K238" t="s">
        <v>2199</v>
      </c>
    </row>
    <row r="239" spans="1:11" x14ac:dyDescent="0.2">
      <c r="A239" t="s">
        <v>2198</v>
      </c>
      <c r="B239" t="s">
        <v>2191</v>
      </c>
      <c r="C239">
        <v>0.18</v>
      </c>
      <c r="D239" t="s">
        <v>20</v>
      </c>
      <c r="E239" s="6">
        <v>44351</v>
      </c>
      <c r="F239" s="6">
        <v>44354</v>
      </c>
      <c r="G239" s="6">
        <v>44354</v>
      </c>
      <c r="H239" s="6">
        <v>44390</v>
      </c>
      <c r="I239">
        <v>2020</v>
      </c>
      <c r="J239" t="s">
        <v>2175</v>
      </c>
      <c r="K239" t="s">
        <v>2199</v>
      </c>
    </row>
    <row r="240" spans="1:11" x14ac:dyDescent="0.2">
      <c r="A240" t="s">
        <v>2198</v>
      </c>
      <c r="B240" t="s">
        <v>2191</v>
      </c>
      <c r="C240">
        <v>0.24</v>
      </c>
      <c r="D240" t="s">
        <v>20</v>
      </c>
      <c r="E240" s="6">
        <v>44720</v>
      </c>
      <c r="F240" s="6">
        <v>44721</v>
      </c>
      <c r="G240" s="6">
        <v>44722</v>
      </c>
      <c r="H240" s="6">
        <v>44757</v>
      </c>
      <c r="I240">
        <v>2021</v>
      </c>
      <c r="J240" t="s">
        <v>2175</v>
      </c>
      <c r="K240" t="s">
        <v>2199</v>
      </c>
    </row>
    <row r="241" spans="1:11" x14ac:dyDescent="0.2">
      <c r="A241" t="s">
        <v>2198</v>
      </c>
      <c r="B241" t="s">
        <v>2191</v>
      </c>
      <c r="C241">
        <v>0.28000000000000003</v>
      </c>
      <c r="D241" t="s">
        <v>20</v>
      </c>
      <c r="E241" s="6">
        <v>45072</v>
      </c>
      <c r="F241" s="6">
        <v>45075</v>
      </c>
      <c r="G241" s="6">
        <v>45076</v>
      </c>
      <c r="H241" s="6">
        <v>45111</v>
      </c>
      <c r="I241">
        <v>2022</v>
      </c>
      <c r="J241" t="s">
        <v>2175</v>
      </c>
      <c r="K241" t="s">
        <v>2199</v>
      </c>
    </row>
    <row r="242" spans="1:11" x14ac:dyDescent="0.2">
      <c r="A242" t="s">
        <v>2198</v>
      </c>
      <c r="B242" t="s">
        <v>2191</v>
      </c>
      <c r="C242">
        <v>0.33</v>
      </c>
      <c r="D242" t="s">
        <v>20</v>
      </c>
      <c r="E242" s="6">
        <v>45443</v>
      </c>
      <c r="F242" s="6">
        <v>45446</v>
      </c>
      <c r="G242" s="6">
        <v>45446</v>
      </c>
      <c r="H242" s="6">
        <v>45482</v>
      </c>
      <c r="I242">
        <v>2023</v>
      </c>
      <c r="J242" t="s">
        <v>2175</v>
      </c>
      <c r="K242" t="s">
        <v>2199</v>
      </c>
    </row>
    <row r="243" spans="1:11" x14ac:dyDescent="0.2">
      <c r="A243" t="s">
        <v>2198</v>
      </c>
      <c r="B243" t="s">
        <v>2191</v>
      </c>
      <c r="C243">
        <v>0.35</v>
      </c>
      <c r="D243" t="s">
        <v>20</v>
      </c>
      <c r="E243" s="6">
        <v>45814</v>
      </c>
      <c r="F243" s="6">
        <v>45817</v>
      </c>
      <c r="G243" s="6">
        <v>45817</v>
      </c>
      <c r="H243" s="6">
        <v>45854</v>
      </c>
      <c r="I243">
        <v>2024</v>
      </c>
      <c r="J243" t="s">
        <v>2175</v>
      </c>
      <c r="K243" t="s">
        <v>2199</v>
      </c>
    </row>
    <row r="244" spans="1:11" x14ac:dyDescent="0.2">
      <c r="A244" t="s">
        <v>2200</v>
      </c>
      <c r="B244" t="s">
        <v>2191</v>
      </c>
      <c r="C244">
        <v>1.4500000000000001E-2</v>
      </c>
      <c r="D244" t="s">
        <v>20</v>
      </c>
      <c r="E244" s="6">
        <v>40673</v>
      </c>
      <c r="F244" s="6">
        <v>40674</v>
      </c>
      <c r="G244" s="6">
        <v>40675</v>
      </c>
      <c r="I244">
        <v>2010</v>
      </c>
      <c r="J244" t="s">
        <v>2175</v>
      </c>
      <c r="K244" t="s">
        <v>2201</v>
      </c>
    </row>
    <row r="245" spans="1:11" x14ac:dyDescent="0.2">
      <c r="A245" t="s">
        <v>2200</v>
      </c>
      <c r="B245" t="s">
        <v>2191</v>
      </c>
      <c r="C245">
        <v>0.01</v>
      </c>
      <c r="D245" t="s">
        <v>20</v>
      </c>
      <c r="E245" s="6">
        <v>41032</v>
      </c>
      <c r="F245" s="6">
        <v>41033</v>
      </c>
      <c r="G245" s="6">
        <v>41036</v>
      </c>
      <c r="I245">
        <v>2011</v>
      </c>
      <c r="J245" t="s">
        <v>2175</v>
      </c>
      <c r="K245" t="s">
        <v>2201</v>
      </c>
    </row>
    <row r="246" spans="1:11" x14ac:dyDescent="0.2">
      <c r="A246" t="s">
        <v>2200</v>
      </c>
      <c r="B246" t="s">
        <v>2191</v>
      </c>
      <c r="C246">
        <v>2.0400000000000001E-2</v>
      </c>
      <c r="D246" t="s">
        <v>20</v>
      </c>
      <c r="E246" s="6">
        <v>41397</v>
      </c>
      <c r="F246" s="6">
        <v>41400</v>
      </c>
      <c r="G246" s="6">
        <v>41400</v>
      </c>
      <c r="I246">
        <v>2012</v>
      </c>
      <c r="J246" t="s">
        <v>2175</v>
      </c>
      <c r="K246" t="s">
        <v>2201</v>
      </c>
    </row>
    <row r="247" spans="1:11" x14ac:dyDescent="0.2">
      <c r="A247" t="s">
        <v>2200</v>
      </c>
      <c r="B247" t="s">
        <v>2191</v>
      </c>
      <c r="C247">
        <v>1.8E-3</v>
      </c>
      <c r="D247" t="s">
        <v>20</v>
      </c>
      <c r="E247" s="6">
        <v>41830</v>
      </c>
      <c r="F247" s="6">
        <v>41831</v>
      </c>
      <c r="G247" s="6">
        <v>41834</v>
      </c>
      <c r="I247">
        <v>2013</v>
      </c>
      <c r="J247" t="s">
        <v>2175</v>
      </c>
      <c r="K247" t="s">
        <v>2201</v>
      </c>
    </row>
    <row r="248" spans="1:11" x14ac:dyDescent="0.2">
      <c r="A248" t="s">
        <v>2200</v>
      </c>
      <c r="B248" t="s">
        <v>2191</v>
      </c>
      <c r="C248">
        <v>1.9699999999999999E-2</v>
      </c>
      <c r="D248" t="s">
        <v>20</v>
      </c>
      <c r="E248" s="6">
        <v>42188</v>
      </c>
      <c r="F248" s="6">
        <v>42191</v>
      </c>
      <c r="G248" s="6">
        <v>42192</v>
      </c>
      <c r="I248">
        <v>2014</v>
      </c>
      <c r="J248" t="s">
        <v>2175</v>
      </c>
      <c r="K248" t="s">
        <v>2201</v>
      </c>
    </row>
    <row r="249" spans="1:11" x14ac:dyDescent="0.2">
      <c r="A249" t="s">
        <v>2200</v>
      </c>
      <c r="B249" t="s">
        <v>2191</v>
      </c>
      <c r="C249">
        <v>1.0800000000000001E-2</v>
      </c>
      <c r="D249" t="s">
        <v>20</v>
      </c>
      <c r="E249" s="6">
        <v>42544</v>
      </c>
      <c r="F249" s="6">
        <v>42545</v>
      </c>
      <c r="G249" s="6">
        <v>42548</v>
      </c>
      <c r="I249">
        <v>2015</v>
      </c>
      <c r="J249" t="s">
        <v>2175</v>
      </c>
      <c r="K249" t="s">
        <v>2201</v>
      </c>
    </row>
    <row r="250" spans="1:11" x14ac:dyDescent="0.2">
      <c r="A250" t="s">
        <v>2200</v>
      </c>
      <c r="B250" t="s">
        <v>2191</v>
      </c>
      <c r="C250">
        <v>4.4200000000000003E-2</v>
      </c>
      <c r="D250" t="s">
        <v>20</v>
      </c>
      <c r="E250" s="6">
        <v>42905</v>
      </c>
      <c r="F250" s="6">
        <v>42906</v>
      </c>
      <c r="G250" s="6">
        <v>42907</v>
      </c>
      <c r="I250">
        <v>2016</v>
      </c>
      <c r="J250" t="s">
        <v>2175</v>
      </c>
      <c r="K250" t="s">
        <v>2201</v>
      </c>
    </row>
    <row r="251" spans="1:11" x14ac:dyDescent="0.2">
      <c r="A251" t="s">
        <v>2200</v>
      </c>
      <c r="B251" t="s">
        <v>2191</v>
      </c>
      <c r="C251">
        <v>2.0799999999999999E-2</v>
      </c>
      <c r="D251" t="s">
        <v>20</v>
      </c>
      <c r="E251" s="6">
        <v>43260</v>
      </c>
      <c r="F251" s="6">
        <v>43262</v>
      </c>
      <c r="G251" s="6">
        <v>43264</v>
      </c>
      <c r="I251">
        <v>2017</v>
      </c>
      <c r="J251" t="s">
        <v>2175</v>
      </c>
      <c r="K251" t="s">
        <v>2201</v>
      </c>
    </row>
    <row r="252" spans="1:11" x14ac:dyDescent="0.2">
      <c r="A252" t="s">
        <v>2200</v>
      </c>
      <c r="B252" t="s">
        <v>2191</v>
      </c>
      <c r="C252">
        <v>2.0799999999999999E-2</v>
      </c>
      <c r="D252" t="s">
        <v>20</v>
      </c>
      <c r="E252" s="6">
        <v>43622</v>
      </c>
      <c r="F252" s="6">
        <v>43623</v>
      </c>
      <c r="G252" s="6">
        <v>43626</v>
      </c>
      <c r="I252">
        <v>2018</v>
      </c>
      <c r="J252" t="s">
        <v>2175</v>
      </c>
      <c r="K252" t="s">
        <v>2201</v>
      </c>
    </row>
    <row r="253" spans="1:11" x14ac:dyDescent="0.2">
      <c r="A253" t="s">
        <v>2200</v>
      </c>
      <c r="B253" t="s">
        <v>2191</v>
      </c>
      <c r="C253">
        <v>2.01E-2</v>
      </c>
      <c r="D253" t="s">
        <v>20</v>
      </c>
      <c r="E253" s="6">
        <v>43839</v>
      </c>
      <c r="F253" s="6">
        <v>43840</v>
      </c>
      <c r="G253" s="6">
        <v>43843</v>
      </c>
      <c r="I253">
        <v>2019</v>
      </c>
      <c r="J253" t="s">
        <v>2180</v>
      </c>
      <c r="K253" t="s">
        <v>2201</v>
      </c>
    </row>
    <row r="254" spans="1:11" x14ac:dyDescent="0.2">
      <c r="A254" t="s">
        <v>2200</v>
      </c>
      <c r="B254" t="s">
        <v>2191</v>
      </c>
      <c r="C254">
        <v>3.3500000000000002E-2</v>
      </c>
      <c r="D254" t="s">
        <v>20</v>
      </c>
      <c r="E254" s="6">
        <v>44356</v>
      </c>
      <c r="F254" s="6">
        <v>44357</v>
      </c>
      <c r="G254" s="6">
        <v>44358</v>
      </c>
      <c r="I254">
        <v>2020</v>
      </c>
      <c r="J254" t="s">
        <v>2175</v>
      </c>
      <c r="K254" t="s">
        <v>2201</v>
      </c>
    </row>
    <row r="255" spans="1:11" x14ac:dyDescent="0.2">
      <c r="A255" t="s">
        <v>2200</v>
      </c>
      <c r="B255" t="s">
        <v>2191</v>
      </c>
      <c r="C255">
        <v>3.3799999999999997E-2</v>
      </c>
      <c r="D255" t="s">
        <v>20</v>
      </c>
      <c r="E255" s="6">
        <v>44736</v>
      </c>
      <c r="F255" s="6">
        <v>44739</v>
      </c>
      <c r="G255" s="6">
        <v>44740</v>
      </c>
      <c r="H255" s="6">
        <v>44775</v>
      </c>
      <c r="I255">
        <v>2021</v>
      </c>
      <c r="J255" t="s">
        <v>2175</v>
      </c>
      <c r="K255" t="s">
        <v>2201</v>
      </c>
    </row>
    <row r="256" spans="1:11" x14ac:dyDescent="0.2">
      <c r="A256" t="s">
        <v>2200</v>
      </c>
      <c r="B256" t="s">
        <v>2191</v>
      </c>
      <c r="C256">
        <v>3.4000000000000002E-2</v>
      </c>
      <c r="D256" t="s">
        <v>20</v>
      </c>
      <c r="E256" s="6">
        <v>44924</v>
      </c>
      <c r="F256" s="6">
        <v>44925</v>
      </c>
      <c r="G256" s="6">
        <v>44934</v>
      </c>
      <c r="H256" s="6">
        <v>44967</v>
      </c>
      <c r="I256">
        <v>2022</v>
      </c>
      <c r="J256" t="s">
        <v>2180</v>
      </c>
      <c r="K256" t="s">
        <v>2201</v>
      </c>
    </row>
    <row r="257" spans="1:11" x14ac:dyDescent="0.2">
      <c r="A257" t="s">
        <v>2200</v>
      </c>
      <c r="B257" t="s">
        <v>2191</v>
      </c>
      <c r="C257">
        <v>1.12E-2</v>
      </c>
      <c r="D257" t="s">
        <v>20</v>
      </c>
      <c r="E257" s="6">
        <v>45098</v>
      </c>
      <c r="F257" s="6">
        <v>45099</v>
      </c>
      <c r="G257" s="6">
        <v>45100</v>
      </c>
      <c r="H257" s="6">
        <v>45135</v>
      </c>
      <c r="I257">
        <v>2022</v>
      </c>
      <c r="J257" t="s">
        <v>2175</v>
      </c>
      <c r="K257" t="s">
        <v>2201</v>
      </c>
    </row>
    <row r="258" spans="1:11" x14ac:dyDescent="0.2">
      <c r="A258" t="s">
        <v>2200</v>
      </c>
      <c r="B258" t="s">
        <v>2191</v>
      </c>
      <c r="C258">
        <v>6.6199999999999995E-2</v>
      </c>
      <c r="D258" t="s">
        <v>20</v>
      </c>
      <c r="E258" s="6">
        <v>45476</v>
      </c>
      <c r="F258" s="6">
        <v>45477</v>
      </c>
      <c r="G258" s="6">
        <v>45477</v>
      </c>
      <c r="H258" s="6">
        <v>45512</v>
      </c>
      <c r="I258">
        <v>2023</v>
      </c>
      <c r="J258" t="s">
        <v>2175</v>
      </c>
      <c r="K258" t="s">
        <v>2201</v>
      </c>
    </row>
    <row r="259" spans="1:11" x14ac:dyDescent="0.2">
      <c r="A259" t="s">
        <v>2200</v>
      </c>
      <c r="B259" t="s">
        <v>2191</v>
      </c>
      <c r="C259">
        <v>6.7599999999999993E-2</v>
      </c>
      <c r="D259" t="s">
        <v>20</v>
      </c>
      <c r="E259" s="6">
        <v>45832</v>
      </c>
      <c r="F259" s="6">
        <v>45833</v>
      </c>
      <c r="G259" s="6">
        <v>45833</v>
      </c>
      <c r="H259" s="6">
        <v>45869</v>
      </c>
      <c r="I259">
        <v>2024</v>
      </c>
      <c r="J259" t="s">
        <v>2175</v>
      </c>
      <c r="K259" t="s">
        <v>2201</v>
      </c>
    </row>
    <row r="260" spans="1:11" x14ac:dyDescent="0.2">
      <c r="A260" t="s">
        <v>2202</v>
      </c>
      <c r="B260" t="s">
        <v>2191</v>
      </c>
      <c r="C260">
        <v>1.2509999999999999E-3</v>
      </c>
      <c r="D260" t="s">
        <v>20</v>
      </c>
      <c r="E260" s="6">
        <v>40668</v>
      </c>
      <c r="F260" s="6">
        <v>40669</v>
      </c>
      <c r="G260" s="6">
        <v>40669</v>
      </c>
      <c r="I260">
        <v>2010</v>
      </c>
      <c r="J260" t="s">
        <v>2175</v>
      </c>
      <c r="K260" t="s">
        <v>2203</v>
      </c>
    </row>
    <row r="261" spans="1:11" x14ac:dyDescent="0.2">
      <c r="A261" t="s">
        <v>2202</v>
      </c>
      <c r="B261" t="s">
        <v>2191</v>
      </c>
      <c r="C261">
        <v>2.8E-3</v>
      </c>
      <c r="D261" t="s">
        <v>20</v>
      </c>
      <c r="E261" s="6">
        <v>41041</v>
      </c>
      <c r="F261" s="6">
        <v>41043</v>
      </c>
      <c r="G261" s="6">
        <v>41043</v>
      </c>
      <c r="I261">
        <v>2011</v>
      </c>
      <c r="J261" t="s">
        <v>2175</v>
      </c>
      <c r="K261" t="s">
        <v>2203</v>
      </c>
    </row>
    <row r="262" spans="1:11" x14ac:dyDescent="0.2">
      <c r="A262" t="s">
        <v>2202</v>
      </c>
      <c r="B262" t="s">
        <v>2191</v>
      </c>
      <c r="C262">
        <v>4.2500000000000003E-3</v>
      </c>
      <c r="D262" t="s">
        <v>20</v>
      </c>
      <c r="E262" s="6">
        <v>41401</v>
      </c>
      <c r="F262" s="6">
        <v>41402</v>
      </c>
      <c r="G262" s="6">
        <v>41402</v>
      </c>
      <c r="I262">
        <v>2012</v>
      </c>
      <c r="J262" t="s">
        <v>2175</v>
      </c>
      <c r="K262" t="s">
        <v>2203</v>
      </c>
    </row>
    <row r="263" spans="1:11" x14ac:dyDescent="0.2">
      <c r="A263" t="s">
        <v>2202</v>
      </c>
      <c r="B263" t="s">
        <v>2191</v>
      </c>
      <c r="C263">
        <v>5.6299999999999996E-3</v>
      </c>
      <c r="D263" t="s">
        <v>20</v>
      </c>
      <c r="E263" s="6">
        <v>41829</v>
      </c>
      <c r="F263" s="6">
        <v>41830</v>
      </c>
      <c r="G263" s="6">
        <v>41831</v>
      </c>
      <c r="I263">
        <v>2013</v>
      </c>
      <c r="J263" t="s">
        <v>2175</v>
      </c>
      <c r="K263" t="s">
        <v>2203</v>
      </c>
    </row>
    <row r="264" spans="1:11" x14ac:dyDescent="0.2">
      <c r="A264" t="s">
        <v>2202</v>
      </c>
      <c r="B264" t="s">
        <v>2191</v>
      </c>
      <c r="C264">
        <v>3.0999999999999999E-3</v>
      </c>
      <c r="D264" t="s">
        <v>20</v>
      </c>
      <c r="E264" s="6">
        <v>42180</v>
      </c>
      <c r="F264" s="6">
        <v>42181</v>
      </c>
      <c r="G264" s="6">
        <v>42184</v>
      </c>
      <c r="I264">
        <v>2014</v>
      </c>
      <c r="J264" t="s">
        <v>2175</v>
      </c>
      <c r="K264" t="s">
        <v>2203</v>
      </c>
    </row>
    <row r="265" spans="1:11" x14ac:dyDescent="0.2">
      <c r="A265" t="s">
        <v>2202</v>
      </c>
      <c r="B265" t="s">
        <v>2191</v>
      </c>
      <c r="C265">
        <v>8.3639999999999999E-3</v>
      </c>
      <c r="D265" t="s">
        <v>20</v>
      </c>
      <c r="E265" s="6">
        <v>42544</v>
      </c>
      <c r="F265" s="6">
        <v>42545</v>
      </c>
      <c r="G265" s="6">
        <v>42548</v>
      </c>
      <c r="I265">
        <v>2015</v>
      </c>
      <c r="J265" t="s">
        <v>2175</v>
      </c>
      <c r="K265" t="s">
        <v>2203</v>
      </c>
    </row>
    <row r="266" spans="1:11" x14ac:dyDescent="0.2">
      <c r="A266" t="s">
        <v>2202</v>
      </c>
      <c r="B266" t="s">
        <v>2191</v>
      </c>
      <c r="C266">
        <v>1.18E-2</v>
      </c>
      <c r="D266" t="s">
        <v>20</v>
      </c>
      <c r="E266" s="6">
        <v>42900</v>
      </c>
      <c r="F266" s="6">
        <v>42901</v>
      </c>
      <c r="G266" s="6">
        <v>42902</v>
      </c>
      <c r="I266">
        <v>2016</v>
      </c>
      <c r="J266" t="s">
        <v>2175</v>
      </c>
      <c r="K266" t="s">
        <v>2203</v>
      </c>
    </row>
    <row r="267" spans="1:11" x14ac:dyDescent="0.2">
      <c r="A267" t="s">
        <v>2202</v>
      </c>
      <c r="B267" t="s">
        <v>2191</v>
      </c>
      <c r="C267">
        <v>4.02E-2</v>
      </c>
      <c r="D267" t="s">
        <v>20</v>
      </c>
      <c r="E267" s="6">
        <v>43260</v>
      </c>
      <c r="F267" s="6">
        <v>43262</v>
      </c>
      <c r="G267" s="6">
        <v>43263</v>
      </c>
      <c r="I267">
        <v>2017</v>
      </c>
      <c r="J267" t="s">
        <v>2175</v>
      </c>
      <c r="K267" t="s">
        <v>2203</v>
      </c>
    </row>
    <row r="268" spans="1:11" x14ac:dyDescent="0.2">
      <c r="A268" t="s">
        <v>2202</v>
      </c>
      <c r="B268" t="s">
        <v>2191</v>
      </c>
      <c r="C268">
        <v>4.07E-2</v>
      </c>
      <c r="D268" t="s">
        <v>20</v>
      </c>
      <c r="E268" s="6">
        <v>43637</v>
      </c>
      <c r="F268" s="6">
        <v>43640</v>
      </c>
      <c r="G268" s="6">
        <v>43641</v>
      </c>
      <c r="I268">
        <v>2018</v>
      </c>
      <c r="J268" t="s">
        <v>2175</v>
      </c>
      <c r="K268" t="s">
        <v>2203</v>
      </c>
    </row>
    <row r="269" spans="1:11" x14ac:dyDescent="0.2">
      <c r="A269" t="s">
        <v>2202</v>
      </c>
      <c r="B269" t="s">
        <v>2191</v>
      </c>
      <c r="C269">
        <v>1.6299999999999999E-2</v>
      </c>
      <c r="D269" t="s">
        <v>20</v>
      </c>
      <c r="E269" s="6">
        <v>43840</v>
      </c>
      <c r="F269" s="6">
        <v>43843</v>
      </c>
      <c r="G269" s="6">
        <v>43844</v>
      </c>
      <c r="I269">
        <v>2019</v>
      </c>
      <c r="J269" t="s">
        <v>2180</v>
      </c>
      <c r="K269" t="s">
        <v>2203</v>
      </c>
    </row>
    <row r="270" spans="1:11" x14ac:dyDescent="0.2">
      <c r="A270" t="s">
        <v>2202</v>
      </c>
      <c r="B270" t="s">
        <v>2191</v>
      </c>
      <c r="C270">
        <v>2.5899999999999999E-2</v>
      </c>
      <c r="D270" t="s">
        <v>20</v>
      </c>
      <c r="E270" s="6">
        <v>44357</v>
      </c>
      <c r="F270" s="6">
        <v>44358</v>
      </c>
      <c r="G270" s="6">
        <v>44362</v>
      </c>
      <c r="H270" s="6">
        <v>44397</v>
      </c>
      <c r="I270">
        <v>2020</v>
      </c>
      <c r="J270" t="s">
        <v>2175</v>
      </c>
      <c r="K270" t="s">
        <v>2203</v>
      </c>
    </row>
    <row r="271" spans="1:11" x14ac:dyDescent="0.2">
      <c r="A271" t="s">
        <v>2202</v>
      </c>
      <c r="B271" t="s">
        <v>2191</v>
      </c>
      <c r="C271">
        <v>2.7799999999999998E-2</v>
      </c>
      <c r="D271" t="s">
        <v>20</v>
      </c>
      <c r="E271" s="6">
        <v>44735</v>
      </c>
      <c r="F271" s="6">
        <v>44736</v>
      </c>
      <c r="G271" s="6">
        <v>44739</v>
      </c>
      <c r="H271" s="6">
        <v>44774</v>
      </c>
      <c r="I271">
        <v>2021</v>
      </c>
      <c r="J271" t="s">
        <v>2175</v>
      </c>
      <c r="K271" t="s">
        <v>2203</v>
      </c>
    </row>
    <row r="272" spans="1:11" x14ac:dyDescent="0.2">
      <c r="A272" t="s">
        <v>2202</v>
      </c>
      <c r="B272" t="s">
        <v>2191</v>
      </c>
      <c r="C272">
        <v>3.0200000000000001E-2</v>
      </c>
      <c r="D272" t="s">
        <v>20</v>
      </c>
      <c r="E272" s="6">
        <v>44924</v>
      </c>
      <c r="F272" s="6">
        <v>44925</v>
      </c>
      <c r="G272" s="6">
        <v>44934</v>
      </c>
      <c r="H272" s="6">
        <v>44967</v>
      </c>
      <c r="I272">
        <v>2022</v>
      </c>
      <c r="J272" t="s">
        <v>2180</v>
      </c>
      <c r="K272" t="s">
        <v>2203</v>
      </c>
    </row>
    <row r="273" spans="1:11" x14ac:dyDescent="0.2">
      <c r="A273" t="s">
        <v>2202</v>
      </c>
      <c r="B273" t="s">
        <v>2191</v>
      </c>
      <c r="C273">
        <v>2.0400000000000001E-3</v>
      </c>
      <c r="D273" t="s">
        <v>20</v>
      </c>
      <c r="E273" s="6">
        <v>45098</v>
      </c>
      <c r="F273" s="6">
        <v>45099</v>
      </c>
      <c r="G273" s="6">
        <v>45100</v>
      </c>
      <c r="H273" s="6">
        <v>45135</v>
      </c>
      <c r="I273">
        <v>2022</v>
      </c>
      <c r="J273" t="s">
        <v>2175</v>
      </c>
      <c r="K273" t="s">
        <v>2203</v>
      </c>
    </row>
    <row r="274" spans="1:11" x14ac:dyDescent="0.2">
      <c r="A274" t="s">
        <v>2202</v>
      </c>
      <c r="B274" t="s">
        <v>2191</v>
      </c>
      <c r="C274">
        <v>3.8800000000000001E-2</v>
      </c>
      <c r="D274" t="s">
        <v>20</v>
      </c>
      <c r="E274" s="6">
        <v>45470</v>
      </c>
      <c r="F274" s="6">
        <v>45471</v>
      </c>
      <c r="G274" s="6">
        <v>45471</v>
      </c>
      <c r="H274" s="6">
        <v>45506</v>
      </c>
      <c r="I274">
        <v>2023</v>
      </c>
      <c r="J274" t="s">
        <v>2175</v>
      </c>
      <c r="K274" t="s">
        <v>2203</v>
      </c>
    </row>
    <row r="275" spans="1:11" x14ac:dyDescent="0.2">
      <c r="A275" t="s">
        <v>2202</v>
      </c>
      <c r="B275" t="s">
        <v>2191</v>
      </c>
      <c r="C275">
        <v>5.0200000000000002E-2</v>
      </c>
      <c r="D275" t="s">
        <v>20</v>
      </c>
      <c r="E275" s="6">
        <v>45838</v>
      </c>
      <c r="F275" s="6">
        <v>45839</v>
      </c>
      <c r="G275" s="6">
        <v>45839</v>
      </c>
      <c r="H275" s="6">
        <v>45874</v>
      </c>
      <c r="I275">
        <v>2024</v>
      </c>
      <c r="J275" t="s">
        <v>2175</v>
      </c>
      <c r="K275" t="s">
        <v>2203</v>
      </c>
    </row>
    <row r="276" spans="1:11" x14ac:dyDescent="0.2">
      <c r="A276" t="s">
        <v>2204</v>
      </c>
      <c r="B276" t="s">
        <v>2191</v>
      </c>
      <c r="C276">
        <v>1.5900000000000001E-3</v>
      </c>
      <c r="D276" t="s">
        <v>20</v>
      </c>
      <c r="E276" s="6">
        <v>39538</v>
      </c>
      <c r="F276" s="6">
        <v>39539</v>
      </c>
      <c r="G276" s="6">
        <v>39568</v>
      </c>
      <c r="I276">
        <v>2007</v>
      </c>
      <c r="J276" t="s">
        <v>2175</v>
      </c>
      <c r="K276" t="s">
        <v>2205</v>
      </c>
    </row>
    <row r="277" spans="1:11" x14ac:dyDescent="0.2">
      <c r="A277" t="s">
        <v>2204</v>
      </c>
      <c r="B277" t="s">
        <v>2191</v>
      </c>
      <c r="C277">
        <v>2.8E-3</v>
      </c>
      <c r="D277" t="s">
        <v>20</v>
      </c>
      <c r="E277" s="6">
        <v>40672</v>
      </c>
      <c r="F277" s="6">
        <v>40673</v>
      </c>
      <c r="G277" s="6">
        <v>40674</v>
      </c>
      <c r="I277">
        <v>2010</v>
      </c>
      <c r="J277" t="s">
        <v>2175</v>
      </c>
      <c r="K277" t="s">
        <v>2205</v>
      </c>
    </row>
    <row r="278" spans="1:11" x14ac:dyDescent="0.2">
      <c r="A278" t="s">
        <v>2204</v>
      </c>
      <c r="B278" t="s">
        <v>2191</v>
      </c>
      <c r="C278">
        <v>2.8E-3</v>
      </c>
      <c r="D278" t="s">
        <v>20</v>
      </c>
      <c r="E278" s="6">
        <v>41031</v>
      </c>
      <c r="F278" s="6">
        <v>41032</v>
      </c>
      <c r="G278" s="6">
        <v>41033</v>
      </c>
      <c r="I278">
        <v>2011</v>
      </c>
      <c r="J278" t="s">
        <v>2175</v>
      </c>
      <c r="K278" t="s">
        <v>2205</v>
      </c>
    </row>
    <row r="279" spans="1:11" x14ac:dyDescent="0.2">
      <c r="A279" t="s">
        <v>2204</v>
      </c>
      <c r="B279" t="s">
        <v>2191</v>
      </c>
      <c r="C279">
        <v>1.7899999999999999E-3</v>
      </c>
      <c r="D279" t="s">
        <v>20</v>
      </c>
      <c r="E279" s="6">
        <v>41390</v>
      </c>
      <c r="F279" s="6">
        <v>41393</v>
      </c>
      <c r="G279" s="6">
        <v>41394</v>
      </c>
      <c r="I279">
        <v>2012</v>
      </c>
      <c r="J279" t="s">
        <v>2175</v>
      </c>
      <c r="K279" t="s">
        <v>2205</v>
      </c>
    </row>
    <row r="280" spans="1:11" x14ac:dyDescent="0.2">
      <c r="A280" t="s">
        <v>2204</v>
      </c>
      <c r="B280" t="s">
        <v>2191</v>
      </c>
      <c r="C280">
        <v>1.0200000000000001E-3</v>
      </c>
      <c r="D280" t="s">
        <v>20</v>
      </c>
      <c r="E280" s="6">
        <v>41834</v>
      </c>
      <c r="F280" s="6">
        <v>41835</v>
      </c>
      <c r="G280" s="6">
        <v>41836</v>
      </c>
      <c r="I280">
        <v>2013</v>
      </c>
      <c r="J280" t="s">
        <v>2175</v>
      </c>
      <c r="K280" t="s">
        <v>2205</v>
      </c>
    </row>
    <row r="281" spans="1:11" x14ac:dyDescent="0.2">
      <c r="A281" t="s">
        <v>2204</v>
      </c>
      <c r="B281" t="s">
        <v>2191</v>
      </c>
      <c r="C281">
        <v>5.7999999999999996E-3</v>
      </c>
      <c r="D281" t="s">
        <v>20</v>
      </c>
      <c r="E281" s="6">
        <v>42180</v>
      </c>
      <c r="F281" s="6">
        <v>42181</v>
      </c>
      <c r="G281" s="6">
        <v>42184</v>
      </c>
      <c r="I281">
        <v>2014</v>
      </c>
      <c r="J281" t="s">
        <v>2175</v>
      </c>
      <c r="K281" t="s">
        <v>2205</v>
      </c>
    </row>
    <row r="282" spans="1:11" x14ac:dyDescent="0.2">
      <c r="A282" t="s">
        <v>2204</v>
      </c>
      <c r="B282" t="s">
        <v>2191</v>
      </c>
      <c r="C282">
        <v>1.4200000000000001E-2</v>
      </c>
      <c r="D282" t="s">
        <v>20</v>
      </c>
      <c r="E282" s="6">
        <v>42543</v>
      </c>
      <c r="F282" s="6">
        <v>42544</v>
      </c>
      <c r="G282" s="6">
        <v>42545</v>
      </c>
      <c r="I282">
        <v>2015</v>
      </c>
      <c r="J282" t="s">
        <v>2175</v>
      </c>
      <c r="K282" t="s">
        <v>2205</v>
      </c>
    </row>
    <row r="283" spans="1:11" x14ac:dyDescent="0.2">
      <c r="A283" t="s">
        <v>2204</v>
      </c>
      <c r="B283" t="s">
        <v>2191</v>
      </c>
      <c r="C283">
        <v>8.3000000000000001E-3</v>
      </c>
      <c r="D283" t="s">
        <v>20</v>
      </c>
      <c r="E283" s="6">
        <v>42902</v>
      </c>
      <c r="F283" s="6">
        <v>42905</v>
      </c>
      <c r="G283" s="6">
        <v>42906</v>
      </c>
      <c r="I283">
        <v>2016</v>
      </c>
      <c r="J283" t="s">
        <v>2175</v>
      </c>
      <c r="K283" t="s">
        <v>2205</v>
      </c>
    </row>
    <row r="284" spans="1:11" x14ac:dyDescent="0.2">
      <c r="A284" t="s">
        <v>2204</v>
      </c>
      <c r="B284" t="s">
        <v>2191</v>
      </c>
      <c r="C284">
        <v>2.1600000000000001E-2</v>
      </c>
      <c r="D284" t="s">
        <v>20</v>
      </c>
      <c r="E284" s="6">
        <v>43260</v>
      </c>
      <c r="F284" s="6">
        <v>43262</v>
      </c>
      <c r="G284" s="6">
        <v>43264</v>
      </c>
      <c r="I284">
        <v>2017</v>
      </c>
      <c r="J284" t="s">
        <v>2175</v>
      </c>
      <c r="K284" t="s">
        <v>2205</v>
      </c>
    </row>
    <row r="285" spans="1:11" x14ac:dyDescent="0.2">
      <c r="A285" t="s">
        <v>2204</v>
      </c>
      <c r="B285" t="s">
        <v>2191</v>
      </c>
      <c r="C285">
        <v>3.0000000000000001E-3</v>
      </c>
      <c r="D285" t="s">
        <v>20</v>
      </c>
      <c r="E285" s="6">
        <v>43615</v>
      </c>
      <c r="F285" s="6">
        <v>43616</v>
      </c>
      <c r="G285" s="6">
        <v>43619</v>
      </c>
      <c r="I285">
        <v>2018</v>
      </c>
      <c r="J285" t="s">
        <v>2175</v>
      </c>
      <c r="K285" t="s">
        <v>2205</v>
      </c>
    </row>
    <row r="286" spans="1:11" x14ac:dyDescent="0.2">
      <c r="A286" t="s">
        <v>2204</v>
      </c>
      <c r="B286" t="s">
        <v>2191</v>
      </c>
      <c r="C286">
        <v>3.2000000000000002E-3</v>
      </c>
      <c r="D286" t="s">
        <v>20</v>
      </c>
      <c r="E286" s="6">
        <v>43840</v>
      </c>
      <c r="F286" s="6">
        <v>43843</v>
      </c>
      <c r="G286" s="6">
        <v>43844</v>
      </c>
      <c r="I286">
        <v>2019</v>
      </c>
      <c r="J286" t="s">
        <v>2180</v>
      </c>
      <c r="K286" t="s">
        <v>2205</v>
      </c>
    </row>
    <row r="287" spans="1:11" x14ac:dyDescent="0.2">
      <c r="A287" t="s">
        <v>2204</v>
      </c>
      <c r="B287" t="s">
        <v>2191</v>
      </c>
      <c r="C287">
        <v>7.3000000000000001E-3</v>
      </c>
      <c r="D287" t="s">
        <v>20</v>
      </c>
      <c r="E287" s="6">
        <v>43987</v>
      </c>
      <c r="F287" s="6">
        <v>43990</v>
      </c>
      <c r="G287" s="6">
        <v>43991</v>
      </c>
      <c r="H287" s="6">
        <v>44029</v>
      </c>
      <c r="I287">
        <v>2019</v>
      </c>
      <c r="J287" t="s">
        <v>2175</v>
      </c>
      <c r="K287" t="s">
        <v>2205</v>
      </c>
    </row>
    <row r="288" spans="1:11" x14ac:dyDescent="0.2">
      <c r="A288" t="s">
        <v>2204</v>
      </c>
      <c r="B288" t="s">
        <v>2191</v>
      </c>
      <c r="C288">
        <v>2.4899999999999999E-2</v>
      </c>
      <c r="D288" t="s">
        <v>20</v>
      </c>
      <c r="E288" s="6">
        <v>44736</v>
      </c>
      <c r="F288" s="6">
        <v>44739</v>
      </c>
      <c r="G288" s="6">
        <v>44740</v>
      </c>
      <c r="I288">
        <v>2021</v>
      </c>
      <c r="J288" t="s">
        <v>2175</v>
      </c>
      <c r="K288" t="s">
        <v>2205</v>
      </c>
    </row>
    <row r="289" spans="1:11" x14ac:dyDescent="0.2">
      <c r="A289" t="s">
        <v>2204</v>
      </c>
      <c r="B289" t="s">
        <v>2191</v>
      </c>
      <c r="C289">
        <v>1.89E-2</v>
      </c>
      <c r="D289" t="s">
        <v>20</v>
      </c>
      <c r="E289" s="6">
        <v>44931</v>
      </c>
      <c r="F289" s="6">
        <v>44932</v>
      </c>
      <c r="G289" s="6">
        <v>44934</v>
      </c>
      <c r="H289" s="6">
        <v>44967</v>
      </c>
      <c r="I289">
        <v>2022</v>
      </c>
      <c r="J289" t="s">
        <v>2180</v>
      </c>
      <c r="K289" t="s">
        <v>2205</v>
      </c>
    </row>
    <row r="290" spans="1:11" x14ac:dyDescent="0.2">
      <c r="A290" t="s">
        <v>2204</v>
      </c>
      <c r="B290" t="s">
        <v>2191</v>
      </c>
      <c r="C290">
        <v>5.0400000000000002E-3</v>
      </c>
      <c r="D290" t="s">
        <v>20</v>
      </c>
      <c r="E290" s="6">
        <v>45098</v>
      </c>
      <c r="F290" s="6">
        <v>45099</v>
      </c>
      <c r="G290" s="6">
        <v>45100</v>
      </c>
      <c r="H290" s="6">
        <v>45135</v>
      </c>
      <c r="I290">
        <v>2022</v>
      </c>
      <c r="J290" t="s">
        <v>2175</v>
      </c>
      <c r="K290" t="s">
        <v>2205</v>
      </c>
    </row>
    <row r="291" spans="1:11" x14ac:dyDescent="0.2">
      <c r="A291" t="s">
        <v>2204</v>
      </c>
      <c r="B291" t="s">
        <v>2191</v>
      </c>
      <c r="C291">
        <v>5.4399999999999997E-2</v>
      </c>
      <c r="D291" t="s">
        <v>20</v>
      </c>
      <c r="E291" s="6">
        <v>45456</v>
      </c>
      <c r="F291" s="6">
        <v>45457</v>
      </c>
      <c r="G291" s="6">
        <v>45457</v>
      </c>
      <c r="H291" s="6">
        <v>45492</v>
      </c>
      <c r="I291">
        <v>2023</v>
      </c>
      <c r="J291" t="s">
        <v>2175</v>
      </c>
      <c r="K291" t="s">
        <v>2205</v>
      </c>
    </row>
    <row r="292" spans="1:11" x14ac:dyDescent="0.2">
      <c r="A292" t="s">
        <v>2204</v>
      </c>
      <c r="B292" t="s">
        <v>2191</v>
      </c>
      <c r="C292">
        <v>3.8399999999999997E-2</v>
      </c>
      <c r="D292" t="s">
        <v>20</v>
      </c>
      <c r="E292" s="6">
        <v>45456</v>
      </c>
      <c r="F292" s="6">
        <v>45457</v>
      </c>
      <c r="G292" s="6">
        <v>45457</v>
      </c>
      <c r="I292">
        <v>2024</v>
      </c>
      <c r="J292" t="s">
        <v>2195</v>
      </c>
      <c r="K292" t="s">
        <v>2205</v>
      </c>
    </row>
    <row r="293" spans="1:11" x14ac:dyDescent="0.2">
      <c r="A293" t="s">
        <v>2204</v>
      </c>
      <c r="B293" t="s">
        <v>2191</v>
      </c>
      <c r="C293">
        <v>3.7400000000000003E-2</v>
      </c>
      <c r="D293" t="s">
        <v>20</v>
      </c>
      <c r="E293" s="6">
        <v>45842</v>
      </c>
      <c r="F293" s="6">
        <v>45845</v>
      </c>
      <c r="G293" s="6">
        <v>45845</v>
      </c>
      <c r="H293" s="6">
        <v>45880</v>
      </c>
      <c r="I293">
        <v>2024</v>
      </c>
      <c r="J293" t="s">
        <v>2175</v>
      </c>
      <c r="K293" t="s">
        <v>2205</v>
      </c>
    </row>
    <row r="294" spans="1:11" x14ac:dyDescent="0.2">
      <c r="A294" t="s">
        <v>2206</v>
      </c>
      <c r="B294" t="s">
        <v>2191</v>
      </c>
      <c r="C294">
        <v>1.1199999999999999E-3</v>
      </c>
      <c r="D294" t="s">
        <v>20</v>
      </c>
      <c r="E294" s="6">
        <v>41030</v>
      </c>
      <c r="F294" s="6">
        <v>41031</v>
      </c>
      <c r="G294" s="6">
        <v>41032</v>
      </c>
      <c r="I294">
        <v>2011</v>
      </c>
      <c r="J294" t="s">
        <v>2175</v>
      </c>
      <c r="K294" t="s">
        <v>2207</v>
      </c>
    </row>
    <row r="295" spans="1:11" x14ac:dyDescent="0.2">
      <c r="A295" t="s">
        <v>2206</v>
      </c>
      <c r="B295" t="s">
        <v>2191</v>
      </c>
      <c r="C295">
        <v>1.6299999999999999E-3</v>
      </c>
      <c r="D295" t="s">
        <v>20</v>
      </c>
      <c r="E295" s="6">
        <v>41390</v>
      </c>
      <c r="F295" s="6">
        <v>41393</v>
      </c>
      <c r="G295" s="6">
        <v>41394</v>
      </c>
      <c r="I295">
        <v>2012</v>
      </c>
      <c r="J295" t="s">
        <v>2175</v>
      </c>
      <c r="K295" t="s">
        <v>2207</v>
      </c>
    </row>
    <row r="296" spans="1:11" x14ac:dyDescent="0.2">
      <c r="A296" t="s">
        <v>2206</v>
      </c>
      <c r="B296" t="s">
        <v>2191</v>
      </c>
      <c r="C296">
        <v>1E-4</v>
      </c>
      <c r="D296" t="s">
        <v>20</v>
      </c>
      <c r="E296" s="6">
        <v>41828</v>
      </c>
      <c r="F296" s="6">
        <v>41829</v>
      </c>
      <c r="G296" s="6">
        <v>41830</v>
      </c>
      <c r="I296">
        <v>2013</v>
      </c>
      <c r="J296" t="s">
        <v>2175</v>
      </c>
      <c r="K296" t="s">
        <v>2207</v>
      </c>
    </row>
    <row r="297" spans="1:11" x14ac:dyDescent="0.2">
      <c r="A297" t="s">
        <v>2206</v>
      </c>
      <c r="B297" t="s">
        <v>2191</v>
      </c>
      <c r="C297">
        <v>1E-4</v>
      </c>
      <c r="D297" t="s">
        <v>20</v>
      </c>
      <c r="E297" s="6">
        <v>42180</v>
      </c>
      <c r="F297" s="6">
        <v>42181</v>
      </c>
      <c r="G297" s="6">
        <v>42184</v>
      </c>
      <c r="I297">
        <v>2014</v>
      </c>
      <c r="J297" t="s">
        <v>2175</v>
      </c>
      <c r="K297" t="s">
        <v>2207</v>
      </c>
    </row>
    <row r="298" spans="1:11" x14ac:dyDescent="0.2">
      <c r="A298" t="s">
        <v>2206</v>
      </c>
      <c r="B298" t="s">
        <v>2191</v>
      </c>
      <c r="C298">
        <v>1.2999999999999999E-3</v>
      </c>
      <c r="D298" t="s">
        <v>20</v>
      </c>
      <c r="E298" s="6">
        <v>42545</v>
      </c>
      <c r="F298" s="6">
        <v>42548</v>
      </c>
      <c r="G298" s="6">
        <v>42549</v>
      </c>
      <c r="I298">
        <v>2015</v>
      </c>
      <c r="J298" t="s">
        <v>2175</v>
      </c>
      <c r="K298" t="s">
        <v>2207</v>
      </c>
    </row>
    <row r="299" spans="1:11" x14ac:dyDescent="0.2">
      <c r="A299" t="s">
        <v>2206</v>
      </c>
      <c r="B299" t="s">
        <v>2191</v>
      </c>
      <c r="C299">
        <v>7.0439999999999999E-3</v>
      </c>
      <c r="D299" t="s">
        <v>20</v>
      </c>
      <c r="E299" s="6">
        <v>42908</v>
      </c>
      <c r="F299" s="6">
        <v>42909</v>
      </c>
      <c r="G299" s="6">
        <v>42912</v>
      </c>
      <c r="I299">
        <v>2016</v>
      </c>
      <c r="J299" t="s">
        <v>2175</v>
      </c>
      <c r="K299" t="s">
        <v>2207</v>
      </c>
    </row>
    <row r="300" spans="1:11" x14ac:dyDescent="0.2">
      <c r="A300" t="s">
        <v>2206</v>
      </c>
      <c r="B300" t="s">
        <v>2191</v>
      </c>
      <c r="C300">
        <v>1.4800000000000001E-2</v>
      </c>
      <c r="D300" t="s">
        <v>20</v>
      </c>
      <c r="E300" s="6">
        <v>43260</v>
      </c>
      <c r="F300" s="6">
        <v>43262</v>
      </c>
      <c r="G300" s="6">
        <v>43264</v>
      </c>
      <c r="I300">
        <v>2017</v>
      </c>
      <c r="J300" t="s">
        <v>2175</v>
      </c>
      <c r="K300" t="s">
        <v>2207</v>
      </c>
    </row>
    <row r="301" spans="1:11" x14ac:dyDescent="0.2">
      <c r="A301" t="s">
        <v>2206</v>
      </c>
      <c r="B301" t="s">
        <v>2191</v>
      </c>
      <c r="C301">
        <v>1.32E-2</v>
      </c>
      <c r="D301" t="s">
        <v>20</v>
      </c>
      <c r="E301" s="6">
        <v>43622</v>
      </c>
      <c r="F301" s="6">
        <v>43623</v>
      </c>
      <c r="G301" s="6">
        <v>43626</v>
      </c>
      <c r="H301" s="6">
        <v>43662</v>
      </c>
      <c r="I301">
        <v>2018</v>
      </c>
      <c r="J301" t="s">
        <v>2175</v>
      </c>
      <c r="K301" t="s">
        <v>2207</v>
      </c>
    </row>
    <row r="302" spans="1:11" x14ac:dyDescent="0.2">
      <c r="A302" t="s">
        <v>2206</v>
      </c>
      <c r="B302" t="s">
        <v>2191</v>
      </c>
      <c r="C302">
        <v>5.3949999999999996E-3</v>
      </c>
      <c r="D302" t="s">
        <v>20</v>
      </c>
      <c r="E302" s="6">
        <v>43840</v>
      </c>
      <c r="F302" s="6">
        <v>43843</v>
      </c>
      <c r="G302" s="6">
        <v>43844</v>
      </c>
      <c r="I302">
        <v>2019</v>
      </c>
      <c r="J302" t="s">
        <v>2180</v>
      </c>
      <c r="K302" t="s">
        <v>2207</v>
      </c>
    </row>
    <row r="303" spans="1:11" x14ac:dyDescent="0.2">
      <c r="A303" t="s">
        <v>2206</v>
      </c>
      <c r="B303" t="s">
        <v>2191</v>
      </c>
      <c r="C303">
        <v>1.0679999999999999E-3</v>
      </c>
      <c r="D303" t="s">
        <v>20</v>
      </c>
      <c r="E303" s="6">
        <v>43987</v>
      </c>
      <c r="F303" s="6">
        <v>43990</v>
      </c>
      <c r="G303" s="6">
        <v>43991</v>
      </c>
      <c r="H303" s="6">
        <v>44029</v>
      </c>
      <c r="I303">
        <v>2019</v>
      </c>
      <c r="J303" t="s">
        <v>2175</v>
      </c>
      <c r="K303" t="s">
        <v>2207</v>
      </c>
    </row>
    <row r="304" spans="1:11" x14ac:dyDescent="0.2">
      <c r="A304" t="s">
        <v>2206</v>
      </c>
      <c r="B304" t="s">
        <v>2191</v>
      </c>
      <c r="C304">
        <v>3.2299999999999999E-4</v>
      </c>
      <c r="D304" t="s">
        <v>20</v>
      </c>
      <c r="E304" s="6">
        <v>44736</v>
      </c>
      <c r="F304" s="6">
        <v>44739</v>
      </c>
      <c r="G304" s="6">
        <v>44740</v>
      </c>
      <c r="H304" s="6">
        <v>44775</v>
      </c>
      <c r="I304">
        <v>2021</v>
      </c>
      <c r="J304" t="s">
        <v>2175</v>
      </c>
      <c r="K304" t="s">
        <v>2207</v>
      </c>
    </row>
    <row r="305" spans="1:11" x14ac:dyDescent="0.2">
      <c r="A305" t="s">
        <v>2206</v>
      </c>
      <c r="B305" t="s">
        <v>2191</v>
      </c>
      <c r="C305">
        <v>6.1999999999999998E-3</v>
      </c>
      <c r="D305" t="s">
        <v>20</v>
      </c>
      <c r="E305" s="6">
        <v>45476</v>
      </c>
      <c r="F305" s="6">
        <v>45477</v>
      </c>
      <c r="G305" s="6">
        <v>45477</v>
      </c>
      <c r="H305" s="6">
        <v>45512</v>
      </c>
      <c r="I305">
        <v>2023</v>
      </c>
      <c r="J305" t="s">
        <v>2175</v>
      </c>
      <c r="K305" t="s">
        <v>2207</v>
      </c>
    </row>
    <row r="306" spans="1:11" x14ac:dyDescent="0.2">
      <c r="A306" t="s">
        <v>2206</v>
      </c>
      <c r="B306" t="s">
        <v>2191</v>
      </c>
      <c r="C306">
        <v>7.4000000000000003E-3</v>
      </c>
      <c r="D306" t="s">
        <v>20</v>
      </c>
      <c r="E306" s="6">
        <v>45846</v>
      </c>
      <c r="F306" s="6">
        <v>45847</v>
      </c>
      <c r="G306" s="6">
        <v>45847</v>
      </c>
      <c r="H306" s="6">
        <v>45882</v>
      </c>
      <c r="I306">
        <v>2024</v>
      </c>
      <c r="J306" t="s">
        <v>2175</v>
      </c>
      <c r="K306" t="s">
        <v>2207</v>
      </c>
    </row>
    <row r="307" spans="1:11" x14ac:dyDescent="0.2">
      <c r="A307" t="s">
        <v>2208</v>
      </c>
      <c r="B307" t="s">
        <v>2191</v>
      </c>
      <c r="C307">
        <v>7.6670000000000002E-3</v>
      </c>
      <c r="D307" t="s">
        <v>20</v>
      </c>
      <c r="E307" s="6">
        <v>36983</v>
      </c>
      <c r="F307" s="6">
        <v>36984</v>
      </c>
      <c r="G307" s="6">
        <v>36984</v>
      </c>
      <c r="I307">
        <v>2000</v>
      </c>
      <c r="J307" t="s">
        <v>2175</v>
      </c>
      <c r="K307" t="s">
        <v>2209</v>
      </c>
    </row>
    <row r="308" spans="1:11" x14ac:dyDescent="0.2">
      <c r="A308" t="s">
        <v>2208</v>
      </c>
      <c r="B308" t="s">
        <v>2191</v>
      </c>
      <c r="C308">
        <v>1.83E-2</v>
      </c>
      <c r="D308" t="s">
        <v>20</v>
      </c>
      <c r="E308" s="6">
        <v>37357</v>
      </c>
      <c r="F308" s="6">
        <v>37358</v>
      </c>
      <c r="G308" s="6">
        <v>37358</v>
      </c>
      <c r="I308">
        <v>2001</v>
      </c>
      <c r="J308" t="s">
        <v>2175</v>
      </c>
      <c r="K308" t="s">
        <v>2209</v>
      </c>
    </row>
    <row r="309" spans="1:11" x14ac:dyDescent="0.2">
      <c r="A309" t="s">
        <v>2208</v>
      </c>
      <c r="B309" t="s">
        <v>2191</v>
      </c>
      <c r="C309">
        <v>1.84E-2</v>
      </c>
      <c r="D309" t="s">
        <v>20</v>
      </c>
      <c r="E309" s="6">
        <v>37721</v>
      </c>
      <c r="F309" s="6">
        <v>37722</v>
      </c>
      <c r="G309" s="6">
        <v>37722</v>
      </c>
      <c r="I309">
        <v>2002</v>
      </c>
      <c r="J309" t="s">
        <v>2175</v>
      </c>
      <c r="K309" t="s">
        <v>2209</v>
      </c>
    </row>
    <row r="310" spans="1:11" x14ac:dyDescent="0.2">
      <c r="A310" t="s">
        <v>2208</v>
      </c>
      <c r="B310" t="s">
        <v>2191</v>
      </c>
      <c r="C310">
        <v>2.1700000000000001E-2</v>
      </c>
      <c r="D310" t="s">
        <v>20</v>
      </c>
      <c r="E310" s="6">
        <v>38119</v>
      </c>
      <c r="F310" s="6">
        <v>38120</v>
      </c>
      <c r="G310" s="6">
        <v>38120</v>
      </c>
      <c r="I310">
        <v>2003</v>
      </c>
      <c r="J310" t="s">
        <v>2175</v>
      </c>
      <c r="K310" t="s">
        <v>2209</v>
      </c>
    </row>
    <row r="311" spans="1:11" x14ac:dyDescent="0.2">
      <c r="A311" t="s">
        <v>2208</v>
      </c>
      <c r="B311" t="s">
        <v>2191</v>
      </c>
      <c r="C311">
        <v>2.2100000000000002E-2</v>
      </c>
      <c r="D311" t="s">
        <v>20</v>
      </c>
      <c r="E311" s="6">
        <v>38485</v>
      </c>
      <c r="F311" s="6">
        <v>38486</v>
      </c>
      <c r="G311" s="6">
        <v>38486</v>
      </c>
      <c r="I311">
        <v>2004</v>
      </c>
      <c r="J311" t="s">
        <v>2175</v>
      </c>
      <c r="K311" t="s">
        <v>2209</v>
      </c>
    </row>
    <row r="312" spans="1:11" x14ac:dyDescent="0.2">
      <c r="A312" t="s">
        <v>2208</v>
      </c>
      <c r="B312" t="s">
        <v>2191</v>
      </c>
      <c r="C312">
        <v>1.61E-2</v>
      </c>
      <c r="D312" t="s">
        <v>20</v>
      </c>
      <c r="E312" s="6">
        <v>38817</v>
      </c>
      <c r="F312" s="6">
        <v>38818</v>
      </c>
      <c r="G312" s="6">
        <v>38818</v>
      </c>
      <c r="I312">
        <v>2005</v>
      </c>
      <c r="J312" t="s">
        <v>2175</v>
      </c>
      <c r="K312" t="s">
        <v>2209</v>
      </c>
    </row>
    <row r="313" spans="1:11" x14ac:dyDescent="0.2">
      <c r="A313" t="s">
        <v>2208</v>
      </c>
      <c r="B313" t="s">
        <v>2191</v>
      </c>
      <c r="C313">
        <v>2.12E-2</v>
      </c>
      <c r="D313" t="s">
        <v>20</v>
      </c>
      <c r="E313" s="6">
        <v>39153</v>
      </c>
      <c r="F313" s="6">
        <v>39154</v>
      </c>
      <c r="G313" s="6">
        <v>39154</v>
      </c>
      <c r="I313">
        <v>2006</v>
      </c>
      <c r="J313" t="s">
        <v>2175</v>
      </c>
      <c r="K313" t="s">
        <v>2209</v>
      </c>
    </row>
    <row r="314" spans="1:11" x14ac:dyDescent="0.2">
      <c r="A314" t="s">
        <v>2208</v>
      </c>
      <c r="B314" t="s">
        <v>2191</v>
      </c>
      <c r="C314">
        <v>1.26E-2</v>
      </c>
      <c r="D314" t="s">
        <v>20</v>
      </c>
      <c r="E314" s="6">
        <v>40302</v>
      </c>
      <c r="F314" s="6">
        <v>40303</v>
      </c>
      <c r="G314" s="6">
        <v>40304</v>
      </c>
      <c r="I314">
        <v>2009</v>
      </c>
      <c r="J314" t="s">
        <v>2175</v>
      </c>
      <c r="K314" t="s">
        <v>2209</v>
      </c>
    </row>
    <row r="315" spans="1:11" x14ac:dyDescent="0.2">
      <c r="A315" t="s">
        <v>2208</v>
      </c>
      <c r="B315" t="s">
        <v>2191</v>
      </c>
      <c r="C315">
        <v>0.02</v>
      </c>
      <c r="D315" t="s">
        <v>20</v>
      </c>
      <c r="E315" s="6">
        <v>40673</v>
      </c>
      <c r="F315" s="6">
        <v>40674</v>
      </c>
      <c r="G315" s="6">
        <v>40675</v>
      </c>
      <c r="I315">
        <v>2010</v>
      </c>
      <c r="J315" t="s">
        <v>2175</v>
      </c>
      <c r="K315" t="s">
        <v>2209</v>
      </c>
    </row>
    <row r="316" spans="1:11" x14ac:dyDescent="0.2">
      <c r="A316" t="s">
        <v>2208</v>
      </c>
      <c r="B316" t="s">
        <v>2191</v>
      </c>
      <c r="C316">
        <v>0.03</v>
      </c>
      <c r="D316" t="s">
        <v>20</v>
      </c>
      <c r="E316" s="6">
        <v>41039</v>
      </c>
      <c r="F316" s="6">
        <v>41040</v>
      </c>
      <c r="G316" s="6">
        <v>41041</v>
      </c>
      <c r="I316">
        <v>2011</v>
      </c>
      <c r="J316" t="s">
        <v>2175</v>
      </c>
      <c r="K316" t="s">
        <v>2209</v>
      </c>
    </row>
    <row r="317" spans="1:11" x14ac:dyDescent="0.2">
      <c r="A317" t="s">
        <v>2208</v>
      </c>
      <c r="B317" t="s">
        <v>2191</v>
      </c>
      <c r="C317">
        <v>0.03</v>
      </c>
      <c r="D317" t="s">
        <v>20</v>
      </c>
      <c r="E317" s="6">
        <v>41383</v>
      </c>
      <c r="F317" s="6">
        <v>41386</v>
      </c>
      <c r="G317" s="6">
        <v>41387</v>
      </c>
      <c r="I317">
        <v>2012</v>
      </c>
      <c r="J317" t="s">
        <v>2175</v>
      </c>
      <c r="K317" t="s">
        <v>2209</v>
      </c>
    </row>
    <row r="318" spans="1:11" x14ac:dyDescent="0.2">
      <c r="A318" t="s">
        <v>2208</v>
      </c>
      <c r="B318" t="s">
        <v>2191</v>
      </c>
      <c r="C318">
        <v>0.04</v>
      </c>
      <c r="D318" t="s">
        <v>20</v>
      </c>
      <c r="E318" s="6">
        <v>41802</v>
      </c>
      <c r="F318" s="6">
        <v>41803</v>
      </c>
      <c r="G318" s="6">
        <v>41806</v>
      </c>
      <c r="I318">
        <v>2013</v>
      </c>
      <c r="J318" t="s">
        <v>2175</v>
      </c>
      <c r="K318" t="s">
        <v>2209</v>
      </c>
    </row>
    <row r="319" spans="1:11" x14ac:dyDescent="0.2">
      <c r="A319" t="s">
        <v>2208</v>
      </c>
      <c r="B319" t="s">
        <v>2191</v>
      </c>
      <c r="C319">
        <v>0.01</v>
      </c>
      <c r="D319" t="s">
        <v>20</v>
      </c>
      <c r="E319" s="6">
        <v>42177</v>
      </c>
      <c r="F319" s="6">
        <v>42178</v>
      </c>
      <c r="G319" s="6">
        <v>42179</v>
      </c>
      <c r="I319">
        <v>2014</v>
      </c>
      <c r="J319" t="s">
        <v>2175</v>
      </c>
      <c r="K319" t="s">
        <v>2209</v>
      </c>
    </row>
    <row r="320" spans="1:11" x14ac:dyDescent="0.2">
      <c r="A320" t="s">
        <v>2208</v>
      </c>
      <c r="B320" t="s">
        <v>2191</v>
      </c>
      <c r="C320">
        <v>5.67E-2</v>
      </c>
      <c r="D320" t="s">
        <v>20</v>
      </c>
      <c r="E320" s="6">
        <v>42536</v>
      </c>
      <c r="F320" s="6">
        <v>42537</v>
      </c>
      <c r="G320" s="6">
        <v>42538</v>
      </c>
      <c r="I320">
        <v>2015</v>
      </c>
      <c r="J320" t="s">
        <v>2175</v>
      </c>
      <c r="K320" t="s">
        <v>2209</v>
      </c>
    </row>
    <row r="321" spans="1:11" x14ac:dyDescent="0.2">
      <c r="A321" t="s">
        <v>2208</v>
      </c>
      <c r="B321" t="s">
        <v>2191</v>
      </c>
      <c r="C321">
        <v>8.48E-2</v>
      </c>
      <c r="D321" t="s">
        <v>20</v>
      </c>
      <c r="E321" s="6">
        <v>42895</v>
      </c>
      <c r="F321" s="6">
        <v>42899</v>
      </c>
      <c r="G321" s="6">
        <v>42900</v>
      </c>
      <c r="I321">
        <v>2016</v>
      </c>
      <c r="J321" t="s">
        <v>2175</v>
      </c>
      <c r="K321" t="s">
        <v>2209</v>
      </c>
    </row>
    <row r="322" spans="1:11" x14ac:dyDescent="0.2">
      <c r="A322" t="s">
        <v>2208</v>
      </c>
      <c r="B322" t="s">
        <v>2191</v>
      </c>
      <c r="C322">
        <v>0.17</v>
      </c>
      <c r="D322" t="s">
        <v>20</v>
      </c>
      <c r="E322" s="6">
        <v>43265</v>
      </c>
      <c r="F322" s="6">
        <v>43266</v>
      </c>
      <c r="G322" s="6">
        <v>43269</v>
      </c>
      <c r="I322">
        <v>2017</v>
      </c>
      <c r="J322" t="s">
        <v>2175</v>
      </c>
      <c r="K322" t="s">
        <v>2209</v>
      </c>
    </row>
    <row r="323" spans="1:11" x14ac:dyDescent="0.2">
      <c r="A323" t="s">
        <v>2208</v>
      </c>
      <c r="B323" t="s">
        <v>2191</v>
      </c>
      <c r="C323">
        <v>0.21</v>
      </c>
      <c r="D323" t="s">
        <v>20</v>
      </c>
      <c r="E323" s="6">
        <v>43644</v>
      </c>
      <c r="F323" s="6">
        <v>43647</v>
      </c>
      <c r="G323" s="6">
        <v>43648</v>
      </c>
      <c r="I323">
        <v>2018</v>
      </c>
      <c r="J323" t="s">
        <v>2175</v>
      </c>
      <c r="K323" t="s">
        <v>2209</v>
      </c>
    </row>
    <row r="324" spans="1:11" x14ac:dyDescent="0.2">
      <c r="A324" t="s">
        <v>2208</v>
      </c>
      <c r="B324" t="s">
        <v>2191</v>
      </c>
      <c r="C324">
        <v>0.12</v>
      </c>
      <c r="D324" t="s">
        <v>20</v>
      </c>
      <c r="E324" s="6">
        <v>44018</v>
      </c>
      <c r="F324" s="6">
        <v>44019</v>
      </c>
      <c r="G324" s="6">
        <v>44020</v>
      </c>
      <c r="I324">
        <v>2019</v>
      </c>
      <c r="J324" t="s">
        <v>2175</v>
      </c>
      <c r="K324" t="s">
        <v>2209</v>
      </c>
    </row>
    <row r="325" spans="1:11" x14ac:dyDescent="0.2">
      <c r="A325" t="s">
        <v>2208</v>
      </c>
      <c r="B325" t="s">
        <v>2191</v>
      </c>
      <c r="C325">
        <v>0.18</v>
      </c>
      <c r="D325" t="s">
        <v>20</v>
      </c>
      <c r="E325" s="6">
        <v>44378</v>
      </c>
      <c r="F325" s="6">
        <v>44379</v>
      </c>
      <c r="G325" s="6">
        <v>44382</v>
      </c>
      <c r="I325">
        <v>2020</v>
      </c>
      <c r="J325" t="s">
        <v>2175</v>
      </c>
      <c r="K325" t="s">
        <v>2209</v>
      </c>
    </row>
    <row r="326" spans="1:11" x14ac:dyDescent="0.2">
      <c r="A326" t="s">
        <v>2208</v>
      </c>
      <c r="B326" t="s">
        <v>2191</v>
      </c>
      <c r="C326">
        <v>0.22</v>
      </c>
      <c r="D326" t="s">
        <v>20</v>
      </c>
      <c r="E326" s="6">
        <v>44749</v>
      </c>
      <c r="F326" s="6">
        <v>44750</v>
      </c>
      <c r="G326" s="6">
        <v>44753</v>
      </c>
      <c r="H326" s="6">
        <v>44788</v>
      </c>
      <c r="I326">
        <v>2021</v>
      </c>
      <c r="J326" t="s">
        <v>2175</v>
      </c>
      <c r="K326" t="s">
        <v>2209</v>
      </c>
    </row>
    <row r="327" spans="1:11" x14ac:dyDescent="0.2">
      <c r="A327" t="s">
        <v>2208</v>
      </c>
      <c r="B327" t="s">
        <v>2191</v>
      </c>
      <c r="C327">
        <v>0.19</v>
      </c>
      <c r="D327" t="s">
        <v>20</v>
      </c>
      <c r="E327" s="6">
        <v>45107</v>
      </c>
      <c r="F327" s="6">
        <v>45110</v>
      </c>
      <c r="G327" s="6">
        <v>45111</v>
      </c>
      <c r="H327" s="6">
        <v>45146</v>
      </c>
      <c r="I327">
        <v>2022</v>
      </c>
      <c r="J327" t="s">
        <v>2175</v>
      </c>
      <c r="K327" t="s">
        <v>2209</v>
      </c>
    </row>
    <row r="328" spans="1:11" x14ac:dyDescent="0.2">
      <c r="A328" t="s">
        <v>2208</v>
      </c>
      <c r="B328" t="s">
        <v>2191</v>
      </c>
      <c r="C328">
        <v>0.16</v>
      </c>
      <c r="D328" t="s">
        <v>20</v>
      </c>
      <c r="E328" s="6">
        <v>45481</v>
      </c>
      <c r="F328" s="6">
        <v>45482</v>
      </c>
      <c r="G328" s="6">
        <v>45482</v>
      </c>
      <c r="H328" s="6">
        <v>45517</v>
      </c>
      <c r="I328">
        <v>2023</v>
      </c>
      <c r="J328" t="s">
        <v>2175</v>
      </c>
      <c r="K328" t="s">
        <v>2209</v>
      </c>
    </row>
    <row r="329" spans="1:11" x14ac:dyDescent="0.2">
      <c r="A329" t="s">
        <v>2210</v>
      </c>
      <c r="B329" t="s">
        <v>2191</v>
      </c>
      <c r="C329">
        <v>1.7700000000000001E-3</v>
      </c>
      <c r="D329" t="s">
        <v>20</v>
      </c>
      <c r="E329" s="6">
        <v>38848</v>
      </c>
      <c r="F329" s="6">
        <v>38849</v>
      </c>
      <c r="G329" s="6">
        <v>38849</v>
      </c>
      <c r="I329">
        <v>2005</v>
      </c>
      <c r="J329" t="s">
        <v>2175</v>
      </c>
      <c r="K329" t="s">
        <v>2211</v>
      </c>
    </row>
    <row r="330" spans="1:11" x14ac:dyDescent="0.2">
      <c r="A330" t="s">
        <v>2210</v>
      </c>
      <c r="B330" t="s">
        <v>2191</v>
      </c>
      <c r="C330">
        <v>2.124E-3</v>
      </c>
      <c r="D330" t="s">
        <v>20</v>
      </c>
      <c r="E330" s="6">
        <v>39212</v>
      </c>
      <c r="F330" s="6">
        <v>39213</v>
      </c>
      <c r="G330" s="6">
        <v>39213</v>
      </c>
      <c r="I330">
        <v>2006</v>
      </c>
      <c r="J330" t="s">
        <v>2175</v>
      </c>
      <c r="K330" t="s">
        <v>2211</v>
      </c>
    </row>
    <row r="331" spans="1:11" x14ac:dyDescent="0.2">
      <c r="A331" t="s">
        <v>2210</v>
      </c>
      <c r="B331" t="s">
        <v>2191</v>
      </c>
      <c r="C331">
        <v>9.2390000000000007E-3</v>
      </c>
      <c r="D331" t="s">
        <v>20</v>
      </c>
      <c r="E331" s="6">
        <v>40312</v>
      </c>
      <c r="F331" s="6">
        <v>40315</v>
      </c>
      <c r="G331" s="6">
        <v>40315</v>
      </c>
      <c r="I331">
        <v>2009</v>
      </c>
      <c r="J331" t="s">
        <v>2175</v>
      </c>
      <c r="K331" t="s">
        <v>2211</v>
      </c>
    </row>
    <row r="332" spans="1:11" x14ac:dyDescent="0.2">
      <c r="A332" t="s">
        <v>2210</v>
      </c>
      <c r="B332" t="s">
        <v>2191</v>
      </c>
      <c r="C332">
        <v>2.46E-2</v>
      </c>
      <c r="D332" t="s">
        <v>20</v>
      </c>
      <c r="E332" s="6">
        <v>40673</v>
      </c>
      <c r="F332" s="6">
        <v>40674</v>
      </c>
      <c r="G332" s="6">
        <v>40675</v>
      </c>
      <c r="I332">
        <v>2010</v>
      </c>
      <c r="J332" t="s">
        <v>2175</v>
      </c>
      <c r="K332" t="s">
        <v>2211</v>
      </c>
    </row>
    <row r="333" spans="1:11" x14ac:dyDescent="0.2">
      <c r="A333" t="s">
        <v>2210</v>
      </c>
      <c r="B333" t="s">
        <v>2191</v>
      </c>
      <c r="C333">
        <v>2.5000000000000001E-2</v>
      </c>
      <c r="D333" t="s">
        <v>20</v>
      </c>
      <c r="E333" s="6">
        <v>41044</v>
      </c>
      <c r="F333" s="6">
        <v>41045</v>
      </c>
      <c r="G333" s="6">
        <v>41046</v>
      </c>
      <c r="I333">
        <v>2011</v>
      </c>
      <c r="J333" t="s">
        <v>2175</v>
      </c>
      <c r="K333" t="s">
        <v>2211</v>
      </c>
    </row>
    <row r="334" spans="1:11" x14ac:dyDescent="0.2">
      <c r="A334" t="s">
        <v>2210</v>
      </c>
      <c r="B334" t="s">
        <v>2191</v>
      </c>
      <c r="C334">
        <v>8.8200000000000001E-2</v>
      </c>
      <c r="D334" t="s">
        <v>20</v>
      </c>
      <c r="E334" s="6">
        <v>41400</v>
      </c>
      <c r="F334" s="6">
        <v>41401</v>
      </c>
      <c r="G334" s="6">
        <v>41402</v>
      </c>
      <c r="I334">
        <v>2012</v>
      </c>
      <c r="J334" t="s">
        <v>2175</v>
      </c>
      <c r="K334" t="s">
        <v>2211</v>
      </c>
    </row>
    <row r="335" spans="1:11" x14ac:dyDescent="0.2">
      <c r="A335" t="s">
        <v>2210</v>
      </c>
      <c r="B335" t="s">
        <v>2191</v>
      </c>
      <c r="C335">
        <v>5.9799999999999999E-2</v>
      </c>
      <c r="D335" t="s">
        <v>20</v>
      </c>
      <c r="E335" s="6">
        <v>41829</v>
      </c>
      <c r="F335" s="6">
        <v>41830</v>
      </c>
      <c r="G335" s="6">
        <v>41831</v>
      </c>
      <c r="I335">
        <v>2013</v>
      </c>
      <c r="J335" t="s">
        <v>2175</v>
      </c>
      <c r="K335" t="s">
        <v>2211</v>
      </c>
    </row>
    <row r="336" spans="1:11" x14ac:dyDescent="0.2">
      <c r="A336" t="s">
        <v>2210</v>
      </c>
      <c r="B336" t="s">
        <v>2191</v>
      </c>
      <c r="C336">
        <v>4.2200000000000001E-2</v>
      </c>
      <c r="D336" t="s">
        <v>20</v>
      </c>
      <c r="E336" s="6">
        <v>42187</v>
      </c>
      <c r="F336" s="6">
        <v>42188</v>
      </c>
      <c r="G336" s="6">
        <v>42191</v>
      </c>
      <c r="I336">
        <v>2014</v>
      </c>
      <c r="J336" t="s">
        <v>2175</v>
      </c>
      <c r="K336" t="s">
        <v>2211</v>
      </c>
    </row>
    <row r="337" spans="1:11" x14ac:dyDescent="0.2">
      <c r="A337" t="s">
        <v>2210</v>
      </c>
      <c r="B337" t="s">
        <v>2191</v>
      </c>
      <c r="C337">
        <v>0.13</v>
      </c>
      <c r="D337" t="s">
        <v>20</v>
      </c>
      <c r="E337" s="6">
        <v>42544</v>
      </c>
      <c r="F337" s="6">
        <v>42545</v>
      </c>
      <c r="G337" s="6">
        <v>42547</v>
      </c>
      <c r="I337">
        <v>2015</v>
      </c>
      <c r="J337" t="s">
        <v>2175</v>
      </c>
      <c r="K337" t="s">
        <v>2211</v>
      </c>
    </row>
    <row r="338" spans="1:11" x14ac:dyDescent="0.2">
      <c r="A338" t="s">
        <v>2210</v>
      </c>
      <c r="B338" t="s">
        <v>2191</v>
      </c>
      <c r="C338">
        <v>3.1199999999999999E-2</v>
      </c>
      <c r="D338" t="s">
        <v>20</v>
      </c>
      <c r="E338" s="6">
        <v>42905</v>
      </c>
      <c r="F338" s="6">
        <v>42906</v>
      </c>
      <c r="G338" s="6">
        <v>42907</v>
      </c>
      <c r="I338">
        <v>2016</v>
      </c>
      <c r="J338" t="s">
        <v>2175</v>
      </c>
      <c r="K338" t="s">
        <v>2211</v>
      </c>
    </row>
    <row r="339" spans="1:11" x14ac:dyDescent="0.2">
      <c r="A339" t="s">
        <v>2210</v>
      </c>
      <c r="B339" t="s">
        <v>2191</v>
      </c>
      <c r="C339">
        <v>3.1600000000000003E-2</v>
      </c>
      <c r="D339" t="s">
        <v>20</v>
      </c>
      <c r="E339" s="6">
        <v>43265</v>
      </c>
      <c r="F339" s="6">
        <v>43266</v>
      </c>
      <c r="G339" s="6">
        <v>43269</v>
      </c>
      <c r="I339">
        <v>2017</v>
      </c>
      <c r="J339" t="s">
        <v>2175</v>
      </c>
      <c r="K339" t="s">
        <v>2211</v>
      </c>
    </row>
    <row r="340" spans="1:11" x14ac:dyDescent="0.2">
      <c r="A340" t="s">
        <v>2210</v>
      </c>
      <c r="B340" t="s">
        <v>2191</v>
      </c>
      <c r="C340">
        <v>5.8999999999999997E-2</v>
      </c>
      <c r="D340" t="s">
        <v>20</v>
      </c>
      <c r="E340" s="6">
        <v>43637</v>
      </c>
      <c r="F340" s="6">
        <v>43640</v>
      </c>
      <c r="G340" s="6">
        <v>43641</v>
      </c>
      <c r="I340">
        <v>2018</v>
      </c>
      <c r="J340" t="s">
        <v>2175</v>
      </c>
      <c r="K340" t="s">
        <v>2211</v>
      </c>
    </row>
    <row r="341" spans="1:11" x14ac:dyDescent="0.2">
      <c r="A341" t="s">
        <v>2210</v>
      </c>
      <c r="B341" t="s">
        <v>2191</v>
      </c>
      <c r="C341">
        <v>4.24E-2</v>
      </c>
      <c r="D341" t="s">
        <v>20</v>
      </c>
      <c r="E341" s="6">
        <v>43840</v>
      </c>
      <c r="F341" s="6">
        <v>43843</v>
      </c>
      <c r="G341" s="6">
        <v>43844</v>
      </c>
      <c r="I341">
        <v>2019</v>
      </c>
      <c r="J341" t="s">
        <v>2180</v>
      </c>
      <c r="K341" t="s">
        <v>2211</v>
      </c>
    </row>
    <row r="342" spans="1:11" x14ac:dyDescent="0.2">
      <c r="A342" t="s">
        <v>2210</v>
      </c>
      <c r="B342" t="s">
        <v>2191</v>
      </c>
      <c r="C342">
        <v>2.5499999999999998E-2</v>
      </c>
      <c r="D342" t="s">
        <v>20</v>
      </c>
      <c r="E342" s="6">
        <v>43987</v>
      </c>
      <c r="F342" s="6">
        <v>43990</v>
      </c>
      <c r="G342" s="6">
        <v>43991</v>
      </c>
      <c r="H342" s="6">
        <v>44029</v>
      </c>
      <c r="I342">
        <v>2019</v>
      </c>
      <c r="J342" t="s">
        <v>2175</v>
      </c>
      <c r="K342" t="s">
        <v>2211</v>
      </c>
    </row>
    <row r="343" spans="1:11" x14ac:dyDescent="0.2">
      <c r="A343" t="s">
        <v>2210</v>
      </c>
      <c r="B343" t="s">
        <v>2191</v>
      </c>
      <c r="C343">
        <v>4.9299999999999997E-2</v>
      </c>
      <c r="D343" t="s">
        <v>20</v>
      </c>
      <c r="E343" s="6">
        <v>44344</v>
      </c>
      <c r="F343" s="6">
        <v>44347</v>
      </c>
      <c r="G343" s="6">
        <v>44348</v>
      </c>
      <c r="I343">
        <v>2020</v>
      </c>
      <c r="J343" t="s">
        <v>2175</v>
      </c>
      <c r="K343" t="s">
        <v>2211</v>
      </c>
    </row>
    <row r="344" spans="1:11" x14ac:dyDescent="0.2">
      <c r="A344" t="s">
        <v>2210</v>
      </c>
      <c r="B344" t="s">
        <v>2191</v>
      </c>
      <c r="C344">
        <v>9.5000000000000001E-2</v>
      </c>
      <c r="D344" t="s">
        <v>20</v>
      </c>
      <c r="E344" s="6">
        <v>44742</v>
      </c>
      <c r="F344" s="6">
        <v>44743</v>
      </c>
      <c r="G344" s="6">
        <v>44745</v>
      </c>
      <c r="H344" s="6">
        <v>44778</v>
      </c>
      <c r="I344">
        <v>2021</v>
      </c>
      <c r="J344" t="s">
        <v>2175</v>
      </c>
      <c r="K344" t="s">
        <v>2211</v>
      </c>
    </row>
    <row r="345" spans="1:11" x14ac:dyDescent="0.2">
      <c r="A345" t="s">
        <v>2210</v>
      </c>
      <c r="B345" t="s">
        <v>2191</v>
      </c>
      <c r="C345">
        <v>8.4900000000000003E-2</v>
      </c>
      <c r="D345" t="s">
        <v>20</v>
      </c>
      <c r="E345" s="6">
        <v>44924</v>
      </c>
      <c r="F345" s="6">
        <v>44925</v>
      </c>
      <c r="G345" s="6">
        <v>44934</v>
      </c>
      <c r="H345" s="6">
        <v>44967</v>
      </c>
      <c r="I345">
        <v>2022</v>
      </c>
      <c r="J345" t="s">
        <v>2180</v>
      </c>
      <c r="K345" t="s">
        <v>2211</v>
      </c>
    </row>
    <row r="346" spans="1:11" x14ac:dyDescent="0.2">
      <c r="A346" t="s">
        <v>2210</v>
      </c>
      <c r="B346" t="s">
        <v>2191</v>
      </c>
      <c r="C346">
        <v>1.21E-2</v>
      </c>
      <c r="D346" t="s">
        <v>20</v>
      </c>
      <c r="E346" s="6">
        <v>45105</v>
      </c>
      <c r="F346" s="6">
        <v>45106</v>
      </c>
      <c r="G346" s="6">
        <v>45107</v>
      </c>
      <c r="H346" s="6">
        <v>45142</v>
      </c>
      <c r="I346">
        <v>2022</v>
      </c>
      <c r="J346" t="s">
        <v>2175</v>
      </c>
      <c r="K346" t="s">
        <v>2211</v>
      </c>
    </row>
    <row r="347" spans="1:11" x14ac:dyDescent="0.2">
      <c r="A347" t="s">
        <v>2210</v>
      </c>
      <c r="B347" t="s">
        <v>2191</v>
      </c>
      <c r="C347">
        <v>0.14000000000000001</v>
      </c>
      <c r="D347" t="s">
        <v>20</v>
      </c>
      <c r="E347" s="6">
        <v>45477</v>
      </c>
      <c r="F347" s="6">
        <v>45478</v>
      </c>
      <c r="G347" s="6">
        <v>45478</v>
      </c>
      <c r="H347" s="6">
        <v>45513</v>
      </c>
      <c r="I347">
        <v>2023</v>
      </c>
      <c r="J347" t="s">
        <v>2175</v>
      </c>
      <c r="K347" t="s">
        <v>2211</v>
      </c>
    </row>
    <row r="348" spans="1:11" x14ac:dyDescent="0.2">
      <c r="A348" t="s">
        <v>2210</v>
      </c>
      <c r="B348" t="s">
        <v>2191</v>
      </c>
      <c r="C348">
        <v>0.15</v>
      </c>
      <c r="D348" t="s">
        <v>20</v>
      </c>
      <c r="E348" s="6">
        <v>45845</v>
      </c>
      <c r="F348" s="6">
        <v>45846</v>
      </c>
      <c r="G348" s="6">
        <v>45846</v>
      </c>
      <c r="H348" s="6">
        <v>45881</v>
      </c>
      <c r="I348">
        <v>2024</v>
      </c>
      <c r="J348" t="s">
        <v>2175</v>
      </c>
      <c r="K348" t="s">
        <v>2211</v>
      </c>
    </row>
    <row r="349" spans="1:11" x14ac:dyDescent="0.2">
      <c r="A349" t="s">
        <v>2212</v>
      </c>
      <c r="B349" t="s">
        <v>2191</v>
      </c>
      <c r="C349">
        <v>6.2599999999999999E-3</v>
      </c>
      <c r="D349" t="s">
        <v>20</v>
      </c>
      <c r="E349" s="6">
        <v>38708</v>
      </c>
      <c r="F349" s="6">
        <v>38709</v>
      </c>
      <c r="G349" s="6">
        <v>38709</v>
      </c>
      <c r="I349">
        <v>2005</v>
      </c>
      <c r="J349" t="s">
        <v>2180</v>
      </c>
      <c r="K349" t="s">
        <v>2213</v>
      </c>
    </row>
    <row r="350" spans="1:11" x14ac:dyDescent="0.2">
      <c r="A350" t="s">
        <v>2212</v>
      </c>
      <c r="B350" t="s">
        <v>2191</v>
      </c>
      <c r="C350">
        <v>1.18E-2</v>
      </c>
      <c r="D350" t="s">
        <v>20</v>
      </c>
      <c r="E350" s="6">
        <v>38827</v>
      </c>
      <c r="F350" s="6">
        <v>38828</v>
      </c>
      <c r="G350" s="6">
        <v>38828</v>
      </c>
      <c r="I350">
        <v>2005</v>
      </c>
      <c r="J350" t="s">
        <v>2175</v>
      </c>
      <c r="K350" t="s">
        <v>2213</v>
      </c>
    </row>
    <row r="351" spans="1:11" x14ac:dyDescent="0.2">
      <c r="A351" t="s">
        <v>2212</v>
      </c>
      <c r="B351" t="s">
        <v>2191</v>
      </c>
      <c r="C351">
        <v>3.5400000000000002E-3</v>
      </c>
      <c r="D351" t="s">
        <v>20</v>
      </c>
      <c r="E351" s="6">
        <v>38939</v>
      </c>
      <c r="F351" s="6">
        <v>38940</v>
      </c>
      <c r="G351" s="6">
        <v>38940</v>
      </c>
      <c r="I351">
        <v>2006</v>
      </c>
      <c r="J351" t="s">
        <v>2177</v>
      </c>
      <c r="K351" t="s">
        <v>2213</v>
      </c>
    </row>
    <row r="352" spans="1:11" x14ac:dyDescent="0.2">
      <c r="A352" t="s">
        <v>2212</v>
      </c>
      <c r="B352" t="s">
        <v>2191</v>
      </c>
      <c r="C352">
        <v>1.8730000000000001E-3</v>
      </c>
      <c r="D352" t="s">
        <v>20</v>
      </c>
      <c r="E352" s="6">
        <v>39273</v>
      </c>
      <c r="F352" s="6">
        <v>39274</v>
      </c>
      <c r="G352" s="6">
        <v>39274</v>
      </c>
      <c r="I352">
        <v>2006</v>
      </c>
      <c r="J352" t="s">
        <v>2175</v>
      </c>
      <c r="K352" t="s">
        <v>2213</v>
      </c>
    </row>
    <row r="353" spans="1:11" x14ac:dyDescent="0.2">
      <c r="A353" t="s">
        <v>2212</v>
      </c>
      <c r="B353" t="s">
        <v>2191</v>
      </c>
      <c r="C353">
        <v>1.526E-3</v>
      </c>
      <c r="D353" t="s">
        <v>20</v>
      </c>
      <c r="E353" s="6">
        <v>39408</v>
      </c>
      <c r="F353" s="6">
        <v>39409</v>
      </c>
      <c r="G353" s="6">
        <v>39409</v>
      </c>
      <c r="I353">
        <v>2007</v>
      </c>
      <c r="J353" t="s">
        <v>2195</v>
      </c>
      <c r="K353" t="s">
        <v>2213</v>
      </c>
    </row>
    <row r="354" spans="1:11" x14ac:dyDescent="0.2">
      <c r="A354" t="s">
        <v>2212</v>
      </c>
      <c r="B354" t="s">
        <v>2191</v>
      </c>
      <c r="C354">
        <v>4.8760000000000001E-3</v>
      </c>
      <c r="D354" t="s">
        <v>20</v>
      </c>
      <c r="E354" s="6">
        <v>40662</v>
      </c>
      <c r="F354" s="6">
        <v>40665</v>
      </c>
      <c r="G354" s="6">
        <v>40666</v>
      </c>
      <c r="I354">
        <v>2010</v>
      </c>
      <c r="J354" t="s">
        <v>2175</v>
      </c>
      <c r="K354" t="s">
        <v>2213</v>
      </c>
    </row>
    <row r="355" spans="1:11" x14ac:dyDescent="0.2">
      <c r="A355" t="s">
        <v>2212</v>
      </c>
      <c r="B355" t="s">
        <v>2191</v>
      </c>
      <c r="C355">
        <v>9.990000000000001E-4</v>
      </c>
      <c r="D355" t="s">
        <v>20</v>
      </c>
      <c r="E355" s="6">
        <v>41045</v>
      </c>
      <c r="F355" s="6">
        <v>41046</v>
      </c>
      <c r="G355" s="6">
        <v>41046</v>
      </c>
      <c r="I355">
        <v>2011</v>
      </c>
      <c r="J355" t="s">
        <v>2175</v>
      </c>
      <c r="K355" t="s">
        <v>2213</v>
      </c>
    </row>
    <row r="356" spans="1:11" x14ac:dyDescent="0.2">
      <c r="A356" t="s">
        <v>2212</v>
      </c>
      <c r="B356" t="s">
        <v>2191</v>
      </c>
      <c r="C356">
        <v>8.1419999999999999E-3</v>
      </c>
      <c r="D356" t="s">
        <v>20</v>
      </c>
      <c r="E356" s="6">
        <v>42178</v>
      </c>
      <c r="F356" s="6">
        <v>42179</v>
      </c>
      <c r="G356" s="6">
        <v>42180</v>
      </c>
      <c r="I356">
        <v>2014</v>
      </c>
      <c r="J356" t="s">
        <v>2175</v>
      </c>
      <c r="K356" t="s">
        <v>2213</v>
      </c>
    </row>
    <row r="357" spans="1:11" x14ac:dyDescent="0.2">
      <c r="A357" t="s">
        <v>2212</v>
      </c>
      <c r="B357" t="s">
        <v>2191</v>
      </c>
      <c r="C357">
        <v>5.6740000000000002E-3</v>
      </c>
      <c r="D357" t="s">
        <v>20</v>
      </c>
      <c r="E357" s="6">
        <v>42537</v>
      </c>
      <c r="F357" s="6">
        <v>42538</v>
      </c>
      <c r="G357" s="6">
        <v>42541</v>
      </c>
      <c r="I357">
        <v>2015</v>
      </c>
      <c r="J357" t="s">
        <v>2175</v>
      </c>
      <c r="K357" t="s">
        <v>2213</v>
      </c>
    </row>
    <row r="358" spans="1:11" x14ac:dyDescent="0.2">
      <c r="A358" t="s">
        <v>2212</v>
      </c>
      <c r="B358" t="s">
        <v>2191</v>
      </c>
      <c r="C358">
        <v>8.2529999999999999E-3</v>
      </c>
      <c r="D358" t="s">
        <v>20</v>
      </c>
      <c r="E358" s="6">
        <v>42902</v>
      </c>
      <c r="F358" s="6">
        <v>42905</v>
      </c>
      <c r="G358" s="6">
        <v>42906</v>
      </c>
      <c r="I358">
        <v>2016</v>
      </c>
      <c r="J358" t="s">
        <v>2175</v>
      </c>
      <c r="K358" t="s">
        <v>2213</v>
      </c>
    </row>
    <row r="359" spans="1:11" x14ac:dyDescent="0.2">
      <c r="A359" t="s">
        <v>2212</v>
      </c>
      <c r="B359" t="s">
        <v>2191</v>
      </c>
      <c r="C359">
        <v>1.6299999999999999E-2</v>
      </c>
      <c r="D359" t="s">
        <v>20</v>
      </c>
      <c r="E359" s="6">
        <v>43287</v>
      </c>
      <c r="F359" s="6">
        <v>43290</v>
      </c>
      <c r="G359" s="6">
        <v>43291</v>
      </c>
      <c r="I359">
        <v>2017</v>
      </c>
      <c r="J359" t="s">
        <v>2175</v>
      </c>
      <c r="K359" t="s">
        <v>2213</v>
      </c>
    </row>
    <row r="360" spans="1:11" x14ac:dyDescent="0.2">
      <c r="A360" t="s">
        <v>2212</v>
      </c>
      <c r="B360" t="s">
        <v>2191</v>
      </c>
      <c r="C360">
        <v>3.6799999999999999E-2</v>
      </c>
      <c r="D360" t="s">
        <v>20</v>
      </c>
      <c r="E360" s="6">
        <v>43642</v>
      </c>
      <c r="F360" s="6">
        <v>43643</v>
      </c>
      <c r="G360" s="6">
        <v>43644</v>
      </c>
      <c r="I360">
        <v>2018</v>
      </c>
      <c r="J360" t="s">
        <v>2175</v>
      </c>
      <c r="K360" t="s">
        <v>2213</v>
      </c>
    </row>
    <row r="361" spans="1:11" x14ac:dyDescent="0.2">
      <c r="A361" t="s">
        <v>2212</v>
      </c>
      <c r="B361" t="s">
        <v>2191</v>
      </c>
      <c r="C361">
        <v>5.4399999999999997E-2</v>
      </c>
      <c r="D361" t="s">
        <v>20</v>
      </c>
      <c r="E361" s="6">
        <v>44020</v>
      </c>
      <c r="F361" s="6">
        <v>44021</v>
      </c>
      <c r="G361" s="6">
        <v>44022</v>
      </c>
      <c r="I361">
        <v>2019</v>
      </c>
      <c r="J361" t="s">
        <v>2175</v>
      </c>
      <c r="K361" t="s">
        <v>2213</v>
      </c>
    </row>
    <row r="362" spans="1:11" x14ac:dyDescent="0.2">
      <c r="A362" t="s">
        <v>2212</v>
      </c>
      <c r="B362" t="s">
        <v>2191</v>
      </c>
      <c r="C362">
        <v>0.06</v>
      </c>
      <c r="D362" t="s">
        <v>20</v>
      </c>
      <c r="E362" s="6">
        <v>44377</v>
      </c>
      <c r="F362" s="6">
        <v>44378</v>
      </c>
      <c r="G362" s="6">
        <v>44379</v>
      </c>
      <c r="I362">
        <v>2020</v>
      </c>
      <c r="J362" t="s">
        <v>2175</v>
      </c>
      <c r="K362" t="s">
        <v>2213</v>
      </c>
    </row>
    <row r="363" spans="1:11" x14ac:dyDescent="0.2">
      <c r="A363" t="s">
        <v>2212</v>
      </c>
      <c r="B363" t="s">
        <v>2191</v>
      </c>
      <c r="C363">
        <v>9.6600000000000005E-2</v>
      </c>
      <c r="D363" t="s">
        <v>20</v>
      </c>
      <c r="E363" s="6">
        <v>44749</v>
      </c>
      <c r="F363" s="6">
        <v>44750</v>
      </c>
      <c r="G363" s="6">
        <v>44753</v>
      </c>
      <c r="H363" s="6">
        <v>44788</v>
      </c>
      <c r="I363">
        <v>2021</v>
      </c>
      <c r="J363" t="s">
        <v>2175</v>
      </c>
      <c r="K363" t="s">
        <v>2213</v>
      </c>
    </row>
    <row r="364" spans="1:11" x14ac:dyDescent="0.2">
      <c r="A364" t="s">
        <v>2212</v>
      </c>
      <c r="B364" t="s">
        <v>2191</v>
      </c>
      <c r="C364">
        <v>5.8099999999999999E-2</v>
      </c>
      <c r="D364" t="s">
        <v>20</v>
      </c>
      <c r="E364" s="6">
        <v>45113</v>
      </c>
      <c r="F364" s="6">
        <v>45114</v>
      </c>
      <c r="G364" s="6">
        <v>45117</v>
      </c>
      <c r="H364" s="6">
        <v>45152</v>
      </c>
      <c r="I364">
        <v>2022</v>
      </c>
      <c r="J364" t="s">
        <v>2175</v>
      </c>
      <c r="K364" t="s">
        <v>2213</v>
      </c>
    </row>
    <row r="365" spans="1:11" x14ac:dyDescent="0.2">
      <c r="A365" t="s">
        <v>2212</v>
      </c>
      <c r="B365" t="s">
        <v>2191</v>
      </c>
      <c r="C365">
        <v>5.9799999999999999E-2</v>
      </c>
      <c r="D365" t="s">
        <v>20</v>
      </c>
      <c r="E365" s="6">
        <v>45962</v>
      </c>
      <c r="F365" s="6">
        <v>45966</v>
      </c>
      <c r="G365" s="6">
        <v>45966</v>
      </c>
      <c r="H365" s="6">
        <v>46001</v>
      </c>
      <c r="I365">
        <v>2024</v>
      </c>
      <c r="J365" t="s">
        <v>2175</v>
      </c>
      <c r="K365" t="s">
        <v>2213</v>
      </c>
    </row>
    <row r="366" spans="1:11" x14ac:dyDescent="0.2">
      <c r="A366" t="s">
        <v>2214</v>
      </c>
      <c r="B366" t="s">
        <v>2191</v>
      </c>
      <c r="C366">
        <v>0.25</v>
      </c>
      <c r="D366" t="s">
        <v>20</v>
      </c>
      <c r="E366" s="6">
        <v>38821</v>
      </c>
      <c r="F366" s="6">
        <v>38822</v>
      </c>
      <c r="G366" s="6">
        <v>38822</v>
      </c>
      <c r="I366">
        <v>2005</v>
      </c>
      <c r="J366" t="s">
        <v>2175</v>
      </c>
      <c r="K366" t="s">
        <v>2215</v>
      </c>
    </row>
    <row r="367" spans="1:11" x14ac:dyDescent="0.2">
      <c r="A367" t="s">
        <v>2214</v>
      </c>
      <c r="B367" t="s">
        <v>2191</v>
      </c>
      <c r="C367">
        <v>1.03E-4</v>
      </c>
      <c r="D367" t="s">
        <v>20</v>
      </c>
      <c r="E367" s="6">
        <v>39206</v>
      </c>
      <c r="F367" s="6">
        <v>39207</v>
      </c>
      <c r="G367" s="6">
        <v>39209</v>
      </c>
      <c r="I367">
        <v>2006</v>
      </c>
      <c r="J367" t="s">
        <v>2175</v>
      </c>
      <c r="K367" t="s">
        <v>2215</v>
      </c>
    </row>
    <row r="368" spans="1:11" x14ac:dyDescent="0.2">
      <c r="A368" t="s">
        <v>2214</v>
      </c>
      <c r="B368" t="s">
        <v>2191</v>
      </c>
      <c r="C368">
        <v>2.8E-5</v>
      </c>
      <c r="D368" t="s">
        <v>20</v>
      </c>
      <c r="E368" s="6">
        <v>39206</v>
      </c>
      <c r="F368" s="6">
        <v>39207</v>
      </c>
      <c r="G368" s="6">
        <v>39209</v>
      </c>
      <c r="I368">
        <v>2007</v>
      </c>
      <c r="J368" t="s">
        <v>2195</v>
      </c>
      <c r="K368" t="s">
        <v>2215</v>
      </c>
    </row>
    <row r="369" spans="1:11" x14ac:dyDescent="0.2">
      <c r="A369" t="s">
        <v>2214</v>
      </c>
      <c r="B369" t="s">
        <v>2191</v>
      </c>
      <c r="C369">
        <v>4.3999999999999999E-5</v>
      </c>
      <c r="D369" t="s">
        <v>20</v>
      </c>
      <c r="E369" s="6">
        <v>40308</v>
      </c>
      <c r="F369" s="6">
        <v>40309</v>
      </c>
      <c r="G369" s="6">
        <v>40310</v>
      </c>
      <c r="I369">
        <v>2009</v>
      </c>
      <c r="J369" t="s">
        <v>2175</v>
      </c>
      <c r="K369" t="s">
        <v>2215</v>
      </c>
    </row>
    <row r="370" spans="1:11" x14ac:dyDescent="0.2">
      <c r="A370" t="s">
        <v>2214</v>
      </c>
      <c r="B370" t="s">
        <v>2191</v>
      </c>
      <c r="C370">
        <v>4.6999999999999997E-5</v>
      </c>
      <c r="D370" t="s">
        <v>20</v>
      </c>
      <c r="E370" s="6">
        <v>40673</v>
      </c>
      <c r="F370" s="6">
        <v>40674</v>
      </c>
      <c r="G370" s="6">
        <v>40675</v>
      </c>
      <c r="I370">
        <v>2010</v>
      </c>
      <c r="J370" t="s">
        <v>2175</v>
      </c>
      <c r="K370" t="s">
        <v>2215</v>
      </c>
    </row>
    <row r="371" spans="1:11" x14ac:dyDescent="0.2">
      <c r="A371" t="s">
        <v>2214</v>
      </c>
      <c r="B371" t="s">
        <v>2191</v>
      </c>
      <c r="C371">
        <v>4.8999999999999998E-5</v>
      </c>
      <c r="D371" t="s">
        <v>20</v>
      </c>
      <c r="E371" s="6">
        <v>41029</v>
      </c>
      <c r="F371" s="6">
        <v>41030</v>
      </c>
      <c r="G371" s="6">
        <v>41031</v>
      </c>
      <c r="I371">
        <v>2011</v>
      </c>
      <c r="J371" t="s">
        <v>2175</v>
      </c>
      <c r="K371" t="s">
        <v>2215</v>
      </c>
    </row>
    <row r="372" spans="1:11" x14ac:dyDescent="0.2">
      <c r="A372" t="s">
        <v>2214</v>
      </c>
      <c r="B372" t="s">
        <v>2191</v>
      </c>
      <c r="C372">
        <v>1.22E-4</v>
      </c>
      <c r="D372" t="s">
        <v>20</v>
      </c>
      <c r="E372" s="6">
        <v>41390</v>
      </c>
      <c r="F372" s="6">
        <v>41393</v>
      </c>
      <c r="G372" s="6">
        <v>41394</v>
      </c>
      <c r="I372">
        <v>2012</v>
      </c>
      <c r="J372" t="s">
        <v>2175</v>
      </c>
      <c r="K372" t="s">
        <v>2215</v>
      </c>
    </row>
    <row r="373" spans="1:11" x14ac:dyDescent="0.2">
      <c r="A373" t="s">
        <v>2214</v>
      </c>
      <c r="B373" t="s">
        <v>2191</v>
      </c>
      <c r="C373">
        <v>1.6699999999999999E-4</v>
      </c>
      <c r="D373" t="s">
        <v>20</v>
      </c>
      <c r="E373" s="6">
        <v>41822</v>
      </c>
      <c r="F373" s="6">
        <v>41823</v>
      </c>
      <c r="G373" s="6">
        <v>41824</v>
      </c>
      <c r="I373">
        <v>2013</v>
      </c>
      <c r="J373" t="s">
        <v>2175</v>
      </c>
      <c r="K373" t="s">
        <v>2215</v>
      </c>
    </row>
    <row r="374" spans="1:11" x14ac:dyDescent="0.2">
      <c r="A374" t="s">
        <v>2214</v>
      </c>
      <c r="B374" t="s">
        <v>2191</v>
      </c>
      <c r="C374">
        <v>2.2499999999999999E-4</v>
      </c>
      <c r="D374" t="s">
        <v>20</v>
      </c>
      <c r="E374" s="6">
        <v>42193</v>
      </c>
      <c r="F374" s="6">
        <v>42194</v>
      </c>
      <c r="G374" s="6">
        <v>42195</v>
      </c>
      <c r="I374">
        <v>2014</v>
      </c>
      <c r="J374" t="s">
        <v>2175</v>
      </c>
      <c r="K374" t="s">
        <v>2215</v>
      </c>
    </row>
    <row r="375" spans="1:11" x14ac:dyDescent="0.2">
      <c r="A375" t="s">
        <v>2214</v>
      </c>
      <c r="B375" t="s">
        <v>2191</v>
      </c>
      <c r="C375">
        <v>2.43E-4</v>
      </c>
      <c r="D375" t="s">
        <v>20</v>
      </c>
      <c r="E375" s="6">
        <v>42556</v>
      </c>
      <c r="F375" s="6">
        <v>42557</v>
      </c>
      <c r="G375" s="6">
        <v>42558</v>
      </c>
      <c r="I375">
        <v>2015</v>
      </c>
      <c r="J375" t="s">
        <v>2175</v>
      </c>
      <c r="K375" t="s">
        <v>2215</v>
      </c>
    </row>
    <row r="376" spans="1:11" x14ac:dyDescent="0.2">
      <c r="A376" t="s">
        <v>2214</v>
      </c>
      <c r="B376" t="s">
        <v>2191</v>
      </c>
      <c r="C376">
        <v>3.4499999999999998E-4</v>
      </c>
      <c r="D376" t="s">
        <v>20</v>
      </c>
      <c r="E376" s="6">
        <v>42921</v>
      </c>
      <c r="F376" s="6">
        <v>42922</v>
      </c>
      <c r="G376" s="6">
        <v>42923</v>
      </c>
      <c r="I376">
        <v>2016</v>
      </c>
      <c r="J376" t="s">
        <v>2175</v>
      </c>
      <c r="K376" t="s">
        <v>2215</v>
      </c>
    </row>
    <row r="377" spans="1:11" x14ac:dyDescent="0.2">
      <c r="A377" t="s">
        <v>2214</v>
      </c>
      <c r="B377" t="s">
        <v>2191</v>
      </c>
      <c r="C377">
        <v>4.8999999999999998E-4</v>
      </c>
      <c r="D377" t="s">
        <v>20</v>
      </c>
      <c r="E377" s="6">
        <v>43272</v>
      </c>
      <c r="F377" s="6">
        <v>43273</v>
      </c>
      <c r="G377" s="6">
        <v>43276</v>
      </c>
      <c r="I377">
        <v>2017</v>
      </c>
      <c r="J377" t="s">
        <v>2175</v>
      </c>
      <c r="K377" t="s">
        <v>2215</v>
      </c>
    </row>
    <row r="378" spans="1:11" x14ac:dyDescent="0.2">
      <c r="A378" t="s">
        <v>2214</v>
      </c>
      <c r="B378" t="s">
        <v>2191</v>
      </c>
      <c r="C378">
        <v>6.4499999999999996E-4</v>
      </c>
      <c r="D378" t="s">
        <v>20</v>
      </c>
      <c r="E378" s="6">
        <v>43640</v>
      </c>
      <c r="F378" s="6">
        <v>43641</v>
      </c>
      <c r="G378" s="6">
        <v>43642</v>
      </c>
      <c r="I378">
        <v>2018</v>
      </c>
      <c r="J378" t="s">
        <v>2175</v>
      </c>
      <c r="K378" t="s">
        <v>2215</v>
      </c>
    </row>
    <row r="379" spans="1:11" x14ac:dyDescent="0.2">
      <c r="A379" t="s">
        <v>2214</v>
      </c>
      <c r="B379" t="s">
        <v>2191</v>
      </c>
      <c r="C379">
        <v>1.0369999999999999E-3</v>
      </c>
      <c r="D379" t="s">
        <v>20</v>
      </c>
      <c r="E379" s="6">
        <v>44015</v>
      </c>
      <c r="F379" s="6">
        <v>44018</v>
      </c>
      <c r="G379" s="6">
        <v>44019</v>
      </c>
      <c r="I379">
        <v>2019</v>
      </c>
      <c r="J379" t="s">
        <v>2175</v>
      </c>
      <c r="K379" t="s">
        <v>2215</v>
      </c>
    </row>
    <row r="380" spans="1:11" x14ac:dyDescent="0.2">
      <c r="A380" t="s">
        <v>2214</v>
      </c>
      <c r="B380" t="s">
        <v>2191</v>
      </c>
      <c r="C380">
        <v>1.0709999999999999E-3</v>
      </c>
      <c r="D380" t="s">
        <v>20</v>
      </c>
      <c r="E380" s="6">
        <v>44378</v>
      </c>
      <c r="F380" s="6">
        <v>44379</v>
      </c>
      <c r="G380" s="6">
        <v>44382</v>
      </c>
      <c r="I380">
        <v>2020</v>
      </c>
      <c r="J380" t="s">
        <v>2175</v>
      </c>
      <c r="K380" t="s">
        <v>2215</v>
      </c>
    </row>
    <row r="381" spans="1:11" x14ac:dyDescent="0.2">
      <c r="A381" t="s">
        <v>2216</v>
      </c>
      <c r="B381" t="s">
        <v>2191</v>
      </c>
      <c r="C381">
        <v>1.12E-2</v>
      </c>
      <c r="D381" t="s">
        <v>20</v>
      </c>
      <c r="E381" s="6">
        <v>38827</v>
      </c>
      <c r="F381" s="6">
        <v>38828</v>
      </c>
      <c r="G381" s="6">
        <v>38828</v>
      </c>
      <c r="I381">
        <v>2005</v>
      </c>
      <c r="J381" t="s">
        <v>2175</v>
      </c>
      <c r="K381" t="s">
        <v>2217</v>
      </c>
    </row>
    <row r="382" spans="1:11" x14ac:dyDescent="0.2">
      <c r="A382" t="s">
        <v>2216</v>
      </c>
      <c r="B382" t="s">
        <v>2191</v>
      </c>
      <c r="C382">
        <v>4.071E-3</v>
      </c>
      <c r="D382" t="s">
        <v>20</v>
      </c>
      <c r="E382" s="6">
        <v>39181</v>
      </c>
      <c r="F382" s="6">
        <v>39182</v>
      </c>
      <c r="G382" s="6">
        <v>39182</v>
      </c>
      <c r="I382">
        <v>2006</v>
      </c>
      <c r="J382" t="s">
        <v>2175</v>
      </c>
      <c r="K382" t="s">
        <v>2217</v>
      </c>
    </row>
    <row r="383" spans="1:11" x14ac:dyDescent="0.2">
      <c r="A383" t="s">
        <v>2216</v>
      </c>
      <c r="B383" t="s">
        <v>2191</v>
      </c>
      <c r="C383">
        <v>3.0500000000000002E-3</v>
      </c>
      <c r="D383" t="s">
        <v>20</v>
      </c>
      <c r="E383" s="6">
        <v>39181</v>
      </c>
      <c r="F383" s="6">
        <v>39182</v>
      </c>
      <c r="G383" s="6">
        <v>39182</v>
      </c>
      <c r="I383">
        <v>2007</v>
      </c>
      <c r="J383" t="s">
        <v>2195</v>
      </c>
      <c r="K383" t="s">
        <v>2217</v>
      </c>
    </row>
    <row r="384" spans="1:11" x14ac:dyDescent="0.2">
      <c r="A384" t="s">
        <v>2216</v>
      </c>
      <c r="B384" t="s">
        <v>2191</v>
      </c>
      <c r="C384">
        <v>3.0500000000000002E-3</v>
      </c>
      <c r="D384" t="s">
        <v>20</v>
      </c>
      <c r="E384" s="6">
        <v>39556</v>
      </c>
      <c r="F384" s="6">
        <v>39559</v>
      </c>
      <c r="G384" s="6">
        <v>39559</v>
      </c>
      <c r="I384">
        <v>2007</v>
      </c>
      <c r="J384" t="s">
        <v>2175</v>
      </c>
      <c r="K384" t="s">
        <v>2217</v>
      </c>
    </row>
    <row r="385" spans="1:11" x14ac:dyDescent="0.2">
      <c r="A385" t="s">
        <v>2216</v>
      </c>
      <c r="B385" t="s">
        <v>2191</v>
      </c>
      <c r="C385">
        <v>5.79E-2</v>
      </c>
      <c r="D385" t="s">
        <v>20</v>
      </c>
      <c r="E385" s="6">
        <v>41041</v>
      </c>
      <c r="F385" s="6">
        <v>41043</v>
      </c>
      <c r="G385" s="6">
        <v>41043</v>
      </c>
      <c r="I385">
        <v>2011</v>
      </c>
      <c r="J385" t="s">
        <v>2175</v>
      </c>
      <c r="K385" t="s">
        <v>2217</v>
      </c>
    </row>
    <row r="386" spans="1:11" x14ac:dyDescent="0.2">
      <c r="A386" t="s">
        <v>2216</v>
      </c>
      <c r="B386" t="s">
        <v>2191</v>
      </c>
      <c r="C386">
        <v>0.28999999999999998</v>
      </c>
      <c r="D386" t="s">
        <v>20</v>
      </c>
      <c r="E386" s="6">
        <v>41410</v>
      </c>
      <c r="F386" s="6">
        <v>41411</v>
      </c>
      <c r="G386" s="6">
        <v>41411</v>
      </c>
      <c r="I386">
        <v>2012</v>
      </c>
      <c r="J386" t="s">
        <v>2175</v>
      </c>
      <c r="K386" t="s">
        <v>2217</v>
      </c>
    </row>
    <row r="387" spans="1:11" x14ac:dyDescent="0.2">
      <c r="A387" t="s">
        <v>2216</v>
      </c>
      <c r="B387" t="s">
        <v>2191</v>
      </c>
      <c r="C387">
        <v>0.3</v>
      </c>
      <c r="D387" t="s">
        <v>20</v>
      </c>
      <c r="E387" s="6">
        <v>41823</v>
      </c>
      <c r="F387" s="6">
        <v>41824</v>
      </c>
      <c r="G387" s="6">
        <v>41827</v>
      </c>
      <c r="I387">
        <v>2013</v>
      </c>
      <c r="J387" t="s">
        <v>2175</v>
      </c>
      <c r="K387" t="s">
        <v>2217</v>
      </c>
    </row>
    <row r="388" spans="1:11" x14ac:dyDescent="0.2">
      <c r="A388" t="s">
        <v>2216</v>
      </c>
      <c r="B388" t="s">
        <v>2191</v>
      </c>
      <c r="C388">
        <v>7.9299999999999995E-2</v>
      </c>
      <c r="D388" t="s">
        <v>20</v>
      </c>
      <c r="E388" s="6">
        <v>41823</v>
      </c>
      <c r="F388" s="6">
        <v>41824</v>
      </c>
      <c r="G388" s="6">
        <v>41827</v>
      </c>
      <c r="I388">
        <v>2013</v>
      </c>
      <c r="J388" t="s">
        <v>2181</v>
      </c>
      <c r="K388" t="s">
        <v>2217</v>
      </c>
    </row>
    <row r="389" spans="1:11" x14ac:dyDescent="0.2">
      <c r="A389" t="s">
        <v>2216</v>
      </c>
      <c r="B389" t="s">
        <v>2191</v>
      </c>
      <c r="C389">
        <v>0.28000000000000003</v>
      </c>
      <c r="D389" t="s">
        <v>20</v>
      </c>
      <c r="E389" s="6">
        <v>42188</v>
      </c>
      <c r="F389" s="6">
        <v>42191</v>
      </c>
      <c r="G389" s="6">
        <v>42192</v>
      </c>
      <c r="I389">
        <v>2014</v>
      </c>
      <c r="J389" t="s">
        <v>2175</v>
      </c>
      <c r="K389" t="s">
        <v>2217</v>
      </c>
    </row>
    <row r="390" spans="1:11" x14ac:dyDescent="0.2">
      <c r="A390" t="s">
        <v>2216</v>
      </c>
      <c r="B390" t="s">
        <v>2191</v>
      </c>
      <c r="C390">
        <v>0.2</v>
      </c>
      <c r="D390" t="s">
        <v>20</v>
      </c>
      <c r="E390" s="6">
        <v>42551</v>
      </c>
      <c r="F390" s="6">
        <v>42552</v>
      </c>
      <c r="G390" s="6">
        <v>42555</v>
      </c>
      <c r="I390">
        <v>2015</v>
      </c>
      <c r="J390" t="s">
        <v>2175</v>
      </c>
      <c r="K390" t="s">
        <v>2217</v>
      </c>
    </row>
    <row r="391" spans="1:11" x14ac:dyDescent="0.2">
      <c r="A391" t="s">
        <v>2216</v>
      </c>
      <c r="B391" t="s">
        <v>2191</v>
      </c>
      <c r="C391">
        <v>0.12</v>
      </c>
      <c r="D391" t="s">
        <v>20</v>
      </c>
      <c r="E391" s="6">
        <v>42719</v>
      </c>
      <c r="F391" s="6">
        <v>42720</v>
      </c>
      <c r="G391" s="6">
        <v>42723</v>
      </c>
      <c r="I391">
        <v>2016</v>
      </c>
      <c r="J391" t="s">
        <v>2180</v>
      </c>
      <c r="K391" t="s">
        <v>2217</v>
      </c>
    </row>
    <row r="392" spans="1:11" x14ac:dyDescent="0.2">
      <c r="A392" t="s">
        <v>2216</v>
      </c>
      <c r="B392" t="s">
        <v>2191</v>
      </c>
      <c r="C392">
        <v>9.3700000000000006E-2</v>
      </c>
      <c r="D392" t="s">
        <v>20</v>
      </c>
      <c r="E392" s="6">
        <v>42916</v>
      </c>
      <c r="F392" s="6">
        <v>42919</v>
      </c>
      <c r="G392" s="6">
        <v>42920</v>
      </c>
      <c r="I392">
        <v>2016</v>
      </c>
      <c r="J392" t="s">
        <v>2175</v>
      </c>
      <c r="K392" t="s">
        <v>2217</v>
      </c>
    </row>
    <row r="393" spans="1:11" x14ac:dyDescent="0.2">
      <c r="A393" t="s">
        <v>2216</v>
      </c>
      <c r="B393" t="s">
        <v>2191</v>
      </c>
      <c r="C393">
        <v>1.7299999999999999E-2</v>
      </c>
      <c r="D393" t="s">
        <v>20</v>
      </c>
      <c r="E393" s="6">
        <v>42916</v>
      </c>
      <c r="F393" s="6">
        <v>42919</v>
      </c>
      <c r="G393" s="6">
        <v>42920</v>
      </c>
      <c r="I393">
        <v>2017</v>
      </c>
      <c r="J393" t="s">
        <v>2195</v>
      </c>
      <c r="K393" t="s">
        <v>2217</v>
      </c>
    </row>
    <row r="394" spans="1:11" x14ac:dyDescent="0.2">
      <c r="A394" t="s">
        <v>2216</v>
      </c>
      <c r="B394" t="s">
        <v>2191</v>
      </c>
      <c r="C394">
        <v>0.11</v>
      </c>
      <c r="D394" t="s">
        <v>20</v>
      </c>
      <c r="E394" s="6">
        <v>43083</v>
      </c>
      <c r="F394" s="6">
        <v>43084</v>
      </c>
      <c r="G394" s="6">
        <v>43087</v>
      </c>
      <c r="I394">
        <v>2017</v>
      </c>
      <c r="J394" t="s">
        <v>2180</v>
      </c>
      <c r="K394" t="s">
        <v>2217</v>
      </c>
    </row>
    <row r="395" spans="1:11" x14ac:dyDescent="0.2">
      <c r="A395" t="s">
        <v>2216</v>
      </c>
      <c r="B395" t="s">
        <v>2191</v>
      </c>
      <c r="C395">
        <v>0.11</v>
      </c>
      <c r="D395" t="s">
        <v>20</v>
      </c>
      <c r="E395" s="6">
        <v>43280</v>
      </c>
      <c r="F395" s="6">
        <v>43283</v>
      </c>
      <c r="G395" s="6">
        <v>43284</v>
      </c>
      <c r="I395">
        <v>2017</v>
      </c>
      <c r="J395" t="s">
        <v>2175</v>
      </c>
      <c r="K395" t="s">
        <v>2217</v>
      </c>
    </row>
    <row r="396" spans="1:11" x14ac:dyDescent="0.2">
      <c r="A396" t="s">
        <v>2216</v>
      </c>
      <c r="B396" t="s">
        <v>2191</v>
      </c>
      <c r="C396">
        <v>0.11</v>
      </c>
      <c r="D396" t="s">
        <v>20</v>
      </c>
      <c r="E396" s="6">
        <v>43448</v>
      </c>
      <c r="F396" s="6">
        <v>43451</v>
      </c>
      <c r="G396" s="6">
        <v>43452</v>
      </c>
      <c r="I396">
        <v>2018</v>
      </c>
      <c r="J396" t="s">
        <v>2180</v>
      </c>
      <c r="K396" t="s">
        <v>2217</v>
      </c>
    </row>
    <row r="397" spans="1:11" x14ac:dyDescent="0.2">
      <c r="A397" t="s">
        <v>2216</v>
      </c>
      <c r="B397" t="s">
        <v>2191</v>
      </c>
      <c r="C397">
        <v>0.11</v>
      </c>
      <c r="D397" t="s">
        <v>20</v>
      </c>
      <c r="E397" s="6">
        <v>43637</v>
      </c>
      <c r="F397" s="6">
        <v>43640</v>
      </c>
      <c r="G397" s="6">
        <v>43641</v>
      </c>
      <c r="H397" s="6">
        <v>43676</v>
      </c>
      <c r="I397">
        <v>2018</v>
      </c>
      <c r="J397" t="s">
        <v>2175</v>
      </c>
      <c r="K397" t="s">
        <v>2217</v>
      </c>
    </row>
    <row r="398" spans="1:11" x14ac:dyDescent="0.2">
      <c r="A398" t="s">
        <v>2216</v>
      </c>
      <c r="B398" t="s">
        <v>2191</v>
      </c>
      <c r="C398">
        <v>0.11</v>
      </c>
      <c r="D398" t="s">
        <v>20</v>
      </c>
      <c r="E398" s="6">
        <v>43811</v>
      </c>
      <c r="F398" s="6">
        <v>43812</v>
      </c>
      <c r="G398" s="6">
        <v>43814</v>
      </c>
      <c r="I398">
        <v>2019</v>
      </c>
      <c r="J398" t="s">
        <v>2180</v>
      </c>
      <c r="K398" t="s">
        <v>2217</v>
      </c>
    </row>
    <row r="399" spans="1:11" x14ac:dyDescent="0.2">
      <c r="A399" t="s">
        <v>2216</v>
      </c>
      <c r="B399" t="s">
        <v>2191</v>
      </c>
      <c r="C399">
        <v>0.11</v>
      </c>
      <c r="D399" t="s">
        <v>20</v>
      </c>
      <c r="E399" s="6">
        <v>44000</v>
      </c>
      <c r="F399" s="6">
        <v>44001</v>
      </c>
      <c r="G399" s="6">
        <v>44004</v>
      </c>
      <c r="H399" s="6">
        <v>44041</v>
      </c>
      <c r="I399">
        <v>2019</v>
      </c>
      <c r="J399" t="s">
        <v>2175</v>
      </c>
      <c r="K399" t="s">
        <v>2217</v>
      </c>
    </row>
    <row r="400" spans="1:11" x14ac:dyDescent="0.2">
      <c r="A400" t="s">
        <v>2216</v>
      </c>
      <c r="B400" t="s">
        <v>2191</v>
      </c>
      <c r="C400">
        <v>0.11</v>
      </c>
      <c r="D400" t="s">
        <v>20</v>
      </c>
      <c r="E400" s="6">
        <v>44183</v>
      </c>
      <c r="F400" s="6">
        <v>44186</v>
      </c>
      <c r="G400" s="6">
        <v>44185</v>
      </c>
      <c r="H400" s="6">
        <v>44228</v>
      </c>
      <c r="I400">
        <v>2020</v>
      </c>
      <c r="J400" t="s">
        <v>2180</v>
      </c>
      <c r="K400" t="s">
        <v>2217</v>
      </c>
    </row>
    <row r="401" spans="1:11" x14ac:dyDescent="0.2">
      <c r="A401" t="s">
        <v>2216</v>
      </c>
      <c r="B401" t="s">
        <v>2191</v>
      </c>
      <c r="C401">
        <v>0.13</v>
      </c>
      <c r="D401" t="s">
        <v>20</v>
      </c>
      <c r="E401" s="6">
        <v>44365</v>
      </c>
      <c r="F401" s="6">
        <v>44368</v>
      </c>
      <c r="G401" s="6">
        <v>44369</v>
      </c>
      <c r="H401" s="6">
        <v>44404</v>
      </c>
      <c r="I401">
        <v>2020</v>
      </c>
      <c r="J401" t="s">
        <v>2175</v>
      </c>
      <c r="K401" t="s">
        <v>2217</v>
      </c>
    </row>
    <row r="402" spans="1:11" x14ac:dyDescent="0.2">
      <c r="A402" t="s">
        <v>2216</v>
      </c>
      <c r="B402" t="s">
        <v>2191</v>
      </c>
      <c r="C402">
        <v>0.19</v>
      </c>
      <c r="D402" t="s">
        <v>20</v>
      </c>
      <c r="E402" s="6">
        <v>44546</v>
      </c>
      <c r="F402" s="6">
        <v>44547</v>
      </c>
      <c r="G402" s="6">
        <v>44547</v>
      </c>
      <c r="H402" s="6">
        <v>44592</v>
      </c>
      <c r="I402">
        <v>2021</v>
      </c>
      <c r="J402" t="s">
        <v>2180</v>
      </c>
      <c r="K402" t="s">
        <v>2217</v>
      </c>
    </row>
    <row r="403" spans="1:11" x14ac:dyDescent="0.2">
      <c r="A403" t="s">
        <v>2218</v>
      </c>
      <c r="B403" t="s">
        <v>2219</v>
      </c>
      <c r="C403">
        <v>0.3</v>
      </c>
      <c r="D403" t="s">
        <v>20</v>
      </c>
      <c r="E403" s="6">
        <v>39575</v>
      </c>
      <c r="F403" s="6">
        <v>39576</v>
      </c>
      <c r="G403" s="6">
        <v>39576</v>
      </c>
      <c r="I403">
        <v>2007</v>
      </c>
      <c r="J403" t="s">
        <v>2175</v>
      </c>
      <c r="K403" t="s">
        <v>2220</v>
      </c>
    </row>
    <row r="404" spans="1:11" x14ac:dyDescent="0.2">
      <c r="A404" t="s">
        <v>2218</v>
      </c>
      <c r="B404" t="s">
        <v>2219</v>
      </c>
      <c r="C404">
        <v>0.03</v>
      </c>
      <c r="D404" t="s">
        <v>20</v>
      </c>
      <c r="E404" s="6">
        <v>40312</v>
      </c>
      <c r="F404" s="6">
        <v>40315</v>
      </c>
      <c r="G404" s="6">
        <v>40316</v>
      </c>
      <c r="I404">
        <v>2009</v>
      </c>
      <c r="J404" t="s">
        <v>2175</v>
      </c>
      <c r="K404" t="s">
        <v>2220</v>
      </c>
    </row>
    <row r="405" spans="1:11" x14ac:dyDescent="0.2">
      <c r="A405" t="s">
        <v>2218</v>
      </c>
      <c r="B405" t="s">
        <v>2219</v>
      </c>
      <c r="C405">
        <v>0.25</v>
      </c>
      <c r="D405" t="s">
        <v>20</v>
      </c>
      <c r="E405" s="6">
        <v>40660</v>
      </c>
      <c r="F405" s="6">
        <v>40661</v>
      </c>
      <c r="G405" s="6">
        <v>40662</v>
      </c>
      <c r="I405">
        <v>2010</v>
      </c>
      <c r="J405" t="s">
        <v>2175</v>
      </c>
      <c r="K405" t="s">
        <v>2220</v>
      </c>
    </row>
    <row r="406" spans="1:11" x14ac:dyDescent="0.2">
      <c r="A406" t="s">
        <v>2218</v>
      </c>
      <c r="B406" t="s">
        <v>2219</v>
      </c>
      <c r="C406">
        <v>1.01</v>
      </c>
      <c r="D406" t="s">
        <v>20</v>
      </c>
      <c r="E406" s="6">
        <v>41038</v>
      </c>
      <c r="F406" s="6">
        <v>41039</v>
      </c>
      <c r="G406" s="6">
        <v>41040</v>
      </c>
      <c r="I406">
        <v>2011</v>
      </c>
      <c r="J406" t="s">
        <v>2175</v>
      </c>
      <c r="K406" t="s">
        <v>2220</v>
      </c>
    </row>
    <row r="407" spans="1:11" x14ac:dyDescent="0.2">
      <c r="A407" t="s">
        <v>2218</v>
      </c>
      <c r="B407" t="s">
        <v>2219</v>
      </c>
      <c r="C407">
        <v>1.1100000000000001</v>
      </c>
      <c r="D407" t="s">
        <v>20</v>
      </c>
      <c r="E407" s="6">
        <v>41403</v>
      </c>
      <c r="F407" s="6">
        <v>41404</v>
      </c>
      <c r="G407" s="6">
        <v>41405</v>
      </c>
      <c r="I407">
        <v>2012</v>
      </c>
      <c r="J407" t="s">
        <v>2175</v>
      </c>
      <c r="K407" t="s">
        <v>2220</v>
      </c>
    </row>
    <row r="408" spans="1:11" x14ac:dyDescent="0.2">
      <c r="A408" t="s">
        <v>2218</v>
      </c>
      <c r="B408" t="s">
        <v>2219</v>
      </c>
      <c r="C408">
        <v>1.47</v>
      </c>
      <c r="D408" t="s">
        <v>20</v>
      </c>
      <c r="E408" s="6">
        <v>41836</v>
      </c>
      <c r="F408" s="6">
        <v>41837</v>
      </c>
      <c r="G408" s="6">
        <v>41838</v>
      </c>
      <c r="I408">
        <v>2013</v>
      </c>
      <c r="J408" t="s">
        <v>2175</v>
      </c>
      <c r="K408" t="s">
        <v>2220</v>
      </c>
    </row>
    <row r="409" spans="1:11" x14ac:dyDescent="0.2">
      <c r="A409" t="s">
        <v>2218</v>
      </c>
      <c r="B409" t="s">
        <v>2219</v>
      </c>
      <c r="C409">
        <v>1.47</v>
      </c>
      <c r="D409" t="s">
        <v>20</v>
      </c>
      <c r="E409" s="6">
        <v>42198</v>
      </c>
      <c r="F409" s="6">
        <v>42199</v>
      </c>
      <c r="G409" s="6">
        <v>42200</v>
      </c>
      <c r="I409">
        <v>2014</v>
      </c>
      <c r="J409" t="s">
        <v>2175</v>
      </c>
      <c r="K409" t="s">
        <v>2220</v>
      </c>
    </row>
    <row r="410" spans="1:11" x14ac:dyDescent="0.2">
      <c r="A410" t="s">
        <v>2218</v>
      </c>
      <c r="B410" t="s">
        <v>2219</v>
      </c>
      <c r="C410">
        <v>2.09</v>
      </c>
      <c r="D410" t="s">
        <v>20</v>
      </c>
      <c r="E410" s="6">
        <v>42566</v>
      </c>
      <c r="F410" s="6">
        <v>42569</v>
      </c>
      <c r="G410" s="6">
        <v>42570</v>
      </c>
      <c r="I410">
        <v>2015</v>
      </c>
      <c r="J410" t="s">
        <v>2175</v>
      </c>
      <c r="K410" t="s">
        <v>2220</v>
      </c>
    </row>
    <row r="411" spans="1:11" x14ac:dyDescent="0.2">
      <c r="A411" t="s">
        <v>2218</v>
      </c>
      <c r="B411" t="s">
        <v>2219</v>
      </c>
      <c r="C411">
        <v>8.93</v>
      </c>
      <c r="D411" t="s">
        <v>20</v>
      </c>
      <c r="E411" s="6">
        <v>42934</v>
      </c>
      <c r="F411" s="6">
        <v>42935</v>
      </c>
      <c r="G411" s="6">
        <v>42936</v>
      </c>
      <c r="I411">
        <v>2016</v>
      </c>
      <c r="J411" t="s">
        <v>2175</v>
      </c>
      <c r="K411" t="s">
        <v>2220</v>
      </c>
    </row>
    <row r="412" spans="1:11" x14ac:dyDescent="0.2">
      <c r="A412" t="s">
        <v>2218</v>
      </c>
      <c r="B412" t="s">
        <v>2219</v>
      </c>
      <c r="C412">
        <v>5.24</v>
      </c>
      <c r="D412" t="s">
        <v>20</v>
      </c>
      <c r="E412" s="6">
        <v>43293</v>
      </c>
      <c r="F412" s="6">
        <v>43294</v>
      </c>
      <c r="G412" s="6">
        <v>43295</v>
      </c>
      <c r="I412">
        <v>2017</v>
      </c>
      <c r="J412" t="s">
        <v>2175</v>
      </c>
      <c r="K412" t="s">
        <v>2220</v>
      </c>
    </row>
    <row r="413" spans="1:11" x14ac:dyDescent="0.2">
      <c r="A413" t="s">
        <v>2218</v>
      </c>
      <c r="B413" t="s">
        <v>2219</v>
      </c>
      <c r="C413">
        <v>5.93</v>
      </c>
      <c r="D413" t="s">
        <v>20</v>
      </c>
      <c r="E413" s="6">
        <v>43384</v>
      </c>
      <c r="F413" s="6">
        <v>43385</v>
      </c>
      <c r="G413" s="6">
        <v>43388</v>
      </c>
      <c r="I413">
        <v>2018</v>
      </c>
      <c r="J413" t="s">
        <v>2177</v>
      </c>
      <c r="K413" t="s">
        <v>2220</v>
      </c>
    </row>
    <row r="414" spans="1:11" x14ac:dyDescent="0.2">
      <c r="A414" t="s">
        <v>2218</v>
      </c>
      <c r="B414" t="s">
        <v>2219</v>
      </c>
      <c r="C414">
        <v>4.1100000000000003</v>
      </c>
      <c r="D414" t="s">
        <v>20</v>
      </c>
      <c r="E414" s="6">
        <v>43657</v>
      </c>
      <c r="F414" s="6">
        <v>43658</v>
      </c>
      <c r="G414" s="6">
        <v>43661</v>
      </c>
      <c r="H414" s="6">
        <v>43696</v>
      </c>
      <c r="I414">
        <v>2018</v>
      </c>
      <c r="J414" t="s">
        <v>2175</v>
      </c>
      <c r="K414" t="s">
        <v>2220</v>
      </c>
    </row>
    <row r="415" spans="1:11" x14ac:dyDescent="0.2">
      <c r="A415" t="s">
        <v>2218</v>
      </c>
      <c r="B415" t="s">
        <v>2219</v>
      </c>
      <c r="C415">
        <v>3.84</v>
      </c>
      <c r="D415" t="s">
        <v>20</v>
      </c>
      <c r="E415" s="6">
        <v>43748</v>
      </c>
      <c r="F415" s="6">
        <v>43749</v>
      </c>
      <c r="G415" s="6">
        <v>43752</v>
      </c>
      <c r="I415">
        <v>2019</v>
      </c>
      <c r="J415" t="s">
        <v>2177</v>
      </c>
      <c r="K415" t="s">
        <v>2220</v>
      </c>
    </row>
    <row r="416" spans="1:11" x14ac:dyDescent="0.2">
      <c r="A416" t="s">
        <v>2218</v>
      </c>
      <c r="B416" t="s">
        <v>2219</v>
      </c>
      <c r="C416">
        <v>2.63</v>
      </c>
      <c r="D416" t="s">
        <v>20</v>
      </c>
      <c r="E416" s="6">
        <v>44021</v>
      </c>
      <c r="F416" s="6">
        <v>44022</v>
      </c>
      <c r="G416" s="6">
        <v>44025</v>
      </c>
      <c r="H416" s="6">
        <v>44060</v>
      </c>
      <c r="I416">
        <v>2019</v>
      </c>
      <c r="J416" t="s">
        <v>2175</v>
      </c>
      <c r="K416" t="s">
        <v>2220</v>
      </c>
    </row>
    <row r="417" spans="1:11" x14ac:dyDescent="0.2">
      <c r="A417" t="s">
        <v>2218</v>
      </c>
      <c r="B417" t="s">
        <v>2219</v>
      </c>
      <c r="C417">
        <v>9.5399999999999991</v>
      </c>
      <c r="D417" t="s">
        <v>20</v>
      </c>
      <c r="E417" s="6">
        <v>44379</v>
      </c>
      <c r="F417" s="6">
        <v>44382</v>
      </c>
      <c r="G417" s="6">
        <v>44381</v>
      </c>
      <c r="H417" s="6">
        <v>44414</v>
      </c>
      <c r="I417">
        <v>2020</v>
      </c>
      <c r="J417" t="s">
        <v>2175</v>
      </c>
      <c r="K417" t="s">
        <v>2220</v>
      </c>
    </row>
    <row r="418" spans="1:11" x14ac:dyDescent="0.2">
      <c r="A418" t="s">
        <v>2218</v>
      </c>
      <c r="B418" t="s">
        <v>2219</v>
      </c>
      <c r="C418">
        <v>8.7899999999999991</v>
      </c>
      <c r="D418" t="s">
        <v>20</v>
      </c>
      <c r="E418" s="6">
        <v>44484</v>
      </c>
      <c r="F418" s="6">
        <v>44487</v>
      </c>
      <c r="G418" s="6">
        <v>44488</v>
      </c>
      <c r="H418" s="6">
        <v>44525</v>
      </c>
      <c r="I418">
        <v>2021</v>
      </c>
      <c r="J418" t="s">
        <v>2177</v>
      </c>
      <c r="K418" t="s">
        <v>2220</v>
      </c>
    </row>
    <row r="419" spans="1:11" x14ac:dyDescent="0.2">
      <c r="A419" t="s">
        <v>2218</v>
      </c>
      <c r="B419" t="s">
        <v>2219</v>
      </c>
      <c r="C419">
        <v>3.77</v>
      </c>
      <c r="D419" t="s">
        <v>20</v>
      </c>
      <c r="E419" s="6">
        <v>45216</v>
      </c>
      <c r="F419" s="6">
        <v>45217</v>
      </c>
      <c r="G419" s="6">
        <v>45217</v>
      </c>
      <c r="H419" s="6">
        <v>45253</v>
      </c>
      <c r="I419">
        <v>2023</v>
      </c>
      <c r="J419" t="s">
        <v>2177</v>
      </c>
      <c r="K419" t="s">
        <v>2220</v>
      </c>
    </row>
    <row r="420" spans="1:11" x14ac:dyDescent="0.2">
      <c r="A420" t="s">
        <v>2218</v>
      </c>
      <c r="B420" t="s">
        <v>2219</v>
      </c>
      <c r="C420">
        <v>2.02</v>
      </c>
      <c r="D420" t="s">
        <v>20</v>
      </c>
      <c r="E420" s="6">
        <v>45442</v>
      </c>
      <c r="F420" s="6">
        <v>45443</v>
      </c>
      <c r="G420" s="6">
        <v>45443</v>
      </c>
      <c r="H420" s="6">
        <v>45481</v>
      </c>
      <c r="I420">
        <v>2023</v>
      </c>
      <c r="J420" t="s">
        <v>2175</v>
      </c>
      <c r="K420" t="s">
        <v>2220</v>
      </c>
    </row>
    <row r="421" spans="1:11" x14ac:dyDescent="0.2">
      <c r="A421" t="s">
        <v>2218</v>
      </c>
      <c r="B421" t="s">
        <v>2219</v>
      </c>
      <c r="C421">
        <v>2.4900000000000002</v>
      </c>
      <c r="D421" t="s">
        <v>20</v>
      </c>
      <c r="E421" s="6">
        <v>45582</v>
      </c>
      <c r="F421" s="6">
        <v>45583</v>
      </c>
      <c r="G421" s="6">
        <v>45584</v>
      </c>
      <c r="H421" s="6">
        <v>45618</v>
      </c>
      <c r="I421">
        <v>2024</v>
      </c>
      <c r="J421" t="s">
        <v>2177</v>
      </c>
      <c r="K421" t="s">
        <v>2220</v>
      </c>
    </row>
    <row r="422" spans="1:11" x14ac:dyDescent="0.2">
      <c r="A422" t="s">
        <v>2221</v>
      </c>
      <c r="B422" t="s">
        <v>2222</v>
      </c>
      <c r="C422">
        <v>60</v>
      </c>
      <c r="D422" t="s">
        <v>20</v>
      </c>
      <c r="E422" s="6">
        <v>37012</v>
      </c>
      <c r="F422" s="6">
        <v>37013</v>
      </c>
      <c r="G422" s="6">
        <v>37013</v>
      </c>
      <c r="I422">
        <v>2000</v>
      </c>
      <c r="J422" t="s">
        <v>2175</v>
      </c>
      <c r="K422" t="s">
        <v>2223</v>
      </c>
    </row>
    <row r="423" spans="1:11" x14ac:dyDescent="0.2">
      <c r="A423" t="s">
        <v>2221</v>
      </c>
      <c r="B423" t="s">
        <v>2222</v>
      </c>
      <c r="C423">
        <v>28.8</v>
      </c>
      <c r="D423" t="s">
        <v>20</v>
      </c>
      <c r="E423" s="6">
        <v>37376</v>
      </c>
      <c r="F423" s="6">
        <v>37377</v>
      </c>
      <c r="G423" s="6">
        <v>37381</v>
      </c>
      <c r="I423">
        <v>2001</v>
      </c>
      <c r="J423" t="s">
        <v>2175</v>
      </c>
      <c r="K423" t="s">
        <v>2223</v>
      </c>
    </row>
    <row r="424" spans="1:11" x14ac:dyDescent="0.2">
      <c r="A424" t="s">
        <v>2221</v>
      </c>
      <c r="B424" t="s">
        <v>2222</v>
      </c>
      <c r="C424">
        <v>72</v>
      </c>
      <c r="D424" t="s">
        <v>20</v>
      </c>
      <c r="E424" s="6">
        <v>37715</v>
      </c>
      <c r="F424" s="6">
        <v>37716</v>
      </c>
      <c r="G424" s="6">
        <v>37716</v>
      </c>
      <c r="I424">
        <v>2002</v>
      </c>
      <c r="J424" t="s">
        <v>2175</v>
      </c>
      <c r="K424" t="s">
        <v>2223</v>
      </c>
    </row>
    <row r="425" spans="1:11" x14ac:dyDescent="0.2">
      <c r="A425" t="s">
        <v>2221</v>
      </c>
      <c r="B425" t="s">
        <v>2222</v>
      </c>
      <c r="C425">
        <v>194</v>
      </c>
      <c r="D425" t="s">
        <v>20</v>
      </c>
      <c r="E425" s="6">
        <v>37799</v>
      </c>
      <c r="F425" s="6">
        <v>37800</v>
      </c>
      <c r="G425" s="6">
        <v>37801</v>
      </c>
      <c r="I425">
        <v>2003</v>
      </c>
      <c r="J425" t="s">
        <v>2177</v>
      </c>
      <c r="K425" t="s">
        <v>2223</v>
      </c>
    </row>
    <row r="426" spans="1:11" x14ac:dyDescent="0.2">
      <c r="A426" t="s">
        <v>2221</v>
      </c>
      <c r="B426" t="s">
        <v>2222</v>
      </c>
      <c r="C426">
        <v>205</v>
      </c>
      <c r="D426" t="s">
        <v>20</v>
      </c>
      <c r="E426" s="6">
        <v>37904</v>
      </c>
      <c r="F426" s="6">
        <v>37905</v>
      </c>
      <c r="G426" s="6">
        <v>37907</v>
      </c>
      <c r="I426">
        <v>2003</v>
      </c>
      <c r="J426" t="s">
        <v>2180</v>
      </c>
      <c r="K426" t="s">
        <v>2223</v>
      </c>
    </row>
    <row r="427" spans="1:11" x14ac:dyDescent="0.2">
      <c r="A427" t="s">
        <v>2221</v>
      </c>
      <c r="B427" t="s">
        <v>2222</v>
      </c>
      <c r="C427">
        <v>28</v>
      </c>
      <c r="D427" t="s">
        <v>20</v>
      </c>
      <c r="E427" s="6">
        <v>38077</v>
      </c>
      <c r="F427" s="6">
        <v>38078</v>
      </c>
      <c r="G427" s="6">
        <v>38078</v>
      </c>
      <c r="I427">
        <v>2003</v>
      </c>
      <c r="J427" t="s">
        <v>2175</v>
      </c>
      <c r="K427" t="s">
        <v>2223</v>
      </c>
    </row>
    <row r="428" spans="1:11" x14ac:dyDescent="0.2">
      <c r="A428" t="s">
        <v>2221</v>
      </c>
      <c r="B428" t="s">
        <v>2222</v>
      </c>
      <c r="C428">
        <v>42</v>
      </c>
      <c r="D428" t="s">
        <v>20</v>
      </c>
      <c r="E428" s="6">
        <v>38077</v>
      </c>
      <c r="F428" s="6">
        <v>38078</v>
      </c>
      <c r="G428" s="6">
        <v>38078</v>
      </c>
      <c r="I428">
        <v>2004</v>
      </c>
      <c r="J428" t="s">
        <v>2195</v>
      </c>
      <c r="K428" t="s">
        <v>2223</v>
      </c>
    </row>
    <row r="429" spans="1:11" x14ac:dyDescent="0.2">
      <c r="A429" t="s">
        <v>2221</v>
      </c>
      <c r="B429" t="s">
        <v>2222</v>
      </c>
      <c r="C429">
        <v>100</v>
      </c>
      <c r="D429" t="s">
        <v>20</v>
      </c>
      <c r="E429" s="6">
        <v>38202</v>
      </c>
      <c r="F429" s="6">
        <v>38203</v>
      </c>
      <c r="G429" s="6">
        <v>38203</v>
      </c>
      <c r="I429">
        <v>2004</v>
      </c>
      <c r="J429" t="s">
        <v>2177</v>
      </c>
      <c r="K429" t="s">
        <v>2223</v>
      </c>
    </row>
    <row r="430" spans="1:11" x14ac:dyDescent="0.2">
      <c r="A430" t="s">
        <v>2221</v>
      </c>
      <c r="B430" t="s">
        <v>2222</v>
      </c>
      <c r="C430">
        <v>230</v>
      </c>
      <c r="D430" t="s">
        <v>20</v>
      </c>
      <c r="E430" s="6">
        <v>38281</v>
      </c>
      <c r="F430" s="6">
        <v>38282</v>
      </c>
      <c r="G430" s="6">
        <v>38282</v>
      </c>
      <c r="I430">
        <v>2004</v>
      </c>
      <c r="J430" t="s">
        <v>2180</v>
      </c>
      <c r="K430" t="s">
        <v>2223</v>
      </c>
    </row>
    <row r="431" spans="1:11" x14ac:dyDescent="0.2">
      <c r="A431" t="s">
        <v>2221</v>
      </c>
      <c r="B431" t="s">
        <v>2222</v>
      </c>
      <c r="C431">
        <v>3</v>
      </c>
      <c r="D431" t="s">
        <v>20</v>
      </c>
      <c r="E431" s="6">
        <v>38461</v>
      </c>
      <c r="F431" s="6">
        <v>38462</v>
      </c>
      <c r="G431" s="6">
        <v>38462</v>
      </c>
      <c r="I431">
        <v>2004</v>
      </c>
      <c r="J431" t="s">
        <v>2175</v>
      </c>
      <c r="K431" t="s">
        <v>2223</v>
      </c>
    </row>
    <row r="432" spans="1:11" x14ac:dyDescent="0.2">
      <c r="A432" t="s">
        <v>2221</v>
      </c>
      <c r="B432" t="s">
        <v>2222</v>
      </c>
      <c r="C432">
        <v>4</v>
      </c>
      <c r="D432" t="s">
        <v>20</v>
      </c>
      <c r="E432" s="6">
        <v>38461</v>
      </c>
      <c r="F432" s="6">
        <v>38462</v>
      </c>
      <c r="G432" s="6">
        <v>38462</v>
      </c>
      <c r="I432">
        <v>2005</v>
      </c>
      <c r="J432" t="s">
        <v>2195</v>
      </c>
      <c r="K432" t="s">
        <v>2223</v>
      </c>
    </row>
    <row r="433" spans="1:11" x14ac:dyDescent="0.2">
      <c r="A433" t="s">
        <v>2221</v>
      </c>
      <c r="B433" t="s">
        <v>2222</v>
      </c>
      <c r="C433">
        <v>3.9</v>
      </c>
      <c r="D433" t="s">
        <v>20</v>
      </c>
      <c r="E433" s="6">
        <v>38566</v>
      </c>
      <c r="F433" s="6">
        <v>38567</v>
      </c>
      <c r="G433" s="6">
        <v>38567</v>
      </c>
      <c r="I433">
        <v>2005</v>
      </c>
      <c r="J433" t="s">
        <v>2177</v>
      </c>
      <c r="K433" t="s">
        <v>2223</v>
      </c>
    </row>
    <row r="434" spans="1:11" x14ac:dyDescent="0.2">
      <c r="A434" t="s">
        <v>2221</v>
      </c>
      <c r="B434" t="s">
        <v>2222</v>
      </c>
      <c r="C434">
        <v>3</v>
      </c>
      <c r="D434" t="s">
        <v>20</v>
      </c>
      <c r="E434" s="6">
        <v>38642</v>
      </c>
      <c r="F434" s="6">
        <v>38643</v>
      </c>
      <c r="G434" s="6">
        <v>38643</v>
      </c>
      <c r="I434">
        <v>2005</v>
      </c>
      <c r="J434" t="s">
        <v>2180</v>
      </c>
      <c r="K434" t="s">
        <v>2223</v>
      </c>
    </row>
    <row r="435" spans="1:11" x14ac:dyDescent="0.2">
      <c r="A435" t="s">
        <v>2221</v>
      </c>
      <c r="B435" t="s">
        <v>2222</v>
      </c>
      <c r="C435">
        <v>4</v>
      </c>
      <c r="D435" t="s">
        <v>20</v>
      </c>
      <c r="E435" s="6">
        <v>38826</v>
      </c>
      <c r="F435" s="6">
        <v>38827</v>
      </c>
      <c r="G435" s="6">
        <v>38827</v>
      </c>
      <c r="I435">
        <v>2005</v>
      </c>
      <c r="J435" t="s">
        <v>2175</v>
      </c>
      <c r="K435" t="s">
        <v>2223</v>
      </c>
    </row>
    <row r="436" spans="1:11" x14ac:dyDescent="0.2">
      <c r="A436" t="s">
        <v>2221</v>
      </c>
      <c r="B436" t="s">
        <v>2222</v>
      </c>
      <c r="C436">
        <v>3.6</v>
      </c>
      <c r="D436" t="s">
        <v>20</v>
      </c>
      <c r="E436" s="6">
        <v>38933</v>
      </c>
      <c r="F436" s="6">
        <v>38934</v>
      </c>
      <c r="G436" s="6">
        <v>38935</v>
      </c>
      <c r="I436">
        <v>2006</v>
      </c>
      <c r="J436" t="s">
        <v>2177</v>
      </c>
      <c r="K436" t="s">
        <v>2223</v>
      </c>
    </row>
    <row r="437" spans="1:11" x14ac:dyDescent="0.2">
      <c r="A437" t="s">
        <v>2221</v>
      </c>
      <c r="B437" t="s">
        <v>2222</v>
      </c>
      <c r="C437">
        <v>2</v>
      </c>
      <c r="D437" t="s">
        <v>20</v>
      </c>
      <c r="E437" s="6">
        <v>39035</v>
      </c>
      <c r="F437" s="6">
        <v>39036</v>
      </c>
      <c r="G437" s="6">
        <v>39036</v>
      </c>
      <c r="I437">
        <v>2006</v>
      </c>
      <c r="J437" t="s">
        <v>2180</v>
      </c>
      <c r="K437" t="s">
        <v>2223</v>
      </c>
    </row>
    <row r="438" spans="1:11" x14ac:dyDescent="0.2">
      <c r="A438" t="s">
        <v>2221</v>
      </c>
      <c r="B438" t="s">
        <v>2222</v>
      </c>
      <c r="C438">
        <v>5</v>
      </c>
      <c r="D438" t="s">
        <v>20</v>
      </c>
      <c r="E438" s="6">
        <v>39197</v>
      </c>
      <c r="F438" s="6">
        <v>39198</v>
      </c>
      <c r="G438" s="6">
        <v>39198</v>
      </c>
      <c r="I438">
        <v>2006</v>
      </c>
      <c r="J438" t="s">
        <v>2175</v>
      </c>
      <c r="K438" t="s">
        <v>2223</v>
      </c>
    </row>
    <row r="439" spans="1:11" x14ac:dyDescent="0.2">
      <c r="A439" t="s">
        <v>2221</v>
      </c>
      <c r="B439" t="s">
        <v>2222</v>
      </c>
      <c r="C439">
        <v>2.6</v>
      </c>
      <c r="D439" t="s">
        <v>20</v>
      </c>
      <c r="E439" s="6">
        <v>39218</v>
      </c>
      <c r="F439" s="6">
        <v>39219</v>
      </c>
      <c r="G439" s="6">
        <v>39219</v>
      </c>
      <c r="I439">
        <v>2007</v>
      </c>
      <c r="J439" t="s">
        <v>2195</v>
      </c>
      <c r="K439" t="s">
        <v>2223</v>
      </c>
    </row>
    <row r="440" spans="1:11" x14ac:dyDescent="0.2">
      <c r="A440" t="s">
        <v>2221</v>
      </c>
      <c r="B440" t="s">
        <v>2222</v>
      </c>
      <c r="C440">
        <v>10</v>
      </c>
      <c r="D440" t="s">
        <v>20</v>
      </c>
      <c r="E440" s="6">
        <v>39311</v>
      </c>
      <c r="F440" s="6">
        <v>39312</v>
      </c>
      <c r="G440" s="6">
        <v>39313</v>
      </c>
      <c r="I440">
        <v>2007</v>
      </c>
      <c r="J440" t="s">
        <v>2177</v>
      </c>
      <c r="K440" t="s">
        <v>2223</v>
      </c>
    </row>
    <row r="441" spans="1:11" x14ac:dyDescent="0.2">
      <c r="A441" t="s">
        <v>2221</v>
      </c>
      <c r="B441" t="s">
        <v>2222</v>
      </c>
      <c r="C441">
        <v>2.5</v>
      </c>
      <c r="D441" t="s">
        <v>20</v>
      </c>
      <c r="E441" s="6">
        <v>39398</v>
      </c>
      <c r="F441" s="6">
        <v>39399</v>
      </c>
      <c r="G441" s="6">
        <v>39399</v>
      </c>
      <c r="I441">
        <v>2007</v>
      </c>
      <c r="J441" t="s">
        <v>2180</v>
      </c>
      <c r="K441" t="s">
        <v>2223</v>
      </c>
    </row>
    <row r="442" spans="1:11" x14ac:dyDescent="0.2">
      <c r="A442" t="s">
        <v>2221</v>
      </c>
      <c r="B442" t="s">
        <v>2222</v>
      </c>
      <c r="C442">
        <v>4</v>
      </c>
      <c r="D442" t="s">
        <v>20</v>
      </c>
      <c r="E442" s="6">
        <v>39580</v>
      </c>
      <c r="F442" s="6">
        <v>39581</v>
      </c>
      <c r="G442" s="6">
        <v>39582</v>
      </c>
      <c r="I442">
        <v>2007</v>
      </c>
      <c r="J442" t="s">
        <v>2175</v>
      </c>
      <c r="K442" t="s">
        <v>2223</v>
      </c>
    </row>
    <row r="443" spans="1:11" x14ac:dyDescent="0.2">
      <c r="A443" t="s">
        <v>2221</v>
      </c>
      <c r="B443" t="s">
        <v>2222</v>
      </c>
      <c r="C443">
        <v>5.2</v>
      </c>
      <c r="D443" t="s">
        <v>20</v>
      </c>
      <c r="E443" s="6">
        <v>39580</v>
      </c>
      <c r="F443" s="6">
        <v>39581</v>
      </c>
      <c r="G443" s="6">
        <v>39582</v>
      </c>
      <c r="I443">
        <v>2008</v>
      </c>
      <c r="J443" t="s">
        <v>2195</v>
      </c>
      <c r="K443" t="s">
        <v>2223</v>
      </c>
    </row>
    <row r="444" spans="1:11" x14ac:dyDescent="0.2">
      <c r="A444" t="s">
        <v>2221</v>
      </c>
      <c r="B444" t="s">
        <v>2222</v>
      </c>
      <c r="C444">
        <v>18.350000000000001</v>
      </c>
      <c r="D444" t="s">
        <v>20</v>
      </c>
      <c r="E444" s="6">
        <v>39675</v>
      </c>
      <c r="F444" s="6">
        <v>39678</v>
      </c>
      <c r="G444" s="6">
        <v>39679</v>
      </c>
      <c r="I444">
        <v>2008</v>
      </c>
      <c r="J444" t="s">
        <v>2177</v>
      </c>
      <c r="K444" t="s">
        <v>2223</v>
      </c>
    </row>
    <row r="445" spans="1:11" x14ac:dyDescent="0.2">
      <c r="A445" t="s">
        <v>2221</v>
      </c>
      <c r="B445" t="s">
        <v>2222</v>
      </c>
      <c r="C445">
        <v>7.17</v>
      </c>
      <c r="D445" t="s">
        <v>20</v>
      </c>
      <c r="E445" s="6">
        <v>39763</v>
      </c>
      <c r="F445" s="6">
        <v>39764</v>
      </c>
      <c r="G445" s="6">
        <v>39765</v>
      </c>
      <c r="I445">
        <v>2008</v>
      </c>
      <c r="J445" t="s">
        <v>2180</v>
      </c>
      <c r="K445" t="s">
        <v>2223</v>
      </c>
    </row>
    <row r="446" spans="1:11" x14ac:dyDescent="0.2">
      <c r="A446" t="s">
        <v>2221</v>
      </c>
      <c r="B446" t="s">
        <v>2222</v>
      </c>
      <c r="C446">
        <v>4.29</v>
      </c>
      <c r="D446" t="s">
        <v>20</v>
      </c>
      <c r="E446" s="6">
        <v>40491</v>
      </c>
      <c r="F446" s="6">
        <v>40492</v>
      </c>
      <c r="G446" s="6">
        <v>40493</v>
      </c>
      <c r="I446">
        <v>2010</v>
      </c>
      <c r="J446" t="s">
        <v>2180</v>
      </c>
      <c r="K446" t="s">
        <v>2223</v>
      </c>
    </row>
    <row r="447" spans="1:11" x14ac:dyDescent="0.2">
      <c r="A447" t="s">
        <v>2221</v>
      </c>
      <c r="B447" t="s">
        <v>2222</v>
      </c>
      <c r="C447">
        <v>2.42</v>
      </c>
      <c r="D447" t="s">
        <v>20</v>
      </c>
      <c r="E447" s="6">
        <v>40682</v>
      </c>
      <c r="F447" s="6">
        <v>40683</v>
      </c>
      <c r="G447" s="6">
        <v>40684</v>
      </c>
      <c r="I447">
        <v>2010</v>
      </c>
      <c r="J447" t="s">
        <v>2175</v>
      </c>
      <c r="K447" t="s">
        <v>2223</v>
      </c>
    </row>
    <row r="448" spans="1:11" x14ac:dyDescent="0.2">
      <c r="A448" t="s">
        <v>2221</v>
      </c>
      <c r="B448" t="s">
        <v>2222</v>
      </c>
      <c r="C448">
        <v>3.9</v>
      </c>
      <c r="D448" t="s">
        <v>20</v>
      </c>
      <c r="E448" s="6">
        <v>40682</v>
      </c>
      <c r="F448" s="6">
        <v>40683</v>
      </c>
      <c r="G448" s="6">
        <v>40684</v>
      </c>
      <c r="I448">
        <v>2011</v>
      </c>
      <c r="J448" t="s">
        <v>2195</v>
      </c>
      <c r="K448" t="s">
        <v>2223</v>
      </c>
    </row>
    <row r="449" spans="1:11" x14ac:dyDescent="0.2">
      <c r="A449" t="s">
        <v>2221</v>
      </c>
      <c r="B449" t="s">
        <v>2222</v>
      </c>
      <c r="C449">
        <v>4.37</v>
      </c>
      <c r="D449" t="s">
        <v>20</v>
      </c>
      <c r="E449" s="6">
        <v>40774</v>
      </c>
      <c r="F449" s="6">
        <v>40777</v>
      </c>
      <c r="G449" s="6">
        <v>40778</v>
      </c>
      <c r="I449">
        <v>2011</v>
      </c>
      <c r="J449" t="s">
        <v>2177</v>
      </c>
      <c r="K449" t="s">
        <v>2223</v>
      </c>
    </row>
    <row r="450" spans="1:11" x14ac:dyDescent="0.2">
      <c r="A450" t="s">
        <v>2221</v>
      </c>
      <c r="B450" t="s">
        <v>2222</v>
      </c>
      <c r="C450">
        <v>3.56</v>
      </c>
      <c r="D450" t="s">
        <v>20</v>
      </c>
      <c r="E450" s="6">
        <v>40778</v>
      </c>
      <c r="F450" s="6">
        <v>40779</v>
      </c>
      <c r="G450" s="6">
        <v>40778</v>
      </c>
      <c r="I450">
        <v>2011</v>
      </c>
      <c r="J450" t="s">
        <v>2175</v>
      </c>
      <c r="K450" t="s">
        <v>2223</v>
      </c>
    </row>
    <row r="451" spans="1:11" x14ac:dyDescent="0.2">
      <c r="A451" t="s">
        <v>2221</v>
      </c>
      <c r="B451" t="s">
        <v>2222</v>
      </c>
      <c r="C451">
        <v>3.36</v>
      </c>
      <c r="D451" t="s">
        <v>20</v>
      </c>
      <c r="E451" s="6">
        <v>40857</v>
      </c>
      <c r="F451" s="6">
        <v>40858</v>
      </c>
      <c r="G451" s="6">
        <v>40861</v>
      </c>
      <c r="I451">
        <v>2011</v>
      </c>
      <c r="J451" t="s">
        <v>2180</v>
      </c>
      <c r="K451" t="s">
        <v>2223</v>
      </c>
    </row>
    <row r="452" spans="1:11" x14ac:dyDescent="0.2">
      <c r="A452" t="s">
        <v>2221</v>
      </c>
      <c r="B452" t="s">
        <v>2222</v>
      </c>
      <c r="C452">
        <v>4.07</v>
      </c>
      <c r="D452" t="s">
        <v>20</v>
      </c>
      <c r="E452" s="6">
        <v>41039</v>
      </c>
      <c r="F452" s="6">
        <v>41040</v>
      </c>
      <c r="G452" s="6">
        <v>41043</v>
      </c>
      <c r="I452">
        <v>2012</v>
      </c>
      <c r="J452" t="s">
        <v>2195</v>
      </c>
      <c r="K452" t="s">
        <v>2223</v>
      </c>
    </row>
    <row r="453" spans="1:11" x14ac:dyDescent="0.2">
      <c r="A453" t="s">
        <v>2221</v>
      </c>
      <c r="B453" t="s">
        <v>2222</v>
      </c>
      <c r="C453">
        <v>1.52</v>
      </c>
      <c r="D453" t="s">
        <v>20</v>
      </c>
      <c r="E453" s="6">
        <v>41128</v>
      </c>
      <c r="F453" s="6">
        <v>41129</v>
      </c>
      <c r="G453" s="6">
        <v>41130</v>
      </c>
      <c r="I453">
        <v>2012</v>
      </c>
      <c r="J453" t="s">
        <v>2177</v>
      </c>
      <c r="K453" t="s">
        <v>2223</v>
      </c>
    </row>
    <row r="454" spans="1:11" x14ac:dyDescent="0.2">
      <c r="A454" t="s">
        <v>2221</v>
      </c>
      <c r="B454" t="s">
        <v>2222</v>
      </c>
      <c r="C454">
        <v>3.18</v>
      </c>
      <c r="D454" t="s">
        <v>20</v>
      </c>
      <c r="E454" s="6">
        <v>41221</v>
      </c>
      <c r="F454" s="6">
        <v>41222</v>
      </c>
      <c r="G454" s="6">
        <v>41263</v>
      </c>
      <c r="I454">
        <v>2012</v>
      </c>
      <c r="J454" t="s">
        <v>2180</v>
      </c>
      <c r="K454" t="s">
        <v>2223</v>
      </c>
    </row>
    <row r="455" spans="1:11" x14ac:dyDescent="0.2">
      <c r="A455" t="s">
        <v>2221</v>
      </c>
      <c r="B455" t="s">
        <v>2222</v>
      </c>
      <c r="C455">
        <v>1.89</v>
      </c>
      <c r="D455" t="s">
        <v>20</v>
      </c>
      <c r="E455" s="6">
        <v>41388</v>
      </c>
      <c r="F455" s="6">
        <v>41389</v>
      </c>
      <c r="G455" s="6">
        <v>41390</v>
      </c>
      <c r="I455">
        <v>2012</v>
      </c>
      <c r="J455" t="s">
        <v>2175</v>
      </c>
      <c r="K455" t="s">
        <v>2223</v>
      </c>
    </row>
    <row r="456" spans="1:11" x14ac:dyDescent="0.2">
      <c r="A456" t="s">
        <v>2221</v>
      </c>
      <c r="B456" t="s">
        <v>2222</v>
      </c>
      <c r="C456">
        <v>0.43</v>
      </c>
      <c r="D456" t="s">
        <v>20</v>
      </c>
      <c r="E456" s="6">
        <v>41388</v>
      </c>
      <c r="F456" s="6">
        <v>41389</v>
      </c>
      <c r="G456" s="6">
        <v>41390</v>
      </c>
      <c r="I456">
        <v>2013</v>
      </c>
      <c r="J456" t="s">
        <v>2195</v>
      </c>
      <c r="K456" t="s">
        <v>2223</v>
      </c>
    </row>
    <row r="457" spans="1:11" x14ac:dyDescent="0.2">
      <c r="A457" t="s">
        <v>2221</v>
      </c>
      <c r="B457" t="s">
        <v>2222</v>
      </c>
      <c r="C457">
        <v>2.0299999999999998</v>
      </c>
      <c r="D457" t="s">
        <v>20</v>
      </c>
      <c r="E457" s="6">
        <v>41494</v>
      </c>
      <c r="F457" s="6">
        <v>41495</v>
      </c>
      <c r="G457" s="6">
        <v>41498</v>
      </c>
      <c r="I457">
        <v>2013</v>
      </c>
      <c r="J457" t="s">
        <v>2177</v>
      </c>
      <c r="K457" t="s">
        <v>2223</v>
      </c>
    </row>
    <row r="458" spans="1:11" x14ac:dyDescent="0.2">
      <c r="A458" t="s">
        <v>2221</v>
      </c>
      <c r="B458" t="s">
        <v>2222</v>
      </c>
      <c r="C458">
        <v>2.0099999999999998</v>
      </c>
      <c r="D458" t="s">
        <v>20</v>
      </c>
      <c r="E458" s="6">
        <v>41576</v>
      </c>
      <c r="F458" s="6">
        <v>41577</v>
      </c>
      <c r="G458" s="6">
        <v>41578</v>
      </c>
      <c r="I458">
        <v>2013</v>
      </c>
      <c r="J458" t="s">
        <v>2180</v>
      </c>
      <c r="K458" t="s">
        <v>2223</v>
      </c>
    </row>
    <row r="459" spans="1:11" x14ac:dyDescent="0.2">
      <c r="A459" t="s">
        <v>2221</v>
      </c>
      <c r="B459" t="s">
        <v>2222</v>
      </c>
      <c r="C459">
        <v>3.83</v>
      </c>
      <c r="D459" t="s">
        <v>20</v>
      </c>
      <c r="E459" s="6">
        <v>41809</v>
      </c>
      <c r="F459" s="6">
        <v>41810</v>
      </c>
      <c r="G459" s="6">
        <v>41813</v>
      </c>
      <c r="I459">
        <v>2013</v>
      </c>
      <c r="J459" t="s">
        <v>2175</v>
      </c>
      <c r="K459" t="s">
        <v>2223</v>
      </c>
    </row>
    <row r="460" spans="1:11" x14ac:dyDescent="0.2">
      <c r="A460" t="s">
        <v>2221</v>
      </c>
      <c r="B460" t="s">
        <v>2222</v>
      </c>
      <c r="C460">
        <v>2.4300000000000002</v>
      </c>
      <c r="D460" t="s">
        <v>20</v>
      </c>
      <c r="E460" s="6">
        <v>41809</v>
      </c>
      <c r="F460" s="6">
        <v>41810</v>
      </c>
      <c r="G460" s="6">
        <v>41813</v>
      </c>
      <c r="I460">
        <v>2014</v>
      </c>
      <c r="J460" t="s">
        <v>2195</v>
      </c>
      <c r="K460" t="s">
        <v>2223</v>
      </c>
    </row>
    <row r="461" spans="1:11" x14ac:dyDescent="0.2">
      <c r="A461" t="s">
        <v>2221</v>
      </c>
      <c r="B461" t="s">
        <v>2222</v>
      </c>
      <c r="C461">
        <v>2.14</v>
      </c>
      <c r="D461" t="s">
        <v>20</v>
      </c>
      <c r="E461" s="6">
        <v>41900</v>
      </c>
      <c r="F461" s="6">
        <v>41901</v>
      </c>
      <c r="G461" s="6">
        <v>41904</v>
      </c>
      <c r="I461">
        <v>2014</v>
      </c>
      <c r="J461" t="s">
        <v>2177</v>
      </c>
      <c r="K461" t="s">
        <v>2223</v>
      </c>
    </row>
    <row r="462" spans="1:11" x14ac:dyDescent="0.2">
      <c r="A462" t="s">
        <v>2221</v>
      </c>
      <c r="B462" t="s">
        <v>2222</v>
      </c>
      <c r="C462">
        <v>54.46</v>
      </c>
      <c r="D462" t="s">
        <v>20</v>
      </c>
      <c r="E462" s="6">
        <v>41964</v>
      </c>
      <c r="F462" s="6">
        <v>41967</v>
      </c>
      <c r="G462" s="6">
        <v>41968</v>
      </c>
      <c r="I462">
        <v>2014</v>
      </c>
      <c r="J462" t="s">
        <v>2180</v>
      </c>
      <c r="K462" t="s">
        <v>2223</v>
      </c>
    </row>
    <row r="463" spans="1:11" x14ac:dyDescent="0.2">
      <c r="A463" t="s">
        <v>2221</v>
      </c>
      <c r="B463" t="s">
        <v>2222</v>
      </c>
      <c r="C463">
        <v>14.65</v>
      </c>
      <c r="D463" t="s">
        <v>20</v>
      </c>
      <c r="E463" s="6">
        <v>42158</v>
      </c>
      <c r="F463" s="6">
        <v>42159</v>
      </c>
      <c r="G463" s="6">
        <v>42160</v>
      </c>
      <c r="I463">
        <v>2014</v>
      </c>
      <c r="J463" t="s">
        <v>2175</v>
      </c>
      <c r="K463" t="s">
        <v>2223</v>
      </c>
    </row>
    <row r="464" spans="1:11" x14ac:dyDescent="0.2">
      <c r="A464" t="s">
        <v>2221</v>
      </c>
      <c r="B464" t="s">
        <v>2222</v>
      </c>
      <c r="C464">
        <v>12.81</v>
      </c>
      <c r="D464" t="s">
        <v>20</v>
      </c>
      <c r="E464" s="6">
        <v>42158</v>
      </c>
      <c r="F464" s="6">
        <v>42159</v>
      </c>
      <c r="G464" s="6">
        <v>42160</v>
      </c>
      <c r="I464">
        <v>2015</v>
      </c>
      <c r="J464" t="s">
        <v>2195</v>
      </c>
      <c r="K464" t="s">
        <v>2223</v>
      </c>
    </row>
    <row r="465" spans="1:11" x14ac:dyDescent="0.2">
      <c r="A465" t="s">
        <v>2221</v>
      </c>
      <c r="B465" t="s">
        <v>2222</v>
      </c>
      <c r="C465">
        <v>12.63</v>
      </c>
      <c r="D465" t="s">
        <v>20</v>
      </c>
      <c r="E465" s="6">
        <v>42271</v>
      </c>
      <c r="F465" s="6">
        <v>42272</v>
      </c>
      <c r="G465" s="6">
        <v>42275</v>
      </c>
      <c r="I465">
        <v>2015</v>
      </c>
      <c r="J465" t="s">
        <v>2177</v>
      </c>
      <c r="K465" t="s">
        <v>2223</v>
      </c>
    </row>
    <row r="466" spans="1:11" x14ac:dyDescent="0.2">
      <c r="A466" t="s">
        <v>2221</v>
      </c>
      <c r="B466" t="s">
        <v>2222</v>
      </c>
      <c r="C466">
        <v>13.17</v>
      </c>
      <c r="D466" t="s">
        <v>20</v>
      </c>
      <c r="E466" s="6">
        <v>42355</v>
      </c>
      <c r="F466" s="6">
        <v>42356</v>
      </c>
      <c r="G466" s="6">
        <v>42359</v>
      </c>
      <c r="I466">
        <v>2015</v>
      </c>
      <c r="J466" t="s">
        <v>2180</v>
      </c>
      <c r="K466" t="s">
        <v>2223</v>
      </c>
    </row>
    <row r="467" spans="1:11" x14ac:dyDescent="0.2">
      <c r="A467" t="s">
        <v>2221</v>
      </c>
      <c r="B467" t="s">
        <v>2222</v>
      </c>
      <c r="C467">
        <v>20.27</v>
      </c>
      <c r="D467" t="s">
        <v>20</v>
      </c>
      <c r="E467" s="6">
        <v>42552</v>
      </c>
      <c r="F467" s="6">
        <v>42555</v>
      </c>
      <c r="G467" s="6">
        <v>42556</v>
      </c>
      <c r="I467">
        <v>2015</v>
      </c>
      <c r="J467" t="s">
        <v>2175</v>
      </c>
      <c r="K467" t="s">
        <v>2223</v>
      </c>
    </row>
    <row r="468" spans="1:11" x14ac:dyDescent="0.2">
      <c r="A468" t="s">
        <v>2221</v>
      </c>
      <c r="B468" t="s">
        <v>2222</v>
      </c>
      <c r="C468">
        <v>8.25</v>
      </c>
      <c r="D468" t="s">
        <v>20</v>
      </c>
      <c r="E468" s="6">
        <v>42552</v>
      </c>
      <c r="F468" s="6">
        <v>42555</v>
      </c>
      <c r="G468" s="6">
        <v>42556</v>
      </c>
      <c r="I468">
        <v>2016</v>
      </c>
      <c r="J468" t="s">
        <v>2195</v>
      </c>
      <c r="K468" t="s">
        <v>2223</v>
      </c>
    </row>
    <row r="469" spans="1:11" x14ac:dyDescent="0.2">
      <c r="A469" t="s">
        <v>2221</v>
      </c>
      <c r="B469" t="s">
        <v>2222</v>
      </c>
      <c r="C469">
        <v>19.66</v>
      </c>
      <c r="D469" t="s">
        <v>20</v>
      </c>
      <c r="E469" s="6">
        <v>42627</v>
      </c>
      <c r="F469" s="6">
        <v>42628</v>
      </c>
      <c r="G469" s="6">
        <v>42629</v>
      </c>
      <c r="I469">
        <v>2016</v>
      </c>
      <c r="J469" t="s">
        <v>2177</v>
      </c>
      <c r="K469" t="s">
        <v>2223</v>
      </c>
    </row>
    <row r="470" spans="1:11" x14ac:dyDescent="0.2">
      <c r="A470" t="s">
        <v>2221</v>
      </c>
      <c r="B470" t="s">
        <v>2222</v>
      </c>
      <c r="C470">
        <v>24.96</v>
      </c>
      <c r="D470" t="s">
        <v>20</v>
      </c>
      <c r="E470" s="6">
        <v>42713</v>
      </c>
      <c r="F470" s="6">
        <v>42716</v>
      </c>
      <c r="G470" s="6">
        <v>42717</v>
      </c>
      <c r="I470">
        <v>2016</v>
      </c>
      <c r="J470" t="s">
        <v>2180</v>
      </c>
      <c r="K470" t="s">
        <v>2223</v>
      </c>
    </row>
    <row r="471" spans="1:11" x14ac:dyDescent="0.2">
      <c r="A471" t="s">
        <v>2221</v>
      </c>
      <c r="B471" t="s">
        <v>2222</v>
      </c>
      <c r="C471">
        <v>27.73</v>
      </c>
      <c r="D471" t="s">
        <v>20</v>
      </c>
      <c r="E471" s="6">
        <v>42902</v>
      </c>
      <c r="F471" s="6">
        <v>42905</v>
      </c>
      <c r="G471" s="6">
        <v>42906</v>
      </c>
      <c r="I471">
        <v>2016</v>
      </c>
      <c r="J471" t="s">
        <v>2175</v>
      </c>
      <c r="K471" t="s">
        <v>2223</v>
      </c>
    </row>
    <row r="472" spans="1:11" x14ac:dyDescent="0.2">
      <c r="A472" t="s">
        <v>2221</v>
      </c>
      <c r="B472" t="s">
        <v>2222</v>
      </c>
      <c r="C472">
        <v>24.44</v>
      </c>
      <c r="D472" t="s">
        <v>20</v>
      </c>
      <c r="E472" s="6">
        <v>42902</v>
      </c>
      <c r="F472" s="6">
        <v>42905</v>
      </c>
      <c r="G472" s="6">
        <v>42906</v>
      </c>
      <c r="I472">
        <v>2017</v>
      </c>
      <c r="J472" t="s">
        <v>2195</v>
      </c>
      <c r="K472" t="s">
        <v>2223</v>
      </c>
    </row>
    <row r="473" spans="1:11" x14ac:dyDescent="0.2">
      <c r="A473" t="s">
        <v>2221</v>
      </c>
      <c r="B473" t="s">
        <v>2222</v>
      </c>
      <c r="C473">
        <v>22.28</v>
      </c>
      <c r="D473" t="s">
        <v>20</v>
      </c>
      <c r="E473" s="6">
        <v>43000</v>
      </c>
      <c r="F473" s="6">
        <v>43003</v>
      </c>
      <c r="G473" s="6">
        <v>43004</v>
      </c>
      <c r="I473">
        <v>2017</v>
      </c>
      <c r="J473" t="s">
        <v>2177</v>
      </c>
      <c r="K473" t="s">
        <v>2223</v>
      </c>
    </row>
    <row r="474" spans="1:11" x14ac:dyDescent="0.2">
      <c r="A474" t="s">
        <v>2221</v>
      </c>
      <c r="B474" t="s">
        <v>2222</v>
      </c>
      <c r="C474">
        <v>35.61</v>
      </c>
      <c r="D474" t="s">
        <v>20</v>
      </c>
      <c r="E474" s="6">
        <v>43070</v>
      </c>
      <c r="F474" s="6">
        <v>43073</v>
      </c>
      <c r="G474" s="6">
        <v>43074</v>
      </c>
      <c r="I474">
        <v>2017</v>
      </c>
      <c r="J474" t="s">
        <v>2180</v>
      </c>
      <c r="K474" t="s">
        <v>2223</v>
      </c>
    </row>
    <row r="475" spans="1:11" x14ac:dyDescent="0.2">
      <c r="A475" t="s">
        <v>2221</v>
      </c>
      <c r="B475" t="s">
        <v>2222</v>
      </c>
      <c r="C475">
        <v>27.72</v>
      </c>
      <c r="D475" t="s">
        <v>20</v>
      </c>
      <c r="E475" s="6">
        <v>43266</v>
      </c>
      <c r="F475" s="6">
        <v>43269</v>
      </c>
      <c r="G475" s="6">
        <v>43270</v>
      </c>
      <c r="I475">
        <v>2017</v>
      </c>
      <c r="J475" t="s">
        <v>2175</v>
      </c>
      <c r="K475" t="s">
        <v>2223</v>
      </c>
    </row>
    <row r="476" spans="1:11" x14ac:dyDescent="0.2">
      <c r="A476" t="s">
        <v>2221</v>
      </c>
      <c r="B476" t="s">
        <v>2222</v>
      </c>
      <c r="C476">
        <v>38.32</v>
      </c>
      <c r="D476" t="s">
        <v>20</v>
      </c>
      <c r="E476" s="6">
        <v>43266</v>
      </c>
      <c r="F476" s="6">
        <v>43269</v>
      </c>
      <c r="G476" s="6">
        <v>43270</v>
      </c>
      <c r="I476">
        <v>2018</v>
      </c>
      <c r="J476" t="s">
        <v>2195</v>
      </c>
      <c r="K476" t="s">
        <v>2223</v>
      </c>
    </row>
    <row r="477" spans="1:11" x14ac:dyDescent="0.2">
      <c r="A477" t="s">
        <v>2221</v>
      </c>
      <c r="B477" t="s">
        <v>2222</v>
      </c>
      <c r="C477">
        <v>45.94</v>
      </c>
      <c r="D477" t="s">
        <v>20</v>
      </c>
      <c r="E477" s="6">
        <v>43364</v>
      </c>
      <c r="F477" s="6">
        <v>43367</v>
      </c>
      <c r="G477" s="6">
        <v>43368</v>
      </c>
      <c r="I477">
        <v>2018</v>
      </c>
      <c r="J477" t="s">
        <v>2177</v>
      </c>
      <c r="K477" t="s">
        <v>2223</v>
      </c>
    </row>
    <row r="478" spans="1:11" x14ac:dyDescent="0.2">
      <c r="A478" t="s">
        <v>2221</v>
      </c>
      <c r="B478" t="s">
        <v>2222</v>
      </c>
      <c r="C478">
        <v>44.39</v>
      </c>
      <c r="D478" t="s">
        <v>20</v>
      </c>
      <c r="E478" s="6">
        <v>43434</v>
      </c>
      <c r="F478" s="6">
        <v>43437</v>
      </c>
      <c r="G478" s="6">
        <v>43438</v>
      </c>
      <c r="I478">
        <v>2018</v>
      </c>
      <c r="J478" t="s">
        <v>2180</v>
      </c>
      <c r="K478" t="s">
        <v>2223</v>
      </c>
    </row>
    <row r="479" spans="1:11" x14ac:dyDescent="0.2">
      <c r="A479" t="s">
        <v>2221</v>
      </c>
      <c r="B479" t="s">
        <v>2222</v>
      </c>
      <c r="C479">
        <v>32.08</v>
      </c>
      <c r="D479" t="s">
        <v>20</v>
      </c>
      <c r="E479" s="6">
        <v>43588</v>
      </c>
      <c r="F479" s="6">
        <v>43591</v>
      </c>
      <c r="G479" s="6">
        <v>43592</v>
      </c>
      <c r="I479">
        <v>2018</v>
      </c>
      <c r="J479" t="s">
        <v>2175</v>
      </c>
      <c r="K479" t="s">
        <v>2223</v>
      </c>
    </row>
    <row r="480" spans="1:11" x14ac:dyDescent="0.2">
      <c r="A480" t="s">
        <v>2221</v>
      </c>
      <c r="B480" t="s">
        <v>2222</v>
      </c>
      <c r="C480">
        <v>35.43</v>
      </c>
      <c r="D480" t="s">
        <v>20</v>
      </c>
      <c r="E480" s="6">
        <v>43630</v>
      </c>
      <c r="F480" s="6">
        <v>43633</v>
      </c>
      <c r="G480" s="6">
        <v>43634</v>
      </c>
      <c r="I480">
        <v>2019</v>
      </c>
      <c r="J480" t="s">
        <v>2195</v>
      </c>
      <c r="K480" t="s">
        <v>2223</v>
      </c>
    </row>
    <row r="481" spans="1:11" x14ac:dyDescent="0.2">
      <c r="A481" t="s">
        <v>2221</v>
      </c>
      <c r="B481" t="s">
        <v>2222</v>
      </c>
      <c r="C481">
        <v>26.72</v>
      </c>
      <c r="D481" t="s">
        <v>20</v>
      </c>
      <c r="E481" s="6">
        <v>43721</v>
      </c>
      <c r="F481" s="6">
        <v>43724</v>
      </c>
      <c r="G481" s="6">
        <v>43725</v>
      </c>
      <c r="I481">
        <v>2019</v>
      </c>
      <c r="J481" t="s">
        <v>2177</v>
      </c>
      <c r="K481" t="s">
        <v>2223</v>
      </c>
    </row>
    <row r="482" spans="1:11" x14ac:dyDescent="0.2">
      <c r="A482" t="s">
        <v>2221</v>
      </c>
      <c r="B482" t="s">
        <v>2222</v>
      </c>
      <c r="C482">
        <v>27.47</v>
      </c>
      <c r="D482" t="s">
        <v>20</v>
      </c>
      <c r="E482" s="6">
        <v>43798</v>
      </c>
      <c r="F482" s="6">
        <v>43801</v>
      </c>
      <c r="G482" s="6">
        <v>43802</v>
      </c>
      <c r="I482">
        <v>2019</v>
      </c>
      <c r="J482" t="s">
        <v>2180</v>
      </c>
      <c r="K482" t="s">
        <v>2223</v>
      </c>
    </row>
    <row r="483" spans="1:11" x14ac:dyDescent="0.2">
      <c r="A483" t="s">
        <v>2221</v>
      </c>
      <c r="B483" t="s">
        <v>2222</v>
      </c>
      <c r="C483">
        <v>26.26</v>
      </c>
      <c r="D483" t="s">
        <v>20</v>
      </c>
      <c r="E483" s="6">
        <v>43993</v>
      </c>
      <c r="F483" s="6">
        <v>43997</v>
      </c>
      <c r="G483" s="6">
        <v>43998</v>
      </c>
      <c r="I483">
        <v>2019</v>
      </c>
      <c r="J483" t="s">
        <v>2175</v>
      </c>
      <c r="K483" t="s">
        <v>2223</v>
      </c>
    </row>
    <row r="484" spans="1:11" x14ac:dyDescent="0.2">
      <c r="A484" t="s">
        <v>2221</v>
      </c>
      <c r="B484" t="s">
        <v>2222</v>
      </c>
      <c r="C484">
        <v>27.35</v>
      </c>
      <c r="D484" t="s">
        <v>20</v>
      </c>
      <c r="E484" s="6">
        <v>43993</v>
      </c>
      <c r="F484" s="6">
        <v>43997</v>
      </c>
      <c r="G484" s="6">
        <v>43998</v>
      </c>
      <c r="I484">
        <v>2020</v>
      </c>
      <c r="J484" t="s">
        <v>2195</v>
      </c>
      <c r="K484" t="s">
        <v>2223</v>
      </c>
    </row>
    <row r="485" spans="1:11" x14ac:dyDescent="0.2">
      <c r="A485" t="s">
        <v>2221</v>
      </c>
      <c r="B485" t="s">
        <v>2222</v>
      </c>
      <c r="C485">
        <v>15.44</v>
      </c>
      <c r="D485" t="s">
        <v>20</v>
      </c>
      <c r="E485" s="6">
        <v>44078</v>
      </c>
      <c r="F485" s="6">
        <v>44081</v>
      </c>
      <c r="G485" s="6">
        <v>44082</v>
      </c>
      <c r="I485">
        <v>2020</v>
      </c>
      <c r="J485" t="s">
        <v>2177</v>
      </c>
      <c r="K485" t="s">
        <v>2223</v>
      </c>
    </row>
    <row r="486" spans="1:11" x14ac:dyDescent="0.2">
      <c r="A486" t="s">
        <v>2221</v>
      </c>
      <c r="B486" t="s">
        <v>2222</v>
      </c>
      <c r="C486">
        <v>37.340000000000003</v>
      </c>
      <c r="D486" t="s">
        <v>20</v>
      </c>
      <c r="E486" s="6">
        <v>44169</v>
      </c>
      <c r="F486" s="6">
        <v>44172</v>
      </c>
      <c r="G486" s="6">
        <v>44173</v>
      </c>
      <c r="I486">
        <v>2020</v>
      </c>
      <c r="J486" t="s">
        <v>2180</v>
      </c>
      <c r="K486" t="s">
        <v>2223</v>
      </c>
    </row>
    <row r="487" spans="1:11" x14ac:dyDescent="0.2">
      <c r="A487" t="s">
        <v>2221</v>
      </c>
      <c r="B487" t="s">
        <v>2222</v>
      </c>
      <c r="C487">
        <v>36.270000000000003</v>
      </c>
      <c r="D487" t="s">
        <v>20</v>
      </c>
      <c r="E487" s="6">
        <v>44344</v>
      </c>
      <c r="F487" s="6">
        <v>44347</v>
      </c>
      <c r="G487" s="6">
        <v>44348</v>
      </c>
      <c r="I487">
        <v>2020</v>
      </c>
      <c r="J487" t="s">
        <v>2175</v>
      </c>
      <c r="K487" t="s">
        <v>2223</v>
      </c>
    </row>
    <row r="488" spans="1:11" x14ac:dyDescent="0.2">
      <c r="A488" t="s">
        <v>2221</v>
      </c>
      <c r="B488" t="s">
        <v>2222</v>
      </c>
      <c r="C488">
        <v>46.77</v>
      </c>
      <c r="D488" t="s">
        <v>20</v>
      </c>
      <c r="E488" s="6">
        <v>44344</v>
      </c>
      <c r="F488" s="6">
        <v>44347</v>
      </c>
      <c r="G488" s="6">
        <v>44348</v>
      </c>
      <c r="I488">
        <v>2021</v>
      </c>
      <c r="J488" t="s">
        <v>2195</v>
      </c>
      <c r="K488" t="s">
        <v>2223</v>
      </c>
    </row>
    <row r="489" spans="1:11" x14ac:dyDescent="0.2">
      <c r="A489" t="s">
        <v>2221</v>
      </c>
      <c r="B489" t="s">
        <v>2222</v>
      </c>
      <c r="C489">
        <v>84.45</v>
      </c>
      <c r="D489" t="s">
        <v>20</v>
      </c>
      <c r="E489" s="6">
        <v>44439</v>
      </c>
      <c r="F489" s="6">
        <v>44440</v>
      </c>
      <c r="G489" s="6">
        <v>44441</v>
      </c>
      <c r="I489">
        <v>2021</v>
      </c>
      <c r="J489" t="s">
        <v>2177</v>
      </c>
      <c r="K489" t="s">
        <v>2223</v>
      </c>
    </row>
    <row r="490" spans="1:11" x14ac:dyDescent="0.2">
      <c r="A490" t="s">
        <v>2221</v>
      </c>
      <c r="B490" t="s">
        <v>2222</v>
      </c>
      <c r="C490">
        <v>85.93</v>
      </c>
      <c r="D490" t="s">
        <v>20</v>
      </c>
      <c r="E490" s="6">
        <v>44540</v>
      </c>
      <c r="F490" s="6">
        <v>44543</v>
      </c>
      <c r="G490" s="6">
        <v>44544</v>
      </c>
      <c r="I490">
        <v>2021</v>
      </c>
      <c r="J490" t="s">
        <v>2180</v>
      </c>
      <c r="K490" t="s">
        <v>2223</v>
      </c>
    </row>
    <row r="491" spans="1:11" x14ac:dyDescent="0.2">
      <c r="A491" t="s">
        <v>2221</v>
      </c>
      <c r="B491" t="s">
        <v>2222</v>
      </c>
      <c r="C491">
        <v>191.51</v>
      </c>
      <c r="D491" t="s">
        <v>20</v>
      </c>
      <c r="E491" s="6">
        <v>45460</v>
      </c>
      <c r="F491" s="6">
        <v>45461</v>
      </c>
      <c r="G491" s="6">
        <v>45461</v>
      </c>
      <c r="I491">
        <v>2023</v>
      </c>
      <c r="J491" t="s">
        <v>2175</v>
      </c>
      <c r="K491" t="s">
        <v>2223</v>
      </c>
    </row>
    <row r="492" spans="1:11" x14ac:dyDescent="0.2">
      <c r="A492" t="s">
        <v>2221</v>
      </c>
      <c r="B492" t="s">
        <v>2222</v>
      </c>
      <c r="C492">
        <v>38.299999999999997</v>
      </c>
      <c r="D492" t="s">
        <v>20</v>
      </c>
      <c r="E492" s="6">
        <v>45460</v>
      </c>
      <c r="F492" s="6">
        <v>45461</v>
      </c>
      <c r="G492" s="6">
        <v>45461</v>
      </c>
      <c r="I492">
        <v>2024</v>
      </c>
      <c r="J492" t="s">
        <v>2195</v>
      </c>
      <c r="K492" t="s">
        <v>2223</v>
      </c>
    </row>
    <row r="493" spans="1:11" x14ac:dyDescent="0.2">
      <c r="A493" t="s">
        <v>2221</v>
      </c>
      <c r="B493" t="s">
        <v>2222</v>
      </c>
      <c r="C493">
        <v>31.06</v>
      </c>
      <c r="D493" t="s">
        <v>20</v>
      </c>
      <c r="E493" s="6">
        <v>45544</v>
      </c>
      <c r="F493" s="6">
        <v>45545</v>
      </c>
      <c r="G493" s="6">
        <v>45545</v>
      </c>
      <c r="I493">
        <v>2024</v>
      </c>
      <c r="J493" t="s">
        <v>2177</v>
      </c>
      <c r="K493" t="s">
        <v>2223</v>
      </c>
    </row>
    <row r="494" spans="1:11" x14ac:dyDescent="0.2">
      <c r="A494" t="s">
        <v>2221</v>
      </c>
      <c r="B494" t="s">
        <v>2222</v>
      </c>
      <c r="C494">
        <v>49.06</v>
      </c>
      <c r="D494" t="s">
        <v>20</v>
      </c>
      <c r="E494" s="6">
        <v>45642</v>
      </c>
      <c r="F494" s="6">
        <v>45643</v>
      </c>
      <c r="G494" s="6">
        <v>45643</v>
      </c>
      <c r="I494">
        <v>2024</v>
      </c>
      <c r="J494" t="s">
        <v>2180</v>
      </c>
      <c r="K494" t="s">
        <v>2223</v>
      </c>
    </row>
    <row r="495" spans="1:11" x14ac:dyDescent="0.2">
      <c r="A495" t="s">
        <v>2224</v>
      </c>
      <c r="B495" t="s">
        <v>2222</v>
      </c>
      <c r="C495">
        <v>0.66</v>
      </c>
      <c r="D495" t="s">
        <v>20</v>
      </c>
      <c r="E495" s="6">
        <v>38547</v>
      </c>
      <c r="F495" s="6">
        <v>38548</v>
      </c>
      <c r="G495" s="6">
        <v>38548</v>
      </c>
      <c r="I495">
        <v>2005</v>
      </c>
      <c r="J495" t="s">
        <v>2177</v>
      </c>
      <c r="K495" t="s">
        <v>2225</v>
      </c>
    </row>
    <row r="496" spans="1:11" x14ac:dyDescent="0.2">
      <c r="A496" t="s">
        <v>2224</v>
      </c>
      <c r="B496" t="s">
        <v>2222</v>
      </c>
      <c r="C496">
        <v>0.67</v>
      </c>
      <c r="D496" t="s">
        <v>20</v>
      </c>
      <c r="E496" s="6">
        <v>38638</v>
      </c>
      <c r="F496" s="6">
        <v>38639</v>
      </c>
      <c r="G496" s="6">
        <v>38639</v>
      </c>
      <c r="I496">
        <v>2005</v>
      </c>
      <c r="J496" t="s">
        <v>2180</v>
      </c>
      <c r="K496" t="s">
        <v>2225</v>
      </c>
    </row>
    <row r="497" spans="1:11" x14ac:dyDescent="0.2">
      <c r="A497" t="s">
        <v>2224</v>
      </c>
      <c r="B497" t="s">
        <v>2222</v>
      </c>
      <c r="C497">
        <v>0.53</v>
      </c>
      <c r="D497" t="s">
        <v>20</v>
      </c>
      <c r="E497" s="6">
        <v>38778</v>
      </c>
      <c r="F497" s="6">
        <v>38779</v>
      </c>
      <c r="G497" s="6">
        <v>38779</v>
      </c>
      <c r="I497">
        <v>2005</v>
      </c>
      <c r="J497" t="s">
        <v>2175</v>
      </c>
      <c r="K497" t="s">
        <v>2225</v>
      </c>
    </row>
    <row r="498" spans="1:11" x14ac:dyDescent="0.2">
      <c r="A498" t="s">
        <v>2224</v>
      </c>
      <c r="B498" t="s">
        <v>2222</v>
      </c>
      <c r="C498">
        <v>0.59</v>
      </c>
      <c r="D498" t="s">
        <v>20</v>
      </c>
      <c r="E498" s="6">
        <v>38813</v>
      </c>
      <c r="F498" s="6">
        <v>38814</v>
      </c>
      <c r="G498" s="6">
        <v>38814</v>
      </c>
      <c r="I498">
        <v>2006</v>
      </c>
      <c r="J498" t="s">
        <v>2195</v>
      </c>
      <c r="K498" t="s">
        <v>2225</v>
      </c>
    </row>
    <row r="499" spans="1:11" x14ac:dyDescent="0.2">
      <c r="A499" t="s">
        <v>2224</v>
      </c>
      <c r="B499" t="s">
        <v>2222</v>
      </c>
      <c r="C499">
        <v>0.82</v>
      </c>
      <c r="D499" t="s">
        <v>20</v>
      </c>
      <c r="E499" s="6">
        <v>38911</v>
      </c>
      <c r="F499" s="6">
        <v>38912</v>
      </c>
      <c r="G499" s="6">
        <v>38912</v>
      </c>
      <c r="I499">
        <v>2006</v>
      </c>
      <c r="J499" t="s">
        <v>2177</v>
      </c>
      <c r="K499" t="s">
        <v>2225</v>
      </c>
    </row>
    <row r="500" spans="1:11" x14ac:dyDescent="0.2">
      <c r="A500" t="s">
        <v>2224</v>
      </c>
      <c r="B500" t="s">
        <v>2222</v>
      </c>
      <c r="C500">
        <v>0.91</v>
      </c>
      <c r="D500" t="s">
        <v>20</v>
      </c>
      <c r="E500" s="6">
        <v>39001</v>
      </c>
      <c r="F500" s="6">
        <v>39002</v>
      </c>
      <c r="G500" s="6">
        <v>39002</v>
      </c>
      <c r="I500">
        <v>2006</v>
      </c>
      <c r="J500" t="s">
        <v>2180</v>
      </c>
      <c r="K500" t="s">
        <v>2225</v>
      </c>
    </row>
    <row r="501" spans="1:11" x14ac:dyDescent="0.2">
      <c r="A501" t="s">
        <v>2224</v>
      </c>
      <c r="B501" t="s">
        <v>2222</v>
      </c>
      <c r="C501">
        <v>0.89</v>
      </c>
      <c r="D501" t="s">
        <v>20</v>
      </c>
      <c r="E501" s="6">
        <v>39122</v>
      </c>
      <c r="F501" s="6">
        <v>39123</v>
      </c>
      <c r="G501" s="6">
        <v>39125</v>
      </c>
      <c r="I501">
        <v>2006</v>
      </c>
      <c r="J501" t="s">
        <v>2175</v>
      </c>
      <c r="K501" t="s">
        <v>2225</v>
      </c>
    </row>
    <row r="502" spans="1:11" x14ac:dyDescent="0.2">
      <c r="A502" t="s">
        <v>2224</v>
      </c>
      <c r="B502" t="s">
        <v>2222</v>
      </c>
      <c r="C502">
        <v>0.42</v>
      </c>
      <c r="D502" t="s">
        <v>20</v>
      </c>
      <c r="E502" s="6">
        <v>39276</v>
      </c>
      <c r="F502" s="6">
        <v>39277</v>
      </c>
      <c r="G502" s="6">
        <v>39279</v>
      </c>
      <c r="I502">
        <v>2007</v>
      </c>
      <c r="J502" t="s">
        <v>2177</v>
      </c>
      <c r="K502" t="s">
        <v>2225</v>
      </c>
    </row>
    <row r="503" spans="1:11" x14ac:dyDescent="0.2">
      <c r="A503" t="s">
        <v>2224</v>
      </c>
      <c r="B503" t="s">
        <v>2222</v>
      </c>
      <c r="C503">
        <v>0.5</v>
      </c>
      <c r="D503" t="s">
        <v>20</v>
      </c>
      <c r="E503" s="6">
        <v>39512</v>
      </c>
      <c r="F503" s="6">
        <v>39513</v>
      </c>
      <c r="G503" s="6">
        <v>39514</v>
      </c>
      <c r="I503">
        <v>2007</v>
      </c>
      <c r="J503" t="s">
        <v>2175</v>
      </c>
      <c r="K503" t="s">
        <v>2225</v>
      </c>
    </row>
    <row r="504" spans="1:11" x14ac:dyDescent="0.2">
      <c r="A504" t="s">
        <v>2224</v>
      </c>
      <c r="B504" t="s">
        <v>2222</v>
      </c>
      <c r="C504">
        <v>0.38</v>
      </c>
      <c r="D504" t="s">
        <v>20</v>
      </c>
      <c r="E504" s="6">
        <v>39646</v>
      </c>
      <c r="F504" s="6">
        <v>39647</v>
      </c>
      <c r="G504" s="6">
        <v>39650</v>
      </c>
      <c r="I504">
        <v>2008</v>
      </c>
      <c r="J504" t="s">
        <v>2177</v>
      </c>
      <c r="K504" t="s">
        <v>2225</v>
      </c>
    </row>
    <row r="505" spans="1:11" x14ac:dyDescent="0.2">
      <c r="A505" t="s">
        <v>2224</v>
      </c>
      <c r="B505" t="s">
        <v>2222</v>
      </c>
      <c r="C505">
        <v>0.37</v>
      </c>
      <c r="D505" t="s">
        <v>20</v>
      </c>
      <c r="E505" s="6">
        <v>40268</v>
      </c>
      <c r="F505" s="6">
        <v>40269</v>
      </c>
      <c r="G505" s="6">
        <v>40270</v>
      </c>
      <c r="I505">
        <v>2009</v>
      </c>
      <c r="J505" t="s">
        <v>2175</v>
      </c>
      <c r="K505" t="s">
        <v>2225</v>
      </c>
    </row>
    <row r="506" spans="1:11" x14ac:dyDescent="0.2">
      <c r="A506" t="s">
        <v>2224</v>
      </c>
      <c r="B506" t="s">
        <v>2222</v>
      </c>
      <c r="C506">
        <v>0.33</v>
      </c>
      <c r="D506" t="s">
        <v>20</v>
      </c>
      <c r="E506" s="6">
        <v>40633</v>
      </c>
      <c r="F506" s="6">
        <v>40634</v>
      </c>
      <c r="G506" s="6">
        <v>40637</v>
      </c>
      <c r="I506">
        <v>2010</v>
      </c>
      <c r="J506" t="s">
        <v>2175</v>
      </c>
      <c r="K506" t="s">
        <v>2225</v>
      </c>
    </row>
    <row r="507" spans="1:11" x14ac:dyDescent="0.2">
      <c r="A507" t="s">
        <v>2224</v>
      </c>
      <c r="B507" t="s">
        <v>2222</v>
      </c>
      <c r="C507">
        <v>0.28000000000000003</v>
      </c>
      <c r="D507" t="s">
        <v>20</v>
      </c>
      <c r="E507" s="6">
        <v>41234</v>
      </c>
      <c r="F507" s="6">
        <v>41235</v>
      </c>
      <c r="G507" s="6">
        <v>41236</v>
      </c>
      <c r="I507">
        <v>2012</v>
      </c>
      <c r="J507" t="s">
        <v>2180</v>
      </c>
      <c r="K507" t="s">
        <v>2225</v>
      </c>
    </row>
    <row r="508" spans="1:11" x14ac:dyDescent="0.2">
      <c r="A508" t="s">
        <v>2224</v>
      </c>
      <c r="B508" t="s">
        <v>2222</v>
      </c>
      <c r="C508">
        <v>0.57999999999999996</v>
      </c>
      <c r="D508" t="s">
        <v>20</v>
      </c>
      <c r="E508" s="6">
        <v>41992</v>
      </c>
      <c r="F508" s="6">
        <v>41995</v>
      </c>
      <c r="G508" s="6">
        <v>41996</v>
      </c>
      <c r="I508">
        <v>2014</v>
      </c>
      <c r="J508" t="s">
        <v>2180</v>
      </c>
      <c r="K508" t="s">
        <v>2225</v>
      </c>
    </row>
    <row r="509" spans="1:11" x14ac:dyDescent="0.2">
      <c r="A509" t="s">
        <v>2224</v>
      </c>
      <c r="B509" t="s">
        <v>2222</v>
      </c>
      <c r="C509">
        <v>0.57999999999999996</v>
      </c>
      <c r="D509" t="s">
        <v>20</v>
      </c>
      <c r="E509" s="6">
        <v>42284</v>
      </c>
      <c r="F509" s="6">
        <v>42285</v>
      </c>
      <c r="G509" s="6">
        <v>42286</v>
      </c>
      <c r="I509">
        <v>2015</v>
      </c>
      <c r="J509" t="s">
        <v>2177</v>
      </c>
      <c r="K509" t="s">
        <v>2225</v>
      </c>
    </row>
    <row r="510" spans="1:11" x14ac:dyDescent="0.2">
      <c r="A510" t="s">
        <v>2224</v>
      </c>
      <c r="B510" t="s">
        <v>2222</v>
      </c>
      <c r="C510">
        <v>0.31</v>
      </c>
      <c r="D510" t="s">
        <v>20</v>
      </c>
      <c r="E510" s="6">
        <v>42524</v>
      </c>
      <c r="F510" s="6">
        <v>42527</v>
      </c>
      <c r="G510" s="6">
        <v>42528</v>
      </c>
      <c r="I510">
        <v>2015</v>
      </c>
      <c r="J510" t="s">
        <v>2175</v>
      </c>
      <c r="K510" t="s">
        <v>2225</v>
      </c>
    </row>
    <row r="511" spans="1:11" x14ac:dyDescent="0.2">
      <c r="A511" t="s">
        <v>2224</v>
      </c>
      <c r="B511" t="s">
        <v>2222</v>
      </c>
      <c r="C511">
        <v>0.72</v>
      </c>
      <c r="D511" t="s">
        <v>20</v>
      </c>
      <c r="E511" s="6">
        <v>42650</v>
      </c>
      <c r="F511" s="6">
        <v>42653</v>
      </c>
      <c r="G511" s="6">
        <v>42654</v>
      </c>
      <c r="I511">
        <v>2016</v>
      </c>
      <c r="J511" t="s">
        <v>2177</v>
      </c>
      <c r="K511" t="s">
        <v>2225</v>
      </c>
    </row>
    <row r="512" spans="1:11" x14ac:dyDescent="0.2">
      <c r="A512" t="s">
        <v>2224</v>
      </c>
      <c r="B512" t="s">
        <v>2222</v>
      </c>
      <c r="C512">
        <v>1.24</v>
      </c>
      <c r="D512" t="s">
        <v>20</v>
      </c>
      <c r="E512" s="6">
        <v>42888</v>
      </c>
      <c r="F512" s="6">
        <v>42891</v>
      </c>
      <c r="G512" s="6">
        <v>42892</v>
      </c>
      <c r="I512">
        <v>2016</v>
      </c>
      <c r="J512" t="s">
        <v>2175</v>
      </c>
      <c r="K512" t="s">
        <v>2225</v>
      </c>
    </row>
    <row r="513" spans="1:11" x14ac:dyDescent="0.2">
      <c r="A513" t="s">
        <v>2224</v>
      </c>
      <c r="B513" t="s">
        <v>2222</v>
      </c>
      <c r="C513">
        <v>0.87</v>
      </c>
      <c r="D513" t="s">
        <v>20</v>
      </c>
      <c r="E513" s="6">
        <v>43014</v>
      </c>
      <c r="F513" s="6">
        <v>43017</v>
      </c>
      <c r="G513" s="6">
        <v>43018</v>
      </c>
      <c r="I513">
        <v>2017</v>
      </c>
      <c r="J513" t="s">
        <v>2177</v>
      </c>
      <c r="K513" t="s">
        <v>2225</v>
      </c>
    </row>
    <row r="514" spans="1:11" x14ac:dyDescent="0.2">
      <c r="A514" t="s">
        <v>2224</v>
      </c>
      <c r="B514" t="s">
        <v>2222</v>
      </c>
      <c r="C514">
        <v>1.1100000000000001</v>
      </c>
      <c r="D514" t="s">
        <v>20</v>
      </c>
      <c r="E514" s="6">
        <v>43084</v>
      </c>
      <c r="F514" s="6">
        <v>43087</v>
      </c>
      <c r="G514" s="6">
        <v>43088</v>
      </c>
      <c r="I514">
        <v>2017</v>
      </c>
      <c r="J514" t="s">
        <v>2180</v>
      </c>
      <c r="K514" t="s">
        <v>2225</v>
      </c>
    </row>
    <row r="515" spans="1:11" x14ac:dyDescent="0.2">
      <c r="A515" t="s">
        <v>2224</v>
      </c>
      <c r="B515" t="s">
        <v>2222</v>
      </c>
      <c r="C515">
        <v>0.81</v>
      </c>
      <c r="D515" t="s">
        <v>20</v>
      </c>
      <c r="E515" s="6">
        <v>43260</v>
      </c>
      <c r="F515" s="6">
        <v>43262</v>
      </c>
      <c r="G515" s="6">
        <v>43264</v>
      </c>
      <c r="I515">
        <v>2017</v>
      </c>
      <c r="J515" t="s">
        <v>2175</v>
      </c>
      <c r="K515" t="s">
        <v>2225</v>
      </c>
    </row>
    <row r="516" spans="1:11" x14ac:dyDescent="0.2">
      <c r="A516" t="s">
        <v>2224</v>
      </c>
      <c r="B516" t="s">
        <v>2222</v>
      </c>
      <c r="C516">
        <v>0.8</v>
      </c>
      <c r="D516" t="s">
        <v>20</v>
      </c>
      <c r="E516" s="6">
        <v>43272</v>
      </c>
      <c r="F516" s="6">
        <v>43273</v>
      </c>
      <c r="G516" s="6">
        <v>43276</v>
      </c>
      <c r="I516">
        <v>2018</v>
      </c>
      <c r="J516" t="s">
        <v>2195</v>
      </c>
      <c r="K516" t="s">
        <v>2225</v>
      </c>
    </row>
    <row r="517" spans="1:11" x14ac:dyDescent="0.2">
      <c r="A517" t="s">
        <v>2224</v>
      </c>
      <c r="B517" t="s">
        <v>2222</v>
      </c>
      <c r="C517">
        <v>1.59</v>
      </c>
      <c r="D517" t="s">
        <v>20</v>
      </c>
      <c r="E517" s="6">
        <v>43378</v>
      </c>
      <c r="F517" s="6">
        <v>43381</v>
      </c>
      <c r="G517" s="6">
        <v>43382</v>
      </c>
      <c r="I517">
        <v>2018</v>
      </c>
      <c r="J517" t="s">
        <v>2177</v>
      </c>
      <c r="K517" t="s">
        <v>2225</v>
      </c>
    </row>
    <row r="518" spans="1:11" x14ac:dyDescent="0.2">
      <c r="A518" t="s">
        <v>2224</v>
      </c>
      <c r="B518" t="s">
        <v>2222</v>
      </c>
      <c r="C518">
        <v>2.11</v>
      </c>
      <c r="D518" t="s">
        <v>20</v>
      </c>
      <c r="E518" s="6">
        <v>43448</v>
      </c>
      <c r="F518" s="6">
        <v>43451</v>
      </c>
      <c r="G518" s="6">
        <v>43452</v>
      </c>
      <c r="I518">
        <v>2018</v>
      </c>
      <c r="J518" t="s">
        <v>2180</v>
      </c>
      <c r="K518" t="s">
        <v>2225</v>
      </c>
    </row>
    <row r="519" spans="1:11" x14ac:dyDescent="0.2">
      <c r="A519" t="s">
        <v>2224</v>
      </c>
      <c r="B519" t="s">
        <v>2222</v>
      </c>
      <c r="C519">
        <v>1.4</v>
      </c>
      <c r="D519" t="s">
        <v>20</v>
      </c>
      <c r="E519" s="6">
        <v>43623</v>
      </c>
      <c r="F519" s="6">
        <v>43626</v>
      </c>
      <c r="G519" s="6">
        <v>43627</v>
      </c>
      <c r="I519">
        <v>2018</v>
      </c>
      <c r="J519" t="s">
        <v>2175</v>
      </c>
      <c r="K519" t="s">
        <v>2225</v>
      </c>
    </row>
    <row r="520" spans="1:11" x14ac:dyDescent="0.2">
      <c r="A520" t="s">
        <v>2224</v>
      </c>
      <c r="B520" t="s">
        <v>2222</v>
      </c>
      <c r="C520">
        <v>1.49</v>
      </c>
      <c r="D520" t="s">
        <v>20</v>
      </c>
      <c r="E520" s="6">
        <v>43634</v>
      </c>
      <c r="F520" s="6">
        <v>43635</v>
      </c>
      <c r="G520" s="6">
        <v>43636</v>
      </c>
      <c r="I520">
        <v>2019</v>
      </c>
      <c r="J520" t="s">
        <v>2195</v>
      </c>
      <c r="K520" t="s">
        <v>2225</v>
      </c>
    </row>
    <row r="521" spans="1:11" x14ac:dyDescent="0.2">
      <c r="A521" t="s">
        <v>2224</v>
      </c>
      <c r="B521" t="s">
        <v>2222</v>
      </c>
      <c r="C521">
        <v>0.69</v>
      </c>
      <c r="D521" t="s">
        <v>20</v>
      </c>
      <c r="E521" s="6">
        <v>43749</v>
      </c>
      <c r="F521" s="6">
        <v>43752</v>
      </c>
      <c r="G521" s="6">
        <v>43753</v>
      </c>
      <c r="I521">
        <v>2019</v>
      </c>
      <c r="J521" t="s">
        <v>2177</v>
      </c>
      <c r="K521" t="s">
        <v>2225</v>
      </c>
    </row>
    <row r="522" spans="1:11" x14ac:dyDescent="0.2">
      <c r="A522" t="s">
        <v>2224</v>
      </c>
      <c r="B522" t="s">
        <v>2222</v>
      </c>
      <c r="C522">
        <v>1.65</v>
      </c>
      <c r="D522" t="s">
        <v>20</v>
      </c>
      <c r="E522" s="6">
        <v>43843</v>
      </c>
      <c r="F522" s="6">
        <v>43844</v>
      </c>
      <c r="G522" s="6">
        <v>43845</v>
      </c>
      <c r="I522">
        <v>2019</v>
      </c>
      <c r="J522" t="s">
        <v>2180</v>
      </c>
      <c r="K522" t="s">
        <v>2225</v>
      </c>
    </row>
    <row r="523" spans="1:11" x14ac:dyDescent="0.2">
      <c r="A523" t="s">
        <v>2224</v>
      </c>
      <c r="B523" t="s">
        <v>2222</v>
      </c>
      <c r="C523">
        <v>1.51</v>
      </c>
      <c r="D523" t="s">
        <v>20</v>
      </c>
      <c r="E523" s="6">
        <v>43997</v>
      </c>
      <c r="F523" s="6">
        <v>43998</v>
      </c>
      <c r="G523" s="6">
        <v>43999</v>
      </c>
      <c r="I523">
        <v>2019</v>
      </c>
      <c r="J523" t="s">
        <v>2175</v>
      </c>
      <c r="K523" t="s">
        <v>2225</v>
      </c>
    </row>
    <row r="524" spans="1:11" x14ac:dyDescent="0.2">
      <c r="A524" t="s">
        <v>2224</v>
      </c>
      <c r="B524" t="s">
        <v>2222</v>
      </c>
      <c r="C524">
        <v>0.61</v>
      </c>
      <c r="D524" t="s">
        <v>20</v>
      </c>
      <c r="E524" s="6">
        <v>44095</v>
      </c>
      <c r="F524" s="6">
        <v>44096</v>
      </c>
      <c r="G524" s="6">
        <v>44097</v>
      </c>
      <c r="I524">
        <v>2020</v>
      </c>
      <c r="J524" t="s">
        <v>2177</v>
      </c>
      <c r="K524" t="s">
        <v>2225</v>
      </c>
    </row>
    <row r="525" spans="1:11" x14ac:dyDescent="0.2">
      <c r="A525" t="s">
        <v>2224</v>
      </c>
      <c r="B525" t="s">
        <v>2222</v>
      </c>
      <c r="C525">
        <v>2.39</v>
      </c>
      <c r="D525" t="s">
        <v>20</v>
      </c>
      <c r="E525" s="6">
        <v>44208</v>
      </c>
      <c r="F525" s="6">
        <v>44209</v>
      </c>
      <c r="G525" s="6">
        <v>44210</v>
      </c>
      <c r="I525">
        <v>2020</v>
      </c>
      <c r="J525" t="s">
        <v>2180</v>
      </c>
      <c r="K525" t="s">
        <v>2225</v>
      </c>
    </row>
    <row r="526" spans="1:11" x14ac:dyDescent="0.2">
      <c r="A526" t="s">
        <v>2224</v>
      </c>
      <c r="B526" t="s">
        <v>2222</v>
      </c>
      <c r="C526">
        <v>0.95</v>
      </c>
      <c r="D526" t="s">
        <v>20</v>
      </c>
      <c r="E526" s="6">
        <v>44362</v>
      </c>
      <c r="F526" s="6">
        <v>44363</v>
      </c>
      <c r="G526" s="6">
        <v>44364</v>
      </c>
      <c r="I526">
        <v>2020</v>
      </c>
      <c r="J526" t="s">
        <v>2175</v>
      </c>
      <c r="K526" t="s">
        <v>2225</v>
      </c>
    </row>
    <row r="527" spans="1:11" x14ac:dyDescent="0.2">
      <c r="A527" t="s">
        <v>2224</v>
      </c>
      <c r="B527" t="s">
        <v>2222</v>
      </c>
      <c r="C527">
        <v>1.8</v>
      </c>
      <c r="D527" t="s">
        <v>20</v>
      </c>
      <c r="E527" s="6">
        <v>44362</v>
      </c>
      <c r="F527" s="6">
        <v>44363</v>
      </c>
      <c r="G527" s="6">
        <v>44364</v>
      </c>
      <c r="I527">
        <v>2021</v>
      </c>
      <c r="J527" t="s">
        <v>2195</v>
      </c>
      <c r="K527" t="s">
        <v>2225</v>
      </c>
    </row>
    <row r="528" spans="1:11" x14ac:dyDescent="0.2">
      <c r="A528" t="s">
        <v>2224</v>
      </c>
      <c r="B528" t="s">
        <v>2222</v>
      </c>
      <c r="C528">
        <v>3.53</v>
      </c>
      <c r="D528" t="s">
        <v>20</v>
      </c>
      <c r="E528" s="6">
        <v>44462</v>
      </c>
      <c r="F528" s="6">
        <v>44463</v>
      </c>
      <c r="G528" s="6">
        <v>44466</v>
      </c>
      <c r="I528">
        <v>2021</v>
      </c>
      <c r="J528" t="s">
        <v>2177</v>
      </c>
      <c r="K528" t="s">
        <v>2225</v>
      </c>
    </row>
    <row r="529" spans="1:11" x14ac:dyDescent="0.2">
      <c r="A529" t="s">
        <v>2224</v>
      </c>
      <c r="B529" t="s">
        <v>2222</v>
      </c>
      <c r="C529">
        <v>2.66</v>
      </c>
      <c r="D529" t="s">
        <v>20</v>
      </c>
      <c r="E529" s="6">
        <v>44572</v>
      </c>
      <c r="F529" s="6">
        <v>44573</v>
      </c>
      <c r="G529" s="6">
        <v>44574</v>
      </c>
      <c r="I529">
        <v>2021</v>
      </c>
      <c r="J529" t="s">
        <v>2180</v>
      </c>
      <c r="K529" t="s">
        <v>2225</v>
      </c>
    </row>
    <row r="530" spans="1:11" x14ac:dyDescent="0.2">
      <c r="A530" t="s">
        <v>2224</v>
      </c>
      <c r="B530" t="s">
        <v>2222</v>
      </c>
      <c r="C530">
        <v>2.75</v>
      </c>
      <c r="D530" t="s">
        <v>20</v>
      </c>
      <c r="E530" s="6">
        <v>45450</v>
      </c>
      <c r="F530" s="6">
        <v>45453</v>
      </c>
      <c r="G530" s="6">
        <v>45453</v>
      </c>
      <c r="I530">
        <v>2023</v>
      </c>
      <c r="J530" t="s">
        <v>2175</v>
      </c>
      <c r="K530" t="s">
        <v>2225</v>
      </c>
    </row>
    <row r="531" spans="1:11" x14ac:dyDescent="0.2">
      <c r="A531" t="s">
        <v>2224</v>
      </c>
      <c r="B531" t="s">
        <v>2222</v>
      </c>
      <c r="C531">
        <v>2.4900000000000002</v>
      </c>
      <c r="D531" t="s">
        <v>20</v>
      </c>
      <c r="E531" s="6">
        <v>45581</v>
      </c>
      <c r="F531" s="6">
        <v>45582</v>
      </c>
      <c r="G531" s="6">
        <v>45582</v>
      </c>
      <c r="I531">
        <v>2024</v>
      </c>
      <c r="J531" t="s">
        <v>2177</v>
      </c>
      <c r="K531" t="s">
        <v>2225</v>
      </c>
    </row>
    <row r="532" spans="1:11" x14ac:dyDescent="0.2">
      <c r="A532" t="s">
        <v>2226</v>
      </c>
      <c r="B532" t="s">
        <v>2222</v>
      </c>
      <c r="C532">
        <v>0.39</v>
      </c>
      <c r="D532" t="s">
        <v>20</v>
      </c>
      <c r="E532" s="6">
        <v>38134</v>
      </c>
      <c r="F532" s="6">
        <v>38135</v>
      </c>
      <c r="G532" s="6">
        <v>38135</v>
      </c>
      <c r="I532">
        <v>2003</v>
      </c>
      <c r="J532" t="s">
        <v>2175</v>
      </c>
      <c r="K532" t="s">
        <v>2227</v>
      </c>
    </row>
    <row r="533" spans="1:11" x14ac:dyDescent="0.2">
      <c r="A533" t="s">
        <v>2226</v>
      </c>
      <c r="B533" t="s">
        <v>2222</v>
      </c>
      <c r="C533">
        <v>13.7</v>
      </c>
      <c r="D533" t="s">
        <v>20</v>
      </c>
      <c r="E533" s="6">
        <v>38498</v>
      </c>
      <c r="F533" s="6">
        <v>38499</v>
      </c>
      <c r="G533" s="6">
        <v>38499</v>
      </c>
      <c r="I533">
        <v>2004</v>
      </c>
      <c r="J533" t="s">
        <v>2175</v>
      </c>
      <c r="K533" t="s">
        <v>2227</v>
      </c>
    </row>
    <row r="534" spans="1:11" x14ac:dyDescent="0.2">
      <c r="A534" t="s">
        <v>2226</v>
      </c>
      <c r="B534" t="s">
        <v>2222</v>
      </c>
      <c r="C534">
        <v>12.73</v>
      </c>
      <c r="D534" t="s">
        <v>20</v>
      </c>
      <c r="E534" s="6">
        <v>38869</v>
      </c>
      <c r="F534" s="6">
        <v>38870</v>
      </c>
      <c r="G534" s="6">
        <v>38870</v>
      </c>
      <c r="I534">
        <v>2005</v>
      </c>
      <c r="J534" t="s">
        <v>2175</v>
      </c>
      <c r="K534" t="s">
        <v>2227</v>
      </c>
    </row>
    <row r="535" spans="1:11" x14ac:dyDescent="0.2">
      <c r="A535" t="s">
        <v>2226</v>
      </c>
      <c r="B535" t="s">
        <v>2222</v>
      </c>
      <c r="C535">
        <v>19.7</v>
      </c>
      <c r="D535" t="s">
        <v>20</v>
      </c>
      <c r="E535" s="6">
        <v>39230</v>
      </c>
      <c r="F535" s="6">
        <v>39231</v>
      </c>
      <c r="G535" s="6">
        <v>39231</v>
      </c>
      <c r="I535">
        <v>2006</v>
      </c>
      <c r="J535" t="s">
        <v>2175</v>
      </c>
      <c r="K535" t="s">
        <v>2227</v>
      </c>
    </row>
    <row r="536" spans="1:11" x14ac:dyDescent="0.2">
      <c r="A536" t="s">
        <v>2226</v>
      </c>
      <c r="B536" t="s">
        <v>2222</v>
      </c>
      <c r="C536">
        <v>26.38</v>
      </c>
      <c r="D536" t="s">
        <v>20</v>
      </c>
      <c r="E536" s="6">
        <v>39602</v>
      </c>
      <c r="F536" s="6">
        <v>39603</v>
      </c>
      <c r="G536" s="6">
        <v>39603</v>
      </c>
      <c r="I536">
        <v>2007</v>
      </c>
      <c r="J536" t="s">
        <v>2175</v>
      </c>
      <c r="K536" t="s">
        <v>2227</v>
      </c>
    </row>
    <row r="537" spans="1:11" x14ac:dyDescent="0.2">
      <c r="A537" t="s">
        <v>2226</v>
      </c>
      <c r="B537" t="s">
        <v>2222</v>
      </c>
      <c r="C537">
        <v>5.53</v>
      </c>
      <c r="D537" t="s">
        <v>20</v>
      </c>
      <c r="E537" s="6">
        <v>39967</v>
      </c>
      <c r="F537" s="6">
        <v>39968</v>
      </c>
      <c r="G537" s="6">
        <v>39968</v>
      </c>
      <c r="I537">
        <v>2008</v>
      </c>
      <c r="J537" t="s">
        <v>2175</v>
      </c>
      <c r="K537" t="s">
        <v>2227</v>
      </c>
    </row>
    <row r="538" spans="1:11" x14ac:dyDescent="0.2">
      <c r="A538" t="s">
        <v>2226</v>
      </c>
      <c r="B538" t="s">
        <v>2222</v>
      </c>
      <c r="C538">
        <v>1.0900000000000001</v>
      </c>
      <c r="D538" t="s">
        <v>20</v>
      </c>
      <c r="E538" s="6">
        <v>40319</v>
      </c>
      <c r="F538" s="6">
        <v>40322</v>
      </c>
      <c r="G538" s="6">
        <v>40322</v>
      </c>
      <c r="I538">
        <v>2009</v>
      </c>
      <c r="J538" t="s">
        <v>2175</v>
      </c>
      <c r="K538" t="s">
        <v>2227</v>
      </c>
    </row>
    <row r="539" spans="1:11" x14ac:dyDescent="0.2">
      <c r="A539" t="s">
        <v>2226</v>
      </c>
      <c r="B539" t="s">
        <v>2222</v>
      </c>
      <c r="C539">
        <v>8.73</v>
      </c>
      <c r="D539" t="s">
        <v>20</v>
      </c>
      <c r="E539" s="6">
        <v>40652</v>
      </c>
      <c r="F539" s="6">
        <v>40653</v>
      </c>
      <c r="G539" s="6">
        <v>40653</v>
      </c>
      <c r="I539">
        <v>2010</v>
      </c>
      <c r="J539" t="s">
        <v>2175</v>
      </c>
      <c r="K539" t="s">
        <v>2227</v>
      </c>
    </row>
    <row r="540" spans="1:11" x14ac:dyDescent="0.2">
      <c r="A540" t="s">
        <v>2226</v>
      </c>
      <c r="B540" t="s">
        <v>2222</v>
      </c>
      <c r="C540">
        <v>8.06</v>
      </c>
      <c r="D540" t="s">
        <v>20</v>
      </c>
      <c r="E540" s="6">
        <v>41050</v>
      </c>
      <c r="F540" s="6">
        <v>41051</v>
      </c>
      <c r="G540" s="6">
        <v>41051</v>
      </c>
      <c r="I540">
        <v>2011</v>
      </c>
      <c r="J540" t="s">
        <v>2175</v>
      </c>
      <c r="K540" t="s">
        <v>2227</v>
      </c>
    </row>
    <row r="541" spans="1:11" x14ac:dyDescent="0.2">
      <c r="A541" t="s">
        <v>2228</v>
      </c>
      <c r="B541" t="s">
        <v>2222</v>
      </c>
      <c r="C541">
        <v>312.5</v>
      </c>
      <c r="D541" t="s">
        <v>20</v>
      </c>
      <c r="E541" s="6">
        <v>37749</v>
      </c>
      <c r="F541" s="6">
        <v>37750</v>
      </c>
      <c r="G541" s="6">
        <v>37753</v>
      </c>
      <c r="I541">
        <v>2002</v>
      </c>
      <c r="J541" t="s">
        <v>2175</v>
      </c>
      <c r="K541" t="s">
        <v>2229</v>
      </c>
    </row>
    <row r="542" spans="1:11" x14ac:dyDescent="0.2">
      <c r="A542" t="s">
        <v>2228</v>
      </c>
      <c r="B542" t="s">
        <v>2222</v>
      </c>
      <c r="C542">
        <v>0.6</v>
      </c>
      <c r="D542" t="s">
        <v>20</v>
      </c>
      <c r="E542" s="6">
        <v>38113</v>
      </c>
      <c r="F542" s="6">
        <v>38114</v>
      </c>
      <c r="G542" s="6">
        <v>38114</v>
      </c>
      <c r="I542">
        <v>2003</v>
      </c>
      <c r="J542" t="s">
        <v>2175</v>
      </c>
      <c r="K542" t="s">
        <v>2229</v>
      </c>
    </row>
    <row r="543" spans="1:11" x14ac:dyDescent="0.2">
      <c r="A543" t="s">
        <v>2228</v>
      </c>
      <c r="B543" t="s">
        <v>2222</v>
      </c>
      <c r="C543">
        <v>1</v>
      </c>
      <c r="D543" t="s">
        <v>20</v>
      </c>
      <c r="E543" s="6">
        <v>38274</v>
      </c>
      <c r="F543" s="6">
        <v>38275</v>
      </c>
      <c r="G543" s="6">
        <v>38275</v>
      </c>
      <c r="I543">
        <v>2004</v>
      </c>
      <c r="J543" t="s">
        <v>2180</v>
      </c>
      <c r="K543" t="s">
        <v>2229</v>
      </c>
    </row>
    <row r="544" spans="1:11" x14ac:dyDescent="0.2">
      <c r="A544" t="s">
        <v>2228</v>
      </c>
      <c r="B544" t="s">
        <v>2222</v>
      </c>
      <c r="C544">
        <v>0.8</v>
      </c>
      <c r="D544" t="s">
        <v>20</v>
      </c>
      <c r="E544" s="6">
        <v>38443</v>
      </c>
      <c r="F544" s="6">
        <v>38444</v>
      </c>
      <c r="G544" s="6">
        <v>38446</v>
      </c>
      <c r="I544">
        <v>2004</v>
      </c>
      <c r="J544" t="s">
        <v>2175</v>
      </c>
      <c r="K544" t="s">
        <v>2229</v>
      </c>
    </row>
    <row r="545" spans="1:11" x14ac:dyDescent="0.2">
      <c r="A545" t="s">
        <v>2228</v>
      </c>
      <c r="B545" t="s">
        <v>2222</v>
      </c>
      <c r="C545">
        <v>1</v>
      </c>
      <c r="D545" t="s">
        <v>20</v>
      </c>
      <c r="E545" s="6">
        <v>38621</v>
      </c>
      <c r="F545" s="6">
        <v>38622</v>
      </c>
      <c r="G545" s="6">
        <v>38622</v>
      </c>
      <c r="I545">
        <v>2005</v>
      </c>
      <c r="J545" t="s">
        <v>2177</v>
      </c>
      <c r="K545" t="s">
        <v>2229</v>
      </c>
    </row>
    <row r="546" spans="1:11" x14ac:dyDescent="0.2">
      <c r="A546" t="s">
        <v>2228</v>
      </c>
      <c r="B546" t="s">
        <v>2222</v>
      </c>
      <c r="C546">
        <v>2</v>
      </c>
      <c r="D546" t="s">
        <v>20</v>
      </c>
      <c r="E546" s="6">
        <v>38821</v>
      </c>
      <c r="F546" s="6">
        <v>38822</v>
      </c>
      <c r="G546" s="6">
        <v>38824</v>
      </c>
      <c r="I546">
        <v>2005</v>
      </c>
      <c r="J546" t="s">
        <v>2175</v>
      </c>
      <c r="K546" t="s">
        <v>2229</v>
      </c>
    </row>
    <row r="547" spans="1:11" x14ac:dyDescent="0.2">
      <c r="A547" t="s">
        <v>2228</v>
      </c>
      <c r="B547" t="s">
        <v>2222</v>
      </c>
      <c r="C547">
        <v>1.5</v>
      </c>
      <c r="D547" t="s">
        <v>20</v>
      </c>
      <c r="E547" s="6">
        <v>39016</v>
      </c>
      <c r="F547" s="6">
        <v>39017</v>
      </c>
      <c r="G547" s="6">
        <v>39017</v>
      </c>
      <c r="I547">
        <v>2006</v>
      </c>
      <c r="J547" t="s">
        <v>2177</v>
      </c>
      <c r="K547" t="s">
        <v>2229</v>
      </c>
    </row>
    <row r="548" spans="1:11" x14ac:dyDescent="0.2">
      <c r="A548" t="s">
        <v>2228</v>
      </c>
      <c r="B548" t="s">
        <v>2222</v>
      </c>
      <c r="C548">
        <v>1.5</v>
      </c>
      <c r="D548" t="s">
        <v>20</v>
      </c>
      <c r="E548" s="6">
        <v>39185</v>
      </c>
      <c r="F548" s="6">
        <v>39186</v>
      </c>
      <c r="G548" s="6">
        <v>39188</v>
      </c>
      <c r="I548">
        <v>2006</v>
      </c>
      <c r="J548" t="s">
        <v>2175</v>
      </c>
      <c r="K548" t="s">
        <v>2229</v>
      </c>
    </row>
    <row r="549" spans="1:11" x14ac:dyDescent="0.2">
      <c r="A549" t="s">
        <v>2228</v>
      </c>
      <c r="B549" t="s">
        <v>2222</v>
      </c>
      <c r="C549">
        <v>1.5</v>
      </c>
      <c r="D549" t="s">
        <v>20</v>
      </c>
      <c r="E549" s="6">
        <v>39317</v>
      </c>
      <c r="F549" s="6">
        <v>39318</v>
      </c>
      <c r="G549" s="6">
        <v>39318</v>
      </c>
      <c r="I549">
        <v>2007</v>
      </c>
      <c r="J549" t="s">
        <v>2177</v>
      </c>
      <c r="K549" t="s">
        <v>2229</v>
      </c>
    </row>
    <row r="550" spans="1:11" x14ac:dyDescent="0.2">
      <c r="A550" t="s">
        <v>2228</v>
      </c>
      <c r="B550" t="s">
        <v>2222</v>
      </c>
      <c r="C550">
        <v>1.5</v>
      </c>
      <c r="D550" t="s">
        <v>20</v>
      </c>
      <c r="E550" s="6">
        <v>39554</v>
      </c>
      <c r="F550" s="6">
        <v>39555</v>
      </c>
      <c r="G550" s="6">
        <v>39556</v>
      </c>
      <c r="I550">
        <v>2007</v>
      </c>
      <c r="J550" t="s">
        <v>2175</v>
      </c>
      <c r="K550" t="s">
        <v>2229</v>
      </c>
    </row>
    <row r="551" spans="1:11" x14ac:dyDescent="0.2">
      <c r="A551" t="s">
        <v>2228</v>
      </c>
      <c r="B551" t="s">
        <v>2222</v>
      </c>
      <c r="C551">
        <v>2</v>
      </c>
      <c r="D551" t="s">
        <v>20</v>
      </c>
      <c r="E551" s="6">
        <v>39659</v>
      </c>
      <c r="F551" s="6">
        <v>39660</v>
      </c>
      <c r="G551" s="6">
        <v>39661</v>
      </c>
      <c r="I551">
        <v>2008</v>
      </c>
      <c r="J551" t="s">
        <v>2177</v>
      </c>
      <c r="K551" t="s">
        <v>2229</v>
      </c>
    </row>
    <row r="552" spans="1:11" x14ac:dyDescent="0.2">
      <c r="A552" t="s">
        <v>2228</v>
      </c>
      <c r="B552" t="s">
        <v>2222</v>
      </c>
      <c r="C552">
        <v>0.22</v>
      </c>
      <c r="D552" t="s">
        <v>20</v>
      </c>
      <c r="E552" s="6">
        <v>40282</v>
      </c>
      <c r="F552" s="6">
        <v>40283</v>
      </c>
      <c r="G552" s="6">
        <v>40284</v>
      </c>
      <c r="I552">
        <v>2009</v>
      </c>
      <c r="J552" t="s">
        <v>2175</v>
      </c>
      <c r="K552" t="s">
        <v>2229</v>
      </c>
    </row>
    <row r="553" spans="1:11" x14ac:dyDescent="0.2">
      <c r="A553" t="s">
        <v>2228</v>
      </c>
      <c r="B553" t="s">
        <v>2222</v>
      </c>
      <c r="C553">
        <v>0.62</v>
      </c>
      <c r="D553" t="s">
        <v>20</v>
      </c>
      <c r="E553" s="6">
        <v>40413</v>
      </c>
      <c r="F553" s="6">
        <v>40414</v>
      </c>
      <c r="G553" s="6">
        <v>40415</v>
      </c>
      <c r="I553">
        <v>2010</v>
      </c>
      <c r="J553" t="s">
        <v>2177</v>
      </c>
      <c r="K553" t="s">
        <v>2229</v>
      </c>
    </row>
    <row r="554" spans="1:11" x14ac:dyDescent="0.2">
      <c r="A554" t="s">
        <v>2228</v>
      </c>
      <c r="B554" t="s">
        <v>2222</v>
      </c>
      <c r="C554">
        <v>1.2</v>
      </c>
      <c r="D554" t="s">
        <v>20</v>
      </c>
      <c r="E554" s="6">
        <v>40647</v>
      </c>
      <c r="F554" s="6">
        <v>40648</v>
      </c>
      <c r="G554" s="6">
        <v>40649</v>
      </c>
      <c r="I554">
        <v>2010</v>
      </c>
      <c r="J554" t="s">
        <v>2175</v>
      </c>
      <c r="K554" t="s">
        <v>2229</v>
      </c>
    </row>
    <row r="555" spans="1:11" x14ac:dyDescent="0.2">
      <c r="A555" t="s">
        <v>2228</v>
      </c>
      <c r="B555" t="s">
        <v>2222</v>
      </c>
      <c r="C555">
        <v>1.4</v>
      </c>
      <c r="D555" t="s">
        <v>20</v>
      </c>
      <c r="E555" s="6">
        <v>40766</v>
      </c>
      <c r="F555" s="6">
        <v>40767</v>
      </c>
      <c r="G555" s="6">
        <v>40770</v>
      </c>
      <c r="I555">
        <v>2011</v>
      </c>
      <c r="J555" t="s">
        <v>2177</v>
      </c>
      <c r="K555" t="s">
        <v>2229</v>
      </c>
    </row>
    <row r="556" spans="1:11" x14ac:dyDescent="0.2">
      <c r="A556" t="s">
        <v>2228</v>
      </c>
      <c r="B556" t="s">
        <v>2222</v>
      </c>
      <c r="C556">
        <v>0.6</v>
      </c>
      <c r="D556" t="s">
        <v>20</v>
      </c>
      <c r="E556" s="6">
        <v>41005</v>
      </c>
      <c r="F556" s="6">
        <v>41008</v>
      </c>
      <c r="G556" s="6">
        <v>41009</v>
      </c>
      <c r="I556">
        <v>2011</v>
      </c>
      <c r="J556" t="s">
        <v>2175</v>
      </c>
      <c r="K556" t="s">
        <v>2229</v>
      </c>
    </row>
    <row r="557" spans="1:11" x14ac:dyDescent="0.2">
      <c r="A557" t="s">
        <v>2228</v>
      </c>
      <c r="B557" t="s">
        <v>2222</v>
      </c>
      <c r="C557">
        <v>0.62</v>
      </c>
      <c r="D557" t="s">
        <v>20</v>
      </c>
      <c r="E557" s="6">
        <v>41386</v>
      </c>
      <c r="F557" s="6">
        <v>41387</v>
      </c>
      <c r="G557" s="6">
        <v>41388</v>
      </c>
      <c r="I557">
        <v>2012</v>
      </c>
      <c r="J557" t="s">
        <v>2175</v>
      </c>
      <c r="K557" t="s">
        <v>2229</v>
      </c>
    </row>
    <row r="558" spans="1:11" x14ac:dyDescent="0.2">
      <c r="A558" t="s">
        <v>2228</v>
      </c>
      <c r="B558" t="s">
        <v>2222</v>
      </c>
      <c r="C558">
        <v>0.67</v>
      </c>
      <c r="D558" t="s">
        <v>20</v>
      </c>
      <c r="E558" s="6">
        <v>41803</v>
      </c>
      <c r="F558" s="6">
        <v>41806</v>
      </c>
      <c r="G558" s="6">
        <v>41807</v>
      </c>
      <c r="I558">
        <v>2013</v>
      </c>
      <c r="J558" t="s">
        <v>2175</v>
      </c>
      <c r="K558" t="s">
        <v>2229</v>
      </c>
    </row>
    <row r="559" spans="1:11" x14ac:dyDescent="0.2">
      <c r="A559" t="s">
        <v>2228</v>
      </c>
      <c r="B559" t="s">
        <v>2222</v>
      </c>
      <c r="C559">
        <v>0.88</v>
      </c>
      <c r="D559" t="s">
        <v>20</v>
      </c>
      <c r="E559" s="6">
        <v>41921</v>
      </c>
      <c r="F559" s="6">
        <v>41922</v>
      </c>
      <c r="G559" s="6">
        <v>41923</v>
      </c>
      <c r="I559">
        <v>2014</v>
      </c>
      <c r="J559" t="s">
        <v>2177</v>
      </c>
      <c r="K559" t="s">
        <v>2229</v>
      </c>
    </row>
    <row r="560" spans="1:11" x14ac:dyDescent="0.2">
      <c r="A560" t="s">
        <v>2228</v>
      </c>
      <c r="B560" t="s">
        <v>2222</v>
      </c>
      <c r="C560">
        <v>1.56</v>
      </c>
      <c r="D560" t="s">
        <v>20</v>
      </c>
      <c r="E560" s="6">
        <v>42167</v>
      </c>
      <c r="F560" s="6">
        <v>42170</v>
      </c>
      <c r="G560" s="6">
        <v>42171</v>
      </c>
      <c r="I560">
        <v>2014</v>
      </c>
      <c r="J560" t="s">
        <v>2175</v>
      </c>
      <c r="K560" t="s">
        <v>2229</v>
      </c>
    </row>
    <row r="561" spans="1:11" x14ac:dyDescent="0.2">
      <c r="A561" t="s">
        <v>2228</v>
      </c>
      <c r="B561" t="s">
        <v>2222</v>
      </c>
      <c r="C561">
        <v>1.64</v>
      </c>
      <c r="D561" t="s">
        <v>20</v>
      </c>
      <c r="E561" s="6">
        <v>42167</v>
      </c>
      <c r="F561" s="6">
        <v>42170</v>
      </c>
      <c r="G561" s="6">
        <v>42171</v>
      </c>
      <c r="I561">
        <v>2015</v>
      </c>
      <c r="J561" t="s">
        <v>2195</v>
      </c>
      <c r="K561" t="s">
        <v>2229</v>
      </c>
    </row>
    <row r="562" spans="1:11" x14ac:dyDescent="0.2">
      <c r="A562" t="s">
        <v>2228</v>
      </c>
      <c r="B562" t="s">
        <v>2222</v>
      </c>
      <c r="C562">
        <v>0.93</v>
      </c>
      <c r="D562" t="s">
        <v>20</v>
      </c>
      <c r="E562" s="6">
        <v>42285</v>
      </c>
      <c r="F562" s="6">
        <v>42286</v>
      </c>
      <c r="G562" s="6">
        <v>42289</v>
      </c>
      <c r="I562">
        <v>2015</v>
      </c>
      <c r="J562" t="s">
        <v>2177</v>
      </c>
      <c r="K562" t="s">
        <v>2229</v>
      </c>
    </row>
    <row r="563" spans="1:11" x14ac:dyDescent="0.2">
      <c r="A563" t="s">
        <v>2228</v>
      </c>
      <c r="B563" t="s">
        <v>2222</v>
      </c>
      <c r="C563">
        <v>1.95</v>
      </c>
      <c r="D563" t="s">
        <v>20</v>
      </c>
      <c r="E563" s="6">
        <v>42374</v>
      </c>
      <c r="F563" s="6">
        <v>42375</v>
      </c>
      <c r="G563" s="6">
        <v>42377</v>
      </c>
      <c r="I563">
        <v>2015</v>
      </c>
      <c r="J563" t="s">
        <v>2230</v>
      </c>
      <c r="K563" t="s">
        <v>2229</v>
      </c>
    </row>
    <row r="564" spans="1:11" x14ac:dyDescent="0.2">
      <c r="A564" t="s">
        <v>2228</v>
      </c>
      <c r="B564" t="s">
        <v>2222</v>
      </c>
      <c r="C564">
        <v>2.4300000000000002</v>
      </c>
      <c r="D564" t="s">
        <v>20</v>
      </c>
      <c r="E564" s="6">
        <v>42530</v>
      </c>
      <c r="F564" s="6">
        <v>42531</v>
      </c>
      <c r="G564" s="6">
        <v>42535</v>
      </c>
      <c r="I564">
        <v>2015</v>
      </c>
      <c r="J564" t="s">
        <v>2175</v>
      </c>
      <c r="K564" t="s">
        <v>2229</v>
      </c>
    </row>
    <row r="565" spans="1:11" x14ac:dyDescent="0.2">
      <c r="A565" t="s">
        <v>2228</v>
      </c>
      <c r="B565" t="s">
        <v>2222</v>
      </c>
      <c r="C565">
        <v>1.1299999999999999</v>
      </c>
      <c r="D565" t="s">
        <v>20</v>
      </c>
      <c r="E565" s="6">
        <v>42531</v>
      </c>
      <c r="F565" s="6">
        <v>42534</v>
      </c>
      <c r="G565" s="6">
        <v>42535</v>
      </c>
      <c r="I565">
        <v>2016</v>
      </c>
      <c r="J565" t="s">
        <v>2195</v>
      </c>
      <c r="K565" t="s">
        <v>2229</v>
      </c>
    </row>
    <row r="566" spans="1:11" x14ac:dyDescent="0.2">
      <c r="A566" t="s">
        <v>2228</v>
      </c>
      <c r="B566" t="s">
        <v>2222</v>
      </c>
      <c r="C566">
        <v>1.08</v>
      </c>
      <c r="D566" t="s">
        <v>20</v>
      </c>
      <c r="E566" s="6">
        <v>42653</v>
      </c>
      <c r="F566" s="6">
        <v>42654</v>
      </c>
      <c r="G566" s="6">
        <v>42655</v>
      </c>
      <c r="I566">
        <v>2016</v>
      </c>
      <c r="J566" t="s">
        <v>2177</v>
      </c>
      <c r="K566" t="s">
        <v>2229</v>
      </c>
    </row>
    <row r="567" spans="1:11" x14ac:dyDescent="0.2">
      <c r="A567" t="s">
        <v>2228</v>
      </c>
      <c r="B567" t="s">
        <v>2222</v>
      </c>
      <c r="C567">
        <v>3.63</v>
      </c>
      <c r="D567" t="s">
        <v>20</v>
      </c>
      <c r="E567" s="6">
        <v>42738</v>
      </c>
      <c r="F567" s="6">
        <v>42739</v>
      </c>
      <c r="G567" s="6">
        <v>42740</v>
      </c>
      <c r="I567">
        <v>2016</v>
      </c>
      <c r="J567" t="s">
        <v>2230</v>
      </c>
      <c r="K567" t="s">
        <v>2229</v>
      </c>
    </row>
    <row r="568" spans="1:11" x14ac:dyDescent="0.2">
      <c r="A568" t="s">
        <v>2228</v>
      </c>
      <c r="B568" t="s">
        <v>2222</v>
      </c>
      <c r="C568">
        <v>3.38</v>
      </c>
      <c r="D568" t="s">
        <v>20</v>
      </c>
      <c r="E568" s="6">
        <v>42895</v>
      </c>
      <c r="F568" s="6">
        <v>42899</v>
      </c>
      <c r="G568" s="6">
        <v>42900</v>
      </c>
      <c r="I568">
        <v>2016</v>
      </c>
      <c r="J568" t="s">
        <v>2175</v>
      </c>
      <c r="K568" t="s">
        <v>2229</v>
      </c>
    </row>
    <row r="569" spans="1:11" x14ac:dyDescent="0.2">
      <c r="A569" t="s">
        <v>2228</v>
      </c>
      <c r="B569" t="s">
        <v>2222</v>
      </c>
      <c r="C569">
        <v>2.35</v>
      </c>
      <c r="D569" t="s">
        <v>20</v>
      </c>
      <c r="E569" s="6">
        <v>42895</v>
      </c>
      <c r="F569" s="6">
        <v>42899</v>
      </c>
      <c r="G569" s="6">
        <v>42900</v>
      </c>
      <c r="I569">
        <v>2017</v>
      </c>
      <c r="J569" t="s">
        <v>2195</v>
      </c>
      <c r="K569" t="s">
        <v>2229</v>
      </c>
    </row>
    <row r="570" spans="1:11" x14ac:dyDescent="0.2">
      <c r="A570" t="s">
        <v>2228</v>
      </c>
      <c r="B570" t="s">
        <v>2222</v>
      </c>
      <c r="C570">
        <v>3.2</v>
      </c>
      <c r="D570" t="s">
        <v>20</v>
      </c>
      <c r="E570" s="6">
        <v>43018</v>
      </c>
      <c r="F570" s="6">
        <v>43019</v>
      </c>
      <c r="G570" s="6">
        <v>43020</v>
      </c>
      <c r="I570">
        <v>2017</v>
      </c>
      <c r="J570" t="s">
        <v>2177</v>
      </c>
      <c r="K570" t="s">
        <v>2229</v>
      </c>
    </row>
    <row r="571" spans="1:11" x14ac:dyDescent="0.2">
      <c r="A571" t="s">
        <v>2228</v>
      </c>
      <c r="B571" t="s">
        <v>2222</v>
      </c>
      <c r="C571">
        <v>5.13</v>
      </c>
      <c r="D571" t="s">
        <v>20</v>
      </c>
      <c r="E571" s="6">
        <v>43104</v>
      </c>
      <c r="F571" s="6">
        <v>43105</v>
      </c>
      <c r="G571" s="6">
        <v>43109</v>
      </c>
      <c r="I571">
        <v>2017</v>
      </c>
      <c r="J571" t="s">
        <v>2180</v>
      </c>
      <c r="K571" t="s">
        <v>2229</v>
      </c>
    </row>
    <row r="572" spans="1:11" x14ac:dyDescent="0.2">
      <c r="A572" t="s">
        <v>2228</v>
      </c>
      <c r="B572" t="s">
        <v>2222</v>
      </c>
      <c r="C572">
        <v>3.36</v>
      </c>
      <c r="D572" t="s">
        <v>20</v>
      </c>
      <c r="E572" s="6">
        <v>43269</v>
      </c>
      <c r="F572" s="6">
        <v>43270</v>
      </c>
      <c r="G572" s="6">
        <v>43271</v>
      </c>
      <c r="I572">
        <v>2017</v>
      </c>
      <c r="J572" t="s">
        <v>2175</v>
      </c>
      <c r="K572" t="s">
        <v>2229</v>
      </c>
    </row>
    <row r="573" spans="1:11" x14ac:dyDescent="0.2">
      <c r="A573" t="s">
        <v>2228</v>
      </c>
      <c r="B573" t="s">
        <v>2222</v>
      </c>
      <c r="C573">
        <v>5.73</v>
      </c>
      <c r="D573" t="s">
        <v>20</v>
      </c>
      <c r="E573" s="6">
        <v>43269</v>
      </c>
      <c r="F573" s="6">
        <v>43270</v>
      </c>
      <c r="G573" s="6">
        <v>43271</v>
      </c>
      <c r="I573">
        <v>2018</v>
      </c>
      <c r="J573" t="s">
        <v>2195</v>
      </c>
      <c r="K573" t="s">
        <v>2229</v>
      </c>
    </row>
    <row r="574" spans="1:11" x14ac:dyDescent="0.2">
      <c r="A574" t="s">
        <v>2228</v>
      </c>
      <c r="B574" t="s">
        <v>2222</v>
      </c>
      <c r="C574">
        <v>5.24</v>
      </c>
      <c r="D574" t="s">
        <v>20</v>
      </c>
      <c r="E574" s="6">
        <v>43383</v>
      </c>
      <c r="F574" s="6">
        <v>43384</v>
      </c>
      <c r="G574" s="6">
        <v>43385</v>
      </c>
      <c r="I574">
        <v>2018</v>
      </c>
      <c r="J574" t="s">
        <v>2177</v>
      </c>
      <c r="K574" t="s">
        <v>2229</v>
      </c>
    </row>
    <row r="575" spans="1:11" x14ac:dyDescent="0.2">
      <c r="A575" t="s">
        <v>2228</v>
      </c>
      <c r="B575" t="s">
        <v>2222</v>
      </c>
      <c r="C575">
        <v>6.04</v>
      </c>
      <c r="D575" t="s">
        <v>20</v>
      </c>
      <c r="E575" s="6">
        <v>43469</v>
      </c>
      <c r="F575" s="6">
        <v>43473</v>
      </c>
      <c r="G575" s="6">
        <v>43474</v>
      </c>
      <c r="I575">
        <v>2018</v>
      </c>
      <c r="J575" t="s">
        <v>2180</v>
      </c>
      <c r="K575" t="s">
        <v>2229</v>
      </c>
    </row>
    <row r="576" spans="1:11" x14ac:dyDescent="0.2">
      <c r="A576" t="s">
        <v>2228</v>
      </c>
      <c r="B576" t="s">
        <v>2222</v>
      </c>
      <c r="C576">
        <v>5.8</v>
      </c>
      <c r="D576" t="s">
        <v>20</v>
      </c>
      <c r="E576" s="6">
        <v>43587</v>
      </c>
      <c r="F576" s="6">
        <v>43588</v>
      </c>
      <c r="G576" s="6">
        <v>43591</v>
      </c>
      <c r="I576">
        <v>2018</v>
      </c>
      <c r="J576" t="s">
        <v>2175</v>
      </c>
      <c r="K576" t="s">
        <v>2229</v>
      </c>
    </row>
    <row r="577" spans="1:11" x14ac:dyDescent="0.2">
      <c r="A577" t="s">
        <v>2228</v>
      </c>
      <c r="B577" t="s">
        <v>2222</v>
      </c>
      <c r="C577">
        <v>7.34</v>
      </c>
      <c r="D577" t="s">
        <v>20</v>
      </c>
      <c r="E577" s="6">
        <v>43633</v>
      </c>
      <c r="F577" s="6">
        <v>43634</v>
      </c>
      <c r="G577" s="6">
        <v>43635</v>
      </c>
      <c r="I577">
        <v>2019</v>
      </c>
      <c r="J577" t="s">
        <v>2195</v>
      </c>
      <c r="K577" t="s">
        <v>2229</v>
      </c>
    </row>
    <row r="578" spans="1:11" x14ac:dyDescent="0.2">
      <c r="A578" t="s">
        <v>2228</v>
      </c>
      <c r="B578" t="s">
        <v>2222</v>
      </c>
      <c r="C578">
        <v>3.68</v>
      </c>
      <c r="D578" t="s">
        <v>20</v>
      </c>
      <c r="E578" s="6">
        <v>43746</v>
      </c>
      <c r="F578" s="6">
        <v>43747</v>
      </c>
      <c r="G578" s="6">
        <v>43748</v>
      </c>
      <c r="I578">
        <v>2019</v>
      </c>
      <c r="J578" t="s">
        <v>2177</v>
      </c>
      <c r="K578" t="s">
        <v>2229</v>
      </c>
    </row>
    <row r="579" spans="1:11" x14ac:dyDescent="0.2">
      <c r="A579" t="s">
        <v>2228</v>
      </c>
      <c r="B579" t="s">
        <v>2222</v>
      </c>
      <c r="C579">
        <v>3.22</v>
      </c>
      <c r="D579" t="s">
        <v>20</v>
      </c>
      <c r="E579" s="6">
        <v>43836</v>
      </c>
      <c r="F579" s="6">
        <v>43838</v>
      </c>
      <c r="G579" s="6">
        <v>43839</v>
      </c>
      <c r="I579">
        <v>2019</v>
      </c>
      <c r="J579" t="s">
        <v>2180</v>
      </c>
      <c r="K579" t="s">
        <v>2229</v>
      </c>
    </row>
    <row r="580" spans="1:11" x14ac:dyDescent="0.2">
      <c r="A580" t="s">
        <v>2228</v>
      </c>
      <c r="B580" t="s">
        <v>2222</v>
      </c>
      <c r="C580">
        <v>3.12</v>
      </c>
      <c r="D580" t="s">
        <v>20</v>
      </c>
      <c r="E580" s="6">
        <v>43987</v>
      </c>
      <c r="F580" s="6">
        <v>43990</v>
      </c>
      <c r="G580" s="6">
        <v>43991</v>
      </c>
      <c r="I580">
        <v>2019</v>
      </c>
      <c r="J580" t="s">
        <v>2175</v>
      </c>
      <c r="K580" t="s">
        <v>2229</v>
      </c>
    </row>
    <row r="581" spans="1:11" x14ac:dyDescent="0.2">
      <c r="A581" t="s">
        <v>2228</v>
      </c>
      <c r="B581" t="s">
        <v>2222</v>
      </c>
      <c r="C581">
        <v>3.21</v>
      </c>
      <c r="D581" t="s">
        <v>20</v>
      </c>
      <c r="E581" s="6">
        <v>44021</v>
      </c>
      <c r="F581" s="6">
        <v>44022</v>
      </c>
      <c r="G581" s="6">
        <v>44025</v>
      </c>
      <c r="I581">
        <v>2020</v>
      </c>
      <c r="J581" t="s">
        <v>2195</v>
      </c>
      <c r="K581" t="s">
        <v>2229</v>
      </c>
    </row>
    <row r="582" spans="1:11" x14ac:dyDescent="0.2">
      <c r="A582" t="s">
        <v>2228</v>
      </c>
      <c r="B582" t="s">
        <v>2222</v>
      </c>
      <c r="C582">
        <v>4.75</v>
      </c>
      <c r="D582" t="s">
        <v>20</v>
      </c>
      <c r="E582" s="6">
        <v>44112</v>
      </c>
      <c r="F582" s="6">
        <v>44113</v>
      </c>
      <c r="G582" s="6">
        <v>44116</v>
      </c>
      <c r="I582">
        <v>2020</v>
      </c>
      <c r="J582" t="s">
        <v>2177</v>
      </c>
      <c r="K582" t="s">
        <v>2229</v>
      </c>
    </row>
    <row r="583" spans="1:11" x14ac:dyDescent="0.2">
      <c r="A583" t="s">
        <v>2228</v>
      </c>
      <c r="B583" t="s">
        <v>2222</v>
      </c>
      <c r="C583">
        <v>6.43</v>
      </c>
      <c r="D583" t="s">
        <v>20</v>
      </c>
      <c r="E583" s="6">
        <v>44190</v>
      </c>
      <c r="F583" s="6">
        <v>44193</v>
      </c>
      <c r="G583" s="6">
        <v>44194</v>
      </c>
      <c r="I583">
        <v>2020</v>
      </c>
      <c r="J583" t="s">
        <v>2180</v>
      </c>
      <c r="K583" t="s">
        <v>2229</v>
      </c>
    </row>
    <row r="584" spans="1:11" x14ac:dyDescent="0.2">
      <c r="A584" t="s">
        <v>2228</v>
      </c>
      <c r="B584" t="s">
        <v>2222</v>
      </c>
      <c r="C584">
        <v>7.25</v>
      </c>
      <c r="D584" t="s">
        <v>20</v>
      </c>
      <c r="E584" s="6">
        <v>44322</v>
      </c>
      <c r="F584" s="6">
        <v>44323</v>
      </c>
      <c r="G584" s="6">
        <v>44327</v>
      </c>
      <c r="I584">
        <v>2020</v>
      </c>
      <c r="J584" t="s">
        <v>2175</v>
      </c>
      <c r="K584" t="s">
        <v>2229</v>
      </c>
    </row>
    <row r="585" spans="1:11" x14ac:dyDescent="0.2">
      <c r="A585" t="s">
        <v>2228</v>
      </c>
      <c r="B585" t="s">
        <v>2222</v>
      </c>
      <c r="C585">
        <v>7.71</v>
      </c>
      <c r="D585" t="s">
        <v>20</v>
      </c>
      <c r="E585" s="6">
        <v>44368</v>
      </c>
      <c r="F585" s="6">
        <v>44369</v>
      </c>
      <c r="G585" s="6">
        <v>44370</v>
      </c>
      <c r="I585">
        <v>2021</v>
      </c>
      <c r="J585" t="s">
        <v>2195</v>
      </c>
      <c r="K585" t="s">
        <v>2229</v>
      </c>
    </row>
    <row r="586" spans="1:11" x14ac:dyDescent="0.2">
      <c r="A586" t="s">
        <v>2228</v>
      </c>
      <c r="B586" t="s">
        <v>2222</v>
      </c>
      <c r="C586">
        <v>13.62</v>
      </c>
      <c r="D586" t="s">
        <v>20</v>
      </c>
      <c r="E586" s="6">
        <v>44442</v>
      </c>
      <c r="F586" s="6">
        <v>44445</v>
      </c>
      <c r="G586" s="6">
        <v>44446</v>
      </c>
      <c r="I586">
        <v>2021</v>
      </c>
      <c r="J586" t="s">
        <v>2177</v>
      </c>
      <c r="K586" t="s">
        <v>2229</v>
      </c>
    </row>
    <row r="587" spans="1:11" x14ac:dyDescent="0.2">
      <c r="A587" t="s">
        <v>2228</v>
      </c>
      <c r="B587" t="s">
        <v>2222</v>
      </c>
      <c r="C587">
        <v>13.33</v>
      </c>
      <c r="D587" t="s">
        <v>20</v>
      </c>
      <c r="E587" s="6">
        <v>44533</v>
      </c>
      <c r="F587" s="6">
        <v>44536</v>
      </c>
      <c r="G587" s="6">
        <v>44537</v>
      </c>
      <c r="I587">
        <v>2021</v>
      </c>
      <c r="J587" t="s">
        <v>2180</v>
      </c>
      <c r="K587" t="s">
        <v>2229</v>
      </c>
    </row>
    <row r="588" spans="1:11" x14ac:dyDescent="0.2">
      <c r="A588" t="s">
        <v>2228</v>
      </c>
      <c r="B588" t="s">
        <v>2222</v>
      </c>
      <c r="C588">
        <v>25.43</v>
      </c>
      <c r="D588" t="s">
        <v>20</v>
      </c>
      <c r="E588" s="6">
        <v>45436</v>
      </c>
      <c r="F588" s="6">
        <v>45439</v>
      </c>
      <c r="G588" s="6">
        <v>45439</v>
      </c>
      <c r="I588">
        <v>2023</v>
      </c>
      <c r="J588" t="s">
        <v>2175</v>
      </c>
      <c r="K588" t="s">
        <v>2229</v>
      </c>
    </row>
    <row r="589" spans="1:11" x14ac:dyDescent="0.2">
      <c r="A589" t="s">
        <v>2231</v>
      </c>
      <c r="B589" t="s">
        <v>2232</v>
      </c>
      <c r="C589">
        <v>0.32</v>
      </c>
      <c r="D589" t="s">
        <v>20</v>
      </c>
      <c r="E589" s="6">
        <v>39212</v>
      </c>
      <c r="F589" s="6">
        <v>39213</v>
      </c>
      <c r="G589" s="6">
        <v>39213</v>
      </c>
      <c r="I589">
        <v>2006</v>
      </c>
      <c r="J589" t="s">
        <v>2175</v>
      </c>
      <c r="K589" t="s">
        <v>2233</v>
      </c>
    </row>
    <row r="590" spans="1:11" x14ac:dyDescent="0.2">
      <c r="A590" t="s">
        <v>2231</v>
      </c>
      <c r="B590" t="s">
        <v>2232</v>
      </c>
      <c r="C590">
        <v>0.3</v>
      </c>
      <c r="D590" t="s">
        <v>20</v>
      </c>
      <c r="E590" s="6">
        <v>39587</v>
      </c>
      <c r="F590" s="6">
        <v>39588</v>
      </c>
      <c r="G590" s="6">
        <v>39589</v>
      </c>
      <c r="I590">
        <v>2007</v>
      </c>
      <c r="J590" t="s">
        <v>2175</v>
      </c>
      <c r="K590" t="s">
        <v>2233</v>
      </c>
    </row>
    <row r="591" spans="1:11" x14ac:dyDescent="0.2">
      <c r="A591" t="s">
        <v>2231</v>
      </c>
      <c r="B591" t="s">
        <v>2232</v>
      </c>
      <c r="C591">
        <v>6.55</v>
      </c>
      <c r="D591" t="s">
        <v>20</v>
      </c>
      <c r="E591" s="6">
        <v>40032</v>
      </c>
      <c r="F591" s="6">
        <v>40035</v>
      </c>
      <c r="G591" s="6">
        <v>40032</v>
      </c>
      <c r="I591">
        <v>2009</v>
      </c>
      <c r="J591" t="s">
        <v>2177</v>
      </c>
      <c r="K591" t="s">
        <v>2233</v>
      </c>
    </row>
    <row r="592" spans="1:11" x14ac:dyDescent="0.2">
      <c r="A592" t="s">
        <v>2231</v>
      </c>
      <c r="B592" t="s">
        <v>2232</v>
      </c>
      <c r="C592">
        <v>9.2799999999999994</v>
      </c>
      <c r="D592" t="s">
        <v>20</v>
      </c>
      <c r="E592" s="6">
        <v>40281</v>
      </c>
      <c r="F592" s="6">
        <v>40282</v>
      </c>
      <c r="G592" s="6">
        <v>40281</v>
      </c>
      <c r="I592">
        <v>2009</v>
      </c>
      <c r="J592" t="s">
        <v>2175</v>
      </c>
      <c r="K592" t="s">
        <v>2233</v>
      </c>
    </row>
    <row r="593" spans="1:11" x14ac:dyDescent="0.2">
      <c r="A593" t="s">
        <v>2231</v>
      </c>
      <c r="B593" t="s">
        <v>2232</v>
      </c>
      <c r="C593">
        <v>0.85</v>
      </c>
      <c r="D593" t="s">
        <v>20</v>
      </c>
      <c r="E593" s="6">
        <v>40374</v>
      </c>
      <c r="F593" s="6">
        <v>40375</v>
      </c>
      <c r="G593" s="6">
        <v>40378</v>
      </c>
      <c r="I593">
        <v>2010</v>
      </c>
      <c r="J593" t="s">
        <v>2177</v>
      </c>
      <c r="K593" t="s">
        <v>2233</v>
      </c>
    </row>
    <row r="594" spans="1:11" x14ac:dyDescent="0.2">
      <c r="A594" t="s">
        <v>2231</v>
      </c>
      <c r="B594" t="s">
        <v>2232</v>
      </c>
      <c r="C594">
        <v>11.25</v>
      </c>
      <c r="D594" t="s">
        <v>20</v>
      </c>
      <c r="E594" s="6">
        <v>40641</v>
      </c>
      <c r="F594" s="6">
        <v>40644</v>
      </c>
      <c r="G594" s="6">
        <v>40645</v>
      </c>
      <c r="I594">
        <v>2010</v>
      </c>
      <c r="J594" t="s">
        <v>2175</v>
      </c>
      <c r="K594" t="s">
        <v>2233</v>
      </c>
    </row>
    <row r="595" spans="1:11" x14ac:dyDescent="0.2">
      <c r="A595" t="s">
        <v>2231</v>
      </c>
      <c r="B595" t="s">
        <v>2232</v>
      </c>
      <c r="C595">
        <v>2.62</v>
      </c>
      <c r="D595" t="s">
        <v>20</v>
      </c>
      <c r="E595" s="6">
        <v>40820</v>
      </c>
      <c r="F595" s="6">
        <v>40821</v>
      </c>
      <c r="G595" s="6">
        <v>40822</v>
      </c>
      <c r="I595">
        <v>2011</v>
      </c>
      <c r="J595" t="s">
        <v>2180</v>
      </c>
      <c r="K595" t="s">
        <v>2233</v>
      </c>
    </row>
    <row r="596" spans="1:11" x14ac:dyDescent="0.2">
      <c r="A596" t="s">
        <v>2231</v>
      </c>
      <c r="B596" t="s">
        <v>2232</v>
      </c>
      <c r="C596">
        <v>6.3</v>
      </c>
      <c r="D596" t="s">
        <v>20</v>
      </c>
      <c r="E596" s="6">
        <v>41193</v>
      </c>
      <c r="F596" s="6">
        <v>41194</v>
      </c>
      <c r="G596" s="6">
        <v>41197</v>
      </c>
      <c r="I596">
        <v>2012</v>
      </c>
      <c r="J596" t="s">
        <v>2180</v>
      </c>
      <c r="K596" t="s">
        <v>2233</v>
      </c>
    </row>
    <row r="597" spans="1:11" x14ac:dyDescent="0.2">
      <c r="A597" t="s">
        <v>2231</v>
      </c>
      <c r="B597" t="s">
        <v>2232</v>
      </c>
      <c r="C597">
        <v>15.24</v>
      </c>
      <c r="D597" t="s">
        <v>20</v>
      </c>
      <c r="E597" s="6">
        <v>42929</v>
      </c>
      <c r="F597" s="6">
        <v>42930</v>
      </c>
      <c r="G597" s="6">
        <v>42933</v>
      </c>
      <c r="H597" s="6">
        <v>42947</v>
      </c>
      <c r="I597">
        <v>2016</v>
      </c>
      <c r="J597" t="s">
        <v>2175</v>
      </c>
      <c r="K597" t="s">
        <v>2233</v>
      </c>
    </row>
    <row r="598" spans="1:11" x14ac:dyDescent="0.2">
      <c r="A598" t="s">
        <v>2231</v>
      </c>
      <c r="B598" t="s">
        <v>2232</v>
      </c>
      <c r="C598">
        <v>10.43</v>
      </c>
      <c r="D598" t="s">
        <v>20</v>
      </c>
      <c r="E598" s="6">
        <v>42999</v>
      </c>
      <c r="F598" s="6">
        <v>43000</v>
      </c>
      <c r="G598" s="6">
        <v>43003</v>
      </c>
      <c r="H598" s="6">
        <v>43017</v>
      </c>
      <c r="I598">
        <v>2017</v>
      </c>
      <c r="J598" t="s">
        <v>2177</v>
      </c>
      <c r="K598" t="s">
        <v>2233</v>
      </c>
    </row>
    <row r="599" spans="1:11" x14ac:dyDescent="0.2">
      <c r="A599" t="s">
        <v>2231</v>
      </c>
      <c r="B599" t="s">
        <v>2232</v>
      </c>
      <c r="C599">
        <v>14.71</v>
      </c>
      <c r="D599" t="s">
        <v>20</v>
      </c>
      <c r="E599" s="6">
        <v>43259</v>
      </c>
      <c r="F599" s="6">
        <v>43260</v>
      </c>
      <c r="G599" s="6">
        <v>43261</v>
      </c>
      <c r="H599" s="6">
        <v>43277</v>
      </c>
      <c r="I599">
        <v>2017</v>
      </c>
      <c r="J599" t="s">
        <v>2175</v>
      </c>
      <c r="K599" t="s">
        <v>2233</v>
      </c>
    </row>
    <row r="600" spans="1:11" x14ac:dyDescent="0.2">
      <c r="A600" t="s">
        <v>2231</v>
      </c>
      <c r="B600" t="s">
        <v>2232</v>
      </c>
      <c r="C600">
        <v>13.11</v>
      </c>
      <c r="D600" t="s">
        <v>20</v>
      </c>
      <c r="E600" s="6">
        <v>43389</v>
      </c>
      <c r="F600" s="6">
        <v>43390</v>
      </c>
      <c r="G600" s="6">
        <v>43391</v>
      </c>
      <c r="H600" s="6">
        <v>43405</v>
      </c>
      <c r="I600">
        <v>2018</v>
      </c>
      <c r="J600" t="s">
        <v>2177</v>
      </c>
      <c r="K600" t="s">
        <v>2233</v>
      </c>
    </row>
    <row r="601" spans="1:11" x14ac:dyDescent="0.2">
      <c r="A601" t="s">
        <v>2231</v>
      </c>
      <c r="B601" t="s">
        <v>2232</v>
      </c>
      <c r="C601">
        <v>14.36</v>
      </c>
      <c r="D601" t="s">
        <v>20</v>
      </c>
      <c r="E601" s="6">
        <v>43599</v>
      </c>
      <c r="F601" s="6">
        <v>43600</v>
      </c>
      <c r="G601" s="6">
        <v>43601</v>
      </c>
      <c r="H601" s="6">
        <v>43615</v>
      </c>
      <c r="I601">
        <v>2018</v>
      </c>
      <c r="J601" t="s">
        <v>2175</v>
      </c>
      <c r="K601" t="s">
        <v>2233</v>
      </c>
    </row>
    <row r="602" spans="1:11" x14ac:dyDescent="0.2">
      <c r="A602" t="s">
        <v>2231</v>
      </c>
      <c r="B602" t="s">
        <v>2232</v>
      </c>
      <c r="C602">
        <v>16.3</v>
      </c>
      <c r="D602" t="s">
        <v>20</v>
      </c>
      <c r="E602" s="6">
        <v>43746</v>
      </c>
      <c r="F602" s="6">
        <v>43747</v>
      </c>
      <c r="G602" s="6">
        <v>43748</v>
      </c>
      <c r="H602" s="6">
        <v>43784</v>
      </c>
      <c r="I602">
        <v>2019</v>
      </c>
      <c r="J602" t="s">
        <v>2177</v>
      </c>
      <c r="K602" t="s">
        <v>2233</v>
      </c>
    </row>
    <row r="603" spans="1:11" x14ac:dyDescent="0.2">
      <c r="A603" t="s">
        <v>2231</v>
      </c>
      <c r="B603" t="s">
        <v>2232</v>
      </c>
      <c r="C603">
        <v>24.48</v>
      </c>
      <c r="D603" t="s">
        <v>20</v>
      </c>
      <c r="E603" s="6">
        <v>44069</v>
      </c>
      <c r="F603" s="6">
        <v>44070</v>
      </c>
      <c r="G603" s="6">
        <v>44071</v>
      </c>
      <c r="H603" s="6">
        <v>44106</v>
      </c>
      <c r="I603">
        <v>2019</v>
      </c>
      <c r="J603" t="s">
        <v>2175</v>
      </c>
      <c r="K603" t="s">
        <v>2233</v>
      </c>
    </row>
    <row r="604" spans="1:11" x14ac:dyDescent="0.2">
      <c r="A604" t="s">
        <v>2231</v>
      </c>
      <c r="B604" t="s">
        <v>2232</v>
      </c>
      <c r="C604">
        <v>24.02</v>
      </c>
      <c r="D604" t="s">
        <v>20</v>
      </c>
      <c r="E604" s="6">
        <v>44120</v>
      </c>
      <c r="F604" s="6">
        <v>44123</v>
      </c>
      <c r="G604" s="6">
        <v>44124</v>
      </c>
      <c r="H604" s="6">
        <v>44160</v>
      </c>
      <c r="I604">
        <v>2020</v>
      </c>
      <c r="J604" t="s">
        <v>2177</v>
      </c>
      <c r="K604" t="s">
        <v>2233</v>
      </c>
    </row>
    <row r="605" spans="1:11" x14ac:dyDescent="0.2">
      <c r="A605" t="s">
        <v>2231</v>
      </c>
      <c r="B605" t="s">
        <v>2232</v>
      </c>
      <c r="C605">
        <v>38.72</v>
      </c>
      <c r="D605" t="s">
        <v>20</v>
      </c>
      <c r="E605" s="6">
        <v>44350</v>
      </c>
      <c r="F605" s="6">
        <v>44351</v>
      </c>
      <c r="G605" s="6">
        <v>44354</v>
      </c>
      <c r="H605" s="6">
        <v>44390</v>
      </c>
      <c r="I605">
        <v>2020</v>
      </c>
      <c r="J605" t="s">
        <v>2175</v>
      </c>
      <c r="K605" t="s">
        <v>2233</v>
      </c>
    </row>
    <row r="606" spans="1:11" x14ac:dyDescent="0.2">
      <c r="A606" t="s">
        <v>2231</v>
      </c>
      <c r="B606" t="s">
        <v>2232</v>
      </c>
      <c r="C606">
        <v>26.75</v>
      </c>
      <c r="D606" t="s">
        <v>20</v>
      </c>
      <c r="E606" s="6">
        <v>44476</v>
      </c>
      <c r="F606" s="6">
        <v>44477</v>
      </c>
      <c r="G606" s="6">
        <v>44480</v>
      </c>
      <c r="H606" s="6">
        <v>44517</v>
      </c>
      <c r="I606">
        <v>2021</v>
      </c>
      <c r="J606" t="s">
        <v>2177</v>
      </c>
      <c r="K606" t="s">
        <v>2233</v>
      </c>
    </row>
    <row r="607" spans="1:11" x14ac:dyDescent="0.2">
      <c r="A607" t="s">
        <v>2231</v>
      </c>
      <c r="B607" t="s">
        <v>2232</v>
      </c>
      <c r="C607">
        <v>130.18</v>
      </c>
      <c r="D607" t="s">
        <v>20</v>
      </c>
      <c r="E607" s="6">
        <v>45638</v>
      </c>
      <c r="F607" s="6">
        <v>45639</v>
      </c>
      <c r="G607" s="6">
        <v>45639</v>
      </c>
      <c r="H607" s="6">
        <v>45685</v>
      </c>
      <c r="I607">
        <v>2024</v>
      </c>
      <c r="J607" t="s">
        <v>2180</v>
      </c>
      <c r="K607" t="s">
        <v>2233</v>
      </c>
    </row>
    <row r="608" spans="1:11" x14ac:dyDescent="0.2">
      <c r="A608" t="s">
        <v>2231</v>
      </c>
      <c r="B608" t="s">
        <v>2232</v>
      </c>
      <c r="C608">
        <v>73</v>
      </c>
      <c r="D608" t="s">
        <v>20</v>
      </c>
      <c r="E608" s="6">
        <v>45771</v>
      </c>
      <c r="F608" s="6">
        <v>45772</v>
      </c>
      <c r="G608" s="6">
        <v>45772</v>
      </c>
      <c r="H608" s="6">
        <v>45813</v>
      </c>
      <c r="I608">
        <v>2024</v>
      </c>
      <c r="J608" t="s">
        <v>2175</v>
      </c>
      <c r="K608" t="s">
        <v>2233</v>
      </c>
    </row>
    <row r="609" spans="1:11" x14ac:dyDescent="0.2">
      <c r="A609" t="s">
        <v>2231</v>
      </c>
      <c r="B609" t="s">
        <v>2232</v>
      </c>
      <c r="C609">
        <v>70.849999999999994</v>
      </c>
      <c r="D609" t="s">
        <v>20</v>
      </c>
      <c r="E609" s="6">
        <v>45940</v>
      </c>
      <c r="F609" s="6">
        <v>45943</v>
      </c>
      <c r="G609" s="6">
        <v>45943</v>
      </c>
      <c r="H609" s="6">
        <v>45979</v>
      </c>
      <c r="I609">
        <v>2025</v>
      </c>
      <c r="J609" t="s">
        <v>2177</v>
      </c>
      <c r="K609" t="s">
        <v>2233</v>
      </c>
    </row>
    <row r="610" spans="1:11" x14ac:dyDescent="0.2">
      <c r="A610" t="s">
        <v>2231</v>
      </c>
      <c r="B610" t="s">
        <v>2232</v>
      </c>
      <c r="C610">
        <v>36</v>
      </c>
      <c r="D610" t="s">
        <v>20</v>
      </c>
      <c r="E610" s="6">
        <v>46010</v>
      </c>
      <c r="F610" s="6">
        <v>46013</v>
      </c>
      <c r="G610" s="6">
        <v>46013</v>
      </c>
      <c r="H610" s="6">
        <v>46050</v>
      </c>
      <c r="I610">
        <v>2025</v>
      </c>
      <c r="J610" t="s">
        <v>2180</v>
      </c>
      <c r="K610" t="s">
        <v>2233</v>
      </c>
    </row>
    <row r="611" spans="1:11" x14ac:dyDescent="0.2">
      <c r="A611" t="s">
        <v>2234</v>
      </c>
      <c r="B611" t="s">
        <v>2235</v>
      </c>
      <c r="C611">
        <v>1.98</v>
      </c>
      <c r="D611" t="s">
        <v>20</v>
      </c>
      <c r="E611" s="6">
        <v>38828</v>
      </c>
      <c r="F611" s="6">
        <v>38829</v>
      </c>
      <c r="G611" s="6">
        <v>38829</v>
      </c>
      <c r="I611">
        <v>2005</v>
      </c>
      <c r="J611" t="s">
        <v>2175</v>
      </c>
      <c r="K611" t="s">
        <v>2236</v>
      </c>
    </row>
    <row r="612" spans="1:11" x14ac:dyDescent="0.2">
      <c r="A612" t="s">
        <v>2234</v>
      </c>
      <c r="B612" t="s">
        <v>2235</v>
      </c>
      <c r="C612">
        <v>1.94</v>
      </c>
      <c r="D612" t="s">
        <v>20</v>
      </c>
      <c r="E612" s="6">
        <v>39198</v>
      </c>
      <c r="F612" s="6">
        <v>39199</v>
      </c>
      <c r="G612" s="6">
        <v>39199</v>
      </c>
      <c r="I612">
        <v>2006</v>
      </c>
      <c r="J612" t="s">
        <v>2175</v>
      </c>
      <c r="K612" t="s">
        <v>2236</v>
      </c>
    </row>
    <row r="613" spans="1:11" x14ac:dyDescent="0.2">
      <c r="A613" t="s">
        <v>2234</v>
      </c>
      <c r="B613" t="s">
        <v>2235</v>
      </c>
      <c r="C613">
        <v>1.25</v>
      </c>
      <c r="D613" t="s">
        <v>20</v>
      </c>
      <c r="E613" s="6">
        <v>39379</v>
      </c>
      <c r="F613" s="6">
        <v>39380</v>
      </c>
      <c r="G613" s="6">
        <v>39380</v>
      </c>
      <c r="I613">
        <v>2007</v>
      </c>
      <c r="J613" t="s">
        <v>2180</v>
      </c>
      <c r="K613" t="s">
        <v>2236</v>
      </c>
    </row>
    <row r="614" spans="1:11" x14ac:dyDescent="0.2">
      <c r="A614" t="s">
        <v>2234</v>
      </c>
      <c r="B614" t="s">
        <v>2235</v>
      </c>
      <c r="C614">
        <v>3.75</v>
      </c>
      <c r="D614" t="s">
        <v>20</v>
      </c>
      <c r="E614" s="6">
        <v>39561</v>
      </c>
      <c r="F614" s="6">
        <v>39562</v>
      </c>
      <c r="G614" s="6">
        <v>39562</v>
      </c>
      <c r="I614">
        <v>2007</v>
      </c>
      <c r="J614" t="s">
        <v>2175</v>
      </c>
      <c r="K614" t="s">
        <v>2236</v>
      </c>
    </row>
    <row r="615" spans="1:11" x14ac:dyDescent="0.2">
      <c r="A615" t="s">
        <v>2234</v>
      </c>
      <c r="B615" t="s">
        <v>2235</v>
      </c>
      <c r="C615">
        <v>1.5</v>
      </c>
      <c r="D615" t="s">
        <v>20</v>
      </c>
      <c r="E615" s="6">
        <v>39765</v>
      </c>
      <c r="F615" s="6">
        <v>39766</v>
      </c>
      <c r="G615" s="6">
        <v>39766</v>
      </c>
      <c r="I615">
        <v>2008</v>
      </c>
      <c r="J615" t="s">
        <v>2180</v>
      </c>
      <c r="K615" t="s">
        <v>2236</v>
      </c>
    </row>
    <row r="616" spans="1:11" x14ac:dyDescent="0.2">
      <c r="A616" t="s">
        <v>2234</v>
      </c>
      <c r="B616" t="s">
        <v>2235</v>
      </c>
      <c r="C616">
        <v>5</v>
      </c>
      <c r="D616" t="s">
        <v>20</v>
      </c>
      <c r="E616" s="6">
        <v>40736</v>
      </c>
      <c r="F616" s="6">
        <v>40737</v>
      </c>
      <c r="G616" s="6">
        <v>40737</v>
      </c>
      <c r="I616">
        <v>2011</v>
      </c>
      <c r="J616" t="s">
        <v>2177</v>
      </c>
      <c r="K616" t="s">
        <v>2236</v>
      </c>
    </row>
    <row r="617" spans="1:11" x14ac:dyDescent="0.2">
      <c r="A617" t="s">
        <v>2234</v>
      </c>
      <c r="B617" t="s">
        <v>2235</v>
      </c>
      <c r="C617">
        <v>2.5</v>
      </c>
      <c r="D617" t="s">
        <v>20</v>
      </c>
      <c r="E617" s="6">
        <v>43754</v>
      </c>
      <c r="F617" s="6">
        <v>43755</v>
      </c>
      <c r="G617" s="6">
        <v>43758</v>
      </c>
      <c r="I617">
        <v>2019</v>
      </c>
      <c r="J617" t="s">
        <v>2177</v>
      </c>
      <c r="K617" t="s">
        <v>2236</v>
      </c>
    </row>
    <row r="618" spans="1:11" x14ac:dyDescent="0.2">
      <c r="A618" t="s">
        <v>2234</v>
      </c>
      <c r="B618" t="s">
        <v>2235</v>
      </c>
      <c r="C618">
        <v>2.83</v>
      </c>
      <c r="D618" t="s">
        <v>20</v>
      </c>
      <c r="E618" s="6">
        <v>43986</v>
      </c>
      <c r="F618" s="6">
        <v>43987</v>
      </c>
      <c r="G618" s="6">
        <v>43990</v>
      </c>
      <c r="I618">
        <v>2019</v>
      </c>
      <c r="J618" t="s">
        <v>2175</v>
      </c>
      <c r="K618" t="s">
        <v>2236</v>
      </c>
    </row>
    <row r="619" spans="1:11" x14ac:dyDescent="0.2">
      <c r="A619" t="s">
        <v>2234</v>
      </c>
      <c r="B619" t="s">
        <v>2235</v>
      </c>
      <c r="C619">
        <v>2.7</v>
      </c>
      <c r="D619" t="s">
        <v>20</v>
      </c>
      <c r="E619" s="6">
        <v>44117</v>
      </c>
      <c r="F619" s="6">
        <v>44118</v>
      </c>
      <c r="G619" s="6">
        <v>44119</v>
      </c>
      <c r="I619">
        <v>2020</v>
      </c>
      <c r="J619" t="s">
        <v>2177</v>
      </c>
      <c r="K619" t="s">
        <v>2236</v>
      </c>
    </row>
    <row r="620" spans="1:11" x14ac:dyDescent="0.2">
      <c r="A620" t="s">
        <v>2234</v>
      </c>
      <c r="B620" t="s">
        <v>2235</v>
      </c>
      <c r="C620">
        <v>5.7</v>
      </c>
      <c r="D620" t="s">
        <v>20</v>
      </c>
      <c r="E620" s="6">
        <v>44350</v>
      </c>
      <c r="F620" s="6">
        <v>44351</v>
      </c>
      <c r="G620" s="6">
        <v>44354</v>
      </c>
      <c r="I620">
        <v>2020</v>
      </c>
      <c r="J620" t="s">
        <v>2175</v>
      </c>
      <c r="K620" t="s">
        <v>2236</v>
      </c>
    </row>
    <row r="621" spans="1:11" x14ac:dyDescent="0.2">
      <c r="A621" t="s">
        <v>2234</v>
      </c>
      <c r="B621" t="s">
        <v>2235</v>
      </c>
      <c r="C621">
        <v>23</v>
      </c>
      <c r="D621" t="s">
        <v>20</v>
      </c>
      <c r="E621" s="6">
        <v>44469</v>
      </c>
      <c r="F621" s="6">
        <v>44470</v>
      </c>
      <c r="G621" s="6">
        <v>44473</v>
      </c>
      <c r="H621" s="6">
        <v>44510</v>
      </c>
      <c r="I621">
        <v>2021</v>
      </c>
      <c r="J621" t="s">
        <v>2177</v>
      </c>
      <c r="K621" t="s">
        <v>2236</v>
      </c>
    </row>
    <row r="622" spans="1:11" x14ac:dyDescent="0.2">
      <c r="A622" t="s">
        <v>2234</v>
      </c>
      <c r="B622" t="s">
        <v>2235</v>
      </c>
      <c r="C622">
        <v>28</v>
      </c>
      <c r="D622" t="s">
        <v>20</v>
      </c>
      <c r="E622" s="6">
        <v>44575</v>
      </c>
      <c r="F622" s="6">
        <v>44578</v>
      </c>
      <c r="G622" s="6">
        <v>44579</v>
      </c>
      <c r="H622" s="6">
        <v>44614</v>
      </c>
      <c r="I622">
        <v>2021</v>
      </c>
      <c r="J622" t="s">
        <v>2180</v>
      </c>
      <c r="K622" t="s">
        <v>2236</v>
      </c>
    </row>
    <row r="623" spans="1:11" x14ac:dyDescent="0.2">
      <c r="A623" t="s">
        <v>2237</v>
      </c>
      <c r="B623" t="s">
        <v>2238</v>
      </c>
      <c r="C623">
        <f>0.0165*'USD RUB'!F13</f>
        <v>1.0106277428571429</v>
      </c>
      <c r="D623" s="8" t="s">
        <v>111</v>
      </c>
      <c r="E623" s="6">
        <v>42303</v>
      </c>
      <c r="F623" s="6">
        <v>42304</v>
      </c>
      <c r="G623" s="6">
        <v>42305</v>
      </c>
      <c r="I623">
        <v>2015</v>
      </c>
      <c r="J623" t="s">
        <v>2177</v>
      </c>
      <c r="K623" t="s">
        <v>2239</v>
      </c>
    </row>
    <row r="624" spans="1:11" x14ac:dyDescent="0.2">
      <c r="A624" t="s">
        <v>2237</v>
      </c>
      <c r="B624" t="s">
        <v>2238</v>
      </c>
      <c r="C624">
        <f>0.0165*'USD RUB'!F12</f>
        <v>1.106397126063829</v>
      </c>
      <c r="D624" s="8" t="s">
        <v>111</v>
      </c>
      <c r="E624" s="6">
        <v>42641</v>
      </c>
      <c r="F624" s="6">
        <v>42642</v>
      </c>
      <c r="G624" s="6">
        <v>42643</v>
      </c>
      <c r="I624">
        <v>2016</v>
      </c>
      <c r="J624" t="s">
        <v>2177</v>
      </c>
      <c r="K624" t="s">
        <v>2239</v>
      </c>
    </row>
    <row r="625" spans="1:11" x14ac:dyDescent="0.2">
      <c r="A625" t="s">
        <v>2237</v>
      </c>
      <c r="B625" t="s">
        <v>2238</v>
      </c>
      <c r="C625">
        <f>0.0197*'USD RUB'!F11</f>
        <v>1.1487631482508245</v>
      </c>
      <c r="D625" s="8" t="s">
        <v>111</v>
      </c>
      <c r="E625" s="6">
        <v>42983</v>
      </c>
      <c r="F625" s="6">
        <v>42984</v>
      </c>
      <c r="G625" s="6">
        <v>42985</v>
      </c>
      <c r="I625">
        <v>2017</v>
      </c>
      <c r="J625" t="s">
        <v>2177</v>
      </c>
      <c r="K625" t="s">
        <v>2239</v>
      </c>
    </row>
    <row r="626" spans="1:11" x14ac:dyDescent="0.2">
      <c r="A626" t="s">
        <v>2237</v>
      </c>
      <c r="B626" t="s">
        <v>2238</v>
      </c>
      <c r="C626">
        <v>0.02</v>
      </c>
      <c r="D626" t="s">
        <v>111</v>
      </c>
      <c r="E626" s="6">
        <v>44852</v>
      </c>
      <c r="F626" s="6">
        <v>44853</v>
      </c>
      <c r="G626" s="6">
        <v>44854</v>
      </c>
      <c r="H626" s="6">
        <v>44890</v>
      </c>
      <c r="I626">
        <v>2022</v>
      </c>
      <c r="J626" t="s">
        <v>2177</v>
      </c>
      <c r="K626" t="s">
        <v>2239</v>
      </c>
    </row>
    <row r="627" spans="1:11" x14ac:dyDescent="0.2">
      <c r="A627" t="s">
        <v>2240</v>
      </c>
      <c r="B627" t="s">
        <v>2232</v>
      </c>
      <c r="C627">
        <v>0.15</v>
      </c>
      <c r="D627" t="s">
        <v>20</v>
      </c>
      <c r="E627" s="6">
        <v>41018</v>
      </c>
      <c r="F627" s="6">
        <v>41019</v>
      </c>
      <c r="G627" s="6">
        <v>41020</v>
      </c>
      <c r="I627">
        <v>2011</v>
      </c>
      <c r="J627" t="s">
        <v>2175</v>
      </c>
      <c r="K627" t="s">
        <v>2241</v>
      </c>
    </row>
    <row r="628" spans="1:11" x14ac:dyDescent="0.2">
      <c r="A628" t="s">
        <v>2240</v>
      </c>
      <c r="B628" t="s">
        <v>2232</v>
      </c>
      <c r="C628">
        <v>0.78</v>
      </c>
      <c r="D628" t="s">
        <v>20</v>
      </c>
      <c r="E628" s="6">
        <v>43819</v>
      </c>
      <c r="F628" s="6">
        <v>43822</v>
      </c>
      <c r="G628" s="6">
        <v>43823</v>
      </c>
      <c r="I628">
        <v>2019</v>
      </c>
      <c r="J628" t="s">
        <v>2180</v>
      </c>
      <c r="K628" t="s">
        <v>2241</v>
      </c>
    </row>
    <row r="629" spans="1:11" x14ac:dyDescent="0.2">
      <c r="A629" t="s">
        <v>2240</v>
      </c>
      <c r="B629" t="s">
        <v>2232</v>
      </c>
      <c r="C629">
        <v>1.42</v>
      </c>
      <c r="D629" t="s">
        <v>20</v>
      </c>
      <c r="E629" s="6">
        <v>44006</v>
      </c>
      <c r="F629" s="6">
        <v>44007</v>
      </c>
      <c r="G629" s="6">
        <v>44008</v>
      </c>
      <c r="I629">
        <v>2019</v>
      </c>
      <c r="J629" t="s">
        <v>2175</v>
      </c>
      <c r="K629" t="s">
        <v>2241</v>
      </c>
    </row>
    <row r="630" spans="1:11" x14ac:dyDescent="0.2">
      <c r="A630" t="s">
        <v>2240</v>
      </c>
      <c r="B630" t="s">
        <v>2232</v>
      </c>
      <c r="C630">
        <v>2.5499999999999998</v>
      </c>
      <c r="D630" t="s">
        <v>20</v>
      </c>
      <c r="E630" s="6">
        <v>44161</v>
      </c>
      <c r="F630" s="6">
        <v>44162</v>
      </c>
      <c r="G630" s="6">
        <v>44165</v>
      </c>
      <c r="I630">
        <v>2020</v>
      </c>
      <c r="J630" t="s">
        <v>2180</v>
      </c>
      <c r="K630" t="s">
        <v>2241</v>
      </c>
    </row>
    <row r="631" spans="1:11" x14ac:dyDescent="0.2">
      <c r="A631" t="s">
        <v>2240</v>
      </c>
      <c r="B631" t="s">
        <v>2232</v>
      </c>
      <c r="C631">
        <v>1.95</v>
      </c>
      <c r="D631" t="s">
        <v>20</v>
      </c>
      <c r="E631" s="6">
        <v>44370</v>
      </c>
      <c r="F631" s="6">
        <v>44371</v>
      </c>
      <c r="G631" s="6">
        <v>44372</v>
      </c>
      <c r="I631">
        <v>2020</v>
      </c>
      <c r="J631" t="s">
        <v>2175</v>
      </c>
      <c r="K631" t="s">
        <v>2241</v>
      </c>
    </row>
    <row r="632" spans="1:11" x14ac:dyDescent="0.2">
      <c r="A632" t="s">
        <v>2240</v>
      </c>
      <c r="B632" t="s">
        <v>2232</v>
      </c>
      <c r="C632">
        <v>4.5</v>
      </c>
      <c r="D632" t="s">
        <v>20</v>
      </c>
      <c r="E632" s="6">
        <v>44729</v>
      </c>
      <c r="F632" s="6">
        <v>44732</v>
      </c>
      <c r="G632" s="6">
        <v>44733</v>
      </c>
      <c r="H632" s="6">
        <v>44768</v>
      </c>
      <c r="I632">
        <v>2021</v>
      </c>
      <c r="J632" t="s">
        <v>2175</v>
      </c>
      <c r="K632" t="s">
        <v>2241</v>
      </c>
    </row>
    <row r="633" spans="1:11" x14ac:dyDescent="0.2">
      <c r="A633" t="s">
        <v>2240</v>
      </c>
      <c r="B633" t="s">
        <v>2232</v>
      </c>
      <c r="C633">
        <v>2</v>
      </c>
      <c r="D633" t="s">
        <v>20</v>
      </c>
      <c r="E633" s="6">
        <v>45261</v>
      </c>
      <c r="F633" s="6">
        <v>45264</v>
      </c>
      <c r="G633" s="6">
        <v>45263</v>
      </c>
      <c r="H633" s="6">
        <v>45306</v>
      </c>
      <c r="I633">
        <v>2023</v>
      </c>
      <c r="J633" t="s">
        <v>2180</v>
      </c>
      <c r="K633" t="s">
        <v>2241</v>
      </c>
    </row>
    <row r="634" spans="1:11" x14ac:dyDescent="0.2">
      <c r="A634" t="s">
        <v>2240</v>
      </c>
      <c r="B634" t="s">
        <v>2232</v>
      </c>
      <c r="C634">
        <v>2</v>
      </c>
      <c r="D634" t="s">
        <v>20</v>
      </c>
      <c r="E634" s="6">
        <v>45456</v>
      </c>
      <c r="F634" s="6">
        <v>45457</v>
      </c>
      <c r="G634" s="6">
        <v>45458</v>
      </c>
      <c r="I634">
        <v>2023</v>
      </c>
      <c r="J634" t="s">
        <v>2175</v>
      </c>
      <c r="K634" t="s">
        <v>2241</v>
      </c>
    </row>
    <row r="635" spans="1:11" x14ac:dyDescent="0.2">
      <c r="A635" t="s">
        <v>2240</v>
      </c>
      <c r="B635" t="s">
        <v>2232</v>
      </c>
      <c r="C635">
        <v>4</v>
      </c>
      <c r="D635" t="s">
        <v>20</v>
      </c>
      <c r="E635" s="6">
        <v>45575</v>
      </c>
      <c r="F635" s="6">
        <v>45576</v>
      </c>
      <c r="G635" s="6">
        <v>45576</v>
      </c>
      <c r="H635" s="6">
        <v>45611</v>
      </c>
      <c r="I635">
        <v>2024</v>
      </c>
      <c r="J635" t="s">
        <v>2177</v>
      </c>
      <c r="K635" t="s">
        <v>2241</v>
      </c>
    </row>
    <row r="636" spans="1:11" x14ac:dyDescent="0.2">
      <c r="A636" t="s">
        <v>2242</v>
      </c>
      <c r="B636" t="s">
        <v>2222</v>
      </c>
      <c r="C636">
        <v>0.54</v>
      </c>
      <c r="D636" t="s">
        <v>20</v>
      </c>
      <c r="E636" s="6">
        <v>38849</v>
      </c>
      <c r="F636" s="6">
        <v>38850</v>
      </c>
      <c r="G636" s="6">
        <v>38852</v>
      </c>
      <c r="I636">
        <v>2005</v>
      </c>
      <c r="J636" t="s">
        <v>2175</v>
      </c>
      <c r="K636" t="s">
        <v>2243</v>
      </c>
    </row>
    <row r="637" spans="1:11" x14ac:dyDescent="0.2">
      <c r="A637" t="s">
        <v>2242</v>
      </c>
      <c r="B637" t="s">
        <v>2222</v>
      </c>
      <c r="C637">
        <v>4.3</v>
      </c>
      <c r="D637" t="s">
        <v>20</v>
      </c>
      <c r="E637" s="6">
        <v>39220</v>
      </c>
      <c r="F637" s="6">
        <v>39221</v>
      </c>
      <c r="G637" s="6">
        <v>39223</v>
      </c>
      <c r="I637">
        <v>2006</v>
      </c>
      <c r="J637" t="s">
        <v>2175</v>
      </c>
      <c r="K637" t="s">
        <v>2243</v>
      </c>
    </row>
    <row r="638" spans="1:11" x14ac:dyDescent="0.2">
      <c r="A638" t="s">
        <v>2242</v>
      </c>
      <c r="B638" t="s">
        <v>2222</v>
      </c>
      <c r="C638">
        <v>3.63</v>
      </c>
      <c r="D638" t="s">
        <v>20</v>
      </c>
      <c r="E638" s="6">
        <v>39393</v>
      </c>
      <c r="F638" s="6">
        <v>39394</v>
      </c>
      <c r="G638" s="6">
        <v>39394</v>
      </c>
      <c r="I638">
        <v>2007</v>
      </c>
      <c r="J638" t="s">
        <v>2180</v>
      </c>
      <c r="K638" t="s">
        <v>2243</v>
      </c>
    </row>
    <row r="639" spans="1:11" x14ac:dyDescent="0.2">
      <c r="A639" t="s">
        <v>2242</v>
      </c>
      <c r="B639" t="s">
        <v>2222</v>
      </c>
      <c r="C639">
        <v>1.03</v>
      </c>
      <c r="D639" t="s">
        <v>20</v>
      </c>
      <c r="E639" s="6">
        <v>39581</v>
      </c>
      <c r="F639" s="6">
        <v>39582</v>
      </c>
      <c r="G639" s="6">
        <v>39583</v>
      </c>
      <c r="I639">
        <v>2007</v>
      </c>
      <c r="J639" t="s">
        <v>2175</v>
      </c>
      <c r="K639" t="s">
        <v>2243</v>
      </c>
    </row>
    <row r="640" spans="1:11" x14ac:dyDescent="0.2">
      <c r="A640" t="s">
        <v>2242</v>
      </c>
      <c r="B640" t="s">
        <v>2222</v>
      </c>
      <c r="C640">
        <v>1.75</v>
      </c>
      <c r="D640" t="s">
        <v>20</v>
      </c>
      <c r="E640" s="6">
        <v>39722</v>
      </c>
      <c r="F640" s="6">
        <v>39723</v>
      </c>
      <c r="G640" s="6">
        <v>39724</v>
      </c>
      <c r="I640">
        <v>2008</v>
      </c>
      <c r="J640" t="s">
        <v>2180</v>
      </c>
      <c r="K640" t="s">
        <v>2243</v>
      </c>
    </row>
    <row r="641" spans="1:11" x14ac:dyDescent="0.2">
      <c r="A641" t="s">
        <v>2242</v>
      </c>
      <c r="B641" t="s">
        <v>2222</v>
      </c>
      <c r="C641">
        <v>0.85</v>
      </c>
      <c r="D641" t="s">
        <v>20</v>
      </c>
      <c r="E641" s="6">
        <v>40680</v>
      </c>
      <c r="F641" s="6">
        <v>40681</v>
      </c>
      <c r="G641" s="6">
        <v>40682</v>
      </c>
      <c r="I641">
        <v>2010</v>
      </c>
      <c r="J641" t="s">
        <v>2175</v>
      </c>
      <c r="K641" t="s">
        <v>2243</v>
      </c>
    </row>
    <row r="642" spans="1:11" x14ac:dyDescent="0.2">
      <c r="A642" t="s">
        <v>2242</v>
      </c>
      <c r="B642" t="s">
        <v>2222</v>
      </c>
      <c r="C642">
        <v>0.93</v>
      </c>
      <c r="D642" t="s">
        <v>20</v>
      </c>
      <c r="E642" s="6">
        <v>40815</v>
      </c>
      <c r="F642" s="6">
        <v>40816</v>
      </c>
      <c r="G642" s="6">
        <v>40819</v>
      </c>
      <c r="I642">
        <v>2011</v>
      </c>
      <c r="J642" t="s">
        <v>2177</v>
      </c>
      <c r="K642" t="s">
        <v>2243</v>
      </c>
    </row>
    <row r="643" spans="1:11" x14ac:dyDescent="0.2">
      <c r="A643" t="s">
        <v>2242</v>
      </c>
      <c r="B643" t="s">
        <v>2222</v>
      </c>
      <c r="C643">
        <v>2.7</v>
      </c>
      <c r="D643" t="s">
        <v>20</v>
      </c>
      <c r="E643" s="6">
        <v>41046</v>
      </c>
      <c r="F643" s="6">
        <v>41047</v>
      </c>
      <c r="G643" s="6">
        <v>41050</v>
      </c>
      <c r="I643">
        <v>2011</v>
      </c>
      <c r="J643" t="s">
        <v>2175</v>
      </c>
      <c r="K643" t="s">
        <v>2243</v>
      </c>
    </row>
    <row r="644" spans="1:11" x14ac:dyDescent="0.2">
      <c r="A644" t="s">
        <v>2242</v>
      </c>
      <c r="B644" t="s">
        <v>2222</v>
      </c>
      <c r="C644">
        <v>1.5</v>
      </c>
      <c r="D644" t="s">
        <v>20</v>
      </c>
      <c r="E644" s="6">
        <v>41177</v>
      </c>
      <c r="F644" s="6">
        <v>41178</v>
      </c>
      <c r="G644" s="6">
        <v>41179</v>
      </c>
      <c r="I644">
        <v>2012</v>
      </c>
      <c r="J644" t="s">
        <v>2177</v>
      </c>
      <c r="K644" t="s">
        <v>2243</v>
      </c>
    </row>
    <row r="645" spans="1:11" x14ac:dyDescent="0.2">
      <c r="A645" t="s">
        <v>2242</v>
      </c>
      <c r="B645" t="s">
        <v>2222</v>
      </c>
      <c r="C645">
        <v>0.84</v>
      </c>
      <c r="D645" t="s">
        <v>20</v>
      </c>
      <c r="E645" s="6">
        <v>41410</v>
      </c>
      <c r="F645" s="6">
        <v>41411</v>
      </c>
      <c r="G645" s="6">
        <v>41414</v>
      </c>
      <c r="I645">
        <v>2012</v>
      </c>
      <c r="J645" t="s">
        <v>2175</v>
      </c>
      <c r="K645" t="s">
        <v>2243</v>
      </c>
    </row>
    <row r="646" spans="1:11" x14ac:dyDescent="0.2">
      <c r="A646" t="s">
        <v>2242</v>
      </c>
      <c r="B646" t="s">
        <v>2222</v>
      </c>
      <c r="C646">
        <v>1.04</v>
      </c>
      <c r="D646" t="s">
        <v>20</v>
      </c>
      <c r="E646" s="6">
        <v>41549</v>
      </c>
      <c r="F646" s="6">
        <v>41550</v>
      </c>
      <c r="G646" s="6">
        <v>41551</v>
      </c>
      <c r="I646">
        <v>2013</v>
      </c>
      <c r="J646" t="s">
        <v>2177</v>
      </c>
      <c r="K646" t="s">
        <v>2243</v>
      </c>
    </row>
    <row r="647" spans="1:11" x14ac:dyDescent="0.2">
      <c r="A647" t="s">
        <v>2242</v>
      </c>
      <c r="B647" t="s">
        <v>2222</v>
      </c>
      <c r="C647">
        <v>0.78</v>
      </c>
      <c r="D647" t="s">
        <v>20</v>
      </c>
      <c r="E647" s="6">
        <v>41823</v>
      </c>
      <c r="F647" s="6">
        <v>41824</v>
      </c>
      <c r="G647" s="6">
        <v>41827</v>
      </c>
      <c r="I647">
        <v>2013</v>
      </c>
      <c r="J647" t="s">
        <v>2175</v>
      </c>
      <c r="K647" t="s">
        <v>2243</v>
      </c>
    </row>
    <row r="648" spans="1:11" x14ac:dyDescent="0.2">
      <c r="A648" t="s">
        <v>2242</v>
      </c>
      <c r="B648" t="s">
        <v>2222</v>
      </c>
      <c r="C648">
        <v>0.39</v>
      </c>
      <c r="D648" t="s">
        <v>20</v>
      </c>
      <c r="E648" s="6">
        <v>42012</v>
      </c>
      <c r="F648" s="6">
        <v>42013</v>
      </c>
      <c r="G648" s="6">
        <v>42016</v>
      </c>
      <c r="I648">
        <v>2014</v>
      </c>
      <c r="J648" t="s">
        <v>2177</v>
      </c>
      <c r="K648" t="s">
        <v>2243</v>
      </c>
    </row>
    <row r="649" spans="1:11" x14ac:dyDescent="0.2">
      <c r="A649" t="s">
        <v>2242</v>
      </c>
      <c r="B649" t="s">
        <v>2222</v>
      </c>
      <c r="C649">
        <v>2.42</v>
      </c>
      <c r="D649" t="s">
        <v>20</v>
      </c>
      <c r="E649" s="6">
        <v>42298</v>
      </c>
      <c r="F649" s="6">
        <v>42299</v>
      </c>
      <c r="G649" s="6">
        <v>42300</v>
      </c>
      <c r="I649">
        <v>2015</v>
      </c>
      <c r="J649" t="s">
        <v>2177</v>
      </c>
      <c r="K649" t="s">
        <v>2243</v>
      </c>
    </row>
    <row r="650" spans="1:11" x14ac:dyDescent="0.2">
      <c r="A650" t="s">
        <v>2242</v>
      </c>
      <c r="B650" t="s">
        <v>2222</v>
      </c>
      <c r="C650">
        <v>1.94</v>
      </c>
      <c r="D650" t="s">
        <v>20</v>
      </c>
      <c r="E650" s="6">
        <v>42649</v>
      </c>
      <c r="F650" s="6">
        <v>42650</v>
      </c>
      <c r="G650" s="6">
        <v>42653</v>
      </c>
      <c r="I650">
        <v>2016</v>
      </c>
      <c r="J650" t="s">
        <v>2177</v>
      </c>
      <c r="K650" t="s">
        <v>2243</v>
      </c>
    </row>
    <row r="651" spans="1:11" x14ac:dyDescent="0.2">
      <c r="A651" t="s">
        <v>2242</v>
      </c>
      <c r="B651" t="s">
        <v>2222</v>
      </c>
      <c r="C651">
        <v>1.96</v>
      </c>
      <c r="D651" t="s">
        <v>20</v>
      </c>
      <c r="E651" s="6">
        <v>42902</v>
      </c>
      <c r="F651" s="6">
        <v>42905</v>
      </c>
      <c r="G651" s="6">
        <v>42906</v>
      </c>
      <c r="I651">
        <v>2016</v>
      </c>
      <c r="J651" t="s">
        <v>2175</v>
      </c>
      <c r="K651" t="s">
        <v>2243</v>
      </c>
    </row>
    <row r="652" spans="1:11" x14ac:dyDescent="0.2">
      <c r="A652" t="s">
        <v>2242</v>
      </c>
      <c r="B652" t="s">
        <v>2222</v>
      </c>
      <c r="C652">
        <v>2.2799999999999998</v>
      </c>
      <c r="D652" t="s">
        <v>20</v>
      </c>
      <c r="E652" s="6">
        <v>43279</v>
      </c>
      <c r="F652" s="6">
        <v>43280</v>
      </c>
      <c r="G652" s="6">
        <v>43283</v>
      </c>
      <c r="I652">
        <v>2017</v>
      </c>
      <c r="J652" t="s">
        <v>2175</v>
      </c>
      <c r="K652" t="s">
        <v>2243</v>
      </c>
    </row>
    <row r="653" spans="1:11" x14ac:dyDescent="0.2">
      <c r="A653" t="s">
        <v>2242</v>
      </c>
      <c r="B653" t="s">
        <v>2222</v>
      </c>
      <c r="C653">
        <v>2.5499999999999998</v>
      </c>
      <c r="D653" t="s">
        <v>20</v>
      </c>
      <c r="E653" s="6">
        <v>43662</v>
      </c>
      <c r="F653" s="6">
        <v>43663</v>
      </c>
      <c r="G653" s="6">
        <v>43664</v>
      </c>
      <c r="I653">
        <v>2019</v>
      </c>
      <c r="J653" t="s">
        <v>2195</v>
      </c>
      <c r="K653" t="s">
        <v>2243</v>
      </c>
    </row>
    <row r="654" spans="1:11" x14ac:dyDescent="0.2">
      <c r="A654" t="s">
        <v>2242</v>
      </c>
      <c r="B654" t="s">
        <v>2222</v>
      </c>
      <c r="C654">
        <v>3</v>
      </c>
      <c r="D654" t="s">
        <v>20</v>
      </c>
      <c r="E654" s="6">
        <v>44168</v>
      </c>
      <c r="F654" s="6">
        <v>44169</v>
      </c>
      <c r="G654" s="6">
        <v>44172</v>
      </c>
      <c r="I654">
        <v>2020</v>
      </c>
      <c r="J654" t="s">
        <v>2177</v>
      </c>
      <c r="K654" t="s">
        <v>2243</v>
      </c>
    </row>
    <row r="655" spans="1:11" x14ac:dyDescent="0.2">
      <c r="A655" t="s">
        <v>2242</v>
      </c>
      <c r="B655" t="s">
        <v>2222</v>
      </c>
      <c r="C655">
        <v>9.67</v>
      </c>
      <c r="D655" t="s">
        <v>20</v>
      </c>
      <c r="E655" s="6">
        <v>44308</v>
      </c>
      <c r="F655" s="6">
        <v>44309</v>
      </c>
      <c r="G655" s="6">
        <v>44312</v>
      </c>
      <c r="I655">
        <v>2020</v>
      </c>
      <c r="J655" t="s">
        <v>2175</v>
      </c>
      <c r="K655" t="s">
        <v>2243</v>
      </c>
    </row>
    <row r="656" spans="1:11" x14ac:dyDescent="0.2">
      <c r="A656" t="s">
        <v>2242</v>
      </c>
      <c r="B656" t="s">
        <v>2222</v>
      </c>
      <c r="C656">
        <v>17.71</v>
      </c>
      <c r="D656" t="s">
        <v>20</v>
      </c>
      <c r="E656" s="6">
        <v>44454</v>
      </c>
      <c r="F656" s="6">
        <v>44455</v>
      </c>
      <c r="G656" s="6">
        <v>44456</v>
      </c>
      <c r="H656" s="6">
        <v>44491</v>
      </c>
      <c r="I656">
        <v>2021</v>
      </c>
      <c r="J656" t="s">
        <v>2177</v>
      </c>
      <c r="K656" t="s">
        <v>2243</v>
      </c>
    </row>
    <row r="657" spans="1:11" x14ac:dyDescent="0.2">
      <c r="A657" t="s">
        <v>2242</v>
      </c>
      <c r="B657" t="s">
        <v>2222</v>
      </c>
      <c r="C657">
        <v>0.82</v>
      </c>
      <c r="D657" t="s">
        <v>20</v>
      </c>
      <c r="E657" s="6">
        <v>44706</v>
      </c>
      <c r="F657" s="6">
        <v>44707</v>
      </c>
      <c r="G657" s="6">
        <v>44708</v>
      </c>
      <c r="H657" s="6">
        <v>44746</v>
      </c>
      <c r="I657">
        <v>2022</v>
      </c>
      <c r="J657" t="s">
        <v>2175</v>
      </c>
      <c r="K657" t="s">
        <v>2243</v>
      </c>
    </row>
    <row r="658" spans="1:11" x14ac:dyDescent="0.2">
      <c r="A658" t="s">
        <v>2242</v>
      </c>
      <c r="B658" t="s">
        <v>2222</v>
      </c>
      <c r="C658">
        <v>9.68</v>
      </c>
      <c r="D658" t="s">
        <v>20</v>
      </c>
      <c r="E658" s="6">
        <v>44811</v>
      </c>
      <c r="F658" s="6">
        <v>44812</v>
      </c>
      <c r="G658" s="6">
        <v>44813</v>
      </c>
      <c r="H658" s="6">
        <v>44848</v>
      </c>
      <c r="I658">
        <v>2022</v>
      </c>
      <c r="J658" t="s">
        <v>2177</v>
      </c>
      <c r="K658" t="s">
        <v>2243</v>
      </c>
    </row>
    <row r="659" spans="1:11" x14ac:dyDescent="0.2">
      <c r="A659" t="s">
        <v>2242</v>
      </c>
      <c r="B659" t="s">
        <v>2222</v>
      </c>
      <c r="C659">
        <v>6.78</v>
      </c>
      <c r="D659" t="s">
        <v>20</v>
      </c>
      <c r="E659" s="6">
        <v>44953</v>
      </c>
      <c r="F659" s="6">
        <v>44956</v>
      </c>
      <c r="G659" s="6">
        <v>44957</v>
      </c>
      <c r="H659" s="6">
        <v>44995</v>
      </c>
      <c r="I659">
        <v>2022</v>
      </c>
      <c r="J659" t="s">
        <v>2180</v>
      </c>
      <c r="K659" t="s">
        <v>2243</v>
      </c>
    </row>
    <row r="660" spans="1:11" x14ac:dyDescent="0.2">
      <c r="A660" t="s">
        <v>2242</v>
      </c>
      <c r="B660" t="s">
        <v>2222</v>
      </c>
      <c r="C660">
        <v>13.45</v>
      </c>
      <c r="D660" t="s">
        <v>20</v>
      </c>
      <c r="E660" s="6">
        <v>45173</v>
      </c>
      <c r="F660" s="6">
        <v>45174</v>
      </c>
      <c r="G660" s="6">
        <v>45174</v>
      </c>
      <c r="H660" s="6">
        <v>45209</v>
      </c>
      <c r="I660">
        <v>2023</v>
      </c>
      <c r="J660" t="s">
        <v>2177</v>
      </c>
      <c r="K660" t="s">
        <v>2243</v>
      </c>
    </row>
    <row r="661" spans="1:11" x14ac:dyDescent="0.2">
      <c r="A661" t="s">
        <v>2242</v>
      </c>
      <c r="B661" t="s">
        <v>2222</v>
      </c>
      <c r="C661">
        <v>9.51</v>
      </c>
      <c r="D661" t="s">
        <v>20</v>
      </c>
      <c r="E661" s="6">
        <v>45446</v>
      </c>
      <c r="F661" s="6">
        <v>45447</v>
      </c>
      <c r="G661" s="6">
        <v>45447</v>
      </c>
      <c r="H661" s="6">
        <v>45483</v>
      </c>
      <c r="I661">
        <v>2023</v>
      </c>
      <c r="J661" t="s">
        <v>2175</v>
      </c>
      <c r="K661" t="s">
        <v>2243</v>
      </c>
    </row>
    <row r="662" spans="1:11" x14ac:dyDescent="0.2">
      <c r="A662" t="s">
        <v>2244</v>
      </c>
      <c r="B662" t="s">
        <v>2245</v>
      </c>
      <c r="C662">
        <v>231.74</v>
      </c>
      <c r="D662" t="s">
        <v>20</v>
      </c>
      <c r="E662" s="6">
        <v>39213</v>
      </c>
      <c r="F662" s="6">
        <v>39214</v>
      </c>
      <c r="G662" s="6">
        <v>39216</v>
      </c>
      <c r="I662">
        <v>2006</v>
      </c>
      <c r="J662" t="s">
        <v>2175</v>
      </c>
      <c r="K662" t="s">
        <v>2246</v>
      </c>
    </row>
    <row r="663" spans="1:11" x14ac:dyDescent="0.2">
      <c r="A663" t="s">
        <v>2244</v>
      </c>
      <c r="B663" t="s">
        <v>2245</v>
      </c>
      <c r="C663">
        <v>188.97</v>
      </c>
      <c r="D663" t="s">
        <v>20</v>
      </c>
      <c r="E663" s="6">
        <v>39572</v>
      </c>
      <c r="F663" s="6">
        <v>39573</v>
      </c>
      <c r="G663" s="6">
        <v>39573</v>
      </c>
      <c r="I663">
        <v>2007</v>
      </c>
      <c r="J663" t="s">
        <v>2175</v>
      </c>
      <c r="K663" t="s">
        <v>2246</v>
      </c>
    </row>
    <row r="664" spans="1:11" x14ac:dyDescent="0.2">
      <c r="A664" t="s">
        <v>2244</v>
      </c>
      <c r="B664" t="s">
        <v>2245</v>
      </c>
      <c r="C664">
        <v>5</v>
      </c>
      <c r="D664" t="s">
        <v>20</v>
      </c>
      <c r="E664" s="6">
        <v>44083</v>
      </c>
      <c r="F664" s="6">
        <v>44084</v>
      </c>
      <c r="G664" s="6">
        <v>44085</v>
      </c>
      <c r="I664">
        <v>2020</v>
      </c>
      <c r="J664" t="s">
        <v>2177</v>
      </c>
      <c r="K664" t="s">
        <v>2246</v>
      </c>
    </row>
    <row r="665" spans="1:11" x14ac:dyDescent="0.2">
      <c r="A665" t="s">
        <v>2244</v>
      </c>
      <c r="B665" t="s">
        <v>2245</v>
      </c>
      <c r="C665">
        <v>5</v>
      </c>
      <c r="D665" t="s">
        <v>20</v>
      </c>
      <c r="E665" s="6">
        <v>44385</v>
      </c>
      <c r="F665" s="6">
        <v>44386</v>
      </c>
      <c r="G665" s="6">
        <v>44388</v>
      </c>
      <c r="I665">
        <v>2020</v>
      </c>
      <c r="J665" t="s">
        <v>2175</v>
      </c>
      <c r="K665" t="s">
        <v>2246</v>
      </c>
    </row>
    <row r="666" spans="1:11" x14ac:dyDescent="0.2">
      <c r="A666" t="s">
        <v>2244</v>
      </c>
      <c r="B666" t="s">
        <v>2245</v>
      </c>
      <c r="C666">
        <v>4</v>
      </c>
      <c r="D666" t="s">
        <v>20</v>
      </c>
      <c r="E666" s="6">
        <v>44386</v>
      </c>
      <c r="F666" s="6">
        <v>44389</v>
      </c>
      <c r="G666" s="6">
        <v>44388</v>
      </c>
      <c r="I666">
        <v>2021</v>
      </c>
      <c r="J666" t="s">
        <v>2195</v>
      </c>
      <c r="K666" t="s">
        <v>2246</v>
      </c>
    </row>
    <row r="667" spans="1:11" x14ac:dyDescent="0.2">
      <c r="A667" t="s">
        <v>2244</v>
      </c>
      <c r="B667" t="s">
        <v>2245</v>
      </c>
      <c r="C667">
        <v>4</v>
      </c>
      <c r="D667" t="s">
        <v>20</v>
      </c>
      <c r="E667" s="6">
        <v>44456</v>
      </c>
      <c r="F667" s="6">
        <v>44459</v>
      </c>
      <c r="G667" s="6">
        <v>44460</v>
      </c>
      <c r="H667" s="6">
        <v>44495</v>
      </c>
      <c r="I667">
        <v>2021</v>
      </c>
      <c r="J667" t="s">
        <v>2177</v>
      </c>
      <c r="K667" t="s">
        <v>2246</v>
      </c>
    </row>
    <row r="668" spans="1:11" x14ac:dyDescent="0.2">
      <c r="A668" t="s">
        <v>2244</v>
      </c>
      <c r="B668" t="s">
        <v>2245</v>
      </c>
      <c r="C668">
        <v>4</v>
      </c>
      <c r="D668" t="s">
        <v>20</v>
      </c>
      <c r="E668" s="6">
        <v>44546</v>
      </c>
      <c r="F668" s="6">
        <v>44547</v>
      </c>
      <c r="G668" s="6">
        <v>44550</v>
      </c>
      <c r="H668" s="6">
        <v>44593</v>
      </c>
      <c r="I668">
        <v>2021</v>
      </c>
      <c r="J668" t="s">
        <v>2180</v>
      </c>
      <c r="K668" t="s">
        <v>2246</v>
      </c>
    </row>
    <row r="669" spans="1:11" x14ac:dyDescent="0.2">
      <c r="A669" t="s">
        <v>2244</v>
      </c>
      <c r="B669" t="s">
        <v>2245</v>
      </c>
      <c r="C669">
        <v>15</v>
      </c>
      <c r="D669" t="s">
        <v>20</v>
      </c>
      <c r="E669" s="6">
        <v>44812</v>
      </c>
      <c r="F669" s="6">
        <v>44813</v>
      </c>
      <c r="G669" s="6">
        <v>44815</v>
      </c>
      <c r="H669" s="6">
        <v>44848</v>
      </c>
      <c r="I669">
        <v>2022</v>
      </c>
      <c r="J669" t="s">
        <v>2177</v>
      </c>
      <c r="K669" t="s">
        <v>2246</v>
      </c>
    </row>
    <row r="670" spans="1:11" x14ac:dyDescent="0.2">
      <c r="A670" t="s">
        <v>2244</v>
      </c>
      <c r="B670" t="s">
        <v>2245</v>
      </c>
      <c r="C670">
        <v>15</v>
      </c>
      <c r="D670" t="s">
        <v>20</v>
      </c>
      <c r="E670" s="6">
        <v>44910</v>
      </c>
      <c r="F670" s="6">
        <v>44911</v>
      </c>
      <c r="G670" s="6">
        <v>44913</v>
      </c>
      <c r="H670" s="6">
        <v>44953</v>
      </c>
      <c r="I670">
        <v>2022</v>
      </c>
      <c r="J670" t="s">
        <v>2180</v>
      </c>
      <c r="K670" t="s">
        <v>2246</v>
      </c>
    </row>
    <row r="671" spans="1:11" x14ac:dyDescent="0.2">
      <c r="A671" t="s">
        <v>2244</v>
      </c>
      <c r="B671" t="s">
        <v>2245</v>
      </c>
      <c r="C671">
        <v>10</v>
      </c>
      <c r="D671" t="s">
        <v>20</v>
      </c>
      <c r="E671" s="6">
        <v>45114</v>
      </c>
      <c r="F671" s="6">
        <v>45117</v>
      </c>
      <c r="G671" s="6">
        <v>45118</v>
      </c>
      <c r="H671" s="6">
        <v>45153</v>
      </c>
      <c r="I671">
        <v>2022</v>
      </c>
      <c r="J671" t="s">
        <v>2175</v>
      </c>
      <c r="K671" t="s">
        <v>2246</v>
      </c>
    </row>
    <row r="672" spans="1:11" x14ac:dyDescent="0.2">
      <c r="A672" t="s">
        <v>2244</v>
      </c>
      <c r="B672" t="s">
        <v>2245</v>
      </c>
      <c r="C672">
        <v>16</v>
      </c>
      <c r="D672" t="s">
        <v>20</v>
      </c>
      <c r="E672" s="6">
        <v>45190</v>
      </c>
      <c r="F672" s="6">
        <v>45191</v>
      </c>
      <c r="G672" s="6">
        <v>45191</v>
      </c>
      <c r="H672" s="6">
        <v>45226</v>
      </c>
      <c r="I672">
        <v>2023</v>
      </c>
      <c r="J672" t="s">
        <v>2177</v>
      </c>
      <c r="K672" t="s">
        <v>2246</v>
      </c>
    </row>
    <row r="673" spans="1:11" x14ac:dyDescent="0.2">
      <c r="A673" t="s">
        <v>2244</v>
      </c>
      <c r="B673" t="s">
        <v>2245</v>
      </c>
      <c r="C673">
        <v>19</v>
      </c>
      <c r="D673" t="s">
        <v>20</v>
      </c>
      <c r="E673" s="6">
        <v>45268</v>
      </c>
      <c r="F673" s="6">
        <v>45271</v>
      </c>
      <c r="G673" s="6">
        <v>45269</v>
      </c>
      <c r="H673" s="6">
        <v>45313</v>
      </c>
      <c r="I673">
        <v>2023</v>
      </c>
      <c r="J673" t="s">
        <v>2180</v>
      </c>
      <c r="K673" t="s">
        <v>2246</v>
      </c>
    </row>
    <row r="674" spans="1:11" x14ac:dyDescent="0.2">
      <c r="A674" t="s">
        <v>2244</v>
      </c>
      <c r="B674" t="s">
        <v>2245</v>
      </c>
      <c r="C674">
        <v>10</v>
      </c>
      <c r="D674" t="s">
        <v>20</v>
      </c>
      <c r="E674" s="6">
        <v>45478</v>
      </c>
      <c r="F674" s="6">
        <v>45481</v>
      </c>
      <c r="G674" s="6">
        <v>45481</v>
      </c>
      <c r="H674" s="6">
        <v>45516</v>
      </c>
      <c r="I674">
        <v>2023</v>
      </c>
      <c r="J674" t="s">
        <v>2175</v>
      </c>
      <c r="K674" t="s">
        <v>2246</v>
      </c>
    </row>
    <row r="675" spans="1:11" x14ac:dyDescent="0.2">
      <c r="A675" t="s">
        <v>2244</v>
      </c>
      <c r="B675" t="s">
        <v>2245</v>
      </c>
      <c r="C675">
        <v>10</v>
      </c>
      <c r="D675" t="s">
        <v>20</v>
      </c>
      <c r="E675" s="6">
        <v>45478</v>
      </c>
      <c r="F675" s="6">
        <v>45481</v>
      </c>
      <c r="G675" s="6">
        <v>45481</v>
      </c>
      <c r="H675" s="6">
        <v>45516</v>
      </c>
      <c r="I675">
        <v>2024</v>
      </c>
      <c r="J675" t="s">
        <v>2195</v>
      </c>
      <c r="K675" t="s">
        <v>2246</v>
      </c>
    </row>
    <row r="676" spans="1:11" x14ac:dyDescent="0.2">
      <c r="A676" t="s">
        <v>2244</v>
      </c>
      <c r="B676" t="s">
        <v>2245</v>
      </c>
      <c r="C676">
        <v>10</v>
      </c>
      <c r="D676" t="s">
        <v>20</v>
      </c>
      <c r="E676" s="6">
        <v>45568</v>
      </c>
      <c r="F676" s="6">
        <v>45569</v>
      </c>
      <c r="G676" s="6">
        <v>45571</v>
      </c>
      <c r="I676">
        <v>2024</v>
      </c>
      <c r="J676" t="s">
        <v>2177</v>
      </c>
      <c r="K676" t="s">
        <v>2246</v>
      </c>
    </row>
    <row r="677" spans="1:11" x14ac:dyDescent="0.2">
      <c r="A677" t="s">
        <v>2244</v>
      </c>
      <c r="B677" t="s">
        <v>2245</v>
      </c>
      <c r="C677">
        <v>20</v>
      </c>
      <c r="D677" t="s">
        <v>20</v>
      </c>
      <c r="E677" s="6">
        <v>45625</v>
      </c>
      <c r="F677" s="6">
        <v>45628</v>
      </c>
      <c r="G677" s="6">
        <v>45628</v>
      </c>
      <c r="H677" s="6">
        <v>45672</v>
      </c>
      <c r="I677">
        <v>2024</v>
      </c>
      <c r="J677" t="s">
        <v>2180</v>
      </c>
      <c r="K677" t="s">
        <v>2246</v>
      </c>
    </row>
    <row r="678" spans="1:11" x14ac:dyDescent="0.2">
      <c r="A678" t="s">
        <v>2244</v>
      </c>
      <c r="B678" t="s">
        <v>2245</v>
      </c>
      <c r="C678">
        <v>10</v>
      </c>
      <c r="D678" t="s">
        <v>20</v>
      </c>
      <c r="E678" s="6">
        <v>45842</v>
      </c>
      <c r="F678" s="6">
        <v>45845</v>
      </c>
      <c r="G678" s="6">
        <v>45845</v>
      </c>
      <c r="H678" s="6">
        <v>45880</v>
      </c>
      <c r="I678">
        <v>2024</v>
      </c>
      <c r="J678" t="s">
        <v>2175</v>
      </c>
      <c r="K678" t="s">
        <v>2246</v>
      </c>
    </row>
    <row r="679" spans="1:11" x14ac:dyDescent="0.2">
      <c r="A679" t="s">
        <v>2247</v>
      </c>
      <c r="B679" t="s">
        <v>2245</v>
      </c>
      <c r="C679">
        <v>32</v>
      </c>
      <c r="D679" t="s">
        <v>20</v>
      </c>
      <c r="E679" s="6">
        <v>43991</v>
      </c>
      <c r="F679" s="6">
        <v>43992</v>
      </c>
      <c r="G679" s="6">
        <v>43994</v>
      </c>
      <c r="I679">
        <v>2019</v>
      </c>
      <c r="J679" t="s">
        <v>2175</v>
      </c>
      <c r="K679" t="s">
        <v>2248</v>
      </c>
    </row>
    <row r="680" spans="1:11" x14ac:dyDescent="0.2">
      <c r="A680" t="s">
        <v>2247</v>
      </c>
      <c r="B680" t="s">
        <v>2245</v>
      </c>
      <c r="C680">
        <v>10</v>
      </c>
      <c r="D680" t="s">
        <v>20</v>
      </c>
      <c r="E680" s="6">
        <v>44126</v>
      </c>
      <c r="F680" s="6">
        <v>44127</v>
      </c>
      <c r="G680" s="6">
        <v>44130</v>
      </c>
      <c r="I680">
        <v>2020</v>
      </c>
      <c r="J680" t="s">
        <v>2177</v>
      </c>
      <c r="K680" t="s">
        <v>2248</v>
      </c>
    </row>
    <row r="681" spans="1:11" x14ac:dyDescent="0.2">
      <c r="A681" t="s">
        <v>2247</v>
      </c>
      <c r="B681" t="s">
        <v>2245</v>
      </c>
      <c r="C681">
        <v>90</v>
      </c>
      <c r="D681" t="s">
        <v>20</v>
      </c>
      <c r="E681" s="6">
        <v>44320</v>
      </c>
      <c r="F681" s="6">
        <v>44321</v>
      </c>
      <c r="G681" s="6">
        <v>44322</v>
      </c>
      <c r="I681">
        <v>2020</v>
      </c>
      <c r="J681" t="s">
        <v>2175</v>
      </c>
      <c r="K681" t="s">
        <v>2248</v>
      </c>
    </row>
    <row r="682" spans="1:11" x14ac:dyDescent="0.2">
      <c r="A682" t="s">
        <v>2247</v>
      </c>
      <c r="B682" t="s">
        <v>2245</v>
      </c>
      <c r="C682">
        <v>72.760000000000005</v>
      </c>
      <c r="D682" t="s">
        <v>20</v>
      </c>
      <c r="E682" s="6">
        <v>44469</v>
      </c>
      <c r="F682" s="6">
        <v>44470</v>
      </c>
      <c r="G682" s="6">
        <v>44473</v>
      </c>
      <c r="H682" s="6">
        <v>44509</v>
      </c>
      <c r="I682">
        <v>2021</v>
      </c>
      <c r="J682" t="s">
        <v>2177</v>
      </c>
      <c r="K682" t="s">
        <v>2248</v>
      </c>
    </row>
    <row r="683" spans="1:11" x14ac:dyDescent="0.2">
      <c r="A683" t="s">
        <v>2247</v>
      </c>
      <c r="B683" t="s">
        <v>2245</v>
      </c>
      <c r="C683">
        <v>47.24</v>
      </c>
      <c r="D683" t="s">
        <v>20</v>
      </c>
      <c r="E683" s="6">
        <v>44727</v>
      </c>
      <c r="F683" s="6">
        <v>44728</v>
      </c>
      <c r="G683" s="6">
        <v>44729</v>
      </c>
      <c r="H683" s="6">
        <v>44764</v>
      </c>
      <c r="I683">
        <v>2021</v>
      </c>
      <c r="J683" t="s">
        <v>2175</v>
      </c>
      <c r="K683" t="s">
        <v>2248</v>
      </c>
    </row>
    <row r="684" spans="1:11" x14ac:dyDescent="0.2">
      <c r="A684" t="s">
        <v>2247</v>
      </c>
      <c r="B684" t="s">
        <v>2245</v>
      </c>
      <c r="C684">
        <v>150</v>
      </c>
      <c r="D684" t="s">
        <v>20</v>
      </c>
      <c r="E684" s="6">
        <v>44845</v>
      </c>
      <c r="F684" s="6">
        <v>44846</v>
      </c>
      <c r="G684" s="6">
        <v>44847</v>
      </c>
      <c r="H684" s="6">
        <v>44883</v>
      </c>
      <c r="I684">
        <v>2022</v>
      </c>
      <c r="J684" t="s">
        <v>2177</v>
      </c>
      <c r="K684" t="s">
        <v>2248</v>
      </c>
    </row>
    <row r="685" spans="1:11" x14ac:dyDescent="0.2">
      <c r="A685" t="s">
        <v>2247</v>
      </c>
      <c r="B685" t="s">
        <v>2245</v>
      </c>
      <c r="C685">
        <v>75</v>
      </c>
      <c r="D685" t="s">
        <v>20</v>
      </c>
      <c r="E685" s="6">
        <v>44945</v>
      </c>
      <c r="F685" s="6">
        <v>44946</v>
      </c>
      <c r="G685" s="6">
        <v>44949</v>
      </c>
      <c r="H685" s="6">
        <v>44986</v>
      </c>
      <c r="I685">
        <v>2022</v>
      </c>
      <c r="J685" t="s">
        <v>2181</v>
      </c>
      <c r="K685" t="s">
        <v>2248</v>
      </c>
    </row>
    <row r="686" spans="1:11" x14ac:dyDescent="0.2">
      <c r="A686" t="s">
        <v>2247</v>
      </c>
      <c r="B686" t="s">
        <v>2245</v>
      </c>
      <c r="C686">
        <v>400</v>
      </c>
      <c r="D686" t="s">
        <v>20</v>
      </c>
      <c r="E686" s="6">
        <v>45040</v>
      </c>
      <c r="F686" s="6">
        <v>45041</v>
      </c>
      <c r="G686" s="6">
        <v>45042</v>
      </c>
      <c r="H686" s="6">
        <v>45082</v>
      </c>
      <c r="I686">
        <v>2022</v>
      </c>
      <c r="J686" t="s">
        <v>2175</v>
      </c>
      <c r="K686" t="s">
        <v>2248</v>
      </c>
    </row>
    <row r="687" spans="1:11" x14ac:dyDescent="0.2">
      <c r="A687" t="s">
        <v>2247</v>
      </c>
      <c r="B687" t="s">
        <v>2245</v>
      </c>
      <c r="C687">
        <v>320</v>
      </c>
      <c r="D687" t="s">
        <v>20</v>
      </c>
      <c r="E687" s="6">
        <v>45197</v>
      </c>
      <c r="F687" s="6">
        <v>45198</v>
      </c>
      <c r="G687" s="6">
        <v>45198</v>
      </c>
      <c r="H687" s="6">
        <v>45233</v>
      </c>
      <c r="I687">
        <v>2023</v>
      </c>
      <c r="J687" t="s">
        <v>2177</v>
      </c>
      <c r="K687" t="s">
        <v>2248</v>
      </c>
    </row>
    <row r="688" spans="1:11" x14ac:dyDescent="0.2">
      <c r="A688" t="s">
        <v>2247</v>
      </c>
      <c r="B688" t="s">
        <v>2245</v>
      </c>
      <c r="C688">
        <v>135</v>
      </c>
      <c r="D688" t="s">
        <v>20</v>
      </c>
      <c r="E688" s="6">
        <v>45286</v>
      </c>
      <c r="F688" s="6">
        <v>45287</v>
      </c>
      <c r="G688" s="6">
        <v>45287</v>
      </c>
      <c r="H688" s="6">
        <v>45330</v>
      </c>
      <c r="I688">
        <v>2023</v>
      </c>
      <c r="J688" t="s">
        <v>2180</v>
      </c>
      <c r="K688" t="s">
        <v>2248</v>
      </c>
    </row>
    <row r="689" spans="1:11" x14ac:dyDescent="0.2">
      <c r="A689" t="s">
        <v>2247</v>
      </c>
      <c r="B689" t="s">
        <v>2245</v>
      </c>
      <c r="C689">
        <v>225</v>
      </c>
      <c r="D689" t="s">
        <v>20</v>
      </c>
      <c r="E689" s="6">
        <v>45422</v>
      </c>
      <c r="F689" s="6">
        <v>45425</v>
      </c>
      <c r="G689" s="6">
        <v>45425</v>
      </c>
      <c r="H689" s="6">
        <v>45461</v>
      </c>
      <c r="I689">
        <v>2023</v>
      </c>
      <c r="J689" t="s">
        <v>2175</v>
      </c>
      <c r="K689" t="s">
        <v>2248</v>
      </c>
    </row>
    <row r="690" spans="1:11" x14ac:dyDescent="0.2">
      <c r="A690" t="s">
        <v>2247</v>
      </c>
      <c r="B690" t="s">
        <v>2245</v>
      </c>
      <c r="C690">
        <v>12.5</v>
      </c>
      <c r="D690" t="s">
        <v>20</v>
      </c>
      <c r="E690" s="6">
        <v>45575</v>
      </c>
      <c r="F690" s="6">
        <v>45576</v>
      </c>
      <c r="G690" s="6">
        <v>45576</v>
      </c>
      <c r="H690" s="6">
        <v>45611</v>
      </c>
      <c r="I690">
        <v>2024</v>
      </c>
      <c r="J690" t="s">
        <v>2177</v>
      </c>
      <c r="K690" t="s">
        <v>2248</v>
      </c>
    </row>
    <row r="691" spans="1:11" x14ac:dyDescent="0.2">
      <c r="A691" t="s">
        <v>2247</v>
      </c>
      <c r="B691" t="s">
        <v>2245</v>
      </c>
      <c r="C691">
        <v>25</v>
      </c>
      <c r="D691" t="s">
        <v>20</v>
      </c>
      <c r="E691" s="6">
        <v>45814</v>
      </c>
      <c r="F691" s="6">
        <v>45817</v>
      </c>
      <c r="G691" s="6">
        <v>45817</v>
      </c>
      <c r="H691" s="6">
        <v>45833</v>
      </c>
      <c r="I691">
        <v>2024</v>
      </c>
      <c r="J691" t="s">
        <v>2175</v>
      </c>
      <c r="K691" t="s">
        <v>2248</v>
      </c>
    </row>
    <row r="692" spans="1:11" x14ac:dyDescent="0.2">
      <c r="A692" t="s">
        <v>2247</v>
      </c>
      <c r="B692" t="s">
        <v>2245</v>
      </c>
      <c r="C692">
        <v>20</v>
      </c>
      <c r="D692" t="s">
        <v>20</v>
      </c>
      <c r="E692" s="6">
        <v>45946</v>
      </c>
      <c r="F692" s="6">
        <v>45947</v>
      </c>
      <c r="G692" s="6">
        <v>45948</v>
      </c>
      <c r="H692" s="6">
        <v>45985</v>
      </c>
      <c r="I692">
        <v>2025</v>
      </c>
      <c r="J692" t="s">
        <v>2177</v>
      </c>
      <c r="K692" t="s">
        <v>2248</v>
      </c>
    </row>
    <row r="693" spans="1:11" x14ac:dyDescent="0.2">
      <c r="A693" t="s">
        <v>2249</v>
      </c>
      <c r="B693" t="s">
        <v>2250</v>
      </c>
      <c r="C693">
        <v>8.8800000000000008</v>
      </c>
      <c r="D693" t="s">
        <v>20</v>
      </c>
      <c r="E693" s="6">
        <v>45268</v>
      </c>
      <c r="F693" s="6">
        <v>45271</v>
      </c>
      <c r="G693" s="6">
        <v>45270</v>
      </c>
      <c r="H693" s="6">
        <v>45313</v>
      </c>
      <c r="I693">
        <v>2023</v>
      </c>
      <c r="J693" t="s">
        <v>2180</v>
      </c>
      <c r="K693" t="s">
        <v>2251</v>
      </c>
    </row>
    <row r="694" spans="1:11" x14ac:dyDescent="0.2">
      <c r="A694" t="s">
        <v>2249</v>
      </c>
      <c r="B694" t="s">
        <v>2250</v>
      </c>
      <c r="C694">
        <v>16.72</v>
      </c>
      <c r="D694" t="s">
        <v>20</v>
      </c>
      <c r="E694" s="6">
        <v>45481</v>
      </c>
      <c r="F694" s="6">
        <v>45482</v>
      </c>
      <c r="G694" s="6">
        <v>45482</v>
      </c>
      <c r="H694" s="6">
        <v>45517</v>
      </c>
      <c r="I694">
        <v>2023</v>
      </c>
      <c r="J694" t="s">
        <v>2175</v>
      </c>
      <c r="K694" t="s">
        <v>2251</v>
      </c>
    </row>
    <row r="695" spans="1:11" x14ac:dyDescent="0.2">
      <c r="A695" t="s">
        <v>2249</v>
      </c>
      <c r="B695" t="s">
        <v>2250</v>
      </c>
      <c r="C695">
        <v>2.5</v>
      </c>
      <c r="D695" t="s">
        <v>20</v>
      </c>
      <c r="E695" s="6">
        <v>45481</v>
      </c>
      <c r="F695" s="6">
        <v>45482</v>
      </c>
      <c r="G695" s="6">
        <v>45482</v>
      </c>
      <c r="H695" s="6">
        <v>45517</v>
      </c>
      <c r="I695">
        <v>2024</v>
      </c>
      <c r="J695" t="s">
        <v>2195</v>
      </c>
      <c r="K695" t="s">
        <v>2251</v>
      </c>
    </row>
    <row r="696" spans="1:11" x14ac:dyDescent="0.2">
      <c r="A696" t="s">
        <v>2249</v>
      </c>
      <c r="B696" t="s">
        <v>2250</v>
      </c>
      <c r="C696">
        <v>4.32</v>
      </c>
      <c r="D696" t="s">
        <v>20</v>
      </c>
      <c r="E696" s="6">
        <v>45583</v>
      </c>
      <c r="F696" s="6">
        <v>45584</v>
      </c>
      <c r="G696" s="6">
        <v>45584</v>
      </c>
      <c r="H696" s="6">
        <v>45618</v>
      </c>
      <c r="I696">
        <v>2024</v>
      </c>
      <c r="J696" t="s">
        <v>2177</v>
      </c>
      <c r="K696" t="s">
        <v>2251</v>
      </c>
    </row>
    <row r="697" spans="1:11" x14ac:dyDescent="0.2">
      <c r="A697" t="s">
        <v>2249</v>
      </c>
      <c r="B697" t="s">
        <v>2250</v>
      </c>
      <c r="C697">
        <v>6.48</v>
      </c>
      <c r="D697" t="s">
        <v>20</v>
      </c>
      <c r="E697" s="6">
        <v>45671</v>
      </c>
      <c r="F697" s="6">
        <v>45672</v>
      </c>
      <c r="G697" s="6">
        <v>45672</v>
      </c>
      <c r="H697" s="6">
        <v>45707</v>
      </c>
      <c r="I697">
        <v>2024</v>
      </c>
      <c r="J697" t="s">
        <v>2180</v>
      </c>
      <c r="K697" t="s">
        <v>2251</v>
      </c>
    </row>
    <row r="698" spans="1:11" x14ac:dyDescent="0.2">
      <c r="A698" t="s">
        <v>2249</v>
      </c>
      <c r="B698" t="s">
        <v>2250</v>
      </c>
      <c r="C698">
        <v>14.19</v>
      </c>
      <c r="D698" t="s">
        <v>20</v>
      </c>
      <c r="E698" s="6">
        <v>45854</v>
      </c>
      <c r="F698" s="6">
        <v>45855</v>
      </c>
      <c r="G698" s="6">
        <v>45855</v>
      </c>
      <c r="H698" s="6">
        <v>45890</v>
      </c>
      <c r="I698">
        <v>2024</v>
      </c>
      <c r="J698" t="s">
        <v>2175</v>
      </c>
      <c r="K698" t="s">
        <v>2251</v>
      </c>
    </row>
    <row r="699" spans="1:11" x14ac:dyDescent="0.2">
      <c r="A699" t="s">
        <v>2249</v>
      </c>
      <c r="B699" t="s">
        <v>2250</v>
      </c>
      <c r="C699">
        <v>3</v>
      </c>
      <c r="D699" t="s">
        <v>20</v>
      </c>
      <c r="E699" s="6">
        <v>45854</v>
      </c>
      <c r="F699" s="6">
        <v>45855</v>
      </c>
      <c r="G699" s="6">
        <v>45855</v>
      </c>
      <c r="H699" s="6">
        <v>45890</v>
      </c>
      <c r="I699">
        <v>2025</v>
      </c>
      <c r="J699" t="s">
        <v>2195</v>
      </c>
      <c r="K699" t="s">
        <v>2251</v>
      </c>
    </row>
    <row r="700" spans="1:11" x14ac:dyDescent="0.2">
      <c r="A700" t="s">
        <v>2249</v>
      </c>
      <c r="B700" t="s">
        <v>2250</v>
      </c>
      <c r="C700">
        <v>8.18</v>
      </c>
      <c r="D700" t="s">
        <v>20</v>
      </c>
      <c r="E700" s="6">
        <v>45947</v>
      </c>
      <c r="F700" s="6">
        <v>45950</v>
      </c>
      <c r="G700" s="6">
        <v>45950</v>
      </c>
      <c r="H700" s="6">
        <v>45986</v>
      </c>
      <c r="I700">
        <v>2025</v>
      </c>
      <c r="J700" t="s">
        <v>2177</v>
      </c>
      <c r="K700" t="s">
        <v>2251</v>
      </c>
    </row>
    <row r="701" spans="1:11" x14ac:dyDescent="0.2">
      <c r="A701" t="s">
        <v>2249</v>
      </c>
      <c r="B701" t="s">
        <v>2250</v>
      </c>
      <c r="C701">
        <v>9.17</v>
      </c>
      <c r="D701" t="s">
        <v>20</v>
      </c>
      <c r="E701" s="6">
        <v>46035</v>
      </c>
      <c r="F701" s="6">
        <v>46036</v>
      </c>
      <c r="G701" s="6">
        <v>46036</v>
      </c>
      <c r="H701" s="6">
        <v>46071</v>
      </c>
      <c r="I701">
        <v>2025</v>
      </c>
      <c r="J701" t="s">
        <v>2180</v>
      </c>
      <c r="K701" t="s">
        <v>2251</v>
      </c>
    </row>
    <row r="702" spans="1:11" x14ac:dyDescent="0.2">
      <c r="A702" t="s">
        <v>2252</v>
      </c>
      <c r="B702" t="s">
        <v>2253</v>
      </c>
      <c r="C702">
        <v>8.3800000000000008</v>
      </c>
      <c r="D702" t="s">
        <v>20</v>
      </c>
      <c r="E702" s="6">
        <v>45632</v>
      </c>
      <c r="F702" s="6">
        <v>45635</v>
      </c>
      <c r="G702" s="6">
        <v>45635</v>
      </c>
      <c r="H702" s="6">
        <v>45679</v>
      </c>
      <c r="I702">
        <v>2023</v>
      </c>
      <c r="J702" t="s">
        <v>2175</v>
      </c>
      <c r="K702" t="s">
        <v>2254</v>
      </c>
    </row>
    <row r="703" spans="1:11" x14ac:dyDescent="0.2">
      <c r="A703" t="s">
        <v>2252</v>
      </c>
      <c r="B703" t="s">
        <v>2253</v>
      </c>
      <c r="C703">
        <v>30</v>
      </c>
      <c r="D703" t="s">
        <v>20</v>
      </c>
      <c r="E703" s="6">
        <v>45443</v>
      </c>
      <c r="F703" s="6">
        <v>45446</v>
      </c>
      <c r="G703" s="6">
        <v>45446</v>
      </c>
      <c r="I703">
        <v>2024</v>
      </c>
      <c r="J703" t="s">
        <v>2195</v>
      </c>
      <c r="K703" t="s">
        <v>2254</v>
      </c>
    </row>
    <row r="704" spans="1:11" x14ac:dyDescent="0.2">
      <c r="A704" t="s">
        <v>2252</v>
      </c>
      <c r="B704" t="s">
        <v>2253</v>
      </c>
      <c r="C704">
        <v>9.6199999999999992</v>
      </c>
      <c r="D704" t="s">
        <v>20</v>
      </c>
      <c r="E704" s="6">
        <v>45632</v>
      </c>
      <c r="F704" s="6">
        <v>45635</v>
      </c>
      <c r="G704" s="6">
        <v>45635</v>
      </c>
      <c r="H704" s="6">
        <v>45679</v>
      </c>
      <c r="I704">
        <v>2024</v>
      </c>
      <c r="J704" t="s">
        <v>2180</v>
      </c>
      <c r="K704" t="s">
        <v>2254</v>
      </c>
    </row>
    <row r="705" spans="1:11" x14ac:dyDescent="0.2">
      <c r="A705" t="s">
        <v>2252</v>
      </c>
      <c r="B705" t="s">
        <v>2253</v>
      </c>
      <c r="C705">
        <v>20</v>
      </c>
      <c r="D705" t="s">
        <v>20</v>
      </c>
      <c r="E705" s="6">
        <v>45807</v>
      </c>
      <c r="F705" s="6">
        <v>45810</v>
      </c>
      <c r="G705" s="6">
        <v>45810</v>
      </c>
      <c r="H705" s="6">
        <v>45847</v>
      </c>
      <c r="I705">
        <v>2025</v>
      </c>
      <c r="J705" t="s">
        <v>2195</v>
      </c>
      <c r="K705" t="s">
        <v>2254</v>
      </c>
    </row>
    <row r="706" spans="1:11" x14ac:dyDescent="0.2">
      <c r="A706" t="s">
        <v>2252</v>
      </c>
      <c r="B706" t="s">
        <v>2253</v>
      </c>
      <c r="C706">
        <v>12</v>
      </c>
      <c r="D706" t="s">
        <v>20</v>
      </c>
      <c r="E706" s="6">
        <v>45992</v>
      </c>
      <c r="F706" s="6">
        <v>45993</v>
      </c>
      <c r="G706" s="6">
        <v>45993</v>
      </c>
      <c r="H706" s="6">
        <v>46038</v>
      </c>
      <c r="I706">
        <v>2025</v>
      </c>
      <c r="J706" t="s">
        <v>2180</v>
      </c>
      <c r="K706" t="s">
        <v>2254</v>
      </c>
    </row>
    <row r="707" spans="1:11" x14ac:dyDescent="0.2">
      <c r="A707" t="s">
        <v>2255</v>
      </c>
      <c r="B707" t="s">
        <v>2256</v>
      </c>
      <c r="C707">
        <v>1.46</v>
      </c>
      <c r="D707" t="s">
        <v>20</v>
      </c>
      <c r="E707" s="6">
        <v>39939</v>
      </c>
      <c r="F707" s="6">
        <v>39940</v>
      </c>
      <c r="G707" s="6">
        <v>39941</v>
      </c>
      <c r="I707">
        <v>2008</v>
      </c>
      <c r="J707" t="s">
        <v>2175</v>
      </c>
      <c r="K707" t="s">
        <v>2257</v>
      </c>
    </row>
    <row r="708" spans="1:11" x14ac:dyDescent="0.2">
      <c r="A708" t="s">
        <v>2255</v>
      </c>
      <c r="B708" t="s">
        <v>2256</v>
      </c>
      <c r="C708">
        <v>4.76</v>
      </c>
      <c r="D708" t="s">
        <v>20</v>
      </c>
      <c r="E708" s="6">
        <v>39939</v>
      </c>
      <c r="F708" s="6">
        <v>39940</v>
      </c>
      <c r="G708" s="6">
        <v>39941</v>
      </c>
      <c r="I708">
        <v>2009</v>
      </c>
      <c r="J708" t="s">
        <v>2195</v>
      </c>
      <c r="K708" t="s">
        <v>2257</v>
      </c>
    </row>
    <row r="709" spans="1:11" x14ac:dyDescent="0.2">
      <c r="A709" t="s">
        <v>2255</v>
      </c>
      <c r="B709" t="s">
        <v>2256</v>
      </c>
      <c r="C709">
        <v>10.06</v>
      </c>
      <c r="D709" t="s">
        <v>20</v>
      </c>
      <c r="E709" s="6">
        <v>40303</v>
      </c>
      <c r="F709" s="6">
        <v>40304</v>
      </c>
      <c r="G709" s="6">
        <v>40305</v>
      </c>
      <c r="I709">
        <v>2009</v>
      </c>
      <c r="J709" t="s">
        <v>2175</v>
      </c>
      <c r="K709" t="s">
        <v>2257</v>
      </c>
    </row>
    <row r="710" spans="1:11" x14ac:dyDescent="0.2">
      <c r="A710" t="s">
        <v>2255</v>
      </c>
      <c r="B710" t="s">
        <v>2256</v>
      </c>
      <c r="C710">
        <v>6.57</v>
      </c>
      <c r="D710" t="s">
        <v>20</v>
      </c>
      <c r="E710" s="6">
        <v>40667</v>
      </c>
      <c r="F710" s="6">
        <v>40668</v>
      </c>
      <c r="G710" s="6">
        <v>40669</v>
      </c>
      <c r="I710">
        <v>2010</v>
      </c>
      <c r="J710" t="s">
        <v>2175</v>
      </c>
      <c r="K710" t="s">
        <v>2257</v>
      </c>
    </row>
    <row r="711" spans="1:11" x14ac:dyDescent="0.2">
      <c r="A711" t="s">
        <v>2255</v>
      </c>
      <c r="B711" t="s">
        <v>2256</v>
      </c>
      <c r="C711">
        <v>4.67</v>
      </c>
      <c r="D711" t="s">
        <v>20</v>
      </c>
      <c r="E711" s="6">
        <v>40667</v>
      </c>
      <c r="F711" s="6">
        <v>40668</v>
      </c>
      <c r="G711" s="6">
        <v>40669</v>
      </c>
      <c r="I711">
        <v>2011</v>
      </c>
      <c r="J711" t="s">
        <v>2195</v>
      </c>
      <c r="K711" t="s">
        <v>2257</v>
      </c>
    </row>
    <row r="712" spans="1:11" x14ac:dyDescent="0.2">
      <c r="A712" t="s">
        <v>2255</v>
      </c>
      <c r="B712" t="s">
        <v>2256</v>
      </c>
      <c r="C712">
        <v>18.260000000000002</v>
      </c>
      <c r="D712" t="s">
        <v>20</v>
      </c>
      <c r="E712" s="6">
        <v>41010</v>
      </c>
      <c r="F712" s="6">
        <v>41011</v>
      </c>
      <c r="G712" s="6">
        <v>41012</v>
      </c>
      <c r="I712">
        <v>2011</v>
      </c>
      <c r="J712" t="s">
        <v>2175</v>
      </c>
      <c r="K712" t="s">
        <v>2257</v>
      </c>
    </row>
    <row r="713" spans="1:11" x14ac:dyDescent="0.2">
      <c r="A713" t="s">
        <v>2255</v>
      </c>
      <c r="B713" t="s">
        <v>2256</v>
      </c>
      <c r="C713">
        <v>5.18</v>
      </c>
      <c r="D713" t="s">
        <v>20</v>
      </c>
      <c r="E713" s="6">
        <v>41010</v>
      </c>
      <c r="F713" s="6">
        <v>41011</v>
      </c>
      <c r="G713" s="6">
        <v>41012</v>
      </c>
      <c r="I713">
        <v>2012</v>
      </c>
      <c r="J713" t="s">
        <v>2195</v>
      </c>
      <c r="K713" t="s">
        <v>2257</v>
      </c>
    </row>
    <row r="714" spans="1:11" x14ac:dyDescent="0.2">
      <c r="A714" t="s">
        <v>2255</v>
      </c>
      <c r="B714" t="s">
        <v>2256</v>
      </c>
      <c r="C714">
        <v>21.15</v>
      </c>
      <c r="D714" t="s">
        <v>20</v>
      </c>
      <c r="E714" s="6">
        <v>41115</v>
      </c>
      <c r="F714" s="6">
        <v>41116</v>
      </c>
      <c r="G714" s="6">
        <v>41117</v>
      </c>
      <c r="I714">
        <v>2012</v>
      </c>
      <c r="J714" t="s">
        <v>2177</v>
      </c>
      <c r="K714" t="s">
        <v>2257</v>
      </c>
    </row>
    <row r="715" spans="1:11" x14ac:dyDescent="0.2">
      <c r="A715" t="s">
        <v>2255</v>
      </c>
      <c r="B715" t="s">
        <v>2256</v>
      </c>
      <c r="C715">
        <v>55.02</v>
      </c>
      <c r="D715" t="s">
        <v>20</v>
      </c>
      <c r="E715" s="6">
        <v>41368</v>
      </c>
      <c r="F715" s="6">
        <v>41369</v>
      </c>
      <c r="G715" s="6">
        <v>41369</v>
      </c>
      <c r="I715">
        <v>2012</v>
      </c>
      <c r="J715" t="s">
        <v>2175</v>
      </c>
      <c r="K715" t="s">
        <v>2257</v>
      </c>
    </row>
    <row r="716" spans="1:11" x14ac:dyDescent="0.2">
      <c r="A716" t="s">
        <v>2255</v>
      </c>
      <c r="B716" t="s">
        <v>2256</v>
      </c>
      <c r="C716">
        <v>46.06</v>
      </c>
      <c r="D716" t="s">
        <v>20</v>
      </c>
      <c r="E716" s="6">
        <v>41493</v>
      </c>
      <c r="F716" s="6">
        <v>41494</v>
      </c>
      <c r="G716" s="6">
        <v>41495</v>
      </c>
      <c r="I716">
        <v>2013</v>
      </c>
      <c r="J716" t="s">
        <v>2177</v>
      </c>
      <c r="K716" t="s">
        <v>2257</v>
      </c>
    </row>
    <row r="717" spans="1:11" x14ac:dyDescent="0.2">
      <c r="A717" t="s">
        <v>2255</v>
      </c>
      <c r="B717" t="s">
        <v>2256</v>
      </c>
      <c r="C717">
        <v>89.15</v>
      </c>
      <c r="D717" t="s">
        <v>20</v>
      </c>
      <c r="E717" s="6">
        <v>41801</v>
      </c>
      <c r="F717" s="6">
        <v>41802</v>
      </c>
      <c r="G717" s="6">
        <v>41803</v>
      </c>
      <c r="I717">
        <v>2013</v>
      </c>
      <c r="J717" t="s">
        <v>2175</v>
      </c>
      <c r="K717" t="s">
        <v>2257</v>
      </c>
    </row>
    <row r="718" spans="1:11" x14ac:dyDescent="0.2">
      <c r="A718" t="s">
        <v>2255</v>
      </c>
      <c r="B718" t="s">
        <v>2256</v>
      </c>
      <c r="C718">
        <v>78.3</v>
      </c>
      <c r="D718" t="s">
        <v>20</v>
      </c>
      <c r="E718" s="6">
        <v>41920</v>
      </c>
      <c r="F718" s="6">
        <v>41921</v>
      </c>
      <c r="G718" s="6">
        <v>41922</v>
      </c>
      <c r="I718">
        <v>2014</v>
      </c>
      <c r="J718" t="s">
        <v>2177</v>
      </c>
      <c r="K718" t="s">
        <v>2257</v>
      </c>
    </row>
    <row r="719" spans="1:11" x14ac:dyDescent="0.2">
      <c r="A719" t="s">
        <v>2255</v>
      </c>
      <c r="B719" t="s">
        <v>2256</v>
      </c>
      <c r="C719">
        <v>152.07</v>
      </c>
      <c r="D719" t="s">
        <v>20</v>
      </c>
      <c r="E719" s="6">
        <v>41999</v>
      </c>
      <c r="F719" s="6">
        <v>42002</v>
      </c>
      <c r="G719" s="6">
        <v>42003</v>
      </c>
      <c r="I719">
        <v>2014</v>
      </c>
      <c r="J719" t="s">
        <v>2180</v>
      </c>
      <c r="K719" t="s">
        <v>2257</v>
      </c>
    </row>
    <row r="720" spans="1:11" x14ac:dyDescent="0.2">
      <c r="A720" t="s">
        <v>2255</v>
      </c>
      <c r="B720" t="s">
        <v>2256</v>
      </c>
      <c r="C720">
        <v>132.57</v>
      </c>
      <c r="D720" t="s">
        <v>20</v>
      </c>
      <c r="E720" s="6">
        <v>42172</v>
      </c>
      <c r="F720" s="6">
        <v>42173</v>
      </c>
      <c r="G720" s="6">
        <v>42174</v>
      </c>
      <c r="I720">
        <v>2014</v>
      </c>
      <c r="J720" t="s">
        <v>2175</v>
      </c>
      <c r="K720" t="s">
        <v>2257</v>
      </c>
    </row>
    <row r="721" spans="1:11" x14ac:dyDescent="0.2">
      <c r="A721" t="s">
        <v>2255</v>
      </c>
      <c r="B721" t="s">
        <v>2256</v>
      </c>
      <c r="C721">
        <v>88.4</v>
      </c>
      <c r="D721" t="s">
        <v>20</v>
      </c>
      <c r="E721" s="6">
        <v>42284</v>
      </c>
      <c r="F721" s="6">
        <v>42285</v>
      </c>
      <c r="G721" s="6">
        <v>42286</v>
      </c>
      <c r="I721">
        <v>2015</v>
      </c>
      <c r="J721" t="s">
        <v>2177</v>
      </c>
      <c r="K721" t="s">
        <v>2257</v>
      </c>
    </row>
    <row r="722" spans="1:11" x14ac:dyDescent="0.2">
      <c r="A722" t="s">
        <v>2255</v>
      </c>
      <c r="B722" t="s">
        <v>2256</v>
      </c>
      <c r="C722">
        <v>179.77</v>
      </c>
      <c r="D722" t="s">
        <v>20</v>
      </c>
      <c r="E722" s="6">
        <v>42375</v>
      </c>
      <c r="F722" s="6">
        <v>42376</v>
      </c>
      <c r="G722" s="6">
        <v>42377</v>
      </c>
      <c r="I722">
        <v>2015</v>
      </c>
      <c r="J722" t="s">
        <v>2180</v>
      </c>
      <c r="K722" t="s">
        <v>2257</v>
      </c>
    </row>
    <row r="723" spans="1:11" x14ac:dyDescent="0.2">
      <c r="A723" t="s">
        <v>2255</v>
      </c>
      <c r="B723" t="s">
        <v>2256</v>
      </c>
      <c r="C723">
        <v>42.3</v>
      </c>
      <c r="D723" t="s">
        <v>20</v>
      </c>
      <c r="E723" s="6">
        <v>42536</v>
      </c>
      <c r="F723" s="6">
        <v>42537</v>
      </c>
      <c r="G723" s="6">
        <v>42538</v>
      </c>
      <c r="I723">
        <v>2015</v>
      </c>
      <c r="J723" t="s">
        <v>2175</v>
      </c>
      <c r="K723" t="s">
        <v>2257</v>
      </c>
    </row>
    <row r="724" spans="1:11" x14ac:dyDescent="0.2">
      <c r="A724" t="s">
        <v>2255</v>
      </c>
      <c r="B724" t="s">
        <v>2256</v>
      </c>
      <c r="C724">
        <v>84.6</v>
      </c>
      <c r="D724" t="s">
        <v>20</v>
      </c>
      <c r="E724" s="6">
        <v>42634</v>
      </c>
      <c r="F724" s="6">
        <v>42635</v>
      </c>
      <c r="G724" s="6">
        <v>42636</v>
      </c>
      <c r="I724">
        <v>2016</v>
      </c>
      <c r="J724" t="s">
        <v>2177</v>
      </c>
      <c r="K724" t="s">
        <v>2257</v>
      </c>
    </row>
    <row r="725" spans="1:11" x14ac:dyDescent="0.2">
      <c r="A725" t="s">
        <v>2255</v>
      </c>
      <c r="B725" t="s">
        <v>2256</v>
      </c>
      <c r="C725">
        <v>126.12</v>
      </c>
      <c r="D725" t="s">
        <v>20</v>
      </c>
      <c r="E725" s="6">
        <v>42725</v>
      </c>
      <c r="F725" s="6">
        <v>42726</v>
      </c>
      <c r="G725" s="6">
        <v>42727</v>
      </c>
      <c r="I725">
        <v>2016</v>
      </c>
      <c r="J725" t="s">
        <v>2180</v>
      </c>
      <c r="K725" t="s">
        <v>2257</v>
      </c>
    </row>
    <row r="726" spans="1:11" x14ac:dyDescent="0.2">
      <c r="A726" t="s">
        <v>2255</v>
      </c>
      <c r="B726" t="s">
        <v>2256</v>
      </c>
      <c r="C726">
        <v>67.41</v>
      </c>
      <c r="D726" t="s">
        <v>20</v>
      </c>
      <c r="E726" s="6">
        <v>42907</v>
      </c>
      <c r="F726" s="6">
        <v>42908</v>
      </c>
      <c r="G726" s="6">
        <v>42909</v>
      </c>
      <c r="I726">
        <v>2016</v>
      </c>
      <c r="J726" t="s">
        <v>2175</v>
      </c>
      <c r="K726" t="s">
        <v>2257</v>
      </c>
    </row>
    <row r="727" spans="1:11" x14ac:dyDescent="0.2">
      <c r="A727" t="s">
        <v>2255</v>
      </c>
      <c r="B727" t="s">
        <v>2256</v>
      </c>
      <c r="C727">
        <v>115.51</v>
      </c>
      <c r="D727" t="s">
        <v>20</v>
      </c>
      <c r="E727" s="6">
        <v>42991</v>
      </c>
      <c r="F727" s="6">
        <v>42992</v>
      </c>
      <c r="G727" s="6">
        <v>42993</v>
      </c>
      <c r="I727">
        <v>2017</v>
      </c>
      <c r="J727" t="s">
        <v>2177</v>
      </c>
      <c r="K727" t="s">
        <v>2257</v>
      </c>
    </row>
    <row r="728" spans="1:11" x14ac:dyDescent="0.2">
      <c r="A728" t="s">
        <v>2255</v>
      </c>
      <c r="B728" t="s">
        <v>2256</v>
      </c>
      <c r="C728">
        <v>135.5</v>
      </c>
      <c r="D728" t="s">
        <v>20</v>
      </c>
      <c r="E728" s="6">
        <v>43285</v>
      </c>
      <c r="F728" s="6">
        <v>43286</v>
      </c>
      <c r="G728" s="6">
        <v>43287</v>
      </c>
      <c r="I728">
        <v>2017</v>
      </c>
      <c r="J728" t="s">
        <v>2175</v>
      </c>
      <c r="K728" t="s">
        <v>2257</v>
      </c>
    </row>
    <row r="729" spans="1:11" x14ac:dyDescent="0.2">
      <c r="A729" t="s">
        <v>2255</v>
      </c>
      <c r="B729" t="s">
        <v>2256</v>
      </c>
      <c r="C729">
        <v>137.38</v>
      </c>
      <c r="D729" t="s">
        <v>20</v>
      </c>
      <c r="E729" s="6">
        <v>43453</v>
      </c>
      <c r="F729" s="6">
        <v>43454</v>
      </c>
      <c r="G729" s="6">
        <v>43455</v>
      </c>
      <c r="I729">
        <v>2018</v>
      </c>
      <c r="J729" t="s">
        <v>2180</v>
      </c>
      <c r="K729" t="s">
        <v>2257</v>
      </c>
    </row>
    <row r="730" spans="1:11" x14ac:dyDescent="0.2">
      <c r="A730" t="s">
        <v>2255</v>
      </c>
      <c r="B730" t="s">
        <v>2256</v>
      </c>
      <c r="C730">
        <v>166.78</v>
      </c>
      <c r="D730" t="s">
        <v>20</v>
      </c>
      <c r="E730" s="6">
        <v>43627</v>
      </c>
      <c r="F730" s="6">
        <v>43629</v>
      </c>
      <c r="G730" s="6">
        <v>43630</v>
      </c>
      <c r="I730">
        <v>2018</v>
      </c>
      <c r="J730" t="s">
        <v>2175</v>
      </c>
      <c r="K730" t="s">
        <v>2257</v>
      </c>
    </row>
    <row r="731" spans="1:11" x14ac:dyDescent="0.2">
      <c r="A731" t="s">
        <v>2255</v>
      </c>
      <c r="B731" t="s">
        <v>2256</v>
      </c>
      <c r="C731">
        <v>147.19</v>
      </c>
      <c r="D731" t="s">
        <v>20</v>
      </c>
      <c r="E731" s="6">
        <v>43838</v>
      </c>
      <c r="F731" s="6">
        <v>43839</v>
      </c>
      <c r="G731" s="6">
        <v>43840</v>
      </c>
      <c r="I731">
        <v>2019</v>
      </c>
      <c r="J731" t="s">
        <v>2180</v>
      </c>
      <c r="K731" t="s">
        <v>2257</v>
      </c>
    </row>
    <row r="732" spans="1:11" x14ac:dyDescent="0.2">
      <c r="A732" t="s">
        <v>2255</v>
      </c>
      <c r="B732" t="s">
        <v>2256</v>
      </c>
      <c r="C732">
        <v>157</v>
      </c>
      <c r="D732" t="s">
        <v>20</v>
      </c>
      <c r="E732" s="6">
        <v>43999</v>
      </c>
      <c r="F732" s="6">
        <v>44000</v>
      </c>
      <c r="G732" s="6">
        <v>44001</v>
      </c>
      <c r="I732">
        <v>2019</v>
      </c>
      <c r="J732" t="s">
        <v>2175</v>
      </c>
      <c r="K732" t="s">
        <v>2257</v>
      </c>
    </row>
    <row r="733" spans="1:11" x14ac:dyDescent="0.2">
      <c r="A733" t="s">
        <v>2255</v>
      </c>
      <c r="B733" t="s">
        <v>2256</v>
      </c>
      <c r="C733">
        <v>245.31</v>
      </c>
      <c r="D733" t="s">
        <v>20</v>
      </c>
      <c r="E733" s="6">
        <v>44202</v>
      </c>
      <c r="F733" s="6">
        <v>44204</v>
      </c>
      <c r="G733" s="6">
        <v>44204</v>
      </c>
      <c r="I733">
        <v>2020</v>
      </c>
      <c r="J733" t="s">
        <v>2180</v>
      </c>
      <c r="K733" t="s">
        <v>2257</v>
      </c>
    </row>
    <row r="734" spans="1:11" x14ac:dyDescent="0.2">
      <c r="A734" t="s">
        <v>2255</v>
      </c>
      <c r="B734" t="s">
        <v>2256</v>
      </c>
      <c r="C734">
        <v>245.31</v>
      </c>
      <c r="D734" t="s">
        <v>20</v>
      </c>
      <c r="E734" s="6">
        <v>44370</v>
      </c>
      <c r="F734" s="6">
        <v>44371</v>
      </c>
      <c r="G734" s="6">
        <v>44372</v>
      </c>
      <c r="I734">
        <v>2020</v>
      </c>
      <c r="J734" t="s">
        <v>2175</v>
      </c>
      <c r="K734" t="s">
        <v>2257</v>
      </c>
    </row>
    <row r="735" spans="1:11" x14ac:dyDescent="0.2">
      <c r="A735" t="s">
        <v>2255</v>
      </c>
      <c r="B735" t="s">
        <v>2256</v>
      </c>
      <c r="C735">
        <v>294.37</v>
      </c>
      <c r="D735" t="s">
        <v>20</v>
      </c>
      <c r="E735" s="6">
        <v>44559</v>
      </c>
      <c r="F735" s="6">
        <v>44560</v>
      </c>
      <c r="G735" s="6">
        <v>44561</v>
      </c>
      <c r="H735" s="6">
        <v>44603</v>
      </c>
      <c r="I735">
        <v>2021</v>
      </c>
      <c r="J735" t="s">
        <v>2180</v>
      </c>
      <c r="K735" t="s">
        <v>2257</v>
      </c>
    </row>
    <row r="736" spans="1:11" x14ac:dyDescent="0.2">
      <c r="A736" t="s">
        <v>2255</v>
      </c>
      <c r="B736" t="s">
        <v>2256</v>
      </c>
      <c r="C736">
        <v>412.13</v>
      </c>
      <c r="D736" t="s">
        <v>20</v>
      </c>
      <c r="E736" s="6">
        <v>45301</v>
      </c>
      <c r="F736" s="6">
        <v>45302</v>
      </c>
      <c r="G736" s="6">
        <v>45302</v>
      </c>
      <c r="H736" s="6">
        <v>45337</v>
      </c>
      <c r="I736">
        <v>2022</v>
      </c>
      <c r="J736" t="s">
        <v>2175</v>
      </c>
      <c r="K736" t="s">
        <v>2257</v>
      </c>
    </row>
    <row r="737" spans="1:11" x14ac:dyDescent="0.2">
      <c r="A737" t="s">
        <v>2255</v>
      </c>
      <c r="B737" t="s">
        <v>2256</v>
      </c>
      <c r="C737">
        <v>412.13</v>
      </c>
      <c r="D737" t="s">
        <v>20</v>
      </c>
      <c r="E737" s="6">
        <v>45485</v>
      </c>
      <c r="F737" s="6">
        <v>45488</v>
      </c>
      <c r="G737" s="6">
        <v>45488</v>
      </c>
      <c r="H737" s="6">
        <v>45523</v>
      </c>
      <c r="I737">
        <v>2023</v>
      </c>
      <c r="J737" t="s">
        <v>2175</v>
      </c>
      <c r="K737" t="s">
        <v>2257</v>
      </c>
    </row>
    <row r="738" spans="1:11" x14ac:dyDescent="0.2">
      <c r="A738" t="s">
        <v>2258</v>
      </c>
      <c r="B738" t="s">
        <v>2259</v>
      </c>
      <c r="C738">
        <v>0.18</v>
      </c>
      <c r="D738" t="s">
        <v>20</v>
      </c>
      <c r="E738" s="6">
        <v>45653</v>
      </c>
      <c r="F738" s="6">
        <v>45652</v>
      </c>
      <c r="G738" s="6">
        <v>45654</v>
      </c>
      <c r="I738">
        <v>2024</v>
      </c>
      <c r="J738" t="s">
        <v>2180</v>
      </c>
      <c r="K738" t="s">
        <v>2260</v>
      </c>
    </row>
    <row r="739" spans="1:11" x14ac:dyDescent="0.2">
      <c r="A739" t="s">
        <v>2258</v>
      </c>
      <c r="B739" t="s">
        <v>2259</v>
      </c>
      <c r="C739">
        <v>0.26</v>
      </c>
      <c r="D739" t="s">
        <v>20</v>
      </c>
      <c r="E739" s="6">
        <v>45812</v>
      </c>
      <c r="F739" s="6">
        <v>45813</v>
      </c>
      <c r="G739" s="6">
        <v>45813</v>
      </c>
      <c r="H739" s="6">
        <v>45852</v>
      </c>
      <c r="I739">
        <v>2024</v>
      </c>
      <c r="J739" t="s">
        <v>2175</v>
      </c>
      <c r="K739" t="s">
        <v>2260</v>
      </c>
    </row>
    <row r="740" spans="1:11" x14ac:dyDescent="0.2">
      <c r="A740" t="s">
        <v>2258</v>
      </c>
      <c r="B740" t="s">
        <v>2259</v>
      </c>
      <c r="C740">
        <v>0.28000000000000003</v>
      </c>
      <c r="D740" t="s">
        <v>20</v>
      </c>
      <c r="E740" s="6">
        <v>45840</v>
      </c>
      <c r="F740" s="6">
        <v>45841</v>
      </c>
      <c r="G740" s="6">
        <v>45841</v>
      </c>
      <c r="H740" s="6">
        <v>45876</v>
      </c>
      <c r="I740">
        <v>2025</v>
      </c>
      <c r="J740" t="s">
        <v>2195</v>
      </c>
      <c r="K740" t="s">
        <v>2260</v>
      </c>
    </row>
    <row r="741" spans="1:11" x14ac:dyDescent="0.2">
      <c r="A741" t="s">
        <v>2258</v>
      </c>
      <c r="B741" t="s">
        <v>2259</v>
      </c>
      <c r="C741">
        <v>0.24</v>
      </c>
      <c r="D741" t="s">
        <v>20</v>
      </c>
      <c r="E741" s="6">
        <v>45933</v>
      </c>
      <c r="F741" s="6">
        <v>45936</v>
      </c>
      <c r="G741" s="6">
        <v>45936</v>
      </c>
      <c r="H741" s="6">
        <v>45964</v>
      </c>
      <c r="I741">
        <v>2025</v>
      </c>
      <c r="J741" t="s">
        <v>2177</v>
      </c>
      <c r="K741" t="s">
        <v>2260</v>
      </c>
    </row>
    <row r="742" spans="1:11" x14ac:dyDescent="0.2">
      <c r="A742" t="s">
        <v>2258</v>
      </c>
      <c r="B742" t="s">
        <v>2259</v>
      </c>
      <c r="C742">
        <v>0.27</v>
      </c>
      <c r="D742" t="s">
        <v>20</v>
      </c>
      <c r="E742" s="6">
        <v>46021</v>
      </c>
      <c r="F742" s="6">
        <v>46034</v>
      </c>
      <c r="G742" s="6">
        <v>46034</v>
      </c>
      <c r="H742" s="6">
        <v>46069</v>
      </c>
      <c r="I742">
        <v>2025</v>
      </c>
      <c r="J742" t="s">
        <v>2180</v>
      </c>
      <c r="K742" t="s">
        <v>2260</v>
      </c>
    </row>
    <row r="743" spans="1:11" x14ac:dyDescent="0.2">
      <c r="A743" t="s">
        <v>2261</v>
      </c>
      <c r="B743" t="s">
        <v>2262</v>
      </c>
      <c r="C743">
        <v>14</v>
      </c>
      <c r="D743" t="s">
        <v>20</v>
      </c>
      <c r="E743" s="6">
        <v>38827</v>
      </c>
      <c r="F743" s="6">
        <v>38828</v>
      </c>
      <c r="G743" s="6">
        <v>38828</v>
      </c>
      <c r="I743">
        <v>2005</v>
      </c>
      <c r="J743" t="s">
        <v>2175</v>
      </c>
      <c r="K743" t="s">
        <v>2263</v>
      </c>
    </row>
    <row r="744" spans="1:11" x14ac:dyDescent="0.2">
      <c r="A744" t="s">
        <v>2261</v>
      </c>
      <c r="B744" t="s">
        <v>2262</v>
      </c>
      <c r="C744">
        <v>19.7</v>
      </c>
      <c r="D744" t="s">
        <v>20</v>
      </c>
      <c r="E744" s="6">
        <v>39171</v>
      </c>
      <c r="F744" s="6">
        <v>39172</v>
      </c>
      <c r="G744" s="6">
        <v>39173</v>
      </c>
      <c r="I744">
        <v>2006</v>
      </c>
      <c r="J744" t="s">
        <v>2175</v>
      </c>
      <c r="K744" t="s">
        <v>2263</v>
      </c>
    </row>
    <row r="745" spans="1:11" x14ac:dyDescent="0.2">
      <c r="A745" t="s">
        <v>2261</v>
      </c>
      <c r="B745" t="s">
        <v>2262</v>
      </c>
      <c r="C745">
        <v>29.18</v>
      </c>
      <c r="D745" t="s">
        <v>20</v>
      </c>
      <c r="E745" s="6">
        <v>39548</v>
      </c>
      <c r="F745" s="6">
        <v>39549</v>
      </c>
      <c r="G745" s="6">
        <v>39549</v>
      </c>
      <c r="I745">
        <v>2007</v>
      </c>
      <c r="J745" t="s">
        <v>2175</v>
      </c>
      <c r="K745" t="s">
        <v>2263</v>
      </c>
    </row>
    <row r="746" spans="1:11" x14ac:dyDescent="0.2">
      <c r="A746" t="s">
        <v>2261</v>
      </c>
      <c r="B746" t="s">
        <v>2262</v>
      </c>
      <c r="C746">
        <v>16</v>
      </c>
      <c r="D746" t="s">
        <v>20</v>
      </c>
      <c r="E746" s="6">
        <v>39695</v>
      </c>
      <c r="F746" s="6">
        <v>39696</v>
      </c>
      <c r="G746" s="6">
        <v>39696</v>
      </c>
      <c r="I746">
        <v>2008</v>
      </c>
      <c r="J746" t="s">
        <v>2177</v>
      </c>
      <c r="K746" t="s">
        <v>2263</v>
      </c>
    </row>
    <row r="747" spans="1:11" x14ac:dyDescent="0.2">
      <c r="A747" t="s">
        <v>2261</v>
      </c>
      <c r="B747" t="s">
        <v>2262</v>
      </c>
      <c r="C747">
        <v>52.52</v>
      </c>
      <c r="D747" t="s">
        <v>20</v>
      </c>
      <c r="E747" s="6">
        <v>41369</v>
      </c>
      <c r="F747" s="6">
        <v>41372</v>
      </c>
      <c r="G747" s="6">
        <v>41372</v>
      </c>
      <c r="I747">
        <v>2012</v>
      </c>
      <c r="J747" t="s">
        <v>2175</v>
      </c>
      <c r="K747" t="s">
        <v>2263</v>
      </c>
    </row>
    <row r="748" spans="1:11" x14ac:dyDescent="0.2">
      <c r="A748" t="s">
        <v>2261</v>
      </c>
      <c r="B748" t="s">
        <v>2262</v>
      </c>
      <c r="C748">
        <v>52.52</v>
      </c>
      <c r="D748" t="s">
        <v>20</v>
      </c>
      <c r="E748" s="6">
        <v>41799</v>
      </c>
      <c r="F748" s="6">
        <v>41800</v>
      </c>
      <c r="G748" s="6">
        <v>41801</v>
      </c>
      <c r="I748">
        <v>2013</v>
      </c>
      <c r="J748" t="s">
        <v>2175</v>
      </c>
      <c r="K748" t="s">
        <v>2263</v>
      </c>
    </row>
    <row r="749" spans="1:11" x14ac:dyDescent="0.2">
      <c r="A749" t="s">
        <v>2261</v>
      </c>
      <c r="B749" t="s">
        <v>2262</v>
      </c>
      <c r="C749">
        <v>45.39</v>
      </c>
      <c r="D749" t="s">
        <v>20</v>
      </c>
      <c r="E749" s="6">
        <v>45113</v>
      </c>
      <c r="F749" s="6">
        <v>45114</v>
      </c>
      <c r="G749" s="6">
        <v>45117</v>
      </c>
      <c r="H749" s="6">
        <v>45152</v>
      </c>
      <c r="I749">
        <v>2022</v>
      </c>
      <c r="J749" t="s">
        <v>2175</v>
      </c>
      <c r="K749" t="s">
        <v>2263</v>
      </c>
    </row>
    <row r="750" spans="1:11" x14ac:dyDescent="0.2">
      <c r="A750" t="s">
        <v>2261</v>
      </c>
      <c r="B750" t="s">
        <v>2262</v>
      </c>
      <c r="C750">
        <v>89</v>
      </c>
      <c r="D750" t="s">
        <v>20</v>
      </c>
      <c r="E750" s="6">
        <v>45477</v>
      </c>
      <c r="F750" s="6">
        <v>45478</v>
      </c>
      <c r="G750" s="6">
        <v>45478</v>
      </c>
      <c r="H750" s="6">
        <v>45513</v>
      </c>
      <c r="I750">
        <v>2023</v>
      </c>
      <c r="J750" t="s">
        <v>2175</v>
      </c>
      <c r="K750" t="s">
        <v>2263</v>
      </c>
    </row>
    <row r="751" spans="1:11" x14ac:dyDescent="0.2">
      <c r="A751" t="s">
        <v>2261</v>
      </c>
      <c r="B751" t="s">
        <v>2262</v>
      </c>
      <c r="C751">
        <v>70</v>
      </c>
      <c r="D751" t="s">
        <v>20</v>
      </c>
      <c r="E751" s="6">
        <v>45818</v>
      </c>
      <c r="F751" s="6">
        <v>45818</v>
      </c>
      <c r="G751" s="6">
        <v>45819</v>
      </c>
      <c r="H751" s="6">
        <v>45856</v>
      </c>
      <c r="I751">
        <v>2024</v>
      </c>
      <c r="J751" t="s">
        <v>2175</v>
      </c>
      <c r="K751" t="s">
        <v>2263</v>
      </c>
    </row>
    <row r="752" spans="1:11" x14ac:dyDescent="0.2">
      <c r="A752" t="s">
        <v>2264</v>
      </c>
      <c r="B752" t="s">
        <v>2253</v>
      </c>
      <c r="C752">
        <v>1</v>
      </c>
      <c r="D752" t="s">
        <v>20</v>
      </c>
      <c r="E752" s="6">
        <v>45911</v>
      </c>
      <c r="F752" s="6">
        <v>45912</v>
      </c>
      <c r="G752" s="6">
        <v>45912</v>
      </c>
      <c r="H752" s="6">
        <v>45947</v>
      </c>
      <c r="I752">
        <v>2025</v>
      </c>
      <c r="J752" t="s">
        <v>2177</v>
      </c>
      <c r="K752" t="s">
        <v>2265</v>
      </c>
    </row>
    <row r="753" spans="1:11" x14ac:dyDescent="0.2">
      <c r="A753" t="s">
        <v>2266</v>
      </c>
      <c r="B753" t="s">
        <v>2253</v>
      </c>
      <c r="C753">
        <v>10.25</v>
      </c>
      <c r="D753" t="s">
        <v>20</v>
      </c>
      <c r="E753" s="6">
        <v>45261</v>
      </c>
      <c r="F753" s="6">
        <v>45264</v>
      </c>
      <c r="G753" s="6">
        <v>45264</v>
      </c>
      <c r="I753">
        <v>2023</v>
      </c>
      <c r="J753" t="s">
        <v>2180</v>
      </c>
      <c r="K753" t="s">
        <v>2267</v>
      </c>
    </row>
    <row r="754" spans="1:11" x14ac:dyDescent="0.2">
      <c r="A754" t="s">
        <v>2266</v>
      </c>
      <c r="B754" t="s">
        <v>2253</v>
      </c>
      <c r="C754">
        <v>2.11</v>
      </c>
      <c r="D754" t="s">
        <v>20</v>
      </c>
      <c r="E754" s="6">
        <v>45631</v>
      </c>
      <c r="F754" s="6">
        <v>45632</v>
      </c>
      <c r="G754" s="6">
        <v>45632</v>
      </c>
      <c r="I754">
        <v>2024</v>
      </c>
      <c r="J754" t="s">
        <v>2180</v>
      </c>
      <c r="K754" t="s">
        <v>2267</v>
      </c>
    </row>
    <row r="755" spans="1:11" x14ac:dyDescent="0.2">
      <c r="A755" t="s">
        <v>2268</v>
      </c>
      <c r="B755" t="s">
        <v>2256</v>
      </c>
      <c r="C755">
        <v>648</v>
      </c>
      <c r="D755" t="s">
        <v>20</v>
      </c>
      <c r="E755" s="6">
        <v>45846</v>
      </c>
      <c r="F755" s="6">
        <v>45847</v>
      </c>
      <c r="G755" s="6">
        <v>45847</v>
      </c>
      <c r="H755" s="6">
        <v>45882</v>
      </c>
      <c r="I755">
        <v>2024</v>
      </c>
      <c r="J755" t="s">
        <v>2175</v>
      </c>
      <c r="K755" t="s">
        <v>2269</v>
      </c>
    </row>
    <row r="756" spans="1:11" x14ac:dyDescent="0.2">
      <c r="A756" t="s">
        <v>2268</v>
      </c>
      <c r="B756" t="s">
        <v>2256</v>
      </c>
      <c r="C756">
        <v>368</v>
      </c>
      <c r="D756" t="s">
        <v>20</v>
      </c>
      <c r="E756" s="6">
        <v>46021</v>
      </c>
      <c r="F756" s="6">
        <v>46027</v>
      </c>
      <c r="G756" s="6">
        <v>46028</v>
      </c>
      <c r="H756" s="6">
        <v>46066</v>
      </c>
      <c r="I756">
        <v>2025</v>
      </c>
      <c r="J756" t="s">
        <v>2180</v>
      </c>
      <c r="K756" t="s">
        <v>2269</v>
      </c>
    </row>
    <row r="757" spans="1:11" x14ac:dyDescent="0.2">
      <c r="A757" t="s">
        <v>2270</v>
      </c>
      <c r="B757" t="s">
        <v>2271</v>
      </c>
      <c r="C757">
        <v>7.89</v>
      </c>
      <c r="D757" t="s">
        <v>20</v>
      </c>
      <c r="E757" s="6">
        <v>45481</v>
      </c>
      <c r="F757" s="6">
        <v>45482</v>
      </c>
      <c r="G757" s="6">
        <v>45482</v>
      </c>
      <c r="H757" s="6">
        <v>45517</v>
      </c>
      <c r="I757">
        <v>2024</v>
      </c>
      <c r="J757" t="s">
        <v>2195</v>
      </c>
      <c r="K757" t="s">
        <v>2272</v>
      </c>
    </row>
    <row r="758" spans="1:11" x14ac:dyDescent="0.2">
      <c r="A758" t="s">
        <v>2270</v>
      </c>
      <c r="B758" t="s">
        <v>2271</v>
      </c>
      <c r="C758">
        <v>2.64</v>
      </c>
      <c r="D758" t="s">
        <v>20</v>
      </c>
      <c r="E758" s="6">
        <v>45672</v>
      </c>
      <c r="F758" s="6">
        <v>45673</v>
      </c>
      <c r="G758" s="6">
        <v>45673</v>
      </c>
      <c r="I758">
        <v>2024</v>
      </c>
      <c r="J758" t="s">
        <v>2180</v>
      </c>
      <c r="K758" t="s">
        <v>2272</v>
      </c>
    </row>
    <row r="759" spans="1:11" x14ac:dyDescent="0.2">
      <c r="A759" t="s">
        <v>2270</v>
      </c>
      <c r="B759" t="s">
        <v>2271</v>
      </c>
      <c r="C759">
        <v>3.15</v>
      </c>
      <c r="D759" t="s">
        <v>20</v>
      </c>
      <c r="E759" s="6">
        <v>45847</v>
      </c>
      <c r="F759" s="6">
        <v>45848</v>
      </c>
      <c r="G759" s="6">
        <v>45848</v>
      </c>
      <c r="H759" s="6">
        <v>45883</v>
      </c>
      <c r="I759">
        <v>2024</v>
      </c>
      <c r="J759" t="s">
        <v>2175</v>
      </c>
      <c r="K759" t="s">
        <v>2272</v>
      </c>
    </row>
    <row r="760" spans="1:11" x14ac:dyDescent="0.2">
      <c r="A760" t="s">
        <v>2273</v>
      </c>
      <c r="B760" t="s">
        <v>2271</v>
      </c>
      <c r="C760">
        <v>3.34</v>
      </c>
      <c r="D760" t="s">
        <v>20</v>
      </c>
      <c r="E760" s="6">
        <v>45989</v>
      </c>
      <c r="F760" s="6">
        <v>45992</v>
      </c>
      <c r="G760" s="6">
        <v>45992</v>
      </c>
      <c r="H760" s="6">
        <v>46037</v>
      </c>
      <c r="I760">
        <v>2025</v>
      </c>
      <c r="J760" t="s">
        <v>2180</v>
      </c>
      <c r="K760" t="s">
        <v>2274</v>
      </c>
    </row>
    <row r="761" spans="1:11" x14ac:dyDescent="0.2">
      <c r="A761" t="s">
        <v>2275</v>
      </c>
      <c r="B761" t="s">
        <v>2253</v>
      </c>
      <c r="C761">
        <v>104</v>
      </c>
      <c r="D761" t="s">
        <v>20</v>
      </c>
      <c r="E761" s="6">
        <v>46002</v>
      </c>
      <c r="F761" s="6">
        <v>46003</v>
      </c>
      <c r="G761" s="6">
        <v>46003</v>
      </c>
      <c r="H761" s="6">
        <v>46050</v>
      </c>
      <c r="I761">
        <v>2025</v>
      </c>
      <c r="J761" t="s">
        <v>2180</v>
      </c>
      <c r="K761" t="s">
        <v>2276</v>
      </c>
    </row>
    <row r="762" spans="1:11" x14ac:dyDescent="0.2">
      <c r="A762" t="s">
        <v>2277</v>
      </c>
      <c r="B762" t="s">
        <v>2271</v>
      </c>
      <c r="C762">
        <v>0.86</v>
      </c>
      <c r="D762" t="s">
        <v>20</v>
      </c>
      <c r="E762" s="6">
        <v>45813</v>
      </c>
      <c r="F762" s="6">
        <v>45814</v>
      </c>
      <c r="G762" s="6">
        <v>45814</v>
      </c>
      <c r="H762" s="6">
        <v>45853</v>
      </c>
      <c r="I762">
        <v>2024</v>
      </c>
      <c r="J762" t="s">
        <v>2175</v>
      </c>
      <c r="K762" t="s">
        <v>2278</v>
      </c>
    </row>
    <row r="763" spans="1:11" x14ac:dyDescent="0.2">
      <c r="A763" t="s">
        <v>2277</v>
      </c>
      <c r="B763" t="s">
        <v>2271</v>
      </c>
      <c r="C763">
        <v>2.57</v>
      </c>
      <c r="D763" t="s">
        <v>20</v>
      </c>
      <c r="E763" s="6">
        <v>45813</v>
      </c>
      <c r="F763" s="6">
        <v>45814</v>
      </c>
      <c r="G763" s="6">
        <v>45814</v>
      </c>
      <c r="H763" s="6">
        <v>45853</v>
      </c>
      <c r="I763">
        <v>2025</v>
      </c>
      <c r="J763" t="s">
        <v>2195</v>
      </c>
      <c r="K763" t="s">
        <v>2278</v>
      </c>
    </row>
    <row r="764" spans="1:11" x14ac:dyDescent="0.2">
      <c r="A764" t="s">
        <v>2279</v>
      </c>
      <c r="B764" t="s">
        <v>2253</v>
      </c>
      <c r="C764">
        <v>907</v>
      </c>
      <c r="D764" t="s">
        <v>20</v>
      </c>
      <c r="E764" s="6">
        <v>45642</v>
      </c>
      <c r="F764" s="6">
        <v>45643</v>
      </c>
      <c r="G764" s="6">
        <v>45643</v>
      </c>
      <c r="H764" s="6">
        <v>45687</v>
      </c>
      <c r="I764">
        <v>2024</v>
      </c>
      <c r="J764" t="s">
        <v>2180</v>
      </c>
      <c r="K764" t="s">
        <v>2280</v>
      </c>
    </row>
    <row r="765" spans="1:11" x14ac:dyDescent="0.2">
      <c r="A765" t="s">
        <v>2279</v>
      </c>
      <c r="B765" t="s">
        <v>2253</v>
      </c>
      <c r="C765">
        <v>233</v>
      </c>
      <c r="D765" t="s">
        <v>20</v>
      </c>
      <c r="E765" s="6">
        <v>45925</v>
      </c>
      <c r="F765" s="6">
        <v>45926</v>
      </c>
      <c r="G765" s="6">
        <v>45927</v>
      </c>
      <c r="H765" s="6">
        <v>45961</v>
      </c>
      <c r="I765">
        <v>2025</v>
      </c>
      <c r="J765" t="s">
        <v>2177</v>
      </c>
      <c r="K765" t="s">
        <v>2280</v>
      </c>
    </row>
    <row r="766" spans="1:11" x14ac:dyDescent="0.2">
      <c r="A766" t="s">
        <v>2281</v>
      </c>
      <c r="B766" t="s">
        <v>2282</v>
      </c>
      <c r="C766">
        <v>143.55000000000001</v>
      </c>
      <c r="D766" t="s">
        <v>20</v>
      </c>
      <c r="E766" s="6">
        <v>46010</v>
      </c>
      <c r="F766" s="6">
        <v>46013</v>
      </c>
      <c r="G766" s="6">
        <v>46013</v>
      </c>
      <c r="H766" s="6">
        <v>46058</v>
      </c>
      <c r="I766">
        <v>2025</v>
      </c>
      <c r="J766" t="s">
        <v>2180</v>
      </c>
      <c r="K766" t="s">
        <v>2283</v>
      </c>
    </row>
    <row r="767" spans="1:11" x14ac:dyDescent="0.2">
      <c r="A767" t="s">
        <v>2284</v>
      </c>
      <c r="B767" t="s">
        <v>2271</v>
      </c>
      <c r="C767">
        <v>14.4</v>
      </c>
      <c r="D767" t="s">
        <v>20</v>
      </c>
      <c r="E767" s="6">
        <v>44686</v>
      </c>
      <c r="F767" s="6">
        <v>44687</v>
      </c>
      <c r="G767" s="6">
        <v>44689</v>
      </c>
      <c r="H767" s="6">
        <v>44727</v>
      </c>
      <c r="I767">
        <v>2022</v>
      </c>
      <c r="J767" t="s">
        <v>2195</v>
      </c>
      <c r="K767" t="s">
        <v>2285</v>
      </c>
    </row>
    <row r="768" spans="1:11" x14ac:dyDescent="0.2">
      <c r="A768" t="s">
        <v>2284</v>
      </c>
      <c r="B768" t="s">
        <v>2271</v>
      </c>
      <c r="C768">
        <v>5.16</v>
      </c>
      <c r="D768" t="s">
        <v>20</v>
      </c>
      <c r="E768" s="6">
        <v>44875</v>
      </c>
      <c r="F768" s="6">
        <v>44876</v>
      </c>
      <c r="G768" s="6">
        <v>44879</v>
      </c>
      <c r="H768" s="6">
        <v>44914</v>
      </c>
      <c r="I768">
        <v>2022</v>
      </c>
      <c r="J768" t="s">
        <v>2180</v>
      </c>
      <c r="K768" t="s">
        <v>2285</v>
      </c>
    </row>
    <row r="769" spans="1:11" x14ac:dyDescent="0.2">
      <c r="A769" t="s">
        <v>2284</v>
      </c>
      <c r="B769" t="s">
        <v>2271</v>
      </c>
      <c r="C769">
        <v>18.940000000000001</v>
      </c>
      <c r="D769" t="s">
        <v>20</v>
      </c>
      <c r="E769" s="6">
        <v>45064</v>
      </c>
      <c r="F769" s="6">
        <v>45065</v>
      </c>
      <c r="G769" s="6">
        <v>45068</v>
      </c>
      <c r="H769" s="6">
        <v>45104</v>
      </c>
      <c r="I769">
        <v>2022</v>
      </c>
      <c r="J769" t="s">
        <v>2175</v>
      </c>
      <c r="K769" t="s">
        <v>2285</v>
      </c>
    </row>
    <row r="770" spans="1:11" x14ac:dyDescent="0.2">
      <c r="A770" t="s">
        <v>2284</v>
      </c>
      <c r="B770" t="s">
        <v>2271</v>
      </c>
      <c r="C770">
        <v>37.869999999999997</v>
      </c>
      <c r="D770" t="s">
        <v>20</v>
      </c>
      <c r="E770" s="6">
        <v>45029</v>
      </c>
      <c r="F770" s="6">
        <v>45030</v>
      </c>
      <c r="G770" s="6">
        <v>45032</v>
      </c>
      <c r="I770">
        <v>2023</v>
      </c>
      <c r="J770" t="s">
        <v>2195</v>
      </c>
      <c r="K770" t="s">
        <v>2285</v>
      </c>
    </row>
    <row r="771" spans="1:11" x14ac:dyDescent="0.2">
      <c r="A771" t="s">
        <v>2284</v>
      </c>
      <c r="B771" t="s">
        <v>2271</v>
      </c>
      <c r="C771">
        <v>15.8</v>
      </c>
      <c r="D771" t="s">
        <v>20</v>
      </c>
      <c r="E771" s="6">
        <v>45261</v>
      </c>
      <c r="F771" s="6">
        <v>45264</v>
      </c>
      <c r="G771" s="6">
        <v>45263</v>
      </c>
      <c r="H771" s="6">
        <v>45306</v>
      </c>
      <c r="I771">
        <v>2023</v>
      </c>
      <c r="J771" t="s">
        <v>2180</v>
      </c>
      <c r="K771" t="s">
        <v>2285</v>
      </c>
    </row>
    <row r="772" spans="1:11" x14ac:dyDescent="0.2">
      <c r="A772" t="s">
        <v>2284</v>
      </c>
      <c r="B772" t="s">
        <v>2271</v>
      </c>
      <c r="C772">
        <v>47.3</v>
      </c>
      <c r="D772" t="s">
        <v>20</v>
      </c>
      <c r="E772" s="6">
        <v>45400</v>
      </c>
      <c r="F772" s="6">
        <v>45401</v>
      </c>
      <c r="G772" s="6">
        <v>45402</v>
      </c>
      <c r="I772">
        <v>2023</v>
      </c>
      <c r="J772" t="s">
        <v>2286</v>
      </c>
      <c r="K772" t="s">
        <v>2285</v>
      </c>
    </row>
    <row r="773" spans="1:11" x14ac:dyDescent="0.2">
      <c r="A773" t="s">
        <v>2284</v>
      </c>
      <c r="B773" t="s">
        <v>2271</v>
      </c>
      <c r="C773">
        <v>47.33</v>
      </c>
      <c r="D773" t="s">
        <v>20</v>
      </c>
      <c r="E773" s="6">
        <v>45435</v>
      </c>
      <c r="F773" s="6">
        <v>45436</v>
      </c>
      <c r="G773" s="6">
        <v>45436</v>
      </c>
      <c r="H773" s="6">
        <v>45474</v>
      </c>
      <c r="I773">
        <v>2023</v>
      </c>
      <c r="J773" t="s">
        <v>2175</v>
      </c>
      <c r="K773" t="s">
        <v>2285</v>
      </c>
    </row>
    <row r="774" spans="1:11" x14ac:dyDescent="0.2">
      <c r="A774" t="s">
        <v>2284</v>
      </c>
      <c r="B774" t="s">
        <v>2271</v>
      </c>
      <c r="C774">
        <v>4.5599999999999996</v>
      </c>
      <c r="D774" t="s">
        <v>20</v>
      </c>
      <c r="E774" s="6">
        <v>45435</v>
      </c>
      <c r="F774" s="6">
        <v>45436</v>
      </c>
      <c r="G774" s="6">
        <v>45436</v>
      </c>
      <c r="I774">
        <v>2024</v>
      </c>
      <c r="J774" t="s">
        <v>2195</v>
      </c>
      <c r="K774" t="s">
        <v>2285</v>
      </c>
    </row>
    <row r="775" spans="1:11" x14ac:dyDescent="0.2">
      <c r="A775" t="s">
        <v>2287</v>
      </c>
      <c r="B775" t="s">
        <v>2253</v>
      </c>
      <c r="C775">
        <v>80</v>
      </c>
      <c r="D775" t="s">
        <v>20</v>
      </c>
      <c r="E775" s="6">
        <v>45554</v>
      </c>
      <c r="F775" s="6">
        <v>45555</v>
      </c>
      <c r="G775" s="6">
        <v>45555</v>
      </c>
      <c r="H775" s="6">
        <v>45590</v>
      </c>
      <c r="I775">
        <v>2024</v>
      </c>
      <c r="J775" t="s">
        <v>2177</v>
      </c>
      <c r="K775" t="s">
        <v>2288</v>
      </c>
    </row>
    <row r="776" spans="1:11" x14ac:dyDescent="0.2">
      <c r="A776" t="s">
        <v>2287</v>
      </c>
      <c r="B776" t="s">
        <v>2253</v>
      </c>
      <c r="C776">
        <v>80</v>
      </c>
      <c r="D776" t="s">
        <v>20</v>
      </c>
      <c r="E776" s="6">
        <v>45772</v>
      </c>
      <c r="F776" s="6">
        <v>45775</v>
      </c>
      <c r="G776" s="6">
        <v>45775</v>
      </c>
      <c r="I776">
        <v>2024</v>
      </c>
      <c r="J776" t="s">
        <v>2175</v>
      </c>
      <c r="K776" t="s">
        <v>2288</v>
      </c>
    </row>
    <row r="777" spans="1:11" x14ac:dyDescent="0.2">
      <c r="A777" t="s">
        <v>2287</v>
      </c>
      <c r="B777" t="s">
        <v>2253</v>
      </c>
      <c r="C777">
        <v>80</v>
      </c>
      <c r="D777" t="s">
        <v>20</v>
      </c>
      <c r="E777" s="6">
        <v>45926</v>
      </c>
      <c r="F777" s="6">
        <v>45929</v>
      </c>
      <c r="G777" s="6">
        <v>45929</v>
      </c>
      <c r="H777" s="6">
        <v>45964</v>
      </c>
      <c r="I777">
        <v>2025</v>
      </c>
      <c r="J777" t="s">
        <v>2177</v>
      </c>
      <c r="K777" t="s">
        <v>2288</v>
      </c>
    </row>
    <row r="778" spans="1:11" x14ac:dyDescent="0.2">
      <c r="A778" t="s">
        <v>2289</v>
      </c>
      <c r="B778" t="s">
        <v>2290</v>
      </c>
      <c r="C778">
        <v>0.24</v>
      </c>
      <c r="D778" t="s">
        <v>20</v>
      </c>
      <c r="E778" s="6">
        <v>36619</v>
      </c>
      <c r="F778" s="6">
        <v>36620</v>
      </c>
      <c r="G778" s="6">
        <v>36620</v>
      </c>
      <c r="I778">
        <v>2000</v>
      </c>
      <c r="J778" t="s">
        <v>2195</v>
      </c>
      <c r="K778" t="s">
        <v>2291</v>
      </c>
    </row>
    <row r="779" spans="1:11" x14ac:dyDescent="0.2">
      <c r="A779" t="s">
        <v>2289</v>
      </c>
      <c r="B779" t="s">
        <v>2290</v>
      </c>
      <c r="C779">
        <v>0.24</v>
      </c>
      <c r="D779" t="s">
        <v>20</v>
      </c>
      <c r="E779" s="6">
        <v>36978</v>
      </c>
      <c r="F779" s="6">
        <v>36979</v>
      </c>
      <c r="G779" s="6">
        <v>36979</v>
      </c>
      <c r="I779">
        <v>2000</v>
      </c>
      <c r="J779" t="s">
        <v>2175</v>
      </c>
      <c r="K779" t="s">
        <v>2291</v>
      </c>
    </row>
    <row r="780" spans="1:11" x14ac:dyDescent="0.2">
      <c r="A780" t="s">
        <v>2289</v>
      </c>
      <c r="B780" t="s">
        <v>2290</v>
      </c>
      <c r="C780">
        <v>1.7</v>
      </c>
      <c r="D780" t="s">
        <v>20</v>
      </c>
      <c r="E780" s="6">
        <v>37799</v>
      </c>
      <c r="F780" s="6">
        <v>37800</v>
      </c>
      <c r="G780" s="6">
        <v>37802</v>
      </c>
      <c r="I780">
        <v>2002</v>
      </c>
      <c r="J780" t="s">
        <v>2175</v>
      </c>
      <c r="K780" t="s">
        <v>2291</v>
      </c>
    </row>
    <row r="781" spans="1:11" x14ac:dyDescent="0.2">
      <c r="A781" t="s">
        <v>2289</v>
      </c>
      <c r="B781" t="s">
        <v>2290</v>
      </c>
      <c r="C781">
        <v>3.2</v>
      </c>
      <c r="D781" t="s">
        <v>20</v>
      </c>
      <c r="E781" s="6">
        <v>38114</v>
      </c>
      <c r="F781" s="6">
        <v>38115</v>
      </c>
      <c r="G781" s="6">
        <v>38117</v>
      </c>
      <c r="I781">
        <v>2003</v>
      </c>
      <c r="J781" t="s">
        <v>2175</v>
      </c>
      <c r="K781" t="s">
        <v>2291</v>
      </c>
    </row>
    <row r="782" spans="1:11" x14ac:dyDescent="0.2">
      <c r="A782" t="s">
        <v>2289</v>
      </c>
      <c r="B782" t="s">
        <v>2290</v>
      </c>
      <c r="C782">
        <v>5.75</v>
      </c>
      <c r="D782" t="s">
        <v>20</v>
      </c>
      <c r="E782" s="6">
        <v>38471</v>
      </c>
      <c r="F782" s="6">
        <v>38472</v>
      </c>
      <c r="G782" s="6">
        <v>38475</v>
      </c>
      <c r="I782">
        <v>2004</v>
      </c>
      <c r="J782" t="s">
        <v>2175</v>
      </c>
      <c r="K782" t="s">
        <v>2291</v>
      </c>
    </row>
    <row r="783" spans="1:11" x14ac:dyDescent="0.2">
      <c r="A783" t="s">
        <v>2289</v>
      </c>
      <c r="B783" t="s">
        <v>2290</v>
      </c>
      <c r="C783">
        <v>7.6</v>
      </c>
      <c r="D783" t="s">
        <v>20</v>
      </c>
      <c r="E783" s="6">
        <v>38842</v>
      </c>
      <c r="F783" s="6">
        <v>38843</v>
      </c>
      <c r="G783" s="6">
        <v>38843</v>
      </c>
      <c r="I783">
        <v>2005</v>
      </c>
      <c r="J783" t="s">
        <v>2175</v>
      </c>
      <c r="K783" t="s">
        <v>2291</v>
      </c>
    </row>
    <row r="784" spans="1:11" x14ac:dyDescent="0.2">
      <c r="A784" t="s">
        <v>2289</v>
      </c>
      <c r="B784" t="s">
        <v>2290</v>
      </c>
      <c r="C784">
        <v>9.67</v>
      </c>
      <c r="D784" t="s">
        <v>20</v>
      </c>
      <c r="E784" s="6">
        <v>39213</v>
      </c>
      <c r="F784" s="6">
        <v>39214</v>
      </c>
      <c r="G784" s="6">
        <v>39216</v>
      </c>
      <c r="I784">
        <v>2006</v>
      </c>
      <c r="J784" t="s">
        <v>2175</v>
      </c>
      <c r="K784" t="s">
        <v>2291</v>
      </c>
    </row>
    <row r="785" spans="1:11" x14ac:dyDescent="0.2">
      <c r="A785" t="s">
        <v>2289</v>
      </c>
      <c r="B785" t="s">
        <v>2290</v>
      </c>
      <c r="C785">
        <v>14.8</v>
      </c>
      <c r="D785" t="s">
        <v>20</v>
      </c>
      <c r="E785" s="6">
        <v>39574</v>
      </c>
      <c r="F785" s="6">
        <v>39575</v>
      </c>
      <c r="G785" s="6">
        <v>39576</v>
      </c>
      <c r="I785">
        <v>2007</v>
      </c>
      <c r="J785" t="s">
        <v>2175</v>
      </c>
      <c r="K785" t="s">
        <v>2291</v>
      </c>
    </row>
    <row r="786" spans="1:11" x14ac:dyDescent="0.2">
      <c r="A786" t="s">
        <v>2289</v>
      </c>
      <c r="B786" t="s">
        <v>2290</v>
      </c>
      <c r="C786">
        <v>20.2</v>
      </c>
      <c r="D786" t="s">
        <v>20</v>
      </c>
      <c r="E786" s="6">
        <v>39939</v>
      </c>
      <c r="F786" s="6">
        <v>39940</v>
      </c>
      <c r="G786" s="6">
        <v>39941</v>
      </c>
      <c r="I786">
        <v>2008</v>
      </c>
      <c r="J786" t="s">
        <v>2175</v>
      </c>
      <c r="K786" t="s">
        <v>2291</v>
      </c>
    </row>
    <row r="787" spans="1:11" x14ac:dyDescent="0.2">
      <c r="A787" t="s">
        <v>2289</v>
      </c>
      <c r="B787" t="s">
        <v>2290</v>
      </c>
      <c r="C787">
        <v>15.4</v>
      </c>
      <c r="D787" t="s">
        <v>20</v>
      </c>
      <c r="E787" s="6">
        <v>40303</v>
      </c>
      <c r="F787" s="6">
        <v>40304</v>
      </c>
      <c r="G787" s="6">
        <v>40305</v>
      </c>
      <c r="I787">
        <v>2009</v>
      </c>
      <c r="J787" t="s">
        <v>2175</v>
      </c>
      <c r="K787" t="s">
        <v>2291</v>
      </c>
    </row>
    <row r="788" spans="1:11" x14ac:dyDescent="0.2">
      <c r="A788" t="s">
        <v>2289</v>
      </c>
      <c r="B788" t="s">
        <v>2290</v>
      </c>
      <c r="C788">
        <v>14.54</v>
      </c>
      <c r="D788" t="s">
        <v>20</v>
      </c>
      <c r="E788" s="6">
        <v>40669</v>
      </c>
      <c r="F788" s="6">
        <v>40672</v>
      </c>
      <c r="G788" s="6">
        <v>40673</v>
      </c>
      <c r="I788">
        <v>2010</v>
      </c>
      <c r="J788" t="s">
        <v>2175</v>
      </c>
      <c r="K788" t="s">
        <v>2291</v>
      </c>
    </row>
    <row r="789" spans="1:11" x14ac:dyDescent="0.2">
      <c r="A789" t="s">
        <v>2289</v>
      </c>
      <c r="B789" t="s">
        <v>2290</v>
      </c>
      <c r="C789">
        <v>14.71</v>
      </c>
      <c r="D789" t="s">
        <v>20</v>
      </c>
      <c r="E789" s="6">
        <v>41037</v>
      </c>
      <c r="F789" s="6">
        <v>41038</v>
      </c>
      <c r="G789" s="6">
        <v>41039</v>
      </c>
      <c r="I789">
        <v>2011</v>
      </c>
      <c r="J789" t="s">
        <v>2175</v>
      </c>
      <c r="K789" t="s">
        <v>2291</v>
      </c>
    </row>
    <row r="790" spans="1:11" x14ac:dyDescent="0.2">
      <c r="A790" t="s">
        <v>2289</v>
      </c>
      <c r="B790" t="s">
        <v>2290</v>
      </c>
      <c r="C790">
        <v>14.6</v>
      </c>
      <c r="D790" t="s">
        <v>20</v>
      </c>
      <c r="E790" s="6">
        <v>41400</v>
      </c>
      <c r="F790" s="6">
        <v>41401</v>
      </c>
      <c r="G790" s="6">
        <v>41402</v>
      </c>
      <c r="I790">
        <v>2012</v>
      </c>
      <c r="J790" t="s">
        <v>2175</v>
      </c>
      <c r="K790" t="s">
        <v>2291</v>
      </c>
    </row>
    <row r="791" spans="1:11" x14ac:dyDescent="0.2">
      <c r="A791" t="s">
        <v>2289</v>
      </c>
      <c r="B791" t="s">
        <v>2290</v>
      </c>
      <c r="C791">
        <v>5.22</v>
      </c>
      <c r="D791" t="s">
        <v>20</v>
      </c>
      <c r="E791" s="6">
        <v>41498</v>
      </c>
      <c r="F791" s="6">
        <v>41499</v>
      </c>
      <c r="G791" s="6">
        <v>41500</v>
      </c>
      <c r="I791">
        <v>2013</v>
      </c>
      <c r="J791" t="s">
        <v>2177</v>
      </c>
      <c r="K791" t="s">
        <v>2291</v>
      </c>
    </row>
    <row r="792" spans="1:11" x14ac:dyDescent="0.2">
      <c r="A792" t="s">
        <v>2289</v>
      </c>
      <c r="B792" t="s">
        <v>2290</v>
      </c>
      <c r="C792">
        <v>18.600000000000001</v>
      </c>
      <c r="D792" t="s">
        <v>20</v>
      </c>
      <c r="E792" s="6">
        <v>41823</v>
      </c>
      <c r="F792" s="6">
        <v>41824</v>
      </c>
      <c r="G792" s="6">
        <v>41827</v>
      </c>
      <c r="I792">
        <v>2013</v>
      </c>
      <c r="J792" t="s">
        <v>2175</v>
      </c>
      <c r="K792" t="s">
        <v>2291</v>
      </c>
    </row>
    <row r="793" spans="1:11" x14ac:dyDescent="0.2">
      <c r="A793" t="s">
        <v>2289</v>
      </c>
      <c r="B793" t="s">
        <v>2290</v>
      </c>
      <c r="C793">
        <v>6.2</v>
      </c>
      <c r="D793" t="s">
        <v>20</v>
      </c>
      <c r="E793" s="6">
        <v>41922</v>
      </c>
      <c r="F793" s="6">
        <v>41925</v>
      </c>
      <c r="G793" s="6">
        <v>41926</v>
      </c>
      <c r="I793">
        <v>2014</v>
      </c>
      <c r="J793" t="s">
        <v>2177</v>
      </c>
      <c r="K793" t="s">
        <v>2291</v>
      </c>
    </row>
    <row r="794" spans="1:11" x14ac:dyDescent="0.2">
      <c r="A794" t="s">
        <v>2289</v>
      </c>
      <c r="B794" t="s">
        <v>2290</v>
      </c>
      <c r="C794">
        <v>19.559999999999999</v>
      </c>
      <c r="D794" t="s">
        <v>20</v>
      </c>
      <c r="E794" s="6">
        <v>42188</v>
      </c>
      <c r="F794" s="6">
        <v>42191</v>
      </c>
      <c r="G794" s="6">
        <v>42192</v>
      </c>
      <c r="I794">
        <v>2014</v>
      </c>
      <c r="J794" t="s">
        <v>2175</v>
      </c>
      <c r="K794" t="s">
        <v>2291</v>
      </c>
    </row>
    <row r="795" spans="1:11" x14ac:dyDescent="0.2">
      <c r="A795" t="s">
        <v>2289</v>
      </c>
      <c r="B795" t="s">
        <v>2290</v>
      </c>
      <c r="C795">
        <v>5.61</v>
      </c>
      <c r="D795" t="s">
        <v>20</v>
      </c>
      <c r="E795" s="6">
        <v>42289</v>
      </c>
      <c r="F795" s="6">
        <v>42290</v>
      </c>
      <c r="G795" s="6">
        <v>42291</v>
      </c>
      <c r="I795">
        <v>2015</v>
      </c>
      <c r="J795" t="s">
        <v>2177</v>
      </c>
      <c r="K795" t="s">
        <v>2291</v>
      </c>
    </row>
    <row r="796" spans="1:11" x14ac:dyDescent="0.2">
      <c r="A796" t="s">
        <v>2289</v>
      </c>
      <c r="B796" t="s">
        <v>2290</v>
      </c>
      <c r="C796">
        <v>14.01</v>
      </c>
      <c r="D796" t="s">
        <v>20</v>
      </c>
      <c r="E796" s="6">
        <v>42552</v>
      </c>
      <c r="F796" s="6">
        <v>42555</v>
      </c>
      <c r="G796" s="6">
        <v>42556</v>
      </c>
      <c r="I796">
        <v>2015</v>
      </c>
      <c r="J796" t="s">
        <v>2175</v>
      </c>
      <c r="K796" t="s">
        <v>2291</v>
      </c>
    </row>
    <row r="797" spans="1:11" x14ac:dyDescent="0.2">
      <c r="A797" t="s">
        <v>2289</v>
      </c>
      <c r="B797" t="s">
        <v>2290</v>
      </c>
      <c r="C797">
        <v>11.99</v>
      </c>
      <c r="D797" t="s">
        <v>20</v>
      </c>
      <c r="E797" s="6">
        <v>42655</v>
      </c>
      <c r="F797" s="6">
        <v>42656</v>
      </c>
      <c r="G797" s="6">
        <v>42657</v>
      </c>
      <c r="I797">
        <v>2016</v>
      </c>
      <c r="J797" t="s">
        <v>2177</v>
      </c>
      <c r="K797" t="s">
        <v>2291</v>
      </c>
    </row>
    <row r="798" spans="1:11" x14ac:dyDescent="0.2">
      <c r="A798" t="s">
        <v>2289</v>
      </c>
      <c r="B798" t="s">
        <v>2290</v>
      </c>
      <c r="C798">
        <v>15.6</v>
      </c>
      <c r="D798" t="s">
        <v>20</v>
      </c>
      <c r="E798" s="6">
        <v>42922</v>
      </c>
      <c r="F798" s="6">
        <v>42923</v>
      </c>
      <c r="G798" s="6">
        <v>42926</v>
      </c>
      <c r="I798">
        <v>2016</v>
      </c>
      <c r="J798" t="s">
        <v>2175</v>
      </c>
      <c r="K798" t="s">
        <v>2291</v>
      </c>
    </row>
    <row r="799" spans="1:11" x14ac:dyDescent="0.2">
      <c r="A799" t="s">
        <v>2289</v>
      </c>
      <c r="B799" t="s">
        <v>2290</v>
      </c>
      <c r="C799">
        <v>10.4</v>
      </c>
      <c r="D799" t="s">
        <v>20</v>
      </c>
      <c r="E799" s="6">
        <v>43019</v>
      </c>
      <c r="F799" s="6">
        <v>43020</v>
      </c>
      <c r="G799" s="6">
        <v>43021</v>
      </c>
      <c r="I799">
        <v>2017</v>
      </c>
      <c r="J799" t="s">
        <v>2177</v>
      </c>
      <c r="K799" t="s">
        <v>2291</v>
      </c>
    </row>
    <row r="800" spans="1:11" x14ac:dyDescent="0.2">
      <c r="A800" t="s">
        <v>2289</v>
      </c>
      <c r="B800" t="s">
        <v>2290</v>
      </c>
      <c r="C800">
        <v>23.4</v>
      </c>
      <c r="D800" t="s">
        <v>20</v>
      </c>
      <c r="E800" s="6">
        <v>43286</v>
      </c>
      <c r="F800" s="6">
        <v>43287</v>
      </c>
      <c r="G800" s="6">
        <v>43290</v>
      </c>
      <c r="I800">
        <v>2017</v>
      </c>
      <c r="J800" t="s">
        <v>2175</v>
      </c>
      <c r="K800" t="s">
        <v>2291</v>
      </c>
    </row>
    <row r="801" spans="1:11" x14ac:dyDescent="0.2">
      <c r="A801" t="s">
        <v>2289</v>
      </c>
      <c r="B801" t="s">
        <v>2290</v>
      </c>
      <c r="C801">
        <v>2.6</v>
      </c>
      <c r="D801" t="s">
        <v>20</v>
      </c>
      <c r="E801" s="6">
        <v>43378</v>
      </c>
      <c r="F801" s="6">
        <v>43381</v>
      </c>
      <c r="G801" s="6">
        <v>43382</v>
      </c>
      <c r="I801">
        <v>2018</v>
      </c>
      <c r="J801" t="s">
        <v>2177</v>
      </c>
      <c r="K801" t="s">
        <v>2291</v>
      </c>
    </row>
    <row r="802" spans="1:11" x14ac:dyDescent="0.2">
      <c r="A802" t="s">
        <v>2289</v>
      </c>
      <c r="B802" t="s">
        <v>2290</v>
      </c>
      <c r="C802">
        <v>19.98</v>
      </c>
      <c r="D802" t="s">
        <v>20</v>
      </c>
      <c r="E802" s="6">
        <v>43651</v>
      </c>
      <c r="F802" s="6">
        <v>43654</v>
      </c>
      <c r="G802" s="6">
        <v>43655</v>
      </c>
      <c r="I802">
        <v>2018</v>
      </c>
      <c r="J802" t="s">
        <v>2175</v>
      </c>
      <c r="K802" t="s">
        <v>2291</v>
      </c>
    </row>
    <row r="803" spans="1:11" x14ac:dyDescent="0.2">
      <c r="A803" t="s">
        <v>2289</v>
      </c>
      <c r="B803" t="s">
        <v>2290</v>
      </c>
      <c r="C803">
        <v>8.68</v>
      </c>
      <c r="D803" t="s">
        <v>20</v>
      </c>
      <c r="E803" s="6">
        <v>43748</v>
      </c>
      <c r="F803" s="6">
        <v>43749</v>
      </c>
      <c r="G803" s="6">
        <v>43752</v>
      </c>
      <c r="I803">
        <v>2019</v>
      </c>
      <c r="J803" t="s">
        <v>2177</v>
      </c>
      <c r="K803" t="s">
        <v>2291</v>
      </c>
    </row>
    <row r="804" spans="1:11" x14ac:dyDescent="0.2">
      <c r="A804" t="s">
        <v>2289</v>
      </c>
      <c r="B804" t="s">
        <v>2290</v>
      </c>
      <c r="C804">
        <v>13.25</v>
      </c>
      <c r="D804" t="s">
        <v>20</v>
      </c>
      <c r="E804" s="6">
        <v>43838</v>
      </c>
      <c r="F804" s="6">
        <v>43839</v>
      </c>
      <c r="G804" s="6">
        <v>43840</v>
      </c>
      <c r="I804">
        <v>2019</v>
      </c>
      <c r="J804" t="s">
        <v>2180</v>
      </c>
      <c r="K804" t="s">
        <v>2291</v>
      </c>
    </row>
    <row r="805" spans="1:11" x14ac:dyDescent="0.2">
      <c r="A805" t="s">
        <v>2289</v>
      </c>
      <c r="B805" t="s">
        <v>2290</v>
      </c>
      <c r="C805">
        <v>20.57</v>
      </c>
      <c r="D805" t="s">
        <v>20</v>
      </c>
      <c r="E805" s="6">
        <v>44019</v>
      </c>
      <c r="F805" s="6">
        <v>44020</v>
      </c>
      <c r="G805" s="6">
        <v>44021</v>
      </c>
      <c r="I805">
        <v>2019</v>
      </c>
      <c r="J805" t="s">
        <v>2175</v>
      </c>
      <c r="K805" t="s">
        <v>2291</v>
      </c>
    </row>
    <row r="806" spans="1:11" x14ac:dyDescent="0.2">
      <c r="A806" t="s">
        <v>2289</v>
      </c>
      <c r="B806" t="s">
        <v>2290</v>
      </c>
      <c r="C806">
        <v>8.93</v>
      </c>
      <c r="D806" t="s">
        <v>20</v>
      </c>
      <c r="E806" s="6">
        <v>44112</v>
      </c>
      <c r="F806" s="6">
        <v>44113</v>
      </c>
      <c r="G806" s="6">
        <v>44116</v>
      </c>
      <c r="I806">
        <v>2020</v>
      </c>
      <c r="J806" t="s">
        <v>2177</v>
      </c>
      <c r="K806" t="s">
        <v>2291</v>
      </c>
    </row>
    <row r="807" spans="1:11" x14ac:dyDescent="0.2">
      <c r="A807" t="s">
        <v>2289</v>
      </c>
      <c r="B807" t="s">
        <v>2290</v>
      </c>
      <c r="C807">
        <v>26.51</v>
      </c>
      <c r="D807" t="s">
        <v>20</v>
      </c>
      <c r="E807" s="6">
        <v>44383</v>
      </c>
      <c r="F807" s="6">
        <v>44384</v>
      </c>
      <c r="G807" s="6">
        <v>44385</v>
      </c>
      <c r="I807">
        <v>2020</v>
      </c>
      <c r="J807" t="s">
        <v>2175</v>
      </c>
      <c r="K807" t="s">
        <v>2291</v>
      </c>
    </row>
    <row r="808" spans="1:11" x14ac:dyDescent="0.2">
      <c r="A808" t="s">
        <v>2289</v>
      </c>
      <c r="B808" t="s">
        <v>2290</v>
      </c>
      <c r="C808">
        <v>10.55</v>
      </c>
      <c r="D808" t="s">
        <v>20</v>
      </c>
      <c r="E808" s="6">
        <v>44477</v>
      </c>
      <c r="F808" s="6">
        <v>44480</v>
      </c>
      <c r="G808" s="6">
        <v>44481</v>
      </c>
      <c r="I808">
        <v>2021</v>
      </c>
      <c r="J808" t="s">
        <v>2177</v>
      </c>
      <c r="K808" t="s">
        <v>2291</v>
      </c>
    </row>
    <row r="809" spans="1:11" x14ac:dyDescent="0.2">
      <c r="A809" t="s">
        <v>2289</v>
      </c>
      <c r="B809" t="s">
        <v>2290</v>
      </c>
      <c r="C809">
        <v>33.85</v>
      </c>
      <c r="D809" t="s">
        <v>20</v>
      </c>
      <c r="E809" s="6">
        <v>44750</v>
      </c>
      <c r="F809" s="6">
        <v>44753</v>
      </c>
      <c r="G809" s="6">
        <v>44754</v>
      </c>
      <c r="I809">
        <v>2021</v>
      </c>
      <c r="J809" t="s">
        <v>2175</v>
      </c>
      <c r="K809" t="s">
        <v>2291</v>
      </c>
    </row>
    <row r="810" spans="1:11" x14ac:dyDescent="0.2">
      <c r="A810" t="s">
        <v>2289</v>
      </c>
      <c r="B810" t="s">
        <v>2290</v>
      </c>
      <c r="C810">
        <v>34.29</v>
      </c>
      <c r="D810" t="s">
        <v>20</v>
      </c>
      <c r="E810" s="6">
        <v>45104</v>
      </c>
      <c r="F810" s="6">
        <v>45105</v>
      </c>
      <c r="G810" s="6">
        <v>45106</v>
      </c>
      <c r="I810">
        <v>2022</v>
      </c>
      <c r="J810" t="s">
        <v>2175</v>
      </c>
      <c r="K810" t="s">
        <v>2291</v>
      </c>
    </row>
    <row r="811" spans="1:11" x14ac:dyDescent="0.2">
      <c r="A811" t="s">
        <v>2289</v>
      </c>
      <c r="B811" t="s">
        <v>2290</v>
      </c>
      <c r="C811">
        <v>35</v>
      </c>
      <c r="D811" t="s">
        <v>20</v>
      </c>
      <c r="E811" s="6">
        <v>45488</v>
      </c>
      <c r="F811" s="6">
        <v>45489</v>
      </c>
      <c r="G811" s="6">
        <v>45489</v>
      </c>
      <c r="I811">
        <v>2023</v>
      </c>
      <c r="J811" t="s">
        <v>2175</v>
      </c>
      <c r="K811" t="s">
        <v>2291</v>
      </c>
    </row>
    <row r="812" spans="1:11" x14ac:dyDescent="0.2">
      <c r="A812" t="s">
        <v>2289</v>
      </c>
      <c r="B812" t="s">
        <v>2290</v>
      </c>
      <c r="C812">
        <v>35</v>
      </c>
      <c r="D812" t="s">
        <v>20</v>
      </c>
      <c r="E812" s="6">
        <v>45842</v>
      </c>
      <c r="F812" s="6">
        <v>45845</v>
      </c>
      <c r="G812" s="6">
        <v>45845</v>
      </c>
      <c r="I812">
        <v>2024</v>
      </c>
      <c r="J812" t="s">
        <v>2175</v>
      </c>
      <c r="K812" t="s">
        <v>2291</v>
      </c>
    </row>
    <row r="813" spans="1:11" x14ac:dyDescent="0.2">
      <c r="A813" t="s">
        <v>2292</v>
      </c>
      <c r="B813" t="s">
        <v>2290</v>
      </c>
      <c r="C813">
        <v>1.56</v>
      </c>
      <c r="D813" t="s">
        <v>20</v>
      </c>
      <c r="E813" s="6">
        <v>38841</v>
      </c>
      <c r="F813" s="6">
        <v>38842</v>
      </c>
      <c r="G813" s="6">
        <v>38842</v>
      </c>
      <c r="I813">
        <v>2005</v>
      </c>
      <c r="J813" t="s">
        <v>2175</v>
      </c>
      <c r="K813" t="s">
        <v>2293</v>
      </c>
    </row>
    <row r="814" spans="1:11" x14ac:dyDescent="0.2">
      <c r="A814" t="s">
        <v>2292</v>
      </c>
      <c r="B814" t="s">
        <v>2290</v>
      </c>
      <c r="C814">
        <v>1.48</v>
      </c>
      <c r="D814" t="s">
        <v>20</v>
      </c>
      <c r="E814" s="6">
        <v>39198</v>
      </c>
      <c r="F814" s="6">
        <v>39199</v>
      </c>
      <c r="G814" s="6">
        <v>39199</v>
      </c>
      <c r="I814">
        <v>2006</v>
      </c>
      <c r="J814" t="s">
        <v>2175</v>
      </c>
      <c r="K814" t="s">
        <v>2293</v>
      </c>
    </row>
    <row r="815" spans="1:11" x14ac:dyDescent="0.2">
      <c r="A815" t="s">
        <v>2292</v>
      </c>
      <c r="B815" t="s">
        <v>2290</v>
      </c>
      <c r="C815">
        <v>1.94</v>
      </c>
      <c r="D815" t="s">
        <v>20</v>
      </c>
      <c r="E815" s="6">
        <v>39559</v>
      </c>
      <c r="F815" s="6">
        <v>39560</v>
      </c>
      <c r="G815" s="6">
        <v>39560</v>
      </c>
      <c r="I815">
        <v>2007</v>
      </c>
      <c r="J815" t="s">
        <v>2175</v>
      </c>
      <c r="K815" t="s">
        <v>2293</v>
      </c>
    </row>
    <row r="816" spans="1:11" x14ac:dyDescent="0.2">
      <c r="A816" t="s">
        <v>2292</v>
      </c>
      <c r="B816" t="s">
        <v>2290</v>
      </c>
      <c r="C816">
        <v>1.94</v>
      </c>
      <c r="D816" t="s">
        <v>20</v>
      </c>
      <c r="E816" s="6">
        <v>39916</v>
      </c>
      <c r="F816" s="6">
        <v>39917</v>
      </c>
      <c r="G816" s="6">
        <v>39917</v>
      </c>
      <c r="I816">
        <v>2008</v>
      </c>
      <c r="J816" t="s">
        <v>2175</v>
      </c>
      <c r="K816" t="s">
        <v>2293</v>
      </c>
    </row>
    <row r="817" spans="1:11" x14ac:dyDescent="0.2">
      <c r="A817" t="s">
        <v>2292</v>
      </c>
      <c r="B817" t="s">
        <v>2290</v>
      </c>
      <c r="C817">
        <v>1.4</v>
      </c>
      <c r="D817" t="s">
        <v>20</v>
      </c>
      <c r="E817" s="6">
        <v>40304</v>
      </c>
      <c r="F817" s="6">
        <v>40305</v>
      </c>
      <c r="G817" s="6">
        <v>40305</v>
      </c>
      <c r="I817">
        <v>2009</v>
      </c>
      <c r="J817" t="s">
        <v>2175</v>
      </c>
      <c r="K817" t="s">
        <v>2293</v>
      </c>
    </row>
    <row r="818" spans="1:11" x14ac:dyDescent="0.2">
      <c r="A818" t="s">
        <v>2292</v>
      </c>
      <c r="B818" t="s">
        <v>2290</v>
      </c>
      <c r="C818">
        <v>1.1100000000000001</v>
      </c>
      <c r="D818" t="s">
        <v>20</v>
      </c>
      <c r="E818" s="6">
        <v>40441</v>
      </c>
      <c r="F818" s="6">
        <v>40442</v>
      </c>
      <c r="G818" s="6">
        <v>40442</v>
      </c>
      <c r="I818">
        <v>2010</v>
      </c>
      <c r="J818" t="s">
        <v>2180</v>
      </c>
      <c r="K818" t="s">
        <v>2293</v>
      </c>
    </row>
    <row r="819" spans="1:11" x14ac:dyDescent="0.2">
      <c r="A819" t="s">
        <v>2292</v>
      </c>
      <c r="B819" t="s">
        <v>2290</v>
      </c>
      <c r="C819">
        <v>4.7</v>
      </c>
      <c r="D819" t="s">
        <v>20</v>
      </c>
      <c r="E819" s="6">
        <v>41026</v>
      </c>
      <c r="F819" s="6">
        <v>41029</v>
      </c>
      <c r="G819" s="6">
        <v>41027</v>
      </c>
      <c r="I819">
        <v>2011</v>
      </c>
      <c r="J819" t="s">
        <v>2175</v>
      </c>
      <c r="K819" t="s">
        <v>2293</v>
      </c>
    </row>
    <row r="820" spans="1:11" x14ac:dyDescent="0.2">
      <c r="A820" t="s">
        <v>2292</v>
      </c>
      <c r="B820" t="s">
        <v>2290</v>
      </c>
      <c r="C820">
        <v>2.44</v>
      </c>
      <c r="D820" t="s">
        <v>20</v>
      </c>
      <c r="E820" s="6">
        <v>41393</v>
      </c>
      <c r="F820" s="6">
        <v>41394</v>
      </c>
      <c r="G820" s="6">
        <v>41394</v>
      </c>
      <c r="I820">
        <v>2012</v>
      </c>
      <c r="J820" t="s">
        <v>2175</v>
      </c>
      <c r="K820" t="s">
        <v>2293</v>
      </c>
    </row>
    <row r="821" spans="1:11" x14ac:dyDescent="0.2">
      <c r="A821" t="s">
        <v>2292</v>
      </c>
      <c r="B821" t="s">
        <v>2290</v>
      </c>
      <c r="C821">
        <v>3.12</v>
      </c>
      <c r="D821" t="s">
        <v>20</v>
      </c>
      <c r="E821" s="6">
        <v>41830</v>
      </c>
      <c r="F821" s="6">
        <v>41831</v>
      </c>
      <c r="G821" s="6">
        <v>41834</v>
      </c>
      <c r="I821">
        <v>2013</v>
      </c>
      <c r="J821" t="s">
        <v>2175</v>
      </c>
      <c r="K821" t="s">
        <v>2293</v>
      </c>
    </row>
    <row r="822" spans="1:11" x14ac:dyDescent="0.2">
      <c r="A822" t="s">
        <v>2292</v>
      </c>
      <c r="B822" t="s">
        <v>2290</v>
      </c>
      <c r="C822">
        <v>3.34</v>
      </c>
      <c r="D822" t="s">
        <v>20</v>
      </c>
      <c r="E822" s="6">
        <v>42186</v>
      </c>
      <c r="F822" s="6">
        <v>42187</v>
      </c>
      <c r="G822" s="6">
        <v>42188</v>
      </c>
      <c r="I822">
        <v>2014</v>
      </c>
      <c r="J822" t="s">
        <v>2175</v>
      </c>
      <c r="K822" t="s">
        <v>2293</v>
      </c>
    </row>
    <row r="823" spans="1:11" x14ac:dyDescent="0.2">
      <c r="A823" t="s">
        <v>2292</v>
      </c>
      <c r="B823" t="s">
        <v>2290</v>
      </c>
      <c r="C823">
        <v>5.92</v>
      </c>
      <c r="D823" t="s">
        <v>20</v>
      </c>
      <c r="E823" s="6">
        <v>42557</v>
      </c>
      <c r="F823" s="6">
        <v>42558</v>
      </c>
      <c r="G823" s="6">
        <v>42559</v>
      </c>
      <c r="I823">
        <v>2015</v>
      </c>
      <c r="J823" t="s">
        <v>2175</v>
      </c>
      <c r="K823" t="s">
        <v>2293</v>
      </c>
    </row>
    <row r="824" spans="1:11" x14ac:dyDescent="0.2">
      <c r="A824" t="s">
        <v>2292</v>
      </c>
      <c r="B824" t="s">
        <v>2290</v>
      </c>
      <c r="C824">
        <v>5.39</v>
      </c>
      <c r="D824" t="s">
        <v>20</v>
      </c>
      <c r="E824" s="6">
        <v>42921</v>
      </c>
      <c r="F824" s="6">
        <v>42922</v>
      </c>
      <c r="G824" s="6">
        <v>42923</v>
      </c>
      <c r="I824">
        <v>2016</v>
      </c>
      <c r="J824" t="s">
        <v>2175</v>
      </c>
      <c r="K824" t="s">
        <v>2293</v>
      </c>
    </row>
    <row r="825" spans="1:11" x14ac:dyDescent="0.2">
      <c r="A825" t="s">
        <v>2292</v>
      </c>
      <c r="B825" t="s">
        <v>2290</v>
      </c>
      <c r="C825">
        <v>5.05</v>
      </c>
      <c r="D825" t="s">
        <v>20</v>
      </c>
      <c r="E825" s="6">
        <v>43286</v>
      </c>
      <c r="F825" s="6">
        <v>43287</v>
      </c>
      <c r="G825" s="6">
        <v>43289</v>
      </c>
      <c r="I825">
        <v>2017</v>
      </c>
      <c r="J825" t="s">
        <v>2175</v>
      </c>
      <c r="K825" t="s">
        <v>2293</v>
      </c>
    </row>
    <row r="826" spans="1:11" x14ac:dyDescent="0.2">
      <c r="A826" t="s">
        <v>2292</v>
      </c>
      <c r="B826" t="s">
        <v>2290</v>
      </c>
      <c r="C826">
        <v>2.5</v>
      </c>
      <c r="D826" t="s">
        <v>20</v>
      </c>
      <c r="E826" s="6">
        <v>43474</v>
      </c>
      <c r="F826" s="6">
        <v>43475</v>
      </c>
      <c r="G826" s="6">
        <v>43478</v>
      </c>
      <c r="I826">
        <v>2018</v>
      </c>
      <c r="J826" t="s">
        <v>2180</v>
      </c>
      <c r="K826" t="s">
        <v>2293</v>
      </c>
    </row>
    <row r="827" spans="1:11" x14ac:dyDescent="0.2">
      <c r="A827" t="s">
        <v>2292</v>
      </c>
      <c r="B827" t="s">
        <v>2290</v>
      </c>
      <c r="C827">
        <v>2.5</v>
      </c>
      <c r="D827" t="s">
        <v>20</v>
      </c>
      <c r="E827" s="6">
        <v>43648</v>
      </c>
      <c r="F827" s="6">
        <v>43649</v>
      </c>
      <c r="G827" s="6">
        <v>43650</v>
      </c>
      <c r="H827" s="6">
        <v>43685</v>
      </c>
      <c r="I827">
        <v>2018</v>
      </c>
      <c r="J827" t="s">
        <v>2175</v>
      </c>
      <c r="K827" t="s">
        <v>2293</v>
      </c>
    </row>
    <row r="828" spans="1:11" x14ac:dyDescent="0.2">
      <c r="A828" t="s">
        <v>2292</v>
      </c>
      <c r="B828" t="s">
        <v>2290</v>
      </c>
      <c r="C828">
        <v>5</v>
      </c>
      <c r="D828" t="s">
        <v>20</v>
      </c>
      <c r="E828" s="6">
        <v>44062</v>
      </c>
      <c r="F828" s="6">
        <v>44063</v>
      </c>
      <c r="G828" s="6">
        <v>44064</v>
      </c>
      <c r="H828" s="6">
        <v>44099</v>
      </c>
      <c r="I828">
        <v>2019</v>
      </c>
      <c r="J828" t="s">
        <v>2175</v>
      </c>
      <c r="K828" t="s">
        <v>2293</v>
      </c>
    </row>
    <row r="829" spans="1:11" x14ac:dyDescent="0.2">
      <c r="A829" t="s">
        <v>2292</v>
      </c>
      <c r="B829" t="s">
        <v>2290</v>
      </c>
      <c r="C829">
        <v>5</v>
      </c>
      <c r="D829" t="s">
        <v>20</v>
      </c>
      <c r="E829" s="6">
        <v>44385</v>
      </c>
      <c r="F829" s="6">
        <v>44386</v>
      </c>
      <c r="G829" s="6">
        <v>44389</v>
      </c>
      <c r="H829" s="6">
        <v>44424</v>
      </c>
      <c r="I829">
        <v>2020</v>
      </c>
      <c r="J829" t="s">
        <v>2175</v>
      </c>
      <c r="K829" t="s">
        <v>2293</v>
      </c>
    </row>
    <row r="830" spans="1:11" x14ac:dyDescent="0.2">
      <c r="A830" t="s">
        <v>2292</v>
      </c>
      <c r="B830" t="s">
        <v>2290</v>
      </c>
      <c r="C830">
        <v>4.5599999999999996</v>
      </c>
      <c r="D830" t="s">
        <v>20</v>
      </c>
      <c r="E830" s="6">
        <v>44760</v>
      </c>
      <c r="F830" s="6">
        <v>44761</v>
      </c>
      <c r="G830" s="6">
        <v>44762</v>
      </c>
      <c r="H830" s="6">
        <v>44797</v>
      </c>
      <c r="I830">
        <v>2021</v>
      </c>
      <c r="J830" t="s">
        <v>2175</v>
      </c>
      <c r="K830" t="s">
        <v>2293</v>
      </c>
    </row>
    <row r="831" spans="1:11" x14ac:dyDescent="0.2">
      <c r="A831" t="s">
        <v>2292</v>
      </c>
      <c r="B831" t="s">
        <v>2290</v>
      </c>
      <c r="C831">
        <v>5.45</v>
      </c>
      <c r="D831" t="s">
        <v>20</v>
      </c>
      <c r="E831" s="6">
        <v>45260</v>
      </c>
      <c r="F831" s="6">
        <v>45261</v>
      </c>
      <c r="G831" s="6">
        <v>45261</v>
      </c>
      <c r="H831" s="6">
        <v>45306</v>
      </c>
      <c r="I831">
        <v>2022</v>
      </c>
      <c r="J831" t="s">
        <v>2175</v>
      </c>
      <c r="K831" t="s">
        <v>2293</v>
      </c>
    </row>
    <row r="832" spans="1:11" x14ac:dyDescent="0.2">
      <c r="A832" t="s">
        <v>2292</v>
      </c>
      <c r="B832" t="s">
        <v>2290</v>
      </c>
      <c r="C832">
        <v>6.06</v>
      </c>
      <c r="D832" t="s">
        <v>20</v>
      </c>
      <c r="E832" s="6">
        <v>45561</v>
      </c>
      <c r="F832" s="6">
        <v>45562</v>
      </c>
      <c r="G832" s="6">
        <v>45562</v>
      </c>
      <c r="H832" s="6">
        <v>45597</v>
      </c>
      <c r="I832">
        <v>2023</v>
      </c>
      <c r="J832" t="s">
        <v>2175</v>
      </c>
      <c r="K832" t="s">
        <v>2293</v>
      </c>
    </row>
    <row r="833" spans="1:11" x14ac:dyDescent="0.2">
      <c r="A833" t="s">
        <v>2292</v>
      </c>
      <c r="B833" t="s">
        <v>2290</v>
      </c>
      <c r="C833">
        <v>2.71</v>
      </c>
      <c r="D833" t="s">
        <v>20</v>
      </c>
      <c r="E833" s="6">
        <v>45881</v>
      </c>
      <c r="F833" s="6">
        <v>45882</v>
      </c>
      <c r="G833" s="6">
        <v>45882</v>
      </c>
      <c r="H833" s="6">
        <v>45917</v>
      </c>
      <c r="I833">
        <v>2024</v>
      </c>
      <c r="J833" t="s">
        <v>2175</v>
      </c>
      <c r="K833" t="s">
        <v>2293</v>
      </c>
    </row>
    <row r="834" spans="1:11" x14ac:dyDescent="0.2">
      <c r="A834" t="s">
        <v>2294</v>
      </c>
      <c r="B834" t="s">
        <v>2295</v>
      </c>
      <c r="C834">
        <v>0.03</v>
      </c>
      <c r="D834" t="s">
        <v>20</v>
      </c>
      <c r="E834" s="6">
        <v>36969</v>
      </c>
      <c r="F834" s="6">
        <v>36970</v>
      </c>
      <c r="G834" s="6">
        <v>36970</v>
      </c>
      <c r="I834">
        <v>2000</v>
      </c>
      <c r="J834" t="s">
        <v>2175</v>
      </c>
      <c r="K834" t="s">
        <v>2296</v>
      </c>
    </row>
    <row r="835" spans="1:11" x14ac:dyDescent="0.2">
      <c r="A835" t="s">
        <v>2294</v>
      </c>
      <c r="B835" t="s">
        <v>2295</v>
      </c>
      <c r="C835">
        <v>0.06</v>
      </c>
      <c r="D835" t="s">
        <v>20</v>
      </c>
      <c r="E835" s="6">
        <v>37350</v>
      </c>
      <c r="F835" s="6">
        <v>37351</v>
      </c>
      <c r="G835" s="6">
        <v>37351</v>
      </c>
      <c r="I835">
        <v>2001</v>
      </c>
      <c r="J835" t="s">
        <v>2175</v>
      </c>
      <c r="K835" t="s">
        <v>2296</v>
      </c>
    </row>
    <row r="836" spans="1:11" x14ac:dyDescent="0.2">
      <c r="A836" t="s">
        <v>2294</v>
      </c>
      <c r="B836" t="s">
        <v>2295</v>
      </c>
      <c r="C836">
        <v>0.28999999999999998</v>
      </c>
      <c r="D836" t="s">
        <v>20</v>
      </c>
      <c r="E836" s="6">
        <v>37686</v>
      </c>
      <c r="F836" s="6">
        <v>37687</v>
      </c>
      <c r="G836" s="6">
        <v>37687</v>
      </c>
      <c r="I836">
        <v>2002</v>
      </c>
      <c r="J836" t="s">
        <v>2175</v>
      </c>
      <c r="K836" t="s">
        <v>2296</v>
      </c>
    </row>
    <row r="837" spans="1:11" x14ac:dyDescent="0.2">
      <c r="A837" t="s">
        <v>2294</v>
      </c>
      <c r="B837" t="s">
        <v>2295</v>
      </c>
      <c r="C837">
        <v>0.44</v>
      </c>
      <c r="D837" t="s">
        <v>20</v>
      </c>
      <c r="E837" s="6">
        <v>38093</v>
      </c>
      <c r="F837" s="6">
        <v>38094</v>
      </c>
      <c r="G837" s="6">
        <v>38096</v>
      </c>
      <c r="I837">
        <v>2003</v>
      </c>
      <c r="J837" t="s">
        <v>2175</v>
      </c>
      <c r="K837" t="s">
        <v>2296</v>
      </c>
    </row>
    <row r="838" spans="1:11" x14ac:dyDescent="0.2">
      <c r="A838" t="s">
        <v>2294</v>
      </c>
      <c r="B838" t="s">
        <v>2295</v>
      </c>
      <c r="C838">
        <v>0.7</v>
      </c>
      <c r="D838" t="s">
        <v>20</v>
      </c>
      <c r="E838" s="6">
        <v>38471</v>
      </c>
      <c r="F838" s="6">
        <v>38472</v>
      </c>
      <c r="G838" s="6">
        <v>38472</v>
      </c>
      <c r="I838">
        <v>2004</v>
      </c>
      <c r="J838" t="s">
        <v>2175</v>
      </c>
      <c r="K838" t="s">
        <v>2296</v>
      </c>
    </row>
    <row r="839" spans="1:11" x14ac:dyDescent="0.2">
      <c r="A839" t="s">
        <v>2294</v>
      </c>
      <c r="B839" t="s">
        <v>2295</v>
      </c>
      <c r="C839">
        <v>0.82</v>
      </c>
      <c r="D839" t="s">
        <v>20</v>
      </c>
      <c r="E839" s="6">
        <v>38835</v>
      </c>
      <c r="F839" s="6">
        <v>38836</v>
      </c>
      <c r="G839" s="6">
        <v>38836</v>
      </c>
      <c r="I839">
        <v>2005</v>
      </c>
      <c r="J839" t="s">
        <v>2175</v>
      </c>
      <c r="K839" t="s">
        <v>2296</v>
      </c>
    </row>
    <row r="840" spans="1:11" x14ac:dyDescent="0.2">
      <c r="A840" t="s">
        <v>2294</v>
      </c>
      <c r="B840" t="s">
        <v>2295</v>
      </c>
      <c r="C840">
        <v>1.29</v>
      </c>
      <c r="D840" t="s">
        <v>20</v>
      </c>
      <c r="E840" s="6">
        <v>39206</v>
      </c>
      <c r="F840" s="6">
        <v>39207</v>
      </c>
      <c r="G840" s="6">
        <v>39209</v>
      </c>
      <c r="I840">
        <v>2006</v>
      </c>
      <c r="J840" t="s">
        <v>2175</v>
      </c>
      <c r="K840" t="s">
        <v>2296</v>
      </c>
    </row>
    <row r="841" spans="1:11" x14ac:dyDescent="0.2">
      <c r="A841" t="s">
        <v>2294</v>
      </c>
      <c r="B841" t="s">
        <v>2295</v>
      </c>
      <c r="C841">
        <v>1.37</v>
      </c>
      <c r="D841" t="s">
        <v>20</v>
      </c>
      <c r="E841" s="6">
        <v>39569</v>
      </c>
      <c r="F841" s="6">
        <v>39570</v>
      </c>
      <c r="G841" s="6">
        <v>39573</v>
      </c>
      <c r="I841">
        <v>2007</v>
      </c>
      <c r="J841" t="s">
        <v>2175</v>
      </c>
      <c r="K841" t="s">
        <v>2296</v>
      </c>
    </row>
    <row r="842" spans="1:11" x14ac:dyDescent="0.2">
      <c r="A842" t="s">
        <v>2294</v>
      </c>
      <c r="B842" t="s">
        <v>2295</v>
      </c>
      <c r="C842">
        <v>0.18</v>
      </c>
      <c r="D842" t="s">
        <v>20</v>
      </c>
      <c r="E842" s="6">
        <v>39934</v>
      </c>
      <c r="F842" s="6">
        <v>39937</v>
      </c>
      <c r="G842" s="6">
        <v>39938</v>
      </c>
      <c r="I842">
        <v>2008</v>
      </c>
      <c r="J842" t="s">
        <v>2175</v>
      </c>
      <c r="K842" t="s">
        <v>2296</v>
      </c>
    </row>
    <row r="843" spans="1:11" x14ac:dyDescent="0.2">
      <c r="A843" t="s">
        <v>2294</v>
      </c>
      <c r="B843" t="s">
        <v>2295</v>
      </c>
      <c r="C843">
        <v>0.35</v>
      </c>
      <c r="D843" t="s">
        <v>20</v>
      </c>
      <c r="E843" s="6">
        <v>40298</v>
      </c>
      <c r="F843" s="6">
        <v>40301</v>
      </c>
      <c r="G843" s="6">
        <v>40302</v>
      </c>
      <c r="I843">
        <v>2009</v>
      </c>
      <c r="J843" t="s">
        <v>2175</v>
      </c>
      <c r="K843" t="s">
        <v>2296</v>
      </c>
    </row>
    <row r="844" spans="1:11" x14ac:dyDescent="0.2">
      <c r="A844" t="s">
        <v>2294</v>
      </c>
      <c r="B844" t="s">
        <v>2295</v>
      </c>
      <c r="C844">
        <v>1.0900000000000001</v>
      </c>
      <c r="D844" t="s">
        <v>20</v>
      </c>
      <c r="E844" s="6">
        <v>40672</v>
      </c>
      <c r="F844" s="6">
        <v>40673</v>
      </c>
      <c r="G844" s="6">
        <v>40674</v>
      </c>
      <c r="I844">
        <v>2010</v>
      </c>
      <c r="J844" t="s">
        <v>2175</v>
      </c>
      <c r="K844" t="s">
        <v>2296</v>
      </c>
    </row>
    <row r="845" spans="1:11" x14ac:dyDescent="0.2">
      <c r="A845" t="s">
        <v>2294</v>
      </c>
      <c r="B845" t="s">
        <v>2295</v>
      </c>
      <c r="C845">
        <v>1.81</v>
      </c>
      <c r="D845" t="s">
        <v>20</v>
      </c>
      <c r="E845" s="6">
        <v>41037</v>
      </c>
      <c r="F845" s="6">
        <v>41038</v>
      </c>
      <c r="G845" s="6">
        <v>41039</v>
      </c>
      <c r="I845">
        <v>2011</v>
      </c>
      <c r="J845" t="s">
        <v>2175</v>
      </c>
      <c r="K845" t="s">
        <v>2296</v>
      </c>
    </row>
    <row r="846" spans="1:11" x14ac:dyDescent="0.2">
      <c r="A846" t="s">
        <v>2294</v>
      </c>
      <c r="B846" t="s">
        <v>2295</v>
      </c>
      <c r="C846">
        <v>1.1599999999999999</v>
      </c>
      <c r="D846" t="s">
        <v>20</v>
      </c>
      <c r="E846" s="6">
        <v>41396</v>
      </c>
      <c r="F846" s="6">
        <v>41397</v>
      </c>
      <c r="G846" s="6">
        <v>41400</v>
      </c>
      <c r="I846">
        <v>2012</v>
      </c>
      <c r="J846" t="s">
        <v>2175</v>
      </c>
      <c r="K846" t="s">
        <v>2296</v>
      </c>
    </row>
    <row r="847" spans="1:11" x14ac:dyDescent="0.2">
      <c r="A847" t="s">
        <v>2294</v>
      </c>
      <c r="B847" t="s">
        <v>2295</v>
      </c>
      <c r="C847">
        <v>2.5</v>
      </c>
      <c r="D847" t="s">
        <v>20</v>
      </c>
      <c r="E847" s="6">
        <v>41824</v>
      </c>
      <c r="F847" s="6">
        <v>41827</v>
      </c>
      <c r="G847" s="6">
        <v>41828</v>
      </c>
      <c r="I847">
        <v>2013</v>
      </c>
      <c r="J847" t="s">
        <v>2175</v>
      </c>
      <c r="K847" t="s">
        <v>2296</v>
      </c>
    </row>
    <row r="848" spans="1:11" x14ac:dyDescent="0.2">
      <c r="A848" t="s">
        <v>2294</v>
      </c>
      <c r="B848" t="s">
        <v>2295</v>
      </c>
      <c r="C848">
        <v>17.48</v>
      </c>
      <c r="D848" t="s">
        <v>20</v>
      </c>
      <c r="E848" s="6">
        <v>42928</v>
      </c>
      <c r="F848" s="6">
        <v>42929</v>
      </c>
      <c r="G848" s="6">
        <v>42930</v>
      </c>
      <c r="I848">
        <v>2016</v>
      </c>
      <c r="J848" t="s">
        <v>2175</v>
      </c>
      <c r="K848" t="s">
        <v>2296</v>
      </c>
    </row>
    <row r="849" spans="1:11" x14ac:dyDescent="0.2">
      <c r="A849" t="s">
        <v>2294</v>
      </c>
      <c r="B849" t="s">
        <v>2295</v>
      </c>
      <c r="C849">
        <v>12.81</v>
      </c>
      <c r="D849" t="s">
        <v>20</v>
      </c>
      <c r="E849" s="6">
        <v>43285</v>
      </c>
      <c r="F849" s="6">
        <v>43286</v>
      </c>
      <c r="G849" s="6">
        <v>43287</v>
      </c>
      <c r="I849">
        <v>2017</v>
      </c>
      <c r="J849" t="s">
        <v>2175</v>
      </c>
      <c r="K849" t="s">
        <v>2296</v>
      </c>
    </row>
    <row r="850" spans="1:11" x14ac:dyDescent="0.2">
      <c r="A850" t="s">
        <v>2294</v>
      </c>
      <c r="B850" t="s">
        <v>2295</v>
      </c>
      <c r="C850">
        <v>2.69</v>
      </c>
      <c r="D850" t="s">
        <v>20</v>
      </c>
      <c r="E850" s="6">
        <v>43649</v>
      </c>
      <c r="F850" s="6">
        <v>43650</v>
      </c>
      <c r="G850" s="6">
        <v>43651</v>
      </c>
      <c r="I850">
        <v>2018</v>
      </c>
      <c r="J850" t="s">
        <v>2175</v>
      </c>
      <c r="K850" t="s">
        <v>2296</v>
      </c>
    </row>
    <row r="851" spans="1:11" x14ac:dyDescent="0.2">
      <c r="A851" t="s">
        <v>2294</v>
      </c>
      <c r="B851" t="s">
        <v>2295</v>
      </c>
      <c r="C851">
        <v>5.27</v>
      </c>
      <c r="D851" t="s">
        <v>20</v>
      </c>
      <c r="E851" s="6">
        <v>45855</v>
      </c>
      <c r="F851" s="6">
        <v>45856</v>
      </c>
      <c r="G851" s="6">
        <v>45856</v>
      </c>
      <c r="H851" s="6">
        <v>45890</v>
      </c>
      <c r="I851">
        <v>2024</v>
      </c>
      <c r="J851" t="s">
        <v>2175</v>
      </c>
      <c r="K851" t="s">
        <v>2296</v>
      </c>
    </row>
    <row r="852" spans="1:11" x14ac:dyDescent="0.2">
      <c r="A852" t="s">
        <v>2297</v>
      </c>
      <c r="B852" t="s">
        <v>2298</v>
      </c>
      <c r="C852">
        <v>6.67</v>
      </c>
      <c r="D852" t="s">
        <v>20</v>
      </c>
      <c r="E852" s="6">
        <v>44378</v>
      </c>
      <c r="F852" s="6">
        <v>44379</v>
      </c>
      <c r="G852" s="6">
        <v>44382</v>
      </c>
      <c r="I852">
        <v>2020</v>
      </c>
      <c r="J852" t="s">
        <v>2175</v>
      </c>
      <c r="K852" t="s">
        <v>2299</v>
      </c>
    </row>
    <row r="853" spans="1:11" x14ac:dyDescent="0.2">
      <c r="A853" t="s">
        <v>2297</v>
      </c>
      <c r="B853" t="s">
        <v>2298</v>
      </c>
      <c r="C853">
        <v>4.29</v>
      </c>
      <c r="D853" t="s">
        <v>20</v>
      </c>
      <c r="E853" s="6">
        <v>45110</v>
      </c>
      <c r="F853" s="6">
        <v>45111</v>
      </c>
      <c r="G853" s="6">
        <v>45112</v>
      </c>
      <c r="H853" s="6">
        <v>45147</v>
      </c>
      <c r="I853">
        <v>2022</v>
      </c>
      <c r="J853" t="s">
        <v>2175</v>
      </c>
      <c r="K853" t="s">
        <v>2299</v>
      </c>
    </row>
    <row r="854" spans="1:11" x14ac:dyDescent="0.2">
      <c r="A854" t="s">
        <v>2297</v>
      </c>
      <c r="B854" t="s">
        <v>2298</v>
      </c>
      <c r="C854">
        <v>6.32</v>
      </c>
      <c r="D854" t="s">
        <v>20</v>
      </c>
      <c r="E854" s="6">
        <v>45296</v>
      </c>
      <c r="F854" s="6">
        <v>45299</v>
      </c>
      <c r="G854" s="6">
        <v>45298</v>
      </c>
      <c r="H854" s="6">
        <v>45334</v>
      </c>
      <c r="I854">
        <v>2023</v>
      </c>
      <c r="J854" t="s">
        <v>2180</v>
      </c>
      <c r="K854" t="s">
        <v>2299</v>
      </c>
    </row>
    <row r="855" spans="1:11" x14ac:dyDescent="0.2">
      <c r="A855" t="s">
        <v>2297</v>
      </c>
      <c r="B855" t="s">
        <v>2298</v>
      </c>
      <c r="C855">
        <v>11.27</v>
      </c>
      <c r="D855" t="s">
        <v>20</v>
      </c>
      <c r="E855" s="6">
        <v>45491</v>
      </c>
      <c r="F855" s="6">
        <v>45492</v>
      </c>
      <c r="G855" s="6">
        <v>45493</v>
      </c>
      <c r="H855" s="6">
        <v>45527</v>
      </c>
      <c r="I855">
        <v>2023</v>
      </c>
      <c r="J855" t="s">
        <v>2175</v>
      </c>
      <c r="K855" t="s">
        <v>2299</v>
      </c>
    </row>
    <row r="856" spans="1:11" x14ac:dyDescent="0.2">
      <c r="A856" t="s">
        <v>2300</v>
      </c>
      <c r="B856" t="s">
        <v>2301</v>
      </c>
      <c r="C856">
        <v>14.79</v>
      </c>
      <c r="D856" t="s">
        <v>20</v>
      </c>
      <c r="E856" s="6">
        <v>42355</v>
      </c>
      <c r="F856" s="6">
        <v>42356</v>
      </c>
      <c r="G856" s="6">
        <v>42358</v>
      </c>
      <c r="I856">
        <v>2015</v>
      </c>
      <c r="J856" t="s">
        <v>2180</v>
      </c>
      <c r="K856" t="s">
        <v>2302</v>
      </c>
    </row>
    <row r="857" spans="1:11" x14ac:dyDescent="0.2">
      <c r="A857" t="s">
        <v>2300</v>
      </c>
      <c r="B857" t="s">
        <v>2301</v>
      </c>
      <c r="C857">
        <v>2.61</v>
      </c>
      <c r="D857" t="s">
        <v>20</v>
      </c>
      <c r="E857" s="6">
        <v>42543</v>
      </c>
      <c r="F857" s="6">
        <v>42544</v>
      </c>
      <c r="G857" s="6">
        <v>42545</v>
      </c>
      <c r="I857">
        <v>2015</v>
      </c>
      <c r="J857" t="s">
        <v>2175</v>
      </c>
      <c r="K857" t="s">
        <v>2302</v>
      </c>
    </row>
    <row r="858" spans="1:11" x14ac:dyDescent="0.2">
      <c r="A858" t="s">
        <v>2300</v>
      </c>
      <c r="B858" t="s">
        <v>2301</v>
      </c>
      <c r="C858">
        <v>9.4600000000000009</v>
      </c>
      <c r="D858" t="s">
        <v>20</v>
      </c>
      <c r="E858" s="6">
        <v>42723</v>
      </c>
      <c r="F858" s="6">
        <v>42724</v>
      </c>
      <c r="G858" s="6">
        <v>42725</v>
      </c>
      <c r="I858">
        <v>2016</v>
      </c>
      <c r="J858" t="s">
        <v>2180</v>
      </c>
      <c r="K858" t="s">
        <v>2302</v>
      </c>
    </row>
    <row r="859" spans="1:11" x14ac:dyDescent="0.2">
      <c r="A859" t="s">
        <v>2300</v>
      </c>
      <c r="B859" t="s">
        <v>2301</v>
      </c>
      <c r="C859">
        <v>2.36</v>
      </c>
      <c r="D859" t="s">
        <v>20</v>
      </c>
      <c r="E859" s="6">
        <v>42922</v>
      </c>
      <c r="F859" s="6">
        <v>42923</v>
      </c>
      <c r="G859" s="6">
        <v>42926</v>
      </c>
      <c r="I859">
        <v>2016</v>
      </c>
      <c r="J859" t="s">
        <v>2175</v>
      </c>
      <c r="K859" t="s">
        <v>2302</v>
      </c>
    </row>
    <row r="860" spans="1:11" x14ac:dyDescent="0.2">
      <c r="A860" t="s">
        <v>2300</v>
      </c>
      <c r="B860" t="s">
        <v>2301</v>
      </c>
      <c r="C860">
        <v>7.41</v>
      </c>
      <c r="D860" t="s">
        <v>20</v>
      </c>
      <c r="E860" s="6">
        <v>42984</v>
      </c>
      <c r="F860" s="6">
        <v>42985</v>
      </c>
      <c r="G860" s="6">
        <v>42986</v>
      </c>
      <c r="I860">
        <v>2017</v>
      </c>
      <c r="J860" t="s">
        <v>2177</v>
      </c>
      <c r="K860" t="s">
        <v>2302</v>
      </c>
    </row>
    <row r="861" spans="1:11" x14ac:dyDescent="0.2">
      <c r="A861" t="s">
        <v>2300</v>
      </c>
      <c r="B861" t="s">
        <v>2301</v>
      </c>
      <c r="C861">
        <v>6.8</v>
      </c>
      <c r="D861" t="s">
        <v>20</v>
      </c>
      <c r="E861" s="6">
        <v>43082</v>
      </c>
      <c r="F861" s="6">
        <v>43083</v>
      </c>
      <c r="G861" s="6">
        <v>43084</v>
      </c>
      <c r="I861">
        <v>2017</v>
      </c>
      <c r="J861" t="s">
        <v>2180</v>
      </c>
      <c r="K861" t="s">
        <v>2302</v>
      </c>
    </row>
    <row r="862" spans="1:11" x14ac:dyDescent="0.2">
      <c r="A862" t="s">
        <v>2300</v>
      </c>
      <c r="B862" t="s">
        <v>2301</v>
      </c>
      <c r="C862">
        <v>5.66</v>
      </c>
      <c r="D862" t="s">
        <v>20</v>
      </c>
      <c r="E862" s="6">
        <v>43273</v>
      </c>
      <c r="F862" s="6">
        <v>43276</v>
      </c>
      <c r="G862" s="6">
        <v>43277</v>
      </c>
      <c r="I862">
        <v>2017</v>
      </c>
      <c r="J862" t="s">
        <v>2175</v>
      </c>
      <c r="K862" t="s">
        <v>2302</v>
      </c>
    </row>
    <row r="863" spans="1:11" x14ac:dyDescent="0.2">
      <c r="A863" t="s">
        <v>2300</v>
      </c>
      <c r="B863" t="s">
        <v>2301</v>
      </c>
      <c r="C863">
        <v>17.75</v>
      </c>
      <c r="D863" t="s">
        <v>20</v>
      </c>
      <c r="E863" s="6">
        <v>43447</v>
      </c>
      <c r="F863" s="6">
        <v>43448</v>
      </c>
      <c r="G863" s="6">
        <v>43451</v>
      </c>
      <c r="I863">
        <v>2018</v>
      </c>
      <c r="J863" t="s">
        <v>2180</v>
      </c>
      <c r="K863" t="s">
        <v>2302</v>
      </c>
    </row>
    <row r="864" spans="1:11" x14ac:dyDescent="0.2">
      <c r="A864" t="s">
        <v>2300</v>
      </c>
      <c r="B864" t="s">
        <v>2301</v>
      </c>
      <c r="C864">
        <v>6.96</v>
      </c>
      <c r="D864" t="s">
        <v>20</v>
      </c>
      <c r="E864" s="6">
        <v>43651</v>
      </c>
      <c r="F864" s="6">
        <v>43654</v>
      </c>
      <c r="G864" s="6">
        <v>43655</v>
      </c>
      <c r="I864">
        <v>2018</v>
      </c>
      <c r="J864" t="s">
        <v>2175</v>
      </c>
      <c r="K864" t="s">
        <v>2302</v>
      </c>
    </row>
    <row r="865" spans="1:11" x14ac:dyDescent="0.2">
      <c r="A865" t="s">
        <v>2300</v>
      </c>
      <c r="B865" t="s">
        <v>2301</v>
      </c>
      <c r="C865">
        <v>6.36</v>
      </c>
      <c r="D865" t="s">
        <v>20</v>
      </c>
      <c r="E865" s="6">
        <v>43843</v>
      </c>
      <c r="F865" s="6">
        <v>43844</v>
      </c>
      <c r="G865" s="6">
        <v>43845</v>
      </c>
      <c r="I865">
        <v>2019</v>
      </c>
      <c r="J865" t="s">
        <v>2180</v>
      </c>
      <c r="K865" t="s">
        <v>2302</v>
      </c>
    </row>
    <row r="866" spans="1:11" x14ac:dyDescent="0.2">
      <c r="A866" t="s">
        <v>2300</v>
      </c>
      <c r="B866" t="s">
        <v>2301</v>
      </c>
      <c r="C866">
        <v>0.96</v>
      </c>
      <c r="D866" t="s">
        <v>20</v>
      </c>
      <c r="E866" s="6">
        <v>44035</v>
      </c>
      <c r="F866" s="6">
        <v>44036</v>
      </c>
      <c r="G866" s="6">
        <v>44039</v>
      </c>
      <c r="I866">
        <v>2019</v>
      </c>
      <c r="J866" t="s">
        <v>2175</v>
      </c>
      <c r="K866" t="s">
        <v>2302</v>
      </c>
    </row>
    <row r="867" spans="1:11" x14ac:dyDescent="0.2">
      <c r="A867" t="s">
        <v>2300</v>
      </c>
      <c r="B867" t="s">
        <v>2301</v>
      </c>
      <c r="C867">
        <v>10.92</v>
      </c>
      <c r="D867" t="s">
        <v>20</v>
      </c>
      <c r="E867" s="6">
        <v>44208</v>
      </c>
      <c r="F867" s="6">
        <v>44209</v>
      </c>
      <c r="G867" s="6">
        <v>44210</v>
      </c>
      <c r="I867">
        <v>2020</v>
      </c>
      <c r="J867" t="s">
        <v>2180</v>
      </c>
      <c r="K867" t="s">
        <v>2302</v>
      </c>
    </row>
    <row r="868" spans="1:11" x14ac:dyDescent="0.2">
      <c r="A868" t="s">
        <v>2300</v>
      </c>
      <c r="B868" t="s">
        <v>2301</v>
      </c>
      <c r="C868">
        <v>6.27</v>
      </c>
      <c r="D868" t="s">
        <v>20</v>
      </c>
      <c r="E868" s="6">
        <v>44385</v>
      </c>
      <c r="F868" s="6">
        <v>44386</v>
      </c>
      <c r="G868" s="6">
        <v>44389</v>
      </c>
      <c r="I868">
        <v>2020</v>
      </c>
      <c r="J868" t="s">
        <v>2175</v>
      </c>
      <c r="K868" t="s">
        <v>2302</v>
      </c>
    </row>
    <row r="869" spans="1:11" x14ac:dyDescent="0.2">
      <c r="A869" t="s">
        <v>2300</v>
      </c>
      <c r="B869" t="s">
        <v>2301</v>
      </c>
      <c r="C869">
        <v>9.5</v>
      </c>
      <c r="D869" t="s">
        <v>20</v>
      </c>
      <c r="E869" s="6">
        <v>44476</v>
      </c>
      <c r="F869" s="6">
        <v>44477</v>
      </c>
      <c r="G869" s="6">
        <v>44480</v>
      </c>
      <c r="H869" s="6">
        <v>44517</v>
      </c>
      <c r="I869">
        <v>2021</v>
      </c>
      <c r="J869" t="s">
        <v>2177</v>
      </c>
      <c r="K869" t="s">
        <v>2302</v>
      </c>
    </row>
    <row r="870" spans="1:11" x14ac:dyDescent="0.2">
      <c r="A870" t="s">
        <v>2300</v>
      </c>
      <c r="B870" t="s">
        <v>2301</v>
      </c>
      <c r="C870">
        <v>14.62</v>
      </c>
      <c r="D870" t="s">
        <v>20</v>
      </c>
      <c r="E870" s="6">
        <v>45117</v>
      </c>
      <c r="F870" s="6">
        <v>45118</v>
      </c>
      <c r="G870" s="6">
        <v>45119</v>
      </c>
      <c r="H870" s="6">
        <v>45154</v>
      </c>
      <c r="I870">
        <v>2022</v>
      </c>
      <c r="J870" t="s">
        <v>2175</v>
      </c>
      <c r="K870" t="s">
        <v>2302</v>
      </c>
    </row>
    <row r="871" spans="1:11" x14ac:dyDescent="0.2">
      <c r="A871" t="s">
        <v>2300</v>
      </c>
      <c r="B871" t="s">
        <v>2301</v>
      </c>
      <c r="C871">
        <v>29.75</v>
      </c>
      <c r="D871" t="s">
        <v>20</v>
      </c>
      <c r="E871" s="6">
        <v>45296</v>
      </c>
      <c r="F871" s="6">
        <v>45299</v>
      </c>
      <c r="G871" s="6">
        <v>45299</v>
      </c>
      <c r="H871" s="6">
        <v>45334</v>
      </c>
      <c r="I871">
        <v>2023</v>
      </c>
      <c r="J871" t="s">
        <v>2180</v>
      </c>
      <c r="K871" t="s">
        <v>2302</v>
      </c>
    </row>
    <row r="872" spans="1:11" x14ac:dyDescent="0.2">
      <c r="A872" t="s">
        <v>2300</v>
      </c>
      <c r="B872" t="s">
        <v>2301</v>
      </c>
      <c r="C872">
        <v>6.93</v>
      </c>
      <c r="D872" t="s">
        <v>20</v>
      </c>
      <c r="E872" s="6">
        <v>45484</v>
      </c>
      <c r="F872" s="6">
        <v>45485</v>
      </c>
      <c r="G872" s="6">
        <v>45485</v>
      </c>
      <c r="H872" s="6">
        <v>45520</v>
      </c>
      <c r="I872">
        <v>2023</v>
      </c>
      <c r="J872" t="s">
        <v>2175</v>
      </c>
      <c r="K872" t="s">
        <v>2302</v>
      </c>
    </row>
    <row r="873" spans="1:11" x14ac:dyDescent="0.2">
      <c r="A873" t="s">
        <v>2300</v>
      </c>
      <c r="B873" t="s">
        <v>2301</v>
      </c>
      <c r="C873">
        <v>22.19</v>
      </c>
      <c r="D873" t="s">
        <v>20</v>
      </c>
      <c r="E873" s="6">
        <v>45569</v>
      </c>
      <c r="F873" s="6">
        <v>45569</v>
      </c>
      <c r="G873" s="6">
        <v>45572</v>
      </c>
      <c r="I873">
        <v>2024</v>
      </c>
      <c r="J873" t="s">
        <v>2177</v>
      </c>
      <c r="K873" t="s">
        <v>2302</v>
      </c>
    </row>
    <row r="874" spans="1:11" x14ac:dyDescent="0.2">
      <c r="A874" t="s">
        <v>2300</v>
      </c>
      <c r="B874" t="s">
        <v>2301</v>
      </c>
      <c r="C874">
        <v>8.24</v>
      </c>
      <c r="D874" t="s">
        <v>20</v>
      </c>
      <c r="E874" s="6">
        <v>45569</v>
      </c>
      <c r="F874" s="6">
        <v>45572</v>
      </c>
      <c r="G874" s="6">
        <v>45572</v>
      </c>
      <c r="H874" s="6">
        <v>45607</v>
      </c>
      <c r="I874">
        <v>2024</v>
      </c>
      <c r="J874" t="s">
        <v>2181</v>
      </c>
      <c r="K874" t="s">
        <v>2302</v>
      </c>
    </row>
    <row r="875" spans="1:11" x14ac:dyDescent="0.2">
      <c r="A875" t="s">
        <v>2300</v>
      </c>
      <c r="B875" t="s">
        <v>2301</v>
      </c>
      <c r="C875">
        <v>17.12</v>
      </c>
      <c r="D875" t="s">
        <v>20</v>
      </c>
      <c r="E875" s="6">
        <v>45639</v>
      </c>
      <c r="F875" s="6">
        <v>45642</v>
      </c>
      <c r="G875" s="6">
        <v>45642</v>
      </c>
      <c r="H875" s="6">
        <v>45686</v>
      </c>
      <c r="I875">
        <v>2024</v>
      </c>
      <c r="J875" t="s">
        <v>2180</v>
      </c>
      <c r="K875" t="s">
        <v>2302</v>
      </c>
    </row>
    <row r="876" spans="1:11" x14ac:dyDescent="0.2">
      <c r="A876" t="s">
        <v>2300</v>
      </c>
      <c r="B876" t="s">
        <v>2301</v>
      </c>
      <c r="C876">
        <v>8.17</v>
      </c>
      <c r="D876" t="s">
        <v>20</v>
      </c>
      <c r="E876" s="6">
        <v>45835</v>
      </c>
      <c r="F876" s="6">
        <v>45835</v>
      </c>
      <c r="G876" s="6">
        <v>45838</v>
      </c>
      <c r="H876" s="6">
        <v>45873</v>
      </c>
      <c r="I876">
        <v>2024</v>
      </c>
      <c r="J876" t="s">
        <v>2175</v>
      </c>
      <c r="K876" t="s">
        <v>2302</v>
      </c>
    </row>
    <row r="877" spans="1:11" x14ac:dyDescent="0.2">
      <c r="A877" t="s">
        <v>2300</v>
      </c>
      <c r="B877" t="s">
        <v>2301</v>
      </c>
      <c r="C877">
        <v>6.54</v>
      </c>
      <c r="D877" t="s">
        <v>20</v>
      </c>
      <c r="E877" s="6">
        <v>45939</v>
      </c>
      <c r="F877" s="6">
        <v>45940</v>
      </c>
      <c r="G877" s="6">
        <v>45940</v>
      </c>
      <c r="H877" s="6">
        <v>45978</v>
      </c>
      <c r="I877">
        <v>2025</v>
      </c>
      <c r="J877" t="s">
        <v>2177</v>
      </c>
      <c r="K877" t="s">
        <v>2302</v>
      </c>
    </row>
    <row r="878" spans="1:11" x14ac:dyDescent="0.2">
      <c r="A878" t="s">
        <v>2300</v>
      </c>
      <c r="B878" t="s">
        <v>2301</v>
      </c>
      <c r="C878">
        <v>9</v>
      </c>
      <c r="D878" t="s">
        <v>20</v>
      </c>
      <c r="E878" s="6">
        <v>46009</v>
      </c>
      <c r="F878" s="6">
        <v>46011</v>
      </c>
      <c r="G878" s="6">
        <v>46011</v>
      </c>
      <c r="H878" s="6">
        <v>46057</v>
      </c>
      <c r="I878">
        <v>2025</v>
      </c>
      <c r="J878" t="s">
        <v>2180</v>
      </c>
      <c r="K878" t="s">
        <v>2302</v>
      </c>
    </row>
    <row r="879" spans="1:11" x14ac:dyDescent="0.2">
      <c r="A879" t="s">
        <v>2303</v>
      </c>
      <c r="B879" t="s">
        <v>2304</v>
      </c>
      <c r="C879">
        <v>1.4999999999999999E-2</v>
      </c>
      <c r="D879" t="s">
        <v>20</v>
      </c>
      <c r="E879" s="6">
        <v>38096</v>
      </c>
      <c r="F879" s="6">
        <v>38097</v>
      </c>
      <c r="G879" s="6">
        <v>38097</v>
      </c>
      <c r="I879">
        <v>2003</v>
      </c>
      <c r="J879" t="s">
        <v>2175</v>
      </c>
      <c r="K879" t="s">
        <v>2305</v>
      </c>
    </row>
    <row r="880" spans="1:11" x14ac:dyDescent="0.2">
      <c r="A880" t="s">
        <v>2303</v>
      </c>
      <c r="B880" t="s">
        <v>2304</v>
      </c>
      <c r="C880">
        <v>1.4999999999999999E-2</v>
      </c>
      <c r="D880" t="s">
        <v>20</v>
      </c>
      <c r="E880" s="6">
        <v>38497</v>
      </c>
      <c r="F880" s="6">
        <v>38498</v>
      </c>
      <c r="G880" s="6">
        <v>38498</v>
      </c>
      <c r="I880">
        <v>2004</v>
      </c>
      <c r="J880" t="s">
        <v>2175</v>
      </c>
      <c r="K880" t="s">
        <v>2305</v>
      </c>
    </row>
    <row r="881" spans="1:11" x14ac:dyDescent="0.2">
      <c r="A881" t="s">
        <v>2303</v>
      </c>
      <c r="B881" t="s">
        <v>2304</v>
      </c>
      <c r="C881">
        <v>1.4999999999999999E-2</v>
      </c>
      <c r="D881" t="s">
        <v>20</v>
      </c>
      <c r="E881" s="6">
        <v>38849</v>
      </c>
      <c r="F881" s="6">
        <v>38850</v>
      </c>
      <c r="G881" s="6">
        <v>38852</v>
      </c>
      <c r="I881">
        <v>2005</v>
      </c>
      <c r="J881" t="s">
        <v>2175</v>
      </c>
      <c r="K881" t="s">
        <v>2305</v>
      </c>
    </row>
    <row r="882" spans="1:11" x14ac:dyDescent="0.2">
      <c r="A882" t="s">
        <v>2303</v>
      </c>
      <c r="B882" t="s">
        <v>2304</v>
      </c>
      <c r="C882">
        <v>1.4999999999999999E-2</v>
      </c>
      <c r="D882" t="s">
        <v>20</v>
      </c>
      <c r="E882" s="6">
        <v>39234</v>
      </c>
      <c r="F882" s="6">
        <v>39235</v>
      </c>
      <c r="G882" s="6">
        <v>39237</v>
      </c>
      <c r="I882">
        <v>2006</v>
      </c>
      <c r="J882" t="s">
        <v>2175</v>
      </c>
      <c r="K882" t="s">
        <v>2305</v>
      </c>
    </row>
    <row r="883" spans="1:11" x14ac:dyDescent="0.2">
      <c r="A883" t="s">
        <v>2303</v>
      </c>
      <c r="B883" t="s">
        <v>2304</v>
      </c>
      <c r="C883">
        <v>1.8499999999999999E-2</v>
      </c>
      <c r="D883" t="s">
        <v>20</v>
      </c>
      <c r="E883" s="6">
        <v>39559</v>
      </c>
      <c r="F883" s="6">
        <v>39560</v>
      </c>
      <c r="G883" s="6">
        <v>39561</v>
      </c>
      <c r="I883">
        <v>2007</v>
      </c>
      <c r="J883" t="s">
        <v>2175</v>
      </c>
      <c r="K883" t="s">
        <v>2305</v>
      </c>
    </row>
    <row r="884" spans="1:11" x14ac:dyDescent="0.2">
      <c r="A884" t="s">
        <v>2303</v>
      </c>
      <c r="B884" t="s">
        <v>2304</v>
      </c>
      <c r="C884">
        <v>2.6499999999999999E-2</v>
      </c>
      <c r="D884" t="s">
        <v>20</v>
      </c>
      <c r="E884" s="6">
        <v>39920</v>
      </c>
      <c r="F884" s="6">
        <v>39923</v>
      </c>
      <c r="G884" s="6">
        <v>39923</v>
      </c>
      <c r="I884">
        <v>2008</v>
      </c>
      <c r="J884" t="s">
        <v>2175</v>
      </c>
      <c r="K884" t="s">
        <v>2305</v>
      </c>
    </row>
    <row r="885" spans="1:11" x14ac:dyDescent="0.2">
      <c r="A885" t="s">
        <v>2303</v>
      </c>
      <c r="B885" t="s">
        <v>2304</v>
      </c>
      <c r="C885">
        <v>0.13</v>
      </c>
      <c r="D885" t="s">
        <v>20</v>
      </c>
      <c r="E885" s="6">
        <v>40283</v>
      </c>
      <c r="F885" s="6">
        <v>40284</v>
      </c>
      <c r="G885" s="6">
        <v>40287</v>
      </c>
      <c r="I885">
        <v>2009</v>
      </c>
      <c r="J885" t="s">
        <v>2175</v>
      </c>
      <c r="K885" t="s">
        <v>2305</v>
      </c>
    </row>
    <row r="886" spans="1:11" x14ac:dyDescent="0.2">
      <c r="A886" t="s">
        <v>2303</v>
      </c>
      <c r="B886" t="s">
        <v>2304</v>
      </c>
      <c r="C886">
        <v>2.3E-2</v>
      </c>
      <c r="D886" t="s">
        <v>20</v>
      </c>
      <c r="E886" s="6">
        <v>40672</v>
      </c>
      <c r="F886" s="6">
        <v>40673</v>
      </c>
      <c r="G886" s="6">
        <v>40674</v>
      </c>
      <c r="I886">
        <v>2010</v>
      </c>
      <c r="J886" t="s">
        <v>2175</v>
      </c>
      <c r="K886" t="s">
        <v>2305</v>
      </c>
    </row>
    <row r="887" spans="1:11" x14ac:dyDescent="0.2">
      <c r="A887" t="s">
        <v>2303</v>
      </c>
      <c r="B887" t="s">
        <v>2304</v>
      </c>
      <c r="C887">
        <v>2.35E-2</v>
      </c>
      <c r="D887" t="s">
        <v>20</v>
      </c>
      <c r="E887" s="6">
        <v>41022</v>
      </c>
      <c r="F887" s="6">
        <v>41023</v>
      </c>
      <c r="G887" s="6">
        <v>41024</v>
      </c>
      <c r="I887">
        <v>2011</v>
      </c>
      <c r="J887" t="s">
        <v>2175</v>
      </c>
      <c r="K887" t="s">
        <v>2305</v>
      </c>
    </row>
    <row r="888" spans="1:11" x14ac:dyDescent="0.2">
      <c r="A888" t="s">
        <v>2303</v>
      </c>
      <c r="B888" t="s">
        <v>2304</v>
      </c>
      <c r="C888">
        <v>2.3599999999999999E-2</v>
      </c>
      <c r="D888" t="s">
        <v>20</v>
      </c>
      <c r="E888" s="6">
        <v>41390</v>
      </c>
      <c r="F888" s="6">
        <v>41393</v>
      </c>
      <c r="G888" s="6">
        <v>41392</v>
      </c>
      <c r="I888">
        <v>2012</v>
      </c>
      <c r="J888" t="s">
        <v>2175</v>
      </c>
      <c r="K888" t="s">
        <v>2305</v>
      </c>
    </row>
    <row r="889" spans="1:11" x14ac:dyDescent="0.2">
      <c r="A889" t="s">
        <v>2303</v>
      </c>
      <c r="B889" t="s">
        <v>2304</v>
      </c>
      <c r="C889">
        <v>2.3400000000000001E-2</v>
      </c>
      <c r="D889" t="s">
        <v>20</v>
      </c>
      <c r="E889" s="6">
        <v>41827</v>
      </c>
      <c r="F889" s="6">
        <v>41828</v>
      </c>
      <c r="G889" s="6">
        <v>41829</v>
      </c>
      <c r="I889">
        <v>2013</v>
      </c>
      <c r="J889" t="s">
        <v>2175</v>
      </c>
      <c r="K889" t="s">
        <v>2305</v>
      </c>
    </row>
    <row r="890" spans="1:11" x14ac:dyDescent="0.2">
      <c r="A890" t="s">
        <v>2303</v>
      </c>
      <c r="B890" t="s">
        <v>2304</v>
      </c>
      <c r="C890">
        <v>0.23</v>
      </c>
      <c r="D890" t="s">
        <v>20</v>
      </c>
      <c r="E890" s="6">
        <v>42194</v>
      </c>
      <c r="F890" s="6">
        <v>42195</v>
      </c>
      <c r="G890" s="6">
        <v>42198</v>
      </c>
      <c r="I890">
        <v>2014</v>
      </c>
      <c r="J890" t="s">
        <v>2175</v>
      </c>
      <c r="K890" t="s">
        <v>2305</v>
      </c>
    </row>
    <row r="891" spans="1:11" x14ac:dyDescent="0.2">
      <c r="A891" t="s">
        <v>2303</v>
      </c>
      <c r="B891" t="s">
        <v>2304</v>
      </c>
      <c r="C891">
        <v>5.1900000000000002E-2</v>
      </c>
      <c r="D891" t="s">
        <v>20</v>
      </c>
      <c r="E891" s="6">
        <v>42552</v>
      </c>
      <c r="F891" s="6">
        <v>42555</v>
      </c>
      <c r="G891" s="6">
        <v>42556</v>
      </c>
      <c r="I891">
        <v>2016</v>
      </c>
      <c r="J891" t="s">
        <v>2195</v>
      </c>
      <c r="K891" t="s">
        <v>2305</v>
      </c>
    </row>
    <row r="892" spans="1:11" x14ac:dyDescent="0.2">
      <c r="A892" t="s">
        <v>2303</v>
      </c>
      <c r="B892" t="s">
        <v>2304</v>
      </c>
      <c r="C892">
        <v>0.47</v>
      </c>
      <c r="D892" t="s">
        <v>20</v>
      </c>
      <c r="E892" s="6">
        <v>42625</v>
      </c>
      <c r="F892" s="6">
        <v>42626</v>
      </c>
      <c r="G892" s="6">
        <v>42627</v>
      </c>
      <c r="I892">
        <v>2016</v>
      </c>
      <c r="J892" t="s">
        <v>2177</v>
      </c>
      <c r="K892" t="s">
        <v>2305</v>
      </c>
    </row>
    <row r="893" spans="1:11" x14ac:dyDescent="0.2">
      <c r="A893" t="s">
        <v>2303</v>
      </c>
      <c r="B893" t="s">
        <v>2304</v>
      </c>
      <c r="C893">
        <v>0.78</v>
      </c>
      <c r="D893" t="s">
        <v>20</v>
      </c>
      <c r="E893" s="6">
        <v>42871</v>
      </c>
      <c r="F893" s="6">
        <v>42872</v>
      </c>
      <c r="G893" s="6">
        <v>42873</v>
      </c>
      <c r="I893">
        <v>2016</v>
      </c>
      <c r="J893" t="s">
        <v>2175</v>
      </c>
      <c r="K893" t="s">
        <v>2305</v>
      </c>
    </row>
    <row r="894" spans="1:11" x14ac:dyDescent="0.2">
      <c r="A894" t="s">
        <v>2303</v>
      </c>
      <c r="B894" t="s">
        <v>2304</v>
      </c>
      <c r="C894">
        <v>0.52</v>
      </c>
      <c r="D894" t="s">
        <v>20</v>
      </c>
      <c r="E894" s="6">
        <v>43378</v>
      </c>
      <c r="F894" s="6">
        <v>43381</v>
      </c>
      <c r="G894" s="6">
        <v>43382</v>
      </c>
      <c r="I894">
        <v>2018</v>
      </c>
      <c r="J894" t="s">
        <v>2177</v>
      </c>
      <c r="K894" t="s">
        <v>2305</v>
      </c>
    </row>
    <row r="895" spans="1:11" x14ac:dyDescent="0.2">
      <c r="A895" t="s">
        <v>2303</v>
      </c>
      <c r="B895" t="s">
        <v>2304</v>
      </c>
      <c r="C895">
        <v>0.26</v>
      </c>
      <c r="D895" t="s">
        <v>20</v>
      </c>
      <c r="E895" s="6">
        <v>43469</v>
      </c>
      <c r="F895" s="6">
        <v>43473</v>
      </c>
      <c r="G895" s="6">
        <v>43474</v>
      </c>
      <c r="I895">
        <v>2018</v>
      </c>
      <c r="J895" t="s">
        <v>2180</v>
      </c>
      <c r="K895" t="s">
        <v>2305</v>
      </c>
    </row>
    <row r="896" spans="1:11" x14ac:dyDescent="0.2">
      <c r="A896" t="s">
        <v>2303</v>
      </c>
      <c r="B896" t="s">
        <v>2304</v>
      </c>
      <c r="C896">
        <v>0.5</v>
      </c>
      <c r="D896" t="s">
        <v>20</v>
      </c>
      <c r="E896" s="6">
        <v>43637</v>
      </c>
      <c r="F896" s="6">
        <v>43640</v>
      </c>
      <c r="G896" s="6">
        <v>43641</v>
      </c>
      <c r="I896">
        <v>2018</v>
      </c>
      <c r="J896" t="s">
        <v>2175</v>
      </c>
      <c r="K896" t="s">
        <v>2305</v>
      </c>
    </row>
    <row r="897" spans="1:11" x14ac:dyDescent="0.2">
      <c r="A897" t="s">
        <v>2303</v>
      </c>
      <c r="B897" t="s">
        <v>2304</v>
      </c>
      <c r="C897">
        <v>1.35</v>
      </c>
      <c r="D897" t="s">
        <v>20</v>
      </c>
      <c r="E897" s="6">
        <v>44036</v>
      </c>
      <c r="F897" s="6">
        <v>44039</v>
      </c>
      <c r="G897" s="6">
        <v>44040</v>
      </c>
      <c r="I897">
        <v>2019</v>
      </c>
      <c r="J897" t="s">
        <v>2175</v>
      </c>
      <c r="K897" t="s">
        <v>2305</v>
      </c>
    </row>
    <row r="898" spans="1:11" x14ac:dyDescent="0.2">
      <c r="A898" t="s">
        <v>2303</v>
      </c>
      <c r="B898" t="s">
        <v>2304</v>
      </c>
      <c r="C898">
        <v>0.06</v>
      </c>
      <c r="D898" t="s">
        <v>20</v>
      </c>
      <c r="E898" s="6">
        <v>44385</v>
      </c>
      <c r="F898" s="6">
        <v>44386</v>
      </c>
      <c r="G898" s="6">
        <v>44389</v>
      </c>
      <c r="I898">
        <v>2020</v>
      </c>
      <c r="J898" t="s">
        <v>2175</v>
      </c>
      <c r="K898" t="s">
        <v>2305</v>
      </c>
    </row>
    <row r="899" spans="1:11" x14ac:dyDescent="0.2">
      <c r="A899" t="s">
        <v>2303</v>
      </c>
      <c r="B899" t="s">
        <v>2304</v>
      </c>
      <c r="C899">
        <v>0.54</v>
      </c>
      <c r="D899" t="s">
        <v>20</v>
      </c>
      <c r="E899" s="6">
        <v>44750</v>
      </c>
      <c r="F899" s="6">
        <v>44753</v>
      </c>
      <c r="G899" s="6">
        <v>44754</v>
      </c>
      <c r="H899" s="6">
        <v>44789</v>
      </c>
      <c r="I899">
        <v>2021</v>
      </c>
      <c r="J899" t="s">
        <v>2175</v>
      </c>
      <c r="K899" t="s">
        <v>2305</v>
      </c>
    </row>
    <row r="900" spans="1:11" x14ac:dyDescent="0.2">
      <c r="A900" t="s">
        <v>2303</v>
      </c>
      <c r="B900" t="s">
        <v>2304</v>
      </c>
      <c r="C900">
        <v>0.8</v>
      </c>
      <c r="D900" t="s">
        <v>20</v>
      </c>
      <c r="E900" s="6">
        <v>45117</v>
      </c>
      <c r="F900" s="6">
        <v>45118</v>
      </c>
      <c r="G900" s="6">
        <v>45119</v>
      </c>
      <c r="H900" s="6">
        <v>45154</v>
      </c>
      <c r="I900">
        <v>2022</v>
      </c>
      <c r="J900" t="s">
        <v>2175</v>
      </c>
      <c r="K900" t="s">
        <v>2305</v>
      </c>
    </row>
    <row r="901" spans="1:11" x14ac:dyDescent="0.2">
      <c r="A901" t="s">
        <v>2303</v>
      </c>
      <c r="B901" t="s">
        <v>2304</v>
      </c>
      <c r="C901">
        <v>0.77</v>
      </c>
      <c r="D901" t="s">
        <v>20</v>
      </c>
      <c r="E901" s="6">
        <v>45482</v>
      </c>
      <c r="F901" s="6">
        <v>45483</v>
      </c>
      <c r="G901" s="6">
        <v>45483</v>
      </c>
      <c r="H901" s="6">
        <v>45518</v>
      </c>
      <c r="I901">
        <v>2023</v>
      </c>
      <c r="J901" t="s">
        <v>2175</v>
      </c>
      <c r="K901" t="s">
        <v>2305</v>
      </c>
    </row>
    <row r="902" spans="1:11" x14ac:dyDescent="0.2">
      <c r="A902" t="s">
        <v>2303</v>
      </c>
      <c r="B902" t="s">
        <v>2304</v>
      </c>
      <c r="C902">
        <v>0.96</v>
      </c>
      <c r="D902" t="s">
        <v>20</v>
      </c>
      <c r="E902" s="6">
        <v>45849</v>
      </c>
      <c r="F902" s="6">
        <v>45852</v>
      </c>
      <c r="G902" s="6">
        <v>45852</v>
      </c>
      <c r="H902" s="6">
        <v>45887</v>
      </c>
      <c r="I902">
        <v>2024</v>
      </c>
      <c r="J902" t="s">
        <v>2175</v>
      </c>
      <c r="K902" t="s">
        <v>2305</v>
      </c>
    </row>
    <row r="903" spans="1:11" x14ac:dyDescent="0.2">
      <c r="A903" t="s">
        <v>2306</v>
      </c>
      <c r="B903" t="s">
        <v>2307</v>
      </c>
      <c r="C903">
        <v>15</v>
      </c>
      <c r="D903" t="s">
        <v>20</v>
      </c>
      <c r="E903" s="6">
        <v>40603</v>
      </c>
      <c r="F903" s="6">
        <v>40604</v>
      </c>
      <c r="G903" s="6">
        <v>40605</v>
      </c>
      <c r="I903">
        <v>2010</v>
      </c>
      <c r="J903" t="s">
        <v>2175</v>
      </c>
      <c r="K903" t="s">
        <v>2308</v>
      </c>
    </row>
    <row r="904" spans="1:11" x14ac:dyDescent="0.2">
      <c r="A904" t="s">
        <v>2306</v>
      </c>
      <c r="B904" t="s">
        <v>2307</v>
      </c>
      <c r="C904">
        <v>20</v>
      </c>
      <c r="D904" t="s">
        <v>20</v>
      </c>
      <c r="E904" s="6">
        <v>40954</v>
      </c>
      <c r="F904" s="6">
        <v>40955</v>
      </c>
      <c r="G904" s="6">
        <v>40956</v>
      </c>
      <c r="I904">
        <v>2011</v>
      </c>
      <c r="J904" t="s">
        <v>2175</v>
      </c>
      <c r="K904" t="s">
        <v>2308</v>
      </c>
    </row>
    <row r="905" spans="1:11" x14ac:dyDescent="0.2">
      <c r="A905" t="s">
        <v>2306</v>
      </c>
      <c r="B905" t="s">
        <v>2307</v>
      </c>
      <c r="C905">
        <v>20</v>
      </c>
      <c r="D905" t="s">
        <v>20</v>
      </c>
      <c r="E905" s="6">
        <v>41319</v>
      </c>
      <c r="F905" s="6">
        <v>41320</v>
      </c>
      <c r="G905" s="6">
        <v>41323</v>
      </c>
      <c r="I905">
        <v>2012</v>
      </c>
      <c r="J905" t="s">
        <v>2175</v>
      </c>
      <c r="K905" t="s">
        <v>2308</v>
      </c>
    </row>
    <row r="906" spans="1:11" x14ac:dyDescent="0.2">
      <c r="A906" t="s">
        <v>2306</v>
      </c>
      <c r="B906" t="s">
        <v>2307</v>
      </c>
      <c r="C906">
        <v>40</v>
      </c>
      <c r="D906" t="s">
        <v>20</v>
      </c>
      <c r="E906" s="6">
        <v>41817</v>
      </c>
      <c r="F906" s="6">
        <v>41820</v>
      </c>
      <c r="G906" s="6">
        <v>41821</v>
      </c>
      <c r="I906">
        <v>2013</v>
      </c>
      <c r="J906" t="s">
        <v>2175</v>
      </c>
      <c r="K906" t="s">
        <v>2308</v>
      </c>
    </row>
    <row r="907" spans="1:11" x14ac:dyDescent="0.2">
      <c r="A907" t="s">
        <v>2306</v>
      </c>
      <c r="B907" t="s">
        <v>2307</v>
      </c>
      <c r="C907">
        <v>78</v>
      </c>
      <c r="D907" t="s">
        <v>20</v>
      </c>
      <c r="E907" s="6">
        <v>42110</v>
      </c>
      <c r="F907" s="6">
        <v>42111</v>
      </c>
      <c r="G907" s="6">
        <v>42112</v>
      </c>
      <c r="I907">
        <v>2014</v>
      </c>
      <c r="J907" t="s">
        <v>2175</v>
      </c>
      <c r="K907" t="s">
        <v>2308</v>
      </c>
    </row>
    <row r="908" spans="1:11" x14ac:dyDescent="0.2">
      <c r="A908" t="s">
        <v>2306</v>
      </c>
      <c r="B908" t="s">
        <v>2307</v>
      </c>
      <c r="C908">
        <v>78</v>
      </c>
      <c r="D908" t="s">
        <v>20</v>
      </c>
      <c r="E908" s="6">
        <v>42474</v>
      </c>
      <c r="F908" s="6">
        <v>42475</v>
      </c>
      <c r="G908" s="6">
        <v>42478</v>
      </c>
      <c r="I908">
        <v>2015</v>
      </c>
      <c r="J908" t="s">
        <v>2175</v>
      </c>
      <c r="K908" t="s">
        <v>2308</v>
      </c>
    </row>
    <row r="909" spans="1:11" x14ac:dyDescent="0.2">
      <c r="A909" t="s">
        <v>2306</v>
      </c>
      <c r="B909" t="s">
        <v>2307</v>
      </c>
      <c r="C909">
        <v>78</v>
      </c>
      <c r="D909" t="s">
        <v>20</v>
      </c>
      <c r="E909" s="6">
        <v>42902</v>
      </c>
      <c r="F909" s="6">
        <v>42905</v>
      </c>
      <c r="G909" s="6">
        <v>42906</v>
      </c>
      <c r="I909">
        <v>2016</v>
      </c>
      <c r="J909" t="s">
        <v>2175</v>
      </c>
      <c r="K909" t="s">
        <v>2308</v>
      </c>
    </row>
    <row r="910" spans="1:11" x14ac:dyDescent="0.2">
      <c r="A910" t="s">
        <v>2306</v>
      </c>
      <c r="B910" t="s">
        <v>2307</v>
      </c>
      <c r="C910">
        <v>78</v>
      </c>
      <c r="D910" t="s">
        <v>20</v>
      </c>
      <c r="E910" s="6">
        <v>43287</v>
      </c>
      <c r="F910" s="6">
        <v>43290</v>
      </c>
      <c r="G910" s="6">
        <v>43291</v>
      </c>
      <c r="I910">
        <v>2017</v>
      </c>
      <c r="J910" t="s">
        <v>2175</v>
      </c>
      <c r="K910" t="s">
        <v>2308</v>
      </c>
    </row>
    <row r="911" spans="1:11" x14ac:dyDescent="0.2">
      <c r="A911" t="s">
        <v>2306</v>
      </c>
      <c r="B911" t="s">
        <v>2307</v>
      </c>
      <c r="C911">
        <v>78</v>
      </c>
      <c r="D911" t="s">
        <v>20</v>
      </c>
      <c r="E911" s="6">
        <v>43654</v>
      </c>
      <c r="F911" s="6">
        <v>43655</v>
      </c>
      <c r="G911" s="6">
        <v>43656</v>
      </c>
      <c r="I911">
        <v>2018</v>
      </c>
      <c r="J911" t="s">
        <v>2175</v>
      </c>
      <c r="K911" t="s">
        <v>2308</v>
      </c>
    </row>
    <row r="912" spans="1:11" x14ac:dyDescent="0.2">
      <c r="A912" t="s">
        <v>2306</v>
      </c>
      <c r="B912" t="s">
        <v>2307</v>
      </c>
      <c r="C912">
        <v>30</v>
      </c>
      <c r="D912" t="s">
        <v>20</v>
      </c>
      <c r="E912" s="6">
        <v>43958</v>
      </c>
      <c r="F912" s="6">
        <v>43959</v>
      </c>
      <c r="G912" s="6">
        <v>43963</v>
      </c>
      <c r="I912">
        <v>2019</v>
      </c>
      <c r="J912" t="s">
        <v>2175</v>
      </c>
      <c r="K912" t="s">
        <v>2308</v>
      </c>
    </row>
    <row r="913" spans="1:11" x14ac:dyDescent="0.2">
      <c r="A913" t="s">
        <v>2306</v>
      </c>
      <c r="B913" t="s">
        <v>2307</v>
      </c>
      <c r="C913">
        <v>20</v>
      </c>
      <c r="D913" t="s">
        <v>20</v>
      </c>
      <c r="E913" s="6">
        <v>44112</v>
      </c>
      <c r="F913" s="6">
        <v>44113</v>
      </c>
      <c r="G913" s="6">
        <v>44116</v>
      </c>
      <c r="I913">
        <v>2020</v>
      </c>
      <c r="J913" t="s">
        <v>2177</v>
      </c>
      <c r="K913" t="s">
        <v>2308</v>
      </c>
    </row>
    <row r="914" spans="1:11" x14ac:dyDescent="0.2">
      <c r="A914" t="s">
        <v>2306</v>
      </c>
      <c r="B914" t="s">
        <v>2307</v>
      </c>
      <c r="C914">
        <v>39</v>
      </c>
      <c r="D914" t="s">
        <v>20</v>
      </c>
      <c r="E914" s="6">
        <v>44323</v>
      </c>
      <c r="F914" s="6">
        <v>44326</v>
      </c>
      <c r="G914" s="6">
        <v>44327</v>
      </c>
      <c r="I914">
        <v>2020</v>
      </c>
      <c r="J914" t="s">
        <v>2175</v>
      </c>
      <c r="K914" t="s">
        <v>2308</v>
      </c>
    </row>
    <row r="915" spans="1:11" x14ac:dyDescent="0.2">
      <c r="A915" t="s">
        <v>2306</v>
      </c>
      <c r="B915" t="s">
        <v>2307</v>
      </c>
      <c r="C915">
        <v>78</v>
      </c>
      <c r="D915" t="s">
        <v>20</v>
      </c>
      <c r="E915" s="6">
        <v>45112</v>
      </c>
      <c r="F915" s="6">
        <v>45113</v>
      </c>
      <c r="G915" s="6">
        <v>45114</v>
      </c>
      <c r="H915" s="6">
        <v>45149</v>
      </c>
      <c r="I915">
        <v>2022</v>
      </c>
      <c r="J915" t="s">
        <v>2175</v>
      </c>
      <c r="K915" t="s">
        <v>2308</v>
      </c>
    </row>
    <row r="916" spans="1:11" x14ac:dyDescent="0.2">
      <c r="A916" t="s">
        <v>2306</v>
      </c>
      <c r="B916" t="s">
        <v>2307</v>
      </c>
      <c r="C916">
        <v>100</v>
      </c>
      <c r="D916" t="s">
        <v>20</v>
      </c>
      <c r="E916" s="6">
        <v>45412</v>
      </c>
      <c r="F916" s="6">
        <v>45414</v>
      </c>
      <c r="G916" s="6">
        <v>45414</v>
      </c>
      <c r="H916" s="6">
        <v>45453</v>
      </c>
      <c r="I916">
        <v>2023</v>
      </c>
      <c r="J916" t="s">
        <v>2175</v>
      </c>
      <c r="K916" t="s">
        <v>2308</v>
      </c>
    </row>
    <row r="917" spans="1:11" x14ac:dyDescent="0.2">
      <c r="A917" t="s">
        <v>2306</v>
      </c>
      <c r="B917" t="s">
        <v>2307</v>
      </c>
      <c r="C917">
        <v>78</v>
      </c>
      <c r="D917" t="s">
        <v>20</v>
      </c>
      <c r="E917" s="6">
        <v>45775</v>
      </c>
      <c r="F917" s="6">
        <v>45776</v>
      </c>
      <c r="G917" s="6">
        <v>45776</v>
      </c>
      <c r="H917" s="6">
        <v>45817</v>
      </c>
      <c r="I917">
        <v>2025</v>
      </c>
      <c r="J917" t="s">
        <v>2175</v>
      </c>
      <c r="K917" t="s">
        <v>2308</v>
      </c>
    </row>
    <row r="918" spans="1:11" x14ac:dyDescent="0.2">
      <c r="A918" t="s">
        <v>2309</v>
      </c>
      <c r="B918" t="s">
        <v>2307</v>
      </c>
      <c r="C918">
        <v>4.16</v>
      </c>
      <c r="D918" t="s">
        <v>20</v>
      </c>
      <c r="E918" s="6">
        <v>41942</v>
      </c>
      <c r="F918" s="6">
        <v>41943</v>
      </c>
      <c r="G918" s="6">
        <v>41948</v>
      </c>
      <c r="I918">
        <v>2014</v>
      </c>
      <c r="J918" t="s">
        <v>2181</v>
      </c>
      <c r="K918" t="s">
        <v>2310</v>
      </c>
    </row>
    <row r="919" spans="1:11" x14ac:dyDescent="0.2">
      <c r="A919" t="s">
        <v>2309</v>
      </c>
      <c r="B919" t="s">
        <v>2307</v>
      </c>
      <c r="C919">
        <v>22.71</v>
      </c>
      <c r="D919" t="s">
        <v>20</v>
      </c>
      <c r="E919" s="6">
        <v>43343</v>
      </c>
      <c r="F919" s="6">
        <v>43346</v>
      </c>
      <c r="G919" s="6">
        <v>43347</v>
      </c>
      <c r="I919">
        <v>2018</v>
      </c>
      <c r="J919" t="s">
        <v>2181</v>
      </c>
      <c r="K919" t="s">
        <v>2310</v>
      </c>
    </row>
    <row r="920" spans="1:11" x14ac:dyDescent="0.2">
      <c r="A920" t="s">
        <v>2309</v>
      </c>
      <c r="B920" t="s">
        <v>2307</v>
      </c>
      <c r="C920">
        <v>22.71</v>
      </c>
      <c r="D920" t="s">
        <v>20</v>
      </c>
      <c r="E920" s="6">
        <v>43615</v>
      </c>
      <c r="F920" s="6">
        <v>43616</v>
      </c>
      <c r="G920" s="6">
        <v>43619</v>
      </c>
      <c r="I920">
        <v>2018</v>
      </c>
      <c r="J920" t="s">
        <v>2175</v>
      </c>
      <c r="K920" t="s">
        <v>2310</v>
      </c>
    </row>
    <row r="921" spans="1:11" x14ac:dyDescent="0.2">
      <c r="A921" t="s">
        <v>2309</v>
      </c>
      <c r="B921" t="s">
        <v>2307</v>
      </c>
      <c r="C921">
        <v>22.71</v>
      </c>
      <c r="D921" t="s">
        <v>20</v>
      </c>
      <c r="E921" s="6">
        <v>44112</v>
      </c>
      <c r="F921" s="6">
        <v>44113</v>
      </c>
      <c r="G921" s="6">
        <v>44116</v>
      </c>
      <c r="I921">
        <v>2020</v>
      </c>
      <c r="J921" t="s">
        <v>2181</v>
      </c>
      <c r="K921" t="s">
        <v>2310</v>
      </c>
    </row>
    <row r="922" spans="1:11" x14ac:dyDescent="0.2">
      <c r="A922" t="s">
        <v>2309</v>
      </c>
      <c r="B922" t="s">
        <v>2307</v>
      </c>
      <c r="C922">
        <v>22.51</v>
      </c>
      <c r="D922" t="s">
        <v>20</v>
      </c>
      <c r="E922" s="6">
        <v>44329</v>
      </c>
      <c r="F922" s="6">
        <v>44330</v>
      </c>
      <c r="G922" s="6">
        <v>44333</v>
      </c>
      <c r="I922">
        <v>2020</v>
      </c>
      <c r="J922" t="s">
        <v>2175</v>
      </c>
      <c r="K922" t="s">
        <v>2310</v>
      </c>
    </row>
    <row r="923" spans="1:11" x14ac:dyDescent="0.2">
      <c r="A923" t="s">
        <v>2309</v>
      </c>
      <c r="B923" t="s">
        <v>2307</v>
      </c>
      <c r="C923">
        <v>22.92</v>
      </c>
      <c r="D923" t="s">
        <v>20</v>
      </c>
      <c r="E923" s="6">
        <v>44330</v>
      </c>
      <c r="F923" s="6">
        <v>44333</v>
      </c>
      <c r="G923" s="6">
        <v>44333</v>
      </c>
      <c r="H923" s="6">
        <v>44368</v>
      </c>
      <c r="I923">
        <v>2021</v>
      </c>
      <c r="J923" t="s">
        <v>2195</v>
      </c>
      <c r="K923" t="s">
        <v>2310</v>
      </c>
    </row>
    <row r="924" spans="1:11" x14ac:dyDescent="0.2">
      <c r="A924" t="s">
        <v>2311</v>
      </c>
      <c r="B924" t="s">
        <v>2307</v>
      </c>
      <c r="C924">
        <v>41</v>
      </c>
      <c r="D924" t="s">
        <v>20</v>
      </c>
      <c r="E924" s="6">
        <v>44385</v>
      </c>
      <c r="F924" s="6">
        <v>44386</v>
      </c>
      <c r="G924" s="6">
        <v>44387</v>
      </c>
      <c r="I924">
        <v>2020</v>
      </c>
      <c r="J924" t="s">
        <v>2175</v>
      </c>
      <c r="K924" t="s">
        <v>2312</v>
      </c>
    </row>
    <row r="925" spans="1:11" x14ac:dyDescent="0.2">
      <c r="A925" t="s">
        <v>2311</v>
      </c>
      <c r="B925" t="s">
        <v>2307</v>
      </c>
      <c r="C925">
        <v>41</v>
      </c>
      <c r="D925" t="s">
        <v>20</v>
      </c>
      <c r="E925" s="6">
        <v>44482</v>
      </c>
      <c r="F925" s="6">
        <v>44483</v>
      </c>
      <c r="G925" s="6">
        <v>44484</v>
      </c>
      <c r="H925" s="6">
        <v>44519</v>
      </c>
      <c r="I925">
        <v>2021</v>
      </c>
      <c r="J925" t="s">
        <v>2177</v>
      </c>
      <c r="K925" t="s">
        <v>2312</v>
      </c>
    </row>
    <row r="926" spans="1:11" x14ac:dyDescent="0.2">
      <c r="A926" t="s">
        <v>2311</v>
      </c>
      <c r="B926" t="s">
        <v>2307</v>
      </c>
      <c r="C926">
        <v>41</v>
      </c>
      <c r="D926" t="s">
        <v>20</v>
      </c>
      <c r="E926" s="6">
        <v>44749</v>
      </c>
      <c r="F926" s="6">
        <v>44750</v>
      </c>
      <c r="G926" s="6">
        <v>44753</v>
      </c>
      <c r="I926">
        <v>2022</v>
      </c>
      <c r="J926" t="s">
        <v>2195</v>
      </c>
      <c r="K926" t="s">
        <v>2312</v>
      </c>
    </row>
    <row r="927" spans="1:11" x14ac:dyDescent="0.2">
      <c r="A927" t="s">
        <v>2311</v>
      </c>
      <c r="B927" t="s">
        <v>2307</v>
      </c>
      <c r="C927">
        <v>41</v>
      </c>
      <c r="D927" t="s">
        <v>20</v>
      </c>
      <c r="E927" s="6">
        <v>44844</v>
      </c>
      <c r="F927" s="6">
        <v>44845</v>
      </c>
      <c r="G927" s="6">
        <v>44846</v>
      </c>
      <c r="H927" s="6">
        <v>44882</v>
      </c>
      <c r="I927">
        <v>2022</v>
      </c>
      <c r="J927" t="s">
        <v>2177</v>
      </c>
      <c r="K927" t="s">
        <v>2312</v>
      </c>
    </row>
    <row r="928" spans="1:11" x14ac:dyDescent="0.2">
      <c r="A928" s="8" t="s">
        <v>2320</v>
      </c>
      <c r="C928">
        <v>20.67</v>
      </c>
      <c r="I928">
        <v>2021</v>
      </c>
    </row>
    <row r="929" spans="1:9" x14ac:dyDescent="0.2">
      <c r="A929" s="8" t="s">
        <v>2320</v>
      </c>
      <c r="C929">
        <v>5.49</v>
      </c>
      <c r="I929">
        <v>2020</v>
      </c>
    </row>
    <row r="930" spans="1:9" x14ac:dyDescent="0.2">
      <c r="A930" s="8" t="s">
        <v>2320</v>
      </c>
      <c r="C930">
        <v>5.39</v>
      </c>
      <c r="I930">
        <v>2019</v>
      </c>
    </row>
    <row r="931" spans="1:9" x14ac:dyDescent="0.2">
      <c r="A931" s="8" t="s">
        <v>2320</v>
      </c>
      <c r="C931">
        <v>3.54</v>
      </c>
      <c r="I931">
        <v>2018</v>
      </c>
    </row>
    <row r="932" spans="1:9" x14ac:dyDescent="0.2">
      <c r="A932" s="8" t="s">
        <v>2320</v>
      </c>
      <c r="C932">
        <v>6.64</v>
      </c>
      <c r="I932">
        <v>2017</v>
      </c>
    </row>
    <row r="933" spans="1:9" x14ac:dyDescent="0.2">
      <c r="A933" s="8" t="s">
        <v>2320</v>
      </c>
      <c r="C933">
        <v>7.77</v>
      </c>
      <c r="I933">
        <v>2016</v>
      </c>
    </row>
    <row r="934" spans="1:9" x14ac:dyDescent="0.2">
      <c r="A934" s="8" t="s">
        <v>2320</v>
      </c>
      <c r="C934">
        <v>5.58</v>
      </c>
      <c r="I934">
        <v>2015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27D7-8729-B341-BB6D-EA30BE96833E}">
  <dimension ref="A1:I5398"/>
  <sheetViews>
    <sheetView zoomScale="150" workbookViewId="0">
      <selection activeCell="F20" sqref="F20"/>
    </sheetView>
  </sheetViews>
  <sheetFormatPr baseColWidth="10" defaultColWidth="8.83203125" defaultRowHeight="16" x14ac:dyDescent="0.2"/>
  <cols>
    <col min="1" max="1" width="10.83203125" customWidth="1"/>
  </cols>
  <sheetData>
    <row r="1" spans="1:9" x14ac:dyDescent="0.2">
      <c r="A1" t="s">
        <v>2159</v>
      </c>
    </row>
    <row r="2" spans="1:9" x14ac:dyDescent="0.2">
      <c r="A2" t="s">
        <v>2160</v>
      </c>
      <c r="B2" t="s">
        <v>2161</v>
      </c>
      <c r="C2" t="s">
        <v>2162</v>
      </c>
    </row>
    <row r="3" spans="1:9" x14ac:dyDescent="0.2">
      <c r="A3" s="3">
        <v>46093</v>
      </c>
      <c r="B3">
        <v>79.067999999999998</v>
      </c>
      <c r="C3">
        <f>YEAR(A3)</f>
        <v>2026</v>
      </c>
      <c r="E3">
        <v>2025</v>
      </c>
      <c r="F3">
        <f>AVERAGEIF($C:$C,E3,$B:$B)</f>
        <v>83.270722752808965</v>
      </c>
      <c r="H3" s="3">
        <v>46023</v>
      </c>
    </row>
    <row r="4" spans="1:9" x14ac:dyDescent="0.2">
      <c r="A4" s="3">
        <v>46092</v>
      </c>
      <c r="B4">
        <v>78.739599999999996</v>
      </c>
      <c r="C4">
        <f t="shared" ref="C4:C67" si="0">YEAR(A4)</f>
        <v>2026</v>
      </c>
      <c r="E4">
        <v>2024</v>
      </c>
      <c r="F4">
        <f t="shared" ref="F4:F19" si="1">AVERAGEIF($C:$C,E4,$B:$B)</f>
        <v>92.599868144044279</v>
      </c>
      <c r="H4" s="3">
        <f>EDATE(H3,-3)</f>
        <v>45931</v>
      </c>
      <c r="I4">
        <f>AVERAGEIFS(B:B,A:A,"&gt;="&amp;H4,A:A,"&lt;="&amp;H3)</f>
        <v>79.90924086021505</v>
      </c>
    </row>
    <row r="5" spans="1:9" x14ac:dyDescent="0.2">
      <c r="A5" s="3">
        <v>46091</v>
      </c>
      <c r="B5">
        <v>79.150000000000006</v>
      </c>
      <c r="C5">
        <f t="shared" si="0"/>
        <v>2026</v>
      </c>
      <c r="E5">
        <v>2023</v>
      </c>
      <c r="F5">
        <f t="shared" si="1"/>
        <v>85.420576388888918</v>
      </c>
      <c r="H5" s="3">
        <f t="shared" ref="H5:H19" si="2">EDATE(H4,-3)</f>
        <v>45839</v>
      </c>
      <c r="I5">
        <f t="shared" ref="I5:I19" si="3">AVERAGEIFS(B:B,A:A,"&gt;="&amp;H5,A:A,"&lt;="&amp;H4)</f>
        <v>80.617684946236579</v>
      </c>
    </row>
    <row r="6" spans="1:9" x14ac:dyDescent="0.2">
      <c r="A6" s="3">
        <v>46090</v>
      </c>
      <c r="B6">
        <v>79.150000000000006</v>
      </c>
      <c r="C6">
        <f t="shared" si="0"/>
        <v>2026</v>
      </c>
      <c r="E6">
        <v>2022</v>
      </c>
      <c r="F6">
        <f t="shared" si="1"/>
        <v>68.07861749999995</v>
      </c>
      <c r="H6" s="3">
        <f t="shared" si="2"/>
        <v>45748</v>
      </c>
      <c r="I6">
        <f t="shared" si="3"/>
        <v>80.787429999999986</v>
      </c>
    </row>
    <row r="7" spans="1:9" x14ac:dyDescent="0.2">
      <c r="A7" s="3">
        <v>46089</v>
      </c>
      <c r="B7">
        <v>79.150000000000006</v>
      </c>
      <c r="C7">
        <f t="shared" si="0"/>
        <v>2026</v>
      </c>
      <c r="E7">
        <v>2021</v>
      </c>
      <c r="F7">
        <f t="shared" si="1"/>
        <v>73.77579163636365</v>
      </c>
      <c r="H7" s="3">
        <f t="shared" si="2"/>
        <v>45658</v>
      </c>
      <c r="I7">
        <f t="shared" si="3"/>
        <v>92.49243214285714</v>
      </c>
    </row>
    <row r="8" spans="1:9" x14ac:dyDescent="0.2">
      <c r="A8" s="3">
        <v>46088</v>
      </c>
      <c r="B8">
        <v>79.150000000000006</v>
      </c>
      <c r="C8">
        <f t="shared" si="0"/>
        <v>2026</v>
      </c>
      <c r="E8">
        <v>2020</v>
      </c>
      <c r="F8">
        <f t="shared" si="1"/>
        <v>72.297328222996555</v>
      </c>
      <c r="H8" s="3">
        <f t="shared" si="2"/>
        <v>45566</v>
      </c>
      <c r="I8">
        <f t="shared" si="3"/>
        <v>99.643303225806463</v>
      </c>
    </row>
    <row r="9" spans="1:9" x14ac:dyDescent="0.2">
      <c r="A9" s="3">
        <v>46087</v>
      </c>
      <c r="B9">
        <v>78.19</v>
      </c>
      <c r="C9">
        <f t="shared" si="0"/>
        <v>2026</v>
      </c>
      <c r="E9">
        <v>2019</v>
      </c>
      <c r="F9">
        <f t="shared" si="1"/>
        <v>64.689093749999955</v>
      </c>
      <c r="H9" s="3">
        <f t="shared" si="2"/>
        <v>45474</v>
      </c>
      <c r="I9">
        <f>AVERAGEIFS(B:B,A:A,"&gt;="&amp;H9,A:A,"&lt;="&amp;H8)</f>
        <v>89.257767741935496</v>
      </c>
    </row>
    <row r="10" spans="1:9" x14ac:dyDescent="0.2">
      <c r="A10" s="3">
        <v>46086</v>
      </c>
      <c r="B10">
        <v>77.800899999999999</v>
      </c>
      <c r="C10">
        <f t="shared" si="0"/>
        <v>2026</v>
      </c>
      <c r="E10">
        <v>2018</v>
      </c>
      <c r="F10">
        <f t="shared" si="1"/>
        <v>62.869106644518261</v>
      </c>
      <c r="H10" s="3">
        <f t="shared" si="2"/>
        <v>45383</v>
      </c>
      <c r="I10">
        <f t="shared" si="3"/>
        <v>90.528759550561759</v>
      </c>
    </row>
    <row r="11" spans="1:9" x14ac:dyDescent="0.2">
      <c r="A11" s="3">
        <v>46085</v>
      </c>
      <c r="B11">
        <v>77.609300000000005</v>
      </c>
      <c r="C11">
        <f t="shared" si="0"/>
        <v>2026</v>
      </c>
      <c r="E11">
        <v>2017</v>
      </c>
      <c r="F11">
        <f t="shared" si="1"/>
        <v>58.312850165016478</v>
      </c>
      <c r="H11" s="3">
        <f t="shared" si="2"/>
        <v>45292</v>
      </c>
      <c r="I11">
        <f t="shared" si="3"/>
        <v>90.839526666666686</v>
      </c>
    </row>
    <row r="12" spans="1:9" x14ac:dyDescent="0.2">
      <c r="A12" s="3">
        <v>46084</v>
      </c>
      <c r="B12">
        <v>77.173400000000001</v>
      </c>
      <c r="C12">
        <f t="shared" si="0"/>
        <v>2026</v>
      </c>
      <c r="E12">
        <v>2016</v>
      </c>
      <c r="F12">
        <f t="shared" si="1"/>
        <v>67.054371276595688</v>
      </c>
      <c r="H12" s="3">
        <f t="shared" si="2"/>
        <v>45200</v>
      </c>
      <c r="I12">
        <f t="shared" si="3"/>
        <v>92.781178494623617</v>
      </c>
    </row>
    <row r="13" spans="1:9" x14ac:dyDescent="0.2">
      <c r="A13" s="3">
        <v>46083</v>
      </c>
      <c r="B13">
        <v>77.273600000000002</v>
      </c>
      <c r="C13">
        <f t="shared" si="0"/>
        <v>2026</v>
      </c>
      <c r="E13">
        <v>2015</v>
      </c>
      <c r="F13">
        <f t="shared" si="1"/>
        <v>61.250166233766237</v>
      </c>
      <c r="H13" s="3">
        <f t="shared" si="2"/>
        <v>45108</v>
      </c>
      <c r="I13">
        <f t="shared" si="3"/>
        <v>94.127675268817242</v>
      </c>
    </row>
    <row r="14" spans="1:9" x14ac:dyDescent="0.2">
      <c r="A14" s="3">
        <v>46082</v>
      </c>
      <c r="B14">
        <v>77.273600000000002</v>
      </c>
      <c r="C14">
        <f t="shared" si="0"/>
        <v>2026</v>
      </c>
      <c r="E14">
        <v>2014</v>
      </c>
      <c r="F14">
        <f t="shared" si="1"/>
        <v>38.761512927756648</v>
      </c>
      <c r="H14" s="3">
        <f t="shared" si="2"/>
        <v>45017</v>
      </c>
      <c r="I14">
        <f t="shared" si="3"/>
        <v>81.098718681318658</v>
      </c>
    </row>
    <row r="15" spans="1:9" x14ac:dyDescent="0.2">
      <c r="A15" s="3">
        <v>46081</v>
      </c>
      <c r="B15">
        <v>77.273600000000002</v>
      </c>
      <c r="C15">
        <f t="shared" si="0"/>
        <v>2026</v>
      </c>
      <c r="E15">
        <v>2013</v>
      </c>
      <c r="F15">
        <f t="shared" si="1"/>
        <v>31.863999999999997</v>
      </c>
      <c r="H15" s="3">
        <f t="shared" si="2"/>
        <v>44927</v>
      </c>
      <c r="I15">
        <f t="shared" si="3"/>
        <v>72.893234482758658</v>
      </c>
    </row>
    <row r="16" spans="1:9" x14ac:dyDescent="0.2">
      <c r="A16" s="3">
        <v>46080</v>
      </c>
      <c r="B16">
        <v>77.121799999999993</v>
      </c>
      <c r="C16">
        <f t="shared" si="0"/>
        <v>2026</v>
      </c>
      <c r="E16">
        <v>2012</v>
      </c>
      <c r="F16">
        <f t="shared" si="1"/>
        <v>31.062956321839064</v>
      </c>
      <c r="H16" s="3">
        <f t="shared" si="2"/>
        <v>44835</v>
      </c>
      <c r="I16">
        <f t="shared" si="3"/>
        <v>62.509697849462377</v>
      </c>
    </row>
    <row r="17" spans="1:9" x14ac:dyDescent="0.2">
      <c r="A17" s="3">
        <v>46079</v>
      </c>
      <c r="B17">
        <v>76.467799999999997</v>
      </c>
      <c r="C17">
        <f t="shared" si="0"/>
        <v>2026</v>
      </c>
      <c r="E17">
        <v>2011</v>
      </c>
      <c r="F17">
        <f t="shared" si="1"/>
        <v>29.402434615384617</v>
      </c>
      <c r="H17" s="3">
        <f t="shared" si="2"/>
        <v>44743</v>
      </c>
      <c r="I17">
        <f t="shared" si="3"/>
        <v>59.386386021505395</v>
      </c>
    </row>
    <row r="18" spans="1:9" x14ac:dyDescent="0.2">
      <c r="A18" s="3">
        <v>46078</v>
      </c>
      <c r="B18">
        <v>76.634200000000007</v>
      </c>
      <c r="C18">
        <f t="shared" si="0"/>
        <v>2026</v>
      </c>
      <c r="E18">
        <v>2010</v>
      </c>
      <c r="F18">
        <f t="shared" si="1"/>
        <v>30.371425769230768</v>
      </c>
      <c r="H18" s="3">
        <f t="shared" si="2"/>
        <v>44652</v>
      </c>
      <c r="I18">
        <f t="shared" si="3"/>
        <v>66.47954456521741</v>
      </c>
    </row>
    <row r="19" spans="1:9" x14ac:dyDescent="0.2">
      <c r="A19" s="3">
        <v>46077</v>
      </c>
      <c r="B19">
        <v>76.751900000000006</v>
      </c>
      <c r="C19">
        <f t="shared" si="0"/>
        <v>2026</v>
      </c>
      <c r="E19">
        <v>2009</v>
      </c>
      <c r="F19">
        <f t="shared" si="1"/>
        <v>31.742268965517216</v>
      </c>
      <c r="H19" s="3">
        <f t="shared" si="2"/>
        <v>44562</v>
      </c>
      <c r="I19">
        <f t="shared" si="3"/>
        <v>85.086123255813959</v>
      </c>
    </row>
    <row r="20" spans="1:9" x14ac:dyDescent="0.2">
      <c r="A20" s="3">
        <v>46076</v>
      </c>
      <c r="B20">
        <v>76.751900000000006</v>
      </c>
      <c r="C20">
        <f t="shared" si="0"/>
        <v>2026</v>
      </c>
    </row>
    <row r="21" spans="1:9" x14ac:dyDescent="0.2">
      <c r="A21" s="3">
        <v>46075</v>
      </c>
      <c r="B21">
        <v>76.751900000000006</v>
      </c>
      <c r="C21">
        <f t="shared" si="0"/>
        <v>2026</v>
      </c>
    </row>
    <row r="22" spans="1:9" x14ac:dyDescent="0.2">
      <c r="A22" s="3">
        <v>46074</v>
      </c>
      <c r="B22">
        <v>76.751900000000006</v>
      </c>
      <c r="C22">
        <f t="shared" si="0"/>
        <v>2026</v>
      </c>
    </row>
    <row r="23" spans="1:9" x14ac:dyDescent="0.2">
      <c r="A23" s="3">
        <v>46073</v>
      </c>
      <c r="B23">
        <v>76.640500000000003</v>
      </c>
      <c r="C23">
        <f t="shared" si="0"/>
        <v>2026</v>
      </c>
    </row>
    <row r="24" spans="1:9" x14ac:dyDescent="0.2">
      <c r="A24" s="3">
        <v>46072</v>
      </c>
      <c r="B24">
        <v>76.1524</v>
      </c>
      <c r="C24">
        <f t="shared" si="0"/>
        <v>2026</v>
      </c>
    </row>
    <row r="25" spans="1:9" x14ac:dyDescent="0.2">
      <c r="A25" s="3">
        <v>46071</v>
      </c>
      <c r="B25">
        <v>76.738900000000001</v>
      </c>
      <c r="C25">
        <f t="shared" si="0"/>
        <v>2026</v>
      </c>
    </row>
    <row r="26" spans="1:9" x14ac:dyDescent="0.2">
      <c r="A26" s="3">
        <v>46070</v>
      </c>
      <c r="B26">
        <v>76.620099999999994</v>
      </c>
      <c r="C26">
        <f t="shared" si="0"/>
        <v>2026</v>
      </c>
    </row>
    <row r="27" spans="1:9" x14ac:dyDescent="0.2">
      <c r="A27" s="3">
        <v>46069</v>
      </c>
      <c r="B27">
        <v>77.194400000000002</v>
      </c>
      <c r="C27">
        <f t="shared" si="0"/>
        <v>2026</v>
      </c>
    </row>
    <row r="28" spans="1:9" x14ac:dyDescent="0.2">
      <c r="A28" s="3">
        <v>46068</v>
      </c>
      <c r="B28">
        <v>77.194400000000002</v>
      </c>
      <c r="C28">
        <f t="shared" si="0"/>
        <v>2026</v>
      </c>
    </row>
    <row r="29" spans="1:9" x14ac:dyDescent="0.2">
      <c r="A29" s="3">
        <v>46067</v>
      </c>
      <c r="B29">
        <v>77.194400000000002</v>
      </c>
      <c r="C29">
        <f t="shared" si="0"/>
        <v>2026</v>
      </c>
    </row>
    <row r="30" spans="1:9" x14ac:dyDescent="0.2">
      <c r="A30" s="3">
        <v>46066</v>
      </c>
      <c r="B30">
        <v>77.188000000000002</v>
      </c>
      <c r="C30">
        <f t="shared" si="0"/>
        <v>2026</v>
      </c>
    </row>
    <row r="31" spans="1:9" x14ac:dyDescent="0.2">
      <c r="A31" s="3">
        <v>46065</v>
      </c>
      <c r="B31">
        <v>77.464799999999997</v>
      </c>
      <c r="C31">
        <f t="shared" si="0"/>
        <v>2026</v>
      </c>
    </row>
    <row r="32" spans="1:9" x14ac:dyDescent="0.2">
      <c r="A32" s="3">
        <v>46064</v>
      </c>
      <c r="B32">
        <v>77.209100000000007</v>
      </c>
      <c r="C32">
        <f t="shared" si="0"/>
        <v>2026</v>
      </c>
    </row>
    <row r="33" spans="1:3" x14ac:dyDescent="0.2">
      <c r="A33" s="3">
        <v>46063</v>
      </c>
      <c r="B33">
        <v>77.650199999999998</v>
      </c>
      <c r="C33">
        <f t="shared" si="0"/>
        <v>2026</v>
      </c>
    </row>
    <row r="34" spans="1:3" x14ac:dyDescent="0.2">
      <c r="A34" s="3">
        <v>46062</v>
      </c>
      <c r="B34">
        <v>77.054000000000002</v>
      </c>
      <c r="C34">
        <f t="shared" si="0"/>
        <v>2026</v>
      </c>
    </row>
    <row r="35" spans="1:3" x14ac:dyDescent="0.2">
      <c r="A35" s="3">
        <v>46061</v>
      </c>
      <c r="B35">
        <v>77.054000000000002</v>
      </c>
      <c r="C35">
        <f t="shared" si="0"/>
        <v>2026</v>
      </c>
    </row>
    <row r="36" spans="1:3" x14ac:dyDescent="0.2">
      <c r="A36" s="3">
        <v>46060</v>
      </c>
      <c r="B36">
        <v>77.054000000000002</v>
      </c>
      <c r="C36">
        <f t="shared" si="0"/>
        <v>2026</v>
      </c>
    </row>
    <row r="37" spans="1:3" x14ac:dyDescent="0.2">
      <c r="A37" s="3">
        <v>46059</v>
      </c>
      <c r="B37">
        <v>76.552300000000002</v>
      </c>
      <c r="C37">
        <f t="shared" si="0"/>
        <v>2026</v>
      </c>
    </row>
    <row r="38" spans="1:3" x14ac:dyDescent="0.2">
      <c r="A38" s="3">
        <v>46058</v>
      </c>
      <c r="B38">
        <v>76.910200000000003</v>
      </c>
      <c r="C38">
        <f t="shared" si="0"/>
        <v>2026</v>
      </c>
    </row>
    <row r="39" spans="1:3" x14ac:dyDescent="0.2">
      <c r="A39" s="3">
        <v>46057</v>
      </c>
      <c r="B39">
        <v>76.981700000000004</v>
      </c>
      <c r="C39">
        <f t="shared" si="0"/>
        <v>2026</v>
      </c>
    </row>
    <row r="40" spans="1:3" x14ac:dyDescent="0.2">
      <c r="A40" s="3">
        <v>46056</v>
      </c>
      <c r="B40">
        <v>77.022300000000001</v>
      </c>
      <c r="C40">
        <f t="shared" si="0"/>
        <v>2026</v>
      </c>
    </row>
    <row r="41" spans="1:3" x14ac:dyDescent="0.2">
      <c r="A41" s="3">
        <v>46055</v>
      </c>
      <c r="B41">
        <v>75.732699999999994</v>
      </c>
      <c r="C41">
        <f t="shared" si="0"/>
        <v>2026</v>
      </c>
    </row>
    <row r="42" spans="1:3" x14ac:dyDescent="0.2">
      <c r="A42" s="3">
        <v>46054</v>
      </c>
      <c r="B42">
        <v>75.732699999999994</v>
      </c>
      <c r="C42">
        <f t="shared" si="0"/>
        <v>2026</v>
      </c>
    </row>
    <row r="43" spans="1:3" x14ac:dyDescent="0.2">
      <c r="A43" s="3">
        <v>46053</v>
      </c>
      <c r="B43">
        <v>75.732699999999994</v>
      </c>
      <c r="C43">
        <f t="shared" si="0"/>
        <v>2026</v>
      </c>
    </row>
    <row r="44" spans="1:3" x14ac:dyDescent="0.2">
      <c r="A44" s="3">
        <v>46052</v>
      </c>
      <c r="B44">
        <v>76.025099999999995</v>
      </c>
      <c r="C44">
        <f t="shared" si="0"/>
        <v>2026</v>
      </c>
    </row>
    <row r="45" spans="1:3" x14ac:dyDescent="0.2">
      <c r="A45" s="3">
        <v>46051</v>
      </c>
      <c r="B45">
        <v>76.266199999999998</v>
      </c>
      <c r="C45">
        <f t="shared" si="0"/>
        <v>2026</v>
      </c>
    </row>
    <row r="46" spans="1:3" x14ac:dyDescent="0.2">
      <c r="A46" s="3">
        <v>46050</v>
      </c>
      <c r="B46">
        <v>76.551900000000003</v>
      </c>
      <c r="C46">
        <f t="shared" si="0"/>
        <v>2026</v>
      </c>
    </row>
    <row r="47" spans="1:3" x14ac:dyDescent="0.2">
      <c r="A47" s="3">
        <v>46049</v>
      </c>
      <c r="B47">
        <v>76.010099999999994</v>
      </c>
      <c r="C47">
        <f t="shared" si="0"/>
        <v>2026</v>
      </c>
    </row>
    <row r="48" spans="1:3" x14ac:dyDescent="0.2">
      <c r="A48" s="3">
        <v>46048</v>
      </c>
      <c r="B48">
        <v>75.924599999999998</v>
      </c>
      <c r="C48">
        <f t="shared" si="0"/>
        <v>2026</v>
      </c>
    </row>
    <row r="49" spans="1:3" x14ac:dyDescent="0.2">
      <c r="A49" s="3">
        <v>46047</v>
      </c>
      <c r="B49">
        <v>75.924599999999998</v>
      </c>
      <c r="C49">
        <f t="shared" si="0"/>
        <v>2026</v>
      </c>
    </row>
    <row r="50" spans="1:3" x14ac:dyDescent="0.2">
      <c r="A50" s="3">
        <v>46046</v>
      </c>
      <c r="B50">
        <v>75.924599999999998</v>
      </c>
      <c r="C50">
        <f t="shared" si="0"/>
        <v>2026</v>
      </c>
    </row>
    <row r="51" spans="1:3" x14ac:dyDescent="0.2">
      <c r="A51" s="3">
        <v>46045</v>
      </c>
      <c r="B51">
        <v>76.038200000000003</v>
      </c>
      <c r="C51">
        <f t="shared" si="0"/>
        <v>2026</v>
      </c>
    </row>
    <row r="52" spans="1:3" x14ac:dyDescent="0.2">
      <c r="A52" s="3">
        <v>46044</v>
      </c>
      <c r="B52">
        <v>77.515900000000002</v>
      </c>
      <c r="C52">
        <f t="shared" si="0"/>
        <v>2026</v>
      </c>
    </row>
    <row r="53" spans="1:3" x14ac:dyDescent="0.2">
      <c r="A53" s="3">
        <v>46043</v>
      </c>
      <c r="B53">
        <v>77.824700000000007</v>
      </c>
      <c r="C53">
        <f t="shared" si="0"/>
        <v>2026</v>
      </c>
    </row>
    <row r="54" spans="1:3" x14ac:dyDescent="0.2">
      <c r="A54" s="3">
        <v>46042</v>
      </c>
      <c r="B54">
        <v>77.758600000000001</v>
      </c>
      <c r="C54">
        <f t="shared" si="0"/>
        <v>2026</v>
      </c>
    </row>
    <row r="55" spans="1:3" x14ac:dyDescent="0.2">
      <c r="A55" s="3">
        <v>46041</v>
      </c>
      <c r="B55">
        <v>77.833200000000005</v>
      </c>
      <c r="C55">
        <f t="shared" si="0"/>
        <v>2026</v>
      </c>
    </row>
    <row r="56" spans="1:3" x14ac:dyDescent="0.2">
      <c r="A56" s="3">
        <v>46040</v>
      </c>
      <c r="B56">
        <v>77.833200000000005</v>
      </c>
      <c r="C56">
        <f t="shared" si="0"/>
        <v>2026</v>
      </c>
    </row>
    <row r="57" spans="1:3" x14ac:dyDescent="0.2">
      <c r="A57" s="3">
        <v>46039</v>
      </c>
      <c r="B57">
        <v>77.833200000000005</v>
      </c>
      <c r="C57">
        <f t="shared" si="0"/>
        <v>2026</v>
      </c>
    </row>
    <row r="58" spans="1:3" x14ac:dyDescent="0.2">
      <c r="A58" s="3">
        <v>46038</v>
      </c>
      <c r="B58">
        <v>78.528000000000006</v>
      </c>
      <c r="C58">
        <f t="shared" si="0"/>
        <v>2026</v>
      </c>
    </row>
    <row r="59" spans="1:3" x14ac:dyDescent="0.2">
      <c r="A59" s="3">
        <v>46037</v>
      </c>
      <c r="B59">
        <v>78.571100000000001</v>
      </c>
      <c r="C59">
        <f t="shared" si="0"/>
        <v>2026</v>
      </c>
    </row>
    <row r="60" spans="1:3" x14ac:dyDescent="0.2">
      <c r="A60" s="3">
        <v>46036</v>
      </c>
      <c r="B60">
        <v>78.852699999999999</v>
      </c>
      <c r="C60">
        <f t="shared" si="0"/>
        <v>2026</v>
      </c>
    </row>
    <row r="61" spans="1:3" x14ac:dyDescent="0.2">
      <c r="A61" s="3">
        <v>46035</v>
      </c>
      <c r="B61">
        <v>78.791300000000007</v>
      </c>
      <c r="C61">
        <f t="shared" si="0"/>
        <v>2026</v>
      </c>
    </row>
    <row r="62" spans="1:3" x14ac:dyDescent="0.2">
      <c r="A62" s="3">
        <v>46034</v>
      </c>
      <c r="B62">
        <v>78.226699999999994</v>
      </c>
      <c r="C62">
        <f t="shared" si="0"/>
        <v>2026</v>
      </c>
    </row>
    <row r="63" spans="1:3" x14ac:dyDescent="0.2">
      <c r="A63" s="3">
        <v>46033</v>
      </c>
      <c r="B63">
        <v>78.226699999999994</v>
      </c>
      <c r="C63">
        <f t="shared" si="0"/>
        <v>2026</v>
      </c>
    </row>
    <row r="64" spans="1:3" x14ac:dyDescent="0.2">
      <c r="A64" s="3">
        <v>46032</v>
      </c>
      <c r="B64">
        <v>78.226699999999994</v>
      </c>
      <c r="C64">
        <f t="shared" si="0"/>
        <v>2026</v>
      </c>
    </row>
    <row r="65" spans="1:3" x14ac:dyDescent="0.2">
      <c r="A65" s="3">
        <v>46031</v>
      </c>
      <c r="B65">
        <v>78.226699999999994</v>
      </c>
      <c r="C65">
        <f t="shared" si="0"/>
        <v>2026</v>
      </c>
    </row>
    <row r="66" spans="1:3" x14ac:dyDescent="0.2">
      <c r="A66" s="3">
        <v>46030</v>
      </c>
      <c r="B66">
        <v>78.226699999999994</v>
      </c>
      <c r="C66">
        <f t="shared" si="0"/>
        <v>2026</v>
      </c>
    </row>
    <row r="67" spans="1:3" x14ac:dyDescent="0.2">
      <c r="A67" s="3">
        <v>46029</v>
      </c>
      <c r="B67">
        <v>78.226699999999994</v>
      </c>
      <c r="C67">
        <f t="shared" si="0"/>
        <v>2026</v>
      </c>
    </row>
    <row r="68" spans="1:3" x14ac:dyDescent="0.2">
      <c r="A68" s="3">
        <v>46028</v>
      </c>
      <c r="B68">
        <v>78.226699999999994</v>
      </c>
      <c r="C68">
        <f t="shared" ref="C68:C131" si="4">YEAR(A68)</f>
        <v>2026</v>
      </c>
    </row>
    <row r="69" spans="1:3" x14ac:dyDescent="0.2">
      <c r="A69" s="3">
        <v>46027</v>
      </c>
      <c r="B69">
        <v>78.226699999999994</v>
      </c>
      <c r="C69">
        <f t="shared" si="4"/>
        <v>2026</v>
      </c>
    </row>
    <row r="70" spans="1:3" x14ac:dyDescent="0.2">
      <c r="A70" s="3">
        <v>46026</v>
      </c>
      <c r="B70">
        <v>78.226699999999994</v>
      </c>
      <c r="C70">
        <f t="shared" si="4"/>
        <v>2026</v>
      </c>
    </row>
    <row r="71" spans="1:3" x14ac:dyDescent="0.2">
      <c r="A71" s="3">
        <v>46025</v>
      </c>
      <c r="B71">
        <v>78.226699999999994</v>
      </c>
      <c r="C71">
        <f t="shared" si="4"/>
        <v>2026</v>
      </c>
    </row>
    <row r="72" spans="1:3" x14ac:dyDescent="0.2">
      <c r="A72" s="3">
        <v>46024</v>
      </c>
      <c r="B72">
        <v>78.226699999999994</v>
      </c>
      <c r="C72">
        <f t="shared" si="4"/>
        <v>2026</v>
      </c>
    </row>
    <row r="73" spans="1:3" x14ac:dyDescent="0.2">
      <c r="A73" s="3">
        <v>46023</v>
      </c>
      <c r="B73">
        <v>78.226699999999994</v>
      </c>
      <c r="C73">
        <f t="shared" si="4"/>
        <v>2026</v>
      </c>
    </row>
    <row r="74" spans="1:3" x14ac:dyDescent="0.2">
      <c r="A74" s="3">
        <v>46022</v>
      </c>
      <c r="B74">
        <v>78.226699999999994</v>
      </c>
      <c r="C74">
        <f t="shared" si="4"/>
        <v>2025</v>
      </c>
    </row>
    <row r="75" spans="1:3" x14ac:dyDescent="0.2">
      <c r="A75" s="3">
        <v>46021</v>
      </c>
      <c r="B75">
        <v>77.446600000000004</v>
      </c>
      <c r="C75">
        <f t="shared" si="4"/>
        <v>2025</v>
      </c>
    </row>
    <row r="76" spans="1:3" x14ac:dyDescent="0.2">
      <c r="A76" s="3">
        <v>46020</v>
      </c>
      <c r="B76">
        <v>77.692300000000003</v>
      </c>
      <c r="C76">
        <f t="shared" si="4"/>
        <v>2025</v>
      </c>
    </row>
    <row r="77" spans="1:3" x14ac:dyDescent="0.2">
      <c r="A77" s="3">
        <v>46019</v>
      </c>
      <c r="B77">
        <v>77.692300000000003</v>
      </c>
      <c r="C77">
        <f t="shared" si="4"/>
        <v>2025</v>
      </c>
    </row>
    <row r="78" spans="1:3" x14ac:dyDescent="0.2">
      <c r="A78" s="3">
        <v>46018</v>
      </c>
      <c r="B78">
        <v>77.692300000000003</v>
      </c>
      <c r="C78">
        <f t="shared" si="4"/>
        <v>2025</v>
      </c>
    </row>
    <row r="79" spans="1:3" x14ac:dyDescent="0.2">
      <c r="A79" s="3">
        <v>46017</v>
      </c>
      <c r="B79">
        <v>77.884399999999999</v>
      </c>
      <c r="C79">
        <f t="shared" si="4"/>
        <v>2025</v>
      </c>
    </row>
    <row r="80" spans="1:3" x14ac:dyDescent="0.2">
      <c r="A80" s="3">
        <v>46016</v>
      </c>
      <c r="B80">
        <v>78.436800000000005</v>
      </c>
      <c r="C80">
        <f t="shared" si="4"/>
        <v>2025</v>
      </c>
    </row>
    <row r="81" spans="1:3" x14ac:dyDescent="0.2">
      <c r="A81" s="3">
        <v>46015</v>
      </c>
      <c r="B81">
        <v>78.584999999999994</v>
      </c>
      <c r="C81">
        <f t="shared" si="4"/>
        <v>2025</v>
      </c>
    </row>
    <row r="82" spans="1:3" x14ac:dyDescent="0.2">
      <c r="A82" s="3">
        <v>46014</v>
      </c>
      <c r="B82">
        <v>79.314599999999999</v>
      </c>
      <c r="C82">
        <f t="shared" si="4"/>
        <v>2025</v>
      </c>
    </row>
    <row r="83" spans="1:3" x14ac:dyDescent="0.2">
      <c r="A83" s="3">
        <v>46013</v>
      </c>
      <c r="B83">
        <v>80.721999999999994</v>
      </c>
      <c r="C83">
        <f t="shared" si="4"/>
        <v>2025</v>
      </c>
    </row>
    <row r="84" spans="1:3" x14ac:dyDescent="0.2">
      <c r="A84" s="3">
        <v>46012</v>
      </c>
      <c r="B84">
        <v>80.721999999999994</v>
      </c>
      <c r="C84">
        <f t="shared" si="4"/>
        <v>2025</v>
      </c>
    </row>
    <row r="85" spans="1:3" x14ac:dyDescent="0.2">
      <c r="A85" s="3">
        <v>46011</v>
      </c>
      <c r="B85">
        <v>80.721999999999994</v>
      </c>
      <c r="C85">
        <f t="shared" si="4"/>
        <v>2025</v>
      </c>
    </row>
    <row r="86" spans="1:3" x14ac:dyDescent="0.2">
      <c r="A86" s="3">
        <v>46010</v>
      </c>
      <c r="B86">
        <v>80.030100000000004</v>
      </c>
      <c r="C86">
        <f t="shared" si="4"/>
        <v>2025</v>
      </c>
    </row>
    <row r="87" spans="1:3" x14ac:dyDescent="0.2">
      <c r="A87" s="3">
        <v>46009</v>
      </c>
      <c r="B87">
        <v>80.380700000000004</v>
      </c>
      <c r="C87">
        <f t="shared" si="4"/>
        <v>2025</v>
      </c>
    </row>
    <row r="88" spans="1:3" x14ac:dyDescent="0.2">
      <c r="A88" s="3">
        <v>46008</v>
      </c>
      <c r="B88">
        <v>79.430199999999999</v>
      </c>
      <c r="C88">
        <f t="shared" si="4"/>
        <v>2025</v>
      </c>
    </row>
    <row r="89" spans="1:3" x14ac:dyDescent="0.2">
      <c r="A89" s="3">
        <v>46007</v>
      </c>
      <c r="B89">
        <v>79.4495</v>
      </c>
      <c r="C89">
        <f t="shared" si="4"/>
        <v>2025</v>
      </c>
    </row>
    <row r="90" spans="1:3" x14ac:dyDescent="0.2">
      <c r="A90" s="3">
        <v>46006</v>
      </c>
      <c r="B90">
        <v>79.729600000000005</v>
      </c>
      <c r="C90">
        <f t="shared" si="4"/>
        <v>2025</v>
      </c>
    </row>
    <row r="91" spans="1:3" x14ac:dyDescent="0.2">
      <c r="A91" s="3">
        <v>46005</v>
      </c>
      <c r="B91">
        <v>79.729600000000005</v>
      </c>
      <c r="C91">
        <f t="shared" si="4"/>
        <v>2025</v>
      </c>
    </row>
    <row r="92" spans="1:3" x14ac:dyDescent="0.2">
      <c r="A92" s="3">
        <v>46004</v>
      </c>
      <c r="B92">
        <v>79.729600000000005</v>
      </c>
      <c r="C92">
        <f t="shared" si="4"/>
        <v>2025</v>
      </c>
    </row>
    <row r="93" spans="1:3" x14ac:dyDescent="0.2">
      <c r="A93" s="3">
        <v>46003</v>
      </c>
      <c r="B93">
        <v>79.339799999999997</v>
      </c>
      <c r="C93">
        <f t="shared" si="4"/>
        <v>2025</v>
      </c>
    </row>
    <row r="94" spans="1:3" x14ac:dyDescent="0.2">
      <c r="A94" s="3">
        <v>46002</v>
      </c>
      <c r="B94">
        <v>77.899799999999999</v>
      </c>
      <c r="C94">
        <f t="shared" si="4"/>
        <v>2025</v>
      </c>
    </row>
    <row r="95" spans="1:3" x14ac:dyDescent="0.2">
      <c r="A95" s="3">
        <v>46001</v>
      </c>
      <c r="B95">
        <v>76.808400000000006</v>
      </c>
      <c r="C95">
        <f t="shared" si="4"/>
        <v>2025</v>
      </c>
    </row>
    <row r="96" spans="1:3" x14ac:dyDescent="0.2">
      <c r="A96" s="3">
        <v>46000</v>
      </c>
      <c r="B96">
        <v>77.273300000000006</v>
      </c>
      <c r="C96">
        <f t="shared" si="4"/>
        <v>2025</v>
      </c>
    </row>
    <row r="97" spans="1:3" x14ac:dyDescent="0.2">
      <c r="A97" s="3">
        <v>45999</v>
      </c>
      <c r="B97">
        <v>76.093699999999998</v>
      </c>
      <c r="C97">
        <f t="shared" si="4"/>
        <v>2025</v>
      </c>
    </row>
    <row r="98" spans="1:3" x14ac:dyDescent="0.2">
      <c r="A98" s="3">
        <v>45998</v>
      </c>
      <c r="B98">
        <v>76.093699999999998</v>
      </c>
      <c r="C98">
        <f t="shared" si="4"/>
        <v>2025</v>
      </c>
    </row>
    <row r="99" spans="1:3" x14ac:dyDescent="0.2">
      <c r="A99" s="3">
        <v>45997</v>
      </c>
      <c r="B99">
        <v>76.093699999999998</v>
      </c>
      <c r="C99">
        <f t="shared" si="4"/>
        <v>2025</v>
      </c>
    </row>
    <row r="100" spans="1:3" x14ac:dyDescent="0.2">
      <c r="A100" s="3">
        <v>45996</v>
      </c>
      <c r="B100">
        <v>76.970799999999997</v>
      </c>
      <c r="C100">
        <f t="shared" si="4"/>
        <v>2025</v>
      </c>
    </row>
    <row r="101" spans="1:3" x14ac:dyDescent="0.2">
      <c r="A101" s="3">
        <v>45995</v>
      </c>
      <c r="B101">
        <v>77.955600000000004</v>
      </c>
      <c r="C101">
        <f t="shared" si="4"/>
        <v>2025</v>
      </c>
    </row>
    <row r="102" spans="1:3" x14ac:dyDescent="0.2">
      <c r="A102" s="3">
        <v>45994</v>
      </c>
      <c r="B102">
        <v>77.463099999999997</v>
      </c>
      <c r="C102">
        <f t="shared" si="4"/>
        <v>2025</v>
      </c>
    </row>
    <row r="103" spans="1:3" x14ac:dyDescent="0.2">
      <c r="A103" s="3">
        <v>45993</v>
      </c>
      <c r="B103">
        <v>77.702699999999993</v>
      </c>
      <c r="C103">
        <f t="shared" si="4"/>
        <v>2025</v>
      </c>
    </row>
    <row r="104" spans="1:3" x14ac:dyDescent="0.2">
      <c r="A104" s="3">
        <v>45992</v>
      </c>
      <c r="B104">
        <v>78.228399999999993</v>
      </c>
      <c r="C104">
        <f t="shared" si="4"/>
        <v>2025</v>
      </c>
    </row>
    <row r="105" spans="1:3" x14ac:dyDescent="0.2">
      <c r="A105" s="3">
        <v>45991</v>
      </c>
      <c r="B105">
        <v>78.228399999999993</v>
      </c>
      <c r="C105">
        <f t="shared" si="4"/>
        <v>2025</v>
      </c>
    </row>
    <row r="106" spans="1:3" x14ac:dyDescent="0.2">
      <c r="A106" s="3">
        <v>45990</v>
      </c>
      <c r="B106">
        <v>78.228399999999993</v>
      </c>
      <c r="C106">
        <f t="shared" si="4"/>
        <v>2025</v>
      </c>
    </row>
    <row r="107" spans="1:3" x14ac:dyDescent="0.2">
      <c r="A107" s="3">
        <v>45989</v>
      </c>
      <c r="B107">
        <v>78.250299999999996</v>
      </c>
      <c r="C107">
        <f t="shared" si="4"/>
        <v>2025</v>
      </c>
    </row>
    <row r="108" spans="1:3" x14ac:dyDescent="0.2">
      <c r="A108" s="3">
        <v>45988</v>
      </c>
      <c r="B108">
        <v>78.594099999999997</v>
      </c>
      <c r="C108">
        <f t="shared" si="4"/>
        <v>2025</v>
      </c>
    </row>
    <row r="109" spans="1:3" x14ac:dyDescent="0.2">
      <c r="A109" s="3">
        <v>45987</v>
      </c>
      <c r="B109">
        <v>78.961500000000001</v>
      </c>
      <c r="C109">
        <f t="shared" si="4"/>
        <v>2025</v>
      </c>
    </row>
    <row r="110" spans="1:3" x14ac:dyDescent="0.2">
      <c r="A110" s="3">
        <v>45986</v>
      </c>
      <c r="B110">
        <v>78.920199999999994</v>
      </c>
      <c r="C110">
        <f t="shared" si="4"/>
        <v>2025</v>
      </c>
    </row>
    <row r="111" spans="1:3" x14ac:dyDescent="0.2">
      <c r="A111" s="3">
        <v>45985</v>
      </c>
      <c r="B111">
        <v>79.024600000000007</v>
      </c>
      <c r="C111">
        <f t="shared" si="4"/>
        <v>2025</v>
      </c>
    </row>
    <row r="112" spans="1:3" x14ac:dyDescent="0.2">
      <c r="A112" s="3">
        <v>45984</v>
      </c>
      <c r="B112">
        <v>79.024600000000007</v>
      </c>
      <c r="C112">
        <f t="shared" si="4"/>
        <v>2025</v>
      </c>
    </row>
    <row r="113" spans="1:3" x14ac:dyDescent="0.2">
      <c r="A113" s="3">
        <v>45983</v>
      </c>
      <c r="B113">
        <v>79.024600000000007</v>
      </c>
      <c r="C113">
        <f t="shared" si="4"/>
        <v>2025</v>
      </c>
    </row>
    <row r="114" spans="1:3" x14ac:dyDescent="0.2">
      <c r="A114" s="3">
        <v>45982</v>
      </c>
      <c r="B114">
        <v>80.732100000000003</v>
      </c>
      <c r="C114">
        <f t="shared" si="4"/>
        <v>2025</v>
      </c>
    </row>
    <row r="115" spans="1:3" x14ac:dyDescent="0.2">
      <c r="A115" s="3">
        <v>45981</v>
      </c>
      <c r="B115">
        <v>80.944800000000001</v>
      </c>
      <c r="C115">
        <f t="shared" si="4"/>
        <v>2025</v>
      </c>
    </row>
    <row r="116" spans="1:3" x14ac:dyDescent="0.2">
      <c r="A116" s="3">
        <v>45980</v>
      </c>
      <c r="B116">
        <v>81.054699999999997</v>
      </c>
      <c r="C116">
        <f t="shared" si="4"/>
        <v>2025</v>
      </c>
    </row>
    <row r="117" spans="1:3" x14ac:dyDescent="0.2">
      <c r="A117" s="3">
        <v>45979</v>
      </c>
      <c r="B117">
        <v>81.130200000000002</v>
      </c>
      <c r="C117">
        <f t="shared" si="4"/>
        <v>2025</v>
      </c>
    </row>
    <row r="118" spans="1:3" x14ac:dyDescent="0.2">
      <c r="A118" s="3">
        <v>45978</v>
      </c>
      <c r="B118">
        <v>81.127600000000001</v>
      </c>
      <c r="C118">
        <f t="shared" si="4"/>
        <v>2025</v>
      </c>
    </row>
    <row r="119" spans="1:3" x14ac:dyDescent="0.2">
      <c r="A119" s="3">
        <v>45977</v>
      </c>
      <c r="B119">
        <v>81.127600000000001</v>
      </c>
      <c r="C119">
        <f t="shared" si="4"/>
        <v>2025</v>
      </c>
    </row>
    <row r="120" spans="1:3" x14ac:dyDescent="0.2">
      <c r="A120" s="3">
        <v>45976</v>
      </c>
      <c r="B120">
        <v>81.127600000000001</v>
      </c>
      <c r="C120">
        <f t="shared" si="4"/>
        <v>2025</v>
      </c>
    </row>
    <row r="121" spans="1:3" x14ac:dyDescent="0.2">
      <c r="A121" s="3">
        <v>45975</v>
      </c>
      <c r="B121">
        <v>80.600999999999999</v>
      </c>
      <c r="C121">
        <f t="shared" si="4"/>
        <v>2025</v>
      </c>
    </row>
    <row r="122" spans="1:3" x14ac:dyDescent="0.2">
      <c r="A122" s="3">
        <v>45974</v>
      </c>
      <c r="B122">
        <v>81.285200000000003</v>
      </c>
      <c r="C122">
        <f t="shared" si="4"/>
        <v>2025</v>
      </c>
    </row>
    <row r="123" spans="1:3" x14ac:dyDescent="0.2">
      <c r="A123" s="3">
        <v>45973</v>
      </c>
      <c r="B123">
        <v>81.356200000000001</v>
      </c>
      <c r="C123">
        <f t="shared" si="4"/>
        <v>2025</v>
      </c>
    </row>
    <row r="124" spans="1:3" x14ac:dyDescent="0.2">
      <c r="A124" s="3">
        <v>45972</v>
      </c>
      <c r="B124">
        <v>81.013199999999998</v>
      </c>
      <c r="C124">
        <f t="shared" si="4"/>
        <v>2025</v>
      </c>
    </row>
    <row r="125" spans="1:3" x14ac:dyDescent="0.2">
      <c r="A125" s="3">
        <v>45971</v>
      </c>
      <c r="B125">
        <v>81.225700000000003</v>
      </c>
      <c r="C125">
        <f t="shared" si="4"/>
        <v>2025</v>
      </c>
    </row>
    <row r="126" spans="1:3" x14ac:dyDescent="0.2">
      <c r="A126" s="3">
        <v>45970</v>
      </c>
      <c r="B126">
        <v>81.225700000000003</v>
      </c>
      <c r="C126">
        <f t="shared" si="4"/>
        <v>2025</v>
      </c>
    </row>
    <row r="127" spans="1:3" x14ac:dyDescent="0.2">
      <c r="A127" s="3">
        <v>45969</v>
      </c>
      <c r="B127">
        <v>81.225700000000003</v>
      </c>
      <c r="C127">
        <f t="shared" si="4"/>
        <v>2025</v>
      </c>
    </row>
    <row r="128" spans="1:3" x14ac:dyDescent="0.2">
      <c r="A128" s="3">
        <v>45968</v>
      </c>
      <c r="B128">
        <v>81.376499999999993</v>
      </c>
      <c r="C128">
        <f t="shared" si="4"/>
        <v>2025</v>
      </c>
    </row>
    <row r="129" spans="1:3" x14ac:dyDescent="0.2">
      <c r="A129" s="3">
        <v>45967</v>
      </c>
      <c r="B129">
        <v>81.188500000000005</v>
      </c>
      <c r="C129">
        <f t="shared" si="4"/>
        <v>2025</v>
      </c>
    </row>
    <row r="130" spans="1:3" x14ac:dyDescent="0.2">
      <c r="A130" s="3">
        <v>45966</v>
      </c>
      <c r="B130">
        <v>80.886099999999999</v>
      </c>
      <c r="C130">
        <f t="shared" si="4"/>
        <v>2025</v>
      </c>
    </row>
    <row r="131" spans="1:3" x14ac:dyDescent="0.2">
      <c r="A131" s="3">
        <v>45965</v>
      </c>
      <c r="B131">
        <v>80.886099999999999</v>
      </c>
      <c r="C131">
        <f t="shared" si="4"/>
        <v>2025</v>
      </c>
    </row>
    <row r="132" spans="1:3" x14ac:dyDescent="0.2">
      <c r="A132" s="3">
        <v>45964</v>
      </c>
      <c r="B132">
        <v>80.886099999999999</v>
      </c>
      <c r="C132">
        <f t="shared" ref="C132:C195" si="5">YEAR(A132)</f>
        <v>2025</v>
      </c>
    </row>
    <row r="133" spans="1:3" x14ac:dyDescent="0.2">
      <c r="A133" s="3">
        <v>45963</v>
      </c>
      <c r="B133">
        <v>80.886099999999999</v>
      </c>
      <c r="C133">
        <f t="shared" si="5"/>
        <v>2025</v>
      </c>
    </row>
    <row r="134" spans="1:3" x14ac:dyDescent="0.2">
      <c r="A134" s="3">
        <v>45962</v>
      </c>
      <c r="B134">
        <v>80.9756</v>
      </c>
      <c r="C134">
        <f t="shared" si="5"/>
        <v>2025</v>
      </c>
    </row>
    <row r="135" spans="1:3" x14ac:dyDescent="0.2">
      <c r="A135" s="3">
        <v>45961</v>
      </c>
      <c r="B135">
        <v>80.503699999999995</v>
      </c>
      <c r="C135">
        <f t="shared" si="5"/>
        <v>2025</v>
      </c>
    </row>
    <row r="136" spans="1:3" x14ac:dyDescent="0.2">
      <c r="A136" s="3">
        <v>45960</v>
      </c>
      <c r="B136">
        <v>79.471500000000006</v>
      </c>
      <c r="C136">
        <f t="shared" si="5"/>
        <v>2025</v>
      </c>
    </row>
    <row r="137" spans="1:3" x14ac:dyDescent="0.2">
      <c r="A137" s="3">
        <v>45959</v>
      </c>
      <c r="B137">
        <v>79.817400000000006</v>
      </c>
      <c r="C137">
        <f t="shared" si="5"/>
        <v>2025</v>
      </c>
    </row>
    <row r="138" spans="1:3" x14ac:dyDescent="0.2">
      <c r="A138" s="3">
        <v>45958</v>
      </c>
      <c r="B138">
        <v>78.984800000000007</v>
      </c>
      <c r="C138">
        <f t="shared" si="5"/>
        <v>2025</v>
      </c>
    </row>
    <row r="139" spans="1:3" x14ac:dyDescent="0.2">
      <c r="A139" s="3">
        <v>45957</v>
      </c>
      <c r="B139">
        <v>80.971299999999999</v>
      </c>
      <c r="C139">
        <f t="shared" si="5"/>
        <v>2025</v>
      </c>
    </row>
    <row r="140" spans="1:3" x14ac:dyDescent="0.2">
      <c r="A140" s="3">
        <v>45956</v>
      </c>
      <c r="B140">
        <v>80.971299999999999</v>
      </c>
      <c r="C140">
        <f t="shared" si="5"/>
        <v>2025</v>
      </c>
    </row>
    <row r="141" spans="1:3" x14ac:dyDescent="0.2">
      <c r="A141" s="3">
        <v>45955</v>
      </c>
      <c r="B141">
        <v>80.971299999999999</v>
      </c>
      <c r="C141">
        <f t="shared" si="5"/>
        <v>2025</v>
      </c>
    </row>
    <row r="142" spans="1:3" x14ac:dyDescent="0.2">
      <c r="A142" s="3">
        <v>45954</v>
      </c>
      <c r="B142">
        <v>81.269000000000005</v>
      </c>
      <c r="C142">
        <f t="shared" si="5"/>
        <v>2025</v>
      </c>
    </row>
    <row r="143" spans="1:3" x14ac:dyDescent="0.2">
      <c r="A143" s="3">
        <v>45953</v>
      </c>
      <c r="B143">
        <v>81.654899999999998</v>
      </c>
      <c r="C143">
        <f t="shared" si="5"/>
        <v>2025</v>
      </c>
    </row>
    <row r="144" spans="1:3" x14ac:dyDescent="0.2">
      <c r="A144" s="3">
        <v>45952</v>
      </c>
      <c r="B144">
        <v>81.347499999999997</v>
      </c>
      <c r="C144">
        <f t="shared" si="5"/>
        <v>2025</v>
      </c>
    </row>
    <row r="145" spans="1:3" x14ac:dyDescent="0.2">
      <c r="A145" s="3">
        <v>45951</v>
      </c>
      <c r="B145">
        <v>81.358199999999997</v>
      </c>
      <c r="C145">
        <f t="shared" si="5"/>
        <v>2025</v>
      </c>
    </row>
    <row r="146" spans="1:3" x14ac:dyDescent="0.2">
      <c r="A146" s="3">
        <v>45950</v>
      </c>
      <c r="B146">
        <v>80.983400000000003</v>
      </c>
      <c r="C146">
        <f t="shared" si="5"/>
        <v>2025</v>
      </c>
    </row>
    <row r="147" spans="1:3" x14ac:dyDescent="0.2">
      <c r="A147" s="3">
        <v>45949</v>
      </c>
      <c r="B147">
        <v>80.983400000000003</v>
      </c>
      <c r="C147">
        <f t="shared" si="5"/>
        <v>2025</v>
      </c>
    </row>
    <row r="148" spans="1:3" x14ac:dyDescent="0.2">
      <c r="A148" s="3">
        <v>45948</v>
      </c>
      <c r="B148">
        <v>80.983400000000003</v>
      </c>
      <c r="C148">
        <f t="shared" si="5"/>
        <v>2025</v>
      </c>
    </row>
    <row r="149" spans="1:3" x14ac:dyDescent="0.2">
      <c r="A149" s="3">
        <v>45947</v>
      </c>
      <c r="B149">
        <v>79.0839</v>
      </c>
      <c r="C149">
        <f t="shared" si="5"/>
        <v>2025</v>
      </c>
    </row>
    <row r="150" spans="1:3" x14ac:dyDescent="0.2">
      <c r="A150" s="3">
        <v>45946</v>
      </c>
      <c r="B150">
        <v>78.838999999999999</v>
      </c>
      <c r="C150">
        <f t="shared" si="5"/>
        <v>2025</v>
      </c>
    </row>
    <row r="151" spans="1:3" x14ac:dyDescent="0.2">
      <c r="A151" s="3">
        <v>45945</v>
      </c>
      <c r="B151">
        <v>79.9589</v>
      </c>
      <c r="C151">
        <f t="shared" si="5"/>
        <v>2025</v>
      </c>
    </row>
    <row r="152" spans="1:3" x14ac:dyDescent="0.2">
      <c r="A152" s="3">
        <v>45944</v>
      </c>
      <c r="B152">
        <v>80.854799999999997</v>
      </c>
      <c r="C152">
        <f t="shared" si="5"/>
        <v>2025</v>
      </c>
    </row>
    <row r="153" spans="1:3" x14ac:dyDescent="0.2">
      <c r="A153" s="3">
        <v>45943</v>
      </c>
      <c r="B153">
        <v>81.189800000000005</v>
      </c>
      <c r="C153">
        <f t="shared" si="5"/>
        <v>2025</v>
      </c>
    </row>
    <row r="154" spans="1:3" x14ac:dyDescent="0.2">
      <c r="A154" s="3">
        <v>45942</v>
      </c>
      <c r="B154">
        <v>81.189800000000005</v>
      </c>
      <c r="C154">
        <f t="shared" si="5"/>
        <v>2025</v>
      </c>
    </row>
    <row r="155" spans="1:3" x14ac:dyDescent="0.2">
      <c r="A155" s="3">
        <v>45941</v>
      </c>
      <c r="B155">
        <v>81.189800000000005</v>
      </c>
      <c r="C155">
        <f t="shared" si="5"/>
        <v>2025</v>
      </c>
    </row>
    <row r="156" spans="1:3" x14ac:dyDescent="0.2">
      <c r="A156" s="3">
        <v>45940</v>
      </c>
      <c r="B156">
        <v>81.410300000000007</v>
      </c>
      <c r="C156">
        <f t="shared" si="5"/>
        <v>2025</v>
      </c>
    </row>
    <row r="157" spans="1:3" x14ac:dyDescent="0.2">
      <c r="A157" s="3">
        <v>45939</v>
      </c>
      <c r="B157">
        <v>81.547799999999995</v>
      </c>
      <c r="C157">
        <f t="shared" si="5"/>
        <v>2025</v>
      </c>
    </row>
    <row r="158" spans="1:3" x14ac:dyDescent="0.2">
      <c r="A158" s="3">
        <v>45938</v>
      </c>
      <c r="B158">
        <v>81.934899999999999</v>
      </c>
      <c r="C158">
        <f t="shared" si="5"/>
        <v>2025</v>
      </c>
    </row>
    <row r="159" spans="1:3" x14ac:dyDescent="0.2">
      <c r="A159" s="3">
        <v>45937</v>
      </c>
      <c r="B159">
        <v>83</v>
      </c>
      <c r="C159">
        <f t="shared" si="5"/>
        <v>2025</v>
      </c>
    </row>
    <row r="160" spans="1:3" x14ac:dyDescent="0.2">
      <c r="A160" s="3">
        <v>45936</v>
      </c>
      <c r="B160">
        <v>81.896900000000002</v>
      </c>
      <c r="C160">
        <f t="shared" si="5"/>
        <v>2025</v>
      </c>
    </row>
    <row r="161" spans="1:3" x14ac:dyDescent="0.2">
      <c r="A161" s="3">
        <v>45935</v>
      </c>
      <c r="B161">
        <v>81.896900000000002</v>
      </c>
      <c r="C161">
        <f t="shared" si="5"/>
        <v>2025</v>
      </c>
    </row>
    <row r="162" spans="1:3" x14ac:dyDescent="0.2">
      <c r="A162" s="3">
        <v>45934</v>
      </c>
      <c r="B162">
        <v>81.896900000000002</v>
      </c>
      <c r="C162">
        <f t="shared" si="5"/>
        <v>2025</v>
      </c>
    </row>
    <row r="163" spans="1:3" x14ac:dyDescent="0.2">
      <c r="A163" s="3">
        <v>45933</v>
      </c>
      <c r="B163">
        <v>81.008499999999998</v>
      </c>
      <c r="C163">
        <f t="shared" si="5"/>
        <v>2025</v>
      </c>
    </row>
    <row r="164" spans="1:3" x14ac:dyDescent="0.2">
      <c r="A164" s="3">
        <v>45932</v>
      </c>
      <c r="B164">
        <v>81.496700000000004</v>
      </c>
      <c r="C164">
        <f t="shared" si="5"/>
        <v>2025</v>
      </c>
    </row>
    <row r="165" spans="1:3" x14ac:dyDescent="0.2">
      <c r="A165" s="3">
        <v>45931</v>
      </c>
      <c r="B165">
        <v>82.608400000000003</v>
      </c>
      <c r="C165">
        <f t="shared" si="5"/>
        <v>2025</v>
      </c>
    </row>
    <row r="166" spans="1:3" x14ac:dyDescent="0.2">
      <c r="A166" s="3">
        <v>45930</v>
      </c>
      <c r="B166">
        <v>82.867599999999996</v>
      </c>
      <c r="C166">
        <f t="shared" si="5"/>
        <v>2025</v>
      </c>
    </row>
    <row r="167" spans="1:3" x14ac:dyDescent="0.2">
      <c r="A167" s="3">
        <v>45929</v>
      </c>
      <c r="B167">
        <v>83.611800000000002</v>
      </c>
      <c r="C167">
        <f t="shared" si="5"/>
        <v>2025</v>
      </c>
    </row>
    <row r="168" spans="1:3" x14ac:dyDescent="0.2">
      <c r="A168" s="3">
        <v>45928</v>
      </c>
      <c r="B168">
        <v>83.611800000000002</v>
      </c>
      <c r="C168">
        <f t="shared" si="5"/>
        <v>2025</v>
      </c>
    </row>
    <row r="169" spans="1:3" x14ac:dyDescent="0.2">
      <c r="A169" s="3">
        <v>45927</v>
      </c>
      <c r="B169">
        <v>83.611800000000002</v>
      </c>
      <c r="C169">
        <f t="shared" si="5"/>
        <v>2025</v>
      </c>
    </row>
    <row r="170" spans="1:3" x14ac:dyDescent="0.2">
      <c r="A170" s="3">
        <v>45926</v>
      </c>
      <c r="B170">
        <v>83.606899999999996</v>
      </c>
      <c r="C170">
        <f t="shared" si="5"/>
        <v>2025</v>
      </c>
    </row>
    <row r="171" spans="1:3" x14ac:dyDescent="0.2">
      <c r="A171" s="3">
        <v>45925</v>
      </c>
      <c r="B171">
        <v>83.991399999999999</v>
      </c>
      <c r="C171">
        <f t="shared" si="5"/>
        <v>2025</v>
      </c>
    </row>
    <row r="172" spans="1:3" x14ac:dyDescent="0.2">
      <c r="A172" s="3">
        <v>45924</v>
      </c>
      <c r="B172">
        <v>83.3506</v>
      </c>
      <c r="C172">
        <f t="shared" si="5"/>
        <v>2025</v>
      </c>
    </row>
    <row r="173" spans="1:3" x14ac:dyDescent="0.2">
      <c r="A173" s="3">
        <v>45923</v>
      </c>
      <c r="B173">
        <v>84.018600000000006</v>
      </c>
      <c r="C173">
        <f t="shared" si="5"/>
        <v>2025</v>
      </c>
    </row>
    <row r="174" spans="1:3" x14ac:dyDescent="0.2">
      <c r="A174" s="3">
        <v>45922</v>
      </c>
      <c r="B174">
        <v>83.590400000000002</v>
      </c>
      <c r="C174">
        <f t="shared" si="5"/>
        <v>2025</v>
      </c>
    </row>
    <row r="175" spans="1:3" x14ac:dyDescent="0.2">
      <c r="A175" s="3">
        <v>45921</v>
      </c>
      <c r="B175">
        <v>83.590400000000002</v>
      </c>
      <c r="C175">
        <f t="shared" si="5"/>
        <v>2025</v>
      </c>
    </row>
    <row r="176" spans="1:3" x14ac:dyDescent="0.2">
      <c r="A176" s="3">
        <v>45920</v>
      </c>
      <c r="B176">
        <v>83.590400000000002</v>
      </c>
      <c r="C176">
        <f t="shared" si="5"/>
        <v>2025</v>
      </c>
    </row>
    <row r="177" spans="1:3" x14ac:dyDescent="0.2">
      <c r="A177" s="3">
        <v>45919</v>
      </c>
      <c r="B177">
        <v>83.172499999999999</v>
      </c>
      <c r="C177">
        <f t="shared" si="5"/>
        <v>2025</v>
      </c>
    </row>
    <row r="178" spans="1:3" x14ac:dyDescent="0.2">
      <c r="A178" s="3">
        <v>45918</v>
      </c>
      <c r="B178">
        <v>82.998699999999999</v>
      </c>
      <c r="C178">
        <f t="shared" si="5"/>
        <v>2025</v>
      </c>
    </row>
    <row r="179" spans="1:3" x14ac:dyDescent="0.2">
      <c r="A179" s="3">
        <v>45917</v>
      </c>
      <c r="B179">
        <v>82.835899999999995</v>
      </c>
      <c r="C179">
        <f t="shared" si="5"/>
        <v>2025</v>
      </c>
    </row>
    <row r="180" spans="1:3" x14ac:dyDescent="0.2">
      <c r="A180" s="3">
        <v>45916</v>
      </c>
      <c r="B180">
        <v>83.071799999999996</v>
      </c>
      <c r="C180">
        <f t="shared" si="5"/>
        <v>2025</v>
      </c>
    </row>
    <row r="181" spans="1:3" x14ac:dyDescent="0.2">
      <c r="A181" s="3">
        <v>45915</v>
      </c>
      <c r="B181">
        <v>84.379800000000003</v>
      </c>
      <c r="C181">
        <f t="shared" si="5"/>
        <v>2025</v>
      </c>
    </row>
    <row r="182" spans="1:3" x14ac:dyDescent="0.2">
      <c r="A182" s="3">
        <v>45914</v>
      </c>
      <c r="B182">
        <v>84.379800000000003</v>
      </c>
      <c r="C182">
        <f t="shared" si="5"/>
        <v>2025</v>
      </c>
    </row>
    <row r="183" spans="1:3" x14ac:dyDescent="0.2">
      <c r="A183" s="3">
        <v>45913</v>
      </c>
      <c r="B183">
        <v>84.379800000000003</v>
      </c>
      <c r="C183">
        <f t="shared" si="5"/>
        <v>2025</v>
      </c>
    </row>
    <row r="184" spans="1:3" x14ac:dyDescent="0.2">
      <c r="A184" s="3">
        <v>45912</v>
      </c>
      <c r="B184">
        <v>85.664699999999996</v>
      </c>
      <c r="C184">
        <f t="shared" si="5"/>
        <v>2025</v>
      </c>
    </row>
    <row r="185" spans="1:3" x14ac:dyDescent="0.2">
      <c r="A185" s="3">
        <v>45911</v>
      </c>
      <c r="B185">
        <v>84.921099999999996</v>
      </c>
      <c r="C185">
        <f t="shared" si="5"/>
        <v>2025</v>
      </c>
    </row>
    <row r="186" spans="1:3" x14ac:dyDescent="0.2">
      <c r="A186" s="3">
        <v>45910</v>
      </c>
      <c r="B186">
        <v>83.242500000000007</v>
      </c>
      <c r="C186">
        <f t="shared" si="5"/>
        <v>2025</v>
      </c>
    </row>
    <row r="187" spans="1:3" x14ac:dyDescent="0.2">
      <c r="A187" s="3">
        <v>45909</v>
      </c>
      <c r="B187">
        <v>82.339699999999993</v>
      </c>
      <c r="C187">
        <f t="shared" si="5"/>
        <v>2025</v>
      </c>
    </row>
    <row r="188" spans="1:3" x14ac:dyDescent="0.2">
      <c r="A188" s="3">
        <v>45908</v>
      </c>
      <c r="B188">
        <v>81.555599999999998</v>
      </c>
      <c r="C188">
        <f t="shared" si="5"/>
        <v>2025</v>
      </c>
    </row>
    <row r="189" spans="1:3" x14ac:dyDescent="0.2">
      <c r="A189" s="3">
        <v>45907</v>
      </c>
      <c r="B189">
        <v>81.555599999999998</v>
      </c>
      <c r="C189">
        <f t="shared" si="5"/>
        <v>2025</v>
      </c>
    </row>
    <row r="190" spans="1:3" x14ac:dyDescent="0.2">
      <c r="A190" s="3">
        <v>45906</v>
      </c>
      <c r="B190">
        <v>81.555599999999998</v>
      </c>
      <c r="C190">
        <f t="shared" si="5"/>
        <v>2025</v>
      </c>
    </row>
    <row r="191" spans="1:3" x14ac:dyDescent="0.2">
      <c r="A191" s="3">
        <v>45905</v>
      </c>
      <c r="B191">
        <v>81.297700000000006</v>
      </c>
      <c r="C191">
        <f t="shared" si="5"/>
        <v>2025</v>
      </c>
    </row>
    <row r="192" spans="1:3" x14ac:dyDescent="0.2">
      <c r="A192" s="3">
        <v>45904</v>
      </c>
      <c r="B192">
        <v>80.848799999999997</v>
      </c>
      <c r="C192">
        <f t="shared" si="5"/>
        <v>2025</v>
      </c>
    </row>
    <row r="193" spans="1:3" x14ac:dyDescent="0.2">
      <c r="A193" s="3">
        <v>45903</v>
      </c>
      <c r="B193">
        <v>80.594700000000003</v>
      </c>
      <c r="C193">
        <f t="shared" si="5"/>
        <v>2025</v>
      </c>
    </row>
    <row r="194" spans="1:3" x14ac:dyDescent="0.2">
      <c r="A194" s="3">
        <v>45902</v>
      </c>
      <c r="B194">
        <v>80.426100000000005</v>
      </c>
      <c r="C194">
        <f t="shared" si="5"/>
        <v>2025</v>
      </c>
    </row>
    <row r="195" spans="1:3" x14ac:dyDescent="0.2">
      <c r="A195" s="3">
        <v>45901</v>
      </c>
      <c r="B195">
        <v>80.331599999999995</v>
      </c>
      <c r="C195">
        <f t="shared" si="5"/>
        <v>2025</v>
      </c>
    </row>
    <row r="196" spans="1:3" x14ac:dyDescent="0.2">
      <c r="A196" s="3">
        <v>45900</v>
      </c>
      <c r="B196">
        <v>80.331599999999995</v>
      </c>
      <c r="C196">
        <f t="shared" ref="C196:C259" si="6">YEAR(A196)</f>
        <v>2025</v>
      </c>
    </row>
    <row r="197" spans="1:3" x14ac:dyDescent="0.2">
      <c r="A197" s="3">
        <v>45899</v>
      </c>
      <c r="B197">
        <v>80.331599999999995</v>
      </c>
      <c r="C197">
        <f t="shared" si="6"/>
        <v>2025</v>
      </c>
    </row>
    <row r="198" spans="1:3" x14ac:dyDescent="0.2">
      <c r="A198" s="3">
        <v>45898</v>
      </c>
      <c r="B198">
        <v>80.291799999999995</v>
      </c>
      <c r="C198">
        <f t="shared" si="6"/>
        <v>2025</v>
      </c>
    </row>
    <row r="199" spans="1:3" x14ac:dyDescent="0.2">
      <c r="A199" s="3">
        <v>45897</v>
      </c>
      <c r="B199">
        <v>80.442099999999996</v>
      </c>
      <c r="C199">
        <f t="shared" si="6"/>
        <v>2025</v>
      </c>
    </row>
    <row r="200" spans="1:3" x14ac:dyDescent="0.2">
      <c r="A200" s="3">
        <v>45896</v>
      </c>
      <c r="B200">
        <v>80.526799999999994</v>
      </c>
      <c r="C200">
        <f t="shared" si="6"/>
        <v>2025</v>
      </c>
    </row>
    <row r="201" spans="1:3" x14ac:dyDescent="0.2">
      <c r="A201" s="3">
        <v>45895</v>
      </c>
      <c r="B201">
        <v>80.684200000000004</v>
      </c>
      <c r="C201">
        <f t="shared" si="6"/>
        <v>2025</v>
      </c>
    </row>
    <row r="202" spans="1:3" x14ac:dyDescent="0.2">
      <c r="A202" s="3">
        <v>45894</v>
      </c>
      <c r="B202">
        <v>80.749799999999993</v>
      </c>
      <c r="C202">
        <f t="shared" si="6"/>
        <v>2025</v>
      </c>
    </row>
    <row r="203" spans="1:3" x14ac:dyDescent="0.2">
      <c r="A203" s="3">
        <v>45893</v>
      </c>
      <c r="B203">
        <v>80.749799999999993</v>
      </c>
      <c r="C203">
        <f t="shared" si="6"/>
        <v>2025</v>
      </c>
    </row>
    <row r="204" spans="1:3" x14ac:dyDescent="0.2">
      <c r="A204" s="3">
        <v>45892</v>
      </c>
      <c r="B204">
        <v>80.749799999999993</v>
      </c>
      <c r="C204">
        <f t="shared" si="6"/>
        <v>2025</v>
      </c>
    </row>
    <row r="205" spans="1:3" x14ac:dyDescent="0.2">
      <c r="A205" s="3">
        <v>45891</v>
      </c>
      <c r="B205">
        <v>80.254800000000003</v>
      </c>
      <c r="C205">
        <f t="shared" si="6"/>
        <v>2025</v>
      </c>
    </row>
    <row r="206" spans="1:3" x14ac:dyDescent="0.2">
      <c r="A206" s="3">
        <v>45890</v>
      </c>
      <c r="B206">
        <v>80.104500000000002</v>
      </c>
      <c r="C206">
        <f t="shared" si="6"/>
        <v>2025</v>
      </c>
    </row>
    <row r="207" spans="1:3" x14ac:dyDescent="0.2">
      <c r="A207" s="3">
        <v>45889</v>
      </c>
      <c r="B207">
        <v>80.346599999999995</v>
      </c>
      <c r="C207">
        <f t="shared" si="6"/>
        <v>2025</v>
      </c>
    </row>
    <row r="208" spans="1:3" x14ac:dyDescent="0.2">
      <c r="A208" s="3">
        <v>45888</v>
      </c>
      <c r="B208">
        <v>80.425600000000003</v>
      </c>
      <c r="C208">
        <f t="shared" si="6"/>
        <v>2025</v>
      </c>
    </row>
    <row r="209" spans="1:3" x14ac:dyDescent="0.2">
      <c r="A209" s="3">
        <v>45887</v>
      </c>
      <c r="B209">
        <v>80.022400000000005</v>
      </c>
      <c r="C209">
        <f t="shared" si="6"/>
        <v>2025</v>
      </c>
    </row>
    <row r="210" spans="1:3" x14ac:dyDescent="0.2">
      <c r="A210" s="3">
        <v>45886</v>
      </c>
      <c r="B210">
        <v>80.022400000000005</v>
      </c>
      <c r="C210">
        <f t="shared" si="6"/>
        <v>2025</v>
      </c>
    </row>
    <row r="211" spans="1:3" x14ac:dyDescent="0.2">
      <c r="A211" s="3">
        <v>45885</v>
      </c>
      <c r="B211">
        <v>80.022400000000005</v>
      </c>
      <c r="C211">
        <f t="shared" si="6"/>
        <v>2025</v>
      </c>
    </row>
    <row r="212" spans="1:3" x14ac:dyDescent="0.2">
      <c r="A212" s="3">
        <v>45884</v>
      </c>
      <c r="B212">
        <v>79.765299999999996</v>
      </c>
      <c r="C212">
        <f t="shared" si="6"/>
        <v>2025</v>
      </c>
    </row>
    <row r="213" spans="1:3" x14ac:dyDescent="0.2">
      <c r="A213" s="3">
        <v>45883</v>
      </c>
      <c r="B213">
        <v>79.603200000000001</v>
      </c>
      <c r="C213">
        <f t="shared" si="6"/>
        <v>2025</v>
      </c>
    </row>
    <row r="214" spans="1:3" x14ac:dyDescent="0.2">
      <c r="A214" s="3">
        <v>45882</v>
      </c>
      <c r="B214">
        <v>79.871399999999994</v>
      </c>
      <c r="C214">
        <f t="shared" si="6"/>
        <v>2025</v>
      </c>
    </row>
    <row r="215" spans="1:3" x14ac:dyDescent="0.2">
      <c r="A215" s="3">
        <v>45881</v>
      </c>
      <c r="B215">
        <v>79.667699999999996</v>
      </c>
      <c r="C215">
        <f t="shared" si="6"/>
        <v>2025</v>
      </c>
    </row>
    <row r="216" spans="1:3" x14ac:dyDescent="0.2">
      <c r="A216" s="3">
        <v>45880</v>
      </c>
      <c r="B216">
        <v>79.779600000000002</v>
      </c>
      <c r="C216">
        <f t="shared" si="6"/>
        <v>2025</v>
      </c>
    </row>
    <row r="217" spans="1:3" x14ac:dyDescent="0.2">
      <c r="A217" s="3">
        <v>45879</v>
      </c>
      <c r="B217">
        <v>79.779600000000002</v>
      </c>
      <c r="C217">
        <f t="shared" si="6"/>
        <v>2025</v>
      </c>
    </row>
    <row r="218" spans="1:3" x14ac:dyDescent="0.2">
      <c r="A218" s="3">
        <v>45878</v>
      </c>
      <c r="B218">
        <v>79.779600000000002</v>
      </c>
      <c r="C218">
        <f t="shared" si="6"/>
        <v>2025</v>
      </c>
    </row>
    <row r="219" spans="1:3" x14ac:dyDescent="0.2">
      <c r="A219" s="3">
        <v>45877</v>
      </c>
      <c r="B219">
        <v>79.384699999999995</v>
      </c>
      <c r="C219">
        <f t="shared" si="6"/>
        <v>2025</v>
      </c>
    </row>
    <row r="220" spans="1:3" x14ac:dyDescent="0.2">
      <c r="A220" s="3">
        <v>45876</v>
      </c>
      <c r="B220">
        <v>80.191400000000002</v>
      </c>
      <c r="C220">
        <f t="shared" si="6"/>
        <v>2025</v>
      </c>
    </row>
    <row r="221" spans="1:3" x14ac:dyDescent="0.2">
      <c r="A221" s="3">
        <v>45875</v>
      </c>
      <c r="B221">
        <v>80.049000000000007</v>
      </c>
      <c r="C221">
        <f t="shared" si="6"/>
        <v>2025</v>
      </c>
    </row>
    <row r="222" spans="1:3" x14ac:dyDescent="0.2">
      <c r="A222" s="3">
        <v>45874</v>
      </c>
      <c r="B222">
        <v>79.673599999999993</v>
      </c>
      <c r="C222">
        <f t="shared" si="6"/>
        <v>2025</v>
      </c>
    </row>
    <row r="223" spans="1:3" x14ac:dyDescent="0.2">
      <c r="A223" s="3">
        <v>45873</v>
      </c>
      <c r="B223">
        <v>80.328900000000004</v>
      </c>
      <c r="C223">
        <f t="shared" si="6"/>
        <v>2025</v>
      </c>
    </row>
    <row r="224" spans="1:3" x14ac:dyDescent="0.2">
      <c r="A224" s="3">
        <v>45872</v>
      </c>
      <c r="B224">
        <v>80.328900000000004</v>
      </c>
      <c r="C224">
        <f t="shared" si="6"/>
        <v>2025</v>
      </c>
    </row>
    <row r="225" spans="1:3" x14ac:dyDescent="0.2">
      <c r="A225" s="3">
        <v>45871</v>
      </c>
      <c r="B225">
        <v>80.328900000000004</v>
      </c>
      <c r="C225">
        <f t="shared" si="6"/>
        <v>2025</v>
      </c>
    </row>
    <row r="226" spans="1:3" x14ac:dyDescent="0.2">
      <c r="A226" s="3">
        <v>45870</v>
      </c>
      <c r="B226">
        <v>80.316299999999998</v>
      </c>
      <c r="C226">
        <f t="shared" si="6"/>
        <v>2025</v>
      </c>
    </row>
    <row r="227" spans="1:3" x14ac:dyDescent="0.2">
      <c r="A227" s="3">
        <v>45869</v>
      </c>
      <c r="B227">
        <v>81.834699999999998</v>
      </c>
      <c r="C227">
        <f t="shared" si="6"/>
        <v>2025</v>
      </c>
    </row>
    <row r="228" spans="1:3" x14ac:dyDescent="0.2">
      <c r="A228" s="3">
        <v>45868</v>
      </c>
      <c r="B228">
        <v>82.219700000000003</v>
      </c>
      <c r="C228">
        <f t="shared" si="6"/>
        <v>2025</v>
      </c>
    </row>
    <row r="229" spans="1:3" x14ac:dyDescent="0.2">
      <c r="A229" s="3">
        <v>45867</v>
      </c>
      <c r="B229">
        <v>79.578199999999995</v>
      </c>
      <c r="C229">
        <f t="shared" si="6"/>
        <v>2025</v>
      </c>
    </row>
    <row r="230" spans="1:3" x14ac:dyDescent="0.2">
      <c r="A230" s="3">
        <v>45866</v>
      </c>
      <c r="B230">
        <v>79.552700000000002</v>
      </c>
      <c r="C230">
        <f t="shared" si="6"/>
        <v>2025</v>
      </c>
    </row>
    <row r="231" spans="1:3" x14ac:dyDescent="0.2">
      <c r="A231" s="3">
        <v>45865</v>
      </c>
      <c r="B231">
        <v>79.552700000000002</v>
      </c>
      <c r="C231">
        <f t="shared" si="6"/>
        <v>2025</v>
      </c>
    </row>
    <row r="232" spans="1:3" x14ac:dyDescent="0.2">
      <c r="A232" s="3">
        <v>45864</v>
      </c>
      <c r="B232">
        <v>79.552700000000002</v>
      </c>
      <c r="C232">
        <f t="shared" si="6"/>
        <v>2025</v>
      </c>
    </row>
    <row r="233" spans="1:3" x14ac:dyDescent="0.2">
      <c r="A233" s="3">
        <v>45863</v>
      </c>
      <c r="B233">
        <v>78.862300000000005</v>
      </c>
      <c r="C233">
        <f t="shared" si="6"/>
        <v>2025</v>
      </c>
    </row>
    <row r="234" spans="1:3" x14ac:dyDescent="0.2">
      <c r="A234" s="3">
        <v>45862</v>
      </c>
      <c r="B234">
        <v>78.447699999999998</v>
      </c>
      <c r="C234">
        <f t="shared" si="6"/>
        <v>2025</v>
      </c>
    </row>
    <row r="235" spans="1:3" x14ac:dyDescent="0.2">
      <c r="A235" s="3">
        <v>45861</v>
      </c>
      <c r="B235">
        <v>78.088200000000001</v>
      </c>
      <c r="C235">
        <f t="shared" si="6"/>
        <v>2025</v>
      </c>
    </row>
    <row r="236" spans="1:3" x14ac:dyDescent="0.2">
      <c r="A236" s="3">
        <v>45860</v>
      </c>
      <c r="B236">
        <v>78.327399999999997</v>
      </c>
      <c r="C236">
        <f t="shared" si="6"/>
        <v>2025</v>
      </c>
    </row>
    <row r="237" spans="1:3" x14ac:dyDescent="0.2">
      <c r="A237" s="3">
        <v>45859</v>
      </c>
      <c r="B237">
        <v>78.312899999999999</v>
      </c>
      <c r="C237">
        <f t="shared" si="6"/>
        <v>2025</v>
      </c>
    </row>
    <row r="238" spans="1:3" x14ac:dyDescent="0.2">
      <c r="A238" s="3">
        <v>45858</v>
      </c>
      <c r="B238">
        <v>78.312899999999999</v>
      </c>
      <c r="C238">
        <f t="shared" si="6"/>
        <v>2025</v>
      </c>
    </row>
    <row r="239" spans="1:3" x14ac:dyDescent="0.2">
      <c r="A239" s="3">
        <v>45857</v>
      </c>
      <c r="B239">
        <v>78.312899999999999</v>
      </c>
      <c r="C239">
        <f t="shared" si="6"/>
        <v>2025</v>
      </c>
    </row>
    <row r="240" spans="1:3" x14ac:dyDescent="0.2">
      <c r="A240" s="3">
        <v>45856</v>
      </c>
      <c r="B240">
        <v>78.185599999999994</v>
      </c>
      <c r="C240">
        <f t="shared" si="6"/>
        <v>2025</v>
      </c>
    </row>
    <row r="241" spans="1:3" x14ac:dyDescent="0.2">
      <c r="A241" s="3">
        <v>45855</v>
      </c>
      <c r="B241">
        <v>77.958500000000001</v>
      </c>
      <c r="C241">
        <f t="shared" si="6"/>
        <v>2025</v>
      </c>
    </row>
    <row r="242" spans="1:3" x14ac:dyDescent="0.2">
      <c r="A242" s="3">
        <v>45854</v>
      </c>
      <c r="B242">
        <v>77.958399999999997</v>
      </c>
      <c r="C242">
        <f t="shared" si="6"/>
        <v>2025</v>
      </c>
    </row>
    <row r="243" spans="1:3" x14ac:dyDescent="0.2">
      <c r="A243" s="3">
        <v>45853</v>
      </c>
      <c r="B243">
        <v>78.372200000000007</v>
      </c>
      <c r="C243">
        <f t="shared" si="6"/>
        <v>2025</v>
      </c>
    </row>
    <row r="244" spans="1:3" x14ac:dyDescent="0.2">
      <c r="A244" s="3">
        <v>45852</v>
      </c>
      <c r="B244">
        <v>77.885499999999993</v>
      </c>
      <c r="C244">
        <f t="shared" si="6"/>
        <v>2025</v>
      </c>
    </row>
    <row r="245" spans="1:3" x14ac:dyDescent="0.2">
      <c r="A245" s="3">
        <v>45851</v>
      </c>
      <c r="B245">
        <v>77.885499999999993</v>
      </c>
      <c r="C245">
        <f t="shared" si="6"/>
        <v>2025</v>
      </c>
    </row>
    <row r="246" spans="1:3" x14ac:dyDescent="0.2">
      <c r="A246" s="3">
        <v>45850</v>
      </c>
      <c r="B246">
        <v>77.885499999999993</v>
      </c>
      <c r="C246">
        <f t="shared" si="6"/>
        <v>2025</v>
      </c>
    </row>
    <row r="247" spans="1:3" x14ac:dyDescent="0.2">
      <c r="A247" s="3">
        <v>45849</v>
      </c>
      <c r="B247">
        <v>77.902900000000002</v>
      </c>
      <c r="C247">
        <f t="shared" si="6"/>
        <v>2025</v>
      </c>
    </row>
    <row r="248" spans="1:3" x14ac:dyDescent="0.2">
      <c r="A248" s="3">
        <v>45848</v>
      </c>
      <c r="B248">
        <v>78.172700000000006</v>
      </c>
      <c r="C248">
        <f t="shared" si="6"/>
        <v>2025</v>
      </c>
    </row>
    <row r="249" spans="1:3" x14ac:dyDescent="0.2">
      <c r="A249" s="3">
        <v>45847</v>
      </c>
      <c r="B249">
        <v>78.168199999999999</v>
      </c>
      <c r="C249">
        <f t="shared" si="6"/>
        <v>2025</v>
      </c>
    </row>
    <row r="250" spans="1:3" x14ac:dyDescent="0.2">
      <c r="A250" s="3">
        <v>45846</v>
      </c>
      <c r="B250">
        <v>78.718500000000006</v>
      </c>
      <c r="C250">
        <f t="shared" si="6"/>
        <v>2025</v>
      </c>
    </row>
    <row r="251" spans="1:3" x14ac:dyDescent="0.2">
      <c r="A251" s="3">
        <v>45845</v>
      </c>
      <c r="B251">
        <v>78.835400000000007</v>
      </c>
      <c r="C251">
        <f t="shared" si="6"/>
        <v>2025</v>
      </c>
    </row>
    <row r="252" spans="1:3" x14ac:dyDescent="0.2">
      <c r="A252" s="3">
        <v>45844</v>
      </c>
      <c r="B252">
        <v>78.835400000000007</v>
      </c>
      <c r="C252">
        <f t="shared" si="6"/>
        <v>2025</v>
      </c>
    </row>
    <row r="253" spans="1:3" x14ac:dyDescent="0.2">
      <c r="A253" s="3">
        <v>45843</v>
      </c>
      <c r="B253">
        <v>78.835400000000007</v>
      </c>
      <c r="C253">
        <f t="shared" si="6"/>
        <v>2025</v>
      </c>
    </row>
    <row r="254" spans="1:3" x14ac:dyDescent="0.2">
      <c r="A254" s="3">
        <v>45842</v>
      </c>
      <c r="B254">
        <v>78.783100000000005</v>
      </c>
      <c r="C254">
        <f t="shared" si="6"/>
        <v>2025</v>
      </c>
    </row>
    <row r="255" spans="1:3" x14ac:dyDescent="0.2">
      <c r="A255" s="3">
        <v>45841</v>
      </c>
      <c r="B255">
        <v>78.653999999999996</v>
      </c>
      <c r="C255">
        <f t="shared" si="6"/>
        <v>2025</v>
      </c>
    </row>
    <row r="256" spans="1:3" x14ac:dyDescent="0.2">
      <c r="A256" s="3">
        <v>45840</v>
      </c>
      <c r="B256">
        <v>78.418099999999995</v>
      </c>
      <c r="C256">
        <f t="shared" si="6"/>
        <v>2025</v>
      </c>
    </row>
    <row r="257" spans="1:3" x14ac:dyDescent="0.2">
      <c r="A257" s="3">
        <v>45839</v>
      </c>
      <c r="B257">
        <v>78.528400000000005</v>
      </c>
      <c r="C257">
        <f t="shared" si="6"/>
        <v>2025</v>
      </c>
    </row>
    <row r="258" spans="1:3" x14ac:dyDescent="0.2">
      <c r="A258" s="3">
        <v>45838</v>
      </c>
      <c r="B258">
        <v>78.468500000000006</v>
      </c>
      <c r="C258">
        <f t="shared" si="6"/>
        <v>2025</v>
      </c>
    </row>
    <row r="259" spans="1:3" x14ac:dyDescent="0.2">
      <c r="A259" s="3">
        <v>45837</v>
      </c>
      <c r="B259">
        <v>78.468500000000006</v>
      </c>
      <c r="C259">
        <f t="shared" si="6"/>
        <v>2025</v>
      </c>
    </row>
    <row r="260" spans="1:3" x14ac:dyDescent="0.2">
      <c r="A260" s="3">
        <v>45836</v>
      </c>
      <c r="B260">
        <v>78.468500000000006</v>
      </c>
      <c r="C260">
        <f t="shared" ref="C260:C323" si="7">YEAR(A260)</f>
        <v>2025</v>
      </c>
    </row>
    <row r="261" spans="1:3" x14ac:dyDescent="0.2">
      <c r="A261" s="3">
        <v>45835</v>
      </c>
      <c r="B261">
        <v>78.211699999999993</v>
      </c>
      <c r="C261">
        <f t="shared" si="7"/>
        <v>2025</v>
      </c>
    </row>
    <row r="262" spans="1:3" x14ac:dyDescent="0.2">
      <c r="A262" s="3">
        <v>45834</v>
      </c>
      <c r="B262">
        <v>78.195899999999995</v>
      </c>
      <c r="C262">
        <f t="shared" si="7"/>
        <v>2025</v>
      </c>
    </row>
    <row r="263" spans="1:3" x14ac:dyDescent="0.2">
      <c r="A263" s="3">
        <v>45833</v>
      </c>
      <c r="B263">
        <v>78.389200000000002</v>
      </c>
      <c r="C263">
        <f t="shared" si="7"/>
        <v>2025</v>
      </c>
    </row>
    <row r="264" spans="1:3" x14ac:dyDescent="0.2">
      <c r="A264" s="3">
        <v>45832</v>
      </c>
      <c r="B264">
        <v>78.292299999999997</v>
      </c>
      <c r="C264">
        <f t="shared" si="7"/>
        <v>2025</v>
      </c>
    </row>
    <row r="265" spans="1:3" x14ac:dyDescent="0.2">
      <c r="A265" s="3">
        <v>45831</v>
      </c>
      <c r="B265">
        <v>78.501599999999996</v>
      </c>
      <c r="C265">
        <f t="shared" si="7"/>
        <v>2025</v>
      </c>
    </row>
    <row r="266" spans="1:3" x14ac:dyDescent="0.2">
      <c r="A266" s="3">
        <v>45830</v>
      </c>
      <c r="B266">
        <v>78.501599999999996</v>
      </c>
      <c r="C266">
        <f t="shared" si="7"/>
        <v>2025</v>
      </c>
    </row>
    <row r="267" spans="1:3" x14ac:dyDescent="0.2">
      <c r="A267" s="3">
        <v>45829</v>
      </c>
      <c r="B267">
        <v>78.501599999999996</v>
      </c>
      <c r="C267">
        <f t="shared" si="7"/>
        <v>2025</v>
      </c>
    </row>
    <row r="268" spans="1:3" x14ac:dyDescent="0.2">
      <c r="A268" s="3">
        <v>45828</v>
      </c>
      <c r="B268">
        <v>78.483900000000006</v>
      </c>
      <c r="C268">
        <f t="shared" si="7"/>
        <v>2025</v>
      </c>
    </row>
    <row r="269" spans="1:3" x14ac:dyDescent="0.2">
      <c r="A269" s="3">
        <v>45827</v>
      </c>
      <c r="B269">
        <v>78.717399999999998</v>
      </c>
      <c r="C269">
        <f t="shared" si="7"/>
        <v>2025</v>
      </c>
    </row>
    <row r="270" spans="1:3" x14ac:dyDescent="0.2">
      <c r="A270" s="3">
        <v>45826</v>
      </c>
      <c r="B270">
        <v>78.713499999999996</v>
      </c>
      <c r="C270">
        <f t="shared" si="7"/>
        <v>2025</v>
      </c>
    </row>
    <row r="271" spans="1:3" x14ac:dyDescent="0.2">
      <c r="A271" s="3">
        <v>45825</v>
      </c>
      <c r="B271">
        <v>78.506699999999995</v>
      </c>
      <c r="C271">
        <f t="shared" si="7"/>
        <v>2025</v>
      </c>
    </row>
    <row r="272" spans="1:3" x14ac:dyDescent="0.2">
      <c r="A272" s="3">
        <v>45824</v>
      </c>
      <c r="B272">
        <v>79.002799999999993</v>
      </c>
      <c r="C272">
        <f t="shared" si="7"/>
        <v>2025</v>
      </c>
    </row>
    <row r="273" spans="1:3" x14ac:dyDescent="0.2">
      <c r="A273" s="3">
        <v>45823</v>
      </c>
      <c r="B273">
        <v>79.002799999999993</v>
      </c>
      <c r="C273">
        <f t="shared" si="7"/>
        <v>2025</v>
      </c>
    </row>
    <row r="274" spans="1:3" x14ac:dyDescent="0.2">
      <c r="A274" s="3">
        <v>45822</v>
      </c>
      <c r="B274">
        <v>79.002799999999993</v>
      </c>
      <c r="C274">
        <f t="shared" si="7"/>
        <v>2025</v>
      </c>
    </row>
    <row r="275" spans="1:3" x14ac:dyDescent="0.2">
      <c r="A275" s="3">
        <v>45821</v>
      </c>
      <c r="B275">
        <v>79.002799999999993</v>
      </c>
      <c r="C275">
        <f t="shared" si="7"/>
        <v>2025</v>
      </c>
    </row>
    <row r="276" spans="1:3" x14ac:dyDescent="0.2">
      <c r="A276" s="3">
        <v>45820</v>
      </c>
      <c r="B276">
        <v>79.002799999999993</v>
      </c>
      <c r="C276">
        <f t="shared" si="7"/>
        <v>2025</v>
      </c>
    </row>
    <row r="277" spans="1:3" x14ac:dyDescent="0.2">
      <c r="A277" s="3">
        <v>45819</v>
      </c>
      <c r="B277">
        <v>78.600300000000004</v>
      </c>
      <c r="C277">
        <f t="shared" si="7"/>
        <v>2025</v>
      </c>
    </row>
    <row r="278" spans="1:3" x14ac:dyDescent="0.2">
      <c r="A278" s="3">
        <v>45818</v>
      </c>
      <c r="B278">
        <v>79.154300000000006</v>
      </c>
      <c r="C278">
        <f t="shared" si="7"/>
        <v>2025</v>
      </c>
    </row>
    <row r="279" spans="1:3" x14ac:dyDescent="0.2">
      <c r="A279" s="3">
        <v>45817</v>
      </c>
      <c r="B279">
        <v>79.170299999999997</v>
      </c>
      <c r="C279">
        <f t="shared" si="7"/>
        <v>2025</v>
      </c>
    </row>
    <row r="280" spans="1:3" x14ac:dyDescent="0.2">
      <c r="A280" s="3">
        <v>45816</v>
      </c>
      <c r="B280">
        <v>79.170299999999997</v>
      </c>
      <c r="C280">
        <f t="shared" si="7"/>
        <v>2025</v>
      </c>
    </row>
    <row r="281" spans="1:3" x14ac:dyDescent="0.2">
      <c r="A281" s="3">
        <v>45815</v>
      </c>
      <c r="B281">
        <v>79.170299999999997</v>
      </c>
      <c r="C281">
        <f t="shared" si="7"/>
        <v>2025</v>
      </c>
    </row>
    <row r="282" spans="1:3" x14ac:dyDescent="0.2">
      <c r="A282" s="3">
        <v>45814</v>
      </c>
      <c r="B282">
        <v>79.127200000000002</v>
      </c>
      <c r="C282">
        <f t="shared" si="7"/>
        <v>2025</v>
      </c>
    </row>
    <row r="283" spans="1:3" x14ac:dyDescent="0.2">
      <c r="A283" s="3">
        <v>45813</v>
      </c>
      <c r="B283">
        <v>78.502499999999998</v>
      </c>
      <c r="C283">
        <f t="shared" si="7"/>
        <v>2025</v>
      </c>
    </row>
    <row r="284" spans="1:3" x14ac:dyDescent="0.2">
      <c r="A284" s="3">
        <v>45812</v>
      </c>
      <c r="B284">
        <v>78.854900000000001</v>
      </c>
      <c r="C284">
        <f t="shared" si="7"/>
        <v>2025</v>
      </c>
    </row>
    <row r="285" spans="1:3" x14ac:dyDescent="0.2">
      <c r="A285" s="3">
        <v>45811</v>
      </c>
      <c r="B285">
        <v>79.128500000000003</v>
      </c>
      <c r="C285">
        <f t="shared" si="7"/>
        <v>2025</v>
      </c>
    </row>
    <row r="286" spans="1:3" x14ac:dyDescent="0.2">
      <c r="A286" s="3">
        <v>45810</v>
      </c>
      <c r="B286">
        <v>78.617099999999994</v>
      </c>
      <c r="C286">
        <f t="shared" si="7"/>
        <v>2025</v>
      </c>
    </row>
    <row r="287" spans="1:3" x14ac:dyDescent="0.2">
      <c r="A287" s="3">
        <v>45809</v>
      </c>
      <c r="B287">
        <v>78.617099999999994</v>
      </c>
      <c r="C287">
        <f t="shared" si="7"/>
        <v>2025</v>
      </c>
    </row>
    <row r="288" spans="1:3" x14ac:dyDescent="0.2">
      <c r="A288" s="3">
        <v>45808</v>
      </c>
      <c r="B288">
        <v>78.617099999999994</v>
      </c>
      <c r="C288">
        <f t="shared" si="7"/>
        <v>2025</v>
      </c>
    </row>
    <row r="289" spans="1:3" x14ac:dyDescent="0.2">
      <c r="A289" s="3">
        <v>45807</v>
      </c>
      <c r="B289">
        <v>78.497</v>
      </c>
      <c r="C289">
        <f t="shared" si="7"/>
        <v>2025</v>
      </c>
    </row>
    <row r="290" spans="1:3" x14ac:dyDescent="0.2">
      <c r="A290" s="3">
        <v>45806</v>
      </c>
      <c r="B290">
        <v>79.603700000000003</v>
      </c>
      <c r="C290">
        <f t="shared" si="7"/>
        <v>2025</v>
      </c>
    </row>
    <row r="291" spans="1:3" x14ac:dyDescent="0.2">
      <c r="A291" s="3">
        <v>45805</v>
      </c>
      <c r="B291">
        <v>79.617599999999996</v>
      </c>
      <c r="C291">
        <f t="shared" si="7"/>
        <v>2025</v>
      </c>
    </row>
    <row r="292" spans="1:3" x14ac:dyDescent="0.2">
      <c r="A292" s="3">
        <v>45804</v>
      </c>
      <c r="B292">
        <v>79.658799999999999</v>
      </c>
      <c r="C292">
        <f t="shared" si="7"/>
        <v>2025</v>
      </c>
    </row>
    <row r="293" spans="1:3" x14ac:dyDescent="0.2">
      <c r="A293" s="3">
        <v>45803</v>
      </c>
      <c r="B293">
        <v>79.710800000000006</v>
      </c>
      <c r="C293">
        <f t="shared" si="7"/>
        <v>2025</v>
      </c>
    </row>
    <row r="294" spans="1:3" x14ac:dyDescent="0.2">
      <c r="A294" s="3">
        <v>45802</v>
      </c>
      <c r="B294">
        <v>79.710800000000006</v>
      </c>
      <c r="C294">
        <f t="shared" si="7"/>
        <v>2025</v>
      </c>
    </row>
    <row r="295" spans="1:3" x14ac:dyDescent="0.2">
      <c r="A295" s="3">
        <v>45801</v>
      </c>
      <c r="B295">
        <v>79.710800000000006</v>
      </c>
      <c r="C295">
        <f t="shared" si="7"/>
        <v>2025</v>
      </c>
    </row>
    <row r="296" spans="1:3" x14ac:dyDescent="0.2">
      <c r="A296" s="3">
        <v>45800</v>
      </c>
      <c r="B296">
        <v>79.735699999999994</v>
      </c>
      <c r="C296">
        <f t="shared" si="7"/>
        <v>2025</v>
      </c>
    </row>
    <row r="297" spans="1:3" x14ac:dyDescent="0.2">
      <c r="A297" s="3">
        <v>45799</v>
      </c>
      <c r="B297">
        <v>79.753</v>
      </c>
      <c r="C297">
        <f t="shared" si="7"/>
        <v>2025</v>
      </c>
    </row>
    <row r="298" spans="1:3" x14ac:dyDescent="0.2">
      <c r="A298" s="3">
        <v>45798</v>
      </c>
      <c r="B298">
        <v>80.307500000000005</v>
      </c>
      <c r="C298">
        <f t="shared" si="7"/>
        <v>2025</v>
      </c>
    </row>
    <row r="299" spans="1:3" x14ac:dyDescent="0.2">
      <c r="A299" s="3">
        <v>45797</v>
      </c>
      <c r="B299">
        <v>80.413700000000006</v>
      </c>
      <c r="C299">
        <f t="shared" si="7"/>
        <v>2025</v>
      </c>
    </row>
    <row r="300" spans="1:3" x14ac:dyDescent="0.2">
      <c r="A300" s="3">
        <v>45796</v>
      </c>
      <c r="B300">
        <v>80.768900000000002</v>
      </c>
      <c r="C300">
        <f t="shared" si="7"/>
        <v>2025</v>
      </c>
    </row>
    <row r="301" spans="1:3" x14ac:dyDescent="0.2">
      <c r="A301" s="3">
        <v>45795</v>
      </c>
      <c r="B301">
        <v>80.768900000000002</v>
      </c>
      <c r="C301">
        <f t="shared" si="7"/>
        <v>2025</v>
      </c>
    </row>
    <row r="302" spans="1:3" x14ac:dyDescent="0.2">
      <c r="A302" s="3">
        <v>45794</v>
      </c>
      <c r="B302">
        <v>80.768900000000002</v>
      </c>
      <c r="C302">
        <f t="shared" si="7"/>
        <v>2025</v>
      </c>
    </row>
    <row r="303" spans="1:3" x14ac:dyDescent="0.2">
      <c r="A303" s="3">
        <v>45793</v>
      </c>
      <c r="B303">
        <v>80.313400000000001</v>
      </c>
      <c r="C303">
        <f t="shared" si="7"/>
        <v>2025</v>
      </c>
    </row>
    <row r="304" spans="1:3" x14ac:dyDescent="0.2">
      <c r="A304" s="3">
        <v>45792</v>
      </c>
      <c r="B304">
        <v>80.223699999999994</v>
      </c>
      <c r="C304">
        <f t="shared" si="7"/>
        <v>2025</v>
      </c>
    </row>
    <row r="305" spans="1:3" x14ac:dyDescent="0.2">
      <c r="A305" s="3">
        <v>45791</v>
      </c>
      <c r="B305">
        <v>80.55</v>
      </c>
      <c r="C305">
        <f t="shared" si="7"/>
        <v>2025</v>
      </c>
    </row>
    <row r="306" spans="1:3" x14ac:dyDescent="0.2">
      <c r="A306" s="3">
        <v>45790</v>
      </c>
      <c r="B306">
        <v>80.888300000000001</v>
      </c>
      <c r="C306">
        <f t="shared" si="7"/>
        <v>2025</v>
      </c>
    </row>
    <row r="307" spans="1:3" x14ac:dyDescent="0.2">
      <c r="A307" s="3">
        <v>45789</v>
      </c>
      <c r="B307">
        <v>80.861199999999997</v>
      </c>
      <c r="C307">
        <f t="shared" si="7"/>
        <v>2025</v>
      </c>
    </row>
    <row r="308" spans="1:3" x14ac:dyDescent="0.2">
      <c r="A308" s="3">
        <v>45788</v>
      </c>
      <c r="B308">
        <v>80.861199999999997</v>
      </c>
      <c r="C308">
        <f t="shared" si="7"/>
        <v>2025</v>
      </c>
    </row>
    <row r="309" spans="1:3" x14ac:dyDescent="0.2">
      <c r="A309" s="3">
        <v>45787</v>
      </c>
      <c r="B309">
        <v>80.861199999999997</v>
      </c>
      <c r="C309">
        <f t="shared" si="7"/>
        <v>2025</v>
      </c>
    </row>
    <row r="310" spans="1:3" x14ac:dyDescent="0.2">
      <c r="A310" s="3">
        <v>45786</v>
      </c>
      <c r="B310">
        <v>80.861199999999997</v>
      </c>
      <c r="C310">
        <f t="shared" si="7"/>
        <v>2025</v>
      </c>
    </row>
    <row r="311" spans="1:3" x14ac:dyDescent="0.2">
      <c r="A311" s="3">
        <v>45785</v>
      </c>
      <c r="B311">
        <v>80.861199999999997</v>
      </c>
      <c r="C311">
        <f t="shared" si="7"/>
        <v>2025</v>
      </c>
    </row>
    <row r="312" spans="1:3" x14ac:dyDescent="0.2">
      <c r="A312" s="3">
        <v>45784</v>
      </c>
      <c r="B312">
        <v>80.964399999999998</v>
      </c>
      <c r="C312">
        <f t="shared" si="7"/>
        <v>2025</v>
      </c>
    </row>
    <row r="313" spans="1:3" x14ac:dyDescent="0.2">
      <c r="A313" s="3">
        <v>45783</v>
      </c>
      <c r="B313">
        <v>81.913700000000006</v>
      </c>
      <c r="C313">
        <f t="shared" si="7"/>
        <v>2025</v>
      </c>
    </row>
    <row r="314" spans="1:3" x14ac:dyDescent="0.2">
      <c r="A314" s="3">
        <v>45782</v>
      </c>
      <c r="B314">
        <v>81.493300000000005</v>
      </c>
      <c r="C314">
        <f t="shared" si="7"/>
        <v>2025</v>
      </c>
    </row>
    <row r="315" spans="1:3" x14ac:dyDescent="0.2">
      <c r="A315" s="3">
        <v>45779</v>
      </c>
      <c r="B315">
        <v>81.493300000000005</v>
      </c>
      <c r="C315">
        <f t="shared" si="7"/>
        <v>2025</v>
      </c>
    </row>
    <row r="316" spans="1:3" x14ac:dyDescent="0.2">
      <c r="A316" s="3">
        <v>45778</v>
      </c>
      <c r="B316">
        <v>81.493300000000005</v>
      </c>
      <c r="C316">
        <f t="shared" si="7"/>
        <v>2025</v>
      </c>
    </row>
    <row r="317" spans="1:3" x14ac:dyDescent="0.2">
      <c r="A317" s="3">
        <v>45777</v>
      </c>
      <c r="B317">
        <v>81.561599999999999</v>
      </c>
      <c r="C317">
        <f t="shared" si="7"/>
        <v>2025</v>
      </c>
    </row>
    <row r="318" spans="1:3" x14ac:dyDescent="0.2">
      <c r="A318" s="3">
        <v>45776</v>
      </c>
      <c r="B318">
        <v>82.546700000000001</v>
      </c>
      <c r="C318">
        <f t="shared" si="7"/>
        <v>2025</v>
      </c>
    </row>
    <row r="319" spans="1:3" x14ac:dyDescent="0.2">
      <c r="A319" s="3">
        <v>45775</v>
      </c>
      <c r="B319">
        <v>82.654899999999998</v>
      </c>
      <c r="C319">
        <f t="shared" si="7"/>
        <v>2025</v>
      </c>
    </row>
    <row r="320" spans="1:3" x14ac:dyDescent="0.2">
      <c r="A320" s="3">
        <v>45774</v>
      </c>
      <c r="B320">
        <v>82.654899999999998</v>
      </c>
      <c r="C320">
        <f t="shared" si="7"/>
        <v>2025</v>
      </c>
    </row>
    <row r="321" spans="1:3" x14ac:dyDescent="0.2">
      <c r="A321" s="3">
        <v>45773</v>
      </c>
      <c r="B321">
        <v>82.654899999999998</v>
      </c>
      <c r="C321">
        <f t="shared" si="7"/>
        <v>2025</v>
      </c>
    </row>
    <row r="322" spans="1:3" x14ac:dyDescent="0.2">
      <c r="A322" s="3">
        <v>45772</v>
      </c>
      <c r="B322">
        <v>82.855900000000005</v>
      </c>
      <c r="C322">
        <f t="shared" si="7"/>
        <v>2025</v>
      </c>
    </row>
    <row r="323" spans="1:3" x14ac:dyDescent="0.2">
      <c r="A323" s="3">
        <v>45771</v>
      </c>
      <c r="B323">
        <v>82.363699999999994</v>
      </c>
      <c r="C323">
        <f t="shared" si="7"/>
        <v>2025</v>
      </c>
    </row>
    <row r="324" spans="1:3" x14ac:dyDescent="0.2">
      <c r="A324" s="3">
        <v>45770</v>
      </c>
      <c r="B324">
        <v>81.462000000000003</v>
      </c>
      <c r="C324">
        <f t="shared" ref="C324:C387" si="8">YEAR(A324)</f>
        <v>2025</v>
      </c>
    </row>
    <row r="325" spans="1:3" x14ac:dyDescent="0.2">
      <c r="A325" s="3">
        <v>45769</v>
      </c>
      <c r="B325">
        <v>80.759699999999995</v>
      </c>
      <c r="C325">
        <f t="shared" si="8"/>
        <v>2025</v>
      </c>
    </row>
    <row r="326" spans="1:3" x14ac:dyDescent="0.2">
      <c r="A326" s="3">
        <v>45768</v>
      </c>
      <c r="B326">
        <v>81.137100000000004</v>
      </c>
      <c r="C326">
        <f t="shared" si="8"/>
        <v>2025</v>
      </c>
    </row>
    <row r="327" spans="1:3" x14ac:dyDescent="0.2">
      <c r="A327" s="3">
        <v>45767</v>
      </c>
      <c r="B327">
        <v>81.137100000000004</v>
      </c>
      <c r="C327">
        <f t="shared" si="8"/>
        <v>2025</v>
      </c>
    </row>
    <row r="328" spans="1:3" x14ac:dyDescent="0.2">
      <c r="A328" s="3">
        <v>45766</v>
      </c>
      <c r="B328">
        <v>81.137100000000004</v>
      </c>
      <c r="C328">
        <f t="shared" si="8"/>
        <v>2025</v>
      </c>
    </row>
    <row r="329" spans="1:3" x14ac:dyDescent="0.2">
      <c r="A329" s="3">
        <v>45765</v>
      </c>
      <c r="B329">
        <v>82.02</v>
      </c>
      <c r="C329">
        <f t="shared" si="8"/>
        <v>2025</v>
      </c>
    </row>
    <row r="330" spans="1:3" x14ac:dyDescent="0.2">
      <c r="A330" s="3">
        <v>45764</v>
      </c>
      <c r="B330">
        <v>82.589200000000005</v>
      </c>
      <c r="C330">
        <f t="shared" si="8"/>
        <v>2025</v>
      </c>
    </row>
    <row r="331" spans="1:3" x14ac:dyDescent="0.2">
      <c r="A331" s="3">
        <v>45763</v>
      </c>
      <c r="B331">
        <v>82.300299999999993</v>
      </c>
      <c r="C331">
        <f t="shared" si="8"/>
        <v>2025</v>
      </c>
    </row>
    <row r="332" spans="1:3" x14ac:dyDescent="0.2">
      <c r="A332" s="3">
        <v>45762</v>
      </c>
      <c r="B332">
        <v>82.767099999999999</v>
      </c>
      <c r="C332">
        <f t="shared" si="8"/>
        <v>2025</v>
      </c>
    </row>
    <row r="333" spans="1:3" x14ac:dyDescent="0.2">
      <c r="A333" s="3">
        <v>45761</v>
      </c>
      <c r="B333">
        <v>84.004000000000005</v>
      </c>
      <c r="C333">
        <f t="shared" si="8"/>
        <v>2025</v>
      </c>
    </row>
    <row r="334" spans="1:3" x14ac:dyDescent="0.2">
      <c r="A334" s="3">
        <v>45760</v>
      </c>
      <c r="B334">
        <v>84.004000000000005</v>
      </c>
      <c r="C334">
        <f t="shared" si="8"/>
        <v>2025</v>
      </c>
    </row>
    <row r="335" spans="1:3" x14ac:dyDescent="0.2">
      <c r="A335" s="3">
        <v>45759</v>
      </c>
      <c r="B335">
        <v>84.004000000000005</v>
      </c>
      <c r="C335">
        <f t="shared" si="8"/>
        <v>2025</v>
      </c>
    </row>
    <row r="336" spans="1:3" x14ac:dyDescent="0.2">
      <c r="A336" s="3">
        <v>45758</v>
      </c>
      <c r="B336">
        <v>85.015900000000002</v>
      </c>
      <c r="C336">
        <f t="shared" si="8"/>
        <v>2025</v>
      </c>
    </row>
    <row r="337" spans="1:3" x14ac:dyDescent="0.2">
      <c r="A337" s="3">
        <v>45757</v>
      </c>
      <c r="B337">
        <v>86.092299999999994</v>
      </c>
      <c r="C337">
        <f t="shared" si="8"/>
        <v>2025</v>
      </c>
    </row>
    <row r="338" spans="1:3" x14ac:dyDescent="0.2">
      <c r="A338" s="3">
        <v>45756</v>
      </c>
      <c r="B338">
        <v>85.464100000000002</v>
      </c>
      <c r="C338">
        <f t="shared" si="8"/>
        <v>2025</v>
      </c>
    </row>
    <row r="339" spans="1:3" x14ac:dyDescent="0.2">
      <c r="A339" s="3">
        <v>45755</v>
      </c>
      <c r="B339">
        <v>86.189099999999996</v>
      </c>
      <c r="C339">
        <f t="shared" si="8"/>
        <v>2025</v>
      </c>
    </row>
    <row r="340" spans="1:3" x14ac:dyDescent="0.2">
      <c r="A340" s="3">
        <v>45754</v>
      </c>
      <c r="B340">
        <v>84.2774</v>
      </c>
      <c r="C340">
        <f t="shared" si="8"/>
        <v>2025</v>
      </c>
    </row>
    <row r="341" spans="1:3" x14ac:dyDescent="0.2">
      <c r="A341" s="3">
        <v>45753</v>
      </c>
      <c r="B341">
        <v>84.2774</v>
      </c>
      <c r="C341">
        <f t="shared" si="8"/>
        <v>2025</v>
      </c>
    </row>
    <row r="342" spans="1:3" x14ac:dyDescent="0.2">
      <c r="A342" s="3">
        <v>45752</v>
      </c>
      <c r="B342">
        <v>84.2774</v>
      </c>
      <c r="C342">
        <f t="shared" si="8"/>
        <v>2025</v>
      </c>
    </row>
    <row r="343" spans="1:3" x14ac:dyDescent="0.2">
      <c r="A343" s="3">
        <v>45751</v>
      </c>
      <c r="B343">
        <v>84.382999999999996</v>
      </c>
      <c r="C343">
        <f t="shared" si="8"/>
        <v>2025</v>
      </c>
    </row>
    <row r="344" spans="1:3" x14ac:dyDescent="0.2">
      <c r="A344" s="3">
        <v>45750</v>
      </c>
      <c r="B344">
        <v>84.552199999999999</v>
      </c>
      <c r="C344">
        <f t="shared" si="8"/>
        <v>2025</v>
      </c>
    </row>
    <row r="345" spans="1:3" x14ac:dyDescent="0.2">
      <c r="A345" s="3">
        <v>45749</v>
      </c>
      <c r="B345">
        <v>84.870699999999999</v>
      </c>
      <c r="C345">
        <f t="shared" si="8"/>
        <v>2025</v>
      </c>
    </row>
    <row r="346" spans="1:3" x14ac:dyDescent="0.2">
      <c r="A346" s="3">
        <v>45748</v>
      </c>
      <c r="B346">
        <v>85.496300000000005</v>
      </c>
      <c r="C346">
        <f t="shared" si="8"/>
        <v>2025</v>
      </c>
    </row>
    <row r="347" spans="1:3" x14ac:dyDescent="0.2">
      <c r="A347" s="3">
        <v>45747</v>
      </c>
      <c r="B347">
        <v>83.681299999999993</v>
      </c>
      <c r="C347">
        <f t="shared" si="8"/>
        <v>2025</v>
      </c>
    </row>
    <row r="348" spans="1:3" x14ac:dyDescent="0.2">
      <c r="A348" s="3">
        <v>45746</v>
      </c>
      <c r="B348">
        <v>83.681299999999993</v>
      </c>
      <c r="C348">
        <f t="shared" si="8"/>
        <v>2025</v>
      </c>
    </row>
    <row r="349" spans="1:3" x14ac:dyDescent="0.2">
      <c r="A349" s="3">
        <v>45745</v>
      </c>
      <c r="B349">
        <v>83.681299999999993</v>
      </c>
      <c r="C349">
        <f t="shared" si="8"/>
        <v>2025</v>
      </c>
    </row>
    <row r="350" spans="1:3" x14ac:dyDescent="0.2">
      <c r="A350" s="3">
        <v>45744</v>
      </c>
      <c r="B350">
        <v>83.834699999999998</v>
      </c>
      <c r="C350">
        <f t="shared" si="8"/>
        <v>2025</v>
      </c>
    </row>
    <row r="351" spans="1:3" x14ac:dyDescent="0.2">
      <c r="A351" s="3">
        <v>45743</v>
      </c>
      <c r="B351">
        <v>84.206500000000005</v>
      </c>
      <c r="C351">
        <f t="shared" si="8"/>
        <v>2025</v>
      </c>
    </row>
    <row r="352" spans="1:3" x14ac:dyDescent="0.2">
      <c r="A352" s="3">
        <v>45742</v>
      </c>
      <c r="B352">
        <v>84.192999999999998</v>
      </c>
      <c r="C352">
        <f t="shared" si="8"/>
        <v>2025</v>
      </c>
    </row>
    <row r="353" spans="1:3" x14ac:dyDescent="0.2">
      <c r="A353" s="3">
        <v>45741</v>
      </c>
      <c r="B353">
        <v>83.873699999999999</v>
      </c>
      <c r="C353">
        <f t="shared" si="8"/>
        <v>2025</v>
      </c>
    </row>
    <row r="354" spans="1:3" x14ac:dyDescent="0.2">
      <c r="A354" s="3">
        <v>45740</v>
      </c>
      <c r="B354">
        <v>84.64</v>
      </c>
      <c r="C354">
        <f t="shared" si="8"/>
        <v>2025</v>
      </c>
    </row>
    <row r="355" spans="1:3" x14ac:dyDescent="0.2">
      <c r="A355" s="3">
        <v>45739</v>
      </c>
      <c r="B355">
        <v>84.64</v>
      </c>
      <c r="C355">
        <f t="shared" si="8"/>
        <v>2025</v>
      </c>
    </row>
    <row r="356" spans="1:3" x14ac:dyDescent="0.2">
      <c r="A356" s="3">
        <v>45738</v>
      </c>
      <c r="B356">
        <v>84.64</v>
      </c>
      <c r="C356">
        <f t="shared" si="8"/>
        <v>2025</v>
      </c>
    </row>
    <row r="357" spans="1:3" x14ac:dyDescent="0.2">
      <c r="A357" s="3">
        <v>45737</v>
      </c>
      <c r="B357">
        <v>84.395499999999998</v>
      </c>
      <c r="C357">
        <f t="shared" si="8"/>
        <v>2025</v>
      </c>
    </row>
    <row r="358" spans="1:3" x14ac:dyDescent="0.2">
      <c r="A358" s="3">
        <v>45736</v>
      </c>
      <c r="B358">
        <v>82.848699999999994</v>
      </c>
      <c r="C358">
        <f t="shared" si="8"/>
        <v>2025</v>
      </c>
    </row>
    <row r="359" spans="1:3" x14ac:dyDescent="0.2">
      <c r="A359" s="3">
        <v>45735</v>
      </c>
      <c r="B359">
        <v>81.501800000000003</v>
      </c>
      <c r="C359">
        <f t="shared" si="8"/>
        <v>2025</v>
      </c>
    </row>
    <row r="360" spans="1:3" x14ac:dyDescent="0.2">
      <c r="A360" s="3">
        <v>45734</v>
      </c>
      <c r="B360">
        <v>84.305899999999994</v>
      </c>
      <c r="C360">
        <f t="shared" si="8"/>
        <v>2025</v>
      </c>
    </row>
    <row r="361" spans="1:3" x14ac:dyDescent="0.2">
      <c r="A361" s="3">
        <v>45733</v>
      </c>
      <c r="B361">
        <v>85.569400000000002</v>
      </c>
      <c r="C361">
        <f t="shared" si="8"/>
        <v>2025</v>
      </c>
    </row>
    <row r="362" spans="1:3" x14ac:dyDescent="0.2">
      <c r="A362" s="3">
        <v>45732</v>
      </c>
      <c r="B362">
        <v>85.569400000000002</v>
      </c>
      <c r="C362">
        <f t="shared" si="8"/>
        <v>2025</v>
      </c>
    </row>
    <row r="363" spans="1:3" x14ac:dyDescent="0.2">
      <c r="A363" s="3">
        <v>45731</v>
      </c>
      <c r="B363">
        <v>85.569400000000002</v>
      </c>
      <c r="C363">
        <f t="shared" si="8"/>
        <v>2025</v>
      </c>
    </row>
    <row r="364" spans="1:3" x14ac:dyDescent="0.2">
      <c r="A364" s="3">
        <v>45730</v>
      </c>
      <c r="B364">
        <v>86.619</v>
      </c>
      <c r="C364">
        <f t="shared" si="8"/>
        <v>2025</v>
      </c>
    </row>
    <row r="365" spans="1:3" x14ac:dyDescent="0.2">
      <c r="A365" s="3">
        <v>45729</v>
      </c>
      <c r="B365">
        <v>86.620400000000004</v>
      </c>
      <c r="C365">
        <f t="shared" si="8"/>
        <v>2025</v>
      </c>
    </row>
    <row r="366" spans="1:3" x14ac:dyDescent="0.2">
      <c r="A366" s="3">
        <v>45728</v>
      </c>
      <c r="B366">
        <v>86.566900000000004</v>
      </c>
      <c r="C366">
        <f t="shared" si="8"/>
        <v>2025</v>
      </c>
    </row>
    <row r="367" spans="1:3" x14ac:dyDescent="0.2">
      <c r="A367" s="3">
        <v>45727</v>
      </c>
      <c r="B367">
        <v>88.387200000000007</v>
      </c>
      <c r="C367">
        <f t="shared" si="8"/>
        <v>2025</v>
      </c>
    </row>
    <row r="368" spans="1:3" x14ac:dyDescent="0.2">
      <c r="A368" s="3">
        <v>45726</v>
      </c>
      <c r="B368">
        <v>89.136200000000002</v>
      </c>
      <c r="C368">
        <f t="shared" si="8"/>
        <v>2025</v>
      </c>
    </row>
    <row r="369" spans="1:3" x14ac:dyDescent="0.2">
      <c r="A369" s="3">
        <v>45725</v>
      </c>
      <c r="B369">
        <v>89.136200000000002</v>
      </c>
      <c r="C369">
        <f t="shared" si="8"/>
        <v>2025</v>
      </c>
    </row>
    <row r="370" spans="1:3" x14ac:dyDescent="0.2">
      <c r="A370" s="3">
        <v>45724</v>
      </c>
      <c r="B370">
        <v>89.136200000000002</v>
      </c>
      <c r="C370">
        <f t="shared" si="8"/>
        <v>2025</v>
      </c>
    </row>
    <row r="371" spans="1:3" x14ac:dyDescent="0.2">
      <c r="A371" s="3">
        <v>45723</v>
      </c>
      <c r="B371">
        <v>89.572400000000002</v>
      </c>
      <c r="C371">
        <f t="shared" si="8"/>
        <v>2025</v>
      </c>
    </row>
    <row r="372" spans="1:3" x14ac:dyDescent="0.2">
      <c r="A372" s="3">
        <v>45722</v>
      </c>
      <c r="B372">
        <v>89.787800000000004</v>
      </c>
      <c r="C372">
        <f t="shared" si="8"/>
        <v>2025</v>
      </c>
    </row>
    <row r="373" spans="1:3" x14ac:dyDescent="0.2">
      <c r="A373" s="3">
        <v>45721</v>
      </c>
      <c r="B373">
        <v>89.244799999999998</v>
      </c>
      <c r="C373">
        <f t="shared" si="8"/>
        <v>2025</v>
      </c>
    </row>
    <row r="374" spans="1:3" x14ac:dyDescent="0.2">
      <c r="A374" s="3">
        <v>45720</v>
      </c>
      <c r="B374">
        <v>89.249700000000004</v>
      </c>
      <c r="C374">
        <f t="shared" si="8"/>
        <v>2025</v>
      </c>
    </row>
    <row r="375" spans="1:3" x14ac:dyDescent="0.2">
      <c r="A375" s="3">
        <v>45719</v>
      </c>
      <c r="B375">
        <v>88.256799999999998</v>
      </c>
      <c r="C375">
        <f t="shared" si="8"/>
        <v>2025</v>
      </c>
    </row>
    <row r="376" spans="1:3" x14ac:dyDescent="0.2">
      <c r="A376" s="3">
        <v>45718</v>
      </c>
      <c r="B376">
        <v>88.256799999999998</v>
      </c>
      <c r="C376">
        <f t="shared" si="8"/>
        <v>2025</v>
      </c>
    </row>
    <row r="377" spans="1:3" x14ac:dyDescent="0.2">
      <c r="A377" s="3">
        <v>45717</v>
      </c>
      <c r="B377">
        <v>88.256799999999998</v>
      </c>
      <c r="C377">
        <f t="shared" si="8"/>
        <v>2025</v>
      </c>
    </row>
    <row r="378" spans="1:3" x14ac:dyDescent="0.2">
      <c r="A378" s="3">
        <v>45716</v>
      </c>
      <c r="B378">
        <v>87.696700000000007</v>
      </c>
      <c r="C378">
        <f t="shared" si="8"/>
        <v>2025</v>
      </c>
    </row>
    <row r="379" spans="1:3" x14ac:dyDescent="0.2">
      <c r="A379" s="3">
        <v>45715</v>
      </c>
      <c r="B379">
        <v>85.927899999999994</v>
      </c>
      <c r="C379">
        <f t="shared" si="8"/>
        <v>2025</v>
      </c>
    </row>
    <row r="380" spans="1:3" x14ac:dyDescent="0.2">
      <c r="A380" s="3">
        <v>45714</v>
      </c>
      <c r="B380">
        <v>86.631799999999998</v>
      </c>
      <c r="C380">
        <f t="shared" si="8"/>
        <v>2025</v>
      </c>
    </row>
    <row r="381" spans="1:3" x14ac:dyDescent="0.2">
      <c r="A381" s="3">
        <v>45713</v>
      </c>
      <c r="B381">
        <v>88.206500000000005</v>
      </c>
      <c r="C381">
        <f t="shared" si="8"/>
        <v>2025</v>
      </c>
    </row>
    <row r="382" spans="1:3" x14ac:dyDescent="0.2">
      <c r="A382" s="3">
        <v>45712</v>
      </c>
      <c r="B382">
        <v>88.167599999999993</v>
      </c>
      <c r="C382">
        <f t="shared" si="8"/>
        <v>2025</v>
      </c>
    </row>
    <row r="383" spans="1:3" x14ac:dyDescent="0.2">
      <c r="A383" s="3">
        <v>45711</v>
      </c>
      <c r="B383">
        <v>88.167599999999993</v>
      </c>
      <c r="C383">
        <f t="shared" si="8"/>
        <v>2025</v>
      </c>
    </row>
    <row r="384" spans="1:3" x14ac:dyDescent="0.2">
      <c r="A384" s="3">
        <v>45710</v>
      </c>
      <c r="B384">
        <v>88.167599999999993</v>
      </c>
      <c r="C384">
        <f t="shared" si="8"/>
        <v>2025</v>
      </c>
    </row>
    <row r="385" spans="1:3" x14ac:dyDescent="0.2">
      <c r="A385" s="3">
        <v>45709</v>
      </c>
      <c r="B385">
        <v>88.510300000000001</v>
      </c>
      <c r="C385">
        <f t="shared" si="8"/>
        <v>2025</v>
      </c>
    </row>
    <row r="386" spans="1:3" x14ac:dyDescent="0.2">
      <c r="A386" s="3">
        <v>45708</v>
      </c>
      <c r="B386">
        <v>90.4268</v>
      </c>
      <c r="C386">
        <f t="shared" si="8"/>
        <v>2025</v>
      </c>
    </row>
    <row r="387" spans="1:3" x14ac:dyDescent="0.2">
      <c r="A387" s="3">
        <v>45707</v>
      </c>
      <c r="B387">
        <v>91.339799999999997</v>
      </c>
      <c r="C387">
        <f t="shared" si="8"/>
        <v>2025</v>
      </c>
    </row>
    <row r="388" spans="1:3" x14ac:dyDescent="0.2">
      <c r="A388" s="3">
        <v>45706</v>
      </c>
      <c r="B388">
        <v>91.434700000000007</v>
      </c>
      <c r="C388">
        <f t="shared" ref="C388:C451" si="9">YEAR(A388)</f>
        <v>2025</v>
      </c>
    </row>
    <row r="389" spans="1:3" x14ac:dyDescent="0.2">
      <c r="A389" s="3">
        <v>45705</v>
      </c>
      <c r="B389">
        <v>90.309899999999999</v>
      </c>
      <c r="C389">
        <f t="shared" si="9"/>
        <v>2025</v>
      </c>
    </row>
    <row r="390" spans="1:3" x14ac:dyDescent="0.2">
      <c r="A390" s="3">
        <v>45704</v>
      </c>
      <c r="B390">
        <v>90.309899999999999</v>
      </c>
      <c r="C390">
        <f t="shared" si="9"/>
        <v>2025</v>
      </c>
    </row>
    <row r="391" spans="1:3" x14ac:dyDescent="0.2">
      <c r="A391" s="3">
        <v>45703</v>
      </c>
      <c r="B391">
        <v>90.309899999999999</v>
      </c>
      <c r="C391">
        <f t="shared" si="9"/>
        <v>2025</v>
      </c>
    </row>
    <row r="392" spans="1:3" x14ac:dyDescent="0.2">
      <c r="A392" s="3">
        <v>45702</v>
      </c>
      <c r="B392">
        <v>91.031300000000002</v>
      </c>
      <c r="C392">
        <f t="shared" si="9"/>
        <v>2025</v>
      </c>
    </row>
    <row r="393" spans="1:3" x14ac:dyDescent="0.2">
      <c r="A393" s="3">
        <v>45701</v>
      </c>
      <c r="B393">
        <v>94.048500000000004</v>
      </c>
      <c r="C393">
        <f t="shared" si="9"/>
        <v>2025</v>
      </c>
    </row>
    <row r="394" spans="1:3" x14ac:dyDescent="0.2">
      <c r="A394" s="3">
        <v>45700</v>
      </c>
      <c r="B394">
        <v>95.802400000000006</v>
      </c>
      <c r="C394">
        <f t="shared" si="9"/>
        <v>2025</v>
      </c>
    </row>
    <row r="395" spans="1:3" x14ac:dyDescent="0.2">
      <c r="A395" s="3">
        <v>45699</v>
      </c>
      <c r="B395">
        <v>96.7821</v>
      </c>
      <c r="C395">
        <f t="shared" si="9"/>
        <v>2025</v>
      </c>
    </row>
    <row r="396" spans="1:3" x14ac:dyDescent="0.2">
      <c r="A396" s="3">
        <v>45698</v>
      </c>
      <c r="B396">
        <v>97.276200000000003</v>
      </c>
      <c r="C396">
        <f t="shared" si="9"/>
        <v>2025</v>
      </c>
    </row>
    <row r="397" spans="1:3" x14ac:dyDescent="0.2">
      <c r="A397" s="3">
        <v>45697</v>
      </c>
      <c r="B397">
        <v>97.276200000000003</v>
      </c>
      <c r="C397">
        <f t="shared" si="9"/>
        <v>2025</v>
      </c>
    </row>
    <row r="398" spans="1:3" x14ac:dyDescent="0.2">
      <c r="A398" s="3">
        <v>45696</v>
      </c>
      <c r="B398">
        <v>97.276200000000003</v>
      </c>
      <c r="C398">
        <f t="shared" si="9"/>
        <v>2025</v>
      </c>
    </row>
    <row r="399" spans="1:3" x14ac:dyDescent="0.2">
      <c r="A399" s="3">
        <v>45695</v>
      </c>
      <c r="B399">
        <v>96.910399999999996</v>
      </c>
      <c r="C399">
        <f t="shared" si="9"/>
        <v>2025</v>
      </c>
    </row>
    <row r="400" spans="1:3" x14ac:dyDescent="0.2">
      <c r="A400" s="3">
        <v>45694</v>
      </c>
      <c r="B400">
        <v>98.055599999999998</v>
      </c>
      <c r="C400">
        <f t="shared" si="9"/>
        <v>2025</v>
      </c>
    </row>
    <row r="401" spans="1:3" x14ac:dyDescent="0.2">
      <c r="A401" s="3">
        <v>45693</v>
      </c>
      <c r="B401">
        <v>98.533600000000007</v>
      </c>
      <c r="C401">
        <f t="shared" si="9"/>
        <v>2025</v>
      </c>
    </row>
    <row r="402" spans="1:3" x14ac:dyDescent="0.2">
      <c r="A402" s="3">
        <v>45692</v>
      </c>
      <c r="B402">
        <v>99.943299999999994</v>
      </c>
      <c r="C402">
        <f t="shared" si="9"/>
        <v>2025</v>
      </c>
    </row>
    <row r="403" spans="1:3" x14ac:dyDescent="0.2">
      <c r="A403" s="3">
        <v>45691</v>
      </c>
      <c r="B403">
        <v>97.810699999999997</v>
      </c>
      <c r="C403">
        <f t="shared" si="9"/>
        <v>2025</v>
      </c>
    </row>
    <row r="404" spans="1:3" x14ac:dyDescent="0.2">
      <c r="A404" s="3">
        <v>45690</v>
      </c>
      <c r="B404">
        <v>97.810699999999997</v>
      </c>
      <c r="C404">
        <f t="shared" si="9"/>
        <v>2025</v>
      </c>
    </row>
    <row r="405" spans="1:3" x14ac:dyDescent="0.2">
      <c r="A405" s="3">
        <v>45689</v>
      </c>
      <c r="B405">
        <v>97.810699999999997</v>
      </c>
      <c r="C405">
        <f t="shared" si="9"/>
        <v>2025</v>
      </c>
    </row>
    <row r="406" spans="1:3" x14ac:dyDescent="0.2">
      <c r="A406" s="3">
        <v>45688</v>
      </c>
      <c r="B406">
        <v>98.006200000000007</v>
      </c>
      <c r="C406">
        <f t="shared" si="9"/>
        <v>2025</v>
      </c>
    </row>
    <row r="407" spans="1:3" x14ac:dyDescent="0.2">
      <c r="A407" s="3">
        <v>45687</v>
      </c>
      <c r="B407">
        <v>98.012600000000006</v>
      </c>
      <c r="C407">
        <f t="shared" si="9"/>
        <v>2025</v>
      </c>
    </row>
    <row r="408" spans="1:3" x14ac:dyDescent="0.2">
      <c r="A408" s="3">
        <v>45686</v>
      </c>
      <c r="B408">
        <v>97.965800000000002</v>
      </c>
      <c r="C408">
        <f t="shared" si="9"/>
        <v>2025</v>
      </c>
    </row>
    <row r="409" spans="1:3" x14ac:dyDescent="0.2">
      <c r="A409" s="3">
        <v>45685</v>
      </c>
      <c r="B409">
        <v>97.132000000000005</v>
      </c>
      <c r="C409">
        <f t="shared" si="9"/>
        <v>2025</v>
      </c>
    </row>
    <row r="410" spans="1:3" x14ac:dyDescent="0.2">
      <c r="A410" s="3">
        <v>45684</v>
      </c>
      <c r="B410">
        <v>98.263599999999997</v>
      </c>
      <c r="C410">
        <f t="shared" si="9"/>
        <v>2025</v>
      </c>
    </row>
    <row r="411" spans="1:3" x14ac:dyDescent="0.2">
      <c r="A411" s="3">
        <v>45683</v>
      </c>
      <c r="B411">
        <v>98.263599999999997</v>
      </c>
      <c r="C411">
        <f t="shared" si="9"/>
        <v>2025</v>
      </c>
    </row>
    <row r="412" spans="1:3" x14ac:dyDescent="0.2">
      <c r="A412" s="3">
        <v>45682</v>
      </c>
      <c r="B412">
        <v>98.263599999999997</v>
      </c>
      <c r="C412">
        <f t="shared" si="9"/>
        <v>2025</v>
      </c>
    </row>
    <row r="413" spans="1:3" x14ac:dyDescent="0.2">
      <c r="A413" s="3">
        <v>45681</v>
      </c>
      <c r="B413">
        <v>99.097800000000007</v>
      </c>
      <c r="C413">
        <f t="shared" si="9"/>
        <v>2025</v>
      </c>
    </row>
    <row r="414" spans="1:3" x14ac:dyDescent="0.2">
      <c r="A414" s="3">
        <v>45680</v>
      </c>
      <c r="B414">
        <v>98.2804</v>
      </c>
      <c r="C414">
        <f t="shared" si="9"/>
        <v>2025</v>
      </c>
    </row>
    <row r="415" spans="1:3" x14ac:dyDescent="0.2">
      <c r="A415" s="3">
        <v>45679</v>
      </c>
      <c r="B415">
        <v>99.928200000000004</v>
      </c>
      <c r="C415">
        <f t="shared" si="9"/>
        <v>2025</v>
      </c>
    </row>
    <row r="416" spans="1:3" x14ac:dyDescent="0.2">
      <c r="A416" s="3">
        <v>45678</v>
      </c>
      <c r="B416">
        <v>101.9579</v>
      </c>
      <c r="C416">
        <f t="shared" si="9"/>
        <v>2025</v>
      </c>
    </row>
    <row r="417" spans="1:3" x14ac:dyDescent="0.2">
      <c r="A417" s="3">
        <v>45677</v>
      </c>
      <c r="B417">
        <v>102.41370000000001</v>
      </c>
      <c r="C417">
        <f t="shared" si="9"/>
        <v>2025</v>
      </c>
    </row>
    <row r="418" spans="1:3" x14ac:dyDescent="0.2">
      <c r="A418" s="3">
        <v>45676</v>
      </c>
      <c r="B418">
        <v>102.41370000000001</v>
      </c>
      <c r="C418">
        <f t="shared" si="9"/>
        <v>2025</v>
      </c>
    </row>
    <row r="419" spans="1:3" x14ac:dyDescent="0.2">
      <c r="A419" s="3">
        <v>45675</v>
      </c>
      <c r="B419">
        <v>102.41370000000001</v>
      </c>
      <c r="C419">
        <f t="shared" si="9"/>
        <v>2025</v>
      </c>
    </row>
    <row r="420" spans="1:3" x14ac:dyDescent="0.2">
      <c r="A420" s="3">
        <v>45674</v>
      </c>
      <c r="B420">
        <v>102.3762</v>
      </c>
      <c r="C420">
        <f t="shared" si="9"/>
        <v>2025</v>
      </c>
    </row>
    <row r="421" spans="1:3" x14ac:dyDescent="0.2">
      <c r="A421" s="3">
        <v>45673</v>
      </c>
      <c r="B421">
        <v>102.8078</v>
      </c>
      <c r="C421">
        <f t="shared" si="9"/>
        <v>2025</v>
      </c>
    </row>
    <row r="422" spans="1:3" x14ac:dyDescent="0.2">
      <c r="A422" s="3">
        <v>45672</v>
      </c>
      <c r="B422">
        <v>103.438</v>
      </c>
      <c r="C422">
        <f t="shared" si="9"/>
        <v>2025</v>
      </c>
    </row>
    <row r="423" spans="1:3" x14ac:dyDescent="0.2">
      <c r="A423" s="3">
        <v>45671</v>
      </c>
      <c r="B423">
        <v>102.7081</v>
      </c>
      <c r="C423">
        <f t="shared" si="9"/>
        <v>2025</v>
      </c>
    </row>
    <row r="424" spans="1:3" x14ac:dyDescent="0.2">
      <c r="A424" s="3">
        <v>45670</v>
      </c>
      <c r="B424">
        <v>101.91459999999999</v>
      </c>
      <c r="C424">
        <f t="shared" si="9"/>
        <v>2025</v>
      </c>
    </row>
    <row r="425" spans="1:3" x14ac:dyDescent="0.2">
      <c r="A425" s="3">
        <v>45669</v>
      </c>
      <c r="B425">
        <v>101.91459999999999</v>
      </c>
      <c r="C425">
        <f t="shared" si="9"/>
        <v>2025</v>
      </c>
    </row>
    <row r="426" spans="1:3" x14ac:dyDescent="0.2">
      <c r="A426" s="3">
        <v>45668</v>
      </c>
      <c r="B426">
        <v>101.91459999999999</v>
      </c>
      <c r="C426">
        <f t="shared" si="9"/>
        <v>2025</v>
      </c>
    </row>
    <row r="427" spans="1:3" x14ac:dyDescent="0.2">
      <c r="A427" s="3">
        <v>45667</v>
      </c>
      <c r="B427">
        <v>102.2911</v>
      </c>
      <c r="C427">
        <f t="shared" si="9"/>
        <v>2025</v>
      </c>
    </row>
    <row r="428" spans="1:3" x14ac:dyDescent="0.2">
      <c r="A428" s="3">
        <v>45659</v>
      </c>
      <c r="B428">
        <v>100.52809999999999</v>
      </c>
      <c r="C428">
        <f t="shared" si="9"/>
        <v>2025</v>
      </c>
    </row>
    <row r="429" spans="1:3" x14ac:dyDescent="0.2">
      <c r="A429" s="3">
        <v>45658</v>
      </c>
      <c r="B429">
        <v>100.52809999999999</v>
      </c>
      <c r="C429">
        <f t="shared" si="9"/>
        <v>2025</v>
      </c>
    </row>
    <row r="430" spans="1:3" x14ac:dyDescent="0.2">
      <c r="A430" s="3">
        <v>45657</v>
      </c>
      <c r="B430">
        <v>100.52809999999999</v>
      </c>
      <c r="C430">
        <f t="shared" si="9"/>
        <v>2024</v>
      </c>
    </row>
    <row r="431" spans="1:3" x14ac:dyDescent="0.2">
      <c r="A431" s="3">
        <v>45656</v>
      </c>
      <c r="B431">
        <v>101.6797</v>
      </c>
      <c r="C431">
        <f t="shared" si="9"/>
        <v>2024</v>
      </c>
    </row>
    <row r="432" spans="1:3" x14ac:dyDescent="0.2">
      <c r="A432" s="3">
        <v>45655</v>
      </c>
      <c r="B432">
        <v>101.6797</v>
      </c>
      <c r="C432">
        <f t="shared" si="9"/>
        <v>2024</v>
      </c>
    </row>
    <row r="433" spans="1:3" x14ac:dyDescent="0.2">
      <c r="A433" s="3">
        <v>45654</v>
      </c>
      <c r="B433">
        <v>100.52809999999999</v>
      </c>
      <c r="C433">
        <f t="shared" si="9"/>
        <v>2024</v>
      </c>
    </row>
    <row r="434" spans="1:3" x14ac:dyDescent="0.2">
      <c r="A434" s="3">
        <v>45653</v>
      </c>
      <c r="B434">
        <v>99.229500000000002</v>
      </c>
      <c r="C434">
        <f t="shared" si="9"/>
        <v>2024</v>
      </c>
    </row>
    <row r="435" spans="1:3" x14ac:dyDescent="0.2">
      <c r="A435" s="3">
        <v>45652</v>
      </c>
      <c r="B435">
        <v>99.612499999999997</v>
      </c>
      <c r="C435">
        <f t="shared" si="9"/>
        <v>2024</v>
      </c>
    </row>
    <row r="436" spans="1:3" x14ac:dyDescent="0.2">
      <c r="A436" s="3">
        <v>45651</v>
      </c>
      <c r="B436">
        <v>99.872900000000001</v>
      </c>
      <c r="C436">
        <f t="shared" si="9"/>
        <v>2024</v>
      </c>
    </row>
    <row r="437" spans="1:3" x14ac:dyDescent="0.2">
      <c r="A437" s="3">
        <v>45650</v>
      </c>
      <c r="B437">
        <v>101.6143</v>
      </c>
      <c r="C437">
        <f t="shared" si="9"/>
        <v>2024</v>
      </c>
    </row>
    <row r="438" spans="1:3" x14ac:dyDescent="0.2">
      <c r="A438" s="3">
        <v>45649</v>
      </c>
      <c r="B438">
        <v>102.3438</v>
      </c>
      <c r="C438">
        <f t="shared" si="9"/>
        <v>2024</v>
      </c>
    </row>
    <row r="439" spans="1:3" x14ac:dyDescent="0.2">
      <c r="A439" s="3">
        <v>45648</v>
      </c>
      <c r="B439">
        <v>102.3438</v>
      </c>
      <c r="C439">
        <f t="shared" si="9"/>
        <v>2024</v>
      </c>
    </row>
    <row r="440" spans="1:3" x14ac:dyDescent="0.2">
      <c r="A440" s="3">
        <v>45647</v>
      </c>
      <c r="B440">
        <v>102.3438</v>
      </c>
      <c r="C440">
        <f t="shared" si="9"/>
        <v>2024</v>
      </c>
    </row>
    <row r="441" spans="1:3" x14ac:dyDescent="0.2">
      <c r="A441" s="3">
        <v>45646</v>
      </c>
      <c r="B441">
        <v>103.4207</v>
      </c>
      <c r="C441">
        <f t="shared" si="9"/>
        <v>2024</v>
      </c>
    </row>
    <row r="442" spans="1:3" x14ac:dyDescent="0.2">
      <c r="A442" s="3">
        <v>45645</v>
      </c>
      <c r="B442">
        <v>102.77630000000001</v>
      </c>
      <c r="C442">
        <f t="shared" si="9"/>
        <v>2024</v>
      </c>
    </row>
    <row r="443" spans="1:3" x14ac:dyDescent="0.2">
      <c r="A443" s="3">
        <v>45644</v>
      </c>
      <c r="B443">
        <v>102.9979</v>
      </c>
      <c r="C443">
        <f t="shared" si="9"/>
        <v>2024</v>
      </c>
    </row>
    <row r="444" spans="1:3" x14ac:dyDescent="0.2">
      <c r="A444" s="3">
        <v>45643</v>
      </c>
      <c r="B444">
        <v>102.91249999999999</v>
      </c>
      <c r="C444">
        <f t="shared" si="9"/>
        <v>2024</v>
      </c>
    </row>
    <row r="445" spans="1:3" x14ac:dyDescent="0.2">
      <c r="A445" s="3">
        <v>45642</v>
      </c>
      <c r="B445">
        <v>103.43049999999999</v>
      </c>
      <c r="C445">
        <f t="shared" si="9"/>
        <v>2024</v>
      </c>
    </row>
    <row r="446" spans="1:3" x14ac:dyDescent="0.2">
      <c r="A446" s="3">
        <v>45641</v>
      </c>
      <c r="B446">
        <v>103.43049999999999</v>
      </c>
      <c r="C446">
        <f t="shared" si="9"/>
        <v>2024</v>
      </c>
    </row>
    <row r="447" spans="1:3" x14ac:dyDescent="0.2">
      <c r="A447" s="3">
        <v>45640</v>
      </c>
      <c r="B447">
        <v>103.43049999999999</v>
      </c>
      <c r="C447">
        <f t="shared" si="9"/>
        <v>2024</v>
      </c>
    </row>
    <row r="448" spans="1:3" x14ac:dyDescent="0.2">
      <c r="A448" s="3">
        <v>45639</v>
      </c>
      <c r="B448">
        <v>103.95</v>
      </c>
      <c r="C448">
        <f t="shared" si="9"/>
        <v>2024</v>
      </c>
    </row>
    <row r="449" spans="1:3" x14ac:dyDescent="0.2">
      <c r="A449" s="3">
        <v>45638</v>
      </c>
      <c r="B449">
        <v>103.27070000000001</v>
      </c>
      <c r="C449">
        <f t="shared" si="9"/>
        <v>2024</v>
      </c>
    </row>
    <row r="450" spans="1:3" x14ac:dyDescent="0.2">
      <c r="A450" s="3">
        <v>45637</v>
      </c>
      <c r="B450">
        <v>100.0324</v>
      </c>
      <c r="C450">
        <f t="shared" si="9"/>
        <v>2024</v>
      </c>
    </row>
    <row r="451" spans="1:3" x14ac:dyDescent="0.2">
      <c r="A451" s="3">
        <v>45636</v>
      </c>
      <c r="B451">
        <v>99.375900000000001</v>
      </c>
      <c r="C451">
        <f t="shared" si="9"/>
        <v>2024</v>
      </c>
    </row>
    <row r="452" spans="1:3" x14ac:dyDescent="0.2">
      <c r="A452" s="3">
        <v>45635</v>
      </c>
      <c r="B452">
        <v>99.421499999999995</v>
      </c>
      <c r="C452">
        <f t="shared" ref="C452:C515" si="10">YEAR(A452)</f>
        <v>2024</v>
      </c>
    </row>
    <row r="453" spans="1:3" x14ac:dyDescent="0.2">
      <c r="A453" s="3">
        <v>45634</v>
      </c>
      <c r="B453">
        <v>99.421499999999995</v>
      </c>
      <c r="C453">
        <f t="shared" si="10"/>
        <v>2024</v>
      </c>
    </row>
    <row r="454" spans="1:3" x14ac:dyDescent="0.2">
      <c r="A454" s="3">
        <v>45633</v>
      </c>
      <c r="B454">
        <v>99.421499999999995</v>
      </c>
      <c r="C454">
        <f t="shared" si="10"/>
        <v>2024</v>
      </c>
    </row>
    <row r="455" spans="1:3" x14ac:dyDescent="0.2">
      <c r="A455" s="3">
        <v>45632</v>
      </c>
      <c r="B455">
        <v>103.3837</v>
      </c>
      <c r="C455">
        <f t="shared" si="10"/>
        <v>2024</v>
      </c>
    </row>
    <row r="456" spans="1:3" x14ac:dyDescent="0.2">
      <c r="A456" s="3">
        <v>45631</v>
      </c>
      <c r="B456">
        <v>104.23609999999999</v>
      </c>
      <c r="C456">
        <f t="shared" si="10"/>
        <v>2024</v>
      </c>
    </row>
    <row r="457" spans="1:3" x14ac:dyDescent="0.2">
      <c r="A457" s="3">
        <v>45630</v>
      </c>
      <c r="B457">
        <v>106.1878</v>
      </c>
      <c r="C457">
        <f t="shared" si="10"/>
        <v>2024</v>
      </c>
    </row>
    <row r="458" spans="1:3" x14ac:dyDescent="0.2">
      <c r="A458" s="3">
        <v>45629</v>
      </c>
      <c r="B458">
        <v>107.1758</v>
      </c>
      <c r="C458">
        <f t="shared" si="10"/>
        <v>2024</v>
      </c>
    </row>
    <row r="459" spans="1:3" x14ac:dyDescent="0.2">
      <c r="A459" s="3">
        <v>45628</v>
      </c>
      <c r="B459">
        <v>107.7409</v>
      </c>
      <c r="C459">
        <f t="shared" si="10"/>
        <v>2024</v>
      </c>
    </row>
    <row r="460" spans="1:3" x14ac:dyDescent="0.2">
      <c r="A460" s="3">
        <v>45627</v>
      </c>
      <c r="B460">
        <v>107.7409</v>
      </c>
      <c r="C460">
        <f t="shared" si="10"/>
        <v>2024</v>
      </c>
    </row>
    <row r="461" spans="1:3" x14ac:dyDescent="0.2">
      <c r="A461" s="3">
        <v>45626</v>
      </c>
      <c r="B461">
        <v>107.7409</v>
      </c>
      <c r="C461">
        <f t="shared" si="10"/>
        <v>2024</v>
      </c>
    </row>
    <row r="462" spans="1:3" x14ac:dyDescent="0.2">
      <c r="A462" s="3">
        <v>45625</v>
      </c>
      <c r="B462">
        <v>109.5782</v>
      </c>
      <c r="C462">
        <f t="shared" si="10"/>
        <v>2024</v>
      </c>
    </row>
    <row r="463" spans="1:3" x14ac:dyDescent="0.2">
      <c r="A463" s="3">
        <v>45624</v>
      </c>
      <c r="B463">
        <v>108.0104</v>
      </c>
      <c r="C463">
        <f t="shared" si="10"/>
        <v>2024</v>
      </c>
    </row>
    <row r="464" spans="1:3" x14ac:dyDescent="0.2">
      <c r="A464" s="3">
        <v>45623</v>
      </c>
      <c r="B464">
        <v>105.0604</v>
      </c>
      <c r="C464">
        <f t="shared" si="10"/>
        <v>2024</v>
      </c>
    </row>
    <row r="465" spans="1:3" x14ac:dyDescent="0.2">
      <c r="A465" s="3">
        <v>45622</v>
      </c>
      <c r="B465">
        <v>103.7908</v>
      </c>
      <c r="C465">
        <f t="shared" si="10"/>
        <v>2024</v>
      </c>
    </row>
    <row r="466" spans="1:3" x14ac:dyDescent="0.2">
      <c r="A466" s="3">
        <v>45621</v>
      </c>
      <c r="B466">
        <v>102.5761</v>
      </c>
      <c r="C466">
        <f t="shared" si="10"/>
        <v>2024</v>
      </c>
    </row>
    <row r="467" spans="1:3" x14ac:dyDescent="0.2">
      <c r="A467" s="3">
        <v>45620</v>
      </c>
      <c r="B467">
        <v>102.5761</v>
      </c>
      <c r="C467">
        <f t="shared" si="10"/>
        <v>2024</v>
      </c>
    </row>
    <row r="468" spans="1:3" x14ac:dyDescent="0.2">
      <c r="A468" s="3">
        <v>45619</v>
      </c>
      <c r="B468">
        <v>102.5761</v>
      </c>
      <c r="C468">
        <f t="shared" si="10"/>
        <v>2024</v>
      </c>
    </row>
    <row r="469" spans="1:3" x14ac:dyDescent="0.2">
      <c r="A469" s="3">
        <v>45618</v>
      </c>
      <c r="B469">
        <v>100.6798</v>
      </c>
      <c r="C469">
        <f t="shared" si="10"/>
        <v>2024</v>
      </c>
    </row>
    <row r="470" spans="1:3" x14ac:dyDescent="0.2">
      <c r="A470" s="3">
        <v>45617</v>
      </c>
      <c r="B470">
        <v>100.2192</v>
      </c>
      <c r="C470">
        <f t="shared" si="10"/>
        <v>2024</v>
      </c>
    </row>
    <row r="471" spans="1:3" x14ac:dyDescent="0.2">
      <c r="A471" s="3">
        <v>45616</v>
      </c>
      <c r="B471">
        <v>100.0348</v>
      </c>
      <c r="C471">
        <f t="shared" si="10"/>
        <v>2024</v>
      </c>
    </row>
    <row r="472" spans="1:3" x14ac:dyDescent="0.2">
      <c r="A472" s="3">
        <v>45615</v>
      </c>
      <c r="B472">
        <v>99.942999999999998</v>
      </c>
      <c r="C472">
        <f t="shared" si="10"/>
        <v>2024</v>
      </c>
    </row>
    <row r="473" spans="1:3" x14ac:dyDescent="0.2">
      <c r="A473" s="3">
        <v>45614</v>
      </c>
      <c r="B473">
        <v>99.997100000000003</v>
      </c>
      <c r="C473">
        <f t="shared" si="10"/>
        <v>2024</v>
      </c>
    </row>
    <row r="474" spans="1:3" x14ac:dyDescent="0.2">
      <c r="A474" s="3">
        <v>45613</v>
      </c>
      <c r="B474">
        <v>99.997100000000003</v>
      </c>
      <c r="C474">
        <f t="shared" si="10"/>
        <v>2024</v>
      </c>
    </row>
    <row r="475" spans="1:3" x14ac:dyDescent="0.2">
      <c r="A475" s="3">
        <v>45612</v>
      </c>
      <c r="B475">
        <v>99.997100000000003</v>
      </c>
      <c r="C475">
        <f t="shared" si="10"/>
        <v>2024</v>
      </c>
    </row>
    <row r="476" spans="1:3" x14ac:dyDescent="0.2">
      <c r="A476" s="3">
        <v>45611</v>
      </c>
      <c r="B476">
        <v>99.018000000000001</v>
      </c>
      <c r="C476">
        <f t="shared" si="10"/>
        <v>2024</v>
      </c>
    </row>
    <row r="477" spans="1:3" x14ac:dyDescent="0.2">
      <c r="A477" s="3">
        <v>45610</v>
      </c>
      <c r="B477">
        <v>98.365700000000004</v>
      </c>
      <c r="C477">
        <f t="shared" si="10"/>
        <v>2024</v>
      </c>
    </row>
    <row r="478" spans="1:3" x14ac:dyDescent="0.2">
      <c r="A478" s="3">
        <v>45609</v>
      </c>
      <c r="B478">
        <v>97.9559</v>
      </c>
      <c r="C478">
        <f t="shared" si="10"/>
        <v>2024</v>
      </c>
    </row>
    <row r="479" spans="1:3" x14ac:dyDescent="0.2">
      <c r="A479" s="3">
        <v>45608</v>
      </c>
      <c r="B479">
        <v>97.954999999999998</v>
      </c>
      <c r="C479">
        <f t="shared" si="10"/>
        <v>2024</v>
      </c>
    </row>
    <row r="480" spans="1:3" x14ac:dyDescent="0.2">
      <c r="A480" s="3">
        <v>45607</v>
      </c>
      <c r="B480">
        <v>97.833500000000001</v>
      </c>
      <c r="C480">
        <f t="shared" si="10"/>
        <v>2024</v>
      </c>
    </row>
    <row r="481" spans="1:3" x14ac:dyDescent="0.2">
      <c r="A481" s="3">
        <v>45606</v>
      </c>
      <c r="B481">
        <v>97.833500000000001</v>
      </c>
      <c r="C481">
        <f t="shared" si="10"/>
        <v>2024</v>
      </c>
    </row>
    <row r="482" spans="1:3" x14ac:dyDescent="0.2">
      <c r="A482" s="3">
        <v>45605</v>
      </c>
      <c r="B482">
        <v>97.833500000000001</v>
      </c>
      <c r="C482">
        <f t="shared" si="10"/>
        <v>2024</v>
      </c>
    </row>
    <row r="483" spans="1:3" x14ac:dyDescent="0.2">
      <c r="A483" s="3">
        <v>45604</v>
      </c>
      <c r="B483">
        <v>98.072599999999994</v>
      </c>
      <c r="C483">
        <f t="shared" si="10"/>
        <v>2024</v>
      </c>
    </row>
    <row r="484" spans="1:3" x14ac:dyDescent="0.2">
      <c r="A484" s="3">
        <v>45603</v>
      </c>
      <c r="B484">
        <v>98.223600000000005</v>
      </c>
      <c r="C484">
        <f t="shared" si="10"/>
        <v>2024</v>
      </c>
    </row>
    <row r="485" spans="1:3" x14ac:dyDescent="0.2">
      <c r="A485" s="3">
        <v>45602</v>
      </c>
      <c r="B485">
        <v>98.056200000000004</v>
      </c>
      <c r="C485">
        <f t="shared" si="10"/>
        <v>2024</v>
      </c>
    </row>
    <row r="486" spans="1:3" x14ac:dyDescent="0.2">
      <c r="A486" s="3">
        <v>45601</v>
      </c>
      <c r="B486">
        <v>97.549899999999994</v>
      </c>
      <c r="C486">
        <f t="shared" si="10"/>
        <v>2024</v>
      </c>
    </row>
    <row r="487" spans="1:3" x14ac:dyDescent="0.2">
      <c r="A487" s="3">
        <v>45600</v>
      </c>
      <c r="B487">
        <v>97.549899999999994</v>
      </c>
      <c r="C487">
        <f t="shared" si="10"/>
        <v>2024</v>
      </c>
    </row>
    <row r="488" spans="1:3" x14ac:dyDescent="0.2">
      <c r="A488" s="3">
        <v>45599</v>
      </c>
      <c r="B488">
        <v>97.549899999999994</v>
      </c>
      <c r="C488">
        <f t="shared" si="10"/>
        <v>2024</v>
      </c>
    </row>
    <row r="489" spans="1:3" x14ac:dyDescent="0.2">
      <c r="A489" s="3">
        <v>45598</v>
      </c>
      <c r="B489">
        <v>97.440200000000004</v>
      </c>
      <c r="C489">
        <f t="shared" si="10"/>
        <v>2024</v>
      </c>
    </row>
    <row r="490" spans="1:3" x14ac:dyDescent="0.2">
      <c r="A490" s="3">
        <v>45597</v>
      </c>
      <c r="B490">
        <v>97.022599999999997</v>
      </c>
      <c r="C490">
        <f t="shared" si="10"/>
        <v>2024</v>
      </c>
    </row>
    <row r="491" spans="1:3" x14ac:dyDescent="0.2">
      <c r="A491" s="3">
        <v>45596</v>
      </c>
      <c r="B491">
        <v>97.052999999999997</v>
      </c>
      <c r="C491">
        <f t="shared" si="10"/>
        <v>2024</v>
      </c>
    </row>
    <row r="492" spans="1:3" x14ac:dyDescent="0.2">
      <c r="A492" s="3">
        <v>45595</v>
      </c>
      <c r="B492">
        <v>97.326099999999997</v>
      </c>
      <c r="C492">
        <f t="shared" si="10"/>
        <v>2024</v>
      </c>
    </row>
    <row r="493" spans="1:3" x14ac:dyDescent="0.2">
      <c r="A493" s="3">
        <v>45594</v>
      </c>
      <c r="B493">
        <v>97.23</v>
      </c>
      <c r="C493">
        <f t="shared" si="10"/>
        <v>2024</v>
      </c>
    </row>
    <row r="494" spans="1:3" x14ac:dyDescent="0.2">
      <c r="A494" s="3">
        <v>45593</v>
      </c>
      <c r="B494">
        <v>96.665700000000001</v>
      </c>
      <c r="C494">
        <f t="shared" si="10"/>
        <v>2024</v>
      </c>
    </row>
    <row r="495" spans="1:3" x14ac:dyDescent="0.2">
      <c r="A495" s="3">
        <v>45592</v>
      </c>
      <c r="B495">
        <v>96.665700000000001</v>
      </c>
      <c r="C495">
        <f t="shared" si="10"/>
        <v>2024</v>
      </c>
    </row>
    <row r="496" spans="1:3" x14ac:dyDescent="0.2">
      <c r="A496" s="3">
        <v>45591</v>
      </c>
      <c r="B496">
        <v>96.665700000000001</v>
      </c>
      <c r="C496">
        <f t="shared" si="10"/>
        <v>2024</v>
      </c>
    </row>
    <row r="497" spans="1:3" x14ac:dyDescent="0.2">
      <c r="A497" s="3">
        <v>45590</v>
      </c>
      <c r="B497">
        <v>96.740200000000002</v>
      </c>
      <c r="C497">
        <f t="shared" si="10"/>
        <v>2024</v>
      </c>
    </row>
    <row r="498" spans="1:3" x14ac:dyDescent="0.2">
      <c r="A498" s="3">
        <v>45589</v>
      </c>
      <c r="B498">
        <v>96.637900000000002</v>
      </c>
      <c r="C498">
        <f t="shared" si="10"/>
        <v>2024</v>
      </c>
    </row>
    <row r="499" spans="1:3" x14ac:dyDescent="0.2">
      <c r="A499" s="3">
        <v>45588</v>
      </c>
      <c r="B499">
        <v>96.591800000000006</v>
      </c>
      <c r="C499">
        <f t="shared" si="10"/>
        <v>2024</v>
      </c>
    </row>
    <row r="500" spans="1:3" x14ac:dyDescent="0.2">
      <c r="A500" s="3">
        <v>45587</v>
      </c>
      <c r="B500">
        <v>96.092399999999998</v>
      </c>
      <c r="C500">
        <f t="shared" si="10"/>
        <v>2024</v>
      </c>
    </row>
    <row r="501" spans="1:3" x14ac:dyDescent="0.2">
      <c r="A501" s="3">
        <v>45586</v>
      </c>
      <c r="B501">
        <v>96.417199999999994</v>
      </c>
      <c r="C501">
        <f t="shared" si="10"/>
        <v>2024</v>
      </c>
    </row>
    <row r="502" spans="1:3" x14ac:dyDescent="0.2">
      <c r="A502" s="3">
        <v>45585</v>
      </c>
      <c r="B502">
        <v>96.417199999999994</v>
      </c>
      <c r="C502">
        <f t="shared" si="10"/>
        <v>2024</v>
      </c>
    </row>
    <row r="503" spans="1:3" x14ac:dyDescent="0.2">
      <c r="A503" s="3">
        <v>45584</v>
      </c>
      <c r="B503">
        <v>96.417199999999994</v>
      </c>
      <c r="C503">
        <f t="shared" si="10"/>
        <v>2024</v>
      </c>
    </row>
    <row r="504" spans="1:3" x14ac:dyDescent="0.2">
      <c r="A504" s="3">
        <v>45583</v>
      </c>
      <c r="B504">
        <v>97.149000000000001</v>
      </c>
      <c r="C504">
        <f t="shared" si="10"/>
        <v>2024</v>
      </c>
    </row>
    <row r="505" spans="1:3" x14ac:dyDescent="0.2">
      <c r="A505" s="3">
        <v>45582</v>
      </c>
      <c r="B505">
        <v>97.256799999999998</v>
      </c>
      <c r="C505">
        <f t="shared" si="10"/>
        <v>2024</v>
      </c>
    </row>
    <row r="506" spans="1:3" x14ac:dyDescent="0.2">
      <c r="A506" s="3">
        <v>45581</v>
      </c>
      <c r="B506">
        <v>97.012100000000004</v>
      </c>
      <c r="C506">
        <f t="shared" si="10"/>
        <v>2024</v>
      </c>
    </row>
    <row r="507" spans="1:3" x14ac:dyDescent="0.2">
      <c r="A507" s="3">
        <v>45580</v>
      </c>
      <c r="B507">
        <v>96.102099999999993</v>
      </c>
      <c r="C507">
        <f t="shared" si="10"/>
        <v>2024</v>
      </c>
    </row>
    <row r="508" spans="1:3" x14ac:dyDescent="0.2">
      <c r="A508" s="3">
        <v>45579</v>
      </c>
      <c r="B508">
        <v>96.068600000000004</v>
      </c>
      <c r="C508">
        <f t="shared" si="10"/>
        <v>2024</v>
      </c>
    </row>
    <row r="509" spans="1:3" x14ac:dyDescent="0.2">
      <c r="A509" s="3">
        <v>45578</v>
      </c>
      <c r="B509">
        <v>96.068600000000004</v>
      </c>
      <c r="C509">
        <f t="shared" si="10"/>
        <v>2024</v>
      </c>
    </row>
    <row r="510" spans="1:3" x14ac:dyDescent="0.2">
      <c r="A510" s="3">
        <v>45577</v>
      </c>
      <c r="B510">
        <v>96.068600000000004</v>
      </c>
      <c r="C510">
        <f t="shared" si="10"/>
        <v>2024</v>
      </c>
    </row>
    <row r="511" spans="1:3" x14ac:dyDescent="0.2">
      <c r="A511" s="3">
        <v>45576</v>
      </c>
      <c r="B511">
        <v>97.239400000000003</v>
      </c>
      <c r="C511">
        <f t="shared" si="10"/>
        <v>2024</v>
      </c>
    </row>
    <row r="512" spans="1:3" x14ac:dyDescent="0.2">
      <c r="A512" s="3">
        <v>45575</v>
      </c>
      <c r="B512">
        <v>96.948300000000003</v>
      </c>
      <c r="C512">
        <f t="shared" si="10"/>
        <v>2024</v>
      </c>
    </row>
    <row r="513" spans="1:3" x14ac:dyDescent="0.2">
      <c r="A513" s="3">
        <v>45574</v>
      </c>
      <c r="B513">
        <v>96.107900000000001</v>
      </c>
      <c r="C513">
        <f t="shared" si="10"/>
        <v>2024</v>
      </c>
    </row>
    <row r="514" spans="1:3" x14ac:dyDescent="0.2">
      <c r="A514" s="3">
        <v>45573</v>
      </c>
      <c r="B514">
        <v>96.064899999999994</v>
      </c>
      <c r="C514">
        <f t="shared" si="10"/>
        <v>2024</v>
      </c>
    </row>
    <row r="515" spans="1:3" x14ac:dyDescent="0.2">
      <c r="A515" s="3">
        <v>45572</v>
      </c>
      <c r="B515">
        <v>94.87</v>
      </c>
      <c r="C515">
        <f t="shared" si="10"/>
        <v>2024</v>
      </c>
    </row>
    <row r="516" spans="1:3" x14ac:dyDescent="0.2">
      <c r="A516" s="3">
        <v>45571</v>
      </c>
      <c r="B516">
        <v>94.87</v>
      </c>
      <c r="C516">
        <f t="shared" ref="C516:C579" si="11">YEAR(A516)</f>
        <v>2024</v>
      </c>
    </row>
    <row r="517" spans="1:3" x14ac:dyDescent="0.2">
      <c r="A517" s="3">
        <v>45570</v>
      </c>
      <c r="B517">
        <v>94.87</v>
      </c>
      <c r="C517">
        <f t="shared" si="11"/>
        <v>2024</v>
      </c>
    </row>
    <row r="518" spans="1:3" x14ac:dyDescent="0.2">
      <c r="A518" s="3">
        <v>45569</v>
      </c>
      <c r="B518">
        <v>95.026200000000003</v>
      </c>
      <c r="C518">
        <f t="shared" si="11"/>
        <v>2024</v>
      </c>
    </row>
    <row r="519" spans="1:3" x14ac:dyDescent="0.2">
      <c r="A519" s="3">
        <v>45568</v>
      </c>
      <c r="B519">
        <v>94.505399999999995</v>
      </c>
      <c r="C519">
        <f t="shared" si="11"/>
        <v>2024</v>
      </c>
    </row>
    <row r="520" spans="1:3" x14ac:dyDescent="0.2">
      <c r="A520" s="3">
        <v>45567</v>
      </c>
      <c r="B520">
        <v>93.358099999999993</v>
      </c>
      <c r="C520">
        <f t="shared" si="11"/>
        <v>2024</v>
      </c>
    </row>
    <row r="521" spans="1:3" x14ac:dyDescent="0.2">
      <c r="A521" s="3">
        <v>45566</v>
      </c>
      <c r="B521">
        <v>93.222099999999998</v>
      </c>
      <c r="C521">
        <f t="shared" si="11"/>
        <v>2024</v>
      </c>
    </row>
    <row r="522" spans="1:3" x14ac:dyDescent="0.2">
      <c r="A522" s="3">
        <v>45565</v>
      </c>
      <c r="B522">
        <v>92.712599999999995</v>
      </c>
      <c r="C522">
        <f t="shared" si="11"/>
        <v>2024</v>
      </c>
    </row>
    <row r="523" spans="1:3" x14ac:dyDescent="0.2">
      <c r="A523" s="3">
        <v>45564</v>
      </c>
      <c r="B523">
        <v>92.712599999999995</v>
      </c>
      <c r="C523">
        <f t="shared" si="11"/>
        <v>2024</v>
      </c>
    </row>
    <row r="524" spans="1:3" x14ac:dyDescent="0.2">
      <c r="A524" s="3">
        <v>45563</v>
      </c>
      <c r="B524">
        <v>92.712599999999995</v>
      </c>
      <c r="C524">
        <f t="shared" si="11"/>
        <v>2024</v>
      </c>
    </row>
    <row r="525" spans="1:3" x14ac:dyDescent="0.2">
      <c r="A525" s="3">
        <v>45562</v>
      </c>
      <c r="B525">
        <v>92.407399999999996</v>
      </c>
      <c r="C525">
        <f t="shared" si="11"/>
        <v>2024</v>
      </c>
    </row>
    <row r="526" spans="1:3" x14ac:dyDescent="0.2">
      <c r="A526" s="3">
        <v>45561</v>
      </c>
      <c r="B526">
        <v>92.388000000000005</v>
      </c>
      <c r="C526">
        <f t="shared" si="11"/>
        <v>2024</v>
      </c>
    </row>
    <row r="527" spans="1:3" x14ac:dyDescent="0.2">
      <c r="A527" s="3">
        <v>45560</v>
      </c>
      <c r="B527">
        <v>92.862200000000001</v>
      </c>
      <c r="C527">
        <f t="shared" si="11"/>
        <v>2024</v>
      </c>
    </row>
    <row r="528" spans="1:3" x14ac:dyDescent="0.2">
      <c r="A528" s="3">
        <v>45559</v>
      </c>
      <c r="B528">
        <v>92.92</v>
      </c>
      <c r="C528">
        <f t="shared" si="11"/>
        <v>2024</v>
      </c>
    </row>
    <row r="529" spans="1:3" x14ac:dyDescent="0.2">
      <c r="A529" s="3">
        <v>45558</v>
      </c>
      <c r="B529">
        <v>92.584800000000001</v>
      </c>
      <c r="C529">
        <f t="shared" si="11"/>
        <v>2024</v>
      </c>
    </row>
    <row r="530" spans="1:3" x14ac:dyDescent="0.2">
      <c r="A530" s="3">
        <v>45557</v>
      </c>
      <c r="B530">
        <v>92.584800000000001</v>
      </c>
      <c r="C530">
        <f t="shared" si="11"/>
        <v>2024</v>
      </c>
    </row>
    <row r="531" spans="1:3" x14ac:dyDescent="0.2">
      <c r="A531" s="3">
        <v>45556</v>
      </c>
      <c r="B531">
        <v>92.584800000000001</v>
      </c>
      <c r="C531">
        <f t="shared" si="11"/>
        <v>2024</v>
      </c>
    </row>
    <row r="532" spans="1:3" x14ac:dyDescent="0.2">
      <c r="A532" s="3">
        <v>45555</v>
      </c>
      <c r="B532">
        <v>92.696200000000005</v>
      </c>
      <c r="C532">
        <f t="shared" si="11"/>
        <v>2024</v>
      </c>
    </row>
    <row r="533" spans="1:3" x14ac:dyDescent="0.2">
      <c r="A533" s="3">
        <v>45554</v>
      </c>
      <c r="B533">
        <v>91.671199999999999</v>
      </c>
      <c r="C533">
        <f t="shared" si="11"/>
        <v>2024</v>
      </c>
    </row>
    <row r="534" spans="1:3" x14ac:dyDescent="0.2">
      <c r="A534" s="3">
        <v>45553</v>
      </c>
      <c r="B534">
        <v>91.429199999999994</v>
      </c>
      <c r="C534">
        <f t="shared" si="11"/>
        <v>2024</v>
      </c>
    </row>
    <row r="535" spans="1:3" x14ac:dyDescent="0.2">
      <c r="A535" s="3">
        <v>45552</v>
      </c>
      <c r="B535">
        <v>91.142300000000006</v>
      </c>
      <c r="C535">
        <f t="shared" si="11"/>
        <v>2024</v>
      </c>
    </row>
    <row r="536" spans="1:3" x14ac:dyDescent="0.2">
      <c r="A536" s="3">
        <v>45551</v>
      </c>
      <c r="B536">
        <v>90.9345</v>
      </c>
      <c r="C536">
        <f t="shared" si="11"/>
        <v>2024</v>
      </c>
    </row>
    <row r="537" spans="1:3" x14ac:dyDescent="0.2">
      <c r="A537" s="3">
        <v>45550</v>
      </c>
      <c r="B537">
        <v>90.9345</v>
      </c>
      <c r="C537">
        <f t="shared" si="11"/>
        <v>2024</v>
      </c>
    </row>
    <row r="538" spans="1:3" x14ac:dyDescent="0.2">
      <c r="A538" s="3">
        <v>45549</v>
      </c>
      <c r="B538">
        <v>90.9345</v>
      </c>
      <c r="C538">
        <f t="shared" si="11"/>
        <v>2024</v>
      </c>
    </row>
    <row r="539" spans="1:3" x14ac:dyDescent="0.2">
      <c r="A539" s="3">
        <v>45548</v>
      </c>
      <c r="B539">
        <v>91.1096</v>
      </c>
      <c r="C539">
        <f t="shared" si="11"/>
        <v>2024</v>
      </c>
    </row>
    <row r="540" spans="1:3" x14ac:dyDescent="0.2">
      <c r="A540" s="3">
        <v>45547</v>
      </c>
      <c r="B540">
        <v>91.265299999999996</v>
      </c>
      <c r="C540">
        <f t="shared" si="11"/>
        <v>2024</v>
      </c>
    </row>
    <row r="541" spans="1:3" x14ac:dyDescent="0.2">
      <c r="A541" s="3">
        <v>45546</v>
      </c>
      <c r="B541">
        <v>91.112700000000004</v>
      </c>
      <c r="C541">
        <f t="shared" si="11"/>
        <v>2024</v>
      </c>
    </row>
    <row r="542" spans="1:3" x14ac:dyDescent="0.2">
      <c r="A542" s="3">
        <v>45545</v>
      </c>
      <c r="B542">
        <v>90.385300000000001</v>
      </c>
      <c r="C542">
        <f t="shared" si="11"/>
        <v>2024</v>
      </c>
    </row>
    <row r="543" spans="1:3" x14ac:dyDescent="0.2">
      <c r="A543" s="3">
        <v>45544</v>
      </c>
      <c r="B543">
        <v>89.822500000000005</v>
      </c>
      <c r="C543">
        <f t="shared" si="11"/>
        <v>2024</v>
      </c>
    </row>
    <row r="544" spans="1:3" x14ac:dyDescent="0.2">
      <c r="A544" s="3">
        <v>45543</v>
      </c>
      <c r="B544">
        <v>89.822500000000005</v>
      </c>
      <c r="C544">
        <f t="shared" si="11"/>
        <v>2024</v>
      </c>
    </row>
    <row r="545" spans="1:3" x14ac:dyDescent="0.2">
      <c r="A545" s="3">
        <v>45542</v>
      </c>
      <c r="B545">
        <v>89.822500000000005</v>
      </c>
      <c r="C545">
        <f t="shared" si="11"/>
        <v>2024</v>
      </c>
    </row>
    <row r="546" spans="1:3" x14ac:dyDescent="0.2">
      <c r="A546" s="3">
        <v>45541</v>
      </c>
      <c r="B546">
        <v>89.704400000000007</v>
      </c>
      <c r="C546">
        <f t="shared" si="11"/>
        <v>2024</v>
      </c>
    </row>
    <row r="547" spans="1:3" x14ac:dyDescent="0.2">
      <c r="A547" s="3">
        <v>45540</v>
      </c>
      <c r="B547">
        <v>88.928799999999995</v>
      </c>
      <c r="C547">
        <f t="shared" si="11"/>
        <v>2024</v>
      </c>
    </row>
    <row r="548" spans="1:3" x14ac:dyDescent="0.2">
      <c r="A548" s="3">
        <v>45539</v>
      </c>
      <c r="B548">
        <v>88.611800000000002</v>
      </c>
      <c r="C548">
        <f t="shared" si="11"/>
        <v>2024</v>
      </c>
    </row>
    <row r="549" spans="1:3" x14ac:dyDescent="0.2">
      <c r="A549" s="3">
        <v>45538</v>
      </c>
      <c r="B549">
        <v>90.001300000000001</v>
      </c>
      <c r="C549">
        <f t="shared" si="11"/>
        <v>2024</v>
      </c>
    </row>
    <row r="550" spans="1:3" x14ac:dyDescent="0.2">
      <c r="A550" s="3">
        <v>45537</v>
      </c>
      <c r="B550">
        <v>91.186800000000005</v>
      </c>
      <c r="C550">
        <f t="shared" si="11"/>
        <v>2024</v>
      </c>
    </row>
    <row r="551" spans="1:3" x14ac:dyDescent="0.2">
      <c r="A551" s="3">
        <v>45536</v>
      </c>
      <c r="B551">
        <v>91.186800000000005</v>
      </c>
      <c r="C551">
        <f t="shared" si="11"/>
        <v>2024</v>
      </c>
    </row>
    <row r="552" spans="1:3" x14ac:dyDescent="0.2">
      <c r="A552" s="3">
        <v>45535</v>
      </c>
      <c r="B552">
        <v>91.186800000000005</v>
      </c>
      <c r="C552">
        <f t="shared" si="11"/>
        <v>2024</v>
      </c>
    </row>
    <row r="553" spans="1:3" x14ac:dyDescent="0.2">
      <c r="A553" s="3">
        <v>45534</v>
      </c>
      <c r="B553">
        <v>91.454800000000006</v>
      </c>
      <c r="C553">
        <f t="shared" si="11"/>
        <v>2024</v>
      </c>
    </row>
    <row r="554" spans="1:3" x14ac:dyDescent="0.2">
      <c r="A554" s="3">
        <v>45533</v>
      </c>
      <c r="B554">
        <v>91.444900000000004</v>
      </c>
      <c r="C554">
        <f t="shared" si="11"/>
        <v>2024</v>
      </c>
    </row>
    <row r="555" spans="1:3" x14ac:dyDescent="0.2">
      <c r="A555" s="3">
        <v>45532</v>
      </c>
      <c r="B555">
        <v>91.480699999999999</v>
      </c>
      <c r="C555">
        <f t="shared" si="11"/>
        <v>2024</v>
      </c>
    </row>
    <row r="556" spans="1:3" x14ac:dyDescent="0.2">
      <c r="A556" s="3">
        <v>45531</v>
      </c>
      <c r="B556">
        <v>91.774500000000003</v>
      </c>
      <c r="C556">
        <f t="shared" si="11"/>
        <v>2024</v>
      </c>
    </row>
    <row r="557" spans="1:3" x14ac:dyDescent="0.2">
      <c r="A557" s="3">
        <v>45530</v>
      </c>
      <c r="B557">
        <v>91.601200000000006</v>
      </c>
      <c r="C557">
        <f t="shared" si="11"/>
        <v>2024</v>
      </c>
    </row>
    <row r="558" spans="1:3" x14ac:dyDescent="0.2">
      <c r="A558" s="3">
        <v>45529</v>
      </c>
      <c r="B558">
        <v>91.601200000000006</v>
      </c>
      <c r="C558">
        <f t="shared" si="11"/>
        <v>2024</v>
      </c>
    </row>
    <row r="559" spans="1:3" x14ac:dyDescent="0.2">
      <c r="A559" s="3">
        <v>45528</v>
      </c>
      <c r="B559">
        <v>91.601200000000006</v>
      </c>
      <c r="C559">
        <f t="shared" si="11"/>
        <v>2024</v>
      </c>
    </row>
    <row r="560" spans="1:3" x14ac:dyDescent="0.2">
      <c r="A560" s="3">
        <v>45527</v>
      </c>
      <c r="B560">
        <v>91.2881</v>
      </c>
      <c r="C560">
        <f t="shared" si="11"/>
        <v>2024</v>
      </c>
    </row>
    <row r="561" spans="1:3" x14ac:dyDescent="0.2">
      <c r="A561" s="3">
        <v>45526</v>
      </c>
      <c r="B561">
        <v>91.686199999999999</v>
      </c>
      <c r="C561">
        <f t="shared" si="11"/>
        <v>2024</v>
      </c>
    </row>
    <row r="562" spans="1:3" x14ac:dyDescent="0.2">
      <c r="A562" s="3">
        <v>45525</v>
      </c>
      <c r="B562">
        <v>90.694400000000002</v>
      </c>
      <c r="C562">
        <f t="shared" si="11"/>
        <v>2024</v>
      </c>
    </row>
    <row r="563" spans="1:3" x14ac:dyDescent="0.2">
      <c r="A563" s="3">
        <v>45524</v>
      </c>
      <c r="B563">
        <v>89.5428</v>
      </c>
      <c r="C563">
        <f t="shared" si="11"/>
        <v>2024</v>
      </c>
    </row>
    <row r="564" spans="1:3" x14ac:dyDescent="0.2">
      <c r="A564" s="3">
        <v>45523</v>
      </c>
      <c r="B564">
        <v>88.906199999999998</v>
      </c>
      <c r="C564">
        <f t="shared" si="11"/>
        <v>2024</v>
      </c>
    </row>
    <row r="565" spans="1:3" x14ac:dyDescent="0.2">
      <c r="A565" s="3">
        <v>45522</v>
      </c>
      <c r="B565">
        <v>88.906199999999998</v>
      </c>
      <c r="C565">
        <f t="shared" si="11"/>
        <v>2024</v>
      </c>
    </row>
    <row r="566" spans="1:3" x14ac:dyDescent="0.2">
      <c r="A566" s="3">
        <v>45521</v>
      </c>
      <c r="B566">
        <v>88.906199999999998</v>
      </c>
      <c r="C566">
        <f t="shared" si="11"/>
        <v>2024</v>
      </c>
    </row>
    <row r="567" spans="1:3" x14ac:dyDescent="0.2">
      <c r="A567" s="3">
        <v>45520</v>
      </c>
      <c r="B567">
        <v>88.796000000000006</v>
      </c>
      <c r="C567">
        <f t="shared" si="11"/>
        <v>2024</v>
      </c>
    </row>
    <row r="568" spans="1:3" x14ac:dyDescent="0.2">
      <c r="A568" s="3">
        <v>45519</v>
      </c>
      <c r="B568">
        <v>90.005499999999998</v>
      </c>
      <c r="C568">
        <f t="shared" si="11"/>
        <v>2024</v>
      </c>
    </row>
    <row r="569" spans="1:3" x14ac:dyDescent="0.2">
      <c r="A569" s="3">
        <v>45518</v>
      </c>
      <c r="B569">
        <v>92.659199999999998</v>
      </c>
      <c r="C569">
        <f t="shared" si="11"/>
        <v>2024</v>
      </c>
    </row>
    <row r="570" spans="1:3" x14ac:dyDescent="0.2">
      <c r="A570" s="3">
        <v>45517</v>
      </c>
      <c r="B570">
        <v>89.947500000000005</v>
      </c>
      <c r="C570">
        <f t="shared" si="11"/>
        <v>2024</v>
      </c>
    </row>
    <row r="571" spans="1:3" x14ac:dyDescent="0.2">
      <c r="A571" s="3">
        <v>45516</v>
      </c>
      <c r="B571">
        <v>87.992000000000004</v>
      </c>
      <c r="C571">
        <f t="shared" si="11"/>
        <v>2024</v>
      </c>
    </row>
    <row r="572" spans="1:3" x14ac:dyDescent="0.2">
      <c r="A572" s="3">
        <v>45515</v>
      </c>
      <c r="B572">
        <v>87.992000000000004</v>
      </c>
      <c r="C572">
        <f t="shared" si="11"/>
        <v>2024</v>
      </c>
    </row>
    <row r="573" spans="1:3" x14ac:dyDescent="0.2">
      <c r="A573" s="3">
        <v>45514</v>
      </c>
      <c r="B573">
        <v>87.992000000000004</v>
      </c>
      <c r="C573">
        <f t="shared" si="11"/>
        <v>2024</v>
      </c>
    </row>
    <row r="574" spans="1:3" x14ac:dyDescent="0.2">
      <c r="A574" s="3">
        <v>45513</v>
      </c>
      <c r="B574">
        <v>86.562100000000001</v>
      </c>
      <c r="C574">
        <f t="shared" si="11"/>
        <v>2024</v>
      </c>
    </row>
    <row r="575" spans="1:3" x14ac:dyDescent="0.2">
      <c r="A575" s="3">
        <v>45512</v>
      </c>
      <c r="B575">
        <v>85.954300000000003</v>
      </c>
      <c r="C575">
        <f t="shared" si="11"/>
        <v>2024</v>
      </c>
    </row>
    <row r="576" spans="1:3" x14ac:dyDescent="0.2">
      <c r="A576" s="3">
        <v>45511</v>
      </c>
      <c r="B576">
        <v>85.164599999999993</v>
      </c>
      <c r="C576">
        <f t="shared" si="11"/>
        <v>2024</v>
      </c>
    </row>
    <row r="577" spans="1:3" x14ac:dyDescent="0.2">
      <c r="A577" s="3">
        <v>45510</v>
      </c>
      <c r="B577">
        <v>84.947100000000006</v>
      </c>
      <c r="C577">
        <f t="shared" si="11"/>
        <v>2024</v>
      </c>
    </row>
    <row r="578" spans="1:3" x14ac:dyDescent="0.2">
      <c r="A578" s="3">
        <v>45509</v>
      </c>
      <c r="B578">
        <v>85.702399999999997</v>
      </c>
      <c r="C578">
        <f t="shared" si="11"/>
        <v>2024</v>
      </c>
    </row>
    <row r="579" spans="1:3" x14ac:dyDescent="0.2">
      <c r="A579" s="3">
        <v>45508</v>
      </c>
      <c r="B579">
        <v>85.702399999999997</v>
      </c>
      <c r="C579">
        <f t="shared" si="11"/>
        <v>2024</v>
      </c>
    </row>
    <row r="580" spans="1:3" x14ac:dyDescent="0.2">
      <c r="A580" s="3">
        <v>45507</v>
      </c>
      <c r="B580">
        <v>85.702399999999997</v>
      </c>
      <c r="C580">
        <f t="shared" ref="C580:C643" si="12">YEAR(A580)</f>
        <v>2024</v>
      </c>
    </row>
    <row r="581" spans="1:3" x14ac:dyDescent="0.2">
      <c r="A581" s="3">
        <v>45506</v>
      </c>
      <c r="B581">
        <v>85.783299999999997</v>
      </c>
      <c r="C581">
        <f t="shared" si="12"/>
        <v>2024</v>
      </c>
    </row>
    <row r="582" spans="1:3" x14ac:dyDescent="0.2">
      <c r="A582" s="3">
        <v>45505</v>
      </c>
      <c r="B582">
        <v>86.109099999999998</v>
      </c>
      <c r="C582">
        <f t="shared" si="12"/>
        <v>2024</v>
      </c>
    </row>
    <row r="583" spans="1:3" x14ac:dyDescent="0.2">
      <c r="A583" s="3">
        <v>45504</v>
      </c>
      <c r="B583">
        <v>86.33</v>
      </c>
      <c r="C583">
        <f t="shared" si="12"/>
        <v>2024</v>
      </c>
    </row>
    <row r="584" spans="1:3" x14ac:dyDescent="0.2">
      <c r="A584" s="3">
        <v>45503</v>
      </c>
      <c r="B584">
        <v>86.555400000000006</v>
      </c>
      <c r="C584">
        <f t="shared" si="12"/>
        <v>2024</v>
      </c>
    </row>
    <row r="585" spans="1:3" x14ac:dyDescent="0.2">
      <c r="A585" s="3">
        <v>45502</v>
      </c>
      <c r="B585">
        <v>85.564999999999998</v>
      </c>
      <c r="C585">
        <f t="shared" si="12"/>
        <v>2024</v>
      </c>
    </row>
    <row r="586" spans="1:3" x14ac:dyDescent="0.2">
      <c r="A586" s="3">
        <v>45501</v>
      </c>
      <c r="B586">
        <v>85.564999999999998</v>
      </c>
      <c r="C586">
        <f t="shared" si="12"/>
        <v>2024</v>
      </c>
    </row>
    <row r="587" spans="1:3" x14ac:dyDescent="0.2">
      <c r="A587" s="3">
        <v>45500</v>
      </c>
      <c r="B587">
        <v>85.564999999999998</v>
      </c>
      <c r="C587">
        <f t="shared" si="12"/>
        <v>2024</v>
      </c>
    </row>
    <row r="588" spans="1:3" x14ac:dyDescent="0.2">
      <c r="A588" s="3">
        <v>45499</v>
      </c>
      <c r="B588">
        <v>85.41</v>
      </c>
      <c r="C588">
        <f t="shared" si="12"/>
        <v>2024</v>
      </c>
    </row>
    <row r="589" spans="1:3" x14ac:dyDescent="0.2">
      <c r="A589" s="3">
        <v>45498</v>
      </c>
      <c r="B589">
        <v>86.550200000000004</v>
      </c>
      <c r="C589">
        <f t="shared" si="12"/>
        <v>2024</v>
      </c>
    </row>
    <row r="590" spans="1:3" x14ac:dyDescent="0.2">
      <c r="A590" s="3">
        <v>45497</v>
      </c>
      <c r="B590">
        <v>87.299000000000007</v>
      </c>
      <c r="C590">
        <f t="shared" si="12"/>
        <v>2024</v>
      </c>
    </row>
    <row r="591" spans="1:3" x14ac:dyDescent="0.2">
      <c r="A591" s="3">
        <v>45496</v>
      </c>
      <c r="B591">
        <v>87.780500000000004</v>
      </c>
      <c r="C591">
        <f t="shared" si="12"/>
        <v>2024</v>
      </c>
    </row>
    <row r="592" spans="1:3" x14ac:dyDescent="0.2">
      <c r="A592" s="3">
        <v>45495</v>
      </c>
      <c r="B592">
        <v>88.020600000000002</v>
      </c>
      <c r="C592">
        <f t="shared" si="12"/>
        <v>2024</v>
      </c>
    </row>
    <row r="593" spans="1:3" x14ac:dyDescent="0.2">
      <c r="A593" s="3">
        <v>45494</v>
      </c>
      <c r="B593">
        <v>88.020600000000002</v>
      </c>
      <c r="C593">
        <f t="shared" si="12"/>
        <v>2024</v>
      </c>
    </row>
    <row r="594" spans="1:3" x14ac:dyDescent="0.2">
      <c r="A594" s="3">
        <v>45493</v>
      </c>
      <c r="B594">
        <v>88.020600000000002</v>
      </c>
      <c r="C594">
        <f t="shared" si="12"/>
        <v>2024</v>
      </c>
    </row>
    <row r="595" spans="1:3" x14ac:dyDescent="0.2">
      <c r="A595" s="3">
        <v>45492</v>
      </c>
      <c r="B595">
        <v>87.875399999999999</v>
      </c>
      <c r="C595">
        <f t="shared" si="12"/>
        <v>2024</v>
      </c>
    </row>
    <row r="596" spans="1:3" x14ac:dyDescent="0.2">
      <c r="A596" s="3">
        <v>45491</v>
      </c>
      <c r="B596">
        <v>88.087199999999996</v>
      </c>
      <c r="C596">
        <f t="shared" si="12"/>
        <v>2024</v>
      </c>
    </row>
    <row r="597" spans="1:3" x14ac:dyDescent="0.2">
      <c r="A597" s="3">
        <v>45490</v>
      </c>
      <c r="B597">
        <v>88.282399999999996</v>
      </c>
      <c r="C597">
        <f t="shared" si="12"/>
        <v>2024</v>
      </c>
    </row>
    <row r="598" spans="1:3" x14ac:dyDescent="0.2">
      <c r="A598" s="3">
        <v>45489</v>
      </c>
      <c r="B598">
        <v>87.807699999999997</v>
      </c>
      <c r="C598">
        <f t="shared" si="12"/>
        <v>2024</v>
      </c>
    </row>
    <row r="599" spans="1:3" x14ac:dyDescent="0.2">
      <c r="A599" s="3">
        <v>45488</v>
      </c>
      <c r="B599">
        <v>87.742699999999999</v>
      </c>
      <c r="C599">
        <f t="shared" si="12"/>
        <v>2024</v>
      </c>
    </row>
    <row r="600" spans="1:3" x14ac:dyDescent="0.2">
      <c r="A600" s="3">
        <v>45487</v>
      </c>
      <c r="B600">
        <v>87.742699999999999</v>
      </c>
      <c r="C600">
        <f t="shared" si="12"/>
        <v>2024</v>
      </c>
    </row>
    <row r="601" spans="1:3" x14ac:dyDescent="0.2">
      <c r="A601" s="3">
        <v>45486</v>
      </c>
      <c r="B601">
        <v>87.742699999999999</v>
      </c>
      <c r="C601">
        <f t="shared" si="12"/>
        <v>2024</v>
      </c>
    </row>
    <row r="602" spans="1:3" x14ac:dyDescent="0.2">
      <c r="A602" s="3">
        <v>45485</v>
      </c>
      <c r="B602">
        <v>87.988</v>
      </c>
      <c r="C602">
        <f t="shared" si="12"/>
        <v>2024</v>
      </c>
    </row>
    <row r="603" spans="1:3" x14ac:dyDescent="0.2">
      <c r="A603" s="3">
        <v>45484</v>
      </c>
      <c r="B603">
        <v>87.855099999999993</v>
      </c>
      <c r="C603">
        <f t="shared" si="12"/>
        <v>2024</v>
      </c>
    </row>
    <row r="604" spans="1:3" x14ac:dyDescent="0.2">
      <c r="A604" s="3">
        <v>45483</v>
      </c>
      <c r="B604">
        <v>88.003100000000003</v>
      </c>
      <c r="C604">
        <f t="shared" si="12"/>
        <v>2024</v>
      </c>
    </row>
    <row r="605" spans="1:3" x14ac:dyDescent="0.2">
      <c r="A605" s="3">
        <v>45482</v>
      </c>
      <c r="B605">
        <v>88.168800000000005</v>
      </c>
      <c r="C605">
        <f t="shared" si="12"/>
        <v>2024</v>
      </c>
    </row>
    <row r="606" spans="1:3" x14ac:dyDescent="0.2">
      <c r="A606" s="3">
        <v>45481</v>
      </c>
      <c r="B606">
        <v>88.134799999999998</v>
      </c>
      <c r="C606">
        <f t="shared" si="12"/>
        <v>2024</v>
      </c>
    </row>
    <row r="607" spans="1:3" x14ac:dyDescent="0.2">
      <c r="A607" s="3">
        <v>45480</v>
      </c>
      <c r="B607">
        <v>88.134799999999998</v>
      </c>
      <c r="C607">
        <f t="shared" si="12"/>
        <v>2024</v>
      </c>
    </row>
    <row r="608" spans="1:3" x14ac:dyDescent="0.2">
      <c r="A608" s="3">
        <v>45479</v>
      </c>
      <c r="B608">
        <v>88.134799999999998</v>
      </c>
      <c r="C608">
        <f t="shared" si="12"/>
        <v>2024</v>
      </c>
    </row>
    <row r="609" spans="1:3" x14ac:dyDescent="0.2">
      <c r="A609" s="3">
        <v>45478</v>
      </c>
      <c r="B609">
        <v>88.120500000000007</v>
      </c>
      <c r="C609">
        <f t="shared" si="12"/>
        <v>2024</v>
      </c>
    </row>
    <row r="610" spans="1:3" x14ac:dyDescent="0.2">
      <c r="A610" s="3">
        <v>45477</v>
      </c>
      <c r="B610">
        <v>87.950599999999994</v>
      </c>
      <c r="C610">
        <f t="shared" si="12"/>
        <v>2024</v>
      </c>
    </row>
    <row r="611" spans="1:3" x14ac:dyDescent="0.2">
      <c r="A611" s="3">
        <v>45476</v>
      </c>
      <c r="B611">
        <v>87.992099999999994</v>
      </c>
      <c r="C611">
        <f t="shared" si="12"/>
        <v>2024</v>
      </c>
    </row>
    <row r="612" spans="1:3" x14ac:dyDescent="0.2">
      <c r="A612" s="3">
        <v>45475</v>
      </c>
      <c r="B612">
        <v>87.297200000000004</v>
      </c>
      <c r="C612">
        <f t="shared" si="12"/>
        <v>2024</v>
      </c>
    </row>
    <row r="613" spans="1:3" x14ac:dyDescent="0.2">
      <c r="A613" s="3">
        <v>45474</v>
      </c>
      <c r="B613">
        <v>85.748000000000005</v>
      </c>
      <c r="C613">
        <f t="shared" si="12"/>
        <v>2024</v>
      </c>
    </row>
    <row r="614" spans="1:3" x14ac:dyDescent="0.2">
      <c r="A614" s="3">
        <v>45473</v>
      </c>
      <c r="B614">
        <v>85.748000000000005</v>
      </c>
      <c r="C614">
        <f t="shared" si="12"/>
        <v>2024</v>
      </c>
    </row>
    <row r="615" spans="1:3" x14ac:dyDescent="0.2">
      <c r="A615" s="3">
        <v>45472</v>
      </c>
      <c r="B615">
        <v>85.748000000000005</v>
      </c>
      <c r="C615">
        <f t="shared" si="12"/>
        <v>2024</v>
      </c>
    </row>
    <row r="616" spans="1:3" x14ac:dyDescent="0.2">
      <c r="A616" s="3">
        <v>45471</v>
      </c>
      <c r="B616">
        <v>84.963999999999999</v>
      </c>
      <c r="C616">
        <f t="shared" si="12"/>
        <v>2024</v>
      </c>
    </row>
    <row r="617" spans="1:3" x14ac:dyDescent="0.2">
      <c r="A617" s="3">
        <v>45470</v>
      </c>
      <c r="B617">
        <v>87.806399999999996</v>
      </c>
      <c r="C617">
        <f t="shared" si="12"/>
        <v>2024</v>
      </c>
    </row>
    <row r="618" spans="1:3" x14ac:dyDescent="0.2">
      <c r="A618" s="3">
        <v>45469</v>
      </c>
      <c r="B618">
        <v>87.277000000000001</v>
      </c>
      <c r="C618">
        <f t="shared" si="12"/>
        <v>2024</v>
      </c>
    </row>
    <row r="619" spans="1:3" x14ac:dyDescent="0.2">
      <c r="A619" s="3">
        <v>45468</v>
      </c>
      <c r="B619">
        <v>87.373000000000005</v>
      </c>
      <c r="C619">
        <f t="shared" si="12"/>
        <v>2024</v>
      </c>
    </row>
    <row r="620" spans="1:3" x14ac:dyDescent="0.2">
      <c r="A620" s="3">
        <v>45467</v>
      </c>
      <c r="B620">
        <v>87.959500000000006</v>
      </c>
      <c r="C620">
        <f t="shared" si="12"/>
        <v>2024</v>
      </c>
    </row>
    <row r="621" spans="1:3" x14ac:dyDescent="0.2">
      <c r="A621" s="3">
        <v>45466</v>
      </c>
      <c r="B621">
        <v>87.959500000000006</v>
      </c>
      <c r="C621">
        <f t="shared" si="12"/>
        <v>2024</v>
      </c>
    </row>
    <row r="622" spans="1:3" x14ac:dyDescent="0.2">
      <c r="A622" s="3">
        <v>45465</v>
      </c>
      <c r="B622">
        <v>87.959500000000006</v>
      </c>
      <c r="C622">
        <f t="shared" si="12"/>
        <v>2024</v>
      </c>
    </row>
    <row r="623" spans="1:3" x14ac:dyDescent="0.2">
      <c r="A623" s="3">
        <v>45464</v>
      </c>
      <c r="B623">
        <v>85.417599999999993</v>
      </c>
      <c r="C623">
        <f t="shared" si="12"/>
        <v>2024</v>
      </c>
    </row>
    <row r="624" spans="1:3" x14ac:dyDescent="0.2">
      <c r="A624" s="3">
        <v>45463</v>
      </c>
      <c r="B624">
        <v>82.628200000000007</v>
      </c>
      <c r="C624">
        <f t="shared" si="12"/>
        <v>2024</v>
      </c>
    </row>
    <row r="625" spans="1:3" x14ac:dyDescent="0.2">
      <c r="A625" s="3">
        <v>45462</v>
      </c>
      <c r="B625">
        <v>87.035399999999996</v>
      </c>
      <c r="C625">
        <f t="shared" si="12"/>
        <v>2024</v>
      </c>
    </row>
    <row r="626" spans="1:3" x14ac:dyDescent="0.2">
      <c r="A626" s="3">
        <v>45461</v>
      </c>
      <c r="B626">
        <v>89.049899999999994</v>
      </c>
      <c r="C626">
        <f t="shared" si="12"/>
        <v>2024</v>
      </c>
    </row>
    <row r="627" spans="1:3" x14ac:dyDescent="0.2">
      <c r="A627" s="3">
        <v>45460</v>
      </c>
      <c r="B627">
        <v>89.065799999999996</v>
      </c>
      <c r="C627">
        <f t="shared" si="12"/>
        <v>2024</v>
      </c>
    </row>
    <row r="628" spans="1:3" x14ac:dyDescent="0.2">
      <c r="A628" s="3">
        <v>45459</v>
      </c>
      <c r="B628">
        <v>89.065799999999996</v>
      </c>
      <c r="C628">
        <f t="shared" si="12"/>
        <v>2024</v>
      </c>
    </row>
    <row r="629" spans="1:3" x14ac:dyDescent="0.2">
      <c r="A629" s="3">
        <v>45458</v>
      </c>
      <c r="B629">
        <v>89.065799999999996</v>
      </c>
      <c r="C629">
        <f t="shared" si="12"/>
        <v>2024</v>
      </c>
    </row>
    <row r="630" spans="1:3" x14ac:dyDescent="0.2">
      <c r="A630" s="3">
        <v>45457</v>
      </c>
      <c r="B630">
        <v>88.207999999999998</v>
      </c>
      <c r="C630">
        <f t="shared" si="12"/>
        <v>2024</v>
      </c>
    </row>
    <row r="631" spans="1:3" x14ac:dyDescent="0.2">
      <c r="A631" s="3">
        <v>45456</v>
      </c>
      <c r="B631">
        <v>89.0214</v>
      </c>
      <c r="C631">
        <f t="shared" si="12"/>
        <v>2024</v>
      </c>
    </row>
    <row r="632" spans="1:3" x14ac:dyDescent="0.2">
      <c r="A632" s="3">
        <v>45455</v>
      </c>
      <c r="B632">
        <v>89.0214</v>
      </c>
      <c r="C632">
        <f t="shared" si="12"/>
        <v>2024</v>
      </c>
    </row>
    <row r="633" spans="1:3" x14ac:dyDescent="0.2">
      <c r="A633" s="3">
        <v>45454</v>
      </c>
      <c r="B633">
        <v>88.994399999999999</v>
      </c>
      <c r="C633">
        <f t="shared" si="12"/>
        <v>2024</v>
      </c>
    </row>
    <row r="634" spans="1:3" x14ac:dyDescent="0.2">
      <c r="A634" s="3">
        <v>45453</v>
      </c>
      <c r="B634">
        <v>88.760599999999997</v>
      </c>
      <c r="C634">
        <f t="shared" si="12"/>
        <v>2024</v>
      </c>
    </row>
    <row r="635" spans="1:3" x14ac:dyDescent="0.2">
      <c r="A635" s="3">
        <v>45452</v>
      </c>
      <c r="B635">
        <v>88.760599999999997</v>
      </c>
      <c r="C635">
        <f t="shared" si="12"/>
        <v>2024</v>
      </c>
    </row>
    <row r="636" spans="1:3" x14ac:dyDescent="0.2">
      <c r="A636" s="3">
        <v>45451</v>
      </c>
      <c r="B636">
        <v>88.760599999999997</v>
      </c>
      <c r="C636">
        <f t="shared" si="12"/>
        <v>2024</v>
      </c>
    </row>
    <row r="637" spans="1:3" x14ac:dyDescent="0.2">
      <c r="A637" s="3">
        <v>45450</v>
      </c>
      <c r="B637">
        <v>88.760400000000004</v>
      </c>
      <c r="C637">
        <f t="shared" si="12"/>
        <v>2024</v>
      </c>
    </row>
    <row r="638" spans="1:3" x14ac:dyDescent="0.2">
      <c r="A638" s="3">
        <v>45449</v>
      </c>
      <c r="B638">
        <v>88.743600000000001</v>
      </c>
      <c r="C638">
        <f t="shared" si="12"/>
        <v>2024</v>
      </c>
    </row>
    <row r="639" spans="1:3" x14ac:dyDescent="0.2">
      <c r="A639" s="3">
        <v>45448</v>
      </c>
      <c r="B639">
        <v>88.757400000000004</v>
      </c>
      <c r="C639">
        <f t="shared" si="12"/>
        <v>2024</v>
      </c>
    </row>
    <row r="640" spans="1:3" x14ac:dyDescent="0.2">
      <c r="A640" s="3">
        <v>45447</v>
      </c>
      <c r="B640">
        <v>89.375500000000002</v>
      </c>
      <c r="C640">
        <f t="shared" si="12"/>
        <v>2024</v>
      </c>
    </row>
    <row r="641" spans="1:3" x14ac:dyDescent="0.2">
      <c r="A641" s="3">
        <v>45446</v>
      </c>
      <c r="B641">
        <v>90.191500000000005</v>
      </c>
      <c r="C641">
        <f t="shared" si="12"/>
        <v>2024</v>
      </c>
    </row>
    <row r="642" spans="1:3" x14ac:dyDescent="0.2">
      <c r="A642" s="3">
        <v>45445</v>
      </c>
      <c r="B642">
        <v>90.191500000000005</v>
      </c>
      <c r="C642">
        <f t="shared" si="12"/>
        <v>2024</v>
      </c>
    </row>
    <row r="643" spans="1:3" x14ac:dyDescent="0.2">
      <c r="A643" s="3">
        <v>45444</v>
      </c>
      <c r="B643">
        <v>90.191500000000005</v>
      </c>
      <c r="C643">
        <f t="shared" si="12"/>
        <v>2024</v>
      </c>
    </row>
    <row r="644" spans="1:3" x14ac:dyDescent="0.2">
      <c r="A644" s="3">
        <v>45443</v>
      </c>
      <c r="B644">
        <v>89.786900000000003</v>
      </c>
      <c r="C644">
        <f t="shared" ref="C644:C707" si="13">YEAR(A644)</f>
        <v>2024</v>
      </c>
    </row>
    <row r="645" spans="1:3" x14ac:dyDescent="0.2">
      <c r="A645" s="3">
        <v>45442</v>
      </c>
      <c r="B645">
        <v>89.258899999999997</v>
      </c>
      <c r="C645">
        <f t="shared" si="13"/>
        <v>2024</v>
      </c>
    </row>
    <row r="646" spans="1:3" x14ac:dyDescent="0.2">
      <c r="A646" s="3">
        <v>45441</v>
      </c>
      <c r="B646">
        <v>88.4375</v>
      </c>
      <c r="C646">
        <f t="shared" si="13"/>
        <v>2024</v>
      </c>
    </row>
    <row r="647" spans="1:3" x14ac:dyDescent="0.2">
      <c r="A647" s="3">
        <v>45440</v>
      </c>
      <c r="B647">
        <v>88.685199999999995</v>
      </c>
      <c r="C647">
        <f t="shared" si="13"/>
        <v>2024</v>
      </c>
    </row>
    <row r="648" spans="1:3" x14ac:dyDescent="0.2">
      <c r="A648" s="3">
        <v>45439</v>
      </c>
      <c r="B648">
        <v>89.702600000000004</v>
      </c>
      <c r="C648">
        <f t="shared" si="13"/>
        <v>2024</v>
      </c>
    </row>
    <row r="649" spans="1:3" x14ac:dyDescent="0.2">
      <c r="A649" s="3">
        <v>45438</v>
      </c>
      <c r="B649">
        <v>89.702600000000004</v>
      </c>
      <c r="C649">
        <f t="shared" si="13"/>
        <v>2024</v>
      </c>
    </row>
    <row r="650" spans="1:3" x14ac:dyDescent="0.2">
      <c r="A650" s="3">
        <v>45437</v>
      </c>
      <c r="B650">
        <v>89.702600000000004</v>
      </c>
      <c r="C650">
        <f t="shared" si="13"/>
        <v>2024</v>
      </c>
    </row>
    <row r="651" spans="1:3" x14ac:dyDescent="0.2">
      <c r="A651" s="3">
        <v>45436</v>
      </c>
      <c r="B651">
        <v>90.248599999999996</v>
      </c>
      <c r="C651">
        <f t="shared" si="13"/>
        <v>2024</v>
      </c>
    </row>
    <row r="652" spans="1:3" x14ac:dyDescent="0.2">
      <c r="A652" s="3">
        <v>45435</v>
      </c>
      <c r="B652">
        <v>90.188699999999997</v>
      </c>
      <c r="C652">
        <f t="shared" si="13"/>
        <v>2024</v>
      </c>
    </row>
    <row r="653" spans="1:3" x14ac:dyDescent="0.2">
      <c r="A653" s="3">
        <v>45434</v>
      </c>
      <c r="B653">
        <v>90.408199999999994</v>
      </c>
      <c r="C653">
        <f t="shared" si="13"/>
        <v>2024</v>
      </c>
    </row>
    <row r="654" spans="1:3" x14ac:dyDescent="0.2">
      <c r="A654" s="3">
        <v>45433</v>
      </c>
      <c r="B654">
        <v>90.653700000000001</v>
      </c>
      <c r="C654">
        <f t="shared" si="13"/>
        <v>2024</v>
      </c>
    </row>
    <row r="655" spans="1:3" x14ac:dyDescent="0.2">
      <c r="A655" s="3">
        <v>45432</v>
      </c>
      <c r="B655">
        <v>90.987300000000005</v>
      </c>
      <c r="C655">
        <f t="shared" si="13"/>
        <v>2024</v>
      </c>
    </row>
    <row r="656" spans="1:3" x14ac:dyDescent="0.2">
      <c r="A656" s="3">
        <v>45431</v>
      </c>
      <c r="B656">
        <v>90.987300000000005</v>
      </c>
      <c r="C656">
        <f t="shared" si="13"/>
        <v>2024</v>
      </c>
    </row>
    <row r="657" spans="1:3" x14ac:dyDescent="0.2">
      <c r="A657" s="3">
        <v>45430</v>
      </c>
      <c r="B657">
        <v>90.987300000000005</v>
      </c>
      <c r="C657">
        <f t="shared" si="13"/>
        <v>2024</v>
      </c>
    </row>
    <row r="658" spans="1:3" x14ac:dyDescent="0.2">
      <c r="A658" s="3">
        <v>45429</v>
      </c>
      <c r="B658">
        <v>90.923900000000003</v>
      </c>
      <c r="C658">
        <f t="shared" si="13"/>
        <v>2024</v>
      </c>
    </row>
    <row r="659" spans="1:3" x14ac:dyDescent="0.2">
      <c r="A659" s="3">
        <v>45428</v>
      </c>
      <c r="B659">
        <v>91.257300000000001</v>
      </c>
      <c r="C659">
        <f t="shared" si="13"/>
        <v>2024</v>
      </c>
    </row>
    <row r="660" spans="1:3" x14ac:dyDescent="0.2">
      <c r="A660" s="3">
        <v>45427</v>
      </c>
      <c r="B660">
        <v>91.359099999999998</v>
      </c>
      <c r="C660">
        <f t="shared" si="13"/>
        <v>2024</v>
      </c>
    </row>
    <row r="661" spans="1:3" x14ac:dyDescent="0.2">
      <c r="A661" s="3">
        <v>45426</v>
      </c>
      <c r="B661">
        <v>91.632999999999996</v>
      </c>
      <c r="C661">
        <f t="shared" si="13"/>
        <v>2024</v>
      </c>
    </row>
    <row r="662" spans="1:3" x14ac:dyDescent="0.2">
      <c r="A662" s="3">
        <v>45425</v>
      </c>
      <c r="B662">
        <v>91.352500000000006</v>
      </c>
      <c r="C662">
        <f t="shared" si="13"/>
        <v>2024</v>
      </c>
    </row>
    <row r="663" spans="1:3" x14ac:dyDescent="0.2">
      <c r="A663" s="3">
        <v>45422</v>
      </c>
      <c r="B663">
        <v>91.823899999999995</v>
      </c>
      <c r="C663">
        <f t="shared" si="13"/>
        <v>2024</v>
      </c>
    </row>
    <row r="664" spans="1:3" x14ac:dyDescent="0.2">
      <c r="A664" s="3">
        <v>45421</v>
      </c>
      <c r="B664">
        <v>91.823899999999995</v>
      </c>
      <c r="C664">
        <f t="shared" si="13"/>
        <v>2024</v>
      </c>
    </row>
    <row r="665" spans="1:3" x14ac:dyDescent="0.2">
      <c r="A665" s="3">
        <v>45420</v>
      </c>
      <c r="B665">
        <v>91.123099999999994</v>
      </c>
      <c r="C665">
        <f t="shared" si="13"/>
        <v>2024</v>
      </c>
    </row>
    <row r="666" spans="1:3" x14ac:dyDescent="0.2">
      <c r="A666" s="3">
        <v>45419</v>
      </c>
      <c r="B666">
        <v>91.312399999999997</v>
      </c>
      <c r="C666">
        <f t="shared" si="13"/>
        <v>2024</v>
      </c>
    </row>
    <row r="667" spans="1:3" x14ac:dyDescent="0.2">
      <c r="A667" s="3">
        <v>45418</v>
      </c>
      <c r="B667">
        <v>91.691800000000001</v>
      </c>
      <c r="C667">
        <f t="shared" si="13"/>
        <v>2024</v>
      </c>
    </row>
    <row r="668" spans="1:3" x14ac:dyDescent="0.2">
      <c r="A668" s="3">
        <v>45417</v>
      </c>
      <c r="B668">
        <v>91.691800000000001</v>
      </c>
      <c r="C668">
        <f t="shared" si="13"/>
        <v>2024</v>
      </c>
    </row>
    <row r="669" spans="1:3" x14ac:dyDescent="0.2">
      <c r="A669" s="3">
        <v>45416</v>
      </c>
      <c r="B669">
        <v>91.691800000000001</v>
      </c>
      <c r="C669">
        <f t="shared" si="13"/>
        <v>2024</v>
      </c>
    </row>
    <row r="670" spans="1:3" x14ac:dyDescent="0.2">
      <c r="A670" s="3">
        <v>45415</v>
      </c>
      <c r="B670">
        <v>92.053799999999995</v>
      </c>
      <c r="C670">
        <f t="shared" si="13"/>
        <v>2024</v>
      </c>
    </row>
    <row r="671" spans="1:3" x14ac:dyDescent="0.2">
      <c r="A671" s="3">
        <v>45414</v>
      </c>
      <c r="B671">
        <v>92.05</v>
      </c>
      <c r="C671">
        <f t="shared" si="13"/>
        <v>2024</v>
      </c>
    </row>
    <row r="672" spans="1:3" x14ac:dyDescent="0.2">
      <c r="A672" s="3">
        <v>45412</v>
      </c>
      <c r="B672">
        <v>93.052499999999995</v>
      </c>
      <c r="C672">
        <f t="shared" si="13"/>
        <v>2024</v>
      </c>
    </row>
    <row r="673" spans="1:3" x14ac:dyDescent="0.2">
      <c r="A673" s="3">
        <v>45411</v>
      </c>
      <c r="B673">
        <v>91.7791</v>
      </c>
      <c r="C673">
        <f t="shared" si="13"/>
        <v>2024</v>
      </c>
    </row>
    <row r="674" spans="1:3" x14ac:dyDescent="0.2">
      <c r="A674" s="3">
        <v>45410</v>
      </c>
      <c r="B674">
        <v>91.7791</v>
      </c>
      <c r="C674">
        <f t="shared" si="13"/>
        <v>2024</v>
      </c>
    </row>
    <row r="675" spans="1:3" x14ac:dyDescent="0.2">
      <c r="A675" s="3">
        <v>45409</v>
      </c>
      <c r="B675">
        <v>92.013400000000004</v>
      </c>
      <c r="C675">
        <f t="shared" si="13"/>
        <v>2024</v>
      </c>
    </row>
    <row r="676" spans="1:3" x14ac:dyDescent="0.2">
      <c r="A676" s="3">
        <v>45408</v>
      </c>
      <c r="B676">
        <v>92.131399999999999</v>
      </c>
      <c r="C676">
        <f t="shared" si="13"/>
        <v>2024</v>
      </c>
    </row>
    <row r="677" spans="1:3" x14ac:dyDescent="0.2">
      <c r="A677" s="3">
        <v>45407</v>
      </c>
      <c r="B677">
        <v>92.505799999999994</v>
      </c>
      <c r="C677">
        <f t="shared" si="13"/>
        <v>2024</v>
      </c>
    </row>
    <row r="678" spans="1:3" x14ac:dyDescent="0.2">
      <c r="A678" s="3">
        <v>45406</v>
      </c>
      <c r="B678">
        <v>93.291799999999995</v>
      </c>
      <c r="C678">
        <f t="shared" si="13"/>
        <v>2024</v>
      </c>
    </row>
    <row r="679" spans="1:3" x14ac:dyDescent="0.2">
      <c r="A679" s="3">
        <v>45405</v>
      </c>
      <c r="B679">
        <v>93.251900000000006</v>
      </c>
      <c r="C679">
        <f t="shared" si="13"/>
        <v>2024</v>
      </c>
    </row>
    <row r="680" spans="1:3" x14ac:dyDescent="0.2">
      <c r="A680" s="3">
        <v>45404</v>
      </c>
      <c r="B680">
        <v>93.440899999999999</v>
      </c>
      <c r="C680">
        <f t="shared" si="13"/>
        <v>2024</v>
      </c>
    </row>
    <row r="681" spans="1:3" x14ac:dyDescent="0.2">
      <c r="A681" s="3">
        <v>45403</v>
      </c>
      <c r="B681">
        <v>93.440899999999999</v>
      </c>
      <c r="C681">
        <f t="shared" si="13"/>
        <v>2024</v>
      </c>
    </row>
    <row r="682" spans="1:3" x14ac:dyDescent="0.2">
      <c r="A682" s="3">
        <v>45402</v>
      </c>
      <c r="B682">
        <v>93.440899999999999</v>
      </c>
      <c r="C682">
        <f t="shared" si="13"/>
        <v>2024</v>
      </c>
    </row>
    <row r="683" spans="1:3" x14ac:dyDescent="0.2">
      <c r="A683" s="3">
        <v>45401</v>
      </c>
      <c r="B683">
        <v>94.092200000000005</v>
      </c>
      <c r="C683">
        <f t="shared" si="13"/>
        <v>2024</v>
      </c>
    </row>
    <row r="684" spans="1:3" x14ac:dyDescent="0.2">
      <c r="A684" s="3">
        <v>45400</v>
      </c>
      <c r="B684">
        <v>94.324200000000005</v>
      </c>
      <c r="C684">
        <f t="shared" si="13"/>
        <v>2024</v>
      </c>
    </row>
    <row r="685" spans="1:3" x14ac:dyDescent="0.2">
      <c r="A685" s="3">
        <v>45399</v>
      </c>
      <c r="B685">
        <v>94.074200000000005</v>
      </c>
      <c r="C685">
        <f t="shared" si="13"/>
        <v>2024</v>
      </c>
    </row>
    <row r="686" spans="1:3" x14ac:dyDescent="0.2">
      <c r="A686" s="3">
        <v>45398</v>
      </c>
      <c r="B686">
        <v>93.589100000000002</v>
      </c>
      <c r="C686">
        <f t="shared" si="13"/>
        <v>2024</v>
      </c>
    </row>
    <row r="687" spans="1:3" x14ac:dyDescent="0.2">
      <c r="A687" s="3">
        <v>45397</v>
      </c>
      <c r="B687">
        <v>93.441900000000004</v>
      </c>
      <c r="C687">
        <f t="shared" si="13"/>
        <v>2024</v>
      </c>
    </row>
    <row r="688" spans="1:3" x14ac:dyDescent="0.2">
      <c r="A688" s="3">
        <v>45396</v>
      </c>
      <c r="B688">
        <v>93.441900000000004</v>
      </c>
      <c r="C688">
        <f t="shared" si="13"/>
        <v>2024</v>
      </c>
    </row>
    <row r="689" spans="1:3" x14ac:dyDescent="0.2">
      <c r="A689" s="3">
        <v>45395</v>
      </c>
      <c r="B689">
        <v>93.441900000000004</v>
      </c>
      <c r="C689">
        <f t="shared" si="13"/>
        <v>2024</v>
      </c>
    </row>
    <row r="690" spans="1:3" x14ac:dyDescent="0.2">
      <c r="A690" s="3">
        <v>45394</v>
      </c>
      <c r="B690">
        <v>93.7196</v>
      </c>
      <c r="C690">
        <f t="shared" si="13"/>
        <v>2024</v>
      </c>
    </row>
    <row r="691" spans="1:3" x14ac:dyDescent="0.2">
      <c r="A691" s="3">
        <v>45393</v>
      </c>
      <c r="B691">
        <v>93.219800000000006</v>
      </c>
      <c r="C691">
        <f t="shared" si="13"/>
        <v>2024</v>
      </c>
    </row>
    <row r="692" spans="1:3" x14ac:dyDescent="0.2">
      <c r="A692" s="3">
        <v>45392</v>
      </c>
      <c r="B692">
        <v>92.746300000000005</v>
      </c>
      <c r="C692">
        <f t="shared" si="13"/>
        <v>2024</v>
      </c>
    </row>
    <row r="693" spans="1:3" x14ac:dyDescent="0.2">
      <c r="A693" s="3">
        <v>45391</v>
      </c>
      <c r="B693">
        <v>92.581000000000003</v>
      </c>
      <c r="C693">
        <f t="shared" si="13"/>
        <v>2024</v>
      </c>
    </row>
    <row r="694" spans="1:3" x14ac:dyDescent="0.2">
      <c r="A694" s="3">
        <v>45390</v>
      </c>
      <c r="B694">
        <v>92.415499999999994</v>
      </c>
      <c r="C694">
        <f t="shared" si="13"/>
        <v>2024</v>
      </c>
    </row>
    <row r="695" spans="1:3" x14ac:dyDescent="0.2">
      <c r="A695" s="3">
        <v>45389</v>
      </c>
      <c r="B695">
        <v>92.415499999999994</v>
      </c>
      <c r="C695">
        <f t="shared" si="13"/>
        <v>2024</v>
      </c>
    </row>
    <row r="696" spans="1:3" x14ac:dyDescent="0.2">
      <c r="A696" s="3">
        <v>45388</v>
      </c>
      <c r="B696">
        <v>92.415499999999994</v>
      </c>
      <c r="C696">
        <f t="shared" si="13"/>
        <v>2024</v>
      </c>
    </row>
    <row r="697" spans="1:3" x14ac:dyDescent="0.2">
      <c r="A697" s="3">
        <v>45387</v>
      </c>
      <c r="B697">
        <v>92.305800000000005</v>
      </c>
      <c r="C697">
        <f t="shared" si="13"/>
        <v>2024</v>
      </c>
    </row>
    <row r="698" spans="1:3" x14ac:dyDescent="0.2">
      <c r="A698" s="3">
        <v>45386</v>
      </c>
      <c r="B698">
        <v>92.389200000000002</v>
      </c>
      <c r="C698">
        <f t="shared" si="13"/>
        <v>2024</v>
      </c>
    </row>
    <row r="699" spans="1:3" x14ac:dyDescent="0.2">
      <c r="A699" s="3">
        <v>45385</v>
      </c>
      <c r="B699">
        <v>92.525400000000005</v>
      </c>
      <c r="C699">
        <f t="shared" si="13"/>
        <v>2024</v>
      </c>
    </row>
    <row r="700" spans="1:3" x14ac:dyDescent="0.2">
      <c r="A700" s="3">
        <v>45384</v>
      </c>
      <c r="B700">
        <v>92.291399999999996</v>
      </c>
      <c r="C700">
        <f t="shared" si="13"/>
        <v>2024</v>
      </c>
    </row>
    <row r="701" spans="1:3" x14ac:dyDescent="0.2">
      <c r="A701" s="3">
        <v>45383</v>
      </c>
      <c r="B701">
        <v>92.366</v>
      </c>
      <c r="C701">
        <f t="shared" si="13"/>
        <v>2024</v>
      </c>
    </row>
    <row r="702" spans="1:3" x14ac:dyDescent="0.2">
      <c r="A702" s="3">
        <v>45382</v>
      </c>
      <c r="B702">
        <v>92.366</v>
      </c>
      <c r="C702">
        <f t="shared" si="13"/>
        <v>2024</v>
      </c>
    </row>
    <row r="703" spans="1:3" x14ac:dyDescent="0.2">
      <c r="A703" s="3">
        <v>45381</v>
      </c>
      <c r="B703">
        <v>92.366</v>
      </c>
      <c r="C703">
        <f t="shared" si="13"/>
        <v>2024</v>
      </c>
    </row>
    <row r="704" spans="1:3" x14ac:dyDescent="0.2">
      <c r="A704" s="3">
        <v>45380</v>
      </c>
      <c r="B704">
        <v>92.262799999999999</v>
      </c>
      <c r="C704">
        <f t="shared" si="13"/>
        <v>2024</v>
      </c>
    </row>
    <row r="705" spans="1:3" x14ac:dyDescent="0.2">
      <c r="A705" s="3">
        <v>45379</v>
      </c>
      <c r="B705">
        <v>92.591899999999995</v>
      </c>
      <c r="C705">
        <f t="shared" si="13"/>
        <v>2024</v>
      </c>
    </row>
    <row r="706" spans="1:3" x14ac:dyDescent="0.2">
      <c r="A706" s="3">
        <v>45378</v>
      </c>
      <c r="B706">
        <v>92.5745</v>
      </c>
      <c r="C706">
        <f t="shared" si="13"/>
        <v>2024</v>
      </c>
    </row>
    <row r="707" spans="1:3" x14ac:dyDescent="0.2">
      <c r="A707" s="3">
        <v>45377</v>
      </c>
      <c r="B707">
        <v>92.7761</v>
      </c>
      <c r="C707">
        <f t="shared" si="13"/>
        <v>2024</v>
      </c>
    </row>
    <row r="708" spans="1:3" x14ac:dyDescent="0.2">
      <c r="A708" s="3">
        <v>45376</v>
      </c>
      <c r="B708">
        <v>92.611800000000002</v>
      </c>
      <c r="C708">
        <f t="shared" ref="C708:C771" si="14">YEAR(A708)</f>
        <v>2024</v>
      </c>
    </row>
    <row r="709" spans="1:3" x14ac:dyDescent="0.2">
      <c r="A709" s="3">
        <v>45375</v>
      </c>
      <c r="B709">
        <v>92.611800000000002</v>
      </c>
      <c r="C709">
        <f t="shared" si="14"/>
        <v>2024</v>
      </c>
    </row>
    <row r="710" spans="1:3" x14ac:dyDescent="0.2">
      <c r="A710" s="3">
        <v>45374</v>
      </c>
      <c r="B710">
        <v>92.611800000000002</v>
      </c>
      <c r="C710">
        <f t="shared" si="14"/>
        <v>2024</v>
      </c>
    </row>
    <row r="711" spans="1:3" x14ac:dyDescent="0.2">
      <c r="A711" s="3">
        <v>45373</v>
      </c>
      <c r="B711">
        <v>91.9499</v>
      </c>
      <c r="C711">
        <f t="shared" si="14"/>
        <v>2024</v>
      </c>
    </row>
    <row r="712" spans="1:3" x14ac:dyDescent="0.2">
      <c r="A712" s="3">
        <v>45372</v>
      </c>
      <c r="B712">
        <v>92.686099999999996</v>
      </c>
      <c r="C712">
        <f t="shared" si="14"/>
        <v>2024</v>
      </c>
    </row>
    <row r="713" spans="1:3" x14ac:dyDescent="0.2">
      <c r="A713" s="3">
        <v>45371</v>
      </c>
      <c r="B713">
        <v>92.224299999999999</v>
      </c>
      <c r="C713">
        <f t="shared" si="14"/>
        <v>2024</v>
      </c>
    </row>
    <row r="714" spans="1:3" x14ac:dyDescent="0.2">
      <c r="A714" s="3">
        <v>45370</v>
      </c>
      <c r="B714">
        <v>91.982900000000001</v>
      </c>
      <c r="C714">
        <f t="shared" si="14"/>
        <v>2024</v>
      </c>
    </row>
    <row r="715" spans="1:3" x14ac:dyDescent="0.2">
      <c r="A715" s="3">
        <v>45369</v>
      </c>
      <c r="B715">
        <v>91.87</v>
      </c>
      <c r="C715">
        <f t="shared" si="14"/>
        <v>2024</v>
      </c>
    </row>
    <row r="716" spans="1:3" x14ac:dyDescent="0.2">
      <c r="A716" s="3">
        <v>45368</v>
      </c>
      <c r="B716">
        <v>91.87</v>
      </c>
      <c r="C716">
        <f t="shared" si="14"/>
        <v>2024</v>
      </c>
    </row>
    <row r="717" spans="1:3" x14ac:dyDescent="0.2">
      <c r="A717" s="3">
        <v>45367</v>
      </c>
      <c r="B717">
        <v>91.87</v>
      </c>
      <c r="C717">
        <f t="shared" si="14"/>
        <v>2024</v>
      </c>
    </row>
    <row r="718" spans="1:3" x14ac:dyDescent="0.2">
      <c r="A718" s="3">
        <v>45366</v>
      </c>
      <c r="B718">
        <v>91.635900000000007</v>
      </c>
      <c r="C718">
        <f t="shared" si="14"/>
        <v>2024</v>
      </c>
    </row>
    <row r="719" spans="1:3" x14ac:dyDescent="0.2">
      <c r="A719" s="3">
        <v>45365</v>
      </c>
      <c r="B719">
        <v>91.544899999999998</v>
      </c>
      <c r="C719">
        <f t="shared" si="14"/>
        <v>2024</v>
      </c>
    </row>
    <row r="720" spans="1:3" x14ac:dyDescent="0.2">
      <c r="A720" s="3">
        <v>45364</v>
      </c>
      <c r="B720">
        <v>90.881799999999998</v>
      </c>
      <c r="C720">
        <f t="shared" si="14"/>
        <v>2024</v>
      </c>
    </row>
    <row r="721" spans="1:3" x14ac:dyDescent="0.2">
      <c r="A721" s="3">
        <v>45363</v>
      </c>
      <c r="B721">
        <v>90.625200000000007</v>
      </c>
      <c r="C721">
        <f t="shared" si="14"/>
        <v>2024</v>
      </c>
    </row>
    <row r="722" spans="1:3" x14ac:dyDescent="0.2">
      <c r="A722" s="3">
        <v>45362</v>
      </c>
      <c r="B722">
        <v>90.749300000000005</v>
      </c>
      <c r="C722">
        <f t="shared" si="14"/>
        <v>2024</v>
      </c>
    </row>
    <row r="723" spans="1:3" x14ac:dyDescent="0.2">
      <c r="A723" s="3">
        <v>45361</v>
      </c>
      <c r="B723">
        <v>90.749300000000005</v>
      </c>
      <c r="C723">
        <f t="shared" si="14"/>
        <v>2024</v>
      </c>
    </row>
    <row r="724" spans="1:3" x14ac:dyDescent="0.2">
      <c r="A724" s="3">
        <v>45360</v>
      </c>
      <c r="B724">
        <v>90.749300000000005</v>
      </c>
      <c r="C724">
        <f t="shared" si="14"/>
        <v>2024</v>
      </c>
    </row>
    <row r="725" spans="1:3" x14ac:dyDescent="0.2">
      <c r="A725" s="3">
        <v>45359</v>
      </c>
      <c r="B725">
        <v>90.749300000000005</v>
      </c>
      <c r="C725">
        <f t="shared" si="14"/>
        <v>2024</v>
      </c>
    </row>
    <row r="726" spans="1:3" x14ac:dyDescent="0.2">
      <c r="A726" s="3">
        <v>45358</v>
      </c>
      <c r="B726">
        <v>90.341200000000001</v>
      </c>
      <c r="C726">
        <f t="shared" si="14"/>
        <v>2024</v>
      </c>
    </row>
    <row r="727" spans="1:3" x14ac:dyDescent="0.2">
      <c r="A727" s="3">
        <v>45357</v>
      </c>
      <c r="B727">
        <v>91.160399999999996</v>
      </c>
      <c r="C727">
        <f t="shared" si="14"/>
        <v>2024</v>
      </c>
    </row>
    <row r="728" spans="1:3" x14ac:dyDescent="0.2">
      <c r="A728" s="3">
        <v>45356</v>
      </c>
      <c r="B728">
        <v>91.353399999999993</v>
      </c>
      <c r="C728">
        <f t="shared" si="14"/>
        <v>2024</v>
      </c>
    </row>
    <row r="729" spans="1:3" x14ac:dyDescent="0.2">
      <c r="A729" s="3">
        <v>45355</v>
      </c>
      <c r="B729">
        <v>91.333600000000004</v>
      </c>
      <c r="C729">
        <f t="shared" si="14"/>
        <v>2024</v>
      </c>
    </row>
    <row r="730" spans="1:3" x14ac:dyDescent="0.2">
      <c r="A730" s="3">
        <v>45354</v>
      </c>
      <c r="B730">
        <v>91.333600000000004</v>
      </c>
      <c r="C730">
        <f t="shared" si="14"/>
        <v>2024</v>
      </c>
    </row>
    <row r="731" spans="1:3" x14ac:dyDescent="0.2">
      <c r="A731" s="3">
        <v>45353</v>
      </c>
      <c r="B731">
        <v>91.333600000000004</v>
      </c>
      <c r="C731">
        <f t="shared" si="14"/>
        <v>2024</v>
      </c>
    </row>
    <row r="732" spans="1:3" x14ac:dyDescent="0.2">
      <c r="A732" s="3">
        <v>45352</v>
      </c>
      <c r="B732">
        <v>90.842299999999994</v>
      </c>
      <c r="C732">
        <f t="shared" si="14"/>
        <v>2024</v>
      </c>
    </row>
    <row r="733" spans="1:3" x14ac:dyDescent="0.2">
      <c r="A733" s="3">
        <v>45351</v>
      </c>
      <c r="B733">
        <v>91.869200000000006</v>
      </c>
      <c r="C733">
        <f t="shared" si="14"/>
        <v>2024</v>
      </c>
    </row>
    <row r="734" spans="1:3" x14ac:dyDescent="0.2">
      <c r="A734" s="3">
        <v>45350</v>
      </c>
      <c r="B734">
        <v>92.042500000000004</v>
      </c>
      <c r="C734">
        <f t="shared" si="14"/>
        <v>2024</v>
      </c>
    </row>
    <row r="735" spans="1:3" x14ac:dyDescent="0.2">
      <c r="A735" s="3">
        <v>45349</v>
      </c>
      <c r="B735">
        <v>92.632099999999994</v>
      </c>
      <c r="C735">
        <f t="shared" si="14"/>
        <v>2024</v>
      </c>
    </row>
    <row r="736" spans="1:3" x14ac:dyDescent="0.2">
      <c r="A736" s="3">
        <v>45348</v>
      </c>
      <c r="B736">
        <v>92.751900000000006</v>
      </c>
      <c r="C736">
        <f t="shared" si="14"/>
        <v>2024</v>
      </c>
    </row>
    <row r="737" spans="1:3" x14ac:dyDescent="0.2">
      <c r="A737" s="3">
        <v>45347</v>
      </c>
      <c r="B737">
        <v>92.751900000000006</v>
      </c>
      <c r="C737">
        <f t="shared" si="14"/>
        <v>2024</v>
      </c>
    </row>
    <row r="738" spans="1:3" x14ac:dyDescent="0.2">
      <c r="A738" s="3">
        <v>45346</v>
      </c>
      <c r="B738">
        <v>92.751900000000006</v>
      </c>
      <c r="C738">
        <f t="shared" si="14"/>
        <v>2024</v>
      </c>
    </row>
    <row r="739" spans="1:3" x14ac:dyDescent="0.2">
      <c r="A739" s="3">
        <v>45345</v>
      </c>
      <c r="B739">
        <v>92.751900000000006</v>
      </c>
      <c r="C739">
        <f t="shared" si="14"/>
        <v>2024</v>
      </c>
    </row>
    <row r="740" spans="1:3" x14ac:dyDescent="0.2">
      <c r="A740" s="3">
        <v>45344</v>
      </c>
      <c r="B740">
        <v>92.438699999999997</v>
      </c>
      <c r="C740">
        <f t="shared" si="14"/>
        <v>2024</v>
      </c>
    </row>
    <row r="741" spans="1:3" x14ac:dyDescent="0.2">
      <c r="A741" s="3">
        <v>45343</v>
      </c>
      <c r="B741">
        <v>92.349000000000004</v>
      </c>
      <c r="C741">
        <f t="shared" si="14"/>
        <v>2024</v>
      </c>
    </row>
    <row r="742" spans="1:3" x14ac:dyDescent="0.2">
      <c r="A742" s="3">
        <v>45342</v>
      </c>
      <c r="B742">
        <v>92.410200000000003</v>
      </c>
      <c r="C742">
        <f t="shared" si="14"/>
        <v>2024</v>
      </c>
    </row>
    <row r="743" spans="1:3" x14ac:dyDescent="0.2">
      <c r="A743" s="3">
        <v>45341</v>
      </c>
      <c r="B743">
        <v>92.549199999999999</v>
      </c>
      <c r="C743">
        <f t="shared" si="14"/>
        <v>2024</v>
      </c>
    </row>
    <row r="744" spans="1:3" x14ac:dyDescent="0.2">
      <c r="A744" s="3">
        <v>45340</v>
      </c>
      <c r="B744">
        <v>92.549199999999999</v>
      </c>
      <c r="C744">
        <f t="shared" si="14"/>
        <v>2024</v>
      </c>
    </row>
    <row r="745" spans="1:3" x14ac:dyDescent="0.2">
      <c r="A745" s="3">
        <v>45339</v>
      </c>
      <c r="B745">
        <v>92.549199999999999</v>
      </c>
      <c r="C745">
        <f t="shared" si="14"/>
        <v>2024</v>
      </c>
    </row>
    <row r="746" spans="1:3" x14ac:dyDescent="0.2">
      <c r="A746" s="3">
        <v>45338</v>
      </c>
      <c r="B746">
        <v>91.823700000000002</v>
      </c>
      <c r="C746">
        <f t="shared" si="14"/>
        <v>2024</v>
      </c>
    </row>
    <row r="747" spans="1:3" x14ac:dyDescent="0.2">
      <c r="A747" s="3">
        <v>45337</v>
      </c>
      <c r="B747">
        <v>91.431600000000003</v>
      </c>
      <c r="C747">
        <f t="shared" si="14"/>
        <v>2024</v>
      </c>
    </row>
    <row r="748" spans="1:3" x14ac:dyDescent="0.2">
      <c r="A748" s="3">
        <v>45336</v>
      </c>
      <c r="B748">
        <v>91.205699999999993</v>
      </c>
      <c r="C748">
        <f t="shared" si="14"/>
        <v>2024</v>
      </c>
    </row>
    <row r="749" spans="1:3" x14ac:dyDescent="0.2">
      <c r="A749" s="3">
        <v>45335</v>
      </c>
      <c r="B749">
        <v>91.075800000000001</v>
      </c>
      <c r="C749">
        <f t="shared" si="14"/>
        <v>2024</v>
      </c>
    </row>
    <row r="750" spans="1:3" x14ac:dyDescent="0.2">
      <c r="A750" s="3">
        <v>45334</v>
      </c>
      <c r="B750">
        <v>90.890100000000004</v>
      </c>
      <c r="C750">
        <f t="shared" si="14"/>
        <v>2024</v>
      </c>
    </row>
    <row r="751" spans="1:3" x14ac:dyDescent="0.2">
      <c r="A751" s="3">
        <v>45333</v>
      </c>
      <c r="B751">
        <v>90.890100000000004</v>
      </c>
      <c r="C751">
        <f t="shared" si="14"/>
        <v>2024</v>
      </c>
    </row>
    <row r="752" spans="1:3" x14ac:dyDescent="0.2">
      <c r="A752" s="3">
        <v>45332</v>
      </c>
      <c r="B752">
        <v>90.890100000000004</v>
      </c>
      <c r="C752">
        <f t="shared" si="14"/>
        <v>2024</v>
      </c>
    </row>
    <row r="753" spans="1:3" x14ac:dyDescent="0.2">
      <c r="A753" s="3">
        <v>45331</v>
      </c>
      <c r="B753">
        <v>91.256100000000004</v>
      </c>
      <c r="C753">
        <f t="shared" si="14"/>
        <v>2024</v>
      </c>
    </row>
    <row r="754" spans="1:3" x14ac:dyDescent="0.2">
      <c r="A754" s="3">
        <v>45330</v>
      </c>
      <c r="B754">
        <v>91.151399999999995</v>
      </c>
      <c r="C754">
        <f t="shared" si="14"/>
        <v>2024</v>
      </c>
    </row>
    <row r="755" spans="1:3" x14ac:dyDescent="0.2">
      <c r="A755" s="3">
        <v>45329</v>
      </c>
      <c r="B755">
        <v>90.684200000000004</v>
      </c>
      <c r="C755">
        <f t="shared" si="14"/>
        <v>2024</v>
      </c>
    </row>
    <row r="756" spans="1:3" x14ac:dyDescent="0.2">
      <c r="A756" s="3">
        <v>45328</v>
      </c>
      <c r="B756">
        <v>91.243399999999994</v>
      </c>
      <c r="C756">
        <f t="shared" si="14"/>
        <v>2024</v>
      </c>
    </row>
    <row r="757" spans="1:3" x14ac:dyDescent="0.2">
      <c r="A757" s="3">
        <v>45327</v>
      </c>
      <c r="B757">
        <v>90.662599999999998</v>
      </c>
      <c r="C757">
        <f t="shared" si="14"/>
        <v>2024</v>
      </c>
    </row>
    <row r="758" spans="1:3" x14ac:dyDescent="0.2">
      <c r="A758" s="3">
        <v>45326</v>
      </c>
      <c r="B758">
        <v>90.662599999999998</v>
      </c>
      <c r="C758">
        <f t="shared" si="14"/>
        <v>2024</v>
      </c>
    </row>
    <row r="759" spans="1:3" x14ac:dyDescent="0.2">
      <c r="A759" s="3">
        <v>45325</v>
      </c>
      <c r="B759">
        <v>90.662599999999998</v>
      </c>
      <c r="C759">
        <f t="shared" si="14"/>
        <v>2024</v>
      </c>
    </row>
    <row r="760" spans="1:3" x14ac:dyDescent="0.2">
      <c r="A760" s="3">
        <v>45324</v>
      </c>
      <c r="B760">
        <v>90.229900000000001</v>
      </c>
      <c r="C760">
        <f t="shared" si="14"/>
        <v>2024</v>
      </c>
    </row>
    <row r="761" spans="1:3" x14ac:dyDescent="0.2">
      <c r="A761" s="3">
        <v>45323</v>
      </c>
      <c r="B761">
        <v>89.6678</v>
      </c>
      <c r="C761">
        <f t="shared" si="14"/>
        <v>2024</v>
      </c>
    </row>
    <row r="762" spans="1:3" x14ac:dyDescent="0.2">
      <c r="A762" s="3">
        <v>45322</v>
      </c>
      <c r="B762">
        <v>89.288700000000006</v>
      </c>
      <c r="C762">
        <f t="shared" si="14"/>
        <v>2024</v>
      </c>
    </row>
    <row r="763" spans="1:3" x14ac:dyDescent="0.2">
      <c r="A763" s="3">
        <v>45321</v>
      </c>
      <c r="B763">
        <v>89.608999999999995</v>
      </c>
      <c r="C763">
        <f t="shared" si="14"/>
        <v>2024</v>
      </c>
    </row>
    <row r="764" spans="1:3" x14ac:dyDescent="0.2">
      <c r="A764" s="3">
        <v>45320</v>
      </c>
      <c r="B764">
        <v>89.515900000000002</v>
      </c>
      <c r="C764">
        <f t="shared" si="14"/>
        <v>2024</v>
      </c>
    </row>
    <row r="765" spans="1:3" x14ac:dyDescent="0.2">
      <c r="A765" s="3">
        <v>45319</v>
      </c>
      <c r="B765">
        <v>89.515900000000002</v>
      </c>
      <c r="C765">
        <f t="shared" si="14"/>
        <v>2024</v>
      </c>
    </row>
    <row r="766" spans="1:3" x14ac:dyDescent="0.2">
      <c r="A766" s="3">
        <v>45318</v>
      </c>
      <c r="B766">
        <v>89.515900000000002</v>
      </c>
      <c r="C766">
        <f t="shared" si="14"/>
        <v>2024</v>
      </c>
    </row>
    <row r="767" spans="1:3" x14ac:dyDescent="0.2">
      <c r="A767" s="3">
        <v>45317</v>
      </c>
      <c r="B767">
        <v>88.656199999999998</v>
      </c>
      <c r="C767">
        <f t="shared" si="14"/>
        <v>2024</v>
      </c>
    </row>
    <row r="768" spans="1:3" x14ac:dyDescent="0.2">
      <c r="A768" s="3">
        <v>45316</v>
      </c>
      <c r="B768">
        <v>88.282899999999998</v>
      </c>
      <c r="C768">
        <f t="shared" si="14"/>
        <v>2024</v>
      </c>
    </row>
    <row r="769" spans="1:3" x14ac:dyDescent="0.2">
      <c r="A769" s="3">
        <v>45315</v>
      </c>
      <c r="B769">
        <v>87.919899999999998</v>
      </c>
      <c r="C769">
        <f t="shared" si="14"/>
        <v>2024</v>
      </c>
    </row>
    <row r="770" spans="1:3" x14ac:dyDescent="0.2">
      <c r="A770" s="3">
        <v>45314</v>
      </c>
      <c r="B770">
        <v>87.972399999999993</v>
      </c>
      <c r="C770">
        <f t="shared" si="14"/>
        <v>2024</v>
      </c>
    </row>
    <row r="771" spans="1:3" x14ac:dyDescent="0.2">
      <c r="A771" s="3">
        <v>45313</v>
      </c>
      <c r="B771">
        <v>88.589600000000004</v>
      </c>
      <c r="C771">
        <f t="shared" si="14"/>
        <v>2024</v>
      </c>
    </row>
    <row r="772" spans="1:3" x14ac:dyDescent="0.2">
      <c r="A772" s="3">
        <v>45312</v>
      </c>
      <c r="B772">
        <v>88.589600000000004</v>
      </c>
      <c r="C772">
        <f t="shared" ref="C772:C835" si="15">YEAR(A772)</f>
        <v>2024</v>
      </c>
    </row>
    <row r="773" spans="1:3" x14ac:dyDescent="0.2">
      <c r="A773" s="3">
        <v>45311</v>
      </c>
      <c r="B773">
        <v>88.589600000000004</v>
      </c>
      <c r="C773">
        <f t="shared" si="15"/>
        <v>2024</v>
      </c>
    </row>
    <row r="774" spans="1:3" x14ac:dyDescent="0.2">
      <c r="A774" s="3">
        <v>45310</v>
      </c>
      <c r="B774">
        <v>88.661000000000001</v>
      </c>
      <c r="C774">
        <f t="shared" si="15"/>
        <v>2024</v>
      </c>
    </row>
    <row r="775" spans="1:3" x14ac:dyDescent="0.2">
      <c r="A775" s="3">
        <v>45309</v>
      </c>
      <c r="B775">
        <v>88.353999999999999</v>
      </c>
      <c r="C775">
        <f t="shared" si="15"/>
        <v>2024</v>
      </c>
    </row>
    <row r="776" spans="1:3" x14ac:dyDescent="0.2">
      <c r="A776" s="3">
        <v>45308</v>
      </c>
      <c r="B776">
        <v>87.645700000000005</v>
      </c>
      <c r="C776">
        <f t="shared" si="15"/>
        <v>2024</v>
      </c>
    </row>
    <row r="777" spans="1:3" x14ac:dyDescent="0.2">
      <c r="A777" s="3">
        <v>45307</v>
      </c>
      <c r="B777">
        <v>87.677199999999999</v>
      </c>
      <c r="C777">
        <f t="shared" si="15"/>
        <v>2024</v>
      </c>
    </row>
    <row r="778" spans="1:3" x14ac:dyDescent="0.2">
      <c r="A778" s="3">
        <v>45306</v>
      </c>
      <c r="B778">
        <v>88.132400000000004</v>
      </c>
      <c r="C778">
        <f t="shared" si="15"/>
        <v>2024</v>
      </c>
    </row>
    <row r="779" spans="1:3" x14ac:dyDescent="0.2">
      <c r="A779" s="3">
        <v>45305</v>
      </c>
      <c r="B779">
        <v>88.132400000000004</v>
      </c>
      <c r="C779">
        <f t="shared" si="15"/>
        <v>2024</v>
      </c>
    </row>
    <row r="780" spans="1:3" x14ac:dyDescent="0.2">
      <c r="A780" s="3">
        <v>45304</v>
      </c>
      <c r="B780">
        <v>88.132400000000004</v>
      </c>
      <c r="C780">
        <f t="shared" si="15"/>
        <v>2024</v>
      </c>
    </row>
    <row r="781" spans="1:3" x14ac:dyDescent="0.2">
      <c r="A781" s="3">
        <v>45303</v>
      </c>
      <c r="B781">
        <v>88.781800000000004</v>
      </c>
      <c r="C781">
        <f t="shared" si="15"/>
        <v>2024</v>
      </c>
    </row>
    <row r="782" spans="1:3" x14ac:dyDescent="0.2">
      <c r="A782" s="3">
        <v>45302</v>
      </c>
      <c r="B782">
        <v>89.393900000000002</v>
      </c>
      <c r="C782">
        <f t="shared" si="15"/>
        <v>2024</v>
      </c>
    </row>
    <row r="783" spans="1:3" x14ac:dyDescent="0.2">
      <c r="A783" s="3">
        <v>45301</v>
      </c>
      <c r="B783">
        <v>90.403999999999996</v>
      </c>
      <c r="C783">
        <f t="shared" si="15"/>
        <v>2024</v>
      </c>
    </row>
    <row r="784" spans="1:3" x14ac:dyDescent="0.2">
      <c r="A784" s="3">
        <v>45300</v>
      </c>
      <c r="B784">
        <v>89.897499999999994</v>
      </c>
      <c r="C784">
        <f t="shared" si="15"/>
        <v>2024</v>
      </c>
    </row>
    <row r="785" spans="1:3" x14ac:dyDescent="0.2">
      <c r="A785" s="3">
        <v>45299</v>
      </c>
      <c r="B785">
        <v>91.152500000000003</v>
      </c>
      <c r="C785">
        <f t="shared" si="15"/>
        <v>2024</v>
      </c>
    </row>
    <row r="786" spans="1:3" x14ac:dyDescent="0.2">
      <c r="A786" s="3">
        <v>45296</v>
      </c>
      <c r="B786">
        <v>90.95</v>
      </c>
      <c r="C786">
        <f t="shared" si="15"/>
        <v>2024</v>
      </c>
    </row>
    <row r="787" spans="1:3" x14ac:dyDescent="0.2">
      <c r="A787" s="3">
        <v>45295</v>
      </c>
      <c r="B787">
        <v>91.332499999999996</v>
      </c>
      <c r="C787">
        <f t="shared" si="15"/>
        <v>2024</v>
      </c>
    </row>
    <row r="788" spans="1:3" x14ac:dyDescent="0.2">
      <c r="A788" s="3">
        <v>45294</v>
      </c>
      <c r="B788">
        <v>89.688299999999998</v>
      </c>
      <c r="C788">
        <f t="shared" si="15"/>
        <v>2024</v>
      </c>
    </row>
    <row r="789" spans="1:3" x14ac:dyDescent="0.2">
      <c r="A789" s="3">
        <v>45293</v>
      </c>
      <c r="B789">
        <v>89.688299999999998</v>
      </c>
      <c r="C789">
        <f t="shared" si="15"/>
        <v>2024</v>
      </c>
    </row>
    <row r="790" spans="1:3" x14ac:dyDescent="0.2">
      <c r="A790" s="3">
        <v>45292</v>
      </c>
      <c r="B790">
        <v>89.688299999999998</v>
      </c>
      <c r="C790">
        <f t="shared" si="15"/>
        <v>2024</v>
      </c>
    </row>
    <row r="791" spans="1:3" x14ac:dyDescent="0.2">
      <c r="A791" s="3">
        <v>45291</v>
      </c>
      <c r="B791">
        <v>89.688299999999998</v>
      </c>
      <c r="C791">
        <f t="shared" si="15"/>
        <v>2023</v>
      </c>
    </row>
    <row r="792" spans="1:3" x14ac:dyDescent="0.2">
      <c r="A792" s="3">
        <v>45290</v>
      </c>
      <c r="B792">
        <v>89.688299999999998</v>
      </c>
      <c r="C792">
        <f t="shared" si="15"/>
        <v>2023</v>
      </c>
    </row>
    <row r="793" spans="1:3" x14ac:dyDescent="0.2">
      <c r="A793" s="3">
        <v>45289</v>
      </c>
      <c r="B793">
        <v>90.304100000000005</v>
      </c>
      <c r="C793">
        <f t="shared" si="15"/>
        <v>2023</v>
      </c>
    </row>
    <row r="794" spans="1:3" x14ac:dyDescent="0.2">
      <c r="A794" s="3">
        <v>45288</v>
      </c>
      <c r="B794">
        <v>91.705100000000002</v>
      </c>
      <c r="C794">
        <f t="shared" si="15"/>
        <v>2023</v>
      </c>
    </row>
    <row r="795" spans="1:3" x14ac:dyDescent="0.2">
      <c r="A795" s="3">
        <v>45287</v>
      </c>
      <c r="B795">
        <v>91.706900000000005</v>
      </c>
      <c r="C795">
        <f t="shared" si="15"/>
        <v>2023</v>
      </c>
    </row>
    <row r="796" spans="1:3" x14ac:dyDescent="0.2">
      <c r="A796" s="3">
        <v>45286</v>
      </c>
      <c r="B796">
        <v>91.968999999999994</v>
      </c>
      <c r="C796">
        <f t="shared" si="15"/>
        <v>2023</v>
      </c>
    </row>
    <row r="797" spans="1:3" x14ac:dyDescent="0.2">
      <c r="A797" s="3">
        <v>45285</v>
      </c>
      <c r="B797">
        <v>91.938900000000004</v>
      </c>
      <c r="C797">
        <f t="shared" si="15"/>
        <v>2023</v>
      </c>
    </row>
    <row r="798" spans="1:3" x14ac:dyDescent="0.2">
      <c r="A798" s="3">
        <v>45284</v>
      </c>
      <c r="B798">
        <v>91.938900000000004</v>
      </c>
      <c r="C798">
        <f t="shared" si="15"/>
        <v>2023</v>
      </c>
    </row>
    <row r="799" spans="1:3" x14ac:dyDescent="0.2">
      <c r="A799" s="3">
        <v>45283</v>
      </c>
      <c r="B799">
        <v>91.938900000000004</v>
      </c>
      <c r="C799">
        <f t="shared" si="15"/>
        <v>2023</v>
      </c>
    </row>
    <row r="800" spans="1:3" x14ac:dyDescent="0.2">
      <c r="A800" s="3">
        <v>45282</v>
      </c>
      <c r="B800">
        <v>91.706199999999995</v>
      </c>
      <c r="C800">
        <f t="shared" si="15"/>
        <v>2023</v>
      </c>
    </row>
    <row r="801" spans="1:3" x14ac:dyDescent="0.2">
      <c r="A801" s="3">
        <v>45281</v>
      </c>
      <c r="B801">
        <v>90.405600000000007</v>
      </c>
      <c r="C801">
        <f t="shared" si="15"/>
        <v>2023</v>
      </c>
    </row>
    <row r="802" spans="1:3" x14ac:dyDescent="0.2">
      <c r="A802" s="3">
        <v>45280</v>
      </c>
      <c r="B802">
        <v>90.087000000000003</v>
      </c>
      <c r="C802">
        <f t="shared" si="15"/>
        <v>2023</v>
      </c>
    </row>
    <row r="803" spans="1:3" x14ac:dyDescent="0.2">
      <c r="A803" s="3">
        <v>45279</v>
      </c>
      <c r="B803">
        <v>90.416200000000003</v>
      </c>
      <c r="C803">
        <f t="shared" si="15"/>
        <v>2023</v>
      </c>
    </row>
    <row r="804" spans="1:3" x14ac:dyDescent="0.2">
      <c r="A804" s="3">
        <v>45278</v>
      </c>
      <c r="B804">
        <v>89.696600000000004</v>
      </c>
      <c r="C804">
        <f t="shared" si="15"/>
        <v>2023</v>
      </c>
    </row>
    <row r="805" spans="1:3" x14ac:dyDescent="0.2">
      <c r="A805" s="3">
        <v>45277</v>
      </c>
      <c r="B805">
        <v>89.696600000000004</v>
      </c>
      <c r="C805">
        <f t="shared" si="15"/>
        <v>2023</v>
      </c>
    </row>
    <row r="806" spans="1:3" x14ac:dyDescent="0.2">
      <c r="A806" s="3">
        <v>45276</v>
      </c>
      <c r="B806">
        <v>89.696600000000004</v>
      </c>
      <c r="C806">
        <f t="shared" si="15"/>
        <v>2023</v>
      </c>
    </row>
    <row r="807" spans="1:3" x14ac:dyDescent="0.2">
      <c r="A807" s="3">
        <v>45275</v>
      </c>
      <c r="B807">
        <v>89.674099999999996</v>
      </c>
      <c r="C807">
        <f t="shared" si="15"/>
        <v>2023</v>
      </c>
    </row>
    <row r="808" spans="1:3" x14ac:dyDescent="0.2">
      <c r="A808" s="3">
        <v>45274</v>
      </c>
      <c r="B808">
        <v>89.892600000000002</v>
      </c>
      <c r="C808">
        <f t="shared" si="15"/>
        <v>2023</v>
      </c>
    </row>
    <row r="809" spans="1:3" x14ac:dyDescent="0.2">
      <c r="A809" s="3">
        <v>45273</v>
      </c>
      <c r="B809">
        <v>90.215800000000002</v>
      </c>
      <c r="C809">
        <f t="shared" si="15"/>
        <v>2023</v>
      </c>
    </row>
    <row r="810" spans="1:3" x14ac:dyDescent="0.2">
      <c r="A810" s="3">
        <v>45272</v>
      </c>
      <c r="B810">
        <v>90.9846</v>
      </c>
      <c r="C810">
        <f t="shared" si="15"/>
        <v>2023</v>
      </c>
    </row>
    <row r="811" spans="1:3" x14ac:dyDescent="0.2">
      <c r="A811" s="3">
        <v>45271</v>
      </c>
      <c r="B811">
        <v>91.640199999999993</v>
      </c>
      <c r="C811">
        <f t="shared" si="15"/>
        <v>2023</v>
      </c>
    </row>
    <row r="812" spans="1:3" x14ac:dyDescent="0.2">
      <c r="A812" s="3">
        <v>45270</v>
      </c>
      <c r="B812">
        <v>91.640199999999993</v>
      </c>
      <c r="C812">
        <f t="shared" si="15"/>
        <v>2023</v>
      </c>
    </row>
    <row r="813" spans="1:3" x14ac:dyDescent="0.2">
      <c r="A813" s="3">
        <v>45269</v>
      </c>
      <c r="B813">
        <v>91.640199999999993</v>
      </c>
      <c r="C813">
        <f t="shared" si="15"/>
        <v>2023</v>
      </c>
    </row>
    <row r="814" spans="1:3" x14ac:dyDescent="0.2">
      <c r="A814" s="3">
        <v>45268</v>
      </c>
      <c r="B814">
        <v>92.565399999999997</v>
      </c>
      <c r="C814">
        <f t="shared" si="15"/>
        <v>2023</v>
      </c>
    </row>
    <row r="815" spans="1:3" x14ac:dyDescent="0.2">
      <c r="A815" s="3">
        <v>45267</v>
      </c>
      <c r="B815">
        <v>92.782600000000002</v>
      </c>
      <c r="C815">
        <f t="shared" si="15"/>
        <v>2023</v>
      </c>
    </row>
    <row r="816" spans="1:3" x14ac:dyDescent="0.2">
      <c r="A816" s="3">
        <v>45266</v>
      </c>
      <c r="B816">
        <v>91.582300000000004</v>
      </c>
      <c r="C816">
        <f t="shared" si="15"/>
        <v>2023</v>
      </c>
    </row>
    <row r="817" spans="1:3" x14ac:dyDescent="0.2">
      <c r="A817" s="3">
        <v>45265</v>
      </c>
      <c r="B817">
        <v>90.672799999999995</v>
      </c>
      <c r="C817">
        <f t="shared" si="15"/>
        <v>2023</v>
      </c>
    </row>
    <row r="818" spans="1:3" x14ac:dyDescent="0.2">
      <c r="A818" s="3">
        <v>45264</v>
      </c>
      <c r="B818">
        <v>89.761899999999997</v>
      </c>
      <c r="C818">
        <f t="shared" si="15"/>
        <v>2023</v>
      </c>
    </row>
    <row r="819" spans="1:3" x14ac:dyDescent="0.2">
      <c r="A819" s="3">
        <v>45263</v>
      </c>
      <c r="B819">
        <v>89.761899999999997</v>
      </c>
      <c r="C819">
        <f t="shared" si="15"/>
        <v>2023</v>
      </c>
    </row>
    <row r="820" spans="1:3" x14ac:dyDescent="0.2">
      <c r="A820" s="3">
        <v>45262</v>
      </c>
      <c r="B820">
        <v>89.761899999999997</v>
      </c>
      <c r="C820">
        <f t="shared" si="15"/>
        <v>2023</v>
      </c>
    </row>
    <row r="821" spans="1:3" x14ac:dyDescent="0.2">
      <c r="A821" s="3">
        <v>45261</v>
      </c>
      <c r="B821">
        <v>88.581900000000005</v>
      </c>
      <c r="C821">
        <f t="shared" si="15"/>
        <v>2023</v>
      </c>
    </row>
    <row r="822" spans="1:3" x14ac:dyDescent="0.2">
      <c r="A822" s="3">
        <v>45260</v>
      </c>
      <c r="B822">
        <v>88.884100000000004</v>
      </c>
      <c r="C822">
        <f t="shared" si="15"/>
        <v>2023</v>
      </c>
    </row>
    <row r="823" spans="1:3" x14ac:dyDescent="0.2">
      <c r="A823" s="3">
        <v>45259</v>
      </c>
      <c r="B823">
        <v>88.610200000000006</v>
      </c>
      <c r="C823">
        <f t="shared" si="15"/>
        <v>2023</v>
      </c>
    </row>
    <row r="824" spans="1:3" x14ac:dyDescent="0.2">
      <c r="A824" s="3">
        <v>45258</v>
      </c>
      <c r="B824">
        <v>88.704499999999996</v>
      </c>
      <c r="C824">
        <f t="shared" si="15"/>
        <v>2023</v>
      </c>
    </row>
    <row r="825" spans="1:3" x14ac:dyDescent="0.2">
      <c r="A825" s="3">
        <v>45257</v>
      </c>
      <c r="B825">
        <v>88.813299999999998</v>
      </c>
      <c r="C825">
        <f t="shared" si="15"/>
        <v>2023</v>
      </c>
    </row>
    <row r="826" spans="1:3" x14ac:dyDescent="0.2">
      <c r="A826" s="3">
        <v>45256</v>
      </c>
      <c r="B826">
        <v>88.813299999999998</v>
      </c>
      <c r="C826">
        <f t="shared" si="15"/>
        <v>2023</v>
      </c>
    </row>
    <row r="827" spans="1:3" x14ac:dyDescent="0.2">
      <c r="A827" s="3">
        <v>45255</v>
      </c>
      <c r="B827">
        <v>88.813299999999998</v>
      </c>
      <c r="C827">
        <f t="shared" si="15"/>
        <v>2023</v>
      </c>
    </row>
    <row r="828" spans="1:3" x14ac:dyDescent="0.2">
      <c r="A828" s="3">
        <v>45254</v>
      </c>
      <c r="B828">
        <v>88.120599999999996</v>
      </c>
      <c r="C828">
        <f t="shared" si="15"/>
        <v>2023</v>
      </c>
    </row>
    <row r="829" spans="1:3" x14ac:dyDescent="0.2">
      <c r="A829" s="3">
        <v>45253</v>
      </c>
      <c r="B829">
        <v>88.1648</v>
      </c>
      <c r="C829">
        <f t="shared" si="15"/>
        <v>2023</v>
      </c>
    </row>
    <row r="830" spans="1:3" x14ac:dyDescent="0.2">
      <c r="A830" s="3">
        <v>45252</v>
      </c>
      <c r="B830">
        <v>87.870099999999994</v>
      </c>
      <c r="C830">
        <f t="shared" si="15"/>
        <v>2023</v>
      </c>
    </row>
    <row r="831" spans="1:3" x14ac:dyDescent="0.2">
      <c r="A831" s="3">
        <v>45251</v>
      </c>
      <c r="B831">
        <v>88.495400000000004</v>
      </c>
      <c r="C831">
        <f t="shared" si="15"/>
        <v>2023</v>
      </c>
    </row>
    <row r="832" spans="1:3" x14ac:dyDescent="0.2">
      <c r="A832" s="3">
        <v>45250</v>
      </c>
      <c r="B832">
        <v>89.123699999999999</v>
      </c>
      <c r="C832">
        <f t="shared" si="15"/>
        <v>2023</v>
      </c>
    </row>
    <row r="833" spans="1:3" x14ac:dyDescent="0.2">
      <c r="A833" s="3">
        <v>45249</v>
      </c>
      <c r="B833">
        <v>89.123699999999999</v>
      </c>
      <c r="C833">
        <f t="shared" si="15"/>
        <v>2023</v>
      </c>
    </row>
    <row r="834" spans="1:3" x14ac:dyDescent="0.2">
      <c r="A834" s="3">
        <v>45248</v>
      </c>
      <c r="B834">
        <v>89.123699999999999</v>
      </c>
      <c r="C834">
        <f t="shared" si="15"/>
        <v>2023</v>
      </c>
    </row>
    <row r="835" spans="1:3" x14ac:dyDescent="0.2">
      <c r="A835" s="3">
        <v>45247</v>
      </c>
      <c r="B835">
        <v>88.946600000000004</v>
      </c>
      <c r="C835">
        <f t="shared" si="15"/>
        <v>2023</v>
      </c>
    </row>
    <row r="836" spans="1:3" x14ac:dyDescent="0.2">
      <c r="A836" s="3">
        <v>45246</v>
      </c>
      <c r="B836">
        <v>89.456500000000005</v>
      </c>
      <c r="C836">
        <f t="shared" ref="C836:C899" si="16">YEAR(A836)</f>
        <v>2023</v>
      </c>
    </row>
    <row r="837" spans="1:3" x14ac:dyDescent="0.2">
      <c r="A837" s="3">
        <v>45245</v>
      </c>
      <c r="B837">
        <v>91.257000000000005</v>
      </c>
      <c r="C837">
        <f t="shared" si="16"/>
        <v>2023</v>
      </c>
    </row>
    <row r="838" spans="1:3" x14ac:dyDescent="0.2">
      <c r="A838" s="3">
        <v>45244</v>
      </c>
      <c r="B838">
        <v>92.118499999999997</v>
      </c>
      <c r="C838">
        <f t="shared" si="16"/>
        <v>2023</v>
      </c>
    </row>
    <row r="839" spans="1:3" x14ac:dyDescent="0.2">
      <c r="A839" s="3">
        <v>45243</v>
      </c>
      <c r="B839">
        <v>92.0535</v>
      </c>
      <c r="C839">
        <f t="shared" si="16"/>
        <v>2023</v>
      </c>
    </row>
    <row r="840" spans="1:3" x14ac:dyDescent="0.2">
      <c r="A840" s="3">
        <v>45242</v>
      </c>
      <c r="B840">
        <v>92.0535</v>
      </c>
      <c r="C840">
        <f t="shared" si="16"/>
        <v>2023</v>
      </c>
    </row>
    <row r="841" spans="1:3" x14ac:dyDescent="0.2">
      <c r="A841" s="3">
        <v>45241</v>
      </c>
      <c r="B841">
        <v>92.0535</v>
      </c>
      <c r="C841">
        <f t="shared" si="16"/>
        <v>2023</v>
      </c>
    </row>
    <row r="842" spans="1:3" x14ac:dyDescent="0.2">
      <c r="A842" s="3">
        <v>45240</v>
      </c>
      <c r="B842">
        <v>91.926599999999993</v>
      </c>
      <c r="C842">
        <f t="shared" si="16"/>
        <v>2023</v>
      </c>
    </row>
    <row r="843" spans="1:3" x14ac:dyDescent="0.2">
      <c r="A843" s="3">
        <v>45239</v>
      </c>
      <c r="B843">
        <v>92.197299999999998</v>
      </c>
      <c r="C843">
        <f t="shared" si="16"/>
        <v>2023</v>
      </c>
    </row>
    <row r="844" spans="1:3" x14ac:dyDescent="0.2">
      <c r="A844" s="3">
        <v>45238</v>
      </c>
      <c r="B844">
        <v>92.415099999999995</v>
      </c>
      <c r="C844">
        <f t="shared" si="16"/>
        <v>2023</v>
      </c>
    </row>
    <row r="845" spans="1:3" x14ac:dyDescent="0.2">
      <c r="A845" s="3">
        <v>45237</v>
      </c>
      <c r="B845">
        <v>92.26</v>
      </c>
      <c r="C845">
        <f t="shared" si="16"/>
        <v>2023</v>
      </c>
    </row>
    <row r="846" spans="1:3" x14ac:dyDescent="0.2">
      <c r="A846" s="3">
        <v>45236</v>
      </c>
      <c r="B846">
        <v>93.0351</v>
      </c>
      <c r="C846">
        <f t="shared" si="16"/>
        <v>2023</v>
      </c>
    </row>
    <row r="847" spans="1:3" x14ac:dyDescent="0.2">
      <c r="A847" s="3">
        <v>45235</v>
      </c>
      <c r="B847">
        <v>93.0351</v>
      </c>
      <c r="C847">
        <f t="shared" si="16"/>
        <v>2023</v>
      </c>
    </row>
    <row r="848" spans="1:3" x14ac:dyDescent="0.2">
      <c r="A848" s="3">
        <v>45234</v>
      </c>
      <c r="B848">
        <v>93.0351</v>
      </c>
      <c r="C848">
        <f t="shared" si="16"/>
        <v>2023</v>
      </c>
    </row>
    <row r="849" spans="1:3" x14ac:dyDescent="0.2">
      <c r="A849" s="3">
        <v>45233</v>
      </c>
      <c r="B849">
        <v>93.173000000000002</v>
      </c>
      <c r="C849">
        <f t="shared" si="16"/>
        <v>2023</v>
      </c>
    </row>
    <row r="850" spans="1:3" x14ac:dyDescent="0.2">
      <c r="A850" s="3">
        <v>45232</v>
      </c>
      <c r="B850">
        <v>93.280100000000004</v>
      </c>
      <c r="C850">
        <f t="shared" si="16"/>
        <v>2023</v>
      </c>
    </row>
    <row r="851" spans="1:3" x14ac:dyDescent="0.2">
      <c r="A851" s="3">
        <v>45231</v>
      </c>
      <c r="B851">
        <v>92.022599999999997</v>
      </c>
      <c r="C851">
        <f t="shared" si="16"/>
        <v>2023</v>
      </c>
    </row>
    <row r="852" spans="1:3" x14ac:dyDescent="0.2">
      <c r="A852" s="3">
        <v>45230</v>
      </c>
      <c r="B852">
        <v>93.243499999999997</v>
      </c>
      <c r="C852">
        <f t="shared" si="16"/>
        <v>2023</v>
      </c>
    </row>
    <row r="853" spans="1:3" x14ac:dyDescent="0.2">
      <c r="A853" s="3">
        <v>45229</v>
      </c>
      <c r="B853">
        <v>93.217399999999998</v>
      </c>
      <c r="C853">
        <f t="shared" si="16"/>
        <v>2023</v>
      </c>
    </row>
    <row r="854" spans="1:3" x14ac:dyDescent="0.2">
      <c r="A854" s="3">
        <v>45228</v>
      </c>
      <c r="B854">
        <v>93.217399999999998</v>
      </c>
      <c r="C854">
        <f t="shared" si="16"/>
        <v>2023</v>
      </c>
    </row>
    <row r="855" spans="1:3" x14ac:dyDescent="0.2">
      <c r="A855" s="3">
        <v>45227</v>
      </c>
      <c r="B855">
        <v>93.217399999999998</v>
      </c>
      <c r="C855">
        <f t="shared" si="16"/>
        <v>2023</v>
      </c>
    </row>
    <row r="856" spans="1:3" x14ac:dyDescent="0.2">
      <c r="A856" s="3">
        <v>45226</v>
      </c>
      <c r="B856">
        <v>93.561599999999999</v>
      </c>
      <c r="C856">
        <f t="shared" si="16"/>
        <v>2023</v>
      </c>
    </row>
    <row r="857" spans="1:3" x14ac:dyDescent="0.2">
      <c r="A857" s="3">
        <v>45225</v>
      </c>
      <c r="B857">
        <v>93.150700000000001</v>
      </c>
      <c r="C857">
        <f t="shared" si="16"/>
        <v>2023</v>
      </c>
    </row>
    <row r="858" spans="1:3" x14ac:dyDescent="0.2">
      <c r="A858" s="3">
        <v>45224</v>
      </c>
      <c r="B858">
        <v>93.522400000000005</v>
      </c>
      <c r="C858">
        <f t="shared" si="16"/>
        <v>2023</v>
      </c>
    </row>
    <row r="859" spans="1:3" x14ac:dyDescent="0.2">
      <c r="A859" s="3">
        <v>45223</v>
      </c>
      <c r="B859">
        <v>94.708100000000002</v>
      </c>
      <c r="C859">
        <f t="shared" si="16"/>
        <v>2023</v>
      </c>
    </row>
    <row r="860" spans="1:3" x14ac:dyDescent="0.2">
      <c r="A860" s="3">
        <v>45222</v>
      </c>
      <c r="B860">
        <v>95.905299999999997</v>
      </c>
      <c r="C860">
        <f t="shared" si="16"/>
        <v>2023</v>
      </c>
    </row>
    <row r="861" spans="1:3" x14ac:dyDescent="0.2">
      <c r="A861" s="3">
        <v>45221</v>
      </c>
      <c r="B861">
        <v>95.905299999999997</v>
      </c>
      <c r="C861">
        <f t="shared" si="16"/>
        <v>2023</v>
      </c>
    </row>
    <row r="862" spans="1:3" x14ac:dyDescent="0.2">
      <c r="A862" s="3">
        <v>45220</v>
      </c>
      <c r="B862">
        <v>95.905299999999997</v>
      </c>
      <c r="C862">
        <f t="shared" si="16"/>
        <v>2023</v>
      </c>
    </row>
    <row r="863" spans="1:3" x14ac:dyDescent="0.2">
      <c r="A863" s="3">
        <v>45219</v>
      </c>
      <c r="B863">
        <v>97.307400000000001</v>
      </c>
      <c r="C863">
        <f t="shared" si="16"/>
        <v>2023</v>
      </c>
    </row>
    <row r="864" spans="1:3" x14ac:dyDescent="0.2">
      <c r="A864" s="3">
        <v>45218</v>
      </c>
      <c r="B864">
        <v>97.372399999999999</v>
      </c>
      <c r="C864">
        <f t="shared" si="16"/>
        <v>2023</v>
      </c>
    </row>
    <row r="865" spans="1:3" x14ac:dyDescent="0.2">
      <c r="A865" s="3">
        <v>45217</v>
      </c>
      <c r="B865">
        <v>97.345799999999997</v>
      </c>
      <c r="C865">
        <f t="shared" si="16"/>
        <v>2023</v>
      </c>
    </row>
    <row r="866" spans="1:3" x14ac:dyDescent="0.2">
      <c r="A866" s="3">
        <v>45216</v>
      </c>
      <c r="B866">
        <v>97.286500000000004</v>
      </c>
      <c r="C866">
        <f t="shared" si="16"/>
        <v>2023</v>
      </c>
    </row>
    <row r="867" spans="1:3" x14ac:dyDescent="0.2">
      <c r="A867" s="3">
        <v>45215</v>
      </c>
      <c r="B867">
        <v>97.307500000000005</v>
      </c>
      <c r="C867">
        <f t="shared" si="16"/>
        <v>2023</v>
      </c>
    </row>
    <row r="868" spans="1:3" x14ac:dyDescent="0.2">
      <c r="A868" s="3">
        <v>45214</v>
      </c>
      <c r="B868">
        <v>97.307500000000005</v>
      </c>
      <c r="C868">
        <f t="shared" si="16"/>
        <v>2023</v>
      </c>
    </row>
    <row r="869" spans="1:3" x14ac:dyDescent="0.2">
      <c r="A869" s="3">
        <v>45213</v>
      </c>
      <c r="B869">
        <v>97.307500000000005</v>
      </c>
      <c r="C869">
        <f t="shared" si="16"/>
        <v>2023</v>
      </c>
    </row>
    <row r="870" spans="1:3" x14ac:dyDescent="0.2">
      <c r="A870" s="3">
        <v>45212</v>
      </c>
      <c r="B870">
        <v>96.994799999999998</v>
      </c>
      <c r="C870">
        <f t="shared" si="16"/>
        <v>2023</v>
      </c>
    </row>
    <row r="871" spans="1:3" x14ac:dyDescent="0.2">
      <c r="A871" s="3">
        <v>45211</v>
      </c>
      <c r="B871">
        <v>99.980800000000002</v>
      </c>
      <c r="C871">
        <f t="shared" si="16"/>
        <v>2023</v>
      </c>
    </row>
    <row r="872" spans="1:3" x14ac:dyDescent="0.2">
      <c r="A872" s="3">
        <v>45210</v>
      </c>
      <c r="B872">
        <v>99.934899999999999</v>
      </c>
      <c r="C872">
        <f t="shared" si="16"/>
        <v>2023</v>
      </c>
    </row>
    <row r="873" spans="1:3" x14ac:dyDescent="0.2">
      <c r="A873" s="3">
        <v>45209</v>
      </c>
      <c r="B873">
        <v>101.35980000000001</v>
      </c>
      <c r="C873">
        <f t="shared" si="16"/>
        <v>2023</v>
      </c>
    </row>
    <row r="874" spans="1:3" x14ac:dyDescent="0.2">
      <c r="A874" s="3">
        <v>45208</v>
      </c>
      <c r="B874">
        <v>100.4911</v>
      </c>
      <c r="C874">
        <f t="shared" si="16"/>
        <v>2023</v>
      </c>
    </row>
    <row r="875" spans="1:3" x14ac:dyDescent="0.2">
      <c r="A875" s="3">
        <v>45207</v>
      </c>
      <c r="B875">
        <v>100.4911</v>
      </c>
      <c r="C875">
        <f t="shared" si="16"/>
        <v>2023</v>
      </c>
    </row>
    <row r="876" spans="1:3" x14ac:dyDescent="0.2">
      <c r="A876" s="3">
        <v>45206</v>
      </c>
      <c r="B876">
        <v>100.4911</v>
      </c>
      <c r="C876">
        <f t="shared" si="16"/>
        <v>2023</v>
      </c>
    </row>
    <row r="877" spans="1:3" x14ac:dyDescent="0.2">
      <c r="A877" s="3">
        <v>45205</v>
      </c>
      <c r="B877">
        <v>99.676199999999994</v>
      </c>
      <c r="C877">
        <f t="shared" si="16"/>
        <v>2023</v>
      </c>
    </row>
    <row r="878" spans="1:3" x14ac:dyDescent="0.2">
      <c r="A878" s="3">
        <v>45204</v>
      </c>
      <c r="B878">
        <v>99.455500000000001</v>
      </c>
      <c r="C878">
        <f t="shared" si="16"/>
        <v>2023</v>
      </c>
    </row>
    <row r="879" spans="1:3" x14ac:dyDescent="0.2">
      <c r="A879" s="3">
        <v>45203</v>
      </c>
      <c r="B879">
        <v>99.267700000000005</v>
      </c>
      <c r="C879">
        <f t="shared" si="16"/>
        <v>2023</v>
      </c>
    </row>
    <row r="880" spans="1:3" x14ac:dyDescent="0.2">
      <c r="A880" s="3">
        <v>45202</v>
      </c>
      <c r="B880">
        <v>98.478499999999997</v>
      </c>
      <c r="C880">
        <f t="shared" si="16"/>
        <v>2023</v>
      </c>
    </row>
    <row r="881" spans="1:3" x14ac:dyDescent="0.2">
      <c r="A881" s="3">
        <v>45201</v>
      </c>
      <c r="B881">
        <v>97.414699999999996</v>
      </c>
      <c r="C881">
        <f t="shared" si="16"/>
        <v>2023</v>
      </c>
    </row>
    <row r="882" spans="1:3" x14ac:dyDescent="0.2">
      <c r="A882" s="3">
        <v>45200</v>
      </c>
      <c r="B882">
        <v>97.414699999999996</v>
      </c>
      <c r="C882">
        <f t="shared" si="16"/>
        <v>2023</v>
      </c>
    </row>
    <row r="883" spans="1:3" x14ac:dyDescent="0.2">
      <c r="A883" s="3">
        <v>45199</v>
      </c>
      <c r="B883">
        <v>97.414699999999996</v>
      </c>
      <c r="C883">
        <f t="shared" si="16"/>
        <v>2023</v>
      </c>
    </row>
    <row r="884" spans="1:3" x14ac:dyDescent="0.2">
      <c r="A884" s="3">
        <v>45198</v>
      </c>
      <c r="B884">
        <v>97.001800000000003</v>
      </c>
      <c r="C884">
        <f t="shared" si="16"/>
        <v>2023</v>
      </c>
    </row>
    <row r="885" spans="1:3" x14ac:dyDescent="0.2">
      <c r="A885" s="3">
        <v>45197</v>
      </c>
      <c r="B885">
        <v>96.5</v>
      </c>
      <c r="C885">
        <f t="shared" si="16"/>
        <v>2023</v>
      </c>
    </row>
    <row r="886" spans="1:3" x14ac:dyDescent="0.2">
      <c r="A886" s="3">
        <v>45196</v>
      </c>
      <c r="B886">
        <v>96.237799999999993</v>
      </c>
      <c r="C886">
        <f t="shared" si="16"/>
        <v>2023</v>
      </c>
    </row>
    <row r="887" spans="1:3" x14ac:dyDescent="0.2">
      <c r="A887" s="3">
        <v>45195</v>
      </c>
      <c r="B887">
        <v>96.145600000000002</v>
      </c>
      <c r="C887">
        <f t="shared" si="16"/>
        <v>2023</v>
      </c>
    </row>
    <row r="888" spans="1:3" x14ac:dyDescent="0.2">
      <c r="A888" s="3">
        <v>45194</v>
      </c>
      <c r="B888">
        <v>96.041899999999998</v>
      </c>
      <c r="C888">
        <f t="shared" si="16"/>
        <v>2023</v>
      </c>
    </row>
    <row r="889" spans="1:3" x14ac:dyDescent="0.2">
      <c r="A889" s="3">
        <v>45193</v>
      </c>
      <c r="B889">
        <v>96.041899999999998</v>
      </c>
      <c r="C889">
        <f t="shared" si="16"/>
        <v>2023</v>
      </c>
    </row>
    <row r="890" spans="1:3" x14ac:dyDescent="0.2">
      <c r="A890" s="3">
        <v>45192</v>
      </c>
      <c r="B890">
        <v>96.041899999999998</v>
      </c>
      <c r="C890">
        <f t="shared" si="16"/>
        <v>2023</v>
      </c>
    </row>
    <row r="891" spans="1:3" x14ac:dyDescent="0.2">
      <c r="A891" s="3">
        <v>45191</v>
      </c>
      <c r="B891">
        <v>96.0762</v>
      </c>
      <c r="C891">
        <f t="shared" si="16"/>
        <v>2023</v>
      </c>
    </row>
    <row r="892" spans="1:3" x14ac:dyDescent="0.2">
      <c r="A892" s="3">
        <v>45190</v>
      </c>
      <c r="B892">
        <v>96.617199999999997</v>
      </c>
      <c r="C892">
        <f t="shared" si="16"/>
        <v>2023</v>
      </c>
    </row>
    <row r="893" spans="1:3" x14ac:dyDescent="0.2">
      <c r="A893" s="3">
        <v>45189</v>
      </c>
      <c r="B893">
        <v>96.223600000000005</v>
      </c>
      <c r="C893">
        <f t="shared" si="16"/>
        <v>2023</v>
      </c>
    </row>
    <row r="894" spans="1:3" x14ac:dyDescent="0.2">
      <c r="A894" s="3">
        <v>45188</v>
      </c>
      <c r="B894">
        <v>96.647199999999998</v>
      </c>
      <c r="C894">
        <f t="shared" si="16"/>
        <v>2023</v>
      </c>
    </row>
    <row r="895" spans="1:3" x14ac:dyDescent="0.2">
      <c r="A895" s="3">
        <v>45187</v>
      </c>
      <c r="B895">
        <v>96.633799999999994</v>
      </c>
      <c r="C895">
        <f t="shared" si="16"/>
        <v>2023</v>
      </c>
    </row>
    <row r="896" spans="1:3" x14ac:dyDescent="0.2">
      <c r="A896" s="3">
        <v>45186</v>
      </c>
      <c r="B896">
        <v>96.633799999999994</v>
      </c>
      <c r="C896">
        <f t="shared" si="16"/>
        <v>2023</v>
      </c>
    </row>
    <row r="897" spans="1:3" x14ac:dyDescent="0.2">
      <c r="A897" s="3">
        <v>45185</v>
      </c>
      <c r="B897">
        <v>96.633799999999994</v>
      </c>
      <c r="C897">
        <f t="shared" si="16"/>
        <v>2023</v>
      </c>
    </row>
    <row r="898" spans="1:3" x14ac:dyDescent="0.2">
      <c r="A898" s="3">
        <v>45184</v>
      </c>
      <c r="B898">
        <v>96.160899999999998</v>
      </c>
      <c r="C898">
        <f t="shared" si="16"/>
        <v>2023</v>
      </c>
    </row>
    <row r="899" spans="1:3" x14ac:dyDescent="0.2">
      <c r="A899" s="3">
        <v>45183</v>
      </c>
      <c r="B899">
        <v>95.979399999999998</v>
      </c>
      <c r="C899">
        <f t="shared" si="16"/>
        <v>2023</v>
      </c>
    </row>
    <row r="900" spans="1:3" x14ac:dyDescent="0.2">
      <c r="A900" s="3">
        <v>45182</v>
      </c>
      <c r="B900">
        <v>94.703500000000005</v>
      </c>
      <c r="C900">
        <f t="shared" ref="C900:C963" si="17">YEAR(A900)</f>
        <v>2023</v>
      </c>
    </row>
    <row r="901" spans="1:3" x14ac:dyDescent="0.2">
      <c r="A901" s="3">
        <v>45181</v>
      </c>
      <c r="B901">
        <v>96.508300000000006</v>
      </c>
      <c r="C901">
        <f t="shared" si="17"/>
        <v>2023</v>
      </c>
    </row>
    <row r="902" spans="1:3" x14ac:dyDescent="0.2">
      <c r="A902" s="3">
        <v>45180</v>
      </c>
      <c r="B902">
        <v>97.924099999999996</v>
      </c>
      <c r="C902">
        <f t="shared" si="17"/>
        <v>2023</v>
      </c>
    </row>
    <row r="903" spans="1:3" x14ac:dyDescent="0.2">
      <c r="A903" s="3">
        <v>45179</v>
      </c>
      <c r="B903">
        <v>97.924099999999996</v>
      </c>
      <c r="C903">
        <f t="shared" si="17"/>
        <v>2023</v>
      </c>
    </row>
    <row r="904" spans="1:3" x14ac:dyDescent="0.2">
      <c r="A904" s="3">
        <v>45178</v>
      </c>
      <c r="B904">
        <v>97.924099999999996</v>
      </c>
      <c r="C904">
        <f t="shared" si="17"/>
        <v>2023</v>
      </c>
    </row>
    <row r="905" spans="1:3" x14ac:dyDescent="0.2">
      <c r="A905" s="3">
        <v>45177</v>
      </c>
      <c r="B905">
        <v>98.196100000000001</v>
      </c>
      <c r="C905">
        <f t="shared" si="17"/>
        <v>2023</v>
      </c>
    </row>
    <row r="906" spans="1:3" x14ac:dyDescent="0.2">
      <c r="A906" s="3">
        <v>45176</v>
      </c>
      <c r="B906">
        <v>97.843900000000005</v>
      </c>
      <c r="C906">
        <f t="shared" si="17"/>
        <v>2023</v>
      </c>
    </row>
    <row r="907" spans="1:3" x14ac:dyDescent="0.2">
      <c r="A907" s="3">
        <v>45175</v>
      </c>
      <c r="B907">
        <v>97.538300000000007</v>
      </c>
      <c r="C907">
        <f t="shared" si="17"/>
        <v>2023</v>
      </c>
    </row>
    <row r="908" spans="1:3" x14ac:dyDescent="0.2">
      <c r="A908" s="3">
        <v>45174</v>
      </c>
      <c r="B908">
        <v>96.619900000000001</v>
      </c>
      <c r="C908">
        <f t="shared" si="17"/>
        <v>2023</v>
      </c>
    </row>
    <row r="909" spans="1:3" x14ac:dyDescent="0.2">
      <c r="A909" s="3">
        <v>45173</v>
      </c>
      <c r="B909">
        <v>96.341099999999997</v>
      </c>
      <c r="C909">
        <f t="shared" si="17"/>
        <v>2023</v>
      </c>
    </row>
    <row r="910" spans="1:3" x14ac:dyDescent="0.2">
      <c r="A910" s="3">
        <v>45172</v>
      </c>
      <c r="B910">
        <v>96.341099999999997</v>
      </c>
      <c r="C910">
        <f t="shared" si="17"/>
        <v>2023</v>
      </c>
    </row>
    <row r="911" spans="1:3" x14ac:dyDescent="0.2">
      <c r="A911" s="3">
        <v>45171</v>
      </c>
      <c r="B911">
        <v>96.341099999999997</v>
      </c>
      <c r="C911">
        <f t="shared" si="17"/>
        <v>2023</v>
      </c>
    </row>
    <row r="912" spans="1:3" x14ac:dyDescent="0.2">
      <c r="A912" s="3">
        <v>45170</v>
      </c>
      <c r="B912">
        <v>96.334400000000002</v>
      </c>
      <c r="C912">
        <f t="shared" si="17"/>
        <v>2023</v>
      </c>
    </row>
    <row r="913" spans="1:3" x14ac:dyDescent="0.2">
      <c r="A913" s="3">
        <v>45169</v>
      </c>
      <c r="B913">
        <v>95.928299999999993</v>
      </c>
      <c r="C913">
        <f t="shared" si="17"/>
        <v>2023</v>
      </c>
    </row>
    <row r="914" spans="1:3" x14ac:dyDescent="0.2">
      <c r="A914" s="3">
        <v>45168</v>
      </c>
      <c r="B914">
        <v>95.706999999999994</v>
      </c>
      <c r="C914">
        <f t="shared" si="17"/>
        <v>2023</v>
      </c>
    </row>
    <row r="915" spans="1:3" x14ac:dyDescent="0.2">
      <c r="A915" s="3">
        <v>45167</v>
      </c>
      <c r="B915">
        <v>95.471699999999998</v>
      </c>
      <c r="C915">
        <f t="shared" si="17"/>
        <v>2023</v>
      </c>
    </row>
    <row r="916" spans="1:3" x14ac:dyDescent="0.2">
      <c r="A916" s="3">
        <v>45166</v>
      </c>
      <c r="B916">
        <v>94.711699999999993</v>
      </c>
      <c r="C916">
        <f t="shared" si="17"/>
        <v>2023</v>
      </c>
    </row>
    <row r="917" spans="1:3" x14ac:dyDescent="0.2">
      <c r="A917" s="3">
        <v>45165</v>
      </c>
      <c r="B917">
        <v>94.711699999999993</v>
      </c>
      <c r="C917">
        <f t="shared" si="17"/>
        <v>2023</v>
      </c>
    </row>
    <row r="918" spans="1:3" x14ac:dyDescent="0.2">
      <c r="A918" s="3">
        <v>45164</v>
      </c>
      <c r="B918">
        <v>94.711699999999993</v>
      </c>
      <c r="C918">
        <f t="shared" si="17"/>
        <v>2023</v>
      </c>
    </row>
    <row r="919" spans="1:3" x14ac:dyDescent="0.2">
      <c r="A919" s="3">
        <v>45163</v>
      </c>
      <c r="B919">
        <v>94.400700000000001</v>
      </c>
      <c r="C919">
        <f t="shared" si="17"/>
        <v>2023</v>
      </c>
    </row>
    <row r="920" spans="1:3" x14ac:dyDescent="0.2">
      <c r="A920" s="3">
        <v>45162</v>
      </c>
      <c r="B920">
        <v>94.442099999999996</v>
      </c>
      <c r="C920">
        <f t="shared" si="17"/>
        <v>2023</v>
      </c>
    </row>
    <row r="921" spans="1:3" x14ac:dyDescent="0.2">
      <c r="A921" s="3">
        <v>45161</v>
      </c>
      <c r="B921">
        <v>94.118499999999997</v>
      </c>
      <c r="C921">
        <f t="shared" si="17"/>
        <v>2023</v>
      </c>
    </row>
    <row r="922" spans="1:3" x14ac:dyDescent="0.2">
      <c r="A922" s="3">
        <v>45160</v>
      </c>
      <c r="B922">
        <v>94.142399999999995</v>
      </c>
      <c r="C922">
        <f t="shared" si="17"/>
        <v>2023</v>
      </c>
    </row>
    <row r="923" spans="1:3" x14ac:dyDescent="0.2">
      <c r="A923" s="3">
        <v>45159</v>
      </c>
      <c r="B923">
        <v>93.404700000000005</v>
      </c>
      <c r="C923">
        <f t="shared" si="17"/>
        <v>2023</v>
      </c>
    </row>
    <row r="924" spans="1:3" x14ac:dyDescent="0.2">
      <c r="A924" s="3">
        <v>45158</v>
      </c>
      <c r="B924">
        <v>93.404700000000005</v>
      </c>
      <c r="C924">
        <f t="shared" si="17"/>
        <v>2023</v>
      </c>
    </row>
    <row r="925" spans="1:3" x14ac:dyDescent="0.2">
      <c r="A925" s="3">
        <v>45157</v>
      </c>
      <c r="B925">
        <v>93.404700000000005</v>
      </c>
      <c r="C925">
        <f t="shared" si="17"/>
        <v>2023</v>
      </c>
    </row>
    <row r="926" spans="1:3" x14ac:dyDescent="0.2">
      <c r="A926" s="3">
        <v>45156</v>
      </c>
      <c r="B926">
        <v>93.745999999999995</v>
      </c>
      <c r="C926">
        <f t="shared" si="17"/>
        <v>2023</v>
      </c>
    </row>
    <row r="927" spans="1:3" x14ac:dyDescent="0.2">
      <c r="A927" s="3">
        <v>45155</v>
      </c>
      <c r="B927">
        <v>96.704499999999996</v>
      </c>
      <c r="C927">
        <f t="shared" si="17"/>
        <v>2023</v>
      </c>
    </row>
    <row r="928" spans="1:3" x14ac:dyDescent="0.2">
      <c r="A928" s="3">
        <v>45154</v>
      </c>
      <c r="B928">
        <v>97.421700000000001</v>
      </c>
      <c r="C928">
        <f t="shared" si="17"/>
        <v>2023</v>
      </c>
    </row>
    <row r="929" spans="1:3" x14ac:dyDescent="0.2">
      <c r="A929" s="3">
        <v>45153</v>
      </c>
      <c r="B929">
        <v>101.0399</v>
      </c>
      <c r="C929">
        <f t="shared" si="17"/>
        <v>2023</v>
      </c>
    </row>
    <row r="930" spans="1:3" x14ac:dyDescent="0.2">
      <c r="A930" s="3">
        <v>45152</v>
      </c>
      <c r="B930">
        <v>98.206599999999995</v>
      </c>
      <c r="C930">
        <f t="shared" si="17"/>
        <v>2023</v>
      </c>
    </row>
    <row r="931" spans="1:3" x14ac:dyDescent="0.2">
      <c r="A931" s="3">
        <v>45151</v>
      </c>
      <c r="B931">
        <v>98.206599999999995</v>
      </c>
      <c r="C931">
        <f t="shared" si="17"/>
        <v>2023</v>
      </c>
    </row>
    <row r="932" spans="1:3" x14ac:dyDescent="0.2">
      <c r="A932" s="3">
        <v>45150</v>
      </c>
      <c r="B932">
        <v>98.206599999999995</v>
      </c>
      <c r="C932">
        <f t="shared" si="17"/>
        <v>2023</v>
      </c>
    </row>
    <row r="933" spans="1:3" x14ac:dyDescent="0.2">
      <c r="A933" s="3">
        <v>45149</v>
      </c>
      <c r="B933">
        <v>97.279399999999995</v>
      </c>
      <c r="C933">
        <f t="shared" si="17"/>
        <v>2023</v>
      </c>
    </row>
    <row r="934" spans="1:3" x14ac:dyDescent="0.2">
      <c r="A934" s="3">
        <v>45148</v>
      </c>
      <c r="B934">
        <v>97.399900000000002</v>
      </c>
      <c r="C934">
        <f t="shared" si="17"/>
        <v>2023</v>
      </c>
    </row>
    <row r="935" spans="1:3" x14ac:dyDescent="0.2">
      <c r="A935" s="3">
        <v>45147</v>
      </c>
      <c r="B935">
        <v>96.075500000000005</v>
      </c>
      <c r="C935">
        <f t="shared" si="17"/>
        <v>2023</v>
      </c>
    </row>
    <row r="936" spans="1:3" x14ac:dyDescent="0.2">
      <c r="A936" s="3">
        <v>45146</v>
      </c>
      <c r="B936">
        <v>96.566800000000001</v>
      </c>
      <c r="C936">
        <f t="shared" si="17"/>
        <v>2023</v>
      </c>
    </row>
    <row r="937" spans="1:3" x14ac:dyDescent="0.2">
      <c r="A937" s="3">
        <v>45145</v>
      </c>
      <c r="B937">
        <v>94.807599999999994</v>
      </c>
      <c r="C937">
        <f t="shared" si="17"/>
        <v>2023</v>
      </c>
    </row>
    <row r="938" spans="1:3" x14ac:dyDescent="0.2">
      <c r="A938" s="3">
        <v>45144</v>
      </c>
      <c r="B938">
        <v>94.807599999999994</v>
      </c>
      <c r="C938">
        <f t="shared" si="17"/>
        <v>2023</v>
      </c>
    </row>
    <row r="939" spans="1:3" x14ac:dyDescent="0.2">
      <c r="A939" s="3">
        <v>45143</v>
      </c>
      <c r="B939">
        <v>94.807599999999994</v>
      </c>
      <c r="C939">
        <f t="shared" si="17"/>
        <v>2023</v>
      </c>
    </row>
    <row r="940" spans="1:3" x14ac:dyDescent="0.2">
      <c r="A940" s="3">
        <v>45142</v>
      </c>
      <c r="B940">
        <v>93.779200000000003</v>
      </c>
      <c r="C940">
        <f t="shared" si="17"/>
        <v>2023</v>
      </c>
    </row>
    <row r="941" spans="1:3" x14ac:dyDescent="0.2">
      <c r="A941" s="3">
        <v>45141</v>
      </c>
      <c r="B941">
        <v>92.840999999999994</v>
      </c>
      <c r="C941">
        <f t="shared" si="17"/>
        <v>2023</v>
      </c>
    </row>
    <row r="942" spans="1:3" x14ac:dyDescent="0.2">
      <c r="A942" s="3">
        <v>45140</v>
      </c>
      <c r="B942">
        <v>91.775499999999994</v>
      </c>
      <c r="C942">
        <f t="shared" si="17"/>
        <v>2023</v>
      </c>
    </row>
    <row r="943" spans="1:3" x14ac:dyDescent="0.2">
      <c r="A943" s="3">
        <v>45139</v>
      </c>
      <c r="B943">
        <v>91.592299999999994</v>
      </c>
      <c r="C943">
        <f t="shared" si="17"/>
        <v>2023</v>
      </c>
    </row>
    <row r="944" spans="1:3" x14ac:dyDescent="0.2">
      <c r="A944" s="3">
        <v>45138</v>
      </c>
      <c r="B944">
        <v>90.978300000000004</v>
      </c>
      <c r="C944">
        <f t="shared" si="17"/>
        <v>2023</v>
      </c>
    </row>
    <row r="945" spans="1:3" x14ac:dyDescent="0.2">
      <c r="A945" s="3">
        <v>45137</v>
      </c>
      <c r="B945">
        <v>90.978300000000004</v>
      </c>
      <c r="C945">
        <f t="shared" si="17"/>
        <v>2023</v>
      </c>
    </row>
    <row r="946" spans="1:3" x14ac:dyDescent="0.2">
      <c r="A946" s="3">
        <v>45136</v>
      </c>
      <c r="B946">
        <v>90.978300000000004</v>
      </c>
      <c r="C946">
        <f t="shared" si="17"/>
        <v>2023</v>
      </c>
    </row>
    <row r="947" spans="1:3" x14ac:dyDescent="0.2">
      <c r="A947" s="3">
        <v>45135</v>
      </c>
      <c r="B947">
        <v>90.022499999999994</v>
      </c>
      <c r="C947">
        <f t="shared" si="17"/>
        <v>2023</v>
      </c>
    </row>
    <row r="948" spans="1:3" x14ac:dyDescent="0.2">
      <c r="A948" s="3">
        <v>45134</v>
      </c>
      <c r="B948">
        <v>90.046800000000005</v>
      </c>
      <c r="C948">
        <f t="shared" si="17"/>
        <v>2023</v>
      </c>
    </row>
    <row r="949" spans="1:3" x14ac:dyDescent="0.2">
      <c r="A949" s="3">
        <v>45133</v>
      </c>
      <c r="B949">
        <v>90.094499999999996</v>
      </c>
      <c r="C949">
        <f t="shared" si="17"/>
        <v>2023</v>
      </c>
    </row>
    <row r="950" spans="1:3" x14ac:dyDescent="0.2">
      <c r="A950" s="3">
        <v>45132</v>
      </c>
      <c r="B950">
        <v>90.489000000000004</v>
      </c>
      <c r="C950">
        <f t="shared" si="17"/>
        <v>2023</v>
      </c>
    </row>
    <row r="951" spans="1:3" x14ac:dyDescent="0.2">
      <c r="A951" s="3">
        <v>45131</v>
      </c>
      <c r="B951">
        <v>90.384600000000006</v>
      </c>
      <c r="C951">
        <f t="shared" si="17"/>
        <v>2023</v>
      </c>
    </row>
    <row r="952" spans="1:3" x14ac:dyDescent="0.2">
      <c r="A952" s="3">
        <v>45130</v>
      </c>
      <c r="B952">
        <v>90.384600000000006</v>
      </c>
      <c r="C952">
        <f t="shared" si="17"/>
        <v>2023</v>
      </c>
    </row>
    <row r="953" spans="1:3" x14ac:dyDescent="0.2">
      <c r="A953" s="3">
        <v>45129</v>
      </c>
      <c r="B953">
        <v>90.384600000000006</v>
      </c>
      <c r="C953">
        <f t="shared" si="17"/>
        <v>2023</v>
      </c>
    </row>
    <row r="954" spans="1:3" x14ac:dyDescent="0.2">
      <c r="A954" s="3">
        <v>45128</v>
      </c>
      <c r="B954">
        <v>90.854500000000002</v>
      </c>
      <c r="C954">
        <f t="shared" si="17"/>
        <v>2023</v>
      </c>
    </row>
    <row r="955" spans="1:3" x14ac:dyDescent="0.2">
      <c r="A955" s="3">
        <v>45127</v>
      </c>
      <c r="B955">
        <v>91.204599999999999</v>
      </c>
      <c r="C955">
        <f t="shared" si="17"/>
        <v>2023</v>
      </c>
    </row>
    <row r="956" spans="1:3" x14ac:dyDescent="0.2">
      <c r="A956" s="3">
        <v>45126</v>
      </c>
      <c r="B956">
        <v>90.690600000000003</v>
      </c>
      <c r="C956">
        <f t="shared" si="17"/>
        <v>2023</v>
      </c>
    </row>
    <row r="957" spans="1:3" x14ac:dyDescent="0.2">
      <c r="A957" s="3">
        <v>45125</v>
      </c>
      <c r="B957">
        <v>90.421700000000001</v>
      </c>
      <c r="C957">
        <f t="shared" si="17"/>
        <v>2023</v>
      </c>
    </row>
    <row r="958" spans="1:3" x14ac:dyDescent="0.2">
      <c r="A958" s="3">
        <v>45124</v>
      </c>
      <c r="B958">
        <v>90.119</v>
      </c>
      <c r="C958">
        <f t="shared" si="17"/>
        <v>2023</v>
      </c>
    </row>
    <row r="959" spans="1:3" x14ac:dyDescent="0.2">
      <c r="A959" s="3">
        <v>45123</v>
      </c>
      <c r="B959">
        <v>90.119</v>
      </c>
      <c r="C959">
        <f t="shared" si="17"/>
        <v>2023</v>
      </c>
    </row>
    <row r="960" spans="1:3" x14ac:dyDescent="0.2">
      <c r="A960" s="3">
        <v>45122</v>
      </c>
      <c r="B960">
        <v>90.119</v>
      </c>
      <c r="C960">
        <f t="shared" si="17"/>
        <v>2023</v>
      </c>
    </row>
    <row r="961" spans="1:3" x14ac:dyDescent="0.2">
      <c r="A961" s="3">
        <v>45121</v>
      </c>
      <c r="B961">
        <v>90.175700000000006</v>
      </c>
      <c r="C961">
        <f t="shared" si="17"/>
        <v>2023</v>
      </c>
    </row>
    <row r="962" spans="1:3" x14ac:dyDescent="0.2">
      <c r="A962" s="3">
        <v>45120</v>
      </c>
      <c r="B962">
        <v>90.625299999999996</v>
      </c>
      <c r="C962">
        <f t="shared" si="17"/>
        <v>2023</v>
      </c>
    </row>
    <row r="963" spans="1:3" x14ac:dyDescent="0.2">
      <c r="A963" s="3">
        <v>45119</v>
      </c>
      <c r="B963">
        <v>90.504499999999993</v>
      </c>
      <c r="C963">
        <f t="shared" si="17"/>
        <v>2023</v>
      </c>
    </row>
    <row r="964" spans="1:3" x14ac:dyDescent="0.2">
      <c r="A964" s="3">
        <v>45118</v>
      </c>
      <c r="B964">
        <v>91.493099999999998</v>
      </c>
      <c r="C964">
        <f t="shared" ref="C964:C1027" si="18">YEAR(A964)</f>
        <v>2023</v>
      </c>
    </row>
    <row r="965" spans="1:3" x14ac:dyDescent="0.2">
      <c r="A965" s="3">
        <v>45117</v>
      </c>
      <c r="B965">
        <v>91.687899999999999</v>
      </c>
      <c r="C965">
        <f t="shared" si="18"/>
        <v>2023</v>
      </c>
    </row>
    <row r="966" spans="1:3" x14ac:dyDescent="0.2">
      <c r="A966" s="3">
        <v>45116</v>
      </c>
      <c r="B966">
        <v>91.687899999999999</v>
      </c>
      <c r="C966">
        <f t="shared" si="18"/>
        <v>2023</v>
      </c>
    </row>
    <row r="967" spans="1:3" x14ac:dyDescent="0.2">
      <c r="A967" s="3">
        <v>45115</v>
      </c>
      <c r="B967">
        <v>91.687899999999999</v>
      </c>
      <c r="C967">
        <f t="shared" si="18"/>
        <v>2023</v>
      </c>
    </row>
    <row r="968" spans="1:3" x14ac:dyDescent="0.2">
      <c r="A968" s="3">
        <v>45114</v>
      </c>
      <c r="B968">
        <v>92.569500000000005</v>
      </c>
      <c r="C968">
        <f t="shared" si="18"/>
        <v>2023</v>
      </c>
    </row>
    <row r="969" spans="1:3" x14ac:dyDescent="0.2">
      <c r="A969" s="3">
        <v>45113</v>
      </c>
      <c r="B969">
        <v>90.337999999999994</v>
      </c>
      <c r="C969">
        <f t="shared" si="18"/>
        <v>2023</v>
      </c>
    </row>
    <row r="970" spans="1:3" x14ac:dyDescent="0.2">
      <c r="A970" s="3">
        <v>45112</v>
      </c>
      <c r="B970">
        <v>89.545000000000002</v>
      </c>
      <c r="C970">
        <f t="shared" si="18"/>
        <v>2023</v>
      </c>
    </row>
    <row r="971" spans="1:3" x14ac:dyDescent="0.2">
      <c r="A971" s="3">
        <v>45111</v>
      </c>
      <c r="B971">
        <v>89.325500000000005</v>
      </c>
      <c r="C971">
        <f t="shared" si="18"/>
        <v>2023</v>
      </c>
    </row>
    <row r="972" spans="1:3" x14ac:dyDescent="0.2">
      <c r="A972" s="3">
        <v>45110</v>
      </c>
      <c r="B972">
        <v>88.384399999999999</v>
      </c>
      <c r="C972">
        <f t="shared" si="18"/>
        <v>2023</v>
      </c>
    </row>
    <row r="973" spans="1:3" x14ac:dyDescent="0.2">
      <c r="A973" s="3">
        <v>45109</v>
      </c>
      <c r="B973">
        <v>88.384399999999999</v>
      </c>
      <c r="C973">
        <f t="shared" si="18"/>
        <v>2023</v>
      </c>
    </row>
    <row r="974" spans="1:3" x14ac:dyDescent="0.2">
      <c r="A974" s="3">
        <v>45108</v>
      </c>
      <c r="B974">
        <v>88.384399999999999</v>
      </c>
      <c r="C974">
        <f t="shared" si="18"/>
        <v>2023</v>
      </c>
    </row>
    <row r="975" spans="1:3" x14ac:dyDescent="0.2">
      <c r="A975" s="3">
        <v>45107</v>
      </c>
      <c r="B975">
        <v>87.034099999999995</v>
      </c>
      <c r="C975">
        <f t="shared" si="18"/>
        <v>2023</v>
      </c>
    </row>
    <row r="976" spans="1:3" x14ac:dyDescent="0.2">
      <c r="A976" s="3">
        <v>45106</v>
      </c>
      <c r="B976">
        <v>85.619200000000006</v>
      </c>
      <c r="C976">
        <f t="shared" si="18"/>
        <v>2023</v>
      </c>
    </row>
    <row r="977" spans="1:3" x14ac:dyDescent="0.2">
      <c r="A977" s="3">
        <v>45105</v>
      </c>
      <c r="B977">
        <v>85.050399999999996</v>
      </c>
      <c r="C977">
        <f t="shared" si="18"/>
        <v>2023</v>
      </c>
    </row>
    <row r="978" spans="1:3" x14ac:dyDescent="0.2">
      <c r="A978" s="3">
        <v>45104</v>
      </c>
      <c r="B978">
        <v>84.664199999999994</v>
      </c>
      <c r="C978">
        <f t="shared" si="18"/>
        <v>2023</v>
      </c>
    </row>
    <row r="979" spans="1:3" x14ac:dyDescent="0.2">
      <c r="A979" s="3">
        <v>45103</v>
      </c>
      <c r="B979">
        <v>84.079300000000003</v>
      </c>
      <c r="C979">
        <f t="shared" si="18"/>
        <v>2023</v>
      </c>
    </row>
    <row r="980" spans="1:3" x14ac:dyDescent="0.2">
      <c r="A980" s="3">
        <v>45102</v>
      </c>
      <c r="B980">
        <v>84.079300000000003</v>
      </c>
      <c r="C980">
        <f t="shared" si="18"/>
        <v>2023</v>
      </c>
    </row>
    <row r="981" spans="1:3" x14ac:dyDescent="0.2">
      <c r="A981" s="3">
        <v>45101</v>
      </c>
      <c r="B981">
        <v>84.079300000000003</v>
      </c>
      <c r="C981">
        <f t="shared" si="18"/>
        <v>2023</v>
      </c>
    </row>
    <row r="982" spans="1:3" x14ac:dyDescent="0.2">
      <c r="A982" s="3">
        <v>45100</v>
      </c>
      <c r="B982">
        <v>83.607699999999994</v>
      </c>
      <c r="C982">
        <f t="shared" si="18"/>
        <v>2023</v>
      </c>
    </row>
    <row r="983" spans="1:3" x14ac:dyDescent="0.2">
      <c r="A983" s="3">
        <v>45099</v>
      </c>
      <c r="B983">
        <v>84.246700000000004</v>
      </c>
      <c r="C983">
        <f t="shared" si="18"/>
        <v>2023</v>
      </c>
    </row>
    <row r="984" spans="1:3" x14ac:dyDescent="0.2">
      <c r="A984" s="3">
        <v>45098</v>
      </c>
      <c r="B984">
        <v>84.233599999999996</v>
      </c>
      <c r="C984">
        <f t="shared" si="18"/>
        <v>2023</v>
      </c>
    </row>
    <row r="985" spans="1:3" x14ac:dyDescent="0.2">
      <c r="A985" s="3">
        <v>45097</v>
      </c>
      <c r="B985">
        <v>83.986599999999996</v>
      </c>
      <c r="C985">
        <f t="shared" si="18"/>
        <v>2023</v>
      </c>
    </row>
    <row r="986" spans="1:3" x14ac:dyDescent="0.2">
      <c r="A986" s="3">
        <v>45096</v>
      </c>
      <c r="B986">
        <v>83.649799999999999</v>
      </c>
      <c r="C986">
        <f t="shared" si="18"/>
        <v>2023</v>
      </c>
    </row>
    <row r="987" spans="1:3" x14ac:dyDescent="0.2">
      <c r="A987" s="3">
        <v>45095</v>
      </c>
      <c r="B987">
        <v>83.649799999999999</v>
      </c>
      <c r="C987">
        <f t="shared" si="18"/>
        <v>2023</v>
      </c>
    </row>
    <row r="988" spans="1:3" x14ac:dyDescent="0.2">
      <c r="A988" s="3">
        <v>45094</v>
      </c>
      <c r="B988">
        <v>83.649799999999999</v>
      </c>
      <c r="C988">
        <f t="shared" si="18"/>
        <v>2023</v>
      </c>
    </row>
    <row r="989" spans="1:3" x14ac:dyDescent="0.2">
      <c r="A989" s="3">
        <v>45093</v>
      </c>
      <c r="B989">
        <v>83.961100000000002</v>
      </c>
      <c r="C989">
        <f t="shared" si="18"/>
        <v>2023</v>
      </c>
    </row>
    <row r="990" spans="1:3" x14ac:dyDescent="0.2">
      <c r="A990" s="3">
        <v>45092</v>
      </c>
      <c r="B990">
        <v>84.3249</v>
      </c>
      <c r="C990">
        <f t="shared" si="18"/>
        <v>2023</v>
      </c>
    </row>
    <row r="991" spans="1:3" x14ac:dyDescent="0.2">
      <c r="A991" s="3">
        <v>45091</v>
      </c>
      <c r="B991">
        <v>83.640500000000003</v>
      </c>
      <c r="C991">
        <f t="shared" si="18"/>
        <v>2023</v>
      </c>
    </row>
    <row r="992" spans="1:3" x14ac:dyDescent="0.2">
      <c r="A992" s="3">
        <v>45090</v>
      </c>
      <c r="B992">
        <v>82.6417</v>
      </c>
      <c r="C992">
        <f t="shared" si="18"/>
        <v>2023</v>
      </c>
    </row>
    <row r="993" spans="1:3" x14ac:dyDescent="0.2">
      <c r="A993" s="3">
        <v>45089</v>
      </c>
      <c r="B993">
        <v>82.6417</v>
      </c>
      <c r="C993">
        <f t="shared" si="18"/>
        <v>2023</v>
      </c>
    </row>
    <row r="994" spans="1:3" x14ac:dyDescent="0.2">
      <c r="A994" s="3">
        <v>45088</v>
      </c>
      <c r="B994">
        <v>82.6417</v>
      </c>
      <c r="C994">
        <f t="shared" si="18"/>
        <v>2023</v>
      </c>
    </row>
    <row r="995" spans="1:3" x14ac:dyDescent="0.2">
      <c r="A995" s="3">
        <v>45087</v>
      </c>
      <c r="B995">
        <v>82.6417</v>
      </c>
      <c r="C995">
        <f t="shared" si="18"/>
        <v>2023</v>
      </c>
    </row>
    <row r="996" spans="1:3" x14ac:dyDescent="0.2">
      <c r="A996" s="3">
        <v>45086</v>
      </c>
      <c r="B996">
        <v>82.093000000000004</v>
      </c>
      <c r="C996">
        <f t="shared" si="18"/>
        <v>2023</v>
      </c>
    </row>
    <row r="997" spans="1:3" x14ac:dyDescent="0.2">
      <c r="A997" s="3">
        <v>45085</v>
      </c>
      <c r="B997">
        <v>81.458100000000002</v>
      </c>
      <c r="C997">
        <f t="shared" si="18"/>
        <v>2023</v>
      </c>
    </row>
    <row r="998" spans="1:3" x14ac:dyDescent="0.2">
      <c r="A998" s="3">
        <v>45084</v>
      </c>
      <c r="B998">
        <v>81.250200000000007</v>
      </c>
      <c r="C998">
        <f t="shared" si="18"/>
        <v>2023</v>
      </c>
    </row>
    <row r="999" spans="1:3" x14ac:dyDescent="0.2">
      <c r="A999" s="3">
        <v>45083</v>
      </c>
      <c r="B999">
        <v>81.329400000000007</v>
      </c>
      <c r="C999">
        <f t="shared" si="18"/>
        <v>2023</v>
      </c>
    </row>
    <row r="1000" spans="1:3" x14ac:dyDescent="0.2">
      <c r="A1000" s="3">
        <v>45082</v>
      </c>
      <c r="B1000">
        <v>80.875600000000006</v>
      </c>
      <c r="C1000">
        <f t="shared" si="18"/>
        <v>2023</v>
      </c>
    </row>
    <row r="1001" spans="1:3" x14ac:dyDescent="0.2">
      <c r="A1001" s="3">
        <v>45081</v>
      </c>
      <c r="B1001">
        <v>80.875600000000006</v>
      </c>
      <c r="C1001">
        <f t="shared" si="18"/>
        <v>2023</v>
      </c>
    </row>
    <row r="1002" spans="1:3" x14ac:dyDescent="0.2">
      <c r="A1002" s="3">
        <v>45080</v>
      </c>
      <c r="B1002">
        <v>80.875600000000006</v>
      </c>
      <c r="C1002">
        <f t="shared" si="18"/>
        <v>2023</v>
      </c>
    </row>
    <row r="1003" spans="1:3" x14ac:dyDescent="0.2">
      <c r="A1003" s="3">
        <v>45079</v>
      </c>
      <c r="B1003">
        <v>80.965699999999998</v>
      </c>
      <c r="C1003">
        <f t="shared" si="18"/>
        <v>2023</v>
      </c>
    </row>
    <row r="1004" spans="1:3" x14ac:dyDescent="0.2">
      <c r="A1004" s="3">
        <v>45078</v>
      </c>
      <c r="B1004">
        <v>80.994200000000006</v>
      </c>
      <c r="C1004">
        <f t="shared" si="18"/>
        <v>2023</v>
      </c>
    </row>
    <row r="1005" spans="1:3" x14ac:dyDescent="0.2">
      <c r="A1005" s="3">
        <v>45077</v>
      </c>
      <c r="B1005">
        <v>80.687200000000004</v>
      </c>
      <c r="C1005">
        <f t="shared" si="18"/>
        <v>2023</v>
      </c>
    </row>
    <row r="1006" spans="1:3" x14ac:dyDescent="0.2">
      <c r="A1006" s="3">
        <v>45076</v>
      </c>
      <c r="B1006">
        <v>80.055499999999995</v>
      </c>
      <c r="C1006">
        <f t="shared" si="18"/>
        <v>2023</v>
      </c>
    </row>
    <row r="1007" spans="1:3" x14ac:dyDescent="0.2">
      <c r="A1007" s="3">
        <v>45075</v>
      </c>
      <c r="B1007">
        <v>79.966700000000003</v>
      </c>
      <c r="C1007">
        <f t="shared" si="18"/>
        <v>2023</v>
      </c>
    </row>
    <row r="1008" spans="1:3" x14ac:dyDescent="0.2">
      <c r="A1008" s="3">
        <v>45074</v>
      </c>
      <c r="B1008">
        <v>79.966700000000003</v>
      </c>
      <c r="C1008">
        <f t="shared" si="18"/>
        <v>2023</v>
      </c>
    </row>
    <row r="1009" spans="1:3" x14ac:dyDescent="0.2">
      <c r="A1009" s="3">
        <v>45073</v>
      </c>
      <c r="B1009">
        <v>79.966700000000003</v>
      </c>
      <c r="C1009">
        <f t="shared" si="18"/>
        <v>2023</v>
      </c>
    </row>
    <row r="1010" spans="1:3" x14ac:dyDescent="0.2">
      <c r="A1010" s="3">
        <v>45072</v>
      </c>
      <c r="B1010">
        <v>79.984099999999998</v>
      </c>
      <c r="C1010">
        <f t="shared" si="18"/>
        <v>2023</v>
      </c>
    </row>
    <row r="1011" spans="1:3" x14ac:dyDescent="0.2">
      <c r="A1011" s="3">
        <v>45071</v>
      </c>
      <c r="B1011">
        <v>79.966899999999995</v>
      </c>
      <c r="C1011">
        <f t="shared" si="18"/>
        <v>2023</v>
      </c>
    </row>
    <row r="1012" spans="1:3" x14ac:dyDescent="0.2">
      <c r="A1012" s="3">
        <v>45070</v>
      </c>
      <c r="B1012">
        <v>80.166499999999999</v>
      </c>
      <c r="C1012">
        <f t="shared" si="18"/>
        <v>2023</v>
      </c>
    </row>
    <row r="1013" spans="1:3" x14ac:dyDescent="0.2">
      <c r="A1013" s="3">
        <v>45069</v>
      </c>
      <c r="B1013">
        <v>79.937899999999999</v>
      </c>
      <c r="C1013">
        <f t="shared" si="18"/>
        <v>2023</v>
      </c>
    </row>
    <row r="1014" spans="1:3" x14ac:dyDescent="0.2">
      <c r="A1014" s="3">
        <v>45068</v>
      </c>
      <c r="B1014">
        <v>79.909300000000002</v>
      </c>
      <c r="C1014">
        <f t="shared" si="18"/>
        <v>2023</v>
      </c>
    </row>
    <row r="1015" spans="1:3" x14ac:dyDescent="0.2">
      <c r="A1015" s="3">
        <v>45067</v>
      </c>
      <c r="B1015">
        <v>79.909300000000002</v>
      </c>
      <c r="C1015">
        <f t="shared" si="18"/>
        <v>2023</v>
      </c>
    </row>
    <row r="1016" spans="1:3" x14ac:dyDescent="0.2">
      <c r="A1016" s="3">
        <v>45066</v>
      </c>
      <c r="B1016">
        <v>79.909300000000002</v>
      </c>
      <c r="C1016">
        <f t="shared" si="18"/>
        <v>2023</v>
      </c>
    </row>
    <row r="1017" spans="1:3" x14ac:dyDescent="0.2">
      <c r="A1017" s="3">
        <v>45065</v>
      </c>
      <c r="B1017">
        <v>80.036600000000007</v>
      </c>
      <c r="C1017">
        <f t="shared" si="18"/>
        <v>2023</v>
      </c>
    </row>
    <row r="1018" spans="1:3" x14ac:dyDescent="0.2">
      <c r="A1018" s="3">
        <v>45064</v>
      </c>
      <c r="B1018">
        <v>80.764200000000002</v>
      </c>
      <c r="C1018">
        <f t="shared" si="18"/>
        <v>2023</v>
      </c>
    </row>
    <row r="1019" spans="1:3" x14ac:dyDescent="0.2">
      <c r="A1019" s="3">
        <v>45063</v>
      </c>
      <c r="B1019">
        <v>79.979799999999997</v>
      </c>
      <c r="C1019">
        <f t="shared" si="18"/>
        <v>2023</v>
      </c>
    </row>
    <row r="1020" spans="1:3" x14ac:dyDescent="0.2">
      <c r="A1020" s="3">
        <v>45062</v>
      </c>
      <c r="B1020">
        <v>79.100399999999993</v>
      </c>
      <c r="C1020">
        <f t="shared" si="18"/>
        <v>2023</v>
      </c>
    </row>
    <row r="1021" spans="1:3" x14ac:dyDescent="0.2">
      <c r="A1021" s="3">
        <v>45061</v>
      </c>
      <c r="B1021">
        <v>77.204099999999997</v>
      </c>
      <c r="C1021">
        <f t="shared" si="18"/>
        <v>2023</v>
      </c>
    </row>
    <row r="1022" spans="1:3" x14ac:dyDescent="0.2">
      <c r="A1022" s="3">
        <v>45060</v>
      </c>
      <c r="B1022">
        <v>77.204099999999997</v>
      </c>
      <c r="C1022">
        <f t="shared" si="18"/>
        <v>2023</v>
      </c>
    </row>
    <row r="1023" spans="1:3" x14ac:dyDescent="0.2">
      <c r="A1023" s="3">
        <v>45059</v>
      </c>
      <c r="B1023">
        <v>77.204099999999997</v>
      </c>
      <c r="C1023">
        <f t="shared" si="18"/>
        <v>2023</v>
      </c>
    </row>
    <row r="1024" spans="1:3" x14ac:dyDescent="0.2">
      <c r="A1024" s="3">
        <v>45058</v>
      </c>
      <c r="B1024">
        <v>75.884600000000006</v>
      </c>
      <c r="C1024">
        <f t="shared" si="18"/>
        <v>2023</v>
      </c>
    </row>
    <row r="1025" spans="1:3" x14ac:dyDescent="0.2">
      <c r="A1025" s="3">
        <v>45057</v>
      </c>
      <c r="B1025">
        <v>76.692899999999995</v>
      </c>
      <c r="C1025">
        <f t="shared" si="18"/>
        <v>2023</v>
      </c>
    </row>
    <row r="1026" spans="1:3" x14ac:dyDescent="0.2">
      <c r="A1026" s="3">
        <v>45056</v>
      </c>
      <c r="B1026">
        <v>76.057500000000005</v>
      </c>
      <c r="C1026">
        <f t="shared" si="18"/>
        <v>2023</v>
      </c>
    </row>
    <row r="1027" spans="1:3" x14ac:dyDescent="0.2">
      <c r="A1027" s="3">
        <v>45054</v>
      </c>
      <c r="B1027">
        <v>76.820700000000002</v>
      </c>
      <c r="C1027">
        <f t="shared" si="18"/>
        <v>2023</v>
      </c>
    </row>
    <row r="1028" spans="1:3" x14ac:dyDescent="0.2">
      <c r="A1028" s="3">
        <v>45053</v>
      </c>
      <c r="B1028">
        <v>76.820700000000002</v>
      </c>
      <c r="C1028">
        <f t="shared" ref="C1028:C1091" si="19">YEAR(A1028)</f>
        <v>2023</v>
      </c>
    </row>
    <row r="1029" spans="1:3" x14ac:dyDescent="0.2">
      <c r="A1029" s="3">
        <v>45052</v>
      </c>
      <c r="B1029">
        <v>76.820700000000002</v>
      </c>
      <c r="C1029">
        <f t="shared" si="19"/>
        <v>2023</v>
      </c>
    </row>
    <row r="1030" spans="1:3" x14ac:dyDescent="0.2">
      <c r="A1030" s="3">
        <v>45051</v>
      </c>
      <c r="B1030">
        <v>78.613900000000001</v>
      </c>
      <c r="C1030">
        <f t="shared" si="19"/>
        <v>2023</v>
      </c>
    </row>
    <row r="1031" spans="1:3" x14ac:dyDescent="0.2">
      <c r="A1031" s="3">
        <v>45050</v>
      </c>
      <c r="B1031">
        <v>79.307100000000005</v>
      </c>
      <c r="C1031">
        <f t="shared" si="19"/>
        <v>2023</v>
      </c>
    </row>
    <row r="1032" spans="1:3" x14ac:dyDescent="0.2">
      <c r="A1032" s="3">
        <v>45049</v>
      </c>
      <c r="B1032">
        <v>79.960899999999995</v>
      </c>
      <c r="C1032">
        <f t="shared" si="19"/>
        <v>2023</v>
      </c>
    </row>
    <row r="1033" spans="1:3" x14ac:dyDescent="0.2">
      <c r="A1033" s="3">
        <v>45048</v>
      </c>
      <c r="B1033">
        <v>80.509299999999996</v>
      </c>
      <c r="C1033">
        <f t="shared" si="19"/>
        <v>2023</v>
      </c>
    </row>
    <row r="1034" spans="1:3" x14ac:dyDescent="0.2">
      <c r="A1034" s="3">
        <v>45047</v>
      </c>
      <c r="B1034">
        <v>80.509299999999996</v>
      </c>
      <c r="C1034">
        <f t="shared" si="19"/>
        <v>2023</v>
      </c>
    </row>
    <row r="1035" spans="1:3" x14ac:dyDescent="0.2">
      <c r="A1035" s="3">
        <v>45046</v>
      </c>
      <c r="B1035">
        <v>80.509299999999996</v>
      </c>
      <c r="C1035">
        <f t="shared" si="19"/>
        <v>2023</v>
      </c>
    </row>
    <row r="1036" spans="1:3" x14ac:dyDescent="0.2">
      <c r="A1036" s="3">
        <v>45045</v>
      </c>
      <c r="B1036">
        <v>80.509299999999996</v>
      </c>
      <c r="C1036">
        <f t="shared" si="19"/>
        <v>2023</v>
      </c>
    </row>
    <row r="1037" spans="1:3" x14ac:dyDescent="0.2">
      <c r="A1037" s="3">
        <v>45044</v>
      </c>
      <c r="B1037">
        <v>81.560100000000006</v>
      </c>
      <c r="C1037">
        <f t="shared" si="19"/>
        <v>2023</v>
      </c>
    </row>
    <row r="1038" spans="1:3" x14ac:dyDescent="0.2">
      <c r="A1038" s="3">
        <v>45043</v>
      </c>
      <c r="B1038">
        <v>81.627399999999994</v>
      </c>
      <c r="C1038">
        <f t="shared" si="19"/>
        <v>2023</v>
      </c>
    </row>
    <row r="1039" spans="1:3" x14ac:dyDescent="0.2">
      <c r="A1039" s="3">
        <v>45042</v>
      </c>
      <c r="B1039">
        <v>81.549899999999994</v>
      </c>
      <c r="C1039">
        <f t="shared" si="19"/>
        <v>2023</v>
      </c>
    </row>
    <row r="1040" spans="1:3" x14ac:dyDescent="0.2">
      <c r="A1040" s="3">
        <v>45041</v>
      </c>
      <c r="B1040">
        <v>81.274500000000003</v>
      </c>
      <c r="C1040">
        <f t="shared" si="19"/>
        <v>2023</v>
      </c>
    </row>
    <row r="1041" spans="1:3" x14ac:dyDescent="0.2">
      <c r="A1041" s="3">
        <v>45040</v>
      </c>
      <c r="B1041">
        <v>81.4863</v>
      </c>
      <c r="C1041">
        <f t="shared" si="19"/>
        <v>2023</v>
      </c>
    </row>
    <row r="1042" spans="1:3" x14ac:dyDescent="0.2">
      <c r="A1042" s="3">
        <v>45039</v>
      </c>
      <c r="B1042">
        <v>81.4863</v>
      </c>
      <c r="C1042">
        <f t="shared" si="19"/>
        <v>2023</v>
      </c>
    </row>
    <row r="1043" spans="1:3" x14ac:dyDescent="0.2">
      <c r="A1043" s="3">
        <v>45038</v>
      </c>
      <c r="B1043">
        <v>81.4863</v>
      </c>
      <c r="C1043">
        <f t="shared" si="19"/>
        <v>2023</v>
      </c>
    </row>
    <row r="1044" spans="1:3" x14ac:dyDescent="0.2">
      <c r="A1044" s="3">
        <v>45037</v>
      </c>
      <c r="B1044">
        <v>81.618799999999993</v>
      </c>
      <c r="C1044">
        <f t="shared" si="19"/>
        <v>2023</v>
      </c>
    </row>
    <row r="1045" spans="1:3" x14ac:dyDescent="0.2">
      <c r="A1045" s="3">
        <v>45036</v>
      </c>
      <c r="B1045">
        <v>81.654899999999998</v>
      </c>
      <c r="C1045">
        <f t="shared" si="19"/>
        <v>2023</v>
      </c>
    </row>
    <row r="1046" spans="1:3" x14ac:dyDescent="0.2">
      <c r="A1046" s="3">
        <v>45035</v>
      </c>
      <c r="B1046">
        <v>81.602800000000002</v>
      </c>
      <c r="C1046">
        <f t="shared" si="19"/>
        <v>2023</v>
      </c>
    </row>
    <row r="1047" spans="1:3" x14ac:dyDescent="0.2">
      <c r="A1047" s="3">
        <v>45034</v>
      </c>
      <c r="B1047">
        <v>81.627899999999997</v>
      </c>
      <c r="C1047">
        <f t="shared" si="19"/>
        <v>2023</v>
      </c>
    </row>
    <row r="1048" spans="1:3" x14ac:dyDescent="0.2">
      <c r="A1048" s="3">
        <v>45033</v>
      </c>
      <c r="B1048">
        <v>81.504499999999993</v>
      </c>
      <c r="C1048">
        <f t="shared" si="19"/>
        <v>2023</v>
      </c>
    </row>
    <row r="1049" spans="1:3" x14ac:dyDescent="0.2">
      <c r="A1049" s="3">
        <v>45032</v>
      </c>
      <c r="B1049">
        <v>81.504499999999993</v>
      </c>
      <c r="C1049">
        <f t="shared" si="19"/>
        <v>2023</v>
      </c>
    </row>
    <row r="1050" spans="1:3" x14ac:dyDescent="0.2">
      <c r="A1050" s="3">
        <v>45031</v>
      </c>
      <c r="B1050">
        <v>81.504499999999993</v>
      </c>
      <c r="C1050">
        <f t="shared" si="19"/>
        <v>2023</v>
      </c>
    </row>
    <row r="1051" spans="1:3" x14ac:dyDescent="0.2">
      <c r="A1051" s="3">
        <v>45030</v>
      </c>
      <c r="B1051">
        <v>81.675799999999995</v>
      </c>
      <c r="C1051">
        <f t="shared" si="19"/>
        <v>2023</v>
      </c>
    </row>
    <row r="1052" spans="1:3" x14ac:dyDescent="0.2">
      <c r="A1052" s="3">
        <v>45029</v>
      </c>
      <c r="B1052">
        <v>82.093400000000003</v>
      </c>
      <c r="C1052">
        <f t="shared" si="19"/>
        <v>2023</v>
      </c>
    </row>
    <row r="1053" spans="1:3" x14ac:dyDescent="0.2">
      <c r="A1053" s="3">
        <v>45028</v>
      </c>
      <c r="B1053">
        <v>82.179900000000004</v>
      </c>
      <c r="C1053">
        <f t="shared" si="19"/>
        <v>2023</v>
      </c>
    </row>
    <row r="1054" spans="1:3" x14ac:dyDescent="0.2">
      <c r="A1054" s="3">
        <v>45027</v>
      </c>
      <c r="B1054">
        <v>81.744100000000003</v>
      </c>
      <c r="C1054">
        <f t="shared" si="19"/>
        <v>2023</v>
      </c>
    </row>
    <row r="1055" spans="1:3" x14ac:dyDescent="0.2">
      <c r="A1055" s="3">
        <v>45026</v>
      </c>
      <c r="B1055">
        <v>82.398799999999994</v>
      </c>
      <c r="C1055">
        <f t="shared" si="19"/>
        <v>2023</v>
      </c>
    </row>
    <row r="1056" spans="1:3" x14ac:dyDescent="0.2">
      <c r="A1056" s="3">
        <v>45025</v>
      </c>
      <c r="B1056">
        <v>82.398799999999994</v>
      </c>
      <c r="C1056">
        <f t="shared" si="19"/>
        <v>2023</v>
      </c>
    </row>
    <row r="1057" spans="1:3" x14ac:dyDescent="0.2">
      <c r="A1057" s="3">
        <v>45024</v>
      </c>
      <c r="B1057">
        <v>82.398799999999994</v>
      </c>
      <c r="C1057">
        <f t="shared" si="19"/>
        <v>2023</v>
      </c>
    </row>
    <row r="1058" spans="1:3" x14ac:dyDescent="0.2">
      <c r="A1058" s="3">
        <v>45023</v>
      </c>
      <c r="B1058">
        <v>80.671300000000002</v>
      </c>
      <c r="C1058">
        <f t="shared" si="19"/>
        <v>2023</v>
      </c>
    </row>
    <row r="1059" spans="1:3" x14ac:dyDescent="0.2">
      <c r="A1059" s="3">
        <v>45022</v>
      </c>
      <c r="B1059">
        <v>79.496099999999998</v>
      </c>
      <c r="C1059">
        <f t="shared" si="19"/>
        <v>2023</v>
      </c>
    </row>
    <row r="1060" spans="1:3" x14ac:dyDescent="0.2">
      <c r="A1060" s="3">
        <v>45021</v>
      </c>
      <c r="B1060">
        <v>79.356300000000005</v>
      </c>
      <c r="C1060">
        <f t="shared" si="19"/>
        <v>2023</v>
      </c>
    </row>
    <row r="1061" spans="1:3" x14ac:dyDescent="0.2">
      <c r="A1061" s="3">
        <v>45020</v>
      </c>
      <c r="B1061">
        <v>77.950999999999993</v>
      </c>
      <c r="C1061">
        <f t="shared" si="19"/>
        <v>2023</v>
      </c>
    </row>
    <row r="1062" spans="1:3" x14ac:dyDescent="0.2">
      <c r="A1062" s="3">
        <v>45019</v>
      </c>
      <c r="B1062">
        <v>77.323300000000003</v>
      </c>
      <c r="C1062">
        <f t="shared" si="19"/>
        <v>2023</v>
      </c>
    </row>
    <row r="1063" spans="1:3" x14ac:dyDescent="0.2">
      <c r="A1063" s="3">
        <v>45018</v>
      </c>
      <c r="B1063">
        <v>77.323300000000003</v>
      </c>
      <c r="C1063">
        <f t="shared" si="19"/>
        <v>2023</v>
      </c>
    </row>
    <row r="1064" spans="1:3" x14ac:dyDescent="0.2">
      <c r="A1064" s="3">
        <v>45017</v>
      </c>
      <c r="B1064">
        <v>77.323300000000003</v>
      </c>
      <c r="C1064">
        <f t="shared" si="19"/>
        <v>2023</v>
      </c>
    </row>
    <row r="1065" spans="1:3" x14ac:dyDescent="0.2">
      <c r="A1065" s="3">
        <v>45016</v>
      </c>
      <c r="B1065">
        <v>77.086299999999994</v>
      </c>
      <c r="C1065">
        <f t="shared" si="19"/>
        <v>2023</v>
      </c>
    </row>
    <row r="1066" spans="1:3" x14ac:dyDescent="0.2">
      <c r="A1066" s="3">
        <v>45015</v>
      </c>
      <c r="B1066">
        <v>76.978099999999998</v>
      </c>
      <c r="C1066">
        <f t="shared" si="19"/>
        <v>2023</v>
      </c>
    </row>
    <row r="1067" spans="1:3" x14ac:dyDescent="0.2">
      <c r="A1067" s="3">
        <v>45014</v>
      </c>
      <c r="B1067">
        <v>76.593900000000005</v>
      </c>
      <c r="C1067">
        <f t="shared" si="19"/>
        <v>2023</v>
      </c>
    </row>
    <row r="1068" spans="1:3" x14ac:dyDescent="0.2">
      <c r="A1068" s="3">
        <v>45013</v>
      </c>
      <c r="B1068">
        <v>76.566199999999995</v>
      </c>
      <c r="C1068">
        <f t="shared" si="19"/>
        <v>2023</v>
      </c>
    </row>
    <row r="1069" spans="1:3" x14ac:dyDescent="0.2">
      <c r="A1069" s="3">
        <v>45012</v>
      </c>
      <c r="B1069">
        <v>76.447900000000004</v>
      </c>
      <c r="C1069">
        <f t="shared" si="19"/>
        <v>2023</v>
      </c>
    </row>
    <row r="1070" spans="1:3" x14ac:dyDescent="0.2">
      <c r="A1070" s="3">
        <v>45011</v>
      </c>
      <c r="B1070">
        <v>76.447900000000004</v>
      </c>
      <c r="C1070">
        <f t="shared" si="19"/>
        <v>2023</v>
      </c>
    </row>
    <row r="1071" spans="1:3" x14ac:dyDescent="0.2">
      <c r="A1071" s="3">
        <v>45010</v>
      </c>
      <c r="B1071">
        <v>76.447900000000004</v>
      </c>
      <c r="C1071">
        <f t="shared" si="19"/>
        <v>2023</v>
      </c>
    </row>
    <row r="1072" spans="1:3" x14ac:dyDescent="0.2">
      <c r="A1072" s="3">
        <v>45009</v>
      </c>
      <c r="B1072">
        <v>76.307199999999995</v>
      </c>
      <c r="C1072">
        <f t="shared" si="19"/>
        <v>2023</v>
      </c>
    </row>
    <row r="1073" spans="1:3" x14ac:dyDescent="0.2">
      <c r="A1073" s="3">
        <v>45008</v>
      </c>
      <c r="B1073">
        <v>76.956100000000006</v>
      </c>
      <c r="C1073">
        <f t="shared" si="19"/>
        <v>2023</v>
      </c>
    </row>
    <row r="1074" spans="1:3" x14ac:dyDescent="0.2">
      <c r="A1074" s="3">
        <v>45007</v>
      </c>
      <c r="B1074">
        <v>76.837299999999999</v>
      </c>
      <c r="C1074">
        <f t="shared" si="19"/>
        <v>2023</v>
      </c>
    </row>
    <row r="1075" spans="1:3" x14ac:dyDescent="0.2">
      <c r="A1075" s="3">
        <v>45006</v>
      </c>
      <c r="B1075">
        <v>77.242199999999997</v>
      </c>
      <c r="C1075">
        <f t="shared" si="19"/>
        <v>2023</v>
      </c>
    </row>
    <row r="1076" spans="1:3" x14ac:dyDescent="0.2">
      <c r="A1076" s="3">
        <v>45005</v>
      </c>
      <c r="B1076">
        <v>76.604399999999998</v>
      </c>
      <c r="C1076">
        <f t="shared" si="19"/>
        <v>2023</v>
      </c>
    </row>
    <row r="1077" spans="1:3" x14ac:dyDescent="0.2">
      <c r="A1077" s="3">
        <v>45004</v>
      </c>
      <c r="B1077">
        <v>76.604399999999998</v>
      </c>
      <c r="C1077">
        <f t="shared" si="19"/>
        <v>2023</v>
      </c>
    </row>
    <row r="1078" spans="1:3" x14ac:dyDescent="0.2">
      <c r="A1078" s="3">
        <v>45003</v>
      </c>
      <c r="B1078">
        <v>76.604399999999998</v>
      </c>
      <c r="C1078">
        <f t="shared" si="19"/>
        <v>2023</v>
      </c>
    </row>
    <row r="1079" spans="1:3" x14ac:dyDescent="0.2">
      <c r="A1079" s="3">
        <v>45002</v>
      </c>
      <c r="B1079">
        <v>76.409499999999994</v>
      </c>
      <c r="C1079">
        <f t="shared" si="19"/>
        <v>2023</v>
      </c>
    </row>
    <row r="1080" spans="1:3" x14ac:dyDescent="0.2">
      <c r="A1080" s="3">
        <v>45001</v>
      </c>
      <c r="B1080">
        <v>75.745699999999999</v>
      </c>
      <c r="C1080">
        <f t="shared" si="19"/>
        <v>2023</v>
      </c>
    </row>
    <row r="1081" spans="1:3" x14ac:dyDescent="0.2">
      <c r="A1081" s="3">
        <v>45000</v>
      </c>
      <c r="B1081">
        <v>75.192700000000002</v>
      </c>
      <c r="C1081">
        <f t="shared" si="19"/>
        <v>2023</v>
      </c>
    </row>
    <row r="1082" spans="1:3" x14ac:dyDescent="0.2">
      <c r="A1082" s="3">
        <v>44999</v>
      </c>
      <c r="B1082">
        <v>75.460899999999995</v>
      </c>
      <c r="C1082">
        <f t="shared" si="19"/>
        <v>2023</v>
      </c>
    </row>
    <row r="1083" spans="1:3" x14ac:dyDescent="0.2">
      <c r="A1083" s="3">
        <v>44998</v>
      </c>
      <c r="B1083">
        <v>75.940600000000003</v>
      </c>
      <c r="C1083">
        <f t="shared" si="19"/>
        <v>2023</v>
      </c>
    </row>
    <row r="1084" spans="1:3" x14ac:dyDescent="0.2">
      <c r="A1084" s="3">
        <v>44997</v>
      </c>
      <c r="B1084">
        <v>75.940600000000003</v>
      </c>
      <c r="C1084">
        <f t="shared" si="19"/>
        <v>2023</v>
      </c>
    </row>
    <row r="1085" spans="1:3" x14ac:dyDescent="0.2">
      <c r="A1085" s="3">
        <v>44996</v>
      </c>
      <c r="B1085">
        <v>75.940600000000003</v>
      </c>
      <c r="C1085">
        <f t="shared" si="19"/>
        <v>2023</v>
      </c>
    </row>
    <row r="1086" spans="1:3" x14ac:dyDescent="0.2">
      <c r="A1086" s="3">
        <v>44995</v>
      </c>
      <c r="B1086">
        <v>75.902799999999999</v>
      </c>
      <c r="C1086">
        <f t="shared" si="19"/>
        <v>2023</v>
      </c>
    </row>
    <row r="1087" spans="1:3" x14ac:dyDescent="0.2">
      <c r="A1087" s="3">
        <v>44994</v>
      </c>
      <c r="B1087">
        <v>75.457700000000003</v>
      </c>
      <c r="C1087">
        <f t="shared" si="19"/>
        <v>2023</v>
      </c>
    </row>
    <row r="1088" spans="1:3" x14ac:dyDescent="0.2">
      <c r="A1088" s="3">
        <v>44993</v>
      </c>
      <c r="B1088">
        <v>75.457700000000003</v>
      </c>
      <c r="C1088">
        <f t="shared" si="19"/>
        <v>2023</v>
      </c>
    </row>
    <row r="1089" spans="1:3" x14ac:dyDescent="0.2">
      <c r="A1089" s="3">
        <v>44992</v>
      </c>
      <c r="B1089">
        <v>75.472800000000007</v>
      </c>
      <c r="C1089">
        <f t="shared" si="19"/>
        <v>2023</v>
      </c>
    </row>
    <row r="1090" spans="1:3" x14ac:dyDescent="0.2">
      <c r="A1090" s="3">
        <v>44991</v>
      </c>
      <c r="B1090">
        <v>75.459199999999996</v>
      </c>
      <c r="C1090">
        <f t="shared" si="19"/>
        <v>2023</v>
      </c>
    </row>
    <row r="1091" spans="1:3" x14ac:dyDescent="0.2">
      <c r="A1091" s="3">
        <v>44990</v>
      </c>
      <c r="B1091">
        <v>75.459199999999996</v>
      </c>
      <c r="C1091">
        <f t="shared" si="19"/>
        <v>2023</v>
      </c>
    </row>
    <row r="1092" spans="1:3" x14ac:dyDescent="0.2">
      <c r="A1092" s="3">
        <v>44989</v>
      </c>
      <c r="B1092">
        <v>75.459199999999996</v>
      </c>
      <c r="C1092">
        <f t="shared" ref="C1092:C1155" si="20">YEAR(A1092)</f>
        <v>2023</v>
      </c>
    </row>
    <row r="1093" spans="1:3" x14ac:dyDescent="0.2">
      <c r="A1093" s="3">
        <v>44988</v>
      </c>
      <c r="B1093">
        <v>75.472899999999996</v>
      </c>
      <c r="C1093">
        <f t="shared" si="20"/>
        <v>2023</v>
      </c>
    </row>
    <row r="1094" spans="1:3" x14ac:dyDescent="0.2">
      <c r="A1094" s="3">
        <v>44987</v>
      </c>
      <c r="B1094">
        <v>75.251300000000001</v>
      </c>
      <c r="C1094">
        <f t="shared" si="20"/>
        <v>2023</v>
      </c>
    </row>
    <row r="1095" spans="1:3" x14ac:dyDescent="0.2">
      <c r="A1095" s="3">
        <v>44986</v>
      </c>
      <c r="B1095">
        <v>74.893199999999993</v>
      </c>
      <c r="C1095">
        <f t="shared" si="20"/>
        <v>2023</v>
      </c>
    </row>
    <row r="1096" spans="1:3" x14ac:dyDescent="0.2">
      <c r="A1096" s="3">
        <v>44985</v>
      </c>
      <c r="B1096">
        <v>75.432299999999998</v>
      </c>
      <c r="C1096">
        <f t="shared" si="20"/>
        <v>2023</v>
      </c>
    </row>
    <row r="1097" spans="1:3" x14ac:dyDescent="0.2">
      <c r="A1097" s="3">
        <v>44984</v>
      </c>
      <c r="B1097">
        <v>74.602500000000006</v>
      </c>
      <c r="C1097">
        <f t="shared" si="20"/>
        <v>2023</v>
      </c>
    </row>
    <row r="1098" spans="1:3" x14ac:dyDescent="0.2">
      <c r="A1098" s="3">
        <v>44981</v>
      </c>
      <c r="B1098">
        <v>74.708699999999993</v>
      </c>
      <c r="C1098">
        <f t="shared" si="20"/>
        <v>2023</v>
      </c>
    </row>
    <row r="1099" spans="1:3" x14ac:dyDescent="0.2">
      <c r="A1099" s="3">
        <v>44980</v>
      </c>
      <c r="B1099">
        <v>74.708699999999993</v>
      </c>
      <c r="C1099">
        <f t="shared" si="20"/>
        <v>2023</v>
      </c>
    </row>
    <row r="1100" spans="1:3" x14ac:dyDescent="0.2">
      <c r="A1100" s="3">
        <v>44979</v>
      </c>
      <c r="B1100">
        <v>74.8596</v>
      </c>
      <c r="C1100">
        <f t="shared" si="20"/>
        <v>2023</v>
      </c>
    </row>
    <row r="1101" spans="1:3" x14ac:dyDescent="0.2">
      <c r="A1101" s="3">
        <v>44978</v>
      </c>
      <c r="B1101">
        <v>74.043199999999999</v>
      </c>
      <c r="C1101">
        <f t="shared" si="20"/>
        <v>2023</v>
      </c>
    </row>
    <row r="1102" spans="1:3" x14ac:dyDescent="0.2">
      <c r="A1102" s="3">
        <v>44977</v>
      </c>
      <c r="B1102">
        <v>74.758799999999994</v>
      </c>
      <c r="C1102">
        <f t="shared" si="20"/>
        <v>2023</v>
      </c>
    </row>
    <row r="1103" spans="1:3" x14ac:dyDescent="0.2">
      <c r="A1103" s="3">
        <v>44976</v>
      </c>
      <c r="B1103">
        <v>74.758799999999994</v>
      </c>
      <c r="C1103">
        <f t="shared" si="20"/>
        <v>2023</v>
      </c>
    </row>
    <row r="1104" spans="1:3" x14ac:dyDescent="0.2">
      <c r="A1104" s="3">
        <v>44975</v>
      </c>
      <c r="B1104">
        <v>74.758799999999994</v>
      </c>
      <c r="C1104">
        <f t="shared" si="20"/>
        <v>2023</v>
      </c>
    </row>
    <row r="1105" spans="1:3" x14ac:dyDescent="0.2">
      <c r="A1105" s="3">
        <v>44974</v>
      </c>
      <c r="B1105">
        <v>74.763800000000003</v>
      </c>
      <c r="C1105">
        <f t="shared" si="20"/>
        <v>2023</v>
      </c>
    </row>
    <row r="1106" spans="1:3" x14ac:dyDescent="0.2">
      <c r="A1106" s="3">
        <v>44973</v>
      </c>
      <c r="B1106">
        <v>74.207700000000003</v>
      </c>
      <c r="C1106">
        <f t="shared" si="20"/>
        <v>2023</v>
      </c>
    </row>
    <row r="1107" spans="1:3" x14ac:dyDescent="0.2">
      <c r="A1107" s="3">
        <v>44972</v>
      </c>
      <c r="B1107">
        <v>73.864500000000007</v>
      </c>
      <c r="C1107">
        <f t="shared" si="20"/>
        <v>2023</v>
      </c>
    </row>
    <row r="1108" spans="1:3" x14ac:dyDescent="0.2">
      <c r="A1108" s="3">
        <v>44971</v>
      </c>
      <c r="B1108">
        <v>73.630700000000004</v>
      </c>
      <c r="C1108">
        <f t="shared" si="20"/>
        <v>2023</v>
      </c>
    </row>
    <row r="1109" spans="1:3" x14ac:dyDescent="0.2">
      <c r="A1109" s="3">
        <v>44970</v>
      </c>
      <c r="B1109">
        <v>72.792299999999997</v>
      </c>
      <c r="C1109">
        <f t="shared" si="20"/>
        <v>2023</v>
      </c>
    </row>
    <row r="1110" spans="1:3" x14ac:dyDescent="0.2">
      <c r="A1110" s="3">
        <v>44969</v>
      </c>
      <c r="B1110">
        <v>72.792299999999997</v>
      </c>
      <c r="C1110">
        <f t="shared" si="20"/>
        <v>2023</v>
      </c>
    </row>
    <row r="1111" spans="1:3" x14ac:dyDescent="0.2">
      <c r="A1111" s="3">
        <v>44968</v>
      </c>
      <c r="B1111">
        <v>72.792299999999997</v>
      </c>
      <c r="C1111">
        <f t="shared" si="20"/>
        <v>2023</v>
      </c>
    </row>
    <row r="1112" spans="1:3" x14ac:dyDescent="0.2">
      <c r="A1112" s="3">
        <v>44967</v>
      </c>
      <c r="B1112">
        <v>72.894900000000007</v>
      </c>
      <c r="C1112">
        <f t="shared" si="20"/>
        <v>2023</v>
      </c>
    </row>
    <row r="1113" spans="1:3" x14ac:dyDescent="0.2">
      <c r="A1113" s="3">
        <v>44966</v>
      </c>
      <c r="B1113">
        <v>71.576300000000003</v>
      </c>
      <c r="C1113">
        <f t="shared" si="20"/>
        <v>2023</v>
      </c>
    </row>
    <row r="1114" spans="1:3" x14ac:dyDescent="0.2">
      <c r="A1114" s="3">
        <v>44965</v>
      </c>
      <c r="B1114">
        <v>70.892399999999995</v>
      </c>
      <c r="C1114">
        <f t="shared" si="20"/>
        <v>2023</v>
      </c>
    </row>
    <row r="1115" spans="1:3" x14ac:dyDescent="0.2">
      <c r="A1115" s="3">
        <v>44964</v>
      </c>
      <c r="B1115">
        <v>70.599100000000007</v>
      </c>
      <c r="C1115">
        <f t="shared" si="20"/>
        <v>2023</v>
      </c>
    </row>
    <row r="1116" spans="1:3" x14ac:dyDescent="0.2">
      <c r="A1116" s="3">
        <v>44963</v>
      </c>
      <c r="B1116">
        <v>70.384699999999995</v>
      </c>
      <c r="C1116">
        <f t="shared" si="20"/>
        <v>2023</v>
      </c>
    </row>
    <row r="1117" spans="1:3" x14ac:dyDescent="0.2">
      <c r="A1117" s="3">
        <v>44962</v>
      </c>
      <c r="B1117">
        <v>70.384699999999995</v>
      </c>
      <c r="C1117">
        <f t="shared" si="20"/>
        <v>2023</v>
      </c>
    </row>
    <row r="1118" spans="1:3" x14ac:dyDescent="0.2">
      <c r="A1118" s="3">
        <v>44961</v>
      </c>
      <c r="B1118">
        <v>70.384699999999995</v>
      </c>
      <c r="C1118">
        <f t="shared" si="20"/>
        <v>2023</v>
      </c>
    </row>
    <row r="1119" spans="1:3" x14ac:dyDescent="0.2">
      <c r="A1119" s="3">
        <v>44960</v>
      </c>
      <c r="B1119">
        <v>70.041399999999996</v>
      </c>
      <c r="C1119">
        <f t="shared" si="20"/>
        <v>2023</v>
      </c>
    </row>
    <row r="1120" spans="1:3" x14ac:dyDescent="0.2">
      <c r="A1120" s="3">
        <v>44959</v>
      </c>
      <c r="B1120">
        <v>70.121700000000004</v>
      </c>
      <c r="C1120">
        <f t="shared" si="20"/>
        <v>2023</v>
      </c>
    </row>
    <row r="1121" spans="1:3" x14ac:dyDescent="0.2">
      <c r="A1121" s="3">
        <v>44958</v>
      </c>
      <c r="B1121">
        <v>70.517399999999995</v>
      </c>
      <c r="C1121">
        <f t="shared" si="20"/>
        <v>2023</v>
      </c>
    </row>
    <row r="1122" spans="1:3" x14ac:dyDescent="0.2">
      <c r="A1122" s="3">
        <v>44957</v>
      </c>
      <c r="B1122">
        <v>69.592699999999994</v>
      </c>
      <c r="C1122">
        <f t="shared" si="20"/>
        <v>2023</v>
      </c>
    </row>
    <row r="1123" spans="1:3" x14ac:dyDescent="0.2">
      <c r="A1123" s="3">
        <v>44956</v>
      </c>
      <c r="B1123">
        <v>69.337199999999996</v>
      </c>
      <c r="C1123">
        <f t="shared" si="20"/>
        <v>2023</v>
      </c>
    </row>
    <row r="1124" spans="1:3" x14ac:dyDescent="0.2">
      <c r="A1124" s="3">
        <v>44955</v>
      </c>
      <c r="B1124">
        <v>69.337199999999996</v>
      </c>
      <c r="C1124">
        <f t="shared" si="20"/>
        <v>2023</v>
      </c>
    </row>
    <row r="1125" spans="1:3" x14ac:dyDescent="0.2">
      <c r="A1125" s="3">
        <v>44954</v>
      </c>
      <c r="B1125">
        <v>69.337199999999996</v>
      </c>
      <c r="C1125">
        <f t="shared" si="20"/>
        <v>2023</v>
      </c>
    </row>
    <row r="1126" spans="1:3" x14ac:dyDescent="0.2">
      <c r="A1126" s="3">
        <v>44953</v>
      </c>
      <c r="B1126">
        <v>69.126300000000001</v>
      </c>
      <c r="C1126">
        <f t="shared" si="20"/>
        <v>2023</v>
      </c>
    </row>
    <row r="1127" spans="1:3" x14ac:dyDescent="0.2">
      <c r="A1127" s="3">
        <v>44952</v>
      </c>
      <c r="B1127">
        <v>68.957300000000004</v>
      </c>
      <c r="C1127">
        <f t="shared" si="20"/>
        <v>2023</v>
      </c>
    </row>
    <row r="1128" spans="1:3" x14ac:dyDescent="0.2">
      <c r="A1128" s="3">
        <v>44951</v>
      </c>
      <c r="B1128">
        <v>68.752899999999997</v>
      </c>
      <c r="C1128">
        <f t="shared" si="20"/>
        <v>2023</v>
      </c>
    </row>
    <row r="1129" spans="1:3" x14ac:dyDescent="0.2">
      <c r="A1129" s="3">
        <v>44950</v>
      </c>
      <c r="B1129">
        <v>68.628799999999998</v>
      </c>
      <c r="C1129">
        <f t="shared" si="20"/>
        <v>2023</v>
      </c>
    </row>
    <row r="1130" spans="1:3" x14ac:dyDescent="0.2">
      <c r="A1130" s="3">
        <v>44949</v>
      </c>
      <c r="B1130">
        <v>68.665599999999998</v>
      </c>
      <c r="C1130">
        <f t="shared" si="20"/>
        <v>2023</v>
      </c>
    </row>
    <row r="1131" spans="1:3" x14ac:dyDescent="0.2">
      <c r="A1131" s="3">
        <v>44948</v>
      </c>
      <c r="B1131">
        <v>68.665599999999998</v>
      </c>
      <c r="C1131">
        <f t="shared" si="20"/>
        <v>2023</v>
      </c>
    </row>
    <row r="1132" spans="1:3" x14ac:dyDescent="0.2">
      <c r="A1132" s="3">
        <v>44947</v>
      </c>
      <c r="B1132">
        <v>68.665599999999998</v>
      </c>
      <c r="C1132">
        <f t="shared" si="20"/>
        <v>2023</v>
      </c>
    </row>
    <row r="1133" spans="1:3" x14ac:dyDescent="0.2">
      <c r="A1133" s="3">
        <v>44946</v>
      </c>
      <c r="B1133">
        <v>68.846699999999998</v>
      </c>
      <c r="C1133">
        <f t="shared" si="20"/>
        <v>2023</v>
      </c>
    </row>
    <row r="1134" spans="1:3" x14ac:dyDescent="0.2">
      <c r="A1134" s="3">
        <v>44945</v>
      </c>
      <c r="B1134">
        <v>68.872799999999998</v>
      </c>
      <c r="C1134">
        <f t="shared" si="20"/>
        <v>2023</v>
      </c>
    </row>
    <row r="1135" spans="1:3" x14ac:dyDescent="0.2">
      <c r="A1135" s="3">
        <v>44944</v>
      </c>
      <c r="B1135">
        <v>68.664400000000001</v>
      </c>
      <c r="C1135">
        <f t="shared" si="20"/>
        <v>2023</v>
      </c>
    </row>
    <row r="1136" spans="1:3" x14ac:dyDescent="0.2">
      <c r="A1136" s="3">
        <v>44943</v>
      </c>
      <c r="B1136">
        <v>68.289199999999994</v>
      </c>
      <c r="C1136">
        <f t="shared" si="20"/>
        <v>2023</v>
      </c>
    </row>
    <row r="1137" spans="1:3" x14ac:dyDescent="0.2">
      <c r="A1137" s="3">
        <v>44942</v>
      </c>
      <c r="B1137">
        <v>67.574399999999997</v>
      </c>
      <c r="C1137">
        <f t="shared" si="20"/>
        <v>2023</v>
      </c>
    </row>
    <row r="1138" spans="1:3" x14ac:dyDescent="0.2">
      <c r="A1138" s="3">
        <v>44941</v>
      </c>
      <c r="B1138">
        <v>67.574399999999997</v>
      </c>
      <c r="C1138">
        <f t="shared" si="20"/>
        <v>2023</v>
      </c>
    </row>
    <row r="1139" spans="1:3" x14ac:dyDescent="0.2">
      <c r="A1139" s="3">
        <v>44940</v>
      </c>
      <c r="B1139">
        <v>67.574399999999997</v>
      </c>
      <c r="C1139">
        <f t="shared" si="20"/>
        <v>2023</v>
      </c>
    </row>
    <row r="1140" spans="1:3" x14ac:dyDescent="0.2">
      <c r="A1140" s="3">
        <v>44939</v>
      </c>
      <c r="B1140">
        <v>67.777500000000003</v>
      </c>
      <c r="C1140">
        <f t="shared" si="20"/>
        <v>2023</v>
      </c>
    </row>
    <row r="1141" spans="1:3" x14ac:dyDescent="0.2">
      <c r="A1141" s="3">
        <v>44938</v>
      </c>
      <c r="B1141">
        <v>69.020200000000003</v>
      </c>
      <c r="C1141">
        <f t="shared" si="20"/>
        <v>2023</v>
      </c>
    </row>
    <row r="1142" spans="1:3" x14ac:dyDescent="0.2">
      <c r="A1142" s="3">
        <v>44937</v>
      </c>
      <c r="B1142">
        <v>69.609399999999994</v>
      </c>
      <c r="C1142">
        <f t="shared" si="20"/>
        <v>2023</v>
      </c>
    </row>
    <row r="1143" spans="1:3" x14ac:dyDescent="0.2">
      <c r="A1143" s="3">
        <v>44936</v>
      </c>
      <c r="B1143">
        <v>70.300200000000004</v>
      </c>
      <c r="C1143">
        <f t="shared" si="20"/>
        <v>2023</v>
      </c>
    </row>
    <row r="1144" spans="1:3" x14ac:dyDescent="0.2">
      <c r="A1144" s="3">
        <v>44935</v>
      </c>
      <c r="B1144">
        <v>69.989999999999995</v>
      </c>
      <c r="C1144">
        <f t="shared" si="20"/>
        <v>2023</v>
      </c>
    </row>
    <row r="1145" spans="1:3" x14ac:dyDescent="0.2">
      <c r="A1145" s="3">
        <v>44932</v>
      </c>
      <c r="B1145">
        <v>72.122500000000002</v>
      </c>
      <c r="C1145">
        <f t="shared" si="20"/>
        <v>2023</v>
      </c>
    </row>
    <row r="1146" spans="1:3" x14ac:dyDescent="0.2">
      <c r="A1146" s="3">
        <v>44931</v>
      </c>
      <c r="B1146">
        <v>72.180000000000007</v>
      </c>
      <c r="C1146">
        <f t="shared" si="20"/>
        <v>2023</v>
      </c>
    </row>
    <row r="1147" spans="1:3" x14ac:dyDescent="0.2">
      <c r="A1147" s="3">
        <v>44930</v>
      </c>
      <c r="B1147">
        <v>72</v>
      </c>
      <c r="C1147">
        <f t="shared" si="20"/>
        <v>2023</v>
      </c>
    </row>
    <row r="1148" spans="1:3" x14ac:dyDescent="0.2">
      <c r="A1148" s="3">
        <v>44929</v>
      </c>
      <c r="B1148">
        <v>70.337500000000006</v>
      </c>
      <c r="C1148">
        <f t="shared" si="20"/>
        <v>2023</v>
      </c>
    </row>
    <row r="1149" spans="1:3" x14ac:dyDescent="0.2">
      <c r="A1149" s="3">
        <v>44928</v>
      </c>
      <c r="B1149">
        <v>70.337500000000006</v>
      </c>
      <c r="C1149">
        <f t="shared" si="20"/>
        <v>2023</v>
      </c>
    </row>
    <row r="1150" spans="1:3" x14ac:dyDescent="0.2">
      <c r="A1150" s="3">
        <v>44927</v>
      </c>
      <c r="B1150">
        <v>70.337500000000006</v>
      </c>
      <c r="C1150">
        <f t="shared" si="20"/>
        <v>2023</v>
      </c>
    </row>
    <row r="1151" spans="1:3" x14ac:dyDescent="0.2">
      <c r="A1151" s="3">
        <v>44926</v>
      </c>
      <c r="B1151">
        <v>70.337500000000006</v>
      </c>
      <c r="C1151">
        <f t="shared" si="20"/>
        <v>2022</v>
      </c>
    </row>
    <row r="1152" spans="1:3" x14ac:dyDescent="0.2">
      <c r="A1152" s="3">
        <v>44925</v>
      </c>
      <c r="B1152">
        <v>71.977800000000002</v>
      </c>
      <c r="C1152">
        <f t="shared" si="20"/>
        <v>2022</v>
      </c>
    </row>
    <row r="1153" spans="1:3" x14ac:dyDescent="0.2">
      <c r="A1153" s="3">
        <v>44924</v>
      </c>
      <c r="B1153">
        <v>71.326099999999997</v>
      </c>
      <c r="C1153">
        <f t="shared" si="20"/>
        <v>2022</v>
      </c>
    </row>
    <row r="1154" spans="1:3" x14ac:dyDescent="0.2">
      <c r="A1154" s="3">
        <v>44923</v>
      </c>
      <c r="B1154">
        <v>69.934600000000003</v>
      </c>
      <c r="C1154">
        <f t="shared" si="20"/>
        <v>2022</v>
      </c>
    </row>
    <row r="1155" spans="1:3" x14ac:dyDescent="0.2">
      <c r="A1155" s="3">
        <v>44922</v>
      </c>
      <c r="B1155">
        <v>68.448700000000002</v>
      </c>
      <c r="C1155">
        <f t="shared" si="20"/>
        <v>2022</v>
      </c>
    </row>
    <row r="1156" spans="1:3" x14ac:dyDescent="0.2">
      <c r="A1156" s="3">
        <v>44921</v>
      </c>
      <c r="B1156">
        <v>68.676000000000002</v>
      </c>
      <c r="C1156">
        <f t="shared" ref="C1156:C1219" si="21">YEAR(A1156)</f>
        <v>2022</v>
      </c>
    </row>
    <row r="1157" spans="1:3" x14ac:dyDescent="0.2">
      <c r="A1157" s="3">
        <v>44920</v>
      </c>
      <c r="B1157">
        <v>68.676000000000002</v>
      </c>
      <c r="C1157">
        <f t="shared" si="21"/>
        <v>2022</v>
      </c>
    </row>
    <row r="1158" spans="1:3" x14ac:dyDescent="0.2">
      <c r="A1158" s="3">
        <v>44919</v>
      </c>
      <c r="B1158">
        <v>68.676000000000002</v>
      </c>
      <c r="C1158">
        <f t="shared" si="21"/>
        <v>2022</v>
      </c>
    </row>
    <row r="1159" spans="1:3" x14ac:dyDescent="0.2">
      <c r="A1159" s="3">
        <v>44918</v>
      </c>
      <c r="B1159">
        <v>72.130600000000001</v>
      </c>
      <c r="C1159">
        <f t="shared" si="21"/>
        <v>2022</v>
      </c>
    </row>
    <row r="1160" spans="1:3" x14ac:dyDescent="0.2">
      <c r="A1160" s="3">
        <v>44917</v>
      </c>
      <c r="B1160">
        <v>70.525599999999997</v>
      </c>
      <c r="C1160">
        <f t="shared" si="21"/>
        <v>2022</v>
      </c>
    </row>
    <row r="1161" spans="1:3" x14ac:dyDescent="0.2">
      <c r="A1161" s="3">
        <v>44916</v>
      </c>
      <c r="B1161">
        <v>69.003699999999995</v>
      </c>
      <c r="C1161">
        <f t="shared" si="21"/>
        <v>2022</v>
      </c>
    </row>
    <row r="1162" spans="1:3" x14ac:dyDescent="0.2">
      <c r="A1162" s="3">
        <v>44915</v>
      </c>
      <c r="B1162">
        <v>66.347399999999993</v>
      </c>
      <c r="C1162">
        <f t="shared" si="21"/>
        <v>2022</v>
      </c>
    </row>
    <row r="1163" spans="1:3" x14ac:dyDescent="0.2">
      <c r="A1163" s="3">
        <v>44914</v>
      </c>
      <c r="B1163">
        <v>64.607799999999997</v>
      </c>
      <c r="C1163">
        <f t="shared" si="21"/>
        <v>2022</v>
      </c>
    </row>
    <row r="1164" spans="1:3" x14ac:dyDescent="0.2">
      <c r="A1164" s="3">
        <v>44913</v>
      </c>
      <c r="B1164">
        <v>64.607799999999997</v>
      </c>
      <c r="C1164">
        <f t="shared" si="21"/>
        <v>2022</v>
      </c>
    </row>
    <row r="1165" spans="1:3" x14ac:dyDescent="0.2">
      <c r="A1165" s="3">
        <v>44912</v>
      </c>
      <c r="B1165">
        <v>64.607799999999997</v>
      </c>
      <c r="C1165">
        <f t="shared" si="21"/>
        <v>2022</v>
      </c>
    </row>
    <row r="1166" spans="1:3" x14ac:dyDescent="0.2">
      <c r="A1166" s="3">
        <v>44911</v>
      </c>
      <c r="B1166">
        <v>64.301500000000004</v>
      </c>
      <c r="C1166">
        <f t="shared" si="21"/>
        <v>2022</v>
      </c>
    </row>
    <row r="1167" spans="1:3" x14ac:dyDescent="0.2">
      <c r="A1167" s="3">
        <v>44910</v>
      </c>
      <c r="B1167">
        <v>63.359000000000002</v>
      </c>
      <c r="C1167">
        <f t="shared" si="21"/>
        <v>2022</v>
      </c>
    </row>
    <row r="1168" spans="1:3" x14ac:dyDescent="0.2">
      <c r="A1168" s="3">
        <v>44909</v>
      </c>
      <c r="B1168">
        <v>63.212000000000003</v>
      </c>
      <c r="C1168">
        <f t="shared" si="21"/>
        <v>2022</v>
      </c>
    </row>
    <row r="1169" spans="1:3" x14ac:dyDescent="0.2">
      <c r="A1169" s="3">
        <v>44908</v>
      </c>
      <c r="B1169">
        <v>62.767400000000002</v>
      </c>
      <c r="C1169">
        <f t="shared" si="21"/>
        <v>2022</v>
      </c>
    </row>
    <row r="1170" spans="1:3" x14ac:dyDescent="0.2">
      <c r="A1170" s="3">
        <v>44907</v>
      </c>
      <c r="B1170">
        <v>62.381300000000003</v>
      </c>
      <c r="C1170">
        <f t="shared" si="21"/>
        <v>2022</v>
      </c>
    </row>
    <row r="1171" spans="1:3" x14ac:dyDescent="0.2">
      <c r="A1171" s="3">
        <v>44906</v>
      </c>
      <c r="B1171">
        <v>62.381300000000003</v>
      </c>
      <c r="C1171">
        <f t="shared" si="21"/>
        <v>2022</v>
      </c>
    </row>
    <row r="1172" spans="1:3" x14ac:dyDescent="0.2">
      <c r="A1172" s="3">
        <v>44905</v>
      </c>
      <c r="B1172">
        <v>62.381300000000003</v>
      </c>
      <c r="C1172">
        <f t="shared" si="21"/>
        <v>2022</v>
      </c>
    </row>
    <row r="1173" spans="1:3" x14ac:dyDescent="0.2">
      <c r="A1173" s="3">
        <v>44904</v>
      </c>
      <c r="B1173">
        <v>62.572200000000002</v>
      </c>
      <c r="C1173">
        <f t="shared" si="21"/>
        <v>2022</v>
      </c>
    </row>
    <row r="1174" spans="1:3" x14ac:dyDescent="0.2">
      <c r="A1174" s="3">
        <v>44903</v>
      </c>
      <c r="B1174">
        <v>62.937199999999997</v>
      </c>
      <c r="C1174">
        <f t="shared" si="21"/>
        <v>2022</v>
      </c>
    </row>
    <row r="1175" spans="1:3" x14ac:dyDescent="0.2">
      <c r="A1175" s="3">
        <v>44902</v>
      </c>
      <c r="B1175">
        <v>62.910299999999999</v>
      </c>
      <c r="C1175">
        <f t="shared" si="21"/>
        <v>2022</v>
      </c>
    </row>
    <row r="1176" spans="1:3" x14ac:dyDescent="0.2">
      <c r="A1176" s="3">
        <v>44901</v>
      </c>
      <c r="B1176">
        <v>62.184899999999999</v>
      </c>
      <c r="C1176">
        <f t="shared" si="21"/>
        <v>2022</v>
      </c>
    </row>
    <row r="1177" spans="1:3" x14ac:dyDescent="0.2">
      <c r="A1177" s="3">
        <v>44900</v>
      </c>
      <c r="B1177">
        <v>61.774900000000002</v>
      </c>
      <c r="C1177">
        <f t="shared" si="21"/>
        <v>2022</v>
      </c>
    </row>
    <row r="1178" spans="1:3" x14ac:dyDescent="0.2">
      <c r="A1178" s="3">
        <v>44899</v>
      </c>
      <c r="B1178">
        <v>61.774900000000002</v>
      </c>
      <c r="C1178">
        <f t="shared" si="21"/>
        <v>2022</v>
      </c>
    </row>
    <row r="1179" spans="1:3" x14ac:dyDescent="0.2">
      <c r="A1179" s="3">
        <v>44898</v>
      </c>
      <c r="B1179">
        <v>61.774900000000002</v>
      </c>
      <c r="C1179">
        <f t="shared" si="21"/>
        <v>2022</v>
      </c>
    </row>
    <row r="1180" spans="1:3" x14ac:dyDescent="0.2">
      <c r="A1180" s="3">
        <v>44897</v>
      </c>
      <c r="B1180">
        <v>61.1479</v>
      </c>
      <c r="C1180">
        <f t="shared" si="21"/>
        <v>2022</v>
      </c>
    </row>
    <row r="1181" spans="1:3" x14ac:dyDescent="0.2">
      <c r="A1181" s="3">
        <v>44896</v>
      </c>
      <c r="B1181">
        <v>60.880299999999998</v>
      </c>
      <c r="C1181">
        <f t="shared" si="21"/>
        <v>2022</v>
      </c>
    </row>
    <row r="1182" spans="1:3" x14ac:dyDescent="0.2">
      <c r="A1182" s="3">
        <v>44895</v>
      </c>
      <c r="B1182">
        <v>61.074199999999998</v>
      </c>
      <c r="C1182">
        <f t="shared" si="21"/>
        <v>2022</v>
      </c>
    </row>
    <row r="1183" spans="1:3" x14ac:dyDescent="0.2">
      <c r="A1183" s="3">
        <v>44894</v>
      </c>
      <c r="B1183">
        <v>60.752000000000002</v>
      </c>
      <c r="C1183">
        <f t="shared" si="21"/>
        <v>2022</v>
      </c>
    </row>
    <row r="1184" spans="1:3" x14ac:dyDescent="0.2">
      <c r="A1184" s="3">
        <v>44893</v>
      </c>
      <c r="B1184">
        <v>60.479700000000001</v>
      </c>
      <c r="C1184">
        <f t="shared" si="21"/>
        <v>2022</v>
      </c>
    </row>
    <row r="1185" spans="1:3" x14ac:dyDescent="0.2">
      <c r="A1185" s="3">
        <v>44892</v>
      </c>
      <c r="B1185">
        <v>60.479700000000001</v>
      </c>
      <c r="C1185">
        <f t="shared" si="21"/>
        <v>2022</v>
      </c>
    </row>
    <row r="1186" spans="1:3" x14ac:dyDescent="0.2">
      <c r="A1186" s="3">
        <v>44891</v>
      </c>
      <c r="B1186">
        <v>60.479700000000001</v>
      </c>
      <c r="C1186">
        <f t="shared" si="21"/>
        <v>2022</v>
      </c>
    </row>
    <row r="1187" spans="1:3" x14ac:dyDescent="0.2">
      <c r="A1187" s="3">
        <v>44890</v>
      </c>
      <c r="B1187">
        <v>60.386600000000001</v>
      </c>
      <c r="C1187">
        <f t="shared" si="21"/>
        <v>2022</v>
      </c>
    </row>
    <row r="1188" spans="1:3" x14ac:dyDescent="0.2">
      <c r="A1188" s="3">
        <v>44889</v>
      </c>
      <c r="B1188">
        <v>60.504300000000001</v>
      </c>
      <c r="C1188">
        <f t="shared" si="21"/>
        <v>2022</v>
      </c>
    </row>
    <row r="1189" spans="1:3" x14ac:dyDescent="0.2">
      <c r="A1189" s="3">
        <v>44888</v>
      </c>
      <c r="B1189">
        <v>60.656599999999997</v>
      </c>
      <c r="C1189">
        <f t="shared" si="21"/>
        <v>2022</v>
      </c>
    </row>
    <row r="1190" spans="1:3" x14ac:dyDescent="0.2">
      <c r="A1190" s="3">
        <v>44887</v>
      </c>
      <c r="B1190">
        <v>60.737900000000003</v>
      </c>
      <c r="C1190">
        <f t="shared" si="21"/>
        <v>2022</v>
      </c>
    </row>
    <row r="1191" spans="1:3" x14ac:dyDescent="0.2">
      <c r="A1191" s="3">
        <v>44886</v>
      </c>
      <c r="B1191">
        <v>60.374099999999999</v>
      </c>
      <c r="C1191">
        <f t="shared" si="21"/>
        <v>2022</v>
      </c>
    </row>
    <row r="1192" spans="1:3" x14ac:dyDescent="0.2">
      <c r="A1192" s="3">
        <v>44885</v>
      </c>
      <c r="B1192">
        <v>60.374099999999999</v>
      </c>
      <c r="C1192">
        <f t="shared" si="21"/>
        <v>2022</v>
      </c>
    </row>
    <row r="1193" spans="1:3" x14ac:dyDescent="0.2">
      <c r="A1193" s="3">
        <v>44884</v>
      </c>
      <c r="B1193">
        <v>60.374099999999999</v>
      </c>
      <c r="C1193">
        <f t="shared" si="21"/>
        <v>2022</v>
      </c>
    </row>
    <row r="1194" spans="1:3" x14ac:dyDescent="0.2">
      <c r="A1194" s="3">
        <v>44883</v>
      </c>
      <c r="B1194">
        <v>60.389400000000002</v>
      </c>
      <c r="C1194">
        <f t="shared" si="21"/>
        <v>2022</v>
      </c>
    </row>
    <row r="1195" spans="1:3" x14ac:dyDescent="0.2">
      <c r="A1195" s="3">
        <v>44882</v>
      </c>
      <c r="B1195">
        <v>60.348399999999998</v>
      </c>
      <c r="C1195">
        <f t="shared" si="21"/>
        <v>2022</v>
      </c>
    </row>
    <row r="1196" spans="1:3" x14ac:dyDescent="0.2">
      <c r="A1196" s="3">
        <v>44881</v>
      </c>
      <c r="B1196">
        <v>60.311599999999999</v>
      </c>
      <c r="C1196">
        <f t="shared" si="21"/>
        <v>2022</v>
      </c>
    </row>
    <row r="1197" spans="1:3" x14ac:dyDescent="0.2">
      <c r="A1197" s="3">
        <v>44880</v>
      </c>
      <c r="B1197">
        <v>60.398200000000003</v>
      </c>
      <c r="C1197">
        <f t="shared" si="21"/>
        <v>2022</v>
      </c>
    </row>
    <row r="1198" spans="1:3" x14ac:dyDescent="0.2">
      <c r="A1198" s="3">
        <v>44879</v>
      </c>
      <c r="B1198">
        <v>60.2179</v>
      </c>
      <c r="C1198">
        <f t="shared" si="21"/>
        <v>2022</v>
      </c>
    </row>
    <row r="1199" spans="1:3" x14ac:dyDescent="0.2">
      <c r="A1199" s="3">
        <v>44878</v>
      </c>
      <c r="B1199">
        <v>60.2179</v>
      </c>
      <c r="C1199">
        <f t="shared" si="21"/>
        <v>2022</v>
      </c>
    </row>
    <row r="1200" spans="1:3" x14ac:dyDescent="0.2">
      <c r="A1200" s="3">
        <v>44877</v>
      </c>
      <c r="B1200">
        <v>60.2179</v>
      </c>
      <c r="C1200">
        <f t="shared" si="21"/>
        <v>2022</v>
      </c>
    </row>
    <row r="1201" spans="1:3" x14ac:dyDescent="0.2">
      <c r="A1201" s="3">
        <v>44876</v>
      </c>
      <c r="B1201">
        <v>61.243400000000001</v>
      </c>
      <c r="C1201">
        <f t="shared" si="21"/>
        <v>2022</v>
      </c>
    </row>
    <row r="1202" spans="1:3" x14ac:dyDescent="0.2">
      <c r="A1202" s="3">
        <v>44875</v>
      </c>
      <c r="B1202">
        <v>61.061100000000003</v>
      </c>
      <c r="C1202">
        <f t="shared" si="21"/>
        <v>2022</v>
      </c>
    </row>
    <row r="1203" spans="1:3" x14ac:dyDescent="0.2">
      <c r="A1203" s="3">
        <v>44874</v>
      </c>
      <c r="B1203">
        <v>60.977400000000003</v>
      </c>
      <c r="C1203">
        <f t="shared" si="21"/>
        <v>2022</v>
      </c>
    </row>
    <row r="1204" spans="1:3" x14ac:dyDescent="0.2">
      <c r="A1204" s="3">
        <v>44873</v>
      </c>
      <c r="B1204">
        <v>61.236699999999999</v>
      </c>
      <c r="C1204">
        <f t="shared" si="21"/>
        <v>2022</v>
      </c>
    </row>
    <row r="1205" spans="1:3" x14ac:dyDescent="0.2">
      <c r="A1205" s="3">
        <v>44872</v>
      </c>
      <c r="B1205">
        <v>62.095500000000001</v>
      </c>
      <c r="C1205">
        <f t="shared" si="21"/>
        <v>2022</v>
      </c>
    </row>
    <row r="1206" spans="1:3" x14ac:dyDescent="0.2">
      <c r="A1206" s="3">
        <v>44871</v>
      </c>
      <c r="B1206">
        <v>62.095500000000001</v>
      </c>
      <c r="C1206">
        <f t="shared" si="21"/>
        <v>2022</v>
      </c>
    </row>
    <row r="1207" spans="1:3" x14ac:dyDescent="0.2">
      <c r="A1207" s="3">
        <v>44870</v>
      </c>
      <c r="B1207">
        <v>62.095500000000001</v>
      </c>
      <c r="C1207">
        <f t="shared" si="21"/>
        <v>2022</v>
      </c>
    </row>
    <row r="1208" spans="1:3" x14ac:dyDescent="0.2">
      <c r="A1208" s="3">
        <v>44869</v>
      </c>
      <c r="B1208">
        <v>62.095500000000001</v>
      </c>
      <c r="C1208">
        <f t="shared" si="21"/>
        <v>2022</v>
      </c>
    </row>
    <row r="1209" spans="1:3" x14ac:dyDescent="0.2">
      <c r="A1209" s="3">
        <v>44868</v>
      </c>
      <c r="B1209">
        <v>61.6175</v>
      </c>
      <c r="C1209">
        <f t="shared" si="21"/>
        <v>2022</v>
      </c>
    </row>
    <row r="1210" spans="1:3" x14ac:dyDescent="0.2">
      <c r="A1210" s="3">
        <v>44867</v>
      </c>
      <c r="B1210">
        <v>61.427500000000002</v>
      </c>
      <c r="C1210">
        <f t="shared" si="21"/>
        <v>2022</v>
      </c>
    </row>
    <row r="1211" spans="1:3" x14ac:dyDescent="0.2">
      <c r="A1211" s="3">
        <v>44866</v>
      </c>
      <c r="B1211">
        <v>61.622900000000001</v>
      </c>
      <c r="C1211">
        <f t="shared" si="21"/>
        <v>2022</v>
      </c>
    </row>
    <row r="1212" spans="1:3" x14ac:dyDescent="0.2">
      <c r="A1212" s="3">
        <v>44865</v>
      </c>
      <c r="B1212">
        <v>61.534300000000002</v>
      </c>
      <c r="C1212">
        <f t="shared" si="21"/>
        <v>2022</v>
      </c>
    </row>
    <row r="1213" spans="1:3" x14ac:dyDescent="0.2">
      <c r="A1213" s="3">
        <v>44864</v>
      </c>
      <c r="B1213">
        <v>61.534300000000002</v>
      </c>
      <c r="C1213">
        <f t="shared" si="21"/>
        <v>2022</v>
      </c>
    </row>
    <row r="1214" spans="1:3" x14ac:dyDescent="0.2">
      <c r="A1214" s="3">
        <v>44863</v>
      </c>
      <c r="B1214">
        <v>61.534300000000002</v>
      </c>
      <c r="C1214">
        <f t="shared" si="21"/>
        <v>2022</v>
      </c>
    </row>
    <row r="1215" spans="1:3" x14ac:dyDescent="0.2">
      <c r="A1215" s="3">
        <v>44862</v>
      </c>
      <c r="B1215">
        <v>61.358899999999998</v>
      </c>
      <c r="C1215">
        <f t="shared" si="21"/>
        <v>2022</v>
      </c>
    </row>
    <row r="1216" spans="1:3" x14ac:dyDescent="0.2">
      <c r="A1216" s="3">
        <v>44861</v>
      </c>
      <c r="B1216">
        <v>61.427700000000002</v>
      </c>
      <c r="C1216">
        <f t="shared" si="21"/>
        <v>2022</v>
      </c>
    </row>
    <row r="1217" spans="1:3" x14ac:dyDescent="0.2">
      <c r="A1217" s="3">
        <v>44860</v>
      </c>
      <c r="B1217">
        <v>61.332599999999999</v>
      </c>
      <c r="C1217">
        <f t="shared" si="21"/>
        <v>2022</v>
      </c>
    </row>
    <row r="1218" spans="1:3" x14ac:dyDescent="0.2">
      <c r="A1218" s="3">
        <v>44859</v>
      </c>
      <c r="B1218">
        <v>61.1629</v>
      </c>
      <c r="C1218">
        <f t="shared" si="21"/>
        <v>2022</v>
      </c>
    </row>
    <row r="1219" spans="1:3" x14ac:dyDescent="0.2">
      <c r="A1219" s="3">
        <v>44858</v>
      </c>
      <c r="B1219">
        <v>61.195799999999998</v>
      </c>
      <c r="C1219">
        <f t="shared" si="21"/>
        <v>2022</v>
      </c>
    </row>
    <row r="1220" spans="1:3" x14ac:dyDescent="0.2">
      <c r="A1220" s="3">
        <v>44857</v>
      </c>
      <c r="B1220">
        <v>61.195799999999998</v>
      </c>
      <c r="C1220">
        <f t="shared" ref="C1220:C1283" si="22">YEAR(A1220)</f>
        <v>2022</v>
      </c>
    </row>
    <row r="1221" spans="1:3" x14ac:dyDescent="0.2">
      <c r="A1221" s="3">
        <v>44856</v>
      </c>
      <c r="B1221">
        <v>61.195799999999998</v>
      </c>
      <c r="C1221">
        <f t="shared" si="22"/>
        <v>2022</v>
      </c>
    </row>
    <row r="1222" spans="1:3" x14ac:dyDescent="0.2">
      <c r="A1222" s="3">
        <v>44855</v>
      </c>
      <c r="B1222">
        <v>61.501800000000003</v>
      </c>
      <c r="C1222">
        <f t="shared" si="22"/>
        <v>2022</v>
      </c>
    </row>
    <row r="1223" spans="1:3" x14ac:dyDescent="0.2">
      <c r="A1223" s="3">
        <v>44854</v>
      </c>
      <c r="B1223">
        <v>61.590499999999999</v>
      </c>
      <c r="C1223">
        <f t="shared" si="22"/>
        <v>2022</v>
      </c>
    </row>
    <row r="1224" spans="1:3" x14ac:dyDescent="0.2">
      <c r="A1224" s="3">
        <v>44853</v>
      </c>
      <c r="B1224">
        <v>61.703200000000002</v>
      </c>
      <c r="C1224">
        <f t="shared" si="22"/>
        <v>2022</v>
      </c>
    </row>
    <row r="1225" spans="1:3" x14ac:dyDescent="0.2">
      <c r="A1225" s="3">
        <v>44852</v>
      </c>
      <c r="B1225">
        <v>61.763399999999997</v>
      </c>
      <c r="C1225">
        <f t="shared" si="22"/>
        <v>2022</v>
      </c>
    </row>
    <row r="1226" spans="1:3" x14ac:dyDescent="0.2">
      <c r="A1226" s="3">
        <v>44851</v>
      </c>
      <c r="B1226">
        <v>63.055799999999998</v>
      </c>
      <c r="C1226">
        <f t="shared" si="22"/>
        <v>2022</v>
      </c>
    </row>
    <row r="1227" spans="1:3" x14ac:dyDescent="0.2">
      <c r="A1227" s="3">
        <v>44850</v>
      </c>
      <c r="B1227">
        <v>63.055799999999998</v>
      </c>
      <c r="C1227">
        <f t="shared" si="22"/>
        <v>2022</v>
      </c>
    </row>
    <row r="1228" spans="1:3" x14ac:dyDescent="0.2">
      <c r="A1228" s="3">
        <v>44849</v>
      </c>
      <c r="B1228">
        <v>63.055799999999998</v>
      </c>
      <c r="C1228">
        <f t="shared" si="22"/>
        <v>2022</v>
      </c>
    </row>
    <row r="1229" spans="1:3" x14ac:dyDescent="0.2">
      <c r="A1229" s="3">
        <v>44848</v>
      </c>
      <c r="B1229">
        <v>63.491700000000002</v>
      </c>
      <c r="C1229">
        <f t="shared" si="22"/>
        <v>2022</v>
      </c>
    </row>
    <row r="1230" spans="1:3" x14ac:dyDescent="0.2">
      <c r="A1230" s="3">
        <v>44847</v>
      </c>
      <c r="B1230">
        <v>63.755899999999997</v>
      </c>
      <c r="C1230">
        <f t="shared" si="22"/>
        <v>2022</v>
      </c>
    </row>
    <row r="1231" spans="1:3" x14ac:dyDescent="0.2">
      <c r="A1231" s="3">
        <v>44846</v>
      </c>
      <c r="B1231">
        <v>63.683999999999997</v>
      </c>
      <c r="C1231">
        <f t="shared" si="22"/>
        <v>2022</v>
      </c>
    </row>
    <row r="1232" spans="1:3" x14ac:dyDescent="0.2">
      <c r="A1232" s="3">
        <v>44845</v>
      </c>
      <c r="B1232">
        <v>62.312600000000003</v>
      </c>
      <c r="C1232">
        <f t="shared" si="22"/>
        <v>2022</v>
      </c>
    </row>
    <row r="1233" spans="1:3" x14ac:dyDescent="0.2">
      <c r="A1233" s="3">
        <v>44844</v>
      </c>
      <c r="B1233">
        <v>61.247500000000002</v>
      </c>
      <c r="C1233">
        <f t="shared" si="22"/>
        <v>2022</v>
      </c>
    </row>
    <row r="1234" spans="1:3" x14ac:dyDescent="0.2">
      <c r="A1234" s="3">
        <v>44843</v>
      </c>
      <c r="B1234">
        <v>61.247500000000002</v>
      </c>
      <c r="C1234">
        <f t="shared" si="22"/>
        <v>2022</v>
      </c>
    </row>
    <row r="1235" spans="1:3" x14ac:dyDescent="0.2">
      <c r="A1235" s="3">
        <v>44842</v>
      </c>
      <c r="B1235">
        <v>61.247500000000002</v>
      </c>
      <c r="C1235">
        <f t="shared" si="22"/>
        <v>2022</v>
      </c>
    </row>
    <row r="1236" spans="1:3" x14ac:dyDescent="0.2">
      <c r="A1236" s="3">
        <v>44841</v>
      </c>
      <c r="B1236">
        <v>60.253399999999999</v>
      </c>
      <c r="C1236">
        <f t="shared" si="22"/>
        <v>2022</v>
      </c>
    </row>
    <row r="1237" spans="1:3" x14ac:dyDescent="0.2">
      <c r="A1237" s="3">
        <v>44840</v>
      </c>
      <c r="B1237">
        <v>59.404299999999999</v>
      </c>
      <c r="C1237">
        <f t="shared" si="22"/>
        <v>2022</v>
      </c>
    </row>
    <row r="1238" spans="1:3" x14ac:dyDescent="0.2">
      <c r="A1238" s="3">
        <v>44839</v>
      </c>
      <c r="B1238">
        <v>58.7913</v>
      </c>
      <c r="C1238">
        <f t="shared" si="22"/>
        <v>2022</v>
      </c>
    </row>
    <row r="1239" spans="1:3" x14ac:dyDescent="0.2">
      <c r="A1239" s="3">
        <v>44838</v>
      </c>
      <c r="B1239">
        <v>57.566400000000002</v>
      </c>
      <c r="C1239">
        <f t="shared" si="22"/>
        <v>2022</v>
      </c>
    </row>
    <row r="1240" spans="1:3" x14ac:dyDescent="0.2">
      <c r="A1240" s="3">
        <v>44837</v>
      </c>
      <c r="B1240">
        <v>55.298699999999997</v>
      </c>
      <c r="C1240">
        <f t="shared" si="22"/>
        <v>2022</v>
      </c>
    </row>
    <row r="1241" spans="1:3" x14ac:dyDescent="0.2">
      <c r="A1241" s="3">
        <v>44836</v>
      </c>
      <c r="B1241">
        <v>55.298699999999997</v>
      </c>
      <c r="C1241">
        <f t="shared" si="22"/>
        <v>2022</v>
      </c>
    </row>
    <row r="1242" spans="1:3" x14ac:dyDescent="0.2">
      <c r="A1242" s="3">
        <v>44835</v>
      </c>
      <c r="B1242">
        <v>55.298699999999997</v>
      </c>
      <c r="C1242">
        <f t="shared" si="22"/>
        <v>2022</v>
      </c>
    </row>
    <row r="1243" spans="1:3" x14ac:dyDescent="0.2">
      <c r="A1243" s="3">
        <v>44834</v>
      </c>
      <c r="B1243">
        <v>57.412999999999997</v>
      </c>
      <c r="C1243">
        <f t="shared" si="22"/>
        <v>2022</v>
      </c>
    </row>
    <row r="1244" spans="1:3" x14ac:dyDescent="0.2">
      <c r="A1244" s="3">
        <v>44833</v>
      </c>
      <c r="B1244">
        <v>58.448500000000003</v>
      </c>
      <c r="C1244">
        <f t="shared" si="22"/>
        <v>2022</v>
      </c>
    </row>
    <row r="1245" spans="1:3" x14ac:dyDescent="0.2">
      <c r="A1245" s="3">
        <v>44832</v>
      </c>
      <c r="B1245">
        <v>58.175600000000003</v>
      </c>
      <c r="C1245">
        <f t="shared" si="22"/>
        <v>2022</v>
      </c>
    </row>
    <row r="1246" spans="1:3" x14ac:dyDescent="0.2">
      <c r="A1246" s="3">
        <v>44831</v>
      </c>
      <c r="B1246">
        <v>57.999000000000002</v>
      </c>
      <c r="C1246">
        <f t="shared" si="22"/>
        <v>2022</v>
      </c>
    </row>
    <row r="1247" spans="1:3" x14ac:dyDescent="0.2">
      <c r="A1247" s="3">
        <v>44830</v>
      </c>
      <c r="B1247">
        <v>58.1006</v>
      </c>
      <c r="C1247">
        <f t="shared" si="22"/>
        <v>2022</v>
      </c>
    </row>
    <row r="1248" spans="1:3" x14ac:dyDescent="0.2">
      <c r="A1248" s="3">
        <v>44829</v>
      </c>
      <c r="B1248">
        <v>58.1006</v>
      </c>
      <c r="C1248">
        <f t="shared" si="22"/>
        <v>2022</v>
      </c>
    </row>
    <row r="1249" spans="1:3" x14ac:dyDescent="0.2">
      <c r="A1249" s="3">
        <v>44828</v>
      </c>
      <c r="B1249">
        <v>58.1006</v>
      </c>
      <c r="C1249">
        <f t="shared" si="22"/>
        <v>2022</v>
      </c>
    </row>
    <row r="1250" spans="1:3" x14ac:dyDescent="0.2">
      <c r="A1250" s="3">
        <v>44827</v>
      </c>
      <c r="B1250">
        <v>59.831800000000001</v>
      </c>
      <c r="C1250">
        <f t="shared" si="22"/>
        <v>2022</v>
      </c>
    </row>
    <row r="1251" spans="1:3" x14ac:dyDescent="0.2">
      <c r="A1251" s="3">
        <v>44826</v>
      </c>
      <c r="B1251">
        <v>60.868499999999997</v>
      </c>
      <c r="C1251">
        <f t="shared" si="22"/>
        <v>2022</v>
      </c>
    </row>
    <row r="1252" spans="1:3" x14ac:dyDescent="0.2">
      <c r="A1252" s="3">
        <v>44825</v>
      </c>
      <c r="B1252">
        <v>60.015799999999999</v>
      </c>
      <c r="C1252">
        <f t="shared" si="22"/>
        <v>2022</v>
      </c>
    </row>
    <row r="1253" spans="1:3" x14ac:dyDescent="0.2">
      <c r="A1253" s="3">
        <v>44824</v>
      </c>
      <c r="B1253">
        <v>60.166200000000003</v>
      </c>
      <c r="C1253">
        <f t="shared" si="22"/>
        <v>2022</v>
      </c>
    </row>
    <row r="1254" spans="1:3" x14ac:dyDescent="0.2">
      <c r="A1254" s="3">
        <v>44823</v>
      </c>
      <c r="B1254">
        <v>60.031599999999997</v>
      </c>
      <c r="C1254">
        <f t="shared" si="22"/>
        <v>2022</v>
      </c>
    </row>
    <row r="1255" spans="1:3" x14ac:dyDescent="0.2">
      <c r="A1255" s="3">
        <v>44822</v>
      </c>
      <c r="B1255">
        <v>60.031599999999997</v>
      </c>
      <c r="C1255">
        <f t="shared" si="22"/>
        <v>2022</v>
      </c>
    </row>
    <row r="1256" spans="1:3" x14ac:dyDescent="0.2">
      <c r="A1256" s="3">
        <v>44821</v>
      </c>
      <c r="B1256">
        <v>60.031599999999997</v>
      </c>
      <c r="C1256">
        <f t="shared" si="22"/>
        <v>2022</v>
      </c>
    </row>
    <row r="1257" spans="1:3" x14ac:dyDescent="0.2">
      <c r="A1257" s="3">
        <v>44820</v>
      </c>
      <c r="B1257">
        <v>59.6663</v>
      </c>
      <c r="C1257">
        <f t="shared" si="22"/>
        <v>2022</v>
      </c>
    </row>
    <row r="1258" spans="1:3" x14ac:dyDescent="0.2">
      <c r="A1258" s="3">
        <v>44819</v>
      </c>
      <c r="B1258">
        <v>59.775100000000002</v>
      </c>
      <c r="C1258">
        <f t="shared" si="22"/>
        <v>2022</v>
      </c>
    </row>
    <row r="1259" spans="1:3" x14ac:dyDescent="0.2">
      <c r="A1259" s="3">
        <v>44818</v>
      </c>
      <c r="B1259">
        <v>60.067599999999999</v>
      </c>
      <c r="C1259">
        <f t="shared" si="22"/>
        <v>2022</v>
      </c>
    </row>
    <row r="1260" spans="1:3" x14ac:dyDescent="0.2">
      <c r="A1260" s="3">
        <v>44817</v>
      </c>
      <c r="B1260">
        <v>60.456800000000001</v>
      </c>
      <c r="C1260">
        <f t="shared" si="22"/>
        <v>2022</v>
      </c>
    </row>
    <row r="1261" spans="1:3" x14ac:dyDescent="0.2">
      <c r="A1261" s="3">
        <v>44816</v>
      </c>
      <c r="B1261">
        <v>60.4696</v>
      </c>
      <c r="C1261">
        <f t="shared" si="22"/>
        <v>2022</v>
      </c>
    </row>
    <row r="1262" spans="1:3" x14ac:dyDescent="0.2">
      <c r="A1262" s="3">
        <v>44815</v>
      </c>
      <c r="B1262">
        <v>60.4696</v>
      </c>
      <c r="C1262">
        <f t="shared" si="22"/>
        <v>2022</v>
      </c>
    </row>
    <row r="1263" spans="1:3" x14ac:dyDescent="0.2">
      <c r="A1263" s="3">
        <v>44814</v>
      </c>
      <c r="B1263">
        <v>60.4696</v>
      </c>
      <c r="C1263">
        <f t="shared" si="22"/>
        <v>2022</v>
      </c>
    </row>
    <row r="1264" spans="1:3" x14ac:dyDescent="0.2">
      <c r="A1264" s="3">
        <v>44813</v>
      </c>
      <c r="B1264">
        <v>60.801000000000002</v>
      </c>
      <c r="C1264">
        <f t="shared" si="22"/>
        <v>2022</v>
      </c>
    </row>
    <row r="1265" spans="1:3" x14ac:dyDescent="0.2">
      <c r="A1265" s="3">
        <v>44812</v>
      </c>
      <c r="B1265">
        <v>61.181399999999996</v>
      </c>
      <c r="C1265">
        <f t="shared" si="22"/>
        <v>2022</v>
      </c>
    </row>
    <row r="1266" spans="1:3" x14ac:dyDescent="0.2">
      <c r="A1266" s="3">
        <v>44811</v>
      </c>
      <c r="B1266">
        <v>60.854399999999998</v>
      </c>
      <c r="C1266">
        <f t="shared" si="22"/>
        <v>2022</v>
      </c>
    </row>
    <row r="1267" spans="1:3" x14ac:dyDescent="0.2">
      <c r="A1267" s="3">
        <v>44810</v>
      </c>
      <c r="B1267">
        <v>60.903300000000002</v>
      </c>
      <c r="C1267">
        <f t="shared" si="22"/>
        <v>2022</v>
      </c>
    </row>
    <row r="1268" spans="1:3" x14ac:dyDescent="0.2">
      <c r="A1268" s="3">
        <v>44809</v>
      </c>
      <c r="B1268">
        <v>60.371299999999998</v>
      </c>
      <c r="C1268">
        <f t="shared" si="22"/>
        <v>2022</v>
      </c>
    </row>
    <row r="1269" spans="1:3" x14ac:dyDescent="0.2">
      <c r="A1269" s="3">
        <v>44808</v>
      </c>
      <c r="B1269">
        <v>60.371299999999998</v>
      </c>
      <c r="C1269">
        <f t="shared" si="22"/>
        <v>2022</v>
      </c>
    </row>
    <row r="1270" spans="1:3" x14ac:dyDescent="0.2">
      <c r="A1270" s="3">
        <v>44807</v>
      </c>
      <c r="B1270">
        <v>60.371299999999998</v>
      </c>
      <c r="C1270">
        <f t="shared" si="22"/>
        <v>2022</v>
      </c>
    </row>
    <row r="1271" spans="1:3" x14ac:dyDescent="0.2">
      <c r="A1271" s="3">
        <v>44806</v>
      </c>
      <c r="B1271">
        <v>60.237000000000002</v>
      </c>
      <c r="C1271">
        <f t="shared" si="22"/>
        <v>2022</v>
      </c>
    </row>
    <row r="1272" spans="1:3" x14ac:dyDescent="0.2">
      <c r="A1272" s="3">
        <v>44805</v>
      </c>
      <c r="B1272">
        <v>60.238599999999998</v>
      </c>
      <c r="C1272">
        <f t="shared" si="22"/>
        <v>2022</v>
      </c>
    </row>
    <row r="1273" spans="1:3" x14ac:dyDescent="0.2">
      <c r="A1273" s="3">
        <v>44804</v>
      </c>
      <c r="B1273">
        <v>60.367699999999999</v>
      </c>
      <c r="C1273">
        <f t="shared" si="22"/>
        <v>2022</v>
      </c>
    </row>
    <row r="1274" spans="1:3" x14ac:dyDescent="0.2">
      <c r="A1274" s="3">
        <v>44803</v>
      </c>
      <c r="B1274">
        <v>60.363599999999998</v>
      </c>
      <c r="C1274">
        <f t="shared" si="22"/>
        <v>2022</v>
      </c>
    </row>
    <row r="1275" spans="1:3" x14ac:dyDescent="0.2">
      <c r="A1275" s="3">
        <v>44802</v>
      </c>
      <c r="B1275">
        <v>60.092399999999998</v>
      </c>
      <c r="C1275">
        <f t="shared" si="22"/>
        <v>2022</v>
      </c>
    </row>
    <row r="1276" spans="1:3" x14ac:dyDescent="0.2">
      <c r="A1276" s="3">
        <v>44801</v>
      </c>
      <c r="B1276">
        <v>60.092399999999998</v>
      </c>
      <c r="C1276">
        <f t="shared" si="22"/>
        <v>2022</v>
      </c>
    </row>
    <row r="1277" spans="1:3" x14ac:dyDescent="0.2">
      <c r="A1277" s="3">
        <v>44800</v>
      </c>
      <c r="B1277">
        <v>60.092399999999998</v>
      </c>
      <c r="C1277">
        <f t="shared" si="22"/>
        <v>2022</v>
      </c>
    </row>
    <row r="1278" spans="1:3" x14ac:dyDescent="0.2">
      <c r="A1278" s="3">
        <v>44799</v>
      </c>
      <c r="B1278">
        <v>59.7699</v>
      </c>
      <c r="C1278">
        <f t="shared" si="22"/>
        <v>2022</v>
      </c>
    </row>
    <row r="1279" spans="1:3" x14ac:dyDescent="0.2">
      <c r="A1279" s="3">
        <v>44798</v>
      </c>
      <c r="B1279">
        <v>59.997399999999999</v>
      </c>
      <c r="C1279">
        <f t="shared" si="22"/>
        <v>2022</v>
      </c>
    </row>
    <row r="1280" spans="1:3" x14ac:dyDescent="0.2">
      <c r="A1280" s="3">
        <v>44797</v>
      </c>
      <c r="B1280">
        <v>59.896299999999997</v>
      </c>
      <c r="C1280">
        <f t="shared" si="22"/>
        <v>2022</v>
      </c>
    </row>
    <row r="1281" spans="1:3" x14ac:dyDescent="0.2">
      <c r="A1281" s="3">
        <v>44796</v>
      </c>
      <c r="B1281">
        <v>59.741900000000001</v>
      </c>
      <c r="C1281">
        <f t="shared" si="22"/>
        <v>2022</v>
      </c>
    </row>
    <row r="1282" spans="1:3" x14ac:dyDescent="0.2">
      <c r="A1282" s="3">
        <v>44795</v>
      </c>
      <c r="B1282">
        <v>59.132100000000001</v>
      </c>
      <c r="C1282">
        <f t="shared" si="22"/>
        <v>2022</v>
      </c>
    </row>
    <row r="1283" spans="1:3" x14ac:dyDescent="0.2">
      <c r="A1283" s="3">
        <v>44794</v>
      </c>
      <c r="B1283">
        <v>59.132100000000001</v>
      </c>
      <c r="C1283">
        <f t="shared" si="22"/>
        <v>2022</v>
      </c>
    </row>
    <row r="1284" spans="1:3" x14ac:dyDescent="0.2">
      <c r="A1284" s="3">
        <v>44793</v>
      </c>
      <c r="B1284">
        <v>59.132100000000001</v>
      </c>
      <c r="C1284">
        <f t="shared" ref="C1284:C1347" si="23">YEAR(A1284)</f>
        <v>2022</v>
      </c>
    </row>
    <row r="1285" spans="1:3" x14ac:dyDescent="0.2">
      <c r="A1285" s="3">
        <v>44792</v>
      </c>
      <c r="B1285">
        <v>59.957000000000001</v>
      </c>
      <c r="C1285">
        <f t="shared" si="23"/>
        <v>2022</v>
      </c>
    </row>
    <row r="1286" spans="1:3" x14ac:dyDescent="0.2">
      <c r="A1286" s="3">
        <v>44791</v>
      </c>
      <c r="B1286">
        <v>60.755200000000002</v>
      </c>
      <c r="C1286">
        <f t="shared" si="23"/>
        <v>2022</v>
      </c>
    </row>
    <row r="1287" spans="1:3" x14ac:dyDescent="0.2">
      <c r="A1287" s="3">
        <v>44790</v>
      </c>
      <c r="B1287">
        <v>61.424700000000001</v>
      </c>
      <c r="C1287">
        <f t="shared" si="23"/>
        <v>2022</v>
      </c>
    </row>
    <row r="1288" spans="1:3" x14ac:dyDescent="0.2">
      <c r="A1288" s="3">
        <v>44789</v>
      </c>
      <c r="B1288">
        <v>61.374699999999997</v>
      </c>
      <c r="C1288">
        <f t="shared" si="23"/>
        <v>2022</v>
      </c>
    </row>
    <row r="1289" spans="1:3" x14ac:dyDescent="0.2">
      <c r="A1289" s="3">
        <v>44788</v>
      </c>
      <c r="B1289">
        <v>60.899299999999997</v>
      </c>
      <c r="C1289">
        <f t="shared" si="23"/>
        <v>2022</v>
      </c>
    </row>
    <row r="1290" spans="1:3" x14ac:dyDescent="0.2">
      <c r="A1290" s="3">
        <v>44787</v>
      </c>
      <c r="B1290">
        <v>60.899299999999997</v>
      </c>
      <c r="C1290">
        <f t="shared" si="23"/>
        <v>2022</v>
      </c>
    </row>
    <row r="1291" spans="1:3" x14ac:dyDescent="0.2">
      <c r="A1291" s="3">
        <v>44786</v>
      </c>
      <c r="B1291">
        <v>60.899299999999997</v>
      </c>
      <c r="C1291">
        <f t="shared" si="23"/>
        <v>2022</v>
      </c>
    </row>
    <row r="1292" spans="1:3" x14ac:dyDescent="0.2">
      <c r="A1292" s="3">
        <v>44785</v>
      </c>
      <c r="B1292">
        <v>60.622900000000001</v>
      </c>
      <c r="C1292">
        <f t="shared" si="23"/>
        <v>2022</v>
      </c>
    </row>
    <row r="1293" spans="1:3" x14ac:dyDescent="0.2">
      <c r="A1293" s="3">
        <v>44784</v>
      </c>
      <c r="B1293">
        <v>60.4542</v>
      </c>
      <c r="C1293">
        <f t="shared" si="23"/>
        <v>2022</v>
      </c>
    </row>
    <row r="1294" spans="1:3" x14ac:dyDescent="0.2">
      <c r="A1294" s="3">
        <v>44783</v>
      </c>
      <c r="B1294">
        <v>60.381399999999999</v>
      </c>
      <c r="C1294">
        <f t="shared" si="23"/>
        <v>2022</v>
      </c>
    </row>
    <row r="1295" spans="1:3" x14ac:dyDescent="0.2">
      <c r="A1295" s="3">
        <v>44782</v>
      </c>
      <c r="B1295">
        <v>60.316400000000002</v>
      </c>
      <c r="C1295">
        <f t="shared" si="23"/>
        <v>2022</v>
      </c>
    </row>
    <row r="1296" spans="1:3" x14ac:dyDescent="0.2">
      <c r="A1296" s="3">
        <v>44781</v>
      </c>
      <c r="B1296">
        <v>60.369599999999998</v>
      </c>
      <c r="C1296">
        <f t="shared" si="23"/>
        <v>2022</v>
      </c>
    </row>
    <row r="1297" spans="1:3" x14ac:dyDescent="0.2">
      <c r="A1297" s="3">
        <v>44780</v>
      </c>
      <c r="B1297">
        <v>60.369599999999998</v>
      </c>
      <c r="C1297">
        <f t="shared" si="23"/>
        <v>2022</v>
      </c>
    </row>
    <row r="1298" spans="1:3" x14ac:dyDescent="0.2">
      <c r="A1298" s="3">
        <v>44779</v>
      </c>
      <c r="B1298">
        <v>60.369599999999998</v>
      </c>
      <c r="C1298">
        <f t="shared" si="23"/>
        <v>2022</v>
      </c>
    </row>
    <row r="1299" spans="1:3" x14ac:dyDescent="0.2">
      <c r="A1299" s="3">
        <v>44778</v>
      </c>
      <c r="B1299">
        <v>60.258000000000003</v>
      </c>
      <c r="C1299">
        <f t="shared" si="23"/>
        <v>2022</v>
      </c>
    </row>
    <row r="1300" spans="1:3" x14ac:dyDescent="0.2">
      <c r="A1300" s="3">
        <v>44777</v>
      </c>
      <c r="B1300">
        <v>60.237400000000001</v>
      </c>
      <c r="C1300">
        <f t="shared" si="23"/>
        <v>2022</v>
      </c>
    </row>
    <row r="1301" spans="1:3" x14ac:dyDescent="0.2">
      <c r="A1301" s="3">
        <v>44776</v>
      </c>
      <c r="B1301">
        <v>60.159500000000001</v>
      </c>
      <c r="C1301">
        <f t="shared" si="23"/>
        <v>2022</v>
      </c>
    </row>
    <row r="1302" spans="1:3" x14ac:dyDescent="0.2">
      <c r="A1302" s="3">
        <v>44775</v>
      </c>
      <c r="B1302">
        <v>62.050600000000003</v>
      </c>
      <c r="C1302">
        <f t="shared" si="23"/>
        <v>2022</v>
      </c>
    </row>
    <row r="1303" spans="1:3" x14ac:dyDescent="0.2">
      <c r="A1303" s="3">
        <v>44774</v>
      </c>
      <c r="B1303">
        <v>61.310099999999998</v>
      </c>
      <c r="C1303">
        <f t="shared" si="23"/>
        <v>2022</v>
      </c>
    </row>
    <row r="1304" spans="1:3" x14ac:dyDescent="0.2">
      <c r="A1304" s="3">
        <v>44773</v>
      </c>
      <c r="B1304">
        <v>61.310099999999998</v>
      </c>
      <c r="C1304">
        <f t="shared" si="23"/>
        <v>2022</v>
      </c>
    </row>
    <row r="1305" spans="1:3" x14ac:dyDescent="0.2">
      <c r="A1305" s="3">
        <v>44772</v>
      </c>
      <c r="B1305">
        <v>61.310099999999998</v>
      </c>
      <c r="C1305">
        <f t="shared" si="23"/>
        <v>2022</v>
      </c>
    </row>
    <row r="1306" spans="1:3" x14ac:dyDescent="0.2">
      <c r="A1306" s="3">
        <v>44771</v>
      </c>
      <c r="B1306">
        <v>60.203099999999999</v>
      </c>
      <c r="C1306">
        <f t="shared" si="23"/>
        <v>2022</v>
      </c>
    </row>
    <row r="1307" spans="1:3" x14ac:dyDescent="0.2">
      <c r="A1307" s="3">
        <v>44770</v>
      </c>
      <c r="B1307">
        <v>60.219799999999999</v>
      </c>
      <c r="C1307">
        <f t="shared" si="23"/>
        <v>2022</v>
      </c>
    </row>
    <row r="1308" spans="1:3" x14ac:dyDescent="0.2">
      <c r="A1308" s="3">
        <v>44769</v>
      </c>
      <c r="B1308">
        <v>58.660499999999999</v>
      </c>
      <c r="C1308">
        <f t="shared" si="23"/>
        <v>2022</v>
      </c>
    </row>
    <row r="1309" spans="1:3" x14ac:dyDescent="0.2">
      <c r="A1309" s="3">
        <v>44768</v>
      </c>
      <c r="B1309">
        <v>57.7821</v>
      </c>
      <c r="C1309">
        <f t="shared" si="23"/>
        <v>2022</v>
      </c>
    </row>
    <row r="1310" spans="1:3" x14ac:dyDescent="0.2">
      <c r="A1310" s="3">
        <v>44767</v>
      </c>
      <c r="B1310">
        <v>57.3917</v>
      </c>
      <c r="C1310">
        <f t="shared" si="23"/>
        <v>2022</v>
      </c>
    </row>
    <row r="1311" spans="1:3" x14ac:dyDescent="0.2">
      <c r="A1311" s="3">
        <v>44766</v>
      </c>
      <c r="B1311">
        <v>57.3917</v>
      </c>
      <c r="C1311">
        <f t="shared" si="23"/>
        <v>2022</v>
      </c>
    </row>
    <row r="1312" spans="1:3" x14ac:dyDescent="0.2">
      <c r="A1312" s="3">
        <v>44765</v>
      </c>
      <c r="B1312">
        <v>57.3917</v>
      </c>
      <c r="C1312">
        <f t="shared" si="23"/>
        <v>2022</v>
      </c>
    </row>
    <row r="1313" spans="1:3" x14ac:dyDescent="0.2">
      <c r="A1313" s="3">
        <v>44764</v>
      </c>
      <c r="B1313">
        <v>56.478299999999997</v>
      </c>
      <c r="C1313">
        <f t="shared" si="23"/>
        <v>2022</v>
      </c>
    </row>
    <row r="1314" spans="1:3" x14ac:dyDescent="0.2">
      <c r="A1314" s="3">
        <v>44763</v>
      </c>
      <c r="B1314">
        <v>54.8491</v>
      </c>
      <c r="C1314">
        <f t="shared" si="23"/>
        <v>2022</v>
      </c>
    </row>
    <row r="1315" spans="1:3" x14ac:dyDescent="0.2">
      <c r="A1315" s="3">
        <v>44762</v>
      </c>
      <c r="B1315">
        <v>55.436999999999998</v>
      </c>
      <c r="C1315">
        <f t="shared" si="23"/>
        <v>2022</v>
      </c>
    </row>
    <row r="1316" spans="1:3" x14ac:dyDescent="0.2">
      <c r="A1316" s="3">
        <v>44761</v>
      </c>
      <c r="B1316">
        <v>56.561599999999999</v>
      </c>
      <c r="C1316">
        <f t="shared" si="23"/>
        <v>2022</v>
      </c>
    </row>
    <row r="1317" spans="1:3" x14ac:dyDescent="0.2">
      <c r="A1317" s="3">
        <v>44760</v>
      </c>
      <c r="B1317">
        <v>57.832299999999996</v>
      </c>
      <c r="C1317">
        <f t="shared" si="23"/>
        <v>2022</v>
      </c>
    </row>
    <row r="1318" spans="1:3" x14ac:dyDescent="0.2">
      <c r="A1318" s="3">
        <v>44759</v>
      </c>
      <c r="B1318">
        <v>57.832299999999996</v>
      </c>
      <c r="C1318">
        <f t="shared" si="23"/>
        <v>2022</v>
      </c>
    </row>
    <row r="1319" spans="1:3" x14ac:dyDescent="0.2">
      <c r="A1319" s="3">
        <v>44758</v>
      </c>
      <c r="B1319">
        <v>57.832299999999996</v>
      </c>
      <c r="C1319">
        <f t="shared" si="23"/>
        <v>2022</v>
      </c>
    </row>
    <row r="1320" spans="1:3" x14ac:dyDescent="0.2">
      <c r="A1320" s="3">
        <v>44757</v>
      </c>
      <c r="B1320">
        <v>58.256799999999998</v>
      </c>
      <c r="C1320">
        <f t="shared" si="23"/>
        <v>2022</v>
      </c>
    </row>
    <row r="1321" spans="1:3" x14ac:dyDescent="0.2">
      <c r="A1321" s="3">
        <v>44756</v>
      </c>
      <c r="B1321">
        <v>58.532200000000003</v>
      </c>
      <c r="C1321">
        <f t="shared" si="23"/>
        <v>2022</v>
      </c>
    </row>
    <row r="1322" spans="1:3" x14ac:dyDescent="0.2">
      <c r="A1322" s="3">
        <v>44755</v>
      </c>
      <c r="B1322">
        <v>58.854100000000003</v>
      </c>
      <c r="C1322">
        <f t="shared" si="23"/>
        <v>2022</v>
      </c>
    </row>
    <row r="1323" spans="1:3" x14ac:dyDescent="0.2">
      <c r="A1323" s="3">
        <v>44754</v>
      </c>
      <c r="B1323">
        <v>61.304499999999997</v>
      </c>
      <c r="C1323">
        <f t="shared" si="23"/>
        <v>2022</v>
      </c>
    </row>
    <row r="1324" spans="1:3" x14ac:dyDescent="0.2">
      <c r="A1324" s="3">
        <v>44753</v>
      </c>
      <c r="B1324">
        <v>61.266399999999997</v>
      </c>
      <c r="C1324">
        <f t="shared" si="23"/>
        <v>2022</v>
      </c>
    </row>
    <row r="1325" spans="1:3" x14ac:dyDescent="0.2">
      <c r="A1325" s="3">
        <v>44752</v>
      </c>
      <c r="B1325">
        <v>61.266399999999997</v>
      </c>
      <c r="C1325">
        <f t="shared" si="23"/>
        <v>2022</v>
      </c>
    </row>
    <row r="1326" spans="1:3" x14ac:dyDescent="0.2">
      <c r="A1326" s="3">
        <v>44751</v>
      </c>
      <c r="B1326">
        <v>61.266399999999997</v>
      </c>
      <c r="C1326">
        <f t="shared" si="23"/>
        <v>2022</v>
      </c>
    </row>
    <row r="1327" spans="1:3" x14ac:dyDescent="0.2">
      <c r="A1327" s="3">
        <v>44750</v>
      </c>
      <c r="B1327">
        <v>63.142699999999998</v>
      </c>
      <c r="C1327">
        <f t="shared" si="23"/>
        <v>2022</v>
      </c>
    </row>
    <row r="1328" spans="1:3" x14ac:dyDescent="0.2">
      <c r="A1328" s="3">
        <v>44749</v>
      </c>
      <c r="B1328">
        <v>62.911000000000001</v>
      </c>
      <c r="C1328">
        <f t="shared" si="23"/>
        <v>2022</v>
      </c>
    </row>
    <row r="1329" spans="1:3" x14ac:dyDescent="0.2">
      <c r="A1329" s="3">
        <v>44748</v>
      </c>
      <c r="B1329">
        <v>58.511800000000001</v>
      </c>
      <c r="C1329">
        <f t="shared" si="23"/>
        <v>2022</v>
      </c>
    </row>
    <row r="1330" spans="1:3" x14ac:dyDescent="0.2">
      <c r="A1330" s="3">
        <v>44747</v>
      </c>
      <c r="B1330">
        <v>55.085799999999999</v>
      </c>
      <c r="C1330">
        <f t="shared" si="23"/>
        <v>2022</v>
      </c>
    </row>
    <row r="1331" spans="1:3" x14ac:dyDescent="0.2">
      <c r="A1331" s="3">
        <v>44746</v>
      </c>
      <c r="B1331">
        <v>53.767600000000002</v>
      </c>
      <c r="C1331">
        <f t="shared" si="23"/>
        <v>2022</v>
      </c>
    </row>
    <row r="1332" spans="1:3" x14ac:dyDescent="0.2">
      <c r="A1332" s="3">
        <v>44745</v>
      </c>
      <c r="B1332">
        <v>53.767600000000002</v>
      </c>
      <c r="C1332">
        <f t="shared" si="23"/>
        <v>2022</v>
      </c>
    </row>
    <row r="1333" spans="1:3" x14ac:dyDescent="0.2">
      <c r="A1333" s="3">
        <v>44744</v>
      </c>
      <c r="B1333">
        <v>53.767600000000002</v>
      </c>
      <c r="C1333">
        <f t="shared" si="23"/>
        <v>2022</v>
      </c>
    </row>
    <row r="1334" spans="1:3" x14ac:dyDescent="0.2">
      <c r="A1334" s="3">
        <v>44743</v>
      </c>
      <c r="B1334">
        <v>52.512300000000003</v>
      </c>
      <c r="C1334">
        <f t="shared" si="23"/>
        <v>2022</v>
      </c>
    </row>
    <row r="1335" spans="1:3" x14ac:dyDescent="0.2">
      <c r="A1335" s="3">
        <v>44742</v>
      </c>
      <c r="B1335">
        <v>51.158000000000001</v>
      </c>
      <c r="C1335">
        <f t="shared" si="23"/>
        <v>2022</v>
      </c>
    </row>
    <row r="1336" spans="1:3" x14ac:dyDescent="0.2">
      <c r="A1336" s="3">
        <v>44741</v>
      </c>
      <c r="B1336">
        <v>52.969900000000003</v>
      </c>
      <c r="C1336">
        <f t="shared" si="23"/>
        <v>2022</v>
      </c>
    </row>
    <row r="1337" spans="1:3" x14ac:dyDescent="0.2">
      <c r="A1337" s="3">
        <v>44740</v>
      </c>
      <c r="B1337">
        <v>53.364100000000001</v>
      </c>
      <c r="C1337">
        <f t="shared" si="23"/>
        <v>2022</v>
      </c>
    </row>
    <row r="1338" spans="1:3" x14ac:dyDescent="0.2">
      <c r="A1338" s="3">
        <v>44739</v>
      </c>
      <c r="B1338">
        <v>53.323399999999999</v>
      </c>
      <c r="C1338">
        <f t="shared" si="23"/>
        <v>2022</v>
      </c>
    </row>
    <row r="1339" spans="1:3" x14ac:dyDescent="0.2">
      <c r="A1339" s="3">
        <v>44738</v>
      </c>
      <c r="B1339">
        <v>53.323399999999999</v>
      </c>
      <c r="C1339">
        <f t="shared" si="23"/>
        <v>2022</v>
      </c>
    </row>
    <row r="1340" spans="1:3" x14ac:dyDescent="0.2">
      <c r="A1340" s="3">
        <v>44737</v>
      </c>
      <c r="B1340">
        <v>53.323399999999999</v>
      </c>
      <c r="C1340">
        <f t="shared" si="23"/>
        <v>2022</v>
      </c>
    </row>
    <row r="1341" spans="1:3" x14ac:dyDescent="0.2">
      <c r="A1341" s="3">
        <v>44736</v>
      </c>
      <c r="B1341">
        <v>53.357799999999997</v>
      </c>
      <c r="C1341">
        <f t="shared" si="23"/>
        <v>2022</v>
      </c>
    </row>
    <row r="1342" spans="1:3" x14ac:dyDescent="0.2">
      <c r="A1342" s="3">
        <v>44735</v>
      </c>
      <c r="B1342">
        <v>53.278799999999997</v>
      </c>
      <c r="C1342">
        <f t="shared" si="23"/>
        <v>2022</v>
      </c>
    </row>
    <row r="1343" spans="1:3" x14ac:dyDescent="0.2">
      <c r="A1343" s="3">
        <v>44734</v>
      </c>
      <c r="B1343">
        <v>54.708100000000002</v>
      </c>
      <c r="C1343">
        <f t="shared" si="23"/>
        <v>2022</v>
      </c>
    </row>
    <row r="1344" spans="1:3" x14ac:dyDescent="0.2">
      <c r="A1344" s="3">
        <v>44733</v>
      </c>
      <c r="B1344">
        <v>56.172699999999999</v>
      </c>
      <c r="C1344">
        <f t="shared" si="23"/>
        <v>2022</v>
      </c>
    </row>
    <row r="1345" spans="1:3" x14ac:dyDescent="0.2">
      <c r="A1345" s="3">
        <v>44732</v>
      </c>
      <c r="B1345">
        <v>56.710099999999997</v>
      </c>
      <c r="C1345">
        <f t="shared" si="23"/>
        <v>2022</v>
      </c>
    </row>
    <row r="1346" spans="1:3" x14ac:dyDescent="0.2">
      <c r="A1346" s="3">
        <v>44731</v>
      </c>
      <c r="B1346">
        <v>56.710099999999997</v>
      </c>
      <c r="C1346">
        <f t="shared" si="23"/>
        <v>2022</v>
      </c>
    </row>
    <row r="1347" spans="1:3" x14ac:dyDescent="0.2">
      <c r="A1347" s="3">
        <v>44730</v>
      </c>
      <c r="B1347">
        <v>56.710099999999997</v>
      </c>
      <c r="C1347">
        <f t="shared" si="23"/>
        <v>2022</v>
      </c>
    </row>
    <row r="1348" spans="1:3" x14ac:dyDescent="0.2">
      <c r="A1348" s="3">
        <v>44729</v>
      </c>
      <c r="B1348">
        <v>56.869100000000003</v>
      </c>
      <c r="C1348">
        <f t="shared" ref="C1348:C1411" si="24">YEAR(A1348)</f>
        <v>2022</v>
      </c>
    </row>
    <row r="1349" spans="1:3" x14ac:dyDescent="0.2">
      <c r="A1349" s="3">
        <v>44728</v>
      </c>
      <c r="B1349">
        <v>56.662399999999998</v>
      </c>
      <c r="C1349">
        <f t="shared" si="24"/>
        <v>2022</v>
      </c>
    </row>
    <row r="1350" spans="1:3" x14ac:dyDescent="0.2">
      <c r="A1350" s="3">
        <v>44727</v>
      </c>
      <c r="B1350">
        <v>57.092599999999997</v>
      </c>
      <c r="C1350">
        <f t="shared" si="24"/>
        <v>2022</v>
      </c>
    </row>
    <row r="1351" spans="1:3" x14ac:dyDescent="0.2">
      <c r="A1351" s="3">
        <v>44726</v>
      </c>
      <c r="B1351">
        <v>57.777999999999999</v>
      </c>
      <c r="C1351">
        <f t="shared" si="24"/>
        <v>2022</v>
      </c>
    </row>
    <row r="1352" spans="1:3" x14ac:dyDescent="0.2">
      <c r="A1352" s="3">
        <v>44725</v>
      </c>
      <c r="B1352">
        <v>57.777999999999999</v>
      </c>
      <c r="C1352">
        <f t="shared" si="24"/>
        <v>2022</v>
      </c>
    </row>
    <row r="1353" spans="1:3" x14ac:dyDescent="0.2">
      <c r="A1353" s="3">
        <v>44724</v>
      </c>
      <c r="B1353">
        <v>57.777999999999999</v>
      </c>
      <c r="C1353">
        <f t="shared" si="24"/>
        <v>2022</v>
      </c>
    </row>
    <row r="1354" spans="1:3" x14ac:dyDescent="0.2">
      <c r="A1354" s="3">
        <v>44723</v>
      </c>
      <c r="B1354">
        <v>57.777999999999999</v>
      </c>
      <c r="C1354">
        <f t="shared" si="24"/>
        <v>2022</v>
      </c>
    </row>
    <row r="1355" spans="1:3" x14ac:dyDescent="0.2">
      <c r="A1355" s="3">
        <v>44722</v>
      </c>
      <c r="B1355">
        <v>58.389499999999998</v>
      </c>
      <c r="C1355">
        <f t="shared" si="24"/>
        <v>2022</v>
      </c>
    </row>
    <row r="1356" spans="1:3" x14ac:dyDescent="0.2">
      <c r="A1356" s="3">
        <v>44721</v>
      </c>
      <c r="B1356">
        <v>60.228200000000001</v>
      </c>
      <c r="C1356">
        <f t="shared" si="24"/>
        <v>2022</v>
      </c>
    </row>
    <row r="1357" spans="1:3" x14ac:dyDescent="0.2">
      <c r="A1357" s="3">
        <v>44720</v>
      </c>
      <c r="B1357">
        <v>60.956499999999998</v>
      </c>
      <c r="C1357">
        <f t="shared" si="24"/>
        <v>2022</v>
      </c>
    </row>
    <row r="1358" spans="1:3" x14ac:dyDescent="0.2">
      <c r="A1358" s="3">
        <v>44719</v>
      </c>
      <c r="B1358">
        <v>61.109400000000001</v>
      </c>
      <c r="C1358">
        <f t="shared" si="24"/>
        <v>2022</v>
      </c>
    </row>
    <row r="1359" spans="1:3" x14ac:dyDescent="0.2">
      <c r="A1359" s="3">
        <v>44718</v>
      </c>
      <c r="B1359">
        <v>61.965899999999998</v>
      </c>
      <c r="C1359">
        <f t="shared" si="24"/>
        <v>2022</v>
      </c>
    </row>
    <row r="1360" spans="1:3" x14ac:dyDescent="0.2">
      <c r="A1360" s="3">
        <v>44717</v>
      </c>
      <c r="B1360">
        <v>61.965899999999998</v>
      </c>
      <c r="C1360">
        <f t="shared" si="24"/>
        <v>2022</v>
      </c>
    </row>
    <row r="1361" spans="1:3" x14ac:dyDescent="0.2">
      <c r="A1361" s="3">
        <v>44716</v>
      </c>
      <c r="B1361">
        <v>61.965899999999998</v>
      </c>
      <c r="C1361">
        <f t="shared" si="24"/>
        <v>2022</v>
      </c>
    </row>
    <row r="1362" spans="1:3" x14ac:dyDescent="0.2">
      <c r="A1362" s="3">
        <v>44715</v>
      </c>
      <c r="B1362">
        <v>61.575000000000003</v>
      </c>
      <c r="C1362">
        <f t="shared" si="24"/>
        <v>2022</v>
      </c>
    </row>
    <row r="1363" spans="1:3" x14ac:dyDescent="0.2">
      <c r="A1363" s="3">
        <v>44714</v>
      </c>
      <c r="B1363">
        <v>61.473300000000002</v>
      </c>
      <c r="C1363">
        <f t="shared" si="24"/>
        <v>2022</v>
      </c>
    </row>
    <row r="1364" spans="1:3" x14ac:dyDescent="0.2">
      <c r="A1364" s="3">
        <v>44713</v>
      </c>
      <c r="B1364">
        <v>61.606900000000003</v>
      </c>
      <c r="C1364">
        <f t="shared" si="24"/>
        <v>2022</v>
      </c>
    </row>
    <row r="1365" spans="1:3" x14ac:dyDescent="0.2">
      <c r="A1365" s="3">
        <v>44712</v>
      </c>
      <c r="B1365">
        <v>63.097499999999997</v>
      </c>
      <c r="C1365">
        <f t="shared" si="24"/>
        <v>2022</v>
      </c>
    </row>
    <row r="1366" spans="1:3" x14ac:dyDescent="0.2">
      <c r="A1366" s="3">
        <v>44711</v>
      </c>
      <c r="B1366">
        <v>66.402900000000002</v>
      </c>
      <c r="C1366">
        <f t="shared" si="24"/>
        <v>2022</v>
      </c>
    </row>
    <row r="1367" spans="1:3" x14ac:dyDescent="0.2">
      <c r="A1367" s="3">
        <v>44710</v>
      </c>
      <c r="B1367">
        <v>66.402900000000002</v>
      </c>
      <c r="C1367">
        <f t="shared" si="24"/>
        <v>2022</v>
      </c>
    </row>
    <row r="1368" spans="1:3" x14ac:dyDescent="0.2">
      <c r="A1368" s="3">
        <v>44709</v>
      </c>
      <c r="B1368">
        <v>66.402900000000002</v>
      </c>
      <c r="C1368">
        <f t="shared" si="24"/>
        <v>2022</v>
      </c>
    </row>
    <row r="1369" spans="1:3" x14ac:dyDescent="0.2">
      <c r="A1369" s="3">
        <v>44708</v>
      </c>
      <c r="B1369">
        <v>62.049500000000002</v>
      </c>
      <c r="C1369">
        <f t="shared" si="24"/>
        <v>2022</v>
      </c>
    </row>
    <row r="1370" spans="1:3" x14ac:dyDescent="0.2">
      <c r="A1370" s="3">
        <v>44707</v>
      </c>
      <c r="B1370">
        <v>56.299599999999998</v>
      </c>
      <c r="C1370">
        <f t="shared" si="24"/>
        <v>2022</v>
      </c>
    </row>
    <row r="1371" spans="1:3" x14ac:dyDescent="0.2">
      <c r="A1371" s="3">
        <v>44706</v>
      </c>
      <c r="B1371">
        <v>56.969000000000001</v>
      </c>
      <c r="C1371">
        <f t="shared" si="24"/>
        <v>2022</v>
      </c>
    </row>
    <row r="1372" spans="1:3" x14ac:dyDescent="0.2">
      <c r="A1372" s="3">
        <v>44705</v>
      </c>
      <c r="B1372">
        <v>58.2087</v>
      </c>
      <c r="C1372">
        <f t="shared" si="24"/>
        <v>2022</v>
      </c>
    </row>
    <row r="1373" spans="1:3" x14ac:dyDescent="0.2">
      <c r="A1373" s="3">
        <v>44704</v>
      </c>
      <c r="B1373">
        <v>58.886200000000002</v>
      </c>
      <c r="C1373">
        <f t="shared" si="24"/>
        <v>2022</v>
      </c>
    </row>
    <row r="1374" spans="1:3" x14ac:dyDescent="0.2">
      <c r="A1374" s="3">
        <v>44703</v>
      </c>
      <c r="B1374">
        <v>58.886200000000002</v>
      </c>
      <c r="C1374">
        <f t="shared" si="24"/>
        <v>2022</v>
      </c>
    </row>
    <row r="1375" spans="1:3" x14ac:dyDescent="0.2">
      <c r="A1375" s="3">
        <v>44702</v>
      </c>
      <c r="B1375">
        <v>58.886200000000002</v>
      </c>
      <c r="C1375">
        <f t="shared" si="24"/>
        <v>2022</v>
      </c>
    </row>
    <row r="1376" spans="1:3" x14ac:dyDescent="0.2">
      <c r="A1376" s="3">
        <v>44701</v>
      </c>
      <c r="B1376">
        <v>62.403100000000002</v>
      </c>
      <c r="C1376">
        <f t="shared" si="24"/>
        <v>2022</v>
      </c>
    </row>
    <row r="1377" spans="1:3" x14ac:dyDescent="0.2">
      <c r="A1377" s="3">
        <v>44700</v>
      </c>
      <c r="B1377">
        <v>63.564300000000003</v>
      </c>
      <c r="C1377">
        <f t="shared" si="24"/>
        <v>2022</v>
      </c>
    </row>
    <row r="1378" spans="1:3" x14ac:dyDescent="0.2">
      <c r="A1378" s="3">
        <v>44699</v>
      </c>
      <c r="B1378">
        <v>63.5428</v>
      </c>
      <c r="C1378">
        <f t="shared" si="24"/>
        <v>2022</v>
      </c>
    </row>
    <row r="1379" spans="1:3" x14ac:dyDescent="0.2">
      <c r="A1379" s="3">
        <v>44698</v>
      </c>
      <c r="B1379">
        <v>63.444499999999998</v>
      </c>
      <c r="C1379">
        <f t="shared" si="24"/>
        <v>2022</v>
      </c>
    </row>
    <row r="1380" spans="1:3" x14ac:dyDescent="0.2">
      <c r="A1380" s="3">
        <v>44697</v>
      </c>
      <c r="B1380">
        <v>63.779899999999998</v>
      </c>
      <c r="C1380">
        <f t="shared" si="24"/>
        <v>2022</v>
      </c>
    </row>
    <row r="1381" spans="1:3" x14ac:dyDescent="0.2">
      <c r="A1381" s="3">
        <v>44696</v>
      </c>
      <c r="B1381">
        <v>63.779899999999998</v>
      </c>
      <c r="C1381">
        <f t="shared" si="24"/>
        <v>2022</v>
      </c>
    </row>
    <row r="1382" spans="1:3" x14ac:dyDescent="0.2">
      <c r="A1382" s="3">
        <v>44695</v>
      </c>
      <c r="B1382">
        <v>63.779899999999998</v>
      </c>
      <c r="C1382">
        <f t="shared" si="24"/>
        <v>2022</v>
      </c>
    </row>
    <row r="1383" spans="1:3" x14ac:dyDescent="0.2">
      <c r="A1383" s="3">
        <v>44694</v>
      </c>
      <c r="B1383">
        <v>65.791600000000003</v>
      </c>
      <c r="C1383">
        <f t="shared" si="24"/>
        <v>2022</v>
      </c>
    </row>
    <row r="1384" spans="1:3" x14ac:dyDescent="0.2">
      <c r="A1384" s="3">
        <v>44693</v>
      </c>
      <c r="B1384">
        <v>68.838899999999995</v>
      </c>
      <c r="C1384">
        <f t="shared" si="24"/>
        <v>2022</v>
      </c>
    </row>
    <row r="1385" spans="1:3" x14ac:dyDescent="0.2">
      <c r="A1385" s="3">
        <v>44692</v>
      </c>
      <c r="B1385">
        <v>67.384299999999996</v>
      </c>
      <c r="C1385">
        <f t="shared" si="24"/>
        <v>2022</v>
      </c>
    </row>
    <row r="1386" spans="1:3" x14ac:dyDescent="0.2">
      <c r="A1386" s="3">
        <v>44691</v>
      </c>
      <c r="B1386">
        <v>67.384299999999996</v>
      </c>
      <c r="C1386">
        <f t="shared" si="24"/>
        <v>2022</v>
      </c>
    </row>
    <row r="1387" spans="1:3" x14ac:dyDescent="0.2">
      <c r="A1387" s="3">
        <v>44690</v>
      </c>
      <c r="B1387">
        <v>67.384299999999996</v>
      </c>
      <c r="C1387">
        <f t="shared" si="24"/>
        <v>2022</v>
      </c>
    </row>
    <row r="1388" spans="1:3" x14ac:dyDescent="0.2">
      <c r="A1388" s="3">
        <v>44689</v>
      </c>
      <c r="B1388">
        <v>67.384299999999996</v>
      </c>
      <c r="C1388">
        <f t="shared" si="24"/>
        <v>2022</v>
      </c>
    </row>
    <row r="1389" spans="1:3" x14ac:dyDescent="0.2">
      <c r="A1389" s="3">
        <v>44688</v>
      </c>
      <c r="B1389">
        <v>67.384299999999996</v>
      </c>
      <c r="C1389">
        <f t="shared" si="24"/>
        <v>2022</v>
      </c>
    </row>
    <row r="1390" spans="1:3" x14ac:dyDescent="0.2">
      <c r="A1390" s="3">
        <v>44687</v>
      </c>
      <c r="B1390">
        <v>66.237799999999993</v>
      </c>
      <c r="C1390">
        <f t="shared" si="24"/>
        <v>2022</v>
      </c>
    </row>
    <row r="1391" spans="1:3" x14ac:dyDescent="0.2">
      <c r="A1391" s="3">
        <v>44686</v>
      </c>
      <c r="B1391">
        <v>69.415999999999997</v>
      </c>
      <c r="C1391">
        <f t="shared" si="24"/>
        <v>2022</v>
      </c>
    </row>
    <row r="1392" spans="1:3" x14ac:dyDescent="0.2">
      <c r="A1392" s="3">
        <v>44685</v>
      </c>
      <c r="B1392">
        <v>71.023700000000005</v>
      </c>
      <c r="C1392">
        <f t="shared" si="24"/>
        <v>2022</v>
      </c>
    </row>
    <row r="1393" spans="1:3" x14ac:dyDescent="0.2">
      <c r="A1393" s="3">
        <v>44684</v>
      </c>
      <c r="B1393">
        <v>71.023700000000005</v>
      </c>
      <c r="C1393">
        <f t="shared" si="24"/>
        <v>2022</v>
      </c>
    </row>
    <row r="1394" spans="1:3" x14ac:dyDescent="0.2">
      <c r="A1394" s="3">
        <v>44683</v>
      </c>
      <c r="B1394">
        <v>71.023700000000005</v>
      </c>
      <c r="C1394">
        <f t="shared" si="24"/>
        <v>2022</v>
      </c>
    </row>
    <row r="1395" spans="1:3" x14ac:dyDescent="0.2">
      <c r="A1395" s="3">
        <v>44682</v>
      </c>
      <c r="B1395">
        <v>71.023700000000005</v>
      </c>
      <c r="C1395">
        <f t="shared" si="24"/>
        <v>2022</v>
      </c>
    </row>
    <row r="1396" spans="1:3" x14ac:dyDescent="0.2">
      <c r="A1396" s="3">
        <v>44681</v>
      </c>
      <c r="B1396">
        <v>71.023700000000005</v>
      </c>
      <c r="C1396">
        <f t="shared" si="24"/>
        <v>2022</v>
      </c>
    </row>
    <row r="1397" spans="1:3" x14ac:dyDescent="0.2">
      <c r="A1397" s="3">
        <v>44680</v>
      </c>
      <c r="B1397">
        <v>72.295299999999997</v>
      </c>
      <c r="C1397">
        <f t="shared" si="24"/>
        <v>2022</v>
      </c>
    </row>
    <row r="1398" spans="1:3" x14ac:dyDescent="0.2">
      <c r="A1398" s="3">
        <v>44679</v>
      </c>
      <c r="B1398">
        <v>72.876400000000004</v>
      </c>
      <c r="C1398">
        <f t="shared" si="24"/>
        <v>2022</v>
      </c>
    </row>
    <row r="1399" spans="1:3" x14ac:dyDescent="0.2">
      <c r="A1399" s="3">
        <v>44678</v>
      </c>
      <c r="B1399">
        <v>72.7089</v>
      </c>
      <c r="C1399">
        <f t="shared" si="24"/>
        <v>2022</v>
      </c>
    </row>
    <row r="1400" spans="1:3" x14ac:dyDescent="0.2">
      <c r="A1400" s="3">
        <v>44677</v>
      </c>
      <c r="B1400">
        <v>73.361099999999993</v>
      </c>
      <c r="C1400">
        <f t="shared" si="24"/>
        <v>2022</v>
      </c>
    </row>
    <row r="1401" spans="1:3" x14ac:dyDescent="0.2">
      <c r="A1401" s="3">
        <v>44676</v>
      </c>
      <c r="B1401">
        <v>73.504999999999995</v>
      </c>
      <c r="C1401">
        <f t="shared" si="24"/>
        <v>2022</v>
      </c>
    </row>
    <row r="1402" spans="1:3" x14ac:dyDescent="0.2">
      <c r="A1402" s="3">
        <v>44675</v>
      </c>
      <c r="B1402">
        <v>73.504999999999995</v>
      </c>
      <c r="C1402">
        <f t="shared" si="24"/>
        <v>2022</v>
      </c>
    </row>
    <row r="1403" spans="1:3" x14ac:dyDescent="0.2">
      <c r="A1403" s="3">
        <v>44674</v>
      </c>
      <c r="B1403">
        <v>73.504999999999995</v>
      </c>
      <c r="C1403">
        <f t="shared" si="24"/>
        <v>2022</v>
      </c>
    </row>
    <row r="1404" spans="1:3" x14ac:dyDescent="0.2">
      <c r="A1404" s="3">
        <v>44673</v>
      </c>
      <c r="B1404">
        <v>74.998999999999995</v>
      </c>
      <c r="C1404">
        <f t="shared" si="24"/>
        <v>2022</v>
      </c>
    </row>
    <row r="1405" spans="1:3" x14ac:dyDescent="0.2">
      <c r="A1405" s="3">
        <v>44672</v>
      </c>
      <c r="B1405">
        <v>77.0809</v>
      </c>
      <c r="C1405">
        <f t="shared" si="24"/>
        <v>2022</v>
      </c>
    </row>
    <row r="1406" spans="1:3" x14ac:dyDescent="0.2">
      <c r="A1406" s="3">
        <v>44671</v>
      </c>
      <c r="B1406">
        <v>79.028700000000001</v>
      </c>
      <c r="C1406">
        <f t="shared" si="24"/>
        <v>2022</v>
      </c>
    </row>
    <row r="1407" spans="1:3" x14ac:dyDescent="0.2">
      <c r="A1407" s="3">
        <v>44670</v>
      </c>
      <c r="B1407">
        <v>79.4529</v>
      </c>
      <c r="C1407">
        <f t="shared" si="24"/>
        <v>2022</v>
      </c>
    </row>
    <row r="1408" spans="1:3" x14ac:dyDescent="0.2">
      <c r="A1408" s="3">
        <v>44669</v>
      </c>
      <c r="B1408">
        <v>80.043700000000001</v>
      </c>
      <c r="C1408">
        <f t="shared" si="24"/>
        <v>2022</v>
      </c>
    </row>
    <row r="1409" spans="1:3" x14ac:dyDescent="0.2">
      <c r="A1409" s="3">
        <v>44668</v>
      </c>
      <c r="B1409">
        <v>80.043700000000001</v>
      </c>
      <c r="C1409">
        <f t="shared" si="24"/>
        <v>2022</v>
      </c>
    </row>
    <row r="1410" spans="1:3" x14ac:dyDescent="0.2">
      <c r="A1410" s="3">
        <v>44667</v>
      </c>
      <c r="B1410">
        <v>80.043700000000001</v>
      </c>
      <c r="C1410">
        <f t="shared" si="24"/>
        <v>2022</v>
      </c>
    </row>
    <row r="1411" spans="1:3" x14ac:dyDescent="0.2">
      <c r="A1411" s="3">
        <v>44666</v>
      </c>
      <c r="B1411">
        <v>81.287999999999997</v>
      </c>
      <c r="C1411">
        <f t="shared" si="24"/>
        <v>2022</v>
      </c>
    </row>
    <row r="1412" spans="1:3" x14ac:dyDescent="0.2">
      <c r="A1412" s="3">
        <v>44665</v>
      </c>
      <c r="B1412">
        <v>79.847099999999998</v>
      </c>
      <c r="C1412">
        <f t="shared" ref="C1412:C1475" si="25">YEAR(A1412)</f>
        <v>2022</v>
      </c>
    </row>
    <row r="1413" spans="1:3" x14ac:dyDescent="0.2">
      <c r="A1413" s="3">
        <v>44664</v>
      </c>
      <c r="B1413">
        <v>79.627399999999994</v>
      </c>
      <c r="C1413">
        <f t="shared" si="25"/>
        <v>2022</v>
      </c>
    </row>
    <row r="1414" spans="1:3" x14ac:dyDescent="0.2">
      <c r="A1414" s="3">
        <v>44663</v>
      </c>
      <c r="B1414">
        <v>79.159599999999998</v>
      </c>
      <c r="C1414">
        <f t="shared" si="25"/>
        <v>2022</v>
      </c>
    </row>
    <row r="1415" spans="1:3" x14ac:dyDescent="0.2">
      <c r="A1415" s="3">
        <v>44662</v>
      </c>
      <c r="B1415">
        <v>74.850099999999998</v>
      </c>
      <c r="C1415">
        <f t="shared" si="25"/>
        <v>2022</v>
      </c>
    </row>
    <row r="1416" spans="1:3" x14ac:dyDescent="0.2">
      <c r="A1416" s="3">
        <v>44661</v>
      </c>
      <c r="B1416">
        <v>74.850099999999998</v>
      </c>
      <c r="C1416">
        <f t="shared" si="25"/>
        <v>2022</v>
      </c>
    </row>
    <row r="1417" spans="1:3" x14ac:dyDescent="0.2">
      <c r="A1417" s="3">
        <v>44660</v>
      </c>
      <c r="B1417">
        <v>74.850099999999998</v>
      </c>
      <c r="C1417">
        <f t="shared" si="25"/>
        <v>2022</v>
      </c>
    </row>
    <row r="1418" spans="1:3" x14ac:dyDescent="0.2">
      <c r="A1418" s="3">
        <v>44659</v>
      </c>
      <c r="B1418">
        <v>76.2547</v>
      </c>
      <c r="C1418">
        <f t="shared" si="25"/>
        <v>2022</v>
      </c>
    </row>
    <row r="1419" spans="1:3" x14ac:dyDescent="0.2">
      <c r="A1419" s="3">
        <v>44658</v>
      </c>
      <c r="B1419">
        <v>82.596199999999996</v>
      </c>
      <c r="C1419">
        <f t="shared" si="25"/>
        <v>2022</v>
      </c>
    </row>
    <row r="1420" spans="1:3" x14ac:dyDescent="0.2">
      <c r="A1420" s="3">
        <v>44657</v>
      </c>
      <c r="B1420">
        <v>83.352000000000004</v>
      </c>
      <c r="C1420">
        <f t="shared" si="25"/>
        <v>2022</v>
      </c>
    </row>
    <row r="1421" spans="1:3" x14ac:dyDescent="0.2">
      <c r="A1421" s="3">
        <v>44656</v>
      </c>
      <c r="B1421">
        <v>83.593199999999996</v>
      </c>
      <c r="C1421">
        <f t="shared" si="25"/>
        <v>2022</v>
      </c>
    </row>
    <row r="1422" spans="1:3" x14ac:dyDescent="0.2">
      <c r="A1422" s="3">
        <v>44655</v>
      </c>
      <c r="B1422">
        <v>83.4285</v>
      </c>
      <c r="C1422">
        <f t="shared" si="25"/>
        <v>2022</v>
      </c>
    </row>
    <row r="1423" spans="1:3" x14ac:dyDescent="0.2">
      <c r="A1423" s="3">
        <v>44654</v>
      </c>
      <c r="B1423">
        <v>83.4285</v>
      </c>
      <c r="C1423">
        <f t="shared" si="25"/>
        <v>2022</v>
      </c>
    </row>
    <row r="1424" spans="1:3" x14ac:dyDescent="0.2">
      <c r="A1424" s="3">
        <v>44653</v>
      </c>
      <c r="B1424">
        <v>83.4285</v>
      </c>
      <c r="C1424">
        <f t="shared" si="25"/>
        <v>2022</v>
      </c>
    </row>
    <row r="1425" spans="1:3" x14ac:dyDescent="0.2">
      <c r="A1425" s="3">
        <v>44652</v>
      </c>
      <c r="B1425">
        <v>83.409700000000001</v>
      </c>
      <c r="C1425">
        <f t="shared" si="25"/>
        <v>2022</v>
      </c>
    </row>
    <row r="1426" spans="1:3" x14ac:dyDescent="0.2">
      <c r="A1426" s="3">
        <v>44651</v>
      </c>
      <c r="B1426">
        <v>84.085099999999997</v>
      </c>
      <c r="C1426">
        <f t="shared" si="25"/>
        <v>2022</v>
      </c>
    </row>
    <row r="1427" spans="1:3" x14ac:dyDescent="0.2">
      <c r="A1427" s="3">
        <v>44650</v>
      </c>
      <c r="B1427">
        <v>86.284300000000002</v>
      </c>
      <c r="C1427">
        <f t="shared" si="25"/>
        <v>2022</v>
      </c>
    </row>
    <row r="1428" spans="1:3" x14ac:dyDescent="0.2">
      <c r="A1428" s="3">
        <v>44649</v>
      </c>
      <c r="B1428">
        <v>93.712500000000006</v>
      </c>
      <c r="C1428">
        <f t="shared" si="25"/>
        <v>2022</v>
      </c>
    </row>
    <row r="1429" spans="1:3" x14ac:dyDescent="0.2">
      <c r="A1429" s="3">
        <v>44648</v>
      </c>
      <c r="B1429">
        <v>95.661799999999999</v>
      </c>
      <c r="C1429">
        <f t="shared" si="25"/>
        <v>2022</v>
      </c>
    </row>
    <row r="1430" spans="1:3" x14ac:dyDescent="0.2">
      <c r="A1430" s="3">
        <v>44647</v>
      </c>
      <c r="B1430">
        <v>95.661799999999999</v>
      </c>
      <c r="C1430">
        <f t="shared" si="25"/>
        <v>2022</v>
      </c>
    </row>
    <row r="1431" spans="1:3" x14ac:dyDescent="0.2">
      <c r="A1431" s="3">
        <v>44646</v>
      </c>
      <c r="B1431">
        <v>95.661799999999999</v>
      </c>
      <c r="C1431">
        <f t="shared" si="25"/>
        <v>2022</v>
      </c>
    </row>
    <row r="1432" spans="1:3" x14ac:dyDescent="0.2">
      <c r="A1432" s="3">
        <v>44645</v>
      </c>
      <c r="B1432">
        <v>96.0458</v>
      </c>
      <c r="C1432">
        <f t="shared" si="25"/>
        <v>2022</v>
      </c>
    </row>
    <row r="1433" spans="1:3" x14ac:dyDescent="0.2">
      <c r="A1433" s="3">
        <v>44644</v>
      </c>
      <c r="B1433">
        <v>105.8124</v>
      </c>
      <c r="C1433">
        <f t="shared" si="25"/>
        <v>2022</v>
      </c>
    </row>
    <row r="1434" spans="1:3" x14ac:dyDescent="0.2">
      <c r="A1434" s="3">
        <v>44643</v>
      </c>
      <c r="B1434">
        <v>105.8124</v>
      </c>
      <c r="C1434">
        <f t="shared" si="25"/>
        <v>2022</v>
      </c>
    </row>
    <row r="1435" spans="1:3" x14ac:dyDescent="0.2">
      <c r="A1435" s="3">
        <v>44642</v>
      </c>
      <c r="B1435">
        <v>105.8124</v>
      </c>
      <c r="C1435">
        <f t="shared" si="25"/>
        <v>2022</v>
      </c>
    </row>
    <row r="1436" spans="1:3" x14ac:dyDescent="0.2">
      <c r="A1436" s="3">
        <v>44641</v>
      </c>
      <c r="B1436">
        <v>105.8124</v>
      </c>
      <c r="C1436">
        <f t="shared" si="25"/>
        <v>2022</v>
      </c>
    </row>
    <row r="1437" spans="1:3" x14ac:dyDescent="0.2">
      <c r="A1437" s="3">
        <v>44640</v>
      </c>
      <c r="B1437">
        <v>105.8124</v>
      </c>
      <c r="C1437">
        <f t="shared" si="25"/>
        <v>2022</v>
      </c>
    </row>
    <row r="1438" spans="1:3" x14ac:dyDescent="0.2">
      <c r="A1438" s="3">
        <v>44639</v>
      </c>
      <c r="B1438">
        <v>105.8124</v>
      </c>
      <c r="C1438">
        <f t="shared" si="25"/>
        <v>2022</v>
      </c>
    </row>
    <row r="1439" spans="1:3" x14ac:dyDescent="0.2">
      <c r="A1439" s="3">
        <v>44638</v>
      </c>
      <c r="B1439">
        <v>105.8124</v>
      </c>
      <c r="C1439">
        <f t="shared" si="25"/>
        <v>2022</v>
      </c>
    </row>
    <row r="1440" spans="1:3" x14ac:dyDescent="0.2">
      <c r="A1440" s="3">
        <v>44637</v>
      </c>
      <c r="B1440">
        <v>105.8124</v>
      </c>
      <c r="C1440">
        <f t="shared" si="25"/>
        <v>2022</v>
      </c>
    </row>
    <row r="1441" spans="1:3" x14ac:dyDescent="0.2">
      <c r="A1441" s="3">
        <v>44636</v>
      </c>
      <c r="B1441">
        <v>105.8124</v>
      </c>
      <c r="C1441">
        <f t="shared" si="25"/>
        <v>2022</v>
      </c>
    </row>
    <row r="1442" spans="1:3" x14ac:dyDescent="0.2">
      <c r="A1442" s="3">
        <v>44635</v>
      </c>
      <c r="B1442">
        <v>105.8124</v>
      </c>
      <c r="C1442">
        <f t="shared" si="25"/>
        <v>2022</v>
      </c>
    </row>
    <row r="1443" spans="1:3" x14ac:dyDescent="0.2">
      <c r="A1443" s="3">
        <v>44634</v>
      </c>
      <c r="B1443">
        <v>105.8124</v>
      </c>
      <c r="C1443">
        <f t="shared" si="25"/>
        <v>2022</v>
      </c>
    </row>
    <row r="1444" spans="1:3" x14ac:dyDescent="0.2">
      <c r="A1444" s="3">
        <v>44633</v>
      </c>
      <c r="B1444">
        <v>105.8124</v>
      </c>
      <c r="C1444">
        <f t="shared" si="25"/>
        <v>2022</v>
      </c>
    </row>
    <row r="1445" spans="1:3" x14ac:dyDescent="0.2">
      <c r="A1445" s="3">
        <v>44632</v>
      </c>
      <c r="B1445">
        <v>105.8124</v>
      </c>
      <c r="C1445">
        <f t="shared" si="25"/>
        <v>2022</v>
      </c>
    </row>
    <row r="1446" spans="1:3" x14ac:dyDescent="0.2">
      <c r="A1446" s="3">
        <v>44631</v>
      </c>
      <c r="B1446">
        <v>105.8124</v>
      </c>
      <c r="C1446">
        <f t="shared" si="25"/>
        <v>2022</v>
      </c>
    </row>
    <row r="1447" spans="1:3" x14ac:dyDescent="0.2">
      <c r="A1447" s="3">
        <v>44630</v>
      </c>
      <c r="B1447">
        <v>105.8124</v>
      </c>
      <c r="C1447">
        <f t="shared" si="25"/>
        <v>2022</v>
      </c>
    </row>
    <row r="1448" spans="1:3" x14ac:dyDescent="0.2">
      <c r="A1448" s="3">
        <v>44629</v>
      </c>
      <c r="B1448">
        <v>105.8124</v>
      </c>
      <c r="C1448">
        <f t="shared" si="25"/>
        <v>2022</v>
      </c>
    </row>
    <row r="1449" spans="1:3" x14ac:dyDescent="0.2">
      <c r="A1449" s="3">
        <v>44628</v>
      </c>
      <c r="B1449">
        <v>105.8124</v>
      </c>
      <c r="C1449">
        <f t="shared" si="25"/>
        <v>2022</v>
      </c>
    </row>
    <row r="1450" spans="1:3" x14ac:dyDescent="0.2">
      <c r="A1450" s="3">
        <v>44627</v>
      </c>
      <c r="B1450">
        <v>105.8124</v>
      </c>
      <c r="C1450">
        <f t="shared" si="25"/>
        <v>2022</v>
      </c>
    </row>
    <row r="1451" spans="1:3" x14ac:dyDescent="0.2">
      <c r="A1451" s="3">
        <v>44626</v>
      </c>
      <c r="B1451">
        <v>105.8124</v>
      </c>
      <c r="C1451">
        <f t="shared" si="25"/>
        <v>2022</v>
      </c>
    </row>
    <row r="1452" spans="1:3" x14ac:dyDescent="0.2">
      <c r="A1452" s="3">
        <v>44625</v>
      </c>
      <c r="B1452">
        <v>83.548500000000004</v>
      </c>
      <c r="C1452">
        <f t="shared" si="25"/>
        <v>2022</v>
      </c>
    </row>
    <row r="1453" spans="1:3" x14ac:dyDescent="0.2">
      <c r="A1453" s="3">
        <v>44624</v>
      </c>
      <c r="B1453">
        <v>83.548500000000004</v>
      </c>
      <c r="C1453">
        <f t="shared" si="25"/>
        <v>2022</v>
      </c>
    </row>
    <row r="1454" spans="1:3" x14ac:dyDescent="0.2">
      <c r="A1454" s="3">
        <v>44623</v>
      </c>
      <c r="B1454">
        <v>83.548500000000004</v>
      </c>
      <c r="C1454">
        <f t="shared" si="25"/>
        <v>2022</v>
      </c>
    </row>
    <row r="1455" spans="1:3" x14ac:dyDescent="0.2">
      <c r="A1455" s="3">
        <v>44622</v>
      </c>
      <c r="B1455">
        <v>83.548500000000004</v>
      </c>
      <c r="C1455">
        <f t="shared" si="25"/>
        <v>2022</v>
      </c>
    </row>
    <row r="1456" spans="1:3" x14ac:dyDescent="0.2">
      <c r="A1456" s="3">
        <v>44621</v>
      </c>
      <c r="B1456">
        <v>83.548500000000004</v>
      </c>
      <c r="C1456">
        <f t="shared" si="25"/>
        <v>2022</v>
      </c>
    </row>
    <row r="1457" spans="1:3" x14ac:dyDescent="0.2">
      <c r="A1457" s="3">
        <v>44620</v>
      </c>
      <c r="B1457">
        <v>83.548500000000004</v>
      </c>
      <c r="C1457">
        <f t="shared" si="25"/>
        <v>2022</v>
      </c>
    </row>
    <row r="1458" spans="1:3" x14ac:dyDescent="0.2">
      <c r="A1458" s="3">
        <v>44619</v>
      </c>
      <c r="B1458">
        <v>83.548500000000004</v>
      </c>
      <c r="C1458">
        <f t="shared" si="25"/>
        <v>2022</v>
      </c>
    </row>
    <row r="1459" spans="1:3" x14ac:dyDescent="0.2">
      <c r="A1459" s="3">
        <v>44618</v>
      </c>
      <c r="B1459">
        <v>83.548500000000004</v>
      </c>
      <c r="C1459">
        <f t="shared" si="25"/>
        <v>2022</v>
      </c>
    </row>
    <row r="1460" spans="1:3" x14ac:dyDescent="0.2">
      <c r="A1460" s="3">
        <v>44617</v>
      </c>
      <c r="B1460">
        <v>86.928799999999995</v>
      </c>
      <c r="C1460">
        <f t="shared" si="25"/>
        <v>2022</v>
      </c>
    </row>
    <row r="1461" spans="1:3" x14ac:dyDescent="0.2">
      <c r="A1461" s="3">
        <v>44616</v>
      </c>
      <c r="B1461">
        <v>84.252200000000002</v>
      </c>
      <c r="C1461">
        <f t="shared" si="25"/>
        <v>2022</v>
      </c>
    </row>
    <row r="1462" spans="1:3" x14ac:dyDescent="0.2">
      <c r="A1462" s="3">
        <v>44615</v>
      </c>
      <c r="B1462">
        <v>80.419399999999996</v>
      </c>
      <c r="C1462">
        <f t="shared" si="25"/>
        <v>2022</v>
      </c>
    </row>
    <row r="1463" spans="1:3" x14ac:dyDescent="0.2">
      <c r="A1463" s="3">
        <v>44614</v>
      </c>
      <c r="B1463">
        <v>76.767099999999999</v>
      </c>
      <c r="C1463">
        <f t="shared" si="25"/>
        <v>2022</v>
      </c>
    </row>
    <row r="1464" spans="1:3" x14ac:dyDescent="0.2">
      <c r="A1464" s="3">
        <v>44613</v>
      </c>
      <c r="B1464">
        <v>75.761899999999997</v>
      </c>
      <c r="C1464">
        <f t="shared" si="25"/>
        <v>2022</v>
      </c>
    </row>
    <row r="1465" spans="1:3" x14ac:dyDescent="0.2">
      <c r="A1465" s="3">
        <v>44612</v>
      </c>
      <c r="B1465">
        <v>75.761899999999997</v>
      </c>
      <c r="C1465">
        <f t="shared" si="25"/>
        <v>2022</v>
      </c>
    </row>
    <row r="1466" spans="1:3" x14ac:dyDescent="0.2">
      <c r="A1466" s="3">
        <v>44611</v>
      </c>
      <c r="B1466">
        <v>75.761899999999997</v>
      </c>
      <c r="C1466">
        <f t="shared" si="25"/>
        <v>2022</v>
      </c>
    </row>
    <row r="1467" spans="1:3" x14ac:dyDescent="0.2">
      <c r="A1467" s="3">
        <v>44610</v>
      </c>
      <c r="B1467">
        <v>75.752700000000004</v>
      </c>
      <c r="C1467">
        <f t="shared" si="25"/>
        <v>2022</v>
      </c>
    </row>
    <row r="1468" spans="1:3" x14ac:dyDescent="0.2">
      <c r="A1468" s="3">
        <v>44609</v>
      </c>
      <c r="B1468">
        <v>75.014099999999999</v>
      </c>
      <c r="C1468">
        <f t="shared" si="25"/>
        <v>2022</v>
      </c>
    </row>
    <row r="1469" spans="1:3" x14ac:dyDescent="0.2">
      <c r="A1469" s="3">
        <v>44608</v>
      </c>
      <c r="B1469">
        <v>76.165999999999997</v>
      </c>
      <c r="C1469">
        <f t="shared" si="25"/>
        <v>2022</v>
      </c>
    </row>
    <row r="1470" spans="1:3" x14ac:dyDescent="0.2">
      <c r="A1470" s="3">
        <v>44607</v>
      </c>
      <c r="B1470">
        <v>76.5762</v>
      </c>
      <c r="C1470">
        <f t="shared" si="25"/>
        <v>2022</v>
      </c>
    </row>
    <row r="1471" spans="1:3" x14ac:dyDescent="0.2">
      <c r="A1471" s="3">
        <v>44606</v>
      </c>
      <c r="B1471">
        <v>74.986699999999999</v>
      </c>
      <c r="C1471">
        <f t="shared" si="25"/>
        <v>2022</v>
      </c>
    </row>
    <row r="1472" spans="1:3" x14ac:dyDescent="0.2">
      <c r="A1472" s="3">
        <v>44605</v>
      </c>
      <c r="B1472">
        <v>74.986699999999999</v>
      </c>
      <c r="C1472">
        <f t="shared" si="25"/>
        <v>2022</v>
      </c>
    </row>
    <row r="1473" spans="1:3" x14ac:dyDescent="0.2">
      <c r="A1473" s="3">
        <v>44604</v>
      </c>
      <c r="B1473">
        <v>74.986699999999999</v>
      </c>
      <c r="C1473">
        <f t="shared" si="25"/>
        <v>2022</v>
      </c>
    </row>
    <row r="1474" spans="1:3" x14ac:dyDescent="0.2">
      <c r="A1474" s="3">
        <v>44603</v>
      </c>
      <c r="B1474">
        <v>74.724100000000007</v>
      </c>
      <c r="C1474">
        <f t="shared" si="25"/>
        <v>2022</v>
      </c>
    </row>
    <row r="1475" spans="1:3" x14ac:dyDescent="0.2">
      <c r="A1475" s="3">
        <v>44602</v>
      </c>
      <c r="B1475">
        <v>74.801500000000004</v>
      </c>
      <c r="C1475">
        <f t="shared" si="25"/>
        <v>2022</v>
      </c>
    </row>
    <row r="1476" spans="1:3" x14ac:dyDescent="0.2">
      <c r="A1476" s="3">
        <v>44601</v>
      </c>
      <c r="B1476">
        <v>75.304199999999994</v>
      </c>
      <c r="C1476">
        <f t="shared" ref="C1476:C1539" si="26">YEAR(A1476)</f>
        <v>2022</v>
      </c>
    </row>
    <row r="1477" spans="1:3" x14ac:dyDescent="0.2">
      <c r="A1477" s="3">
        <v>44600</v>
      </c>
      <c r="B1477">
        <v>75.680599999999998</v>
      </c>
      <c r="C1477">
        <f t="shared" si="26"/>
        <v>2022</v>
      </c>
    </row>
    <row r="1478" spans="1:3" x14ac:dyDescent="0.2">
      <c r="A1478" s="3">
        <v>44599</v>
      </c>
      <c r="B1478">
        <v>76.050899999999999</v>
      </c>
      <c r="C1478">
        <f t="shared" si="26"/>
        <v>2022</v>
      </c>
    </row>
    <row r="1479" spans="1:3" x14ac:dyDescent="0.2">
      <c r="A1479" s="3">
        <v>44598</v>
      </c>
      <c r="B1479">
        <v>76.050899999999999</v>
      </c>
      <c r="C1479">
        <f t="shared" si="26"/>
        <v>2022</v>
      </c>
    </row>
    <row r="1480" spans="1:3" x14ac:dyDescent="0.2">
      <c r="A1480" s="3">
        <v>44597</v>
      </c>
      <c r="B1480">
        <v>76.050899999999999</v>
      </c>
      <c r="C1480">
        <f t="shared" si="26"/>
        <v>2022</v>
      </c>
    </row>
    <row r="1481" spans="1:3" x14ac:dyDescent="0.2">
      <c r="A1481" s="3">
        <v>44596</v>
      </c>
      <c r="B1481">
        <v>76.650099999999995</v>
      </c>
      <c r="C1481">
        <f t="shared" si="26"/>
        <v>2022</v>
      </c>
    </row>
    <row r="1482" spans="1:3" x14ac:dyDescent="0.2">
      <c r="A1482" s="3">
        <v>44595</v>
      </c>
      <c r="B1482">
        <v>76.484899999999996</v>
      </c>
      <c r="C1482">
        <f t="shared" si="26"/>
        <v>2022</v>
      </c>
    </row>
    <row r="1483" spans="1:3" x14ac:dyDescent="0.2">
      <c r="A1483" s="3">
        <v>44594</v>
      </c>
      <c r="B1483">
        <v>77.130200000000002</v>
      </c>
      <c r="C1483">
        <f t="shared" si="26"/>
        <v>2022</v>
      </c>
    </row>
    <row r="1484" spans="1:3" x14ac:dyDescent="0.2">
      <c r="A1484" s="3">
        <v>44593</v>
      </c>
      <c r="B1484">
        <v>77.470200000000006</v>
      </c>
      <c r="C1484">
        <f t="shared" si="26"/>
        <v>2022</v>
      </c>
    </row>
    <row r="1485" spans="1:3" x14ac:dyDescent="0.2">
      <c r="A1485" s="3">
        <v>44592</v>
      </c>
      <c r="B1485">
        <v>77.817400000000006</v>
      </c>
      <c r="C1485">
        <f t="shared" si="26"/>
        <v>2022</v>
      </c>
    </row>
    <row r="1486" spans="1:3" x14ac:dyDescent="0.2">
      <c r="A1486" s="3">
        <v>44591</v>
      </c>
      <c r="B1486">
        <v>77.817400000000006</v>
      </c>
      <c r="C1486">
        <f t="shared" si="26"/>
        <v>2022</v>
      </c>
    </row>
    <row r="1487" spans="1:3" x14ac:dyDescent="0.2">
      <c r="A1487" s="3">
        <v>44590</v>
      </c>
      <c r="B1487">
        <v>77.817400000000006</v>
      </c>
      <c r="C1487">
        <f t="shared" si="26"/>
        <v>2022</v>
      </c>
    </row>
    <row r="1488" spans="1:3" x14ac:dyDescent="0.2">
      <c r="A1488" s="3">
        <v>44589</v>
      </c>
      <c r="B1488">
        <v>78.947000000000003</v>
      </c>
      <c r="C1488">
        <f t="shared" si="26"/>
        <v>2022</v>
      </c>
    </row>
    <row r="1489" spans="1:3" x14ac:dyDescent="0.2">
      <c r="A1489" s="3">
        <v>44588</v>
      </c>
      <c r="B1489">
        <v>78.943700000000007</v>
      </c>
      <c r="C1489">
        <f t="shared" si="26"/>
        <v>2022</v>
      </c>
    </row>
    <row r="1490" spans="1:3" x14ac:dyDescent="0.2">
      <c r="A1490" s="3">
        <v>44587</v>
      </c>
      <c r="B1490">
        <v>78.642200000000003</v>
      </c>
      <c r="C1490">
        <f t="shared" si="26"/>
        <v>2022</v>
      </c>
    </row>
    <row r="1491" spans="1:3" x14ac:dyDescent="0.2">
      <c r="A1491" s="3">
        <v>44586</v>
      </c>
      <c r="B1491">
        <v>77.364900000000006</v>
      </c>
      <c r="C1491">
        <f t="shared" si="26"/>
        <v>2022</v>
      </c>
    </row>
    <row r="1492" spans="1:3" x14ac:dyDescent="0.2">
      <c r="A1492" s="3">
        <v>44585</v>
      </c>
      <c r="B1492">
        <v>76.690299999999993</v>
      </c>
      <c r="C1492">
        <f t="shared" si="26"/>
        <v>2022</v>
      </c>
    </row>
    <row r="1493" spans="1:3" x14ac:dyDescent="0.2">
      <c r="A1493" s="3">
        <v>44584</v>
      </c>
      <c r="B1493">
        <v>76.690299999999993</v>
      </c>
      <c r="C1493">
        <f t="shared" si="26"/>
        <v>2022</v>
      </c>
    </row>
    <row r="1494" spans="1:3" x14ac:dyDescent="0.2">
      <c r="A1494" s="3">
        <v>44583</v>
      </c>
      <c r="B1494">
        <v>76.690299999999993</v>
      </c>
      <c r="C1494">
        <f t="shared" si="26"/>
        <v>2022</v>
      </c>
    </row>
    <row r="1495" spans="1:3" x14ac:dyDescent="0.2">
      <c r="A1495" s="3">
        <v>44582</v>
      </c>
      <c r="B1495">
        <v>76.440799999999996</v>
      </c>
      <c r="C1495">
        <f t="shared" si="26"/>
        <v>2022</v>
      </c>
    </row>
    <row r="1496" spans="1:3" x14ac:dyDescent="0.2">
      <c r="A1496" s="3">
        <v>44581</v>
      </c>
      <c r="B1496">
        <v>76.869699999999995</v>
      </c>
      <c r="C1496">
        <f t="shared" si="26"/>
        <v>2022</v>
      </c>
    </row>
    <row r="1497" spans="1:3" x14ac:dyDescent="0.2">
      <c r="A1497" s="3">
        <v>44580</v>
      </c>
      <c r="B1497">
        <v>76.334699999999998</v>
      </c>
      <c r="C1497">
        <f t="shared" si="26"/>
        <v>2022</v>
      </c>
    </row>
    <row r="1498" spans="1:3" x14ac:dyDescent="0.2">
      <c r="A1498" s="3">
        <v>44579</v>
      </c>
      <c r="B1498">
        <v>76.040400000000005</v>
      </c>
      <c r="C1498">
        <f t="shared" si="26"/>
        <v>2022</v>
      </c>
    </row>
    <row r="1499" spans="1:3" x14ac:dyDescent="0.2">
      <c r="A1499" s="3">
        <v>44578</v>
      </c>
      <c r="B1499">
        <v>75.766800000000003</v>
      </c>
      <c r="C1499">
        <f t="shared" si="26"/>
        <v>2022</v>
      </c>
    </row>
    <row r="1500" spans="1:3" x14ac:dyDescent="0.2">
      <c r="A1500" s="3">
        <v>44577</v>
      </c>
      <c r="B1500">
        <v>75.766800000000003</v>
      </c>
      <c r="C1500">
        <f t="shared" si="26"/>
        <v>2022</v>
      </c>
    </row>
    <row r="1501" spans="1:3" x14ac:dyDescent="0.2">
      <c r="A1501" s="3">
        <v>44576</v>
      </c>
      <c r="B1501">
        <v>75.766800000000003</v>
      </c>
      <c r="C1501">
        <f t="shared" si="26"/>
        <v>2022</v>
      </c>
    </row>
    <row r="1502" spans="1:3" x14ac:dyDescent="0.2">
      <c r="A1502" s="3">
        <v>44575</v>
      </c>
      <c r="B1502">
        <v>74.568600000000004</v>
      </c>
      <c r="C1502">
        <f t="shared" si="26"/>
        <v>2022</v>
      </c>
    </row>
    <row r="1503" spans="1:3" x14ac:dyDescent="0.2">
      <c r="A1503" s="3">
        <v>44574</v>
      </c>
      <c r="B1503">
        <v>74.527699999999996</v>
      </c>
      <c r="C1503">
        <f t="shared" si="26"/>
        <v>2022</v>
      </c>
    </row>
    <row r="1504" spans="1:3" x14ac:dyDescent="0.2">
      <c r="A1504" s="3">
        <v>44573</v>
      </c>
      <c r="B1504">
        <v>74.835499999999996</v>
      </c>
      <c r="C1504">
        <f t="shared" si="26"/>
        <v>2022</v>
      </c>
    </row>
    <row r="1505" spans="1:3" x14ac:dyDescent="0.2">
      <c r="A1505" s="3">
        <v>44572</v>
      </c>
      <c r="B1505">
        <v>75.131500000000003</v>
      </c>
      <c r="C1505">
        <f t="shared" si="26"/>
        <v>2022</v>
      </c>
    </row>
    <row r="1506" spans="1:3" x14ac:dyDescent="0.2">
      <c r="A1506" s="3">
        <v>44571</v>
      </c>
      <c r="B1506">
        <v>75.023799999999994</v>
      </c>
      <c r="C1506">
        <f t="shared" si="26"/>
        <v>2022</v>
      </c>
    </row>
    <row r="1507" spans="1:3" x14ac:dyDescent="0.2">
      <c r="A1507" s="3">
        <v>44567</v>
      </c>
      <c r="B1507">
        <v>76.318100000000001</v>
      </c>
      <c r="C1507">
        <f t="shared" si="26"/>
        <v>2022</v>
      </c>
    </row>
    <row r="1508" spans="1:3" x14ac:dyDescent="0.2">
      <c r="A1508" s="3">
        <v>44566</v>
      </c>
      <c r="B1508">
        <v>76.806700000000006</v>
      </c>
      <c r="C1508">
        <f t="shared" si="26"/>
        <v>2022</v>
      </c>
    </row>
    <row r="1509" spans="1:3" x14ac:dyDescent="0.2">
      <c r="A1509" s="3">
        <v>44565</v>
      </c>
      <c r="B1509">
        <v>75.372600000000006</v>
      </c>
      <c r="C1509">
        <f t="shared" si="26"/>
        <v>2022</v>
      </c>
    </row>
    <row r="1510" spans="1:3" x14ac:dyDescent="0.2">
      <c r="A1510" s="3">
        <v>44564</v>
      </c>
      <c r="B1510">
        <v>74.548000000000002</v>
      </c>
      <c r="C1510">
        <f t="shared" si="26"/>
        <v>2022</v>
      </c>
    </row>
    <row r="1511" spans="1:3" x14ac:dyDescent="0.2">
      <c r="A1511" s="3">
        <v>44560</v>
      </c>
      <c r="B1511">
        <v>74.678799999999995</v>
      </c>
      <c r="C1511">
        <f t="shared" si="26"/>
        <v>2021</v>
      </c>
    </row>
    <row r="1512" spans="1:3" x14ac:dyDescent="0.2">
      <c r="A1512" s="3">
        <v>44559</v>
      </c>
      <c r="B1512">
        <v>74.016800000000003</v>
      </c>
      <c r="C1512">
        <f t="shared" si="26"/>
        <v>2021</v>
      </c>
    </row>
    <row r="1513" spans="1:3" x14ac:dyDescent="0.2">
      <c r="A1513" s="3">
        <v>44558</v>
      </c>
      <c r="B1513">
        <v>73.747</v>
      </c>
      <c r="C1513">
        <f t="shared" si="26"/>
        <v>2021</v>
      </c>
    </row>
    <row r="1514" spans="1:3" x14ac:dyDescent="0.2">
      <c r="A1514" s="3">
        <v>44557</v>
      </c>
      <c r="B1514">
        <v>73.453900000000004</v>
      </c>
      <c r="C1514">
        <f t="shared" si="26"/>
        <v>2021</v>
      </c>
    </row>
    <row r="1515" spans="1:3" x14ac:dyDescent="0.2">
      <c r="A1515" s="3">
        <v>44554</v>
      </c>
      <c r="B1515">
        <v>73.664000000000001</v>
      </c>
      <c r="C1515">
        <f t="shared" si="26"/>
        <v>2021</v>
      </c>
    </row>
    <row r="1516" spans="1:3" x14ac:dyDescent="0.2">
      <c r="A1516" s="3">
        <v>44553</v>
      </c>
      <c r="B1516">
        <v>73.314499999999995</v>
      </c>
      <c r="C1516">
        <f t="shared" si="26"/>
        <v>2021</v>
      </c>
    </row>
    <row r="1517" spans="1:3" x14ac:dyDescent="0.2">
      <c r="A1517" s="3">
        <v>44552</v>
      </c>
      <c r="B1517">
        <v>73.771900000000002</v>
      </c>
      <c r="C1517">
        <f t="shared" si="26"/>
        <v>2021</v>
      </c>
    </row>
    <row r="1518" spans="1:3" x14ac:dyDescent="0.2">
      <c r="A1518" s="3">
        <v>44551</v>
      </c>
      <c r="B1518">
        <v>74.009600000000006</v>
      </c>
      <c r="C1518">
        <f t="shared" si="26"/>
        <v>2021</v>
      </c>
    </row>
    <row r="1519" spans="1:3" x14ac:dyDescent="0.2">
      <c r="A1519" s="3">
        <v>44550</v>
      </c>
      <c r="B1519">
        <v>74.178399999999996</v>
      </c>
      <c r="C1519">
        <f t="shared" si="26"/>
        <v>2021</v>
      </c>
    </row>
    <row r="1520" spans="1:3" x14ac:dyDescent="0.2">
      <c r="A1520" s="3">
        <v>44547</v>
      </c>
      <c r="B1520">
        <v>74.152100000000004</v>
      </c>
      <c r="C1520">
        <f t="shared" si="26"/>
        <v>2021</v>
      </c>
    </row>
    <row r="1521" spans="1:3" x14ac:dyDescent="0.2">
      <c r="A1521" s="3">
        <v>44546</v>
      </c>
      <c r="B1521">
        <v>73.768500000000003</v>
      </c>
      <c r="C1521">
        <f t="shared" si="26"/>
        <v>2021</v>
      </c>
    </row>
    <row r="1522" spans="1:3" x14ac:dyDescent="0.2">
      <c r="A1522" s="3">
        <v>44545</v>
      </c>
      <c r="B1522">
        <v>73.6995</v>
      </c>
      <c r="C1522">
        <f t="shared" si="26"/>
        <v>2021</v>
      </c>
    </row>
    <row r="1523" spans="1:3" x14ac:dyDescent="0.2">
      <c r="A1523" s="3">
        <v>44544</v>
      </c>
      <c r="B1523">
        <v>73.792100000000005</v>
      </c>
      <c r="C1523">
        <f t="shared" si="26"/>
        <v>2021</v>
      </c>
    </row>
    <row r="1524" spans="1:3" x14ac:dyDescent="0.2">
      <c r="A1524" s="3">
        <v>44543</v>
      </c>
      <c r="B1524">
        <v>73.530500000000004</v>
      </c>
      <c r="C1524">
        <f t="shared" si="26"/>
        <v>2021</v>
      </c>
    </row>
    <row r="1525" spans="1:3" x14ac:dyDescent="0.2">
      <c r="A1525" s="3">
        <v>44540</v>
      </c>
      <c r="B1525">
        <v>73.372299999999996</v>
      </c>
      <c r="C1525">
        <f t="shared" si="26"/>
        <v>2021</v>
      </c>
    </row>
    <row r="1526" spans="1:3" x14ac:dyDescent="0.2">
      <c r="A1526" s="3">
        <v>44539</v>
      </c>
      <c r="B1526">
        <v>73.731700000000004</v>
      </c>
      <c r="C1526">
        <f t="shared" si="26"/>
        <v>2021</v>
      </c>
    </row>
    <row r="1527" spans="1:3" x14ac:dyDescent="0.2">
      <c r="A1527" s="3">
        <v>44538</v>
      </c>
      <c r="B1527">
        <v>73.597899999999996</v>
      </c>
      <c r="C1527">
        <f t="shared" si="26"/>
        <v>2021</v>
      </c>
    </row>
    <row r="1528" spans="1:3" x14ac:dyDescent="0.2">
      <c r="A1528" s="3">
        <v>44537</v>
      </c>
      <c r="B1528">
        <v>74.066800000000001</v>
      </c>
      <c r="C1528">
        <f t="shared" si="26"/>
        <v>2021</v>
      </c>
    </row>
    <row r="1529" spans="1:3" x14ac:dyDescent="0.2">
      <c r="A1529" s="3">
        <v>44536</v>
      </c>
      <c r="B1529">
        <v>74.379499999999993</v>
      </c>
      <c r="C1529">
        <f t="shared" si="26"/>
        <v>2021</v>
      </c>
    </row>
    <row r="1530" spans="1:3" x14ac:dyDescent="0.2">
      <c r="A1530" s="3">
        <v>44533</v>
      </c>
      <c r="B1530">
        <v>73.888900000000007</v>
      </c>
      <c r="C1530">
        <f t="shared" si="26"/>
        <v>2021</v>
      </c>
    </row>
    <row r="1531" spans="1:3" x14ac:dyDescent="0.2">
      <c r="A1531" s="3">
        <v>44532</v>
      </c>
      <c r="B1531">
        <v>73.662000000000006</v>
      </c>
      <c r="C1531">
        <f t="shared" si="26"/>
        <v>2021</v>
      </c>
    </row>
    <row r="1532" spans="1:3" x14ac:dyDescent="0.2">
      <c r="A1532" s="3">
        <v>44531</v>
      </c>
      <c r="B1532">
        <v>74.265000000000001</v>
      </c>
      <c r="C1532">
        <f t="shared" si="26"/>
        <v>2021</v>
      </c>
    </row>
    <row r="1533" spans="1:3" x14ac:dyDescent="0.2">
      <c r="A1533" s="3">
        <v>44530</v>
      </c>
      <c r="B1533">
        <v>74.079499999999996</v>
      </c>
      <c r="C1533">
        <f t="shared" si="26"/>
        <v>2021</v>
      </c>
    </row>
    <row r="1534" spans="1:3" x14ac:dyDescent="0.2">
      <c r="A1534" s="3">
        <v>44529</v>
      </c>
      <c r="B1534">
        <v>74.597999999999999</v>
      </c>
      <c r="C1534">
        <f t="shared" si="26"/>
        <v>2021</v>
      </c>
    </row>
    <row r="1535" spans="1:3" x14ac:dyDescent="0.2">
      <c r="A1535" s="3">
        <v>44526</v>
      </c>
      <c r="B1535">
        <v>75.608999999999995</v>
      </c>
      <c r="C1535">
        <f t="shared" si="26"/>
        <v>2021</v>
      </c>
    </row>
    <row r="1536" spans="1:3" x14ac:dyDescent="0.2">
      <c r="A1536" s="3">
        <v>44525</v>
      </c>
      <c r="B1536">
        <v>74.6905</v>
      </c>
      <c r="C1536">
        <f t="shared" si="26"/>
        <v>2021</v>
      </c>
    </row>
    <row r="1537" spans="1:3" x14ac:dyDescent="0.2">
      <c r="A1537" s="3">
        <v>44524</v>
      </c>
      <c r="B1537">
        <v>74.986500000000007</v>
      </c>
      <c r="C1537">
        <f t="shared" si="26"/>
        <v>2021</v>
      </c>
    </row>
    <row r="1538" spans="1:3" x14ac:dyDescent="0.2">
      <c r="A1538" s="3">
        <v>44523</v>
      </c>
      <c r="B1538">
        <v>74.3005</v>
      </c>
      <c r="C1538">
        <f t="shared" si="26"/>
        <v>2021</v>
      </c>
    </row>
    <row r="1539" spans="1:3" x14ac:dyDescent="0.2">
      <c r="A1539" s="3">
        <v>44522</v>
      </c>
      <c r="B1539">
        <v>74.838399999999993</v>
      </c>
      <c r="C1539">
        <f t="shared" si="26"/>
        <v>2021</v>
      </c>
    </row>
    <row r="1540" spans="1:3" x14ac:dyDescent="0.2">
      <c r="A1540" s="3">
        <v>44519</v>
      </c>
      <c r="B1540">
        <v>73.480999999999995</v>
      </c>
      <c r="C1540">
        <f t="shared" ref="C1540:C1603" si="27">YEAR(A1540)</f>
        <v>2021</v>
      </c>
    </row>
    <row r="1541" spans="1:3" x14ac:dyDescent="0.2">
      <c r="A1541" s="3">
        <v>44518</v>
      </c>
      <c r="B1541">
        <v>73.101299999999995</v>
      </c>
      <c r="C1541">
        <f t="shared" si="27"/>
        <v>2021</v>
      </c>
    </row>
    <row r="1542" spans="1:3" x14ac:dyDescent="0.2">
      <c r="A1542" s="3">
        <v>44517</v>
      </c>
      <c r="B1542">
        <v>72.557900000000004</v>
      </c>
      <c r="C1542">
        <f t="shared" si="27"/>
        <v>2021</v>
      </c>
    </row>
    <row r="1543" spans="1:3" x14ac:dyDescent="0.2">
      <c r="A1543" s="3">
        <v>44516</v>
      </c>
      <c r="B1543">
        <v>73.132800000000003</v>
      </c>
      <c r="C1543">
        <f t="shared" si="27"/>
        <v>2021</v>
      </c>
    </row>
    <row r="1544" spans="1:3" x14ac:dyDescent="0.2">
      <c r="A1544" s="3">
        <v>44515</v>
      </c>
      <c r="B1544">
        <v>72.55</v>
      </c>
      <c r="C1544">
        <f t="shared" si="27"/>
        <v>2021</v>
      </c>
    </row>
    <row r="1545" spans="1:3" x14ac:dyDescent="0.2">
      <c r="A1545" s="3">
        <v>44512</v>
      </c>
      <c r="B1545">
        <v>72.908699999999996</v>
      </c>
      <c r="C1545">
        <f t="shared" si="27"/>
        <v>2021</v>
      </c>
    </row>
    <row r="1546" spans="1:3" x14ac:dyDescent="0.2">
      <c r="A1546" s="3">
        <v>44511</v>
      </c>
      <c r="B1546">
        <v>71.627200000000002</v>
      </c>
      <c r="C1546">
        <f t="shared" si="27"/>
        <v>2021</v>
      </c>
    </row>
    <row r="1547" spans="1:3" x14ac:dyDescent="0.2">
      <c r="A1547" s="3">
        <v>44510</v>
      </c>
      <c r="B1547">
        <v>71.304599999999994</v>
      </c>
      <c r="C1547">
        <f t="shared" si="27"/>
        <v>2021</v>
      </c>
    </row>
    <row r="1548" spans="1:3" x14ac:dyDescent="0.2">
      <c r="A1548" s="3">
        <v>44509</v>
      </c>
      <c r="B1548">
        <v>70.740300000000005</v>
      </c>
      <c r="C1548">
        <f t="shared" si="27"/>
        <v>2021</v>
      </c>
    </row>
    <row r="1549" spans="1:3" x14ac:dyDescent="0.2">
      <c r="A1549" s="3">
        <v>44508</v>
      </c>
      <c r="B1549">
        <v>71.236400000000003</v>
      </c>
      <c r="C1549">
        <f t="shared" si="27"/>
        <v>2021</v>
      </c>
    </row>
    <row r="1550" spans="1:3" x14ac:dyDescent="0.2">
      <c r="A1550" s="3">
        <v>44505</v>
      </c>
      <c r="B1550">
        <v>71.2684</v>
      </c>
      <c r="C1550">
        <f t="shared" si="27"/>
        <v>2021</v>
      </c>
    </row>
    <row r="1551" spans="1:3" x14ac:dyDescent="0.2">
      <c r="A1551" s="3">
        <v>44503</v>
      </c>
      <c r="B1551">
        <v>71.764600000000002</v>
      </c>
      <c r="C1551">
        <f t="shared" si="27"/>
        <v>2021</v>
      </c>
    </row>
    <row r="1552" spans="1:3" x14ac:dyDescent="0.2">
      <c r="A1552" s="3">
        <v>44502</v>
      </c>
      <c r="B1552">
        <v>71.558700000000002</v>
      </c>
      <c r="C1552">
        <f t="shared" si="27"/>
        <v>2021</v>
      </c>
    </row>
    <row r="1553" spans="1:3" x14ac:dyDescent="0.2">
      <c r="A1553" s="3">
        <v>44501</v>
      </c>
      <c r="B1553">
        <v>71.5655</v>
      </c>
      <c r="C1553">
        <f t="shared" si="27"/>
        <v>2021</v>
      </c>
    </row>
    <row r="1554" spans="1:3" x14ac:dyDescent="0.2">
      <c r="A1554" s="3">
        <v>44498</v>
      </c>
      <c r="B1554">
        <v>70.937700000000007</v>
      </c>
      <c r="C1554">
        <f t="shared" si="27"/>
        <v>2021</v>
      </c>
    </row>
    <row r="1555" spans="1:3" x14ac:dyDescent="0.2">
      <c r="A1555" s="3">
        <v>44497</v>
      </c>
      <c r="B1555">
        <v>70.237200000000001</v>
      </c>
      <c r="C1555">
        <f t="shared" si="27"/>
        <v>2021</v>
      </c>
    </row>
    <row r="1556" spans="1:3" x14ac:dyDescent="0.2">
      <c r="A1556" s="3">
        <v>44496</v>
      </c>
      <c r="B1556">
        <v>70.632000000000005</v>
      </c>
      <c r="C1556">
        <f t="shared" si="27"/>
        <v>2021</v>
      </c>
    </row>
    <row r="1557" spans="1:3" x14ac:dyDescent="0.2">
      <c r="A1557" s="3">
        <v>44495</v>
      </c>
      <c r="B1557">
        <v>69.554500000000004</v>
      </c>
      <c r="C1557">
        <f t="shared" si="27"/>
        <v>2021</v>
      </c>
    </row>
    <row r="1558" spans="1:3" x14ac:dyDescent="0.2">
      <c r="A1558" s="3">
        <v>44494</v>
      </c>
      <c r="B1558">
        <v>69.754999999999995</v>
      </c>
      <c r="C1558">
        <f t="shared" si="27"/>
        <v>2021</v>
      </c>
    </row>
    <row r="1559" spans="1:3" x14ac:dyDescent="0.2">
      <c r="A1559" s="3">
        <v>44491</v>
      </c>
      <c r="B1559">
        <v>70.319299999999998</v>
      </c>
      <c r="C1559">
        <f t="shared" si="27"/>
        <v>2021</v>
      </c>
    </row>
    <row r="1560" spans="1:3" x14ac:dyDescent="0.2">
      <c r="A1560" s="3">
        <v>44490</v>
      </c>
      <c r="B1560">
        <v>71.106999999999999</v>
      </c>
      <c r="C1560">
        <f t="shared" si="27"/>
        <v>2021</v>
      </c>
    </row>
    <row r="1561" spans="1:3" x14ac:dyDescent="0.2">
      <c r="A1561" s="3">
        <v>44489</v>
      </c>
      <c r="B1561">
        <v>70.840500000000006</v>
      </c>
      <c r="C1561">
        <f t="shared" si="27"/>
        <v>2021</v>
      </c>
    </row>
    <row r="1562" spans="1:3" x14ac:dyDescent="0.2">
      <c r="A1562" s="3">
        <v>44488</v>
      </c>
      <c r="B1562">
        <v>70.882800000000003</v>
      </c>
      <c r="C1562">
        <f t="shared" si="27"/>
        <v>2021</v>
      </c>
    </row>
    <row r="1563" spans="1:3" x14ac:dyDescent="0.2">
      <c r="A1563" s="3">
        <v>44487</v>
      </c>
      <c r="B1563">
        <v>71.301000000000002</v>
      </c>
      <c r="C1563">
        <f t="shared" si="27"/>
        <v>2021</v>
      </c>
    </row>
    <row r="1564" spans="1:3" x14ac:dyDescent="0.2">
      <c r="A1564" s="3">
        <v>44484</v>
      </c>
      <c r="B1564">
        <v>71.031199999999998</v>
      </c>
      <c r="C1564">
        <f t="shared" si="27"/>
        <v>2021</v>
      </c>
    </row>
    <row r="1565" spans="1:3" x14ac:dyDescent="0.2">
      <c r="A1565" s="3">
        <v>44483</v>
      </c>
      <c r="B1565">
        <v>71.361599999999996</v>
      </c>
      <c r="C1565">
        <f t="shared" si="27"/>
        <v>2021</v>
      </c>
    </row>
    <row r="1566" spans="1:3" x14ac:dyDescent="0.2">
      <c r="A1566" s="3">
        <v>44482</v>
      </c>
      <c r="B1566">
        <v>72.002700000000004</v>
      </c>
      <c r="C1566">
        <f t="shared" si="27"/>
        <v>2021</v>
      </c>
    </row>
    <row r="1567" spans="1:3" x14ac:dyDescent="0.2">
      <c r="A1567" s="3">
        <v>44481</v>
      </c>
      <c r="B1567">
        <v>71.867599999999996</v>
      </c>
      <c r="C1567">
        <f t="shared" si="27"/>
        <v>2021</v>
      </c>
    </row>
    <row r="1568" spans="1:3" x14ac:dyDescent="0.2">
      <c r="A1568" s="3">
        <v>44480</v>
      </c>
      <c r="B1568">
        <v>71.881900000000002</v>
      </c>
      <c r="C1568">
        <f t="shared" si="27"/>
        <v>2021</v>
      </c>
    </row>
    <row r="1569" spans="1:3" x14ac:dyDescent="0.2">
      <c r="A1569" s="3">
        <v>44477</v>
      </c>
      <c r="B1569">
        <v>71.876400000000004</v>
      </c>
      <c r="C1569">
        <f t="shared" si="27"/>
        <v>2021</v>
      </c>
    </row>
    <row r="1570" spans="1:3" x14ac:dyDescent="0.2">
      <c r="A1570" s="3">
        <v>44476</v>
      </c>
      <c r="B1570">
        <v>71.7012</v>
      </c>
      <c r="C1570">
        <f t="shared" si="27"/>
        <v>2021</v>
      </c>
    </row>
    <row r="1571" spans="1:3" x14ac:dyDescent="0.2">
      <c r="A1571" s="3">
        <v>44475</v>
      </c>
      <c r="B1571">
        <v>72.412199999999999</v>
      </c>
      <c r="C1571">
        <f t="shared" si="27"/>
        <v>2021</v>
      </c>
    </row>
    <row r="1572" spans="1:3" x14ac:dyDescent="0.2">
      <c r="A1572" s="3">
        <v>44474</v>
      </c>
      <c r="B1572">
        <v>72.355400000000003</v>
      </c>
      <c r="C1572">
        <f t="shared" si="27"/>
        <v>2021</v>
      </c>
    </row>
    <row r="1573" spans="1:3" x14ac:dyDescent="0.2">
      <c r="A1573" s="3">
        <v>44473</v>
      </c>
      <c r="B1573">
        <v>72.485600000000005</v>
      </c>
      <c r="C1573">
        <f t="shared" si="27"/>
        <v>2021</v>
      </c>
    </row>
    <row r="1574" spans="1:3" x14ac:dyDescent="0.2">
      <c r="A1574" s="3">
        <v>44470</v>
      </c>
      <c r="B1574">
        <v>72.743399999999994</v>
      </c>
      <c r="C1574">
        <f t="shared" si="27"/>
        <v>2021</v>
      </c>
    </row>
    <row r="1575" spans="1:3" x14ac:dyDescent="0.2">
      <c r="A1575" s="3">
        <v>44469</v>
      </c>
      <c r="B1575">
        <v>72.7517</v>
      </c>
      <c r="C1575">
        <f t="shared" si="27"/>
        <v>2021</v>
      </c>
    </row>
    <row r="1576" spans="1:3" x14ac:dyDescent="0.2">
      <c r="A1576" s="3">
        <v>44468</v>
      </c>
      <c r="B1576">
        <v>72.855000000000004</v>
      </c>
      <c r="C1576">
        <f t="shared" si="27"/>
        <v>2021</v>
      </c>
    </row>
    <row r="1577" spans="1:3" x14ac:dyDescent="0.2">
      <c r="A1577" s="3">
        <v>44467</v>
      </c>
      <c r="B1577">
        <v>72.778300000000002</v>
      </c>
      <c r="C1577">
        <f t="shared" si="27"/>
        <v>2021</v>
      </c>
    </row>
    <row r="1578" spans="1:3" x14ac:dyDescent="0.2">
      <c r="A1578" s="3">
        <v>44466</v>
      </c>
      <c r="B1578">
        <v>72.555400000000006</v>
      </c>
      <c r="C1578">
        <f t="shared" si="27"/>
        <v>2021</v>
      </c>
    </row>
    <row r="1579" spans="1:3" x14ac:dyDescent="0.2">
      <c r="A1579" s="3">
        <v>44463</v>
      </c>
      <c r="B1579">
        <v>72.746700000000004</v>
      </c>
      <c r="C1579">
        <f t="shared" si="27"/>
        <v>2021</v>
      </c>
    </row>
    <row r="1580" spans="1:3" x14ac:dyDescent="0.2">
      <c r="A1580" s="3">
        <v>44462</v>
      </c>
      <c r="B1580">
        <v>72.823400000000007</v>
      </c>
      <c r="C1580">
        <f t="shared" si="27"/>
        <v>2021</v>
      </c>
    </row>
    <row r="1581" spans="1:3" x14ac:dyDescent="0.2">
      <c r="A1581" s="3">
        <v>44461</v>
      </c>
      <c r="B1581">
        <v>73.041200000000003</v>
      </c>
      <c r="C1581">
        <f t="shared" si="27"/>
        <v>2021</v>
      </c>
    </row>
    <row r="1582" spans="1:3" x14ac:dyDescent="0.2">
      <c r="A1582" s="3">
        <v>44460</v>
      </c>
      <c r="B1582">
        <v>73.097300000000004</v>
      </c>
      <c r="C1582">
        <f t="shared" si="27"/>
        <v>2021</v>
      </c>
    </row>
    <row r="1583" spans="1:3" x14ac:dyDescent="0.2">
      <c r="A1583" s="3">
        <v>44459</v>
      </c>
      <c r="B1583">
        <v>73.450100000000006</v>
      </c>
      <c r="C1583">
        <f t="shared" si="27"/>
        <v>2021</v>
      </c>
    </row>
    <row r="1584" spans="1:3" x14ac:dyDescent="0.2">
      <c r="A1584" s="3">
        <v>44456</v>
      </c>
      <c r="B1584">
        <v>72.879199999999997</v>
      </c>
      <c r="C1584">
        <f t="shared" si="27"/>
        <v>2021</v>
      </c>
    </row>
    <row r="1585" spans="1:3" x14ac:dyDescent="0.2">
      <c r="A1585" s="3">
        <v>44455</v>
      </c>
      <c r="B1585">
        <v>72.541300000000007</v>
      </c>
      <c r="C1585">
        <f t="shared" si="27"/>
        <v>2021</v>
      </c>
    </row>
    <row r="1586" spans="1:3" x14ac:dyDescent="0.2">
      <c r="A1586" s="3">
        <v>44454</v>
      </c>
      <c r="B1586">
        <v>72.280600000000007</v>
      </c>
      <c r="C1586">
        <f t="shared" si="27"/>
        <v>2021</v>
      </c>
    </row>
    <row r="1587" spans="1:3" x14ac:dyDescent="0.2">
      <c r="A1587" s="3">
        <v>44453</v>
      </c>
      <c r="B1587">
        <v>72.919499999999999</v>
      </c>
      <c r="C1587">
        <f t="shared" si="27"/>
        <v>2021</v>
      </c>
    </row>
    <row r="1588" spans="1:3" x14ac:dyDescent="0.2">
      <c r="A1588" s="3">
        <v>44452</v>
      </c>
      <c r="B1588">
        <v>72.641599999999997</v>
      </c>
      <c r="C1588">
        <f t="shared" si="27"/>
        <v>2021</v>
      </c>
    </row>
    <row r="1589" spans="1:3" x14ac:dyDescent="0.2">
      <c r="A1589" s="3">
        <v>44449</v>
      </c>
      <c r="B1589">
        <v>73.1965</v>
      </c>
      <c r="C1589">
        <f t="shared" si="27"/>
        <v>2021</v>
      </c>
    </row>
    <row r="1590" spans="1:3" x14ac:dyDescent="0.2">
      <c r="A1590" s="3">
        <v>44448</v>
      </c>
      <c r="B1590">
        <v>72.992900000000006</v>
      </c>
      <c r="C1590">
        <f t="shared" si="27"/>
        <v>2021</v>
      </c>
    </row>
    <row r="1591" spans="1:3" x14ac:dyDescent="0.2">
      <c r="A1591" s="3">
        <v>44447</v>
      </c>
      <c r="B1591">
        <v>73.141499999999994</v>
      </c>
      <c r="C1591">
        <f t="shared" si="27"/>
        <v>2021</v>
      </c>
    </row>
    <row r="1592" spans="1:3" x14ac:dyDescent="0.2">
      <c r="A1592" s="3">
        <v>44446</v>
      </c>
      <c r="B1592">
        <v>73.293499999999995</v>
      </c>
      <c r="C1592">
        <f t="shared" si="27"/>
        <v>2021</v>
      </c>
    </row>
    <row r="1593" spans="1:3" x14ac:dyDescent="0.2">
      <c r="A1593" s="3">
        <v>44445</v>
      </c>
      <c r="B1593">
        <v>73.002399999999994</v>
      </c>
      <c r="C1593">
        <f t="shared" si="27"/>
        <v>2021</v>
      </c>
    </row>
    <row r="1594" spans="1:3" x14ac:dyDescent="0.2">
      <c r="A1594" s="3">
        <v>44442</v>
      </c>
      <c r="B1594">
        <v>72.732399999999998</v>
      </c>
      <c r="C1594">
        <f t="shared" si="27"/>
        <v>2021</v>
      </c>
    </row>
    <row r="1595" spans="1:3" x14ac:dyDescent="0.2">
      <c r="A1595" s="3">
        <v>44441</v>
      </c>
      <c r="B1595">
        <v>72.888300000000001</v>
      </c>
      <c r="C1595">
        <f t="shared" si="27"/>
        <v>2021</v>
      </c>
    </row>
    <row r="1596" spans="1:3" x14ac:dyDescent="0.2">
      <c r="A1596" s="3">
        <v>44440</v>
      </c>
      <c r="B1596">
        <v>72.977800000000002</v>
      </c>
      <c r="C1596">
        <f t="shared" si="27"/>
        <v>2021</v>
      </c>
    </row>
    <row r="1597" spans="1:3" x14ac:dyDescent="0.2">
      <c r="A1597" s="3">
        <v>44439</v>
      </c>
      <c r="B1597">
        <v>73.239900000000006</v>
      </c>
      <c r="C1597">
        <f t="shared" si="27"/>
        <v>2021</v>
      </c>
    </row>
    <row r="1598" spans="1:3" x14ac:dyDescent="0.2">
      <c r="A1598" s="3">
        <v>44438</v>
      </c>
      <c r="B1598">
        <v>73.514600000000002</v>
      </c>
      <c r="C1598">
        <f t="shared" si="27"/>
        <v>2021</v>
      </c>
    </row>
    <row r="1599" spans="1:3" x14ac:dyDescent="0.2">
      <c r="A1599" s="3">
        <v>44435</v>
      </c>
      <c r="B1599">
        <v>73.543400000000005</v>
      </c>
      <c r="C1599">
        <f t="shared" si="27"/>
        <v>2021</v>
      </c>
    </row>
    <row r="1600" spans="1:3" x14ac:dyDescent="0.2">
      <c r="A1600" s="3">
        <v>44434</v>
      </c>
      <c r="B1600">
        <v>74.253900000000002</v>
      </c>
      <c r="C1600">
        <f t="shared" si="27"/>
        <v>2021</v>
      </c>
    </row>
    <row r="1601" spans="1:3" x14ac:dyDescent="0.2">
      <c r="A1601" s="3">
        <v>44433</v>
      </c>
      <c r="B1601">
        <v>73.948999999999998</v>
      </c>
      <c r="C1601">
        <f t="shared" si="27"/>
        <v>2021</v>
      </c>
    </row>
    <row r="1602" spans="1:3" x14ac:dyDescent="0.2">
      <c r="A1602" s="3">
        <v>44432</v>
      </c>
      <c r="B1602">
        <v>73.733699999999999</v>
      </c>
      <c r="C1602">
        <f t="shared" si="27"/>
        <v>2021</v>
      </c>
    </row>
    <row r="1603" spans="1:3" x14ac:dyDescent="0.2">
      <c r="A1603" s="3">
        <v>44431</v>
      </c>
      <c r="B1603">
        <v>74.149000000000001</v>
      </c>
      <c r="C1603">
        <f t="shared" si="27"/>
        <v>2021</v>
      </c>
    </row>
    <row r="1604" spans="1:3" x14ac:dyDescent="0.2">
      <c r="A1604" s="3">
        <v>44428</v>
      </c>
      <c r="B1604">
        <v>74.271699999999996</v>
      </c>
      <c r="C1604">
        <f t="shared" ref="C1604:C1667" si="28">YEAR(A1604)</f>
        <v>2021</v>
      </c>
    </row>
    <row r="1605" spans="1:3" x14ac:dyDescent="0.2">
      <c r="A1605" s="3">
        <v>44427</v>
      </c>
      <c r="B1605">
        <v>74.193600000000004</v>
      </c>
      <c r="C1605">
        <f t="shared" si="28"/>
        <v>2021</v>
      </c>
    </row>
    <row r="1606" spans="1:3" x14ac:dyDescent="0.2">
      <c r="A1606" s="3">
        <v>44426</v>
      </c>
      <c r="B1606">
        <v>73.833299999999994</v>
      </c>
      <c r="C1606">
        <f t="shared" si="28"/>
        <v>2021</v>
      </c>
    </row>
    <row r="1607" spans="1:3" x14ac:dyDescent="0.2">
      <c r="A1607" s="3">
        <v>44425</v>
      </c>
      <c r="B1607">
        <v>73.594999999999999</v>
      </c>
      <c r="C1607">
        <f t="shared" si="28"/>
        <v>2021</v>
      </c>
    </row>
    <row r="1608" spans="1:3" x14ac:dyDescent="0.2">
      <c r="A1608" s="3">
        <v>44424</v>
      </c>
      <c r="B1608">
        <v>73.248000000000005</v>
      </c>
      <c r="C1608">
        <f t="shared" si="28"/>
        <v>2021</v>
      </c>
    </row>
    <row r="1609" spans="1:3" x14ac:dyDescent="0.2">
      <c r="A1609" s="3">
        <v>44421</v>
      </c>
      <c r="B1609">
        <v>73.227000000000004</v>
      </c>
      <c r="C1609">
        <f t="shared" si="28"/>
        <v>2021</v>
      </c>
    </row>
    <row r="1610" spans="1:3" x14ac:dyDescent="0.2">
      <c r="A1610" s="3">
        <v>44420</v>
      </c>
      <c r="B1610">
        <v>73.6083</v>
      </c>
      <c r="C1610">
        <f t="shared" si="28"/>
        <v>2021</v>
      </c>
    </row>
    <row r="1611" spans="1:3" x14ac:dyDescent="0.2">
      <c r="A1611" s="3">
        <v>44419</v>
      </c>
      <c r="B1611">
        <v>73.394000000000005</v>
      </c>
      <c r="C1611">
        <f t="shared" si="28"/>
        <v>2021</v>
      </c>
    </row>
    <row r="1612" spans="1:3" x14ac:dyDescent="0.2">
      <c r="A1612" s="3">
        <v>44418</v>
      </c>
      <c r="B1612">
        <v>73.9465</v>
      </c>
      <c r="C1612">
        <f t="shared" si="28"/>
        <v>2021</v>
      </c>
    </row>
    <row r="1613" spans="1:3" x14ac:dyDescent="0.2">
      <c r="A1613" s="3">
        <v>44417</v>
      </c>
      <c r="B1613">
        <v>73.685699999999997</v>
      </c>
      <c r="C1613">
        <f t="shared" si="28"/>
        <v>2021</v>
      </c>
    </row>
    <row r="1614" spans="1:3" x14ac:dyDescent="0.2">
      <c r="A1614" s="3">
        <v>44414</v>
      </c>
      <c r="B1614">
        <v>73.474000000000004</v>
      </c>
      <c r="C1614">
        <f t="shared" si="28"/>
        <v>2021</v>
      </c>
    </row>
    <row r="1615" spans="1:3" x14ac:dyDescent="0.2">
      <c r="A1615" s="3">
        <v>44413</v>
      </c>
      <c r="B1615">
        <v>73.103499999999997</v>
      </c>
      <c r="C1615">
        <f t="shared" si="28"/>
        <v>2021</v>
      </c>
    </row>
    <row r="1616" spans="1:3" x14ac:dyDescent="0.2">
      <c r="A1616" s="3">
        <v>44412</v>
      </c>
      <c r="B1616">
        <v>73.177499999999995</v>
      </c>
      <c r="C1616">
        <f t="shared" si="28"/>
        <v>2021</v>
      </c>
    </row>
    <row r="1617" spans="1:3" x14ac:dyDescent="0.2">
      <c r="A1617" s="3">
        <v>44411</v>
      </c>
      <c r="B1617">
        <v>72.961699999999993</v>
      </c>
      <c r="C1617">
        <f t="shared" si="28"/>
        <v>2021</v>
      </c>
    </row>
    <row r="1618" spans="1:3" x14ac:dyDescent="0.2">
      <c r="A1618" s="3">
        <v>44410</v>
      </c>
      <c r="B1618">
        <v>73.036100000000005</v>
      </c>
      <c r="C1618">
        <f t="shared" si="28"/>
        <v>2021</v>
      </c>
    </row>
    <row r="1619" spans="1:3" x14ac:dyDescent="0.2">
      <c r="A1619" s="3">
        <v>44407</v>
      </c>
      <c r="B1619">
        <v>73.146699999999996</v>
      </c>
      <c r="C1619">
        <f t="shared" si="28"/>
        <v>2021</v>
      </c>
    </row>
    <row r="1620" spans="1:3" x14ac:dyDescent="0.2">
      <c r="A1620" s="3">
        <v>44406</v>
      </c>
      <c r="B1620">
        <v>73.132599999999996</v>
      </c>
      <c r="C1620">
        <f t="shared" si="28"/>
        <v>2021</v>
      </c>
    </row>
    <row r="1621" spans="1:3" x14ac:dyDescent="0.2">
      <c r="A1621" s="3">
        <v>44405</v>
      </c>
      <c r="B1621">
        <v>73.491699999999994</v>
      </c>
      <c r="C1621">
        <f t="shared" si="28"/>
        <v>2021</v>
      </c>
    </row>
    <row r="1622" spans="1:3" x14ac:dyDescent="0.2">
      <c r="A1622" s="3">
        <v>44404</v>
      </c>
      <c r="B1622">
        <v>73.749499999999998</v>
      </c>
      <c r="C1622">
        <f t="shared" si="28"/>
        <v>2021</v>
      </c>
    </row>
    <row r="1623" spans="1:3" x14ac:dyDescent="0.2">
      <c r="A1623" s="3">
        <v>44403</v>
      </c>
      <c r="B1623">
        <v>73.661600000000007</v>
      </c>
      <c r="C1623">
        <f t="shared" si="28"/>
        <v>2021</v>
      </c>
    </row>
    <row r="1624" spans="1:3" x14ac:dyDescent="0.2">
      <c r="A1624" s="3">
        <v>44400</v>
      </c>
      <c r="B1624">
        <v>73.758300000000006</v>
      </c>
      <c r="C1624">
        <f t="shared" si="28"/>
        <v>2021</v>
      </c>
    </row>
    <row r="1625" spans="1:3" x14ac:dyDescent="0.2">
      <c r="A1625" s="3">
        <v>44399</v>
      </c>
      <c r="B1625">
        <v>73.689899999999994</v>
      </c>
      <c r="C1625">
        <f t="shared" si="28"/>
        <v>2021</v>
      </c>
    </row>
    <row r="1626" spans="1:3" x14ac:dyDescent="0.2">
      <c r="A1626" s="3">
        <v>44398</v>
      </c>
      <c r="B1626">
        <v>73.981999999999999</v>
      </c>
      <c r="C1626">
        <f t="shared" si="28"/>
        <v>2021</v>
      </c>
    </row>
    <row r="1627" spans="1:3" x14ac:dyDescent="0.2">
      <c r="A1627" s="3">
        <v>44397</v>
      </c>
      <c r="B1627">
        <v>74.357600000000005</v>
      </c>
      <c r="C1627">
        <f t="shared" si="28"/>
        <v>2021</v>
      </c>
    </row>
    <row r="1628" spans="1:3" x14ac:dyDescent="0.2">
      <c r="A1628" s="3">
        <v>44396</v>
      </c>
      <c r="B1628">
        <v>74.667599999999993</v>
      </c>
      <c r="C1628">
        <f t="shared" si="28"/>
        <v>2021</v>
      </c>
    </row>
    <row r="1629" spans="1:3" x14ac:dyDescent="0.2">
      <c r="A1629" s="3">
        <v>44393</v>
      </c>
      <c r="B1629">
        <v>74.083500000000001</v>
      </c>
      <c r="C1629">
        <f t="shared" si="28"/>
        <v>2021</v>
      </c>
    </row>
    <row r="1630" spans="1:3" x14ac:dyDescent="0.2">
      <c r="A1630" s="3">
        <v>44392</v>
      </c>
      <c r="B1630">
        <v>74.366500000000002</v>
      </c>
      <c r="C1630">
        <f t="shared" si="28"/>
        <v>2021</v>
      </c>
    </row>
    <row r="1631" spans="1:3" x14ac:dyDescent="0.2">
      <c r="A1631" s="3">
        <v>44391</v>
      </c>
      <c r="B1631">
        <v>74.083200000000005</v>
      </c>
      <c r="C1631">
        <f t="shared" si="28"/>
        <v>2021</v>
      </c>
    </row>
    <row r="1632" spans="1:3" x14ac:dyDescent="0.2">
      <c r="A1632" s="3">
        <v>44390</v>
      </c>
      <c r="B1632">
        <v>74.318600000000004</v>
      </c>
      <c r="C1632">
        <f t="shared" si="28"/>
        <v>2021</v>
      </c>
    </row>
    <row r="1633" spans="1:3" x14ac:dyDescent="0.2">
      <c r="A1633" s="3">
        <v>44389</v>
      </c>
      <c r="B1633">
        <v>74.441599999999994</v>
      </c>
      <c r="C1633">
        <f t="shared" si="28"/>
        <v>2021</v>
      </c>
    </row>
    <row r="1634" spans="1:3" x14ac:dyDescent="0.2">
      <c r="A1634" s="3">
        <v>44386</v>
      </c>
      <c r="B1634">
        <v>74.351799999999997</v>
      </c>
      <c r="C1634">
        <f t="shared" si="28"/>
        <v>2021</v>
      </c>
    </row>
    <row r="1635" spans="1:3" x14ac:dyDescent="0.2">
      <c r="A1635" s="3">
        <v>44385</v>
      </c>
      <c r="B1635">
        <v>74.764099999999999</v>
      </c>
      <c r="C1635">
        <f t="shared" si="28"/>
        <v>2021</v>
      </c>
    </row>
    <row r="1636" spans="1:3" x14ac:dyDescent="0.2">
      <c r="A1636" s="3">
        <v>44384</v>
      </c>
      <c r="B1636">
        <v>74.717799999999997</v>
      </c>
      <c r="C1636">
        <f t="shared" si="28"/>
        <v>2021</v>
      </c>
    </row>
    <row r="1637" spans="1:3" x14ac:dyDescent="0.2">
      <c r="A1637" s="3">
        <v>44383</v>
      </c>
      <c r="B1637">
        <v>74.458799999999997</v>
      </c>
      <c r="C1637">
        <f t="shared" si="28"/>
        <v>2021</v>
      </c>
    </row>
    <row r="1638" spans="1:3" x14ac:dyDescent="0.2">
      <c r="A1638" s="3">
        <v>44382</v>
      </c>
      <c r="B1638">
        <v>73.472800000000007</v>
      </c>
      <c r="C1638">
        <f t="shared" si="28"/>
        <v>2021</v>
      </c>
    </row>
    <row r="1639" spans="1:3" x14ac:dyDescent="0.2">
      <c r="A1639" s="3">
        <v>44379</v>
      </c>
      <c r="B1639">
        <v>73.261600000000001</v>
      </c>
      <c r="C1639">
        <f t="shared" si="28"/>
        <v>2021</v>
      </c>
    </row>
    <row r="1640" spans="1:3" x14ac:dyDescent="0.2">
      <c r="A1640" s="3">
        <v>44378</v>
      </c>
      <c r="B1640">
        <v>73.415599999999998</v>
      </c>
      <c r="C1640">
        <f t="shared" si="28"/>
        <v>2021</v>
      </c>
    </row>
    <row r="1641" spans="1:3" x14ac:dyDescent="0.2">
      <c r="A1641" s="3">
        <v>44377</v>
      </c>
      <c r="B1641">
        <v>73.147300000000001</v>
      </c>
      <c r="C1641">
        <f t="shared" si="28"/>
        <v>2021</v>
      </c>
    </row>
    <row r="1642" spans="1:3" x14ac:dyDescent="0.2">
      <c r="A1642" s="3">
        <v>44376</v>
      </c>
      <c r="B1642">
        <v>72.7714</v>
      </c>
      <c r="C1642">
        <f t="shared" si="28"/>
        <v>2021</v>
      </c>
    </row>
    <row r="1643" spans="1:3" x14ac:dyDescent="0.2">
      <c r="A1643" s="3">
        <v>44375</v>
      </c>
      <c r="B1643">
        <v>72.122399999999999</v>
      </c>
      <c r="C1643">
        <f t="shared" si="28"/>
        <v>2021</v>
      </c>
    </row>
    <row r="1644" spans="1:3" x14ac:dyDescent="0.2">
      <c r="A1644" s="3">
        <v>44372</v>
      </c>
      <c r="B1644">
        <v>72.220100000000002</v>
      </c>
      <c r="C1644">
        <f t="shared" si="28"/>
        <v>2021</v>
      </c>
    </row>
    <row r="1645" spans="1:3" x14ac:dyDescent="0.2">
      <c r="A1645" s="3">
        <v>44371</v>
      </c>
      <c r="B1645">
        <v>72.316800000000001</v>
      </c>
      <c r="C1645">
        <f t="shared" si="28"/>
        <v>2021</v>
      </c>
    </row>
    <row r="1646" spans="1:3" x14ac:dyDescent="0.2">
      <c r="A1646" s="3">
        <v>44370</v>
      </c>
      <c r="B1646">
        <v>72.607299999999995</v>
      </c>
      <c r="C1646">
        <f t="shared" si="28"/>
        <v>2021</v>
      </c>
    </row>
    <row r="1647" spans="1:3" x14ac:dyDescent="0.2">
      <c r="A1647" s="3">
        <v>44369</v>
      </c>
      <c r="B1647">
        <v>72.883399999999995</v>
      </c>
      <c r="C1647">
        <f t="shared" si="28"/>
        <v>2021</v>
      </c>
    </row>
    <row r="1648" spans="1:3" x14ac:dyDescent="0.2">
      <c r="A1648" s="3">
        <v>44368</v>
      </c>
      <c r="B1648">
        <v>73.156099999999995</v>
      </c>
      <c r="C1648">
        <f t="shared" si="28"/>
        <v>2021</v>
      </c>
    </row>
    <row r="1649" spans="1:3" x14ac:dyDescent="0.2">
      <c r="A1649" s="3">
        <v>44365</v>
      </c>
      <c r="B1649">
        <v>72.838999999999999</v>
      </c>
      <c r="C1649">
        <f t="shared" si="28"/>
        <v>2021</v>
      </c>
    </row>
    <row r="1650" spans="1:3" x14ac:dyDescent="0.2">
      <c r="A1650" s="3">
        <v>44364</v>
      </c>
      <c r="B1650">
        <v>72.334599999999995</v>
      </c>
      <c r="C1650">
        <f t="shared" si="28"/>
        <v>2021</v>
      </c>
    </row>
    <row r="1651" spans="1:3" x14ac:dyDescent="0.2">
      <c r="A1651" s="3">
        <v>44363</v>
      </c>
      <c r="B1651">
        <v>72.616500000000002</v>
      </c>
      <c r="C1651">
        <f t="shared" si="28"/>
        <v>2021</v>
      </c>
    </row>
    <row r="1652" spans="1:3" x14ac:dyDescent="0.2">
      <c r="A1652" s="3">
        <v>44362</v>
      </c>
      <c r="B1652">
        <v>72.1999</v>
      </c>
      <c r="C1652">
        <f t="shared" si="28"/>
        <v>2021</v>
      </c>
    </row>
    <row r="1653" spans="1:3" x14ac:dyDescent="0.2">
      <c r="A1653" s="3">
        <v>44361</v>
      </c>
      <c r="B1653">
        <v>72.100999999999999</v>
      </c>
      <c r="C1653">
        <f t="shared" si="28"/>
        <v>2021</v>
      </c>
    </row>
    <row r="1654" spans="1:3" x14ac:dyDescent="0.2">
      <c r="A1654" s="3">
        <v>44358</v>
      </c>
      <c r="B1654">
        <v>72.075599999999994</v>
      </c>
      <c r="C1654">
        <f t="shared" si="28"/>
        <v>2021</v>
      </c>
    </row>
    <row r="1655" spans="1:3" x14ac:dyDescent="0.2">
      <c r="A1655" s="3">
        <v>44357</v>
      </c>
      <c r="B1655">
        <v>71.778099999999995</v>
      </c>
      <c r="C1655">
        <f t="shared" si="28"/>
        <v>2021</v>
      </c>
    </row>
    <row r="1656" spans="1:3" x14ac:dyDescent="0.2">
      <c r="A1656" s="3">
        <v>44356</v>
      </c>
      <c r="B1656">
        <v>72.297899999999998</v>
      </c>
      <c r="C1656">
        <f t="shared" si="28"/>
        <v>2021</v>
      </c>
    </row>
    <row r="1657" spans="1:3" x14ac:dyDescent="0.2">
      <c r="A1657" s="3">
        <v>44355</v>
      </c>
      <c r="B1657">
        <v>72.293400000000005</v>
      </c>
      <c r="C1657">
        <f t="shared" si="28"/>
        <v>2021</v>
      </c>
    </row>
    <row r="1658" spans="1:3" x14ac:dyDescent="0.2">
      <c r="A1658" s="3">
        <v>44354</v>
      </c>
      <c r="B1658">
        <v>72.821899999999999</v>
      </c>
      <c r="C1658">
        <f t="shared" si="28"/>
        <v>2021</v>
      </c>
    </row>
    <row r="1659" spans="1:3" x14ac:dyDescent="0.2">
      <c r="A1659" s="3">
        <v>44351</v>
      </c>
      <c r="B1659">
        <v>72.778899999999993</v>
      </c>
      <c r="C1659">
        <f t="shared" si="28"/>
        <v>2021</v>
      </c>
    </row>
    <row r="1660" spans="1:3" x14ac:dyDescent="0.2">
      <c r="A1660" s="3">
        <v>44350</v>
      </c>
      <c r="B1660">
        <v>73.243499999999997</v>
      </c>
      <c r="C1660">
        <f t="shared" si="28"/>
        <v>2021</v>
      </c>
    </row>
    <row r="1661" spans="1:3" x14ac:dyDescent="0.2">
      <c r="A1661" s="3">
        <v>44349</v>
      </c>
      <c r="B1661">
        <v>73.1374</v>
      </c>
      <c r="C1661">
        <f t="shared" si="28"/>
        <v>2021</v>
      </c>
    </row>
    <row r="1662" spans="1:3" x14ac:dyDescent="0.2">
      <c r="A1662" s="3">
        <v>44348</v>
      </c>
      <c r="B1662">
        <v>73.540599999999998</v>
      </c>
      <c r="C1662">
        <f t="shared" si="28"/>
        <v>2021</v>
      </c>
    </row>
    <row r="1663" spans="1:3" x14ac:dyDescent="0.2">
      <c r="A1663" s="3">
        <v>44347</v>
      </c>
      <c r="B1663">
        <v>73.4315</v>
      </c>
      <c r="C1663">
        <f t="shared" si="28"/>
        <v>2021</v>
      </c>
    </row>
    <row r="1664" spans="1:3" x14ac:dyDescent="0.2">
      <c r="A1664" s="3">
        <v>44344</v>
      </c>
      <c r="B1664">
        <v>73.176500000000004</v>
      </c>
      <c r="C1664">
        <f t="shared" si="28"/>
        <v>2021</v>
      </c>
    </row>
    <row r="1665" spans="1:3" x14ac:dyDescent="0.2">
      <c r="A1665" s="3">
        <v>44343</v>
      </c>
      <c r="B1665">
        <v>73.476799999999997</v>
      </c>
      <c r="C1665">
        <f t="shared" si="28"/>
        <v>2021</v>
      </c>
    </row>
    <row r="1666" spans="1:3" x14ac:dyDescent="0.2">
      <c r="A1666" s="3">
        <v>44342</v>
      </c>
      <c r="B1666">
        <v>73.498900000000006</v>
      </c>
      <c r="C1666">
        <f t="shared" si="28"/>
        <v>2021</v>
      </c>
    </row>
    <row r="1667" spans="1:3" x14ac:dyDescent="0.2">
      <c r="A1667" s="3">
        <v>44341</v>
      </c>
      <c r="B1667">
        <v>73.499300000000005</v>
      </c>
      <c r="C1667">
        <f t="shared" si="28"/>
        <v>2021</v>
      </c>
    </row>
    <row r="1668" spans="1:3" x14ac:dyDescent="0.2">
      <c r="A1668" s="3">
        <v>44340</v>
      </c>
      <c r="B1668">
        <v>73.481499999999997</v>
      </c>
      <c r="C1668">
        <f t="shared" ref="C1668:C1731" si="29">YEAR(A1668)</f>
        <v>2021</v>
      </c>
    </row>
    <row r="1669" spans="1:3" x14ac:dyDescent="0.2">
      <c r="A1669" s="3">
        <v>44337</v>
      </c>
      <c r="B1669">
        <v>73.629499999999993</v>
      </c>
      <c r="C1669">
        <f t="shared" si="29"/>
        <v>2021</v>
      </c>
    </row>
    <row r="1670" spans="1:3" x14ac:dyDescent="0.2">
      <c r="A1670" s="3">
        <v>44336</v>
      </c>
      <c r="B1670">
        <v>73.519000000000005</v>
      </c>
      <c r="C1670">
        <f t="shared" si="29"/>
        <v>2021</v>
      </c>
    </row>
    <row r="1671" spans="1:3" x14ac:dyDescent="0.2">
      <c r="A1671" s="3">
        <v>44335</v>
      </c>
      <c r="B1671">
        <v>73.776200000000003</v>
      </c>
      <c r="C1671">
        <f t="shared" si="29"/>
        <v>2021</v>
      </c>
    </row>
    <row r="1672" spans="1:3" x14ac:dyDescent="0.2">
      <c r="A1672" s="3">
        <v>44334</v>
      </c>
      <c r="B1672">
        <v>73.658299999999997</v>
      </c>
      <c r="C1672">
        <f t="shared" si="29"/>
        <v>2021</v>
      </c>
    </row>
    <row r="1673" spans="1:3" x14ac:dyDescent="0.2">
      <c r="A1673" s="3">
        <v>44333</v>
      </c>
      <c r="B1673">
        <v>73.880600000000001</v>
      </c>
      <c r="C1673">
        <f t="shared" si="29"/>
        <v>2021</v>
      </c>
    </row>
    <row r="1674" spans="1:3" x14ac:dyDescent="0.2">
      <c r="A1674" s="3">
        <v>44332</v>
      </c>
      <c r="B1674">
        <v>73.553100000000001</v>
      </c>
      <c r="C1674">
        <f t="shared" si="29"/>
        <v>2021</v>
      </c>
    </row>
    <row r="1675" spans="1:3" x14ac:dyDescent="0.2">
      <c r="A1675" s="3">
        <v>44330</v>
      </c>
      <c r="B1675">
        <v>74.02</v>
      </c>
      <c r="C1675">
        <f t="shared" si="29"/>
        <v>2021</v>
      </c>
    </row>
    <row r="1676" spans="1:3" x14ac:dyDescent="0.2">
      <c r="A1676" s="3">
        <v>44329</v>
      </c>
      <c r="B1676">
        <v>74.077500000000001</v>
      </c>
      <c r="C1676">
        <f t="shared" si="29"/>
        <v>2021</v>
      </c>
    </row>
    <row r="1677" spans="1:3" x14ac:dyDescent="0.2">
      <c r="A1677" s="3">
        <v>44328</v>
      </c>
      <c r="B1677">
        <v>74.615899999999996</v>
      </c>
      <c r="C1677">
        <f t="shared" si="29"/>
        <v>2021</v>
      </c>
    </row>
    <row r="1678" spans="1:3" x14ac:dyDescent="0.2">
      <c r="A1678" s="3">
        <v>44327</v>
      </c>
      <c r="B1678">
        <v>74.114099999999993</v>
      </c>
      <c r="C1678">
        <f t="shared" si="29"/>
        <v>2021</v>
      </c>
    </row>
    <row r="1679" spans="1:3" x14ac:dyDescent="0.2">
      <c r="A1679" s="3">
        <v>44326</v>
      </c>
      <c r="B1679">
        <v>74.330500000000001</v>
      </c>
      <c r="C1679">
        <f t="shared" si="29"/>
        <v>2021</v>
      </c>
    </row>
    <row r="1680" spans="1:3" x14ac:dyDescent="0.2">
      <c r="A1680" s="3">
        <v>44325</v>
      </c>
      <c r="B1680">
        <v>73.712800000000001</v>
      </c>
      <c r="C1680">
        <f t="shared" si="29"/>
        <v>2021</v>
      </c>
    </row>
    <row r="1681" spans="1:3" x14ac:dyDescent="0.2">
      <c r="A1681" s="3">
        <v>44323</v>
      </c>
      <c r="B1681">
        <v>73.757800000000003</v>
      </c>
      <c r="C1681">
        <f t="shared" si="29"/>
        <v>2021</v>
      </c>
    </row>
    <row r="1682" spans="1:3" x14ac:dyDescent="0.2">
      <c r="A1682" s="3">
        <v>44322</v>
      </c>
      <c r="B1682">
        <v>74.265100000000004</v>
      </c>
      <c r="C1682">
        <f t="shared" si="29"/>
        <v>2021</v>
      </c>
    </row>
    <row r="1683" spans="1:3" x14ac:dyDescent="0.2">
      <c r="A1683" s="3">
        <v>44321</v>
      </c>
      <c r="B1683">
        <v>74.802599999999998</v>
      </c>
      <c r="C1683">
        <f t="shared" si="29"/>
        <v>2021</v>
      </c>
    </row>
    <row r="1684" spans="1:3" x14ac:dyDescent="0.2">
      <c r="A1684" s="3">
        <v>44320</v>
      </c>
      <c r="B1684">
        <v>74.726299999999995</v>
      </c>
      <c r="C1684">
        <f t="shared" si="29"/>
        <v>2021</v>
      </c>
    </row>
    <row r="1685" spans="1:3" x14ac:dyDescent="0.2">
      <c r="A1685" s="3">
        <v>44319</v>
      </c>
      <c r="B1685">
        <v>74.984700000000004</v>
      </c>
      <c r="C1685">
        <f t="shared" si="29"/>
        <v>2021</v>
      </c>
    </row>
    <row r="1686" spans="1:3" x14ac:dyDescent="0.2">
      <c r="A1686" s="3">
        <v>44316</v>
      </c>
      <c r="B1686">
        <v>75.302999999999997</v>
      </c>
      <c r="C1686">
        <f t="shared" si="29"/>
        <v>2021</v>
      </c>
    </row>
    <row r="1687" spans="1:3" x14ac:dyDescent="0.2">
      <c r="A1687" s="3">
        <v>44315</v>
      </c>
      <c r="B1687">
        <v>74.678600000000003</v>
      </c>
      <c r="C1687">
        <f t="shared" si="29"/>
        <v>2021</v>
      </c>
    </row>
    <row r="1688" spans="1:3" x14ac:dyDescent="0.2">
      <c r="A1688" s="3">
        <v>44314</v>
      </c>
      <c r="B1688">
        <v>74.427499999999995</v>
      </c>
      <c r="C1688">
        <f t="shared" si="29"/>
        <v>2021</v>
      </c>
    </row>
    <row r="1689" spans="1:3" x14ac:dyDescent="0.2">
      <c r="A1689" s="3">
        <v>44313</v>
      </c>
      <c r="B1689">
        <v>75.007099999999994</v>
      </c>
      <c r="C1689">
        <f t="shared" si="29"/>
        <v>2021</v>
      </c>
    </row>
    <row r="1690" spans="1:3" x14ac:dyDescent="0.2">
      <c r="A1690" s="3">
        <v>44312</v>
      </c>
      <c r="B1690">
        <v>75.022400000000005</v>
      </c>
      <c r="C1690">
        <f t="shared" si="29"/>
        <v>2021</v>
      </c>
    </row>
    <row r="1691" spans="1:3" x14ac:dyDescent="0.2">
      <c r="A1691" s="3">
        <v>44309</v>
      </c>
      <c r="B1691">
        <v>74.872100000000003</v>
      </c>
      <c r="C1691">
        <f t="shared" si="29"/>
        <v>2021</v>
      </c>
    </row>
    <row r="1692" spans="1:3" x14ac:dyDescent="0.2">
      <c r="A1692" s="3">
        <v>44308</v>
      </c>
      <c r="B1692">
        <v>75.407200000000003</v>
      </c>
      <c r="C1692">
        <f t="shared" si="29"/>
        <v>2021</v>
      </c>
    </row>
    <row r="1693" spans="1:3" x14ac:dyDescent="0.2">
      <c r="A1693" s="3">
        <v>44307</v>
      </c>
      <c r="B1693">
        <v>76.703599999999994</v>
      </c>
      <c r="C1693">
        <f t="shared" si="29"/>
        <v>2021</v>
      </c>
    </row>
    <row r="1694" spans="1:3" x14ac:dyDescent="0.2">
      <c r="A1694" s="3">
        <v>44306</v>
      </c>
      <c r="B1694">
        <v>76.912400000000005</v>
      </c>
      <c r="C1694">
        <f t="shared" si="29"/>
        <v>2021</v>
      </c>
    </row>
    <row r="1695" spans="1:3" x14ac:dyDescent="0.2">
      <c r="A1695" s="3">
        <v>44305</v>
      </c>
      <c r="B1695">
        <v>76.331900000000005</v>
      </c>
      <c r="C1695">
        <f t="shared" si="29"/>
        <v>2021</v>
      </c>
    </row>
    <row r="1696" spans="1:3" x14ac:dyDescent="0.2">
      <c r="A1696" s="3">
        <v>44304</v>
      </c>
      <c r="B1696">
        <v>75.924999999999997</v>
      </c>
      <c r="C1696">
        <f t="shared" si="29"/>
        <v>2021</v>
      </c>
    </row>
    <row r="1697" spans="1:3" x14ac:dyDescent="0.2">
      <c r="A1697" s="3">
        <v>44302</v>
      </c>
      <c r="B1697">
        <v>75.713200000000001</v>
      </c>
      <c r="C1697">
        <f t="shared" si="29"/>
        <v>2021</v>
      </c>
    </row>
    <row r="1698" spans="1:3" x14ac:dyDescent="0.2">
      <c r="A1698" s="3">
        <v>44301</v>
      </c>
      <c r="B1698">
        <v>76.395300000000006</v>
      </c>
      <c r="C1698">
        <f t="shared" si="29"/>
        <v>2021</v>
      </c>
    </row>
    <row r="1699" spans="1:3" x14ac:dyDescent="0.2">
      <c r="A1699" s="3">
        <v>44300</v>
      </c>
      <c r="B1699">
        <v>75.7928</v>
      </c>
      <c r="C1699">
        <f t="shared" si="29"/>
        <v>2021</v>
      </c>
    </row>
    <row r="1700" spans="1:3" x14ac:dyDescent="0.2">
      <c r="A1700" s="3">
        <v>44299</v>
      </c>
      <c r="B1700">
        <v>75.997100000000003</v>
      </c>
      <c r="C1700">
        <f t="shared" si="29"/>
        <v>2021</v>
      </c>
    </row>
    <row r="1701" spans="1:3" x14ac:dyDescent="0.2">
      <c r="A1701" s="3">
        <v>44298</v>
      </c>
      <c r="B1701">
        <v>77.326099999999997</v>
      </c>
      <c r="C1701">
        <f t="shared" si="29"/>
        <v>2021</v>
      </c>
    </row>
    <row r="1702" spans="1:3" x14ac:dyDescent="0.2">
      <c r="A1702" s="3">
        <v>44297</v>
      </c>
      <c r="B1702">
        <v>77.478399999999993</v>
      </c>
      <c r="C1702">
        <f t="shared" si="29"/>
        <v>2021</v>
      </c>
    </row>
    <row r="1703" spans="1:3" x14ac:dyDescent="0.2">
      <c r="A1703" s="3">
        <v>44295</v>
      </c>
      <c r="B1703">
        <v>77.425299999999993</v>
      </c>
      <c r="C1703">
        <f t="shared" si="29"/>
        <v>2021</v>
      </c>
    </row>
    <row r="1704" spans="1:3" x14ac:dyDescent="0.2">
      <c r="A1704" s="3">
        <v>44294</v>
      </c>
      <c r="B1704">
        <v>76.822800000000001</v>
      </c>
      <c r="C1704">
        <f t="shared" si="29"/>
        <v>2021</v>
      </c>
    </row>
    <row r="1705" spans="1:3" x14ac:dyDescent="0.2">
      <c r="A1705" s="3">
        <v>44293</v>
      </c>
      <c r="B1705">
        <v>76.951599999999999</v>
      </c>
      <c r="C1705">
        <f t="shared" si="29"/>
        <v>2021</v>
      </c>
    </row>
    <row r="1706" spans="1:3" x14ac:dyDescent="0.2">
      <c r="A1706" s="3">
        <v>44292</v>
      </c>
      <c r="B1706">
        <v>77.311999999999998</v>
      </c>
      <c r="C1706">
        <f t="shared" si="29"/>
        <v>2021</v>
      </c>
    </row>
    <row r="1707" spans="1:3" x14ac:dyDescent="0.2">
      <c r="A1707" s="3">
        <v>44291</v>
      </c>
      <c r="B1707">
        <v>76.374399999999994</v>
      </c>
      <c r="C1707">
        <f t="shared" si="29"/>
        <v>2021</v>
      </c>
    </row>
    <row r="1708" spans="1:3" x14ac:dyDescent="0.2">
      <c r="A1708" s="3">
        <v>44290</v>
      </c>
      <c r="B1708">
        <v>76.092100000000002</v>
      </c>
      <c r="C1708">
        <f t="shared" si="29"/>
        <v>2021</v>
      </c>
    </row>
    <row r="1709" spans="1:3" x14ac:dyDescent="0.2">
      <c r="A1709" s="3">
        <v>44288</v>
      </c>
      <c r="B1709">
        <v>76.302199999999999</v>
      </c>
      <c r="C1709">
        <f t="shared" si="29"/>
        <v>2021</v>
      </c>
    </row>
    <row r="1710" spans="1:3" x14ac:dyDescent="0.2">
      <c r="A1710" s="3">
        <v>44287</v>
      </c>
      <c r="B1710">
        <v>76.167000000000002</v>
      </c>
      <c r="C1710">
        <f t="shared" si="29"/>
        <v>2021</v>
      </c>
    </row>
    <row r="1711" spans="1:3" x14ac:dyDescent="0.2">
      <c r="A1711" s="3">
        <v>44286</v>
      </c>
      <c r="B1711">
        <v>75.650800000000004</v>
      </c>
      <c r="C1711">
        <f t="shared" si="29"/>
        <v>2021</v>
      </c>
    </row>
    <row r="1712" spans="1:3" x14ac:dyDescent="0.2">
      <c r="A1712" s="3">
        <v>44285</v>
      </c>
      <c r="B1712">
        <v>75.834500000000006</v>
      </c>
      <c r="C1712">
        <f t="shared" si="29"/>
        <v>2021</v>
      </c>
    </row>
    <row r="1713" spans="1:3" x14ac:dyDescent="0.2">
      <c r="A1713" s="3">
        <v>44284</v>
      </c>
      <c r="B1713">
        <v>75.634200000000007</v>
      </c>
      <c r="C1713">
        <f t="shared" si="29"/>
        <v>2021</v>
      </c>
    </row>
    <row r="1714" spans="1:3" x14ac:dyDescent="0.2">
      <c r="A1714" s="3">
        <v>44281</v>
      </c>
      <c r="B1714">
        <v>75.651399999999995</v>
      </c>
      <c r="C1714">
        <f t="shared" si="29"/>
        <v>2021</v>
      </c>
    </row>
    <row r="1715" spans="1:3" x14ac:dyDescent="0.2">
      <c r="A1715" s="3">
        <v>44280</v>
      </c>
      <c r="B1715">
        <v>76.223600000000005</v>
      </c>
      <c r="C1715">
        <f t="shared" si="29"/>
        <v>2021</v>
      </c>
    </row>
    <row r="1716" spans="1:3" x14ac:dyDescent="0.2">
      <c r="A1716" s="3">
        <v>44279</v>
      </c>
      <c r="B1716">
        <v>76.572999999999993</v>
      </c>
      <c r="C1716">
        <f t="shared" si="29"/>
        <v>2021</v>
      </c>
    </row>
    <row r="1717" spans="1:3" x14ac:dyDescent="0.2">
      <c r="A1717" s="3">
        <v>44278</v>
      </c>
      <c r="B1717">
        <v>76.414699999999996</v>
      </c>
      <c r="C1717">
        <f t="shared" si="29"/>
        <v>2021</v>
      </c>
    </row>
    <row r="1718" spans="1:3" x14ac:dyDescent="0.2">
      <c r="A1718" s="3">
        <v>44277</v>
      </c>
      <c r="B1718">
        <v>74.761499999999998</v>
      </c>
      <c r="C1718">
        <f t="shared" si="29"/>
        <v>2021</v>
      </c>
    </row>
    <row r="1719" spans="1:3" x14ac:dyDescent="0.2">
      <c r="A1719" s="3">
        <v>44276</v>
      </c>
      <c r="B1719">
        <v>74.657600000000002</v>
      </c>
      <c r="C1719">
        <f t="shared" si="29"/>
        <v>2021</v>
      </c>
    </row>
    <row r="1720" spans="1:3" x14ac:dyDescent="0.2">
      <c r="A1720" s="3">
        <v>44274</v>
      </c>
      <c r="B1720">
        <v>74.095299999999995</v>
      </c>
      <c r="C1720">
        <f t="shared" si="29"/>
        <v>2021</v>
      </c>
    </row>
    <row r="1721" spans="1:3" x14ac:dyDescent="0.2">
      <c r="A1721" s="3">
        <v>44273</v>
      </c>
      <c r="B1721">
        <v>74.268299999999996</v>
      </c>
      <c r="C1721">
        <f t="shared" si="29"/>
        <v>2021</v>
      </c>
    </row>
    <row r="1722" spans="1:3" x14ac:dyDescent="0.2">
      <c r="A1722" s="3">
        <v>44272</v>
      </c>
      <c r="B1722">
        <v>73.667299999999997</v>
      </c>
      <c r="C1722">
        <f t="shared" si="29"/>
        <v>2021</v>
      </c>
    </row>
    <row r="1723" spans="1:3" x14ac:dyDescent="0.2">
      <c r="A1723" s="3">
        <v>44271</v>
      </c>
      <c r="B1723">
        <v>72.802700000000002</v>
      </c>
      <c r="C1723">
        <f t="shared" si="29"/>
        <v>2021</v>
      </c>
    </row>
    <row r="1724" spans="1:3" x14ac:dyDescent="0.2">
      <c r="A1724" s="3">
        <v>44270</v>
      </c>
      <c r="B1724">
        <v>72.828199999999995</v>
      </c>
      <c r="C1724">
        <f t="shared" si="29"/>
        <v>2021</v>
      </c>
    </row>
    <row r="1725" spans="1:3" x14ac:dyDescent="0.2">
      <c r="A1725" s="3">
        <v>44267</v>
      </c>
      <c r="B1725">
        <v>73.265199999999993</v>
      </c>
      <c r="C1725">
        <f t="shared" si="29"/>
        <v>2021</v>
      </c>
    </row>
    <row r="1726" spans="1:3" x14ac:dyDescent="0.2">
      <c r="A1726" s="3">
        <v>44266</v>
      </c>
      <c r="B1726">
        <v>73.382199999999997</v>
      </c>
      <c r="C1726">
        <f t="shared" si="29"/>
        <v>2021</v>
      </c>
    </row>
    <row r="1727" spans="1:3" x14ac:dyDescent="0.2">
      <c r="A1727" s="3">
        <v>44265</v>
      </c>
      <c r="B1727">
        <v>73.631500000000003</v>
      </c>
      <c r="C1727">
        <f t="shared" si="29"/>
        <v>2021</v>
      </c>
    </row>
    <row r="1728" spans="1:3" x14ac:dyDescent="0.2">
      <c r="A1728" s="3">
        <v>44264</v>
      </c>
      <c r="B1728">
        <v>74.058499999999995</v>
      </c>
      <c r="C1728">
        <f t="shared" si="29"/>
        <v>2021</v>
      </c>
    </row>
    <row r="1729" spans="1:3" x14ac:dyDescent="0.2">
      <c r="A1729" s="3">
        <v>44263</v>
      </c>
      <c r="B1729">
        <v>74.451599999999999</v>
      </c>
      <c r="C1729">
        <f t="shared" si="29"/>
        <v>2021</v>
      </c>
    </row>
    <row r="1730" spans="1:3" x14ac:dyDescent="0.2">
      <c r="A1730" s="3">
        <v>44262</v>
      </c>
      <c r="B1730">
        <v>74.25</v>
      </c>
      <c r="C1730">
        <f t="shared" si="29"/>
        <v>2021</v>
      </c>
    </row>
    <row r="1731" spans="1:3" x14ac:dyDescent="0.2">
      <c r="A1731" s="3">
        <v>44260</v>
      </c>
      <c r="B1731">
        <v>74.340100000000007</v>
      </c>
      <c r="C1731">
        <f t="shared" si="29"/>
        <v>2021</v>
      </c>
    </row>
    <row r="1732" spans="1:3" x14ac:dyDescent="0.2">
      <c r="A1732" s="3">
        <v>44259</v>
      </c>
      <c r="B1732">
        <v>74.609099999999998</v>
      </c>
      <c r="C1732">
        <f t="shared" ref="C1732:C1795" si="30">YEAR(A1732)</f>
        <v>2021</v>
      </c>
    </row>
    <row r="1733" spans="1:3" x14ac:dyDescent="0.2">
      <c r="A1733" s="3">
        <v>44258</v>
      </c>
      <c r="B1733">
        <v>73.945300000000003</v>
      </c>
      <c r="C1733">
        <f t="shared" si="30"/>
        <v>2021</v>
      </c>
    </row>
    <row r="1734" spans="1:3" x14ac:dyDescent="0.2">
      <c r="A1734" s="3">
        <v>44257</v>
      </c>
      <c r="B1734">
        <v>73.788300000000007</v>
      </c>
      <c r="C1734">
        <f t="shared" si="30"/>
        <v>2021</v>
      </c>
    </row>
    <row r="1735" spans="1:3" x14ac:dyDescent="0.2">
      <c r="A1735" s="3">
        <v>44256</v>
      </c>
      <c r="B1735">
        <v>74.265699999999995</v>
      </c>
      <c r="C1735">
        <f t="shared" si="30"/>
        <v>2021</v>
      </c>
    </row>
    <row r="1736" spans="1:3" x14ac:dyDescent="0.2">
      <c r="A1736" s="3">
        <v>44255</v>
      </c>
      <c r="B1736">
        <v>74.711299999999994</v>
      </c>
      <c r="C1736">
        <f t="shared" si="30"/>
        <v>2021</v>
      </c>
    </row>
    <row r="1737" spans="1:3" x14ac:dyDescent="0.2">
      <c r="A1737" s="3">
        <v>44253</v>
      </c>
      <c r="B1737">
        <v>74.565600000000003</v>
      </c>
      <c r="C1737">
        <f t="shared" si="30"/>
        <v>2021</v>
      </c>
    </row>
    <row r="1738" spans="1:3" x14ac:dyDescent="0.2">
      <c r="A1738" s="3">
        <v>44252</v>
      </c>
      <c r="B1738">
        <v>74.743399999999994</v>
      </c>
      <c r="C1738">
        <f t="shared" si="30"/>
        <v>2021</v>
      </c>
    </row>
    <row r="1739" spans="1:3" x14ac:dyDescent="0.2">
      <c r="A1739" s="3">
        <v>44251</v>
      </c>
      <c r="B1739">
        <v>73.492099999999994</v>
      </c>
      <c r="C1739">
        <f t="shared" si="30"/>
        <v>2021</v>
      </c>
    </row>
    <row r="1740" spans="1:3" x14ac:dyDescent="0.2">
      <c r="A1740" s="3">
        <v>44250</v>
      </c>
      <c r="B1740">
        <v>74.025999999999996</v>
      </c>
      <c r="C1740">
        <f t="shared" si="30"/>
        <v>2021</v>
      </c>
    </row>
    <row r="1741" spans="1:3" x14ac:dyDescent="0.2">
      <c r="A1741" s="3">
        <v>44249</v>
      </c>
      <c r="B1741">
        <v>74.347800000000007</v>
      </c>
      <c r="C1741">
        <f t="shared" si="30"/>
        <v>2021</v>
      </c>
    </row>
    <row r="1742" spans="1:3" x14ac:dyDescent="0.2">
      <c r="A1742" s="3">
        <v>44248</v>
      </c>
      <c r="B1742">
        <v>74.174999999999997</v>
      </c>
      <c r="C1742">
        <f t="shared" si="30"/>
        <v>2021</v>
      </c>
    </row>
    <row r="1743" spans="1:3" x14ac:dyDescent="0.2">
      <c r="A1743" s="3">
        <v>44246</v>
      </c>
      <c r="B1743">
        <v>74.0488</v>
      </c>
      <c r="C1743">
        <f t="shared" si="30"/>
        <v>2021</v>
      </c>
    </row>
    <row r="1744" spans="1:3" x14ac:dyDescent="0.2">
      <c r="A1744" s="3">
        <v>44245</v>
      </c>
      <c r="B1744">
        <v>73.87</v>
      </c>
      <c r="C1744">
        <f t="shared" si="30"/>
        <v>2021</v>
      </c>
    </row>
    <row r="1745" spans="1:3" x14ac:dyDescent="0.2">
      <c r="A1745" s="3">
        <v>44244</v>
      </c>
      <c r="B1745">
        <v>73.729299999999995</v>
      </c>
      <c r="C1745">
        <f t="shared" si="30"/>
        <v>2021</v>
      </c>
    </row>
    <row r="1746" spans="1:3" x14ac:dyDescent="0.2">
      <c r="A1746" s="3">
        <v>44243</v>
      </c>
      <c r="B1746">
        <v>73.620699999999999</v>
      </c>
      <c r="C1746">
        <f t="shared" si="30"/>
        <v>2021</v>
      </c>
    </row>
    <row r="1747" spans="1:3" x14ac:dyDescent="0.2">
      <c r="A1747" s="3">
        <v>44242</v>
      </c>
      <c r="B1747">
        <v>73.258200000000002</v>
      </c>
      <c r="C1747">
        <f t="shared" si="30"/>
        <v>2021</v>
      </c>
    </row>
    <row r="1748" spans="1:3" x14ac:dyDescent="0.2">
      <c r="A1748" s="3">
        <v>44241</v>
      </c>
      <c r="B1748">
        <v>73.656000000000006</v>
      </c>
      <c r="C1748">
        <f t="shared" si="30"/>
        <v>2021</v>
      </c>
    </row>
    <row r="1749" spans="1:3" x14ac:dyDescent="0.2">
      <c r="A1749" s="3">
        <v>44239</v>
      </c>
      <c r="B1749">
        <v>73.642200000000003</v>
      </c>
      <c r="C1749">
        <f t="shared" si="30"/>
        <v>2021</v>
      </c>
    </row>
    <row r="1750" spans="1:3" x14ac:dyDescent="0.2">
      <c r="A1750" s="3">
        <v>44238</v>
      </c>
      <c r="B1750">
        <v>73.688199999999995</v>
      </c>
      <c r="C1750">
        <f t="shared" si="30"/>
        <v>2021</v>
      </c>
    </row>
    <row r="1751" spans="1:3" x14ac:dyDescent="0.2">
      <c r="A1751" s="3">
        <v>44237</v>
      </c>
      <c r="B1751">
        <v>73.8733</v>
      </c>
      <c r="C1751">
        <f t="shared" si="30"/>
        <v>2021</v>
      </c>
    </row>
    <row r="1752" spans="1:3" x14ac:dyDescent="0.2">
      <c r="A1752" s="3">
        <v>44236</v>
      </c>
      <c r="B1752">
        <v>73.924199999999999</v>
      </c>
      <c r="C1752">
        <f t="shared" si="30"/>
        <v>2021</v>
      </c>
    </row>
    <row r="1753" spans="1:3" x14ac:dyDescent="0.2">
      <c r="A1753" s="3">
        <v>44235</v>
      </c>
      <c r="B1753">
        <v>74.307199999999995</v>
      </c>
      <c r="C1753">
        <f t="shared" si="30"/>
        <v>2021</v>
      </c>
    </row>
    <row r="1754" spans="1:3" x14ac:dyDescent="0.2">
      <c r="A1754" s="3">
        <v>44234</v>
      </c>
      <c r="B1754">
        <v>74.811499999999995</v>
      </c>
      <c r="C1754">
        <f t="shared" si="30"/>
        <v>2021</v>
      </c>
    </row>
    <row r="1755" spans="1:3" x14ac:dyDescent="0.2">
      <c r="A1755" s="3">
        <v>44232</v>
      </c>
      <c r="B1755">
        <v>74.649500000000003</v>
      </c>
      <c r="C1755">
        <f t="shared" si="30"/>
        <v>2021</v>
      </c>
    </row>
    <row r="1756" spans="1:3" x14ac:dyDescent="0.2">
      <c r="A1756" s="3">
        <v>44231</v>
      </c>
      <c r="B1756">
        <v>75.558400000000006</v>
      </c>
      <c r="C1756">
        <f t="shared" si="30"/>
        <v>2021</v>
      </c>
    </row>
    <row r="1757" spans="1:3" x14ac:dyDescent="0.2">
      <c r="A1757" s="3">
        <v>44230</v>
      </c>
      <c r="B1757">
        <v>75.981800000000007</v>
      </c>
      <c r="C1757">
        <f t="shared" si="30"/>
        <v>2021</v>
      </c>
    </row>
    <row r="1758" spans="1:3" x14ac:dyDescent="0.2">
      <c r="A1758" s="3">
        <v>44229</v>
      </c>
      <c r="B1758">
        <v>76.290999999999997</v>
      </c>
      <c r="C1758">
        <f t="shared" si="30"/>
        <v>2021</v>
      </c>
    </row>
    <row r="1759" spans="1:3" x14ac:dyDescent="0.2">
      <c r="A1759" s="3">
        <v>44228</v>
      </c>
      <c r="B1759">
        <v>76.197800000000001</v>
      </c>
      <c r="C1759">
        <f t="shared" si="30"/>
        <v>2021</v>
      </c>
    </row>
    <row r="1760" spans="1:3" x14ac:dyDescent="0.2">
      <c r="A1760" s="3">
        <v>44227</v>
      </c>
      <c r="B1760">
        <v>75.849999999999994</v>
      </c>
      <c r="C1760">
        <f t="shared" si="30"/>
        <v>2021</v>
      </c>
    </row>
    <row r="1761" spans="1:3" x14ac:dyDescent="0.2">
      <c r="A1761" s="3">
        <v>44225</v>
      </c>
      <c r="B1761">
        <v>75.877899999999997</v>
      </c>
      <c r="C1761">
        <f t="shared" si="30"/>
        <v>2021</v>
      </c>
    </row>
    <row r="1762" spans="1:3" x14ac:dyDescent="0.2">
      <c r="A1762" s="3">
        <v>44224</v>
      </c>
      <c r="B1762">
        <v>76.031800000000004</v>
      </c>
      <c r="C1762">
        <f t="shared" si="30"/>
        <v>2021</v>
      </c>
    </row>
    <row r="1763" spans="1:3" x14ac:dyDescent="0.2">
      <c r="A1763" s="3">
        <v>44223</v>
      </c>
      <c r="B1763">
        <v>75.827100000000002</v>
      </c>
      <c r="C1763">
        <f t="shared" si="30"/>
        <v>2021</v>
      </c>
    </row>
    <row r="1764" spans="1:3" x14ac:dyDescent="0.2">
      <c r="A1764" s="3">
        <v>44222</v>
      </c>
      <c r="B1764">
        <v>75.175600000000003</v>
      </c>
      <c r="C1764">
        <f t="shared" si="30"/>
        <v>2021</v>
      </c>
    </row>
    <row r="1765" spans="1:3" x14ac:dyDescent="0.2">
      <c r="A1765" s="3">
        <v>44221</v>
      </c>
      <c r="B1765">
        <v>75.377700000000004</v>
      </c>
      <c r="C1765">
        <f t="shared" si="30"/>
        <v>2021</v>
      </c>
    </row>
    <row r="1766" spans="1:3" x14ac:dyDescent="0.2">
      <c r="A1766" s="3">
        <v>44220</v>
      </c>
      <c r="B1766">
        <v>75.400000000000006</v>
      </c>
      <c r="C1766">
        <f t="shared" si="30"/>
        <v>2021</v>
      </c>
    </row>
    <row r="1767" spans="1:3" x14ac:dyDescent="0.2">
      <c r="A1767" s="3">
        <v>44218</v>
      </c>
      <c r="B1767">
        <v>75.289400000000001</v>
      </c>
      <c r="C1767">
        <f t="shared" si="30"/>
        <v>2021</v>
      </c>
    </row>
    <row r="1768" spans="1:3" x14ac:dyDescent="0.2">
      <c r="A1768" s="3">
        <v>44217</v>
      </c>
      <c r="B1768">
        <v>73.917400000000001</v>
      </c>
      <c r="C1768">
        <f t="shared" si="30"/>
        <v>2021</v>
      </c>
    </row>
    <row r="1769" spans="1:3" x14ac:dyDescent="0.2">
      <c r="A1769" s="3">
        <v>44216</v>
      </c>
      <c r="B1769">
        <v>73.470200000000006</v>
      </c>
      <c r="C1769">
        <f t="shared" si="30"/>
        <v>2021</v>
      </c>
    </row>
    <row r="1770" spans="1:3" x14ac:dyDescent="0.2">
      <c r="A1770" s="3">
        <v>44215</v>
      </c>
      <c r="B1770">
        <v>73.836399999999998</v>
      </c>
      <c r="C1770">
        <f t="shared" si="30"/>
        <v>2021</v>
      </c>
    </row>
    <row r="1771" spans="1:3" x14ac:dyDescent="0.2">
      <c r="A1771" s="3">
        <v>44214</v>
      </c>
      <c r="B1771">
        <v>74.042199999999994</v>
      </c>
      <c r="C1771">
        <f t="shared" si="30"/>
        <v>2021</v>
      </c>
    </row>
    <row r="1772" spans="1:3" x14ac:dyDescent="0.2">
      <c r="A1772" s="3">
        <v>44213</v>
      </c>
      <c r="B1772">
        <v>73.625399999999999</v>
      </c>
      <c r="C1772">
        <f t="shared" si="30"/>
        <v>2021</v>
      </c>
    </row>
    <row r="1773" spans="1:3" x14ac:dyDescent="0.2">
      <c r="A1773" s="3">
        <v>44211</v>
      </c>
      <c r="B1773">
        <v>73.55</v>
      </c>
      <c r="C1773">
        <f t="shared" si="30"/>
        <v>2021</v>
      </c>
    </row>
    <row r="1774" spans="1:3" x14ac:dyDescent="0.2">
      <c r="A1774" s="3">
        <v>44210</v>
      </c>
      <c r="B1774">
        <v>73.289599999999993</v>
      </c>
      <c r="C1774">
        <f t="shared" si="30"/>
        <v>2021</v>
      </c>
    </row>
    <row r="1775" spans="1:3" x14ac:dyDescent="0.2">
      <c r="A1775" s="3">
        <v>44209</v>
      </c>
      <c r="B1775">
        <v>73.8339</v>
      </c>
      <c r="C1775">
        <f t="shared" si="30"/>
        <v>2021</v>
      </c>
    </row>
    <row r="1776" spans="1:3" x14ac:dyDescent="0.2">
      <c r="A1776" s="3">
        <v>44208</v>
      </c>
      <c r="B1776">
        <v>73.474500000000006</v>
      </c>
      <c r="C1776">
        <f t="shared" si="30"/>
        <v>2021</v>
      </c>
    </row>
    <row r="1777" spans="1:3" x14ac:dyDescent="0.2">
      <c r="A1777" s="3">
        <v>44207</v>
      </c>
      <c r="B1777">
        <v>74.607100000000003</v>
      </c>
      <c r="C1777">
        <f t="shared" si="30"/>
        <v>2021</v>
      </c>
    </row>
    <row r="1778" spans="1:3" x14ac:dyDescent="0.2">
      <c r="A1778" s="3">
        <v>44206</v>
      </c>
      <c r="B1778">
        <v>74.040000000000006</v>
      </c>
      <c r="C1778">
        <f t="shared" si="30"/>
        <v>2021</v>
      </c>
    </row>
    <row r="1779" spans="1:3" x14ac:dyDescent="0.2">
      <c r="A1779" s="3">
        <v>44204</v>
      </c>
      <c r="B1779">
        <v>74.064400000000006</v>
      </c>
      <c r="C1779">
        <f t="shared" si="30"/>
        <v>2021</v>
      </c>
    </row>
    <row r="1780" spans="1:3" x14ac:dyDescent="0.2">
      <c r="A1780" s="3">
        <v>44203</v>
      </c>
      <c r="B1780">
        <v>74.736099999999993</v>
      </c>
      <c r="C1780">
        <f t="shared" si="30"/>
        <v>2021</v>
      </c>
    </row>
    <row r="1781" spans="1:3" x14ac:dyDescent="0.2">
      <c r="A1781" s="3">
        <v>44202</v>
      </c>
      <c r="B1781">
        <v>73.933199999999999</v>
      </c>
      <c r="C1781">
        <f t="shared" si="30"/>
        <v>2021</v>
      </c>
    </row>
    <row r="1782" spans="1:3" x14ac:dyDescent="0.2">
      <c r="A1782" s="3">
        <v>44201</v>
      </c>
      <c r="B1782">
        <v>74.212800000000001</v>
      </c>
      <c r="C1782">
        <f t="shared" si="30"/>
        <v>2021</v>
      </c>
    </row>
    <row r="1783" spans="1:3" x14ac:dyDescent="0.2">
      <c r="A1783" s="3">
        <v>44200</v>
      </c>
      <c r="B1783">
        <v>74.418999999999997</v>
      </c>
      <c r="C1783">
        <f t="shared" si="30"/>
        <v>2021</v>
      </c>
    </row>
    <row r="1784" spans="1:3" x14ac:dyDescent="0.2">
      <c r="A1784" s="3">
        <v>44199</v>
      </c>
      <c r="B1784">
        <v>74.175200000000004</v>
      </c>
      <c r="C1784">
        <f t="shared" si="30"/>
        <v>2021</v>
      </c>
    </row>
    <row r="1785" spans="1:3" x14ac:dyDescent="0.2">
      <c r="A1785" s="3">
        <v>44197</v>
      </c>
      <c r="B1785">
        <v>74.0261</v>
      </c>
      <c r="C1785">
        <f t="shared" si="30"/>
        <v>2021</v>
      </c>
    </row>
    <row r="1786" spans="1:3" x14ac:dyDescent="0.2">
      <c r="A1786" s="3">
        <v>44196</v>
      </c>
      <c r="B1786">
        <v>74.036900000000003</v>
      </c>
      <c r="C1786">
        <f t="shared" si="30"/>
        <v>2020</v>
      </c>
    </row>
    <row r="1787" spans="1:3" x14ac:dyDescent="0.2">
      <c r="A1787" s="3">
        <v>44195</v>
      </c>
      <c r="B1787">
        <v>74.346100000000007</v>
      </c>
      <c r="C1787">
        <f t="shared" si="30"/>
        <v>2020</v>
      </c>
    </row>
    <row r="1788" spans="1:3" x14ac:dyDescent="0.2">
      <c r="A1788" s="3">
        <v>44194</v>
      </c>
      <c r="B1788">
        <v>73.993799999999993</v>
      </c>
      <c r="C1788">
        <f t="shared" si="30"/>
        <v>2020</v>
      </c>
    </row>
    <row r="1789" spans="1:3" x14ac:dyDescent="0.2">
      <c r="A1789" s="3">
        <v>44193</v>
      </c>
      <c r="B1789">
        <v>73.739999999999995</v>
      </c>
      <c r="C1789">
        <f t="shared" si="30"/>
        <v>2020</v>
      </c>
    </row>
    <row r="1790" spans="1:3" x14ac:dyDescent="0.2">
      <c r="A1790" s="3">
        <v>44192</v>
      </c>
      <c r="B1790">
        <v>74.151399999999995</v>
      </c>
      <c r="C1790">
        <f t="shared" si="30"/>
        <v>2020</v>
      </c>
    </row>
    <row r="1791" spans="1:3" x14ac:dyDescent="0.2">
      <c r="A1791" s="3">
        <v>44190</v>
      </c>
      <c r="B1791">
        <v>74.110900000000001</v>
      </c>
      <c r="C1791">
        <f t="shared" si="30"/>
        <v>2020</v>
      </c>
    </row>
    <row r="1792" spans="1:3" x14ac:dyDescent="0.2">
      <c r="A1792" s="3">
        <v>44189</v>
      </c>
      <c r="B1792">
        <v>73.916799999999995</v>
      </c>
      <c r="C1792">
        <f t="shared" si="30"/>
        <v>2020</v>
      </c>
    </row>
    <row r="1793" spans="1:3" x14ac:dyDescent="0.2">
      <c r="A1793" s="3">
        <v>44188</v>
      </c>
      <c r="B1793">
        <v>75.001999999999995</v>
      </c>
      <c r="C1793">
        <f t="shared" si="30"/>
        <v>2020</v>
      </c>
    </row>
    <row r="1794" spans="1:3" x14ac:dyDescent="0.2">
      <c r="A1794" s="3">
        <v>44187</v>
      </c>
      <c r="B1794">
        <v>75.890500000000003</v>
      </c>
      <c r="C1794">
        <f t="shared" si="30"/>
        <v>2020</v>
      </c>
    </row>
    <row r="1795" spans="1:3" x14ac:dyDescent="0.2">
      <c r="A1795" s="3">
        <v>44186</v>
      </c>
      <c r="B1795">
        <v>74.684899999999999</v>
      </c>
      <c r="C1795">
        <f t="shared" si="30"/>
        <v>2020</v>
      </c>
    </row>
    <row r="1796" spans="1:3" x14ac:dyDescent="0.2">
      <c r="A1796" s="3">
        <v>44185</v>
      </c>
      <c r="B1796">
        <v>74.099699999999999</v>
      </c>
      <c r="C1796">
        <f t="shared" ref="C1796:C1859" si="31">YEAR(A1796)</f>
        <v>2020</v>
      </c>
    </row>
    <row r="1797" spans="1:3" x14ac:dyDescent="0.2">
      <c r="A1797" s="3">
        <v>44183</v>
      </c>
      <c r="B1797">
        <v>73.443799999999996</v>
      </c>
      <c r="C1797">
        <f t="shared" si="31"/>
        <v>2020</v>
      </c>
    </row>
    <row r="1798" spans="1:3" x14ac:dyDescent="0.2">
      <c r="A1798" s="3">
        <v>44182</v>
      </c>
      <c r="B1798">
        <v>72.899299999999997</v>
      </c>
      <c r="C1798">
        <f t="shared" si="31"/>
        <v>2020</v>
      </c>
    </row>
    <row r="1799" spans="1:3" x14ac:dyDescent="0.2">
      <c r="A1799" s="3">
        <v>44181</v>
      </c>
      <c r="B1799">
        <v>73.326599999999999</v>
      </c>
      <c r="C1799">
        <f t="shared" si="31"/>
        <v>2020</v>
      </c>
    </row>
    <row r="1800" spans="1:3" x14ac:dyDescent="0.2">
      <c r="A1800" s="3">
        <v>44180</v>
      </c>
      <c r="B1800">
        <v>73.2637</v>
      </c>
      <c r="C1800">
        <f t="shared" si="31"/>
        <v>2020</v>
      </c>
    </row>
    <row r="1801" spans="1:3" x14ac:dyDescent="0.2">
      <c r="A1801" s="3">
        <v>44179</v>
      </c>
      <c r="B1801">
        <v>73.873099999999994</v>
      </c>
      <c r="C1801">
        <f t="shared" si="31"/>
        <v>2020</v>
      </c>
    </row>
    <row r="1802" spans="1:3" x14ac:dyDescent="0.2">
      <c r="A1802" s="3">
        <v>44178</v>
      </c>
      <c r="B1802">
        <v>73.163799999999995</v>
      </c>
      <c r="C1802">
        <f t="shared" si="31"/>
        <v>2020</v>
      </c>
    </row>
    <row r="1803" spans="1:3" x14ac:dyDescent="0.2">
      <c r="A1803" s="3">
        <v>44176</v>
      </c>
      <c r="B1803">
        <v>73.019900000000007</v>
      </c>
      <c r="C1803">
        <f t="shared" si="31"/>
        <v>2020</v>
      </c>
    </row>
    <row r="1804" spans="1:3" x14ac:dyDescent="0.2">
      <c r="A1804" s="3">
        <v>44175</v>
      </c>
      <c r="B1804">
        <v>73.050299999999993</v>
      </c>
      <c r="C1804">
        <f t="shared" si="31"/>
        <v>2020</v>
      </c>
    </row>
    <row r="1805" spans="1:3" x14ac:dyDescent="0.2">
      <c r="A1805" s="3">
        <v>44174</v>
      </c>
      <c r="B1805">
        <v>73.655299999999997</v>
      </c>
      <c r="C1805">
        <f t="shared" si="31"/>
        <v>2020</v>
      </c>
    </row>
    <row r="1806" spans="1:3" x14ac:dyDescent="0.2">
      <c r="A1806" s="3">
        <v>44173</v>
      </c>
      <c r="B1806">
        <v>73.438999999999993</v>
      </c>
      <c r="C1806">
        <f t="shared" si="31"/>
        <v>2020</v>
      </c>
    </row>
    <row r="1807" spans="1:3" x14ac:dyDescent="0.2">
      <c r="A1807" s="3">
        <v>44172</v>
      </c>
      <c r="B1807">
        <v>73.715199999999996</v>
      </c>
      <c r="C1807">
        <f t="shared" si="31"/>
        <v>2020</v>
      </c>
    </row>
    <row r="1808" spans="1:3" x14ac:dyDescent="0.2">
      <c r="A1808" s="3">
        <v>44171</v>
      </c>
      <c r="B1808">
        <v>74.238299999999995</v>
      </c>
      <c r="C1808">
        <f t="shared" si="31"/>
        <v>2020</v>
      </c>
    </row>
    <row r="1809" spans="1:3" x14ac:dyDescent="0.2">
      <c r="A1809" s="3">
        <v>44169</v>
      </c>
      <c r="B1809">
        <v>74.122</v>
      </c>
      <c r="C1809">
        <f t="shared" si="31"/>
        <v>2020</v>
      </c>
    </row>
    <row r="1810" spans="1:3" x14ac:dyDescent="0.2">
      <c r="A1810" s="3">
        <v>44168</v>
      </c>
      <c r="B1810">
        <v>74.505899999999997</v>
      </c>
      <c r="C1810">
        <f t="shared" si="31"/>
        <v>2020</v>
      </c>
    </row>
    <row r="1811" spans="1:3" x14ac:dyDescent="0.2">
      <c r="A1811" s="3">
        <v>44167</v>
      </c>
      <c r="B1811">
        <v>75.084000000000003</v>
      </c>
      <c r="C1811">
        <f t="shared" si="31"/>
        <v>2020</v>
      </c>
    </row>
    <row r="1812" spans="1:3" x14ac:dyDescent="0.2">
      <c r="A1812" s="3">
        <v>44166</v>
      </c>
      <c r="B1812">
        <v>75.796800000000005</v>
      </c>
      <c r="C1812">
        <f t="shared" si="31"/>
        <v>2020</v>
      </c>
    </row>
    <row r="1813" spans="1:3" x14ac:dyDescent="0.2">
      <c r="A1813" s="3">
        <v>44165</v>
      </c>
      <c r="B1813">
        <v>76.444599999999994</v>
      </c>
      <c r="C1813">
        <f t="shared" si="31"/>
        <v>2020</v>
      </c>
    </row>
    <row r="1814" spans="1:3" x14ac:dyDescent="0.2">
      <c r="A1814" s="3">
        <v>44164</v>
      </c>
      <c r="B1814">
        <v>76.169300000000007</v>
      </c>
      <c r="C1814">
        <f t="shared" si="31"/>
        <v>2020</v>
      </c>
    </row>
    <row r="1815" spans="1:3" x14ac:dyDescent="0.2">
      <c r="A1815" s="3">
        <v>44162</v>
      </c>
      <c r="B1815">
        <v>75.996099999999998</v>
      </c>
      <c r="C1815">
        <f t="shared" si="31"/>
        <v>2020</v>
      </c>
    </row>
    <row r="1816" spans="1:3" x14ac:dyDescent="0.2">
      <c r="A1816" s="3">
        <v>44161</v>
      </c>
      <c r="B1816">
        <v>75.701700000000002</v>
      </c>
      <c r="C1816">
        <f t="shared" si="31"/>
        <v>2020</v>
      </c>
    </row>
    <row r="1817" spans="1:3" x14ac:dyDescent="0.2">
      <c r="A1817" s="3">
        <v>44160</v>
      </c>
      <c r="B1817">
        <v>75.581500000000005</v>
      </c>
      <c r="C1817">
        <f t="shared" si="31"/>
        <v>2020</v>
      </c>
    </row>
    <row r="1818" spans="1:3" x14ac:dyDescent="0.2">
      <c r="A1818" s="3">
        <v>44159</v>
      </c>
      <c r="B1818">
        <v>75.5809</v>
      </c>
      <c r="C1818">
        <f t="shared" si="31"/>
        <v>2020</v>
      </c>
    </row>
    <row r="1819" spans="1:3" x14ac:dyDescent="0.2">
      <c r="A1819" s="3">
        <v>44158</v>
      </c>
      <c r="B1819">
        <v>76.121099999999998</v>
      </c>
      <c r="C1819">
        <f t="shared" si="31"/>
        <v>2020</v>
      </c>
    </row>
    <row r="1820" spans="1:3" x14ac:dyDescent="0.2">
      <c r="A1820" s="3">
        <v>44157</v>
      </c>
      <c r="B1820">
        <v>76.218500000000006</v>
      </c>
      <c r="C1820">
        <f t="shared" si="31"/>
        <v>2020</v>
      </c>
    </row>
    <row r="1821" spans="1:3" x14ac:dyDescent="0.2">
      <c r="A1821" s="3">
        <v>44155</v>
      </c>
      <c r="B1821">
        <v>76.219700000000003</v>
      </c>
      <c r="C1821">
        <f t="shared" si="31"/>
        <v>2020</v>
      </c>
    </row>
    <row r="1822" spans="1:3" x14ac:dyDescent="0.2">
      <c r="A1822" s="3">
        <v>44154</v>
      </c>
      <c r="B1822">
        <v>76.145700000000005</v>
      </c>
      <c r="C1822">
        <f t="shared" si="31"/>
        <v>2020</v>
      </c>
    </row>
    <row r="1823" spans="1:3" x14ac:dyDescent="0.2">
      <c r="A1823" s="3">
        <v>44153</v>
      </c>
      <c r="B1823">
        <v>75.980099999999993</v>
      </c>
      <c r="C1823">
        <f t="shared" si="31"/>
        <v>2020</v>
      </c>
    </row>
    <row r="1824" spans="1:3" x14ac:dyDescent="0.2">
      <c r="A1824" s="3">
        <v>44152</v>
      </c>
      <c r="B1824">
        <v>76.268600000000006</v>
      </c>
      <c r="C1824">
        <f t="shared" si="31"/>
        <v>2020</v>
      </c>
    </row>
    <row r="1825" spans="1:3" x14ac:dyDescent="0.2">
      <c r="A1825" s="3">
        <v>44151</v>
      </c>
      <c r="B1825">
        <v>76.209699999999998</v>
      </c>
      <c r="C1825">
        <f t="shared" si="31"/>
        <v>2020</v>
      </c>
    </row>
    <row r="1826" spans="1:3" x14ac:dyDescent="0.2">
      <c r="A1826" s="3">
        <v>44150</v>
      </c>
      <c r="B1826">
        <v>77.413799999999995</v>
      </c>
      <c r="C1826">
        <f t="shared" si="31"/>
        <v>2020</v>
      </c>
    </row>
    <row r="1827" spans="1:3" x14ac:dyDescent="0.2">
      <c r="A1827" s="3">
        <v>44148</v>
      </c>
      <c r="B1827">
        <v>77.208600000000004</v>
      </c>
      <c r="C1827">
        <f t="shared" si="31"/>
        <v>2020</v>
      </c>
    </row>
    <row r="1828" spans="1:3" x14ac:dyDescent="0.2">
      <c r="A1828" s="3">
        <v>44147</v>
      </c>
      <c r="B1828">
        <v>77.264600000000002</v>
      </c>
      <c r="C1828">
        <f t="shared" si="31"/>
        <v>2020</v>
      </c>
    </row>
    <row r="1829" spans="1:3" x14ac:dyDescent="0.2">
      <c r="A1829" s="3">
        <v>44146</v>
      </c>
      <c r="B1829">
        <v>77.028700000000001</v>
      </c>
      <c r="C1829">
        <f t="shared" si="31"/>
        <v>2020</v>
      </c>
    </row>
    <row r="1830" spans="1:3" x14ac:dyDescent="0.2">
      <c r="A1830" s="3">
        <v>44145</v>
      </c>
      <c r="B1830">
        <v>76.535399999999996</v>
      </c>
      <c r="C1830">
        <f t="shared" si="31"/>
        <v>2020</v>
      </c>
    </row>
    <row r="1831" spans="1:3" x14ac:dyDescent="0.2">
      <c r="A1831" s="3">
        <v>44144</v>
      </c>
      <c r="B1831">
        <v>76.335499999999996</v>
      </c>
      <c r="C1831">
        <f t="shared" si="31"/>
        <v>2020</v>
      </c>
    </row>
    <row r="1832" spans="1:3" x14ac:dyDescent="0.2">
      <c r="A1832" s="3">
        <v>44143</v>
      </c>
      <c r="B1832">
        <v>77.559600000000003</v>
      </c>
      <c r="C1832">
        <f t="shared" si="31"/>
        <v>2020</v>
      </c>
    </row>
    <row r="1833" spans="1:3" x14ac:dyDescent="0.2">
      <c r="A1833" s="3">
        <v>44141</v>
      </c>
      <c r="B1833">
        <v>77.448499999999996</v>
      </c>
      <c r="C1833">
        <f t="shared" si="31"/>
        <v>2020</v>
      </c>
    </row>
    <row r="1834" spans="1:3" x14ac:dyDescent="0.2">
      <c r="A1834" s="3">
        <v>44140</v>
      </c>
      <c r="B1834">
        <v>76.824100000000001</v>
      </c>
      <c r="C1834">
        <f t="shared" si="31"/>
        <v>2020</v>
      </c>
    </row>
    <row r="1835" spans="1:3" x14ac:dyDescent="0.2">
      <c r="A1835" s="3">
        <v>44139</v>
      </c>
      <c r="B1835">
        <v>77.550299999999993</v>
      </c>
      <c r="C1835">
        <f t="shared" si="31"/>
        <v>2020</v>
      </c>
    </row>
    <row r="1836" spans="1:3" x14ac:dyDescent="0.2">
      <c r="A1836" s="3">
        <v>44138</v>
      </c>
      <c r="B1836">
        <v>79.154200000000003</v>
      </c>
      <c r="C1836">
        <f t="shared" si="31"/>
        <v>2020</v>
      </c>
    </row>
    <row r="1837" spans="1:3" x14ac:dyDescent="0.2">
      <c r="A1837" s="3">
        <v>44137</v>
      </c>
      <c r="B1837">
        <v>80.546800000000005</v>
      </c>
      <c r="C1837">
        <f t="shared" si="31"/>
        <v>2020</v>
      </c>
    </row>
    <row r="1838" spans="1:3" x14ac:dyDescent="0.2">
      <c r="A1838" s="3">
        <v>44136</v>
      </c>
      <c r="B1838">
        <v>79.488799999999998</v>
      </c>
      <c r="C1838">
        <f t="shared" si="31"/>
        <v>2020</v>
      </c>
    </row>
    <row r="1839" spans="1:3" x14ac:dyDescent="0.2">
      <c r="A1839" s="3">
        <v>44134</v>
      </c>
      <c r="B1839">
        <v>79.402199999999993</v>
      </c>
      <c r="C1839">
        <f t="shared" si="31"/>
        <v>2020</v>
      </c>
    </row>
    <row r="1840" spans="1:3" x14ac:dyDescent="0.2">
      <c r="A1840" s="3">
        <v>44133</v>
      </c>
      <c r="B1840">
        <v>78.909300000000002</v>
      </c>
      <c r="C1840">
        <f t="shared" si="31"/>
        <v>2020</v>
      </c>
    </row>
    <row r="1841" spans="1:3" x14ac:dyDescent="0.2">
      <c r="A1841" s="3">
        <v>44132</v>
      </c>
      <c r="B1841">
        <v>79.161299999999997</v>
      </c>
      <c r="C1841">
        <f t="shared" si="31"/>
        <v>2020</v>
      </c>
    </row>
    <row r="1842" spans="1:3" x14ac:dyDescent="0.2">
      <c r="A1842" s="3">
        <v>44131</v>
      </c>
      <c r="B1842">
        <v>77.292400000000001</v>
      </c>
      <c r="C1842">
        <f t="shared" si="31"/>
        <v>2020</v>
      </c>
    </row>
    <row r="1843" spans="1:3" x14ac:dyDescent="0.2">
      <c r="A1843" s="3">
        <v>44130</v>
      </c>
      <c r="B1843">
        <v>76.388499999999993</v>
      </c>
      <c r="C1843">
        <f t="shared" si="31"/>
        <v>2020</v>
      </c>
    </row>
    <row r="1844" spans="1:3" x14ac:dyDescent="0.2">
      <c r="A1844" s="3">
        <v>44127</v>
      </c>
      <c r="B1844">
        <v>76.210599999999999</v>
      </c>
      <c r="C1844">
        <f t="shared" si="31"/>
        <v>2020</v>
      </c>
    </row>
    <row r="1845" spans="1:3" x14ac:dyDescent="0.2">
      <c r="A1845" s="3">
        <v>44126</v>
      </c>
      <c r="B1845">
        <v>76.584699999999998</v>
      </c>
      <c r="C1845">
        <f t="shared" si="31"/>
        <v>2020</v>
      </c>
    </row>
    <row r="1846" spans="1:3" x14ac:dyDescent="0.2">
      <c r="A1846" s="3">
        <v>44125</v>
      </c>
      <c r="B1846">
        <v>76.671000000000006</v>
      </c>
      <c r="C1846">
        <f t="shared" si="31"/>
        <v>2020</v>
      </c>
    </row>
    <row r="1847" spans="1:3" x14ac:dyDescent="0.2">
      <c r="A1847" s="3">
        <v>44124</v>
      </c>
      <c r="B1847">
        <v>77.292599999999993</v>
      </c>
      <c r="C1847">
        <f t="shared" si="31"/>
        <v>2020</v>
      </c>
    </row>
    <row r="1848" spans="1:3" x14ac:dyDescent="0.2">
      <c r="A1848" s="3">
        <v>44123</v>
      </c>
      <c r="B1848">
        <v>77.867099999999994</v>
      </c>
      <c r="C1848">
        <f t="shared" si="31"/>
        <v>2020</v>
      </c>
    </row>
    <row r="1849" spans="1:3" x14ac:dyDescent="0.2">
      <c r="A1849" s="3">
        <v>44120</v>
      </c>
      <c r="B1849">
        <v>77.803399999999996</v>
      </c>
      <c r="C1849">
        <f t="shared" si="31"/>
        <v>2020</v>
      </c>
    </row>
    <row r="1850" spans="1:3" x14ac:dyDescent="0.2">
      <c r="A1850" s="3">
        <v>44119</v>
      </c>
      <c r="B1850">
        <v>78.020300000000006</v>
      </c>
      <c r="C1850">
        <f t="shared" si="31"/>
        <v>2020</v>
      </c>
    </row>
    <row r="1851" spans="1:3" x14ac:dyDescent="0.2">
      <c r="A1851" s="3">
        <v>44118</v>
      </c>
      <c r="B1851">
        <v>77.766199999999998</v>
      </c>
      <c r="C1851">
        <f t="shared" si="31"/>
        <v>2020</v>
      </c>
    </row>
    <row r="1852" spans="1:3" x14ac:dyDescent="0.2">
      <c r="A1852" s="3">
        <v>44117</v>
      </c>
      <c r="B1852">
        <v>77.024299999999997</v>
      </c>
      <c r="C1852">
        <f t="shared" si="31"/>
        <v>2020</v>
      </c>
    </row>
    <row r="1853" spans="1:3" x14ac:dyDescent="0.2">
      <c r="A1853" s="3">
        <v>44116</v>
      </c>
      <c r="B1853">
        <v>77.041899999999998</v>
      </c>
      <c r="C1853">
        <f t="shared" si="31"/>
        <v>2020</v>
      </c>
    </row>
    <row r="1854" spans="1:3" x14ac:dyDescent="0.2">
      <c r="A1854" s="3">
        <v>44113</v>
      </c>
      <c r="B1854">
        <v>76.772199999999998</v>
      </c>
      <c r="C1854">
        <f t="shared" si="31"/>
        <v>2020</v>
      </c>
    </row>
    <row r="1855" spans="1:3" x14ac:dyDescent="0.2">
      <c r="A1855" s="3">
        <v>44112</v>
      </c>
      <c r="B1855">
        <v>77.354799999999997</v>
      </c>
      <c r="C1855">
        <f t="shared" si="31"/>
        <v>2020</v>
      </c>
    </row>
    <row r="1856" spans="1:3" x14ac:dyDescent="0.2">
      <c r="A1856" s="3">
        <v>44111</v>
      </c>
      <c r="B1856">
        <v>78.021000000000001</v>
      </c>
      <c r="C1856">
        <f t="shared" si="31"/>
        <v>2020</v>
      </c>
    </row>
    <row r="1857" spans="1:3" x14ac:dyDescent="0.2">
      <c r="A1857" s="3">
        <v>44110</v>
      </c>
      <c r="B1857">
        <v>78.393000000000001</v>
      </c>
      <c r="C1857">
        <f t="shared" si="31"/>
        <v>2020</v>
      </c>
    </row>
    <row r="1858" spans="1:3" x14ac:dyDescent="0.2">
      <c r="A1858" s="3">
        <v>44109</v>
      </c>
      <c r="B1858">
        <v>78.095399999999998</v>
      </c>
      <c r="C1858">
        <f t="shared" si="31"/>
        <v>2020</v>
      </c>
    </row>
    <row r="1859" spans="1:3" x14ac:dyDescent="0.2">
      <c r="A1859" s="3">
        <v>44106</v>
      </c>
      <c r="B1859">
        <v>78.192599999999999</v>
      </c>
      <c r="C1859">
        <f t="shared" si="31"/>
        <v>2020</v>
      </c>
    </row>
    <row r="1860" spans="1:3" x14ac:dyDescent="0.2">
      <c r="A1860" s="3">
        <v>44105</v>
      </c>
      <c r="B1860">
        <v>77.261600000000001</v>
      </c>
      <c r="C1860">
        <f t="shared" ref="C1860:C1923" si="32">YEAR(A1860)</f>
        <v>2020</v>
      </c>
    </row>
    <row r="1861" spans="1:3" x14ac:dyDescent="0.2">
      <c r="A1861" s="3">
        <v>44104</v>
      </c>
      <c r="B1861">
        <v>77.657300000000006</v>
      </c>
      <c r="C1861">
        <f t="shared" si="32"/>
        <v>2020</v>
      </c>
    </row>
    <row r="1862" spans="1:3" x14ac:dyDescent="0.2">
      <c r="A1862" s="3">
        <v>44103</v>
      </c>
      <c r="B1862">
        <v>79.0732</v>
      </c>
      <c r="C1862">
        <f t="shared" si="32"/>
        <v>2020</v>
      </c>
    </row>
    <row r="1863" spans="1:3" x14ac:dyDescent="0.2">
      <c r="A1863" s="3">
        <v>44102</v>
      </c>
      <c r="B1863">
        <v>79.087800000000001</v>
      </c>
      <c r="C1863">
        <f t="shared" si="32"/>
        <v>2020</v>
      </c>
    </row>
    <row r="1864" spans="1:3" x14ac:dyDescent="0.2">
      <c r="A1864" s="3">
        <v>44099</v>
      </c>
      <c r="B1864">
        <v>78.147000000000006</v>
      </c>
      <c r="C1864">
        <f t="shared" si="32"/>
        <v>2020</v>
      </c>
    </row>
    <row r="1865" spans="1:3" x14ac:dyDescent="0.2">
      <c r="A1865" s="3">
        <v>44098</v>
      </c>
      <c r="B1865">
        <v>77.055499999999995</v>
      </c>
      <c r="C1865">
        <f t="shared" si="32"/>
        <v>2020</v>
      </c>
    </row>
    <row r="1866" spans="1:3" x14ac:dyDescent="0.2">
      <c r="A1866" s="3">
        <v>44097</v>
      </c>
      <c r="B1866">
        <v>77.042000000000002</v>
      </c>
      <c r="C1866">
        <f t="shared" si="32"/>
        <v>2020</v>
      </c>
    </row>
    <row r="1867" spans="1:3" x14ac:dyDescent="0.2">
      <c r="A1867" s="3">
        <v>44096</v>
      </c>
      <c r="B1867">
        <v>76.144199999999998</v>
      </c>
      <c r="C1867">
        <f t="shared" si="32"/>
        <v>2020</v>
      </c>
    </row>
    <row r="1868" spans="1:3" x14ac:dyDescent="0.2">
      <c r="A1868" s="3">
        <v>44095</v>
      </c>
      <c r="B1868">
        <v>76.376499999999993</v>
      </c>
      <c r="C1868">
        <f t="shared" si="32"/>
        <v>2020</v>
      </c>
    </row>
    <row r="1869" spans="1:3" x14ac:dyDescent="0.2">
      <c r="A1869" s="3">
        <v>44092</v>
      </c>
      <c r="B1869">
        <v>75.618300000000005</v>
      </c>
      <c r="C1869">
        <f t="shared" si="32"/>
        <v>2020</v>
      </c>
    </row>
    <row r="1870" spans="1:3" x14ac:dyDescent="0.2">
      <c r="A1870" s="3">
        <v>44091</v>
      </c>
      <c r="B1870">
        <v>75.153800000000004</v>
      </c>
      <c r="C1870">
        <f t="shared" si="32"/>
        <v>2020</v>
      </c>
    </row>
    <row r="1871" spans="1:3" x14ac:dyDescent="0.2">
      <c r="A1871" s="3">
        <v>44090</v>
      </c>
      <c r="B1871">
        <v>74.928799999999995</v>
      </c>
      <c r="C1871">
        <f t="shared" si="32"/>
        <v>2020</v>
      </c>
    </row>
    <row r="1872" spans="1:3" x14ac:dyDescent="0.2">
      <c r="A1872" s="3">
        <v>44089</v>
      </c>
      <c r="B1872">
        <v>75.008899999999997</v>
      </c>
      <c r="C1872">
        <f t="shared" si="32"/>
        <v>2020</v>
      </c>
    </row>
    <row r="1873" spans="1:3" x14ac:dyDescent="0.2">
      <c r="A1873" s="3">
        <v>44088</v>
      </c>
      <c r="B1873">
        <v>75.293999999999997</v>
      </c>
      <c r="C1873">
        <f t="shared" si="32"/>
        <v>2020</v>
      </c>
    </row>
    <row r="1874" spans="1:3" x14ac:dyDescent="0.2">
      <c r="A1874" s="3">
        <v>44085</v>
      </c>
      <c r="B1874">
        <v>74.912300000000002</v>
      </c>
      <c r="C1874">
        <f t="shared" si="32"/>
        <v>2020</v>
      </c>
    </row>
    <row r="1875" spans="1:3" x14ac:dyDescent="0.2">
      <c r="A1875" s="3">
        <v>44084</v>
      </c>
      <c r="B1875">
        <v>75.177899999999994</v>
      </c>
      <c r="C1875">
        <f t="shared" si="32"/>
        <v>2020</v>
      </c>
    </row>
    <row r="1876" spans="1:3" x14ac:dyDescent="0.2">
      <c r="A1876" s="3">
        <v>44083</v>
      </c>
      <c r="B1876">
        <v>75.333200000000005</v>
      </c>
      <c r="C1876">
        <f t="shared" si="32"/>
        <v>2020</v>
      </c>
    </row>
    <row r="1877" spans="1:3" x14ac:dyDescent="0.2">
      <c r="A1877" s="3">
        <v>44082</v>
      </c>
      <c r="B1877">
        <v>76.335800000000006</v>
      </c>
      <c r="C1877">
        <f t="shared" si="32"/>
        <v>2020</v>
      </c>
    </row>
    <row r="1878" spans="1:3" x14ac:dyDescent="0.2">
      <c r="A1878" s="3">
        <v>44081</v>
      </c>
      <c r="B1878">
        <v>75.744100000000003</v>
      </c>
      <c r="C1878">
        <f t="shared" si="32"/>
        <v>2020</v>
      </c>
    </row>
    <row r="1879" spans="1:3" x14ac:dyDescent="0.2">
      <c r="A1879" s="3">
        <v>44078</v>
      </c>
      <c r="B1879">
        <v>75.427700000000002</v>
      </c>
      <c r="C1879">
        <f t="shared" si="32"/>
        <v>2020</v>
      </c>
    </row>
    <row r="1880" spans="1:3" x14ac:dyDescent="0.2">
      <c r="A1880" s="3">
        <v>44077</v>
      </c>
      <c r="B1880">
        <v>75.283799999999999</v>
      </c>
      <c r="C1880">
        <f t="shared" si="32"/>
        <v>2020</v>
      </c>
    </row>
    <row r="1881" spans="1:3" x14ac:dyDescent="0.2">
      <c r="A1881" s="3">
        <v>44076</v>
      </c>
      <c r="B1881">
        <v>75.292599999999993</v>
      </c>
      <c r="C1881">
        <f t="shared" si="32"/>
        <v>2020</v>
      </c>
    </row>
    <row r="1882" spans="1:3" x14ac:dyDescent="0.2">
      <c r="A1882" s="3">
        <v>44075</v>
      </c>
      <c r="B1882">
        <v>73.62</v>
      </c>
      <c r="C1882">
        <f t="shared" si="32"/>
        <v>2020</v>
      </c>
    </row>
    <row r="1883" spans="1:3" x14ac:dyDescent="0.2">
      <c r="A1883" s="3">
        <v>44074</v>
      </c>
      <c r="B1883">
        <v>74.012799999999999</v>
      </c>
      <c r="C1883">
        <f t="shared" si="32"/>
        <v>2020</v>
      </c>
    </row>
    <row r="1884" spans="1:3" x14ac:dyDescent="0.2">
      <c r="A1884" s="3">
        <v>44071</v>
      </c>
      <c r="B1884">
        <v>74.033799999999999</v>
      </c>
      <c r="C1884">
        <f t="shared" si="32"/>
        <v>2020</v>
      </c>
    </row>
    <row r="1885" spans="1:3" x14ac:dyDescent="0.2">
      <c r="A1885" s="3">
        <v>44070</v>
      </c>
      <c r="B1885">
        <v>74.919300000000007</v>
      </c>
      <c r="C1885">
        <f t="shared" si="32"/>
        <v>2020</v>
      </c>
    </row>
    <row r="1886" spans="1:3" x14ac:dyDescent="0.2">
      <c r="A1886" s="3">
        <v>44069</v>
      </c>
      <c r="B1886">
        <v>75.408799999999999</v>
      </c>
      <c r="C1886">
        <f t="shared" si="32"/>
        <v>2020</v>
      </c>
    </row>
    <row r="1887" spans="1:3" x14ac:dyDescent="0.2">
      <c r="A1887" s="3">
        <v>44068</v>
      </c>
      <c r="B1887">
        <v>75.245000000000005</v>
      </c>
      <c r="C1887">
        <f t="shared" si="32"/>
        <v>2020</v>
      </c>
    </row>
    <row r="1888" spans="1:3" x14ac:dyDescent="0.2">
      <c r="A1888" s="3">
        <v>44067</v>
      </c>
      <c r="B1888">
        <v>74.590800000000002</v>
      </c>
      <c r="C1888">
        <f t="shared" si="32"/>
        <v>2020</v>
      </c>
    </row>
    <row r="1889" spans="1:3" x14ac:dyDescent="0.2">
      <c r="A1889" s="3">
        <v>44064</v>
      </c>
      <c r="B1889">
        <v>74.819199999999995</v>
      </c>
      <c r="C1889">
        <f t="shared" si="32"/>
        <v>2020</v>
      </c>
    </row>
    <row r="1890" spans="1:3" x14ac:dyDescent="0.2">
      <c r="A1890" s="3">
        <v>44063</v>
      </c>
      <c r="B1890">
        <v>73.820300000000003</v>
      </c>
      <c r="C1890">
        <f t="shared" si="32"/>
        <v>2020</v>
      </c>
    </row>
    <row r="1891" spans="1:3" x14ac:dyDescent="0.2">
      <c r="A1891" s="3">
        <v>44062</v>
      </c>
      <c r="B1891">
        <v>73.168999999999997</v>
      </c>
      <c r="C1891">
        <f t="shared" si="32"/>
        <v>2020</v>
      </c>
    </row>
    <row r="1892" spans="1:3" x14ac:dyDescent="0.2">
      <c r="A1892" s="3">
        <v>44061</v>
      </c>
      <c r="B1892">
        <v>73.116799999999998</v>
      </c>
      <c r="C1892">
        <f t="shared" si="32"/>
        <v>2020</v>
      </c>
    </row>
    <row r="1893" spans="1:3" x14ac:dyDescent="0.2">
      <c r="A1893" s="3">
        <v>44060</v>
      </c>
      <c r="B1893">
        <v>73.704400000000007</v>
      </c>
      <c r="C1893">
        <f t="shared" si="32"/>
        <v>2020</v>
      </c>
    </row>
    <row r="1894" spans="1:3" x14ac:dyDescent="0.2">
      <c r="A1894" s="3">
        <v>44059</v>
      </c>
      <c r="B1894">
        <v>73.135000000000005</v>
      </c>
      <c r="C1894">
        <f t="shared" si="32"/>
        <v>2020</v>
      </c>
    </row>
    <row r="1895" spans="1:3" x14ac:dyDescent="0.2">
      <c r="A1895" s="3">
        <v>44057</v>
      </c>
      <c r="B1895">
        <v>72.831699999999998</v>
      </c>
      <c r="C1895">
        <f t="shared" si="32"/>
        <v>2020</v>
      </c>
    </row>
    <row r="1896" spans="1:3" x14ac:dyDescent="0.2">
      <c r="A1896" s="3">
        <v>44056</v>
      </c>
      <c r="B1896">
        <v>72.877099999999999</v>
      </c>
      <c r="C1896">
        <f t="shared" si="32"/>
        <v>2020</v>
      </c>
    </row>
    <row r="1897" spans="1:3" x14ac:dyDescent="0.2">
      <c r="A1897" s="3">
        <v>44055</v>
      </c>
      <c r="B1897">
        <v>73.646500000000003</v>
      </c>
      <c r="C1897">
        <f t="shared" si="32"/>
        <v>2020</v>
      </c>
    </row>
    <row r="1898" spans="1:3" x14ac:dyDescent="0.2">
      <c r="A1898" s="3">
        <v>44054</v>
      </c>
      <c r="B1898">
        <v>73.069999999999993</v>
      </c>
      <c r="C1898">
        <f t="shared" si="32"/>
        <v>2020</v>
      </c>
    </row>
    <row r="1899" spans="1:3" x14ac:dyDescent="0.2">
      <c r="A1899" s="3">
        <v>44053</v>
      </c>
      <c r="B1899">
        <v>73.439899999999994</v>
      </c>
      <c r="C1899">
        <f t="shared" si="32"/>
        <v>2020</v>
      </c>
    </row>
    <row r="1900" spans="1:3" x14ac:dyDescent="0.2">
      <c r="A1900" s="3">
        <v>44050</v>
      </c>
      <c r="B1900">
        <v>73.394999999999996</v>
      </c>
      <c r="C1900">
        <f t="shared" si="32"/>
        <v>2020</v>
      </c>
    </row>
    <row r="1901" spans="1:3" x14ac:dyDescent="0.2">
      <c r="A1901" s="3">
        <v>44049</v>
      </c>
      <c r="B1901">
        <v>73.44</v>
      </c>
      <c r="C1901">
        <f t="shared" si="32"/>
        <v>2020</v>
      </c>
    </row>
    <row r="1902" spans="1:3" x14ac:dyDescent="0.2">
      <c r="A1902" s="3">
        <v>44048</v>
      </c>
      <c r="B1902">
        <v>72.915499999999994</v>
      </c>
      <c r="C1902">
        <f t="shared" si="32"/>
        <v>2020</v>
      </c>
    </row>
    <row r="1903" spans="1:3" x14ac:dyDescent="0.2">
      <c r="A1903" s="3">
        <v>44047</v>
      </c>
      <c r="B1903">
        <v>73.4375</v>
      </c>
      <c r="C1903">
        <f t="shared" si="32"/>
        <v>2020</v>
      </c>
    </row>
    <row r="1904" spans="1:3" x14ac:dyDescent="0.2">
      <c r="A1904" s="3">
        <v>44046</v>
      </c>
      <c r="B1904">
        <v>73.109800000000007</v>
      </c>
      <c r="C1904">
        <f t="shared" si="32"/>
        <v>2020</v>
      </c>
    </row>
    <row r="1905" spans="1:3" x14ac:dyDescent="0.2">
      <c r="A1905" s="3">
        <v>44043</v>
      </c>
      <c r="B1905">
        <v>74.125699999999995</v>
      </c>
      <c r="C1905">
        <f t="shared" si="32"/>
        <v>2020</v>
      </c>
    </row>
    <row r="1906" spans="1:3" x14ac:dyDescent="0.2">
      <c r="A1906" s="3">
        <v>44042</v>
      </c>
      <c r="B1906">
        <v>73.106300000000005</v>
      </c>
      <c r="C1906">
        <f t="shared" si="32"/>
        <v>2020</v>
      </c>
    </row>
    <row r="1907" spans="1:3" x14ac:dyDescent="0.2">
      <c r="A1907" s="3">
        <v>44041</v>
      </c>
      <c r="B1907">
        <v>72.591999999999999</v>
      </c>
      <c r="C1907">
        <f t="shared" si="32"/>
        <v>2020</v>
      </c>
    </row>
    <row r="1908" spans="1:3" x14ac:dyDescent="0.2">
      <c r="A1908" s="3">
        <v>44040</v>
      </c>
      <c r="B1908">
        <v>72.508300000000006</v>
      </c>
      <c r="C1908">
        <f t="shared" si="32"/>
        <v>2020</v>
      </c>
    </row>
    <row r="1909" spans="1:3" x14ac:dyDescent="0.2">
      <c r="A1909" s="3">
        <v>44039</v>
      </c>
      <c r="B1909">
        <v>71.608199999999997</v>
      </c>
      <c r="C1909">
        <f t="shared" si="32"/>
        <v>2020</v>
      </c>
    </row>
    <row r="1910" spans="1:3" x14ac:dyDescent="0.2">
      <c r="A1910" s="3">
        <v>44036</v>
      </c>
      <c r="B1910">
        <v>71.700699999999998</v>
      </c>
      <c r="C1910">
        <f t="shared" si="32"/>
        <v>2020</v>
      </c>
    </row>
    <row r="1911" spans="1:3" x14ac:dyDescent="0.2">
      <c r="A1911" s="3">
        <v>44035</v>
      </c>
      <c r="B1911">
        <v>71.442899999999995</v>
      </c>
      <c r="C1911">
        <f t="shared" si="32"/>
        <v>2020</v>
      </c>
    </row>
    <row r="1912" spans="1:3" x14ac:dyDescent="0.2">
      <c r="A1912" s="3">
        <v>44034</v>
      </c>
      <c r="B1912">
        <v>71.100999999999999</v>
      </c>
      <c r="C1912">
        <f t="shared" si="32"/>
        <v>2020</v>
      </c>
    </row>
    <row r="1913" spans="1:3" x14ac:dyDescent="0.2">
      <c r="A1913" s="3">
        <v>44033</v>
      </c>
      <c r="B1913">
        <v>70.667199999999994</v>
      </c>
      <c r="C1913">
        <f t="shared" si="32"/>
        <v>2020</v>
      </c>
    </row>
    <row r="1914" spans="1:3" x14ac:dyDescent="0.2">
      <c r="A1914" s="3">
        <v>44032</v>
      </c>
      <c r="B1914">
        <v>71.408100000000005</v>
      </c>
      <c r="C1914">
        <f t="shared" si="32"/>
        <v>2020</v>
      </c>
    </row>
    <row r="1915" spans="1:3" x14ac:dyDescent="0.2">
      <c r="A1915" s="3">
        <v>44029</v>
      </c>
      <c r="B1915">
        <v>71.876499999999993</v>
      </c>
      <c r="C1915">
        <f t="shared" si="32"/>
        <v>2020</v>
      </c>
    </row>
    <row r="1916" spans="1:3" x14ac:dyDescent="0.2">
      <c r="A1916" s="3">
        <v>44028</v>
      </c>
      <c r="B1916">
        <v>71.536500000000004</v>
      </c>
      <c r="C1916">
        <f t="shared" si="32"/>
        <v>2020</v>
      </c>
    </row>
    <row r="1917" spans="1:3" x14ac:dyDescent="0.2">
      <c r="A1917" s="3">
        <v>44027</v>
      </c>
      <c r="B1917">
        <v>70.986500000000007</v>
      </c>
      <c r="C1917">
        <f t="shared" si="32"/>
        <v>2020</v>
      </c>
    </row>
    <row r="1918" spans="1:3" x14ac:dyDescent="0.2">
      <c r="A1918" s="3">
        <v>44026</v>
      </c>
      <c r="B1918">
        <v>70.971500000000006</v>
      </c>
      <c r="C1918">
        <f t="shared" si="32"/>
        <v>2020</v>
      </c>
    </row>
    <row r="1919" spans="1:3" x14ac:dyDescent="0.2">
      <c r="A1919" s="3">
        <v>44025</v>
      </c>
      <c r="B1919">
        <v>71.004900000000006</v>
      </c>
      <c r="C1919">
        <f t="shared" si="32"/>
        <v>2020</v>
      </c>
    </row>
    <row r="1920" spans="1:3" x14ac:dyDescent="0.2">
      <c r="A1920" s="3">
        <v>44022</v>
      </c>
      <c r="B1920">
        <v>70.776300000000006</v>
      </c>
      <c r="C1920">
        <f t="shared" si="32"/>
        <v>2020</v>
      </c>
    </row>
    <row r="1921" spans="1:3" x14ac:dyDescent="0.2">
      <c r="A1921" s="3">
        <v>44021</v>
      </c>
      <c r="B1921">
        <v>70.830600000000004</v>
      </c>
      <c r="C1921">
        <f t="shared" si="32"/>
        <v>2020</v>
      </c>
    </row>
    <row r="1922" spans="1:3" x14ac:dyDescent="0.2">
      <c r="A1922" s="3">
        <v>44020</v>
      </c>
      <c r="B1922">
        <v>71.220699999999994</v>
      </c>
      <c r="C1922">
        <f t="shared" si="32"/>
        <v>2020</v>
      </c>
    </row>
    <row r="1923" spans="1:3" x14ac:dyDescent="0.2">
      <c r="A1923" s="3">
        <v>44019</v>
      </c>
      <c r="B1923">
        <v>71.499799999999993</v>
      </c>
      <c r="C1923">
        <f t="shared" si="32"/>
        <v>2020</v>
      </c>
    </row>
    <row r="1924" spans="1:3" x14ac:dyDescent="0.2">
      <c r="A1924" s="3">
        <v>44018</v>
      </c>
      <c r="B1924">
        <v>71.722499999999997</v>
      </c>
      <c r="C1924">
        <f t="shared" ref="C1924:C1987" si="33">YEAR(A1924)</f>
        <v>2020</v>
      </c>
    </row>
    <row r="1925" spans="1:3" x14ac:dyDescent="0.2">
      <c r="A1925" s="3">
        <v>44015</v>
      </c>
      <c r="B1925">
        <v>71.374499999999998</v>
      </c>
      <c r="C1925">
        <f t="shared" si="33"/>
        <v>2020</v>
      </c>
    </row>
    <row r="1926" spans="1:3" x14ac:dyDescent="0.2">
      <c r="A1926" s="3">
        <v>44014</v>
      </c>
      <c r="B1926">
        <v>70.697500000000005</v>
      </c>
      <c r="C1926">
        <f t="shared" si="33"/>
        <v>2020</v>
      </c>
    </row>
    <row r="1927" spans="1:3" x14ac:dyDescent="0.2">
      <c r="A1927" s="3">
        <v>44013</v>
      </c>
      <c r="B1927">
        <v>70.678600000000003</v>
      </c>
      <c r="C1927">
        <f t="shared" si="33"/>
        <v>2020</v>
      </c>
    </row>
    <row r="1928" spans="1:3" x14ac:dyDescent="0.2">
      <c r="A1928" s="3">
        <v>44012</v>
      </c>
      <c r="B1928">
        <v>71.200199999999995</v>
      </c>
      <c r="C1928">
        <f t="shared" si="33"/>
        <v>2020</v>
      </c>
    </row>
    <row r="1929" spans="1:3" x14ac:dyDescent="0.2">
      <c r="A1929" s="3">
        <v>44011</v>
      </c>
      <c r="B1929">
        <v>70.076999999999998</v>
      </c>
      <c r="C1929">
        <f t="shared" si="33"/>
        <v>2020</v>
      </c>
    </row>
    <row r="1930" spans="1:3" x14ac:dyDescent="0.2">
      <c r="A1930" s="3">
        <v>44010</v>
      </c>
      <c r="B1930">
        <v>69.771299999999997</v>
      </c>
      <c r="C1930">
        <f t="shared" si="33"/>
        <v>2020</v>
      </c>
    </row>
    <row r="1931" spans="1:3" x14ac:dyDescent="0.2">
      <c r="A1931" s="3">
        <v>44008</v>
      </c>
      <c r="B1931">
        <v>69.775999999999996</v>
      </c>
      <c r="C1931">
        <f t="shared" si="33"/>
        <v>2020</v>
      </c>
    </row>
    <row r="1932" spans="1:3" x14ac:dyDescent="0.2">
      <c r="A1932" s="3">
        <v>44007</v>
      </c>
      <c r="B1932">
        <v>69.072999999999993</v>
      </c>
      <c r="C1932">
        <f t="shared" si="33"/>
        <v>2020</v>
      </c>
    </row>
    <row r="1933" spans="1:3" x14ac:dyDescent="0.2">
      <c r="A1933" s="3">
        <v>44006</v>
      </c>
      <c r="B1933">
        <v>69.558700000000002</v>
      </c>
      <c r="C1933">
        <f t="shared" si="33"/>
        <v>2020</v>
      </c>
    </row>
    <row r="1934" spans="1:3" x14ac:dyDescent="0.2">
      <c r="A1934" s="3">
        <v>44005</v>
      </c>
      <c r="B1934">
        <v>68.834900000000005</v>
      </c>
      <c r="C1934">
        <f t="shared" si="33"/>
        <v>2020</v>
      </c>
    </row>
    <row r="1935" spans="1:3" x14ac:dyDescent="0.2">
      <c r="A1935" s="3">
        <v>44004</v>
      </c>
      <c r="B1935">
        <v>69.210099999999997</v>
      </c>
      <c r="C1935">
        <f t="shared" si="33"/>
        <v>2020</v>
      </c>
    </row>
    <row r="1936" spans="1:3" x14ac:dyDescent="0.2">
      <c r="A1936" s="3">
        <v>44001</v>
      </c>
      <c r="B1936">
        <v>69.563100000000006</v>
      </c>
      <c r="C1936">
        <f t="shared" si="33"/>
        <v>2020</v>
      </c>
    </row>
    <row r="1937" spans="1:3" x14ac:dyDescent="0.2">
      <c r="A1937" s="3">
        <v>44000</v>
      </c>
      <c r="B1937">
        <v>69.897099999999995</v>
      </c>
      <c r="C1937">
        <f t="shared" si="33"/>
        <v>2020</v>
      </c>
    </row>
    <row r="1938" spans="1:3" x14ac:dyDescent="0.2">
      <c r="A1938" s="3">
        <v>43999</v>
      </c>
      <c r="B1938">
        <v>69.689800000000005</v>
      </c>
      <c r="C1938">
        <f t="shared" si="33"/>
        <v>2020</v>
      </c>
    </row>
    <row r="1939" spans="1:3" x14ac:dyDescent="0.2">
      <c r="A1939" s="3">
        <v>43998</v>
      </c>
      <c r="B1939">
        <v>69.694999999999993</v>
      </c>
      <c r="C1939">
        <f t="shared" si="33"/>
        <v>2020</v>
      </c>
    </row>
    <row r="1940" spans="1:3" x14ac:dyDescent="0.2">
      <c r="A1940" s="3">
        <v>43997</v>
      </c>
      <c r="B1940">
        <v>69.578699999999998</v>
      </c>
      <c r="C1940">
        <f t="shared" si="33"/>
        <v>2020</v>
      </c>
    </row>
    <row r="1941" spans="1:3" x14ac:dyDescent="0.2">
      <c r="A1941" s="3">
        <v>43996</v>
      </c>
      <c r="B1941">
        <v>69.614999999999995</v>
      </c>
      <c r="C1941">
        <f t="shared" si="33"/>
        <v>2020</v>
      </c>
    </row>
    <row r="1942" spans="1:3" x14ac:dyDescent="0.2">
      <c r="A1942" s="3">
        <v>43994</v>
      </c>
      <c r="B1942">
        <v>69.8703</v>
      </c>
      <c r="C1942">
        <f t="shared" si="33"/>
        <v>2020</v>
      </c>
    </row>
    <row r="1943" spans="1:3" x14ac:dyDescent="0.2">
      <c r="A1943" s="3">
        <v>43993</v>
      </c>
      <c r="B1943">
        <v>70.129499999999993</v>
      </c>
      <c r="C1943">
        <f t="shared" si="33"/>
        <v>2020</v>
      </c>
    </row>
    <row r="1944" spans="1:3" x14ac:dyDescent="0.2">
      <c r="A1944" s="3">
        <v>43992</v>
      </c>
      <c r="B1944">
        <v>68.548699999999997</v>
      </c>
      <c r="C1944">
        <f t="shared" si="33"/>
        <v>2020</v>
      </c>
    </row>
    <row r="1945" spans="1:3" x14ac:dyDescent="0.2">
      <c r="A1945" s="3">
        <v>43991</v>
      </c>
      <c r="B1945">
        <v>68.676100000000005</v>
      </c>
      <c r="C1945">
        <f t="shared" si="33"/>
        <v>2020</v>
      </c>
    </row>
    <row r="1946" spans="1:3" x14ac:dyDescent="0.2">
      <c r="A1946" s="3">
        <v>43990</v>
      </c>
      <c r="B1946">
        <v>68.233000000000004</v>
      </c>
      <c r="C1946">
        <f t="shared" si="33"/>
        <v>2020</v>
      </c>
    </row>
    <row r="1947" spans="1:3" x14ac:dyDescent="0.2">
      <c r="A1947" s="3">
        <v>43989</v>
      </c>
      <c r="B1947">
        <v>68.444000000000003</v>
      </c>
      <c r="C1947">
        <f t="shared" si="33"/>
        <v>2020</v>
      </c>
    </row>
    <row r="1948" spans="1:3" x14ac:dyDescent="0.2">
      <c r="A1948" s="3">
        <v>43987</v>
      </c>
      <c r="B1948">
        <v>68.697400000000002</v>
      </c>
      <c r="C1948">
        <f t="shared" si="33"/>
        <v>2020</v>
      </c>
    </row>
    <row r="1949" spans="1:3" x14ac:dyDescent="0.2">
      <c r="A1949" s="3">
        <v>43986</v>
      </c>
      <c r="B1949">
        <v>69.109800000000007</v>
      </c>
      <c r="C1949">
        <f t="shared" si="33"/>
        <v>2020</v>
      </c>
    </row>
    <row r="1950" spans="1:3" x14ac:dyDescent="0.2">
      <c r="A1950" s="3">
        <v>43985</v>
      </c>
      <c r="B1950">
        <v>68.609200000000001</v>
      </c>
      <c r="C1950">
        <f t="shared" si="33"/>
        <v>2020</v>
      </c>
    </row>
    <row r="1951" spans="1:3" x14ac:dyDescent="0.2">
      <c r="A1951" s="3">
        <v>43984</v>
      </c>
      <c r="B1951">
        <v>68.669499999999999</v>
      </c>
      <c r="C1951">
        <f t="shared" si="33"/>
        <v>2020</v>
      </c>
    </row>
    <row r="1952" spans="1:3" x14ac:dyDescent="0.2">
      <c r="A1952" s="3">
        <v>43983</v>
      </c>
      <c r="B1952">
        <v>69.040300000000002</v>
      </c>
      <c r="C1952">
        <f t="shared" si="33"/>
        <v>2020</v>
      </c>
    </row>
    <row r="1953" spans="1:3" x14ac:dyDescent="0.2">
      <c r="A1953" s="3">
        <v>43980</v>
      </c>
      <c r="B1953">
        <v>70.142399999999995</v>
      </c>
      <c r="C1953">
        <f t="shared" si="33"/>
        <v>2020</v>
      </c>
    </row>
    <row r="1954" spans="1:3" x14ac:dyDescent="0.2">
      <c r="A1954" s="3">
        <v>43979</v>
      </c>
      <c r="B1954">
        <v>70.520099999999999</v>
      </c>
      <c r="C1954">
        <f t="shared" si="33"/>
        <v>2020</v>
      </c>
    </row>
    <row r="1955" spans="1:3" x14ac:dyDescent="0.2">
      <c r="A1955" s="3">
        <v>43978</v>
      </c>
      <c r="B1955">
        <v>70.989000000000004</v>
      </c>
      <c r="C1955">
        <f t="shared" si="33"/>
        <v>2020</v>
      </c>
    </row>
    <row r="1956" spans="1:3" x14ac:dyDescent="0.2">
      <c r="A1956" s="3">
        <v>43977</v>
      </c>
      <c r="B1956">
        <v>70.806100000000001</v>
      </c>
      <c r="C1956">
        <f t="shared" si="33"/>
        <v>2020</v>
      </c>
    </row>
    <row r="1957" spans="1:3" x14ac:dyDescent="0.2">
      <c r="A1957" s="3">
        <v>43976</v>
      </c>
      <c r="B1957">
        <v>71.663600000000002</v>
      </c>
      <c r="C1957">
        <f t="shared" si="33"/>
        <v>2020</v>
      </c>
    </row>
    <row r="1958" spans="1:3" x14ac:dyDescent="0.2">
      <c r="A1958" s="3">
        <v>43973</v>
      </c>
      <c r="B1958">
        <v>71.575000000000003</v>
      </c>
      <c r="C1958">
        <f t="shared" si="33"/>
        <v>2020</v>
      </c>
    </row>
    <row r="1959" spans="1:3" x14ac:dyDescent="0.2">
      <c r="A1959" s="3">
        <v>43972</v>
      </c>
      <c r="B1959">
        <v>70.979500000000002</v>
      </c>
      <c r="C1959">
        <f t="shared" si="33"/>
        <v>2020</v>
      </c>
    </row>
    <row r="1960" spans="1:3" x14ac:dyDescent="0.2">
      <c r="A1960" s="3">
        <v>43971</v>
      </c>
      <c r="B1960">
        <v>71.134500000000003</v>
      </c>
      <c r="C1960">
        <f t="shared" si="33"/>
        <v>2020</v>
      </c>
    </row>
    <row r="1961" spans="1:3" x14ac:dyDescent="0.2">
      <c r="A1961" s="3">
        <v>43970</v>
      </c>
      <c r="B1961">
        <v>72.511600000000001</v>
      </c>
      <c r="C1961">
        <f t="shared" si="33"/>
        <v>2020</v>
      </c>
    </row>
    <row r="1962" spans="1:3" x14ac:dyDescent="0.2">
      <c r="A1962" s="3">
        <v>43969</v>
      </c>
      <c r="B1962">
        <v>72.729100000000003</v>
      </c>
      <c r="C1962">
        <f t="shared" si="33"/>
        <v>2020</v>
      </c>
    </row>
    <row r="1963" spans="1:3" x14ac:dyDescent="0.2">
      <c r="A1963" s="3">
        <v>43968</v>
      </c>
      <c r="B1963">
        <v>73.843800000000002</v>
      </c>
      <c r="C1963">
        <f t="shared" si="33"/>
        <v>2020</v>
      </c>
    </row>
    <row r="1964" spans="1:3" x14ac:dyDescent="0.2">
      <c r="A1964" s="3">
        <v>43966</v>
      </c>
      <c r="B1964">
        <v>73.481999999999999</v>
      </c>
      <c r="C1964">
        <f t="shared" si="33"/>
        <v>2020</v>
      </c>
    </row>
    <row r="1965" spans="1:3" x14ac:dyDescent="0.2">
      <c r="A1965" s="3">
        <v>43965</v>
      </c>
      <c r="B1965">
        <v>73.497799999999998</v>
      </c>
      <c r="C1965">
        <f t="shared" si="33"/>
        <v>2020</v>
      </c>
    </row>
    <row r="1966" spans="1:3" x14ac:dyDescent="0.2">
      <c r="A1966" s="3">
        <v>43964</v>
      </c>
      <c r="B1966">
        <v>73.990600000000001</v>
      </c>
      <c r="C1966">
        <f t="shared" si="33"/>
        <v>2020</v>
      </c>
    </row>
    <row r="1967" spans="1:3" x14ac:dyDescent="0.2">
      <c r="A1967" s="3">
        <v>43963</v>
      </c>
      <c r="B1967">
        <v>73.697199999999995</v>
      </c>
      <c r="C1967">
        <f t="shared" si="33"/>
        <v>2020</v>
      </c>
    </row>
    <row r="1968" spans="1:3" x14ac:dyDescent="0.2">
      <c r="A1968" s="3">
        <v>43962</v>
      </c>
      <c r="B1968">
        <v>73.6768</v>
      </c>
      <c r="C1968">
        <f t="shared" si="33"/>
        <v>2020</v>
      </c>
    </row>
    <row r="1969" spans="1:3" x14ac:dyDescent="0.2">
      <c r="A1969" s="3">
        <v>43961</v>
      </c>
      <c r="B1969">
        <v>73.364999999999995</v>
      </c>
      <c r="C1969">
        <f t="shared" si="33"/>
        <v>2020</v>
      </c>
    </row>
    <row r="1970" spans="1:3" x14ac:dyDescent="0.2">
      <c r="A1970" s="3">
        <v>43959</v>
      </c>
      <c r="B1970">
        <v>73.567899999999995</v>
      </c>
      <c r="C1970">
        <f t="shared" si="33"/>
        <v>2020</v>
      </c>
    </row>
    <row r="1971" spans="1:3" x14ac:dyDescent="0.2">
      <c r="A1971" s="3">
        <v>43958</v>
      </c>
      <c r="B1971">
        <v>74.056299999999993</v>
      </c>
      <c r="C1971">
        <f t="shared" si="33"/>
        <v>2020</v>
      </c>
    </row>
    <row r="1972" spans="1:3" x14ac:dyDescent="0.2">
      <c r="A1972" s="3">
        <v>43957</v>
      </c>
      <c r="B1972">
        <v>74.473399999999998</v>
      </c>
      <c r="C1972">
        <f t="shared" si="33"/>
        <v>2020</v>
      </c>
    </row>
    <row r="1973" spans="1:3" x14ac:dyDescent="0.2">
      <c r="A1973" s="3">
        <v>43956</v>
      </c>
      <c r="B1973">
        <v>73.763900000000007</v>
      </c>
      <c r="C1973">
        <f t="shared" si="33"/>
        <v>2020</v>
      </c>
    </row>
    <row r="1974" spans="1:3" x14ac:dyDescent="0.2">
      <c r="A1974" s="3">
        <v>43955</v>
      </c>
      <c r="B1974">
        <v>74.805000000000007</v>
      </c>
      <c r="C1974">
        <f t="shared" si="33"/>
        <v>2020</v>
      </c>
    </row>
    <row r="1975" spans="1:3" x14ac:dyDescent="0.2">
      <c r="A1975" s="3">
        <v>43951</v>
      </c>
      <c r="B1975">
        <v>74.359300000000005</v>
      </c>
      <c r="C1975">
        <f t="shared" si="33"/>
        <v>2020</v>
      </c>
    </row>
    <row r="1976" spans="1:3" x14ac:dyDescent="0.2">
      <c r="A1976" s="3">
        <v>43950</v>
      </c>
      <c r="B1976">
        <v>73.034499999999994</v>
      </c>
      <c r="C1976">
        <f t="shared" si="33"/>
        <v>2020</v>
      </c>
    </row>
    <row r="1977" spans="1:3" x14ac:dyDescent="0.2">
      <c r="A1977" s="3">
        <v>43949</v>
      </c>
      <c r="B1977">
        <v>74.154499999999999</v>
      </c>
      <c r="C1977">
        <f t="shared" si="33"/>
        <v>2020</v>
      </c>
    </row>
    <row r="1978" spans="1:3" x14ac:dyDescent="0.2">
      <c r="A1978" s="3">
        <v>43948</v>
      </c>
      <c r="B1978">
        <v>74.363100000000003</v>
      </c>
      <c r="C1978">
        <f t="shared" si="33"/>
        <v>2020</v>
      </c>
    </row>
    <row r="1979" spans="1:3" x14ac:dyDescent="0.2">
      <c r="A1979" s="3">
        <v>43947</v>
      </c>
      <c r="B1979">
        <v>74.489999999999995</v>
      </c>
      <c r="C1979">
        <f t="shared" si="33"/>
        <v>2020</v>
      </c>
    </row>
    <row r="1980" spans="1:3" x14ac:dyDescent="0.2">
      <c r="A1980" s="3">
        <v>43945</v>
      </c>
      <c r="B1980">
        <v>74.545000000000002</v>
      </c>
      <c r="C1980">
        <f t="shared" si="33"/>
        <v>2020</v>
      </c>
    </row>
    <row r="1981" spans="1:3" x14ac:dyDescent="0.2">
      <c r="A1981" s="3">
        <v>43944</v>
      </c>
      <c r="B1981">
        <v>74.848500000000001</v>
      </c>
      <c r="C1981">
        <f t="shared" si="33"/>
        <v>2020</v>
      </c>
    </row>
    <row r="1982" spans="1:3" x14ac:dyDescent="0.2">
      <c r="A1982" s="3">
        <v>43943</v>
      </c>
      <c r="B1982">
        <v>75.925200000000004</v>
      </c>
      <c r="C1982">
        <f t="shared" si="33"/>
        <v>2020</v>
      </c>
    </row>
    <row r="1983" spans="1:3" x14ac:dyDescent="0.2">
      <c r="A1983" s="3">
        <v>43942</v>
      </c>
      <c r="B1983">
        <v>77.305499999999995</v>
      </c>
      <c r="C1983">
        <f t="shared" si="33"/>
        <v>2020</v>
      </c>
    </row>
    <row r="1984" spans="1:3" x14ac:dyDescent="0.2">
      <c r="A1984" s="3">
        <v>43941</v>
      </c>
      <c r="B1984">
        <v>75.528899999999993</v>
      </c>
      <c r="C1984">
        <f t="shared" si="33"/>
        <v>2020</v>
      </c>
    </row>
    <row r="1985" spans="1:3" x14ac:dyDescent="0.2">
      <c r="A1985" s="3">
        <v>43940</v>
      </c>
      <c r="B1985">
        <v>74.002499999999998</v>
      </c>
      <c r="C1985">
        <f t="shared" si="33"/>
        <v>2020</v>
      </c>
    </row>
    <row r="1986" spans="1:3" x14ac:dyDescent="0.2">
      <c r="A1986" s="3">
        <v>43938</v>
      </c>
      <c r="B1986">
        <v>73.917199999999994</v>
      </c>
      <c r="C1986">
        <f t="shared" si="33"/>
        <v>2020</v>
      </c>
    </row>
    <row r="1987" spans="1:3" x14ac:dyDescent="0.2">
      <c r="A1987" s="3">
        <v>43937</v>
      </c>
      <c r="B1987">
        <v>74.110500000000002</v>
      </c>
      <c r="C1987">
        <f t="shared" si="33"/>
        <v>2020</v>
      </c>
    </row>
    <row r="1988" spans="1:3" x14ac:dyDescent="0.2">
      <c r="A1988" s="3">
        <v>43936</v>
      </c>
      <c r="B1988">
        <v>74.837400000000002</v>
      </c>
      <c r="C1988">
        <f t="shared" ref="C1988:C2051" si="34">YEAR(A1988)</f>
        <v>2020</v>
      </c>
    </row>
    <row r="1989" spans="1:3" x14ac:dyDescent="0.2">
      <c r="A1989" s="3">
        <v>43935</v>
      </c>
      <c r="B1989">
        <v>73.019499999999994</v>
      </c>
      <c r="C1989">
        <f t="shared" si="34"/>
        <v>2020</v>
      </c>
    </row>
    <row r="1990" spans="1:3" x14ac:dyDescent="0.2">
      <c r="A1990" s="3">
        <v>43934</v>
      </c>
      <c r="B1990">
        <v>73.674300000000002</v>
      </c>
      <c r="C1990">
        <f t="shared" si="34"/>
        <v>2020</v>
      </c>
    </row>
    <row r="1991" spans="1:3" x14ac:dyDescent="0.2">
      <c r="A1991" s="3">
        <v>43933</v>
      </c>
      <c r="B1991">
        <v>73.450100000000006</v>
      </c>
      <c r="C1991">
        <f t="shared" si="34"/>
        <v>2020</v>
      </c>
    </row>
    <row r="1992" spans="1:3" x14ac:dyDescent="0.2">
      <c r="A1992" s="3">
        <v>43931</v>
      </c>
      <c r="B1992">
        <v>73.774600000000007</v>
      </c>
      <c r="C1992">
        <f t="shared" si="34"/>
        <v>2020</v>
      </c>
    </row>
    <row r="1993" spans="1:3" x14ac:dyDescent="0.2">
      <c r="A1993" s="3">
        <v>43930</v>
      </c>
      <c r="B1993">
        <v>74.294399999999996</v>
      </c>
      <c r="C1993">
        <f t="shared" si="34"/>
        <v>2020</v>
      </c>
    </row>
    <row r="1994" spans="1:3" x14ac:dyDescent="0.2">
      <c r="A1994" s="3">
        <v>43929</v>
      </c>
      <c r="B1994">
        <v>75.047499999999999</v>
      </c>
      <c r="C1994">
        <f t="shared" si="34"/>
        <v>2020</v>
      </c>
    </row>
    <row r="1995" spans="1:3" x14ac:dyDescent="0.2">
      <c r="A1995" s="3">
        <v>43928</v>
      </c>
      <c r="B1995">
        <v>75.545299999999997</v>
      </c>
      <c r="C1995">
        <f t="shared" si="34"/>
        <v>2020</v>
      </c>
    </row>
    <row r="1996" spans="1:3" x14ac:dyDescent="0.2">
      <c r="A1996" s="3">
        <v>43927</v>
      </c>
      <c r="B1996">
        <v>76.042500000000004</v>
      </c>
      <c r="C1996">
        <f t="shared" si="34"/>
        <v>2020</v>
      </c>
    </row>
    <row r="1997" spans="1:3" x14ac:dyDescent="0.2">
      <c r="A1997" s="3">
        <v>43926</v>
      </c>
      <c r="B1997">
        <v>76.929199999999994</v>
      </c>
      <c r="C1997">
        <f t="shared" si="34"/>
        <v>2020</v>
      </c>
    </row>
    <row r="1998" spans="1:3" x14ac:dyDescent="0.2">
      <c r="A1998" s="3">
        <v>43924</v>
      </c>
      <c r="B1998">
        <v>76.575000000000003</v>
      </c>
      <c r="C1998">
        <f t="shared" si="34"/>
        <v>2020</v>
      </c>
    </row>
    <row r="1999" spans="1:3" x14ac:dyDescent="0.2">
      <c r="A1999" s="3">
        <v>43923</v>
      </c>
      <c r="B1999">
        <v>77.221000000000004</v>
      </c>
      <c r="C1999">
        <f t="shared" si="34"/>
        <v>2020</v>
      </c>
    </row>
    <row r="2000" spans="1:3" x14ac:dyDescent="0.2">
      <c r="A2000" s="3">
        <v>43922</v>
      </c>
      <c r="B2000">
        <v>78.682699999999997</v>
      </c>
      <c r="C2000">
        <f t="shared" si="34"/>
        <v>2020</v>
      </c>
    </row>
    <row r="2001" spans="1:3" x14ac:dyDescent="0.2">
      <c r="A2001" s="3">
        <v>43921</v>
      </c>
      <c r="B2001">
        <v>78.577100000000002</v>
      </c>
      <c r="C2001">
        <f t="shared" si="34"/>
        <v>2020</v>
      </c>
    </row>
    <row r="2002" spans="1:3" x14ac:dyDescent="0.2">
      <c r="A2002" s="3">
        <v>43920</v>
      </c>
      <c r="B2002">
        <v>79.412999999999997</v>
      </c>
      <c r="C2002">
        <f t="shared" si="34"/>
        <v>2020</v>
      </c>
    </row>
    <row r="2003" spans="1:3" x14ac:dyDescent="0.2">
      <c r="A2003" s="3">
        <v>43919</v>
      </c>
      <c r="B2003">
        <v>78.941199999999995</v>
      </c>
      <c r="C2003">
        <f t="shared" si="34"/>
        <v>2020</v>
      </c>
    </row>
    <row r="2004" spans="1:3" x14ac:dyDescent="0.2">
      <c r="A2004" s="3">
        <v>43917</v>
      </c>
      <c r="B2004">
        <v>78.920199999999994</v>
      </c>
      <c r="C2004">
        <f t="shared" si="34"/>
        <v>2020</v>
      </c>
    </row>
    <row r="2005" spans="1:3" x14ac:dyDescent="0.2">
      <c r="A2005" s="3">
        <v>43916</v>
      </c>
      <c r="B2005">
        <v>77.419799999999995</v>
      </c>
      <c r="C2005">
        <f t="shared" si="34"/>
        <v>2020</v>
      </c>
    </row>
    <row r="2006" spans="1:3" x14ac:dyDescent="0.2">
      <c r="A2006" s="3">
        <v>43915</v>
      </c>
      <c r="B2006">
        <v>78.3</v>
      </c>
      <c r="C2006">
        <f t="shared" si="34"/>
        <v>2020</v>
      </c>
    </row>
    <row r="2007" spans="1:3" x14ac:dyDescent="0.2">
      <c r="A2007" s="3">
        <v>43914</v>
      </c>
      <c r="B2007">
        <v>78.325000000000003</v>
      </c>
      <c r="C2007">
        <f t="shared" si="34"/>
        <v>2020</v>
      </c>
    </row>
    <row r="2008" spans="1:3" x14ac:dyDescent="0.2">
      <c r="A2008" s="3">
        <v>43913</v>
      </c>
      <c r="B2008">
        <v>79.623199999999997</v>
      </c>
      <c r="C2008">
        <f t="shared" si="34"/>
        <v>2020</v>
      </c>
    </row>
    <row r="2009" spans="1:3" x14ac:dyDescent="0.2">
      <c r="A2009" s="3">
        <v>43910</v>
      </c>
      <c r="B2009">
        <v>79.844700000000003</v>
      </c>
      <c r="C2009">
        <f t="shared" si="34"/>
        <v>2020</v>
      </c>
    </row>
    <row r="2010" spans="1:3" x14ac:dyDescent="0.2">
      <c r="A2010" s="3">
        <v>43909</v>
      </c>
      <c r="B2010">
        <v>79.142899999999997</v>
      </c>
      <c r="C2010">
        <f t="shared" si="34"/>
        <v>2020</v>
      </c>
    </row>
    <row r="2011" spans="1:3" x14ac:dyDescent="0.2">
      <c r="A2011" s="3">
        <v>43908</v>
      </c>
      <c r="B2011">
        <v>80.878200000000007</v>
      </c>
      <c r="C2011">
        <f t="shared" si="34"/>
        <v>2020</v>
      </c>
    </row>
    <row r="2012" spans="1:3" x14ac:dyDescent="0.2">
      <c r="A2012" s="3">
        <v>43907</v>
      </c>
      <c r="B2012">
        <v>75.370500000000007</v>
      </c>
      <c r="C2012">
        <f t="shared" si="34"/>
        <v>2020</v>
      </c>
    </row>
    <row r="2013" spans="1:3" x14ac:dyDescent="0.2">
      <c r="A2013" s="3">
        <v>43906</v>
      </c>
      <c r="B2013">
        <v>74.532499999999999</v>
      </c>
      <c r="C2013">
        <f t="shared" si="34"/>
        <v>2020</v>
      </c>
    </row>
    <row r="2014" spans="1:3" x14ac:dyDescent="0.2">
      <c r="A2014" s="3">
        <v>43903</v>
      </c>
      <c r="B2014">
        <v>72.444299999999998</v>
      </c>
      <c r="C2014">
        <f t="shared" si="34"/>
        <v>2020</v>
      </c>
    </row>
    <row r="2015" spans="1:3" x14ac:dyDescent="0.2">
      <c r="A2015" s="3">
        <v>43902</v>
      </c>
      <c r="B2015">
        <v>74.8857</v>
      </c>
      <c r="C2015">
        <f t="shared" si="34"/>
        <v>2020</v>
      </c>
    </row>
    <row r="2016" spans="1:3" x14ac:dyDescent="0.2">
      <c r="A2016" s="3">
        <v>43901</v>
      </c>
      <c r="B2016">
        <v>73.235500000000002</v>
      </c>
      <c r="C2016">
        <f t="shared" si="34"/>
        <v>2020</v>
      </c>
    </row>
    <row r="2017" spans="1:3" x14ac:dyDescent="0.2">
      <c r="A2017" s="3">
        <v>43900</v>
      </c>
      <c r="B2017">
        <v>71.4786</v>
      </c>
      <c r="C2017">
        <f t="shared" si="34"/>
        <v>2020</v>
      </c>
    </row>
    <row r="2018" spans="1:3" x14ac:dyDescent="0.2">
      <c r="A2018" s="3">
        <v>43899</v>
      </c>
      <c r="B2018">
        <v>74.885999999999996</v>
      </c>
      <c r="C2018">
        <f t="shared" si="34"/>
        <v>2020</v>
      </c>
    </row>
    <row r="2019" spans="1:3" x14ac:dyDescent="0.2">
      <c r="A2019" s="3">
        <v>43898</v>
      </c>
      <c r="B2019">
        <v>69.641300000000001</v>
      </c>
      <c r="C2019">
        <f t="shared" si="34"/>
        <v>2020</v>
      </c>
    </row>
    <row r="2020" spans="1:3" x14ac:dyDescent="0.2">
      <c r="A2020" s="3">
        <v>43896</v>
      </c>
      <c r="B2020">
        <v>68.551299999999998</v>
      </c>
      <c r="C2020">
        <f t="shared" si="34"/>
        <v>2020</v>
      </c>
    </row>
    <row r="2021" spans="1:3" x14ac:dyDescent="0.2">
      <c r="A2021" s="3">
        <v>43895</v>
      </c>
      <c r="B2021">
        <v>67.568799999999996</v>
      </c>
      <c r="C2021">
        <f t="shared" si="34"/>
        <v>2020</v>
      </c>
    </row>
    <row r="2022" spans="1:3" x14ac:dyDescent="0.2">
      <c r="A2022" s="3">
        <v>43894</v>
      </c>
      <c r="B2022">
        <v>66.240799999999993</v>
      </c>
      <c r="C2022">
        <f t="shared" si="34"/>
        <v>2020</v>
      </c>
    </row>
    <row r="2023" spans="1:3" x14ac:dyDescent="0.2">
      <c r="A2023" s="3">
        <v>43893</v>
      </c>
      <c r="B2023">
        <v>66.117999999999995</v>
      </c>
      <c r="C2023">
        <f t="shared" si="34"/>
        <v>2020</v>
      </c>
    </row>
    <row r="2024" spans="1:3" x14ac:dyDescent="0.2">
      <c r="A2024" s="3">
        <v>43892</v>
      </c>
      <c r="B2024">
        <v>66.298000000000002</v>
      </c>
      <c r="C2024">
        <f t="shared" si="34"/>
        <v>2020</v>
      </c>
    </row>
    <row r="2025" spans="1:3" x14ac:dyDescent="0.2">
      <c r="A2025" s="3">
        <v>43891</v>
      </c>
      <c r="B2025">
        <v>66.971299999999999</v>
      </c>
      <c r="C2025">
        <f t="shared" si="34"/>
        <v>2020</v>
      </c>
    </row>
    <row r="2026" spans="1:3" x14ac:dyDescent="0.2">
      <c r="A2026" s="3">
        <v>43889</v>
      </c>
      <c r="B2026">
        <v>66.844300000000004</v>
      </c>
      <c r="C2026">
        <f t="shared" si="34"/>
        <v>2020</v>
      </c>
    </row>
    <row r="2027" spans="1:3" x14ac:dyDescent="0.2">
      <c r="A2027" s="3">
        <v>43888</v>
      </c>
      <c r="B2027">
        <v>66.275300000000001</v>
      </c>
      <c r="C2027">
        <f t="shared" si="34"/>
        <v>2020</v>
      </c>
    </row>
    <row r="2028" spans="1:3" x14ac:dyDescent="0.2">
      <c r="A2028" s="3">
        <v>43887</v>
      </c>
      <c r="B2028">
        <v>65.426299999999998</v>
      </c>
      <c r="C2028">
        <f t="shared" si="34"/>
        <v>2020</v>
      </c>
    </row>
    <row r="2029" spans="1:3" x14ac:dyDescent="0.2">
      <c r="A2029" s="3">
        <v>43886</v>
      </c>
      <c r="B2029">
        <v>65.330399999999997</v>
      </c>
      <c r="C2029">
        <f t="shared" si="34"/>
        <v>2020</v>
      </c>
    </row>
    <row r="2030" spans="1:3" x14ac:dyDescent="0.2">
      <c r="A2030" s="3">
        <v>43885</v>
      </c>
      <c r="B2030">
        <v>65.301199999999994</v>
      </c>
      <c r="C2030">
        <f t="shared" si="34"/>
        <v>2020</v>
      </c>
    </row>
    <row r="2031" spans="1:3" x14ac:dyDescent="0.2">
      <c r="A2031" s="3">
        <v>43884</v>
      </c>
      <c r="B2031">
        <v>64.220600000000005</v>
      </c>
      <c r="C2031">
        <f t="shared" si="34"/>
        <v>2020</v>
      </c>
    </row>
    <row r="2032" spans="1:3" x14ac:dyDescent="0.2">
      <c r="A2032" s="3">
        <v>43882</v>
      </c>
      <c r="B2032">
        <v>63.950699999999998</v>
      </c>
      <c r="C2032">
        <f t="shared" si="34"/>
        <v>2020</v>
      </c>
    </row>
    <row r="2033" spans="1:3" x14ac:dyDescent="0.2">
      <c r="A2033" s="3">
        <v>43881</v>
      </c>
      <c r="B2033">
        <v>64.165499999999994</v>
      </c>
      <c r="C2033">
        <f t="shared" si="34"/>
        <v>2020</v>
      </c>
    </row>
    <row r="2034" spans="1:3" x14ac:dyDescent="0.2">
      <c r="A2034" s="3">
        <v>43880</v>
      </c>
      <c r="B2034">
        <v>63.5212</v>
      </c>
      <c r="C2034">
        <f t="shared" si="34"/>
        <v>2020</v>
      </c>
    </row>
    <row r="2035" spans="1:3" x14ac:dyDescent="0.2">
      <c r="A2035" s="3">
        <v>43879</v>
      </c>
      <c r="B2035">
        <v>63.853900000000003</v>
      </c>
      <c r="C2035">
        <f t="shared" si="34"/>
        <v>2020</v>
      </c>
    </row>
    <row r="2036" spans="1:3" x14ac:dyDescent="0.2">
      <c r="A2036" s="3">
        <v>43878</v>
      </c>
      <c r="B2036">
        <v>63.495100000000001</v>
      </c>
      <c r="C2036">
        <f t="shared" si="34"/>
        <v>2020</v>
      </c>
    </row>
    <row r="2037" spans="1:3" x14ac:dyDescent="0.2">
      <c r="A2037" s="3">
        <v>43877</v>
      </c>
      <c r="B2037">
        <v>63.546999999999997</v>
      </c>
      <c r="C2037">
        <f t="shared" si="34"/>
        <v>2020</v>
      </c>
    </row>
    <row r="2038" spans="1:3" x14ac:dyDescent="0.2">
      <c r="A2038" s="3">
        <v>43875</v>
      </c>
      <c r="B2038">
        <v>63.5182</v>
      </c>
      <c r="C2038">
        <f t="shared" si="34"/>
        <v>2020</v>
      </c>
    </row>
    <row r="2039" spans="1:3" x14ac:dyDescent="0.2">
      <c r="A2039" s="3">
        <v>43874</v>
      </c>
      <c r="B2039">
        <v>63.663600000000002</v>
      </c>
      <c r="C2039">
        <f t="shared" si="34"/>
        <v>2020</v>
      </c>
    </row>
    <row r="2040" spans="1:3" x14ac:dyDescent="0.2">
      <c r="A2040" s="3">
        <v>43873</v>
      </c>
      <c r="B2040">
        <v>63.231299999999997</v>
      </c>
      <c r="C2040">
        <f t="shared" si="34"/>
        <v>2020</v>
      </c>
    </row>
    <row r="2041" spans="1:3" x14ac:dyDescent="0.2">
      <c r="A2041" s="3">
        <v>43872</v>
      </c>
      <c r="B2041">
        <v>63.38</v>
      </c>
      <c r="C2041">
        <f t="shared" si="34"/>
        <v>2020</v>
      </c>
    </row>
    <row r="2042" spans="1:3" x14ac:dyDescent="0.2">
      <c r="A2042" s="3">
        <v>43871</v>
      </c>
      <c r="B2042">
        <v>64.1143</v>
      </c>
      <c r="C2042">
        <f t="shared" si="34"/>
        <v>2020</v>
      </c>
    </row>
    <row r="2043" spans="1:3" x14ac:dyDescent="0.2">
      <c r="A2043" s="3">
        <v>43870</v>
      </c>
      <c r="B2043">
        <v>64.105000000000004</v>
      </c>
      <c r="C2043">
        <f t="shared" si="34"/>
        <v>2020</v>
      </c>
    </row>
    <row r="2044" spans="1:3" x14ac:dyDescent="0.2">
      <c r="A2044" s="3">
        <v>43868</v>
      </c>
      <c r="B2044">
        <v>64.054199999999994</v>
      </c>
      <c r="C2044">
        <f t="shared" si="34"/>
        <v>2020</v>
      </c>
    </row>
    <row r="2045" spans="1:3" x14ac:dyDescent="0.2">
      <c r="A2045" s="3">
        <v>43867</v>
      </c>
      <c r="B2045">
        <v>63.334499999999998</v>
      </c>
      <c r="C2045">
        <f t="shared" si="34"/>
        <v>2020</v>
      </c>
    </row>
    <row r="2046" spans="1:3" x14ac:dyDescent="0.2">
      <c r="A2046" s="3">
        <v>43866</v>
      </c>
      <c r="B2046">
        <v>62.906799999999997</v>
      </c>
      <c r="C2046">
        <f t="shared" si="34"/>
        <v>2020</v>
      </c>
    </row>
    <row r="2047" spans="1:3" x14ac:dyDescent="0.2">
      <c r="A2047" s="3">
        <v>43865</v>
      </c>
      <c r="B2047">
        <v>63.012900000000002</v>
      </c>
      <c r="C2047">
        <f t="shared" si="34"/>
        <v>2020</v>
      </c>
    </row>
    <row r="2048" spans="1:3" x14ac:dyDescent="0.2">
      <c r="A2048" s="3">
        <v>43864</v>
      </c>
      <c r="B2048">
        <v>63.677900000000001</v>
      </c>
      <c r="C2048">
        <f t="shared" si="34"/>
        <v>2020</v>
      </c>
    </row>
    <row r="2049" spans="1:3" x14ac:dyDescent="0.2">
      <c r="A2049" s="3">
        <v>43863</v>
      </c>
      <c r="B2049">
        <v>64.028899999999993</v>
      </c>
      <c r="C2049">
        <f t="shared" si="34"/>
        <v>2020</v>
      </c>
    </row>
    <row r="2050" spans="1:3" x14ac:dyDescent="0.2">
      <c r="A2050" s="3">
        <v>43861</v>
      </c>
      <c r="B2050">
        <v>63.961300000000001</v>
      </c>
      <c r="C2050">
        <f t="shared" si="34"/>
        <v>2020</v>
      </c>
    </row>
    <row r="2051" spans="1:3" x14ac:dyDescent="0.2">
      <c r="A2051" s="3">
        <v>43860</v>
      </c>
      <c r="B2051">
        <v>63.203000000000003</v>
      </c>
      <c r="C2051">
        <f t="shared" si="34"/>
        <v>2020</v>
      </c>
    </row>
    <row r="2052" spans="1:3" x14ac:dyDescent="0.2">
      <c r="A2052" s="3">
        <v>43859</v>
      </c>
      <c r="B2052">
        <v>62.542000000000002</v>
      </c>
      <c r="C2052">
        <f t="shared" ref="C2052:C2115" si="35">YEAR(A2052)</f>
        <v>2020</v>
      </c>
    </row>
    <row r="2053" spans="1:3" x14ac:dyDescent="0.2">
      <c r="A2053" s="3">
        <v>43858</v>
      </c>
      <c r="B2053">
        <v>62.245199999999997</v>
      </c>
      <c r="C2053">
        <f t="shared" si="35"/>
        <v>2020</v>
      </c>
    </row>
    <row r="2054" spans="1:3" x14ac:dyDescent="0.2">
      <c r="A2054" s="3">
        <v>43857</v>
      </c>
      <c r="B2054">
        <v>62.978999999999999</v>
      </c>
      <c r="C2054">
        <f t="shared" si="35"/>
        <v>2020</v>
      </c>
    </row>
    <row r="2055" spans="1:3" x14ac:dyDescent="0.2">
      <c r="A2055" s="3">
        <v>43854</v>
      </c>
      <c r="B2055">
        <v>62.1648</v>
      </c>
      <c r="C2055">
        <f t="shared" si="35"/>
        <v>2020</v>
      </c>
    </row>
    <row r="2056" spans="1:3" x14ac:dyDescent="0.2">
      <c r="A2056" s="3">
        <v>43853</v>
      </c>
      <c r="B2056">
        <v>61.924799999999998</v>
      </c>
      <c r="C2056">
        <f t="shared" si="35"/>
        <v>2020</v>
      </c>
    </row>
    <row r="2057" spans="1:3" x14ac:dyDescent="0.2">
      <c r="A2057" s="3">
        <v>43852</v>
      </c>
      <c r="B2057">
        <v>61.86</v>
      </c>
      <c r="C2057">
        <f t="shared" si="35"/>
        <v>2020</v>
      </c>
    </row>
    <row r="2058" spans="1:3" x14ac:dyDescent="0.2">
      <c r="A2058" s="3">
        <v>43851</v>
      </c>
      <c r="B2058">
        <v>61.865000000000002</v>
      </c>
      <c r="C2058">
        <f t="shared" si="35"/>
        <v>2020</v>
      </c>
    </row>
    <row r="2059" spans="1:3" x14ac:dyDescent="0.2">
      <c r="A2059" s="3">
        <v>43850</v>
      </c>
      <c r="B2059">
        <v>61.597999999999999</v>
      </c>
      <c r="C2059">
        <f t="shared" si="35"/>
        <v>2020</v>
      </c>
    </row>
    <row r="2060" spans="1:3" x14ac:dyDescent="0.2">
      <c r="A2060" s="3">
        <v>43847</v>
      </c>
      <c r="B2060">
        <v>61.598599999999998</v>
      </c>
      <c r="C2060">
        <f t="shared" si="35"/>
        <v>2020</v>
      </c>
    </row>
    <row r="2061" spans="1:3" x14ac:dyDescent="0.2">
      <c r="A2061" s="3">
        <v>43846</v>
      </c>
      <c r="B2061">
        <v>61.648099999999999</v>
      </c>
      <c r="C2061">
        <f t="shared" si="35"/>
        <v>2020</v>
      </c>
    </row>
    <row r="2062" spans="1:3" x14ac:dyDescent="0.2">
      <c r="A2062" s="3">
        <v>43845</v>
      </c>
      <c r="B2062">
        <v>61.406199999999998</v>
      </c>
      <c r="C2062">
        <f t="shared" si="35"/>
        <v>2020</v>
      </c>
    </row>
    <row r="2063" spans="1:3" x14ac:dyDescent="0.2">
      <c r="A2063" s="3">
        <v>43844</v>
      </c>
      <c r="B2063">
        <v>61.432499999999997</v>
      </c>
      <c r="C2063">
        <f t="shared" si="35"/>
        <v>2020</v>
      </c>
    </row>
    <row r="2064" spans="1:3" x14ac:dyDescent="0.2">
      <c r="A2064" s="3">
        <v>43843</v>
      </c>
      <c r="B2064">
        <v>61.198</v>
      </c>
      <c r="C2064">
        <f t="shared" si="35"/>
        <v>2020</v>
      </c>
    </row>
    <row r="2065" spans="1:3" x14ac:dyDescent="0.2">
      <c r="A2065" s="3">
        <v>43842</v>
      </c>
      <c r="B2065">
        <v>61.075000000000003</v>
      </c>
      <c r="C2065">
        <f t="shared" si="35"/>
        <v>2020</v>
      </c>
    </row>
    <row r="2066" spans="1:3" x14ac:dyDescent="0.2">
      <c r="A2066" s="3">
        <v>43840</v>
      </c>
      <c r="B2066">
        <v>61.024999999999999</v>
      </c>
      <c r="C2066">
        <f t="shared" si="35"/>
        <v>2020</v>
      </c>
    </row>
    <row r="2067" spans="1:3" x14ac:dyDescent="0.2">
      <c r="A2067" s="3">
        <v>43839</v>
      </c>
      <c r="B2067">
        <v>61.305</v>
      </c>
      <c r="C2067">
        <f t="shared" si="35"/>
        <v>2020</v>
      </c>
    </row>
    <row r="2068" spans="1:3" x14ac:dyDescent="0.2">
      <c r="A2068" s="3">
        <v>43838</v>
      </c>
      <c r="B2068">
        <v>61.264499999999998</v>
      </c>
      <c r="C2068">
        <f t="shared" si="35"/>
        <v>2020</v>
      </c>
    </row>
    <row r="2069" spans="1:3" x14ac:dyDescent="0.2">
      <c r="A2069" s="3">
        <v>43837</v>
      </c>
      <c r="B2069">
        <v>61.976500000000001</v>
      </c>
      <c r="C2069">
        <f t="shared" si="35"/>
        <v>2020</v>
      </c>
    </row>
    <row r="2070" spans="1:3" x14ac:dyDescent="0.2">
      <c r="A2070" s="3">
        <v>43836</v>
      </c>
      <c r="B2070">
        <v>61.811599999999999</v>
      </c>
      <c r="C2070">
        <f t="shared" si="35"/>
        <v>2020</v>
      </c>
    </row>
    <row r="2071" spans="1:3" x14ac:dyDescent="0.2">
      <c r="A2071" s="3">
        <v>43833</v>
      </c>
      <c r="B2071">
        <v>62.068300000000001</v>
      </c>
      <c r="C2071">
        <f t="shared" si="35"/>
        <v>2020</v>
      </c>
    </row>
    <row r="2072" spans="1:3" x14ac:dyDescent="0.2">
      <c r="A2072" s="3">
        <v>43832</v>
      </c>
      <c r="B2072">
        <v>61.714799999999997</v>
      </c>
      <c r="C2072">
        <f t="shared" si="35"/>
        <v>2020</v>
      </c>
    </row>
    <row r="2073" spans="1:3" x14ac:dyDescent="0.2">
      <c r="A2073" s="3">
        <v>43830</v>
      </c>
      <c r="B2073">
        <v>61.947499999999998</v>
      </c>
      <c r="C2073">
        <f t="shared" si="35"/>
        <v>2019</v>
      </c>
    </row>
    <row r="2074" spans="1:3" x14ac:dyDescent="0.2">
      <c r="A2074" s="3">
        <v>43829</v>
      </c>
      <c r="B2074">
        <v>62.008000000000003</v>
      </c>
      <c r="C2074">
        <f t="shared" si="35"/>
        <v>2019</v>
      </c>
    </row>
    <row r="2075" spans="1:3" x14ac:dyDescent="0.2">
      <c r="A2075" s="3">
        <v>43828</v>
      </c>
      <c r="B2075">
        <v>62.139600000000002</v>
      </c>
      <c r="C2075">
        <f t="shared" si="35"/>
        <v>2019</v>
      </c>
    </row>
    <row r="2076" spans="1:3" x14ac:dyDescent="0.2">
      <c r="A2076" s="3">
        <v>43826</v>
      </c>
      <c r="B2076">
        <v>62.162399999999998</v>
      </c>
      <c r="C2076">
        <f t="shared" si="35"/>
        <v>2019</v>
      </c>
    </row>
    <row r="2077" spans="1:3" x14ac:dyDescent="0.2">
      <c r="A2077" s="3">
        <v>43825</v>
      </c>
      <c r="B2077">
        <v>62.241500000000002</v>
      </c>
      <c r="C2077">
        <f t="shared" si="35"/>
        <v>2019</v>
      </c>
    </row>
    <row r="2078" spans="1:3" x14ac:dyDescent="0.2">
      <c r="A2078" s="3">
        <v>43824</v>
      </c>
      <c r="B2078">
        <v>61.82</v>
      </c>
      <c r="C2078">
        <f t="shared" si="35"/>
        <v>2019</v>
      </c>
    </row>
    <row r="2079" spans="1:3" x14ac:dyDescent="0.2">
      <c r="A2079" s="3">
        <v>43823</v>
      </c>
      <c r="B2079">
        <v>61.958500000000001</v>
      </c>
      <c r="C2079">
        <f t="shared" si="35"/>
        <v>2019</v>
      </c>
    </row>
    <row r="2080" spans="1:3" x14ac:dyDescent="0.2">
      <c r="A2080" s="3">
        <v>43822</v>
      </c>
      <c r="B2080">
        <v>63.012</v>
      </c>
      <c r="C2080">
        <f t="shared" si="35"/>
        <v>2019</v>
      </c>
    </row>
    <row r="2081" spans="1:3" x14ac:dyDescent="0.2">
      <c r="A2081" s="3">
        <v>43821</v>
      </c>
      <c r="B2081">
        <v>62.235599999999998</v>
      </c>
      <c r="C2081">
        <f t="shared" si="35"/>
        <v>2019</v>
      </c>
    </row>
    <row r="2082" spans="1:3" x14ac:dyDescent="0.2">
      <c r="A2082" s="3">
        <v>43819</v>
      </c>
      <c r="B2082">
        <v>62.286099999999998</v>
      </c>
      <c r="C2082">
        <f t="shared" si="35"/>
        <v>2019</v>
      </c>
    </row>
    <row r="2083" spans="1:3" x14ac:dyDescent="0.2">
      <c r="A2083" s="3">
        <v>43818</v>
      </c>
      <c r="B2083">
        <v>62.393099999999997</v>
      </c>
      <c r="C2083">
        <f t="shared" si="35"/>
        <v>2019</v>
      </c>
    </row>
    <row r="2084" spans="1:3" x14ac:dyDescent="0.2">
      <c r="A2084" s="3">
        <v>43817</v>
      </c>
      <c r="B2084">
        <v>62.667400000000001</v>
      </c>
      <c r="C2084">
        <f t="shared" si="35"/>
        <v>2019</v>
      </c>
    </row>
    <row r="2085" spans="1:3" x14ac:dyDescent="0.2">
      <c r="A2085" s="3">
        <v>43816</v>
      </c>
      <c r="B2085">
        <v>62.400700000000001</v>
      </c>
      <c r="C2085">
        <f t="shared" si="35"/>
        <v>2019</v>
      </c>
    </row>
    <row r="2086" spans="1:3" x14ac:dyDescent="0.2">
      <c r="A2086" s="3">
        <v>43815</v>
      </c>
      <c r="B2086">
        <v>62.469499999999996</v>
      </c>
      <c r="C2086">
        <f t="shared" si="35"/>
        <v>2019</v>
      </c>
    </row>
    <row r="2087" spans="1:3" x14ac:dyDescent="0.2">
      <c r="A2087" s="3">
        <v>43814</v>
      </c>
      <c r="B2087">
        <v>62.853099999999998</v>
      </c>
      <c r="C2087">
        <f t="shared" si="35"/>
        <v>2019</v>
      </c>
    </row>
    <row r="2088" spans="1:3" x14ac:dyDescent="0.2">
      <c r="A2088" s="3">
        <v>43812</v>
      </c>
      <c r="B2088">
        <v>62.845599999999997</v>
      </c>
      <c r="C2088">
        <f t="shared" si="35"/>
        <v>2019</v>
      </c>
    </row>
    <row r="2089" spans="1:3" x14ac:dyDescent="0.2">
      <c r="A2089" s="3">
        <v>43811</v>
      </c>
      <c r="B2089">
        <v>62.746299999999998</v>
      </c>
      <c r="C2089">
        <f t="shared" si="35"/>
        <v>2019</v>
      </c>
    </row>
    <row r="2090" spans="1:3" x14ac:dyDescent="0.2">
      <c r="A2090" s="3">
        <v>43810</v>
      </c>
      <c r="B2090">
        <v>63.33</v>
      </c>
      <c r="C2090">
        <f t="shared" si="35"/>
        <v>2019</v>
      </c>
    </row>
    <row r="2091" spans="1:3" x14ac:dyDescent="0.2">
      <c r="A2091" s="3">
        <v>43809</v>
      </c>
      <c r="B2091">
        <v>63.506</v>
      </c>
      <c r="C2091">
        <f t="shared" si="35"/>
        <v>2019</v>
      </c>
    </row>
    <row r="2092" spans="1:3" x14ac:dyDescent="0.2">
      <c r="A2092" s="3">
        <v>43808</v>
      </c>
      <c r="B2092">
        <v>63.547499999999999</v>
      </c>
      <c r="C2092">
        <f t="shared" si="35"/>
        <v>2019</v>
      </c>
    </row>
    <row r="2093" spans="1:3" x14ac:dyDescent="0.2">
      <c r="A2093" s="3">
        <v>43807</v>
      </c>
      <c r="B2093">
        <v>63.777799999999999</v>
      </c>
      <c r="C2093">
        <f t="shared" si="35"/>
        <v>2019</v>
      </c>
    </row>
    <row r="2094" spans="1:3" x14ac:dyDescent="0.2">
      <c r="A2094" s="3">
        <v>43805</v>
      </c>
      <c r="B2094">
        <v>63.668599999999998</v>
      </c>
      <c r="C2094">
        <f t="shared" si="35"/>
        <v>2019</v>
      </c>
    </row>
    <row r="2095" spans="1:3" x14ac:dyDescent="0.2">
      <c r="A2095" s="3">
        <v>43804</v>
      </c>
      <c r="B2095">
        <v>63.708799999999997</v>
      </c>
      <c r="C2095">
        <f t="shared" si="35"/>
        <v>2019</v>
      </c>
    </row>
    <row r="2096" spans="1:3" x14ac:dyDescent="0.2">
      <c r="A2096" s="3">
        <v>43803</v>
      </c>
      <c r="B2096">
        <v>63.909799999999997</v>
      </c>
      <c r="C2096">
        <f t="shared" si="35"/>
        <v>2019</v>
      </c>
    </row>
    <row r="2097" spans="1:3" x14ac:dyDescent="0.2">
      <c r="A2097" s="3">
        <v>43802</v>
      </c>
      <c r="B2097">
        <v>64.12</v>
      </c>
      <c r="C2097">
        <f t="shared" si="35"/>
        <v>2019</v>
      </c>
    </row>
    <row r="2098" spans="1:3" x14ac:dyDescent="0.2">
      <c r="A2098" s="3">
        <v>43801</v>
      </c>
      <c r="B2098">
        <v>64.205799999999996</v>
      </c>
      <c r="C2098">
        <f t="shared" si="35"/>
        <v>2019</v>
      </c>
    </row>
    <row r="2099" spans="1:3" x14ac:dyDescent="0.2">
      <c r="A2099" s="3">
        <v>43800</v>
      </c>
      <c r="B2099">
        <v>64.353700000000003</v>
      </c>
      <c r="C2099">
        <f t="shared" si="35"/>
        <v>2019</v>
      </c>
    </row>
    <row r="2100" spans="1:3" x14ac:dyDescent="0.2">
      <c r="A2100" s="3">
        <v>43798</v>
      </c>
      <c r="B2100">
        <v>64.344099999999997</v>
      </c>
      <c r="C2100">
        <f t="shared" si="35"/>
        <v>2019</v>
      </c>
    </row>
    <row r="2101" spans="1:3" x14ac:dyDescent="0.2">
      <c r="A2101" s="3">
        <v>43797</v>
      </c>
      <c r="B2101">
        <v>64.067599999999999</v>
      </c>
      <c r="C2101">
        <f t="shared" si="35"/>
        <v>2019</v>
      </c>
    </row>
    <row r="2102" spans="1:3" x14ac:dyDescent="0.2">
      <c r="A2102" s="3">
        <v>43796</v>
      </c>
      <c r="B2102">
        <v>63.959299999999999</v>
      </c>
      <c r="C2102">
        <f t="shared" si="35"/>
        <v>2019</v>
      </c>
    </row>
    <row r="2103" spans="1:3" x14ac:dyDescent="0.2">
      <c r="A2103" s="3">
        <v>43795</v>
      </c>
      <c r="B2103">
        <v>63.9816</v>
      </c>
      <c r="C2103">
        <f t="shared" si="35"/>
        <v>2019</v>
      </c>
    </row>
    <row r="2104" spans="1:3" x14ac:dyDescent="0.2">
      <c r="A2104" s="3">
        <v>43794</v>
      </c>
      <c r="B2104">
        <v>63.943300000000001</v>
      </c>
      <c r="C2104">
        <f t="shared" si="35"/>
        <v>2019</v>
      </c>
    </row>
    <row r="2105" spans="1:3" x14ac:dyDescent="0.2">
      <c r="A2105" s="3">
        <v>43793</v>
      </c>
      <c r="B2105">
        <v>63.8489</v>
      </c>
      <c r="C2105">
        <f t="shared" si="35"/>
        <v>2019</v>
      </c>
    </row>
    <row r="2106" spans="1:3" x14ac:dyDescent="0.2">
      <c r="A2106" s="3">
        <v>43791</v>
      </c>
      <c r="B2106">
        <v>63.866199999999999</v>
      </c>
      <c r="C2106">
        <f t="shared" si="35"/>
        <v>2019</v>
      </c>
    </row>
    <row r="2107" spans="1:3" x14ac:dyDescent="0.2">
      <c r="A2107" s="3">
        <v>43790</v>
      </c>
      <c r="B2107">
        <v>63.696199999999997</v>
      </c>
      <c r="C2107">
        <f t="shared" si="35"/>
        <v>2019</v>
      </c>
    </row>
    <row r="2108" spans="1:3" x14ac:dyDescent="0.2">
      <c r="A2108" s="3">
        <v>43789</v>
      </c>
      <c r="B2108">
        <v>63.830199999999998</v>
      </c>
      <c r="C2108">
        <f t="shared" si="35"/>
        <v>2019</v>
      </c>
    </row>
    <row r="2109" spans="1:3" x14ac:dyDescent="0.2">
      <c r="A2109" s="3">
        <v>43788</v>
      </c>
      <c r="B2109">
        <v>63.865499999999997</v>
      </c>
      <c r="C2109">
        <f t="shared" si="35"/>
        <v>2019</v>
      </c>
    </row>
    <row r="2110" spans="1:3" x14ac:dyDescent="0.2">
      <c r="A2110" s="3">
        <v>43787</v>
      </c>
      <c r="B2110">
        <v>63.8675</v>
      </c>
      <c r="C2110">
        <f t="shared" si="35"/>
        <v>2019</v>
      </c>
    </row>
    <row r="2111" spans="1:3" x14ac:dyDescent="0.2">
      <c r="A2111" s="3">
        <v>43786</v>
      </c>
      <c r="B2111">
        <v>63.753500000000003</v>
      </c>
      <c r="C2111">
        <f t="shared" si="35"/>
        <v>2019</v>
      </c>
    </row>
    <row r="2112" spans="1:3" x14ac:dyDescent="0.2">
      <c r="A2112" s="3">
        <v>43784</v>
      </c>
      <c r="B2112">
        <v>63.7575</v>
      </c>
      <c r="C2112">
        <f t="shared" si="35"/>
        <v>2019</v>
      </c>
    </row>
    <row r="2113" spans="1:3" x14ac:dyDescent="0.2">
      <c r="A2113" s="3">
        <v>43783</v>
      </c>
      <c r="B2113">
        <v>63.9617</v>
      </c>
      <c r="C2113">
        <f t="shared" si="35"/>
        <v>2019</v>
      </c>
    </row>
    <row r="2114" spans="1:3" x14ac:dyDescent="0.2">
      <c r="A2114" s="3">
        <v>43782</v>
      </c>
      <c r="B2114">
        <v>64.354799999999997</v>
      </c>
      <c r="C2114">
        <f t="shared" si="35"/>
        <v>2019</v>
      </c>
    </row>
    <row r="2115" spans="1:3" x14ac:dyDescent="0.2">
      <c r="A2115" s="3">
        <v>43781</v>
      </c>
      <c r="B2115">
        <v>64.269300000000001</v>
      </c>
      <c r="C2115">
        <f t="shared" si="35"/>
        <v>2019</v>
      </c>
    </row>
    <row r="2116" spans="1:3" x14ac:dyDescent="0.2">
      <c r="A2116" s="3">
        <v>43780</v>
      </c>
      <c r="B2116">
        <v>63.896000000000001</v>
      </c>
      <c r="C2116">
        <f t="shared" ref="C2116:C2179" si="36">YEAR(A2116)</f>
        <v>2019</v>
      </c>
    </row>
    <row r="2117" spans="1:3" x14ac:dyDescent="0.2">
      <c r="A2117" s="3">
        <v>43779</v>
      </c>
      <c r="B2117">
        <v>63.824300000000001</v>
      </c>
      <c r="C2117">
        <f t="shared" si="36"/>
        <v>2019</v>
      </c>
    </row>
    <row r="2118" spans="1:3" x14ac:dyDescent="0.2">
      <c r="A2118" s="3">
        <v>43777</v>
      </c>
      <c r="B2118">
        <v>63.804600000000001</v>
      </c>
      <c r="C2118">
        <f t="shared" si="36"/>
        <v>2019</v>
      </c>
    </row>
    <row r="2119" spans="1:3" x14ac:dyDescent="0.2">
      <c r="A2119" s="3">
        <v>43776</v>
      </c>
      <c r="B2119">
        <v>63.524700000000003</v>
      </c>
      <c r="C2119">
        <f t="shared" si="36"/>
        <v>2019</v>
      </c>
    </row>
    <row r="2120" spans="1:3" x14ac:dyDescent="0.2">
      <c r="A2120" s="3">
        <v>43775</v>
      </c>
      <c r="B2120">
        <v>63.869100000000003</v>
      </c>
      <c r="C2120">
        <f t="shared" si="36"/>
        <v>2019</v>
      </c>
    </row>
    <row r="2121" spans="1:3" x14ac:dyDescent="0.2">
      <c r="A2121" s="3">
        <v>43774</v>
      </c>
      <c r="B2121">
        <v>63.479700000000001</v>
      </c>
      <c r="C2121">
        <f t="shared" si="36"/>
        <v>2019</v>
      </c>
    </row>
    <row r="2122" spans="1:3" x14ac:dyDescent="0.2">
      <c r="A2122" s="3">
        <v>43773</v>
      </c>
      <c r="B2122">
        <v>63.537399999999998</v>
      </c>
      <c r="C2122">
        <f t="shared" si="36"/>
        <v>2019</v>
      </c>
    </row>
    <row r="2123" spans="1:3" x14ac:dyDescent="0.2">
      <c r="A2123" s="3">
        <v>43772</v>
      </c>
      <c r="B2123">
        <v>63.381500000000003</v>
      </c>
      <c r="C2123">
        <f t="shared" si="36"/>
        <v>2019</v>
      </c>
    </row>
    <row r="2124" spans="1:3" x14ac:dyDescent="0.2">
      <c r="A2124" s="3">
        <v>43770</v>
      </c>
      <c r="B2124">
        <v>63.500599999999999</v>
      </c>
      <c r="C2124">
        <f t="shared" si="36"/>
        <v>2019</v>
      </c>
    </row>
    <row r="2125" spans="1:3" x14ac:dyDescent="0.2">
      <c r="A2125" s="3">
        <v>43769</v>
      </c>
      <c r="B2125">
        <v>64.138900000000007</v>
      </c>
      <c r="C2125">
        <f t="shared" si="36"/>
        <v>2019</v>
      </c>
    </row>
    <row r="2126" spans="1:3" x14ac:dyDescent="0.2">
      <c r="A2126" s="3">
        <v>43768</v>
      </c>
      <c r="B2126">
        <v>63.772199999999998</v>
      </c>
      <c r="C2126">
        <f t="shared" si="36"/>
        <v>2019</v>
      </c>
    </row>
    <row r="2127" spans="1:3" x14ac:dyDescent="0.2">
      <c r="A2127" s="3">
        <v>43767</v>
      </c>
      <c r="B2127">
        <v>63.967399999999998</v>
      </c>
      <c r="C2127">
        <f t="shared" si="36"/>
        <v>2019</v>
      </c>
    </row>
    <row r="2128" spans="1:3" x14ac:dyDescent="0.2">
      <c r="A2128" s="3">
        <v>43766</v>
      </c>
      <c r="B2128">
        <v>63.771299999999997</v>
      </c>
      <c r="C2128">
        <f t="shared" si="36"/>
        <v>2019</v>
      </c>
    </row>
    <row r="2129" spans="1:3" x14ac:dyDescent="0.2">
      <c r="A2129" s="3">
        <v>43763</v>
      </c>
      <c r="B2129">
        <v>63.878700000000002</v>
      </c>
      <c r="C2129">
        <f t="shared" si="36"/>
        <v>2019</v>
      </c>
    </row>
    <row r="2130" spans="1:3" x14ac:dyDescent="0.2">
      <c r="A2130" s="3">
        <v>43762</v>
      </c>
      <c r="B2130">
        <v>64.063599999999994</v>
      </c>
      <c r="C2130">
        <f t="shared" si="36"/>
        <v>2019</v>
      </c>
    </row>
    <row r="2131" spans="1:3" x14ac:dyDescent="0.2">
      <c r="A2131" s="3">
        <v>43761</v>
      </c>
      <c r="B2131">
        <v>63.938000000000002</v>
      </c>
      <c r="C2131">
        <f t="shared" si="36"/>
        <v>2019</v>
      </c>
    </row>
    <row r="2132" spans="1:3" x14ac:dyDescent="0.2">
      <c r="A2132" s="3">
        <v>43760</v>
      </c>
      <c r="B2132">
        <v>63.7303</v>
      </c>
      <c r="C2132">
        <f t="shared" si="36"/>
        <v>2019</v>
      </c>
    </row>
    <row r="2133" spans="1:3" x14ac:dyDescent="0.2">
      <c r="A2133" s="3">
        <v>43759</v>
      </c>
      <c r="B2133">
        <v>63.758800000000001</v>
      </c>
      <c r="C2133">
        <f t="shared" si="36"/>
        <v>2019</v>
      </c>
    </row>
    <row r="2134" spans="1:3" x14ac:dyDescent="0.2">
      <c r="A2134" s="3">
        <v>43756</v>
      </c>
      <c r="B2134">
        <v>63.665500000000002</v>
      </c>
      <c r="C2134">
        <f t="shared" si="36"/>
        <v>2019</v>
      </c>
    </row>
    <row r="2135" spans="1:3" x14ac:dyDescent="0.2">
      <c r="A2135" s="3">
        <v>43755</v>
      </c>
      <c r="B2135">
        <v>64.126499999999993</v>
      </c>
      <c r="C2135">
        <f t="shared" si="36"/>
        <v>2019</v>
      </c>
    </row>
    <row r="2136" spans="1:3" x14ac:dyDescent="0.2">
      <c r="A2136" s="3">
        <v>43754</v>
      </c>
      <c r="B2136">
        <v>64.118200000000002</v>
      </c>
      <c r="C2136">
        <f t="shared" si="36"/>
        <v>2019</v>
      </c>
    </row>
    <row r="2137" spans="1:3" x14ac:dyDescent="0.2">
      <c r="A2137" s="3">
        <v>43753</v>
      </c>
      <c r="B2137">
        <v>64.310500000000005</v>
      </c>
      <c r="C2137">
        <f t="shared" si="36"/>
        <v>2019</v>
      </c>
    </row>
    <row r="2138" spans="1:3" x14ac:dyDescent="0.2">
      <c r="A2138" s="3">
        <v>43752</v>
      </c>
      <c r="B2138">
        <v>64.233999999999995</v>
      </c>
      <c r="C2138">
        <f t="shared" si="36"/>
        <v>2019</v>
      </c>
    </row>
    <row r="2139" spans="1:3" x14ac:dyDescent="0.2">
      <c r="A2139" s="3">
        <v>43749</v>
      </c>
      <c r="B2139">
        <v>64.192499999999995</v>
      </c>
      <c r="C2139">
        <f t="shared" si="36"/>
        <v>2019</v>
      </c>
    </row>
    <row r="2140" spans="1:3" x14ac:dyDescent="0.2">
      <c r="A2140" s="3">
        <v>43748</v>
      </c>
      <c r="B2140">
        <v>64.453000000000003</v>
      </c>
      <c r="C2140">
        <f t="shared" si="36"/>
        <v>2019</v>
      </c>
    </row>
    <row r="2141" spans="1:3" x14ac:dyDescent="0.2">
      <c r="A2141" s="3">
        <v>43747</v>
      </c>
      <c r="B2141">
        <v>64.889399999999995</v>
      </c>
      <c r="C2141">
        <f t="shared" si="36"/>
        <v>2019</v>
      </c>
    </row>
    <row r="2142" spans="1:3" x14ac:dyDescent="0.2">
      <c r="A2142" s="3">
        <v>43746</v>
      </c>
      <c r="B2142">
        <v>65.217699999999994</v>
      </c>
      <c r="C2142">
        <f t="shared" si="36"/>
        <v>2019</v>
      </c>
    </row>
    <row r="2143" spans="1:3" x14ac:dyDescent="0.2">
      <c r="A2143" s="3">
        <v>43745</v>
      </c>
      <c r="B2143">
        <v>64.983699999999999</v>
      </c>
      <c r="C2143">
        <f t="shared" si="36"/>
        <v>2019</v>
      </c>
    </row>
    <row r="2144" spans="1:3" x14ac:dyDescent="0.2">
      <c r="A2144" s="3">
        <v>43742</v>
      </c>
      <c r="B2144">
        <v>64.669700000000006</v>
      </c>
      <c r="C2144">
        <f t="shared" si="36"/>
        <v>2019</v>
      </c>
    </row>
    <row r="2145" spans="1:3" x14ac:dyDescent="0.2">
      <c r="A2145" s="3">
        <v>43741</v>
      </c>
      <c r="B2145">
        <v>65.146199999999993</v>
      </c>
      <c r="C2145">
        <f t="shared" si="36"/>
        <v>2019</v>
      </c>
    </row>
    <row r="2146" spans="1:3" x14ac:dyDescent="0.2">
      <c r="A2146" s="3">
        <v>43740</v>
      </c>
      <c r="B2146">
        <v>65.127499999999998</v>
      </c>
      <c r="C2146">
        <f t="shared" si="36"/>
        <v>2019</v>
      </c>
    </row>
    <row r="2147" spans="1:3" x14ac:dyDescent="0.2">
      <c r="A2147" s="3">
        <v>43739</v>
      </c>
      <c r="B2147">
        <v>65.214399999999998</v>
      </c>
      <c r="C2147">
        <f t="shared" si="36"/>
        <v>2019</v>
      </c>
    </row>
    <row r="2148" spans="1:3" x14ac:dyDescent="0.2">
      <c r="A2148" s="3">
        <v>43738</v>
      </c>
      <c r="B2148">
        <v>64.831800000000001</v>
      </c>
      <c r="C2148">
        <f t="shared" si="36"/>
        <v>2019</v>
      </c>
    </row>
    <row r="2149" spans="1:3" x14ac:dyDescent="0.2">
      <c r="A2149" s="3">
        <v>43737</v>
      </c>
      <c r="B2149">
        <v>64.650000000000006</v>
      </c>
      <c r="C2149">
        <f t="shared" si="36"/>
        <v>2019</v>
      </c>
    </row>
    <row r="2150" spans="1:3" x14ac:dyDescent="0.2">
      <c r="A2150" s="3">
        <v>43735</v>
      </c>
      <c r="B2150">
        <v>64.671300000000002</v>
      </c>
      <c r="C2150">
        <f t="shared" si="36"/>
        <v>2019</v>
      </c>
    </row>
    <row r="2151" spans="1:3" x14ac:dyDescent="0.2">
      <c r="A2151" s="3">
        <v>43734</v>
      </c>
      <c r="B2151">
        <v>64.245500000000007</v>
      </c>
      <c r="C2151">
        <f t="shared" si="36"/>
        <v>2019</v>
      </c>
    </row>
    <row r="2152" spans="1:3" x14ac:dyDescent="0.2">
      <c r="A2152" s="3">
        <v>43733</v>
      </c>
      <c r="B2152">
        <v>64.1935</v>
      </c>
      <c r="C2152">
        <f t="shared" si="36"/>
        <v>2019</v>
      </c>
    </row>
    <row r="2153" spans="1:3" x14ac:dyDescent="0.2">
      <c r="A2153" s="3">
        <v>43732</v>
      </c>
      <c r="B2153">
        <v>63.973599999999998</v>
      </c>
      <c r="C2153">
        <f t="shared" si="36"/>
        <v>2019</v>
      </c>
    </row>
    <row r="2154" spans="1:3" x14ac:dyDescent="0.2">
      <c r="A2154" s="3">
        <v>43731</v>
      </c>
      <c r="B2154">
        <v>63.837400000000002</v>
      </c>
      <c r="C2154">
        <f t="shared" si="36"/>
        <v>2019</v>
      </c>
    </row>
    <row r="2155" spans="1:3" x14ac:dyDescent="0.2">
      <c r="A2155" s="3">
        <v>43730</v>
      </c>
      <c r="B2155">
        <v>64.522599999999997</v>
      </c>
      <c r="C2155">
        <f t="shared" si="36"/>
        <v>2019</v>
      </c>
    </row>
    <row r="2156" spans="1:3" x14ac:dyDescent="0.2">
      <c r="A2156" s="3">
        <v>43728</v>
      </c>
      <c r="B2156">
        <v>63.986899999999999</v>
      </c>
      <c r="C2156">
        <f t="shared" si="36"/>
        <v>2019</v>
      </c>
    </row>
    <row r="2157" spans="1:3" x14ac:dyDescent="0.2">
      <c r="A2157" s="3">
        <v>43727</v>
      </c>
      <c r="B2157">
        <v>64.0137</v>
      </c>
      <c r="C2157">
        <f t="shared" si="36"/>
        <v>2019</v>
      </c>
    </row>
    <row r="2158" spans="1:3" x14ac:dyDescent="0.2">
      <c r="A2158" s="3">
        <v>43726</v>
      </c>
      <c r="B2158">
        <v>64.186999999999998</v>
      </c>
      <c r="C2158">
        <f t="shared" si="36"/>
        <v>2019</v>
      </c>
    </row>
    <row r="2159" spans="1:3" x14ac:dyDescent="0.2">
      <c r="A2159" s="3">
        <v>43725</v>
      </c>
      <c r="B2159">
        <v>64.454999999999998</v>
      </c>
      <c r="C2159">
        <f t="shared" si="36"/>
        <v>2019</v>
      </c>
    </row>
    <row r="2160" spans="1:3" x14ac:dyDescent="0.2">
      <c r="A2160" s="3">
        <v>43724</v>
      </c>
      <c r="B2160">
        <v>64.000600000000006</v>
      </c>
      <c r="C2160">
        <f t="shared" si="36"/>
        <v>2019</v>
      </c>
    </row>
    <row r="2161" spans="1:3" x14ac:dyDescent="0.2">
      <c r="A2161" s="3">
        <v>43723</v>
      </c>
      <c r="B2161">
        <v>64</v>
      </c>
      <c r="C2161">
        <f t="shared" si="36"/>
        <v>2019</v>
      </c>
    </row>
    <row r="2162" spans="1:3" x14ac:dyDescent="0.2">
      <c r="A2162" s="3">
        <v>43721</v>
      </c>
      <c r="B2162">
        <v>64.379900000000006</v>
      </c>
      <c r="C2162">
        <f t="shared" si="36"/>
        <v>2019</v>
      </c>
    </row>
    <row r="2163" spans="1:3" x14ac:dyDescent="0.2">
      <c r="A2163" s="3">
        <v>43720</v>
      </c>
      <c r="B2163">
        <v>64.790700000000001</v>
      </c>
      <c r="C2163">
        <f t="shared" si="36"/>
        <v>2019</v>
      </c>
    </row>
    <row r="2164" spans="1:3" x14ac:dyDescent="0.2">
      <c r="A2164" s="3">
        <v>43719</v>
      </c>
      <c r="B2164">
        <v>65.505399999999995</v>
      </c>
      <c r="C2164">
        <f t="shared" si="36"/>
        <v>2019</v>
      </c>
    </row>
    <row r="2165" spans="1:3" x14ac:dyDescent="0.2">
      <c r="A2165" s="3">
        <v>43718</v>
      </c>
      <c r="B2165">
        <v>65.383600000000001</v>
      </c>
      <c r="C2165">
        <f t="shared" si="36"/>
        <v>2019</v>
      </c>
    </row>
    <row r="2166" spans="1:3" x14ac:dyDescent="0.2">
      <c r="A2166" s="3">
        <v>43717</v>
      </c>
      <c r="B2166">
        <v>65.546300000000002</v>
      </c>
      <c r="C2166">
        <f t="shared" si="36"/>
        <v>2019</v>
      </c>
    </row>
    <row r="2167" spans="1:3" x14ac:dyDescent="0.2">
      <c r="A2167" s="3">
        <v>43716</v>
      </c>
      <c r="B2167">
        <v>65.819500000000005</v>
      </c>
      <c r="C2167">
        <f t="shared" si="36"/>
        <v>2019</v>
      </c>
    </row>
    <row r="2168" spans="1:3" x14ac:dyDescent="0.2">
      <c r="A2168" s="3">
        <v>43714</v>
      </c>
      <c r="B2168">
        <v>65.776300000000006</v>
      </c>
      <c r="C2168">
        <f t="shared" si="36"/>
        <v>2019</v>
      </c>
    </row>
    <row r="2169" spans="1:3" x14ac:dyDescent="0.2">
      <c r="A2169" s="3">
        <v>43713</v>
      </c>
      <c r="B2169">
        <v>66.241</v>
      </c>
      <c r="C2169">
        <f t="shared" si="36"/>
        <v>2019</v>
      </c>
    </row>
    <row r="2170" spans="1:3" x14ac:dyDescent="0.2">
      <c r="A2170" s="3">
        <v>43712</v>
      </c>
      <c r="B2170">
        <v>66.163600000000002</v>
      </c>
      <c r="C2170">
        <f t="shared" si="36"/>
        <v>2019</v>
      </c>
    </row>
    <row r="2171" spans="1:3" x14ac:dyDescent="0.2">
      <c r="A2171" s="3">
        <v>43711</v>
      </c>
      <c r="B2171">
        <v>66.789400000000001</v>
      </c>
      <c r="C2171">
        <f t="shared" si="36"/>
        <v>2019</v>
      </c>
    </row>
    <row r="2172" spans="1:3" x14ac:dyDescent="0.2">
      <c r="A2172" s="3">
        <v>43710</v>
      </c>
      <c r="B2172">
        <v>66.766499999999994</v>
      </c>
      <c r="C2172">
        <f t="shared" si="36"/>
        <v>2019</v>
      </c>
    </row>
    <row r="2173" spans="1:3" x14ac:dyDescent="0.2">
      <c r="A2173" s="3">
        <v>43707</v>
      </c>
      <c r="B2173">
        <v>66.718800000000002</v>
      </c>
      <c r="C2173">
        <f t="shared" si="36"/>
        <v>2019</v>
      </c>
    </row>
    <row r="2174" spans="1:3" x14ac:dyDescent="0.2">
      <c r="A2174" s="3">
        <v>43706</v>
      </c>
      <c r="B2174">
        <v>66.528400000000005</v>
      </c>
      <c r="C2174">
        <f t="shared" si="36"/>
        <v>2019</v>
      </c>
    </row>
    <row r="2175" spans="1:3" x14ac:dyDescent="0.2">
      <c r="A2175" s="3">
        <v>43705</v>
      </c>
      <c r="B2175">
        <v>66.803299999999993</v>
      </c>
      <c r="C2175">
        <f t="shared" si="36"/>
        <v>2019</v>
      </c>
    </row>
    <row r="2176" spans="1:3" x14ac:dyDescent="0.2">
      <c r="A2176" s="3">
        <v>43704</v>
      </c>
      <c r="B2176">
        <v>66.462199999999996</v>
      </c>
      <c r="C2176">
        <f t="shared" si="36"/>
        <v>2019</v>
      </c>
    </row>
    <row r="2177" spans="1:3" x14ac:dyDescent="0.2">
      <c r="A2177" s="3">
        <v>43703</v>
      </c>
      <c r="B2177">
        <v>66.096900000000005</v>
      </c>
      <c r="C2177">
        <f t="shared" si="36"/>
        <v>2019</v>
      </c>
    </row>
    <row r="2178" spans="1:3" x14ac:dyDescent="0.2">
      <c r="A2178" s="3">
        <v>43702</v>
      </c>
      <c r="B2178">
        <v>66.110500000000002</v>
      </c>
      <c r="C2178">
        <f t="shared" si="36"/>
        <v>2019</v>
      </c>
    </row>
    <row r="2179" spans="1:3" x14ac:dyDescent="0.2">
      <c r="A2179" s="3">
        <v>43700</v>
      </c>
      <c r="B2179">
        <v>66.05</v>
      </c>
      <c r="C2179">
        <f t="shared" si="36"/>
        <v>2019</v>
      </c>
    </row>
    <row r="2180" spans="1:3" x14ac:dyDescent="0.2">
      <c r="A2180" s="3">
        <v>43699</v>
      </c>
      <c r="B2180">
        <v>65.635000000000005</v>
      </c>
      <c r="C2180">
        <f t="shared" ref="C2180:C2243" si="37">YEAR(A2180)</f>
        <v>2019</v>
      </c>
    </row>
    <row r="2181" spans="1:3" x14ac:dyDescent="0.2">
      <c r="A2181" s="3">
        <v>43698</v>
      </c>
      <c r="B2181">
        <v>65.782399999999996</v>
      </c>
      <c r="C2181">
        <f t="shared" si="37"/>
        <v>2019</v>
      </c>
    </row>
    <row r="2182" spans="1:3" x14ac:dyDescent="0.2">
      <c r="A2182" s="3">
        <v>43697</v>
      </c>
      <c r="B2182">
        <v>66.499700000000004</v>
      </c>
      <c r="C2182">
        <f t="shared" si="37"/>
        <v>2019</v>
      </c>
    </row>
    <row r="2183" spans="1:3" x14ac:dyDescent="0.2">
      <c r="A2183" s="3">
        <v>43696</v>
      </c>
      <c r="B2183">
        <v>66.9482</v>
      </c>
      <c r="C2183">
        <f t="shared" si="37"/>
        <v>2019</v>
      </c>
    </row>
    <row r="2184" spans="1:3" x14ac:dyDescent="0.2">
      <c r="A2184" s="3">
        <v>43695</v>
      </c>
      <c r="B2184">
        <v>66.430199999999999</v>
      </c>
      <c r="C2184">
        <f t="shared" si="37"/>
        <v>2019</v>
      </c>
    </row>
    <row r="2185" spans="1:3" x14ac:dyDescent="0.2">
      <c r="A2185" s="3">
        <v>43693</v>
      </c>
      <c r="B2185">
        <v>66.512100000000004</v>
      </c>
      <c r="C2185">
        <f t="shared" si="37"/>
        <v>2019</v>
      </c>
    </row>
    <row r="2186" spans="1:3" x14ac:dyDescent="0.2">
      <c r="A2186" s="3">
        <v>43692</v>
      </c>
      <c r="B2186">
        <v>66.046199999999999</v>
      </c>
      <c r="C2186">
        <f t="shared" si="37"/>
        <v>2019</v>
      </c>
    </row>
    <row r="2187" spans="1:3" x14ac:dyDescent="0.2">
      <c r="A2187" s="3">
        <v>43691</v>
      </c>
      <c r="B2187">
        <v>66.070999999999998</v>
      </c>
      <c r="C2187">
        <f t="shared" si="37"/>
        <v>2019</v>
      </c>
    </row>
    <row r="2188" spans="1:3" x14ac:dyDescent="0.2">
      <c r="A2188" s="3">
        <v>43690</v>
      </c>
      <c r="B2188">
        <v>64.935000000000002</v>
      </c>
      <c r="C2188">
        <f t="shared" si="37"/>
        <v>2019</v>
      </c>
    </row>
    <row r="2189" spans="1:3" x14ac:dyDescent="0.2">
      <c r="A2189" s="3">
        <v>43689</v>
      </c>
      <c r="B2189">
        <v>65.448300000000003</v>
      </c>
      <c r="C2189">
        <f t="shared" si="37"/>
        <v>2019</v>
      </c>
    </row>
    <row r="2190" spans="1:3" x14ac:dyDescent="0.2">
      <c r="A2190" s="3">
        <v>43688</v>
      </c>
      <c r="B2190">
        <v>65.435000000000002</v>
      </c>
      <c r="C2190">
        <f t="shared" si="37"/>
        <v>2019</v>
      </c>
    </row>
    <row r="2191" spans="1:3" x14ac:dyDescent="0.2">
      <c r="A2191" s="3">
        <v>43686</v>
      </c>
      <c r="B2191">
        <v>65.260000000000005</v>
      </c>
      <c r="C2191">
        <f t="shared" si="37"/>
        <v>2019</v>
      </c>
    </row>
    <row r="2192" spans="1:3" x14ac:dyDescent="0.2">
      <c r="A2192" s="3">
        <v>43685</v>
      </c>
      <c r="B2192">
        <v>65.052899999999994</v>
      </c>
      <c r="C2192">
        <f t="shared" si="37"/>
        <v>2019</v>
      </c>
    </row>
    <row r="2193" spans="1:3" x14ac:dyDescent="0.2">
      <c r="A2193" s="3">
        <v>43684</v>
      </c>
      <c r="B2193">
        <v>65.337100000000007</v>
      </c>
      <c r="C2193">
        <f t="shared" si="37"/>
        <v>2019</v>
      </c>
    </row>
    <row r="2194" spans="1:3" x14ac:dyDescent="0.2">
      <c r="A2194" s="3">
        <v>43683</v>
      </c>
      <c r="B2194">
        <v>65.300200000000004</v>
      </c>
      <c r="C2194">
        <f t="shared" si="37"/>
        <v>2019</v>
      </c>
    </row>
    <row r="2195" spans="1:3" x14ac:dyDescent="0.2">
      <c r="A2195" s="3">
        <v>43682</v>
      </c>
      <c r="B2195">
        <v>65.477500000000006</v>
      </c>
      <c r="C2195">
        <f t="shared" si="37"/>
        <v>2019</v>
      </c>
    </row>
    <row r="2196" spans="1:3" x14ac:dyDescent="0.2">
      <c r="A2196" s="3">
        <v>43681</v>
      </c>
      <c r="B2196">
        <v>65.37</v>
      </c>
      <c r="C2196">
        <f t="shared" si="37"/>
        <v>2019</v>
      </c>
    </row>
    <row r="2197" spans="1:3" x14ac:dyDescent="0.2">
      <c r="A2197" s="3">
        <v>43679</v>
      </c>
      <c r="B2197">
        <v>65.242099999999994</v>
      </c>
      <c r="C2197">
        <f t="shared" si="37"/>
        <v>2019</v>
      </c>
    </row>
    <row r="2198" spans="1:3" x14ac:dyDescent="0.2">
      <c r="A2198" s="3">
        <v>43678</v>
      </c>
      <c r="B2198">
        <v>64.361800000000002</v>
      </c>
      <c r="C2198">
        <f t="shared" si="37"/>
        <v>2019</v>
      </c>
    </row>
    <row r="2199" spans="1:3" x14ac:dyDescent="0.2">
      <c r="A2199" s="3">
        <v>43677</v>
      </c>
      <c r="B2199">
        <v>63.66</v>
      </c>
      <c r="C2199">
        <f t="shared" si="37"/>
        <v>2019</v>
      </c>
    </row>
    <row r="2200" spans="1:3" x14ac:dyDescent="0.2">
      <c r="A2200" s="3">
        <v>43676</v>
      </c>
      <c r="B2200">
        <v>63.511000000000003</v>
      </c>
      <c r="C2200">
        <f t="shared" si="37"/>
        <v>2019</v>
      </c>
    </row>
    <row r="2201" spans="1:3" x14ac:dyDescent="0.2">
      <c r="A2201" s="3">
        <v>43675</v>
      </c>
      <c r="B2201">
        <v>63.439399999999999</v>
      </c>
      <c r="C2201">
        <f t="shared" si="37"/>
        <v>2019</v>
      </c>
    </row>
    <row r="2202" spans="1:3" x14ac:dyDescent="0.2">
      <c r="A2202" s="3">
        <v>43674</v>
      </c>
      <c r="B2202">
        <v>63.397199999999998</v>
      </c>
      <c r="C2202">
        <f t="shared" si="37"/>
        <v>2019</v>
      </c>
    </row>
    <row r="2203" spans="1:3" x14ac:dyDescent="0.2">
      <c r="A2203" s="3">
        <v>43672</v>
      </c>
      <c r="B2203">
        <v>63.358199999999997</v>
      </c>
      <c r="C2203">
        <f t="shared" si="37"/>
        <v>2019</v>
      </c>
    </row>
    <row r="2204" spans="1:3" x14ac:dyDescent="0.2">
      <c r="A2204" s="3">
        <v>43671</v>
      </c>
      <c r="B2204">
        <v>63.196100000000001</v>
      </c>
      <c r="C2204">
        <f t="shared" si="37"/>
        <v>2019</v>
      </c>
    </row>
    <row r="2205" spans="1:3" x14ac:dyDescent="0.2">
      <c r="A2205" s="3">
        <v>43670</v>
      </c>
      <c r="B2205">
        <v>63.258200000000002</v>
      </c>
      <c r="C2205">
        <f t="shared" si="37"/>
        <v>2019</v>
      </c>
    </row>
    <row r="2206" spans="1:3" x14ac:dyDescent="0.2">
      <c r="A2206" s="3">
        <v>43669</v>
      </c>
      <c r="B2206">
        <v>63.193199999999997</v>
      </c>
      <c r="C2206">
        <f t="shared" si="37"/>
        <v>2019</v>
      </c>
    </row>
    <row r="2207" spans="1:3" x14ac:dyDescent="0.2">
      <c r="A2207" s="3">
        <v>43668</v>
      </c>
      <c r="B2207">
        <v>63.106699999999996</v>
      </c>
      <c r="C2207">
        <f t="shared" si="37"/>
        <v>2019</v>
      </c>
    </row>
    <row r="2208" spans="1:3" x14ac:dyDescent="0.2">
      <c r="A2208" s="3">
        <v>43667</v>
      </c>
      <c r="B2208">
        <v>63.002099999999999</v>
      </c>
      <c r="C2208">
        <f t="shared" si="37"/>
        <v>2019</v>
      </c>
    </row>
    <row r="2209" spans="1:3" x14ac:dyDescent="0.2">
      <c r="A2209" s="3">
        <v>43665</v>
      </c>
      <c r="B2209">
        <v>63.026699999999998</v>
      </c>
      <c r="C2209">
        <f t="shared" si="37"/>
        <v>2019</v>
      </c>
    </row>
    <row r="2210" spans="1:3" x14ac:dyDescent="0.2">
      <c r="A2210" s="3">
        <v>43664</v>
      </c>
      <c r="B2210">
        <v>62.785800000000002</v>
      </c>
      <c r="C2210">
        <f t="shared" si="37"/>
        <v>2019</v>
      </c>
    </row>
    <row r="2211" spans="1:3" x14ac:dyDescent="0.2">
      <c r="A2211" s="3">
        <v>43663</v>
      </c>
      <c r="B2211">
        <v>62.893300000000004</v>
      </c>
      <c r="C2211">
        <f t="shared" si="37"/>
        <v>2019</v>
      </c>
    </row>
    <row r="2212" spans="1:3" x14ac:dyDescent="0.2">
      <c r="A2212" s="3">
        <v>43662</v>
      </c>
      <c r="B2212">
        <v>63.013199999999998</v>
      </c>
      <c r="C2212">
        <f t="shared" si="37"/>
        <v>2019</v>
      </c>
    </row>
    <row r="2213" spans="1:3" x14ac:dyDescent="0.2">
      <c r="A2213" s="3">
        <v>43661</v>
      </c>
      <c r="B2213">
        <v>62.652700000000003</v>
      </c>
      <c r="C2213">
        <f t="shared" si="37"/>
        <v>2019</v>
      </c>
    </row>
    <row r="2214" spans="1:3" x14ac:dyDescent="0.2">
      <c r="A2214" s="3">
        <v>43660</v>
      </c>
      <c r="B2214">
        <v>63.102600000000002</v>
      </c>
      <c r="C2214">
        <f t="shared" si="37"/>
        <v>2019</v>
      </c>
    </row>
    <row r="2215" spans="1:3" x14ac:dyDescent="0.2">
      <c r="A2215" s="3">
        <v>43658</v>
      </c>
      <c r="B2215">
        <v>62.976500000000001</v>
      </c>
      <c r="C2215">
        <f t="shared" si="37"/>
        <v>2019</v>
      </c>
    </row>
    <row r="2216" spans="1:3" x14ac:dyDescent="0.2">
      <c r="A2216" s="3">
        <v>43657</v>
      </c>
      <c r="B2216">
        <v>62.805500000000002</v>
      </c>
      <c r="C2216">
        <f t="shared" si="37"/>
        <v>2019</v>
      </c>
    </row>
    <row r="2217" spans="1:3" x14ac:dyDescent="0.2">
      <c r="A2217" s="3">
        <v>43656</v>
      </c>
      <c r="B2217">
        <v>63.153599999999997</v>
      </c>
      <c r="C2217">
        <f t="shared" si="37"/>
        <v>2019</v>
      </c>
    </row>
    <row r="2218" spans="1:3" x14ac:dyDescent="0.2">
      <c r="A2218" s="3">
        <v>43655</v>
      </c>
      <c r="B2218">
        <v>63.813899999999997</v>
      </c>
      <c r="C2218">
        <f t="shared" si="37"/>
        <v>2019</v>
      </c>
    </row>
    <row r="2219" spans="1:3" x14ac:dyDescent="0.2">
      <c r="A2219" s="3">
        <v>43654</v>
      </c>
      <c r="B2219">
        <v>63.679600000000001</v>
      </c>
      <c r="C2219">
        <f t="shared" si="37"/>
        <v>2019</v>
      </c>
    </row>
    <row r="2220" spans="1:3" x14ac:dyDescent="0.2">
      <c r="A2220" s="3">
        <v>43653</v>
      </c>
      <c r="B2220">
        <v>63.729500000000002</v>
      </c>
      <c r="C2220">
        <f t="shared" si="37"/>
        <v>2019</v>
      </c>
    </row>
    <row r="2221" spans="1:3" x14ac:dyDescent="0.2">
      <c r="A2221" s="3">
        <v>43651</v>
      </c>
      <c r="B2221">
        <v>63.810200000000002</v>
      </c>
      <c r="C2221">
        <f t="shared" si="37"/>
        <v>2019</v>
      </c>
    </row>
    <row r="2222" spans="1:3" x14ac:dyDescent="0.2">
      <c r="A2222" s="3">
        <v>43650</v>
      </c>
      <c r="B2222">
        <v>63.472799999999999</v>
      </c>
      <c r="C2222">
        <f t="shared" si="37"/>
        <v>2019</v>
      </c>
    </row>
    <row r="2223" spans="1:3" x14ac:dyDescent="0.2">
      <c r="A2223" s="3">
        <v>43649</v>
      </c>
      <c r="B2223">
        <v>63.292999999999999</v>
      </c>
      <c r="C2223">
        <f t="shared" si="37"/>
        <v>2019</v>
      </c>
    </row>
    <row r="2224" spans="1:3" x14ac:dyDescent="0.2">
      <c r="A2224" s="3">
        <v>43648</v>
      </c>
      <c r="B2224">
        <v>63.308199999999999</v>
      </c>
      <c r="C2224">
        <f t="shared" si="37"/>
        <v>2019</v>
      </c>
    </row>
    <row r="2225" spans="1:3" x14ac:dyDescent="0.2">
      <c r="A2225" s="3">
        <v>43647</v>
      </c>
      <c r="B2225">
        <v>62.878700000000002</v>
      </c>
      <c r="C2225">
        <f t="shared" si="37"/>
        <v>2019</v>
      </c>
    </row>
    <row r="2226" spans="1:3" x14ac:dyDescent="0.2">
      <c r="A2226" s="3">
        <v>43646</v>
      </c>
      <c r="B2226">
        <v>63.275399999999998</v>
      </c>
      <c r="C2226">
        <f t="shared" si="37"/>
        <v>2019</v>
      </c>
    </row>
    <row r="2227" spans="1:3" x14ac:dyDescent="0.2">
      <c r="A2227" s="3">
        <v>43644</v>
      </c>
      <c r="B2227">
        <v>63.222499999999997</v>
      </c>
      <c r="C2227">
        <f t="shared" si="37"/>
        <v>2019</v>
      </c>
    </row>
    <row r="2228" spans="1:3" x14ac:dyDescent="0.2">
      <c r="A2228" s="3">
        <v>43643</v>
      </c>
      <c r="B2228">
        <v>63.063899999999997</v>
      </c>
      <c r="C2228">
        <f t="shared" si="37"/>
        <v>2019</v>
      </c>
    </row>
    <row r="2229" spans="1:3" x14ac:dyDescent="0.2">
      <c r="A2229" s="3">
        <v>43642</v>
      </c>
      <c r="B2229">
        <v>63.009399999999999</v>
      </c>
      <c r="C2229">
        <f t="shared" si="37"/>
        <v>2019</v>
      </c>
    </row>
    <row r="2230" spans="1:3" x14ac:dyDescent="0.2">
      <c r="A2230" s="3">
        <v>43641</v>
      </c>
      <c r="B2230">
        <v>62.885599999999997</v>
      </c>
      <c r="C2230">
        <f t="shared" si="37"/>
        <v>2019</v>
      </c>
    </row>
    <row r="2231" spans="1:3" x14ac:dyDescent="0.2">
      <c r="A2231" s="3">
        <v>43640</v>
      </c>
      <c r="B2231">
        <v>62.555799999999998</v>
      </c>
      <c r="C2231">
        <f t="shared" si="37"/>
        <v>2019</v>
      </c>
    </row>
    <row r="2232" spans="1:3" x14ac:dyDescent="0.2">
      <c r="A2232" s="3">
        <v>43639</v>
      </c>
      <c r="B2232">
        <v>63.189599999999999</v>
      </c>
      <c r="C2232">
        <f t="shared" si="37"/>
        <v>2019</v>
      </c>
    </row>
    <row r="2233" spans="1:3" x14ac:dyDescent="0.2">
      <c r="A2233" s="3">
        <v>43637</v>
      </c>
      <c r="B2233">
        <v>63.046199999999999</v>
      </c>
      <c r="C2233">
        <f t="shared" si="37"/>
        <v>2019</v>
      </c>
    </row>
    <row r="2234" spans="1:3" x14ac:dyDescent="0.2">
      <c r="A2234" s="3">
        <v>43636</v>
      </c>
      <c r="B2234">
        <v>62.864800000000002</v>
      </c>
      <c r="C2234">
        <f t="shared" si="37"/>
        <v>2019</v>
      </c>
    </row>
    <row r="2235" spans="1:3" x14ac:dyDescent="0.2">
      <c r="A2235" s="3">
        <v>43635</v>
      </c>
      <c r="B2235">
        <v>63.740099999999998</v>
      </c>
      <c r="C2235">
        <f t="shared" si="37"/>
        <v>2019</v>
      </c>
    </row>
    <row r="2236" spans="1:3" x14ac:dyDescent="0.2">
      <c r="A2236" s="3">
        <v>43634</v>
      </c>
      <c r="B2236">
        <v>64.058599999999998</v>
      </c>
      <c r="C2236">
        <f t="shared" si="37"/>
        <v>2019</v>
      </c>
    </row>
    <row r="2237" spans="1:3" x14ac:dyDescent="0.2">
      <c r="A2237" s="3">
        <v>43633</v>
      </c>
      <c r="B2237">
        <v>64.314499999999995</v>
      </c>
      <c r="C2237">
        <f t="shared" si="37"/>
        <v>2019</v>
      </c>
    </row>
    <row r="2238" spans="1:3" x14ac:dyDescent="0.2">
      <c r="A2238" s="3">
        <v>43632</v>
      </c>
      <c r="B2238">
        <v>64.340800000000002</v>
      </c>
      <c r="C2238">
        <f t="shared" si="37"/>
        <v>2019</v>
      </c>
    </row>
    <row r="2239" spans="1:3" x14ac:dyDescent="0.2">
      <c r="A2239" s="3">
        <v>43630</v>
      </c>
      <c r="B2239">
        <v>64.401200000000003</v>
      </c>
      <c r="C2239">
        <f t="shared" si="37"/>
        <v>2019</v>
      </c>
    </row>
    <row r="2240" spans="1:3" x14ac:dyDescent="0.2">
      <c r="A2240" s="3">
        <v>43629</v>
      </c>
      <c r="B2240">
        <v>64.563199999999995</v>
      </c>
      <c r="C2240">
        <f t="shared" si="37"/>
        <v>2019</v>
      </c>
    </row>
    <row r="2241" spans="1:3" x14ac:dyDescent="0.2">
      <c r="A2241" s="3">
        <v>43628</v>
      </c>
      <c r="B2241">
        <v>64.898399999999995</v>
      </c>
      <c r="C2241">
        <f t="shared" si="37"/>
        <v>2019</v>
      </c>
    </row>
    <row r="2242" spans="1:3" x14ac:dyDescent="0.2">
      <c r="A2242" s="3">
        <v>43627</v>
      </c>
      <c r="B2242">
        <v>64.534400000000005</v>
      </c>
      <c r="C2242">
        <f t="shared" si="37"/>
        <v>2019</v>
      </c>
    </row>
    <row r="2243" spans="1:3" x14ac:dyDescent="0.2">
      <c r="A2243" s="3">
        <v>43626</v>
      </c>
      <c r="B2243">
        <v>64.716999999999999</v>
      </c>
      <c r="C2243">
        <f t="shared" si="37"/>
        <v>2019</v>
      </c>
    </row>
    <row r="2244" spans="1:3" x14ac:dyDescent="0.2">
      <c r="A2244" s="3">
        <v>43625</v>
      </c>
      <c r="B2244">
        <v>64.759799999999998</v>
      </c>
      <c r="C2244">
        <f t="shared" ref="C2244:C2307" si="38">YEAR(A2244)</f>
        <v>2019</v>
      </c>
    </row>
    <row r="2245" spans="1:3" x14ac:dyDescent="0.2">
      <c r="A2245" s="3">
        <v>43623</v>
      </c>
      <c r="B2245">
        <v>64.789400000000001</v>
      </c>
      <c r="C2245">
        <f t="shared" si="38"/>
        <v>2019</v>
      </c>
    </row>
    <row r="2246" spans="1:3" x14ac:dyDescent="0.2">
      <c r="A2246" s="3">
        <v>43622</v>
      </c>
      <c r="B2246">
        <v>65.091899999999995</v>
      </c>
      <c r="C2246">
        <f t="shared" si="38"/>
        <v>2019</v>
      </c>
    </row>
    <row r="2247" spans="1:3" x14ac:dyDescent="0.2">
      <c r="A2247" s="3">
        <v>43621</v>
      </c>
      <c r="B2247">
        <v>65.337500000000006</v>
      </c>
      <c r="C2247">
        <f t="shared" si="38"/>
        <v>2019</v>
      </c>
    </row>
    <row r="2248" spans="1:3" x14ac:dyDescent="0.2">
      <c r="A2248" s="3">
        <v>43620</v>
      </c>
      <c r="B2248">
        <v>65.085599999999999</v>
      </c>
      <c r="C2248">
        <f t="shared" si="38"/>
        <v>2019</v>
      </c>
    </row>
    <row r="2249" spans="1:3" x14ac:dyDescent="0.2">
      <c r="A2249" s="3">
        <v>43619</v>
      </c>
      <c r="B2249">
        <v>65.290800000000004</v>
      </c>
      <c r="C2249">
        <f t="shared" si="38"/>
        <v>2019</v>
      </c>
    </row>
    <row r="2250" spans="1:3" x14ac:dyDescent="0.2">
      <c r="A2250" s="3">
        <v>43618</v>
      </c>
      <c r="B2250">
        <v>65.434899999999999</v>
      </c>
      <c r="C2250">
        <f t="shared" si="38"/>
        <v>2019</v>
      </c>
    </row>
    <row r="2251" spans="1:3" x14ac:dyDescent="0.2">
      <c r="A2251" s="3">
        <v>43616</v>
      </c>
      <c r="B2251">
        <v>65.444599999999994</v>
      </c>
      <c r="C2251">
        <f t="shared" si="38"/>
        <v>2019</v>
      </c>
    </row>
    <row r="2252" spans="1:3" x14ac:dyDescent="0.2">
      <c r="A2252" s="3">
        <v>43615</v>
      </c>
      <c r="B2252">
        <v>65.128799999999998</v>
      </c>
      <c r="C2252">
        <f t="shared" si="38"/>
        <v>2019</v>
      </c>
    </row>
    <row r="2253" spans="1:3" x14ac:dyDescent="0.2">
      <c r="A2253" s="3">
        <v>43614</v>
      </c>
      <c r="B2253">
        <v>64.944500000000005</v>
      </c>
      <c r="C2253">
        <f t="shared" si="38"/>
        <v>2019</v>
      </c>
    </row>
    <row r="2254" spans="1:3" x14ac:dyDescent="0.2">
      <c r="A2254" s="3">
        <v>43613</v>
      </c>
      <c r="B2254">
        <v>64.697400000000002</v>
      </c>
      <c r="C2254">
        <f t="shared" si="38"/>
        <v>2019</v>
      </c>
    </row>
    <row r="2255" spans="1:3" x14ac:dyDescent="0.2">
      <c r="A2255" s="3">
        <v>43612</v>
      </c>
      <c r="B2255">
        <v>64.346500000000006</v>
      </c>
      <c r="C2255">
        <f t="shared" si="38"/>
        <v>2019</v>
      </c>
    </row>
    <row r="2256" spans="1:3" x14ac:dyDescent="0.2">
      <c r="A2256" s="3">
        <v>43611</v>
      </c>
      <c r="B2256">
        <v>64.438299999999998</v>
      </c>
      <c r="C2256">
        <f t="shared" si="38"/>
        <v>2019</v>
      </c>
    </row>
    <row r="2257" spans="1:3" x14ac:dyDescent="0.2">
      <c r="A2257" s="3">
        <v>43609</v>
      </c>
      <c r="B2257">
        <v>64.467399999999998</v>
      </c>
      <c r="C2257">
        <f t="shared" si="38"/>
        <v>2019</v>
      </c>
    </row>
    <row r="2258" spans="1:3" x14ac:dyDescent="0.2">
      <c r="A2258" s="3">
        <v>43608</v>
      </c>
      <c r="B2258">
        <v>64.864000000000004</v>
      </c>
      <c r="C2258">
        <f t="shared" si="38"/>
        <v>2019</v>
      </c>
    </row>
    <row r="2259" spans="1:3" x14ac:dyDescent="0.2">
      <c r="A2259" s="3">
        <v>43607</v>
      </c>
      <c r="B2259">
        <v>64.361999999999995</v>
      </c>
      <c r="C2259">
        <f t="shared" si="38"/>
        <v>2019</v>
      </c>
    </row>
    <row r="2260" spans="1:3" x14ac:dyDescent="0.2">
      <c r="A2260" s="3">
        <v>43606</v>
      </c>
      <c r="B2260">
        <v>64.422600000000003</v>
      </c>
      <c r="C2260">
        <f t="shared" si="38"/>
        <v>2019</v>
      </c>
    </row>
    <row r="2261" spans="1:3" x14ac:dyDescent="0.2">
      <c r="A2261" s="3">
        <v>43605</v>
      </c>
      <c r="B2261">
        <v>64.557699999999997</v>
      </c>
      <c r="C2261">
        <f t="shared" si="38"/>
        <v>2019</v>
      </c>
    </row>
    <row r="2262" spans="1:3" x14ac:dyDescent="0.2">
      <c r="A2262" s="3">
        <v>43602</v>
      </c>
      <c r="B2262">
        <v>64.674999999999997</v>
      </c>
      <c r="C2262">
        <f t="shared" si="38"/>
        <v>2019</v>
      </c>
    </row>
    <row r="2263" spans="1:3" x14ac:dyDescent="0.2">
      <c r="A2263" s="3">
        <v>43601</v>
      </c>
      <c r="B2263">
        <v>64.617199999999997</v>
      </c>
      <c r="C2263">
        <f t="shared" si="38"/>
        <v>2019</v>
      </c>
    </row>
    <row r="2264" spans="1:3" x14ac:dyDescent="0.2">
      <c r="A2264" s="3">
        <v>43600</v>
      </c>
      <c r="B2264">
        <v>64.653599999999997</v>
      </c>
      <c r="C2264">
        <f t="shared" si="38"/>
        <v>2019</v>
      </c>
    </row>
    <row r="2265" spans="1:3" x14ac:dyDescent="0.2">
      <c r="A2265" s="3">
        <v>43599</v>
      </c>
      <c r="B2265">
        <v>64.912800000000004</v>
      </c>
      <c r="C2265">
        <f t="shared" si="38"/>
        <v>2019</v>
      </c>
    </row>
    <row r="2266" spans="1:3" x14ac:dyDescent="0.2">
      <c r="A2266" s="3">
        <v>43598</v>
      </c>
      <c r="B2266">
        <v>65.422899999999998</v>
      </c>
      <c r="C2266">
        <f t="shared" si="38"/>
        <v>2019</v>
      </c>
    </row>
    <row r="2267" spans="1:3" x14ac:dyDescent="0.2">
      <c r="A2267" s="3">
        <v>43597</v>
      </c>
      <c r="B2267">
        <v>65.651300000000006</v>
      </c>
      <c r="C2267">
        <f t="shared" si="38"/>
        <v>2019</v>
      </c>
    </row>
    <row r="2268" spans="1:3" x14ac:dyDescent="0.2">
      <c r="A2268" s="3">
        <v>43595</v>
      </c>
      <c r="B2268">
        <v>65.224800000000002</v>
      </c>
      <c r="C2268">
        <f t="shared" si="38"/>
        <v>2019</v>
      </c>
    </row>
    <row r="2269" spans="1:3" x14ac:dyDescent="0.2">
      <c r="A2269" s="3">
        <v>43594</v>
      </c>
      <c r="B2269">
        <v>65.256399999999999</v>
      </c>
      <c r="C2269">
        <f t="shared" si="38"/>
        <v>2019</v>
      </c>
    </row>
    <row r="2270" spans="1:3" x14ac:dyDescent="0.2">
      <c r="A2270" s="3">
        <v>43593</v>
      </c>
      <c r="B2270">
        <v>65.067300000000003</v>
      </c>
      <c r="C2270">
        <f t="shared" si="38"/>
        <v>2019</v>
      </c>
    </row>
    <row r="2271" spans="1:3" x14ac:dyDescent="0.2">
      <c r="A2271" s="3">
        <v>43592</v>
      </c>
      <c r="B2271">
        <v>65.393000000000001</v>
      </c>
      <c r="C2271">
        <f t="shared" si="38"/>
        <v>2019</v>
      </c>
    </row>
    <row r="2272" spans="1:3" x14ac:dyDescent="0.2">
      <c r="A2272" s="3">
        <v>43591</v>
      </c>
      <c r="B2272">
        <v>65.252899999999997</v>
      </c>
      <c r="C2272">
        <f t="shared" si="38"/>
        <v>2019</v>
      </c>
    </row>
    <row r="2273" spans="1:3" x14ac:dyDescent="0.2">
      <c r="A2273" s="3">
        <v>43590</v>
      </c>
      <c r="B2273">
        <v>65.198800000000006</v>
      </c>
      <c r="C2273">
        <f t="shared" si="38"/>
        <v>2019</v>
      </c>
    </row>
    <row r="2274" spans="1:3" x14ac:dyDescent="0.2">
      <c r="A2274" s="3">
        <v>43588</v>
      </c>
      <c r="B2274">
        <v>65.086200000000005</v>
      </c>
      <c r="C2274">
        <f t="shared" si="38"/>
        <v>2019</v>
      </c>
    </row>
    <row r="2275" spans="1:3" x14ac:dyDescent="0.2">
      <c r="A2275" s="3">
        <v>43587</v>
      </c>
      <c r="B2275">
        <v>65.389099999999999</v>
      </c>
      <c r="C2275">
        <f t="shared" si="38"/>
        <v>2019</v>
      </c>
    </row>
    <row r="2276" spans="1:3" x14ac:dyDescent="0.2">
      <c r="A2276" s="3">
        <v>43586</v>
      </c>
      <c r="B2276">
        <v>64.846800000000002</v>
      </c>
      <c r="C2276">
        <f t="shared" si="38"/>
        <v>2019</v>
      </c>
    </row>
    <row r="2277" spans="1:3" x14ac:dyDescent="0.2">
      <c r="A2277" s="3">
        <v>43585</v>
      </c>
      <c r="B2277">
        <v>64.619500000000002</v>
      </c>
      <c r="C2277">
        <f t="shared" si="38"/>
        <v>2019</v>
      </c>
    </row>
    <row r="2278" spans="1:3" x14ac:dyDescent="0.2">
      <c r="A2278" s="3">
        <v>43584</v>
      </c>
      <c r="B2278">
        <v>64.465000000000003</v>
      </c>
      <c r="C2278">
        <f t="shared" si="38"/>
        <v>2019</v>
      </c>
    </row>
    <row r="2279" spans="1:3" x14ac:dyDescent="0.2">
      <c r="A2279" s="3">
        <v>43583</v>
      </c>
      <c r="B2279">
        <v>64.846500000000006</v>
      </c>
      <c r="C2279">
        <f t="shared" si="38"/>
        <v>2019</v>
      </c>
    </row>
    <row r="2280" spans="1:3" x14ac:dyDescent="0.2">
      <c r="A2280" s="3">
        <v>43581</v>
      </c>
      <c r="B2280">
        <v>64.795000000000002</v>
      </c>
      <c r="C2280">
        <f t="shared" si="38"/>
        <v>2019</v>
      </c>
    </row>
    <row r="2281" spans="1:3" x14ac:dyDescent="0.2">
      <c r="A2281" s="3">
        <v>43580</v>
      </c>
      <c r="B2281">
        <v>64.665499999999994</v>
      </c>
      <c r="C2281">
        <f t="shared" si="38"/>
        <v>2019</v>
      </c>
    </row>
    <row r="2282" spans="1:3" x14ac:dyDescent="0.2">
      <c r="A2282" s="3">
        <v>43579</v>
      </c>
      <c r="B2282">
        <v>64.402000000000001</v>
      </c>
      <c r="C2282">
        <f t="shared" si="38"/>
        <v>2019</v>
      </c>
    </row>
    <row r="2283" spans="1:3" x14ac:dyDescent="0.2">
      <c r="A2283" s="3">
        <v>43578</v>
      </c>
      <c r="B2283">
        <v>63.7042</v>
      </c>
      <c r="C2283">
        <f t="shared" si="38"/>
        <v>2019</v>
      </c>
    </row>
    <row r="2284" spans="1:3" x14ac:dyDescent="0.2">
      <c r="A2284" s="3">
        <v>43577</v>
      </c>
      <c r="B2284">
        <v>63.789200000000001</v>
      </c>
      <c r="C2284">
        <f t="shared" si="38"/>
        <v>2019</v>
      </c>
    </row>
    <row r="2285" spans="1:3" x14ac:dyDescent="0.2">
      <c r="A2285" s="3">
        <v>43574</v>
      </c>
      <c r="B2285">
        <v>64.016199999999998</v>
      </c>
      <c r="C2285">
        <f t="shared" si="38"/>
        <v>2019</v>
      </c>
    </row>
    <row r="2286" spans="1:3" x14ac:dyDescent="0.2">
      <c r="A2286" s="3">
        <v>43573</v>
      </c>
      <c r="B2286">
        <v>63.872100000000003</v>
      </c>
      <c r="C2286">
        <f t="shared" si="38"/>
        <v>2019</v>
      </c>
    </row>
    <row r="2287" spans="1:3" x14ac:dyDescent="0.2">
      <c r="A2287" s="3">
        <v>43572</v>
      </c>
      <c r="B2287">
        <v>63.816699999999997</v>
      </c>
      <c r="C2287">
        <f t="shared" si="38"/>
        <v>2019</v>
      </c>
    </row>
    <row r="2288" spans="1:3" x14ac:dyDescent="0.2">
      <c r="A2288" s="3">
        <v>43571</v>
      </c>
      <c r="B2288">
        <v>64.075800000000001</v>
      </c>
      <c r="C2288">
        <f t="shared" si="38"/>
        <v>2019</v>
      </c>
    </row>
    <row r="2289" spans="1:3" x14ac:dyDescent="0.2">
      <c r="A2289" s="3">
        <v>43570</v>
      </c>
      <c r="B2289">
        <v>64.307000000000002</v>
      </c>
      <c r="C2289">
        <f t="shared" si="38"/>
        <v>2019</v>
      </c>
    </row>
    <row r="2290" spans="1:3" x14ac:dyDescent="0.2">
      <c r="A2290" s="3">
        <v>43569</v>
      </c>
      <c r="B2290">
        <v>64.547499999999999</v>
      </c>
      <c r="C2290">
        <f t="shared" si="38"/>
        <v>2019</v>
      </c>
    </row>
    <row r="2291" spans="1:3" x14ac:dyDescent="0.2">
      <c r="A2291" s="3">
        <v>43567</v>
      </c>
      <c r="B2291">
        <v>64.284000000000006</v>
      </c>
      <c r="C2291">
        <f t="shared" si="38"/>
        <v>2019</v>
      </c>
    </row>
    <row r="2292" spans="1:3" x14ac:dyDescent="0.2">
      <c r="A2292" s="3">
        <v>43566</v>
      </c>
      <c r="B2292">
        <v>64.611199999999997</v>
      </c>
      <c r="C2292">
        <f t="shared" si="38"/>
        <v>2019</v>
      </c>
    </row>
    <row r="2293" spans="1:3" x14ac:dyDescent="0.2">
      <c r="A2293" s="3">
        <v>43565</v>
      </c>
      <c r="B2293">
        <v>64.267499999999998</v>
      </c>
      <c r="C2293">
        <f t="shared" si="38"/>
        <v>2019</v>
      </c>
    </row>
    <row r="2294" spans="1:3" x14ac:dyDescent="0.2">
      <c r="A2294" s="3">
        <v>43564</v>
      </c>
      <c r="B2294">
        <v>64.947400000000002</v>
      </c>
      <c r="C2294">
        <f t="shared" si="38"/>
        <v>2019</v>
      </c>
    </row>
    <row r="2295" spans="1:3" x14ac:dyDescent="0.2">
      <c r="A2295" s="3">
        <v>43563</v>
      </c>
      <c r="B2295">
        <v>64.876800000000003</v>
      </c>
      <c r="C2295">
        <f t="shared" si="38"/>
        <v>2019</v>
      </c>
    </row>
    <row r="2296" spans="1:3" x14ac:dyDescent="0.2">
      <c r="A2296" s="3">
        <v>43562</v>
      </c>
      <c r="B2296">
        <v>65.504999999999995</v>
      </c>
      <c r="C2296">
        <f t="shared" si="38"/>
        <v>2019</v>
      </c>
    </row>
    <row r="2297" spans="1:3" x14ac:dyDescent="0.2">
      <c r="A2297" s="3">
        <v>43560</v>
      </c>
      <c r="B2297">
        <v>65.302099999999996</v>
      </c>
      <c r="C2297">
        <f t="shared" si="38"/>
        <v>2019</v>
      </c>
    </row>
    <row r="2298" spans="1:3" x14ac:dyDescent="0.2">
      <c r="A2298" s="3">
        <v>43559</v>
      </c>
      <c r="B2298">
        <v>65.407200000000003</v>
      </c>
      <c r="C2298">
        <f t="shared" si="38"/>
        <v>2019</v>
      </c>
    </row>
    <row r="2299" spans="1:3" x14ac:dyDescent="0.2">
      <c r="A2299" s="3">
        <v>43558</v>
      </c>
      <c r="B2299">
        <v>65.241399999999999</v>
      </c>
      <c r="C2299">
        <f t="shared" si="38"/>
        <v>2019</v>
      </c>
    </row>
    <row r="2300" spans="1:3" x14ac:dyDescent="0.2">
      <c r="A2300" s="3">
        <v>43557</v>
      </c>
      <c r="B2300">
        <v>65.321299999999994</v>
      </c>
      <c r="C2300">
        <f t="shared" si="38"/>
        <v>2019</v>
      </c>
    </row>
    <row r="2301" spans="1:3" x14ac:dyDescent="0.2">
      <c r="A2301" s="3">
        <v>43556</v>
      </c>
      <c r="B2301">
        <v>65.215900000000005</v>
      </c>
      <c r="C2301">
        <f t="shared" si="38"/>
        <v>2019</v>
      </c>
    </row>
    <row r="2302" spans="1:3" x14ac:dyDescent="0.2">
      <c r="A2302" s="3">
        <v>43555</v>
      </c>
      <c r="B2302">
        <v>65.6738</v>
      </c>
      <c r="C2302">
        <f t="shared" si="38"/>
        <v>2019</v>
      </c>
    </row>
    <row r="2303" spans="1:3" x14ac:dyDescent="0.2">
      <c r="A2303" s="3">
        <v>43553</v>
      </c>
      <c r="B2303">
        <v>65.754999999999995</v>
      </c>
      <c r="C2303">
        <f t="shared" si="38"/>
        <v>2019</v>
      </c>
    </row>
    <row r="2304" spans="1:3" x14ac:dyDescent="0.2">
      <c r="A2304" s="3">
        <v>43552</v>
      </c>
      <c r="B2304">
        <v>64.985799999999998</v>
      </c>
      <c r="C2304">
        <f t="shared" si="38"/>
        <v>2019</v>
      </c>
    </row>
    <row r="2305" spans="1:3" x14ac:dyDescent="0.2">
      <c r="A2305" s="3">
        <v>43551</v>
      </c>
      <c r="B2305">
        <v>64.851200000000006</v>
      </c>
      <c r="C2305">
        <f t="shared" si="38"/>
        <v>2019</v>
      </c>
    </row>
    <row r="2306" spans="1:3" x14ac:dyDescent="0.2">
      <c r="A2306" s="3">
        <v>43550</v>
      </c>
      <c r="B2306">
        <v>64.409899999999993</v>
      </c>
      <c r="C2306">
        <f t="shared" si="38"/>
        <v>2019</v>
      </c>
    </row>
    <row r="2307" spans="1:3" x14ac:dyDescent="0.2">
      <c r="A2307" s="3">
        <v>43549</v>
      </c>
      <c r="B2307">
        <v>63.987900000000003</v>
      </c>
      <c r="C2307">
        <f t="shared" si="38"/>
        <v>2019</v>
      </c>
    </row>
    <row r="2308" spans="1:3" x14ac:dyDescent="0.2">
      <c r="A2308" s="3">
        <v>43548</v>
      </c>
      <c r="B2308">
        <v>64.680000000000007</v>
      </c>
      <c r="C2308">
        <f t="shared" ref="C2308:C2371" si="39">YEAR(A2308)</f>
        <v>2019</v>
      </c>
    </row>
    <row r="2309" spans="1:3" x14ac:dyDescent="0.2">
      <c r="A2309" s="3">
        <v>43546</v>
      </c>
      <c r="B2309">
        <v>64.653400000000005</v>
      </c>
      <c r="C2309">
        <f t="shared" si="39"/>
        <v>2019</v>
      </c>
    </row>
    <row r="2310" spans="1:3" x14ac:dyDescent="0.2">
      <c r="A2310" s="3">
        <v>43545</v>
      </c>
      <c r="B2310">
        <v>63.9011</v>
      </c>
      <c r="C2310">
        <f t="shared" si="39"/>
        <v>2019</v>
      </c>
    </row>
    <row r="2311" spans="1:3" x14ac:dyDescent="0.2">
      <c r="A2311" s="3">
        <v>43544</v>
      </c>
      <c r="B2311">
        <v>63.858499999999999</v>
      </c>
      <c r="C2311">
        <f t="shared" si="39"/>
        <v>2019</v>
      </c>
    </row>
    <row r="2312" spans="1:3" x14ac:dyDescent="0.2">
      <c r="A2312" s="3">
        <v>43543</v>
      </c>
      <c r="B2312">
        <v>64.363100000000003</v>
      </c>
      <c r="C2312">
        <f t="shared" si="39"/>
        <v>2019</v>
      </c>
    </row>
    <row r="2313" spans="1:3" x14ac:dyDescent="0.2">
      <c r="A2313" s="3">
        <v>43542</v>
      </c>
      <c r="B2313">
        <v>64.362499999999997</v>
      </c>
      <c r="C2313">
        <f t="shared" si="39"/>
        <v>2019</v>
      </c>
    </row>
    <row r="2314" spans="1:3" x14ac:dyDescent="0.2">
      <c r="A2314" s="3">
        <v>43541</v>
      </c>
      <c r="B2314">
        <v>64.843500000000006</v>
      </c>
      <c r="C2314">
        <f t="shared" si="39"/>
        <v>2019</v>
      </c>
    </row>
    <row r="2315" spans="1:3" x14ac:dyDescent="0.2">
      <c r="A2315" s="3">
        <v>43539</v>
      </c>
      <c r="B2315">
        <v>64.801100000000005</v>
      </c>
      <c r="C2315">
        <f t="shared" si="39"/>
        <v>2019</v>
      </c>
    </row>
    <row r="2316" spans="1:3" x14ac:dyDescent="0.2">
      <c r="A2316" s="3">
        <v>43538</v>
      </c>
      <c r="B2316">
        <v>65.437899999999999</v>
      </c>
      <c r="C2316">
        <f t="shared" si="39"/>
        <v>2019</v>
      </c>
    </row>
    <row r="2317" spans="1:3" x14ac:dyDescent="0.2">
      <c r="A2317" s="3">
        <v>43537</v>
      </c>
      <c r="B2317">
        <v>65.442300000000003</v>
      </c>
      <c r="C2317">
        <f t="shared" si="39"/>
        <v>2019</v>
      </c>
    </row>
    <row r="2318" spans="1:3" x14ac:dyDescent="0.2">
      <c r="A2318" s="3">
        <v>43536</v>
      </c>
      <c r="B2318">
        <v>65.597999999999999</v>
      </c>
      <c r="C2318">
        <f t="shared" si="39"/>
        <v>2019</v>
      </c>
    </row>
    <row r="2319" spans="1:3" x14ac:dyDescent="0.2">
      <c r="A2319" s="3">
        <v>43535</v>
      </c>
      <c r="B2319">
        <v>65.916700000000006</v>
      </c>
      <c r="C2319">
        <f t="shared" si="39"/>
        <v>2019</v>
      </c>
    </row>
    <row r="2320" spans="1:3" x14ac:dyDescent="0.2">
      <c r="A2320" s="3">
        <v>43532</v>
      </c>
      <c r="B2320">
        <v>66.344399999999993</v>
      </c>
      <c r="C2320">
        <f t="shared" si="39"/>
        <v>2019</v>
      </c>
    </row>
    <row r="2321" spans="1:3" x14ac:dyDescent="0.2">
      <c r="A2321" s="3">
        <v>43531</v>
      </c>
      <c r="B2321">
        <v>66.286100000000005</v>
      </c>
      <c r="C2321">
        <f t="shared" si="39"/>
        <v>2019</v>
      </c>
    </row>
    <row r="2322" spans="1:3" x14ac:dyDescent="0.2">
      <c r="A2322" s="3">
        <v>43530</v>
      </c>
      <c r="B2322">
        <v>65.92</v>
      </c>
      <c r="C2322">
        <f t="shared" si="39"/>
        <v>2019</v>
      </c>
    </row>
    <row r="2323" spans="1:3" x14ac:dyDescent="0.2">
      <c r="A2323" s="3">
        <v>43529</v>
      </c>
      <c r="B2323">
        <v>65.808000000000007</v>
      </c>
      <c r="C2323">
        <f t="shared" si="39"/>
        <v>2019</v>
      </c>
    </row>
    <row r="2324" spans="1:3" x14ac:dyDescent="0.2">
      <c r="A2324" s="3">
        <v>43528</v>
      </c>
      <c r="B2324">
        <v>65.735200000000006</v>
      </c>
      <c r="C2324">
        <f t="shared" si="39"/>
        <v>2019</v>
      </c>
    </row>
    <row r="2325" spans="1:3" x14ac:dyDescent="0.2">
      <c r="A2325" s="3">
        <v>43527</v>
      </c>
      <c r="B2325">
        <v>65.924999999999997</v>
      </c>
      <c r="C2325">
        <f t="shared" si="39"/>
        <v>2019</v>
      </c>
    </row>
    <row r="2326" spans="1:3" x14ac:dyDescent="0.2">
      <c r="A2326" s="3">
        <v>43525</v>
      </c>
      <c r="B2326">
        <v>65.919300000000007</v>
      </c>
      <c r="C2326">
        <f t="shared" si="39"/>
        <v>2019</v>
      </c>
    </row>
    <row r="2327" spans="1:3" x14ac:dyDescent="0.2">
      <c r="A2327" s="3">
        <v>43524</v>
      </c>
      <c r="B2327">
        <v>65.967500000000001</v>
      </c>
      <c r="C2327">
        <f t="shared" si="39"/>
        <v>2019</v>
      </c>
    </row>
    <row r="2328" spans="1:3" x14ac:dyDescent="0.2">
      <c r="A2328" s="3">
        <v>43523</v>
      </c>
      <c r="B2328">
        <v>65.775099999999995</v>
      </c>
      <c r="C2328">
        <f t="shared" si="39"/>
        <v>2019</v>
      </c>
    </row>
    <row r="2329" spans="1:3" x14ac:dyDescent="0.2">
      <c r="A2329" s="3">
        <v>43522</v>
      </c>
      <c r="B2329">
        <v>65.709100000000007</v>
      </c>
      <c r="C2329">
        <f t="shared" si="39"/>
        <v>2019</v>
      </c>
    </row>
    <row r="2330" spans="1:3" x14ac:dyDescent="0.2">
      <c r="A2330" s="3">
        <v>43521</v>
      </c>
      <c r="B2330">
        <v>65.5334</v>
      </c>
      <c r="C2330">
        <f t="shared" si="39"/>
        <v>2019</v>
      </c>
    </row>
    <row r="2331" spans="1:3" x14ac:dyDescent="0.2">
      <c r="A2331" s="3">
        <v>43520</v>
      </c>
      <c r="B2331">
        <v>65.488500000000002</v>
      </c>
      <c r="C2331">
        <f t="shared" si="39"/>
        <v>2019</v>
      </c>
    </row>
    <row r="2332" spans="1:3" x14ac:dyDescent="0.2">
      <c r="A2332" s="3">
        <v>43518</v>
      </c>
      <c r="B2332">
        <v>65.383099999999999</v>
      </c>
      <c r="C2332">
        <f t="shared" si="39"/>
        <v>2019</v>
      </c>
    </row>
    <row r="2333" spans="1:3" x14ac:dyDescent="0.2">
      <c r="A2333" s="3">
        <v>43517</v>
      </c>
      <c r="B2333">
        <v>65.619399999999999</v>
      </c>
      <c r="C2333">
        <f t="shared" si="39"/>
        <v>2019</v>
      </c>
    </row>
    <row r="2334" spans="1:3" x14ac:dyDescent="0.2">
      <c r="A2334" s="3">
        <v>43516</v>
      </c>
      <c r="B2334">
        <v>65.653199999999998</v>
      </c>
      <c r="C2334">
        <f t="shared" si="39"/>
        <v>2019</v>
      </c>
    </row>
    <row r="2335" spans="1:3" x14ac:dyDescent="0.2">
      <c r="A2335" s="3">
        <v>43515</v>
      </c>
      <c r="B2335">
        <v>65.709100000000007</v>
      </c>
      <c r="C2335">
        <f t="shared" si="39"/>
        <v>2019</v>
      </c>
    </row>
    <row r="2336" spans="1:3" x14ac:dyDescent="0.2">
      <c r="A2336" s="3">
        <v>43514</v>
      </c>
      <c r="B2336">
        <v>66.25</v>
      </c>
      <c r="C2336">
        <f t="shared" si="39"/>
        <v>2019</v>
      </c>
    </row>
    <row r="2337" spans="1:3" x14ac:dyDescent="0.2">
      <c r="A2337" s="3">
        <v>43513</v>
      </c>
      <c r="B2337">
        <v>66.253100000000003</v>
      </c>
      <c r="C2337">
        <f t="shared" si="39"/>
        <v>2019</v>
      </c>
    </row>
    <row r="2338" spans="1:3" x14ac:dyDescent="0.2">
      <c r="A2338" s="3">
        <v>43511</v>
      </c>
      <c r="B2338">
        <v>66.326999999999998</v>
      </c>
      <c r="C2338">
        <f t="shared" si="39"/>
        <v>2019</v>
      </c>
    </row>
    <row r="2339" spans="1:3" x14ac:dyDescent="0.2">
      <c r="A2339" s="3">
        <v>43510</v>
      </c>
      <c r="B2339">
        <v>66.653400000000005</v>
      </c>
      <c r="C2339">
        <f t="shared" si="39"/>
        <v>2019</v>
      </c>
    </row>
    <row r="2340" spans="1:3" x14ac:dyDescent="0.2">
      <c r="A2340" s="3">
        <v>43509</v>
      </c>
      <c r="B2340">
        <v>66.498800000000003</v>
      </c>
      <c r="C2340">
        <f t="shared" si="39"/>
        <v>2019</v>
      </c>
    </row>
    <row r="2341" spans="1:3" x14ac:dyDescent="0.2">
      <c r="A2341" s="3">
        <v>43508</v>
      </c>
      <c r="B2341">
        <v>65.861500000000007</v>
      </c>
      <c r="C2341">
        <f t="shared" si="39"/>
        <v>2019</v>
      </c>
    </row>
    <row r="2342" spans="1:3" x14ac:dyDescent="0.2">
      <c r="A2342" s="3">
        <v>43507</v>
      </c>
      <c r="B2342">
        <v>65.796099999999996</v>
      </c>
      <c r="C2342">
        <f t="shared" si="39"/>
        <v>2019</v>
      </c>
    </row>
    <row r="2343" spans="1:3" x14ac:dyDescent="0.2">
      <c r="A2343" s="3">
        <v>43506</v>
      </c>
      <c r="B2343">
        <v>65.512100000000004</v>
      </c>
      <c r="C2343">
        <f t="shared" si="39"/>
        <v>2019</v>
      </c>
    </row>
    <row r="2344" spans="1:3" x14ac:dyDescent="0.2">
      <c r="A2344" s="3">
        <v>43504</v>
      </c>
      <c r="B2344">
        <v>65.439700000000002</v>
      </c>
      <c r="C2344">
        <f t="shared" si="39"/>
        <v>2019</v>
      </c>
    </row>
    <row r="2345" spans="1:3" x14ac:dyDescent="0.2">
      <c r="A2345" s="3">
        <v>43503</v>
      </c>
      <c r="B2345">
        <v>65.9499</v>
      </c>
      <c r="C2345">
        <f t="shared" si="39"/>
        <v>2019</v>
      </c>
    </row>
    <row r="2346" spans="1:3" x14ac:dyDescent="0.2">
      <c r="A2346" s="3">
        <v>43502</v>
      </c>
      <c r="B2346">
        <v>65.870900000000006</v>
      </c>
      <c r="C2346">
        <f t="shared" si="39"/>
        <v>2019</v>
      </c>
    </row>
    <row r="2347" spans="1:3" x14ac:dyDescent="0.2">
      <c r="A2347" s="3">
        <v>43501</v>
      </c>
      <c r="B2347">
        <v>65.618700000000004</v>
      </c>
      <c r="C2347">
        <f t="shared" si="39"/>
        <v>2019</v>
      </c>
    </row>
    <row r="2348" spans="1:3" x14ac:dyDescent="0.2">
      <c r="A2348" s="3">
        <v>43500</v>
      </c>
      <c r="B2348">
        <v>65.5745</v>
      </c>
      <c r="C2348">
        <f t="shared" si="39"/>
        <v>2019</v>
      </c>
    </row>
    <row r="2349" spans="1:3" x14ac:dyDescent="0.2">
      <c r="A2349" s="3">
        <v>43499</v>
      </c>
      <c r="B2349">
        <v>65.499700000000004</v>
      </c>
      <c r="C2349">
        <f t="shared" si="39"/>
        <v>2019</v>
      </c>
    </row>
    <row r="2350" spans="1:3" x14ac:dyDescent="0.2">
      <c r="A2350" s="3">
        <v>43497</v>
      </c>
      <c r="B2350">
        <v>65.476699999999994</v>
      </c>
      <c r="C2350">
        <f t="shared" si="39"/>
        <v>2019</v>
      </c>
    </row>
    <row r="2351" spans="1:3" x14ac:dyDescent="0.2">
      <c r="A2351" s="3">
        <v>43496</v>
      </c>
      <c r="B2351">
        <v>65.379900000000006</v>
      </c>
      <c r="C2351">
        <f t="shared" si="39"/>
        <v>2019</v>
      </c>
    </row>
    <row r="2352" spans="1:3" x14ac:dyDescent="0.2">
      <c r="A2352" s="3">
        <v>43495</v>
      </c>
      <c r="B2352">
        <v>65.411199999999994</v>
      </c>
      <c r="C2352">
        <f t="shared" si="39"/>
        <v>2019</v>
      </c>
    </row>
    <row r="2353" spans="1:3" x14ac:dyDescent="0.2">
      <c r="A2353" s="3">
        <v>43494</v>
      </c>
      <c r="B2353">
        <v>66.054699999999997</v>
      </c>
      <c r="C2353">
        <f t="shared" si="39"/>
        <v>2019</v>
      </c>
    </row>
    <row r="2354" spans="1:3" x14ac:dyDescent="0.2">
      <c r="A2354" s="3">
        <v>43493</v>
      </c>
      <c r="B2354">
        <v>66.238699999999994</v>
      </c>
      <c r="C2354">
        <f t="shared" si="39"/>
        <v>2019</v>
      </c>
    </row>
    <row r="2355" spans="1:3" x14ac:dyDescent="0.2">
      <c r="A2355" s="3">
        <v>43492</v>
      </c>
      <c r="B2355">
        <v>65.950199999999995</v>
      </c>
      <c r="C2355">
        <f t="shared" si="39"/>
        <v>2019</v>
      </c>
    </row>
    <row r="2356" spans="1:3" x14ac:dyDescent="0.2">
      <c r="A2356" s="3">
        <v>43490</v>
      </c>
      <c r="B2356">
        <v>66.007400000000004</v>
      </c>
      <c r="C2356">
        <f t="shared" si="39"/>
        <v>2019</v>
      </c>
    </row>
    <row r="2357" spans="1:3" x14ac:dyDescent="0.2">
      <c r="A2357" s="3">
        <v>43489</v>
      </c>
      <c r="B2357">
        <v>65.762799999999999</v>
      </c>
      <c r="C2357">
        <f t="shared" si="39"/>
        <v>2019</v>
      </c>
    </row>
    <row r="2358" spans="1:3" x14ac:dyDescent="0.2">
      <c r="A2358" s="3">
        <v>43488</v>
      </c>
      <c r="B2358">
        <v>66.0852</v>
      </c>
      <c r="C2358">
        <f t="shared" si="39"/>
        <v>2019</v>
      </c>
    </row>
    <row r="2359" spans="1:3" x14ac:dyDescent="0.2">
      <c r="A2359" s="3">
        <v>43487</v>
      </c>
      <c r="B2359">
        <v>66.505099999999999</v>
      </c>
      <c r="C2359">
        <f t="shared" si="39"/>
        <v>2019</v>
      </c>
    </row>
    <row r="2360" spans="1:3" x14ac:dyDescent="0.2">
      <c r="A2360" s="3">
        <v>43486</v>
      </c>
      <c r="B2360">
        <v>66.391000000000005</v>
      </c>
      <c r="C2360">
        <f t="shared" si="39"/>
        <v>2019</v>
      </c>
    </row>
    <row r="2361" spans="1:3" x14ac:dyDescent="0.2">
      <c r="A2361" s="3">
        <v>43485</v>
      </c>
      <c r="B2361">
        <v>66.270499999999998</v>
      </c>
      <c r="C2361">
        <f t="shared" si="39"/>
        <v>2019</v>
      </c>
    </row>
    <row r="2362" spans="1:3" x14ac:dyDescent="0.2">
      <c r="A2362" s="3">
        <v>43483</v>
      </c>
      <c r="B2362">
        <v>66.180700000000002</v>
      </c>
      <c r="C2362">
        <f t="shared" si="39"/>
        <v>2019</v>
      </c>
    </row>
    <row r="2363" spans="1:3" x14ac:dyDescent="0.2">
      <c r="A2363" s="3">
        <v>43482</v>
      </c>
      <c r="B2363">
        <v>66.323999999999998</v>
      </c>
      <c r="C2363">
        <f t="shared" si="39"/>
        <v>2019</v>
      </c>
    </row>
    <row r="2364" spans="1:3" x14ac:dyDescent="0.2">
      <c r="A2364" s="3">
        <v>43481</v>
      </c>
      <c r="B2364">
        <v>66.340800000000002</v>
      </c>
      <c r="C2364">
        <f t="shared" si="39"/>
        <v>2019</v>
      </c>
    </row>
    <row r="2365" spans="1:3" x14ac:dyDescent="0.2">
      <c r="A2365" s="3">
        <v>43480</v>
      </c>
      <c r="B2365">
        <v>67.064999999999998</v>
      </c>
      <c r="C2365">
        <f t="shared" si="39"/>
        <v>2019</v>
      </c>
    </row>
    <row r="2366" spans="1:3" x14ac:dyDescent="0.2">
      <c r="A2366" s="3">
        <v>43479</v>
      </c>
      <c r="B2366">
        <v>67.011099999999999</v>
      </c>
      <c r="C2366">
        <f t="shared" si="39"/>
        <v>2019</v>
      </c>
    </row>
    <row r="2367" spans="1:3" x14ac:dyDescent="0.2">
      <c r="A2367" s="3">
        <v>43478</v>
      </c>
      <c r="B2367">
        <v>66.895700000000005</v>
      </c>
      <c r="C2367">
        <f t="shared" si="39"/>
        <v>2019</v>
      </c>
    </row>
    <row r="2368" spans="1:3" x14ac:dyDescent="0.2">
      <c r="A2368" s="3">
        <v>43476</v>
      </c>
      <c r="B2368">
        <v>66.892499999999998</v>
      </c>
      <c r="C2368">
        <f t="shared" si="39"/>
        <v>2019</v>
      </c>
    </row>
    <row r="2369" spans="1:3" x14ac:dyDescent="0.2">
      <c r="A2369" s="3">
        <v>43475</v>
      </c>
      <c r="B2369">
        <v>66.862099999999998</v>
      </c>
      <c r="C2369">
        <f t="shared" si="39"/>
        <v>2019</v>
      </c>
    </row>
    <row r="2370" spans="1:3" x14ac:dyDescent="0.2">
      <c r="A2370" s="3">
        <v>43474</v>
      </c>
      <c r="B2370">
        <v>66.672499999999999</v>
      </c>
      <c r="C2370">
        <f t="shared" si="39"/>
        <v>2019</v>
      </c>
    </row>
    <row r="2371" spans="1:3" x14ac:dyDescent="0.2">
      <c r="A2371" s="3">
        <v>43473</v>
      </c>
      <c r="B2371">
        <v>66.903899999999993</v>
      </c>
      <c r="C2371">
        <f t="shared" si="39"/>
        <v>2019</v>
      </c>
    </row>
    <row r="2372" spans="1:3" x14ac:dyDescent="0.2">
      <c r="A2372" s="3">
        <v>43472</v>
      </c>
      <c r="B2372">
        <v>66.684899999999999</v>
      </c>
      <c r="C2372">
        <f t="shared" ref="C2372:C2435" si="40">YEAR(A2372)</f>
        <v>2019</v>
      </c>
    </row>
    <row r="2373" spans="1:3" x14ac:dyDescent="0.2">
      <c r="A2373" s="3">
        <v>43469</v>
      </c>
      <c r="B2373">
        <v>67.537499999999994</v>
      </c>
      <c r="C2373">
        <f t="shared" si="40"/>
        <v>2019</v>
      </c>
    </row>
    <row r="2374" spans="1:3" x14ac:dyDescent="0.2">
      <c r="A2374" s="3">
        <v>43468</v>
      </c>
      <c r="B2374">
        <v>68.860600000000005</v>
      </c>
      <c r="C2374">
        <f t="shared" si="40"/>
        <v>2019</v>
      </c>
    </row>
    <row r="2375" spans="1:3" x14ac:dyDescent="0.2">
      <c r="A2375" s="3">
        <v>43467</v>
      </c>
      <c r="B2375">
        <v>69.142600000000002</v>
      </c>
      <c r="C2375">
        <f t="shared" si="40"/>
        <v>2019</v>
      </c>
    </row>
    <row r="2376" spans="1:3" x14ac:dyDescent="0.2">
      <c r="A2376" s="3">
        <v>43466</v>
      </c>
      <c r="B2376">
        <v>69.446700000000007</v>
      </c>
      <c r="C2376">
        <f t="shared" si="40"/>
        <v>2019</v>
      </c>
    </row>
    <row r="2377" spans="1:3" x14ac:dyDescent="0.2">
      <c r="A2377" s="3">
        <v>43465</v>
      </c>
      <c r="B2377">
        <v>69.351399999999998</v>
      </c>
      <c r="C2377">
        <f t="shared" si="40"/>
        <v>2018</v>
      </c>
    </row>
    <row r="2378" spans="1:3" x14ac:dyDescent="0.2">
      <c r="A2378" s="3">
        <v>43464</v>
      </c>
      <c r="B2378">
        <v>69.724999999999994</v>
      </c>
      <c r="C2378">
        <f t="shared" si="40"/>
        <v>2018</v>
      </c>
    </row>
    <row r="2379" spans="1:3" x14ac:dyDescent="0.2">
      <c r="A2379" s="3">
        <v>43462</v>
      </c>
      <c r="B2379">
        <v>69.547499999999999</v>
      </c>
      <c r="C2379">
        <f t="shared" si="40"/>
        <v>2018</v>
      </c>
    </row>
    <row r="2380" spans="1:3" x14ac:dyDescent="0.2">
      <c r="A2380" s="3">
        <v>43461</v>
      </c>
      <c r="B2380">
        <v>69.492400000000004</v>
      </c>
      <c r="C2380">
        <f t="shared" si="40"/>
        <v>2018</v>
      </c>
    </row>
    <row r="2381" spans="1:3" x14ac:dyDescent="0.2">
      <c r="A2381" s="3">
        <v>43460</v>
      </c>
      <c r="B2381">
        <v>68.733199999999997</v>
      </c>
      <c r="C2381">
        <f t="shared" si="40"/>
        <v>2018</v>
      </c>
    </row>
    <row r="2382" spans="1:3" x14ac:dyDescent="0.2">
      <c r="A2382" s="3">
        <v>43459</v>
      </c>
      <c r="B2382">
        <v>68.702500000000001</v>
      </c>
      <c r="C2382">
        <f t="shared" si="40"/>
        <v>2018</v>
      </c>
    </row>
    <row r="2383" spans="1:3" x14ac:dyDescent="0.2">
      <c r="A2383" s="3">
        <v>43458</v>
      </c>
      <c r="B2383">
        <v>68.662199999999999</v>
      </c>
      <c r="C2383">
        <f t="shared" si="40"/>
        <v>2018</v>
      </c>
    </row>
    <row r="2384" spans="1:3" x14ac:dyDescent="0.2">
      <c r="A2384" s="3">
        <v>43455</v>
      </c>
      <c r="B2384">
        <v>68.950800000000001</v>
      </c>
      <c r="C2384">
        <f t="shared" si="40"/>
        <v>2018</v>
      </c>
    </row>
    <row r="2385" spans="1:3" x14ac:dyDescent="0.2">
      <c r="A2385" s="3">
        <v>43454</v>
      </c>
      <c r="B2385">
        <v>68.326999999999998</v>
      </c>
      <c r="C2385">
        <f t="shared" si="40"/>
        <v>2018</v>
      </c>
    </row>
    <row r="2386" spans="1:3" x14ac:dyDescent="0.2">
      <c r="A2386" s="3">
        <v>43453</v>
      </c>
      <c r="B2386">
        <v>67.427000000000007</v>
      </c>
      <c r="C2386">
        <f t="shared" si="40"/>
        <v>2018</v>
      </c>
    </row>
    <row r="2387" spans="1:3" x14ac:dyDescent="0.2">
      <c r="A2387" s="3">
        <v>43452</v>
      </c>
      <c r="B2387">
        <v>67.421300000000002</v>
      </c>
      <c r="C2387">
        <f t="shared" si="40"/>
        <v>2018</v>
      </c>
    </row>
    <row r="2388" spans="1:3" x14ac:dyDescent="0.2">
      <c r="A2388" s="3">
        <v>43451</v>
      </c>
      <c r="B2388">
        <v>66.728200000000001</v>
      </c>
      <c r="C2388">
        <f t="shared" si="40"/>
        <v>2018</v>
      </c>
    </row>
    <row r="2389" spans="1:3" x14ac:dyDescent="0.2">
      <c r="A2389" s="3">
        <v>43450</v>
      </c>
      <c r="B2389">
        <v>66.787899999999993</v>
      </c>
      <c r="C2389">
        <f t="shared" si="40"/>
        <v>2018</v>
      </c>
    </row>
    <row r="2390" spans="1:3" x14ac:dyDescent="0.2">
      <c r="A2390" s="3">
        <v>43448</v>
      </c>
      <c r="B2390">
        <v>66.860500000000002</v>
      </c>
      <c r="C2390">
        <f t="shared" si="40"/>
        <v>2018</v>
      </c>
    </row>
    <row r="2391" spans="1:3" x14ac:dyDescent="0.2">
      <c r="A2391" s="3">
        <v>43447</v>
      </c>
      <c r="B2391">
        <v>66.22</v>
      </c>
      <c r="C2391">
        <f t="shared" si="40"/>
        <v>2018</v>
      </c>
    </row>
    <row r="2392" spans="1:3" x14ac:dyDescent="0.2">
      <c r="A2392" s="3">
        <v>43446</v>
      </c>
      <c r="B2392">
        <v>66.4452</v>
      </c>
      <c r="C2392">
        <f t="shared" si="40"/>
        <v>2018</v>
      </c>
    </row>
    <row r="2393" spans="1:3" x14ac:dyDescent="0.2">
      <c r="A2393" s="3">
        <v>43445</v>
      </c>
      <c r="B2393">
        <v>66.455600000000004</v>
      </c>
      <c r="C2393">
        <f t="shared" si="40"/>
        <v>2018</v>
      </c>
    </row>
    <row r="2394" spans="1:3" x14ac:dyDescent="0.2">
      <c r="A2394" s="3">
        <v>43444</v>
      </c>
      <c r="B2394">
        <v>66.710499999999996</v>
      </c>
      <c r="C2394">
        <f t="shared" si="40"/>
        <v>2018</v>
      </c>
    </row>
    <row r="2395" spans="1:3" x14ac:dyDescent="0.2">
      <c r="A2395" s="3">
        <v>43443</v>
      </c>
      <c r="B2395">
        <v>66.429599999999994</v>
      </c>
      <c r="C2395">
        <f t="shared" si="40"/>
        <v>2018</v>
      </c>
    </row>
    <row r="2396" spans="1:3" x14ac:dyDescent="0.2">
      <c r="A2396" s="3">
        <v>43441</v>
      </c>
      <c r="B2396">
        <v>66.446399999999997</v>
      </c>
      <c r="C2396">
        <f t="shared" si="40"/>
        <v>2018</v>
      </c>
    </row>
    <row r="2397" spans="1:3" x14ac:dyDescent="0.2">
      <c r="A2397" s="3">
        <v>43440</v>
      </c>
      <c r="B2397">
        <v>66.865499999999997</v>
      </c>
      <c r="C2397">
        <f t="shared" si="40"/>
        <v>2018</v>
      </c>
    </row>
    <row r="2398" spans="1:3" x14ac:dyDescent="0.2">
      <c r="A2398" s="3">
        <v>43439</v>
      </c>
      <c r="B2398">
        <v>66.518100000000004</v>
      </c>
      <c r="C2398">
        <f t="shared" si="40"/>
        <v>2018</v>
      </c>
    </row>
    <row r="2399" spans="1:3" x14ac:dyDescent="0.2">
      <c r="A2399" s="3">
        <v>43438</v>
      </c>
      <c r="B2399">
        <v>66.878</v>
      </c>
      <c r="C2399">
        <f t="shared" si="40"/>
        <v>2018</v>
      </c>
    </row>
    <row r="2400" spans="1:3" x14ac:dyDescent="0.2">
      <c r="A2400" s="3">
        <v>43437</v>
      </c>
      <c r="B2400">
        <v>66.510499999999993</v>
      </c>
      <c r="C2400">
        <f t="shared" si="40"/>
        <v>2018</v>
      </c>
    </row>
    <row r="2401" spans="1:3" x14ac:dyDescent="0.2">
      <c r="A2401" s="3">
        <v>43436</v>
      </c>
      <c r="B2401">
        <v>66.891800000000003</v>
      </c>
      <c r="C2401">
        <f t="shared" si="40"/>
        <v>2018</v>
      </c>
    </row>
    <row r="2402" spans="1:3" x14ac:dyDescent="0.2">
      <c r="A2402" s="3">
        <v>43434</v>
      </c>
      <c r="B2402">
        <v>67.090100000000007</v>
      </c>
      <c r="C2402">
        <f t="shared" si="40"/>
        <v>2018</v>
      </c>
    </row>
    <row r="2403" spans="1:3" x14ac:dyDescent="0.2">
      <c r="A2403" s="3">
        <v>43433</v>
      </c>
      <c r="B2403">
        <v>66.256500000000003</v>
      </c>
      <c r="C2403">
        <f t="shared" si="40"/>
        <v>2018</v>
      </c>
    </row>
    <row r="2404" spans="1:3" x14ac:dyDescent="0.2">
      <c r="A2404" s="3">
        <v>43432</v>
      </c>
      <c r="B2404">
        <v>67.076400000000007</v>
      </c>
      <c r="C2404">
        <f t="shared" si="40"/>
        <v>2018</v>
      </c>
    </row>
    <row r="2405" spans="1:3" x14ac:dyDescent="0.2">
      <c r="A2405" s="3">
        <v>43431</v>
      </c>
      <c r="B2405">
        <v>67.086399999999998</v>
      </c>
      <c r="C2405">
        <f t="shared" si="40"/>
        <v>2018</v>
      </c>
    </row>
    <row r="2406" spans="1:3" x14ac:dyDescent="0.2">
      <c r="A2406" s="3">
        <v>43430</v>
      </c>
      <c r="B2406">
        <v>67.178700000000006</v>
      </c>
      <c r="C2406">
        <f t="shared" si="40"/>
        <v>2018</v>
      </c>
    </row>
    <row r="2407" spans="1:3" x14ac:dyDescent="0.2">
      <c r="A2407" s="3">
        <v>43429</v>
      </c>
      <c r="B2407">
        <v>66.372100000000003</v>
      </c>
      <c r="C2407">
        <f t="shared" si="40"/>
        <v>2018</v>
      </c>
    </row>
    <row r="2408" spans="1:3" x14ac:dyDescent="0.2">
      <c r="A2408" s="3">
        <v>43427</v>
      </c>
      <c r="B2408">
        <v>66.209199999999996</v>
      </c>
      <c r="C2408">
        <f t="shared" si="40"/>
        <v>2018</v>
      </c>
    </row>
    <row r="2409" spans="1:3" x14ac:dyDescent="0.2">
      <c r="A2409" s="3">
        <v>43426</v>
      </c>
      <c r="B2409">
        <v>65.647599999999997</v>
      </c>
      <c r="C2409">
        <f t="shared" si="40"/>
        <v>2018</v>
      </c>
    </row>
    <row r="2410" spans="1:3" x14ac:dyDescent="0.2">
      <c r="A2410" s="3">
        <v>43425</v>
      </c>
      <c r="B2410">
        <v>65.737099999999998</v>
      </c>
      <c r="C2410">
        <f t="shared" si="40"/>
        <v>2018</v>
      </c>
    </row>
    <row r="2411" spans="1:3" x14ac:dyDescent="0.2">
      <c r="A2411" s="3">
        <v>43424</v>
      </c>
      <c r="B2411">
        <v>66.195099999999996</v>
      </c>
      <c r="C2411">
        <f t="shared" si="40"/>
        <v>2018</v>
      </c>
    </row>
    <row r="2412" spans="1:3" x14ac:dyDescent="0.2">
      <c r="A2412" s="3">
        <v>43423</v>
      </c>
      <c r="B2412">
        <v>65.619900000000001</v>
      </c>
      <c r="C2412">
        <f t="shared" si="40"/>
        <v>2018</v>
      </c>
    </row>
    <row r="2413" spans="1:3" x14ac:dyDescent="0.2">
      <c r="A2413" s="3">
        <v>43422</v>
      </c>
      <c r="B2413">
        <v>65.996700000000004</v>
      </c>
      <c r="C2413">
        <f t="shared" si="40"/>
        <v>2018</v>
      </c>
    </row>
    <row r="2414" spans="1:3" x14ac:dyDescent="0.2">
      <c r="A2414" s="3">
        <v>43420</v>
      </c>
      <c r="B2414">
        <v>65.984999999999999</v>
      </c>
      <c r="C2414">
        <f t="shared" si="40"/>
        <v>2018</v>
      </c>
    </row>
    <row r="2415" spans="1:3" x14ac:dyDescent="0.2">
      <c r="A2415" s="3">
        <v>43419</v>
      </c>
      <c r="B2415">
        <v>65.861599999999996</v>
      </c>
      <c r="C2415">
        <f t="shared" si="40"/>
        <v>2018</v>
      </c>
    </row>
    <row r="2416" spans="1:3" x14ac:dyDescent="0.2">
      <c r="A2416" s="3">
        <v>43418</v>
      </c>
      <c r="B2416">
        <v>67.0929</v>
      </c>
      <c r="C2416">
        <f t="shared" si="40"/>
        <v>2018</v>
      </c>
    </row>
    <row r="2417" spans="1:3" x14ac:dyDescent="0.2">
      <c r="A2417" s="3">
        <v>43417</v>
      </c>
      <c r="B2417">
        <v>68.063599999999994</v>
      </c>
      <c r="C2417">
        <f t="shared" si="40"/>
        <v>2018</v>
      </c>
    </row>
    <row r="2418" spans="1:3" x14ac:dyDescent="0.2">
      <c r="A2418" s="3">
        <v>43416</v>
      </c>
      <c r="B2418">
        <v>67.904799999999994</v>
      </c>
      <c r="C2418">
        <f t="shared" si="40"/>
        <v>2018</v>
      </c>
    </row>
    <row r="2419" spans="1:3" x14ac:dyDescent="0.2">
      <c r="A2419" s="3">
        <v>43415</v>
      </c>
      <c r="B2419">
        <v>67.900099999999995</v>
      </c>
      <c r="C2419">
        <f t="shared" si="40"/>
        <v>2018</v>
      </c>
    </row>
    <row r="2420" spans="1:3" x14ac:dyDescent="0.2">
      <c r="A2420" s="3">
        <v>43413</v>
      </c>
      <c r="B2420">
        <v>67.956500000000005</v>
      </c>
      <c r="C2420">
        <f t="shared" si="40"/>
        <v>2018</v>
      </c>
    </row>
    <row r="2421" spans="1:3" x14ac:dyDescent="0.2">
      <c r="A2421" s="3">
        <v>43412</v>
      </c>
      <c r="B2421">
        <v>66.917500000000004</v>
      </c>
      <c r="C2421">
        <f t="shared" si="40"/>
        <v>2018</v>
      </c>
    </row>
    <row r="2422" spans="1:3" x14ac:dyDescent="0.2">
      <c r="A2422" s="3">
        <v>43411</v>
      </c>
      <c r="B2422">
        <v>66.236000000000004</v>
      </c>
      <c r="C2422">
        <f t="shared" si="40"/>
        <v>2018</v>
      </c>
    </row>
    <row r="2423" spans="1:3" x14ac:dyDescent="0.2">
      <c r="A2423" s="3">
        <v>43410</v>
      </c>
      <c r="B2423">
        <v>66.149000000000001</v>
      </c>
      <c r="C2423">
        <f t="shared" si="40"/>
        <v>2018</v>
      </c>
    </row>
    <row r="2424" spans="1:3" x14ac:dyDescent="0.2">
      <c r="A2424" s="3">
        <v>43409</v>
      </c>
      <c r="B2424">
        <v>66.064700000000002</v>
      </c>
      <c r="C2424">
        <f t="shared" si="40"/>
        <v>2018</v>
      </c>
    </row>
    <row r="2425" spans="1:3" x14ac:dyDescent="0.2">
      <c r="A2425" s="3">
        <v>43408</v>
      </c>
      <c r="B2425">
        <v>66.174999999999997</v>
      </c>
      <c r="C2425">
        <f t="shared" si="40"/>
        <v>2018</v>
      </c>
    </row>
    <row r="2426" spans="1:3" x14ac:dyDescent="0.2">
      <c r="A2426" s="3">
        <v>43406</v>
      </c>
      <c r="B2426">
        <v>66.174999999999997</v>
      </c>
      <c r="C2426">
        <f t="shared" si="40"/>
        <v>2018</v>
      </c>
    </row>
    <row r="2427" spans="1:3" x14ac:dyDescent="0.2">
      <c r="A2427" s="3">
        <v>43405</v>
      </c>
      <c r="B2427">
        <v>65.672499999999999</v>
      </c>
      <c r="C2427">
        <f t="shared" si="40"/>
        <v>2018</v>
      </c>
    </row>
    <row r="2428" spans="1:3" x14ac:dyDescent="0.2">
      <c r="A2428" s="3">
        <v>43404</v>
      </c>
      <c r="B2428">
        <v>65.878799999999998</v>
      </c>
      <c r="C2428">
        <f t="shared" si="40"/>
        <v>2018</v>
      </c>
    </row>
    <row r="2429" spans="1:3" x14ac:dyDescent="0.2">
      <c r="A2429" s="3">
        <v>43403</v>
      </c>
      <c r="B2429">
        <v>65.474999999999994</v>
      </c>
      <c r="C2429">
        <f t="shared" si="40"/>
        <v>2018</v>
      </c>
    </row>
    <row r="2430" spans="1:3" x14ac:dyDescent="0.2">
      <c r="A2430" s="3">
        <v>43402</v>
      </c>
      <c r="B2430">
        <v>65.84</v>
      </c>
      <c r="C2430">
        <f t="shared" si="40"/>
        <v>2018</v>
      </c>
    </row>
    <row r="2431" spans="1:3" x14ac:dyDescent="0.2">
      <c r="A2431" s="3">
        <v>43399</v>
      </c>
      <c r="B2431">
        <v>65.597700000000003</v>
      </c>
      <c r="C2431">
        <f t="shared" si="40"/>
        <v>2018</v>
      </c>
    </row>
    <row r="2432" spans="1:3" x14ac:dyDescent="0.2">
      <c r="A2432" s="3">
        <v>43398</v>
      </c>
      <c r="B2432">
        <v>65.617199999999997</v>
      </c>
      <c r="C2432">
        <f t="shared" si="40"/>
        <v>2018</v>
      </c>
    </row>
    <row r="2433" spans="1:3" x14ac:dyDescent="0.2">
      <c r="A2433" s="3">
        <v>43397</v>
      </c>
      <c r="B2433">
        <v>65.642899999999997</v>
      </c>
      <c r="C2433">
        <f t="shared" si="40"/>
        <v>2018</v>
      </c>
    </row>
    <row r="2434" spans="1:3" x14ac:dyDescent="0.2">
      <c r="A2434" s="3">
        <v>43396</v>
      </c>
      <c r="B2434">
        <v>65.518100000000004</v>
      </c>
      <c r="C2434">
        <f t="shared" si="40"/>
        <v>2018</v>
      </c>
    </row>
    <row r="2435" spans="1:3" x14ac:dyDescent="0.2">
      <c r="A2435" s="3">
        <v>43395</v>
      </c>
      <c r="B2435">
        <v>65.202500000000001</v>
      </c>
      <c r="C2435">
        <f t="shared" si="40"/>
        <v>2018</v>
      </c>
    </row>
    <row r="2436" spans="1:3" x14ac:dyDescent="0.2">
      <c r="A2436" s="3">
        <v>43394</v>
      </c>
      <c r="B2436">
        <v>65.521299999999997</v>
      </c>
      <c r="C2436">
        <f t="shared" ref="C2436:C2499" si="41">YEAR(A2436)</f>
        <v>2018</v>
      </c>
    </row>
    <row r="2437" spans="1:3" x14ac:dyDescent="0.2">
      <c r="A2437" s="3">
        <v>43392</v>
      </c>
      <c r="B2437">
        <v>65.460599999999999</v>
      </c>
      <c r="C2437">
        <f t="shared" si="41"/>
        <v>2018</v>
      </c>
    </row>
    <row r="2438" spans="1:3" x14ac:dyDescent="0.2">
      <c r="A2438" s="3">
        <v>43391</v>
      </c>
      <c r="B2438">
        <v>65.789299999999997</v>
      </c>
      <c r="C2438">
        <f t="shared" si="41"/>
        <v>2018</v>
      </c>
    </row>
    <row r="2439" spans="1:3" x14ac:dyDescent="0.2">
      <c r="A2439" s="3">
        <v>43390</v>
      </c>
      <c r="B2439">
        <v>65.536699999999996</v>
      </c>
      <c r="C2439">
        <f t="shared" si="41"/>
        <v>2018</v>
      </c>
    </row>
    <row r="2440" spans="1:3" x14ac:dyDescent="0.2">
      <c r="A2440" s="3">
        <v>43389</v>
      </c>
      <c r="B2440">
        <v>65.3596</v>
      </c>
      <c r="C2440">
        <f t="shared" si="41"/>
        <v>2018</v>
      </c>
    </row>
    <row r="2441" spans="1:3" x14ac:dyDescent="0.2">
      <c r="A2441" s="3">
        <v>43388</v>
      </c>
      <c r="B2441">
        <v>65.671499999999995</v>
      </c>
      <c r="C2441">
        <f t="shared" si="41"/>
        <v>2018</v>
      </c>
    </row>
    <row r="2442" spans="1:3" x14ac:dyDescent="0.2">
      <c r="A2442" s="3">
        <v>43387</v>
      </c>
      <c r="B2442">
        <v>66.169200000000004</v>
      </c>
      <c r="C2442">
        <f t="shared" si="41"/>
        <v>2018</v>
      </c>
    </row>
    <row r="2443" spans="1:3" x14ac:dyDescent="0.2">
      <c r="A2443" s="3">
        <v>43385</v>
      </c>
      <c r="B2443">
        <v>66.064599999999999</v>
      </c>
      <c r="C2443">
        <f t="shared" si="41"/>
        <v>2018</v>
      </c>
    </row>
    <row r="2444" spans="1:3" x14ac:dyDescent="0.2">
      <c r="A2444" s="3">
        <v>43384</v>
      </c>
      <c r="B2444">
        <v>66.290999999999997</v>
      </c>
      <c r="C2444">
        <f t="shared" si="41"/>
        <v>2018</v>
      </c>
    </row>
    <row r="2445" spans="1:3" x14ac:dyDescent="0.2">
      <c r="A2445" s="3">
        <v>43383</v>
      </c>
      <c r="B2445">
        <v>66.8322</v>
      </c>
      <c r="C2445">
        <f t="shared" si="41"/>
        <v>2018</v>
      </c>
    </row>
    <row r="2446" spans="1:3" x14ac:dyDescent="0.2">
      <c r="A2446" s="3">
        <v>43382</v>
      </c>
      <c r="B2446">
        <v>66.241699999999994</v>
      </c>
      <c r="C2446">
        <f t="shared" si="41"/>
        <v>2018</v>
      </c>
    </row>
    <row r="2447" spans="1:3" x14ac:dyDescent="0.2">
      <c r="A2447" s="3">
        <v>43381</v>
      </c>
      <c r="B2447">
        <v>66.625900000000001</v>
      </c>
      <c r="C2447">
        <f t="shared" si="41"/>
        <v>2018</v>
      </c>
    </row>
    <row r="2448" spans="1:3" x14ac:dyDescent="0.2">
      <c r="A2448" s="3">
        <v>43378</v>
      </c>
      <c r="B2448">
        <v>66.604299999999995</v>
      </c>
      <c r="C2448">
        <f t="shared" si="41"/>
        <v>2018</v>
      </c>
    </row>
    <row r="2449" spans="1:3" x14ac:dyDescent="0.2">
      <c r="A2449" s="3">
        <v>43377</v>
      </c>
      <c r="B2449">
        <v>66.912000000000006</v>
      </c>
      <c r="C2449">
        <f t="shared" si="41"/>
        <v>2018</v>
      </c>
    </row>
    <row r="2450" spans="1:3" x14ac:dyDescent="0.2">
      <c r="A2450" s="3">
        <v>43376</v>
      </c>
      <c r="B2450">
        <v>65.886700000000005</v>
      </c>
      <c r="C2450">
        <f t="shared" si="41"/>
        <v>2018</v>
      </c>
    </row>
    <row r="2451" spans="1:3" x14ac:dyDescent="0.2">
      <c r="A2451" s="3">
        <v>43375</v>
      </c>
      <c r="B2451">
        <v>65.514200000000002</v>
      </c>
      <c r="C2451">
        <f t="shared" si="41"/>
        <v>2018</v>
      </c>
    </row>
    <row r="2452" spans="1:3" x14ac:dyDescent="0.2">
      <c r="A2452" s="3">
        <v>43374</v>
      </c>
      <c r="B2452">
        <v>64.986599999999996</v>
      </c>
      <c r="C2452">
        <f t="shared" si="41"/>
        <v>2018</v>
      </c>
    </row>
    <row r="2453" spans="1:3" x14ac:dyDescent="0.2">
      <c r="A2453" s="3">
        <v>43373</v>
      </c>
      <c r="B2453">
        <v>65.657399999999996</v>
      </c>
      <c r="C2453">
        <f t="shared" si="41"/>
        <v>2018</v>
      </c>
    </row>
    <row r="2454" spans="1:3" x14ac:dyDescent="0.2">
      <c r="A2454" s="3">
        <v>43371</v>
      </c>
      <c r="B2454">
        <v>65.555199999999999</v>
      </c>
      <c r="C2454">
        <f t="shared" si="41"/>
        <v>2018</v>
      </c>
    </row>
    <row r="2455" spans="1:3" x14ac:dyDescent="0.2">
      <c r="A2455" s="3">
        <v>43370</v>
      </c>
      <c r="B2455">
        <v>65.617500000000007</v>
      </c>
      <c r="C2455">
        <f t="shared" si="41"/>
        <v>2018</v>
      </c>
    </row>
    <row r="2456" spans="1:3" x14ac:dyDescent="0.2">
      <c r="A2456" s="3">
        <v>43369</v>
      </c>
      <c r="B2456">
        <v>65.870800000000003</v>
      </c>
      <c r="C2456">
        <f t="shared" si="41"/>
        <v>2018</v>
      </c>
    </row>
    <row r="2457" spans="1:3" x14ac:dyDescent="0.2">
      <c r="A2457" s="3">
        <v>43368</v>
      </c>
      <c r="B2457">
        <v>65.788300000000007</v>
      </c>
      <c r="C2457">
        <f t="shared" si="41"/>
        <v>2018</v>
      </c>
    </row>
    <row r="2458" spans="1:3" x14ac:dyDescent="0.2">
      <c r="A2458" s="3">
        <v>43367</v>
      </c>
      <c r="B2458">
        <v>65.948599999999999</v>
      </c>
      <c r="C2458">
        <f t="shared" si="41"/>
        <v>2018</v>
      </c>
    </row>
    <row r="2459" spans="1:3" x14ac:dyDescent="0.2">
      <c r="A2459" s="3">
        <v>43366</v>
      </c>
      <c r="B2459">
        <v>67.040000000000006</v>
      </c>
      <c r="C2459">
        <f t="shared" si="41"/>
        <v>2018</v>
      </c>
    </row>
    <row r="2460" spans="1:3" x14ac:dyDescent="0.2">
      <c r="A2460" s="3">
        <v>43364</v>
      </c>
      <c r="B2460">
        <v>66.455200000000005</v>
      </c>
      <c r="C2460">
        <f t="shared" si="41"/>
        <v>2018</v>
      </c>
    </row>
    <row r="2461" spans="1:3" x14ac:dyDescent="0.2">
      <c r="A2461" s="3">
        <v>43363</v>
      </c>
      <c r="B2461">
        <v>66.303299999999993</v>
      </c>
      <c r="C2461">
        <f t="shared" si="41"/>
        <v>2018</v>
      </c>
    </row>
    <row r="2462" spans="1:3" x14ac:dyDescent="0.2">
      <c r="A2462" s="3">
        <v>43362</v>
      </c>
      <c r="B2462">
        <v>66.723500000000001</v>
      </c>
      <c r="C2462">
        <f t="shared" si="41"/>
        <v>2018</v>
      </c>
    </row>
    <row r="2463" spans="1:3" x14ac:dyDescent="0.2">
      <c r="A2463" s="3">
        <v>43361</v>
      </c>
      <c r="B2463">
        <v>67.332700000000003</v>
      </c>
      <c r="C2463">
        <f t="shared" si="41"/>
        <v>2018</v>
      </c>
    </row>
    <row r="2464" spans="1:3" x14ac:dyDescent="0.2">
      <c r="A2464" s="3">
        <v>43360</v>
      </c>
      <c r="B2464">
        <v>68.089600000000004</v>
      </c>
      <c r="C2464">
        <f t="shared" si="41"/>
        <v>2018</v>
      </c>
    </row>
    <row r="2465" spans="1:3" x14ac:dyDescent="0.2">
      <c r="A2465" s="3">
        <v>43359</v>
      </c>
      <c r="B2465">
        <v>68.025000000000006</v>
      </c>
      <c r="C2465">
        <f t="shared" si="41"/>
        <v>2018</v>
      </c>
    </row>
    <row r="2466" spans="1:3" x14ac:dyDescent="0.2">
      <c r="A2466" s="3">
        <v>43357</v>
      </c>
      <c r="B2466">
        <v>68.163799999999995</v>
      </c>
      <c r="C2466">
        <f t="shared" si="41"/>
        <v>2018</v>
      </c>
    </row>
    <row r="2467" spans="1:3" x14ac:dyDescent="0.2">
      <c r="A2467" s="3">
        <v>43356</v>
      </c>
      <c r="B2467">
        <v>68.305499999999995</v>
      </c>
      <c r="C2467">
        <f t="shared" si="41"/>
        <v>2018</v>
      </c>
    </row>
    <row r="2468" spans="1:3" x14ac:dyDescent="0.2">
      <c r="A2468" s="3">
        <v>43355</v>
      </c>
      <c r="B2468">
        <v>68.994200000000006</v>
      </c>
      <c r="C2468">
        <f t="shared" si="41"/>
        <v>2018</v>
      </c>
    </row>
    <row r="2469" spans="1:3" x14ac:dyDescent="0.2">
      <c r="A2469" s="3">
        <v>43354</v>
      </c>
      <c r="B2469">
        <v>69.410200000000003</v>
      </c>
      <c r="C2469">
        <f t="shared" si="41"/>
        <v>2018</v>
      </c>
    </row>
    <row r="2470" spans="1:3" x14ac:dyDescent="0.2">
      <c r="A2470" s="3">
        <v>43353</v>
      </c>
      <c r="B2470">
        <v>70.549700000000001</v>
      </c>
      <c r="C2470">
        <f t="shared" si="41"/>
        <v>2018</v>
      </c>
    </row>
    <row r="2471" spans="1:3" x14ac:dyDescent="0.2">
      <c r="A2471" s="3">
        <v>43352</v>
      </c>
      <c r="B2471">
        <v>69.474900000000005</v>
      </c>
      <c r="C2471">
        <f t="shared" si="41"/>
        <v>2018</v>
      </c>
    </row>
    <row r="2472" spans="1:3" x14ac:dyDescent="0.2">
      <c r="A2472" s="3">
        <v>43350</v>
      </c>
      <c r="B2472">
        <v>69.901300000000006</v>
      </c>
      <c r="C2472">
        <f t="shared" si="41"/>
        <v>2018</v>
      </c>
    </row>
    <row r="2473" spans="1:3" x14ac:dyDescent="0.2">
      <c r="A2473" s="3">
        <v>43349</v>
      </c>
      <c r="B2473">
        <v>69.23</v>
      </c>
      <c r="C2473">
        <f t="shared" si="41"/>
        <v>2018</v>
      </c>
    </row>
    <row r="2474" spans="1:3" x14ac:dyDescent="0.2">
      <c r="A2474" s="3">
        <v>43348</v>
      </c>
      <c r="B2474">
        <v>68.213700000000003</v>
      </c>
      <c r="C2474">
        <f t="shared" si="41"/>
        <v>2018</v>
      </c>
    </row>
    <row r="2475" spans="1:3" x14ac:dyDescent="0.2">
      <c r="A2475" s="3">
        <v>43347</v>
      </c>
      <c r="B2475">
        <v>68.188800000000001</v>
      </c>
      <c r="C2475">
        <f t="shared" si="41"/>
        <v>2018</v>
      </c>
    </row>
    <row r="2476" spans="1:3" x14ac:dyDescent="0.2">
      <c r="A2476" s="3">
        <v>43346</v>
      </c>
      <c r="B2476">
        <v>67.929500000000004</v>
      </c>
      <c r="C2476">
        <f t="shared" si="41"/>
        <v>2018</v>
      </c>
    </row>
    <row r="2477" spans="1:3" x14ac:dyDescent="0.2">
      <c r="A2477" s="3">
        <v>43345</v>
      </c>
      <c r="B2477">
        <v>67.516000000000005</v>
      </c>
      <c r="C2477">
        <f t="shared" si="41"/>
        <v>2018</v>
      </c>
    </row>
    <row r="2478" spans="1:3" x14ac:dyDescent="0.2">
      <c r="A2478" s="3">
        <v>43343</v>
      </c>
      <c r="B2478">
        <v>67.4666</v>
      </c>
      <c r="C2478">
        <f t="shared" si="41"/>
        <v>2018</v>
      </c>
    </row>
    <row r="2479" spans="1:3" x14ac:dyDescent="0.2">
      <c r="A2479" s="3">
        <v>43342</v>
      </c>
      <c r="B2479">
        <v>68.271699999999996</v>
      </c>
      <c r="C2479">
        <f t="shared" si="41"/>
        <v>2018</v>
      </c>
    </row>
    <row r="2480" spans="1:3" x14ac:dyDescent="0.2">
      <c r="A2480" s="3">
        <v>43341</v>
      </c>
      <c r="B2480">
        <v>68.044899999999998</v>
      </c>
      <c r="C2480">
        <f t="shared" si="41"/>
        <v>2018</v>
      </c>
    </row>
    <row r="2481" spans="1:3" x14ac:dyDescent="0.2">
      <c r="A2481" s="3">
        <v>43340</v>
      </c>
      <c r="B2481">
        <v>67.848799999999997</v>
      </c>
      <c r="C2481">
        <f t="shared" si="41"/>
        <v>2018</v>
      </c>
    </row>
    <row r="2482" spans="1:3" x14ac:dyDescent="0.2">
      <c r="A2482" s="3">
        <v>43339</v>
      </c>
      <c r="B2482">
        <v>67.408500000000004</v>
      </c>
      <c r="C2482">
        <f t="shared" si="41"/>
        <v>2018</v>
      </c>
    </row>
    <row r="2483" spans="1:3" x14ac:dyDescent="0.2">
      <c r="A2483" s="3">
        <v>43338</v>
      </c>
      <c r="B2483">
        <v>67.42</v>
      </c>
      <c r="C2483">
        <f t="shared" si="41"/>
        <v>2018</v>
      </c>
    </row>
    <row r="2484" spans="1:3" x14ac:dyDescent="0.2">
      <c r="A2484" s="3">
        <v>43336</v>
      </c>
      <c r="B2484">
        <v>67.032499999999999</v>
      </c>
      <c r="C2484">
        <f t="shared" si="41"/>
        <v>2018</v>
      </c>
    </row>
    <row r="2485" spans="1:3" x14ac:dyDescent="0.2">
      <c r="A2485" s="3">
        <v>43335</v>
      </c>
      <c r="B2485">
        <v>68.229900000000001</v>
      </c>
      <c r="C2485">
        <f t="shared" si="41"/>
        <v>2018</v>
      </c>
    </row>
    <row r="2486" spans="1:3" x14ac:dyDescent="0.2">
      <c r="A2486" s="3">
        <v>43334</v>
      </c>
      <c r="B2486">
        <v>68.006600000000006</v>
      </c>
      <c r="C2486">
        <f t="shared" si="41"/>
        <v>2018</v>
      </c>
    </row>
    <row r="2487" spans="1:3" x14ac:dyDescent="0.2">
      <c r="A2487" s="3">
        <v>43333</v>
      </c>
      <c r="B2487">
        <v>67.157200000000003</v>
      </c>
      <c r="C2487">
        <f t="shared" si="41"/>
        <v>2018</v>
      </c>
    </row>
    <row r="2488" spans="1:3" x14ac:dyDescent="0.2">
      <c r="A2488" s="3">
        <v>43332</v>
      </c>
      <c r="B2488">
        <v>66.966999999999999</v>
      </c>
      <c r="C2488">
        <f t="shared" si="41"/>
        <v>2018</v>
      </c>
    </row>
    <row r="2489" spans="1:3" x14ac:dyDescent="0.2">
      <c r="A2489" s="3">
        <v>43331</v>
      </c>
      <c r="B2489">
        <v>67.229500000000002</v>
      </c>
      <c r="C2489">
        <f t="shared" si="41"/>
        <v>2018</v>
      </c>
    </row>
    <row r="2490" spans="1:3" x14ac:dyDescent="0.2">
      <c r="A2490" s="3">
        <v>43329</v>
      </c>
      <c r="B2490">
        <v>67.116900000000001</v>
      </c>
      <c r="C2490">
        <f t="shared" si="41"/>
        <v>2018</v>
      </c>
    </row>
    <row r="2491" spans="1:3" x14ac:dyDescent="0.2">
      <c r="A2491" s="3">
        <v>43328</v>
      </c>
      <c r="B2491">
        <v>66.831699999999998</v>
      </c>
      <c r="C2491">
        <f t="shared" si="41"/>
        <v>2018</v>
      </c>
    </row>
    <row r="2492" spans="1:3" x14ac:dyDescent="0.2">
      <c r="A2492" s="3">
        <v>43327</v>
      </c>
      <c r="B2492">
        <v>67.301299999999998</v>
      </c>
      <c r="C2492">
        <f t="shared" si="41"/>
        <v>2018</v>
      </c>
    </row>
    <row r="2493" spans="1:3" x14ac:dyDescent="0.2">
      <c r="A2493" s="3">
        <v>43326</v>
      </c>
      <c r="B2493">
        <v>66.315600000000003</v>
      </c>
      <c r="C2493">
        <f t="shared" si="41"/>
        <v>2018</v>
      </c>
    </row>
    <row r="2494" spans="1:3" x14ac:dyDescent="0.2">
      <c r="A2494" s="3">
        <v>43325</v>
      </c>
      <c r="B2494">
        <v>67.526300000000006</v>
      </c>
      <c r="C2494">
        <f t="shared" si="41"/>
        <v>2018</v>
      </c>
    </row>
    <row r="2495" spans="1:3" x14ac:dyDescent="0.2">
      <c r="A2495" s="3">
        <v>43324</v>
      </c>
      <c r="B2495">
        <v>67.793899999999994</v>
      </c>
      <c r="C2495">
        <f t="shared" si="41"/>
        <v>2018</v>
      </c>
    </row>
    <row r="2496" spans="1:3" x14ac:dyDescent="0.2">
      <c r="A2496" s="3">
        <v>43322</v>
      </c>
      <c r="B2496">
        <v>67.734700000000004</v>
      </c>
      <c r="C2496">
        <f t="shared" si="41"/>
        <v>2018</v>
      </c>
    </row>
    <row r="2497" spans="1:3" x14ac:dyDescent="0.2">
      <c r="A2497" s="3">
        <v>43321</v>
      </c>
      <c r="B2497">
        <v>66.668800000000005</v>
      </c>
      <c r="C2497">
        <f t="shared" si="41"/>
        <v>2018</v>
      </c>
    </row>
    <row r="2498" spans="1:3" x14ac:dyDescent="0.2">
      <c r="A2498" s="3">
        <v>43320</v>
      </c>
      <c r="B2498">
        <v>65.607200000000006</v>
      </c>
      <c r="C2498">
        <f t="shared" si="41"/>
        <v>2018</v>
      </c>
    </row>
    <row r="2499" spans="1:3" x14ac:dyDescent="0.2">
      <c r="A2499" s="3">
        <v>43319</v>
      </c>
      <c r="B2499">
        <v>63.5167</v>
      </c>
      <c r="C2499">
        <f t="shared" si="41"/>
        <v>2018</v>
      </c>
    </row>
    <row r="2500" spans="1:3" x14ac:dyDescent="0.2">
      <c r="A2500" s="3">
        <v>43318</v>
      </c>
      <c r="B2500">
        <v>63.761299999999999</v>
      </c>
      <c r="C2500">
        <f t="shared" ref="C2500:C2563" si="42">YEAR(A2500)</f>
        <v>2018</v>
      </c>
    </row>
    <row r="2501" spans="1:3" x14ac:dyDescent="0.2">
      <c r="A2501" s="3">
        <v>43317</v>
      </c>
      <c r="B2501">
        <v>63.555</v>
      </c>
      <c r="C2501">
        <f t="shared" si="42"/>
        <v>2018</v>
      </c>
    </row>
    <row r="2502" spans="1:3" x14ac:dyDescent="0.2">
      <c r="A2502" s="3">
        <v>43315</v>
      </c>
      <c r="B2502">
        <v>64.306299999999993</v>
      </c>
      <c r="C2502">
        <f t="shared" si="42"/>
        <v>2018</v>
      </c>
    </row>
    <row r="2503" spans="1:3" x14ac:dyDescent="0.2">
      <c r="A2503" s="3">
        <v>43314</v>
      </c>
      <c r="B2503">
        <v>63.355499999999999</v>
      </c>
      <c r="C2503">
        <f t="shared" si="42"/>
        <v>2018</v>
      </c>
    </row>
    <row r="2504" spans="1:3" x14ac:dyDescent="0.2">
      <c r="A2504" s="3">
        <v>43313</v>
      </c>
      <c r="B2504">
        <v>62.955199999999998</v>
      </c>
      <c r="C2504">
        <f t="shared" si="42"/>
        <v>2018</v>
      </c>
    </row>
    <row r="2505" spans="1:3" x14ac:dyDescent="0.2">
      <c r="A2505" s="3">
        <v>43312</v>
      </c>
      <c r="B2505">
        <v>62.5276</v>
      </c>
      <c r="C2505">
        <f t="shared" si="42"/>
        <v>2018</v>
      </c>
    </row>
    <row r="2506" spans="1:3" x14ac:dyDescent="0.2">
      <c r="A2506" s="3">
        <v>43311</v>
      </c>
      <c r="B2506">
        <v>62.258499999999998</v>
      </c>
      <c r="C2506">
        <f t="shared" si="42"/>
        <v>2018</v>
      </c>
    </row>
    <row r="2507" spans="1:3" x14ac:dyDescent="0.2">
      <c r="A2507" s="3">
        <v>43308</v>
      </c>
      <c r="B2507">
        <v>62.712600000000002</v>
      </c>
      <c r="C2507">
        <f t="shared" si="42"/>
        <v>2018</v>
      </c>
    </row>
    <row r="2508" spans="1:3" x14ac:dyDescent="0.2">
      <c r="A2508" s="3">
        <v>43307</v>
      </c>
      <c r="B2508">
        <v>62.954700000000003</v>
      </c>
      <c r="C2508">
        <f t="shared" si="42"/>
        <v>2018</v>
      </c>
    </row>
    <row r="2509" spans="1:3" x14ac:dyDescent="0.2">
      <c r="A2509" s="3">
        <v>43306</v>
      </c>
      <c r="B2509">
        <v>62.813400000000001</v>
      </c>
      <c r="C2509">
        <f t="shared" si="42"/>
        <v>2018</v>
      </c>
    </row>
    <row r="2510" spans="1:3" x14ac:dyDescent="0.2">
      <c r="A2510" s="3">
        <v>43305</v>
      </c>
      <c r="B2510">
        <v>63.331600000000002</v>
      </c>
      <c r="C2510">
        <f t="shared" si="42"/>
        <v>2018</v>
      </c>
    </row>
    <row r="2511" spans="1:3" x14ac:dyDescent="0.2">
      <c r="A2511" s="3">
        <v>43304</v>
      </c>
      <c r="B2511">
        <v>63.090499999999999</v>
      </c>
      <c r="C2511">
        <f t="shared" si="42"/>
        <v>2018</v>
      </c>
    </row>
    <row r="2512" spans="1:3" x14ac:dyDescent="0.2">
      <c r="A2512" s="3">
        <v>43303</v>
      </c>
      <c r="B2512">
        <v>63.47</v>
      </c>
      <c r="C2512">
        <f t="shared" si="42"/>
        <v>2018</v>
      </c>
    </row>
    <row r="2513" spans="1:3" x14ac:dyDescent="0.2">
      <c r="A2513" s="3">
        <v>43301</v>
      </c>
      <c r="B2513">
        <v>63.506799999999998</v>
      </c>
      <c r="C2513">
        <f t="shared" si="42"/>
        <v>2018</v>
      </c>
    </row>
    <row r="2514" spans="1:3" x14ac:dyDescent="0.2">
      <c r="A2514" s="3">
        <v>43300</v>
      </c>
      <c r="B2514">
        <v>63.6233</v>
      </c>
      <c r="C2514">
        <f t="shared" si="42"/>
        <v>2018</v>
      </c>
    </row>
    <row r="2515" spans="1:3" x14ac:dyDescent="0.2">
      <c r="A2515" s="3">
        <v>43299</v>
      </c>
      <c r="B2515">
        <v>63.0471</v>
      </c>
      <c r="C2515">
        <f t="shared" si="42"/>
        <v>2018</v>
      </c>
    </row>
    <row r="2516" spans="1:3" x14ac:dyDescent="0.2">
      <c r="A2516" s="3">
        <v>43298</v>
      </c>
      <c r="B2516">
        <v>62.628900000000002</v>
      </c>
      <c r="C2516">
        <f t="shared" si="42"/>
        <v>2018</v>
      </c>
    </row>
    <row r="2517" spans="1:3" x14ac:dyDescent="0.2">
      <c r="A2517" s="3">
        <v>43297</v>
      </c>
      <c r="B2517">
        <v>62.322800000000001</v>
      </c>
      <c r="C2517">
        <f t="shared" si="42"/>
        <v>2018</v>
      </c>
    </row>
    <row r="2518" spans="1:3" x14ac:dyDescent="0.2">
      <c r="A2518" s="3">
        <v>43294</v>
      </c>
      <c r="B2518">
        <v>62.446199999999997</v>
      </c>
      <c r="C2518">
        <f t="shared" si="42"/>
        <v>2018</v>
      </c>
    </row>
    <row r="2519" spans="1:3" x14ac:dyDescent="0.2">
      <c r="A2519" s="3">
        <v>43293</v>
      </c>
      <c r="B2519">
        <v>62.241500000000002</v>
      </c>
      <c r="C2519">
        <f t="shared" si="42"/>
        <v>2018</v>
      </c>
    </row>
    <row r="2520" spans="1:3" x14ac:dyDescent="0.2">
      <c r="A2520" s="3">
        <v>43292</v>
      </c>
      <c r="B2520">
        <v>62.413499999999999</v>
      </c>
      <c r="C2520">
        <f t="shared" si="42"/>
        <v>2018</v>
      </c>
    </row>
    <row r="2521" spans="1:3" x14ac:dyDescent="0.2">
      <c r="A2521" s="3">
        <v>43291</v>
      </c>
      <c r="B2521">
        <v>61.819400000000002</v>
      </c>
      <c r="C2521">
        <f t="shared" si="42"/>
        <v>2018</v>
      </c>
    </row>
    <row r="2522" spans="1:3" x14ac:dyDescent="0.2">
      <c r="A2522" s="3">
        <v>43290</v>
      </c>
      <c r="B2522">
        <v>62.490499999999997</v>
      </c>
      <c r="C2522">
        <f t="shared" si="42"/>
        <v>2018</v>
      </c>
    </row>
    <row r="2523" spans="1:3" x14ac:dyDescent="0.2">
      <c r="A2523" s="3">
        <v>43289</v>
      </c>
      <c r="B2523">
        <v>62.889499999999998</v>
      </c>
      <c r="C2523">
        <f t="shared" si="42"/>
        <v>2018</v>
      </c>
    </row>
    <row r="2524" spans="1:3" x14ac:dyDescent="0.2">
      <c r="A2524" s="3">
        <v>43287</v>
      </c>
      <c r="B2524">
        <v>62.994500000000002</v>
      </c>
      <c r="C2524">
        <f t="shared" si="42"/>
        <v>2018</v>
      </c>
    </row>
    <row r="2525" spans="1:3" x14ac:dyDescent="0.2">
      <c r="A2525" s="3">
        <v>43286</v>
      </c>
      <c r="B2525">
        <v>63.137999999999998</v>
      </c>
      <c r="C2525">
        <f t="shared" si="42"/>
        <v>2018</v>
      </c>
    </row>
    <row r="2526" spans="1:3" x14ac:dyDescent="0.2">
      <c r="A2526" s="3">
        <v>43285</v>
      </c>
      <c r="B2526">
        <v>63.313899999999997</v>
      </c>
      <c r="C2526">
        <f t="shared" si="42"/>
        <v>2018</v>
      </c>
    </row>
    <row r="2527" spans="1:3" x14ac:dyDescent="0.2">
      <c r="A2527" s="3">
        <v>43284</v>
      </c>
      <c r="B2527">
        <v>63.134599999999999</v>
      </c>
      <c r="C2527">
        <f t="shared" si="42"/>
        <v>2018</v>
      </c>
    </row>
    <row r="2528" spans="1:3" x14ac:dyDescent="0.2">
      <c r="A2528" s="3">
        <v>43283</v>
      </c>
      <c r="B2528">
        <v>63.396799999999999</v>
      </c>
      <c r="C2528">
        <f t="shared" si="42"/>
        <v>2018</v>
      </c>
    </row>
    <row r="2529" spans="1:3" x14ac:dyDescent="0.2">
      <c r="A2529" s="3">
        <v>43282</v>
      </c>
      <c r="B2529">
        <v>62.914999999999999</v>
      </c>
      <c r="C2529">
        <f t="shared" si="42"/>
        <v>2018</v>
      </c>
    </row>
    <row r="2530" spans="1:3" x14ac:dyDescent="0.2">
      <c r="A2530" s="3">
        <v>43280</v>
      </c>
      <c r="B2530">
        <v>62.777900000000002</v>
      </c>
      <c r="C2530">
        <f t="shared" si="42"/>
        <v>2018</v>
      </c>
    </row>
    <row r="2531" spans="1:3" x14ac:dyDescent="0.2">
      <c r="A2531" s="3">
        <v>43279</v>
      </c>
      <c r="B2531">
        <v>62.790399999999998</v>
      </c>
      <c r="C2531">
        <f t="shared" si="42"/>
        <v>2018</v>
      </c>
    </row>
    <row r="2532" spans="1:3" x14ac:dyDescent="0.2">
      <c r="A2532" s="3">
        <v>43278</v>
      </c>
      <c r="B2532">
        <v>63.161099999999998</v>
      </c>
      <c r="C2532">
        <f t="shared" si="42"/>
        <v>2018</v>
      </c>
    </row>
    <row r="2533" spans="1:3" x14ac:dyDescent="0.2">
      <c r="A2533" s="3">
        <v>43277</v>
      </c>
      <c r="B2533">
        <v>63.0379</v>
      </c>
      <c r="C2533">
        <f t="shared" si="42"/>
        <v>2018</v>
      </c>
    </row>
    <row r="2534" spans="1:3" x14ac:dyDescent="0.2">
      <c r="A2534" s="3">
        <v>43276</v>
      </c>
      <c r="B2534">
        <v>62.926400000000001</v>
      </c>
      <c r="C2534">
        <f t="shared" si="42"/>
        <v>2018</v>
      </c>
    </row>
    <row r="2535" spans="1:3" x14ac:dyDescent="0.2">
      <c r="A2535" s="3">
        <v>43273</v>
      </c>
      <c r="B2535">
        <v>62.987299999999998</v>
      </c>
      <c r="C2535">
        <f t="shared" si="42"/>
        <v>2018</v>
      </c>
    </row>
    <row r="2536" spans="1:3" x14ac:dyDescent="0.2">
      <c r="A2536" s="3">
        <v>43272</v>
      </c>
      <c r="B2536">
        <v>63.650700000000001</v>
      </c>
      <c r="C2536">
        <f t="shared" si="42"/>
        <v>2018</v>
      </c>
    </row>
    <row r="2537" spans="1:3" x14ac:dyDescent="0.2">
      <c r="A2537" s="3">
        <v>43271</v>
      </c>
      <c r="B2537">
        <v>63.539299999999997</v>
      </c>
      <c r="C2537">
        <f t="shared" si="42"/>
        <v>2018</v>
      </c>
    </row>
    <row r="2538" spans="1:3" x14ac:dyDescent="0.2">
      <c r="A2538" s="3">
        <v>43270</v>
      </c>
      <c r="B2538">
        <v>63.8795</v>
      </c>
      <c r="C2538">
        <f t="shared" si="42"/>
        <v>2018</v>
      </c>
    </row>
    <row r="2539" spans="1:3" x14ac:dyDescent="0.2">
      <c r="A2539" s="3">
        <v>43269</v>
      </c>
      <c r="B2539">
        <v>63.382199999999997</v>
      </c>
      <c r="C2539">
        <f t="shared" si="42"/>
        <v>2018</v>
      </c>
    </row>
    <row r="2540" spans="1:3" x14ac:dyDescent="0.2">
      <c r="A2540" s="3">
        <v>43266</v>
      </c>
      <c r="B2540">
        <v>63.142600000000002</v>
      </c>
      <c r="C2540">
        <f t="shared" si="42"/>
        <v>2018</v>
      </c>
    </row>
    <row r="2541" spans="1:3" x14ac:dyDescent="0.2">
      <c r="A2541" s="3">
        <v>43265</v>
      </c>
      <c r="B2541">
        <v>62.549799999999998</v>
      </c>
      <c r="C2541">
        <f t="shared" si="42"/>
        <v>2018</v>
      </c>
    </row>
    <row r="2542" spans="1:3" x14ac:dyDescent="0.2">
      <c r="A2542" s="3">
        <v>43264</v>
      </c>
      <c r="B2542">
        <v>62.508299999999998</v>
      </c>
      <c r="C2542">
        <f t="shared" si="42"/>
        <v>2018</v>
      </c>
    </row>
    <row r="2543" spans="1:3" x14ac:dyDescent="0.2">
      <c r="A2543" s="3">
        <v>43263</v>
      </c>
      <c r="B2543">
        <v>63.096200000000003</v>
      </c>
      <c r="C2543">
        <f t="shared" si="42"/>
        <v>2018</v>
      </c>
    </row>
    <row r="2544" spans="1:3" x14ac:dyDescent="0.2">
      <c r="A2544" s="3">
        <v>43262</v>
      </c>
      <c r="B2544">
        <v>62.847700000000003</v>
      </c>
      <c r="C2544">
        <f t="shared" si="42"/>
        <v>2018</v>
      </c>
    </row>
    <row r="2545" spans="1:3" x14ac:dyDescent="0.2">
      <c r="A2545" s="3">
        <v>43261</v>
      </c>
      <c r="B2545">
        <v>62.097499999999997</v>
      </c>
      <c r="C2545">
        <f t="shared" si="42"/>
        <v>2018</v>
      </c>
    </row>
    <row r="2546" spans="1:3" x14ac:dyDescent="0.2">
      <c r="A2546" s="3">
        <v>43259</v>
      </c>
      <c r="B2546">
        <v>62.323799999999999</v>
      </c>
      <c r="C2546">
        <f t="shared" si="42"/>
        <v>2018</v>
      </c>
    </row>
    <row r="2547" spans="1:3" x14ac:dyDescent="0.2">
      <c r="A2547" s="3">
        <v>43258</v>
      </c>
      <c r="B2547">
        <v>62.400199999999998</v>
      </c>
      <c r="C2547">
        <f t="shared" si="42"/>
        <v>2018</v>
      </c>
    </row>
    <row r="2548" spans="1:3" x14ac:dyDescent="0.2">
      <c r="A2548" s="3">
        <v>43257</v>
      </c>
      <c r="B2548">
        <v>61.814999999999998</v>
      </c>
      <c r="C2548">
        <f t="shared" si="42"/>
        <v>2018</v>
      </c>
    </row>
    <row r="2549" spans="1:3" x14ac:dyDescent="0.2">
      <c r="A2549" s="3">
        <v>43256</v>
      </c>
      <c r="B2549">
        <v>62.151499999999999</v>
      </c>
      <c r="C2549">
        <f t="shared" si="42"/>
        <v>2018</v>
      </c>
    </row>
    <row r="2550" spans="1:3" x14ac:dyDescent="0.2">
      <c r="A2550" s="3">
        <v>43255</v>
      </c>
      <c r="B2550">
        <v>62.061100000000003</v>
      </c>
      <c r="C2550">
        <f t="shared" si="42"/>
        <v>2018</v>
      </c>
    </row>
    <row r="2551" spans="1:3" x14ac:dyDescent="0.2">
      <c r="A2551" s="3">
        <v>43254</v>
      </c>
      <c r="B2551">
        <v>62.039700000000003</v>
      </c>
      <c r="C2551">
        <f t="shared" si="42"/>
        <v>2018</v>
      </c>
    </row>
    <row r="2552" spans="1:3" x14ac:dyDescent="0.2">
      <c r="A2552" s="3">
        <v>43252</v>
      </c>
      <c r="B2552">
        <v>62.2179</v>
      </c>
      <c r="C2552">
        <f t="shared" si="42"/>
        <v>2018</v>
      </c>
    </row>
    <row r="2553" spans="1:3" x14ac:dyDescent="0.2">
      <c r="A2553" s="3">
        <v>43251</v>
      </c>
      <c r="B2553">
        <v>62.413200000000003</v>
      </c>
      <c r="C2553">
        <f t="shared" si="42"/>
        <v>2018</v>
      </c>
    </row>
    <row r="2554" spans="1:3" x14ac:dyDescent="0.2">
      <c r="A2554" s="3">
        <v>43250</v>
      </c>
      <c r="B2554">
        <v>62.0989</v>
      </c>
      <c r="C2554">
        <f t="shared" si="42"/>
        <v>2018</v>
      </c>
    </row>
    <row r="2555" spans="1:3" x14ac:dyDescent="0.2">
      <c r="A2555" s="3">
        <v>43249</v>
      </c>
      <c r="B2555">
        <v>62.878500000000003</v>
      </c>
      <c r="C2555">
        <f t="shared" si="42"/>
        <v>2018</v>
      </c>
    </row>
    <row r="2556" spans="1:3" x14ac:dyDescent="0.2">
      <c r="A2556" s="3">
        <v>43248</v>
      </c>
      <c r="B2556">
        <v>62.323</v>
      </c>
      <c r="C2556">
        <f t="shared" si="42"/>
        <v>2018</v>
      </c>
    </row>
    <row r="2557" spans="1:3" x14ac:dyDescent="0.2">
      <c r="A2557" s="3">
        <v>43247</v>
      </c>
      <c r="B2557">
        <v>62.119799999999998</v>
      </c>
      <c r="C2557">
        <f t="shared" si="42"/>
        <v>2018</v>
      </c>
    </row>
    <row r="2558" spans="1:3" x14ac:dyDescent="0.2">
      <c r="A2558" s="3">
        <v>43245</v>
      </c>
      <c r="B2558">
        <v>62.219200000000001</v>
      </c>
      <c r="C2558">
        <f t="shared" si="42"/>
        <v>2018</v>
      </c>
    </row>
    <row r="2559" spans="1:3" x14ac:dyDescent="0.2">
      <c r="A2559" s="3">
        <v>43244</v>
      </c>
      <c r="B2559">
        <v>61.559899999999999</v>
      </c>
      <c r="C2559">
        <f t="shared" si="42"/>
        <v>2018</v>
      </c>
    </row>
    <row r="2560" spans="1:3" x14ac:dyDescent="0.2">
      <c r="A2560" s="3">
        <v>43243</v>
      </c>
      <c r="B2560">
        <v>61.3095</v>
      </c>
      <c r="C2560">
        <f t="shared" si="42"/>
        <v>2018</v>
      </c>
    </row>
    <row r="2561" spans="1:3" x14ac:dyDescent="0.2">
      <c r="A2561" s="3">
        <v>43242</v>
      </c>
      <c r="B2561">
        <v>61.222700000000003</v>
      </c>
      <c r="C2561">
        <f t="shared" si="42"/>
        <v>2018</v>
      </c>
    </row>
    <row r="2562" spans="1:3" x14ac:dyDescent="0.2">
      <c r="A2562" s="3">
        <v>43241</v>
      </c>
      <c r="B2562">
        <v>61.560200000000002</v>
      </c>
      <c r="C2562">
        <f t="shared" si="42"/>
        <v>2018</v>
      </c>
    </row>
    <row r="2563" spans="1:3" x14ac:dyDescent="0.2">
      <c r="A2563" s="3">
        <v>43240</v>
      </c>
      <c r="B2563">
        <v>62.3414</v>
      </c>
      <c r="C2563">
        <f t="shared" si="42"/>
        <v>2018</v>
      </c>
    </row>
    <row r="2564" spans="1:3" x14ac:dyDescent="0.2">
      <c r="A2564" s="3">
        <v>43238</v>
      </c>
      <c r="B2564">
        <v>62.356000000000002</v>
      </c>
      <c r="C2564">
        <f t="shared" ref="C2564:C2627" si="43">YEAR(A2564)</f>
        <v>2018</v>
      </c>
    </row>
    <row r="2565" spans="1:3" x14ac:dyDescent="0.2">
      <c r="A2565" s="3">
        <v>43237</v>
      </c>
      <c r="B2565">
        <v>62.165100000000002</v>
      </c>
      <c r="C2565">
        <f t="shared" si="43"/>
        <v>2018</v>
      </c>
    </row>
    <row r="2566" spans="1:3" x14ac:dyDescent="0.2">
      <c r="A2566" s="3">
        <v>43236</v>
      </c>
      <c r="B2566">
        <v>61.725200000000001</v>
      </c>
      <c r="C2566">
        <f t="shared" si="43"/>
        <v>2018</v>
      </c>
    </row>
    <row r="2567" spans="1:3" x14ac:dyDescent="0.2">
      <c r="A2567" s="3">
        <v>43235</v>
      </c>
      <c r="B2567">
        <v>62.293199999999999</v>
      </c>
      <c r="C2567">
        <f t="shared" si="43"/>
        <v>2018</v>
      </c>
    </row>
    <row r="2568" spans="1:3" x14ac:dyDescent="0.2">
      <c r="A2568" s="3">
        <v>43234</v>
      </c>
      <c r="B2568">
        <v>61.872199999999999</v>
      </c>
      <c r="C2568">
        <f t="shared" si="43"/>
        <v>2018</v>
      </c>
    </row>
    <row r="2569" spans="1:3" x14ac:dyDescent="0.2">
      <c r="A2569" s="3">
        <v>43233</v>
      </c>
      <c r="B2569">
        <v>61.519799999999996</v>
      </c>
      <c r="C2569">
        <f t="shared" si="43"/>
        <v>2018</v>
      </c>
    </row>
    <row r="2570" spans="1:3" x14ac:dyDescent="0.2">
      <c r="A2570" s="3">
        <v>43231</v>
      </c>
      <c r="B2570">
        <v>61.926299999999998</v>
      </c>
      <c r="C2570">
        <f t="shared" si="43"/>
        <v>2018</v>
      </c>
    </row>
    <row r="2571" spans="1:3" x14ac:dyDescent="0.2">
      <c r="A2571" s="3">
        <v>43230</v>
      </c>
      <c r="B2571">
        <v>61.753300000000003</v>
      </c>
      <c r="C2571">
        <f t="shared" si="43"/>
        <v>2018</v>
      </c>
    </row>
    <row r="2572" spans="1:3" x14ac:dyDescent="0.2">
      <c r="A2572" s="3">
        <v>43229</v>
      </c>
      <c r="B2572">
        <v>63.078800000000001</v>
      </c>
      <c r="C2572">
        <f t="shared" si="43"/>
        <v>2018</v>
      </c>
    </row>
    <row r="2573" spans="1:3" x14ac:dyDescent="0.2">
      <c r="A2573" s="3">
        <v>43228</v>
      </c>
      <c r="B2573">
        <v>63.2074</v>
      </c>
      <c r="C2573">
        <f t="shared" si="43"/>
        <v>2018</v>
      </c>
    </row>
    <row r="2574" spans="1:3" x14ac:dyDescent="0.2">
      <c r="A2574" s="3">
        <v>43227</v>
      </c>
      <c r="B2574">
        <v>62.914499999999997</v>
      </c>
      <c r="C2574">
        <f t="shared" si="43"/>
        <v>2018</v>
      </c>
    </row>
    <row r="2575" spans="1:3" x14ac:dyDescent="0.2">
      <c r="A2575" s="3">
        <v>43226</v>
      </c>
      <c r="B2575">
        <v>61.831200000000003</v>
      </c>
      <c r="C2575">
        <f t="shared" si="43"/>
        <v>2018</v>
      </c>
    </row>
    <row r="2576" spans="1:3" x14ac:dyDescent="0.2">
      <c r="A2576" s="3">
        <v>43224</v>
      </c>
      <c r="B2576">
        <v>62.4574</v>
      </c>
      <c r="C2576">
        <f t="shared" si="43"/>
        <v>2018</v>
      </c>
    </row>
    <row r="2577" spans="1:3" x14ac:dyDescent="0.2">
      <c r="A2577" s="3">
        <v>43223</v>
      </c>
      <c r="B2577">
        <v>63.000900000000001</v>
      </c>
      <c r="C2577">
        <f t="shared" si="43"/>
        <v>2018</v>
      </c>
    </row>
    <row r="2578" spans="1:3" x14ac:dyDescent="0.2">
      <c r="A2578" s="3">
        <v>43222</v>
      </c>
      <c r="B2578">
        <v>64.043999999999997</v>
      </c>
      <c r="C2578">
        <f t="shared" si="43"/>
        <v>2018</v>
      </c>
    </row>
    <row r="2579" spans="1:3" x14ac:dyDescent="0.2">
      <c r="A2579" s="3">
        <v>43221</v>
      </c>
      <c r="B2579">
        <v>63.6342</v>
      </c>
      <c r="C2579">
        <f t="shared" si="43"/>
        <v>2018</v>
      </c>
    </row>
    <row r="2580" spans="1:3" x14ac:dyDescent="0.2">
      <c r="A2580" s="3">
        <v>43220</v>
      </c>
      <c r="B2580">
        <v>62.978900000000003</v>
      </c>
      <c r="C2580">
        <f t="shared" si="43"/>
        <v>2018</v>
      </c>
    </row>
    <row r="2581" spans="1:3" x14ac:dyDescent="0.2">
      <c r="A2581" s="3">
        <v>43219</v>
      </c>
      <c r="B2581">
        <v>62.564999999999998</v>
      </c>
      <c r="C2581">
        <f t="shared" si="43"/>
        <v>2018</v>
      </c>
    </row>
    <row r="2582" spans="1:3" x14ac:dyDescent="0.2">
      <c r="A2582" s="3">
        <v>43217</v>
      </c>
      <c r="B2582">
        <v>62.159300000000002</v>
      </c>
      <c r="C2582">
        <f t="shared" si="43"/>
        <v>2018</v>
      </c>
    </row>
    <row r="2583" spans="1:3" x14ac:dyDescent="0.2">
      <c r="A2583" s="3">
        <v>43216</v>
      </c>
      <c r="B2583">
        <v>62.719200000000001</v>
      </c>
      <c r="C2583">
        <f t="shared" si="43"/>
        <v>2018</v>
      </c>
    </row>
    <row r="2584" spans="1:3" x14ac:dyDescent="0.2">
      <c r="A2584" s="3">
        <v>43215</v>
      </c>
      <c r="B2584">
        <v>62.417400000000001</v>
      </c>
      <c r="C2584">
        <f t="shared" si="43"/>
        <v>2018</v>
      </c>
    </row>
    <row r="2585" spans="1:3" x14ac:dyDescent="0.2">
      <c r="A2585" s="3">
        <v>43214</v>
      </c>
      <c r="B2585">
        <v>61.5227</v>
      </c>
      <c r="C2585">
        <f t="shared" si="43"/>
        <v>2018</v>
      </c>
    </row>
    <row r="2586" spans="1:3" x14ac:dyDescent="0.2">
      <c r="A2586" s="3">
        <v>43213</v>
      </c>
      <c r="B2586">
        <v>61.877499999999998</v>
      </c>
      <c r="C2586">
        <f t="shared" si="43"/>
        <v>2018</v>
      </c>
    </row>
    <row r="2587" spans="1:3" x14ac:dyDescent="0.2">
      <c r="A2587" s="3">
        <v>43212</v>
      </c>
      <c r="B2587">
        <v>61.387099999999997</v>
      </c>
      <c r="C2587">
        <f t="shared" si="43"/>
        <v>2018</v>
      </c>
    </row>
    <row r="2588" spans="1:3" x14ac:dyDescent="0.2">
      <c r="A2588" s="3">
        <v>43210</v>
      </c>
      <c r="B2588">
        <v>61.375799999999998</v>
      </c>
      <c r="C2588">
        <f t="shared" si="43"/>
        <v>2018</v>
      </c>
    </row>
    <row r="2589" spans="1:3" x14ac:dyDescent="0.2">
      <c r="A2589" s="3">
        <v>43209</v>
      </c>
      <c r="B2589">
        <v>60.959899999999998</v>
      </c>
      <c r="C2589">
        <f t="shared" si="43"/>
        <v>2018</v>
      </c>
    </row>
    <row r="2590" spans="1:3" x14ac:dyDescent="0.2">
      <c r="A2590" s="3">
        <v>43208</v>
      </c>
      <c r="B2590">
        <v>60.8688</v>
      </c>
      <c r="C2590">
        <f t="shared" si="43"/>
        <v>2018</v>
      </c>
    </row>
    <row r="2591" spans="1:3" x14ac:dyDescent="0.2">
      <c r="A2591" s="3">
        <v>43207</v>
      </c>
      <c r="B2591">
        <v>61.521799999999999</v>
      </c>
      <c r="C2591">
        <f t="shared" si="43"/>
        <v>2018</v>
      </c>
    </row>
    <row r="2592" spans="1:3" x14ac:dyDescent="0.2">
      <c r="A2592" s="3">
        <v>43206</v>
      </c>
      <c r="B2592">
        <v>61.135300000000001</v>
      </c>
      <c r="C2592">
        <f t="shared" si="43"/>
        <v>2018</v>
      </c>
    </row>
    <row r="2593" spans="1:3" x14ac:dyDescent="0.2">
      <c r="A2593" s="3">
        <v>43205</v>
      </c>
      <c r="B2593">
        <v>62.415500000000002</v>
      </c>
      <c r="C2593">
        <f t="shared" si="43"/>
        <v>2018</v>
      </c>
    </row>
    <row r="2594" spans="1:3" x14ac:dyDescent="0.2">
      <c r="A2594" s="3">
        <v>43203</v>
      </c>
      <c r="B2594">
        <v>63.4908</v>
      </c>
      <c r="C2594">
        <f t="shared" si="43"/>
        <v>2018</v>
      </c>
    </row>
    <row r="2595" spans="1:3" x14ac:dyDescent="0.2">
      <c r="A2595" s="3">
        <v>43202</v>
      </c>
      <c r="B2595">
        <v>61.967399999999998</v>
      </c>
      <c r="C2595">
        <f t="shared" si="43"/>
        <v>2018</v>
      </c>
    </row>
    <row r="2596" spans="1:3" x14ac:dyDescent="0.2">
      <c r="A2596" s="3">
        <v>43201</v>
      </c>
      <c r="B2596">
        <v>62.430599999999998</v>
      </c>
      <c r="C2596">
        <f t="shared" si="43"/>
        <v>2018</v>
      </c>
    </row>
    <row r="2597" spans="1:3" x14ac:dyDescent="0.2">
      <c r="A2597" s="3">
        <v>43200</v>
      </c>
      <c r="B2597">
        <v>63.064599999999999</v>
      </c>
      <c r="C2597">
        <f t="shared" si="43"/>
        <v>2018</v>
      </c>
    </row>
    <row r="2598" spans="1:3" x14ac:dyDescent="0.2">
      <c r="A2598" s="3">
        <v>43199</v>
      </c>
      <c r="B2598">
        <v>60.536000000000001</v>
      </c>
      <c r="C2598">
        <f t="shared" si="43"/>
        <v>2018</v>
      </c>
    </row>
    <row r="2599" spans="1:3" x14ac:dyDescent="0.2">
      <c r="A2599" s="3">
        <v>43198</v>
      </c>
      <c r="B2599">
        <v>58.111899999999999</v>
      </c>
      <c r="C2599">
        <f t="shared" si="43"/>
        <v>2018</v>
      </c>
    </row>
    <row r="2600" spans="1:3" x14ac:dyDescent="0.2">
      <c r="A2600" s="3">
        <v>43196</v>
      </c>
      <c r="B2600">
        <v>58.103099999999998</v>
      </c>
      <c r="C2600">
        <f t="shared" si="43"/>
        <v>2018</v>
      </c>
    </row>
    <row r="2601" spans="1:3" x14ac:dyDescent="0.2">
      <c r="A2601" s="3">
        <v>43195</v>
      </c>
      <c r="B2601">
        <v>57.704900000000002</v>
      </c>
      <c r="C2601">
        <f t="shared" si="43"/>
        <v>2018</v>
      </c>
    </row>
    <row r="2602" spans="1:3" x14ac:dyDescent="0.2">
      <c r="A2602" s="3">
        <v>43194</v>
      </c>
      <c r="B2602">
        <v>57.438000000000002</v>
      </c>
      <c r="C2602">
        <f t="shared" si="43"/>
        <v>2018</v>
      </c>
    </row>
    <row r="2603" spans="1:3" x14ac:dyDescent="0.2">
      <c r="A2603" s="3">
        <v>43193</v>
      </c>
      <c r="B2603">
        <v>57.593499999999999</v>
      </c>
      <c r="C2603">
        <f t="shared" si="43"/>
        <v>2018</v>
      </c>
    </row>
    <row r="2604" spans="1:3" x14ac:dyDescent="0.2">
      <c r="A2604" s="3">
        <v>43192</v>
      </c>
      <c r="B2604">
        <v>57.469099999999997</v>
      </c>
      <c r="C2604">
        <f t="shared" si="43"/>
        <v>2018</v>
      </c>
    </row>
    <row r="2605" spans="1:3" x14ac:dyDescent="0.2">
      <c r="A2605" s="3">
        <v>43189</v>
      </c>
      <c r="B2605">
        <v>57.341000000000001</v>
      </c>
      <c r="C2605">
        <f t="shared" si="43"/>
        <v>2018</v>
      </c>
    </row>
    <row r="2606" spans="1:3" x14ac:dyDescent="0.2">
      <c r="A2606" s="3">
        <v>43188</v>
      </c>
      <c r="B2606">
        <v>57.279699999999998</v>
      </c>
      <c r="C2606">
        <f t="shared" si="43"/>
        <v>2018</v>
      </c>
    </row>
    <row r="2607" spans="1:3" x14ac:dyDescent="0.2">
      <c r="A2607" s="3">
        <v>43187</v>
      </c>
      <c r="B2607">
        <v>57.770099999999999</v>
      </c>
      <c r="C2607">
        <f t="shared" si="43"/>
        <v>2018</v>
      </c>
    </row>
    <row r="2608" spans="1:3" x14ac:dyDescent="0.2">
      <c r="A2608" s="3">
        <v>43186</v>
      </c>
      <c r="B2608">
        <v>57.441400000000002</v>
      </c>
      <c r="C2608">
        <f t="shared" si="43"/>
        <v>2018</v>
      </c>
    </row>
    <row r="2609" spans="1:3" x14ac:dyDescent="0.2">
      <c r="A2609" s="3">
        <v>43185</v>
      </c>
      <c r="B2609">
        <v>57.186300000000003</v>
      </c>
      <c r="C2609">
        <f t="shared" si="43"/>
        <v>2018</v>
      </c>
    </row>
    <row r="2610" spans="1:3" x14ac:dyDescent="0.2">
      <c r="A2610" s="3">
        <v>43184</v>
      </c>
      <c r="B2610">
        <v>57.299500000000002</v>
      </c>
      <c r="C2610">
        <f t="shared" si="43"/>
        <v>2018</v>
      </c>
    </row>
    <row r="2611" spans="1:3" x14ac:dyDescent="0.2">
      <c r="A2611" s="3">
        <v>43182</v>
      </c>
      <c r="B2611">
        <v>57.301299999999998</v>
      </c>
      <c r="C2611">
        <f t="shared" si="43"/>
        <v>2018</v>
      </c>
    </row>
    <row r="2612" spans="1:3" x14ac:dyDescent="0.2">
      <c r="A2612" s="3">
        <v>43181</v>
      </c>
      <c r="B2612">
        <v>57.263399999999997</v>
      </c>
      <c r="C2612">
        <f t="shared" si="43"/>
        <v>2018</v>
      </c>
    </row>
    <row r="2613" spans="1:3" x14ac:dyDescent="0.2">
      <c r="A2613" s="3">
        <v>43180</v>
      </c>
      <c r="B2613">
        <v>56.865900000000003</v>
      </c>
      <c r="C2613">
        <f t="shared" si="43"/>
        <v>2018</v>
      </c>
    </row>
    <row r="2614" spans="1:3" x14ac:dyDescent="0.2">
      <c r="A2614" s="3">
        <v>43179</v>
      </c>
      <c r="B2614">
        <v>57.575200000000002</v>
      </c>
      <c r="C2614">
        <f t="shared" si="43"/>
        <v>2018</v>
      </c>
    </row>
    <row r="2615" spans="1:3" x14ac:dyDescent="0.2">
      <c r="A2615" s="3">
        <v>43178</v>
      </c>
      <c r="B2615">
        <v>57.771999999999998</v>
      </c>
      <c r="C2615">
        <f t="shared" si="43"/>
        <v>2018</v>
      </c>
    </row>
    <row r="2616" spans="1:3" x14ac:dyDescent="0.2">
      <c r="A2616" s="3">
        <v>43175</v>
      </c>
      <c r="B2616">
        <v>57.518999999999998</v>
      </c>
      <c r="C2616">
        <f t="shared" si="43"/>
        <v>2018</v>
      </c>
    </row>
    <row r="2617" spans="1:3" x14ac:dyDescent="0.2">
      <c r="A2617" s="3">
        <v>43174</v>
      </c>
      <c r="B2617">
        <v>57.438000000000002</v>
      </c>
      <c r="C2617">
        <f t="shared" si="43"/>
        <v>2018</v>
      </c>
    </row>
    <row r="2618" spans="1:3" x14ac:dyDescent="0.2">
      <c r="A2618" s="3">
        <v>43173</v>
      </c>
      <c r="B2618">
        <v>57.159500000000001</v>
      </c>
      <c r="C2618">
        <f t="shared" si="43"/>
        <v>2018</v>
      </c>
    </row>
    <row r="2619" spans="1:3" x14ac:dyDescent="0.2">
      <c r="A2619" s="3">
        <v>43172</v>
      </c>
      <c r="B2619">
        <v>57.063099999999999</v>
      </c>
      <c r="C2619">
        <f t="shared" si="43"/>
        <v>2018</v>
      </c>
    </row>
    <row r="2620" spans="1:3" x14ac:dyDescent="0.2">
      <c r="A2620" s="3">
        <v>43171</v>
      </c>
      <c r="B2620">
        <v>56.907499999999999</v>
      </c>
      <c r="C2620">
        <f t="shared" si="43"/>
        <v>2018</v>
      </c>
    </row>
    <row r="2621" spans="1:3" x14ac:dyDescent="0.2">
      <c r="A2621" s="3">
        <v>43170</v>
      </c>
      <c r="B2621">
        <v>56.751300000000001</v>
      </c>
      <c r="C2621">
        <f t="shared" si="43"/>
        <v>2018</v>
      </c>
    </row>
    <row r="2622" spans="1:3" x14ac:dyDescent="0.2">
      <c r="A2622" s="3">
        <v>43168</v>
      </c>
      <c r="B2622">
        <v>56.665100000000002</v>
      </c>
      <c r="C2622">
        <f t="shared" si="43"/>
        <v>2018</v>
      </c>
    </row>
    <row r="2623" spans="1:3" x14ac:dyDescent="0.2">
      <c r="A2623" s="3">
        <v>43167</v>
      </c>
      <c r="B2623">
        <v>57.098700000000001</v>
      </c>
      <c r="C2623">
        <f t="shared" si="43"/>
        <v>2018</v>
      </c>
    </row>
    <row r="2624" spans="1:3" x14ac:dyDescent="0.2">
      <c r="A2624" s="3">
        <v>43166</v>
      </c>
      <c r="B2624">
        <v>56.840299999999999</v>
      </c>
      <c r="C2624">
        <f t="shared" si="43"/>
        <v>2018</v>
      </c>
    </row>
    <row r="2625" spans="1:3" x14ac:dyDescent="0.2">
      <c r="A2625" s="3">
        <v>43165</v>
      </c>
      <c r="B2625">
        <v>56.657499999999999</v>
      </c>
      <c r="C2625">
        <f t="shared" si="43"/>
        <v>2018</v>
      </c>
    </row>
    <row r="2626" spans="1:3" x14ac:dyDescent="0.2">
      <c r="A2626" s="3">
        <v>43164</v>
      </c>
      <c r="B2626">
        <v>56.404499999999999</v>
      </c>
      <c r="C2626">
        <f t="shared" si="43"/>
        <v>2018</v>
      </c>
    </row>
    <row r="2627" spans="1:3" x14ac:dyDescent="0.2">
      <c r="A2627" s="3">
        <v>43163</v>
      </c>
      <c r="B2627">
        <v>56.8215</v>
      </c>
      <c r="C2627">
        <f t="shared" si="43"/>
        <v>2018</v>
      </c>
    </row>
    <row r="2628" spans="1:3" x14ac:dyDescent="0.2">
      <c r="A2628" s="3">
        <v>43161</v>
      </c>
      <c r="B2628">
        <v>56.813899999999997</v>
      </c>
      <c r="C2628">
        <f t="shared" ref="C2628:C2691" si="44">YEAR(A2628)</f>
        <v>2018</v>
      </c>
    </row>
    <row r="2629" spans="1:3" x14ac:dyDescent="0.2">
      <c r="A2629" s="3">
        <v>43160</v>
      </c>
      <c r="B2629">
        <v>56.821399999999997</v>
      </c>
      <c r="C2629">
        <f t="shared" si="44"/>
        <v>2018</v>
      </c>
    </row>
    <row r="2630" spans="1:3" x14ac:dyDescent="0.2">
      <c r="A2630" s="3">
        <v>43159</v>
      </c>
      <c r="B2630">
        <v>56.350999999999999</v>
      </c>
      <c r="C2630">
        <f t="shared" si="44"/>
        <v>2018</v>
      </c>
    </row>
    <row r="2631" spans="1:3" x14ac:dyDescent="0.2">
      <c r="A2631" s="3">
        <v>43158</v>
      </c>
      <c r="B2631">
        <v>56.293799999999997</v>
      </c>
      <c r="C2631">
        <f t="shared" si="44"/>
        <v>2018</v>
      </c>
    </row>
    <row r="2632" spans="1:3" x14ac:dyDescent="0.2">
      <c r="A2632" s="3">
        <v>43157</v>
      </c>
      <c r="B2632">
        <v>55.640900000000002</v>
      </c>
      <c r="C2632">
        <f t="shared" si="44"/>
        <v>2018</v>
      </c>
    </row>
    <row r="2633" spans="1:3" x14ac:dyDescent="0.2">
      <c r="A2633" s="3">
        <v>43156</v>
      </c>
      <c r="B2633">
        <v>56.097499999999997</v>
      </c>
      <c r="C2633">
        <f t="shared" si="44"/>
        <v>2018</v>
      </c>
    </row>
    <row r="2634" spans="1:3" x14ac:dyDescent="0.2">
      <c r="A2634" s="3">
        <v>43154</v>
      </c>
      <c r="B2634">
        <v>56.130099999999999</v>
      </c>
      <c r="C2634">
        <f t="shared" si="44"/>
        <v>2018</v>
      </c>
    </row>
    <row r="2635" spans="1:3" x14ac:dyDescent="0.2">
      <c r="A2635" s="3">
        <v>43153</v>
      </c>
      <c r="B2635">
        <v>56.484699999999997</v>
      </c>
      <c r="C2635">
        <f t="shared" si="44"/>
        <v>2018</v>
      </c>
    </row>
    <row r="2636" spans="1:3" x14ac:dyDescent="0.2">
      <c r="A2636" s="3">
        <v>43152</v>
      </c>
      <c r="B2636">
        <v>56.75</v>
      </c>
      <c r="C2636">
        <f t="shared" si="44"/>
        <v>2018</v>
      </c>
    </row>
    <row r="2637" spans="1:3" x14ac:dyDescent="0.2">
      <c r="A2637" s="3">
        <v>43151</v>
      </c>
      <c r="B2637">
        <v>56.548999999999999</v>
      </c>
      <c r="C2637">
        <f t="shared" si="44"/>
        <v>2018</v>
      </c>
    </row>
    <row r="2638" spans="1:3" x14ac:dyDescent="0.2">
      <c r="A2638" s="3">
        <v>43150</v>
      </c>
      <c r="B2638">
        <v>56.487200000000001</v>
      </c>
      <c r="C2638">
        <f t="shared" si="44"/>
        <v>2018</v>
      </c>
    </row>
    <row r="2639" spans="1:3" x14ac:dyDescent="0.2">
      <c r="A2639" s="3">
        <v>43149</v>
      </c>
      <c r="B2639">
        <v>56.433900000000001</v>
      </c>
      <c r="C2639">
        <f t="shared" si="44"/>
        <v>2018</v>
      </c>
    </row>
    <row r="2640" spans="1:3" x14ac:dyDescent="0.2">
      <c r="A2640" s="3">
        <v>43147</v>
      </c>
      <c r="B2640">
        <v>56.4163</v>
      </c>
      <c r="C2640">
        <f t="shared" si="44"/>
        <v>2018</v>
      </c>
    </row>
    <row r="2641" spans="1:3" x14ac:dyDescent="0.2">
      <c r="A2641" s="3">
        <v>43146</v>
      </c>
      <c r="B2641">
        <v>56.392200000000003</v>
      </c>
      <c r="C2641">
        <f t="shared" si="44"/>
        <v>2018</v>
      </c>
    </row>
    <row r="2642" spans="1:3" x14ac:dyDescent="0.2">
      <c r="A2642" s="3">
        <v>43145</v>
      </c>
      <c r="B2642">
        <v>56.7256</v>
      </c>
      <c r="C2642">
        <f t="shared" si="44"/>
        <v>2018</v>
      </c>
    </row>
    <row r="2643" spans="1:3" x14ac:dyDescent="0.2">
      <c r="A2643" s="3">
        <v>43144</v>
      </c>
      <c r="B2643">
        <v>57.6374</v>
      </c>
      <c r="C2643">
        <f t="shared" si="44"/>
        <v>2018</v>
      </c>
    </row>
    <row r="2644" spans="1:3" x14ac:dyDescent="0.2">
      <c r="A2644" s="3">
        <v>43143</v>
      </c>
      <c r="B2644">
        <v>57.7639</v>
      </c>
      <c r="C2644">
        <f t="shared" si="44"/>
        <v>2018</v>
      </c>
    </row>
    <row r="2645" spans="1:3" x14ac:dyDescent="0.2">
      <c r="A2645" s="3">
        <v>43142</v>
      </c>
      <c r="B2645">
        <v>58.5</v>
      </c>
      <c r="C2645">
        <f t="shared" si="44"/>
        <v>2018</v>
      </c>
    </row>
    <row r="2646" spans="1:3" x14ac:dyDescent="0.2">
      <c r="A2646" s="3">
        <v>43140</v>
      </c>
      <c r="B2646">
        <v>58.371600000000001</v>
      </c>
      <c r="C2646">
        <f t="shared" si="44"/>
        <v>2018</v>
      </c>
    </row>
    <row r="2647" spans="1:3" x14ac:dyDescent="0.2">
      <c r="A2647" s="3">
        <v>43139</v>
      </c>
      <c r="B2647">
        <v>58.415900000000001</v>
      </c>
      <c r="C2647">
        <f t="shared" si="44"/>
        <v>2018</v>
      </c>
    </row>
    <row r="2648" spans="1:3" x14ac:dyDescent="0.2">
      <c r="A2648" s="3">
        <v>43138</v>
      </c>
      <c r="B2648">
        <v>57.9011</v>
      </c>
      <c r="C2648">
        <f t="shared" si="44"/>
        <v>2018</v>
      </c>
    </row>
    <row r="2649" spans="1:3" x14ac:dyDescent="0.2">
      <c r="A2649" s="3">
        <v>43137</v>
      </c>
      <c r="B2649">
        <v>56.858800000000002</v>
      </c>
      <c r="C2649">
        <f t="shared" si="44"/>
        <v>2018</v>
      </c>
    </row>
    <row r="2650" spans="1:3" x14ac:dyDescent="0.2">
      <c r="A2650" s="3">
        <v>43136</v>
      </c>
      <c r="B2650">
        <v>57.308100000000003</v>
      </c>
      <c r="C2650">
        <f t="shared" si="44"/>
        <v>2018</v>
      </c>
    </row>
    <row r="2651" spans="1:3" x14ac:dyDescent="0.2">
      <c r="A2651" s="3">
        <v>43135</v>
      </c>
      <c r="B2651">
        <v>56.361499999999999</v>
      </c>
      <c r="C2651">
        <f t="shared" si="44"/>
        <v>2018</v>
      </c>
    </row>
    <row r="2652" spans="1:3" x14ac:dyDescent="0.2">
      <c r="A2652" s="3">
        <v>43133</v>
      </c>
      <c r="B2652">
        <v>56.5411</v>
      </c>
      <c r="C2652">
        <f t="shared" si="44"/>
        <v>2018</v>
      </c>
    </row>
    <row r="2653" spans="1:3" x14ac:dyDescent="0.2">
      <c r="A2653" s="3">
        <v>43132</v>
      </c>
      <c r="B2653">
        <v>55.959899999999998</v>
      </c>
      <c r="C2653">
        <f t="shared" si="44"/>
        <v>2018</v>
      </c>
    </row>
    <row r="2654" spans="1:3" x14ac:dyDescent="0.2">
      <c r="A2654" s="3">
        <v>43131</v>
      </c>
      <c r="B2654">
        <v>56.1922</v>
      </c>
      <c r="C2654">
        <f t="shared" si="44"/>
        <v>2018</v>
      </c>
    </row>
    <row r="2655" spans="1:3" x14ac:dyDescent="0.2">
      <c r="A2655" s="3">
        <v>43130</v>
      </c>
      <c r="B2655">
        <v>56.383200000000002</v>
      </c>
      <c r="C2655">
        <f t="shared" si="44"/>
        <v>2018</v>
      </c>
    </row>
    <row r="2656" spans="1:3" x14ac:dyDescent="0.2">
      <c r="A2656" s="3">
        <v>43129</v>
      </c>
      <c r="B2656">
        <v>56.315100000000001</v>
      </c>
      <c r="C2656">
        <f t="shared" si="44"/>
        <v>2018</v>
      </c>
    </row>
    <row r="2657" spans="1:3" x14ac:dyDescent="0.2">
      <c r="A2657" s="3">
        <v>43126</v>
      </c>
      <c r="B2657">
        <v>56.24</v>
      </c>
      <c r="C2657">
        <f t="shared" si="44"/>
        <v>2018</v>
      </c>
    </row>
    <row r="2658" spans="1:3" x14ac:dyDescent="0.2">
      <c r="A2658" s="3">
        <v>43125</v>
      </c>
      <c r="B2658">
        <v>55.907499999999999</v>
      </c>
      <c r="C2658">
        <f t="shared" si="44"/>
        <v>2018</v>
      </c>
    </row>
    <row r="2659" spans="1:3" x14ac:dyDescent="0.2">
      <c r="A2659" s="3">
        <v>43124</v>
      </c>
      <c r="B2659">
        <v>56.152999999999999</v>
      </c>
      <c r="C2659">
        <f t="shared" si="44"/>
        <v>2018</v>
      </c>
    </row>
    <row r="2660" spans="1:3" x14ac:dyDescent="0.2">
      <c r="A2660" s="3">
        <v>43123</v>
      </c>
      <c r="B2660">
        <v>56.383000000000003</v>
      </c>
      <c r="C2660">
        <f t="shared" si="44"/>
        <v>2018</v>
      </c>
    </row>
    <row r="2661" spans="1:3" x14ac:dyDescent="0.2">
      <c r="A2661" s="3">
        <v>43122</v>
      </c>
      <c r="B2661">
        <v>56.484299999999998</v>
      </c>
      <c r="C2661">
        <f t="shared" si="44"/>
        <v>2018</v>
      </c>
    </row>
    <row r="2662" spans="1:3" x14ac:dyDescent="0.2">
      <c r="A2662" s="3">
        <v>43121</v>
      </c>
      <c r="B2662">
        <v>56.669800000000002</v>
      </c>
      <c r="C2662">
        <f t="shared" si="44"/>
        <v>2018</v>
      </c>
    </row>
    <row r="2663" spans="1:3" x14ac:dyDescent="0.2">
      <c r="A2663" s="3">
        <v>43119</v>
      </c>
      <c r="B2663">
        <v>56.717500000000001</v>
      </c>
      <c r="C2663">
        <f t="shared" si="44"/>
        <v>2018</v>
      </c>
    </row>
    <row r="2664" spans="1:3" x14ac:dyDescent="0.2">
      <c r="A2664" s="3">
        <v>43118</v>
      </c>
      <c r="B2664">
        <v>56.519100000000002</v>
      </c>
      <c r="C2664">
        <f t="shared" si="44"/>
        <v>2018</v>
      </c>
    </row>
    <row r="2665" spans="1:3" x14ac:dyDescent="0.2">
      <c r="A2665" s="3">
        <v>43117</v>
      </c>
      <c r="B2665">
        <v>56.8596</v>
      </c>
      <c r="C2665">
        <f t="shared" si="44"/>
        <v>2018</v>
      </c>
    </row>
    <row r="2666" spans="1:3" x14ac:dyDescent="0.2">
      <c r="A2666" s="3">
        <v>43116</v>
      </c>
      <c r="B2666">
        <v>56.540799999999997</v>
      </c>
      <c r="C2666">
        <f t="shared" si="44"/>
        <v>2018</v>
      </c>
    </row>
    <row r="2667" spans="1:3" x14ac:dyDescent="0.2">
      <c r="A2667" s="3">
        <v>43115</v>
      </c>
      <c r="B2667">
        <v>56.3688</v>
      </c>
      <c r="C2667">
        <f t="shared" si="44"/>
        <v>2018</v>
      </c>
    </row>
    <row r="2668" spans="1:3" x14ac:dyDescent="0.2">
      <c r="A2668" s="3">
        <v>43114</v>
      </c>
      <c r="B2668">
        <v>56.619599999999998</v>
      </c>
      <c r="C2668">
        <f t="shared" si="44"/>
        <v>2018</v>
      </c>
    </row>
    <row r="2669" spans="1:3" x14ac:dyDescent="0.2">
      <c r="A2669" s="3">
        <v>43112</v>
      </c>
      <c r="B2669">
        <v>56.597499999999997</v>
      </c>
      <c r="C2669">
        <f t="shared" si="44"/>
        <v>2018</v>
      </c>
    </row>
    <row r="2670" spans="1:3" x14ac:dyDescent="0.2">
      <c r="A2670" s="3">
        <v>43111</v>
      </c>
      <c r="B2670">
        <v>56.470599999999997</v>
      </c>
      <c r="C2670">
        <f t="shared" si="44"/>
        <v>2018</v>
      </c>
    </row>
    <row r="2671" spans="1:3" x14ac:dyDescent="0.2">
      <c r="A2671" s="3">
        <v>43110</v>
      </c>
      <c r="B2671">
        <v>57.054699999999997</v>
      </c>
      <c r="C2671">
        <f t="shared" si="44"/>
        <v>2018</v>
      </c>
    </row>
    <row r="2672" spans="1:3" x14ac:dyDescent="0.2">
      <c r="A2672" s="3">
        <v>43109</v>
      </c>
      <c r="B2672">
        <v>56.871899999999997</v>
      </c>
      <c r="C2672">
        <f t="shared" si="44"/>
        <v>2018</v>
      </c>
    </row>
    <row r="2673" spans="1:3" x14ac:dyDescent="0.2">
      <c r="A2673" s="3">
        <v>43108</v>
      </c>
      <c r="B2673">
        <v>57.1265</v>
      </c>
      <c r="C2673">
        <f t="shared" si="44"/>
        <v>2018</v>
      </c>
    </row>
    <row r="2674" spans="1:3" x14ac:dyDescent="0.2">
      <c r="A2674" s="3">
        <v>43105</v>
      </c>
      <c r="B2674">
        <v>56.929699999999997</v>
      </c>
      <c r="C2674">
        <f t="shared" si="44"/>
        <v>2018</v>
      </c>
    </row>
    <row r="2675" spans="1:3" x14ac:dyDescent="0.2">
      <c r="A2675" s="3">
        <v>43104</v>
      </c>
      <c r="B2675">
        <v>56.951000000000001</v>
      </c>
      <c r="C2675">
        <f t="shared" si="44"/>
        <v>2018</v>
      </c>
    </row>
    <row r="2676" spans="1:3" x14ac:dyDescent="0.2">
      <c r="A2676" s="3">
        <v>43103</v>
      </c>
      <c r="B2676">
        <v>57.151600000000002</v>
      </c>
      <c r="C2676">
        <f t="shared" si="44"/>
        <v>2018</v>
      </c>
    </row>
    <row r="2677" spans="1:3" x14ac:dyDescent="0.2">
      <c r="A2677" s="3">
        <v>43102</v>
      </c>
      <c r="B2677">
        <v>57.498399999999997</v>
      </c>
      <c r="C2677">
        <f t="shared" si="44"/>
        <v>2018</v>
      </c>
    </row>
    <row r="2678" spans="1:3" x14ac:dyDescent="0.2">
      <c r="A2678" s="3">
        <v>43098</v>
      </c>
      <c r="B2678">
        <v>57.688899999999997</v>
      </c>
      <c r="C2678">
        <f t="shared" si="44"/>
        <v>2017</v>
      </c>
    </row>
    <row r="2679" spans="1:3" x14ac:dyDescent="0.2">
      <c r="A2679" s="3">
        <v>43097</v>
      </c>
      <c r="B2679">
        <v>57.531300000000002</v>
      </c>
      <c r="C2679">
        <f t="shared" si="44"/>
        <v>2017</v>
      </c>
    </row>
    <row r="2680" spans="1:3" x14ac:dyDescent="0.2">
      <c r="A2680" s="3">
        <v>43096</v>
      </c>
      <c r="B2680">
        <v>57.759</v>
      </c>
      <c r="C2680">
        <f t="shared" si="44"/>
        <v>2017</v>
      </c>
    </row>
    <row r="2681" spans="1:3" x14ac:dyDescent="0.2">
      <c r="A2681" s="3">
        <v>43095</v>
      </c>
      <c r="B2681">
        <v>57.657699999999998</v>
      </c>
      <c r="C2681">
        <f t="shared" si="44"/>
        <v>2017</v>
      </c>
    </row>
    <row r="2682" spans="1:3" x14ac:dyDescent="0.2">
      <c r="A2682" s="3">
        <v>43094</v>
      </c>
      <c r="B2682">
        <v>58.0015</v>
      </c>
      <c r="C2682">
        <f t="shared" si="44"/>
        <v>2017</v>
      </c>
    </row>
    <row r="2683" spans="1:3" x14ac:dyDescent="0.2">
      <c r="A2683" s="3">
        <v>43091</v>
      </c>
      <c r="B2683">
        <v>58.306699999999999</v>
      </c>
      <c r="C2683">
        <f t="shared" si="44"/>
        <v>2017</v>
      </c>
    </row>
    <row r="2684" spans="1:3" x14ac:dyDescent="0.2">
      <c r="A2684" s="3">
        <v>43090</v>
      </c>
      <c r="B2684">
        <v>58.440100000000001</v>
      </c>
      <c r="C2684">
        <f t="shared" si="44"/>
        <v>2017</v>
      </c>
    </row>
    <row r="2685" spans="1:3" x14ac:dyDescent="0.2">
      <c r="A2685" s="3">
        <v>43089</v>
      </c>
      <c r="B2685">
        <v>58.731000000000002</v>
      </c>
      <c r="C2685">
        <f t="shared" si="44"/>
        <v>2017</v>
      </c>
    </row>
    <row r="2686" spans="1:3" x14ac:dyDescent="0.2">
      <c r="A2686" s="3">
        <v>43088</v>
      </c>
      <c r="B2686">
        <v>58.774900000000002</v>
      </c>
      <c r="C2686">
        <f t="shared" si="44"/>
        <v>2017</v>
      </c>
    </row>
    <row r="2687" spans="1:3" x14ac:dyDescent="0.2">
      <c r="A2687" s="3">
        <v>43087</v>
      </c>
      <c r="B2687">
        <v>58.694200000000002</v>
      </c>
      <c r="C2687">
        <f t="shared" si="44"/>
        <v>2017</v>
      </c>
    </row>
    <row r="2688" spans="1:3" x14ac:dyDescent="0.2">
      <c r="A2688" s="3">
        <v>43084</v>
      </c>
      <c r="B2688">
        <v>58.761800000000001</v>
      </c>
      <c r="C2688">
        <f t="shared" si="44"/>
        <v>2017</v>
      </c>
    </row>
    <row r="2689" spans="1:3" x14ac:dyDescent="0.2">
      <c r="A2689" s="3">
        <v>43083</v>
      </c>
      <c r="B2689">
        <v>58.866599999999998</v>
      </c>
      <c r="C2689">
        <f t="shared" si="44"/>
        <v>2017</v>
      </c>
    </row>
    <row r="2690" spans="1:3" x14ac:dyDescent="0.2">
      <c r="A2690" s="3">
        <v>43082</v>
      </c>
      <c r="B2690">
        <v>58.587600000000002</v>
      </c>
      <c r="C2690">
        <f t="shared" si="44"/>
        <v>2017</v>
      </c>
    </row>
    <row r="2691" spans="1:3" x14ac:dyDescent="0.2">
      <c r="A2691" s="3">
        <v>43081</v>
      </c>
      <c r="B2691">
        <v>59.218299999999999</v>
      </c>
      <c r="C2691">
        <f t="shared" si="44"/>
        <v>2017</v>
      </c>
    </row>
    <row r="2692" spans="1:3" x14ac:dyDescent="0.2">
      <c r="A2692" s="3">
        <v>43080</v>
      </c>
      <c r="B2692">
        <v>58.9129</v>
      </c>
      <c r="C2692">
        <f t="shared" ref="C2692:C2755" si="45">YEAR(A2692)</f>
        <v>2017</v>
      </c>
    </row>
    <row r="2693" spans="1:3" x14ac:dyDescent="0.2">
      <c r="A2693" s="3">
        <v>43079</v>
      </c>
      <c r="B2693">
        <v>59.125799999999998</v>
      </c>
      <c r="C2693">
        <f t="shared" si="45"/>
        <v>2017</v>
      </c>
    </row>
    <row r="2694" spans="1:3" x14ac:dyDescent="0.2">
      <c r="A2694" s="3">
        <v>43077</v>
      </c>
      <c r="B2694">
        <v>59.126899999999999</v>
      </c>
      <c r="C2694">
        <f t="shared" si="45"/>
        <v>2017</v>
      </c>
    </row>
    <row r="2695" spans="1:3" x14ac:dyDescent="0.2">
      <c r="A2695" s="3">
        <v>43076</v>
      </c>
      <c r="B2695">
        <v>59.174900000000001</v>
      </c>
      <c r="C2695">
        <f t="shared" si="45"/>
        <v>2017</v>
      </c>
    </row>
    <row r="2696" spans="1:3" x14ac:dyDescent="0.2">
      <c r="A2696" s="3">
        <v>43075</v>
      </c>
      <c r="B2696">
        <v>59.196199999999997</v>
      </c>
      <c r="C2696">
        <f t="shared" si="45"/>
        <v>2017</v>
      </c>
    </row>
    <row r="2697" spans="1:3" x14ac:dyDescent="0.2">
      <c r="A2697" s="3">
        <v>43074</v>
      </c>
      <c r="B2697">
        <v>58.752899999999997</v>
      </c>
      <c r="C2697">
        <f t="shared" si="45"/>
        <v>2017</v>
      </c>
    </row>
    <row r="2698" spans="1:3" x14ac:dyDescent="0.2">
      <c r="A2698" s="3">
        <v>43073</v>
      </c>
      <c r="B2698">
        <v>58.801299999999998</v>
      </c>
      <c r="C2698">
        <f t="shared" si="45"/>
        <v>2017</v>
      </c>
    </row>
    <row r="2699" spans="1:3" x14ac:dyDescent="0.2">
      <c r="A2699" s="3">
        <v>43072</v>
      </c>
      <c r="B2699">
        <v>58.6</v>
      </c>
      <c r="C2699">
        <f t="shared" si="45"/>
        <v>2017</v>
      </c>
    </row>
    <row r="2700" spans="1:3" x14ac:dyDescent="0.2">
      <c r="A2700" s="3">
        <v>43070</v>
      </c>
      <c r="B2700">
        <v>58.895099999999999</v>
      </c>
      <c r="C2700">
        <f t="shared" si="45"/>
        <v>2017</v>
      </c>
    </row>
    <row r="2701" spans="1:3" x14ac:dyDescent="0.2">
      <c r="A2701" s="3">
        <v>43069</v>
      </c>
      <c r="B2701">
        <v>58.432200000000002</v>
      </c>
      <c r="C2701">
        <f t="shared" si="45"/>
        <v>2017</v>
      </c>
    </row>
    <row r="2702" spans="1:3" x14ac:dyDescent="0.2">
      <c r="A2702" s="3">
        <v>43068</v>
      </c>
      <c r="B2702">
        <v>58.634799999999998</v>
      </c>
      <c r="C2702">
        <f t="shared" si="45"/>
        <v>2017</v>
      </c>
    </row>
    <row r="2703" spans="1:3" x14ac:dyDescent="0.2">
      <c r="A2703" s="3">
        <v>43067</v>
      </c>
      <c r="B2703">
        <v>58.4191</v>
      </c>
      <c r="C2703">
        <f t="shared" si="45"/>
        <v>2017</v>
      </c>
    </row>
    <row r="2704" spans="1:3" x14ac:dyDescent="0.2">
      <c r="A2704" s="3">
        <v>43066</v>
      </c>
      <c r="B2704">
        <v>58.496099999999998</v>
      </c>
      <c r="C2704">
        <f t="shared" si="45"/>
        <v>2017</v>
      </c>
    </row>
    <row r="2705" spans="1:3" x14ac:dyDescent="0.2">
      <c r="A2705" s="3">
        <v>43065</v>
      </c>
      <c r="B2705">
        <v>58.424999999999997</v>
      </c>
      <c r="C2705">
        <f t="shared" si="45"/>
        <v>2017</v>
      </c>
    </row>
    <row r="2706" spans="1:3" x14ac:dyDescent="0.2">
      <c r="A2706" s="3">
        <v>43063</v>
      </c>
      <c r="B2706">
        <v>58.448799999999999</v>
      </c>
      <c r="C2706">
        <f t="shared" si="45"/>
        <v>2017</v>
      </c>
    </row>
    <row r="2707" spans="1:3" x14ac:dyDescent="0.2">
      <c r="A2707" s="3">
        <v>43062</v>
      </c>
      <c r="B2707">
        <v>58.456099999999999</v>
      </c>
      <c r="C2707">
        <f t="shared" si="45"/>
        <v>2017</v>
      </c>
    </row>
    <row r="2708" spans="1:3" x14ac:dyDescent="0.2">
      <c r="A2708" s="3">
        <v>43061</v>
      </c>
      <c r="B2708">
        <v>58.413800000000002</v>
      </c>
      <c r="C2708">
        <f t="shared" si="45"/>
        <v>2017</v>
      </c>
    </row>
    <row r="2709" spans="1:3" x14ac:dyDescent="0.2">
      <c r="A2709" s="3">
        <v>43060</v>
      </c>
      <c r="B2709">
        <v>59.153100000000002</v>
      </c>
      <c r="C2709">
        <f t="shared" si="45"/>
        <v>2017</v>
      </c>
    </row>
    <row r="2710" spans="1:3" x14ac:dyDescent="0.2">
      <c r="A2710" s="3">
        <v>43059</v>
      </c>
      <c r="B2710">
        <v>59.38</v>
      </c>
      <c r="C2710">
        <f t="shared" si="45"/>
        <v>2017</v>
      </c>
    </row>
    <row r="2711" spans="1:3" x14ac:dyDescent="0.2">
      <c r="A2711" s="3">
        <v>43058</v>
      </c>
      <c r="B2711">
        <v>59.131700000000002</v>
      </c>
      <c r="C2711">
        <f t="shared" si="45"/>
        <v>2017</v>
      </c>
    </row>
    <row r="2712" spans="1:3" x14ac:dyDescent="0.2">
      <c r="A2712" s="3">
        <v>43056</v>
      </c>
      <c r="B2712">
        <v>59.026499999999999</v>
      </c>
      <c r="C2712">
        <f t="shared" si="45"/>
        <v>2017</v>
      </c>
    </row>
    <row r="2713" spans="1:3" x14ac:dyDescent="0.2">
      <c r="A2713" s="3">
        <v>43055</v>
      </c>
      <c r="B2713">
        <v>59.6907</v>
      </c>
      <c r="C2713">
        <f t="shared" si="45"/>
        <v>2017</v>
      </c>
    </row>
    <row r="2714" spans="1:3" x14ac:dyDescent="0.2">
      <c r="A2714" s="3">
        <v>43054</v>
      </c>
      <c r="B2714">
        <v>60.216500000000003</v>
      </c>
      <c r="C2714">
        <f t="shared" si="45"/>
        <v>2017</v>
      </c>
    </row>
    <row r="2715" spans="1:3" x14ac:dyDescent="0.2">
      <c r="A2715" s="3">
        <v>43053</v>
      </c>
      <c r="B2715">
        <v>60.463900000000002</v>
      </c>
      <c r="C2715">
        <f t="shared" si="45"/>
        <v>2017</v>
      </c>
    </row>
    <row r="2716" spans="1:3" x14ac:dyDescent="0.2">
      <c r="A2716" s="3">
        <v>43052</v>
      </c>
      <c r="B2716">
        <v>59.395499999999998</v>
      </c>
      <c r="C2716">
        <f t="shared" si="45"/>
        <v>2017</v>
      </c>
    </row>
    <row r="2717" spans="1:3" x14ac:dyDescent="0.2">
      <c r="A2717" s="3">
        <v>43051</v>
      </c>
      <c r="B2717">
        <v>59.207799999999999</v>
      </c>
      <c r="C2717">
        <f t="shared" si="45"/>
        <v>2017</v>
      </c>
    </row>
    <row r="2718" spans="1:3" x14ac:dyDescent="0.2">
      <c r="A2718" s="3">
        <v>43049</v>
      </c>
      <c r="B2718">
        <v>59.159300000000002</v>
      </c>
      <c r="C2718">
        <f t="shared" si="45"/>
        <v>2017</v>
      </c>
    </row>
    <row r="2719" spans="1:3" x14ac:dyDescent="0.2">
      <c r="A2719" s="3">
        <v>43048</v>
      </c>
      <c r="B2719">
        <v>59.2864</v>
      </c>
      <c r="C2719">
        <f t="shared" si="45"/>
        <v>2017</v>
      </c>
    </row>
    <row r="2720" spans="1:3" x14ac:dyDescent="0.2">
      <c r="A2720" s="3">
        <v>43047</v>
      </c>
      <c r="B2720">
        <v>59.234499999999997</v>
      </c>
      <c r="C2720">
        <f t="shared" si="45"/>
        <v>2017</v>
      </c>
    </row>
    <row r="2721" spans="1:3" x14ac:dyDescent="0.2">
      <c r="A2721" s="3">
        <v>43046</v>
      </c>
      <c r="B2721">
        <v>59.377299999999998</v>
      </c>
      <c r="C2721">
        <f t="shared" si="45"/>
        <v>2017</v>
      </c>
    </row>
    <row r="2722" spans="1:3" x14ac:dyDescent="0.2">
      <c r="A2722" s="3">
        <v>43045</v>
      </c>
      <c r="B2722">
        <v>58.276299999999999</v>
      </c>
      <c r="C2722">
        <f t="shared" si="45"/>
        <v>2017</v>
      </c>
    </row>
    <row r="2723" spans="1:3" x14ac:dyDescent="0.2">
      <c r="A2723" s="3">
        <v>43044</v>
      </c>
      <c r="B2723">
        <v>58.904299999999999</v>
      </c>
      <c r="C2723">
        <f t="shared" si="45"/>
        <v>2017</v>
      </c>
    </row>
    <row r="2724" spans="1:3" x14ac:dyDescent="0.2">
      <c r="A2724" s="3">
        <v>43042</v>
      </c>
      <c r="B2724">
        <v>59.056399999999996</v>
      </c>
      <c r="C2724">
        <f t="shared" si="45"/>
        <v>2017</v>
      </c>
    </row>
    <row r="2725" spans="1:3" x14ac:dyDescent="0.2">
      <c r="A2725" s="3">
        <v>43041</v>
      </c>
      <c r="B2725">
        <v>58.191899999999997</v>
      </c>
      <c r="C2725">
        <f t="shared" si="45"/>
        <v>2017</v>
      </c>
    </row>
    <row r="2726" spans="1:3" x14ac:dyDescent="0.2">
      <c r="A2726" s="3">
        <v>43040</v>
      </c>
      <c r="B2726">
        <v>58.186900000000001</v>
      </c>
      <c r="C2726">
        <f t="shared" si="45"/>
        <v>2017</v>
      </c>
    </row>
    <row r="2727" spans="1:3" x14ac:dyDescent="0.2">
      <c r="A2727" s="3">
        <v>43039</v>
      </c>
      <c r="B2727">
        <v>58.342500000000001</v>
      </c>
      <c r="C2727">
        <f t="shared" si="45"/>
        <v>2017</v>
      </c>
    </row>
    <row r="2728" spans="1:3" x14ac:dyDescent="0.2">
      <c r="A2728" s="3">
        <v>43038</v>
      </c>
      <c r="B2728">
        <v>57.971499999999999</v>
      </c>
      <c r="C2728">
        <f t="shared" si="45"/>
        <v>2017</v>
      </c>
    </row>
    <row r="2729" spans="1:3" x14ac:dyDescent="0.2">
      <c r="A2729" s="3">
        <v>43037</v>
      </c>
      <c r="B2729">
        <v>58.2547</v>
      </c>
      <c r="C2729">
        <f t="shared" si="45"/>
        <v>2017</v>
      </c>
    </row>
    <row r="2730" spans="1:3" x14ac:dyDescent="0.2">
      <c r="A2730" s="3">
        <v>43035</v>
      </c>
      <c r="B2730">
        <v>58.097499999999997</v>
      </c>
      <c r="C2730">
        <f t="shared" si="45"/>
        <v>2017</v>
      </c>
    </row>
    <row r="2731" spans="1:3" x14ac:dyDescent="0.2">
      <c r="A2731" s="3">
        <v>43034</v>
      </c>
      <c r="B2731">
        <v>57.848100000000002</v>
      </c>
      <c r="C2731">
        <f t="shared" si="45"/>
        <v>2017</v>
      </c>
    </row>
    <row r="2732" spans="1:3" x14ac:dyDescent="0.2">
      <c r="A2732" s="3">
        <v>43033</v>
      </c>
      <c r="B2732">
        <v>57.754399999999997</v>
      </c>
      <c r="C2732">
        <f t="shared" si="45"/>
        <v>2017</v>
      </c>
    </row>
    <row r="2733" spans="1:3" x14ac:dyDescent="0.2">
      <c r="A2733" s="3">
        <v>43032</v>
      </c>
      <c r="B2733">
        <v>57.647599999999997</v>
      </c>
      <c r="C2733">
        <f t="shared" si="45"/>
        <v>2017</v>
      </c>
    </row>
    <row r="2734" spans="1:3" x14ac:dyDescent="0.2">
      <c r="A2734" s="3">
        <v>43031</v>
      </c>
      <c r="B2734">
        <v>57.540799999999997</v>
      </c>
      <c r="C2734">
        <f t="shared" si="45"/>
        <v>2017</v>
      </c>
    </row>
    <row r="2735" spans="1:3" x14ac:dyDescent="0.2">
      <c r="A2735" s="3">
        <v>43030</v>
      </c>
      <c r="B2735">
        <v>57.488199999999999</v>
      </c>
      <c r="C2735">
        <f t="shared" si="45"/>
        <v>2017</v>
      </c>
    </row>
    <row r="2736" spans="1:3" x14ac:dyDescent="0.2">
      <c r="A2736" s="3">
        <v>43028</v>
      </c>
      <c r="B2736">
        <v>57.494300000000003</v>
      </c>
      <c r="C2736">
        <f t="shared" si="45"/>
        <v>2017</v>
      </c>
    </row>
    <row r="2737" spans="1:3" x14ac:dyDescent="0.2">
      <c r="A2737" s="3">
        <v>43027</v>
      </c>
      <c r="B2737">
        <v>57.279899999999998</v>
      </c>
      <c r="C2737">
        <f t="shared" si="45"/>
        <v>2017</v>
      </c>
    </row>
    <row r="2738" spans="1:3" x14ac:dyDescent="0.2">
      <c r="A2738" s="3">
        <v>43026</v>
      </c>
      <c r="B2738">
        <v>57.471200000000003</v>
      </c>
      <c r="C2738">
        <f t="shared" si="45"/>
        <v>2017</v>
      </c>
    </row>
    <row r="2739" spans="1:3" x14ac:dyDescent="0.2">
      <c r="A2739" s="3">
        <v>43025</v>
      </c>
      <c r="B2739">
        <v>57.350900000000003</v>
      </c>
      <c r="C2739">
        <f t="shared" si="45"/>
        <v>2017</v>
      </c>
    </row>
    <row r="2740" spans="1:3" x14ac:dyDescent="0.2">
      <c r="A2740" s="3">
        <v>43024</v>
      </c>
      <c r="B2740">
        <v>57.269300000000001</v>
      </c>
      <c r="C2740">
        <f t="shared" si="45"/>
        <v>2017</v>
      </c>
    </row>
    <row r="2741" spans="1:3" x14ac:dyDescent="0.2">
      <c r="A2741" s="3">
        <v>43023</v>
      </c>
      <c r="B2741">
        <v>57.25</v>
      </c>
      <c r="C2741">
        <f t="shared" si="45"/>
        <v>2017</v>
      </c>
    </row>
    <row r="2742" spans="1:3" x14ac:dyDescent="0.2">
      <c r="A2742" s="3">
        <v>43021</v>
      </c>
      <c r="B2742">
        <v>57.341000000000001</v>
      </c>
      <c r="C2742">
        <f t="shared" si="45"/>
        <v>2017</v>
      </c>
    </row>
    <row r="2743" spans="1:3" x14ac:dyDescent="0.2">
      <c r="A2743" s="3">
        <v>43020</v>
      </c>
      <c r="B2743">
        <v>57.7151</v>
      </c>
      <c r="C2743">
        <f t="shared" si="45"/>
        <v>2017</v>
      </c>
    </row>
    <row r="2744" spans="1:3" x14ac:dyDescent="0.2">
      <c r="A2744" s="3">
        <v>43019</v>
      </c>
      <c r="B2744">
        <v>57.813499999999998</v>
      </c>
      <c r="C2744">
        <f t="shared" si="45"/>
        <v>2017</v>
      </c>
    </row>
    <row r="2745" spans="1:3" x14ac:dyDescent="0.2">
      <c r="A2745" s="3">
        <v>43018</v>
      </c>
      <c r="B2745">
        <v>57.975099999999998</v>
      </c>
      <c r="C2745">
        <f t="shared" si="45"/>
        <v>2017</v>
      </c>
    </row>
    <row r="2746" spans="1:3" x14ac:dyDescent="0.2">
      <c r="A2746" s="3">
        <v>43017</v>
      </c>
      <c r="B2746">
        <v>58.291200000000003</v>
      </c>
      <c r="C2746">
        <f t="shared" si="45"/>
        <v>2017</v>
      </c>
    </row>
    <row r="2747" spans="1:3" x14ac:dyDescent="0.2">
      <c r="A2747" s="3">
        <v>43016</v>
      </c>
      <c r="B2747">
        <v>58.008800000000001</v>
      </c>
      <c r="C2747">
        <f t="shared" si="45"/>
        <v>2017</v>
      </c>
    </row>
    <row r="2748" spans="1:3" x14ac:dyDescent="0.2">
      <c r="A2748" s="3">
        <v>43014</v>
      </c>
      <c r="B2748">
        <v>58.146099999999997</v>
      </c>
      <c r="C2748">
        <f t="shared" si="45"/>
        <v>2017</v>
      </c>
    </row>
    <row r="2749" spans="1:3" x14ac:dyDescent="0.2">
      <c r="A2749" s="3">
        <v>43013</v>
      </c>
      <c r="B2749">
        <v>57.728999999999999</v>
      </c>
      <c r="C2749">
        <f t="shared" si="45"/>
        <v>2017</v>
      </c>
    </row>
    <row r="2750" spans="1:3" x14ac:dyDescent="0.2">
      <c r="A2750" s="3">
        <v>43012</v>
      </c>
      <c r="B2750">
        <v>57.671599999999998</v>
      </c>
      <c r="C2750">
        <f t="shared" si="45"/>
        <v>2017</v>
      </c>
    </row>
    <row r="2751" spans="1:3" x14ac:dyDescent="0.2">
      <c r="A2751" s="3">
        <v>43011</v>
      </c>
      <c r="B2751">
        <v>57.941299999999998</v>
      </c>
      <c r="C2751">
        <f t="shared" si="45"/>
        <v>2017</v>
      </c>
    </row>
    <row r="2752" spans="1:3" x14ac:dyDescent="0.2">
      <c r="A2752" s="3">
        <v>43010</v>
      </c>
      <c r="B2752">
        <v>57.864199999999997</v>
      </c>
      <c r="C2752">
        <f t="shared" si="45"/>
        <v>2017</v>
      </c>
    </row>
    <row r="2753" spans="1:3" x14ac:dyDescent="0.2">
      <c r="A2753" s="3">
        <v>43009</v>
      </c>
      <c r="B2753">
        <v>57.6</v>
      </c>
      <c r="C2753">
        <f t="shared" si="45"/>
        <v>2017</v>
      </c>
    </row>
    <row r="2754" spans="1:3" x14ac:dyDescent="0.2">
      <c r="A2754" s="3">
        <v>43007</v>
      </c>
      <c r="B2754">
        <v>57.554499999999997</v>
      </c>
      <c r="C2754">
        <f t="shared" si="45"/>
        <v>2017</v>
      </c>
    </row>
    <row r="2755" spans="1:3" x14ac:dyDescent="0.2">
      <c r="A2755" s="3">
        <v>43006</v>
      </c>
      <c r="B2755">
        <v>57.920200000000001</v>
      </c>
      <c r="C2755">
        <f t="shared" si="45"/>
        <v>2017</v>
      </c>
    </row>
    <row r="2756" spans="1:3" x14ac:dyDescent="0.2">
      <c r="A2756" s="3">
        <v>43005</v>
      </c>
      <c r="B2756">
        <v>58.202500000000001</v>
      </c>
      <c r="C2756">
        <f t="shared" ref="C2756:C2819" si="46">YEAR(A2756)</f>
        <v>2017</v>
      </c>
    </row>
    <row r="2757" spans="1:3" x14ac:dyDescent="0.2">
      <c r="A2757" s="3">
        <v>43004</v>
      </c>
      <c r="B2757">
        <v>57.838799999999999</v>
      </c>
      <c r="C2757">
        <f t="shared" si="46"/>
        <v>2017</v>
      </c>
    </row>
    <row r="2758" spans="1:3" x14ac:dyDescent="0.2">
      <c r="A2758" s="3">
        <v>43003</v>
      </c>
      <c r="B2758">
        <v>57.5488</v>
      </c>
      <c r="C2758">
        <f t="shared" si="46"/>
        <v>2017</v>
      </c>
    </row>
    <row r="2759" spans="1:3" x14ac:dyDescent="0.2">
      <c r="A2759" s="3">
        <v>43000</v>
      </c>
      <c r="B2759">
        <v>57.502899999999997</v>
      </c>
      <c r="C2759">
        <f t="shared" si="46"/>
        <v>2017</v>
      </c>
    </row>
    <row r="2760" spans="1:3" x14ac:dyDescent="0.2">
      <c r="A2760" s="3">
        <v>42999</v>
      </c>
      <c r="B2760">
        <v>57.919499999999999</v>
      </c>
      <c r="C2760">
        <f t="shared" si="46"/>
        <v>2017</v>
      </c>
    </row>
    <row r="2761" spans="1:3" x14ac:dyDescent="0.2">
      <c r="A2761" s="3">
        <v>42998</v>
      </c>
      <c r="B2761">
        <v>58.196399999999997</v>
      </c>
      <c r="C2761">
        <f t="shared" si="46"/>
        <v>2017</v>
      </c>
    </row>
    <row r="2762" spans="1:3" x14ac:dyDescent="0.2">
      <c r="A2762" s="3">
        <v>42997</v>
      </c>
      <c r="B2762">
        <v>58.1145</v>
      </c>
      <c r="C2762">
        <f t="shared" si="46"/>
        <v>2017</v>
      </c>
    </row>
    <row r="2763" spans="1:3" x14ac:dyDescent="0.2">
      <c r="A2763" s="3">
        <v>42996</v>
      </c>
      <c r="B2763">
        <v>58.103499999999997</v>
      </c>
      <c r="C2763">
        <f t="shared" si="46"/>
        <v>2017</v>
      </c>
    </row>
    <row r="2764" spans="1:3" x14ac:dyDescent="0.2">
      <c r="A2764" s="3">
        <v>42995</v>
      </c>
      <c r="B2764">
        <v>57.6875</v>
      </c>
      <c r="C2764">
        <f t="shared" si="46"/>
        <v>2017</v>
      </c>
    </row>
    <row r="2765" spans="1:3" x14ac:dyDescent="0.2">
      <c r="A2765" s="3">
        <v>42993</v>
      </c>
      <c r="B2765">
        <v>57.5334</v>
      </c>
      <c r="C2765">
        <f t="shared" si="46"/>
        <v>2017</v>
      </c>
    </row>
    <row r="2766" spans="1:3" x14ac:dyDescent="0.2">
      <c r="A2766" s="3">
        <v>42992</v>
      </c>
      <c r="B2766">
        <v>57.505200000000002</v>
      </c>
      <c r="C2766">
        <f t="shared" si="46"/>
        <v>2017</v>
      </c>
    </row>
    <row r="2767" spans="1:3" x14ac:dyDescent="0.2">
      <c r="A2767" s="3">
        <v>42991</v>
      </c>
      <c r="B2767">
        <v>57.939300000000003</v>
      </c>
      <c r="C2767">
        <f t="shared" si="46"/>
        <v>2017</v>
      </c>
    </row>
    <row r="2768" spans="1:3" x14ac:dyDescent="0.2">
      <c r="A2768" s="3">
        <v>42990</v>
      </c>
      <c r="B2768">
        <v>57.667499999999997</v>
      </c>
      <c r="C2768">
        <f t="shared" si="46"/>
        <v>2017</v>
      </c>
    </row>
    <row r="2769" spans="1:3" x14ac:dyDescent="0.2">
      <c r="A2769" s="3">
        <v>42989</v>
      </c>
      <c r="B2769">
        <v>57.219099999999997</v>
      </c>
      <c r="C2769">
        <f t="shared" si="46"/>
        <v>2017</v>
      </c>
    </row>
    <row r="2770" spans="1:3" x14ac:dyDescent="0.2">
      <c r="A2770" s="3">
        <v>42988</v>
      </c>
      <c r="B2770">
        <v>57.313800000000001</v>
      </c>
      <c r="C2770">
        <f t="shared" si="46"/>
        <v>2017</v>
      </c>
    </row>
    <row r="2771" spans="1:3" x14ac:dyDescent="0.2">
      <c r="A2771" s="3">
        <v>42986</v>
      </c>
      <c r="B2771">
        <v>57.369199999999999</v>
      </c>
      <c r="C2771">
        <f t="shared" si="46"/>
        <v>2017</v>
      </c>
    </row>
    <row r="2772" spans="1:3" x14ac:dyDescent="0.2">
      <c r="A2772" s="3">
        <v>42985</v>
      </c>
      <c r="B2772">
        <v>56.891300000000001</v>
      </c>
      <c r="C2772">
        <f t="shared" si="46"/>
        <v>2017</v>
      </c>
    </row>
    <row r="2773" spans="1:3" x14ac:dyDescent="0.2">
      <c r="A2773" s="3">
        <v>42984</v>
      </c>
      <c r="B2773">
        <v>57.374499999999998</v>
      </c>
      <c r="C2773">
        <f t="shared" si="46"/>
        <v>2017</v>
      </c>
    </row>
    <row r="2774" spans="1:3" x14ac:dyDescent="0.2">
      <c r="A2774" s="3">
        <v>42983</v>
      </c>
      <c r="B2774">
        <v>57.528399999999998</v>
      </c>
      <c r="C2774">
        <f t="shared" si="46"/>
        <v>2017</v>
      </c>
    </row>
    <row r="2775" spans="1:3" x14ac:dyDescent="0.2">
      <c r="A2775" s="3">
        <v>42982</v>
      </c>
      <c r="B2775">
        <v>57.830199999999998</v>
      </c>
      <c r="C2775">
        <f t="shared" si="46"/>
        <v>2017</v>
      </c>
    </row>
    <row r="2776" spans="1:3" x14ac:dyDescent="0.2">
      <c r="A2776" s="3">
        <v>42981</v>
      </c>
      <c r="B2776">
        <v>57.596499999999999</v>
      </c>
      <c r="C2776">
        <f t="shared" si="46"/>
        <v>2017</v>
      </c>
    </row>
    <row r="2777" spans="1:3" x14ac:dyDescent="0.2">
      <c r="A2777" s="3">
        <v>42979</v>
      </c>
      <c r="B2777">
        <v>57.479500000000002</v>
      </c>
      <c r="C2777">
        <f t="shared" si="46"/>
        <v>2017</v>
      </c>
    </row>
    <row r="2778" spans="1:3" x14ac:dyDescent="0.2">
      <c r="A2778" s="3">
        <v>42978</v>
      </c>
      <c r="B2778">
        <v>58.034999999999997</v>
      </c>
      <c r="C2778">
        <f t="shared" si="46"/>
        <v>2017</v>
      </c>
    </row>
    <row r="2779" spans="1:3" x14ac:dyDescent="0.2">
      <c r="A2779" s="3">
        <v>42977</v>
      </c>
      <c r="B2779">
        <v>58.515700000000002</v>
      </c>
      <c r="C2779">
        <f t="shared" si="46"/>
        <v>2017</v>
      </c>
    </row>
    <row r="2780" spans="1:3" x14ac:dyDescent="0.2">
      <c r="A2780" s="3">
        <v>42976</v>
      </c>
      <c r="B2780">
        <v>58.823799999999999</v>
      </c>
      <c r="C2780">
        <f t="shared" si="46"/>
        <v>2017</v>
      </c>
    </row>
    <row r="2781" spans="1:3" x14ac:dyDescent="0.2">
      <c r="A2781" s="3">
        <v>42975</v>
      </c>
      <c r="B2781">
        <v>58.443399999999997</v>
      </c>
      <c r="C2781">
        <f t="shared" si="46"/>
        <v>2017</v>
      </c>
    </row>
    <row r="2782" spans="1:3" x14ac:dyDescent="0.2">
      <c r="A2782" s="3">
        <v>42974</v>
      </c>
      <c r="B2782">
        <v>58.6113</v>
      </c>
      <c r="C2782">
        <f t="shared" si="46"/>
        <v>2017</v>
      </c>
    </row>
    <row r="2783" spans="1:3" x14ac:dyDescent="0.2">
      <c r="A2783" s="3">
        <v>42972</v>
      </c>
      <c r="B2783">
        <v>58.595999999999997</v>
      </c>
      <c r="C2783">
        <f t="shared" si="46"/>
        <v>2017</v>
      </c>
    </row>
    <row r="2784" spans="1:3" x14ac:dyDescent="0.2">
      <c r="A2784" s="3">
        <v>42971</v>
      </c>
      <c r="B2784">
        <v>59.162500000000001</v>
      </c>
      <c r="C2784">
        <f t="shared" si="46"/>
        <v>2017</v>
      </c>
    </row>
    <row r="2785" spans="1:3" x14ac:dyDescent="0.2">
      <c r="A2785" s="3">
        <v>42970</v>
      </c>
      <c r="B2785">
        <v>59.061599999999999</v>
      </c>
      <c r="C2785">
        <f t="shared" si="46"/>
        <v>2017</v>
      </c>
    </row>
    <row r="2786" spans="1:3" x14ac:dyDescent="0.2">
      <c r="A2786" s="3">
        <v>42969</v>
      </c>
      <c r="B2786">
        <v>59.075000000000003</v>
      </c>
      <c r="C2786">
        <f t="shared" si="46"/>
        <v>2017</v>
      </c>
    </row>
    <row r="2787" spans="1:3" x14ac:dyDescent="0.2">
      <c r="A2787" s="3">
        <v>42968</v>
      </c>
      <c r="B2787">
        <v>59.145299999999999</v>
      </c>
      <c r="C2787">
        <f t="shared" si="46"/>
        <v>2017</v>
      </c>
    </row>
    <row r="2788" spans="1:3" x14ac:dyDescent="0.2">
      <c r="A2788" s="3">
        <v>42965</v>
      </c>
      <c r="B2788">
        <v>58.952300000000001</v>
      </c>
      <c r="C2788">
        <f t="shared" si="46"/>
        <v>2017</v>
      </c>
    </row>
    <row r="2789" spans="1:3" x14ac:dyDescent="0.2">
      <c r="A2789" s="3">
        <v>42964</v>
      </c>
      <c r="B2789">
        <v>59.218400000000003</v>
      </c>
      <c r="C2789">
        <f t="shared" si="46"/>
        <v>2017</v>
      </c>
    </row>
    <row r="2790" spans="1:3" x14ac:dyDescent="0.2">
      <c r="A2790" s="3">
        <v>42963</v>
      </c>
      <c r="B2790">
        <v>59.383600000000001</v>
      </c>
      <c r="C2790">
        <f t="shared" si="46"/>
        <v>2017</v>
      </c>
    </row>
    <row r="2791" spans="1:3" x14ac:dyDescent="0.2">
      <c r="A2791" s="3">
        <v>42962</v>
      </c>
      <c r="B2791">
        <v>59.7059</v>
      </c>
      <c r="C2791">
        <f t="shared" si="46"/>
        <v>2017</v>
      </c>
    </row>
    <row r="2792" spans="1:3" x14ac:dyDescent="0.2">
      <c r="A2792" s="3">
        <v>42961</v>
      </c>
      <c r="B2792">
        <v>59.896799999999999</v>
      </c>
      <c r="C2792">
        <f t="shared" si="46"/>
        <v>2017</v>
      </c>
    </row>
    <row r="2793" spans="1:3" x14ac:dyDescent="0.2">
      <c r="A2793" s="3">
        <v>42958</v>
      </c>
      <c r="B2793">
        <v>59.838799999999999</v>
      </c>
      <c r="C2793">
        <f t="shared" si="46"/>
        <v>2017</v>
      </c>
    </row>
    <row r="2794" spans="1:3" x14ac:dyDescent="0.2">
      <c r="A2794" s="3">
        <v>42957</v>
      </c>
      <c r="B2794">
        <v>60.125</v>
      </c>
      <c r="C2794">
        <f t="shared" si="46"/>
        <v>2017</v>
      </c>
    </row>
    <row r="2795" spans="1:3" x14ac:dyDescent="0.2">
      <c r="A2795" s="3">
        <v>42956</v>
      </c>
      <c r="B2795">
        <v>60.084400000000002</v>
      </c>
      <c r="C2795">
        <f t="shared" si="46"/>
        <v>2017</v>
      </c>
    </row>
    <row r="2796" spans="1:3" x14ac:dyDescent="0.2">
      <c r="A2796" s="3">
        <v>42955</v>
      </c>
      <c r="B2796">
        <v>59.865200000000002</v>
      </c>
      <c r="C2796">
        <f t="shared" si="46"/>
        <v>2017</v>
      </c>
    </row>
    <row r="2797" spans="1:3" x14ac:dyDescent="0.2">
      <c r="A2797" s="3">
        <v>42954</v>
      </c>
      <c r="B2797">
        <v>60.031700000000001</v>
      </c>
      <c r="C2797">
        <f t="shared" si="46"/>
        <v>2017</v>
      </c>
    </row>
    <row r="2798" spans="1:3" x14ac:dyDescent="0.2">
      <c r="A2798" s="3">
        <v>42953</v>
      </c>
      <c r="B2798">
        <v>59.99</v>
      </c>
      <c r="C2798">
        <f t="shared" si="46"/>
        <v>2017</v>
      </c>
    </row>
    <row r="2799" spans="1:3" x14ac:dyDescent="0.2">
      <c r="A2799" s="3">
        <v>42951</v>
      </c>
      <c r="B2799">
        <v>59.968499999999999</v>
      </c>
      <c r="C2799">
        <f t="shared" si="46"/>
        <v>2017</v>
      </c>
    </row>
    <row r="2800" spans="1:3" x14ac:dyDescent="0.2">
      <c r="A2800" s="3">
        <v>42950</v>
      </c>
      <c r="B2800">
        <v>60.347499999999997</v>
      </c>
      <c r="C2800">
        <f t="shared" si="46"/>
        <v>2017</v>
      </c>
    </row>
    <row r="2801" spans="1:3" x14ac:dyDescent="0.2">
      <c r="A2801" s="3">
        <v>42949</v>
      </c>
      <c r="B2801">
        <v>60.561700000000002</v>
      </c>
      <c r="C2801">
        <f t="shared" si="46"/>
        <v>2017</v>
      </c>
    </row>
    <row r="2802" spans="1:3" x14ac:dyDescent="0.2">
      <c r="A2802" s="3">
        <v>42948</v>
      </c>
      <c r="B2802">
        <v>60.343299999999999</v>
      </c>
      <c r="C2802">
        <f t="shared" si="46"/>
        <v>2017</v>
      </c>
    </row>
    <row r="2803" spans="1:3" x14ac:dyDescent="0.2">
      <c r="A2803" s="3">
        <v>42947</v>
      </c>
      <c r="B2803">
        <v>59.777900000000002</v>
      </c>
      <c r="C2803">
        <f t="shared" si="46"/>
        <v>2017</v>
      </c>
    </row>
    <row r="2804" spans="1:3" x14ac:dyDescent="0.2">
      <c r="A2804" s="3">
        <v>42946</v>
      </c>
      <c r="B2804">
        <v>59.534999999999997</v>
      </c>
      <c r="C2804">
        <f t="shared" si="46"/>
        <v>2017</v>
      </c>
    </row>
    <row r="2805" spans="1:3" x14ac:dyDescent="0.2">
      <c r="A2805" s="3">
        <v>42944</v>
      </c>
      <c r="B2805">
        <v>59.558599999999998</v>
      </c>
      <c r="C2805">
        <f t="shared" si="46"/>
        <v>2017</v>
      </c>
    </row>
    <row r="2806" spans="1:3" x14ac:dyDescent="0.2">
      <c r="A2806" s="3">
        <v>42943</v>
      </c>
      <c r="B2806">
        <v>59.529499999999999</v>
      </c>
      <c r="C2806">
        <f t="shared" si="46"/>
        <v>2017</v>
      </c>
    </row>
    <row r="2807" spans="1:3" x14ac:dyDescent="0.2">
      <c r="A2807" s="3">
        <v>42942</v>
      </c>
      <c r="B2807">
        <v>59.421199999999999</v>
      </c>
      <c r="C2807">
        <f t="shared" si="46"/>
        <v>2017</v>
      </c>
    </row>
    <row r="2808" spans="1:3" x14ac:dyDescent="0.2">
      <c r="A2808" s="3">
        <v>42941</v>
      </c>
      <c r="B2808">
        <v>59.897300000000001</v>
      </c>
      <c r="C2808">
        <f t="shared" si="46"/>
        <v>2017</v>
      </c>
    </row>
    <row r="2809" spans="1:3" x14ac:dyDescent="0.2">
      <c r="A2809" s="3">
        <v>42940</v>
      </c>
      <c r="B2809">
        <v>60.025599999999997</v>
      </c>
      <c r="C2809">
        <f t="shared" si="46"/>
        <v>2017</v>
      </c>
    </row>
    <row r="2810" spans="1:3" x14ac:dyDescent="0.2">
      <c r="A2810" s="3">
        <v>42939</v>
      </c>
      <c r="B2810">
        <v>59.375</v>
      </c>
      <c r="C2810">
        <f t="shared" si="46"/>
        <v>2017</v>
      </c>
    </row>
    <row r="2811" spans="1:3" x14ac:dyDescent="0.2">
      <c r="A2811" s="3">
        <v>42937</v>
      </c>
      <c r="B2811">
        <v>59.357500000000002</v>
      </c>
      <c r="C2811">
        <f t="shared" si="46"/>
        <v>2017</v>
      </c>
    </row>
    <row r="2812" spans="1:3" x14ac:dyDescent="0.2">
      <c r="A2812" s="3">
        <v>42936</v>
      </c>
      <c r="B2812">
        <v>58.900700000000001</v>
      </c>
      <c r="C2812">
        <f t="shared" si="46"/>
        <v>2017</v>
      </c>
    </row>
    <row r="2813" spans="1:3" x14ac:dyDescent="0.2">
      <c r="A2813" s="3">
        <v>42935</v>
      </c>
      <c r="B2813">
        <v>58.984699999999997</v>
      </c>
      <c r="C2813">
        <f t="shared" si="46"/>
        <v>2017</v>
      </c>
    </row>
    <row r="2814" spans="1:3" x14ac:dyDescent="0.2">
      <c r="A2814" s="3">
        <v>42934</v>
      </c>
      <c r="B2814">
        <v>59.475000000000001</v>
      </c>
      <c r="C2814">
        <f t="shared" si="46"/>
        <v>2017</v>
      </c>
    </row>
    <row r="2815" spans="1:3" x14ac:dyDescent="0.2">
      <c r="A2815" s="3">
        <v>42933</v>
      </c>
      <c r="B2815">
        <v>59.339100000000002</v>
      </c>
      <c r="C2815">
        <f t="shared" si="46"/>
        <v>2017</v>
      </c>
    </row>
    <row r="2816" spans="1:3" x14ac:dyDescent="0.2">
      <c r="A2816" s="3">
        <v>42932</v>
      </c>
      <c r="B2816">
        <v>58.975000000000001</v>
      </c>
      <c r="C2816">
        <f t="shared" si="46"/>
        <v>2017</v>
      </c>
    </row>
    <row r="2817" spans="1:3" x14ac:dyDescent="0.2">
      <c r="A2817" s="3">
        <v>42930</v>
      </c>
      <c r="B2817">
        <v>59.012900000000002</v>
      </c>
      <c r="C2817">
        <f t="shared" si="46"/>
        <v>2017</v>
      </c>
    </row>
    <row r="2818" spans="1:3" x14ac:dyDescent="0.2">
      <c r="A2818" s="3">
        <v>42929</v>
      </c>
      <c r="B2818">
        <v>59.795699999999997</v>
      </c>
      <c r="C2818">
        <f t="shared" si="46"/>
        <v>2017</v>
      </c>
    </row>
    <row r="2819" spans="1:3" x14ac:dyDescent="0.2">
      <c r="A2819" s="3">
        <v>42928</v>
      </c>
      <c r="B2819">
        <v>59.981699999999996</v>
      </c>
      <c r="C2819">
        <f t="shared" si="46"/>
        <v>2017</v>
      </c>
    </row>
    <row r="2820" spans="1:3" x14ac:dyDescent="0.2">
      <c r="A2820" s="3">
        <v>42927</v>
      </c>
      <c r="B2820">
        <v>60.819699999999997</v>
      </c>
      <c r="C2820">
        <f t="shared" ref="C2820:C2883" si="47">YEAR(A2820)</f>
        <v>2017</v>
      </c>
    </row>
    <row r="2821" spans="1:3" x14ac:dyDescent="0.2">
      <c r="A2821" s="3">
        <v>42926</v>
      </c>
      <c r="B2821">
        <v>60.244100000000003</v>
      </c>
      <c r="C2821">
        <f t="shared" si="47"/>
        <v>2017</v>
      </c>
    </row>
    <row r="2822" spans="1:3" x14ac:dyDescent="0.2">
      <c r="A2822" s="3">
        <v>42925</v>
      </c>
      <c r="B2822">
        <v>60.395000000000003</v>
      </c>
      <c r="C2822">
        <f t="shared" si="47"/>
        <v>2017</v>
      </c>
    </row>
    <row r="2823" spans="1:3" x14ac:dyDescent="0.2">
      <c r="A2823" s="3">
        <v>42923</v>
      </c>
      <c r="B2823">
        <v>60.384</v>
      </c>
      <c r="C2823">
        <f t="shared" si="47"/>
        <v>2017</v>
      </c>
    </row>
    <row r="2824" spans="1:3" x14ac:dyDescent="0.2">
      <c r="A2824" s="3">
        <v>42922</v>
      </c>
      <c r="B2824">
        <v>60.1374</v>
      </c>
      <c r="C2824">
        <f t="shared" si="47"/>
        <v>2017</v>
      </c>
    </row>
    <row r="2825" spans="1:3" x14ac:dyDescent="0.2">
      <c r="A2825" s="3">
        <v>42921</v>
      </c>
      <c r="B2825">
        <v>59.987000000000002</v>
      </c>
      <c r="C2825">
        <f t="shared" si="47"/>
        <v>2017</v>
      </c>
    </row>
    <row r="2826" spans="1:3" x14ac:dyDescent="0.2">
      <c r="A2826" s="3">
        <v>42920</v>
      </c>
      <c r="B2826">
        <v>59.430599999999998</v>
      </c>
      <c r="C2826">
        <f t="shared" si="47"/>
        <v>2017</v>
      </c>
    </row>
    <row r="2827" spans="1:3" x14ac:dyDescent="0.2">
      <c r="A2827" s="3">
        <v>42919</v>
      </c>
      <c r="B2827">
        <v>59.223599999999998</v>
      </c>
      <c r="C2827">
        <f t="shared" si="47"/>
        <v>2017</v>
      </c>
    </row>
    <row r="2828" spans="1:3" x14ac:dyDescent="0.2">
      <c r="A2828" s="3">
        <v>42916</v>
      </c>
      <c r="B2828">
        <v>58.872</v>
      </c>
      <c r="C2828">
        <f t="shared" si="47"/>
        <v>2017</v>
      </c>
    </row>
    <row r="2829" spans="1:3" x14ac:dyDescent="0.2">
      <c r="A2829" s="3">
        <v>42915</v>
      </c>
      <c r="B2829">
        <v>59.4193</v>
      </c>
      <c r="C2829">
        <f t="shared" si="47"/>
        <v>2017</v>
      </c>
    </row>
    <row r="2830" spans="1:3" x14ac:dyDescent="0.2">
      <c r="A2830" s="3">
        <v>42914</v>
      </c>
      <c r="B2830">
        <v>59.255000000000003</v>
      </c>
      <c r="C2830">
        <f t="shared" si="47"/>
        <v>2017</v>
      </c>
    </row>
    <row r="2831" spans="1:3" x14ac:dyDescent="0.2">
      <c r="A2831" s="3">
        <v>42913</v>
      </c>
      <c r="B2831">
        <v>59.421599999999998</v>
      </c>
      <c r="C2831">
        <f t="shared" si="47"/>
        <v>2017</v>
      </c>
    </row>
    <row r="2832" spans="1:3" x14ac:dyDescent="0.2">
      <c r="A2832" s="3">
        <v>42912</v>
      </c>
      <c r="B2832">
        <v>58.816299999999998</v>
      </c>
      <c r="C2832">
        <f t="shared" si="47"/>
        <v>2017</v>
      </c>
    </row>
    <row r="2833" spans="1:3" x14ac:dyDescent="0.2">
      <c r="A2833" s="3">
        <v>42911</v>
      </c>
      <c r="B2833">
        <v>59.698999999999998</v>
      </c>
      <c r="C2833">
        <f t="shared" si="47"/>
        <v>2017</v>
      </c>
    </row>
    <row r="2834" spans="1:3" x14ac:dyDescent="0.2">
      <c r="A2834" s="3">
        <v>42909</v>
      </c>
      <c r="B2834">
        <v>59.451700000000002</v>
      </c>
      <c r="C2834">
        <f t="shared" si="47"/>
        <v>2017</v>
      </c>
    </row>
    <row r="2835" spans="1:3" x14ac:dyDescent="0.2">
      <c r="A2835" s="3">
        <v>42908</v>
      </c>
      <c r="B2835">
        <v>59.988900000000001</v>
      </c>
      <c r="C2835">
        <f t="shared" si="47"/>
        <v>2017</v>
      </c>
    </row>
    <row r="2836" spans="1:3" x14ac:dyDescent="0.2">
      <c r="A2836" s="3">
        <v>42907</v>
      </c>
      <c r="B2836">
        <v>60.282200000000003</v>
      </c>
      <c r="C2836">
        <f t="shared" si="47"/>
        <v>2017</v>
      </c>
    </row>
    <row r="2837" spans="1:3" x14ac:dyDescent="0.2">
      <c r="A2837" s="3">
        <v>42906</v>
      </c>
      <c r="B2837">
        <v>59.583799999999997</v>
      </c>
      <c r="C2837">
        <f t="shared" si="47"/>
        <v>2017</v>
      </c>
    </row>
    <row r="2838" spans="1:3" x14ac:dyDescent="0.2">
      <c r="A2838" s="3">
        <v>42905</v>
      </c>
      <c r="B2838">
        <v>58.475999999999999</v>
      </c>
      <c r="C2838">
        <f t="shared" si="47"/>
        <v>2017</v>
      </c>
    </row>
    <row r="2839" spans="1:3" x14ac:dyDescent="0.2">
      <c r="A2839" s="3">
        <v>42904</v>
      </c>
      <c r="B2839">
        <v>57.501899999999999</v>
      </c>
      <c r="C2839">
        <f t="shared" si="47"/>
        <v>2017</v>
      </c>
    </row>
    <row r="2840" spans="1:3" x14ac:dyDescent="0.2">
      <c r="A2840" s="3">
        <v>42902</v>
      </c>
      <c r="B2840">
        <v>57.63</v>
      </c>
      <c r="C2840">
        <f t="shared" si="47"/>
        <v>2017</v>
      </c>
    </row>
    <row r="2841" spans="1:3" x14ac:dyDescent="0.2">
      <c r="A2841" s="3">
        <v>42901</v>
      </c>
      <c r="B2841">
        <v>57.849499999999999</v>
      </c>
      <c r="C2841">
        <f t="shared" si="47"/>
        <v>2017</v>
      </c>
    </row>
    <row r="2842" spans="1:3" x14ac:dyDescent="0.2">
      <c r="A2842" s="3">
        <v>42900</v>
      </c>
      <c r="B2842">
        <v>57.3947</v>
      </c>
      <c r="C2842">
        <f t="shared" si="47"/>
        <v>2017</v>
      </c>
    </row>
    <row r="2843" spans="1:3" x14ac:dyDescent="0.2">
      <c r="A2843" s="3">
        <v>42899</v>
      </c>
      <c r="B2843">
        <v>56.996099999999998</v>
      </c>
      <c r="C2843">
        <f t="shared" si="47"/>
        <v>2017</v>
      </c>
    </row>
    <row r="2844" spans="1:3" x14ac:dyDescent="0.2">
      <c r="A2844" s="3">
        <v>42898</v>
      </c>
      <c r="B2844">
        <v>57.066499999999998</v>
      </c>
      <c r="C2844">
        <f t="shared" si="47"/>
        <v>2017</v>
      </c>
    </row>
    <row r="2845" spans="1:3" x14ac:dyDescent="0.2">
      <c r="A2845" s="3">
        <v>42897</v>
      </c>
      <c r="B2845">
        <v>56.965000000000003</v>
      </c>
      <c r="C2845">
        <f t="shared" si="47"/>
        <v>2017</v>
      </c>
    </row>
    <row r="2846" spans="1:3" x14ac:dyDescent="0.2">
      <c r="A2846" s="3">
        <v>42895</v>
      </c>
      <c r="B2846">
        <v>57.0381</v>
      </c>
      <c r="C2846">
        <f t="shared" si="47"/>
        <v>2017</v>
      </c>
    </row>
    <row r="2847" spans="1:3" x14ac:dyDescent="0.2">
      <c r="A2847" s="3">
        <v>42894</v>
      </c>
      <c r="B2847">
        <v>56.912399999999998</v>
      </c>
      <c r="C2847">
        <f t="shared" si="47"/>
        <v>2017</v>
      </c>
    </row>
    <row r="2848" spans="1:3" x14ac:dyDescent="0.2">
      <c r="A2848" s="3">
        <v>42893</v>
      </c>
      <c r="B2848">
        <v>57.092500000000001</v>
      </c>
      <c r="C2848">
        <f t="shared" si="47"/>
        <v>2017</v>
      </c>
    </row>
    <row r="2849" spans="1:3" x14ac:dyDescent="0.2">
      <c r="A2849" s="3">
        <v>42892</v>
      </c>
      <c r="B2849">
        <v>56.497900000000001</v>
      </c>
      <c r="C2849">
        <f t="shared" si="47"/>
        <v>2017</v>
      </c>
    </row>
    <row r="2850" spans="1:3" x14ac:dyDescent="0.2">
      <c r="A2850" s="3">
        <v>42891</v>
      </c>
      <c r="B2850">
        <v>56.616399999999999</v>
      </c>
      <c r="C2850">
        <f t="shared" si="47"/>
        <v>2017</v>
      </c>
    </row>
    <row r="2851" spans="1:3" x14ac:dyDescent="0.2">
      <c r="A2851" s="3">
        <v>42890</v>
      </c>
      <c r="B2851">
        <v>56.6389</v>
      </c>
      <c r="C2851">
        <f t="shared" si="47"/>
        <v>2017</v>
      </c>
    </row>
    <row r="2852" spans="1:3" x14ac:dyDescent="0.2">
      <c r="A2852" s="3">
        <v>42888</v>
      </c>
      <c r="B2852">
        <v>56.635300000000001</v>
      </c>
      <c r="C2852">
        <f t="shared" si="47"/>
        <v>2017</v>
      </c>
    </row>
    <row r="2853" spans="1:3" x14ac:dyDescent="0.2">
      <c r="A2853" s="3">
        <v>42887</v>
      </c>
      <c r="B2853">
        <v>56.405000000000001</v>
      </c>
      <c r="C2853">
        <f t="shared" si="47"/>
        <v>2017</v>
      </c>
    </row>
    <row r="2854" spans="1:3" x14ac:dyDescent="0.2">
      <c r="A2854" s="3">
        <v>42886</v>
      </c>
      <c r="B2854">
        <v>56.617199999999997</v>
      </c>
      <c r="C2854">
        <f t="shared" si="47"/>
        <v>2017</v>
      </c>
    </row>
    <row r="2855" spans="1:3" x14ac:dyDescent="0.2">
      <c r="A2855" s="3">
        <v>42885</v>
      </c>
      <c r="B2855">
        <v>56.568100000000001</v>
      </c>
      <c r="C2855">
        <f t="shared" si="47"/>
        <v>2017</v>
      </c>
    </row>
    <row r="2856" spans="1:3" x14ac:dyDescent="0.2">
      <c r="A2856" s="3">
        <v>42884</v>
      </c>
      <c r="B2856">
        <v>56.502899999999997</v>
      </c>
      <c r="C2856">
        <f t="shared" si="47"/>
        <v>2017</v>
      </c>
    </row>
    <row r="2857" spans="1:3" x14ac:dyDescent="0.2">
      <c r="A2857" s="3">
        <v>42883</v>
      </c>
      <c r="B2857">
        <v>57.252499999999998</v>
      </c>
      <c r="C2857">
        <f t="shared" si="47"/>
        <v>2017</v>
      </c>
    </row>
    <row r="2858" spans="1:3" x14ac:dyDescent="0.2">
      <c r="A2858" s="3">
        <v>42881</v>
      </c>
      <c r="B2858">
        <v>56.514600000000002</v>
      </c>
      <c r="C2858">
        <f t="shared" si="47"/>
        <v>2017</v>
      </c>
    </row>
    <row r="2859" spans="1:3" x14ac:dyDescent="0.2">
      <c r="A2859" s="3">
        <v>42880</v>
      </c>
      <c r="B2859">
        <v>56.8887</v>
      </c>
      <c r="C2859">
        <f t="shared" si="47"/>
        <v>2017</v>
      </c>
    </row>
    <row r="2860" spans="1:3" x14ac:dyDescent="0.2">
      <c r="A2860" s="3">
        <v>42879</v>
      </c>
      <c r="B2860">
        <v>56.487200000000001</v>
      </c>
      <c r="C2860">
        <f t="shared" si="47"/>
        <v>2017</v>
      </c>
    </row>
    <row r="2861" spans="1:3" x14ac:dyDescent="0.2">
      <c r="A2861" s="3">
        <v>42878</v>
      </c>
      <c r="B2861">
        <v>56.322200000000002</v>
      </c>
      <c r="C2861">
        <f t="shared" si="47"/>
        <v>2017</v>
      </c>
    </row>
    <row r="2862" spans="1:3" x14ac:dyDescent="0.2">
      <c r="A2862" s="3">
        <v>42877</v>
      </c>
      <c r="B2862">
        <v>56.636600000000001</v>
      </c>
      <c r="C2862">
        <f t="shared" si="47"/>
        <v>2017</v>
      </c>
    </row>
    <row r="2863" spans="1:3" x14ac:dyDescent="0.2">
      <c r="A2863" s="3">
        <v>42876</v>
      </c>
      <c r="B2863">
        <v>56.825000000000003</v>
      </c>
      <c r="C2863">
        <f t="shared" si="47"/>
        <v>2017</v>
      </c>
    </row>
    <row r="2864" spans="1:3" x14ac:dyDescent="0.2">
      <c r="A2864" s="3">
        <v>42874</v>
      </c>
      <c r="B2864">
        <v>56.892499999999998</v>
      </c>
      <c r="C2864">
        <f t="shared" si="47"/>
        <v>2017</v>
      </c>
    </row>
    <row r="2865" spans="1:3" x14ac:dyDescent="0.2">
      <c r="A2865" s="3">
        <v>42873</v>
      </c>
      <c r="B2865">
        <v>57.548400000000001</v>
      </c>
      <c r="C2865">
        <f t="shared" si="47"/>
        <v>2017</v>
      </c>
    </row>
    <row r="2866" spans="1:3" x14ac:dyDescent="0.2">
      <c r="A2866" s="3">
        <v>42872</v>
      </c>
      <c r="B2866">
        <v>57.117199999999997</v>
      </c>
      <c r="C2866">
        <f t="shared" si="47"/>
        <v>2017</v>
      </c>
    </row>
    <row r="2867" spans="1:3" x14ac:dyDescent="0.2">
      <c r="A2867" s="3">
        <v>42871</v>
      </c>
      <c r="B2867">
        <v>56.581899999999997</v>
      </c>
      <c r="C2867">
        <f t="shared" si="47"/>
        <v>2017</v>
      </c>
    </row>
    <row r="2868" spans="1:3" x14ac:dyDescent="0.2">
      <c r="A2868" s="3">
        <v>42870</v>
      </c>
      <c r="B2868">
        <v>56.366900000000001</v>
      </c>
      <c r="C2868">
        <f t="shared" si="47"/>
        <v>2017</v>
      </c>
    </row>
    <row r="2869" spans="1:3" x14ac:dyDescent="0.2">
      <c r="A2869" s="3">
        <v>42869</v>
      </c>
      <c r="B2869">
        <v>57.140999999999998</v>
      </c>
      <c r="C2869">
        <f t="shared" si="47"/>
        <v>2017</v>
      </c>
    </row>
    <row r="2870" spans="1:3" x14ac:dyDescent="0.2">
      <c r="A2870" s="3">
        <v>42867</v>
      </c>
      <c r="B2870">
        <v>57.0869</v>
      </c>
      <c r="C2870">
        <f t="shared" si="47"/>
        <v>2017</v>
      </c>
    </row>
    <row r="2871" spans="1:3" x14ac:dyDescent="0.2">
      <c r="A2871" s="3">
        <v>42866</v>
      </c>
      <c r="B2871">
        <v>57.07</v>
      </c>
      <c r="C2871">
        <f t="shared" si="47"/>
        <v>2017</v>
      </c>
    </row>
    <row r="2872" spans="1:3" x14ac:dyDescent="0.2">
      <c r="A2872" s="3">
        <v>42865</v>
      </c>
      <c r="B2872">
        <v>57.461100000000002</v>
      </c>
      <c r="C2872">
        <f t="shared" si="47"/>
        <v>2017</v>
      </c>
    </row>
    <row r="2873" spans="1:3" x14ac:dyDescent="0.2">
      <c r="A2873" s="3">
        <v>42864</v>
      </c>
      <c r="B2873">
        <v>58.414700000000003</v>
      </c>
      <c r="C2873">
        <f t="shared" si="47"/>
        <v>2017</v>
      </c>
    </row>
    <row r="2874" spans="1:3" x14ac:dyDescent="0.2">
      <c r="A2874" s="3">
        <v>42863</v>
      </c>
      <c r="B2874">
        <v>58.3095</v>
      </c>
      <c r="C2874">
        <f t="shared" si="47"/>
        <v>2017</v>
      </c>
    </row>
    <row r="2875" spans="1:3" x14ac:dyDescent="0.2">
      <c r="A2875" s="3">
        <v>42862</v>
      </c>
      <c r="B2875">
        <v>58.075000000000003</v>
      </c>
      <c r="C2875">
        <f t="shared" si="47"/>
        <v>2017</v>
      </c>
    </row>
    <row r="2876" spans="1:3" x14ac:dyDescent="0.2">
      <c r="A2876" s="3">
        <v>42860</v>
      </c>
      <c r="B2876">
        <v>57.936799999999998</v>
      </c>
      <c r="C2876">
        <f t="shared" si="47"/>
        <v>2017</v>
      </c>
    </row>
    <row r="2877" spans="1:3" x14ac:dyDescent="0.2">
      <c r="A2877" s="3">
        <v>42859</v>
      </c>
      <c r="B2877">
        <v>58.383899999999997</v>
      </c>
      <c r="C2877">
        <f t="shared" si="47"/>
        <v>2017</v>
      </c>
    </row>
    <row r="2878" spans="1:3" x14ac:dyDescent="0.2">
      <c r="A2878" s="3">
        <v>42858</v>
      </c>
      <c r="B2878">
        <v>57.379300000000001</v>
      </c>
      <c r="C2878">
        <f t="shared" si="47"/>
        <v>2017</v>
      </c>
    </row>
    <row r="2879" spans="1:3" x14ac:dyDescent="0.2">
      <c r="A2879" s="3">
        <v>42857</v>
      </c>
      <c r="B2879">
        <v>57.039299999999997</v>
      </c>
      <c r="C2879">
        <f t="shared" si="47"/>
        <v>2017</v>
      </c>
    </row>
    <row r="2880" spans="1:3" x14ac:dyDescent="0.2">
      <c r="A2880" s="3">
        <v>42856</v>
      </c>
      <c r="B2880">
        <v>56.991799999999998</v>
      </c>
      <c r="C2880">
        <f t="shared" si="47"/>
        <v>2017</v>
      </c>
    </row>
    <row r="2881" spans="1:3" x14ac:dyDescent="0.2">
      <c r="A2881" s="3">
        <v>42855</v>
      </c>
      <c r="B2881">
        <v>56.998100000000001</v>
      </c>
      <c r="C2881">
        <f t="shared" si="47"/>
        <v>2017</v>
      </c>
    </row>
    <row r="2882" spans="1:3" x14ac:dyDescent="0.2">
      <c r="A2882" s="3">
        <v>42853</v>
      </c>
      <c r="B2882">
        <v>56.927999999999997</v>
      </c>
      <c r="C2882">
        <f t="shared" si="47"/>
        <v>2017</v>
      </c>
    </row>
    <row r="2883" spans="1:3" x14ac:dyDescent="0.2">
      <c r="A2883" s="3">
        <v>42852</v>
      </c>
      <c r="B2883">
        <v>57.037100000000002</v>
      </c>
      <c r="C2883">
        <f t="shared" si="47"/>
        <v>2017</v>
      </c>
    </row>
    <row r="2884" spans="1:3" x14ac:dyDescent="0.2">
      <c r="A2884" s="3">
        <v>42851</v>
      </c>
      <c r="B2884">
        <v>57.128399999999999</v>
      </c>
      <c r="C2884">
        <f t="shared" ref="C2884:C2947" si="48">YEAR(A2884)</f>
        <v>2017</v>
      </c>
    </row>
    <row r="2885" spans="1:3" x14ac:dyDescent="0.2">
      <c r="A2885" s="3">
        <v>42850</v>
      </c>
      <c r="B2885">
        <v>56.137900000000002</v>
      </c>
      <c r="C2885">
        <f t="shared" si="48"/>
        <v>2017</v>
      </c>
    </row>
    <row r="2886" spans="1:3" x14ac:dyDescent="0.2">
      <c r="A2886" s="3">
        <v>42849</v>
      </c>
      <c r="B2886">
        <v>55.816400000000002</v>
      </c>
      <c r="C2886">
        <f t="shared" si="48"/>
        <v>2017</v>
      </c>
    </row>
    <row r="2887" spans="1:3" x14ac:dyDescent="0.2">
      <c r="A2887" s="3">
        <v>42848</v>
      </c>
      <c r="B2887">
        <v>56.0762</v>
      </c>
      <c r="C2887">
        <f t="shared" si="48"/>
        <v>2017</v>
      </c>
    </row>
    <row r="2888" spans="1:3" x14ac:dyDescent="0.2">
      <c r="A2888" s="3">
        <v>42846</v>
      </c>
      <c r="B2888">
        <v>56.667700000000004</v>
      </c>
      <c r="C2888">
        <f t="shared" si="48"/>
        <v>2017</v>
      </c>
    </row>
    <row r="2889" spans="1:3" x14ac:dyDescent="0.2">
      <c r="A2889" s="3">
        <v>42845</v>
      </c>
      <c r="B2889">
        <v>56.149799999999999</v>
      </c>
      <c r="C2889">
        <f t="shared" si="48"/>
        <v>2017</v>
      </c>
    </row>
    <row r="2890" spans="1:3" x14ac:dyDescent="0.2">
      <c r="A2890" s="3">
        <v>42844</v>
      </c>
      <c r="B2890">
        <v>56.553600000000003</v>
      </c>
      <c r="C2890">
        <f t="shared" si="48"/>
        <v>2017</v>
      </c>
    </row>
    <row r="2891" spans="1:3" x14ac:dyDescent="0.2">
      <c r="A2891" s="3">
        <v>42843</v>
      </c>
      <c r="B2891">
        <v>56.259399999999999</v>
      </c>
      <c r="C2891">
        <f t="shared" si="48"/>
        <v>2017</v>
      </c>
    </row>
    <row r="2892" spans="1:3" x14ac:dyDescent="0.2">
      <c r="A2892" s="3">
        <v>42842</v>
      </c>
      <c r="B2892">
        <v>55.910899999999998</v>
      </c>
      <c r="C2892">
        <f t="shared" si="48"/>
        <v>2017</v>
      </c>
    </row>
    <row r="2893" spans="1:3" x14ac:dyDescent="0.2">
      <c r="A2893" s="3">
        <v>42841</v>
      </c>
      <c r="B2893">
        <v>56.278700000000001</v>
      </c>
      <c r="C2893">
        <f t="shared" si="48"/>
        <v>2017</v>
      </c>
    </row>
    <row r="2894" spans="1:3" x14ac:dyDescent="0.2">
      <c r="A2894" s="3">
        <v>42839</v>
      </c>
      <c r="B2894">
        <v>56.183500000000002</v>
      </c>
      <c r="C2894">
        <f t="shared" si="48"/>
        <v>2017</v>
      </c>
    </row>
    <row r="2895" spans="1:3" x14ac:dyDescent="0.2">
      <c r="A2895" s="3">
        <v>42838</v>
      </c>
      <c r="B2895">
        <v>56.283700000000003</v>
      </c>
      <c r="C2895">
        <f t="shared" si="48"/>
        <v>2017</v>
      </c>
    </row>
    <row r="2896" spans="1:3" x14ac:dyDescent="0.2">
      <c r="A2896" s="3">
        <v>42837</v>
      </c>
      <c r="B2896">
        <v>56.605899999999998</v>
      </c>
      <c r="C2896">
        <f t="shared" si="48"/>
        <v>2017</v>
      </c>
    </row>
    <row r="2897" spans="1:3" x14ac:dyDescent="0.2">
      <c r="A2897" s="3">
        <v>42836</v>
      </c>
      <c r="B2897">
        <v>56.962800000000001</v>
      </c>
      <c r="C2897">
        <f t="shared" si="48"/>
        <v>2017</v>
      </c>
    </row>
    <row r="2898" spans="1:3" x14ac:dyDescent="0.2">
      <c r="A2898" s="3">
        <v>42835</v>
      </c>
      <c r="B2898">
        <v>57.171799999999998</v>
      </c>
      <c r="C2898">
        <f t="shared" si="48"/>
        <v>2017</v>
      </c>
    </row>
    <row r="2899" spans="1:3" x14ac:dyDescent="0.2">
      <c r="A2899" s="3">
        <v>42834</v>
      </c>
      <c r="B2899">
        <v>57.406300000000002</v>
      </c>
      <c r="C2899">
        <f t="shared" si="48"/>
        <v>2017</v>
      </c>
    </row>
    <row r="2900" spans="1:3" x14ac:dyDescent="0.2">
      <c r="A2900" s="3">
        <v>42832</v>
      </c>
      <c r="B2900">
        <v>57.265000000000001</v>
      </c>
      <c r="C2900">
        <f t="shared" si="48"/>
        <v>2017</v>
      </c>
    </row>
    <row r="2901" spans="1:3" x14ac:dyDescent="0.2">
      <c r="A2901" s="3">
        <v>42831</v>
      </c>
      <c r="B2901">
        <v>56.308300000000003</v>
      </c>
      <c r="C2901">
        <f t="shared" si="48"/>
        <v>2017</v>
      </c>
    </row>
    <row r="2902" spans="1:3" x14ac:dyDescent="0.2">
      <c r="A2902" s="3">
        <v>42830</v>
      </c>
      <c r="B2902">
        <v>56.349499999999999</v>
      </c>
      <c r="C2902">
        <f t="shared" si="48"/>
        <v>2017</v>
      </c>
    </row>
    <row r="2903" spans="1:3" x14ac:dyDescent="0.2">
      <c r="A2903" s="3">
        <v>42829</v>
      </c>
      <c r="B2903">
        <v>56.008899999999997</v>
      </c>
      <c r="C2903">
        <f t="shared" si="48"/>
        <v>2017</v>
      </c>
    </row>
    <row r="2904" spans="1:3" x14ac:dyDescent="0.2">
      <c r="A2904" s="3">
        <v>42828</v>
      </c>
      <c r="B2904">
        <v>56.098599999999998</v>
      </c>
      <c r="C2904">
        <f t="shared" si="48"/>
        <v>2017</v>
      </c>
    </row>
    <row r="2905" spans="1:3" x14ac:dyDescent="0.2">
      <c r="A2905" s="3">
        <v>42825</v>
      </c>
      <c r="B2905">
        <v>56.244700000000002</v>
      </c>
      <c r="C2905">
        <f t="shared" si="48"/>
        <v>2017</v>
      </c>
    </row>
    <row r="2906" spans="1:3" x14ac:dyDescent="0.2">
      <c r="A2906" s="3">
        <v>42824</v>
      </c>
      <c r="B2906">
        <v>56.103700000000003</v>
      </c>
      <c r="C2906">
        <f t="shared" si="48"/>
        <v>2017</v>
      </c>
    </row>
    <row r="2907" spans="1:3" x14ac:dyDescent="0.2">
      <c r="A2907" s="3">
        <v>42823</v>
      </c>
      <c r="B2907">
        <v>56.62</v>
      </c>
      <c r="C2907">
        <f t="shared" si="48"/>
        <v>2017</v>
      </c>
    </row>
    <row r="2908" spans="1:3" x14ac:dyDescent="0.2">
      <c r="A2908" s="3">
        <v>42822</v>
      </c>
      <c r="B2908">
        <v>57.049300000000002</v>
      </c>
      <c r="C2908">
        <f t="shared" si="48"/>
        <v>2017</v>
      </c>
    </row>
    <row r="2909" spans="1:3" x14ac:dyDescent="0.2">
      <c r="A2909" s="3">
        <v>42821</v>
      </c>
      <c r="B2909">
        <v>56.872500000000002</v>
      </c>
      <c r="C2909">
        <f t="shared" si="48"/>
        <v>2017</v>
      </c>
    </row>
    <row r="2910" spans="1:3" x14ac:dyDescent="0.2">
      <c r="A2910" s="3">
        <v>42820</v>
      </c>
      <c r="B2910">
        <v>56.973799999999997</v>
      </c>
      <c r="C2910">
        <f t="shared" si="48"/>
        <v>2017</v>
      </c>
    </row>
    <row r="2911" spans="1:3" x14ac:dyDescent="0.2">
      <c r="A2911" s="3">
        <v>42818</v>
      </c>
      <c r="B2911">
        <v>56.934399999999997</v>
      </c>
      <c r="C2911">
        <f t="shared" si="48"/>
        <v>2017</v>
      </c>
    </row>
    <row r="2912" spans="1:3" x14ac:dyDescent="0.2">
      <c r="A2912" s="3">
        <v>42817</v>
      </c>
      <c r="B2912">
        <v>57.350999999999999</v>
      </c>
      <c r="C2912">
        <f t="shared" si="48"/>
        <v>2017</v>
      </c>
    </row>
    <row r="2913" spans="1:3" x14ac:dyDescent="0.2">
      <c r="A2913" s="3">
        <v>42816</v>
      </c>
      <c r="B2913">
        <v>57.753999999999998</v>
      </c>
      <c r="C2913">
        <f t="shared" si="48"/>
        <v>2017</v>
      </c>
    </row>
    <row r="2914" spans="1:3" x14ac:dyDescent="0.2">
      <c r="A2914" s="3">
        <v>42815</v>
      </c>
      <c r="B2914">
        <v>57.689599999999999</v>
      </c>
      <c r="C2914">
        <f t="shared" si="48"/>
        <v>2017</v>
      </c>
    </row>
    <row r="2915" spans="1:3" x14ac:dyDescent="0.2">
      <c r="A2915" s="3">
        <v>42814</v>
      </c>
      <c r="B2915">
        <v>57.334699999999998</v>
      </c>
      <c r="C2915">
        <f t="shared" si="48"/>
        <v>2017</v>
      </c>
    </row>
    <row r="2916" spans="1:3" x14ac:dyDescent="0.2">
      <c r="A2916" s="3">
        <v>42813</v>
      </c>
      <c r="B2916">
        <v>57.483499999999999</v>
      </c>
      <c r="C2916">
        <f t="shared" si="48"/>
        <v>2017</v>
      </c>
    </row>
    <row r="2917" spans="1:3" x14ac:dyDescent="0.2">
      <c r="A2917" s="3">
        <v>42811</v>
      </c>
      <c r="B2917">
        <v>57.181699999999999</v>
      </c>
      <c r="C2917">
        <f t="shared" si="48"/>
        <v>2017</v>
      </c>
    </row>
    <row r="2918" spans="1:3" x14ac:dyDescent="0.2">
      <c r="A2918" s="3">
        <v>42810</v>
      </c>
      <c r="B2918">
        <v>57.808100000000003</v>
      </c>
      <c r="C2918">
        <f t="shared" si="48"/>
        <v>2017</v>
      </c>
    </row>
    <row r="2919" spans="1:3" x14ac:dyDescent="0.2">
      <c r="A2919" s="3">
        <v>42809</v>
      </c>
      <c r="B2919">
        <v>58.461799999999997</v>
      </c>
      <c r="C2919">
        <f t="shared" si="48"/>
        <v>2017</v>
      </c>
    </row>
    <row r="2920" spans="1:3" x14ac:dyDescent="0.2">
      <c r="A2920" s="3">
        <v>42808</v>
      </c>
      <c r="B2920">
        <v>59.203099999999999</v>
      </c>
      <c r="C2920">
        <f t="shared" si="48"/>
        <v>2017</v>
      </c>
    </row>
    <row r="2921" spans="1:3" x14ac:dyDescent="0.2">
      <c r="A2921" s="3">
        <v>42807</v>
      </c>
      <c r="B2921">
        <v>58.806600000000003</v>
      </c>
      <c r="C2921">
        <f t="shared" si="48"/>
        <v>2017</v>
      </c>
    </row>
    <row r="2922" spans="1:3" x14ac:dyDescent="0.2">
      <c r="A2922" s="3">
        <v>42806</v>
      </c>
      <c r="B2922">
        <v>58.726199999999999</v>
      </c>
      <c r="C2922">
        <f t="shared" si="48"/>
        <v>2017</v>
      </c>
    </row>
    <row r="2923" spans="1:3" x14ac:dyDescent="0.2">
      <c r="A2923" s="3">
        <v>42804</v>
      </c>
      <c r="B2923">
        <v>58.982500000000002</v>
      </c>
      <c r="C2923">
        <f t="shared" si="48"/>
        <v>2017</v>
      </c>
    </row>
    <row r="2924" spans="1:3" x14ac:dyDescent="0.2">
      <c r="A2924" s="3">
        <v>42803</v>
      </c>
      <c r="B2924">
        <v>59.279499999999999</v>
      </c>
      <c r="C2924">
        <f t="shared" si="48"/>
        <v>2017</v>
      </c>
    </row>
    <row r="2925" spans="1:3" x14ac:dyDescent="0.2">
      <c r="A2925" s="3">
        <v>42802</v>
      </c>
      <c r="B2925">
        <v>58.904000000000003</v>
      </c>
      <c r="C2925">
        <f t="shared" si="48"/>
        <v>2017</v>
      </c>
    </row>
    <row r="2926" spans="1:3" x14ac:dyDescent="0.2">
      <c r="A2926" s="3">
        <v>42801</v>
      </c>
      <c r="B2926">
        <v>58.1892</v>
      </c>
      <c r="C2926">
        <f t="shared" si="48"/>
        <v>2017</v>
      </c>
    </row>
    <row r="2927" spans="1:3" x14ac:dyDescent="0.2">
      <c r="A2927" s="3">
        <v>42800</v>
      </c>
      <c r="B2927">
        <v>58.261000000000003</v>
      </c>
      <c r="C2927">
        <f t="shared" si="48"/>
        <v>2017</v>
      </c>
    </row>
    <row r="2928" spans="1:3" x14ac:dyDescent="0.2">
      <c r="A2928" s="3">
        <v>42799</v>
      </c>
      <c r="B2928">
        <v>58.232900000000001</v>
      </c>
      <c r="C2928">
        <f t="shared" si="48"/>
        <v>2017</v>
      </c>
    </row>
    <row r="2929" spans="1:3" x14ac:dyDescent="0.2">
      <c r="A2929" s="3">
        <v>42797</v>
      </c>
      <c r="B2929">
        <v>58.237000000000002</v>
      </c>
      <c r="C2929">
        <f t="shared" si="48"/>
        <v>2017</v>
      </c>
    </row>
    <row r="2930" spans="1:3" x14ac:dyDescent="0.2">
      <c r="A2930" s="3">
        <v>42796</v>
      </c>
      <c r="B2930">
        <v>58.855499999999999</v>
      </c>
      <c r="C2930">
        <f t="shared" si="48"/>
        <v>2017</v>
      </c>
    </row>
    <row r="2931" spans="1:3" x14ac:dyDescent="0.2">
      <c r="A2931" s="3">
        <v>42795</v>
      </c>
      <c r="B2931">
        <v>58.319499999999998</v>
      </c>
      <c r="C2931">
        <f t="shared" si="48"/>
        <v>2017</v>
      </c>
    </row>
    <row r="2932" spans="1:3" x14ac:dyDescent="0.2">
      <c r="A2932" s="3">
        <v>42794</v>
      </c>
      <c r="B2932">
        <v>58.379399999999997</v>
      </c>
      <c r="C2932">
        <f t="shared" si="48"/>
        <v>2017</v>
      </c>
    </row>
    <row r="2933" spans="1:3" x14ac:dyDescent="0.2">
      <c r="A2933" s="3">
        <v>42793</v>
      </c>
      <c r="B2933">
        <v>58.127200000000002</v>
      </c>
      <c r="C2933">
        <f t="shared" si="48"/>
        <v>2017</v>
      </c>
    </row>
    <row r="2934" spans="1:3" x14ac:dyDescent="0.2">
      <c r="A2934" s="3">
        <v>42792</v>
      </c>
      <c r="B2934">
        <v>58.418500000000002</v>
      </c>
      <c r="C2934">
        <f t="shared" si="48"/>
        <v>2017</v>
      </c>
    </row>
    <row r="2935" spans="1:3" x14ac:dyDescent="0.2">
      <c r="A2935" s="3">
        <v>42790</v>
      </c>
      <c r="B2935">
        <v>58.399099999999997</v>
      </c>
      <c r="C2935">
        <f t="shared" si="48"/>
        <v>2017</v>
      </c>
    </row>
    <row r="2936" spans="1:3" x14ac:dyDescent="0.2">
      <c r="A2936" s="3">
        <v>42789</v>
      </c>
      <c r="B2936">
        <v>57.774299999999997</v>
      </c>
      <c r="C2936">
        <f t="shared" si="48"/>
        <v>2017</v>
      </c>
    </row>
    <row r="2937" spans="1:3" x14ac:dyDescent="0.2">
      <c r="A2937" s="3">
        <v>42788</v>
      </c>
      <c r="B2937">
        <v>58.0441</v>
      </c>
      <c r="C2937">
        <f t="shared" si="48"/>
        <v>2017</v>
      </c>
    </row>
    <row r="2938" spans="1:3" x14ac:dyDescent="0.2">
      <c r="A2938" s="3">
        <v>42787</v>
      </c>
      <c r="B2938">
        <v>57.4238</v>
      </c>
      <c r="C2938">
        <f t="shared" si="48"/>
        <v>2017</v>
      </c>
    </row>
    <row r="2939" spans="1:3" x14ac:dyDescent="0.2">
      <c r="A2939" s="3">
        <v>42786</v>
      </c>
      <c r="B2939">
        <v>57.9786</v>
      </c>
      <c r="C2939">
        <f t="shared" si="48"/>
        <v>2017</v>
      </c>
    </row>
    <row r="2940" spans="1:3" x14ac:dyDescent="0.2">
      <c r="A2940" s="3">
        <v>42785</v>
      </c>
      <c r="B2940">
        <v>58.392000000000003</v>
      </c>
      <c r="C2940">
        <f t="shared" si="48"/>
        <v>2017</v>
      </c>
    </row>
    <row r="2941" spans="1:3" x14ac:dyDescent="0.2">
      <c r="A2941" s="3">
        <v>42783</v>
      </c>
      <c r="B2941">
        <v>58.291499999999999</v>
      </c>
      <c r="C2941">
        <f t="shared" si="48"/>
        <v>2017</v>
      </c>
    </row>
    <row r="2942" spans="1:3" x14ac:dyDescent="0.2">
      <c r="A2942" s="3">
        <v>42782</v>
      </c>
      <c r="B2942">
        <v>57.615400000000001</v>
      </c>
      <c r="C2942">
        <f t="shared" si="48"/>
        <v>2017</v>
      </c>
    </row>
    <row r="2943" spans="1:3" x14ac:dyDescent="0.2">
      <c r="A2943" s="3">
        <v>42781</v>
      </c>
      <c r="B2943">
        <v>57.211300000000001</v>
      </c>
      <c r="C2943">
        <f t="shared" si="48"/>
        <v>2017</v>
      </c>
    </row>
    <row r="2944" spans="1:3" x14ac:dyDescent="0.2">
      <c r="A2944" s="3">
        <v>42780</v>
      </c>
      <c r="B2944">
        <v>57.06</v>
      </c>
      <c r="C2944">
        <f t="shared" si="48"/>
        <v>2017</v>
      </c>
    </row>
    <row r="2945" spans="1:3" x14ac:dyDescent="0.2">
      <c r="A2945" s="3">
        <v>42779</v>
      </c>
      <c r="B2945">
        <v>57.953499999999998</v>
      </c>
      <c r="C2945">
        <f t="shared" si="48"/>
        <v>2017</v>
      </c>
    </row>
    <row r="2946" spans="1:3" x14ac:dyDescent="0.2">
      <c r="A2946" s="3">
        <v>42778</v>
      </c>
      <c r="B2946">
        <v>58.2849</v>
      </c>
      <c r="C2946">
        <f t="shared" si="48"/>
        <v>2017</v>
      </c>
    </row>
    <row r="2947" spans="1:3" x14ac:dyDescent="0.2">
      <c r="A2947" s="3">
        <v>42776</v>
      </c>
      <c r="B2947">
        <v>58.311799999999998</v>
      </c>
      <c r="C2947">
        <f t="shared" si="48"/>
        <v>2017</v>
      </c>
    </row>
    <row r="2948" spans="1:3" x14ac:dyDescent="0.2">
      <c r="A2948" s="3">
        <v>42775</v>
      </c>
      <c r="B2948">
        <v>58.921999999999997</v>
      </c>
      <c r="C2948">
        <f t="shared" ref="C2948:C3011" si="49">YEAR(A2948)</f>
        <v>2017</v>
      </c>
    </row>
    <row r="2949" spans="1:3" x14ac:dyDescent="0.2">
      <c r="A2949" s="3">
        <v>42774</v>
      </c>
      <c r="B2949">
        <v>59.177599999999998</v>
      </c>
      <c r="C2949">
        <f t="shared" si="49"/>
        <v>2017</v>
      </c>
    </row>
    <row r="2950" spans="1:3" x14ac:dyDescent="0.2">
      <c r="A2950" s="3">
        <v>42773</v>
      </c>
      <c r="B2950">
        <v>59.487000000000002</v>
      </c>
      <c r="C2950">
        <f t="shared" si="49"/>
        <v>2017</v>
      </c>
    </row>
    <row r="2951" spans="1:3" x14ac:dyDescent="0.2">
      <c r="A2951" s="3">
        <v>42772</v>
      </c>
      <c r="B2951">
        <v>58.932699999999997</v>
      </c>
      <c r="C2951">
        <f t="shared" si="49"/>
        <v>2017</v>
      </c>
    </row>
    <row r="2952" spans="1:3" x14ac:dyDescent="0.2">
      <c r="A2952" s="3">
        <v>42771</v>
      </c>
      <c r="B2952">
        <v>58.990200000000002</v>
      </c>
      <c r="C2952">
        <f t="shared" si="49"/>
        <v>2017</v>
      </c>
    </row>
    <row r="2953" spans="1:3" x14ac:dyDescent="0.2">
      <c r="A2953" s="3">
        <v>42769</v>
      </c>
      <c r="B2953">
        <v>59.002699999999997</v>
      </c>
      <c r="C2953">
        <f t="shared" si="49"/>
        <v>2017</v>
      </c>
    </row>
    <row r="2954" spans="1:3" x14ac:dyDescent="0.2">
      <c r="A2954" s="3">
        <v>42768</v>
      </c>
      <c r="B2954">
        <v>59.410600000000002</v>
      </c>
      <c r="C2954">
        <f t="shared" si="49"/>
        <v>2017</v>
      </c>
    </row>
    <row r="2955" spans="1:3" x14ac:dyDescent="0.2">
      <c r="A2955" s="3">
        <v>42767</v>
      </c>
      <c r="B2955">
        <v>60.141599999999997</v>
      </c>
      <c r="C2955">
        <f t="shared" si="49"/>
        <v>2017</v>
      </c>
    </row>
    <row r="2956" spans="1:3" x14ac:dyDescent="0.2">
      <c r="A2956" s="3">
        <v>42766</v>
      </c>
      <c r="B2956">
        <v>60.190800000000003</v>
      </c>
      <c r="C2956">
        <f t="shared" si="49"/>
        <v>2017</v>
      </c>
    </row>
    <row r="2957" spans="1:3" x14ac:dyDescent="0.2">
      <c r="A2957" s="3">
        <v>42765</v>
      </c>
      <c r="B2957">
        <v>59.911200000000001</v>
      </c>
      <c r="C2957">
        <f t="shared" si="49"/>
        <v>2017</v>
      </c>
    </row>
    <row r="2958" spans="1:3" x14ac:dyDescent="0.2">
      <c r="A2958" s="3">
        <v>42764</v>
      </c>
      <c r="B2958">
        <v>59.839100000000002</v>
      </c>
      <c r="C2958">
        <f t="shared" si="49"/>
        <v>2017</v>
      </c>
    </row>
    <row r="2959" spans="1:3" x14ac:dyDescent="0.2">
      <c r="A2959" s="3">
        <v>42762</v>
      </c>
      <c r="B2959">
        <v>59.877200000000002</v>
      </c>
      <c r="C2959">
        <f t="shared" si="49"/>
        <v>2017</v>
      </c>
    </row>
    <row r="2960" spans="1:3" x14ac:dyDescent="0.2">
      <c r="A2960" s="3">
        <v>42761</v>
      </c>
      <c r="B2960">
        <v>60.340200000000003</v>
      </c>
      <c r="C2960">
        <f t="shared" si="49"/>
        <v>2017</v>
      </c>
    </row>
    <row r="2961" spans="1:3" x14ac:dyDescent="0.2">
      <c r="A2961" s="3">
        <v>42760</v>
      </c>
      <c r="B2961">
        <v>59.538200000000003</v>
      </c>
      <c r="C2961">
        <f t="shared" si="49"/>
        <v>2017</v>
      </c>
    </row>
    <row r="2962" spans="1:3" x14ac:dyDescent="0.2">
      <c r="A2962" s="3">
        <v>42759</v>
      </c>
      <c r="B2962">
        <v>59.273800000000001</v>
      </c>
      <c r="C2962">
        <f t="shared" si="49"/>
        <v>2017</v>
      </c>
    </row>
    <row r="2963" spans="1:3" x14ac:dyDescent="0.2">
      <c r="A2963" s="3">
        <v>42758</v>
      </c>
      <c r="B2963">
        <v>59.552</v>
      </c>
      <c r="C2963">
        <f t="shared" si="49"/>
        <v>2017</v>
      </c>
    </row>
    <row r="2964" spans="1:3" x14ac:dyDescent="0.2">
      <c r="A2964" s="3">
        <v>42757</v>
      </c>
      <c r="B2964">
        <v>59.755499999999998</v>
      </c>
      <c r="C2964">
        <f t="shared" si="49"/>
        <v>2017</v>
      </c>
    </row>
    <row r="2965" spans="1:3" x14ac:dyDescent="0.2">
      <c r="A2965" s="3">
        <v>42755</v>
      </c>
      <c r="B2965">
        <v>59.6068</v>
      </c>
      <c r="C2965">
        <f t="shared" si="49"/>
        <v>2017</v>
      </c>
    </row>
    <row r="2966" spans="1:3" x14ac:dyDescent="0.2">
      <c r="A2966" s="3">
        <v>42754</v>
      </c>
      <c r="B2966">
        <v>59.887700000000002</v>
      </c>
      <c r="C2966">
        <f t="shared" si="49"/>
        <v>2017</v>
      </c>
    </row>
    <row r="2967" spans="1:3" x14ac:dyDescent="0.2">
      <c r="A2967" s="3">
        <v>42753</v>
      </c>
      <c r="B2967">
        <v>59.514600000000002</v>
      </c>
      <c r="C2967">
        <f t="shared" si="49"/>
        <v>2017</v>
      </c>
    </row>
    <row r="2968" spans="1:3" x14ac:dyDescent="0.2">
      <c r="A2968" s="3">
        <v>42752</v>
      </c>
      <c r="B2968">
        <v>59.406999999999996</v>
      </c>
      <c r="C2968">
        <f t="shared" si="49"/>
        <v>2017</v>
      </c>
    </row>
    <row r="2969" spans="1:3" x14ac:dyDescent="0.2">
      <c r="A2969" s="3">
        <v>42751</v>
      </c>
      <c r="B2969">
        <v>59.877800000000001</v>
      </c>
      <c r="C2969">
        <f t="shared" si="49"/>
        <v>2017</v>
      </c>
    </row>
    <row r="2970" spans="1:3" x14ac:dyDescent="0.2">
      <c r="A2970" s="3">
        <v>42750</v>
      </c>
      <c r="B2970">
        <v>59.675600000000003</v>
      </c>
      <c r="C2970">
        <f t="shared" si="49"/>
        <v>2017</v>
      </c>
    </row>
    <row r="2971" spans="1:3" x14ac:dyDescent="0.2">
      <c r="A2971" s="3">
        <v>42748</v>
      </c>
      <c r="B2971">
        <v>59.578200000000002</v>
      </c>
      <c r="C2971">
        <f t="shared" si="49"/>
        <v>2017</v>
      </c>
    </row>
    <row r="2972" spans="1:3" x14ac:dyDescent="0.2">
      <c r="A2972" s="3">
        <v>42747</v>
      </c>
      <c r="B2972">
        <v>59.3902</v>
      </c>
      <c r="C2972">
        <f t="shared" si="49"/>
        <v>2017</v>
      </c>
    </row>
    <row r="2973" spans="1:3" x14ac:dyDescent="0.2">
      <c r="A2973" s="3">
        <v>42746</v>
      </c>
      <c r="B2973">
        <v>59.770299999999999</v>
      </c>
      <c r="C2973">
        <f t="shared" si="49"/>
        <v>2017</v>
      </c>
    </row>
    <row r="2974" spans="1:3" x14ac:dyDescent="0.2">
      <c r="A2974" s="3">
        <v>42745</v>
      </c>
      <c r="B2974">
        <v>60.155999999999999</v>
      </c>
      <c r="C2974">
        <f t="shared" si="49"/>
        <v>2017</v>
      </c>
    </row>
    <row r="2975" spans="1:3" x14ac:dyDescent="0.2">
      <c r="A2975" s="3">
        <v>42744</v>
      </c>
      <c r="B2975">
        <v>60.139699999999998</v>
      </c>
      <c r="C2975">
        <f t="shared" si="49"/>
        <v>2017</v>
      </c>
    </row>
    <row r="2976" spans="1:3" x14ac:dyDescent="0.2">
      <c r="A2976" s="3">
        <v>42741</v>
      </c>
      <c r="B2976">
        <v>59.624099999999999</v>
      </c>
      <c r="C2976">
        <f t="shared" si="49"/>
        <v>2017</v>
      </c>
    </row>
    <row r="2977" spans="1:3" x14ac:dyDescent="0.2">
      <c r="A2977" s="3">
        <v>42740</v>
      </c>
      <c r="B2977">
        <v>59.344799999999999</v>
      </c>
      <c r="C2977">
        <f t="shared" si="49"/>
        <v>2017</v>
      </c>
    </row>
    <row r="2978" spans="1:3" x14ac:dyDescent="0.2">
      <c r="A2978" s="3">
        <v>42739</v>
      </c>
      <c r="B2978">
        <v>60.371299999999998</v>
      </c>
      <c r="C2978">
        <f t="shared" si="49"/>
        <v>2017</v>
      </c>
    </row>
    <row r="2979" spans="1:3" x14ac:dyDescent="0.2">
      <c r="A2979" s="3">
        <v>42738</v>
      </c>
      <c r="B2979">
        <v>60.916499999999999</v>
      </c>
      <c r="C2979">
        <f t="shared" si="49"/>
        <v>2017</v>
      </c>
    </row>
    <row r="2980" spans="1:3" x14ac:dyDescent="0.2">
      <c r="A2980" s="3">
        <v>42737</v>
      </c>
      <c r="B2980">
        <v>61.149900000000002</v>
      </c>
      <c r="C2980">
        <f t="shared" si="49"/>
        <v>2017</v>
      </c>
    </row>
    <row r="2981" spans="1:3" x14ac:dyDescent="0.2">
      <c r="A2981" s="3">
        <v>42734</v>
      </c>
      <c r="B2981">
        <v>61.537500000000001</v>
      </c>
      <c r="C2981">
        <f t="shared" si="49"/>
        <v>2016</v>
      </c>
    </row>
    <row r="2982" spans="1:3" x14ac:dyDescent="0.2">
      <c r="A2982" s="3">
        <v>42733</v>
      </c>
      <c r="B2982">
        <v>60.2258</v>
      </c>
      <c r="C2982">
        <f t="shared" si="49"/>
        <v>2016</v>
      </c>
    </row>
    <row r="2983" spans="1:3" x14ac:dyDescent="0.2">
      <c r="A2983" s="3">
        <v>42732</v>
      </c>
      <c r="B2983">
        <v>60.484299999999998</v>
      </c>
      <c r="C2983">
        <f t="shared" si="49"/>
        <v>2016</v>
      </c>
    </row>
    <row r="2984" spans="1:3" x14ac:dyDescent="0.2">
      <c r="A2984" s="3">
        <v>42731</v>
      </c>
      <c r="B2984">
        <v>60.655000000000001</v>
      </c>
      <c r="C2984">
        <f t="shared" si="49"/>
        <v>2016</v>
      </c>
    </row>
    <row r="2985" spans="1:3" x14ac:dyDescent="0.2">
      <c r="A2985" s="3">
        <v>42730</v>
      </c>
      <c r="B2985">
        <v>60.978999999999999</v>
      </c>
      <c r="C2985">
        <f t="shared" si="49"/>
        <v>2016</v>
      </c>
    </row>
    <row r="2986" spans="1:3" x14ac:dyDescent="0.2">
      <c r="A2986" s="3">
        <v>42729</v>
      </c>
      <c r="B2986">
        <v>61.104100000000003</v>
      </c>
      <c r="C2986">
        <f t="shared" si="49"/>
        <v>2016</v>
      </c>
    </row>
    <row r="2987" spans="1:3" x14ac:dyDescent="0.2">
      <c r="A2987" s="3">
        <v>42727</v>
      </c>
      <c r="B2987">
        <v>61.3855</v>
      </c>
      <c r="C2987">
        <f t="shared" si="49"/>
        <v>2016</v>
      </c>
    </row>
    <row r="2988" spans="1:3" x14ac:dyDescent="0.2">
      <c r="A2988" s="3">
        <v>42726</v>
      </c>
      <c r="B2988">
        <v>60.972000000000001</v>
      </c>
      <c r="C2988">
        <f t="shared" si="49"/>
        <v>2016</v>
      </c>
    </row>
    <row r="2989" spans="1:3" x14ac:dyDescent="0.2">
      <c r="A2989" s="3">
        <v>42725</v>
      </c>
      <c r="B2989">
        <v>61.2164</v>
      </c>
      <c r="C2989">
        <f t="shared" si="49"/>
        <v>2016</v>
      </c>
    </row>
    <row r="2990" spans="1:3" x14ac:dyDescent="0.2">
      <c r="A2990" s="3">
        <v>42724</v>
      </c>
      <c r="B2990">
        <v>61.444499999999998</v>
      </c>
      <c r="C2990">
        <f t="shared" si="49"/>
        <v>2016</v>
      </c>
    </row>
    <row r="2991" spans="1:3" x14ac:dyDescent="0.2">
      <c r="A2991" s="3">
        <v>42723</v>
      </c>
      <c r="B2991">
        <v>61.905700000000003</v>
      </c>
      <c r="C2991">
        <f t="shared" si="49"/>
        <v>2016</v>
      </c>
    </row>
    <row r="2992" spans="1:3" x14ac:dyDescent="0.2">
      <c r="A2992" s="3">
        <v>42722</v>
      </c>
      <c r="B2992">
        <v>62.076099999999997</v>
      </c>
      <c r="C2992">
        <f t="shared" si="49"/>
        <v>2016</v>
      </c>
    </row>
    <row r="2993" spans="1:3" x14ac:dyDescent="0.2">
      <c r="A2993" s="3">
        <v>42720</v>
      </c>
      <c r="B2993">
        <v>62.064999999999998</v>
      </c>
      <c r="C2993">
        <f t="shared" si="49"/>
        <v>2016</v>
      </c>
    </row>
    <row r="2994" spans="1:3" x14ac:dyDescent="0.2">
      <c r="A2994" s="3">
        <v>42719</v>
      </c>
      <c r="B2994">
        <v>61.793500000000002</v>
      </c>
      <c r="C2994">
        <f t="shared" si="49"/>
        <v>2016</v>
      </c>
    </row>
    <row r="2995" spans="1:3" x14ac:dyDescent="0.2">
      <c r="A2995" s="3">
        <v>42718</v>
      </c>
      <c r="B2995">
        <v>62.133600000000001</v>
      </c>
      <c r="C2995">
        <f t="shared" si="49"/>
        <v>2016</v>
      </c>
    </row>
    <row r="2996" spans="1:3" x14ac:dyDescent="0.2">
      <c r="A2996" s="3">
        <v>42717</v>
      </c>
      <c r="B2996">
        <v>60.660400000000003</v>
      </c>
      <c r="C2996">
        <f t="shared" si="49"/>
        <v>2016</v>
      </c>
    </row>
    <row r="2997" spans="1:3" x14ac:dyDescent="0.2">
      <c r="A2997" s="3">
        <v>42716</v>
      </c>
      <c r="B2997">
        <v>61.014499999999998</v>
      </c>
      <c r="C2997">
        <f t="shared" si="49"/>
        <v>2016</v>
      </c>
    </row>
    <row r="2998" spans="1:3" x14ac:dyDescent="0.2">
      <c r="A2998" s="3">
        <v>42715</v>
      </c>
      <c r="B2998">
        <v>62.403399999999998</v>
      </c>
      <c r="C2998">
        <f t="shared" si="49"/>
        <v>2016</v>
      </c>
    </row>
    <row r="2999" spans="1:3" x14ac:dyDescent="0.2">
      <c r="A2999" s="3">
        <v>42713</v>
      </c>
      <c r="B2999">
        <v>62.4636</v>
      </c>
      <c r="C2999">
        <f t="shared" si="49"/>
        <v>2016</v>
      </c>
    </row>
    <row r="3000" spans="1:3" x14ac:dyDescent="0.2">
      <c r="A3000" s="3">
        <v>42712</v>
      </c>
      <c r="B3000">
        <v>63.319000000000003</v>
      </c>
      <c r="C3000">
        <f t="shared" si="49"/>
        <v>2016</v>
      </c>
    </row>
    <row r="3001" spans="1:3" x14ac:dyDescent="0.2">
      <c r="A3001" s="3">
        <v>42711</v>
      </c>
      <c r="B3001">
        <v>63.254899999999999</v>
      </c>
      <c r="C3001">
        <f t="shared" si="49"/>
        <v>2016</v>
      </c>
    </row>
    <row r="3002" spans="1:3" x14ac:dyDescent="0.2">
      <c r="A3002" s="3">
        <v>42710</v>
      </c>
      <c r="B3002">
        <v>63.858699999999999</v>
      </c>
      <c r="C3002">
        <f t="shared" si="49"/>
        <v>2016</v>
      </c>
    </row>
    <row r="3003" spans="1:3" x14ac:dyDescent="0.2">
      <c r="A3003" s="3">
        <v>42709</v>
      </c>
      <c r="B3003">
        <v>63.816000000000003</v>
      </c>
      <c r="C3003">
        <f t="shared" si="49"/>
        <v>2016</v>
      </c>
    </row>
    <row r="3004" spans="1:3" x14ac:dyDescent="0.2">
      <c r="A3004" s="3">
        <v>42706</v>
      </c>
      <c r="B3004">
        <v>63.793700000000001</v>
      </c>
      <c r="C3004">
        <f t="shared" si="49"/>
        <v>2016</v>
      </c>
    </row>
    <row r="3005" spans="1:3" x14ac:dyDescent="0.2">
      <c r="A3005" s="3">
        <v>42705</v>
      </c>
      <c r="B3005">
        <v>63.972099999999998</v>
      </c>
      <c r="C3005">
        <f t="shared" si="49"/>
        <v>2016</v>
      </c>
    </row>
    <row r="3006" spans="1:3" x14ac:dyDescent="0.2">
      <c r="A3006" s="3">
        <v>42704</v>
      </c>
      <c r="B3006">
        <v>64.106800000000007</v>
      </c>
      <c r="C3006">
        <f t="shared" si="49"/>
        <v>2016</v>
      </c>
    </row>
    <row r="3007" spans="1:3" x14ac:dyDescent="0.2">
      <c r="A3007" s="3">
        <v>42703</v>
      </c>
      <c r="B3007">
        <v>65.105699999999999</v>
      </c>
      <c r="C3007">
        <f t="shared" si="49"/>
        <v>2016</v>
      </c>
    </row>
    <row r="3008" spans="1:3" x14ac:dyDescent="0.2">
      <c r="A3008" s="3">
        <v>42702</v>
      </c>
      <c r="B3008">
        <v>64.871700000000004</v>
      </c>
      <c r="C3008">
        <f t="shared" si="49"/>
        <v>2016</v>
      </c>
    </row>
    <row r="3009" spans="1:3" x14ac:dyDescent="0.2">
      <c r="A3009" s="3">
        <v>42701</v>
      </c>
      <c r="B3009">
        <v>64.813900000000004</v>
      </c>
      <c r="C3009">
        <f t="shared" si="49"/>
        <v>2016</v>
      </c>
    </row>
    <row r="3010" spans="1:3" x14ac:dyDescent="0.2">
      <c r="A3010" s="3">
        <v>42699</v>
      </c>
      <c r="B3010">
        <v>64.828500000000005</v>
      </c>
      <c r="C3010">
        <f t="shared" si="49"/>
        <v>2016</v>
      </c>
    </row>
    <row r="3011" spans="1:3" x14ac:dyDescent="0.2">
      <c r="A3011" s="3">
        <v>42698</v>
      </c>
      <c r="B3011">
        <v>64.491600000000005</v>
      </c>
      <c r="C3011">
        <f t="shared" si="49"/>
        <v>2016</v>
      </c>
    </row>
    <row r="3012" spans="1:3" x14ac:dyDescent="0.2">
      <c r="A3012" s="3">
        <v>42697</v>
      </c>
      <c r="B3012">
        <v>64.265100000000004</v>
      </c>
      <c r="C3012">
        <f t="shared" ref="C3012:C3075" si="50">YEAR(A3012)</f>
        <v>2016</v>
      </c>
    </row>
    <row r="3013" spans="1:3" x14ac:dyDescent="0.2">
      <c r="A3013" s="3">
        <v>42696</v>
      </c>
      <c r="B3013">
        <v>63.701900000000002</v>
      </c>
      <c r="C3013">
        <f t="shared" si="50"/>
        <v>2016</v>
      </c>
    </row>
    <row r="3014" spans="1:3" x14ac:dyDescent="0.2">
      <c r="A3014" s="3">
        <v>42695</v>
      </c>
      <c r="B3014">
        <v>63.976199999999999</v>
      </c>
      <c r="C3014">
        <f t="shared" si="50"/>
        <v>2016</v>
      </c>
    </row>
    <row r="3015" spans="1:3" x14ac:dyDescent="0.2">
      <c r="A3015" s="3">
        <v>42694</v>
      </c>
      <c r="B3015">
        <v>64.682000000000002</v>
      </c>
      <c r="C3015">
        <f t="shared" si="50"/>
        <v>2016</v>
      </c>
    </row>
    <row r="3016" spans="1:3" x14ac:dyDescent="0.2">
      <c r="A3016" s="3">
        <v>42692</v>
      </c>
      <c r="B3016">
        <v>64.979100000000003</v>
      </c>
      <c r="C3016">
        <f t="shared" si="50"/>
        <v>2016</v>
      </c>
    </row>
    <row r="3017" spans="1:3" x14ac:dyDescent="0.2">
      <c r="A3017" s="3">
        <v>42691</v>
      </c>
      <c r="B3017">
        <v>64.874300000000005</v>
      </c>
      <c r="C3017">
        <f t="shared" si="50"/>
        <v>2016</v>
      </c>
    </row>
    <row r="3018" spans="1:3" x14ac:dyDescent="0.2">
      <c r="A3018" s="3">
        <v>42690</v>
      </c>
      <c r="B3018">
        <v>64.746899999999997</v>
      </c>
      <c r="C3018">
        <f t="shared" si="50"/>
        <v>2016</v>
      </c>
    </row>
    <row r="3019" spans="1:3" x14ac:dyDescent="0.2">
      <c r="A3019" s="3">
        <v>42689</v>
      </c>
      <c r="B3019">
        <v>64.359899999999996</v>
      </c>
      <c r="C3019">
        <f t="shared" si="50"/>
        <v>2016</v>
      </c>
    </row>
    <row r="3020" spans="1:3" x14ac:dyDescent="0.2">
      <c r="A3020" s="3">
        <v>42688</v>
      </c>
      <c r="B3020">
        <v>66</v>
      </c>
      <c r="C3020">
        <f t="shared" si="50"/>
        <v>2016</v>
      </c>
    </row>
    <row r="3021" spans="1:3" x14ac:dyDescent="0.2">
      <c r="A3021" s="3">
        <v>42687</v>
      </c>
      <c r="B3021">
        <v>65.751300000000001</v>
      </c>
      <c r="C3021">
        <f t="shared" si="50"/>
        <v>2016</v>
      </c>
    </row>
    <row r="3022" spans="1:3" x14ac:dyDescent="0.2">
      <c r="A3022" s="3">
        <v>42685</v>
      </c>
      <c r="B3022">
        <v>65.836799999999997</v>
      </c>
      <c r="C3022">
        <f t="shared" si="50"/>
        <v>2016</v>
      </c>
    </row>
    <row r="3023" spans="1:3" x14ac:dyDescent="0.2">
      <c r="A3023" s="3">
        <v>42684</v>
      </c>
      <c r="B3023">
        <v>65.692499999999995</v>
      </c>
      <c r="C3023">
        <f t="shared" si="50"/>
        <v>2016</v>
      </c>
    </row>
    <row r="3024" spans="1:3" x14ac:dyDescent="0.2">
      <c r="A3024" s="3">
        <v>42683</v>
      </c>
      <c r="B3024">
        <v>63.811700000000002</v>
      </c>
      <c r="C3024">
        <f t="shared" si="50"/>
        <v>2016</v>
      </c>
    </row>
    <row r="3025" spans="1:3" x14ac:dyDescent="0.2">
      <c r="A3025" s="3">
        <v>42682</v>
      </c>
      <c r="B3025">
        <v>63.811399999999999</v>
      </c>
      <c r="C3025">
        <f t="shared" si="50"/>
        <v>2016</v>
      </c>
    </row>
    <row r="3026" spans="1:3" x14ac:dyDescent="0.2">
      <c r="A3026" s="3">
        <v>42681</v>
      </c>
      <c r="B3026">
        <v>63.646599999999999</v>
      </c>
      <c r="C3026">
        <f t="shared" si="50"/>
        <v>2016</v>
      </c>
    </row>
    <row r="3027" spans="1:3" x14ac:dyDescent="0.2">
      <c r="A3027" s="3">
        <v>42680</v>
      </c>
      <c r="B3027">
        <v>64.452299999999994</v>
      </c>
      <c r="C3027">
        <f t="shared" si="50"/>
        <v>2016</v>
      </c>
    </row>
    <row r="3028" spans="1:3" x14ac:dyDescent="0.2">
      <c r="A3028" s="3">
        <v>42678</v>
      </c>
      <c r="B3028">
        <v>64.447100000000006</v>
      </c>
      <c r="C3028">
        <f t="shared" si="50"/>
        <v>2016</v>
      </c>
    </row>
    <row r="3029" spans="1:3" x14ac:dyDescent="0.2">
      <c r="A3029" s="3">
        <v>42677</v>
      </c>
      <c r="B3029">
        <v>63.613500000000002</v>
      </c>
      <c r="C3029">
        <f t="shared" si="50"/>
        <v>2016</v>
      </c>
    </row>
    <row r="3030" spans="1:3" x14ac:dyDescent="0.2">
      <c r="A3030" s="3">
        <v>42676</v>
      </c>
      <c r="B3030">
        <v>63.508000000000003</v>
      </c>
      <c r="C3030">
        <f t="shared" si="50"/>
        <v>2016</v>
      </c>
    </row>
    <row r="3031" spans="1:3" x14ac:dyDescent="0.2">
      <c r="A3031" s="3">
        <v>42675</v>
      </c>
      <c r="B3031">
        <v>63.304699999999997</v>
      </c>
      <c r="C3031">
        <f t="shared" si="50"/>
        <v>2016</v>
      </c>
    </row>
    <row r="3032" spans="1:3" x14ac:dyDescent="0.2">
      <c r="A3032" s="3">
        <v>42674</v>
      </c>
      <c r="B3032">
        <v>63.392299999999999</v>
      </c>
      <c r="C3032">
        <f t="shared" si="50"/>
        <v>2016</v>
      </c>
    </row>
    <row r="3033" spans="1:3" x14ac:dyDescent="0.2">
      <c r="A3033" s="3">
        <v>42671</v>
      </c>
      <c r="B3033">
        <v>62.902999999999999</v>
      </c>
      <c r="C3033">
        <f t="shared" si="50"/>
        <v>2016</v>
      </c>
    </row>
    <row r="3034" spans="1:3" x14ac:dyDescent="0.2">
      <c r="A3034" s="3">
        <v>42670</v>
      </c>
      <c r="B3034">
        <v>62.725000000000001</v>
      </c>
      <c r="C3034">
        <f t="shared" si="50"/>
        <v>2016</v>
      </c>
    </row>
    <row r="3035" spans="1:3" x14ac:dyDescent="0.2">
      <c r="A3035" s="3">
        <v>42669</v>
      </c>
      <c r="B3035">
        <v>62.822299999999998</v>
      </c>
      <c r="C3035">
        <f t="shared" si="50"/>
        <v>2016</v>
      </c>
    </row>
    <row r="3036" spans="1:3" x14ac:dyDescent="0.2">
      <c r="A3036" s="3">
        <v>42668</v>
      </c>
      <c r="B3036">
        <v>62.1126</v>
      </c>
      <c r="C3036">
        <f t="shared" si="50"/>
        <v>2016</v>
      </c>
    </row>
    <row r="3037" spans="1:3" x14ac:dyDescent="0.2">
      <c r="A3037" s="3">
        <v>42667</v>
      </c>
      <c r="B3037">
        <v>62.226999999999997</v>
      </c>
      <c r="C3037">
        <f t="shared" si="50"/>
        <v>2016</v>
      </c>
    </row>
    <row r="3038" spans="1:3" x14ac:dyDescent="0.2">
      <c r="A3038" s="3">
        <v>42664</v>
      </c>
      <c r="B3038">
        <v>62.372999999999998</v>
      </c>
      <c r="C3038">
        <f t="shared" si="50"/>
        <v>2016</v>
      </c>
    </row>
    <row r="3039" spans="1:3" x14ac:dyDescent="0.2">
      <c r="A3039" s="3">
        <v>42663</v>
      </c>
      <c r="B3039">
        <v>62.433999999999997</v>
      </c>
      <c r="C3039">
        <f t="shared" si="50"/>
        <v>2016</v>
      </c>
    </row>
    <row r="3040" spans="1:3" x14ac:dyDescent="0.2">
      <c r="A3040" s="3">
        <v>42662</v>
      </c>
      <c r="B3040">
        <v>62.261000000000003</v>
      </c>
      <c r="C3040">
        <f t="shared" si="50"/>
        <v>2016</v>
      </c>
    </row>
    <row r="3041" spans="1:3" x14ac:dyDescent="0.2">
      <c r="A3041" s="3">
        <v>42661</v>
      </c>
      <c r="B3041">
        <v>62.5364</v>
      </c>
      <c r="C3041">
        <f t="shared" si="50"/>
        <v>2016</v>
      </c>
    </row>
    <row r="3042" spans="1:3" x14ac:dyDescent="0.2">
      <c r="A3042" s="3">
        <v>42660</v>
      </c>
      <c r="B3042">
        <v>63.1252</v>
      </c>
      <c r="C3042">
        <f t="shared" si="50"/>
        <v>2016</v>
      </c>
    </row>
    <row r="3043" spans="1:3" x14ac:dyDescent="0.2">
      <c r="A3043" s="3">
        <v>42657</v>
      </c>
      <c r="B3043">
        <v>62.957299999999996</v>
      </c>
      <c r="C3043">
        <f t="shared" si="50"/>
        <v>2016</v>
      </c>
    </row>
    <row r="3044" spans="1:3" x14ac:dyDescent="0.2">
      <c r="A3044" s="3">
        <v>42656</v>
      </c>
      <c r="B3044">
        <v>63.021700000000003</v>
      </c>
      <c r="C3044">
        <f t="shared" si="50"/>
        <v>2016</v>
      </c>
    </row>
    <row r="3045" spans="1:3" x14ac:dyDescent="0.2">
      <c r="A3045" s="3">
        <v>42655</v>
      </c>
      <c r="B3045">
        <v>63.1434</v>
      </c>
      <c r="C3045">
        <f t="shared" si="50"/>
        <v>2016</v>
      </c>
    </row>
    <row r="3046" spans="1:3" x14ac:dyDescent="0.2">
      <c r="A3046" s="3">
        <v>42654</v>
      </c>
      <c r="B3046">
        <v>62.69</v>
      </c>
      <c r="C3046">
        <f t="shared" si="50"/>
        <v>2016</v>
      </c>
    </row>
    <row r="3047" spans="1:3" x14ac:dyDescent="0.2">
      <c r="A3047" s="3">
        <v>42653</v>
      </c>
      <c r="B3047">
        <v>61.922899999999998</v>
      </c>
      <c r="C3047">
        <f t="shared" si="50"/>
        <v>2016</v>
      </c>
    </row>
    <row r="3048" spans="1:3" x14ac:dyDescent="0.2">
      <c r="A3048" s="3">
        <v>42650</v>
      </c>
      <c r="B3048">
        <v>62.316000000000003</v>
      </c>
      <c r="C3048">
        <f t="shared" si="50"/>
        <v>2016</v>
      </c>
    </row>
    <row r="3049" spans="1:3" x14ac:dyDescent="0.2">
      <c r="A3049" s="3">
        <v>42649</v>
      </c>
      <c r="B3049">
        <v>62.080500000000001</v>
      </c>
      <c r="C3049">
        <f t="shared" si="50"/>
        <v>2016</v>
      </c>
    </row>
    <row r="3050" spans="1:3" x14ac:dyDescent="0.2">
      <c r="A3050" s="3">
        <v>42648</v>
      </c>
      <c r="B3050">
        <v>62.321399999999997</v>
      </c>
      <c r="C3050">
        <f t="shared" si="50"/>
        <v>2016</v>
      </c>
    </row>
    <row r="3051" spans="1:3" x14ac:dyDescent="0.2">
      <c r="A3051" s="3">
        <v>42647</v>
      </c>
      <c r="B3051">
        <v>62.7361</v>
      </c>
      <c r="C3051">
        <f t="shared" si="50"/>
        <v>2016</v>
      </c>
    </row>
    <row r="3052" spans="1:3" x14ac:dyDescent="0.2">
      <c r="A3052" s="3">
        <v>42646</v>
      </c>
      <c r="B3052">
        <v>62.337200000000003</v>
      </c>
      <c r="C3052">
        <f t="shared" si="50"/>
        <v>2016</v>
      </c>
    </row>
    <row r="3053" spans="1:3" x14ac:dyDescent="0.2">
      <c r="A3053" s="3">
        <v>42643</v>
      </c>
      <c r="B3053">
        <v>62.878999999999998</v>
      </c>
      <c r="C3053">
        <f t="shared" si="50"/>
        <v>2016</v>
      </c>
    </row>
    <row r="3054" spans="1:3" x14ac:dyDescent="0.2">
      <c r="A3054" s="3">
        <v>42642</v>
      </c>
      <c r="B3054">
        <v>63.0822</v>
      </c>
      <c r="C3054">
        <f t="shared" si="50"/>
        <v>2016</v>
      </c>
    </row>
    <row r="3055" spans="1:3" x14ac:dyDescent="0.2">
      <c r="A3055" s="3">
        <v>42641</v>
      </c>
      <c r="B3055">
        <v>63.08</v>
      </c>
      <c r="C3055">
        <f t="shared" si="50"/>
        <v>2016</v>
      </c>
    </row>
    <row r="3056" spans="1:3" x14ac:dyDescent="0.2">
      <c r="A3056" s="3">
        <v>42640</v>
      </c>
      <c r="B3056">
        <v>63.663699999999999</v>
      </c>
      <c r="C3056">
        <f t="shared" si="50"/>
        <v>2016</v>
      </c>
    </row>
    <row r="3057" spans="1:3" x14ac:dyDescent="0.2">
      <c r="A3057" s="3">
        <v>42639</v>
      </c>
      <c r="B3057">
        <v>63.966299999999997</v>
      </c>
      <c r="C3057">
        <f t="shared" si="50"/>
        <v>2016</v>
      </c>
    </row>
    <row r="3058" spans="1:3" x14ac:dyDescent="0.2">
      <c r="A3058" s="3">
        <v>42636</v>
      </c>
      <c r="B3058">
        <v>64.079599999999999</v>
      </c>
      <c r="C3058">
        <f t="shared" si="50"/>
        <v>2016</v>
      </c>
    </row>
    <row r="3059" spans="1:3" x14ac:dyDescent="0.2">
      <c r="A3059" s="3">
        <v>42635</v>
      </c>
      <c r="B3059">
        <v>63.64</v>
      </c>
      <c r="C3059">
        <f t="shared" si="50"/>
        <v>2016</v>
      </c>
    </row>
    <row r="3060" spans="1:3" x14ac:dyDescent="0.2">
      <c r="A3060" s="3">
        <v>42634</v>
      </c>
      <c r="B3060">
        <v>63.929900000000004</v>
      </c>
      <c r="C3060">
        <f t="shared" si="50"/>
        <v>2016</v>
      </c>
    </row>
    <row r="3061" spans="1:3" x14ac:dyDescent="0.2">
      <c r="A3061" s="3">
        <v>42633</v>
      </c>
      <c r="B3061">
        <v>64.790499999999994</v>
      </c>
      <c r="C3061">
        <f t="shared" si="50"/>
        <v>2016</v>
      </c>
    </row>
    <row r="3062" spans="1:3" x14ac:dyDescent="0.2">
      <c r="A3062" s="3">
        <v>42632</v>
      </c>
      <c r="B3062">
        <v>64.638000000000005</v>
      </c>
      <c r="C3062">
        <f t="shared" si="50"/>
        <v>2016</v>
      </c>
    </row>
    <row r="3063" spans="1:3" x14ac:dyDescent="0.2">
      <c r="A3063" s="3">
        <v>42629</v>
      </c>
      <c r="B3063">
        <v>65.284999999999997</v>
      </c>
      <c r="C3063">
        <f t="shared" si="50"/>
        <v>2016</v>
      </c>
    </row>
    <row r="3064" spans="1:3" x14ac:dyDescent="0.2">
      <c r="A3064" s="3">
        <v>42628</v>
      </c>
      <c r="B3064">
        <v>64.734800000000007</v>
      </c>
      <c r="C3064">
        <f t="shared" si="50"/>
        <v>2016</v>
      </c>
    </row>
    <row r="3065" spans="1:3" x14ac:dyDescent="0.2">
      <c r="A3065" s="3">
        <v>42627</v>
      </c>
      <c r="B3065">
        <v>65.158699999999996</v>
      </c>
      <c r="C3065">
        <f t="shared" si="50"/>
        <v>2016</v>
      </c>
    </row>
    <row r="3066" spans="1:3" x14ac:dyDescent="0.2">
      <c r="A3066" s="3">
        <v>42626</v>
      </c>
      <c r="B3066">
        <v>65.313800000000001</v>
      </c>
      <c r="C3066">
        <f t="shared" si="50"/>
        <v>2016</v>
      </c>
    </row>
    <row r="3067" spans="1:3" x14ac:dyDescent="0.2">
      <c r="A3067" s="3">
        <v>42625</v>
      </c>
      <c r="B3067">
        <v>64.603499999999997</v>
      </c>
      <c r="C3067">
        <f t="shared" si="50"/>
        <v>2016</v>
      </c>
    </row>
    <row r="3068" spans="1:3" x14ac:dyDescent="0.2">
      <c r="A3068" s="3">
        <v>42624</v>
      </c>
      <c r="B3068">
        <v>64.587699999999998</v>
      </c>
      <c r="C3068">
        <f t="shared" si="50"/>
        <v>2016</v>
      </c>
    </row>
    <row r="3069" spans="1:3" x14ac:dyDescent="0.2">
      <c r="A3069" s="3">
        <v>42622</v>
      </c>
      <c r="B3069">
        <v>64.831000000000003</v>
      </c>
      <c r="C3069">
        <f t="shared" si="50"/>
        <v>2016</v>
      </c>
    </row>
    <row r="3070" spans="1:3" x14ac:dyDescent="0.2">
      <c r="A3070" s="3">
        <v>42621</v>
      </c>
      <c r="B3070">
        <v>64.025400000000005</v>
      </c>
      <c r="C3070">
        <f t="shared" si="50"/>
        <v>2016</v>
      </c>
    </row>
    <row r="3071" spans="1:3" x14ac:dyDescent="0.2">
      <c r="A3071" s="3">
        <v>42620</v>
      </c>
      <c r="B3071">
        <v>64.203000000000003</v>
      </c>
      <c r="C3071">
        <f t="shared" si="50"/>
        <v>2016</v>
      </c>
    </row>
    <row r="3072" spans="1:3" x14ac:dyDescent="0.2">
      <c r="A3072" s="3">
        <v>42619</v>
      </c>
      <c r="B3072">
        <v>64.540300000000002</v>
      </c>
      <c r="C3072">
        <f t="shared" si="50"/>
        <v>2016</v>
      </c>
    </row>
    <row r="3073" spans="1:3" x14ac:dyDescent="0.2">
      <c r="A3073" s="3">
        <v>42618</v>
      </c>
      <c r="B3073">
        <v>64.938500000000005</v>
      </c>
      <c r="C3073">
        <f t="shared" si="50"/>
        <v>2016</v>
      </c>
    </row>
    <row r="3074" spans="1:3" x14ac:dyDescent="0.2">
      <c r="A3074" s="3">
        <v>42615</v>
      </c>
      <c r="B3074">
        <v>65.157700000000006</v>
      </c>
      <c r="C3074">
        <f t="shared" si="50"/>
        <v>2016</v>
      </c>
    </row>
    <row r="3075" spans="1:3" x14ac:dyDescent="0.2">
      <c r="A3075" s="3">
        <v>42614</v>
      </c>
      <c r="B3075">
        <v>66.019499999999994</v>
      </c>
      <c r="C3075">
        <f t="shared" si="50"/>
        <v>2016</v>
      </c>
    </row>
    <row r="3076" spans="1:3" x14ac:dyDescent="0.2">
      <c r="A3076" s="3">
        <v>42613</v>
      </c>
      <c r="B3076">
        <v>65.395899999999997</v>
      </c>
      <c r="C3076">
        <f t="shared" ref="C3076:C3139" si="51">YEAR(A3076)</f>
        <v>2016</v>
      </c>
    </row>
    <row r="3077" spans="1:3" x14ac:dyDescent="0.2">
      <c r="A3077" s="3">
        <v>42612</v>
      </c>
      <c r="B3077">
        <v>65.397000000000006</v>
      </c>
      <c r="C3077">
        <f t="shared" si="51"/>
        <v>2016</v>
      </c>
    </row>
    <row r="3078" spans="1:3" x14ac:dyDescent="0.2">
      <c r="A3078" s="3">
        <v>42611</v>
      </c>
      <c r="B3078">
        <v>64.734300000000005</v>
      </c>
      <c r="C3078">
        <f t="shared" si="51"/>
        <v>2016</v>
      </c>
    </row>
    <row r="3079" spans="1:3" x14ac:dyDescent="0.2">
      <c r="A3079" s="3">
        <v>42608</v>
      </c>
      <c r="B3079">
        <v>64.588200000000001</v>
      </c>
      <c r="C3079">
        <f t="shared" si="51"/>
        <v>2016</v>
      </c>
    </row>
    <row r="3080" spans="1:3" x14ac:dyDescent="0.2">
      <c r="A3080" s="3">
        <v>42607</v>
      </c>
      <c r="B3080">
        <v>65.042699999999996</v>
      </c>
      <c r="C3080">
        <f t="shared" si="51"/>
        <v>2016</v>
      </c>
    </row>
    <row r="3081" spans="1:3" x14ac:dyDescent="0.2">
      <c r="A3081" s="3">
        <v>42606</v>
      </c>
      <c r="B3081">
        <v>65.259</v>
      </c>
      <c r="C3081">
        <f t="shared" si="51"/>
        <v>2016</v>
      </c>
    </row>
    <row r="3082" spans="1:3" x14ac:dyDescent="0.2">
      <c r="A3082" s="3">
        <v>42605</v>
      </c>
      <c r="B3082">
        <v>64.614000000000004</v>
      </c>
      <c r="C3082">
        <f t="shared" si="51"/>
        <v>2016</v>
      </c>
    </row>
    <row r="3083" spans="1:3" x14ac:dyDescent="0.2">
      <c r="A3083" s="3">
        <v>42604</v>
      </c>
      <c r="B3083">
        <v>64.811199999999999</v>
      </c>
      <c r="C3083">
        <f t="shared" si="51"/>
        <v>2016</v>
      </c>
    </row>
    <row r="3084" spans="1:3" x14ac:dyDescent="0.2">
      <c r="A3084" s="3">
        <v>42601</v>
      </c>
      <c r="B3084">
        <v>63.897500000000001</v>
      </c>
      <c r="C3084">
        <f t="shared" si="51"/>
        <v>2016</v>
      </c>
    </row>
    <row r="3085" spans="1:3" x14ac:dyDescent="0.2">
      <c r="A3085" s="3">
        <v>42600</v>
      </c>
      <c r="B3085">
        <v>63.622599999999998</v>
      </c>
      <c r="C3085">
        <f t="shared" si="51"/>
        <v>2016</v>
      </c>
    </row>
    <row r="3086" spans="1:3" x14ac:dyDescent="0.2">
      <c r="A3086" s="3">
        <v>42599</v>
      </c>
      <c r="B3086">
        <v>64.155000000000001</v>
      </c>
      <c r="C3086">
        <f t="shared" si="51"/>
        <v>2016</v>
      </c>
    </row>
    <row r="3087" spans="1:3" x14ac:dyDescent="0.2">
      <c r="A3087" s="3">
        <v>42598</v>
      </c>
      <c r="B3087">
        <v>63.845300000000002</v>
      </c>
      <c r="C3087">
        <f t="shared" si="51"/>
        <v>2016</v>
      </c>
    </row>
    <row r="3088" spans="1:3" x14ac:dyDescent="0.2">
      <c r="A3088" s="3">
        <v>42597</v>
      </c>
      <c r="B3088">
        <v>64.042100000000005</v>
      </c>
      <c r="C3088">
        <f t="shared" si="51"/>
        <v>2016</v>
      </c>
    </row>
    <row r="3089" spans="1:3" x14ac:dyDescent="0.2">
      <c r="A3089" s="3">
        <v>42594</v>
      </c>
      <c r="B3089">
        <v>64.757599999999996</v>
      </c>
      <c r="C3089">
        <f t="shared" si="51"/>
        <v>2016</v>
      </c>
    </row>
    <row r="3090" spans="1:3" x14ac:dyDescent="0.2">
      <c r="A3090" s="3">
        <v>42593</v>
      </c>
      <c r="B3090">
        <v>64.346500000000006</v>
      </c>
      <c r="C3090">
        <f t="shared" si="51"/>
        <v>2016</v>
      </c>
    </row>
    <row r="3091" spans="1:3" x14ac:dyDescent="0.2">
      <c r="A3091" s="3">
        <v>42592</v>
      </c>
      <c r="B3091">
        <v>64.9251</v>
      </c>
      <c r="C3091">
        <f t="shared" si="51"/>
        <v>2016</v>
      </c>
    </row>
    <row r="3092" spans="1:3" x14ac:dyDescent="0.2">
      <c r="A3092" s="3">
        <v>42591</v>
      </c>
      <c r="B3092">
        <v>64.728700000000003</v>
      </c>
      <c r="C3092">
        <f t="shared" si="51"/>
        <v>2016</v>
      </c>
    </row>
    <row r="3093" spans="1:3" x14ac:dyDescent="0.2">
      <c r="A3093" s="3">
        <v>42590</v>
      </c>
      <c r="B3093">
        <v>64.617400000000004</v>
      </c>
      <c r="C3093">
        <f t="shared" si="51"/>
        <v>2016</v>
      </c>
    </row>
    <row r="3094" spans="1:3" x14ac:dyDescent="0.2">
      <c r="A3094" s="3">
        <v>42589</v>
      </c>
      <c r="B3094">
        <v>66.505300000000005</v>
      </c>
      <c r="C3094">
        <f t="shared" si="51"/>
        <v>2016</v>
      </c>
    </row>
    <row r="3095" spans="1:3" x14ac:dyDescent="0.2">
      <c r="A3095" s="3">
        <v>42587</v>
      </c>
      <c r="B3095">
        <v>65.468900000000005</v>
      </c>
      <c r="C3095">
        <f t="shared" si="51"/>
        <v>2016</v>
      </c>
    </row>
    <row r="3096" spans="1:3" x14ac:dyDescent="0.2">
      <c r="A3096" s="3">
        <v>42586</v>
      </c>
      <c r="B3096">
        <v>65.685299999999998</v>
      </c>
      <c r="C3096">
        <f t="shared" si="51"/>
        <v>2016</v>
      </c>
    </row>
    <row r="3097" spans="1:3" x14ac:dyDescent="0.2">
      <c r="A3097" s="3">
        <v>42585</v>
      </c>
      <c r="B3097">
        <v>66.234099999999998</v>
      </c>
      <c r="C3097">
        <f t="shared" si="51"/>
        <v>2016</v>
      </c>
    </row>
    <row r="3098" spans="1:3" x14ac:dyDescent="0.2">
      <c r="A3098" s="3">
        <v>42584</v>
      </c>
      <c r="B3098">
        <v>66.826899999999995</v>
      </c>
      <c r="C3098">
        <f t="shared" si="51"/>
        <v>2016</v>
      </c>
    </row>
    <row r="3099" spans="1:3" x14ac:dyDescent="0.2">
      <c r="A3099" s="3">
        <v>42583</v>
      </c>
      <c r="B3099">
        <v>66.984499999999997</v>
      </c>
      <c r="C3099">
        <f t="shared" si="51"/>
        <v>2016</v>
      </c>
    </row>
    <row r="3100" spans="1:3" x14ac:dyDescent="0.2">
      <c r="A3100" s="3">
        <v>42580</v>
      </c>
      <c r="B3100">
        <v>65.944500000000005</v>
      </c>
      <c r="C3100">
        <f t="shared" si="51"/>
        <v>2016</v>
      </c>
    </row>
    <row r="3101" spans="1:3" x14ac:dyDescent="0.2">
      <c r="A3101" s="3">
        <v>42579</v>
      </c>
      <c r="B3101">
        <v>66.903599999999997</v>
      </c>
      <c r="C3101">
        <f t="shared" si="51"/>
        <v>2016</v>
      </c>
    </row>
    <row r="3102" spans="1:3" x14ac:dyDescent="0.2">
      <c r="A3102" s="3">
        <v>42578</v>
      </c>
      <c r="B3102">
        <v>65.8</v>
      </c>
      <c r="C3102">
        <f t="shared" si="51"/>
        <v>2016</v>
      </c>
    </row>
    <row r="3103" spans="1:3" x14ac:dyDescent="0.2">
      <c r="A3103" s="3">
        <v>42577</v>
      </c>
      <c r="B3103">
        <v>65.922700000000006</v>
      </c>
      <c r="C3103">
        <f t="shared" si="51"/>
        <v>2016</v>
      </c>
    </row>
    <row r="3104" spans="1:3" x14ac:dyDescent="0.2">
      <c r="A3104" s="3">
        <v>42576</v>
      </c>
      <c r="B3104">
        <v>65.441400000000002</v>
      </c>
      <c r="C3104">
        <f t="shared" si="51"/>
        <v>2016</v>
      </c>
    </row>
    <row r="3105" spans="1:3" x14ac:dyDescent="0.2">
      <c r="A3105" s="3">
        <v>42575</v>
      </c>
      <c r="B3105">
        <v>64.796999999999997</v>
      </c>
      <c r="C3105">
        <f t="shared" si="51"/>
        <v>2016</v>
      </c>
    </row>
    <row r="3106" spans="1:3" x14ac:dyDescent="0.2">
      <c r="A3106" s="3">
        <v>42573</v>
      </c>
      <c r="B3106">
        <v>64.798400000000001</v>
      </c>
      <c r="C3106">
        <f t="shared" si="51"/>
        <v>2016</v>
      </c>
    </row>
    <row r="3107" spans="1:3" x14ac:dyDescent="0.2">
      <c r="A3107" s="3">
        <v>42572</v>
      </c>
      <c r="B3107">
        <v>64.319100000000006</v>
      </c>
      <c r="C3107">
        <f t="shared" si="51"/>
        <v>2016</v>
      </c>
    </row>
    <row r="3108" spans="1:3" x14ac:dyDescent="0.2">
      <c r="A3108" s="3">
        <v>42571</v>
      </c>
      <c r="B3108">
        <v>63.83</v>
      </c>
      <c r="C3108">
        <f t="shared" si="51"/>
        <v>2016</v>
      </c>
    </row>
    <row r="3109" spans="1:3" x14ac:dyDescent="0.2">
      <c r="A3109" s="3">
        <v>42570</v>
      </c>
      <c r="B3109">
        <v>63.507899999999999</v>
      </c>
      <c r="C3109">
        <f t="shared" si="51"/>
        <v>2016</v>
      </c>
    </row>
    <row r="3110" spans="1:3" x14ac:dyDescent="0.2">
      <c r="A3110" s="3">
        <v>42569</v>
      </c>
      <c r="B3110">
        <v>62.846800000000002</v>
      </c>
      <c r="C3110">
        <f t="shared" si="51"/>
        <v>2016</v>
      </c>
    </row>
    <row r="3111" spans="1:3" x14ac:dyDescent="0.2">
      <c r="A3111" s="3">
        <v>42568</v>
      </c>
      <c r="B3111">
        <v>63.5334</v>
      </c>
      <c r="C3111">
        <f t="shared" si="51"/>
        <v>2016</v>
      </c>
    </row>
    <row r="3112" spans="1:3" x14ac:dyDescent="0.2">
      <c r="A3112" s="3">
        <v>42566</v>
      </c>
      <c r="B3112">
        <v>63.685200000000002</v>
      </c>
      <c r="C3112">
        <f t="shared" si="51"/>
        <v>2016</v>
      </c>
    </row>
    <row r="3113" spans="1:3" x14ac:dyDescent="0.2">
      <c r="A3113" s="3">
        <v>42565</v>
      </c>
      <c r="B3113">
        <v>62.921500000000002</v>
      </c>
      <c r="C3113">
        <f t="shared" si="51"/>
        <v>2016</v>
      </c>
    </row>
    <row r="3114" spans="1:3" x14ac:dyDescent="0.2">
      <c r="A3114" s="3">
        <v>42564</v>
      </c>
      <c r="B3114">
        <v>63.944000000000003</v>
      </c>
      <c r="C3114">
        <f t="shared" si="51"/>
        <v>2016</v>
      </c>
    </row>
    <row r="3115" spans="1:3" x14ac:dyDescent="0.2">
      <c r="A3115" s="3">
        <v>42563</v>
      </c>
      <c r="B3115">
        <v>63.795000000000002</v>
      </c>
      <c r="C3115">
        <f t="shared" si="51"/>
        <v>2016</v>
      </c>
    </row>
    <row r="3116" spans="1:3" x14ac:dyDescent="0.2">
      <c r="A3116" s="3">
        <v>42562</v>
      </c>
      <c r="B3116">
        <v>64.244399999999999</v>
      </c>
      <c r="C3116">
        <f t="shared" si="51"/>
        <v>2016</v>
      </c>
    </row>
    <row r="3117" spans="1:3" x14ac:dyDescent="0.2">
      <c r="A3117" s="3">
        <v>42559</v>
      </c>
      <c r="B3117">
        <v>63.861499999999999</v>
      </c>
      <c r="C3117">
        <f t="shared" si="51"/>
        <v>2016</v>
      </c>
    </row>
    <row r="3118" spans="1:3" x14ac:dyDescent="0.2">
      <c r="A3118" s="3">
        <v>42558</v>
      </c>
      <c r="B3118">
        <v>64.599699999999999</v>
      </c>
      <c r="C3118">
        <f t="shared" si="51"/>
        <v>2016</v>
      </c>
    </row>
    <row r="3119" spans="1:3" x14ac:dyDescent="0.2">
      <c r="A3119" s="3">
        <v>42557</v>
      </c>
      <c r="B3119">
        <v>64.372500000000002</v>
      </c>
      <c r="C3119">
        <f t="shared" si="51"/>
        <v>2016</v>
      </c>
    </row>
    <row r="3120" spans="1:3" x14ac:dyDescent="0.2">
      <c r="A3120" s="3">
        <v>42556</v>
      </c>
      <c r="B3120">
        <v>64.409400000000005</v>
      </c>
      <c r="C3120">
        <f t="shared" si="51"/>
        <v>2016</v>
      </c>
    </row>
    <row r="3121" spans="1:3" x14ac:dyDescent="0.2">
      <c r="A3121" s="3">
        <v>42555</v>
      </c>
      <c r="B3121">
        <v>64.126499999999993</v>
      </c>
      <c r="C3121">
        <f t="shared" si="51"/>
        <v>2016</v>
      </c>
    </row>
    <row r="3122" spans="1:3" x14ac:dyDescent="0.2">
      <c r="A3122" s="3">
        <v>42552</v>
      </c>
      <c r="B3122">
        <v>63.7746</v>
      </c>
      <c r="C3122">
        <f t="shared" si="51"/>
        <v>2016</v>
      </c>
    </row>
    <row r="3123" spans="1:3" x14ac:dyDescent="0.2">
      <c r="A3123" s="3">
        <v>42551</v>
      </c>
      <c r="B3123">
        <v>63.8735</v>
      </c>
      <c r="C3123">
        <f t="shared" si="51"/>
        <v>2016</v>
      </c>
    </row>
    <row r="3124" spans="1:3" x14ac:dyDescent="0.2">
      <c r="A3124" s="3">
        <v>42550</v>
      </c>
      <c r="B3124">
        <v>63.718699999999998</v>
      </c>
      <c r="C3124">
        <f t="shared" si="51"/>
        <v>2016</v>
      </c>
    </row>
    <row r="3125" spans="1:3" x14ac:dyDescent="0.2">
      <c r="A3125" s="3">
        <v>42549</v>
      </c>
      <c r="B3125">
        <v>64.361400000000003</v>
      </c>
      <c r="C3125">
        <f t="shared" si="51"/>
        <v>2016</v>
      </c>
    </row>
    <row r="3126" spans="1:3" x14ac:dyDescent="0.2">
      <c r="A3126" s="3">
        <v>42548</v>
      </c>
      <c r="B3126">
        <v>65.533299999999997</v>
      </c>
      <c r="C3126">
        <f t="shared" si="51"/>
        <v>2016</v>
      </c>
    </row>
    <row r="3127" spans="1:3" x14ac:dyDescent="0.2">
      <c r="A3127" s="3">
        <v>42545</v>
      </c>
      <c r="B3127">
        <v>65.120599999999996</v>
      </c>
      <c r="C3127">
        <f t="shared" si="51"/>
        <v>2016</v>
      </c>
    </row>
    <row r="3128" spans="1:3" x14ac:dyDescent="0.2">
      <c r="A3128" s="3">
        <v>42544</v>
      </c>
      <c r="B3128">
        <v>63.661099999999998</v>
      </c>
      <c r="C3128">
        <f t="shared" si="51"/>
        <v>2016</v>
      </c>
    </row>
    <row r="3129" spans="1:3" x14ac:dyDescent="0.2">
      <c r="A3129" s="3">
        <v>42543</v>
      </c>
      <c r="B3129">
        <v>64.827799999999996</v>
      </c>
      <c r="C3129">
        <f t="shared" si="51"/>
        <v>2016</v>
      </c>
    </row>
    <row r="3130" spans="1:3" x14ac:dyDescent="0.2">
      <c r="A3130" s="3">
        <v>42542</v>
      </c>
      <c r="B3130">
        <v>63.909399999999998</v>
      </c>
      <c r="C3130">
        <f t="shared" si="51"/>
        <v>2016</v>
      </c>
    </row>
    <row r="3131" spans="1:3" x14ac:dyDescent="0.2">
      <c r="A3131" s="3">
        <v>42541</v>
      </c>
      <c r="B3131">
        <v>64.369200000000006</v>
      </c>
      <c r="C3131">
        <f t="shared" si="51"/>
        <v>2016</v>
      </c>
    </row>
    <row r="3132" spans="1:3" x14ac:dyDescent="0.2">
      <c r="A3132" s="3">
        <v>42538</v>
      </c>
      <c r="B3132">
        <v>64.754199999999997</v>
      </c>
      <c r="C3132">
        <f t="shared" si="51"/>
        <v>2016</v>
      </c>
    </row>
    <row r="3133" spans="1:3" x14ac:dyDescent="0.2">
      <c r="A3133" s="3">
        <v>42537</v>
      </c>
      <c r="B3133">
        <v>65.705200000000005</v>
      </c>
      <c r="C3133">
        <f t="shared" si="51"/>
        <v>2016</v>
      </c>
    </row>
    <row r="3134" spans="1:3" x14ac:dyDescent="0.2">
      <c r="A3134" s="3">
        <v>42536</v>
      </c>
      <c r="B3134">
        <v>65.53</v>
      </c>
      <c r="C3134">
        <f t="shared" si="51"/>
        <v>2016</v>
      </c>
    </row>
    <row r="3135" spans="1:3" x14ac:dyDescent="0.2">
      <c r="A3135" s="3">
        <v>42535</v>
      </c>
      <c r="B3135">
        <v>66.055599999999998</v>
      </c>
      <c r="C3135">
        <f t="shared" si="51"/>
        <v>2016</v>
      </c>
    </row>
    <row r="3136" spans="1:3" x14ac:dyDescent="0.2">
      <c r="A3136" s="3">
        <v>42534</v>
      </c>
      <c r="B3136">
        <v>65.611699999999999</v>
      </c>
      <c r="C3136">
        <f t="shared" si="51"/>
        <v>2016</v>
      </c>
    </row>
    <row r="3137" spans="1:3" x14ac:dyDescent="0.2">
      <c r="A3137" s="3">
        <v>42533</v>
      </c>
      <c r="B3137">
        <v>64.290499999999994</v>
      </c>
      <c r="C3137">
        <f t="shared" si="51"/>
        <v>2016</v>
      </c>
    </row>
    <row r="3138" spans="1:3" x14ac:dyDescent="0.2">
      <c r="A3138" s="3">
        <v>42531</v>
      </c>
      <c r="B3138">
        <v>65.489999999999995</v>
      </c>
      <c r="C3138">
        <f t="shared" si="51"/>
        <v>2016</v>
      </c>
    </row>
    <row r="3139" spans="1:3" x14ac:dyDescent="0.2">
      <c r="A3139" s="3">
        <v>42530</v>
      </c>
      <c r="B3139">
        <v>64.321799999999996</v>
      </c>
      <c r="C3139">
        <f t="shared" si="51"/>
        <v>2016</v>
      </c>
    </row>
    <row r="3140" spans="1:3" x14ac:dyDescent="0.2">
      <c r="A3140" s="3">
        <v>42529</v>
      </c>
      <c r="B3140">
        <v>63.623800000000003</v>
      </c>
      <c r="C3140">
        <f t="shared" ref="C3140:C3203" si="52">YEAR(A3140)</f>
        <v>2016</v>
      </c>
    </row>
    <row r="3141" spans="1:3" x14ac:dyDescent="0.2">
      <c r="A3141" s="3">
        <v>42528</v>
      </c>
      <c r="B3141">
        <v>64.645700000000005</v>
      </c>
      <c r="C3141">
        <f t="shared" si="52"/>
        <v>2016</v>
      </c>
    </row>
    <row r="3142" spans="1:3" x14ac:dyDescent="0.2">
      <c r="A3142" s="3">
        <v>42527</v>
      </c>
      <c r="B3142">
        <v>65.274500000000003</v>
      </c>
      <c r="C3142">
        <f t="shared" si="52"/>
        <v>2016</v>
      </c>
    </row>
    <row r="3143" spans="1:3" x14ac:dyDescent="0.2">
      <c r="A3143" s="3">
        <v>42524</v>
      </c>
      <c r="B3143">
        <v>65.304699999999997</v>
      </c>
      <c r="C3143">
        <f t="shared" si="52"/>
        <v>2016</v>
      </c>
    </row>
    <row r="3144" spans="1:3" x14ac:dyDescent="0.2">
      <c r="A3144" s="3">
        <v>42523</v>
      </c>
      <c r="B3144">
        <v>66.9285</v>
      </c>
      <c r="C3144">
        <f t="shared" si="52"/>
        <v>2016</v>
      </c>
    </row>
    <row r="3145" spans="1:3" x14ac:dyDescent="0.2">
      <c r="A3145" s="3">
        <v>42522</v>
      </c>
      <c r="B3145">
        <v>67.11</v>
      </c>
      <c r="C3145">
        <f t="shared" si="52"/>
        <v>2016</v>
      </c>
    </row>
    <row r="3146" spans="1:3" x14ac:dyDescent="0.2">
      <c r="A3146" s="3">
        <v>42521</v>
      </c>
      <c r="B3146">
        <v>66.722399999999993</v>
      </c>
      <c r="C3146">
        <f t="shared" si="52"/>
        <v>2016</v>
      </c>
    </row>
    <row r="3147" spans="1:3" x14ac:dyDescent="0.2">
      <c r="A3147" s="3">
        <v>42520</v>
      </c>
      <c r="B3147">
        <v>65.535899999999998</v>
      </c>
      <c r="C3147">
        <f t="shared" si="52"/>
        <v>2016</v>
      </c>
    </row>
    <row r="3148" spans="1:3" x14ac:dyDescent="0.2">
      <c r="A3148" s="3">
        <v>42517</v>
      </c>
      <c r="B3148">
        <v>65.938500000000005</v>
      </c>
      <c r="C3148">
        <f t="shared" si="52"/>
        <v>2016</v>
      </c>
    </row>
    <row r="3149" spans="1:3" x14ac:dyDescent="0.2">
      <c r="A3149" s="3">
        <v>42516</v>
      </c>
      <c r="B3149">
        <v>65.860200000000006</v>
      </c>
      <c r="C3149">
        <f t="shared" si="52"/>
        <v>2016</v>
      </c>
    </row>
    <row r="3150" spans="1:3" x14ac:dyDescent="0.2">
      <c r="A3150" s="3">
        <v>42515</v>
      </c>
      <c r="B3150">
        <v>65.383200000000002</v>
      </c>
      <c r="C3150">
        <f t="shared" si="52"/>
        <v>2016</v>
      </c>
    </row>
    <row r="3151" spans="1:3" x14ac:dyDescent="0.2">
      <c r="A3151" s="3">
        <v>42514</v>
      </c>
      <c r="B3151">
        <v>66.220600000000005</v>
      </c>
      <c r="C3151">
        <f t="shared" si="52"/>
        <v>2016</v>
      </c>
    </row>
    <row r="3152" spans="1:3" x14ac:dyDescent="0.2">
      <c r="A3152" s="3">
        <v>42513</v>
      </c>
      <c r="B3152">
        <v>67.123599999999996</v>
      </c>
      <c r="C3152">
        <f t="shared" si="52"/>
        <v>2016</v>
      </c>
    </row>
    <row r="3153" spans="1:3" x14ac:dyDescent="0.2">
      <c r="A3153" s="3">
        <v>42510</v>
      </c>
      <c r="B3153">
        <v>66.837100000000007</v>
      </c>
      <c r="C3153">
        <f t="shared" si="52"/>
        <v>2016</v>
      </c>
    </row>
    <row r="3154" spans="1:3" x14ac:dyDescent="0.2">
      <c r="A3154" s="3">
        <v>42509</v>
      </c>
      <c r="B3154">
        <v>66.765699999999995</v>
      </c>
      <c r="C3154">
        <f t="shared" si="52"/>
        <v>2016</v>
      </c>
    </row>
    <row r="3155" spans="1:3" x14ac:dyDescent="0.2">
      <c r="A3155" s="3">
        <v>42508</v>
      </c>
      <c r="B3155">
        <v>66.188500000000005</v>
      </c>
      <c r="C3155">
        <f t="shared" si="52"/>
        <v>2016</v>
      </c>
    </row>
    <row r="3156" spans="1:3" x14ac:dyDescent="0.2">
      <c r="A3156" s="3">
        <v>42507</v>
      </c>
      <c r="B3156">
        <v>64.7928</v>
      </c>
      <c r="C3156">
        <f t="shared" si="52"/>
        <v>2016</v>
      </c>
    </row>
    <row r="3157" spans="1:3" x14ac:dyDescent="0.2">
      <c r="A3157" s="3">
        <v>42506</v>
      </c>
      <c r="B3157">
        <v>64.930899999999994</v>
      </c>
      <c r="C3157">
        <f t="shared" si="52"/>
        <v>2016</v>
      </c>
    </row>
    <row r="3158" spans="1:3" x14ac:dyDescent="0.2">
      <c r="A3158" s="3">
        <v>42503</v>
      </c>
      <c r="B3158">
        <v>65.452500000000001</v>
      </c>
      <c r="C3158">
        <f t="shared" si="52"/>
        <v>2016</v>
      </c>
    </row>
    <row r="3159" spans="1:3" x14ac:dyDescent="0.2">
      <c r="A3159" s="3">
        <v>42502</v>
      </c>
      <c r="B3159">
        <v>64.905500000000004</v>
      </c>
      <c r="C3159">
        <f t="shared" si="52"/>
        <v>2016</v>
      </c>
    </row>
    <row r="3160" spans="1:3" x14ac:dyDescent="0.2">
      <c r="A3160" s="3">
        <v>42501</v>
      </c>
      <c r="B3160">
        <v>65.040499999999994</v>
      </c>
      <c r="C3160">
        <f t="shared" si="52"/>
        <v>2016</v>
      </c>
    </row>
    <row r="3161" spans="1:3" x14ac:dyDescent="0.2">
      <c r="A3161" s="3">
        <v>42500</v>
      </c>
      <c r="B3161">
        <v>66.265000000000001</v>
      </c>
      <c r="C3161">
        <f t="shared" si="52"/>
        <v>2016</v>
      </c>
    </row>
    <row r="3162" spans="1:3" x14ac:dyDescent="0.2">
      <c r="A3162" s="3">
        <v>42499</v>
      </c>
      <c r="B3162">
        <v>66.534999999999997</v>
      </c>
      <c r="C3162">
        <f t="shared" si="52"/>
        <v>2016</v>
      </c>
    </row>
    <row r="3163" spans="1:3" x14ac:dyDescent="0.2">
      <c r="A3163" s="3">
        <v>42498</v>
      </c>
      <c r="B3163">
        <v>68.254499999999993</v>
      </c>
      <c r="C3163">
        <f t="shared" si="52"/>
        <v>2016</v>
      </c>
    </row>
    <row r="3164" spans="1:3" x14ac:dyDescent="0.2">
      <c r="A3164" s="3">
        <v>42496</v>
      </c>
      <c r="B3164">
        <v>66.167900000000003</v>
      </c>
      <c r="C3164">
        <f t="shared" si="52"/>
        <v>2016</v>
      </c>
    </row>
    <row r="3165" spans="1:3" x14ac:dyDescent="0.2">
      <c r="A3165" s="3">
        <v>42495</v>
      </c>
      <c r="B3165">
        <v>65.909199999999998</v>
      </c>
      <c r="C3165">
        <f t="shared" si="52"/>
        <v>2016</v>
      </c>
    </row>
    <row r="3166" spans="1:3" x14ac:dyDescent="0.2">
      <c r="A3166" s="3">
        <v>42494</v>
      </c>
      <c r="B3166">
        <v>66.685500000000005</v>
      </c>
      <c r="C3166">
        <f t="shared" si="52"/>
        <v>2016</v>
      </c>
    </row>
    <row r="3167" spans="1:3" x14ac:dyDescent="0.2">
      <c r="A3167" s="3">
        <v>42493</v>
      </c>
      <c r="B3167">
        <v>66.353499999999997</v>
      </c>
      <c r="C3167">
        <f t="shared" si="52"/>
        <v>2016</v>
      </c>
    </row>
    <row r="3168" spans="1:3" x14ac:dyDescent="0.2">
      <c r="A3168" s="3">
        <v>42492</v>
      </c>
      <c r="B3168">
        <v>65.238699999999994</v>
      </c>
      <c r="C3168">
        <f t="shared" si="52"/>
        <v>2016</v>
      </c>
    </row>
    <row r="3169" spans="1:3" x14ac:dyDescent="0.2">
      <c r="A3169" s="3">
        <v>42489</v>
      </c>
      <c r="B3169">
        <v>64.767099999999999</v>
      </c>
      <c r="C3169">
        <f t="shared" si="52"/>
        <v>2016</v>
      </c>
    </row>
    <row r="3170" spans="1:3" x14ac:dyDescent="0.2">
      <c r="A3170" s="3">
        <v>42488</v>
      </c>
      <c r="B3170">
        <v>64.744799999999998</v>
      </c>
      <c r="C3170">
        <f t="shared" si="52"/>
        <v>2016</v>
      </c>
    </row>
    <row r="3171" spans="1:3" x14ac:dyDescent="0.2">
      <c r="A3171" s="3">
        <v>42487</v>
      </c>
      <c r="B3171">
        <v>65.125</v>
      </c>
      <c r="C3171">
        <f t="shared" si="52"/>
        <v>2016</v>
      </c>
    </row>
    <row r="3172" spans="1:3" x14ac:dyDescent="0.2">
      <c r="A3172" s="3">
        <v>42486</v>
      </c>
      <c r="B3172">
        <v>65.433899999999994</v>
      </c>
      <c r="C3172">
        <f t="shared" si="52"/>
        <v>2016</v>
      </c>
    </row>
    <row r="3173" spans="1:3" x14ac:dyDescent="0.2">
      <c r="A3173" s="3">
        <v>42485</v>
      </c>
      <c r="B3173">
        <v>66.561999999999998</v>
      </c>
      <c r="C3173">
        <f t="shared" si="52"/>
        <v>2016</v>
      </c>
    </row>
    <row r="3174" spans="1:3" x14ac:dyDescent="0.2">
      <c r="A3174" s="3">
        <v>42482</v>
      </c>
      <c r="B3174">
        <v>66.532499999999999</v>
      </c>
      <c r="C3174">
        <f t="shared" si="52"/>
        <v>2016</v>
      </c>
    </row>
    <row r="3175" spans="1:3" x14ac:dyDescent="0.2">
      <c r="A3175" s="3">
        <v>42481</v>
      </c>
      <c r="B3175">
        <v>66.751999999999995</v>
      </c>
      <c r="C3175">
        <f t="shared" si="52"/>
        <v>2016</v>
      </c>
    </row>
    <row r="3176" spans="1:3" x14ac:dyDescent="0.2">
      <c r="A3176" s="3">
        <v>42480</v>
      </c>
      <c r="B3176">
        <v>65.170400000000001</v>
      </c>
      <c r="C3176">
        <f t="shared" si="52"/>
        <v>2016</v>
      </c>
    </row>
    <row r="3177" spans="1:3" x14ac:dyDescent="0.2">
      <c r="A3177" s="3">
        <v>42479</v>
      </c>
      <c r="B3177">
        <v>65.879800000000003</v>
      </c>
      <c r="C3177">
        <f t="shared" si="52"/>
        <v>2016</v>
      </c>
    </row>
    <row r="3178" spans="1:3" x14ac:dyDescent="0.2">
      <c r="A3178" s="3">
        <v>42478</v>
      </c>
      <c r="B3178">
        <v>66.220699999999994</v>
      </c>
      <c r="C3178">
        <f t="shared" si="52"/>
        <v>2016</v>
      </c>
    </row>
    <row r="3179" spans="1:3" x14ac:dyDescent="0.2">
      <c r="A3179" s="3">
        <v>42477</v>
      </c>
      <c r="B3179">
        <v>67.117000000000004</v>
      </c>
      <c r="C3179">
        <f t="shared" si="52"/>
        <v>2016</v>
      </c>
    </row>
    <row r="3180" spans="1:3" x14ac:dyDescent="0.2">
      <c r="A3180" s="3">
        <v>42475</v>
      </c>
      <c r="B3180">
        <v>66.487700000000004</v>
      </c>
      <c r="C3180">
        <f t="shared" si="52"/>
        <v>2016</v>
      </c>
    </row>
    <row r="3181" spans="1:3" x14ac:dyDescent="0.2">
      <c r="A3181" s="3">
        <v>42474</v>
      </c>
      <c r="B3181">
        <v>66.103999999999999</v>
      </c>
      <c r="C3181">
        <f t="shared" si="52"/>
        <v>2016</v>
      </c>
    </row>
    <row r="3182" spans="1:3" x14ac:dyDescent="0.2">
      <c r="A3182" s="3">
        <v>42473</v>
      </c>
      <c r="B3182">
        <v>66.276200000000003</v>
      </c>
      <c r="C3182">
        <f t="shared" si="52"/>
        <v>2016</v>
      </c>
    </row>
    <row r="3183" spans="1:3" x14ac:dyDescent="0.2">
      <c r="A3183" s="3">
        <v>42472</v>
      </c>
      <c r="B3183">
        <v>65.625399999999999</v>
      </c>
      <c r="C3183">
        <f t="shared" si="52"/>
        <v>2016</v>
      </c>
    </row>
    <row r="3184" spans="1:3" x14ac:dyDescent="0.2">
      <c r="A3184" s="3">
        <v>42471</v>
      </c>
      <c r="B3184">
        <v>66.689099999999996</v>
      </c>
      <c r="C3184">
        <f t="shared" si="52"/>
        <v>2016</v>
      </c>
    </row>
    <row r="3185" spans="1:3" x14ac:dyDescent="0.2">
      <c r="A3185" s="3">
        <v>42470</v>
      </c>
      <c r="B3185">
        <v>67.0745</v>
      </c>
      <c r="C3185">
        <f t="shared" si="52"/>
        <v>2016</v>
      </c>
    </row>
    <row r="3186" spans="1:3" x14ac:dyDescent="0.2">
      <c r="A3186" s="3">
        <v>42468</v>
      </c>
      <c r="B3186">
        <v>67.118499999999997</v>
      </c>
      <c r="C3186">
        <f t="shared" si="52"/>
        <v>2016</v>
      </c>
    </row>
    <row r="3187" spans="1:3" x14ac:dyDescent="0.2">
      <c r="A3187" s="3">
        <v>42467</v>
      </c>
      <c r="B3187">
        <v>68.168000000000006</v>
      </c>
      <c r="C3187">
        <f t="shared" si="52"/>
        <v>2016</v>
      </c>
    </row>
    <row r="3188" spans="1:3" x14ac:dyDescent="0.2">
      <c r="A3188" s="3">
        <v>42466</v>
      </c>
      <c r="B3188">
        <v>67.665999999999997</v>
      </c>
      <c r="C3188">
        <f t="shared" si="52"/>
        <v>2016</v>
      </c>
    </row>
    <row r="3189" spans="1:3" x14ac:dyDescent="0.2">
      <c r="A3189" s="3">
        <v>42465</v>
      </c>
      <c r="B3189">
        <v>68.509100000000004</v>
      </c>
      <c r="C3189">
        <f t="shared" si="52"/>
        <v>2016</v>
      </c>
    </row>
    <row r="3190" spans="1:3" x14ac:dyDescent="0.2">
      <c r="A3190" s="3">
        <v>42464</v>
      </c>
      <c r="B3190">
        <v>68.575000000000003</v>
      </c>
      <c r="C3190">
        <f t="shared" si="52"/>
        <v>2016</v>
      </c>
    </row>
    <row r="3191" spans="1:3" x14ac:dyDescent="0.2">
      <c r="A3191" s="3">
        <v>42461</v>
      </c>
      <c r="B3191">
        <v>67.682500000000005</v>
      </c>
      <c r="C3191">
        <f t="shared" si="52"/>
        <v>2016</v>
      </c>
    </row>
    <row r="3192" spans="1:3" x14ac:dyDescent="0.2">
      <c r="A3192" s="3">
        <v>42460</v>
      </c>
      <c r="B3192">
        <v>66.895399999999995</v>
      </c>
      <c r="C3192">
        <f t="shared" si="52"/>
        <v>2016</v>
      </c>
    </row>
    <row r="3193" spans="1:3" x14ac:dyDescent="0.2">
      <c r="A3193" s="3">
        <v>42459</v>
      </c>
      <c r="B3193">
        <v>68.288700000000006</v>
      </c>
      <c r="C3193">
        <f t="shared" si="52"/>
        <v>2016</v>
      </c>
    </row>
    <row r="3194" spans="1:3" x14ac:dyDescent="0.2">
      <c r="A3194" s="3">
        <v>42458</v>
      </c>
      <c r="B3194">
        <v>68.245800000000003</v>
      </c>
      <c r="C3194">
        <f t="shared" si="52"/>
        <v>2016</v>
      </c>
    </row>
    <row r="3195" spans="1:3" x14ac:dyDescent="0.2">
      <c r="A3195" s="3">
        <v>42457</v>
      </c>
      <c r="B3195">
        <v>68.548400000000001</v>
      </c>
      <c r="C3195">
        <f t="shared" si="52"/>
        <v>2016</v>
      </c>
    </row>
    <row r="3196" spans="1:3" x14ac:dyDescent="0.2">
      <c r="A3196" s="3">
        <v>42454</v>
      </c>
      <c r="B3196">
        <v>68.174999999999997</v>
      </c>
      <c r="C3196">
        <f t="shared" si="52"/>
        <v>2016</v>
      </c>
    </row>
    <row r="3197" spans="1:3" x14ac:dyDescent="0.2">
      <c r="A3197" s="3">
        <v>42453</v>
      </c>
      <c r="B3197">
        <v>68.560299999999998</v>
      </c>
      <c r="C3197">
        <f t="shared" si="52"/>
        <v>2016</v>
      </c>
    </row>
    <row r="3198" spans="1:3" x14ac:dyDescent="0.2">
      <c r="A3198" s="3">
        <v>42452</v>
      </c>
      <c r="B3198">
        <v>68.662999999999997</v>
      </c>
      <c r="C3198">
        <f t="shared" si="52"/>
        <v>2016</v>
      </c>
    </row>
    <row r="3199" spans="1:3" x14ac:dyDescent="0.2">
      <c r="A3199" s="3">
        <v>42451</v>
      </c>
      <c r="B3199">
        <v>67.480900000000005</v>
      </c>
      <c r="C3199">
        <f t="shared" si="52"/>
        <v>2016</v>
      </c>
    </row>
    <row r="3200" spans="1:3" x14ac:dyDescent="0.2">
      <c r="A3200" s="3">
        <v>42450</v>
      </c>
      <c r="B3200">
        <v>67.834999999999994</v>
      </c>
      <c r="C3200">
        <f t="shared" si="52"/>
        <v>2016</v>
      </c>
    </row>
    <row r="3201" spans="1:3" x14ac:dyDescent="0.2">
      <c r="A3201" s="3">
        <v>42449</v>
      </c>
      <c r="B3201">
        <v>68.850399999999993</v>
      </c>
      <c r="C3201">
        <f t="shared" si="52"/>
        <v>2016</v>
      </c>
    </row>
    <row r="3202" spans="1:3" x14ac:dyDescent="0.2">
      <c r="A3202" s="3">
        <v>42447</v>
      </c>
      <c r="B3202">
        <v>68.239999999999995</v>
      </c>
      <c r="C3202">
        <f t="shared" si="52"/>
        <v>2016</v>
      </c>
    </row>
    <row r="3203" spans="1:3" x14ac:dyDescent="0.2">
      <c r="A3203" s="3">
        <v>42446</v>
      </c>
      <c r="B3203">
        <v>68.122699999999995</v>
      </c>
      <c r="C3203">
        <f t="shared" si="52"/>
        <v>2016</v>
      </c>
    </row>
    <row r="3204" spans="1:3" x14ac:dyDescent="0.2">
      <c r="A3204" s="3">
        <v>42445</v>
      </c>
      <c r="B3204">
        <v>69.220699999999994</v>
      </c>
      <c r="C3204">
        <f t="shared" ref="C3204:C3267" si="53">YEAR(A3204)</f>
        <v>2016</v>
      </c>
    </row>
    <row r="3205" spans="1:3" x14ac:dyDescent="0.2">
      <c r="A3205" s="3">
        <v>42444</v>
      </c>
      <c r="B3205">
        <v>70.948899999999995</v>
      </c>
      <c r="C3205">
        <f t="shared" si="53"/>
        <v>2016</v>
      </c>
    </row>
    <row r="3206" spans="1:3" x14ac:dyDescent="0.2">
      <c r="A3206" s="3">
        <v>42443</v>
      </c>
      <c r="B3206">
        <v>70.034999999999997</v>
      </c>
      <c r="C3206">
        <f t="shared" si="53"/>
        <v>2016</v>
      </c>
    </row>
    <row r="3207" spans="1:3" x14ac:dyDescent="0.2">
      <c r="A3207" s="3">
        <v>42440</v>
      </c>
      <c r="B3207">
        <v>69.707899999999995</v>
      </c>
      <c r="C3207">
        <f t="shared" si="53"/>
        <v>2016</v>
      </c>
    </row>
    <row r="3208" spans="1:3" x14ac:dyDescent="0.2">
      <c r="A3208" s="3">
        <v>42439</v>
      </c>
      <c r="B3208">
        <v>71.393699999999995</v>
      </c>
      <c r="C3208">
        <f t="shared" si="53"/>
        <v>2016</v>
      </c>
    </row>
    <row r="3209" spans="1:3" x14ac:dyDescent="0.2">
      <c r="A3209" s="3">
        <v>42438</v>
      </c>
      <c r="B3209">
        <v>71.097499999999997</v>
      </c>
      <c r="C3209">
        <f t="shared" si="53"/>
        <v>2016</v>
      </c>
    </row>
    <row r="3210" spans="1:3" x14ac:dyDescent="0.2">
      <c r="A3210" s="3">
        <v>42437</v>
      </c>
      <c r="B3210">
        <v>72.860399999999998</v>
      </c>
      <c r="C3210">
        <f t="shared" si="53"/>
        <v>2016</v>
      </c>
    </row>
    <row r="3211" spans="1:3" x14ac:dyDescent="0.2">
      <c r="A3211" s="3">
        <v>42436</v>
      </c>
      <c r="B3211">
        <v>71.481999999999999</v>
      </c>
      <c r="C3211">
        <f t="shared" si="53"/>
        <v>2016</v>
      </c>
    </row>
    <row r="3212" spans="1:3" x14ac:dyDescent="0.2">
      <c r="A3212" s="3">
        <v>42433</v>
      </c>
      <c r="B3212">
        <v>71.875</v>
      </c>
      <c r="C3212">
        <f t="shared" si="53"/>
        <v>2016</v>
      </c>
    </row>
    <row r="3213" spans="1:3" x14ac:dyDescent="0.2">
      <c r="A3213" s="3">
        <v>42432</v>
      </c>
      <c r="B3213">
        <v>73.073899999999995</v>
      </c>
      <c r="C3213">
        <f t="shared" si="53"/>
        <v>2016</v>
      </c>
    </row>
    <row r="3214" spans="1:3" x14ac:dyDescent="0.2">
      <c r="A3214" s="3">
        <v>42431</v>
      </c>
      <c r="B3214">
        <v>73.053200000000004</v>
      </c>
      <c r="C3214">
        <f t="shared" si="53"/>
        <v>2016</v>
      </c>
    </row>
    <row r="3215" spans="1:3" x14ac:dyDescent="0.2">
      <c r="A3215" s="3">
        <v>42430</v>
      </c>
      <c r="B3215">
        <v>73.326499999999996</v>
      </c>
      <c r="C3215">
        <f t="shared" si="53"/>
        <v>2016</v>
      </c>
    </row>
    <row r="3216" spans="1:3" x14ac:dyDescent="0.2">
      <c r="A3216" s="3">
        <v>42429</v>
      </c>
      <c r="B3216">
        <v>75.190700000000007</v>
      </c>
      <c r="C3216">
        <f t="shared" si="53"/>
        <v>2016</v>
      </c>
    </row>
    <row r="3217" spans="1:3" x14ac:dyDescent="0.2">
      <c r="A3217" s="3">
        <v>42428</v>
      </c>
      <c r="B3217">
        <v>75.499499999999998</v>
      </c>
      <c r="C3217">
        <f t="shared" si="53"/>
        <v>2016</v>
      </c>
    </row>
    <row r="3218" spans="1:3" x14ac:dyDescent="0.2">
      <c r="A3218" s="3">
        <v>42426</v>
      </c>
      <c r="B3218">
        <v>76.317499999999995</v>
      </c>
      <c r="C3218">
        <f t="shared" si="53"/>
        <v>2016</v>
      </c>
    </row>
    <row r="3219" spans="1:3" x14ac:dyDescent="0.2">
      <c r="A3219" s="3">
        <v>42425</v>
      </c>
      <c r="B3219">
        <v>75.325000000000003</v>
      </c>
      <c r="C3219">
        <f t="shared" si="53"/>
        <v>2016</v>
      </c>
    </row>
    <row r="3220" spans="1:3" x14ac:dyDescent="0.2">
      <c r="A3220" s="3">
        <v>42424</v>
      </c>
      <c r="B3220">
        <v>75.767899999999997</v>
      </c>
      <c r="C3220">
        <f t="shared" si="53"/>
        <v>2016</v>
      </c>
    </row>
    <row r="3221" spans="1:3" x14ac:dyDescent="0.2">
      <c r="A3221" s="3">
        <v>42423</v>
      </c>
      <c r="B3221">
        <v>76.285799999999995</v>
      </c>
      <c r="C3221">
        <f t="shared" si="53"/>
        <v>2016</v>
      </c>
    </row>
    <row r="3222" spans="1:3" x14ac:dyDescent="0.2">
      <c r="A3222" s="3">
        <v>42422</v>
      </c>
      <c r="B3222">
        <v>75.173400000000001</v>
      </c>
      <c r="C3222">
        <f t="shared" si="53"/>
        <v>2016</v>
      </c>
    </row>
    <row r="3223" spans="1:3" x14ac:dyDescent="0.2">
      <c r="A3223" s="3">
        <v>42419</v>
      </c>
      <c r="B3223">
        <v>77</v>
      </c>
      <c r="C3223">
        <f t="shared" si="53"/>
        <v>2016</v>
      </c>
    </row>
    <row r="3224" spans="1:3" x14ac:dyDescent="0.2">
      <c r="A3224" s="3">
        <v>42418</v>
      </c>
      <c r="B3224">
        <v>76.402600000000007</v>
      </c>
      <c r="C3224">
        <f t="shared" si="53"/>
        <v>2016</v>
      </c>
    </row>
    <row r="3225" spans="1:3" x14ac:dyDescent="0.2">
      <c r="A3225" s="3">
        <v>42417</v>
      </c>
      <c r="B3225">
        <v>75</v>
      </c>
      <c r="C3225">
        <f t="shared" si="53"/>
        <v>2016</v>
      </c>
    </row>
    <row r="3226" spans="1:3" x14ac:dyDescent="0.2">
      <c r="A3226" s="3">
        <v>42416</v>
      </c>
      <c r="B3226">
        <v>77.970200000000006</v>
      </c>
      <c r="C3226">
        <f t="shared" si="53"/>
        <v>2016</v>
      </c>
    </row>
    <row r="3227" spans="1:3" x14ac:dyDescent="0.2">
      <c r="A3227" s="3">
        <v>42415</v>
      </c>
      <c r="B3227">
        <v>76.971500000000006</v>
      </c>
      <c r="C3227">
        <f t="shared" si="53"/>
        <v>2016</v>
      </c>
    </row>
    <row r="3228" spans="1:3" x14ac:dyDescent="0.2">
      <c r="A3228" s="3">
        <v>42414</v>
      </c>
      <c r="B3228">
        <v>78.419799999999995</v>
      </c>
      <c r="C3228">
        <f t="shared" si="53"/>
        <v>2016</v>
      </c>
    </row>
    <row r="3229" spans="1:3" x14ac:dyDescent="0.2">
      <c r="A3229" s="3">
        <v>42412</v>
      </c>
      <c r="B3229">
        <v>78.663799999999995</v>
      </c>
      <c r="C3229">
        <f t="shared" si="53"/>
        <v>2016</v>
      </c>
    </row>
    <row r="3230" spans="1:3" x14ac:dyDescent="0.2">
      <c r="A3230" s="3">
        <v>42411</v>
      </c>
      <c r="B3230">
        <v>80.054299999999998</v>
      </c>
      <c r="C3230">
        <f t="shared" si="53"/>
        <v>2016</v>
      </c>
    </row>
    <row r="3231" spans="1:3" x14ac:dyDescent="0.2">
      <c r="A3231" s="3">
        <v>42410</v>
      </c>
      <c r="B3231">
        <v>79.257999999999996</v>
      </c>
      <c r="C3231">
        <f t="shared" si="53"/>
        <v>2016</v>
      </c>
    </row>
    <row r="3232" spans="1:3" x14ac:dyDescent="0.2">
      <c r="A3232" s="3">
        <v>42409</v>
      </c>
      <c r="B3232">
        <v>79.689499999999995</v>
      </c>
      <c r="C3232">
        <f t="shared" si="53"/>
        <v>2016</v>
      </c>
    </row>
    <row r="3233" spans="1:3" x14ac:dyDescent="0.2">
      <c r="A3233" s="3">
        <v>42408</v>
      </c>
      <c r="B3233">
        <v>77.9803</v>
      </c>
      <c r="C3233">
        <f t="shared" si="53"/>
        <v>2016</v>
      </c>
    </row>
    <row r="3234" spans="1:3" x14ac:dyDescent="0.2">
      <c r="A3234" s="3">
        <v>42407</v>
      </c>
      <c r="B3234">
        <v>77.586600000000004</v>
      </c>
      <c r="C3234">
        <f t="shared" si="53"/>
        <v>2016</v>
      </c>
    </row>
    <row r="3235" spans="1:3" x14ac:dyDescent="0.2">
      <c r="A3235" s="3">
        <v>42405</v>
      </c>
      <c r="B3235">
        <v>77.536600000000007</v>
      </c>
      <c r="C3235">
        <f t="shared" si="53"/>
        <v>2016</v>
      </c>
    </row>
    <row r="3236" spans="1:3" x14ac:dyDescent="0.2">
      <c r="A3236" s="3">
        <v>42404</v>
      </c>
      <c r="B3236">
        <v>76.851200000000006</v>
      </c>
      <c r="C3236">
        <f t="shared" si="53"/>
        <v>2016</v>
      </c>
    </row>
    <row r="3237" spans="1:3" x14ac:dyDescent="0.2">
      <c r="A3237" s="3">
        <v>42403</v>
      </c>
      <c r="B3237">
        <v>76.799300000000002</v>
      </c>
      <c r="C3237">
        <f t="shared" si="53"/>
        <v>2016</v>
      </c>
    </row>
    <row r="3238" spans="1:3" x14ac:dyDescent="0.2">
      <c r="A3238" s="3">
        <v>42402</v>
      </c>
      <c r="B3238">
        <v>79.835499999999996</v>
      </c>
      <c r="C3238">
        <f t="shared" si="53"/>
        <v>2016</v>
      </c>
    </row>
    <row r="3239" spans="1:3" x14ac:dyDescent="0.2">
      <c r="A3239" s="3">
        <v>42401</v>
      </c>
      <c r="B3239">
        <v>77.328000000000003</v>
      </c>
      <c r="C3239">
        <f t="shared" si="53"/>
        <v>2016</v>
      </c>
    </row>
    <row r="3240" spans="1:3" x14ac:dyDescent="0.2">
      <c r="A3240" s="3">
        <v>42400</v>
      </c>
      <c r="B3240">
        <v>75.757300000000001</v>
      </c>
      <c r="C3240">
        <f t="shared" si="53"/>
        <v>2016</v>
      </c>
    </row>
    <row r="3241" spans="1:3" x14ac:dyDescent="0.2">
      <c r="A3241" s="3">
        <v>42398</v>
      </c>
      <c r="B3241">
        <v>75.546599999999998</v>
      </c>
      <c r="C3241">
        <f t="shared" si="53"/>
        <v>2016</v>
      </c>
    </row>
    <row r="3242" spans="1:3" x14ac:dyDescent="0.2">
      <c r="A3242" s="3">
        <v>42397</v>
      </c>
      <c r="B3242">
        <v>76.3</v>
      </c>
      <c r="C3242">
        <f t="shared" si="53"/>
        <v>2016</v>
      </c>
    </row>
    <row r="3243" spans="1:3" x14ac:dyDescent="0.2">
      <c r="A3243" s="3">
        <v>42396</v>
      </c>
      <c r="B3243">
        <v>78.076999999999998</v>
      </c>
      <c r="C3243">
        <f t="shared" si="53"/>
        <v>2016</v>
      </c>
    </row>
    <row r="3244" spans="1:3" x14ac:dyDescent="0.2">
      <c r="A3244" s="3">
        <v>42395</v>
      </c>
      <c r="B3244">
        <v>78.829700000000003</v>
      </c>
      <c r="C3244">
        <f t="shared" si="53"/>
        <v>2016</v>
      </c>
    </row>
    <row r="3245" spans="1:3" x14ac:dyDescent="0.2">
      <c r="A3245" s="3">
        <v>42394</v>
      </c>
      <c r="B3245">
        <v>80.150400000000005</v>
      </c>
      <c r="C3245">
        <f t="shared" si="53"/>
        <v>2016</v>
      </c>
    </row>
    <row r="3246" spans="1:3" x14ac:dyDescent="0.2">
      <c r="A3246" s="3">
        <v>42391</v>
      </c>
      <c r="B3246">
        <v>78.114500000000007</v>
      </c>
      <c r="C3246">
        <f t="shared" si="53"/>
        <v>2016</v>
      </c>
    </row>
    <row r="3247" spans="1:3" x14ac:dyDescent="0.2">
      <c r="A3247" s="3">
        <v>42390</v>
      </c>
      <c r="B3247">
        <v>82.449600000000004</v>
      </c>
      <c r="C3247">
        <f t="shared" si="53"/>
        <v>2016</v>
      </c>
    </row>
    <row r="3248" spans="1:3" x14ac:dyDescent="0.2">
      <c r="A3248" s="3">
        <v>42389</v>
      </c>
      <c r="B3248">
        <v>81.428700000000006</v>
      </c>
      <c r="C3248">
        <f t="shared" si="53"/>
        <v>2016</v>
      </c>
    </row>
    <row r="3249" spans="1:3" x14ac:dyDescent="0.2">
      <c r="A3249" s="3">
        <v>42388</v>
      </c>
      <c r="B3249">
        <v>78.73</v>
      </c>
      <c r="C3249">
        <f t="shared" si="53"/>
        <v>2016</v>
      </c>
    </row>
    <row r="3250" spans="1:3" x14ac:dyDescent="0.2">
      <c r="A3250" s="3">
        <v>42387</v>
      </c>
      <c r="B3250">
        <v>79.317300000000003</v>
      </c>
      <c r="C3250">
        <f t="shared" si="53"/>
        <v>2016</v>
      </c>
    </row>
    <row r="3251" spans="1:3" x14ac:dyDescent="0.2">
      <c r="A3251" s="3">
        <v>42386</v>
      </c>
      <c r="B3251">
        <v>77.905000000000001</v>
      </c>
      <c r="C3251">
        <f t="shared" si="53"/>
        <v>2016</v>
      </c>
    </row>
    <row r="3252" spans="1:3" x14ac:dyDescent="0.2">
      <c r="A3252" s="3">
        <v>42384</v>
      </c>
      <c r="B3252">
        <v>77.704899999999995</v>
      </c>
      <c r="C3252">
        <f t="shared" si="53"/>
        <v>2016</v>
      </c>
    </row>
    <row r="3253" spans="1:3" x14ac:dyDescent="0.2">
      <c r="A3253" s="3">
        <v>42383</v>
      </c>
      <c r="B3253">
        <v>76.054699999999997</v>
      </c>
      <c r="C3253">
        <f t="shared" si="53"/>
        <v>2016</v>
      </c>
    </row>
    <row r="3254" spans="1:3" x14ac:dyDescent="0.2">
      <c r="A3254" s="3">
        <v>42382</v>
      </c>
      <c r="B3254">
        <v>76.660300000000007</v>
      </c>
      <c r="C3254">
        <f t="shared" si="53"/>
        <v>2016</v>
      </c>
    </row>
    <row r="3255" spans="1:3" x14ac:dyDescent="0.2">
      <c r="A3255" s="3">
        <v>42381</v>
      </c>
      <c r="B3255">
        <v>76.964100000000002</v>
      </c>
      <c r="C3255">
        <f t="shared" si="53"/>
        <v>2016</v>
      </c>
    </row>
    <row r="3256" spans="1:3" x14ac:dyDescent="0.2">
      <c r="A3256" s="3">
        <v>42380</v>
      </c>
      <c r="B3256">
        <v>76.189499999999995</v>
      </c>
      <c r="C3256">
        <f t="shared" si="53"/>
        <v>2016</v>
      </c>
    </row>
    <row r="3257" spans="1:3" x14ac:dyDescent="0.2">
      <c r="A3257" s="3">
        <v>42379</v>
      </c>
      <c r="B3257">
        <v>76.700100000000006</v>
      </c>
      <c r="C3257">
        <f t="shared" si="53"/>
        <v>2016</v>
      </c>
    </row>
    <row r="3258" spans="1:3" x14ac:dyDescent="0.2">
      <c r="A3258" s="3">
        <v>42377</v>
      </c>
      <c r="B3258">
        <v>74.747500000000002</v>
      </c>
      <c r="C3258">
        <f t="shared" si="53"/>
        <v>2016</v>
      </c>
    </row>
    <row r="3259" spans="1:3" x14ac:dyDescent="0.2">
      <c r="A3259" s="3">
        <v>42376</v>
      </c>
      <c r="B3259">
        <v>74.768699999999995</v>
      </c>
      <c r="C3259">
        <f t="shared" si="53"/>
        <v>2016</v>
      </c>
    </row>
    <row r="3260" spans="1:3" x14ac:dyDescent="0.2">
      <c r="A3260" s="3">
        <v>42375</v>
      </c>
      <c r="B3260">
        <v>74.6738</v>
      </c>
      <c r="C3260">
        <f t="shared" si="53"/>
        <v>2016</v>
      </c>
    </row>
    <row r="3261" spans="1:3" x14ac:dyDescent="0.2">
      <c r="A3261" s="3">
        <v>42374</v>
      </c>
      <c r="B3261">
        <v>73.354699999999994</v>
      </c>
      <c r="C3261">
        <f t="shared" si="53"/>
        <v>2016</v>
      </c>
    </row>
    <row r="3262" spans="1:3" x14ac:dyDescent="0.2">
      <c r="A3262" s="3">
        <v>42373</v>
      </c>
      <c r="B3262">
        <v>72.947000000000003</v>
      </c>
      <c r="C3262">
        <f t="shared" si="53"/>
        <v>2016</v>
      </c>
    </row>
    <row r="3263" spans="1:3" x14ac:dyDescent="0.2">
      <c r="A3263" s="3">
        <v>42369</v>
      </c>
      <c r="B3263">
        <v>72.520899999999997</v>
      </c>
      <c r="C3263">
        <f t="shared" si="53"/>
        <v>2015</v>
      </c>
    </row>
    <row r="3264" spans="1:3" x14ac:dyDescent="0.2">
      <c r="A3264" s="3">
        <v>42368</v>
      </c>
      <c r="B3264">
        <v>73.224000000000004</v>
      </c>
      <c r="C3264">
        <f t="shared" si="53"/>
        <v>2015</v>
      </c>
    </row>
    <row r="3265" spans="1:3" x14ac:dyDescent="0.2">
      <c r="A3265" s="3">
        <v>42367</v>
      </c>
      <c r="B3265">
        <v>72.305000000000007</v>
      </c>
      <c r="C3265">
        <f t="shared" si="53"/>
        <v>2015</v>
      </c>
    </row>
    <row r="3266" spans="1:3" x14ac:dyDescent="0.2">
      <c r="A3266" s="3">
        <v>42366</v>
      </c>
      <c r="B3266">
        <v>72.229399999999998</v>
      </c>
      <c r="C3266">
        <f t="shared" si="53"/>
        <v>2015</v>
      </c>
    </row>
    <row r="3267" spans="1:3" x14ac:dyDescent="0.2">
      <c r="A3267" s="3">
        <v>42365</v>
      </c>
      <c r="B3267">
        <v>70.747500000000002</v>
      </c>
      <c r="C3267">
        <f t="shared" si="53"/>
        <v>2015</v>
      </c>
    </row>
    <row r="3268" spans="1:3" x14ac:dyDescent="0.2">
      <c r="A3268" s="3">
        <v>42363</v>
      </c>
      <c r="B3268">
        <v>70.376300000000001</v>
      </c>
      <c r="C3268">
        <f t="shared" ref="C3268:C3331" si="54">YEAR(A3268)</f>
        <v>2015</v>
      </c>
    </row>
    <row r="3269" spans="1:3" x14ac:dyDescent="0.2">
      <c r="A3269" s="3">
        <v>42362</v>
      </c>
      <c r="B3269">
        <v>70.286000000000001</v>
      </c>
      <c r="C3269">
        <f t="shared" si="54"/>
        <v>2015</v>
      </c>
    </row>
    <row r="3270" spans="1:3" x14ac:dyDescent="0.2">
      <c r="A3270" s="3">
        <v>42361</v>
      </c>
      <c r="B3270">
        <v>69.744799999999998</v>
      </c>
      <c r="C3270">
        <f t="shared" si="54"/>
        <v>2015</v>
      </c>
    </row>
    <row r="3271" spans="1:3" x14ac:dyDescent="0.2">
      <c r="A3271" s="3">
        <v>42360</v>
      </c>
      <c r="B3271">
        <v>71.255099999999999</v>
      </c>
      <c r="C3271">
        <f t="shared" si="54"/>
        <v>2015</v>
      </c>
    </row>
    <row r="3272" spans="1:3" x14ac:dyDescent="0.2">
      <c r="A3272" s="3">
        <v>42359</v>
      </c>
      <c r="B3272">
        <v>71.271000000000001</v>
      </c>
      <c r="C3272">
        <f t="shared" si="54"/>
        <v>2015</v>
      </c>
    </row>
    <row r="3273" spans="1:3" x14ac:dyDescent="0.2">
      <c r="A3273" s="3">
        <v>42358</v>
      </c>
      <c r="B3273">
        <v>71.010000000000005</v>
      </c>
      <c r="C3273">
        <f t="shared" si="54"/>
        <v>2015</v>
      </c>
    </row>
    <row r="3274" spans="1:3" x14ac:dyDescent="0.2">
      <c r="A3274" s="3">
        <v>42356</v>
      </c>
      <c r="B3274">
        <v>70.752899999999997</v>
      </c>
      <c r="C3274">
        <f t="shared" si="54"/>
        <v>2015</v>
      </c>
    </row>
    <row r="3275" spans="1:3" x14ac:dyDescent="0.2">
      <c r="A3275" s="3">
        <v>42355</v>
      </c>
      <c r="B3275">
        <v>71.212699999999998</v>
      </c>
      <c r="C3275">
        <f t="shared" si="54"/>
        <v>2015</v>
      </c>
    </row>
    <row r="3276" spans="1:3" x14ac:dyDescent="0.2">
      <c r="A3276" s="3">
        <v>42354</v>
      </c>
      <c r="B3276">
        <v>70.397599999999997</v>
      </c>
      <c r="C3276">
        <f t="shared" si="54"/>
        <v>2015</v>
      </c>
    </row>
    <row r="3277" spans="1:3" x14ac:dyDescent="0.2">
      <c r="A3277" s="3">
        <v>42353</v>
      </c>
      <c r="B3277">
        <v>69.950999999999993</v>
      </c>
      <c r="C3277">
        <f t="shared" si="54"/>
        <v>2015</v>
      </c>
    </row>
    <row r="3278" spans="1:3" x14ac:dyDescent="0.2">
      <c r="A3278" s="3">
        <v>42352</v>
      </c>
      <c r="B3278">
        <v>70.442899999999995</v>
      </c>
      <c r="C3278">
        <f t="shared" si="54"/>
        <v>2015</v>
      </c>
    </row>
    <row r="3279" spans="1:3" x14ac:dyDescent="0.2">
      <c r="A3279" s="3">
        <v>42351</v>
      </c>
      <c r="B3279">
        <v>70.405000000000001</v>
      </c>
      <c r="C3279">
        <f t="shared" si="54"/>
        <v>2015</v>
      </c>
    </row>
    <row r="3280" spans="1:3" x14ac:dyDescent="0.2">
      <c r="A3280" s="3">
        <v>42349</v>
      </c>
      <c r="B3280">
        <v>70.380099999999999</v>
      </c>
      <c r="C3280">
        <f t="shared" si="54"/>
        <v>2015</v>
      </c>
    </row>
    <row r="3281" spans="1:3" x14ac:dyDescent="0.2">
      <c r="A3281" s="3">
        <v>42348</v>
      </c>
      <c r="B3281">
        <v>68.773300000000006</v>
      </c>
      <c r="C3281">
        <f t="shared" si="54"/>
        <v>2015</v>
      </c>
    </row>
    <row r="3282" spans="1:3" x14ac:dyDescent="0.2">
      <c r="A3282" s="3">
        <v>42347</v>
      </c>
      <c r="B3282">
        <v>69.317400000000006</v>
      </c>
      <c r="C3282">
        <f t="shared" si="54"/>
        <v>2015</v>
      </c>
    </row>
    <row r="3283" spans="1:3" x14ac:dyDescent="0.2">
      <c r="A3283" s="3">
        <v>42346</v>
      </c>
      <c r="B3283">
        <v>69.460499999999996</v>
      </c>
      <c r="C3283">
        <f t="shared" si="54"/>
        <v>2015</v>
      </c>
    </row>
    <row r="3284" spans="1:3" x14ac:dyDescent="0.2">
      <c r="A3284" s="3">
        <v>42345</v>
      </c>
      <c r="B3284">
        <v>69.446200000000005</v>
      </c>
      <c r="C3284">
        <f t="shared" si="54"/>
        <v>2015</v>
      </c>
    </row>
    <row r="3285" spans="1:3" x14ac:dyDescent="0.2">
      <c r="A3285" s="3">
        <v>42344</v>
      </c>
      <c r="B3285">
        <v>68.132499999999993</v>
      </c>
      <c r="C3285">
        <f t="shared" si="54"/>
        <v>2015</v>
      </c>
    </row>
    <row r="3286" spans="1:3" x14ac:dyDescent="0.2">
      <c r="A3286" s="3">
        <v>42342</v>
      </c>
      <c r="B3286">
        <v>68.040999999999997</v>
      </c>
      <c r="C3286">
        <f t="shared" si="54"/>
        <v>2015</v>
      </c>
    </row>
    <row r="3287" spans="1:3" x14ac:dyDescent="0.2">
      <c r="A3287" s="3">
        <v>42341</v>
      </c>
      <c r="B3287">
        <v>67.497600000000006</v>
      </c>
      <c r="C3287">
        <f t="shared" si="54"/>
        <v>2015</v>
      </c>
    </row>
    <row r="3288" spans="1:3" x14ac:dyDescent="0.2">
      <c r="A3288" s="3">
        <v>42340</v>
      </c>
      <c r="B3288">
        <v>67.383300000000006</v>
      </c>
      <c r="C3288">
        <f t="shared" si="54"/>
        <v>2015</v>
      </c>
    </row>
    <row r="3289" spans="1:3" x14ac:dyDescent="0.2">
      <c r="A3289" s="3">
        <v>42339</v>
      </c>
      <c r="B3289">
        <v>66.667500000000004</v>
      </c>
      <c r="C3289">
        <f t="shared" si="54"/>
        <v>2015</v>
      </c>
    </row>
    <row r="3290" spans="1:3" x14ac:dyDescent="0.2">
      <c r="A3290" s="3">
        <v>42338</v>
      </c>
      <c r="B3290">
        <v>66.419200000000004</v>
      </c>
      <c r="C3290">
        <f t="shared" si="54"/>
        <v>2015</v>
      </c>
    </row>
    <row r="3291" spans="1:3" x14ac:dyDescent="0.2">
      <c r="A3291" s="3">
        <v>42337</v>
      </c>
      <c r="B3291">
        <v>66.452500000000001</v>
      </c>
      <c r="C3291">
        <f t="shared" si="54"/>
        <v>2015</v>
      </c>
    </row>
    <row r="3292" spans="1:3" x14ac:dyDescent="0.2">
      <c r="A3292" s="3">
        <v>42335</v>
      </c>
      <c r="B3292">
        <v>66.428700000000006</v>
      </c>
      <c r="C3292">
        <f t="shared" si="54"/>
        <v>2015</v>
      </c>
    </row>
    <row r="3293" spans="1:3" x14ac:dyDescent="0.2">
      <c r="A3293" s="3">
        <v>42334</v>
      </c>
      <c r="B3293">
        <v>65.822900000000004</v>
      </c>
      <c r="C3293">
        <f t="shared" si="54"/>
        <v>2015</v>
      </c>
    </row>
    <row r="3294" spans="1:3" x14ac:dyDescent="0.2">
      <c r="A3294" s="3">
        <v>42333</v>
      </c>
      <c r="B3294">
        <v>65.536199999999994</v>
      </c>
      <c r="C3294">
        <f t="shared" si="54"/>
        <v>2015</v>
      </c>
    </row>
    <row r="3295" spans="1:3" x14ac:dyDescent="0.2">
      <c r="A3295" s="3">
        <v>42332</v>
      </c>
      <c r="B3295">
        <v>65.457300000000004</v>
      </c>
      <c r="C3295">
        <f t="shared" si="54"/>
        <v>2015</v>
      </c>
    </row>
    <row r="3296" spans="1:3" x14ac:dyDescent="0.2">
      <c r="A3296" s="3">
        <v>42331</v>
      </c>
      <c r="B3296">
        <v>65.831999999999994</v>
      </c>
      <c r="C3296">
        <f t="shared" si="54"/>
        <v>2015</v>
      </c>
    </row>
    <row r="3297" spans="1:3" x14ac:dyDescent="0.2">
      <c r="A3297" s="3">
        <v>42330</v>
      </c>
      <c r="B3297">
        <v>65.447800000000001</v>
      </c>
      <c r="C3297">
        <f t="shared" si="54"/>
        <v>2015</v>
      </c>
    </row>
    <row r="3298" spans="1:3" x14ac:dyDescent="0.2">
      <c r="A3298" s="3">
        <v>42328</v>
      </c>
      <c r="B3298">
        <v>64.739999999999995</v>
      </c>
      <c r="C3298">
        <f t="shared" si="54"/>
        <v>2015</v>
      </c>
    </row>
    <row r="3299" spans="1:3" x14ac:dyDescent="0.2">
      <c r="A3299" s="3">
        <v>42327</v>
      </c>
      <c r="B3299">
        <v>64.519099999999995</v>
      </c>
      <c r="C3299">
        <f t="shared" si="54"/>
        <v>2015</v>
      </c>
    </row>
    <row r="3300" spans="1:3" x14ac:dyDescent="0.2">
      <c r="A3300" s="3">
        <v>42326</v>
      </c>
      <c r="B3300">
        <v>64.763800000000003</v>
      </c>
      <c r="C3300">
        <f t="shared" si="54"/>
        <v>2015</v>
      </c>
    </row>
    <row r="3301" spans="1:3" x14ac:dyDescent="0.2">
      <c r="A3301" s="3">
        <v>42325</v>
      </c>
      <c r="B3301">
        <v>65.151300000000006</v>
      </c>
      <c r="C3301">
        <f t="shared" si="54"/>
        <v>2015</v>
      </c>
    </row>
    <row r="3302" spans="1:3" x14ac:dyDescent="0.2">
      <c r="A3302" s="3">
        <v>42324</v>
      </c>
      <c r="B3302">
        <v>65.332300000000004</v>
      </c>
      <c r="C3302">
        <f t="shared" si="54"/>
        <v>2015</v>
      </c>
    </row>
    <row r="3303" spans="1:3" x14ac:dyDescent="0.2">
      <c r="A3303" s="3">
        <v>42323</v>
      </c>
      <c r="B3303">
        <v>66.754999999999995</v>
      </c>
      <c r="C3303">
        <f t="shared" si="54"/>
        <v>2015</v>
      </c>
    </row>
    <row r="3304" spans="1:3" x14ac:dyDescent="0.2">
      <c r="A3304" s="3">
        <v>42321</v>
      </c>
      <c r="B3304">
        <v>66.740099999999998</v>
      </c>
      <c r="C3304">
        <f t="shared" si="54"/>
        <v>2015</v>
      </c>
    </row>
    <row r="3305" spans="1:3" x14ac:dyDescent="0.2">
      <c r="A3305" s="3">
        <v>42320</v>
      </c>
      <c r="B3305">
        <v>66.690399999999997</v>
      </c>
      <c r="C3305">
        <f t="shared" si="54"/>
        <v>2015</v>
      </c>
    </row>
    <row r="3306" spans="1:3" x14ac:dyDescent="0.2">
      <c r="A3306" s="3">
        <v>42319</v>
      </c>
      <c r="B3306">
        <v>65.427700000000002</v>
      </c>
      <c r="C3306">
        <f t="shared" si="54"/>
        <v>2015</v>
      </c>
    </row>
    <row r="3307" spans="1:3" x14ac:dyDescent="0.2">
      <c r="A3307" s="3">
        <v>42318</v>
      </c>
      <c r="B3307">
        <v>64.558499999999995</v>
      </c>
      <c r="C3307">
        <f t="shared" si="54"/>
        <v>2015</v>
      </c>
    </row>
    <row r="3308" spans="1:3" x14ac:dyDescent="0.2">
      <c r="A3308" s="3">
        <v>42317</v>
      </c>
      <c r="B3308">
        <v>64.630300000000005</v>
      </c>
      <c r="C3308">
        <f t="shared" si="54"/>
        <v>2015</v>
      </c>
    </row>
    <row r="3309" spans="1:3" x14ac:dyDescent="0.2">
      <c r="A3309" s="3">
        <v>42316</v>
      </c>
      <c r="B3309">
        <v>63.331099999999999</v>
      </c>
      <c r="C3309">
        <f t="shared" si="54"/>
        <v>2015</v>
      </c>
    </row>
    <row r="3310" spans="1:3" x14ac:dyDescent="0.2">
      <c r="A3310" s="3">
        <v>42314</v>
      </c>
      <c r="B3310">
        <v>64.504999999999995</v>
      </c>
      <c r="C3310">
        <f t="shared" si="54"/>
        <v>2015</v>
      </c>
    </row>
    <row r="3311" spans="1:3" x14ac:dyDescent="0.2">
      <c r="A3311" s="3">
        <v>42313</v>
      </c>
      <c r="B3311">
        <v>63.388300000000001</v>
      </c>
      <c r="C3311">
        <f t="shared" si="54"/>
        <v>2015</v>
      </c>
    </row>
    <row r="3312" spans="1:3" x14ac:dyDescent="0.2">
      <c r="A3312" s="3">
        <v>42312</v>
      </c>
      <c r="B3312">
        <v>63.199800000000003</v>
      </c>
      <c r="C3312">
        <f t="shared" si="54"/>
        <v>2015</v>
      </c>
    </row>
    <row r="3313" spans="1:3" x14ac:dyDescent="0.2">
      <c r="A3313" s="3">
        <v>42311</v>
      </c>
      <c r="B3313">
        <v>62.595199999999998</v>
      </c>
      <c r="C3313">
        <f t="shared" si="54"/>
        <v>2015</v>
      </c>
    </row>
    <row r="3314" spans="1:3" x14ac:dyDescent="0.2">
      <c r="A3314" s="3">
        <v>42310</v>
      </c>
      <c r="B3314">
        <v>63.6554</v>
      </c>
      <c r="C3314">
        <f t="shared" si="54"/>
        <v>2015</v>
      </c>
    </row>
    <row r="3315" spans="1:3" x14ac:dyDescent="0.2">
      <c r="A3315" s="3">
        <v>42309</v>
      </c>
      <c r="B3315">
        <v>63.985100000000003</v>
      </c>
      <c r="C3315">
        <f t="shared" si="54"/>
        <v>2015</v>
      </c>
    </row>
    <row r="3316" spans="1:3" x14ac:dyDescent="0.2">
      <c r="A3316" s="3">
        <v>42307</v>
      </c>
      <c r="B3316">
        <v>63.954799999999999</v>
      </c>
      <c r="C3316">
        <f t="shared" si="54"/>
        <v>2015</v>
      </c>
    </row>
    <row r="3317" spans="1:3" x14ac:dyDescent="0.2">
      <c r="A3317" s="3">
        <v>42306</v>
      </c>
      <c r="B3317">
        <v>64.376599999999996</v>
      </c>
      <c r="C3317">
        <f t="shared" si="54"/>
        <v>2015</v>
      </c>
    </row>
    <row r="3318" spans="1:3" x14ac:dyDescent="0.2">
      <c r="A3318" s="3">
        <v>42305</v>
      </c>
      <c r="B3318">
        <v>63.917999999999999</v>
      </c>
      <c r="C3318">
        <f t="shared" si="54"/>
        <v>2015</v>
      </c>
    </row>
    <row r="3319" spans="1:3" x14ac:dyDescent="0.2">
      <c r="A3319" s="3">
        <v>42304</v>
      </c>
      <c r="B3319">
        <v>65.174099999999996</v>
      </c>
      <c r="C3319">
        <f t="shared" si="54"/>
        <v>2015</v>
      </c>
    </row>
    <row r="3320" spans="1:3" x14ac:dyDescent="0.2">
      <c r="A3320" s="3">
        <v>42303</v>
      </c>
      <c r="B3320">
        <v>63.008000000000003</v>
      </c>
      <c r="C3320">
        <f t="shared" si="54"/>
        <v>2015</v>
      </c>
    </row>
    <row r="3321" spans="1:3" x14ac:dyDescent="0.2">
      <c r="A3321" s="3">
        <v>42300</v>
      </c>
      <c r="B3321">
        <v>62.37</v>
      </c>
      <c r="C3321">
        <f t="shared" si="54"/>
        <v>2015</v>
      </c>
    </row>
    <row r="3322" spans="1:3" x14ac:dyDescent="0.2">
      <c r="A3322" s="3">
        <v>42299</v>
      </c>
      <c r="B3322">
        <v>62.549199999999999</v>
      </c>
      <c r="C3322">
        <f t="shared" si="54"/>
        <v>2015</v>
      </c>
    </row>
    <row r="3323" spans="1:3" x14ac:dyDescent="0.2">
      <c r="A3323" s="3">
        <v>42298</v>
      </c>
      <c r="B3323">
        <v>63.011699999999998</v>
      </c>
      <c r="C3323">
        <f t="shared" si="54"/>
        <v>2015</v>
      </c>
    </row>
    <row r="3324" spans="1:3" x14ac:dyDescent="0.2">
      <c r="A3324" s="3">
        <v>42297</v>
      </c>
      <c r="B3324">
        <v>62.116999999999997</v>
      </c>
      <c r="C3324">
        <f t="shared" si="54"/>
        <v>2015</v>
      </c>
    </row>
    <row r="3325" spans="1:3" x14ac:dyDescent="0.2">
      <c r="A3325" s="3">
        <v>42296</v>
      </c>
      <c r="B3325">
        <v>62.334299999999999</v>
      </c>
      <c r="C3325">
        <f t="shared" si="54"/>
        <v>2015</v>
      </c>
    </row>
    <row r="3326" spans="1:3" x14ac:dyDescent="0.2">
      <c r="A3326" s="3">
        <v>42295</v>
      </c>
      <c r="B3326">
        <v>61.265300000000003</v>
      </c>
      <c r="C3326">
        <f t="shared" si="54"/>
        <v>2015</v>
      </c>
    </row>
    <row r="3327" spans="1:3" x14ac:dyDescent="0.2">
      <c r="A3327" s="3">
        <v>42293</v>
      </c>
      <c r="B3327">
        <v>61.28</v>
      </c>
      <c r="C3327">
        <f t="shared" si="54"/>
        <v>2015</v>
      </c>
    </row>
    <row r="3328" spans="1:3" x14ac:dyDescent="0.2">
      <c r="A3328" s="3">
        <v>42292</v>
      </c>
      <c r="B3328">
        <v>61.375300000000003</v>
      </c>
      <c r="C3328">
        <f t="shared" si="54"/>
        <v>2015</v>
      </c>
    </row>
    <row r="3329" spans="1:3" x14ac:dyDescent="0.2">
      <c r="A3329" s="3">
        <v>42291</v>
      </c>
      <c r="B3329">
        <v>62.639299999999999</v>
      </c>
      <c r="C3329">
        <f t="shared" si="54"/>
        <v>2015</v>
      </c>
    </row>
    <row r="3330" spans="1:3" x14ac:dyDescent="0.2">
      <c r="A3330" s="3">
        <v>42290</v>
      </c>
      <c r="B3330">
        <v>63.073300000000003</v>
      </c>
      <c r="C3330">
        <f t="shared" si="54"/>
        <v>2015</v>
      </c>
    </row>
    <row r="3331" spans="1:3" x14ac:dyDescent="0.2">
      <c r="A3331" s="3">
        <v>42289</v>
      </c>
      <c r="B3331">
        <v>62.0154</v>
      </c>
      <c r="C3331">
        <f t="shared" si="54"/>
        <v>2015</v>
      </c>
    </row>
    <row r="3332" spans="1:3" x14ac:dyDescent="0.2">
      <c r="A3332" s="3">
        <v>42288</v>
      </c>
      <c r="B3332">
        <v>61.2042</v>
      </c>
      <c r="C3332">
        <f t="shared" ref="C3332:C3395" si="55">YEAR(A3332)</f>
        <v>2015</v>
      </c>
    </row>
    <row r="3333" spans="1:3" x14ac:dyDescent="0.2">
      <c r="A3333" s="3">
        <v>42286</v>
      </c>
      <c r="B3333">
        <v>61.515500000000003</v>
      </c>
      <c r="C3333">
        <f t="shared" si="55"/>
        <v>2015</v>
      </c>
    </row>
    <row r="3334" spans="1:3" x14ac:dyDescent="0.2">
      <c r="A3334" s="3">
        <v>42285</v>
      </c>
      <c r="B3334">
        <v>61.395400000000002</v>
      </c>
      <c r="C3334">
        <f t="shared" si="55"/>
        <v>2015</v>
      </c>
    </row>
    <row r="3335" spans="1:3" x14ac:dyDescent="0.2">
      <c r="A3335" s="3">
        <v>42284</v>
      </c>
      <c r="B3335">
        <v>62.777299999999997</v>
      </c>
      <c r="C3335">
        <f t="shared" si="55"/>
        <v>2015</v>
      </c>
    </row>
    <row r="3336" spans="1:3" x14ac:dyDescent="0.2">
      <c r="A3336" s="3">
        <v>42283</v>
      </c>
      <c r="B3336">
        <v>63.431100000000001</v>
      </c>
      <c r="C3336">
        <f t="shared" si="55"/>
        <v>2015</v>
      </c>
    </row>
    <row r="3337" spans="1:3" x14ac:dyDescent="0.2">
      <c r="A3337" s="3">
        <v>42282</v>
      </c>
      <c r="B3337">
        <v>64.544700000000006</v>
      </c>
      <c r="C3337">
        <f t="shared" si="55"/>
        <v>2015</v>
      </c>
    </row>
    <row r="3338" spans="1:3" x14ac:dyDescent="0.2">
      <c r="A3338" s="3">
        <v>42281</v>
      </c>
      <c r="B3338">
        <v>66.408000000000001</v>
      </c>
      <c r="C3338">
        <f t="shared" si="55"/>
        <v>2015</v>
      </c>
    </row>
    <row r="3339" spans="1:3" x14ac:dyDescent="0.2">
      <c r="A3339" s="3">
        <v>42279</v>
      </c>
      <c r="B3339">
        <v>66.385000000000005</v>
      </c>
      <c r="C3339">
        <f t="shared" si="55"/>
        <v>2015</v>
      </c>
    </row>
    <row r="3340" spans="1:3" x14ac:dyDescent="0.2">
      <c r="A3340" s="3">
        <v>42278</v>
      </c>
      <c r="B3340">
        <v>65.681700000000006</v>
      </c>
      <c r="C3340">
        <f t="shared" si="55"/>
        <v>2015</v>
      </c>
    </row>
    <row r="3341" spans="1:3" x14ac:dyDescent="0.2">
      <c r="A3341" s="3">
        <v>42277</v>
      </c>
      <c r="B3341">
        <v>65.361900000000006</v>
      </c>
      <c r="C3341">
        <f t="shared" si="55"/>
        <v>2015</v>
      </c>
    </row>
    <row r="3342" spans="1:3" x14ac:dyDescent="0.2">
      <c r="A3342" s="3">
        <v>42276</v>
      </c>
      <c r="B3342">
        <v>65.925899999999999</v>
      </c>
      <c r="C3342">
        <f t="shared" si="55"/>
        <v>2015</v>
      </c>
    </row>
    <row r="3343" spans="1:3" x14ac:dyDescent="0.2">
      <c r="A3343" s="3">
        <v>42275</v>
      </c>
      <c r="B3343">
        <v>66.270300000000006</v>
      </c>
      <c r="C3343">
        <f t="shared" si="55"/>
        <v>2015</v>
      </c>
    </row>
    <row r="3344" spans="1:3" x14ac:dyDescent="0.2">
      <c r="A3344" s="3">
        <v>42274</v>
      </c>
      <c r="B3344">
        <v>65.594499999999996</v>
      </c>
      <c r="C3344">
        <f t="shared" si="55"/>
        <v>2015</v>
      </c>
    </row>
    <row r="3345" spans="1:3" x14ac:dyDescent="0.2">
      <c r="A3345" s="3">
        <v>42272</v>
      </c>
      <c r="B3345">
        <v>65.409499999999994</v>
      </c>
      <c r="C3345">
        <f t="shared" si="55"/>
        <v>2015</v>
      </c>
    </row>
    <row r="3346" spans="1:3" x14ac:dyDescent="0.2">
      <c r="A3346" s="3">
        <v>42271</v>
      </c>
      <c r="B3346">
        <v>66.050600000000003</v>
      </c>
      <c r="C3346">
        <f t="shared" si="55"/>
        <v>2015</v>
      </c>
    </row>
    <row r="3347" spans="1:3" x14ac:dyDescent="0.2">
      <c r="A3347" s="3">
        <v>42270</v>
      </c>
      <c r="B3347">
        <v>66.724500000000006</v>
      </c>
      <c r="C3347">
        <f t="shared" si="55"/>
        <v>2015</v>
      </c>
    </row>
    <row r="3348" spans="1:3" x14ac:dyDescent="0.2">
      <c r="A3348" s="3">
        <v>42269</v>
      </c>
      <c r="B3348">
        <v>65.958100000000002</v>
      </c>
      <c r="C3348">
        <f t="shared" si="55"/>
        <v>2015</v>
      </c>
    </row>
    <row r="3349" spans="1:3" x14ac:dyDescent="0.2">
      <c r="A3349" s="3">
        <v>42268</v>
      </c>
      <c r="B3349">
        <v>66.017899999999997</v>
      </c>
      <c r="C3349">
        <f t="shared" si="55"/>
        <v>2015</v>
      </c>
    </row>
    <row r="3350" spans="1:3" x14ac:dyDescent="0.2">
      <c r="A3350" s="3">
        <v>42267</v>
      </c>
      <c r="B3350">
        <v>66.512200000000007</v>
      </c>
      <c r="C3350">
        <f t="shared" si="55"/>
        <v>2015</v>
      </c>
    </row>
    <row r="3351" spans="1:3" x14ac:dyDescent="0.2">
      <c r="A3351" s="3">
        <v>42265</v>
      </c>
      <c r="B3351">
        <v>66.495000000000005</v>
      </c>
      <c r="C3351">
        <f t="shared" si="55"/>
        <v>2015</v>
      </c>
    </row>
    <row r="3352" spans="1:3" x14ac:dyDescent="0.2">
      <c r="A3352" s="3">
        <v>42264</v>
      </c>
      <c r="B3352">
        <v>65.489000000000004</v>
      </c>
      <c r="C3352">
        <f t="shared" si="55"/>
        <v>2015</v>
      </c>
    </row>
    <row r="3353" spans="1:3" x14ac:dyDescent="0.2">
      <c r="A3353" s="3">
        <v>42263</v>
      </c>
      <c r="B3353">
        <v>65.404799999999994</v>
      </c>
      <c r="C3353">
        <f t="shared" si="55"/>
        <v>2015</v>
      </c>
    </row>
    <row r="3354" spans="1:3" x14ac:dyDescent="0.2">
      <c r="A3354" s="3">
        <v>42262</v>
      </c>
      <c r="B3354">
        <v>66.761200000000002</v>
      </c>
      <c r="C3354">
        <f t="shared" si="55"/>
        <v>2015</v>
      </c>
    </row>
    <row r="3355" spans="1:3" x14ac:dyDescent="0.2">
      <c r="A3355" s="3">
        <v>42261</v>
      </c>
      <c r="B3355">
        <v>67.533900000000003</v>
      </c>
      <c r="C3355">
        <f t="shared" si="55"/>
        <v>2015</v>
      </c>
    </row>
    <row r="3356" spans="1:3" x14ac:dyDescent="0.2">
      <c r="A3356" s="3">
        <v>42260</v>
      </c>
      <c r="B3356">
        <v>67.999499999999998</v>
      </c>
      <c r="C3356">
        <f t="shared" si="55"/>
        <v>2015</v>
      </c>
    </row>
    <row r="3357" spans="1:3" x14ac:dyDescent="0.2">
      <c r="A3357" s="3">
        <v>42258</v>
      </c>
      <c r="B3357">
        <v>67.997399999999999</v>
      </c>
      <c r="C3357">
        <f t="shared" si="55"/>
        <v>2015</v>
      </c>
    </row>
    <row r="3358" spans="1:3" x14ac:dyDescent="0.2">
      <c r="A3358" s="3">
        <v>42257</v>
      </c>
      <c r="B3358">
        <v>67.715699999999998</v>
      </c>
      <c r="C3358">
        <f t="shared" si="55"/>
        <v>2015</v>
      </c>
    </row>
    <row r="3359" spans="1:3" x14ac:dyDescent="0.2">
      <c r="A3359" s="3">
        <v>42256</v>
      </c>
      <c r="B3359">
        <v>68.55</v>
      </c>
      <c r="C3359">
        <f t="shared" si="55"/>
        <v>2015</v>
      </c>
    </row>
    <row r="3360" spans="1:3" x14ac:dyDescent="0.2">
      <c r="A3360" s="3">
        <v>42255</v>
      </c>
      <c r="B3360">
        <v>67.946600000000004</v>
      </c>
      <c r="C3360">
        <f t="shared" si="55"/>
        <v>2015</v>
      </c>
    </row>
    <row r="3361" spans="1:3" x14ac:dyDescent="0.2">
      <c r="A3361" s="3">
        <v>42254</v>
      </c>
      <c r="B3361">
        <v>69.123999999999995</v>
      </c>
      <c r="C3361">
        <f t="shared" si="55"/>
        <v>2015</v>
      </c>
    </row>
    <row r="3362" spans="1:3" x14ac:dyDescent="0.2">
      <c r="A3362" s="3">
        <v>42253</v>
      </c>
      <c r="B3362">
        <v>67.543999999999997</v>
      </c>
      <c r="C3362">
        <f t="shared" si="55"/>
        <v>2015</v>
      </c>
    </row>
    <row r="3363" spans="1:3" x14ac:dyDescent="0.2">
      <c r="A3363" s="3">
        <v>42251</v>
      </c>
      <c r="B3363">
        <v>68.495000000000005</v>
      </c>
      <c r="C3363">
        <f t="shared" si="55"/>
        <v>2015</v>
      </c>
    </row>
    <row r="3364" spans="1:3" x14ac:dyDescent="0.2">
      <c r="A3364" s="3">
        <v>42250</v>
      </c>
      <c r="B3364">
        <v>66.459999999999994</v>
      </c>
      <c r="C3364">
        <f t="shared" si="55"/>
        <v>2015</v>
      </c>
    </row>
    <row r="3365" spans="1:3" x14ac:dyDescent="0.2">
      <c r="A3365" s="3">
        <v>42249</v>
      </c>
      <c r="B3365">
        <v>66.951899999999995</v>
      </c>
      <c r="C3365">
        <f t="shared" si="55"/>
        <v>2015</v>
      </c>
    </row>
    <row r="3366" spans="1:3" x14ac:dyDescent="0.2">
      <c r="A3366" s="3">
        <v>42248</v>
      </c>
      <c r="B3366">
        <v>66.670500000000004</v>
      </c>
      <c r="C3366">
        <f t="shared" si="55"/>
        <v>2015</v>
      </c>
    </row>
    <row r="3367" spans="1:3" x14ac:dyDescent="0.2">
      <c r="A3367" s="3">
        <v>42247</v>
      </c>
      <c r="B3367">
        <v>64.224900000000005</v>
      </c>
      <c r="C3367">
        <f t="shared" si="55"/>
        <v>2015</v>
      </c>
    </row>
    <row r="3368" spans="1:3" x14ac:dyDescent="0.2">
      <c r="A3368" s="3">
        <v>42244</v>
      </c>
      <c r="B3368">
        <v>65.206800000000001</v>
      </c>
      <c r="C3368">
        <f t="shared" si="55"/>
        <v>2015</v>
      </c>
    </row>
    <row r="3369" spans="1:3" x14ac:dyDescent="0.2">
      <c r="A3369" s="3">
        <v>42243</v>
      </c>
      <c r="B3369">
        <v>65.893000000000001</v>
      </c>
      <c r="C3369">
        <f t="shared" si="55"/>
        <v>2015</v>
      </c>
    </row>
    <row r="3370" spans="1:3" x14ac:dyDescent="0.2">
      <c r="A3370" s="3">
        <v>42242</v>
      </c>
      <c r="B3370">
        <v>68.926100000000005</v>
      </c>
      <c r="C3370">
        <f t="shared" si="55"/>
        <v>2015</v>
      </c>
    </row>
    <row r="3371" spans="1:3" x14ac:dyDescent="0.2">
      <c r="A3371" s="3">
        <v>42241</v>
      </c>
      <c r="B3371">
        <v>69.022900000000007</v>
      </c>
      <c r="C3371">
        <f t="shared" si="55"/>
        <v>2015</v>
      </c>
    </row>
    <row r="3372" spans="1:3" x14ac:dyDescent="0.2">
      <c r="A3372" s="3">
        <v>42240</v>
      </c>
      <c r="B3372">
        <v>70.886700000000005</v>
      </c>
      <c r="C3372">
        <f t="shared" si="55"/>
        <v>2015</v>
      </c>
    </row>
    <row r="3373" spans="1:3" x14ac:dyDescent="0.2">
      <c r="A3373" s="3">
        <v>42239</v>
      </c>
      <c r="B3373">
        <v>69.044399999999996</v>
      </c>
      <c r="C3373">
        <f t="shared" si="55"/>
        <v>2015</v>
      </c>
    </row>
    <row r="3374" spans="1:3" x14ac:dyDescent="0.2">
      <c r="A3374" s="3">
        <v>42237</v>
      </c>
      <c r="B3374">
        <v>69.1768</v>
      </c>
      <c r="C3374">
        <f t="shared" si="55"/>
        <v>2015</v>
      </c>
    </row>
    <row r="3375" spans="1:3" x14ac:dyDescent="0.2">
      <c r="A3375" s="3">
        <v>42236</v>
      </c>
      <c r="B3375">
        <v>68.051199999999994</v>
      </c>
      <c r="C3375">
        <f t="shared" si="55"/>
        <v>2015</v>
      </c>
    </row>
    <row r="3376" spans="1:3" x14ac:dyDescent="0.2">
      <c r="A3376" s="3">
        <v>42235</v>
      </c>
      <c r="B3376">
        <v>66.621799999999993</v>
      </c>
      <c r="C3376">
        <f t="shared" si="55"/>
        <v>2015</v>
      </c>
    </row>
    <row r="3377" spans="1:3" x14ac:dyDescent="0.2">
      <c r="A3377" s="3">
        <v>42234</v>
      </c>
      <c r="B3377">
        <v>65.825800000000001</v>
      </c>
      <c r="C3377">
        <f t="shared" si="55"/>
        <v>2015</v>
      </c>
    </row>
    <row r="3378" spans="1:3" x14ac:dyDescent="0.2">
      <c r="A3378" s="3">
        <v>42233</v>
      </c>
      <c r="B3378">
        <v>65.494299999999996</v>
      </c>
      <c r="C3378">
        <f t="shared" si="55"/>
        <v>2015</v>
      </c>
    </row>
    <row r="3379" spans="1:3" x14ac:dyDescent="0.2">
      <c r="A3379" s="3">
        <v>42232</v>
      </c>
      <c r="B3379">
        <v>65.338200000000001</v>
      </c>
      <c r="C3379">
        <f t="shared" si="55"/>
        <v>2015</v>
      </c>
    </row>
    <row r="3380" spans="1:3" x14ac:dyDescent="0.2">
      <c r="A3380" s="3">
        <v>42230</v>
      </c>
      <c r="B3380">
        <v>64.9465</v>
      </c>
      <c r="C3380">
        <f t="shared" si="55"/>
        <v>2015</v>
      </c>
    </row>
    <row r="3381" spans="1:3" x14ac:dyDescent="0.2">
      <c r="A3381" s="3">
        <v>42229</v>
      </c>
      <c r="B3381">
        <v>64.697400000000002</v>
      </c>
      <c r="C3381">
        <f t="shared" si="55"/>
        <v>2015</v>
      </c>
    </row>
    <row r="3382" spans="1:3" x14ac:dyDescent="0.2">
      <c r="A3382" s="3">
        <v>42228</v>
      </c>
      <c r="B3382">
        <v>64.237799999999993</v>
      </c>
      <c r="C3382">
        <f t="shared" si="55"/>
        <v>2015</v>
      </c>
    </row>
    <row r="3383" spans="1:3" x14ac:dyDescent="0.2">
      <c r="A3383" s="3">
        <v>42227</v>
      </c>
      <c r="B3383">
        <v>64.272999999999996</v>
      </c>
      <c r="C3383">
        <f t="shared" si="55"/>
        <v>2015</v>
      </c>
    </row>
    <row r="3384" spans="1:3" x14ac:dyDescent="0.2">
      <c r="A3384" s="3">
        <v>42226</v>
      </c>
      <c r="B3384">
        <v>62.948700000000002</v>
      </c>
      <c r="C3384">
        <f t="shared" si="55"/>
        <v>2015</v>
      </c>
    </row>
    <row r="3385" spans="1:3" x14ac:dyDescent="0.2">
      <c r="A3385" s="3">
        <v>42225</v>
      </c>
      <c r="B3385">
        <v>64.010000000000005</v>
      </c>
      <c r="C3385">
        <f t="shared" si="55"/>
        <v>2015</v>
      </c>
    </row>
    <row r="3386" spans="1:3" x14ac:dyDescent="0.2">
      <c r="A3386" s="3">
        <v>42223</v>
      </c>
      <c r="B3386">
        <v>64.0197</v>
      </c>
      <c r="C3386">
        <f t="shared" si="55"/>
        <v>2015</v>
      </c>
    </row>
    <row r="3387" spans="1:3" x14ac:dyDescent="0.2">
      <c r="A3387" s="3">
        <v>42222</v>
      </c>
      <c r="B3387">
        <v>64.025499999999994</v>
      </c>
      <c r="C3387">
        <f t="shared" si="55"/>
        <v>2015</v>
      </c>
    </row>
    <row r="3388" spans="1:3" x14ac:dyDescent="0.2">
      <c r="A3388" s="3">
        <v>42221</v>
      </c>
      <c r="B3388">
        <v>63.475000000000001</v>
      </c>
      <c r="C3388">
        <f t="shared" si="55"/>
        <v>2015</v>
      </c>
    </row>
    <row r="3389" spans="1:3" x14ac:dyDescent="0.2">
      <c r="A3389" s="3">
        <v>42220</v>
      </c>
      <c r="B3389">
        <v>63.097700000000003</v>
      </c>
      <c r="C3389">
        <f t="shared" si="55"/>
        <v>2015</v>
      </c>
    </row>
    <row r="3390" spans="1:3" x14ac:dyDescent="0.2">
      <c r="A3390" s="3">
        <v>42219</v>
      </c>
      <c r="B3390">
        <v>63.550400000000003</v>
      </c>
      <c r="C3390">
        <f t="shared" si="55"/>
        <v>2015</v>
      </c>
    </row>
    <row r="3391" spans="1:3" x14ac:dyDescent="0.2">
      <c r="A3391" s="3">
        <v>42218</v>
      </c>
      <c r="B3391">
        <v>60.7425</v>
      </c>
      <c r="C3391">
        <f t="shared" si="55"/>
        <v>2015</v>
      </c>
    </row>
    <row r="3392" spans="1:3" x14ac:dyDescent="0.2">
      <c r="A3392" s="3">
        <v>42216</v>
      </c>
      <c r="B3392">
        <v>61.704999999999998</v>
      </c>
      <c r="C3392">
        <f t="shared" si="55"/>
        <v>2015</v>
      </c>
    </row>
    <row r="3393" spans="1:3" x14ac:dyDescent="0.2">
      <c r="A3393" s="3">
        <v>42215</v>
      </c>
      <c r="B3393">
        <v>59.73</v>
      </c>
      <c r="C3393">
        <f t="shared" si="55"/>
        <v>2015</v>
      </c>
    </row>
    <row r="3394" spans="1:3" x14ac:dyDescent="0.2">
      <c r="A3394" s="3">
        <v>42214</v>
      </c>
      <c r="B3394">
        <v>58.675800000000002</v>
      </c>
      <c r="C3394">
        <f t="shared" si="55"/>
        <v>2015</v>
      </c>
    </row>
    <row r="3395" spans="1:3" x14ac:dyDescent="0.2">
      <c r="A3395" s="3">
        <v>42213</v>
      </c>
      <c r="B3395">
        <v>60.006599999999999</v>
      </c>
      <c r="C3395">
        <f t="shared" si="55"/>
        <v>2015</v>
      </c>
    </row>
    <row r="3396" spans="1:3" x14ac:dyDescent="0.2">
      <c r="A3396" s="3">
        <v>42212</v>
      </c>
      <c r="B3396">
        <v>59.6541</v>
      </c>
      <c r="C3396">
        <f t="shared" ref="C3396:C3459" si="56">YEAR(A3396)</f>
        <v>2015</v>
      </c>
    </row>
    <row r="3397" spans="1:3" x14ac:dyDescent="0.2">
      <c r="A3397" s="3">
        <v>42211</v>
      </c>
      <c r="B3397">
        <v>58.432499999999997</v>
      </c>
      <c r="C3397">
        <f t="shared" si="56"/>
        <v>2015</v>
      </c>
    </row>
    <row r="3398" spans="1:3" x14ac:dyDescent="0.2">
      <c r="A3398" s="3">
        <v>42209</v>
      </c>
      <c r="B3398">
        <v>58.591500000000003</v>
      </c>
      <c r="C3398">
        <f t="shared" si="56"/>
        <v>2015</v>
      </c>
    </row>
    <row r="3399" spans="1:3" x14ac:dyDescent="0.2">
      <c r="A3399" s="3">
        <v>42208</v>
      </c>
      <c r="B3399">
        <v>57.887</v>
      </c>
      <c r="C3399">
        <f t="shared" si="56"/>
        <v>2015</v>
      </c>
    </row>
    <row r="3400" spans="1:3" x14ac:dyDescent="0.2">
      <c r="A3400" s="3">
        <v>42207</v>
      </c>
      <c r="B3400">
        <v>57.441600000000001</v>
      </c>
      <c r="C3400">
        <f t="shared" si="56"/>
        <v>2015</v>
      </c>
    </row>
    <row r="3401" spans="1:3" x14ac:dyDescent="0.2">
      <c r="A3401" s="3">
        <v>42206</v>
      </c>
      <c r="B3401">
        <v>56.970300000000002</v>
      </c>
      <c r="C3401">
        <f t="shared" si="56"/>
        <v>2015</v>
      </c>
    </row>
    <row r="3402" spans="1:3" x14ac:dyDescent="0.2">
      <c r="A3402" s="3">
        <v>42205</v>
      </c>
      <c r="B3402">
        <v>56.963999999999999</v>
      </c>
      <c r="C3402">
        <f t="shared" si="56"/>
        <v>2015</v>
      </c>
    </row>
    <row r="3403" spans="1:3" x14ac:dyDescent="0.2">
      <c r="A3403" s="3">
        <v>42204</v>
      </c>
      <c r="B3403">
        <v>56.922499999999999</v>
      </c>
      <c r="C3403">
        <f t="shared" si="56"/>
        <v>2015</v>
      </c>
    </row>
    <row r="3404" spans="1:3" x14ac:dyDescent="0.2">
      <c r="A3404" s="3">
        <v>42202</v>
      </c>
      <c r="B3404">
        <v>56.948900000000002</v>
      </c>
      <c r="C3404">
        <f t="shared" si="56"/>
        <v>2015</v>
      </c>
    </row>
    <row r="3405" spans="1:3" x14ac:dyDescent="0.2">
      <c r="A3405" s="3">
        <v>42201</v>
      </c>
      <c r="B3405">
        <v>56.969499999999996</v>
      </c>
      <c r="C3405">
        <f t="shared" si="56"/>
        <v>2015</v>
      </c>
    </row>
    <row r="3406" spans="1:3" x14ac:dyDescent="0.2">
      <c r="A3406" s="3">
        <v>42200</v>
      </c>
      <c r="B3406">
        <v>56.946300000000001</v>
      </c>
      <c r="C3406">
        <f t="shared" si="56"/>
        <v>2015</v>
      </c>
    </row>
    <row r="3407" spans="1:3" x14ac:dyDescent="0.2">
      <c r="A3407" s="3">
        <v>42199</v>
      </c>
      <c r="B3407">
        <v>56.413200000000003</v>
      </c>
      <c r="C3407">
        <f t="shared" si="56"/>
        <v>2015</v>
      </c>
    </row>
    <row r="3408" spans="1:3" x14ac:dyDescent="0.2">
      <c r="A3408" s="3">
        <v>42198</v>
      </c>
      <c r="B3408">
        <v>56.549599999999998</v>
      </c>
      <c r="C3408">
        <f t="shared" si="56"/>
        <v>2015</v>
      </c>
    </row>
    <row r="3409" spans="1:3" x14ac:dyDescent="0.2">
      <c r="A3409" s="3">
        <v>42197</v>
      </c>
      <c r="B3409">
        <v>56.272100000000002</v>
      </c>
      <c r="C3409">
        <f t="shared" si="56"/>
        <v>2015</v>
      </c>
    </row>
    <row r="3410" spans="1:3" x14ac:dyDescent="0.2">
      <c r="A3410" s="3">
        <v>42195</v>
      </c>
      <c r="B3410">
        <v>56.418500000000002</v>
      </c>
      <c r="C3410">
        <f t="shared" si="56"/>
        <v>2015</v>
      </c>
    </row>
    <row r="3411" spans="1:3" x14ac:dyDescent="0.2">
      <c r="A3411" s="3">
        <v>42194</v>
      </c>
      <c r="B3411">
        <v>57.165199999999999</v>
      </c>
      <c r="C3411">
        <f t="shared" si="56"/>
        <v>2015</v>
      </c>
    </row>
    <row r="3412" spans="1:3" x14ac:dyDescent="0.2">
      <c r="A3412" s="3">
        <v>42193</v>
      </c>
      <c r="B3412">
        <v>57.474899999999998</v>
      </c>
      <c r="C3412">
        <f t="shared" si="56"/>
        <v>2015</v>
      </c>
    </row>
    <row r="3413" spans="1:3" x14ac:dyDescent="0.2">
      <c r="A3413" s="3">
        <v>42192</v>
      </c>
      <c r="B3413">
        <v>56.7104</v>
      </c>
      <c r="C3413">
        <f t="shared" si="56"/>
        <v>2015</v>
      </c>
    </row>
    <row r="3414" spans="1:3" x14ac:dyDescent="0.2">
      <c r="A3414" s="3">
        <v>42191</v>
      </c>
      <c r="B3414">
        <v>56.875300000000003</v>
      </c>
      <c r="C3414">
        <f t="shared" si="56"/>
        <v>2015</v>
      </c>
    </row>
    <row r="3415" spans="1:3" x14ac:dyDescent="0.2">
      <c r="A3415" s="3">
        <v>42190</v>
      </c>
      <c r="B3415">
        <v>56.172499999999999</v>
      </c>
      <c r="C3415">
        <f t="shared" si="56"/>
        <v>2015</v>
      </c>
    </row>
    <row r="3416" spans="1:3" x14ac:dyDescent="0.2">
      <c r="A3416" s="3">
        <v>42188</v>
      </c>
      <c r="B3416">
        <v>55.969499999999996</v>
      </c>
      <c r="C3416">
        <f t="shared" si="56"/>
        <v>2015</v>
      </c>
    </row>
    <row r="3417" spans="1:3" x14ac:dyDescent="0.2">
      <c r="A3417" s="3">
        <v>42187</v>
      </c>
      <c r="B3417">
        <v>55.517899999999997</v>
      </c>
      <c r="C3417">
        <f t="shared" si="56"/>
        <v>2015</v>
      </c>
    </row>
    <row r="3418" spans="1:3" x14ac:dyDescent="0.2">
      <c r="A3418" s="3">
        <v>42186</v>
      </c>
      <c r="B3418">
        <v>55.842399999999998</v>
      </c>
      <c r="C3418">
        <f t="shared" si="56"/>
        <v>2015</v>
      </c>
    </row>
    <row r="3419" spans="1:3" x14ac:dyDescent="0.2">
      <c r="A3419" s="3">
        <v>42185</v>
      </c>
      <c r="B3419">
        <v>55.341500000000003</v>
      </c>
      <c r="C3419">
        <f t="shared" si="56"/>
        <v>2015</v>
      </c>
    </row>
    <row r="3420" spans="1:3" x14ac:dyDescent="0.2">
      <c r="A3420" s="3">
        <v>42184</v>
      </c>
      <c r="B3420">
        <v>55.749099999999999</v>
      </c>
      <c r="C3420">
        <f t="shared" si="56"/>
        <v>2015</v>
      </c>
    </row>
    <row r="3421" spans="1:3" x14ac:dyDescent="0.2">
      <c r="A3421" s="3">
        <v>42183</v>
      </c>
      <c r="B3421">
        <v>55.407499999999999</v>
      </c>
      <c r="C3421">
        <f t="shared" si="56"/>
        <v>2015</v>
      </c>
    </row>
    <row r="3422" spans="1:3" x14ac:dyDescent="0.2">
      <c r="A3422" s="3">
        <v>42181</v>
      </c>
      <c r="B3422">
        <v>54.806399999999996</v>
      </c>
      <c r="C3422">
        <f t="shared" si="56"/>
        <v>2015</v>
      </c>
    </row>
    <row r="3423" spans="1:3" x14ac:dyDescent="0.2">
      <c r="A3423" s="3">
        <v>42180</v>
      </c>
      <c r="B3423">
        <v>54.6997</v>
      </c>
      <c r="C3423">
        <f t="shared" si="56"/>
        <v>2015</v>
      </c>
    </row>
    <row r="3424" spans="1:3" x14ac:dyDescent="0.2">
      <c r="A3424" s="3">
        <v>42179</v>
      </c>
      <c r="B3424">
        <v>54.462299999999999</v>
      </c>
      <c r="C3424">
        <f t="shared" si="56"/>
        <v>2015</v>
      </c>
    </row>
    <row r="3425" spans="1:3" x14ac:dyDescent="0.2">
      <c r="A3425" s="3">
        <v>42178</v>
      </c>
      <c r="B3425">
        <v>53.849600000000002</v>
      </c>
      <c r="C3425">
        <f t="shared" si="56"/>
        <v>2015</v>
      </c>
    </row>
    <row r="3426" spans="1:3" x14ac:dyDescent="0.2">
      <c r="A3426" s="3">
        <v>42177</v>
      </c>
      <c r="B3426">
        <v>53.936300000000003</v>
      </c>
      <c r="C3426">
        <f t="shared" si="56"/>
        <v>2015</v>
      </c>
    </row>
    <row r="3427" spans="1:3" x14ac:dyDescent="0.2">
      <c r="A3427" s="3">
        <v>42176</v>
      </c>
      <c r="B3427">
        <v>54.1875</v>
      </c>
      <c r="C3427">
        <f t="shared" si="56"/>
        <v>2015</v>
      </c>
    </row>
    <row r="3428" spans="1:3" x14ac:dyDescent="0.2">
      <c r="A3428" s="3">
        <v>42174</v>
      </c>
      <c r="B3428">
        <v>54.036000000000001</v>
      </c>
      <c r="C3428">
        <f t="shared" si="56"/>
        <v>2015</v>
      </c>
    </row>
    <row r="3429" spans="1:3" x14ac:dyDescent="0.2">
      <c r="A3429" s="3">
        <v>42173</v>
      </c>
      <c r="B3429">
        <v>53.453499999999998</v>
      </c>
      <c r="C3429">
        <f t="shared" si="56"/>
        <v>2015</v>
      </c>
    </row>
    <row r="3430" spans="1:3" x14ac:dyDescent="0.2">
      <c r="A3430" s="3">
        <v>42172</v>
      </c>
      <c r="B3430">
        <v>53.6434</v>
      </c>
      <c r="C3430">
        <f t="shared" si="56"/>
        <v>2015</v>
      </c>
    </row>
    <row r="3431" spans="1:3" x14ac:dyDescent="0.2">
      <c r="A3431" s="3">
        <v>42171</v>
      </c>
      <c r="B3431">
        <v>53.786999999999999</v>
      </c>
      <c r="C3431">
        <f t="shared" si="56"/>
        <v>2015</v>
      </c>
    </row>
    <row r="3432" spans="1:3" x14ac:dyDescent="0.2">
      <c r="A3432" s="3">
        <v>42170</v>
      </c>
      <c r="B3432">
        <v>54.526000000000003</v>
      </c>
      <c r="C3432">
        <f t="shared" si="56"/>
        <v>2015</v>
      </c>
    </row>
    <row r="3433" spans="1:3" x14ac:dyDescent="0.2">
      <c r="A3433" s="3">
        <v>42169</v>
      </c>
      <c r="B3433">
        <v>55.195</v>
      </c>
      <c r="C3433">
        <f t="shared" si="56"/>
        <v>2015</v>
      </c>
    </row>
    <row r="3434" spans="1:3" x14ac:dyDescent="0.2">
      <c r="A3434" s="3">
        <v>42167</v>
      </c>
      <c r="B3434">
        <v>55.228000000000002</v>
      </c>
      <c r="C3434">
        <f t="shared" si="56"/>
        <v>2015</v>
      </c>
    </row>
    <row r="3435" spans="1:3" x14ac:dyDescent="0.2">
      <c r="A3435" s="3">
        <v>42166</v>
      </c>
      <c r="B3435">
        <v>54.762799999999999</v>
      </c>
      <c r="C3435">
        <f t="shared" si="56"/>
        <v>2015</v>
      </c>
    </row>
    <row r="3436" spans="1:3" x14ac:dyDescent="0.2">
      <c r="A3436" s="3">
        <v>42165</v>
      </c>
      <c r="B3436">
        <v>54.355499999999999</v>
      </c>
      <c r="C3436">
        <f t="shared" si="56"/>
        <v>2015</v>
      </c>
    </row>
    <row r="3437" spans="1:3" x14ac:dyDescent="0.2">
      <c r="A3437" s="3">
        <v>42164</v>
      </c>
      <c r="B3437">
        <v>55.552700000000002</v>
      </c>
      <c r="C3437">
        <f t="shared" si="56"/>
        <v>2015</v>
      </c>
    </row>
    <row r="3438" spans="1:3" x14ac:dyDescent="0.2">
      <c r="A3438" s="3">
        <v>42163</v>
      </c>
      <c r="B3438">
        <v>55.997900000000001</v>
      </c>
      <c r="C3438">
        <f t="shared" si="56"/>
        <v>2015</v>
      </c>
    </row>
    <row r="3439" spans="1:3" x14ac:dyDescent="0.2">
      <c r="A3439" s="3">
        <v>42162</v>
      </c>
      <c r="B3439">
        <v>56.197499999999998</v>
      </c>
      <c r="C3439">
        <f t="shared" si="56"/>
        <v>2015</v>
      </c>
    </row>
    <row r="3440" spans="1:3" x14ac:dyDescent="0.2">
      <c r="A3440" s="3">
        <v>42160</v>
      </c>
      <c r="B3440">
        <v>56.125999999999998</v>
      </c>
      <c r="C3440">
        <f t="shared" si="56"/>
        <v>2015</v>
      </c>
    </row>
    <row r="3441" spans="1:3" x14ac:dyDescent="0.2">
      <c r="A3441" s="3">
        <v>42159</v>
      </c>
      <c r="B3441">
        <v>56.4283</v>
      </c>
      <c r="C3441">
        <f t="shared" si="56"/>
        <v>2015</v>
      </c>
    </row>
    <row r="3442" spans="1:3" x14ac:dyDescent="0.2">
      <c r="A3442" s="3">
        <v>42158</v>
      </c>
      <c r="B3442">
        <v>54.3033</v>
      </c>
      <c r="C3442">
        <f t="shared" si="56"/>
        <v>2015</v>
      </c>
    </row>
    <row r="3443" spans="1:3" x14ac:dyDescent="0.2">
      <c r="A3443" s="3">
        <v>42157</v>
      </c>
      <c r="B3443">
        <v>52.845799999999997</v>
      </c>
      <c r="C3443">
        <f t="shared" si="56"/>
        <v>2015</v>
      </c>
    </row>
    <row r="3444" spans="1:3" x14ac:dyDescent="0.2">
      <c r="A3444" s="3">
        <v>42156</v>
      </c>
      <c r="B3444">
        <v>53.573999999999998</v>
      </c>
      <c r="C3444">
        <f t="shared" si="56"/>
        <v>2015</v>
      </c>
    </row>
    <row r="3445" spans="1:3" x14ac:dyDescent="0.2">
      <c r="A3445" s="3">
        <v>42155</v>
      </c>
      <c r="B3445">
        <v>52.0916</v>
      </c>
      <c r="C3445">
        <f t="shared" si="56"/>
        <v>2015</v>
      </c>
    </row>
    <row r="3446" spans="1:3" x14ac:dyDescent="0.2">
      <c r="A3446" s="3">
        <v>42153</v>
      </c>
      <c r="B3446">
        <v>52.340499999999999</v>
      </c>
      <c r="C3446">
        <f t="shared" si="56"/>
        <v>2015</v>
      </c>
    </row>
    <row r="3447" spans="1:3" x14ac:dyDescent="0.2">
      <c r="A3447" s="3">
        <v>42152</v>
      </c>
      <c r="B3447">
        <v>52.704900000000002</v>
      </c>
      <c r="C3447">
        <f t="shared" si="56"/>
        <v>2015</v>
      </c>
    </row>
    <row r="3448" spans="1:3" x14ac:dyDescent="0.2">
      <c r="A3448" s="3">
        <v>42151</v>
      </c>
      <c r="B3448">
        <v>51.941099999999999</v>
      </c>
      <c r="C3448">
        <f t="shared" si="56"/>
        <v>2015</v>
      </c>
    </row>
    <row r="3449" spans="1:3" x14ac:dyDescent="0.2">
      <c r="A3449" s="3">
        <v>42150</v>
      </c>
      <c r="B3449">
        <v>50.842700000000001</v>
      </c>
      <c r="C3449">
        <f t="shared" si="56"/>
        <v>2015</v>
      </c>
    </row>
    <row r="3450" spans="1:3" x14ac:dyDescent="0.2">
      <c r="A3450" s="3">
        <v>42149</v>
      </c>
      <c r="B3450">
        <v>50.018799999999999</v>
      </c>
      <c r="C3450">
        <f t="shared" si="56"/>
        <v>2015</v>
      </c>
    </row>
    <row r="3451" spans="1:3" x14ac:dyDescent="0.2">
      <c r="A3451" s="3">
        <v>42148</v>
      </c>
      <c r="B3451">
        <v>49.992400000000004</v>
      </c>
      <c r="C3451">
        <f t="shared" si="56"/>
        <v>2015</v>
      </c>
    </row>
    <row r="3452" spans="1:3" x14ac:dyDescent="0.2">
      <c r="A3452" s="3">
        <v>42146</v>
      </c>
      <c r="B3452">
        <v>50.002099999999999</v>
      </c>
      <c r="C3452">
        <f t="shared" si="56"/>
        <v>2015</v>
      </c>
    </row>
    <row r="3453" spans="1:3" x14ac:dyDescent="0.2">
      <c r="A3453" s="3">
        <v>42145</v>
      </c>
      <c r="B3453">
        <v>49.9833</v>
      </c>
      <c r="C3453">
        <f t="shared" si="56"/>
        <v>2015</v>
      </c>
    </row>
    <row r="3454" spans="1:3" x14ac:dyDescent="0.2">
      <c r="A3454" s="3">
        <v>42144</v>
      </c>
      <c r="B3454">
        <v>49.770400000000002</v>
      </c>
      <c r="C3454">
        <f t="shared" si="56"/>
        <v>2015</v>
      </c>
    </row>
    <row r="3455" spans="1:3" x14ac:dyDescent="0.2">
      <c r="A3455" s="3">
        <v>42143</v>
      </c>
      <c r="B3455">
        <v>49.546199999999999</v>
      </c>
      <c r="C3455">
        <f t="shared" si="56"/>
        <v>2015</v>
      </c>
    </row>
    <row r="3456" spans="1:3" x14ac:dyDescent="0.2">
      <c r="A3456" s="3">
        <v>42142</v>
      </c>
      <c r="B3456">
        <v>49.095500000000001</v>
      </c>
      <c r="C3456">
        <f t="shared" si="56"/>
        <v>2015</v>
      </c>
    </row>
    <row r="3457" spans="1:3" x14ac:dyDescent="0.2">
      <c r="A3457" s="3">
        <v>42141</v>
      </c>
      <c r="B3457">
        <v>49.515000000000001</v>
      </c>
      <c r="C3457">
        <f t="shared" si="56"/>
        <v>2015</v>
      </c>
    </row>
    <row r="3458" spans="1:3" x14ac:dyDescent="0.2">
      <c r="A3458" s="3">
        <v>42139</v>
      </c>
      <c r="B3458">
        <v>49.531999999999996</v>
      </c>
      <c r="C3458">
        <f t="shared" si="56"/>
        <v>2015</v>
      </c>
    </row>
    <row r="3459" spans="1:3" x14ac:dyDescent="0.2">
      <c r="A3459" s="3">
        <v>42138</v>
      </c>
      <c r="B3459">
        <v>50.0685</v>
      </c>
      <c r="C3459">
        <f t="shared" si="56"/>
        <v>2015</v>
      </c>
    </row>
    <row r="3460" spans="1:3" x14ac:dyDescent="0.2">
      <c r="A3460" s="3">
        <v>42137</v>
      </c>
      <c r="B3460">
        <v>49.319099999999999</v>
      </c>
      <c r="C3460">
        <f t="shared" ref="C3460:C3523" si="57">YEAR(A3460)</f>
        <v>2015</v>
      </c>
    </row>
    <row r="3461" spans="1:3" x14ac:dyDescent="0.2">
      <c r="A3461" s="3">
        <v>42136</v>
      </c>
      <c r="B3461">
        <v>49.974499999999999</v>
      </c>
      <c r="C3461">
        <f t="shared" si="57"/>
        <v>2015</v>
      </c>
    </row>
    <row r="3462" spans="1:3" x14ac:dyDescent="0.2">
      <c r="A3462" s="3">
        <v>42135</v>
      </c>
      <c r="B3462">
        <v>51.244999999999997</v>
      </c>
      <c r="C3462">
        <f t="shared" si="57"/>
        <v>2015</v>
      </c>
    </row>
    <row r="3463" spans="1:3" x14ac:dyDescent="0.2">
      <c r="A3463" s="3">
        <v>42134</v>
      </c>
      <c r="B3463">
        <v>48.993000000000002</v>
      </c>
      <c r="C3463">
        <f t="shared" si="57"/>
        <v>2015</v>
      </c>
    </row>
    <row r="3464" spans="1:3" x14ac:dyDescent="0.2">
      <c r="A3464" s="3">
        <v>42132</v>
      </c>
      <c r="B3464">
        <v>50.913499999999999</v>
      </c>
      <c r="C3464">
        <f t="shared" si="57"/>
        <v>2015</v>
      </c>
    </row>
    <row r="3465" spans="1:3" x14ac:dyDescent="0.2">
      <c r="A3465" s="3">
        <v>42131</v>
      </c>
      <c r="B3465">
        <v>50.316699999999997</v>
      </c>
      <c r="C3465">
        <f t="shared" si="57"/>
        <v>2015</v>
      </c>
    </row>
    <row r="3466" spans="1:3" x14ac:dyDescent="0.2">
      <c r="A3466" s="3">
        <v>42130</v>
      </c>
      <c r="B3466">
        <v>50.817599999999999</v>
      </c>
      <c r="C3466">
        <f t="shared" si="57"/>
        <v>2015</v>
      </c>
    </row>
    <row r="3467" spans="1:3" x14ac:dyDescent="0.2">
      <c r="A3467" s="3">
        <v>42129</v>
      </c>
      <c r="B3467">
        <v>50.509500000000003</v>
      </c>
      <c r="C3467">
        <f t="shared" si="57"/>
        <v>2015</v>
      </c>
    </row>
    <row r="3468" spans="1:3" x14ac:dyDescent="0.2">
      <c r="A3468" s="3">
        <v>42128</v>
      </c>
      <c r="B3468">
        <v>52.1248</v>
      </c>
      <c r="C3468">
        <f t="shared" si="57"/>
        <v>2015</v>
      </c>
    </row>
    <row r="3469" spans="1:3" x14ac:dyDescent="0.2">
      <c r="A3469" s="3">
        <v>42127</v>
      </c>
      <c r="B3469">
        <v>51.710999999999999</v>
      </c>
      <c r="C3469">
        <f t="shared" si="57"/>
        <v>2015</v>
      </c>
    </row>
    <row r="3470" spans="1:3" x14ac:dyDescent="0.2">
      <c r="A3470" s="3">
        <v>42125</v>
      </c>
      <c r="B3470">
        <v>51.914999999999999</v>
      </c>
      <c r="C3470">
        <f t="shared" si="57"/>
        <v>2015</v>
      </c>
    </row>
    <row r="3471" spans="1:3" x14ac:dyDescent="0.2">
      <c r="A3471" s="3">
        <v>42124</v>
      </c>
      <c r="B3471">
        <v>51.587600000000002</v>
      </c>
      <c r="C3471">
        <f t="shared" si="57"/>
        <v>2015</v>
      </c>
    </row>
    <row r="3472" spans="1:3" x14ac:dyDescent="0.2">
      <c r="A3472" s="3">
        <v>42123</v>
      </c>
      <c r="B3472">
        <v>51.011000000000003</v>
      </c>
      <c r="C3472">
        <f t="shared" si="57"/>
        <v>2015</v>
      </c>
    </row>
    <row r="3473" spans="1:3" x14ac:dyDescent="0.2">
      <c r="A3473" s="3">
        <v>42122</v>
      </c>
      <c r="B3473">
        <v>51.332099999999997</v>
      </c>
      <c r="C3473">
        <f t="shared" si="57"/>
        <v>2015</v>
      </c>
    </row>
    <row r="3474" spans="1:3" x14ac:dyDescent="0.2">
      <c r="A3474" s="3">
        <v>42121</v>
      </c>
      <c r="B3474">
        <v>52.020400000000002</v>
      </c>
      <c r="C3474">
        <f t="shared" si="57"/>
        <v>2015</v>
      </c>
    </row>
    <row r="3475" spans="1:3" x14ac:dyDescent="0.2">
      <c r="A3475" s="3">
        <v>42120</v>
      </c>
      <c r="B3475">
        <v>50.895600000000002</v>
      </c>
      <c r="C3475">
        <f t="shared" si="57"/>
        <v>2015</v>
      </c>
    </row>
    <row r="3476" spans="1:3" x14ac:dyDescent="0.2">
      <c r="A3476" s="3">
        <v>42118</v>
      </c>
      <c r="B3476">
        <v>50.874499999999998</v>
      </c>
      <c r="C3476">
        <f t="shared" si="57"/>
        <v>2015</v>
      </c>
    </row>
    <row r="3477" spans="1:3" x14ac:dyDescent="0.2">
      <c r="A3477" s="3">
        <v>42117</v>
      </c>
      <c r="B3477">
        <v>50.814999999999998</v>
      </c>
      <c r="C3477">
        <f t="shared" si="57"/>
        <v>2015</v>
      </c>
    </row>
    <row r="3478" spans="1:3" x14ac:dyDescent="0.2">
      <c r="A3478" s="3">
        <v>42116</v>
      </c>
      <c r="B3478">
        <v>52.191600000000001</v>
      </c>
      <c r="C3478">
        <f t="shared" si="57"/>
        <v>2015</v>
      </c>
    </row>
    <row r="3479" spans="1:3" x14ac:dyDescent="0.2">
      <c r="A3479" s="3">
        <v>42115</v>
      </c>
      <c r="B3479">
        <v>53.697499999999998</v>
      </c>
      <c r="C3479">
        <f t="shared" si="57"/>
        <v>2015</v>
      </c>
    </row>
    <row r="3480" spans="1:3" x14ac:dyDescent="0.2">
      <c r="A3480" s="3">
        <v>42114</v>
      </c>
      <c r="B3480">
        <v>53.384999999999998</v>
      </c>
      <c r="C3480">
        <f t="shared" si="57"/>
        <v>2015</v>
      </c>
    </row>
    <row r="3481" spans="1:3" x14ac:dyDescent="0.2">
      <c r="A3481" s="3">
        <v>42111</v>
      </c>
      <c r="B3481">
        <v>51.963999999999999</v>
      </c>
      <c r="C3481">
        <f t="shared" si="57"/>
        <v>2015</v>
      </c>
    </row>
    <row r="3482" spans="1:3" x14ac:dyDescent="0.2">
      <c r="A3482" s="3">
        <v>42110</v>
      </c>
      <c r="B3482">
        <v>49.809699999999999</v>
      </c>
      <c r="C3482">
        <f t="shared" si="57"/>
        <v>2015</v>
      </c>
    </row>
    <row r="3483" spans="1:3" x14ac:dyDescent="0.2">
      <c r="A3483" s="3">
        <v>42109</v>
      </c>
      <c r="B3483">
        <v>49.730600000000003</v>
      </c>
      <c r="C3483">
        <f t="shared" si="57"/>
        <v>2015</v>
      </c>
    </row>
    <row r="3484" spans="1:3" x14ac:dyDescent="0.2">
      <c r="A3484" s="3">
        <v>42108</v>
      </c>
      <c r="B3484">
        <v>50.947499999999998</v>
      </c>
      <c r="C3484">
        <f t="shared" si="57"/>
        <v>2015</v>
      </c>
    </row>
    <row r="3485" spans="1:3" x14ac:dyDescent="0.2">
      <c r="A3485" s="3">
        <v>42107</v>
      </c>
      <c r="B3485">
        <v>52.278199999999998</v>
      </c>
      <c r="C3485">
        <f t="shared" si="57"/>
        <v>2015</v>
      </c>
    </row>
    <row r="3486" spans="1:3" x14ac:dyDescent="0.2">
      <c r="A3486" s="3">
        <v>42106</v>
      </c>
      <c r="B3486">
        <v>53.588299999999997</v>
      </c>
      <c r="C3486">
        <f t="shared" si="57"/>
        <v>2015</v>
      </c>
    </row>
    <row r="3487" spans="1:3" x14ac:dyDescent="0.2">
      <c r="A3487" s="3">
        <v>42104</v>
      </c>
      <c r="B3487">
        <v>53.585799999999999</v>
      </c>
      <c r="C3487">
        <f t="shared" si="57"/>
        <v>2015</v>
      </c>
    </row>
    <row r="3488" spans="1:3" x14ac:dyDescent="0.2">
      <c r="A3488" s="3">
        <v>42103</v>
      </c>
      <c r="B3488">
        <v>51.966900000000003</v>
      </c>
      <c r="C3488">
        <f t="shared" si="57"/>
        <v>2015</v>
      </c>
    </row>
    <row r="3489" spans="1:3" x14ac:dyDescent="0.2">
      <c r="A3489" s="3">
        <v>42102</v>
      </c>
      <c r="B3489">
        <v>53.654800000000002</v>
      </c>
      <c r="C3489">
        <f t="shared" si="57"/>
        <v>2015</v>
      </c>
    </row>
    <row r="3490" spans="1:3" x14ac:dyDescent="0.2">
      <c r="A3490" s="3">
        <v>42101</v>
      </c>
      <c r="B3490">
        <v>55.033000000000001</v>
      </c>
      <c r="C3490">
        <f t="shared" si="57"/>
        <v>2015</v>
      </c>
    </row>
    <row r="3491" spans="1:3" x14ac:dyDescent="0.2">
      <c r="A3491" s="3">
        <v>42100</v>
      </c>
      <c r="B3491">
        <v>55.463000000000001</v>
      </c>
      <c r="C3491">
        <f t="shared" si="57"/>
        <v>2015</v>
      </c>
    </row>
    <row r="3492" spans="1:3" x14ac:dyDescent="0.2">
      <c r="A3492" s="3">
        <v>42099</v>
      </c>
      <c r="B3492">
        <v>56.549399999999999</v>
      </c>
      <c r="C3492">
        <f t="shared" si="57"/>
        <v>2015</v>
      </c>
    </row>
    <row r="3493" spans="1:3" x14ac:dyDescent="0.2">
      <c r="A3493" s="3">
        <v>42097</v>
      </c>
      <c r="B3493">
        <v>56.671199999999999</v>
      </c>
      <c r="C3493">
        <f t="shared" si="57"/>
        <v>2015</v>
      </c>
    </row>
    <row r="3494" spans="1:3" x14ac:dyDescent="0.2">
      <c r="A3494" s="3">
        <v>42096</v>
      </c>
      <c r="B3494">
        <v>56.602800000000002</v>
      </c>
      <c r="C3494">
        <f t="shared" si="57"/>
        <v>2015</v>
      </c>
    </row>
    <row r="3495" spans="1:3" x14ac:dyDescent="0.2">
      <c r="A3495" s="3">
        <v>42095</v>
      </c>
      <c r="B3495">
        <v>57.604199999999999</v>
      </c>
      <c r="C3495">
        <f t="shared" si="57"/>
        <v>2015</v>
      </c>
    </row>
    <row r="3496" spans="1:3" x14ac:dyDescent="0.2">
      <c r="A3496" s="3">
        <v>42094</v>
      </c>
      <c r="B3496">
        <v>58.186100000000003</v>
      </c>
      <c r="C3496">
        <f t="shared" si="57"/>
        <v>2015</v>
      </c>
    </row>
    <row r="3497" spans="1:3" x14ac:dyDescent="0.2">
      <c r="A3497" s="3">
        <v>42093</v>
      </c>
      <c r="B3497">
        <v>57.514000000000003</v>
      </c>
      <c r="C3497">
        <f t="shared" si="57"/>
        <v>2015</v>
      </c>
    </row>
    <row r="3498" spans="1:3" x14ac:dyDescent="0.2">
      <c r="A3498" s="3">
        <v>42092</v>
      </c>
      <c r="B3498">
        <v>57.930900000000001</v>
      </c>
      <c r="C3498">
        <f t="shared" si="57"/>
        <v>2015</v>
      </c>
    </row>
    <row r="3499" spans="1:3" x14ac:dyDescent="0.2">
      <c r="A3499" s="3">
        <v>42090</v>
      </c>
      <c r="B3499">
        <v>57.849200000000003</v>
      </c>
      <c r="C3499">
        <f t="shared" si="57"/>
        <v>2015</v>
      </c>
    </row>
    <row r="3500" spans="1:3" x14ac:dyDescent="0.2">
      <c r="A3500" s="3">
        <v>42089</v>
      </c>
      <c r="B3500">
        <v>57.325400000000002</v>
      </c>
      <c r="C3500">
        <f t="shared" si="57"/>
        <v>2015</v>
      </c>
    </row>
    <row r="3501" spans="1:3" x14ac:dyDescent="0.2">
      <c r="A3501" s="3">
        <v>42088</v>
      </c>
      <c r="B3501">
        <v>57.428400000000003</v>
      </c>
      <c r="C3501">
        <f t="shared" si="57"/>
        <v>2015</v>
      </c>
    </row>
    <row r="3502" spans="1:3" x14ac:dyDescent="0.2">
      <c r="A3502" s="3">
        <v>42087</v>
      </c>
      <c r="B3502">
        <v>57.7346</v>
      </c>
      <c r="C3502">
        <f t="shared" si="57"/>
        <v>2015</v>
      </c>
    </row>
    <row r="3503" spans="1:3" x14ac:dyDescent="0.2">
      <c r="A3503" s="3">
        <v>42086</v>
      </c>
      <c r="B3503">
        <v>58.749299999999998</v>
      </c>
      <c r="C3503">
        <f t="shared" si="57"/>
        <v>2015</v>
      </c>
    </row>
    <row r="3504" spans="1:3" x14ac:dyDescent="0.2">
      <c r="A3504" s="3">
        <v>42085</v>
      </c>
      <c r="B3504">
        <v>59.313299999999998</v>
      </c>
      <c r="C3504">
        <f t="shared" si="57"/>
        <v>2015</v>
      </c>
    </row>
    <row r="3505" spans="1:3" x14ac:dyDescent="0.2">
      <c r="A3505" s="3">
        <v>42083</v>
      </c>
      <c r="B3505">
        <v>59.293399999999998</v>
      </c>
      <c r="C3505">
        <f t="shared" si="57"/>
        <v>2015</v>
      </c>
    </row>
    <row r="3506" spans="1:3" x14ac:dyDescent="0.2">
      <c r="A3506" s="3">
        <v>42082</v>
      </c>
      <c r="B3506">
        <v>60.088799999999999</v>
      </c>
      <c r="C3506">
        <f t="shared" si="57"/>
        <v>2015</v>
      </c>
    </row>
    <row r="3507" spans="1:3" x14ac:dyDescent="0.2">
      <c r="A3507" s="3">
        <v>42081</v>
      </c>
      <c r="B3507">
        <v>59.448</v>
      </c>
      <c r="C3507">
        <f t="shared" si="57"/>
        <v>2015</v>
      </c>
    </row>
    <row r="3508" spans="1:3" x14ac:dyDescent="0.2">
      <c r="A3508" s="3">
        <v>42080</v>
      </c>
      <c r="B3508">
        <v>61.449599999999997</v>
      </c>
      <c r="C3508">
        <f t="shared" si="57"/>
        <v>2015</v>
      </c>
    </row>
    <row r="3509" spans="1:3" x14ac:dyDescent="0.2">
      <c r="A3509" s="3">
        <v>42079</v>
      </c>
      <c r="B3509">
        <v>62.195300000000003</v>
      </c>
      <c r="C3509">
        <f t="shared" si="57"/>
        <v>2015</v>
      </c>
    </row>
    <row r="3510" spans="1:3" x14ac:dyDescent="0.2">
      <c r="A3510" s="3">
        <v>42078</v>
      </c>
      <c r="B3510">
        <v>62.335799999999999</v>
      </c>
      <c r="C3510">
        <f t="shared" si="57"/>
        <v>2015</v>
      </c>
    </row>
    <row r="3511" spans="1:3" x14ac:dyDescent="0.2">
      <c r="A3511" s="3">
        <v>42076</v>
      </c>
      <c r="B3511">
        <v>62.234499999999997</v>
      </c>
      <c r="C3511">
        <f t="shared" si="57"/>
        <v>2015</v>
      </c>
    </row>
    <row r="3512" spans="1:3" x14ac:dyDescent="0.2">
      <c r="A3512" s="3">
        <v>42075</v>
      </c>
      <c r="B3512">
        <v>61.276000000000003</v>
      </c>
      <c r="C3512">
        <f t="shared" si="57"/>
        <v>2015</v>
      </c>
    </row>
    <row r="3513" spans="1:3" x14ac:dyDescent="0.2">
      <c r="A3513" s="3">
        <v>42074</v>
      </c>
      <c r="B3513">
        <v>61.6892</v>
      </c>
      <c r="C3513">
        <f t="shared" si="57"/>
        <v>2015</v>
      </c>
    </row>
    <row r="3514" spans="1:3" x14ac:dyDescent="0.2">
      <c r="A3514" s="3">
        <v>42073</v>
      </c>
      <c r="B3514">
        <v>62.456499999999998</v>
      </c>
      <c r="C3514">
        <f t="shared" si="57"/>
        <v>2015</v>
      </c>
    </row>
    <row r="3515" spans="1:3" x14ac:dyDescent="0.2">
      <c r="A3515" s="3">
        <v>42072</v>
      </c>
      <c r="B3515">
        <v>60.353499999999997</v>
      </c>
      <c r="C3515">
        <f t="shared" si="57"/>
        <v>2015</v>
      </c>
    </row>
    <row r="3516" spans="1:3" x14ac:dyDescent="0.2">
      <c r="A3516" s="3">
        <v>42071</v>
      </c>
      <c r="B3516">
        <v>60.469299999999997</v>
      </c>
      <c r="C3516">
        <f t="shared" si="57"/>
        <v>2015</v>
      </c>
    </row>
    <row r="3517" spans="1:3" x14ac:dyDescent="0.2">
      <c r="A3517" s="3">
        <v>42069</v>
      </c>
      <c r="B3517">
        <v>60.43</v>
      </c>
      <c r="C3517">
        <f t="shared" si="57"/>
        <v>2015</v>
      </c>
    </row>
    <row r="3518" spans="1:3" x14ac:dyDescent="0.2">
      <c r="A3518" s="3">
        <v>42068</v>
      </c>
      <c r="B3518">
        <v>60.894500000000001</v>
      </c>
      <c r="C3518">
        <f t="shared" si="57"/>
        <v>2015</v>
      </c>
    </row>
    <row r="3519" spans="1:3" x14ac:dyDescent="0.2">
      <c r="A3519" s="3">
        <v>42067</v>
      </c>
      <c r="B3519">
        <v>61.8264</v>
      </c>
      <c r="C3519">
        <f t="shared" si="57"/>
        <v>2015</v>
      </c>
    </row>
    <row r="3520" spans="1:3" x14ac:dyDescent="0.2">
      <c r="A3520" s="3">
        <v>42066</v>
      </c>
      <c r="B3520">
        <v>61.892000000000003</v>
      </c>
      <c r="C3520">
        <f t="shared" si="57"/>
        <v>2015</v>
      </c>
    </row>
    <row r="3521" spans="1:3" x14ac:dyDescent="0.2">
      <c r="A3521" s="3">
        <v>42065</v>
      </c>
      <c r="B3521">
        <v>62.536099999999998</v>
      </c>
      <c r="C3521">
        <f t="shared" si="57"/>
        <v>2015</v>
      </c>
    </row>
    <row r="3522" spans="1:3" x14ac:dyDescent="0.2">
      <c r="A3522" s="3">
        <v>42064</v>
      </c>
      <c r="B3522">
        <v>63.8504</v>
      </c>
      <c r="C3522">
        <f t="shared" si="57"/>
        <v>2015</v>
      </c>
    </row>
    <row r="3523" spans="1:3" x14ac:dyDescent="0.2">
      <c r="A3523" s="3">
        <v>42062</v>
      </c>
      <c r="B3523">
        <v>61.753500000000003</v>
      </c>
      <c r="C3523">
        <f t="shared" si="57"/>
        <v>2015</v>
      </c>
    </row>
    <row r="3524" spans="1:3" x14ac:dyDescent="0.2">
      <c r="A3524" s="3">
        <v>42061</v>
      </c>
      <c r="B3524">
        <v>61.177999999999997</v>
      </c>
      <c r="C3524">
        <f t="shared" ref="C3524:C3587" si="58">YEAR(A3524)</f>
        <v>2015</v>
      </c>
    </row>
    <row r="3525" spans="1:3" x14ac:dyDescent="0.2">
      <c r="A3525" s="3">
        <v>42060</v>
      </c>
      <c r="B3525">
        <v>61.421199999999999</v>
      </c>
      <c r="C3525">
        <f t="shared" si="58"/>
        <v>2015</v>
      </c>
    </row>
    <row r="3526" spans="1:3" x14ac:dyDescent="0.2">
      <c r="A3526" s="3">
        <v>42059</v>
      </c>
      <c r="B3526">
        <v>62.902500000000003</v>
      </c>
      <c r="C3526">
        <f t="shared" si="58"/>
        <v>2015</v>
      </c>
    </row>
    <row r="3527" spans="1:3" x14ac:dyDescent="0.2">
      <c r="A3527" s="3">
        <v>42058</v>
      </c>
      <c r="B3527">
        <v>63.704500000000003</v>
      </c>
      <c r="C3527">
        <f t="shared" si="58"/>
        <v>2015</v>
      </c>
    </row>
    <row r="3528" spans="1:3" x14ac:dyDescent="0.2">
      <c r="A3528" s="3">
        <v>42057</v>
      </c>
      <c r="B3528">
        <v>61.601999999999997</v>
      </c>
      <c r="C3528">
        <f t="shared" si="58"/>
        <v>2015</v>
      </c>
    </row>
    <row r="3529" spans="1:3" x14ac:dyDescent="0.2">
      <c r="A3529" s="3">
        <v>42055</v>
      </c>
      <c r="B3529">
        <v>62.060499999999998</v>
      </c>
      <c r="C3529">
        <f t="shared" si="58"/>
        <v>2015</v>
      </c>
    </row>
    <row r="3530" spans="1:3" x14ac:dyDescent="0.2">
      <c r="A3530" s="3">
        <v>42054</v>
      </c>
      <c r="B3530">
        <v>61.905000000000001</v>
      </c>
      <c r="C3530">
        <f t="shared" si="58"/>
        <v>2015</v>
      </c>
    </row>
    <row r="3531" spans="1:3" x14ac:dyDescent="0.2">
      <c r="A3531" s="3">
        <v>42053</v>
      </c>
      <c r="B3531">
        <v>61.564900000000002</v>
      </c>
      <c r="C3531">
        <f t="shared" si="58"/>
        <v>2015</v>
      </c>
    </row>
    <row r="3532" spans="1:3" x14ac:dyDescent="0.2">
      <c r="A3532" s="3">
        <v>42052</v>
      </c>
      <c r="B3532">
        <v>63.258200000000002</v>
      </c>
      <c r="C3532">
        <f t="shared" si="58"/>
        <v>2015</v>
      </c>
    </row>
    <row r="3533" spans="1:3" x14ac:dyDescent="0.2">
      <c r="A3533" s="3">
        <v>42051</v>
      </c>
      <c r="B3533">
        <v>63.200600000000001</v>
      </c>
      <c r="C3533">
        <f t="shared" si="58"/>
        <v>2015</v>
      </c>
    </row>
    <row r="3534" spans="1:3" x14ac:dyDescent="0.2">
      <c r="A3534" s="3">
        <v>42050</v>
      </c>
      <c r="B3534">
        <v>63.300600000000003</v>
      </c>
      <c r="C3534">
        <f t="shared" si="58"/>
        <v>2015</v>
      </c>
    </row>
    <row r="3535" spans="1:3" x14ac:dyDescent="0.2">
      <c r="A3535" s="3">
        <v>42048</v>
      </c>
      <c r="B3535">
        <v>63.441699999999997</v>
      </c>
      <c r="C3535">
        <f t="shared" si="58"/>
        <v>2015</v>
      </c>
    </row>
    <row r="3536" spans="1:3" x14ac:dyDescent="0.2">
      <c r="A3536" s="3">
        <v>42047</v>
      </c>
      <c r="B3536">
        <v>65.3857</v>
      </c>
      <c r="C3536">
        <f t="shared" si="58"/>
        <v>2015</v>
      </c>
    </row>
    <row r="3537" spans="1:3" x14ac:dyDescent="0.2">
      <c r="A3537" s="3">
        <v>42046</v>
      </c>
      <c r="B3537">
        <v>65.176299999999998</v>
      </c>
      <c r="C3537">
        <f t="shared" si="58"/>
        <v>2015</v>
      </c>
    </row>
    <row r="3538" spans="1:3" x14ac:dyDescent="0.2">
      <c r="A3538" s="3">
        <v>42045</v>
      </c>
      <c r="B3538">
        <v>65.462299999999999</v>
      </c>
      <c r="C3538">
        <f t="shared" si="58"/>
        <v>2015</v>
      </c>
    </row>
    <row r="3539" spans="1:3" x14ac:dyDescent="0.2">
      <c r="A3539" s="3">
        <v>42044</v>
      </c>
      <c r="B3539">
        <v>65.784999999999997</v>
      </c>
      <c r="C3539">
        <f t="shared" si="58"/>
        <v>2015</v>
      </c>
    </row>
    <row r="3540" spans="1:3" x14ac:dyDescent="0.2">
      <c r="A3540" s="3">
        <v>42043</v>
      </c>
      <c r="B3540">
        <v>66.856999999999999</v>
      </c>
      <c r="C3540">
        <f t="shared" si="58"/>
        <v>2015</v>
      </c>
    </row>
    <row r="3541" spans="1:3" x14ac:dyDescent="0.2">
      <c r="A3541" s="3">
        <v>42041</v>
      </c>
      <c r="B3541">
        <v>66.856999999999999</v>
      </c>
      <c r="C3541">
        <f t="shared" si="58"/>
        <v>2015</v>
      </c>
    </row>
    <row r="3542" spans="1:3" x14ac:dyDescent="0.2">
      <c r="A3542" s="3">
        <v>42040</v>
      </c>
      <c r="B3542">
        <v>66.5946</v>
      </c>
      <c r="C3542">
        <f t="shared" si="58"/>
        <v>2015</v>
      </c>
    </row>
    <row r="3543" spans="1:3" x14ac:dyDescent="0.2">
      <c r="A3543" s="3">
        <v>42039</v>
      </c>
      <c r="B3543">
        <v>67.900000000000006</v>
      </c>
      <c r="C3543">
        <f t="shared" si="58"/>
        <v>2015</v>
      </c>
    </row>
    <row r="3544" spans="1:3" x14ac:dyDescent="0.2">
      <c r="A3544" s="3">
        <v>42038</v>
      </c>
      <c r="B3544">
        <v>65.226399999999998</v>
      </c>
      <c r="C3544">
        <f t="shared" si="58"/>
        <v>2015</v>
      </c>
    </row>
    <row r="3545" spans="1:3" x14ac:dyDescent="0.2">
      <c r="A3545" s="3">
        <v>42037</v>
      </c>
      <c r="B3545">
        <v>68.322999999999993</v>
      </c>
      <c r="C3545">
        <f t="shared" si="58"/>
        <v>2015</v>
      </c>
    </row>
    <row r="3546" spans="1:3" x14ac:dyDescent="0.2">
      <c r="A3546" s="3">
        <v>42036</v>
      </c>
      <c r="B3546">
        <v>69.946600000000004</v>
      </c>
      <c r="C3546">
        <f t="shared" si="58"/>
        <v>2015</v>
      </c>
    </row>
    <row r="3547" spans="1:3" x14ac:dyDescent="0.2">
      <c r="A3547" s="3">
        <v>42034</v>
      </c>
      <c r="B3547">
        <v>69.4666</v>
      </c>
      <c r="C3547">
        <f t="shared" si="58"/>
        <v>2015</v>
      </c>
    </row>
    <row r="3548" spans="1:3" x14ac:dyDescent="0.2">
      <c r="A3548" s="3">
        <v>42033</v>
      </c>
      <c r="B3548">
        <v>68.968199999999996</v>
      </c>
      <c r="C3548">
        <f t="shared" si="58"/>
        <v>2015</v>
      </c>
    </row>
    <row r="3549" spans="1:3" x14ac:dyDescent="0.2">
      <c r="A3549" s="3">
        <v>42032</v>
      </c>
      <c r="B3549">
        <v>67.764200000000002</v>
      </c>
      <c r="C3549">
        <f t="shared" si="58"/>
        <v>2015</v>
      </c>
    </row>
    <row r="3550" spans="1:3" x14ac:dyDescent="0.2">
      <c r="A3550" s="3">
        <v>42031</v>
      </c>
      <c r="B3550">
        <v>67.522199999999998</v>
      </c>
      <c r="C3550">
        <f t="shared" si="58"/>
        <v>2015</v>
      </c>
    </row>
    <row r="3551" spans="1:3" x14ac:dyDescent="0.2">
      <c r="A3551" s="3">
        <v>42030</v>
      </c>
      <c r="B3551">
        <v>68.453400000000002</v>
      </c>
      <c r="C3551">
        <f t="shared" si="58"/>
        <v>2015</v>
      </c>
    </row>
    <row r="3552" spans="1:3" x14ac:dyDescent="0.2">
      <c r="A3552" s="3">
        <v>42029</v>
      </c>
      <c r="B3552">
        <v>63.706800000000001</v>
      </c>
      <c r="C3552">
        <f t="shared" si="58"/>
        <v>2015</v>
      </c>
    </row>
    <row r="3553" spans="1:3" x14ac:dyDescent="0.2">
      <c r="A3553" s="3">
        <v>42027</v>
      </c>
      <c r="B3553">
        <v>63.705599999999997</v>
      </c>
      <c r="C3553">
        <f t="shared" si="58"/>
        <v>2015</v>
      </c>
    </row>
    <row r="3554" spans="1:3" x14ac:dyDescent="0.2">
      <c r="A3554" s="3">
        <v>42026</v>
      </c>
      <c r="B3554">
        <v>64.175299999999993</v>
      </c>
      <c r="C3554">
        <f t="shared" si="58"/>
        <v>2015</v>
      </c>
    </row>
    <row r="3555" spans="1:3" x14ac:dyDescent="0.2">
      <c r="A3555" s="3">
        <v>42025</v>
      </c>
      <c r="B3555">
        <v>65.200299999999999</v>
      </c>
      <c r="C3555">
        <f t="shared" si="58"/>
        <v>2015</v>
      </c>
    </row>
    <row r="3556" spans="1:3" x14ac:dyDescent="0.2">
      <c r="A3556" s="3">
        <v>42024</v>
      </c>
      <c r="B3556">
        <v>65.244</v>
      </c>
      <c r="C3556">
        <f t="shared" si="58"/>
        <v>2015</v>
      </c>
    </row>
    <row r="3557" spans="1:3" x14ac:dyDescent="0.2">
      <c r="A3557" s="3">
        <v>42023</v>
      </c>
      <c r="B3557">
        <v>64.879800000000003</v>
      </c>
      <c r="C3557">
        <f t="shared" si="58"/>
        <v>2015</v>
      </c>
    </row>
    <row r="3558" spans="1:3" x14ac:dyDescent="0.2">
      <c r="A3558" s="3">
        <v>42022</v>
      </c>
      <c r="B3558">
        <v>65.300399999999996</v>
      </c>
      <c r="C3558">
        <f t="shared" si="58"/>
        <v>2015</v>
      </c>
    </row>
    <row r="3559" spans="1:3" x14ac:dyDescent="0.2">
      <c r="A3559" s="3">
        <v>42020</v>
      </c>
      <c r="B3559">
        <v>65.305999999999997</v>
      </c>
      <c r="C3559">
        <f t="shared" si="58"/>
        <v>2015</v>
      </c>
    </row>
    <row r="3560" spans="1:3" x14ac:dyDescent="0.2">
      <c r="A3560" s="3">
        <v>42019</v>
      </c>
      <c r="B3560">
        <v>65.149600000000007</v>
      </c>
      <c r="C3560">
        <f t="shared" si="58"/>
        <v>2015</v>
      </c>
    </row>
    <row r="3561" spans="1:3" x14ac:dyDescent="0.2">
      <c r="A3561" s="3">
        <v>42018</v>
      </c>
      <c r="B3561">
        <v>64.652299999999997</v>
      </c>
      <c r="C3561">
        <f t="shared" si="58"/>
        <v>2015</v>
      </c>
    </row>
    <row r="3562" spans="1:3" x14ac:dyDescent="0.2">
      <c r="A3562" s="3">
        <v>42017</v>
      </c>
      <c r="B3562">
        <v>65.209900000000005</v>
      </c>
      <c r="C3562">
        <f t="shared" si="58"/>
        <v>2015</v>
      </c>
    </row>
    <row r="3563" spans="1:3" x14ac:dyDescent="0.2">
      <c r="A3563" s="3">
        <v>42016</v>
      </c>
      <c r="B3563">
        <v>63.141100000000002</v>
      </c>
      <c r="C3563">
        <f t="shared" si="58"/>
        <v>2015</v>
      </c>
    </row>
    <row r="3564" spans="1:3" x14ac:dyDescent="0.2">
      <c r="A3564" s="3">
        <v>42013</v>
      </c>
      <c r="B3564">
        <v>62.039299999999997</v>
      </c>
      <c r="C3564">
        <f t="shared" si="58"/>
        <v>2015</v>
      </c>
    </row>
    <row r="3565" spans="1:3" x14ac:dyDescent="0.2">
      <c r="A3565" s="3">
        <v>42012</v>
      </c>
      <c r="B3565">
        <v>60.121499999999997</v>
      </c>
      <c r="C3565">
        <f t="shared" si="58"/>
        <v>2015</v>
      </c>
    </row>
    <row r="3566" spans="1:3" x14ac:dyDescent="0.2">
      <c r="A3566" s="3">
        <v>42011</v>
      </c>
      <c r="B3566">
        <v>62.9</v>
      </c>
      <c r="C3566">
        <f t="shared" si="58"/>
        <v>2015</v>
      </c>
    </row>
    <row r="3567" spans="1:3" x14ac:dyDescent="0.2">
      <c r="A3567" s="3">
        <v>42010</v>
      </c>
      <c r="B3567">
        <v>63.091700000000003</v>
      </c>
      <c r="C3567">
        <f t="shared" si="58"/>
        <v>2015</v>
      </c>
    </row>
    <row r="3568" spans="1:3" x14ac:dyDescent="0.2">
      <c r="A3568" s="3">
        <v>42009</v>
      </c>
      <c r="B3568">
        <v>61.616799999999998</v>
      </c>
      <c r="C3568">
        <f t="shared" si="58"/>
        <v>2015</v>
      </c>
    </row>
    <row r="3569" spans="1:3" x14ac:dyDescent="0.2">
      <c r="A3569" s="3">
        <v>42006</v>
      </c>
      <c r="B3569">
        <v>58.75</v>
      </c>
      <c r="C3569">
        <f t="shared" si="58"/>
        <v>2015</v>
      </c>
    </row>
    <row r="3570" spans="1:3" x14ac:dyDescent="0.2">
      <c r="A3570" s="3">
        <v>42005</v>
      </c>
      <c r="B3570">
        <v>57.8018</v>
      </c>
      <c r="C3570">
        <f t="shared" si="58"/>
        <v>2015</v>
      </c>
    </row>
    <row r="3571" spans="1:3" x14ac:dyDescent="0.2">
      <c r="A3571" s="3">
        <v>42004</v>
      </c>
      <c r="B3571">
        <v>60.735999999999997</v>
      </c>
      <c r="C3571">
        <f t="shared" si="58"/>
        <v>2014</v>
      </c>
    </row>
    <row r="3572" spans="1:3" x14ac:dyDescent="0.2">
      <c r="A3572" s="3">
        <v>42003</v>
      </c>
      <c r="B3572">
        <v>56.379399999999997</v>
      </c>
      <c r="C3572">
        <f t="shared" si="58"/>
        <v>2014</v>
      </c>
    </row>
    <row r="3573" spans="1:3" x14ac:dyDescent="0.2">
      <c r="A3573" s="3">
        <v>42002</v>
      </c>
      <c r="B3573">
        <v>58.494900000000001</v>
      </c>
      <c r="C3573">
        <f t="shared" si="58"/>
        <v>2014</v>
      </c>
    </row>
    <row r="3574" spans="1:3" x14ac:dyDescent="0.2">
      <c r="A3574" s="3">
        <v>42001</v>
      </c>
      <c r="B3574">
        <v>53.919899999999998</v>
      </c>
      <c r="C3574">
        <f t="shared" si="58"/>
        <v>2014</v>
      </c>
    </row>
    <row r="3575" spans="1:3" x14ac:dyDescent="0.2">
      <c r="A3575" s="3">
        <v>41999</v>
      </c>
      <c r="B3575">
        <v>53.500100000000003</v>
      </c>
      <c r="C3575">
        <f t="shared" si="58"/>
        <v>2014</v>
      </c>
    </row>
    <row r="3576" spans="1:3" x14ac:dyDescent="0.2">
      <c r="A3576" s="3">
        <v>41998</v>
      </c>
      <c r="B3576">
        <v>52.086199999999998</v>
      </c>
      <c r="C3576">
        <f t="shared" si="58"/>
        <v>2014</v>
      </c>
    </row>
    <row r="3577" spans="1:3" x14ac:dyDescent="0.2">
      <c r="A3577" s="3">
        <v>41997</v>
      </c>
      <c r="B3577">
        <v>53.802</v>
      </c>
      <c r="C3577">
        <f t="shared" si="58"/>
        <v>2014</v>
      </c>
    </row>
    <row r="3578" spans="1:3" x14ac:dyDescent="0.2">
      <c r="A3578" s="3">
        <v>41996</v>
      </c>
      <c r="B3578">
        <v>54.711300000000001</v>
      </c>
      <c r="C3578">
        <f t="shared" si="58"/>
        <v>2014</v>
      </c>
    </row>
    <row r="3579" spans="1:3" x14ac:dyDescent="0.2">
      <c r="A3579" s="3">
        <v>41995</v>
      </c>
      <c r="B3579">
        <v>55.645699999999998</v>
      </c>
      <c r="C3579">
        <f t="shared" si="58"/>
        <v>2014</v>
      </c>
    </row>
    <row r="3580" spans="1:3" x14ac:dyDescent="0.2">
      <c r="A3580" s="3">
        <v>41994</v>
      </c>
      <c r="B3580">
        <v>58.728999999999999</v>
      </c>
      <c r="C3580">
        <f t="shared" si="58"/>
        <v>2014</v>
      </c>
    </row>
    <row r="3581" spans="1:3" x14ac:dyDescent="0.2">
      <c r="A3581" s="3">
        <v>41992</v>
      </c>
      <c r="B3581">
        <v>59.616799999999998</v>
      </c>
      <c r="C3581">
        <f t="shared" si="58"/>
        <v>2014</v>
      </c>
    </row>
    <row r="3582" spans="1:3" x14ac:dyDescent="0.2">
      <c r="A3582" s="3">
        <v>41991</v>
      </c>
      <c r="B3582">
        <v>61.621499999999997</v>
      </c>
      <c r="C3582">
        <f t="shared" si="58"/>
        <v>2014</v>
      </c>
    </row>
    <row r="3583" spans="1:3" x14ac:dyDescent="0.2">
      <c r="A3583" s="3">
        <v>41990</v>
      </c>
      <c r="B3583">
        <v>61.592500000000001</v>
      </c>
      <c r="C3583">
        <f t="shared" si="58"/>
        <v>2014</v>
      </c>
    </row>
    <row r="3584" spans="1:3" x14ac:dyDescent="0.2">
      <c r="A3584" s="3">
        <v>41989</v>
      </c>
      <c r="B3584">
        <v>67.914299999999997</v>
      </c>
      <c r="C3584">
        <f t="shared" si="58"/>
        <v>2014</v>
      </c>
    </row>
    <row r="3585" spans="1:3" x14ac:dyDescent="0.2">
      <c r="A3585" s="3">
        <v>41988</v>
      </c>
      <c r="B3585">
        <v>64.237200000000001</v>
      </c>
      <c r="C3585">
        <f t="shared" si="58"/>
        <v>2014</v>
      </c>
    </row>
    <row r="3586" spans="1:3" x14ac:dyDescent="0.2">
      <c r="A3586" s="3">
        <v>41985</v>
      </c>
      <c r="B3586">
        <v>58.280500000000004</v>
      </c>
      <c r="C3586">
        <f t="shared" si="58"/>
        <v>2014</v>
      </c>
    </row>
    <row r="3587" spans="1:3" x14ac:dyDescent="0.2">
      <c r="A3587" s="3">
        <v>41984</v>
      </c>
      <c r="B3587">
        <v>55.717799999999997</v>
      </c>
      <c r="C3587">
        <f t="shared" si="58"/>
        <v>2014</v>
      </c>
    </row>
    <row r="3588" spans="1:3" x14ac:dyDescent="0.2">
      <c r="A3588" s="3">
        <v>41983</v>
      </c>
      <c r="B3588">
        <v>54.847999999999999</v>
      </c>
      <c r="C3588">
        <f t="shared" ref="C3588:C3651" si="59">YEAR(A3588)</f>
        <v>2014</v>
      </c>
    </row>
    <row r="3589" spans="1:3" x14ac:dyDescent="0.2">
      <c r="A3589" s="3">
        <v>41982</v>
      </c>
      <c r="B3589">
        <v>54.241300000000003</v>
      </c>
      <c r="C3589">
        <f t="shared" si="59"/>
        <v>2014</v>
      </c>
    </row>
    <row r="3590" spans="1:3" x14ac:dyDescent="0.2">
      <c r="A3590" s="3">
        <v>41981</v>
      </c>
      <c r="B3590">
        <v>53.796399999999998</v>
      </c>
      <c r="C3590">
        <f t="shared" si="59"/>
        <v>2014</v>
      </c>
    </row>
    <row r="3591" spans="1:3" x14ac:dyDescent="0.2">
      <c r="A3591" s="3">
        <v>41978</v>
      </c>
      <c r="B3591">
        <v>52.891800000000003</v>
      </c>
      <c r="C3591">
        <f t="shared" si="59"/>
        <v>2014</v>
      </c>
    </row>
    <row r="3592" spans="1:3" x14ac:dyDescent="0.2">
      <c r="A3592" s="3">
        <v>41977</v>
      </c>
      <c r="B3592">
        <v>54.455399999999997</v>
      </c>
      <c r="C3592">
        <f t="shared" si="59"/>
        <v>2014</v>
      </c>
    </row>
    <row r="3593" spans="1:3" x14ac:dyDescent="0.2">
      <c r="A3593" s="3">
        <v>41976</v>
      </c>
      <c r="B3593">
        <v>53.1753</v>
      </c>
      <c r="C3593">
        <f t="shared" si="59"/>
        <v>2014</v>
      </c>
    </row>
    <row r="3594" spans="1:3" x14ac:dyDescent="0.2">
      <c r="A3594" s="3">
        <v>41975</v>
      </c>
      <c r="B3594">
        <v>53.970999999999997</v>
      </c>
      <c r="C3594">
        <f t="shared" si="59"/>
        <v>2014</v>
      </c>
    </row>
    <row r="3595" spans="1:3" x14ac:dyDescent="0.2">
      <c r="A3595" s="3">
        <v>41974</v>
      </c>
      <c r="B3595">
        <v>51.6479</v>
      </c>
      <c r="C3595">
        <f t="shared" si="59"/>
        <v>2014</v>
      </c>
    </row>
    <row r="3596" spans="1:3" x14ac:dyDescent="0.2">
      <c r="A3596" s="3">
        <v>41971</v>
      </c>
      <c r="B3596">
        <v>49.466999999999999</v>
      </c>
      <c r="C3596">
        <f t="shared" si="59"/>
        <v>2014</v>
      </c>
    </row>
    <row r="3597" spans="1:3" x14ac:dyDescent="0.2">
      <c r="A3597" s="3">
        <v>41970</v>
      </c>
      <c r="B3597">
        <v>48.582599999999999</v>
      </c>
      <c r="C3597">
        <f t="shared" si="59"/>
        <v>2014</v>
      </c>
    </row>
    <row r="3598" spans="1:3" x14ac:dyDescent="0.2">
      <c r="A3598" s="3">
        <v>41969</v>
      </c>
      <c r="B3598">
        <v>47.058100000000003</v>
      </c>
      <c r="C3598">
        <f t="shared" si="59"/>
        <v>2014</v>
      </c>
    </row>
    <row r="3599" spans="1:3" x14ac:dyDescent="0.2">
      <c r="A3599" s="3">
        <v>41968</v>
      </c>
      <c r="B3599">
        <v>46.0441</v>
      </c>
      <c r="C3599">
        <f t="shared" si="59"/>
        <v>2014</v>
      </c>
    </row>
    <row r="3600" spans="1:3" x14ac:dyDescent="0.2">
      <c r="A3600" s="3">
        <v>41967</v>
      </c>
      <c r="B3600">
        <v>44.836399999999998</v>
      </c>
      <c r="C3600">
        <f t="shared" si="59"/>
        <v>2014</v>
      </c>
    </row>
    <row r="3601" spans="1:3" x14ac:dyDescent="0.2">
      <c r="A3601" s="3">
        <v>41964</v>
      </c>
      <c r="B3601">
        <v>45.834499999999998</v>
      </c>
      <c r="C3601">
        <f t="shared" si="59"/>
        <v>2014</v>
      </c>
    </row>
    <row r="3602" spans="1:3" x14ac:dyDescent="0.2">
      <c r="A3602" s="3">
        <v>41963</v>
      </c>
      <c r="B3602">
        <v>46.286200000000001</v>
      </c>
      <c r="C3602">
        <f t="shared" si="59"/>
        <v>2014</v>
      </c>
    </row>
    <row r="3603" spans="1:3" x14ac:dyDescent="0.2">
      <c r="A3603" s="3">
        <v>41962</v>
      </c>
      <c r="B3603">
        <v>46.730600000000003</v>
      </c>
      <c r="C3603">
        <f t="shared" si="59"/>
        <v>2014</v>
      </c>
    </row>
    <row r="3604" spans="1:3" x14ac:dyDescent="0.2">
      <c r="A3604" s="3">
        <v>41961</v>
      </c>
      <c r="B3604">
        <v>46.854500000000002</v>
      </c>
      <c r="C3604">
        <f t="shared" si="59"/>
        <v>2014</v>
      </c>
    </row>
    <row r="3605" spans="1:3" x14ac:dyDescent="0.2">
      <c r="A3605" s="3">
        <v>41960</v>
      </c>
      <c r="B3605">
        <v>47.2</v>
      </c>
      <c r="C3605">
        <f t="shared" si="59"/>
        <v>2014</v>
      </c>
    </row>
    <row r="3606" spans="1:3" x14ac:dyDescent="0.2">
      <c r="A3606" s="3">
        <v>41957</v>
      </c>
      <c r="B3606">
        <v>47.311</v>
      </c>
      <c r="C3606">
        <f t="shared" si="59"/>
        <v>2014</v>
      </c>
    </row>
    <row r="3607" spans="1:3" x14ac:dyDescent="0.2">
      <c r="A3607" s="3">
        <v>41956</v>
      </c>
      <c r="B3607">
        <v>46.5411</v>
      </c>
      <c r="C3607">
        <f t="shared" si="59"/>
        <v>2014</v>
      </c>
    </row>
    <row r="3608" spans="1:3" x14ac:dyDescent="0.2">
      <c r="A3608" s="3">
        <v>41955</v>
      </c>
      <c r="B3608">
        <v>45.589799999999997</v>
      </c>
      <c r="C3608">
        <f t="shared" si="59"/>
        <v>2014</v>
      </c>
    </row>
    <row r="3609" spans="1:3" x14ac:dyDescent="0.2">
      <c r="A3609" s="3">
        <v>41954</v>
      </c>
      <c r="B3609">
        <v>46.691600000000001</v>
      </c>
      <c r="C3609">
        <f t="shared" si="59"/>
        <v>2014</v>
      </c>
    </row>
    <row r="3610" spans="1:3" x14ac:dyDescent="0.2">
      <c r="A3610" s="3">
        <v>41953</v>
      </c>
      <c r="B3610">
        <v>45.614100000000001</v>
      </c>
      <c r="C3610">
        <f t="shared" si="59"/>
        <v>2014</v>
      </c>
    </row>
    <row r="3611" spans="1:3" x14ac:dyDescent="0.2">
      <c r="A3611" s="3">
        <v>41950</v>
      </c>
      <c r="B3611">
        <v>46.723199999999999</v>
      </c>
      <c r="C3611">
        <f t="shared" si="59"/>
        <v>2014</v>
      </c>
    </row>
    <row r="3612" spans="1:3" x14ac:dyDescent="0.2">
      <c r="A3612" s="3">
        <v>41949</v>
      </c>
      <c r="B3612">
        <v>46.607599999999998</v>
      </c>
      <c r="C3612">
        <f t="shared" si="59"/>
        <v>2014</v>
      </c>
    </row>
    <row r="3613" spans="1:3" x14ac:dyDescent="0.2">
      <c r="A3613" s="3">
        <v>41948</v>
      </c>
      <c r="B3613">
        <v>44.8748</v>
      </c>
      <c r="C3613">
        <f t="shared" si="59"/>
        <v>2014</v>
      </c>
    </row>
    <row r="3614" spans="1:3" x14ac:dyDescent="0.2">
      <c r="A3614" s="3">
        <v>41947</v>
      </c>
      <c r="B3614">
        <v>43.71</v>
      </c>
      <c r="C3614">
        <f t="shared" si="59"/>
        <v>2014</v>
      </c>
    </row>
    <row r="3615" spans="1:3" x14ac:dyDescent="0.2">
      <c r="A3615" s="3">
        <v>41946</v>
      </c>
      <c r="B3615">
        <v>43.492100000000001</v>
      </c>
      <c r="C3615">
        <f t="shared" si="59"/>
        <v>2014</v>
      </c>
    </row>
    <row r="3616" spans="1:3" x14ac:dyDescent="0.2">
      <c r="A3616" s="3">
        <v>41943</v>
      </c>
      <c r="B3616">
        <v>43.009500000000003</v>
      </c>
      <c r="C3616">
        <f t="shared" si="59"/>
        <v>2014</v>
      </c>
    </row>
    <row r="3617" spans="1:3" x14ac:dyDescent="0.2">
      <c r="A3617" s="3">
        <v>41942</v>
      </c>
      <c r="B3617">
        <v>41.502000000000002</v>
      </c>
      <c r="C3617">
        <f t="shared" si="59"/>
        <v>2014</v>
      </c>
    </row>
    <row r="3618" spans="1:3" x14ac:dyDescent="0.2">
      <c r="A3618" s="3">
        <v>41941</v>
      </c>
      <c r="B3618">
        <v>42.849600000000002</v>
      </c>
      <c r="C3618">
        <f t="shared" si="59"/>
        <v>2014</v>
      </c>
    </row>
    <row r="3619" spans="1:3" x14ac:dyDescent="0.2">
      <c r="A3619" s="3">
        <v>41940</v>
      </c>
      <c r="B3619">
        <v>42.459499999999998</v>
      </c>
      <c r="C3619">
        <f t="shared" si="59"/>
        <v>2014</v>
      </c>
    </row>
    <row r="3620" spans="1:3" x14ac:dyDescent="0.2">
      <c r="A3620" s="3">
        <v>41939</v>
      </c>
      <c r="B3620">
        <v>42.271799999999999</v>
      </c>
      <c r="C3620">
        <f t="shared" si="59"/>
        <v>2014</v>
      </c>
    </row>
    <row r="3621" spans="1:3" x14ac:dyDescent="0.2">
      <c r="A3621" s="3">
        <v>41936</v>
      </c>
      <c r="B3621">
        <v>41.808500000000002</v>
      </c>
      <c r="C3621">
        <f t="shared" si="59"/>
        <v>2014</v>
      </c>
    </row>
    <row r="3622" spans="1:3" x14ac:dyDescent="0.2">
      <c r="A3622" s="3">
        <v>41935</v>
      </c>
      <c r="B3622">
        <v>41.728099999999998</v>
      </c>
      <c r="C3622">
        <f t="shared" si="59"/>
        <v>2014</v>
      </c>
    </row>
    <row r="3623" spans="1:3" x14ac:dyDescent="0.2">
      <c r="A3623" s="3">
        <v>41934</v>
      </c>
      <c r="B3623">
        <v>41.346200000000003</v>
      </c>
      <c r="C3623">
        <f t="shared" si="59"/>
        <v>2014</v>
      </c>
    </row>
    <row r="3624" spans="1:3" x14ac:dyDescent="0.2">
      <c r="A3624" s="3">
        <v>41933</v>
      </c>
      <c r="B3624">
        <v>40.909799999999997</v>
      </c>
      <c r="C3624">
        <f t="shared" si="59"/>
        <v>2014</v>
      </c>
    </row>
    <row r="3625" spans="1:3" x14ac:dyDescent="0.2">
      <c r="A3625" s="3">
        <v>41932</v>
      </c>
      <c r="B3625">
        <v>40.961599999999997</v>
      </c>
      <c r="C3625">
        <f t="shared" si="59"/>
        <v>2014</v>
      </c>
    </row>
    <row r="3626" spans="1:3" x14ac:dyDescent="0.2">
      <c r="A3626" s="3">
        <v>41929</v>
      </c>
      <c r="B3626">
        <v>40.645600000000002</v>
      </c>
      <c r="C3626">
        <f t="shared" si="59"/>
        <v>2014</v>
      </c>
    </row>
    <row r="3627" spans="1:3" x14ac:dyDescent="0.2">
      <c r="A3627" s="3">
        <v>41928</v>
      </c>
      <c r="B3627">
        <v>40.8626</v>
      </c>
      <c r="C3627">
        <f t="shared" si="59"/>
        <v>2014</v>
      </c>
    </row>
    <row r="3628" spans="1:3" x14ac:dyDescent="0.2">
      <c r="A3628" s="3">
        <v>41927</v>
      </c>
      <c r="B3628">
        <v>40.692300000000003</v>
      </c>
      <c r="C3628">
        <f t="shared" si="59"/>
        <v>2014</v>
      </c>
    </row>
    <row r="3629" spans="1:3" x14ac:dyDescent="0.2">
      <c r="A3629" s="3">
        <v>41926</v>
      </c>
      <c r="B3629">
        <v>40.866199999999999</v>
      </c>
      <c r="C3629">
        <f t="shared" si="59"/>
        <v>2014</v>
      </c>
    </row>
    <row r="3630" spans="1:3" x14ac:dyDescent="0.2">
      <c r="A3630" s="3">
        <v>41925</v>
      </c>
      <c r="B3630">
        <v>40.504899999999999</v>
      </c>
      <c r="C3630">
        <f t="shared" si="59"/>
        <v>2014</v>
      </c>
    </row>
    <row r="3631" spans="1:3" x14ac:dyDescent="0.2">
      <c r="A3631" s="3">
        <v>41922</v>
      </c>
      <c r="B3631">
        <v>40.365200000000002</v>
      </c>
      <c r="C3631">
        <f t="shared" si="59"/>
        <v>2014</v>
      </c>
    </row>
    <row r="3632" spans="1:3" x14ac:dyDescent="0.2">
      <c r="A3632" s="3">
        <v>41921</v>
      </c>
      <c r="B3632">
        <v>40.109299999999998</v>
      </c>
      <c r="C3632">
        <f t="shared" si="59"/>
        <v>2014</v>
      </c>
    </row>
    <row r="3633" spans="1:3" x14ac:dyDescent="0.2">
      <c r="A3633" s="3">
        <v>41920</v>
      </c>
      <c r="B3633">
        <v>40.147199999999998</v>
      </c>
      <c r="C3633">
        <f t="shared" si="59"/>
        <v>2014</v>
      </c>
    </row>
    <row r="3634" spans="1:3" x14ac:dyDescent="0.2">
      <c r="A3634" s="3">
        <v>41919</v>
      </c>
      <c r="B3634">
        <v>39.946199999999997</v>
      </c>
      <c r="C3634">
        <f t="shared" si="59"/>
        <v>2014</v>
      </c>
    </row>
    <row r="3635" spans="1:3" x14ac:dyDescent="0.2">
      <c r="A3635" s="3">
        <v>41918</v>
      </c>
      <c r="B3635">
        <v>39.826999999999998</v>
      </c>
      <c r="C3635">
        <f t="shared" si="59"/>
        <v>2014</v>
      </c>
    </row>
    <row r="3636" spans="1:3" x14ac:dyDescent="0.2">
      <c r="A3636" s="3">
        <v>41915</v>
      </c>
      <c r="B3636">
        <v>39.938099999999999</v>
      </c>
      <c r="C3636">
        <f t="shared" si="59"/>
        <v>2014</v>
      </c>
    </row>
    <row r="3637" spans="1:3" x14ac:dyDescent="0.2">
      <c r="A3637" s="3">
        <v>41914</v>
      </c>
      <c r="B3637">
        <v>39.619500000000002</v>
      </c>
      <c r="C3637">
        <f t="shared" si="59"/>
        <v>2014</v>
      </c>
    </row>
    <row r="3638" spans="1:3" x14ac:dyDescent="0.2">
      <c r="A3638" s="3">
        <v>41913</v>
      </c>
      <c r="B3638">
        <v>39.689700000000002</v>
      </c>
      <c r="C3638">
        <f t="shared" si="59"/>
        <v>2014</v>
      </c>
    </row>
    <row r="3639" spans="1:3" x14ac:dyDescent="0.2">
      <c r="A3639" s="3">
        <v>41912</v>
      </c>
      <c r="B3639">
        <v>39.600299999999997</v>
      </c>
      <c r="C3639">
        <f t="shared" si="59"/>
        <v>2014</v>
      </c>
    </row>
    <row r="3640" spans="1:3" x14ac:dyDescent="0.2">
      <c r="A3640" s="3">
        <v>41911</v>
      </c>
      <c r="B3640">
        <v>39.447499999999998</v>
      </c>
      <c r="C3640">
        <f t="shared" si="59"/>
        <v>2014</v>
      </c>
    </row>
    <row r="3641" spans="1:3" x14ac:dyDescent="0.2">
      <c r="A3641" s="3">
        <v>41908</v>
      </c>
      <c r="B3641">
        <v>39.169600000000003</v>
      </c>
      <c r="C3641">
        <f t="shared" si="59"/>
        <v>2014</v>
      </c>
    </row>
    <row r="3642" spans="1:3" x14ac:dyDescent="0.2">
      <c r="A3642" s="3">
        <v>41907</v>
      </c>
      <c r="B3642">
        <v>38.483800000000002</v>
      </c>
      <c r="C3642">
        <f t="shared" si="59"/>
        <v>2014</v>
      </c>
    </row>
    <row r="3643" spans="1:3" x14ac:dyDescent="0.2">
      <c r="A3643" s="3">
        <v>41906</v>
      </c>
      <c r="B3643">
        <v>38.186199999999999</v>
      </c>
      <c r="C3643">
        <f t="shared" si="59"/>
        <v>2014</v>
      </c>
    </row>
    <row r="3644" spans="1:3" x14ac:dyDescent="0.2">
      <c r="A3644" s="3">
        <v>41905</v>
      </c>
      <c r="B3644">
        <v>38.590699999999998</v>
      </c>
      <c r="C3644">
        <f t="shared" si="59"/>
        <v>2014</v>
      </c>
    </row>
    <row r="3645" spans="1:3" x14ac:dyDescent="0.2">
      <c r="A3645" s="3">
        <v>41904</v>
      </c>
      <c r="B3645">
        <v>38.692500000000003</v>
      </c>
      <c r="C3645">
        <f t="shared" si="59"/>
        <v>2014</v>
      </c>
    </row>
    <row r="3646" spans="1:3" x14ac:dyDescent="0.2">
      <c r="A3646" s="3">
        <v>41901</v>
      </c>
      <c r="B3646">
        <v>38.427399999999999</v>
      </c>
      <c r="C3646">
        <f t="shared" si="59"/>
        <v>2014</v>
      </c>
    </row>
    <row r="3647" spans="1:3" x14ac:dyDescent="0.2">
      <c r="A3647" s="3">
        <v>41900</v>
      </c>
      <c r="B3647">
        <v>38.471899999999998</v>
      </c>
      <c r="C3647">
        <f t="shared" si="59"/>
        <v>2014</v>
      </c>
    </row>
    <row r="3648" spans="1:3" x14ac:dyDescent="0.2">
      <c r="A3648" s="3">
        <v>41899</v>
      </c>
      <c r="B3648">
        <v>38.374000000000002</v>
      </c>
      <c r="C3648">
        <f t="shared" si="59"/>
        <v>2014</v>
      </c>
    </row>
    <row r="3649" spans="1:3" x14ac:dyDescent="0.2">
      <c r="A3649" s="3">
        <v>41898</v>
      </c>
      <c r="B3649">
        <v>38.274000000000001</v>
      </c>
      <c r="C3649">
        <f t="shared" si="59"/>
        <v>2014</v>
      </c>
    </row>
    <row r="3650" spans="1:3" x14ac:dyDescent="0.2">
      <c r="A3650" s="3">
        <v>41897</v>
      </c>
      <c r="B3650">
        <v>38.331499999999998</v>
      </c>
      <c r="C3650">
        <f t="shared" si="59"/>
        <v>2014</v>
      </c>
    </row>
    <row r="3651" spans="1:3" x14ac:dyDescent="0.2">
      <c r="A3651" s="3">
        <v>41894</v>
      </c>
      <c r="B3651">
        <v>37.752000000000002</v>
      </c>
      <c r="C3651">
        <f t="shared" si="59"/>
        <v>2014</v>
      </c>
    </row>
    <row r="3652" spans="1:3" x14ac:dyDescent="0.2">
      <c r="A3652" s="3">
        <v>41893</v>
      </c>
      <c r="B3652">
        <v>37.527900000000002</v>
      </c>
      <c r="C3652">
        <f t="shared" ref="C3652:C3715" si="60">YEAR(A3652)</f>
        <v>2014</v>
      </c>
    </row>
    <row r="3653" spans="1:3" x14ac:dyDescent="0.2">
      <c r="A3653" s="3">
        <v>41892</v>
      </c>
      <c r="B3653">
        <v>37.3249</v>
      </c>
      <c r="C3653">
        <f t="shared" si="60"/>
        <v>2014</v>
      </c>
    </row>
    <row r="3654" spans="1:3" x14ac:dyDescent="0.2">
      <c r="A3654" s="3">
        <v>41891</v>
      </c>
      <c r="B3654">
        <v>37.046100000000003</v>
      </c>
      <c r="C3654">
        <f t="shared" si="60"/>
        <v>2014</v>
      </c>
    </row>
    <row r="3655" spans="1:3" x14ac:dyDescent="0.2">
      <c r="A3655" s="3">
        <v>41890</v>
      </c>
      <c r="B3655">
        <v>36.959000000000003</v>
      </c>
      <c r="C3655">
        <f t="shared" si="60"/>
        <v>2014</v>
      </c>
    </row>
    <row r="3656" spans="1:3" x14ac:dyDescent="0.2">
      <c r="A3656" s="3">
        <v>41887</v>
      </c>
      <c r="B3656">
        <v>37.045999999999999</v>
      </c>
      <c r="C3656">
        <f t="shared" si="60"/>
        <v>2014</v>
      </c>
    </row>
    <row r="3657" spans="1:3" x14ac:dyDescent="0.2">
      <c r="A3657" s="3">
        <v>41886</v>
      </c>
      <c r="B3657">
        <v>36.996099999999998</v>
      </c>
      <c r="C3657">
        <f t="shared" si="60"/>
        <v>2014</v>
      </c>
    </row>
    <row r="3658" spans="1:3" x14ac:dyDescent="0.2">
      <c r="A3658" s="3">
        <v>41885</v>
      </c>
      <c r="B3658">
        <v>36.847499999999997</v>
      </c>
      <c r="C3658">
        <f t="shared" si="60"/>
        <v>2014</v>
      </c>
    </row>
    <row r="3659" spans="1:3" x14ac:dyDescent="0.2">
      <c r="A3659" s="3">
        <v>41884</v>
      </c>
      <c r="B3659">
        <v>37.451500000000003</v>
      </c>
      <c r="C3659">
        <f t="shared" si="60"/>
        <v>2014</v>
      </c>
    </row>
    <row r="3660" spans="1:3" x14ac:dyDescent="0.2">
      <c r="A3660" s="3">
        <v>41883</v>
      </c>
      <c r="B3660">
        <v>37.289700000000003</v>
      </c>
      <c r="C3660">
        <f t="shared" si="60"/>
        <v>2014</v>
      </c>
    </row>
    <row r="3661" spans="1:3" x14ac:dyDescent="0.2">
      <c r="A3661" s="3">
        <v>41880</v>
      </c>
      <c r="B3661">
        <v>37.118899999999996</v>
      </c>
      <c r="C3661">
        <f t="shared" si="60"/>
        <v>2014</v>
      </c>
    </row>
    <row r="3662" spans="1:3" x14ac:dyDescent="0.2">
      <c r="A3662" s="3">
        <v>41879</v>
      </c>
      <c r="B3662">
        <v>36.724699999999999</v>
      </c>
      <c r="C3662">
        <f t="shared" si="60"/>
        <v>2014</v>
      </c>
    </row>
    <row r="3663" spans="1:3" x14ac:dyDescent="0.2">
      <c r="A3663" s="3">
        <v>41878</v>
      </c>
      <c r="B3663">
        <v>36.168999999999997</v>
      </c>
      <c r="C3663">
        <f t="shared" si="60"/>
        <v>2014</v>
      </c>
    </row>
    <row r="3664" spans="1:3" x14ac:dyDescent="0.2">
      <c r="A3664" s="3">
        <v>41877</v>
      </c>
      <c r="B3664">
        <v>36.180300000000003</v>
      </c>
      <c r="C3664">
        <f t="shared" si="60"/>
        <v>2014</v>
      </c>
    </row>
    <row r="3665" spans="1:3" x14ac:dyDescent="0.2">
      <c r="A3665" s="3">
        <v>41876</v>
      </c>
      <c r="B3665">
        <v>36.1646</v>
      </c>
      <c r="C3665">
        <f t="shared" si="60"/>
        <v>2014</v>
      </c>
    </row>
    <row r="3666" spans="1:3" x14ac:dyDescent="0.2">
      <c r="A3666" s="3">
        <v>41873</v>
      </c>
      <c r="B3666">
        <v>36.107300000000002</v>
      </c>
      <c r="C3666">
        <f t="shared" si="60"/>
        <v>2014</v>
      </c>
    </row>
    <row r="3667" spans="1:3" x14ac:dyDescent="0.2">
      <c r="A3667" s="3">
        <v>41872</v>
      </c>
      <c r="B3667">
        <v>36.072299999999998</v>
      </c>
      <c r="C3667">
        <f t="shared" si="60"/>
        <v>2014</v>
      </c>
    </row>
    <row r="3668" spans="1:3" x14ac:dyDescent="0.2">
      <c r="A3668" s="3">
        <v>41871</v>
      </c>
      <c r="B3668">
        <v>36.289200000000001</v>
      </c>
      <c r="C3668">
        <f t="shared" si="60"/>
        <v>2014</v>
      </c>
    </row>
    <row r="3669" spans="1:3" x14ac:dyDescent="0.2">
      <c r="A3669" s="3">
        <v>41870</v>
      </c>
      <c r="B3669">
        <v>36.174799999999998</v>
      </c>
      <c r="C3669">
        <f t="shared" si="60"/>
        <v>2014</v>
      </c>
    </row>
    <row r="3670" spans="1:3" x14ac:dyDescent="0.2">
      <c r="A3670" s="3">
        <v>41869</v>
      </c>
      <c r="B3670">
        <v>36.054600000000001</v>
      </c>
      <c r="C3670">
        <f t="shared" si="60"/>
        <v>2014</v>
      </c>
    </row>
    <row r="3671" spans="1:3" x14ac:dyDescent="0.2">
      <c r="A3671" s="3">
        <v>41866</v>
      </c>
      <c r="B3671">
        <v>36.1858</v>
      </c>
      <c r="C3671">
        <f t="shared" si="60"/>
        <v>2014</v>
      </c>
    </row>
    <row r="3672" spans="1:3" x14ac:dyDescent="0.2">
      <c r="A3672" s="3">
        <v>41865</v>
      </c>
      <c r="B3672">
        <v>35.936500000000002</v>
      </c>
      <c r="C3672">
        <f t="shared" si="60"/>
        <v>2014</v>
      </c>
    </row>
    <row r="3673" spans="1:3" x14ac:dyDescent="0.2">
      <c r="A3673" s="3">
        <v>41864</v>
      </c>
      <c r="B3673">
        <v>35.990299999999998</v>
      </c>
      <c r="C3673">
        <f t="shared" si="60"/>
        <v>2014</v>
      </c>
    </row>
    <row r="3674" spans="1:3" x14ac:dyDescent="0.2">
      <c r="A3674" s="3">
        <v>41863</v>
      </c>
      <c r="B3674">
        <v>36.154200000000003</v>
      </c>
      <c r="C3674">
        <f t="shared" si="60"/>
        <v>2014</v>
      </c>
    </row>
    <row r="3675" spans="1:3" x14ac:dyDescent="0.2">
      <c r="A3675" s="3">
        <v>41862</v>
      </c>
      <c r="B3675">
        <v>35.940800000000003</v>
      </c>
      <c r="C3675">
        <f t="shared" si="60"/>
        <v>2014</v>
      </c>
    </row>
    <row r="3676" spans="1:3" x14ac:dyDescent="0.2">
      <c r="A3676" s="3">
        <v>41859</v>
      </c>
      <c r="B3676">
        <v>36.184600000000003</v>
      </c>
      <c r="C3676">
        <f t="shared" si="60"/>
        <v>2014</v>
      </c>
    </row>
    <row r="3677" spans="1:3" x14ac:dyDescent="0.2">
      <c r="A3677" s="3">
        <v>41858</v>
      </c>
      <c r="B3677">
        <v>36.317300000000003</v>
      </c>
      <c r="C3677">
        <f t="shared" si="60"/>
        <v>2014</v>
      </c>
    </row>
    <row r="3678" spans="1:3" x14ac:dyDescent="0.2">
      <c r="A3678" s="3">
        <v>41857</v>
      </c>
      <c r="B3678">
        <v>36.171199999999999</v>
      </c>
      <c r="C3678">
        <f t="shared" si="60"/>
        <v>2014</v>
      </c>
    </row>
    <row r="3679" spans="1:3" x14ac:dyDescent="0.2">
      <c r="A3679" s="3">
        <v>41856</v>
      </c>
      <c r="B3679">
        <v>36.0396</v>
      </c>
      <c r="C3679">
        <f t="shared" si="60"/>
        <v>2014</v>
      </c>
    </row>
    <row r="3680" spans="1:3" x14ac:dyDescent="0.2">
      <c r="A3680" s="3">
        <v>41855</v>
      </c>
      <c r="B3680">
        <v>35.831600000000002</v>
      </c>
      <c r="C3680">
        <f t="shared" si="60"/>
        <v>2014</v>
      </c>
    </row>
    <row r="3681" spans="1:3" x14ac:dyDescent="0.2">
      <c r="A3681" s="3">
        <v>41852</v>
      </c>
      <c r="B3681">
        <v>35.789299999999997</v>
      </c>
      <c r="C3681">
        <f t="shared" si="60"/>
        <v>2014</v>
      </c>
    </row>
    <row r="3682" spans="1:3" x14ac:dyDescent="0.2">
      <c r="A3682" s="3">
        <v>41851</v>
      </c>
      <c r="B3682">
        <v>35.686700000000002</v>
      </c>
      <c r="C3682">
        <f t="shared" si="60"/>
        <v>2014</v>
      </c>
    </row>
    <row r="3683" spans="1:3" x14ac:dyDescent="0.2">
      <c r="A3683" s="3">
        <v>41850</v>
      </c>
      <c r="B3683">
        <v>35.614899999999999</v>
      </c>
      <c r="C3683">
        <f t="shared" si="60"/>
        <v>2014</v>
      </c>
    </row>
    <row r="3684" spans="1:3" x14ac:dyDescent="0.2">
      <c r="A3684" s="3">
        <v>41849</v>
      </c>
      <c r="B3684">
        <v>35.554699999999997</v>
      </c>
      <c r="C3684">
        <f t="shared" si="60"/>
        <v>2014</v>
      </c>
    </row>
    <row r="3685" spans="1:3" x14ac:dyDescent="0.2">
      <c r="A3685" s="3">
        <v>41848</v>
      </c>
      <c r="B3685">
        <v>35.502400000000002</v>
      </c>
      <c r="C3685">
        <f t="shared" si="60"/>
        <v>2014</v>
      </c>
    </row>
    <row r="3686" spans="1:3" x14ac:dyDescent="0.2">
      <c r="A3686" s="3">
        <v>41845</v>
      </c>
      <c r="B3686">
        <v>35.143500000000003</v>
      </c>
      <c r="C3686">
        <f t="shared" si="60"/>
        <v>2014</v>
      </c>
    </row>
    <row r="3687" spans="1:3" x14ac:dyDescent="0.2">
      <c r="A3687" s="3">
        <v>41844</v>
      </c>
      <c r="B3687">
        <v>34.970799999999997</v>
      </c>
      <c r="C3687">
        <f t="shared" si="60"/>
        <v>2014</v>
      </c>
    </row>
    <row r="3688" spans="1:3" x14ac:dyDescent="0.2">
      <c r="A3688" s="3">
        <v>41843</v>
      </c>
      <c r="B3688">
        <v>34.837400000000002</v>
      </c>
      <c r="C3688">
        <f t="shared" si="60"/>
        <v>2014</v>
      </c>
    </row>
    <row r="3689" spans="1:3" x14ac:dyDescent="0.2">
      <c r="A3689" s="3">
        <v>41842</v>
      </c>
      <c r="B3689">
        <v>34.964300000000001</v>
      </c>
      <c r="C3689">
        <f t="shared" si="60"/>
        <v>2014</v>
      </c>
    </row>
    <row r="3690" spans="1:3" x14ac:dyDescent="0.2">
      <c r="A3690" s="3">
        <v>41841</v>
      </c>
      <c r="B3690">
        <v>35.214599999999997</v>
      </c>
      <c r="C3690">
        <f t="shared" si="60"/>
        <v>2014</v>
      </c>
    </row>
    <row r="3691" spans="1:3" x14ac:dyDescent="0.2">
      <c r="A3691" s="3">
        <v>41838</v>
      </c>
      <c r="B3691">
        <v>35.134300000000003</v>
      </c>
      <c r="C3691">
        <f t="shared" si="60"/>
        <v>2014</v>
      </c>
    </row>
    <row r="3692" spans="1:3" x14ac:dyDescent="0.2">
      <c r="A3692" s="3">
        <v>41837</v>
      </c>
      <c r="B3692">
        <v>35.168199999999999</v>
      </c>
      <c r="C3692">
        <f t="shared" si="60"/>
        <v>2014</v>
      </c>
    </row>
    <row r="3693" spans="1:3" x14ac:dyDescent="0.2">
      <c r="A3693" s="3">
        <v>41836</v>
      </c>
      <c r="B3693">
        <v>34.4148</v>
      </c>
      <c r="C3693">
        <f t="shared" si="60"/>
        <v>2014</v>
      </c>
    </row>
    <row r="3694" spans="1:3" x14ac:dyDescent="0.2">
      <c r="A3694" s="3">
        <v>41835</v>
      </c>
      <c r="B3694">
        <v>34.391599999999997</v>
      </c>
      <c r="C3694">
        <f t="shared" si="60"/>
        <v>2014</v>
      </c>
    </row>
    <row r="3695" spans="1:3" x14ac:dyDescent="0.2">
      <c r="A3695" s="3">
        <v>41834</v>
      </c>
      <c r="B3695">
        <v>34.330199999999998</v>
      </c>
      <c r="C3695">
        <f t="shared" si="60"/>
        <v>2014</v>
      </c>
    </row>
    <row r="3696" spans="1:3" x14ac:dyDescent="0.2">
      <c r="A3696" s="3">
        <v>41831</v>
      </c>
      <c r="B3696">
        <v>34.222999999999999</v>
      </c>
      <c r="C3696">
        <f t="shared" si="60"/>
        <v>2014</v>
      </c>
    </row>
    <row r="3697" spans="1:3" x14ac:dyDescent="0.2">
      <c r="A3697" s="3">
        <v>41830</v>
      </c>
      <c r="B3697">
        <v>33.985500000000002</v>
      </c>
      <c r="C3697">
        <f t="shared" si="60"/>
        <v>2014</v>
      </c>
    </row>
    <row r="3698" spans="1:3" x14ac:dyDescent="0.2">
      <c r="A3698" s="3">
        <v>41829</v>
      </c>
      <c r="B3698">
        <v>33.986400000000003</v>
      </c>
      <c r="C3698">
        <f t="shared" si="60"/>
        <v>2014</v>
      </c>
    </row>
    <row r="3699" spans="1:3" x14ac:dyDescent="0.2">
      <c r="A3699" s="3">
        <v>41828</v>
      </c>
      <c r="B3699">
        <v>34.262500000000003</v>
      </c>
      <c r="C3699">
        <f t="shared" si="60"/>
        <v>2014</v>
      </c>
    </row>
    <row r="3700" spans="1:3" x14ac:dyDescent="0.2">
      <c r="A3700" s="3">
        <v>41827</v>
      </c>
      <c r="B3700">
        <v>34.4315</v>
      </c>
      <c r="C3700">
        <f t="shared" si="60"/>
        <v>2014</v>
      </c>
    </row>
    <row r="3701" spans="1:3" x14ac:dyDescent="0.2">
      <c r="A3701" s="3">
        <v>41824</v>
      </c>
      <c r="B3701">
        <v>34.469099999999997</v>
      </c>
      <c r="C3701">
        <f t="shared" si="60"/>
        <v>2014</v>
      </c>
    </row>
    <row r="3702" spans="1:3" x14ac:dyDescent="0.2">
      <c r="A3702" s="3">
        <v>41823</v>
      </c>
      <c r="B3702">
        <v>34.2682</v>
      </c>
      <c r="C3702">
        <f t="shared" si="60"/>
        <v>2014</v>
      </c>
    </row>
    <row r="3703" spans="1:3" x14ac:dyDescent="0.2">
      <c r="A3703" s="3">
        <v>41822</v>
      </c>
      <c r="B3703">
        <v>34.345300000000002</v>
      </c>
      <c r="C3703">
        <f t="shared" si="60"/>
        <v>2014</v>
      </c>
    </row>
    <row r="3704" spans="1:3" x14ac:dyDescent="0.2">
      <c r="A3704" s="3">
        <v>41821</v>
      </c>
      <c r="B3704">
        <v>34.328400000000002</v>
      </c>
      <c r="C3704">
        <f t="shared" si="60"/>
        <v>2014</v>
      </c>
    </row>
    <row r="3705" spans="1:3" x14ac:dyDescent="0.2">
      <c r="A3705" s="3">
        <v>41820</v>
      </c>
      <c r="B3705">
        <v>33.982300000000002</v>
      </c>
      <c r="C3705">
        <f t="shared" si="60"/>
        <v>2014</v>
      </c>
    </row>
    <row r="3706" spans="1:3" x14ac:dyDescent="0.2">
      <c r="A3706" s="3">
        <v>41817</v>
      </c>
      <c r="B3706">
        <v>33.7254</v>
      </c>
      <c r="C3706">
        <f t="shared" si="60"/>
        <v>2014</v>
      </c>
    </row>
    <row r="3707" spans="1:3" x14ac:dyDescent="0.2">
      <c r="A3707" s="3">
        <v>41816</v>
      </c>
      <c r="B3707">
        <v>33.7166</v>
      </c>
      <c r="C3707">
        <f t="shared" si="60"/>
        <v>2014</v>
      </c>
    </row>
    <row r="3708" spans="1:3" x14ac:dyDescent="0.2">
      <c r="A3708" s="3">
        <v>41815</v>
      </c>
      <c r="B3708">
        <v>33.757199999999997</v>
      </c>
      <c r="C3708">
        <f t="shared" si="60"/>
        <v>2014</v>
      </c>
    </row>
    <row r="3709" spans="1:3" x14ac:dyDescent="0.2">
      <c r="A3709" s="3">
        <v>41814</v>
      </c>
      <c r="B3709">
        <v>33.770000000000003</v>
      </c>
      <c r="C3709">
        <f t="shared" si="60"/>
        <v>2014</v>
      </c>
    </row>
    <row r="3710" spans="1:3" x14ac:dyDescent="0.2">
      <c r="A3710" s="3">
        <v>41813</v>
      </c>
      <c r="B3710">
        <v>34.1584</v>
      </c>
      <c r="C3710">
        <f t="shared" si="60"/>
        <v>2014</v>
      </c>
    </row>
    <row r="3711" spans="1:3" x14ac:dyDescent="0.2">
      <c r="A3711" s="3">
        <v>41810</v>
      </c>
      <c r="B3711">
        <v>34.470799999999997</v>
      </c>
      <c r="C3711">
        <f t="shared" si="60"/>
        <v>2014</v>
      </c>
    </row>
    <row r="3712" spans="1:3" x14ac:dyDescent="0.2">
      <c r="A3712" s="3">
        <v>41809</v>
      </c>
      <c r="B3712">
        <v>34.376800000000003</v>
      </c>
      <c r="C3712">
        <f t="shared" si="60"/>
        <v>2014</v>
      </c>
    </row>
    <row r="3713" spans="1:3" x14ac:dyDescent="0.2">
      <c r="A3713" s="3">
        <v>41808</v>
      </c>
      <c r="B3713">
        <v>34.536099999999998</v>
      </c>
      <c r="C3713">
        <f t="shared" si="60"/>
        <v>2014</v>
      </c>
    </row>
    <row r="3714" spans="1:3" x14ac:dyDescent="0.2">
      <c r="A3714" s="3">
        <v>41807</v>
      </c>
      <c r="B3714">
        <v>34.814999999999998</v>
      </c>
      <c r="C3714">
        <f t="shared" si="60"/>
        <v>2014</v>
      </c>
    </row>
    <row r="3715" spans="1:3" x14ac:dyDescent="0.2">
      <c r="A3715" s="3">
        <v>41806</v>
      </c>
      <c r="B3715">
        <v>34.648699999999998</v>
      </c>
      <c r="C3715">
        <f t="shared" si="60"/>
        <v>2014</v>
      </c>
    </row>
    <row r="3716" spans="1:3" x14ac:dyDescent="0.2">
      <c r="A3716" s="3">
        <v>41803</v>
      </c>
      <c r="B3716">
        <v>34.408000000000001</v>
      </c>
      <c r="C3716">
        <f t="shared" ref="C3716:C3779" si="61">YEAR(A3716)</f>
        <v>2014</v>
      </c>
    </row>
    <row r="3717" spans="1:3" x14ac:dyDescent="0.2">
      <c r="A3717" s="3">
        <v>41802</v>
      </c>
      <c r="B3717">
        <v>34.3232</v>
      </c>
      <c r="C3717">
        <f t="shared" si="61"/>
        <v>2014</v>
      </c>
    </row>
    <row r="3718" spans="1:3" x14ac:dyDescent="0.2">
      <c r="A3718" s="3">
        <v>41801</v>
      </c>
      <c r="B3718">
        <v>34.376100000000001</v>
      </c>
      <c r="C3718">
        <f t="shared" si="61"/>
        <v>2014</v>
      </c>
    </row>
    <row r="3719" spans="1:3" x14ac:dyDescent="0.2">
      <c r="A3719" s="3">
        <v>41800</v>
      </c>
      <c r="B3719">
        <v>34.349299999999999</v>
      </c>
      <c r="C3719">
        <f t="shared" si="61"/>
        <v>2014</v>
      </c>
    </row>
    <row r="3720" spans="1:3" x14ac:dyDescent="0.2">
      <c r="A3720" s="3">
        <v>41799</v>
      </c>
      <c r="B3720">
        <v>34.325899999999997</v>
      </c>
      <c r="C3720">
        <f t="shared" si="61"/>
        <v>2014</v>
      </c>
    </row>
    <row r="3721" spans="1:3" x14ac:dyDescent="0.2">
      <c r="A3721" s="3">
        <v>41796</v>
      </c>
      <c r="B3721">
        <v>34.414400000000001</v>
      </c>
      <c r="C3721">
        <f t="shared" si="61"/>
        <v>2014</v>
      </c>
    </row>
    <row r="3722" spans="1:3" x14ac:dyDescent="0.2">
      <c r="A3722" s="3">
        <v>41795</v>
      </c>
      <c r="B3722">
        <v>34.689700000000002</v>
      </c>
      <c r="C3722">
        <f t="shared" si="61"/>
        <v>2014</v>
      </c>
    </row>
    <row r="3723" spans="1:3" x14ac:dyDescent="0.2">
      <c r="A3723" s="3">
        <v>41794</v>
      </c>
      <c r="B3723">
        <v>35.026499999999999</v>
      </c>
      <c r="C3723">
        <f t="shared" si="61"/>
        <v>2014</v>
      </c>
    </row>
    <row r="3724" spans="1:3" x14ac:dyDescent="0.2">
      <c r="A3724" s="3">
        <v>41793</v>
      </c>
      <c r="B3724">
        <v>35.055900000000001</v>
      </c>
      <c r="C3724">
        <f t="shared" si="61"/>
        <v>2014</v>
      </c>
    </row>
    <row r="3725" spans="1:3" x14ac:dyDescent="0.2">
      <c r="A3725" s="3">
        <v>41792</v>
      </c>
      <c r="B3725">
        <v>34.911799999999999</v>
      </c>
      <c r="C3725">
        <f t="shared" si="61"/>
        <v>2014</v>
      </c>
    </row>
    <row r="3726" spans="1:3" x14ac:dyDescent="0.2">
      <c r="A3726" s="3">
        <v>41789</v>
      </c>
      <c r="B3726">
        <v>34.897399999999998</v>
      </c>
      <c r="C3726">
        <f t="shared" si="61"/>
        <v>2014</v>
      </c>
    </row>
    <row r="3727" spans="1:3" x14ac:dyDescent="0.2">
      <c r="A3727" s="3">
        <v>41788</v>
      </c>
      <c r="B3727">
        <v>34.656799999999997</v>
      </c>
      <c r="C3727">
        <f t="shared" si="61"/>
        <v>2014</v>
      </c>
    </row>
    <row r="3728" spans="1:3" x14ac:dyDescent="0.2">
      <c r="A3728" s="3">
        <v>41787</v>
      </c>
      <c r="B3728">
        <v>34.57</v>
      </c>
      <c r="C3728">
        <f t="shared" si="61"/>
        <v>2014</v>
      </c>
    </row>
    <row r="3729" spans="1:3" x14ac:dyDescent="0.2">
      <c r="A3729" s="3">
        <v>41786</v>
      </c>
      <c r="B3729">
        <v>34.407800000000002</v>
      </c>
      <c r="C3729">
        <f t="shared" si="61"/>
        <v>2014</v>
      </c>
    </row>
    <row r="3730" spans="1:3" x14ac:dyDescent="0.2">
      <c r="A3730" s="3">
        <v>41785</v>
      </c>
      <c r="B3730">
        <v>34.195</v>
      </c>
      <c r="C3730">
        <f t="shared" si="61"/>
        <v>2014</v>
      </c>
    </row>
    <row r="3731" spans="1:3" x14ac:dyDescent="0.2">
      <c r="A3731" s="3">
        <v>41782</v>
      </c>
      <c r="B3731">
        <v>34.156300000000002</v>
      </c>
      <c r="C3731">
        <f t="shared" si="61"/>
        <v>2014</v>
      </c>
    </row>
    <row r="3732" spans="1:3" x14ac:dyDescent="0.2">
      <c r="A3732" s="3">
        <v>41781</v>
      </c>
      <c r="B3732">
        <v>34.343299999999999</v>
      </c>
      <c r="C3732">
        <f t="shared" si="61"/>
        <v>2014</v>
      </c>
    </row>
    <row r="3733" spans="1:3" x14ac:dyDescent="0.2">
      <c r="A3733" s="3">
        <v>41780</v>
      </c>
      <c r="B3733">
        <v>34.386000000000003</v>
      </c>
      <c r="C3733">
        <f t="shared" si="61"/>
        <v>2014</v>
      </c>
    </row>
    <row r="3734" spans="1:3" x14ac:dyDescent="0.2">
      <c r="A3734" s="3">
        <v>41779</v>
      </c>
      <c r="B3734">
        <v>34.521500000000003</v>
      </c>
      <c r="C3734">
        <f t="shared" si="61"/>
        <v>2014</v>
      </c>
    </row>
    <row r="3735" spans="1:3" x14ac:dyDescent="0.2">
      <c r="A3735" s="3">
        <v>41778</v>
      </c>
      <c r="B3735">
        <v>34.544899999999998</v>
      </c>
      <c r="C3735">
        <f t="shared" si="61"/>
        <v>2014</v>
      </c>
    </row>
    <row r="3736" spans="1:3" x14ac:dyDescent="0.2">
      <c r="A3736" s="3">
        <v>41775</v>
      </c>
      <c r="B3736">
        <v>34.753500000000003</v>
      </c>
      <c r="C3736">
        <f t="shared" si="61"/>
        <v>2014</v>
      </c>
    </row>
    <row r="3737" spans="1:3" x14ac:dyDescent="0.2">
      <c r="A3737" s="3">
        <v>41774</v>
      </c>
      <c r="B3737">
        <v>34.7667</v>
      </c>
      <c r="C3737">
        <f t="shared" si="61"/>
        <v>2014</v>
      </c>
    </row>
    <row r="3738" spans="1:3" x14ac:dyDescent="0.2">
      <c r="A3738" s="3">
        <v>41773</v>
      </c>
      <c r="B3738">
        <v>34.618000000000002</v>
      </c>
      <c r="C3738">
        <f t="shared" si="61"/>
        <v>2014</v>
      </c>
    </row>
    <row r="3739" spans="1:3" x14ac:dyDescent="0.2">
      <c r="A3739" s="3">
        <v>41772</v>
      </c>
      <c r="B3739">
        <v>34.840800000000002</v>
      </c>
      <c r="C3739">
        <f t="shared" si="61"/>
        <v>2014</v>
      </c>
    </row>
    <row r="3740" spans="1:3" x14ac:dyDescent="0.2">
      <c r="A3740" s="3">
        <v>41771</v>
      </c>
      <c r="B3740">
        <v>35.088799999999999</v>
      </c>
      <c r="C3740">
        <f t="shared" si="61"/>
        <v>2014</v>
      </c>
    </row>
    <row r="3741" spans="1:3" x14ac:dyDescent="0.2">
      <c r="A3741" s="3">
        <v>41768</v>
      </c>
      <c r="B3741">
        <v>35.226999999999997</v>
      </c>
      <c r="C3741">
        <f t="shared" si="61"/>
        <v>2014</v>
      </c>
    </row>
    <row r="3742" spans="1:3" x14ac:dyDescent="0.2">
      <c r="A3742" s="3">
        <v>41767</v>
      </c>
      <c r="B3742">
        <v>35.028599999999997</v>
      </c>
      <c r="C3742">
        <f t="shared" si="61"/>
        <v>2014</v>
      </c>
    </row>
    <row r="3743" spans="1:3" x14ac:dyDescent="0.2">
      <c r="A3743" s="3">
        <v>41766</v>
      </c>
      <c r="B3743">
        <v>34.9422</v>
      </c>
      <c r="C3743">
        <f t="shared" si="61"/>
        <v>2014</v>
      </c>
    </row>
    <row r="3744" spans="1:3" x14ac:dyDescent="0.2">
      <c r="A3744" s="3">
        <v>41765</v>
      </c>
      <c r="B3744">
        <v>35.386099999999999</v>
      </c>
      <c r="C3744">
        <f t="shared" si="61"/>
        <v>2014</v>
      </c>
    </row>
    <row r="3745" spans="1:3" x14ac:dyDescent="0.2">
      <c r="A3745" s="3">
        <v>41764</v>
      </c>
      <c r="B3745">
        <v>35.734900000000003</v>
      </c>
      <c r="C3745">
        <f t="shared" si="61"/>
        <v>2014</v>
      </c>
    </row>
    <row r="3746" spans="1:3" x14ac:dyDescent="0.2">
      <c r="A3746" s="3">
        <v>41761</v>
      </c>
      <c r="B3746">
        <v>35.837800000000001</v>
      </c>
      <c r="C3746">
        <f t="shared" si="61"/>
        <v>2014</v>
      </c>
    </row>
    <row r="3747" spans="1:3" x14ac:dyDescent="0.2">
      <c r="A3747" s="3">
        <v>41760</v>
      </c>
      <c r="B3747">
        <v>35.640999999999998</v>
      </c>
      <c r="C3747">
        <f t="shared" si="61"/>
        <v>2014</v>
      </c>
    </row>
    <row r="3748" spans="1:3" x14ac:dyDescent="0.2">
      <c r="A3748" s="3">
        <v>41759</v>
      </c>
      <c r="B3748">
        <v>35.663200000000003</v>
      </c>
      <c r="C3748">
        <f t="shared" si="61"/>
        <v>2014</v>
      </c>
    </row>
    <row r="3749" spans="1:3" x14ac:dyDescent="0.2">
      <c r="A3749" s="3">
        <v>41758</v>
      </c>
      <c r="B3749">
        <v>35.649799999999999</v>
      </c>
      <c r="C3749">
        <f t="shared" si="61"/>
        <v>2014</v>
      </c>
    </row>
    <row r="3750" spans="1:3" x14ac:dyDescent="0.2">
      <c r="A3750" s="3">
        <v>41757</v>
      </c>
      <c r="B3750">
        <v>35.877400000000002</v>
      </c>
      <c r="C3750">
        <f t="shared" si="61"/>
        <v>2014</v>
      </c>
    </row>
    <row r="3751" spans="1:3" x14ac:dyDescent="0.2">
      <c r="A3751" s="3">
        <v>41754</v>
      </c>
      <c r="B3751">
        <v>36.038499999999999</v>
      </c>
      <c r="C3751">
        <f t="shared" si="61"/>
        <v>2014</v>
      </c>
    </row>
    <row r="3752" spans="1:3" x14ac:dyDescent="0.2">
      <c r="A3752" s="3">
        <v>41753</v>
      </c>
      <c r="B3752">
        <v>35.735599999999998</v>
      </c>
      <c r="C3752">
        <f t="shared" si="61"/>
        <v>2014</v>
      </c>
    </row>
    <row r="3753" spans="1:3" x14ac:dyDescent="0.2">
      <c r="A3753" s="3">
        <v>41752</v>
      </c>
      <c r="B3753">
        <v>35.677500000000002</v>
      </c>
      <c r="C3753">
        <f t="shared" si="61"/>
        <v>2014</v>
      </c>
    </row>
    <row r="3754" spans="1:3" x14ac:dyDescent="0.2">
      <c r="A3754" s="3">
        <v>41751</v>
      </c>
      <c r="B3754">
        <v>35.691200000000002</v>
      </c>
      <c r="C3754">
        <f t="shared" si="61"/>
        <v>2014</v>
      </c>
    </row>
    <row r="3755" spans="1:3" x14ac:dyDescent="0.2">
      <c r="A3755" s="3">
        <v>41750</v>
      </c>
      <c r="B3755">
        <v>35.694499999999998</v>
      </c>
      <c r="C3755">
        <f t="shared" si="61"/>
        <v>2014</v>
      </c>
    </row>
    <row r="3756" spans="1:3" x14ac:dyDescent="0.2">
      <c r="A3756" s="3">
        <v>41747</v>
      </c>
      <c r="B3756">
        <v>35.573599999999999</v>
      </c>
      <c r="C3756">
        <f t="shared" si="61"/>
        <v>2014</v>
      </c>
    </row>
    <row r="3757" spans="1:3" x14ac:dyDescent="0.2">
      <c r="A3757" s="3">
        <v>41746</v>
      </c>
      <c r="B3757">
        <v>35.612400000000001</v>
      </c>
      <c r="C3757">
        <f t="shared" si="61"/>
        <v>2014</v>
      </c>
    </row>
    <row r="3758" spans="1:3" x14ac:dyDescent="0.2">
      <c r="A3758" s="3">
        <v>41745</v>
      </c>
      <c r="B3758">
        <v>35.994700000000002</v>
      </c>
      <c r="C3758">
        <f t="shared" si="61"/>
        <v>2014</v>
      </c>
    </row>
    <row r="3759" spans="1:3" x14ac:dyDescent="0.2">
      <c r="A3759" s="3">
        <v>41744</v>
      </c>
      <c r="B3759">
        <v>36.183799999999998</v>
      </c>
      <c r="C3759">
        <f t="shared" si="61"/>
        <v>2014</v>
      </c>
    </row>
    <row r="3760" spans="1:3" x14ac:dyDescent="0.2">
      <c r="A3760" s="3">
        <v>41743</v>
      </c>
      <c r="B3760">
        <v>35.918900000000001</v>
      </c>
      <c r="C3760">
        <f t="shared" si="61"/>
        <v>2014</v>
      </c>
    </row>
    <row r="3761" spans="1:3" x14ac:dyDescent="0.2">
      <c r="A3761" s="3">
        <v>41740</v>
      </c>
      <c r="B3761">
        <v>35.643999999999998</v>
      </c>
      <c r="C3761">
        <f t="shared" si="61"/>
        <v>2014</v>
      </c>
    </row>
    <row r="3762" spans="1:3" x14ac:dyDescent="0.2">
      <c r="A3762" s="3">
        <v>41739</v>
      </c>
      <c r="B3762">
        <v>35.521900000000002</v>
      </c>
      <c r="C3762">
        <f t="shared" si="61"/>
        <v>2014</v>
      </c>
    </row>
    <row r="3763" spans="1:3" x14ac:dyDescent="0.2">
      <c r="A3763" s="3">
        <v>41738</v>
      </c>
      <c r="B3763">
        <v>35.6511</v>
      </c>
      <c r="C3763">
        <f t="shared" si="61"/>
        <v>2014</v>
      </c>
    </row>
    <row r="3764" spans="1:3" x14ac:dyDescent="0.2">
      <c r="A3764" s="3">
        <v>41737</v>
      </c>
      <c r="B3764">
        <v>35.6783</v>
      </c>
      <c r="C3764">
        <f t="shared" si="61"/>
        <v>2014</v>
      </c>
    </row>
    <row r="3765" spans="1:3" x14ac:dyDescent="0.2">
      <c r="A3765" s="3">
        <v>41736</v>
      </c>
      <c r="B3765">
        <v>35.638300000000001</v>
      </c>
      <c r="C3765">
        <f t="shared" si="61"/>
        <v>2014</v>
      </c>
    </row>
    <row r="3766" spans="1:3" x14ac:dyDescent="0.2">
      <c r="A3766" s="3">
        <v>41733</v>
      </c>
      <c r="B3766">
        <v>35.272199999999998</v>
      </c>
      <c r="C3766">
        <f t="shared" si="61"/>
        <v>2014</v>
      </c>
    </row>
    <row r="3767" spans="1:3" x14ac:dyDescent="0.2">
      <c r="A3767" s="3">
        <v>41732</v>
      </c>
      <c r="B3767">
        <v>35.576700000000002</v>
      </c>
      <c r="C3767">
        <f t="shared" si="61"/>
        <v>2014</v>
      </c>
    </row>
    <row r="3768" spans="1:3" x14ac:dyDescent="0.2">
      <c r="A3768" s="3">
        <v>41731</v>
      </c>
      <c r="B3768">
        <v>35.417999999999999</v>
      </c>
      <c r="C3768">
        <f t="shared" si="61"/>
        <v>2014</v>
      </c>
    </row>
    <row r="3769" spans="1:3" x14ac:dyDescent="0.2">
      <c r="A3769" s="3">
        <v>41730</v>
      </c>
      <c r="B3769">
        <v>35.079700000000003</v>
      </c>
      <c r="C3769">
        <f t="shared" si="61"/>
        <v>2014</v>
      </c>
    </row>
    <row r="3770" spans="1:3" x14ac:dyDescent="0.2">
      <c r="A3770" s="3">
        <v>41729</v>
      </c>
      <c r="B3770">
        <v>35.173400000000001</v>
      </c>
      <c r="C3770">
        <f t="shared" si="61"/>
        <v>2014</v>
      </c>
    </row>
    <row r="3771" spans="1:3" x14ac:dyDescent="0.2">
      <c r="A3771" s="3">
        <v>41726</v>
      </c>
      <c r="B3771">
        <v>35.762599999999999</v>
      </c>
      <c r="C3771">
        <f t="shared" si="61"/>
        <v>2014</v>
      </c>
    </row>
    <row r="3772" spans="1:3" x14ac:dyDescent="0.2">
      <c r="A3772" s="3">
        <v>41725</v>
      </c>
      <c r="B3772">
        <v>35.6218</v>
      </c>
      <c r="C3772">
        <f t="shared" si="61"/>
        <v>2014</v>
      </c>
    </row>
    <row r="3773" spans="1:3" x14ac:dyDescent="0.2">
      <c r="A3773" s="3">
        <v>41724</v>
      </c>
      <c r="B3773">
        <v>35.527900000000002</v>
      </c>
      <c r="C3773">
        <f t="shared" si="61"/>
        <v>2014</v>
      </c>
    </row>
    <row r="3774" spans="1:3" x14ac:dyDescent="0.2">
      <c r="A3774" s="3">
        <v>41723</v>
      </c>
      <c r="B3774">
        <v>35.599499999999999</v>
      </c>
      <c r="C3774">
        <f t="shared" si="61"/>
        <v>2014</v>
      </c>
    </row>
    <row r="3775" spans="1:3" x14ac:dyDescent="0.2">
      <c r="A3775" s="3">
        <v>41722</v>
      </c>
      <c r="B3775">
        <v>36.121099999999998</v>
      </c>
      <c r="C3775">
        <f t="shared" si="61"/>
        <v>2014</v>
      </c>
    </row>
    <row r="3776" spans="1:3" x14ac:dyDescent="0.2">
      <c r="A3776" s="3">
        <v>41719</v>
      </c>
      <c r="B3776">
        <v>36.243000000000002</v>
      </c>
      <c r="C3776">
        <f t="shared" si="61"/>
        <v>2014</v>
      </c>
    </row>
    <row r="3777" spans="1:3" x14ac:dyDescent="0.2">
      <c r="A3777" s="3">
        <v>41718</v>
      </c>
      <c r="B3777">
        <v>36.172600000000003</v>
      </c>
      <c r="C3777">
        <f t="shared" si="61"/>
        <v>2014</v>
      </c>
    </row>
    <row r="3778" spans="1:3" x14ac:dyDescent="0.2">
      <c r="A3778" s="3">
        <v>41717</v>
      </c>
      <c r="B3778">
        <v>35.964500000000001</v>
      </c>
      <c r="C3778">
        <f t="shared" si="61"/>
        <v>2014</v>
      </c>
    </row>
    <row r="3779" spans="1:3" x14ac:dyDescent="0.2">
      <c r="A3779" s="3">
        <v>41716</v>
      </c>
      <c r="B3779">
        <v>36.246299999999998</v>
      </c>
      <c r="C3779">
        <f t="shared" si="61"/>
        <v>2014</v>
      </c>
    </row>
    <row r="3780" spans="1:3" x14ac:dyDescent="0.2">
      <c r="A3780" s="3">
        <v>41715</v>
      </c>
      <c r="B3780">
        <v>36.267800000000001</v>
      </c>
      <c r="C3780">
        <f t="shared" ref="C3780:C3843" si="62">YEAR(A3780)</f>
        <v>2014</v>
      </c>
    </row>
    <row r="3781" spans="1:3" x14ac:dyDescent="0.2">
      <c r="A3781" s="3">
        <v>41712</v>
      </c>
      <c r="B3781">
        <v>36.632599999999996</v>
      </c>
      <c r="C3781">
        <f t="shared" si="62"/>
        <v>2014</v>
      </c>
    </row>
    <row r="3782" spans="1:3" x14ac:dyDescent="0.2">
      <c r="A3782" s="3">
        <v>41711</v>
      </c>
      <c r="B3782">
        <v>36.543500000000002</v>
      </c>
      <c r="C3782">
        <f t="shared" si="62"/>
        <v>2014</v>
      </c>
    </row>
    <row r="3783" spans="1:3" x14ac:dyDescent="0.2">
      <c r="A3783" s="3">
        <v>41710</v>
      </c>
      <c r="B3783">
        <v>36.5047</v>
      </c>
      <c r="C3783">
        <f t="shared" si="62"/>
        <v>2014</v>
      </c>
    </row>
    <row r="3784" spans="1:3" x14ac:dyDescent="0.2">
      <c r="A3784" s="3">
        <v>41709</v>
      </c>
      <c r="B3784">
        <v>36.515099999999997</v>
      </c>
      <c r="C3784">
        <f t="shared" si="62"/>
        <v>2014</v>
      </c>
    </row>
    <row r="3785" spans="1:3" x14ac:dyDescent="0.2">
      <c r="A3785" s="3">
        <v>41708</v>
      </c>
      <c r="B3785">
        <v>36.351199999999999</v>
      </c>
      <c r="C3785">
        <f t="shared" si="62"/>
        <v>2014</v>
      </c>
    </row>
    <row r="3786" spans="1:3" x14ac:dyDescent="0.2">
      <c r="A3786" s="3">
        <v>41705</v>
      </c>
      <c r="B3786">
        <v>36.447600000000001</v>
      </c>
      <c r="C3786">
        <f t="shared" si="62"/>
        <v>2014</v>
      </c>
    </row>
    <row r="3787" spans="1:3" x14ac:dyDescent="0.2">
      <c r="A3787" s="3">
        <v>41704</v>
      </c>
      <c r="B3787">
        <v>36.180599999999998</v>
      </c>
      <c r="C3787">
        <f t="shared" si="62"/>
        <v>2014</v>
      </c>
    </row>
    <row r="3788" spans="1:3" x14ac:dyDescent="0.2">
      <c r="A3788" s="3">
        <v>41703</v>
      </c>
      <c r="B3788">
        <v>36.103900000000003</v>
      </c>
      <c r="C3788">
        <f t="shared" si="62"/>
        <v>2014</v>
      </c>
    </row>
    <row r="3789" spans="1:3" x14ac:dyDescent="0.2">
      <c r="A3789" s="3">
        <v>41702</v>
      </c>
      <c r="B3789">
        <v>36.103299999999997</v>
      </c>
      <c r="C3789">
        <f t="shared" si="62"/>
        <v>2014</v>
      </c>
    </row>
    <row r="3790" spans="1:3" x14ac:dyDescent="0.2">
      <c r="A3790" s="3">
        <v>41701</v>
      </c>
      <c r="B3790">
        <v>36.5809</v>
      </c>
      <c r="C3790">
        <f t="shared" si="62"/>
        <v>2014</v>
      </c>
    </row>
    <row r="3791" spans="1:3" x14ac:dyDescent="0.2">
      <c r="A3791" s="3">
        <v>41698</v>
      </c>
      <c r="B3791">
        <v>35.864100000000001</v>
      </c>
      <c r="C3791">
        <f t="shared" si="62"/>
        <v>2014</v>
      </c>
    </row>
    <row r="3792" spans="1:3" x14ac:dyDescent="0.2">
      <c r="A3792" s="3">
        <v>41697</v>
      </c>
      <c r="B3792">
        <v>36.11</v>
      </c>
      <c r="C3792">
        <f t="shared" si="62"/>
        <v>2014</v>
      </c>
    </row>
    <row r="3793" spans="1:3" x14ac:dyDescent="0.2">
      <c r="A3793" s="3">
        <v>41696</v>
      </c>
      <c r="B3793">
        <v>36.0197</v>
      </c>
      <c r="C3793">
        <f t="shared" si="62"/>
        <v>2014</v>
      </c>
    </row>
    <row r="3794" spans="1:3" x14ac:dyDescent="0.2">
      <c r="A3794" s="3">
        <v>41695</v>
      </c>
      <c r="B3794">
        <v>35.669899999999998</v>
      </c>
      <c r="C3794">
        <f t="shared" si="62"/>
        <v>2014</v>
      </c>
    </row>
    <row r="3795" spans="1:3" x14ac:dyDescent="0.2">
      <c r="A3795" s="3">
        <v>41694</v>
      </c>
      <c r="B3795">
        <v>35.471899999999998</v>
      </c>
      <c r="C3795">
        <f t="shared" si="62"/>
        <v>2014</v>
      </c>
    </row>
    <row r="3796" spans="1:3" x14ac:dyDescent="0.2">
      <c r="A3796" s="3">
        <v>41691</v>
      </c>
      <c r="B3796">
        <v>35.532499999999999</v>
      </c>
      <c r="C3796">
        <f t="shared" si="62"/>
        <v>2014</v>
      </c>
    </row>
    <row r="3797" spans="1:3" x14ac:dyDescent="0.2">
      <c r="A3797" s="3">
        <v>41690</v>
      </c>
      <c r="B3797">
        <v>35.778100000000002</v>
      </c>
      <c r="C3797">
        <f t="shared" si="62"/>
        <v>2014</v>
      </c>
    </row>
    <row r="3798" spans="1:3" x14ac:dyDescent="0.2">
      <c r="A3798" s="3">
        <v>41689</v>
      </c>
      <c r="B3798">
        <v>35.654499999999999</v>
      </c>
      <c r="C3798">
        <f t="shared" si="62"/>
        <v>2014</v>
      </c>
    </row>
    <row r="3799" spans="1:3" x14ac:dyDescent="0.2">
      <c r="A3799" s="3">
        <v>41688</v>
      </c>
      <c r="B3799">
        <v>35.442500000000003</v>
      </c>
      <c r="C3799">
        <f t="shared" si="62"/>
        <v>2014</v>
      </c>
    </row>
    <row r="3800" spans="1:3" x14ac:dyDescent="0.2">
      <c r="A3800" s="3">
        <v>41687</v>
      </c>
      <c r="B3800">
        <v>35.247700000000002</v>
      </c>
      <c r="C3800">
        <f t="shared" si="62"/>
        <v>2014</v>
      </c>
    </row>
    <row r="3801" spans="1:3" x14ac:dyDescent="0.2">
      <c r="A3801" s="3">
        <v>41684</v>
      </c>
      <c r="B3801">
        <v>35.165100000000002</v>
      </c>
      <c r="C3801">
        <f t="shared" si="62"/>
        <v>2014</v>
      </c>
    </row>
    <row r="3802" spans="1:3" x14ac:dyDescent="0.2">
      <c r="A3802" s="3">
        <v>41683</v>
      </c>
      <c r="B3802">
        <v>35.1693</v>
      </c>
      <c r="C3802">
        <f t="shared" si="62"/>
        <v>2014</v>
      </c>
    </row>
    <row r="3803" spans="1:3" x14ac:dyDescent="0.2">
      <c r="A3803" s="3">
        <v>41682</v>
      </c>
      <c r="B3803">
        <v>34.829599999999999</v>
      </c>
      <c r="C3803">
        <f t="shared" si="62"/>
        <v>2014</v>
      </c>
    </row>
    <row r="3804" spans="1:3" x14ac:dyDescent="0.2">
      <c r="A3804" s="3">
        <v>41681</v>
      </c>
      <c r="B3804">
        <v>34.738</v>
      </c>
      <c r="C3804">
        <f t="shared" si="62"/>
        <v>2014</v>
      </c>
    </row>
    <row r="3805" spans="1:3" x14ac:dyDescent="0.2">
      <c r="A3805" s="3">
        <v>41680</v>
      </c>
      <c r="B3805">
        <v>34.757800000000003</v>
      </c>
      <c r="C3805">
        <f t="shared" si="62"/>
        <v>2014</v>
      </c>
    </row>
    <row r="3806" spans="1:3" x14ac:dyDescent="0.2">
      <c r="A3806" s="3">
        <v>41677</v>
      </c>
      <c r="B3806">
        <v>34.756700000000002</v>
      </c>
      <c r="C3806">
        <f t="shared" si="62"/>
        <v>2014</v>
      </c>
    </row>
    <row r="3807" spans="1:3" x14ac:dyDescent="0.2">
      <c r="A3807" s="3">
        <v>41676</v>
      </c>
      <c r="B3807">
        <v>34.662799999999997</v>
      </c>
      <c r="C3807">
        <f t="shared" si="62"/>
        <v>2014</v>
      </c>
    </row>
    <row r="3808" spans="1:3" x14ac:dyDescent="0.2">
      <c r="A3808" s="3">
        <v>41675</v>
      </c>
      <c r="B3808">
        <v>34.911499999999997</v>
      </c>
      <c r="C3808">
        <f t="shared" si="62"/>
        <v>2014</v>
      </c>
    </row>
    <row r="3809" spans="1:3" x14ac:dyDescent="0.2">
      <c r="A3809" s="3">
        <v>41674</v>
      </c>
      <c r="B3809">
        <v>35.061599999999999</v>
      </c>
      <c r="C3809">
        <f t="shared" si="62"/>
        <v>2014</v>
      </c>
    </row>
    <row r="3810" spans="1:3" x14ac:dyDescent="0.2">
      <c r="A3810" s="3">
        <v>41673</v>
      </c>
      <c r="B3810">
        <v>35.449800000000003</v>
      </c>
      <c r="C3810">
        <f t="shared" si="62"/>
        <v>2014</v>
      </c>
    </row>
    <row r="3811" spans="1:3" x14ac:dyDescent="0.2">
      <c r="A3811" s="3">
        <v>41670</v>
      </c>
      <c r="B3811">
        <v>35.153700000000001</v>
      </c>
      <c r="C3811">
        <f t="shared" si="62"/>
        <v>2014</v>
      </c>
    </row>
    <row r="3812" spans="1:3" x14ac:dyDescent="0.2">
      <c r="A3812" s="3">
        <v>41669</v>
      </c>
      <c r="B3812">
        <v>34.865099999999998</v>
      </c>
      <c r="C3812">
        <f t="shared" si="62"/>
        <v>2014</v>
      </c>
    </row>
    <row r="3813" spans="1:3" x14ac:dyDescent="0.2">
      <c r="A3813" s="3">
        <v>41668</v>
      </c>
      <c r="B3813">
        <v>35.087000000000003</v>
      </c>
      <c r="C3813">
        <f t="shared" si="62"/>
        <v>2014</v>
      </c>
    </row>
    <row r="3814" spans="1:3" x14ac:dyDescent="0.2">
      <c r="A3814" s="3">
        <v>41667</v>
      </c>
      <c r="B3814">
        <v>34.834800000000001</v>
      </c>
      <c r="C3814">
        <f t="shared" si="62"/>
        <v>2014</v>
      </c>
    </row>
    <row r="3815" spans="1:3" x14ac:dyDescent="0.2">
      <c r="A3815" s="3">
        <v>41666</v>
      </c>
      <c r="B3815">
        <v>34.729999999999997</v>
      </c>
      <c r="C3815">
        <f t="shared" si="62"/>
        <v>2014</v>
      </c>
    </row>
    <row r="3816" spans="1:3" x14ac:dyDescent="0.2">
      <c r="A3816" s="3">
        <v>41663</v>
      </c>
      <c r="B3816">
        <v>34.5518</v>
      </c>
      <c r="C3816">
        <f t="shared" si="62"/>
        <v>2014</v>
      </c>
    </row>
    <row r="3817" spans="1:3" x14ac:dyDescent="0.2">
      <c r="A3817" s="3">
        <v>41662</v>
      </c>
      <c r="B3817">
        <v>34.089199999999998</v>
      </c>
      <c r="C3817">
        <f t="shared" si="62"/>
        <v>2014</v>
      </c>
    </row>
    <row r="3818" spans="1:3" x14ac:dyDescent="0.2">
      <c r="A3818" s="3">
        <v>41661</v>
      </c>
      <c r="B3818">
        <v>33.954599999999999</v>
      </c>
      <c r="C3818">
        <f t="shared" si="62"/>
        <v>2014</v>
      </c>
    </row>
    <row r="3819" spans="1:3" x14ac:dyDescent="0.2">
      <c r="A3819" s="3">
        <v>41660</v>
      </c>
      <c r="B3819">
        <v>33.939900000000002</v>
      </c>
      <c r="C3819">
        <f t="shared" si="62"/>
        <v>2014</v>
      </c>
    </row>
    <row r="3820" spans="1:3" x14ac:dyDescent="0.2">
      <c r="A3820" s="3">
        <v>41659</v>
      </c>
      <c r="B3820">
        <v>33.764000000000003</v>
      </c>
      <c r="C3820">
        <f t="shared" si="62"/>
        <v>2014</v>
      </c>
    </row>
    <row r="3821" spans="1:3" x14ac:dyDescent="0.2">
      <c r="A3821" s="3">
        <v>41656</v>
      </c>
      <c r="B3821">
        <v>33.555700000000002</v>
      </c>
      <c r="C3821">
        <f t="shared" si="62"/>
        <v>2014</v>
      </c>
    </row>
    <row r="3822" spans="1:3" x14ac:dyDescent="0.2">
      <c r="A3822" s="3">
        <v>41655</v>
      </c>
      <c r="B3822">
        <v>33.417099999999998</v>
      </c>
      <c r="C3822">
        <f t="shared" si="62"/>
        <v>2014</v>
      </c>
    </row>
    <row r="3823" spans="1:3" x14ac:dyDescent="0.2">
      <c r="A3823" s="3">
        <v>41654</v>
      </c>
      <c r="B3823">
        <v>33.367199999999997</v>
      </c>
      <c r="C3823">
        <f t="shared" si="62"/>
        <v>2014</v>
      </c>
    </row>
    <row r="3824" spans="1:3" x14ac:dyDescent="0.2">
      <c r="A3824" s="3">
        <v>41653</v>
      </c>
      <c r="B3824">
        <v>33.314900000000002</v>
      </c>
      <c r="C3824">
        <f t="shared" si="62"/>
        <v>2014</v>
      </c>
    </row>
    <row r="3825" spans="1:3" x14ac:dyDescent="0.2">
      <c r="A3825" s="3">
        <v>41652</v>
      </c>
      <c r="B3825">
        <v>33.280200000000001</v>
      </c>
      <c r="C3825">
        <f t="shared" si="62"/>
        <v>2014</v>
      </c>
    </row>
    <row r="3826" spans="1:3" x14ac:dyDescent="0.2">
      <c r="A3826" s="3">
        <v>41649</v>
      </c>
      <c r="B3826">
        <v>33.056199999999997</v>
      </c>
      <c r="C3826">
        <f t="shared" si="62"/>
        <v>2014</v>
      </c>
    </row>
    <row r="3827" spans="1:3" x14ac:dyDescent="0.2">
      <c r="A3827" s="3">
        <v>41648</v>
      </c>
      <c r="B3827">
        <v>33.231099999999998</v>
      </c>
      <c r="C3827">
        <f t="shared" si="62"/>
        <v>2014</v>
      </c>
    </row>
    <row r="3828" spans="1:3" x14ac:dyDescent="0.2">
      <c r="A3828" s="3">
        <v>41647</v>
      </c>
      <c r="B3828">
        <v>33.1982</v>
      </c>
      <c r="C3828">
        <f t="shared" si="62"/>
        <v>2014</v>
      </c>
    </row>
    <row r="3829" spans="1:3" x14ac:dyDescent="0.2">
      <c r="A3829" s="3">
        <v>41646</v>
      </c>
      <c r="B3829">
        <v>33.1449</v>
      </c>
      <c r="C3829">
        <f t="shared" si="62"/>
        <v>2014</v>
      </c>
    </row>
    <row r="3830" spans="1:3" x14ac:dyDescent="0.2">
      <c r="A3830" s="3">
        <v>41645</v>
      </c>
      <c r="B3830">
        <v>33.233699999999999</v>
      </c>
      <c r="C3830">
        <f t="shared" si="62"/>
        <v>2014</v>
      </c>
    </row>
    <row r="3831" spans="1:3" x14ac:dyDescent="0.2">
      <c r="A3831" s="3">
        <v>41642</v>
      </c>
      <c r="B3831">
        <v>33.196899999999999</v>
      </c>
      <c r="C3831">
        <f t="shared" si="62"/>
        <v>2014</v>
      </c>
    </row>
    <row r="3832" spans="1:3" x14ac:dyDescent="0.2">
      <c r="A3832" s="3">
        <v>41641</v>
      </c>
      <c r="B3832">
        <v>33.088700000000003</v>
      </c>
      <c r="C3832">
        <f t="shared" si="62"/>
        <v>2014</v>
      </c>
    </row>
    <row r="3833" spans="1:3" x14ac:dyDescent="0.2">
      <c r="A3833" s="3">
        <v>41640</v>
      </c>
      <c r="B3833">
        <v>32.854999999999997</v>
      </c>
      <c r="C3833">
        <f t="shared" si="62"/>
        <v>2014</v>
      </c>
    </row>
    <row r="3834" spans="1:3" x14ac:dyDescent="0.2">
      <c r="A3834" s="3">
        <v>41639</v>
      </c>
      <c r="B3834">
        <v>32.869599999999998</v>
      </c>
      <c r="C3834">
        <f t="shared" si="62"/>
        <v>2013</v>
      </c>
    </row>
    <row r="3835" spans="1:3" x14ac:dyDescent="0.2">
      <c r="A3835" s="3">
        <v>41638</v>
      </c>
      <c r="B3835">
        <v>32.844499999999996</v>
      </c>
      <c r="C3835">
        <f t="shared" si="62"/>
        <v>2013</v>
      </c>
    </row>
    <row r="3836" spans="1:3" x14ac:dyDescent="0.2">
      <c r="A3836" s="3">
        <v>41635</v>
      </c>
      <c r="B3836">
        <v>32.5794</v>
      </c>
      <c r="C3836">
        <f t="shared" si="62"/>
        <v>2013</v>
      </c>
    </row>
    <row r="3837" spans="1:3" x14ac:dyDescent="0.2">
      <c r="A3837" s="3">
        <v>41634</v>
      </c>
      <c r="B3837">
        <v>32.660800000000002</v>
      </c>
      <c r="C3837">
        <f t="shared" si="62"/>
        <v>2013</v>
      </c>
    </row>
    <row r="3838" spans="1:3" x14ac:dyDescent="0.2">
      <c r="A3838" s="3">
        <v>41633</v>
      </c>
      <c r="B3838">
        <v>32.6843</v>
      </c>
      <c r="C3838">
        <f t="shared" si="62"/>
        <v>2013</v>
      </c>
    </row>
    <row r="3839" spans="1:3" x14ac:dyDescent="0.2">
      <c r="A3839" s="3">
        <v>41632</v>
      </c>
      <c r="B3839">
        <v>32.634900000000002</v>
      </c>
      <c r="C3839">
        <f t="shared" si="62"/>
        <v>2013</v>
      </c>
    </row>
    <row r="3840" spans="1:3" x14ac:dyDescent="0.2">
      <c r="A3840" s="3">
        <v>41631</v>
      </c>
      <c r="B3840">
        <v>32.631900000000002</v>
      </c>
      <c r="C3840">
        <f t="shared" si="62"/>
        <v>2013</v>
      </c>
    </row>
    <row r="3841" spans="1:3" x14ac:dyDescent="0.2">
      <c r="A3841" s="3">
        <v>41628</v>
      </c>
      <c r="B3841">
        <v>32.9925</v>
      </c>
      <c r="C3841">
        <f t="shared" si="62"/>
        <v>2013</v>
      </c>
    </row>
    <row r="3842" spans="1:3" x14ac:dyDescent="0.2">
      <c r="A3842" s="3">
        <v>41627</v>
      </c>
      <c r="B3842">
        <v>32.970599999999997</v>
      </c>
      <c r="C3842">
        <f t="shared" si="62"/>
        <v>2013</v>
      </c>
    </row>
    <row r="3843" spans="1:3" x14ac:dyDescent="0.2">
      <c r="A3843" s="3">
        <v>41626</v>
      </c>
      <c r="B3843">
        <v>32.869999999999997</v>
      </c>
      <c r="C3843">
        <f t="shared" si="62"/>
        <v>2013</v>
      </c>
    </row>
    <row r="3844" spans="1:3" x14ac:dyDescent="0.2">
      <c r="A3844" s="3">
        <v>41625</v>
      </c>
      <c r="B3844">
        <v>32.945999999999998</v>
      </c>
      <c r="C3844">
        <f t="shared" ref="C3844:C3907" si="63">YEAR(A3844)</f>
        <v>2013</v>
      </c>
    </row>
    <row r="3845" spans="1:3" x14ac:dyDescent="0.2">
      <c r="A3845" s="3">
        <v>41624</v>
      </c>
      <c r="B3845">
        <v>32.900700000000001</v>
      </c>
      <c r="C3845">
        <f t="shared" si="63"/>
        <v>2013</v>
      </c>
    </row>
    <row r="3846" spans="1:3" x14ac:dyDescent="0.2">
      <c r="A3846" s="3">
        <v>41621</v>
      </c>
      <c r="B3846">
        <v>32.872700000000002</v>
      </c>
      <c r="C3846">
        <f t="shared" si="63"/>
        <v>2013</v>
      </c>
    </row>
    <row r="3847" spans="1:3" x14ac:dyDescent="0.2">
      <c r="A3847" s="3">
        <v>41620</v>
      </c>
      <c r="B3847">
        <v>32.7973</v>
      </c>
      <c r="C3847">
        <f t="shared" si="63"/>
        <v>2013</v>
      </c>
    </row>
    <row r="3848" spans="1:3" x14ac:dyDescent="0.2">
      <c r="A3848" s="3">
        <v>41619</v>
      </c>
      <c r="B3848">
        <v>32.7607</v>
      </c>
      <c r="C3848">
        <f t="shared" si="63"/>
        <v>2013</v>
      </c>
    </row>
    <row r="3849" spans="1:3" x14ac:dyDescent="0.2">
      <c r="A3849" s="3">
        <v>41618</v>
      </c>
      <c r="B3849">
        <v>32.722299999999997</v>
      </c>
      <c r="C3849">
        <f t="shared" si="63"/>
        <v>2013</v>
      </c>
    </row>
    <row r="3850" spans="1:3" x14ac:dyDescent="0.2">
      <c r="A3850" s="3">
        <v>41617</v>
      </c>
      <c r="B3850">
        <v>32.757399999999997</v>
      </c>
      <c r="C3850">
        <f t="shared" si="63"/>
        <v>2013</v>
      </c>
    </row>
    <row r="3851" spans="1:3" x14ac:dyDescent="0.2">
      <c r="A3851" s="3">
        <v>41614</v>
      </c>
      <c r="B3851">
        <v>32.722999999999999</v>
      </c>
      <c r="C3851">
        <f t="shared" si="63"/>
        <v>2013</v>
      </c>
    </row>
    <row r="3852" spans="1:3" x14ac:dyDescent="0.2">
      <c r="A3852" s="3">
        <v>41613</v>
      </c>
      <c r="B3852">
        <v>32.966000000000001</v>
      </c>
      <c r="C3852">
        <f t="shared" si="63"/>
        <v>2013</v>
      </c>
    </row>
    <row r="3853" spans="1:3" x14ac:dyDescent="0.2">
      <c r="A3853" s="3">
        <v>41612</v>
      </c>
      <c r="B3853">
        <v>33.191699999999997</v>
      </c>
      <c r="C3853">
        <f t="shared" si="63"/>
        <v>2013</v>
      </c>
    </row>
    <row r="3854" spans="1:3" x14ac:dyDescent="0.2">
      <c r="A3854" s="3">
        <v>41611</v>
      </c>
      <c r="B3854">
        <v>33.26</v>
      </c>
      <c r="C3854">
        <f t="shared" si="63"/>
        <v>2013</v>
      </c>
    </row>
    <row r="3855" spans="1:3" x14ac:dyDescent="0.2">
      <c r="A3855" s="3">
        <v>41610</v>
      </c>
      <c r="B3855">
        <v>33.222999999999999</v>
      </c>
      <c r="C3855">
        <f t="shared" si="63"/>
        <v>2013</v>
      </c>
    </row>
    <row r="3856" spans="1:3" x14ac:dyDescent="0.2">
      <c r="A3856" s="3">
        <v>41607</v>
      </c>
      <c r="B3856">
        <v>33.119999999999997</v>
      </c>
      <c r="C3856">
        <f t="shared" si="63"/>
        <v>2013</v>
      </c>
    </row>
    <row r="3857" spans="1:3" x14ac:dyDescent="0.2">
      <c r="A3857" s="3">
        <v>41606</v>
      </c>
      <c r="B3857">
        <v>33.167000000000002</v>
      </c>
      <c r="C3857">
        <f t="shared" si="63"/>
        <v>2013</v>
      </c>
    </row>
    <row r="3858" spans="1:3" x14ac:dyDescent="0.2">
      <c r="A3858" s="3">
        <v>41605</v>
      </c>
      <c r="B3858">
        <v>33.192399999999999</v>
      </c>
      <c r="C3858">
        <f t="shared" si="63"/>
        <v>2013</v>
      </c>
    </row>
    <row r="3859" spans="1:3" x14ac:dyDescent="0.2">
      <c r="A3859" s="3">
        <v>41604</v>
      </c>
      <c r="B3859">
        <v>32.976199999999999</v>
      </c>
      <c r="C3859">
        <f t="shared" si="63"/>
        <v>2013</v>
      </c>
    </row>
    <row r="3860" spans="1:3" x14ac:dyDescent="0.2">
      <c r="A3860" s="3">
        <v>41603</v>
      </c>
      <c r="B3860">
        <v>32.955399999999997</v>
      </c>
      <c r="C3860">
        <f t="shared" si="63"/>
        <v>2013</v>
      </c>
    </row>
    <row r="3861" spans="1:3" x14ac:dyDescent="0.2">
      <c r="A3861" s="3">
        <v>41600</v>
      </c>
      <c r="B3861">
        <v>32.764299999999999</v>
      </c>
      <c r="C3861">
        <f t="shared" si="63"/>
        <v>2013</v>
      </c>
    </row>
    <row r="3862" spans="1:3" x14ac:dyDescent="0.2">
      <c r="A3862" s="3">
        <v>41599</v>
      </c>
      <c r="B3862">
        <v>33.030799999999999</v>
      </c>
      <c r="C3862">
        <f t="shared" si="63"/>
        <v>2013</v>
      </c>
    </row>
    <row r="3863" spans="1:3" x14ac:dyDescent="0.2">
      <c r="A3863" s="3">
        <v>41598</v>
      </c>
      <c r="B3863">
        <v>32.902000000000001</v>
      </c>
      <c r="C3863">
        <f t="shared" si="63"/>
        <v>2013</v>
      </c>
    </row>
    <row r="3864" spans="1:3" x14ac:dyDescent="0.2">
      <c r="A3864" s="3">
        <v>41597</v>
      </c>
      <c r="B3864">
        <v>32.713700000000003</v>
      </c>
      <c r="C3864">
        <f t="shared" si="63"/>
        <v>2013</v>
      </c>
    </row>
    <row r="3865" spans="1:3" x14ac:dyDescent="0.2">
      <c r="A3865" s="3">
        <v>41596</v>
      </c>
      <c r="B3865">
        <v>32.547800000000002</v>
      </c>
      <c r="C3865">
        <f t="shared" si="63"/>
        <v>2013</v>
      </c>
    </row>
    <row r="3866" spans="1:3" x14ac:dyDescent="0.2">
      <c r="A3866" s="3">
        <v>41593</v>
      </c>
      <c r="B3866">
        <v>32.587000000000003</v>
      </c>
      <c r="C3866">
        <f t="shared" si="63"/>
        <v>2013</v>
      </c>
    </row>
    <row r="3867" spans="1:3" x14ac:dyDescent="0.2">
      <c r="A3867" s="3">
        <v>41592</v>
      </c>
      <c r="B3867">
        <v>32.652799999999999</v>
      </c>
      <c r="C3867">
        <f t="shared" si="63"/>
        <v>2013</v>
      </c>
    </row>
    <row r="3868" spans="1:3" x14ac:dyDescent="0.2">
      <c r="A3868" s="3">
        <v>41591</v>
      </c>
      <c r="B3868">
        <v>32.759900000000002</v>
      </c>
      <c r="C3868">
        <f t="shared" si="63"/>
        <v>2013</v>
      </c>
    </row>
    <row r="3869" spans="1:3" x14ac:dyDescent="0.2">
      <c r="A3869" s="3">
        <v>41590</v>
      </c>
      <c r="B3869">
        <v>32.895499999999998</v>
      </c>
      <c r="C3869">
        <f t="shared" si="63"/>
        <v>2013</v>
      </c>
    </row>
    <row r="3870" spans="1:3" x14ac:dyDescent="0.2">
      <c r="A3870" s="3">
        <v>41589</v>
      </c>
      <c r="B3870">
        <v>32.8277</v>
      </c>
      <c r="C3870">
        <f t="shared" si="63"/>
        <v>2013</v>
      </c>
    </row>
    <row r="3871" spans="1:3" x14ac:dyDescent="0.2">
      <c r="A3871" s="3">
        <v>41586</v>
      </c>
      <c r="B3871">
        <v>32.646700000000003</v>
      </c>
      <c r="C3871">
        <f t="shared" si="63"/>
        <v>2013</v>
      </c>
    </row>
    <row r="3872" spans="1:3" x14ac:dyDescent="0.2">
      <c r="A3872" s="3">
        <v>41585</v>
      </c>
      <c r="B3872">
        <v>32.389499999999998</v>
      </c>
      <c r="C3872">
        <f t="shared" si="63"/>
        <v>2013</v>
      </c>
    </row>
    <row r="3873" spans="1:3" x14ac:dyDescent="0.2">
      <c r="A3873" s="3">
        <v>41584</v>
      </c>
      <c r="B3873">
        <v>32.406300000000002</v>
      </c>
      <c r="C3873">
        <f t="shared" si="63"/>
        <v>2013</v>
      </c>
    </row>
    <row r="3874" spans="1:3" x14ac:dyDescent="0.2">
      <c r="A3874" s="3">
        <v>41583</v>
      </c>
      <c r="B3874">
        <v>32.549300000000002</v>
      </c>
      <c r="C3874">
        <f t="shared" si="63"/>
        <v>2013</v>
      </c>
    </row>
    <row r="3875" spans="1:3" x14ac:dyDescent="0.2">
      <c r="A3875" s="3">
        <v>41582</v>
      </c>
      <c r="B3875">
        <v>32.3386</v>
      </c>
      <c r="C3875">
        <f t="shared" si="63"/>
        <v>2013</v>
      </c>
    </row>
    <row r="3876" spans="1:3" x14ac:dyDescent="0.2">
      <c r="A3876" s="3">
        <v>41579</v>
      </c>
      <c r="B3876">
        <v>32.399799999999999</v>
      </c>
      <c r="C3876">
        <f t="shared" si="63"/>
        <v>2013</v>
      </c>
    </row>
    <row r="3877" spans="1:3" x14ac:dyDescent="0.2">
      <c r="A3877" s="3">
        <v>41578</v>
      </c>
      <c r="B3877">
        <v>32.091299999999997</v>
      </c>
      <c r="C3877">
        <f t="shared" si="63"/>
        <v>2013</v>
      </c>
    </row>
    <row r="3878" spans="1:3" x14ac:dyDescent="0.2">
      <c r="A3878" s="3">
        <v>41577</v>
      </c>
      <c r="B3878">
        <v>31.925799999999999</v>
      </c>
      <c r="C3878">
        <f t="shared" si="63"/>
        <v>2013</v>
      </c>
    </row>
    <row r="3879" spans="1:3" x14ac:dyDescent="0.2">
      <c r="A3879" s="3">
        <v>41576</v>
      </c>
      <c r="B3879">
        <v>32.067900000000002</v>
      </c>
      <c r="C3879">
        <f t="shared" si="63"/>
        <v>2013</v>
      </c>
    </row>
    <row r="3880" spans="1:3" x14ac:dyDescent="0.2">
      <c r="A3880" s="3">
        <v>41575</v>
      </c>
      <c r="B3880">
        <v>31.9267</v>
      </c>
      <c r="C3880">
        <f t="shared" si="63"/>
        <v>2013</v>
      </c>
    </row>
    <row r="3881" spans="1:3" x14ac:dyDescent="0.2">
      <c r="A3881" s="3">
        <v>41572</v>
      </c>
      <c r="B3881">
        <v>31.809799999999999</v>
      </c>
      <c r="C3881">
        <f t="shared" si="63"/>
        <v>2013</v>
      </c>
    </row>
    <row r="3882" spans="1:3" x14ac:dyDescent="0.2">
      <c r="A3882" s="3">
        <v>41571</v>
      </c>
      <c r="B3882">
        <v>31.715800000000002</v>
      </c>
      <c r="C3882">
        <f t="shared" si="63"/>
        <v>2013</v>
      </c>
    </row>
    <row r="3883" spans="1:3" x14ac:dyDescent="0.2">
      <c r="A3883" s="3">
        <v>41570</v>
      </c>
      <c r="B3883">
        <v>31.746700000000001</v>
      </c>
      <c r="C3883">
        <f t="shared" si="63"/>
        <v>2013</v>
      </c>
    </row>
    <row r="3884" spans="1:3" x14ac:dyDescent="0.2">
      <c r="A3884" s="3">
        <v>41569</v>
      </c>
      <c r="B3884">
        <v>31.683199999999999</v>
      </c>
      <c r="C3884">
        <f t="shared" si="63"/>
        <v>2013</v>
      </c>
    </row>
    <row r="3885" spans="1:3" x14ac:dyDescent="0.2">
      <c r="A3885" s="3">
        <v>41568</v>
      </c>
      <c r="B3885">
        <v>31.9543</v>
      </c>
      <c r="C3885">
        <f t="shared" si="63"/>
        <v>2013</v>
      </c>
    </row>
    <row r="3886" spans="1:3" x14ac:dyDescent="0.2">
      <c r="A3886" s="3">
        <v>41565</v>
      </c>
      <c r="B3886">
        <v>31.8582</v>
      </c>
      <c r="C3886">
        <f t="shared" si="63"/>
        <v>2013</v>
      </c>
    </row>
    <row r="3887" spans="1:3" x14ac:dyDescent="0.2">
      <c r="A3887" s="3">
        <v>41564</v>
      </c>
      <c r="B3887">
        <v>31.889500000000002</v>
      </c>
      <c r="C3887">
        <f t="shared" si="63"/>
        <v>2013</v>
      </c>
    </row>
    <row r="3888" spans="1:3" x14ac:dyDescent="0.2">
      <c r="A3888" s="3">
        <v>41563</v>
      </c>
      <c r="B3888">
        <v>32.121099999999998</v>
      </c>
      <c r="C3888">
        <f t="shared" si="63"/>
        <v>2013</v>
      </c>
    </row>
    <row r="3889" spans="1:3" x14ac:dyDescent="0.2">
      <c r="A3889" s="3">
        <v>41562</v>
      </c>
      <c r="B3889">
        <v>32.253</v>
      </c>
      <c r="C3889">
        <f t="shared" si="63"/>
        <v>2013</v>
      </c>
    </row>
    <row r="3890" spans="1:3" x14ac:dyDescent="0.2">
      <c r="A3890" s="3">
        <v>41561</v>
      </c>
      <c r="B3890">
        <v>32.302100000000003</v>
      </c>
      <c r="C3890">
        <f t="shared" si="63"/>
        <v>2013</v>
      </c>
    </row>
    <row r="3891" spans="1:3" x14ac:dyDescent="0.2">
      <c r="A3891" s="3">
        <v>41558</v>
      </c>
      <c r="B3891">
        <v>32.292999999999999</v>
      </c>
      <c r="C3891">
        <f t="shared" si="63"/>
        <v>2013</v>
      </c>
    </row>
    <row r="3892" spans="1:3" x14ac:dyDescent="0.2">
      <c r="A3892" s="3">
        <v>41557</v>
      </c>
      <c r="B3892">
        <v>32.203099999999999</v>
      </c>
      <c r="C3892">
        <f t="shared" si="63"/>
        <v>2013</v>
      </c>
    </row>
    <row r="3893" spans="1:3" x14ac:dyDescent="0.2">
      <c r="A3893" s="3">
        <v>41556</v>
      </c>
      <c r="B3893">
        <v>32.380899999999997</v>
      </c>
      <c r="C3893">
        <f t="shared" si="63"/>
        <v>2013</v>
      </c>
    </row>
    <row r="3894" spans="1:3" x14ac:dyDescent="0.2">
      <c r="A3894" s="3">
        <v>41555</v>
      </c>
      <c r="B3894">
        <v>32.395200000000003</v>
      </c>
      <c r="C3894">
        <f t="shared" si="63"/>
        <v>2013</v>
      </c>
    </row>
    <row r="3895" spans="1:3" x14ac:dyDescent="0.2">
      <c r="A3895" s="3">
        <v>41554</v>
      </c>
      <c r="B3895">
        <v>32.248699999999999</v>
      </c>
      <c r="C3895">
        <f t="shared" si="63"/>
        <v>2013</v>
      </c>
    </row>
    <row r="3896" spans="1:3" x14ac:dyDescent="0.2">
      <c r="A3896" s="3">
        <v>41551</v>
      </c>
      <c r="B3896">
        <v>32.179900000000004</v>
      </c>
      <c r="C3896">
        <f t="shared" si="63"/>
        <v>2013</v>
      </c>
    </row>
    <row r="3897" spans="1:3" x14ac:dyDescent="0.2">
      <c r="A3897" s="3">
        <v>41550</v>
      </c>
      <c r="B3897">
        <v>32.1843</v>
      </c>
      <c r="C3897">
        <f t="shared" si="63"/>
        <v>2013</v>
      </c>
    </row>
    <row r="3898" spans="1:3" x14ac:dyDescent="0.2">
      <c r="A3898" s="3">
        <v>41549</v>
      </c>
      <c r="B3898">
        <v>32.206800000000001</v>
      </c>
      <c r="C3898">
        <f t="shared" si="63"/>
        <v>2013</v>
      </c>
    </row>
    <row r="3899" spans="1:3" x14ac:dyDescent="0.2">
      <c r="A3899" s="3">
        <v>41548</v>
      </c>
      <c r="B3899">
        <v>32.2254</v>
      </c>
      <c r="C3899">
        <f t="shared" si="63"/>
        <v>2013</v>
      </c>
    </row>
    <row r="3900" spans="1:3" x14ac:dyDescent="0.2">
      <c r="A3900" s="3">
        <v>41547</v>
      </c>
      <c r="B3900">
        <v>32.390599999999999</v>
      </c>
      <c r="C3900">
        <f t="shared" si="63"/>
        <v>2013</v>
      </c>
    </row>
    <row r="3901" spans="1:3" x14ac:dyDescent="0.2">
      <c r="A3901" s="3">
        <v>41544</v>
      </c>
      <c r="B3901">
        <v>32.331899999999997</v>
      </c>
      <c r="C3901">
        <f t="shared" si="63"/>
        <v>2013</v>
      </c>
    </row>
    <row r="3902" spans="1:3" x14ac:dyDescent="0.2">
      <c r="A3902" s="3">
        <v>41543</v>
      </c>
      <c r="B3902">
        <v>32.314</v>
      </c>
      <c r="C3902">
        <f t="shared" si="63"/>
        <v>2013</v>
      </c>
    </row>
    <row r="3903" spans="1:3" x14ac:dyDescent="0.2">
      <c r="A3903" s="3">
        <v>41542</v>
      </c>
      <c r="B3903">
        <v>32.057200000000002</v>
      </c>
      <c r="C3903">
        <f t="shared" si="63"/>
        <v>2013</v>
      </c>
    </row>
    <row r="3904" spans="1:3" x14ac:dyDescent="0.2">
      <c r="A3904" s="3">
        <v>41541</v>
      </c>
      <c r="B3904">
        <v>31.8642</v>
      </c>
      <c r="C3904">
        <f t="shared" si="63"/>
        <v>2013</v>
      </c>
    </row>
    <row r="3905" spans="1:3" x14ac:dyDescent="0.2">
      <c r="A3905" s="3">
        <v>41540</v>
      </c>
      <c r="B3905">
        <v>31.790700000000001</v>
      </c>
      <c r="C3905">
        <f t="shared" si="63"/>
        <v>2013</v>
      </c>
    </row>
    <row r="3906" spans="1:3" x14ac:dyDescent="0.2">
      <c r="A3906" s="3">
        <v>41537</v>
      </c>
      <c r="B3906">
        <v>31.8142</v>
      </c>
      <c r="C3906">
        <f t="shared" si="63"/>
        <v>2013</v>
      </c>
    </row>
    <row r="3907" spans="1:3" x14ac:dyDescent="0.2">
      <c r="A3907" s="3">
        <v>41536</v>
      </c>
      <c r="B3907">
        <v>31.668399999999998</v>
      </c>
      <c r="C3907">
        <f t="shared" si="63"/>
        <v>2013</v>
      </c>
    </row>
    <row r="3908" spans="1:3" x14ac:dyDescent="0.2">
      <c r="A3908" s="3">
        <v>41535</v>
      </c>
      <c r="B3908">
        <v>32.272300000000001</v>
      </c>
      <c r="C3908">
        <f t="shared" ref="C3908:C3971" si="64">YEAR(A3908)</f>
        <v>2013</v>
      </c>
    </row>
    <row r="3909" spans="1:3" x14ac:dyDescent="0.2">
      <c r="A3909" s="3">
        <v>41534</v>
      </c>
      <c r="B3909">
        <v>32.211500000000001</v>
      </c>
      <c r="C3909">
        <f t="shared" si="64"/>
        <v>2013</v>
      </c>
    </row>
    <row r="3910" spans="1:3" x14ac:dyDescent="0.2">
      <c r="A3910" s="3">
        <v>41533</v>
      </c>
      <c r="B3910">
        <v>32.267000000000003</v>
      </c>
      <c r="C3910">
        <f t="shared" si="64"/>
        <v>2013</v>
      </c>
    </row>
    <row r="3911" spans="1:3" x14ac:dyDescent="0.2">
      <c r="A3911" s="3">
        <v>41530</v>
      </c>
      <c r="B3911">
        <v>32.469299999999997</v>
      </c>
      <c r="C3911">
        <f t="shared" si="64"/>
        <v>2013</v>
      </c>
    </row>
    <row r="3912" spans="1:3" x14ac:dyDescent="0.2">
      <c r="A3912" s="3">
        <v>41529</v>
      </c>
      <c r="B3912">
        <v>32.645200000000003</v>
      </c>
      <c r="C3912">
        <f t="shared" si="64"/>
        <v>2013</v>
      </c>
    </row>
    <row r="3913" spans="1:3" x14ac:dyDescent="0.2">
      <c r="A3913" s="3">
        <v>41528</v>
      </c>
      <c r="B3913">
        <v>32.806600000000003</v>
      </c>
      <c r="C3913">
        <f t="shared" si="64"/>
        <v>2013</v>
      </c>
    </row>
    <row r="3914" spans="1:3" x14ac:dyDescent="0.2">
      <c r="A3914" s="3">
        <v>41527</v>
      </c>
      <c r="B3914">
        <v>32.977200000000003</v>
      </c>
      <c r="C3914">
        <f t="shared" si="64"/>
        <v>2013</v>
      </c>
    </row>
    <row r="3915" spans="1:3" x14ac:dyDescent="0.2">
      <c r="A3915" s="3">
        <v>41526</v>
      </c>
      <c r="B3915">
        <v>33.152000000000001</v>
      </c>
      <c r="C3915">
        <f t="shared" si="64"/>
        <v>2013</v>
      </c>
    </row>
    <row r="3916" spans="1:3" x14ac:dyDescent="0.2">
      <c r="A3916" s="3">
        <v>41523</v>
      </c>
      <c r="B3916">
        <v>33.316499999999998</v>
      </c>
      <c r="C3916">
        <f t="shared" si="64"/>
        <v>2013</v>
      </c>
    </row>
    <row r="3917" spans="1:3" x14ac:dyDescent="0.2">
      <c r="A3917" s="3">
        <v>41522</v>
      </c>
      <c r="B3917">
        <v>33.432299999999998</v>
      </c>
      <c r="C3917">
        <f t="shared" si="64"/>
        <v>2013</v>
      </c>
    </row>
    <row r="3918" spans="1:3" x14ac:dyDescent="0.2">
      <c r="A3918" s="3">
        <v>41521</v>
      </c>
      <c r="B3918">
        <v>33.317399999999999</v>
      </c>
      <c r="C3918">
        <f t="shared" si="64"/>
        <v>2013</v>
      </c>
    </row>
    <row r="3919" spans="1:3" x14ac:dyDescent="0.2">
      <c r="A3919" s="3">
        <v>41520</v>
      </c>
      <c r="B3919">
        <v>33.516300000000001</v>
      </c>
      <c r="C3919">
        <f t="shared" si="64"/>
        <v>2013</v>
      </c>
    </row>
    <row r="3920" spans="1:3" x14ac:dyDescent="0.2">
      <c r="A3920" s="3">
        <v>41519</v>
      </c>
      <c r="B3920">
        <v>33.369599999999998</v>
      </c>
      <c r="C3920">
        <f t="shared" si="64"/>
        <v>2013</v>
      </c>
    </row>
    <row r="3921" spans="1:3" x14ac:dyDescent="0.2">
      <c r="A3921" s="3">
        <v>41516</v>
      </c>
      <c r="B3921">
        <v>33.292299999999997</v>
      </c>
      <c r="C3921">
        <f t="shared" si="64"/>
        <v>2013</v>
      </c>
    </row>
    <row r="3922" spans="1:3" x14ac:dyDescent="0.2">
      <c r="A3922" s="3">
        <v>41515</v>
      </c>
      <c r="B3922">
        <v>33.210599999999999</v>
      </c>
      <c r="C3922">
        <f t="shared" si="64"/>
        <v>2013</v>
      </c>
    </row>
    <row r="3923" spans="1:3" x14ac:dyDescent="0.2">
      <c r="A3923" s="3">
        <v>41514</v>
      </c>
      <c r="B3923">
        <v>33.172400000000003</v>
      </c>
      <c r="C3923">
        <f t="shared" si="64"/>
        <v>2013</v>
      </c>
    </row>
    <row r="3924" spans="1:3" x14ac:dyDescent="0.2">
      <c r="A3924" s="3">
        <v>41513</v>
      </c>
      <c r="B3924">
        <v>33.151800000000001</v>
      </c>
      <c r="C3924">
        <f t="shared" si="64"/>
        <v>2013</v>
      </c>
    </row>
    <row r="3925" spans="1:3" x14ac:dyDescent="0.2">
      <c r="A3925" s="3">
        <v>41512</v>
      </c>
      <c r="B3925">
        <v>33.0381</v>
      </c>
      <c r="C3925">
        <f t="shared" si="64"/>
        <v>2013</v>
      </c>
    </row>
    <row r="3926" spans="1:3" x14ac:dyDescent="0.2">
      <c r="A3926" s="3">
        <v>41509</v>
      </c>
      <c r="B3926">
        <v>33.003999999999998</v>
      </c>
      <c r="C3926">
        <f t="shared" si="64"/>
        <v>2013</v>
      </c>
    </row>
    <row r="3927" spans="1:3" x14ac:dyDescent="0.2">
      <c r="A3927" s="3">
        <v>41508</v>
      </c>
      <c r="B3927">
        <v>33.042400000000001</v>
      </c>
      <c r="C3927">
        <f t="shared" si="64"/>
        <v>2013</v>
      </c>
    </row>
    <row r="3928" spans="1:3" x14ac:dyDescent="0.2">
      <c r="A3928" s="3">
        <v>41507</v>
      </c>
      <c r="B3928">
        <v>33.1081</v>
      </c>
      <c r="C3928">
        <f t="shared" si="64"/>
        <v>2013</v>
      </c>
    </row>
    <row r="3929" spans="1:3" x14ac:dyDescent="0.2">
      <c r="A3929" s="3">
        <v>41506</v>
      </c>
      <c r="B3929">
        <v>32.927100000000003</v>
      </c>
      <c r="C3929">
        <f t="shared" si="64"/>
        <v>2013</v>
      </c>
    </row>
    <row r="3930" spans="1:3" x14ac:dyDescent="0.2">
      <c r="A3930" s="3">
        <v>41505</v>
      </c>
      <c r="B3930">
        <v>32.945</v>
      </c>
      <c r="C3930">
        <f t="shared" si="64"/>
        <v>2013</v>
      </c>
    </row>
    <row r="3931" spans="1:3" x14ac:dyDescent="0.2">
      <c r="A3931" s="3">
        <v>41502</v>
      </c>
      <c r="B3931">
        <v>32.926699999999997</v>
      </c>
      <c r="C3931">
        <f t="shared" si="64"/>
        <v>2013</v>
      </c>
    </row>
    <row r="3932" spans="1:3" x14ac:dyDescent="0.2">
      <c r="A3932" s="3">
        <v>41501</v>
      </c>
      <c r="B3932">
        <v>32.9786</v>
      </c>
      <c r="C3932">
        <f t="shared" si="64"/>
        <v>2013</v>
      </c>
    </row>
    <row r="3933" spans="1:3" x14ac:dyDescent="0.2">
      <c r="A3933" s="3">
        <v>41500</v>
      </c>
      <c r="B3933">
        <v>33.084099999999999</v>
      </c>
      <c r="C3933">
        <f t="shared" si="64"/>
        <v>2013</v>
      </c>
    </row>
    <row r="3934" spans="1:3" x14ac:dyDescent="0.2">
      <c r="A3934" s="3">
        <v>41499</v>
      </c>
      <c r="B3934">
        <v>33.087899999999998</v>
      </c>
      <c r="C3934">
        <f t="shared" si="64"/>
        <v>2013</v>
      </c>
    </row>
    <row r="3935" spans="1:3" x14ac:dyDescent="0.2">
      <c r="A3935" s="3">
        <v>41498</v>
      </c>
      <c r="B3935">
        <v>33</v>
      </c>
      <c r="C3935">
        <f t="shared" si="64"/>
        <v>2013</v>
      </c>
    </row>
    <row r="3936" spans="1:3" x14ac:dyDescent="0.2">
      <c r="A3936" s="3">
        <v>41495</v>
      </c>
      <c r="B3936">
        <v>32.861800000000002</v>
      </c>
      <c r="C3936">
        <f t="shared" si="64"/>
        <v>2013</v>
      </c>
    </row>
    <row r="3937" spans="1:3" x14ac:dyDescent="0.2">
      <c r="A3937" s="3">
        <v>41494</v>
      </c>
      <c r="B3937">
        <v>32.808599999999998</v>
      </c>
      <c r="C3937">
        <f t="shared" si="64"/>
        <v>2013</v>
      </c>
    </row>
    <row r="3938" spans="1:3" x14ac:dyDescent="0.2">
      <c r="A3938" s="3">
        <v>41493</v>
      </c>
      <c r="B3938">
        <v>32.9758</v>
      </c>
      <c r="C3938">
        <f t="shared" si="64"/>
        <v>2013</v>
      </c>
    </row>
    <row r="3939" spans="1:3" x14ac:dyDescent="0.2">
      <c r="A3939" s="3">
        <v>41492</v>
      </c>
      <c r="B3939">
        <v>32.962800000000001</v>
      </c>
      <c r="C3939">
        <f t="shared" si="64"/>
        <v>2013</v>
      </c>
    </row>
    <row r="3940" spans="1:3" x14ac:dyDescent="0.2">
      <c r="A3940" s="3">
        <v>41491</v>
      </c>
      <c r="B3940">
        <v>32.923299999999998</v>
      </c>
      <c r="C3940">
        <f t="shared" si="64"/>
        <v>2013</v>
      </c>
    </row>
    <row r="3941" spans="1:3" x14ac:dyDescent="0.2">
      <c r="A3941" s="3">
        <v>41488</v>
      </c>
      <c r="B3941">
        <v>32.818800000000003</v>
      </c>
      <c r="C3941">
        <f t="shared" si="64"/>
        <v>2013</v>
      </c>
    </row>
    <row r="3942" spans="1:3" x14ac:dyDescent="0.2">
      <c r="A3942" s="3">
        <v>41487</v>
      </c>
      <c r="B3942">
        <v>33.085000000000001</v>
      </c>
      <c r="C3942">
        <f t="shared" si="64"/>
        <v>2013</v>
      </c>
    </row>
    <row r="3943" spans="1:3" x14ac:dyDescent="0.2">
      <c r="A3943" s="3">
        <v>41486</v>
      </c>
      <c r="B3943">
        <v>33.003799999999998</v>
      </c>
      <c r="C3943">
        <f t="shared" si="64"/>
        <v>2013</v>
      </c>
    </row>
    <row r="3944" spans="1:3" x14ac:dyDescent="0.2">
      <c r="A3944" s="3">
        <v>41485</v>
      </c>
      <c r="B3944">
        <v>32.963099999999997</v>
      </c>
      <c r="C3944">
        <f t="shared" si="64"/>
        <v>2013</v>
      </c>
    </row>
    <row r="3945" spans="1:3" x14ac:dyDescent="0.2">
      <c r="A3945" s="3">
        <v>41484</v>
      </c>
      <c r="B3945">
        <v>32.8093</v>
      </c>
      <c r="C3945">
        <f t="shared" si="64"/>
        <v>2013</v>
      </c>
    </row>
    <row r="3946" spans="1:3" x14ac:dyDescent="0.2">
      <c r="A3946" s="3">
        <v>41481</v>
      </c>
      <c r="B3946">
        <v>32.822699999999998</v>
      </c>
      <c r="C3946">
        <f t="shared" si="64"/>
        <v>2013</v>
      </c>
    </row>
    <row r="3947" spans="1:3" x14ac:dyDescent="0.2">
      <c r="A3947" s="3">
        <v>41480</v>
      </c>
      <c r="B3947">
        <v>32.691699999999997</v>
      </c>
      <c r="C3947">
        <f t="shared" si="64"/>
        <v>2013</v>
      </c>
    </row>
    <row r="3948" spans="1:3" x14ac:dyDescent="0.2">
      <c r="A3948" s="3">
        <v>41479</v>
      </c>
      <c r="B3948">
        <v>32.453499999999998</v>
      </c>
      <c r="C3948">
        <f t="shared" si="64"/>
        <v>2013</v>
      </c>
    </row>
    <row r="3949" spans="1:3" x14ac:dyDescent="0.2">
      <c r="A3949" s="3">
        <v>41478</v>
      </c>
      <c r="B3949">
        <v>32.332700000000003</v>
      </c>
      <c r="C3949">
        <f t="shared" si="64"/>
        <v>2013</v>
      </c>
    </row>
    <row r="3950" spans="1:3" x14ac:dyDescent="0.2">
      <c r="A3950" s="3">
        <v>41477</v>
      </c>
      <c r="B3950">
        <v>32.308900000000001</v>
      </c>
      <c r="C3950">
        <f t="shared" si="64"/>
        <v>2013</v>
      </c>
    </row>
    <row r="3951" spans="1:3" x14ac:dyDescent="0.2">
      <c r="A3951" s="3">
        <v>41474</v>
      </c>
      <c r="B3951">
        <v>32.368499999999997</v>
      </c>
      <c r="C3951">
        <f t="shared" si="64"/>
        <v>2013</v>
      </c>
    </row>
    <row r="3952" spans="1:3" x14ac:dyDescent="0.2">
      <c r="A3952" s="3">
        <v>41473</v>
      </c>
      <c r="B3952">
        <v>32.468400000000003</v>
      </c>
      <c r="C3952">
        <f t="shared" si="64"/>
        <v>2013</v>
      </c>
    </row>
    <row r="3953" spans="1:3" x14ac:dyDescent="0.2">
      <c r="A3953" s="3">
        <v>41472</v>
      </c>
      <c r="B3953">
        <v>32.340499999999999</v>
      </c>
      <c r="C3953">
        <f t="shared" si="64"/>
        <v>2013</v>
      </c>
    </row>
    <row r="3954" spans="1:3" x14ac:dyDescent="0.2">
      <c r="A3954" s="3">
        <v>41471</v>
      </c>
      <c r="B3954">
        <v>32.431899999999999</v>
      </c>
      <c r="C3954">
        <f t="shared" si="64"/>
        <v>2013</v>
      </c>
    </row>
    <row r="3955" spans="1:3" x14ac:dyDescent="0.2">
      <c r="A3955" s="3">
        <v>41470</v>
      </c>
      <c r="B3955">
        <v>32.598799999999997</v>
      </c>
      <c r="C3955">
        <f t="shared" si="64"/>
        <v>2013</v>
      </c>
    </row>
    <row r="3956" spans="1:3" x14ac:dyDescent="0.2">
      <c r="A3956" s="3">
        <v>41467</v>
      </c>
      <c r="B3956">
        <v>32.6265</v>
      </c>
      <c r="C3956">
        <f t="shared" si="64"/>
        <v>2013</v>
      </c>
    </row>
    <row r="3957" spans="1:3" x14ac:dyDescent="0.2">
      <c r="A3957" s="3">
        <v>41466</v>
      </c>
      <c r="B3957">
        <v>32.583100000000002</v>
      </c>
      <c r="C3957">
        <f t="shared" si="64"/>
        <v>2013</v>
      </c>
    </row>
    <row r="3958" spans="1:3" x14ac:dyDescent="0.2">
      <c r="A3958" s="3">
        <v>41465</v>
      </c>
      <c r="B3958">
        <v>32.918399999999998</v>
      </c>
      <c r="C3958">
        <f t="shared" si="64"/>
        <v>2013</v>
      </c>
    </row>
    <row r="3959" spans="1:3" x14ac:dyDescent="0.2">
      <c r="A3959" s="3">
        <v>41464</v>
      </c>
      <c r="B3959">
        <v>33.025700000000001</v>
      </c>
      <c r="C3959">
        <f t="shared" si="64"/>
        <v>2013</v>
      </c>
    </row>
    <row r="3960" spans="1:3" x14ac:dyDescent="0.2">
      <c r="A3960" s="3">
        <v>41463</v>
      </c>
      <c r="B3960">
        <v>33.205599999999997</v>
      </c>
      <c r="C3960">
        <f t="shared" si="64"/>
        <v>2013</v>
      </c>
    </row>
    <row r="3961" spans="1:3" x14ac:dyDescent="0.2">
      <c r="A3961" s="3">
        <v>41460</v>
      </c>
      <c r="B3961">
        <v>33.316800000000001</v>
      </c>
      <c r="C3961">
        <f t="shared" si="64"/>
        <v>2013</v>
      </c>
    </row>
    <row r="3962" spans="1:3" x14ac:dyDescent="0.2">
      <c r="A3962" s="3">
        <v>41459</v>
      </c>
      <c r="B3962">
        <v>33.204000000000001</v>
      </c>
      <c r="C3962">
        <f t="shared" si="64"/>
        <v>2013</v>
      </c>
    </row>
    <row r="3963" spans="1:3" x14ac:dyDescent="0.2">
      <c r="A3963" s="3">
        <v>41458</v>
      </c>
      <c r="B3963">
        <v>33.141800000000003</v>
      </c>
      <c r="C3963">
        <f t="shared" si="64"/>
        <v>2013</v>
      </c>
    </row>
    <row r="3964" spans="1:3" x14ac:dyDescent="0.2">
      <c r="A3964" s="3">
        <v>41457</v>
      </c>
      <c r="B3964">
        <v>33.104399999999998</v>
      </c>
      <c r="C3964">
        <f t="shared" si="64"/>
        <v>2013</v>
      </c>
    </row>
    <row r="3965" spans="1:3" x14ac:dyDescent="0.2">
      <c r="A3965" s="3">
        <v>41456</v>
      </c>
      <c r="B3965">
        <v>32.960799999999999</v>
      </c>
      <c r="C3965">
        <f t="shared" si="64"/>
        <v>2013</v>
      </c>
    </row>
    <row r="3966" spans="1:3" x14ac:dyDescent="0.2">
      <c r="A3966" s="3">
        <v>41453</v>
      </c>
      <c r="B3966">
        <v>32.839500000000001</v>
      </c>
      <c r="C3966">
        <f t="shared" si="64"/>
        <v>2013</v>
      </c>
    </row>
    <row r="3967" spans="1:3" x14ac:dyDescent="0.2">
      <c r="A3967" s="3">
        <v>41452</v>
      </c>
      <c r="B3967">
        <v>32.773899999999998</v>
      </c>
      <c r="C3967">
        <f t="shared" si="64"/>
        <v>2013</v>
      </c>
    </row>
    <row r="3968" spans="1:3" x14ac:dyDescent="0.2">
      <c r="A3968" s="3">
        <v>41451</v>
      </c>
      <c r="B3968">
        <v>32.953800000000001</v>
      </c>
      <c r="C3968">
        <f t="shared" si="64"/>
        <v>2013</v>
      </c>
    </row>
    <row r="3969" spans="1:3" x14ac:dyDescent="0.2">
      <c r="A3969" s="3">
        <v>41450</v>
      </c>
      <c r="B3969">
        <v>32.857100000000003</v>
      </c>
      <c r="C3969">
        <f t="shared" si="64"/>
        <v>2013</v>
      </c>
    </row>
    <row r="3970" spans="1:3" x14ac:dyDescent="0.2">
      <c r="A3970" s="3">
        <v>41449</v>
      </c>
      <c r="B3970">
        <v>32.930500000000002</v>
      </c>
      <c r="C3970">
        <f t="shared" si="64"/>
        <v>2013</v>
      </c>
    </row>
    <row r="3971" spans="1:3" x14ac:dyDescent="0.2">
      <c r="A3971" s="3">
        <v>41446</v>
      </c>
      <c r="B3971">
        <v>32.825000000000003</v>
      </c>
      <c r="C3971">
        <f t="shared" si="64"/>
        <v>2013</v>
      </c>
    </row>
    <row r="3972" spans="1:3" x14ac:dyDescent="0.2">
      <c r="A3972" s="3">
        <v>41445</v>
      </c>
      <c r="B3972">
        <v>32.848799999999997</v>
      </c>
      <c r="C3972">
        <f t="shared" ref="C3972:C4035" si="65">YEAR(A3972)</f>
        <v>2013</v>
      </c>
    </row>
    <row r="3973" spans="1:3" x14ac:dyDescent="0.2">
      <c r="A3973" s="3">
        <v>41444</v>
      </c>
      <c r="B3973">
        <v>32.247999999999998</v>
      </c>
      <c r="C3973">
        <f t="shared" si="65"/>
        <v>2013</v>
      </c>
    </row>
    <row r="3974" spans="1:3" x14ac:dyDescent="0.2">
      <c r="A3974" s="3">
        <v>41443</v>
      </c>
      <c r="B3974">
        <v>31.99</v>
      </c>
      <c r="C3974">
        <f t="shared" si="65"/>
        <v>2013</v>
      </c>
    </row>
    <row r="3975" spans="1:3" x14ac:dyDescent="0.2">
      <c r="A3975" s="3">
        <v>41442</v>
      </c>
      <c r="B3975">
        <v>31.746500000000001</v>
      </c>
      <c r="C3975">
        <f t="shared" si="65"/>
        <v>2013</v>
      </c>
    </row>
    <row r="3976" spans="1:3" x14ac:dyDescent="0.2">
      <c r="A3976" s="3">
        <v>41439</v>
      </c>
      <c r="B3976">
        <v>31.721599999999999</v>
      </c>
      <c r="C3976">
        <f t="shared" si="65"/>
        <v>2013</v>
      </c>
    </row>
    <row r="3977" spans="1:3" x14ac:dyDescent="0.2">
      <c r="A3977" s="3">
        <v>41438</v>
      </c>
      <c r="B3977">
        <v>31.9724</v>
      </c>
      <c r="C3977">
        <f t="shared" si="65"/>
        <v>2013</v>
      </c>
    </row>
    <row r="3978" spans="1:3" x14ac:dyDescent="0.2">
      <c r="A3978" s="3">
        <v>41437</v>
      </c>
      <c r="B3978">
        <v>32.199800000000003</v>
      </c>
      <c r="C3978">
        <f t="shared" si="65"/>
        <v>2013</v>
      </c>
    </row>
    <row r="3979" spans="1:3" x14ac:dyDescent="0.2">
      <c r="A3979" s="3">
        <v>41436</v>
      </c>
      <c r="B3979">
        <v>32.414099999999998</v>
      </c>
      <c r="C3979">
        <f t="shared" si="65"/>
        <v>2013</v>
      </c>
    </row>
    <row r="3980" spans="1:3" x14ac:dyDescent="0.2">
      <c r="A3980" s="3">
        <v>41435</v>
      </c>
      <c r="B3980">
        <v>32.2928</v>
      </c>
      <c r="C3980">
        <f t="shared" si="65"/>
        <v>2013</v>
      </c>
    </row>
    <row r="3981" spans="1:3" x14ac:dyDescent="0.2">
      <c r="A3981" s="3">
        <v>41432</v>
      </c>
      <c r="B3981">
        <v>32.160800000000002</v>
      </c>
      <c r="C3981">
        <f t="shared" si="65"/>
        <v>2013</v>
      </c>
    </row>
    <row r="3982" spans="1:3" x14ac:dyDescent="0.2">
      <c r="A3982" s="3">
        <v>41431</v>
      </c>
      <c r="B3982">
        <v>32.196399999999997</v>
      </c>
      <c r="C3982">
        <f t="shared" si="65"/>
        <v>2013</v>
      </c>
    </row>
    <row r="3983" spans="1:3" x14ac:dyDescent="0.2">
      <c r="A3983" s="3">
        <v>41430</v>
      </c>
      <c r="B3983">
        <v>32.181600000000003</v>
      </c>
      <c r="C3983">
        <f t="shared" si="65"/>
        <v>2013</v>
      </c>
    </row>
    <row r="3984" spans="1:3" x14ac:dyDescent="0.2">
      <c r="A3984" s="3">
        <v>41429</v>
      </c>
      <c r="B3984">
        <v>31.9496</v>
      </c>
      <c r="C3984">
        <f t="shared" si="65"/>
        <v>2013</v>
      </c>
    </row>
    <row r="3985" spans="1:3" x14ac:dyDescent="0.2">
      <c r="A3985" s="3">
        <v>41428</v>
      </c>
      <c r="B3985">
        <v>31.791799999999999</v>
      </c>
      <c r="C3985">
        <f t="shared" si="65"/>
        <v>2013</v>
      </c>
    </row>
    <row r="3986" spans="1:3" x14ac:dyDescent="0.2">
      <c r="A3986" s="3">
        <v>41425</v>
      </c>
      <c r="B3986">
        <v>31.877700000000001</v>
      </c>
      <c r="C3986">
        <f t="shared" si="65"/>
        <v>2013</v>
      </c>
    </row>
    <row r="3987" spans="1:3" x14ac:dyDescent="0.2">
      <c r="A3987" s="3">
        <v>41424</v>
      </c>
      <c r="B3987">
        <v>31.707999999999998</v>
      </c>
      <c r="C3987">
        <f t="shared" si="65"/>
        <v>2013</v>
      </c>
    </row>
    <row r="3988" spans="1:3" x14ac:dyDescent="0.2">
      <c r="A3988" s="3">
        <v>41423</v>
      </c>
      <c r="B3988">
        <v>31.628799999999998</v>
      </c>
      <c r="C3988">
        <f t="shared" si="65"/>
        <v>2013</v>
      </c>
    </row>
    <row r="3989" spans="1:3" x14ac:dyDescent="0.2">
      <c r="A3989" s="3">
        <v>41422</v>
      </c>
      <c r="B3989">
        <v>31.4907</v>
      </c>
      <c r="C3989">
        <f t="shared" si="65"/>
        <v>2013</v>
      </c>
    </row>
    <row r="3990" spans="1:3" x14ac:dyDescent="0.2">
      <c r="A3990" s="3">
        <v>41421</v>
      </c>
      <c r="B3990">
        <v>31.3538</v>
      </c>
      <c r="C3990">
        <f t="shared" si="65"/>
        <v>2013</v>
      </c>
    </row>
    <row r="3991" spans="1:3" x14ac:dyDescent="0.2">
      <c r="A3991" s="3">
        <v>41418</v>
      </c>
      <c r="B3991">
        <v>31.384</v>
      </c>
      <c r="C3991">
        <f t="shared" si="65"/>
        <v>2013</v>
      </c>
    </row>
    <row r="3992" spans="1:3" x14ac:dyDescent="0.2">
      <c r="A3992" s="3">
        <v>41417</v>
      </c>
      <c r="B3992">
        <v>31.390599999999999</v>
      </c>
      <c r="C3992">
        <f t="shared" si="65"/>
        <v>2013</v>
      </c>
    </row>
    <row r="3993" spans="1:3" x14ac:dyDescent="0.2">
      <c r="A3993" s="3">
        <v>41416</v>
      </c>
      <c r="B3993">
        <v>31.282499999999999</v>
      </c>
      <c r="C3993">
        <f t="shared" si="65"/>
        <v>2013</v>
      </c>
    </row>
    <row r="3994" spans="1:3" x14ac:dyDescent="0.2">
      <c r="A3994" s="3">
        <v>41415</v>
      </c>
      <c r="B3994">
        <v>31.211600000000001</v>
      </c>
      <c r="C3994">
        <f t="shared" si="65"/>
        <v>2013</v>
      </c>
    </row>
    <row r="3995" spans="1:3" x14ac:dyDescent="0.2">
      <c r="A3995" s="3">
        <v>41414</v>
      </c>
      <c r="B3995">
        <v>31.2546</v>
      </c>
      <c r="C3995">
        <f t="shared" si="65"/>
        <v>2013</v>
      </c>
    </row>
    <row r="3996" spans="1:3" x14ac:dyDescent="0.2">
      <c r="A3996" s="3">
        <v>41411</v>
      </c>
      <c r="B3996">
        <v>31.4358</v>
      </c>
      <c r="C3996">
        <f t="shared" si="65"/>
        <v>2013</v>
      </c>
    </row>
    <row r="3997" spans="1:3" x14ac:dyDescent="0.2">
      <c r="A3997" s="3">
        <v>41410</v>
      </c>
      <c r="B3997">
        <v>31.342600000000001</v>
      </c>
      <c r="C3997">
        <f t="shared" si="65"/>
        <v>2013</v>
      </c>
    </row>
    <row r="3998" spans="1:3" x14ac:dyDescent="0.2">
      <c r="A3998" s="3">
        <v>41409</v>
      </c>
      <c r="B3998">
        <v>31.504899999999999</v>
      </c>
      <c r="C3998">
        <f t="shared" si="65"/>
        <v>2013</v>
      </c>
    </row>
    <row r="3999" spans="1:3" x14ac:dyDescent="0.2">
      <c r="A3999" s="3">
        <v>41408</v>
      </c>
      <c r="B3999">
        <v>31.339099999999998</v>
      </c>
      <c r="C3999">
        <f t="shared" si="65"/>
        <v>2013</v>
      </c>
    </row>
    <row r="4000" spans="1:3" x14ac:dyDescent="0.2">
      <c r="A4000" s="3">
        <v>41407</v>
      </c>
      <c r="B4000">
        <v>31.3368</v>
      </c>
      <c r="C4000">
        <f t="shared" si="65"/>
        <v>2013</v>
      </c>
    </row>
    <row r="4001" spans="1:3" x14ac:dyDescent="0.2">
      <c r="A4001" s="3">
        <v>41404</v>
      </c>
      <c r="B4001">
        <v>31.4208</v>
      </c>
      <c r="C4001">
        <f t="shared" si="65"/>
        <v>2013</v>
      </c>
    </row>
    <row r="4002" spans="1:3" x14ac:dyDescent="0.2">
      <c r="A4002" s="3">
        <v>41403</v>
      </c>
      <c r="B4002">
        <v>31.135999999999999</v>
      </c>
      <c r="C4002">
        <f t="shared" si="65"/>
        <v>2013</v>
      </c>
    </row>
    <row r="4003" spans="1:3" x14ac:dyDescent="0.2">
      <c r="A4003" s="3">
        <v>41402</v>
      </c>
      <c r="B4003">
        <v>31.097799999999999</v>
      </c>
      <c r="C4003">
        <f t="shared" si="65"/>
        <v>2013</v>
      </c>
    </row>
    <row r="4004" spans="1:3" x14ac:dyDescent="0.2">
      <c r="A4004" s="3">
        <v>41401</v>
      </c>
      <c r="B4004">
        <v>31.0444</v>
      </c>
      <c r="C4004">
        <f t="shared" si="65"/>
        <v>2013</v>
      </c>
    </row>
    <row r="4005" spans="1:3" x14ac:dyDescent="0.2">
      <c r="A4005" s="3">
        <v>41400</v>
      </c>
      <c r="B4005">
        <v>31.045500000000001</v>
      </c>
      <c r="C4005">
        <f t="shared" si="65"/>
        <v>2013</v>
      </c>
    </row>
    <row r="4006" spans="1:3" x14ac:dyDescent="0.2">
      <c r="A4006" s="3">
        <v>41397</v>
      </c>
      <c r="B4006">
        <v>31.047000000000001</v>
      </c>
      <c r="C4006">
        <f t="shared" si="65"/>
        <v>2013</v>
      </c>
    </row>
    <row r="4007" spans="1:3" x14ac:dyDescent="0.2">
      <c r="A4007" s="3">
        <v>41396</v>
      </c>
      <c r="B4007">
        <v>31.202400000000001</v>
      </c>
      <c r="C4007">
        <f t="shared" si="65"/>
        <v>2013</v>
      </c>
    </row>
    <row r="4008" spans="1:3" x14ac:dyDescent="0.2">
      <c r="A4008" s="3">
        <v>41395</v>
      </c>
      <c r="B4008">
        <v>31.332000000000001</v>
      </c>
      <c r="C4008">
        <f t="shared" si="65"/>
        <v>2013</v>
      </c>
    </row>
    <row r="4009" spans="1:3" x14ac:dyDescent="0.2">
      <c r="A4009" s="3">
        <v>41394</v>
      </c>
      <c r="B4009">
        <v>31.062200000000001</v>
      </c>
      <c r="C4009">
        <f t="shared" si="65"/>
        <v>2013</v>
      </c>
    </row>
    <row r="4010" spans="1:3" x14ac:dyDescent="0.2">
      <c r="A4010" s="3">
        <v>41393</v>
      </c>
      <c r="B4010">
        <v>30.940999999999999</v>
      </c>
      <c r="C4010">
        <f t="shared" si="65"/>
        <v>2013</v>
      </c>
    </row>
    <row r="4011" spans="1:3" x14ac:dyDescent="0.2">
      <c r="A4011" s="3">
        <v>41390</v>
      </c>
      <c r="B4011">
        <v>31.273299999999999</v>
      </c>
      <c r="C4011">
        <f t="shared" si="65"/>
        <v>2013</v>
      </c>
    </row>
    <row r="4012" spans="1:3" x14ac:dyDescent="0.2">
      <c r="A4012" s="3">
        <v>41389</v>
      </c>
      <c r="B4012">
        <v>31.138200000000001</v>
      </c>
      <c r="C4012">
        <f t="shared" si="65"/>
        <v>2013</v>
      </c>
    </row>
    <row r="4013" spans="1:3" x14ac:dyDescent="0.2">
      <c r="A4013" s="3">
        <v>41388</v>
      </c>
      <c r="B4013">
        <v>31.470500000000001</v>
      </c>
      <c r="C4013">
        <f t="shared" si="65"/>
        <v>2013</v>
      </c>
    </row>
    <row r="4014" spans="1:3" x14ac:dyDescent="0.2">
      <c r="A4014" s="3">
        <v>41387</v>
      </c>
      <c r="B4014">
        <v>31.605499999999999</v>
      </c>
      <c r="C4014">
        <f t="shared" si="65"/>
        <v>2013</v>
      </c>
    </row>
    <row r="4015" spans="1:3" x14ac:dyDescent="0.2">
      <c r="A4015" s="3">
        <v>41386</v>
      </c>
      <c r="B4015">
        <v>31.580500000000001</v>
      </c>
      <c r="C4015">
        <f t="shared" si="65"/>
        <v>2013</v>
      </c>
    </row>
    <row r="4016" spans="1:3" x14ac:dyDescent="0.2">
      <c r="A4016" s="3">
        <v>41383</v>
      </c>
      <c r="B4016">
        <v>31.7211</v>
      </c>
      <c r="C4016">
        <f t="shared" si="65"/>
        <v>2013</v>
      </c>
    </row>
    <row r="4017" spans="1:3" x14ac:dyDescent="0.2">
      <c r="A4017" s="3">
        <v>41382</v>
      </c>
      <c r="B4017">
        <v>31.584499999999998</v>
      </c>
      <c r="C4017">
        <f t="shared" si="65"/>
        <v>2013</v>
      </c>
    </row>
    <row r="4018" spans="1:3" x14ac:dyDescent="0.2">
      <c r="A4018" s="3">
        <v>41381</v>
      </c>
      <c r="B4018">
        <v>31.842500000000001</v>
      </c>
      <c r="C4018">
        <f t="shared" si="65"/>
        <v>2013</v>
      </c>
    </row>
    <row r="4019" spans="1:3" x14ac:dyDescent="0.2">
      <c r="A4019" s="3">
        <v>41380</v>
      </c>
      <c r="B4019">
        <v>31.307300000000001</v>
      </c>
      <c r="C4019">
        <f t="shared" si="65"/>
        <v>2013</v>
      </c>
    </row>
    <row r="4020" spans="1:3" x14ac:dyDescent="0.2">
      <c r="A4020" s="3">
        <v>41379</v>
      </c>
      <c r="B4020">
        <v>31.4145</v>
      </c>
      <c r="C4020">
        <f t="shared" si="65"/>
        <v>2013</v>
      </c>
    </row>
    <row r="4021" spans="1:3" x14ac:dyDescent="0.2">
      <c r="A4021" s="3">
        <v>41376</v>
      </c>
      <c r="B4021">
        <v>31.085899999999999</v>
      </c>
      <c r="C4021">
        <f t="shared" si="65"/>
        <v>2013</v>
      </c>
    </row>
    <row r="4022" spans="1:3" x14ac:dyDescent="0.2">
      <c r="A4022" s="3">
        <v>41375</v>
      </c>
      <c r="B4022">
        <v>30.8276</v>
      </c>
      <c r="C4022">
        <f t="shared" si="65"/>
        <v>2013</v>
      </c>
    </row>
    <row r="4023" spans="1:3" x14ac:dyDescent="0.2">
      <c r="A4023" s="3">
        <v>41374</v>
      </c>
      <c r="B4023">
        <v>30.878</v>
      </c>
      <c r="C4023">
        <f t="shared" si="65"/>
        <v>2013</v>
      </c>
    </row>
    <row r="4024" spans="1:3" x14ac:dyDescent="0.2">
      <c r="A4024" s="3">
        <v>41373</v>
      </c>
      <c r="B4024">
        <v>31.0274</v>
      </c>
      <c r="C4024">
        <f t="shared" si="65"/>
        <v>2013</v>
      </c>
    </row>
    <row r="4025" spans="1:3" x14ac:dyDescent="0.2">
      <c r="A4025" s="3">
        <v>41372</v>
      </c>
      <c r="B4025">
        <v>31.266999999999999</v>
      </c>
      <c r="C4025">
        <f t="shared" si="65"/>
        <v>2013</v>
      </c>
    </row>
    <row r="4026" spans="1:3" x14ac:dyDescent="0.2">
      <c r="A4026" s="3">
        <v>41369</v>
      </c>
      <c r="B4026">
        <v>31.5458</v>
      </c>
      <c r="C4026">
        <f t="shared" si="65"/>
        <v>2013</v>
      </c>
    </row>
    <row r="4027" spans="1:3" x14ac:dyDescent="0.2">
      <c r="A4027" s="3">
        <v>41368</v>
      </c>
      <c r="B4027">
        <v>31.634799999999998</v>
      </c>
      <c r="C4027">
        <f t="shared" si="65"/>
        <v>2013</v>
      </c>
    </row>
    <row r="4028" spans="1:3" x14ac:dyDescent="0.2">
      <c r="A4028" s="3">
        <v>41367</v>
      </c>
      <c r="B4028">
        <v>31.594899999999999</v>
      </c>
      <c r="C4028">
        <f t="shared" si="65"/>
        <v>2013</v>
      </c>
    </row>
    <row r="4029" spans="1:3" x14ac:dyDescent="0.2">
      <c r="A4029" s="3">
        <v>41366</v>
      </c>
      <c r="B4029">
        <v>31.303000000000001</v>
      </c>
      <c r="C4029">
        <f t="shared" si="65"/>
        <v>2013</v>
      </c>
    </row>
    <row r="4030" spans="1:3" x14ac:dyDescent="0.2">
      <c r="A4030" s="3">
        <v>41365</v>
      </c>
      <c r="B4030">
        <v>31.084800000000001</v>
      </c>
      <c r="C4030">
        <f t="shared" si="65"/>
        <v>2013</v>
      </c>
    </row>
    <row r="4031" spans="1:3" x14ac:dyDescent="0.2">
      <c r="A4031" s="3">
        <v>41362</v>
      </c>
      <c r="B4031">
        <v>31.0564</v>
      </c>
      <c r="C4031">
        <f t="shared" si="65"/>
        <v>2013</v>
      </c>
    </row>
    <row r="4032" spans="1:3" x14ac:dyDescent="0.2">
      <c r="A4032" s="3">
        <v>41361</v>
      </c>
      <c r="B4032">
        <v>31.1004</v>
      </c>
      <c r="C4032">
        <f t="shared" si="65"/>
        <v>2013</v>
      </c>
    </row>
    <row r="4033" spans="1:3" x14ac:dyDescent="0.2">
      <c r="A4033" s="3">
        <v>41360</v>
      </c>
      <c r="B4033">
        <v>31.060500000000001</v>
      </c>
      <c r="C4033">
        <f t="shared" si="65"/>
        <v>2013</v>
      </c>
    </row>
    <row r="4034" spans="1:3" x14ac:dyDescent="0.2">
      <c r="A4034" s="3">
        <v>41359</v>
      </c>
      <c r="B4034">
        <v>30.9056</v>
      </c>
      <c r="C4034">
        <f t="shared" si="65"/>
        <v>2013</v>
      </c>
    </row>
    <row r="4035" spans="1:3" x14ac:dyDescent="0.2">
      <c r="A4035" s="3">
        <v>41358</v>
      </c>
      <c r="B4035">
        <v>30.9377</v>
      </c>
      <c r="C4035">
        <f t="shared" si="65"/>
        <v>2013</v>
      </c>
    </row>
    <row r="4036" spans="1:3" x14ac:dyDescent="0.2">
      <c r="A4036" s="3">
        <v>41355</v>
      </c>
      <c r="B4036">
        <v>30.818999999999999</v>
      </c>
      <c r="C4036">
        <f t="shared" ref="C4036:C4099" si="66">YEAR(A4036)</f>
        <v>2013</v>
      </c>
    </row>
    <row r="4037" spans="1:3" x14ac:dyDescent="0.2">
      <c r="A4037" s="3">
        <v>41354</v>
      </c>
      <c r="B4037">
        <v>30.916</v>
      </c>
      <c r="C4037">
        <f t="shared" si="66"/>
        <v>2013</v>
      </c>
    </row>
    <row r="4038" spans="1:3" x14ac:dyDescent="0.2">
      <c r="A4038" s="3">
        <v>41353</v>
      </c>
      <c r="B4038">
        <v>30.860199999999999</v>
      </c>
      <c r="C4038">
        <f t="shared" si="66"/>
        <v>2013</v>
      </c>
    </row>
    <row r="4039" spans="1:3" x14ac:dyDescent="0.2">
      <c r="A4039" s="3">
        <v>41352</v>
      </c>
      <c r="B4039">
        <v>30.981000000000002</v>
      </c>
      <c r="C4039">
        <f t="shared" si="66"/>
        <v>2013</v>
      </c>
    </row>
    <row r="4040" spans="1:3" x14ac:dyDescent="0.2">
      <c r="A4040" s="3">
        <v>41351</v>
      </c>
      <c r="B4040">
        <v>30.7713</v>
      </c>
      <c r="C4040">
        <f t="shared" si="66"/>
        <v>2013</v>
      </c>
    </row>
    <row r="4041" spans="1:3" x14ac:dyDescent="0.2">
      <c r="A4041" s="3">
        <v>41348</v>
      </c>
      <c r="B4041">
        <v>30.645</v>
      </c>
      <c r="C4041">
        <f t="shared" si="66"/>
        <v>2013</v>
      </c>
    </row>
    <row r="4042" spans="1:3" x14ac:dyDescent="0.2">
      <c r="A4042" s="3">
        <v>41347</v>
      </c>
      <c r="B4042">
        <v>30.7272</v>
      </c>
      <c r="C4042">
        <f t="shared" si="66"/>
        <v>2013</v>
      </c>
    </row>
    <row r="4043" spans="1:3" x14ac:dyDescent="0.2">
      <c r="A4043" s="3">
        <v>41346</v>
      </c>
      <c r="B4043">
        <v>30.816500000000001</v>
      </c>
      <c r="C4043">
        <f t="shared" si="66"/>
        <v>2013</v>
      </c>
    </row>
    <row r="4044" spans="1:3" x14ac:dyDescent="0.2">
      <c r="A4044" s="3">
        <v>41345</v>
      </c>
      <c r="B4044">
        <v>30.715800000000002</v>
      </c>
      <c r="C4044">
        <f t="shared" si="66"/>
        <v>2013</v>
      </c>
    </row>
    <row r="4045" spans="1:3" x14ac:dyDescent="0.2">
      <c r="A4045" s="3">
        <v>41344</v>
      </c>
      <c r="B4045">
        <v>30.746300000000002</v>
      </c>
      <c r="C4045">
        <f t="shared" si="66"/>
        <v>2013</v>
      </c>
    </row>
    <row r="4046" spans="1:3" x14ac:dyDescent="0.2">
      <c r="A4046" s="3">
        <v>41341</v>
      </c>
      <c r="B4046">
        <v>30.784800000000001</v>
      </c>
      <c r="C4046">
        <f t="shared" si="66"/>
        <v>2013</v>
      </c>
    </row>
    <row r="4047" spans="1:3" x14ac:dyDescent="0.2">
      <c r="A4047" s="3">
        <v>41340</v>
      </c>
      <c r="B4047">
        <v>30.704899999999999</v>
      </c>
      <c r="C4047">
        <f t="shared" si="66"/>
        <v>2013</v>
      </c>
    </row>
    <row r="4048" spans="1:3" x14ac:dyDescent="0.2">
      <c r="A4048" s="3">
        <v>41339</v>
      </c>
      <c r="B4048">
        <v>30.747699999999998</v>
      </c>
      <c r="C4048">
        <f t="shared" si="66"/>
        <v>2013</v>
      </c>
    </row>
    <row r="4049" spans="1:3" x14ac:dyDescent="0.2">
      <c r="A4049" s="3">
        <v>41338</v>
      </c>
      <c r="B4049">
        <v>30.6737</v>
      </c>
      <c r="C4049">
        <f t="shared" si="66"/>
        <v>2013</v>
      </c>
    </row>
    <row r="4050" spans="1:3" x14ac:dyDescent="0.2">
      <c r="A4050" s="3">
        <v>41337</v>
      </c>
      <c r="B4050">
        <v>30.788499999999999</v>
      </c>
      <c r="C4050">
        <f t="shared" si="66"/>
        <v>2013</v>
      </c>
    </row>
    <row r="4051" spans="1:3" x14ac:dyDescent="0.2">
      <c r="A4051" s="3">
        <v>41334</v>
      </c>
      <c r="B4051">
        <v>30.735299999999999</v>
      </c>
      <c r="C4051">
        <f t="shared" si="66"/>
        <v>2013</v>
      </c>
    </row>
    <row r="4052" spans="1:3" x14ac:dyDescent="0.2">
      <c r="A4052" s="3">
        <v>41333</v>
      </c>
      <c r="B4052">
        <v>30.6036</v>
      </c>
      <c r="C4052">
        <f t="shared" si="66"/>
        <v>2013</v>
      </c>
    </row>
    <row r="4053" spans="1:3" x14ac:dyDescent="0.2">
      <c r="A4053" s="3">
        <v>41332</v>
      </c>
      <c r="B4053">
        <v>30.543399999999998</v>
      </c>
      <c r="C4053">
        <f t="shared" si="66"/>
        <v>2013</v>
      </c>
    </row>
    <row r="4054" spans="1:3" x14ac:dyDescent="0.2">
      <c r="A4054" s="3">
        <v>41331</v>
      </c>
      <c r="B4054">
        <v>30.6784</v>
      </c>
      <c r="C4054">
        <f t="shared" si="66"/>
        <v>2013</v>
      </c>
    </row>
    <row r="4055" spans="1:3" x14ac:dyDescent="0.2">
      <c r="A4055" s="3">
        <v>41330</v>
      </c>
      <c r="B4055">
        <v>30.4373</v>
      </c>
      <c r="C4055">
        <f t="shared" si="66"/>
        <v>2013</v>
      </c>
    </row>
    <row r="4056" spans="1:3" x14ac:dyDescent="0.2">
      <c r="A4056" s="3">
        <v>41327</v>
      </c>
      <c r="B4056">
        <v>30.449100000000001</v>
      </c>
      <c r="C4056">
        <f t="shared" si="66"/>
        <v>2013</v>
      </c>
    </row>
    <row r="4057" spans="1:3" x14ac:dyDescent="0.2">
      <c r="A4057" s="3">
        <v>41326</v>
      </c>
      <c r="B4057">
        <v>30.467400000000001</v>
      </c>
      <c r="C4057">
        <f t="shared" si="66"/>
        <v>2013</v>
      </c>
    </row>
    <row r="4058" spans="1:3" x14ac:dyDescent="0.2">
      <c r="A4058" s="3">
        <v>41325</v>
      </c>
      <c r="B4058">
        <v>30.167200000000001</v>
      </c>
      <c r="C4058">
        <f t="shared" si="66"/>
        <v>2013</v>
      </c>
    </row>
    <row r="4059" spans="1:3" x14ac:dyDescent="0.2">
      <c r="A4059" s="3">
        <v>41324</v>
      </c>
      <c r="B4059">
        <v>30.081099999999999</v>
      </c>
      <c r="C4059">
        <f t="shared" si="66"/>
        <v>2013</v>
      </c>
    </row>
    <row r="4060" spans="1:3" x14ac:dyDescent="0.2">
      <c r="A4060" s="3">
        <v>41323</v>
      </c>
      <c r="B4060">
        <v>30.122499999999999</v>
      </c>
      <c r="C4060">
        <f t="shared" si="66"/>
        <v>2013</v>
      </c>
    </row>
    <row r="4061" spans="1:3" x14ac:dyDescent="0.2">
      <c r="A4061" s="3">
        <v>41320</v>
      </c>
      <c r="B4061">
        <v>30.118500000000001</v>
      </c>
      <c r="C4061">
        <f t="shared" si="66"/>
        <v>2013</v>
      </c>
    </row>
    <row r="4062" spans="1:3" x14ac:dyDescent="0.2">
      <c r="A4062" s="3">
        <v>41319</v>
      </c>
      <c r="B4062">
        <v>30.111799999999999</v>
      </c>
      <c r="C4062">
        <f t="shared" si="66"/>
        <v>2013</v>
      </c>
    </row>
    <row r="4063" spans="1:3" x14ac:dyDescent="0.2">
      <c r="A4063" s="3">
        <v>41318</v>
      </c>
      <c r="B4063">
        <v>30.056000000000001</v>
      </c>
      <c r="C4063">
        <f t="shared" si="66"/>
        <v>2013</v>
      </c>
    </row>
    <row r="4064" spans="1:3" x14ac:dyDescent="0.2">
      <c r="A4064" s="3">
        <v>41317</v>
      </c>
      <c r="B4064">
        <v>30.0502</v>
      </c>
      <c r="C4064">
        <f t="shared" si="66"/>
        <v>2013</v>
      </c>
    </row>
    <row r="4065" spans="1:3" x14ac:dyDescent="0.2">
      <c r="A4065" s="3">
        <v>41316</v>
      </c>
      <c r="B4065">
        <v>30.1723</v>
      </c>
      <c r="C4065">
        <f t="shared" si="66"/>
        <v>2013</v>
      </c>
    </row>
    <row r="4066" spans="1:3" x14ac:dyDescent="0.2">
      <c r="A4066" s="3">
        <v>41313</v>
      </c>
      <c r="B4066">
        <v>30.149799999999999</v>
      </c>
      <c r="C4066">
        <f t="shared" si="66"/>
        <v>2013</v>
      </c>
    </row>
    <row r="4067" spans="1:3" x14ac:dyDescent="0.2">
      <c r="A4067" s="3">
        <v>41312</v>
      </c>
      <c r="B4067">
        <v>30.230799999999999</v>
      </c>
      <c r="C4067">
        <f t="shared" si="66"/>
        <v>2013</v>
      </c>
    </row>
    <row r="4068" spans="1:3" x14ac:dyDescent="0.2">
      <c r="A4068" s="3">
        <v>41311</v>
      </c>
      <c r="B4068">
        <v>30.084800000000001</v>
      </c>
      <c r="C4068">
        <f t="shared" si="66"/>
        <v>2013</v>
      </c>
    </row>
    <row r="4069" spans="1:3" x14ac:dyDescent="0.2">
      <c r="A4069" s="3">
        <v>41310</v>
      </c>
      <c r="B4069">
        <v>29.960100000000001</v>
      </c>
      <c r="C4069">
        <f t="shared" si="66"/>
        <v>2013</v>
      </c>
    </row>
    <row r="4070" spans="1:3" x14ac:dyDescent="0.2">
      <c r="A4070" s="3">
        <v>41309</v>
      </c>
      <c r="B4070">
        <v>30.057300000000001</v>
      </c>
      <c r="C4070">
        <f t="shared" si="66"/>
        <v>2013</v>
      </c>
    </row>
    <row r="4071" spans="1:3" x14ac:dyDescent="0.2">
      <c r="A4071" s="3">
        <v>41306</v>
      </c>
      <c r="B4071">
        <v>29.854600000000001</v>
      </c>
      <c r="C4071">
        <f t="shared" si="66"/>
        <v>2013</v>
      </c>
    </row>
    <row r="4072" spans="1:3" x14ac:dyDescent="0.2">
      <c r="A4072" s="3">
        <v>41305</v>
      </c>
      <c r="B4072">
        <v>30.005600000000001</v>
      </c>
      <c r="C4072">
        <f t="shared" si="66"/>
        <v>2013</v>
      </c>
    </row>
    <row r="4073" spans="1:3" x14ac:dyDescent="0.2">
      <c r="A4073" s="3">
        <v>41304</v>
      </c>
      <c r="B4073">
        <v>30.0337</v>
      </c>
      <c r="C4073">
        <f t="shared" si="66"/>
        <v>2013</v>
      </c>
    </row>
    <row r="4074" spans="1:3" x14ac:dyDescent="0.2">
      <c r="A4074" s="3">
        <v>41303</v>
      </c>
      <c r="B4074">
        <v>30.0457</v>
      </c>
      <c r="C4074">
        <f t="shared" si="66"/>
        <v>2013</v>
      </c>
    </row>
    <row r="4075" spans="1:3" x14ac:dyDescent="0.2">
      <c r="A4075" s="3">
        <v>41302</v>
      </c>
      <c r="B4075">
        <v>30.189800000000002</v>
      </c>
      <c r="C4075">
        <f t="shared" si="66"/>
        <v>2013</v>
      </c>
    </row>
    <row r="4076" spans="1:3" x14ac:dyDescent="0.2">
      <c r="A4076" s="3">
        <v>41299</v>
      </c>
      <c r="B4076">
        <v>30.0364</v>
      </c>
      <c r="C4076">
        <f t="shared" si="66"/>
        <v>2013</v>
      </c>
    </row>
    <row r="4077" spans="1:3" x14ac:dyDescent="0.2">
      <c r="A4077" s="3">
        <v>41298</v>
      </c>
      <c r="B4077">
        <v>30.053100000000001</v>
      </c>
      <c r="C4077">
        <f t="shared" si="66"/>
        <v>2013</v>
      </c>
    </row>
    <row r="4078" spans="1:3" x14ac:dyDescent="0.2">
      <c r="A4078" s="3">
        <v>41297</v>
      </c>
      <c r="B4078">
        <v>30.1831</v>
      </c>
      <c r="C4078">
        <f t="shared" si="66"/>
        <v>2013</v>
      </c>
    </row>
    <row r="4079" spans="1:3" x14ac:dyDescent="0.2">
      <c r="A4079" s="3">
        <v>41296</v>
      </c>
      <c r="B4079">
        <v>30.242999999999999</v>
      </c>
      <c r="C4079">
        <f t="shared" si="66"/>
        <v>2013</v>
      </c>
    </row>
    <row r="4080" spans="1:3" x14ac:dyDescent="0.2">
      <c r="A4080" s="3">
        <v>41295</v>
      </c>
      <c r="B4080">
        <v>30.265699999999999</v>
      </c>
      <c r="C4080">
        <f t="shared" si="66"/>
        <v>2013</v>
      </c>
    </row>
    <row r="4081" spans="1:3" x14ac:dyDescent="0.2">
      <c r="A4081" s="3">
        <v>41292</v>
      </c>
      <c r="B4081">
        <v>30.2759</v>
      </c>
      <c r="C4081">
        <f t="shared" si="66"/>
        <v>2013</v>
      </c>
    </row>
    <row r="4082" spans="1:3" x14ac:dyDescent="0.2">
      <c r="A4082" s="3">
        <v>41291</v>
      </c>
      <c r="B4082">
        <v>30.229700000000001</v>
      </c>
      <c r="C4082">
        <f t="shared" si="66"/>
        <v>2013</v>
      </c>
    </row>
    <row r="4083" spans="1:3" x14ac:dyDescent="0.2">
      <c r="A4083" s="3">
        <v>41290</v>
      </c>
      <c r="B4083">
        <v>30.2958</v>
      </c>
      <c r="C4083">
        <f t="shared" si="66"/>
        <v>2013</v>
      </c>
    </row>
    <row r="4084" spans="1:3" x14ac:dyDescent="0.2">
      <c r="A4084" s="3">
        <v>41289</v>
      </c>
      <c r="B4084">
        <v>30.266999999999999</v>
      </c>
      <c r="C4084">
        <f t="shared" si="66"/>
        <v>2013</v>
      </c>
    </row>
    <row r="4085" spans="1:3" x14ac:dyDescent="0.2">
      <c r="A4085" s="3">
        <v>41288</v>
      </c>
      <c r="B4085">
        <v>30.248999999999999</v>
      </c>
      <c r="C4085">
        <f t="shared" si="66"/>
        <v>2013</v>
      </c>
    </row>
    <row r="4086" spans="1:3" x14ac:dyDescent="0.2">
      <c r="A4086" s="3">
        <v>41285</v>
      </c>
      <c r="B4086">
        <v>30.334299999999999</v>
      </c>
      <c r="C4086">
        <f t="shared" si="66"/>
        <v>2013</v>
      </c>
    </row>
    <row r="4087" spans="1:3" x14ac:dyDescent="0.2">
      <c r="A4087" s="3">
        <v>41284</v>
      </c>
      <c r="B4087">
        <v>30.235600000000002</v>
      </c>
      <c r="C4087">
        <f t="shared" si="66"/>
        <v>2013</v>
      </c>
    </row>
    <row r="4088" spans="1:3" x14ac:dyDescent="0.2">
      <c r="A4088" s="3">
        <v>41283</v>
      </c>
      <c r="B4088">
        <v>30.338899999999999</v>
      </c>
      <c r="C4088">
        <f t="shared" si="66"/>
        <v>2013</v>
      </c>
    </row>
    <row r="4089" spans="1:3" x14ac:dyDescent="0.2">
      <c r="A4089" s="3">
        <v>41282</v>
      </c>
      <c r="B4089">
        <v>30.315799999999999</v>
      </c>
      <c r="C4089">
        <f t="shared" si="66"/>
        <v>2013</v>
      </c>
    </row>
    <row r="4090" spans="1:3" x14ac:dyDescent="0.2">
      <c r="A4090" s="3">
        <v>41281</v>
      </c>
      <c r="B4090">
        <v>30.36</v>
      </c>
      <c r="C4090">
        <f t="shared" si="66"/>
        <v>2013</v>
      </c>
    </row>
    <row r="4091" spans="1:3" x14ac:dyDescent="0.2">
      <c r="A4091" s="3">
        <v>41278</v>
      </c>
      <c r="B4091">
        <v>30.388999999999999</v>
      </c>
      <c r="C4091">
        <f t="shared" si="66"/>
        <v>2013</v>
      </c>
    </row>
    <row r="4092" spans="1:3" x14ac:dyDescent="0.2">
      <c r="A4092" s="3">
        <v>41277</v>
      </c>
      <c r="B4092">
        <v>30.169</v>
      </c>
      <c r="C4092">
        <f t="shared" si="66"/>
        <v>2013</v>
      </c>
    </row>
    <row r="4093" spans="1:3" x14ac:dyDescent="0.2">
      <c r="A4093" s="3">
        <v>41276</v>
      </c>
      <c r="B4093">
        <v>30.172999999999998</v>
      </c>
      <c r="C4093">
        <f t="shared" si="66"/>
        <v>2013</v>
      </c>
    </row>
    <row r="4094" spans="1:3" x14ac:dyDescent="0.2">
      <c r="A4094" s="3">
        <v>41275</v>
      </c>
      <c r="B4094">
        <v>30.558</v>
      </c>
      <c r="C4094">
        <f t="shared" si="66"/>
        <v>2013</v>
      </c>
    </row>
    <row r="4095" spans="1:3" x14ac:dyDescent="0.2">
      <c r="A4095" s="3">
        <v>41274</v>
      </c>
      <c r="B4095">
        <v>30.524999999999999</v>
      </c>
      <c r="C4095">
        <f t="shared" si="66"/>
        <v>2012</v>
      </c>
    </row>
    <row r="4096" spans="1:3" x14ac:dyDescent="0.2">
      <c r="A4096" s="3">
        <v>41271</v>
      </c>
      <c r="B4096">
        <v>30.344999999999999</v>
      </c>
      <c r="C4096">
        <f t="shared" si="66"/>
        <v>2012</v>
      </c>
    </row>
    <row r="4097" spans="1:3" x14ac:dyDescent="0.2">
      <c r="A4097" s="3">
        <v>41270</v>
      </c>
      <c r="B4097">
        <v>30.323399999999999</v>
      </c>
      <c r="C4097">
        <f t="shared" si="66"/>
        <v>2012</v>
      </c>
    </row>
    <row r="4098" spans="1:3" x14ac:dyDescent="0.2">
      <c r="A4098" s="3">
        <v>41269</v>
      </c>
      <c r="B4098">
        <v>30.566199999999998</v>
      </c>
      <c r="C4098">
        <f t="shared" si="66"/>
        <v>2012</v>
      </c>
    </row>
    <row r="4099" spans="1:3" x14ac:dyDescent="0.2">
      <c r="A4099" s="3">
        <v>41268</v>
      </c>
      <c r="B4099">
        <v>30.651</v>
      </c>
      <c r="C4099">
        <f t="shared" si="66"/>
        <v>2012</v>
      </c>
    </row>
    <row r="4100" spans="1:3" x14ac:dyDescent="0.2">
      <c r="A4100" s="3">
        <v>41267</v>
      </c>
      <c r="B4100">
        <v>30.602799999999998</v>
      </c>
      <c r="C4100">
        <f t="shared" ref="C4100:C4163" si="67">YEAR(A4100)</f>
        <v>2012</v>
      </c>
    </row>
    <row r="4101" spans="1:3" x14ac:dyDescent="0.2">
      <c r="A4101" s="3">
        <v>41264</v>
      </c>
      <c r="B4101">
        <v>30.834099999999999</v>
      </c>
      <c r="C4101">
        <f t="shared" si="67"/>
        <v>2012</v>
      </c>
    </row>
    <row r="4102" spans="1:3" x14ac:dyDescent="0.2">
      <c r="A4102" s="3">
        <v>41263</v>
      </c>
      <c r="B4102">
        <v>30.7075</v>
      </c>
      <c r="C4102">
        <f t="shared" si="67"/>
        <v>2012</v>
      </c>
    </row>
    <row r="4103" spans="1:3" x14ac:dyDescent="0.2">
      <c r="A4103" s="3">
        <v>41262</v>
      </c>
      <c r="B4103">
        <v>30.763999999999999</v>
      </c>
      <c r="C4103">
        <f t="shared" si="67"/>
        <v>2012</v>
      </c>
    </row>
    <row r="4104" spans="1:3" x14ac:dyDescent="0.2">
      <c r="A4104" s="3">
        <v>41261</v>
      </c>
      <c r="B4104">
        <v>30.747299999999999</v>
      </c>
      <c r="C4104">
        <f t="shared" si="67"/>
        <v>2012</v>
      </c>
    </row>
    <row r="4105" spans="1:3" x14ac:dyDescent="0.2">
      <c r="A4105" s="3">
        <v>41260</v>
      </c>
      <c r="B4105">
        <v>30.997900000000001</v>
      </c>
      <c r="C4105">
        <f t="shared" si="67"/>
        <v>2012</v>
      </c>
    </row>
    <row r="4106" spans="1:3" x14ac:dyDescent="0.2">
      <c r="A4106" s="3">
        <v>41257</v>
      </c>
      <c r="B4106">
        <v>30.714700000000001</v>
      </c>
      <c r="C4106">
        <f t="shared" si="67"/>
        <v>2012</v>
      </c>
    </row>
    <row r="4107" spans="1:3" x14ac:dyDescent="0.2">
      <c r="A4107" s="3">
        <v>41256</v>
      </c>
      <c r="B4107">
        <v>30.692299999999999</v>
      </c>
      <c r="C4107">
        <f t="shared" si="67"/>
        <v>2012</v>
      </c>
    </row>
    <row r="4108" spans="1:3" x14ac:dyDescent="0.2">
      <c r="A4108" s="3">
        <v>41255</v>
      </c>
      <c r="B4108">
        <v>30.587</v>
      </c>
      <c r="C4108">
        <f t="shared" si="67"/>
        <v>2012</v>
      </c>
    </row>
    <row r="4109" spans="1:3" x14ac:dyDescent="0.2">
      <c r="A4109" s="3">
        <v>41254</v>
      </c>
      <c r="B4109">
        <v>30.713200000000001</v>
      </c>
      <c r="C4109">
        <f t="shared" si="67"/>
        <v>2012</v>
      </c>
    </row>
    <row r="4110" spans="1:3" x14ac:dyDescent="0.2">
      <c r="A4110" s="3">
        <v>41253</v>
      </c>
      <c r="B4110">
        <v>30.734100000000002</v>
      </c>
      <c r="C4110">
        <f t="shared" si="67"/>
        <v>2012</v>
      </c>
    </row>
    <row r="4111" spans="1:3" x14ac:dyDescent="0.2">
      <c r="A4111" s="3">
        <v>41250</v>
      </c>
      <c r="B4111">
        <v>30.813800000000001</v>
      </c>
      <c r="C4111">
        <f t="shared" si="67"/>
        <v>2012</v>
      </c>
    </row>
    <row r="4112" spans="1:3" x14ac:dyDescent="0.2">
      <c r="A4112" s="3">
        <v>41249</v>
      </c>
      <c r="B4112">
        <v>30.895</v>
      </c>
      <c r="C4112">
        <f t="shared" si="67"/>
        <v>2012</v>
      </c>
    </row>
    <row r="4113" spans="1:3" x14ac:dyDescent="0.2">
      <c r="A4113" s="3">
        <v>41248</v>
      </c>
      <c r="B4113">
        <v>30.7728</v>
      </c>
      <c r="C4113">
        <f t="shared" si="67"/>
        <v>2012</v>
      </c>
    </row>
    <row r="4114" spans="1:3" x14ac:dyDescent="0.2">
      <c r="A4114" s="3">
        <v>41247</v>
      </c>
      <c r="B4114">
        <v>30.859500000000001</v>
      </c>
      <c r="C4114">
        <f t="shared" si="67"/>
        <v>2012</v>
      </c>
    </row>
    <row r="4115" spans="1:3" x14ac:dyDescent="0.2">
      <c r="A4115" s="3">
        <v>41246</v>
      </c>
      <c r="B4115">
        <v>30.902000000000001</v>
      </c>
      <c r="C4115">
        <f t="shared" si="67"/>
        <v>2012</v>
      </c>
    </row>
    <row r="4116" spans="1:3" x14ac:dyDescent="0.2">
      <c r="A4116" s="3">
        <v>41243</v>
      </c>
      <c r="B4116">
        <v>30.880600000000001</v>
      </c>
      <c r="C4116">
        <f t="shared" si="67"/>
        <v>2012</v>
      </c>
    </row>
    <row r="4117" spans="1:3" x14ac:dyDescent="0.2">
      <c r="A4117" s="3">
        <v>41242</v>
      </c>
      <c r="B4117">
        <v>30.9068</v>
      </c>
      <c r="C4117">
        <f t="shared" si="67"/>
        <v>2012</v>
      </c>
    </row>
    <row r="4118" spans="1:3" x14ac:dyDescent="0.2">
      <c r="A4118" s="3">
        <v>41241</v>
      </c>
      <c r="B4118">
        <v>31.142800000000001</v>
      </c>
      <c r="C4118">
        <f t="shared" si="67"/>
        <v>2012</v>
      </c>
    </row>
    <row r="4119" spans="1:3" x14ac:dyDescent="0.2">
      <c r="A4119" s="3">
        <v>41240</v>
      </c>
      <c r="B4119">
        <v>31.056000000000001</v>
      </c>
      <c r="C4119">
        <f t="shared" si="67"/>
        <v>2012</v>
      </c>
    </row>
    <row r="4120" spans="1:3" x14ac:dyDescent="0.2">
      <c r="A4120" s="3">
        <v>41239</v>
      </c>
      <c r="B4120">
        <v>31.029499999999999</v>
      </c>
      <c r="C4120">
        <f t="shared" si="67"/>
        <v>2012</v>
      </c>
    </row>
    <row r="4121" spans="1:3" x14ac:dyDescent="0.2">
      <c r="A4121" s="3">
        <v>41236</v>
      </c>
      <c r="B4121">
        <v>31.065300000000001</v>
      </c>
      <c r="C4121">
        <f t="shared" si="67"/>
        <v>2012</v>
      </c>
    </row>
    <row r="4122" spans="1:3" x14ac:dyDescent="0.2">
      <c r="A4122" s="3">
        <v>41235</v>
      </c>
      <c r="B4122">
        <v>31.181000000000001</v>
      </c>
      <c r="C4122">
        <f t="shared" si="67"/>
        <v>2012</v>
      </c>
    </row>
    <row r="4123" spans="1:3" x14ac:dyDescent="0.2">
      <c r="A4123" s="3">
        <v>41234</v>
      </c>
      <c r="B4123">
        <v>31.176300000000001</v>
      </c>
      <c r="C4123">
        <f t="shared" si="67"/>
        <v>2012</v>
      </c>
    </row>
    <row r="4124" spans="1:3" x14ac:dyDescent="0.2">
      <c r="A4124" s="3">
        <v>41233</v>
      </c>
      <c r="B4124">
        <v>31.295500000000001</v>
      </c>
      <c r="C4124">
        <f t="shared" si="67"/>
        <v>2012</v>
      </c>
    </row>
    <row r="4125" spans="1:3" x14ac:dyDescent="0.2">
      <c r="A4125" s="3">
        <v>41232</v>
      </c>
      <c r="B4125">
        <v>31.430499999999999</v>
      </c>
      <c r="C4125">
        <f t="shared" si="67"/>
        <v>2012</v>
      </c>
    </row>
    <row r="4126" spans="1:3" x14ac:dyDescent="0.2">
      <c r="A4126" s="3">
        <v>41229</v>
      </c>
      <c r="B4126">
        <v>31.740300000000001</v>
      </c>
      <c r="C4126">
        <f t="shared" si="67"/>
        <v>2012</v>
      </c>
    </row>
    <row r="4127" spans="1:3" x14ac:dyDescent="0.2">
      <c r="A4127" s="3">
        <v>41228</v>
      </c>
      <c r="B4127">
        <v>31.665199999999999</v>
      </c>
      <c r="C4127">
        <f t="shared" si="67"/>
        <v>2012</v>
      </c>
    </row>
    <row r="4128" spans="1:3" x14ac:dyDescent="0.2">
      <c r="A4128" s="3">
        <v>41227</v>
      </c>
      <c r="B4128">
        <v>31.716699999999999</v>
      </c>
      <c r="C4128">
        <f t="shared" si="67"/>
        <v>2012</v>
      </c>
    </row>
    <row r="4129" spans="1:3" x14ac:dyDescent="0.2">
      <c r="A4129" s="3">
        <v>41226</v>
      </c>
      <c r="B4129">
        <v>31.7394</v>
      </c>
      <c r="C4129">
        <f t="shared" si="67"/>
        <v>2012</v>
      </c>
    </row>
    <row r="4130" spans="1:3" x14ac:dyDescent="0.2">
      <c r="A4130" s="3">
        <v>41225</v>
      </c>
      <c r="B4130">
        <v>31.633500000000002</v>
      </c>
      <c r="C4130">
        <f t="shared" si="67"/>
        <v>2012</v>
      </c>
    </row>
    <row r="4131" spans="1:3" x14ac:dyDescent="0.2">
      <c r="A4131" s="3">
        <v>41222</v>
      </c>
      <c r="B4131">
        <v>31.574999999999999</v>
      </c>
      <c r="C4131">
        <f t="shared" si="67"/>
        <v>2012</v>
      </c>
    </row>
    <row r="4132" spans="1:3" x14ac:dyDescent="0.2">
      <c r="A4132" s="3">
        <v>41221</v>
      </c>
      <c r="B4132">
        <v>31.54</v>
      </c>
      <c r="C4132">
        <f t="shared" si="67"/>
        <v>2012</v>
      </c>
    </row>
    <row r="4133" spans="1:3" x14ac:dyDescent="0.2">
      <c r="A4133" s="3">
        <v>41220</v>
      </c>
      <c r="B4133">
        <v>31.517900000000001</v>
      </c>
      <c r="C4133">
        <f t="shared" si="67"/>
        <v>2012</v>
      </c>
    </row>
    <row r="4134" spans="1:3" x14ac:dyDescent="0.2">
      <c r="A4134" s="3">
        <v>41219</v>
      </c>
      <c r="B4134">
        <v>31.425999999999998</v>
      </c>
      <c r="C4134">
        <f t="shared" si="67"/>
        <v>2012</v>
      </c>
    </row>
    <row r="4135" spans="1:3" x14ac:dyDescent="0.2">
      <c r="A4135" s="3">
        <v>41218</v>
      </c>
      <c r="B4135">
        <v>31.6267</v>
      </c>
      <c r="C4135">
        <f t="shared" si="67"/>
        <v>2012</v>
      </c>
    </row>
    <row r="4136" spans="1:3" x14ac:dyDescent="0.2">
      <c r="A4136" s="3">
        <v>41215</v>
      </c>
      <c r="B4136">
        <v>31.4725</v>
      </c>
      <c r="C4136">
        <f t="shared" si="67"/>
        <v>2012</v>
      </c>
    </row>
    <row r="4137" spans="1:3" x14ac:dyDescent="0.2">
      <c r="A4137" s="3">
        <v>41214</v>
      </c>
      <c r="B4137">
        <v>31.294599999999999</v>
      </c>
      <c r="C4137">
        <f t="shared" si="67"/>
        <v>2012</v>
      </c>
    </row>
    <row r="4138" spans="1:3" x14ac:dyDescent="0.2">
      <c r="A4138" s="3">
        <v>41213</v>
      </c>
      <c r="B4138">
        <v>31.353000000000002</v>
      </c>
      <c r="C4138">
        <f t="shared" si="67"/>
        <v>2012</v>
      </c>
    </row>
    <row r="4139" spans="1:3" x14ac:dyDescent="0.2">
      <c r="A4139" s="3">
        <v>41212</v>
      </c>
      <c r="B4139">
        <v>31.368500000000001</v>
      </c>
      <c r="C4139">
        <f t="shared" si="67"/>
        <v>2012</v>
      </c>
    </row>
    <row r="4140" spans="1:3" x14ac:dyDescent="0.2">
      <c r="A4140" s="3">
        <v>41211</v>
      </c>
      <c r="B4140">
        <v>31.508500000000002</v>
      </c>
      <c r="C4140">
        <f t="shared" si="67"/>
        <v>2012</v>
      </c>
    </row>
    <row r="4141" spans="1:3" x14ac:dyDescent="0.2">
      <c r="A4141" s="3">
        <v>41208</v>
      </c>
      <c r="B4141">
        <v>31.380400000000002</v>
      </c>
      <c r="C4141">
        <f t="shared" si="67"/>
        <v>2012</v>
      </c>
    </row>
    <row r="4142" spans="1:3" x14ac:dyDescent="0.2">
      <c r="A4142" s="3">
        <v>41207</v>
      </c>
      <c r="B4142">
        <v>31.335000000000001</v>
      </c>
      <c r="C4142">
        <f t="shared" si="67"/>
        <v>2012</v>
      </c>
    </row>
    <row r="4143" spans="1:3" x14ac:dyDescent="0.2">
      <c r="A4143" s="3">
        <v>41206</v>
      </c>
      <c r="B4143">
        <v>31.433499999999999</v>
      </c>
      <c r="C4143">
        <f t="shared" si="67"/>
        <v>2012</v>
      </c>
    </row>
    <row r="4144" spans="1:3" x14ac:dyDescent="0.2">
      <c r="A4144" s="3">
        <v>41205</v>
      </c>
      <c r="B4144">
        <v>31.424499999999998</v>
      </c>
      <c r="C4144">
        <f t="shared" si="67"/>
        <v>2012</v>
      </c>
    </row>
    <row r="4145" spans="1:3" x14ac:dyDescent="0.2">
      <c r="A4145" s="3">
        <v>41204</v>
      </c>
      <c r="B4145">
        <v>31.111499999999999</v>
      </c>
      <c r="C4145">
        <f t="shared" si="67"/>
        <v>2012</v>
      </c>
    </row>
    <row r="4146" spans="1:3" x14ac:dyDescent="0.2">
      <c r="A4146" s="3">
        <v>41201</v>
      </c>
      <c r="B4146">
        <v>30.891300000000001</v>
      </c>
      <c r="C4146">
        <f t="shared" si="67"/>
        <v>2012</v>
      </c>
    </row>
    <row r="4147" spans="1:3" x14ac:dyDescent="0.2">
      <c r="A4147" s="3">
        <v>41200</v>
      </c>
      <c r="B4147">
        <v>30.745699999999999</v>
      </c>
      <c r="C4147">
        <f t="shared" si="67"/>
        <v>2012</v>
      </c>
    </row>
    <row r="4148" spans="1:3" x14ac:dyDescent="0.2">
      <c r="A4148" s="3">
        <v>41199</v>
      </c>
      <c r="B4148">
        <v>30.756900000000002</v>
      </c>
      <c r="C4148">
        <f t="shared" si="67"/>
        <v>2012</v>
      </c>
    </row>
    <row r="4149" spans="1:3" x14ac:dyDescent="0.2">
      <c r="A4149" s="3">
        <v>41198</v>
      </c>
      <c r="B4149">
        <v>30.8706</v>
      </c>
      <c r="C4149">
        <f t="shared" si="67"/>
        <v>2012</v>
      </c>
    </row>
    <row r="4150" spans="1:3" x14ac:dyDescent="0.2">
      <c r="A4150" s="3">
        <v>41197</v>
      </c>
      <c r="B4150">
        <v>31.059799999999999</v>
      </c>
      <c r="C4150">
        <f t="shared" si="67"/>
        <v>2012</v>
      </c>
    </row>
    <row r="4151" spans="1:3" x14ac:dyDescent="0.2">
      <c r="A4151" s="3">
        <v>41194</v>
      </c>
      <c r="B4151">
        <v>31.106000000000002</v>
      </c>
      <c r="C4151">
        <f t="shared" si="67"/>
        <v>2012</v>
      </c>
    </row>
    <row r="4152" spans="1:3" x14ac:dyDescent="0.2">
      <c r="A4152" s="3">
        <v>41193</v>
      </c>
      <c r="B4152">
        <v>31.021999999999998</v>
      </c>
      <c r="C4152">
        <f t="shared" si="67"/>
        <v>2012</v>
      </c>
    </row>
    <row r="4153" spans="1:3" x14ac:dyDescent="0.2">
      <c r="A4153" s="3">
        <v>41192</v>
      </c>
      <c r="B4153">
        <v>31.151499999999999</v>
      </c>
      <c r="C4153">
        <f t="shared" si="67"/>
        <v>2012</v>
      </c>
    </row>
    <row r="4154" spans="1:3" x14ac:dyDescent="0.2">
      <c r="A4154" s="3">
        <v>41191</v>
      </c>
      <c r="B4154">
        <v>31.164999999999999</v>
      </c>
      <c r="C4154">
        <f t="shared" si="67"/>
        <v>2012</v>
      </c>
    </row>
    <row r="4155" spans="1:3" x14ac:dyDescent="0.2">
      <c r="A4155" s="3">
        <v>41190</v>
      </c>
      <c r="B4155">
        <v>31.148299999999999</v>
      </c>
      <c r="C4155">
        <f t="shared" si="67"/>
        <v>2012</v>
      </c>
    </row>
    <row r="4156" spans="1:3" x14ac:dyDescent="0.2">
      <c r="A4156" s="3">
        <v>41187</v>
      </c>
      <c r="B4156">
        <v>30.994299999999999</v>
      </c>
      <c r="C4156">
        <f t="shared" si="67"/>
        <v>2012</v>
      </c>
    </row>
    <row r="4157" spans="1:3" x14ac:dyDescent="0.2">
      <c r="A4157" s="3">
        <v>41186</v>
      </c>
      <c r="B4157">
        <v>30.9221</v>
      </c>
      <c r="C4157">
        <f t="shared" si="67"/>
        <v>2012</v>
      </c>
    </row>
    <row r="4158" spans="1:3" x14ac:dyDescent="0.2">
      <c r="A4158" s="3">
        <v>41185</v>
      </c>
      <c r="B4158">
        <v>31.167300000000001</v>
      </c>
      <c r="C4158">
        <f t="shared" si="67"/>
        <v>2012</v>
      </c>
    </row>
    <row r="4159" spans="1:3" x14ac:dyDescent="0.2">
      <c r="A4159" s="3">
        <v>41184</v>
      </c>
      <c r="B4159">
        <v>31.08</v>
      </c>
      <c r="C4159">
        <f t="shared" si="67"/>
        <v>2012</v>
      </c>
    </row>
    <row r="4160" spans="1:3" x14ac:dyDescent="0.2">
      <c r="A4160" s="3">
        <v>41183</v>
      </c>
      <c r="B4160">
        <v>31.105499999999999</v>
      </c>
      <c r="C4160">
        <f t="shared" si="67"/>
        <v>2012</v>
      </c>
    </row>
    <row r="4161" spans="1:3" x14ac:dyDescent="0.2">
      <c r="A4161" s="3">
        <v>41180</v>
      </c>
      <c r="B4161">
        <v>31.18</v>
      </c>
      <c r="C4161">
        <f t="shared" si="67"/>
        <v>2012</v>
      </c>
    </row>
    <row r="4162" spans="1:3" x14ac:dyDescent="0.2">
      <c r="A4162" s="3">
        <v>41179</v>
      </c>
      <c r="B4162">
        <v>31.02</v>
      </c>
      <c r="C4162">
        <f t="shared" si="67"/>
        <v>2012</v>
      </c>
    </row>
    <row r="4163" spans="1:3" x14ac:dyDescent="0.2">
      <c r="A4163" s="3">
        <v>41178</v>
      </c>
      <c r="B4163">
        <v>31.332000000000001</v>
      </c>
      <c r="C4163">
        <f t="shared" si="67"/>
        <v>2012</v>
      </c>
    </row>
    <row r="4164" spans="1:3" x14ac:dyDescent="0.2">
      <c r="A4164" s="3">
        <v>41177</v>
      </c>
      <c r="B4164">
        <v>31.054400000000001</v>
      </c>
      <c r="C4164">
        <f t="shared" ref="C4164:C4227" si="68">YEAR(A4164)</f>
        <v>2012</v>
      </c>
    </row>
    <row r="4165" spans="1:3" x14ac:dyDescent="0.2">
      <c r="A4165" s="3">
        <v>41176</v>
      </c>
      <c r="B4165">
        <v>31.156600000000001</v>
      </c>
      <c r="C4165">
        <f t="shared" si="68"/>
        <v>2012</v>
      </c>
    </row>
    <row r="4166" spans="1:3" x14ac:dyDescent="0.2">
      <c r="A4166" s="3">
        <v>41173</v>
      </c>
      <c r="B4166">
        <v>31.02</v>
      </c>
      <c r="C4166">
        <f t="shared" si="68"/>
        <v>2012</v>
      </c>
    </row>
    <row r="4167" spans="1:3" x14ac:dyDescent="0.2">
      <c r="A4167" s="3">
        <v>41172</v>
      </c>
      <c r="B4167">
        <v>31.244</v>
      </c>
      <c r="C4167">
        <f t="shared" si="68"/>
        <v>2012</v>
      </c>
    </row>
    <row r="4168" spans="1:3" x14ac:dyDescent="0.2">
      <c r="A4168" s="3">
        <v>41171</v>
      </c>
      <c r="B4168">
        <v>31.180099999999999</v>
      </c>
      <c r="C4168">
        <f t="shared" si="68"/>
        <v>2012</v>
      </c>
    </row>
    <row r="4169" spans="1:3" x14ac:dyDescent="0.2">
      <c r="A4169" s="3">
        <v>41170</v>
      </c>
      <c r="B4169">
        <v>30.915400000000002</v>
      </c>
      <c r="C4169">
        <f t="shared" si="68"/>
        <v>2012</v>
      </c>
    </row>
    <row r="4170" spans="1:3" x14ac:dyDescent="0.2">
      <c r="A4170" s="3">
        <v>41169</v>
      </c>
      <c r="B4170">
        <v>30.6051</v>
      </c>
      <c r="C4170">
        <f t="shared" si="68"/>
        <v>2012</v>
      </c>
    </row>
    <row r="4171" spans="1:3" x14ac:dyDescent="0.2">
      <c r="A4171" s="3">
        <v>41166</v>
      </c>
      <c r="B4171">
        <v>30.457899999999999</v>
      </c>
      <c r="C4171">
        <f t="shared" si="68"/>
        <v>2012</v>
      </c>
    </row>
    <row r="4172" spans="1:3" x14ac:dyDescent="0.2">
      <c r="A4172" s="3">
        <v>41165</v>
      </c>
      <c r="B4172">
        <v>31.232099999999999</v>
      </c>
      <c r="C4172">
        <f t="shared" si="68"/>
        <v>2012</v>
      </c>
    </row>
    <row r="4173" spans="1:3" x14ac:dyDescent="0.2">
      <c r="A4173" s="3">
        <v>41164</v>
      </c>
      <c r="B4173">
        <v>31.478000000000002</v>
      </c>
      <c r="C4173">
        <f t="shared" si="68"/>
        <v>2012</v>
      </c>
    </row>
    <row r="4174" spans="1:3" x14ac:dyDescent="0.2">
      <c r="A4174" s="3">
        <v>41163</v>
      </c>
      <c r="B4174">
        <v>31.477</v>
      </c>
      <c r="C4174">
        <f t="shared" si="68"/>
        <v>2012</v>
      </c>
    </row>
    <row r="4175" spans="1:3" x14ac:dyDescent="0.2">
      <c r="A4175" s="3">
        <v>41162</v>
      </c>
      <c r="B4175">
        <v>31.651599999999998</v>
      </c>
      <c r="C4175">
        <f t="shared" si="68"/>
        <v>2012</v>
      </c>
    </row>
    <row r="4176" spans="1:3" x14ac:dyDescent="0.2">
      <c r="A4176" s="3">
        <v>41159</v>
      </c>
      <c r="B4176">
        <v>31.646000000000001</v>
      </c>
      <c r="C4176">
        <f t="shared" si="68"/>
        <v>2012</v>
      </c>
    </row>
    <row r="4177" spans="1:3" x14ac:dyDescent="0.2">
      <c r="A4177" s="3">
        <v>41158</v>
      </c>
      <c r="B4177">
        <v>31.985700000000001</v>
      </c>
      <c r="C4177">
        <f t="shared" si="68"/>
        <v>2012</v>
      </c>
    </row>
    <row r="4178" spans="1:3" x14ac:dyDescent="0.2">
      <c r="A4178" s="3">
        <v>41157</v>
      </c>
      <c r="B4178">
        <v>32.267299999999999</v>
      </c>
      <c r="C4178">
        <f t="shared" si="68"/>
        <v>2012</v>
      </c>
    </row>
    <row r="4179" spans="1:3" x14ac:dyDescent="0.2">
      <c r="A4179" s="3">
        <v>41156</v>
      </c>
      <c r="B4179">
        <v>32.316499999999998</v>
      </c>
      <c r="C4179">
        <f t="shared" si="68"/>
        <v>2012</v>
      </c>
    </row>
    <row r="4180" spans="1:3" x14ac:dyDescent="0.2">
      <c r="A4180" s="3">
        <v>41155</v>
      </c>
      <c r="B4180">
        <v>32.277299999999997</v>
      </c>
      <c r="C4180">
        <f t="shared" si="68"/>
        <v>2012</v>
      </c>
    </row>
    <row r="4181" spans="1:3" x14ac:dyDescent="0.2">
      <c r="A4181" s="3">
        <v>41152</v>
      </c>
      <c r="B4181">
        <v>32.3078</v>
      </c>
      <c r="C4181">
        <f t="shared" si="68"/>
        <v>2012</v>
      </c>
    </row>
    <row r="4182" spans="1:3" x14ac:dyDescent="0.2">
      <c r="A4182" s="3">
        <v>41151</v>
      </c>
      <c r="B4182">
        <v>32.564300000000003</v>
      </c>
      <c r="C4182">
        <f t="shared" si="68"/>
        <v>2012</v>
      </c>
    </row>
    <row r="4183" spans="1:3" x14ac:dyDescent="0.2">
      <c r="A4183" s="3">
        <v>41150</v>
      </c>
      <c r="B4183">
        <v>32.219000000000001</v>
      </c>
      <c r="C4183">
        <f t="shared" si="68"/>
        <v>2012</v>
      </c>
    </row>
    <row r="4184" spans="1:3" x14ac:dyDescent="0.2">
      <c r="A4184" s="3">
        <v>41149</v>
      </c>
      <c r="B4184">
        <v>31.980599999999999</v>
      </c>
      <c r="C4184">
        <f t="shared" si="68"/>
        <v>2012</v>
      </c>
    </row>
    <row r="4185" spans="1:3" x14ac:dyDescent="0.2">
      <c r="A4185" s="3">
        <v>41148</v>
      </c>
      <c r="B4185">
        <v>31.932500000000001</v>
      </c>
      <c r="C4185">
        <f t="shared" si="68"/>
        <v>2012</v>
      </c>
    </row>
    <row r="4186" spans="1:3" x14ac:dyDescent="0.2">
      <c r="A4186" s="3">
        <v>41145</v>
      </c>
      <c r="B4186">
        <v>31.794</v>
      </c>
      <c r="C4186">
        <f t="shared" si="68"/>
        <v>2012</v>
      </c>
    </row>
    <row r="4187" spans="1:3" x14ac:dyDescent="0.2">
      <c r="A4187" s="3">
        <v>41144</v>
      </c>
      <c r="B4187">
        <v>31.6755</v>
      </c>
      <c r="C4187">
        <f t="shared" si="68"/>
        <v>2012</v>
      </c>
    </row>
    <row r="4188" spans="1:3" x14ac:dyDescent="0.2">
      <c r="A4188" s="3">
        <v>41143</v>
      </c>
      <c r="B4188">
        <v>31.9053</v>
      </c>
      <c r="C4188">
        <f t="shared" si="68"/>
        <v>2012</v>
      </c>
    </row>
    <row r="4189" spans="1:3" x14ac:dyDescent="0.2">
      <c r="A4189" s="3">
        <v>41142</v>
      </c>
      <c r="B4189">
        <v>31.767499999999998</v>
      </c>
      <c r="C4189">
        <f t="shared" si="68"/>
        <v>2012</v>
      </c>
    </row>
    <row r="4190" spans="1:3" x14ac:dyDescent="0.2">
      <c r="A4190" s="3">
        <v>41141</v>
      </c>
      <c r="B4190">
        <v>32.07</v>
      </c>
      <c r="C4190">
        <f t="shared" si="68"/>
        <v>2012</v>
      </c>
    </row>
    <row r="4191" spans="1:3" x14ac:dyDescent="0.2">
      <c r="A4191" s="3">
        <v>41138</v>
      </c>
      <c r="B4191">
        <v>32.0443</v>
      </c>
      <c r="C4191">
        <f t="shared" si="68"/>
        <v>2012</v>
      </c>
    </row>
    <row r="4192" spans="1:3" x14ac:dyDescent="0.2">
      <c r="A4192" s="3">
        <v>41137</v>
      </c>
      <c r="B4192">
        <v>31.858499999999999</v>
      </c>
      <c r="C4192">
        <f t="shared" si="68"/>
        <v>2012</v>
      </c>
    </row>
    <row r="4193" spans="1:3" x14ac:dyDescent="0.2">
      <c r="A4193" s="3">
        <v>41136</v>
      </c>
      <c r="B4193">
        <v>31.87</v>
      </c>
      <c r="C4193">
        <f t="shared" si="68"/>
        <v>2012</v>
      </c>
    </row>
    <row r="4194" spans="1:3" x14ac:dyDescent="0.2">
      <c r="A4194" s="3">
        <v>41135</v>
      </c>
      <c r="B4194">
        <v>31.854500000000002</v>
      </c>
      <c r="C4194">
        <f t="shared" si="68"/>
        <v>2012</v>
      </c>
    </row>
    <row r="4195" spans="1:3" x14ac:dyDescent="0.2">
      <c r="A4195" s="3">
        <v>41134</v>
      </c>
      <c r="B4195">
        <v>31.865100000000002</v>
      </c>
      <c r="C4195">
        <f t="shared" si="68"/>
        <v>2012</v>
      </c>
    </row>
    <row r="4196" spans="1:3" x14ac:dyDescent="0.2">
      <c r="A4196" s="3">
        <v>41131</v>
      </c>
      <c r="B4196">
        <v>31.8078</v>
      </c>
      <c r="C4196">
        <f t="shared" si="68"/>
        <v>2012</v>
      </c>
    </row>
    <row r="4197" spans="1:3" x14ac:dyDescent="0.2">
      <c r="A4197" s="3">
        <v>41130</v>
      </c>
      <c r="B4197">
        <v>31.767299999999999</v>
      </c>
      <c r="C4197">
        <f t="shared" si="68"/>
        <v>2012</v>
      </c>
    </row>
    <row r="4198" spans="1:3" x14ac:dyDescent="0.2">
      <c r="A4198" s="3">
        <v>41129</v>
      </c>
      <c r="B4198">
        <v>31.5319</v>
      </c>
      <c r="C4198">
        <f t="shared" si="68"/>
        <v>2012</v>
      </c>
    </row>
    <row r="4199" spans="1:3" x14ac:dyDescent="0.2">
      <c r="A4199" s="3">
        <v>41128</v>
      </c>
      <c r="B4199">
        <v>31.5412</v>
      </c>
      <c r="C4199">
        <f t="shared" si="68"/>
        <v>2012</v>
      </c>
    </row>
    <row r="4200" spans="1:3" x14ac:dyDescent="0.2">
      <c r="A4200" s="3">
        <v>41127</v>
      </c>
      <c r="B4200">
        <v>31.528600000000001</v>
      </c>
      <c r="C4200">
        <f t="shared" si="68"/>
        <v>2012</v>
      </c>
    </row>
    <row r="4201" spans="1:3" x14ac:dyDescent="0.2">
      <c r="A4201" s="3">
        <v>41124</v>
      </c>
      <c r="B4201">
        <v>31.96</v>
      </c>
      <c r="C4201">
        <f t="shared" si="68"/>
        <v>2012</v>
      </c>
    </row>
    <row r="4202" spans="1:3" x14ac:dyDescent="0.2">
      <c r="A4202" s="3">
        <v>41123</v>
      </c>
      <c r="B4202">
        <v>32.606499999999997</v>
      </c>
      <c r="C4202">
        <f t="shared" si="68"/>
        <v>2012</v>
      </c>
    </row>
    <row r="4203" spans="1:3" x14ac:dyDescent="0.2">
      <c r="A4203" s="3">
        <v>41122</v>
      </c>
      <c r="B4203">
        <v>32.304400000000001</v>
      </c>
      <c r="C4203">
        <f t="shared" si="68"/>
        <v>2012</v>
      </c>
    </row>
    <row r="4204" spans="1:3" x14ac:dyDescent="0.2">
      <c r="A4204" s="3">
        <v>41121</v>
      </c>
      <c r="B4204">
        <v>32.200299999999999</v>
      </c>
      <c r="C4204">
        <f t="shared" si="68"/>
        <v>2012</v>
      </c>
    </row>
    <row r="4205" spans="1:3" x14ac:dyDescent="0.2">
      <c r="A4205" s="3">
        <v>41120</v>
      </c>
      <c r="B4205">
        <v>32.18</v>
      </c>
      <c r="C4205">
        <f t="shared" si="68"/>
        <v>2012</v>
      </c>
    </row>
    <row r="4206" spans="1:3" x14ac:dyDescent="0.2">
      <c r="A4206" s="3">
        <v>41117</v>
      </c>
      <c r="B4206">
        <v>32.078800000000001</v>
      </c>
      <c r="C4206">
        <f t="shared" si="68"/>
        <v>2012</v>
      </c>
    </row>
    <row r="4207" spans="1:3" x14ac:dyDescent="0.2">
      <c r="A4207" s="3">
        <v>41116</v>
      </c>
      <c r="B4207">
        <v>32.3628</v>
      </c>
      <c r="C4207">
        <f t="shared" si="68"/>
        <v>2012</v>
      </c>
    </row>
    <row r="4208" spans="1:3" x14ac:dyDescent="0.2">
      <c r="A4208" s="3">
        <v>41115</v>
      </c>
      <c r="B4208">
        <v>32.761299999999999</v>
      </c>
      <c r="C4208">
        <f t="shared" si="68"/>
        <v>2012</v>
      </c>
    </row>
    <row r="4209" spans="1:3" x14ac:dyDescent="0.2">
      <c r="A4209" s="3">
        <v>41114</v>
      </c>
      <c r="B4209">
        <v>32.980499999999999</v>
      </c>
      <c r="C4209">
        <f t="shared" si="68"/>
        <v>2012</v>
      </c>
    </row>
    <row r="4210" spans="1:3" x14ac:dyDescent="0.2">
      <c r="A4210" s="3">
        <v>41113</v>
      </c>
      <c r="B4210">
        <v>32.626600000000003</v>
      </c>
      <c r="C4210">
        <f t="shared" si="68"/>
        <v>2012</v>
      </c>
    </row>
    <row r="4211" spans="1:3" x14ac:dyDescent="0.2">
      <c r="A4211" s="3">
        <v>41110</v>
      </c>
      <c r="B4211">
        <v>32.0398</v>
      </c>
      <c r="C4211">
        <f t="shared" si="68"/>
        <v>2012</v>
      </c>
    </row>
    <row r="4212" spans="1:3" x14ac:dyDescent="0.2">
      <c r="A4212" s="3">
        <v>41109</v>
      </c>
      <c r="B4212">
        <v>31.827500000000001</v>
      </c>
      <c r="C4212">
        <f t="shared" si="68"/>
        <v>2012</v>
      </c>
    </row>
    <row r="4213" spans="1:3" x14ac:dyDescent="0.2">
      <c r="A4213" s="3">
        <v>41108</v>
      </c>
      <c r="B4213">
        <v>32.243099999999998</v>
      </c>
      <c r="C4213">
        <f t="shared" si="68"/>
        <v>2012</v>
      </c>
    </row>
    <row r="4214" spans="1:3" x14ac:dyDescent="0.2">
      <c r="A4214" s="3">
        <v>41107</v>
      </c>
      <c r="B4214">
        <v>32.437600000000003</v>
      </c>
      <c r="C4214">
        <f t="shared" si="68"/>
        <v>2012</v>
      </c>
    </row>
    <row r="4215" spans="1:3" x14ac:dyDescent="0.2">
      <c r="A4215" s="3">
        <v>41106</v>
      </c>
      <c r="B4215">
        <v>32.526000000000003</v>
      </c>
      <c r="C4215">
        <f t="shared" si="68"/>
        <v>2012</v>
      </c>
    </row>
    <row r="4216" spans="1:3" x14ac:dyDescent="0.2">
      <c r="A4216" s="3">
        <v>41103</v>
      </c>
      <c r="B4216">
        <v>32.582599999999999</v>
      </c>
      <c r="C4216">
        <f t="shared" si="68"/>
        <v>2012</v>
      </c>
    </row>
    <row r="4217" spans="1:3" x14ac:dyDescent="0.2">
      <c r="A4217" s="3">
        <v>41102</v>
      </c>
      <c r="B4217">
        <v>32.715000000000003</v>
      </c>
      <c r="C4217">
        <f t="shared" si="68"/>
        <v>2012</v>
      </c>
    </row>
    <row r="4218" spans="1:3" x14ac:dyDescent="0.2">
      <c r="A4218" s="3">
        <v>41101</v>
      </c>
      <c r="B4218">
        <v>32.6875</v>
      </c>
      <c r="C4218">
        <f t="shared" si="68"/>
        <v>2012</v>
      </c>
    </row>
    <row r="4219" spans="1:3" x14ac:dyDescent="0.2">
      <c r="A4219" s="3">
        <v>41100</v>
      </c>
      <c r="B4219">
        <v>32.880200000000002</v>
      </c>
      <c r="C4219">
        <f t="shared" si="68"/>
        <v>2012</v>
      </c>
    </row>
    <row r="4220" spans="1:3" x14ac:dyDescent="0.2">
      <c r="A4220" s="3">
        <v>41099</v>
      </c>
      <c r="B4220">
        <v>32.939599999999999</v>
      </c>
      <c r="C4220">
        <f t="shared" si="68"/>
        <v>2012</v>
      </c>
    </row>
    <row r="4221" spans="1:3" x14ac:dyDescent="0.2">
      <c r="A4221" s="3">
        <v>41096</v>
      </c>
      <c r="B4221">
        <v>32.899500000000003</v>
      </c>
      <c r="C4221">
        <f t="shared" si="68"/>
        <v>2012</v>
      </c>
    </row>
    <row r="4222" spans="1:3" x14ac:dyDescent="0.2">
      <c r="A4222" s="3">
        <v>41095</v>
      </c>
      <c r="B4222">
        <v>32.494500000000002</v>
      </c>
      <c r="C4222">
        <f t="shared" si="68"/>
        <v>2012</v>
      </c>
    </row>
    <row r="4223" spans="1:3" x14ac:dyDescent="0.2">
      <c r="A4223" s="3">
        <v>41094</v>
      </c>
      <c r="B4223">
        <v>32.331000000000003</v>
      </c>
      <c r="C4223">
        <f t="shared" si="68"/>
        <v>2012</v>
      </c>
    </row>
    <row r="4224" spans="1:3" x14ac:dyDescent="0.2">
      <c r="A4224" s="3">
        <v>41093</v>
      </c>
      <c r="B4224">
        <v>32.092500000000001</v>
      </c>
      <c r="C4224">
        <f t="shared" si="68"/>
        <v>2012</v>
      </c>
    </row>
    <row r="4225" spans="1:3" x14ac:dyDescent="0.2">
      <c r="A4225" s="3">
        <v>41092</v>
      </c>
      <c r="B4225">
        <v>32.542400000000001</v>
      </c>
      <c r="C4225">
        <f t="shared" si="68"/>
        <v>2012</v>
      </c>
    </row>
    <row r="4226" spans="1:3" x14ac:dyDescent="0.2">
      <c r="A4226" s="3">
        <v>41089</v>
      </c>
      <c r="B4226">
        <v>32.424500000000002</v>
      </c>
      <c r="C4226">
        <f t="shared" si="68"/>
        <v>2012</v>
      </c>
    </row>
    <row r="4227" spans="1:3" x14ac:dyDescent="0.2">
      <c r="A4227" s="3">
        <v>41088</v>
      </c>
      <c r="B4227">
        <v>33.104500000000002</v>
      </c>
      <c r="C4227">
        <f t="shared" si="68"/>
        <v>2012</v>
      </c>
    </row>
    <row r="4228" spans="1:3" x14ac:dyDescent="0.2">
      <c r="A4228" s="3">
        <v>41087</v>
      </c>
      <c r="B4228">
        <v>32.958500000000001</v>
      </c>
      <c r="C4228">
        <f t="shared" ref="C4228:C4291" si="69">YEAR(A4228)</f>
        <v>2012</v>
      </c>
    </row>
    <row r="4229" spans="1:3" x14ac:dyDescent="0.2">
      <c r="A4229" s="3">
        <v>41086</v>
      </c>
      <c r="B4229">
        <v>32.863999999999997</v>
      </c>
      <c r="C4229">
        <f t="shared" si="69"/>
        <v>2012</v>
      </c>
    </row>
    <row r="4230" spans="1:3" x14ac:dyDescent="0.2">
      <c r="A4230" s="3">
        <v>41085</v>
      </c>
      <c r="B4230">
        <v>33.2624</v>
      </c>
      <c r="C4230">
        <f t="shared" si="69"/>
        <v>2012</v>
      </c>
    </row>
    <row r="4231" spans="1:3" x14ac:dyDescent="0.2">
      <c r="A4231" s="3">
        <v>41082</v>
      </c>
      <c r="B4231">
        <v>33.154200000000003</v>
      </c>
      <c r="C4231">
        <f t="shared" si="69"/>
        <v>2012</v>
      </c>
    </row>
    <row r="4232" spans="1:3" x14ac:dyDescent="0.2">
      <c r="A4232" s="3">
        <v>41081</v>
      </c>
      <c r="B4232">
        <v>33.195099999999996</v>
      </c>
      <c r="C4232">
        <f t="shared" si="69"/>
        <v>2012</v>
      </c>
    </row>
    <row r="4233" spans="1:3" x14ac:dyDescent="0.2">
      <c r="A4233" s="3">
        <v>41080</v>
      </c>
      <c r="B4233">
        <v>32.595999999999997</v>
      </c>
      <c r="C4233">
        <f t="shared" si="69"/>
        <v>2012</v>
      </c>
    </row>
    <row r="4234" spans="1:3" x14ac:dyDescent="0.2">
      <c r="A4234" s="3">
        <v>41079</v>
      </c>
      <c r="B4234">
        <v>32.350499999999997</v>
      </c>
      <c r="C4234">
        <f t="shared" si="69"/>
        <v>2012</v>
      </c>
    </row>
    <row r="4235" spans="1:3" x14ac:dyDescent="0.2">
      <c r="A4235" s="3">
        <v>41078</v>
      </c>
      <c r="B4235">
        <v>32.410200000000003</v>
      </c>
      <c r="C4235">
        <f t="shared" si="69"/>
        <v>2012</v>
      </c>
    </row>
    <row r="4236" spans="1:3" x14ac:dyDescent="0.2">
      <c r="A4236" s="3">
        <v>41075</v>
      </c>
      <c r="B4236">
        <v>32.3521</v>
      </c>
      <c r="C4236">
        <f t="shared" si="69"/>
        <v>2012</v>
      </c>
    </row>
    <row r="4237" spans="1:3" x14ac:dyDescent="0.2">
      <c r="A4237" s="3">
        <v>41074</v>
      </c>
      <c r="B4237">
        <v>32.5015</v>
      </c>
      <c r="C4237">
        <f t="shared" si="69"/>
        <v>2012</v>
      </c>
    </row>
    <row r="4238" spans="1:3" x14ac:dyDescent="0.2">
      <c r="A4238" s="3">
        <v>41073</v>
      </c>
      <c r="B4238">
        <v>32.486899999999999</v>
      </c>
      <c r="C4238">
        <f t="shared" si="69"/>
        <v>2012</v>
      </c>
    </row>
    <row r="4239" spans="1:3" x14ac:dyDescent="0.2">
      <c r="A4239" s="3">
        <v>41072</v>
      </c>
      <c r="B4239">
        <v>32.991999999999997</v>
      </c>
      <c r="C4239">
        <f t="shared" si="69"/>
        <v>2012</v>
      </c>
    </row>
    <row r="4240" spans="1:3" x14ac:dyDescent="0.2">
      <c r="A4240" s="3">
        <v>41071</v>
      </c>
      <c r="B4240">
        <v>32.814</v>
      </c>
      <c r="C4240">
        <f t="shared" si="69"/>
        <v>2012</v>
      </c>
    </row>
    <row r="4241" spans="1:3" x14ac:dyDescent="0.2">
      <c r="A4241" s="3">
        <v>41068</v>
      </c>
      <c r="B4241">
        <v>32.489800000000002</v>
      </c>
      <c r="C4241">
        <f t="shared" si="69"/>
        <v>2012</v>
      </c>
    </row>
    <row r="4242" spans="1:3" x14ac:dyDescent="0.2">
      <c r="A4242" s="3">
        <v>41067</v>
      </c>
      <c r="B4242">
        <v>32.282699999999998</v>
      </c>
      <c r="C4242">
        <f t="shared" si="69"/>
        <v>2012</v>
      </c>
    </row>
    <row r="4243" spans="1:3" x14ac:dyDescent="0.2">
      <c r="A4243" s="3">
        <v>41066</v>
      </c>
      <c r="B4243">
        <v>32.3401</v>
      </c>
      <c r="C4243">
        <f t="shared" si="69"/>
        <v>2012</v>
      </c>
    </row>
    <row r="4244" spans="1:3" x14ac:dyDescent="0.2">
      <c r="A4244" s="3">
        <v>41065</v>
      </c>
      <c r="B4244">
        <v>33.069099999999999</v>
      </c>
      <c r="C4244">
        <f t="shared" si="69"/>
        <v>2012</v>
      </c>
    </row>
    <row r="4245" spans="1:3" x14ac:dyDescent="0.2">
      <c r="A4245" s="3">
        <v>41064</v>
      </c>
      <c r="B4245">
        <v>33.514800000000001</v>
      </c>
      <c r="C4245">
        <f t="shared" si="69"/>
        <v>2012</v>
      </c>
    </row>
    <row r="4246" spans="1:3" x14ac:dyDescent="0.2">
      <c r="A4246" s="3">
        <v>41061</v>
      </c>
      <c r="B4246">
        <v>33.674100000000003</v>
      </c>
      <c r="C4246">
        <f t="shared" si="69"/>
        <v>2012</v>
      </c>
    </row>
    <row r="4247" spans="1:3" x14ac:dyDescent="0.2">
      <c r="A4247" s="3">
        <v>41060</v>
      </c>
      <c r="B4247">
        <v>33.411999999999999</v>
      </c>
      <c r="C4247">
        <f t="shared" si="69"/>
        <v>2012</v>
      </c>
    </row>
    <row r="4248" spans="1:3" x14ac:dyDescent="0.2">
      <c r="A4248" s="3">
        <v>41059</v>
      </c>
      <c r="B4248">
        <v>32.809399999999997</v>
      </c>
      <c r="C4248">
        <f t="shared" si="69"/>
        <v>2012</v>
      </c>
    </row>
    <row r="4249" spans="1:3" x14ac:dyDescent="0.2">
      <c r="A4249" s="3">
        <v>41058</v>
      </c>
      <c r="B4249">
        <v>32.339599999999997</v>
      </c>
      <c r="C4249">
        <f t="shared" si="69"/>
        <v>2012</v>
      </c>
    </row>
    <row r="4250" spans="1:3" x14ac:dyDescent="0.2">
      <c r="A4250" s="3">
        <v>41057</v>
      </c>
      <c r="B4250">
        <v>32.099800000000002</v>
      </c>
      <c r="C4250">
        <f t="shared" si="69"/>
        <v>2012</v>
      </c>
    </row>
    <row r="4251" spans="1:3" x14ac:dyDescent="0.2">
      <c r="A4251" s="3">
        <v>41054</v>
      </c>
      <c r="B4251">
        <v>32.064999999999998</v>
      </c>
      <c r="C4251">
        <f t="shared" si="69"/>
        <v>2012</v>
      </c>
    </row>
    <row r="4252" spans="1:3" x14ac:dyDescent="0.2">
      <c r="A4252" s="3">
        <v>41053</v>
      </c>
      <c r="B4252">
        <v>31.779299999999999</v>
      </c>
      <c r="C4252">
        <f t="shared" si="69"/>
        <v>2012</v>
      </c>
    </row>
    <row r="4253" spans="1:3" x14ac:dyDescent="0.2">
      <c r="A4253" s="3">
        <v>41052</v>
      </c>
      <c r="B4253">
        <v>31.775200000000002</v>
      </c>
      <c r="C4253">
        <f t="shared" si="69"/>
        <v>2012</v>
      </c>
    </row>
    <row r="4254" spans="1:3" x14ac:dyDescent="0.2">
      <c r="A4254" s="3">
        <v>41051</v>
      </c>
      <c r="B4254">
        <v>31.1797</v>
      </c>
      <c r="C4254">
        <f t="shared" si="69"/>
        <v>2012</v>
      </c>
    </row>
    <row r="4255" spans="1:3" x14ac:dyDescent="0.2">
      <c r="A4255" s="3">
        <v>41050</v>
      </c>
      <c r="B4255">
        <v>31.125699999999998</v>
      </c>
      <c r="C4255">
        <f t="shared" si="69"/>
        <v>2012</v>
      </c>
    </row>
    <row r="4256" spans="1:3" x14ac:dyDescent="0.2">
      <c r="A4256" s="3">
        <v>41047</v>
      </c>
      <c r="B4256">
        <v>31.302600000000002</v>
      </c>
      <c r="C4256">
        <f t="shared" si="69"/>
        <v>2012</v>
      </c>
    </row>
    <row r="4257" spans="1:3" x14ac:dyDescent="0.2">
      <c r="A4257" s="3">
        <v>41046</v>
      </c>
      <c r="B4257">
        <v>31.087499999999999</v>
      </c>
      <c r="C4257">
        <f t="shared" si="69"/>
        <v>2012</v>
      </c>
    </row>
    <row r="4258" spans="1:3" x14ac:dyDescent="0.2">
      <c r="A4258" s="3">
        <v>41045</v>
      </c>
      <c r="B4258">
        <v>31.002300000000002</v>
      </c>
      <c r="C4258">
        <f t="shared" si="69"/>
        <v>2012</v>
      </c>
    </row>
    <row r="4259" spans="1:3" x14ac:dyDescent="0.2">
      <c r="A4259" s="3">
        <v>41044</v>
      </c>
      <c r="B4259">
        <v>30.601900000000001</v>
      </c>
      <c r="C4259">
        <f t="shared" si="69"/>
        <v>2012</v>
      </c>
    </row>
    <row r="4260" spans="1:3" x14ac:dyDescent="0.2">
      <c r="A4260" s="3">
        <v>41043</v>
      </c>
      <c r="B4260">
        <v>30.383400000000002</v>
      </c>
      <c r="C4260">
        <f t="shared" si="69"/>
        <v>2012</v>
      </c>
    </row>
    <row r="4261" spans="1:3" x14ac:dyDescent="0.2">
      <c r="A4261" s="3">
        <v>41040</v>
      </c>
      <c r="B4261">
        <v>30.1432</v>
      </c>
      <c r="C4261">
        <f t="shared" si="69"/>
        <v>2012</v>
      </c>
    </row>
    <row r="4262" spans="1:3" x14ac:dyDescent="0.2">
      <c r="A4262" s="3">
        <v>41039</v>
      </c>
      <c r="B4262">
        <v>30.131799999999998</v>
      </c>
      <c r="C4262">
        <f t="shared" si="69"/>
        <v>2012</v>
      </c>
    </row>
    <row r="4263" spans="1:3" x14ac:dyDescent="0.2">
      <c r="A4263" s="3">
        <v>41038</v>
      </c>
      <c r="B4263">
        <v>30.362200000000001</v>
      </c>
      <c r="C4263">
        <f t="shared" si="69"/>
        <v>2012</v>
      </c>
    </row>
    <row r="4264" spans="1:3" x14ac:dyDescent="0.2">
      <c r="A4264" s="3">
        <v>41037</v>
      </c>
      <c r="B4264">
        <v>30.172000000000001</v>
      </c>
      <c r="C4264">
        <f t="shared" si="69"/>
        <v>2012</v>
      </c>
    </row>
    <row r="4265" spans="1:3" x14ac:dyDescent="0.2">
      <c r="A4265" s="3">
        <v>41036</v>
      </c>
      <c r="B4265">
        <v>30.001300000000001</v>
      </c>
      <c r="C4265">
        <f t="shared" si="69"/>
        <v>2012</v>
      </c>
    </row>
    <row r="4266" spans="1:3" x14ac:dyDescent="0.2">
      <c r="A4266" s="3">
        <v>41033</v>
      </c>
      <c r="B4266">
        <v>29.785900000000002</v>
      </c>
      <c r="C4266">
        <f t="shared" si="69"/>
        <v>2012</v>
      </c>
    </row>
    <row r="4267" spans="1:3" x14ac:dyDescent="0.2">
      <c r="A4267" s="3">
        <v>41032</v>
      </c>
      <c r="B4267">
        <v>29.537500000000001</v>
      </c>
      <c r="C4267">
        <f t="shared" si="69"/>
        <v>2012</v>
      </c>
    </row>
    <row r="4268" spans="1:3" x14ac:dyDescent="0.2">
      <c r="A4268" s="3">
        <v>41031</v>
      </c>
      <c r="B4268">
        <v>29.413699999999999</v>
      </c>
      <c r="C4268">
        <f t="shared" si="69"/>
        <v>2012</v>
      </c>
    </row>
    <row r="4269" spans="1:3" x14ac:dyDescent="0.2">
      <c r="A4269" s="3">
        <v>41030</v>
      </c>
      <c r="B4269">
        <v>29.348500000000001</v>
      </c>
      <c r="C4269">
        <f t="shared" si="69"/>
        <v>2012</v>
      </c>
    </row>
    <row r="4270" spans="1:3" x14ac:dyDescent="0.2">
      <c r="A4270" s="3">
        <v>41029</v>
      </c>
      <c r="B4270">
        <v>29.382000000000001</v>
      </c>
      <c r="C4270">
        <f t="shared" si="69"/>
        <v>2012</v>
      </c>
    </row>
    <row r="4271" spans="1:3" x14ac:dyDescent="0.2">
      <c r="A4271" s="3">
        <v>41026</v>
      </c>
      <c r="B4271">
        <v>29.3127</v>
      </c>
      <c r="C4271">
        <f t="shared" si="69"/>
        <v>2012</v>
      </c>
    </row>
    <row r="4272" spans="1:3" x14ac:dyDescent="0.2">
      <c r="A4272" s="3">
        <v>41025</v>
      </c>
      <c r="B4272">
        <v>29.325199999999999</v>
      </c>
      <c r="C4272">
        <f t="shared" si="69"/>
        <v>2012</v>
      </c>
    </row>
    <row r="4273" spans="1:3" x14ac:dyDescent="0.2">
      <c r="A4273" s="3">
        <v>41024</v>
      </c>
      <c r="B4273">
        <v>29.353000000000002</v>
      </c>
      <c r="C4273">
        <f t="shared" si="69"/>
        <v>2012</v>
      </c>
    </row>
    <row r="4274" spans="1:3" x14ac:dyDescent="0.2">
      <c r="A4274" s="3">
        <v>41023</v>
      </c>
      <c r="B4274">
        <v>29.347899999999999</v>
      </c>
      <c r="C4274">
        <f t="shared" si="69"/>
        <v>2012</v>
      </c>
    </row>
    <row r="4275" spans="1:3" x14ac:dyDescent="0.2">
      <c r="A4275" s="3">
        <v>41022</v>
      </c>
      <c r="B4275">
        <v>29.540900000000001</v>
      </c>
      <c r="C4275">
        <f t="shared" si="69"/>
        <v>2012</v>
      </c>
    </row>
    <row r="4276" spans="1:3" x14ac:dyDescent="0.2">
      <c r="A4276" s="3">
        <v>41019</v>
      </c>
      <c r="B4276">
        <v>29.441400000000002</v>
      </c>
      <c r="C4276">
        <f t="shared" si="69"/>
        <v>2012</v>
      </c>
    </row>
    <row r="4277" spans="1:3" x14ac:dyDescent="0.2">
      <c r="A4277" s="3">
        <v>41018</v>
      </c>
      <c r="B4277">
        <v>29.528600000000001</v>
      </c>
      <c r="C4277">
        <f t="shared" si="69"/>
        <v>2012</v>
      </c>
    </row>
    <row r="4278" spans="1:3" x14ac:dyDescent="0.2">
      <c r="A4278" s="3">
        <v>41017</v>
      </c>
      <c r="B4278">
        <v>29.5214</v>
      </c>
      <c r="C4278">
        <f t="shared" si="69"/>
        <v>2012</v>
      </c>
    </row>
    <row r="4279" spans="1:3" x14ac:dyDescent="0.2">
      <c r="A4279" s="3">
        <v>41016</v>
      </c>
      <c r="B4279">
        <v>29.479700000000001</v>
      </c>
      <c r="C4279">
        <f t="shared" si="69"/>
        <v>2012</v>
      </c>
    </row>
    <row r="4280" spans="1:3" x14ac:dyDescent="0.2">
      <c r="A4280" s="3">
        <v>41015</v>
      </c>
      <c r="B4280">
        <v>29.638999999999999</v>
      </c>
      <c r="C4280">
        <f t="shared" si="69"/>
        <v>2012</v>
      </c>
    </row>
    <row r="4281" spans="1:3" x14ac:dyDescent="0.2">
      <c r="A4281" s="3">
        <v>41012</v>
      </c>
      <c r="B4281">
        <v>29.603000000000002</v>
      </c>
      <c r="C4281">
        <f t="shared" si="69"/>
        <v>2012</v>
      </c>
    </row>
    <row r="4282" spans="1:3" x14ac:dyDescent="0.2">
      <c r="A4282" s="3">
        <v>41011</v>
      </c>
      <c r="B4282">
        <v>29.422499999999999</v>
      </c>
      <c r="C4282">
        <f t="shared" si="69"/>
        <v>2012</v>
      </c>
    </row>
    <row r="4283" spans="1:3" x14ac:dyDescent="0.2">
      <c r="A4283" s="3">
        <v>41010</v>
      </c>
      <c r="B4283">
        <v>29.654900000000001</v>
      </c>
      <c r="C4283">
        <f t="shared" si="69"/>
        <v>2012</v>
      </c>
    </row>
    <row r="4284" spans="1:3" x14ac:dyDescent="0.2">
      <c r="A4284" s="3">
        <v>41009</v>
      </c>
      <c r="B4284">
        <v>29.8034</v>
      </c>
      <c r="C4284">
        <f t="shared" si="69"/>
        <v>2012</v>
      </c>
    </row>
    <row r="4285" spans="1:3" x14ac:dyDescent="0.2">
      <c r="A4285" s="3">
        <v>41008</v>
      </c>
      <c r="B4285">
        <v>29.6495</v>
      </c>
      <c r="C4285">
        <f t="shared" si="69"/>
        <v>2012</v>
      </c>
    </row>
    <row r="4286" spans="1:3" x14ac:dyDescent="0.2">
      <c r="A4286" s="3">
        <v>41005</v>
      </c>
      <c r="B4286">
        <v>29.559200000000001</v>
      </c>
      <c r="C4286">
        <f t="shared" si="69"/>
        <v>2012</v>
      </c>
    </row>
    <row r="4287" spans="1:3" x14ac:dyDescent="0.2">
      <c r="A4287" s="3">
        <v>41004</v>
      </c>
      <c r="B4287">
        <v>29.456299999999999</v>
      </c>
      <c r="C4287">
        <f t="shared" si="69"/>
        <v>2012</v>
      </c>
    </row>
    <row r="4288" spans="1:3" x14ac:dyDescent="0.2">
      <c r="A4288" s="3">
        <v>41003</v>
      </c>
      <c r="B4288">
        <v>29.472000000000001</v>
      </c>
      <c r="C4288">
        <f t="shared" si="69"/>
        <v>2012</v>
      </c>
    </row>
    <row r="4289" spans="1:3" x14ac:dyDescent="0.2">
      <c r="A4289" s="3">
        <v>41002</v>
      </c>
      <c r="B4289">
        <v>29.200399999999998</v>
      </c>
      <c r="C4289">
        <f t="shared" si="69"/>
        <v>2012</v>
      </c>
    </row>
    <row r="4290" spans="1:3" x14ac:dyDescent="0.2">
      <c r="A4290" s="3">
        <v>41001</v>
      </c>
      <c r="B4290">
        <v>29.284600000000001</v>
      </c>
      <c r="C4290">
        <f t="shared" si="69"/>
        <v>2012</v>
      </c>
    </row>
    <row r="4291" spans="1:3" x14ac:dyDescent="0.2">
      <c r="A4291" s="3">
        <v>40998</v>
      </c>
      <c r="B4291">
        <v>29.347000000000001</v>
      </c>
      <c r="C4291">
        <f t="shared" si="69"/>
        <v>2012</v>
      </c>
    </row>
    <row r="4292" spans="1:3" x14ac:dyDescent="0.2">
      <c r="A4292" s="3">
        <v>40997</v>
      </c>
      <c r="B4292">
        <v>29.499600000000001</v>
      </c>
      <c r="C4292">
        <f t="shared" ref="C4292:C4355" si="70">YEAR(A4292)</f>
        <v>2012</v>
      </c>
    </row>
    <row r="4293" spans="1:3" x14ac:dyDescent="0.2">
      <c r="A4293" s="3">
        <v>40996</v>
      </c>
      <c r="B4293">
        <v>29.410599999999999</v>
      </c>
      <c r="C4293">
        <f t="shared" si="70"/>
        <v>2012</v>
      </c>
    </row>
    <row r="4294" spans="1:3" x14ac:dyDescent="0.2">
      <c r="A4294" s="3">
        <v>40995</v>
      </c>
      <c r="B4294">
        <v>29.039200000000001</v>
      </c>
      <c r="C4294">
        <f t="shared" si="70"/>
        <v>2012</v>
      </c>
    </row>
    <row r="4295" spans="1:3" x14ac:dyDescent="0.2">
      <c r="A4295" s="3">
        <v>40994</v>
      </c>
      <c r="B4295">
        <v>28.9802</v>
      </c>
      <c r="C4295">
        <f t="shared" si="70"/>
        <v>2012</v>
      </c>
    </row>
    <row r="4296" spans="1:3" x14ac:dyDescent="0.2">
      <c r="A4296" s="3">
        <v>40991</v>
      </c>
      <c r="B4296">
        <v>29.273499999999999</v>
      </c>
      <c r="C4296">
        <f t="shared" si="70"/>
        <v>2012</v>
      </c>
    </row>
    <row r="4297" spans="1:3" x14ac:dyDescent="0.2">
      <c r="A4297" s="3">
        <v>40990</v>
      </c>
      <c r="B4297">
        <v>29.440300000000001</v>
      </c>
      <c r="C4297">
        <f t="shared" si="70"/>
        <v>2012</v>
      </c>
    </row>
    <row r="4298" spans="1:3" x14ac:dyDescent="0.2">
      <c r="A4298" s="3">
        <v>40989</v>
      </c>
      <c r="B4298">
        <v>29.265699999999999</v>
      </c>
      <c r="C4298">
        <f t="shared" si="70"/>
        <v>2012</v>
      </c>
    </row>
    <row r="4299" spans="1:3" x14ac:dyDescent="0.2">
      <c r="A4299" s="3">
        <v>40988</v>
      </c>
      <c r="B4299">
        <v>29.2484</v>
      </c>
      <c r="C4299">
        <f t="shared" si="70"/>
        <v>2012</v>
      </c>
    </row>
    <row r="4300" spans="1:3" x14ac:dyDescent="0.2">
      <c r="A4300" s="3">
        <v>40987</v>
      </c>
      <c r="B4300">
        <v>29.160900000000002</v>
      </c>
      <c r="C4300">
        <f t="shared" si="70"/>
        <v>2012</v>
      </c>
    </row>
    <row r="4301" spans="1:3" x14ac:dyDescent="0.2">
      <c r="A4301" s="3">
        <v>40984</v>
      </c>
      <c r="B4301">
        <v>29.249600000000001</v>
      </c>
      <c r="C4301">
        <f t="shared" si="70"/>
        <v>2012</v>
      </c>
    </row>
    <row r="4302" spans="1:3" x14ac:dyDescent="0.2">
      <c r="A4302" s="3">
        <v>40983</v>
      </c>
      <c r="B4302">
        <v>29.362300000000001</v>
      </c>
      <c r="C4302">
        <f t="shared" si="70"/>
        <v>2012</v>
      </c>
    </row>
    <row r="4303" spans="1:3" x14ac:dyDescent="0.2">
      <c r="A4303" s="3">
        <v>40982</v>
      </c>
      <c r="B4303">
        <v>29.521699999999999</v>
      </c>
      <c r="C4303">
        <f t="shared" si="70"/>
        <v>2012</v>
      </c>
    </row>
    <row r="4304" spans="1:3" x14ac:dyDescent="0.2">
      <c r="A4304" s="3">
        <v>40981</v>
      </c>
      <c r="B4304">
        <v>29.4191</v>
      </c>
      <c r="C4304">
        <f t="shared" si="70"/>
        <v>2012</v>
      </c>
    </row>
    <row r="4305" spans="1:3" x14ac:dyDescent="0.2">
      <c r="A4305" s="3">
        <v>40980</v>
      </c>
      <c r="B4305">
        <v>29.604199999999999</v>
      </c>
      <c r="C4305">
        <f t="shared" si="70"/>
        <v>2012</v>
      </c>
    </row>
    <row r="4306" spans="1:3" x14ac:dyDescent="0.2">
      <c r="A4306" s="3">
        <v>40977</v>
      </c>
      <c r="B4306">
        <v>29.4223</v>
      </c>
      <c r="C4306">
        <f t="shared" si="70"/>
        <v>2012</v>
      </c>
    </row>
    <row r="4307" spans="1:3" x14ac:dyDescent="0.2">
      <c r="A4307" s="3">
        <v>40976</v>
      </c>
      <c r="B4307">
        <v>29.375699999999998</v>
      </c>
      <c r="C4307">
        <f t="shared" si="70"/>
        <v>2012</v>
      </c>
    </row>
    <row r="4308" spans="1:3" x14ac:dyDescent="0.2">
      <c r="A4308" s="3">
        <v>40975</v>
      </c>
      <c r="B4308">
        <v>29.627099999999999</v>
      </c>
      <c r="C4308">
        <f t="shared" si="70"/>
        <v>2012</v>
      </c>
    </row>
    <row r="4309" spans="1:3" x14ac:dyDescent="0.2">
      <c r="A4309" s="3">
        <v>40974</v>
      </c>
      <c r="B4309">
        <v>29.628</v>
      </c>
      <c r="C4309">
        <f t="shared" si="70"/>
        <v>2012</v>
      </c>
    </row>
    <row r="4310" spans="1:3" x14ac:dyDescent="0.2">
      <c r="A4310" s="3">
        <v>40973</v>
      </c>
      <c r="B4310">
        <v>29.342099999999999</v>
      </c>
      <c r="C4310">
        <f t="shared" si="70"/>
        <v>2012</v>
      </c>
    </row>
    <row r="4311" spans="1:3" x14ac:dyDescent="0.2">
      <c r="A4311" s="3">
        <v>40970</v>
      </c>
      <c r="B4311">
        <v>29.309899999999999</v>
      </c>
      <c r="C4311">
        <f t="shared" si="70"/>
        <v>2012</v>
      </c>
    </row>
    <row r="4312" spans="1:3" x14ac:dyDescent="0.2">
      <c r="A4312" s="3">
        <v>40969</v>
      </c>
      <c r="B4312">
        <v>29.198399999999999</v>
      </c>
      <c r="C4312">
        <f t="shared" si="70"/>
        <v>2012</v>
      </c>
    </row>
    <row r="4313" spans="1:3" x14ac:dyDescent="0.2">
      <c r="A4313" s="3">
        <v>40968</v>
      </c>
      <c r="B4313">
        <v>29.1738</v>
      </c>
      <c r="C4313">
        <f t="shared" si="70"/>
        <v>2012</v>
      </c>
    </row>
    <row r="4314" spans="1:3" x14ac:dyDescent="0.2">
      <c r="A4314" s="3">
        <v>40967</v>
      </c>
      <c r="B4314">
        <v>28.966999999999999</v>
      </c>
      <c r="C4314">
        <f t="shared" si="70"/>
        <v>2012</v>
      </c>
    </row>
    <row r="4315" spans="1:3" x14ac:dyDescent="0.2">
      <c r="A4315" s="3">
        <v>40966</v>
      </c>
      <c r="B4315">
        <v>29</v>
      </c>
      <c r="C4315">
        <f t="shared" si="70"/>
        <v>2012</v>
      </c>
    </row>
    <row r="4316" spans="1:3" x14ac:dyDescent="0.2">
      <c r="A4316" s="3">
        <v>40963</v>
      </c>
      <c r="B4316">
        <v>29.169599999999999</v>
      </c>
      <c r="C4316">
        <f t="shared" si="70"/>
        <v>2012</v>
      </c>
    </row>
    <row r="4317" spans="1:3" x14ac:dyDescent="0.2">
      <c r="A4317" s="3">
        <v>40962</v>
      </c>
      <c r="B4317">
        <v>29.5989</v>
      </c>
      <c r="C4317">
        <f t="shared" si="70"/>
        <v>2012</v>
      </c>
    </row>
    <row r="4318" spans="1:3" x14ac:dyDescent="0.2">
      <c r="A4318" s="3">
        <v>40961</v>
      </c>
      <c r="B4318">
        <v>29.685300000000002</v>
      </c>
      <c r="C4318">
        <f t="shared" si="70"/>
        <v>2012</v>
      </c>
    </row>
    <row r="4319" spans="1:3" x14ac:dyDescent="0.2">
      <c r="A4319" s="3">
        <v>40960</v>
      </c>
      <c r="B4319">
        <v>29.7332</v>
      </c>
      <c r="C4319">
        <f t="shared" si="70"/>
        <v>2012</v>
      </c>
    </row>
    <row r="4320" spans="1:3" x14ac:dyDescent="0.2">
      <c r="A4320" s="3">
        <v>40959</v>
      </c>
      <c r="B4320">
        <v>29.7727</v>
      </c>
      <c r="C4320">
        <f t="shared" si="70"/>
        <v>2012</v>
      </c>
    </row>
    <row r="4321" spans="1:3" x14ac:dyDescent="0.2">
      <c r="A4321" s="3">
        <v>40956</v>
      </c>
      <c r="B4321">
        <v>29.9376</v>
      </c>
      <c r="C4321">
        <f t="shared" si="70"/>
        <v>2012</v>
      </c>
    </row>
    <row r="4322" spans="1:3" x14ac:dyDescent="0.2">
      <c r="A4322" s="3">
        <v>40955</v>
      </c>
      <c r="B4322">
        <v>30.109500000000001</v>
      </c>
      <c r="C4322">
        <f t="shared" si="70"/>
        <v>2012</v>
      </c>
    </row>
    <row r="4323" spans="1:3" x14ac:dyDescent="0.2">
      <c r="A4323" s="3">
        <v>40954</v>
      </c>
      <c r="B4323">
        <v>30.027000000000001</v>
      </c>
      <c r="C4323">
        <f t="shared" si="70"/>
        <v>2012</v>
      </c>
    </row>
    <row r="4324" spans="1:3" x14ac:dyDescent="0.2">
      <c r="A4324" s="3">
        <v>40953</v>
      </c>
      <c r="B4324">
        <v>30.067499999999999</v>
      </c>
      <c r="C4324">
        <f t="shared" si="70"/>
        <v>2012</v>
      </c>
    </row>
    <row r="4325" spans="1:3" x14ac:dyDescent="0.2">
      <c r="A4325" s="3">
        <v>40952</v>
      </c>
      <c r="B4325">
        <v>29.875</v>
      </c>
      <c r="C4325">
        <f t="shared" si="70"/>
        <v>2012</v>
      </c>
    </row>
    <row r="4326" spans="1:3" x14ac:dyDescent="0.2">
      <c r="A4326" s="3">
        <v>40949</v>
      </c>
      <c r="B4326">
        <v>30.043099999999999</v>
      </c>
      <c r="C4326">
        <f t="shared" si="70"/>
        <v>2012</v>
      </c>
    </row>
    <row r="4327" spans="1:3" x14ac:dyDescent="0.2">
      <c r="A4327" s="3">
        <v>40948</v>
      </c>
      <c r="B4327">
        <v>29.6997</v>
      </c>
      <c r="C4327">
        <f t="shared" si="70"/>
        <v>2012</v>
      </c>
    </row>
    <row r="4328" spans="1:3" x14ac:dyDescent="0.2">
      <c r="A4328" s="3">
        <v>40947</v>
      </c>
      <c r="B4328">
        <v>29.747599999999998</v>
      </c>
      <c r="C4328">
        <f t="shared" si="70"/>
        <v>2012</v>
      </c>
    </row>
    <row r="4329" spans="1:3" x14ac:dyDescent="0.2">
      <c r="A4329" s="3">
        <v>40946</v>
      </c>
      <c r="B4329">
        <v>29.824999999999999</v>
      </c>
      <c r="C4329">
        <f t="shared" si="70"/>
        <v>2012</v>
      </c>
    </row>
    <row r="4330" spans="1:3" x14ac:dyDescent="0.2">
      <c r="A4330" s="3">
        <v>40945</v>
      </c>
      <c r="B4330">
        <v>30.1175</v>
      </c>
      <c r="C4330">
        <f t="shared" si="70"/>
        <v>2012</v>
      </c>
    </row>
    <row r="4331" spans="1:3" x14ac:dyDescent="0.2">
      <c r="A4331" s="3">
        <v>40942</v>
      </c>
      <c r="B4331">
        <v>30.192</v>
      </c>
      <c r="C4331">
        <f t="shared" si="70"/>
        <v>2012</v>
      </c>
    </row>
    <row r="4332" spans="1:3" x14ac:dyDescent="0.2">
      <c r="A4332" s="3">
        <v>40941</v>
      </c>
      <c r="B4332">
        <v>30.182700000000001</v>
      </c>
      <c r="C4332">
        <f t="shared" si="70"/>
        <v>2012</v>
      </c>
    </row>
    <row r="4333" spans="1:3" x14ac:dyDescent="0.2">
      <c r="A4333" s="3">
        <v>40940</v>
      </c>
      <c r="B4333">
        <v>30.128399999999999</v>
      </c>
      <c r="C4333">
        <f t="shared" si="70"/>
        <v>2012</v>
      </c>
    </row>
    <row r="4334" spans="1:3" x14ac:dyDescent="0.2">
      <c r="A4334" s="3">
        <v>40939</v>
      </c>
      <c r="B4334">
        <v>30.343</v>
      </c>
      <c r="C4334">
        <f t="shared" si="70"/>
        <v>2012</v>
      </c>
    </row>
    <row r="4335" spans="1:3" x14ac:dyDescent="0.2">
      <c r="A4335" s="3">
        <v>40938</v>
      </c>
      <c r="B4335">
        <v>30.414000000000001</v>
      </c>
      <c r="C4335">
        <f t="shared" si="70"/>
        <v>2012</v>
      </c>
    </row>
    <row r="4336" spans="1:3" x14ac:dyDescent="0.2">
      <c r="A4336" s="3">
        <v>40935</v>
      </c>
      <c r="B4336">
        <v>30.119700000000002</v>
      </c>
      <c r="C4336">
        <f t="shared" si="70"/>
        <v>2012</v>
      </c>
    </row>
    <row r="4337" spans="1:3" x14ac:dyDescent="0.2">
      <c r="A4337" s="3">
        <v>40934</v>
      </c>
      <c r="B4337">
        <v>30.231300000000001</v>
      </c>
      <c r="C4337">
        <f t="shared" si="70"/>
        <v>2012</v>
      </c>
    </row>
    <row r="4338" spans="1:3" x14ac:dyDescent="0.2">
      <c r="A4338" s="3">
        <v>40933</v>
      </c>
      <c r="B4338">
        <v>30.7148</v>
      </c>
      <c r="C4338">
        <f t="shared" si="70"/>
        <v>2012</v>
      </c>
    </row>
    <row r="4339" spans="1:3" x14ac:dyDescent="0.2">
      <c r="A4339" s="3">
        <v>40932</v>
      </c>
      <c r="B4339">
        <v>30.79</v>
      </c>
      <c r="C4339">
        <f t="shared" si="70"/>
        <v>2012</v>
      </c>
    </row>
    <row r="4340" spans="1:3" x14ac:dyDescent="0.2">
      <c r="A4340" s="3">
        <v>40931</v>
      </c>
      <c r="B4340">
        <v>30.864999999999998</v>
      </c>
      <c r="C4340">
        <f t="shared" si="70"/>
        <v>2012</v>
      </c>
    </row>
    <row r="4341" spans="1:3" x14ac:dyDescent="0.2">
      <c r="A4341" s="3">
        <v>40928</v>
      </c>
      <c r="B4341">
        <v>31.322700000000001</v>
      </c>
      <c r="C4341">
        <f t="shared" si="70"/>
        <v>2012</v>
      </c>
    </row>
    <row r="4342" spans="1:3" x14ac:dyDescent="0.2">
      <c r="A4342" s="3">
        <v>40927</v>
      </c>
      <c r="B4342">
        <v>31.308399999999999</v>
      </c>
      <c r="C4342">
        <f t="shared" si="70"/>
        <v>2012</v>
      </c>
    </row>
    <row r="4343" spans="1:3" x14ac:dyDescent="0.2">
      <c r="A4343" s="3">
        <v>40926</v>
      </c>
      <c r="B4343">
        <v>31.4757</v>
      </c>
      <c r="C4343">
        <f t="shared" si="70"/>
        <v>2012</v>
      </c>
    </row>
    <row r="4344" spans="1:3" x14ac:dyDescent="0.2">
      <c r="A4344" s="3">
        <v>40925</v>
      </c>
      <c r="B4344">
        <v>31.6187</v>
      </c>
      <c r="C4344">
        <f t="shared" si="70"/>
        <v>2012</v>
      </c>
    </row>
    <row r="4345" spans="1:3" x14ac:dyDescent="0.2">
      <c r="A4345" s="3">
        <v>40924</v>
      </c>
      <c r="B4345">
        <v>31.693999999999999</v>
      </c>
      <c r="C4345">
        <f t="shared" si="70"/>
        <v>2012</v>
      </c>
    </row>
    <row r="4346" spans="1:3" x14ac:dyDescent="0.2">
      <c r="A4346" s="3">
        <v>40921</v>
      </c>
      <c r="B4346">
        <v>31.852499999999999</v>
      </c>
      <c r="C4346">
        <f t="shared" si="70"/>
        <v>2012</v>
      </c>
    </row>
    <row r="4347" spans="1:3" x14ac:dyDescent="0.2">
      <c r="A4347" s="3">
        <v>40920</v>
      </c>
      <c r="B4347">
        <v>31.577999999999999</v>
      </c>
      <c r="C4347">
        <f t="shared" si="70"/>
        <v>2012</v>
      </c>
    </row>
    <row r="4348" spans="1:3" x14ac:dyDescent="0.2">
      <c r="A4348" s="3">
        <v>40919</v>
      </c>
      <c r="B4348">
        <v>31.746300000000002</v>
      </c>
      <c r="C4348">
        <f t="shared" si="70"/>
        <v>2012</v>
      </c>
    </row>
    <row r="4349" spans="1:3" x14ac:dyDescent="0.2">
      <c r="A4349" s="3">
        <v>40918</v>
      </c>
      <c r="B4349">
        <v>31.568200000000001</v>
      </c>
      <c r="C4349">
        <f t="shared" si="70"/>
        <v>2012</v>
      </c>
    </row>
    <row r="4350" spans="1:3" x14ac:dyDescent="0.2">
      <c r="A4350" s="3">
        <v>40917</v>
      </c>
      <c r="B4350">
        <v>31.977499999999999</v>
      </c>
      <c r="C4350">
        <f t="shared" si="70"/>
        <v>2012</v>
      </c>
    </row>
    <row r="4351" spans="1:3" x14ac:dyDescent="0.2">
      <c r="A4351" s="3">
        <v>40914</v>
      </c>
      <c r="B4351">
        <v>31.98</v>
      </c>
      <c r="C4351">
        <f t="shared" si="70"/>
        <v>2012</v>
      </c>
    </row>
    <row r="4352" spans="1:3" x14ac:dyDescent="0.2">
      <c r="A4352" s="3">
        <v>40913</v>
      </c>
      <c r="B4352">
        <v>32.047400000000003</v>
      </c>
      <c r="C4352">
        <f t="shared" si="70"/>
        <v>2012</v>
      </c>
    </row>
    <row r="4353" spans="1:3" x14ac:dyDescent="0.2">
      <c r="A4353" s="3">
        <v>40912</v>
      </c>
      <c r="B4353">
        <v>31.840199999999999</v>
      </c>
      <c r="C4353">
        <f t="shared" si="70"/>
        <v>2012</v>
      </c>
    </row>
    <row r="4354" spans="1:3" x14ac:dyDescent="0.2">
      <c r="A4354" s="3">
        <v>40911</v>
      </c>
      <c r="B4354">
        <v>31.697800000000001</v>
      </c>
      <c r="C4354">
        <f t="shared" si="70"/>
        <v>2012</v>
      </c>
    </row>
    <row r="4355" spans="1:3" x14ac:dyDescent="0.2">
      <c r="A4355" s="3">
        <v>40910</v>
      </c>
      <c r="B4355">
        <v>32.148800000000001</v>
      </c>
      <c r="C4355">
        <f t="shared" si="70"/>
        <v>2012</v>
      </c>
    </row>
    <row r="4356" spans="1:3" x14ac:dyDescent="0.2">
      <c r="A4356" s="3">
        <v>40907</v>
      </c>
      <c r="B4356">
        <v>32.137</v>
      </c>
      <c r="C4356">
        <f t="shared" ref="C4356:C4419" si="71">YEAR(A4356)</f>
        <v>2011</v>
      </c>
    </row>
    <row r="4357" spans="1:3" x14ac:dyDescent="0.2">
      <c r="A4357" s="3">
        <v>40906</v>
      </c>
      <c r="B4357">
        <v>32.122799999999998</v>
      </c>
      <c r="C4357">
        <f t="shared" si="71"/>
        <v>2011</v>
      </c>
    </row>
    <row r="4358" spans="1:3" x14ac:dyDescent="0.2">
      <c r="A4358" s="3">
        <v>40905</v>
      </c>
      <c r="B4358">
        <v>31.794499999999999</v>
      </c>
      <c r="C4358">
        <f t="shared" si="71"/>
        <v>2011</v>
      </c>
    </row>
    <row r="4359" spans="1:3" x14ac:dyDescent="0.2">
      <c r="A4359" s="3">
        <v>40904</v>
      </c>
      <c r="B4359">
        <v>31.443100000000001</v>
      </c>
      <c r="C4359">
        <f t="shared" si="71"/>
        <v>2011</v>
      </c>
    </row>
    <row r="4360" spans="1:3" x14ac:dyDescent="0.2">
      <c r="A4360" s="3">
        <v>40903</v>
      </c>
      <c r="B4360">
        <v>31.1358</v>
      </c>
      <c r="C4360">
        <f t="shared" si="71"/>
        <v>2011</v>
      </c>
    </row>
    <row r="4361" spans="1:3" x14ac:dyDescent="0.2">
      <c r="A4361" s="3">
        <v>40900</v>
      </c>
      <c r="B4361">
        <v>31.1815</v>
      </c>
      <c r="C4361">
        <f t="shared" si="71"/>
        <v>2011</v>
      </c>
    </row>
    <row r="4362" spans="1:3" x14ac:dyDescent="0.2">
      <c r="A4362" s="3">
        <v>40899</v>
      </c>
      <c r="B4362">
        <v>31.351299999999998</v>
      </c>
      <c r="C4362">
        <f t="shared" si="71"/>
        <v>2011</v>
      </c>
    </row>
    <row r="4363" spans="1:3" x14ac:dyDescent="0.2">
      <c r="A4363" s="3">
        <v>40898</v>
      </c>
      <c r="B4363">
        <v>31.747299999999999</v>
      </c>
      <c r="C4363">
        <f t="shared" si="71"/>
        <v>2011</v>
      </c>
    </row>
    <row r="4364" spans="1:3" x14ac:dyDescent="0.2">
      <c r="A4364" s="3">
        <v>40897</v>
      </c>
      <c r="B4364">
        <v>31.9907</v>
      </c>
      <c r="C4364">
        <f t="shared" si="71"/>
        <v>2011</v>
      </c>
    </row>
    <row r="4365" spans="1:3" x14ac:dyDescent="0.2">
      <c r="A4365" s="3">
        <v>40896</v>
      </c>
      <c r="B4365">
        <v>32.097900000000003</v>
      </c>
      <c r="C4365">
        <f t="shared" si="71"/>
        <v>2011</v>
      </c>
    </row>
    <row r="4366" spans="1:3" x14ac:dyDescent="0.2">
      <c r="A4366" s="3">
        <v>40893</v>
      </c>
      <c r="B4366">
        <v>31.984100000000002</v>
      </c>
      <c r="C4366">
        <f t="shared" si="71"/>
        <v>2011</v>
      </c>
    </row>
    <row r="4367" spans="1:3" x14ac:dyDescent="0.2">
      <c r="A4367" s="3">
        <v>40892</v>
      </c>
      <c r="B4367">
        <v>31.846</v>
      </c>
      <c r="C4367">
        <f t="shared" si="71"/>
        <v>2011</v>
      </c>
    </row>
    <row r="4368" spans="1:3" x14ac:dyDescent="0.2">
      <c r="A4368" s="3">
        <v>40891</v>
      </c>
      <c r="B4368">
        <v>31.881399999999999</v>
      </c>
      <c r="C4368">
        <f t="shared" si="71"/>
        <v>2011</v>
      </c>
    </row>
    <row r="4369" spans="1:3" x14ac:dyDescent="0.2">
      <c r="A4369" s="3">
        <v>40890</v>
      </c>
      <c r="B4369">
        <v>31.691600000000001</v>
      </c>
      <c r="C4369">
        <f t="shared" si="71"/>
        <v>2011</v>
      </c>
    </row>
    <row r="4370" spans="1:3" x14ac:dyDescent="0.2">
      <c r="A4370" s="3">
        <v>40889</v>
      </c>
      <c r="B4370">
        <v>31.661000000000001</v>
      </c>
      <c r="C4370">
        <f t="shared" si="71"/>
        <v>2011</v>
      </c>
    </row>
    <row r="4371" spans="1:3" x14ac:dyDescent="0.2">
      <c r="A4371" s="3">
        <v>40886</v>
      </c>
      <c r="B4371">
        <v>31.491</v>
      </c>
      <c r="C4371">
        <f t="shared" si="71"/>
        <v>2011</v>
      </c>
    </row>
    <row r="4372" spans="1:3" x14ac:dyDescent="0.2">
      <c r="A4372" s="3">
        <v>40885</v>
      </c>
      <c r="B4372">
        <v>31.472899999999999</v>
      </c>
      <c r="C4372">
        <f t="shared" si="71"/>
        <v>2011</v>
      </c>
    </row>
    <row r="4373" spans="1:3" x14ac:dyDescent="0.2">
      <c r="A4373" s="3">
        <v>40884</v>
      </c>
      <c r="B4373">
        <v>31.279699999999998</v>
      </c>
      <c r="C4373">
        <f t="shared" si="71"/>
        <v>2011</v>
      </c>
    </row>
    <row r="4374" spans="1:3" x14ac:dyDescent="0.2">
      <c r="A4374" s="3">
        <v>40883</v>
      </c>
      <c r="B4374">
        <v>31.364899999999999</v>
      </c>
      <c r="C4374">
        <f t="shared" si="71"/>
        <v>2011</v>
      </c>
    </row>
    <row r="4375" spans="1:3" x14ac:dyDescent="0.2">
      <c r="A4375" s="3">
        <v>40882</v>
      </c>
      <c r="B4375">
        <v>30.886900000000001</v>
      </c>
      <c r="C4375">
        <f t="shared" si="71"/>
        <v>2011</v>
      </c>
    </row>
    <row r="4376" spans="1:3" x14ac:dyDescent="0.2">
      <c r="A4376" s="3">
        <v>40879</v>
      </c>
      <c r="B4376">
        <v>30.947199999999999</v>
      </c>
      <c r="C4376">
        <f t="shared" si="71"/>
        <v>2011</v>
      </c>
    </row>
    <row r="4377" spans="1:3" x14ac:dyDescent="0.2">
      <c r="A4377" s="3">
        <v>40878</v>
      </c>
      <c r="B4377">
        <v>30.736999999999998</v>
      </c>
      <c r="C4377">
        <f t="shared" si="71"/>
        <v>2011</v>
      </c>
    </row>
    <row r="4378" spans="1:3" x14ac:dyDescent="0.2">
      <c r="A4378" s="3">
        <v>40877</v>
      </c>
      <c r="B4378">
        <v>30.6995</v>
      </c>
      <c r="C4378">
        <f t="shared" si="71"/>
        <v>2011</v>
      </c>
    </row>
    <row r="4379" spans="1:3" x14ac:dyDescent="0.2">
      <c r="A4379" s="3">
        <v>40876</v>
      </c>
      <c r="B4379">
        <v>31.241</v>
      </c>
      <c r="C4379">
        <f t="shared" si="71"/>
        <v>2011</v>
      </c>
    </row>
    <row r="4380" spans="1:3" x14ac:dyDescent="0.2">
      <c r="A4380" s="3">
        <v>40875</v>
      </c>
      <c r="B4380">
        <v>31.38</v>
      </c>
      <c r="C4380">
        <f t="shared" si="71"/>
        <v>2011</v>
      </c>
    </row>
    <row r="4381" spans="1:3" x14ac:dyDescent="0.2">
      <c r="A4381" s="3">
        <v>40872</v>
      </c>
      <c r="B4381">
        <v>31.5213</v>
      </c>
      <c r="C4381">
        <f t="shared" si="71"/>
        <v>2011</v>
      </c>
    </row>
    <row r="4382" spans="1:3" x14ac:dyDescent="0.2">
      <c r="A4382" s="3">
        <v>40871</v>
      </c>
      <c r="B4382">
        <v>31.4819</v>
      </c>
      <c r="C4382">
        <f t="shared" si="71"/>
        <v>2011</v>
      </c>
    </row>
    <row r="4383" spans="1:3" x14ac:dyDescent="0.2">
      <c r="A4383" s="3">
        <v>40870</v>
      </c>
      <c r="B4383">
        <v>31.5075</v>
      </c>
      <c r="C4383">
        <f t="shared" si="71"/>
        <v>2011</v>
      </c>
    </row>
    <row r="4384" spans="1:3" x14ac:dyDescent="0.2">
      <c r="A4384" s="3">
        <v>40869</v>
      </c>
      <c r="B4384">
        <v>31.0915</v>
      </c>
      <c r="C4384">
        <f t="shared" si="71"/>
        <v>2011</v>
      </c>
    </row>
    <row r="4385" spans="1:3" x14ac:dyDescent="0.2">
      <c r="A4385" s="3">
        <v>40868</v>
      </c>
      <c r="B4385">
        <v>31.1629</v>
      </c>
      <c r="C4385">
        <f t="shared" si="71"/>
        <v>2011</v>
      </c>
    </row>
    <row r="4386" spans="1:3" x14ac:dyDescent="0.2">
      <c r="A4386" s="3">
        <v>40865</v>
      </c>
      <c r="B4386">
        <v>30.857900000000001</v>
      </c>
      <c r="C4386">
        <f t="shared" si="71"/>
        <v>2011</v>
      </c>
    </row>
    <row r="4387" spans="1:3" x14ac:dyDescent="0.2">
      <c r="A4387" s="3">
        <v>40864</v>
      </c>
      <c r="B4387">
        <v>30.820399999999999</v>
      </c>
      <c r="C4387">
        <f t="shared" si="71"/>
        <v>2011</v>
      </c>
    </row>
    <row r="4388" spans="1:3" x14ac:dyDescent="0.2">
      <c r="A4388" s="3">
        <v>40863</v>
      </c>
      <c r="B4388">
        <v>30.731200000000001</v>
      </c>
      <c r="C4388">
        <f t="shared" si="71"/>
        <v>2011</v>
      </c>
    </row>
    <row r="4389" spans="1:3" x14ac:dyDescent="0.2">
      <c r="A4389" s="3">
        <v>40862</v>
      </c>
      <c r="B4389">
        <v>30.6889</v>
      </c>
      <c r="C4389">
        <f t="shared" si="71"/>
        <v>2011</v>
      </c>
    </row>
    <row r="4390" spans="1:3" x14ac:dyDescent="0.2">
      <c r="A4390" s="3">
        <v>40861</v>
      </c>
      <c r="B4390">
        <v>30.540400000000002</v>
      </c>
      <c r="C4390">
        <f t="shared" si="71"/>
        <v>2011</v>
      </c>
    </row>
    <row r="4391" spans="1:3" x14ac:dyDescent="0.2">
      <c r="A4391" s="3">
        <v>40858</v>
      </c>
      <c r="B4391">
        <v>30.286799999999999</v>
      </c>
      <c r="C4391">
        <f t="shared" si="71"/>
        <v>2011</v>
      </c>
    </row>
    <row r="4392" spans="1:3" x14ac:dyDescent="0.2">
      <c r="A4392" s="3">
        <v>40857</v>
      </c>
      <c r="B4392">
        <v>30.641999999999999</v>
      </c>
      <c r="C4392">
        <f t="shared" si="71"/>
        <v>2011</v>
      </c>
    </row>
    <row r="4393" spans="1:3" x14ac:dyDescent="0.2">
      <c r="A4393" s="3">
        <v>40856</v>
      </c>
      <c r="B4393">
        <v>30.577400000000001</v>
      </c>
      <c r="C4393">
        <f t="shared" si="71"/>
        <v>2011</v>
      </c>
    </row>
    <row r="4394" spans="1:3" x14ac:dyDescent="0.2">
      <c r="A4394" s="3">
        <v>40855</v>
      </c>
      <c r="B4394">
        <v>30.318300000000001</v>
      </c>
      <c r="C4394">
        <f t="shared" si="71"/>
        <v>2011</v>
      </c>
    </row>
    <row r="4395" spans="1:3" x14ac:dyDescent="0.2">
      <c r="A4395" s="3">
        <v>40854</v>
      </c>
      <c r="B4395">
        <v>30.527799999999999</v>
      </c>
      <c r="C4395">
        <f t="shared" si="71"/>
        <v>2011</v>
      </c>
    </row>
    <row r="4396" spans="1:3" x14ac:dyDescent="0.2">
      <c r="A4396" s="3">
        <v>40851</v>
      </c>
      <c r="B4396">
        <v>30.6876</v>
      </c>
      <c r="C4396">
        <f t="shared" si="71"/>
        <v>2011</v>
      </c>
    </row>
    <row r="4397" spans="1:3" x14ac:dyDescent="0.2">
      <c r="A4397" s="3">
        <v>40850</v>
      </c>
      <c r="B4397">
        <v>30.473800000000001</v>
      </c>
      <c r="C4397">
        <f t="shared" si="71"/>
        <v>2011</v>
      </c>
    </row>
    <row r="4398" spans="1:3" x14ac:dyDescent="0.2">
      <c r="A4398" s="3">
        <v>40849</v>
      </c>
      <c r="B4398">
        <v>30.6877</v>
      </c>
      <c r="C4398">
        <f t="shared" si="71"/>
        <v>2011</v>
      </c>
    </row>
    <row r="4399" spans="1:3" x14ac:dyDescent="0.2">
      <c r="A4399" s="3">
        <v>40848</v>
      </c>
      <c r="B4399">
        <v>30.8002</v>
      </c>
      <c r="C4399">
        <f t="shared" si="71"/>
        <v>2011</v>
      </c>
    </row>
    <row r="4400" spans="1:3" x14ac:dyDescent="0.2">
      <c r="A4400" s="3">
        <v>40847</v>
      </c>
      <c r="B4400">
        <v>30.241700000000002</v>
      </c>
      <c r="C4400">
        <f t="shared" si="71"/>
        <v>2011</v>
      </c>
    </row>
    <row r="4401" spans="1:3" x14ac:dyDescent="0.2">
      <c r="A4401" s="3">
        <v>40844</v>
      </c>
      <c r="B4401">
        <v>29.808199999999999</v>
      </c>
      <c r="C4401">
        <f t="shared" si="71"/>
        <v>2011</v>
      </c>
    </row>
    <row r="4402" spans="1:3" x14ac:dyDescent="0.2">
      <c r="A4402" s="3">
        <v>40843</v>
      </c>
      <c r="B4402">
        <v>29.914200000000001</v>
      </c>
      <c r="C4402">
        <f t="shared" si="71"/>
        <v>2011</v>
      </c>
    </row>
    <row r="4403" spans="1:3" x14ac:dyDescent="0.2">
      <c r="A4403" s="3">
        <v>40842</v>
      </c>
      <c r="B4403">
        <v>30.696200000000001</v>
      </c>
      <c r="C4403">
        <f t="shared" si="71"/>
        <v>2011</v>
      </c>
    </row>
    <row r="4404" spans="1:3" x14ac:dyDescent="0.2">
      <c r="A4404" s="3">
        <v>40841</v>
      </c>
      <c r="B4404">
        <v>30.5077</v>
      </c>
      <c r="C4404">
        <f t="shared" si="71"/>
        <v>2011</v>
      </c>
    </row>
    <row r="4405" spans="1:3" x14ac:dyDescent="0.2">
      <c r="A4405" s="3">
        <v>40840</v>
      </c>
      <c r="B4405">
        <v>30.590499999999999</v>
      </c>
      <c r="C4405">
        <f t="shared" si="71"/>
        <v>2011</v>
      </c>
    </row>
    <row r="4406" spans="1:3" x14ac:dyDescent="0.2">
      <c r="A4406" s="3">
        <v>40837</v>
      </c>
      <c r="B4406">
        <v>31.098500000000001</v>
      </c>
      <c r="C4406">
        <f t="shared" si="71"/>
        <v>2011</v>
      </c>
    </row>
    <row r="4407" spans="1:3" x14ac:dyDescent="0.2">
      <c r="A4407" s="3">
        <v>40836</v>
      </c>
      <c r="B4407">
        <v>31.51</v>
      </c>
      <c r="C4407">
        <f t="shared" si="71"/>
        <v>2011</v>
      </c>
    </row>
    <row r="4408" spans="1:3" x14ac:dyDescent="0.2">
      <c r="A4408" s="3">
        <v>40835</v>
      </c>
      <c r="B4408">
        <v>31.017499999999998</v>
      </c>
      <c r="C4408">
        <f t="shared" si="71"/>
        <v>2011</v>
      </c>
    </row>
    <row r="4409" spans="1:3" x14ac:dyDescent="0.2">
      <c r="A4409" s="3">
        <v>40834</v>
      </c>
      <c r="B4409">
        <v>31.1585</v>
      </c>
      <c r="C4409">
        <f t="shared" si="71"/>
        <v>2011</v>
      </c>
    </row>
    <row r="4410" spans="1:3" x14ac:dyDescent="0.2">
      <c r="A4410" s="3">
        <v>40833</v>
      </c>
      <c r="B4410">
        <v>30.913499999999999</v>
      </c>
      <c r="C4410">
        <f t="shared" si="71"/>
        <v>2011</v>
      </c>
    </row>
    <row r="4411" spans="1:3" x14ac:dyDescent="0.2">
      <c r="A4411" s="3">
        <v>40830</v>
      </c>
      <c r="B4411">
        <v>30.877500000000001</v>
      </c>
      <c r="C4411">
        <f t="shared" si="71"/>
        <v>2011</v>
      </c>
    </row>
    <row r="4412" spans="1:3" x14ac:dyDescent="0.2">
      <c r="A4412" s="3">
        <v>40829</v>
      </c>
      <c r="B4412">
        <v>31.210999999999999</v>
      </c>
      <c r="C4412">
        <f t="shared" si="71"/>
        <v>2011</v>
      </c>
    </row>
    <row r="4413" spans="1:3" x14ac:dyDescent="0.2">
      <c r="A4413" s="3">
        <v>40828</v>
      </c>
      <c r="B4413">
        <v>31.104800000000001</v>
      </c>
      <c r="C4413">
        <f t="shared" si="71"/>
        <v>2011</v>
      </c>
    </row>
    <row r="4414" spans="1:3" x14ac:dyDescent="0.2">
      <c r="A4414" s="3">
        <v>40827</v>
      </c>
      <c r="B4414">
        <v>31.545000000000002</v>
      </c>
      <c r="C4414">
        <f t="shared" si="71"/>
        <v>2011</v>
      </c>
    </row>
    <row r="4415" spans="1:3" x14ac:dyDescent="0.2">
      <c r="A4415" s="3">
        <v>40826</v>
      </c>
      <c r="B4415">
        <v>31.5611</v>
      </c>
      <c r="C4415">
        <f t="shared" si="71"/>
        <v>2011</v>
      </c>
    </row>
    <row r="4416" spans="1:3" x14ac:dyDescent="0.2">
      <c r="A4416" s="3">
        <v>40823</v>
      </c>
      <c r="B4416">
        <v>32.344299999999997</v>
      </c>
      <c r="C4416">
        <f t="shared" si="71"/>
        <v>2011</v>
      </c>
    </row>
    <row r="4417" spans="1:3" x14ac:dyDescent="0.2">
      <c r="A4417" s="3">
        <v>40822</v>
      </c>
      <c r="B4417">
        <v>32.377699999999997</v>
      </c>
      <c r="C4417">
        <f t="shared" si="71"/>
        <v>2011</v>
      </c>
    </row>
    <row r="4418" spans="1:3" x14ac:dyDescent="0.2">
      <c r="A4418" s="3">
        <v>40821</v>
      </c>
      <c r="B4418">
        <v>32.555100000000003</v>
      </c>
      <c r="C4418">
        <f t="shared" si="71"/>
        <v>2011</v>
      </c>
    </row>
    <row r="4419" spans="1:3" x14ac:dyDescent="0.2">
      <c r="A4419" s="3">
        <v>40820</v>
      </c>
      <c r="B4419">
        <v>32.7211</v>
      </c>
      <c r="C4419">
        <f t="shared" si="71"/>
        <v>2011</v>
      </c>
    </row>
    <row r="4420" spans="1:3" x14ac:dyDescent="0.2">
      <c r="A4420" s="3">
        <v>40819</v>
      </c>
      <c r="B4420">
        <v>32.566200000000002</v>
      </c>
      <c r="C4420">
        <f t="shared" ref="C4420:C4483" si="72">YEAR(A4420)</f>
        <v>2011</v>
      </c>
    </row>
    <row r="4421" spans="1:3" x14ac:dyDescent="0.2">
      <c r="A4421" s="3">
        <v>40816</v>
      </c>
      <c r="B4421">
        <v>32.183999999999997</v>
      </c>
      <c r="C4421">
        <f t="shared" si="72"/>
        <v>2011</v>
      </c>
    </row>
    <row r="4422" spans="1:3" x14ac:dyDescent="0.2">
      <c r="A4422" s="3">
        <v>40815</v>
      </c>
      <c r="B4422">
        <v>31.955300000000001</v>
      </c>
      <c r="C4422">
        <f t="shared" si="72"/>
        <v>2011</v>
      </c>
    </row>
    <row r="4423" spans="1:3" x14ac:dyDescent="0.2">
      <c r="A4423" s="3">
        <v>40814</v>
      </c>
      <c r="B4423">
        <v>31.715</v>
      </c>
      <c r="C4423">
        <f t="shared" si="72"/>
        <v>2011</v>
      </c>
    </row>
    <row r="4424" spans="1:3" x14ac:dyDescent="0.2">
      <c r="A4424" s="3">
        <v>40813</v>
      </c>
      <c r="B4424">
        <v>31.699200000000001</v>
      </c>
      <c r="C4424">
        <f t="shared" si="72"/>
        <v>2011</v>
      </c>
    </row>
    <row r="4425" spans="1:3" x14ac:dyDescent="0.2">
      <c r="A4425" s="3">
        <v>40812</v>
      </c>
      <c r="B4425">
        <v>32.404000000000003</v>
      </c>
      <c r="C4425">
        <f t="shared" si="72"/>
        <v>2011</v>
      </c>
    </row>
    <row r="4426" spans="1:3" x14ac:dyDescent="0.2">
      <c r="A4426" s="3">
        <v>40809</v>
      </c>
      <c r="B4426">
        <v>32.077500000000001</v>
      </c>
      <c r="C4426">
        <f t="shared" si="72"/>
        <v>2011</v>
      </c>
    </row>
    <row r="4427" spans="1:3" x14ac:dyDescent="0.2">
      <c r="A4427" s="3">
        <v>40808</v>
      </c>
      <c r="B4427">
        <v>32.098399999999998</v>
      </c>
      <c r="C4427">
        <f t="shared" si="72"/>
        <v>2011</v>
      </c>
    </row>
    <row r="4428" spans="1:3" x14ac:dyDescent="0.2">
      <c r="A4428" s="3">
        <v>40807</v>
      </c>
      <c r="B4428">
        <v>31.4041</v>
      </c>
      <c r="C4428">
        <f t="shared" si="72"/>
        <v>2011</v>
      </c>
    </row>
    <row r="4429" spans="1:3" x14ac:dyDescent="0.2">
      <c r="A4429" s="3">
        <v>40806</v>
      </c>
      <c r="B4429">
        <v>31.375</v>
      </c>
      <c r="C4429">
        <f t="shared" si="72"/>
        <v>2011</v>
      </c>
    </row>
    <row r="4430" spans="1:3" x14ac:dyDescent="0.2">
      <c r="A4430" s="3">
        <v>40805</v>
      </c>
      <c r="B4430">
        <v>31.284099999999999</v>
      </c>
      <c r="C4430">
        <f t="shared" si="72"/>
        <v>2011</v>
      </c>
    </row>
    <row r="4431" spans="1:3" x14ac:dyDescent="0.2">
      <c r="A4431" s="3">
        <v>40802</v>
      </c>
      <c r="B4431">
        <v>30.5518</v>
      </c>
      <c r="C4431">
        <f t="shared" si="72"/>
        <v>2011</v>
      </c>
    </row>
    <row r="4432" spans="1:3" x14ac:dyDescent="0.2">
      <c r="A4432" s="3">
        <v>40801</v>
      </c>
      <c r="B4432">
        <v>30.41</v>
      </c>
      <c r="C4432">
        <f t="shared" si="72"/>
        <v>2011</v>
      </c>
    </row>
    <row r="4433" spans="1:3" x14ac:dyDescent="0.2">
      <c r="A4433" s="3">
        <v>40800</v>
      </c>
      <c r="B4433">
        <v>30.469899999999999</v>
      </c>
      <c r="C4433">
        <f t="shared" si="72"/>
        <v>2011</v>
      </c>
    </row>
    <row r="4434" spans="1:3" x14ac:dyDescent="0.2">
      <c r="A4434" s="3">
        <v>40799</v>
      </c>
      <c r="B4434">
        <v>30.232299999999999</v>
      </c>
      <c r="C4434">
        <f t="shared" si="72"/>
        <v>2011</v>
      </c>
    </row>
    <row r="4435" spans="1:3" x14ac:dyDescent="0.2">
      <c r="A4435" s="3">
        <v>40798</v>
      </c>
      <c r="B4435">
        <v>30.338100000000001</v>
      </c>
      <c r="C4435">
        <f t="shared" si="72"/>
        <v>2011</v>
      </c>
    </row>
    <row r="4436" spans="1:3" x14ac:dyDescent="0.2">
      <c r="A4436" s="3">
        <v>40795</v>
      </c>
      <c r="B4436">
        <v>30.049499999999998</v>
      </c>
      <c r="C4436">
        <f t="shared" si="72"/>
        <v>2011</v>
      </c>
    </row>
    <row r="4437" spans="1:3" x14ac:dyDescent="0.2">
      <c r="A4437" s="3">
        <v>40794</v>
      </c>
      <c r="B4437">
        <v>29.630299999999998</v>
      </c>
      <c r="C4437">
        <f t="shared" si="72"/>
        <v>2011</v>
      </c>
    </row>
    <row r="4438" spans="1:3" x14ac:dyDescent="0.2">
      <c r="A4438" s="3">
        <v>40793</v>
      </c>
      <c r="B4438">
        <v>29.4832</v>
      </c>
      <c r="C4438">
        <f t="shared" si="72"/>
        <v>2011</v>
      </c>
    </row>
    <row r="4439" spans="1:3" x14ac:dyDescent="0.2">
      <c r="A4439" s="3">
        <v>40792</v>
      </c>
      <c r="B4439">
        <v>29.6675</v>
      </c>
      <c r="C4439">
        <f t="shared" si="72"/>
        <v>2011</v>
      </c>
    </row>
    <row r="4440" spans="1:3" x14ac:dyDescent="0.2">
      <c r="A4440" s="3">
        <v>40791</v>
      </c>
      <c r="B4440">
        <v>29.462499999999999</v>
      </c>
      <c r="C4440">
        <f t="shared" si="72"/>
        <v>2011</v>
      </c>
    </row>
    <row r="4441" spans="1:3" x14ac:dyDescent="0.2">
      <c r="A4441" s="3">
        <v>40788</v>
      </c>
      <c r="B4441">
        <v>29.165099999999999</v>
      </c>
      <c r="C4441">
        <f t="shared" si="72"/>
        <v>2011</v>
      </c>
    </row>
    <row r="4442" spans="1:3" x14ac:dyDescent="0.2">
      <c r="A4442" s="3">
        <v>40787</v>
      </c>
      <c r="B4442">
        <v>28.965499999999999</v>
      </c>
      <c r="C4442">
        <f t="shared" si="72"/>
        <v>2011</v>
      </c>
    </row>
    <row r="4443" spans="1:3" x14ac:dyDescent="0.2">
      <c r="A4443" s="3">
        <v>40786</v>
      </c>
      <c r="B4443">
        <v>28.828600000000002</v>
      </c>
      <c r="C4443">
        <f t="shared" si="72"/>
        <v>2011</v>
      </c>
    </row>
    <row r="4444" spans="1:3" x14ac:dyDescent="0.2">
      <c r="A4444" s="3">
        <v>40785</v>
      </c>
      <c r="B4444">
        <v>28.912700000000001</v>
      </c>
      <c r="C4444">
        <f t="shared" si="72"/>
        <v>2011</v>
      </c>
    </row>
    <row r="4445" spans="1:3" x14ac:dyDescent="0.2">
      <c r="A4445" s="3">
        <v>40784</v>
      </c>
      <c r="B4445">
        <v>28.792000000000002</v>
      </c>
      <c r="C4445">
        <f t="shared" si="72"/>
        <v>2011</v>
      </c>
    </row>
    <row r="4446" spans="1:3" x14ac:dyDescent="0.2">
      <c r="A4446" s="3">
        <v>40781</v>
      </c>
      <c r="B4446">
        <v>28.808199999999999</v>
      </c>
      <c r="C4446">
        <f t="shared" si="72"/>
        <v>2011</v>
      </c>
    </row>
    <row r="4447" spans="1:3" x14ac:dyDescent="0.2">
      <c r="A4447" s="3">
        <v>40780</v>
      </c>
      <c r="B4447">
        <v>28.934200000000001</v>
      </c>
      <c r="C4447">
        <f t="shared" si="72"/>
        <v>2011</v>
      </c>
    </row>
    <row r="4448" spans="1:3" x14ac:dyDescent="0.2">
      <c r="A4448" s="3">
        <v>40779</v>
      </c>
      <c r="B4448">
        <v>28.950600000000001</v>
      </c>
      <c r="C4448">
        <f t="shared" si="72"/>
        <v>2011</v>
      </c>
    </row>
    <row r="4449" spans="1:3" x14ac:dyDescent="0.2">
      <c r="A4449" s="3">
        <v>40778</v>
      </c>
      <c r="B4449">
        <v>28.952500000000001</v>
      </c>
      <c r="C4449">
        <f t="shared" si="72"/>
        <v>2011</v>
      </c>
    </row>
    <row r="4450" spans="1:3" x14ac:dyDescent="0.2">
      <c r="A4450" s="3">
        <v>40777</v>
      </c>
      <c r="B4450">
        <v>29.1005</v>
      </c>
      <c r="C4450">
        <f t="shared" si="72"/>
        <v>2011</v>
      </c>
    </row>
    <row r="4451" spans="1:3" x14ac:dyDescent="0.2">
      <c r="A4451" s="3">
        <v>40774</v>
      </c>
      <c r="B4451">
        <v>29.004799999999999</v>
      </c>
      <c r="C4451">
        <f t="shared" si="72"/>
        <v>2011</v>
      </c>
    </row>
    <row r="4452" spans="1:3" x14ac:dyDescent="0.2">
      <c r="A4452" s="3">
        <v>40773</v>
      </c>
      <c r="B4452">
        <v>29.098800000000001</v>
      </c>
      <c r="C4452">
        <f t="shared" si="72"/>
        <v>2011</v>
      </c>
    </row>
    <row r="4453" spans="1:3" x14ac:dyDescent="0.2">
      <c r="A4453" s="3">
        <v>40772</v>
      </c>
      <c r="B4453">
        <v>28.791</v>
      </c>
      <c r="C4453">
        <f t="shared" si="72"/>
        <v>2011</v>
      </c>
    </row>
    <row r="4454" spans="1:3" x14ac:dyDescent="0.2">
      <c r="A4454" s="3">
        <v>40771</v>
      </c>
      <c r="B4454">
        <v>28.675799999999999</v>
      </c>
      <c r="C4454">
        <f t="shared" si="72"/>
        <v>2011</v>
      </c>
    </row>
    <row r="4455" spans="1:3" x14ac:dyDescent="0.2">
      <c r="A4455" s="3">
        <v>40770</v>
      </c>
      <c r="B4455">
        <v>28.629899999999999</v>
      </c>
      <c r="C4455">
        <f t="shared" si="72"/>
        <v>2011</v>
      </c>
    </row>
    <row r="4456" spans="1:3" x14ac:dyDescent="0.2">
      <c r="A4456" s="3">
        <v>40767</v>
      </c>
      <c r="B4456">
        <v>29.100999999999999</v>
      </c>
      <c r="C4456">
        <f t="shared" si="72"/>
        <v>2011</v>
      </c>
    </row>
    <row r="4457" spans="1:3" x14ac:dyDescent="0.2">
      <c r="A4457" s="3">
        <v>40766</v>
      </c>
      <c r="B4457">
        <v>29.488800000000001</v>
      </c>
      <c r="C4457">
        <f t="shared" si="72"/>
        <v>2011</v>
      </c>
    </row>
    <row r="4458" spans="1:3" x14ac:dyDescent="0.2">
      <c r="A4458" s="3">
        <v>40765</v>
      </c>
      <c r="B4458">
        <v>29.825600000000001</v>
      </c>
      <c r="C4458">
        <f t="shared" si="72"/>
        <v>2011</v>
      </c>
    </row>
    <row r="4459" spans="1:3" x14ac:dyDescent="0.2">
      <c r="A4459" s="3">
        <v>40764</v>
      </c>
      <c r="B4459">
        <v>29.8781</v>
      </c>
      <c r="C4459">
        <f t="shared" si="72"/>
        <v>2011</v>
      </c>
    </row>
    <row r="4460" spans="1:3" x14ac:dyDescent="0.2">
      <c r="A4460" s="3">
        <v>40763</v>
      </c>
      <c r="B4460">
        <v>28.956600000000002</v>
      </c>
      <c r="C4460">
        <f t="shared" si="72"/>
        <v>2011</v>
      </c>
    </row>
    <row r="4461" spans="1:3" x14ac:dyDescent="0.2">
      <c r="A4461" s="3">
        <v>40760</v>
      </c>
      <c r="B4461">
        <v>28.332100000000001</v>
      </c>
      <c r="C4461">
        <f t="shared" si="72"/>
        <v>2011</v>
      </c>
    </row>
    <row r="4462" spans="1:3" x14ac:dyDescent="0.2">
      <c r="A4462" s="3">
        <v>40759</v>
      </c>
      <c r="B4462">
        <v>28.136600000000001</v>
      </c>
      <c r="C4462">
        <f t="shared" si="72"/>
        <v>2011</v>
      </c>
    </row>
    <row r="4463" spans="1:3" x14ac:dyDescent="0.2">
      <c r="A4463" s="3">
        <v>40758</v>
      </c>
      <c r="B4463">
        <v>27.874300000000002</v>
      </c>
      <c r="C4463">
        <f t="shared" si="72"/>
        <v>2011</v>
      </c>
    </row>
    <row r="4464" spans="1:3" x14ac:dyDescent="0.2">
      <c r="A4464" s="3">
        <v>40757</v>
      </c>
      <c r="B4464">
        <v>27.825399999999998</v>
      </c>
      <c r="C4464">
        <f t="shared" si="72"/>
        <v>2011</v>
      </c>
    </row>
    <row r="4465" spans="1:3" x14ac:dyDescent="0.2">
      <c r="A4465" s="3">
        <v>40756</v>
      </c>
      <c r="B4465">
        <v>27.7956</v>
      </c>
      <c r="C4465">
        <f t="shared" si="72"/>
        <v>2011</v>
      </c>
    </row>
    <row r="4466" spans="1:3" x14ac:dyDescent="0.2">
      <c r="A4466" s="3">
        <v>40753</v>
      </c>
      <c r="B4466">
        <v>27.611899999999999</v>
      </c>
      <c r="C4466">
        <f t="shared" si="72"/>
        <v>2011</v>
      </c>
    </row>
    <row r="4467" spans="1:3" x14ac:dyDescent="0.2">
      <c r="A4467" s="3">
        <v>40752</v>
      </c>
      <c r="B4467">
        <v>27.5961</v>
      </c>
      <c r="C4467">
        <f t="shared" si="72"/>
        <v>2011</v>
      </c>
    </row>
    <row r="4468" spans="1:3" x14ac:dyDescent="0.2">
      <c r="A4468" s="3">
        <v>40751</v>
      </c>
      <c r="B4468">
        <v>27.534800000000001</v>
      </c>
      <c r="C4468">
        <f t="shared" si="72"/>
        <v>2011</v>
      </c>
    </row>
    <row r="4469" spans="1:3" x14ac:dyDescent="0.2">
      <c r="A4469" s="3">
        <v>40750</v>
      </c>
      <c r="B4469">
        <v>27.510100000000001</v>
      </c>
      <c r="C4469">
        <f t="shared" si="72"/>
        <v>2011</v>
      </c>
    </row>
    <row r="4470" spans="1:3" x14ac:dyDescent="0.2">
      <c r="A4470" s="3">
        <v>40749</v>
      </c>
      <c r="B4470">
        <v>27.706800000000001</v>
      </c>
      <c r="C4470">
        <f t="shared" si="72"/>
        <v>2011</v>
      </c>
    </row>
    <row r="4471" spans="1:3" x14ac:dyDescent="0.2">
      <c r="A4471" s="3">
        <v>40746</v>
      </c>
      <c r="B4471">
        <v>27.770299999999999</v>
      </c>
      <c r="C4471">
        <f t="shared" si="72"/>
        <v>2011</v>
      </c>
    </row>
    <row r="4472" spans="1:3" x14ac:dyDescent="0.2">
      <c r="A4472" s="3">
        <v>40745</v>
      </c>
      <c r="B4472">
        <v>27.744700000000002</v>
      </c>
      <c r="C4472">
        <f t="shared" si="72"/>
        <v>2011</v>
      </c>
    </row>
    <row r="4473" spans="1:3" x14ac:dyDescent="0.2">
      <c r="A4473" s="3">
        <v>40744</v>
      </c>
      <c r="B4473">
        <v>28.006499999999999</v>
      </c>
      <c r="C4473">
        <f t="shared" si="72"/>
        <v>2011</v>
      </c>
    </row>
    <row r="4474" spans="1:3" x14ac:dyDescent="0.2">
      <c r="A4474" s="3">
        <v>40743</v>
      </c>
      <c r="B4474">
        <v>28.057099999999998</v>
      </c>
      <c r="C4474">
        <f t="shared" si="72"/>
        <v>2011</v>
      </c>
    </row>
    <row r="4475" spans="1:3" x14ac:dyDescent="0.2">
      <c r="A4475" s="3">
        <v>40742</v>
      </c>
      <c r="B4475">
        <v>28.1981</v>
      </c>
      <c r="C4475">
        <f t="shared" si="72"/>
        <v>2011</v>
      </c>
    </row>
    <row r="4476" spans="1:3" x14ac:dyDescent="0.2">
      <c r="A4476" s="3">
        <v>40739</v>
      </c>
      <c r="B4476">
        <v>28.072800000000001</v>
      </c>
      <c r="C4476">
        <f t="shared" si="72"/>
        <v>2011</v>
      </c>
    </row>
    <row r="4477" spans="1:3" x14ac:dyDescent="0.2">
      <c r="A4477" s="3">
        <v>40738</v>
      </c>
      <c r="B4477">
        <v>28.128399999999999</v>
      </c>
      <c r="C4477">
        <f t="shared" si="72"/>
        <v>2011</v>
      </c>
    </row>
    <row r="4478" spans="1:3" x14ac:dyDescent="0.2">
      <c r="A4478" s="3">
        <v>40737</v>
      </c>
      <c r="B4478">
        <v>28.054400000000001</v>
      </c>
      <c r="C4478">
        <f t="shared" si="72"/>
        <v>2011</v>
      </c>
    </row>
    <row r="4479" spans="1:3" x14ac:dyDescent="0.2">
      <c r="A4479" s="3">
        <v>40736</v>
      </c>
      <c r="B4479">
        <v>28.296099999999999</v>
      </c>
      <c r="C4479">
        <f t="shared" si="72"/>
        <v>2011</v>
      </c>
    </row>
    <row r="4480" spans="1:3" x14ac:dyDescent="0.2">
      <c r="A4480" s="3">
        <v>40735</v>
      </c>
      <c r="B4480">
        <v>28.214400000000001</v>
      </c>
      <c r="C4480">
        <f t="shared" si="72"/>
        <v>2011</v>
      </c>
    </row>
    <row r="4481" spans="1:3" x14ac:dyDescent="0.2">
      <c r="A4481" s="3">
        <v>40732</v>
      </c>
      <c r="B4481">
        <v>27.988099999999999</v>
      </c>
      <c r="C4481">
        <f t="shared" si="72"/>
        <v>2011</v>
      </c>
    </row>
    <row r="4482" spans="1:3" x14ac:dyDescent="0.2">
      <c r="A4482" s="3">
        <v>40731</v>
      </c>
      <c r="B4482">
        <v>27.911200000000001</v>
      </c>
      <c r="C4482">
        <f t="shared" si="72"/>
        <v>2011</v>
      </c>
    </row>
    <row r="4483" spans="1:3" x14ac:dyDescent="0.2">
      <c r="A4483" s="3">
        <v>40730</v>
      </c>
      <c r="B4483">
        <v>27.984999999999999</v>
      </c>
      <c r="C4483">
        <f t="shared" si="72"/>
        <v>2011</v>
      </c>
    </row>
    <row r="4484" spans="1:3" x14ac:dyDescent="0.2">
      <c r="A4484" s="3">
        <v>40729</v>
      </c>
      <c r="B4484">
        <v>27.855399999999999</v>
      </c>
      <c r="C4484">
        <f t="shared" ref="C4484:C4547" si="73">YEAR(A4484)</f>
        <v>2011</v>
      </c>
    </row>
    <row r="4485" spans="1:3" x14ac:dyDescent="0.2">
      <c r="A4485" s="3">
        <v>40728</v>
      </c>
      <c r="B4485">
        <v>27.799099999999999</v>
      </c>
      <c r="C4485">
        <f t="shared" si="73"/>
        <v>2011</v>
      </c>
    </row>
    <row r="4486" spans="1:3" x14ac:dyDescent="0.2">
      <c r="A4486" s="3">
        <v>40725</v>
      </c>
      <c r="B4486">
        <v>27.817499999999999</v>
      </c>
      <c r="C4486">
        <f t="shared" si="73"/>
        <v>2011</v>
      </c>
    </row>
    <row r="4487" spans="1:3" x14ac:dyDescent="0.2">
      <c r="A4487" s="3">
        <v>40724</v>
      </c>
      <c r="B4487">
        <v>27.869299999999999</v>
      </c>
      <c r="C4487">
        <f t="shared" si="73"/>
        <v>2011</v>
      </c>
    </row>
    <row r="4488" spans="1:3" x14ac:dyDescent="0.2">
      <c r="A4488" s="3">
        <v>40723</v>
      </c>
      <c r="B4488">
        <v>27.928999999999998</v>
      </c>
      <c r="C4488">
        <f t="shared" si="73"/>
        <v>2011</v>
      </c>
    </row>
    <row r="4489" spans="1:3" x14ac:dyDescent="0.2">
      <c r="A4489" s="3">
        <v>40722</v>
      </c>
      <c r="B4489">
        <v>28.11</v>
      </c>
      <c r="C4489">
        <f t="shared" si="73"/>
        <v>2011</v>
      </c>
    </row>
    <row r="4490" spans="1:3" x14ac:dyDescent="0.2">
      <c r="A4490" s="3">
        <v>40721</v>
      </c>
      <c r="B4490">
        <v>28.2377</v>
      </c>
      <c r="C4490">
        <f t="shared" si="73"/>
        <v>2011</v>
      </c>
    </row>
    <row r="4491" spans="1:3" x14ac:dyDescent="0.2">
      <c r="A4491" s="3">
        <v>40718</v>
      </c>
      <c r="B4491">
        <v>28.247800000000002</v>
      </c>
      <c r="C4491">
        <f t="shared" si="73"/>
        <v>2011</v>
      </c>
    </row>
    <row r="4492" spans="1:3" x14ac:dyDescent="0.2">
      <c r="A4492" s="3">
        <v>40717</v>
      </c>
      <c r="B4492">
        <v>28.2788</v>
      </c>
      <c r="C4492">
        <f t="shared" si="73"/>
        <v>2011</v>
      </c>
    </row>
    <row r="4493" spans="1:3" x14ac:dyDescent="0.2">
      <c r="A4493" s="3">
        <v>40716</v>
      </c>
      <c r="B4493">
        <v>27.937100000000001</v>
      </c>
      <c r="C4493">
        <f t="shared" si="73"/>
        <v>2011</v>
      </c>
    </row>
    <row r="4494" spans="1:3" x14ac:dyDescent="0.2">
      <c r="A4494" s="3">
        <v>40715</v>
      </c>
      <c r="B4494">
        <v>27.919499999999999</v>
      </c>
      <c r="C4494">
        <f t="shared" si="73"/>
        <v>2011</v>
      </c>
    </row>
    <row r="4495" spans="1:3" x14ac:dyDescent="0.2">
      <c r="A4495" s="3">
        <v>40714</v>
      </c>
      <c r="B4495">
        <v>28.095099999999999</v>
      </c>
      <c r="C4495">
        <f t="shared" si="73"/>
        <v>2011</v>
      </c>
    </row>
    <row r="4496" spans="1:3" x14ac:dyDescent="0.2">
      <c r="A4496" s="3">
        <v>40711</v>
      </c>
      <c r="B4496">
        <v>28.052600000000002</v>
      </c>
      <c r="C4496">
        <f t="shared" si="73"/>
        <v>2011</v>
      </c>
    </row>
    <row r="4497" spans="1:3" x14ac:dyDescent="0.2">
      <c r="A4497" s="3">
        <v>40710</v>
      </c>
      <c r="B4497">
        <v>28.166499999999999</v>
      </c>
      <c r="C4497">
        <f t="shared" si="73"/>
        <v>2011</v>
      </c>
    </row>
    <row r="4498" spans="1:3" x14ac:dyDescent="0.2">
      <c r="A4498" s="3">
        <v>40709</v>
      </c>
      <c r="B4498">
        <v>28.066700000000001</v>
      </c>
      <c r="C4498">
        <f t="shared" si="73"/>
        <v>2011</v>
      </c>
    </row>
    <row r="4499" spans="1:3" x14ac:dyDescent="0.2">
      <c r="A4499" s="3">
        <v>40708</v>
      </c>
      <c r="B4499">
        <v>27.834199999999999</v>
      </c>
      <c r="C4499">
        <f t="shared" si="73"/>
        <v>2011</v>
      </c>
    </row>
    <row r="4500" spans="1:3" x14ac:dyDescent="0.2">
      <c r="A4500" s="3">
        <v>40707</v>
      </c>
      <c r="B4500">
        <v>27.9863</v>
      </c>
      <c r="C4500">
        <f t="shared" si="73"/>
        <v>2011</v>
      </c>
    </row>
    <row r="4501" spans="1:3" x14ac:dyDescent="0.2">
      <c r="A4501" s="3">
        <v>40704</v>
      </c>
      <c r="B4501">
        <v>27.9785</v>
      </c>
      <c r="C4501">
        <f t="shared" si="73"/>
        <v>2011</v>
      </c>
    </row>
    <row r="4502" spans="1:3" x14ac:dyDescent="0.2">
      <c r="A4502" s="3">
        <v>40703</v>
      </c>
      <c r="B4502">
        <v>27.735900000000001</v>
      </c>
      <c r="C4502">
        <f t="shared" si="73"/>
        <v>2011</v>
      </c>
    </row>
    <row r="4503" spans="1:3" x14ac:dyDescent="0.2">
      <c r="A4503" s="3">
        <v>40702</v>
      </c>
      <c r="B4503">
        <v>27.734400000000001</v>
      </c>
      <c r="C4503">
        <f t="shared" si="73"/>
        <v>2011</v>
      </c>
    </row>
    <row r="4504" spans="1:3" x14ac:dyDescent="0.2">
      <c r="A4504" s="3">
        <v>40701</v>
      </c>
      <c r="B4504">
        <v>27.716999999999999</v>
      </c>
      <c r="C4504">
        <f t="shared" si="73"/>
        <v>2011</v>
      </c>
    </row>
    <row r="4505" spans="1:3" x14ac:dyDescent="0.2">
      <c r="A4505" s="3">
        <v>40700</v>
      </c>
      <c r="B4505">
        <v>27.823899999999998</v>
      </c>
      <c r="C4505">
        <f t="shared" si="73"/>
        <v>2011</v>
      </c>
    </row>
    <row r="4506" spans="1:3" x14ac:dyDescent="0.2">
      <c r="A4506" s="3">
        <v>40697</v>
      </c>
      <c r="B4506">
        <v>27.808499999999999</v>
      </c>
      <c r="C4506">
        <f t="shared" si="73"/>
        <v>2011</v>
      </c>
    </row>
    <row r="4507" spans="1:3" x14ac:dyDescent="0.2">
      <c r="A4507" s="3">
        <v>40696</v>
      </c>
      <c r="B4507">
        <v>27.9116</v>
      </c>
      <c r="C4507">
        <f t="shared" si="73"/>
        <v>2011</v>
      </c>
    </row>
    <row r="4508" spans="1:3" x14ac:dyDescent="0.2">
      <c r="A4508" s="3">
        <v>40695</v>
      </c>
      <c r="B4508">
        <v>27.9436</v>
      </c>
      <c r="C4508">
        <f t="shared" si="73"/>
        <v>2011</v>
      </c>
    </row>
    <row r="4509" spans="1:3" x14ac:dyDescent="0.2">
      <c r="A4509" s="3">
        <v>40694</v>
      </c>
      <c r="B4509">
        <v>27.994</v>
      </c>
      <c r="C4509">
        <f t="shared" si="73"/>
        <v>2011</v>
      </c>
    </row>
    <row r="4510" spans="1:3" x14ac:dyDescent="0.2">
      <c r="A4510" s="3">
        <v>40693</v>
      </c>
      <c r="B4510">
        <v>28.091899999999999</v>
      </c>
      <c r="C4510">
        <f t="shared" si="73"/>
        <v>2011</v>
      </c>
    </row>
    <row r="4511" spans="1:3" x14ac:dyDescent="0.2">
      <c r="A4511" s="3">
        <v>40690</v>
      </c>
      <c r="B4511">
        <v>28.045000000000002</v>
      </c>
      <c r="C4511">
        <f t="shared" si="73"/>
        <v>2011</v>
      </c>
    </row>
    <row r="4512" spans="1:3" x14ac:dyDescent="0.2">
      <c r="A4512" s="3">
        <v>40689</v>
      </c>
      <c r="B4512">
        <v>28.2913</v>
      </c>
      <c r="C4512">
        <f t="shared" si="73"/>
        <v>2011</v>
      </c>
    </row>
    <row r="4513" spans="1:3" x14ac:dyDescent="0.2">
      <c r="A4513" s="3">
        <v>40688</v>
      </c>
      <c r="B4513">
        <v>28.369599999999998</v>
      </c>
      <c r="C4513">
        <f t="shared" si="73"/>
        <v>2011</v>
      </c>
    </row>
    <row r="4514" spans="1:3" x14ac:dyDescent="0.2">
      <c r="A4514" s="3">
        <v>40687</v>
      </c>
      <c r="B4514">
        <v>28.3703</v>
      </c>
      <c r="C4514">
        <f t="shared" si="73"/>
        <v>2011</v>
      </c>
    </row>
    <row r="4515" spans="1:3" x14ac:dyDescent="0.2">
      <c r="A4515" s="3">
        <v>40686</v>
      </c>
      <c r="B4515">
        <v>28.502300000000002</v>
      </c>
      <c r="C4515">
        <f t="shared" si="73"/>
        <v>2011</v>
      </c>
    </row>
    <row r="4516" spans="1:3" x14ac:dyDescent="0.2">
      <c r="A4516" s="3">
        <v>40683</v>
      </c>
      <c r="B4516">
        <v>28.173400000000001</v>
      </c>
      <c r="C4516">
        <f t="shared" si="73"/>
        <v>2011</v>
      </c>
    </row>
    <row r="4517" spans="1:3" x14ac:dyDescent="0.2">
      <c r="A4517" s="3">
        <v>40682</v>
      </c>
      <c r="B4517">
        <v>27.947900000000001</v>
      </c>
      <c r="C4517">
        <f t="shared" si="73"/>
        <v>2011</v>
      </c>
    </row>
    <row r="4518" spans="1:3" x14ac:dyDescent="0.2">
      <c r="A4518" s="3">
        <v>40681</v>
      </c>
      <c r="B4518">
        <v>27.957699999999999</v>
      </c>
      <c r="C4518">
        <f t="shared" si="73"/>
        <v>2011</v>
      </c>
    </row>
    <row r="4519" spans="1:3" x14ac:dyDescent="0.2">
      <c r="A4519" s="3">
        <v>40680</v>
      </c>
      <c r="B4519">
        <v>28.2136</v>
      </c>
      <c r="C4519">
        <f t="shared" si="73"/>
        <v>2011</v>
      </c>
    </row>
    <row r="4520" spans="1:3" x14ac:dyDescent="0.2">
      <c r="A4520" s="3">
        <v>40679</v>
      </c>
      <c r="B4520">
        <v>28.074200000000001</v>
      </c>
      <c r="C4520">
        <f t="shared" si="73"/>
        <v>2011</v>
      </c>
    </row>
    <row r="4521" spans="1:3" x14ac:dyDescent="0.2">
      <c r="A4521" s="3">
        <v>40676</v>
      </c>
      <c r="B4521">
        <v>28.147500000000001</v>
      </c>
      <c r="C4521">
        <f t="shared" si="73"/>
        <v>2011</v>
      </c>
    </row>
    <row r="4522" spans="1:3" x14ac:dyDescent="0.2">
      <c r="A4522" s="3">
        <v>40675</v>
      </c>
      <c r="B4522">
        <v>27.9392</v>
      </c>
      <c r="C4522">
        <f t="shared" si="73"/>
        <v>2011</v>
      </c>
    </row>
    <row r="4523" spans="1:3" x14ac:dyDescent="0.2">
      <c r="A4523" s="3">
        <v>40674</v>
      </c>
      <c r="B4523">
        <v>27.798100000000002</v>
      </c>
      <c r="C4523">
        <f t="shared" si="73"/>
        <v>2011</v>
      </c>
    </row>
    <row r="4524" spans="1:3" x14ac:dyDescent="0.2">
      <c r="A4524" s="3">
        <v>40673</v>
      </c>
      <c r="B4524">
        <v>27.752300000000002</v>
      </c>
      <c r="C4524">
        <f t="shared" si="73"/>
        <v>2011</v>
      </c>
    </row>
    <row r="4525" spans="1:3" x14ac:dyDescent="0.2">
      <c r="A4525" s="3">
        <v>40672</v>
      </c>
      <c r="B4525">
        <v>27.947299999999998</v>
      </c>
      <c r="C4525">
        <f t="shared" si="73"/>
        <v>2011</v>
      </c>
    </row>
    <row r="4526" spans="1:3" x14ac:dyDescent="0.2">
      <c r="A4526" s="3">
        <v>40669</v>
      </c>
      <c r="B4526">
        <v>27.706900000000001</v>
      </c>
      <c r="C4526">
        <f t="shared" si="73"/>
        <v>2011</v>
      </c>
    </row>
    <row r="4527" spans="1:3" x14ac:dyDescent="0.2">
      <c r="A4527" s="3">
        <v>40668</v>
      </c>
      <c r="B4527">
        <v>27.6389</v>
      </c>
      <c r="C4527">
        <f t="shared" si="73"/>
        <v>2011</v>
      </c>
    </row>
    <row r="4528" spans="1:3" x14ac:dyDescent="0.2">
      <c r="A4528" s="3">
        <v>40667</v>
      </c>
      <c r="B4528">
        <v>27.333600000000001</v>
      </c>
      <c r="C4528">
        <f t="shared" si="73"/>
        <v>2011</v>
      </c>
    </row>
    <row r="4529" spans="1:3" x14ac:dyDescent="0.2">
      <c r="A4529" s="3">
        <v>40666</v>
      </c>
      <c r="B4529">
        <v>27.299600000000002</v>
      </c>
      <c r="C4529">
        <f t="shared" si="73"/>
        <v>2011</v>
      </c>
    </row>
    <row r="4530" spans="1:3" x14ac:dyDescent="0.2">
      <c r="A4530" s="3">
        <v>40665</v>
      </c>
      <c r="B4530">
        <v>27.276299999999999</v>
      </c>
      <c r="C4530">
        <f t="shared" si="73"/>
        <v>2011</v>
      </c>
    </row>
    <row r="4531" spans="1:3" x14ac:dyDescent="0.2">
      <c r="A4531" s="3">
        <v>40662</v>
      </c>
      <c r="B4531">
        <v>27.384799999999998</v>
      </c>
      <c r="C4531">
        <f t="shared" si="73"/>
        <v>2011</v>
      </c>
    </row>
    <row r="4532" spans="1:3" x14ac:dyDescent="0.2">
      <c r="A4532" s="3">
        <v>40661</v>
      </c>
      <c r="B4532">
        <v>27.542999999999999</v>
      </c>
      <c r="C4532">
        <f t="shared" si="73"/>
        <v>2011</v>
      </c>
    </row>
    <row r="4533" spans="1:3" x14ac:dyDescent="0.2">
      <c r="A4533" s="3">
        <v>40660</v>
      </c>
      <c r="B4533">
        <v>27.68</v>
      </c>
      <c r="C4533">
        <f t="shared" si="73"/>
        <v>2011</v>
      </c>
    </row>
    <row r="4534" spans="1:3" x14ac:dyDescent="0.2">
      <c r="A4534" s="3">
        <v>40659</v>
      </c>
      <c r="B4534">
        <v>27.784500000000001</v>
      </c>
      <c r="C4534">
        <f t="shared" si="73"/>
        <v>2011</v>
      </c>
    </row>
    <row r="4535" spans="1:3" x14ac:dyDescent="0.2">
      <c r="A4535" s="3">
        <v>40658</v>
      </c>
      <c r="B4535">
        <v>27.872399999999999</v>
      </c>
      <c r="C4535">
        <f t="shared" si="73"/>
        <v>2011</v>
      </c>
    </row>
    <row r="4536" spans="1:3" x14ac:dyDescent="0.2">
      <c r="A4536" s="3">
        <v>40655</v>
      </c>
      <c r="B4536">
        <v>28.011399999999998</v>
      </c>
      <c r="C4536">
        <f t="shared" si="73"/>
        <v>2011</v>
      </c>
    </row>
    <row r="4537" spans="1:3" x14ac:dyDescent="0.2">
      <c r="A4537" s="3">
        <v>40654</v>
      </c>
      <c r="B4537">
        <v>27.9605</v>
      </c>
      <c r="C4537">
        <f t="shared" si="73"/>
        <v>2011</v>
      </c>
    </row>
    <row r="4538" spans="1:3" x14ac:dyDescent="0.2">
      <c r="A4538" s="3">
        <v>40653</v>
      </c>
      <c r="B4538">
        <v>28.102</v>
      </c>
      <c r="C4538">
        <f t="shared" si="73"/>
        <v>2011</v>
      </c>
    </row>
    <row r="4539" spans="1:3" x14ac:dyDescent="0.2">
      <c r="A4539" s="3">
        <v>40652</v>
      </c>
      <c r="B4539">
        <v>28.309699999999999</v>
      </c>
      <c r="C4539">
        <f t="shared" si="73"/>
        <v>2011</v>
      </c>
    </row>
    <row r="4540" spans="1:3" x14ac:dyDescent="0.2">
      <c r="A4540" s="3">
        <v>40651</v>
      </c>
      <c r="B4540">
        <v>28.332000000000001</v>
      </c>
      <c r="C4540">
        <f t="shared" si="73"/>
        <v>2011</v>
      </c>
    </row>
    <row r="4541" spans="1:3" x14ac:dyDescent="0.2">
      <c r="A4541" s="3">
        <v>40648</v>
      </c>
      <c r="B4541">
        <v>28.131699999999999</v>
      </c>
      <c r="C4541">
        <f t="shared" si="73"/>
        <v>2011</v>
      </c>
    </row>
    <row r="4542" spans="1:3" x14ac:dyDescent="0.2">
      <c r="A4542" s="3">
        <v>40647</v>
      </c>
      <c r="B4542">
        <v>28.2088</v>
      </c>
      <c r="C4542">
        <f t="shared" si="73"/>
        <v>2011</v>
      </c>
    </row>
    <row r="4543" spans="1:3" x14ac:dyDescent="0.2">
      <c r="A4543" s="3">
        <v>40646</v>
      </c>
      <c r="B4543">
        <v>28.201000000000001</v>
      </c>
      <c r="C4543">
        <f t="shared" si="73"/>
        <v>2011</v>
      </c>
    </row>
    <row r="4544" spans="1:3" x14ac:dyDescent="0.2">
      <c r="A4544" s="3">
        <v>40645</v>
      </c>
      <c r="B4544">
        <v>28.1114</v>
      </c>
      <c r="C4544">
        <f t="shared" si="73"/>
        <v>2011</v>
      </c>
    </row>
    <row r="4545" spans="1:3" x14ac:dyDescent="0.2">
      <c r="A4545" s="3">
        <v>40644</v>
      </c>
      <c r="B4545">
        <v>28.031300000000002</v>
      </c>
      <c r="C4545">
        <f t="shared" si="73"/>
        <v>2011</v>
      </c>
    </row>
    <row r="4546" spans="1:3" x14ac:dyDescent="0.2">
      <c r="A4546" s="3">
        <v>40641</v>
      </c>
      <c r="B4546">
        <v>28.036899999999999</v>
      </c>
      <c r="C4546">
        <f t="shared" si="73"/>
        <v>2011</v>
      </c>
    </row>
    <row r="4547" spans="1:3" x14ac:dyDescent="0.2">
      <c r="A4547" s="3">
        <v>40640</v>
      </c>
      <c r="B4547">
        <v>28.2211</v>
      </c>
      <c r="C4547">
        <f t="shared" si="73"/>
        <v>2011</v>
      </c>
    </row>
    <row r="4548" spans="1:3" x14ac:dyDescent="0.2">
      <c r="A4548" s="3">
        <v>40639</v>
      </c>
      <c r="B4548">
        <v>28.216999999999999</v>
      </c>
      <c r="C4548">
        <f t="shared" ref="C4548:C4611" si="74">YEAR(A4548)</f>
        <v>2011</v>
      </c>
    </row>
    <row r="4549" spans="1:3" x14ac:dyDescent="0.2">
      <c r="A4549" s="3">
        <v>40638</v>
      </c>
      <c r="B4549">
        <v>28.281199999999998</v>
      </c>
      <c r="C4549">
        <f t="shared" si="74"/>
        <v>2011</v>
      </c>
    </row>
    <row r="4550" spans="1:3" x14ac:dyDescent="0.2">
      <c r="A4550" s="3">
        <v>40637</v>
      </c>
      <c r="B4550">
        <v>28.311</v>
      </c>
      <c r="C4550">
        <f t="shared" si="74"/>
        <v>2011</v>
      </c>
    </row>
    <row r="4551" spans="1:3" x14ac:dyDescent="0.2">
      <c r="A4551" s="3">
        <v>40634</v>
      </c>
      <c r="B4551">
        <v>28.3018</v>
      </c>
      <c r="C4551">
        <f t="shared" si="74"/>
        <v>2011</v>
      </c>
    </row>
    <row r="4552" spans="1:3" x14ac:dyDescent="0.2">
      <c r="A4552" s="3">
        <v>40633</v>
      </c>
      <c r="B4552">
        <v>28.417999999999999</v>
      </c>
      <c r="C4552">
        <f t="shared" si="74"/>
        <v>2011</v>
      </c>
    </row>
    <row r="4553" spans="1:3" x14ac:dyDescent="0.2">
      <c r="A4553" s="3">
        <v>40632</v>
      </c>
      <c r="B4553">
        <v>28.482900000000001</v>
      </c>
      <c r="C4553">
        <f t="shared" si="74"/>
        <v>2011</v>
      </c>
    </row>
    <row r="4554" spans="1:3" x14ac:dyDescent="0.2">
      <c r="A4554" s="3">
        <v>40631</v>
      </c>
      <c r="B4554">
        <v>28.382100000000001</v>
      </c>
      <c r="C4554">
        <f t="shared" si="74"/>
        <v>2011</v>
      </c>
    </row>
    <row r="4555" spans="1:3" x14ac:dyDescent="0.2">
      <c r="A4555" s="3">
        <v>40630</v>
      </c>
      <c r="B4555">
        <v>28.33</v>
      </c>
      <c r="C4555">
        <f t="shared" si="74"/>
        <v>2011</v>
      </c>
    </row>
    <row r="4556" spans="1:3" x14ac:dyDescent="0.2">
      <c r="A4556" s="3">
        <v>40627</v>
      </c>
      <c r="B4556">
        <v>28.3294</v>
      </c>
      <c r="C4556">
        <f t="shared" si="74"/>
        <v>2011</v>
      </c>
    </row>
    <row r="4557" spans="1:3" x14ac:dyDescent="0.2">
      <c r="A4557" s="3">
        <v>40626</v>
      </c>
      <c r="B4557">
        <v>28.286300000000001</v>
      </c>
      <c r="C4557">
        <f t="shared" si="74"/>
        <v>2011</v>
      </c>
    </row>
    <row r="4558" spans="1:3" x14ac:dyDescent="0.2">
      <c r="A4558" s="3">
        <v>40625</v>
      </c>
      <c r="B4558">
        <v>28.355499999999999</v>
      </c>
      <c r="C4558">
        <f t="shared" si="74"/>
        <v>2011</v>
      </c>
    </row>
    <row r="4559" spans="1:3" x14ac:dyDescent="0.2">
      <c r="A4559" s="3">
        <v>40624</v>
      </c>
      <c r="B4559">
        <v>28.204000000000001</v>
      </c>
      <c r="C4559">
        <f t="shared" si="74"/>
        <v>2011</v>
      </c>
    </row>
    <row r="4560" spans="1:3" x14ac:dyDescent="0.2">
      <c r="A4560" s="3">
        <v>40623</v>
      </c>
      <c r="B4560">
        <v>28.263500000000001</v>
      </c>
      <c r="C4560">
        <f t="shared" si="74"/>
        <v>2011</v>
      </c>
    </row>
    <row r="4561" spans="1:3" x14ac:dyDescent="0.2">
      <c r="A4561" s="3">
        <v>40620</v>
      </c>
      <c r="B4561">
        <v>28.444199999999999</v>
      </c>
      <c r="C4561">
        <f t="shared" si="74"/>
        <v>2011</v>
      </c>
    </row>
    <row r="4562" spans="1:3" x14ac:dyDescent="0.2">
      <c r="A4562" s="3">
        <v>40619</v>
      </c>
      <c r="B4562">
        <v>28.647500000000001</v>
      </c>
      <c r="C4562">
        <f t="shared" si="74"/>
        <v>2011</v>
      </c>
    </row>
    <row r="4563" spans="1:3" x14ac:dyDescent="0.2">
      <c r="A4563" s="3">
        <v>40618</v>
      </c>
      <c r="B4563">
        <v>28.701000000000001</v>
      </c>
      <c r="C4563">
        <f t="shared" si="74"/>
        <v>2011</v>
      </c>
    </row>
    <row r="4564" spans="1:3" x14ac:dyDescent="0.2">
      <c r="A4564" s="3">
        <v>40617</v>
      </c>
      <c r="B4564">
        <v>28.736999999999998</v>
      </c>
      <c r="C4564">
        <f t="shared" si="74"/>
        <v>2011</v>
      </c>
    </row>
    <row r="4565" spans="1:3" x14ac:dyDescent="0.2">
      <c r="A4565" s="3">
        <v>40616</v>
      </c>
      <c r="B4565">
        <v>28.507999999999999</v>
      </c>
      <c r="C4565">
        <f t="shared" si="74"/>
        <v>2011</v>
      </c>
    </row>
    <row r="4566" spans="1:3" x14ac:dyDescent="0.2">
      <c r="A4566" s="3">
        <v>40613</v>
      </c>
      <c r="B4566">
        <v>28.614999999999998</v>
      </c>
      <c r="C4566">
        <f t="shared" si="74"/>
        <v>2011</v>
      </c>
    </row>
    <row r="4567" spans="1:3" x14ac:dyDescent="0.2">
      <c r="A4567" s="3">
        <v>40612</v>
      </c>
      <c r="B4567">
        <v>28.5456</v>
      </c>
      <c r="C4567">
        <f t="shared" si="74"/>
        <v>2011</v>
      </c>
    </row>
    <row r="4568" spans="1:3" x14ac:dyDescent="0.2">
      <c r="A4568" s="3">
        <v>40611</v>
      </c>
      <c r="B4568">
        <v>28.373799999999999</v>
      </c>
      <c r="C4568">
        <f t="shared" si="74"/>
        <v>2011</v>
      </c>
    </row>
    <row r="4569" spans="1:3" x14ac:dyDescent="0.2">
      <c r="A4569" s="3">
        <v>40610</v>
      </c>
      <c r="B4569">
        <v>28.254999999999999</v>
      </c>
      <c r="C4569">
        <f t="shared" si="74"/>
        <v>2011</v>
      </c>
    </row>
    <row r="4570" spans="1:3" x14ac:dyDescent="0.2">
      <c r="A4570" s="3">
        <v>40609</v>
      </c>
      <c r="B4570">
        <v>28.241599999999998</v>
      </c>
      <c r="C4570">
        <f t="shared" si="74"/>
        <v>2011</v>
      </c>
    </row>
    <row r="4571" spans="1:3" x14ac:dyDescent="0.2">
      <c r="A4571" s="3">
        <v>40606</v>
      </c>
      <c r="B4571">
        <v>28.174099999999999</v>
      </c>
      <c r="C4571">
        <f t="shared" si="74"/>
        <v>2011</v>
      </c>
    </row>
    <row r="4572" spans="1:3" x14ac:dyDescent="0.2">
      <c r="A4572" s="3">
        <v>40605</v>
      </c>
      <c r="B4572">
        <v>28.214500000000001</v>
      </c>
      <c r="C4572">
        <f t="shared" si="74"/>
        <v>2011</v>
      </c>
    </row>
    <row r="4573" spans="1:3" x14ac:dyDescent="0.2">
      <c r="A4573" s="3">
        <v>40604</v>
      </c>
      <c r="B4573">
        <v>28.387</v>
      </c>
      <c r="C4573">
        <f t="shared" si="74"/>
        <v>2011</v>
      </c>
    </row>
    <row r="4574" spans="1:3" x14ac:dyDescent="0.2">
      <c r="A4574" s="3">
        <v>40603</v>
      </c>
      <c r="B4574">
        <v>28.723800000000001</v>
      </c>
      <c r="C4574">
        <f t="shared" si="74"/>
        <v>2011</v>
      </c>
    </row>
    <row r="4575" spans="1:3" x14ac:dyDescent="0.2">
      <c r="A4575" s="3">
        <v>40602</v>
      </c>
      <c r="B4575">
        <v>28.8705</v>
      </c>
      <c r="C4575">
        <f t="shared" si="74"/>
        <v>2011</v>
      </c>
    </row>
    <row r="4576" spans="1:3" x14ac:dyDescent="0.2">
      <c r="A4576" s="3">
        <v>40599</v>
      </c>
      <c r="B4576">
        <v>28.891300000000001</v>
      </c>
      <c r="C4576">
        <f t="shared" si="74"/>
        <v>2011</v>
      </c>
    </row>
    <row r="4577" spans="1:3" x14ac:dyDescent="0.2">
      <c r="A4577" s="3">
        <v>40598</v>
      </c>
      <c r="B4577">
        <v>28.995699999999999</v>
      </c>
      <c r="C4577">
        <f t="shared" si="74"/>
        <v>2011</v>
      </c>
    </row>
    <row r="4578" spans="1:3" x14ac:dyDescent="0.2">
      <c r="A4578" s="3">
        <v>40597</v>
      </c>
      <c r="B4578">
        <v>29.1769</v>
      </c>
      <c r="C4578">
        <f t="shared" si="74"/>
        <v>2011</v>
      </c>
    </row>
    <row r="4579" spans="1:3" x14ac:dyDescent="0.2">
      <c r="A4579" s="3">
        <v>40596</v>
      </c>
      <c r="B4579">
        <v>29.2807</v>
      </c>
      <c r="C4579">
        <f t="shared" si="74"/>
        <v>2011</v>
      </c>
    </row>
    <row r="4580" spans="1:3" x14ac:dyDescent="0.2">
      <c r="A4580" s="3">
        <v>40595</v>
      </c>
      <c r="B4580">
        <v>29.1615</v>
      </c>
      <c r="C4580">
        <f t="shared" si="74"/>
        <v>2011</v>
      </c>
    </row>
    <row r="4581" spans="1:3" x14ac:dyDescent="0.2">
      <c r="A4581" s="3">
        <v>40592</v>
      </c>
      <c r="B4581">
        <v>29.166599999999999</v>
      </c>
      <c r="C4581">
        <f t="shared" si="74"/>
        <v>2011</v>
      </c>
    </row>
    <row r="4582" spans="1:3" x14ac:dyDescent="0.2">
      <c r="A4582" s="3">
        <v>40591</v>
      </c>
      <c r="B4582">
        <v>29.266999999999999</v>
      </c>
      <c r="C4582">
        <f t="shared" si="74"/>
        <v>2011</v>
      </c>
    </row>
    <row r="4583" spans="1:3" x14ac:dyDescent="0.2">
      <c r="A4583" s="3">
        <v>40590</v>
      </c>
      <c r="B4583">
        <v>29.234999999999999</v>
      </c>
      <c r="C4583">
        <f t="shared" si="74"/>
        <v>2011</v>
      </c>
    </row>
    <row r="4584" spans="1:3" x14ac:dyDescent="0.2">
      <c r="A4584" s="3">
        <v>40589</v>
      </c>
      <c r="B4584">
        <v>29.294499999999999</v>
      </c>
      <c r="C4584">
        <f t="shared" si="74"/>
        <v>2011</v>
      </c>
    </row>
    <row r="4585" spans="1:3" x14ac:dyDescent="0.2">
      <c r="A4585" s="3">
        <v>40588</v>
      </c>
      <c r="B4585">
        <v>29.273</v>
      </c>
      <c r="C4585">
        <f t="shared" si="74"/>
        <v>2011</v>
      </c>
    </row>
    <row r="4586" spans="1:3" x14ac:dyDescent="0.2">
      <c r="A4586" s="3">
        <v>40585</v>
      </c>
      <c r="B4586">
        <v>29.3232</v>
      </c>
      <c r="C4586">
        <f t="shared" si="74"/>
        <v>2011</v>
      </c>
    </row>
    <row r="4587" spans="1:3" x14ac:dyDescent="0.2">
      <c r="A4587" s="3">
        <v>40584</v>
      </c>
      <c r="B4587">
        <v>29.3215</v>
      </c>
      <c r="C4587">
        <f t="shared" si="74"/>
        <v>2011</v>
      </c>
    </row>
    <row r="4588" spans="1:3" x14ac:dyDescent="0.2">
      <c r="A4588" s="3">
        <v>40583</v>
      </c>
      <c r="B4588">
        <v>29.2774</v>
      </c>
      <c r="C4588">
        <f t="shared" si="74"/>
        <v>2011</v>
      </c>
    </row>
    <row r="4589" spans="1:3" x14ac:dyDescent="0.2">
      <c r="A4589" s="3">
        <v>40582</v>
      </c>
      <c r="B4589">
        <v>29.238</v>
      </c>
      <c r="C4589">
        <f t="shared" si="74"/>
        <v>2011</v>
      </c>
    </row>
    <row r="4590" spans="1:3" x14ac:dyDescent="0.2">
      <c r="A4590" s="3">
        <v>40581</v>
      </c>
      <c r="B4590">
        <v>29.321999999999999</v>
      </c>
      <c r="C4590">
        <f t="shared" si="74"/>
        <v>2011</v>
      </c>
    </row>
    <row r="4591" spans="1:3" x14ac:dyDescent="0.2">
      <c r="A4591" s="3">
        <v>40578</v>
      </c>
      <c r="B4591">
        <v>29.405200000000001</v>
      </c>
      <c r="C4591">
        <f t="shared" si="74"/>
        <v>2011</v>
      </c>
    </row>
    <row r="4592" spans="1:3" x14ac:dyDescent="0.2">
      <c r="A4592" s="3">
        <v>40577</v>
      </c>
      <c r="B4592">
        <v>29.413</v>
      </c>
      <c r="C4592">
        <f t="shared" si="74"/>
        <v>2011</v>
      </c>
    </row>
    <row r="4593" spans="1:3" x14ac:dyDescent="0.2">
      <c r="A4593" s="3">
        <v>40576</v>
      </c>
      <c r="B4593">
        <v>29.457000000000001</v>
      </c>
      <c r="C4593">
        <f t="shared" si="74"/>
        <v>2011</v>
      </c>
    </row>
    <row r="4594" spans="1:3" x14ac:dyDescent="0.2">
      <c r="A4594" s="3">
        <v>40575</v>
      </c>
      <c r="B4594">
        <v>29.504200000000001</v>
      </c>
      <c r="C4594">
        <f t="shared" si="74"/>
        <v>2011</v>
      </c>
    </row>
    <row r="4595" spans="1:3" x14ac:dyDescent="0.2">
      <c r="A4595" s="3">
        <v>40574</v>
      </c>
      <c r="B4595">
        <v>29.791</v>
      </c>
      <c r="C4595">
        <f t="shared" si="74"/>
        <v>2011</v>
      </c>
    </row>
    <row r="4596" spans="1:3" x14ac:dyDescent="0.2">
      <c r="A4596" s="3">
        <v>40571</v>
      </c>
      <c r="B4596">
        <v>29.793900000000001</v>
      </c>
      <c r="C4596">
        <f t="shared" si="74"/>
        <v>2011</v>
      </c>
    </row>
    <row r="4597" spans="1:3" x14ac:dyDescent="0.2">
      <c r="A4597" s="3">
        <v>40570</v>
      </c>
      <c r="B4597">
        <v>29.653300000000002</v>
      </c>
      <c r="C4597">
        <f t="shared" si="74"/>
        <v>2011</v>
      </c>
    </row>
    <row r="4598" spans="1:3" x14ac:dyDescent="0.2">
      <c r="A4598" s="3">
        <v>40569</v>
      </c>
      <c r="B4598">
        <v>29.729299999999999</v>
      </c>
      <c r="C4598">
        <f t="shared" si="74"/>
        <v>2011</v>
      </c>
    </row>
    <row r="4599" spans="1:3" x14ac:dyDescent="0.2">
      <c r="A4599" s="3">
        <v>40568</v>
      </c>
      <c r="B4599">
        <v>29.785</v>
      </c>
      <c r="C4599">
        <f t="shared" si="74"/>
        <v>2011</v>
      </c>
    </row>
    <row r="4600" spans="1:3" x14ac:dyDescent="0.2">
      <c r="A4600" s="3">
        <v>40567</v>
      </c>
      <c r="B4600">
        <v>29.775200000000002</v>
      </c>
      <c r="C4600">
        <f t="shared" si="74"/>
        <v>2011</v>
      </c>
    </row>
    <row r="4601" spans="1:3" x14ac:dyDescent="0.2">
      <c r="A4601" s="3">
        <v>40564</v>
      </c>
      <c r="B4601">
        <v>29.916699999999999</v>
      </c>
      <c r="C4601">
        <f t="shared" si="74"/>
        <v>2011</v>
      </c>
    </row>
    <row r="4602" spans="1:3" x14ac:dyDescent="0.2">
      <c r="A4602" s="3">
        <v>40563</v>
      </c>
      <c r="B4602">
        <v>30.0045</v>
      </c>
      <c r="C4602">
        <f t="shared" si="74"/>
        <v>2011</v>
      </c>
    </row>
    <row r="4603" spans="1:3" x14ac:dyDescent="0.2">
      <c r="A4603" s="3">
        <v>40562</v>
      </c>
      <c r="B4603">
        <v>29.827999999999999</v>
      </c>
      <c r="C4603">
        <f t="shared" si="74"/>
        <v>2011</v>
      </c>
    </row>
    <row r="4604" spans="1:3" x14ac:dyDescent="0.2">
      <c r="A4604" s="3">
        <v>40561</v>
      </c>
      <c r="B4604">
        <v>29.895</v>
      </c>
      <c r="C4604">
        <f t="shared" si="74"/>
        <v>2011</v>
      </c>
    </row>
    <row r="4605" spans="1:3" x14ac:dyDescent="0.2">
      <c r="A4605" s="3">
        <v>40560</v>
      </c>
      <c r="B4605">
        <v>29.9726</v>
      </c>
      <c r="C4605">
        <f t="shared" si="74"/>
        <v>2011</v>
      </c>
    </row>
    <row r="4606" spans="1:3" x14ac:dyDescent="0.2">
      <c r="A4606" s="3">
        <v>40557</v>
      </c>
      <c r="B4606">
        <v>30.1067</v>
      </c>
      <c r="C4606">
        <f t="shared" si="74"/>
        <v>2011</v>
      </c>
    </row>
    <row r="4607" spans="1:3" x14ac:dyDescent="0.2">
      <c r="A4607" s="3">
        <v>40556</v>
      </c>
      <c r="B4607">
        <v>29.979600000000001</v>
      </c>
      <c r="C4607">
        <f t="shared" si="74"/>
        <v>2011</v>
      </c>
    </row>
    <row r="4608" spans="1:3" x14ac:dyDescent="0.2">
      <c r="A4608" s="3">
        <v>40555</v>
      </c>
      <c r="B4608">
        <v>30.1919</v>
      </c>
      <c r="C4608">
        <f t="shared" si="74"/>
        <v>2011</v>
      </c>
    </row>
    <row r="4609" spans="1:3" x14ac:dyDescent="0.2">
      <c r="A4609" s="3">
        <v>40554</v>
      </c>
      <c r="B4609">
        <v>30.540700000000001</v>
      </c>
      <c r="C4609">
        <f t="shared" si="74"/>
        <v>2011</v>
      </c>
    </row>
    <row r="4610" spans="1:3" x14ac:dyDescent="0.2">
      <c r="A4610" s="3">
        <v>40553</v>
      </c>
      <c r="B4610">
        <v>30.577000000000002</v>
      </c>
      <c r="C4610">
        <f t="shared" si="74"/>
        <v>2011</v>
      </c>
    </row>
    <row r="4611" spans="1:3" x14ac:dyDescent="0.2">
      <c r="A4611" s="3">
        <v>40550</v>
      </c>
      <c r="B4611">
        <v>30.641200000000001</v>
      </c>
      <c r="C4611">
        <f t="shared" si="74"/>
        <v>2011</v>
      </c>
    </row>
    <row r="4612" spans="1:3" x14ac:dyDescent="0.2">
      <c r="A4612" s="3">
        <v>40549</v>
      </c>
      <c r="B4612">
        <v>30.577000000000002</v>
      </c>
      <c r="C4612">
        <f t="shared" ref="C4612:C4675" si="75">YEAR(A4612)</f>
        <v>2011</v>
      </c>
    </row>
    <row r="4613" spans="1:3" x14ac:dyDescent="0.2">
      <c r="A4613" s="3">
        <v>40548</v>
      </c>
      <c r="B4613">
        <v>30.496300000000002</v>
      </c>
      <c r="C4613">
        <f t="shared" si="75"/>
        <v>2011</v>
      </c>
    </row>
    <row r="4614" spans="1:3" x14ac:dyDescent="0.2">
      <c r="A4614" s="3">
        <v>40547</v>
      </c>
      <c r="B4614">
        <v>30.577000000000002</v>
      </c>
      <c r="C4614">
        <f t="shared" si="75"/>
        <v>2011</v>
      </c>
    </row>
    <row r="4615" spans="1:3" x14ac:dyDescent="0.2">
      <c r="A4615" s="3">
        <v>40546</v>
      </c>
      <c r="B4615">
        <v>30.552</v>
      </c>
      <c r="C4615">
        <f t="shared" si="75"/>
        <v>2011</v>
      </c>
    </row>
    <row r="4616" spans="1:3" x14ac:dyDescent="0.2">
      <c r="A4616" s="3">
        <v>40543</v>
      </c>
      <c r="B4616">
        <v>30.536999999999999</v>
      </c>
      <c r="C4616">
        <f t="shared" si="75"/>
        <v>2010</v>
      </c>
    </row>
    <row r="4617" spans="1:3" x14ac:dyDescent="0.2">
      <c r="A4617" s="3">
        <v>40542</v>
      </c>
      <c r="B4617">
        <v>30.587499999999999</v>
      </c>
      <c r="C4617">
        <f t="shared" si="75"/>
        <v>2010</v>
      </c>
    </row>
    <row r="4618" spans="1:3" x14ac:dyDescent="0.2">
      <c r="A4618" s="3">
        <v>40541</v>
      </c>
      <c r="B4618">
        <v>30.445</v>
      </c>
      <c r="C4618">
        <f t="shared" si="75"/>
        <v>2010</v>
      </c>
    </row>
    <row r="4619" spans="1:3" x14ac:dyDescent="0.2">
      <c r="A4619" s="3">
        <v>40540</v>
      </c>
      <c r="B4619">
        <v>30.328800000000001</v>
      </c>
      <c r="C4619">
        <f t="shared" si="75"/>
        <v>2010</v>
      </c>
    </row>
    <row r="4620" spans="1:3" x14ac:dyDescent="0.2">
      <c r="A4620" s="3">
        <v>40539</v>
      </c>
      <c r="B4620">
        <v>30.4025</v>
      </c>
      <c r="C4620">
        <f t="shared" si="75"/>
        <v>2010</v>
      </c>
    </row>
    <row r="4621" spans="1:3" x14ac:dyDescent="0.2">
      <c r="A4621" s="3">
        <v>40536</v>
      </c>
      <c r="B4621">
        <v>30.456199999999999</v>
      </c>
      <c r="C4621">
        <f t="shared" si="75"/>
        <v>2010</v>
      </c>
    </row>
    <row r="4622" spans="1:3" x14ac:dyDescent="0.2">
      <c r="A4622" s="3">
        <v>40535</v>
      </c>
      <c r="B4622">
        <v>30.587499999999999</v>
      </c>
      <c r="C4622">
        <f t="shared" si="75"/>
        <v>2010</v>
      </c>
    </row>
    <row r="4623" spans="1:3" x14ac:dyDescent="0.2">
      <c r="A4623" s="3">
        <v>40534</v>
      </c>
      <c r="B4623">
        <v>30.683</v>
      </c>
      <c r="C4623">
        <f t="shared" si="75"/>
        <v>2010</v>
      </c>
    </row>
    <row r="4624" spans="1:3" x14ac:dyDescent="0.2">
      <c r="A4624" s="3">
        <v>40533</v>
      </c>
      <c r="B4624">
        <v>30.752500000000001</v>
      </c>
      <c r="C4624">
        <f t="shared" si="75"/>
        <v>2010</v>
      </c>
    </row>
    <row r="4625" spans="1:3" x14ac:dyDescent="0.2">
      <c r="A4625" s="3">
        <v>40532</v>
      </c>
      <c r="B4625">
        <v>30.832599999999999</v>
      </c>
      <c r="C4625">
        <f t="shared" si="75"/>
        <v>2010</v>
      </c>
    </row>
    <row r="4626" spans="1:3" x14ac:dyDescent="0.2">
      <c r="A4626" s="3">
        <v>40529</v>
      </c>
      <c r="B4626">
        <v>30.8063</v>
      </c>
      <c r="C4626">
        <f t="shared" si="75"/>
        <v>2010</v>
      </c>
    </row>
    <row r="4627" spans="1:3" x14ac:dyDescent="0.2">
      <c r="A4627" s="3">
        <v>40528</v>
      </c>
      <c r="B4627">
        <v>30.7575</v>
      </c>
      <c r="C4627">
        <f t="shared" si="75"/>
        <v>2010</v>
      </c>
    </row>
    <row r="4628" spans="1:3" x14ac:dyDescent="0.2">
      <c r="A4628" s="3">
        <v>40527</v>
      </c>
      <c r="B4628">
        <v>30.688800000000001</v>
      </c>
      <c r="C4628">
        <f t="shared" si="75"/>
        <v>2010</v>
      </c>
    </row>
    <row r="4629" spans="1:3" x14ac:dyDescent="0.2">
      <c r="A4629" s="3">
        <v>40526</v>
      </c>
      <c r="B4629">
        <v>30.6737</v>
      </c>
      <c r="C4629">
        <f t="shared" si="75"/>
        <v>2010</v>
      </c>
    </row>
    <row r="4630" spans="1:3" x14ac:dyDescent="0.2">
      <c r="A4630" s="3">
        <v>40525</v>
      </c>
      <c r="B4630">
        <v>30.713000000000001</v>
      </c>
      <c r="C4630">
        <f t="shared" si="75"/>
        <v>2010</v>
      </c>
    </row>
    <row r="4631" spans="1:3" x14ac:dyDescent="0.2">
      <c r="A4631" s="3">
        <v>40522</v>
      </c>
      <c r="B4631">
        <v>30.9175</v>
      </c>
      <c r="C4631">
        <f t="shared" si="75"/>
        <v>2010</v>
      </c>
    </row>
    <row r="4632" spans="1:3" x14ac:dyDescent="0.2">
      <c r="A4632" s="3">
        <v>40521</v>
      </c>
      <c r="B4632">
        <v>30.925000000000001</v>
      </c>
      <c r="C4632">
        <f t="shared" si="75"/>
        <v>2010</v>
      </c>
    </row>
    <row r="4633" spans="1:3" x14ac:dyDescent="0.2">
      <c r="A4633" s="3">
        <v>40520</v>
      </c>
      <c r="B4633">
        <v>31.097999999999999</v>
      </c>
      <c r="C4633">
        <f t="shared" si="75"/>
        <v>2010</v>
      </c>
    </row>
    <row r="4634" spans="1:3" x14ac:dyDescent="0.2">
      <c r="A4634" s="3">
        <v>40519</v>
      </c>
      <c r="B4634">
        <v>31.066299999999998</v>
      </c>
      <c r="C4634">
        <f t="shared" si="75"/>
        <v>2010</v>
      </c>
    </row>
    <row r="4635" spans="1:3" x14ac:dyDescent="0.2">
      <c r="A4635" s="3">
        <v>40518</v>
      </c>
      <c r="B4635">
        <v>31.248799999999999</v>
      </c>
      <c r="C4635">
        <f t="shared" si="75"/>
        <v>2010</v>
      </c>
    </row>
    <row r="4636" spans="1:3" x14ac:dyDescent="0.2">
      <c r="A4636" s="3">
        <v>40515</v>
      </c>
      <c r="B4636">
        <v>31.183800000000002</v>
      </c>
      <c r="C4636">
        <f t="shared" si="75"/>
        <v>2010</v>
      </c>
    </row>
    <row r="4637" spans="1:3" x14ac:dyDescent="0.2">
      <c r="A4637" s="3">
        <v>40514</v>
      </c>
      <c r="B4637">
        <v>31.1938</v>
      </c>
      <c r="C4637">
        <f t="shared" si="75"/>
        <v>2010</v>
      </c>
    </row>
    <row r="4638" spans="1:3" x14ac:dyDescent="0.2">
      <c r="A4638" s="3">
        <v>40513</v>
      </c>
      <c r="B4638">
        <v>31.382400000000001</v>
      </c>
      <c r="C4638">
        <f t="shared" si="75"/>
        <v>2010</v>
      </c>
    </row>
    <row r="4639" spans="1:3" x14ac:dyDescent="0.2">
      <c r="A4639" s="3">
        <v>40512</v>
      </c>
      <c r="B4639">
        <v>31.4755</v>
      </c>
      <c r="C4639">
        <f t="shared" si="75"/>
        <v>2010</v>
      </c>
    </row>
    <row r="4640" spans="1:3" x14ac:dyDescent="0.2">
      <c r="A4640" s="3">
        <v>40511</v>
      </c>
      <c r="B4640">
        <v>31.438600000000001</v>
      </c>
      <c r="C4640">
        <f t="shared" si="75"/>
        <v>2010</v>
      </c>
    </row>
    <row r="4641" spans="1:3" x14ac:dyDescent="0.2">
      <c r="A4641" s="3">
        <v>40508</v>
      </c>
      <c r="B4641">
        <v>31.398599999999998</v>
      </c>
      <c r="C4641">
        <f t="shared" si="75"/>
        <v>2010</v>
      </c>
    </row>
    <row r="4642" spans="1:3" x14ac:dyDescent="0.2">
      <c r="A4642" s="3">
        <v>40507</v>
      </c>
      <c r="B4642">
        <v>31.166599999999999</v>
      </c>
      <c r="C4642">
        <f t="shared" si="75"/>
        <v>2010</v>
      </c>
    </row>
    <row r="4643" spans="1:3" x14ac:dyDescent="0.2">
      <c r="A4643" s="3">
        <v>40506</v>
      </c>
      <c r="B4643">
        <v>31.2605</v>
      </c>
      <c r="C4643">
        <f t="shared" si="75"/>
        <v>2010</v>
      </c>
    </row>
    <row r="4644" spans="1:3" x14ac:dyDescent="0.2">
      <c r="A4644" s="3">
        <v>40505</v>
      </c>
      <c r="B4644">
        <v>31.386299999999999</v>
      </c>
      <c r="C4644">
        <f t="shared" si="75"/>
        <v>2010</v>
      </c>
    </row>
    <row r="4645" spans="1:3" x14ac:dyDescent="0.2">
      <c r="A4645" s="3">
        <v>40504</v>
      </c>
      <c r="B4645">
        <v>31.142499999999998</v>
      </c>
      <c r="C4645">
        <f t="shared" si="75"/>
        <v>2010</v>
      </c>
    </row>
    <row r="4646" spans="1:3" x14ac:dyDescent="0.2">
      <c r="A4646" s="3">
        <v>40501</v>
      </c>
      <c r="B4646">
        <v>31.094999999999999</v>
      </c>
      <c r="C4646">
        <f t="shared" si="75"/>
        <v>2010</v>
      </c>
    </row>
    <row r="4647" spans="1:3" x14ac:dyDescent="0.2">
      <c r="A4647" s="3">
        <v>40500</v>
      </c>
      <c r="B4647">
        <v>31.053799999999999</v>
      </c>
      <c r="C4647">
        <f t="shared" si="75"/>
        <v>2010</v>
      </c>
    </row>
    <row r="4648" spans="1:3" x14ac:dyDescent="0.2">
      <c r="A4648" s="3">
        <v>40499</v>
      </c>
      <c r="B4648">
        <v>31.304300000000001</v>
      </c>
      <c r="C4648">
        <f t="shared" si="75"/>
        <v>2010</v>
      </c>
    </row>
    <row r="4649" spans="1:3" x14ac:dyDescent="0.2">
      <c r="A4649" s="3">
        <v>40498</v>
      </c>
      <c r="B4649">
        <v>31.256399999999999</v>
      </c>
      <c r="C4649">
        <f t="shared" si="75"/>
        <v>2010</v>
      </c>
    </row>
    <row r="4650" spans="1:3" x14ac:dyDescent="0.2">
      <c r="A4650" s="3">
        <v>40497</v>
      </c>
      <c r="B4650">
        <v>30.950399999999998</v>
      </c>
      <c r="C4650">
        <f t="shared" si="75"/>
        <v>2010</v>
      </c>
    </row>
    <row r="4651" spans="1:3" x14ac:dyDescent="0.2">
      <c r="A4651" s="3">
        <v>40494</v>
      </c>
      <c r="B4651">
        <v>30.858799999999999</v>
      </c>
      <c r="C4651">
        <f t="shared" si="75"/>
        <v>2010</v>
      </c>
    </row>
    <row r="4652" spans="1:3" x14ac:dyDescent="0.2">
      <c r="A4652" s="3">
        <v>40493</v>
      </c>
      <c r="B4652">
        <v>30.635000000000002</v>
      </c>
      <c r="C4652">
        <f t="shared" si="75"/>
        <v>2010</v>
      </c>
    </row>
    <row r="4653" spans="1:3" x14ac:dyDescent="0.2">
      <c r="A4653" s="3">
        <v>40492</v>
      </c>
      <c r="B4653">
        <v>30.682500000000001</v>
      </c>
      <c r="C4653">
        <f t="shared" si="75"/>
        <v>2010</v>
      </c>
    </row>
    <row r="4654" spans="1:3" x14ac:dyDescent="0.2">
      <c r="A4654" s="3">
        <v>40491</v>
      </c>
      <c r="B4654">
        <v>30.710599999999999</v>
      </c>
      <c r="C4654">
        <f t="shared" si="75"/>
        <v>2010</v>
      </c>
    </row>
    <row r="4655" spans="1:3" x14ac:dyDescent="0.2">
      <c r="A4655" s="3">
        <v>40490</v>
      </c>
      <c r="B4655">
        <v>30.787400000000002</v>
      </c>
      <c r="C4655">
        <f t="shared" si="75"/>
        <v>2010</v>
      </c>
    </row>
    <row r="4656" spans="1:3" x14ac:dyDescent="0.2">
      <c r="A4656" s="3">
        <v>40487</v>
      </c>
      <c r="B4656">
        <v>30.631900000000002</v>
      </c>
      <c r="C4656">
        <f t="shared" si="75"/>
        <v>2010</v>
      </c>
    </row>
    <row r="4657" spans="1:3" x14ac:dyDescent="0.2">
      <c r="A4657" s="3">
        <v>40486</v>
      </c>
      <c r="B4657">
        <v>30.59</v>
      </c>
      <c r="C4657">
        <f t="shared" si="75"/>
        <v>2010</v>
      </c>
    </row>
    <row r="4658" spans="1:3" x14ac:dyDescent="0.2">
      <c r="A4658" s="3">
        <v>40485</v>
      </c>
      <c r="B4658">
        <v>30.835599999999999</v>
      </c>
      <c r="C4658">
        <f t="shared" si="75"/>
        <v>2010</v>
      </c>
    </row>
    <row r="4659" spans="1:3" x14ac:dyDescent="0.2">
      <c r="A4659" s="3">
        <v>40484</v>
      </c>
      <c r="B4659">
        <v>30.741900000000001</v>
      </c>
      <c r="C4659">
        <f t="shared" si="75"/>
        <v>2010</v>
      </c>
    </row>
    <row r="4660" spans="1:3" x14ac:dyDescent="0.2">
      <c r="A4660" s="3">
        <v>40483</v>
      </c>
      <c r="B4660">
        <v>30.8063</v>
      </c>
      <c r="C4660">
        <f t="shared" si="75"/>
        <v>2010</v>
      </c>
    </row>
    <row r="4661" spans="1:3" x14ac:dyDescent="0.2">
      <c r="A4661" s="3">
        <v>40480</v>
      </c>
      <c r="B4661">
        <v>30.800599999999999</v>
      </c>
      <c r="C4661">
        <f t="shared" si="75"/>
        <v>2010</v>
      </c>
    </row>
    <row r="4662" spans="1:3" x14ac:dyDescent="0.2">
      <c r="A4662" s="3">
        <v>40479</v>
      </c>
      <c r="B4662">
        <v>30.6494</v>
      </c>
      <c r="C4662">
        <f t="shared" si="75"/>
        <v>2010</v>
      </c>
    </row>
    <row r="4663" spans="1:3" x14ac:dyDescent="0.2">
      <c r="A4663" s="3">
        <v>40478</v>
      </c>
      <c r="B4663">
        <v>30.742100000000001</v>
      </c>
      <c r="C4663">
        <f t="shared" si="75"/>
        <v>2010</v>
      </c>
    </row>
    <row r="4664" spans="1:3" x14ac:dyDescent="0.2">
      <c r="A4664" s="3">
        <v>40477</v>
      </c>
      <c r="B4664">
        <v>30.45</v>
      </c>
      <c r="C4664">
        <f t="shared" si="75"/>
        <v>2010</v>
      </c>
    </row>
    <row r="4665" spans="1:3" x14ac:dyDescent="0.2">
      <c r="A4665" s="3">
        <v>40476</v>
      </c>
      <c r="B4665">
        <v>30.333100000000002</v>
      </c>
      <c r="C4665">
        <f t="shared" si="75"/>
        <v>2010</v>
      </c>
    </row>
    <row r="4666" spans="1:3" x14ac:dyDescent="0.2">
      <c r="A4666" s="3">
        <v>40473</v>
      </c>
      <c r="B4666">
        <v>30.424399999999999</v>
      </c>
      <c r="C4666">
        <f t="shared" si="75"/>
        <v>2010</v>
      </c>
    </row>
    <row r="4667" spans="1:3" x14ac:dyDescent="0.2">
      <c r="A4667" s="3">
        <v>40472</v>
      </c>
      <c r="B4667">
        <v>30.571300000000001</v>
      </c>
      <c r="C4667">
        <f t="shared" si="75"/>
        <v>2010</v>
      </c>
    </row>
    <row r="4668" spans="1:3" x14ac:dyDescent="0.2">
      <c r="A4668" s="3">
        <v>40471</v>
      </c>
      <c r="B4668">
        <v>30.6769</v>
      </c>
      <c r="C4668">
        <f t="shared" si="75"/>
        <v>2010</v>
      </c>
    </row>
    <row r="4669" spans="1:3" x14ac:dyDescent="0.2">
      <c r="A4669" s="3">
        <v>40470</v>
      </c>
      <c r="B4669">
        <v>30.64</v>
      </c>
      <c r="C4669">
        <f t="shared" si="75"/>
        <v>2010</v>
      </c>
    </row>
    <row r="4670" spans="1:3" x14ac:dyDescent="0.2">
      <c r="A4670" s="3">
        <v>40469</v>
      </c>
      <c r="B4670">
        <v>30.385000000000002</v>
      </c>
      <c r="C4670">
        <f t="shared" si="75"/>
        <v>2010</v>
      </c>
    </row>
    <row r="4671" spans="1:3" x14ac:dyDescent="0.2">
      <c r="A4671" s="3">
        <v>40466</v>
      </c>
      <c r="B4671">
        <v>30.300599999999999</v>
      </c>
      <c r="C4671">
        <f t="shared" si="75"/>
        <v>2010</v>
      </c>
    </row>
    <row r="4672" spans="1:3" x14ac:dyDescent="0.2">
      <c r="A4672" s="3">
        <v>40465</v>
      </c>
      <c r="B4672">
        <v>30.0625</v>
      </c>
      <c r="C4672">
        <f t="shared" si="75"/>
        <v>2010</v>
      </c>
    </row>
    <row r="4673" spans="1:3" x14ac:dyDescent="0.2">
      <c r="A4673" s="3">
        <v>40464</v>
      </c>
      <c r="B4673">
        <v>30.088100000000001</v>
      </c>
      <c r="C4673">
        <f t="shared" si="75"/>
        <v>2010</v>
      </c>
    </row>
    <row r="4674" spans="1:3" x14ac:dyDescent="0.2">
      <c r="A4674" s="3">
        <v>40463</v>
      </c>
      <c r="B4674">
        <v>30.0791</v>
      </c>
      <c r="C4674">
        <f t="shared" si="75"/>
        <v>2010</v>
      </c>
    </row>
    <row r="4675" spans="1:3" x14ac:dyDescent="0.2">
      <c r="A4675" s="3">
        <v>40462</v>
      </c>
      <c r="B4675">
        <v>29.91</v>
      </c>
      <c r="C4675">
        <f t="shared" si="75"/>
        <v>2010</v>
      </c>
    </row>
    <row r="4676" spans="1:3" x14ac:dyDescent="0.2">
      <c r="A4676" s="3">
        <v>40459</v>
      </c>
      <c r="B4676">
        <v>29.847000000000001</v>
      </c>
      <c r="C4676">
        <f t="shared" ref="C4676:C4739" si="76">YEAR(A4676)</f>
        <v>2010</v>
      </c>
    </row>
    <row r="4677" spans="1:3" x14ac:dyDescent="0.2">
      <c r="A4677" s="3">
        <v>40458</v>
      </c>
      <c r="B4677">
        <v>29.8568</v>
      </c>
      <c r="C4677">
        <f t="shared" si="76"/>
        <v>2010</v>
      </c>
    </row>
    <row r="4678" spans="1:3" x14ac:dyDescent="0.2">
      <c r="A4678" s="3">
        <v>40457</v>
      </c>
      <c r="B4678">
        <v>29.732500000000002</v>
      </c>
      <c r="C4678">
        <f t="shared" si="76"/>
        <v>2010</v>
      </c>
    </row>
    <row r="4679" spans="1:3" x14ac:dyDescent="0.2">
      <c r="A4679" s="3">
        <v>40456</v>
      </c>
      <c r="B4679">
        <v>30.0413</v>
      </c>
      <c r="C4679">
        <f t="shared" si="76"/>
        <v>2010</v>
      </c>
    </row>
    <row r="4680" spans="1:3" x14ac:dyDescent="0.2">
      <c r="A4680" s="3">
        <v>40455</v>
      </c>
      <c r="B4680">
        <v>30.469200000000001</v>
      </c>
      <c r="C4680">
        <f t="shared" si="76"/>
        <v>2010</v>
      </c>
    </row>
    <row r="4681" spans="1:3" x14ac:dyDescent="0.2">
      <c r="A4681" s="3">
        <v>40452</v>
      </c>
      <c r="B4681">
        <v>30.452500000000001</v>
      </c>
      <c r="C4681">
        <f t="shared" si="76"/>
        <v>2010</v>
      </c>
    </row>
    <row r="4682" spans="1:3" x14ac:dyDescent="0.2">
      <c r="A4682" s="3">
        <v>40451</v>
      </c>
      <c r="B4682">
        <v>30.535</v>
      </c>
      <c r="C4682">
        <f t="shared" si="76"/>
        <v>2010</v>
      </c>
    </row>
    <row r="4683" spans="1:3" x14ac:dyDescent="0.2">
      <c r="A4683" s="3">
        <v>40450</v>
      </c>
      <c r="B4683">
        <v>30.4085</v>
      </c>
      <c r="C4683">
        <f t="shared" si="76"/>
        <v>2010</v>
      </c>
    </row>
    <row r="4684" spans="1:3" x14ac:dyDescent="0.2">
      <c r="A4684" s="3">
        <v>40449</v>
      </c>
      <c r="B4684">
        <v>30.39</v>
      </c>
      <c r="C4684">
        <f t="shared" si="76"/>
        <v>2010</v>
      </c>
    </row>
    <row r="4685" spans="1:3" x14ac:dyDescent="0.2">
      <c r="A4685" s="3">
        <v>40448</v>
      </c>
      <c r="B4685">
        <v>30.535799999999998</v>
      </c>
      <c r="C4685">
        <f t="shared" si="76"/>
        <v>2010</v>
      </c>
    </row>
    <row r="4686" spans="1:3" x14ac:dyDescent="0.2">
      <c r="A4686" s="3">
        <v>40445</v>
      </c>
      <c r="B4686">
        <v>30.692499999999999</v>
      </c>
      <c r="C4686">
        <f t="shared" si="76"/>
        <v>2010</v>
      </c>
    </row>
    <row r="4687" spans="1:3" x14ac:dyDescent="0.2">
      <c r="A4687" s="3">
        <v>40444</v>
      </c>
      <c r="B4687">
        <v>31</v>
      </c>
      <c r="C4687">
        <f t="shared" si="76"/>
        <v>2010</v>
      </c>
    </row>
    <row r="4688" spans="1:3" x14ac:dyDescent="0.2">
      <c r="A4688" s="3">
        <v>40443</v>
      </c>
      <c r="B4688">
        <v>31.045000000000002</v>
      </c>
      <c r="C4688">
        <f t="shared" si="76"/>
        <v>2010</v>
      </c>
    </row>
    <row r="4689" spans="1:3" x14ac:dyDescent="0.2">
      <c r="A4689" s="3">
        <v>40442</v>
      </c>
      <c r="B4689">
        <v>31.0763</v>
      </c>
      <c r="C4689">
        <f t="shared" si="76"/>
        <v>2010</v>
      </c>
    </row>
    <row r="4690" spans="1:3" x14ac:dyDescent="0.2">
      <c r="A4690" s="3">
        <v>40441</v>
      </c>
      <c r="B4690">
        <v>31.008800000000001</v>
      </c>
      <c r="C4690">
        <f t="shared" si="76"/>
        <v>2010</v>
      </c>
    </row>
    <row r="4691" spans="1:3" x14ac:dyDescent="0.2">
      <c r="A4691" s="3">
        <v>40438</v>
      </c>
      <c r="B4691">
        <v>31.012499999999999</v>
      </c>
      <c r="C4691">
        <f t="shared" si="76"/>
        <v>2010</v>
      </c>
    </row>
    <row r="4692" spans="1:3" x14ac:dyDescent="0.2">
      <c r="A4692" s="3">
        <v>40437</v>
      </c>
      <c r="B4692">
        <v>31.16</v>
      </c>
      <c r="C4692">
        <f t="shared" si="76"/>
        <v>2010</v>
      </c>
    </row>
    <row r="4693" spans="1:3" x14ac:dyDescent="0.2">
      <c r="A4693" s="3">
        <v>40436</v>
      </c>
      <c r="B4693">
        <v>30.9788</v>
      </c>
      <c r="C4693">
        <f t="shared" si="76"/>
        <v>2010</v>
      </c>
    </row>
    <row r="4694" spans="1:3" x14ac:dyDescent="0.2">
      <c r="A4694" s="3">
        <v>40435</v>
      </c>
      <c r="B4694">
        <v>30.5962</v>
      </c>
      <c r="C4694">
        <f t="shared" si="76"/>
        <v>2010</v>
      </c>
    </row>
    <row r="4695" spans="1:3" x14ac:dyDescent="0.2">
      <c r="A4695" s="3">
        <v>40434</v>
      </c>
      <c r="B4695">
        <v>30.643799999999999</v>
      </c>
      <c r="C4695">
        <f t="shared" si="76"/>
        <v>2010</v>
      </c>
    </row>
    <row r="4696" spans="1:3" x14ac:dyDescent="0.2">
      <c r="A4696" s="3">
        <v>40431</v>
      </c>
      <c r="B4696">
        <v>30.851299999999998</v>
      </c>
      <c r="C4696">
        <f t="shared" si="76"/>
        <v>2010</v>
      </c>
    </row>
    <row r="4697" spans="1:3" x14ac:dyDescent="0.2">
      <c r="A4697" s="3">
        <v>40430</v>
      </c>
      <c r="B4697">
        <v>30.8675</v>
      </c>
      <c r="C4697">
        <f t="shared" si="76"/>
        <v>2010</v>
      </c>
    </row>
    <row r="4698" spans="1:3" x14ac:dyDescent="0.2">
      <c r="A4698" s="3">
        <v>40429</v>
      </c>
      <c r="B4698">
        <v>30.825199999999999</v>
      </c>
      <c r="C4698">
        <f t="shared" si="76"/>
        <v>2010</v>
      </c>
    </row>
    <row r="4699" spans="1:3" x14ac:dyDescent="0.2">
      <c r="A4699" s="3">
        <v>40428</v>
      </c>
      <c r="B4699">
        <v>30.8813</v>
      </c>
      <c r="C4699">
        <f t="shared" si="76"/>
        <v>2010</v>
      </c>
    </row>
    <row r="4700" spans="1:3" x14ac:dyDescent="0.2">
      <c r="A4700" s="3">
        <v>40427</v>
      </c>
      <c r="B4700">
        <v>30.623799999999999</v>
      </c>
      <c r="C4700">
        <f t="shared" si="76"/>
        <v>2010</v>
      </c>
    </row>
    <row r="4701" spans="1:3" x14ac:dyDescent="0.2">
      <c r="A4701" s="3">
        <v>40424</v>
      </c>
      <c r="B4701">
        <v>30.6313</v>
      </c>
      <c r="C4701">
        <f t="shared" si="76"/>
        <v>2010</v>
      </c>
    </row>
    <row r="4702" spans="1:3" x14ac:dyDescent="0.2">
      <c r="A4702" s="3">
        <v>40423</v>
      </c>
      <c r="B4702">
        <v>30.7013</v>
      </c>
      <c r="C4702">
        <f t="shared" si="76"/>
        <v>2010</v>
      </c>
    </row>
    <row r="4703" spans="1:3" x14ac:dyDescent="0.2">
      <c r="A4703" s="3">
        <v>40422</v>
      </c>
      <c r="B4703">
        <v>30.6938</v>
      </c>
      <c r="C4703">
        <f t="shared" si="76"/>
        <v>2010</v>
      </c>
    </row>
    <row r="4704" spans="1:3" x14ac:dyDescent="0.2">
      <c r="A4704" s="3">
        <v>40421</v>
      </c>
      <c r="B4704">
        <v>30.803799999999999</v>
      </c>
      <c r="C4704">
        <f t="shared" si="76"/>
        <v>2010</v>
      </c>
    </row>
    <row r="4705" spans="1:3" x14ac:dyDescent="0.2">
      <c r="A4705" s="3">
        <v>40420</v>
      </c>
      <c r="B4705">
        <v>30.723800000000001</v>
      </c>
      <c r="C4705">
        <f t="shared" si="76"/>
        <v>2010</v>
      </c>
    </row>
    <row r="4706" spans="1:3" x14ac:dyDescent="0.2">
      <c r="A4706" s="3">
        <v>40417</v>
      </c>
      <c r="B4706">
        <v>30.643799999999999</v>
      </c>
      <c r="C4706">
        <f t="shared" si="76"/>
        <v>2010</v>
      </c>
    </row>
    <row r="4707" spans="1:3" x14ac:dyDescent="0.2">
      <c r="A4707" s="3">
        <v>40416</v>
      </c>
      <c r="B4707">
        <v>30.766300000000001</v>
      </c>
      <c r="C4707">
        <f t="shared" si="76"/>
        <v>2010</v>
      </c>
    </row>
    <row r="4708" spans="1:3" x14ac:dyDescent="0.2">
      <c r="A4708" s="3">
        <v>40415</v>
      </c>
      <c r="B4708">
        <v>30.938800000000001</v>
      </c>
      <c r="C4708">
        <f t="shared" si="76"/>
        <v>2010</v>
      </c>
    </row>
    <row r="4709" spans="1:3" x14ac:dyDescent="0.2">
      <c r="A4709" s="3">
        <v>40414</v>
      </c>
      <c r="B4709">
        <v>30.8538</v>
      </c>
      <c r="C4709">
        <f t="shared" si="76"/>
        <v>2010</v>
      </c>
    </row>
    <row r="4710" spans="1:3" x14ac:dyDescent="0.2">
      <c r="A4710" s="3">
        <v>40413</v>
      </c>
      <c r="B4710">
        <v>30.696899999999999</v>
      </c>
      <c r="C4710">
        <f t="shared" si="76"/>
        <v>2010</v>
      </c>
    </row>
    <row r="4711" spans="1:3" x14ac:dyDescent="0.2">
      <c r="A4711" s="3">
        <v>40410</v>
      </c>
      <c r="B4711">
        <v>30.6525</v>
      </c>
      <c r="C4711">
        <f t="shared" si="76"/>
        <v>2010</v>
      </c>
    </row>
    <row r="4712" spans="1:3" x14ac:dyDescent="0.2">
      <c r="A4712" s="3">
        <v>40409</v>
      </c>
      <c r="B4712">
        <v>30.508099999999999</v>
      </c>
      <c r="C4712">
        <f t="shared" si="76"/>
        <v>2010</v>
      </c>
    </row>
    <row r="4713" spans="1:3" x14ac:dyDescent="0.2">
      <c r="A4713" s="3">
        <v>40408</v>
      </c>
      <c r="B4713">
        <v>30.416899999999998</v>
      </c>
      <c r="C4713">
        <f t="shared" si="76"/>
        <v>2010</v>
      </c>
    </row>
    <row r="4714" spans="1:3" x14ac:dyDescent="0.2">
      <c r="A4714" s="3">
        <v>40407</v>
      </c>
      <c r="B4714">
        <v>30.378699999999998</v>
      </c>
      <c r="C4714">
        <f t="shared" si="76"/>
        <v>2010</v>
      </c>
    </row>
    <row r="4715" spans="1:3" x14ac:dyDescent="0.2">
      <c r="A4715" s="3">
        <v>40406</v>
      </c>
      <c r="B4715">
        <v>30.479299999999999</v>
      </c>
      <c r="C4715">
        <f t="shared" si="76"/>
        <v>2010</v>
      </c>
    </row>
    <row r="4716" spans="1:3" x14ac:dyDescent="0.2">
      <c r="A4716" s="3">
        <v>40403</v>
      </c>
      <c r="B4716">
        <v>30.5975</v>
      </c>
      <c r="C4716">
        <f t="shared" si="76"/>
        <v>2010</v>
      </c>
    </row>
    <row r="4717" spans="1:3" x14ac:dyDescent="0.2">
      <c r="A4717" s="3">
        <v>40402</v>
      </c>
      <c r="B4717">
        <v>30.511299999999999</v>
      </c>
      <c r="C4717">
        <f t="shared" si="76"/>
        <v>2010</v>
      </c>
    </row>
    <row r="4718" spans="1:3" x14ac:dyDescent="0.2">
      <c r="A4718" s="3">
        <v>40401</v>
      </c>
      <c r="B4718">
        <v>30.467500000000001</v>
      </c>
      <c r="C4718">
        <f t="shared" si="76"/>
        <v>2010</v>
      </c>
    </row>
    <row r="4719" spans="1:3" x14ac:dyDescent="0.2">
      <c r="A4719" s="3">
        <v>40400</v>
      </c>
      <c r="B4719">
        <v>30.114999999999998</v>
      </c>
      <c r="C4719">
        <f t="shared" si="76"/>
        <v>2010</v>
      </c>
    </row>
    <row r="4720" spans="1:3" x14ac:dyDescent="0.2">
      <c r="A4720" s="3">
        <v>40399</v>
      </c>
      <c r="B4720">
        <v>29.91</v>
      </c>
      <c r="C4720">
        <f t="shared" si="76"/>
        <v>2010</v>
      </c>
    </row>
    <row r="4721" spans="1:3" x14ac:dyDescent="0.2">
      <c r="A4721" s="3">
        <v>40396</v>
      </c>
      <c r="B4721">
        <v>29.811299999999999</v>
      </c>
      <c r="C4721">
        <f t="shared" si="76"/>
        <v>2010</v>
      </c>
    </row>
    <row r="4722" spans="1:3" x14ac:dyDescent="0.2">
      <c r="A4722" s="3">
        <v>40395</v>
      </c>
      <c r="B4722">
        <v>29.877500000000001</v>
      </c>
      <c r="C4722">
        <f t="shared" si="76"/>
        <v>2010</v>
      </c>
    </row>
    <row r="4723" spans="1:3" x14ac:dyDescent="0.2">
      <c r="A4723" s="3">
        <v>40394</v>
      </c>
      <c r="B4723">
        <v>29.824999999999999</v>
      </c>
      <c r="C4723">
        <f t="shared" si="76"/>
        <v>2010</v>
      </c>
    </row>
    <row r="4724" spans="1:3" x14ac:dyDescent="0.2">
      <c r="A4724" s="3">
        <v>40393</v>
      </c>
      <c r="B4724">
        <v>29.684999999999999</v>
      </c>
      <c r="C4724">
        <f t="shared" si="76"/>
        <v>2010</v>
      </c>
    </row>
    <row r="4725" spans="1:3" x14ac:dyDescent="0.2">
      <c r="A4725" s="3">
        <v>40392</v>
      </c>
      <c r="B4725">
        <v>29.962499999999999</v>
      </c>
      <c r="C4725">
        <f t="shared" si="76"/>
        <v>2010</v>
      </c>
    </row>
    <row r="4726" spans="1:3" x14ac:dyDescent="0.2">
      <c r="A4726" s="3">
        <v>40389</v>
      </c>
      <c r="B4726">
        <v>30.204999999999998</v>
      </c>
      <c r="C4726">
        <f t="shared" si="76"/>
        <v>2010</v>
      </c>
    </row>
    <row r="4727" spans="1:3" x14ac:dyDescent="0.2">
      <c r="A4727" s="3">
        <v>40388</v>
      </c>
      <c r="B4727">
        <v>30.1663</v>
      </c>
      <c r="C4727">
        <f t="shared" si="76"/>
        <v>2010</v>
      </c>
    </row>
    <row r="4728" spans="1:3" x14ac:dyDescent="0.2">
      <c r="A4728" s="3">
        <v>40387</v>
      </c>
      <c r="B4728">
        <v>30.248799999999999</v>
      </c>
      <c r="C4728">
        <f t="shared" si="76"/>
        <v>2010</v>
      </c>
    </row>
    <row r="4729" spans="1:3" x14ac:dyDescent="0.2">
      <c r="A4729" s="3">
        <v>40386</v>
      </c>
      <c r="B4729">
        <v>30.246300000000002</v>
      </c>
      <c r="C4729">
        <f t="shared" si="76"/>
        <v>2010</v>
      </c>
    </row>
    <row r="4730" spans="1:3" x14ac:dyDescent="0.2">
      <c r="A4730" s="3">
        <v>40385</v>
      </c>
      <c r="B4730">
        <v>30.23</v>
      </c>
      <c r="C4730">
        <f t="shared" si="76"/>
        <v>2010</v>
      </c>
    </row>
    <row r="4731" spans="1:3" x14ac:dyDescent="0.2">
      <c r="A4731" s="3">
        <v>40382</v>
      </c>
      <c r="B4731">
        <v>30.406300000000002</v>
      </c>
      <c r="C4731">
        <f t="shared" si="76"/>
        <v>2010</v>
      </c>
    </row>
    <row r="4732" spans="1:3" x14ac:dyDescent="0.2">
      <c r="A4732" s="3">
        <v>40381</v>
      </c>
      <c r="B4732">
        <v>30.368099999999998</v>
      </c>
      <c r="C4732">
        <f t="shared" si="76"/>
        <v>2010</v>
      </c>
    </row>
    <row r="4733" spans="1:3" x14ac:dyDescent="0.2">
      <c r="A4733" s="3">
        <v>40380</v>
      </c>
      <c r="B4733">
        <v>30.456199999999999</v>
      </c>
      <c r="C4733">
        <f t="shared" si="76"/>
        <v>2010</v>
      </c>
    </row>
    <row r="4734" spans="1:3" x14ac:dyDescent="0.2">
      <c r="A4734" s="3">
        <v>40379</v>
      </c>
      <c r="B4734">
        <v>30.464400000000001</v>
      </c>
      <c r="C4734">
        <f t="shared" si="76"/>
        <v>2010</v>
      </c>
    </row>
    <row r="4735" spans="1:3" x14ac:dyDescent="0.2">
      <c r="A4735" s="3">
        <v>40378</v>
      </c>
      <c r="B4735">
        <v>30.508800000000001</v>
      </c>
      <c r="C4735">
        <f t="shared" si="76"/>
        <v>2010</v>
      </c>
    </row>
    <row r="4736" spans="1:3" x14ac:dyDescent="0.2">
      <c r="A4736" s="3">
        <v>40375</v>
      </c>
      <c r="B4736">
        <v>30.532399999999999</v>
      </c>
      <c r="C4736">
        <f t="shared" si="76"/>
        <v>2010</v>
      </c>
    </row>
    <row r="4737" spans="1:3" x14ac:dyDescent="0.2">
      <c r="A4737" s="3">
        <v>40374</v>
      </c>
      <c r="B4737">
        <v>30.477499999999999</v>
      </c>
      <c r="C4737">
        <f t="shared" si="76"/>
        <v>2010</v>
      </c>
    </row>
    <row r="4738" spans="1:3" x14ac:dyDescent="0.2">
      <c r="A4738" s="3">
        <v>40373</v>
      </c>
      <c r="B4738">
        <v>30.515000000000001</v>
      </c>
      <c r="C4738">
        <f t="shared" si="76"/>
        <v>2010</v>
      </c>
    </row>
    <row r="4739" spans="1:3" x14ac:dyDescent="0.2">
      <c r="A4739" s="3">
        <v>40372</v>
      </c>
      <c r="B4739">
        <v>30.555</v>
      </c>
      <c r="C4739">
        <f t="shared" si="76"/>
        <v>2010</v>
      </c>
    </row>
    <row r="4740" spans="1:3" x14ac:dyDescent="0.2">
      <c r="A4740" s="3">
        <v>40371</v>
      </c>
      <c r="B4740">
        <v>30.808800000000002</v>
      </c>
      <c r="C4740">
        <f t="shared" ref="C4740:C4803" si="77">YEAR(A4740)</f>
        <v>2010</v>
      </c>
    </row>
    <row r="4741" spans="1:3" x14ac:dyDescent="0.2">
      <c r="A4741" s="3">
        <v>40368</v>
      </c>
      <c r="B4741">
        <v>30.842500000000001</v>
      </c>
      <c r="C4741">
        <f t="shared" si="77"/>
        <v>2010</v>
      </c>
    </row>
    <row r="4742" spans="1:3" x14ac:dyDescent="0.2">
      <c r="A4742" s="3">
        <v>40367</v>
      </c>
      <c r="B4742">
        <v>30.912500000000001</v>
      </c>
      <c r="C4742">
        <f t="shared" si="77"/>
        <v>2010</v>
      </c>
    </row>
    <row r="4743" spans="1:3" x14ac:dyDescent="0.2">
      <c r="A4743" s="3">
        <v>40366</v>
      </c>
      <c r="B4743">
        <v>31.063800000000001</v>
      </c>
      <c r="C4743">
        <f t="shared" si="77"/>
        <v>2010</v>
      </c>
    </row>
    <row r="4744" spans="1:3" x14ac:dyDescent="0.2">
      <c r="A4744" s="3">
        <v>40365</v>
      </c>
      <c r="B4744">
        <v>30.9588</v>
      </c>
      <c r="C4744">
        <f t="shared" si="77"/>
        <v>2010</v>
      </c>
    </row>
    <row r="4745" spans="1:3" x14ac:dyDescent="0.2">
      <c r="A4745" s="3">
        <v>40364</v>
      </c>
      <c r="B4745">
        <v>31.175000000000001</v>
      </c>
      <c r="C4745">
        <f t="shared" si="77"/>
        <v>2010</v>
      </c>
    </row>
    <row r="4746" spans="1:3" x14ac:dyDescent="0.2">
      <c r="A4746" s="3">
        <v>40361</v>
      </c>
      <c r="B4746">
        <v>31.114999999999998</v>
      </c>
      <c r="C4746">
        <f t="shared" si="77"/>
        <v>2010</v>
      </c>
    </row>
    <row r="4747" spans="1:3" x14ac:dyDescent="0.2">
      <c r="A4747" s="3">
        <v>40360</v>
      </c>
      <c r="B4747">
        <v>31.276299999999999</v>
      </c>
      <c r="C4747">
        <f t="shared" si="77"/>
        <v>2010</v>
      </c>
    </row>
    <row r="4748" spans="1:3" x14ac:dyDescent="0.2">
      <c r="A4748" s="3">
        <v>40359</v>
      </c>
      <c r="B4748">
        <v>31.209499999999998</v>
      </c>
      <c r="C4748">
        <f t="shared" si="77"/>
        <v>2010</v>
      </c>
    </row>
    <row r="4749" spans="1:3" x14ac:dyDescent="0.2">
      <c r="A4749" s="3">
        <v>40358</v>
      </c>
      <c r="B4749">
        <v>31.336300000000001</v>
      </c>
      <c r="C4749">
        <f t="shared" si="77"/>
        <v>2010</v>
      </c>
    </row>
    <row r="4750" spans="1:3" x14ac:dyDescent="0.2">
      <c r="A4750" s="3">
        <v>40357</v>
      </c>
      <c r="B4750">
        <v>31.039400000000001</v>
      </c>
      <c r="C4750">
        <f t="shared" si="77"/>
        <v>2010</v>
      </c>
    </row>
    <row r="4751" spans="1:3" x14ac:dyDescent="0.2">
      <c r="A4751" s="3">
        <v>40354</v>
      </c>
      <c r="B4751">
        <v>31.0306</v>
      </c>
      <c r="C4751">
        <f t="shared" si="77"/>
        <v>2010</v>
      </c>
    </row>
    <row r="4752" spans="1:3" x14ac:dyDescent="0.2">
      <c r="A4752" s="3">
        <v>40353</v>
      </c>
      <c r="B4752">
        <v>31.003799999999998</v>
      </c>
      <c r="C4752">
        <f t="shared" si="77"/>
        <v>2010</v>
      </c>
    </row>
    <row r="4753" spans="1:3" x14ac:dyDescent="0.2">
      <c r="A4753" s="3">
        <v>40352</v>
      </c>
      <c r="B4753">
        <v>31.1599</v>
      </c>
      <c r="C4753">
        <f t="shared" si="77"/>
        <v>2010</v>
      </c>
    </row>
    <row r="4754" spans="1:3" x14ac:dyDescent="0.2">
      <c r="A4754" s="3">
        <v>40351</v>
      </c>
      <c r="B4754">
        <v>30.889299999999999</v>
      </c>
      <c r="C4754">
        <f t="shared" si="77"/>
        <v>2010</v>
      </c>
    </row>
    <row r="4755" spans="1:3" x14ac:dyDescent="0.2">
      <c r="A4755" s="3">
        <v>40350</v>
      </c>
      <c r="B4755">
        <v>30.7851</v>
      </c>
      <c r="C4755">
        <f t="shared" si="77"/>
        <v>2010</v>
      </c>
    </row>
    <row r="4756" spans="1:3" x14ac:dyDescent="0.2">
      <c r="A4756" s="3">
        <v>40347</v>
      </c>
      <c r="B4756">
        <v>30.996099999999998</v>
      </c>
      <c r="C4756">
        <f t="shared" si="77"/>
        <v>2010</v>
      </c>
    </row>
    <row r="4757" spans="1:3" x14ac:dyDescent="0.2">
      <c r="A4757" s="3">
        <v>40346</v>
      </c>
      <c r="B4757">
        <v>31.042999999999999</v>
      </c>
      <c r="C4757">
        <f t="shared" si="77"/>
        <v>2010</v>
      </c>
    </row>
    <row r="4758" spans="1:3" x14ac:dyDescent="0.2">
      <c r="A4758" s="3">
        <v>40345</v>
      </c>
      <c r="B4758">
        <v>31.1388</v>
      </c>
      <c r="C4758">
        <f t="shared" si="77"/>
        <v>2010</v>
      </c>
    </row>
    <row r="4759" spans="1:3" x14ac:dyDescent="0.2">
      <c r="A4759" s="3">
        <v>40344</v>
      </c>
      <c r="B4759">
        <v>31.232500000000002</v>
      </c>
      <c r="C4759">
        <f t="shared" si="77"/>
        <v>2010</v>
      </c>
    </row>
    <row r="4760" spans="1:3" x14ac:dyDescent="0.2">
      <c r="A4760" s="3">
        <v>40343</v>
      </c>
      <c r="B4760">
        <v>31.654</v>
      </c>
      <c r="C4760">
        <f t="shared" si="77"/>
        <v>2010</v>
      </c>
    </row>
    <row r="4761" spans="1:3" x14ac:dyDescent="0.2">
      <c r="A4761" s="3">
        <v>40340</v>
      </c>
      <c r="B4761">
        <v>31.581600000000002</v>
      </c>
      <c r="C4761">
        <f t="shared" si="77"/>
        <v>2010</v>
      </c>
    </row>
    <row r="4762" spans="1:3" x14ac:dyDescent="0.2">
      <c r="A4762" s="3">
        <v>40339</v>
      </c>
      <c r="B4762">
        <v>31.465</v>
      </c>
      <c r="C4762">
        <f t="shared" si="77"/>
        <v>2010</v>
      </c>
    </row>
    <row r="4763" spans="1:3" x14ac:dyDescent="0.2">
      <c r="A4763" s="3">
        <v>40338</v>
      </c>
      <c r="B4763">
        <v>31.481300000000001</v>
      </c>
      <c r="C4763">
        <f t="shared" si="77"/>
        <v>2010</v>
      </c>
    </row>
    <row r="4764" spans="1:3" x14ac:dyDescent="0.2">
      <c r="A4764" s="3">
        <v>40337</v>
      </c>
      <c r="B4764">
        <v>31.8</v>
      </c>
      <c r="C4764">
        <f t="shared" si="77"/>
        <v>2010</v>
      </c>
    </row>
    <row r="4765" spans="1:3" x14ac:dyDescent="0.2">
      <c r="A4765" s="3">
        <v>40336</v>
      </c>
      <c r="B4765">
        <v>31.7775</v>
      </c>
      <c r="C4765">
        <f t="shared" si="77"/>
        <v>2010</v>
      </c>
    </row>
    <row r="4766" spans="1:3" x14ac:dyDescent="0.2">
      <c r="A4766" s="3">
        <v>40333</v>
      </c>
      <c r="B4766">
        <v>31.476299999999998</v>
      </c>
      <c r="C4766">
        <f t="shared" si="77"/>
        <v>2010</v>
      </c>
    </row>
    <row r="4767" spans="1:3" x14ac:dyDescent="0.2">
      <c r="A4767" s="3">
        <v>40332</v>
      </c>
      <c r="B4767">
        <v>31.09</v>
      </c>
      <c r="C4767">
        <f t="shared" si="77"/>
        <v>2010</v>
      </c>
    </row>
    <row r="4768" spans="1:3" x14ac:dyDescent="0.2">
      <c r="A4768" s="3">
        <v>40331</v>
      </c>
      <c r="B4768">
        <v>31.0625</v>
      </c>
      <c r="C4768">
        <f t="shared" si="77"/>
        <v>2010</v>
      </c>
    </row>
    <row r="4769" spans="1:3" x14ac:dyDescent="0.2">
      <c r="A4769" s="3">
        <v>40330</v>
      </c>
      <c r="B4769">
        <v>31.01</v>
      </c>
      <c r="C4769">
        <f t="shared" si="77"/>
        <v>2010</v>
      </c>
    </row>
    <row r="4770" spans="1:3" x14ac:dyDescent="0.2">
      <c r="A4770" s="3">
        <v>40329</v>
      </c>
      <c r="B4770">
        <v>30.9025</v>
      </c>
      <c r="C4770">
        <f t="shared" si="77"/>
        <v>2010</v>
      </c>
    </row>
    <row r="4771" spans="1:3" x14ac:dyDescent="0.2">
      <c r="A4771" s="3">
        <v>40326</v>
      </c>
      <c r="B4771">
        <v>30.657499999999999</v>
      </c>
      <c r="C4771">
        <f t="shared" si="77"/>
        <v>2010</v>
      </c>
    </row>
    <row r="4772" spans="1:3" x14ac:dyDescent="0.2">
      <c r="A4772" s="3">
        <v>40325</v>
      </c>
      <c r="B4772">
        <v>30.538799999999998</v>
      </c>
      <c r="C4772">
        <f t="shared" si="77"/>
        <v>2010</v>
      </c>
    </row>
    <row r="4773" spans="1:3" x14ac:dyDescent="0.2">
      <c r="A4773" s="3">
        <v>40324</v>
      </c>
      <c r="B4773">
        <v>31.142499999999998</v>
      </c>
      <c r="C4773">
        <f t="shared" si="77"/>
        <v>2010</v>
      </c>
    </row>
    <row r="4774" spans="1:3" x14ac:dyDescent="0.2">
      <c r="A4774" s="3">
        <v>40323</v>
      </c>
      <c r="B4774">
        <v>31.53</v>
      </c>
      <c r="C4774">
        <f t="shared" si="77"/>
        <v>2010</v>
      </c>
    </row>
    <row r="4775" spans="1:3" x14ac:dyDescent="0.2">
      <c r="A4775" s="3">
        <v>40322</v>
      </c>
      <c r="B4775">
        <v>30.922499999999999</v>
      </c>
      <c r="C4775">
        <f t="shared" si="77"/>
        <v>2010</v>
      </c>
    </row>
    <row r="4776" spans="1:3" x14ac:dyDescent="0.2">
      <c r="A4776" s="3">
        <v>40319</v>
      </c>
      <c r="B4776">
        <v>31.077500000000001</v>
      </c>
      <c r="C4776">
        <f t="shared" si="77"/>
        <v>2010</v>
      </c>
    </row>
    <row r="4777" spans="1:3" x14ac:dyDescent="0.2">
      <c r="A4777" s="3">
        <v>40318</v>
      </c>
      <c r="B4777">
        <v>31.425000000000001</v>
      </c>
      <c r="C4777">
        <f t="shared" si="77"/>
        <v>2010</v>
      </c>
    </row>
    <row r="4778" spans="1:3" x14ac:dyDescent="0.2">
      <c r="A4778" s="3">
        <v>40317</v>
      </c>
      <c r="B4778">
        <v>30.821300000000001</v>
      </c>
      <c r="C4778">
        <f t="shared" si="77"/>
        <v>2010</v>
      </c>
    </row>
    <row r="4779" spans="1:3" x14ac:dyDescent="0.2">
      <c r="A4779" s="3">
        <v>40316</v>
      </c>
      <c r="B4779">
        <v>30.434999999999999</v>
      </c>
      <c r="C4779">
        <f t="shared" si="77"/>
        <v>2010</v>
      </c>
    </row>
    <row r="4780" spans="1:3" x14ac:dyDescent="0.2">
      <c r="A4780" s="3">
        <v>40315</v>
      </c>
      <c r="B4780">
        <v>30.657499999999999</v>
      </c>
      <c r="C4780">
        <f t="shared" si="77"/>
        <v>2010</v>
      </c>
    </row>
    <row r="4781" spans="1:3" x14ac:dyDescent="0.2">
      <c r="A4781" s="3">
        <v>40312</v>
      </c>
      <c r="B4781">
        <v>30.504999999999999</v>
      </c>
      <c r="C4781">
        <f t="shared" si="77"/>
        <v>2010</v>
      </c>
    </row>
    <row r="4782" spans="1:3" x14ac:dyDescent="0.2">
      <c r="A4782" s="3">
        <v>40311</v>
      </c>
      <c r="B4782">
        <v>30.01</v>
      </c>
      <c r="C4782">
        <f t="shared" si="77"/>
        <v>2010</v>
      </c>
    </row>
    <row r="4783" spans="1:3" x14ac:dyDescent="0.2">
      <c r="A4783" s="3">
        <v>40310</v>
      </c>
      <c r="B4783">
        <v>29.9725</v>
      </c>
      <c r="C4783">
        <f t="shared" si="77"/>
        <v>2010</v>
      </c>
    </row>
    <row r="4784" spans="1:3" x14ac:dyDescent="0.2">
      <c r="A4784" s="3">
        <v>40309</v>
      </c>
      <c r="B4784">
        <v>30.154800000000002</v>
      </c>
      <c r="C4784">
        <f t="shared" si="77"/>
        <v>2010</v>
      </c>
    </row>
    <row r="4785" spans="1:3" x14ac:dyDescent="0.2">
      <c r="A4785" s="3">
        <v>40308</v>
      </c>
      <c r="B4785">
        <v>30.156700000000001</v>
      </c>
      <c r="C4785">
        <f t="shared" si="77"/>
        <v>2010</v>
      </c>
    </row>
    <row r="4786" spans="1:3" x14ac:dyDescent="0.2">
      <c r="A4786" s="3">
        <v>40305</v>
      </c>
      <c r="B4786">
        <v>30.614999999999998</v>
      </c>
      <c r="C4786">
        <f t="shared" si="77"/>
        <v>2010</v>
      </c>
    </row>
    <row r="4787" spans="1:3" x14ac:dyDescent="0.2">
      <c r="A4787" s="3">
        <v>40304</v>
      </c>
      <c r="B4787">
        <v>30.598800000000001</v>
      </c>
      <c r="C4787">
        <f t="shared" si="77"/>
        <v>2010</v>
      </c>
    </row>
    <row r="4788" spans="1:3" x14ac:dyDescent="0.2">
      <c r="A4788" s="3">
        <v>40303</v>
      </c>
      <c r="B4788">
        <v>30.050999999999998</v>
      </c>
      <c r="C4788">
        <f t="shared" si="77"/>
        <v>2010</v>
      </c>
    </row>
    <row r="4789" spans="1:3" x14ac:dyDescent="0.2">
      <c r="A4789" s="3">
        <v>40302</v>
      </c>
      <c r="B4789">
        <v>29.661300000000001</v>
      </c>
      <c r="C4789">
        <f t="shared" si="77"/>
        <v>2010</v>
      </c>
    </row>
    <row r="4790" spans="1:3" x14ac:dyDescent="0.2">
      <c r="A4790" s="3">
        <v>40301</v>
      </c>
      <c r="B4790">
        <v>29.355</v>
      </c>
      <c r="C4790">
        <f t="shared" si="77"/>
        <v>2010</v>
      </c>
    </row>
    <row r="4791" spans="1:3" x14ac:dyDescent="0.2">
      <c r="A4791" s="3">
        <v>40298</v>
      </c>
      <c r="B4791">
        <v>29.253699999999998</v>
      </c>
      <c r="C4791">
        <f t="shared" si="77"/>
        <v>2010</v>
      </c>
    </row>
    <row r="4792" spans="1:3" x14ac:dyDescent="0.2">
      <c r="A4792" s="3">
        <v>40297</v>
      </c>
      <c r="B4792">
        <v>29.192799999999998</v>
      </c>
      <c r="C4792">
        <f t="shared" si="77"/>
        <v>2010</v>
      </c>
    </row>
    <row r="4793" spans="1:3" x14ac:dyDescent="0.2">
      <c r="A4793" s="3">
        <v>40296</v>
      </c>
      <c r="B4793">
        <v>29.44</v>
      </c>
      <c r="C4793">
        <f t="shared" si="77"/>
        <v>2010</v>
      </c>
    </row>
    <row r="4794" spans="1:3" x14ac:dyDescent="0.2">
      <c r="A4794" s="3">
        <v>40295</v>
      </c>
      <c r="B4794">
        <v>29.3462</v>
      </c>
      <c r="C4794">
        <f t="shared" si="77"/>
        <v>2010</v>
      </c>
    </row>
    <row r="4795" spans="1:3" x14ac:dyDescent="0.2">
      <c r="A4795" s="3">
        <v>40294</v>
      </c>
      <c r="B4795">
        <v>29.106000000000002</v>
      </c>
      <c r="C4795">
        <f t="shared" si="77"/>
        <v>2010</v>
      </c>
    </row>
    <row r="4796" spans="1:3" x14ac:dyDescent="0.2">
      <c r="A4796" s="3">
        <v>40291</v>
      </c>
      <c r="B4796">
        <v>29.122499999999999</v>
      </c>
      <c r="C4796">
        <f t="shared" si="77"/>
        <v>2010</v>
      </c>
    </row>
    <row r="4797" spans="1:3" x14ac:dyDescent="0.2">
      <c r="A4797" s="3">
        <v>40290</v>
      </c>
      <c r="B4797">
        <v>29.221800000000002</v>
      </c>
      <c r="C4797">
        <f t="shared" si="77"/>
        <v>2010</v>
      </c>
    </row>
    <row r="4798" spans="1:3" x14ac:dyDescent="0.2">
      <c r="A4798" s="3">
        <v>40289</v>
      </c>
      <c r="B4798">
        <v>29.126000000000001</v>
      </c>
      <c r="C4798">
        <f t="shared" si="77"/>
        <v>2010</v>
      </c>
    </row>
    <row r="4799" spans="1:3" x14ac:dyDescent="0.2">
      <c r="A4799" s="3">
        <v>40288</v>
      </c>
      <c r="B4799">
        <v>29.139800000000001</v>
      </c>
      <c r="C4799">
        <f t="shared" si="77"/>
        <v>2010</v>
      </c>
    </row>
    <row r="4800" spans="1:3" x14ac:dyDescent="0.2">
      <c r="A4800" s="3">
        <v>40287</v>
      </c>
      <c r="B4800">
        <v>29.183499999999999</v>
      </c>
      <c r="C4800">
        <f t="shared" si="77"/>
        <v>2010</v>
      </c>
    </row>
    <row r="4801" spans="1:3" x14ac:dyDescent="0.2">
      <c r="A4801" s="3">
        <v>40284</v>
      </c>
      <c r="B4801">
        <v>29.091999999999999</v>
      </c>
      <c r="C4801">
        <f t="shared" si="77"/>
        <v>2010</v>
      </c>
    </row>
    <row r="4802" spans="1:3" x14ac:dyDescent="0.2">
      <c r="A4802" s="3">
        <v>40283</v>
      </c>
      <c r="B4802">
        <v>29.023900000000001</v>
      </c>
      <c r="C4802">
        <f t="shared" si="77"/>
        <v>2010</v>
      </c>
    </row>
    <row r="4803" spans="1:3" x14ac:dyDescent="0.2">
      <c r="A4803" s="3">
        <v>40282</v>
      </c>
      <c r="B4803">
        <v>28.9194</v>
      </c>
      <c r="C4803">
        <f t="shared" si="77"/>
        <v>2010</v>
      </c>
    </row>
    <row r="4804" spans="1:3" x14ac:dyDescent="0.2">
      <c r="A4804" s="3">
        <v>40281</v>
      </c>
      <c r="B4804">
        <v>29.1</v>
      </c>
      <c r="C4804">
        <f t="shared" ref="C4804:C4867" si="78">YEAR(A4804)</f>
        <v>2010</v>
      </c>
    </row>
    <row r="4805" spans="1:3" x14ac:dyDescent="0.2">
      <c r="A4805" s="3">
        <v>40280</v>
      </c>
      <c r="B4805">
        <v>29.0261</v>
      </c>
      <c r="C4805">
        <f t="shared" si="78"/>
        <v>2010</v>
      </c>
    </row>
    <row r="4806" spans="1:3" x14ac:dyDescent="0.2">
      <c r="A4806" s="3">
        <v>40277</v>
      </c>
      <c r="B4806">
        <v>29.1525</v>
      </c>
      <c r="C4806">
        <f t="shared" si="78"/>
        <v>2010</v>
      </c>
    </row>
    <row r="4807" spans="1:3" x14ac:dyDescent="0.2">
      <c r="A4807" s="3">
        <v>40276</v>
      </c>
      <c r="B4807">
        <v>29.4194</v>
      </c>
      <c r="C4807">
        <f t="shared" si="78"/>
        <v>2010</v>
      </c>
    </row>
    <row r="4808" spans="1:3" x14ac:dyDescent="0.2">
      <c r="A4808" s="3">
        <v>40275</v>
      </c>
      <c r="B4808">
        <v>29.3095</v>
      </c>
      <c r="C4808">
        <f t="shared" si="78"/>
        <v>2010</v>
      </c>
    </row>
    <row r="4809" spans="1:3" x14ac:dyDescent="0.2">
      <c r="A4809" s="3">
        <v>40274</v>
      </c>
      <c r="B4809">
        <v>29.3263</v>
      </c>
      <c r="C4809">
        <f t="shared" si="78"/>
        <v>2010</v>
      </c>
    </row>
    <row r="4810" spans="1:3" x14ac:dyDescent="0.2">
      <c r="A4810" s="3">
        <v>40273</v>
      </c>
      <c r="B4810">
        <v>29.188800000000001</v>
      </c>
      <c r="C4810">
        <f t="shared" si="78"/>
        <v>2010</v>
      </c>
    </row>
    <row r="4811" spans="1:3" x14ac:dyDescent="0.2">
      <c r="A4811" s="3">
        <v>40270</v>
      </c>
      <c r="B4811">
        <v>29.27</v>
      </c>
      <c r="C4811">
        <f t="shared" si="78"/>
        <v>2010</v>
      </c>
    </row>
    <row r="4812" spans="1:3" x14ac:dyDescent="0.2">
      <c r="A4812" s="3">
        <v>40269</v>
      </c>
      <c r="B4812">
        <v>29.27</v>
      </c>
      <c r="C4812">
        <f t="shared" si="78"/>
        <v>2010</v>
      </c>
    </row>
    <row r="4813" spans="1:3" x14ac:dyDescent="0.2">
      <c r="A4813" s="3">
        <v>40268</v>
      </c>
      <c r="B4813">
        <v>29.420500000000001</v>
      </c>
      <c r="C4813">
        <f t="shared" si="78"/>
        <v>2010</v>
      </c>
    </row>
    <row r="4814" spans="1:3" x14ac:dyDescent="0.2">
      <c r="A4814" s="3">
        <v>40267</v>
      </c>
      <c r="B4814">
        <v>29.507000000000001</v>
      </c>
      <c r="C4814">
        <f t="shared" si="78"/>
        <v>2010</v>
      </c>
    </row>
    <row r="4815" spans="1:3" x14ac:dyDescent="0.2">
      <c r="A4815" s="3">
        <v>40266</v>
      </c>
      <c r="B4815">
        <v>29.526299999999999</v>
      </c>
      <c r="C4815">
        <f t="shared" si="78"/>
        <v>2010</v>
      </c>
    </row>
    <row r="4816" spans="1:3" x14ac:dyDescent="0.2">
      <c r="A4816" s="3">
        <v>40263</v>
      </c>
      <c r="B4816">
        <v>29.621500000000001</v>
      </c>
      <c r="C4816">
        <f t="shared" si="78"/>
        <v>2010</v>
      </c>
    </row>
    <row r="4817" spans="1:3" x14ac:dyDescent="0.2">
      <c r="A4817" s="3">
        <v>40262</v>
      </c>
      <c r="B4817">
        <v>29.58</v>
      </c>
      <c r="C4817">
        <f t="shared" si="78"/>
        <v>2010</v>
      </c>
    </row>
    <row r="4818" spans="1:3" x14ac:dyDescent="0.2">
      <c r="A4818" s="3">
        <v>40261</v>
      </c>
      <c r="B4818">
        <v>29.6675</v>
      </c>
      <c r="C4818">
        <f t="shared" si="78"/>
        <v>2010</v>
      </c>
    </row>
    <row r="4819" spans="1:3" x14ac:dyDescent="0.2">
      <c r="A4819" s="3">
        <v>40260</v>
      </c>
      <c r="B4819">
        <v>29.520299999999999</v>
      </c>
      <c r="C4819">
        <f t="shared" si="78"/>
        <v>2010</v>
      </c>
    </row>
    <row r="4820" spans="1:3" x14ac:dyDescent="0.2">
      <c r="A4820" s="3">
        <v>40259</v>
      </c>
      <c r="B4820">
        <v>29.526800000000001</v>
      </c>
      <c r="C4820">
        <f t="shared" si="78"/>
        <v>2010</v>
      </c>
    </row>
    <row r="4821" spans="1:3" x14ac:dyDescent="0.2">
      <c r="A4821" s="3">
        <v>40256</v>
      </c>
      <c r="B4821">
        <v>29.325299999999999</v>
      </c>
      <c r="C4821">
        <f t="shared" si="78"/>
        <v>2010</v>
      </c>
    </row>
    <row r="4822" spans="1:3" x14ac:dyDescent="0.2">
      <c r="A4822" s="3">
        <v>40255</v>
      </c>
      <c r="B4822">
        <v>29.292400000000001</v>
      </c>
      <c r="C4822">
        <f t="shared" si="78"/>
        <v>2010</v>
      </c>
    </row>
    <row r="4823" spans="1:3" x14ac:dyDescent="0.2">
      <c r="A4823" s="3">
        <v>40254</v>
      </c>
      <c r="B4823">
        <v>29.136199999999999</v>
      </c>
      <c r="C4823">
        <f t="shared" si="78"/>
        <v>2010</v>
      </c>
    </row>
    <row r="4824" spans="1:3" x14ac:dyDescent="0.2">
      <c r="A4824" s="3">
        <v>40253</v>
      </c>
      <c r="B4824">
        <v>29.345800000000001</v>
      </c>
      <c r="C4824">
        <f t="shared" si="78"/>
        <v>2010</v>
      </c>
    </row>
    <row r="4825" spans="1:3" x14ac:dyDescent="0.2">
      <c r="A4825" s="3">
        <v>40252</v>
      </c>
      <c r="B4825">
        <v>29.431999999999999</v>
      </c>
      <c r="C4825">
        <f t="shared" si="78"/>
        <v>2010</v>
      </c>
    </row>
    <row r="4826" spans="1:3" x14ac:dyDescent="0.2">
      <c r="A4826" s="3">
        <v>40249</v>
      </c>
      <c r="B4826">
        <v>29.297699999999999</v>
      </c>
      <c r="C4826">
        <f t="shared" si="78"/>
        <v>2010</v>
      </c>
    </row>
    <row r="4827" spans="1:3" x14ac:dyDescent="0.2">
      <c r="A4827" s="3">
        <v>40248</v>
      </c>
      <c r="B4827">
        <v>29.474</v>
      </c>
      <c r="C4827">
        <f t="shared" si="78"/>
        <v>2010</v>
      </c>
    </row>
    <row r="4828" spans="1:3" x14ac:dyDescent="0.2">
      <c r="A4828" s="3">
        <v>40247</v>
      </c>
      <c r="B4828">
        <v>29.568000000000001</v>
      </c>
      <c r="C4828">
        <f t="shared" si="78"/>
        <v>2010</v>
      </c>
    </row>
    <row r="4829" spans="1:3" x14ac:dyDescent="0.2">
      <c r="A4829" s="3">
        <v>40246</v>
      </c>
      <c r="B4829">
        <v>29.744</v>
      </c>
      <c r="C4829">
        <f t="shared" si="78"/>
        <v>2010</v>
      </c>
    </row>
    <row r="4830" spans="1:3" x14ac:dyDescent="0.2">
      <c r="A4830" s="3">
        <v>40245</v>
      </c>
      <c r="B4830">
        <v>29.753</v>
      </c>
      <c r="C4830">
        <f t="shared" si="78"/>
        <v>2010</v>
      </c>
    </row>
    <row r="4831" spans="1:3" x14ac:dyDescent="0.2">
      <c r="A4831" s="3">
        <v>40242</v>
      </c>
      <c r="B4831">
        <v>29.791599999999999</v>
      </c>
      <c r="C4831">
        <f t="shared" si="78"/>
        <v>2010</v>
      </c>
    </row>
    <row r="4832" spans="1:3" x14ac:dyDescent="0.2">
      <c r="A4832" s="3">
        <v>40241</v>
      </c>
      <c r="B4832">
        <v>29.866</v>
      </c>
      <c r="C4832">
        <f t="shared" si="78"/>
        <v>2010</v>
      </c>
    </row>
    <row r="4833" spans="1:3" x14ac:dyDescent="0.2">
      <c r="A4833" s="3">
        <v>40240</v>
      </c>
      <c r="B4833">
        <v>29.763000000000002</v>
      </c>
      <c r="C4833">
        <f t="shared" si="78"/>
        <v>2010</v>
      </c>
    </row>
    <row r="4834" spans="1:3" x14ac:dyDescent="0.2">
      <c r="A4834" s="3">
        <v>40239</v>
      </c>
      <c r="B4834">
        <v>29.853000000000002</v>
      </c>
      <c r="C4834">
        <f t="shared" si="78"/>
        <v>2010</v>
      </c>
    </row>
    <row r="4835" spans="1:3" x14ac:dyDescent="0.2">
      <c r="A4835" s="3">
        <v>40238</v>
      </c>
      <c r="B4835">
        <v>29.9635</v>
      </c>
      <c r="C4835">
        <f t="shared" si="78"/>
        <v>2010</v>
      </c>
    </row>
    <row r="4836" spans="1:3" x14ac:dyDescent="0.2">
      <c r="A4836" s="3">
        <v>40235</v>
      </c>
      <c r="B4836">
        <v>29.948499999999999</v>
      </c>
      <c r="C4836">
        <f t="shared" si="78"/>
        <v>2010</v>
      </c>
    </row>
    <row r="4837" spans="1:3" x14ac:dyDescent="0.2">
      <c r="A4837" s="3">
        <v>40234</v>
      </c>
      <c r="B4837">
        <v>30.040500000000002</v>
      </c>
      <c r="C4837">
        <f t="shared" si="78"/>
        <v>2010</v>
      </c>
    </row>
    <row r="4838" spans="1:3" x14ac:dyDescent="0.2">
      <c r="A4838" s="3">
        <v>40233</v>
      </c>
      <c r="B4838">
        <v>30.021000000000001</v>
      </c>
      <c r="C4838">
        <f t="shared" si="78"/>
        <v>2010</v>
      </c>
    </row>
    <row r="4839" spans="1:3" x14ac:dyDescent="0.2">
      <c r="A4839" s="3">
        <v>40232</v>
      </c>
      <c r="B4839">
        <v>29.99</v>
      </c>
      <c r="C4839">
        <f t="shared" si="78"/>
        <v>2010</v>
      </c>
    </row>
    <row r="4840" spans="1:3" x14ac:dyDescent="0.2">
      <c r="A4840" s="3">
        <v>40231</v>
      </c>
      <c r="B4840">
        <v>29.984999999999999</v>
      </c>
      <c r="C4840">
        <f t="shared" si="78"/>
        <v>2010</v>
      </c>
    </row>
    <row r="4841" spans="1:3" x14ac:dyDescent="0.2">
      <c r="A4841" s="3">
        <v>40228</v>
      </c>
      <c r="B4841">
        <v>30.012499999999999</v>
      </c>
      <c r="C4841">
        <f t="shared" si="78"/>
        <v>2010</v>
      </c>
    </row>
    <row r="4842" spans="1:3" x14ac:dyDescent="0.2">
      <c r="A4842" s="3">
        <v>40227</v>
      </c>
      <c r="B4842">
        <v>30.03</v>
      </c>
      <c r="C4842">
        <f t="shared" si="78"/>
        <v>2010</v>
      </c>
    </row>
    <row r="4843" spans="1:3" x14ac:dyDescent="0.2">
      <c r="A4843" s="3">
        <v>40226</v>
      </c>
      <c r="B4843">
        <v>30.1235</v>
      </c>
      <c r="C4843">
        <f t="shared" si="78"/>
        <v>2010</v>
      </c>
    </row>
    <row r="4844" spans="1:3" x14ac:dyDescent="0.2">
      <c r="A4844" s="3">
        <v>40225</v>
      </c>
      <c r="B4844">
        <v>30.026800000000001</v>
      </c>
      <c r="C4844">
        <f t="shared" si="78"/>
        <v>2010</v>
      </c>
    </row>
    <row r="4845" spans="1:3" x14ac:dyDescent="0.2">
      <c r="A4845" s="3">
        <v>40224</v>
      </c>
      <c r="B4845">
        <v>30.225200000000001</v>
      </c>
      <c r="C4845">
        <f t="shared" si="78"/>
        <v>2010</v>
      </c>
    </row>
    <row r="4846" spans="1:3" x14ac:dyDescent="0.2">
      <c r="A4846" s="3">
        <v>40221</v>
      </c>
      <c r="B4846">
        <v>30.202500000000001</v>
      </c>
      <c r="C4846">
        <f t="shared" si="78"/>
        <v>2010</v>
      </c>
    </row>
    <row r="4847" spans="1:3" x14ac:dyDescent="0.2">
      <c r="A4847" s="3">
        <v>40220</v>
      </c>
      <c r="B4847">
        <v>30.177499999999998</v>
      </c>
      <c r="C4847">
        <f t="shared" si="78"/>
        <v>2010</v>
      </c>
    </row>
    <row r="4848" spans="1:3" x14ac:dyDescent="0.2">
      <c r="A4848" s="3">
        <v>40219</v>
      </c>
      <c r="B4848">
        <v>30.315000000000001</v>
      </c>
      <c r="C4848">
        <f t="shared" si="78"/>
        <v>2010</v>
      </c>
    </row>
    <row r="4849" spans="1:3" x14ac:dyDescent="0.2">
      <c r="A4849" s="3">
        <v>40218</v>
      </c>
      <c r="B4849">
        <v>30.248999999999999</v>
      </c>
      <c r="C4849">
        <f t="shared" si="78"/>
        <v>2010</v>
      </c>
    </row>
    <row r="4850" spans="1:3" x14ac:dyDescent="0.2">
      <c r="A4850" s="3">
        <v>40217</v>
      </c>
      <c r="B4850">
        <v>30.4861</v>
      </c>
      <c r="C4850">
        <f t="shared" si="78"/>
        <v>2010</v>
      </c>
    </row>
    <row r="4851" spans="1:3" x14ac:dyDescent="0.2">
      <c r="A4851" s="3">
        <v>40214</v>
      </c>
      <c r="B4851">
        <v>30.46</v>
      </c>
      <c r="C4851">
        <f t="shared" si="78"/>
        <v>2010</v>
      </c>
    </row>
    <row r="4852" spans="1:3" x14ac:dyDescent="0.2">
      <c r="A4852" s="3">
        <v>40213</v>
      </c>
      <c r="B4852">
        <v>30.429500000000001</v>
      </c>
      <c r="C4852">
        <f t="shared" si="78"/>
        <v>2010</v>
      </c>
    </row>
    <row r="4853" spans="1:3" x14ac:dyDescent="0.2">
      <c r="A4853" s="3">
        <v>40212</v>
      </c>
      <c r="B4853">
        <v>29.995000000000001</v>
      </c>
      <c r="C4853">
        <f t="shared" si="78"/>
        <v>2010</v>
      </c>
    </row>
    <row r="4854" spans="1:3" x14ac:dyDescent="0.2">
      <c r="A4854" s="3">
        <v>40211</v>
      </c>
      <c r="B4854">
        <v>30.114999999999998</v>
      </c>
      <c r="C4854">
        <f t="shared" si="78"/>
        <v>2010</v>
      </c>
    </row>
    <row r="4855" spans="1:3" x14ac:dyDescent="0.2">
      <c r="A4855" s="3">
        <v>40210</v>
      </c>
      <c r="B4855">
        <v>30.3324</v>
      </c>
      <c r="C4855">
        <f t="shared" si="78"/>
        <v>2010</v>
      </c>
    </row>
    <row r="4856" spans="1:3" x14ac:dyDescent="0.2">
      <c r="A4856" s="3">
        <v>40207</v>
      </c>
      <c r="B4856">
        <v>30.348199999999999</v>
      </c>
      <c r="C4856">
        <f t="shared" si="78"/>
        <v>2010</v>
      </c>
    </row>
    <row r="4857" spans="1:3" x14ac:dyDescent="0.2">
      <c r="A4857" s="3">
        <v>40206</v>
      </c>
      <c r="B4857">
        <v>30.3568</v>
      </c>
      <c r="C4857">
        <f t="shared" si="78"/>
        <v>2010</v>
      </c>
    </row>
    <row r="4858" spans="1:3" x14ac:dyDescent="0.2">
      <c r="A4858" s="3">
        <v>40205</v>
      </c>
      <c r="B4858">
        <v>30.3078</v>
      </c>
      <c r="C4858">
        <f t="shared" si="78"/>
        <v>2010</v>
      </c>
    </row>
    <row r="4859" spans="1:3" x14ac:dyDescent="0.2">
      <c r="A4859" s="3">
        <v>40204</v>
      </c>
      <c r="B4859">
        <v>30.3188</v>
      </c>
      <c r="C4859">
        <f t="shared" si="78"/>
        <v>2010</v>
      </c>
    </row>
    <row r="4860" spans="1:3" x14ac:dyDescent="0.2">
      <c r="A4860" s="3">
        <v>40203</v>
      </c>
      <c r="B4860">
        <v>30.1172</v>
      </c>
      <c r="C4860">
        <f t="shared" si="78"/>
        <v>2010</v>
      </c>
    </row>
    <row r="4861" spans="1:3" x14ac:dyDescent="0.2">
      <c r="A4861" s="3">
        <v>40200</v>
      </c>
      <c r="B4861">
        <v>29.84</v>
      </c>
      <c r="C4861">
        <f t="shared" si="78"/>
        <v>2010</v>
      </c>
    </row>
    <row r="4862" spans="1:3" x14ac:dyDescent="0.2">
      <c r="A4862" s="3">
        <v>40199</v>
      </c>
      <c r="B4862">
        <v>29.756</v>
      </c>
      <c r="C4862">
        <f t="shared" si="78"/>
        <v>2010</v>
      </c>
    </row>
    <row r="4863" spans="1:3" x14ac:dyDescent="0.2">
      <c r="A4863" s="3">
        <v>40198</v>
      </c>
      <c r="B4863">
        <v>29.751300000000001</v>
      </c>
      <c r="C4863">
        <f t="shared" si="78"/>
        <v>2010</v>
      </c>
    </row>
    <row r="4864" spans="1:3" x14ac:dyDescent="0.2">
      <c r="A4864" s="3">
        <v>40197</v>
      </c>
      <c r="B4864">
        <v>29.606000000000002</v>
      </c>
      <c r="C4864">
        <f t="shared" si="78"/>
        <v>2010</v>
      </c>
    </row>
    <row r="4865" spans="1:3" x14ac:dyDescent="0.2">
      <c r="A4865" s="3">
        <v>40196</v>
      </c>
      <c r="B4865">
        <v>29.590900000000001</v>
      </c>
      <c r="C4865">
        <f t="shared" si="78"/>
        <v>2010</v>
      </c>
    </row>
    <row r="4866" spans="1:3" x14ac:dyDescent="0.2">
      <c r="A4866" s="3">
        <v>40193</v>
      </c>
      <c r="B4866">
        <v>29.545000000000002</v>
      </c>
      <c r="C4866">
        <f t="shared" si="78"/>
        <v>2010</v>
      </c>
    </row>
    <row r="4867" spans="1:3" x14ac:dyDescent="0.2">
      <c r="A4867" s="3">
        <v>40192</v>
      </c>
      <c r="B4867">
        <v>29.475000000000001</v>
      </c>
      <c r="C4867">
        <f t="shared" si="78"/>
        <v>2010</v>
      </c>
    </row>
    <row r="4868" spans="1:3" x14ac:dyDescent="0.2">
      <c r="A4868" s="3">
        <v>40191</v>
      </c>
      <c r="B4868">
        <v>29.596699999999998</v>
      </c>
      <c r="C4868">
        <f t="shared" ref="C4868:C4931" si="79">YEAR(A4868)</f>
        <v>2010</v>
      </c>
    </row>
    <row r="4869" spans="1:3" x14ac:dyDescent="0.2">
      <c r="A4869" s="3">
        <v>40190</v>
      </c>
      <c r="B4869">
        <v>29.509499999999999</v>
      </c>
      <c r="C4869">
        <f t="shared" si="79"/>
        <v>2010</v>
      </c>
    </row>
    <row r="4870" spans="1:3" x14ac:dyDescent="0.2">
      <c r="A4870" s="3">
        <v>40189</v>
      </c>
      <c r="B4870">
        <v>29.327000000000002</v>
      </c>
      <c r="C4870">
        <f t="shared" si="79"/>
        <v>2010</v>
      </c>
    </row>
    <row r="4871" spans="1:3" x14ac:dyDescent="0.2">
      <c r="A4871" s="3">
        <v>40186</v>
      </c>
      <c r="B4871">
        <v>29.765000000000001</v>
      </c>
      <c r="C4871">
        <f t="shared" si="79"/>
        <v>2010</v>
      </c>
    </row>
    <row r="4872" spans="1:3" x14ac:dyDescent="0.2">
      <c r="A4872" s="3">
        <v>40185</v>
      </c>
      <c r="B4872">
        <v>29.774999999999999</v>
      </c>
      <c r="C4872">
        <f t="shared" si="79"/>
        <v>2010</v>
      </c>
    </row>
    <row r="4873" spans="1:3" x14ac:dyDescent="0.2">
      <c r="A4873" s="3">
        <v>40184</v>
      </c>
      <c r="B4873">
        <v>29.715</v>
      </c>
      <c r="C4873">
        <f t="shared" si="79"/>
        <v>2010</v>
      </c>
    </row>
    <row r="4874" spans="1:3" x14ac:dyDescent="0.2">
      <c r="A4874" s="3">
        <v>40183</v>
      </c>
      <c r="B4874">
        <v>29.835999999999999</v>
      </c>
      <c r="C4874">
        <f t="shared" si="79"/>
        <v>2010</v>
      </c>
    </row>
    <row r="4875" spans="1:3" x14ac:dyDescent="0.2">
      <c r="A4875" s="3">
        <v>40182</v>
      </c>
      <c r="B4875">
        <v>29.905000000000001</v>
      </c>
      <c r="C4875">
        <f t="shared" si="79"/>
        <v>2010</v>
      </c>
    </row>
    <row r="4876" spans="1:3" x14ac:dyDescent="0.2">
      <c r="A4876" s="3">
        <v>40178</v>
      </c>
      <c r="B4876">
        <v>30.035</v>
      </c>
      <c r="C4876">
        <f t="shared" si="79"/>
        <v>2009</v>
      </c>
    </row>
    <row r="4877" spans="1:3" x14ac:dyDescent="0.2">
      <c r="A4877" s="3">
        <v>40177</v>
      </c>
      <c r="B4877">
        <v>30.313500000000001</v>
      </c>
      <c r="C4877">
        <f t="shared" si="79"/>
        <v>2009</v>
      </c>
    </row>
    <row r="4878" spans="1:3" x14ac:dyDescent="0.2">
      <c r="A4878" s="3">
        <v>40176</v>
      </c>
      <c r="B4878">
        <v>30.155999999999999</v>
      </c>
      <c r="C4878">
        <f t="shared" si="79"/>
        <v>2009</v>
      </c>
    </row>
    <row r="4879" spans="1:3" x14ac:dyDescent="0.2">
      <c r="A4879" s="3">
        <v>40175</v>
      </c>
      <c r="B4879">
        <v>29.7195</v>
      </c>
      <c r="C4879">
        <f t="shared" si="79"/>
        <v>2009</v>
      </c>
    </row>
    <row r="4880" spans="1:3" x14ac:dyDescent="0.2">
      <c r="A4880" s="3">
        <v>40172</v>
      </c>
      <c r="B4880">
        <v>29.675000000000001</v>
      </c>
      <c r="C4880">
        <f t="shared" si="79"/>
        <v>2009</v>
      </c>
    </row>
    <row r="4881" spans="1:3" x14ac:dyDescent="0.2">
      <c r="A4881" s="3">
        <v>40171</v>
      </c>
      <c r="B4881">
        <v>29.6173</v>
      </c>
      <c r="C4881">
        <f t="shared" si="79"/>
        <v>2009</v>
      </c>
    </row>
    <row r="4882" spans="1:3" x14ac:dyDescent="0.2">
      <c r="A4882" s="3">
        <v>40170</v>
      </c>
      <c r="B4882">
        <v>30.1999</v>
      </c>
      <c r="C4882">
        <f t="shared" si="79"/>
        <v>2009</v>
      </c>
    </row>
    <row r="4883" spans="1:3" x14ac:dyDescent="0.2">
      <c r="A4883" s="3">
        <v>40169</v>
      </c>
      <c r="B4883">
        <v>30.548500000000001</v>
      </c>
      <c r="C4883">
        <f t="shared" si="79"/>
        <v>2009</v>
      </c>
    </row>
    <row r="4884" spans="1:3" x14ac:dyDescent="0.2">
      <c r="A4884" s="3">
        <v>40168</v>
      </c>
      <c r="B4884">
        <v>30.514500000000002</v>
      </c>
      <c r="C4884">
        <f t="shared" si="79"/>
        <v>2009</v>
      </c>
    </row>
    <row r="4885" spans="1:3" x14ac:dyDescent="0.2">
      <c r="A4885" s="3">
        <v>40165</v>
      </c>
      <c r="B4885">
        <v>30.644100000000002</v>
      </c>
      <c r="C4885">
        <f t="shared" si="79"/>
        <v>2009</v>
      </c>
    </row>
    <row r="4886" spans="1:3" x14ac:dyDescent="0.2">
      <c r="A4886" s="3">
        <v>40164</v>
      </c>
      <c r="B4886">
        <v>30.8339</v>
      </c>
      <c r="C4886">
        <f t="shared" si="79"/>
        <v>2009</v>
      </c>
    </row>
    <row r="4887" spans="1:3" x14ac:dyDescent="0.2">
      <c r="A4887" s="3">
        <v>40163</v>
      </c>
      <c r="B4887">
        <v>30.266999999999999</v>
      </c>
      <c r="C4887">
        <f t="shared" si="79"/>
        <v>2009</v>
      </c>
    </row>
    <row r="4888" spans="1:3" x14ac:dyDescent="0.2">
      <c r="A4888" s="3">
        <v>40162</v>
      </c>
      <c r="B4888">
        <v>30.191500000000001</v>
      </c>
      <c r="C4888">
        <f t="shared" si="79"/>
        <v>2009</v>
      </c>
    </row>
    <row r="4889" spans="1:3" x14ac:dyDescent="0.2">
      <c r="A4889" s="3">
        <v>40161</v>
      </c>
      <c r="B4889">
        <v>30.062999999999999</v>
      </c>
      <c r="C4889">
        <f t="shared" si="79"/>
        <v>2009</v>
      </c>
    </row>
    <row r="4890" spans="1:3" x14ac:dyDescent="0.2">
      <c r="A4890" s="3">
        <v>40158</v>
      </c>
      <c r="B4890">
        <v>30.2624</v>
      </c>
      <c r="C4890">
        <f t="shared" si="79"/>
        <v>2009</v>
      </c>
    </row>
    <row r="4891" spans="1:3" x14ac:dyDescent="0.2">
      <c r="A4891" s="3">
        <v>40157</v>
      </c>
      <c r="B4891">
        <v>30.425000000000001</v>
      </c>
      <c r="C4891">
        <f t="shared" si="79"/>
        <v>2009</v>
      </c>
    </row>
    <row r="4892" spans="1:3" x14ac:dyDescent="0.2">
      <c r="A4892" s="3">
        <v>40156</v>
      </c>
      <c r="B4892">
        <v>30.459399999999999</v>
      </c>
      <c r="C4892">
        <f t="shared" si="79"/>
        <v>2009</v>
      </c>
    </row>
    <row r="4893" spans="1:3" x14ac:dyDescent="0.2">
      <c r="A4893" s="3">
        <v>40155</v>
      </c>
      <c r="B4893">
        <v>30.599</v>
      </c>
      <c r="C4893">
        <f t="shared" si="79"/>
        <v>2009</v>
      </c>
    </row>
    <row r="4894" spans="1:3" x14ac:dyDescent="0.2">
      <c r="A4894" s="3">
        <v>40154</v>
      </c>
      <c r="B4894">
        <v>29.897200000000002</v>
      </c>
      <c r="C4894">
        <f t="shared" si="79"/>
        <v>2009</v>
      </c>
    </row>
    <row r="4895" spans="1:3" x14ac:dyDescent="0.2">
      <c r="A4895" s="3">
        <v>40151</v>
      </c>
      <c r="B4895">
        <v>29.483000000000001</v>
      </c>
      <c r="C4895">
        <f t="shared" si="79"/>
        <v>2009</v>
      </c>
    </row>
    <row r="4896" spans="1:3" x14ac:dyDescent="0.2">
      <c r="A4896" s="3">
        <v>40150</v>
      </c>
      <c r="B4896">
        <v>29.1646</v>
      </c>
      <c r="C4896">
        <f t="shared" si="79"/>
        <v>2009</v>
      </c>
    </row>
    <row r="4897" spans="1:3" x14ac:dyDescent="0.2">
      <c r="A4897" s="3">
        <v>40149</v>
      </c>
      <c r="B4897">
        <v>29.358000000000001</v>
      </c>
      <c r="C4897">
        <f t="shared" si="79"/>
        <v>2009</v>
      </c>
    </row>
    <row r="4898" spans="1:3" x14ac:dyDescent="0.2">
      <c r="A4898" s="3">
        <v>40148</v>
      </c>
      <c r="B4898">
        <v>29.056000000000001</v>
      </c>
      <c r="C4898">
        <f t="shared" si="79"/>
        <v>2009</v>
      </c>
    </row>
    <row r="4899" spans="1:3" x14ac:dyDescent="0.2">
      <c r="A4899" s="3">
        <v>40147</v>
      </c>
      <c r="B4899">
        <v>29.263999999999999</v>
      </c>
      <c r="C4899">
        <f t="shared" si="79"/>
        <v>2009</v>
      </c>
    </row>
    <row r="4900" spans="1:3" x14ac:dyDescent="0.2">
      <c r="A4900" s="3">
        <v>40144</v>
      </c>
      <c r="B4900">
        <v>29.3322</v>
      </c>
      <c r="C4900">
        <f t="shared" si="79"/>
        <v>2009</v>
      </c>
    </row>
    <row r="4901" spans="1:3" x14ac:dyDescent="0.2">
      <c r="A4901" s="3">
        <v>40143</v>
      </c>
      <c r="B4901">
        <v>29.257000000000001</v>
      </c>
      <c r="C4901">
        <f t="shared" si="79"/>
        <v>2009</v>
      </c>
    </row>
    <row r="4902" spans="1:3" x14ac:dyDescent="0.2">
      <c r="A4902" s="3">
        <v>40142</v>
      </c>
      <c r="B4902">
        <v>28.781500000000001</v>
      </c>
      <c r="C4902">
        <f t="shared" si="79"/>
        <v>2009</v>
      </c>
    </row>
    <row r="4903" spans="1:3" x14ac:dyDescent="0.2">
      <c r="A4903" s="3">
        <v>40141</v>
      </c>
      <c r="B4903">
        <v>28.812999999999999</v>
      </c>
      <c r="C4903">
        <f t="shared" si="79"/>
        <v>2009</v>
      </c>
    </row>
    <row r="4904" spans="1:3" x14ac:dyDescent="0.2">
      <c r="A4904" s="3">
        <v>40140</v>
      </c>
      <c r="B4904">
        <v>28.790700000000001</v>
      </c>
      <c r="C4904">
        <f t="shared" si="79"/>
        <v>2009</v>
      </c>
    </row>
    <row r="4905" spans="1:3" x14ac:dyDescent="0.2">
      <c r="A4905" s="3">
        <v>40137</v>
      </c>
      <c r="B4905">
        <v>29.007000000000001</v>
      </c>
      <c r="C4905">
        <f t="shared" si="79"/>
        <v>2009</v>
      </c>
    </row>
    <row r="4906" spans="1:3" x14ac:dyDescent="0.2">
      <c r="A4906" s="3">
        <v>40136</v>
      </c>
      <c r="B4906">
        <v>28.805800000000001</v>
      </c>
      <c r="C4906">
        <f t="shared" si="79"/>
        <v>2009</v>
      </c>
    </row>
    <row r="4907" spans="1:3" x14ac:dyDescent="0.2">
      <c r="A4907" s="3">
        <v>40135</v>
      </c>
      <c r="B4907">
        <v>28.702000000000002</v>
      </c>
      <c r="C4907">
        <f t="shared" si="79"/>
        <v>2009</v>
      </c>
    </row>
    <row r="4908" spans="1:3" x14ac:dyDescent="0.2">
      <c r="A4908" s="3">
        <v>40134</v>
      </c>
      <c r="B4908">
        <v>28.814499999999999</v>
      </c>
      <c r="C4908">
        <f t="shared" si="79"/>
        <v>2009</v>
      </c>
    </row>
    <row r="4909" spans="1:3" x14ac:dyDescent="0.2">
      <c r="A4909" s="3">
        <v>40133</v>
      </c>
      <c r="B4909">
        <v>28.687999999999999</v>
      </c>
      <c r="C4909">
        <f t="shared" si="79"/>
        <v>2009</v>
      </c>
    </row>
    <row r="4910" spans="1:3" x14ac:dyDescent="0.2">
      <c r="A4910" s="3">
        <v>40130</v>
      </c>
      <c r="B4910">
        <v>28.854500000000002</v>
      </c>
      <c r="C4910">
        <f t="shared" si="79"/>
        <v>2009</v>
      </c>
    </row>
    <row r="4911" spans="1:3" x14ac:dyDescent="0.2">
      <c r="A4911" s="3">
        <v>40129</v>
      </c>
      <c r="B4911">
        <v>28.89</v>
      </c>
      <c r="C4911">
        <f t="shared" si="79"/>
        <v>2009</v>
      </c>
    </row>
    <row r="4912" spans="1:3" x14ac:dyDescent="0.2">
      <c r="A4912" s="3">
        <v>40128</v>
      </c>
      <c r="B4912">
        <v>28.7057</v>
      </c>
      <c r="C4912">
        <f t="shared" si="79"/>
        <v>2009</v>
      </c>
    </row>
    <row r="4913" spans="1:3" x14ac:dyDescent="0.2">
      <c r="A4913" s="3">
        <v>40127</v>
      </c>
      <c r="B4913">
        <v>28.732900000000001</v>
      </c>
      <c r="C4913">
        <f t="shared" si="79"/>
        <v>2009</v>
      </c>
    </row>
    <row r="4914" spans="1:3" x14ac:dyDescent="0.2">
      <c r="A4914" s="3">
        <v>40126</v>
      </c>
      <c r="B4914">
        <v>28.730499999999999</v>
      </c>
      <c r="C4914">
        <f t="shared" si="79"/>
        <v>2009</v>
      </c>
    </row>
    <row r="4915" spans="1:3" x14ac:dyDescent="0.2">
      <c r="A4915" s="3">
        <v>40123</v>
      </c>
      <c r="B4915">
        <v>29.071899999999999</v>
      </c>
      <c r="C4915">
        <f t="shared" si="79"/>
        <v>2009</v>
      </c>
    </row>
    <row r="4916" spans="1:3" x14ac:dyDescent="0.2">
      <c r="A4916" s="3">
        <v>40122</v>
      </c>
      <c r="B4916">
        <v>29.020399999999999</v>
      </c>
      <c r="C4916">
        <f t="shared" si="79"/>
        <v>2009</v>
      </c>
    </row>
    <row r="4917" spans="1:3" x14ac:dyDescent="0.2">
      <c r="A4917" s="3">
        <v>40121</v>
      </c>
      <c r="B4917">
        <v>29.177</v>
      </c>
      <c r="C4917">
        <f t="shared" si="79"/>
        <v>2009</v>
      </c>
    </row>
    <row r="4918" spans="1:3" x14ac:dyDescent="0.2">
      <c r="A4918" s="3">
        <v>40120</v>
      </c>
      <c r="B4918">
        <v>29.347300000000001</v>
      </c>
      <c r="C4918">
        <f t="shared" si="79"/>
        <v>2009</v>
      </c>
    </row>
    <row r="4919" spans="1:3" x14ac:dyDescent="0.2">
      <c r="A4919" s="3">
        <v>40119</v>
      </c>
      <c r="B4919">
        <v>29.2424</v>
      </c>
      <c r="C4919">
        <f t="shared" si="79"/>
        <v>2009</v>
      </c>
    </row>
    <row r="4920" spans="1:3" x14ac:dyDescent="0.2">
      <c r="A4920" s="3">
        <v>40116</v>
      </c>
      <c r="B4920">
        <v>29.138400000000001</v>
      </c>
      <c r="C4920">
        <f t="shared" si="79"/>
        <v>2009</v>
      </c>
    </row>
    <row r="4921" spans="1:3" x14ac:dyDescent="0.2">
      <c r="A4921" s="3">
        <v>40115</v>
      </c>
      <c r="B4921">
        <v>29.176600000000001</v>
      </c>
      <c r="C4921">
        <f t="shared" si="79"/>
        <v>2009</v>
      </c>
    </row>
    <row r="4922" spans="1:3" x14ac:dyDescent="0.2">
      <c r="A4922" s="3">
        <v>40114</v>
      </c>
      <c r="B4922">
        <v>29.264299999999999</v>
      </c>
      <c r="C4922">
        <f t="shared" si="79"/>
        <v>2009</v>
      </c>
    </row>
    <row r="4923" spans="1:3" x14ac:dyDescent="0.2">
      <c r="A4923" s="3">
        <v>40113</v>
      </c>
      <c r="B4923">
        <v>29.297000000000001</v>
      </c>
      <c r="C4923">
        <f t="shared" si="79"/>
        <v>2009</v>
      </c>
    </row>
    <row r="4924" spans="1:3" x14ac:dyDescent="0.2">
      <c r="A4924" s="3">
        <v>40112</v>
      </c>
      <c r="B4924">
        <v>29.050999999999998</v>
      </c>
      <c r="C4924">
        <f t="shared" si="79"/>
        <v>2009</v>
      </c>
    </row>
    <row r="4925" spans="1:3" x14ac:dyDescent="0.2">
      <c r="A4925" s="3">
        <v>40109</v>
      </c>
      <c r="B4925">
        <v>28.947199999999999</v>
      </c>
      <c r="C4925">
        <f t="shared" si="79"/>
        <v>2009</v>
      </c>
    </row>
    <row r="4926" spans="1:3" x14ac:dyDescent="0.2">
      <c r="A4926" s="3">
        <v>40108</v>
      </c>
      <c r="B4926">
        <v>29.070799999999998</v>
      </c>
      <c r="C4926">
        <f t="shared" si="79"/>
        <v>2009</v>
      </c>
    </row>
    <row r="4927" spans="1:3" x14ac:dyDescent="0.2">
      <c r="A4927" s="3">
        <v>40107</v>
      </c>
      <c r="B4927">
        <v>29.093</v>
      </c>
      <c r="C4927">
        <f t="shared" si="79"/>
        <v>2009</v>
      </c>
    </row>
    <row r="4928" spans="1:3" x14ac:dyDescent="0.2">
      <c r="A4928" s="3">
        <v>40106</v>
      </c>
      <c r="B4928">
        <v>29.232500000000002</v>
      </c>
      <c r="C4928">
        <f t="shared" si="79"/>
        <v>2009</v>
      </c>
    </row>
    <row r="4929" spans="1:3" x14ac:dyDescent="0.2">
      <c r="A4929" s="3">
        <v>40105</v>
      </c>
      <c r="B4929">
        <v>29.285499999999999</v>
      </c>
      <c r="C4929">
        <f t="shared" si="79"/>
        <v>2009</v>
      </c>
    </row>
    <row r="4930" spans="1:3" x14ac:dyDescent="0.2">
      <c r="A4930" s="3">
        <v>40102</v>
      </c>
      <c r="B4930">
        <v>29.427</v>
      </c>
      <c r="C4930">
        <f t="shared" si="79"/>
        <v>2009</v>
      </c>
    </row>
    <row r="4931" spans="1:3" x14ac:dyDescent="0.2">
      <c r="A4931" s="3">
        <v>40101</v>
      </c>
      <c r="B4931">
        <v>29.384</v>
      </c>
      <c r="C4931">
        <f t="shared" si="79"/>
        <v>2009</v>
      </c>
    </row>
    <row r="4932" spans="1:3" x14ac:dyDescent="0.2">
      <c r="A4932" s="3">
        <v>40100</v>
      </c>
      <c r="B4932">
        <v>29.411899999999999</v>
      </c>
      <c r="C4932">
        <f t="shared" ref="C4932:C4995" si="80">YEAR(A4932)</f>
        <v>2009</v>
      </c>
    </row>
    <row r="4933" spans="1:3" x14ac:dyDescent="0.2">
      <c r="A4933" s="3">
        <v>40099</v>
      </c>
      <c r="B4933">
        <v>29.5458</v>
      </c>
      <c r="C4933">
        <f t="shared" si="80"/>
        <v>2009</v>
      </c>
    </row>
    <row r="4934" spans="1:3" x14ac:dyDescent="0.2">
      <c r="A4934" s="3">
        <v>40098</v>
      </c>
      <c r="B4934">
        <v>29.491299999999999</v>
      </c>
      <c r="C4934">
        <f t="shared" si="80"/>
        <v>2009</v>
      </c>
    </row>
    <row r="4935" spans="1:3" x14ac:dyDescent="0.2">
      <c r="A4935" s="3">
        <v>40095</v>
      </c>
      <c r="B4935">
        <v>29.642600000000002</v>
      </c>
      <c r="C4935">
        <f t="shared" si="80"/>
        <v>2009</v>
      </c>
    </row>
    <row r="4936" spans="1:3" x14ac:dyDescent="0.2">
      <c r="A4936" s="3">
        <v>40094</v>
      </c>
      <c r="B4936">
        <v>29.526399999999999</v>
      </c>
      <c r="C4936">
        <f t="shared" si="80"/>
        <v>2009</v>
      </c>
    </row>
    <row r="4937" spans="1:3" x14ac:dyDescent="0.2">
      <c r="A4937" s="3">
        <v>40093</v>
      </c>
      <c r="B4937">
        <v>29.758500000000002</v>
      </c>
      <c r="C4937">
        <f t="shared" si="80"/>
        <v>2009</v>
      </c>
    </row>
    <row r="4938" spans="1:3" x14ac:dyDescent="0.2">
      <c r="A4938" s="3">
        <v>40092</v>
      </c>
      <c r="B4938">
        <v>29.825199999999999</v>
      </c>
      <c r="C4938">
        <f t="shared" si="80"/>
        <v>2009</v>
      </c>
    </row>
    <row r="4939" spans="1:3" x14ac:dyDescent="0.2">
      <c r="A4939" s="3">
        <v>40091</v>
      </c>
      <c r="B4939">
        <v>29.998999999999999</v>
      </c>
      <c r="C4939">
        <f t="shared" si="80"/>
        <v>2009</v>
      </c>
    </row>
    <row r="4940" spans="1:3" x14ac:dyDescent="0.2">
      <c r="A4940" s="3">
        <v>40088</v>
      </c>
      <c r="B4940">
        <v>30.16</v>
      </c>
      <c r="C4940">
        <f t="shared" si="80"/>
        <v>2009</v>
      </c>
    </row>
    <row r="4941" spans="1:3" x14ac:dyDescent="0.2">
      <c r="A4941" s="3">
        <v>40087</v>
      </c>
      <c r="B4941">
        <v>30.090499999999999</v>
      </c>
      <c r="C4941">
        <f t="shared" si="80"/>
        <v>2009</v>
      </c>
    </row>
    <row r="4942" spans="1:3" x14ac:dyDescent="0.2">
      <c r="A4942" s="3">
        <v>40086</v>
      </c>
      <c r="B4942">
        <v>30.0154</v>
      </c>
      <c r="C4942">
        <f t="shared" si="80"/>
        <v>2009</v>
      </c>
    </row>
    <row r="4943" spans="1:3" x14ac:dyDescent="0.2">
      <c r="A4943" s="3">
        <v>40085</v>
      </c>
      <c r="B4943">
        <v>30.126999999999999</v>
      </c>
      <c r="C4943">
        <f t="shared" si="80"/>
        <v>2009</v>
      </c>
    </row>
    <row r="4944" spans="1:3" x14ac:dyDescent="0.2">
      <c r="A4944" s="3">
        <v>40084</v>
      </c>
      <c r="B4944">
        <v>30.138000000000002</v>
      </c>
      <c r="C4944">
        <f t="shared" si="80"/>
        <v>2009</v>
      </c>
    </row>
    <row r="4945" spans="1:3" x14ac:dyDescent="0.2">
      <c r="A4945" s="3">
        <v>40081</v>
      </c>
      <c r="B4945">
        <v>30.142299999999999</v>
      </c>
      <c r="C4945">
        <f t="shared" si="80"/>
        <v>2009</v>
      </c>
    </row>
    <row r="4946" spans="1:3" x14ac:dyDescent="0.2">
      <c r="A4946" s="3">
        <v>40080</v>
      </c>
      <c r="B4946">
        <v>30.074100000000001</v>
      </c>
      <c r="C4946">
        <f t="shared" si="80"/>
        <v>2009</v>
      </c>
    </row>
    <row r="4947" spans="1:3" x14ac:dyDescent="0.2">
      <c r="A4947" s="3">
        <v>40079</v>
      </c>
      <c r="B4947">
        <v>29.996700000000001</v>
      </c>
      <c r="C4947">
        <f t="shared" si="80"/>
        <v>2009</v>
      </c>
    </row>
    <row r="4948" spans="1:3" x14ac:dyDescent="0.2">
      <c r="A4948" s="3">
        <v>40078</v>
      </c>
      <c r="B4948">
        <v>30.087499999999999</v>
      </c>
      <c r="C4948">
        <f t="shared" si="80"/>
        <v>2009</v>
      </c>
    </row>
    <row r="4949" spans="1:3" x14ac:dyDescent="0.2">
      <c r="A4949" s="3">
        <v>40077</v>
      </c>
      <c r="B4949">
        <v>30.367000000000001</v>
      </c>
      <c r="C4949">
        <f t="shared" si="80"/>
        <v>2009</v>
      </c>
    </row>
    <row r="4950" spans="1:3" x14ac:dyDescent="0.2">
      <c r="A4950" s="3">
        <v>40074</v>
      </c>
      <c r="B4950">
        <v>30.234999999999999</v>
      </c>
      <c r="C4950">
        <f t="shared" si="80"/>
        <v>2009</v>
      </c>
    </row>
    <row r="4951" spans="1:3" x14ac:dyDescent="0.2">
      <c r="A4951" s="3">
        <v>40073</v>
      </c>
      <c r="B4951">
        <v>30.352</v>
      </c>
      <c r="C4951">
        <f t="shared" si="80"/>
        <v>2009</v>
      </c>
    </row>
    <row r="4952" spans="1:3" x14ac:dyDescent="0.2">
      <c r="A4952" s="3">
        <v>40072</v>
      </c>
      <c r="B4952">
        <v>30.567</v>
      </c>
      <c r="C4952">
        <f t="shared" si="80"/>
        <v>2009</v>
      </c>
    </row>
    <row r="4953" spans="1:3" x14ac:dyDescent="0.2">
      <c r="A4953" s="3">
        <v>40071</v>
      </c>
      <c r="B4953">
        <v>30.787500000000001</v>
      </c>
      <c r="C4953">
        <f t="shared" si="80"/>
        <v>2009</v>
      </c>
    </row>
    <row r="4954" spans="1:3" x14ac:dyDescent="0.2">
      <c r="A4954" s="3">
        <v>40070</v>
      </c>
      <c r="B4954">
        <v>30.805399999999999</v>
      </c>
      <c r="C4954">
        <f t="shared" si="80"/>
        <v>2009</v>
      </c>
    </row>
    <row r="4955" spans="1:3" x14ac:dyDescent="0.2">
      <c r="A4955" s="3">
        <v>40067</v>
      </c>
      <c r="B4955">
        <v>30.6555</v>
      </c>
      <c r="C4955">
        <f t="shared" si="80"/>
        <v>2009</v>
      </c>
    </row>
    <row r="4956" spans="1:3" x14ac:dyDescent="0.2">
      <c r="A4956" s="3">
        <v>40066</v>
      </c>
      <c r="B4956">
        <v>30.8598</v>
      </c>
      <c r="C4956">
        <f t="shared" si="80"/>
        <v>2009</v>
      </c>
    </row>
    <row r="4957" spans="1:3" x14ac:dyDescent="0.2">
      <c r="A4957" s="3">
        <v>40065</v>
      </c>
      <c r="B4957">
        <v>31.017900000000001</v>
      </c>
      <c r="C4957">
        <f t="shared" si="80"/>
        <v>2009</v>
      </c>
    </row>
    <row r="4958" spans="1:3" x14ac:dyDescent="0.2">
      <c r="A4958" s="3">
        <v>40064</v>
      </c>
      <c r="B4958">
        <v>31.209099999999999</v>
      </c>
      <c r="C4958">
        <f t="shared" si="80"/>
        <v>2009</v>
      </c>
    </row>
    <row r="4959" spans="1:3" x14ac:dyDescent="0.2">
      <c r="A4959" s="3">
        <v>40063</v>
      </c>
      <c r="B4959">
        <v>31.491199999999999</v>
      </c>
      <c r="C4959">
        <f t="shared" si="80"/>
        <v>2009</v>
      </c>
    </row>
    <row r="4960" spans="1:3" x14ac:dyDescent="0.2">
      <c r="A4960" s="3">
        <v>40060</v>
      </c>
      <c r="B4960">
        <v>31.579899999999999</v>
      </c>
      <c r="C4960">
        <f t="shared" si="80"/>
        <v>2009</v>
      </c>
    </row>
    <row r="4961" spans="1:3" x14ac:dyDescent="0.2">
      <c r="A4961" s="3">
        <v>40059</v>
      </c>
      <c r="B4961">
        <v>31.751200000000001</v>
      </c>
      <c r="C4961">
        <f t="shared" si="80"/>
        <v>2009</v>
      </c>
    </row>
    <row r="4962" spans="1:3" x14ac:dyDescent="0.2">
      <c r="A4962" s="3">
        <v>40058</v>
      </c>
      <c r="B4962">
        <v>31.939599999999999</v>
      </c>
      <c r="C4962">
        <f t="shared" si="80"/>
        <v>2009</v>
      </c>
    </row>
    <row r="4963" spans="1:3" x14ac:dyDescent="0.2">
      <c r="A4963" s="3">
        <v>40057</v>
      </c>
      <c r="B4963">
        <v>31.913499999999999</v>
      </c>
      <c r="C4963">
        <f t="shared" si="80"/>
        <v>2009</v>
      </c>
    </row>
    <row r="4964" spans="1:3" x14ac:dyDescent="0.2">
      <c r="A4964" s="3">
        <v>40056</v>
      </c>
      <c r="B4964">
        <v>31.791899999999998</v>
      </c>
      <c r="C4964">
        <f t="shared" si="80"/>
        <v>2009</v>
      </c>
    </row>
    <row r="4965" spans="1:3" x14ac:dyDescent="0.2">
      <c r="A4965" s="3">
        <v>40053</v>
      </c>
      <c r="B4965">
        <v>31.619900000000001</v>
      </c>
      <c r="C4965">
        <f t="shared" si="80"/>
        <v>2009</v>
      </c>
    </row>
    <row r="4966" spans="1:3" x14ac:dyDescent="0.2">
      <c r="A4966" s="3">
        <v>40052</v>
      </c>
      <c r="B4966">
        <v>31.695499999999999</v>
      </c>
      <c r="C4966">
        <f t="shared" si="80"/>
        <v>2009</v>
      </c>
    </row>
    <row r="4967" spans="1:3" x14ac:dyDescent="0.2">
      <c r="A4967" s="3">
        <v>40051</v>
      </c>
      <c r="B4967">
        <v>31.569299999999998</v>
      </c>
      <c r="C4967">
        <f t="shared" si="80"/>
        <v>2009</v>
      </c>
    </row>
    <row r="4968" spans="1:3" x14ac:dyDescent="0.2">
      <c r="A4968" s="3">
        <v>40050</v>
      </c>
      <c r="B4968">
        <v>31.295999999999999</v>
      </c>
      <c r="C4968">
        <f t="shared" si="80"/>
        <v>2009</v>
      </c>
    </row>
    <row r="4969" spans="1:3" x14ac:dyDescent="0.2">
      <c r="A4969" s="3">
        <v>40049</v>
      </c>
      <c r="B4969">
        <v>31.384899999999998</v>
      </c>
      <c r="C4969">
        <f t="shared" si="80"/>
        <v>2009</v>
      </c>
    </row>
    <row r="4970" spans="1:3" x14ac:dyDescent="0.2">
      <c r="A4970" s="3">
        <v>40046</v>
      </c>
      <c r="B4970">
        <v>31.646999999999998</v>
      </c>
      <c r="C4970">
        <f t="shared" si="80"/>
        <v>2009</v>
      </c>
    </row>
    <row r="4971" spans="1:3" x14ac:dyDescent="0.2">
      <c r="A4971" s="3">
        <v>40045</v>
      </c>
      <c r="B4971">
        <v>31.835699999999999</v>
      </c>
      <c r="C4971">
        <f t="shared" si="80"/>
        <v>2009</v>
      </c>
    </row>
    <row r="4972" spans="1:3" x14ac:dyDescent="0.2">
      <c r="A4972" s="3">
        <v>40044</v>
      </c>
      <c r="B4972">
        <v>31.835599999999999</v>
      </c>
      <c r="C4972">
        <f t="shared" si="80"/>
        <v>2009</v>
      </c>
    </row>
    <row r="4973" spans="1:3" x14ac:dyDescent="0.2">
      <c r="A4973" s="3">
        <v>40043</v>
      </c>
      <c r="B4973">
        <v>31.935199999999998</v>
      </c>
      <c r="C4973">
        <f t="shared" si="80"/>
        <v>2009</v>
      </c>
    </row>
    <row r="4974" spans="1:3" x14ac:dyDescent="0.2">
      <c r="A4974" s="3">
        <v>40042</v>
      </c>
      <c r="B4974">
        <v>32.243099999999998</v>
      </c>
      <c r="C4974">
        <f t="shared" si="80"/>
        <v>2009</v>
      </c>
    </row>
    <row r="4975" spans="1:3" x14ac:dyDescent="0.2">
      <c r="A4975" s="3">
        <v>40039</v>
      </c>
      <c r="B4975">
        <v>31.674199999999999</v>
      </c>
      <c r="C4975">
        <f t="shared" si="80"/>
        <v>2009</v>
      </c>
    </row>
    <row r="4976" spans="1:3" x14ac:dyDescent="0.2">
      <c r="A4976" s="3">
        <v>40038</v>
      </c>
      <c r="B4976">
        <v>31.763999999999999</v>
      </c>
      <c r="C4976">
        <f t="shared" si="80"/>
        <v>2009</v>
      </c>
    </row>
    <row r="4977" spans="1:3" x14ac:dyDescent="0.2">
      <c r="A4977" s="3">
        <v>40037</v>
      </c>
      <c r="B4977">
        <v>32.3718</v>
      </c>
      <c r="C4977">
        <f t="shared" si="80"/>
        <v>2009</v>
      </c>
    </row>
    <row r="4978" spans="1:3" x14ac:dyDescent="0.2">
      <c r="A4978" s="3">
        <v>40036</v>
      </c>
      <c r="B4978">
        <v>32.219200000000001</v>
      </c>
      <c r="C4978">
        <f t="shared" si="80"/>
        <v>2009</v>
      </c>
    </row>
    <row r="4979" spans="1:3" x14ac:dyDescent="0.2">
      <c r="A4979" s="3">
        <v>40035</v>
      </c>
      <c r="B4979">
        <v>31.855599999999999</v>
      </c>
      <c r="C4979">
        <f t="shared" si="80"/>
        <v>2009</v>
      </c>
    </row>
    <row r="4980" spans="1:3" x14ac:dyDescent="0.2">
      <c r="A4980" s="3">
        <v>40032</v>
      </c>
      <c r="B4980">
        <v>31.655000000000001</v>
      </c>
      <c r="C4980">
        <f t="shared" si="80"/>
        <v>2009</v>
      </c>
    </row>
    <row r="4981" spans="1:3" x14ac:dyDescent="0.2">
      <c r="A4981" s="3">
        <v>40031</v>
      </c>
      <c r="B4981">
        <v>31.3367</v>
      </c>
      <c r="C4981">
        <f t="shared" si="80"/>
        <v>2009</v>
      </c>
    </row>
    <row r="4982" spans="1:3" x14ac:dyDescent="0.2">
      <c r="A4982" s="3">
        <v>40030</v>
      </c>
      <c r="B4982">
        <v>31.173500000000001</v>
      </c>
      <c r="C4982">
        <f t="shared" si="80"/>
        <v>2009</v>
      </c>
    </row>
    <row r="4983" spans="1:3" x14ac:dyDescent="0.2">
      <c r="A4983" s="3">
        <v>40029</v>
      </c>
      <c r="B4983">
        <v>31.062999999999999</v>
      </c>
      <c r="C4983">
        <f t="shared" si="80"/>
        <v>2009</v>
      </c>
    </row>
    <row r="4984" spans="1:3" x14ac:dyDescent="0.2">
      <c r="A4984" s="3">
        <v>40028</v>
      </c>
      <c r="B4984">
        <v>30.966000000000001</v>
      </c>
      <c r="C4984">
        <f t="shared" si="80"/>
        <v>2009</v>
      </c>
    </row>
    <row r="4985" spans="1:3" x14ac:dyDescent="0.2">
      <c r="A4985" s="3">
        <v>40025</v>
      </c>
      <c r="B4985">
        <v>31.464400000000001</v>
      </c>
      <c r="C4985">
        <f t="shared" si="80"/>
        <v>2009</v>
      </c>
    </row>
    <row r="4986" spans="1:3" x14ac:dyDescent="0.2">
      <c r="A4986" s="3">
        <v>40024</v>
      </c>
      <c r="B4986">
        <v>31.511199999999999</v>
      </c>
      <c r="C4986">
        <f t="shared" si="80"/>
        <v>2009</v>
      </c>
    </row>
    <row r="4987" spans="1:3" x14ac:dyDescent="0.2">
      <c r="A4987" s="3">
        <v>40023</v>
      </c>
      <c r="B4987">
        <v>31.6297</v>
      </c>
      <c r="C4987">
        <f t="shared" si="80"/>
        <v>2009</v>
      </c>
    </row>
    <row r="4988" spans="1:3" x14ac:dyDescent="0.2">
      <c r="A4988" s="3">
        <v>40022</v>
      </c>
      <c r="B4988">
        <v>31.097000000000001</v>
      </c>
      <c r="C4988">
        <f t="shared" si="80"/>
        <v>2009</v>
      </c>
    </row>
    <row r="4989" spans="1:3" x14ac:dyDescent="0.2">
      <c r="A4989" s="3">
        <v>40021</v>
      </c>
      <c r="B4989">
        <v>30.731999999999999</v>
      </c>
      <c r="C4989">
        <f t="shared" si="80"/>
        <v>2009</v>
      </c>
    </row>
    <row r="4990" spans="1:3" x14ac:dyDescent="0.2">
      <c r="A4990" s="3">
        <v>40018</v>
      </c>
      <c r="B4990">
        <v>30.998899999999999</v>
      </c>
      <c r="C4990">
        <f t="shared" si="80"/>
        <v>2009</v>
      </c>
    </row>
    <row r="4991" spans="1:3" x14ac:dyDescent="0.2">
      <c r="A4991" s="3">
        <v>40017</v>
      </c>
      <c r="B4991">
        <v>31.150500000000001</v>
      </c>
      <c r="C4991">
        <f t="shared" si="80"/>
        <v>2009</v>
      </c>
    </row>
    <row r="4992" spans="1:3" x14ac:dyDescent="0.2">
      <c r="A4992" s="3">
        <v>40016</v>
      </c>
      <c r="B4992">
        <v>31.153400000000001</v>
      </c>
      <c r="C4992">
        <f t="shared" si="80"/>
        <v>2009</v>
      </c>
    </row>
    <row r="4993" spans="1:3" x14ac:dyDescent="0.2">
      <c r="A4993" s="3">
        <v>40015</v>
      </c>
      <c r="B4993">
        <v>31.030999999999999</v>
      </c>
      <c r="C4993">
        <f t="shared" si="80"/>
        <v>2009</v>
      </c>
    </row>
    <row r="4994" spans="1:3" x14ac:dyDescent="0.2">
      <c r="A4994" s="3">
        <v>40014</v>
      </c>
      <c r="B4994">
        <v>31.041499999999999</v>
      </c>
      <c r="C4994">
        <f t="shared" si="80"/>
        <v>2009</v>
      </c>
    </row>
    <row r="4995" spans="1:3" x14ac:dyDescent="0.2">
      <c r="A4995" s="3">
        <v>40011</v>
      </c>
      <c r="B4995">
        <v>31.7713</v>
      </c>
      <c r="C4995">
        <f t="shared" si="80"/>
        <v>2009</v>
      </c>
    </row>
    <row r="4996" spans="1:3" x14ac:dyDescent="0.2">
      <c r="A4996" s="3">
        <v>40010</v>
      </c>
      <c r="B4996">
        <v>31.659400000000002</v>
      </c>
      <c r="C4996">
        <f t="shared" ref="C4996:C5059" si="81">YEAR(A4996)</f>
        <v>2009</v>
      </c>
    </row>
    <row r="4997" spans="1:3" x14ac:dyDescent="0.2">
      <c r="A4997" s="3">
        <v>40009</v>
      </c>
      <c r="B4997">
        <v>31.8611</v>
      </c>
      <c r="C4997">
        <f t="shared" si="81"/>
        <v>2009</v>
      </c>
    </row>
    <row r="4998" spans="1:3" x14ac:dyDescent="0.2">
      <c r="A4998" s="3">
        <v>40008</v>
      </c>
      <c r="B4998">
        <v>32.249200000000002</v>
      </c>
      <c r="C4998">
        <f t="shared" si="81"/>
        <v>2009</v>
      </c>
    </row>
    <row r="4999" spans="1:3" x14ac:dyDescent="0.2">
      <c r="A4999" s="3">
        <v>40007</v>
      </c>
      <c r="B4999">
        <v>32.766800000000003</v>
      </c>
      <c r="C4999">
        <f t="shared" si="81"/>
        <v>2009</v>
      </c>
    </row>
    <row r="5000" spans="1:3" x14ac:dyDescent="0.2">
      <c r="A5000" s="3">
        <v>40004</v>
      </c>
      <c r="B5000">
        <v>32.698300000000003</v>
      </c>
      <c r="C5000">
        <f t="shared" si="81"/>
        <v>2009</v>
      </c>
    </row>
    <row r="5001" spans="1:3" x14ac:dyDescent="0.2">
      <c r="A5001" s="3">
        <v>40003</v>
      </c>
      <c r="B5001">
        <v>31.749700000000001</v>
      </c>
      <c r="C5001">
        <f t="shared" si="81"/>
        <v>2009</v>
      </c>
    </row>
    <row r="5002" spans="1:3" x14ac:dyDescent="0.2">
      <c r="A5002" s="3">
        <v>40002</v>
      </c>
      <c r="B5002">
        <v>31.893799999999999</v>
      </c>
      <c r="C5002">
        <f t="shared" si="81"/>
        <v>2009</v>
      </c>
    </row>
    <row r="5003" spans="1:3" x14ac:dyDescent="0.2">
      <c r="A5003" s="3">
        <v>40001</v>
      </c>
      <c r="B5003">
        <v>31.529499999999999</v>
      </c>
      <c r="C5003">
        <f t="shared" si="81"/>
        <v>2009</v>
      </c>
    </row>
    <row r="5004" spans="1:3" x14ac:dyDescent="0.2">
      <c r="A5004" s="3">
        <v>40000</v>
      </c>
      <c r="B5004">
        <v>31.459</v>
      </c>
      <c r="C5004">
        <f t="shared" si="81"/>
        <v>2009</v>
      </c>
    </row>
    <row r="5005" spans="1:3" x14ac:dyDescent="0.2">
      <c r="A5005" s="3">
        <v>39997</v>
      </c>
      <c r="B5005">
        <v>31.277100000000001</v>
      </c>
      <c r="C5005">
        <f t="shared" si="81"/>
        <v>2009</v>
      </c>
    </row>
    <row r="5006" spans="1:3" x14ac:dyDescent="0.2">
      <c r="A5006" s="3">
        <v>39996</v>
      </c>
      <c r="B5006">
        <v>31.227900000000002</v>
      </c>
      <c r="C5006">
        <f t="shared" si="81"/>
        <v>2009</v>
      </c>
    </row>
    <row r="5007" spans="1:3" x14ac:dyDescent="0.2">
      <c r="A5007" s="3">
        <v>39995</v>
      </c>
      <c r="B5007">
        <v>31.011299999999999</v>
      </c>
      <c r="C5007">
        <f t="shared" si="81"/>
        <v>2009</v>
      </c>
    </row>
    <row r="5008" spans="1:3" x14ac:dyDescent="0.2">
      <c r="A5008" s="3">
        <v>39994</v>
      </c>
      <c r="B5008">
        <v>31.152699999999999</v>
      </c>
      <c r="C5008">
        <f t="shared" si="81"/>
        <v>2009</v>
      </c>
    </row>
    <row r="5009" spans="1:3" x14ac:dyDescent="0.2">
      <c r="A5009" s="3">
        <v>39993</v>
      </c>
      <c r="B5009">
        <v>31.200299999999999</v>
      </c>
      <c r="C5009">
        <f t="shared" si="81"/>
        <v>2009</v>
      </c>
    </row>
    <row r="5010" spans="1:3" x14ac:dyDescent="0.2">
      <c r="A5010" s="3">
        <v>39990</v>
      </c>
      <c r="B5010">
        <v>31.121400000000001</v>
      </c>
      <c r="C5010">
        <f t="shared" si="81"/>
        <v>2009</v>
      </c>
    </row>
    <row r="5011" spans="1:3" x14ac:dyDescent="0.2">
      <c r="A5011" s="3">
        <v>39989</v>
      </c>
      <c r="B5011">
        <v>31.3124</v>
      </c>
      <c r="C5011">
        <f t="shared" si="81"/>
        <v>2009</v>
      </c>
    </row>
    <row r="5012" spans="1:3" x14ac:dyDescent="0.2">
      <c r="A5012" s="3">
        <v>39988</v>
      </c>
      <c r="B5012">
        <v>31.248699999999999</v>
      </c>
      <c r="C5012">
        <f t="shared" si="81"/>
        <v>2009</v>
      </c>
    </row>
    <row r="5013" spans="1:3" x14ac:dyDescent="0.2">
      <c r="A5013" s="3">
        <v>39987</v>
      </c>
      <c r="B5013">
        <v>31.184000000000001</v>
      </c>
      <c r="C5013">
        <f t="shared" si="81"/>
        <v>2009</v>
      </c>
    </row>
    <row r="5014" spans="1:3" x14ac:dyDescent="0.2">
      <c r="A5014" s="3">
        <v>39986</v>
      </c>
      <c r="B5014">
        <v>31.370200000000001</v>
      </c>
      <c r="C5014">
        <f t="shared" si="81"/>
        <v>2009</v>
      </c>
    </row>
    <row r="5015" spans="1:3" x14ac:dyDescent="0.2">
      <c r="A5015" s="3">
        <v>39983</v>
      </c>
      <c r="B5015">
        <v>31.0838</v>
      </c>
      <c r="C5015">
        <f t="shared" si="81"/>
        <v>2009</v>
      </c>
    </row>
    <row r="5016" spans="1:3" x14ac:dyDescent="0.2">
      <c r="A5016" s="3">
        <v>39982</v>
      </c>
      <c r="B5016">
        <v>31.187100000000001</v>
      </c>
      <c r="C5016">
        <f t="shared" si="81"/>
        <v>2009</v>
      </c>
    </row>
    <row r="5017" spans="1:3" x14ac:dyDescent="0.2">
      <c r="A5017" s="3">
        <v>39981</v>
      </c>
      <c r="B5017">
        <v>31.253799999999998</v>
      </c>
      <c r="C5017">
        <f t="shared" si="81"/>
        <v>2009</v>
      </c>
    </row>
    <row r="5018" spans="1:3" x14ac:dyDescent="0.2">
      <c r="A5018" s="3">
        <v>39980</v>
      </c>
      <c r="B5018">
        <v>31.2075</v>
      </c>
      <c r="C5018">
        <f t="shared" si="81"/>
        <v>2009</v>
      </c>
    </row>
    <row r="5019" spans="1:3" x14ac:dyDescent="0.2">
      <c r="A5019" s="3">
        <v>39979</v>
      </c>
      <c r="B5019">
        <v>31.305599999999998</v>
      </c>
      <c r="C5019">
        <f t="shared" si="81"/>
        <v>2009</v>
      </c>
    </row>
    <row r="5020" spans="1:3" x14ac:dyDescent="0.2">
      <c r="A5020" s="3">
        <v>39976</v>
      </c>
      <c r="B5020">
        <v>30.937999999999999</v>
      </c>
      <c r="C5020">
        <f t="shared" si="81"/>
        <v>2009</v>
      </c>
    </row>
    <row r="5021" spans="1:3" x14ac:dyDescent="0.2">
      <c r="A5021" s="3">
        <v>39975</v>
      </c>
      <c r="B5021">
        <v>30.858699999999999</v>
      </c>
      <c r="C5021">
        <f t="shared" si="81"/>
        <v>2009</v>
      </c>
    </row>
    <row r="5022" spans="1:3" x14ac:dyDescent="0.2">
      <c r="A5022" s="3">
        <v>39974</v>
      </c>
      <c r="B5022">
        <v>30.933599999999998</v>
      </c>
      <c r="C5022">
        <f t="shared" si="81"/>
        <v>2009</v>
      </c>
    </row>
    <row r="5023" spans="1:3" x14ac:dyDescent="0.2">
      <c r="A5023" s="3">
        <v>39973</v>
      </c>
      <c r="B5023">
        <v>31.1328</v>
      </c>
      <c r="C5023">
        <f t="shared" si="81"/>
        <v>2009</v>
      </c>
    </row>
    <row r="5024" spans="1:3" x14ac:dyDescent="0.2">
      <c r="A5024" s="3">
        <v>39972</v>
      </c>
      <c r="B5024">
        <v>31.401599999999998</v>
      </c>
      <c r="C5024">
        <f t="shared" si="81"/>
        <v>2009</v>
      </c>
    </row>
    <row r="5025" spans="1:3" x14ac:dyDescent="0.2">
      <c r="A5025" s="3">
        <v>39969</v>
      </c>
      <c r="B5025">
        <v>30.878</v>
      </c>
      <c r="C5025">
        <f t="shared" si="81"/>
        <v>2009</v>
      </c>
    </row>
    <row r="5026" spans="1:3" x14ac:dyDescent="0.2">
      <c r="A5026" s="3">
        <v>39968</v>
      </c>
      <c r="B5026">
        <v>30.833300000000001</v>
      </c>
      <c r="C5026">
        <f t="shared" si="81"/>
        <v>2009</v>
      </c>
    </row>
    <row r="5027" spans="1:3" x14ac:dyDescent="0.2">
      <c r="A5027" s="3">
        <v>39967</v>
      </c>
      <c r="B5027">
        <v>30.920400000000001</v>
      </c>
      <c r="C5027">
        <f t="shared" si="81"/>
        <v>2009</v>
      </c>
    </row>
    <row r="5028" spans="1:3" x14ac:dyDescent="0.2">
      <c r="A5028" s="3">
        <v>39966</v>
      </c>
      <c r="B5028">
        <v>30.5471</v>
      </c>
      <c r="C5028">
        <f t="shared" si="81"/>
        <v>2009</v>
      </c>
    </row>
    <row r="5029" spans="1:3" x14ac:dyDescent="0.2">
      <c r="A5029" s="3">
        <v>39965</v>
      </c>
      <c r="B5029">
        <v>30.6191</v>
      </c>
      <c r="C5029">
        <f t="shared" si="81"/>
        <v>2009</v>
      </c>
    </row>
    <row r="5030" spans="1:3" x14ac:dyDescent="0.2">
      <c r="A5030" s="3">
        <v>39962</v>
      </c>
      <c r="B5030">
        <v>30.97</v>
      </c>
      <c r="C5030">
        <f t="shared" si="81"/>
        <v>2009</v>
      </c>
    </row>
    <row r="5031" spans="1:3" x14ac:dyDescent="0.2">
      <c r="A5031" s="3">
        <v>39961</v>
      </c>
      <c r="B5031">
        <v>31.3292</v>
      </c>
      <c r="C5031">
        <f t="shared" si="81"/>
        <v>2009</v>
      </c>
    </row>
    <row r="5032" spans="1:3" x14ac:dyDescent="0.2">
      <c r="A5032" s="3">
        <v>39960</v>
      </c>
      <c r="B5032">
        <v>31.2439</v>
      </c>
      <c r="C5032">
        <f t="shared" si="81"/>
        <v>2009</v>
      </c>
    </row>
    <row r="5033" spans="1:3" x14ac:dyDescent="0.2">
      <c r="A5033" s="3">
        <v>39959</v>
      </c>
      <c r="B5033">
        <v>31.296099999999999</v>
      </c>
      <c r="C5033">
        <f t="shared" si="81"/>
        <v>2009</v>
      </c>
    </row>
    <row r="5034" spans="1:3" x14ac:dyDescent="0.2">
      <c r="A5034" s="3">
        <v>39958</v>
      </c>
      <c r="B5034">
        <v>31.001100000000001</v>
      </c>
      <c r="C5034">
        <f t="shared" si="81"/>
        <v>2009</v>
      </c>
    </row>
    <row r="5035" spans="1:3" x14ac:dyDescent="0.2">
      <c r="A5035" s="3">
        <v>39955</v>
      </c>
      <c r="B5035">
        <v>31.052499999999998</v>
      </c>
      <c r="C5035">
        <f t="shared" si="81"/>
        <v>2009</v>
      </c>
    </row>
    <row r="5036" spans="1:3" x14ac:dyDescent="0.2">
      <c r="A5036" s="3">
        <v>39954</v>
      </c>
      <c r="B5036">
        <v>31.324200000000001</v>
      </c>
      <c r="C5036">
        <f t="shared" si="81"/>
        <v>2009</v>
      </c>
    </row>
    <row r="5037" spans="1:3" x14ac:dyDescent="0.2">
      <c r="A5037" s="3">
        <v>39953</v>
      </c>
      <c r="B5037">
        <v>31.552299999999999</v>
      </c>
      <c r="C5037">
        <f t="shared" si="81"/>
        <v>2009</v>
      </c>
    </row>
    <row r="5038" spans="1:3" x14ac:dyDescent="0.2">
      <c r="A5038" s="3">
        <v>39952</v>
      </c>
      <c r="B5038">
        <v>31.856200000000001</v>
      </c>
      <c r="C5038">
        <f t="shared" si="81"/>
        <v>2009</v>
      </c>
    </row>
    <row r="5039" spans="1:3" x14ac:dyDescent="0.2">
      <c r="A5039" s="3">
        <v>39951</v>
      </c>
      <c r="B5039">
        <v>32.061100000000003</v>
      </c>
      <c r="C5039">
        <f t="shared" si="81"/>
        <v>2009</v>
      </c>
    </row>
    <row r="5040" spans="1:3" x14ac:dyDescent="0.2">
      <c r="A5040" s="3">
        <v>39948</v>
      </c>
      <c r="B5040">
        <v>32.127499999999998</v>
      </c>
      <c r="C5040">
        <f t="shared" si="81"/>
        <v>2009</v>
      </c>
    </row>
    <row r="5041" spans="1:3" x14ac:dyDescent="0.2">
      <c r="A5041" s="3">
        <v>39947</v>
      </c>
      <c r="B5041">
        <v>32.1325</v>
      </c>
      <c r="C5041">
        <f t="shared" si="81"/>
        <v>2009</v>
      </c>
    </row>
    <row r="5042" spans="1:3" x14ac:dyDescent="0.2">
      <c r="A5042" s="3">
        <v>39946</v>
      </c>
      <c r="B5042">
        <v>32.022500000000001</v>
      </c>
      <c r="C5042">
        <f t="shared" si="81"/>
        <v>2009</v>
      </c>
    </row>
    <row r="5043" spans="1:3" x14ac:dyDescent="0.2">
      <c r="A5043" s="3">
        <v>39945</v>
      </c>
      <c r="B5043">
        <v>32.134999999999998</v>
      </c>
      <c r="C5043">
        <f t="shared" si="81"/>
        <v>2009</v>
      </c>
    </row>
    <row r="5044" spans="1:3" x14ac:dyDescent="0.2">
      <c r="A5044" s="3">
        <v>39944</v>
      </c>
      <c r="B5044">
        <v>32.284999999999997</v>
      </c>
      <c r="C5044">
        <f t="shared" si="81"/>
        <v>2009</v>
      </c>
    </row>
    <row r="5045" spans="1:3" x14ac:dyDescent="0.2">
      <c r="A5045" s="3">
        <v>39941</v>
      </c>
      <c r="B5045">
        <v>32.345199999999998</v>
      </c>
      <c r="C5045">
        <f t="shared" si="81"/>
        <v>2009</v>
      </c>
    </row>
    <row r="5046" spans="1:3" x14ac:dyDescent="0.2">
      <c r="A5046" s="3">
        <v>39940</v>
      </c>
      <c r="B5046">
        <v>32.590499999999999</v>
      </c>
      <c r="C5046">
        <f t="shared" si="81"/>
        <v>2009</v>
      </c>
    </row>
    <row r="5047" spans="1:3" x14ac:dyDescent="0.2">
      <c r="A5047" s="3">
        <v>39939</v>
      </c>
      <c r="B5047">
        <v>32.794800000000002</v>
      </c>
      <c r="C5047">
        <f t="shared" si="81"/>
        <v>2009</v>
      </c>
    </row>
    <row r="5048" spans="1:3" x14ac:dyDescent="0.2">
      <c r="A5048" s="3">
        <v>39938</v>
      </c>
      <c r="B5048">
        <v>32.854100000000003</v>
      </c>
      <c r="C5048">
        <f t="shared" si="81"/>
        <v>2009</v>
      </c>
    </row>
    <row r="5049" spans="1:3" x14ac:dyDescent="0.2">
      <c r="A5049" s="3">
        <v>39937</v>
      </c>
      <c r="B5049">
        <v>32.8035</v>
      </c>
      <c r="C5049">
        <f t="shared" si="81"/>
        <v>2009</v>
      </c>
    </row>
    <row r="5050" spans="1:3" x14ac:dyDescent="0.2">
      <c r="A5050" s="3">
        <v>39934</v>
      </c>
      <c r="B5050">
        <v>33.062800000000003</v>
      </c>
      <c r="C5050">
        <f t="shared" si="81"/>
        <v>2009</v>
      </c>
    </row>
    <row r="5051" spans="1:3" x14ac:dyDescent="0.2">
      <c r="A5051" s="3">
        <v>39933</v>
      </c>
      <c r="B5051">
        <v>33.100499999999997</v>
      </c>
      <c r="C5051">
        <f t="shared" si="81"/>
        <v>2009</v>
      </c>
    </row>
    <row r="5052" spans="1:3" x14ac:dyDescent="0.2">
      <c r="A5052" s="3">
        <v>39932</v>
      </c>
      <c r="B5052">
        <v>33.192</v>
      </c>
      <c r="C5052">
        <f t="shared" si="81"/>
        <v>2009</v>
      </c>
    </row>
    <row r="5053" spans="1:3" x14ac:dyDescent="0.2">
      <c r="A5053" s="3">
        <v>39931</v>
      </c>
      <c r="B5053">
        <v>33.3718</v>
      </c>
      <c r="C5053">
        <f t="shared" si="81"/>
        <v>2009</v>
      </c>
    </row>
    <row r="5054" spans="1:3" x14ac:dyDescent="0.2">
      <c r="A5054" s="3">
        <v>39930</v>
      </c>
      <c r="B5054">
        <v>33.470500000000001</v>
      </c>
      <c r="C5054">
        <f t="shared" si="81"/>
        <v>2009</v>
      </c>
    </row>
    <row r="5055" spans="1:3" x14ac:dyDescent="0.2">
      <c r="A5055" s="3">
        <v>39927</v>
      </c>
      <c r="B5055">
        <v>33.188600000000001</v>
      </c>
      <c r="C5055">
        <f t="shared" si="81"/>
        <v>2009</v>
      </c>
    </row>
    <row r="5056" spans="1:3" x14ac:dyDescent="0.2">
      <c r="A5056" s="3">
        <v>39926</v>
      </c>
      <c r="B5056">
        <v>33.500999999999998</v>
      </c>
      <c r="C5056">
        <f t="shared" si="81"/>
        <v>2009</v>
      </c>
    </row>
    <row r="5057" spans="1:3" x14ac:dyDescent="0.2">
      <c r="A5057" s="3">
        <v>39925</v>
      </c>
      <c r="B5057">
        <v>33.9236</v>
      </c>
      <c r="C5057">
        <f t="shared" si="81"/>
        <v>2009</v>
      </c>
    </row>
    <row r="5058" spans="1:3" x14ac:dyDescent="0.2">
      <c r="A5058" s="3">
        <v>39924</v>
      </c>
      <c r="B5058">
        <v>34.1815</v>
      </c>
      <c r="C5058">
        <f t="shared" si="81"/>
        <v>2009</v>
      </c>
    </row>
    <row r="5059" spans="1:3" x14ac:dyDescent="0.2">
      <c r="A5059" s="3">
        <v>39923</v>
      </c>
      <c r="B5059">
        <v>33.919499999999999</v>
      </c>
      <c r="C5059">
        <f t="shared" si="81"/>
        <v>2009</v>
      </c>
    </row>
    <row r="5060" spans="1:3" x14ac:dyDescent="0.2">
      <c r="A5060" s="3">
        <v>39920</v>
      </c>
      <c r="B5060">
        <v>33.462600000000002</v>
      </c>
      <c r="C5060">
        <f t="shared" ref="C5060:C5123" si="82">YEAR(A5060)</f>
        <v>2009</v>
      </c>
    </row>
    <row r="5061" spans="1:3" x14ac:dyDescent="0.2">
      <c r="A5061" s="3">
        <v>39919</v>
      </c>
      <c r="B5061">
        <v>33.408299999999997</v>
      </c>
      <c r="C5061">
        <f t="shared" si="82"/>
        <v>2009</v>
      </c>
    </row>
    <row r="5062" spans="1:3" x14ac:dyDescent="0.2">
      <c r="A5062" s="3">
        <v>39918</v>
      </c>
      <c r="B5062">
        <v>33.414200000000001</v>
      </c>
      <c r="C5062">
        <f t="shared" si="82"/>
        <v>2009</v>
      </c>
    </row>
    <row r="5063" spans="1:3" x14ac:dyDescent="0.2">
      <c r="A5063" s="3">
        <v>39917</v>
      </c>
      <c r="B5063">
        <v>33.407499999999999</v>
      </c>
      <c r="C5063">
        <f t="shared" si="82"/>
        <v>2009</v>
      </c>
    </row>
    <row r="5064" spans="1:3" x14ac:dyDescent="0.2">
      <c r="A5064" s="3">
        <v>39916</v>
      </c>
      <c r="B5064">
        <v>33.292499999999997</v>
      </c>
      <c r="C5064">
        <f t="shared" si="82"/>
        <v>2009</v>
      </c>
    </row>
    <row r="5065" spans="1:3" x14ac:dyDescent="0.2">
      <c r="A5065" s="3">
        <v>39913</v>
      </c>
      <c r="B5065">
        <v>33.509</v>
      </c>
      <c r="C5065">
        <f t="shared" si="82"/>
        <v>2009</v>
      </c>
    </row>
    <row r="5066" spans="1:3" x14ac:dyDescent="0.2">
      <c r="A5066" s="3">
        <v>39912</v>
      </c>
      <c r="B5066">
        <v>33.633200000000002</v>
      </c>
      <c r="C5066">
        <f t="shared" si="82"/>
        <v>2009</v>
      </c>
    </row>
    <row r="5067" spans="1:3" x14ac:dyDescent="0.2">
      <c r="A5067" s="3">
        <v>39911</v>
      </c>
      <c r="B5067">
        <v>33.67</v>
      </c>
      <c r="C5067">
        <f t="shared" si="82"/>
        <v>2009</v>
      </c>
    </row>
    <row r="5068" spans="1:3" x14ac:dyDescent="0.2">
      <c r="A5068" s="3">
        <v>39910</v>
      </c>
      <c r="B5068">
        <v>33.571399999999997</v>
      </c>
      <c r="C5068">
        <f t="shared" si="82"/>
        <v>2009</v>
      </c>
    </row>
    <row r="5069" spans="1:3" x14ac:dyDescent="0.2">
      <c r="A5069" s="3">
        <v>39909</v>
      </c>
      <c r="B5069">
        <v>33.365299999999998</v>
      </c>
      <c r="C5069">
        <f t="shared" si="82"/>
        <v>2009</v>
      </c>
    </row>
    <row r="5070" spans="1:3" x14ac:dyDescent="0.2">
      <c r="A5070" s="3">
        <v>39906</v>
      </c>
      <c r="B5070">
        <v>33.307499999999997</v>
      </c>
      <c r="C5070">
        <f t="shared" si="82"/>
        <v>2009</v>
      </c>
    </row>
    <row r="5071" spans="1:3" x14ac:dyDescent="0.2">
      <c r="A5071" s="3">
        <v>39905</v>
      </c>
      <c r="B5071">
        <v>33.388100000000001</v>
      </c>
      <c r="C5071">
        <f t="shared" si="82"/>
        <v>2009</v>
      </c>
    </row>
    <row r="5072" spans="1:3" x14ac:dyDescent="0.2">
      <c r="A5072" s="3">
        <v>39904</v>
      </c>
      <c r="B5072">
        <v>33.955500000000001</v>
      </c>
      <c r="C5072">
        <f t="shared" si="82"/>
        <v>2009</v>
      </c>
    </row>
    <row r="5073" spans="1:3" x14ac:dyDescent="0.2">
      <c r="A5073" s="3">
        <v>39903</v>
      </c>
      <c r="B5073">
        <v>33.954000000000001</v>
      </c>
      <c r="C5073">
        <f t="shared" si="82"/>
        <v>2009</v>
      </c>
    </row>
    <row r="5074" spans="1:3" x14ac:dyDescent="0.2">
      <c r="A5074" s="3">
        <v>39902</v>
      </c>
      <c r="B5074">
        <v>33.979500000000002</v>
      </c>
      <c r="C5074">
        <f t="shared" si="82"/>
        <v>2009</v>
      </c>
    </row>
    <row r="5075" spans="1:3" x14ac:dyDescent="0.2">
      <c r="A5075" s="3">
        <v>39899</v>
      </c>
      <c r="B5075">
        <v>33.784500000000001</v>
      </c>
      <c r="C5075">
        <f t="shared" si="82"/>
        <v>2009</v>
      </c>
    </row>
    <row r="5076" spans="1:3" x14ac:dyDescent="0.2">
      <c r="A5076" s="3">
        <v>39898</v>
      </c>
      <c r="B5076">
        <v>33.411000000000001</v>
      </c>
      <c r="C5076">
        <f t="shared" si="82"/>
        <v>2009</v>
      </c>
    </row>
    <row r="5077" spans="1:3" x14ac:dyDescent="0.2">
      <c r="A5077" s="3">
        <v>39897</v>
      </c>
      <c r="B5077">
        <v>33.580500000000001</v>
      </c>
      <c r="C5077">
        <f t="shared" si="82"/>
        <v>2009</v>
      </c>
    </row>
    <row r="5078" spans="1:3" x14ac:dyDescent="0.2">
      <c r="A5078" s="3">
        <v>39896</v>
      </c>
      <c r="B5078">
        <v>33.482700000000001</v>
      </c>
      <c r="C5078">
        <f t="shared" si="82"/>
        <v>2009</v>
      </c>
    </row>
    <row r="5079" spans="1:3" x14ac:dyDescent="0.2">
      <c r="A5079" s="3">
        <v>39895</v>
      </c>
      <c r="B5079">
        <v>33.195300000000003</v>
      </c>
      <c r="C5079">
        <f t="shared" si="82"/>
        <v>2009</v>
      </c>
    </row>
    <row r="5080" spans="1:3" x14ac:dyDescent="0.2">
      <c r="A5080" s="3">
        <v>39892</v>
      </c>
      <c r="B5080">
        <v>33.506100000000004</v>
      </c>
      <c r="C5080">
        <f t="shared" si="82"/>
        <v>2009</v>
      </c>
    </row>
    <row r="5081" spans="1:3" x14ac:dyDescent="0.2">
      <c r="A5081" s="3">
        <v>39891</v>
      </c>
      <c r="B5081">
        <v>33.3446</v>
      </c>
      <c r="C5081">
        <f t="shared" si="82"/>
        <v>2009</v>
      </c>
    </row>
    <row r="5082" spans="1:3" x14ac:dyDescent="0.2">
      <c r="A5082" s="3">
        <v>39890</v>
      </c>
      <c r="B5082">
        <v>33.963500000000003</v>
      </c>
      <c r="C5082">
        <f t="shared" si="82"/>
        <v>2009</v>
      </c>
    </row>
    <row r="5083" spans="1:3" x14ac:dyDescent="0.2">
      <c r="A5083" s="3">
        <v>39889</v>
      </c>
      <c r="B5083">
        <v>34.493600000000001</v>
      </c>
      <c r="C5083">
        <f t="shared" si="82"/>
        <v>2009</v>
      </c>
    </row>
    <row r="5084" spans="1:3" x14ac:dyDescent="0.2">
      <c r="A5084" s="3">
        <v>39888</v>
      </c>
      <c r="B5084">
        <v>34.642899999999997</v>
      </c>
      <c r="C5084">
        <f t="shared" si="82"/>
        <v>2009</v>
      </c>
    </row>
    <row r="5085" spans="1:3" x14ac:dyDescent="0.2">
      <c r="A5085" s="3">
        <v>39885</v>
      </c>
      <c r="B5085">
        <v>34.680999999999997</v>
      </c>
      <c r="C5085">
        <f t="shared" si="82"/>
        <v>2009</v>
      </c>
    </row>
    <row r="5086" spans="1:3" x14ac:dyDescent="0.2">
      <c r="A5086" s="3">
        <v>39884</v>
      </c>
      <c r="B5086">
        <v>35.000100000000003</v>
      </c>
      <c r="C5086">
        <f t="shared" si="82"/>
        <v>2009</v>
      </c>
    </row>
    <row r="5087" spans="1:3" x14ac:dyDescent="0.2">
      <c r="A5087" s="3">
        <v>39883</v>
      </c>
      <c r="B5087">
        <v>34.988700000000001</v>
      </c>
      <c r="C5087">
        <f t="shared" si="82"/>
        <v>2009</v>
      </c>
    </row>
    <row r="5088" spans="1:3" x14ac:dyDescent="0.2">
      <c r="A5088" s="3">
        <v>39882</v>
      </c>
      <c r="B5088">
        <v>35.048900000000003</v>
      </c>
      <c r="C5088">
        <f t="shared" si="82"/>
        <v>2009</v>
      </c>
    </row>
    <row r="5089" spans="1:3" x14ac:dyDescent="0.2">
      <c r="A5089" s="3">
        <v>39881</v>
      </c>
      <c r="B5089">
        <v>35.651000000000003</v>
      </c>
      <c r="C5089">
        <f t="shared" si="82"/>
        <v>2009</v>
      </c>
    </row>
    <row r="5090" spans="1:3" x14ac:dyDescent="0.2">
      <c r="A5090" s="3">
        <v>39878</v>
      </c>
      <c r="B5090">
        <v>35.767600000000002</v>
      </c>
      <c r="C5090">
        <f t="shared" si="82"/>
        <v>2009</v>
      </c>
    </row>
    <row r="5091" spans="1:3" x14ac:dyDescent="0.2">
      <c r="A5091" s="3">
        <v>39877</v>
      </c>
      <c r="B5091">
        <v>35.898699999999998</v>
      </c>
      <c r="C5091">
        <f t="shared" si="82"/>
        <v>2009</v>
      </c>
    </row>
    <row r="5092" spans="1:3" x14ac:dyDescent="0.2">
      <c r="A5092" s="3">
        <v>39876</v>
      </c>
      <c r="B5092">
        <v>35.945099999999996</v>
      </c>
      <c r="C5092">
        <f t="shared" si="82"/>
        <v>2009</v>
      </c>
    </row>
    <row r="5093" spans="1:3" x14ac:dyDescent="0.2">
      <c r="A5093" s="3">
        <v>39875</v>
      </c>
      <c r="B5093">
        <v>36.229199999999999</v>
      </c>
      <c r="C5093">
        <f t="shared" si="82"/>
        <v>2009</v>
      </c>
    </row>
    <row r="5094" spans="1:3" x14ac:dyDescent="0.2">
      <c r="A5094" s="3">
        <v>39874</v>
      </c>
      <c r="B5094">
        <v>36.1723</v>
      </c>
      <c r="C5094">
        <f t="shared" si="82"/>
        <v>2009</v>
      </c>
    </row>
    <row r="5095" spans="1:3" x14ac:dyDescent="0.2">
      <c r="A5095" s="3">
        <v>39871</v>
      </c>
      <c r="B5095">
        <v>35.913699999999999</v>
      </c>
      <c r="C5095">
        <f t="shared" si="82"/>
        <v>2009</v>
      </c>
    </row>
    <row r="5096" spans="1:3" x14ac:dyDescent="0.2">
      <c r="A5096" s="3">
        <v>39870</v>
      </c>
      <c r="B5096">
        <v>35.664999999999999</v>
      </c>
      <c r="C5096">
        <f t="shared" si="82"/>
        <v>2009</v>
      </c>
    </row>
    <row r="5097" spans="1:3" x14ac:dyDescent="0.2">
      <c r="A5097" s="3">
        <v>39869</v>
      </c>
      <c r="B5097">
        <v>35.825800000000001</v>
      </c>
      <c r="C5097">
        <f t="shared" si="82"/>
        <v>2009</v>
      </c>
    </row>
    <row r="5098" spans="1:3" x14ac:dyDescent="0.2">
      <c r="A5098" s="3">
        <v>39868</v>
      </c>
      <c r="B5098">
        <v>35.838999999999999</v>
      </c>
      <c r="C5098">
        <f t="shared" si="82"/>
        <v>2009</v>
      </c>
    </row>
    <row r="5099" spans="1:3" x14ac:dyDescent="0.2">
      <c r="A5099" s="3">
        <v>39867</v>
      </c>
      <c r="B5099">
        <v>36.071899999999999</v>
      </c>
      <c r="C5099">
        <f t="shared" si="82"/>
        <v>2009</v>
      </c>
    </row>
    <row r="5100" spans="1:3" x14ac:dyDescent="0.2">
      <c r="A5100" s="3">
        <v>39864</v>
      </c>
      <c r="B5100">
        <v>35.935299999999998</v>
      </c>
      <c r="C5100">
        <f t="shared" si="82"/>
        <v>2009</v>
      </c>
    </row>
    <row r="5101" spans="1:3" x14ac:dyDescent="0.2">
      <c r="A5101" s="3">
        <v>39863</v>
      </c>
      <c r="B5101">
        <v>35.8934</v>
      </c>
      <c r="C5101">
        <f t="shared" si="82"/>
        <v>2009</v>
      </c>
    </row>
    <row r="5102" spans="1:3" x14ac:dyDescent="0.2">
      <c r="A5102" s="3">
        <v>39862</v>
      </c>
      <c r="B5102">
        <v>36.335799999999999</v>
      </c>
      <c r="C5102">
        <f t="shared" si="82"/>
        <v>2009</v>
      </c>
    </row>
    <row r="5103" spans="1:3" x14ac:dyDescent="0.2">
      <c r="A5103" s="3">
        <v>39861</v>
      </c>
      <c r="B5103">
        <v>36.349600000000002</v>
      </c>
      <c r="C5103">
        <f t="shared" si="82"/>
        <v>2009</v>
      </c>
    </row>
    <row r="5104" spans="1:3" x14ac:dyDescent="0.2">
      <c r="A5104" s="3">
        <v>39860</v>
      </c>
      <c r="B5104">
        <v>35.158200000000001</v>
      </c>
      <c r="C5104">
        <f t="shared" si="82"/>
        <v>2009</v>
      </c>
    </row>
    <row r="5105" spans="1:3" x14ac:dyDescent="0.2">
      <c r="A5105" s="3">
        <v>39857</v>
      </c>
      <c r="B5105">
        <v>34.625799999999998</v>
      </c>
      <c r="C5105">
        <f t="shared" si="82"/>
        <v>2009</v>
      </c>
    </row>
    <row r="5106" spans="1:3" x14ac:dyDescent="0.2">
      <c r="A5106" s="3">
        <v>39856</v>
      </c>
      <c r="B5106">
        <v>34.647300000000001</v>
      </c>
      <c r="C5106">
        <f t="shared" si="82"/>
        <v>2009</v>
      </c>
    </row>
    <row r="5107" spans="1:3" x14ac:dyDescent="0.2">
      <c r="A5107" s="3">
        <v>39855</v>
      </c>
      <c r="B5107">
        <v>35.099499999999999</v>
      </c>
      <c r="C5107">
        <f t="shared" si="82"/>
        <v>2009</v>
      </c>
    </row>
    <row r="5108" spans="1:3" x14ac:dyDescent="0.2">
      <c r="A5108" s="3">
        <v>39854</v>
      </c>
      <c r="B5108">
        <v>35.844000000000001</v>
      </c>
      <c r="C5108">
        <f t="shared" si="82"/>
        <v>2009</v>
      </c>
    </row>
    <row r="5109" spans="1:3" x14ac:dyDescent="0.2">
      <c r="A5109" s="3">
        <v>39853</v>
      </c>
      <c r="B5109">
        <v>35.881100000000004</v>
      </c>
      <c r="C5109">
        <f t="shared" si="82"/>
        <v>2009</v>
      </c>
    </row>
    <row r="5110" spans="1:3" x14ac:dyDescent="0.2">
      <c r="A5110" s="3">
        <v>39850</v>
      </c>
      <c r="B5110">
        <v>36.165300000000002</v>
      </c>
      <c r="C5110">
        <f t="shared" si="82"/>
        <v>2009</v>
      </c>
    </row>
    <row r="5111" spans="1:3" x14ac:dyDescent="0.2">
      <c r="A5111" s="3">
        <v>39849</v>
      </c>
      <c r="B5111">
        <v>36.370100000000001</v>
      </c>
      <c r="C5111">
        <f t="shared" si="82"/>
        <v>2009</v>
      </c>
    </row>
    <row r="5112" spans="1:3" x14ac:dyDescent="0.2">
      <c r="A5112" s="3">
        <v>39848</v>
      </c>
      <c r="B5112">
        <v>36.274700000000003</v>
      </c>
      <c r="C5112">
        <f t="shared" si="82"/>
        <v>2009</v>
      </c>
    </row>
    <row r="5113" spans="1:3" x14ac:dyDescent="0.2">
      <c r="A5113" s="3">
        <v>39847</v>
      </c>
      <c r="B5113">
        <v>35.969700000000003</v>
      </c>
      <c r="C5113">
        <f t="shared" si="82"/>
        <v>2009</v>
      </c>
    </row>
    <row r="5114" spans="1:3" x14ac:dyDescent="0.2">
      <c r="A5114" s="3">
        <v>39846</v>
      </c>
      <c r="B5114">
        <v>36.130000000000003</v>
      </c>
      <c r="C5114">
        <f t="shared" si="82"/>
        <v>2009</v>
      </c>
    </row>
    <row r="5115" spans="1:3" x14ac:dyDescent="0.2">
      <c r="A5115" s="3">
        <v>39843</v>
      </c>
      <c r="B5115">
        <v>35.736400000000003</v>
      </c>
      <c r="C5115">
        <f t="shared" si="82"/>
        <v>2009</v>
      </c>
    </row>
    <row r="5116" spans="1:3" x14ac:dyDescent="0.2">
      <c r="A5116" s="3">
        <v>39842</v>
      </c>
      <c r="B5116">
        <v>35.088500000000003</v>
      </c>
      <c r="C5116">
        <f t="shared" si="82"/>
        <v>2009</v>
      </c>
    </row>
    <row r="5117" spans="1:3" x14ac:dyDescent="0.2">
      <c r="A5117" s="3">
        <v>39841</v>
      </c>
      <c r="B5117">
        <v>33.918999999999997</v>
      </c>
      <c r="C5117">
        <f t="shared" si="82"/>
        <v>2009</v>
      </c>
    </row>
    <row r="5118" spans="1:3" x14ac:dyDescent="0.2">
      <c r="A5118" s="3">
        <v>39840</v>
      </c>
      <c r="B5118">
        <v>33.061500000000002</v>
      </c>
      <c r="C5118">
        <f t="shared" si="82"/>
        <v>2009</v>
      </c>
    </row>
    <row r="5119" spans="1:3" x14ac:dyDescent="0.2">
      <c r="A5119" s="3">
        <v>39839</v>
      </c>
      <c r="B5119">
        <v>32.7926</v>
      </c>
      <c r="C5119">
        <f t="shared" si="82"/>
        <v>2009</v>
      </c>
    </row>
    <row r="5120" spans="1:3" x14ac:dyDescent="0.2">
      <c r="A5120" s="3">
        <v>39836</v>
      </c>
      <c r="B5120">
        <v>32.859000000000002</v>
      </c>
      <c r="C5120">
        <f t="shared" si="82"/>
        <v>2009</v>
      </c>
    </row>
    <row r="5121" spans="1:3" x14ac:dyDescent="0.2">
      <c r="A5121" s="3">
        <v>39835</v>
      </c>
      <c r="B5121">
        <v>32.634300000000003</v>
      </c>
      <c r="C5121">
        <f t="shared" si="82"/>
        <v>2009</v>
      </c>
    </row>
    <row r="5122" spans="1:3" x14ac:dyDescent="0.2">
      <c r="A5122" s="3">
        <v>39834</v>
      </c>
      <c r="B5122">
        <v>32.654299999999999</v>
      </c>
      <c r="C5122">
        <f t="shared" si="82"/>
        <v>2009</v>
      </c>
    </row>
    <row r="5123" spans="1:3" x14ac:dyDescent="0.2">
      <c r="A5123" s="3">
        <v>39833</v>
      </c>
      <c r="B5123">
        <v>32.996699999999997</v>
      </c>
      <c r="C5123">
        <f t="shared" si="82"/>
        <v>2009</v>
      </c>
    </row>
    <row r="5124" spans="1:3" x14ac:dyDescent="0.2">
      <c r="A5124" s="3">
        <v>39832</v>
      </c>
      <c r="B5124">
        <v>33.387999999999998</v>
      </c>
      <c r="C5124">
        <f t="shared" ref="C5124:C5187" si="83">YEAR(A5124)</f>
        <v>2009</v>
      </c>
    </row>
    <row r="5125" spans="1:3" x14ac:dyDescent="0.2">
      <c r="A5125" s="3">
        <v>39829</v>
      </c>
      <c r="B5125">
        <v>32.53</v>
      </c>
      <c r="C5125">
        <f t="shared" si="83"/>
        <v>2009</v>
      </c>
    </row>
    <row r="5126" spans="1:3" x14ac:dyDescent="0.2">
      <c r="A5126" s="3">
        <v>39828</v>
      </c>
      <c r="B5126">
        <v>32.366900000000001</v>
      </c>
      <c r="C5126">
        <f t="shared" si="83"/>
        <v>2009</v>
      </c>
    </row>
    <row r="5127" spans="1:3" x14ac:dyDescent="0.2">
      <c r="A5127" s="3">
        <v>39827</v>
      </c>
      <c r="B5127">
        <v>31.736499999999999</v>
      </c>
      <c r="C5127">
        <f t="shared" si="83"/>
        <v>2009</v>
      </c>
    </row>
    <row r="5128" spans="1:3" x14ac:dyDescent="0.2">
      <c r="A5128" s="3">
        <v>39826</v>
      </c>
      <c r="B5128">
        <v>31.308700000000002</v>
      </c>
      <c r="C5128">
        <f t="shared" si="83"/>
        <v>2009</v>
      </c>
    </row>
    <row r="5129" spans="1:3" x14ac:dyDescent="0.2">
      <c r="A5129" s="3">
        <v>39825</v>
      </c>
      <c r="B5129">
        <v>31.1175</v>
      </c>
      <c r="C5129">
        <f t="shared" si="83"/>
        <v>2009</v>
      </c>
    </row>
    <row r="5130" spans="1:3" x14ac:dyDescent="0.2">
      <c r="A5130" s="3">
        <v>39822</v>
      </c>
      <c r="B5130">
        <v>30.893999999999998</v>
      </c>
      <c r="C5130">
        <f t="shared" si="83"/>
        <v>2009</v>
      </c>
    </row>
    <row r="5131" spans="1:3" x14ac:dyDescent="0.2">
      <c r="A5131" s="3">
        <v>39821</v>
      </c>
      <c r="B5131">
        <v>30.435500000000001</v>
      </c>
      <c r="C5131">
        <f t="shared" si="83"/>
        <v>2009</v>
      </c>
    </row>
    <row r="5132" spans="1:3" x14ac:dyDescent="0.2">
      <c r="A5132" s="3">
        <v>39820</v>
      </c>
      <c r="B5132">
        <v>30.491</v>
      </c>
      <c r="C5132">
        <f t="shared" si="83"/>
        <v>2009</v>
      </c>
    </row>
    <row r="5133" spans="1:3" x14ac:dyDescent="0.2">
      <c r="A5133" s="3">
        <v>39819</v>
      </c>
      <c r="B5133">
        <v>29.157399999999999</v>
      </c>
      <c r="C5133">
        <f t="shared" si="83"/>
        <v>2009</v>
      </c>
    </row>
    <row r="5134" spans="1:3" x14ac:dyDescent="0.2">
      <c r="A5134" s="3">
        <v>39818</v>
      </c>
      <c r="B5134">
        <v>29.1922</v>
      </c>
      <c r="C5134">
        <f t="shared" si="83"/>
        <v>2009</v>
      </c>
    </row>
    <row r="5135" spans="1:3" x14ac:dyDescent="0.2">
      <c r="A5135" s="3">
        <v>39815</v>
      </c>
      <c r="B5135">
        <v>29.404699999999998</v>
      </c>
      <c r="C5135">
        <f t="shared" si="83"/>
        <v>2009</v>
      </c>
    </row>
    <row r="5136" spans="1:3" x14ac:dyDescent="0.2">
      <c r="A5136" s="3">
        <v>39814</v>
      </c>
      <c r="B5136">
        <v>29.147500000000001</v>
      </c>
      <c r="C5136">
        <f t="shared" si="83"/>
        <v>2009</v>
      </c>
    </row>
    <row r="5137" spans="1:3" x14ac:dyDescent="0.2">
      <c r="A5137" s="3">
        <v>39813</v>
      </c>
      <c r="B5137">
        <v>29.402699999999999</v>
      </c>
      <c r="C5137">
        <f t="shared" si="83"/>
        <v>2008</v>
      </c>
    </row>
    <row r="5138" spans="1:3" x14ac:dyDescent="0.2">
      <c r="A5138" s="3">
        <v>39812</v>
      </c>
      <c r="B5138">
        <v>29.4145</v>
      </c>
      <c r="C5138">
        <f t="shared" si="83"/>
        <v>2008</v>
      </c>
    </row>
    <row r="5139" spans="1:3" x14ac:dyDescent="0.2">
      <c r="A5139" s="3">
        <v>39811</v>
      </c>
      <c r="B5139">
        <v>29.5807</v>
      </c>
      <c r="C5139">
        <f t="shared" si="83"/>
        <v>2008</v>
      </c>
    </row>
    <row r="5140" spans="1:3" x14ac:dyDescent="0.2">
      <c r="A5140" s="3">
        <v>39808</v>
      </c>
      <c r="B5140">
        <v>28.991</v>
      </c>
      <c r="C5140">
        <f t="shared" si="83"/>
        <v>2008</v>
      </c>
    </row>
    <row r="5141" spans="1:3" x14ac:dyDescent="0.2">
      <c r="A5141" s="3">
        <v>39807</v>
      </c>
      <c r="B5141">
        <v>28.7</v>
      </c>
      <c r="C5141">
        <f t="shared" si="83"/>
        <v>2008</v>
      </c>
    </row>
    <row r="5142" spans="1:3" x14ac:dyDescent="0.2">
      <c r="A5142" s="3">
        <v>39806</v>
      </c>
      <c r="B5142">
        <v>28.680199999999999</v>
      </c>
      <c r="C5142">
        <f t="shared" si="83"/>
        <v>2008</v>
      </c>
    </row>
    <row r="5143" spans="1:3" x14ac:dyDescent="0.2">
      <c r="A5143" s="3">
        <v>39805</v>
      </c>
      <c r="B5143">
        <v>28.433199999999999</v>
      </c>
      <c r="C5143">
        <f t="shared" si="83"/>
        <v>2008</v>
      </c>
    </row>
    <row r="5144" spans="1:3" x14ac:dyDescent="0.2">
      <c r="A5144" s="3">
        <v>39804</v>
      </c>
      <c r="B5144">
        <v>28.476299999999998</v>
      </c>
      <c r="C5144">
        <f t="shared" si="83"/>
        <v>2008</v>
      </c>
    </row>
    <row r="5145" spans="1:3" x14ac:dyDescent="0.2">
      <c r="A5145" s="3">
        <v>39801</v>
      </c>
      <c r="B5145">
        <v>28.172999999999998</v>
      </c>
      <c r="C5145">
        <f t="shared" si="83"/>
        <v>2008</v>
      </c>
    </row>
    <row r="5146" spans="1:3" x14ac:dyDescent="0.2">
      <c r="A5146" s="3">
        <v>39800</v>
      </c>
      <c r="B5146">
        <v>27.495799999999999</v>
      </c>
      <c r="C5146">
        <f t="shared" si="83"/>
        <v>2008</v>
      </c>
    </row>
    <row r="5147" spans="1:3" x14ac:dyDescent="0.2">
      <c r="A5147" s="3">
        <v>39799</v>
      </c>
      <c r="B5147">
        <v>27.254200000000001</v>
      </c>
      <c r="C5147">
        <f t="shared" si="83"/>
        <v>2008</v>
      </c>
    </row>
    <row r="5148" spans="1:3" x14ac:dyDescent="0.2">
      <c r="A5148" s="3">
        <v>39798</v>
      </c>
      <c r="B5148">
        <v>27.316099999999999</v>
      </c>
      <c r="C5148">
        <f t="shared" si="83"/>
        <v>2008</v>
      </c>
    </row>
    <row r="5149" spans="1:3" x14ac:dyDescent="0.2">
      <c r="A5149" s="3">
        <v>39797</v>
      </c>
      <c r="B5149">
        <v>27.621200000000002</v>
      </c>
      <c r="C5149">
        <f t="shared" si="83"/>
        <v>2008</v>
      </c>
    </row>
    <row r="5150" spans="1:3" x14ac:dyDescent="0.2">
      <c r="A5150" s="3">
        <v>39794</v>
      </c>
      <c r="B5150">
        <v>27.686</v>
      </c>
      <c r="C5150">
        <f t="shared" si="83"/>
        <v>2008</v>
      </c>
    </row>
    <row r="5151" spans="1:3" x14ac:dyDescent="0.2">
      <c r="A5151" s="3">
        <v>39793</v>
      </c>
      <c r="B5151">
        <v>27.685300000000002</v>
      </c>
      <c r="C5151">
        <f t="shared" si="83"/>
        <v>2008</v>
      </c>
    </row>
    <row r="5152" spans="1:3" x14ac:dyDescent="0.2">
      <c r="A5152" s="3">
        <v>39792</v>
      </c>
      <c r="B5152">
        <v>27.824999999999999</v>
      </c>
      <c r="C5152">
        <f t="shared" si="83"/>
        <v>2008</v>
      </c>
    </row>
    <row r="5153" spans="1:3" x14ac:dyDescent="0.2">
      <c r="A5153" s="3">
        <v>39791</v>
      </c>
      <c r="B5153">
        <v>27.927900000000001</v>
      </c>
      <c r="C5153">
        <f t="shared" si="83"/>
        <v>2008</v>
      </c>
    </row>
    <row r="5154" spans="1:3" x14ac:dyDescent="0.2">
      <c r="A5154" s="3">
        <v>39790</v>
      </c>
      <c r="B5154">
        <v>27.889099999999999</v>
      </c>
      <c r="C5154">
        <f t="shared" si="83"/>
        <v>2008</v>
      </c>
    </row>
    <row r="5155" spans="1:3" x14ac:dyDescent="0.2">
      <c r="A5155" s="3">
        <v>39787</v>
      </c>
      <c r="B5155">
        <v>28.172499999999999</v>
      </c>
      <c r="C5155">
        <f t="shared" si="83"/>
        <v>2008</v>
      </c>
    </row>
    <row r="5156" spans="1:3" x14ac:dyDescent="0.2">
      <c r="A5156" s="3">
        <v>39786</v>
      </c>
      <c r="B5156">
        <v>27.801300000000001</v>
      </c>
      <c r="C5156">
        <f t="shared" si="83"/>
        <v>2008</v>
      </c>
    </row>
    <row r="5157" spans="1:3" x14ac:dyDescent="0.2">
      <c r="A5157" s="3">
        <v>39785</v>
      </c>
      <c r="B5157">
        <v>27.903400000000001</v>
      </c>
      <c r="C5157">
        <f t="shared" si="83"/>
        <v>2008</v>
      </c>
    </row>
    <row r="5158" spans="1:3" x14ac:dyDescent="0.2">
      <c r="A5158" s="3">
        <v>39784</v>
      </c>
      <c r="B5158">
        <v>27.8993</v>
      </c>
      <c r="C5158">
        <f t="shared" si="83"/>
        <v>2008</v>
      </c>
    </row>
    <row r="5159" spans="1:3" x14ac:dyDescent="0.2">
      <c r="A5159" s="3">
        <v>39783</v>
      </c>
      <c r="B5159">
        <v>28.018899999999999</v>
      </c>
      <c r="C5159">
        <f t="shared" si="83"/>
        <v>2008</v>
      </c>
    </row>
    <row r="5160" spans="1:3" x14ac:dyDescent="0.2">
      <c r="A5160" s="3">
        <v>39780</v>
      </c>
      <c r="B5160">
        <v>27.923100000000002</v>
      </c>
      <c r="C5160">
        <f t="shared" si="83"/>
        <v>2008</v>
      </c>
    </row>
    <row r="5161" spans="1:3" x14ac:dyDescent="0.2">
      <c r="A5161" s="3">
        <v>39779</v>
      </c>
      <c r="B5161">
        <v>27.4255</v>
      </c>
      <c r="C5161">
        <f t="shared" si="83"/>
        <v>2008</v>
      </c>
    </row>
    <row r="5162" spans="1:3" x14ac:dyDescent="0.2">
      <c r="A5162" s="3">
        <v>39778</v>
      </c>
      <c r="B5162">
        <v>27.438400000000001</v>
      </c>
      <c r="C5162">
        <f t="shared" si="83"/>
        <v>2008</v>
      </c>
    </row>
    <row r="5163" spans="1:3" x14ac:dyDescent="0.2">
      <c r="A5163" s="3">
        <v>39777</v>
      </c>
      <c r="B5163">
        <v>27.235600000000002</v>
      </c>
      <c r="C5163">
        <f t="shared" si="83"/>
        <v>2008</v>
      </c>
    </row>
    <row r="5164" spans="1:3" x14ac:dyDescent="0.2">
      <c r="A5164" s="3">
        <v>39776</v>
      </c>
      <c r="B5164">
        <v>27.307400000000001</v>
      </c>
      <c r="C5164">
        <f t="shared" si="83"/>
        <v>2008</v>
      </c>
    </row>
    <row r="5165" spans="1:3" x14ac:dyDescent="0.2">
      <c r="A5165" s="3">
        <v>39773</v>
      </c>
      <c r="B5165">
        <v>27.509</v>
      </c>
      <c r="C5165">
        <f t="shared" si="83"/>
        <v>2008</v>
      </c>
    </row>
    <row r="5166" spans="1:3" x14ac:dyDescent="0.2">
      <c r="A5166" s="3">
        <v>39772</v>
      </c>
      <c r="B5166">
        <v>27.640499999999999</v>
      </c>
      <c r="C5166">
        <f t="shared" si="83"/>
        <v>2008</v>
      </c>
    </row>
    <row r="5167" spans="1:3" x14ac:dyDescent="0.2">
      <c r="A5167" s="3">
        <v>39771</v>
      </c>
      <c r="B5167">
        <v>27.619599999999998</v>
      </c>
      <c r="C5167">
        <f t="shared" si="83"/>
        <v>2008</v>
      </c>
    </row>
    <row r="5168" spans="1:3" x14ac:dyDescent="0.2">
      <c r="A5168" s="3">
        <v>39770</v>
      </c>
      <c r="B5168">
        <v>27.468299999999999</v>
      </c>
      <c r="C5168">
        <f t="shared" si="83"/>
        <v>2008</v>
      </c>
    </row>
    <row r="5169" spans="1:3" x14ac:dyDescent="0.2">
      <c r="A5169" s="3">
        <v>39769</v>
      </c>
      <c r="B5169">
        <v>27.434699999999999</v>
      </c>
      <c r="C5169">
        <f t="shared" si="83"/>
        <v>2008</v>
      </c>
    </row>
    <row r="5170" spans="1:3" x14ac:dyDescent="0.2">
      <c r="A5170" s="3">
        <v>39766</v>
      </c>
      <c r="B5170">
        <v>27.372399999999999</v>
      </c>
      <c r="C5170">
        <f t="shared" si="83"/>
        <v>2008</v>
      </c>
    </row>
    <row r="5171" spans="1:3" x14ac:dyDescent="0.2">
      <c r="A5171" s="3">
        <v>39765</v>
      </c>
      <c r="B5171">
        <v>27.2898</v>
      </c>
      <c r="C5171">
        <f t="shared" si="83"/>
        <v>2008</v>
      </c>
    </row>
    <row r="5172" spans="1:3" x14ac:dyDescent="0.2">
      <c r="A5172" s="3">
        <v>39764</v>
      </c>
      <c r="B5172">
        <v>27.574400000000001</v>
      </c>
      <c r="C5172">
        <f t="shared" si="83"/>
        <v>2008</v>
      </c>
    </row>
    <row r="5173" spans="1:3" x14ac:dyDescent="0.2">
      <c r="A5173" s="3">
        <v>39763</v>
      </c>
      <c r="B5173">
        <v>27.574300000000001</v>
      </c>
      <c r="C5173">
        <f t="shared" si="83"/>
        <v>2008</v>
      </c>
    </row>
    <row r="5174" spans="1:3" x14ac:dyDescent="0.2">
      <c r="A5174" s="3">
        <v>39762</v>
      </c>
      <c r="B5174">
        <v>27.0535</v>
      </c>
      <c r="C5174">
        <f t="shared" si="83"/>
        <v>2008</v>
      </c>
    </row>
    <row r="5175" spans="1:3" x14ac:dyDescent="0.2">
      <c r="A5175" s="3">
        <v>39759</v>
      </c>
      <c r="B5175">
        <v>27.0304</v>
      </c>
      <c r="C5175">
        <f t="shared" si="83"/>
        <v>2008</v>
      </c>
    </row>
    <row r="5176" spans="1:3" x14ac:dyDescent="0.2">
      <c r="A5176" s="3">
        <v>39758</v>
      </c>
      <c r="B5176">
        <v>27.043500000000002</v>
      </c>
      <c r="C5176">
        <f t="shared" si="83"/>
        <v>2008</v>
      </c>
    </row>
    <row r="5177" spans="1:3" x14ac:dyDescent="0.2">
      <c r="A5177" s="3">
        <v>39757</v>
      </c>
      <c r="B5177">
        <v>26.8248</v>
      </c>
      <c r="C5177">
        <f t="shared" si="83"/>
        <v>2008</v>
      </c>
    </row>
    <row r="5178" spans="1:3" x14ac:dyDescent="0.2">
      <c r="A5178" s="3">
        <v>39756</v>
      </c>
      <c r="B5178">
        <v>26.806100000000001</v>
      </c>
      <c r="C5178">
        <f t="shared" si="83"/>
        <v>2008</v>
      </c>
    </row>
    <row r="5179" spans="1:3" x14ac:dyDescent="0.2">
      <c r="A5179" s="3">
        <v>39755</v>
      </c>
      <c r="B5179">
        <v>27.1557</v>
      </c>
      <c r="C5179">
        <f t="shared" si="83"/>
        <v>2008</v>
      </c>
    </row>
    <row r="5180" spans="1:3" x14ac:dyDescent="0.2">
      <c r="A5180" s="3">
        <v>39752</v>
      </c>
      <c r="B5180">
        <v>27.068999999999999</v>
      </c>
      <c r="C5180">
        <f t="shared" si="83"/>
        <v>2008</v>
      </c>
    </row>
    <row r="5181" spans="1:3" x14ac:dyDescent="0.2">
      <c r="A5181" s="3">
        <v>39751</v>
      </c>
      <c r="B5181">
        <v>26.828099999999999</v>
      </c>
      <c r="C5181">
        <f t="shared" si="83"/>
        <v>2008</v>
      </c>
    </row>
    <row r="5182" spans="1:3" x14ac:dyDescent="0.2">
      <c r="A5182" s="3">
        <v>39750</v>
      </c>
      <c r="B5182">
        <v>26.822600000000001</v>
      </c>
      <c r="C5182">
        <f t="shared" si="83"/>
        <v>2008</v>
      </c>
    </row>
    <row r="5183" spans="1:3" x14ac:dyDescent="0.2">
      <c r="A5183" s="3">
        <v>39749</v>
      </c>
      <c r="B5183">
        <v>27.136099999999999</v>
      </c>
      <c r="C5183">
        <f t="shared" si="83"/>
        <v>2008</v>
      </c>
    </row>
    <row r="5184" spans="1:3" x14ac:dyDescent="0.2">
      <c r="A5184" s="3">
        <v>39748</v>
      </c>
      <c r="B5184">
        <v>27.3368</v>
      </c>
      <c r="C5184">
        <f t="shared" si="83"/>
        <v>2008</v>
      </c>
    </row>
    <row r="5185" spans="1:3" x14ac:dyDescent="0.2">
      <c r="A5185" s="3">
        <v>39745</v>
      </c>
      <c r="B5185">
        <v>27.199100000000001</v>
      </c>
      <c r="C5185">
        <f t="shared" si="83"/>
        <v>2008</v>
      </c>
    </row>
    <row r="5186" spans="1:3" x14ac:dyDescent="0.2">
      <c r="A5186" s="3">
        <v>39744</v>
      </c>
      <c r="B5186">
        <v>26.8475</v>
      </c>
      <c r="C5186">
        <f t="shared" si="83"/>
        <v>2008</v>
      </c>
    </row>
    <row r="5187" spans="1:3" x14ac:dyDescent="0.2">
      <c r="A5187" s="3">
        <v>39743</v>
      </c>
      <c r="B5187">
        <v>26.927700000000002</v>
      </c>
      <c r="C5187">
        <f t="shared" si="83"/>
        <v>2008</v>
      </c>
    </row>
    <row r="5188" spans="1:3" x14ac:dyDescent="0.2">
      <c r="A5188" s="3">
        <v>39742</v>
      </c>
      <c r="B5188">
        <v>26.708300000000001</v>
      </c>
      <c r="C5188">
        <f t="shared" ref="C5188:C5251" si="84">YEAR(A5188)</f>
        <v>2008</v>
      </c>
    </row>
    <row r="5189" spans="1:3" x14ac:dyDescent="0.2">
      <c r="A5189" s="3">
        <v>39741</v>
      </c>
      <c r="B5189">
        <v>26.360800000000001</v>
      </c>
      <c r="C5189">
        <f t="shared" si="84"/>
        <v>2008</v>
      </c>
    </row>
    <row r="5190" spans="1:3" x14ac:dyDescent="0.2">
      <c r="A5190" s="3">
        <v>39738</v>
      </c>
      <c r="B5190">
        <v>26.3566</v>
      </c>
      <c r="C5190">
        <f t="shared" si="84"/>
        <v>2008</v>
      </c>
    </row>
    <row r="5191" spans="1:3" x14ac:dyDescent="0.2">
      <c r="A5191" s="3">
        <v>39737</v>
      </c>
      <c r="B5191">
        <v>26.300699999999999</v>
      </c>
      <c r="C5191">
        <f t="shared" si="84"/>
        <v>2008</v>
      </c>
    </row>
    <row r="5192" spans="1:3" x14ac:dyDescent="0.2">
      <c r="A5192" s="3">
        <v>39736</v>
      </c>
      <c r="B5192">
        <v>26.252500000000001</v>
      </c>
      <c r="C5192">
        <f t="shared" si="84"/>
        <v>2008</v>
      </c>
    </row>
    <row r="5193" spans="1:3" x14ac:dyDescent="0.2">
      <c r="A5193" s="3">
        <v>39735</v>
      </c>
      <c r="B5193">
        <v>26.135899999999999</v>
      </c>
      <c r="C5193">
        <f t="shared" si="84"/>
        <v>2008</v>
      </c>
    </row>
    <row r="5194" spans="1:3" x14ac:dyDescent="0.2">
      <c r="A5194" s="3">
        <v>39734</v>
      </c>
      <c r="B5194">
        <v>26.191199999999998</v>
      </c>
      <c r="C5194">
        <f t="shared" si="84"/>
        <v>2008</v>
      </c>
    </row>
    <row r="5195" spans="1:3" x14ac:dyDescent="0.2">
      <c r="A5195" s="3">
        <v>39731</v>
      </c>
      <c r="B5195">
        <v>26.213999999999999</v>
      </c>
      <c r="C5195">
        <f t="shared" si="84"/>
        <v>2008</v>
      </c>
    </row>
    <row r="5196" spans="1:3" x14ac:dyDescent="0.2">
      <c r="A5196" s="3">
        <v>39730</v>
      </c>
      <c r="B5196">
        <v>26.142499999999998</v>
      </c>
      <c r="C5196">
        <f t="shared" si="84"/>
        <v>2008</v>
      </c>
    </row>
    <row r="5197" spans="1:3" x14ac:dyDescent="0.2">
      <c r="A5197" s="3">
        <v>39729</v>
      </c>
      <c r="B5197">
        <v>26.107099999999999</v>
      </c>
      <c r="C5197">
        <f t="shared" si="84"/>
        <v>2008</v>
      </c>
    </row>
    <row r="5198" spans="1:3" x14ac:dyDescent="0.2">
      <c r="A5198" s="3">
        <v>39728</v>
      </c>
      <c r="B5198">
        <v>26.1739</v>
      </c>
      <c r="C5198">
        <f t="shared" si="84"/>
        <v>2008</v>
      </c>
    </row>
    <row r="5199" spans="1:3" x14ac:dyDescent="0.2">
      <c r="A5199" s="3">
        <v>39727</v>
      </c>
      <c r="B5199">
        <v>26.259399999999999</v>
      </c>
      <c r="C5199">
        <f t="shared" si="84"/>
        <v>2008</v>
      </c>
    </row>
    <row r="5200" spans="1:3" x14ac:dyDescent="0.2">
      <c r="A5200" s="3">
        <v>39724</v>
      </c>
      <c r="B5200">
        <v>25.9801</v>
      </c>
      <c r="C5200">
        <f t="shared" si="84"/>
        <v>2008</v>
      </c>
    </row>
    <row r="5201" spans="1:3" x14ac:dyDescent="0.2">
      <c r="A5201" s="3">
        <v>39723</v>
      </c>
      <c r="B5201">
        <v>25.922499999999999</v>
      </c>
      <c r="C5201">
        <f t="shared" si="84"/>
        <v>2008</v>
      </c>
    </row>
    <row r="5202" spans="1:3" x14ac:dyDescent="0.2">
      <c r="A5202" s="3">
        <v>39722</v>
      </c>
      <c r="B5202">
        <v>25.7333</v>
      </c>
      <c r="C5202">
        <f t="shared" si="84"/>
        <v>2008</v>
      </c>
    </row>
    <row r="5203" spans="1:3" x14ac:dyDescent="0.2">
      <c r="A5203" s="3">
        <v>39721</v>
      </c>
      <c r="B5203">
        <v>25.643899999999999</v>
      </c>
      <c r="C5203">
        <f t="shared" si="84"/>
        <v>2008</v>
      </c>
    </row>
    <row r="5204" spans="1:3" x14ac:dyDescent="0.2">
      <c r="A5204" s="3">
        <v>39720</v>
      </c>
      <c r="B5204">
        <v>25.305900000000001</v>
      </c>
      <c r="C5204">
        <f t="shared" si="84"/>
        <v>2008</v>
      </c>
    </row>
    <row r="5205" spans="1:3" x14ac:dyDescent="0.2">
      <c r="A5205" s="3">
        <v>39717</v>
      </c>
      <c r="B5205">
        <v>25.040800000000001</v>
      </c>
      <c r="C5205">
        <f t="shared" si="84"/>
        <v>2008</v>
      </c>
    </row>
    <row r="5206" spans="1:3" x14ac:dyDescent="0.2">
      <c r="A5206" s="3">
        <v>39716</v>
      </c>
      <c r="B5206">
        <v>25.040199999999999</v>
      </c>
      <c r="C5206">
        <f t="shared" si="84"/>
        <v>2008</v>
      </c>
    </row>
    <row r="5207" spans="1:3" x14ac:dyDescent="0.2">
      <c r="A5207" s="3">
        <v>39715</v>
      </c>
      <c r="B5207">
        <v>25.034300000000002</v>
      </c>
      <c r="C5207">
        <f t="shared" si="84"/>
        <v>2008</v>
      </c>
    </row>
    <row r="5208" spans="1:3" x14ac:dyDescent="0.2">
      <c r="A5208" s="3">
        <v>39714</v>
      </c>
      <c r="B5208">
        <v>25.099799999999998</v>
      </c>
      <c r="C5208">
        <f t="shared" si="84"/>
        <v>2008</v>
      </c>
    </row>
    <row r="5209" spans="1:3" x14ac:dyDescent="0.2">
      <c r="A5209" s="3">
        <v>39713</v>
      </c>
      <c r="B5209">
        <v>25.028099999999998</v>
      </c>
      <c r="C5209">
        <f t="shared" si="84"/>
        <v>2008</v>
      </c>
    </row>
    <row r="5210" spans="1:3" x14ac:dyDescent="0.2">
      <c r="A5210" s="3">
        <v>39710</v>
      </c>
      <c r="B5210">
        <v>25.281199999999998</v>
      </c>
      <c r="C5210">
        <f t="shared" si="84"/>
        <v>2008</v>
      </c>
    </row>
    <row r="5211" spans="1:3" x14ac:dyDescent="0.2">
      <c r="A5211" s="3">
        <v>39709</v>
      </c>
      <c r="B5211">
        <v>25.4148</v>
      </c>
      <c r="C5211">
        <f t="shared" si="84"/>
        <v>2008</v>
      </c>
    </row>
    <row r="5212" spans="1:3" x14ac:dyDescent="0.2">
      <c r="A5212" s="3">
        <v>39708</v>
      </c>
      <c r="B5212">
        <v>25.435400000000001</v>
      </c>
      <c r="C5212">
        <f t="shared" si="84"/>
        <v>2008</v>
      </c>
    </row>
    <row r="5213" spans="1:3" x14ac:dyDescent="0.2">
      <c r="A5213" s="3">
        <v>39707</v>
      </c>
      <c r="B5213">
        <v>25.6158</v>
      </c>
      <c r="C5213">
        <f t="shared" si="84"/>
        <v>2008</v>
      </c>
    </row>
    <row r="5214" spans="1:3" x14ac:dyDescent="0.2">
      <c r="A5214" s="3">
        <v>39706</v>
      </c>
      <c r="B5214">
        <v>25.51</v>
      </c>
      <c r="C5214">
        <f t="shared" si="84"/>
        <v>2008</v>
      </c>
    </row>
    <row r="5215" spans="1:3" x14ac:dyDescent="0.2">
      <c r="A5215" s="3">
        <v>39703</v>
      </c>
      <c r="B5215">
        <v>25.528500000000001</v>
      </c>
      <c r="C5215">
        <f t="shared" si="84"/>
        <v>2008</v>
      </c>
    </row>
    <row r="5216" spans="1:3" x14ac:dyDescent="0.2">
      <c r="A5216" s="3">
        <v>39702</v>
      </c>
      <c r="B5216">
        <v>25.744199999999999</v>
      </c>
      <c r="C5216">
        <f t="shared" si="84"/>
        <v>2008</v>
      </c>
    </row>
    <row r="5217" spans="1:3" x14ac:dyDescent="0.2">
      <c r="A5217" s="3">
        <v>39701</v>
      </c>
      <c r="B5217">
        <v>25.740500000000001</v>
      </c>
      <c r="C5217">
        <f t="shared" si="84"/>
        <v>2008</v>
      </c>
    </row>
    <row r="5218" spans="1:3" x14ac:dyDescent="0.2">
      <c r="A5218" s="3">
        <v>39700</v>
      </c>
      <c r="B5218">
        <v>25.584099999999999</v>
      </c>
      <c r="C5218">
        <f t="shared" si="84"/>
        <v>2008</v>
      </c>
    </row>
    <row r="5219" spans="1:3" x14ac:dyDescent="0.2">
      <c r="A5219" s="3">
        <v>39699</v>
      </c>
      <c r="B5219">
        <v>25.5398</v>
      </c>
      <c r="C5219">
        <f t="shared" si="84"/>
        <v>2008</v>
      </c>
    </row>
    <row r="5220" spans="1:3" x14ac:dyDescent="0.2">
      <c r="A5220" s="3">
        <v>39696</v>
      </c>
      <c r="B5220">
        <v>25.4818</v>
      </c>
      <c r="C5220">
        <f t="shared" si="84"/>
        <v>2008</v>
      </c>
    </row>
    <row r="5221" spans="1:3" x14ac:dyDescent="0.2">
      <c r="A5221" s="3">
        <v>39695</v>
      </c>
      <c r="B5221">
        <v>25.450800000000001</v>
      </c>
      <c r="C5221">
        <f t="shared" si="84"/>
        <v>2008</v>
      </c>
    </row>
    <row r="5222" spans="1:3" x14ac:dyDescent="0.2">
      <c r="A5222" s="3">
        <v>39694</v>
      </c>
      <c r="B5222">
        <v>25.125699999999998</v>
      </c>
      <c r="C5222">
        <f t="shared" si="84"/>
        <v>2008</v>
      </c>
    </row>
    <row r="5223" spans="1:3" x14ac:dyDescent="0.2">
      <c r="A5223" s="3">
        <v>39693</v>
      </c>
      <c r="B5223">
        <v>24.7883</v>
      </c>
      <c r="C5223">
        <f t="shared" si="84"/>
        <v>2008</v>
      </c>
    </row>
    <row r="5224" spans="1:3" x14ac:dyDescent="0.2">
      <c r="A5224" s="3">
        <v>39692</v>
      </c>
      <c r="B5224">
        <v>24.673999999999999</v>
      </c>
      <c r="C5224">
        <f t="shared" si="84"/>
        <v>2008</v>
      </c>
    </row>
    <row r="5225" spans="1:3" x14ac:dyDescent="0.2">
      <c r="A5225" s="3">
        <v>39689</v>
      </c>
      <c r="B5225">
        <v>24.645</v>
      </c>
      <c r="C5225">
        <f t="shared" si="84"/>
        <v>2008</v>
      </c>
    </row>
    <row r="5226" spans="1:3" x14ac:dyDescent="0.2">
      <c r="A5226" s="3">
        <v>39688</v>
      </c>
      <c r="B5226">
        <v>24.6402</v>
      </c>
      <c r="C5226">
        <f t="shared" si="84"/>
        <v>2008</v>
      </c>
    </row>
    <row r="5227" spans="1:3" x14ac:dyDescent="0.2">
      <c r="A5227" s="3">
        <v>39687</v>
      </c>
      <c r="B5227">
        <v>24.612500000000001</v>
      </c>
      <c r="C5227">
        <f t="shared" si="84"/>
        <v>2008</v>
      </c>
    </row>
    <row r="5228" spans="1:3" x14ac:dyDescent="0.2">
      <c r="A5228" s="3">
        <v>39686</v>
      </c>
      <c r="B5228">
        <v>24.662099999999999</v>
      </c>
      <c r="C5228">
        <f t="shared" si="84"/>
        <v>2008</v>
      </c>
    </row>
    <row r="5229" spans="1:3" x14ac:dyDescent="0.2">
      <c r="A5229" s="3">
        <v>39685</v>
      </c>
      <c r="B5229">
        <v>24.439299999999999</v>
      </c>
      <c r="C5229">
        <f t="shared" si="84"/>
        <v>2008</v>
      </c>
    </row>
    <row r="5230" spans="1:3" x14ac:dyDescent="0.2">
      <c r="A5230" s="3">
        <v>39682</v>
      </c>
      <c r="B5230">
        <v>24.384</v>
      </c>
      <c r="C5230">
        <f t="shared" si="84"/>
        <v>2008</v>
      </c>
    </row>
    <row r="5231" spans="1:3" x14ac:dyDescent="0.2">
      <c r="A5231" s="3">
        <v>39681</v>
      </c>
      <c r="B5231">
        <v>24.2851</v>
      </c>
      <c r="C5231">
        <f t="shared" si="84"/>
        <v>2008</v>
      </c>
    </row>
    <row r="5232" spans="1:3" x14ac:dyDescent="0.2">
      <c r="A5232" s="3">
        <v>39680</v>
      </c>
      <c r="B5232">
        <v>24.3902</v>
      </c>
      <c r="C5232">
        <f t="shared" si="84"/>
        <v>2008</v>
      </c>
    </row>
    <row r="5233" spans="1:3" x14ac:dyDescent="0.2">
      <c r="A5233" s="3">
        <v>39679</v>
      </c>
      <c r="B5233">
        <v>24.4741</v>
      </c>
      <c r="C5233">
        <f t="shared" si="84"/>
        <v>2008</v>
      </c>
    </row>
    <row r="5234" spans="1:3" x14ac:dyDescent="0.2">
      <c r="A5234" s="3">
        <v>39678</v>
      </c>
      <c r="B5234">
        <v>24.553899999999999</v>
      </c>
      <c r="C5234">
        <f t="shared" si="84"/>
        <v>2008</v>
      </c>
    </row>
    <row r="5235" spans="1:3" x14ac:dyDescent="0.2">
      <c r="A5235" s="3">
        <v>39675</v>
      </c>
      <c r="B5235">
        <v>24.608799999999999</v>
      </c>
      <c r="C5235">
        <f t="shared" si="84"/>
        <v>2008</v>
      </c>
    </row>
    <row r="5236" spans="1:3" x14ac:dyDescent="0.2">
      <c r="A5236" s="3">
        <v>39674</v>
      </c>
      <c r="B5236">
        <v>24.384699999999999</v>
      </c>
      <c r="C5236">
        <f t="shared" si="84"/>
        <v>2008</v>
      </c>
    </row>
    <row r="5237" spans="1:3" x14ac:dyDescent="0.2">
      <c r="A5237" s="3">
        <v>39673</v>
      </c>
      <c r="B5237">
        <v>24.219899999999999</v>
      </c>
      <c r="C5237">
        <f t="shared" si="84"/>
        <v>2008</v>
      </c>
    </row>
    <row r="5238" spans="1:3" x14ac:dyDescent="0.2">
      <c r="A5238" s="3">
        <v>39672</v>
      </c>
      <c r="B5238">
        <v>24.248100000000001</v>
      </c>
      <c r="C5238">
        <f t="shared" si="84"/>
        <v>2008</v>
      </c>
    </row>
    <row r="5239" spans="1:3" x14ac:dyDescent="0.2">
      <c r="A5239" s="3">
        <v>39671</v>
      </c>
      <c r="B5239">
        <v>24.424600000000002</v>
      </c>
      <c r="C5239">
        <f t="shared" si="84"/>
        <v>2008</v>
      </c>
    </row>
    <row r="5240" spans="1:3" x14ac:dyDescent="0.2">
      <c r="A5240" s="3">
        <v>39668</v>
      </c>
      <c r="B5240">
        <v>24.238099999999999</v>
      </c>
      <c r="C5240">
        <f t="shared" si="84"/>
        <v>2008</v>
      </c>
    </row>
    <row r="5241" spans="1:3" x14ac:dyDescent="0.2">
      <c r="A5241" s="3">
        <v>39667</v>
      </c>
      <c r="B5241">
        <v>23.683299999999999</v>
      </c>
      <c r="C5241">
        <f t="shared" si="84"/>
        <v>2008</v>
      </c>
    </row>
    <row r="5242" spans="1:3" x14ac:dyDescent="0.2">
      <c r="A5242" s="3">
        <v>39666</v>
      </c>
      <c r="B5242">
        <v>23.651599999999998</v>
      </c>
      <c r="C5242">
        <f t="shared" si="84"/>
        <v>2008</v>
      </c>
    </row>
    <row r="5243" spans="1:3" x14ac:dyDescent="0.2">
      <c r="A5243" s="3">
        <v>39665</v>
      </c>
      <c r="B5243">
        <v>23.562999999999999</v>
      </c>
      <c r="C5243">
        <f t="shared" si="84"/>
        <v>2008</v>
      </c>
    </row>
    <row r="5244" spans="1:3" x14ac:dyDescent="0.2">
      <c r="A5244" s="3">
        <v>39664</v>
      </c>
      <c r="B5244">
        <v>23.411000000000001</v>
      </c>
      <c r="C5244">
        <f t="shared" si="84"/>
        <v>2008</v>
      </c>
    </row>
    <row r="5245" spans="1:3" x14ac:dyDescent="0.2">
      <c r="A5245" s="3">
        <v>39661</v>
      </c>
      <c r="B5245">
        <v>23.4846</v>
      </c>
      <c r="C5245">
        <f t="shared" si="84"/>
        <v>2008</v>
      </c>
    </row>
    <row r="5246" spans="1:3" x14ac:dyDescent="0.2">
      <c r="A5246" s="3">
        <v>39660</v>
      </c>
      <c r="B5246">
        <v>23.431799999999999</v>
      </c>
      <c r="C5246">
        <f t="shared" si="84"/>
        <v>2008</v>
      </c>
    </row>
    <row r="5247" spans="1:3" x14ac:dyDescent="0.2">
      <c r="A5247" s="3">
        <v>39659</v>
      </c>
      <c r="B5247">
        <v>23.443100000000001</v>
      </c>
      <c r="C5247">
        <f t="shared" si="84"/>
        <v>2008</v>
      </c>
    </row>
    <row r="5248" spans="1:3" x14ac:dyDescent="0.2">
      <c r="A5248" s="3">
        <v>39658</v>
      </c>
      <c r="B5248">
        <v>23.448499999999999</v>
      </c>
      <c r="C5248">
        <f t="shared" si="84"/>
        <v>2008</v>
      </c>
    </row>
    <row r="5249" spans="1:3" x14ac:dyDescent="0.2">
      <c r="A5249" s="3">
        <v>39657</v>
      </c>
      <c r="B5249">
        <v>23.340800000000002</v>
      </c>
      <c r="C5249">
        <f t="shared" si="84"/>
        <v>2008</v>
      </c>
    </row>
    <row r="5250" spans="1:3" x14ac:dyDescent="0.2">
      <c r="A5250" s="3">
        <v>39654</v>
      </c>
      <c r="B5250">
        <v>23.382100000000001</v>
      </c>
      <c r="C5250">
        <f t="shared" si="84"/>
        <v>2008</v>
      </c>
    </row>
    <row r="5251" spans="1:3" x14ac:dyDescent="0.2">
      <c r="A5251" s="3">
        <v>39653</v>
      </c>
      <c r="B5251">
        <v>23.3843</v>
      </c>
      <c r="C5251">
        <f t="shared" si="84"/>
        <v>2008</v>
      </c>
    </row>
    <row r="5252" spans="1:3" x14ac:dyDescent="0.2">
      <c r="A5252" s="3">
        <v>39652</v>
      </c>
      <c r="B5252">
        <v>23.3568</v>
      </c>
      <c r="C5252">
        <f t="shared" ref="C5252:C5315" si="85">YEAR(A5252)</f>
        <v>2008</v>
      </c>
    </row>
    <row r="5253" spans="1:3" x14ac:dyDescent="0.2">
      <c r="A5253" s="3">
        <v>39651</v>
      </c>
      <c r="B5253">
        <v>23.299099999999999</v>
      </c>
      <c r="C5253">
        <f t="shared" si="85"/>
        <v>2008</v>
      </c>
    </row>
    <row r="5254" spans="1:3" x14ac:dyDescent="0.2">
      <c r="A5254" s="3">
        <v>39650</v>
      </c>
      <c r="B5254">
        <v>23.181999999999999</v>
      </c>
      <c r="C5254">
        <f t="shared" si="85"/>
        <v>2008</v>
      </c>
    </row>
    <row r="5255" spans="1:3" x14ac:dyDescent="0.2">
      <c r="A5255" s="3">
        <v>39647</v>
      </c>
      <c r="B5255">
        <v>23.216100000000001</v>
      </c>
      <c r="C5255">
        <f t="shared" si="85"/>
        <v>2008</v>
      </c>
    </row>
    <row r="5256" spans="1:3" x14ac:dyDescent="0.2">
      <c r="A5256" s="3">
        <v>39646</v>
      </c>
      <c r="B5256">
        <v>23.223400000000002</v>
      </c>
      <c r="C5256">
        <f t="shared" si="85"/>
        <v>2008</v>
      </c>
    </row>
    <row r="5257" spans="1:3" x14ac:dyDescent="0.2">
      <c r="A5257" s="3">
        <v>39645</v>
      </c>
      <c r="B5257">
        <v>23.257000000000001</v>
      </c>
      <c r="C5257">
        <f t="shared" si="85"/>
        <v>2008</v>
      </c>
    </row>
    <row r="5258" spans="1:3" x14ac:dyDescent="0.2">
      <c r="A5258" s="3">
        <v>39644</v>
      </c>
      <c r="B5258">
        <v>23.165600000000001</v>
      </c>
      <c r="C5258">
        <f t="shared" si="85"/>
        <v>2008</v>
      </c>
    </row>
    <row r="5259" spans="1:3" x14ac:dyDescent="0.2">
      <c r="A5259" s="3">
        <v>39643</v>
      </c>
      <c r="B5259">
        <v>23.157699999999998</v>
      </c>
      <c r="C5259">
        <f t="shared" si="85"/>
        <v>2008</v>
      </c>
    </row>
    <row r="5260" spans="1:3" x14ac:dyDescent="0.2">
      <c r="A5260" s="3">
        <v>39640</v>
      </c>
      <c r="B5260">
        <v>23.250699999999998</v>
      </c>
      <c r="C5260">
        <f t="shared" si="85"/>
        <v>2008</v>
      </c>
    </row>
    <row r="5261" spans="1:3" x14ac:dyDescent="0.2">
      <c r="A5261" s="3">
        <v>39639</v>
      </c>
      <c r="B5261">
        <v>23.355399999999999</v>
      </c>
      <c r="C5261">
        <f t="shared" si="85"/>
        <v>2008</v>
      </c>
    </row>
    <row r="5262" spans="1:3" x14ac:dyDescent="0.2">
      <c r="A5262" s="3">
        <v>39638</v>
      </c>
      <c r="B5262">
        <v>23.423300000000001</v>
      </c>
      <c r="C5262">
        <f t="shared" si="85"/>
        <v>2008</v>
      </c>
    </row>
    <row r="5263" spans="1:3" x14ac:dyDescent="0.2">
      <c r="A5263" s="3">
        <v>39637</v>
      </c>
      <c r="B5263">
        <v>23.520600000000002</v>
      </c>
      <c r="C5263">
        <f t="shared" si="85"/>
        <v>2008</v>
      </c>
    </row>
    <row r="5264" spans="1:3" x14ac:dyDescent="0.2">
      <c r="A5264" s="3">
        <v>39636</v>
      </c>
      <c r="B5264">
        <v>23.4682</v>
      </c>
      <c r="C5264">
        <f t="shared" si="85"/>
        <v>2008</v>
      </c>
    </row>
    <row r="5265" spans="1:3" x14ac:dyDescent="0.2">
      <c r="A5265" s="3">
        <v>39633</v>
      </c>
      <c r="B5265">
        <v>23.485099999999999</v>
      </c>
      <c r="C5265">
        <f t="shared" si="85"/>
        <v>2008</v>
      </c>
    </row>
    <row r="5266" spans="1:3" x14ac:dyDescent="0.2">
      <c r="A5266" s="3">
        <v>39632</v>
      </c>
      <c r="B5266">
        <v>23.518999999999998</v>
      </c>
      <c r="C5266">
        <f t="shared" si="85"/>
        <v>2008</v>
      </c>
    </row>
    <row r="5267" spans="1:3" x14ac:dyDescent="0.2">
      <c r="A5267" s="3">
        <v>39631</v>
      </c>
      <c r="B5267">
        <v>23.371400000000001</v>
      </c>
      <c r="C5267">
        <f t="shared" si="85"/>
        <v>2008</v>
      </c>
    </row>
    <row r="5268" spans="1:3" x14ac:dyDescent="0.2">
      <c r="A5268" s="3">
        <v>39630</v>
      </c>
      <c r="B5268">
        <v>23.427900000000001</v>
      </c>
      <c r="C5268">
        <f t="shared" si="85"/>
        <v>2008</v>
      </c>
    </row>
    <row r="5269" spans="1:3" x14ac:dyDescent="0.2">
      <c r="A5269" s="3">
        <v>39629</v>
      </c>
      <c r="B5269">
        <v>23.444600000000001</v>
      </c>
      <c r="C5269">
        <f t="shared" si="85"/>
        <v>2008</v>
      </c>
    </row>
    <row r="5270" spans="1:3" x14ac:dyDescent="0.2">
      <c r="A5270" s="3">
        <v>39626</v>
      </c>
      <c r="B5270">
        <v>23.4102</v>
      </c>
      <c r="C5270">
        <f t="shared" si="85"/>
        <v>2008</v>
      </c>
    </row>
    <row r="5271" spans="1:3" x14ac:dyDescent="0.2">
      <c r="A5271" s="3">
        <v>39625</v>
      </c>
      <c r="B5271">
        <v>23.4358</v>
      </c>
      <c r="C5271">
        <f t="shared" si="85"/>
        <v>2008</v>
      </c>
    </row>
    <row r="5272" spans="1:3" x14ac:dyDescent="0.2">
      <c r="A5272" s="3">
        <v>39624</v>
      </c>
      <c r="B5272">
        <v>23.520199999999999</v>
      </c>
      <c r="C5272">
        <f t="shared" si="85"/>
        <v>2008</v>
      </c>
    </row>
    <row r="5273" spans="1:3" x14ac:dyDescent="0.2">
      <c r="A5273" s="3">
        <v>39623</v>
      </c>
      <c r="B5273">
        <v>23.5733</v>
      </c>
      <c r="C5273">
        <f t="shared" si="85"/>
        <v>2008</v>
      </c>
    </row>
    <row r="5274" spans="1:3" x14ac:dyDescent="0.2">
      <c r="A5274" s="3">
        <v>39622</v>
      </c>
      <c r="B5274">
        <v>23.64</v>
      </c>
      <c r="C5274">
        <f t="shared" si="85"/>
        <v>2008</v>
      </c>
    </row>
    <row r="5275" spans="1:3" x14ac:dyDescent="0.2">
      <c r="A5275" s="3">
        <v>39619</v>
      </c>
      <c r="B5275">
        <v>23.570900000000002</v>
      </c>
      <c r="C5275">
        <f t="shared" si="85"/>
        <v>2008</v>
      </c>
    </row>
    <row r="5276" spans="1:3" x14ac:dyDescent="0.2">
      <c r="A5276" s="3">
        <v>39618</v>
      </c>
      <c r="B5276">
        <v>23.6478</v>
      </c>
      <c r="C5276">
        <f t="shared" si="85"/>
        <v>2008</v>
      </c>
    </row>
    <row r="5277" spans="1:3" x14ac:dyDescent="0.2">
      <c r="A5277" s="3">
        <v>39617</v>
      </c>
      <c r="B5277">
        <v>23.625599999999999</v>
      </c>
      <c r="C5277">
        <f t="shared" si="85"/>
        <v>2008</v>
      </c>
    </row>
    <row r="5278" spans="1:3" x14ac:dyDescent="0.2">
      <c r="A5278" s="3">
        <v>39616</v>
      </c>
      <c r="B5278">
        <v>23.648499999999999</v>
      </c>
      <c r="C5278">
        <f t="shared" si="85"/>
        <v>2008</v>
      </c>
    </row>
    <row r="5279" spans="1:3" x14ac:dyDescent="0.2">
      <c r="A5279" s="3">
        <v>39615</v>
      </c>
      <c r="B5279">
        <v>23.681699999999999</v>
      </c>
      <c r="C5279">
        <f t="shared" si="85"/>
        <v>2008</v>
      </c>
    </row>
    <row r="5280" spans="1:3" x14ac:dyDescent="0.2">
      <c r="A5280" s="3">
        <v>39612</v>
      </c>
      <c r="B5280">
        <v>23.782399999999999</v>
      </c>
      <c r="C5280">
        <f t="shared" si="85"/>
        <v>2008</v>
      </c>
    </row>
    <row r="5281" spans="1:3" x14ac:dyDescent="0.2">
      <c r="A5281" s="3">
        <v>39611</v>
      </c>
      <c r="B5281">
        <v>23.750699999999998</v>
      </c>
      <c r="C5281">
        <f t="shared" si="85"/>
        <v>2008</v>
      </c>
    </row>
    <row r="5282" spans="1:3" x14ac:dyDescent="0.2">
      <c r="A5282" s="3">
        <v>39610</v>
      </c>
      <c r="B5282">
        <v>23.637699999999999</v>
      </c>
      <c r="C5282">
        <f t="shared" si="85"/>
        <v>2008</v>
      </c>
    </row>
    <row r="5283" spans="1:3" x14ac:dyDescent="0.2">
      <c r="A5283" s="3">
        <v>39609</v>
      </c>
      <c r="B5283">
        <v>23.6952</v>
      </c>
      <c r="C5283">
        <f t="shared" si="85"/>
        <v>2008</v>
      </c>
    </row>
    <row r="5284" spans="1:3" x14ac:dyDescent="0.2">
      <c r="A5284" s="3">
        <v>39608</v>
      </c>
      <c r="B5284">
        <v>23.653500000000001</v>
      </c>
      <c r="C5284">
        <f t="shared" si="85"/>
        <v>2008</v>
      </c>
    </row>
    <row r="5285" spans="1:3" x14ac:dyDescent="0.2">
      <c r="A5285" s="3">
        <v>39605</v>
      </c>
      <c r="B5285">
        <v>23.537500000000001</v>
      </c>
      <c r="C5285">
        <f t="shared" si="85"/>
        <v>2008</v>
      </c>
    </row>
    <row r="5286" spans="1:3" x14ac:dyDescent="0.2">
      <c r="A5286" s="3">
        <v>39604</v>
      </c>
      <c r="B5286">
        <v>23.6753</v>
      </c>
      <c r="C5286">
        <f t="shared" si="85"/>
        <v>2008</v>
      </c>
    </row>
    <row r="5287" spans="1:3" x14ac:dyDescent="0.2">
      <c r="A5287" s="3">
        <v>39603</v>
      </c>
      <c r="B5287">
        <v>23.801400000000001</v>
      </c>
      <c r="C5287">
        <f t="shared" si="85"/>
        <v>2008</v>
      </c>
    </row>
    <row r="5288" spans="1:3" x14ac:dyDescent="0.2">
      <c r="A5288" s="3">
        <v>39602</v>
      </c>
      <c r="B5288">
        <v>23.787800000000001</v>
      </c>
      <c r="C5288">
        <f t="shared" si="85"/>
        <v>2008</v>
      </c>
    </row>
    <row r="5289" spans="1:3" x14ac:dyDescent="0.2">
      <c r="A5289" s="3">
        <v>39601</v>
      </c>
      <c r="B5289">
        <v>23.707899999999999</v>
      </c>
      <c r="C5289">
        <f t="shared" si="85"/>
        <v>2008</v>
      </c>
    </row>
    <row r="5290" spans="1:3" x14ac:dyDescent="0.2">
      <c r="A5290" s="3">
        <v>39598</v>
      </c>
      <c r="B5290">
        <v>23.684000000000001</v>
      </c>
      <c r="C5290">
        <f t="shared" si="85"/>
        <v>2008</v>
      </c>
    </row>
    <row r="5291" spans="1:3" x14ac:dyDescent="0.2">
      <c r="A5291" s="3">
        <v>39597</v>
      </c>
      <c r="B5291">
        <v>23.709800000000001</v>
      </c>
      <c r="C5291">
        <f t="shared" si="85"/>
        <v>2008</v>
      </c>
    </row>
    <row r="5292" spans="1:3" x14ac:dyDescent="0.2">
      <c r="A5292" s="3">
        <v>39596</v>
      </c>
      <c r="B5292">
        <v>23.622199999999999</v>
      </c>
      <c r="C5292">
        <f t="shared" si="85"/>
        <v>2008</v>
      </c>
    </row>
    <row r="5293" spans="1:3" x14ac:dyDescent="0.2">
      <c r="A5293" s="3">
        <v>39595</v>
      </c>
      <c r="B5293">
        <v>23.622800000000002</v>
      </c>
      <c r="C5293">
        <f t="shared" si="85"/>
        <v>2008</v>
      </c>
    </row>
    <row r="5294" spans="1:3" x14ac:dyDescent="0.2">
      <c r="A5294" s="3">
        <v>39594</v>
      </c>
      <c r="B5294">
        <v>23.5136</v>
      </c>
      <c r="C5294">
        <f t="shared" si="85"/>
        <v>2008</v>
      </c>
    </row>
    <row r="5295" spans="1:3" x14ac:dyDescent="0.2">
      <c r="A5295" s="3">
        <v>39591</v>
      </c>
      <c r="B5295">
        <v>23.5456</v>
      </c>
      <c r="C5295">
        <f t="shared" si="85"/>
        <v>2008</v>
      </c>
    </row>
    <row r="5296" spans="1:3" x14ac:dyDescent="0.2">
      <c r="A5296" s="3">
        <v>39590</v>
      </c>
      <c r="B5296">
        <v>23.612100000000002</v>
      </c>
      <c r="C5296">
        <f t="shared" si="85"/>
        <v>2008</v>
      </c>
    </row>
    <row r="5297" spans="1:3" x14ac:dyDescent="0.2">
      <c r="A5297" s="3">
        <v>39589</v>
      </c>
      <c r="B5297">
        <v>23.555900000000001</v>
      </c>
      <c r="C5297">
        <f t="shared" si="85"/>
        <v>2008</v>
      </c>
    </row>
    <row r="5298" spans="1:3" x14ac:dyDescent="0.2">
      <c r="A5298" s="3">
        <v>39588</v>
      </c>
      <c r="B5298">
        <v>23.705200000000001</v>
      </c>
      <c r="C5298">
        <f t="shared" si="85"/>
        <v>2008</v>
      </c>
    </row>
    <row r="5299" spans="1:3" x14ac:dyDescent="0.2">
      <c r="A5299" s="3">
        <v>39587</v>
      </c>
      <c r="B5299">
        <v>23.790400000000002</v>
      </c>
      <c r="C5299">
        <f t="shared" si="85"/>
        <v>2008</v>
      </c>
    </row>
    <row r="5300" spans="1:3" x14ac:dyDescent="0.2">
      <c r="A5300" s="3">
        <v>39584</v>
      </c>
      <c r="B5300">
        <v>23.7255</v>
      </c>
      <c r="C5300">
        <f t="shared" si="85"/>
        <v>2008</v>
      </c>
    </row>
    <row r="5301" spans="1:3" x14ac:dyDescent="0.2">
      <c r="A5301" s="3">
        <v>39583</v>
      </c>
      <c r="B5301">
        <v>23.893000000000001</v>
      </c>
      <c r="C5301">
        <f t="shared" si="85"/>
        <v>2008</v>
      </c>
    </row>
    <row r="5302" spans="1:3" x14ac:dyDescent="0.2">
      <c r="A5302" s="3">
        <v>39582</v>
      </c>
      <c r="B5302">
        <v>23.879200000000001</v>
      </c>
      <c r="C5302">
        <f t="shared" si="85"/>
        <v>2008</v>
      </c>
    </row>
    <row r="5303" spans="1:3" x14ac:dyDescent="0.2">
      <c r="A5303" s="3">
        <v>39581</v>
      </c>
      <c r="B5303">
        <v>23.808299999999999</v>
      </c>
      <c r="C5303">
        <f t="shared" si="85"/>
        <v>2008</v>
      </c>
    </row>
    <row r="5304" spans="1:3" x14ac:dyDescent="0.2">
      <c r="A5304" s="3">
        <v>39580</v>
      </c>
      <c r="B5304">
        <v>23.688600000000001</v>
      </c>
      <c r="C5304">
        <f t="shared" si="85"/>
        <v>2008</v>
      </c>
    </row>
    <row r="5305" spans="1:3" x14ac:dyDescent="0.2">
      <c r="A5305" s="3">
        <v>39577</v>
      </c>
      <c r="B5305">
        <v>23.741399999999999</v>
      </c>
      <c r="C5305">
        <f t="shared" si="85"/>
        <v>2008</v>
      </c>
    </row>
    <row r="5306" spans="1:3" x14ac:dyDescent="0.2">
      <c r="A5306" s="3">
        <v>39576</v>
      </c>
      <c r="B5306">
        <v>23.826699999999999</v>
      </c>
      <c r="C5306">
        <f t="shared" si="85"/>
        <v>2008</v>
      </c>
    </row>
    <row r="5307" spans="1:3" x14ac:dyDescent="0.2">
      <c r="A5307" s="3">
        <v>39575</v>
      </c>
      <c r="B5307">
        <v>23.822399999999998</v>
      </c>
      <c r="C5307">
        <f t="shared" si="85"/>
        <v>2008</v>
      </c>
    </row>
    <row r="5308" spans="1:3" x14ac:dyDescent="0.2">
      <c r="A5308" s="3">
        <v>39574</v>
      </c>
      <c r="B5308">
        <v>23.711400000000001</v>
      </c>
      <c r="C5308">
        <f t="shared" si="85"/>
        <v>2008</v>
      </c>
    </row>
    <row r="5309" spans="1:3" x14ac:dyDescent="0.2">
      <c r="A5309" s="3">
        <v>39573</v>
      </c>
      <c r="B5309">
        <v>23.7577</v>
      </c>
      <c r="C5309">
        <f t="shared" si="85"/>
        <v>2008</v>
      </c>
    </row>
    <row r="5310" spans="1:3" x14ac:dyDescent="0.2">
      <c r="A5310" s="3">
        <v>39570</v>
      </c>
      <c r="B5310">
        <v>23.801200000000001</v>
      </c>
      <c r="C5310">
        <f t="shared" si="85"/>
        <v>2008</v>
      </c>
    </row>
    <row r="5311" spans="1:3" x14ac:dyDescent="0.2">
      <c r="A5311" s="3">
        <v>39569</v>
      </c>
      <c r="B5311">
        <v>23.778099999999998</v>
      </c>
      <c r="C5311">
        <f t="shared" si="85"/>
        <v>2008</v>
      </c>
    </row>
    <row r="5312" spans="1:3" x14ac:dyDescent="0.2">
      <c r="A5312" s="3">
        <v>39568</v>
      </c>
      <c r="B5312">
        <v>23.637699999999999</v>
      </c>
      <c r="C5312">
        <f t="shared" si="85"/>
        <v>2008</v>
      </c>
    </row>
    <row r="5313" spans="1:3" x14ac:dyDescent="0.2">
      <c r="A5313" s="3">
        <v>39567</v>
      </c>
      <c r="B5313">
        <v>23.673300000000001</v>
      </c>
      <c r="C5313">
        <f t="shared" si="85"/>
        <v>2008</v>
      </c>
    </row>
    <row r="5314" spans="1:3" x14ac:dyDescent="0.2">
      <c r="A5314" s="3">
        <v>39566</v>
      </c>
      <c r="B5314">
        <v>23.5898</v>
      </c>
      <c r="C5314">
        <f t="shared" si="85"/>
        <v>2008</v>
      </c>
    </row>
    <row r="5315" spans="1:3" x14ac:dyDescent="0.2">
      <c r="A5315" s="3">
        <v>39563</v>
      </c>
      <c r="B5315">
        <v>23.6236</v>
      </c>
      <c r="C5315">
        <f t="shared" si="85"/>
        <v>2008</v>
      </c>
    </row>
    <row r="5316" spans="1:3" x14ac:dyDescent="0.2">
      <c r="A5316" s="3">
        <v>39562</v>
      </c>
      <c r="B5316">
        <v>23.570900000000002</v>
      </c>
      <c r="C5316">
        <f t="shared" ref="C5316:C5379" si="86">YEAR(A5316)</f>
        <v>2008</v>
      </c>
    </row>
    <row r="5317" spans="1:3" x14ac:dyDescent="0.2">
      <c r="A5317" s="3">
        <v>39561</v>
      </c>
      <c r="B5317">
        <v>23.407699999999998</v>
      </c>
      <c r="C5317">
        <f t="shared" si="86"/>
        <v>2008</v>
      </c>
    </row>
    <row r="5318" spans="1:3" x14ac:dyDescent="0.2">
      <c r="A5318" s="3">
        <v>39560</v>
      </c>
      <c r="B5318">
        <v>23.317900000000002</v>
      </c>
      <c r="C5318">
        <f t="shared" si="86"/>
        <v>2008</v>
      </c>
    </row>
    <row r="5319" spans="1:3" x14ac:dyDescent="0.2">
      <c r="A5319" s="3">
        <v>39559</v>
      </c>
      <c r="B5319">
        <v>23.393699999999999</v>
      </c>
      <c r="C5319">
        <f t="shared" si="86"/>
        <v>2008</v>
      </c>
    </row>
    <row r="5320" spans="1:3" x14ac:dyDescent="0.2">
      <c r="A5320" s="3">
        <v>39556</v>
      </c>
      <c r="B5320">
        <v>23.463999999999999</v>
      </c>
      <c r="C5320">
        <f t="shared" si="86"/>
        <v>2008</v>
      </c>
    </row>
    <row r="5321" spans="1:3" x14ac:dyDescent="0.2">
      <c r="A5321" s="3">
        <v>39555</v>
      </c>
      <c r="B5321">
        <v>23.389099999999999</v>
      </c>
      <c r="C5321">
        <f t="shared" si="86"/>
        <v>2008</v>
      </c>
    </row>
    <row r="5322" spans="1:3" x14ac:dyDescent="0.2">
      <c r="A5322" s="3">
        <v>39554</v>
      </c>
      <c r="B5322">
        <v>23.361999999999998</v>
      </c>
      <c r="C5322">
        <f t="shared" si="86"/>
        <v>2008</v>
      </c>
    </row>
    <row r="5323" spans="1:3" x14ac:dyDescent="0.2">
      <c r="A5323" s="3">
        <v>39553</v>
      </c>
      <c r="B5323">
        <v>23.488800000000001</v>
      </c>
      <c r="C5323">
        <f t="shared" si="86"/>
        <v>2008</v>
      </c>
    </row>
    <row r="5324" spans="1:3" x14ac:dyDescent="0.2">
      <c r="A5324" s="3">
        <v>39552</v>
      </c>
      <c r="B5324">
        <v>23.451599999999999</v>
      </c>
      <c r="C5324">
        <f t="shared" si="86"/>
        <v>2008</v>
      </c>
    </row>
    <row r="5325" spans="1:3" x14ac:dyDescent="0.2">
      <c r="A5325" s="3">
        <v>39549</v>
      </c>
      <c r="B5325">
        <v>23.468599999999999</v>
      </c>
      <c r="C5325">
        <f t="shared" si="86"/>
        <v>2008</v>
      </c>
    </row>
    <row r="5326" spans="1:3" x14ac:dyDescent="0.2">
      <c r="A5326" s="3">
        <v>39548</v>
      </c>
      <c r="B5326">
        <v>23.533200000000001</v>
      </c>
      <c r="C5326">
        <f t="shared" si="86"/>
        <v>2008</v>
      </c>
    </row>
    <row r="5327" spans="1:3" x14ac:dyDescent="0.2">
      <c r="A5327" s="3">
        <v>39547</v>
      </c>
      <c r="B5327">
        <v>23.457000000000001</v>
      </c>
      <c r="C5327">
        <f t="shared" si="86"/>
        <v>2008</v>
      </c>
    </row>
    <row r="5328" spans="1:3" x14ac:dyDescent="0.2">
      <c r="A5328" s="3">
        <v>39546</v>
      </c>
      <c r="B5328">
        <v>23.554099999999998</v>
      </c>
      <c r="C5328">
        <f t="shared" si="86"/>
        <v>2008</v>
      </c>
    </row>
    <row r="5329" spans="1:3" x14ac:dyDescent="0.2">
      <c r="A5329" s="3">
        <v>39545</v>
      </c>
      <c r="B5329">
        <v>23.5533</v>
      </c>
      <c r="C5329">
        <f t="shared" si="86"/>
        <v>2008</v>
      </c>
    </row>
    <row r="5330" spans="1:3" x14ac:dyDescent="0.2">
      <c r="A5330" s="3">
        <v>39542</v>
      </c>
      <c r="B5330">
        <v>23.537299999999998</v>
      </c>
      <c r="C5330">
        <f t="shared" si="86"/>
        <v>2008</v>
      </c>
    </row>
    <row r="5331" spans="1:3" x14ac:dyDescent="0.2">
      <c r="A5331" s="3">
        <v>39541</v>
      </c>
      <c r="B5331">
        <v>23.583400000000001</v>
      </c>
      <c r="C5331">
        <f t="shared" si="86"/>
        <v>2008</v>
      </c>
    </row>
    <row r="5332" spans="1:3" x14ac:dyDescent="0.2">
      <c r="A5332" s="3">
        <v>39540</v>
      </c>
      <c r="B5332">
        <v>23.564499999999999</v>
      </c>
      <c r="C5332">
        <f t="shared" si="86"/>
        <v>2008</v>
      </c>
    </row>
    <row r="5333" spans="1:3" x14ac:dyDescent="0.2">
      <c r="A5333" s="3">
        <v>39539</v>
      </c>
      <c r="B5333">
        <v>23.643799999999999</v>
      </c>
      <c r="C5333">
        <f t="shared" si="86"/>
        <v>2008</v>
      </c>
    </row>
    <row r="5334" spans="1:3" x14ac:dyDescent="0.2">
      <c r="A5334" s="3">
        <v>39538</v>
      </c>
      <c r="B5334">
        <v>23.492899999999999</v>
      </c>
      <c r="C5334">
        <f t="shared" si="86"/>
        <v>2008</v>
      </c>
    </row>
    <row r="5335" spans="1:3" x14ac:dyDescent="0.2">
      <c r="A5335" s="3">
        <v>39535</v>
      </c>
      <c r="B5335">
        <v>23.4892</v>
      </c>
      <c r="C5335">
        <f t="shared" si="86"/>
        <v>2008</v>
      </c>
    </row>
    <row r="5336" spans="1:3" x14ac:dyDescent="0.2">
      <c r="A5336" s="3">
        <v>39534</v>
      </c>
      <c r="B5336">
        <v>23.503</v>
      </c>
      <c r="C5336">
        <f t="shared" si="86"/>
        <v>2008</v>
      </c>
    </row>
    <row r="5337" spans="1:3" x14ac:dyDescent="0.2">
      <c r="A5337" s="3">
        <v>39533</v>
      </c>
      <c r="B5337">
        <v>23.4511</v>
      </c>
      <c r="C5337">
        <f t="shared" si="86"/>
        <v>2008</v>
      </c>
    </row>
    <row r="5338" spans="1:3" x14ac:dyDescent="0.2">
      <c r="A5338" s="3">
        <v>39532</v>
      </c>
      <c r="B5338">
        <v>23.615500000000001</v>
      </c>
      <c r="C5338">
        <f t="shared" si="86"/>
        <v>2008</v>
      </c>
    </row>
    <row r="5339" spans="1:3" x14ac:dyDescent="0.2">
      <c r="A5339" s="3">
        <v>39531</v>
      </c>
      <c r="B5339">
        <v>23.8032</v>
      </c>
      <c r="C5339">
        <f t="shared" si="86"/>
        <v>2008</v>
      </c>
    </row>
    <row r="5340" spans="1:3" x14ac:dyDescent="0.2">
      <c r="A5340" s="3">
        <v>39528</v>
      </c>
      <c r="B5340">
        <v>23.7941</v>
      </c>
      <c r="C5340">
        <f t="shared" si="86"/>
        <v>2008</v>
      </c>
    </row>
    <row r="5341" spans="1:3" x14ac:dyDescent="0.2">
      <c r="A5341" s="3">
        <v>39527</v>
      </c>
      <c r="B5341">
        <v>23.8081</v>
      </c>
      <c r="C5341">
        <f t="shared" si="86"/>
        <v>2008</v>
      </c>
    </row>
    <row r="5342" spans="1:3" x14ac:dyDescent="0.2">
      <c r="A5342" s="3">
        <v>39526</v>
      </c>
      <c r="B5342">
        <v>23.636900000000001</v>
      </c>
      <c r="C5342">
        <f t="shared" si="86"/>
        <v>2008</v>
      </c>
    </row>
    <row r="5343" spans="1:3" x14ac:dyDescent="0.2">
      <c r="A5343" s="3">
        <v>39525</v>
      </c>
      <c r="B5343">
        <v>23.630500000000001</v>
      </c>
      <c r="C5343">
        <f t="shared" si="86"/>
        <v>2008</v>
      </c>
    </row>
    <row r="5344" spans="1:3" x14ac:dyDescent="0.2">
      <c r="A5344" s="3">
        <v>39524</v>
      </c>
      <c r="B5344">
        <v>23.544799999999999</v>
      </c>
      <c r="C5344">
        <f t="shared" si="86"/>
        <v>2008</v>
      </c>
    </row>
    <row r="5345" spans="1:3" x14ac:dyDescent="0.2">
      <c r="A5345" s="3">
        <v>39521</v>
      </c>
      <c r="B5345">
        <v>23.595400000000001</v>
      </c>
      <c r="C5345">
        <f t="shared" si="86"/>
        <v>2008</v>
      </c>
    </row>
    <row r="5346" spans="1:3" x14ac:dyDescent="0.2">
      <c r="A5346" s="3">
        <v>39520</v>
      </c>
      <c r="B5346">
        <v>23.6204</v>
      </c>
      <c r="C5346">
        <f t="shared" si="86"/>
        <v>2008</v>
      </c>
    </row>
    <row r="5347" spans="1:3" x14ac:dyDescent="0.2">
      <c r="A5347" s="3">
        <v>39519</v>
      </c>
      <c r="B5347">
        <v>23.694600000000001</v>
      </c>
      <c r="C5347">
        <f t="shared" si="86"/>
        <v>2008</v>
      </c>
    </row>
    <row r="5348" spans="1:3" x14ac:dyDescent="0.2">
      <c r="A5348" s="3">
        <v>39518</v>
      </c>
      <c r="B5348">
        <v>23.875</v>
      </c>
      <c r="C5348">
        <f t="shared" si="86"/>
        <v>2008</v>
      </c>
    </row>
    <row r="5349" spans="1:3" x14ac:dyDescent="0.2">
      <c r="A5349" s="3">
        <v>39517</v>
      </c>
      <c r="B5349">
        <v>23.8705</v>
      </c>
      <c r="C5349">
        <f t="shared" si="86"/>
        <v>2008</v>
      </c>
    </row>
    <row r="5350" spans="1:3" x14ac:dyDescent="0.2">
      <c r="A5350" s="3">
        <v>39514</v>
      </c>
      <c r="B5350">
        <v>23.852900000000002</v>
      </c>
      <c r="C5350">
        <f t="shared" si="86"/>
        <v>2008</v>
      </c>
    </row>
    <row r="5351" spans="1:3" x14ac:dyDescent="0.2">
      <c r="A5351" s="3">
        <v>39513</v>
      </c>
      <c r="B5351">
        <v>23.825500000000002</v>
      </c>
      <c r="C5351">
        <f t="shared" si="86"/>
        <v>2008</v>
      </c>
    </row>
    <row r="5352" spans="1:3" x14ac:dyDescent="0.2">
      <c r="A5352" s="3">
        <v>39512</v>
      </c>
      <c r="B5352">
        <v>23.953900000000001</v>
      </c>
      <c r="C5352">
        <f t="shared" si="86"/>
        <v>2008</v>
      </c>
    </row>
    <row r="5353" spans="1:3" x14ac:dyDescent="0.2">
      <c r="A5353" s="3">
        <v>39511</v>
      </c>
      <c r="B5353">
        <v>24.004200000000001</v>
      </c>
      <c r="C5353">
        <f t="shared" si="86"/>
        <v>2008</v>
      </c>
    </row>
    <row r="5354" spans="1:3" x14ac:dyDescent="0.2">
      <c r="A5354" s="3">
        <v>39510</v>
      </c>
      <c r="B5354">
        <v>24.021100000000001</v>
      </c>
      <c r="C5354">
        <f t="shared" si="86"/>
        <v>2008</v>
      </c>
    </row>
    <row r="5355" spans="1:3" x14ac:dyDescent="0.2">
      <c r="A5355" s="3">
        <v>39507</v>
      </c>
      <c r="B5355">
        <v>24.014299999999999</v>
      </c>
      <c r="C5355">
        <f t="shared" si="86"/>
        <v>2008</v>
      </c>
    </row>
    <row r="5356" spans="1:3" x14ac:dyDescent="0.2">
      <c r="A5356" s="3">
        <v>39506</v>
      </c>
      <c r="B5356">
        <v>23.998000000000001</v>
      </c>
      <c r="C5356">
        <f t="shared" si="86"/>
        <v>2008</v>
      </c>
    </row>
    <row r="5357" spans="1:3" x14ac:dyDescent="0.2">
      <c r="A5357" s="3">
        <v>39505</v>
      </c>
      <c r="B5357">
        <v>24.0913</v>
      </c>
      <c r="C5357">
        <f t="shared" si="86"/>
        <v>2008</v>
      </c>
    </row>
    <row r="5358" spans="1:3" x14ac:dyDescent="0.2">
      <c r="A5358" s="3">
        <v>39504</v>
      </c>
      <c r="B5358">
        <v>24.258299999999998</v>
      </c>
      <c r="C5358">
        <f t="shared" si="86"/>
        <v>2008</v>
      </c>
    </row>
    <row r="5359" spans="1:3" x14ac:dyDescent="0.2">
      <c r="A5359" s="3">
        <v>39503</v>
      </c>
      <c r="B5359">
        <v>24.438199999999998</v>
      </c>
      <c r="C5359">
        <f t="shared" si="86"/>
        <v>2008</v>
      </c>
    </row>
    <row r="5360" spans="1:3" x14ac:dyDescent="0.2">
      <c r="A5360" s="3">
        <v>39500</v>
      </c>
      <c r="B5360">
        <v>24.436</v>
      </c>
      <c r="C5360">
        <f t="shared" si="86"/>
        <v>2008</v>
      </c>
    </row>
    <row r="5361" spans="1:3" x14ac:dyDescent="0.2">
      <c r="A5361" s="3">
        <v>39499</v>
      </c>
      <c r="B5361">
        <v>24.472899999999999</v>
      </c>
      <c r="C5361">
        <f t="shared" si="86"/>
        <v>2008</v>
      </c>
    </row>
    <row r="5362" spans="1:3" x14ac:dyDescent="0.2">
      <c r="A5362" s="3">
        <v>39498</v>
      </c>
      <c r="B5362">
        <v>24.546600000000002</v>
      </c>
      <c r="C5362">
        <f t="shared" si="86"/>
        <v>2008</v>
      </c>
    </row>
    <row r="5363" spans="1:3" x14ac:dyDescent="0.2">
      <c r="A5363" s="3">
        <v>39497</v>
      </c>
      <c r="B5363">
        <v>24.545200000000001</v>
      </c>
      <c r="C5363">
        <f t="shared" si="86"/>
        <v>2008</v>
      </c>
    </row>
    <row r="5364" spans="1:3" x14ac:dyDescent="0.2">
      <c r="A5364" s="3">
        <v>39496</v>
      </c>
      <c r="B5364">
        <v>24.581700000000001</v>
      </c>
      <c r="C5364">
        <f t="shared" si="86"/>
        <v>2008</v>
      </c>
    </row>
    <row r="5365" spans="1:3" x14ac:dyDescent="0.2">
      <c r="A5365" s="3">
        <v>39493</v>
      </c>
      <c r="B5365">
        <v>24.586600000000001</v>
      </c>
      <c r="C5365">
        <f t="shared" si="86"/>
        <v>2008</v>
      </c>
    </row>
    <row r="5366" spans="1:3" x14ac:dyDescent="0.2">
      <c r="A5366" s="3">
        <v>39492</v>
      </c>
      <c r="B5366">
        <v>24.612500000000001</v>
      </c>
      <c r="C5366">
        <f t="shared" si="86"/>
        <v>2008</v>
      </c>
    </row>
    <row r="5367" spans="1:3" x14ac:dyDescent="0.2">
      <c r="A5367" s="3">
        <v>39491</v>
      </c>
      <c r="B5367">
        <v>24.664100000000001</v>
      </c>
      <c r="C5367">
        <f t="shared" si="86"/>
        <v>2008</v>
      </c>
    </row>
    <row r="5368" spans="1:3" x14ac:dyDescent="0.2">
      <c r="A5368" s="3">
        <v>39490</v>
      </c>
      <c r="B5368">
        <v>24.626999999999999</v>
      </c>
      <c r="C5368">
        <f t="shared" si="86"/>
        <v>2008</v>
      </c>
    </row>
    <row r="5369" spans="1:3" x14ac:dyDescent="0.2">
      <c r="A5369" s="3">
        <v>39489</v>
      </c>
      <c r="B5369">
        <v>24.690100000000001</v>
      </c>
      <c r="C5369">
        <f t="shared" si="86"/>
        <v>2008</v>
      </c>
    </row>
    <row r="5370" spans="1:3" x14ac:dyDescent="0.2">
      <c r="A5370" s="3">
        <v>39486</v>
      </c>
      <c r="B5370">
        <v>24.7394</v>
      </c>
      <c r="C5370">
        <f t="shared" si="86"/>
        <v>2008</v>
      </c>
    </row>
    <row r="5371" spans="1:3" x14ac:dyDescent="0.2">
      <c r="A5371" s="3">
        <v>39485</v>
      </c>
      <c r="B5371">
        <v>24.785900000000002</v>
      </c>
      <c r="C5371">
        <f t="shared" si="86"/>
        <v>2008</v>
      </c>
    </row>
    <row r="5372" spans="1:3" x14ac:dyDescent="0.2">
      <c r="A5372" s="3">
        <v>39484</v>
      </c>
      <c r="B5372">
        <v>24.642900000000001</v>
      </c>
      <c r="C5372">
        <f t="shared" si="86"/>
        <v>2008</v>
      </c>
    </row>
    <row r="5373" spans="1:3" x14ac:dyDescent="0.2">
      <c r="A5373" s="3">
        <v>39483</v>
      </c>
      <c r="B5373">
        <v>24.628299999999999</v>
      </c>
      <c r="C5373">
        <f t="shared" si="86"/>
        <v>2008</v>
      </c>
    </row>
    <row r="5374" spans="1:3" x14ac:dyDescent="0.2">
      <c r="A5374" s="3">
        <v>39482</v>
      </c>
      <c r="B5374">
        <v>24.492999999999999</v>
      </c>
      <c r="C5374">
        <f t="shared" si="86"/>
        <v>2008</v>
      </c>
    </row>
    <row r="5375" spans="1:3" x14ac:dyDescent="0.2">
      <c r="A5375" s="3">
        <v>39479</v>
      </c>
      <c r="B5375">
        <v>24.491</v>
      </c>
      <c r="C5375">
        <f t="shared" si="86"/>
        <v>2008</v>
      </c>
    </row>
    <row r="5376" spans="1:3" x14ac:dyDescent="0.2">
      <c r="A5376" s="3">
        <v>39478</v>
      </c>
      <c r="B5376">
        <v>24.435300000000002</v>
      </c>
      <c r="C5376">
        <f t="shared" si="86"/>
        <v>2008</v>
      </c>
    </row>
    <row r="5377" spans="1:3" x14ac:dyDescent="0.2">
      <c r="A5377" s="3">
        <v>39477</v>
      </c>
      <c r="B5377">
        <v>24.409400000000002</v>
      </c>
      <c r="C5377">
        <f t="shared" si="86"/>
        <v>2008</v>
      </c>
    </row>
    <row r="5378" spans="1:3" x14ac:dyDescent="0.2">
      <c r="A5378" s="3">
        <v>39476</v>
      </c>
      <c r="B5378">
        <v>24.4819</v>
      </c>
      <c r="C5378">
        <f t="shared" si="86"/>
        <v>2008</v>
      </c>
    </row>
    <row r="5379" spans="1:3" x14ac:dyDescent="0.2">
      <c r="A5379" s="3">
        <v>39475</v>
      </c>
      <c r="B5379">
        <v>24.475200000000001</v>
      </c>
      <c r="C5379">
        <f t="shared" si="86"/>
        <v>2008</v>
      </c>
    </row>
    <row r="5380" spans="1:3" x14ac:dyDescent="0.2">
      <c r="A5380" s="3">
        <v>39472</v>
      </c>
      <c r="B5380">
        <v>24.542000000000002</v>
      </c>
      <c r="C5380">
        <f t="shared" ref="C5380:C5398" si="87">YEAR(A5380)</f>
        <v>2008</v>
      </c>
    </row>
    <row r="5381" spans="1:3" x14ac:dyDescent="0.2">
      <c r="A5381" s="3">
        <v>39471</v>
      </c>
      <c r="B5381">
        <v>24.473299999999998</v>
      </c>
      <c r="C5381">
        <f t="shared" si="87"/>
        <v>2008</v>
      </c>
    </row>
    <row r="5382" spans="1:3" x14ac:dyDescent="0.2">
      <c r="A5382" s="3">
        <v>39470</v>
      </c>
      <c r="B5382">
        <v>24.668500000000002</v>
      </c>
      <c r="C5382">
        <f t="shared" si="87"/>
        <v>2008</v>
      </c>
    </row>
    <row r="5383" spans="1:3" x14ac:dyDescent="0.2">
      <c r="A5383" s="3">
        <v>39469</v>
      </c>
      <c r="B5383">
        <v>24.670500000000001</v>
      </c>
      <c r="C5383">
        <f t="shared" si="87"/>
        <v>2008</v>
      </c>
    </row>
    <row r="5384" spans="1:3" x14ac:dyDescent="0.2">
      <c r="A5384" s="3">
        <v>39468</v>
      </c>
      <c r="B5384">
        <v>24.7438</v>
      </c>
      <c r="C5384">
        <f t="shared" si="87"/>
        <v>2008</v>
      </c>
    </row>
    <row r="5385" spans="1:3" x14ac:dyDescent="0.2">
      <c r="A5385" s="3">
        <v>39465</v>
      </c>
      <c r="B5385">
        <v>24.522600000000001</v>
      </c>
      <c r="C5385">
        <f t="shared" si="87"/>
        <v>2008</v>
      </c>
    </row>
    <row r="5386" spans="1:3" x14ac:dyDescent="0.2">
      <c r="A5386" s="3">
        <v>39464</v>
      </c>
      <c r="B5386">
        <v>24.500299999999999</v>
      </c>
      <c r="C5386">
        <f t="shared" si="87"/>
        <v>2008</v>
      </c>
    </row>
    <row r="5387" spans="1:3" x14ac:dyDescent="0.2">
      <c r="A5387" s="3">
        <v>39463</v>
      </c>
      <c r="B5387">
        <v>24.4876</v>
      </c>
      <c r="C5387">
        <f t="shared" si="87"/>
        <v>2008</v>
      </c>
    </row>
    <row r="5388" spans="1:3" x14ac:dyDescent="0.2">
      <c r="A5388" s="3">
        <v>39462</v>
      </c>
      <c r="B5388">
        <v>24.348099999999999</v>
      </c>
      <c r="C5388">
        <f t="shared" si="87"/>
        <v>2008</v>
      </c>
    </row>
    <row r="5389" spans="1:3" x14ac:dyDescent="0.2">
      <c r="A5389" s="3">
        <v>39461</v>
      </c>
      <c r="B5389">
        <v>24.286799999999999</v>
      </c>
      <c r="C5389">
        <f t="shared" si="87"/>
        <v>2008</v>
      </c>
    </row>
    <row r="5390" spans="1:3" x14ac:dyDescent="0.2">
      <c r="A5390" s="3">
        <v>39458</v>
      </c>
      <c r="B5390">
        <v>24.380600000000001</v>
      </c>
      <c r="C5390">
        <f t="shared" si="87"/>
        <v>2008</v>
      </c>
    </row>
    <row r="5391" spans="1:3" x14ac:dyDescent="0.2">
      <c r="A5391" s="3">
        <v>39457</v>
      </c>
      <c r="B5391">
        <v>24.3567</v>
      </c>
      <c r="C5391">
        <f t="shared" si="87"/>
        <v>2008</v>
      </c>
    </row>
    <row r="5392" spans="1:3" x14ac:dyDescent="0.2">
      <c r="A5392" s="3">
        <v>39456</v>
      </c>
      <c r="B5392">
        <v>24.484500000000001</v>
      </c>
      <c r="C5392">
        <f t="shared" si="87"/>
        <v>2008</v>
      </c>
    </row>
    <row r="5393" spans="1:3" x14ac:dyDescent="0.2">
      <c r="A5393" s="3">
        <v>39455</v>
      </c>
      <c r="B5393">
        <v>24.4862</v>
      </c>
      <c r="C5393">
        <f t="shared" si="87"/>
        <v>2008</v>
      </c>
    </row>
    <row r="5394" spans="1:3" x14ac:dyDescent="0.2">
      <c r="A5394" s="3">
        <v>39454</v>
      </c>
      <c r="B5394">
        <v>24.499700000000001</v>
      </c>
      <c r="C5394">
        <f t="shared" si="87"/>
        <v>2008</v>
      </c>
    </row>
    <row r="5395" spans="1:3" x14ac:dyDescent="0.2">
      <c r="A5395" s="3">
        <v>39451</v>
      </c>
      <c r="B5395">
        <v>24.460699999999999</v>
      </c>
      <c r="C5395">
        <f t="shared" si="87"/>
        <v>2008</v>
      </c>
    </row>
    <row r="5396" spans="1:3" x14ac:dyDescent="0.2">
      <c r="A5396" s="3">
        <v>39450</v>
      </c>
      <c r="B5396">
        <v>24.455400000000001</v>
      </c>
      <c r="C5396">
        <f t="shared" si="87"/>
        <v>2008</v>
      </c>
    </row>
    <row r="5397" spans="1:3" x14ac:dyDescent="0.2">
      <c r="A5397" s="3">
        <v>39449</v>
      </c>
      <c r="B5397">
        <v>24.493200000000002</v>
      </c>
      <c r="C5397">
        <f t="shared" si="87"/>
        <v>2008</v>
      </c>
    </row>
    <row r="5398" spans="1:3" x14ac:dyDescent="0.2">
      <c r="A5398" s="3">
        <v>39448</v>
      </c>
      <c r="B5398">
        <v>24.636800000000001</v>
      </c>
      <c r="C5398">
        <f t="shared" si="87"/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Sheet4</vt:lpstr>
      <vt:lpstr>Sheet3</vt:lpstr>
      <vt:lpstr>Дивиденды по годам</vt:lpstr>
      <vt:lpstr>Показатели</vt:lpstr>
      <vt:lpstr>Дивиденды</vt:lpstr>
      <vt:lpstr>USD RUB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Овчинникова Дарья Антоновна</dc:creator>
  <cp:lastModifiedBy>Овчинникова Дарья Антоновна</cp:lastModifiedBy>
  <dcterms:created xsi:type="dcterms:W3CDTF">2026-03-24T11:22:37Z</dcterms:created>
  <dcterms:modified xsi:type="dcterms:W3CDTF">2026-04-14T09:03:25Z</dcterms:modified>
</cp:coreProperties>
</file>